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8810"/>
  <workbookPr filterPrivacy="1"/>
  <mc:AlternateContent xmlns:mc="http://schemas.openxmlformats.org/markup-compatibility/2006">
    <mc:Choice Requires="x15">
      <x15ac:absPath xmlns:x15ac="http://schemas.microsoft.com/office/spreadsheetml/2010/11/ac" url="/Users/fred/Documents/GitHub/MergerArbitrage/"/>
    </mc:Choice>
  </mc:AlternateContent>
  <bookViews>
    <workbookView xWindow="0" yWindow="460" windowWidth="33600" windowHeight="18940"/>
  </bookViews>
  <sheets>
    <sheet name="Request 5" sheetId="1" r:id="rId1"/>
    <sheet name="Session Details" sheetId="2" r:id="rId2"/>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B11679" i="1" l="1"/>
  <c r="A11679" i="1"/>
  <c r="B11678" i="1"/>
  <c r="A11678" i="1"/>
  <c r="B11677" i="1"/>
  <c r="A11677" i="1"/>
  <c r="B11676" i="1"/>
  <c r="A11676" i="1"/>
  <c r="A11675" i="1"/>
  <c r="B11674" i="1"/>
  <c r="A11674" i="1"/>
  <c r="B11673" i="1"/>
  <c r="A11673" i="1"/>
  <c r="B11672" i="1"/>
  <c r="A11672" i="1"/>
  <c r="A11671" i="1"/>
  <c r="B11670" i="1"/>
  <c r="A11670" i="1"/>
  <c r="A11669" i="1"/>
  <c r="B11668" i="1"/>
  <c r="A11668" i="1"/>
  <c r="A11667" i="1"/>
  <c r="B11666" i="1"/>
  <c r="A11666" i="1"/>
  <c r="B11665" i="1"/>
  <c r="A11665" i="1"/>
  <c r="B11664" i="1"/>
  <c r="A11664" i="1"/>
  <c r="B11663" i="1"/>
  <c r="A11663" i="1"/>
  <c r="B11662" i="1"/>
  <c r="A11662" i="1"/>
  <c r="A11661" i="1"/>
  <c r="A11660" i="1"/>
  <c r="B11659" i="1"/>
  <c r="A11659" i="1"/>
  <c r="B11658" i="1"/>
  <c r="A11658" i="1"/>
  <c r="B11657" i="1"/>
  <c r="A11657" i="1"/>
  <c r="B11656" i="1"/>
  <c r="A11656" i="1"/>
  <c r="A11655" i="1"/>
  <c r="A11654" i="1"/>
  <c r="B11653" i="1"/>
  <c r="A11653" i="1"/>
  <c r="B11652" i="1"/>
  <c r="A11652" i="1"/>
  <c r="B11651" i="1"/>
  <c r="A11651" i="1"/>
  <c r="B11650" i="1"/>
  <c r="A11650" i="1"/>
  <c r="B11649" i="1"/>
  <c r="A11649" i="1"/>
  <c r="B11648" i="1"/>
  <c r="A11648" i="1"/>
  <c r="B11647" i="1"/>
  <c r="A11647" i="1"/>
  <c r="B11646" i="1"/>
  <c r="A11646" i="1"/>
  <c r="B11645" i="1"/>
  <c r="A11645" i="1"/>
  <c r="A11644" i="1"/>
  <c r="B11643" i="1"/>
  <c r="A11643" i="1"/>
  <c r="B11642" i="1"/>
  <c r="A11642" i="1"/>
  <c r="B11641" i="1"/>
  <c r="A11641" i="1"/>
  <c r="B11640" i="1"/>
  <c r="A11640" i="1"/>
  <c r="A11639" i="1"/>
  <c r="B11638" i="1"/>
  <c r="A11638" i="1"/>
  <c r="B11637" i="1"/>
  <c r="A11637" i="1"/>
  <c r="B11636" i="1"/>
  <c r="A11636" i="1"/>
  <c r="B11635" i="1"/>
  <c r="A11635" i="1"/>
  <c r="B11634" i="1"/>
  <c r="A11634" i="1"/>
  <c r="B11633" i="1"/>
  <c r="A11633" i="1"/>
  <c r="B11632" i="1"/>
  <c r="A11632" i="1"/>
  <c r="A11631" i="1"/>
  <c r="B11630" i="1"/>
  <c r="A11630" i="1"/>
  <c r="A11629" i="1"/>
  <c r="B11628" i="1"/>
  <c r="A11628" i="1"/>
  <c r="A11627" i="1"/>
  <c r="B11626" i="1"/>
  <c r="A11626" i="1"/>
  <c r="A11625" i="1"/>
  <c r="B11624" i="1"/>
  <c r="A11624" i="1"/>
  <c r="A11623" i="1"/>
  <c r="B11622" i="1"/>
  <c r="A11622" i="1"/>
  <c r="B11621" i="1"/>
  <c r="A11621" i="1"/>
  <c r="A11620" i="1"/>
  <c r="A11619" i="1"/>
  <c r="B11618" i="1"/>
  <c r="A11618" i="1"/>
  <c r="B11617" i="1"/>
  <c r="A11617" i="1"/>
  <c r="B11616" i="1"/>
  <c r="A11616" i="1"/>
  <c r="B11615" i="1"/>
  <c r="A11615" i="1"/>
  <c r="A11614" i="1"/>
  <c r="B11613" i="1"/>
  <c r="A11613" i="1"/>
  <c r="A11612" i="1"/>
  <c r="A11611" i="1"/>
  <c r="B11610" i="1"/>
  <c r="A11610" i="1"/>
  <c r="B11609" i="1"/>
  <c r="A11609" i="1"/>
  <c r="B11608" i="1"/>
  <c r="A11608" i="1"/>
  <c r="A11607" i="1"/>
  <c r="B11606" i="1"/>
  <c r="A11606" i="1"/>
  <c r="B11605" i="1"/>
  <c r="A11605" i="1"/>
  <c r="B11604" i="1"/>
  <c r="A11604" i="1"/>
  <c r="A11603" i="1"/>
  <c r="B11602" i="1"/>
  <c r="A11602" i="1"/>
  <c r="B11601" i="1"/>
  <c r="A11601" i="1"/>
  <c r="B11600" i="1"/>
  <c r="A11600" i="1"/>
  <c r="B11599" i="1"/>
  <c r="A11599" i="1"/>
  <c r="A11598" i="1"/>
  <c r="A11597" i="1"/>
  <c r="B11596" i="1"/>
  <c r="A11596" i="1"/>
  <c r="B11595" i="1"/>
  <c r="A11595" i="1"/>
  <c r="B11594" i="1"/>
  <c r="A11594" i="1"/>
  <c r="B11593" i="1"/>
  <c r="A11593" i="1"/>
  <c r="A11592" i="1"/>
  <c r="B11591" i="1"/>
  <c r="A11591" i="1"/>
  <c r="A11590" i="1"/>
  <c r="B11589" i="1"/>
  <c r="A11589" i="1"/>
  <c r="A11588" i="1"/>
  <c r="B11587" i="1"/>
  <c r="A11587" i="1"/>
  <c r="B11586" i="1"/>
  <c r="A11586" i="1"/>
  <c r="B11585" i="1"/>
  <c r="A11585" i="1"/>
  <c r="B11584" i="1"/>
  <c r="A11584" i="1"/>
  <c r="A11583" i="1"/>
  <c r="B11582" i="1"/>
  <c r="A11582" i="1"/>
  <c r="B11581" i="1"/>
  <c r="A11581" i="1"/>
  <c r="B11580" i="1"/>
  <c r="A11580" i="1"/>
  <c r="A11579" i="1"/>
  <c r="B11578" i="1"/>
  <c r="A11578" i="1"/>
  <c r="B11577" i="1"/>
  <c r="A11577" i="1"/>
  <c r="B11576" i="1"/>
  <c r="A11576" i="1"/>
  <c r="A11575" i="1"/>
  <c r="B11574" i="1"/>
  <c r="A11574" i="1"/>
  <c r="B11573" i="1"/>
  <c r="A11573" i="1"/>
  <c r="A11572" i="1"/>
  <c r="B11571" i="1"/>
  <c r="A11571" i="1"/>
  <c r="A11570" i="1"/>
  <c r="B11569" i="1"/>
  <c r="A11569" i="1"/>
  <c r="B11568" i="1"/>
  <c r="A11568" i="1"/>
  <c r="B11567" i="1"/>
  <c r="A11567" i="1"/>
  <c r="A11566" i="1"/>
  <c r="B11565" i="1"/>
  <c r="A11565" i="1"/>
  <c r="B11564" i="1"/>
  <c r="A11564" i="1"/>
  <c r="B11563" i="1"/>
  <c r="A11563" i="1"/>
  <c r="A11562" i="1"/>
  <c r="B11561" i="1"/>
  <c r="A11561" i="1"/>
  <c r="A11560" i="1"/>
  <c r="B11559" i="1"/>
  <c r="A11559" i="1"/>
  <c r="B11558" i="1"/>
  <c r="A11558" i="1"/>
  <c r="B11557" i="1"/>
  <c r="A11557" i="1"/>
  <c r="A11556" i="1"/>
  <c r="A11555" i="1"/>
  <c r="B11554" i="1"/>
  <c r="A11554" i="1"/>
  <c r="B11553" i="1"/>
  <c r="A11553" i="1"/>
  <c r="A11552" i="1"/>
  <c r="B11551" i="1"/>
  <c r="A11551" i="1"/>
  <c r="B11550" i="1"/>
  <c r="A11550" i="1"/>
  <c r="B11549" i="1"/>
  <c r="A11549" i="1"/>
  <c r="B11548" i="1"/>
  <c r="A11548" i="1"/>
  <c r="B11547" i="1"/>
  <c r="A11547" i="1"/>
  <c r="B11546" i="1"/>
  <c r="A11546" i="1"/>
  <c r="B11545" i="1"/>
  <c r="A11545" i="1"/>
  <c r="B11544" i="1"/>
  <c r="A11544" i="1"/>
  <c r="B11543" i="1"/>
  <c r="A11543" i="1"/>
  <c r="B11542" i="1"/>
  <c r="A11542" i="1"/>
  <c r="B11541" i="1"/>
  <c r="A11541" i="1"/>
  <c r="A11540" i="1"/>
  <c r="B11539" i="1"/>
  <c r="A11539" i="1"/>
  <c r="B11538" i="1"/>
  <c r="A11538" i="1"/>
  <c r="B11537" i="1"/>
  <c r="A11537" i="1"/>
  <c r="B11536" i="1"/>
  <c r="A11536" i="1"/>
  <c r="B11535" i="1"/>
  <c r="A11535" i="1"/>
  <c r="A11534" i="1"/>
  <c r="B11533" i="1"/>
  <c r="A11533" i="1"/>
  <c r="B11532" i="1"/>
  <c r="A11532" i="1"/>
  <c r="B11531" i="1"/>
  <c r="A11531" i="1"/>
  <c r="B11530" i="1"/>
  <c r="A11530" i="1"/>
  <c r="A11529" i="1"/>
  <c r="B11528" i="1"/>
  <c r="A11528" i="1"/>
  <c r="B11527" i="1"/>
  <c r="A11527" i="1"/>
  <c r="B11526" i="1"/>
  <c r="A11526" i="1"/>
  <c r="B11525" i="1"/>
  <c r="A11525" i="1"/>
  <c r="A11524" i="1"/>
  <c r="B11523" i="1"/>
  <c r="A11523" i="1"/>
  <c r="B11522" i="1"/>
  <c r="A11522" i="1"/>
  <c r="A11521" i="1"/>
  <c r="B11520" i="1"/>
  <c r="A11520" i="1"/>
  <c r="B11519" i="1"/>
  <c r="A11519" i="1"/>
  <c r="A11518" i="1"/>
  <c r="B11517" i="1"/>
  <c r="A11517" i="1"/>
  <c r="B11516" i="1"/>
  <c r="A11516" i="1"/>
  <c r="B11515" i="1"/>
  <c r="A11515" i="1"/>
  <c r="A11514" i="1"/>
  <c r="B11513" i="1"/>
  <c r="A11513" i="1"/>
  <c r="A11512" i="1"/>
  <c r="B11511" i="1"/>
  <c r="A11511" i="1"/>
  <c r="B11510" i="1"/>
  <c r="A11510" i="1"/>
  <c r="B11509" i="1"/>
  <c r="A11509" i="1"/>
  <c r="B11508" i="1"/>
  <c r="A11508" i="1"/>
  <c r="B11507" i="1"/>
  <c r="A11507" i="1"/>
  <c r="B11506" i="1"/>
  <c r="A11506" i="1"/>
  <c r="A11505" i="1"/>
  <c r="B11504" i="1"/>
  <c r="A11504" i="1"/>
  <c r="B11503" i="1"/>
  <c r="A11503" i="1"/>
  <c r="B11502" i="1"/>
  <c r="A11502" i="1"/>
  <c r="B11501" i="1"/>
  <c r="A11501" i="1"/>
  <c r="B11500" i="1"/>
  <c r="A11500" i="1"/>
  <c r="B11499" i="1"/>
  <c r="A11499" i="1"/>
  <c r="B11498" i="1"/>
  <c r="A11498" i="1"/>
  <c r="A11497" i="1"/>
  <c r="B11496" i="1"/>
  <c r="A11496" i="1"/>
  <c r="B11495" i="1"/>
  <c r="A11495" i="1"/>
  <c r="A11494" i="1"/>
  <c r="B11493" i="1"/>
  <c r="A11493" i="1"/>
  <c r="A11492" i="1"/>
  <c r="B11491" i="1"/>
  <c r="A11491" i="1"/>
  <c r="A11490" i="1"/>
  <c r="B11489" i="1"/>
  <c r="A11489" i="1"/>
  <c r="A11488" i="1"/>
  <c r="B11487" i="1"/>
  <c r="A11487" i="1"/>
  <c r="A11486" i="1"/>
  <c r="B11485" i="1"/>
  <c r="A11485" i="1"/>
  <c r="B11484" i="1"/>
  <c r="A11484" i="1"/>
  <c r="B11483" i="1"/>
  <c r="A11483" i="1"/>
  <c r="B11482" i="1"/>
  <c r="A11482" i="1"/>
  <c r="B11481" i="1"/>
  <c r="A11481" i="1"/>
  <c r="B11480" i="1"/>
  <c r="A11480" i="1"/>
  <c r="B11479" i="1"/>
  <c r="A11479" i="1"/>
  <c r="A11478" i="1"/>
  <c r="A11477" i="1"/>
  <c r="B11476" i="1"/>
  <c r="A11476" i="1"/>
  <c r="B11475" i="1"/>
  <c r="A11475" i="1"/>
  <c r="A11474" i="1"/>
  <c r="B11473" i="1"/>
  <c r="A11473" i="1"/>
  <c r="A11472" i="1"/>
  <c r="B11471" i="1"/>
  <c r="A11471" i="1"/>
  <c r="A11470" i="1"/>
  <c r="B11469" i="1"/>
  <c r="A11469" i="1"/>
  <c r="B11468" i="1"/>
  <c r="A11468" i="1"/>
  <c r="B11467" i="1"/>
  <c r="A11467" i="1"/>
  <c r="B11466" i="1"/>
  <c r="A11466" i="1"/>
  <c r="B11465" i="1"/>
  <c r="A11465" i="1"/>
  <c r="A11464" i="1"/>
  <c r="B11463" i="1"/>
  <c r="A11463" i="1"/>
  <c r="B11462" i="1"/>
  <c r="A11462" i="1"/>
  <c r="A11461" i="1"/>
  <c r="A11460" i="1"/>
  <c r="B11459" i="1"/>
  <c r="A11459" i="1"/>
  <c r="B11458" i="1"/>
  <c r="A11458" i="1"/>
  <c r="A11457" i="1"/>
  <c r="A11456" i="1"/>
  <c r="B11455" i="1"/>
  <c r="A11455" i="1"/>
  <c r="B11454" i="1"/>
  <c r="A11454" i="1"/>
  <c r="B11453" i="1"/>
  <c r="A11453" i="1"/>
  <c r="A11452" i="1"/>
  <c r="B11451" i="1"/>
  <c r="A11451" i="1"/>
  <c r="B11450" i="1"/>
  <c r="A11450" i="1"/>
  <c r="B11449" i="1"/>
  <c r="A11449" i="1"/>
  <c r="A11448" i="1"/>
  <c r="B11447" i="1"/>
  <c r="A11447" i="1"/>
  <c r="B11446" i="1"/>
  <c r="A11446" i="1"/>
  <c r="B11445" i="1"/>
  <c r="A11445" i="1"/>
  <c r="B11444" i="1"/>
  <c r="A11444" i="1"/>
  <c r="A11443" i="1"/>
  <c r="B11442" i="1"/>
  <c r="A11442" i="1"/>
  <c r="B11441" i="1"/>
  <c r="A11441" i="1"/>
  <c r="B11440" i="1"/>
  <c r="A11440" i="1"/>
  <c r="B11439" i="1"/>
  <c r="A11439" i="1"/>
  <c r="B11438" i="1"/>
  <c r="A11438" i="1"/>
  <c r="A11437" i="1"/>
  <c r="A11436" i="1"/>
  <c r="B11435" i="1"/>
  <c r="A11435" i="1"/>
  <c r="B11434" i="1"/>
  <c r="A11434" i="1"/>
  <c r="B11433" i="1"/>
  <c r="A11433" i="1"/>
  <c r="B11432" i="1"/>
  <c r="A11432" i="1"/>
  <c r="B11431" i="1"/>
  <c r="A11431" i="1"/>
  <c r="B11430" i="1"/>
  <c r="A11430" i="1"/>
  <c r="B11429" i="1"/>
  <c r="A11429" i="1"/>
  <c r="B11428" i="1"/>
  <c r="A11428" i="1"/>
  <c r="B11427" i="1"/>
  <c r="A11427" i="1"/>
  <c r="A11426" i="1"/>
  <c r="A11425" i="1"/>
  <c r="B11424" i="1"/>
  <c r="A11424" i="1"/>
  <c r="B11423" i="1"/>
  <c r="A11423" i="1"/>
  <c r="B11422" i="1"/>
  <c r="A11422" i="1"/>
  <c r="B11421" i="1"/>
  <c r="A11421" i="1"/>
  <c r="A11420" i="1"/>
  <c r="B11419" i="1"/>
  <c r="A11419" i="1"/>
  <c r="A11418" i="1"/>
  <c r="A11417" i="1"/>
  <c r="B11416" i="1"/>
  <c r="A11416" i="1"/>
  <c r="B11415" i="1"/>
  <c r="A11415" i="1"/>
  <c r="B11414" i="1"/>
  <c r="A11414" i="1"/>
  <c r="A11413" i="1"/>
  <c r="B11412" i="1"/>
  <c r="A11412" i="1"/>
  <c r="B11411" i="1"/>
  <c r="A11411" i="1"/>
  <c r="B11410" i="1"/>
  <c r="A11410" i="1"/>
  <c r="A11409" i="1"/>
  <c r="B11408" i="1"/>
  <c r="A11408" i="1"/>
  <c r="B11407" i="1"/>
  <c r="A11407" i="1"/>
  <c r="B11406" i="1"/>
  <c r="A11406" i="1"/>
  <c r="A11405" i="1"/>
  <c r="B11404" i="1"/>
  <c r="A11404" i="1"/>
  <c r="A11403" i="1"/>
  <c r="B11402" i="1"/>
  <c r="A11402" i="1"/>
  <c r="B11401" i="1"/>
  <c r="A11401" i="1"/>
  <c r="A11400" i="1"/>
  <c r="A11399" i="1"/>
  <c r="B11398" i="1"/>
  <c r="A11398" i="1"/>
  <c r="B11397" i="1"/>
  <c r="A11397" i="1"/>
  <c r="A11396" i="1"/>
  <c r="A11395" i="1"/>
  <c r="B11394" i="1"/>
  <c r="A11394" i="1"/>
  <c r="A11393" i="1"/>
  <c r="A11392" i="1"/>
  <c r="A11391" i="1"/>
  <c r="B11390" i="1"/>
  <c r="A11390" i="1"/>
  <c r="B11389" i="1"/>
  <c r="A11389" i="1"/>
  <c r="B11388" i="1"/>
  <c r="A11388" i="1"/>
  <c r="B11387" i="1"/>
  <c r="A11387" i="1"/>
  <c r="B11386" i="1"/>
  <c r="A11386" i="1"/>
  <c r="A11385" i="1"/>
  <c r="A11384" i="1"/>
  <c r="B11383" i="1"/>
  <c r="A11383" i="1"/>
  <c r="B11382" i="1"/>
  <c r="A11382" i="1"/>
  <c r="B11381" i="1"/>
  <c r="A11381" i="1"/>
  <c r="B11380" i="1"/>
  <c r="A11380" i="1"/>
  <c r="A11379" i="1"/>
  <c r="B11378" i="1"/>
  <c r="A11378" i="1"/>
  <c r="B11377" i="1"/>
  <c r="A11377" i="1"/>
  <c r="B11376" i="1"/>
  <c r="A11376" i="1"/>
  <c r="B11375" i="1"/>
  <c r="A11375" i="1"/>
  <c r="B11374" i="1"/>
  <c r="A11374" i="1"/>
  <c r="B11373" i="1"/>
  <c r="A11373" i="1"/>
  <c r="A11372" i="1"/>
  <c r="A11371" i="1"/>
  <c r="B11370" i="1"/>
  <c r="A11370" i="1"/>
  <c r="B11369" i="1"/>
  <c r="A11369" i="1"/>
  <c r="B11368" i="1"/>
  <c r="A11368" i="1"/>
  <c r="B11367" i="1"/>
  <c r="A11367" i="1"/>
  <c r="A11366" i="1"/>
  <c r="A11365" i="1"/>
  <c r="B11364" i="1"/>
  <c r="A11364" i="1"/>
  <c r="B11363" i="1"/>
  <c r="A11363" i="1"/>
  <c r="A11362" i="1"/>
  <c r="B11361" i="1"/>
  <c r="A11361" i="1"/>
  <c r="B11360" i="1"/>
  <c r="A11360" i="1"/>
  <c r="B11359" i="1"/>
  <c r="A11359" i="1"/>
  <c r="A11358" i="1"/>
  <c r="B11357" i="1"/>
  <c r="A11357" i="1"/>
  <c r="A11356" i="1"/>
  <c r="B11355" i="1"/>
  <c r="A11355" i="1"/>
  <c r="A11354" i="1"/>
  <c r="A11353" i="1"/>
  <c r="B11352" i="1"/>
  <c r="A11352" i="1"/>
  <c r="A11351" i="1"/>
  <c r="B11350" i="1"/>
  <c r="A11350" i="1"/>
  <c r="A11349" i="1"/>
  <c r="B11348" i="1"/>
  <c r="A11348" i="1"/>
  <c r="B11347" i="1"/>
  <c r="A11347" i="1"/>
  <c r="B11346" i="1"/>
  <c r="A11346" i="1"/>
  <c r="A11345" i="1"/>
  <c r="A11344" i="1"/>
  <c r="B11343" i="1"/>
  <c r="A11343" i="1"/>
  <c r="B11342" i="1"/>
  <c r="A11342" i="1"/>
  <c r="B11341" i="1"/>
  <c r="A11341" i="1"/>
  <c r="A11340" i="1"/>
  <c r="B11339" i="1"/>
  <c r="A11339" i="1"/>
  <c r="B11338" i="1"/>
  <c r="A11338" i="1"/>
  <c r="B11337" i="1"/>
  <c r="A11337" i="1"/>
  <c r="B11336" i="1"/>
  <c r="A11336" i="1"/>
  <c r="B11335" i="1"/>
  <c r="A11335" i="1"/>
  <c r="B11334" i="1"/>
  <c r="A11334" i="1"/>
  <c r="A11333" i="1"/>
  <c r="B11332" i="1"/>
  <c r="A11332" i="1"/>
  <c r="A11331" i="1"/>
  <c r="B11330" i="1"/>
  <c r="A11330" i="1"/>
  <c r="B11329" i="1"/>
  <c r="A11329" i="1"/>
  <c r="A11328" i="1"/>
  <c r="A11327" i="1"/>
  <c r="B11326" i="1"/>
  <c r="A11326" i="1"/>
  <c r="B11325" i="1"/>
  <c r="A11325" i="1"/>
  <c r="B11324" i="1"/>
  <c r="A11324" i="1"/>
  <c r="A11323" i="1"/>
  <c r="B11322" i="1"/>
  <c r="A11322" i="1"/>
  <c r="B11321" i="1"/>
  <c r="A11321" i="1"/>
  <c r="B11320" i="1"/>
  <c r="A11320" i="1"/>
  <c r="B11319" i="1"/>
  <c r="A11319" i="1"/>
  <c r="B11318" i="1"/>
  <c r="A11318" i="1"/>
  <c r="B11317" i="1"/>
  <c r="A11317" i="1"/>
  <c r="B11316" i="1"/>
  <c r="A11316" i="1"/>
  <c r="A11315" i="1"/>
  <c r="B11314" i="1"/>
  <c r="A11314" i="1"/>
  <c r="B11313" i="1"/>
  <c r="A11313" i="1"/>
  <c r="B11312" i="1"/>
  <c r="A11312" i="1"/>
  <c r="B11311" i="1"/>
  <c r="A11311" i="1"/>
  <c r="B11310" i="1"/>
  <c r="A11310" i="1"/>
  <c r="A11309" i="1"/>
  <c r="B11308" i="1"/>
  <c r="A11308" i="1"/>
  <c r="B11307" i="1"/>
  <c r="A11307" i="1"/>
  <c r="A11306" i="1"/>
  <c r="B11305" i="1"/>
  <c r="A11305" i="1"/>
  <c r="B11304" i="1"/>
  <c r="A11304" i="1"/>
  <c r="A11303" i="1"/>
  <c r="B11302" i="1"/>
  <c r="A11302" i="1"/>
  <c r="B11301" i="1"/>
  <c r="A11301" i="1"/>
  <c r="A11300" i="1"/>
  <c r="B11299" i="1"/>
  <c r="A11299" i="1"/>
  <c r="B11298" i="1"/>
  <c r="A11298" i="1"/>
  <c r="A11297" i="1"/>
  <c r="B11296" i="1"/>
  <c r="A11296" i="1"/>
  <c r="B11295" i="1"/>
  <c r="A11295" i="1"/>
  <c r="B11294" i="1"/>
  <c r="A11294" i="1"/>
  <c r="B11293" i="1"/>
  <c r="A11293" i="1"/>
  <c r="A11292" i="1"/>
  <c r="B11291" i="1"/>
  <c r="A11291" i="1"/>
  <c r="B11290" i="1"/>
  <c r="A11290" i="1"/>
  <c r="A11289" i="1"/>
  <c r="B11288" i="1"/>
  <c r="A11288" i="1"/>
  <c r="A11287" i="1"/>
  <c r="B11286" i="1"/>
  <c r="A11286" i="1"/>
  <c r="B11285" i="1"/>
  <c r="A11285" i="1"/>
  <c r="B11284" i="1"/>
  <c r="A11284" i="1"/>
  <c r="A11283" i="1"/>
  <c r="B11282" i="1"/>
  <c r="A11282" i="1"/>
  <c r="B11281" i="1"/>
  <c r="A11281" i="1"/>
  <c r="B11280" i="1"/>
  <c r="A11280" i="1"/>
  <c r="B11279" i="1"/>
  <c r="A11279" i="1"/>
  <c r="B11278" i="1"/>
  <c r="A11278" i="1"/>
  <c r="B11277" i="1"/>
  <c r="A11277" i="1"/>
  <c r="B11276" i="1"/>
  <c r="A11276" i="1"/>
  <c r="B11275" i="1"/>
  <c r="A11275" i="1"/>
  <c r="B11274" i="1"/>
  <c r="A11274" i="1"/>
  <c r="B11273" i="1"/>
  <c r="A11273" i="1"/>
  <c r="B11272" i="1"/>
  <c r="A11272" i="1"/>
  <c r="B11271" i="1"/>
  <c r="A11271" i="1"/>
  <c r="B11270" i="1"/>
  <c r="A11270" i="1"/>
  <c r="A11269" i="1"/>
  <c r="B11268" i="1"/>
  <c r="A11268" i="1"/>
  <c r="A11267" i="1"/>
  <c r="B11266" i="1"/>
  <c r="A11266" i="1"/>
  <c r="B11265" i="1"/>
  <c r="A11265" i="1"/>
  <c r="B11264" i="1"/>
  <c r="A11264" i="1"/>
  <c r="A11263" i="1"/>
  <c r="B11262" i="1"/>
  <c r="A11262" i="1"/>
  <c r="B11261" i="1"/>
  <c r="A11261" i="1"/>
  <c r="A11260" i="1"/>
  <c r="B11259" i="1"/>
  <c r="A11259" i="1"/>
  <c r="B11258" i="1"/>
  <c r="A11258" i="1"/>
  <c r="B11257" i="1"/>
  <c r="A11257" i="1"/>
  <c r="A11256" i="1"/>
  <c r="A11255" i="1"/>
  <c r="B11254" i="1"/>
  <c r="A11254" i="1"/>
  <c r="B11253" i="1"/>
  <c r="A11253" i="1"/>
  <c r="B11252" i="1"/>
  <c r="A11252" i="1"/>
  <c r="A11251" i="1"/>
  <c r="B11250" i="1"/>
  <c r="A11250" i="1"/>
  <c r="B11249" i="1"/>
  <c r="A11249" i="1"/>
  <c r="B11248" i="1"/>
  <c r="A11248" i="1"/>
  <c r="B11247" i="1"/>
  <c r="A11247" i="1"/>
  <c r="B11246" i="1"/>
  <c r="A11246" i="1"/>
  <c r="B11245" i="1"/>
  <c r="A11245" i="1"/>
  <c r="B11244" i="1"/>
  <c r="A11244" i="1"/>
  <c r="A11243" i="1"/>
  <c r="B11242" i="1"/>
  <c r="A11242" i="1"/>
  <c r="A11241" i="1"/>
  <c r="A11240" i="1"/>
  <c r="B11239" i="1"/>
  <c r="A11239" i="1"/>
  <c r="B11238" i="1"/>
  <c r="A11238" i="1"/>
  <c r="B11237" i="1"/>
  <c r="A11237" i="1"/>
  <c r="B11236" i="1"/>
  <c r="A11236" i="1"/>
  <c r="A11235" i="1"/>
  <c r="B11234" i="1"/>
  <c r="A11234" i="1"/>
  <c r="B11233" i="1"/>
  <c r="A11233" i="1"/>
  <c r="B11232" i="1"/>
  <c r="A11232" i="1"/>
  <c r="A11231" i="1"/>
  <c r="A11230" i="1"/>
  <c r="A11229" i="1"/>
  <c r="A11228" i="1"/>
  <c r="B11227" i="1"/>
  <c r="A11227" i="1"/>
  <c r="B11226" i="1"/>
  <c r="A11226" i="1"/>
  <c r="B11225" i="1"/>
  <c r="A11225" i="1"/>
  <c r="A11224" i="1"/>
  <c r="B11223" i="1"/>
  <c r="A11223" i="1"/>
  <c r="A11222" i="1"/>
  <c r="B11221" i="1"/>
  <c r="A11221" i="1"/>
  <c r="B11220" i="1"/>
  <c r="A11220" i="1"/>
  <c r="B11219" i="1"/>
  <c r="A11219" i="1"/>
  <c r="B11218" i="1"/>
  <c r="A11218" i="1"/>
  <c r="B11217" i="1"/>
  <c r="A11217" i="1"/>
  <c r="B11216" i="1"/>
  <c r="A11216" i="1"/>
  <c r="A11215" i="1"/>
  <c r="A11214" i="1"/>
  <c r="B11213" i="1"/>
  <c r="A11213" i="1"/>
  <c r="B11212" i="1"/>
  <c r="A11212" i="1"/>
  <c r="B11211" i="1"/>
  <c r="A11211" i="1"/>
  <c r="B11210" i="1"/>
  <c r="A11210" i="1"/>
  <c r="B11209" i="1"/>
  <c r="A11209" i="1"/>
  <c r="B11208" i="1"/>
  <c r="A11208" i="1"/>
  <c r="B11207" i="1"/>
  <c r="A11207" i="1"/>
  <c r="B11206" i="1"/>
  <c r="A11206" i="1"/>
  <c r="B11205" i="1"/>
  <c r="A11205" i="1"/>
  <c r="A11204" i="1"/>
  <c r="A11203" i="1"/>
  <c r="B11202" i="1"/>
  <c r="A11202" i="1"/>
  <c r="B11201" i="1"/>
  <c r="A11201" i="1"/>
  <c r="A11200" i="1"/>
  <c r="B11199" i="1"/>
  <c r="A11199" i="1"/>
  <c r="B11198" i="1"/>
  <c r="A11198" i="1"/>
  <c r="A11197" i="1"/>
  <c r="B11196" i="1"/>
  <c r="A11196" i="1"/>
  <c r="B11195" i="1"/>
  <c r="A11195" i="1"/>
  <c r="B11194" i="1"/>
  <c r="A11194" i="1"/>
  <c r="B11193" i="1"/>
  <c r="A11193" i="1"/>
  <c r="B11192" i="1"/>
  <c r="A11192" i="1"/>
  <c r="A11191" i="1"/>
  <c r="B11190" i="1"/>
  <c r="A11190" i="1"/>
  <c r="B11189" i="1"/>
  <c r="A11189" i="1"/>
  <c r="B11188" i="1"/>
  <c r="A11188" i="1"/>
  <c r="B11187" i="1"/>
  <c r="A11187" i="1"/>
  <c r="B11186" i="1"/>
  <c r="A11186" i="1"/>
  <c r="B11185" i="1"/>
  <c r="A11185" i="1"/>
  <c r="B11184" i="1"/>
  <c r="A11184" i="1"/>
  <c r="B11183" i="1"/>
  <c r="A11183" i="1"/>
  <c r="B11182" i="1"/>
  <c r="A11182" i="1"/>
  <c r="B11181" i="1"/>
  <c r="A11181" i="1"/>
  <c r="B11180" i="1"/>
  <c r="A11180" i="1"/>
  <c r="B11179" i="1"/>
  <c r="A11179" i="1"/>
  <c r="A11178" i="1"/>
  <c r="B11177" i="1"/>
  <c r="A11177" i="1"/>
  <c r="B11176" i="1"/>
  <c r="A11176" i="1"/>
  <c r="B11175" i="1"/>
  <c r="A11175" i="1"/>
  <c r="B11174" i="1"/>
  <c r="A11174" i="1"/>
  <c r="A11173" i="1"/>
  <c r="B11172" i="1"/>
  <c r="A11172" i="1"/>
  <c r="A11171" i="1"/>
  <c r="B11170" i="1"/>
  <c r="A11170" i="1"/>
  <c r="B11169" i="1"/>
  <c r="A11169" i="1"/>
  <c r="A11168" i="1"/>
  <c r="B11167" i="1"/>
  <c r="A11167" i="1"/>
  <c r="A11166" i="1"/>
  <c r="B11165" i="1"/>
  <c r="A11165" i="1"/>
  <c r="B11164" i="1"/>
  <c r="A11164" i="1"/>
  <c r="A11163" i="1"/>
  <c r="A11162" i="1"/>
  <c r="A11161" i="1"/>
  <c r="B11160" i="1"/>
  <c r="A11160" i="1"/>
  <c r="B11159" i="1"/>
  <c r="A11159" i="1"/>
  <c r="B11158" i="1"/>
  <c r="A11158" i="1"/>
  <c r="B11157" i="1"/>
  <c r="A11157" i="1"/>
  <c r="B11156" i="1"/>
  <c r="A11156" i="1"/>
  <c r="B11155" i="1"/>
  <c r="A11155" i="1"/>
  <c r="B11154" i="1"/>
  <c r="A11154" i="1"/>
  <c r="B11153" i="1"/>
  <c r="A11153" i="1"/>
  <c r="A11152" i="1"/>
  <c r="B11151" i="1"/>
  <c r="A11151" i="1"/>
  <c r="B11150" i="1"/>
  <c r="A11150" i="1"/>
  <c r="A11149" i="1"/>
  <c r="B11148" i="1"/>
  <c r="A11148" i="1"/>
  <c r="B11147" i="1"/>
  <c r="A11147" i="1"/>
  <c r="B11146" i="1"/>
  <c r="A11146" i="1"/>
  <c r="B11145" i="1"/>
  <c r="A11145" i="1"/>
  <c r="A11144" i="1"/>
  <c r="B11143" i="1"/>
  <c r="A11143" i="1"/>
  <c r="B11142" i="1"/>
  <c r="A11142" i="1"/>
  <c r="B11141" i="1"/>
  <c r="A11141" i="1"/>
  <c r="B11140" i="1"/>
  <c r="A11140" i="1"/>
  <c r="A11139" i="1"/>
  <c r="B11138" i="1"/>
  <c r="A11138" i="1"/>
  <c r="B11137" i="1"/>
  <c r="A11137" i="1"/>
  <c r="B11136" i="1"/>
  <c r="A11136" i="1"/>
  <c r="B11135" i="1"/>
  <c r="A11135" i="1"/>
  <c r="A11134" i="1"/>
  <c r="A11133" i="1"/>
  <c r="B11132" i="1"/>
  <c r="A11132" i="1"/>
  <c r="A11131" i="1"/>
  <c r="B11130" i="1"/>
  <c r="A11130" i="1"/>
  <c r="B11129" i="1"/>
  <c r="A11129" i="1"/>
  <c r="A11128" i="1"/>
  <c r="B11127" i="1"/>
  <c r="A11127" i="1"/>
  <c r="B11126" i="1"/>
  <c r="A11126" i="1"/>
  <c r="B11125" i="1"/>
  <c r="A11125" i="1"/>
  <c r="B11124" i="1"/>
  <c r="A11124" i="1"/>
  <c r="B11123" i="1"/>
  <c r="A11123" i="1"/>
  <c r="A11122" i="1"/>
  <c r="B11121" i="1"/>
  <c r="A11121" i="1"/>
  <c r="B11120" i="1"/>
  <c r="A11120" i="1"/>
  <c r="B11119" i="1"/>
  <c r="A11119" i="1"/>
  <c r="A11118" i="1"/>
  <c r="B11117" i="1"/>
  <c r="A11117" i="1"/>
  <c r="A11116" i="1"/>
  <c r="A11115" i="1"/>
  <c r="A11114" i="1"/>
  <c r="B11113" i="1"/>
  <c r="A11113" i="1"/>
  <c r="A11112" i="1"/>
  <c r="B11111" i="1"/>
  <c r="A11111" i="1"/>
  <c r="B11110" i="1"/>
  <c r="A11110" i="1"/>
  <c r="B11109" i="1"/>
  <c r="A11109" i="1"/>
  <c r="A11108" i="1"/>
  <c r="A11107" i="1"/>
  <c r="B11106" i="1"/>
  <c r="A11106" i="1"/>
  <c r="B11105" i="1"/>
  <c r="A11105" i="1"/>
  <c r="B11104" i="1"/>
  <c r="A11104" i="1"/>
  <c r="B11103" i="1"/>
  <c r="A11103" i="1"/>
  <c r="B11102" i="1"/>
  <c r="A11102" i="1"/>
  <c r="B11101" i="1"/>
  <c r="A11101" i="1"/>
  <c r="A11100" i="1"/>
  <c r="B11099" i="1"/>
  <c r="A11099" i="1"/>
  <c r="B11098" i="1"/>
  <c r="A11098" i="1"/>
  <c r="A11097" i="1"/>
  <c r="B11096" i="1"/>
  <c r="A11096" i="1"/>
  <c r="B11095" i="1"/>
  <c r="A11095" i="1"/>
  <c r="A11094" i="1"/>
  <c r="B11093" i="1"/>
  <c r="A11093" i="1"/>
  <c r="B11092" i="1"/>
  <c r="A11092" i="1"/>
  <c r="B11091" i="1"/>
  <c r="A11091" i="1"/>
  <c r="B11090" i="1"/>
  <c r="A11090" i="1"/>
  <c r="B11089" i="1"/>
  <c r="A11089" i="1"/>
  <c r="B11088" i="1"/>
  <c r="A11088" i="1"/>
  <c r="B11087" i="1"/>
  <c r="A11087" i="1"/>
  <c r="A11086" i="1"/>
  <c r="B11085" i="1"/>
  <c r="A11085" i="1"/>
  <c r="B11084" i="1"/>
  <c r="A11084" i="1"/>
  <c r="B11083" i="1"/>
  <c r="A11083" i="1"/>
  <c r="B11082" i="1"/>
  <c r="A11082" i="1"/>
  <c r="B11081" i="1"/>
  <c r="A11081" i="1"/>
  <c r="B11080" i="1"/>
  <c r="A11080" i="1"/>
  <c r="A11079" i="1"/>
  <c r="B11078" i="1"/>
  <c r="A11078" i="1"/>
  <c r="B11077" i="1"/>
  <c r="A11077" i="1"/>
  <c r="B11076" i="1"/>
  <c r="A11076" i="1"/>
  <c r="B11075" i="1"/>
  <c r="A11075" i="1"/>
  <c r="B11074" i="1"/>
  <c r="A11074" i="1"/>
  <c r="B11073" i="1"/>
  <c r="A11073" i="1"/>
  <c r="B11072" i="1"/>
  <c r="A11072" i="1"/>
  <c r="B11071" i="1"/>
  <c r="A11071" i="1"/>
  <c r="A11070" i="1"/>
  <c r="A11069" i="1"/>
  <c r="B11068" i="1"/>
  <c r="A11068" i="1"/>
  <c r="B11067" i="1"/>
  <c r="A11067" i="1"/>
  <c r="B11066" i="1"/>
  <c r="A11066" i="1"/>
  <c r="B11065" i="1"/>
  <c r="A11065" i="1"/>
  <c r="A11064" i="1"/>
  <c r="B11063" i="1"/>
  <c r="A11063" i="1"/>
  <c r="A11062" i="1"/>
  <c r="B11061" i="1"/>
  <c r="A11061" i="1"/>
  <c r="A11060" i="1"/>
  <c r="B11059" i="1"/>
  <c r="A11059" i="1"/>
  <c r="A11058" i="1"/>
  <c r="A11057" i="1"/>
  <c r="B11056" i="1"/>
  <c r="A11056" i="1"/>
  <c r="B11055" i="1"/>
  <c r="A11055" i="1"/>
  <c r="B11054" i="1"/>
  <c r="A11054" i="1"/>
  <c r="B11053" i="1"/>
  <c r="A11053" i="1"/>
  <c r="B11052" i="1"/>
  <c r="A11052" i="1"/>
  <c r="B11051" i="1"/>
  <c r="A11051" i="1"/>
  <c r="B11050" i="1"/>
  <c r="A11050" i="1"/>
  <c r="B11049" i="1"/>
  <c r="A11049" i="1"/>
  <c r="B11048" i="1"/>
  <c r="A11048" i="1"/>
  <c r="A11047" i="1"/>
  <c r="B11046" i="1"/>
  <c r="A11046" i="1"/>
  <c r="A11045" i="1"/>
  <c r="A11044" i="1"/>
  <c r="B11043" i="1"/>
  <c r="A11043" i="1"/>
  <c r="B11042" i="1"/>
  <c r="A11042" i="1"/>
  <c r="B11041" i="1"/>
  <c r="A11041" i="1"/>
  <c r="B11040" i="1"/>
  <c r="A11040" i="1"/>
  <c r="A11039" i="1"/>
  <c r="B11038" i="1"/>
  <c r="A11038" i="1"/>
  <c r="A11037" i="1"/>
  <c r="B11036" i="1"/>
  <c r="A11036" i="1"/>
  <c r="B11035" i="1"/>
  <c r="A11035" i="1"/>
  <c r="B11034" i="1"/>
  <c r="A11034" i="1"/>
  <c r="A11033" i="1"/>
  <c r="B11032" i="1"/>
  <c r="A11032" i="1"/>
  <c r="B11031" i="1"/>
  <c r="A11031" i="1"/>
  <c r="B11030" i="1"/>
  <c r="A11030" i="1"/>
  <c r="A11029" i="1"/>
  <c r="B11028" i="1"/>
  <c r="A11028" i="1"/>
  <c r="B11027" i="1"/>
  <c r="A11027" i="1"/>
  <c r="B11026" i="1"/>
  <c r="A11026" i="1"/>
  <c r="B11025" i="1"/>
  <c r="A11025" i="1"/>
  <c r="B11024" i="1"/>
  <c r="A11024" i="1"/>
  <c r="A11023" i="1"/>
  <c r="B11022" i="1"/>
  <c r="A11022" i="1"/>
  <c r="B11021" i="1"/>
  <c r="A11021" i="1"/>
  <c r="B11020" i="1"/>
  <c r="A11020" i="1"/>
  <c r="B11019" i="1"/>
  <c r="A11019" i="1"/>
  <c r="B11018" i="1"/>
  <c r="A11018" i="1"/>
  <c r="B11017" i="1"/>
  <c r="A11017" i="1"/>
  <c r="B11016" i="1"/>
  <c r="A11016" i="1"/>
  <c r="B11015" i="1"/>
  <c r="A11015" i="1"/>
  <c r="A11014" i="1"/>
  <c r="B11013" i="1"/>
  <c r="A11013" i="1"/>
  <c r="B11012" i="1"/>
  <c r="A11012" i="1"/>
  <c r="B11011" i="1"/>
  <c r="A11011" i="1"/>
  <c r="B11010" i="1"/>
  <c r="A11010" i="1"/>
  <c r="A11009" i="1"/>
  <c r="B11008" i="1"/>
  <c r="A11008" i="1"/>
  <c r="A11007" i="1"/>
  <c r="B11006" i="1"/>
  <c r="A11006" i="1"/>
  <c r="A11005" i="1"/>
  <c r="B11004" i="1"/>
  <c r="A11004" i="1"/>
  <c r="B11003" i="1"/>
  <c r="A11003" i="1"/>
  <c r="B11002" i="1"/>
  <c r="A11002" i="1"/>
  <c r="B11001" i="1"/>
  <c r="A11001" i="1"/>
  <c r="B11000" i="1"/>
  <c r="A11000" i="1"/>
  <c r="B10999" i="1"/>
  <c r="A10999" i="1"/>
  <c r="B10998" i="1"/>
  <c r="A10998" i="1"/>
  <c r="A10997" i="1"/>
  <c r="B10996" i="1"/>
  <c r="A10996" i="1"/>
  <c r="B10995" i="1"/>
  <c r="A10995" i="1"/>
  <c r="B10994" i="1"/>
  <c r="A10994" i="1"/>
  <c r="B10993" i="1"/>
  <c r="A10993" i="1"/>
  <c r="B10992" i="1"/>
  <c r="A10992" i="1"/>
  <c r="B10991" i="1"/>
  <c r="A10991" i="1"/>
  <c r="B10990" i="1"/>
  <c r="A10990" i="1"/>
  <c r="B10989" i="1"/>
  <c r="A10989" i="1"/>
  <c r="B10988" i="1"/>
  <c r="A10988" i="1"/>
  <c r="B10987" i="1"/>
  <c r="A10987" i="1"/>
  <c r="B10986" i="1"/>
  <c r="A10986" i="1"/>
  <c r="B10985" i="1"/>
  <c r="A10985" i="1"/>
  <c r="A10984" i="1"/>
  <c r="A10983" i="1"/>
  <c r="B10982" i="1"/>
  <c r="A10982" i="1"/>
  <c r="B10981" i="1"/>
  <c r="A10981" i="1"/>
  <c r="A10980" i="1"/>
  <c r="B10979" i="1"/>
  <c r="A10979" i="1"/>
  <c r="B10978" i="1"/>
  <c r="A10978" i="1"/>
  <c r="B10977" i="1"/>
  <c r="A10977" i="1"/>
  <c r="B10976" i="1"/>
  <c r="A10976" i="1"/>
  <c r="B10975" i="1"/>
  <c r="A10975" i="1"/>
  <c r="A10974" i="1"/>
  <c r="A10973" i="1"/>
  <c r="B10972" i="1"/>
  <c r="A10972" i="1"/>
  <c r="A10971" i="1"/>
  <c r="B10970" i="1"/>
  <c r="A10970" i="1"/>
  <c r="B10969" i="1"/>
  <c r="A10969" i="1"/>
  <c r="B10968" i="1"/>
  <c r="A10968" i="1"/>
  <c r="B10967" i="1"/>
  <c r="A10967" i="1"/>
  <c r="B10966" i="1"/>
  <c r="A10966" i="1"/>
  <c r="B10965" i="1"/>
  <c r="A10965" i="1"/>
  <c r="B10964" i="1"/>
  <c r="A10964" i="1"/>
  <c r="B10963" i="1"/>
  <c r="A10963" i="1"/>
  <c r="B10962" i="1"/>
  <c r="A10962" i="1"/>
  <c r="A10961" i="1"/>
  <c r="B10960" i="1"/>
  <c r="A10960" i="1"/>
  <c r="B10959" i="1"/>
  <c r="A10959" i="1"/>
  <c r="B10958" i="1"/>
  <c r="A10958" i="1"/>
  <c r="B10957" i="1"/>
  <c r="A10957" i="1"/>
  <c r="A10956" i="1"/>
  <c r="B10955" i="1"/>
  <c r="A10955" i="1"/>
  <c r="B10954" i="1"/>
  <c r="A10954" i="1"/>
  <c r="A10953" i="1"/>
  <c r="B10952" i="1"/>
  <c r="A10952" i="1"/>
  <c r="B10951" i="1"/>
  <c r="A10951" i="1"/>
  <c r="A10950" i="1"/>
  <c r="B10949" i="1"/>
  <c r="A10949" i="1"/>
  <c r="A10948" i="1"/>
  <c r="A10947" i="1"/>
  <c r="B10946" i="1"/>
  <c r="A10946" i="1"/>
  <c r="B10945" i="1"/>
  <c r="A10945" i="1"/>
  <c r="A10944" i="1"/>
  <c r="B10943" i="1"/>
  <c r="A10943" i="1"/>
  <c r="B10942" i="1"/>
  <c r="A10942" i="1"/>
  <c r="B10941" i="1"/>
  <c r="A10941" i="1"/>
  <c r="A10940" i="1"/>
  <c r="B10939" i="1"/>
  <c r="A10939" i="1"/>
  <c r="B10938" i="1"/>
  <c r="A10938" i="1"/>
  <c r="A10937" i="1"/>
  <c r="A10936" i="1"/>
  <c r="B10935" i="1"/>
  <c r="A10935" i="1"/>
  <c r="B10934" i="1"/>
  <c r="A10934" i="1"/>
  <c r="B10933" i="1"/>
  <c r="A10933" i="1"/>
  <c r="B10932" i="1"/>
  <c r="A10932" i="1"/>
  <c r="B10931" i="1"/>
  <c r="A10931" i="1"/>
  <c r="A10930" i="1"/>
  <c r="B10929" i="1"/>
  <c r="A10929" i="1"/>
  <c r="B10928" i="1"/>
  <c r="A10928" i="1"/>
  <c r="B10927" i="1"/>
  <c r="A10927" i="1"/>
  <c r="B10926" i="1"/>
  <c r="A10926" i="1"/>
  <c r="B10925" i="1"/>
  <c r="A10925" i="1"/>
  <c r="B10924" i="1"/>
  <c r="A10924" i="1"/>
  <c r="B10923" i="1"/>
  <c r="A10923" i="1"/>
  <c r="A10922" i="1"/>
  <c r="B10921" i="1"/>
  <c r="A10921" i="1"/>
  <c r="B10920" i="1"/>
  <c r="A10920" i="1"/>
  <c r="B10919" i="1"/>
  <c r="A10919" i="1"/>
  <c r="B10918" i="1"/>
  <c r="A10918" i="1"/>
  <c r="B10917" i="1"/>
  <c r="A10917" i="1"/>
  <c r="A10916" i="1"/>
  <c r="A10915" i="1"/>
  <c r="A10914" i="1"/>
  <c r="B10913" i="1"/>
  <c r="A10913" i="1"/>
  <c r="B10912" i="1"/>
  <c r="A10912" i="1"/>
  <c r="B10911" i="1"/>
  <c r="A10911" i="1"/>
  <c r="A10910" i="1"/>
  <c r="B10909" i="1"/>
  <c r="A10909" i="1"/>
  <c r="A10908" i="1"/>
  <c r="B10907" i="1"/>
  <c r="A10907" i="1"/>
  <c r="B10906" i="1"/>
  <c r="A10906" i="1"/>
  <c r="B10905" i="1"/>
  <c r="A10905" i="1"/>
  <c r="A10904" i="1"/>
  <c r="A10903" i="1"/>
  <c r="A10902" i="1"/>
  <c r="B10901" i="1"/>
  <c r="A10901" i="1"/>
  <c r="B10900" i="1"/>
  <c r="A10900" i="1"/>
  <c r="B10899" i="1"/>
  <c r="A10899" i="1"/>
  <c r="B10898" i="1"/>
  <c r="A10898" i="1"/>
  <c r="B10897" i="1"/>
  <c r="A10897" i="1"/>
  <c r="B10896" i="1"/>
  <c r="A10896" i="1"/>
  <c r="B10895" i="1"/>
  <c r="A10895" i="1"/>
  <c r="B10894" i="1"/>
  <c r="A10894" i="1"/>
  <c r="A10893" i="1"/>
  <c r="B10892" i="1"/>
  <c r="A10892" i="1"/>
  <c r="B10891" i="1"/>
  <c r="A10891" i="1"/>
  <c r="A10890" i="1"/>
  <c r="B10889" i="1"/>
  <c r="A10889" i="1"/>
  <c r="A10888" i="1"/>
  <c r="B10887" i="1"/>
  <c r="A10887" i="1"/>
  <c r="B10886" i="1"/>
  <c r="A10886" i="1"/>
  <c r="B10885" i="1"/>
  <c r="A10885" i="1"/>
  <c r="B10884" i="1"/>
  <c r="A10884" i="1"/>
  <c r="B10883" i="1"/>
  <c r="A10883" i="1"/>
  <c r="B10882" i="1"/>
  <c r="A10882" i="1"/>
  <c r="A10881" i="1"/>
  <c r="B10880" i="1"/>
  <c r="A10880" i="1"/>
  <c r="B10879" i="1"/>
  <c r="A10879" i="1"/>
  <c r="A10878" i="1"/>
  <c r="A10877" i="1"/>
  <c r="B10876" i="1"/>
  <c r="A10876" i="1"/>
  <c r="A10875" i="1"/>
  <c r="A10874" i="1"/>
  <c r="B10873" i="1"/>
  <c r="A10873" i="1"/>
  <c r="B10872" i="1"/>
  <c r="A10872" i="1"/>
  <c r="B10871" i="1"/>
  <c r="A10871" i="1"/>
  <c r="B10870" i="1"/>
  <c r="A10870" i="1"/>
  <c r="B10869" i="1"/>
  <c r="A10869" i="1"/>
  <c r="B10868" i="1"/>
  <c r="A10868" i="1"/>
  <c r="B10867" i="1"/>
  <c r="A10867" i="1"/>
  <c r="B10866" i="1"/>
  <c r="A10866" i="1"/>
  <c r="B10865" i="1"/>
  <c r="A10865" i="1"/>
  <c r="B10864" i="1"/>
  <c r="A10864" i="1"/>
  <c r="B10863" i="1"/>
  <c r="A10863" i="1"/>
  <c r="B10862" i="1"/>
  <c r="A10862" i="1"/>
  <c r="B10861" i="1"/>
  <c r="A10861" i="1"/>
  <c r="A10860" i="1"/>
  <c r="A10859" i="1"/>
  <c r="B10858" i="1"/>
  <c r="A10858" i="1"/>
  <c r="B10857" i="1"/>
  <c r="A10857" i="1"/>
  <c r="A10856" i="1"/>
  <c r="B10855" i="1"/>
  <c r="A10855" i="1"/>
  <c r="B10854" i="1"/>
  <c r="A10854" i="1"/>
  <c r="B10853" i="1"/>
  <c r="A10853" i="1"/>
  <c r="B10852" i="1"/>
  <c r="A10852" i="1"/>
  <c r="B10851" i="1"/>
  <c r="A10851" i="1"/>
  <c r="A10850" i="1"/>
  <c r="B10849" i="1"/>
  <c r="A10849" i="1"/>
  <c r="B10848" i="1"/>
  <c r="A10848" i="1"/>
  <c r="A10847" i="1"/>
  <c r="B10846" i="1"/>
  <c r="A10846" i="1"/>
  <c r="B10845" i="1"/>
  <c r="A10845" i="1"/>
  <c r="B10844" i="1"/>
  <c r="A10844" i="1"/>
  <c r="B10843" i="1"/>
  <c r="A10843" i="1"/>
  <c r="B10842" i="1"/>
  <c r="A10842" i="1"/>
  <c r="B10841" i="1"/>
  <c r="A10841" i="1"/>
  <c r="B10840" i="1"/>
  <c r="A10840" i="1"/>
  <c r="A10839" i="1"/>
  <c r="A10838" i="1"/>
  <c r="B10837" i="1"/>
  <c r="A10837" i="1"/>
  <c r="B10836" i="1"/>
  <c r="A10836" i="1"/>
  <c r="B10835" i="1"/>
  <c r="A10835" i="1"/>
  <c r="A10834" i="1"/>
  <c r="A10833" i="1"/>
  <c r="B10832" i="1"/>
  <c r="A10832" i="1"/>
  <c r="B10831" i="1"/>
  <c r="A10831" i="1"/>
  <c r="B10830" i="1"/>
  <c r="A10830" i="1"/>
  <c r="A10829" i="1"/>
  <c r="B10828" i="1"/>
  <c r="A10828" i="1"/>
  <c r="B10827" i="1"/>
  <c r="A10827" i="1"/>
  <c r="B10826" i="1"/>
  <c r="A10826" i="1"/>
  <c r="B10825" i="1"/>
  <c r="A10825" i="1"/>
  <c r="B10824" i="1"/>
  <c r="A10824" i="1"/>
  <c r="B10823" i="1"/>
  <c r="A10823" i="1"/>
  <c r="B10822" i="1"/>
  <c r="A10822" i="1"/>
  <c r="B10821" i="1"/>
  <c r="A10821" i="1"/>
  <c r="B10820" i="1"/>
  <c r="A10820" i="1"/>
  <c r="A10819" i="1"/>
  <c r="B10818" i="1"/>
  <c r="A10818" i="1"/>
  <c r="B10817" i="1"/>
  <c r="A10817" i="1"/>
  <c r="A10816" i="1"/>
  <c r="B10815" i="1"/>
  <c r="A10815" i="1"/>
  <c r="B10814" i="1"/>
  <c r="A10814" i="1"/>
  <c r="B10813" i="1"/>
  <c r="A10813" i="1"/>
  <c r="B10812" i="1"/>
  <c r="A10812" i="1"/>
  <c r="A10811" i="1"/>
  <c r="A10810" i="1"/>
  <c r="B10809" i="1"/>
  <c r="A10809" i="1"/>
  <c r="B10808" i="1"/>
  <c r="A10808" i="1"/>
  <c r="B10807" i="1"/>
  <c r="A10807" i="1"/>
  <c r="B10806" i="1"/>
  <c r="A10806" i="1"/>
  <c r="B10805" i="1"/>
  <c r="A10805" i="1"/>
  <c r="A10804" i="1"/>
  <c r="B10803" i="1"/>
  <c r="A10803" i="1"/>
  <c r="B10802" i="1"/>
  <c r="A10802" i="1"/>
  <c r="B10801" i="1"/>
  <c r="A10801" i="1"/>
  <c r="B10800" i="1"/>
  <c r="A10800" i="1"/>
  <c r="B10799" i="1"/>
  <c r="A10799" i="1"/>
  <c r="B10798" i="1"/>
  <c r="A10798" i="1"/>
  <c r="B10797" i="1"/>
  <c r="A10797" i="1"/>
  <c r="B10796" i="1"/>
  <c r="A10796" i="1"/>
  <c r="B10795" i="1"/>
  <c r="A10795" i="1"/>
  <c r="A10794" i="1"/>
  <c r="A10793" i="1"/>
  <c r="B10792" i="1"/>
  <c r="A10792" i="1"/>
  <c r="B10791" i="1"/>
  <c r="A10791" i="1"/>
  <c r="A10790" i="1"/>
  <c r="B10789" i="1"/>
  <c r="A10789" i="1"/>
  <c r="B10788" i="1"/>
  <c r="A10788" i="1"/>
  <c r="B10787" i="1"/>
  <c r="A10787" i="1"/>
  <c r="B10786" i="1"/>
  <c r="A10786" i="1"/>
  <c r="A10785" i="1"/>
  <c r="B10784" i="1"/>
  <c r="A10784" i="1"/>
  <c r="B10783" i="1"/>
  <c r="A10783" i="1"/>
  <c r="B10782" i="1"/>
  <c r="A10782" i="1"/>
  <c r="B10781" i="1"/>
  <c r="A10781" i="1"/>
  <c r="A10780" i="1"/>
  <c r="B10779" i="1"/>
  <c r="A10779" i="1"/>
  <c r="B10778" i="1"/>
  <c r="A10778" i="1"/>
  <c r="B10777" i="1"/>
  <c r="A10777" i="1"/>
  <c r="B10776" i="1"/>
  <c r="A10776" i="1"/>
  <c r="A10775" i="1"/>
  <c r="B10774" i="1"/>
  <c r="A10774" i="1"/>
  <c r="B10773" i="1"/>
  <c r="A10773" i="1"/>
  <c r="B10772" i="1"/>
  <c r="A10772" i="1"/>
  <c r="B10771" i="1"/>
  <c r="A10771" i="1"/>
  <c r="A10770" i="1"/>
  <c r="A10769" i="1"/>
  <c r="A10768" i="1"/>
  <c r="B10767" i="1"/>
  <c r="A10767" i="1"/>
  <c r="B10766" i="1"/>
  <c r="A10766" i="1"/>
  <c r="A10765" i="1"/>
  <c r="B10764" i="1"/>
  <c r="A10764" i="1"/>
  <c r="B10763" i="1"/>
  <c r="A10763" i="1"/>
  <c r="B10762" i="1"/>
  <c r="A10762" i="1"/>
  <c r="B10761" i="1"/>
  <c r="A10761" i="1"/>
  <c r="B10760" i="1"/>
  <c r="A10760" i="1"/>
  <c r="B10759" i="1"/>
  <c r="A10759" i="1"/>
  <c r="A10758" i="1"/>
  <c r="B10757" i="1"/>
  <c r="A10757" i="1"/>
  <c r="B10756" i="1"/>
  <c r="A10756" i="1"/>
  <c r="B10755" i="1"/>
  <c r="A10755" i="1"/>
  <c r="B10754" i="1"/>
  <c r="A10754" i="1"/>
  <c r="B10753" i="1"/>
  <c r="A10753" i="1"/>
  <c r="B10752" i="1"/>
  <c r="A10752" i="1"/>
  <c r="B10751" i="1"/>
  <c r="A10751" i="1"/>
  <c r="B10750" i="1"/>
  <c r="A10750" i="1"/>
  <c r="B10749" i="1"/>
  <c r="A10749" i="1"/>
  <c r="B10748" i="1"/>
  <c r="A10748" i="1"/>
  <c r="B10747" i="1"/>
  <c r="A10747" i="1"/>
  <c r="B10746" i="1"/>
  <c r="A10746" i="1"/>
  <c r="B10745" i="1"/>
  <c r="A10745" i="1"/>
  <c r="B10744" i="1"/>
  <c r="A10744" i="1"/>
  <c r="A10743" i="1"/>
  <c r="A10742" i="1"/>
  <c r="B10741" i="1"/>
  <c r="A10741" i="1"/>
  <c r="B10740" i="1"/>
  <c r="A10740" i="1"/>
  <c r="B10739" i="1"/>
  <c r="A10739" i="1"/>
  <c r="A10738" i="1"/>
  <c r="B10737" i="1"/>
  <c r="A10737" i="1"/>
  <c r="B10736" i="1"/>
  <c r="A10736" i="1"/>
  <c r="A10735" i="1"/>
  <c r="B10734" i="1"/>
  <c r="A10734" i="1"/>
  <c r="A10733" i="1"/>
  <c r="B10732" i="1"/>
  <c r="A10732" i="1"/>
  <c r="A10731" i="1"/>
  <c r="B10730" i="1"/>
  <c r="A10730" i="1"/>
  <c r="B10729" i="1"/>
  <c r="A10729" i="1"/>
  <c r="B10728" i="1"/>
  <c r="A10728" i="1"/>
  <c r="A10727" i="1"/>
  <c r="A10726" i="1"/>
  <c r="B10725" i="1"/>
  <c r="A10725" i="1"/>
  <c r="B10724" i="1"/>
  <c r="A10724" i="1"/>
  <c r="B10723" i="1"/>
  <c r="A10723" i="1"/>
  <c r="B10722" i="1"/>
  <c r="A10722" i="1"/>
  <c r="B10721" i="1"/>
  <c r="A10721" i="1"/>
  <c r="B10720" i="1"/>
  <c r="A10720" i="1"/>
  <c r="B10719" i="1"/>
  <c r="A10719" i="1"/>
  <c r="B10718" i="1"/>
  <c r="A10718" i="1"/>
  <c r="B10717" i="1"/>
  <c r="A10717" i="1"/>
  <c r="B10716" i="1"/>
  <c r="A10716" i="1"/>
  <c r="B10715" i="1"/>
  <c r="A10715" i="1"/>
  <c r="A10714" i="1"/>
  <c r="B10713" i="1"/>
  <c r="A10713" i="1"/>
  <c r="B10712" i="1"/>
  <c r="A10712" i="1"/>
  <c r="B10711" i="1"/>
  <c r="A10711" i="1"/>
  <c r="A10710" i="1"/>
  <c r="B10709" i="1"/>
  <c r="A10709" i="1"/>
  <c r="B10708" i="1"/>
  <c r="A10708" i="1"/>
  <c r="A10707" i="1"/>
  <c r="B10706" i="1"/>
  <c r="A10706" i="1"/>
  <c r="A10705" i="1"/>
  <c r="B10704" i="1"/>
  <c r="A10704" i="1"/>
  <c r="B10703" i="1"/>
  <c r="A10703" i="1"/>
  <c r="A10702" i="1"/>
  <c r="B10701" i="1"/>
  <c r="A10701" i="1"/>
  <c r="A10700" i="1"/>
  <c r="B10699" i="1"/>
  <c r="A10699" i="1"/>
  <c r="B10698" i="1"/>
  <c r="A10698" i="1"/>
  <c r="B10697" i="1"/>
  <c r="A10697" i="1"/>
  <c r="B10696" i="1"/>
  <c r="A10696" i="1"/>
  <c r="B10695" i="1"/>
  <c r="A10695" i="1"/>
  <c r="B10694" i="1"/>
  <c r="A10694" i="1"/>
  <c r="B10693" i="1"/>
  <c r="A10693" i="1"/>
  <c r="B10692" i="1"/>
  <c r="A10692" i="1"/>
  <c r="B10691" i="1"/>
  <c r="A10691" i="1"/>
  <c r="B10690" i="1"/>
  <c r="A10690" i="1"/>
  <c r="A10689" i="1"/>
  <c r="B10688" i="1"/>
  <c r="A10688" i="1"/>
  <c r="B10687" i="1"/>
  <c r="A10687" i="1"/>
  <c r="B10686" i="1"/>
  <c r="A10686" i="1"/>
  <c r="A10685" i="1"/>
  <c r="B10684" i="1"/>
  <c r="A10684" i="1"/>
  <c r="B10683" i="1"/>
  <c r="A10683" i="1"/>
  <c r="A10682" i="1"/>
  <c r="B10681" i="1"/>
  <c r="A10681" i="1"/>
  <c r="B10680" i="1"/>
  <c r="A10680" i="1"/>
  <c r="A10679" i="1"/>
  <c r="A10678" i="1"/>
  <c r="B10677" i="1"/>
  <c r="A10677" i="1"/>
  <c r="B10676" i="1"/>
  <c r="A10676" i="1"/>
  <c r="B10675" i="1"/>
  <c r="A10675" i="1"/>
  <c r="B10674" i="1"/>
  <c r="A10674" i="1"/>
  <c r="A10673" i="1"/>
  <c r="B10672" i="1"/>
  <c r="A10672" i="1"/>
  <c r="B10671" i="1"/>
  <c r="A10671" i="1"/>
  <c r="B10670" i="1"/>
  <c r="A10670" i="1"/>
  <c r="B10669" i="1"/>
  <c r="A10669" i="1"/>
  <c r="B10668" i="1"/>
  <c r="A10668" i="1"/>
  <c r="B10667" i="1"/>
  <c r="A10667" i="1"/>
  <c r="B10666" i="1"/>
  <c r="A10666" i="1"/>
  <c r="A10665" i="1"/>
  <c r="B10664" i="1"/>
  <c r="A10664" i="1"/>
  <c r="B10663" i="1"/>
  <c r="A10663" i="1"/>
  <c r="B10662" i="1"/>
  <c r="A10662" i="1"/>
  <c r="A10661" i="1"/>
  <c r="B10660" i="1"/>
  <c r="A10660" i="1"/>
  <c r="B10659" i="1"/>
  <c r="A10659" i="1"/>
  <c r="B10658" i="1"/>
  <c r="A10658" i="1"/>
  <c r="A10657" i="1"/>
  <c r="B10656" i="1"/>
  <c r="A10656" i="1"/>
  <c r="B10655" i="1"/>
  <c r="A10655" i="1"/>
  <c r="A10654" i="1"/>
  <c r="B10653" i="1"/>
  <c r="A10653" i="1"/>
  <c r="B10652" i="1"/>
  <c r="A10652" i="1"/>
  <c r="B10651" i="1"/>
  <c r="A10651" i="1"/>
  <c r="B10650" i="1"/>
  <c r="A10650" i="1"/>
  <c r="B10649" i="1"/>
  <c r="A10649" i="1"/>
  <c r="B10648" i="1"/>
  <c r="A10648" i="1"/>
  <c r="B10647" i="1"/>
  <c r="A10647" i="1"/>
  <c r="B10646" i="1"/>
  <c r="A10646" i="1"/>
  <c r="B10645" i="1"/>
  <c r="A10645" i="1"/>
  <c r="B10644" i="1"/>
  <c r="A10644" i="1"/>
  <c r="B10643" i="1"/>
  <c r="A10643" i="1"/>
  <c r="B10642" i="1"/>
  <c r="A10642" i="1"/>
  <c r="B10641" i="1"/>
  <c r="A10641" i="1"/>
  <c r="A10640" i="1"/>
  <c r="B10639" i="1"/>
  <c r="A10639" i="1"/>
  <c r="A10638" i="1"/>
  <c r="A10637" i="1"/>
  <c r="B10636" i="1"/>
  <c r="A10636" i="1"/>
  <c r="B10635" i="1"/>
  <c r="A10635" i="1"/>
  <c r="B10634" i="1"/>
  <c r="A10634" i="1"/>
  <c r="A10633" i="1"/>
  <c r="B10632" i="1"/>
  <c r="A10632" i="1"/>
  <c r="B10631" i="1"/>
  <c r="A10631" i="1"/>
  <c r="B10630" i="1"/>
  <c r="A10630" i="1"/>
  <c r="B10629" i="1"/>
  <c r="A10629" i="1"/>
  <c r="A10628" i="1"/>
  <c r="B10627" i="1"/>
  <c r="A10627" i="1"/>
  <c r="B10626" i="1"/>
  <c r="A10626" i="1"/>
  <c r="A10625" i="1"/>
  <c r="B10624" i="1"/>
  <c r="A10624" i="1"/>
  <c r="B10623" i="1"/>
  <c r="A10623" i="1"/>
  <c r="B10622" i="1"/>
  <c r="A10622" i="1"/>
  <c r="B10621" i="1"/>
  <c r="A10621" i="1"/>
  <c r="A10620" i="1"/>
  <c r="A10619" i="1"/>
  <c r="B10618" i="1"/>
  <c r="A10618" i="1"/>
  <c r="B10617" i="1"/>
  <c r="A10617" i="1"/>
  <c r="B10616" i="1"/>
  <c r="A10616" i="1"/>
  <c r="B10615" i="1"/>
  <c r="A10615" i="1"/>
  <c r="B10614" i="1"/>
  <c r="A10614" i="1"/>
  <c r="B10613" i="1"/>
  <c r="A10613" i="1"/>
  <c r="B10612" i="1"/>
  <c r="A10612" i="1"/>
  <c r="B10611" i="1"/>
  <c r="A10611" i="1"/>
  <c r="B10610" i="1"/>
  <c r="A10610" i="1"/>
  <c r="B10609" i="1"/>
  <c r="A10609" i="1"/>
  <c r="B10608" i="1"/>
  <c r="A10608" i="1"/>
  <c r="A10607" i="1"/>
  <c r="A10606" i="1"/>
  <c r="B10605" i="1"/>
  <c r="A10605" i="1"/>
  <c r="B10604" i="1"/>
  <c r="A10604" i="1"/>
  <c r="B10603" i="1"/>
  <c r="A10603" i="1"/>
  <c r="B10602" i="1"/>
  <c r="A10602" i="1"/>
  <c r="B10601" i="1"/>
  <c r="A10601" i="1"/>
  <c r="B10600" i="1"/>
  <c r="A10600" i="1"/>
  <c r="B10599" i="1"/>
  <c r="A10599" i="1"/>
  <c r="B10598" i="1"/>
  <c r="A10598" i="1"/>
  <c r="B10597" i="1"/>
  <c r="A10597" i="1"/>
  <c r="B10596" i="1"/>
  <c r="A10596" i="1"/>
  <c r="A10595" i="1"/>
  <c r="B10594" i="1"/>
  <c r="A10594" i="1"/>
  <c r="A10593" i="1"/>
  <c r="A10592" i="1"/>
  <c r="A10591" i="1"/>
  <c r="B10590" i="1"/>
  <c r="A10590" i="1"/>
  <c r="B10589" i="1"/>
  <c r="A10589" i="1"/>
  <c r="B10588" i="1"/>
  <c r="A10588" i="1"/>
  <c r="B10587" i="1"/>
  <c r="A10587" i="1"/>
  <c r="B10586" i="1"/>
  <c r="A10586" i="1"/>
  <c r="A10585" i="1"/>
  <c r="A10584" i="1"/>
  <c r="B10583" i="1"/>
  <c r="A10583" i="1"/>
  <c r="B10582" i="1"/>
  <c r="A10582" i="1"/>
  <c r="B10581" i="1"/>
  <c r="A10581" i="1"/>
  <c r="B10580" i="1"/>
  <c r="A10580" i="1"/>
  <c r="B10579" i="1"/>
  <c r="A10579" i="1"/>
  <c r="A10578" i="1"/>
  <c r="B10577" i="1"/>
  <c r="A10577" i="1"/>
  <c r="B10576" i="1"/>
  <c r="A10576" i="1"/>
  <c r="B10575" i="1"/>
  <c r="A10575" i="1"/>
  <c r="B10574" i="1"/>
  <c r="A10574" i="1"/>
  <c r="B10573" i="1"/>
  <c r="A10573" i="1"/>
  <c r="A10572" i="1"/>
  <c r="B10571" i="1"/>
  <c r="A10571" i="1"/>
  <c r="A10570" i="1"/>
  <c r="B10569" i="1"/>
  <c r="A10569" i="1"/>
  <c r="B10568" i="1"/>
  <c r="A10568" i="1"/>
  <c r="B10567" i="1"/>
  <c r="A10567" i="1"/>
  <c r="B10566" i="1"/>
  <c r="A10566" i="1"/>
  <c r="B10565" i="1"/>
  <c r="A10565" i="1"/>
  <c r="B10564" i="1"/>
  <c r="A10564" i="1"/>
  <c r="B10563" i="1"/>
  <c r="A10563" i="1"/>
  <c r="A10562" i="1"/>
  <c r="A10561" i="1"/>
  <c r="A10560" i="1"/>
  <c r="A10559" i="1"/>
  <c r="B10558" i="1"/>
  <c r="A10558" i="1"/>
  <c r="B10557" i="1"/>
  <c r="A10557" i="1"/>
  <c r="A10556" i="1"/>
  <c r="B10555" i="1"/>
  <c r="A10555" i="1"/>
  <c r="A10554" i="1"/>
  <c r="B10553" i="1"/>
  <c r="A10553" i="1"/>
  <c r="B10552" i="1"/>
  <c r="A10552" i="1"/>
  <c r="B10551" i="1"/>
  <c r="A10551" i="1"/>
  <c r="B10550" i="1"/>
  <c r="A10550" i="1"/>
  <c r="B10549" i="1"/>
  <c r="A10549" i="1"/>
  <c r="A10548" i="1"/>
  <c r="B10547" i="1"/>
  <c r="A10547" i="1"/>
  <c r="B10546" i="1"/>
  <c r="A10546" i="1"/>
  <c r="B10545" i="1"/>
  <c r="A10545" i="1"/>
  <c r="B10544" i="1"/>
  <c r="A10544" i="1"/>
  <c r="B10543" i="1"/>
  <c r="A10543" i="1"/>
  <c r="B10542" i="1"/>
  <c r="A10542" i="1"/>
  <c r="B10541" i="1"/>
  <c r="A10541" i="1"/>
  <c r="B10540" i="1"/>
  <c r="A10540" i="1"/>
  <c r="B10539" i="1"/>
  <c r="A10539" i="1"/>
  <c r="B10538" i="1"/>
  <c r="A10538" i="1"/>
  <c r="B10537" i="1"/>
  <c r="A10537" i="1"/>
  <c r="B10536" i="1"/>
  <c r="A10536" i="1"/>
  <c r="A10535" i="1"/>
  <c r="B10534" i="1"/>
  <c r="A10534" i="1"/>
  <c r="B10533" i="1"/>
  <c r="A10533" i="1"/>
  <c r="A10532" i="1"/>
  <c r="B10531" i="1"/>
  <c r="A10531" i="1"/>
  <c r="B10530" i="1"/>
  <c r="A10530" i="1"/>
  <c r="B10529" i="1"/>
  <c r="A10529" i="1"/>
  <c r="B10528" i="1"/>
  <c r="A10528" i="1"/>
  <c r="B10527" i="1"/>
  <c r="A10527" i="1"/>
  <c r="B10526" i="1"/>
  <c r="A10526" i="1"/>
  <c r="A10525" i="1"/>
  <c r="B10524" i="1"/>
  <c r="A10524" i="1"/>
  <c r="A10523" i="1"/>
  <c r="B10522" i="1"/>
  <c r="A10522" i="1"/>
  <c r="B10521" i="1"/>
  <c r="A10521" i="1"/>
  <c r="B10520" i="1"/>
  <c r="A10520" i="1"/>
  <c r="A10519" i="1"/>
  <c r="A10518" i="1"/>
  <c r="B10517" i="1"/>
  <c r="A10517" i="1"/>
  <c r="B10516" i="1"/>
  <c r="A10516" i="1"/>
  <c r="B10515" i="1"/>
  <c r="A10515" i="1"/>
  <c r="B10514" i="1"/>
  <c r="A10514" i="1"/>
  <c r="B10513" i="1"/>
  <c r="A10513" i="1"/>
  <c r="B10512" i="1"/>
  <c r="A10512" i="1"/>
  <c r="B10511" i="1"/>
  <c r="A10511" i="1"/>
  <c r="B10510" i="1"/>
  <c r="A10510" i="1"/>
  <c r="A10509" i="1"/>
  <c r="A10508" i="1"/>
  <c r="B10507" i="1"/>
  <c r="A10507" i="1"/>
  <c r="B10506" i="1"/>
  <c r="A10506" i="1"/>
  <c r="A10505" i="1"/>
  <c r="A10504" i="1"/>
  <c r="B10503" i="1"/>
  <c r="A10503" i="1"/>
  <c r="B10502" i="1"/>
  <c r="A10502" i="1"/>
  <c r="B10501" i="1"/>
  <c r="A10501" i="1"/>
  <c r="A10500" i="1"/>
  <c r="A10499" i="1"/>
  <c r="B10498" i="1"/>
  <c r="A10498" i="1"/>
  <c r="A10497" i="1"/>
  <c r="B10496" i="1"/>
  <c r="A10496" i="1"/>
  <c r="A10495" i="1"/>
  <c r="B10494" i="1"/>
  <c r="A10494" i="1"/>
  <c r="B10493" i="1"/>
  <c r="A10493" i="1"/>
  <c r="A10492" i="1"/>
  <c r="B10491" i="1"/>
  <c r="A10491" i="1"/>
  <c r="A10490" i="1"/>
  <c r="B10489" i="1"/>
  <c r="A10489" i="1"/>
  <c r="B10488" i="1"/>
  <c r="A10488" i="1"/>
  <c r="B10487" i="1"/>
  <c r="A10487" i="1"/>
  <c r="B10486" i="1"/>
  <c r="A10486" i="1"/>
  <c r="B10485" i="1"/>
  <c r="A10485" i="1"/>
  <c r="B10484" i="1"/>
  <c r="A10484" i="1"/>
  <c r="B10483" i="1"/>
  <c r="A10483" i="1"/>
  <c r="B10482" i="1"/>
  <c r="A10482" i="1"/>
  <c r="B10481" i="1"/>
  <c r="A10481" i="1"/>
  <c r="A10480" i="1"/>
  <c r="B10479" i="1"/>
  <c r="A10479" i="1"/>
  <c r="A10478" i="1"/>
  <c r="A10477" i="1"/>
  <c r="B10476" i="1"/>
  <c r="A10476" i="1"/>
  <c r="B10475" i="1"/>
  <c r="A10475" i="1"/>
  <c r="B10474" i="1"/>
  <c r="A10474" i="1"/>
  <c r="A10473" i="1"/>
  <c r="B10472" i="1"/>
  <c r="A10472" i="1"/>
  <c r="B10471" i="1"/>
  <c r="A10471" i="1"/>
  <c r="B10470" i="1"/>
  <c r="A10470" i="1"/>
  <c r="B10469" i="1"/>
  <c r="A10469" i="1"/>
  <c r="B10468" i="1"/>
  <c r="A10468" i="1"/>
  <c r="B10467" i="1"/>
  <c r="A10467" i="1"/>
  <c r="A10466" i="1"/>
  <c r="A10465" i="1"/>
  <c r="B10464" i="1"/>
  <c r="A10464" i="1"/>
  <c r="A10463" i="1"/>
  <c r="B10462" i="1"/>
  <c r="A10462" i="1"/>
  <c r="B10461" i="1"/>
  <c r="A10461" i="1"/>
  <c r="B10460" i="1"/>
  <c r="A10460" i="1"/>
  <c r="B10459" i="1"/>
  <c r="A10459" i="1"/>
  <c r="B10458" i="1"/>
  <c r="A10458" i="1"/>
  <c r="A10457" i="1"/>
  <c r="B10456" i="1"/>
  <c r="A10456" i="1"/>
  <c r="B10455" i="1"/>
  <c r="A10455" i="1"/>
  <c r="B10454" i="1"/>
  <c r="A10454" i="1"/>
  <c r="B10453" i="1"/>
  <c r="A10453" i="1"/>
  <c r="B10452" i="1"/>
  <c r="A10452" i="1"/>
  <c r="B10451" i="1"/>
  <c r="A10451" i="1"/>
  <c r="B10450" i="1"/>
  <c r="A10450" i="1"/>
  <c r="B10449" i="1"/>
  <c r="A10449" i="1"/>
  <c r="B10448" i="1"/>
  <c r="A10448" i="1"/>
  <c r="B10447" i="1"/>
  <c r="A10447" i="1"/>
  <c r="B10446" i="1"/>
  <c r="A10446" i="1"/>
  <c r="A10445" i="1"/>
  <c r="A10444" i="1"/>
  <c r="B10443" i="1"/>
  <c r="A10443" i="1"/>
  <c r="B10442" i="1"/>
  <c r="A10442" i="1"/>
  <c r="A10441" i="1"/>
  <c r="B10440" i="1"/>
  <c r="A10440" i="1"/>
  <c r="B10439" i="1"/>
  <c r="A10439" i="1"/>
  <c r="B10438" i="1"/>
  <c r="A10438" i="1"/>
  <c r="B10437" i="1"/>
  <c r="A10437" i="1"/>
  <c r="B10436" i="1"/>
  <c r="A10436" i="1"/>
  <c r="B10435" i="1"/>
  <c r="A10435" i="1"/>
  <c r="B10434" i="1"/>
  <c r="A10434" i="1"/>
  <c r="B10433" i="1"/>
  <c r="A10433" i="1"/>
  <c r="B10432" i="1"/>
  <c r="A10432" i="1"/>
  <c r="A10431" i="1"/>
  <c r="B10430" i="1"/>
  <c r="A10430" i="1"/>
  <c r="B10429" i="1"/>
  <c r="A10429" i="1"/>
  <c r="A10428" i="1"/>
  <c r="A10427" i="1"/>
  <c r="A10426" i="1"/>
  <c r="A10425" i="1"/>
  <c r="B10424" i="1"/>
  <c r="A10424" i="1"/>
  <c r="B10423" i="1"/>
  <c r="A10423" i="1"/>
  <c r="A10422" i="1"/>
  <c r="B10421" i="1"/>
  <c r="A10421" i="1"/>
  <c r="B10420" i="1"/>
  <c r="A10420" i="1"/>
  <c r="B10419" i="1"/>
  <c r="A10419" i="1"/>
  <c r="B10418" i="1"/>
  <c r="A10418" i="1"/>
  <c r="B10417" i="1"/>
  <c r="A10417" i="1"/>
  <c r="B10416" i="1"/>
  <c r="A10416" i="1"/>
  <c r="B10415" i="1"/>
  <c r="A10415" i="1"/>
  <c r="A10414" i="1"/>
  <c r="B10413" i="1"/>
  <c r="A10413" i="1"/>
  <c r="B10412" i="1"/>
  <c r="A10412" i="1"/>
  <c r="B10411" i="1"/>
  <c r="A10411" i="1"/>
  <c r="B10410" i="1"/>
  <c r="A10410" i="1"/>
  <c r="B10409" i="1"/>
  <c r="A10409" i="1"/>
  <c r="B10408" i="1"/>
  <c r="A10408" i="1"/>
  <c r="A10407" i="1"/>
  <c r="B10406" i="1"/>
  <c r="A10406" i="1"/>
  <c r="B10405" i="1"/>
  <c r="A10405" i="1"/>
  <c r="A10404" i="1"/>
  <c r="B10403" i="1"/>
  <c r="A10403" i="1"/>
  <c r="A10402" i="1"/>
  <c r="B10401" i="1"/>
  <c r="A10401" i="1"/>
  <c r="B10400" i="1"/>
  <c r="A10400" i="1"/>
  <c r="A10399" i="1"/>
  <c r="A10398" i="1"/>
  <c r="B10397" i="1"/>
  <c r="A10397" i="1"/>
  <c r="A10396" i="1"/>
  <c r="B10395" i="1"/>
  <c r="A10395" i="1"/>
  <c r="B10394" i="1"/>
  <c r="A10394" i="1"/>
  <c r="B10393" i="1"/>
  <c r="A10393" i="1"/>
  <c r="B10392" i="1"/>
  <c r="A10392" i="1"/>
  <c r="B10391" i="1"/>
  <c r="A10391" i="1"/>
  <c r="B10390" i="1"/>
  <c r="A10390" i="1"/>
  <c r="A10389" i="1"/>
  <c r="B10388" i="1"/>
  <c r="A10388" i="1"/>
  <c r="B10387" i="1"/>
  <c r="A10387" i="1"/>
  <c r="B10386" i="1"/>
  <c r="A10386" i="1"/>
  <c r="A10385" i="1"/>
  <c r="A10384" i="1"/>
  <c r="B10383" i="1"/>
  <c r="A10383" i="1"/>
  <c r="B10382" i="1"/>
  <c r="A10382" i="1"/>
  <c r="B10381" i="1"/>
  <c r="A10381" i="1"/>
  <c r="A10380" i="1"/>
  <c r="B10379" i="1"/>
  <c r="A10379" i="1"/>
  <c r="B10378" i="1"/>
  <c r="A10378" i="1"/>
  <c r="B10377" i="1"/>
  <c r="A10377" i="1"/>
  <c r="A10376" i="1"/>
  <c r="B10375" i="1"/>
  <c r="A10375" i="1"/>
  <c r="B10374" i="1"/>
  <c r="A10374" i="1"/>
  <c r="B10373" i="1"/>
  <c r="A10373" i="1"/>
  <c r="B10372" i="1"/>
  <c r="A10372" i="1"/>
  <c r="A10371" i="1"/>
  <c r="B10370" i="1"/>
  <c r="A10370" i="1"/>
  <c r="A10369" i="1"/>
  <c r="B10368" i="1"/>
  <c r="A10368" i="1"/>
  <c r="B10367" i="1"/>
  <c r="A10367" i="1"/>
  <c r="B10366" i="1"/>
  <c r="A10366" i="1"/>
  <c r="B10365" i="1"/>
  <c r="A10365" i="1"/>
  <c r="A10364" i="1"/>
  <c r="B10363" i="1"/>
  <c r="A10363" i="1"/>
  <c r="A10362" i="1"/>
  <c r="A10361" i="1"/>
  <c r="B10360" i="1"/>
  <c r="A10360" i="1"/>
  <c r="B10359" i="1"/>
  <c r="A10359" i="1"/>
  <c r="B10358" i="1"/>
  <c r="A10358" i="1"/>
  <c r="B10357" i="1"/>
  <c r="A10357" i="1"/>
  <c r="A10356" i="1"/>
  <c r="A10355" i="1"/>
  <c r="B10354" i="1"/>
  <c r="A10354" i="1"/>
  <c r="A10353" i="1"/>
  <c r="B10352" i="1"/>
  <c r="A10352" i="1"/>
  <c r="A10351" i="1"/>
  <c r="A10350" i="1"/>
  <c r="B10349" i="1"/>
  <c r="A10349" i="1"/>
  <c r="B10348" i="1"/>
  <c r="A10348" i="1"/>
  <c r="B10347" i="1"/>
  <c r="A10347" i="1"/>
  <c r="B10346" i="1"/>
  <c r="A10346" i="1"/>
  <c r="B10345" i="1"/>
  <c r="A10345" i="1"/>
  <c r="B10344" i="1"/>
  <c r="A10344" i="1"/>
  <c r="B10343" i="1"/>
  <c r="A10343" i="1"/>
  <c r="B10342" i="1"/>
  <c r="A10342" i="1"/>
  <c r="A10341" i="1"/>
  <c r="A10340" i="1"/>
  <c r="B10339" i="1"/>
  <c r="A10339" i="1"/>
  <c r="B10338" i="1"/>
  <c r="A10338" i="1"/>
  <c r="A10337" i="1"/>
  <c r="B10336" i="1"/>
  <c r="A10336" i="1"/>
  <c r="B10335" i="1"/>
  <c r="A10335" i="1"/>
  <c r="B10334" i="1"/>
  <c r="A10334" i="1"/>
  <c r="B10333" i="1"/>
  <c r="A10333" i="1"/>
  <c r="A10332" i="1"/>
  <c r="B10331" i="1"/>
  <c r="A10331" i="1"/>
  <c r="A10330" i="1"/>
  <c r="B10329" i="1"/>
  <c r="A10329" i="1"/>
  <c r="B10328" i="1"/>
  <c r="A10328" i="1"/>
  <c r="A10327" i="1"/>
  <c r="B10326" i="1"/>
  <c r="A10326" i="1"/>
  <c r="B10325" i="1"/>
  <c r="A10325" i="1"/>
  <c r="B10324" i="1"/>
  <c r="A10324" i="1"/>
  <c r="B10323" i="1"/>
  <c r="A10323" i="1"/>
  <c r="B10322" i="1"/>
  <c r="A10322" i="1"/>
  <c r="B10321" i="1"/>
  <c r="A10321" i="1"/>
  <c r="B10320" i="1"/>
  <c r="A10320" i="1"/>
  <c r="B10319" i="1"/>
  <c r="A10319" i="1"/>
  <c r="B10318" i="1"/>
  <c r="A10318" i="1"/>
  <c r="B10317" i="1"/>
  <c r="A10317" i="1"/>
  <c r="B10316" i="1"/>
  <c r="A10316" i="1"/>
  <c r="B10315" i="1"/>
  <c r="A10315" i="1"/>
  <c r="B10314" i="1"/>
  <c r="A10314" i="1"/>
  <c r="A10313" i="1"/>
  <c r="A10312" i="1"/>
  <c r="A10311" i="1"/>
  <c r="B10310" i="1"/>
  <c r="A10310" i="1"/>
  <c r="B10309" i="1"/>
  <c r="A10309" i="1"/>
  <c r="B10308" i="1"/>
  <c r="A10308" i="1"/>
  <c r="B10307" i="1"/>
  <c r="A10307" i="1"/>
  <c r="B10306" i="1"/>
  <c r="A10306" i="1"/>
  <c r="B10305" i="1"/>
  <c r="A10305" i="1"/>
  <c r="B10304" i="1"/>
  <c r="A10304" i="1"/>
  <c r="A10303" i="1"/>
  <c r="A10302" i="1"/>
  <c r="B10301" i="1"/>
  <c r="A10301" i="1"/>
  <c r="B10300" i="1"/>
  <c r="A10300" i="1"/>
  <c r="A10299" i="1"/>
  <c r="B10298" i="1"/>
  <c r="A10298" i="1"/>
  <c r="A10297" i="1"/>
  <c r="B10296" i="1"/>
  <c r="A10296" i="1"/>
  <c r="B10295" i="1"/>
  <c r="A10295" i="1"/>
  <c r="B10294" i="1"/>
  <c r="A10294" i="1"/>
  <c r="B10293" i="1"/>
  <c r="A10293" i="1"/>
  <c r="B10292" i="1"/>
  <c r="A10292" i="1"/>
  <c r="A10291" i="1"/>
  <c r="B10290" i="1"/>
  <c r="A10290" i="1"/>
  <c r="B10289" i="1"/>
  <c r="A10289" i="1"/>
  <c r="B10288" i="1"/>
  <c r="A10288" i="1"/>
  <c r="B10287" i="1"/>
  <c r="A10287" i="1"/>
  <c r="B10286" i="1"/>
  <c r="A10286" i="1"/>
  <c r="B10285" i="1"/>
  <c r="A10285" i="1"/>
  <c r="B10284" i="1"/>
  <c r="A10284" i="1"/>
  <c r="B10283" i="1"/>
  <c r="A10283" i="1"/>
  <c r="B10282" i="1"/>
  <c r="A10282" i="1"/>
  <c r="A10281" i="1"/>
  <c r="B10280" i="1"/>
  <c r="A10280" i="1"/>
  <c r="B10279" i="1"/>
  <c r="A10279" i="1"/>
  <c r="B10278" i="1"/>
  <c r="A10278" i="1"/>
  <c r="B10277" i="1"/>
  <c r="A10277" i="1"/>
  <c r="B10276" i="1"/>
  <c r="A10276" i="1"/>
  <c r="B10275" i="1"/>
  <c r="A10275" i="1"/>
  <c r="B10274" i="1"/>
  <c r="A10274" i="1"/>
  <c r="A10273" i="1"/>
  <c r="A10272" i="1"/>
  <c r="A10271" i="1"/>
  <c r="A10270" i="1"/>
  <c r="B10269" i="1"/>
  <c r="A10269" i="1"/>
  <c r="B10268" i="1"/>
  <c r="A10268" i="1"/>
  <c r="B10267" i="1"/>
  <c r="A10267" i="1"/>
  <c r="B10266" i="1"/>
  <c r="A10266" i="1"/>
  <c r="B10265" i="1"/>
  <c r="A10265" i="1"/>
  <c r="B10264" i="1"/>
  <c r="A10264" i="1"/>
  <c r="B10263" i="1"/>
  <c r="A10263" i="1"/>
  <c r="B10262" i="1"/>
  <c r="A10262" i="1"/>
  <c r="B10261" i="1"/>
  <c r="A10261" i="1"/>
  <c r="B10260" i="1"/>
  <c r="A10260" i="1"/>
  <c r="B10259" i="1"/>
  <c r="A10259" i="1"/>
  <c r="B10258" i="1"/>
  <c r="A10258" i="1"/>
  <c r="B10257" i="1"/>
  <c r="A10257" i="1"/>
  <c r="B10256" i="1"/>
  <c r="A10256" i="1"/>
  <c r="B10255" i="1"/>
  <c r="A10255" i="1"/>
  <c r="B10254" i="1"/>
  <c r="A10254" i="1"/>
  <c r="A10253" i="1"/>
  <c r="A10252" i="1"/>
  <c r="A10251" i="1"/>
  <c r="B10250" i="1"/>
  <c r="A10250" i="1"/>
  <c r="B10249" i="1"/>
  <c r="A10249" i="1"/>
  <c r="A10248" i="1"/>
  <c r="B10247" i="1"/>
  <c r="A10247" i="1"/>
  <c r="B10246" i="1"/>
  <c r="A10246" i="1"/>
  <c r="B10245" i="1"/>
  <c r="A10245" i="1"/>
  <c r="A10244" i="1"/>
  <c r="B10243" i="1"/>
  <c r="A10243" i="1"/>
  <c r="B10242" i="1"/>
  <c r="A10242" i="1"/>
  <c r="B10241" i="1"/>
  <c r="A10241" i="1"/>
  <c r="A10240" i="1"/>
  <c r="B10239" i="1"/>
  <c r="A10239" i="1"/>
  <c r="B10238" i="1"/>
  <c r="A10238" i="1"/>
  <c r="B10237" i="1"/>
  <c r="A10237" i="1"/>
  <c r="B10236" i="1"/>
  <c r="A10236" i="1"/>
  <c r="B10235" i="1"/>
  <c r="A10235" i="1"/>
  <c r="B10234" i="1"/>
  <c r="A10234" i="1"/>
  <c r="B10233" i="1"/>
  <c r="A10233" i="1"/>
  <c r="B10232" i="1"/>
  <c r="A10232" i="1"/>
  <c r="B10231" i="1"/>
  <c r="A10231" i="1"/>
  <c r="A10230" i="1"/>
  <c r="B10229" i="1"/>
  <c r="A10229" i="1"/>
  <c r="B10228" i="1"/>
  <c r="A10228" i="1"/>
  <c r="A10227" i="1"/>
  <c r="B10226" i="1"/>
  <c r="A10226" i="1"/>
  <c r="B10225" i="1"/>
  <c r="A10225" i="1"/>
  <c r="B10224" i="1"/>
  <c r="A10224" i="1"/>
  <c r="B10223" i="1"/>
  <c r="A10223" i="1"/>
  <c r="B10222" i="1"/>
  <c r="A10222" i="1"/>
  <c r="B10221" i="1"/>
  <c r="A10221" i="1"/>
  <c r="B10220" i="1"/>
  <c r="A10220" i="1"/>
  <c r="B10219" i="1"/>
  <c r="A10219" i="1"/>
  <c r="A10218" i="1"/>
  <c r="B10217" i="1"/>
  <c r="A10217" i="1"/>
  <c r="B10216" i="1"/>
  <c r="A10216" i="1"/>
  <c r="B10215" i="1"/>
  <c r="A10215" i="1"/>
  <c r="A10214" i="1"/>
  <c r="A10213" i="1"/>
  <c r="B10212" i="1"/>
  <c r="A10212" i="1"/>
  <c r="B10211" i="1"/>
  <c r="A10211" i="1"/>
  <c r="A10210" i="1"/>
  <c r="A10209" i="1"/>
  <c r="B10208" i="1"/>
  <c r="A10208" i="1"/>
  <c r="B10207" i="1"/>
  <c r="A10207" i="1"/>
  <c r="A10206" i="1"/>
  <c r="B10205" i="1"/>
  <c r="A10205" i="1"/>
  <c r="A10204" i="1"/>
  <c r="B10203" i="1"/>
  <c r="A10203" i="1"/>
  <c r="A10202" i="1"/>
  <c r="A10201" i="1"/>
  <c r="B10200" i="1"/>
  <c r="A10200" i="1"/>
  <c r="A10199" i="1"/>
  <c r="B10198" i="1"/>
  <c r="A10198" i="1"/>
  <c r="B10197" i="1"/>
  <c r="A10197" i="1"/>
  <c r="B10196" i="1"/>
  <c r="A10196" i="1"/>
  <c r="B10195" i="1"/>
  <c r="A10195" i="1"/>
  <c r="A10194" i="1"/>
  <c r="A10193" i="1"/>
  <c r="B10192" i="1"/>
  <c r="A10192" i="1"/>
  <c r="B10191" i="1"/>
  <c r="A10191" i="1"/>
  <c r="B10190" i="1"/>
  <c r="A10190" i="1"/>
  <c r="A10189" i="1"/>
  <c r="B10188" i="1"/>
  <c r="A10188" i="1"/>
  <c r="B10187" i="1"/>
  <c r="A10187" i="1"/>
  <c r="B10186" i="1"/>
  <c r="A10186" i="1"/>
  <c r="B10185" i="1"/>
  <c r="A10185" i="1"/>
  <c r="B10184" i="1"/>
  <c r="A10184" i="1"/>
  <c r="A10183" i="1"/>
  <c r="A10182" i="1"/>
  <c r="B10181" i="1"/>
  <c r="A10181" i="1"/>
  <c r="B10180" i="1"/>
  <c r="A10180" i="1"/>
  <c r="B10179" i="1"/>
  <c r="A10179" i="1"/>
  <c r="A10178" i="1"/>
  <c r="B10177" i="1"/>
  <c r="A10177" i="1"/>
  <c r="B10176" i="1"/>
  <c r="A10176" i="1"/>
  <c r="A10175" i="1"/>
  <c r="B10174" i="1"/>
  <c r="A10174" i="1"/>
  <c r="B10173" i="1"/>
  <c r="A10173" i="1"/>
  <c r="B10172" i="1"/>
  <c r="A10172" i="1"/>
  <c r="B10171" i="1"/>
  <c r="A10171" i="1"/>
  <c r="B10170" i="1"/>
  <c r="A10170" i="1"/>
  <c r="B10169" i="1"/>
  <c r="A10169" i="1"/>
  <c r="B10168" i="1"/>
  <c r="A10168" i="1"/>
  <c r="B10167" i="1"/>
  <c r="A10167" i="1"/>
  <c r="B10166" i="1"/>
  <c r="A10166" i="1"/>
  <c r="B10165" i="1"/>
  <c r="A10165" i="1"/>
  <c r="A10164" i="1"/>
  <c r="A10163" i="1"/>
  <c r="B10162" i="1"/>
  <c r="A10162" i="1"/>
  <c r="A10161" i="1"/>
  <c r="B10160" i="1"/>
  <c r="A10160" i="1"/>
  <c r="B10159" i="1"/>
  <c r="A10159" i="1"/>
  <c r="B10158" i="1"/>
  <c r="A10158" i="1"/>
  <c r="A10157" i="1"/>
  <c r="B10156" i="1"/>
  <c r="A10156" i="1"/>
  <c r="B10155" i="1"/>
  <c r="A10155" i="1"/>
  <c r="B10154" i="1"/>
  <c r="A10154" i="1"/>
  <c r="B10153" i="1"/>
  <c r="A10153" i="1"/>
  <c r="B10152" i="1"/>
  <c r="A10152" i="1"/>
  <c r="A10151" i="1"/>
  <c r="A10150" i="1"/>
  <c r="B10149" i="1"/>
  <c r="A10149" i="1"/>
  <c r="A10148" i="1"/>
  <c r="B10147" i="1"/>
  <c r="A10147" i="1"/>
  <c r="B10146" i="1"/>
  <c r="A10146" i="1"/>
  <c r="B10145" i="1"/>
  <c r="A10145" i="1"/>
  <c r="B10144" i="1"/>
  <c r="A10144" i="1"/>
  <c r="B10143" i="1"/>
  <c r="A10143" i="1"/>
  <c r="B10142" i="1"/>
  <c r="A10142" i="1"/>
  <c r="B10141" i="1"/>
  <c r="A10141" i="1"/>
  <c r="B10140" i="1"/>
  <c r="A10140" i="1"/>
  <c r="B10139" i="1"/>
  <c r="A10139" i="1"/>
  <c r="B10138" i="1"/>
  <c r="A10138" i="1"/>
  <c r="B10137" i="1"/>
  <c r="A10137" i="1"/>
  <c r="B10136" i="1"/>
  <c r="A10136" i="1"/>
  <c r="A10135" i="1"/>
  <c r="B10134" i="1"/>
  <c r="A10134" i="1"/>
  <c r="B10133" i="1"/>
  <c r="A10133" i="1"/>
  <c r="B10132" i="1"/>
  <c r="A10132" i="1"/>
  <c r="B10131" i="1"/>
  <c r="A10131" i="1"/>
  <c r="A10130" i="1"/>
  <c r="A10129" i="1"/>
  <c r="B10128" i="1"/>
  <c r="A10128" i="1"/>
  <c r="B10127" i="1"/>
  <c r="A10127" i="1"/>
  <c r="B10126" i="1"/>
  <c r="A10126" i="1"/>
  <c r="B10125" i="1"/>
  <c r="A10125" i="1"/>
  <c r="B10124" i="1"/>
  <c r="A10124" i="1"/>
  <c r="B10123" i="1"/>
  <c r="A10123" i="1"/>
  <c r="B10122" i="1"/>
  <c r="A10122" i="1"/>
  <c r="B10121" i="1"/>
  <c r="A10121" i="1"/>
  <c r="A10120" i="1"/>
  <c r="B10119" i="1"/>
  <c r="A10119" i="1"/>
  <c r="A10118" i="1"/>
  <c r="B10117" i="1"/>
  <c r="A10117" i="1"/>
  <c r="B10116" i="1"/>
  <c r="A10116" i="1"/>
  <c r="B10115" i="1"/>
  <c r="A10115" i="1"/>
  <c r="B10114" i="1"/>
  <c r="A10114" i="1"/>
  <c r="B10113" i="1"/>
  <c r="A10113" i="1"/>
  <c r="B10112" i="1"/>
  <c r="A10112" i="1"/>
  <c r="B10111" i="1"/>
  <c r="A10111" i="1"/>
  <c r="B10110" i="1"/>
  <c r="A10110" i="1"/>
  <c r="B10109" i="1"/>
  <c r="A10109" i="1"/>
  <c r="B10108" i="1"/>
  <c r="A10108" i="1"/>
  <c r="B10107" i="1"/>
  <c r="A10107" i="1"/>
  <c r="B10106" i="1"/>
  <c r="A10106" i="1"/>
  <c r="B10105" i="1"/>
  <c r="A10105" i="1"/>
  <c r="B10104" i="1"/>
  <c r="A10104" i="1"/>
  <c r="A10103" i="1"/>
  <c r="A10102" i="1"/>
  <c r="A10101" i="1"/>
  <c r="B10100" i="1"/>
  <c r="A10100" i="1"/>
  <c r="A10099" i="1"/>
  <c r="B10098" i="1"/>
  <c r="A10098" i="1"/>
  <c r="A10097" i="1"/>
  <c r="B10096" i="1"/>
  <c r="A10096" i="1"/>
  <c r="A10095" i="1"/>
  <c r="B10094" i="1"/>
  <c r="A10094" i="1"/>
  <c r="B10093" i="1"/>
  <c r="A10093" i="1"/>
  <c r="B10092" i="1"/>
  <c r="A10092" i="1"/>
  <c r="B10091" i="1"/>
  <c r="A10091" i="1"/>
  <c r="B10090" i="1"/>
  <c r="A10090" i="1"/>
  <c r="B10089" i="1"/>
  <c r="A10089" i="1"/>
  <c r="B10088" i="1"/>
  <c r="A10088" i="1"/>
  <c r="B10087" i="1"/>
  <c r="A10087" i="1"/>
  <c r="B10086" i="1"/>
  <c r="A10086" i="1"/>
  <c r="B10085" i="1"/>
  <c r="A10085" i="1"/>
  <c r="B10084" i="1"/>
  <c r="A10084" i="1"/>
  <c r="B10083" i="1"/>
  <c r="A10083" i="1"/>
  <c r="B10082" i="1"/>
  <c r="A10082" i="1"/>
  <c r="B10081" i="1"/>
  <c r="A10081" i="1"/>
  <c r="B10080" i="1"/>
  <c r="A10080" i="1"/>
  <c r="A10079" i="1"/>
  <c r="B10078" i="1"/>
  <c r="A10078" i="1"/>
  <c r="B10077" i="1"/>
  <c r="A10077" i="1"/>
  <c r="B10076" i="1"/>
  <c r="A10076" i="1"/>
  <c r="A10075" i="1"/>
  <c r="B10074" i="1"/>
  <c r="A10074" i="1"/>
  <c r="B10073" i="1"/>
  <c r="A10073" i="1"/>
  <c r="B10072" i="1"/>
  <c r="A10072" i="1"/>
  <c r="A10071" i="1"/>
  <c r="B10070" i="1"/>
  <c r="A10070" i="1"/>
  <c r="B10069" i="1"/>
  <c r="A10069" i="1"/>
  <c r="B10068" i="1"/>
  <c r="A10068" i="1"/>
  <c r="A10067" i="1"/>
  <c r="A10066" i="1"/>
  <c r="A10065" i="1"/>
  <c r="A10064" i="1"/>
  <c r="A10063" i="1"/>
  <c r="A10062" i="1"/>
  <c r="B10061" i="1"/>
  <c r="A10061" i="1"/>
  <c r="A10060" i="1"/>
  <c r="B10059" i="1"/>
  <c r="A10059" i="1"/>
  <c r="B10058" i="1"/>
  <c r="A10058" i="1"/>
  <c r="A10057" i="1"/>
  <c r="A10056" i="1"/>
  <c r="A10055" i="1"/>
  <c r="B10054" i="1"/>
  <c r="A10054" i="1"/>
  <c r="B10053" i="1"/>
  <c r="A10053" i="1"/>
  <c r="A10052" i="1"/>
  <c r="A10051" i="1"/>
  <c r="B10050" i="1"/>
  <c r="A10050" i="1"/>
  <c r="A10049" i="1"/>
  <c r="B10048" i="1"/>
  <c r="A10048" i="1"/>
  <c r="A10047" i="1"/>
  <c r="B10046" i="1"/>
  <c r="A10046" i="1"/>
  <c r="A10045" i="1"/>
  <c r="B10044" i="1"/>
  <c r="A10044" i="1"/>
  <c r="B10043" i="1"/>
  <c r="A10043" i="1"/>
  <c r="B10042" i="1"/>
  <c r="A10042" i="1"/>
  <c r="A10041" i="1"/>
  <c r="B10040" i="1"/>
  <c r="A10040" i="1"/>
  <c r="A10039" i="1"/>
  <c r="A10038" i="1"/>
  <c r="B10037" i="1"/>
  <c r="A10037" i="1"/>
  <c r="B10036" i="1"/>
  <c r="A10036" i="1"/>
  <c r="A10035" i="1"/>
  <c r="A10034" i="1"/>
  <c r="B10033" i="1"/>
  <c r="A10033" i="1"/>
  <c r="B10032" i="1"/>
  <c r="A10032" i="1"/>
  <c r="B10031" i="1"/>
  <c r="A10031" i="1"/>
  <c r="B10030" i="1"/>
  <c r="A10030" i="1"/>
  <c r="A10029" i="1"/>
  <c r="B10028" i="1"/>
  <c r="A10028" i="1"/>
  <c r="B10027" i="1"/>
  <c r="A10027" i="1"/>
  <c r="B10026" i="1"/>
  <c r="A10026" i="1"/>
  <c r="B10025" i="1"/>
  <c r="A10025" i="1"/>
  <c r="A10024" i="1"/>
  <c r="B10023" i="1"/>
  <c r="A10023" i="1"/>
  <c r="B10022" i="1"/>
  <c r="A10022" i="1"/>
  <c r="A10021" i="1"/>
  <c r="A10020" i="1"/>
  <c r="B10019" i="1"/>
  <c r="A10019" i="1"/>
  <c r="B10018" i="1"/>
  <c r="A10018" i="1"/>
  <c r="B10017" i="1"/>
  <c r="A10017" i="1"/>
  <c r="B10016" i="1"/>
  <c r="A10016" i="1"/>
  <c r="A10015" i="1"/>
  <c r="B10014" i="1"/>
  <c r="A10014" i="1"/>
  <c r="B10013" i="1"/>
  <c r="A10013" i="1"/>
  <c r="B10012" i="1"/>
  <c r="A10012" i="1"/>
  <c r="B10011" i="1"/>
  <c r="A10011" i="1"/>
  <c r="B10010" i="1"/>
  <c r="A10010" i="1"/>
  <c r="B10009" i="1"/>
  <c r="A10009" i="1"/>
  <c r="B10008" i="1"/>
  <c r="A10008" i="1"/>
  <c r="B10007" i="1"/>
  <c r="A10007" i="1"/>
  <c r="B10006" i="1"/>
  <c r="A10006" i="1"/>
  <c r="B10005" i="1"/>
  <c r="A10005" i="1"/>
  <c r="A10004" i="1"/>
  <c r="A10003" i="1"/>
  <c r="B10002" i="1"/>
  <c r="A10002" i="1"/>
  <c r="B10001" i="1"/>
  <c r="A10001" i="1"/>
  <c r="A10000" i="1"/>
  <c r="B9999" i="1"/>
  <c r="A9999" i="1"/>
  <c r="B9998" i="1"/>
  <c r="A9998" i="1"/>
  <c r="A9997" i="1"/>
  <c r="A9996" i="1"/>
  <c r="A9995" i="1"/>
  <c r="B9994" i="1"/>
  <c r="A9994" i="1"/>
  <c r="B9993" i="1"/>
  <c r="A9993" i="1"/>
  <c r="B9992" i="1"/>
  <c r="A9992" i="1"/>
  <c r="B9991" i="1"/>
  <c r="A9991" i="1"/>
  <c r="A9990" i="1"/>
  <c r="B9989" i="1"/>
  <c r="A9989" i="1"/>
  <c r="B9988" i="1"/>
  <c r="A9988" i="1"/>
  <c r="B9987" i="1"/>
  <c r="A9987" i="1"/>
  <c r="B9986" i="1"/>
  <c r="A9986" i="1"/>
  <c r="B9985" i="1"/>
  <c r="A9985" i="1"/>
  <c r="A9984" i="1"/>
  <c r="B9983" i="1"/>
  <c r="A9983" i="1"/>
  <c r="A9982" i="1"/>
  <c r="B9981" i="1"/>
  <c r="A9981" i="1"/>
  <c r="A9980" i="1"/>
  <c r="B9979" i="1"/>
  <c r="A9979" i="1"/>
  <c r="B9978" i="1"/>
  <c r="A9978" i="1"/>
  <c r="A9977" i="1"/>
  <c r="B9976" i="1"/>
  <c r="A9976" i="1"/>
  <c r="B9975" i="1"/>
  <c r="A9975" i="1"/>
  <c r="B9974" i="1"/>
  <c r="A9974" i="1"/>
  <c r="B9973" i="1"/>
  <c r="A9973" i="1"/>
  <c r="B9972" i="1"/>
  <c r="A9972" i="1"/>
  <c r="B9971" i="1"/>
  <c r="A9971" i="1"/>
  <c r="B9970" i="1"/>
  <c r="A9970" i="1"/>
  <c r="B9969" i="1"/>
  <c r="A9969" i="1"/>
  <c r="B9968" i="1"/>
  <c r="A9968" i="1"/>
  <c r="B9967" i="1"/>
  <c r="A9967" i="1"/>
  <c r="B9966" i="1"/>
  <c r="A9966" i="1"/>
  <c r="B9965" i="1"/>
  <c r="A9965" i="1"/>
  <c r="B9964" i="1"/>
  <c r="A9964" i="1"/>
  <c r="B9963" i="1"/>
  <c r="A9963" i="1"/>
  <c r="B9962" i="1"/>
  <c r="A9962" i="1"/>
  <c r="B9961" i="1"/>
  <c r="A9961" i="1"/>
  <c r="B9960" i="1"/>
  <c r="A9960" i="1"/>
  <c r="B9959" i="1"/>
  <c r="A9959" i="1"/>
  <c r="B9958" i="1"/>
  <c r="A9958" i="1"/>
  <c r="A9957" i="1"/>
  <c r="B9956" i="1"/>
  <c r="A9956" i="1"/>
  <c r="A9955" i="1"/>
  <c r="B9954" i="1"/>
  <c r="A9954" i="1"/>
  <c r="B9953" i="1"/>
  <c r="A9953" i="1"/>
  <c r="B9952" i="1"/>
  <c r="A9952" i="1"/>
  <c r="A9951" i="1"/>
  <c r="B9950" i="1"/>
  <c r="A9950" i="1"/>
  <c r="B9949" i="1"/>
  <c r="A9949" i="1"/>
  <c r="A9948" i="1"/>
  <c r="B9947" i="1"/>
  <c r="A9947" i="1"/>
  <c r="A9946" i="1"/>
  <c r="B9945" i="1"/>
  <c r="A9945" i="1"/>
  <c r="B9944" i="1"/>
  <c r="A9944" i="1"/>
  <c r="B9943" i="1"/>
  <c r="A9943" i="1"/>
  <c r="A9942" i="1"/>
  <c r="B9941" i="1"/>
  <c r="A9941" i="1"/>
  <c r="B9940" i="1"/>
  <c r="A9940" i="1"/>
  <c r="A9939" i="1"/>
  <c r="A9938" i="1"/>
  <c r="B9937" i="1"/>
  <c r="A9937" i="1"/>
  <c r="B9936" i="1"/>
  <c r="A9936" i="1"/>
  <c r="A9935" i="1"/>
  <c r="B9934" i="1"/>
  <c r="A9934" i="1"/>
  <c r="B9933" i="1"/>
  <c r="A9933" i="1"/>
  <c r="B9932" i="1"/>
  <c r="A9932" i="1"/>
  <c r="A9931" i="1"/>
  <c r="B9930" i="1"/>
  <c r="A9930" i="1"/>
  <c r="A9929" i="1"/>
  <c r="B9928" i="1"/>
  <c r="A9928" i="1"/>
  <c r="A9927" i="1"/>
  <c r="A9926" i="1"/>
  <c r="B9925" i="1"/>
  <c r="A9925" i="1"/>
  <c r="B9924" i="1"/>
  <c r="A9924" i="1"/>
  <c r="B9923" i="1"/>
  <c r="A9923" i="1"/>
  <c r="A9922" i="1"/>
  <c r="B9921" i="1"/>
  <c r="A9921" i="1"/>
  <c r="A9920" i="1"/>
  <c r="B9919" i="1"/>
  <c r="A9919" i="1"/>
  <c r="B9918" i="1"/>
  <c r="A9918" i="1"/>
  <c r="A9917" i="1"/>
  <c r="B9916" i="1"/>
  <c r="A9916" i="1"/>
  <c r="A9915" i="1"/>
  <c r="A9914" i="1"/>
  <c r="B9913" i="1"/>
  <c r="A9913" i="1"/>
  <c r="B9912" i="1"/>
  <c r="A9912" i="1"/>
  <c r="A9911" i="1"/>
  <c r="B9910" i="1"/>
  <c r="A9910" i="1"/>
  <c r="A9909" i="1"/>
  <c r="B9908" i="1"/>
  <c r="A9908" i="1"/>
  <c r="B9907" i="1"/>
  <c r="A9907" i="1"/>
  <c r="B9906" i="1"/>
  <c r="A9906" i="1"/>
  <c r="B9905" i="1"/>
  <c r="A9905" i="1"/>
  <c r="A9904" i="1"/>
  <c r="B9903" i="1"/>
  <c r="A9903" i="1"/>
  <c r="B9902" i="1"/>
  <c r="A9902" i="1"/>
  <c r="B9901" i="1"/>
  <c r="A9901" i="1"/>
  <c r="B9900" i="1"/>
  <c r="A9900" i="1"/>
  <c r="B9899" i="1"/>
  <c r="A9899" i="1"/>
  <c r="B9898" i="1"/>
  <c r="A9898" i="1"/>
  <c r="B9897" i="1"/>
  <c r="A9897" i="1"/>
  <c r="A9896" i="1"/>
  <c r="A9895" i="1"/>
  <c r="A9894" i="1"/>
  <c r="B9893" i="1"/>
  <c r="A9893" i="1"/>
  <c r="B9892" i="1"/>
  <c r="A9892" i="1"/>
  <c r="B9891" i="1"/>
  <c r="A9891" i="1"/>
  <c r="A9890" i="1"/>
  <c r="B9889" i="1"/>
  <c r="A9889" i="1"/>
  <c r="A9888" i="1"/>
  <c r="B9887" i="1"/>
  <c r="A9887" i="1"/>
  <c r="B9886" i="1"/>
  <c r="A9886" i="1"/>
  <c r="B9885" i="1"/>
  <c r="A9885" i="1"/>
  <c r="B9884" i="1"/>
  <c r="A9884" i="1"/>
  <c r="B9883" i="1"/>
  <c r="A9883" i="1"/>
  <c r="B9882" i="1"/>
  <c r="A9882" i="1"/>
  <c r="B9881" i="1"/>
  <c r="A9881" i="1"/>
  <c r="B9880" i="1"/>
  <c r="A9880" i="1"/>
  <c r="B9879" i="1"/>
  <c r="A9879" i="1"/>
  <c r="B9878" i="1"/>
  <c r="A9878" i="1"/>
  <c r="B9877" i="1"/>
  <c r="A9877" i="1"/>
  <c r="B9876" i="1"/>
  <c r="A9876" i="1"/>
  <c r="B9875" i="1"/>
  <c r="A9875" i="1"/>
  <c r="B9874" i="1"/>
  <c r="A9874" i="1"/>
  <c r="B9873" i="1"/>
  <c r="A9873" i="1"/>
  <c r="B9872" i="1"/>
  <c r="A9872" i="1"/>
  <c r="B9871" i="1"/>
  <c r="A9871" i="1"/>
  <c r="A9870" i="1"/>
  <c r="B9869" i="1"/>
  <c r="A9869" i="1"/>
  <c r="A9868" i="1"/>
  <c r="B9867" i="1"/>
  <c r="A9867" i="1"/>
  <c r="B9866" i="1"/>
  <c r="A9866" i="1"/>
  <c r="B9865" i="1"/>
  <c r="A9865" i="1"/>
  <c r="A9864" i="1"/>
  <c r="B9863" i="1"/>
  <c r="A9863" i="1"/>
  <c r="A9862" i="1"/>
  <c r="A9861" i="1"/>
  <c r="B9860" i="1"/>
  <c r="A9860" i="1"/>
  <c r="B9859" i="1"/>
  <c r="A9859" i="1"/>
  <c r="A9858" i="1"/>
  <c r="B9857" i="1"/>
  <c r="A9857" i="1"/>
  <c r="B9856" i="1"/>
  <c r="A9856" i="1"/>
  <c r="B9855" i="1"/>
  <c r="A9855" i="1"/>
  <c r="B9854" i="1"/>
  <c r="A9854" i="1"/>
  <c r="B9853" i="1"/>
  <c r="A9853" i="1"/>
  <c r="B9852" i="1"/>
  <c r="A9852" i="1"/>
  <c r="B9851" i="1"/>
  <c r="A9851" i="1"/>
  <c r="B9850" i="1"/>
  <c r="A9850" i="1"/>
  <c r="B9849" i="1"/>
  <c r="A9849" i="1"/>
  <c r="B9848" i="1"/>
  <c r="A9848" i="1"/>
  <c r="B9847" i="1"/>
  <c r="A9847" i="1"/>
  <c r="B9846" i="1"/>
  <c r="A9846" i="1"/>
  <c r="B9845" i="1"/>
  <c r="A9845" i="1"/>
  <c r="A9844" i="1"/>
  <c r="B9843" i="1"/>
  <c r="A9843" i="1"/>
  <c r="B9842" i="1"/>
  <c r="A9842" i="1"/>
  <c r="B9841" i="1"/>
  <c r="A9841" i="1"/>
  <c r="B9840" i="1"/>
  <c r="A9840" i="1"/>
  <c r="B9839" i="1"/>
  <c r="A9839" i="1"/>
  <c r="B9838" i="1"/>
  <c r="A9838" i="1"/>
  <c r="B9837" i="1"/>
  <c r="A9837" i="1"/>
  <c r="B9836" i="1"/>
  <c r="A9836" i="1"/>
  <c r="B9835" i="1"/>
  <c r="A9835" i="1"/>
  <c r="A9834" i="1"/>
  <c r="B9833" i="1"/>
  <c r="A9833" i="1"/>
  <c r="A9832" i="1"/>
  <c r="B9831" i="1"/>
  <c r="A9831" i="1"/>
  <c r="B9830" i="1"/>
  <c r="A9830" i="1"/>
  <c r="B9829" i="1"/>
  <c r="A9829" i="1"/>
  <c r="A9828" i="1"/>
  <c r="B9827" i="1"/>
  <c r="A9827" i="1"/>
  <c r="B9826" i="1"/>
  <c r="A9826" i="1"/>
  <c r="B9825" i="1"/>
  <c r="A9825" i="1"/>
  <c r="B9824" i="1"/>
  <c r="A9824" i="1"/>
  <c r="B9823" i="1"/>
  <c r="A9823" i="1"/>
  <c r="B9822" i="1"/>
  <c r="A9822" i="1"/>
  <c r="A9821" i="1"/>
  <c r="B9820" i="1"/>
  <c r="A9820" i="1"/>
  <c r="B9819" i="1"/>
  <c r="A9819" i="1"/>
  <c r="A9818" i="1"/>
  <c r="B9817" i="1"/>
  <c r="A9817" i="1"/>
  <c r="B9816" i="1"/>
  <c r="A9816" i="1"/>
  <c r="B9815" i="1"/>
  <c r="A9815" i="1"/>
  <c r="B9814" i="1"/>
  <c r="A9814" i="1"/>
  <c r="B9813" i="1"/>
  <c r="A9813" i="1"/>
  <c r="B9812" i="1"/>
  <c r="A9812" i="1"/>
  <c r="B9811" i="1"/>
  <c r="A9811" i="1"/>
  <c r="B9810" i="1"/>
  <c r="A9810" i="1"/>
  <c r="B9809" i="1"/>
  <c r="A9809" i="1"/>
  <c r="B9808" i="1"/>
  <c r="A9808" i="1"/>
  <c r="A9807" i="1"/>
  <c r="A9806" i="1"/>
  <c r="B9805" i="1"/>
  <c r="A9805" i="1"/>
  <c r="B9804" i="1"/>
  <c r="A9804" i="1"/>
  <c r="B9803" i="1"/>
  <c r="A9803" i="1"/>
  <c r="B9802" i="1"/>
  <c r="A9802" i="1"/>
  <c r="B9801" i="1"/>
  <c r="A9801" i="1"/>
  <c r="A9800" i="1"/>
  <c r="B9799" i="1"/>
  <c r="A9799" i="1"/>
  <c r="B9798" i="1"/>
  <c r="A9798" i="1"/>
  <c r="A9797" i="1"/>
  <c r="B9796" i="1"/>
  <c r="A9796" i="1"/>
  <c r="A9795" i="1"/>
  <c r="B9794" i="1"/>
  <c r="A9794" i="1"/>
  <c r="B9793" i="1"/>
  <c r="A9793" i="1"/>
  <c r="B9792" i="1"/>
  <c r="A9792" i="1"/>
  <c r="A9791" i="1"/>
  <c r="B9790" i="1"/>
  <c r="A9790" i="1"/>
  <c r="B9789" i="1"/>
  <c r="A9789" i="1"/>
  <c r="B9788" i="1"/>
  <c r="A9788" i="1"/>
  <c r="B9787" i="1"/>
  <c r="A9787" i="1"/>
  <c r="A9786" i="1"/>
  <c r="B9785" i="1"/>
  <c r="A9785" i="1"/>
  <c r="B9784" i="1"/>
  <c r="A9784" i="1"/>
  <c r="A9783" i="1"/>
  <c r="A9782" i="1"/>
  <c r="B9781" i="1"/>
  <c r="A9781" i="1"/>
  <c r="B9780" i="1"/>
  <c r="A9780" i="1"/>
  <c r="B9779" i="1"/>
  <c r="A9779" i="1"/>
  <c r="B9778" i="1"/>
  <c r="A9778" i="1"/>
  <c r="A9777" i="1"/>
  <c r="A9776" i="1"/>
  <c r="B9775" i="1"/>
  <c r="A9775" i="1"/>
  <c r="A9774" i="1"/>
  <c r="B9773" i="1"/>
  <c r="A9773" i="1"/>
  <c r="A9772" i="1"/>
  <c r="A9771" i="1"/>
  <c r="A9770" i="1"/>
  <c r="B9769" i="1"/>
  <c r="A9769" i="1"/>
  <c r="B9768" i="1"/>
  <c r="A9768" i="1"/>
  <c r="B9767" i="1"/>
  <c r="A9767" i="1"/>
  <c r="B9766" i="1"/>
  <c r="A9766" i="1"/>
  <c r="B9765" i="1"/>
  <c r="A9765" i="1"/>
  <c r="B9764" i="1"/>
  <c r="A9764" i="1"/>
  <c r="A9763" i="1"/>
  <c r="B9762" i="1"/>
  <c r="A9762" i="1"/>
  <c r="B9761" i="1"/>
  <c r="A9761" i="1"/>
  <c r="A9760" i="1"/>
  <c r="A9759" i="1"/>
  <c r="A9758" i="1"/>
  <c r="B9757" i="1"/>
  <c r="A9757" i="1"/>
  <c r="B9756" i="1"/>
  <c r="A9756" i="1"/>
  <c r="B9755" i="1"/>
  <c r="A9755" i="1"/>
  <c r="A9754" i="1"/>
  <c r="B9753" i="1"/>
  <c r="A9753" i="1"/>
  <c r="A9752" i="1"/>
  <c r="A9751" i="1"/>
  <c r="A9750" i="1"/>
  <c r="A9749" i="1"/>
  <c r="B9748" i="1"/>
  <c r="A9748" i="1"/>
  <c r="B9747" i="1"/>
  <c r="A9747" i="1"/>
  <c r="A9746" i="1"/>
  <c r="A9745" i="1"/>
  <c r="B9744" i="1"/>
  <c r="A9744" i="1"/>
  <c r="A9743" i="1"/>
  <c r="B9742" i="1"/>
  <c r="A9742" i="1"/>
  <c r="B9741" i="1"/>
  <c r="A9741" i="1"/>
  <c r="B9740" i="1"/>
  <c r="A9740" i="1"/>
  <c r="B9739" i="1"/>
  <c r="A9739" i="1"/>
  <c r="A9738" i="1"/>
  <c r="B9737" i="1"/>
  <c r="A9737" i="1"/>
  <c r="B9736" i="1"/>
  <c r="A9736" i="1"/>
  <c r="B9735" i="1"/>
  <c r="A9735" i="1"/>
  <c r="B9734" i="1"/>
  <c r="A9734" i="1"/>
  <c r="B9733" i="1"/>
  <c r="A9733" i="1"/>
  <c r="A9732" i="1"/>
  <c r="B9731" i="1"/>
  <c r="A9731" i="1"/>
  <c r="A9730" i="1"/>
  <c r="A9729" i="1"/>
  <c r="A9728" i="1"/>
  <c r="B9727" i="1"/>
  <c r="A9727" i="1"/>
  <c r="B9726" i="1"/>
  <c r="A9726" i="1"/>
  <c r="B9725" i="1"/>
  <c r="A9725" i="1"/>
  <c r="B9724" i="1"/>
  <c r="A9724" i="1"/>
  <c r="B9723" i="1"/>
  <c r="A9723" i="1"/>
  <c r="B9722" i="1"/>
  <c r="A9722" i="1"/>
  <c r="A9721" i="1"/>
  <c r="B9720" i="1"/>
  <c r="A9720" i="1"/>
  <c r="B9719" i="1"/>
  <c r="A9719" i="1"/>
  <c r="B9718" i="1"/>
  <c r="A9718" i="1"/>
  <c r="B9717" i="1"/>
  <c r="A9717" i="1"/>
  <c r="B9716" i="1"/>
  <c r="A9716" i="1"/>
  <c r="B9715" i="1"/>
  <c r="A9715" i="1"/>
  <c r="B9714" i="1"/>
  <c r="A9714" i="1"/>
  <c r="A9713" i="1"/>
  <c r="A9712" i="1"/>
  <c r="B9711" i="1"/>
  <c r="A9711" i="1"/>
  <c r="B9710" i="1"/>
  <c r="A9710" i="1"/>
  <c r="B9709" i="1"/>
  <c r="A9709" i="1"/>
  <c r="B9708" i="1"/>
  <c r="A9708" i="1"/>
  <c r="B9707" i="1"/>
  <c r="A9707" i="1"/>
  <c r="B9706" i="1"/>
  <c r="A9706" i="1"/>
  <c r="A9705" i="1"/>
  <c r="B9704" i="1"/>
  <c r="A9704" i="1"/>
  <c r="B9703" i="1"/>
  <c r="A9703" i="1"/>
  <c r="B9702" i="1"/>
  <c r="A9702" i="1"/>
  <c r="B9701" i="1"/>
  <c r="A9701" i="1"/>
  <c r="A9700" i="1"/>
  <c r="B9699" i="1"/>
  <c r="A9699" i="1"/>
  <c r="B9698" i="1"/>
  <c r="A9698" i="1"/>
  <c r="B9697" i="1"/>
  <c r="A9697" i="1"/>
  <c r="B9696" i="1"/>
  <c r="A9696" i="1"/>
  <c r="A9695" i="1"/>
  <c r="B9694" i="1"/>
  <c r="A9694" i="1"/>
  <c r="B9693" i="1"/>
  <c r="A9693" i="1"/>
  <c r="B9692" i="1"/>
  <c r="A9692" i="1"/>
  <c r="B9691" i="1"/>
  <c r="A9691" i="1"/>
  <c r="B9690" i="1"/>
  <c r="A9690" i="1"/>
  <c r="B9689" i="1"/>
  <c r="A9689" i="1"/>
  <c r="B9688" i="1"/>
  <c r="A9688" i="1"/>
  <c r="B9687" i="1"/>
  <c r="A9687" i="1"/>
  <c r="B9686" i="1"/>
  <c r="A9686" i="1"/>
  <c r="B9685" i="1"/>
  <c r="A9685" i="1"/>
  <c r="B9684" i="1"/>
  <c r="A9684" i="1"/>
  <c r="A9683" i="1"/>
  <c r="A9682" i="1"/>
  <c r="B9681" i="1"/>
  <c r="A9681" i="1"/>
  <c r="A9680" i="1"/>
  <c r="B9679" i="1"/>
  <c r="A9679" i="1"/>
  <c r="A9678" i="1"/>
  <c r="B9677" i="1"/>
  <c r="A9677" i="1"/>
  <c r="B9676" i="1"/>
  <c r="A9676" i="1"/>
  <c r="B9675" i="1"/>
  <c r="A9675" i="1"/>
  <c r="B9674" i="1"/>
  <c r="A9674" i="1"/>
  <c r="B9673" i="1"/>
  <c r="A9673" i="1"/>
  <c r="A9672" i="1"/>
  <c r="B9671" i="1"/>
  <c r="A9671" i="1"/>
  <c r="B9670" i="1"/>
  <c r="A9670" i="1"/>
  <c r="B9669" i="1"/>
  <c r="A9669" i="1"/>
  <c r="B9668" i="1"/>
  <c r="A9668" i="1"/>
  <c r="B9667" i="1"/>
  <c r="A9667" i="1"/>
  <c r="A9666" i="1"/>
  <c r="B9665" i="1"/>
  <c r="A9665" i="1"/>
  <c r="A9664" i="1"/>
  <c r="A9663" i="1"/>
  <c r="B9662" i="1"/>
  <c r="A9662" i="1"/>
  <c r="B9661" i="1"/>
  <c r="A9661" i="1"/>
  <c r="B9660" i="1"/>
  <c r="A9660" i="1"/>
  <c r="A9659" i="1"/>
  <c r="A9658" i="1"/>
  <c r="B9657" i="1"/>
  <c r="A9657" i="1"/>
  <c r="A9656" i="1"/>
  <c r="B9655" i="1"/>
  <c r="A9655" i="1"/>
  <c r="B9654" i="1"/>
  <c r="A9654" i="1"/>
  <c r="B9653" i="1"/>
  <c r="A9653" i="1"/>
  <c r="A9652" i="1"/>
  <c r="B9651" i="1"/>
  <c r="A9651" i="1"/>
  <c r="B9650" i="1"/>
  <c r="A9650" i="1"/>
  <c r="B9649" i="1"/>
  <c r="A9649" i="1"/>
  <c r="B9648" i="1"/>
  <c r="A9648" i="1"/>
  <c r="B9647" i="1"/>
  <c r="A9647" i="1"/>
  <c r="B9646" i="1"/>
  <c r="A9646" i="1"/>
  <c r="B9645" i="1"/>
  <c r="A9645" i="1"/>
  <c r="B9644" i="1"/>
  <c r="A9644" i="1"/>
  <c r="B9643" i="1"/>
  <c r="A9643" i="1"/>
  <c r="B9642" i="1"/>
  <c r="A9642" i="1"/>
  <c r="B9641" i="1"/>
  <c r="A9641" i="1"/>
  <c r="A9640" i="1"/>
  <c r="B9639" i="1"/>
  <c r="A9639" i="1"/>
  <c r="A9638" i="1"/>
  <c r="B9637" i="1"/>
  <c r="A9637" i="1"/>
  <c r="B9636" i="1"/>
  <c r="A9636" i="1"/>
  <c r="A9635" i="1"/>
  <c r="B9634" i="1"/>
  <c r="A9634" i="1"/>
  <c r="B9633" i="1"/>
  <c r="A9633" i="1"/>
  <c r="B9632" i="1"/>
  <c r="A9632" i="1"/>
  <c r="B9631" i="1"/>
  <c r="A9631" i="1"/>
  <c r="A9630" i="1"/>
  <c r="B9629" i="1"/>
  <c r="A9629" i="1"/>
  <c r="B9628" i="1"/>
  <c r="A9628" i="1"/>
  <c r="B9627" i="1"/>
  <c r="A9627" i="1"/>
  <c r="A9626" i="1"/>
  <c r="B9625" i="1"/>
  <c r="A9625" i="1"/>
  <c r="B9624" i="1"/>
  <c r="A9624" i="1"/>
  <c r="B9623" i="1"/>
  <c r="A9623" i="1"/>
  <c r="B9622" i="1"/>
  <c r="A9622" i="1"/>
  <c r="A9621" i="1"/>
  <c r="B9620" i="1"/>
  <c r="A9620" i="1"/>
  <c r="B9619" i="1"/>
  <c r="A9619" i="1"/>
  <c r="B9618" i="1"/>
  <c r="A9618" i="1"/>
  <c r="A9617" i="1"/>
  <c r="B9616" i="1"/>
  <c r="A9616" i="1"/>
  <c r="B9615" i="1"/>
  <c r="A9615" i="1"/>
  <c r="B9614" i="1"/>
  <c r="A9614" i="1"/>
  <c r="A9613" i="1"/>
  <c r="B9612" i="1"/>
  <c r="A9612" i="1"/>
  <c r="B9611" i="1"/>
  <c r="A9611" i="1"/>
  <c r="B9610" i="1"/>
  <c r="A9610" i="1"/>
  <c r="B9609" i="1"/>
  <c r="A9609" i="1"/>
  <c r="B9608" i="1"/>
  <c r="A9608" i="1"/>
  <c r="B9607" i="1"/>
  <c r="A9607" i="1"/>
  <c r="B9606" i="1"/>
  <c r="A9606" i="1"/>
  <c r="A9605" i="1"/>
  <c r="A9604" i="1"/>
  <c r="A9603" i="1"/>
  <c r="A9602" i="1"/>
  <c r="B9601" i="1"/>
  <c r="A9601" i="1"/>
  <c r="B9600" i="1"/>
  <c r="A9600" i="1"/>
  <c r="B9599" i="1"/>
  <c r="A9599" i="1"/>
  <c r="B9598" i="1"/>
  <c r="A9598" i="1"/>
  <c r="B9597" i="1"/>
  <c r="A9597" i="1"/>
  <c r="B9596" i="1"/>
  <c r="A9596" i="1"/>
  <c r="B9595" i="1"/>
  <c r="A9595" i="1"/>
  <c r="A9594" i="1"/>
  <c r="B9593" i="1"/>
  <c r="A9593" i="1"/>
  <c r="B9592" i="1"/>
  <c r="A9592" i="1"/>
  <c r="B9591" i="1"/>
  <c r="A9591" i="1"/>
  <c r="B9590" i="1"/>
  <c r="A9590" i="1"/>
  <c r="B9589" i="1"/>
  <c r="A9589" i="1"/>
  <c r="A9588" i="1"/>
  <c r="B9587" i="1"/>
  <c r="A9587" i="1"/>
  <c r="A9586" i="1"/>
  <c r="B9585" i="1"/>
  <c r="A9585" i="1"/>
  <c r="B9584" i="1"/>
  <c r="A9584" i="1"/>
  <c r="B9583" i="1"/>
  <c r="A9583" i="1"/>
  <c r="B9582" i="1"/>
  <c r="A9582" i="1"/>
  <c r="B9581" i="1"/>
  <c r="A9581" i="1"/>
  <c r="B9580" i="1"/>
  <c r="A9580" i="1"/>
  <c r="B9579" i="1"/>
  <c r="A9579" i="1"/>
  <c r="B9578" i="1"/>
  <c r="A9578" i="1"/>
  <c r="B9577" i="1"/>
  <c r="A9577" i="1"/>
  <c r="A9576" i="1"/>
  <c r="B9575" i="1"/>
  <c r="A9575" i="1"/>
  <c r="A9574" i="1"/>
  <c r="A9573" i="1"/>
  <c r="B9572" i="1"/>
  <c r="A9572" i="1"/>
  <c r="A9571" i="1"/>
  <c r="B9570" i="1"/>
  <c r="A9570" i="1"/>
  <c r="B9569" i="1"/>
  <c r="A9569" i="1"/>
  <c r="B9568" i="1"/>
  <c r="A9568" i="1"/>
  <c r="A9567" i="1"/>
  <c r="A9566" i="1"/>
  <c r="B9565" i="1"/>
  <c r="A9565" i="1"/>
  <c r="A9564" i="1"/>
  <c r="B9563" i="1"/>
  <c r="A9563" i="1"/>
  <c r="B9562" i="1"/>
  <c r="A9562" i="1"/>
  <c r="A9561" i="1"/>
  <c r="B9560" i="1"/>
  <c r="A9560" i="1"/>
  <c r="B9559" i="1"/>
  <c r="A9559" i="1"/>
  <c r="B9558" i="1"/>
  <c r="A9558" i="1"/>
  <c r="B9557" i="1"/>
  <c r="A9557" i="1"/>
  <c r="B9556" i="1"/>
  <c r="A9556" i="1"/>
  <c r="A9555" i="1"/>
  <c r="A9554" i="1"/>
  <c r="B9553" i="1"/>
  <c r="A9553" i="1"/>
  <c r="B9552" i="1"/>
  <c r="A9552" i="1"/>
  <c r="A9551" i="1"/>
  <c r="A9550" i="1"/>
  <c r="A9549" i="1"/>
  <c r="A9548" i="1"/>
  <c r="B9547" i="1"/>
  <c r="A9547" i="1"/>
  <c r="B9546" i="1"/>
  <c r="A9546" i="1"/>
  <c r="B9545" i="1"/>
  <c r="A9545" i="1"/>
  <c r="B9544" i="1"/>
  <c r="A9544" i="1"/>
  <c r="A9543" i="1"/>
  <c r="A9542" i="1"/>
  <c r="A9541" i="1"/>
  <c r="B9540" i="1"/>
  <c r="A9540" i="1"/>
  <c r="B9539" i="1"/>
  <c r="A9539" i="1"/>
  <c r="B9538" i="1"/>
  <c r="A9538" i="1"/>
  <c r="B9537" i="1"/>
  <c r="A9537" i="1"/>
  <c r="B9536" i="1"/>
  <c r="A9536" i="1"/>
  <c r="B9535" i="1"/>
  <c r="A9535" i="1"/>
  <c r="A9534" i="1"/>
  <c r="B9533" i="1"/>
  <c r="A9533" i="1"/>
  <c r="A9532" i="1"/>
  <c r="B9531" i="1"/>
  <c r="A9531" i="1"/>
  <c r="A9530" i="1"/>
  <c r="B9529" i="1"/>
  <c r="A9529" i="1"/>
  <c r="B9528" i="1"/>
  <c r="A9528" i="1"/>
  <c r="B9527" i="1"/>
  <c r="A9527" i="1"/>
  <c r="A9526" i="1"/>
  <c r="B9525" i="1"/>
  <c r="A9525" i="1"/>
  <c r="B9524" i="1"/>
  <c r="A9524" i="1"/>
  <c r="B9523" i="1"/>
  <c r="A9523" i="1"/>
  <c r="B9522" i="1"/>
  <c r="A9522" i="1"/>
  <c r="A9521" i="1"/>
  <c r="B9520" i="1"/>
  <c r="A9520" i="1"/>
  <c r="B9519" i="1"/>
  <c r="A9519" i="1"/>
  <c r="B9518" i="1"/>
  <c r="A9518" i="1"/>
  <c r="B9517" i="1"/>
  <c r="A9517" i="1"/>
  <c r="B9516" i="1"/>
  <c r="A9516" i="1"/>
  <c r="A9515" i="1"/>
  <c r="B9514" i="1"/>
  <c r="A9514" i="1"/>
  <c r="A9513" i="1"/>
  <c r="A9512" i="1"/>
  <c r="B9511" i="1"/>
  <c r="A9511" i="1"/>
  <c r="A9510" i="1"/>
  <c r="B9509" i="1"/>
  <c r="A9509" i="1"/>
  <c r="B9508" i="1"/>
  <c r="A9508" i="1"/>
  <c r="B9507" i="1"/>
  <c r="A9507" i="1"/>
  <c r="B9506" i="1"/>
  <c r="A9506" i="1"/>
  <c r="B9505" i="1"/>
  <c r="A9505" i="1"/>
  <c r="A9504" i="1"/>
  <c r="A9503" i="1"/>
  <c r="B9502" i="1"/>
  <c r="A9502" i="1"/>
  <c r="B9501" i="1"/>
  <c r="A9501" i="1"/>
  <c r="A9500" i="1"/>
  <c r="A9499" i="1"/>
  <c r="B9498" i="1"/>
  <c r="A9498" i="1"/>
  <c r="A9497" i="1"/>
  <c r="B9496" i="1"/>
  <c r="A9496" i="1"/>
  <c r="B9495" i="1"/>
  <c r="A9495" i="1"/>
  <c r="A9494" i="1"/>
  <c r="B9493" i="1"/>
  <c r="A9493" i="1"/>
  <c r="B9492" i="1"/>
  <c r="A9492" i="1"/>
  <c r="B9491" i="1"/>
  <c r="A9491" i="1"/>
  <c r="B9490" i="1"/>
  <c r="A9490" i="1"/>
  <c r="B9489" i="1"/>
  <c r="A9489" i="1"/>
  <c r="B9488" i="1"/>
  <c r="A9488" i="1"/>
  <c r="B9487" i="1"/>
  <c r="A9487" i="1"/>
  <c r="A9486" i="1"/>
  <c r="B9485" i="1"/>
  <c r="A9485" i="1"/>
  <c r="B9484" i="1"/>
  <c r="A9484" i="1"/>
  <c r="B9483" i="1"/>
  <c r="A9483" i="1"/>
  <c r="B9482" i="1"/>
  <c r="A9482" i="1"/>
  <c r="B9481" i="1"/>
  <c r="A9481" i="1"/>
  <c r="B9480" i="1"/>
  <c r="A9480" i="1"/>
  <c r="B9479" i="1"/>
  <c r="A9479" i="1"/>
  <c r="B9478" i="1"/>
  <c r="A9478" i="1"/>
  <c r="B9477" i="1"/>
  <c r="A9477" i="1"/>
  <c r="B9476" i="1"/>
  <c r="A9476" i="1"/>
  <c r="B9475" i="1"/>
  <c r="A9475" i="1"/>
  <c r="A9474" i="1"/>
  <c r="A9473" i="1"/>
  <c r="B9472" i="1"/>
  <c r="A9472" i="1"/>
  <c r="B9471" i="1"/>
  <c r="A9471" i="1"/>
  <c r="B9470" i="1"/>
  <c r="A9470" i="1"/>
  <c r="A9469" i="1"/>
  <c r="B9468" i="1"/>
  <c r="A9468" i="1"/>
  <c r="B9467" i="1"/>
  <c r="A9467" i="1"/>
  <c r="B9466" i="1"/>
  <c r="A9466" i="1"/>
  <c r="B9465" i="1"/>
  <c r="A9465" i="1"/>
  <c r="B9464" i="1"/>
  <c r="A9464" i="1"/>
  <c r="B9463" i="1"/>
  <c r="A9463" i="1"/>
  <c r="A9462" i="1"/>
  <c r="B9461" i="1"/>
  <c r="A9461" i="1"/>
  <c r="B9460" i="1"/>
  <c r="A9460" i="1"/>
  <c r="B9459" i="1"/>
  <c r="A9459" i="1"/>
  <c r="B9458" i="1"/>
  <c r="A9458" i="1"/>
  <c r="A9457" i="1"/>
  <c r="A9456" i="1"/>
  <c r="A9455" i="1"/>
  <c r="B9454" i="1"/>
  <c r="A9454" i="1"/>
  <c r="B9453" i="1"/>
  <c r="A9453" i="1"/>
  <c r="B9452" i="1"/>
  <c r="A9452" i="1"/>
  <c r="B9451" i="1"/>
  <c r="A9451" i="1"/>
  <c r="B9450" i="1"/>
  <c r="A9450" i="1"/>
  <c r="B9449" i="1"/>
  <c r="A9449" i="1"/>
  <c r="B9448" i="1"/>
  <c r="A9448" i="1"/>
  <c r="B9447" i="1"/>
  <c r="A9447" i="1"/>
  <c r="B9446" i="1"/>
  <c r="A9446" i="1"/>
  <c r="A9445" i="1"/>
  <c r="A9444" i="1"/>
  <c r="A9443" i="1"/>
  <c r="A9442" i="1"/>
  <c r="A9441" i="1"/>
  <c r="A9440" i="1"/>
  <c r="A9439" i="1"/>
  <c r="B9438" i="1"/>
  <c r="A9438" i="1"/>
  <c r="B9437" i="1"/>
  <c r="A9437" i="1"/>
  <c r="A9436" i="1"/>
  <c r="B9435" i="1"/>
  <c r="A9435" i="1"/>
  <c r="A9434" i="1"/>
  <c r="B9433" i="1"/>
  <c r="A9433" i="1"/>
  <c r="B9432" i="1"/>
  <c r="A9432" i="1"/>
  <c r="B9431" i="1"/>
  <c r="A9431" i="1"/>
  <c r="B9430" i="1"/>
  <c r="A9430" i="1"/>
  <c r="A9429" i="1"/>
  <c r="A9428" i="1"/>
  <c r="B9427" i="1"/>
  <c r="A9427" i="1"/>
  <c r="B9426" i="1"/>
  <c r="A9426" i="1"/>
  <c r="B9425" i="1"/>
  <c r="A9425" i="1"/>
  <c r="B9424" i="1"/>
  <c r="A9424" i="1"/>
  <c r="B9423" i="1"/>
  <c r="A9423" i="1"/>
  <c r="B9422" i="1"/>
  <c r="A9422" i="1"/>
  <c r="B9421" i="1"/>
  <c r="A9421" i="1"/>
  <c r="B9420" i="1"/>
  <c r="A9420" i="1"/>
  <c r="B9419" i="1"/>
  <c r="A9419" i="1"/>
  <c r="B9418" i="1"/>
  <c r="A9418" i="1"/>
  <c r="A9417" i="1"/>
  <c r="A9416" i="1"/>
  <c r="B9415" i="1"/>
  <c r="A9415" i="1"/>
  <c r="B9414" i="1"/>
  <c r="A9414" i="1"/>
  <c r="B9413" i="1"/>
  <c r="A9413" i="1"/>
  <c r="B9412" i="1"/>
  <c r="A9412" i="1"/>
  <c r="B9411" i="1"/>
  <c r="A9411" i="1"/>
  <c r="B9410" i="1"/>
  <c r="A9410" i="1"/>
  <c r="A9409" i="1"/>
  <c r="A9408" i="1"/>
  <c r="B9407" i="1"/>
  <c r="A9407" i="1"/>
  <c r="B9406" i="1"/>
  <c r="A9406" i="1"/>
  <c r="B9405" i="1"/>
  <c r="A9405" i="1"/>
  <c r="B9404" i="1"/>
  <c r="A9404" i="1"/>
  <c r="B9403" i="1"/>
  <c r="A9403" i="1"/>
  <c r="B9402" i="1"/>
  <c r="A9402" i="1"/>
  <c r="B9401" i="1"/>
  <c r="A9401" i="1"/>
  <c r="A9400" i="1"/>
  <c r="B9399" i="1"/>
  <c r="A9399" i="1"/>
  <c r="B9398" i="1"/>
  <c r="A9398" i="1"/>
  <c r="B9397" i="1"/>
  <c r="A9397" i="1"/>
  <c r="A9396" i="1"/>
  <c r="A9395" i="1"/>
  <c r="B9394" i="1"/>
  <c r="A9394" i="1"/>
  <c r="B9393" i="1"/>
  <c r="A9393" i="1"/>
  <c r="A9392" i="1"/>
  <c r="B9391" i="1"/>
  <c r="A9391" i="1"/>
  <c r="B9390" i="1"/>
  <c r="A9390" i="1"/>
  <c r="B9389" i="1"/>
  <c r="A9389" i="1"/>
  <c r="A9388" i="1"/>
  <c r="A9387" i="1"/>
  <c r="B9386" i="1"/>
  <c r="A9386" i="1"/>
  <c r="A9385" i="1"/>
  <c r="A9384" i="1"/>
  <c r="A9383" i="1"/>
  <c r="B9382" i="1"/>
  <c r="A9382" i="1"/>
  <c r="A9381" i="1"/>
  <c r="B9380" i="1"/>
  <c r="A9380" i="1"/>
  <c r="B9379" i="1"/>
  <c r="A9379" i="1"/>
  <c r="B9378" i="1"/>
  <c r="A9378" i="1"/>
  <c r="B9377" i="1"/>
  <c r="A9377" i="1"/>
  <c r="B9376" i="1"/>
  <c r="A9376" i="1"/>
  <c r="A9375" i="1"/>
  <c r="B9374" i="1"/>
  <c r="A9374" i="1"/>
  <c r="B9373" i="1"/>
  <c r="A9373" i="1"/>
  <c r="B9372" i="1"/>
  <c r="A9372" i="1"/>
  <c r="B9371" i="1"/>
  <c r="A9371" i="1"/>
  <c r="A9370" i="1"/>
  <c r="B9369" i="1"/>
  <c r="A9369" i="1"/>
  <c r="A9368" i="1"/>
  <c r="B9367" i="1"/>
  <c r="A9367" i="1"/>
  <c r="B9366" i="1"/>
  <c r="A9366" i="1"/>
  <c r="B9365" i="1"/>
  <c r="A9365" i="1"/>
  <c r="B9364" i="1"/>
  <c r="A9364" i="1"/>
  <c r="B9363" i="1"/>
  <c r="A9363" i="1"/>
  <c r="B9362" i="1"/>
  <c r="A9362" i="1"/>
  <c r="B9361" i="1"/>
  <c r="A9361" i="1"/>
  <c r="B9360" i="1"/>
  <c r="A9360" i="1"/>
  <c r="B9359" i="1"/>
  <c r="A9359" i="1"/>
  <c r="B9358" i="1"/>
  <c r="A9358" i="1"/>
  <c r="B9357" i="1"/>
  <c r="A9357" i="1"/>
  <c r="B9356" i="1"/>
  <c r="A9356" i="1"/>
  <c r="B9355" i="1"/>
  <c r="A9355" i="1"/>
  <c r="B9354" i="1"/>
  <c r="A9354" i="1"/>
  <c r="A9353" i="1"/>
  <c r="B9352" i="1"/>
  <c r="A9352" i="1"/>
  <c r="B9351" i="1"/>
  <c r="A9351" i="1"/>
  <c r="B9350" i="1"/>
  <c r="A9350" i="1"/>
  <c r="B9349" i="1"/>
  <c r="A9349" i="1"/>
  <c r="B9348" i="1"/>
  <c r="A9348" i="1"/>
  <c r="B9347" i="1"/>
  <c r="A9347" i="1"/>
  <c r="B9346" i="1"/>
  <c r="A9346" i="1"/>
  <c r="B9345" i="1"/>
  <c r="A9345" i="1"/>
  <c r="B9344" i="1"/>
  <c r="A9344" i="1"/>
  <c r="B9343" i="1"/>
  <c r="A9343" i="1"/>
  <c r="A9342" i="1"/>
  <c r="B9341" i="1"/>
  <c r="A9341" i="1"/>
  <c r="B9340" i="1"/>
  <c r="A9340" i="1"/>
  <c r="A9339" i="1"/>
  <c r="B9338" i="1"/>
  <c r="A9338" i="1"/>
  <c r="A9337" i="1"/>
  <c r="B9336" i="1"/>
  <c r="A9336" i="1"/>
  <c r="A9335" i="1"/>
  <c r="A9334" i="1"/>
  <c r="B9333" i="1"/>
  <c r="A9333" i="1"/>
  <c r="A9332" i="1"/>
  <c r="A9331" i="1"/>
  <c r="B9330" i="1"/>
  <c r="A9330" i="1"/>
  <c r="B9329" i="1"/>
  <c r="A9329" i="1"/>
  <c r="A9328" i="1"/>
  <c r="B9327" i="1"/>
  <c r="A9327" i="1"/>
  <c r="B9326" i="1"/>
  <c r="A9326" i="1"/>
  <c r="B9325" i="1"/>
  <c r="A9325" i="1"/>
  <c r="B9324" i="1"/>
  <c r="A9324" i="1"/>
  <c r="B9323" i="1"/>
  <c r="A9323" i="1"/>
  <c r="B9322" i="1"/>
  <c r="A9322" i="1"/>
  <c r="A9321" i="1"/>
  <c r="B9320" i="1"/>
  <c r="A9320" i="1"/>
  <c r="A9319" i="1"/>
  <c r="B9318" i="1"/>
  <c r="A9318" i="1"/>
  <c r="B9317" i="1"/>
  <c r="A9317" i="1"/>
  <c r="A9316" i="1"/>
  <c r="B9315" i="1"/>
  <c r="A9315" i="1"/>
  <c r="B9314" i="1"/>
  <c r="A9314" i="1"/>
  <c r="B9313" i="1"/>
  <c r="A9313" i="1"/>
  <c r="A9312" i="1"/>
  <c r="B9311" i="1"/>
  <c r="A9311" i="1"/>
  <c r="A9310" i="1"/>
  <c r="B9309" i="1"/>
  <c r="A9309" i="1"/>
  <c r="B9308" i="1"/>
  <c r="A9308" i="1"/>
  <c r="A9307" i="1"/>
  <c r="B9306" i="1"/>
  <c r="A9306" i="1"/>
  <c r="A9305" i="1"/>
  <c r="B9304" i="1"/>
  <c r="A9304" i="1"/>
  <c r="A9303" i="1"/>
  <c r="A9302" i="1"/>
  <c r="A9301" i="1"/>
  <c r="B9300" i="1"/>
  <c r="A9300" i="1"/>
  <c r="B9299" i="1"/>
  <c r="A9299" i="1"/>
  <c r="B9298" i="1"/>
  <c r="A9298" i="1"/>
  <c r="A9297" i="1"/>
  <c r="B9296" i="1"/>
  <c r="A9296" i="1"/>
  <c r="A9295" i="1"/>
  <c r="A9294" i="1"/>
  <c r="B9293" i="1"/>
  <c r="A9293" i="1"/>
  <c r="A9292" i="1"/>
  <c r="B9291" i="1"/>
  <c r="A9291" i="1"/>
  <c r="A9290" i="1"/>
  <c r="A9289" i="1"/>
  <c r="B9288" i="1"/>
  <c r="A9288" i="1"/>
  <c r="B9287" i="1"/>
  <c r="A9287" i="1"/>
  <c r="A9286" i="1"/>
  <c r="B9285" i="1"/>
  <c r="A9285" i="1"/>
  <c r="A9284" i="1"/>
  <c r="A9283" i="1"/>
  <c r="A9282" i="1"/>
  <c r="B9281" i="1"/>
  <c r="A9281" i="1"/>
  <c r="B9280" i="1"/>
  <c r="A9280" i="1"/>
  <c r="B9279" i="1"/>
  <c r="A9279" i="1"/>
  <c r="B9278" i="1"/>
  <c r="A9278" i="1"/>
  <c r="A9277" i="1"/>
  <c r="A9276" i="1"/>
  <c r="B9275" i="1"/>
  <c r="A9275" i="1"/>
  <c r="A9274" i="1"/>
  <c r="A9273" i="1"/>
  <c r="A9272" i="1"/>
  <c r="A9271" i="1"/>
  <c r="B9270" i="1"/>
  <c r="A9270" i="1"/>
  <c r="A9269" i="1"/>
  <c r="A9268" i="1"/>
  <c r="B9267" i="1"/>
  <c r="A9267" i="1"/>
  <c r="B9266" i="1"/>
  <c r="A9266" i="1"/>
  <c r="B9265" i="1"/>
  <c r="A9265" i="1"/>
  <c r="A9264" i="1"/>
  <c r="A9263" i="1"/>
  <c r="A9262" i="1"/>
  <c r="A9261" i="1"/>
  <c r="A9260" i="1"/>
  <c r="B9259" i="1"/>
  <c r="A9259" i="1"/>
  <c r="B9258" i="1"/>
  <c r="A9258" i="1"/>
  <c r="A9257" i="1"/>
  <c r="B9256" i="1"/>
  <c r="A9256" i="1"/>
  <c r="A9255" i="1"/>
  <c r="A9254" i="1"/>
  <c r="B9253" i="1"/>
  <c r="A9253" i="1"/>
  <c r="B9252" i="1"/>
  <c r="A9252" i="1"/>
  <c r="B9251" i="1"/>
  <c r="A9251" i="1"/>
  <c r="B9250" i="1"/>
  <c r="A9250" i="1"/>
  <c r="B9249" i="1"/>
  <c r="A9249" i="1"/>
  <c r="B9248" i="1"/>
  <c r="A9248" i="1"/>
  <c r="B9247" i="1"/>
  <c r="A9247" i="1"/>
  <c r="B9246" i="1"/>
  <c r="A9246" i="1"/>
  <c r="B9245" i="1"/>
  <c r="A9245" i="1"/>
  <c r="A9244" i="1"/>
  <c r="B9243" i="1"/>
  <c r="A9243" i="1"/>
  <c r="B9242" i="1"/>
  <c r="A9242" i="1"/>
  <c r="B9241" i="1"/>
  <c r="A9241" i="1"/>
  <c r="A9240" i="1"/>
  <c r="B9239" i="1"/>
  <c r="A9239" i="1"/>
  <c r="B9238" i="1"/>
  <c r="A9238" i="1"/>
  <c r="B9237" i="1"/>
  <c r="A9237" i="1"/>
  <c r="B9236" i="1"/>
  <c r="A9236" i="1"/>
  <c r="A9235" i="1"/>
  <c r="B9234" i="1"/>
  <c r="A9234" i="1"/>
  <c r="A9233" i="1"/>
  <c r="A9232" i="1"/>
  <c r="B9231" i="1"/>
  <c r="A9231" i="1"/>
  <c r="A9230" i="1"/>
  <c r="B9229" i="1"/>
  <c r="A9229" i="1"/>
  <c r="B9228" i="1"/>
  <c r="A9228" i="1"/>
  <c r="A9227" i="1"/>
  <c r="B9226" i="1"/>
  <c r="A9226" i="1"/>
  <c r="A9225" i="1"/>
  <c r="A9224" i="1"/>
  <c r="A9223" i="1"/>
  <c r="B9222" i="1"/>
  <c r="A9222" i="1"/>
  <c r="A9221" i="1"/>
  <c r="B9220" i="1"/>
  <c r="A9220" i="1"/>
  <c r="A9219" i="1"/>
  <c r="A9218" i="1"/>
  <c r="A9217" i="1"/>
  <c r="A9216" i="1"/>
  <c r="B9215" i="1"/>
  <c r="A9215" i="1"/>
  <c r="A9214" i="1"/>
  <c r="A9213" i="1"/>
  <c r="B9212" i="1"/>
  <c r="A9212" i="1"/>
  <c r="A9211" i="1"/>
  <c r="B9210" i="1"/>
  <c r="A9210" i="1"/>
  <c r="A9209" i="1"/>
  <c r="A9208" i="1"/>
  <c r="A9207" i="1"/>
  <c r="B9206" i="1"/>
  <c r="A9206" i="1"/>
  <c r="A9205" i="1"/>
  <c r="B9204" i="1"/>
  <c r="A9204" i="1"/>
  <c r="A9203" i="1"/>
  <c r="A9202" i="1"/>
  <c r="B9201" i="1"/>
  <c r="A9201" i="1"/>
  <c r="B9200" i="1"/>
  <c r="A9200" i="1"/>
  <c r="A9199" i="1"/>
  <c r="A9198" i="1"/>
  <c r="B9197" i="1"/>
  <c r="A9197" i="1"/>
  <c r="A9196" i="1"/>
  <c r="A9195" i="1"/>
  <c r="A9194" i="1"/>
  <c r="A9193" i="1"/>
  <c r="B9192" i="1"/>
  <c r="A9192" i="1"/>
  <c r="B9191" i="1"/>
  <c r="A9191" i="1"/>
  <c r="B9190" i="1"/>
  <c r="A9190" i="1"/>
  <c r="A9189" i="1"/>
  <c r="A9188" i="1"/>
  <c r="B9187" i="1"/>
  <c r="A9187" i="1"/>
  <c r="B9186" i="1"/>
  <c r="A9186" i="1"/>
  <c r="A9185" i="1"/>
  <c r="B9184" i="1"/>
  <c r="A9184" i="1"/>
  <c r="B9183" i="1"/>
  <c r="A9183" i="1"/>
  <c r="B9182" i="1"/>
  <c r="A9182" i="1"/>
  <c r="A9181" i="1"/>
  <c r="A9180" i="1"/>
  <c r="A9179" i="1"/>
  <c r="A9178" i="1"/>
  <c r="A9177" i="1"/>
  <c r="B9176" i="1"/>
  <c r="A9176" i="1"/>
  <c r="A9175" i="1"/>
  <c r="A9174" i="1"/>
  <c r="A9173" i="1"/>
  <c r="B9172" i="1"/>
  <c r="A9172" i="1"/>
  <c r="B9171" i="1"/>
  <c r="A9171" i="1"/>
  <c r="B9170" i="1"/>
  <c r="A9170" i="1"/>
  <c r="A9169" i="1"/>
  <c r="B9168" i="1"/>
  <c r="A9168" i="1"/>
  <c r="A9167" i="1"/>
  <c r="A9166" i="1"/>
  <c r="A9165" i="1"/>
  <c r="B9164" i="1"/>
  <c r="A9164" i="1"/>
  <c r="B9163" i="1"/>
  <c r="A9163" i="1"/>
  <c r="B9162" i="1"/>
  <c r="A9162" i="1"/>
  <c r="B9161" i="1"/>
  <c r="A9161" i="1"/>
  <c r="B9160" i="1"/>
  <c r="A9160" i="1"/>
  <c r="B9159" i="1"/>
  <c r="A9159" i="1"/>
  <c r="B9158" i="1"/>
  <c r="A9158" i="1"/>
  <c r="B9157" i="1"/>
  <c r="A9157" i="1"/>
  <c r="B9156" i="1"/>
  <c r="A9156" i="1"/>
  <c r="B9155" i="1"/>
  <c r="A9155" i="1"/>
  <c r="B9154" i="1"/>
  <c r="A9154" i="1"/>
  <c r="B9153" i="1"/>
  <c r="A9153" i="1"/>
  <c r="A9152" i="1"/>
  <c r="B9151" i="1"/>
  <c r="A9151" i="1"/>
  <c r="B9150" i="1"/>
  <c r="A9150" i="1"/>
  <c r="B9149" i="1"/>
  <c r="A9149" i="1"/>
  <c r="A9148" i="1"/>
  <c r="A9147" i="1"/>
  <c r="B9146" i="1"/>
  <c r="A9146" i="1"/>
  <c r="B9145" i="1"/>
  <c r="A9145" i="1"/>
  <c r="A9144" i="1"/>
  <c r="B9143" i="1"/>
  <c r="A9143" i="1"/>
  <c r="A9142" i="1"/>
  <c r="B9141" i="1"/>
  <c r="A9141" i="1"/>
  <c r="B9140" i="1"/>
  <c r="A9140" i="1"/>
  <c r="B9139" i="1"/>
  <c r="A9139" i="1"/>
  <c r="A9138" i="1"/>
  <c r="A9137" i="1"/>
  <c r="A9136" i="1"/>
  <c r="B9135" i="1"/>
  <c r="A9135" i="1"/>
  <c r="B9134" i="1"/>
  <c r="A9134" i="1"/>
  <c r="A9133" i="1"/>
  <c r="B9132" i="1"/>
  <c r="A9132" i="1"/>
  <c r="A9131" i="1"/>
  <c r="A9130" i="1"/>
  <c r="B9129" i="1"/>
  <c r="A9129" i="1"/>
  <c r="B9128" i="1"/>
  <c r="A9128" i="1"/>
  <c r="A9127" i="1"/>
  <c r="A9126" i="1"/>
  <c r="B9125" i="1"/>
  <c r="A9125" i="1"/>
  <c r="B9124" i="1"/>
  <c r="A9124" i="1"/>
  <c r="B9123" i="1"/>
  <c r="A9123" i="1"/>
  <c r="B9122" i="1"/>
  <c r="A9122" i="1"/>
  <c r="B9121" i="1"/>
  <c r="A9121" i="1"/>
  <c r="A9120" i="1"/>
  <c r="B9119" i="1"/>
  <c r="A9119" i="1"/>
  <c r="B9118" i="1"/>
  <c r="A9118" i="1"/>
  <c r="B9117" i="1"/>
  <c r="A9117" i="1"/>
  <c r="A9116" i="1"/>
  <c r="B9115" i="1"/>
  <c r="A9115" i="1"/>
  <c r="B9114" i="1"/>
  <c r="A9114" i="1"/>
  <c r="B9113" i="1"/>
  <c r="A9113" i="1"/>
  <c r="A9112" i="1"/>
  <c r="B9111" i="1"/>
  <c r="A9111" i="1"/>
  <c r="B9110" i="1"/>
  <c r="A9110" i="1"/>
  <c r="A9109" i="1"/>
  <c r="A9108" i="1"/>
  <c r="B9107" i="1"/>
  <c r="A9107" i="1"/>
  <c r="B9106" i="1"/>
  <c r="A9106" i="1"/>
  <c r="A9105" i="1"/>
  <c r="A9104" i="1"/>
  <c r="A9103" i="1"/>
  <c r="B9102" i="1"/>
  <c r="A9102" i="1"/>
  <c r="B9101" i="1"/>
  <c r="A9101" i="1"/>
  <c r="B9100" i="1"/>
  <c r="A9100" i="1"/>
  <c r="A9099" i="1"/>
  <c r="B9098" i="1"/>
  <c r="A9098" i="1"/>
  <c r="B9097" i="1"/>
  <c r="A9097" i="1"/>
  <c r="A9096" i="1"/>
  <c r="B9095" i="1"/>
  <c r="A9095" i="1"/>
  <c r="A9094" i="1"/>
  <c r="B9093" i="1"/>
  <c r="A9093" i="1"/>
  <c r="A9092" i="1"/>
  <c r="B9091" i="1"/>
  <c r="A9091" i="1"/>
  <c r="A9090" i="1"/>
  <c r="B9089" i="1"/>
  <c r="A9089" i="1"/>
  <c r="A9088" i="1"/>
  <c r="B9087" i="1"/>
  <c r="A9087" i="1"/>
  <c r="A9086" i="1"/>
  <c r="A9085" i="1"/>
  <c r="B9084" i="1"/>
  <c r="A9084" i="1"/>
  <c r="B9083" i="1"/>
  <c r="A9083" i="1"/>
  <c r="A9082" i="1"/>
  <c r="B9081" i="1"/>
  <c r="A9081" i="1"/>
  <c r="A9080" i="1"/>
  <c r="B9079" i="1"/>
  <c r="A9079" i="1"/>
  <c r="B9078" i="1"/>
  <c r="A9078" i="1"/>
  <c r="B9077" i="1"/>
  <c r="A9077" i="1"/>
  <c r="B9076" i="1"/>
  <c r="A9076" i="1"/>
  <c r="B9075" i="1"/>
  <c r="A9075" i="1"/>
  <c r="B9074" i="1"/>
  <c r="A9074" i="1"/>
  <c r="A9073" i="1"/>
  <c r="A9072" i="1"/>
  <c r="A9071" i="1"/>
  <c r="A9070" i="1"/>
  <c r="A9069" i="1"/>
  <c r="B9068" i="1"/>
  <c r="A9068" i="1"/>
  <c r="B9067" i="1"/>
  <c r="A9067" i="1"/>
  <c r="B9066" i="1"/>
  <c r="A9066" i="1"/>
  <c r="B9065" i="1"/>
  <c r="A9065" i="1"/>
  <c r="B9064" i="1"/>
  <c r="A9064" i="1"/>
  <c r="B9063" i="1"/>
  <c r="A9063" i="1"/>
  <c r="B9062" i="1"/>
  <c r="A9062" i="1"/>
  <c r="A9061" i="1"/>
  <c r="B9060" i="1"/>
  <c r="A9060" i="1"/>
  <c r="B9059" i="1"/>
  <c r="A9059" i="1"/>
  <c r="B9058" i="1"/>
  <c r="A9058" i="1"/>
  <c r="A9057" i="1"/>
  <c r="B9056" i="1"/>
  <c r="A9056" i="1"/>
  <c r="A9055" i="1"/>
  <c r="A9054" i="1"/>
  <c r="B9053" i="1"/>
  <c r="A9053" i="1"/>
  <c r="A9052" i="1"/>
  <c r="B9051" i="1"/>
  <c r="A9051" i="1"/>
  <c r="A9050" i="1"/>
  <c r="A9049" i="1"/>
  <c r="B9048" i="1"/>
  <c r="A9048" i="1"/>
  <c r="B9047" i="1"/>
  <c r="A9047" i="1"/>
  <c r="B9046" i="1"/>
  <c r="A9046" i="1"/>
  <c r="B9045" i="1"/>
  <c r="A9045" i="1"/>
  <c r="A9044" i="1"/>
  <c r="B9043" i="1"/>
  <c r="A9043" i="1"/>
  <c r="B9042" i="1"/>
  <c r="A9042" i="1"/>
  <c r="B9041" i="1"/>
  <c r="A9041" i="1"/>
  <c r="B9040" i="1"/>
  <c r="A9040" i="1"/>
  <c r="B9039" i="1"/>
  <c r="A9039" i="1"/>
  <c r="A9038" i="1"/>
  <c r="B9037" i="1"/>
  <c r="A9037" i="1"/>
  <c r="B9036" i="1"/>
  <c r="A9036" i="1"/>
  <c r="B9035" i="1"/>
  <c r="A9035" i="1"/>
  <c r="B9034" i="1"/>
  <c r="A9034" i="1"/>
  <c r="B9033" i="1"/>
  <c r="A9033" i="1"/>
  <c r="A9032" i="1"/>
  <c r="A9031" i="1"/>
  <c r="B9030" i="1"/>
  <c r="A9030" i="1"/>
  <c r="B9029" i="1"/>
  <c r="A9029" i="1"/>
  <c r="B9028" i="1"/>
  <c r="A9028" i="1"/>
  <c r="B9027" i="1"/>
  <c r="A9027" i="1"/>
  <c r="B9026" i="1"/>
  <c r="A9026" i="1"/>
  <c r="A9025" i="1"/>
  <c r="B9024" i="1"/>
  <c r="A9024" i="1"/>
  <c r="B9023" i="1"/>
  <c r="A9023" i="1"/>
  <c r="B9022" i="1"/>
  <c r="A9022" i="1"/>
  <c r="B9021" i="1"/>
  <c r="A9021" i="1"/>
  <c r="A9020" i="1"/>
  <c r="A9019" i="1"/>
  <c r="B9018" i="1"/>
  <c r="A9018" i="1"/>
  <c r="B9017" i="1"/>
  <c r="A9017" i="1"/>
  <c r="B9016" i="1"/>
  <c r="A9016" i="1"/>
  <c r="B9015" i="1"/>
  <c r="A9015" i="1"/>
  <c r="A9014" i="1"/>
  <c r="B9013" i="1"/>
  <c r="A9013" i="1"/>
  <c r="A9012" i="1"/>
  <c r="B9011" i="1"/>
  <c r="A9011" i="1"/>
  <c r="B9010" i="1"/>
  <c r="A9010" i="1"/>
  <c r="B9009" i="1"/>
  <c r="A9009" i="1"/>
  <c r="A9008" i="1"/>
  <c r="B9007" i="1"/>
  <c r="A9007" i="1"/>
  <c r="B9006" i="1"/>
  <c r="A9006" i="1"/>
  <c r="B9005" i="1"/>
  <c r="A9005" i="1"/>
  <c r="B9004" i="1"/>
  <c r="A9004" i="1"/>
  <c r="B9003" i="1"/>
  <c r="A9003" i="1"/>
  <c r="A9002" i="1"/>
  <c r="B9001" i="1"/>
  <c r="A9001" i="1"/>
  <c r="B9000" i="1"/>
  <c r="A9000" i="1"/>
  <c r="B8999" i="1"/>
  <c r="A8999" i="1"/>
  <c r="B8998" i="1"/>
  <c r="A8998" i="1"/>
  <c r="B8997" i="1"/>
  <c r="A8997" i="1"/>
  <c r="A8996" i="1"/>
  <c r="B8995" i="1"/>
  <c r="A8995" i="1"/>
  <c r="B8994" i="1"/>
  <c r="A8994" i="1"/>
  <c r="B8993" i="1"/>
  <c r="A8993" i="1"/>
  <c r="A8992" i="1"/>
  <c r="B8991" i="1"/>
  <c r="A8991" i="1"/>
  <c r="B8990" i="1"/>
  <c r="A8990" i="1"/>
  <c r="A8989" i="1"/>
  <c r="B8988" i="1"/>
  <c r="A8988" i="1"/>
  <c r="B8987" i="1"/>
  <c r="A8987" i="1"/>
  <c r="B8986" i="1"/>
  <c r="A8986" i="1"/>
  <c r="B8985" i="1"/>
  <c r="A8985" i="1"/>
  <c r="B8984" i="1"/>
  <c r="A8984" i="1"/>
  <c r="A8983" i="1"/>
  <c r="B8982" i="1"/>
  <c r="A8982" i="1"/>
  <c r="B8981" i="1"/>
  <c r="A8981" i="1"/>
  <c r="B8980" i="1"/>
  <c r="A8980" i="1"/>
  <c r="B8979" i="1"/>
  <c r="A8979" i="1"/>
  <c r="A8978" i="1"/>
  <c r="B8977" i="1"/>
  <c r="A8977" i="1"/>
  <c r="B8976" i="1"/>
  <c r="A8976" i="1"/>
  <c r="B8975" i="1"/>
  <c r="A8975" i="1"/>
  <c r="B8974" i="1"/>
  <c r="A8974" i="1"/>
  <c r="B8973" i="1"/>
  <c r="A8973" i="1"/>
  <c r="A8972" i="1"/>
  <c r="B8971" i="1"/>
  <c r="A8971" i="1"/>
  <c r="B8970" i="1"/>
  <c r="A8970" i="1"/>
  <c r="A8969" i="1"/>
  <c r="B8968" i="1"/>
  <c r="A8968" i="1"/>
  <c r="B8967" i="1"/>
  <c r="A8967" i="1"/>
  <c r="A8966" i="1"/>
  <c r="B8965" i="1"/>
  <c r="A8965" i="1"/>
  <c r="B8964" i="1"/>
  <c r="A8964" i="1"/>
  <c r="B8963" i="1"/>
  <c r="A8963" i="1"/>
  <c r="B8962" i="1"/>
  <c r="A8962" i="1"/>
  <c r="B8961" i="1"/>
  <c r="A8961" i="1"/>
  <c r="B8960" i="1"/>
  <c r="A8960" i="1"/>
  <c r="A8959" i="1"/>
  <c r="A8958" i="1"/>
  <c r="A8957" i="1"/>
  <c r="B8956" i="1"/>
  <c r="A8956" i="1"/>
  <c r="B8955" i="1"/>
  <c r="A8955" i="1"/>
  <c r="A8954" i="1"/>
  <c r="B8953" i="1"/>
  <c r="A8953" i="1"/>
  <c r="B8952" i="1"/>
  <c r="A8952" i="1"/>
  <c r="A8951" i="1"/>
  <c r="A8950" i="1"/>
  <c r="B8949" i="1"/>
  <c r="A8949" i="1"/>
  <c r="B8948" i="1"/>
  <c r="A8948" i="1"/>
  <c r="B8947" i="1"/>
  <c r="A8947" i="1"/>
  <c r="B8946" i="1"/>
  <c r="A8946" i="1"/>
  <c r="B8945" i="1"/>
  <c r="A8945" i="1"/>
  <c r="B8944" i="1"/>
  <c r="A8944" i="1"/>
  <c r="A8943" i="1"/>
  <c r="A8942" i="1"/>
  <c r="B8941" i="1"/>
  <c r="A8941" i="1"/>
  <c r="A8940" i="1"/>
  <c r="A8939" i="1"/>
  <c r="A8938" i="1"/>
  <c r="B8937" i="1"/>
  <c r="A8937" i="1"/>
  <c r="A8936" i="1"/>
  <c r="B8935" i="1"/>
  <c r="A8935" i="1"/>
  <c r="B8934" i="1"/>
  <c r="A8934" i="1"/>
  <c r="B8933" i="1"/>
  <c r="A8933" i="1"/>
  <c r="A8932" i="1"/>
  <c r="B8931" i="1"/>
  <c r="A8931" i="1"/>
  <c r="B8930" i="1"/>
  <c r="A8930" i="1"/>
  <c r="B8929" i="1"/>
  <c r="A8929" i="1"/>
  <c r="A8928" i="1"/>
  <c r="A8927" i="1"/>
  <c r="A8926" i="1"/>
  <c r="A8925" i="1"/>
  <c r="A8924" i="1"/>
  <c r="B8923" i="1"/>
  <c r="A8923" i="1"/>
  <c r="A8922" i="1"/>
  <c r="B8921" i="1"/>
  <c r="A8921" i="1"/>
  <c r="B8920" i="1"/>
  <c r="A8920" i="1"/>
  <c r="B8919" i="1"/>
  <c r="A8919" i="1"/>
  <c r="B8918" i="1"/>
  <c r="A8918" i="1"/>
  <c r="B8917" i="1"/>
  <c r="A8917" i="1"/>
  <c r="B8916" i="1"/>
  <c r="A8916" i="1"/>
  <c r="B8915" i="1"/>
  <c r="A8915" i="1"/>
  <c r="B8914" i="1"/>
  <c r="A8914" i="1"/>
  <c r="A8913" i="1"/>
  <c r="B8912" i="1"/>
  <c r="A8912" i="1"/>
  <c r="B8911" i="1"/>
  <c r="A8911" i="1"/>
  <c r="B8910" i="1"/>
  <c r="A8910" i="1"/>
  <c r="A8909" i="1"/>
  <c r="B8908" i="1"/>
  <c r="A8908" i="1"/>
  <c r="B8907" i="1"/>
  <c r="A8907" i="1"/>
  <c r="A8906" i="1"/>
  <c r="B8905" i="1"/>
  <c r="A8905" i="1"/>
  <c r="B8904" i="1"/>
  <c r="A8904" i="1"/>
  <c r="B8903" i="1"/>
  <c r="A8903" i="1"/>
  <c r="B8902" i="1"/>
  <c r="A8902" i="1"/>
  <c r="B8901" i="1"/>
  <c r="A8901" i="1"/>
  <c r="B8900" i="1"/>
  <c r="A8900" i="1"/>
  <c r="B8899" i="1"/>
  <c r="A8899" i="1"/>
  <c r="B8898" i="1"/>
  <c r="A8898" i="1"/>
  <c r="B8897" i="1"/>
  <c r="A8897" i="1"/>
  <c r="B8896" i="1"/>
  <c r="A8896" i="1"/>
  <c r="B8895" i="1"/>
  <c r="A8895" i="1"/>
  <c r="B8894" i="1"/>
  <c r="A8894" i="1"/>
  <c r="A8893" i="1"/>
  <c r="B8892" i="1"/>
  <c r="A8892" i="1"/>
  <c r="B8891" i="1"/>
  <c r="A8891" i="1"/>
  <c r="B8890" i="1"/>
  <c r="A8890" i="1"/>
  <c r="B8889" i="1"/>
  <c r="A8889" i="1"/>
  <c r="B8888" i="1"/>
  <c r="A8888" i="1"/>
  <c r="B8887" i="1"/>
  <c r="A8887" i="1"/>
  <c r="B8886" i="1"/>
  <c r="A8886" i="1"/>
  <c r="B8885" i="1"/>
  <c r="A8885" i="1"/>
  <c r="B8884" i="1"/>
  <c r="A8884" i="1"/>
  <c r="B8883" i="1"/>
  <c r="A8883" i="1"/>
  <c r="B8882" i="1"/>
  <c r="A8882" i="1"/>
  <c r="B8881" i="1"/>
  <c r="A8881" i="1"/>
  <c r="B8880" i="1"/>
  <c r="A8880" i="1"/>
  <c r="A8879" i="1"/>
  <c r="B8878" i="1"/>
  <c r="A8878" i="1"/>
  <c r="A8877" i="1"/>
  <c r="B8876" i="1"/>
  <c r="A8876" i="1"/>
  <c r="A8875" i="1"/>
  <c r="B8874" i="1"/>
  <c r="A8874" i="1"/>
  <c r="A8873" i="1"/>
  <c r="A8872" i="1"/>
  <c r="B8871" i="1"/>
  <c r="A8871" i="1"/>
  <c r="B8870" i="1"/>
  <c r="A8870" i="1"/>
  <c r="B8869" i="1"/>
  <c r="A8869" i="1"/>
  <c r="B8868" i="1"/>
  <c r="A8868" i="1"/>
  <c r="A8867" i="1"/>
  <c r="B8866" i="1"/>
  <c r="A8866" i="1"/>
  <c r="B8865" i="1"/>
  <c r="A8865" i="1"/>
  <c r="A8864" i="1"/>
  <c r="A8863" i="1"/>
  <c r="A8862" i="1"/>
  <c r="B8861" i="1"/>
  <c r="A8861" i="1"/>
  <c r="A8860" i="1"/>
  <c r="A8859" i="1"/>
  <c r="B8858" i="1"/>
  <c r="A8858" i="1"/>
  <c r="A8857" i="1"/>
  <c r="B8856" i="1"/>
  <c r="A8856" i="1"/>
  <c r="A8855" i="1"/>
  <c r="A8854" i="1"/>
  <c r="B8853" i="1"/>
  <c r="A8853" i="1"/>
  <c r="B8852" i="1"/>
  <c r="A8852" i="1"/>
  <c r="B8851" i="1"/>
  <c r="A8851" i="1"/>
  <c r="A8850" i="1"/>
  <c r="B8849" i="1"/>
  <c r="A8849" i="1"/>
  <c r="B8848" i="1"/>
  <c r="A8848" i="1"/>
  <c r="B8847" i="1"/>
  <c r="A8847" i="1"/>
  <c r="B8846" i="1"/>
  <c r="A8846" i="1"/>
  <c r="A8845" i="1"/>
  <c r="B8844" i="1"/>
  <c r="A8844" i="1"/>
  <c r="B8843" i="1"/>
  <c r="A8843" i="1"/>
  <c r="B8842" i="1"/>
  <c r="A8842" i="1"/>
  <c r="B8841" i="1"/>
  <c r="A8841" i="1"/>
  <c r="B8840" i="1"/>
  <c r="A8840" i="1"/>
  <c r="B8839" i="1"/>
  <c r="A8839" i="1"/>
  <c r="B8838" i="1"/>
  <c r="A8838" i="1"/>
  <c r="A8837" i="1"/>
  <c r="B8836" i="1"/>
  <c r="A8836" i="1"/>
  <c r="B8835" i="1"/>
  <c r="A8835" i="1"/>
  <c r="B8834" i="1"/>
  <c r="A8834" i="1"/>
  <c r="A8833" i="1"/>
  <c r="B8832" i="1"/>
  <c r="A8832" i="1"/>
  <c r="A8831" i="1"/>
  <c r="B8830" i="1"/>
  <c r="A8830" i="1"/>
  <c r="B8829" i="1"/>
  <c r="A8829" i="1"/>
  <c r="B8828" i="1"/>
  <c r="A8828" i="1"/>
  <c r="A8827" i="1"/>
  <c r="B8826" i="1"/>
  <c r="A8826" i="1"/>
  <c r="B8825" i="1"/>
  <c r="A8825" i="1"/>
  <c r="B8824" i="1"/>
  <c r="A8824" i="1"/>
  <c r="B8823" i="1"/>
  <c r="A8823" i="1"/>
  <c r="B8822" i="1"/>
  <c r="A8822" i="1"/>
  <c r="B8821" i="1"/>
  <c r="A8821" i="1"/>
  <c r="B8820" i="1"/>
  <c r="A8820" i="1"/>
  <c r="B8819" i="1"/>
  <c r="A8819" i="1"/>
  <c r="B8818" i="1"/>
  <c r="A8818" i="1"/>
  <c r="B8817" i="1"/>
  <c r="A8817" i="1"/>
  <c r="B8816" i="1"/>
  <c r="A8816" i="1"/>
  <c r="A8815" i="1"/>
  <c r="B8814" i="1"/>
  <c r="A8814" i="1"/>
  <c r="A8813" i="1"/>
  <c r="A8812" i="1"/>
  <c r="B8811" i="1"/>
  <c r="A8811" i="1"/>
  <c r="B8810" i="1"/>
  <c r="A8810" i="1"/>
  <c r="B8809" i="1"/>
  <c r="A8809" i="1"/>
  <c r="B8808" i="1"/>
  <c r="A8808" i="1"/>
  <c r="B8807" i="1"/>
  <c r="A8807" i="1"/>
  <c r="B8806" i="1"/>
  <c r="A8806" i="1"/>
  <c r="A8805" i="1"/>
  <c r="B8804" i="1"/>
  <c r="A8804" i="1"/>
  <c r="B8803" i="1"/>
  <c r="A8803" i="1"/>
  <c r="B8802" i="1"/>
  <c r="A8802" i="1"/>
  <c r="B8801" i="1"/>
  <c r="A8801" i="1"/>
  <c r="A8800" i="1"/>
  <c r="B8799" i="1"/>
  <c r="A8799" i="1"/>
  <c r="B8798" i="1"/>
  <c r="A8798" i="1"/>
  <c r="B8797" i="1"/>
  <c r="A8797" i="1"/>
  <c r="B8796" i="1"/>
  <c r="A8796" i="1"/>
  <c r="B8795" i="1"/>
  <c r="A8795" i="1"/>
  <c r="B8794" i="1"/>
  <c r="A8794" i="1"/>
  <c r="B8793" i="1"/>
  <c r="A8793" i="1"/>
  <c r="B8792" i="1"/>
  <c r="A8792" i="1"/>
  <c r="B8791" i="1"/>
  <c r="A8791" i="1"/>
  <c r="B8790" i="1"/>
  <c r="A8790" i="1"/>
  <c r="A8789" i="1"/>
  <c r="B8788" i="1"/>
  <c r="A8788" i="1"/>
  <c r="B8787" i="1"/>
  <c r="A8787" i="1"/>
  <c r="B8786" i="1"/>
  <c r="A8786" i="1"/>
  <c r="B8785" i="1"/>
  <c r="A8785" i="1"/>
  <c r="B8784" i="1"/>
  <c r="A8784" i="1"/>
  <c r="A8783" i="1"/>
  <c r="A8782" i="1"/>
  <c r="A8781" i="1"/>
  <c r="A8780" i="1"/>
  <c r="A8779" i="1"/>
  <c r="B8778" i="1"/>
  <c r="A8778" i="1"/>
  <c r="B8777" i="1"/>
  <c r="A8777" i="1"/>
  <c r="B8776" i="1"/>
  <c r="A8776" i="1"/>
  <c r="B8775" i="1"/>
  <c r="A8775" i="1"/>
  <c r="B8774" i="1"/>
  <c r="A8774" i="1"/>
  <c r="B8773" i="1"/>
  <c r="A8773" i="1"/>
  <c r="B8772" i="1"/>
  <c r="A8772" i="1"/>
  <c r="B8771" i="1"/>
  <c r="A8771" i="1"/>
  <c r="B8770" i="1"/>
  <c r="A8770" i="1"/>
  <c r="B8769" i="1"/>
  <c r="A8769" i="1"/>
  <c r="B8768" i="1"/>
  <c r="A8768" i="1"/>
  <c r="B8767" i="1"/>
  <c r="A8767" i="1"/>
  <c r="B8766" i="1"/>
  <c r="A8766" i="1"/>
  <c r="B8765" i="1"/>
  <c r="A8765" i="1"/>
  <c r="B8764" i="1"/>
  <c r="A8764" i="1"/>
  <c r="B8763" i="1"/>
  <c r="A8763" i="1"/>
  <c r="B8762" i="1"/>
  <c r="A8762" i="1"/>
  <c r="B8761" i="1"/>
  <c r="A8761" i="1"/>
  <c r="A8760" i="1"/>
  <c r="B8759" i="1"/>
  <c r="A8759" i="1"/>
  <c r="B8758" i="1"/>
  <c r="A8758" i="1"/>
  <c r="A8757" i="1"/>
  <c r="B8756" i="1"/>
  <c r="A8756" i="1"/>
  <c r="B8755" i="1"/>
  <c r="A8755" i="1"/>
  <c r="B8754" i="1"/>
  <c r="A8754" i="1"/>
  <c r="A8753" i="1"/>
  <c r="B8752" i="1"/>
  <c r="A8752" i="1"/>
  <c r="B8751" i="1"/>
  <c r="A8751" i="1"/>
  <c r="B8750" i="1"/>
  <c r="A8750" i="1"/>
  <c r="B8749" i="1"/>
  <c r="A8749" i="1"/>
  <c r="B8748" i="1"/>
  <c r="A8748" i="1"/>
  <c r="B8747" i="1"/>
  <c r="A8747" i="1"/>
  <c r="A8746" i="1"/>
  <c r="B8745" i="1"/>
  <c r="A8745" i="1"/>
  <c r="A8744" i="1"/>
  <c r="B8743" i="1"/>
  <c r="A8743" i="1"/>
  <c r="B8742" i="1"/>
  <c r="A8742" i="1"/>
  <c r="A8741" i="1"/>
  <c r="B8740" i="1"/>
  <c r="A8740" i="1"/>
  <c r="B8739" i="1"/>
  <c r="A8739" i="1"/>
  <c r="B8738" i="1"/>
  <c r="A8738" i="1"/>
  <c r="B8737" i="1"/>
  <c r="A8737" i="1"/>
  <c r="B8736" i="1"/>
  <c r="A8736" i="1"/>
  <c r="B8735" i="1"/>
  <c r="A8735" i="1"/>
  <c r="B8734" i="1"/>
  <c r="A8734" i="1"/>
  <c r="B8733" i="1"/>
  <c r="A8733" i="1"/>
  <c r="B8732" i="1"/>
  <c r="A8732" i="1"/>
  <c r="B8731" i="1"/>
  <c r="A8731" i="1"/>
  <c r="B8730" i="1"/>
  <c r="A8730" i="1"/>
  <c r="B8729" i="1"/>
  <c r="A8729" i="1"/>
  <c r="B8728" i="1"/>
  <c r="A8728" i="1"/>
  <c r="B8727" i="1"/>
  <c r="A8727" i="1"/>
  <c r="A8726" i="1"/>
  <c r="B8725" i="1"/>
  <c r="A8725" i="1"/>
  <c r="B8724" i="1"/>
  <c r="A8724" i="1"/>
  <c r="B8723" i="1"/>
  <c r="A8723" i="1"/>
  <c r="B8722" i="1"/>
  <c r="A8722" i="1"/>
  <c r="B8721" i="1"/>
  <c r="A8721" i="1"/>
  <c r="A8720" i="1"/>
  <c r="B8719" i="1"/>
  <c r="A8719" i="1"/>
  <c r="B8718" i="1"/>
  <c r="A8718" i="1"/>
  <c r="B8717" i="1"/>
  <c r="A8717" i="1"/>
  <c r="B8716" i="1"/>
  <c r="A8716" i="1"/>
  <c r="B8715" i="1"/>
  <c r="A8715" i="1"/>
  <c r="A8714" i="1"/>
  <c r="B8713" i="1"/>
  <c r="A8713" i="1"/>
  <c r="B8712" i="1"/>
  <c r="A8712" i="1"/>
  <c r="A8711" i="1"/>
  <c r="B8710" i="1"/>
  <c r="A8710" i="1"/>
  <c r="A8709" i="1"/>
  <c r="B8708" i="1"/>
  <c r="A8708" i="1"/>
  <c r="B8707" i="1"/>
  <c r="A8707" i="1"/>
  <c r="B8706" i="1"/>
  <c r="A8706" i="1"/>
  <c r="B8705" i="1"/>
  <c r="A8705" i="1"/>
  <c r="B8704" i="1"/>
  <c r="A8704" i="1"/>
  <c r="B8703" i="1"/>
  <c r="A8703" i="1"/>
  <c r="B8702" i="1"/>
  <c r="A8702" i="1"/>
  <c r="B8701" i="1"/>
  <c r="A8701" i="1"/>
  <c r="B8700" i="1"/>
  <c r="A8700" i="1"/>
  <c r="B8699" i="1"/>
  <c r="A8699" i="1"/>
  <c r="B8698" i="1"/>
  <c r="A8698" i="1"/>
  <c r="A8697" i="1"/>
  <c r="A8696" i="1"/>
  <c r="B8695" i="1"/>
  <c r="A8695" i="1"/>
  <c r="B8694" i="1"/>
  <c r="A8694" i="1"/>
  <c r="B8693" i="1"/>
  <c r="A8693" i="1"/>
  <c r="B8692" i="1"/>
  <c r="A8692" i="1"/>
  <c r="B8691" i="1"/>
  <c r="A8691" i="1"/>
  <c r="B8690" i="1"/>
  <c r="A8690" i="1"/>
  <c r="A8689" i="1"/>
  <c r="A8688" i="1"/>
  <c r="B8687" i="1"/>
  <c r="A8687" i="1"/>
  <c r="B8686" i="1"/>
  <c r="A8686" i="1"/>
  <c r="B8685" i="1"/>
  <c r="A8685" i="1"/>
  <c r="B8684" i="1"/>
  <c r="A8684" i="1"/>
  <c r="B8683" i="1"/>
  <c r="A8683" i="1"/>
  <c r="B8682" i="1"/>
  <c r="A8682" i="1"/>
  <c r="B8681" i="1"/>
  <c r="A8681" i="1"/>
  <c r="B8680" i="1"/>
  <c r="A8680" i="1"/>
  <c r="B8679" i="1"/>
  <c r="A8679" i="1"/>
  <c r="B8678" i="1"/>
  <c r="A8678" i="1"/>
  <c r="B8677" i="1"/>
  <c r="A8677" i="1"/>
  <c r="A8676" i="1"/>
  <c r="B8675" i="1"/>
  <c r="A8675" i="1"/>
  <c r="B8674" i="1"/>
  <c r="A8674" i="1"/>
  <c r="A8673" i="1"/>
  <c r="B8672" i="1"/>
  <c r="A8672" i="1"/>
  <c r="B8671" i="1"/>
  <c r="A8671" i="1"/>
  <c r="B8670" i="1"/>
  <c r="A8670" i="1"/>
  <c r="A8669" i="1"/>
  <c r="B8668" i="1"/>
  <c r="A8668" i="1"/>
  <c r="B8667" i="1"/>
  <c r="A8667" i="1"/>
  <c r="B8666" i="1"/>
  <c r="A8666" i="1"/>
  <c r="B8665" i="1"/>
  <c r="A8665" i="1"/>
  <c r="B8664" i="1"/>
  <c r="A8664" i="1"/>
  <c r="A8663" i="1"/>
  <c r="A8662" i="1"/>
  <c r="A8661" i="1"/>
  <c r="B8660" i="1"/>
  <c r="A8660" i="1"/>
  <c r="B8659" i="1"/>
  <c r="A8659" i="1"/>
  <c r="B8658" i="1"/>
  <c r="A8658" i="1"/>
  <c r="B8657" i="1"/>
  <c r="A8657" i="1"/>
  <c r="B8656" i="1"/>
  <c r="A8656" i="1"/>
  <c r="B8655" i="1"/>
  <c r="A8655" i="1"/>
  <c r="B8654" i="1"/>
  <c r="A8654" i="1"/>
  <c r="B8653" i="1"/>
  <c r="A8653" i="1"/>
  <c r="B8652" i="1"/>
  <c r="A8652" i="1"/>
  <c r="A8651" i="1"/>
  <c r="B8650" i="1"/>
  <c r="A8650" i="1"/>
  <c r="B8649" i="1"/>
  <c r="A8649" i="1"/>
  <c r="B8648" i="1"/>
  <c r="A8648" i="1"/>
  <c r="A8647" i="1"/>
  <c r="B8646" i="1"/>
  <c r="A8646" i="1"/>
  <c r="A8645" i="1"/>
  <c r="A8644" i="1"/>
  <c r="B8643" i="1"/>
  <c r="A8643" i="1"/>
  <c r="B8642" i="1"/>
  <c r="A8642" i="1"/>
  <c r="B8641" i="1"/>
  <c r="A8641" i="1"/>
  <c r="A8640" i="1"/>
  <c r="B8639" i="1"/>
  <c r="A8639" i="1"/>
  <c r="B8638" i="1"/>
  <c r="A8638" i="1"/>
  <c r="B8637" i="1"/>
  <c r="A8637" i="1"/>
  <c r="A8636" i="1"/>
  <c r="B8635" i="1"/>
  <c r="A8635" i="1"/>
  <c r="A8634" i="1"/>
  <c r="A8633" i="1"/>
  <c r="A8632" i="1"/>
  <c r="B8631" i="1"/>
  <c r="A8631" i="1"/>
  <c r="A8630" i="1"/>
  <c r="B8629" i="1"/>
  <c r="A8629" i="1"/>
  <c r="B8628" i="1"/>
  <c r="A8628" i="1"/>
  <c r="B8627" i="1"/>
  <c r="A8627" i="1"/>
  <c r="B8626" i="1"/>
  <c r="A8626" i="1"/>
  <c r="B8625" i="1"/>
  <c r="A8625" i="1"/>
  <c r="A8624" i="1"/>
  <c r="B8623" i="1"/>
  <c r="A8623" i="1"/>
  <c r="A8622" i="1"/>
  <c r="B8621" i="1"/>
  <c r="A8621" i="1"/>
  <c r="B8620" i="1"/>
  <c r="A8620" i="1"/>
  <c r="A8619" i="1"/>
  <c r="A8618" i="1"/>
  <c r="B8617" i="1"/>
  <c r="A8617" i="1"/>
  <c r="B8616" i="1"/>
  <c r="A8616" i="1"/>
  <c r="A8615" i="1"/>
  <c r="B8614" i="1"/>
  <c r="A8614" i="1"/>
  <c r="A8613" i="1"/>
  <c r="B8612" i="1"/>
  <c r="A8612" i="1"/>
  <c r="B8611" i="1"/>
  <c r="A8611" i="1"/>
  <c r="B8610" i="1"/>
  <c r="A8610" i="1"/>
  <c r="B8609" i="1"/>
  <c r="A8609" i="1"/>
  <c r="B8608" i="1"/>
  <c r="A8608" i="1"/>
  <c r="B8607" i="1"/>
  <c r="A8607" i="1"/>
  <c r="B8606" i="1"/>
  <c r="A8606" i="1"/>
  <c r="B8605" i="1"/>
  <c r="A8605" i="1"/>
  <c r="B8604" i="1"/>
  <c r="A8604" i="1"/>
  <c r="B8603" i="1"/>
  <c r="A8603" i="1"/>
  <c r="B8602" i="1"/>
  <c r="A8602" i="1"/>
  <c r="A8601" i="1"/>
  <c r="B8600" i="1"/>
  <c r="A8600" i="1"/>
  <c r="B8599" i="1"/>
  <c r="A8599" i="1"/>
  <c r="A8598" i="1"/>
  <c r="A8597" i="1"/>
  <c r="B8596" i="1"/>
  <c r="A8596" i="1"/>
  <c r="B8595" i="1"/>
  <c r="A8595" i="1"/>
  <c r="A8594" i="1"/>
  <c r="B8593" i="1"/>
  <c r="A8593" i="1"/>
  <c r="B8592" i="1"/>
  <c r="A8592" i="1"/>
  <c r="B8591" i="1"/>
  <c r="A8591" i="1"/>
  <c r="B8590" i="1"/>
  <c r="A8590" i="1"/>
  <c r="B8589" i="1"/>
  <c r="A8589" i="1"/>
  <c r="B8588" i="1"/>
  <c r="A8588" i="1"/>
  <c r="B8587" i="1"/>
  <c r="A8587" i="1"/>
  <c r="B8586" i="1"/>
  <c r="A8586" i="1"/>
  <c r="B8585" i="1"/>
  <c r="A8585" i="1"/>
  <c r="B8584" i="1"/>
  <c r="A8584" i="1"/>
  <c r="B8583" i="1"/>
  <c r="A8583" i="1"/>
  <c r="A8582" i="1"/>
  <c r="B8581" i="1"/>
  <c r="A8581" i="1"/>
  <c r="B8580" i="1"/>
  <c r="A8580" i="1"/>
  <c r="B8579" i="1"/>
  <c r="A8579" i="1"/>
  <c r="A8578" i="1"/>
  <c r="B8577" i="1"/>
  <c r="A8577" i="1"/>
  <c r="B8576" i="1"/>
  <c r="A8576" i="1"/>
  <c r="A8575" i="1"/>
  <c r="B8574" i="1"/>
  <c r="A8574" i="1"/>
  <c r="B8573" i="1"/>
  <c r="A8573" i="1"/>
  <c r="B8572" i="1"/>
  <c r="A8572" i="1"/>
  <c r="B8571" i="1"/>
  <c r="A8571" i="1"/>
  <c r="B8570" i="1"/>
  <c r="A8570" i="1"/>
  <c r="B8569" i="1"/>
  <c r="A8569" i="1"/>
  <c r="A8568" i="1"/>
  <c r="B8567" i="1"/>
  <c r="A8567" i="1"/>
  <c r="A8566" i="1"/>
  <c r="B8565" i="1"/>
  <c r="A8565" i="1"/>
  <c r="B8564" i="1"/>
  <c r="A8564" i="1"/>
  <c r="A8563" i="1"/>
  <c r="A8562" i="1"/>
  <c r="B8561" i="1"/>
  <c r="A8561" i="1"/>
  <c r="B8560" i="1"/>
  <c r="A8560" i="1"/>
  <c r="A8559" i="1"/>
  <c r="B8558" i="1"/>
  <c r="A8558" i="1"/>
  <c r="A8557" i="1"/>
  <c r="A8556" i="1"/>
  <c r="B8555" i="1"/>
  <c r="A8555" i="1"/>
  <c r="A8554" i="1"/>
  <c r="B8553" i="1"/>
  <c r="A8553" i="1"/>
  <c r="B8552" i="1"/>
  <c r="A8552" i="1"/>
  <c r="B8551" i="1"/>
  <c r="A8551" i="1"/>
  <c r="B8550" i="1"/>
  <c r="A8550" i="1"/>
  <c r="A8549" i="1"/>
  <c r="A8548" i="1"/>
  <c r="A8547" i="1"/>
  <c r="B8546" i="1"/>
  <c r="A8546" i="1"/>
  <c r="B8545" i="1"/>
  <c r="A8545" i="1"/>
  <c r="B8544" i="1"/>
  <c r="A8544" i="1"/>
  <c r="B8543" i="1"/>
  <c r="A8543" i="1"/>
  <c r="B8542" i="1"/>
  <c r="A8542" i="1"/>
  <c r="B8541" i="1"/>
  <c r="A8541" i="1"/>
  <c r="B8540" i="1"/>
  <c r="A8540" i="1"/>
  <c r="B8539" i="1"/>
  <c r="A8539" i="1"/>
  <c r="B8538" i="1"/>
  <c r="A8538" i="1"/>
  <c r="B8537" i="1"/>
  <c r="A8537" i="1"/>
  <c r="A8536" i="1"/>
  <c r="B8535" i="1"/>
  <c r="A8535" i="1"/>
  <c r="B8534" i="1"/>
  <c r="A8534" i="1"/>
  <c r="A8533" i="1"/>
  <c r="B8532" i="1"/>
  <c r="A8532" i="1"/>
  <c r="A8531" i="1"/>
  <c r="B8530" i="1"/>
  <c r="A8530" i="1"/>
  <c r="A8529" i="1"/>
  <c r="A8528" i="1"/>
  <c r="B8527" i="1"/>
  <c r="A8527" i="1"/>
  <c r="B8526" i="1"/>
  <c r="A8526" i="1"/>
  <c r="B8525" i="1"/>
  <c r="A8525" i="1"/>
  <c r="B8524" i="1"/>
  <c r="A8524" i="1"/>
  <c r="B8523" i="1"/>
  <c r="A8523" i="1"/>
  <c r="B8522" i="1"/>
  <c r="A8522" i="1"/>
  <c r="A8521" i="1"/>
  <c r="A8520" i="1"/>
  <c r="B8519" i="1"/>
  <c r="A8519" i="1"/>
  <c r="B8518" i="1"/>
  <c r="A8518" i="1"/>
  <c r="B8517" i="1"/>
  <c r="A8517" i="1"/>
  <c r="B8516" i="1"/>
  <c r="A8516" i="1"/>
  <c r="A8515" i="1"/>
  <c r="B8514" i="1"/>
  <c r="A8514" i="1"/>
  <c r="A8513" i="1"/>
  <c r="B8512" i="1"/>
  <c r="A8512" i="1"/>
  <c r="B8511" i="1"/>
  <c r="A8511" i="1"/>
  <c r="A8510" i="1"/>
  <c r="A8509" i="1"/>
  <c r="B8508" i="1"/>
  <c r="A8508" i="1"/>
  <c r="B8507" i="1"/>
  <c r="A8507" i="1"/>
  <c r="B8506" i="1"/>
  <c r="A8506" i="1"/>
  <c r="A8505" i="1"/>
  <c r="B8504" i="1"/>
  <c r="A8504" i="1"/>
  <c r="B8503" i="1"/>
  <c r="A8503" i="1"/>
  <c r="B8502" i="1"/>
  <c r="A8502" i="1"/>
  <c r="B8501" i="1"/>
  <c r="A8501" i="1"/>
  <c r="A8500" i="1"/>
  <c r="B8499" i="1"/>
  <c r="A8499" i="1"/>
  <c r="A8498" i="1"/>
  <c r="B8497" i="1"/>
  <c r="A8497" i="1"/>
  <c r="B8496" i="1"/>
  <c r="A8496" i="1"/>
  <c r="B8495" i="1"/>
  <c r="A8495" i="1"/>
  <c r="B8494" i="1"/>
  <c r="A8494" i="1"/>
  <c r="A8493" i="1"/>
  <c r="B8492" i="1"/>
  <c r="A8492" i="1"/>
  <c r="A8491" i="1"/>
  <c r="B8490" i="1"/>
  <c r="A8490" i="1"/>
  <c r="B8489" i="1"/>
  <c r="A8489" i="1"/>
  <c r="B8488" i="1"/>
  <c r="A8488" i="1"/>
  <c r="B8487" i="1"/>
  <c r="A8487" i="1"/>
  <c r="B8486" i="1"/>
  <c r="A8486" i="1"/>
  <c r="B8485" i="1"/>
  <c r="A8485" i="1"/>
  <c r="B8484" i="1"/>
  <c r="A8484" i="1"/>
  <c r="B8483" i="1"/>
  <c r="A8483" i="1"/>
  <c r="B8482" i="1"/>
  <c r="A8482" i="1"/>
  <c r="B8481" i="1"/>
  <c r="A8481" i="1"/>
  <c r="B8480" i="1"/>
  <c r="A8480" i="1"/>
  <c r="A8479" i="1"/>
  <c r="B8478" i="1"/>
  <c r="A8478" i="1"/>
  <c r="A8477" i="1"/>
  <c r="B8476" i="1"/>
  <c r="A8476" i="1"/>
  <c r="A8475" i="1"/>
  <c r="B8474" i="1"/>
  <c r="A8474" i="1"/>
  <c r="A8473" i="1"/>
  <c r="A8472" i="1"/>
  <c r="B8471" i="1"/>
  <c r="A8471" i="1"/>
  <c r="B8470" i="1"/>
  <c r="A8470" i="1"/>
  <c r="B8469" i="1"/>
  <c r="A8469" i="1"/>
  <c r="B8468" i="1"/>
  <c r="A8468" i="1"/>
  <c r="B8467" i="1"/>
  <c r="A8467" i="1"/>
  <c r="B8466" i="1"/>
  <c r="A8466" i="1"/>
  <c r="B8465" i="1"/>
  <c r="A8465" i="1"/>
  <c r="B8464" i="1"/>
  <c r="A8464" i="1"/>
  <c r="B8463" i="1"/>
  <c r="A8463" i="1"/>
  <c r="B8462" i="1"/>
  <c r="A8462" i="1"/>
  <c r="B8461" i="1"/>
  <c r="A8461" i="1"/>
  <c r="A8460" i="1"/>
  <c r="A8459" i="1"/>
  <c r="B8458" i="1"/>
  <c r="A8458" i="1"/>
  <c r="B8457" i="1"/>
  <c r="A8457" i="1"/>
  <c r="A8456" i="1"/>
  <c r="B8455" i="1"/>
  <c r="A8455" i="1"/>
  <c r="B8454" i="1"/>
  <c r="A8454" i="1"/>
  <c r="B8453" i="1"/>
  <c r="A8453" i="1"/>
  <c r="B8452" i="1"/>
  <c r="A8452" i="1"/>
  <c r="B8451" i="1"/>
  <c r="A8451" i="1"/>
  <c r="B8450" i="1"/>
  <c r="A8450" i="1"/>
  <c r="B8449" i="1"/>
  <c r="A8449" i="1"/>
  <c r="B8448" i="1"/>
  <c r="A8448" i="1"/>
  <c r="B8447" i="1"/>
  <c r="A8447" i="1"/>
  <c r="B8446" i="1"/>
  <c r="A8446" i="1"/>
  <c r="B8445" i="1"/>
  <c r="A8445" i="1"/>
  <c r="B8444" i="1"/>
  <c r="A8444" i="1"/>
  <c r="A8443" i="1"/>
  <c r="B8442" i="1"/>
  <c r="A8442" i="1"/>
  <c r="B8441" i="1"/>
  <c r="A8441" i="1"/>
  <c r="A8440" i="1"/>
  <c r="B8439" i="1"/>
  <c r="A8439" i="1"/>
  <c r="B8438" i="1"/>
  <c r="A8438" i="1"/>
  <c r="B8437" i="1"/>
  <c r="A8437" i="1"/>
  <c r="A8436" i="1"/>
  <c r="A8435" i="1"/>
  <c r="B8434" i="1"/>
  <c r="A8434" i="1"/>
  <c r="A8433" i="1"/>
  <c r="B8432" i="1"/>
  <c r="A8432" i="1"/>
  <c r="A8431" i="1"/>
  <c r="B8430" i="1"/>
  <c r="A8430" i="1"/>
  <c r="B8429" i="1"/>
  <c r="A8429" i="1"/>
  <c r="B8428" i="1"/>
  <c r="A8428" i="1"/>
  <c r="B8427" i="1"/>
  <c r="A8427" i="1"/>
  <c r="A8426" i="1"/>
  <c r="B8425" i="1"/>
  <c r="A8425" i="1"/>
  <c r="B8424" i="1"/>
  <c r="A8424" i="1"/>
  <c r="B8423" i="1"/>
  <c r="A8423" i="1"/>
  <c r="A8422" i="1"/>
  <c r="A8421" i="1"/>
  <c r="B8420" i="1"/>
  <c r="A8420" i="1"/>
  <c r="B8419" i="1"/>
  <c r="A8419" i="1"/>
  <c r="A8418" i="1"/>
  <c r="A8417" i="1"/>
  <c r="B8416" i="1"/>
  <c r="A8416" i="1"/>
  <c r="B8415" i="1"/>
  <c r="A8415" i="1"/>
  <c r="B8414" i="1"/>
  <c r="A8414" i="1"/>
  <c r="B8413" i="1"/>
  <c r="A8413" i="1"/>
  <c r="B8412" i="1"/>
  <c r="A8412" i="1"/>
  <c r="A8411" i="1"/>
  <c r="A8410" i="1"/>
  <c r="A8409" i="1"/>
  <c r="A8408" i="1"/>
  <c r="A8407" i="1"/>
  <c r="B8406" i="1"/>
  <c r="A8406" i="1"/>
  <c r="B8405" i="1"/>
  <c r="A8405" i="1"/>
  <c r="B8404" i="1"/>
  <c r="A8404" i="1"/>
  <c r="B8403" i="1"/>
  <c r="A8403" i="1"/>
  <c r="A8402" i="1"/>
  <c r="B8401" i="1"/>
  <c r="A8401" i="1"/>
  <c r="B8400" i="1"/>
  <c r="A8400" i="1"/>
  <c r="A8399" i="1"/>
  <c r="A8398" i="1"/>
  <c r="B8397" i="1"/>
  <c r="A8397" i="1"/>
  <c r="A8396" i="1"/>
  <c r="B8395" i="1"/>
  <c r="A8395" i="1"/>
  <c r="A8394" i="1"/>
  <c r="B8393" i="1"/>
  <c r="A8393" i="1"/>
  <c r="B8392" i="1"/>
  <c r="A8392" i="1"/>
  <c r="B8391" i="1"/>
  <c r="A8391" i="1"/>
  <c r="B8390" i="1"/>
  <c r="A8390" i="1"/>
  <c r="B8389" i="1"/>
  <c r="A8389" i="1"/>
  <c r="B8388" i="1"/>
  <c r="A8388" i="1"/>
  <c r="A8387" i="1"/>
  <c r="B8386" i="1"/>
  <c r="A8386" i="1"/>
  <c r="B8385" i="1"/>
  <c r="A8385" i="1"/>
  <c r="B8384" i="1"/>
  <c r="A8384" i="1"/>
  <c r="B8383" i="1"/>
  <c r="A8383" i="1"/>
  <c r="B8382" i="1"/>
  <c r="A8382" i="1"/>
  <c r="B8381" i="1"/>
  <c r="A8381" i="1"/>
  <c r="B8380" i="1"/>
  <c r="A8380" i="1"/>
  <c r="B8379" i="1"/>
  <c r="A8379" i="1"/>
  <c r="B8378" i="1"/>
  <c r="A8378" i="1"/>
  <c r="B8377" i="1"/>
  <c r="A8377" i="1"/>
  <c r="B8376" i="1"/>
  <c r="A8376" i="1"/>
  <c r="B8375" i="1"/>
  <c r="A8375" i="1"/>
  <c r="B8374" i="1"/>
  <c r="A8374" i="1"/>
  <c r="A8373" i="1"/>
  <c r="B8372" i="1"/>
  <c r="A8372" i="1"/>
  <c r="B8371" i="1"/>
  <c r="A8371" i="1"/>
  <c r="A8370" i="1"/>
  <c r="A8369" i="1"/>
  <c r="B8368" i="1"/>
  <c r="A8368" i="1"/>
  <c r="B8367" i="1"/>
  <c r="A8367" i="1"/>
  <c r="B8366" i="1"/>
  <c r="A8366" i="1"/>
  <c r="A8365" i="1"/>
  <c r="B8364" i="1"/>
  <c r="A8364" i="1"/>
  <c r="A8363" i="1"/>
  <c r="B8362" i="1"/>
  <c r="A8362" i="1"/>
  <c r="B8361" i="1"/>
  <c r="A8361" i="1"/>
  <c r="A8360" i="1"/>
  <c r="A8359" i="1"/>
  <c r="B8358" i="1"/>
  <c r="A8358" i="1"/>
  <c r="B8357" i="1"/>
  <c r="A8357" i="1"/>
  <c r="B8356" i="1"/>
  <c r="A8356" i="1"/>
  <c r="B8355" i="1"/>
  <c r="A8355" i="1"/>
  <c r="B8354" i="1"/>
  <c r="A8354" i="1"/>
  <c r="A8353" i="1"/>
  <c r="A8352" i="1"/>
  <c r="B8351" i="1"/>
  <c r="A8351" i="1"/>
  <c r="B8350" i="1"/>
  <c r="A8350" i="1"/>
  <c r="B8349" i="1"/>
  <c r="A8349" i="1"/>
  <c r="A8348" i="1"/>
  <c r="A8347" i="1"/>
  <c r="B8346" i="1"/>
  <c r="A8346" i="1"/>
  <c r="B8345" i="1"/>
  <c r="A8345" i="1"/>
  <c r="B8344" i="1"/>
  <c r="A8344" i="1"/>
  <c r="B8343" i="1"/>
  <c r="A8343" i="1"/>
  <c r="B8342" i="1"/>
  <c r="A8342" i="1"/>
  <c r="B8341" i="1"/>
  <c r="A8341" i="1"/>
  <c r="A8340" i="1"/>
  <c r="A8339" i="1"/>
  <c r="B8338" i="1"/>
  <c r="A8338" i="1"/>
  <c r="B8337" i="1"/>
  <c r="A8337" i="1"/>
  <c r="B8336" i="1"/>
  <c r="A8336" i="1"/>
  <c r="B8335" i="1"/>
  <c r="A8335" i="1"/>
  <c r="B8334" i="1"/>
  <c r="A8334" i="1"/>
  <c r="B8333" i="1"/>
  <c r="A8333" i="1"/>
  <c r="B8332" i="1"/>
  <c r="A8332" i="1"/>
  <c r="B8331" i="1"/>
  <c r="A8331" i="1"/>
  <c r="A8330" i="1"/>
  <c r="A8329" i="1"/>
  <c r="B8328" i="1"/>
  <c r="A8328" i="1"/>
  <c r="B8327" i="1"/>
  <c r="A8327" i="1"/>
  <c r="B8326" i="1"/>
  <c r="A8326" i="1"/>
  <c r="B8325" i="1"/>
  <c r="A8325" i="1"/>
  <c r="B8324" i="1"/>
  <c r="A8324" i="1"/>
  <c r="B8323" i="1"/>
  <c r="A8323" i="1"/>
  <c r="B8322" i="1"/>
  <c r="A8322" i="1"/>
  <c r="A8321" i="1"/>
  <c r="A8320" i="1"/>
  <c r="A8319" i="1"/>
  <c r="B8318" i="1"/>
  <c r="A8318" i="1"/>
  <c r="B8317" i="1"/>
  <c r="A8317" i="1"/>
  <c r="A8316" i="1"/>
  <c r="B8315" i="1"/>
  <c r="A8315" i="1"/>
  <c r="B8314" i="1"/>
  <c r="A8314" i="1"/>
  <c r="B8313" i="1"/>
  <c r="A8313" i="1"/>
  <c r="B8312" i="1"/>
  <c r="A8312" i="1"/>
  <c r="B8311" i="1"/>
  <c r="A8311" i="1"/>
  <c r="B8310" i="1"/>
  <c r="A8310" i="1"/>
  <c r="B8309" i="1"/>
  <c r="A8309" i="1"/>
  <c r="B8308" i="1"/>
  <c r="A8308" i="1"/>
  <c r="B8307" i="1"/>
  <c r="A8307" i="1"/>
  <c r="B8306" i="1"/>
  <c r="A8306" i="1"/>
  <c r="B8305" i="1"/>
  <c r="A8305" i="1"/>
  <c r="B8304" i="1"/>
  <c r="A8304" i="1"/>
  <c r="B8303" i="1"/>
  <c r="A8303" i="1"/>
  <c r="A8302" i="1"/>
  <c r="B8301" i="1"/>
  <c r="A8301" i="1"/>
  <c r="B8300" i="1"/>
  <c r="A8300" i="1"/>
  <c r="B8299" i="1"/>
  <c r="A8299" i="1"/>
  <c r="B8298" i="1"/>
  <c r="A8298" i="1"/>
  <c r="B8297" i="1"/>
  <c r="A8297" i="1"/>
  <c r="A8296" i="1"/>
  <c r="A8295" i="1"/>
  <c r="B8294" i="1"/>
  <c r="A8294" i="1"/>
  <c r="B8293" i="1"/>
  <c r="A8293" i="1"/>
  <c r="B8292" i="1"/>
  <c r="A8292" i="1"/>
  <c r="B8291" i="1"/>
  <c r="A8291" i="1"/>
  <c r="B8290" i="1"/>
  <c r="A8290" i="1"/>
  <c r="B8289" i="1"/>
  <c r="A8289" i="1"/>
  <c r="B8288" i="1"/>
  <c r="A8288" i="1"/>
  <c r="B8287" i="1"/>
  <c r="A8287" i="1"/>
  <c r="B8286" i="1"/>
  <c r="A8286" i="1"/>
  <c r="B8285" i="1"/>
  <c r="A8285" i="1"/>
  <c r="B8284" i="1"/>
  <c r="A8284" i="1"/>
  <c r="A8283" i="1"/>
  <c r="A8282" i="1"/>
  <c r="B8281" i="1"/>
  <c r="A8281" i="1"/>
  <c r="B8280" i="1"/>
  <c r="A8280" i="1"/>
  <c r="B8279" i="1"/>
  <c r="A8279" i="1"/>
  <c r="B8278" i="1"/>
  <c r="A8278" i="1"/>
  <c r="B8277" i="1"/>
  <c r="A8277" i="1"/>
  <c r="B8276" i="1"/>
  <c r="A8276" i="1"/>
  <c r="B8275" i="1"/>
  <c r="A8275" i="1"/>
  <c r="A8274" i="1"/>
  <c r="B8273" i="1"/>
  <c r="A8273" i="1"/>
  <c r="B8272" i="1"/>
  <c r="A8272" i="1"/>
  <c r="B8271" i="1"/>
  <c r="A8271" i="1"/>
  <c r="B8270" i="1"/>
  <c r="A8270" i="1"/>
  <c r="B8269" i="1"/>
  <c r="A8269" i="1"/>
  <c r="B8268" i="1"/>
  <c r="A8268" i="1"/>
  <c r="B8267" i="1"/>
  <c r="A8267" i="1"/>
  <c r="B8266" i="1"/>
  <c r="A8266" i="1"/>
  <c r="B8265" i="1"/>
  <c r="A8265" i="1"/>
  <c r="B8264" i="1"/>
  <c r="A8264" i="1"/>
  <c r="B8263" i="1"/>
  <c r="A8263" i="1"/>
  <c r="B8262" i="1"/>
  <c r="A8262" i="1"/>
  <c r="B8261" i="1"/>
  <c r="A8261" i="1"/>
  <c r="B8260" i="1"/>
  <c r="A8260" i="1"/>
  <c r="B8259" i="1"/>
  <c r="A8259" i="1"/>
  <c r="B8258" i="1"/>
  <c r="A8258" i="1"/>
  <c r="B8257" i="1"/>
  <c r="A8257" i="1"/>
  <c r="B8256" i="1"/>
  <c r="A8256" i="1"/>
  <c r="A8255" i="1"/>
  <c r="B8254" i="1"/>
  <c r="A8254" i="1"/>
  <c r="A8253" i="1"/>
  <c r="A8252" i="1"/>
  <c r="A8251" i="1"/>
  <c r="B8250" i="1"/>
  <c r="A8250" i="1"/>
  <c r="B8249" i="1"/>
  <c r="A8249" i="1"/>
  <c r="B8248" i="1"/>
  <c r="A8248" i="1"/>
  <c r="A8247" i="1"/>
  <c r="B8246" i="1"/>
  <c r="A8246" i="1"/>
  <c r="A8245" i="1"/>
  <c r="A8244" i="1"/>
  <c r="A8243" i="1"/>
  <c r="B8242" i="1"/>
  <c r="A8242" i="1"/>
  <c r="B8241" i="1"/>
  <c r="A8241" i="1"/>
  <c r="B8240" i="1"/>
  <c r="A8240" i="1"/>
  <c r="B8239" i="1"/>
  <c r="A8239" i="1"/>
  <c r="B8238" i="1"/>
  <c r="A8238" i="1"/>
  <c r="B8237" i="1"/>
  <c r="A8237" i="1"/>
  <c r="B8236" i="1"/>
  <c r="A8236" i="1"/>
  <c r="B8235" i="1"/>
  <c r="A8235" i="1"/>
  <c r="B8234" i="1"/>
  <c r="A8234" i="1"/>
  <c r="B8233" i="1"/>
  <c r="A8233" i="1"/>
  <c r="B8232" i="1"/>
  <c r="A8232" i="1"/>
  <c r="B8231" i="1"/>
  <c r="A8231" i="1"/>
  <c r="A8230" i="1"/>
  <c r="B8229" i="1"/>
  <c r="A8229" i="1"/>
  <c r="B8228" i="1"/>
  <c r="A8228" i="1"/>
  <c r="B8227" i="1"/>
  <c r="A8227" i="1"/>
  <c r="B8226" i="1"/>
  <c r="A8226" i="1"/>
  <c r="A8225" i="1"/>
  <c r="A8224" i="1"/>
  <c r="B8223" i="1"/>
  <c r="A8223" i="1"/>
  <c r="B8222" i="1"/>
  <c r="A8222" i="1"/>
  <c r="B8221" i="1"/>
  <c r="A8221" i="1"/>
  <c r="B8220" i="1"/>
  <c r="A8220" i="1"/>
  <c r="A8219" i="1"/>
  <c r="A8218" i="1"/>
  <c r="B8217" i="1"/>
  <c r="A8217" i="1"/>
  <c r="B8216" i="1"/>
  <c r="A8216" i="1"/>
  <c r="B8215" i="1"/>
  <c r="A8215" i="1"/>
  <c r="B8214" i="1"/>
  <c r="A8214" i="1"/>
  <c r="B8213" i="1"/>
  <c r="A8213" i="1"/>
  <c r="B8212" i="1"/>
  <c r="A8212" i="1"/>
  <c r="B8211" i="1"/>
  <c r="A8211" i="1"/>
  <c r="B8210" i="1"/>
  <c r="A8210" i="1"/>
  <c r="B8209" i="1"/>
  <c r="A8209" i="1"/>
  <c r="B8208" i="1"/>
  <c r="A8208" i="1"/>
  <c r="B8207" i="1"/>
  <c r="A8207" i="1"/>
  <c r="B8206" i="1"/>
  <c r="A8206" i="1"/>
  <c r="B8205" i="1"/>
  <c r="A8205" i="1"/>
  <c r="B8204" i="1"/>
  <c r="A8204" i="1"/>
  <c r="A8203" i="1"/>
  <c r="A8202" i="1"/>
  <c r="B8201" i="1"/>
  <c r="A8201" i="1"/>
  <c r="A8200" i="1"/>
  <c r="B8199" i="1"/>
  <c r="A8199" i="1"/>
  <c r="B8198" i="1"/>
  <c r="A8198" i="1"/>
  <c r="B8197" i="1"/>
  <c r="A8197" i="1"/>
  <c r="B8196" i="1"/>
  <c r="A8196" i="1"/>
  <c r="B8195" i="1"/>
  <c r="A8195" i="1"/>
  <c r="B8194" i="1"/>
  <c r="A8194" i="1"/>
  <c r="B8193" i="1"/>
  <c r="A8193" i="1"/>
  <c r="B8192" i="1"/>
  <c r="A8192" i="1"/>
  <c r="B8191" i="1"/>
  <c r="A8191" i="1"/>
  <c r="B8190" i="1"/>
  <c r="A8190" i="1"/>
  <c r="B8189" i="1"/>
  <c r="A8189" i="1"/>
  <c r="A8188" i="1"/>
  <c r="B8187" i="1"/>
  <c r="A8187" i="1"/>
  <c r="B8186" i="1"/>
  <c r="A8186" i="1"/>
  <c r="B8185" i="1"/>
  <c r="A8185" i="1"/>
  <c r="B8184" i="1"/>
  <c r="A8184" i="1"/>
  <c r="B8183" i="1"/>
  <c r="A8183" i="1"/>
  <c r="B8182" i="1"/>
  <c r="A8182" i="1"/>
  <c r="B8181" i="1"/>
  <c r="A8181" i="1"/>
  <c r="A8180" i="1"/>
  <c r="B8179" i="1"/>
  <c r="A8179" i="1"/>
  <c r="B8178" i="1"/>
  <c r="A8178" i="1"/>
  <c r="B8177" i="1"/>
  <c r="A8177" i="1"/>
  <c r="A8176" i="1"/>
  <c r="B8175" i="1"/>
  <c r="A8175" i="1"/>
  <c r="A8174" i="1"/>
  <c r="B8173" i="1"/>
  <c r="A8173" i="1"/>
  <c r="B8172" i="1"/>
  <c r="A8172" i="1"/>
  <c r="B8171" i="1"/>
  <c r="A8171" i="1"/>
  <c r="B8170" i="1"/>
  <c r="A8170" i="1"/>
  <c r="B8169" i="1"/>
  <c r="A8169" i="1"/>
  <c r="A8168" i="1"/>
  <c r="B8167" i="1"/>
  <c r="A8167" i="1"/>
  <c r="B8166" i="1"/>
  <c r="A8166" i="1"/>
  <c r="B8165" i="1"/>
  <c r="A8165" i="1"/>
  <c r="B8164" i="1"/>
  <c r="A8164" i="1"/>
  <c r="A8163" i="1"/>
  <c r="A8162" i="1"/>
  <c r="A8161" i="1"/>
  <c r="A8160" i="1"/>
  <c r="B8159" i="1"/>
  <c r="A8159" i="1"/>
  <c r="B8158" i="1"/>
  <c r="A8158" i="1"/>
  <c r="B8157" i="1"/>
  <c r="A8157" i="1"/>
  <c r="B8156" i="1"/>
  <c r="A8156" i="1"/>
  <c r="B8155" i="1"/>
  <c r="A8155" i="1"/>
  <c r="B8154" i="1"/>
  <c r="A8154" i="1"/>
  <c r="A8153" i="1"/>
  <c r="B8152" i="1"/>
  <c r="A8152" i="1"/>
  <c r="B8151" i="1"/>
  <c r="A8151" i="1"/>
  <c r="B8150" i="1"/>
  <c r="A8150" i="1"/>
  <c r="B8149" i="1"/>
  <c r="A8149" i="1"/>
  <c r="B8148" i="1"/>
  <c r="A8148" i="1"/>
  <c r="A8147" i="1"/>
  <c r="B8146" i="1"/>
  <c r="A8146" i="1"/>
  <c r="B8145" i="1"/>
  <c r="A8145" i="1"/>
  <c r="B8144" i="1"/>
  <c r="A8144" i="1"/>
  <c r="B8143" i="1"/>
  <c r="A8143" i="1"/>
  <c r="A8142" i="1"/>
  <c r="B8141" i="1"/>
  <c r="A8141" i="1"/>
  <c r="A8140" i="1"/>
  <c r="B8139" i="1"/>
  <c r="A8139" i="1"/>
  <c r="B8138" i="1"/>
  <c r="A8138" i="1"/>
  <c r="B8137" i="1"/>
  <c r="A8137" i="1"/>
  <c r="B8136" i="1"/>
  <c r="A8136" i="1"/>
  <c r="B8135" i="1"/>
  <c r="A8135" i="1"/>
  <c r="B8134" i="1"/>
  <c r="A8134" i="1"/>
  <c r="A8133" i="1"/>
  <c r="B8132" i="1"/>
  <c r="A8132" i="1"/>
  <c r="B8131" i="1"/>
  <c r="A8131" i="1"/>
  <c r="B8130" i="1"/>
  <c r="A8130" i="1"/>
  <c r="B8129" i="1"/>
  <c r="A8129" i="1"/>
  <c r="B8128" i="1"/>
  <c r="A8128" i="1"/>
  <c r="B8127" i="1"/>
  <c r="A8127" i="1"/>
  <c r="B8126" i="1"/>
  <c r="A8126" i="1"/>
  <c r="A8125" i="1"/>
  <c r="B8124" i="1"/>
  <c r="A8124" i="1"/>
  <c r="B8123" i="1"/>
  <c r="A8123" i="1"/>
  <c r="B8122" i="1"/>
  <c r="A8122" i="1"/>
  <c r="B8121" i="1"/>
  <c r="A8121" i="1"/>
  <c r="B8120" i="1"/>
  <c r="A8120" i="1"/>
  <c r="B8119" i="1"/>
  <c r="A8119" i="1"/>
  <c r="B8118" i="1"/>
  <c r="A8118" i="1"/>
  <c r="B8117" i="1"/>
  <c r="A8117" i="1"/>
  <c r="B8116" i="1"/>
  <c r="A8116" i="1"/>
  <c r="B8115" i="1"/>
  <c r="A8115" i="1"/>
  <c r="A8114" i="1"/>
  <c r="B8113" i="1"/>
  <c r="A8113" i="1"/>
  <c r="B8112" i="1"/>
  <c r="A8112" i="1"/>
  <c r="B8111" i="1"/>
  <c r="A8111" i="1"/>
  <c r="B8110" i="1"/>
  <c r="A8110" i="1"/>
  <c r="B8109" i="1"/>
  <c r="A8109" i="1"/>
  <c r="B8108" i="1"/>
  <c r="A8108" i="1"/>
  <c r="B8107" i="1"/>
  <c r="A8107" i="1"/>
  <c r="B8106" i="1"/>
  <c r="A8106" i="1"/>
  <c r="B8105" i="1"/>
  <c r="A8105" i="1"/>
  <c r="B8104" i="1"/>
  <c r="A8104" i="1"/>
  <c r="B8103" i="1"/>
  <c r="A8103" i="1"/>
  <c r="B8102" i="1"/>
  <c r="A8102" i="1"/>
  <c r="B8101" i="1"/>
  <c r="A8101" i="1"/>
  <c r="A8100" i="1"/>
  <c r="B8099" i="1"/>
  <c r="A8099" i="1"/>
  <c r="B8098" i="1"/>
  <c r="A8098" i="1"/>
  <c r="B8097" i="1"/>
  <c r="A8097" i="1"/>
  <c r="B8096" i="1"/>
  <c r="A8096" i="1"/>
  <c r="B8095" i="1"/>
  <c r="A8095" i="1"/>
  <c r="A8094" i="1"/>
  <c r="A8093" i="1"/>
  <c r="B8092" i="1"/>
  <c r="A8092" i="1"/>
  <c r="B8091" i="1"/>
  <c r="A8091" i="1"/>
  <c r="B8090" i="1"/>
  <c r="A8090" i="1"/>
  <c r="B8089" i="1"/>
  <c r="A8089" i="1"/>
  <c r="A8088" i="1"/>
  <c r="A8087" i="1"/>
  <c r="B8086" i="1"/>
  <c r="A8086" i="1"/>
  <c r="B8085" i="1"/>
  <c r="A8085" i="1"/>
  <c r="B8084" i="1"/>
  <c r="A8084" i="1"/>
  <c r="B8083" i="1"/>
  <c r="A8083" i="1"/>
  <c r="B8082" i="1"/>
  <c r="A8082" i="1"/>
  <c r="A8081" i="1"/>
  <c r="B8080" i="1"/>
  <c r="A8080" i="1"/>
  <c r="B8079" i="1"/>
  <c r="A8079" i="1"/>
  <c r="B8078" i="1"/>
  <c r="A8078" i="1"/>
  <c r="B8077" i="1"/>
  <c r="A8077" i="1"/>
  <c r="A8076" i="1"/>
  <c r="A8075" i="1"/>
  <c r="A8074" i="1"/>
  <c r="B8073" i="1"/>
  <c r="A8073" i="1"/>
  <c r="B8072" i="1"/>
  <c r="A8072" i="1"/>
  <c r="A8071" i="1"/>
  <c r="B8070" i="1"/>
  <c r="A8070" i="1"/>
  <c r="B8069" i="1"/>
  <c r="A8069" i="1"/>
  <c r="B8068" i="1"/>
  <c r="A8068" i="1"/>
  <c r="B8067" i="1"/>
  <c r="A8067" i="1"/>
  <c r="B8066" i="1"/>
  <c r="A8066" i="1"/>
  <c r="B8065" i="1"/>
  <c r="A8065" i="1"/>
  <c r="B8064" i="1"/>
  <c r="A8064" i="1"/>
  <c r="B8063" i="1"/>
  <c r="A8063" i="1"/>
  <c r="A8062" i="1"/>
  <c r="A8061" i="1"/>
  <c r="B8060" i="1"/>
  <c r="A8060" i="1"/>
  <c r="A8059" i="1"/>
  <c r="B8058" i="1"/>
  <c r="A8058" i="1"/>
  <c r="B8057" i="1"/>
  <c r="A8057" i="1"/>
  <c r="B8056" i="1"/>
  <c r="A8056" i="1"/>
  <c r="A8055" i="1"/>
  <c r="A8054" i="1"/>
  <c r="B8053" i="1"/>
  <c r="A8053" i="1"/>
  <c r="B8052" i="1"/>
  <c r="A8052" i="1"/>
  <c r="B8051" i="1"/>
  <c r="A8051" i="1"/>
  <c r="A8050" i="1"/>
  <c r="B8049" i="1"/>
  <c r="A8049" i="1"/>
  <c r="B8048" i="1"/>
  <c r="A8048" i="1"/>
  <c r="A8047" i="1"/>
  <c r="B8046" i="1"/>
  <c r="A8046" i="1"/>
  <c r="B8045" i="1"/>
  <c r="A8045" i="1"/>
  <c r="B8044" i="1"/>
  <c r="A8044" i="1"/>
  <c r="B8043" i="1"/>
  <c r="A8043" i="1"/>
  <c r="B8042" i="1"/>
  <c r="A8042" i="1"/>
  <c r="B8041" i="1"/>
  <c r="A8041" i="1"/>
  <c r="A8040" i="1"/>
  <c r="B8039" i="1"/>
  <c r="A8039" i="1"/>
  <c r="B8038" i="1"/>
  <c r="A8038" i="1"/>
  <c r="B8037" i="1"/>
  <c r="A8037" i="1"/>
  <c r="B8036" i="1"/>
  <c r="A8036" i="1"/>
  <c r="B8035" i="1"/>
  <c r="A8035" i="1"/>
  <c r="B8034" i="1"/>
  <c r="A8034" i="1"/>
  <c r="B8033" i="1"/>
  <c r="A8033" i="1"/>
  <c r="B8032" i="1"/>
  <c r="A8032" i="1"/>
  <c r="B8031" i="1"/>
  <c r="A8031" i="1"/>
  <c r="B8030" i="1"/>
  <c r="A8030" i="1"/>
  <c r="B8029" i="1"/>
  <c r="A8029" i="1"/>
  <c r="A8028" i="1"/>
  <c r="B8027" i="1"/>
  <c r="A8027" i="1"/>
  <c r="B8026" i="1"/>
  <c r="A8026" i="1"/>
  <c r="A8025" i="1"/>
  <c r="B8024" i="1"/>
  <c r="A8024" i="1"/>
  <c r="B8023" i="1"/>
  <c r="A8023" i="1"/>
  <c r="B8022" i="1"/>
  <c r="A8022" i="1"/>
  <c r="A8021" i="1"/>
  <c r="A8020" i="1"/>
  <c r="B8019" i="1"/>
  <c r="A8019" i="1"/>
  <c r="B8018" i="1"/>
  <c r="A8018" i="1"/>
  <c r="B8017" i="1"/>
  <c r="A8017" i="1"/>
  <c r="B8016" i="1"/>
  <c r="A8016" i="1"/>
  <c r="B8015" i="1"/>
  <c r="A8015" i="1"/>
  <c r="A8014" i="1"/>
  <c r="B8013" i="1"/>
  <c r="A8013" i="1"/>
  <c r="B8012" i="1"/>
  <c r="A8012" i="1"/>
  <c r="A8011" i="1"/>
  <c r="A8010" i="1"/>
  <c r="B8009" i="1"/>
  <c r="A8009" i="1"/>
  <c r="B8008" i="1"/>
  <c r="A8008" i="1"/>
  <c r="B8007" i="1"/>
  <c r="A8007" i="1"/>
  <c r="B8006" i="1"/>
  <c r="A8006" i="1"/>
  <c r="B8005" i="1"/>
  <c r="A8005" i="1"/>
  <c r="B8004" i="1"/>
  <c r="A8004" i="1"/>
  <c r="B8003" i="1"/>
  <c r="A8003" i="1"/>
  <c r="A8002" i="1"/>
  <c r="B8001" i="1"/>
  <c r="A8001" i="1"/>
  <c r="A8000" i="1"/>
  <c r="A7999" i="1"/>
  <c r="B7998" i="1"/>
  <c r="A7998" i="1"/>
  <c r="A7997" i="1"/>
  <c r="A7996" i="1"/>
  <c r="B7995" i="1"/>
  <c r="A7995" i="1"/>
  <c r="A7994" i="1"/>
  <c r="A7993" i="1"/>
  <c r="B7992" i="1"/>
  <c r="A7992" i="1"/>
  <c r="A7991" i="1"/>
  <c r="A7990" i="1"/>
  <c r="B7989" i="1"/>
  <c r="A7989" i="1"/>
  <c r="B7988" i="1"/>
  <c r="A7988" i="1"/>
  <c r="B7987" i="1"/>
  <c r="A7987" i="1"/>
  <c r="A7986" i="1"/>
  <c r="A7985" i="1"/>
  <c r="B7984" i="1"/>
  <c r="A7984" i="1"/>
  <c r="B7983" i="1"/>
  <c r="A7983" i="1"/>
  <c r="B7982" i="1"/>
  <c r="A7982" i="1"/>
  <c r="A7981" i="1"/>
  <c r="B7980" i="1"/>
  <c r="A7980" i="1"/>
  <c r="B7979" i="1"/>
  <c r="A7979" i="1"/>
  <c r="B7978" i="1"/>
  <c r="A7978" i="1"/>
  <c r="A7977" i="1"/>
  <c r="A7976" i="1"/>
  <c r="B7975" i="1"/>
  <c r="A7975" i="1"/>
  <c r="B7974" i="1"/>
  <c r="A7974" i="1"/>
  <c r="B7973" i="1"/>
  <c r="A7973" i="1"/>
  <c r="B7972" i="1"/>
  <c r="A7972" i="1"/>
  <c r="A7971" i="1"/>
  <c r="A7970" i="1"/>
  <c r="B7969" i="1"/>
  <c r="A7969" i="1"/>
  <c r="B7968" i="1"/>
  <c r="A7968" i="1"/>
  <c r="B7967" i="1"/>
  <c r="A7967" i="1"/>
  <c r="A7966" i="1"/>
  <c r="B7965" i="1"/>
  <c r="A7965" i="1"/>
  <c r="B7964" i="1"/>
  <c r="A7964" i="1"/>
  <c r="A7963" i="1"/>
  <c r="B7962" i="1"/>
  <c r="A7962" i="1"/>
  <c r="B7961" i="1"/>
  <c r="A7961" i="1"/>
  <c r="B7960" i="1"/>
  <c r="A7960" i="1"/>
  <c r="B7959" i="1"/>
  <c r="A7959" i="1"/>
  <c r="A7958" i="1"/>
  <c r="B7957" i="1"/>
  <c r="A7957" i="1"/>
  <c r="B7956" i="1"/>
  <c r="A7956" i="1"/>
  <c r="A7955" i="1"/>
  <c r="B7954" i="1"/>
  <c r="A7954" i="1"/>
  <c r="B7953" i="1"/>
  <c r="A7953" i="1"/>
  <c r="A7952" i="1"/>
  <c r="B7951" i="1"/>
  <c r="A7951" i="1"/>
  <c r="B7950" i="1"/>
  <c r="A7950" i="1"/>
  <c r="A7949" i="1"/>
  <c r="A7948" i="1"/>
  <c r="B7947" i="1"/>
  <c r="A7947" i="1"/>
  <c r="A7946" i="1"/>
  <c r="B7945" i="1"/>
  <c r="A7945" i="1"/>
  <c r="B7944" i="1"/>
  <c r="A7944" i="1"/>
  <c r="A7943" i="1"/>
  <c r="A7942" i="1"/>
  <c r="B7941" i="1"/>
  <c r="A7941" i="1"/>
  <c r="B7940" i="1"/>
  <c r="A7940" i="1"/>
  <c r="A7939" i="1"/>
  <c r="A7938" i="1"/>
  <c r="B7937" i="1"/>
  <c r="A7937" i="1"/>
  <c r="B7936" i="1"/>
  <c r="A7936" i="1"/>
  <c r="B7935" i="1"/>
  <c r="A7935" i="1"/>
  <c r="B7934" i="1"/>
  <c r="A7934" i="1"/>
  <c r="B7933" i="1"/>
  <c r="A7933" i="1"/>
  <c r="B7932" i="1"/>
  <c r="A7932" i="1"/>
  <c r="B7931" i="1"/>
  <c r="A7931" i="1"/>
  <c r="B7930" i="1"/>
  <c r="A7930" i="1"/>
  <c r="B7929" i="1"/>
  <c r="A7929" i="1"/>
  <c r="B7928" i="1"/>
  <c r="A7928" i="1"/>
  <c r="B7927" i="1"/>
  <c r="A7927" i="1"/>
  <c r="B7926" i="1"/>
  <c r="A7926" i="1"/>
  <c r="B7925" i="1"/>
  <c r="A7925" i="1"/>
  <c r="B7924" i="1"/>
  <c r="A7924" i="1"/>
  <c r="B7923" i="1"/>
  <c r="A7923" i="1"/>
  <c r="B7922" i="1"/>
  <c r="A7922" i="1"/>
  <c r="A7921" i="1"/>
  <c r="B7920" i="1"/>
  <c r="A7920" i="1"/>
  <c r="B7919" i="1"/>
  <c r="A7919" i="1"/>
  <c r="A7918" i="1"/>
  <c r="A7917" i="1"/>
  <c r="B7916" i="1"/>
  <c r="A7916" i="1"/>
  <c r="B7915" i="1"/>
  <c r="A7915" i="1"/>
  <c r="B7914" i="1"/>
  <c r="A7914" i="1"/>
  <c r="A7913" i="1"/>
  <c r="B7912" i="1"/>
  <c r="A7912" i="1"/>
  <c r="B7911" i="1"/>
  <c r="A7911" i="1"/>
  <c r="B7910" i="1"/>
  <c r="A7910" i="1"/>
  <c r="B7909" i="1"/>
  <c r="A7909" i="1"/>
  <c r="B7908" i="1"/>
  <c r="A7908" i="1"/>
  <c r="B7907" i="1"/>
  <c r="A7907" i="1"/>
  <c r="B7906" i="1"/>
  <c r="A7906" i="1"/>
  <c r="B7905" i="1"/>
  <c r="A7905" i="1"/>
  <c r="B7904" i="1"/>
  <c r="A7904" i="1"/>
  <c r="B7903" i="1"/>
  <c r="A7903" i="1"/>
  <c r="B7902" i="1"/>
  <c r="A7902" i="1"/>
  <c r="B7901" i="1"/>
  <c r="A7901" i="1"/>
  <c r="B7900" i="1"/>
  <c r="A7900" i="1"/>
  <c r="A7899" i="1"/>
  <c r="B7898" i="1"/>
  <c r="A7898" i="1"/>
  <c r="A7897" i="1"/>
  <c r="B7896" i="1"/>
  <c r="A7896" i="1"/>
  <c r="B7895" i="1"/>
  <c r="A7895" i="1"/>
  <c r="A7894" i="1"/>
  <c r="B7893" i="1"/>
  <c r="A7893" i="1"/>
  <c r="B7892" i="1"/>
  <c r="A7892" i="1"/>
  <c r="B7891" i="1"/>
  <c r="A7891" i="1"/>
  <c r="B7890" i="1"/>
  <c r="A7890" i="1"/>
  <c r="B7889" i="1"/>
  <c r="A7889" i="1"/>
  <c r="B7888" i="1"/>
  <c r="A7888" i="1"/>
  <c r="B7887" i="1"/>
  <c r="A7887" i="1"/>
  <c r="B7886" i="1"/>
  <c r="A7886" i="1"/>
  <c r="B7885" i="1"/>
  <c r="A7885" i="1"/>
  <c r="B7884" i="1"/>
  <c r="A7884" i="1"/>
  <c r="A7883" i="1"/>
  <c r="B7882" i="1"/>
  <c r="A7882" i="1"/>
  <c r="B7881" i="1"/>
  <c r="A7881" i="1"/>
  <c r="B7880" i="1"/>
  <c r="A7880" i="1"/>
  <c r="B7879" i="1"/>
  <c r="A7879" i="1"/>
  <c r="B7878" i="1"/>
  <c r="A7878" i="1"/>
  <c r="B7877" i="1"/>
  <c r="A7877" i="1"/>
  <c r="B7876" i="1"/>
  <c r="A7876" i="1"/>
  <c r="B7875" i="1"/>
  <c r="A7875" i="1"/>
  <c r="B7874" i="1"/>
  <c r="A7874" i="1"/>
  <c r="B7873" i="1"/>
  <c r="A7873" i="1"/>
  <c r="B7872" i="1"/>
  <c r="A7872" i="1"/>
  <c r="A7871" i="1"/>
  <c r="B7870" i="1"/>
  <c r="A7870" i="1"/>
  <c r="B7869" i="1"/>
  <c r="A7869" i="1"/>
  <c r="B7868" i="1"/>
  <c r="A7868" i="1"/>
  <c r="A7867" i="1"/>
  <c r="B7866" i="1"/>
  <c r="A7866" i="1"/>
  <c r="B7865" i="1"/>
  <c r="A7865" i="1"/>
  <c r="A7864" i="1"/>
  <c r="B7863" i="1"/>
  <c r="A7863" i="1"/>
  <c r="A7862" i="1"/>
  <c r="B7861" i="1"/>
  <c r="A7861" i="1"/>
  <c r="B7860" i="1"/>
  <c r="A7860" i="1"/>
  <c r="B7859" i="1"/>
  <c r="A7859" i="1"/>
  <c r="A7858" i="1"/>
  <c r="B7857" i="1"/>
  <c r="A7857" i="1"/>
  <c r="A7856" i="1"/>
  <c r="A7855" i="1"/>
  <c r="B7854" i="1"/>
  <c r="A7854" i="1"/>
  <c r="B7853" i="1"/>
  <c r="A7853" i="1"/>
  <c r="A7852" i="1"/>
  <c r="B7851" i="1"/>
  <c r="A7851" i="1"/>
  <c r="B7850" i="1"/>
  <c r="A7850" i="1"/>
  <c r="A7849" i="1"/>
  <c r="A7848" i="1"/>
  <c r="B7847" i="1"/>
  <c r="A7847" i="1"/>
  <c r="B7846" i="1"/>
  <c r="A7846" i="1"/>
  <c r="B7845" i="1"/>
  <c r="A7845" i="1"/>
  <c r="A7844" i="1"/>
  <c r="B7843" i="1"/>
  <c r="A7843" i="1"/>
  <c r="A7842" i="1"/>
  <c r="B7841" i="1"/>
  <c r="A7841" i="1"/>
  <c r="B7840" i="1"/>
  <c r="A7840" i="1"/>
  <c r="B7839" i="1"/>
  <c r="A7839" i="1"/>
  <c r="B7838" i="1"/>
  <c r="A7838" i="1"/>
  <c r="B7837" i="1"/>
  <c r="A7837" i="1"/>
  <c r="A7836" i="1"/>
  <c r="B7835" i="1"/>
  <c r="A7835" i="1"/>
  <c r="B7834" i="1"/>
  <c r="A7834" i="1"/>
  <c r="B7833" i="1"/>
  <c r="A7833" i="1"/>
  <c r="B7832" i="1"/>
  <c r="A7832" i="1"/>
  <c r="B7831" i="1"/>
  <c r="A7831" i="1"/>
  <c r="B7830" i="1"/>
  <c r="A7830" i="1"/>
  <c r="B7829" i="1"/>
  <c r="A7829" i="1"/>
  <c r="B7828" i="1"/>
  <c r="A7828" i="1"/>
  <c r="B7827" i="1"/>
  <c r="A7827" i="1"/>
  <c r="B7826" i="1"/>
  <c r="A7826" i="1"/>
  <c r="B7825" i="1"/>
  <c r="A7825" i="1"/>
  <c r="B7824" i="1"/>
  <c r="A7824" i="1"/>
  <c r="A7823" i="1"/>
  <c r="A7822" i="1"/>
  <c r="B7821" i="1"/>
  <c r="A7821" i="1"/>
  <c r="A7820" i="1"/>
  <c r="B7819" i="1"/>
  <c r="A7819" i="1"/>
  <c r="B7818" i="1"/>
  <c r="A7818" i="1"/>
  <c r="A7817" i="1"/>
  <c r="B7816" i="1"/>
  <c r="A7816" i="1"/>
  <c r="B7815" i="1"/>
  <c r="A7815" i="1"/>
  <c r="B7814" i="1"/>
  <c r="A7814" i="1"/>
  <c r="B7813" i="1"/>
  <c r="A7813" i="1"/>
  <c r="A7812" i="1"/>
  <c r="B7811" i="1"/>
  <c r="A7811" i="1"/>
  <c r="B7810" i="1"/>
  <c r="A7810" i="1"/>
  <c r="A7809" i="1"/>
  <c r="B7808" i="1"/>
  <c r="A7808" i="1"/>
  <c r="B7807" i="1"/>
  <c r="A7807" i="1"/>
  <c r="B7806" i="1"/>
  <c r="A7806" i="1"/>
  <c r="A7805" i="1"/>
  <c r="B7804" i="1"/>
  <c r="A7804" i="1"/>
  <c r="A7803" i="1"/>
  <c r="A7802" i="1"/>
  <c r="B7801" i="1"/>
  <c r="A7801" i="1"/>
  <c r="B7800" i="1"/>
  <c r="A7800" i="1"/>
  <c r="B7799" i="1"/>
  <c r="A7799" i="1"/>
  <c r="B7798" i="1"/>
  <c r="A7798" i="1"/>
  <c r="A7797" i="1"/>
  <c r="B7796" i="1"/>
  <c r="A7796" i="1"/>
  <c r="B7795" i="1"/>
  <c r="A7795" i="1"/>
  <c r="A7794" i="1"/>
  <c r="B7793" i="1"/>
  <c r="A7793" i="1"/>
  <c r="B7792" i="1"/>
  <c r="A7792" i="1"/>
  <c r="B7791" i="1"/>
  <c r="A7791" i="1"/>
  <c r="B7790" i="1"/>
  <c r="A7790" i="1"/>
  <c r="B7789" i="1"/>
  <c r="A7789" i="1"/>
  <c r="B7788" i="1"/>
  <c r="A7788" i="1"/>
  <c r="B7787" i="1"/>
  <c r="A7787" i="1"/>
  <c r="B7786" i="1"/>
  <c r="A7786" i="1"/>
  <c r="B7785" i="1"/>
  <c r="A7785" i="1"/>
  <c r="B7784" i="1"/>
  <c r="A7784" i="1"/>
  <c r="B7783" i="1"/>
  <c r="A7783" i="1"/>
  <c r="B7782" i="1"/>
  <c r="A7782" i="1"/>
  <c r="B7781" i="1"/>
  <c r="A7781" i="1"/>
  <c r="B7780" i="1"/>
  <c r="A7780" i="1"/>
  <c r="A7779" i="1"/>
  <c r="A7778" i="1"/>
  <c r="B7777" i="1"/>
  <c r="A7777" i="1"/>
  <c r="B7776" i="1"/>
  <c r="A7776" i="1"/>
  <c r="B7775" i="1"/>
  <c r="A7775" i="1"/>
  <c r="B7774" i="1"/>
  <c r="A7774" i="1"/>
  <c r="B7773" i="1"/>
  <c r="A7773" i="1"/>
  <c r="B7772" i="1"/>
  <c r="A7772" i="1"/>
  <c r="B7771" i="1"/>
  <c r="A7771" i="1"/>
  <c r="B7770" i="1"/>
  <c r="A7770" i="1"/>
  <c r="B7769" i="1"/>
  <c r="A7769" i="1"/>
  <c r="A7768" i="1"/>
  <c r="B7767" i="1"/>
  <c r="A7767" i="1"/>
  <c r="B7766" i="1"/>
  <c r="A7766" i="1"/>
  <c r="B7765" i="1"/>
  <c r="A7765" i="1"/>
  <c r="B7764" i="1"/>
  <c r="A7764" i="1"/>
  <c r="B7763" i="1"/>
  <c r="A7763" i="1"/>
  <c r="B7762" i="1"/>
  <c r="A7762" i="1"/>
  <c r="A7761" i="1"/>
  <c r="A7760" i="1"/>
  <c r="A7759" i="1"/>
  <c r="B7758" i="1"/>
  <c r="A7758" i="1"/>
  <c r="B7757" i="1"/>
  <c r="A7757" i="1"/>
  <c r="B7756" i="1"/>
  <c r="A7756" i="1"/>
  <c r="B7755" i="1"/>
  <c r="A7755" i="1"/>
  <c r="B7754" i="1"/>
  <c r="A7754" i="1"/>
  <c r="B7753" i="1"/>
  <c r="A7753" i="1"/>
  <c r="A7752" i="1"/>
  <c r="B7751" i="1"/>
  <c r="A7751" i="1"/>
  <c r="B7750" i="1"/>
  <c r="A7750" i="1"/>
  <c r="B7749" i="1"/>
  <c r="A7749" i="1"/>
  <c r="B7748" i="1"/>
  <c r="A7748" i="1"/>
  <c r="B7747" i="1"/>
  <c r="A7747" i="1"/>
  <c r="B7746" i="1"/>
  <c r="A7746" i="1"/>
  <c r="A7745" i="1"/>
  <c r="B7744" i="1"/>
  <c r="A7744" i="1"/>
  <c r="B7743" i="1"/>
  <c r="A7743" i="1"/>
  <c r="B7742" i="1"/>
  <c r="A7742" i="1"/>
  <c r="B7741" i="1"/>
  <c r="A7741" i="1"/>
  <c r="B7740" i="1"/>
  <c r="A7740" i="1"/>
  <c r="B7739" i="1"/>
  <c r="A7739" i="1"/>
  <c r="B7738" i="1"/>
  <c r="A7738" i="1"/>
  <c r="B7737" i="1"/>
  <c r="A7737" i="1"/>
  <c r="A7736" i="1"/>
  <c r="B7735" i="1"/>
  <c r="A7735" i="1"/>
  <c r="B7734" i="1"/>
  <c r="A7734" i="1"/>
  <c r="B7733" i="1"/>
  <c r="A7733" i="1"/>
  <c r="A7732" i="1"/>
  <c r="B7731" i="1"/>
  <c r="A7731" i="1"/>
  <c r="B7730" i="1"/>
  <c r="A7730" i="1"/>
  <c r="B7729" i="1"/>
  <c r="A7729" i="1"/>
  <c r="B7728" i="1"/>
  <c r="A7728" i="1"/>
  <c r="B7727" i="1"/>
  <c r="A7727" i="1"/>
  <c r="A7726" i="1"/>
  <c r="B7725" i="1"/>
  <c r="A7725" i="1"/>
  <c r="A7724" i="1"/>
  <c r="B7723" i="1"/>
  <c r="A7723" i="1"/>
  <c r="B7722" i="1"/>
  <c r="A7722" i="1"/>
  <c r="B7721" i="1"/>
  <c r="A7721" i="1"/>
  <c r="B7720" i="1"/>
  <c r="A7720" i="1"/>
  <c r="B7719" i="1"/>
  <c r="A7719" i="1"/>
  <c r="B7718" i="1"/>
  <c r="A7718" i="1"/>
  <c r="A7717" i="1"/>
  <c r="B7716" i="1"/>
  <c r="A7716" i="1"/>
  <c r="B7715" i="1"/>
  <c r="A7715" i="1"/>
  <c r="B7714" i="1"/>
  <c r="A7714" i="1"/>
  <c r="B7713" i="1"/>
  <c r="A7713" i="1"/>
  <c r="B7712" i="1"/>
  <c r="A7712" i="1"/>
  <c r="B7711" i="1"/>
  <c r="A7711" i="1"/>
  <c r="A7710" i="1"/>
  <c r="B7709" i="1"/>
  <c r="A7709" i="1"/>
  <c r="B7708" i="1"/>
  <c r="A7708" i="1"/>
  <c r="B7707" i="1"/>
  <c r="A7707" i="1"/>
  <c r="B7706" i="1"/>
  <c r="A7706" i="1"/>
  <c r="B7705" i="1"/>
  <c r="A7705" i="1"/>
  <c r="B7704" i="1"/>
  <c r="A7704" i="1"/>
  <c r="B7703" i="1"/>
  <c r="A7703" i="1"/>
  <c r="B7702" i="1"/>
  <c r="A7702" i="1"/>
  <c r="B7701" i="1"/>
  <c r="A7701" i="1"/>
  <c r="A7700" i="1"/>
  <c r="A7699" i="1"/>
  <c r="B7698" i="1"/>
  <c r="A7698" i="1"/>
  <c r="B7697" i="1"/>
  <c r="A7697" i="1"/>
  <c r="B7696" i="1"/>
  <c r="A7696" i="1"/>
  <c r="B7695" i="1"/>
  <c r="A7695" i="1"/>
  <c r="B7694" i="1"/>
  <c r="A7694" i="1"/>
  <c r="A7693" i="1"/>
  <c r="A7692" i="1"/>
  <c r="A7691" i="1"/>
  <c r="B7690" i="1"/>
  <c r="A7690" i="1"/>
  <c r="A7689" i="1"/>
  <c r="B7688" i="1"/>
  <c r="A7688" i="1"/>
  <c r="B7687" i="1"/>
  <c r="A7687" i="1"/>
  <c r="B7686" i="1"/>
  <c r="A7686" i="1"/>
  <c r="B7685" i="1"/>
  <c r="A7685" i="1"/>
  <c r="B7684" i="1"/>
  <c r="A7684" i="1"/>
  <c r="B7683" i="1"/>
  <c r="A7683" i="1"/>
  <c r="B7682" i="1"/>
  <c r="A7682" i="1"/>
  <c r="A7681" i="1"/>
  <c r="B7680" i="1"/>
  <c r="A7680" i="1"/>
  <c r="B7679" i="1"/>
  <c r="A7679" i="1"/>
  <c r="B7678" i="1"/>
  <c r="A7678" i="1"/>
  <c r="B7677" i="1"/>
  <c r="A7677" i="1"/>
  <c r="B7676" i="1"/>
  <c r="A7676" i="1"/>
  <c r="B7675" i="1"/>
  <c r="A7675" i="1"/>
  <c r="B7674" i="1"/>
  <c r="A7674" i="1"/>
  <c r="A7673" i="1"/>
  <c r="A7672" i="1"/>
  <c r="A7671" i="1"/>
  <c r="B7670" i="1"/>
  <c r="A7670" i="1"/>
  <c r="A7669" i="1"/>
  <c r="A7668" i="1"/>
  <c r="B7667" i="1"/>
  <c r="A7667" i="1"/>
  <c r="B7666" i="1"/>
  <c r="A7666" i="1"/>
  <c r="B7665" i="1"/>
  <c r="A7665" i="1"/>
  <c r="B7664" i="1"/>
  <c r="A7664" i="1"/>
  <c r="B7663" i="1"/>
  <c r="A7663" i="1"/>
  <c r="B7662" i="1"/>
  <c r="A7662" i="1"/>
  <c r="A7661" i="1"/>
  <c r="B7660" i="1"/>
  <c r="A7660" i="1"/>
  <c r="A7659" i="1"/>
  <c r="B7658" i="1"/>
  <c r="A7658" i="1"/>
  <c r="B7657" i="1"/>
  <c r="A7657" i="1"/>
  <c r="A7656" i="1"/>
  <c r="B7655" i="1"/>
  <c r="A7655" i="1"/>
  <c r="A7654" i="1"/>
  <c r="B7653" i="1"/>
  <c r="A7653" i="1"/>
  <c r="A7652" i="1"/>
  <c r="B7651" i="1"/>
  <c r="A7651" i="1"/>
  <c r="B7650" i="1"/>
  <c r="A7650" i="1"/>
  <c r="B7649" i="1"/>
  <c r="A7649" i="1"/>
  <c r="A7648" i="1"/>
  <c r="B7647" i="1"/>
  <c r="A7647" i="1"/>
  <c r="B7646" i="1"/>
  <c r="A7646" i="1"/>
  <c r="B7645" i="1"/>
  <c r="A7645" i="1"/>
  <c r="B7644" i="1"/>
  <c r="A7644" i="1"/>
  <c r="B7643" i="1"/>
  <c r="A7643" i="1"/>
  <c r="A7642" i="1"/>
  <c r="A7641" i="1"/>
  <c r="B7640" i="1"/>
  <c r="A7640" i="1"/>
  <c r="B7639" i="1"/>
  <c r="A7639" i="1"/>
  <c r="B7638" i="1"/>
  <c r="A7638" i="1"/>
  <c r="B7637" i="1"/>
  <c r="A7637" i="1"/>
  <c r="A7636" i="1"/>
  <c r="A7635" i="1"/>
  <c r="B7634" i="1"/>
  <c r="A7634" i="1"/>
  <c r="B7633" i="1"/>
  <c r="A7633" i="1"/>
  <c r="B7632" i="1"/>
  <c r="A7632" i="1"/>
  <c r="B7631" i="1"/>
  <c r="A7631" i="1"/>
  <c r="B7630" i="1"/>
  <c r="A7630" i="1"/>
  <c r="B7629" i="1"/>
  <c r="A7629" i="1"/>
  <c r="A7628" i="1"/>
  <c r="B7627" i="1"/>
  <c r="A7627" i="1"/>
  <c r="B7626" i="1"/>
  <c r="A7626" i="1"/>
  <c r="B7625" i="1"/>
  <c r="A7625" i="1"/>
  <c r="A7624" i="1"/>
  <c r="B7623" i="1"/>
  <c r="A7623" i="1"/>
  <c r="B7622" i="1"/>
  <c r="A7622" i="1"/>
  <c r="A7621" i="1"/>
  <c r="B7620" i="1"/>
  <c r="A7620" i="1"/>
  <c r="B7619" i="1"/>
  <c r="A7619" i="1"/>
  <c r="B7618" i="1"/>
  <c r="A7618" i="1"/>
  <c r="B7617" i="1"/>
  <c r="A7617" i="1"/>
  <c r="A7616" i="1"/>
  <c r="B7615" i="1"/>
  <c r="A7615" i="1"/>
  <c r="B7614" i="1"/>
  <c r="A7614" i="1"/>
  <c r="B7613" i="1"/>
  <c r="A7613" i="1"/>
  <c r="B7612" i="1"/>
  <c r="A7612" i="1"/>
  <c r="B7611" i="1"/>
  <c r="A7611" i="1"/>
  <c r="B7610" i="1"/>
  <c r="A7610" i="1"/>
  <c r="B7609" i="1"/>
  <c r="A7609" i="1"/>
  <c r="B7608" i="1"/>
  <c r="A7608" i="1"/>
  <c r="A7607" i="1"/>
  <c r="B7606" i="1"/>
  <c r="A7606" i="1"/>
  <c r="B7605" i="1"/>
  <c r="A7605" i="1"/>
  <c r="B7604" i="1"/>
  <c r="A7604" i="1"/>
  <c r="B7603" i="1"/>
  <c r="A7603" i="1"/>
  <c r="B7602" i="1"/>
  <c r="A7602" i="1"/>
  <c r="B7601" i="1"/>
  <c r="A7601" i="1"/>
  <c r="B7600" i="1"/>
  <c r="A7600" i="1"/>
  <c r="B7599" i="1"/>
  <c r="A7599" i="1"/>
  <c r="B7598" i="1"/>
  <c r="A7598" i="1"/>
  <c r="B7597" i="1"/>
  <c r="A7597" i="1"/>
  <c r="B7596" i="1"/>
  <c r="A7596" i="1"/>
  <c r="B7595" i="1"/>
  <c r="A7595" i="1"/>
  <c r="B7594" i="1"/>
  <c r="A7594" i="1"/>
  <c r="B7593" i="1"/>
  <c r="A7593" i="1"/>
  <c r="B7592" i="1"/>
  <c r="A7592" i="1"/>
  <c r="B7591" i="1"/>
  <c r="A7591" i="1"/>
  <c r="A7590" i="1"/>
  <c r="B7589" i="1"/>
  <c r="A7589" i="1"/>
  <c r="A7588" i="1"/>
  <c r="A7587" i="1"/>
  <c r="B7586" i="1"/>
  <c r="A7586" i="1"/>
  <c r="B7585" i="1"/>
  <c r="A7585" i="1"/>
  <c r="A7584" i="1"/>
  <c r="A7583" i="1"/>
  <c r="B7582" i="1"/>
  <c r="A7582" i="1"/>
  <c r="B7581" i="1"/>
  <c r="A7581" i="1"/>
  <c r="B7580" i="1"/>
  <c r="A7580" i="1"/>
  <c r="B7579" i="1"/>
  <c r="A7579" i="1"/>
  <c r="B7578" i="1"/>
  <c r="A7578" i="1"/>
  <c r="B7577" i="1"/>
  <c r="A7577" i="1"/>
  <c r="B7576" i="1"/>
  <c r="A7576" i="1"/>
  <c r="B7575" i="1"/>
  <c r="A7575" i="1"/>
  <c r="B7574" i="1"/>
  <c r="A7574" i="1"/>
  <c r="B7573" i="1"/>
  <c r="A7573" i="1"/>
  <c r="A7572" i="1"/>
  <c r="B7571" i="1"/>
  <c r="A7571" i="1"/>
  <c r="B7570" i="1"/>
  <c r="A7570" i="1"/>
  <c r="B7569" i="1"/>
  <c r="A7569" i="1"/>
  <c r="A7568" i="1"/>
  <c r="B7567" i="1"/>
  <c r="A7567" i="1"/>
  <c r="B7566" i="1"/>
  <c r="A7566" i="1"/>
  <c r="B7565" i="1"/>
  <c r="A7565" i="1"/>
  <c r="B7564" i="1"/>
  <c r="A7564" i="1"/>
  <c r="B7563" i="1"/>
  <c r="A7563" i="1"/>
  <c r="B7562" i="1"/>
  <c r="A7562" i="1"/>
  <c r="B7561" i="1"/>
  <c r="A7561" i="1"/>
  <c r="B7560" i="1"/>
  <c r="A7560" i="1"/>
  <c r="B7559" i="1"/>
  <c r="A7559" i="1"/>
  <c r="B7558" i="1"/>
  <c r="A7558" i="1"/>
  <c r="B7557" i="1"/>
  <c r="A7557" i="1"/>
  <c r="B7556" i="1"/>
  <c r="A7556" i="1"/>
  <c r="B7555" i="1"/>
  <c r="A7555" i="1"/>
  <c r="B7554" i="1"/>
  <c r="A7554" i="1"/>
  <c r="B7553" i="1"/>
  <c r="A7553" i="1"/>
  <c r="B7552" i="1"/>
  <c r="A7552" i="1"/>
  <c r="B7551" i="1"/>
  <c r="A7551" i="1"/>
  <c r="B7550" i="1"/>
  <c r="A7550" i="1"/>
  <c r="A7549" i="1"/>
  <c r="B7548" i="1"/>
  <c r="A7548" i="1"/>
  <c r="A7547" i="1"/>
  <c r="B7546" i="1"/>
  <c r="A7546" i="1"/>
  <c r="B7545" i="1"/>
  <c r="A7545" i="1"/>
  <c r="B7544" i="1"/>
  <c r="A7544" i="1"/>
  <c r="B7543" i="1"/>
  <c r="A7543" i="1"/>
  <c r="B7542" i="1"/>
  <c r="A7542" i="1"/>
  <c r="B7541" i="1"/>
  <c r="A7541" i="1"/>
  <c r="A7540" i="1"/>
  <c r="B7539" i="1"/>
  <c r="A7539" i="1"/>
  <c r="B7538" i="1"/>
  <c r="A7538" i="1"/>
  <c r="B7537" i="1"/>
  <c r="A7537" i="1"/>
  <c r="B7536" i="1"/>
  <c r="A7536" i="1"/>
  <c r="B7535" i="1"/>
  <c r="A7535" i="1"/>
  <c r="B7534" i="1"/>
  <c r="A7534" i="1"/>
  <c r="A7533" i="1"/>
  <c r="B7532" i="1"/>
  <c r="A7532" i="1"/>
  <c r="B7531" i="1"/>
  <c r="A7531" i="1"/>
  <c r="B7530" i="1"/>
  <c r="A7530" i="1"/>
  <c r="A7529" i="1"/>
  <c r="B7528" i="1"/>
  <c r="A7528" i="1"/>
  <c r="A7527" i="1"/>
  <c r="A7526" i="1"/>
  <c r="B7525" i="1"/>
  <c r="A7525" i="1"/>
  <c r="B7524" i="1"/>
  <c r="A7524" i="1"/>
  <c r="B7523" i="1"/>
  <c r="A7523" i="1"/>
  <c r="B7522" i="1"/>
  <c r="A7522" i="1"/>
  <c r="B7521" i="1"/>
  <c r="A7521" i="1"/>
  <c r="B7520" i="1"/>
  <c r="A7520" i="1"/>
  <c r="B7519" i="1"/>
  <c r="A7519" i="1"/>
  <c r="B7518" i="1"/>
  <c r="A7518" i="1"/>
  <c r="B7517" i="1"/>
  <c r="A7517" i="1"/>
  <c r="B7516" i="1"/>
  <c r="A7516" i="1"/>
  <c r="B7515" i="1"/>
  <c r="A7515" i="1"/>
  <c r="B7514" i="1"/>
  <c r="A7514" i="1"/>
  <c r="A7513" i="1"/>
  <c r="B7512" i="1"/>
  <c r="A7512" i="1"/>
  <c r="A7511" i="1"/>
  <c r="B7510" i="1"/>
  <c r="A7510" i="1"/>
  <c r="B7509" i="1"/>
  <c r="A7509" i="1"/>
  <c r="A7508" i="1"/>
  <c r="B7507" i="1"/>
  <c r="A7507" i="1"/>
  <c r="B7506" i="1"/>
  <c r="A7506" i="1"/>
  <c r="B7505" i="1"/>
  <c r="A7505" i="1"/>
  <c r="B7504" i="1"/>
  <c r="A7504" i="1"/>
  <c r="B7503" i="1"/>
  <c r="A7503" i="1"/>
  <c r="B7502" i="1"/>
  <c r="A7502" i="1"/>
  <c r="B7501" i="1"/>
  <c r="A7501" i="1"/>
  <c r="B7500" i="1"/>
  <c r="A7500" i="1"/>
  <c r="B7499" i="1"/>
  <c r="A7499" i="1"/>
  <c r="B7498" i="1"/>
  <c r="A7498" i="1"/>
  <c r="B7497" i="1"/>
  <c r="A7497" i="1"/>
  <c r="B7496" i="1"/>
  <c r="A7496" i="1"/>
  <c r="A7495" i="1"/>
  <c r="B7494" i="1"/>
  <c r="A7494" i="1"/>
  <c r="B7493" i="1"/>
  <c r="A7493" i="1"/>
  <c r="B7492" i="1"/>
  <c r="A7492" i="1"/>
  <c r="B7491" i="1"/>
  <c r="A7491" i="1"/>
  <c r="B7490" i="1"/>
  <c r="A7490" i="1"/>
  <c r="B7489" i="1"/>
  <c r="A7489" i="1"/>
  <c r="B7488" i="1"/>
  <c r="A7488" i="1"/>
  <c r="A7487" i="1"/>
  <c r="B7486" i="1"/>
  <c r="A7486" i="1"/>
  <c r="B7485" i="1"/>
  <c r="A7485" i="1"/>
  <c r="B7484" i="1"/>
  <c r="A7484" i="1"/>
  <c r="B7483" i="1"/>
  <c r="A7483" i="1"/>
  <c r="B7482" i="1"/>
  <c r="A7482" i="1"/>
  <c r="B7481" i="1"/>
  <c r="A7481" i="1"/>
  <c r="B7480" i="1"/>
  <c r="A7480" i="1"/>
  <c r="B7479" i="1"/>
  <c r="A7479" i="1"/>
  <c r="B7478" i="1"/>
  <c r="A7478" i="1"/>
  <c r="B7477" i="1"/>
  <c r="A7477" i="1"/>
  <c r="A7476" i="1"/>
  <c r="B7475" i="1"/>
  <c r="A7475" i="1"/>
  <c r="B7474" i="1"/>
  <c r="A7474" i="1"/>
  <c r="B7473" i="1"/>
  <c r="A7473" i="1"/>
  <c r="A7472" i="1"/>
  <c r="B7471" i="1"/>
  <c r="A7471" i="1"/>
  <c r="B7470" i="1"/>
  <c r="A7470" i="1"/>
  <c r="B7469" i="1"/>
  <c r="A7469" i="1"/>
  <c r="B7468" i="1"/>
  <c r="A7468" i="1"/>
  <c r="B7467" i="1"/>
  <c r="A7467" i="1"/>
  <c r="B7466" i="1"/>
  <c r="A7466" i="1"/>
  <c r="A7465" i="1"/>
  <c r="B7464" i="1"/>
  <c r="A7464" i="1"/>
  <c r="B7463" i="1"/>
  <c r="A7463" i="1"/>
  <c r="B7462" i="1"/>
  <c r="A7462" i="1"/>
  <c r="B7461" i="1"/>
  <c r="A7461" i="1"/>
  <c r="B7460" i="1"/>
  <c r="A7460" i="1"/>
  <c r="B7459" i="1"/>
  <c r="A7459" i="1"/>
  <c r="A7458" i="1"/>
  <c r="A7457" i="1"/>
  <c r="B7456" i="1"/>
  <c r="A7456" i="1"/>
  <c r="A7455" i="1"/>
  <c r="B7454" i="1"/>
  <c r="A7454" i="1"/>
  <c r="B7453" i="1"/>
  <c r="A7453" i="1"/>
  <c r="A7452" i="1"/>
  <c r="B7451" i="1"/>
  <c r="A7451" i="1"/>
  <c r="B7450" i="1"/>
  <c r="A7450" i="1"/>
  <c r="B7449" i="1"/>
  <c r="A7449" i="1"/>
  <c r="A7448" i="1"/>
  <c r="B7447" i="1"/>
  <c r="A7447" i="1"/>
  <c r="A7446" i="1"/>
  <c r="B7445" i="1"/>
  <c r="A7445" i="1"/>
  <c r="B7444" i="1"/>
  <c r="A7444" i="1"/>
  <c r="B7443" i="1"/>
  <c r="A7443" i="1"/>
  <c r="B7442" i="1"/>
  <c r="A7442" i="1"/>
  <c r="A7441" i="1"/>
  <c r="A7440" i="1"/>
  <c r="A7439" i="1"/>
  <c r="B7438" i="1"/>
  <c r="A7438" i="1"/>
  <c r="A7437" i="1"/>
  <c r="B7436" i="1"/>
  <c r="A7436" i="1"/>
  <c r="B7435" i="1"/>
  <c r="A7435" i="1"/>
  <c r="B7434" i="1"/>
  <c r="A7434" i="1"/>
  <c r="B7433" i="1"/>
  <c r="A7433" i="1"/>
  <c r="B7432" i="1"/>
  <c r="A7432" i="1"/>
  <c r="B7431" i="1"/>
  <c r="A7431" i="1"/>
  <c r="B7430" i="1"/>
  <c r="A7430" i="1"/>
  <c r="B7429" i="1"/>
  <c r="A7429" i="1"/>
  <c r="B7428" i="1"/>
  <c r="A7428" i="1"/>
  <c r="B7427" i="1"/>
  <c r="A7427" i="1"/>
  <c r="A7426" i="1"/>
  <c r="B7425" i="1"/>
  <c r="A7425" i="1"/>
  <c r="B7424" i="1"/>
  <c r="A7424" i="1"/>
  <c r="B7423" i="1"/>
  <c r="A7423" i="1"/>
  <c r="B7422" i="1"/>
  <c r="A7422" i="1"/>
  <c r="B7421" i="1"/>
  <c r="A7421" i="1"/>
  <c r="B7420" i="1"/>
  <c r="A7420" i="1"/>
  <c r="A7419" i="1"/>
  <c r="B7418" i="1"/>
  <c r="A7418" i="1"/>
  <c r="B7417" i="1"/>
  <c r="A7417" i="1"/>
  <c r="B7416" i="1"/>
  <c r="A7416" i="1"/>
  <c r="B7415" i="1"/>
  <c r="A7415" i="1"/>
  <c r="A7414" i="1"/>
  <c r="A7413" i="1"/>
  <c r="B7412" i="1"/>
  <c r="A7412" i="1"/>
  <c r="B7411" i="1"/>
  <c r="A7411" i="1"/>
  <c r="A7410" i="1"/>
  <c r="B7409" i="1"/>
  <c r="A7409" i="1"/>
  <c r="B7408" i="1"/>
  <c r="A7408" i="1"/>
  <c r="B7407" i="1"/>
  <c r="A7407" i="1"/>
  <c r="B7406" i="1"/>
  <c r="A7406" i="1"/>
  <c r="B7405" i="1"/>
  <c r="A7405" i="1"/>
  <c r="B7404" i="1"/>
  <c r="A7404" i="1"/>
  <c r="A7403" i="1"/>
  <c r="B7402" i="1"/>
  <c r="A7402" i="1"/>
  <c r="B7401" i="1"/>
  <c r="A7401" i="1"/>
  <c r="B7400" i="1"/>
  <c r="A7400" i="1"/>
  <c r="B7399" i="1"/>
  <c r="A7399" i="1"/>
  <c r="B7398" i="1"/>
  <c r="A7398" i="1"/>
  <c r="B7397" i="1"/>
  <c r="A7397" i="1"/>
  <c r="A7396" i="1"/>
  <c r="B7395" i="1"/>
  <c r="A7395" i="1"/>
  <c r="B7394" i="1"/>
  <c r="A7394" i="1"/>
  <c r="B7393" i="1"/>
  <c r="A7393" i="1"/>
  <c r="A7392" i="1"/>
  <c r="B7391" i="1"/>
  <c r="A7391" i="1"/>
  <c r="B7390" i="1"/>
  <c r="A7390" i="1"/>
  <c r="B7389" i="1"/>
  <c r="A7389" i="1"/>
  <c r="A7388" i="1"/>
  <c r="B7387" i="1"/>
  <c r="A7387" i="1"/>
  <c r="B7386" i="1"/>
  <c r="A7386" i="1"/>
  <c r="B7385" i="1"/>
  <c r="A7385" i="1"/>
  <c r="B7384" i="1"/>
  <c r="A7384" i="1"/>
  <c r="B7383" i="1"/>
  <c r="A7383" i="1"/>
  <c r="B7382" i="1"/>
  <c r="A7382" i="1"/>
  <c r="B7381" i="1"/>
  <c r="A7381" i="1"/>
  <c r="B7380" i="1"/>
  <c r="A7380" i="1"/>
  <c r="B7379" i="1"/>
  <c r="A7379" i="1"/>
  <c r="B7378" i="1"/>
  <c r="A7378" i="1"/>
  <c r="B7377" i="1"/>
  <c r="A7377" i="1"/>
  <c r="B7376" i="1"/>
  <c r="A7376" i="1"/>
  <c r="A7375" i="1"/>
  <c r="B7374" i="1"/>
  <c r="A7374" i="1"/>
  <c r="A7373" i="1"/>
  <c r="B7372" i="1"/>
  <c r="A7372" i="1"/>
  <c r="B7371" i="1"/>
  <c r="A7371" i="1"/>
  <c r="B7370" i="1"/>
  <c r="A7370" i="1"/>
  <c r="B7369" i="1"/>
  <c r="A7369" i="1"/>
  <c r="B7368" i="1"/>
  <c r="A7368" i="1"/>
  <c r="B7367" i="1"/>
  <c r="A7367" i="1"/>
  <c r="B7366" i="1"/>
  <c r="A7366" i="1"/>
  <c r="B7365" i="1"/>
  <c r="A7365" i="1"/>
  <c r="B7364" i="1"/>
  <c r="A7364" i="1"/>
  <c r="B7363" i="1"/>
  <c r="A7363" i="1"/>
  <c r="B7362" i="1"/>
  <c r="A7362" i="1"/>
  <c r="B7361" i="1"/>
  <c r="A7361" i="1"/>
  <c r="B7360" i="1"/>
  <c r="A7360" i="1"/>
  <c r="B7359" i="1"/>
  <c r="A7359" i="1"/>
  <c r="B7358" i="1"/>
  <c r="A7358" i="1"/>
  <c r="B7357" i="1"/>
  <c r="A7357" i="1"/>
  <c r="B7356" i="1"/>
  <c r="A7356" i="1"/>
  <c r="B7355" i="1"/>
  <c r="A7355" i="1"/>
  <c r="A7354" i="1"/>
  <c r="B7353" i="1"/>
  <c r="A7353" i="1"/>
  <c r="B7352" i="1"/>
  <c r="A7352" i="1"/>
  <c r="B7351" i="1"/>
  <c r="A7351" i="1"/>
  <c r="B7350" i="1"/>
  <c r="A7350" i="1"/>
  <c r="B7349" i="1"/>
  <c r="A7349" i="1"/>
  <c r="B7348" i="1"/>
  <c r="A7348" i="1"/>
  <c r="B7347" i="1"/>
  <c r="A7347" i="1"/>
  <c r="A7346" i="1"/>
  <c r="B7345" i="1"/>
  <c r="A7345" i="1"/>
  <c r="A7344" i="1"/>
  <c r="A7343" i="1"/>
  <c r="B7342" i="1"/>
  <c r="A7342" i="1"/>
  <c r="B7341" i="1"/>
  <c r="A7341" i="1"/>
  <c r="B7340" i="1"/>
  <c r="A7340" i="1"/>
  <c r="B7339" i="1"/>
  <c r="A7339" i="1"/>
  <c r="A7338" i="1"/>
  <c r="B7337" i="1"/>
  <c r="A7337" i="1"/>
  <c r="A7336" i="1"/>
  <c r="A7335" i="1"/>
  <c r="B7334" i="1"/>
  <c r="A7334" i="1"/>
  <c r="B7333" i="1"/>
  <c r="A7333" i="1"/>
  <c r="A7332" i="1"/>
  <c r="B7331" i="1"/>
  <c r="A7331" i="1"/>
  <c r="B7330" i="1"/>
  <c r="A7330" i="1"/>
  <c r="B7329" i="1"/>
  <c r="A7329" i="1"/>
  <c r="B7328" i="1"/>
  <c r="A7328" i="1"/>
  <c r="A7327" i="1"/>
  <c r="B7326" i="1"/>
  <c r="A7326" i="1"/>
  <c r="B7325" i="1"/>
  <c r="A7325" i="1"/>
  <c r="B7324" i="1"/>
  <c r="A7324" i="1"/>
  <c r="B7323" i="1"/>
  <c r="A7323" i="1"/>
  <c r="B7322" i="1"/>
  <c r="A7322" i="1"/>
  <c r="B7321" i="1"/>
  <c r="A7321" i="1"/>
  <c r="B7320" i="1"/>
  <c r="A7320" i="1"/>
  <c r="B7319" i="1"/>
  <c r="A7319" i="1"/>
  <c r="B7318" i="1"/>
  <c r="A7318" i="1"/>
  <c r="B7317" i="1"/>
  <c r="A7317" i="1"/>
  <c r="B7316" i="1"/>
  <c r="A7316" i="1"/>
  <c r="B7315" i="1"/>
  <c r="A7315" i="1"/>
  <c r="A7314" i="1"/>
  <c r="B7313" i="1"/>
  <c r="A7313" i="1"/>
  <c r="B7312" i="1"/>
  <c r="A7312" i="1"/>
  <c r="B7311" i="1"/>
  <c r="A7311" i="1"/>
  <c r="B7310" i="1"/>
  <c r="A7310" i="1"/>
  <c r="B7309" i="1"/>
  <c r="A7309" i="1"/>
  <c r="B7308" i="1"/>
  <c r="A7308" i="1"/>
  <c r="B7307" i="1"/>
  <c r="A7307" i="1"/>
  <c r="B7306" i="1"/>
  <c r="A7306" i="1"/>
  <c r="B7305" i="1"/>
  <c r="A7305" i="1"/>
  <c r="B7304" i="1"/>
  <c r="A7304" i="1"/>
  <c r="B7303" i="1"/>
  <c r="A7303" i="1"/>
  <c r="B7302" i="1"/>
  <c r="A7302" i="1"/>
  <c r="B7301" i="1"/>
  <c r="A7301" i="1"/>
  <c r="B7300" i="1"/>
  <c r="A7300" i="1"/>
  <c r="B7299" i="1"/>
  <c r="A7299" i="1"/>
  <c r="A7298" i="1"/>
  <c r="B7297" i="1"/>
  <c r="A7297" i="1"/>
  <c r="B7296" i="1"/>
  <c r="A7296" i="1"/>
  <c r="B7295" i="1"/>
  <c r="A7295" i="1"/>
  <c r="B7294" i="1"/>
  <c r="A7294" i="1"/>
  <c r="B7293" i="1"/>
  <c r="A7293" i="1"/>
  <c r="B7292" i="1"/>
  <c r="A7292" i="1"/>
  <c r="B7291" i="1"/>
  <c r="A7291" i="1"/>
  <c r="B7290" i="1"/>
  <c r="A7290" i="1"/>
  <c r="A7289" i="1"/>
  <c r="A7288" i="1"/>
  <c r="B7287" i="1"/>
  <c r="A7287" i="1"/>
  <c r="A7286" i="1"/>
  <c r="B7285" i="1"/>
  <c r="A7285" i="1"/>
  <c r="B7284" i="1"/>
  <c r="A7284" i="1"/>
  <c r="B7283" i="1"/>
  <c r="A7283" i="1"/>
  <c r="B7282" i="1"/>
  <c r="A7282" i="1"/>
  <c r="B7281" i="1"/>
  <c r="A7281" i="1"/>
  <c r="A7280" i="1"/>
  <c r="B7279" i="1"/>
  <c r="A7279" i="1"/>
  <c r="B7278" i="1"/>
  <c r="A7278" i="1"/>
  <c r="B7277" i="1"/>
  <c r="A7277" i="1"/>
  <c r="B7276" i="1"/>
  <c r="A7276" i="1"/>
  <c r="B7275" i="1"/>
  <c r="A7275" i="1"/>
  <c r="B7274" i="1"/>
  <c r="A7274" i="1"/>
  <c r="B7273" i="1"/>
  <c r="A7273" i="1"/>
  <c r="B7272" i="1"/>
  <c r="A7272" i="1"/>
  <c r="A7271" i="1"/>
  <c r="B7270" i="1"/>
  <c r="A7270" i="1"/>
  <c r="B7269" i="1"/>
  <c r="A7269" i="1"/>
  <c r="B7268" i="1"/>
  <c r="A7268" i="1"/>
  <c r="B7267" i="1"/>
  <c r="A7267" i="1"/>
  <c r="B7266" i="1"/>
  <c r="A7266" i="1"/>
  <c r="B7265" i="1"/>
  <c r="A7265" i="1"/>
  <c r="B7264" i="1"/>
  <c r="A7264" i="1"/>
  <c r="B7263" i="1"/>
  <c r="A7263" i="1"/>
  <c r="B7262" i="1"/>
  <c r="A7262" i="1"/>
  <c r="B7261" i="1"/>
  <c r="A7261" i="1"/>
  <c r="B7260" i="1"/>
  <c r="A7260" i="1"/>
  <c r="B7259" i="1"/>
  <c r="A7259" i="1"/>
  <c r="B7258" i="1"/>
  <c r="A7258" i="1"/>
  <c r="A7257" i="1"/>
  <c r="B7256" i="1"/>
  <c r="A7256" i="1"/>
  <c r="A7255" i="1"/>
  <c r="B7254" i="1"/>
  <c r="A7254" i="1"/>
  <c r="B7253" i="1"/>
  <c r="A7253" i="1"/>
  <c r="B7252" i="1"/>
  <c r="A7252" i="1"/>
  <c r="B7251" i="1"/>
  <c r="A7251" i="1"/>
  <c r="B7250" i="1"/>
  <c r="A7250" i="1"/>
  <c r="B7249" i="1"/>
  <c r="A7249" i="1"/>
  <c r="B7248" i="1"/>
  <c r="A7248" i="1"/>
  <c r="B7247" i="1"/>
  <c r="A7247" i="1"/>
  <c r="A7246" i="1"/>
  <c r="B7245" i="1"/>
  <c r="A7245" i="1"/>
  <c r="B7244" i="1"/>
  <c r="A7244" i="1"/>
  <c r="B7243" i="1"/>
  <c r="A7243" i="1"/>
  <c r="B7242" i="1"/>
  <c r="A7242" i="1"/>
  <c r="B7241" i="1"/>
  <c r="A7241" i="1"/>
  <c r="B7240" i="1"/>
  <c r="A7240" i="1"/>
  <c r="B7239" i="1"/>
  <c r="A7239" i="1"/>
  <c r="A7238" i="1"/>
  <c r="B7237" i="1"/>
  <c r="A7237" i="1"/>
  <c r="B7236" i="1"/>
  <c r="A7236" i="1"/>
  <c r="B7235" i="1"/>
  <c r="A7235" i="1"/>
  <c r="B7234" i="1"/>
  <c r="A7234" i="1"/>
  <c r="B7233" i="1"/>
  <c r="A7233" i="1"/>
  <c r="A7232" i="1"/>
  <c r="B7231" i="1"/>
  <c r="A7231" i="1"/>
  <c r="B7230" i="1"/>
  <c r="A7230" i="1"/>
  <c r="A7229" i="1"/>
  <c r="B7228" i="1"/>
  <c r="A7228" i="1"/>
  <c r="B7227" i="1"/>
  <c r="A7227" i="1"/>
  <c r="B7226" i="1"/>
  <c r="A7226" i="1"/>
  <c r="B7225" i="1"/>
  <c r="A7225" i="1"/>
  <c r="A7224" i="1"/>
  <c r="B7223" i="1"/>
  <c r="A7223" i="1"/>
  <c r="B7222" i="1"/>
  <c r="A7222" i="1"/>
  <c r="B7221" i="1"/>
  <c r="A7221" i="1"/>
  <c r="B7220" i="1"/>
  <c r="A7220" i="1"/>
  <c r="B7219" i="1"/>
  <c r="A7219" i="1"/>
  <c r="B7218" i="1"/>
  <c r="A7218" i="1"/>
  <c r="B7217" i="1"/>
  <c r="A7217" i="1"/>
  <c r="B7216" i="1"/>
  <c r="A7216" i="1"/>
  <c r="B7215" i="1"/>
  <c r="A7215" i="1"/>
  <c r="B7214" i="1"/>
  <c r="A7214" i="1"/>
  <c r="B7213" i="1"/>
  <c r="A7213" i="1"/>
  <c r="B7212" i="1"/>
  <c r="A7212" i="1"/>
  <c r="B7211" i="1"/>
  <c r="A7211" i="1"/>
  <c r="B7210" i="1"/>
  <c r="A7210" i="1"/>
  <c r="B7209" i="1"/>
  <c r="A7209" i="1"/>
  <c r="B7208" i="1"/>
  <c r="A7208" i="1"/>
  <c r="A7207" i="1"/>
  <c r="B7206" i="1"/>
  <c r="A7206" i="1"/>
  <c r="B7205" i="1"/>
  <c r="A7205" i="1"/>
  <c r="A7204" i="1"/>
  <c r="A7203" i="1"/>
  <c r="A7202" i="1"/>
  <c r="A7201" i="1"/>
  <c r="B7200" i="1"/>
  <c r="A7200" i="1"/>
  <c r="B7199" i="1"/>
  <c r="A7199" i="1"/>
  <c r="A7198" i="1"/>
  <c r="B7197" i="1"/>
  <c r="A7197" i="1"/>
  <c r="A7196" i="1"/>
  <c r="B7195" i="1"/>
  <c r="A7195" i="1"/>
  <c r="B7194" i="1"/>
  <c r="A7194" i="1"/>
  <c r="B7193" i="1"/>
  <c r="A7193" i="1"/>
  <c r="B7192" i="1"/>
  <c r="A7192" i="1"/>
  <c r="B7191" i="1"/>
  <c r="A7191" i="1"/>
  <c r="B7190" i="1"/>
  <c r="A7190" i="1"/>
  <c r="B7189" i="1"/>
  <c r="A7189" i="1"/>
  <c r="A7188" i="1"/>
  <c r="A7187" i="1"/>
  <c r="A7186" i="1"/>
  <c r="B7185" i="1"/>
  <c r="A7185" i="1"/>
  <c r="A7184" i="1"/>
  <c r="B7183" i="1"/>
  <c r="A7183" i="1"/>
  <c r="A7182" i="1"/>
  <c r="B7181" i="1"/>
  <c r="A7181" i="1"/>
  <c r="B7180" i="1"/>
  <c r="A7180" i="1"/>
  <c r="A7179" i="1"/>
  <c r="B7178" i="1"/>
  <c r="A7178" i="1"/>
  <c r="B7177" i="1"/>
  <c r="A7177" i="1"/>
  <c r="B7176" i="1"/>
  <c r="A7176" i="1"/>
  <c r="B7175" i="1"/>
  <c r="A7175" i="1"/>
  <c r="B7174" i="1"/>
  <c r="A7174" i="1"/>
  <c r="B7173" i="1"/>
  <c r="A7173" i="1"/>
  <c r="B7172" i="1"/>
  <c r="A7172" i="1"/>
  <c r="B7171" i="1"/>
  <c r="A7171" i="1"/>
  <c r="B7170" i="1"/>
  <c r="A7170" i="1"/>
  <c r="B7169" i="1"/>
  <c r="A7169" i="1"/>
  <c r="B7168" i="1"/>
  <c r="A7168" i="1"/>
  <c r="B7167" i="1"/>
  <c r="A7167" i="1"/>
  <c r="B7166" i="1"/>
  <c r="A7166" i="1"/>
  <c r="B7165" i="1"/>
  <c r="A7165" i="1"/>
  <c r="B7164" i="1"/>
  <c r="A7164" i="1"/>
  <c r="B7163" i="1"/>
  <c r="A7163" i="1"/>
  <c r="B7162" i="1"/>
  <c r="A7162" i="1"/>
  <c r="B7161" i="1"/>
  <c r="A7161" i="1"/>
  <c r="B7160" i="1"/>
  <c r="A7160" i="1"/>
  <c r="B7159" i="1"/>
  <c r="A7159" i="1"/>
  <c r="B7158" i="1"/>
  <c r="A7158" i="1"/>
  <c r="A7157" i="1"/>
  <c r="B7156" i="1"/>
  <c r="A7156" i="1"/>
  <c r="B7155" i="1"/>
  <c r="A7155" i="1"/>
  <c r="B7154" i="1"/>
  <c r="A7154" i="1"/>
  <c r="B7153" i="1"/>
  <c r="A7153" i="1"/>
  <c r="B7152" i="1"/>
  <c r="A7152" i="1"/>
  <c r="B7151" i="1"/>
  <c r="A7151" i="1"/>
  <c r="B7150" i="1"/>
  <c r="A7150" i="1"/>
  <c r="B7149" i="1"/>
  <c r="A7149" i="1"/>
  <c r="A7148" i="1"/>
  <c r="B7147" i="1"/>
  <c r="A7147" i="1"/>
  <c r="A7146" i="1"/>
  <c r="B7145" i="1"/>
  <c r="A7145" i="1"/>
  <c r="B7144" i="1"/>
  <c r="A7144" i="1"/>
  <c r="A7143" i="1"/>
  <c r="B7142" i="1"/>
  <c r="A7142" i="1"/>
  <c r="B7141" i="1"/>
  <c r="A7141" i="1"/>
  <c r="B7140" i="1"/>
  <c r="A7140" i="1"/>
  <c r="B7139" i="1"/>
  <c r="A7139" i="1"/>
  <c r="B7138" i="1"/>
  <c r="A7138" i="1"/>
  <c r="A7137" i="1"/>
  <c r="B7136" i="1"/>
  <c r="A7136" i="1"/>
  <c r="B7135" i="1"/>
  <c r="A7135" i="1"/>
  <c r="B7134" i="1"/>
  <c r="A7134" i="1"/>
  <c r="B7133" i="1"/>
  <c r="A7133" i="1"/>
  <c r="B7132" i="1"/>
  <c r="A7132" i="1"/>
  <c r="B7131" i="1"/>
  <c r="A7131" i="1"/>
  <c r="B7130" i="1"/>
  <c r="A7130" i="1"/>
  <c r="B7129" i="1"/>
  <c r="A7129" i="1"/>
  <c r="B7128" i="1"/>
  <c r="A7128" i="1"/>
  <c r="B7127" i="1"/>
  <c r="A7127" i="1"/>
  <c r="B7126" i="1"/>
  <c r="A7126" i="1"/>
  <c r="B7125" i="1"/>
  <c r="A7125" i="1"/>
  <c r="B7124" i="1"/>
  <c r="A7124" i="1"/>
  <c r="B7123" i="1"/>
  <c r="A7123" i="1"/>
  <c r="B7122" i="1"/>
  <c r="A7122" i="1"/>
  <c r="A7121" i="1"/>
  <c r="B7120" i="1"/>
  <c r="A7120" i="1"/>
  <c r="B7119" i="1"/>
  <c r="A7119" i="1"/>
  <c r="B7118" i="1"/>
  <c r="A7118" i="1"/>
  <c r="B7117" i="1"/>
  <c r="A7117" i="1"/>
  <c r="B7116" i="1"/>
  <c r="A7116" i="1"/>
  <c r="B7115" i="1"/>
  <c r="A7115" i="1"/>
  <c r="B7114" i="1"/>
  <c r="A7114" i="1"/>
  <c r="A7113" i="1"/>
  <c r="B7112" i="1"/>
  <c r="A7112" i="1"/>
  <c r="B7111" i="1"/>
  <c r="A7111" i="1"/>
  <c r="B7110" i="1"/>
  <c r="A7110" i="1"/>
  <c r="B7109" i="1"/>
  <c r="A7109" i="1"/>
  <c r="A7108" i="1"/>
  <c r="B7107" i="1"/>
  <c r="A7107" i="1"/>
  <c r="B7106" i="1"/>
  <c r="A7106" i="1"/>
  <c r="B7105" i="1"/>
  <c r="A7105" i="1"/>
  <c r="B7104" i="1"/>
  <c r="A7104" i="1"/>
  <c r="B7103" i="1"/>
  <c r="A7103" i="1"/>
  <c r="B7102" i="1"/>
  <c r="A7102" i="1"/>
  <c r="A7101" i="1"/>
  <c r="A7100" i="1"/>
  <c r="B7099" i="1"/>
  <c r="A7099" i="1"/>
  <c r="B7098" i="1"/>
  <c r="A7098" i="1"/>
  <c r="B7097" i="1"/>
  <c r="A7097" i="1"/>
  <c r="B7096" i="1"/>
  <c r="A7096" i="1"/>
  <c r="B7095" i="1"/>
  <c r="A7095" i="1"/>
  <c r="B7094" i="1"/>
  <c r="A7094" i="1"/>
  <c r="B7093" i="1"/>
  <c r="A7093" i="1"/>
  <c r="A7092" i="1"/>
  <c r="B7091" i="1"/>
  <c r="A7091" i="1"/>
  <c r="A7090" i="1"/>
  <c r="B7089" i="1"/>
  <c r="A7089" i="1"/>
  <c r="B7088" i="1"/>
  <c r="A7088" i="1"/>
  <c r="B7087" i="1"/>
  <c r="A7087" i="1"/>
  <c r="B7086" i="1"/>
  <c r="A7086" i="1"/>
  <c r="B7085" i="1"/>
  <c r="A7085" i="1"/>
  <c r="B7084" i="1"/>
  <c r="A7084" i="1"/>
  <c r="A7083" i="1"/>
  <c r="B7082" i="1"/>
  <c r="A7082" i="1"/>
  <c r="B7081" i="1"/>
  <c r="A7081" i="1"/>
  <c r="B7080" i="1"/>
  <c r="A7080" i="1"/>
  <c r="B7079" i="1"/>
  <c r="A7079" i="1"/>
  <c r="B7078" i="1"/>
  <c r="A7078" i="1"/>
  <c r="B7077" i="1"/>
  <c r="A7077" i="1"/>
  <c r="B7076" i="1"/>
  <c r="A7076" i="1"/>
  <c r="B7075" i="1"/>
  <c r="A7075" i="1"/>
  <c r="B7074" i="1"/>
  <c r="A7074" i="1"/>
  <c r="B7073" i="1"/>
  <c r="A7073" i="1"/>
  <c r="B7072" i="1"/>
  <c r="A7072" i="1"/>
  <c r="B7071" i="1"/>
  <c r="A7071" i="1"/>
  <c r="A7070" i="1"/>
  <c r="B7069" i="1"/>
  <c r="A7069" i="1"/>
  <c r="A7068" i="1"/>
  <c r="B7067" i="1"/>
  <c r="A7067" i="1"/>
  <c r="A7066" i="1"/>
  <c r="B7065" i="1"/>
  <c r="A7065" i="1"/>
  <c r="A7064" i="1"/>
  <c r="B7063" i="1"/>
  <c r="A7063" i="1"/>
  <c r="B7062" i="1"/>
  <c r="A7062" i="1"/>
  <c r="B7061" i="1"/>
  <c r="A7061" i="1"/>
  <c r="B7060" i="1"/>
  <c r="A7060" i="1"/>
  <c r="B7059" i="1"/>
  <c r="A7059" i="1"/>
  <c r="B7058" i="1"/>
  <c r="A7058" i="1"/>
  <c r="A7057" i="1"/>
  <c r="A7056" i="1"/>
  <c r="B7055" i="1"/>
  <c r="A7055" i="1"/>
  <c r="B7054" i="1"/>
  <c r="A7054" i="1"/>
  <c r="B7053" i="1"/>
  <c r="A7053" i="1"/>
  <c r="B7052" i="1"/>
  <c r="A7052" i="1"/>
  <c r="B7051" i="1"/>
  <c r="A7051" i="1"/>
  <c r="B7050" i="1"/>
  <c r="A7050" i="1"/>
  <c r="B7049" i="1"/>
  <c r="A7049" i="1"/>
  <c r="A7048" i="1"/>
  <c r="B7047" i="1"/>
  <c r="A7047" i="1"/>
  <c r="B7046" i="1"/>
  <c r="A7046" i="1"/>
  <c r="B7045" i="1"/>
  <c r="A7045" i="1"/>
  <c r="B7044" i="1"/>
  <c r="A7044" i="1"/>
  <c r="B7043" i="1"/>
  <c r="A7043" i="1"/>
  <c r="B7042" i="1"/>
  <c r="A7042" i="1"/>
  <c r="B7041" i="1"/>
  <c r="A7041" i="1"/>
  <c r="A7040" i="1"/>
  <c r="B7039" i="1"/>
  <c r="A7039" i="1"/>
  <c r="B7038" i="1"/>
  <c r="A7038" i="1"/>
  <c r="B7037" i="1"/>
  <c r="A7037" i="1"/>
  <c r="B7036" i="1"/>
  <c r="A7036" i="1"/>
  <c r="B7035" i="1"/>
  <c r="A7035" i="1"/>
  <c r="B7034" i="1"/>
  <c r="A7034" i="1"/>
  <c r="A7033" i="1"/>
  <c r="A7032" i="1"/>
  <c r="A7031" i="1"/>
  <c r="B7030" i="1"/>
  <c r="A7030" i="1"/>
  <c r="B7029" i="1"/>
  <c r="A7029" i="1"/>
  <c r="B7028" i="1"/>
  <c r="A7028" i="1"/>
  <c r="B7027" i="1"/>
  <c r="A7027" i="1"/>
  <c r="B7026" i="1"/>
  <c r="A7026" i="1"/>
  <c r="B7025" i="1"/>
  <c r="A7025" i="1"/>
  <c r="A7024" i="1"/>
  <c r="A7023" i="1"/>
  <c r="B7022" i="1"/>
  <c r="A7022" i="1"/>
  <c r="B7021" i="1"/>
  <c r="A7021" i="1"/>
  <c r="B7020" i="1"/>
  <c r="A7020" i="1"/>
  <c r="A7019" i="1"/>
  <c r="B7018" i="1"/>
  <c r="A7018" i="1"/>
  <c r="B7017" i="1"/>
  <c r="A7017" i="1"/>
  <c r="B7016" i="1"/>
  <c r="A7016" i="1"/>
  <c r="B7015" i="1"/>
  <c r="A7015" i="1"/>
  <c r="A7014" i="1"/>
  <c r="A7013" i="1"/>
  <c r="B7012" i="1"/>
  <c r="A7012" i="1"/>
  <c r="B7011" i="1"/>
  <c r="A7011" i="1"/>
  <c r="B7010" i="1"/>
  <c r="A7010" i="1"/>
  <c r="B7009" i="1"/>
  <c r="A7009" i="1"/>
  <c r="B7008" i="1"/>
  <c r="A7008" i="1"/>
  <c r="A7007" i="1"/>
  <c r="B7006" i="1"/>
  <c r="A7006" i="1"/>
  <c r="B7005" i="1"/>
  <c r="A7005" i="1"/>
  <c r="A7004" i="1"/>
  <c r="B7003" i="1"/>
  <c r="A7003" i="1"/>
  <c r="B7002" i="1"/>
  <c r="A7002" i="1"/>
  <c r="B7001" i="1"/>
  <c r="A7001" i="1"/>
  <c r="B7000" i="1"/>
  <c r="A7000" i="1"/>
  <c r="B6999" i="1"/>
  <c r="A6999" i="1"/>
  <c r="B6998" i="1"/>
  <c r="A6998" i="1"/>
  <c r="B6997" i="1"/>
  <c r="A6997" i="1"/>
  <c r="A6996" i="1"/>
  <c r="B6995" i="1"/>
  <c r="A6995" i="1"/>
  <c r="B6994" i="1"/>
  <c r="A6994" i="1"/>
  <c r="B6993" i="1"/>
  <c r="A6993" i="1"/>
  <c r="B6992" i="1"/>
  <c r="A6992" i="1"/>
  <c r="A6991" i="1"/>
  <c r="B6990" i="1"/>
  <c r="A6990" i="1"/>
  <c r="B6989" i="1"/>
  <c r="A6989" i="1"/>
  <c r="B6988" i="1"/>
  <c r="A6988" i="1"/>
  <c r="B6987" i="1"/>
  <c r="A6987" i="1"/>
  <c r="B6986" i="1"/>
  <c r="A6986" i="1"/>
  <c r="B6985" i="1"/>
  <c r="A6985" i="1"/>
  <c r="B6984" i="1"/>
  <c r="A6984" i="1"/>
  <c r="B6983" i="1"/>
  <c r="A6983" i="1"/>
  <c r="B6982" i="1"/>
  <c r="A6982" i="1"/>
  <c r="A6981" i="1"/>
  <c r="B6980" i="1"/>
  <c r="A6980" i="1"/>
  <c r="B6979" i="1"/>
  <c r="A6979" i="1"/>
  <c r="B6978" i="1"/>
  <c r="A6978" i="1"/>
  <c r="B6977" i="1"/>
  <c r="A6977" i="1"/>
  <c r="B6976" i="1"/>
  <c r="A6976" i="1"/>
  <c r="B6975" i="1"/>
  <c r="A6975" i="1"/>
  <c r="B6974" i="1"/>
  <c r="A6974" i="1"/>
  <c r="B6973" i="1"/>
  <c r="A6973" i="1"/>
  <c r="B6972" i="1"/>
  <c r="A6972" i="1"/>
  <c r="B6971" i="1"/>
  <c r="A6971" i="1"/>
  <c r="B6970" i="1"/>
  <c r="A6970" i="1"/>
  <c r="B6969" i="1"/>
  <c r="A6969" i="1"/>
  <c r="B6968" i="1"/>
  <c r="A6968" i="1"/>
  <c r="B6967" i="1"/>
  <c r="A6967" i="1"/>
  <c r="A6966" i="1"/>
  <c r="B6965" i="1"/>
  <c r="A6965" i="1"/>
  <c r="B6964" i="1"/>
  <c r="A6964" i="1"/>
  <c r="B6963" i="1"/>
  <c r="A6963" i="1"/>
  <c r="B6962" i="1"/>
  <c r="A6962" i="1"/>
  <c r="B6961" i="1"/>
  <c r="A6961" i="1"/>
  <c r="B6960" i="1"/>
  <c r="A6960" i="1"/>
  <c r="A6959" i="1"/>
  <c r="B6958" i="1"/>
  <c r="A6958" i="1"/>
  <c r="B6957" i="1"/>
  <c r="A6957" i="1"/>
  <c r="B6956" i="1"/>
  <c r="A6956" i="1"/>
  <c r="B6955" i="1"/>
  <c r="A6955" i="1"/>
  <c r="B6954" i="1"/>
  <c r="A6954" i="1"/>
  <c r="B6953" i="1"/>
  <c r="A6953" i="1"/>
  <c r="B6952" i="1"/>
  <c r="A6952" i="1"/>
  <c r="B6951" i="1"/>
  <c r="A6951" i="1"/>
  <c r="B6950" i="1"/>
  <c r="A6950" i="1"/>
  <c r="A6949" i="1"/>
  <c r="B6948" i="1"/>
  <c r="A6948" i="1"/>
  <c r="B6947" i="1"/>
  <c r="A6947" i="1"/>
  <c r="B6946" i="1"/>
  <c r="A6946" i="1"/>
  <c r="B6945" i="1"/>
  <c r="A6945" i="1"/>
  <c r="B6944" i="1"/>
  <c r="A6944" i="1"/>
  <c r="A6943" i="1"/>
  <c r="B6942" i="1"/>
  <c r="A6942" i="1"/>
  <c r="B6941" i="1"/>
  <c r="A6941" i="1"/>
  <c r="B6940" i="1"/>
  <c r="A6940" i="1"/>
  <c r="B6939" i="1"/>
  <c r="A6939" i="1"/>
  <c r="B6938" i="1"/>
  <c r="A6938" i="1"/>
  <c r="B6937" i="1"/>
  <c r="A6937" i="1"/>
  <c r="A6936" i="1"/>
  <c r="B6935" i="1"/>
  <c r="A6935" i="1"/>
  <c r="A6934" i="1"/>
  <c r="B6933" i="1"/>
  <c r="A6933" i="1"/>
  <c r="B6932" i="1"/>
  <c r="A6932" i="1"/>
  <c r="B6931" i="1"/>
  <c r="A6931" i="1"/>
  <c r="A6930" i="1"/>
  <c r="B6929" i="1"/>
  <c r="A6929" i="1"/>
  <c r="B6928" i="1"/>
  <c r="A6928" i="1"/>
  <c r="B6927" i="1"/>
  <c r="A6927" i="1"/>
  <c r="B6926" i="1"/>
  <c r="A6926" i="1"/>
  <c r="B6925" i="1"/>
  <c r="A6925" i="1"/>
  <c r="A6924" i="1"/>
  <c r="B6923" i="1"/>
  <c r="A6923" i="1"/>
  <c r="B6922" i="1"/>
  <c r="A6922" i="1"/>
  <c r="B6921" i="1"/>
  <c r="A6921" i="1"/>
  <c r="B6920" i="1"/>
  <c r="A6920" i="1"/>
  <c r="B6919" i="1"/>
  <c r="A6919" i="1"/>
  <c r="B6918" i="1"/>
  <c r="A6918" i="1"/>
  <c r="B6917" i="1"/>
  <c r="A6917" i="1"/>
  <c r="B6916" i="1"/>
  <c r="A6916" i="1"/>
  <c r="A6915" i="1"/>
  <c r="B6914" i="1"/>
  <c r="A6914" i="1"/>
  <c r="B6913" i="1"/>
  <c r="A6913" i="1"/>
  <c r="B6912" i="1"/>
  <c r="A6912" i="1"/>
  <c r="B6911" i="1"/>
  <c r="A6911" i="1"/>
  <c r="A6910" i="1"/>
  <c r="B6909" i="1"/>
  <c r="A6909" i="1"/>
  <c r="B6908" i="1"/>
  <c r="A6908" i="1"/>
  <c r="B6907" i="1"/>
  <c r="A6907" i="1"/>
  <c r="A6906" i="1"/>
  <c r="B6905" i="1"/>
  <c r="A6905" i="1"/>
  <c r="B6904" i="1"/>
  <c r="A6904" i="1"/>
  <c r="B6903" i="1"/>
  <c r="A6903" i="1"/>
  <c r="B6902" i="1"/>
  <c r="A6902" i="1"/>
  <c r="A6901" i="1"/>
  <c r="B6900" i="1"/>
  <c r="A6900" i="1"/>
  <c r="B6899" i="1"/>
  <c r="A6899" i="1"/>
  <c r="A6898" i="1"/>
  <c r="A6897" i="1"/>
  <c r="A6896" i="1"/>
  <c r="A6895" i="1"/>
  <c r="B6894" i="1"/>
  <c r="A6894" i="1"/>
  <c r="B6893" i="1"/>
  <c r="A6893" i="1"/>
  <c r="B6892" i="1"/>
  <c r="A6892" i="1"/>
  <c r="B6891" i="1"/>
  <c r="A6891" i="1"/>
  <c r="B6890" i="1"/>
  <c r="A6890" i="1"/>
  <c r="B6889" i="1"/>
  <c r="A6889" i="1"/>
  <c r="B6888" i="1"/>
  <c r="A6888" i="1"/>
  <c r="B6887" i="1"/>
  <c r="A6887" i="1"/>
  <c r="B6886" i="1"/>
  <c r="A6886" i="1"/>
  <c r="A6885" i="1"/>
  <c r="B6884" i="1"/>
  <c r="A6884" i="1"/>
  <c r="B6883" i="1"/>
  <c r="A6883" i="1"/>
  <c r="A6882" i="1"/>
  <c r="B6881" i="1"/>
  <c r="A6881" i="1"/>
  <c r="B6880" i="1"/>
  <c r="A6880" i="1"/>
  <c r="B6879" i="1"/>
  <c r="A6879" i="1"/>
  <c r="B6878" i="1"/>
  <c r="A6878" i="1"/>
  <c r="B6877" i="1"/>
  <c r="A6877" i="1"/>
  <c r="B6876" i="1"/>
  <c r="A6876" i="1"/>
  <c r="B6875" i="1"/>
  <c r="A6875" i="1"/>
  <c r="A6874" i="1"/>
  <c r="B6873" i="1"/>
  <c r="A6873" i="1"/>
  <c r="B6872" i="1"/>
  <c r="A6872" i="1"/>
  <c r="B6871" i="1"/>
  <c r="A6871" i="1"/>
  <c r="A6870" i="1"/>
  <c r="B6869" i="1"/>
  <c r="A6869" i="1"/>
  <c r="B6868" i="1"/>
  <c r="A6868" i="1"/>
  <c r="B6867" i="1"/>
  <c r="A6867" i="1"/>
  <c r="B6866" i="1"/>
  <c r="A6866" i="1"/>
  <c r="B6865" i="1"/>
  <c r="A6865" i="1"/>
  <c r="B6864" i="1"/>
  <c r="A6864" i="1"/>
  <c r="B6863" i="1"/>
  <c r="A6863" i="1"/>
  <c r="A6862" i="1"/>
  <c r="B6861" i="1"/>
  <c r="A6861" i="1"/>
  <c r="A6860" i="1"/>
  <c r="B6859" i="1"/>
  <c r="A6859" i="1"/>
  <c r="B6858" i="1"/>
  <c r="A6858" i="1"/>
  <c r="B6857" i="1"/>
  <c r="A6857" i="1"/>
  <c r="A6856" i="1"/>
  <c r="A6855" i="1"/>
  <c r="B6854" i="1"/>
  <c r="A6854" i="1"/>
  <c r="A6853" i="1"/>
  <c r="B6852" i="1"/>
  <c r="A6852" i="1"/>
  <c r="A6851" i="1"/>
  <c r="B6850" i="1"/>
  <c r="A6850" i="1"/>
  <c r="B6849" i="1"/>
  <c r="A6849" i="1"/>
  <c r="B6848" i="1"/>
  <c r="A6848" i="1"/>
  <c r="B6847" i="1"/>
  <c r="A6847" i="1"/>
  <c r="B6846" i="1"/>
  <c r="A6846" i="1"/>
  <c r="A6845" i="1"/>
  <c r="B6844" i="1"/>
  <c r="A6844" i="1"/>
  <c r="B6843" i="1"/>
  <c r="A6843" i="1"/>
  <c r="B6842" i="1"/>
  <c r="A6842" i="1"/>
  <c r="B6841" i="1"/>
  <c r="A6841" i="1"/>
  <c r="B6840" i="1"/>
  <c r="A6840" i="1"/>
  <c r="B6839" i="1"/>
  <c r="A6839" i="1"/>
  <c r="A6838" i="1"/>
  <c r="A6837" i="1"/>
  <c r="B6836" i="1"/>
  <c r="A6836" i="1"/>
  <c r="B6835" i="1"/>
  <c r="A6835" i="1"/>
  <c r="B6834" i="1"/>
  <c r="A6834" i="1"/>
  <c r="B6833" i="1"/>
  <c r="A6833" i="1"/>
  <c r="A6832" i="1"/>
  <c r="B6831" i="1"/>
  <c r="A6831" i="1"/>
  <c r="B6830" i="1"/>
  <c r="A6830" i="1"/>
  <c r="A6829" i="1"/>
  <c r="B6828" i="1"/>
  <c r="A6828" i="1"/>
  <c r="A6827" i="1"/>
  <c r="B6826" i="1"/>
  <c r="A6826" i="1"/>
  <c r="A6825" i="1"/>
  <c r="B6824" i="1"/>
  <c r="A6824" i="1"/>
  <c r="A6823" i="1"/>
  <c r="B6822" i="1"/>
  <c r="A6822" i="1"/>
  <c r="A6821" i="1"/>
  <c r="B6820" i="1"/>
  <c r="A6820" i="1"/>
  <c r="B6819" i="1"/>
  <c r="A6819" i="1"/>
  <c r="B6818" i="1"/>
  <c r="A6818" i="1"/>
  <c r="A6817" i="1"/>
  <c r="B6816" i="1"/>
  <c r="A6816" i="1"/>
  <c r="A6815" i="1"/>
  <c r="B6814" i="1"/>
  <c r="A6814" i="1"/>
  <c r="A6813" i="1"/>
  <c r="B6812" i="1"/>
  <c r="A6812" i="1"/>
  <c r="A6811" i="1"/>
  <c r="B6810" i="1"/>
  <c r="A6810" i="1"/>
  <c r="B6809" i="1"/>
  <c r="A6809" i="1"/>
  <c r="B6808" i="1"/>
  <c r="A6808" i="1"/>
  <c r="A6807" i="1"/>
  <c r="B6806" i="1"/>
  <c r="A6806" i="1"/>
  <c r="B6805" i="1"/>
  <c r="A6805" i="1"/>
  <c r="A6804" i="1"/>
  <c r="A6803" i="1"/>
  <c r="B6802" i="1"/>
  <c r="A6802" i="1"/>
  <c r="B6801" i="1"/>
  <c r="A6801" i="1"/>
  <c r="B6800" i="1"/>
  <c r="A6800" i="1"/>
  <c r="B6799" i="1"/>
  <c r="A6799" i="1"/>
  <c r="B6798" i="1"/>
  <c r="A6798" i="1"/>
  <c r="B6797" i="1"/>
  <c r="A6797" i="1"/>
  <c r="A6796" i="1"/>
  <c r="B6795" i="1"/>
  <c r="A6795" i="1"/>
  <c r="A6794" i="1"/>
  <c r="A6793" i="1"/>
  <c r="B6792" i="1"/>
  <c r="A6792" i="1"/>
  <c r="B6791" i="1"/>
  <c r="A6791" i="1"/>
  <c r="B6790" i="1"/>
  <c r="A6790" i="1"/>
  <c r="B6789" i="1"/>
  <c r="A6789" i="1"/>
  <c r="B6788" i="1"/>
  <c r="A6788" i="1"/>
  <c r="B6787" i="1"/>
  <c r="A6787" i="1"/>
  <c r="B6786" i="1"/>
  <c r="A6786" i="1"/>
  <c r="B6785" i="1"/>
  <c r="A6785" i="1"/>
  <c r="A6784" i="1"/>
  <c r="B6783" i="1"/>
  <c r="A6783" i="1"/>
  <c r="A6782" i="1"/>
  <c r="B6781" i="1"/>
  <c r="A6781" i="1"/>
  <c r="B6780" i="1"/>
  <c r="A6780" i="1"/>
  <c r="B6779" i="1"/>
  <c r="A6779" i="1"/>
  <c r="B6778" i="1"/>
  <c r="A6778" i="1"/>
  <c r="B6777" i="1"/>
  <c r="A6777" i="1"/>
  <c r="B6776" i="1"/>
  <c r="A6776" i="1"/>
  <c r="A6775" i="1"/>
  <c r="A6774" i="1"/>
  <c r="B6773" i="1"/>
  <c r="A6773" i="1"/>
  <c r="B6772" i="1"/>
  <c r="A6772" i="1"/>
  <c r="A6771" i="1"/>
  <c r="A6770" i="1"/>
  <c r="B6769" i="1"/>
  <c r="A6769" i="1"/>
  <c r="B6768" i="1"/>
  <c r="A6768" i="1"/>
  <c r="B6767" i="1"/>
  <c r="A6767" i="1"/>
  <c r="B6766" i="1"/>
  <c r="A6766" i="1"/>
  <c r="B6765" i="1"/>
  <c r="A6765" i="1"/>
  <c r="A6764" i="1"/>
  <c r="B6763" i="1"/>
  <c r="A6763" i="1"/>
  <c r="B6762" i="1"/>
  <c r="A6762" i="1"/>
  <c r="B6761" i="1"/>
  <c r="A6761" i="1"/>
  <c r="A6760" i="1"/>
  <c r="B6759" i="1"/>
  <c r="A6759" i="1"/>
  <c r="B6758" i="1"/>
  <c r="A6758" i="1"/>
  <c r="A6757" i="1"/>
  <c r="B6756" i="1"/>
  <c r="A6756" i="1"/>
  <c r="B6755" i="1"/>
  <c r="A6755" i="1"/>
  <c r="B6754" i="1"/>
  <c r="A6754" i="1"/>
  <c r="B6753" i="1"/>
  <c r="A6753" i="1"/>
  <c r="B6752" i="1"/>
  <c r="A6752" i="1"/>
  <c r="B6751" i="1"/>
  <c r="A6751" i="1"/>
  <c r="B6750" i="1"/>
  <c r="A6750" i="1"/>
  <c r="B6749" i="1"/>
  <c r="A6749" i="1"/>
  <c r="B6748" i="1"/>
  <c r="A6748" i="1"/>
  <c r="B6747" i="1"/>
  <c r="A6747" i="1"/>
  <c r="B6746" i="1"/>
  <c r="A6746" i="1"/>
  <c r="A6745" i="1"/>
  <c r="A6744" i="1"/>
  <c r="B6743" i="1"/>
  <c r="A6743" i="1"/>
  <c r="B6742" i="1"/>
  <c r="A6742" i="1"/>
  <c r="B6741" i="1"/>
  <c r="A6741" i="1"/>
  <c r="B6740" i="1"/>
  <c r="A6740" i="1"/>
  <c r="A6739" i="1"/>
  <c r="B6738" i="1"/>
  <c r="A6738" i="1"/>
  <c r="B6737" i="1"/>
  <c r="A6737" i="1"/>
  <c r="B6736" i="1"/>
  <c r="A6736" i="1"/>
  <c r="B6735" i="1"/>
  <c r="A6735" i="1"/>
  <c r="B6734" i="1"/>
  <c r="A6734" i="1"/>
  <c r="B6733" i="1"/>
  <c r="A6733" i="1"/>
  <c r="B6732" i="1"/>
  <c r="A6732" i="1"/>
  <c r="B6731" i="1"/>
  <c r="A6731" i="1"/>
  <c r="A6730" i="1"/>
  <c r="B6729" i="1"/>
  <c r="A6729" i="1"/>
  <c r="B6728" i="1"/>
  <c r="A6728" i="1"/>
  <c r="B6727" i="1"/>
  <c r="A6727" i="1"/>
  <c r="B6726" i="1"/>
  <c r="A6726" i="1"/>
  <c r="A6725" i="1"/>
  <c r="A6724" i="1"/>
  <c r="A6723" i="1"/>
  <c r="A6722" i="1"/>
  <c r="B6721" i="1"/>
  <c r="A6721" i="1"/>
  <c r="B6720" i="1"/>
  <c r="A6720" i="1"/>
  <c r="B6719" i="1"/>
  <c r="A6719" i="1"/>
  <c r="B6718" i="1"/>
  <c r="A6718" i="1"/>
  <c r="B6717" i="1"/>
  <c r="A6717" i="1"/>
  <c r="B6716" i="1"/>
  <c r="A6716" i="1"/>
  <c r="B6715" i="1"/>
  <c r="A6715" i="1"/>
  <c r="A6714" i="1"/>
  <c r="B6713" i="1"/>
  <c r="A6713" i="1"/>
  <c r="B6712" i="1"/>
  <c r="A6712" i="1"/>
  <c r="B6711" i="1"/>
  <c r="A6711" i="1"/>
  <c r="B6710" i="1"/>
  <c r="A6710" i="1"/>
  <c r="A6709" i="1"/>
  <c r="B6708" i="1"/>
  <c r="A6708" i="1"/>
  <c r="B6707" i="1"/>
  <c r="A6707" i="1"/>
  <c r="B6706" i="1"/>
  <c r="A6706" i="1"/>
  <c r="A6705" i="1"/>
  <c r="B6704" i="1"/>
  <c r="A6704" i="1"/>
  <c r="B6703" i="1"/>
  <c r="A6703" i="1"/>
  <c r="B6702" i="1"/>
  <c r="A6702" i="1"/>
  <c r="A6701" i="1"/>
  <c r="B6700" i="1"/>
  <c r="A6700" i="1"/>
  <c r="B6699" i="1"/>
  <c r="A6699" i="1"/>
  <c r="A6698" i="1"/>
  <c r="A6697" i="1"/>
  <c r="B6696" i="1"/>
  <c r="A6696" i="1"/>
  <c r="B6695" i="1"/>
  <c r="A6695" i="1"/>
  <c r="B6694" i="1"/>
  <c r="A6694" i="1"/>
  <c r="A6693" i="1"/>
  <c r="B6692" i="1"/>
  <c r="A6692" i="1"/>
  <c r="B6691" i="1"/>
  <c r="A6691" i="1"/>
  <c r="A6690" i="1"/>
  <c r="B6689" i="1"/>
  <c r="A6689" i="1"/>
  <c r="B6688" i="1"/>
  <c r="A6688" i="1"/>
  <c r="A6687" i="1"/>
  <c r="B6686" i="1"/>
  <c r="A6686" i="1"/>
  <c r="B6685" i="1"/>
  <c r="A6685" i="1"/>
  <c r="B6684" i="1"/>
  <c r="A6684" i="1"/>
  <c r="B6683" i="1"/>
  <c r="A6683" i="1"/>
  <c r="B6682" i="1"/>
  <c r="A6682" i="1"/>
  <c r="A6681" i="1"/>
  <c r="B6680" i="1"/>
  <c r="A6680" i="1"/>
  <c r="B6679" i="1"/>
  <c r="A6679" i="1"/>
  <c r="B6678" i="1"/>
  <c r="A6678" i="1"/>
  <c r="B6677" i="1"/>
  <c r="A6677" i="1"/>
  <c r="B6676" i="1"/>
  <c r="A6676" i="1"/>
  <c r="A6675" i="1"/>
  <c r="B6674" i="1"/>
  <c r="A6674" i="1"/>
  <c r="B6673" i="1"/>
  <c r="A6673" i="1"/>
  <c r="B6672" i="1"/>
  <c r="A6672" i="1"/>
  <c r="B6671" i="1"/>
  <c r="A6671" i="1"/>
  <c r="B6670" i="1"/>
  <c r="A6670" i="1"/>
  <c r="B6669" i="1"/>
  <c r="A6669" i="1"/>
  <c r="B6668" i="1"/>
  <c r="A6668" i="1"/>
  <c r="B6667" i="1"/>
  <c r="A6667" i="1"/>
  <c r="B6666" i="1"/>
  <c r="A6666" i="1"/>
  <c r="B6665" i="1"/>
  <c r="A6665" i="1"/>
  <c r="B6664" i="1"/>
  <c r="A6664" i="1"/>
  <c r="A6663" i="1"/>
  <c r="B6662" i="1"/>
  <c r="A6662" i="1"/>
  <c r="B6661" i="1"/>
  <c r="A6661" i="1"/>
  <c r="B6660" i="1"/>
  <c r="A6660" i="1"/>
  <c r="B6659" i="1"/>
  <c r="A6659" i="1"/>
  <c r="B6658" i="1"/>
  <c r="A6658" i="1"/>
  <c r="A6657" i="1"/>
  <c r="A6656" i="1"/>
  <c r="B6655" i="1"/>
  <c r="A6655" i="1"/>
  <c r="B6654" i="1"/>
  <c r="A6654" i="1"/>
  <c r="A6653" i="1"/>
  <c r="B6652" i="1"/>
  <c r="A6652" i="1"/>
  <c r="B6651" i="1"/>
  <c r="A6651" i="1"/>
  <c r="B6650" i="1"/>
  <c r="A6650" i="1"/>
  <c r="B6649" i="1"/>
  <c r="A6649" i="1"/>
  <c r="B6648" i="1"/>
  <c r="A6648" i="1"/>
  <c r="B6647" i="1"/>
  <c r="A6647" i="1"/>
  <c r="B6646" i="1"/>
  <c r="A6646" i="1"/>
  <c r="B6645" i="1"/>
  <c r="A6645" i="1"/>
  <c r="B6644" i="1"/>
  <c r="A6644" i="1"/>
  <c r="B6643" i="1"/>
  <c r="A6643" i="1"/>
  <c r="B6642" i="1"/>
  <c r="A6642" i="1"/>
  <c r="B6641" i="1"/>
  <c r="A6641" i="1"/>
  <c r="B6640" i="1"/>
  <c r="A6640" i="1"/>
  <c r="B6639" i="1"/>
  <c r="A6639" i="1"/>
  <c r="B6638" i="1"/>
  <c r="A6638" i="1"/>
  <c r="A6637" i="1"/>
  <c r="B6636" i="1"/>
  <c r="A6636" i="1"/>
  <c r="B6635" i="1"/>
  <c r="A6635" i="1"/>
  <c r="B6634" i="1"/>
  <c r="A6634" i="1"/>
  <c r="B6633" i="1"/>
  <c r="A6633" i="1"/>
  <c r="A6632" i="1"/>
  <c r="A6631" i="1"/>
  <c r="A6630" i="1"/>
  <c r="A6629" i="1"/>
  <c r="B6628" i="1"/>
  <c r="A6628" i="1"/>
  <c r="A6627" i="1"/>
  <c r="B6626" i="1"/>
  <c r="A6626" i="1"/>
  <c r="B6625" i="1"/>
  <c r="A6625" i="1"/>
  <c r="B6624" i="1"/>
  <c r="A6624" i="1"/>
  <c r="B6623" i="1"/>
  <c r="A6623" i="1"/>
  <c r="B6622" i="1"/>
  <c r="A6622" i="1"/>
  <c r="B6621" i="1"/>
  <c r="A6621" i="1"/>
  <c r="B6620" i="1"/>
  <c r="A6620" i="1"/>
  <c r="B6619" i="1"/>
  <c r="A6619" i="1"/>
  <c r="A6618" i="1"/>
  <c r="A6617" i="1"/>
  <c r="B6616" i="1"/>
  <c r="A6616" i="1"/>
  <c r="A6615" i="1"/>
  <c r="A6614" i="1"/>
  <c r="A6613" i="1"/>
  <c r="A6612" i="1"/>
  <c r="B6611" i="1"/>
  <c r="A6611" i="1"/>
  <c r="A6610" i="1"/>
  <c r="B6609" i="1"/>
  <c r="A6609" i="1"/>
  <c r="B6608" i="1"/>
  <c r="A6608" i="1"/>
  <c r="B6607" i="1"/>
  <c r="A6607" i="1"/>
  <c r="B6606" i="1"/>
  <c r="A6606" i="1"/>
  <c r="B6605" i="1"/>
  <c r="A6605" i="1"/>
  <c r="A6604" i="1"/>
  <c r="B6603" i="1"/>
  <c r="A6603" i="1"/>
  <c r="B6602" i="1"/>
  <c r="A6602" i="1"/>
  <c r="B6601" i="1"/>
  <c r="A6601" i="1"/>
  <c r="B6600" i="1"/>
  <c r="A6600" i="1"/>
  <c r="B6599" i="1"/>
  <c r="A6599" i="1"/>
  <c r="B6598" i="1"/>
  <c r="A6598" i="1"/>
  <c r="B6597" i="1"/>
  <c r="A6597" i="1"/>
  <c r="B6596" i="1"/>
  <c r="A6596" i="1"/>
  <c r="B6595" i="1"/>
  <c r="A6595" i="1"/>
  <c r="B6594" i="1"/>
  <c r="A6594" i="1"/>
  <c r="B6593" i="1"/>
  <c r="A6593" i="1"/>
  <c r="B6592" i="1"/>
  <c r="A6592" i="1"/>
  <c r="B6591" i="1"/>
  <c r="A6591" i="1"/>
  <c r="B6590" i="1"/>
  <c r="A6590" i="1"/>
  <c r="B6589" i="1"/>
  <c r="A6589" i="1"/>
  <c r="A6588" i="1"/>
  <c r="B6587" i="1"/>
  <c r="A6587" i="1"/>
  <c r="A6586" i="1"/>
  <c r="A6585" i="1"/>
  <c r="A6584" i="1"/>
  <c r="B6583" i="1"/>
  <c r="A6583" i="1"/>
  <c r="A6582" i="1"/>
  <c r="B6581" i="1"/>
  <c r="A6581" i="1"/>
  <c r="A6580" i="1"/>
  <c r="B6579" i="1"/>
  <c r="A6579" i="1"/>
  <c r="A6578" i="1"/>
  <c r="B6577" i="1"/>
  <c r="A6577" i="1"/>
  <c r="A6576" i="1"/>
  <c r="B6575" i="1"/>
  <c r="A6575" i="1"/>
  <c r="B6574" i="1"/>
  <c r="A6574" i="1"/>
  <c r="B6573" i="1"/>
  <c r="A6573" i="1"/>
  <c r="A6572" i="1"/>
  <c r="B6571" i="1"/>
  <c r="A6571" i="1"/>
  <c r="A6570" i="1"/>
  <c r="B6569" i="1"/>
  <c r="A6569" i="1"/>
  <c r="B6568" i="1"/>
  <c r="A6568" i="1"/>
  <c r="A6567" i="1"/>
  <c r="A6566" i="1"/>
  <c r="B6565" i="1"/>
  <c r="A6565" i="1"/>
  <c r="A6564" i="1"/>
  <c r="B6563" i="1"/>
  <c r="A6563" i="1"/>
  <c r="B6562" i="1"/>
  <c r="A6562" i="1"/>
  <c r="B6561" i="1"/>
  <c r="A6561" i="1"/>
  <c r="B6560" i="1"/>
  <c r="A6560" i="1"/>
  <c r="B6559" i="1"/>
  <c r="A6559" i="1"/>
  <c r="B6558" i="1"/>
  <c r="A6558" i="1"/>
  <c r="B6557" i="1"/>
  <c r="A6557" i="1"/>
  <c r="B6556" i="1"/>
  <c r="A6556" i="1"/>
  <c r="A6555" i="1"/>
  <c r="B6554" i="1"/>
  <c r="A6554" i="1"/>
  <c r="A6553" i="1"/>
  <c r="B6552" i="1"/>
  <c r="A6552" i="1"/>
  <c r="A6551" i="1"/>
  <c r="B6550" i="1"/>
  <c r="A6550" i="1"/>
  <c r="B6549" i="1"/>
  <c r="A6549" i="1"/>
  <c r="B6548" i="1"/>
  <c r="A6548" i="1"/>
  <c r="B6547" i="1"/>
  <c r="A6547" i="1"/>
  <c r="A6546" i="1"/>
  <c r="B6545" i="1"/>
  <c r="A6545" i="1"/>
  <c r="B6544" i="1"/>
  <c r="A6544" i="1"/>
  <c r="A6543" i="1"/>
  <c r="B6542" i="1"/>
  <c r="A6542" i="1"/>
  <c r="B6541" i="1"/>
  <c r="A6541" i="1"/>
  <c r="B6540" i="1"/>
  <c r="A6540" i="1"/>
  <c r="B6539" i="1"/>
  <c r="A6539" i="1"/>
  <c r="A6538" i="1"/>
  <c r="B6537" i="1"/>
  <c r="A6537" i="1"/>
  <c r="B6536" i="1"/>
  <c r="A6536" i="1"/>
  <c r="B6535" i="1"/>
  <c r="A6535" i="1"/>
  <c r="B6534" i="1"/>
  <c r="A6534" i="1"/>
  <c r="A6533" i="1"/>
  <c r="B6532" i="1"/>
  <c r="A6532" i="1"/>
  <c r="B6531" i="1"/>
  <c r="A6531" i="1"/>
  <c r="A6530" i="1"/>
  <c r="B6529" i="1"/>
  <c r="A6529" i="1"/>
  <c r="A6528" i="1"/>
  <c r="B6527" i="1"/>
  <c r="A6527" i="1"/>
  <c r="B6526" i="1"/>
  <c r="A6526" i="1"/>
  <c r="B6525" i="1"/>
  <c r="A6525" i="1"/>
  <c r="B6524" i="1"/>
  <c r="A6524" i="1"/>
  <c r="B6523" i="1"/>
  <c r="A6523" i="1"/>
  <c r="B6522" i="1"/>
  <c r="A6522" i="1"/>
  <c r="B6521" i="1"/>
  <c r="A6521" i="1"/>
  <c r="B6520" i="1"/>
  <c r="A6520" i="1"/>
  <c r="B6519" i="1"/>
  <c r="A6519" i="1"/>
  <c r="A6518" i="1"/>
  <c r="B6517" i="1"/>
  <c r="A6517" i="1"/>
  <c r="B6516" i="1"/>
  <c r="A6516" i="1"/>
  <c r="B6515" i="1"/>
  <c r="A6515" i="1"/>
  <c r="B6514" i="1"/>
  <c r="A6514" i="1"/>
  <c r="B6513" i="1"/>
  <c r="A6513" i="1"/>
  <c r="B6512" i="1"/>
  <c r="A6512" i="1"/>
  <c r="A6511" i="1"/>
  <c r="B6510" i="1"/>
  <c r="A6510" i="1"/>
  <c r="A6509" i="1"/>
  <c r="B6508" i="1"/>
  <c r="A6508" i="1"/>
  <c r="B6507" i="1"/>
  <c r="A6507" i="1"/>
  <c r="B6506" i="1"/>
  <c r="A6506" i="1"/>
  <c r="B6505" i="1"/>
  <c r="A6505" i="1"/>
  <c r="A6504" i="1"/>
  <c r="A6503" i="1"/>
  <c r="B6502" i="1"/>
  <c r="A6502" i="1"/>
  <c r="B6501" i="1"/>
  <c r="A6501" i="1"/>
  <c r="B6500" i="1"/>
  <c r="A6500" i="1"/>
  <c r="B6499" i="1"/>
  <c r="A6499" i="1"/>
  <c r="B6498" i="1"/>
  <c r="A6498" i="1"/>
  <c r="B6497" i="1"/>
  <c r="A6497" i="1"/>
  <c r="B6496" i="1"/>
  <c r="A6496" i="1"/>
  <c r="A6495" i="1"/>
  <c r="B6494" i="1"/>
  <c r="A6494" i="1"/>
  <c r="B6493" i="1"/>
  <c r="A6493" i="1"/>
  <c r="B6492" i="1"/>
  <c r="A6492" i="1"/>
  <c r="B6491" i="1"/>
  <c r="A6491" i="1"/>
  <c r="B6490" i="1"/>
  <c r="A6490" i="1"/>
  <c r="B6489" i="1"/>
  <c r="A6489" i="1"/>
  <c r="B6488" i="1"/>
  <c r="A6488" i="1"/>
  <c r="A6487" i="1"/>
  <c r="B6486" i="1"/>
  <c r="A6486" i="1"/>
  <c r="B6485" i="1"/>
  <c r="A6485" i="1"/>
  <c r="B6484" i="1"/>
  <c r="A6484" i="1"/>
  <c r="B6483" i="1"/>
  <c r="A6483" i="1"/>
  <c r="B6482" i="1"/>
  <c r="A6482" i="1"/>
  <c r="A6481" i="1"/>
  <c r="B6480" i="1"/>
  <c r="A6480" i="1"/>
  <c r="A6479" i="1"/>
  <c r="B6478" i="1"/>
  <c r="A6478" i="1"/>
  <c r="B6477" i="1"/>
  <c r="A6477" i="1"/>
  <c r="B6476" i="1"/>
  <c r="A6476" i="1"/>
  <c r="A6475" i="1"/>
  <c r="A6474" i="1"/>
  <c r="B6473" i="1"/>
  <c r="A6473" i="1"/>
  <c r="A6472" i="1"/>
  <c r="B6471" i="1"/>
  <c r="A6471" i="1"/>
  <c r="B6470" i="1"/>
  <c r="A6470" i="1"/>
  <c r="B6469" i="1"/>
  <c r="A6469" i="1"/>
  <c r="B6468" i="1"/>
  <c r="A6468" i="1"/>
  <c r="B6467" i="1"/>
  <c r="A6467" i="1"/>
  <c r="A6466" i="1"/>
  <c r="A6465" i="1"/>
  <c r="B6464" i="1"/>
  <c r="A6464" i="1"/>
  <c r="B6463" i="1"/>
  <c r="A6463" i="1"/>
  <c r="B6462" i="1"/>
  <c r="A6462" i="1"/>
  <c r="B6461" i="1"/>
  <c r="A6461" i="1"/>
  <c r="A6460" i="1"/>
  <c r="B6459" i="1"/>
  <c r="A6459" i="1"/>
  <c r="B6458" i="1"/>
  <c r="A6458" i="1"/>
  <c r="B6457" i="1"/>
  <c r="A6457" i="1"/>
  <c r="B6456" i="1"/>
  <c r="A6456" i="1"/>
  <c r="A6455" i="1"/>
  <c r="B6454" i="1"/>
  <c r="A6454" i="1"/>
  <c r="B6453" i="1"/>
  <c r="A6453" i="1"/>
  <c r="B6452" i="1"/>
  <c r="A6452" i="1"/>
  <c r="B6451" i="1"/>
  <c r="A6451" i="1"/>
  <c r="B6450" i="1"/>
  <c r="A6450" i="1"/>
  <c r="B6449" i="1"/>
  <c r="A6449" i="1"/>
  <c r="A6448" i="1"/>
  <c r="B6447" i="1"/>
  <c r="A6447" i="1"/>
  <c r="B6446" i="1"/>
  <c r="A6446" i="1"/>
  <c r="B6445" i="1"/>
  <c r="A6445" i="1"/>
  <c r="A6444" i="1"/>
  <c r="B6443" i="1"/>
  <c r="A6443" i="1"/>
  <c r="A6442" i="1"/>
  <c r="A6441" i="1"/>
  <c r="A6440" i="1"/>
  <c r="A6439" i="1"/>
  <c r="A6438" i="1"/>
  <c r="A6437" i="1"/>
  <c r="B6436" i="1"/>
  <c r="A6436" i="1"/>
  <c r="B6435" i="1"/>
  <c r="A6435" i="1"/>
  <c r="B6434" i="1"/>
  <c r="A6434" i="1"/>
  <c r="B6433" i="1"/>
  <c r="A6433" i="1"/>
  <c r="B6432" i="1"/>
  <c r="A6432" i="1"/>
  <c r="A6431" i="1"/>
  <c r="A6430" i="1"/>
  <c r="A6429" i="1"/>
  <c r="B6428" i="1"/>
  <c r="A6428" i="1"/>
  <c r="A6427" i="1"/>
  <c r="B6426" i="1"/>
  <c r="A6426" i="1"/>
  <c r="B6425" i="1"/>
  <c r="A6425" i="1"/>
  <c r="B6424" i="1"/>
  <c r="A6424" i="1"/>
  <c r="B6423" i="1"/>
  <c r="A6423" i="1"/>
  <c r="B6422" i="1"/>
  <c r="A6422" i="1"/>
  <c r="B6421" i="1"/>
  <c r="A6421" i="1"/>
  <c r="B6420" i="1"/>
  <c r="A6420" i="1"/>
  <c r="B6419" i="1"/>
  <c r="A6419" i="1"/>
  <c r="B6418" i="1"/>
  <c r="A6418" i="1"/>
  <c r="A6417" i="1"/>
  <c r="B6416" i="1"/>
  <c r="A6416" i="1"/>
  <c r="B6415" i="1"/>
  <c r="A6415" i="1"/>
  <c r="B6414" i="1"/>
  <c r="A6414" i="1"/>
  <c r="A6413" i="1"/>
  <c r="B6412" i="1"/>
  <c r="A6412" i="1"/>
  <c r="A6411" i="1"/>
  <c r="B6410" i="1"/>
  <c r="A6410" i="1"/>
  <c r="B6409" i="1"/>
  <c r="A6409" i="1"/>
  <c r="B6408" i="1"/>
  <c r="A6408" i="1"/>
  <c r="B6407" i="1"/>
  <c r="A6407" i="1"/>
  <c r="B6406" i="1"/>
  <c r="A6406" i="1"/>
  <c r="B6405" i="1"/>
  <c r="A6405" i="1"/>
  <c r="A6404" i="1"/>
  <c r="B6403" i="1"/>
  <c r="A6403" i="1"/>
  <c r="A6402" i="1"/>
  <c r="B6401" i="1"/>
  <c r="A6401" i="1"/>
  <c r="B6400" i="1"/>
  <c r="A6400" i="1"/>
  <c r="B6399" i="1"/>
  <c r="A6399" i="1"/>
  <c r="B6398" i="1"/>
  <c r="A6398" i="1"/>
  <c r="B6397" i="1"/>
  <c r="A6397" i="1"/>
  <c r="B6396" i="1"/>
  <c r="A6396" i="1"/>
  <c r="B6395" i="1"/>
  <c r="A6395" i="1"/>
  <c r="B6394" i="1"/>
  <c r="A6394" i="1"/>
  <c r="B6393" i="1"/>
  <c r="A6393" i="1"/>
  <c r="B6392" i="1"/>
  <c r="A6392" i="1"/>
  <c r="A6391" i="1"/>
  <c r="B6390" i="1"/>
  <c r="A6390" i="1"/>
  <c r="A6389" i="1"/>
  <c r="B6388" i="1"/>
  <c r="A6388" i="1"/>
  <c r="B6387" i="1"/>
  <c r="A6387" i="1"/>
  <c r="A6386" i="1"/>
  <c r="A6385" i="1"/>
  <c r="B6384" i="1"/>
  <c r="A6384" i="1"/>
  <c r="B6383" i="1"/>
  <c r="A6383" i="1"/>
  <c r="B6382" i="1"/>
  <c r="A6382" i="1"/>
  <c r="B6381" i="1"/>
  <c r="A6381" i="1"/>
  <c r="B6380" i="1"/>
  <c r="A6380" i="1"/>
  <c r="B6379" i="1"/>
  <c r="A6379" i="1"/>
  <c r="B6378" i="1"/>
  <c r="A6378" i="1"/>
  <c r="B6377" i="1"/>
  <c r="A6377" i="1"/>
  <c r="B6376" i="1"/>
  <c r="A6376" i="1"/>
  <c r="B6375" i="1"/>
  <c r="A6375" i="1"/>
  <c r="A6374" i="1"/>
  <c r="B6373" i="1"/>
  <c r="A6373" i="1"/>
  <c r="B6372" i="1"/>
  <c r="A6372" i="1"/>
  <c r="B6371" i="1"/>
  <c r="A6371" i="1"/>
  <c r="B6370" i="1"/>
  <c r="A6370" i="1"/>
  <c r="B6369" i="1"/>
  <c r="A6369" i="1"/>
  <c r="B6368" i="1"/>
  <c r="A6368" i="1"/>
  <c r="B6367" i="1"/>
  <c r="A6367" i="1"/>
  <c r="B6366" i="1"/>
  <c r="A6366" i="1"/>
  <c r="B6365" i="1"/>
  <c r="A6365" i="1"/>
  <c r="A6364" i="1"/>
  <c r="B6363" i="1"/>
  <c r="A6363" i="1"/>
  <c r="B6362" i="1"/>
  <c r="A6362" i="1"/>
  <c r="A6361" i="1"/>
  <c r="B6360" i="1"/>
  <c r="A6360" i="1"/>
  <c r="B6359" i="1"/>
  <c r="A6359" i="1"/>
  <c r="B6358" i="1"/>
  <c r="A6358" i="1"/>
  <c r="B6357" i="1"/>
  <c r="A6357" i="1"/>
  <c r="A6356" i="1"/>
  <c r="A6355" i="1"/>
  <c r="B6354" i="1"/>
  <c r="A6354" i="1"/>
  <c r="B6353" i="1"/>
  <c r="A6353" i="1"/>
  <c r="B6352" i="1"/>
  <c r="A6352" i="1"/>
  <c r="B6351" i="1"/>
  <c r="A6351" i="1"/>
  <c r="B6350" i="1"/>
  <c r="A6350" i="1"/>
  <c r="B6349" i="1"/>
  <c r="A6349" i="1"/>
  <c r="B6348" i="1"/>
  <c r="A6348" i="1"/>
  <c r="B6347" i="1"/>
  <c r="A6347" i="1"/>
  <c r="B6346" i="1"/>
  <c r="A6346" i="1"/>
  <c r="B6345" i="1"/>
  <c r="A6345" i="1"/>
  <c r="B6344" i="1"/>
  <c r="A6344" i="1"/>
  <c r="B6343" i="1"/>
  <c r="A6343" i="1"/>
  <c r="B6342" i="1"/>
  <c r="A6342" i="1"/>
  <c r="B6341" i="1"/>
  <c r="A6341" i="1"/>
  <c r="B6340" i="1"/>
  <c r="A6340" i="1"/>
  <c r="A6339" i="1"/>
  <c r="B6338" i="1"/>
  <c r="A6338" i="1"/>
  <c r="B6337" i="1"/>
  <c r="A6337" i="1"/>
  <c r="A6336" i="1"/>
  <c r="B6335" i="1"/>
  <c r="A6335" i="1"/>
  <c r="B6334" i="1"/>
  <c r="A6334" i="1"/>
  <c r="B6333" i="1"/>
  <c r="A6333" i="1"/>
  <c r="B6332" i="1"/>
  <c r="A6332" i="1"/>
  <c r="B6331" i="1"/>
  <c r="A6331" i="1"/>
  <c r="B6330" i="1"/>
  <c r="A6330" i="1"/>
  <c r="A6329" i="1"/>
  <c r="B6328" i="1"/>
  <c r="A6328" i="1"/>
  <c r="B6327" i="1"/>
  <c r="A6327" i="1"/>
  <c r="B6326" i="1"/>
  <c r="A6326" i="1"/>
  <c r="B6325" i="1"/>
  <c r="A6325" i="1"/>
  <c r="B6324" i="1"/>
  <c r="A6324" i="1"/>
  <c r="B6323" i="1"/>
  <c r="A6323" i="1"/>
  <c r="A6322" i="1"/>
  <c r="B6321" i="1"/>
  <c r="A6321" i="1"/>
  <c r="B6320" i="1"/>
  <c r="A6320" i="1"/>
  <c r="B6319" i="1"/>
  <c r="A6319" i="1"/>
  <c r="B6318" i="1"/>
  <c r="A6318" i="1"/>
  <c r="B6317" i="1"/>
  <c r="A6317" i="1"/>
  <c r="B6316" i="1"/>
  <c r="A6316" i="1"/>
  <c r="A6315" i="1"/>
  <c r="A6314" i="1"/>
  <c r="B6313" i="1"/>
  <c r="A6313" i="1"/>
  <c r="B6312" i="1"/>
  <c r="A6312" i="1"/>
  <c r="B6311" i="1"/>
  <c r="A6311" i="1"/>
  <c r="B6310" i="1"/>
  <c r="A6310" i="1"/>
  <c r="A6309" i="1"/>
  <c r="B6308" i="1"/>
  <c r="A6308" i="1"/>
  <c r="A6307" i="1"/>
  <c r="B6306" i="1"/>
  <c r="A6306" i="1"/>
  <c r="B6305" i="1"/>
  <c r="A6305" i="1"/>
  <c r="B6304" i="1"/>
  <c r="A6304" i="1"/>
  <c r="B6303" i="1"/>
  <c r="A6303" i="1"/>
  <c r="B6302" i="1"/>
  <c r="A6302" i="1"/>
  <c r="B6301" i="1"/>
  <c r="A6301" i="1"/>
  <c r="A6300" i="1"/>
  <c r="B6299" i="1"/>
  <c r="A6299" i="1"/>
  <c r="B6298" i="1"/>
  <c r="A6298" i="1"/>
  <c r="B6297" i="1"/>
  <c r="A6297" i="1"/>
  <c r="A6296" i="1"/>
  <c r="B6295" i="1"/>
  <c r="A6295" i="1"/>
  <c r="A6294" i="1"/>
  <c r="A6293" i="1"/>
  <c r="A6292" i="1"/>
  <c r="B6291" i="1"/>
  <c r="A6291" i="1"/>
  <c r="A6290" i="1"/>
  <c r="B6289" i="1"/>
  <c r="A6289" i="1"/>
  <c r="A6288" i="1"/>
  <c r="B6287" i="1"/>
  <c r="A6287" i="1"/>
  <c r="B6286" i="1"/>
  <c r="A6286" i="1"/>
  <c r="A6285" i="1"/>
  <c r="B6284" i="1"/>
  <c r="A6284" i="1"/>
  <c r="A6283" i="1"/>
  <c r="B6282" i="1"/>
  <c r="A6282" i="1"/>
  <c r="B6281" i="1"/>
  <c r="A6281" i="1"/>
  <c r="B6280" i="1"/>
  <c r="A6280" i="1"/>
  <c r="B6279" i="1"/>
  <c r="A6279" i="1"/>
  <c r="B6278" i="1"/>
  <c r="A6278" i="1"/>
  <c r="B6277" i="1"/>
  <c r="A6277" i="1"/>
  <c r="A6276" i="1"/>
  <c r="A6275" i="1"/>
  <c r="B6274" i="1"/>
  <c r="A6274" i="1"/>
  <c r="B6273" i="1"/>
  <c r="A6273" i="1"/>
  <c r="A6272" i="1"/>
  <c r="B6271" i="1"/>
  <c r="A6271" i="1"/>
  <c r="B6270" i="1"/>
  <c r="A6270" i="1"/>
  <c r="A6269" i="1"/>
  <c r="B6268" i="1"/>
  <c r="A6268" i="1"/>
  <c r="B6267" i="1"/>
  <c r="A6267" i="1"/>
  <c r="B6266" i="1"/>
  <c r="A6266" i="1"/>
  <c r="B6265" i="1"/>
  <c r="A6265" i="1"/>
  <c r="B6264" i="1"/>
  <c r="A6264" i="1"/>
  <c r="B6263" i="1"/>
  <c r="A6263" i="1"/>
  <c r="B6262" i="1"/>
  <c r="A6262" i="1"/>
  <c r="B6261" i="1"/>
  <c r="A6261" i="1"/>
  <c r="B6260" i="1"/>
  <c r="A6260" i="1"/>
  <c r="B6259" i="1"/>
  <c r="A6259" i="1"/>
  <c r="B6258" i="1"/>
  <c r="A6258" i="1"/>
  <c r="B6257" i="1"/>
  <c r="A6257" i="1"/>
  <c r="B6256" i="1"/>
  <c r="A6256" i="1"/>
  <c r="B6255" i="1"/>
  <c r="A6255" i="1"/>
  <c r="B6254" i="1"/>
  <c r="A6254" i="1"/>
  <c r="A6253" i="1"/>
  <c r="B6252" i="1"/>
  <c r="A6252" i="1"/>
  <c r="B6251" i="1"/>
  <c r="A6251" i="1"/>
  <c r="B6250" i="1"/>
  <c r="A6250" i="1"/>
  <c r="A6249" i="1"/>
  <c r="B6248" i="1"/>
  <c r="A6248" i="1"/>
  <c r="B6247" i="1"/>
  <c r="A6247" i="1"/>
  <c r="B6246" i="1"/>
  <c r="A6246" i="1"/>
  <c r="B6245" i="1"/>
  <c r="A6245" i="1"/>
  <c r="B6244" i="1"/>
  <c r="A6244" i="1"/>
  <c r="B6243" i="1"/>
  <c r="A6243" i="1"/>
  <c r="B6242" i="1"/>
  <c r="A6242" i="1"/>
  <c r="A6241" i="1"/>
  <c r="B6240" i="1"/>
  <c r="A6240" i="1"/>
  <c r="A6239" i="1"/>
  <c r="B6238" i="1"/>
  <c r="A6238" i="1"/>
  <c r="B6237" i="1"/>
  <c r="A6237" i="1"/>
  <c r="A6236" i="1"/>
  <c r="A6235" i="1"/>
  <c r="B6234" i="1"/>
  <c r="A6234" i="1"/>
  <c r="B6233" i="1"/>
  <c r="A6233" i="1"/>
  <c r="B6232" i="1"/>
  <c r="A6232" i="1"/>
  <c r="B6231" i="1"/>
  <c r="A6231" i="1"/>
  <c r="B6230" i="1"/>
  <c r="A6230" i="1"/>
  <c r="B6229" i="1"/>
  <c r="A6229" i="1"/>
  <c r="B6228" i="1"/>
  <c r="A6228" i="1"/>
  <c r="B6227" i="1"/>
  <c r="A6227" i="1"/>
  <c r="B6226" i="1"/>
  <c r="A6226" i="1"/>
  <c r="A6225" i="1"/>
  <c r="B6224" i="1"/>
  <c r="A6224" i="1"/>
  <c r="A6223" i="1"/>
  <c r="B6222" i="1"/>
  <c r="A6222" i="1"/>
  <c r="B6221" i="1"/>
  <c r="A6221" i="1"/>
  <c r="B6220" i="1"/>
  <c r="A6220" i="1"/>
  <c r="B6219" i="1"/>
  <c r="A6219" i="1"/>
  <c r="A6218" i="1"/>
  <c r="B6217" i="1"/>
  <c r="A6217" i="1"/>
  <c r="B6216" i="1"/>
  <c r="A6216" i="1"/>
  <c r="B6215" i="1"/>
  <c r="A6215" i="1"/>
  <c r="B6214" i="1"/>
  <c r="A6214" i="1"/>
  <c r="B6213" i="1"/>
  <c r="A6213" i="1"/>
  <c r="B6212" i="1"/>
  <c r="A6212" i="1"/>
  <c r="B6211" i="1"/>
  <c r="A6211" i="1"/>
  <c r="B6210" i="1"/>
  <c r="A6210" i="1"/>
  <c r="B6209" i="1"/>
  <c r="A6209" i="1"/>
  <c r="B6208" i="1"/>
  <c r="A6208" i="1"/>
  <c r="B6207" i="1"/>
  <c r="A6207" i="1"/>
  <c r="B6206" i="1"/>
  <c r="A6206" i="1"/>
  <c r="B6205" i="1"/>
  <c r="A6205" i="1"/>
  <c r="B6204" i="1"/>
  <c r="A6204" i="1"/>
  <c r="B6203" i="1"/>
  <c r="A6203" i="1"/>
  <c r="B6202" i="1"/>
  <c r="A6202" i="1"/>
  <c r="B6201" i="1"/>
  <c r="A6201" i="1"/>
  <c r="B6200" i="1"/>
  <c r="A6200" i="1"/>
  <c r="B6199" i="1"/>
  <c r="A6199" i="1"/>
  <c r="B6198" i="1"/>
  <c r="A6198" i="1"/>
  <c r="B6197" i="1"/>
  <c r="A6197" i="1"/>
  <c r="B6196" i="1"/>
  <c r="A6196" i="1"/>
  <c r="B6195" i="1"/>
  <c r="A6195" i="1"/>
  <c r="B6194" i="1"/>
  <c r="A6194" i="1"/>
  <c r="B6193" i="1"/>
  <c r="A6193" i="1"/>
  <c r="A6192" i="1"/>
  <c r="B6191" i="1"/>
  <c r="A6191" i="1"/>
  <c r="B6190" i="1"/>
  <c r="A6190" i="1"/>
  <c r="B6189" i="1"/>
  <c r="A6189" i="1"/>
  <c r="B6188" i="1"/>
  <c r="A6188" i="1"/>
  <c r="A6187" i="1"/>
  <c r="B6186" i="1"/>
  <c r="A6186" i="1"/>
  <c r="B6185" i="1"/>
  <c r="A6185" i="1"/>
  <c r="B6184" i="1"/>
  <c r="A6184" i="1"/>
  <c r="B6183" i="1"/>
  <c r="A6183" i="1"/>
  <c r="B6182" i="1"/>
  <c r="A6182" i="1"/>
  <c r="B6181" i="1"/>
  <c r="A6181" i="1"/>
  <c r="B6180" i="1"/>
  <c r="A6180" i="1"/>
  <c r="B6179" i="1"/>
  <c r="A6179" i="1"/>
  <c r="A6178" i="1"/>
  <c r="B6177" i="1"/>
  <c r="A6177" i="1"/>
  <c r="B6176" i="1"/>
  <c r="A6176" i="1"/>
  <c r="B6175" i="1"/>
  <c r="A6175" i="1"/>
  <c r="B6174" i="1"/>
  <c r="A6174" i="1"/>
  <c r="B6173" i="1"/>
  <c r="A6173" i="1"/>
  <c r="B6172" i="1"/>
  <c r="A6172" i="1"/>
  <c r="A6171" i="1"/>
  <c r="B6170" i="1"/>
  <c r="A6170" i="1"/>
  <c r="B6169" i="1"/>
  <c r="A6169" i="1"/>
  <c r="B6168" i="1"/>
  <c r="A6168" i="1"/>
  <c r="B6167" i="1"/>
  <c r="A6167" i="1"/>
  <c r="B6166" i="1"/>
  <c r="A6166" i="1"/>
  <c r="B6165" i="1"/>
  <c r="A6165" i="1"/>
  <c r="B6164" i="1"/>
  <c r="A6164" i="1"/>
  <c r="B6163" i="1"/>
  <c r="A6163" i="1"/>
  <c r="B6162" i="1"/>
  <c r="A6162" i="1"/>
  <c r="A6161" i="1"/>
  <c r="A6160" i="1"/>
  <c r="B6159" i="1"/>
  <c r="A6159" i="1"/>
  <c r="B6158" i="1"/>
  <c r="A6158" i="1"/>
  <c r="B6157" i="1"/>
  <c r="A6157" i="1"/>
  <c r="A6156" i="1"/>
  <c r="B6155" i="1"/>
  <c r="A6155" i="1"/>
  <c r="B6154" i="1"/>
  <c r="A6154" i="1"/>
  <c r="B6153" i="1"/>
  <c r="A6153" i="1"/>
  <c r="A6152" i="1"/>
  <c r="B6151" i="1"/>
  <c r="A6151" i="1"/>
  <c r="A6150" i="1"/>
  <c r="A6149" i="1"/>
  <c r="B6148" i="1"/>
  <c r="A6148" i="1"/>
  <c r="B6147" i="1"/>
  <c r="A6147" i="1"/>
  <c r="B6146" i="1"/>
  <c r="A6146" i="1"/>
  <c r="B6145" i="1"/>
  <c r="A6145" i="1"/>
  <c r="B6144" i="1"/>
  <c r="A6144" i="1"/>
  <c r="A6143" i="1"/>
  <c r="B6142" i="1"/>
  <c r="A6142" i="1"/>
  <c r="B6141" i="1"/>
  <c r="A6141" i="1"/>
  <c r="B6140" i="1"/>
  <c r="A6140" i="1"/>
  <c r="A6139" i="1"/>
  <c r="B6138" i="1"/>
  <c r="A6138" i="1"/>
  <c r="A6137" i="1"/>
  <c r="A6136" i="1"/>
  <c r="A6135" i="1"/>
  <c r="B6134" i="1"/>
  <c r="A6134" i="1"/>
  <c r="B6133" i="1"/>
  <c r="A6133" i="1"/>
  <c r="A6132" i="1"/>
  <c r="B6131" i="1"/>
  <c r="A6131" i="1"/>
  <c r="B6130" i="1"/>
  <c r="A6130" i="1"/>
  <c r="B6129" i="1"/>
  <c r="A6129" i="1"/>
  <c r="B6128" i="1"/>
  <c r="A6128" i="1"/>
  <c r="B6127" i="1"/>
  <c r="A6127" i="1"/>
  <c r="B6126" i="1"/>
  <c r="A6126" i="1"/>
  <c r="B6125" i="1"/>
  <c r="A6125" i="1"/>
  <c r="B6124" i="1"/>
  <c r="A6124" i="1"/>
  <c r="B6123" i="1"/>
  <c r="A6123" i="1"/>
  <c r="B6122" i="1"/>
  <c r="A6122" i="1"/>
  <c r="B6121" i="1"/>
  <c r="A6121" i="1"/>
  <c r="A6120" i="1"/>
  <c r="B6119" i="1"/>
  <c r="A6119" i="1"/>
  <c r="B6118" i="1"/>
  <c r="A6118" i="1"/>
  <c r="B6117" i="1"/>
  <c r="A6117" i="1"/>
  <c r="B6116" i="1"/>
  <c r="A6116" i="1"/>
  <c r="B6115" i="1"/>
  <c r="A6115" i="1"/>
  <c r="B6114" i="1"/>
  <c r="A6114" i="1"/>
  <c r="B6113" i="1"/>
  <c r="A6113" i="1"/>
  <c r="B6112" i="1"/>
  <c r="A6112" i="1"/>
  <c r="A6111" i="1"/>
  <c r="B6110" i="1"/>
  <c r="A6110" i="1"/>
  <c r="B6109" i="1"/>
  <c r="A6109" i="1"/>
  <c r="A6108" i="1"/>
  <c r="B6107" i="1"/>
  <c r="A6107" i="1"/>
  <c r="A6106" i="1"/>
  <c r="A6105" i="1"/>
  <c r="A6104" i="1"/>
  <c r="B6103" i="1"/>
  <c r="A6103" i="1"/>
  <c r="B6102" i="1"/>
  <c r="A6102" i="1"/>
  <c r="B6101" i="1"/>
  <c r="A6101" i="1"/>
  <c r="B6100" i="1"/>
  <c r="A6100" i="1"/>
  <c r="B6099" i="1"/>
  <c r="A6099" i="1"/>
  <c r="A6098" i="1"/>
  <c r="B6097" i="1"/>
  <c r="A6097" i="1"/>
  <c r="B6096" i="1"/>
  <c r="A6096" i="1"/>
  <c r="A6095" i="1"/>
  <c r="B6094" i="1"/>
  <c r="A6094" i="1"/>
  <c r="B6093" i="1"/>
  <c r="A6093" i="1"/>
  <c r="B6092" i="1"/>
  <c r="A6092" i="1"/>
  <c r="B6091" i="1"/>
  <c r="A6091" i="1"/>
  <c r="B6090" i="1"/>
  <c r="A6090" i="1"/>
  <c r="A6089" i="1"/>
  <c r="B6088" i="1"/>
  <c r="A6088" i="1"/>
  <c r="B6087" i="1"/>
  <c r="A6087" i="1"/>
  <c r="B6086" i="1"/>
  <c r="A6086" i="1"/>
  <c r="B6085" i="1"/>
  <c r="A6085" i="1"/>
  <c r="B6084" i="1"/>
  <c r="A6084" i="1"/>
  <c r="B6083" i="1"/>
  <c r="A6083" i="1"/>
  <c r="B6082" i="1"/>
  <c r="A6082" i="1"/>
  <c r="B6081" i="1"/>
  <c r="A6081" i="1"/>
  <c r="B6080" i="1"/>
  <c r="A6080" i="1"/>
  <c r="B6079" i="1"/>
  <c r="A6079" i="1"/>
  <c r="B6078" i="1"/>
  <c r="A6078" i="1"/>
  <c r="B6077" i="1"/>
  <c r="A6077" i="1"/>
  <c r="B6076" i="1"/>
  <c r="A6076" i="1"/>
  <c r="B6075" i="1"/>
  <c r="A6075" i="1"/>
  <c r="B6074" i="1"/>
  <c r="A6074" i="1"/>
  <c r="B6073" i="1"/>
  <c r="A6073" i="1"/>
  <c r="A6072" i="1"/>
  <c r="B6071" i="1"/>
  <c r="A6071" i="1"/>
  <c r="B6070" i="1"/>
  <c r="A6070" i="1"/>
  <c r="B6069" i="1"/>
  <c r="A6069" i="1"/>
  <c r="B6068" i="1"/>
  <c r="A6068" i="1"/>
  <c r="B6067" i="1"/>
  <c r="A6067" i="1"/>
  <c r="B6066" i="1"/>
  <c r="A6066" i="1"/>
  <c r="B6065" i="1"/>
  <c r="A6065" i="1"/>
  <c r="A6064" i="1"/>
  <c r="B6063" i="1"/>
  <c r="A6063" i="1"/>
  <c r="B6062" i="1"/>
  <c r="A6062" i="1"/>
  <c r="B6061" i="1"/>
  <c r="A6061" i="1"/>
  <c r="B6060" i="1"/>
  <c r="A6060" i="1"/>
  <c r="A6059" i="1"/>
  <c r="B6058" i="1"/>
  <c r="A6058" i="1"/>
  <c r="A6057" i="1"/>
  <c r="B6056" i="1"/>
  <c r="A6056" i="1"/>
  <c r="B6055" i="1"/>
  <c r="A6055" i="1"/>
  <c r="A6054" i="1"/>
  <c r="B6053" i="1"/>
  <c r="A6053" i="1"/>
  <c r="B6052" i="1"/>
  <c r="A6052" i="1"/>
  <c r="B6051" i="1"/>
  <c r="A6051" i="1"/>
  <c r="B6050" i="1"/>
  <c r="A6050" i="1"/>
  <c r="B6049" i="1"/>
  <c r="A6049" i="1"/>
  <c r="B6048" i="1"/>
  <c r="A6048" i="1"/>
  <c r="B6047" i="1"/>
  <c r="A6047" i="1"/>
  <c r="A6046" i="1"/>
  <c r="A6045" i="1"/>
  <c r="B6044" i="1"/>
  <c r="A6044" i="1"/>
  <c r="B6043" i="1"/>
  <c r="A6043" i="1"/>
  <c r="A6042" i="1"/>
  <c r="A6041" i="1"/>
  <c r="A6040" i="1"/>
  <c r="A6039" i="1"/>
  <c r="B6038" i="1"/>
  <c r="A6038" i="1"/>
  <c r="B6037" i="1"/>
  <c r="A6037" i="1"/>
  <c r="B6036" i="1"/>
  <c r="A6036" i="1"/>
  <c r="B6035" i="1"/>
  <c r="A6035" i="1"/>
  <c r="A6034" i="1"/>
  <c r="B6033" i="1"/>
  <c r="A6033" i="1"/>
  <c r="B6032" i="1"/>
  <c r="A6032" i="1"/>
  <c r="B6031" i="1"/>
  <c r="A6031" i="1"/>
  <c r="B6030" i="1"/>
  <c r="A6030" i="1"/>
  <c r="B6029" i="1"/>
  <c r="A6029" i="1"/>
  <c r="B6028" i="1"/>
  <c r="A6028" i="1"/>
  <c r="B6027" i="1"/>
  <c r="A6027" i="1"/>
  <c r="B6026" i="1"/>
  <c r="A6026" i="1"/>
  <c r="B6025" i="1"/>
  <c r="A6025" i="1"/>
  <c r="B6024" i="1"/>
  <c r="A6024" i="1"/>
  <c r="B6023" i="1"/>
  <c r="A6023" i="1"/>
  <c r="B6022" i="1"/>
  <c r="A6022" i="1"/>
  <c r="B6021" i="1"/>
  <c r="A6021" i="1"/>
  <c r="B6020" i="1"/>
  <c r="A6020" i="1"/>
  <c r="B6019" i="1"/>
  <c r="A6019" i="1"/>
  <c r="B6018" i="1"/>
  <c r="A6018" i="1"/>
  <c r="B6017" i="1"/>
  <c r="A6017" i="1"/>
  <c r="A6016" i="1"/>
  <c r="B6015" i="1"/>
  <c r="A6015" i="1"/>
  <c r="B6014" i="1"/>
  <c r="A6014" i="1"/>
  <c r="B6013" i="1"/>
  <c r="A6013" i="1"/>
  <c r="B6012" i="1"/>
  <c r="A6012" i="1"/>
  <c r="B6011" i="1"/>
  <c r="A6011" i="1"/>
  <c r="A6010" i="1"/>
  <c r="A6009" i="1"/>
  <c r="A6008" i="1"/>
  <c r="B6007" i="1"/>
  <c r="A6007" i="1"/>
  <c r="B6006" i="1"/>
  <c r="A6006" i="1"/>
  <c r="A6005" i="1"/>
  <c r="B6004" i="1"/>
  <c r="A6004" i="1"/>
  <c r="B6003" i="1"/>
  <c r="A6003" i="1"/>
  <c r="B6002" i="1"/>
  <c r="A6002" i="1"/>
  <c r="B6001" i="1"/>
  <c r="A6001" i="1"/>
  <c r="B6000" i="1"/>
  <c r="A6000" i="1"/>
  <c r="B5999" i="1"/>
  <c r="A5999" i="1"/>
  <c r="B5998" i="1"/>
  <c r="A5998" i="1"/>
  <c r="B5997" i="1"/>
  <c r="A5997" i="1"/>
  <c r="B5996" i="1"/>
  <c r="A5996" i="1"/>
  <c r="B5995" i="1"/>
  <c r="A5995" i="1"/>
  <c r="B5994" i="1"/>
  <c r="A5994" i="1"/>
  <c r="B5993" i="1"/>
  <c r="A5993" i="1"/>
  <c r="B5992" i="1"/>
  <c r="A5992" i="1"/>
  <c r="A5991" i="1"/>
  <c r="B5990" i="1"/>
  <c r="A5990" i="1"/>
  <c r="A5989" i="1"/>
  <c r="B5988" i="1"/>
  <c r="A5988" i="1"/>
  <c r="B5987" i="1"/>
  <c r="A5987" i="1"/>
  <c r="B5986" i="1"/>
  <c r="A5986" i="1"/>
  <c r="B5985" i="1"/>
  <c r="A5985" i="1"/>
  <c r="B5984" i="1"/>
  <c r="A5984" i="1"/>
  <c r="B5983" i="1"/>
  <c r="A5983" i="1"/>
  <c r="B5982" i="1"/>
  <c r="A5982" i="1"/>
  <c r="B5981" i="1"/>
  <c r="A5981" i="1"/>
  <c r="B5980" i="1"/>
  <c r="A5980" i="1"/>
  <c r="B5979" i="1"/>
  <c r="A5979" i="1"/>
  <c r="B5978" i="1"/>
  <c r="A5978" i="1"/>
  <c r="B5977" i="1"/>
  <c r="A5977" i="1"/>
  <c r="A5976" i="1"/>
  <c r="A5975" i="1"/>
  <c r="B5974" i="1"/>
  <c r="A5974" i="1"/>
  <c r="B5973" i="1"/>
  <c r="A5973" i="1"/>
  <c r="B5972" i="1"/>
  <c r="A5972" i="1"/>
  <c r="B5971" i="1"/>
  <c r="A5971" i="1"/>
  <c r="A5970" i="1"/>
  <c r="B5969" i="1"/>
  <c r="A5969" i="1"/>
  <c r="B5968" i="1"/>
  <c r="A5968" i="1"/>
  <c r="B5967" i="1"/>
  <c r="A5967" i="1"/>
  <c r="B5966" i="1"/>
  <c r="A5966" i="1"/>
  <c r="B5965" i="1"/>
  <c r="A5965" i="1"/>
  <c r="B5964" i="1"/>
  <c r="A5964" i="1"/>
  <c r="B5963" i="1"/>
  <c r="A5963" i="1"/>
  <c r="A5962" i="1"/>
  <c r="B5961" i="1"/>
  <c r="A5961" i="1"/>
  <c r="B5960" i="1"/>
  <c r="A5960" i="1"/>
  <c r="B5959" i="1"/>
  <c r="A5959" i="1"/>
  <c r="B5958" i="1"/>
  <c r="A5958" i="1"/>
  <c r="B5957" i="1"/>
  <c r="A5957" i="1"/>
  <c r="B5956" i="1"/>
  <c r="A5956" i="1"/>
  <c r="B5955" i="1"/>
  <c r="A5955" i="1"/>
  <c r="B5954" i="1"/>
  <c r="A5954" i="1"/>
  <c r="B5953" i="1"/>
  <c r="A5953" i="1"/>
  <c r="A5952" i="1"/>
  <c r="B5951" i="1"/>
  <c r="A5951" i="1"/>
  <c r="A5950" i="1"/>
  <c r="B5949" i="1"/>
  <c r="A5949" i="1"/>
  <c r="A5948" i="1"/>
  <c r="A5947" i="1"/>
  <c r="A5946" i="1"/>
  <c r="B5945" i="1"/>
  <c r="A5945" i="1"/>
  <c r="A5944" i="1"/>
  <c r="A5943" i="1"/>
  <c r="A5942" i="1"/>
  <c r="B5941" i="1"/>
  <c r="A5941" i="1"/>
  <c r="B5940" i="1"/>
  <c r="A5940" i="1"/>
  <c r="B5939" i="1"/>
  <c r="A5939" i="1"/>
  <c r="B5938" i="1"/>
  <c r="A5938" i="1"/>
  <c r="B5937" i="1"/>
  <c r="A5937" i="1"/>
  <c r="B5936" i="1"/>
  <c r="A5936" i="1"/>
  <c r="B5935" i="1"/>
  <c r="A5935" i="1"/>
  <c r="A5934" i="1"/>
  <c r="B5933" i="1"/>
  <c r="A5933" i="1"/>
  <c r="A5932" i="1"/>
  <c r="B5931" i="1"/>
  <c r="A5931" i="1"/>
  <c r="B5930" i="1"/>
  <c r="A5930" i="1"/>
  <c r="B5929" i="1"/>
  <c r="A5929" i="1"/>
  <c r="A5928" i="1"/>
  <c r="B5927" i="1"/>
  <c r="A5927" i="1"/>
  <c r="B5926" i="1"/>
  <c r="A5926" i="1"/>
  <c r="B5925" i="1"/>
  <c r="A5925" i="1"/>
  <c r="A5924" i="1"/>
  <c r="B5923" i="1"/>
  <c r="A5923" i="1"/>
  <c r="B5922" i="1"/>
  <c r="A5922" i="1"/>
  <c r="B5921" i="1"/>
  <c r="A5921" i="1"/>
  <c r="B5920" i="1"/>
  <c r="A5920" i="1"/>
  <c r="A5919" i="1"/>
  <c r="B5918" i="1"/>
  <c r="A5918" i="1"/>
  <c r="B5917" i="1"/>
  <c r="A5917" i="1"/>
  <c r="B5916" i="1"/>
  <c r="A5916" i="1"/>
  <c r="B5915" i="1"/>
  <c r="A5915" i="1"/>
  <c r="A5914" i="1"/>
  <c r="B5913" i="1"/>
  <c r="A5913" i="1"/>
  <c r="B5912" i="1"/>
  <c r="A5912" i="1"/>
  <c r="B5911" i="1"/>
  <c r="A5911" i="1"/>
  <c r="A5910" i="1"/>
  <c r="B5909" i="1"/>
  <c r="A5909" i="1"/>
  <c r="A5908" i="1"/>
  <c r="B5907" i="1"/>
  <c r="A5907" i="1"/>
  <c r="B5906" i="1"/>
  <c r="A5906" i="1"/>
  <c r="A5905" i="1"/>
  <c r="B5904" i="1"/>
  <c r="A5904" i="1"/>
  <c r="A5903" i="1"/>
  <c r="B5902" i="1"/>
  <c r="A5902" i="1"/>
  <c r="B5901" i="1"/>
  <c r="A5901" i="1"/>
  <c r="B5900" i="1"/>
  <c r="A5900" i="1"/>
  <c r="B5899" i="1"/>
  <c r="A5899" i="1"/>
  <c r="B5898" i="1"/>
  <c r="A5898" i="1"/>
  <c r="B5897" i="1"/>
  <c r="A5897" i="1"/>
  <c r="B5896" i="1"/>
  <c r="A5896" i="1"/>
  <c r="B5895" i="1"/>
  <c r="A5895" i="1"/>
  <c r="B5894" i="1"/>
  <c r="A5894" i="1"/>
  <c r="B5893" i="1"/>
  <c r="A5893" i="1"/>
  <c r="B5892" i="1"/>
  <c r="A5892" i="1"/>
  <c r="B5891" i="1"/>
  <c r="A5891" i="1"/>
  <c r="A5890" i="1"/>
  <c r="A5889" i="1"/>
  <c r="B5888" i="1"/>
  <c r="A5888" i="1"/>
  <c r="B5887" i="1"/>
  <c r="A5887" i="1"/>
  <c r="B5886" i="1"/>
  <c r="A5886" i="1"/>
  <c r="B5885" i="1"/>
  <c r="A5885" i="1"/>
  <c r="B5884" i="1"/>
  <c r="A5884" i="1"/>
  <c r="B5883" i="1"/>
  <c r="A5883" i="1"/>
  <c r="B5882" i="1"/>
  <c r="A5882" i="1"/>
  <c r="A5881" i="1"/>
  <c r="A5880" i="1"/>
  <c r="B5879" i="1"/>
  <c r="A5879" i="1"/>
  <c r="B5878" i="1"/>
  <c r="A5878" i="1"/>
  <c r="B5877" i="1"/>
  <c r="A5877" i="1"/>
  <c r="A5876" i="1"/>
  <c r="B5875" i="1"/>
  <c r="A5875" i="1"/>
  <c r="B5874" i="1"/>
  <c r="A5874" i="1"/>
  <c r="A5873" i="1"/>
  <c r="A5872" i="1"/>
  <c r="B5871" i="1"/>
  <c r="A5871" i="1"/>
  <c r="A5870" i="1"/>
  <c r="B5869" i="1"/>
  <c r="A5869" i="1"/>
  <c r="A5868" i="1"/>
  <c r="B5867" i="1"/>
  <c r="A5867" i="1"/>
  <c r="B5866" i="1"/>
  <c r="A5866" i="1"/>
  <c r="A5865" i="1"/>
  <c r="B5864" i="1"/>
  <c r="A5864" i="1"/>
  <c r="A5863" i="1"/>
  <c r="B5862" i="1"/>
  <c r="A5862" i="1"/>
  <c r="B5861" i="1"/>
  <c r="A5861" i="1"/>
  <c r="A5860" i="1"/>
  <c r="B5859" i="1"/>
  <c r="A5859" i="1"/>
  <c r="B5858" i="1"/>
  <c r="A5858" i="1"/>
  <c r="A5857" i="1"/>
  <c r="B5856" i="1"/>
  <c r="A5856" i="1"/>
  <c r="A5855" i="1"/>
  <c r="B5854" i="1"/>
  <c r="A5854" i="1"/>
  <c r="B5853" i="1"/>
  <c r="A5853" i="1"/>
  <c r="B5852" i="1"/>
  <c r="A5852" i="1"/>
  <c r="B5851" i="1"/>
  <c r="A5851" i="1"/>
  <c r="B5850" i="1"/>
  <c r="A5850" i="1"/>
  <c r="A5849" i="1"/>
  <c r="B5848" i="1"/>
  <c r="A5848" i="1"/>
  <c r="A5847" i="1"/>
  <c r="B5846" i="1"/>
  <c r="A5846" i="1"/>
  <c r="B5845" i="1"/>
  <c r="A5845" i="1"/>
  <c r="B5844" i="1"/>
  <c r="A5844" i="1"/>
  <c r="B5843" i="1"/>
  <c r="A5843" i="1"/>
  <c r="B5842" i="1"/>
  <c r="A5842" i="1"/>
  <c r="B5841" i="1"/>
  <c r="A5841" i="1"/>
  <c r="B5840" i="1"/>
  <c r="A5840" i="1"/>
  <c r="B5839" i="1"/>
  <c r="A5839" i="1"/>
  <c r="B5838" i="1"/>
  <c r="A5838" i="1"/>
  <c r="B5837" i="1"/>
  <c r="A5837" i="1"/>
  <c r="B5836" i="1"/>
  <c r="A5836" i="1"/>
  <c r="B5835" i="1"/>
  <c r="A5835" i="1"/>
  <c r="B5834" i="1"/>
  <c r="A5834" i="1"/>
  <c r="B5833" i="1"/>
  <c r="A5833" i="1"/>
  <c r="B5832" i="1"/>
  <c r="A5832" i="1"/>
  <c r="B5831" i="1"/>
  <c r="A5831" i="1"/>
  <c r="B5830" i="1"/>
  <c r="A5830" i="1"/>
  <c r="B5829" i="1"/>
  <c r="A5829" i="1"/>
  <c r="B5828" i="1"/>
  <c r="A5828" i="1"/>
  <c r="B5827" i="1"/>
  <c r="A5827" i="1"/>
  <c r="B5826" i="1"/>
  <c r="A5826" i="1"/>
  <c r="B5825" i="1"/>
  <c r="A5825" i="1"/>
  <c r="B5824" i="1"/>
  <c r="A5824" i="1"/>
  <c r="B5823" i="1"/>
  <c r="A5823" i="1"/>
  <c r="B5822" i="1"/>
  <c r="A5822" i="1"/>
  <c r="B5821" i="1"/>
  <c r="A5821" i="1"/>
  <c r="B5820" i="1"/>
  <c r="A5820" i="1"/>
  <c r="A5819" i="1"/>
  <c r="A5818" i="1"/>
  <c r="B5817" i="1"/>
  <c r="A5817" i="1"/>
  <c r="B5816" i="1"/>
  <c r="A5816" i="1"/>
  <c r="B5815" i="1"/>
  <c r="A5815" i="1"/>
  <c r="A5814" i="1"/>
  <c r="B5813" i="1"/>
  <c r="A5813" i="1"/>
  <c r="A5812" i="1"/>
  <c r="A5811" i="1"/>
  <c r="B5810" i="1"/>
  <c r="A5810" i="1"/>
  <c r="B5809" i="1"/>
  <c r="A5809" i="1"/>
  <c r="B5808" i="1"/>
  <c r="A5808" i="1"/>
  <c r="B5807" i="1"/>
  <c r="A5807" i="1"/>
  <c r="B5806" i="1"/>
  <c r="A5806" i="1"/>
  <c r="B5805" i="1"/>
  <c r="A5805" i="1"/>
  <c r="B5804" i="1"/>
  <c r="A5804" i="1"/>
  <c r="A5803" i="1"/>
  <c r="A5802" i="1"/>
  <c r="B5801" i="1"/>
  <c r="A5801" i="1"/>
  <c r="B5800" i="1"/>
  <c r="A5800" i="1"/>
  <c r="B5799" i="1"/>
  <c r="A5799" i="1"/>
  <c r="B5798" i="1"/>
  <c r="A5798" i="1"/>
  <c r="B5797" i="1"/>
  <c r="A5797" i="1"/>
  <c r="B5796" i="1"/>
  <c r="A5796" i="1"/>
  <c r="A5795" i="1"/>
  <c r="B5794" i="1"/>
  <c r="A5794" i="1"/>
  <c r="B5793" i="1"/>
  <c r="A5793" i="1"/>
  <c r="B5792" i="1"/>
  <c r="A5792" i="1"/>
  <c r="B5791" i="1"/>
  <c r="A5791" i="1"/>
  <c r="B5790" i="1"/>
  <c r="A5790" i="1"/>
  <c r="B5789" i="1"/>
  <c r="A5789" i="1"/>
  <c r="B5788" i="1"/>
  <c r="A5788" i="1"/>
  <c r="B5787" i="1"/>
  <c r="A5787" i="1"/>
  <c r="A5786" i="1"/>
  <c r="B5785" i="1"/>
  <c r="A5785" i="1"/>
  <c r="A5784" i="1"/>
  <c r="B5783" i="1"/>
  <c r="A5783" i="1"/>
  <c r="B5782" i="1"/>
  <c r="A5782" i="1"/>
  <c r="B5781" i="1"/>
  <c r="A5781" i="1"/>
  <c r="B5780" i="1"/>
  <c r="A5780" i="1"/>
  <c r="B5779" i="1"/>
  <c r="A5779" i="1"/>
  <c r="B5778" i="1"/>
  <c r="A5778" i="1"/>
  <c r="B5777" i="1"/>
  <c r="A5777" i="1"/>
  <c r="B5776" i="1"/>
  <c r="A5776" i="1"/>
  <c r="B5775" i="1"/>
  <c r="A5775" i="1"/>
  <c r="B5774" i="1"/>
  <c r="A5774" i="1"/>
  <c r="A5773" i="1"/>
  <c r="B5772" i="1"/>
  <c r="A5772" i="1"/>
  <c r="B5771" i="1"/>
  <c r="A5771" i="1"/>
  <c r="B5770" i="1"/>
  <c r="A5770" i="1"/>
  <c r="A5769" i="1"/>
  <c r="A5768" i="1"/>
  <c r="B5767" i="1"/>
  <c r="A5767" i="1"/>
  <c r="B5766" i="1"/>
  <c r="A5766" i="1"/>
  <c r="B5765" i="1"/>
  <c r="A5765" i="1"/>
  <c r="B5764" i="1"/>
  <c r="A5764" i="1"/>
  <c r="A5763" i="1"/>
  <c r="B5762" i="1"/>
  <c r="A5762" i="1"/>
  <c r="A5761" i="1"/>
  <c r="A5760" i="1"/>
  <c r="B5759" i="1"/>
  <c r="A5759" i="1"/>
  <c r="B5758" i="1"/>
  <c r="A5758" i="1"/>
  <c r="B5757" i="1"/>
  <c r="A5757" i="1"/>
  <c r="B5756" i="1"/>
  <c r="A5756" i="1"/>
  <c r="A5755" i="1"/>
  <c r="B5754" i="1"/>
  <c r="A5754" i="1"/>
  <c r="A5753" i="1"/>
  <c r="A5752" i="1"/>
  <c r="A5751" i="1"/>
  <c r="B5750" i="1"/>
  <c r="A5750" i="1"/>
  <c r="B5749" i="1"/>
  <c r="A5749" i="1"/>
  <c r="B5748" i="1"/>
  <c r="A5748" i="1"/>
  <c r="B5747" i="1"/>
  <c r="A5747" i="1"/>
  <c r="B5746" i="1"/>
  <c r="A5746" i="1"/>
  <c r="B5745" i="1"/>
  <c r="A5745" i="1"/>
  <c r="B5744" i="1"/>
  <c r="A5744" i="1"/>
  <c r="B5743" i="1"/>
  <c r="A5743" i="1"/>
  <c r="B5742" i="1"/>
  <c r="A5742" i="1"/>
  <c r="A5741" i="1"/>
  <c r="A5740" i="1"/>
  <c r="A5739" i="1"/>
  <c r="B5738" i="1"/>
  <c r="A5738" i="1"/>
  <c r="B5737" i="1"/>
  <c r="A5737" i="1"/>
  <c r="B5736" i="1"/>
  <c r="A5736" i="1"/>
  <c r="B5735" i="1"/>
  <c r="A5735" i="1"/>
  <c r="B5734" i="1"/>
  <c r="A5734" i="1"/>
  <c r="A5733" i="1"/>
  <c r="B5732" i="1"/>
  <c r="A5732" i="1"/>
  <c r="A5731" i="1"/>
  <c r="B5730" i="1"/>
  <c r="A5730" i="1"/>
  <c r="B5729" i="1"/>
  <c r="A5729" i="1"/>
  <c r="B5728" i="1"/>
  <c r="A5728" i="1"/>
  <c r="A5727" i="1"/>
  <c r="A5726" i="1"/>
  <c r="A5725" i="1"/>
  <c r="A5724" i="1"/>
  <c r="A5723" i="1"/>
  <c r="B5722" i="1"/>
  <c r="A5722" i="1"/>
  <c r="B5721" i="1"/>
  <c r="A5721" i="1"/>
  <c r="A5720" i="1"/>
  <c r="B5719" i="1"/>
  <c r="A5719" i="1"/>
  <c r="B5718" i="1"/>
  <c r="A5718" i="1"/>
  <c r="B5717" i="1"/>
  <c r="A5717" i="1"/>
  <c r="B5716" i="1"/>
  <c r="A5716" i="1"/>
  <c r="B5715" i="1"/>
  <c r="A5715" i="1"/>
  <c r="A5714" i="1"/>
  <c r="B5713" i="1"/>
  <c r="A5713" i="1"/>
  <c r="B5712" i="1"/>
  <c r="A5712" i="1"/>
  <c r="B5711" i="1"/>
  <c r="A5711" i="1"/>
  <c r="B5710" i="1"/>
  <c r="A5710" i="1"/>
  <c r="B5709" i="1"/>
  <c r="A5709" i="1"/>
  <c r="B5708" i="1"/>
  <c r="A5708" i="1"/>
  <c r="B5707" i="1"/>
  <c r="A5707" i="1"/>
  <c r="B5706" i="1"/>
  <c r="A5706" i="1"/>
  <c r="A5705" i="1"/>
  <c r="B5704" i="1"/>
  <c r="A5704" i="1"/>
  <c r="A5703" i="1"/>
  <c r="B5702" i="1"/>
  <c r="A5702" i="1"/>
  <c r="A5701" i="1"/>
  <c r="B5700" i="1"/>
  <c r="A5700" i="1"/>
  <c r="B5699" i="1"/>
  <c r="A5699" i="1"/>
  <c r="A5698" i="1"/>
  <c r="B5697" i="1"/>
  <c r="A5697" i="1"/>
  <c r="B5696" i="1"/>
  <c r="A5696" i="1"/>
  <c r="B5695" i="1"/>
  <c r="A5695" i="1"/>
  <c r="B5694" i="1"/>
  <c r="A5694" i="1"/>
  <c r="B5693" i="1"/>
  <c r="A5693" i="1"/>
  <c r="B5692" i="1"/>
  <c r="A5692" i="1"/>
  <c r="A5691" i="1"/>
  <c r="B5690" i="1"/>
  <c r="A5690" i="1"/>
  <c r="B5689" i="1"/>
  <c r="A5689" i="1"/>
  <c r="B5688" i="1"/>
  <c r="A5688" i="1"/>
  <c r="B5687" i="1"/>
  <c r="A5687" i="1"/>
  <c r="A5686" i="1"/>
  <c r="B5685" i="1"/>
  <c r="A5685" i="1"/>
  <c r="A5684" i="1"/>
  <c r="B5683" i="1"/>
  <c r="A5683" i="1"/>
  <c r="B5682" i="1"/>
  <c r="A5682" i="1"/>
  <c r="A5681" i="1"/>
  <c r="B5680" i="1"/>
  <c r="A5680" i="1"/>
  <c r="B5679" i="1"/>
  <c r="A5679" i="1"/>
  <c r="B5678" i="1"/>
  <c r="A5678" i="1"/>
  <c r="B5677" i="1"/>
  <c r="A5677" i="1"/>
  <c r="B5676" i="1"/>
  <c r="A5676" i="1"/>
  <c r="B5675" i="1"/>
  <c r="A5675" i="1"/>
  <c r="B5674" i="1"/>
  <c r="A5674" i="1"/>
  <c r="A5673" i="1"/>
  <c r="B5672" i="1"/>
  <c r="A5672" i="1"/>
  <c r="A5671" i="1"/>
  <c r="B5670" i="1"/>
  <c r="A5670" i="1"/>
  <c r="B5669" i="1"/>
  <c r="A5669" i="1"/>
  <c r="B5668" i="1"/>
  <c r="A5668" i="1"/>
  <c r="B5667" i="1"/>
  <c r="A5667" i="1"/>
  <c r="B5666" i="1"/>
  <c r="A5666" i="1"/>
  <c r="A5665" i="1"/>
  <c r="B5664" i="1"/>
  <c r="A5664" i="1"/>
  <c r="B5663" i="1"/>
  <c r="A5663" i="1"/>
  <c r="B5662" i="1"/>
  <c r="A5662" i="1"/>
  <c r="B5661" i="1"/>
  <c r="A5661" i="1"/>
  <c r="B5660" i="1"/>
  <c r="A5660" i="1"/>
  <c r="A5659" i="1"/>
  <c r="B5658" i="1"/>
  <c r="A5658" i="1"/>
  <c r="B5657" i="1"/>
  <c r="A5657" i="1"/>
  <c r="B5656" i="1"/>
  <c r="A5656" i="1"/>
  <c r="A5655" i="1"/>
  <c r="B5654" i="1"/>
  <c r="A5654" i="1"/>
  <c r="A5653" i="1"/>
  <c r="B5652" i="1"/>
  <c r="A5652" i="1"/>
  <c r="A5651" i="1"/>
  <c r="A5650" i="1"/>
  <c r="B5649" i="1"/>
  <c r="A5649" i="1"/>
  <c r="B5648" i="1"/>
  <c r="A5648" i="1"/>
  <c r="B5647" i="1"/>
  <c r="A5647" i="1"/>
  <c r="A5646" i="1"/>
  <c r="B5645" i="1"/>
  <c r="A5645" i="1"/>
  <c r="B5644" i="1"/>
  <c r="A5644" i="1"/>
  <c r="B5643" i="1"/>
  <c r="A5643" i="1"/>
  <c r="A5642" i="1"/>
  <c r="B5641" i="1"/>
  <c r="A5641" i="1"/>
  <c r="A5640" i="1"/>
  <c r="A5639" i="1"/>
  <c r="B5638" i="1"/>
  <c r="A5638" i="1"/>
  <c r="A5637" i="1"/>
  <c r="B5636" i="1"/>
  <c r="A5636" i="1"/>
  <c r="B5635" i="1"/>
  <c r="A5635" i="1"/>
  <c r="B5634" i="1"/>
  <c r="A5634" i="1"/>
  <c r="B5633" i="1"/>
  <c r="A5633" i="1"/>
  <c r="B5632" i="1"/>
  <c r="A5632" i="1"/>
  <c r="B5631" i="1"/>
  <c r="A5631" i="1"/>
  <c r="B5630" i="1"/>
  <c r="A5630" i="1"/>
  <c r="B5629" i="1"/>
  <c r="A5629" i="1"/>
  <c r="B5628" i="1"/>
  <c r="A5628" i="1"/>
  <c r="B5627" i="1"/>
  <c r="A5627" i="1"/>
  <c r="B5626" i="1"/>
  <c r="A5626" i="1"/>
  <c r="B5625" i="1"/>
  <c r="A5625" i="1"/>
  <c r="B5624" i="1"/>
  <c r="A5624" i="1"/>
  <c r="B5623" i="1"/>
  <c r="A5623" i="1"/>
  <c r="B5622" i="1"/>
  <c r="A5622" i="1"/>
  <c r="B5621" i="1"/>
  <c r="A5621" i="1"/>
  <c r="B5620" i="1"/>
  <c r="A5620" i="1"/>
  <c r="A5619" i="1"/>
  <c r="B5618" i="1"/>
  <c r="A5618" i="1"/>
  <c r="B5617" i="1"/>
  <c r="A5617" i="1"/>
  <c r="B5616" i="1"/>
  <c r="A5616" i="1"/>
  <c r="A5615" i="1"/>
  <c r="A5614" i="1"/>
  <c r="B5613" i="1"/>
  <c r="A5613" i="1"/>
  <c r="B5612" i="1"/>
  <c r="A5612" i="1"/>
  <c r="A5611" i="1"/>
  <c r="B5610" i="1"/>
  <c r="A5610" i="1"/>
  <c r="B5609" i="1"/>
  <c r="A5609" i="1"/>
  <c r="B5608" i="1"/>
  <c r="A5608" i="1"/>
  <c r="B5607" i="1"/>
  <c r="A5607" i="1"/>
  <c r="B5606" i="1"/>
  <c r="A5606" i="1"/>
  <c r="B5605" i="1"/>
  <c r="A5605" i="1"/>
  <c r="B5604" i="1"/>
  <c r="A5604" i="1"/>
  <c r="A5603" i="1"/>
  <c r="A5602" i="1"/>
  <c r="A5601" i="1"/>
  <c r="B5600" i="1"/>
  <c r="A5600" i="1"/>
  <c r="B5599" i="1"/>
  <c r="A5599" i="1"/>
  <c r="B5598" i="1"/>
  <c r="A5598" i="1"/>
  <c r="B5597" i="1"/>
  <c r="A5597" i="1"/>
  <c r="A5596" i="1"/>
  <c r="A5595" i="1"/>
  <c r="B5594" i="1"/>
  <c r="A5594" i="1"/>
  <c r="B5593" i="1"/>
  <c r="A5593" i="1"/>
  <c r="B5592" i="1"/>
  <c r="A5592" i="1"/>
  <c r="B5591" i="1"/>
  <c r="A5591" i="1"/>
  <c r="B5590" i="1"/>
  <c r="A5590" i="1"/>
  <c r="A5589" i="1"/>
  <c r="B5588" i="1"/>
  <c r="A5588" i="1"/>
  <c r="B5587" i="1"/>
  <c r="A5587" i="1"/>
  <c r="A5586" i="1"/>
  <c r="B5585" i="1"/>
  <c r="A5585" i="1"/>
  <c r="A5584" i="1"/>
  <c r="B5583" i="1"/>
  <c r="A5583" i="1"/>
  <c r="B5582" i="1"/>
  <c r="A5582" i="1"/>
  <c r="B5581" i="1"/>
  <c r="A5581" i="1"/>
  <c r="A5580" i="1"/>
  <c r="B5579" i="1"/>
  <c r="A5579" i="1"/>
  <c r="B5578" i="1"/>
  <c r="A5578" i="1"/>
  <c r="B5577" i="1"/>
  <c r="A5577" i="1"/>
  <c r="A5576" i="1"/>
  <c r="B5575" i="1"/>
  <c r="A5575" i="1"/>
  <c r="A5574" i="1"/>
  <c r="A5573" i="1"/>
  <c r="B5572" i="1"/>
  <c r="A5572" i="1"/>
  <c r="B5571" i="1"/>
  <c r="A5571" i="1"/>
  <c r="B5570" i="1"/>
  <c r="A5570" i="1"/>
  <c r="B5569" i="1"/>
  <c r="A5569" i="1"/>
  <c r="B5568" i="1"/>
  <c r="A5568" i="1"/>
  <c r="B5567" i="1"/>
  <c r="A5567" i="1"/>
  <c r="B5566" i="1"/>
  <c r="A5566" i="1"/>
  <c r="B5565" i="1"/>
  <c r="A5565" i="1"/>
  <c r="B5564" i="1"/>
  <c r="A5564" i="1"/>
  <c r="B5563" i="1"/>
  <c r="A5563" i="1"/>
  <c r="A5562" i="1"/>
  <c r="B5561" i="1"/>
  <c r="A5561" i="1"/>
  <c r="A5560" i="1"/>
  <c r="B5559" i="1"/>
  <c r="A5559" i="1"/>
  <c r="A5558" i="1"/>
  <c r="A5557" i="1"/>
  <c r="B5556" i="1"/>
  <c r="A5556" i="1"/>
  <c r="B5555" i="1"/>
  <c r="A5555" i="1"/>
  <c r="B5554" i="1"/>
  <c r="A5554" i="1"/>
  <c r="A5553" i="1"/>
  <c r="B5552" i="1"/>
  <c r="A5552" i="1"/>
  <c r="A5551" i="1"/>
  <c r="B5550" i="1"/>
  <c r="A5550" i="1"/>
  <c r="A5549" i="1"/>
  <c r="B5548" i="1"/>
  <c r="A5548" i="1"/>
  <c r="B5547" i="1"/>
  <c r="A5547" i="1"/>
  <c r="B5546" i="1"/>
  <c r="A5546" i="1"/>
  <c r="B5545" i="1"/>
  <c r="A5545" i="1"/>
  <c r="B5544" i="1"/>
  <c r="A5544" i="1"/>
  <c r="B5543" i="1"/>
  <c r="A5543" i="1"/>
  <c r="B5542" i="1"/>
  <c r="A5542" i="1"/>
  <c r="B5541" i="1"/>
  <c r="A5541" i="1"/>
  <c r="B5540" i="1"/>
  <c r="A5540" i="1"/>
  <c r="B5539" i="1"/>
  <c r="A5539" i="1"/>
  <c r="B5538" i="1"/>
  <c r="A5538" i="1"/>
  <c r="B5537" i="1"/>
  <c r="A5537" i="1"/>
  <c r="B5536" i="1"/>
  <c r="A5536" i="1"/>
  <c r="A5535" i="1"/>
  <c r="B5534" i="1"/>
  <c r="A5534" i="1"/>
  <c r="A5533" i="1"/>
  <c r="B5532" i="1"/>
  <c r="A5532" i="1"/>
  <c r="B5531" i="1"/>
  <c r="A5531" i="1"/>
  <c r="B5530" i="1"/>
  <c r="A5530" i="1"/>
  <c r="B5529" i="1"/>
  <c r="A5529" i="1"/>
  <c r="B5528" i="1"/>
  <c r="A5528" i="1"/>
  <c r="A5527" i="1"/>
  <c r="B5526" i="1"/>
  <c r="A5526" i="1"/>
  <c r="B5525" i="1"/>
  <c r="A5525" i="1"/>
  <c r="B5524" i="1"/>
  <c r="A5524" i="1"/>
  <c r="B5523" i="1"/>
  <c r="A5523" i="1"/>
  <c r="B5522" i="1"/>
  <c r="A5522" i="1"/>
  <c r="B5521" i="1"/>
  <c r="A5521" i="1"/>
  <c r="A5520" i="1"/>
  <c r="B5519" i="1"/>
  <c r="A5519" i="1"/>
  <c r="A5518" i="1"/>
  <c r="A5517" i="1"/>
  <c r="B5516" i="1"/>
  <c r="A5516" i="1"/>
  <c r="A5515" i="1"/>
  <c r="B5514" i="1"/>
  <c r="A5514" i="1"/>
  <c r="B5513" i="1"/>
  <c r="A5513" i="1"/>
  <c r="A5512" i="1"/>
  <c r="B5511" i="1"/>
  <c r="A5511" i="1"/>
  <c r="B5510" i="1"/>
  <c r="A5510" i="1"/>
  <c r="B5509" i="1"/>
  <c r="A5509" i="1"/>
  <c r="A5508" i="1"/>
  <c r="B5507" i="1"/>
  <c r="A5507" i="1"/>
  <c r="A5506" i="1"/>
  <c r="B5505" i="1"/>
  <c r="A5505" i="1"/>
  <c r="B5504" i="1"/>
  <c r="A5504" i="1"/>
  <c r="B5503" i="1"/>
  <c r="A5503" i="1"/>
  <c r="B5502" i="1"/>
  <c r="A5502" i="1"/>
  <c r="A5501" i="1"/>
  <c r="B5500" i="1"/>
  <c r="A5500" i="1"/>
  <c r="B5499" i="1"/>
  <c r="A5499" i="1"/>
  <c r="B5498" i="1"/>
  <c r="A5498" i="1"/>
  <c r="B5497" i="1"/>
  <c r="A5497" i="1"/>
  <c r="A5496" i="1"/>
  <c r="B5495" i="1"/>
  <c r="A5495" i="1"/>
  <c r="B5494" i="1"/>
  <c r="A5494" i="1"/>
  <c r="B5493" i="1"/>
  <c r="A5493" i="1"/>
  <c r="B5492" i="1"/>
  <c r="A5492" i="1"/>
  <c r="B5491" i="1"/>
  <c r="A5491" i="1"/>
  <c r="A5490" i="1"/>
  <c r="B5489" i="1"/>
  <c r="A5489" i="1"/>
  <c r="B5488" i="1"/>
  <c r="A5488" i="1"/>
  <c r="B5487" i="1"/>
  <c r="A5487" i="1"/>
  <c r="A5486" i="1"/>
  <c r="B5485" i="1"/>
  <c r="A5485" i="1"/>
  <c r="B5484" i="1"/>
  <c r="A5484" i="1"/>
  <c r="B5483" i="1"/>
  <c r="A5483" i="1"/>
  <c r="B5482" i="1"/>
  <c r="A5482" i="1"/>
  <c r="B5481" i="1"/>
  <c r="A5481" i="1"/>
  <c r="B5480" i="1"/>
  <c r="A5480" i="1"/>
  <c r="B5479" i="1"/>
  <c r="A5479" i="1"/>
  <c r="B5478" i="1"/>
  <c r="A5478" i="1"/>
  <c r="B5477" i="1"/>
  <c r="A5477" i="1"/>
  <c r="A5476" i="1"/>
  <c r="B5475" i="1"/>
  <c r="A5475" i="1"/>
  <c r="B5474" i="1"/>
  <c r="A5474" i="1"/>
  <c r="B5473" i="1"/>
  <c r="A5473" i="1"/>
  <c r="B5472" i="1"/>
  <c r="A5472" i="1"/>
  <c r="B5471" i="1"/>
  <c r="A5471" i="1"/>
  <c r="B5470" i="1"/>
  <c r="A5470" i="1"/>
  <c r="A5469" i="1"/>
  <c r="B5468" i="1"/>
  <c r="A5468" i="1"/>
  <c r="B5467" i="1"/>
  <c r="A5467" i="1"/>
  <c r="A5466" i="1"/>
  <c r="B5465" i="1"/>
  <c r="A5465" i="1"/>
  <c r="A5464" i="1"/>
  <c r="B5463" i="1"/>
  <c r="A5463" i="1"/>
  <c r="B5462" i="1"/>
  <c r="A5462" i="1"/>
  <c r="B5461" i="1"/>
  <c r="A5461" i="1"/>
  <c r="B5460" i="1"/>
  <c r="A5460" i="1"/>
  <c r="B5459" i="1"/>
  <c r="A5459" i="1"/>
  <c r="B5458" i="1"/>
  <c r="A5458" i="1"/>
  <c r="A5457" i="1"/>
  <c r="B5456" i="1"/>
  <c r="A5456" i="1"/>
  <c r="B5455" i="1"/>
  <c r="A5455" i="1"/>
  <c r="B5454" i="1"/>
  <c r="A5454" i="1"/>
  <c r="B5453" i="1"/>
  <c r="A5453" i="1"/>
  <c r="B5452" i="1"/>
  <c r="A5452" i="1"/>
  <c r="B5451" i="1"/>
  <c r="A5451" i="1"/>
  <c r="B5450" i="1"/>
  <c r="A5450" i="1"/>
  <c r="B5449" i="1"/>
  <c r="A5449" i="1"/>
  <c r="B5448" i="1"/>
  <c r="A5448" i="1"/>
  <c r="B5447" i="1"/>
  <c r="A5447" i="1"/>
  <c r="A5446" i="1"/>
  <c r="B5445" i="1"/>
  <c r="A5445" i="1"/>
  <c r="B5444" i="1"/>
  <c r="A5444" i="1"/>
  <c r="A5443" i="1"/>
  <c r="B5442" i="1"/>
  <c r="A5442" i="1"/>
  <c r="B5441" i="1"/>
  <c r="A5441" i="1"/>
  <c r="B5440" i="1"/>
  <c r="A5440" i="1"/>
  <c r="A5439" i="1"/>
  <c r="A5438" i="1"/>
  <c r="B5437" i="1"/>
  <c r="A5437" i="1"/>
  <c r="A5436" i="1"/>
  <c r="B5435" i="1"/>
  <c r="A5435" i="1"/>
  <c r="A5434" i="1"/>
  <c r="B5433" i="1"/>
  <c r="A5433" i="1"/>
  <c r="B5432" i="1"/>
  <c r="A5432" i="1"/>
  <c r="B5431" i="1"/>
  <c r="A5431" i="1"/>
  <c r="B5430" i="1"/>
  <c r="A5430" i="1"/>
  <c r="A5429" i="1"/>
  <c r="A5428" i="1"/>
  <c r="B5427" i="1"/>
  <c r="A5427" i="1"/>
  <c r="B5426" i="1"/>
  <c r="A5426" i="1"/>
  <c r="A5425" i="1"/>
  <c r="B5424" i="1"/>
  <c r="A5424" i="1"/>
  <c r="B5423" i="1"/>
  <c r="A5423" i="1"/>
  <c r="B5422" i="1"/>
  <c r="A5422" i="1"/>
  <c r="B5421" i="1"/>
  <c r="A5421" i="1"/>
  <c r="B5420" i="1"/>
  <c r="A5420" i="1"/>
  <c r="B5419" i="1"/>
  <c r="A5419" i="1"/>
  <c r="B5418" i="1"/>
  <c r="A5418" i="1"/>
  <c r="B5417" i="1"/>
  <c r="A5417" i="1"/>
  <c r="A5416" i="1"/>
  <c r="B5415" i="1"/>
  <c r="A5415" i="1"/>
  <c r="B5414" i="1"/>
  <c r="A5414" i="1"/>
  <c r="A5413" i="1"/>
  <c r="B5412" i="1"/>
  <c r="A5412" i="1"/>
  <c r="B5411" i="1"/>
  <c r="A5411" i="1"/>
  <c r="B5410" i="1"/>
  <c r="A5410" i="1"/>
  <c r="B5409" i="1"/>
  <c r="A5409" i="1"/>
  <c r="B5408" i="1"/>
  <c r="A5408" i="1"/>
  <c r="B5407" i="1"/>
  <c r="A5407" i="1"/>
  <c r="B5406" i="1"/>
  <c r="A5406" i="1"/>
  <c r="A5405" i="1"/>
  <c r="B5404" i="1"/>
  <c r="A5404" i="1"/>
  <c r="A5403" i="1"/>
  <c r="B5402" i="1"/>
  <c r="A5402" i="1"/>
  <c r="B5401" i="1"/>
  <c r="A5401" i="1"/>
  <c r="B5400" i="1"/>
  <c r="A5400" i="1"/>
  <c r="B5399" i="1"/>
  <c r="A5399" i="1"/>
  <c r="A5398" i="1"/>
  <c r="B5397" i="1"/>
  <c r="A5397" i="1"/>
  <c r="A5396" i="1"/>
  <c r="B5395" i="1"/>
  <c r="A5395" i="1"/>
  <c r="B5394" i="1"/>
  <c r="A5394" i="1"/>
  <c r="B5393" i="1"/>
  <c r="A5393" i="1"/>
  <c r="A5392" i="1"/>
  <c r="B5391" i="1"/>
  <c r="A5391" i="1"/>
  <c r="B5390" i="1"/>
  <c r="A5390" i="1"/>
  <c r="B5389" i="1"/>
  <c r="A5389" i="1"/>
  <c r="B5388" i="1"/>
  <c r="A5388" i="1"/>
  <c r="B5387" i="1"/>
  <c r="A5387" i="1"/>
  <c r="B5386" i="1"/>
  <c r="A5386" i="1"/>
  <c r="A5385" i="1"/>
  <c r="A5384" i="1"/>
  <c r="B5383" i="1"/>
  <c r="A5383" i="1"/>
  <c r="B5382" i="1"/>
  <c r="A5382" i="1"/>
  <c r="A5381" i="1"/>
  <c r="A5380" i="1"/>
  <c r="B5379" i="1"/>
  <c r="A5379" i="1"/>
  <c r="B5378" i="1"/>
  <c r="A5378" i="1"/>
  <c r="B5377" i="1"/>
  <c r="A5377" i="1"/>
  <c r="B5376" i="1"/>
  <c r="A5376" i="1"/>
  <c r="A5375" i="1"/>
  <c r="B5374" i="1"/>
  <c r="A5374" i="1"/>
  <c r="A5373" i="1"/>
  <c r="B5372" i="1"/>
  <c r="A5372" i="1"/>
  <c r="B5371" i="1"/>
  <c r="A5371" i="1"/>
  <c r="B5370" i="1"/>
  <c r="A5370" i="1"/>
  <c r="A5369" i="1"/>
  <c r="A5368" i="1"/>
  <c r="A5367" i="1"/>
  <c r="B5366" i="1"/>
  <c r="A5366" i="1"/>
  <c r="A5365" i="1"/>
  <c r="A5364" i="1"/>
  <c r="B5363" i="1"/>
  <c r="A5363" i="1"/>
  <c r="B5362" i="1"/>
  <c r="A5362" i="1"/>
  <c r="B5361" i="1"/>
  <c r="A5361" i="1"/>
  <c r="B5360" i="1"/>
  <c r="A5360" i="1"/>
  <c r="B5359" i="1"/>
  <c r="A5359" i="1"/>
  <c r="B5358" i="1"/>
  <c r="A5358" i="1"/>
  <c r="B5357" i="1"/>
  <c r="A5357" i="1"/>
  <c r="B5356" i="1"/>
  <c r="A5356" i="1"/>
  <c r="B5355" i="1"/>
  <c r="A5355" i="1"/>
  <c r="B5354" i="1"/>
  <c r="A5354" i="1"/>
  <c r="B5353" i="1"/>
  <c r="A5353" i="1"/>
  <c r="B5352" i="1"/>
  <c r="A5352" i="1"/>
  <c r="B5351" i="1"/>
  <c r="A5351" i="1"/>
  <c r="B5350" i="1"/>
  <c r="A5350" i="1"/>
  <c r="B5349" i="1"/>
  <c r="A5349" i="1"/>
  <c r="A5348" i="1"/>
  <c r="B5347" i="1"/>
  <c r="A5347" i="1"/>
  <c r="B5346" i="1"/>
  <c r="A5346" i="1"/>
  <c r="A5345" i="1"/>
  <c r="B5344" i="1"/>
  <c r="A5344" i="1"/>
  <c r="A5343" i="1"/>
  <c r="A5342" i="1"/>
  <c r="B5341" i="1"/>
  <c r="A5341" i="1"/>
  <c r="B5340" i="1"/>
  <c r="A5340" i="1"/>
  <c r="B5339" i="1"/>
  <c r="A5339" i="1"/>
  <c r="B5338" i="1"/>
  <c r="A5338" i="1"/>
  <c r="B5337" i="1"/>
  <c r="A5337" i="1"/>
  <c r="A5336" i="1"/>
  <c r="B5335" i="1"/>
  <c r="A5335" i="1"/>
  <c r="B5334" i="1"/>
  <c r="A5334" i="1"/>
  <c r="B5333" i="1"/>
  <c r="A5333" i="1"/>
  <c r="B5332" i="1"/>
  <c r="A5332" i="1"/>
  <c r="B5331" i="1"/>
  <c r="A5331" i="1"/>
  <c r="B5330" i="1"/>
  <c r="A5330" i="1"/>
  <c r="A5329" i="1"/>
  <c r="B5328" i="1"/>
  <c r="A5328" i="1"/>
  <c r="A5327" i="1"/>
  <c r="A5326" i="1"/>
  <c r="B5325" i="1"/>
  <c r="A5325" i="1"/>
  <c r="B5324" i="1"/>
  <c r="A5324" i="1"/>
  <c r="B5323" i="1"/>
  <c r="A5323" i="1"/>
  <c r="B5322" i="1"/>
  <c r="A5322" i="1"/>
  <c r="B5321" i="1"/>
  <c r="A5321" i="1"/>
  <c r="B5320" i="1"/>
  <c r="A5320" i="1"/>
  <c r="B5319" i="1"/>
  <c r="A5319" i="1"/>
  <c r="B5318" i="1"/>
  <c r="A5318" i="1"/>
  <c r="B5317" i="1"/>
  <c r="A5317" i="1"/>
  <c r="A5316" i="1"/>
  <c r="B5315" i="1"/>
  <c r="A5315" i="1"/>
  <c r="A5314" i="1"/>
  <c r="B5313" i="1"/>
  <c r="A5313" i="1"/>
  <c r="B5312" i="1"/>
  <c r="A5312" i="1"/>
  <c r="A5311" i="1"/>
  <c r="A5310" i="1"/>
  <c r="B5309" i="1"/>
  <c r="A5309" i="1"/>
  <c r="B5308" i="1"/>
  <c r="A5308" i="1"/>
  <c r="B5307" i="1"/>
  <c r="A5307" i="1"/>
  <c r="B5306" i="1"/>
  <c r="A5306" i="1"/>
  <c r="B5305" i="1"/>
  <c r="A5305" i="1"/>
  <c r="B5304" i="1"/>
  <c r="A5304" i="1"/>
  <c r="B5303" i="1"/>
  <c r="A5303" i="1"/>
  <c r="B5302" i="1"/>
  <c r="A5302" i="1"/>
  <c r="B5301" i="1"/>
  <c r="A5301" i="1"/>
  <c r="B5300" i="1"/>
  <c r="A5300" i="1"/>
  <c r="B5299" i="1"/>
  <c r="A5299" i="1"/>
  <c r="B5298" i="1"/>
  <c r="A5298" i="1"/>
  <c r="B5297" i="1"/>
  <c r="A5297" i="1"/>
  <c r="B5296" i="1"/>
  <c r="A5296" i="1"/>
  <c r="B5295" i="1"/>
  <c r="A5295" i="1"/>
  <c r="B5294" i="1"/>
  <c r="A5294" i="1"/>
  <c r="B5293" i="1"/>
  <c r="A5293" i="1"/>
  <c r="B5292" i="1"/>
  <c r="A5292" i="1"/>
  <c r="B5291" i="1"/>
  <c r="A5291" i="1"/>
  <c r="A5290" i="1"/>
  <c r="B5289" i="1"/>
  <c r="A5289" i="1"/>
  <c r="B5288" i="1"/>
  <c r="A5288" i="1"/>
  <c r="A5287" i="1"/>
  <c r="B5286" i="1"/>
  <c r="A5286" i="1"/>
  <c r="B5285" i="1"/>
  <c r="A5285" i="1"/>
  <c r="A5284" i="1"/>
  <c r="B5283" i="1"/>
  <c r="A5283" i="1"/>
  <c r="B5282" i="1"/>
  <c r="A5282" i="1"/>
  <c r="A5281" i="1"/>
  <c r="B5280" i="1"/>
  <c r="A5280" i="1"/>
  <c r="B5279" i="1"/>
  <c r="A5279" i="1"/>
  <c r="B5278" i="1"/>
  <c r="A5278" i="1"/>
  <c r="B5277" i="1"/>
  <c r="A5277" i="1"/>
  <c r="B5276" i="1"/>
  <c r="A5276" i="1"/>
  <c r="B5275" i="1"/>
  <c r="A5275" i="1"/>
  <c r="B5274" i="1"/>
  <c r="A5274" i="1"/>
  <c r="B5273" i="1"/>
  <c r="A5273" i="1"/>
  <c r="B5272" i="1"/>
  <c r="A5272" i="1"/>
  <c r="A5271" i="1"/>
  <c r="B5270" i="1"/>
  <c r="A5270" i="1"/>
  <c r="B5269" i="1"/>
  <c r="A5269" i="1"/>
  <c r="A5268" i="1"/>
  <c r="B5267" i="1"/>
  <c r="A5267" i="1"/>
  <c r="B5266" i="1"/>
  <c r="A5266" i="1"/>
  <c r="A5265" i="1"/>
  <c r="B5264" i="1"/>
  <c r="A5264" i="1"/>
  <c r="B5263" i="1"/>
  <c r="A5263" i="1"/>
  <c r="B5262" i="1"/>
  <c r="A5262" i="1"/>
  <c r="B5261" i="1"/>
  <c r="A5261" i="1"/>
  <c r="A5260" i="1"/>
  <c r="B5259" i="1"/>
  <c r="A5259" i="1"/>
  <c r="B5258" i="1"/>
  <c r="A5258" i="1"/>
  <c r="A5257" i="1"/>
  <c r="B5256" i="1"/>
  <c r="A5256" i="1"/>
  <c r="B5255" i="1"/>
  <c r="A5255" i="1"/>
  <c r="A5254" i="1"/>
  <c r="B5253" i="1"/>
  <c r="A5253" i="1"/>
  <c r="B5252" i="1"/>
  <c r="A5252" i="1"/>
  <c r="B5251" i="1"/>
  <c r="A5251" i="1"/>
  <c r="B5250" i="1"/>
  <c r="A5250" i="1"/>
  <c r="B5249" i="1"/>
  <c r="A5249" i="1"/>
  <c r="A5248" i="1"/>
  <c r="B5247" i="1"/>
  <c r="A5247" i="1"/>
  <c r="B5246" i="1"/>
  <c r="A5246" i="1"/>
  <c r="B5245" i="1"/>
  <c r="A5245" i="1"/>
  <c r="B5244" i="1"/>
  <c r="A5244" i="1"/>
  <c r="A5243" i="1"/>
  <c r="B5242" i="1"/>
  <c r="A5242" i="1"/>
  <c r="B5241" i="1"/>
  <c r="A5241" i="1"/>
  <c r="B5240" i="1"/>
  <c r="A5240" i="1"/>
  <c r="B5239" i="1"/>
  <c r="A5239" i="1"/>
  <c r="B5238" i="1"/>
  <c r="A5238" i="1"/>
  <c r="B5237" i="1"/>
  <c r="A5237" i="1"/>
  <c r="B5236" i="1"/>
  <c r="A5236" i="1"/>
  <c r="B5235" i="1"/>
  <c r="A5235" i="1"/>
  <c r="B5234" i="1"/>
  <c r="A5234" i="1"/>
  <c r="B5233" i="1"/>
  <c r="A5233" i="1"/>
  <c r="B5232" i="1"/>
  <c r="A5232" i="1"/>
  <c r="B5231" i="1"/>
  <c r="A5231" i="1"/>
  <c r="A5230" i="1"/>
  <c r="A5229" i="1"/>
  <c r="B5228" i="1"/>
  <c r="A5228" i="1"/>
  <c r="B5227" i="1"/>
  <c r="A5227" i="1"/>
  <c r="B5226" i="1"/>
  <c r="A5226" i="1"/>
  <c r="B5225" i="1"/>
  <c r="A5225" i="1"/>
  <c r="B5224" i="1"/>
  <c r="A5224" i="1"/>
  <c r="A5223" i="1"/>
  <c r="B5222" i="1"/>
  <c r="A5222" i="1"/>
  <c r="B5221" i="1"/>
  <c r="A5221" i="1"/>
  <c r="B5220" i="1"/>
  <c r="A5220" i="1"/>
  <c r="B5219" i="1"/>
  <c r="A5219" i="1"/>
  <c r="B5218" i="1"/>
  <c r="A5218" i="1"/>
  <c r="A5217" i="1"/>
  <c r="B5216" i="1"/>
  <c r="A5216" i="1"/>
  <c r="A5215" i="1"/>
  <c r="A5214" i="1"/>
  <c r="B5213" i="1"/>
  <c r="A5213" i="1"/>
  <c r="B5212" i="1"/>
  <c r="A5212" i="1"/>
  <c r="A5211" i="1"/>
  <c r="B5210" i="1"/>
  <c r="A5210" i="1"/>
  <c r="B5209" i="1"/>
  <c r="A5209" i="1"/>
  <c r="B5208" i="1"/>
  <c r="A5208" i="1"/>
  <c r="B5207" i="1"/>
  <c r="A5207" i="1"/>
  <c r="B5206" i="1"/>
  <c r="A5206" i="1"/>
  <c r="B5205" i="1"/>
  <c r="A5205" i="1"/>
  <c r="B5204" i="1"/>
  <c r="A5204" i="1"/>
  <c r="B5203" i="1"/>
  <c r="A5203" i="1"/>
  <c r="B5202" i="1"/>
  <c r="A5202" i="1"/>
  <c r="B5201" i="1"/>
  <c r="A5201" i="1"/>
  <c r="B5200" i="1"/>
  <c r="A5200" i="1"/>
  <c r="A5199" i="1"/>
  <c r="B5198" i="1"/>
  <c r="A5198" i="1"/>
  <c r="B5197" i="1"/>
  <c r="A5197" i="1"/>
  <c r="B5196" i="1"/>
  <c r="A5196" i="1"/>
  <c r="A5195" i="1"/>
  <c r="B5194" i="1"/>
  <c r="A5194" i="1"/>
  <c r="B5193" i="1"/>
  <c r="A5193" i="1"/>
  <c r="B5192" i="1"/>
  <c r="A5192" i="1"/>
  <c r="B5191" i="1"/>
  <c r="A5191" i="1"/>
  <c r="B5190" i="1"/>
  <c r="A5190" i="1"/>
  <c r="A5189" i="1"/>
  <c r="B5188" i="1"/>
  <c r="A5188" i="1"/>
  <c r="B5187" i="1"/>
  <c r="A5187" i="1"/>
  <c r="B5186" i="1"/>
  <c r="A5186" i="1"/>
  <c r="B5185" i="1"/>
  <c r="A5185" i="1"/>
  <c r="A5184" i="1"/>
  <c r="B5183" i="1"/>
  <c r="A5183" i="1"/>
  <c r="A5182" i="1"/>
  <c r="B5181" i="1"/>
  <c r="A5181" i="1"/>
  <c r="B5180" i="1"/>
  <c r="A5180" i="1"/>
  <c r="B5179" i="1"/>
  <c r="A5179" i="1"/>
  <c r="A5178" i="1"/>
  <c r="B5177" i="1"/>
  <c r="A5177" i="1"/>
  <c r="B5176" i="1"/>
  <c r="A5176" i="1"/>
  <c r="B5175" i="1"/>
  <c r="A5175" i="1"/>
  <c r="B5174" i="1"/>
  <c r="A5174" i="1"/>
  <c r="B5173" i="1"/>
  <c r="A5173" i="1"/>
  <c r="B5172" i="1"/>
  <c r="A5172" i="1"/>
  <c r="B5171" i="1"/>
  <c r="A5171" i="1"/>
  <c r="A5170" i="1"/>
  <c r="B5169" i="1"/>
  <c r="A5169" i="1"/>
  <c r="B5168" i="1"/>
  <c r="A5168" i="1"/>
  <c r="B5167" i="1"/>
  <c r="A5167" i="1"/>
  <c r="B5166" i="1"/>
  <c r="A5166" i="1"/>
  <c r="B5165" i="1"/>
  <c r="A5165" i="1"/>
  <c r="B5164" i="1"/>
  <c r="A5164" i="1"/>
  <c r="B5163" i="1"/>
  <c r="A5163" i="1"/>
  <c r="B5162" i="1"/>
  <c r="A5162" i="1"/>
  <c r="B5161" i="1"/>
  <c r="A5161" i="1"/>
  <c r="B5160" i="1"/>
  <c r="A5160" i="1"/>
  <c r="A5159" i="1"/>
  <c r="B5158" i="1"/>
  <c r="A5158" i="1"/>
  <c r="A5157" i="1"/>
  <c r="B5156" i="1"/>
  <c r="A5156" i="1"/>
  <c r="A5155" i="1"/>
  <c r="B5154" i="1"/>
  <c r="A5154" i="1"/>
  <c r="B5153" i="1"/>
  <c r="A5153" i="1"/>
  <c r="B5152" i="1"/>
  <c r="A5152" i="1"/>
  <c r="A5151" i="1"/>
  <c r="B5150" i="1"/>
  <c r="A5150" i="1"/>
  <c r="B5149" i="1"/>
  <c r="A5149" i="1"/>
  <c r="B5148" i="1"/>
  <c r="A5148" i="1"/>
  <c r="A5147" i="1"/>
  <c r="B5146" i="1"/>
  <c r="A5146" i="1"/>
  <c r="B5145" i="1"/>
  <c r="A5145" i="1"/>
  <c r="B5144" i="1"/>
  <c r="A5144" i="1"/>
  <c r="B5143" i="1"/>
  <c r="A5143" i="1"/>
  <c r="B5142" i="1"/>
  <c r="A5142" i="1"/>
  <c r="B5141" i="1"/>
  <c r="A5141" i="1"/>
  <c r="B5140" i="1"/>
  <c r="A5140" i="1"/>
  <c r="B5139" i="1"/>
  <c r="A5139" i="1"/>
  <c r="B5138" i="1"/>
  <c r="A5138" i="1"/>
  <c r="B5137" i="1"/>
  <c r="A5137" i="1"/>
  <c r="B5136" i="1"/>
  <c r="A5136" i="1"/>
  <c r="B5135" i="1"/>
  <c r="A5135" i="1"/>
  <c r="B5134" i="1"/>
  <c r="A5134" i="1"/>
  <c r="B5133" i="1"/>
  <c r="A5133" i="1"/>
  <c r="A5132" i="1"/>
  <c r="B5131" i="1"/>
  <c r="A5131" i="1"/>
  <c r="A5130" i="1"/>
  <c r="A5129" i="1"/>
  <c r="A5128" i="1"/>
  <c r="A5127" i="1"/>
  <c r="A5126" i="1"/>
  <c r="B5125" i="1"/>
  <c r="A5125" i="1"/>
  <c r="B5124" i="1"/>
  <c r="A5124" i="1"/>
  <c r="B5123" i="1"/>
  <c r="A5123" i="1"/>
  <c r="B5122" i="1"/>
  <c r="A5122" i="1"/>
  <c r="B5121" i="1"/>
  <c r="A5121" i="1"/>
  <c r="B5120" i="1"/>
  <c r="A5120" i="1"/>
  <c r="A5119" i="1"/>
  <c r="B5118" i="1"/>
  <c r="A5118" i="1"/>
  <c r="B5117" i="1"/>
  <c r="A5117" i="1"/>
  <c r="B5116" i="1"/>
  <c r="A5116" i="1"/>
  <c r="B5115" i="1"/>
  <c r="A5115" i="1"/>
  <c r="B5114" i="1"/>
  <c r="A5114" i="1"/>
  <c r="B5113" i="1"/>
  <c r="A5113" i="1"/>
  <c r="B5112" i="1"/>
  <c r="A5112" i="1"/>
  <c r="B5111" i="1"/>
  <c r="A5111" i="1"/>
  <c r="B5110" i="1"/>
  <c r="A5110" i="1"/>
  <c r="B5109" i="1"/>
  <c r="A5109" i="1"/>
  <c r="B5108" i="1"/>
  <c r="A5108" i="1"/>
  <c r="B5107" i="1"/>
  <c r="A5107" i="1"/>
  <c r="B5106" i="1"/>
  <c r="A5106" i="1"/>
  <c r="B5105" i="1"/>
  <c r="A5105" i="1"/>
  <c r="B5104" i="1"/>
  <c r="A5104" i="1"/>
  <c r="B5103" i="1"/>
  <c r="A5103" i="1"/>
  <c r="B5102" i="1"/>
  <c r="A5102" i="1"/>
  <c r="A5101" i="1"/>
  <c r="A5100" i="1"/>
  <c r="A5099" i="1"/>
  <c r="B5098" i="1"/>
  <c r="A5098" i="1"/>
  <c r="B5097" i="1"/>
  <c r="A5097" i="1"/>
  <c r="B5096" i="1"/>
  <c r="A5096" i="1"/>
  <c r="B5095" i="1"/>
  <c r="A5095" i="1"/>
  <c r="B5094" i="1"/>
  <c r="A5094" i="1"/>
  <c r="A5093" i="1"/>
  <c r="B5092" i="1"/>
  <c r="A5092" i="1"/>
  <c r="B5091" i="1"/>
  <c r="A5091" i="1"/>
  <c r="B5090" i="1"/>
  <c r="A5090" i="1"/>
  <c r="A5089" i="1"/>
  <c r="B5088" i="1"/>
  <c r="A5088" i="1"/>
  <c r="B5087" i="1"/>
  <c r="A5087" i="1"/>
  <c r="B5086" i="1"/>
  <c r="A5086" i="1"/>
  <c r="A5085" i="1"/>
  <c r="B5084" i="1"/>
  <c r="A5084" i="1"/>
  <c r="B5083" i="1"/>
  <c r="A5083" i="1"/>
  <c r="B5082" i="1"/>
  <c r="A5082" i="1"/>
  <c r="A5081" i="1"/>
  <c r="A5080" i="1"/>
  <c r="A5079" i="1"/>
  <c r="B5078" i="1"/>
  <c r="A5078" i="1"/>
  <c r="A5077" i="1"/>
  <c r="B5076" i="1"/>
  <c r="A5076" i="1"/>
  <c r="B5075" i="1"/>
  <c r="A5075" i="1"/>
  <c r="B5074" i="1"/>
  <c r="A5074" i="1"/>
  <c r="A5073" i="1"/>
  <c r="B5072" i="1"/>
  <c r="A5072" i="1"/>
  <c r="B5071" i="1"/>
  <c r="A5071" i="1"/>
  <c r="B5070" i="1"/>
  <c r="A5070" i="1"/>
  <c r="A5069" i="1"/>
  <c r="A5068" i="1"/>
  <c r="B5067" i="1"/>
  <c r="A5067" i="1"/>
  <c r="A5066" i="1"/>
  <c r="B5065" i="1"/>
  <c r="A5065" i="1"/>
  <c r="B5064" i="1"/>
  <c r="A5064" i="1"/>
  <c r="B5063" i="1"/>
  <c r="A5063" i="1"/>
  <c r="B5062" i="1"/>
  <c r="A5062" i="1"/>
  <c r="B5061" i="1"/>
  <c r="A5061" i="1"/>
  <c r="A5060" i="1"/>
  <c r="B5059" i="1"/>
  <c r="A5059" i="1"/>
  <c r="A5058" i="1"/>
  <c r="B5057" i="1"/>
  <c r="A5057" i="1"/>
  <c r="B5056" i="1"/>
  <c r="A5056" i="1"/>
  <c r="B5055" i="1"/>
  <c r="A5055" i="1"/>
  <c r="B5054" i="1"/>
  <c r="A5054" i="1"/>
  <c r="B5053" i="1"/>
  <c r="A5053" i="1"/>
  <c r="B5052" i="1"/>
  <c r="A5052" i="1"/>
  <c r="B5051" i="1"/>
  <c r="A5051" i="1"/>
  <c r="B5050" i="1"/>
  <c r="A5050" i="1"/>
  <c r="B5049" i="1"/>
  <c r="A5049" i="1"/>
  <c r="B5048" i="1"/>
  <c r="A5048" i="1"/>
  <c r="B5047" i="1"/>
  <c r="A5047" i="1"/>
  <c r="B5046" i="1"/>
  <c r="A5046" i="1"/>
  <c r="B5045" i="1"/>
  <c r="A5045" i="1"/>
  <c r="B5044" i="1"/>
  <c r="A5044" i="1"/>
  <c r="A5043" i="1"/>
  <c r="B5042" i="1"/>
  <c r="A5042" i="1"/>
  <c r="B5041" i="1"/>
  <c r="A5041" i="1"/>
  <c r="B5040" i="1"/>
  <c r="A5040" i="1"/>
  <c r="B5039" i="1"/>
  <c r="A5039" i="1"/>
  <c r="B5038" i="1"/>
  <c r="A5038" i="1"/>
  <c r="B5037" i="1"/>
  <c r="A5037" i="1"/>
  <c r="A5036" i="1"/>
  <c r="A5035" i="1"/>
  <c r="B5034" i="1"/>
  <c r="A5034" i="1"/>
  <c r="B5033" i="1"/>
  <c r="A5033" i="1"/>
  <c r="B5032" i="1"/>
  <c r="A5032" i="1"/>
  <c r="A5031" i="1"/>
  <c r="B5030" i="1"/>
  <c r="A5030" i="1"/>
  <c r="B5029" i="1"/>
  <c r="A5029" i="1"/>
  <c r="A5028" i="1"/>
  <c r="B5027" i="1"/>
  <c r="A5027" i="1"/>
  <c r="B5026" i="1"/>
  <c r="A5026" i="1"/>
  <c r="A5025" i="1"/>
  <c r="B5024" i="1"/>
  <c r="A5024" i="1"/>
  <c r="B5023" i="1"/>
  <c r="A5023" i="1"/>
  <c r="B5022" i="1"/>
  <c r="A5022" i="1"/>
  <c r="B5021" i="1"/>
  <c r="A5021" i="1"/>
  <c r="B5020" i="1"/>
  <c r="A5020" i="1"/>
  <c r="B5019" i="1"/>
  <c r="A5019" i="1"/>
  <c r="A5018" i="1"/>
  <c r="A5017" i="1"/>
  <c r="B5016" i="1"/>
  <c r="A5016" i="1"/>
  <c r="B5015" i="1"/>
  <c r="A5015" i="1"/>
  <c r="A5014" i="1"/>
  <c r="B5013" i="1"/>
  <c r="A5013" i="1"/>
  <c r="B5012" i="1"/>
  <c r="A5012" i="1"/>
  <c r="B5011" i="1"/>
  <c r="A5011" i="1"/>
  <c r="B5010" i="1"/>
  <c r="A5010" i="1"/>
  <c r="B5009" i="1"/>
  <c r="A5009" i="1"/>
  <c r="A5008" i="1"/>
  <c r="B5007" i="1"/>
  <c r="A5007" i="1"/>
  <c r="B5006" i="1"/>
  <c r="A5006" i="1"/>
  <c r="B5005" i="1"/>
  <c r="A5005" i="1"/>
  <c r="A5004" i="1"/>
  <c r="A5003" i="1"/>
  <c r="B5002" i="1"/>
  <c r="A5002" i="1"/>
  <c r="B5001" i="1"/>
  <c r="A5001" i="1"/>
  <c r="B5000" i="1"/>
  <c r="A5000" i="1"/>
  <c r="A4999" i="1"/>
  <c r="B4998" i="1"/>
  <c r="A4998" i="1"/>
  <c r="B4997" i="1"/>
  <c r="A4997" i="1"/>
  <c r="A4996" i="1"/>
  <c r="B4995" i="1"/>
  <c r="A4995" i="1"/>
  <c r="B4994" i="1"/>
  <c r="A4994" i="1"/>
  <c r="A4993" i="1"/>
  <c r="A4992" i="1"/>
  <c r="B4991" i="1"/>
  <c r="A4991" i="1"/>
  <c r="B4990" i="1"/>
  <c r="A4990" i="1"/>
  <c r="B4989" i="1"/>
  <c r="A4989" i="1"/>
  <c r="A4988" i="1"/>
  <c r="B4987" i="1"/>
  <c r="A4987" i="1"/>
  <c r="A4986" i="1"/>
  <c r="B4985" i="1"/>
  <c r="A4985" i="1"/>
  <c r="A4984" i="1"/>
  <c r="A4983" i="1"/>
  <c r="B4982" i="1"/>
  <c r="A4982" i="1"/>
  <c r="B4981" i="1"/>
  <c r="A4981" i="1"/>
  <c r="A4980" i="1"/>
  <c r="B4979" i="1"/>
  <c r="A4979" i="1"/>
  <c r="B4978" i="1"/>
  <c r="A4978" i="1"/>
  <c r="B4977" i="1"/>
  <c r="A4977" i="1"/>
  <c r="B4976" i="1"/>
  <c r="A4976" i="1"/>
  <c r="B4975" i="1"/>
  <c r="A4975" i="1"/>
  <c r="B4974" i="1"/>
  <c r="A4974" i="1"/>
  <c r="B4973" i="1"/>
  <c r="A4973" i="1"/>
  <c r="B4972" i="1"/>
  <c r="A4972" i="1"/>
  <c r="B4971" i="1"/>
  <c r="A4971" i="1"/>
  <c r="B4970" i="1"/>
  <c r="A4970" i="1"/>
  <c r="B4969" i="1"/>
  <c r="A4969" i="1"/>
  <c r="B4968" i="1"/>
  <c r="A4968" i="1"/>
  <c r="B4967" i="1"/>
  <c r="A4967" i="1"/>
  <c r="B4966" i="1"/>
  <c r="A4966" i="1"/>
  <c r="A4965" i="1"/>
  <c r="A4964" i="1"/>
  <c r="B4963" i="1"/>
  <c r="A4963" i="1"/>
  <c r="B4962" i="1"/>
  <c r="A4962" i="1"/>
  <c r="B4961" i="1"/>
  <c r="A4961" i="1"/>
  <c r="A4960" i="1"/>
  <c r="B4959" i="1"/>
  <c r="A4959" i="1"/>
  <c r="B4958" i="1"/>
  <c r="A4958" i="1"/>
  <c r="B4957" i="1"/>
  <c r="A4957" i="1"/>
  <c r="B4956" i="1"/>
  <c r="A4956" i="1"/>
  <c r="B4955" i="1"/>
  <c r="A4955" i="1"/>
  <c r="B4954" i="1"/>
  <c r="A4954" i="1"/>
  <c r="B4953" i="1"/>
  <c r="A4953" i="1"/>
  <c r="A4952" i="1"/>
  <c r="B4951" i="1"/>
  <c r="A4951" i="1"/>
  <c r="B4950" i="1"/>
  <c r="A4950" i="1"/>
  <c r="B4949" i="1"/>
  <c r="A4949" i="1"/>
  <c r="B4948" i="1"/>
  <c r="A4948" i="1"/>
  <c r="B4947" i="1"/>
  <c r="A4947" i="1"/>
  <c r="B4946" i="1"/>
  <c r="A4946" i="1"/>
  <c r="B4945" i="1"/>
  <c r="A4945" i="1"/>
  <c r="B4944" i="1"/>
  <c r="A4944" i="1"/>
  <c r="B4943" i="1"/>
  <c r="A4943" i="1"/>
  <c r="B4942" i="1"/>
  <c r="A4942" i="1"/>
  <c r="A4941" i="1"/>
  <c r="B4940" i="1"/>
  <c r="A4940" i="1"/>
  <c r="B4939" i="1"/>
  <c r="A4939" i="1"/>
  <c r="A4938" i="1"/>
  <c r="B4937" i="1"/>
  <c r="A4937" i="1"/>
  <c r="B4936" i="1"/>
  <c r="A4936" i="1"/>
  <c r="B4935" i="1"/>
  <c r="A4935" i="1"/>
  <c r="A4934" i="1"/>
  <c r="B4933" i="1"/>
  <c r="A4933" i="1"/>
  <c r="B4932" i="1"/>
  <c r="A4932" i="1"/>
  <c r="B4931" i="1"/>
  <c r="A4931" i="1"/>
  <c r="B4930" i="1"/>
  <c r="A4930" i="1"/>
  <c r="A4929" i="1"/>
  <c r="A4928" i="1"/>
  <c r="B4927" i="1"/>
  <c r="A4927" i="1"/>
  <c r="B4926" i="1"/>
  <c r="A4926" i="1"/>
  <c r="B4925" i="1"/>
  <c r="A4925" i="1"/>
  <c r="B4924" i="1"/>
  <c r="A4924" i="1"/>
  <c r="A4923" i="1"/>
  <c r="B4922" i="1"/>
  <c r="A4922" i="1"/>
  <c r="B4921" i="1"/>
  <c r="A4921" i="1"/>
  <c r="B4920" i="1"/>
  <c r="A4920" i="1"/>
  <c r="A4919" i="1"/>
  <c r="B4918" i="1"/>
  <c r="A4918" i="1"/>
  <c r="B4917" i="1"/>
  <c r="A4917" i="1"/>
  <c r="A4916" i="1"/>
  <c r="B4915" i="1"/>
  <c r="A4915" i="1"/>
  <c r="B4914" i="1"/>
  <c r="A4914" i="1"/>
  <c r="B4913" i="1"/>
  <c r="A4913" i="1"/>
  <c r="B4912" i="1"/>
  <c r="A4912" i="1"/>
  <c r="A4911" i="1"/>
  <c r="B4910" i="1"/>
  <c r="A4910" i="1"/>
  <c r="B4909" i="1"/>
  <c r="A4909" i="1"/>
  <c r="B4908" i="1"/>
  <c r="A4908" i="1"/>
  <c r="B4907" i="1"/>
  <c r="A4907" i="1"/>
  <c r="B4906" i="1"/>
  <c r="A4906" i="1"/>
  <c r="B4905" i="1"/>
  <c r="A4905" i="1"/>
  <c r="B4904" i="1"/>
  <c r="A4904" i="1"/>
  <c r="B4903" i="1"/>
  <c r="A4903" i="1"/>
  <c r="B4902" i="1"/>
  <c r="A4902" i="1"/>
  <c r="A4901" i="1"/>
  <c r="B4900" i="1"/>
  <c r="A4900" i="1"/>
  <c r="B4899" i="1"/>
  <c r="A4899" i="1"/>
  <c r="B4898" i="1"/>
  <c r="A4898" i="1"/>
  <c r="B4897" i="1"/>
  <c r="A4897" i="1"/>
  <c r="B4896" i="1"/>
  <c r="A4896" i="1"/>
  <c r="B4895" i="1"/>
  <c r="A4895" i="1"/>
  <c r="B4894" i="1"/>
  <c r="A4894" i="1"/>
  <c r="B4893" i="1"/>
  <c r="A4893" i="1"/>
  <c r="A4892" i="1"/>
  <c r="B4891" i="1"/>
  <c r="A4891" i="1"/>
  <c r="B4890" i="1"/>
  <c r="A4890" i="1"/>
  <c r="B4889" i="1"/>
  <c r="A4889" i="1"/>
  <c r="B4888" i="1"/>
  <c r="A4888" i="1"/>
  <c r="A4887" i="1"/>
  <c r="B4886" i="1"/>
  <c r="A4886" i="1"/>
  <c r="B4885" i="1"/>
  <c r="A4885" i="1"/>
  <c r="B4884" i="1"/>
  <c r="A4884" i="1"/>
  <c r="B4883" i="1"/>
  <c r="A4883" i="1"/>
  <c r="B4882" i="1"/>
  <c r="A4882" i="1"/>
  <c r="A4881" i="1"/>
  <c r="B4880" i="1"/>
  <c r="A4880" i="1"/>
  <c r="B4879" i="1"/>
  <c r="A4879" i="1"/>
  <c r="B4878" i="1"/>
  <c r="A4878" i="1"/>
  <c r="B4877" i="1"/>
  <c r="A4877" i="1"/>
  <c r="B4876" i="1"/>
  <c r="A4876" i="1"/>
  <c r="B4875" i="1"/>
  <c r="A4875" i="1"/>
  <c r="B4874" i="1"/>
  <c r="A4874" i="1"/>
  <c r="B4873" i="1"/>
  <c r="A4873" i="1"/>
  <c r="B4872" i="1"/>
  <c r="A4872" i="1"/>
  <c r="A4871" i="1"/>
  <c r="B4870" i="1"/>
  <c r="A4870" i="1"/>
  <c r="B4869" i="1"/>
  <c r="A4869" i="1"/>
  <c r="B4868" i="1"/>
  <c r="A4868" i="1"/>
  <c r="B4867" i="1"/>
  <c r="A4867" i="1"/>
  <c r="B4866" i="1"/>
  <c r="A4866" i="1"/>
  <c r="B4865" i="1"/>
  <c r="A4865" i="1"/>
  <c r="B4864" i="1"/>
  <c r="A4864" i="1"/>
  <c r="A4863" i="1"/>
  <c r="A4862" i="1"/>
  <c r="B4861" i="1"/>
  <c r="A4861" i="1"/>
  <c r="B4860" i="1"/>
  <c r="A4860" i="1"/>
  <c r="B4859" i="1"/>
  <c r="A4859" i="1"/>
  <c r="B4858" i="1"/>
  <c r="A4858" i="1"/>
  <c r="B4857" i="1"/>
  <c r="A4857" i="1"/>
  <c r="A4856" i="1"/>
  <c r="A4855" i="1"/>
  <c r="A4854" i="1"/>
  <c r="B4853" i="1"/>
  <c r="A4853" i="1"/>
  <c r="B4852" i="1"/>
  <c r="A4852" i="1"/>
  <c r="A4851" i="1"/>
  <c r="B4850" i="1"/>
  <c r="A4850" i="1"/>
  <c r="B4849" i="1"/>
  <c r="A4849" i="1"/>
  <c r="B4848" i="1"/>
  <c r="A4848" i="1"/>
  <c r="B4847" i="1"/>
  <c r="A4847" i="1"/>
  <c r="B4846" i="1"/>
  <c r="A4846" i="1"/>
  <c r="B4845" i="1"/>
  <c r="A4845" i="1"/>
  <c r="B4844" i="1"/>
  <c r="A4844" i="1"/>
  <c r="B4843" i="1"/>
  <c r="A4843" i="1"/>
  <c r="A4842" i="1"/>
  <c r="B4841" i="1"/>
  <c r="A4841" i="1"/>
  <c r="B4840" i="1"/>
  <c r="A4840" i="1"/>
  <c r="B4839" i="1"/>
  <c r="A4839" i="1"/>
  <c r="B4838" i="1"/>
  <c r="A4838" i="1"/>
  <c r="B4837" i="1"/>
  <c r="A4837" i="1"/>
  <c r="B4836" i="1"/>
  <c r="A4836" i="1"/>
  <c r="B4835" i="1"/>
  <c r="A4835" i="1"/>
  <c r="B4834" i="1"/>
  <c r="A4834" i="1"/>
  <c r="A4833" i="1"/>
  <c r="A4832" i="1"/>
  <c r="A4831" i="1"/>
  <c r="B4830" i="1"/>
  <c r="A4830" i="1"/>
  <c r="B4829" i="1"/>
  <c r="A4829" i="1"/>
  <c r="B4828" i="1"/>
  <c r="A4828" i="1"/>
  <c r="B4827" i="1"/>
  <c r="A4827" i="1"/>
  <c r="B4826" i="1"/>
  <c r="A4826" i="1"/>
  <c r="B4825" i="1"/>
  <c r="A4825" i="1"/>
  <c r="B4824" i="1"/>
  <c r="A4824" i="1"/>
  <c r="B4823" i="1"/>
  <c r="A4823" i="1"/>
  <c r="B4822" i="1"/>
  <c r="A4822" i="1"/>
  <c r="B4821" i="1"/>
  <c r="A4821" i="1"/>
  <c r="B4820" i="1"/>
  <c r="A4820" i="1"/>
  <c r="B4819" i="1"/>
  <c r="A4819" i="1"/>
  <c r="B4818" i="1"/>
  <c r="A4818" i="1"/>
  <c r="A4817" i="1"/>
  <c r="B4816" i="1"/>
  <c r="A4816" i="1"/>
  <c r="B4815" i="1"/>
  <c r="A4815" i="1"/>
  <c r="B4814" i="1"/>
  <c r="A4814" i="1"/>
  <c r="B4813" i="1"/>
  <c r="A4813" i="1"/>
  <c r="B4812" i="1"/>
  <c r="A4812" i="1"/>
  <c r="B4811" i="1"/>
  <c r="A4811" i="1"/>
  <c r="B4810" i="1"/>
  <c r="A4810" i="1"/>
  <c r="B4809" i="1"/>
  <c r="A4809" i="1"/>
  <c r="B4808" i="1"/>
  <c r="A4808" i="1"/>
  <c r="B4807" i="1"/>
  <c r="A4807" i="1"/>
  <c r="A4806" i="1"/>
  <c r="A4805" i="1"/>
  <c r="A4804" i="1"/>
  <c r="B4803" i="1"/>
  <c r="A4803" i="1"/>
  <c r="B4802" i="1"/>
  <c r="A4802" i="1"/>
  <c r="B4801" i="1"/>
  <c r="A4801" i="1"/>
  <c r="B4800" i="1"/>
  <c r="A4800" i="1"/>
  <c r="B4799" i="1"/>
  <c r="A4799" i="1"/>
  <c r="A4798" i="1"/>
  <c r="A4797" i="1"/>
  <c r="B4796" i="1"/>
  <c r="A4796" i="1"/>
  <c r="A4795" i="1"/>
  <c r="B4794" i="1"/>
  <c r="A4794" i="1"/>
  <c r="B4793" i="1"/>
  <c r="A4793" i="1"/>
  <c r="B4792" i="1"/>
  <c r="A4792" i="1"/>
  <c r="B4791" i="1"/>
  <c r="A4791" i="1"/>
  <c r="A4790" i="1"/>
  <c r="B4789" i="1"/>
  <c r="A4789" i="1"/>
  <c r="B4788" i="1"/>
  <c r="A4788" i="1"/>
  <c r="B4787" i="1"/>
  <c r="A4787" i="1"/>
  <c r="B4786" i="1"/>
  <c r="A4786" i="1"/>
  <c r="B4785" i="1"/>
  <c r="A4785" i="1"/>
  <c r="B4784" i="1"/>
  <c r="A4784" i="1"/>
  <c r="B4783" i="1"/>
  <c r="A4783" i="1"/>
  <c r="B4782" i="1"/>
  <c r="A4782" i="1"/>
  <c r="B4781" i="1"/>
  <c r="A4781" i="1"/>
  <c r="B4780" i="1"/>
  <c r="A4780" i="1"/>
  <c r="B4779" i="1"/>
  <c r="A4779" i="1"/>
  <c r="B4778" i="1"/>
  <c r="A4778" i="1"/>
  <c r="B4777" i="1"/>
  <c r="A4777" i="1"/>
  <c r="B4776" i="1"/>
  <c r="A4776" i="1"/>
  <c r="B4775" i="1"/>
  <c r="A4775" i="1"/>
  <c r="B4774" i="1"/>
  <c r="A4774" i="1"/>
  <c r="A4773" i="1"/>
  <c r="B4772" i="1"/>
  <c r="A4772" i="1"/>
  <c r="B4771" i="1"/>
  <c r="A4771" i="1"/>
  <c r="A4770" i="1"/>
  <c r="B4769" i="1"/>
  <c r="A4769" i="1"/>
  <c r="B4768" i="1"/>
  <c r="A4768" i="1"/>
  <c r="B4767" i="1"/>
  <c r="A4767" i="1"/>
  <c r="A4766" i="1"/>
  <c r="B4765" i="1"/>
  <c r="A4765" i="1"/>
  <c r="B4764" i="1"/>
  <c r="A4764" i="1"/>
  <c r="A4763" i="1"/>
  <c r="B4762" i="1"/>
  <c r="A4762" i="1"/>
  <c r="B4761" i="1"/>
  <c r="A4761" i="1"/>
  <c r="B4760" i="1"/>
  <c r="A4760" i="1"/>
  <c r="B4759" i="1"/>
  <c r="A4759" i="1"/>
  <c r="A4758" i="1"/>
  <c r="B4757" i="1"/>
  <c r="A4757" i="1"/>
  <c r="B4756" i="1"/>
  <c r="A4756" i="1"/>
  <c r="B4755" i="1"/>
  <c r="A4755" i="1"/>
  <c r="B4754" i="1"/>
  <c r="A4754" i="1"/>
  <c r="B4753" i="1"/>
  <c r="A4753" i="1"/>
  <c r="A4752" i="1"/>
  <c r="B4751" i="1"/>
  <c r="A4751" i="1"/>
  <c r="B4750" i="1"/>
  <c r="A4750" i="1"/>
  <c r="B4749" i="1"/>
  <c r="A4749" i="1"/>
  <c r="B4748" i="1"/>
  <c r="A4748" i="1"/>
  <c r="B4747" i="1"/>
  <c r="A4747" i="1"/>
  <c r="A4746" i="1"/>
  <c r="B4745" i="1"/>
  <c r="A4745" i="1"/>
  <c r="A4744" i="1"/>
  <c r="B4743" i="1"/>
  <c r="A4743" i="1"/>
  <c r="A4742" i="1"/>
  <c r="B4741" i="1"/>
  <c r="A4741" i="1"/>
  <c r="B4740" i="1"/>
  <c r="A4740" i="1"/>
  <c r="B4739" i="1"/>
  <c r="A4739" i="1"/>
  <c r="A4738" i="1"/>
  <c r="B4737" i="1"/>
  <c r="A4737" i="1"/>
  <c r="A4736" i="1"/>
  <c r="A4735" i="1"/>
  <c r="B4734" i="1"/>
  <c r="A4734" i="1"/>
  <c r="B4733" i="1"/>
  <c r="A4733" i="1"/>
  <c r="B4732" i="1"/>
  <c r="A4732" i="1"/>
  <c r="B4731" i="1"/>
  <c r="A4731" i="1"/>
  <c r="B4730" i="1"/>
  <c r="A4730" i="1"/>
  <c r="B4729" i="1"/>
  <c r="A4729" i="1"/>
  <c r="B4728" i="1"/>
  <c r="A4728" i="1"/>
  <c r="B4727" i="1"/>
  <c r="A4727" i="1"/>
  <c r="A4726" i="1"/>
  <c r="B4725" i="1"/>
  <c r="A4725" i="1"/>
  <c r="B4724" i="1"/>
  <c r="A4724" i="1"/>
  <c r="B4723" i="1"/>
  <c r="A4723" i="1"/>
  <c r="B4722" i="1"/>
  <c r="A4722" i="1"/>
  <c r="B4721" i="1"/>
  <c r="A4721" i="1"/>
  <c r="B4720" i="1"/>
  <c r="A4720" i="1"/>
  <c r="A4719" i="1"/>
  <c r="B4718" i="1"/>
  <c r="A4718" i="1"/>
  <c r="B4717" i="1"/>
  <c r="A4717" i="1"/>
  <c r="B4716" i="1"/>
  <c r="A4716" i="1"/>
  <c r="B4715" i="1"/>
  <c r="A4715" i="1"/>
  <c r="B4714" i="1"/>
  <c r="A4714" i="1"/>
  <c r="B4713" i="1"/>
  <c r="A4713" i="1"/>
  <c r="B4712" i="1"/>
  <c r="A4712" i="1"/>
  <c r="B4711" i="1"/>
  <c r="A4711" i="1"/>
  <c r="A4710" i="1"/>
  <c r="A4709" i="1"/>
  <c r="B4708" i="1"/>
  <c r="A4708" i="1"/>
  <c r="B4707" i="1"/>
  <c r="A4707" i="1"/>
  <c r="B4706" i="1"/>
  <c r="A4706" i="1"/>
  <c r="B4705" i="1"/>
  <c r="A4705" i="1"/>
  <c r="A4704" i="1"/>
  <c r="B4703" i="1"/>
  <c r="A4703" i="1"/>
  <c r="B4702" i="1"/>
  <c r="A4702" i="1"/>
  <c r="A4701" i="1"/>
  <c r="B4700" i="1"/>
  <c r="A4700" i="1"/>
  <c r="B4699" i="1"/>
  <c r="A4699" i="1"/>
  <c r="B4698" i="1"/>
  <c r="A4698" i="1"/>
  <c r="B4697" i="1"/>
  <c r="A4697" i="1"/>
  <c r="B4696" i="1"/>
  <c r="A4696" i="1"/>
  <c r="B4695" i="1"/>
  <c r="A4695" i="1"/>
  <c r="A4694" i="1"/>
  <c r="A4693" i="1"/>
  <c r="A4692" i="1"/>
  <c r="A4691" i="1"/>
  <c r="B4690" i="1"/>
  <c r="A4690" i="1"/>
  <c r="B4689" i="1"/>
  <c r="A4689" i="1"/>
  <c r="B4688" i="1"/>
  <c r="A4688" i="1"/>
  <c r="B4687" i="1"/>
  <c r="A4687" i="1"/>
  <c r="B4686" i="1"/>
  <c r="A4686" i="1"/>
  <c r="B4685" i="1"/>
  <c r="A4685" i="1"/>
  <c r="B4684" i="1"/>
  <c r="A4684" i="1"/>
  <c r="B4683" i="1"/>
  <c r="A4683" i="1"/>
  <c r="B4682" i="1"/>
  <c r="A4682" i="1"/>
  <c r="B4681" i="1"/>
  <c r="A4681" i="1"/>
  <c r="B4680" i="1"/>
  <c r="A4680" i="1"/>
  <c r="B4679" i="1"/>
  <c r="A4679" i="1"/>
  <c r="B4678" i="1"/>
  <c r="A4678" i="1"/>
  <c r="B4677" i="1"/>
  <c r="A4677" i="1"/>
  <c r="B4676" i="1"/>
  <c r="A4676" i="1"/>
  <c r="B4675" i="1"/>
  <c r="A4675" i="1"/>
  <c r="B4674" i="1"/>
  <c r="A4674" i="1"/>
  <c r="B4673" i="1"/>
  <c r="A4673" i="1"/>
  <c r="B4672" i="1"/>
  <c r="A4672" i="1"/>
  <c r="B4671" i="1"/>
  <c r="A4671" i="1"/>
  <c r="B4670" i="1"/>
  <c r="A4670" i="1"/>
  <c r="B4669" i="1"/>
  <c r="A4669" i="1"/>
  <c r="B4668" i="1"/>
  <c r="A4668" i="1"/>
  <c r="B4667" i="1"/>
  <c r="A4667" i="1"/>
  <c r="A4666" i="1"/>
  <c r="B4665" i="1"/>
  <c r="A4665" i="1"/>
  <c r="B4664" i="1"/>
  <c r="A4664" i="1"/>
  <c r="A4663" i="1"/>
  <c r="B4662" i="1"/>
  <c r="A4662" i="1"/>
  <c r="B4661" i="1"/>
  <c r="A4661" i="1"/>
  <c r="B4660" i="1"/>
  <c r="A4660" i="1"/>
  <c r="A4659" i="1"/>
  <c r="B4658" i="1"/>
  <c r="A4658" i="1"/>
  <c r="B4657" i="1"/>
  <c r="A4657" i="1"/>
  <c r="B4656" i="1"/>
  <c r="A4656" i="1"/>
  <c r="B4655" i="1"/>
  <c r="A4655" i="1"/>
  <c r="B4654" i="1"/>
  <c r="A4654" i="1"/>
  <c r="B4653" i="1"/>
  <c r="A4653" i="1"/>
  <c r="A4652" i="1"/>
  <c r="B4651" i="1"/>
  <c r="A4651" i="1"/>
  <c r="B4650" i="1"/>
  <c r="A4650" i="1"/>
  <c r="B4649" i="1"/>
  <c r="A4649" i="1"/>
  <c r="B4648" i="1"/>
  <c r="A4648" i="1"/>
  <c r="B4647" i="1"/>
  <c r="A4647" i="1"/>
  <c r="A4646" i="1"/>
  <c r="B4645" i="1"/>
  <c r="A4645" i="1"/>
  <c r="B4644" i="1"/>
  <c r="A4644" i="1"/>
  <c r="B4643" i="1"/>
  <c r="A4643" i="1"/>
  <c r="B4642" i="1"/>
  <c r="A4642" i="1"/>
  <c r="B4641" i="1"/>
  <c r="A4641" i="1"/>
  <c r="B4640" i="1"/>
  <c r="A4640" i="1"/>
  <c r="A4639" i="1"/>
  <c r="B4638" i="1"/>
  <c r="A4638" i="1"/>
  <c r="B4637" i="1"/>
  <c r="A4637" i="1"/>
  <c r="B4636" i="1"/>
  <c r="A4636" i="1"/>
  <c r="A4635" i="1"/>
  <c r="B4634" i="1"/>
  <c r="A4634" i="1"/>
  <c r="B4633" i="1"/>
  <c r="A4633" i="1"/>
  <c r="A4632" i="1"/>
  <c r="B4631" i="1"/>
  <c r="A4631" i="1"/>
  <c r="B4630" i="1"/>
  <c r="A4630" i="1"/>
  <c r="B4629" i="1"/>
  <c r="A4629" i="1"/>
  <c r="B4628" i="1"/>
  <c r="A4628" i="1"/>
  <c r="B4627" i="1"/>
  <c r="A4627" i="1"/>
  <c r="A4626" i="1"/>
  <c r="A4625" i="1"/>
  <c r="B4624" i="1"/>
  <c r="A4624" i="1"/>
  <c r="B4623" i="1"/>
  <c r="A4623" i="1"/>
  <c r="A4622" i="1"/>
  <c r="B4621" i="1"/>
  <c r="A4621" i="1"/>
  <c r="B4620" i="1"/>
  <c r="A4620" i="1"/>
  <c r="B4619" i="1"/>
  <c r="A4619" i="1"/>
  <c r="B4618" i="1"/>
  <c r="A4618" i="1"/>
  <c r="B4617" i="1"/>
  <c r="A4617" i="1"/>
  <c r="B4616" i="1"/>
  <c r="A4616" i="1"/>
  <c r="B4615" i="1"/>
  <c r="A4615" i="1"/>
  <c r="B4614" i="1"/>
  <c r="A4614" i="1"/>
  <c r="B4613" i="1"/>
  <c r="A4613" i="1"/>
  <c r="A4612" i="1"/>
  <c r="B4611" i="1"/>
  <c r="A4611" i="1"/>
  <c r="B4610" i="1"/>
  <c r="A4610" i="1"/>
  <c r="B4609" i="1"/>
  <c r="A4609" i="1"/>
  <c r="A4608" i="1"/>
  <c r="B4607" i="1"/>
  <c r="A4607" i="1"/>
  <c r="B4606" i="1"/>
  <c r="A4606" i="1"/>
  <c r="B4605" i="1"/>
  <c r="A4605" i="1"/>
  <c r="B4604" i="1"/>
  <c r="A4604" i="1"/>
  <c r="B4603" i="1"/>
  <c r="A4603" i="1"/>
  <c r="B4602" i="1"/>
  <c r="A4602" i="1"/>
  <c r="B4601" i="1"/>
  <c r="A4601" i="1"/>
  <c r="B4600" i="1"/>
  <c r="A4600" i="1"/>
  <c r="B4599" i="1"/>
  <c r="A4599" i="1"/>
  <c r="B4598" i="1"/>
  <c r="A4598" i="1"/>
  <c r="B4597" i="1"/>
  <c r="A4597" i="1"/>
  <c r="A4596" i="1"/>
  <c r="B4595" i="1"/>
  <c r="A4595" i="1"/>
  <c r="B4594" i="1"/>
  <c r="A4594" i="1"/>
  <c r="B4593" i="1"/>
  <c r="A4593" i="1"/>
  <c r="B4592" i="1"/>
  <c r="A4592" i="1"/>
  <c r="A4591" i="1"/>
  <c r="A4590" i="1"/>
  <c r="B4589" i="1"/>
  <c r="A4589" i="1"/>
  <c r="B4588" i="1"/>
  <c r="A4588" i="1"/>
  <c r="B4587" i="1"/>
  <c r="A4587" i="1"/>
  <c r="B4586" i="1"/>
  <c r="A4586" i="1"/>
  <c r="B4585" i="1"/>
  <c r="A4585" i="1"/>
  <c r="B4584" i="1"/>
  <c r="A4584" i="1"/>
  <c r="A4583" i="1"/>
  <c r="B4582" i="1"/>
  <c r="A4582" i="1"/>
  <c r="B4581" i="1"/>
  <c r="A4581" i="1"/>
  <c r="B4580" i="1"/>
  <c r="A4580" i="1"/>
  <c r="B4579" i="1"/>
  <c r="A4579" i="1"/>
  <c r="B4578" i="1"/>
  <c r="A4578" i="1"/>
  <c r="B4577" i="1"/>
  <c r="A4577" i="1"/>
  <c r="B4576" i="1"/>
  <c r="A4576" i="1"/>
  <c r="A4575" i="1"/>
  <c r="B4574" i="1"/>
  <c r="A4574" i="1"/>
  <c r="B4573" i="1"/>
  <c r="A4573" i="1"/>
  <c r="B4572" i="1"/>
  <c r="A4572" i="1"/>
  <c r="B4571" i="1"/>
  <c r="A4571" i="1"/>
  <c r="A4570" i="1"/>
  <c r="B4569" i="1"/>
  <c r="A4569" i="1"/>
  <c r="B4568" i="1"/>
  <c r="A4568" i="1"/>
  <c r="B4567" i="1"/>
  <c r="A4567" i="1"/>
  <c r="B4566" i="1"/>
  <c r="A4566" i="1"/>
  <c r="B4565" i="1"/>
  <c r="A4565" i="1"/>
  <c r="A4564" i="1"/>
  <c r="B4563" i="1"/>
  <c r="A4563" i="1"/>
  <c r="B4562" i="1"/>
  <c r="A4562" i="1"/>
  <c r="B4561" i="1"/>
  <c r="A4561" i="1"/>
  <c r="B4560" i="1"/>
  <c r="A4560" i="1"/>
  <c r="B4559" i="1"/>
  <c r="A4559" i="1"/>
  <c r="B4558" i="1"/>
  <c r="A4558" i="1"/>
  <c r="B4557" i="1"/>
  <c r="A4557" i="1"/>
  <c r="A4556" i="1"/>
  <c r="A4555" i="1"/>
  <c r="A4554" i="1"/>
  <c r="A4553" i="1"/>
  <c r="B4552" i="1"/>
  <c r="A4552" i="1"/>
  <c r="A4551" i="1"/>
  <c r="B4550" i="1"/>
  <c r="A4550" i="1"/>
  <c r="B4549" i="1"/>
  <c r="A4549" i="1"/>
  <c r="A4548" i="1"/>
  <c r="B4547" i="1"/>
  <c r="A4547" i="1"/>
  <c r="A4546" i="1"/>
  <c r="B4545" i="1"/>
  <c r="A4545" i="1"/>
  <c r="B4544" i="1"/>
  <c r="A4544" i="1"/>
  <c r="B4543" i="1"/>
  <c r="A4543" i="1"/>
  <c r="A4542" i="1"/>
  <c r="B4541" i="1"/>
  <c r="A4541" i="1"/>
  <c r="B4540" i="1"/>
  <c r="A4540" i="1"/>
  <c r="B4539" i="1"/>
  <c r="A4539" i="1"/>
  <c r="B4538" i="1"/>
  <c r="A4538" i="1"/>
  <c r="B4537" i="1"/>
  <c r="A4537" i="1"/>
  <c r="A4536" i="1"/>
  <c r="A4535" i="1"/>
  <c r="A4534" i="1"/>
  <c r="B4533" i="1"/>
  <c r="A4533" i="1"/>
  <c r="B4532" i="1"/>
  <c r="A4532" i="1"/>
  <c r="B4531" i="1"/>
  <c r="A4531" i="1"/>
  <c r="A4530" i="1"/>
  <c r="B4529" i="1"/>
  <c r="A4529" i="1"/>
  <c r="A4528" i="1"/>
  <c r="B4527" i="1"/>
  <c r="A4527" i="1"/>
  <c r="B4526" i="1"/>
  <c r="A4526" i="1"/>
  <c r="B4525" i="1"/>
  <c r="A4525" i="1"/>
  <c r="B4524" i="1"/>
  <c r="A4524" i="1"/>
  <c r="B4523" i="1"/>
  <c r="A4523" i="1"/>
  <c r="B4522" i="1"/>
  <c r="A4522" i="1"/>
  <c r="A4521" i="1"/>
  <c r="B4520" i="1"/>
  <c r="A4520" i="1"/>
  <c r="B4519" i="1"/>
  <c r="A4519" i="1"/>
  <c r="B4518" i="1"/>
  <c r="A4518" i="1"/>
  <c r="B4517" i="1"/>
  <c r="A4517" i="1"/>
  <c r="A4516" i="1"/>
  <c r="A4515" i="1"/>
  <c r="B4514" i="1"/>
  <c r="A4514" i="1"/>
  <c r="A4513" i="1"/>
  <c r="B4512" i="1"/>
  <c r="A4512" i="1"/>
  <c r="B4511" i="1"/>
  <c r="A4511" i="1"/>
  <c r="B4510" i="1"/>
  <c r="A4510" i="1"/>
  <c r="B4509" i="1"/>
  <c r="A4509" i="1"/>
  <c r="A4508" i="1"/>
  <c r="A4507" i="1"/>
  <c r="B4506" i="1"/>
  <c r="A4506" i="1"/>
  <c r="B4505" i="1"/>
  <c r="A4505" i="1"/>
  <c r="B4504" i="1"/>
  <c r="A4504" i="1"/>
  <c r="B4503" i="1"/>
  <c r="A4503" i="1"/>
  <c r="B4502" i="1"/>
  <c r="A4502" i="1"/>
  <c r="B4501" i="1"/>
  <c r="A4501" i="1"/>
  <c r="A4500" i="1"/>
  <c r="A4499" i="1"/>
  <c r="A4498" i="1"/>
  <c r="B4497" i="1"/>
  <c r="A4497" i="1"/>
  <c r="B4496" i="1"/>
  <c r="A4496" i="1"/>
  <c r="B4495" i="1"/>
  <c r="A4495" i="1"/>
  <c r="B4494" i="1"/>
  <c r="A4494" i="1"/>
  <c r="B4493" i="1"/>
  <c r="A4493" i="1"/>
  <c r="B4492" i="1"/>
  <c r="A4492" i="1"/>
  <c r="B4491" i="1"/>
  <c r="A4491" i="1"/>
  <c r="B4490" i="1"/>
  <c r="A4490" i="1"/>
  <c r="B4489" i="1"/>
  <c r="A4489" i="1"/>
  <c r="B4488" i="1"/>
  <c r="A4488" i="1"/>
  <c r="B4487" i="1"/>
  <c r="A4487" i="1"/>
  <c r="B4486" i="1"/>
  <c r="A4486" i="1"/>
  <c r="B4485" i="1"/>
  <c r="A4485" i="1"/>
  <c r="B4484" i="1"/>
  <c r="A4484" i="1"/>
  <c r="B4483" i="1"/>
  <c r="A4483" i="1"/>
  <c r="B4482" i="1"/>
  <c r="A4482" i="1"/>
  <c r="A4481" i="1"/>
  <c r="B4480" i="1"/>
  <c r="A4480" i="1"/>
  <c r="B4479" i="1"/>
  <c r="A4479" i="1"/>
  <c r="B4478" i="1"/>
  <c r="A4478" i="1"/>
  <c r="B4477" i="1"/>
  <c r="A4477" i="1"/>
  <c r="B4476" i="1"/>
  <c r="A4476" i="1"/>
  <c r="B4475" i="1"/>
  <c r="A4475" i="1"/>
  <c r="A4474" i="1"/>
  <c r="B4473" i="1"/>
  <c r="A4473" i="1"/>
  <c r="A4472" i="1"/>
  <c r="B4471" i="1"/>
  <c r="A4471" i="1"/>
  <c r="B4470" i="1"/>
  <c r="A4470" i="1"/>
  <c r="B4469" i="1"/>
  <c r="A4469" i="1"/>
  <c r="A4468" i="1"/>
  <c r="B4467" i="1"/>
  <c r="A4467" i="1"/>
  <c r="B4466" i="1"/>
  <c r="A4466" i="1"/>
  <c r="B4465" i="1"/>
  <c r="A4465" i="1"/>
  <c r="A4464" i="1"/>
  <c r="A4463" i="1"/>
  <c r="B4462" i="1"/>
  <c r="A4462" i="1"/>
  <c r="A4461" i="1"/>
  <c r="B4460" i="1"/>
  <c r="A4460" i="1"/>
  <c r="B4459" i="1"/>
  <c r="A4459" i="1"/>
  <c r="B4458" i="1"/>
  <c r="A4458" i="1"/>
  <c r="A4457" i="1"/>
  <c r="B4456" i="1"/>
  <c r="A4456" i="1"/>
  <c r="B4455" i="1"/>
  <c r="A4455" i="1"/>
  <c r="B4454" i="1"/>
  <c r="A4454" i="1"/>
  <c r="A4453" i="1"/>
  <c r="B4452" i="1"/>
  <c r="A4452" i="1"/>
  <c r="B4451" i="1"/>
  <c r="A4451" i="1"/>
  <c r="B4450" i="1"/>
  <c r="A4450" i="1"/>
  <c r="B4449" i="1"/>
  <c r="A4449" i="1"/>
  <c r="B4448" i="1"/>
  <c r="A4448" i="1"/>
  <c r="A4447" i="1"/>
  <c r="B4446" i="1"/>
  <c r="A4446" i="1"/>
  <c r="B4445" i="1"/>
  <c r="A4445" i="1"/>
  <c r="A4444" i="1"/>
  <c r="A4443" i="1"/>
  <c r="B4442" i="1"/>
  <c r="A4442" i="1"/>
  <c r="B4441" i="1"/>
  <c r="A4441" i="1"/>
  <c r="B4440" i="1"/>
  <c r="A4440" i="1"/>
  <c r="B4439" i="1"/>
  <c r="A4439" i="1"/>
  <c r="B4438" i="1"/>
  <c r="A4438" i="1"/>
  <c r="B4437" i="1"/>
  <c r="A4437" i="1"/>
  <c r="A4436" i="1"/>
  <c r="B4435" i="1"/>
  <c r="A4435" i="1"/>
  <c r="B4434" i="1"/>
  <c r="A4434" i="1"/>
  <c r="B4433" i="1"/>
  <c r="A4433" i="1"/>
  <c r="A4432" i="1"/>
  <c r="B4431" i="1"/>
  <c r="A4431" i="1"/>
  <c r="B4430" i="1"/>
  <c r="A4430" i="1"/>
  <c r="A4429" i="1"/>
  <c r="B4428" i="1"/>
  <c r="A4428" i="1"/>
  <c r="B4427" i="1"/>
  <c r="A4427" i="1"/>
  <c r="A4426" i="1"/>
  <c r="B4425" i="1"/>
  <c r="A4425" i="1"/>
  <c r="A4424" i="1"/>
  <c r="B4423" i="1"/>
  <c r="A4423" i="1"/>
  <c r="B4422" i="1"/>
  <c r="A4422" i="1"/>
  <c r="B4421" i="1"/>
  <c r="A4421" i="1"/>
  <c r="B4420" i="1"/>
  <c r="A4420" i="1"/>
  <c r="B4419" i="1"/>
  <c r="A4419" i="1"/>
  <c r="B4418" i="1"/>
  <c r="A4418" i="1"/>
  <c r="A4417" i="1"/>
  <c r="B4416" i="1"/>
  <c r="A4416" i="1"/>
  <c r="A4415" i="1"/>
  <c r="B4414" i="1"/>
  <c r="A4414" i="1"/>
  <c r="B4413" i="1"/>
  <c r="A4413" i="1"/>
  <c r="B4412" i="1"/>
  <c r="A4412" i="1"/>
  <c r="B4411" i="1"/>
  <c r="A4411" i="1"/>
  <c r="B4410" i="1"/>
  <c r="A4410" i="1"/>
  <c r="B4409" i="1"/>
  <c r="A4409" i="1"/>
  <c r="B4408" i="1"/>
  <c r="A4408" i="1"/>
  <c r="B4407" i="1"/>
  <c r="A4407" i="1"/>
  <c r="B4406" i="1"/>
  <c r="A4406" i="1"/>
  <c r="A4405" i="1"/>
  <c r="B4404" i="1"/>
  <c r="A4404" i="1"/>
  <c r="B4403" i="1"/>
  <c r="A4403" i="1"/>
  <c r="B4402" i="1"/>
  <c r="A4402" i="1"/>
  <c r="B4401" i="1"/>
  <c r="A4401" i="1"/>
  <c r="A4400" i="1"/>
  <c r="B4399" i="1"/>
  <c r="A4399" i="1"/>
  <c r="B4398" i="1"/>
  <c r="A4398" i="1"/>
  <c r="B4397" i="1"/>
  <c r="A4397" i="1"/>
  <c r="A4396" i="1"/>
  <c r="A4395" i="1"/>
  <c r="A4394" i="1"/>
  <c r="B4393" i="1"/>
  <c r="A4393" i="1"/>
  <c r="B4392" i="1"/>
  <c r="A4392" i="1"/>
  <c r="B4391" i="1"/>
  <c r="A4391" i="1"/>
  <c r="A4390" i="1"/>
  <c r="B4389" i="1"/>
  <c r="A4389" i="1"/>
  <c r="B4388" i="1"/>
  <c r="A4388" i="1"/>
  <c r="B4387" i="1"/>
  <c r="A4387" i="1"/>
  <c r="A4386" i="1"/>
  <c r="B4385" i="1"/>
  <c r="A4385" i="1"/>
  <c r="A4384" i="1"/>
  <c r="B4383" i="1"/>
  <c r="A4383" i="1"/>
  <c r="B4382" i="1"/>
  <c r="A4382" i="1"/>
  <c r="A4381" i="1"/>
  <c r="B4380" i="1"/>
  <c r="A4380" i="1"/>
  <c r="B4379" i="1"/>
  <c r="A4379" i="1"/>
  <c r="B4378" i="1"/>
  <c r="A4378" i="1"/>
  <c r="B4377" i="1"/>
  <c r="A4377" i="1"/>
  <c r="B4376" i="1"/>
  <c r="A4376" i="1"/>
  <c r="B4375" i="1"/>
  <c r="A4375" i="1"/>
  <c r="B4374" i="1"/>
  <c r="A4374" i="1"/>
  <c r="A4373" i="1"/>
  <c r="B4372" i="1"/>
  <c r="A4372" i="1"/>
  <c r="B4371" i="1"/>
  <c r="A4371" i="1"/>
  <c r="A4370" i="1"/>
  <c r="B4369" i="1"/>
  <c r="A4369" i="1"/>
  <c r="A4368" i="1"/>
  <c r="B4367" i="1"/>
  <c r="A4367" i="1"/>
  <c r="B4366" i="1"/>
  <c r="A4366" i="1"/>
  <c r="B4365" i="1"/>
  <c r="A4365" i="1"/>
  <c r="A4364" i="1"/>
  <c r="B4363" i="1"/>
  <c r="A4363" i="1"/>
  <c r="A4362" i="1"/>
  <c r="B4361" i="1"/>
  <c r="A4361" i="1"/>
  <c r="A4360" i="1"/>
  <c r="B4359" i="1"/>
  <c r="A4359" i="1"/>
  <c r="B4358" i="1"/>
  <c r="A4358" i="1"/>
  <c r="A4357" i="1"/>
  <c r="A4356" i="1"/>
  <c r="A4355" i="1"/>
  <c r="A4354" i="1"/>
  <c r="A4353" i="1"/>
  <c r="B4352" i="1"/>
  <c r="A4352" i="1"/>
  <c r="B4351" i="1"/>
  <c r="A4351" i="1"/>
  <c r="B4350" i="1"/>
  <c r="A4350" i="1"/>
  <c r="B4349" i="1"/>
  <c r="A4349" i="1"/>
  <c r="B4348" i="1"/>
  <c r="A4348" i="1"/>
  <c r="A4347" i="1"/>
  <c r="B4346" i="1"/>
  <c r="A4346" i="1"/>
  <c r="B4345" i="1"/>
  <c r="A4345" i="1"/>
  <c r="A4344" i="1"/>
  <c r="A4343" i="1"/>
  <c r="A4342" i="1"/>
  <c r="B4341" i="1"/>
  <c r="A4341" i="1"/>
  <c r="B4340" i="1"/>
  <c r="A4340" i="1"/>
  <c r="B4339" i="1"/>
  <c r="A4339" i="1"/>
  <c r="B4338" i="1"/>
  <c r="A4338" i="1"/>
  <c r="B4337" i="1"/>
  <c r="A4337" i="1"/>
  <c r="B4336" i="1"/>
  <c r="A4336" i="1"/>
  <c r="A4335" i="1"/>
  <c r="B4334" i="1"/>
  <c r="A4334" i="1"/>
  <c r="B4333" i="1"/>
  <c r="A4333" i="1"/>
  <c r="A4332" i="1"/>
  <c r="B4331" i="1"/>
  <c r="A4331" i="1"/>
  <c r="B4330" i="1"/>
  <c r="A4330" i="1"/>
  <c r="A4329" i="1"/>
  <c r="B4328" i="1"/>
  <c r="A4328" i="1"/>
  <c r="B4327" i="1"/>
  <c r="A4327" i="1"/>
  <c r="B4326" i="1"/>
  <c r="A4326" i="1"/>
  <c r="B4325" i="1"/>
  <c r="A4325" i="1"/>
  <c r="A4324" i="1"/>
  <c r="B4323" i="1"/>
  <c r="A4323" i="1"/>
  <c r="A4322" i="1"/>
  <c r="A4321" i="1"/>
  <c r="B4320" i="1"/>
  <c r="A4320" i="1"/>
  <c r="B4319" i="1"/>
  <c r="A4319" i="1"/>
  <c r="B4318" i="1"/>
  <c r="A4318" i="1"/>
  <c r="B4317" i="1"/>
  <c r="A4317" i="1"/>
  <c r="B4316" i="1"/>
  <c r="A4316" i="1"/>
  <c r="B4315" i="1"/>
  <c r="A4315" i="1"/>
  <c r="A4314" i="1"/>
  <c r="B4313" i="1"/>
  <c r="A4313" i="1"/>
  <c r="B4312" i="1"/>
  <c r="A4312" i="1"/>
  <c r="B4311" i="1"/>
  <c r="A4311" i="1"/>
  <c r="B4310" i="1"/>
  <c r="A4310" i="1"/>
  <c r="A4309" i="1"/>
  <c r="B4308" i="1"/>
  <c r="A4308" i="1"/>
  <c r="A4307" i="1"/>
  <c r="B4306" i="1"/>
  <c r="A4306" i="1"/>
  <c r="B4305" i="1"/>
  <c r="A4305" i="1"/>
  <c r="B4304" i="1"/>
  <c r="A4304" i="1"/>
  <c r="A4303" i="1"/>
  <c r="B4302" i="1"/>
  <c r="A4302" i="1"/>
  <c r="B4301" i="1"/>
  <c r="A4301" i="1"/>
  <c r="B4300" i="1"/>
  <c r="A4300" i="1"/>
  <c r="A4299" i="1"/>
  <c r="B4298" i="1"/>
  <c r="A4298" i="1"/>
  <c r="A4297" i="1"/>
  <c r="B4296" i="1"/>
  <c r="A4296" i="1"/>
  <c r="A4295" i="1"/>
  <c r="B4294" i="1"/>
  <c r="A4294" i="1"/>
  <c r="B4293" i="1"/>
  <c r="A4293" i="1"/>
  <c r="B4292" i="1"/>
  <c r="A4292" i="1"/>
  <c r="B4291" i="1"/>
  <c r="A4291" i="1"/>
  <c r="B4290" i="1"/>
  <c r="A4290" i="1"/>
  <c r="B4289" i="1"/>
  <c r="A4289" i="1"/>
  <c r="B4288" i="1"/>
  <c r="A4288" i="1"/>
  <c r="B4287" i="1"/>
  <c r="A4287" i="1"/>
  <c r="B4286" i="1"/>
  <c r="A4286" i="1"/>
  <c r="B4285" i="1"/>
  <c r="A4285" i="1"/>
  <c r="B4284" i="1"/>
  <c r="A4284" i="1"/>
  <c r="B4283" i="1"/>
  <c r="A4283" i="1"/>
  <c r="B4282" i="1"/>
  <c r="A4282" i="1"/>
  <c r="A4281" i="1"/>
  <c r="B4280" i="1"/>
  <c r="A4280" i="1"/>
  <c r="A4279" i="1"/>
  <c r="B4278" i="1"/>
  <c r="A4278" i="1"/>
  <c r="B4277" i="1"/>
  <c r="A4277" i="1"/>
  <c r="B4276" i="1"/>
  <c r="A4276" i="1"/>
  <c r="B4275" i="1"/>
  <c r="A4275" i="1"/>
  <c r="B4274" i="1"/>
  <c r="A4274" i="1"/>
  <c r="B4273" i="1"/>
  <c r="A4273" i="1"/>
  <c r="B4272" i="1"/>
  <c r="A4272" i="1"/>
  <c r="A4271" i="1"/>
  <c r="B4270" i="1"/>
  <c r="A4270" i="1"/>
  <c r="B4269" i="1"/>
  <c r="A4269" i="1"/>
  <c r="A4268" i="1"/>
  <c r="B4267" i="1"/>
  <c r="A4267" i="1"/>
  <c r="B4266" i="1"/>
  <c r="A4266" i="1"/>
  <c r="B4265" i="1"/>
  <c r="A4265" i="1"/>
  <c r="B4264" i="1"/>
  <c r="A4264" i="1"/>
  <c r="B4263" i="1"/>
  <c r="A4263" i="1"/>
  <c r="B4262" i="1"/>
  <c r="A4262" i="1"/>
  <c r="B4261" i="1"/>
  <c r="A4261" i="1"/>
  <c r="A4260" i="1"/>
  <c r="B4259" i="1"/>
  <c r="A4259" i="1"/>
  <c r="B4258" i="1"/>
  <c r="A4258" i="1"/>
  <c r="B4257" i="1"/>
  <c r="A4257" i="1"/>
  <c r="A4256" i="1"/>
  <c r="B4255" i="1"/>
  <c r="A4255" i="1"/>
  <c r="B4254" i="1"/>
  <c r="A4254" i="1"/>
  <c r="B4253" i="1"/>
  <c r="A4253" i="1"/>
  <c r="B4252" i="1"/>
  <c r="A4252" i="1"/>
  <c r="B4251" i="1"/>
  <c r="A4251" i="1"/>
  <c r="A4250" i="1"/>
  <c r="B4249" i="1"/>
  <c r="A4249" i="1"/>
  <c r="A4248" i="1"/>
  <c r="B4247" i="1"/>
  <c r="A4247" i="1"/>
  <c r="B4246" i="1"/>
  <c r="A4246" i="1"/>
  <c r="B4245" i="1"/>
  <c r="A4245" i="1"/>
  <c r="A4244" i="1"/>
  <c r="B4243" i="1"/>
  <c r="A4243" i="1"/>
  <c r="B4242" i="1"/>
  <c r="A4242" i="1"/>
  <c r="B4241" i="1"/>
  <c r="A4241" i="1"/>
  <c r="B4240" i="1"/>
  <c r="A4240" i="1"/>
  <c r="B4239" i="1"/>
  <c r="A4239" i="1"/>
  <c r="B4238" i="1"/>
  <c r="A4238" i="1"/>
  <c r="B4237" i="1"/>
  <c r="A4237" i="1"/>
  <c r="B4236" i="1"/>
  <c r="A4236" i="1"/>
  <c r="B4235" i="1"/>
  <c r="A4235" i="1"/>
  <c r="B4234" i="1"/>
  <c r="A4234" i="1"/>
  <c r="A4233" i="1"/>
  <c r="B4232" i="1"/>
  <c r="A4232" i="1"/>
  <c r="B4231" i="1"/>
  <c r="A4231" i="1"/>
  <c r="B4230" i="1"/>
  <c r="A4230" i="1"/>
  <c r="A4229" i="1"/>
  <c r="B4228" i="1"/>
  <c r="A4228" i="1"/>
  <c r="A4227" i="1"/>
  <c r="B4226" i="1"/>
  <c r="A4226" i="1"/>
  <c r="B4225" i="1"/>
  <c r="A4225" i="1"/>
  <c r="A4224" i="1"/>
  <c r="B4223" i="1"/>
  <c r="A4223" i="1"/>
  <c r="B4222" i="1"/>
  <c r="A4222" i="1"/>
  <c r="B4221" i="1"/>
  <c r="A4221" i="1"/>
  <c r="B4220" i="1"/>
  <c r="A4220" i="1"/>
  <c r="B4219" i="1"/>
  <c r="A4219" i="1"/>
  <c r="A4218" i="1"/>
  <c r="B4217" i="1"/>
  <c r="A4217" i="1"/>
  <c r="A4216" i="1"/>
  <c r="B4215" i="1"/>
  <c r="A4215" i="1"/>
  <c r="A4214" i="1"/>
  <c r="B4213" i="1"/>
  <c r="A4213" i="1"/>
  <c r="B4212" i="1"/>
  <c r="A4212" i="1"/>
  <c r="B4211" i="1"/>
  <c r="A4211" i="1"/>
  <c r="B4210" i="1"/>
  <c r="A4210" i="1"/>
  <c r="B4209" i="1"/>
  <c r="A4209" i="1"/>
  <c r="B4208" i="1"/>
  <c r="A4208" i="1"/>
  <c r="B4207" i="1"/>
  <c r="A4207" i="1"/>
  <c r="B4206" i="1"/>
  <c r="A4206" i="1"/>
  <c r="B4205" i="1"/>
  <c r="A4205" i="1"/>
  <c r="B4204" i="1"/>
  <c r="A4204" i="1"/>
  <c r="B4203" i="1"/>
  <c r="A4203" i="1"/>
  <c r="B4202" i="1"/>
  <c r="A4202" i="1"/>
  <c r="B4201" i="1"/>
  <c r="A4201" i="1"/>
  <c r="B4200" i="1"/>
  <c r="A4200" i="1"/>
  <c r="B4199" i="1"/>
  <c r="A4199" i="1"/>
  <c r="A4198" i="1"/>
  <c r="B4197" i="1"/>
  <c r="A4197" i="1"/>
  <c r="A4196" i="1"/>
  <c r="B4195" i="1"/>
  <c r="A4195" i="1"/>
  <c r="B4194" i="1"/>
  <c r="A4194" i="1"/>
  <c r="A4193" i="1"/>
  <c r="B4192" i="1"/>
  <c r="A4192" i="1"/>
  <c r="B4191" i="1"/>
  <c r="A4191" i="1"/>
  <c r="B4190" i="1"/>
  <c r="A4190" i="1"/>
  <c r="B4189" i="1"/>
  <c r="A4189" i="1"/>
  <c r="B4188" i="1"/>
  <c r="A4188" i="1"/>
  <c r="B4187" i="1"/>
  <c r="A4187" i="1"/>
  <c r="B4186" i="1"/>
  <c r="A4186" i="1"/>
  <c r="B4185" i="1"/>
  <c r="A4185" i="1"/>
  <c r="B4184" i="1"/>
  <c r="A4184" i="1"/>
  <c r="B4183" i="1"/>
  <c r="A4183" i="1"/>
  <c r="B4182" i="1"/>
  <c r="A4182" i="1"/>
  <c r="B4181" i="1"/>
  <c r="A4181" i="1"/>
  <c r="A4180" i="1"/>
  <c r="B4179" i="1"/>
  <c r="A4179" i="1"/>
  <c r="B4178" i="1"/>
  <c r="A4178" i="1"/>
  <c r="B4177" i="1"/>
  <c r="A4177" i="1"/>
  <c r="A4176" i="1"/>
  <c r="B4175" i="1"/>
  <c r="A4175" i="1"/>
  <c r="B4174" i="1"/>
  <c r="A4174" i="1"/>
  <c r="B4173" i="1"/>
  <c r="A4173" i="1"/>
  <c r="B4172" i="1"/>
  <c r="A4172" i="1"/>
  <c r="B4171" i="1"/>
  <c r="A4171" i="1"/>
  <c r="A4170" i="1"/>
  <c r="B4169" i="1"/>
  <c r="A4169" i="1"/>
  <c r="B4168" i="1"/>
  <c r="A4168" i="1"/>
  <c r="B4167" i="1"/>
  <c r="A4167" i="1"/>
  <c r="B4166" i="1"/>
  <c r="A4166" i="1"/>
  <c r="B4165" i="1"/>
  <c r="A4165" i="1"/>
  <c r="B4164" i="1"/>
  <c r="A4164" i="1"/>
  <c r="B4163" i="1"/>
  <c r="A4163" i="1"/>
  <c r="B4162" i="1"/>
  <c r="A4162" i="1"/>
  <c r="B4161" i="1"/>
  <c r="A4161" i="1"/>
  <c r="B4160" i="1"/>
  <c r="A4160" i="1"/>
  <c r="B4159" i="1"/>
  <c r="A4159" i="1"/>
  <c r="B4158" i="1"/>
  <c r="A4158" i="1"/>
  <c r="B4157" i="1"/>
  <c r="A4157" i="1"/>
  <c r="B4156" i="1"/>
  <c r="A4156" i="1"/>
  <c r="A4155" i="1"/>
  <c r="B4154" i="1"/>
  <c r="A4154" i="1"/>
  <c r="B4153" i="1"/>
  <c r="A4153" i="1"/>
  <c r="B4152" i="1"/>
  <c r="A4152" i="1"/>
  <c r="B4151" i="1"/>
  <c r="A4151" i="1"/>
  <c r="B4150" i="1"/>
  <c r="A4150" i="1"/>
  <c r="B4149" i="1"/>
  <c r="A4149" i="1"/>
  <c r="B4148" i="1"/>
  <c r="A4148" i="1"/>
  <c r="B4147" i="1"/>
  <c r="A4147" i="1"/>
  <c r="B4146" i="1"/>
  <c r="A4146" i="1"/>
  <c r="B4145" i="1"/>
  <c r="A4145" i="1"/>
  <c r="A4144" i="1"/>
  <c r="B4143" i="1"/>
  <c r="A4143" i="1"/>
  <c r="B4142" i="1"/>
  <c r="A4142" i="1"/>
  <c r="B4141" i="1"/>
  <c r="A4141" i="1"/>
  <c r="B4140" i="1"/>
  <c r="A4140" i="1"/>
  <c r="B4139" i="1"/>
  <c r="A4139" i="1"/>
  <c r="A4138" i="1"/>
  <c r="B4137" i="1"/>
  <c r="A4137" i="1"/>
  <c r="B4136" i="1"/>
  <c r="A4136" i="1"/>
  <c r="B4135" i="1"/>
  <c r="A4135" i="1"/>
  <c r="B4134" i="1"/>
  <c r="A4134" i="1"/>
  <c r="A4133" i="1"/>
  <c r="B4132" i="1"/>
  <c r="A4132" i="1"/>
  <c r="B4131" i="1"/>
  <c r="A4131" i="1"/>
  <c r="B4130" i="1"/>
  <c r="A4130" i="1"/>
  <c r="B4129" i="1"/>
  <c r="A4129" i="1"/>
  <c r="A4128" i="1"/>
  <c r="B4127" i="1"/>
  <c r="A4127" i="1"/>
  <c r="B4126" i="1"/>
  <c r="A4126" i="1"/>
  <c r="B4125" i="1"/>
  <c r="A4125" i="1"/>
  <c r="B4124" i="1"/>
  <c r="A4124" i="1"/>
  <c r="B4123" i="1"/>
  <c r="A4123" i="1"/>
  <c r="B4122" i="1"/>
  <c r="A4122" i="1"/>
  <c r="B4121" i="1"/>
  <c r="A4121" i="1"/>
  <c r="A4120" i="1"/>
  <c r="A4119" i="1"/>
  <c r="B4118" i="1"/>
  <c r="A4118" i="1"/>
  <c r="B4117" i="1"/>
  <c r="A4117" i="1"/>
  <c r="B4116" i="1"/>
  <c r="A4116" i="1"/>
  <c r="B4115" i="1"/>
  <c r="A4115" i="1"/>
  <c r="B4114" i="1"/>
  <c r="A4114" i="1"/>
  <c r="B4113" i="1"/>
  <c r="A4113" i="1"/>
  <c r="B4112" i="1"/>
  <c r="A4112" i="1"/>
  <c r="B4111" i="1"/>
  <c r="A4111" i="1"/>
  <c r="A4110" i="1"/>
  <c r="B4109" i="1"/>
  <c r="A4109" i="1"/>
  <c r="B4108" i="1"/>
  <c r="A4108" i="1"/>
  <c r="B4107" i="1"/>
  <c r="A4107" i="1"/>
  <c r="A4106" i="1"/>
  <c r="A4105" i="1"/>
  <c r="B4104" i="1"/>
  <c r="A4104" i="1"/>
  <c r="A4103" i="1"/>
  <c r="A4102" i="1"/>
  <c r="A4101" i="1"/>
  <c r="B4100" i="1"/>
  <c r="A4100" i="1"/>
  <c r="A4099" i="1"/>
  <c r="B4098" i="1"/>
  <c r="A4098" i="1"/>
  <c r="B4097" i="1"/>
  <c r="A4097" i="1"/>
  <c r="A4096" i="1"/>
  <c r="A4095" i="1"/>
  <c r="A4094" i="1"/>
  <c r="B4093" i="1"/>
  <c r="A4093" i="1"/>
  <c r="A4092" i="1"/>
  <c r="B4091" i="1"/>
  <c r="A4091" i="1"/>
  <c r="B4090" i="1"/>
  <c r="A4090" i="1"/>
  <c r="B4089" i="1"/>
  <c r="A4089" i="1"/>
  <c r="B4088" i="1"/>
  <c r="A4088" i="1"/>
  <c r="A4087" i="1"/>
  <c r="B4086" i="1"/>
  <c r="A4086" i="1"/>
  <c r="B4085" i="1"/>
  <c r="A4085" i="1"/>
  <c r="B4084" i="1"/>
  <c r="A4084" i="1"/>
  <c r="B4083" i="1"/>
  <c r="A4083" i="1"/>
  <c r="A4082" i="1"/>
  <c r="A4081" i="1"/>
  <c r="B4080" i="1"/>
  <c r="A4080" i="1"/>
  <c r="B4079" i="1"/>
  <c r="A4079" i="1"/>
  <c r="B4078" i="1"/>
  <c r="A4078" i="1"/>
  <c r="B4077" i="1"/>
  <c r="A4077" i="1"/>
  <c r="A4076" i="1"/>
  <c r="B4075" i="1"/>
  <c r="A4075" i="1"/>
  <c r="B4074" i="1"/>
  <c r="A4074" i="1"/>
  <c r="B4073" i="1"/>
  <c r="A4073" i="1"/>
  <c r="B4072" i="1"/>
  <c r="A4072" i="1"/>
  <c r="A4071" i="1"/>
  <c r="A4070" i="1"/>
  <c r="A4069" i="1"/>
  <c r="B4068" i="1"/>
  <c r="A4068" i="1"/>
  <c r="B4067" i="1"/>
  <c r="A4067" i="1"/>
  <c r="A4066" i="1"/>
  <c r="A4065" i="1"/>
  <c r="B4064" i="1"/>
  <c r="A4064" i="1"/>
  <c r="B4063" i="1"/>
  <c r="A4063" i="1"/>
  <c r="A4062" i="1"/>
  <c r="B4061" i="1"/>
  <c r="A4061" i="1"/>
  <c r="B4060" i="1"/>
  <c r="A4060" i="1"/>
  <c r="B4059" i="1"/>
  <c r="A4059" i="1"/>
  <c r="B4058" i="1"/>
  <c r="A4058" i="1"/>
  <c r="A4057" i="1"/>
  <c r="B4056" i="1"/>
  <c r="A4056" i="1"/>
  <c r="B4055" i="1"/>
  <c r="A4055" i="1"/>
  <c r="A4054" i="1"/>
  <c r="A4053" i="1"/>
  <c r="B4052" i="1"/>
  <c r="A4052" i="1"/>
  <c r="B4051" i="1"/>
  <c r="A4051" i="1"/>
  <c r="A4050" i="1"/>
  <c r="B4049" i="1"/>
  <c r="A4049" i="1"/>
  <c r="B4048" i="1"/>
  <c r="A4048" i="1"/>
  <c r="B4047" i="1"/>
  <c r="A4047" i="1"/>
  <c r="B4046" i="1"/>
  <c r="A4046" i="1"/>
  <c r="B4045" i="1"/>
  <c r="A4045" i="1"/>
  <c r="A4044" i="1"/>
  <c r="B4043" i="1"/>
  <c r="A4043" i="1"/>
  <c r="B4042" i="1"/>
  <c r="A4042" i="1"/>
  <c r="A4041" i="1"/>
  <c r="B4040" i="1"/>
  <c r="A4040" i="1"/>
  <c r="B4039" i="1"/>
  <c r="A4039" i="1"/>
  <c r="A4038" i="1"/>
  <c r="B4037" i="1"/>
  <c r="A4037" i="1"/>
  <c r="B4036" i="1"/>
  <c r="A4036" i="1"/>
  <c r="B4035" i="1"/>
  <c r="A4035" i="1"/>
  <c r="B4034" i="1"/>
  <c r="A4034" i="1"/>
  <c r="B4033" i="1"/>
  <c r="A4033" i="1"/>
  <c r="B4032" i="1"/>
  <c r="A4032" i="1"/>
  <c r="B4031" i="1"/>
  <c r="A4031" i="1"/>
  <c r="B4030" i="1"/>
  <c r="A4030" i="1"/>
  <c r="B4029" i="1"/>
  <c r="A4029" i="1"/>
  <c r="B4028" i="1"/>
  <c r="A4028" i="1"/>
  <c r="B4027" i="1"/>
  <c r="A4027" i="1"/>
  <c r="B4026" i="1"/>
  <c r="A4026" i="1"/>
  <c r="A4025" i="1"/>
  <c r="B4024" i="1"/>
  <c r="A4024" i="1"/>
  <c r="A4023" i="1"/>
  <c r="B4022" i="1"/>
  <c r="A4022" i="1"/>
  <c r="B4021" i="1"/>
  <c r="A4021" i="1"/>
  <c r="B4020" i="1"/>
  <c r="A4020" i="1"/>
  <c r="A4019" i="1"/>
  <c r="B4018" i="1"/>
  <c r="A4018" i="1"/>
  <c r="A4017" i="1"/>
  <c r="B4016" i="1"/>
  <c r="A4016" i="1"/>
  <c r="B4015" i="1"/>
  <c r="A4015" i="1"/>
  <c r="B4014" i="1"/>
  <c r="A4014" i="1"/>
  <c r="A4013" i="1"/>
  <c r="B4012" i="1"/>
  <c r="A4012" i="1"/>
  <c r="A4011" i="1"/>
  <c r="A4010" i="1"/>
  <c r="A4009" i="1"/>
  <c r="B4008" i="1"/>
  <c r="A4008" i="1"/>
  <c r="B4007" i="1"/>
  <c r="A4007" i="1"/>
  <c r="B4006" i="1"/>
  <c r="A4006" i="1"/>
  <c r="B4005" i="1"/>
  <c r="A4005" i="1"/>
  <c r="A4004" i="1"/>
  <c r="B4003" i="1"/>
  <c r="A4003" i="1"/>
  <c r="A4002" i="1"/>
  <c r="B4001" i="1"/>
  <c r="A4001" i="1"/>
  <c r="B4000" i="1"/>
  <c r="A4000" i="1"/>
  <c r="A3999" i="1"/>
  <c r="B3998" i="1"/>
  <c r="A3998" i="1"/>
  <c r="B3997" i="1"/>
  <c r="A3997" i="1"/>
  <c r="B3996" i="1"/>
  <c r="A3996" i="1"/>
  <c r="B3995" i="1"/>
  <c r="A3995" i="1"/>
  <c r="A3994" i="1"/>
  <c r="B3993" i="1"/>
  <c r="A3993" i="1"/>
  <c r="B3992" i="1"/>
  <c r="A3992" i="1"/>
  <c r="B3991" i="1"/>
  <c r="A3991" i="1"/>
  <c r="A3990" i="1"/>
  <c r="B3989" i="1"/>
  <c r="A3989" i="1"/>
  <c r="B3988" i="1"/>
  <c r="A3988" i="1"/>
  <c r="B3987" i="1"/>
  <c r="A3987" i="1"/>
  <c r="B3986" i="1"/>
  <c r="A3986" i="1"/>
  <c r="B3985" i="1"/>
  <c r="A3985" i="1"/>
  <c r="B3984" i="1"/>
  <c r="A3984" i="1"/>
  <c r="B3983" i="1"/>
  <c r="A3983" i="1"/>
  <c r="B3982" i="1"/>
  <c r="A3982" i="1"/>
  <c r="B3981" i="1"/>
  <c r="A3981" i="1"/>
  <c r="B3980" i="1"/>
  <c r="A3980" i="1"/>
  <c r="B3979" i="1"/>
  <c r="A3979" i="1"/>
  <c r="B3978" i="1"/>
  <c r="A3978" i="1"/>
  <c r="B3977" i="1"/>
  <c r="A3977" i="1"/>
  <c r="B3976" i="1"/>
  <c r="A3976" i="1"/>
  <c r="A3975" i="1"/>
  <c r="B3974" i="1"/>
  <c r="A3974" i="1"/>
  <c r="A3973" i="1"/>
  <c r="B3972" i="1"/>
  <c r="A3972" i="1"/>
  <c r="B3971" i="1"/>
  <c r="A3971" i="1"/>
  <c r="B3970" i="1"/>
  <c r="A3970" i="1"/>
  <c r="A3969" i="1"/>
  <c r="A3968" i="1"/>
  <c r="B3967" i="1"/>
  <c r="A3967" i="1"/>
  <c r="B3966" i="1"/>
  <c r="A3966" i="1"/>
  <c r="A3965" i="1"/>
  <c r="B3964" i="1"/>
  <c r="A3964" i="1"/>
  <c r="B3963" i="1"/>
  <c r="A3963" i="1"/>
  <c r="B3962" i="1"/>
  <c r="A3962" i="1"/>
  <c r="B3961" i="1"/>
  <c r="A3961" i="1"/>
  <c r="A3960" i="1"/>
  <c r="B3959" i="1"/>
  <c r="A3959" i="1"/>
  <c r="B3958" i="1"/>
  <c r="A3958" i="1"/>
  <c r="A3957" i="1"/>
  <c r="B3956" i="1"/>
  <c r="A3956" i="1"/>
  <c r="B3955" i="1"/>
  <c r="A3955" i="1"/>
  <c r="A3954" i="1"/>
  <c r="B3953" i="1"/>
  <c r="A3953" i="1"/>
  <c r="B3952" i="1"/>
  <c r="A3952" i="1"/>
  <c r="B3951" i="1"/>
  <c r="A3951" i="1"/>
  <c r="B3950" i="1"/>
  <c r="A3950" i="1"/>
  <c r="A3949" i="1"/>
  <c r="B3948" i="1"/>
  <c r="A3948" i="1"/>
  <c r="B3947" i="1"/>
  <c r="A3947" i="1"/>
  <c r="B3946" i="1"/>
  <c r="A3946" i="1"/>
  <c r="B3945" i="1"/>
  <c r="A3945" i="1"/>
  <c r="B3944" i="1"/>
  <c r="A3944" i="1"/>
  <c r="B3943" i="1"/>
  <c r="A3943" i="1"/>
  <c r="B3942" i="1"/>
  <c r="A3942" i="1"/>
  <c r="B3941" i="1"/>
  <c r="A3941" i="1"/>
  <c r="B3940" i="1"/>
  <c r="A3940" i="1"/>
  <c r="A3939" i="1"/>
  <c r="A3938" i="1"/>
  <c r="A3937" i="1"/>
  <c r="B3936" i="1"/>
  <c r="A3936" i="1"/>
  <c r="B3935" i="1"/>
  <c r="A3935" i="1"/>
  <c r="B3934" i="1"/>
  <c r="A3934" i="1"/>
  <c r="A3933" i="1"/>
  <c r="B3932" i="1"/>
  <c r="A3932" i="1"/>
  <c r="A3931" i="1"/>
  <c r="B3930" i="1"/>
  <c r="A3930" i="1"/>
  <c r="B3929" i="1"/>
  <c r="A3929" i="1"/>
  <c r="B3928" i="1"/>
  <c r="A3928" i="1"/>
  <c r="B3927" i="1"/>
  <c r="A3927" i="1"/>
  <c r="B3926" i="1"/>
  <c r="A3926" i="1"/>
  <c r="A3925" i="1"/>
  <c r="B3924" i="1"/>
  <c r="A3924" i="1"/>
  <c r="B3923" i="1"/>
  <c r="A3923" i="1"/>
  <c r="B3922" i="1"/>
  <c r="A3922" i="1"/>
  <c r="B3921" i="1"/>
  <c r="A3921" i="1"/>
  <c r="B3920" i="1"/>
  <c r="A3920" i="1"/>
  <c r="A3919" i="1"/>
  <c r="B3918" i="1"/>
  <c r="A3918" i="1"/>
  <c r="B3917" i="1"/>
  <c r="A3917" i="1"/>
  <c r="B3916" i="1"/>
  <c r="A3916" i="1"/>
  <c r="B3915" i="1"/>
  <c r="A3915" i="1"/>
  <c r="B3914" i="1"/>
  <c r="A3914" i="1"/>
  <c r="A3913" i="1"/>
  <c r="B3912" i="1"/>
  <c r="A3912" i="1"/>
  <c r="B3911" i="1"/>
  <c r="A3911" i="1"/>
  <c r="B3910" i="1"/>
  <c r="A3910" i="1"/>
  <c r="B3909" i="1"/>
  <c r="A3909" i="1"/>
  <c r="A3908" i="1"/>
  <c r="A3907" i="1"/>
  <c r="B3906" i="1"/>
  <c r="A3906" i="1"/>
  <c r="B3905" i="1"/>
  <c r="A3905" i="1"/>
  <c r="A3904" i="1"/>
  <c r="B3903" i="1"/>
  <c r="A3903" i="1"/>
  <c r="B3902" i="1"/>
  <c r="A3902" i="1"/>
  <c r="A3901" i="1"/>
  <c r="B3900" i="1"/>
  <c r="A3900" i="1"/>
  <c r="A3899" i="1"/>
  <c r="B3898" i="1"/>
  <c r="A3898" i="1"/>
  <c r="B3897" i="1"/>
  <c r="A3897" i="1"/>
  <c r="B3896" i="1"/>
  <c r="A3896" i="1"/>
  <c r="B3895" i="1"/>
  <c r="A3895" i="1"/>
  <c r="B3894" i="1"/>
  <c r="A3894" i="1"/>
  <c r="A3893" i="1"/>
  <c r="B3892" i="1"/>
  <c r="A3892" i="1"/>
  <c r="B3891" i="1"/>
  <c r="A3891" i="1"/>
  <c r="A3890" i="1"/>
  <c r="B3889" i="1"/>
  <c r="A3889" i="1"/>
  <c r="B3888" i="1"/>
  <c r="A3888" i="1"/>
  <c r="B3887" i="1"/>
  <c r="A3887" i="1"/>
  <c r="B3886" i="1"/>
  <c r="A3886" i="1"/>
  <c r="A3885" i="1"/>
  <c r="B3884" i="1"/>
  <c r="A3884" i="1"/>
  <c r="B3883" i="1"/>
  <c r="A3883" i="1"/>
  <c r="A3882" i="1"/>
  <c r="B3881" i="1"/>
  <c r="A3881" i="1"/>
  <c r="B3880" i="1"/>
  <c r="A3880" i="1"/>
  <c r="B3879" i="1"/>
  <c r="A3879" i="1"/>
  <c r="B3878" i="1"/>
  <c r="A3878" i="1"/>
  <c r="B3877" i="1"/>
  <c r="A3877" i="1"/>
  <c r="B3876" i="1"/>
  <c r="A3876" i="1"/>
  <c r="A3875" i="1"/>
  <c r="B3874" i="1"/>
  <c r="A3874" i="1"/>
  <c r="B3873" i="1"/>
  <c r="A3873" i="1"/>
  <c r="B3872" i="1"/>
  <c r="A3872" i="1"/>
  <c r="A3871" i="1"/>
  <c r="B3870" i="1"/>
  <c r="A3870" i="1"/>
  <c r="B3869" i="1"/>
  <c r="A3869" i="1"/>
  <c r="B3868" i="1"/>
  <c r="A3868" i="1"/>
  <c r="B3867" i="1"/>
  <c r="A3867" i="1"/>
  <c r="B3866" i="1"/>
  <c r="A3866" i="1"/>
  <c r="B3865" i="1"/>
  <c r="A3865" i="1"/>
  <c r="B3864" i="1"/>
  <c r="A3864" i="1"/>
  <c r="B3863" i="1"/>
  <c r="A3863" i="1"/>
  <c r="A3862" i="1"/>
  <c r="B3861" i="1"/>
  <c r="A3861" i="1"/>
  <c r="A3860" i="1"/>
  <c r="B3859" i="1"/>
  <c r="A3859" i="1"/>
  <c r="B3858" i="1"/>
  <c r="A3858" i="1"/>
  <c r="B3857" i="1"/>
  <c r="A3857" i="1"/>
  <c r="A3856" i="1"/>
  <c r="B3855" i="1"/>
  <c r="A3855" i="1"/>
  <c r="A3854" i="1"/>
  <c r="B3853" i="1"/>
  <c r="A3853" i="1"/>
  <c r="B3852" i="1"/>
  <c r="A3852" i="1"/>
  <c r="B3851" i="1"/>
  <c r="A3851" i="1"/>
  <c r="B3850" i="1"/>
  <c r="A3850" i="1"/>
  <c r="A3849" i="1"/>
  <c r="B3848" i="1"/>
  <c r="A3848" i="1"/>
  <c r="A3847" i="1"/>
  <c r="B3846" i="1"/>
  <c r="A3846" i="1"/>
  <c r="B3845" i="1"/>
  <c r="A3845" i="1"/>
  <c r="B3844" i="1"/>
  <c r="A3844" i="1"/>
  <c r="B3843" i="1"/>
  <c r="A3843" i="1"/>
  <c r="B3842" i="1"/>
  <c r="A3842" i="1"/>
  <c r="B3841" i="1"/>
  <c r="A3841" i="1"/>
  <c r="B3840" i="1"/>
  <c r="A3840" i="1"/>
  <c r="B3839" i="1"/>
  <c r="A3839" i="1"/>
  <c r="A3838" i="1"/>
  <c r="B3837" i="1"/>
  <c r="A3837" i="1"/>
  <c r="B3836" i="1"/>
  <c r="A3836" i="1"/>
  <c r="A3835" i="1"/>
  <c r="A3834" i="1"/>
  <c r="A3833" i="1"/>
  <c r="B3832" i="1"/>
  <c r="A3832" i="1"/>
  <c r="A3831" i="1"/>
  <c r="A3830" i="1"/>
  <c r="A3829" i="1"/>
  <c r="B3828" i="1"/>
  <c r="A3828" i="1"/>
  <c r="B3827" i="1"/>
  <c r="A3827" i="1"/>
  <c r="B3826" i="1"/>
  <c r="A3826" i="1"/>
  <c r="A3825" i="1"/>
  <c r="B3824" i="1"/>
  <c r="A3824" i="1"/>
  <c r="B3823" i="1"/>
  <c r="A3823" i="1"/>
  <c r="A3822" i="1"/>
  <c r="B3821" i="1"/>
  <c r="A3821" i="1"/>
  <c r="B3820" i="1"/>
  <c r="A3820" i="1"/>
  <c r="B3819" i="1"/>
  <c r="A3819" i="1"/>
  <c r="B3818" i="1"/>
  <c r="A3818" i="1"/>
  <c r="B3817" i="1"/>
  <c r="A3817" i="1"/>
  <c r="B3816" i="1"/>
  <c r="A3816" i="1"/>
  <c r="B3815" i="1"/>
  <c r="A3815" i="1"/>
  <c r="B3814" i="1"/>
  <c r="A3814" i="1"/>
  <c r="B3813" i="1"/>
  <c r="A3813" i="1"/>
  <c r="B3812" i="1"/>
  <c r="A3812" i="1"/>
  <c r="B3811" i="1"/>
  <c r="A3811" i="1"/>
  <c r="B3810" i="1"/>
  <c r="A3810" i="1"/>
  <c r="B3809" i="1"/>
  <c r="A3809" i="1"/>
  <c r="B3808" i="1"/>
  <c r="A3808" i="1"/>
  <c r="B3807" i="1"/>
  <c r="A3807" i="1"/>
  <c r="B3806" i="1"/>
  <c r="A3806" i="1"/>
  <c r="B3805" i="1"/>
  <c r="A3805" i="1"/>
  <c r="B3804" i="1"/>
  <c r="A3804" i="1"/>
  <c r="B3803" i="1"/>
  <c r="A3803" i="1"/>
  <c r="B3802" i="1"/>
  <c r="A3802" i="1"/>
  <c r="B3801" i="1"/>
  <c r="A3801" i="1"/>
  <c r="B3800" i="1"/>
  <c r="A3800" i="1"/>
  <c r="A3799" i="1"/>
  <c r="B3798" i="1"/>
  <c r="A3798" i="1"/>
  <c r="A3797" i="1"/>
  <c r="B3796" i="1"/>
  <c r="A3796" i="1"/>
  <c r="B3795" i="1"/>
  <c r="A3795" i="1"/>
  <c r="B3794" i="1"/>
  <c r="A3794" i="1"/>
  <c r="B3793" i="1"/>
  <c r="A3793" i="1"/>
  <c r="B3792" i="1"/>
  <c r="A3792" i="1"/>
  <c r="B3791" i="1"/>
  <c r="A3791" i="1"/>
  <c r="B3790" i="1"/>
  <c r="A3790" i="1"/>
  <c r="B3789" i="1"/>
  <c r="A3789" i="1"/>
  <c r="A3788" i="1"/>
  <c r="B3787" i="1"/>
  <c r="A3787" i="1"/>
  <c r="B3786" i="1"/>
  <c r="A3786" i="1"/>
  <c r="A3785" i="1"/>
  <c r="B3784" i="1"/>
  <c r="A3784" i="1"/>
  <c r="B3783" i="1"/>
  <c r="A3783" i="1"/>
  <c r="A3782" i="1"/>
  <c r="A3781" i="1"/>
  <c r="B3780" i="1"/>
  <c r="A3780" i="1"/>
  <c r="B3779" i="1"/>
  <c r="A3779" i="1"/>
  <c r="B3778" i="1"/>
  <c r="A3778" i="1"/>
  <c r="B3777" i="1"/>
  <c r="A3777" i="1"/>
  <c r="A3776" i="1"/>
  <c r="A3775" i="1"/>
  <c r="A3774" i="1"/>
  <c r="B3773" i="1"/>
  <c r="A3773" i="1"/>
  <c r="B3772" i="1"/>
  <c r="A3772" i="1"/>
  <c r="B3771" i="1"/>
  <c r="A3771" i="1"/>
  <c r="B3770" i="1"/>
  <c r="A3770" i="1"/>
  <c r="A3769" i="1"/>
  <c r="B3768" i="1"/>
  <c r="A3768" i="1"/>
  <c r="A3767" i="1"/>
  <c r="A3766" i="1"/>
  <c r="B3765" i="1"/>
  <c r="A3765" i="1"/>
  <c r="B3764" i="1"/>
  <c r="A3764" i="1"/>
  <c r="B3763" i="1"/>
  <c r="A3763" i="1"/>
  <c r="B3762" i="1"/>
  <c r="A3762" i="1"/>
  <c r="B3761" i="1"/>
  <c r="A3761" i="1"/>
  <c r="B3760" i="1"/>
  <c r="A3760" i="1"/>
  <c r="B3759" i="1"/>
  <c r="A3759" i="1"/>
  <c r="B3758" i="1"/>
  <c r="A3758" i="1"/>
  <c r="A3757" i="1"/>
  <c r="B3756" i="1"/>
  <c r="A3756" i="1"/>
  <c r="A3755" i="1"/>
  <c r="A3754" i="1"/>
  <c r="B3753" i="1"/>
  <c r="A3753" i="1"/>
  <c r="B3752" i="1"/>
  <c r="A3752" i="1"/>
  <c r="A3751" i="1"/>
  <c r="B3750" i="1"/>
  <c r="A3750" i="1"/>
  <c r="B3749" i="1"/>
  <c r="A3749" i="1"/>
  <c r="A3748" i="1"/>
  <c r="A3747" i="1"/>
  <c r="A3746" i="1"/>
  <c r="A3745" i="1"/>
  <c r="A3744" i="1"/>
  <c r="B3743" i="1"/>
  <c r="A3743" i="1"/>
  <c r="B3742" i="1"/>
  <c r="A3742" i="1"/>
  <c r="B3741" i="1"/>
  <c r="A3741" i="1"/>
  <c r="B3740" i="1"/>
  <c r="A3740" i="1"/>
  <c r="B3739" i="1"/>
  <c r="A3739" i="1"/>
  <c r="A3738" i="1"/>
  <c r="B3737" i="1"/>
  <c r="A3737" i="1"/>
  <c r="B3736" i="1"/>
  <c r="A3736" i="1"/>
  <c r="B3735" i="1"/>
  <c r="A3735" i="1"/>
  <c r="B3734" i="1"/>
  <c r="A3734" i="1"/>
  <c r="B3733" i="1"/>
  <c r="A3733" i="1"/>
  <c r="B3732" i="1"/>
  <c r="A3732" i="1"/>
  <c r="B3731" i="1"/>
  <c r="A3731" i="1"/>
  <c r="B3730" i="1"/>
  <c r="A3730" i="1"/>
  <c r="B3729" i="1"/>
  <c r="A3729" i="1"/>
  <c r="B3728" i="1"/>
  <c r="A3728" i="1"/>
  <c r="A3727" i="1"/>
  <c r="B3726" i="1"/>
  <c r="A3726" i="1"/>
  <c r="B3725" i="1"/>
  <c r="A3725" i="1"/>
  <c r="A3724" i="1"/>
  <c r="B3723" i="1"/>
  <c r="A3723" i="1"/>
  <c r="B3722" i="1"/>
  <c r="A3722" i="1"/>
  <c r="A3721" i="1"/>
  <c r="B3720" i="1"/>
  <c r="A3720" i="1"/>
  <c r="B3719" i="1"/>
  <c r="A3719" i="1"/>
  <c r="B3718" i="1"/>
  <c r="A3718" i="1"/>
  <c r="B3717" i="1"/>
  <c r="A3717" i="1"/>
  <c r="B3716" i="1"/>
  <c r="A3716" i="1"/>
  <c r="B3715" i="1"/>
  <c r="A3715" i="1"/>
  <c r="B3714" i="1"/>
  <c r="A3714" i="1"/>
  <c r="B3713" i="1"/>
  <c r="A3713" i="1"/>
  <c r="B3712" i="1"/>
  <c r="A3712" i="1"/>
  <c r="A3711" i="1"/>
  <c r="B3710" i="1"/>
  <c r="A3710" i="1"/>
  <c r="B3709" i="1"/>
  <c r="A3709" i="1"/>
  <c r="B3708" i="1"/>
  <c r="A3708" i="1"/>
  <c r="B3707" i="1"/>
  <c r="A3707" i="1"/>
  <c r="B3706" i="1"/>
  <c r="A3706" i="1"/>
  <c r="B3705" i="1"/>
  <c r="A3705" i="1"/>
  <c r="A3704" i="1"/>
  <c r="B3703" i="1"/>
  <c r="A3703" i="1"/>
  <c r="B3702" i="1"/>
  <c r="A3702" i="1"/>
  <c r="B3701" i="1"/>
  <c r="A3701" i="1"/>
  <c r="B3700" i="1"/>
  <c r="A3700" i="1"/>
  <c r="B3699" i="1"/>
  <c r="A3699" i="1"/>
  <c r="A3698" i="1"/>
  <c r="A3697" i="1"/>
  <c r="A3696" i="1"/>
  <c r="B3695" i="1"/>
  <c r="A3695" i="1"/>
  <c r="B3694" i="1"/>
  <c r="A3694" i="1"/>
  <c r="B3693" i="1"/>
  <c r="A3693" i="1"/>
  <c r="B3692" i="1"/>
  <c r="A3692" i="1"/>
  <c r="B3691" i="1"/>
  <c r="A3691" i="1"/>
  <c r="B3690" i="1"/>
  <c r="A3690" i="1"/>
  <c r="B3689" i="1"/>
  <c r="A3689" i="1"/>
  <c r="B3688" i="1"/>
  <c r="A3688" i="1"/>
  <c r="A3687" i="1"/>
  <c r="A3686" i="1"/>
  <c r="B3685" i="1"/>
  <c r="A3685" i="1"/>
  <c r="B3684" i="1"/>
  <c r="A3684" i="1"/>
  <c r="A3683" i="1"/>
  <c r="B3682" i="1"/>
  <c r="A3682" i="1"/>
  <c r="B3681" i="1"/>
  <c r="A3681" i="1"/>
  <c r="B3680" i="1"/>
  <c r="A3680" i="1"/>
  <c r="A3679" i="1"/>
  <c r="A3678" i="1"/>
  <c r="B3677" i="1"/>
  <c r="A3677" i="1"/>
  <c r="B3676" i="1"/>
  <c r="A3676" i="1"/>
  <c r="B3675" i="1"/>
  <c r="A3675" i="1"/>
  <c r="B3674" i="1"/>
  <c r="A3674" i="1"/>
  <c r="B3673" i="1"/>
  <c r="A3673" i="1"/>
  <c r="A3672" i="1"/>
  <c r="A3671" i="1"/>
  <c r="B3670" i="1"/>
  <c r="A3670" i="1"/>
  <c r="B3669" i="1"/>
  <c r="A3669" i="1"/>
  <c r="B3668" i="1"/>
  <c r="A3668" i="1"/>
  <c r="B3667" i="1"/>
  <c r="A3667" i="1"/>
  <c r="B3666" i="1"/>
  <c r="A3666" i="1"/>
  <c r="B3665" i="1"/>
  <c r="A3665" i="1"/>
  <c r="A3664" i="1"/>
  <c r="B3663" i="1"/>
  <c r="A3663" i="1"/>
  <c r="B3662" i="1"/>
  <c r="A3662" i="1"/>
  <c r="B3661" i="1"/>
  <c r="A3661" i="1"/>
  <c r="B3660" i="1"/>
  <c r="A3660" i="1"/>
  <c r="B3659" i="1"/>
  <c r="A3659" i="1"/>
  <c r="B3658" i="1"/>
  <c r="A3658" i="1"/>
  <c r="B3657" i="1"/>
  <c r="A3657" i="1"/>
  <c r="B3656" i="1"/>
  <c r="A3656" i="1"/>
  <c r="A3655" i="1"/>
  <c r="B3654" i="1"/>
  <c r="A3654" i="1"/>
  <c r="B3653" i="1"/>
  <c r="A3653" i="1"/>
  <c r="B3652" i="1"/>
  <c r="A3652" i="1"/>
  <c r="B3651" i="1"/>
  <c r="A3651" i="1"/>
  <c r="B3650" i="1"/>
  <c r="A3650" i="1"/>
  <c r="B3649" i="1"/>
  <c r="A3649" i="1"/>
  <c r="B3648" i="1"/>
  <c r="A3648" i="1"/>
  <c r="B3647" i="1"/>
  <c r="A3647" i="1"/>
  <c r="A3646" i="1"/>
  <c r="B3645" i="1"/>
  <c r="A3645" i="1"/>
  <c r="B3644" i="1"/>
  <c r="A3644" i="1"/>
  <c r="B3643" i="1"/>
  <c r="A3643" i="1"/>
  <c r="B3642" i="1"/>
  <c r="A3642" i="1"/>
  <c r="A3641" i="1"/>
  <c r="B3640" i="1"/>
  <c r="A3640" i="1"/>
  <c r="B3639" i="1"/>
  <c r="A3639" i="1"/>
  <c r="B3638" i="1"/>
  <c r="A3638" i="1"/>
  <c r="B3637" i="1"/>
  <c r="A3637" i="1"/>
  <c r="A3636" i="1"/>
  <c r="B3635" i="1"/>
  <c r="A3635" i="1"/>
  <c r="B3634" i="1"/>
  <c r="A3634" i="1"/>
  <c r="B3633" i="1"/>
  <c r="A3633" i="1"/>
  <c r="B3632" i="1"/>
  <c r="A3632" i="1"/>
  <c r="B3631" i="1"/>
  <c r="A3631" i="1"/>
  <c r="B3630" i="1"/>
  <c r="A3630" i="1"/>
  <c r="A3629" i="1"/>
  <c r="B3628" i="1"/>
  <c r="A3628" i="1"/>
  <c r="B3627" i="1"/>
  <c r="A3627" i="1"/>
  <c r="A3626" i="1"/>
  <c r="B3625" i="1"/>
  <c r="A3625" i="1"/>
  <c r="A3624" i="1"/>
  <c r="B3623" i="1"/>
  <c r="A3623" i="1"/>
  <c r="A3622" i="1"/>
  <c r="A3621" i="1"/>
  <c r="B3620" i="1"/>
  <c r="A3620" i="1"/>
  <c r="A3619" i="1"/>
  <c r="A3618" i="1"/>
  <c r="B3617" i="1"/>
  <c r="A3617" i="1"/>
  <c r="B3616" i="1"/>
  <c r="A3616" i="1"/>
  <c r="B3615" i="1"/>
  <c r="A3615" i="1"/>
  <c r="B3614" i="1"/>
  <c r="A3614" i="1"/>
  <c r="B3613" i="1"/>
  <c r="A3613" i="1"/>
  <c r="B3612" i="1"/>
  <c r="A3612" i="1"/>
  <c r="B3611" i="1"/>
  <c r="A3611" i="1"/>
  <c r="A3610" i="1"/>
  <c r="B3609" i="1"/>
  <c r="A3609" i="1"/>
  <c r="B3608" i="1"/>
  <c r="A3608" i="1"/>
  <c r="B3607" i="1"/>
  <c r="A3607" i="1"/>
  <c r="B3606" i="1"/>
  <c r="A3606" i="1"/>
  <c r="B3605" i="1"/>
  <c r="A3605" i="1"/>
  <c r="B3604" i="1"/>
  <c r="A3604" i="1"/>
  <c r="B3603" i="1"/>
  <c r="A3603" i="1"/>
  <c r="A3602" i="1"/>
  <c r="B3601" i="1"/>
  <c r="A3601" i="1"/>
  <c r="B3600" i="1"/>
  <c r="A3600" i="1"/>
  <c r="B3599" i="1"/>
  <c r="A3599" i="1"/>
  <c r="B3598" i="1"/>
  <c r="A3598" i="1"/>
  <c r="B3597" i="1"/>
  <c r="A3597" i="1"/>
  <c r="A3596" i="1"/>
  <c r="B3595" i="1"/>
  <c r="A3595" i="1"/>
  <c r="B3594" i="1"/>
  <c r="A3594" i="1"/>
  <c r="B3593" i="1"/>
  <c r="A3593" i="1"/>
  <c r="B3592" i="1"/>
  <c r="A3592" i="1"/>
  <c r="B3591" i="1"/>
  <c r="A3591" i="1"/>
  <c r="A3590" i="1"/>
  <c r="B3589" i="1"/>
  <c r="A3589" i="1"/>
  <c r="B3588" i="1"/>
  <c r="A3588" i="1"/>
  <c r="B3587" i="1"/>
  <c r="A3587" i="1"/>
  <c r="B3586" i="1"/>
  <c r="A3586" i="1"/>
  <c r="B3585" i="1"/>
  <c r="A3585" i="1"/>
  <c r="B3584" i="1"/>
  <c r="A3584" i="1"/>
  <c r="B3583" i="1"/>
  <c r="A3583" i="1"/>
  <c r="B3582" i="1"/>
  <c r="A3582" i="1"/>
  <c r="A3581" i="1"/>
  <c r="B3580" i="1"/>
  <c r="A3580" i="1"/>
  <c r="B3579" i="1"/>
  <c r="A3579" i="1"/>
  <c r="B3578" i="1"/>
  <c r="A3578" i="1"/>
  <c r="B3577" i="1"/>
  <c r="A3577" i="1"/>
  <c r="B3576" i="1"/>
  <c r="A3576" i="1"/>
  <c r="B3575" i="1"/>
  <c r="A3575" i="1"/>
  <c r="B3574" i="1"/>
  <c r="A3574" i="1"/>
  <c r="A3573" i="1"/>
  <c r="B3572" i="1"/>
  <c r="A3572" i="1"/>
  <c r="B3571" i="1"/>
  <c r="A3571" i="1"/>
  <c r="B3570" i="1"/>
  <c r="A3570" i="1"/>
  <c r="B3569" i="1"/>
  <c r="A3569" i="1"/>
  <c r="B3568" i="1"/>
  <c r="A3568" i="1"/>
  <c r="A3567" i="1"/>
  <c r="B3566" i="1"/>
  <c r="A3566" i="1"/>
  <c r="B3565" i="1"/>
  <c r="A3565" i="1"/>
  <c r="B3564" i="1"/>
  <c r="A3564" i="1"/>
  <c r="B3563" i="1"/>
  <c r="A3563" i="1"/>
  <c r="B3562" i="1"/>
  <c r="A3562" i="1"/>
  <c r="B3561" i="1"/>
  <c r="A3561" i="1"/>
  <c r="B3560" i="1"/>
  <c r="A3560" i="1"/>
  <c r="B3559" i="1"/>
  <c r="A3559" i="1"/>
  <c r="B3558" i="1"/>
  <c r="A3558" i="1"/>
  <c r="B3557" i="1"/>
  <c r="A3557" i="1"/>
  <c r="B3556" i="1"/>
  <c r="A3556" i="1"/>
  <c r="B3555" i="1"/>
  <c r="A3555" i="1"/>
  <c r="A3554" i="1"/>
  <c r="A3553" i="1"/>
  <c r="A3552" i="1"/>
  <c r="A3551" i="1"/>
  <c r="B3550" i="1"/>
  <c r="A3550" i="1"/>
  <c r="B3549" i="1"/>
  <c r="A3549" i="1"/>
  <c r="A3548" i="1"/>
  <c r="B3547" i="1"/>
  <c r="A3547" i="1"/>
  <c r="B3546" i="1"/>
  <c r="A3546" i="1"/>
  <c r="B3545" i="1"/>
  <c r="A3545" i="1"/>
  <c r="B3544" i="1"/>
  <c r="A3544" i="1"/>
  <c r="A3543" i="1"/>
  <c r="B3542" i="1"/>
  <c r="A3542" i="1"/>
  <c r="B3541" i="1"/>
  <c r="A3541" i="1"/>
  <c r="B3540" i="1"/>
  <c r="A3540" i="1"/>
  <c r="B3539" i="1"/>
  <c r="A3539" i="1"/>
  <c r="B3538" i="1"/>
  <c r="A3538" i="1"/>
  <c r="B3537" i="1"/>
  <c r="A3537" i="1"/>
  <c r="B3536" i="1"/>
  <c r="A3536" i="1"/>
  <c r="B3535" i="1"/>
  <c r="A3535" i="1"/>
  <c r="B3534" i="1"/>
  <c r="A3534" i="1"/>
  <c r="B3533" i="1"/>
  <c r="A3533" i="1"/>
  <c r="B3532" i="1"/>
  <c r="A3532" i="1"/>
  <c r="B3531" i="1"/>
  <c r="A3531" i="1"/>
  <c r="B3530" i="1"/>
  <c r="A3530" i="1"/>
  <c r="A3529" i="1"/>
  <c r="B3528" i="1"/>
  <c r="A3528" i="1"/>
  <c r="B3527" i="1"/>
  <c r="A3527" i="1"/>
  <c r="B3526" i="1"/>
  <c r="A3526" i="1"/>
  <c r="B3525" i="1"/>
  <c r="A3525" i="1"/>
  <c r="B3524" i="1"/>
  <c r="A3524" i="1"/>
  <c r="B3523" i="1"/>
  <c r="A3523" i="1"/>
  <c r="B3522" i="1"/>
  <c r="A3522" i="1"/>
  <c r="B3521" i="1"/>
  <c r="A3521" i="1"/>
  <c r="B3520" i="1"/>
  <c r="A3520" i="1"/>
  <c r="A3519" i="1"/>
  <c r="A3518" i="1"/>
  <c r="B3517" i="1"/>
  <c r="A3517" i="1"/>
  <c r="B3516" i="1"/>
  <c r="A3516" i="1"/>
  <c r="B3515" i="1"/>
  <c r="A3515" i="1"/>
  <c r="B3514" i="1"/>
  <c r="A3514" i="1"/>
  <c r="A3513" i="1"/>
  <c r="B3512" i="1"/>
  <c r="A3512" i="1"/>
  <c r="B3511" i="1"/>
  <c r="A3511" i="1"/>
  <c r="B3510" i="1"/>
  <c r="A3510" i="1"/>
  <c r="B3509" i="1"/>
  <c r="A3509" i="1"/>
  <c r="B3508" i="1"/>
  <c r="A3508" i="1"/>
  <c r="B3507" i="1"/>
  <c r="A3507" i="1"/>
  <c r="B3506" i="1"/>
  <c r="A3506" i="1"/>
  <c r="A3505" i="1"/>
  <c r="B3504" i="1"/>
  <c r="A3504" i="1"/>
  <c r="B3503" i="1"/>
  <c r="A3503" i="1"/>
  <c r="B3502" i="1"/>
  <c r="A3502" i="1"/>
  <c r="B3501" i="1"/>
  <c r="A3501" i="1"/>
  <c r="B3500" i="1"/>
  <c r="A3500" i="1"/>
  <c r="A3499" i="1"/>
  <c r="B3498" i="1"/>
  <c r="A3498" i="1"/>
  <c r="A3497" i="1"/>
  <c r="B3496" i="1"/>
  <c r="A3496" i="1"/>
  <c r="B3495" i="1"/>
  <c r="A3495" i="1"/>
  <c r="B3494" i="1"/>
  <c r="A3494" i="1"/>
  <c r="B3493" i="1"/>
  <c r="A3493" i="1"/>
  <c r="B3492" i="1"/>
  <c r="A3492" i="1"/>
  <c r="A3491" i="1"/>
  <c r="B3490" i="1"/>
  <c r="A3490" i="1"/>
  <c r="B3489" i="1"/>
  <c r="A3489" i="1"/>
  <c r="B3488" i="1"/>
  <c r="A3488" i="1"/>
  <c r="A3487" i="1"/>
  <c r="B3486" i="1"/>
  <c r="A3486" i="1"/>
  <c r="A3485" i="1"/>
  <c r="B3484" i="1"/>
  <c r="A3484" i="1"/>
  <c r="B3483" i="1"/>
  <c r="A3483" i="1"/>
  <c r="B3482" i="1"/>
  <c r="A3482" i="1"/>
  <c r="B3481" i="1"/>
  <c r="A3481" i="1"/>
  <c r="B3480" i="1"/>
  <c r="A3480" i="1"/>
  <c r="B3479" i="1"/>
  <c r="A3479" i="1"/>
  <c r="B3478" i="1"/>
  <c r="A3478" i="1"/>
  <c r="B3477" i="1"/>
  <c r="A3477" i="1"/>
  <c r="B3476" i="1"/>
  <c r="A3476" i="1"/>
  <c r="B3475" i="1"/>
  <c r="A3475" i="1"/>
  <c r="B3474" i="1"/>
  <c r="A3474" i="1"/>
  <c r="B3473" i="1"/>
  <c r="A3473" i="1"/>
  <c r="A3472" i="1"/>
  <c r="A3471" i="1"/>
  <c r="B3470" i="1"/>
  <c r="A3470" i="1"/>
  <c r="B3469" i="1"/>
  <c r="A3469" i="1"/>
  <c r="B3468" i="1"/>
  <c r="A3468" i="1"/>
  <c r="B3467" i="1"/>
  <c r="A3467" i="1"/>
  <c r="B3466" i="1"/>
  <c r="A3466" i="1"/>
  <c r="B3465" i="1"/>
  <c r="A3465" i="1"/>
  <c r="B3464" i="1"/>
  <c r="A3464" i="1"/>
  <c r="B3463" i="1"/>
  <c r="A3463" i="1"/>
  <c r="A3462" i="1"/>
  <c r="B3461" i="1"/>
  <c r="A3461" i="1"/>
  <c r="B3460" i="1"/>
  <c r="A3460" i="1"/>
  <c r="B3459" i="1"/>
  <c r="A3459" i="1"/>
  <c r="B3458" i="1"/>
  <c r="A3458" i="1"/>
  <c r="A3457" i="1"/>
  <c r="B3456" i="1"/>
  <c r="A3456" i="1"/>
  <c r="A3455" i="1"/>
  <c r="A3454" i="1"/>
  <c r="B3453" i="1"/>
  <c r="A3453" i="1"/>
  <c r="B3452" i="1"/>
  <c r="A3452" i="1"/>
  <c r="B3451" i="1"/>
  <c r="A3451" i="1"/>
  <c r="B3450" i="1"/>
  <c r="A3450" i="1"/>
  <c r="B3449" i="1"/>
  <c r="A3449" i="1"/>
  <c r="A3448" i="1"/>
  <c r="A3447" i="1"/>
  <c r="B3446" i="1"/>
  <c r="A3446" i="1"/>
  <c r="B3445" i="1"/>
  <c r="A3445" i="1"/>
  <c r="B3444" i="1"/>
  <c r="A3444" i="1"/>
  <c r="A3443" i="1"/>
  <c r="B3442" i="1"/>
  <c r="A3442" i="1"/>
  <c r="B3441" i="1"/>
  <c r="A3441" i="1"/>
  <c r="B3440" i="1"/>
  <c r="A3440" i="1"/>
  <c r="B3439" i="1"/>
  <c r="A3439" i="1"/>
  <c r="A3438" i="1"/>
  <c r="B3437" i="1"/>
  <c r="A3437" i="1"/>
  <c r="B3436" i="1"/>
  <c r="A3436" i="1"/>
  <c r="B3435" i="1"/>
  <c r="A3435" i="1"/>
  <c r="B3434" i="1"/>
  <c r="A3434" i="1"/>
  <c r="B3433" i="1"/>
  <c r="A3433" i="1"/>
  <c r="B3432" i="1"/>
  <c r="A3432" i="1"/>
  <c r="B3431" i="1"/>
  <c r="A3431" i="1"/>
  <c r="B3430" i="1"/>
  <c r="A3430" i="1"/>
  <c r="A3429" i="1"/>
  <c r="B3428" i="1"/>
  <c r="A3428" i="1"/>
  <c r="A3427" i="1"/>
  <c r="B3426" i="1"/>
  <c r="A3426" i="1"/>
  <c r="A3425" i="1"/>
  <c r="B3424" i="1"/>
  <c r="A3424" i="1"/>
  <c r="B3423" i="1"/>
  <c r="A3423" i="1"/>
  <c r="B3422" i="1"/>
  <c r="A3422" i="1"/>
  <c r="B3421" i="1"/>
  <c r="A3421" i="1"/>
  <c r="B3420" i="1"/>
  <c r="A3420" i="1"/>
  <c r="B3419" i="1"/>
  <c r="A3419" i="1"/>
  <c r="B3418" i="1"/>
  <c r="A3418" i="1"/>
  <c r="B3417" i="1"/>
  <c r="A3417" i="1"/>
  <c r="B3416" i="1"/>
  <c r="A3416" i="1"/>
  <c r="B3415" i="1"/>
  <c r="A3415" i="1"/>
  <c r="B3414" i="1"/>
  <c r="A3414" i="1"/>
  <c r="B3413" i="1"/>
  <c r="A3413" i="1"/>
  <c r="B3412" i="1"/>
  <c r="A3412" i="1"/>
  <c r="A3411" i="1"/>
  <c r="A3410" i="1"/>
  <c r="A3409" i="1"/>
  <c r="B3408" i="1"/>
  <c r="A3408" i="1"/>
  <c r="A3407" i="1"/>
  <c r="B3406" i="1"/>
  <c r="A3406" i="1"/>
  <c r="B3405" i="1"/>
  <c r="A3405" i="1"/>
  <c r="B3404" i="1"/>
  <c r="A3404" i="1"/>
  <c r="B3403" i="1"/>
  <c r="A3403" i="1"/>
  <c r="A3402" i="1"/>
  <c r="A3401" i="1"/>
  <c r="B3400" i="1"/>
  <c r="A3400" i="1"/>
  <c r="B3399" i="1"/>
  <c r="A3399" i="1"/>
  <c r="B3398" i="1"/>
  <c r="A3398" i="1"/>
  <c r="B3397" i="1"/>
  <c r="A3397" i="1"/>
  <c r="B3396" i="1"/>
  <c r="A3396" i="1"/>
  <c r="A3395" i="1"/>
  <c r="A3394" i="1"/>
  <c r="A3393" i="1"/>
  <c r="B3392" i="1"/>
  <c r="A3392" i="1"/>
  <c r="B3391" i="1"/>
  <c r="A3391" i="1"/>
  <c r="B3390" i="1"/>
  <c r="A3390" i="1"/>
  <c r="B3389" i="1"/>
  <c r="A3389" i="1"/>
  <c r="B3388" i="1"/>
  <c r="A3388" i="1"/>
  <c r="B3387" i="1"/>
  <c r="A3387" i="1"/>
  <c r="B3386" i="1"/>
  <c r="A3386" i="1"/>
  <c r="B3385" i="1"/>
  <c r="A3385" i="1"/>
  <c r="B3384" i="1"/>
  <c r="A3384" i="1"/>
  <c r="B3383" i="1"/>
  <c r="A3383" i="1"/>
  <c r="A3382" i="1"/>
  <c r="B3381" i="1"/>
  <c r="A3381" i="1"/>
  <c r="A3380" i="1"/>
  <c r="A3379" i="1"/>
  <c r="B3378" i="1"/>
  <c r="A3378" i="1"/>
  <c r="B3377" i="1"/>
  <c r="A3377" i="1"/>
  <c r="A3376" i="1"/>
  <c r="B3375" i="1"/>
  <c r="A3375" i="1"/>
  <c r="B3374" i="1"/>
  <c r="A3374" i="1"/>
  <c r="B3373" i="1"/>
  <c r="A3373" i="1"/>
  <c r="B3372" i="1"/>
  <c r="A3372" i="1"/>
  <c r="B3371" i="1"/>
  <c r="A3371" i="1"/>
  <c r="B3370" i="1"/>
  <c r="A3370" i="1"/>
  <c r="B3369" i="1"/>
  <c r="A3369" i="1"/>
  <c r="B3368" i="1"/>
  <c r="A3368" i="1"/>
  <c r="B3367" i="1"/>
  <c r="A3367" i="1"/>
  <c r="B3366" i="1"/>
  <c r="A3366" i="1"/>
  <c r="B3365" i="1"/>
  <c r="A3365" i="1"/>
  <c r="B3364" i="1"/>
  <c r="A3364" i="1"/>
  <c r="B3363" i="1"/>
  <c r="A3363" i="1"/>
  <c r="B3362" i="1"/>
  <c r="A3362" i="1"/>
  <c r="B3361" i="1"/>
  <c r="A3361" i="1"/>
  <c r="B3360" i="1"/>
  <c r="A3360" i="1"/>
  <c r="B3359" i="1"/>
  <c r="A3359" i="1"/>
  <c r="B3358" i="1"/>
  <c r="A3358" i="1"/>
  <c r="B3357" i="1"/>
  <c r="A3357" i="1"/>
  <c r="B3356" i="1"/>
  <c r="A3356" i="1"/>
  <c r="B3355" i="1"/>
  <c r="A3355" i="1"/>
  <c r="B3354" i="1"/>
  <c r="A3354" i="1"/>
  <c r="A3353" i="1"/>
  <c r="B3352" i="1"/>
  <c r="A3352" i="1"/>
  <c r="A3351" i="1"/>
  <c r="B3350" i="1"/>
  <c r="A3350" i="1"/>
  <c r="B3349" i="1"/>
  <c r="A3349" i="1"/>
  <c r="B3348" i="1"/>
  <c r="A3348" i="1"/>
  <c r="B3347" i="1"/>
  <c r="A3347" i="1"/>
  <c r="B3346" i="1"/>
  <c r="A3346" i="1"/>
  <c r="B3345" i="1"/>
  <c r="A3345" i="1"/>
  <c r="A3344" i="1"/>
  <c r="B3343" i="1"/>
  <c r="A3343" i="1"/>
  <c r="B3342" i="1"/>
  <c r="A3342" i="1"/>
  <c r="B3341" i="1"/>
  <c r="A3341" i="1"/>
  <c r="B3340" i="1"/>
  <c r="A3340" i="1"/>
  <c r="B3339" i="1"/>
  <c r="A3339" i="1"/>
  <c r="B3338" i="1"/>
  <c r="A3338" i="1"/>
  <c r="B3337" i="1"/>
  <c r="A3337" i="1"/>
  <c r="B3336" i="1"/>
  <c r="A3336" i="1"/>
  <c r="B3335" i="1"/>
  <c r="A3335" i="1"/>
  <c r="B3334" i="1"/>
  <c r="A3334" i="1"/>
  <c r="A3333" i="1"/>
  <c r="B3332" i="1"/>
  <c r="A3332" i="1"/>
  <c r="A3331" i="1"/>
  <c r="B3330" i="1"/>
  <c r="A3330" i="1"/>
  <c r="B3329" i="1"/>
  <c r="A3329" i="1"/>
  <c r="A3328" i="1"/>
  <c r="B3327" i="1"/>
  <c r="A3327" i="1"/>
  <c r="B3326" i="1"/>
  <c r="A3326" i="1"/>
  <c r="B3325" i="1"/>
  <c r="A3325" i="1"/>
  <c r="B3324" i="1"/>
  <c r="A3324" i="1"/>
  <c r="B3323" i="1"/>
  <c r="A3323" i="1"/>
  <c r="B3322" i="1"/>
  <c r="A3322" i="1"/>
  <c r="B3321" i="1"/>
  <c r="A3321" i="1"/>
  <c r="B3320" i="1"/>
  <c r="A3320" i="1"/>
  <c r="B3319" i="1"/>
  <c r="A3319" i="1"/>
  <c r="A3318" i="1"/>
  <c r="B3317" i="1"/>
  <c r="A3317" i="1"/>
  <c r="B3316" i="1"/>
  <c r="A3316" i="1"/>
  <c r="B3315" i="1"/>
  <c r="A3315" i="1"/>
  <c r="B3314" i="1"/>
  <c r="A3314" i="1"/>
  <c r="B3313" i="1"/>
  <c r="A3313" i="1"/>
  <c r="B3312" i="1"/>
  <c r="A3312" i="1"/>
  <c r="B3311" i="1"/>
  <c r="A3311" i="1"/>
  <c r="A3310" i="1"/>
  <c r="B3309" i="1"/>
  <c r="A3309" i="1"/>
  <c r="B3308" i="1"/>
  <c r="A3308" i="1"/>
  <c r="A3307" i="1"/>
  <c r="B3306" i="1"/>
  <c r="A3306" i="1"/>
  <c r="A3305" i="1"/>
  <c r="B3304" i="1"/>
  <c r="A3304" i="1"/>
  <c r="B3303" i="1"/>
  <c r="A3303" i="1"/>
  <c r="B3302" i="1"/>
  <c r="A3302" i="1"/>
  <c r="B3301" i="1"/>
  <c r="A3301" i="1"/>
  <c r="B3300" i="1"/>
  <c r="A3300" i="1"/>
  <c r="B3299" i="1"/>
  <c r="A3299" i="1"/>
  <c r="B3298" i="1"/>
  <c r="A3298" i="1"/>
  <c r="A3297" i="1"/>
  <c r="B3296" i="1"/>
  <c r="A3296" i="1"/>
  <c r="B3295" i="1"/>
  <c r="A3295" i="1"/>
  <c r="B3294" i="1"/>
  <c r="A3294" i="1"/>
  <c r="A3293" i="1"/>
  <c r="A3292" i="1"/>
  <c r="B3291" i="1"/>
  <c r="A3291" i="1"/>
  <c r="B3290" i="1"/>
  <c r="A3290" i="1"/>
  <c r="B3289" i="1"/>
  <c r="A3289" i="1"/>
  <c r="A3288" i="1"/>
  <c r="B3287" i="1"/>
  <c r="A3287" i="1"/>
  <c r="B3286" i="1"/>
  <c r="A3286" i="1"/>
  <c r="B3285" i="1"/>
  <c r="A3285" i="1"/>
  <c r="B3284" i="1"/>
  <c r="A3284" i="1"/>
  <c r="B3283" i="1"/>
  <c r="A3283" i="1"/>
  <c r="B3282" i="1"/>
  <c r="A3282" i="1"/>
  <c r="B3281" i="1"/>
  <c r="A3281" i="1"/>
  <c r="B3280" i="1"/>
  <c r="A3280" i="1"/>
  <c r="B3279" i="1"/>
  <c r="A3279" i="1"/>
  <c r="B3278" i="1"/>
  <c r="A3278" i="1"/>
  <c r="B3277" i="1"/>
  <c r="A3277" i="1"/>
  <c r="B3276" i="1"/>
  <c r="A3276" i="1"/>
  <c r="B3275" i="1"/>
  <c r="A3275" i="1"/>
  <c r="A3274" i="1"/>
  <c r="A3273" i="1"/>
  <c r="B3272" i="1"/>
  <c r="A3272" i="1"/>
  <c r="B3271" i="1"/>
  <c r="A3271" i="1"/>
  <c r="B3270" i="1"/>
  <c r="A3270" i="1"/>
  <c r="B3269" i="1"/>
  <c r="A3269" i="1"/>
  <c r="B3268" i="1"/>
  <c r="A3268" i="1"/>
  <c r="B3267" i="1"/>
  <c r="A3267" i="1"/>
  <c r="A3266" i="1"/>
  <c r="A3265" i="1"/>
  <c r="B3264" i="1"/>
  <c r="A3264" i="1"/>
  <c r="A3263" i="1"/>
  <c r="B3262" i="1"/>
  <c r="A3262" i="1"/>
  <c r="B3261" i="1"/>
  <c r="A3261" i="1"/>
  <c r="B3260" i="1"/>
  <c r="A3260" i="1"/>
  <c r="B3259" i="1"/>
  <c r="A3259" i="1"/>
  <c r="B3258" i="1"/>
  <c r="A3258" i="1"/>
  <c r="B3257" i="1"/>
  <c r="A3257" i="1"/>
  <c r="A3256" i="1"/>
  <c r="A3255" i="1"/>
  <c r="B3254" i="1"/>
  <c r="A3254" i="1"/>
  <c r="B3253" i="1"/>
  <c r="A3253" i="1"/>
  <c r="B3252" i="1"/>
  <c r="A3252" i="1"/>
  <c r="B3251" i="1"/>
  <c r="A3251" i="1"/>
  <c r="B3250" i="1"/>
  <c r="A3250" i="1"/>
  <c r="B3249" i="1"/>
  <c r="A3249" i="1"/>
  <c r="B3248" i="1"/>
  <c r="A3248" i="1"/>
  <c r="B3247" i="1"/>
  <c r="A3247" i="1"/>
  <c r="B3246" i="1"/>
  <c r="A3246" i="1"/>
  <c r="B3245" i="1"/>
  <c r="A3245" i="1"/>
  <c r="B3244" i="1"/>
  <c r="A3244" i="1"/>
  <c r="A3243" i="1"/>
  <c r="B3242" i="1"/>
  <c r="A3242" i="1"/>
  <c r="B3241" i="1"/>
  <c r="A3241" i="1"/>
  <c r="B3240" i="1"/>
  <c r="A3240" i="1"/>
  <c r="B3239" i="1"/>
  <c r="A3239" i="1"/>
  <c r="B3238" i="1"/>
  <c r="A3238" i="1"/>
  <c r="B3237" i="1"/>
  <c r="A3237" i="1"/>
  <c r="B3236" i="1"/>
  <c r="A3236" i="1"/>
  <c r="B3235" i="1"/>
  <c r="A3235" i="1"/>
  <c r="B3234" i="1"/>
  <c r="A3234" i="1"/>
  <c r="B3233" i="1"/>
  <c r="A3233" i="1"/>
  <c r="B3232" i="1"/>
  <c r="A3232" i="1"/>
  <c r="B3231" i="1"/>
  <c r="A3231" i="1"/>
  <c r="B3230" i="1"/>
  <c r="A3230" i="1"/>
  <c r="B3229" i="1"/>
  <c r="A3229" i="1"/>
  <c r="B3228" i="1"/>
  <c r="A3228" i="1"/>
  <c r="B3227" i="1"/>
  <c r="A3227" i="1"/>
  <c r="B3226" i="1"/>
  <c r="A3226" i="1"/>
  <c r="B3225" i="1"/>
  <c r="A3225" i="1"/>
  <c r="B3224" i="1"/>
  <c r="A3224" i="1"/>
  <c r="B3223" i="1"/>
  <c r="A3223" i="1"/>
  <c r="B3222" i="1"/>
  <c r="A3222" i="1"/>
  <c r="A3221" i="1"/>
  <c r="B3220" i="1"/>
  <c r="A3220" i="1"/>
  <c r="B3219" i="1"/>
  <c r="A3219" i="1"/>
  <c r="B3218" i="1"/>
  <c r="A3218" i="1"/>
  <c r="B3217" i="1"/>
  <c r="A3217" i="1"/>
  <c r="B3216" i="1"/>
  <c r="A3216" i="1"/>
  <c r="B3215" i="1"/>
  <c r="A3215" i="1"/>
  <c r="A3214" i="1"/>
  <c r="A3213" i="1"/>
  <c r="B3212" i="1"/>
  <c r="A3212" i="1"/>
  <c r="B3211" i="1"/>
  <c r="A3211" i="1"/>
  <c r="A3210" i="1"/>
  <c r="A3209" i="1"/>
  <c r="B3208" i="1"/>
  <c r="A3208" i="1"/>
  <c r="B3207" i="1"/>
  <c r="A3207" i="1"/>
  <c r="B3206" i="1"/>
  <c r="A3206" i="1"/>
  <c r="B3205" i="1"/>
  <c r="A3205" i="1"/>
  <c r="B3204" i="1"/>
  <c r="A3204" i="1"/>
  <c r="A3203" i="1"/>
  <c r="B3202" i="1"/>
  <c r="A3202" i="1"/>
  <c r="B3201" i="1"/>
  <c r="A3201" i="1"/>
  <c r="B3200" i="1"/>
  <c r="A3200" i="1"/>
  <c r="B3199" i="1"/>
  <c r="A3199" i="1"/>
  <c r="B3198" i="1"/>
  <c r="A3198" i="1"/>
  <c r="B3197" i="1"/>
  <c r="A3197" i="1"/>
  <c r="B3196" i="1"/>
  <c r="A3196" i="1"/>
  <c r="B3195" i="1"/>
  <c r="A3195" i="1"/>
  <c r="A3194" i="1"/>
  <c r="B3193" i="1"/>
  <c r="A3193" i="1"/>
  <c r="A3192" i="1"/>
  <c r="A3191" i="1"/>
  <c r="B3190" i="1"/>
  <c r="A3190" i="1"/>
  <c r="A3189" i="1"/>
  <c r="B3188" i="1"/>
  <c r="A3188" i="1"/>
  <c r="B3187" i="1"/>
  <c r="A3187" i="1"/>
  <c r="B3186" i="1"/>
  <c r="A3186" i="1"/>
  <c r="B3185" i="1"/>
  <c r="A3185" i="1"/>
  <c r="B3184" i="1"/>
  <c r="A3184" i="1"/>
  <c r="A3183" i="1"/>
  <c r="B3182" i="1"/>
  <c r="A3182" i="1"/>
  <c r="B3181" i="1"/>
  <c r="A3181" i="1"/>
  <c r="A3180" i="1"/>
  <c r="A3179" i="1"/>
  <c r="B3178" i="1"/>
  <c r="A3178" i="1"/>
  <c r="B3177" i="1"/>
  <c r="A3177" i="1"/>
  <c r="A3176" i="1"/>
  <c r="B3175" i="1"/>
  <c r="A3175" i="1"/>
  <c r="B3174" i="1"/>
  <c r="A3174" i="1"/>
  <c r="A3173" i="1"/>
  <c r="B3172" i="1"/>
  <c r="A3172" i="1"/>
  <c r="B3171" i="1"/>
  <c r="A3171" i="1"/>
  <c r="B3170" i="1"/>
  <c r="A3170" i="1"/>
  <c r="B3169" i="1"/>
  <c r="A3169" i="1"/>
  <c r="A3168" i="1"/>
  <c r="A3167" i="1"/>
  <c r="A3166" i="1"/>
  <c r="B3165" i="1"/>
  <c r="A3165" i="1"/>
  <c r="A3164" i="1"/>
  <c r="B3163" i="1"/>
  <c r="A3163" i="1"/>
  <c r="A3162" i="1"/>
  <c r="B3161" i="1"/>
  <c r="A3161" i="1"/>
  <c r="B3160" i="1"/>
  <c r="A3160" i="1"/>
  <c r="A3159" i="1"/>
  <c r="B3158" i="1"/>
  <c r="A3158" i="1"/>
  <c r="A3157" i="1"/>
  <c r="B3156" i="1"/>
  <c r="A3156" i="1"/>
  <c r="B3155" i="1"/>
  <c r="A3155" i="1"/>
  <c r="B3154" i="1"/>
  <c r="A3154" i="1"/>
  <c r="B3153" i="1"/>
  <c r="A3153" i="1"/>
  <c r="A3152" i="1"/>
  <c r="B3151" i="1"/>
  <c r="A3151" i="1"/>
  <c r="B3150" i="1"/>
  <c r="A3150" i="1"/>
  <c r="B3149" i="1"/>
  <c r="A3149" i="1"/>
  <c r="B3148" i="1"/>
  <c r="A3148" i="1"/>
  <c r="A3147" i="1"/>
  <c r="B3146" i="1"/>
  <c r="A3146" i="1"/>
  <c r="B3145" i="1"/>
  <c r="A3145" i="1"/>
  <c r="B3144" i="1"/>
  <c r="A3144" i="1"/>
  <c r="A3143" i="1"/>
  <c r="B3142" i="1"/>
  <c r="A3142" i="1"/>
  <c r="B3141" i="1"/>
  <c r="A3141" i="1"/>
  <c r="A3140" i="1"/>
  <c r="B3139" i="1"/>
  <c r="A3139" i="1"/>
  <c r="B3138" i="1"/>
  <c r="A3138" i="1"/>
  <c r="B3137" i="1"/>
  <c r="A3137" i="1"/>
  <c r="B3136" i="1"/>
  <c r="A3136" i="1"/>
  <c r="B3135" i="1"/>
  <c r="A3135" i="1"/>
  <c r="B3134" i="1"/>
  <c r="A3134" i="1"/>
  <c r="B3133" i="1"/>
  <c r="A3133" i="1"/>
  <c r="B3132" i="1"/>
  <c r="A3132" i="1"/>
  <c r="A3131" i="1"/>
  <c r="A3130" i="1"/>
  <c r="A3129" i="1"/>
  <c r="A3128" i="1"/>
  <c r="B3127" i="1"/>
  <c r="A3127" i="1"/>
  <c r="B3126" i="1"/>
  <c r="A3126" i="1"/>
  <c r="A3125" i="1"/>
  <c r="B3124" i="1"/>
  <c r="A3124" i="1"/>
  <c r="B3123" i="1"/>
  <c r="A3123" i="1"/>
  <c r="B3122" i="1"/>
  <c r="A3122" i="1"/>
  <c r="B3121" i="1"/>
  <c r="A3121" i="1"/>
  <c r="B3120" i="1"/>
  <c r="A3120" i="1"/>
  <c r="B3119" i="1"/>
  <c r="A3119" i="1"/>
  <c r="B3118" i="1"/>
  <c r="A3118" i="1"/>
  <c r="B3117" i="1"/>
  <c r="A3117" i="1"/>
  <c r="B3116" i="1"/>
  <c r="A3116" i="1"/>
  <c r="A3115" i="1"/>
  <c r="B3114" i="1"/>
  <c r="A3114" i="1"/>
  <c r="B3113" i="1"/>
  <c r="A3113" i="1"/>
  <c r="A3112" i="1"/>
  <c r="B3111" i="1"/>
  <c r="A3111" i="1"/>
  <c r="B3110" i="1"/>
  <c r="A3110" i="1"/>
  <c r="B3109" i="1"/>
  <c r="A3109" i="1"/>
  <c r="B3108" i="1"/>
  <c r="A3108" i="1"/>
  <c r="B3107" i="1"/>
  <c r="A3107" i="1"/>
  <c r="B3106" i="1"/>
  <c r="A3106" i="1"/>
  <c r="B3105" i="1"/>
  <c r="A3105" i="1"/>
  <c r="B3104" i="1"/>
  <c r="A3104" i="1"/>
  <c r="B3103" i="1"/>
  <c r="A3103" i="1"/>
  <c r="A3102" i="1"/>
  <c r="A3101" i="1"/>
  <c r="B3100" i="1"/>
  <c r="A3100" i="1"/>
  <c r="B3099" i="1"/>
  <c r="A3099" i="1"/>
  <c r="B3098" i="1"/>
  <c r="A3098" i="1"/>
  <c r="B3097" i="1"/>
  <c r="A3097" i="1"/>
  <c r="B3096" i="1"/>
  <c r="A3096" i="1"/>
  <c r="B3095" i="1"/>
  <c r="A3095" i="1"/>
  <c r="A3094" i="1"/>
  <c r="B3093" i="1"/>
  <c r="A3093" i="1"/>
  <c r="B3092" i="1"/>
  <c r="A3092" i="1"/>
  <c r="B3091" i="1"/>
  <c r="A3091" i="1"/>
  <c r="B3090" i="1"/>
  <c r="A3090" i="1"/>
  <c r="B3089" i="1"/>
  <c r="A3089" i="1"/>
  <c r="B3088" i="1"/>
  <c r="A3088" i="1"/>
  <c r="B3087" i="1"/>
  <c r="A3087" i="1"/>
  <c r="A3086" i="1"/>
  <c r="A3085" i="1"/>
  <c r="B3084" i="1"/>
  <c r="A3084" i="1"/>
  <c r="A3083" i="1"/>
  <c r="A3082" i="1"/>
  <c r="A3081" i="1"/>
  <c r="B3080" i="1"/>
  <c r="A3080" i="1"/>
  <c r="B3079" i="1"/>
  <c r="A3079" i="1"/>
  <c r="B3078" i="1"/>
  <c r="A3078" i="1"/>
  <c r="B3077" i="1"/>
  <c r="A3077" i="1"/>
  <c r="A3076" i="1"/>
  <c r="B3075" i="1"/>
  <c r="A3075" i="1"/>
  <c r="B3074" i="1"/>
  <c r="A3074" i="1"/>
  <c r="B3073" i="1"/>
  <c r="A3073" i="1"/>
  <c r="B3072" i="1"/>
  <c r="A3072" i="1"/>
  <c r="B3071" i="1"/>
  <c r="A3071" i="1"/>
  <c r="B3070" i="1"/>
  <c r="A3070" i="1"/>
  <c r="A3069" i="1"/>
  <c r="B3068" i="1"/>
  <c r="A3068" i="1"/>
  <c r="B3067" i="1"/>
  <c r="A3067" i="1"/>
  <c r="B3066" i="1"/>
  <c r="A3066" i="1"/>
  <c r="B3065" i="1"/>
  <c r="A3065" i="1"/>
  <c r="B3064" i="1"/>
  <c r="A3064" i="1"/>
  <c r="B3063" i="1"/>
  <c r="A3063" i="1"/>
  <c r="A3062" i="1"/>
  <c r="B3061" i="1"/>
  <c r="A3061" i="1"/>
  <c r="B3060" i="1"/>
  <c r="A3060" i="1"/>
  <c r="B3059" i="1"/>
  <c r="A3059" i="1"/>
  <c r="A3058" i="1"/>
  <c r="B3057" i="1"/>
  <c r="A3057" i="1"/>
  <c r="B3056" i="1"/>
  <c r="A3056" i="1"/>
  <c r="B3055" i="1"/>
  <c r="A3055" i="1"/>
  <c r="A3054" i="1"/>
  <c r="B3053" i="1"/>
  <c r="A3053" i="1"/>
  <c r="B3052" i="1"/>
  <c r="A3052" i="1"/>
  <c r="B3051" i="1"/>
  <c r="A3051" i="1"/>
  <c r="B3050" i="1"/>
  <c r="A3050" i="1"/>
  <c r="B3049" i="1"/>
  <c r="A3049" i="1"/>
  <c r="B3048" i="1"/>
  <c r="A3048" i="1"/>
  <c r="A3047" i="1"/>
  <c r="A3046" i="1"/>
  <c r="A3045" i="1"/>
  <c r="A3044" i="1"/>
  <c r="B3043" i="1"/>
  <c r="A3043" i="1"/>
  <c r="B3042" i="1"/>
  <c r="A3042" i="1"/>
  <c r="B3041" i="1"/>
  <c r="A3041" i="1"/>
  <c r="B3040" i="1"/>
  <c r="A3040" i="1"/>
  <c r="B3039" i="1"/>
  <c r="A3039" i="1"/>
  <c r="B3038" i="1"/>
  <c r="A3038" i="1"/>
  <c r="B3037" i="1"/>
  <c r="A3037" i="1"/>
  <c r="B3036" i="1"/>
  <c r="A3036" i="1"/>
  <c r="B3035" i="1"/>
  <c r="A3035" i="1"/>
  <c r="B3034" i="1"/>
  <c r="A3034" i="1"/>
  <c r="B3033" i="1"/>
  <c r="A3033" i="1"/>
  <c r="B3032" i="1"/>
  <c r="A3032" i="1"/>
  <c r="B3031" i="1"/>
  <c r="A3031" i="1"/>
  <c r="B3030" i="1"/>
  <c r="A3030" i="1"/>
  <c r="B3029" i="1"/>
  <c r="A3029" i="1"/>
  <c r="B3028" i="1"/>
  <c r="A3028" i="1"/>
  <c r="B3027" i="1"/>
  <c r="A3027" i="1"/>
  <c r="B3026" i="1"/>
  <c r="A3026" i="1"/>
  <c r="A3025" i="1"/>
  <c r="A3024" i="1"/>
  <c r="B3023" i="1"/>
  <c r="A3023" i="1"/>
  <c r="B3022" i="1"/>
  <c r="A3022" i="1"/>
  <c r="B3021" i="1"/>
  <c r="A3021" i="1"/>
  <c r="B3020" i="1"/>
  <c r="A3020" i="1"/>
  <c r="B3019" i="1"/>
  <c r="A3019" i="1"/>
  <c r="B3018" i="1"/>
  <c r="A3018" i="1"/>
  <c r="B3017" i="1"/>
  <c r="A3017" i="1"/>
  <c r="B3016" i="1"/>
  <c r="A3016" i="1"/>
  <c r="A3015" i="1"/>
  <c r="B3014" i="1"/>
  <c r="A3014" i="1"/>
  <c r="B3013" i="1"/>
  <c r="A3013" i="1"/>
  <c r="B3012" i="1"/>
  <c r="A3012" i="1"/>
  <c r="A3011" i="1"/>
  <c r="B3010" i="1"/>
  <c r="A3010" i="1"/>
  <c r="B3009" i="1"/>
  <c r="A3009" i="1"/>
  <c r="A3008" i="1"/>
  <c r="B3007" i="1"/>
  <c r="A3007" i="1"/>
  <c r="A3006" i="1"/>
  <c r="B3005" i="1"/>
  <c r="A3005" i="1"/>
  <c r="A3004" i="1"/>
  <c r="B3003" i="1"/>
  <c r="A3003" i="1"/>
  <c r="B3002" i="1"/>
  <c r="A3002" i="1"/>
  <c r="A3001" i="1"/>
  <c r="A3000" i="1"/>
  <c r="B2999" i="1"/>
  <c r="A2999" i="1"/>
  <c r="B2998" i="1"/>
  <c r="A2998" i="1"/>
  <c r="B2997" i="1"/>
  <c r="A2997" i="1"/>
  <c r="A2996" i="1"/>
  <c r="A2995" i="1"/>
  <c r="B2994" i="1"/>
  <c r="A2994" i="1"/>
  <c r="B2993" i="1"/>
  <c r="A2993" i="1"/>
  <c r="A2992" i="1"/>
  <c r="B2991" i="1"/>
  <c r="A2991" i="1"/>
  <c r="B2990" i="1"/>
  <c r="A2990" i="1"/>
  <c r="B2989" i="1"/>
  <c r="A2989" i="1"/>
  <c r="B2988" i="1"/>
  <c r="A2988" i="1"/>
  <c r="B2987" i="1"/>
  <c r="A2987" i="1"/>
  <c r="B2986" i="1"/>
  <c r="A2986" i="1"/>
  <c r="B2985" i="1"/>
  <c r="A2985" i="1"/>
  <c r="B2984" i="1"/>
  <c r="A2984" i="1"/>
  <c r="B2983" i="1"/>
  <c r="A2983" i="1"/>
  <c r="B2982" i="1"/>
  <c r="A2982" i="1"/>
  <c r="B2981" i="1"/>
  <c r="A2981" i="1"/>
  <c r="B2980" i="1"/>
  <c r="A2980" i="1"/>
  <c r="B2979" i="1"/>
  <c r="A2979" i="1"/>
  <c r="B2978" i="1"/>
  <c r="A2978" i="1"/>
  <c r="B2977" i="1"/>
  <c r="A2977" i="1"/>
  <c r="B2976" i="1"/>
  <c r="A2976" i="1"/>
  <c r="A2975" i="1"/>
  <c r="B2974" i="1"/>
  <c r="A2974" i="1"/>
  <c r="A2973" i="1"/>
  <c r="A2972" i="1"/>
  <c r="A2971" i="1"/>
  <c r="B2970" i="1"/>
  <c r="A2970" i="1"/>
  <c r="B2969" i="1"/>
  <c r="A2969" i="1"/>
  <c r="B2968" i="1"/>
  <c r="A2968" i="1"/>
  <c r="B2967" i="1"/>
  <c r="A2967" i="1"/>
  <c r="A2966" i="1"/>
  <c r="B2965" i="1"/>
  <c r="A2965" i="1"/>
  <c r="B2964" i="1"/>
  <c r="A2964" i="1"/>
  <c r="B2963" i="1"/>
  <c r="A2963" i="1"/>
  <c r="B2962" i="1"/>
  <c r="A2962" i="1"/>
  <c r="B2961" i="1"/>
  <c r="A2961" i="1"/>
  <c r="B2960" i="1"/>
  <c r="A2960" i="1"/>
  <c r="B2959" i="1"/>
  <c r="A2959" i="1"/>
  <c r="B2958" i="1"/>
  <c r="A2958" i="1"/>
  <c r="B2957" i="1"/>
  <c r="A2957" i="1"/>
  <c r="B2956" i="1"/>
  <c r="A2956" i="1"/>
  <c r="B2955" i="1"/>
  <c r="A2955" i="1"/>
  <c r="B2954" i="1"/>
  <c r="A2954" i="1"/>
  <c r="B2953" i="1"/>
  <c r="A2953" i="1"/>
  <c r="B2952" i="1"/>
  <c r="A2952" i="1"/>
  <c r="A2951" i="1"/>
  <c r="B2950" i="1"/>
  <c r="A2950" i="1"/>
  <c r="A2949" i="1"/>
  <c r="A2948" i="1"/>
  <c r="A2947" i="1"/>
  <c r="A2946" i="1"/>
  <c r="B2945" i="1"/>
  <c r="A2945" i="1"/>
  <c r="B2944" i="1"/>
  <c r="A2944" i="1"/>
  <c r="A2943" i="1"/>
  <c r="B2942" i="1"/>
  <c r="A2942" i="1"/>
  <c r="A2941" i="1"/>
  <c r="A2940" i="1"/>
  <c r="A2939" i="1"/>
  <c r="B2938" i="1"/>
  <c r="A2938" i="1"/>
  <c r="B2937" i="1"/>
  <c r="A2937" i="1"/>
  <c r="B2936" i="1"/>
  <c r="A2936" i="1"/>
  <c r="A2935" i="1"/>
  <c r="B2934" i="1"/>
  <c r="A2934" i="1"/>
  <c r="B2933" i="1"/>
  <c r="A2933" i="1"/>
  <c r="B2932" i="1"/>
  <c r="A2932" i="1"/>
  <c r="A2931" i="1"/>
  <c r="B2930" i="1"/>
  <c r="A2930" i="1"/>
  <c r="B2929" i="1"/>
  <c r="A2929" i="1"/>
  <c r="B2928" i="1"/>
  <c r="A2928" i="1"/>
  <c r="B2927" i="1"/>
  <c r="A2927" i="1"/>
  <c r="B2926" i="1"/>
  <c r="A2926" i="1"/>
  <c r="A2925" i="1"/>
  <c r="A2924" i="1"/>
  <c r="B2923" i="1"/>
  <c r="A2923" i="1"/>
  <c r="B2922" i="1"/>
  <c r="A2922" i="1"/>
  <c r="B2921" i="1"/>
  <c r="A2921" i="1"/>
  <c r="B2920" i="1"/>
  <c r="A2920" i="1"/>
  <c r="B2919" i="1"/>
  <c r="A2919" i="1"/>
  <c r="A2918" i="1"/>
  <c r="B2917" i="1"/>
  <c r="A2917" i="1"/>
  <c r="A2916" i="1"/>
  <c r="B2915" i="1"/>
  <c r="A2915" i="1"/>
  <c r="B2914" i="1"/>
  <c r="A2914" i="1"/>
  <c r="B2913" i="1"/>
  <c r="A2913" i="1"/>
  <c r="A2912" i="1"/>
  <c r="A2911" i="1"/>
  <c r="B2910" i="1"/>
  <c r="A2910" i="1"/>
  <c r="A2909" i="1"/>
  <c r="B2908" i="1"/>
  <c r="A2908" i="1"/>
  <c r="B2907" i="1"/>
  <c r="A2907" i="1"/>
  <c r="B2906" i="1"/>
  <c r="A2906" i="1"/>
  <c r="B2905" i="1"/>
  <c r="A2905" i="1"/>
  <c r="B2904" i="1"/>
  <c r="A2904" i="1"/>
  <c r="B2903" i="1"/>
  <c r="A2903" i="1"/>
  <c r="B2902" i="1"/>
  <c r="A2902" i="1"/>
  <c r="A2901" i="1"/>
  <c r="B2900" i="1"/>
  <c r="A2900" i="1"/>
  <c r="B2899" i="1"/>
  <c r="A2899" i="1"/>
  <c r="A2898" i="1"/>
  <c r="B2897" i="1"/>
  <c r="A2897" i="1"/>
  <c r="B2896" i="1"/>
  <c r="A2896" i="1"/>
  <c r="B2895" i="1"/>
  <c r="A2895" i="1"/>
  <c r="B2894" i="1"/>
  <c r="A2894" i="1"/>
  <c r="B2893" i="1"/>
  <c r="A2893" i="1"/>
  <c r="B2892" i="1"/>
  <c r="A2892" i="1"/>
  <c r="B2891" i="1"/>
  <c r="A2891" i="1"/>
  <c r="B2890" i="1"/>
  <c r="A2890" i="1"/>
  <c r="B2889" i="1"/>
  <c r="A2889" i="1"/>
  <c r="B2888" i="1"/>
  <c r="A2888" i="1"/>
  <c r="B2887" i="1"/>
  <c r="A2887" i="1"/>
  <c r="B2886" i="1"/>
  <c r="A2886" i="1"/>
  <c r="B2885" i="1"/>
  <c r="A2885" i="1"/>
  <c r="B2884" i="1"/>
  <c r="A2884" i="1"/>
  <c r="B2883" i="1"/>
  <c r="A2883" i="1"/>
  <c r="A2882" i="1"/>
  <c r="B2881" i="1"/>
  <c r="A2881" i="1"/>
  <c r="B2880" i="1"/>
  <c r="A2880" i="1"/>
  <c r="B2879" i="1"/>
  <c r="A2879" i="1"/>
  <c r="B2878" i="1"/>
  <c r="A2878" i="1"/>
  <c r="B2877" i="1"/>
  <c r="A2877" i="1"/>
  <c r="A2876" i="1"/>
  <c r="B2875" i="1"/>
  <c r="A2875" i="1"/>
  <c r="B2874" i="1"/>
  <c r="A2874" i="1"/>
  <c r="A2873" i="1"/>
  <c r="A2872" i="1"/>
  <c r="B2871" i="1"/>
  <c r="A2871" i="1"/>
  <c r="B2870" i="1"/>
  <c r="A2870" i="1"/>
  <c r="B2869" i="1"/>
  <c r="A2869" i="1"/>
  <c r="B2868" i="1"/>
  <c r="A2868" i="1"/>
  <c r="B2867" i="1"/>
  <c r="A2867" i="1"/>
  <c r="B2866" i="1"/>
  <c r="A2866" i="1"/>
  <c r="B2865" i="1"/>
  <c r="A2865" i="1"/>
  <c r="B2864" i="1"/>
  <c r="A2864" i="1"/>
  <c r="B2863" i="1"/>
  <c r="A2863" i="1"/>
  <c r="B2862" i="1"/>
  <c r="A2862" i="1"/>
  <c r="B2861" i="1"/>
  <c r="A2861" i="1"/>
  <c r="B2860" i="1"/>
  <c r="A2860" i="1"/>
  <c r="B2859" i="1"/>
  <c r="A2859" i="1"/>
  <c r="B2858" i="1"/>
  <c r="A2858" i="1"/>
  <c r="B2857" i="1"/>
  <c r="A2857" i="1"/>
  <c r="B2856" i="1"/>
  <c r="A2856" i="1"/>
  <c r="B2855" i="1"/>
  <c r="A2855" i="1"/>
  <c r="B2854" i="1"/>
  <c r="A2854" i="1"/>
  <c r="B2853" i="1"/>
  <c r="A2853" i="1"/>
  <c r="A2852" i="1"/>
  <c r="B2851" i="1"/>
  <c r="A2851" i="1"/>
  <c r="B2850" i="1"/>
  <c r="A2850" i="1"/>
  <c r="B2849" i="1"/>
  <c r="A2849" i="1"/>
  <c r="B2848" i="1"/>
  <c r="A2848" i="1"/>
  <c r="B2847" i="1"/>
  <c r="A2847" i="1"/>
  <c r="B2846" i="1"/>
  <c r="A2846" i="1"/>
  <c r="B2845" i="1"/>
  <c r="A2845" i="1"/>
  <c r="B2844" i="1"/>
  <c r="A2844" i="1"/>
  <c r="B2843" i="1"/>
  <c r="A2843" i="1"/>
  <c r="A2842" i="1"/>
  <c r="B2841" i="1"/>
  <c r="A2841" i="1"/>
  <c r="B2840" i="1"/>
  <c r="A2840" i="1"/>
  <c r="A2839" i="1"/>
  <c r="A2838" i="1"/>
  <c r="A2837" i="1"/>
  <c r="A2836" i="1"/>
  <c r="A2835" i="1"/>
  <c r="A2834" i="1"/>
  <c r="B2833" i="1"/>
  <c r="A2833" i="1"/>
  <c r="B2832" i="1"/>
  <c r="A2832" i="1"/>
  <c r="B2831" i="1"/>
  <c r="A2831" i="1"/>
  <c r="A2830" i="1"/>
  <c r="A2829" i="1"/>
  <c r="B2828" i="1"/>
  <c r="A2828" i="1"/>
  <c r="B2827" i="1"/>
  <c r="A2827" i="1"/>
  <c r="A2826" i="1"/>
  <c r="B2825" i="1"/>
  <c r="A2825" i="1"/>
  <c r="B2824" i="1"/>
  <c r="A2824" i="1"/>
  <c r="B2823" i="1"/>
  <c r="A2823" i="1"/>
  <c r="B2822" i="1"/>
  <c r="A2822" i="1"/>
  <c r="B2821" i="1"/>
  <c r="A2821" i="1"/>
  <c r="A2820" i="1"/>
  <c r="B2819" i="1"/>
  <c r="A2819" i="1"/>
  <c r="B2818" i="1"/>
  <c r="A2818" i="1"/>
  <c r="A2817" i="1"/>
  <c r="A2816" i="1"/>
  <c r="A2815" i="1"/>
  <c r="A2814" i="1"/>
  <c r="A2813" i="1"/>
  <c r="B2812" i="1"/>
  <c r="A2812" i="1"/>
  <c r="A2811" i="1"/>
  <c r="B2810" i="1"/>
  <c r="A2810" i="1"/>
  <c r="B2809" i="1"/>
  <c r="A2809" i="1"/>
  <c r="B2808" i="1"/>
  <c r="A2808" i="1"/>
  <c r="B2807" i="1"/>
  <c r="A2807" i="1"/>
  <c r="B2806" i="1"/>
  <c r="A2806" i="1"/>
  <c r="B2805" i="1"/>
  <c r="A2805" i="1"/>
  <c r="B2804" i="1"/>
  <c r="A2804" i="1"/>
  <c r="B2803" i="1"/>
  <c r="A2803" i="1"/>
  <c r="B2802" i="1"/>
  <c r="A2802" i="1"/>
  <c r="B2801" i="1"/>
  <c r="A2801" i="1"/>
  <c r="B2800" i="1"/>
  <c r="A2800" i="1"/>
  <c r="B2799" i="1"/>
  <c r="A2799" i="1"/>
  <c r="B2798" i="1"/>
  <c r="A2798" i="1"/>
  <c r="B2797" i="1"/>
  <c r="A2797" i="1"/>
  <c r="A2796" i="1"/>
  <c r="A2795" i="1"/>
  <c r="A2794" i="1"/>
  <c r="B2793" i="1"/>
  <c r="A2793" i="1"/>
  <c r="A2792" i="1"/>
  <c r="A2791" i="1"/>
  <c r="B2790" i="1"/>
  <c r="A2790" i="1"/>
  <c r="B2789" i="1"/>
  <c r="A2789" i="1"/>
  <c r="B2788" i="1"/>
  <c r="A2788" i="1"/>
  <c r="A2787" i="1"/>
  <c r="B2786" i="1"/>
  <c r="A2786" i="1"/>
  <c r="A2785" i="1"/>
  <c r="A2784" i="1"/>
  <c r="B2783" i="1"/>
  <c r="A2783" i="1"/>
  <c r="B2782" i="1"/>
  <c r="A2782" i="1"/>
  <c r="B2781" i="1"/>
  <c r="A2781" i="1"/>
  <c r="A2780" i="1"/>
  <c r="B2779" i="1"/>
  <c r="A2779" i="1"/>
  <c r="B2778" i="1"/>
  <c r="A2778" i="1"/>
  <c r="B2777" i="1"/>
  <c r="A2777" i="1"/>
  <c r="A2776" i="1"/>
  <c r="A2775" i="1"/>
  <c r="B2774" i="1"/>
  <c r="A2774" i="1"/>
  <c r="A2773" i="1"/>
  <c r="A2772" i="1"/>
  <c r="B2771" i="1"/>
  <c r="A2771" i="1"/>
  <c r="A2770" i="1"/>
  <c r="A2769" i="1"/>
  <c r="B2768" i="1"/>
  <c r="A2768" i="1"/>
  <c r="B2767" i="1"/>
  <c r="A2767" i="1"/>
  <c r="A2766" i="1"/>
  <c r="B2765" i="1"/>
  <c r="A2765" i="1"/>
  <c r="A2764" i="1"/>
  <c r="A2763" i="1"/>
  <c r="B2762" i="1"/>
  <c r="A2762" i="1"/>
  <c r="B2761" i="1"/>
  <c r="A2761" i="1"/>
  <c r="B2760" i="1"/>
  <c r="A2760" i="1"/>
  <c r="B2759" i="1"/>
  <c r="A2759" i="1"/>
  <c r="A2758" i="1"/>
  <c r="B2757" i="1"/>
  <c r="A2757" i="1"/>
  <c r="B2756" i="1"/>
  <c r="A2756" i="1"/>
  <c r="B2755" i="1"/>
  <c r="A2755" i="1"/>
  <c r="B2754" i="1"/>
  <c r="A2754" i="1"/>
  <c r="A2753" i="1"/>
  <c r="A2752" i="1"/>
  <c r="A2751" i="1"/>
  <c r="A2750" i="1"/>
  <c r="B2749" i="1"/>
  <c r="A2749" i="1"/>
  <c r="A2748" i="1"/>
  <c r="A2747" i="1"/>
  <c r="B2746" i="1"/>
  <c r="A2746" i="1"/>
  <c r="B2745" i="1"/>
  <c r="A2745" i="1"/>
  <c r="B2744" i="1"/>
  <c r="A2744" i="1"/>
  <c r="B2743" i="1"/>
  <c r="A2743" i="1"/>
  <c r="B2742" i="1"/>
  <c r="A2742" i="1"/>
  <c r="A2741" i="1"/>
  <c r="B2740" i="1"/>
  <c r="A2740" i="1"/>
  <c r="B2739" i="1"/>
  <c r="A2739" i="1"/>
  <c r="A2738" i="1"/>
  <c r="A2737" i="1"/>
  <c r="B2736" i="1"/>
  <c r="A2736" i="1"/>
  <c r="A2735" i="1"/>
  <c r="B2734" i="1"/>
  <c r="A2734" i="1"/>
  <c r="A2733" i="1"/>
  <c r="A2732" i="1"/>
  <c r="B2731" i="1"/>
  <c r="A2731" i="1"/>
  <c r="A2730" i="1"/>
  <c r="B2729" i="1"/>
  <c r="A2729" i="1"/>
  <c r="A2728" i="1"/>
  <c r="A2727" i="1"/>
  <c r="B2726" i="1"/>
  <c r="A2726" i="1"/>
  <c r="B2725" i="1"/>
  <c r="A2725" i="1"/>
  <c r="A2724" i="1"/>
  <c r="B2723" i="1"/>
  <c r="A2723" i="1"/>
  <c r="B2722" i="1"/>
  <c r="A2722" i="1"/>
  <c r="B2721" i="1"/>
  <c r="A2721" i="1"/>
  <c r="B2720" i="1"/>
  <c r="A2720" i="1"/>
  <c r="B2719" i="1"/>
  <c r="A2719" i="1"/>
  <c r="B2718" i="1"/>
  <c r="A2718" i="1"/>
  <c r="B2717" i="1"/>
  <c r="A2717" i="1"/>
  <c r="B2716" i="1"/>
  <c r="A2716" i="1"/>
  <c r="B2715" i="1"/>
  <c r="A2715" i="1"/>
  <c r="B2714" i="1"/>
  <c r="A2714" i="1"/>
  <c r="A2713" i="1"/>
  <c r="B2712" i="1"/>
  <c r="A2712" i="1"/>
  <c r="B2711" i="1"/>
  <c r="A2711" i="1"/>
  <c r="A2710" i="1"/>
  <c r="B2709" i="1"/>
  <c r="A2709" i="1"/>
  <c r="A2708" i="1"/>
  <c r="B2707" i="1"/>
  <c r="A2707" i="1"/>
  <c r="B2706" i="1"/>
  <c r="A2706" i="1"/>
  <c r="B2705" i="1"/>
  <c r="A2705" i="1"/>
  <c r="B2704" i="1"/>
  <c r="A2704" i="1"/>
  <c r="B2703" i="1"/>
  <c r="A2703" i="1"/>
  <c r="B2702" i="1"/>
  <c r="A2702" i="1"/>
  <c r="B2701" i="1"/>
  <c r="A2701" i="1"/>
  <c r="B2700" i="1"/>
  <c r="A2700" i="1"/>
  <c r="B2699" i="1"/>
  <c r="A2699" i="1"/>
  <c r="B2698" i="1"/>
  <c r="A2698" i="1"/>
  <c r="B2697" i="1"/>
  <c r="A2697" i="1"/>
  <c r="B2696" i="1"/>
  <c r="A2696" i="1"/>
  <c r="A2695" i="1"/>
  <c r="B2694" i="1"/>
  <c r="A2694" i="1"/>
  <c r="B2693" i="1"/>
  <c r="A2693" i="1"/>
  <c r="B2692" i="1"/>
  <c r="A2692" i="1"/>
  <c r="A2691" i="1"/>
  <c r="B2690" i="1"/>
  <c r="A2690" i="1"/>
  <c r="B2689" i="1"/>
  <c r="A2689" i="1"/>
  <c r="B2688" i="1"/>
  <c r="A2688" i="1"/>
  <c r="B2687" i="1"/>
  <c r="A2687" i="1"/>
  <c r="B2686" i="1"/>
  <c r="A2686" i="1"/>
  <c r="B2685" i="1"/>
  <c r="A2685" i="1"/>
  <c r="B2684" i="1"/>
  <c r="A2684" i="1"/>
  <c r="B2683" i="1"/>
  <c r="A2683" i="1"/>
  <c r="B2682" i="1"/>
  <c r="A2682" i="1"/>
  <c r="B2681" i="1"/>
  <c r="A2681" i="1"/>
  <c r="B2680" i="1"/>
  <c r="A2680" i="1"/>
  <c r="B2679" i="1"/>
  <c r="A2679" i="1"/>
  <c r="B2678" i="1"/>
  <c r="A2678" i="1"/>
  <c r="B2677" i="1"/>
  <c r="A2677" i="1"/>
  <c r="B2676" i="1"/>
  <c r="A2676" i="1"/>
  <c r="A2675" i="1"/>
  <c r="A2674" i="1"/>
  <c r="B2673" i="1"/>
  <c r="A2673" i="1"/>
  <c r="B2672" i="1"/>
  <c r="A2672" i="1"/>
  <c r="B2671" i="1"/>
  <c r="A2671" i="1"/>
  <c r="B2670" i="1"/>
  <c r="A2670" i="1"/>
  <c r="B2669" i="1"/>
  <c r="A2669" i="1"/>
  <c r="B2668" i="1"/>
  <c r="A2668" i="1"/>
  <c r="B2667" i="1"/>
  <c r="A2667" i="1"/>
  <c r="B2666" i="1"/>
  <c r="A2666" i="1"/>
  <c r="B2665" i="1"/>
  <c r="A2665" i="1"/>
  <c r="A2664" i="1"/>
  <c r="A2663" i="1"/>
  <c r="A2662" i="1"/>
  <c r="B2661" i="1"/>
  <c r="A2661" i="1"/>
  <c r="B2660" i="1"/>
  <c r="A2660" i="1"/>
  <c r="B2659" i="1"/>
  <c r="A2659" i="1"/>
  <c r="B2658" i="1"/>
  <c r="A2658" i="1"/>
  <c r="A2657" i="1"/>
  <c r="B2656" i="1"/>
  <c r="A2656" i="1"/>
  <c r="A2655" i="1"/>
  <c r="B2654" i="1"/>
  <c r="A2654" i="1"/>
  <c r="B2653" i="1"/>
  <c r="A2653" i="1"/>
  <c r="B2652" i="1"/>
  <c r="A2652" i="1"/>
  <c r="A2651" i="1"/>
  <c r="B2650" i="1"/>
  <c r="A2650" i="1"/>
  <c r="B2649" i="1"/>
  <c r="A2649" i="1"/>
  <c r="B2648" i="1"/>
  <c r="A2648" i="1"/>
  <c r="B2647" i="1"/>
  <c r="A2647" i="1"/>
  <c r="A2646" i="1"/>
  <c r="A2645" i="1"/>
  <c r="B2644" i="1"/>
  <c r="A2644" i="1"/>
  <c r="B2643" i="1"/>
  <c r="A2643" i="1"/>
  <c r="B2642" i="1"/>
  <c r="A2642" i="1"/>
  <c r="B2641" i="1"/>
  <c r="A2641" i="1"/>
  <c r="B2640" i="1"/>
  <c r="A2640" i="1"/>
  <c r="B2639" i="1"/>
  <c r="A2639" i="1"/>
  <c r="B2638" i="1"/>
  <c r="A2638" i="1"/>
  <c r="A2637" i="1"/>
  <c r="B2636" i="1"/>
  <c r="A2636" i="1"/>
  <c r="A2635" i="1"/>
  <c r="B2634" i="1"/>
  <c r="A2634" i="1"/>
  <c r="B2633" i="1"/>
  <c r="A2633" i="1"/>
  <c r="A2632" i="1"/>
  <c r="B2631" i="1"/>
  <c r="A2631" i="1"/>
  <c r="A2630" i="1"/>
  <c r="B2629" i="1"/>
  <c r="A2629" i="1"/>
  <c r="A2628" i="1"/>
  <c r="B2627" i="1"/>
  <c r="A2627" i="1"/>
  <c r="A2626" i="1"/>
  <c r="B2625" i="1"/>
  <c r="A2625" i="1"/>
  <c r="A2624" i="1"/>
  <c r="A2623" i="1"/>
  <c r="B2622" i="1"/>
  <c r="A2622" i="1"/>
  <c r="B2621" i="1"/>
  <c r="A2621" i="1"/>
  <c r="B2620" i="1"/>
  <c r="A2620" i="1"/>
  <c r="B2619" i="1"/>
  <c r="A2619" i="1"/>
  <c r="B2618" i="1"/>
  <c r="A2618" i="1"/>
  <c r="B2617" i="1"/>
  <c r="A2617" i="1"/>
  <c r="B2616" i="1"/>
  <c r="A2616" i="1"/>
  <c r="B2615" i="1"/>
  <c r="A2615" i="1"/>
  <c r="B2614" i="1"/>
  <c r="A2614" i="1"/>
  <c r="B2613" i="1"/>
  <c r="A2613" i="1"/>
  <c r="A2612" i="1"/>
  <c r="A2611" i="1"/>
  <c r="B2610" i="1"/>
  <c r="A2610" i="1"/>
  <c r="A2609" i="1"/>
  <c r="B2608" i="1"/>
  <c r="A2608" i="1"/>
  <c r="A2607" i="1"/>
  <c r="B2606" i="1"/>
  <c r="A2606" i="1"/>
  <c r="A2605" i="1"/>
  <c r="B2604" i="1"/>
  <c r="A2604" i="1"/>
  <c r="B2603" i="1"/>
  <c r="A2603" i="1"/>
  <c r="B2602" i="1"/>
  <c r="A2602" i="1"/>
  <c r="B2601" i="1"/>
  <c r="A2601" i="1"/>
  <c r="A2600" i="1"/>
  <c r="A2599" i="1"/>
  <c r="B2598" i="1"/>
  <c r="A2598" i="1"/>
  <c r="B2597" i="1"/>
  <c r="A2597" i="1"/>
  <c r="A2596" i="1"/>
  <c r="B2595" i="1"/>
  <c r="A2595" i="1"/>
  <c r="A2594" i="1"/>
  <c r="A2593" i="1"/>
  <c r="B2592" i="1"/>
  <c r="A2592" i="1"/>
  <c r="A2591" i="1"/>
  <c r="A2590" i="1"/>
  <c r="B2589" i="1"/>
  <c r="A2589" i="1"/>
  <c r="A2588" i="1"/>
  <c r="B2587" i="1"/>
  <c r="A2587" i="1"/>
  <c r="A2586" i="1"/>
  <c r="B2585" i="1"/>
  <c r="A2585" i="1"/>
  <c r="B2584" i="1"/>
  <c r="A2584" i="1"/>
  <c r="B2583" i="1"/>
  <c r="A2583" i="1"/>
  <c r="A2582" i="1"/>
  <c r="B2581" i="1"/>
  <c r="A2581" i="1"/>
  <c r="B2580" i="1"/>
  <c r="A2580" i="1"/>
  <c r="B2579" i="1"/>
  <c r="A2579" i="1"/>
  <c r="B2578" i="1"/>
  <c r="A2578" i="1"/>
  <c r="A2577" i="1"/>
  <c r="B2576" i="1"/>
  <c r="A2576" i="1"/>
  <c r="B2575" i="1"/>
  <c r="A2575" i="1"/>
  <c r="A2574" i="1"/>
  <c r="A2573" i="1"/>
  <c r="B2572" i="1"/>
  <c r="A2572" i="1"/>
  <c r="B2571" i="1"/>
  <c r="A2571" i="1"/>
  <c r="B2570" i="1"/>
  <c r="A2570" i="1"/>
  <c r="B2569" i="1"/>
  <c r="A2569" i="1"/>
  <c r="B2568" i="1"/>
  <c r="A2568" i="1"/>
  <c r="B2567" i="1"/>
  <c r="A2567" i="1"/>
  <c r="B2566" i="1"/>
  <c r="A2566" i="1"/>
  <c r="B2565" i="1"/>
  <c r="A2565" i="1"/>
  <c r="A2564" i="1"/>
  <c r="B2563" i="1"/>
  <c r="A2563" i="1"/>
  <c r="B2562" i="1"/>
  <c r="A2562" i="1"/>
  <c r="B2561" i="1"/>
  <c r="A2561" i="1"/>
  <c r="B2560" i="1"/>
  <c r="A2560" i="1"/>
  <c r="B2559" i="1"/>
  <c r="A2559" i="1"/>
  <c r="A2558" i="1"/>
  <c r="B2557" i="1"/>
  <c r="A2557" i="1"/>
  <c r="B2556" i="1"/>
  <c r="A2556" i="1"/>
  <c r="A2555" i="1"/>
  <c r="A2554" i="1"/>
  <c r="B2553" i="1"/>
  <c r="A2553" i="1"/>
  <c r="B2552" i="1"/>
  <c r="A2552" i="1"/>
  <c r="A2551" i="1"/>
  <c r="B2550" i="1"/>
  <c r="A2550" i="1"/>
  <c r="B2549" i="1"/>
  <c r="A2549" i="1"/>
  <c r="B2548" i="1"/>
  <c r="A2548" i="1"/>
  <c r="B2547" i="1"/>
  <c r="A2547" i="1"/>
  <c r="B2546" i="1"/>
  <c r="A2546" i="1"/>
  <c r="B2545" i="1"/>
  <c r="A2545" i="1"/>
  <c r="A2544" i="1"/>
  <c r="B2543" i="1"/>
  <c r="A2543" i="1"/>
  <c r="B2542" i="1"/>
  <c r="A2542" i="1"/>
  <c r="B2541" i="1"/>
  <c r="A2541" i="1"/>
  <c r="B2540" i="1"/>
  <c r="A2540" i="1"/>
  <c r="B2539" i="1"/>
  <c r="A2539" i="1"/>
  <c r="B2538" i="1"/>
  <c r="A2538" i="1"/>
  <c r="A2537" i="1"/>
  <c r="A2536" i="1"/>
  <c r="A2535" i="1"/>
  <c r="B2534" i="1"/>
  <c r="A2534" i="1"/>
  <c r="B2533" i="1"/>
  <c r="A2533" i="1"/>
  <c r="B2532" i="1"/>
  <c r="A2532" i="1"/>
  <c r="A2531" i="1"/>
  <c r="B2530" i="1"/>
  <c r="A2530" i="1"/>
  <c r="B2529" i="1"/>
  <c r="A2529" i="1"/>
  <c r="B2528" i="1"/>
  <c r="A2528" i="1"/>
  <c r="B2527" i="1"/>
  <c r="A2527" i="1"/>
  <c r="B2526" i="1"/>
  <c r="A2526" i="1"/>
  <c r="B2525" i="1"/>
  <c r="A2525" i="1"/>
  <c r="B2524" i="1"/>
  <c r="A2524" i="1"/>
  <c r="A2523" i="1"/>
  <c r="A2522" i="1"/>
  <c r="B2521" i="1"/>
  <c r="A2521" i="1"/>
  <c r="A2520" i="1"/>
  <c r="B2519" i="1"/>
  <c r="A2519" i="1"/>
  <c r="B2518" i="1"/>
  <c r="A2518" i="1"/>
  <c r="B2517" i="1"/>
  <c r="A2517" i="1"/>
  <c r="B2516" i="1"/>
  <c r="A2516" i="1"/>
  <c r="B2515" i="1"/>
  <c r="A2515" i="1"/>
  <c r="B2514" i="1"/>
  <c r="A2514" i="1"/>
  <c r="B2513" i="1"/>
  <c r="A2513" i="1"/>
  <c r="B2512" i="1"/>
  <c r="A2512" i="1"/>
  <c r="B2511" i="1"/>
  <c r="A2511" i="1"/>
  <c r="A2510" i="1"/>
  <c r="B2509" i="1"/>
  <c r="A2509" i="1"/>
  <c r="B2508" i="1"/>
  <c r="A2508" i="1"/>
  <c r="B2507" i="1"/>
  <c r="A2507" i="1"/>
  <c r="A2506" i="1"/>
  <c r="B2505" i="1"/>
  <c r="A2505" i="1"/>
  <c r="B2504" i="1"/>
  <c r="A2504" i="1"/>
  <c r="B2503" i="1"/>
  <c r="A2503" i="1"/>
  <c r="B2502" i="1"/>
  <c r="A2502" i="1"/>
  <c r="B2501" i="1"/>
  <c r="A2501" i="1"/>
  <c r="B2500" i="1"/>
  <c r="A2500" i="1"/>
  <c r="B2499" i="1"/>
  <c r="A2499" i="1"/>
  <c r="B2498" i="1"/>
  <c r="A2498" i="1"/>
  <c r="A2497" i="1"/>
  <c r="B2496" i="1"/>
  <c r="A2496" i="1"/>
  <c r="A2495" i="1"/>
  <c r="B2494" i="1"/>
  <c r="A2494" i="1"/>
  <c r="B2493" i="1"/>
  <c r="A2493" i="1"/>
  <c r="B2492" i="1"/>
  <c r="A2492" i="1"/>
  <c r="B2491" i="1"/>
  <c r="A2491" i="1"/>
  <c r="B2490" i="1"/>
  <c r="A2490" i="1"/>
  <c r="B2489" i="1"/>
  <c r="A2489" i="1"/>
  <c r="A2488" i="1"/>
  <c r="A2487" i="1"/>
  <c r="B2486" i="1"/>
  <c r="A2486" i="1"/>
  <c r="A2485" i="1"/>
  <c r="B2484" i="1"/>
  <c r="A2484" i="1"/>
  <c r="A2483" i="1"/>
  <c r="B2482" i="1"/>
  <c r="A2482" i="1"/>
  <c r="B2481" i="1"/>
  <c r="A2481" i="1"/>
  <c r="B2480" i="1"/>
  <c r="A2480" i="1"/>
  <c r="A2479" i="1"/>
  <c r="B2478" i="1"/>
  <c r="A2478" i="1"/>
  <c r="A2477" i="1"/>
  <c r="B2476" i="1"/>
  <c r="A2476" i="1"/>
  <c r="B2475" i="1"/>
  <c r="A2475" i="1"/>
  <c r="B2474" i="1"/>
  <c r="A2474" i="1"/>
  <c r="A2473" i="1"/>
  <c r="B2472" i="1"/>
  <c r="A2472" i="1"/>
  <c r="B2471" i="1"/>
  <c r="A2471" i="1"/>
  <c r="B2470" i="1"/>
  <c r="A2470" i="1"/>
  <c r="B2469" i="1"/>
  <c r="A2469" i="1"/>
  <c r="B2468" i="1"/>
  <c r="A2468" i="1"/>
  <c r="A2467" i="1"/>
  <c r="A2466" i="1"/>
  <c r="B2465" i="1"/>
  <c r="A2465" i="1"/>
  <c r="B2464" i="1"/>
  <c r="A2464" i="1"/>
  <c r="A2463" i="1"/>
  <c r="A2462" i="1"/>
  <c r="A2461" i="1"/>
  <c r="B2460" i="1"/>
  <c r="A2460" i="1"/>
  <c r="A2459" i="1"/>
  <c r="B2458" i="1"/>
  <c r="A2458" i="1"/>
  <c r="B2457" i="1"/>
  <c r="A2457" i="1"/>
  <c r="A2456" i="1"/>
  <c r="B2455" i="1"/>
  <c r="A2455" i="1"/>
  <c r="A2454" i="1"/>
  <c r="B2453" i="1"/>
  <c r="A2453" i="1"/>
  <c r="A2452" i="1"/>
  <c r="A2451" i="1"/>
  <c r="B2450" i="1"/>
  <c r="A2450" i="1"/>
  <c r="B2449" i="1"/>
  <c r="A2449" i="1"/>
  <c r="B2448" i="1"/>
  <c r="A2448" i="1"/>
  <c r="B2447" i="1"/>
  <c r="A2447" i="1"/>
  <c r="B2446" i="1"/>
  <c r="A2446" i="1"/>
  <c r="A2445" i="1"/>
  <c r="B2444" i="1"/>
  <c r="A2444" i="1"/>
  <c r="B2443" i="1"/>
  <c r="A2443" i="1"/>
  <c r="B2442" i="1"/>
  <c r="A2442" i="1"/>
  <c r="B2441" i="1"/>
  <c r="A2441" i="1"/>
  <c r="B2440" i="1"/>
  <c r="A2440" i="1"/>
  <c r="B2439" i="1"/>
  <c r="A2439" i="1"/>
  <c r="B2438" i="1"/>
  <c r="A2438" i="1"/>
  <c r="A2437" i="1"/>
  <c r="A2436" i="1"/>
  <c r="B2435" i="1"/>
  <c r="A2435" i="1"/>
  <c r="B2434" i="1"/>
  <c r="A2434" i="1"/>
  <c r="B2433" i="1"/>
  <c r="A2433" i="1"/>
  <c r="A2432" i="1"/>
  <c r="A2431" i="1"/>
  <c r="B2430" i="1"/>
  <c r="A2430" i="1"/>
  <c r="B2429" i="1"/>
  <c r="A2429" i="1"/>
  <c r="B2428" i="1"/>
  <c r="A2428" i="1"/>
  <c r="B2427" i="1"/>
  <c r="A2427" i="1"/>
  <c r="B2426" i="1"/>
  <c r="A2426" i="1"/>
  <c r="B2425" i="1"/>
  <c r="A2425" i="1"/>
  <c r="B2424" i="1"/>
  <c r="A2424" i="1"/>
  <c r="A2423" i="1"/>
  <c r="B2422" i="1"/>
  <c r="A2422" i="1"/>
  <c r="A2421" i="1"/>
  <c r="B2420" i="1"/>
  <c r="A2420" i="1"/>
  <c r="A2419" i="1"/>
  <c r="B2418" i="1"/>
  <c r="A2418" i="1"/>
  <c r="A2417" i="1"/>
  <c r="B2416" i="1"/>
  <c r="A2416" i="1"/>
  <c r="A2415" i="1"/>
  <c r="B2414" i="1"/>
  <c r="A2414" i="1"/>
  <c r="A2413" i="1"/>
  <c r="B2412" i="1"/>
  <c r="A2412" i="1"/>
  <c r="B2411" i="1"/>
  <c r="A2411" i="1"/>
  <c r="A2410" i="1"/>
  <c r="B2409" i="1"/>
  <c r="A2409" i="1"/>
  <c r="A2408" i="1"/>
  <c r="A2407" i="1"/>
  <c r="B2406" i="1"/>
  <c r="A2406" i="1"/>
  <c r="B2405" i="1"/>
  <c r="A2405" i="1"/>
  <c r="A2404" i="1"/>
  <c r="B2403" i="1"/>
  <c r="A2403" i="1"/>
  <c r="B2402" i="1"/>
  <c r="A2402" i="1"/>
  <c r="A2401" i="1"/>
  <c r="B2400" i="1"/>
  <c r="A2400" i="1"/>
  <c r="B2399" i="1"/>
  <c r="A2399" i="1"/>
  <c r="B2398" i="1"/>
  <c r="A2398" i="1"/>
  <c r="A2397" i="1"/>
  <c r="B2396" i="1"/>
  <c r="A2396" i="1"/>
  <c r="B2395" i="1"/>
  <c r="A2395" i="1"/>
  <c r="B2394" i="1"/>
  <c r="A2394" i="1"/>
  <c r="B2393" i="1"/>
  <c r="A2393" i="1"/>
  <c r="B2392" i="1"/>
  <c r="A2392" i="1"/>
  <c r="B2391" i="1"/>
  <c r="A2391" i="1"/>
  <c r="A2390" i="1"/>
  <c r="A2389" i="1"/>
  <c r="A2388" i="1"/>
  <c r="B2387" i="1"/>
  <c r="A2387" i="1"/>
  <c r="B2386" i="1"/>
  <c r="A2386" i="1"/>
  <c r="B2385" i="1"/>
  <c r="A2385" i="1"/>
  <c r="A2384" i="1"/>
  <c r="B2383" i="1"/>
  <c r="A2383" i="1"/>
  <c r="B2382" i="1"/>
  <c r="A2382" i="1"/>
  <c r="B2381" i="1"/>
  <c r="A2381" i="1"/>
  <c r="B2380" i="1"/>
  <c r="A2380" i="1"/>
  <c r="A2379" i="1"/>
  <c r="A2378" i="1"/>
  <c r="A2377" i="1"/>
  <c r="B2376" i="1"/>
  <c r="A2376" i="1"/>
  <c r="B2375" i="1"/>
  <c r="A2375" i="1"/>
  <c r="B2374" i="1"/>
  <c r="A2374" i="1"/>
  <c r="A2373" i="1"/>
  <c r="A2372" i="1"/>
  <c r="A2371" i="1"/>
  <c r="B2370" i="1"/>
  <c r="A2370" i="1"/>
  <c r="A2369" i="1"/>
  <c r="B2368" i="1"/>
  <c r="A2368" i="1"/>
  <c r="A2367" i="1"/>
  <c r="B2366" i="1"/>
  <c r="A2366" i="1"/>
  <c r="B2365" i="1"/>
  <c r="A2365" i="1"/>
  <c r="B2364" i="1"/>
  <c r="A2364" i="1"/>
  <c r="B2363" i="1"/>
  <c r="A2363" i="1"/>
  <c r="B2362" i="1"/>
  <c r="A2362" i="1"/>
  <c r="B2361" i="1"/>
  <c r="A2361" i="1"/>
  <c r="A2360" i="1"/>
  <c r="B2359" i="1"/>
  <c r="A2359" i="1"/>
  <c r="B2358" i="1"/>
  <c r="A2358" i="1"/>
  <c r="B2357" i="1"/>
  <c r="A2357" i="1"/>
  <c r="B2356" i="1"/>
  <c r="A2356" i="1"/>
  <c r="A2355" i="1"/>
  <c r="B2354" i="1"/>
  <c r="A2354" i="1"/>
  <c r="B2353" i="1"/>
  <c r="A2353" i="1"/>
  <c r="B2352" i="1"/>
  <c r="A2352" i="1"/>
  <c r="B2351" i="1"/>
  <c r="A2351" i="1"/>
  <c r="A2350" i="1"/>
  <c r="B2349" i="1"/>
  <c r="A2349" i="1"/>
  <c r="B2348" i="1"/>
  <c r="A2348" i="1"/>
  <c r="B2347" i="1"/>
  <c r="A2347" i="1"/>
  <c r="B2346" i="1"/>
  <c r="A2346" i="1"/>
  <c r="B2345" i="1"/>
  <c r="A2345" i="1"/>
  <c r="A2344" i="1"/>
  <c r="B2343" i="1"/>
  <c r="A2343" i="1"/>
  <c r="B2342" i="1"/>
  <c r="A2342" i="1"/>
  <c r="B2341" i="1"/>
  <c r="A2341" i="1"/>
  <c r="B2340" i="1"/>
  <c r="A2340" i="1"/>
  <c r="B2339" i="1"/>
  <c r="A2339" i="1"/>
  <c r="B2338" i="1"/>
  <c r="A2338" i="1"/>
  <c r="B2337" i="1"/>
  <c r="A2337" i="1"/>
  <c r="B2336" i="1"/>
  <c r="A2336" i="1"/>
  <c r="B2335" i="1"/>
  <c r="A2335" i="1"/>
  <c r="B2334" i="1"/>
  <c r="A2334" i="1"/>
  <c r="A2333" i="1"/>
  <c r="B2332" i="1"/>
  <c r="A2332" i="1"/>
  <c r="A2331" i="1"/>
  <c r="B2330" i="1"/>
  <c r="A2330" i="1"/>
  <c r="B2329" i="1"/>
  <c r="A2329" i="1"/>
  <c r="B2328" i="1"/>
  <c r="A2328" i="1"/>
  <c r="A2327" i="1"/>
  <c r="B2326" i="1"/>
  <c r="A2326" i="1"/>
  <c r="B2325" i="1"/>
  <c r="A2325" i="1"/>
  <c r="B2324" i="1"/>
  <c r="A2324" i="1"/>
  <c r="B2323" i="1"/>
  <c r="A2323" i="1"/>
  <c r="B2322" i="1"/>
  <c r="A2322" i="1"/>
  <c r="B2321" i="1"/>
  <c r="A2321" i="1"/>
  <c r="A2320" i="1"/>
  <c r="A2319" i="1"/>
  <c r="B2318" i="1"/>
  <c r="A2318" i="1"/>
  <c r="B2317" i="1"/>
  <c r="A2317" i="1"/>
  <c r="A2316" i="1"/>
  <c r="B2315" i="1"/>
  <c r="A2315" i="1"/>
  <c r="A2314" i="1"/>
  <c r="B2313" i="1"/>
  <c r="A2313" i="1"/>
  <c r="A2312" i="1"/>
  <c r="B2311" i="1"/>
  <c r="A2311" i="1"/>
  <c r="A2310" i="1"/>
  <c r="A2309" i="1"/>
  <c r="B2308" i="1"/>
  <c r="A2308" i="1"/>
  <c r="A2307" i="1"/>
  <c r="A2306" i="1"/>
  <c r="A2305" i="1"/>
  <c r="A2304" i="1"/>
  <c r="A2303" i="1"/>
  <c r="B2302" i="1"/>
  <c r="A2302" i="1"/>
  <c r="B2301" i="1"/>
  <c r="A2301" i="1"/>
  <c r="B2300" i="1"/>
  <c r="A2300" i="1"/>
  <c r="B2299" i="1"/>
  <c r="A2299" i="1"/>
  <c r="B2298" i="1"/>
  <c r="A2298" i="1"/>
  <c r="A2297" i="1"/>
  <c r="A2296" i="1"/>
  <c r="A2295" i="1"/>
  <c r="B2294" i="1"/>
  <c r="A2294" i="1"/>
  <c r="B2293" i="1"/>
  <c r="A2293" i="1"/>
  <c r="B2292" i="1"/>
  <c r="A2292" i="1"/>
  <c r="B2291" i="1"/>
  <c r="A2291" i="1"/>
  <c r="B2290" i="1"/>
  <c r="A2290" i="1"/>
  <c r="B2289" i="1"/>
  <c r="A2289" i="1"/>
  <c r="A2288" i="1"/>
  <c r="B2287" i="1"/>
  <c r="A2287" i="1"/>
  <c r="B2286" i="1"/>
  <c r="A2286" i="1"/>
  <c r="A2285" i="1"/>
  <c r="B2284" i="1"/>
  <c r="A2284" i="1"/>
  <c r="B2283" i="1"/>
  <c r="A2283" i="1"/>
  <c r="A2282" i="1"/>
  <c r="A2281" i="1"/>
  <c r="B2280" i="1"/>
  <c r="A2280" i="1"/>
  <c r="B2279" i="1"/>
  <c r="A2279" i="1"/>
  <c r="A2278" i="1"/>
  <c r="B2277" i="1"/>
  <c r="A2277" i="1"/>
  <c r="B2276" i="1"/>
  <c r="A2276" i="1"/>
  <c r="B2275" i="1"/>
  <c r="A2275" i="1"/>
  <c r="A2274" i="1"/>
  <c r="B2273" i="1"/>
  <c r="A2273" i="1"/>
  <c r="B2272" i="1"/>
  <c r="A2272" i="1"/>
  <c r="B2271" i="1"/>
  <c r="A2271" i="1"/>
  <c r="B2270" i="1"/>
  <c r="A2270" i="1"/>
  <c r="B2269" i="1"/>
  <c r="A2269" i="1"/>
  <c r="B2268" i="1"/>
  <c r="A2268" i="1"/>
  <c r="A2267" i="1"/>
  <c r="A2266" i="1"/>
  <c r="B2265" i="1"/>
  <c r="A2265" i="1"/>
  <c r="A2264" i="1"/>
  <c r="B2263" i="1"/>
  <c r="A2263" i="1"/>
  <c r="B2262" i="1"/>
  <c r="A2262" i="1"/>
  <c r="A2261" i="1"/>
  <c r="B2260" i="1"/>
  <c r="A2260" i="1"/>
  <c r="A2259" i="1"/>
  <c r="B2258" i="1"/>
  <c r="A2258" i="1"/>
  <c r="A2257" i="1"/>
  <c r="A2256" i="1"/>
  <c r="B2255" i="1"/>
  <c r="A2255" i="1"/>
  <c r="B2254" i="1"/>
  <c r="A2254" i="1"/>
  <c r="B2253" i="1"/>
  <c r="A2253" i="1"/>
  <c r="B2252" i="1"/>
  <c r="A2252" i="1"/>
  <c r="B2251" i="1"/>
  <c r="A2251" i="1"/>
  <c r="B2250" i="1"/>
  <c r="A2250" i="1"/>
  <c r="A2249" i="1"/>
  <c r="B2248" i="1"/>
  <c r="A2248" i="1"/>
  <c r="B2247" i="1"/>
  <c r="A2247" i="1"/>
  <c r="A2246" i="1"/>
  <c r="B2245" i="1"/>
  <c r="A2245" i="1"/>
  <c r="A2244" i="1"/>
  <c r="B2243" i="1"/>
  <c r="A2243" i="1"/>
  <c r="B2242" i="1"/>
  <c r="A2242" i="1"/>
  <c r="A2241" i="1"/>
  <c r="B2240" i="1"/>
  <c r="A2240" i="1"/>
  <c r="B2239" i="1"/>
  <c r="A2239" i="1"/>
  <c r="B2238" i="1"/>
  <c r="A2238" i="1"/>
  <c r="A2237" i="1"/>
  <c r="A2236" i="1"/>
  <c r="A2235" i="1"/>
  <c r="B2234" i="1"/>
  <c r="A2234" i="1"/>
  <c r="B2233" i="1"/>
  <c r="A2233" i="1"/>
  <c r="B2232" i="1"/>
  <c r="A2232" i="1"/>
  <c r="B2231" i="1"/>
  <c r="A2231" i="1"/>
  <c r="B2230" i="1"/>
  <c r="A2230" i="1"/>
  <c r="A2229" i="1"/>
  <c r="B2228" i="1"/>
  <c r="A2228" i="1"/>
  <c r="B2227" i="1"/>
  <c r="A2227" i="1"/>
  <c r="B2226" i="1"/>
  <c r="A2226" i="1"/>
  <c r="B2225" i="1"/>
  <c r="A2225" i="1"/>
  <c r="A2224" i="1"/>
  <c r="B2223" i="1"/>
  <c r="A2223" i="1"/>
  <c r="A2222" i="1"/>
  <c r="B2221" i="1"/>
  <c r="A2221" i="1"/>
  <c r="B2220" i="1"/>
  <c r="A2220" i="1"/>
  <c r="A2219" i="1"/>
  <c r="A2218" i="1"/>
  <c r="B2217" i="1"/>
  <c r="A2217" i="1"/>
  <c r="B2216" i="1"/>
  <c r="A2216" i="1"/>
  <c r="B2215" i="1"/>
  <c r="A2215" i="1"/>
  <c r="B2214" i="1"/>
  <c r="A2214" i="1"/>
  <c r="A2213" i="1"/>
  <c r="A2212" i="1"/>
  <c r="B2211" i="1"/>
  <c r="A2211" i="1"/>
  <c r="B2210" i="1"/>
  <c r="A2210" i="1"/>
  <c r="A2209" i="1"/>
  <c r="B2208" i="1"/>
  <c r="A2208" i="1"/>
  <c r="B2207" i="1"/>
  <c r="A2207" i="1"/>
  <c r="B2206" i="1"/>
  <c r="A2206" i="1"/>
  <c r="B2205" i="1"/>
  <c r="A2205" i="1"/>
  <c r="B2204" i="1"/>
  <c r="A2204" i="1"/>
  <c r="A2203" i="1"/>
  <c r="B2202" i="1"/>
  <c r="A2202" i="1"/>
  <c r="B2201" i="1"/>
  <c r="A2201" i="1"/>
  <c r="A2200" i="1"/>
  <c r="A2199" i="1"/>
  <c r="B2198" i="1"/>
  <c r="A2198" i="1"/>
  <c r="A2197" i="1"/>
  <c r="A2196" i="1"/>
  <c r="B2195" i="1"/>
  <c r="A2195" i="1"/>
  <c r="B2194" i="1"/>
  <c r="A2194" i="1"/>
  <c r="A2193" i="1"/>
  <c r="A2192" i="1"/>
  <c r="B2191" i="1"/>
  <c r="A2191" i="1"/>
  <c r="B2190" i="1"/>
  <c r="A2190" i="1"/>
  <c r="A2189" i="1"/>
  <c r="B2188" i="1"/>
  <c r="A2188" i="1"/>
  <c r="B2187" i="1"/>
  <c r="A2187" i="1"/>
  <c r="A2186" i="1"/>
  <c r="B2185" i="1"/>
  <c r="A2185" i="1"/>
  <c r="B2184" i="1"/>
  <c r="A2184" i="1"/>
  <c r="B2183" i="1"/>
  <c r="A2183" i="1"/>
  <c r="B2182" i="1"/>
  <c r="A2182" i="1"/>
  <c r="B2181" i="1"/>
  <c r="A2181" i="1"/>
  <c r="B2180" i="1"/>
  <c r="A2180" i="1"/>
  <c r="B2179" i="1"/>
  <c r="A2179" i="1"/>
  <c r="B2178" i="1"/>
  <c r="A2178" i="1"/>
  <c r="A2177" i="1"/>
  <c r="B2176" i="1"/>
  <c r="A2176" i="1"/>
  <c r="B2175" i="1"/>
  <c r="A2175" i="1"/>
  <c r="B2174" i="1"/>
  <c r="A2174" i="1"/>
  <c r="B2173" i="1"/>
  <c r="A2173" i="1"/>
  <c r="B2172" i="1"/>
  <c r="A2172" i="1"/>
  <c r="A2171" i="1"/>
  <c r="A2170" i="1"/>
  <c r="B2169" i="1"/>
  <c r="A2169" i="1"/>
  <c r="B2168" i="1"/>
  <c r="A2168" i="1"/>
  <c r="B2167" i="1"/>
  <c r="A2167" i="1"/>
  <c r="B2166" i="1"/>
  <c r="A2166" i="1"/>
  <c r="A2165" i="1"/>
  <c r="B2164" i="1"/>
  <c r="A2164" i="1"/>
  <c r="B2163" i="1"/>
  <c r="A2163" i="1"/>
  <c r="B2162" i="1"/>
  <c r="A2162" i="1"/>
  <c r="B2161" i="1"/>
  <c r="A2161" i="1"/>
  <c r="B2160" i="1"/>
  <c r="A2160" i="1"/>
  <c r="B2159" i="1"/>
  <c r="A2159" i="1"/>
  <c r="B2158" i="1"/>
  <c r="A2158" i="1"/>
  <c r="B2157" i="1"/>
  <c r="A2157" i="1"/>
  <c r="B2156" i="1"/>
  <c r="A2156" i="1"/>
  <c r="A2155" i="1"/>
  <c r="A2154" i="1"/>
  <c r="B2153" i="1"/>
  <c r="A2153" i="1"/>
  <c r="B2152" i="1"/>
  <c r="A2152" i="1"/>
  <c r="B2151" i="1"/>
  <c r="A2151" i="1"/>
  <c r="B2150" i="1"/>
  <c r="A2150" i="1"/>
  <c r="A2149" i="1"/>
  <c r="B2148" i="1"/>
  <c r="A2148" i="1"/>
  <c r="B2147" i="1"/>
  <c r="A2147" i="1"/>
  <c r="A2146" i="1"/>
  <c r="B2145" i="1"/>
  <c r="A2145" i="1"/>
  <c r="B2144" i="1"/>
  <c r="A2144" i="1"/>
  <c r="B2143" i="1"/>
  <c r="A2143" i="1"/>
  <c r="B2142" i="1"/>
  <c r="A2142" i="1"/>
  <c r="B2141" i="1"/>
  <c r="A2141" i="1"/>
  <c r="A2140" i="1"/>
  <c r="A2139" i="1"/>
  <c r="A2138" i="1"/>
  <c r="A2137" i="1"/>
  <c r="B2136" i="1"/>
  <c r="A2136" i="1"/>
  <c r="A2135" i="1"/>
  <c r="A2134" i="1"/>
  <c r="B2133" i="1"/>
  <c r="A2133" i="1"/>
  <c r="A2132" i="1"/>
  <c r="A2131" i="1"/>
  <c r="B2130" i="1"/>
  <c r="A2130" i="1"/>
  <c r="B2129" i="1"/>
  <c r="A2129" i="1"/>
  <c r="A2128" i="1"/>
  <c r="A2127" i="1"/>
  <c r="A2126" i="1"/>
  <c r="B2125" i="1"/>
  <c r="A2125" i="1"/>
  <c r="B2124" i="1"/>
  <c r="A2124" i="1"/>
  <c r="B2123" i="1"/>
  <c r="A2123" i="1"/>
  <c r="A2122" i="1"/>
  <c r="B2121" i="1"/>
  <c r="A2121" i="1"/>
  <c r="A2120" i="1"/>
  <c r="B2119" i="1"/>
  <c r="A2119" i="1"/>
  <c r="B2118" i="1"/>
  <c r="A2118" i="1"/>
  <c r="A2117" i="1"/>
  <c r="A2116" i="1"/>
  <c r="B2115" i="1"/>
  <c r="A2115" i="1"/>
  <c r="B2114" i="1"/>
  <c r="A2114" i="1"/>
  <c r="B2113" i="1"/>
  <c r="A2113" i="1"/>
  <c r="A2112" i="1"/>
  <c r="A2111" i="1"/>
  <c r="B2110" i="1"/>
  <c r="A2110" i="1"/>
  <c r="B2109" i="1"/>
  <c r="A2109" i="1"/>
  <c r="B2108" i="1"/>
  <c r="A2108" i="1"/>
  <c r="B2107" i="1"/>
  <c r="A2107" i="1"/>
  <c r="B2106" i="1"/>
  <c r="A2106" i="1"/>
  <c r="B2105" i="1"/>
  <c r="A2105" i="1"/>
  <c r="A2104" i="1"/>
  <c r="A2103" i="1"/>
  <c r="B2102" i="1"/>
  <c r="A2102" i="1"/>
  <c r="B2101" i="1"/>
  <c r="A2101" i="1"/>
  <c r="B2100" i="1"/>
  <c r="A2100" i="1"/>
  <c r="A2099" i="1"/>
  <c r="B2098" i="1"/>
  <c r="A2098" i="1"/>
  <c r="B2097" i="1"/>
  <c r="A2097" i="1"/>
  <c r="B2096" i="1"/>
  <c r="A2096" i="1"/>
  <c r="A2095" i="1"/>
  <c r="B2094" i="1"/>
  <c r="A2094" i="1"/>
  <c r="B2093" i="1"/>
  <c r="A2093" i="1"/>
  <c r="B2092" i="1"/>
  <c r="A2092" i="1"/>
  <c r="B2091" i="1"/>
  <c r="A2091" i="1"/>
  <c r="B2090" i="1"/>
  <c r="A2090" i="1"/>
  <c r="A2089" i="1"/>
  <c r="A2088" i="1"/>
  <c r="A2087" i="1"/>
  <c r="B2086" i="1"/>
  <c r="A2086" i="1"/>
  <c r="B2085" i="1"/>
  <c r="A2085" i="1"/>
  <c r="B2084" i="1"/>
  <c r="A2084" i="1"/>
  <c r="A2083" i="1"/>
  <c r="B2082" i="1"/>
  <c r="A2082" i="1"/>
  <c r="B2081" i="1"/>
  <c r="A2081" i="1"/>
  <c r="B2080" i="1"/>
  <c r="A2080" i="1"/>
  <c r="B2079" i="1"/>
  <c r="A2079" i="1"/>
  <c r="B2078" i="1"/>
  <c r="A2078" i="1"/>
  <c r="B2077" i="1"/>
  <c r="A2077" i="1"/>
  <c r="A2076" i="1"/>
  <c r="B2075" i="1"/>
  <c r="A2075" i="1"/>
  <c r="B2074" i="1"/>
  <c r="A2074" i="1"/>
  <c r="B2073" i="1"/>
  <c r="A2073" i="1"/>
  <c r="B2072" i="1"/>
  <c r="A2072" i="1"/>
  <c r="B2071" i="1"/>
  <c r="A2071" i="1"/>
  <c r="A2070" i="1"/>
  <c r="B2069" i="1"/>
  <c r="A2069" i="1"/>
  <c r="B2068" i="1"/>
  <c r="A2068" i="1"/>
  <c r="B2067" i="1"/>
  <c r="A2067" i="1"/>
  <c r="B2066" i="1"/>
  <c r="A2066" i="1"/>
  <c r="A2065" i="1"/>
  <c r="A2064" i="1"/>
  <c r="A2063" i="1"/>
  <c r="B2062" i="1"/>
  <c r="A2062" i="1"/>
  <c r="B2061" i="1"/>
  <c r="A2061" i="1"/>
  <c r="B2060" i="1"/>
  <c r="A2060" i="1"/>
  <c r="A2059" i="1"/>
  <c r="B2058" i="1"/>
  <c r="A2058" i="1"/>
  <c r="B2057" i="1"/>
  <c r="A2057" i="1"/>
  <c r="B2056" i="1"/>
  <c r="A2056" i="1"/>
  <c r="B2055" i="1"/>
  <c r="A2055" i="1"/>
  <c r="B2054" i="1"/>
  <c r="A2054" i="1"/>
  <c r="A2053" i="1"/>
  <c r="B2052" i="1"/>
  <c r="A2052" i="1"/>
  <c r="B2051" i="1"/>
  <c r="A2051" i="1"/>
  <c r="B2050" i="1"/>
  <c r="A2050" i="1"/>
  <c r="B2049" i="1"/>
  <c r="A2049" i="1"/>
  <c r="B2048" i="1"/>
  <c r="A2048" i="1"/>
  <c r="A2047" i="1"/>
  <c r="A2046" i="1"/>
  <c r="B2045" i="1"/>
  <c r="A2045" i="1"/>
  <c r="B2044" i="1"/>
  <c r="A2044" i="1"/>
  <c r="A2043" i="1"/>
  <c r="B2042" i="1"/>
  <c r="A2042" i="1"/>
  <c r="B2041" i="1"/>
  <c r="A2041" i="1"/>
  <c r="B2040" i="1"/>
  <c r="A2040" i="1"/>
  <c r="A2039" i="1"/>
  <c r="B2038" i="1"/>
  <c r="A2038" i="1"/>
  <c r="B2037" i="1"/>
  <c r="A2037" i="1"/>
  <c r="A2036" i="1"/>
  <c r="A2035" i="1"/>
  <c r="B2034" i="1"/>
  <c r="A2034" i="1"/>
  <c r="A2033" i="1"/>
  <c r="B2032" i="1"/>
  <c r="A2032" i="1"/>
  <c r="B2031" i="1"/>
  <c r="A2031" i="1"/>
  <c r="B2030" i="1"/>
  <c r="A2030" i="1"/>
  <c r="A2029" i="1"/>
  <c r="B2028" i="1"/>
  <c r="A2028" i="1"/>
  <c r="B2027" i="1"/>
  <c r="A2027" i="1"/>
  <c r="B2026" i="1"/>
  <c r="A2026" i="1"/>
  <c r="B2025" i="1"/>
  <c r="A2025" i="1"/>
  <c r="B2024" i="1"/>
  <c r="A2024" i="1"/>
  <c r="A2023" i="1"/>
  <c r="A2022" i="1"/>
  <c r="B2021" i="1"/>
  <c r="A2021" i="1"/>
  <c r="B2020" i="1"/>
  <c r="A2020" i="1"/>
  <c r="B2019" i="1"/>
  <c r="A2019" i="1"/>
  <c r="B2018" i="1"/>
  <c r="A2018" i="1"/>
  <c r="B2017" i="1"/>
  <c r="A2017" i="1"/>
  <c r="A2016" i="1"/>
  <c r="B2015" i="1"/>
  <c r="A2015" i="1"/>
  <c r="A2014" i="1"/>
  <c r="A2013" i="1"/>
  <c r="B2012" i="1"/>
  <c r="A2012" i="1"/>
  <c r="A2011" i="1"/>
  <c r="B2010" i="1"/>
  <c r="A2010" i="1"/>
  <c r="B2009" i="1"/>
  <c r="A2009" i="1"/>
  <c r="B2008" i="1"/>
  <c r="A2008" i="1"/>
  <c r="B2007" i="1"/>
  <c r="A2007" i="1"/>
  <c r="B2006" i="1"/>
  <c r="A2006" i="1"/>
  <c r="B2005" i="1"/>
  <c r="A2005" i="1"/>
  <c r="B2004" i="1"/>
  <c r="A2004" i="1"/>
  <c r="B2003" i="1"/>
  <c r="A2003" i="1"/>
  <c r="B2002" i="1"/>
  <c r="A2002" i="1"/>
  <c r="B2001" i="1"/>
  <c r="A2001" i="1"/>
  <c r="A2000" i="1"/>
  <c r="B1999" i="1"/>
  <c r="A1999" i="1"/>
  <c r="A1998" i="1"/>
  <c r="B1997" i="1"/>
  <c r="A1997" i="1"/>
  <c r="B1996" i="1"/>
  <c r="A1996" i="1"/>
  <c r="B1995" i="1"/>
  <c r="A1995" i="1"/>
  <c r="A1994" i="1"/>
  <c r="A1993" i="1"/>
  <c r="B1992" i="1"/>
  <c r="A1992" i="1"/>
  <c r="A1991" i="1"/>
  <c r="B1990" i="1"/>
  <c r="A1990" i="1"/>
  <c r="B1989" i="1"/>
  <c r="A1989" i="1"/>
  <c r="B1988" i="1"/>
  <c r="A1988" i="1"/>
  <c r="B1987" i="1"/>
  <c r="A1987" i="1"/>
  <c r="B1986" i="1"/>
  <c r="A1986" i="1"/>
  <c r="B1985" i="1"/>
  <c r="A1985" i="1"/>
  <c r="A1984" i="1"/>
  <c r="B1983" i="1"/>
  <c r="A1983" i="1"/>
  <c r="B1982" i="1"/>
  <c r="A1982" i="1"/>
  <c r="B1981" i="1"/>
  <c r="A1981" i="1"/>
  <c r="B1980" i="1"/>
  <c r="A1980" i="1"/>
  <c r="A1979" i="1"/>
  <c r="B1978" i="1"/>
  <c r="A1978" i="1"/>
  <c r="B1977" i="1"/>
  <c r="A1977" i="1"/>
  <c r="A1976" i="1"/>
  <c r="B1975" i="1"/>
  <c r="A1975" i="1"/>
  <c r="A1974" i="1"/>
  <c r="B1973" i="1"/>
  <c r="A1973" i="1"/>
  <c r="B1972" i="1"/>
  <c r="A1972" i="1"/>
  <c r="B1971" i="1"/>
  <c r="A1971" i="1"/>
  <c r="A1970" i="1"/>
  <c r="B1969" i="1"/>
  <c r="A1969" i="1"/>
  <c r="B1968" i="1"/>
  <c r="A1968" i="1"/>
  <c r="B1967" i="1"/>
  <c r="A1967" i="1"/>
  <c r="B1966" i="1"/>
  <c r="A1966" i="1"/>
  <c r="B1965" i="1"/>
  <c r="A1965" i="1"/>
  <c r="B1964" i="1"/>
  <c r="A1964" i="1"/>
  <c r="A1963" i="1"/>
  <c r="A1962" i="1"/>
  <c r="A1961" i="1"/>
  <c r="B1960" i="1"/>
  <c r="A1960" i="1"/>
  <c r="B1959" i="1"/>
  <c r="A1959" i="1"/>
  <c r="B1958" i="1"/>
  <c r="A1958" i="1"/>
  <c r="B1957" i="1"/>
  <c r="A1957" i="1"/>
  <c r="A1956" i="1"/>
  <c r="B1955" i="1"/>
  <c r="A1955" i="1"/>
  <c r="B1954" i="1"/>
  <c r="A1954" i="1"/>
  <c r="A1953" i="1"/>
  <c r="B1952" i="1"/>
  <c r="A1952" i="1"/>
  <c r="B1951" i="1"/>
  <c r="A1951" i="1"/>
  <c r="B1950" i="1"/>
  <c r="A1950" i="1"/>
  <c r="B1949" i="1"/>
  <c r="A1949" i="1"/>
  <c r="B1948" i="1"/>
  <c r="A1948" i="1"/>
  <c r="A1947" i="1"/>
  <c r="B1946" i="1"/>
  <c r="A1946" i="1"/>
  <c r="A1945" i="1"/>
  <c r="B1944" i="1"/>
  <c r="A1944" i="1"/>
  <c r="A1943" i="1"/>
  <c r="B1942" i="1"/>
  <c r="A1942" i="1"/>
  <c r="A1941" i="1"/>
  <c r="A1940" i="1"/>
  <c r="A1939" i="1"/>
  <c r="B1938" i="1"/>
  <c r="A1938" i="1"/>
  <c r="B1937" i="1"/>
  <c r="A1937" i="1"/>
  <c r="A1936" i="1"/>
  <c r="A1935" i="1"/>
  <c r="A1934" i="1"/>
  <c r="B1933" i="1"/>
  <c r="A1933" i="1"/>
  <c r="B1932" i="1"/>
  <c r="A1932" i="1"/>
  <c r="B1931" i="1"/>
  <c r="A1931" i="1"/>
  <c r="B1930" i="1"/>
  <c r="A1930" i="1"/>
  <c r="B1929" i="1"/>
  <c r="A1929" i="1"/>
  <c r="B1928" i="1"/>
  <c r="A1928" i="1"/>
  <c r="B1927" i="1"/>
  <c r="A1927" i="1"/>
  <c r="B1926" i="1"/>
  <c r="A1926" i="1"/>
  <c r="A1925" i="1"/>
  <c r="B1924" i="1"/>
  <c r="A1924" i="1"/>
  <c r="B1923" i="1"/>
  <c r="A1923" i="1"/>
  <c r="A1922" i="1"/>
  <c r="B1921" i="1"/>
  <c r="A1921" i="1"/>
  <c r="A1920" i="1"/>
  <c r="A1919" i="1"/>
  <c r="B1918" i="1"/>
  <c r="A1918" i="1"/>
  <c r="A1917" i="1"/>
  <c r="B1916" i="1"/>
  <c r="A1916" i="1"/>
  <c r="B1915" i="1"/>
  <c r="A1915" i="1"/>
  <c r="B1914" i="1"/>
  <c r="A1914" i="1"/>
  <c r="B1913" i="1"/>
  <c r="A1913" i="1"/>
  <c r="B1912" i="1"/>
  <c r="A1912" i="1"/>
  <c r="B1911" i="1"/>
  <c r="A1911" i="1"/>
  <c r="B1910" i="1"/>
  <c r="A1910" i="1"/>
  <c r="A1909" i="1"/>
  <c r="B1908" i="1"/>
  <c r="A1908" i="1"/>
  <c r="B1907" i="1"/>
  <c r="A1907" i="1"/>
  <c r="B1906" i="1"/>
  <c r="A1906" i="1"/>
  <c r="B1905" i="1"/>
  <c r="A1905" i="1"/>
  <c r="A1904" i="1"/>
  <c r="B1903" i="1"/>
  <c r="A1903" i="1"/>
  <c r="B1902" i="1"/>
  <c r="A1902" i="1"/>
  <c r="B1901" i="1"/>
  <c r="A1901" i="1"/>
  <c r="B1900" i="1"/>
  <c r="A1900" i="1"/>
  <c r="A1899" i="1"/>
  <c r="B1898" i="1"/>
  <c r="A1898" i="1"/>
  <c r="B1897" i="1"/>
  <c r="A1897" i="1"/>
  <c r="A1896" i="1"/>
  <c r="A1895" i="1"/>
  <c r="B1894" i="1"/>
  <c r="A1894" i="1"/>
  <c r="B1893" i="1"/>
  <c r="A1893" i="1"/>
  <c r="B1892" i="1"/>
  <c r="A1892" i="1"/>
  <c r="B1891" i="1"/>
  <c r="A1891" i="1"/>
  <c r="A1890" i="1"/>
  <c r="A1889" i="1"/>
  <c r="A1888" i="1"/>
  <c r="A1887" i="1"/>
  <c r="B1886" i="1"/>
  <c r="A1886" i="1"/>
  <c r="A1885" i="1"/>
  <c r="B1884" i="1"/>
  <c r="A1884" i="1"/>
  <c r="A1883" i="1"/>
  <c r="A1882" i="1"/>
  <c r="B1881" i="1"/>
  <c r="A1881" i="1"/>
  <c r="B1880" i="1"/>
  <c r="A1880" i="1"/>
  <c r="A1879" i="1"/>
  <c r="A1878" i="1"/>
  <c r="A1877" i="1"/>
  <c r="B1876" i="1"/>
  <c r="A1876" i="1"/>
  <c r="B1875" i="1"/>
  <c r="A1875" i="1"/>
  <c r="B1874" i="1"/>
  <c r="A1874" i="1"/>
  <c r="B1873" i="1"/>
  <c r="A1873" i="1"/>
  <c r="A1872" i="1"/>
  <c r="A1871" i="1"/>
  <c r="A1870" i="1"/>
  <c r="A1869" i="1"/>
  <c r="B1868" i="1"/>
  <c r="A1868" i="1"/>
  <c r="B1867" i="1"/>
  <c r="A1867" i="1"/>
  <c r="A1866" i="1"/>
  <c r="B1865" i="1"/>
  <c r="A1865" i="1"/>
  <c r="B1864" i="1"/>
  <c r="A1864" i="1"/>
  <c r="B1863" i="1"/>
  <c r="A1863" i="1"/>
  <c r="A1862" i="1"/>
  <c r="B1861" i="1"/>
  <c r="A1861" i="1"/>
  <c r="B1860" i="1"/>
  <c r="A1860" i="1"/>
  <c r="B1859" i="1"/>
  <c r="A1859" i="1"/>
  <c r="B1858" i="1"/>
  <c r="A1858" i="1"/>
  <c r="B1857" i="1"/>
  <c r="A1857" i="1"/>
  <c r="A1856" i="1"/>
  <c r="B1855" i="1"/>
  <c r="A1855" i="1"/>
  <c r="B1854" i="1"/>
  <c r="A1854" i="1"/>
  <c r="A1853" i="1"/>
  <c r="B1852" i="1"/>
  <c r="A1852" i="1"/>
  <c r="B1851" i="1"/>
  <c r="A1851" i="1"/>
  <c r="A1850" i="1"/>
  <c r="A1849" i="1"/>
  <c r="B1848" i="1"/>
  <c r="A1848" i="1"/>
  <c r="A1847" i="1"/>
  <c r="B1846" i="1"/>
  <c r="A1846" i="1"/>
  <c r="B1845" i="1"/>
  <c r="A1845" i="1"/>
  <c r="B1844" i="1"/>
  <c r="A1844" i="1"/>
  <c r="A1843" i="1"/>
  <c r="A1842" i="1"/>
  <c r="A1841" i="1"/>
  <c r="B1840" i="1"/>
  <c r="A1840" i="1"/>
  <c r="B1839" i="1"/>
  <c r="A1839" i="1"/>
  <c r="B1838" i="1"/>
  <c r="A1838" i="1"/>
  <c r="B1837" i="1"/>
  <c r="A1837" i="1"/>
  <c r="A1836" i="1"/>
  <c r="A1835" i="1"/>
  <c r="A1834" i="1"/>
  <c r="B1833" i="1"/>
  <c r="A1833" i="1"/>
  <c r="A1832" i="1"/>
  <c r="A1831" i="1"/>
  <c r="A1830" i="1"/>
  <c r="B1829" i="1"/>
  <c r="A1829" i="1"/>
  <c r="B1828" i="1"/>
  <c r="A1828" i="1"/>
  <c r="B1827" i="1"/>
  <c r="A1827" i="1"/>
  <c r="A1826" i="1"/>
  <c r="A1825" i="1"/>
  <c r="B1824" i="1"/>
  <c r="A1824" i="1"/>
  <c r="B1823" i="1"/>
  <c r="A1823" i="1"/>
  <c r="B1822" i="1"/>
  <c r="A1822" i="1"/>
  <c r="A1821" i="1"/>
  <c r="A1820" i="1"/>
  <c r="A1819" i="1"/>
  <c r="A1818" i="1"/>
  <c r="B1817" i="1"/>
  <c r="A1817" i="1"/>
  <c r="B1816" i="1"/>
  <c r="A1816" i="1"/>
  <c r="A1815" i="1"/>
  <c r="A1814" i="1"/>
  <c r="A1813" i="1"/>
  <c r="A1812" i="1"/>
  <c r="B1811" i="1"/>
  <c r="A1811" i="1"/>
  <c r="A1810" i="1"/>
  <c r="A1809" i="1"/>
  <c r="B1808" i="1"/>
  <c r="A1808" i="1"/>
  <c r="B1807" i="1"/>
  <c r="A1807" i="1"/>
  <c r="A1806" i="1"/>
  <c r="B1805" i="1"/>
  <c r="A1805" i="1"/>
  <c r="B1804" i="1"/>
  <c r="A1804" i="1"/>
  <c r="B1803" i="1"/>
  <c r="A1803" i="1"/>
  <c r="B1802" i="1"/>
  <c r="A1802" i="1"/>
  <c r="A1801" i="1"/>
  <c r="B1800" i="1"/>
  <c r="A1800" i="1"/>
  <c r="B1799" i="1"/>
  <c r="A1799" i="1"/>
  <c r="B1798" i="1"/>
  <c r="A1798" i="1"/>
  <c r="A1797" i="1"/>
  <c r="B1796" i="1"/>
  <c r="A1796" i="1"/>
  <c r="A1795" i="1"/>
  <c r="A1794" i="1"/>
  <c r="A1793" i="1"/>
  <c r="B1792" i="1"/>
  <c r="A1792" i="1"/>
  <c r="B1791" i="1"/>
  <c r="A1791" i="1"/>
  <c r="B1790" i="1"/>
  <c r="A1790" i="1"/>
  <c r="B1789" i="1"/>
  <c r="A1789" i="1"/>
  <c r="A1788" i="1"/>
  <c r="A1787" i="1"/>
  <c r="A1786" i="1"/>
  <c r="B1785" i="1"/>
  <c r="A1785" i="1"/>
  <c r="B1784" i="1"/>
  <c r="A1784" i="1"/>
  <c r="B1783" i="1"/>
  <c r="A1783" i="1"/>
  <c r="B1782" i="1"/>
  <c r="A1782" i="1"/>
  <c r="B1781" i="1"/>
  <c r="A1781" i="1"/>
  <c r="B1780" i="1"/>
  <c r="A1780" i="1"/>
  <c r="A1779" i="1"/>
  <c r="A1778" i="1"/>
  <c r="A1777" i="1"/>
  <c r="A1776" i="1"/>
  <c r="B1775" i="1"/>
  <c r="A1775" i="1"/>
  <c r="A1774" i="1"/>
  <c r="B1773" i="1"/>
  <c r="A1773" i="1"/>
  <c r="B1772" i="1"/>
  <c r="A1772" i="1"/>
  <c r="B1771" i="1"/>
  <c r="A1771" i="1"/>
  <c r="B1770" i="1"/>
  <c r="A1770" i="1"/>
  <c r="A1769" i="1"/>
  <c r="A1768" i="1"/>
  <c r="B1767" i="1"/>
  <c r="A1767" i="1"/>
  <c r="B1766" i="1"/>
  <c r="A1766" i="1"/>
  <c r="A1765" i="1"/>
  <c r="B1764" i="1"/>
  <c r="A1764" i="1"/>
  <c r="A1763" i="1"/>
  <c r="A1762" i="1"/>
  <c r="B1761" i="1"/>
  <c r="A1761" i="1"/>
  <c r="A1760" i="1"/>
  <c r="B1759" i="1"/>
  <c r="A1759" i="1"/>
  <c r="B1758" i="1"/>
  <c r="A1758" i="1"/>
  <c r="A1757" i="1"/>
  <c r="A1756" i="1"/>
  <c r="B1755" i="1"/>
  <c r="A1755" i="1"/>
  <c r="B1754" i="1"/>
  <c r="A1754" i="1"/>
  <c r="A1753" i="1"/>
  <c r="A1752" i="1"/>
  <c r="A1751" i="1"/>
  <c r="A1750" i="1"/>
  <c r="B1749" i="1"/>
  <c r="A1749" i="1"/>
  <c r="A1748" i="1"/>
  <c r="A1747" i="1"/>
  <c r="B1746" i="1"/>
  <c r="A1746" i="1"/>
  <c r="B1745" i="1"/>
  <c r="A1745" i="1"/>
  <c r="A1744" i="1"/>
  <c r="B1743" i="1"/>
  <c r="A1743" i="1"/>
  <c r="B1742" i="1"/>
  <c r="A1742" i="1"/>
  <c r="B1741" i="1"/>
  <c r="A1741" i="1"/>
  <c r="B1740" i="1"/>
  <c r="A1740" i="1"/>
  <c r="A1739" i="1"/>
  <c r="B1738" i="1"/>
  <c r="A1738" i="1"/>
  <c r="A1737" i="1"/>
  <c r="B1736" i="1"/>
  <c r="A1736" i="1"/>
  <c r="A1735" i="1"/>
  <c r="B1734" i="1"/>
  <c r="A1734" i="1"/>
  <c r="A1733" i="1"/>
  <c r="B1732" i="1"/>
  <c r="A1732" i="1"/>
  <c r="B1731" i="1"/>
  <c r="A1731" i="1"/>
  <c r="B1730" i="1"/>
  <c r="A1730" i="1"/>
  <c r="A1729" i="1"/>
  <c r="B1728" i="1"/>
  <c r="A1728" i="1"/>
  <c r="A1727" i="1"/>
  <c r="B1726" i="1"/>
  <c r="A1726" i="1"/>
  <c r="B1725" i="1"/>
  <c r="A1725" i="1"/>
  <c r="A1724" i="1"/>
  <c r="B1723" i="1"/>
  <c r="A1723" i="1"/>
  <c r="B1722" i="1"/>
  <c r="A1722" i="1"/>
  <c r="B1721" i="1"/>
  <c r="A1721" i="1"/>
  <c r="B1720" i="1"/>
  <c r="A1720" i="1"/>
  <c r="A1719" i="1"/>
  <c r="A1718" i="1"/>
  <c r="B1717" i="1"/>
  <c r="A1717" i="1"/>
  <c r="A1716" i="1"/>
  <c r="B1715" i="1"/>
  <c r="A1715" i="1"/>
  <c r="B1714" i="1"/>
  <c r="A1714" i="1"/>
  <c r="B1713" i="1"/>
  <c r="A1713" i="1"/>
  <c r="B1712" i="1"/>
  <c r="A1712" i="1"/>
  <c r="B1711" i="1"/>
  <c r="A1711" i="1"/>
  <c r="B1710" i="1"/>
  <c r="A1710" i="1"/>
  <c r="B1709" i="1"/>
  <c r="A1709" i="1"/>
  <c r="B1708" i="1"/>
  <c r="A1708" i="1"/>
  <c r="A1707" i="1"/>
  <c r="A1706" i="1"/>
  <c r="B1705" i="1"/>
  <c r="A1705" i="1"/>
  <c r="A1704" i="1"/>
  <c r="A1703" i="1"/>
  <c r="B1702" i="1"/>
  <c r="A1702" i="1"/>
  <c r="A1701" i="1"/>
  <c r="B1700" i="1"/>
  <c r="A1700" i="1"/>
  <c r="B1699" i="1"/>
  <c r="A1699" i="1"/>
  <c r="B1698" i="1"/>
  <c r="A1698" i="1"/>
  <c r="A1697" i="1"/>
  <c r="B1696" i="1"/>
  <c r="A1696" i="1"/>
  <c r="A1695" i="1"/>
  <c r="A1694" i="1"/>
  <c r="A1693" i="1"/>
  <c r="B1692" i="1"/>
  <c r="A1692" i="1"/>
  <c r="B1691" i="1"/>
  <c r="A1691" i="1"/>
  <c r="A1690" i="1"/>
  <c r="A1689" i="1"/>
  <c r="A1688" i="1"/>
  <c r="B1687" i="1"/>
  <c r="A1687" i="1"/>
  <c r="B1686" i="1"/>
  <c r="A1686" i="1"/>
  <c r="B1685" i="1"/>
  <c r="A1685" i="1"/>
  <c r="A1684" i="1"/>
  <c r="B1683" i="1"/>
  <c r="A1683" i="1"/>
  <c r="B1682" i="1"/>
  <c r="A1682" i="1"/>
  <c r="A1681" i="1"/>
  <c r="A1680" i="1"/>
  <c r="B1679" i="1"/>
  <c r="A1679" i="1"/>
  <c r="B1678" i="1"/>
  <c r="A1678" i="1"/>
  <c r="A1677" i="1"/>
  <c r="A1676" i="1"/>
  <c r="B1675" i="1"/>
  <c r="A1675" i="1"/>
  <c r="B1674" i="1"/>
  <c r="A1674" i="1"/>
  <c r="A1673" i="1"/>
  <c r="B1672" i="1"/>
  <c r="A1672" i="1"/>
  <c r="A1671" i="1"/>
  <c r="B1670" i="1"/>
  <c r="A1670" i="1"/>
  <c r="B1669" i="1"/>
  <c r="A1669" i="1"/>
  <c r="B1668" i="1"/>
  <c r="A1668" i="1"/>
  <c r="B1667" i="1"/>
  <c r="A1667" i="1"/>
  <c r="B1666" i="1"/>
  <c r="A1666" i="1"/>
  <c r="A1665" i="1"/>
  <c r="A1664" i="1"/>
  <c r="A1663" i="1"/>
  <c r="B1662" i="1"/>
  <c r="A1662" i="1"/>
  <c r="B1661" i="1"/>
  <c r="A1661" i="1"/>
  <c r="A1660" i="1"/>
  <c r="B1659" i="1"/>
  <c r="A1659" i="1"/>
  <c r="A1658" i="1"/>
  <c r="A1657" i="1"/>
  <c r="A1656" i="1"/>
  <c r="B1655" i="1"/>
  <c r="A1655" i="1"/>
  <c r="A1654" i="1"/>
  <c r="B1653" i="1"/>
  <c r="A1653" i="1"/>
  <c r="A1652" i="1"/>
  <c r="B1651" i="1"/>
  <c r="A1651" i="1"/>
  <c r="A1650" i="1"/>
  <c r="B1649" i="1"/>
  <c r="A1649" i="1"/>
  <c r="A1648" i="1"/>
  <c r="B1647" i="1"/>
  <c r="A1647" i="1"/>
  <c r="B1646" i="1"/>
  <c r="A1646" i="1"/>
  <c r="B1645" i="1"/>
  <c r="A1645" i="1"/>
  <c r="B1644" i="1"/>
  <c r="A1644" i="1"/>
  <c r="B1643" i="1"/>
  <c r="A1643" i="1"/>
  <c r="B1642" i="1"/>
  <c r="A1642" i="1"/>
  <c r="A1641" i="1"/>
  <c r="B1640" i="1"/>
  <c r="A1640" i="1"/>
  <c r="B1639" i="1"/>
  <c r="A1639" i="1"/>
  <c r="A1638" i="1"/>
  <c r="B1637" i="1"/>
  <c r="A1637" i="1"/>
  <c r="B1636" i="1"/>
  <c r="A1636" i="1"/>
  <c r="A1635" i="1"/>
  <c r="A1634" i="1"/>
  <c r="A1633" i="1"/>
  <c r="B1632" i="1"/>
  <c r="A1632" i="1"/>
  <c r="A1631" i="1"/>
  <c r="A1630" i="1"/>
  <c r="B1629" i="1"/>
  <c r="A1629" i="1"/>
  <c r="B1628" i="1"/>
  <c r="A1628" i="1"/>
  <c r="A1627" i="1"/>
  <c r="B1626" i="1"/>
  <c r="A1626" i="1"/>
  <c r="B1625" i="1"/>
  <c r="A1625" i="1"/>
  <c r="A1624" i="1"/>
  <c r="B1623" i="1"/>
  <c r="A1623" i="1"/>
  <c r="B1622" i="1"/>
  <c r="A1622" i="1"/>
  <c r="A1621" i="1"/>
  <c r="B1620" i="1"/>
  <c r="A1620" i="1"/>
  <c r="B1619" i="1"/>
  <c r="A1619" i="1"/>
  <c r="A1618" i="1"/>
  <c r="B1617" i="1"/>
  <c r="A1617" i="1"/>
  <c r="B1616" i="1"/>
  <c r="A1616" i="1"/>
  <c r="B1615" i="1"/>
  <c r="A1615" i="1"/>
  <c r="B1614" i="1"/>
  <c r="A1614" i="1"/>
  <c r="B1613" i="1"/>
  <c r="A1613" i="1"/>
  <c r="B1612" i="1"/>
  <c r="A1612" i="1"/>
  <c r="B1611" i="1"/>
  <c r="A1611" i="1"/>
  <c r="A1610" i="1"/>
  <c r="A1609" i="1"/>
  <c r="B1608" i="1"/>
  <c r="A1608" i="1"/>
  <c r="B1607" i="1"/>
  <c r="A1607" i="1"/>
  <c r="A1606" i="1"/>
  <c r="B1605" i="1"/>
  <c r="A1605" i="1"/>
  <c r="B1604" i="1"/>
  <c r="A1604" i="1"/>
  <c r="A1603" i="1"/>
  <c r="B1602" i="1"/>
  <c r="A1602" i="1"/>
  <c r="B1601" i="1"/>
  <c r="A1601" i="1"/>
  <c r="B1600" i="1"/>
  <c r="A1600" i="1"/>
  <c r="A1599" i="1"/>
  <c r="A1598" i="1"/>
  <c r="B1597" i="1"/>
  <c r="A1597" i="1"/>
  <c r="B1596" i="1"/>
  <c r="A1596" i="1"/>
  <c r="B1595" i="1"/>
  <c r="A1595" i="1"/>
  <c r="A1594" i="1"/>
  <c r="A1593" i="1"/>
  <c r="B1592" i="1"/>
  <c r="A1592" i="1"/>
  <c r="A1591" i="1"/>
  <c r="A1590" i="1"/>
  <c r="A1589" i="1"/>
  <c r="B1588" i="1"/>
  <c r="A1588" i="1"/>
  <c r="A1587" i="1"/>
  <c r="B1586" i="1"/>
  <c r="A1586" i="1"/>
  <c r="B1585" i="1"/>
  <c r="A1585" i="1"/>
  <c r="A1584" i="1"/>
  <c r="B1583" i="1"/>
  <c r="A1583" i="1"/>
  <c r="B1582" i="1"/>
  <c r="A1582" i="1"/>
  <c r="A1581" i="1"/>
  <c r="B1580" i="1"/>
  <c r="A1580" i="1"/>
  <c r="B1579" i="1"/>
  <c r="A1579" i="1"/>
  <c r="A1578" i="1"/>
  <c r="B1577" i="1"/>
  <c r="A1577" i="1"/>
  <c r="B1576" i="1"/>
  <c r="A1576" i="1"/>
  <c r="A1575" i="1"/>
  <c r="A1574" i="1"/>
  <c r="B1573" i="1"/>
  <c r="A1573" i="1"/>
  <c r="A1572" i="1"/>
  <c r="B1571" i="1"/>
  <c r="A1571" i="1"/>
  <c r="A1570" i="1"/>
  <c r="B1569" i="1"/>
  <c r="A1569" i="1"/>
  <c r="A1568" i="1"/>
  <c r="A1567" i="1"/>
  <c r="A1566" i="1"/>
  <c r="B1565" i="1"/>
  <c r="A1565" i="1"/>
  <c r="A1564" i="1"/>
  <c r="B1563" i="1"/>
  <c r="A1563" i="1"/>
  <c r="B1562" i="1"/>
  <c r="A1562" i="1"/>
  <c r="B1561" i="1"/>
  <c r="A1561" i="1"/>
  <c r="A1560" i="1"/>
  <c r="B1559" i="1"/>
  <c r="A1559" i="1"/>
  <c r="B1558" i="1"/>
  <c r="A1558" i="1"/>
  <c r="B1557" i="1"/>
  <c r="A1557" i="1"/>
  <c r="B1556" i="1"/>
  <c r="A1556" i="1"/>
  <c r="B1555" i="1"/>
  <c r="A1555" i="1"/>
  <c r="B1554" i="1"/>
  <c r="A1554" i="1"/>
  <c r="A1553" i="1"/>
  <c r="B1552" i="1"/>
  <c r="A1552" i="1"/>
  <c r="B1551" i="1"/>
  <c r="A1551" i="1"/>
  <c r="B1550" i="1"/>
  <c r="A1550" i="1"/>
  <c r="A1549" i="1"/>
  <c r="A1548" i="1"/>
  <c r="A1547" i="1"/>
  <c r="A1546" i="1"/>
  <c r="A1545" i="1"/>
  <c r="B1544" i="1"/>
  <c r="A1544" i="1"/>
  <c r="B1543" i="1"/>
  <c r="A1543" i="1"/>
  <c r="B1542" i="1"/>
  <c r="A1542" i="1"/>
  <c r="A1541" i="1"/>
  <c r="B1540" i="1"/>
  <c r="A1540" i="1"/>
  <c r="A1539" i="1"/>
  <c r="B1538" i="1"/>
  <c r="A1538" i="1"/>
  <c r="B1537" i="1"/>
  <c r="A1537" i="1"/>
  <c r="B1536" i="1"/>
  <c r="A1536" i="1"/>
  <c r="A1535" i="1"/>
  <c r="B1534" i="1"/>
  <c r="A1534" i="1"/>
  <c r="B1533" i="1"/>
  <c r="A1533" i="1"/>
  <c r="B1532" i="1"/>
  <c r="A1532" i="1"/>
  <c r="B1531" i="1"/>
  <c r="A1531" i="1"/>
  <c r="B1530" i="1"/>
  <c r="A1530" i="1"/>
  <c r="A1529" i="1"/>
  <c r="A1528" i="1"/>
  <c r="B1527" i="1"/>
  <c r="A1527" i="1"/>
  <c r="B1526" i="1"/>
  <c r="A1526" i="1"/>
  <c r="B1525" i="1"/>
  <c r="A1525" i="1"/>
  <c r="B1524" i="1"/>
  <c r="A1524" i="1"/>
  <c r="A1523" i="1"/>
  <c r="A1522" i="1"/>
  <c r="A1521" i="1"/>
  <c r="B1520" i="1"/>
  <c r="A1520" i="1"/>
  <c r="B1519" i="1"/>
  <c r="A1519" i="1"/>
  <c r="A1518" i="1"/>
  <c r="B1517" i="1"/>
  <c r="A1517" i="1"/>
  <c r="B1516" i="1"/>
  <c r="A1516" i="1"/>
  <c r="A1515" i="1"/>
  <c r="B1514" i="1"/>
  <c r="A1514" i="1"/>
  <c r="B1513" i="1"/>
  <c r="A1513" i="1"/>
  <c r="A1512" i="1"/>
  <c r="B1511" i="1"/>
  <c r="A1511" i="1"/>
  <c r="A1510" i="1"/>
  <c r="B1509" i="1"/>
  <c r="A1509" i="1"/>
  <c r="B1508" i="1"/>
  <c r="A1508" i="1"/>
  <c r="B1507" i="1"/>
  <c r="A1507" i="1"/>
  <c r="A1506" i="1"/>
  <c r="B1505" i="1"/>
  <c r="A1505" i="1"/>
  <c r="B1504" i="1"/>
  <c r="A1504" i="1"/>
  <c r="A1503" i="1"/>
  <c r="A1502" i="1"/>
  <c r="B1501" i="1"/>
  <c r="A1501" i="1"/>
  <c r="B1500" i="1"/>
  <c r="A1500" i="1"/>
  <c r="A1499" i="1"/>
  <c r="B1498" i="1"/>
  <c r="A1498" i="1"/>
  <c r="B1497" i="1"/>
  <c r="A1497" i="1"/>
  <c r="B1496" i="1"/>
  <c r="A1496" i="1"/>
  <c r="A1495" i="1"/>
  <c r="A1494" i="1"/>
  <c r="B1493" i="1"/>
  <c r="A1493" i="1"/>
  <c r="B1492" i="1"/>
  <c r="A1492" i="1"/>
  <c r="A1491" i="1"/>
  <c r="B1490" i="1"/>
  <c r="A1490" i="1"/>
  <c r="B1489" i="1"/>
  <c r="A1489" i="1"/>
  <c r="B1488" i="1"/>
  <c r="A1488" i="1"/>
  <c r="B1487" i="1"/>
  <c r="A1487" i="1"/>
  <c r="B1486" i="1"/>
  <c r="A1486" i="1"/>
  <c r="B1485" i="1"/>
  <c r="A1485" i="1"/>
  <c r="B1484" i="1"/>
  <c r="A1484" i="1"/>
  <c r="B1483" i="1"/>
  <c r="A1483" i="1"/>
  <c r="A1482" i="1"/>
  <c r="B1481" i="1"/>
  <c r="A1481" i="1"/>
  <c r="B1480" i="1"/>
  <c r="A1480" i="1"/>
  <c r="B1479" i="1"/>
  <c r="A1479" i="1"/>
  <c r="A1478" i="1"/>
  <c r="B1477" i="1"/>
  <c r="A1477" i="1"/>
  <c r="A1476" i="1"/>
  <c r="B1475" i="1"/>
  <c r="A1475" i="1"/>
  <c r="B1474" i="1"/>
  <c r="A1474" i="1"/>
  <c r="B1473" i="1"/>
  <c r="A1473" i="1"/>
  <c r="B1472" i="1"/>
  <c r="A1472" i="1"/>
  <c r="B1471" i="1"/>
  <c r="A1471" i="1"/>
  <c r="A1470" i="1"/>
  <c r="B1469" i="1"/>
  <c r="A1469" i="1"/>
  <c r="B1468" i="1"/>
  <c r="A1468" i="1"/>
  <c r="A1467" i="1"/>
  <c r="B1466" i="1"/>
  <c r="A1466" i="1"/>
  <c r="A1465" i="1"/>
  <c r="A1464" i="1"/>
  <c r="B1463" i="1"/>
  <c r="A1463" i="1"/>
  <c r="B1462" i="1"/>
  <c r="A1462" i="1"/>
  <c r="B1461" i="1"/>
  <c r="A1461" i="1"/>
  <c r="B1460" i="1"/>
  <c r="A1460" i="1"/>
  <c r="B1459" i="1"/>
  <c r="A1459" i="1"/>
  <c r="A1458" i="1"/>
  <c r="B1457" i="1"/>
  <c r="A1457" i="1"/>
  <c r="A1456" i="1"/>
  <c r="B1455" i="1"/>
  <c r="A1455" i="1"/>
  <c r="A1454" i="1"/>
  <c r="A1453" i="1"/>
  <c r="A1452" i="1"/>
  <c r="B1451" i="1"/>
  <c r="A1451" i="1"/>
  <c r="A1450" i="1"/>
  <c r="B1449" i="1"/>
  <c r="A1449" i="1"/>
  <c r="A1448" i="1"/>
  <c r="B1447" i="1"/>
  <c r="A1447" i="1"/>
  <c r="B1446" i="1"/>
  <c r="A1446" i="1"/>
  <c r="A1445" i="1"/>
  <c r="B1444" i="1"/>
  <c r="A1444" i="1"/>
  <c r="B1443" i="1"/>
  <c r="A1443" i="1"/>
  <c r="B1442" i="1"/>
  <c r="A1442" i="1"/>
  <c r="B1441" i="1"/>
  <c r="A1441" i="1"/>
  <c r="A1440" i="1"/>
  <c r="A1439" i="1"/>
  <c r="A1438" i="1"/>
  <c r="B1437" i="1"/>
  <c r="A1437" i="1"/>
  <c r="B1436" i="1"/>
  <c r="A1436" i="1"/>
  <c r="A1435" i="1"/>
  <c r="B1434" i="1"/>
  <c r="A1434" i="1"/>
  <c r="A1433" i="1"/>
  <c r="B1432" i="1"/>
  <c r="A1432" i="1"/>
  <c r="A1431" i="1"/>
  <c r="B1430" i="1"/>
  <c r="A1430" i="1"/>
  <c r="A1429" i="1"/>
  <c r="A1428" i="1"/>
  <c r="B1427" i="1"/>
  <c r="A1427" i="1"/>
  <c r="A1426" i="1"/>
  <c r="A1425" i="1"/>
  <c r="B1424" i="1"/>
  <c r="A1424" i="1"/>
  <c r="B1423" i="1"/>
  <c r="A1423" i="1"/>
  <c r="A1422" i="1"/>
  <c r="A1421" i="1"/>
  <c r="A1420" i="1"/>
  <c r="B1419" i="1"/>
  <c r="A1419" i="1"/>
  <c r="A1418" i="1"/>
  <c r="A1417" i="1"/>
  <c r="B1416" i="1"/>
  <c r="A1416" i="1"/>
  <c r="A1415" i="1"/>
  <c r="B1414" i="1"/>
  <c r="A1414" i="1"/>
  <c r="B1413" i="1"/>
  <c r="A1413" i="1"/>
  <c r="B1412" i="1"/>
  <c r="A1412" i="1"/>
  <c r="A1411" i="1"/>
  <c r="B1410" i="1"/>
  <c r="A1410" i="1"/>
  <c r="B1409" i="1"/>
  <c r="A1409" i="1"/>
  <c r="B1408" i="1"/>
  <c r="A1408" i="1"/>
  <c r="A1407" i="1"/>
  <c r="A1406" i="1"/>
  <c r="B1405" i="1"/>
  <c r="A1405" i="1"/>
  <c r="B1404" i="1"/>
  <c r="A1404" i="1"/>
  <c r="B1403" i="1"/>
  <c r="A1403" i="1"/>
  <c r="A1402" i="1"/>
  <c r="A1401" i="1"/>
  <c r="B1400" i="1"/>
  <c r="A1400" i="1"/>
  <c r="A1399" i="1"/>
  <c r="A1398" i="1"/>
  <c r="B1397" i="1"/>
  <c r="A1397" i="1"/>
  <c r="B1396" i="1"/>
  <c r="A1396" i="1"/>
  <c r="A1395" i="1"/>
  <c r="B1394" i="1"/>
  <c r="A1394" i="1"/>
  <c r="A1393" i="1"/>
  <c r="B1392" i="1"/>
  <c r="A1392" i="1"/>
  <c r="B1391" i="1"/>
  <c r="A1391" i="1"/>
  <c r="B1390" i="1"/>
  <c r="A1390" i="1"/>
  <c r="B1389" i="1"/>
  <c r="A1389" i="1"/>
  <c r="B1388" i="1"/>
  <c r="A1388" i="1"/>
  <c r="B1387" i="1"/>
  <c r="A1387" i="1"/>
  <c r="B1386" i="1"/>
  <c r="A1386" i="1"/>
  <c r="B1385" i="1"/>
  <c r="A1385" i="1"/>
  <c r="A1384" i="1"/>
  <c r="B1383" i="1"/>
  <c r="A1383" i="1"/>
  <c r="B1382" i="1"/>
  <c r="A1382" i="1"/>
  <c r="B1381" i="1"/>
  <c r="A1381" i="1"/>
  <c r="A1380" i="1"/>
  <c r="A1379" i="1"/>
  <c r="A1378" i="1"/>
  <c r="B1377" i="1"/>
  <c r="A1377" i="1"/>
  <c r="B1376" i="1"/>
  <c r="A1376" i="1"/>
  <c r="B1375" i="1"/>
  <c r="A1375" i="1"/>
  <c r="B1374" i="1"/>
  <c r="A1374" i="1"/>
  <c r="B1373" i="1"/>
  <c r="A1373" i="1"/>
  <c r="A1372" i="1"/>
  <c r="B1371" i="1"/>
  <c r="A1371" i="1"/>
  <c r="B1370" i="1"/>
  <c r="A1370" i="1"/>
  <c r="A1369" i="1"/>
  <c r="B1368" i="1"/>
  <c r="A1368" i="1"/>
  <c r="B1367" i="1"/>
  <c r="A1367" i="1"/>
  <c r="A1366" i="1"/>
  <c r="B1365" i="1"/>
  <c r="A1365" i="1"/>
  <c r="B1364" i="1"/>
  <c r="A1364" i="1"/>
  <c r="B1363" i="1"/>
  <c r="A1363" i="1"/>
  <c r="B1362" i="1"/>
  <c r="A1362" i="1"/>
  <c r="B1361" i="1"/>
  <c r="A1361" i="1"/>
  <c r="B1360" i="1"/>
  <c r="A1360" i="1"/>
  <c r="B1359" i="1"/>
  <c r="A1359" i="1"/>
  <c r="B1358" i="1"/>
  <c r="A1358" i="1"/>
  <c r="B1357" i="1"/>
  <c r="A1357" i="1"/>
  <c r="A1356" i="1"/>
  <c r="B1355" i="1"/>
  <c r="A1355" i="1"/>
  <c r="A1354" i="1"/>
  <c r="A1353" i="1"/>
  <c r="A1352" i="1"/>
  <c r="B1351" i="1"/>
  <c r="A1351" i="1"/>
  <c r="A1350" i="1"/>
  <c r="B1349" i="1"/>
  <c r="A1349" i="1"/>
  <c r="B1348" i="1"/>
  <c r="A1348" i="1"/>
  <c r="A1347" i="1"/>
  <c r="B1346" i="1"/>
  <c r="A1346" i="1"/>
  <c r="B1345" i="1"/>
  <c r="A1345" i="1"/>
  <c r="A1344" i="1"/>
  <c r="B1343" i="1"/>
  <c r="A1343" i="1"/>
  <c r="B1342" i="1"/>
  <c r="A1342" i="1"/>
  <c r="A1341" i="1"/>
  <c r="B1340" i="1"/>
  <c r="A1340" i="1"/>
  <c r="B1339" i="1"/>
  <c r="A1339" i="1"/>
  <c r="B1338" i="1"/>
  <c r="A1338" i="1"/>
  <c r="B1337" i="1"/>
  <c r="A1337" i="1"/>
  <c r="B1336" i="1"/>
  <c r="A1336" i="1"/>
  <c r="A1335" i="1"/>
  <c r="A1334" i="1"/>
  <c r="A1333" i="1"/>
  <c r="A1332" i="1"/>
  <c r="A1331" i="1"/>
  <c r="B1330" i="1"/>
  <c r="A1330" i="1"/>
  <c r="B1329" i="1"/>
  <c r="A1329" i="1"/>
  <c r="B1328" i="1"/>
  <c r="A1328" i="1"/>
  <c r="B1327" i="1"/>
  <c r="A1327" i="1"/>
  <c r="A1326" i="1"/>
  <c r="B1325" i="1"/>
  <c r="A1325" i="1"/>
  <c r="B1324" i="1"/>
  <c r="A1324" i="1"/>
  <c r="B1323" i="1"/>
  <c r="A1323" i="1"/>
  <c r="B1322" i="1"/>
  <c r="A1322" i="1"/>
  <c r="B1321" i="1"/>
  <c r="A1321" i="1"/>
  <c r="A1320" i="1"/>
  <c r="A1319" i="1"/>
  <c r="B1318" i="1"/>
  <c r="A1318" i="1"/>
  <c r="A1317" i="1"/>
  <c r="A1316" i="1"/>
  <c r="B1315" i="1"/>
  <c r="A1315" i="1"/>
  <c r="B1314" i="1"/>
  <c r="A1314" i="1"/>
  <c r="B1313" i="1"/>
  <c r="A1313" i="1"/>
  <c r="B1312" i="1"/>
  <c r="A1312" i="1"/>
  <c r="B1311" i="1"/>
  <c r="A1311" i="1"/>
  <c r="B1310" i="1"/>
  <c r="A1310" i="1"/>
  <c r="A1309" i="1"/>
  <c r="B1308" i="1"/>
  <c r="A1308" i="1"/>
  <c r="B1307" i="1"/>
  <c r="A1307" i="1"/>
  <c r="A1306" i="1"/>
  <c r="B1305" i="1"/>
  <c r="A1305" i="1"/>
  <c r="A1304" i="1"/>
  <c r="A1303" i="1"/>
  <c r="B1302" i="1"/>
  <c r="A1302" i="1"/>
  <c r="A1301" i="1"/>
  <c r="A1300" i="1"/>
  <c r="A1299" i="1"/>
  <c r="A1298" i="1"/>
  <c r="B1297" i="1"/>
  <c r="A1297" i="1"/>
  <c r="B1296" i="1"/>
  <c r="A1296" i="1"/>
  <c r="A1295" i="1"/>
  <c r="A1294" i="1"/>
  <c r="B1293" i="1"/>
  <c r="A1293" i="1"/>
  <c r="B1292" i="1"/>
  <c r="A1292" i="1"/>
  <c r="A1291" i="1"/>
  <c r="B1290" i="1"/>
  <c r="A1290" i="1"/>
  <c r="B1289" i="1"/>
  <c r="A1289" i="1"/>
  <c r="A1288" i="1"/>
  <c r="B1287" i="1"/>
  <c r="A1287" i="1"/>
  <c r="A1286" i="1"/>
  <c r="B1285" i="1"/>
  <c r="A1285" i="1"/>
  <c r="B1284" i="1"/>
  <c r="A1284" i="1"/>
  <c r="B1283" i="1"/>
  <c r="A1283" i="1"/>
  <c r="B1282" i="1"/>
  <c r="A1282" i="1"/>
  <c r="A1281" i="1"/>
  <c r="B1280" i="1"/>
  <c r="A1280" i="1"/>
  <c r="A1279" i="1"/>
  <c r="B1278" i="1"/>
  <c r="A1278" i="1"/>
  <c r="B1277" i="1"/>
  <c r="A1277" i="1"/>
  <c r="A1276" i="1"/>
  <c r="A1275" i="1"/>
  <c r="B1274" i="1"/>
  <c r="A1274" i="1"/>
  <c r="A1273" i="1"/>
  <c r="B1272" i="1"/>
  <c r="A1272" i="1"/>
  <c r="B1271" i="1"/>
  <c r="A1271" i="1"/>
  <c r="B1270" i="1"/>
  <c r="A1270" i="1"/>
  <c r="A1269" i="1"/>
  <c r="B1268" i="1"/>
  <c r="A1268" i="1"/>
  <c r="B1267" i="1"/>
  <c r="A1267" i="1"/>
  <c r="B1266" i="1"/>
  <c r="A1266" i="1"/>
  <c r="B1265" i="1"/>
  <c r="A1265" i="1"/>
  <c r="B1264" i="1"/>
  <c r="A1264" i="1"/>
  <c r="B1263" i="1"/>
  <c r="A1263" i="1"/>
  <c r="B1262" i="1"/>
  <c r="A1262" i="1"/>
  <c r="B1261" i="1"/>
  <c r="A1261" i="1"/>
  <c r="B1260" i="1"/>
  <c r="A1260" i="1"/>
  <c r="A1259" i="1"/>
  <c r="B1258" i="1"/>
  <c r="A1258" i="1"/>
  <c r="A1257" i="1"/>
  <c r="B1256" i="1"/>
  <c r="A1256" i="1"/>
  <c r="A1255" i="1"/>
  <c r="B1254" i="1"/>
  <c r="A1254" i="1"/>
  <c r="A1253" i="1"/>
  <c r="B1252" i="1"/>
  <c r="A1252" i="1"/>
  <c r="B1251" i="1"/>
  <c r="A1251" i="1"/>
  <c r="B1250" i="1"/>
  <c r="A1250" i="1"/>
  <c r="B1249" i="1"/>
  <c r="A1249" i="1"/>
  <c r="A1248" i="1"/>
  <c r="B1247" i="1"/>
  <c r="A1247" i="1"/>
  <c r="B1246" i="1"/>
  <c r="A1246" i="1"/>
  <c r="B1245" i="1"/>
  <c r="A1245" i="1"/>
  <c r="B1244" i="1"/>
  <c r="A1244" i="1"/>
  <c r="B1243" i="1"/>
  <c r="A1243" i="1"/>
  <c r="B1242" i="1"/>
  <c r="A1242" i="1"/>
  <c r="B1241" i="1"/>
  <c r="A1241" i="1"/>
  <c r="B1240" i="1"/>
  <c r="A1240" i="1"/>
  <c r="A1239" i="1"/>
  <c r="A1238" i="1"/>
  <c r="A1237" i="1"/>
  <c r="B1236" i="1"/>
  <c r="A1236" i="1"/>
  <c r="B1235" i="1"/>
  <c r="A1235" i="1"/>
  <c r="A1234" i="1"/>
  <c r="B1233" i="1"/>
  <c r="A1233" i="1"/>
  <c r="B1232" i="1"/>
  <c r="A1232" i="1"/>
  <c r="B1231" i="1"/>
  <c r="A1231" i="1"/>
  <c r="B1230" i="1"/>
  <c r="A1230" i="1"/>
  <c r="A1229" i="1"/>
  <c r="B1228" i="1"/>
  <c r="A1228" i="1"/>
  <c r="A1227" i="1"/>
  <c r="A1226" i="1"/>
  <c r="A1225" i="1"/>
  <c r="B1224" i="1"/>
  <c r="A1224" i="1"/>
  <c r="B1223" i="1"/>
  <c r="A1223" i="1"/>
  <c r="B1222" i="1"/>
  <c r="A1222" i="1"/>
  <c r="A1221" i="1"/>
  <c r="B1220" i="1"/>
  <c r="A1220" i="1"/>
  <c r="A1219" i="1"/>
  <c r="B1218" i="1"/>
  <c r="A1218" i="1"/>
  <c r="A1217" i="1"/>
  <c r="B1216" i="1"/>
  <c r="A1216" i="1"/>
  <c r="B1215" i="1"/>
  <c r="A1215" i="1"/>
  <c r="B1214" i="1"/>
  <c r="A1214" i="1"/>
  <c r="B1213" i="1"/>
  <c r="A1213" i="1"/>
  <c r="B1212" i="1"/>
  <c r="A1212" i="1"/>
  <c r="B1211" i="1"/>
  <c r="A1211" i="1"/>
  <c r="B1210" i="1"/>
  <c r="A1210" i="1"/>
  <c r="B1209" i="1"/>
  <c r="A1209" i="1"/>
  <c r="A1208" i="1"/>
  <c r="A1207" i="1"/>
  <c r="A1206" i="1"/>
  <c r="A1205" i="1"/>
  <c r="A1204" i="1"/>
  <c r="B1203" i="1"/>
  <c r="A1203" i="1"/>
  <c r="B1202" i="1"/>
  <c r="A1202" i="1"/>
  <c r="A1201" i="1"/>
  <c r="B1200" i="1"/>
  <c r="A1200" i="1"/>
  <c r="A1199" i="1"/>
  <c r="B1198" i="1"/>
  <c r="A1198" i="1"/>
  <c r="B1197" i="1"/>
  <c r="A1197" i="1"/>
  <c r="B1196" i="1"/>
  <c r="A1196" i="1"/>
  <c r="B1195" i="1"/>
  <c r="A1195" i="1"/>
  <c r="A1194" i="1"/>
  <c r="B1193" i="1"/>
  <c r="A1193" i="1"/>
  <c r="A1192" i="1"/>
  <c r="B1191" i="1"/>
  <c r="A1191" i="1"/>
  <c r="A1190" i="1"/>
  <c r="B1189" i="1"/>
  <c r="A1189" i="1"/>
  <c r="A1188" i="1"/>
  <c r="B1187" i="1"/>
  <c r="A1187" i="1"/>
  <c r="B1186" i="1"/>
  <c r="A1186" i="1"/>
  <c r="B1185" i="1"/>
  <c r="A1185" i="1"/>
  <c r="A1184" i="1"/>
  <c r="B1183" i="1"/>
  <c r="A1183" i="1"/>
  <c r="A1182" i="1"/>
  <c r="A1181" i="1"/>
  <c r="A1180" i="1"/>
  <c r="A1179" i="1"/>
  <c r="B1178" i="1"/>
  <c r="A1178" i="1"/>
  <c r="A1177" i="1"/>
  <c r="A1176" i="1"/>
  <c r="A1175" i="1"/>
  <c r="B1174" i="1"/>
  <c r="A1174" i="1"/>
  <c r="A1173" i="1"/>
  <c r="A1172" i="1"/>
  <c r="B1171" i="1"/>
  <c r="A1171" i="1"/>
  <c r="A1170" i="1"/>
  <c r="A1169" i="1"/>
  <c r="A1168" i="1"/>
  <c r="B1167" i="1"/>
  <c r="A1167" i="1"/>
  <c r="B1166" i="1"/>
  <c r="A1166" i="1"/>
  <c r="B1165" i="1"/>
  <c r="A1165" i="1"/>
  <c r="B1164" i="1"/>
  <c r="A1164" i="1"/>
  <c r="B1163" i="1"/>
  <c r="A1163" i="1"/>
  <c r="B1162" i="1"/>
  <c r="A1162" i="1"/>
  <c r="B1161" i="1"/>
  <c r="A1161" i="1"/>
  <c r="A1160" i="1"/>
  <c r="B1159" i="1"/>
  <c r="A1159" i="1"/>
  <c r="B1158" i="1"/>
  <c r="A1158" i="1"/>
  <c r="A1157" i="1"/>
  <c r="A1156" i="1"/>
  <c r="B1155" i="1"/>
  <c r="A1155" i="1"/>
  <c r="B1154" i="1"/>
  <c r="A1154" i="1"/>
  <c r="A1153" i="1"/>
  <c r="B1152" i="1"/>
  <c r="A1152" i="1"/>
  <c r="A1151" i="1"/>
  <c r="B1150" i="1"/>
  <c r="A1150" i="1"/>
  <c r="B1149" i="1"/>
  <c r="A1149" i="1"/>
  <c r="B1148" i="1"/>
  <c r="A1148" i="1"/>
  <c r="B1147" i="1"/>
  <c r="A1147" i="1"/>
  <c r="B1146" i="1"/>
  <c r="A1146" i="1"/>
  <c r="B1145" i="1"/>
  <c r="A1145" i="1"/>
  <c r="A1144" i="1"/>
  <c r="B1143" i="1"/>
  <c r="A1143" i="1"/>
  <c r="B1142" i="1"/>
  <c r="A1142" i="1"/>
  <c r="B1141" i="1"/>
  <c r="A1141" i="1"/>
  <c r="B1140" i="1"/>
  <c r="A1140" i="1"/>
  <c r="B1139" i="1"/>
  <c r="A1139" i="1"/>
  <c r="B1138" i="1"/>
  <c r="A1138" i="1"/>
  <c r="B1137" i="1"/>
  <c r="A1137" i="1"/>
  <c r="B1136" i="1"/>
  <c r="A1136" i="1"/>
  <c r="A1135" i="1"/>
  <c r="A1134" i="1"/>
  <c r="B1133" i="1"/>
  <c r="A1133" i="1"/>
  <c r="B1132" i="1"/>
  <c r="A1132" i="1"/>
  <c r="B1131" i="1"/>
  <c r="A1131" i="1"/>
  <c r="B1130" i="1"/>
  <c r="A1130" i="1"/>
  <c r="B1129" i="1"/>
  <c r="A1129" i="1"/>
  <c r="B1128" i="1"/>
  <c r="A1128" i="1"/>
  <c r="B1127" i="1"/>
  <c r="A1127" i="1"/>
  <c r="A1126" i="1"/>
  <c r="A1125" i="1"/>
  <c r="A1124" i="1"/>
  <c r="B1123" i="1"/>
  <c r="A1123" i="1"/>
  <c r="A1122" i="1"/>
  <c r="B1121" i="1"/>
  <c r="A1121" i="1"/>
  <c r="B1120" i="1"/>
  <c r="A1120" i="1"/>
  <c r="B1119" i="1"/>
  <c r="A1119" i="1"/>
  <c r="A1118" i="1"/>
  <c r="B1117" i="1"/>
  <c r="A1117" i="1"/>
  <c r="B1116" i="1"/>
  <c r="A1116" i="1"/>
  <c r="B1115" i="1"/>
  <c r="A1115" i="1"/>
  <c r="B1114" i="1"/>
  <c r="A1114" i="1"/>
  <c r="A1113" i="1"/>
  <c r="B1112" i="1"/>
  <c r="A1112" i="1"/>
  <c r="B1111" i="1"/>
  <c r="A1111" i="1"/>
  <c r="B1110" i="1"/>
  <c r="A1110" i="1"/>
  <c r="B1109" i="1"/>
  <c r="A1109" i="1"/>
  <c r="B1108" i="1"/>
  <c r="A1108" i="1"/>
  <c r="B1107" i="1"/>
  <c r="A1107" i="1"/>
  <c r="B1106" i="1"/>
  <c r="A1106" i="1"/>
  <c r="A1105" i="1"/>
  <c r="B1104" i="1"/>
  <c r="A1104" i="1"/>
  <c r="A1103" i="1"/>
  <c r="B1102" i="1"/>
  <c r="A1102" i="1"/>
  <c r="B1101" i="1"/>
  <c r="A1101" i="1"/>
  <c r="B1100" i="1"/>
  <c r="A1100" i="1"/>
  <c r="B1099" i="1"/>
  <c r="A1099" i="1"/>
  <c r="A1098" i="1"/>
  <c r="B1097" i="1"/>
  <c r="A1097" i="1"/>
  <c r="B1096" i="1"/>
  <c r="A1096" i="1"/>
  <c r="A1095" i="1"/>
  <c r="B1094" i="1"/>
  <c r="A1094" i="1"/>
  <c r="A1093" i="1"/>
  <c r="B1092" i="1"/>
  <c r="A1092" i="1"/>
  <c r="B1091" i="1"/>
  <c r="A1091" i="1"/>
  <c r="A1090" i="1"/>
  <c r="B1089" i="1"/>
  <c r="A1089" i="1"/>
  <c r="B1088" i="1"/>
  <c r="A1088" i="1"/>
  <c r="A1087" i="1"/>
  <c r="A1086" i="1"/>
  <c r="B1085" i="1"/>
  <c r="A1085" i="1"/>
  <c r="A1084" i="1"/>
  <c r="B1083" i="1"/>
  <c r="A1083" i="1"/>
  <c r="A1082" i="1"/>
  <c r="A1081" i="1"/>
  <c r="B1080" i="1"/>
  <c r="A1080" i="1"/>
  <c r="B1079" i="1"/>
  <c r="A1079" i="1"/>
  <c r="B1078" i="1"/>
  <c r="A1078" i="1"/>
  <c r="A1077" i="1"/>
  <c r="A1076" i="1"/>
  <c r="B1075" i="1"/>
  <c r="A1075" i="1"/>
  <c r="A1074" i="1"/>
  <c r="A1073" i="1"/>
  <c r="A1072" i="1"/>
  <c r="B1071" i="1"/>
  <c r="A1071" i="1"/>
  <c r="A1070" i="1"/>
  <c r="A1069" i="1"/>
  <c r="A1068" i="1"/>
  <c r="A1067" i="1"/>
  <c r="A1066" i="1"/>
  <c r="B1065" i="1"/>
  <c r="A1065" i="1"/>
  <c r="B1064" i="1"/>
  <c r="A1064" i="1"/>
  <c r="B1063" i="1"/>
  <c r="A1063" i="1"/>
  <c r="B1062" i="1"/>
  <c r="A1062" i="1"/>
  <c r="B1061" i="1"/>
  <c r="A1061" i="1"/>
  <c r="B1060" i="1"/>
  <c r="A1060" i="1"/>
  <c r="B1059" i="1"/>
  <c r="A1059" i="1"/>
  <c r="B1058" i="1"/>
  <c r="A1058" i="1"/>
  <c r="B1057" i="1"/>
  <c r="A1057" i="1"/>
  <c r="B1056" i="1"/>
  <c r="A1056" i="1"/>
  <c r="B1055" i="1"/>
  <c r="A1055" i="1"/>
  <c r="B1054" i="1"/>
  <c r="A1054" i="1"/>
  <c r="B1053" i="1"/>
  <c r="A1053" i="1"/>
  <c r="A1052" i="1"/>
  <c r="A1051" i="1"/>
  <c r="A1050" i="1"/>
  <c r="B1049" i="1"/>
  <c r="A1049" i="1"/>
  <c r="A1048" i="1"/>
  <c r="B1047" i="1"/>
  <c r="A1047" i="1"/>
  <c r="B1046" i="1"/>
  <c r="A1046" i="1"/>
  <c r="A1045" i="1"/>
  <c r="A1044" i="1"/>
  <c r="B1043" i="1"/>
  <c r="A1043" i="1"/>
  <c r="A1042" i="1"/>
  <c r="A1041" i="1"/>
  <c r="B1040" i="1"/>
  <c r="A1040" i="1"/>
  <c r="B1039" i="1"/>
  <c r="A1039" i="1"/>
  <c r="B1038" i="1"/>
  <c r="A1038" i="1"/>
  <c r="A1037" i="1"/>
  <c r="A1036" i="1"/>
  <c r="A1035" i="1"/>
  <c r="B1034" i="1"/>
  <c r="A1034" i="1"/>
  <c r="B1033" i="1"/>
  <c r="A1033" i="1"/>
  <c r="B1032" i="1"/>
  <c r="A1032" i="1"/>
  <c r="B1031" i="1"/>
  <c r="A1031" i="1"/>
  <c r="B1030" i="1"/>
  <c r="A1030" i="1"/>
  <c r="A1029" i="1"/>
  <c r="A1028" i="1"/>
  <c r="A1027" i="1"/>
  <c r="B1026" i="1"/>
  <c r="A1026" i="1"/>
  <c r="B1025" i="1"/>
  <c r="A1025" i="1"/>
  <c r="A1024" i="1"/>
  <c r="A1023" i="1"/>
  <c r="B1022" i="1"/>
  <c r="A1022" i="1"/>
  <c r="B1021" i="1"/>
  <c r="A1021" i="1"/>
  <c r="A1020" i="1"/>
  <c r="A1019" i="1"/>
  <c r="A1018" i="1"/>
  <c r="A1017" i="1"/>
  <c r="B1016" i="1"/>
  <c r="A1016" i="1"/>
  <c r="B1015" i="1"/>
  <c r="A1015" i="1"/>
  <c r="B1014" i="1"/>
  <c r="A1014" i="1"/>
  <c r="B1013" i="1"/>
  <c r="A1013" i="1"/>
  <c r="B1012" i="1"/>
  <c r="A1012" i="1"/>
  <c r="A1011" i="1"/>
  <c r="B1010" i="1"/>
  <c r="A1010" i="1"/>
  <c r="A1009" i="1"/>
  <c r="A1008" i="1"/>
  <c r="B1007" i="1"/>
  <c r="A1007" i="1"/>
  <c r="B1006" i="1"/>
  <c r="A1006" i="1"/>
  <c r="B1005" i="1"/>
  <c r="A1005" i="1"/>
  <c r="A1004" i="1"/>
  <c r="B1003" i="1"/>
  <c r="A1003" i="1"/>
  <c r="B1002" i="1"/>
  <c r="A1002" i="1"/>
  <c r="B1001" i="1"/>
  <c r="A1001" i="1"/>
  <c r="A1000" i="1"/>
  <c r="A999" i="1"/>
  <c r="A998" i="1"/>
  <c r="B997" i="1"/>
  <c r="A997" i="1"/>
  <c r="B996" i="1"/>
  <c r="A996" i="1"/>
  <c r="A995" i="1"/>
  <c r="A994" i="1"/>
  <c r="A993" i="1"/>
  <c r="B992" i="1"/>
  <c r="A992" i="1"/>
  <c r="A991" i="1"/>
  <c r="B990" i="1"/>
  <c r="A990" i="1"/>
  <c r="B989" i="1"/>
  <c r="A989" i="1"/>
  <c r="B988" i="1"/>
  <c r="A988" i="1"/>
  <c r="B987" i="1"/>
  <c r="A987" i="1"/>
  <c r="B986" i="1"/>
  <c r="A986" i="1"/>
  <c r="B985" i="1"/>
  <c r="A985" i="1"/>
  <c r="B984" i="1"/>
  <c r="A984" i="1"/>
  <c r="B983" i="1"/>
  <c r="A983" i="1"/>
  <c r="B982" i="1"/>
  <c r="A982" i="1"/>
  <c r="A981" i="1"/>
  <c r="B980" i="1"/>
  <c r="A980" i="1"/>
  <c r="B979" i="1"/>
  <c r="A979" i="1"/>
  <c r="B978" i="1"/>
  <c r="A978" i="1"/>
  <c r="B977" i="1"/>
  <c r="A977" i="1"/>
  <c r="B976" i="1"/>
  <c r="A976" i="1"/>
  <c r="B975" i="1"/>
  <c r="A975" i="1"/>
  <c r="B974" i="1"/>
  <c r="A974" i="1"/>
  <c r="B973" i="1"/>
  <c r="A973" i="1"/>
  <c r="A972" i="1"/>
  <c r="B971" i="1"/>
  <c r="A971" i="1"/>
  <c r="B970" i="1"/>
  <c r="A970" i="1"/>
  <c r="A969" i="1"/>
  <c r="A968" i="1"/>
  <c r="B967" i="1"/>
  <c r="A967" i="1"/>
  <c r="A966" i="1"/>
  <c r="A965" i="1"/>
  <c r="B964" i="1"/>
  <c r="A964" i="1"/>
  <c r="B963" i="1"/>
  <c r="A963" i="1"/>
  <c r="B962" i="1"/>
  <c r="A962" i="1"/>
  <c r="B961" i="1"/>
  <c r="A961" i="1"/>
  <c r="B960" i="1"/>
  <c r="A960" i="1"/>
  <c r="B959" i="1"/>
  <c r="A959" i="1"/>
  <c r="B958" i="1"/>
  <c r="A958" i="1"/>
  <c r="A957" i="1"/>
  <c r="B956" i="1"/>
  <c r="A956" i="1"/>
  <c r="A955" i="1"/>
  <c r="B954" i="1"/>
  <c r="A954" i="1"/>
  <c r="A953" i="1"/>
  <c r="B952" i="1"/>
  <c r="A952" i="1"/>
  <c r="B951" i="1"/>
  <c r="A951" i="1"/>
  <c r="A950" i="1"/>
  <c r="B949" i="1"/>
  <c r="A949" i="1"/>
  <c r="A948" i="1"/>
  <c r="B947" i="1"/>
  <c r="A947" i="1"/>
  <c r="B946" i="1"/>
  <c r="A946" i="1"/>
  <c r="B945" i="1"/>
  <c r="A945" i="1"/>
  <c r="A944" i="1"/>
  <c r="B943" i="1"/>
  <c r="A943" i="1"/>
  <c r="B942" i="1"/>
  <c r="A942" i="1"/>
  <c r="B941" i="1"/>
  <c r="A941" i="1"/>
  <c r="B940" i="1"/>
  <c r="A940" i="1"/>
  <c r="A939" i="1"/>
  <c r="B938" i="1"/>
  <c r="A938" i="1"/>
  <c r="A937" i="1"/>
  <c r="A936" i="1"/>
  <c r="A935" i="1"/>
  <c r="B934" i="1"/>
  <c r="A934" i="1"/>
  <c r="A933" i="1"/>
  <c r="B932" i="1"/>
  <c r="A932" i="1"/>
  <c r="A931" i="1"/>
  <c r="B930" i="1"/>
  <c r="A930" i="1"/>
  <c r="B929" i="1"/>
  <c r="A929" i="1"/>
  <c r="A928" i="1"/>
  <c r="B927" i="1"/>
  <c r="A927" i="1"/>
  <c r="A926" i="1"/>
  <c r="B925" i="1"/>
  <c r="A925" i="1"/>
  <c r="B924" i="1"/>
  <c r="A924" i="1"/>
  <c r="A923" i="1"/>
  <c r="B922" i="1"/>
  <c r="A922" i="1"/>
  <c r="B921" i="1"/>
  <c r="A921" i="1"/>
  <c r="B920" i="1"/>
  <c r="A920" i="1"/>
  <c r="B919" i="1"/>
  <c r="A919" i="1"/>
  <c r="B918" i="1"/>
  <c r="A918" i="1"/>
  <c r="A917" i="1"/>
  <c r="A916" i="1"/>
  <c r="B915" i="1"/>
  <c r="A915" i="1"/>
  <c r="B914" i="1"/>
  <c r="A914" i="1"/>
  <c r="B913" i="1"/>
  <c r="A913" i="1"/>
  <c r="B912" i="1"/>
  <c r="A912" i="1"/>
  <c r="A911" i="1"/>
  <c r="B910" i="1"/>
  <c r="A910" i="1"/>
  <c r="A909" i="1"/>
  <c r="B908" i="1"/>
  <c r="A908" i="1"/>
  <c r="A907" i="1"/>
  <c r="A906" i="1"/>
  <c r="A905" i="1"/>
  <c r="B904" i="1"/>
  <c r="A904" i="1"/>
  <c r="A903" i="1"/>
  <c r="A902" i="1"/>
  <c r="A901" i="1"/>
  <c r="B900" i="1"/>
  <c r="A900" i="1"/>
  <c r="A899" i="1"/>
  <c r="B898" i="1"/>
  <c r="A898" i="1"/>
  <c r="B897" i="1"/>
  <c r="A897" i="1"/>
  <c r="A896" i="1"/>
  <c r="B895" i="1"/>
  <c r="A895" i="1"/>
  <c r="B894" i="1"/>
  <c r="A894" i="1"/>
  <c r="B893" i="1"/>
  <c r="A893" i="1"/>
  <c r="B892" i="1"/>
  <c r="A892" i="1"/>
  <c r="A891" i="1"/>
  <c r="B890" i="1"/>
  <c r="A890" i="1"/>
  <c r="B889" i="1"/>
  <c r="A889" i="1"/>
  <c r="B888" i="1"/>
  <c r="A888" i="1"/>
  <c r="A887" i="1"/>
  <c r="B886" i="1"/>
  <c r="A886" i="1"/>
  <c r="B885" i="1"/>
  <c r="A885" i="1"/>
  <c r="B884" i="1"/>
  <c r="A884" i="1"/>
  <c r="B883" i="1"/>
  <c r="A883" i="1"/>
  <c r="B882" i="1"/>
  <c r="A882" i="1"/>
  <c r="A881" i="1"/>
  <c r="A880" i="1"/>
  <c r="B879" i="1"/>
  <c r="A879" i="1"/>
  <c r="A878" i="1"/>
  <c r="B877" i="1"/>
  <c r="A877" i="1"/>
  <c r="A876" i="1"/>
  <c r="B875" i="1"/>
  <c r="A875" i="1"/>
  <c r="A874" i="1"/>
  <c r="B873" i="1"/>
  <c r="A873" i="1"/>
  <c r="B872" i="1"/>
  <c r="A872" i="1"/>
  <c r="B871" i="1"/>
  <c r="A871" i="1"/>
  <c r="A870" i="1"/>
  <c r="B869" i="1"/>
  <c r="A869" i="1"/>
  <c r="A868" i="1"/>
  <c r="B867" i="1"/>
  <c r="A867" i="1"/>
  <c r="B866" i="1"/>
  <c r="A866" i="1"/>
  <c r="B865" i="1"/>
  <c r="A865" i="1"/>
  <c r="A864" i="1"/>
  <c r="A863" i="1"/>
  <c r="A862" i="1"/>
  <c r="A861" i="1"/>
  <c r="A860" i="1"/>
  <c r="B859" i="1"/>
  <c r="A859" i="1"/>
  <c r="B858" i="1"/>
  <c r="A858" i="1"/>
  <c r="B857" i="1"/>
  <c r="A857" i="1"/>
  <c r="A856" i="1"/>
  <c r="B855" i="1"/>
  <c r="A855" i="1"/>
  <c r="B854" i="1"/>
  <c r="A854" i="1"/>
  <c r="B853" i="1"/>
  <c r="A853" i="1"/>
  <c r="A852" i="1"/>
  <c r="A851" i="1"/>
  <c r="A850" i="1"/>
  <c r="B849" i="1"/>
  <c r="A849" i="1"/>
  <c r="A848" i="1"/>
  <c r="B847" i="1"/>
  <c r="A847" i="1"/>
  <c r="B846" i="1"/>
  <c r="A846" i="1"/>
  <c r="A845" i="1"/>
  <c r="B844" i="1"/>
  <c r="A844" i="1"/>
  <c r="B843" i="1"/>
  <c r="A843" i="1"/>
  <c r="B842" i="1"/>
  <c r="A842" i="1"/>
  <c r="B841" i="1"/>
  <c r="A841" i="1"/>
  <c r="A840" i="1"/>
  <c r="A839" i="1"/>
  <c r="A838" i="1"/>
  <c r="B837" i="1"/>
  <c r="A837" i="1"/>
  <c r="A836" i="1"/>
  <c r="A835" i="1"/>
  <c r="A834" i="1"/>
  <c r="A833" i="1"/>
  <c r="A832" i="1"/>
  <c r="B831" i="1"/>
  <c r="A831" i="1"/>
  <c r="A830" i="1"/>
  <c r="B829" i="1"/>
  <c r="A829" i="1"/>
  <c r="B828" i="1"/>
  <c r="A828" i="1"/>
  <c r="B827" i="1"/>
  <c r="A827" i="1"/>
  <c r="B826" i="1"/>
  <c r="A826" i="1"/>
  <c r="B825" i="1"/>
  <c r="A825" i="1"/>
  <c r="B824" i="1"/>
  <c r="A824" i="1"/>
  <c r="A823" i="1"/>
  <c r="A822" i="1"/>
  <c r="B821" i="1"/>
  <c r="A821" i="1"/>
  <c r="B820" i="1"/>
  <c r="A820" i="1"/>
  <c r="B819" i="1"/>
  <c r="A819" i="1"/>
  <c r="A818" i="1"/>
  <c r="A817" i="1"/>
  <c r="B816" i="1"/>
  <c r="A816" i="1"/>
  <c r="B815" i="1"/>
  <c r="A815" i="1"/>
  <c r="B814" i="1"/>
  <c r="A814" i="1"/>
  <c r="B813" i="1"/>
  <c r="A813" i="1"/>
  <c r="B812" i="1"/>
  <c r="A812" i="1"/>
  <c r="A811" i="1"/>
  <c r="A810" i="1"/>
  <c r="A809" i="1"/>
  <c r="A808" i="1"/>
  <c r="B807" i="1"/>
  <c r="A807" i="1"/>
  <c r="A806" i="1"/>
  <c r="A805" i="1"/>
  <c r="A804" i="1"/>
  <c r="A803" i="1"/>
  <c r="B802" i="1"/>
  <c r="A802" i="1"/>
  <c r="A801" i="1"/>
  <c r="B800" i="1"/>
  <c r="A800" i="1"/>
  <c r="A799" i="1"/>
  <c r="A798" i="1"/>
  <c r="B797" i="1"/>
  <c r="A797" i="1"/>
  <c r="B796" i="1"/>
  <c r="A796" i="1"/>
  <c r="A795" i="1"/>
  <c r="B794" i="1"/>
  <c r="A794" i="1"/>
  <c r="B793" i="1"/>
  <c r="A793" i="1"/>
  <c r="B792" i="1"/>
  <c r="A792" i="1"/>
  <c r="B791" i="1"/>
  <c r="A791" i="1"/>
  <c r="B790" i="1"/>
  <c r="A790" i="1"/>
  <c r="A789" i="1"/>
  <c r="A788" i="1"/>
  <c r="B787" i="1"/>
  <c r="A787" i="1"/>
  <c r="A786" i="1"/>
  <c r="A785" i="1"/>
  <c r="A784" i="1"/>
  <c r="B783" i="1"/>
  <c r="A783" i="1"/>
  <c r="B782" i="1"/>
  <c r="A782" i="1"/>
  <c r="A781" i="1"/>
  <c r="A780" i="1"/>
  <c r="A779" i="1"/>
  <c r="A778" i="1"/>
  <c r="B777" i="1"/>
  <c r="A777" i="1"/>
  <c r="B776" i="1"/>
  <c r="A776" i="1"/>
  <c r="B775" i="1"/>
  <c r="A775" i="1"/>
  <c r="A774" i="1"/>
  <c r="A773" i="1"/>
  <c r="B772" i="1"/>
  <c r="A772" i="1"/>
  <c r="B771" i="1"/>
  <c r="A771" i="1"/>
  <c r="B770" i="1"/>
  <c r="A770" i="1"/>
  <c r="A769" i="1"/>
  <c r="B768" i="1"/>
  <c r="A768" i="1"/>
  <c r="B767" i="1"/>
  <c r="A767" i="1"/>
  <c r="A766" i="1"/>
  <c r="B765" i="1"/>
  <c r="A765" i="1"/>
  <c r="A764" i="1"/>
  <c r="A763" i="1"/>
  <c r="B762" i="1"/>
  <c r="A762" i="1"/>
  <c r="B761" i="1"/>
  <c r="A761" i="1"/>
  <c r="A760" i="1"/>
  <c r="B759" i="1"/>
  <c r="A759" i="1"/>
  <c r="B758" i="1"/>
  <c r="A758" i="1"/>
  <c r="A757" i="1"/>
  <c r="A756" i="1"/>
  <c r="A755" i="1"/>
  <c r="B754" i="1"/>
  <c r="A754" i="1"/>
  <c r="B753" i="1"/>
  <c r="A753" i="1"/>
  <c r="B752" i="1"/>
  <c r="A752" i="1"/>
  <c r="A751" i="1"/>
  <c r="A750" i="1"/>
  <c r="B749" i="1"/>
  <c r="A749" i="1"/>
  <c r="A748" i="1"/>
  <c r="A747" i="1"/>
  <c r="B746" i="1"/>
  <c r="A746" i="1"/>
  <c r="B745" i="1"/>
  <c r="A745" i="1"/>
  <c r="A744" i="1"/>
  <c r="B743" i="1"/>
  <c r="A743" i="1"/>
  <c r="B742" i="1"/>
  <c r="A742" i="1"/>
  <c r="A741" i="1"/>
  <c r="A740" i="1"/>
  <c r="A739" i="1"/>
  <c r="A738" i="1"/>
  <c r="B737" i="1"/>
  <c r="A737" i="1"/>
  <c r="B736" i="1"/>
  <c r="A736" i="1"/>
  <c r="A735" i="1"/>
  <c r="A734" i="1"/>
  <c r="A733" i="1"/>
  <c r="A732" i="1"/>
  <c r="B731" i="1"/>
  <c r="A731" i="1"/>
  <c r="A730" i="1"/>
  <c r="B729" i="1"/>
  <c r="A729" i="1"/>
  <c r="B728" i="1"/>
  <c r="A728" i="1"/>
  <c r="A727" i="1"/>
  <c r="B726" i="1"/>
  <c r="A726" i="1"/>
  <c r="A725" i="1"/>
  <c r="A724" i="1"/>
  <c r="A723" i="1"/>
  <c r="B722" i="1"/>
  <c r="A722" i="1"/>
  <c r="B721" i="1"/>
  <c r="A721" i="1"/>
  <c r="A720" i="1"/>
  <c r="B719" i="1"/>
  <c r="A719" i="1"/>
  <c r="B718" i="1"/>
  <c r="A718" i="1"/>
  <c r="A717" i="1"/>
  <c r="B716" i="1"/>
  <c r="A716" i="1"/>
  <c r="A715" i="1"/>
  <c r="B714" i="1"/>
  <c r="A714" i="1"/>
  <c r="B713" i="1"/>
  <c r="A713" i="1"/>
  <c r="A712" i="1"/>
  <c r="A711" i="1"/>
  <c r="B710" i="1"/>
  <c r="A710" i="1"/>
  <c r="B709" i="1"/>
  <c r="A709" i="1"/>
  <c r="B708" i="1"/>
  <c r="A708" i="1"/>
  <c r="A707" i="1"/>
  <c r="B706" i="1"/>
  <c r="A706" i="1"/>
  <c r="A705" i="1"/>
  <c r="B704" i="1"/>
  <c r="A704" i="1"/>
  <c r="B703" i="1"/>
  <c r="A703" i="1"/>
  <c r="A702" i="1"/>
  <c r="B701" i="1"/>
  <c r="A701" i="1"/>
  <c r="B700" i="1"/>
  <c r="A700" i="1"/>
  <c r="A699" i="1"/>
  <c r="B698" i="1"/>
  <c r="A698" i="1"/>
  <c r="B697" i="1"/>
  <c r="A697" i="1"/>
  <c r="A696" i="1"/>
  <c r="B695" i="1"/>
  <c r="A695" i="1"/>
  <c r="B694" i="1"/>
  <c r="A694" i="1"/>
  <c r="B693" i="1"/>
  <c r="A693" i="1"/>
  <c r="B692" i="1"/>
  <c r="A692" i="1"/>
  <c r="B691" i="1"/>
  <c r="A691" i="1"/>
  <c r="B690" i="1"/>
  <c r="A690" i="1"/>
  <c r="A689" i="1"/>
  <c r="A688" i="1"/>
  <c r="B687" i="1"/>
  <c r="A687" i="1"/>
  <c r="B686" i="1"/>
  <c r="A686" i="1"/>
  <c r="B685" i="1"/>
  <c r="A685" i="1"/>
  <c r="B684" i="1"/>
  <c r="A684" i="1"/>
  <c r="B683" i="1"/>
  <c r="A683" i="1"/>
  <c r="B682" i="1"/>
  <c r="A682" i="1"/>
  <c r="A681" i="1"/>
  <c r="A680" i="1"/>
  <c r="A679" i="1"/>
  <c r="B678" i="1"/>
  <c r="A678" i="1"/>
  <c r="B677" i="1"/>
  <c r="A677" i="1"/>
  <c r="A676" i="1"/>
  <c r="B675" i="1"/>
  <c r="A675" i="1"/>
  <c r="B674" i="1"/>
  <c r="A674" i="1"/>
  <c r="A673" i="1"/>
  <c r="B672" i="1"/>
  <c r="A672" i="1"/>
  <c r="A671" i="1"/>
  <c r="B670" i="1"/>
  <c r="A670" i="1"/>
  <c r="B669" i="1"/>
  <c r="A669" i="1"/>
  <c r="A668" i="1"/>
  <c r="A667" i="1"/>
  <c r="B666" i="1"/>
  <c r="A666" i="1"/>
  <c r="B665" i="1"/>
  <c r="A665" i="1"/>
  <c r="B664" i="1"/>
  <c r="A664" i="1"/>
  <c r="B663" i="1"/>
  <c r="A663" i="1"/>
  <c r="A662" i="1"/>
  <c r="B661" i="1"/>
  <c r="A661" i="1"/>
  <c r="B660" i="1"/>
  <c r="A660" i="1"/>
  <c r="B659" i="1"/>
  <c r="A659" i="1"/>
  <c r="B658" i="1"/>
  <c r="A658" i="1"/>
  <c r="B657" i="1"/>
  <c r="A657" i="1"/>
  <c r="B656" i="1"/>
  <c r="A656" i="1"/>
  <c r="B655" i="1"/>
  <c r="A655" i="1"/>
  <c r="A654" i="1"/>
  <c r="B653" i="1"/>
  <c r="A653" i="1"/>
  <c r="B652" i="1"/>
  <c r="A652" i="1"/>
  <c r="A651" i="1"/>
  <c r="A650" i="1"/>
  <c r="B649" i="1"/>
  <c r="A649" i="1"/>
  <c r="B648" i="1"/>
  <c r="A648" i="1"/>
  <c r="B647" i="1"/>
  <c r="A647" i="1"/>
  <c r="B646" i="1"/>
  <c r="A646" i="1"/>
  <c r="B645" i="1"/>
  <c r="A645" i="1"/>
  <c r="A644" i="1"/>
  <c r="B643" i="1"/>
  <c r="A643" i="1"/>
  <c r="A642" i="1"/>
  <c r="B641" i="1"/>
  <c r="A641" i="1"/>
  <c r="B640" i="1"/>
  <c r="A640" i="1"/>
  <c r="B639" i="1"/>
  <c r="A639" i="1"/>
  <c r="A638" i="1"/>
  <c r="B637" i="1"/>
  <c r="A637" i="1"/>
  <c r="B636" i="1"/>
  <c r="A636" i="1"/>
  <c r="B635" i="1"/>
  <c r="A635" i="1"/>
  <c r="B634" i="1"/>
  <c r="A634" i="1"/>
  <c r="A633" i="1"/>
  <c r="A632" i="1"/>
  <c r="A631" i="1"/>
  <c r="B630" i="1"/>
  <c r="A630" i="1"/>
  <c r="A629" i="1"/>
  <c r="B628" i="1"/>
  <c r="A628" i="1"/>
  <c r="A627" i="1"/>
  <c r="A626" i="1"/>
  <c r="A625" i="1"/>
  <c r="B624" i="1"/>
  <c r="A624" i="1"/>
  <c r="B623" i="1"/>
  <c r="A623" i="1"/>
  <c r="A622" i="1"/>
  <c r="A621" i="1"/>
  <c r="A620" i="1"/>
  <c r="A619" i="1"/>
  <c r="B618" i="1"/>
  <c r="A618" i="1"/>
  <c r="B617" i="1"/>
  <c r="A617" i="1"/>
  <c r="B616" i="1"/>
  <c r="A616" i="1"/>
  <c r="B615" i="1"/>
  <c r="A615" i="1"/>
  <c r="A614" i="1"/>
  <c r="A613" i="1"/>
  <c r="A612" i="1"/>
  <c r="B611" i="1"/>
  <c r="A611" i="1"/>
  <c r="B610" i="1"/>
  <c r="A610" i="1"/>
  <c r="B609" i="1"/>
  <c r="A609" i="1"/>
  <c r="A608" i="1"/>
  <c r="B607" i="1"/>
  <c r="A607" i="1"/>
  <c r="A606" i="1"/>
  <c r="A605" i="1"/>
  <c r="B604" i="1"/>
  <c r="A604" i="1"/>
  <c r="B603" i="1"/>
  <c r="A603" i="1"/>
  <c r="B602" i="1"/>
  <c r="A602" i="1"/>
  <c r="A601" i="1"/>
  <c r="A600" i="1"/>
  <c r="B599" i="1"/>
  <c r="A599" i="1"/>
  <c r="A598" i="1"/>
  <c r="B597" i="1"/>
  <c r="A597" i="1"/>
  <c r="A596" i="1"/>
  <c r="B595" i="1"/>
  <c r="A595" i="1"/>
  <c r="B594" i="1"/>
  <c r="A594" i="1"/>
  <c r="A593" i="1"/>
  <c r="B592" i="1"/>
  <c r="A592" i="1"/>
  <c r="B591" i="1"/>
  <c r="A591" i="1"/>
  <c r="A590" i="1"/>
  <c r="B589" i="1"/>
  <c r="A589" i="1"/>
  <c r="B588" i="1"/>
  <c r="A588" i="1"/>
  <c r="B587" i="1"/>
  <c r="A587" i="1"/>
  <c r="A586" i="1"/>
  <c r="A585" i="1"/>
  <c r="A584" i="1"/>
  <c r="B583" i="1"/>
  <c r="A583" i="1"/>
  <c r="B582" i="1"/>
  <c r="A582" i="1"/>
  <c r="B581" i="1"/>
  <c r="A581" i="1"/>
  <c r="A580" i="1"/>
  <c r="A579" i="1"/>
  <c r="B578" i="1"/>
  <c r="A578" i="1"/>
  <c r="A577" i="1"/>
  <c r="A576" i="1"/>
  <c r="A575" i="1"/>
  <c r="A574" i="1"/>
  <c r="B573" i="1"/>
  <c r="A573" i="1"/>
  <c r="B572" i="1"/>
  <c r="A572" i="1"/>
  <c r="B571" i="1"/>
  <c r="A571" i="1"/>
  <c r="B570" i="1"/>
  <c r="A570" i="1"/>
  <c r="A569" i="1"/>
  <c r="B568" i="1"/>
  <c r="A568" i="1"/>
  <c r="B567" i="1"/>
  <c r="A567" i="1"/>
  <c r="B566" i="1"/>
  <c r="A566" i="1"/>
  <c r="A565" i="1"/>
  <c r="B564" i="1"/>
  <c r="A564" i="1"/>
  <c r="A563" i="1"/>
  <c r="A562" i="1"/>
  <c r="B561" i="1"/>
  <c r="A561" i="1"/>
  <c r="A560" i="1"/>
  <c r="A559" i="1"/>
  <c r="B558" i="1"/>
  <c r="A558" i="1"/>
  <c r="B557" i="1"/>
  <c r="A557" i="1"/>
  <c r="A556" i="1"/>
  <c r="A555" i="1"/>
  <c r="B554" i="1"/>
  <c r="A554" i="1"/>
  <c r="B553" i="1"/>
  <c r="A553" i="1"/>
  <c r="A552" i="1"/>
  <c r="B551" i="1"/>
  <c r="A551" i="1"/>
  <c r="A550" i="1"/>
  <c r="B549" i="1"/>
  <c r="A549" i="1"/>
  <c r="B548" i="1"/>
  <c r="A548" i="1"/>
  <c r="A547" i="1"/>
  <c r="A546" i="1"/>
  <c r="B545" i="1"/>
  <c r="A545" i="1"/>
  <c r="A544" i="1"/>
  <c r="B543" i="1"/>
  <c r="A543" i="1"/>
  <c r="A542" i="1"/>
  <c r="B541" i="1"/>
  <c r="A541" i="1"/>
  <c r="A540" i="1"/>
  <c r="B539" i="1"/>
  <c r="A539" i="1"/>
  <c r="B538" i="1"/>
  <c r="A538" i="1"/>
  <c r="A537" i="1"/>
  <c r="B536" i="1"/>
  <c r="A536" i="1"/>
  <c r="A535" i="1"/>
  <c r="A534" i="1"/>
  <c r="A533" i="1"/>
  <c r="A532" i="1"/>
  <c r="A531" i="1"/>
  <c r="A530" i="1"/>
  <c r="A529" i="1"/>
  <c r="A528" i="1"/>
  <c r="A527" i="1"/>
  <c r="B526" i="1"/>
  <c r="A526" i="1"/>
  <c r="A525" i="1"/>
  <c r="B524" i="1"/>
  <c r="A524" i="1"/>
  <c r="A523" i="1"/>
  <c r="A522" i="1"/>
  <c r="B521" i="1"/>
  <c r="A521" i="1"/>
  <c r="B520" i="1"/>
  <c r="A520" i="1"/>
  <c r="A519" i="1"/>
  <c r="A518" i="1"/>
  <c r="B517" i="1"/>
  <c r="A517" i="1"/>
  <c r="B516" i="1"/>
  <c r="A516" i="1"/>
  <c r="A515" i="1"/>
  <c r="B514" i="1"/>
  <c r="A514" i="1"/>
  <c r="B513" i="1"/>
  <c r="A513" i="1"/>
  <c r="A512" i="1"/>
  <c r="A511" i="1"/>
  <c r="A510" i="1"/>
  <c r="A509" i="1"/>
  <c r="B508" i="1"/>
  <c r="A508" i="1"/>
  <c r="B507" i="1"/>
  <c r="A507" i="1"/>
  <c r="A506" i="1"/>
  <c r="B505" i="1"/>
  <c r="A505" i="1"/>
  <c r="B504" i="1"/>
  <c r="A504" i="1"/>
  <c r="A503" i="1"/>
  <c r="A502" i="1"/>
  <c r="A501" i="1"/>
  <c r="B500" i="1"/>
  <c r="A500" i="1"/>
  <c r="B499" i="1"/>
  <c r="A499" i="1"/>
  <c r="A498" i="1"/>
  <c r="B497" i="1"/>
  <c r="A497" i="1"/>
  <c r="A496" i="1"/>
  <c r="B495" i="1"/>
  <c r="A495" i="1"/>
  <c r="A494" i="1"/>
  <c r="B493" i="1"/>
  <c r="A493" i="1"/>
  <c r="B492" i="1"/>
  <c r="A492" i="1"/>
  <c r="A491" i="1"/>
  <c r="A490" i="1"/>
  <c r="A489" i="1"/>
  <c r="B488" i="1"/>
  <c r="A488" i="1"/>
  <c r="A487" i="1"/>
  <c r="B486" i="1"/>
  <c r="A486" i="1"/>
  <c r="A485" i="1"/>
  <c r="A484" i="1"/>
  <c r="A483" i="1"/>
  <c r="A482" i="1"/>
  <c r="B481" i="1"/>
  <c r="A481" i="1"/>
  <c r="B480" i="1"/>
  <c r="A480" i="1"/>
  <c r="A479" i="1"/>
  <c r="B478" i="1"/>
  <c r="A478" i="1"/>
  <c r="B477" i="1"/>
  <c r="A477" i="1"/>
  <c r="A476" i="1"/>
  <c r="B475" i="1"/>
  <c r="A475" i="1"/>
  <c r="A474" i="1"/>
  <c r="A473" i="1"/>
  <c r="B472" i="1"/>
  <c r="A472" i="1"/>
  <c r="B471" i="1"/>
  <c r="A471" i="1"/>
  <c r="B470" i="1"/>
  <c r="A470" i="1"/>
  <c r="B469" i="1"/>
  <c r="A469" i="1"/>
  <c r="A468" i="1"/>
  <c r="B467" i="1"/>
  <c r="A467" i="1"/>
  <c r="A466" i="1"/>
  <c r="A465" i="1"/>
  <c r="A464" i="1"/>
  <c r="A463" i="1"/>
  <c r="A462" i="1"/>
  <c r="A461" i="1"/>
  <c r="B460" i="1"/>
  <c r="A460" i="1"/>
  <c r="A459" i="1"/>
  <c r="B458" i="1"/>
  <c r="A458" i="1"/>
  <c r="A457" i="1"/>
  <c r="A456" i="1"/>
  <c r="A455" i="1"/>
  <c r="A454" i="1"/>
  <c r="A453" i="1"/>
  <c r="B452" i="1"/>
  <c r="A452" i="1"/>
  <c r="A451" i="1"/>
  <c r="B450" i="1"/>
  <c r="A450" i="1"/>
  <c r="B449" i="1"/>
  <c r="A449" i="1"/>
  <c r="A448" i="1"/>
  <c r="B447" i="1"/>
  <c r="A447" i="1"/>
  <c r="B446" i="1"/>
  <c r="A446" i="1"/>
  <c r="A445" i="1"/>
  <c r="B444" i="1"/>
  <c r="A444" i="1"/>
  <c r="A443" i="1"/>
  <c r="A442" i="1"/>
  <c r="A441" i="1"/>
  <c r="A440" i="1"/>
  <c r="B439" i="1"/>
  <c r="A439" i="1"/>
  <c r="B438" i="1"/>
  <c r="A438" i="1"/>
  <c r="A437" i="1"/>
  <c r="A436" i="1"/>
  <c r="A435" i="1"/>
  <c r="A434" i="1"/>
  <c r="B433" i="1"/>
  <c r="A433" i="1"/>
  <c r="B432" i="1"/>
  <c r="A432" i="1"/>
  <c r="A431" i="1"/>
  <c r="A430" i="1"/>
  <c r="B429" i="1"/>
  <c r="A429" i="1"/>
  <c r="A428" i="1"/>
  <c r="A427" i="1"/>
  <c r="B426" i="1"/>
  <c r="A426" i="1"/>
  <c r="A425" i="1"/>
  <c r="B424" i="1"/>
  <c r="A424" i="1"/>
  <c r="A423" i="1"/>
  <c r="B422" i="1"/>
  <c r="A422" i="1"/>
  <c r="A421" i="1"/>
  <c r="A420" i="1"/>
  <c r="A419" i="1"/>
  <c r="A418" i="1"/>
  <c r="A417" i="1"/>
  <c r="A416" i="1"/>
  <c r="A415" i="1"/>
  <c r="A414" i="1"/>
  <c r="A413" i="1"/>
  <c r="A412" i="1"/>
  <c r="B411" i="1"/>
  <c r="A411" i="1"/>
  <c r="B410" i="1"/>
  <c r="A410" i="1"/>
  <c r="A409" i="1"/>
  <c r="A408" i="1"/>
  <c r="A407" i="1"/>
  <c r="A406" i="1"/>
  <c r="A405" i="1"/>
  <c r="A404" i="1"/>
  <c r="B403" i="1"/>
  <c r="A403" i="1"/>
  <c r="A402" i="1"/>
  <c r="B401" i="1"/>
  <c r="A401" i="1"/>
  <c r="B400" i="1"/>
  <c r="A400" i="1"/>
  <c r="A399" i="1"/>
  <c r="B398" i="1"/>
  <c r="A398" i="1"/>
  <c r="A397" i="1"/>
  <c r="B396" i="1"/>
  <c r="A396" i="1"/>
  <c r="B395" i="1"/>
  <c r="A395" i="1"/>
  <c r="A394" i="1"/>
  <c r="B393" i="1"/>
  <c r="A393" i="1"/>
  <c r="B392" i="1"/>
  <c r="A392" i="1"/>
  <c r="A391" i="1"/>
  <c r="B390" i="1"/>
  <c r="A390" i="1"/>
  <c r="B389" i="1"/>
  <c r="A389" i="1"/>
  <c r="A388" i="1"/>
  <c r="B387" i="1"/>
  <c r="A387" i="1"/>
  <c r="A386" i="1"/>
  <c r="A385" i="1"/>
  <c r="A384" i="1"/>
  <c r="B383" i="1"/>
  <c r="A383" i="1"/>
  <c r="A382" i="1"/>
  <c r="A381" i="1"/>
  <c r="A380" i="1"/>
  <c r="B379" i="1"/>
  <c r="A379" i="1"/>
  <c r="A378" i="1"/>
  <c r="B377" i="1"/>
  <c r="A377" i="1"/>
  <c r="B376" i="1"/>
  <c r="A376" i="1"/>
  <c r="A375" i="1"/>
  <c r="A374" i="1"/>
  <c r="A373" i="1"/>
  <c r="A372" i="1"/>
  <c r="A371" i="1"/>
  <c r="A370" i="1"/>
  <c r="A369" i="1"/>
  <c r="A368" i="1"/>
  <c r="A367" i="1"/>
  <c r="A366" i="1"/>
  <c r="A365" i="1"/>
  <c r="A364" i="1"/>
  <c r="A363" i="1"/>
  <c r="B362" i="1"/>
  <c r="A362" i="1"/>
  <c r="A361" i="1"/>
  <c r="A360" i="1"/>
  <c r="B359" i="1"/>
  <c r="A359" i="1"/>
  <c r="A358" i="1"/>
  <c r="B357" i="1"/>
  <c r="A357" i="1"/>
  <c r="A356" i="1"/>
  <c r="B355" i="1"/>
  <c r="A355" i="1"/>
  <c r="B354" i="1"/>
  <c r="A354" i="1"/>
  <c r="B353" i="1"/>
  <c r="A353" i="1"/>
  <c r="A352" i="1"/>
  <c r="B351" i="1"/>
  <c r="A351" i="1"/>
  <c r="B350" i="1"/>
  <c r="A350" i="1"/>
  <c r="A349" i="1"/>
  <c r="A348" i="1"/>
  <c r="A347" i="1"/>
  <c r="A346" i="1"/>
  <c r="A345" i="1"/>
  <c r="A344" i="1"/>
  <c r="A343" i="1"/>
  <c r="A342" i="1"/>
  <c r="B341" i="1"/>
  <c r="A341" i="1"/>
  <c r="A340" i="1"/>
  <c r="A339" i="1"/>
  <c r="B338" i="1"/>
  <c r="A338" i="1"/>
  <c r="A337" i="1"/>
  <c r="A336" i="1"/>
  <c r="B335" i="1"/>
  <c r="A335" i="1"/>
  <c r="A334" i="1"/>
  <c r="A333" i="1"/>
  <c r="A332" i="1"/>
  <c r="A331" i="1"/>
  <c r="A330" i="1"/>
  <c r="B329" i="1"/>
  <c r="A329" i="1"/>
  <c r="B328" i="1"/>
  <c r="A328" i="1"/>
  <c r="B327" i="1"/>
  <c r="A327" i="1"/>
  <c r="A326" i="1"/>
  <c r="A325" i="1"/>
  <c r="A324" i="1"/>
  <c r="A323" i="1"/>
  <c r="A322" i="1"/>
  <c r="A321" i="1"/>
  <c r="A320" i="1"/>
  <c r="A319" i="1"/>
  <c r="A318" i="1"/>
  <c r="A317" i="1"/>
  <c r="B316" i="1"/>
  <c r="A316" i="1"/>
  <c r="B315" i="1"/>
  <c r="A315" i="1"/>
  <c r="B314" i="1"/>
  <c r="A314" i="1"/>
  <c r="A313" i="1"/>
  <c r="A312" i="1"/>
  <c r="B311" i="1"/>
  <c r="A311" i="1"/>
  <c r="B310" i="1"/>
  <c r="A310" i="1"/>
  <c r="A309" i="1"/>
  <c r="A308" i="1"/>
  <c r="A307" i="1"/>
  <c r="A306" i="1"/>
  <c r="A305" i="1"/>
  <c r="A304" i="1"/>
  <c r="A303" i="1"/>
  <c r="B302" i="1"/>
  <c r="A302" i="1"/>
  <c r="B301" i="1"/>
  <c r="A301" i="1"/>
  <c r="A300" i="1"/>
  <c r="B299" i="1"/>
  <c r="A299" i="1"/>
  <c r="A298" i="1"/>
  <c r="A297" i="1"/>
  <c r="A296" i="1"/>
  <c r="B295" i="1"/>
  <c r="A295" i="1"/>
  <c r="A294" i="1"/>
  <c r="A293" i="1"/>
  <c r="B292" i="1"/>
  <c r="A292" i="1"/>
  <c r="A291" i="1"/>
  <c r="B290" i="1"/>
  <c r="A290" i="1"/>
  <c r="A289" i="1"/>
  <c r="A288" i="1"/>
  <c r="B287" i="1"/>
  <c r="A287" i="1"/>
  <c r="A286" i="1"/>
  <c r="A285" i="1"/>
  <c r="A284" i="1"/>
  <c r="A283" i="1"/>
  <c r="A282" i="1"/>
  <c r="B281" i="1"/>
  <c r="A281" i="1"/>
  <c r="B280" i="1"/>
  <c r="A280" i="1"/>
  <c r="B279" i="1"/>
  <c r="A279" i="1"/>
  <c r="A278" i="1"/>
  <c r="B277" i="1"/>
  <c r="A277" i="1"/>
  <c r="A276" i="1"/>
  <c r="B275" i="1"/>
  <c r="A275" i="1"/>
  <c r="B274" i="1"/>
  <c r="A274" i="1"/>
  <c r="A273" i="1"/>
  <c r="B272" i="1"/>
  <c r="A272" i="1"/>
  <c r="B271" i="1"/>
  <c r="A271" i="1"/>
  <c r="A270" i="1"/>
  <c r="B269" i="1"/>
  <c r="A269" i="1"/>
  <c r="A268" i="1"/>
  <c r="A267" i="1"/>
  <c r="B266" i="1"/>
  <c r="A266" i="1"/>
  <c r="B265" i="1"/>
  <c r="A265" i="1"/>
  <c r="A264" i="1"/>
  <c r="A263" i="1"/>
  <c r="B262" i="1"/>
  <c r="A262" i="1"/>
  <c r="B261" i="1"/>
  <c r="A261" i="1"/>
  <c r="B260" i="1"/>
  <c r="A260" i="1"/>
  <c r="A259" i="1"/>
  <c r="A258" i="1"/>
  <c r="A257" i="1"/>
  <c r="B256" i="1"/>
  <c r="A256" i="1"/>
  <c r="B255" i="1"/>
  <c r="A255" i="1"/>
  <c r="A254" i="1"/>
  <c r="A253" i="1"/>
  <c r="B252" i="1"/>
  <c r="A252" i="1"/>
  <c r="A251" i="1"/>
  <c r="A250" i="1"/>
  <c r="A249" i="1"/>
  <c r="A248" i="1"/>
  <c r="B247" i="1"/>
  <c r="A247" i="1"/>
  <c r="A246" i="1"/>
  <c r="A245" i="1"/>
  <c r="A244" i="1"/>
  <c r="A243" i="1"/>
  <c r="B242" i="1"/>
  <c r="A242" i="1"/>
  <c r="B241" i="1"/>
  <c r="A241" i="1"/>
  <c r="B240" i="1"/>
  <c r="A240" i="1"/>
  <c r="A239" i="1"/>
  <c r="A238" i="1"/>
  <c r="B237" i="1"/>
  <c r="A237" i="1"/>
  <c r="B236" i="1"/>
  <c r="A236" i="1"/>
  <c r="B235" i="1"/>
  <c r="A235" i="1"/>
  <c r="A234" i="1"/>
  <c r="A233" i="1"/>
  <c r="A232" i="1"/>
  <c r="B231" i="1"/>
  <c r="A231" i="1"/>
  <c r="B230" i="1"/>
  <c r="A230" i="1"/>
  <c r="B229" i="1"/>
  <c r="A229" i="1"/>
  <c r="B228" i="1"/>
  <c r="A228" i="1"/>
  <c r="B227" i="1"/>
  <c r="A227" i="1"/>
  <c r="A226" i="1"/>
  <c r="B225" i="1"/>
  <c r="A225" i="1"/>
  <c r="B224" i="1"/>
  <c r="A224" i="1"/>
  <c r="A223" i="1"/>
  <c r="A222" i="1"/>
  <c r="A221" i="1"/>
  <c r="B220" i="1"/>
  <c r="A220" i="1"/>
  <c r="A219" i="1"/>
  <c r="A218" i="1"/>
  <c r="B217" i="1"/>
  <c r="A217" i="1"/>
  <c r="A216" i="1"/>
  <c r="B215" i="1"/>
  <c r="A215" i="1"/>
  <c r="B214" i="1"/>
  <c r="A214" i="1"/>
  <c r="A213" i="1"/>
  <c r="B212" i="1"/>
  <c r="A212" i="1"/>
  <c r="A211" i="1"/>
  <c r="B210" i="1"/>
  <c r="A210" i="1"/>
  <c r="A209" i="1"/>
  <c r="A208" i="1"/>
  <c r="B207" i="1"/>
  <c r="A207" i="1"/>
  <c r="A206" i="1"/>
  <c r="A205" i="1"/>
  <c r="A204" i="1"/>
  <c r="B203" i="1"/>
  <c r="A203" i="1"/>
  <c r="B202" i="1"/>
  <c r="A202" i="1"/>
  <c r="B201" i="1"/>
  <c r="A201" i="1"/>
  <c r="A200" i="1"/>
  <c r="A199" i="1"/>
  <c r="B198" i="1"/>
  <c r="A198" i="1"/>
  <c r="B197" i="1"/>
  <c r="A197" i="1"/>
  <c r="B196" i="1"/>
  <c r="A196" i="1"/>
  <c r="A195" i="1"/>
  <c r="A194" i="1"/>
  <c r="A193" i="1"/>
  <c r="B192" i="1"/>
  <c r="A192" i="1"/>
  <c r="B191" i="1"/>
  <c r="A191" i="1"/>
  <c r="B190" i="1"/>
  <c r="A190" i="1"/>
  <c r="B189" i="1"/>
  <c r="A189" i="1"/>
  <c r="A188" i="1"/>
  <c r="A187" i="1"/>
  <c r="B186" i="1"/>
  <c r="A186" i="1"/>
  <c r="A185" i="1"/>
  <c r="A184" i="1"/>
  <c r="B183" i="1"/>
  <c r="A183" i="1"/>
  <c r="B182" i="1"/>
  <c r="A182" i="1"/>
  <c r="B181" i="1"/>
  <c r="A181" i="1"/>
  <c r="A180" i="1"/>
  <c r="B179" i="1"/>
  <c r="A179" i="1"/>
  <c r="A178" i="1"/>
  <c r="A177" i="1"/>
  <c r="A176" i="1"/>
  <c r="A175" i="1"/>
  <c r="B174" i="1"/>
  <c r="A174" i="1"/>
  <c r="A173" i="1"/>
  <c r="A172" i="1"/>
  <c r="A171" i="1"/>
  <c r="A170" i="1"/>
  <c r="B169" i="1"/>
  <c r="A169" i="1"/>
  <c r="A168" i="1"/>
  <c r="A167" i="1"/>
  <c r="A166" i="1"/>
  <c r="A165" i="1"/>
  <c r="A164" i="1"/>
  <c r="A163" i="1"/>
  <c r="A162" i="1"/>
  <c r="B161" i="1"/>
  <c r="A161" i="1"/>
  <c r="A160" i="1"/>
  <c r="A159" i="1"/>
  <c r="A158" i="1"/>
  <c r="B157" i="1"/>
  <c r="A157" i="1"/>
  <c r="A156" i="1"/>
  <c r="A155" i="1"/>
  <c r="A154" i="1"/>
  <c r="A153" i="1"/>
  <c r="B152" i="1"/>
  <c r="A152" i="1"/>
  <c r="A151" i="1"/>
  <c r="A150" i="1"/>
  <c r="B149" i="1"/>
  <c r="A149" i="1"/>
  <c r="A148" i="1"/>
  <c r="B147" i="1"/>
  <c r="A147" i="1"/>
  <c r="B146" i="1"/>
  <c r="A146" i="1"/>
  <c r="B145" i="1"/>
  <c r="A145" i="1"/>
  <c r="A144" i="1"/>
  <c r="B143" i="1"/>
  <c r="A143" i="1"/>
  <c r="A142" i="1"/>
  <c r="B141" i="1"/>
  <c r="A141" i="1"/>
  <c r="A140" i="1"/>
  <c r="B139" i="1"/>
  <c r="A139" i="1"/>
  <c r="B138" i="1"/>
  <c r="A138" i="1"/>
  <c r="A137" i="1"/>
  <c r="B136" i="1"/>
  <c r="A136" i="1"/>
  <c r="A135" i="1"/>
  <c r="A134" i="1"/>
  <c r="B133" i="1"/>
  <c r="A133" i="1"/>
  <c r="B132" i="1"/>
  <c r="A132" i="1"/>
  <c r="B131" i="1"/>
  <c r="A131" i="1"/>
  <c r="A130" i="1"/>
  <c r="B129" i="1"/>
  <c r="A129" i="1"/>
  <c r="B128" i="1"/>
  <c r="A128" i="1"/>
  <c r="A127" i="1"/>
  <c r="A126" i="1"/>
  <c r="B125" i="1"/>
  <c r="A125" i="1"/>
  <c r="B124" i="1"/>
  <c r="A124" i="1"/>
  <c r="B123" i="1"/>
  <c r="A123" i="1"/>
  <c r="A122" i="1"/>
  <c r="A121" i="1"/>
  <c r="A120" i="1"/>
  <c r="A119" i="1"/>
  <c r="B118" i="1"/>
  <c r="A118" i="1"/>
  <c r="B117" i="1"/>
  <c r="A117" i="1"/>
  <c r="A116" i="1"/>
  <c r="A115" i="1"/>
  <c r="B114" i="1"/>
  <c r="A114" i="1"/>
  <c r="B113" i="1"/>
  <c r="A113" i="1"/>
  <c r="A112" i="1"/>
  <c r="A111" i="1"/>
  <c r="B110" i="1"/>
  <c r="A110" i="1"/>
  <c r="B109" i="1"/>
  <c r="A109" i="1"/>
  <c r="A108" i="1"/>
  <c r="B107" i="1"/>
  <c r="A107" i="1"/>
  <c r="A106" i="1"/>
  <c r="B105" i="1"/>
  <c r="A105" i="1"/>
  <c r="A104" i="1"/>
  <c r="A103" i="1"/>
  <c r="B102" i="1"/>
  <c r="A102" i="1"/>
  <c r="A101" i="1"/>
  <c r="A100" i="1"/>
  <c r="A99" i="1"/>
  <c r="A98" i="1"/>
  <c r="B97" i="1"/>
  <c r="A97" i="1"/>
  <c r="B96" i="1"/>
  <c r="A96" i="1"/>
  <c r="A95" i="1"/>
  <c r="B94" i="1"/>
  <c r="A94" i="1"/>
  <c r="A93" i="1"/>
  <c r="B92" i="1"/>
  <c r="A92" i="1"/>
  <c r="B91" i="1"/>
  <c r="A91" i="1"/>
  <c r="B90" i="1"/>
  <c r="A90" i="1"/>
  <c r="B89" i="1"/>
  <c r="A89" i="1"/>
  <c r="A88" i="1"/>
  <c r="A87" i="1"/>
  <c r="A86" i="1"/>
  <c r="B85" i="1"/>
  <c r="A85" i="1"/>
  <c r="A84" i="1"/>
  <c r="B83" i="1"/>
  <c r="A83" i="1"/>
  <c r="A82" i="1"/>
  <c r="B81" i="1"/>
  <c r="A81" i="1"/>
  <c r="A80" i="1"/>
  <c r="B79" i="1"/>
  <c r="A79" i="1"/>
  <c r="A78" i="1"/>
  <c r="B77" i="1"/>
  <c r="A77" i="1"/>
  <c r="B76" i="1"/>
  <c r="A76" i="1"/>
  <c r="A75" i="1"/>
  <c r="A74" i="1"/>
  <c r="A73" i="1"/>
  <c r="A72" i="1"/>
  <c r="A71" i="1"/>
  <c r="B70" i="1"/>
  <c r="A70" i="1"/>
  <c r="B69" i="1"/>
  <c r="A69" i="1"/>
  <c r="A68" i="1"/>
  <c r="A67" i="1"/>
  <c r="B66" i="1"/>
  <c r="A66" i="1"/>
  <c r="B65" i="1"/>
  <c r="A65" i="1"/>
  <c r="B64" i="1"/>
  <c r="A64" i="1"/>
  <c r="A63" i="1"/>
  <c r="A62" i="1"/>
  <c r="B61" i="1"/>
  <c r="A61" i="1"/>
  <c r="A60" i="1"/>
  <c r="B59" i="1"/>
  <c r="A59" i="1"/>
  <c r="B58" i="1"/>
  <c r="A58" i="1"/>
  <c r="A57" i="1"/>
  <c r="A56" i="1"/>
  <c r="B55" i="1"/>
  <c r="A55" i="1"/>
  <c r="A54" i="1"/>
  <c r="A53" i="1"/>
  <c r="A52" i="1"/>
  <c r="A51" i="1"/>
  <c r="A50" i="1"/>
  <c r="A49" i="1"/>
  <c r="B48" i="1"/>
  <c r="A48" i="1"/>
  <c r="A47" i="1"/>
  <c r="A46" i="1"/>
  <c r="A45" i="1"/>
  <c r="A44" i="1"/>
  <c r="A43" i="1"/>
  <c r="A42" i="1"/>
  <c r="A41" i="1"/>
  <c r="A40" i="1"/>
  <c r="B39" i="1"/>
  <c r="A39" i="1"/>
  <c r="B38" i="1"/>
  <c r="A38" i="1"/>
  <c r="B37" i="1"/>
  <c r="A37" i="1"/>
  <c r="B36" i="1"/>
  <c r="A36" i="1"/>
  <c r="A35" i="1"/>
  <c r="A34" i="1"/>
  <c r="A33" i="1"/>
  <c r="A32" i="1"/>
  <c r="A31" i="1"/>
  <c r="A30" i="1"/>
  <c r="A29" i="1"/>
  <c r="B28" i="1"/>
  <c r="A28" i="1"/>
  <c r="A27" i="1"/>
  <c r="B26" i="1"/>
  <c r="A26" i="1"/>
  <c r="B25" i="1"/>
  <c r="A25" i="1"/>
  <c r="A24" i="1"/>
  <c r="A23" i="1"/>
  <c r="A22" i="1"/>
  <c r="A21" i="1"/>
  <c r="A20" i="1"/>
  <c r="B19" i="1"/>
  <c r="A19" i="1"/>
  <c r="B18" i="1"/>
  <c r="A18" i="1"/>
  <c r="B17" i="1"/>
  <c r="A17" i="1"/>
  <c r="A16" i="1"/>
  <c r="A15" i="1"/>
  <c r="B14" i="1"/>
  <c r="A14" i="1"/>
  <c r="B13" i="1"/>
  <c r="A13" i="1"/>
  <c r="A12" i="1"/>
  <c r="A11" i="1"/>
  <c r="A10" i="1"/>
  <c r="A9" i="1"/>
  <c r="A8" i="1"/>
  <c r="A7" i="1"/>
  <c r="A6" i="1"/>
  <c r="A5" i="1"/>
  <c r="A4" i="1"/>
  <c r="A3" i="1"/>
  <c r="A2" i="1"/>
</calcChain>
</file>

<file path=xl/sharedStrings.xml><?xml version="1.0" encoding="utf-8"?>
<sst xmlns="http://schemas.openxmlformats.org/spreadsheetml/2006/main" count="121682" uniqueCount="33659">
  <si>
    <t>Source: Thomson Reuters   Date: 09/17/2017</t>
  </si>
  <si>
    <t xml:space="preserve">  Date
Announced</t>
  </si>
  <si>
    <t xml:space="preserve">  Date
Effective</t>
  </si>
  <si>
    <t>Status</t>
  </si>
  <si>
    <t>Target Name</t>
  </si>
  <si>
    <t>Target Short 
Business Description</t>
  </si>
  <si>
    <t>Target
Primary
  SIC
 Code</t>
  </si>
  <si>
    <t>Target Industry Sector</t>
  </si>
  <si>
    <t>Target
Nation</t>
  </si>
  <si>
    <t>Acquiror Name</t>
  </si>
  <si>
    <t>Acquiror Short
Business Description</t>
  </si>
  <si>
    <t>Acquiror Industry Sector</t>
  </si>
  <si>
    <t>Acquiror
 Nation</t>
  </si>
  <si>
    <t>Acquiror Market
Val 4 Weeks Prior
to Announcement
($ mil)</t>
  </si>
  <si>
    <t>Acquiror
Closing
Price
At
Ann. ($)</t>
  </si>
  <si>
    <t>Acquiror
Closing
Price
1 Day
After Ann
Date ($)</t>
  </si>
  <si>
    <t>Synopsis</t>
  </si>
  <si>
    <t xml:space="preserve"> % of
Shares
Acq.</t>
  </si>
  <si>
    <t>Price
 Per
Share</t>
  </si>
  <si>
    <t>Net Income
Last Twelve
Months
($ Mil)</t>
  </si>
  <si>
    <t>Target
 EBITDA
 LTM
($mil)</t>
  </si>
  <si>
    <t>Target
Book Value
Per Share
LTM (US$)</t>
  </si>
  <si>
    <t>Target
Earnings
Per Share
LTM (US$)</t>
  </si>
  <si>
    <t>Target
Share Price
1 Week
Prior to
Announcement
($)</t>
  </si>
  <si>
    <t>Target
Share Price
1 Day
Prior to
Announcement
($)</t>
  </si>
  <si>
    <t>Target
Closing
Price
At Ann
Date ($)</t>
  </si>
  <si>
    <t>Target
Closing
Price
1 Day
After Ann
Date ($)</t>
  </si>
  <si>
    <t>Shares
 Out.
Actual
(mil)</t>
  </si>
  <si>
    <t>Ratio of
Enterprise
Value to
EBIT</t>
  </si>
  <si>
    <t>Acquiror Cash
 LTM
($ mil)</t>
  </si>
  <si>
    <t>Withdrawn</t>
  </si>
  <si>
    <t>National Savings Bank,Albany</t>
  </si>
  <si>
    <t>Savings bank</t>
  </si>
  <si>
    <t>Savings and Loans, Mutual Savings Banks</t>
  </si>
  <si>
    <t>United States</t>
  </si>
  <si>
    <t>TrustCo Bank Corp,NY</t>
  </si>
  <si>
    <t>Bank holding company</t>
  </si>
  <si>
    <t>Commercial Banks, Bank Holding Companies</t>
  </si>
  <si>
    <t>TrustCo Bank and National Savings Bank (NSB) terminated discussions regarding a possible business combination. TrustCo launched an offer at 1.25 TrustCo shares per NSB share, or $38.125 per share based on TrustCo's closing stock price on 1/2/90,the day before the announcement of the offer. NSB rejected the bid and adopted a defensive rights offering. After several offers to keep the bid alive, TrustCo finally withdrew the attempt but the companies proceeded with negotiations.</t>
  </si>
  <si>
    <t>Dis Rumor</t>
  </si>
  <si>
    <t>Paramount Communications</t>
  </si>
  <si>
    <t>Entertainment,sports promotion</t>
  </si>
  <si>
    <t>Motion Picture Production and Distribution</t>
  </si>
  <si>
    <t>CBS Inc</t>
  </si>
  <si>
    <t>Own,op TV,radio stations</t>
  </si>
  <si>
    <t>Radio and Television Broadcasting Stations</t>
  </si>
  <si>
    <t>CBS was no longer rumored to be making a merger bid for Paramount Communications. Paramount had been considered a possible takeover target after it lost its bid for Time.</t>
  </si>
  <si>
    <t>np</t>
  </si>
  <si>
    <t>Qume Corp</t>
  </si>
  <si>
    <t>Mnfr computer peripheral equip</t>
  </si>
  <si>
    <t>Computer and Office Equipment</t>
  </si>
  <si>
    <t>Investor Group</t>
  </si>
  <si>
    <t>Investor group</t>
  </si>
  <si>
    <t>Investment &amp; Commodity Firms,Dealers,Exchanges</t>
  </si>
  <si>
    <t>Singapore</t>
  </si>
  <si>
    <t>A group including David Lee, chairman and CEO of Qume, and Wearnes Technology withdrew its sweetened offer to acquire Qume in a leveraged buyout for $7.25 per share, or $54.7 mil. The bid was sweetened from $6.75 per share, or $50.9 mil. The investor group held a 32% interest in Qume (7.5 mil common shares), and Lee and Wearnes Technology held a 22% interest, and Qume said that other members of its management and certain other employees who were expected to participate in the deal held a 10% stake in Qume. Wearnes had planned to arrange the financing.</t>
  </si>
  <si>
    <t>Intended</t>
  </si>
  <si>
    <t>UAL Corp</t>
  </si>
  <si>
    <t>Passenger airline</t>
  </si>
  <si>
    <t>Air Transportation and Shipping</t>
  </si>
  <si>
    <t>UAL briefly held discussions with its non-union employees regarding a possible buyout of the company. UAL was rushing to reach a buyout agreement by the deadline of 1/6/90 set by Coniston Partners, a major UAL shareholder which had threatened to oust UAL's board if it did not take steps to increase shareholder value. UAL's board had bankrupted many takeover speculators several months before by failing to arrange a $300-per-share buyout by UAL's pilots' union, management and British Airways.  UAL's unions later bid again to buy the airline.</t>
  </si>
  <si>
    <t>ALC Communications Corp</t>
  </si>
  <si>
    <t>Long distance telecomm service</t>
  </si>
  <si>
    <t>Telecommunications</t>
  </si>
  <si>
    <t>Telecom USA Inc</t>
  </si>
  <si>
    <t>Provide telemarketing services</t>
  </si>
  <si>
    <t>Telecom USA withdrew from an agreement to acquire ALC Communications for $219 mil. Under the terms of the merger agreement, all ALC common shares, Series B convertible preferred shares and Series C convertible preferred shares would have been converted into Telecom USA common stock plus cash valued at $3 per share. In addition, holders of ALC Series A preferred stock would have received $20 per share in cash plus Telecom USA common stock, plus accrued unpaid dividends. In addition, Telecom USA had planned to assume $125 mil of ALC's debt.</t>
  </si>
  <si>
    <t>First Fidelity Bancorp,NJ</t>
  </si>
  <si>
    <t>PNC Financial,Pittsburgh,PA</t>
  </si>
  <si>
    <t>Commercial,investment bank</t>
  </si>
  <si>
    <t>First Fidelity Bancorp rejected an unsolicited merger bid from PNC Financial. Exact terms of the offer were not available, but analysts estimated the value at about $36 per share, or $2. 09 bil. Thomas O'Brien, PNC's president, had earlier been reported to have no interest in pursuing a hostile offer. Such a merger would have been the largest ever in the banking industry.</t>
  </si>
  <si>
    <t>Royal International Optical</t>
  </si>
  <si>
    <t>Own,operate optical stores</t>
  </si>
  <si>
    <t>Miscellaneous Retail Trade</t>
  </si>
  <si>
    <t>IPCO Corp</t>
  </si>
  <si>
    <t>Whl medical and optical prod</t>
  </si>
  <si>
    <t>Wholesale Trade-Durable Goods</t>
  </si>
  <si>
    <t>IPCO withdrew its unsolicited offer for Royal International Optical at $12. 25 per share, or a total of $87 mil. US Vision acquired 80% of Royal's stock at $12. 50 per share. IPCO had said that its offer was subject to the availability of financing.</t>
  </si>
  <si>
    <t>BFS Bankorp Inc,New York,NY</t>
  </si>
  <si>
    <t>First Capital Group Inc</t>
  </si>
  <si>
    <t>Investment firm</t>
  </si>
  <si>
    <t>BFS Bankorp's board unanimously rejected an unsolicited $16 cash-per- share bid, or $22.4 mil, from First Capital Group. BFS Bankorp sued First Capital for failing to obtain proper regulatory clearances for its bid, but later granted a board seat to First Capital's chairman. However, First Capital agreed to relinquished its board seat when BFS dismissed the lawsuit. First Capital also agreed not to acquire any BFS stock for 5 years and planned to sell its shares to Frederic H Gould, whose investor group was attempting to boost its stake in BFS to 24.9%.</t>
  </si>
  <si>
    <t>Intent W</t>
  </si>
  <si>
    <t>Datapoint Corp</t>
  </si>
  <si>
    <t>Mnfr data processing systems</t>
  </si>
  <si>
    <t>An investor group consisting of Martin Ackerman and Fidenas International Bank of the Bahamas terminated an agreement to explore acquiring Datapoint. The initial agreement was made after the group disclosed that it already held a 749, 400 share, 7.4% stake purchased for $3.23 mil. Datapoint had announced that it was seeking a buyer for the company in December 1989. Ackerman had launched an earlier consent solicitation to oust chairman Asher Edelman, but failed to garner enough consents.</t>
  </si>
  <si>
    <t>nm</t>
  </si>
  <si>
    <t>Status Unknown</t>
  </si>
  <si>
    <t>Eastern Bancorp,Williston,VT</t>
  </si>
  <si>
    <t>Merchants Bancshares Inc,VT</t>
  </si>
  <si>
    <t>Merchants Bancshares proposed to acquire Eastern Bancorp for between $25 mil and $30 mil consisting of $12 per share in cash or $10 per share in Merchants common stock for each Eastern common share outstanding, or some combination of the two. Later, Eastern rejected the unsolicited proposal.</t>
  </si>
  <si>
    <t>Lincoln NC Realty Fund Inc</t>
  </si>
  <si>
    <t>Real estate investment trust</t>
  </si>
  <si>
    <t>Silverstone Partners</t>
  </si>
  <si>
    <t>Silverstone Partners withdrew a letter of intent to acquire Lincoln NC Realty following an earlier termination of all negotiations and withdrawal of an offer for Lincoln. Silverstone had sweetened its original bid to $10.25 per share, or $18.9 mil. Silverstone had planned to pay $9.21875 cash per common share plus $.03125 cash per warrant plus the remaining $1 cash per common share within 30 months of closing. Silverstone terminated its earlier merger agreement for $9.54 per common share and 31. 25 cents per warrant, or $17. 7 mil.</t>
  </si>
  <si>
    <t>Completed</t>
  </si>
  <si>
    <t>Aristech Chemical Corp</t>
  </si>
  <si>
    <t>Mnfr polymer prods,resins</t>
  </si>
  <si>
    <t>Chemicals and Allied Products</t>
  </si>
  <si>
    <t>Japan</t>
  </si>
  <si>
    <t>A management group led by Aristech Chemical (AC) CEO Thomas Marshall and including Mitsubishi and Blackstone Capital Partners acquired AC through a cash tender offer for $27 per share, or a total of $883 mil. The group's first buyout bid of $26 per share had topped a $25 per share bid by Huntsman Holdings, which AC rejected. Mitsubishi acquired an 87.5% stake in AC, and management would hold 12.5% with an option to raise its stake to 32.5%. The takeover was one of the largest Japanese investments in an American company.</t>
  </si>
  <si>
    <t>Subaru of America Inc</t>
  </si>
  <si>
    <t>Whl automobiles and parts</t>
  </si>
  <si>
    <t>Fuji Heavy Industries Ltd</t>
  </si>
  <si>
    <t>Mnfr,whl auto,aircraft</t>
  </si>
  <si>
    <t>Transportation Equipment</t>
  </si>
  <si>
    <t>Fuji Heavy Industries (FHI) acquired the 50.4% of Subaru of America (SOA) it did not already own for $8.5 in cash per share, or $210.56 mil, sweetened from $6 in cash per share, or $147 mil. The sweetened offer included an additional cash payment of at least $2.50, to be furnished by SOA from a portion of the proceeds of the sale of SOA's portfolio of automobile leases.</t>
  </si>
  <si>
    <t>Deltona Corp</t>
  </si>
  <si>
    <t>Develop planned communities</t>
  </si>
  <si>
    <t>Real Estate; Mortgage Bankers and Brokers</t>
  </si>
  <si>
    <t>Empire of Carolina Inc</t>
  </si>
  <si>
    <t>Mnfr games and toys</t>
  </si>
  <si>
    <t>Miscellaneous Manufacturing</t>
  </si>
  <si>
    <t>Empire of Carolina planned to take action to seek control of Deltona if its request for a change in control was denied and if Empire was unable to find a buyer for its 29.9% stake. Empire said such action may take the form of a proxy, or written contest solicitation, a tender offer or the acquisition of additional shares. Deltona previously agreed to give Topeka Group control of Deltona for about $22 mil.</t>
  </si>
  <si>
    <t>Envirosafe Services Inc</t>
  </si>
  <si>
    <t>Pvd waste mangement services</t>
  </si>
  <si>
    <t>Sanitary Services</t>
  </si>
  <si>
    <t>EnviroSource Inc</t>
  </si>
  <si>
    <t>Mnfr motor vehicles,components</t>
  </si>
  <si>
    <t>Envirosource withdrew its plan to boost its stake in Envirosafe Services' common stock from 62.5% to between 80% and 100%. Envirosource had planned to complete the transaction through a tax- free stock swap.</t>
  </si>
  <si>
    <t>Peoples Bancorp,Rocky Mount,NC</t>
  </si>
  <si>
    <t>Planters Corp</t>
  </si>
  <si>
    <t>Planters acquired Peoples Bancorp of Rocky Mount, NC, in a stock swap valued at $129.323 mil. Shareholders of each company received one share in the new company, to be named Centura Banks, for each share held. Based on Planters' closing price of $16.50 per share on Jan 16, the stock portion was valued at $114.33 mil. Each company was to have been allowed to acquire a 19.9% stake in the other if the merger was not completed. First Boston advised Planters and Alex Brown advised Peoples.</t>
  </si>
  <si>
    <t>Continental General Corp</t>
  </si>
  <si>
    <t>Insurance company</t>
  </si>
  <si>
    <t>Insurance</t>
  </si>
  <si>
    <t>Western &amp; Southern Life Ins Co</t>
  </si>
  <si>
    <t>Western &amp; Southern Life Insurance acquired Continental General through a cash tender offer at $10 per share of Continental's common stock or $43 mil. The transaction had been subject to regulatory approval.</t>
  </si>
  <si>
    <t>Rorer Group Inc</t>
  </si>
  <si>
    <t>Manufacture pharmaceuticals</t>
  </si>
  <si>
    <t>Drugs</t>
  </si>
  <si>
    <t>Rhone-Poulenc SA</t>
  </si>
  <si>
    <t>Mnfr chemicals and cosmetics</t>
  </si>
  <si>
    <t>France</t>
  </si>
  <si>
    <t>Rhone-Poulenc (RP) acquired a 68% stake in Rorer Group in a deal valued at $3.476 bil. RP completed a $78 per share cash tender offer for 21,629, 061 Rorer shares. RP acquired 24 mil additional Rorer shares in exchange for RP's human pharmaceutical business, valued at $49.25 per share based on Rorer's stock price before negotiations were disclosed. Rorer also paid RP $20 mil in cash and assumed $265 of RP's debt. RP issued one Contingent Value Right (CVR) for each Rorer share not owned by RP. The CVR's were valued at $15 per right, based on the opening trading price.</t>
  </si>
  <si>
    <t>Waters Instruments Inc</t>
  </si>
  <si>
    <t>Mnfr electric,electronic equip</t>
  </si>
  <si>
    <t>Electronic and Electrical Equipment</t>
  </si>
  <si>
    <t>Undisclosed Acquiror</t>
  </si>
  <si>
    <t>Unknown</t>
  </si>
  <si>
    <t>Waters Instruments announced in June 1990 that it was terminating its search for a buyer. The company announced in January 1990 that it planned to explore ways to maximize shareholder value, including a possible sale or restructuring. Waters' board found none of the bids to be acceptable.</t>
  </si>
  <si>
    <t>S Buyer W</t>
  </si>
  <si>
    <t>Horizon Financial Services Inc</t>
  </si>
  <si>
    <t>Seeking Buyer</t>
  </si>
  <si>
    <t>Seeking buyer</t>
  </si>
  <si>
    <t>Horizon Financial Services' board ended its active solicitations of a buyer for the firm. A shareholder group including Nordruk Investment had submitted a proposal in December 1989 to Horizon requesting the company to seek acquisition proposals. Nordruk held a 7.1% stake, (115,000 common shares), and said that it might make a tender offer for Horizon shares in the future. Horizon retained McDonald to act as its financial advisor, which cited the deteriorating stock market as a reason to end the search.</t>
  </si>
  <si>
    <t>Tesoro Petroleum Corp</t>
  </si>
  <si>
    <t>Mnfr,whl petroleum prod</t>
  </si>
  <si>
    <t>Oil and Gas; Petroleum Refining</t>
  </si>
  <si>
    <t>Investor</t>
  </si>
  <si>
    <t>Individual</t>
  </si>
  <si>
    <t>Supranational</t>
  </si>
  <si>
    <t>Tesoro Petroleum's termination of its search for a buyer ended James H Stone's bid to acquire Tesoro. Stone had announced that he may offer to acquire Tesoro since Tesoro had been unable to find a buyer or come to terms with Harken Energy. Harken had made an offer of $11.75 per share in August 1989, but later terminated the offer. Tesoro had announced in November 1989 that it was seeking other buyers. Stone, who controlled 7.2% of Tesoro's outstanding common stock, had retained Bear Stearns to advise him on his investment in Tesoro.</t>
  </si>
  <si>
    <t>First Interstate Bancorp,CA</t>
  </si>
  <si>
    <t>Wells Fargo Capital C</t>
  </si>
  <si>
    <t>Wells Fargo was no longer rumored to be interested in making a bid for financially troubled First Interstate Bancorp.</t>
  </si>
  <si>
    <t>Mitsubishi acquired Aristech Chemical for $883 mil. Five chemical firms expressed interest in acquiring all or some of the assets of Aristech Chemical (AC). The firms included Ashland Oil, Sterling Petroleum, Himont, Occidental Petroleum and Owens-Corning Fiberglas. A management-led investor group had proposed to acquire AC for a sweetened $27 in cash per share, or $877 mil. The group, which included Mitsubishi, topped a $25 per share, rejected bid by Jon Huntsman's Huntsman Holdings and GE Plastics.</t>
  </si>
  <si>
    <t>Buckeye Financial Corp</t>
  </si>
  <si>
    <t>Natl City Corp,Cleveland,Ohio</t>
  </si>
  <si>
    <t>Bk hldg co</t>
  </si>
  <si>
    <t>National City (NC) acquired Buckeye Financial for $28.33 mil in common stock and cash. Buckeye shareholders received .2 shares of NC stock and $3. 08 in cash per share held. Based on NC's $37.75 closing stock price on Jan 23, 1990, the last full trading day prior to the announcement, Buckeye paid a price of $10. 63 per share. Kaplan Smith &amp; Associates, a unit of First Boston, provided a fairness opinion.</t>
  </si>
  <si>
    <t>Copperweld Corp</t>
  </si>
  <si>
    <t>Mnfr tubular steel prod</t>
  </si>
  <si>
    <t>Metal and Metal Products</t>
  </si>
  <si>
    <t>Imetal SA</t>
  </si>
  <si>
    <t>Iron,copper mining,refining</t>
  </si>
  <si>
    <t>Mining</t>
  </si>
  <si>
    <t>Imetal acquired the remaining 44.36% of Copperweld that it did not already own for $17 per share in cash, or $78.026 mil, an increase from its earlier offer of $15.50 per share in cash, or $71.141 mil. The revised offer was announced in January 1990. The agreement was contingent upon redemption of Copperweld's 9. 92% convertible subordinated debentures due 9/1/90. First Boston advised Copperweld, while Lodestar Group advised Imetal.</t>
  </si>
  <si>
    <t>First Executive Corp</t>
  </si>
  <si>
    <t>Life insurance holding company</t>
  </si>
  <si>
    <t>An investor group led by ICH expressed its intent to make an offer for First Executive before 7/1/90. First Executive had waived certain provisions of a standstill agreement between the two companies, permitting ICH (a 20% holder of First Executive) to lead a group. ICH said any offer was to be in cash and was to be for all common shares of First Executive.</t>
  </si>
  <si>
    <t>Tri-State Motor Transit Co</t>
  </si>
  <si>
    <t>Trucking company</t>
  </si>
  <si>
    <t>Transportation and Shipping (except air)</t>
  </si>
  <si>
    <t>Trism Inc</t>
  </si>
  <si>
    <t>Trism, a newly formed investor group, acquired Tri- State Motor Transit.</t>
  </si>
  <si>
    <t>Conquest Exploration Co</t>
  </si>
  <si>
    <t>Oil and gas exploration, prodn</t>
  </si>
  <si>
    <t>Conquest Exploration ended its search for a buyer in July 1990 after failing to receive any suitable offers. Conquest Exploration announced in January 1990 that it had retained Morgan Stanley to seek a buyer or a possible merger partner.</t>
  </si>
  <si>
    <t>Crossland Fed Svgs Bk,NY</t>
  </si>
  <si>
    <t>Coast-to-Coast Financial Corp</t>
  </si>
  <si>
    <t>Coast-to-Coast Financial, a holding company affiliated with the Pritzker family, withdrew plans to acquire an 85% stake in CrossLand Savings in exchange for a $150 mil cash investment to bolster the firm's capital to levels acceptable to federal regulators. Reasons for the deal's collapse were not disclosed, although CrossLand shareholders had widely opposed it. CrossLand had previously stated that it would make a payment to Coast- to-Coast under certain circumstances if the deal were not completed.</t>
  </si>
  <si>
    <t>Rosewood Financial Inc</t>
  </si>
  <si>
    <t>First Executive rejected Rosewood Financial's friendly, conditional bid for the company valued at $813 mil, or a choice of $6 cash or 1 common share of the surviving company for each First Executive common share. The deal was dependent on holders of at least half of First Executive's shares being willing to accept the new shares as payment. In addition, the bid was also conditioned upon the resignation of Fred Carr, as First Executive's chairman and chief executive.</t>
  </si>
  <si>
    <t>Sorg Inc</t>
  </si>
  <si>
    <t>Pvd coml printing svcs</t>
  </si>
  <si>
    <t>Printing, Publishing, and Allied Services</t>
  </si>
  <si>
    <t>SY Acquisition Corp</t>
  </si>
  <si>
    <t>SY Acquisition terminated its offer to acquire Sorg after Browne acquired the use of the Sorg name and selected assets of the bankrupt Sorg. SY also withdrew its bid to acquire Chas P Young's assets, which was contingent upon the success of its bid for Sorg.</t>
  </si>
  <si>
    <t>S Buyer</t>
  </si>
  <si>
    <t>National Intergroup Inc</t>
  </si>
  <si>
    <t>Mnfr steel aluminum;whl drugs</t>
  </si>
  <si>
    <t>Centaur Partners announced in January 1990 that it had acquired 16.5% stake in National Intergroup and would try and force the board to seek a buyer for National. Centaur said it would solicit proxies to have the board replaced with a slate of directors that favored its plan. Centaur had filed a lawsuit to stop National's board from executing poison- pill measures.</t>
  </si>
  <si>
    <t>American Brands Inc</t>
  </si>
  <si>
    <t>Hldg co</t>
  </si>
  <si>
    <t>Five inside members of American Brands' board were rumored to be preparing for a buyout bid shortly after they had resigned. The company, however, said it was making the board's structure similar to those of other large corporations, in which outside directors are a majority. The Current status of this deal is unknown.</t>
  </si>
  <si>
    <t>Cipher Data Products Inc</t>
  </si>
  <si>
    <t>Mnfr tape and disk controllers</t>
  </si>
  <si>
    <t>Cipher Data canceled plans to seek a buyer for the company after it was acquired by Archive. Cipher had announced in January 1990 that it directed First Boston to explore possible transactions, including the sale of the company, in response to a hostile cash tender offer by Archive.</t>
  </si>
  <si>
    <t>Earle M Jorgensen Co</t>
  </si>
  <si>
    <t>Whl steel and aluminum prod</t>
  </si>
  <si>
    <t>An investor group including Kelso acquired Earle M Jorgensen for $263 mil cash, or $41.5 a share. Under the offer 95% of the Jorgensen's 6.3 mil common shares were tendered and accepted by the group with the remaining shares being merged for the same price. The investor group also acquired Kilsby- Roberts Holdings for an undisclosed amount. Under the terms of the merger, Jorgensen and Kilsby-Roberts were combined and shares of the surviving parent company, Earle M Jorgensen Holdings, were majority-owned by Kelso.</t>
  </si>
  <si>
    <t>Mayflower Financial Corp</t>
  </si>
  <si>
    <t>Savings and loan holding co</t>
  </si>
  <si>
    <t>Valley National Bancorp,NJ</t>
  </si>
  <si>
    <t>US - Valley National Bancorp acquired Mayflower Financial for $17 per share, or a total of $21.209 mil. The $17 per share price included $15.75 in cash and .3605 of a 5-year warrant to purchase Valley National Bancorp stock at $27. 50 per share, which Valley National valued at $1.25 share. Originally, in March 1989, Mayflower Financial announced that it was seeking a buyer for itself.</t>
  </si>
  <si>
    <t>Diodes Inc</t>
  </si>
  <si>
    <t>Mnfr,whl semiconductors</t>
  </si>
  <si>
    <t>Silitek Corp</t>
  </si>
  <si>
    <t>Mnfr electn components</t>
  </si>
  <si>
    <t>Taiwan</t>
  </si>
  <si>
    <t>Silitek exercised its two- year option to raise its stake in Diodes to 52% with the purchase of 1 mil Diodes shares at a price of $1.875 per share or a total of $1. 875 mil. Silitek had already purchased 945,800 Diodes shares from Microsemi for $1. 75 per share and had purchased 1 mil more shares from Diodes itself for $1.875 per share, giving it a stake of 42%.</t>
  </si>
  <si>
    <t>Genentech Inc</t>
  </si>
  <si>
    <t>Roche Holding AG</t>
  </si>
  <si>
    <t>Mnfr pharm,medical instruments</t>
  </si>
  <si>
    <t>Switzerland</t>
  </si>
  <si>
    <t>Roche Holding acquired a 60% interest in Genentech for $1. 53 bil. Roche purchased 42.5 mil shares for $36 per share and 22 mil newly issued shares in exchange for a guaranteed investment of $491. 5 mil. Roche also received a 5-year option to purchase the remaining shares at prices ranging from $38 per share to $60 per share. Independent of the option, Roche acquired the right to purchase, in the open market, up to an additional 19.9% of Genentech stock. Morgan Guaranty acted as financial advisor to Roche.</t>
  </si>
  <si>
    <t>Lockheed Corp</t>
  </si>
  <si>
    <t>Mnfr aircraft, missiles</t>
  </si>
  <si>
    <t>Aerospace and Aircraft</t>
  </si>
  <si>
    <t>Harold Simmons, through his NL Industries vehicle, conceded defeat and withdrew his intent to acquire Lockheed. Simmons acquired a raised 19.5% stake (11.9 mil shares) in Lockheed, and said in October 1990 that he may seek control. Simmons had launched an unsuccessful proxy fight for control of Lockheed's board, proposing nominees for all 15 seats up for vote. In the proxy, Simmons also called for the company's board to redeem its preferred-share purchase rights, which kept Simmons' group from raising its stake above 20%. Simmons ultimately sold most of his stake.</t>
  </si>
  <si>
    <t>Anacomp Inc</t>
  </si>
  <si>
    <t>Pvd info outsourcing svcs</t>
  </si>
  <si>
    <t>Business Services</t>
  </si>
  <si>
    <t>The Cooper Cos Inc</t>
  </si>
  <si>
    <t>Ophthalmic Goods Manufacturing</t>
  </si>
  <si>
    <t>Measuring, Medical, Photo Equipment; Clocks</t>
  </si>
  <si>
    <t>Cooper, having reduced its stake in Anacomp to 5.97% from 6.26%, withdrew its intent to acquire Anacomp. Cooper had acquired a 6.26% stake (2,320,600 common shares) in Anacomp and asked to meet with Anacomp's board to discuss a possible merger. Anacomp filed suit against Cooper to prevent it from acquiring anymore shares. Anacomp also adopted a shareholder rights plan to protect it from hostile takeover attempts.</t>
  </si>
  <si>
    <t>Famous Restaurants Inc</t>
  </si>
  <si>
    <t>Own and operate restaurants</t>
  </si>
  <si>
    <t>Retail Trade-Eating and Drinking Places</t>
  </si>
  <si>
    <t>An investor group comprised of senior management and Dennis B Mullen, the chairman of Famous Restaurants, considered making a $2.50 cash per common share, or a total of $17.5 mil, offer for Famous Restaurants. The offer was contingent on the group obtaining financing and submitting a definitive offer.</t>
  </si>
  <si>
    <t>First Chattanooga Financial</t>
  </si>
  <si>
    <t>BMR Financial Group</t>
  </si>
  <si>
    <t>BMR Financial Group terminated an agreement to acquire First Chattanooga Financial for $71 mil in cash and common stock, due to instability in the financial markets. For each First Chattanooga share, BMR had offered $17 cash and 1.07195 shares of BMR common stock, valued at $7.75 per share based on BMR's closing stock price on 2/6/90, the last full trading day prior to original announcement.</t>
  </si>
  <si>
    <t>Sikes Corp</t>
  </si>
  <si>
    <t>Mnfr ceramic tile products</t>
  </si>
  <si>
    <t>Stone, Clay, Glass, and Concrete Products</t>
  </si>
  <si>
    <t>Cerabati</t>
  </si>
  <si>
    <t>Manufacture ceramic tiles</t>
  </si>
  <si>
    <t>US - Cie General de la Ceramique Du Batiment (Cerabati) acquired a 5.37% stake, or 434,520 common shares of Sikes and stated that it may seek control of Sikes. The company later dropped its intention after Sikes agreed to be acquired by Premark. The shares were purchased for prices ranging from $12.11-$16.37 per share between 10/16/89 and 1/16/90. Based on the higher price of $16.37 the stake was valued at $7.1 mil. Sikes received an offer from an undisclosed foreign firm in Sep 1989.</t>
  </si>
  <si>
    <t>Harsco Corp</t>
  </si>
  <si>
    <t>Mnfr scaffolding,pipes</t>
  </si>
  <si>
    <t>The Carlyle Group LLC</t>
  </si>
  <si>
    <t>Private equity firm</t>
  </si>
  <si>
    <t>Carlyle Group increased its stake in Harsco to 6.27% (1, 643,400 common shares) and stated that it may seek control of the company. Carlyle later sought to put 2 of its members on Harsco's board. In return, Carlyle would agree to certain restrictions, including limitations on acquiring more Harsco stock. Harsco responded by offering one board seat in return for the standstill agreement. By March 1991, after various transactions, Carlyle Group revealed a 9.5% stake.</t>
  </si>
  <si>
    <t>BRAE Corp(Leucadia National)</t>
  </si>
  <si>
    <t>Leases boxcars to railroads</t>
  </si>
  <si>
    <t>Leucadia National Corp</t>
  </si>
  <si>
    <t>Invest hldg co;mnfr coml prod</t>
  </si>
  <si>
    <t>Wood Products, Furniture, and Fixtures</t>
  </si>
  <si>
    <t>Leucadia National agreed to acquire the remaining 41.3% of BRAE that it did not own for $6.25 per share, or a total of $23 mil in cash. BRAE had announced in November 1989 that it was seeking a buyer for itself. Leucadia completed a tender offer for 98.6% of the shares, including the 20% interest in BRAE that it sold Bear Stearns in December 1989.</t>
  </si>
  <si>
    <t>Brooklyn Savings Bank,CT</t>
  </si>
  <si>
    <t>Brooklyn Savings Bank terminated a recapitalization plan, announced in February 1990, that would possibly have included sale of the bank or a divestiture of assets. The plan was called off because of unfavorable market conditions. In February, Brooklyn retained Lyons, Zomback &amp; Ostrowski to explore alternative means of raising capital. Brooklyn had a loss of $13.4 mil in 1989 with an equity capital ratio as of 6/30/90 of .25%.</t>
  </si>
  <si>
    <t>Del Taco Restaurants Inc</t>
  </si>
  <si>
    <t>WR Grace &amp; Co</t>
  </si>
  <si>
    <t>Mnfr plastics packaging prods</t>
  </si>
  <si>
    <t>WR Grace acquired the remaining 1,554,000 shares, or 18.2% Del Taco Restaurants that it did not already own for $3.25 in cash per share, or a total of $5.05 mil.</t>
  </si>
  <si>
    <t>An investor group including Kidder Peabody, a unit of General Electric, was rumored to be considering a bid for First Executive. Kidder Peabody was formerly one of First Executive's investment bankers. Rosewood Financial had also bid for First Executive, while ICH expressed its intent to make a bid for the company. The Current status of this deal is unknown.</t>
  </si>
  <si>
    <t>Ecogen Inc</t>
  </si>
  <si>
    <t>Mnfr biological pesticides</t>
  </si>
  <si>
    <t>Ecogen ended plans to sell the company when David Blech agreed to acquire a 36% stake in the Ecogen. Ecogen had said in February 1990 that it wanted to sell all or part of the company in an effort to raise at least $15 mil to market its pesticides. The company hired Piper Jaffray &amp; Hopwood to find potential buyers. Ecogen said that it would face bankruptcy within 6 months if it were unable to raise the required capital.</t>
  </si>
  <si>
    <t>First Essex Bancorp Inc,MA</t>
  </si>
  <si>
    <t>Bank holding co</t>
  </si>
  <si>
    <t>Andover Bancorp Inc,Andover,MA</t>
  </si>
  <si>
    <t>Commercial bank holding co</t>
  </si>
  <si>
    <t>Andover Bancorp and First Essex Bancorp terminated their merger agreement which was to take place through a stock swap valued at $29.2 mil. Each of First Essex's 6 mil shares would have been converted into 0.526 shares of the new entity's common stock while each of Andover's shares would have remained outstanding, representing one full share of the new company. Based on Andover's closing stock price of $9.25 on 2/9/ 90, the last full trading day prior to announcement of the merger agreement, each share of First Essex was valued at $4.87.</t>
  </si>
  <si>
    <t>Hilton Hotels Corp</t>
  </si>
  <si>
    <t>Own,op hotels</t>
  </si>
  <si>
    <t>Hotels and Casinos</t>
  </si>
  <si>
    <t>A group led by former Marriott officials had been rumored in February 1990 to have been trying to secure financing for an all-cash bid to buy Hilton Hotels. Later, Hilton removed itself from the auction block. The group, which included Gary Wilson, Alfred Checchi and Frederic Malek were reportedly considering teaming up with a Japanese company which was seeking certain Hilton assets. The group joined JMB Realty, EIE International, Miller- Klutznick-Davis-Gray and Hideki yokoi, a Japanese investor, as a potential suitor for Hilton Hotels.</t>
  </si>
  <si>
    <t>Home &amp; City Savings Bk,Albany</t>
  </si>
  <si>
    <t>Home &amp; City Savings Bank, Albany (HCSB) withdrew from an agreement to acquire National Savings Bank, Albany for $40 in cash per share or $46.489 mil after HCSB's shareholders rejected the offer. National had granted to HCSB an option to buy 290, 500 of its shares at $33.75 a share, or 19.99% of its stock, exercisable on the occurrence of certain events. HCSB also granted to National an option to purchase 539,000 of its shares at $32.6 a share. TrustCo Bank withdrew its unsolicited bid for 1.25 TrustCo shares per share, or $38.125 per share.</t>
  </si>
  <si>
    <t>Vestron Inc</t>
  </si>
  <si>
    <t>Publish home videocassettes</t>
  </si>
  <si>
    <t>Vestron received an offer to be acquired from an undisclosed party for an unknown amount of newly- issued common shares but decided to swap its assets and liabilities with LIVE Entertainment for a package of LIVE equities instead. Vestron had announced in July 1989 that it asked Merrill Lynch Capital Markets to explore the possible sale of all or part of the company. Vestron had announced in April 1989 that it hired Merrill Lynch to sell minority stakes in Vestron to parties 'with interests and long-term goals compatible' with those of Vestron.</t>
  </si>
  <si>
    <t>FirstMiss Gold Inc</t>
  </si>
  <si>
    <t>Gold mining</t>
  </si>
  <si>
    <t>Shareholders</t>
  </si>
  <si>
    <t>First Mississippi (FM) spun off its 82% interest, or 14. 75 mil common shares, in its FirstMiss Gold (FG) unit to shareholders in a transaction valued at $198.535 mil. FM shareholders received .70846 FG common shares for each FM share held. Based on FG's closing stock price of $19 on Oct 26, the first trading day on a non- when issued basis, each FG share held was valued at $13.46.</t>
  </si>
  <si>
    <t>Great Northern Nekoosa Corp</t>
  </si>
  <si>
    <t>Mnfr paper and paper products</t>
  </si>
  <si>
    <t>Paper and Allied Products</t>
  </si>
  <si>
    <t>Great Northern Nekoosa (GNN) withdrew its preliminary discussions with several potential acquirors after agreeing to merge with Georgia-Pacific. GNN had announced in February 1990 that it was seeking a friendly buyer in an attempt to thwart Georgia-Pacific's hostile $63 per share offer. GNN authorized its investment banker, Goldman Sachs, to begin negotiations to sell the company for more than $63 per share.</t>
  </si>
  <si>
    <t>DeSoto Inc</t>
  </si>
  <si>
    <t>Mnfr paints and detergents</t>
  </si>
  <si>
    <t>DeSoto terminated its search for a buyer it had announced in February 1990. Previously, DeSoto had sought to sell its US consumer paint, packaging and adhesives divisions in response to a hostile $50-per- share offer from Sutton Holding, but under pressure had decided to instruct its advisor Goldman Sachs to auction off the whole company. In July 1991, DeSoto stated that it would defer any sale of the company for 3 to 6 months to allow it to increase in value.</t>
  </si>
  <si>
    <t>Energy Development Partners</t>
  </si>
  <si>
    <t>Hallwood Energy Partners LP</t>
  </si>
  <si>
    <t>Hallwood Energy Partners merged with Energy Development Partners for 0.34 Hallwood Energy units per each Energy Development Class A unit, valuing the deal at about $21.475 mil. Hallwood offered a total of about 9.1 mil units in the merger, which had been approved by the Securities and Exchange Commission. The transaction was contingent on Hallwood Energy's ability to refinance about $75 mil in debt. Dean Witter Reynolds, and Smith Barney Harris Upham acted as financial advisors and dealer managers to Hallwood Energy Partners.</t>
  </si>
  <si>
    <t>AIFS Inc</t>
  </si>
  <si>
    <t>Academic travel programs</t>
  </si>
  <si>
    <t>Marina Holdings Corp</t>
  </si>
  <si>
    <t>Marina Holdings, a management group led by Roger O Walther, president and chief executive of AIFS, acquired AIFS for $6.50 per share or $10.7 mil in cash. The management group held 50% of all outstanding AIFS common shares, or about 1,644, 929 shares, prior to the completion. Smith Barney advised AIFS and provided a fairness opinion.</t>
  </si>
  <si>
    <t>BankWorcester,Worcester,MA</t>
  </si>
  <si>
    <t>Citizens Financial Group Inc</t>
  </si>
  <si>
    <t>Coml bank holding company</t>
  </si>
  <si>
    <t>Citizens Financial Group, a unit of Royal Bank of Scotland, withdrew an offer to acquire BankWorcester for $149 mil, or $22.50 cash per share. BankWorcester had announced in February 1990 that it was negotiating with an undisclosed acquiror regarding a possible cash merger. The merger could have been terminated if BankWorcester's nonperforming assets plus certain related items exceeded $50 mil after the approvals are received. That figure was $68 mil as of Sep 30, 1990.</t>
  </si>
  <si>
    <t>National Mine Service Co</t>
  </si>
  <si>
    <t>Mnfr, wholesale mining equip</t>
  </si>
  <si>
    <t>Machinery</t>
  </si>
  <si>
    <t>Anderson Mavor Investments Ltd</t>
  </si>
  <si>
    <t>Investment company</t>
  </si>
  <si>
    <t>United Kingdom</t>
  </si>
  <si>
    <t>Anderson Mavor Investments, a a unit of the Anderson Group subsidiary of Charter Consolidated, acquired the shares of National Mine Service that it did not already own for $8.875 per share, or a total of $21.6 mil including cancellation of options. Parker-Hunter served as National Mine's financial advisor and gave a fairness opinion concerning the tender offer.</t>
  </si>
  <si>
    <t>Orion Pictures Corp</t>
  </si>
  <si>
    <t>Provide motion picture product</t>
  </si>
  <si>
    <t>Metromedia terminated negotiations with various parties who expressed an interest in buying all or part of its 70.4% stake in Orion Pictures, and decided to concentrate on a restructuring plan aimed at reducing Orion's debt. Throughout 1990, Orion had been the subject of buyout rumors. In November 1990, Orion hired Salomon Brothers to assist evaluating strategic alternatives including securing additional sources of equity capital from interested domestic and international partners.</t>
  </si>
  <si>
    <t>Binks Sames Corp</t>
  </si>
  <si>
    <t>Mnfr spray painting equipment</t>
  </si>
  <si>
    <t>Ransburg(Illinois Tool Works)</t>
  </si>
  <si>
    <t>Mnfr factory automation equip</t>
  </si>
  <si>
    <t>Ransburg, a subsidiary of Illinois Tool Works, terminated its offer to acquire Binks Manufacturing for $45 a share, or a total of $132.3 mil. The consideration had consisted of either all cash or a combination of cash and Illinois' common stock. Illinois Tool also withdrew plans to propose a new slate of directors at the Binks annual meeting in April 1990. Binks' board had rejected the offer and proposed a possible repurchase program or a recapitalization of the company as an alternative plan.</t>
  </si>
  <si>
    <t>Easco Hand Tools Inc</t>
  </si>
  <si>
    <t>Manufacture hand tools</t>
  </si>
  <si>
    <t>Danaher Corp</t>
  </si>
  <si>
    <t>Mnfr tools,control equipment</t>
  </si>
  <si>
    <t>Danaher acquired Easco Hand Tools in a stock swap transaction valued at $125 mil, including the assumption of Easco liabilities. Easco holders were to receive 0. 4175 share of Danaher common stock for each of Easco's 14 mil common shares outstanding. Based on Danaher's $15.125 closing stock price on 2/19/ 90, the last full trading day prior to announcement, each share of Easco was valued at $6.31.</t>
  </si>
  <si>
    <t>Freeport McMoRan Gold Co</t>
  </si>
  <si>
    <t>Gold mining and processing</t>
  </si>
  <si>
    <t>Minorco SA</t>
  </si>
  <si>
    <t>Metal mining company</t>
  </si>
  <si>
    <t>Luxembourg</t>
  </si>
  <si>
    <t>Minorco acquired Freeport- McMoRan Gold (FMG), a majority-owned unit of Freeport-McMoRan, at $17 per share, or $704.86 mil. Freeport-McMoRan had said in November 1989 that it would seek a buyer for its FMG unit as part of a restructuring intended to focus it's business on two big, recent mineral deposits which it had found. Freeport-McMoRan, which owned 61% of FMG, had tendered its shares under the offer. Lazard managed the offer and Donaldson Lufkin advised FMG. Kidder Peabody and Shearson Lehman advised Freeport-McMoRan.</t>
  </si>
  <si>
    <t>Shaer Shoe Corp</t>
  </si>
  <si>
    <t>Mnfr, whl women's shoes</t>
  </si>
  <si>
    <t>Leather and Leather Products</t>
  </si>
  <si>
    <t>Millyard Holdings Corp</t>
  </si>
  <si>
    <t>Millyard Holdings, a group led by two New York and Massachusetts investors, took Shaer Shoe private for $14.08 per share, or $14.4 mil in cash. Millyard planned to allow Milton Shaer to continue as president of the company following the proposed merger.</t>
  </si>
  <si>
    <t>Meridian Diagnostics Inc</t>
  </si>
  <si>
    <t>Mnfr diagnostic test kits</t>
  </si>
  <si>
    <t>Meridan Diagnostic said in February 1990 that it was considering a merger or outright sale as part of an effort to improve shareholder value. Meridian also said that it would consider acquiring related businesses or product lines, and that it had hired J Jeffrey Brausch as its financial advisor.</t>
  </si>
  <si>
    <t>Builders Transport Inc</t>
  </si>
  <si>
    <t>Trucking company;hldg co</t>
  </si>
  <si>
    <t>Comcar Industries Inc</t>
  </si>
  <si>
    <t>Pvd freight trucking svcs</t>
  </si>
  <si>
    <t>Comcar Industries withdrew from a letter of intent to acquire Builders Transport for $15 per share, or $73.6 mil in cash. The bid had topped a $13 per share hostile offer by an investor group including Two Trees Management's David C Walentas and Stanford Dinstein, as well as Builders' CEO Charles Gay. Trism later made an unsolicited bid to acquire Builders Transport for $17 per share.</t>
  </si>
  <si>
    <t>NEECO Inc</t>
  </si>
  <si>
    <t>Wholesale desktop computers</t>
  </si>
  <si>
    <t>JWP Inc</t>
  </si>
  <si>
    <t>Pvd mechan,electr constr svcs</t>
  </si>
  <si>
    <t>Construction Firms</t>
  </si>
  <si>
    <t>JWP acquired NEECO in a stock swap valued at $99.819 mil. NEECO holders received 0.523 shares of JWP stock for each of their 5.9 mil common shares. Based on JWP's $32. 375 closing price on 2/23/90, the day prior to announcement, the shares were valued at $16.932. NEECO's $33.8 mil convertible debentures were exchangeable into JWP shares at $45.17 per share after the merger.</t>
  </si>
  <si>
    <t>Sellersville S&amp;L Assn,Perkasie</t>
  </si>
  <si>
    <t>Savings and loan bank</t>
  </si>
  <si>
    <t>National Penn Bancshares,PA</t>
  </si>
  <si>
    <t>National Penn Bancshares acquired Sellersville Savings &amp; Loan for $18 mil in cash. National Penn acquired all outstanding Sellersville common stock for $21.25 in cash per share and purchased all Sellersville stock options by paying the difference between $21.25 and the per share exercise price of the option. Combined assets of the new entity exceeded $720 mil.</t>
  </si>
  <si>
    <t>XTRA Corp</t>
  </si>
  <si>
    <t>Pvd tansp equip leasing svcs</t>
  </si>
  <si>
    <t>XTRA terminated all talks with undisclosed parties regarding the sale of XTRA after a dissident shareholder group ousted XTRA's board through a successful proxy fight. General Electric was rumored to be one of the interested companies. XTRA retained Goldman, Sachs as its financial advisor.</t>
  </si>
  <si>
    <t>GE</t>
  </si>
  <si>
    <t>Manufacture,wholesale power generation equipment</t>
  </si>
  <si>
    <t>XTRA terminated all talks regarding the acquisition of XTRA after a dissident shareholder group won control of XTRA's board through a proxy fight. General Electric was rumored to be in talks with XTRA regarding the acquisition of XTRA by General Electric.</t>
  </si>
  <si>
    <t>Digital Equipment Corp</t>
  </si>
  <si>
    <t>Mnfr computers,equip</t>
  </si>
  <si>
    <t>An undisclosed Japanese firm was rumored to be interested in acquiring Digital Equipment. Both Mitsubishi and Matsushita Electric Industrial were rumored to be increasing their holding in Digital. The Current status of this deal is unknown.</t>
  </si>
  <si>
    <t>Parlux Fragrances Inc</t>
  </si>
  <si>
    <t>Mnfr,whl perfumes,beauty prod</t>
  </si>
  <si>
    <t>Soaps, Cosmetics, and Personal-Care Products</t>
  </si>
  <si>
    <t>Parlux Fragrances announced in March 1990 that it had retained CJ Lawrence, Morgan Grenfell to evaluate long- term corporate strategy, including possibly selling the company or forming joint ventures.</t>
  </si>
  <si>
    <t>Johnson Electronics Inc</t>
  </si>
  <si>
    <t>Mnfr radio receiving equipment</t>
  </si>
  <si>
    <t>AEI Music Network</t>
  </si>
  <si>
    <t>Provide music programming svcs</t>
  </si>
  <si>
    <t>Amusement and Recreation Services</t>
  </si>
  <si>
    <t>AEI Music Network, which acquired a 7.3% stake in Johnson Electronics, ended merger discussions to acquire the remaining shares at Johnson's request. AEI said it may acquire more shares on the open market, private transactions, or 'otherwise.'</t>
  </si>
  <si>
    <t>Shearson Lehman Hutton Hldgs</t>
  </si>
  <si>
    <t>Securities brokerage firm</t>
  </si>
  <si>
    <t>American Express Co</t>
  </si>
  <si>
    <t>Pvd credit,financial services</t>
  </si>
  <si>
    <t>Credit Institutions</t>
  </si>
  <si>
    <t>American Express acquired the 39% of Shearson Lehman Hutton Holdings that it did not already own for 0.48 American Express shares per Shearson share, or $360 mil, sweetened from 0.426 shares, or $319.52 mil. Based on American Express' $26.875 closing price on 3/26/90, the last full trading day prior to announcement, each share of Shearson was valued at $12. 90. Dillon Read had termed the initial exchange ratio inadequate. Previously, American Express had been seeking to reduce its stake in Shearson.</t>
  </si>
  <si>
    <t>Systematics Inc</t>
  </si>
  <si>
    <t>Provide data processing svcs</t>
  </si>
  <si>
    <t>ALLTEL Corp</t>
  </si>
  <si>
    <t>Pvd telecommunication svcs</t>
  </si>
  <si>
    <t>ALLTEL acquired Systematics in a stock swap valued at $545.1 mil. Systematics' shareholders received 1.325 shares of ALLTEL's common stock for each share held. Based on ALLTEL's closing stock price of $32.25 on 3/1/ 90, the last day of trading prior to the announcement, each share of Systematics was valued at $42.73. Stephens Group, holder of 48% of Systematics' equity, accepted the offer. Each company agreed to pay a $12 mil termination fee had the deal collapse under certain circumstances.</t>
  </si>
  <si>
    <t>Armstrong World Industries Inc</t>
  </si>
  <si>
    <t>Wood household furniture</t>
  </si>
  <si>
    <t>First City Financial (FCF) ended plans to have Donaldson Lufkin &amp; Jenrette search for a buyer for Armstrong World Industries after losing a proxy fight to elect three directors and gain control of Armstrong. FCF sold its entire 11.7% stake in the company. FCF had announced in March 1990 that it had asked DLJ to approach third parties to discuss the possibility of acquiring all or part of the business of Armstrong World Industries, either alone or in concert with FCF. FCF had also wished to change Armstrong's bylaws in response to the new PA anti- takeover law.</t>
  </si>
  <si>
    <t>MGM/UA Communications Co</t>
  </si>
  <si>
    <t>Produce, finance movies</t>
  </si>
  <si>
    <t>Pathe Communications Corp</t>
  </si>
  <si>
    <t>Produce,dist motion pictures</t>
  </si>
  <si>
    <t>Pathe Communications, controlled by Giancarlo Parretti, acquired MGM/UA Communications, 80% owned by Tracinda, for $1.709 bil, raised from $1.69 bil. Pathe paid $21.50 in cash for each of MGM/UA's 50.9 mil common shares outstanding plus $21. 50 in cash for each of MGM/ UA's 10 mil preferred shares outstanding. Pathe also assumed $400 mil of MGM/UA's liabilities. Pathe paid $4.00 per share from a $200 mil escrow fund, on 7/20/90, with the remainder of the payment made prior to 10/23/90.</t>
  </si>
  <si>
    <t>Schafer Value Trust Inc</t>
  </si>
  <si>
    <t>Closed-end investment fund</t>
  </si>
  <si>
    <t>Schafer Value Trust's board reluctantly approved a plan to liquidate the close-end investment trust because of pressure from shareholder groups. A shareholder group of Schafer Value Trust had announced in March 1990 that it planned to propose the liquidation of the company at its annual meeting in April 1990.</t>
  </si>
  <si>
    <t>First Home Federal S&amp;L,Sebring</t>
  </si>
  <si>
    <t>Savings and loan</t>
  </si>
  <si>
    <t>Huntington Bancshares Inc,OH</t>
  </si>
  <si>
    <t>Huntington Bancshares merged with First Home Federal Savings &amp; Loan Association for $23.50 per share, or $32. 68 mil in Huntington common stock. The transaction was subject to regulatory approval. Under the agreement, First Home Federal granted Huntington a warrant to purchase 24.9% of First Home Federal outstanding common stock. Williams Securities provided a fairness opinion in the deal. First Home agreed to pay a $.25 mil termination fee to Huntington should it break the merger.</t>
  </si>
  <si>
    <t>Arrow Automotive Industries</t>
  </si>
  <si>
    <t>Mnfr electrical engine equip</t>
  </si>
  <si>
    <t>Arrow Automotive Industries withdrew its intent to seek a buyer. Arrow Automotive Industries had disclosed in March 1990 that it was considering seeking a buyer. Arrow had retained Tucker Anthony to pursue financing alternatives including the possible sale.</t>
  </si>
  <si>
    <t>National Lampoon Inc</t>
  </si>
  <si>
    <t>Publish magazines</t>
  </si>
  <si>
    <t>J2 Communications Inc</t>
  </si>
  <si>
    <t>Pvd motion picture prodn svcs</t>
  </si>
  <si>
    <t>J2 Communications acquired National Lampoon in a stock transaction valued at $4.67 mil. National Lampoon's shareholders received .667 shares of J2 common plus a J2 warrant with a face value of $1 and an exercise price of $3.25 per share for each of shares they had held. The exercise price was lowered from an originally agreed on $3.75 to reflect changes in J2's stock price after the agreement was announced. Based on J2's closing price of $3 on 3/8/90, the last trading day prior to the announcement, each share of National Lampoon was valued at $3.</t>
  </si>
  <si>
    <t>CERBCO Inc</t>
  </si>
  <si>
    <t>Provide pipeline repair svcs</t>
  </si>
  <si>
    <t>Insituform of North America</t>
  </si>
  <si>
    <t>Pipeline construction company</t>
  </si>
  <si>
    <t>George and Robert Erikson withdrew from their letter of intent to sell their 247,564 Class B common shares, or 78% interest, in CERBCO for $6 mil, to Insituform of North America.</t>
  </si>
  <si>
    <t>Adtec Inc</t>
  </si>
  <si>
    <t>Mnfr detention locking devices</t>
  </si>
  <si>
    <t>Jack Hunter Investments Inc</t>
  </si>
  <si>
    <t>Venture capital company</t>
  </si>
  <si>
    <t>Jack Hunter Investments acquired a majority interest in Adtec by purchasing 2 mil Adtec common shares, 65,494 12% Series A cumulative convertible preferred shares, and an 8% subordinated convertible debenture in the amount of $2 mil. The Series A preferred stock was convertible into common shares at the rate of 10 common shares for each preferred share. The debenture was convertible into common stock at a price of $1.50 per share, based on the unpaid principle amount of the debenture at the time of the conversion.</t>
  </si>
  <si>
    <t>Frontier Svgs Assn,Las Vegas</t>
  </si>
  <si>
    <t>PriMerit Bank,Las Vegas,NV</t>
  </si>
  <si>
    <t>Primerit Bank, a subsidiary of Southwest Gas, terminated an agreement to acquire Frontier Savings Association for $1 in cash per common share, or $2.34 mil. The deal was conditioned upon the signing of a definitive agreement by 4/15/90 plus state and federal regulatory approval.</t>
  </si>
  <si>
    <t>Berlitz International Inc</t>
  </si>
  <si>
    <t>Operate language schools</t>
  </si>
  <si>
    <t>Educational Services</t>
  </si>
  <si>
    <t>K-III Communications Corp</t>
  </si>
  <si>
    <t>Publishing company</t>
  </si>
  <si>
    <t>Macmillan, a unit of Maxwell Communications, rejected K- III Holdings' offer for its 56% stake in Berlitz International. Maxwell reported the offer to be inadequate.</t>
  </si>
  <si>
    <t>International Telecharge Inc</t>
  </si>
  <si>
    <t>Telephone assistance and equip</t>
  </si>
  <si>
    <t>International Telecharge said in March 1990 that it had received an acquisition proposal from an undisclosed acquiror. Later, the company decided not to pursue the proposal for the possible acquisition of the firm.</t>
  </si>
  <si>
    <t>Radice Corp</t>
  </si>
  <si>
    <t>Operative builders; RE dvlp</t>
  </si>
  <si>
    <t>Stoneridge Resources Inc</t>
  </si>
  <si>
    <t>Produce citrus fruit, juices</t>
  </si>
  <si>
    <t>Agriculture, Forestry, and Fishing</t>
  </si>
  <si>
    <t>Stoneridge Resources increased its stake in Radice to 53% through the purchase of 2.43 mil common shares from Samelson Development for $1.665 mil. The consideration was satisfied in cash plus warrants to purchase 490,000 shares of Stoneridge common stock plus the assumption of certain commitments to provide letters of credit to Radice.</t>
  </si>
  <si>
    <t>VHC Ltd</t>
  </si>
  <si>
    <t>Mnfr industrial machinery</t>
  </si>
  <si>
    <t>Joseph Bradway, president and CEO of VHC, acquired the outstanding 70% of the company which he did not already own for $5.75 in cash per common share, or $14.1 mil. The transaction resulted in VHC going private. The transaction, which received the approval of VHC's shareholders, was subject to the availability of financing and receipt of a satisfactory fairness opinion.</t>
  </si>
  <si>
    <t>COBE Laboratories Inc</t>
  </si>
  <si>
    <t>Mnfr medical equipment</t>
  </si>
  <si>
    <t>Gambro AB(Investment AB Cardo)</t>
  </si>
  <si>
    <t>Mnfr,whl medical products</t>
  </si>
  <si>
    <t>Sweden</t>
  </si>
  <si>
    <t>Gambro acquired COBE Laboratories in a tender offer and subsequent merger at $37 in cash per common share, or $242.5 mil. The price was a significant premium to COBE's closing share price of $21.25 on 3/15/ 90, the last full trading day prior to announcement. The deal had required approval from COBE shareholders and had been subject to some governmental approval. COBE had agreed to pay Gambro a $10 mil termination fee if it canceled the transaction and merged with a third party.</t>
  </si>
  <si>
    <t>Iowa Resources</t>
  </si>
  <si>
    <t>Electric utility holding co</t>
  </si>
  <si>
    <t>Electric, Gas, and Water Distribution</t>
  </si>
  <si>
    <t>Midwest Resources Inc</t>
  </si>
  <si>
    <t>Electric and gas utility</t>
  </si>
  <si>
    <t>Midwest Energy (ME) and Iowa Resources (IR) merged in a transaction valued at $516.13 mil. The merger resulted in a new holding company called Midwest Resources. ME shareholders received 1.08 shares of Midwest Resources for each share held. Based on ME's closing stock price of $20.875 on 3/15/90, the last full trading day prior to the announcement of the agreement, each IR share was valued at $23.87. IR shareholders received 1.235 shares of Midwest Resources for each IR share.</t>
  </si>
  <si>
    <t>Norton Co(Cie De Saint-Gobain)</t>
  </si>
  <si>
    <t>Mnfr abrasive,ceramic prods</t>
  </si>
  <si>
    <t>BTR PLC</t>
  </si>
  <si>
    <t>Mnfr plastic,rubber,indl prods</t>
  </si>
  <si>
    <t>Rubber and Miscellaneous Plastic Products</t>
  </si>
  <si>
    <t>BTR withdrew its hostile tender offer for Norton at $75 cash per share, or $1.666 bil. Subsequently, Compagnie de Saint-Gobain, acting as a white knight acquired Norton at $90 per share, or $1.84 bil.</t>
  </si>
  <si>
    <t>Wyoming National Bancorp</t>
  </si>
  <si>
    <t>Norwest Corp,Minneapolis,MN</t>
  </si>
  <si>
    <t>Norwest acquired Wyoming National Bancorp for a reduced $19 in cash per share, or $41 mil. Norwest had initially offered $20 in cash per share, or $43 mil. Wyoming National's unit in Kemmerer, Wyoming was being sold to First McKinley. Keefe Bruyette &amp; Woods advised Wyoming National Bancorp.</t>
  </si>
  <si>
    <t>TriSun Medical America Inc</t>
  </si>
  <si>
    <t>Provide medical imaging svcs</t>
  </si>
  <si>
    <t>Health Services</t>
  </si>
  <si>
    <t>China</t>
  </si>
  <si>
    <t>Builders Transport (BT) ended merger talks with Trism. Trism had proposed to acquire all common shares of (BT) at a revised $9 in cash, $4 in 12 year, 12% cumulative preferred stock, and 1/5 share of Trism common stock per BT share. Trism had previously offered $17 per share, made up of $14 in cash and $3 in current pay 12% coupon, 12 year cumulative preferred stock. Comcar Industries had agreed to buy BT for $15 per share, or $73. 6 mil, but this offer was later dropped. BT had also rejected a hostile cash bid of $13 per share by a group led by BT's CEO and Two Trees Management.</t>
  </si>
  <si>
    <t>Dresher Inc</t>
  </si>
  <si>
    <t>Mnfr metal bedroom furniture</t>
  </si>
  <si>
    <t>Leggett &amp; Platt Inc</t>
  </si>
  <si>
    <t>Manufacture bedding components</t>
  </si>
  <si>
    <t>Leggett &amp; Platt acquired Dresher for $2.50 per share in cash, or $11.37 mil. Leggett acquired 91.3% of the shares through a tender offer. Leggett's original bid of $3 per share, or $13.64 mil was revised to $2.25 per share, or $10.23 mil, due to worsening financial results of Dresher. In January 1990, Dresher's available lines of credit with Continental Bank were nearly exhausted, and was refused an additional $3 mil of credit. Dresher and Leggett agreed to a $.4 mil termination fee. Bear Stearns acted as financial advisor to Dresher.</t>
  </si>
  <si>
    <t>LPL Technologies Inc</t>
  </si>
  <si>
    <t>Mnfr coaxial cables,connectors</t>
  </si>
  <si>
    <t>LPL Acquisition (LPLA), a group including management of LPL Technologies, acquired LPL Technologies through a tender offer and subsequent merger valued at $208.5 mil. LPLA offered $25 in cash for each of the 1.8 mil Class A voting shares publicly traded. LPLA also offered $17 in cash plus 1 share of a new 12% cumulative redeemable preferred stock with a value of $8 per share for the remaining Class A shares and for each LPL Class B common share. The group, which included Morgan Capital and Needham, had previously offered $24 per share.</t>
  </si>
  <si>
    <t>Southeastern Savings Bank Inc</t>
  </si>
  <si>
    <t>Southern Financial Holdings</t>
  </si>
  <si>
    <t>Southern Financial Holdings and Southeastern Savings Bank mutually terminated a pact where Southern Financial Holdings agreed to acquire a 90% equity interest in Southeastern Savings Bank for $26 mil. The proceeds were to be used for Southeastern's recapitalization.</t>
  </si>
  <si>
    <t>United Employees Acquisition</t>
  </si>
  <si>
    <t>UAL rejected an offer to be acquired by its pilots, flight attendants, and machinists' unions for a stated $201 per share, or $4. 5 bil. The price, sweetened from $185 per share, consisted of $155 in cash, $35 in notes, and $11 in stock of a company to hold UAL's 50% stake in the Covia reservations system. The agreement had came after the collapse of an earlier $300 per share bid for UAL by its pilots, management and British Airways, which had fallen apart. The unions had lowered their bid when they ran into financing difficulties.</t>
  </si>
  <si>
    <t>Rauch Industries Inc</t>
  </si>
  <si>
    <t>Mnfr glass products</t>
  </si>
  <si>
    <t>US - In December 1990, MMP Capital Partners LLC, ultimately owned by Milestone Merchant PartnersLLC, withdrew its search for a buyer for the entire share capital of its Rauch Industries Inc unit, a Gastonia-based manufacturer of glass products.</t>
  </si>
  <si>
    <t>Invitron Corp(Monsanto Co)</t>
  </si>
  <si>
    <t>Mnfr cell culture systems</t>
  </si>
  <si>
    <t>Monsanto announced plans in March 1990 to sell its 58.4% stake, or 9.1 mil common shares, in Invitron. Monsanto also authorized Invitron to seek a buyer for the shares.</t>
  </si>
  <si>
    <t>Nutri-Products Inc</t>
  </si>
  <si>
    <t>Produce high protein beverages</t>
  </si>
  <si>
    <t>Phoenix Advanced Technology</t>
  </si>
  <si>
    <t>Provide patenting services</t>
  </si>
  <si>
    <t>Phoenix Advanced Technology (PAT) acquired the remaining 31.04% interest, that it did not already own, of its Nutri- Products (NP) subsidiary in a transaction valued at $2 mil. PAT exchanged 4.69 shares for each of NPs' 2,719,547 publicly-owned shares. Based on PAT's closing stock price of $.15625 on Mar 21, the last full trading day prior to the announcement each NP share was valued at $.73. PAT planned a 1-for-40 reverse stock split after closing, giving NP shareholders a 14. 7% stake in the parent.</t>
  </si>
  <si>
    <t>Chemical Banking Corp</t>
  </si>
  <si>
    <t>Primerica Corp</t>
  </si>
  <si>
    <t>Pvd financial svcs</t>
  </si>
  <si>
    <t>Primerica was no longer rumored to be interested in acquiring Chemical Banking as Chemical agreed to merge with Manufacturers Hanover. The rumor originally surfaced in March 1990. Chemical's assets stood at approximately $71.5 bil in 1989.</t>
  </si>
  <si>
    <t>Curtiss-Wright Corp</t>
  </si>
  <si>
    <t>Mnfr motion,flow control prod</t>
  </si>
  <si>
    <t>Curtiss-Wright announced in March 1990 that an undisclosed party had shown interest in acquiring the company. Curtiss-Wright denied having any intention of selling the the company or any of its assets. Paul T Robinson, a merger and acquisition consultant, represented the undisclosed acquiror.</t>
  </si>
  <si>
    <t>Eastchester Financial Corp</t>
  </si>
  <si>
    <t>North Fork Bancorp,Melville,NY</t>
  </si>
  <si>
    <t>Commercial bank; hldg co</t>
  </si>
  <si>
    <t>North Fork Bancorp acquired Eastchester Financial for $15. 50 per share, or $62 mil in cash. North Fork originally agreed to acquire Eastchester for $20 per share, or $79.5 mil, but reduced the price due to a review of Eastchester's financial results and the weakening regional economy. The companies ended an option that allowed North Folk the opportunity to buy 780,000 Eastchester shares for $14 per share. The revised accord gave Eastchester until Nov 16, 1990 to find an alternative buyer. Goldman Sachs advised Eastchester while Sandler O'Neill advised North Fork.</t>
  </si>
  <si>
    <t>First Mutual Savings Bank</t>
  </si>
  <si>
    <t>A group comprised of shareholders was investigating the possible sale of First Mutual Savings Bank. Arthur Skoidal was leading the group.</t>
  </si>
  <si>
    <t>Howe Richardson Inc</t>
  </si>
  <si>
    <t>Mnfr scales and balances</t>
  </si>
  <si>
    <t>Staveley Industries PLC</t>
  </si>
  <si>
    <t>Mnfr weighing and test equip</t>
  </si>
  <si>
    <t>Staveley Industries acquired Howe Richardson through a tender offer valued at $11.50 in cash per share, or a total of $34.8 mil. Staveley financed the merger through a one-for-four underwritten rights offering at $2.4 (1.5 British pounds) a share, raising $44 mil (27.4 mil pounds). Baring Brothers advised Staveley Industries.</t>
  </si>
  <si>
    <t>Whitehall Corp</t>
  </si>
  <si>
    <t>Mnfr electronic components</t>
  </si>
  <si>
    <t>Cambridge Capital Fund LP</t>
  </si>
  <si>
    <t>Investment trust</t>
  </si>
  <si>
    <t>Cambridge Capital Fund withdrew its hostile offer to acquire Whitehall for $20 a share, or a total of $65.7 mil, for the 90.4% of the Whitehall common stock that it did not already own. Cambridge had solicited proxies to nominate 5 directors to Whitehall's board, however its nominees were defeated by Whitehall's at the company's annual meeting on 4/23/90.</t>
  </si>
  <si>
    <t>Buell Industries Inc</t>
  </si>
  <si>
    <t>Mnfr engineered fasteners</t>
  </si>
  <si>
    <t>Illinois Tool Works Inc</t>
  </si>
  <si>
    <t>Mnfr,whl engineered components</t>
  </si>
  <si>
    <t>Illinois Tool Works acquired Buell Industries in a stock transaction valued at $42 mil. Under terms of the agreement, each Buell shareholder received $17.25 in Illinois Tool Works' common stock for each Buell share held, with an option to receive a percentage of the merger consideration in cash. In addition, Buell shareholders received, for each Buell common share, a contingent right to receive up to $1.25 in cash plus interest, payable at a later date. Shawmut National advised Buell Industries and rendered a fairness opinion.</t>
  </si>
  <si>
    <t>JP Industries Inc</t>
  </si>
  <si>
    <t>Plumbing, transportation prods</t>
  </si>
  <si>
    <t>T&amp;N PLC</t>
  </si>
  <si>
    <t>Mnfr auto parts;concrete prod</t>
  </si>
  <si>
    <t>T&amp;N acquired JP Industries for $375.2 mil consisting of $17.30 cash per share plus the assumption of $185 mil in debt. Earlier, an undisclosed acquiror agreed in principle to acquire the outstanding common stock of JP Industries at $17.5 cash per share, or a total of $186.84 mil. JP Industries had said in February 1990 that it was in preliminary talks with a large unidentified manufacturer concerning its sale. NM Rothschild advised T&amp;N.</t>
  </si>
  <si>
    <t>American General Corp</t>
  </si>
  <si>
    <t>Insurance holding company</t>
  </si>
  <si>
    <t>Torchmark Corp</t>
  </si>
  <si>
    <t>Torchmark lost its proxy fight to replace five of American General's board members. The proxy fight followed a failed unsolicited offer to acquire American General for $50 per share or $5.959 bil. Torchmark offered cash for about 50% of American General shares, and Torchmark common shares for the remaining 50%. Following the proxy fight, American General announced its plans to sell the company. First Boston advised American General, while Morgan Stanley advised Torchmark. Torchmark had refused to enter a 2-year standstill pact in order to negotiate their proposal.</t>
  </si>
  <si>
    <t>General Development Corp(VMS)</t>
  </si>
  <si>
    <t>Land developer, home builder</t>
  </si>
  <si>
    <t>General Development announced in April 1990 that several parties had withdrawn interest in acquiring certain or all of the company's assets. Donaldson Lufkin &amp; Jenrette advised General Development. General Development had filed for Chapter 11 bankruptcy on 4/6/ 90. Armuss Partners offered to acquire General Development for $198 mil in February 1989, but the bid was rejected.</t>
  </si>
  <si>
    <t>Home Svgs Bk,Brooklyn,New York</t>
  </si>
  <si>
    <t>Home Svgs of America FSB-1 Br</t>
  </si>
  <si>
    <t>Mansfield,Ohio branch</t>
  </si>
  <si>
    <t>US - Home Savings of America SFB (HSA), a unit of HF Ahmanson, acquired Home Savings Bank, Brooklyn, New York (HSB) in a stock swap transaction valued at $291.7 mil. HSB holders received 1. 3889 shares of Ahmanson common stock for each share held. Valued at Ahmanson's closing market price of $17.5 on 3/30/90, the last full trading day prior to the announcement, each HSB share received about $24 of HF stock. HSA waived the right to terminate the agreement should HF's price drop below $16 before closing. HSA was also granted an option to acquire 24.9% of HSB's common stock.</t>
  </si>
  <si>
    <t>InBancshares</t>
  </si>
  <si>
    <t>Comerica Inc</t>
  </si>
  <si>
    <t>Comerica, Detroit, Michigan merged with InBancshares in a transaction valued at $33 mil in cash. Under the merger, InBancshares shareholders received $17.04 in cash for each common share. An earlier proposal was valued at $40 mil or $20.25 per share. The transaction had been subject to regulatory approval from Michigan and California banking boards as well as the Federal Reserve. Montgomery Securities advised InBancshares.</t>
  </si>
  <si>
    <t>Outlet Communications Inc</t>
  </si>
  <si>
    <t>Own,op TV broadcasting station</t>
  </si>
  <si>
    <t>Outlet Communications terminated its search for a buyer the company. Other options for Outlet included the repurchase of up to $20 mil of its notes, common stock, or a combination of both.</t>
  </si>
  <si>
    <t>Marvin Davis proposed again to acquire UAL for 'in excess of' $220 per share, or $5 bil. Marvin Davis had bid $240 per share in August 1989, then $275, and had been topped by a $300 bid from UAL's pilots and management, but all bids had failed to obtain financing as the junk bond market collapsed. UAL's employees were proposing to acquire UAL for $185 per share and UAL's board had solicited higher offers. UAL's board did not respond to Davis, and he did not press his offer.</t>
  </si>
  <si>
    <t>Wheelabrator Technologies Inc</t>
  </si>
  <si>
    <t>Mnfr laboratory, medical equip</t>
  </si>
  <si>
    <t>Waste Management Inc</t>
  </si>
  <si>
    <t>Solid, chemical waste mgmt svc</t>
  </si>
  <si>
    <t>Waste Management raised its interest in Wheelabrator Technologies, 60% owned by Wheelabrator Group, from 22% to 55% in a stock transaction valued at $500 mil. Under the terms of the deal, Wheelabrator shareholders received 0.469 share of Waste Management and 0.574 share of Wheelabrator for every Wheelabrator share held. Wheelabrator remained a separate public company.</t>
  </si>
  <si>
    <t>Biotech Research Laboratories</t>
  </si>
  <si>
    <t>Mnfr,research biological prods</t>
  </si>
  <si>
    <t>Cambridge Biotech Corp</t>
  </si>
  <si>
    <t>Biotechnology company</t>
  </si>
  <si>
    <t>Cambridge BioScience acquired Biotech Research Laboratories in a stock swap valued at $39 mil. Cambridge exchanged 6 mil of its shares for Biotech's 6,292,613 shares, or 0.953 of a Cambridge share for each Biotech share. Based on Cambridge's closing stock price of $6.50 on 4/2/90, the last full trading day prior to the announcement, each share of Biotech was valued at $6.19.</t>
  </si>
  <si>
    <t>National Heritage Inc</t>
  </si>
  <si>
    <t>Operate nursing facilities</t>
  </si>
  <si>
    <t>Life Care Centers of America</t>
  </si>
  <si>
    <t>Operate health care facilities</t>
  </si>
  <si>
    <t>Life Care Centers of America terminated a plan to merge with National Heritage (NH). The termination was a result of recent developments concerning the composition of assets which the respective companies were to contribute to the merger. The plans had called for each of NH's 16. 875 mil shares to receive 1 share of the new company, while about 26 mil new shares were to be issued to Life Care holders. Bankrupt Southmark had planned to sell its 67% interest in NH, along with other subsidiaries.</t>
  </si>
  <si>
    <t>Grove Banks,Chesnut Hill,MA</t>
  </si>
  <si>
    <t>Grove Bank for Savings (GB) terminated its search for a buyer that three dissident shareholders of GB had originally sought in April 1990. GB decided its future prospects would be greater as an independent bank. GB had retained Goldman Sachs as financial advisor.</t>
  </si>
  <si>
    <t>Novell Inc</t>
  </si>
  <si>
    <t>Develop entrp operating system</t>
  </si>
  <si>
    <t>Prepackaged Software</t>
  </si>
  <si>
    <t>Lotus Development Corp</t>
  </si>
  <si>
    <t>Develop applications software</t>
  </si>
  <si>
    <t>Lotus Development and Novell terminated an agreement to merge in a deal valued at $1. 508 bil. Under the terms of the agreement, Lotus would have exchanged 1.19131 common shares for each Novell common share. Based on Lotus' closing price of $36.25 on 4/ 5/90, the last full trading day prior to announcement, each Novell share was valued at $43.18. The ratio was based on the average value of Novell's stock in the 10 days prior to the announcement, which was $42.50 per share. If the merger was completed, Novell holders would have owned 48% of the combined company.</t>
  </si>
  <si>
    <t>Flight International Group Inc</t>
  </si>
  <si>
    <t>Provide airplane charter svcs</t>
  </si>
  <si>
    <t>AVAQ Group</t>
  </si>
  <si>
    <t>AVAQ Group, in April 1990, withdrew its intentions to launch a tender offer for Flight International Group. Based upon available information, AVAQ valued Flight at $5 per share. The disclosure to take Flight private came on the heels of AVAQ's announced plan to acquire $1.75 mil of Flight International preferred stock, convertible into common stock on a basis of $3.50 per share. In November 1990 however, Flight executed a non-binding letter of intent to sell a majority stake in itself to Carlyle Group LP.</t>
  </si>
  <si>
    <t>MCI Communications Corp</t>
  </si>
  <si>
    <t>Pvd telecommunication services</t>
  </si>
  <si>
    <t>MCI Communications acquired Telecom USA in a deal valued at $1.25 bil. Under the terms of the agreement, MCI paid $42 in cash for each Telecom USA share, and approximately $50.5 mil to cancel Telecom stock options and stock awards. Merrill Lynch Capital Markets advised MCI, while Goldman Sachs advised Telecom USA.</t>
  </si>
  <si>
    <t>VISX Inc</t>
  </si>
  <si>
    <t>Mnfr surgical instruments</t>
  </si>
  <si>
    <t>Taunton Technologies Inc</t>
  </si>
  <si>
    <t>Electro-optical,laser systems</t>
  </si>
  <si>
    <t>Taunton Technologies merged with VISX through a stock swap transaction with an indicated value of $44.39 mil. VISX's shareholders received 1.3597 shares of Taunton's common stock for each of the 3.373 mil shares outstanding. Based on Taunton's closing price of $8.75 on 4/9/90, the last full trading day prior to the announcement, each share of VISX was valued at $11.90 for the sake of the transaction. Through the swap, VISX shareholders retained approximately 32% of the combined company, which was to be called VISX Inc.</t>
  </si>
  <si>
    <t>Automated Systems Inc</t>
  </si>
  <si>
    <t>Mnfr computer circuit boards</t>
  </si>
  <si>
    <t>Cadence Design Systems Inc</t>
  </si>
  <si>
    <t>Dvlp CAD software</t>
  </si>
  <si>
    <t>Cadence Design Systems acquired Automated Systems in a stock swap transaction valued at $21.6 mil. Automated's shareholders received .3 shares of Cadence Design's common stock for each of Automated's 3.035 mil shares outstanding. Based on Cadence Design's closing stock price of $23.75 on 4/9/ 90, the last full trading day prior to the announcement, each share of Automated was valued at $7.125.</t>
  </si>
  <si>
    <t>Chancellor Corp(Bruncor Inc)</t>
  </si>
  <si>
    <t>Pvd truck,equip leasing svcs</t>
  </si>
  <si>
    <t>An investor group including the management of Chancellor terminated its negotiations to acquire Bruncor's 59% stake in Chancellor. Bruncor had decided to leave the US equipment leasing business.</t>
  </si>
  <si>
    <t>Lancaster Colony Corp</t>
  </si>
  <si>
    <t>Mnfr,whl salad dressing,sauces</t>
  </si>
  <si>
    <t>Food and Kindred Products</t>
  </si>
  <si>
    <t>Newell Co</t>
  </si>
  <si>
    <t>Mnfr food serving,storage prod</t>
  </si>
  <si>
    <t>Newell announced in April 1990 that it would seek control of Lancaster Colony. Earlier, Newell had announced that it had acquired 675,000 shares, or a 5.6% stake, in Lancaster Colony, which had expressed displeasure with any takeover attempt. In protection, Lancaster Colony adopted a shareholder rights plan.</t>
  </si>
  <si>
    <t>Definicon International Corp</t>
  </si>
  <si>
    <t>Manufacture computer keyboards</t>
  </si>
  <si>
    <t>Helionetics Inc</t>
  </si>
  <si>
    <t>Mnfr electronic converters</t>
  </si>
  <si>
    <t>Helionetics merged with Definicon International. Helionetics expected its 1990 sales to be about $20 mil and its 1991 sales to reach $35 mil as a result of the acquisition.</t>
  </si>
  <si>
    <t>ENSR Corp</t>
  </si>
  <si>
    <t>Provide environmental services</t>
  </si>
  <si>
    <t>American Nukem</t>
  </si>
  <si>
    <t>Waste treatment;incineration</t>
  </si>
  <si>
    <t>American Nukem (AN), a unit of the NUKEM Inc subsidiary of NUKEM GmbH, acquired ENSR through a tender offer at $8. 25 in cash per share, or $107. 97 mil. AN had accepted 9,578, 712 shares, or 99%, through the tender offer. AN also purchased the $30.5 mil outstanding principal amount of 9% subordinated notes, convertible into 3.89 mil, at the close of the tender. Two ENSR officers granted an option to buy their combined 2.965 mil shares, leaving only 2.37 mil shares needed via the offer to vote for a full merger. Kidder Peabody advised ENSR. First Boston advised AN.</t>
  </si>
  <si>
    <t>Pic 'N' Save Corp</t>
  </si>
  <si>
    <t>Whl, ret general merchandise</t>
  </si>
  <si>
    <t>Wholesale Trade-Nondurable Goods</t>
  </si>
  <si>
    <t>Girard Partners Ltd</t>
  </si>
  <si>
    <t>Investment management services</t>
  </si>
  <si>
    <t>Girard Partners withdrew its intentions, announced in April 1990, to launch a proxy fight and takeover bid for Pic 'N' Save. The announcement followed Girard's acquisition of a 6. 6% interest in Pic 'N' Save for $25 mil. Girard had hoped to acquire control in order to force a sale of Pic 'N' Save. As part of the pact with Girard, Pic 'N' Save agreed to redeem its poison pill takeover defense and attempt to increase its buyback authorization from $60 mil to $150 mil.</t>
  </si>
  <si>
    <t>Dataproducts Corp</t>
  </si>
  <si>
    <t>Manufacture computer printers</t>
  </si>
  <si>
    <t>HND Corp</t>
  </si>
  <si>
    <t>An investor group led by a unit of Hitachi, Nissei Sangyo and Hitachi Koki, acquired Dataproducts for $160 mil in cash, or $10 per share in a tender offer. All remaining shares after the tender were acquired in a merger at $10 per share. The deal ended a long struggle that Dataproducts had with various hostile bidders.</t>
  </si>
  <si>
    <t>Fayette Federal Savings Bank</t>
  </si>
  <si>
    <t>Federal savings bank</t>
  </si>
  <si>
    <t>First Finl Bancorp,Ohio</t>
  </si>
  <si>
    <t>First Financial Bancorp, Monroe, Ohio acquired Fayette Federal Savings Bank in a stock transaction with an indicated value of $10.7 mil. Fayette Federal shareholders received .901071 First Financial shares per Fayette share held. Based on First Financial's closing stock price of $47 on Apr 12, 1990, the last full trading day prior to the announcement of the acquisition, each share of Fayette was valued at $42. 35. The transaction was accounted for as a pooling of interests.</t>
  </si>
  <si>
    <t>David Hamilton Smith Invts Inc</t>
  </si>
  <si>
    <t>David Hamilton Smith (DHS) Investments, in April 1990, executed an agreement giving it the option to acquire 5 mil common shares (54%) in Flight International Group for $3 per share, or $15 mil, over a five year period. The option over .5 mil shares was exercised in November 1990. The remaining 4.5 mil could be acquired in three installments beginning on Jul 21, 1991. The Option and Stock Purchase agreement was amended from an original 5.5 mil shares. DHS acquired an initial 333,333.3 common shares (3.6%) on Apr 16, 1990 as part of a separate agreement.</t>
  </si>
  <si>
    <t>Mid-Coast Bancorp Inc,ME</t>
  </si>
  <si>
    <t>Mid-Coast Bancorp announced in April 1990 that investor Robert T Williamson requested that the board of Mid-Coast seek a buyer for the company. Williamson held a 7.5% stake (15,193 common shares) in Mid- Coast. The possible sale would require approval from the office of Thrift Supervision.</t>
  </si>
  <si>
    <t>Suncoast S&amp;L,Hollywood,FL</t>
  </si>
  <si>
    <t>Suncoast S&amp;L terminated its search for a buyer that was begun in April 1990. Dean Witter Reynolds was retained as advisor.</t>
  </si>
  <si>
    <t>Bogert Oil Co</t>
  </si>
  <si>
    <t>Oil and gas exploration,prodn</t>
  </si>
  <si>
    <t>Louis Dreyfus Energy Corp</t>
  </si>
  <si>
    <t>Louis Dreyfus Energy acquired Bogert Oil for $13. 20 in cash per share, or a total of $29.5 mil. Bogert Oil had retained Rauscher Pierce Refsnes as financial advisor and to render a fairness opinion. Richard D. Bogert, who owned more than 50% of the voting stock of Bogert, granted Louis Dreyfus Energy an irrevocable proxy to vote in favor of the merger.</t>
  </si>
  <si>
    <t>Great American Bank SSB</t>
  </si>
  <si>
    <t>Great American Bank announced in April 1990 that it was seeking a buyer or possible merger partner. The possible sale was part of an Office of Thrift Supervision approved plan to raise $350 mil of capital infusion for Great American.</t>
  </si>
  <si>
    <t>Southern Bankshares,Beckley,WV</t>
  </si>
  <si>
    <t>Key Centurion Bancshares,WV</t>
  </si>
  <si>
    <t>Key Centurion Bankshares acquired Southern Bankshares for $36 mil in cash, or $60. 06 per share. The merger was subject to approval by the shareholders of Southern and various regulatory agencies.</t>
  </si>
  <si>
    <t>Oppenheimer Industries Inc</t>
  </si>
  <si>
    <t>Cattle agency, ranch broker</t>
  </si>
  <si>
    <t>0212</t>
  </si>
  <si>
    <t>A group including US Real Estate Advisors (USREA) and Westpac Investors Trust III acquired a majority interest in Oppenheimer Industries (OI) . OI issued 2 mil shares to Westpac for $2 mil nonrecourse secured promissory notes, payable in two years. The total stake would be 72% upon exercise of the warrants. OI announced that it considered selling the company in March 1989.</t>
  </si>
  <si>
    <t>Newport News Savings Bank</t>
  </si>
  <si>
    <t>United Financial Banking Cos</t>
  </si>
  <si>
    <t>United Financial Banking terminated merger talks with Newport News Savings Bank. United Financial Banking had agreed to merge with Newport News Savings Bank through an exchange of shares based on a book value-for-book value basis according to the last full day prior to the effective date of the transaction. United Financial Banking had total assets of $78 mil as of 12/29/89. The transaction was subject to a definitive agreement and shareholder and regulatory agency approval.</t>
  </si>
  <si>
    <t>Concept Inc</t>
  </si>
  <si>
    <t>Mnfr surgical equip</t>
  </si>
  <si>
    <t>Bristol-Myers Squibb Co</t>
  </si>
  <si>
    <t>Mnfr pharm,medical products</t>
  </si>
  <si>
    <t>Bristol-Myers Squibb acquired Concept in a stock transaction valued at $185.5 mil. Concept's shareholders received 0.3607 shares of Bristol-Myers' common stock for each of Concept's 9.638 mil shares outstanding as of 3/31/90. Based on Bristol- Myers' closing stock price of $53.375 on 4/19/90, the day before the announcement, each Concept share was valued at $19.25, though agreed terms stated a maximum price of $22 per share.</t>
  </si>
  <si>
    <t>Pacific Bancorp</t>
  </si>
  <si>
    <t>Pacific Bancorp announced in October 1990 that it was terminating its search for a buyer or merger partner. The company announced in April 1990 that it was considering the possible sale or merger of the company. Alex Sheshunoff was retained to assist with the sale.</t>
  </si>
  <si>
    <t>Finnigan Corp</t>
  </si>
  <si>
    <t>Manufacature mass spectrometes</t>
  </si>
  <si>
    <t>Thermo Instrument Systems Inc</t>
  </si>
  <si>
    <t>Mnfr monitoring devices</t>
  </si>
  <si>
    <t>Thermo Instrument Systems, the 80%-owned subsidiary of Thermo Electron, acquired 5, 896,990 common shares, or the 96.36% of Finnigan that it did not already own through a tender offer and subsequent merger for $20 in cash per share, or $108.15 mil.</t>
  </si>
  <si>
    <t>First Bancorp,Troy,NC</t>
  </si>
  <si>
    <t>CCB Financial Corp,Durham,NC</t>
  </si>
  <si>
    <t>CCB Financial offered to acquire First Bancorp in Troy, North Carolina for $20 per share, or $24.86 mil. Under the proposal, CCB was to exchange $20 in CCB common stock for each First Bancorp common share, based on the market price of CCB at the time that the merger was approved by regulatory authorities. CCB requested response to its offer by 5/31/ 90.</t>
  </si>
  <si>
    <t>Weiman Co Inc</t>
  </si>
  <si>
    <t>Wholesale homefurnishings</t>
  </si>
  <si>
    <t>Weico Holdings Inc</t>
  </si>
  <si>
    <t>Investor group including mgmt</t>
  </si>
  <si>
    <t>Weico Holdings, an investor group including management and family members, acquired the outstanding 57% of Weiman that it did not already own for $4.75 per share in cash, or $1.9 mil. American National Bank &amp; Trust acted as financial advisor to Weico and provided financing for the offer.</t>
  </si>
  <si>
    <t>Cie de Saint-Gobain SA</t>
  </si>
  <si>
    <t>Manufactures and wholesales glass and abrasive products</t>
  </si>
  <si>
    <t>Cie de Saint-Gobain, acting as a white knight, acquired Norton for a $90 per share, or $1.840 bil, in a cash tender offer. The bid thwarted a hostile tender offer at $75 in cash per share or $1.57 bil tender offer by BTR</t>
  </si>
  <si>
    <t>Federated Variable Rate Mtg</t>
  </si>
  <si>
    <t>Mortgage securities trust</t>
  </si>
  <si>
    <t>Federated Income Trust</t>
  </si>
  <si>
    <t>Trust fund</t>
  </si>
  <si>
    <t>US - Federated Income Trust (FIT) acquired Federated Variable Rate Mortgage Securities Trust (FVMST). All shares in the FVMST were exchanged for a dollar equivalent amount of shares in Federated Income Trust as of 4/26/90. FVMST held about $10 mil in assets at the time of the merger. Both trusts were managed by Federated Investors.</t>
  </si>
  <si>
    <t>New York Bancorp,Douglaston,NY</t>
  </si>
  <si>
    <t>An investor group led by Patrick E Malloy, a director of New York Bancorp, requested to meet with the company to discuss the acquisition of New York Bancorp by the group. Mr Malloy and investor Michael McManus, with a combined 9. 28% holding, had requested in January 1990 that the company search for buyers.</t>
  </si>
  <si>
    <t>Stockholder Systems Inc</t>
  </si>
  <si>
    <t>Develop financial software</t>
  </si>
  <si>
    <t>NYNEX Information Solutions</t>
  </si>
  <si>
    <t>Manufacture computer software</t>
  </si>
  <si>
    <t>NYNEX Information Solutions Group, a unit of NYNEX, acquired the outstanding shares of Stockholder Systems for between $15 and $16.20 in NYNEX common stock per Stockholder Systems share. Based on the higher per share price of $16.20, the transaction had an indicated value of $65.6 mil. Completion of the deal was contingent on regulatory approval.</t>
  </si>
  <si>
    <t>Stewart Sandwiches Inc</t>
  </si>
  <si>
    <t>Food preparations</t>
  </si>
  <si>
    <t>J&amp;J Snack Foods Corp</t>
  </si>
  <si>
    <t>Produce,whl snack foods</t>
  </si>
  <si>
    <t>J&amp;J Snack Foods withdrew from discussions with Stewart Sandwiches' chairman J Theodore Broecker in regards to the possible acquisition of his 46% stake in Stewart Sandwiches. The acquisition would have increased J&amp;J Snack Foods' interest to 55. 5%. The talks were broken off when Stewart Foods Holding agreed to acquire a certain number of the shares, and to take over voting privileges for the remaining shares.</t>
  </si>
  <si>
    <t>Baltimore Bancorp,Maryland</t>
  </si>
  <si>
    <t>AllFirst Financial Inc</t>
  </si>
  <si>
    <t>First Maryland Bancorp (FMB), a unit of Allied Irish Banks, withdrew its hostile offer to acquire all the shares of Baltimore Bancorp (BBC) for $17 per share in cash, or $212.7 mil. The price of BBC's shares had deteriorated markedly since the time FMB's bid was originally presented. BBC's board had rejected the offer and accused FMB of creating a hostile atmosphere. FMB had amassed a 4.9% stake in BBC over previous months. Allied Irish had launched a rights offering to finance the acquisition.</t>
  </si>
  <si>
    <t>Home S&amp;L Assn,Durham,NC</t>
  </si>
  <si>
    <t>BB&amp;T Financial Corp</t>
  </si>
  <si>
    <t>Bank hldg co</t>
  </si>
  <si>
    <t>BB&amp;T Financial acquired Home Savings &amp; Loan Association, Durham, North Carolina in a stock swap transaction valued at $29.98 mil. BB&amp;T offered Home shareholders .4686 BB&amp;T common shares plus $8.33 in cash for each share held. Based on BB&amp;T's closing share price of $19 on Apr 27, 1990, each Home share was valued at $17.23 per share. As of Dec 31, 1990, Home had total assets of $241 mil with 5 branches. BB&amp;T had total assets of $5.4 bil and operated 206 offices.</t>
  </si>
  <si>
    <t>Jim Pattison, a Canadian entrepreneur who acquired an 11% stake in IPCO said in April 1990 that he might seek to acquire control of IPCO.</t>
  </si>
  <si>
    <t>Kinark Corp</t>
  </si>
  <si>
    <t>Mnfr specialty chemicals</t>
  </si>
  <si>
    <t>Steel Partners LP</t>
  </si>
  <si>
    <t>Leveraged buyout firm</t>
  </si>
  <si>
    <t>Steel Partners LP (SP) withdrew its unsolicited offer to acquire the 91.2% of Kinark that it did not already own for $6 per share, or about $19.39 mil, after having 2 previous bids rejected. The first offer of $7 per share was rejected in April 1990, while a later offer consisted of $5.50 in cash plus a new preferred share valued at $1 per Kinark common share. The April offer was contingent on Kinark's planned $12 mil sale of its Camelot hotels, which fell through. As of July 1991, Steel Partners still showed interest, though it had reduced its stake.</t>
  </si>
  <si>
    <t>Kollmorgen Corp</t>
  </si>
  <si>
    <t>Manufacture printed circuits</t>
  </si>
  <si>
    <t>Vernitron Corp</t>
  </si>
  <si>
    <t>Mnfr,whl motion control equip</t>
  </si>
  <si>
    <t>Vernitron terminated its plan to launch a hostile $160. 5 mil tender offer for Kollmorgen and lowered its stake in Kollmorgen after it failed to win a proxy fight for the company. Vernitron had planned to launch the $15- per-share offer after Kollmorgen had refused to negotiate with Vernitron. Both companies had filed suit as a result of a failed merger agreement in 1989. Vernitron had also planned to auction off major assets of Kollmorgen if it had won the proxy fight. First Boston advised Kollmorgen.</t>
  </si>
  <si>
    <t>Lincoln Foodservice Products</t>
  </si>
  <si>
    <t>Mnfr food service equipment</t>
  </si>
  <si>
    <t>Lincoln Foodservice Products terminated its search for a buyer it had announced in April 1990. Bowles Hollowell Conner had been retained to examine possible sale, merger, repurchase, and other strategic alternatives.</t>
  </si>
  <si>
    <t>Magic Years Child Care</t>
  </si>
  <si>
    <t>Operate day care centers</t>
  </si>
  <si>
    <t>Social Services</t>
  </si>
  <si>
    <t>Children's Discovery Centers</t>
  </si>
  <si>
    <t>Operate child care centers</t>
  </si>
  <si>
    <t>Children's Discovery Centers of America (CDC) acquired Magic Years Child Care and Learning Centers(MY) in a stock transaction valued at $4.2 mil. Holders of MY common and preferred shares received 0.4925 shares of CDC class A common stock for each share held. Based on CDC's closing stock price of $3 on Apr 27, 1990, the day before the announcement, each share of MY was valued at $1.47. CDC issued 1.4 mil Class A common shares to MY's common and preferred stockholders.</t>
  </si>
  <si>
    <t>North Star Universal Inc</t>
  </si>
  <si>
    <t>Mnfr air conditioners</t>
  </si>
  <si>
    <t>North Star Universal was seeking a buyer for the company in April 1990. Goldman Sachs was retained to advise.</t>
  </si>
  <si>
    <t>Tons of Toys Inc</t>
  </si>
  <si>
    <t>Operate retail toy stores</t>
  </si>
  <si>
    <t>Corp</t>
  </si>
  <si>
    <t>THE agreed to acquire Tons of Toys under a reorganization plan implemented with the assistance of the US Bankruptcy Court. Tons of Toys had announced in November 1989 that it was seeking a buyer for the company. The decision to sell the company was in response to the constraints imposed on the company's operations by its continuing losses. Tons of Toys operated 28 retail toy stores in New England and New York.  THE stockholders were to own 65% of Tons of Toys stock upon completion of the deal.</t>
  </si>
  <si>
    <t>Union Texas Petroleum Holdings</t>
  </si>
  <si>
    <t>Union Texas Petroleum terminated its search for a buyer that was announced in April 1990. Industry analysts had estimated a value of up to $2.25 bil, placing each Union Texas share between $24. 50 and $26.74. Kohlberg Kravis Roberts, holder of a 40% interest in Union Texas, would have achieved a four- fold increase in its initial $250 mil investment in the company, if the sale had brought maximum value. Goldman Sachs was retained to assist in the sale.</t>
  </si>
  <si>
    <t>United Gaming Inc</t>
  </si>
  <si>
    <t>Mnfr,whl gaming mach</t>
  </si>
  <si>
    <t>Alfred H Wilms increased his holdings in United Gaming to 54% by purchasing 1.2 mil newly issued common shares for $8.33 per share, or a total of $10 mil.</t>
  </si>
  <si>
    <t>Munsingwear Inc</t>
  </si>
  <si>
    <t>Mnfr men's, women's apparel</t>
  </si>
  <si>
    <t>Textile and Apparel Products</t>
  </si>
  <si>
    <t>Investor Irwin Jacobs withdrew his unsolicited offer to acquire an 80% interest in Munsingwear. Jacobs had offered to acquire the 80% equity stake in exchange for a cash infusion. Mr. Jacobs also offered existing shareholders $2 per share. The proposal was conditional on Munsingwear's ability to redeem $34 mil of 8% bonds at no more than 25% of face value.</t>
  </si>
  <si>
    <t>American General (AG) terminated its search for a buyer that began in May 1990 after a proxy fight. Torchmark offered $6.3 bil, but AG was believed to have been looking for $7 bil. First Boston, who advised AG in the proxy battle with Torchmark, was retained to solicit offers. After receiving interest mostly in pieces of the whole, AG's board authorized a restructuring plan that would include the sale of the Home Service Insurance companies (HSI). After rejecting 2 bids for HSI, AG terminated any proposed sale of HSI.</t>
  </si>
  <si>
    <t>Fisher Scientific Grp(Henley)</t>
  </si>
  <si>
    <t>Mnfr lab equip,furniture,instr</t>
  </si>
  <si>
    <t>Henley Group withdrew its plans to spin off Fisher Scientific Group to shareholders. Henley also withdrew plans to spin off 35% of Pneumo Abex.</t>
  </si>
  <si>
    <t>Healthco International Inc</t>
  </si>
  <si>
    <t>Whl dental equip</t>
  </si>
  <si>
    <t>Gemini Partners LP</t>
  </si>
  <si>
    <t>Investment group</t>
  </si>
  <si>
    <t>Gemini Partners announced that it was no longer considering launching a bid to acquire control of Healthco International, but was planning to attempt to gain control of Healthco's board through a consent solicitation. Gemini believed that Healthco should be sold or financially restructured. Gemini initially said that it may seek control of Healthco following its purchase in the open market of 485,250 Healthco shares, which increased its stake to 9.96%. Shearson Lehman Hutton advised Healthco.</t>
  </si>
  <si>
    <t>Vader Group Inc</t>
  </si>
  <si>
    <t>Mnfr cars,car parts;holding co</t>
  </si>
  <si>
    <t>Prior Management Inc</t>
  </si>
  <si>
    <t>Operate custume jewelry stores</t>
  </si>
  <si>
    <t>Prior Management and Vader Group ended their possible merger talks because of the failure of the parties to reach an agreement. Following the termination of those talks, Vader entered merger talks with Ozite. Paribas acted as financial advisor and rendered a fairness opinion to Vader.</t>
  </si>
  <si>
    <t>American Integrity Corp</t>
  </si>
  <si>
    <t>Accident, health ins company</t>
  </si>
  <si>
    <t>American Integrity was no longer seeking a merger partner. In May 1990, American Integrity announced that it was investigating alternatives to enhance its capital base, including a public or private financing or a merger, due to an increased level of business. Kidder Peabody was retained to assist in the search.</t>
  </si>
  <si>
    <t>Aritech Corp</t>
  </si>
  <si>
    <t>Electronic detecting equipment</t>
  </si>
  <si>
    <t>Aritech terminated its search for a buyer for the company. Aritech had disclosed in May 1990 that it was exploring options for the possible sale of the company to another party or management.</t>
  </si>
  <si>
    <t>ISS International Svc Sys Inc</t>
  </si>
  <si>
    <t>Pvd janitorial svcs</t>
  </si>
  <si>
    <t>ISS Intl Svc Sys AS</t>
  </si>
  <si>
    <t>Pvd cleaning,maintenance svcs</t>
  </si>
  <si>
    <t>Denmark</t>
  </si>
  <si>
    <t>ISS-International Service System A/S acquired the remaining 1.3 mil shares, or about 34%, of ISS International Service Systems which it did not already own for $12 cash per share, or $15.43 mil. ISS-A/S increased its offer from $10 per share, or $13 mil, after a special committee of the board concluded that the initial offer was not fair, based on a fairness opinion given by Lehman Brothers. ISS-A/S financed the deal with bank borrowings, and a $35 mil credit facility with Unibank and Den Danske Bank.</t>
  </si>
  <si>
    <t>FNB Rochester Corp,NY</t>
  </si>
  <si>
    <t>Cukurova Holding AS</t>
  </si>
  <si>
    <t>Provide construction services</t>
  </si>
  <si>
    <t>Turkey</t>
  </si>
  <si>
    <t>Cukurova Holding terminated negotiations to acquire a 75% interest in FNB Rochester for $20 per share, or $29 mil. FNB had announced on 5/1/90 that an undisclosed acquiror had bid for all outstanding shares of the company. Cukurova also planned to redeem FNB's 10% convertible capital notes at 110% of the principal amount and inject $10 mil in new capital into the company.</t>
  </si>
  <si>
    <t>Lexington Savings Bank</t>
  </si>
  <si>
    <t>Waltham Savings Bank</t>
  </si>
  <si>
    <t>Waltham Savings Bank, Massachusetts, a subsidiary of Waltham, terminated an agreement to acquire Lexington Savings Bank, MA, for $10.75 cash per share, or $25.5 mil. The acquisition agreement was terminated because Waltham believed that Lexington failed to comply with certain requirements of the agreement.</t>
  </si>
  <si>
    <t>Allcity Insurance Co</t>
  </si>
  <si>
    <t>PHLCORP Inc</t>
  </si>
  <si>
    <t>Life insurance company</t>
  </si>
  <si>
    <t>PHLCORP, owner of an 86.5% stake in bankrupt Allcity Insurance, proposed a merger between the two companies, PHLCORP was to acquire the shares in the open market or through privately negotiated transactions.</t>
  </si>
  <si>
    <t>Flow International Corp</t>
  </si>
  <si>
    <t>Mnfr industrial waterjets</t>
  </si>
  <si>
    <t>Flow International announced that it had received overtures from several undisclosed, potential suitors. Wertheim Schroder was retained to assist Flow International in negotiations.</t>
  </si>
  <si>
    <t>Hershey Oil Corp</t>
  </si>
  <si>
    <t>American Exploration Co</t>
  </si>
  <si>
    <t>American Exploration acquired Hershey Oil in a cash and stock transaction valued at $44.5 mil. American offered $7 cash per Hershey share for up to 17.257% of Hershey's common stock outstanding and 1.611 common shares for each remaining Hershey share. The stock portion of the deal was valued at $6.645 per share, based on American's closing stock price of $4.125 on 5/9/ 90. Hershey had agreed to pay American a $2 mil termination fee had the merger agreement been broken. Smith Barney acted as financial advisor to American, and Howard Weil advised Hershey.</t>
  </si>
  <si>
    <t>Sprouse-Reitz Stores</t>
  </si>
  <si>
    <t>Variety stores</t>
  </si>
  <si>
    <t>Retail Trade-General Merchandise and Apparel</t>
  </si>
  <si>
    <t>SR Partners Inc</t>
  </si>
  <si>
    <t>SR Partners, an investor group including Transaction Financial, ended an agreement to acquire Sprouse-Reitz Stores for up to $24.3 mil because SR could not obtain financing. The purchase price included $16 in cash per share, or $22.9 mil, plus up to $1 per share, or $1.4 mil, depending upon Sprouse-Reitz' fiscal 1990 results. SR had proposed an original, unsolicited offer at $17 in cash per share with no earnout. The Sprouse family owned 70% of the voting common stock.</t>
  </si>
  <si>
    <t>Ultimate Corp</t>
  </si>
  <si>
    <t>Mnfr minicomputer systems</t>
  </si>
  <si>
    <t>Theodore Sabarese, founder and former chairman of Ultimate, disclosed that he might seek control of the company through a tender offer or proxy fight. At the time of announcement, Sabarese held a 6.6% interest in Ultimate, but planned to transfer the majority of his holding to Midlantic National Bank, as a result of a bankruptcy settlement.</t>
  </si>
  <si>
    <t>Axa Midi Assurances SA</t>
  </si>
  <si>
    <t>Axa Midi Assurances, a unit of Cie du Midi, withdrew its consideration to acquire American General after American General had ended its search for a buyer in December 1990. The search, which began in May 1990, followed a successful defense of a proxy fight by Torchmark.</t>
  </si>
  <si>
    <t>Galveston-Houston Co</t>
  </si>
  <si>
    <t>Mnfr, whl energy equipment</t>
  </si>
  <si>
    <t>Galveston-Houston terminated its search for a buyer for the company. In May 1990, Galveston-Houston had announced that it had retained Goldman Sachs to aid in the sale of all or parts of the company.</t>
  </si>
  <si>
    <t>Bio-Medicus Inc</t>
  </si>
  <si>
    <t>Mnfr bio-medical heart prod</t>
  </si>
  <si>
    <t>Medtronic Inc</t>
  </si>
  <si>
    <t>Manufacture, wholesale medical, surgical devices</t>
  </si>
  <si>
    <t>Medtronic acquired Bio- Medicus (BM) in a stock transaction valued at $166.4 mil. BM shareholders received 1 Medtronic share for every 3. 1 shares held. Based on Medtronic's $71.74 closing stock price on 5/15/90, the last full trading day before the announcement, each share of BM was valued at $23.14. Medtronic held a 5.5% stake in BM prior to the offer. Under a standstill pact reached in 1987, Medtronic could not boost its stake in BM above 9.9% without the consent of BM's board.</t>
  </si>
  <si>
    <t>Landmark Land Co Inc</t>
  </si>
  <si>
    <t>Retail lumber</t>
  </si>
  <si>
    <t>Landmark Land announced in May 1990 that it had retained Salomon Brothers to aid in the search for a buyer for all or part of the company.</t>
  </si>
  <si>
    <t>Unilab Corp(Unilabs Holdings)</t>
  </si>
  <si>
    <t>Operate medical laboratories</t>
  </si>
  <si>
    <t>MetPath Inc</t>
  </si>
  <si>
    <t>Own,op clinical laboratory</t>
  </si>
  <si>
    <t>MetPath, a unit of Corning, raised its interest in Unilab, a unit of Unilabs Holdings, to 50.4% from 43% by acquiring 2.73 mil common shares for $11 per share, or a total of $30 mil. MetPath had said in May 1990 that it may seek control of Unilabs after it raised its stake to 26.2%.</t>
  </si>
  <si>
    <t>DST Systems Inc</t>
  </si>
  <si>
    <t>Develop software</t>
  </si>
  <si>
    <t>Kansas City Southern Inds Inc</t>
  </si>
  <si>
    <t>Own,op freight railroad lines</t>
  </si>
  <si>
    <t>Kansas City Southern Industries completed a sweetened $15.85 cash per share tender offer for the 12. 9% interest (2.46 mil common shares) in DST Systems which it did not already own in a deal valued at $39.1 mil. At completion, Kansas City held at total of 98.6% of DST's common stock outstanding. Kansas City had originally offered $14 cash, or a total of $34.5 mil. PaineWebber advised DST Systems.</t>
  </si>
  <si>
    <t>Ketchum &amp; Co</t>
  </si>
  <si>
    <t>Wholesale pharmaceuticals</t>
  </si>
  <si>
    <t>OCP International Inc</t>
  </si>
  <si>
    <t>Own and operate pharmacies</t>
  </si>
  <si>
    <t>OCP International, a unit of Office Commercial Pharmaceutique, acquired the 784,789 common shares, or 33. 3%, of Ketchum which it did not already own for $2.425 cash per share, or $1.9 mil. This offer was amended from $2.25 per share, or $1.77 mil.</t>
  </si>
  <si>
    <t>American Film Technologies</t>
  </si>
  <si>
    <t>Motion picture allied services</t>
  </si>
  <si>
    <t>American Film Technologies announced in May 1990 that it had retained Morgan Stanley to evaluate a possible sale or combination for the company.</t>
  </si>
  <si>
    <t>Applebees International Inc</t>
  </si>
  <si>
    <t>Own,op franchise rest</t>
  </si>
  <si>
    <t>Applebee's International announced in May 1990 that several parties had expressed interest in acquiring all or part of the company's stock. Piper, Jaffray &amp; Hopwood were retained by Applebee's to aid in examining long-term corporate strategy.</t>
  </si>
  <si>
    <t>Louisiana General Services Inc</t>
  </si>
  <si>
    <t>Gas utility; oil, gas expl</t>
  </si>
  <si>
    <t>Citizens Utilities Co</t>
  </si>
  <si>
    <t>Pvd Electric utility svcs</t>
  </si>
  <si>
    <t>Citizens Utilities (CU) acquired Louisiana General Services (LGS) through a stock swap with an indicated value of $93.1 mil. LGS shareholders received .8 share of Class B stock for each share held as determined by dividing $19 by CU's closing stock price for the 20 days ending three days before closing. Under the agreement, the ratio could not be more than .8 or less than .6719. Based on CU's closing share price of $17.40 on 5/18/90, the last full trading day before change in the terms of the deal, each share of LGS was valued at $21.75. CU issued 4.2 mil shares.</t>
  </si>
  <si>
    <t>Pic 'N' Save announced that it was seeking a buyer for the company through an auction process and had extended the deadline for the submission of bids from 6/15/ 90 to 6/20/90. Merrill Lynch and Goldman Sachs had been retained to solicit offers. Girard Partners announced that it would not participate in the auction, though it currently held a 6.6% stake in Pic 'N' Save. Girard cited unnecessary demands on the bidders as its primary reason for not participating. Pic 'N' Save then offered significant concessions to induce a bid from Girard.</t>
  </si>
  <si>
    <t>Talman Home Fed S&amp;L Assn,IL</t>
  </si>
  <si>
    <t>An investor group led by Harrison I Stearns terminated an agreement to acquire Talman Home Federal S&amp;L for $10 per a share in cash and notes, or a total of $100 mil, after Talman disclosed poor earnings projections. For each Talman share, the group had offered $5 in cash plus senior subordinated notes of a newly formed holding company valued by Talman at $5 per share. Talman had announced in April 1990 that it planned to sell a controlling interest to outside investors in order to meet new capital restrictions.</t>
  </si>
  <si>
    <t>Hamilton Oil Corp</t>
  </si>
  <si>
    <t>BHP Hldgs(USA)Inc(Broken Hill)</t>
  </si>
  <si>
    <t>BHP Holdings (USA), a unit of Broken Hill Proprietary, increased its stake in Hamilton Oil to 50.14% or about 13,171,768 shares, by acquiring 40,000 common shares on the open market between 4/23/90 and 5/2/90 for prices ranging from $33. 25 to $33.50 per share. Based on the higher per share price, the stake increase had an estimated value of $1.34 mil.</t>
  </si>
  <si>
    <t>Epsilon Data Management Inc</t>
  </si>
  <si>
    <t>Data processing, mktg services</t>
  </si>
  <si>
    <t>US - American Express acquired Epsilon Data Management, in a stock transaction valued at USD 63. 144 mil. Epsilon shareholders received 0.655 shares of American Express for each of Epsilon share outstanding. Based on American Express' closing share price of USD 29. 75 on 5/23/90, the day before the announcement, each Epsilon share was valued at USD 19.486.</t>
  </si>
  <si>
    <t>Dennison Manufacturing Co</t>
  </si>
  <si>
    <t>Mnfr stationery supplies</t>
  </si>
  <si>
    <t>Avery International Corp</t>
  </si>
  <si>
    <t>Mnfr adhesives</t>
  </si>
  <si>
    <t>Avery International acquired Dennison Manufacturing in a stock transaction valued at $503.64 mil. Dennison shareholders received 1.12 common shares of Avery stock for each of Dennison's 15.59 mil shares outstanding, and 2. 52 shares for the .083 mil preferred shares. Based on Avery's closing stock price of $28.5 on 5/24/90, the last full trading day prior to announcement, each Dennison share was valued at $31.92. Avery was granted an option to buy 3.11 mil shares. The new entity was named Avery Dennison.</t>
  </si>
  <si>
    <t>EFI Electronics Corp</t>
  </si>
  <si>
    <t>Mnfr transiet suppression sys</t>
  </si>
  <si>
    <t>Racal Electronics PLC</t>
  </si>
  <si>
    <t>Mnfr data communication prod</t>
  </si>
  <si>
    <t>Racal Electronics acquired a 66.67% interest in EFI for $14 mil in cash and newly issued shares, or by newly- issued shares alone. Racal was also granted an option to purchase the remaining interest in 3 equal parts in 1995,1996 and 1997, for a maximum consideration of $106 mil based on a profit-related formula.</t>
  </si>
  <si>
    <t>Diversco Inc</t>
  </si>
  <si>
    <t>Janitorial and cleaning svcs</t>
  </si>
  <si>
    <t>Diversco terminated plans to merge the company as part of a long-term corporate strategy. Diversco announced in May 1990 that it was investigating the possibility of such a transaction. Diversco had been approached by several candidates in recent months.</t>
  </si>
  <si>
    <t>Apple Bancorp Inc</t>
  </si>
  <si>
    <t>Apple Bancorp disclosed in May 1990 that it had received acquisition offers from a number of third parties; however, Apple Merger, an investment vehicle formed by Stanley Stahl, completed a hostile tender offer for the company.</t>
  </si>
  <si>
    <t>Central Bancorp,Wenatchee,WA</t>
  </si>
  <si>
    <t>Commercial bank; holding co</t>
  </si>
  <si>
    <t>Central Bancorp of Wenatchee, Washington, announced that its board had rejected an unsolicited $12.30 cash per share offer from an undisclosed acquiror. Central Bancorp decided instead to institute a repurchase plan involving 150,000 shares at $10 per share.</t>
  </si>
  <si>
    <t>Fischbach Corp</t>
  </si>
  <si>
    <t>Plumbing,electrical contractor</t>
  </si>
  <si>
    <t>AIG</t>
  </si>
  <si>
    <t>Pvd ins,finl svcs</t>
  </si>
  <si>
    <t>American International Group (AIG) acquired Fischbach for $45.12 mil. AIG completed an $11 cash per share tender offer for all of Fischbach's common and convertible securities outstanding by accepting 3,615,595 shares, or 94.9%. The remaining 5.1% were acquired under the same terms. AIG had purchased an option to acquire 2.1885 mil shares from APL, led by Victor Posner, which included 4.75% convertible subordinated debentures and 8. 5% convertible debentures, for $11 per share. AIG's bid followed ones by Andrew Heine and Asher DeVere.</t>
  </si>
  <si>
    <t>Nasta International Inc</t>
  </si>
  <si>
    <t>Toys, child safety products</t>
  </si>
  <si>
    <t>Tyco Toys Inc</t>
  </si>
  <si>
    <t>Manufacture and wholesale toys</t>
  </si>
  <si>
    <t>Tyco Toys acquired the remaining 25.8% of Nasta International which it did not own for $1.25 cash per share, or $1.65 mil. Tyco's offer was sweetened from $1. 00 cash per share, or $1.321 mil, after it was lowered from the original offer of $1. 75 per share, or $2.31 mil.</t>
  </si>
  <si>
    <t>Advanced Medical Inc</t>
  </si>
  <si>
    <t>Mnfr pharmaceuticals</t>
  </si>
  <si>
    <t>Health-Mor Inc</t>
  </si>
  <si>
    <t>Manufacture vacuum cleaners</t>
  </si>
  <si>
    <t>Health-Mor acquired Advanced Medical Technologies. Terms were not disclosed.</t>
  </si>
  <si>
    <t>AMREP Corp</t>
  </si>
  <si>
    <t>Real estate development firm</t>
  </si>
  <si>
    <t>Kane-Miller Corp</t>
  </si>
  <si>
    <t>Process meat,oil,dairy prod</t>
  </si>
  <si>
    <t>Kane-Miller announced in July 1990 that it was no longer planning to seek control of Amrep through a proxy solicitation, tender offer, merger or other transaction. Kane-Miller held a 8.1% stake in Amrep. Later, Kane-Miller clarified that it would not seek control of the company through a proxy solicitation.</t>
  </si>
  <si>
    <t>CAM Data Systems Inc</t>
  </si>
  <si>
    <t>Dvlp software</t>
  </si>
  <si>
    <t>Sulcus Computer Corp</t>
  </si>
  <si>
    <t>Manufacture computer systems</t>
  </si>
  <si>
    <t>Sulcus Computer and Cam Data Systems terminated a letter of intent for Sulcus to acquire all of the shares of Cam Data Systems. Under the terms of the letter, Sulcus Computer would have exchanged 1 Sulcus common share plus 1 Sulcus warrant for every two Cam Data Systems common shares.</t>
  </si>
  <si>
    <t>Corroon &amp; Black Corp</t>
  </si>
  <si>
    <t>Provide insurance services</t>
  </si>
  <si>
    <t>Willis Faber PLC</t>
  </si>
  <si>
    <t>Insurance brokerage svcs</t>
  </si>
  <si>
    <t>Willis Faber acquired Corroon &amp; Black in a sweetened stock transaction valued at $837 mil. Corroon shareholders received 7.8 new ordinary shares for each of Corroon's 20.4 mil common shares outstanding, plus an additional special cash dividend of $2.50 for each Corroon &amp; Black share outstanding. Based on Faber's closing share price of 291 British pence ($4.95 US) on 6/ 1/90, the last full trading day prior to the announcement, plus the special cash dividend, each Corroon share was valued at $41.11.</t>
  </si>
  <si>
    <t>Warehouse Club Inc</t>
  </si>
  <si>
    <t>Cash and carry membership club</t>
  </si>
  <si>
    <t>George Valassis, director of Warehouse Club, raised his stake in the company to 54.4% (3,825,200 shares) by purchasing 381,700 shares on the open market on 4/10/90 at prices ranging from $2.25 to $3.53 cash per share and 30, 000 shares on 5/17/90 for $1 cash per share. Based on the $3.53 high price for the 381, 700 shares and $1 for the 30, 000 shares, the stake increase had an indicated value of $1.377 mil.</t>
  </si>
  <si>
    <t>Phillips Industries Inc</t>
  </si>
  <si>
    <t>Mnfr ventilation sys,bathtubs</t>
  </si>
  <si>
    <t>Tomkins PLC</t>
  </si>
  <si>
    <t>Mnfr,whl industrial products</t>
  </si>
  <si>
    <t>Tomkins acquired Philips Industries for $18.50 cash per share, or $529 mil. Merrill Lynch Capital Partners had attempted a $25. 50 per share leveraged buyout of Philips, but the deal collapsed in January 1990. Although Tomkins' offer was significantly lower than Merrill Lynch's, it still was a 32% premium over Philips closing share price of $14 on 6/4/90. Tomkins and Philips had been advised by Shearson Lehman Hutton and Salomon Brothers, respectively. The deal was funded by an offering of non-interest bearing convertible loan stock.</t>
  </si>
  <si>
    <t>Jack Henry &amp; Associates Inc</t>
  </si>
  <si>
    <t>Pvd core info processing svcs</t>
  </si>
  <si>
    <t>Allied Capital Corp II</t>
  </si>
  <si>
    <t>Closed-end management fund</t>
  </si>
  <si>
    <t>Allied Capital II withdrew its agreement to acquire Jack Henry &amp; Associates for $4 a share, or $14 mil.</t>
  </si>
  <si>
    <t>Perkin-Elmer Corp</t>
  </si>
  <si>
    <t>Mnfr analytical instruments</t>
  </si>
  <si>
    <t>Perkin-Elmer's onetime chairman and chief executive, Chester Nimitz proposed in June 1990 that shareholders ask management to put the company up for sale. Mr. Nimitz believed that the company's stock was grossly undervalued.</t>
  </si>
  <si>
    <t>National Savings Bank of Albany announced that a buyout offer from an unnamed investor had been withdrawn.</t>
  </si>
  <si>
    <t>Conston Corp</t>
  </si>
  <si>
    <t>Operate women's apparel stores</t>
  </si>
  <si>
    <t>Cascade International Inc</t>
  </si>
  <si>
    <t>Operate department stores</t>
  </si>
  <si>
    <t>Cascade International acquired Conston by making an equity investment in Conston for $12 mil. Financo assisted in the negotiations.</t>
  </si>
  <si>
    <t>Pettibone Corp(Mergerco Inc)</t>
  </si>
  <si>
    <t>Mnfr construction machinery</t>
  </si>
  <si>
    <t>Pettibone, majority controlled by Mergerco, terminated an agreement with an investor group including Heico and Heico Industrial Products which agreed to acquire the 1.4 mil common shares outstanding and 273, 616 preferred Class A Pettibone shares for $4 in cash per share, or $6.7 mil. Pettibone's board had approved the agreement but later decided on termination due to economic conditions and trouble Heico was having with securing financing.</t>
  </si>
  <si>
    <t>Foremost Corp of America</t>
  </si>
  <si>
    <t>FAI Insurance Ltd</t>
  </si>
  <si>
    <t>Australia</t>
  </si>
  <si>
    <t>FAI Insurances withdrew its $32 cash per share, $356.2 mil bid to acquire the 92.5% of Foremost that it did not already own. FAI was advised by Merrill Lynch Capital Markets. Foremost of America had announced in January 1990 that it had asked the company management and its financial advisor to explore the possible sale of the company.</t>
  </si>
  <si>
    <t>Brookfield Bancshares</t>
  </si>
  <si>
    <t>Citicorp</t>
  </si>
  <si>
    <t>Citibank Federal Savings Bank, a unit of Citicorp, acquired Brookfield Bancshares for $40.78 cash per share, or $19.84 mil, of which $.213 mil was used to buy Brookfield's 17,350 unexercised employee stock options. Citicorp had initially bid $46.09 cash per share, or $22.5 mil, but twice lowered the price, the first to $43.78 ($21.35 mil) when the sale of Brookfield's real estate to College Green Joint Ventures fetched less than its net book value. Brookfield's disappointing commercial real estate loans prompted the second adjustment. Chicago Corp advised Brookfield.</t>
  </si>
  <si>
    <t>Binks Manufacturing received a friendly takeover offer from an undisclosed Chicago company, valued significantly higher than the $45 per share, or $132 mil, offer from Illinois Tool Works. Kelso Manufacturing, holder of a 7. 7% stake in Binks, requested that Binks appoint a committee of directors to explore the offer.</t>
  </si>
  <si>
    <t>Telecredit Inc</t>
  </si>
  <si>
    <t>Check and credit card services</t>
  </si>
  <si>
    <t>Equifax Inc</t>
  </si>
  <si>
    <t>Pvd credit information svcs</t>
  </si>
  <si>
    <t>Equifax acquired Telecredit in a stock swap transaction valued at $698 mil. Telecredit shareholders received 2.8625 Equifax common shares for each of their 11.016 mil shares. Based on Equifax's $22.125 closing share price on Jun 20, 1990, the last full trading day prior to the announcement, each share was valued at $63. 33. The exchange ratio was amended from 2.69048 for 1 after Equifax's shares dropped sharply in price. Telecredit had announced in June 1990 that it had retained Dillon Read and Alex Brown &amp; Sons to aid in the search for a buyer.</t>
  </si>
  <si>
    <t>First Brands Corp</t>
  </si>
  <si>
    <t>Mnfrs, whl plastic bags, wraps</t>
  </si>
  <si>
    <t>Metropolitan Life and First Boston terminated all discussions over the sale of their interests in First Brands. Both parties had announced in June 1990 that they planned to actively solicit third parties regarding the potential acquisition of all or a portion of their interests. Difficulty in financing conditions was cited as the main reason for the termination of the search. In February 1990, Metropolitan Life, First Boston, and others announced that they were going to offer to the public 10.5 mil of their shares.</t>
  </si>
  <si>
    <t>Plexus Resources Corp</t>
  </si>
  <si>
    <t>Extraction of minerals,oil,gas</t>
  </si>
  <si>
    <t>TOTAL Energold Corp</t>
  </si>
  <si>
    <t>Canada</t>
  </si>
  <si>
    <t>TOTAL Energold acquired 6 mil shares (51%) of Plexus Resources for $2.55 per share, or $15.3 mil plus warrants to acquire 2.15 mil more shares at an exercise price of $2.55 per share. TOTAL exchanged $14.025 mil in cash plus all of the outstanding common shares of Sovereign Explorations, which was valued at an aggregate $15.3 mil.</t>
  </si>
  <si>
    <t>Foxboro Co</t>
  </si>
  <si>
    <t>Mnfr,whl measuring devices</t>
  </si>
  <si>
    <t>Siebe Inc(Siebe PLC)</t>
  </si>
  <si>
    <t>Mnfr control devices</t>
  </si>
  <si>
    <t>Siebe Inc, a unit of Siebe PLC, acquired Foxboro through a $52 per share cash tender offer in a deal valued at $656.45 mil. Foxboro reported a net loss of $4.6 mil on sales of $597.8 mil in 1989. Salomon Brothers acted as financial advisor to Foxboro. Lazard Freres acted as advisor to Siebe and as dealer manager for the tender offer. JP Morgan acted as financial advisor to the Bristol family's trusts, holders of a 13% stake in Foxboro.</t>
  </si>
  <si>
    <t>Hampton Utilities Trust</t>
  </si>
  <si>
    <t>An investor group including First Enterprise Group and Investment Strategies had considered seeking control of Hampton Utilities Trust after acquiring a 17.9% stake in Hampton. However, the group subsequently reduced its stake in Hampton Utilities Trust to 4.2%.</t>
  </si>
  <si>
    <t>International Lease Finance</t>
  </si>
  <si>
    <t>Pvd aircraft leasing svcs</t>
  </si>
  <si>
    <t>American International Group (AIG) acquired International Lease Finance (ILF) for $32. 50 per share, or $1.122 bil. ILF holders chose either $32. 50 in cash or 0.3829 shares of AIG plus $.50 in cash per share. AIG shares were valued $77 based on AIG's closing stock price on 6/22/90. About 19.799 mil ILF holders (58%) chose the share alternative. AIG also paid $58 mil for all ILF preferred stock. Original plans stated that if AIG's price were to fall below $86 per share at closing the AIG stock portion would be changed to equal $25.80 per ILF share. ILF did not invoke the plan.</t>
  </si>
  <si>
    <t>Material Sciences Corp</t>
  </si>
  <si>
    <t>Mnfr coated and painted metals</t>
  </si>
  <si>
    <t>US - In January 1991, Zink Acquisition Holdings Inc, owned by New Star Metals Inc, withdrew its search for a buyer for its Material Sciences Corp unit, an Elk Grove Village-based provider of metal coating and surfacing services.</t>
  </si>
  <si>
    <t>Tele-Optics Inc</t>
  </si>
  <si>
    <t>Mnfr military, optical prod</t>
  </si>
  <si>
    <t>Corvus Corp</t>
  </si>
  <si>
    <t>Mnfr computer rel commun equip</t>
  </si>
  <si>
    <t>Communications Equipment</t>
  </si>
  <si>
    <t>Corvus withdrew its offer to acquire the 56% of Tele- Optics it did not own after Corvus filed for bankruptcy. Corvus had announced that it would seek control of Tele- Optics by acquiring Tele- Optics common shares in the open market after it had acquired a 44% stake in Tele- Optics.</t>
  </si>
  <si>
    <t>Cimm Inc(Cimm PLC)</t>
  </si>
  <si>
    <t>Computer integrated sys svcs</t>
  </si>
  <si>
    <t>FNIC SA</t>
  </si>
  <si>
    <t>Belgium</t>
  </si>
  <si>
    <t>FNIC, a unit of First National International acquired 5 mil common shares, or a 52.4% interest in Cimm Inc from Cimm PLC for $1.30 per share or a total value of $6.9 mil.</t>
  </si>
  <si>
    <t>FNIC</t>
  </si>
  <si>
    <t>First National International disclosed in June 1990 that it had acquired a 7.9% (749, 578 shares) in Ultimate and might seek to acquire control of the company.</t>
  </si>
  <si>
    <t>DS Bancor,Derby,Connecticut</t>
  </si>
  <si>
    <t>Maureen Monaco, a member of the controlling family of DS Bancorp, announced in June 1990 that a buyer was being sought to maximize shareholder value.</t>
  </si>
  <si>
    <t>Homestead Holding Corp</t>
  </si>
  <si>
    <t>CCNB Corp</t>
  </si>
  <si>
    <t>CCNB withdrew its offer to acquire Homestead Holding for $15.48 of CCNB common shares for each Homestead common share. Based on Homestead's 1, 156,000 common shares outstanding, the merger had an indicated value of up to $17.89 mil.</t>
  </si>
  <si>
    <t>Altos Computer Systems</t>
  </si>
  <si>
    <t>Mnfr microcomputer systems</t>
  </si>
  <si>
    <t>Acer Inc</t>
  </si>
  <si>
    <t>Mnfr,whl computer prod</t>
  </si>
  <si>
    <t>Acer Group acquired Altos Computer Systems in a tender offer for $8.35 per share common and Class A common share, or $90.7 mil. Under the tender offer, 10,474,538 shares (about 96.6%) of Altos' common and Class A common stock were accepted by Acer Group. Alex Brown &amp; Sons acted as financial advisor to Acer and acted as dealer manager for the tender offer. Morgan Stanley acted financial advisor to Altos.</t>
  </si>
  <si>
    <t>David Blech acquired a 60.9% interest in Ecogen for an estimated $28.33 mil. Blech originally raised his stake to 36% in August 1990 with the purchase of 3.917 mil shares for $8.0 mil. At that time, Blech received warrants to acquire up to 4 mil additional Ecogen shares for $3 per share. In March 1991, Blech disclosed a 60.9% stake including purchases of 56,800 shares in a private transaction for $1.44 per share, 48,600 shares purchased at prices ranging for $2.00 to $2.94 per share, and 191,200 shares purchased at $2.53 to $4.88 per share.</t>
  </si>
  <si>
    <t>Prospect Group terminated plans to divest a 50% interest in Children's Discovery Centers of America. Prospect shareholders were to receive 1 Children's Discovery Centers share for every 10 Prospect shares held. The plan was part of Prospect's pending liquidation.</t>
  </si>
  <si>
    <t>Forschner Group Inc</t>
  </si>
  <si>
    <t>Wholesale cutlery</t>
  </si>
  <si>
    <t>Prospect Group divested of a 58% interest in its Forschner Group to shareholders in a transaction valued at $13.88 mil Prospect shareholders would receive 1 Forschner share for every 10 Prospect shares held of the 22.2 mil Prospect shares outstanding. The value was based on Forschner's closing share price of $6.75 on Aug 17, 1990, the last full trading day prior to completion. The plan was part of Prospect's pending liquidation.</t>
  </si>
  <si>
    <t>Milton Roy Co</t>
  </si>
  <si>
    <t>Mnfr fluid control pumps</t>
  </si>
  <si>
    <t>Sundstrand Corp</t>
  </si>
  <si>
    <t>Mnfr aerospace, indl equip</t>
  </si>
  <si>
    <t>Sundstrand acquired Milton Roy for $168 mil consisting of $28 cash per share, or a total of $146 mil plus the assumption of $22 mil of Milton Roy's debt. The total value included $18.3 mil that Sundstrand paid for its initial 15% holding (796,000 common shares), based on Milton's closing stock price of $23 on 6/28/90, the last full trading day prior to the announcement. Merrill Lynch Capital Markets provided a fairness opinion. There was a $3.5 mil fee for termination. The agreement received the approval of the FTC and German Cartel Office.</t>
  </si>
  <si>
    <t>General Instrument Corp</t>
  </si>
  <si>
    <t>Mnfr cable TV equipment</t>
  </si>
  <si>
    <t>Forstmann Little &amp; Co</t>
  </si>
  <si>
    <t>Forstmann Little (FL) acquired General Instrument (GI) through a $44.50 per share cash offer which valued GI at $1.863 bil. FL also paid $42 mil to cancel GI's outstanding stock options and assumed $400 mil of its debt. As of Aug 22, the date which the deal was effective, FL had 91.9% acceptances; another 3.6% was acquired by different means. On that date, all GI shares were cancelled. The shares not tendered were converted into rights to receive $44.50 cash. Chemcycle assisted FI by performing the environmental due diligence audit for the transaction.</t>
  </si>
  <si>
    <t>Kay Jewelers Inc</t>
  </si>
  <si>
    <t>Operate retail jewelry stores</t>
  </si>
  <si>
    <t>Ratners Group PLC</t>
  </si>
  <si>
    <t>Ratners Group acquired Kay Jewelers in a stock swap transaction valued at $533.3 mil. Ratners offered 1 new convertible preferred share for each Kay common share. Each share was convertible into 3 Kay common shares, valued at a total of $17 by Ratners. Ratners launched a cash tender offer to acquire $150 mil of Kay's notes for 75% of the notes' value. Kay had $100 mil of outstanding 12.875% senior subordinated notes due 1999 and $50 mil of 12.5% senior subordinated notes due 1996. Ratners was to also assume $210 mil in Kay debt.</t>
  </si>
  <si>
    <t>Regency Cruises Inc</t>
  </si>
  <si>
    <t>Operate cruise ships</t>
  </si>
  <si>
    <t>Rainbow Cruises Inc</t>
  </si>
  <si>
    <t>Own and operate cruise line</t>
  </si>
  <si>
    <t>Rainbow Cruises (RC), a unit of Lelakis Group, acquired the remaining 63% interest of Regency Cruises (REG) that it did not already own for a sweetened $2.60 per share, or a total value of $38.1 mil. The consideration offered per share consisted of $1.95 in cash and $.65 principal amount of a five-year note. RC's earlier bids were rejected. In July 1990, a group led by Antonios Lelakis stated that it would seek control of REG via a proxy solicitation, tender or exchange offer. REG spurned Castle Harlan Partners II's September 1992, attempt to make a bid for 51% of REG.</t>
  </si>
  <si>
    <t>Crown Cork &amp; Seal Co</t>
  </si>
  <si>
    <t>Manufacture cans, crowns</t>
  </si>
  <si>
    <t>Crown Cork &amp; Seal was the subject of takeover rumors in July 1990 after the death of its chairman, John Connelly, who held a 15.2% stake in the company. The Current status of this deal is unknown.</t>
  </si>
  <si>
    <t>An undisclosed acquiror sought financial information from General Instrument as Forstmann Little began its tender offer for General Instrument, which was later successfully completed.</t>
  </si>
  <si>
    <t>ICO Inc</t>
  </si>
  <si>
    <t>Pvd polymers processing svcs</t>
  </si>
  <si>
    <t>ICO announced in July, 1990 that it had retained Donaldson Lufkin &amp; Jenrette Securities in order to explore alternatives for the company, including its possible sale.</t>
  </si>
  <si>
    <t>Contel Corp</t>
  </si>
  <si>
    <t>Provide telecommunications svc</t>
  </si>
  <si>
    <t>GTE Corp</t>
  </si>
  <si>
    <t>Pvd telecommunications svcs</t>
  </si>
  <si>
    <t>GTE completed the acquisition of Contel in a stock swap transaction valued at $6.24 bil. GTE offered 1. 27 shares of its common stock for each of Contel's approximately 160 mil common shares outstanding. Based on GTE's closing stock price of $31 on 7/11/90, the last full trading day prior to the announcement of the agreement, each Contel share was valued at $39.37. GTE had 1989 earnings of $1.4 bil on revenue of $17.4 bil while Contel had earnings of $287 mil on revenue of $3.1 bil for the same period. The transaction had been subject to regulatory approval.</t>
  </si>
  <si>
    <t>Motel 6 LP</t>
  </si>
  <si>
    <t>Own and operate motels</t>
  </si>
  <si>
    <t>Accor SA</t>
  </si>
  <si>
    <t>Own,op hotels,rest</t>
  </si>
  <si>
    <t>Accor SA (AS) acquired all the outstanding common stock of Motel 6 (MT) for $22.50 in cash per share, or a total value of $2.3 bil, including the assumption of $1 bil in liabilities. Previously, AS completed its tender offer for MT by accepting 53.221 mil shares, or about 92% of MT's shares. Kohlberg Kravis Roberts (KKR) acquired MT for $125 mil in equity and $756 mil in debt in 1985 and sold a minority interest to the public in 1986. KKR was originally advised by Salomon Brothers, but negotiated the transaction by themselves at Accor's request. Accor was advised by Euroforce Enterprises.</t>
  </si>
  <si>
    <t>TVX Broadcast Group Inc</t>
  </si>
  <si>
    <t>Operate television stations</t>
  </si>
  <si>
    <t>Paramount Communications, formerly Gulf &amp; Western, acquired the remaining 21% of TVX Broadcast Group, a unit of Salomon, for a sweetened $9.50 per share, or $61.35 mil, up from $7.50 per share, or a total of $48.43 mil. The offer for the 6,457,850 shares included the 757,852 shares held by Citicorp Venture Capital and First Capital Corp of Chicago.</t>
  </si>
  <si>
    <t>Gray Television Inc</t>
  </si>
  <si>
    <t>Own,op TV broadcasting stns</t>
  </si>
  <si>
    <t>Gray Communications announced that it had received a merger proposal from investor James Gray, president of Gray Communications, on 6/21/90.</t>
  </si>
  <si>
    <t>Justin Industries Inc</t>
  </si>
  <si>
    <t>Mnfr brickface, concrete prod</t>
  </si>
  <si>
    <t>JTN Acquisition Corp</t>
  </si>
  <si>
    <t>JTN Acquisition, a dissident shareholder group led by Perry Sutherland and Barry Rosenstein, terminated a hostile $18 per share, or $149.2 mil, offer to acquire Justin Industries. JTN offered $18 in cash for 6.177 mil shares. JTN had planned to acquire the remaining shares for $18 per shares in stock. Justin had rejected the bid, as well as an earlier $18.50 cash per share, or $140 mil bid for the 88. 8% of the company it did not own. The JTN members also agreed to sell its 12% stake for $14.3 mil.</t>
  </si>
  <si>
    <t>Cimarron Investment Co</t>
  </si>
  <si>
    <t>Insurance company; holding co</t>
  </si>
  <si>
    <t>American Fidelity Corp</t>
  </si>
  <si>
    <t>American Fidelity acquired a 71% interest (336,334 shares) in Cimarron Investment for $11.37 per share, or $3.824 mil. Completion of the deal had been subject to regulatory approval. Stephens acted as financial advisor to Cimarron Investment.</t>
  </si>
  <si>
    <t>HeartFed Financial Corp</t>
  </si>
  <si>
    <t>US Bancorp,Portland,Oregon</t>
  </si>
  <si>
    <t>Commercial bank;trust facility</t>
  </si>
  <si>
    <t>US Bancorp acquired HeartFed Financial in a stock swap transaction valued at $137.4 mil. US Bancorp paid .975 of its common shares in exchange for each of HeartFed's 4.3 mil common shares. Based on US Bancorp's closing stock price of $30.875 on Jul 16, 1990, each of HeartFed's common shares was valued at $30.10. US Bancorp also paid $7.4 mil in employee options. HeartFed Financial retained Montgomery Securities as financial advisor.</t>
  </si>
  <si>
    <t>Caesars New Jersey Inc</t>
  </si>
  <si>
    <t>Own, operate hotels, casinos</t>
  </si>
  <si>
    <t>Caesars World Inc</t>
  </si>
  <si>
    <t>Own,op casinos,resort hotels</t>
  </si>
  <si>
    <t>Caesars World (CW) acquired the remaining 13.4% of Caesars New Jersey (CJN) through two cash tender offers with a cumulative value of $48.4 mil. The terms of both offers were set in a New Jersey District Court settlement. Initially, CW acquired 2,029,227 shares (12. 5%), offering $22.25 per share plus 7.45% interest beginning accrual on Sep 22, and bringing the offer to about $22.58 per share, or a total of $45.15 mil. The remaining 146,718 shares were acquired for $22.25. CW was obligated to launch the second offer when it reached a 90% threshold level in the first.</t>
  </si>
  <si>
    <t>First Fed S&amp;L,E Hartford,CT</t>
  </si>
  <si>
    <t>First Federal S&amp;L Association East Hartford, Connecticut withdrew the search for a buyer.</t>
  </si>
  <si>
    <t>Johnstown Savings Bank,PA</t>
  </si>
  <si>
    <t>Johnstown Savings Bank terminated its search, announced in July 1990, to find an acquiror for the company.</t>
  </si>
  <si>
    <t>Polifly Financial Corp,NJ</t>
  </si>
  <si>
    <t>Savings &amp; loan</t>
  </si>
  <si>
    <t>An investor group including Haralambos S Kostakopoulos, Nicola Biase, Emmanuel M Kontokosta and Nikos Mouyiaris announced plans to seek a controlling interest in Polifly Financial following its purchase of a 9. 99% interest in the company.</t>
  </si>
  <si>
    <t>Basic American Medical Inc</t>
  </si>
  <si>
    <t>Own and operate hospitals</t>
  </si>
  <si>
    <t>Marriott announced in July 1990 that it was seeking a buyer for its 52.26% interest (4.1 mil common shares) in Basic American Medical. Marriott indicated that it would sell some or all of the shares. Marriott had acquired the interest as the result of a default in a loan to a group including Basic American management. The stock had been pledged to secure the loan.</t>
  </si>
  <si>
    <t>Entwistle Co</t>
  </si>
  <si>
    <t>Cable manufacturing machinery</t>
  </si>
  <si>
    <t>Corkin Co</t>
  </si>
  <si>
    <t>Mnfr cable mfg machinery</t>
  </si>
  <si>
    <t>Corkin, an investor group led by Entwistle shareholders Herbert Corkin and Alvan Corkin, acquired the remaining 14% of the company which it did not already own for $46.40 cash per share. Corkin had originally offered $46 cash per share.</t>
  </si>
  <si>
    <t>General Metal &amp; Abrasives</t>
  </si>
  <si>
    <t>Recycle abrasive materials</t>
  </si>
  <si>
    <t>GMA Aquisitions</t>
  </si>
  <si>
    <t>GMA Acquisitions, a company headed by Merle Rydesky, secretary-treasurer of General Metal &amp; Abrasives (GMA) withdrew its unsolicited cash offer of $2. 50 per share, or $1.7475 mil. Rydesky and his family held 250,300 shares which were to be included in the tender offer. The board of GMA appointed an independent committee to evaluate the offer. GMA was acquired by Mid-American Abrasives at $3. 25 per share, or $1.7 mil.</t>
  </si>
  <si>
    <t>Rose Associates</t>
  </si>
  <si>
    <t>Rose Associates withdrew its unsolicited offer to acquire 60% of Home &amp; City Savings Bank at $24 per share or $62. 978 mil. Rose later made another offer to acquire all of the outstanding shares of Home &amp; City. The first proposal required H&amp;C to pay Rose Holding a $15 mil special dividend and that holders of 40% H&amp;C elect to waive their consideration in exchange for equity in Rose Holding. H&amp;C agreed to be acquired instead by TrustCo, which offered $10 cash plus . 5 of its shares per H&amp;C share.</t>
  </si>
  <si>
    <t>Cellular Communications Inc</t>
  </si>
  <si>
    <t>Operate cellular telephone sys</t>
  </si>
  <si>
    <t>Pacific Telesis Group</t>
  </si>
  <si>
    <t>Pvd telecommun svcs;hldg co</t>
  </si>
  <si>
    <t>PacTel, a unit of Pacific Telesis Group, planned to merge with Cellular Communications, following the acquisition by PacTel of a 5% stake in Cellular and the subsequent merger of the cellular operations of the two companies.</t>
  </si>
  <si>
    <t>Child World Inc(Cole National)</t>
  </si>
  <si>
    <t>Toy, sporting goods ret stores</t>
  </si>
  <si>
    <t>Trefoil Capital Investors LP</t>
  </si>
  <si>
    <t>Venture capital firm</t>
  </si>
  <si>
    <t>Trefoil Capital Investors (TCI), an investment fund formed by executives of Shamrock Holdings, terminated an agreement to acquire Child World (CW), 82% owned by the Cole National unit of CNC Holding, for about $28 mil. TCI was to assume a portion of CW's debt in exchange for Cole's 82% stake in CW. TCI had also offered $14 cash per common share, or a total of $28 mil, for the 18% (2.02 mil shares) held by the public. Cole had announced in March 1990 that an investment bank had been retained to seek a buyer for CW.</t>
  </si>
  <si>
    <t>Diversified Energies Inc</t>
  </si>
  <si>
    <t>Gas distribution</t>
  </si>
  <si>
    <t>Arkla Inc</t>
  </si>
  <si>
    <t>Natural gas prodn</t>
  </si>
  <si>
    <t>Arkla acquired Diversified Energies (DE) in a stock transaction valued at $569.83 mil. DE shareholders received 1.752 Arkla common shares for each of the 16.06 mil shares held. Valued at Arkla's closing share price of $20.25 on 11/29/90, each share of DE had an indicated value of $35. 48. Under the terms of the agreement, the exchange ratio was to fall between 1.575 and 1.752 based upon Arkla's average share price for the 15 days prior to closing. Arkla's price dropped dramatically causing the higher ratio to be used.</t>
  </si>
  <si>
    <t>Eagle Bancshares Inc,Tucker,GA</t>
  </si>
  <si>
    <t>Savings bank;holding co</t>
  </si>
  <si>
    <t>Eagle Bancshares announced that it was investigating possible merger and acquisition opportunities.</t>
  </si>
  <si>
    <t>Instron Corp</t>
  </si>
  <si>
    <t>Mnfr materials testing instr</t>
  </si>
  <si>
    <t>An investor group including Cenith Partners and Steven L Sinder disclosed in July 1990 that it had acquired a 5.02% stake (307,000 shares) in Instron and might seek control of the company. In March 1991, the group disclosed a 6.23% stake. Harold Hindman and George Burr, founders of Instron who along with their families held 39% of Instron's stock, opposed any change of control of the company. The Cenith group had tried to nominate three of its own directors in a proxy fight, but withdrew the nominees when the two parties reached a standstill agreement.</t>
  </si>
  <si>
    <t>Siliconix Inc</t>
  </si>
  <si>
    <t>Mnfr integrated circuits</t>
  </si>
  <si>
    <t>AEG AG(Daimler-Benz AG)</t>
  </si>
  <si>
    <t>Mnfr power engineering systems</t>
  </si>
  <si>
    <t>Germany</t>
  </si>
  <si>
    <t>AEG Aktiengesellschaft, a subsidiary of Daimler-Benz, raised its interest in bankrupt Siliconix from 39% to 80% for the cancellation of a $2 mil secured note. The agreement also inclued a guaranteed investment of $13 mil. The agreement was part of Siliconix's debt reorganization plan which needed approval from its shareholders and the US bankruptcy Court. Siliconix filed for Chapter 11 protection in April 1989 and Chapter 11 reorganization in August 1990.</t>
  </si>
  <si>
    <t>UTL Corp</t>
  </si>
  <si>
    <t>Mnfr electronic warfare sys</t>
  </si>
  <si>
    <t>ARGOSystems Inc(Boeing Co)</t>
  </si>
  <si>
    <t>Mnfr electn reconnaissance sys</t>
  </si>
  <si>
    <t>ARGOSystems, a wholly-owned subsidiary of Boeing, completed a $4.75 per share cash tender offer for all shares of UTL, valued at $20. 06 mil. Holders of 3,828,327 shares, or 90.6% of UTL's common stock outstanding, tendered their holdings. All remaining shares were also acquired for $4.75. An investor group including CC Lee and Colonial Life had previously considered launching a tender offer. Hambrecht &amp; Quist rendered a fairness opinion. The deal was funded from corporate resources.</t>
  </si>
  <si>
    <t>Farah Inc</t>
  </si>
  <si>
    <t>Mnfr,ret family apparel</t>
  </si>
  <si>
    <t>William F Farah, former CEO of Farah, disclosed that he would seek a buyer for Farah if he were successful in his proxy fight to unseat 6 directors on Farah's board. A stockholders' meeting was to be held 8/10/90 to settle the dispute. William F. Farah was the largest shareholder of Farah at 16%.</t>
  </si>
  <si>
    <t>Flow International terminated a search for a suitor after it was not able to find any interested parties. In August 1990, Flow retained Wertheim Schroder to begin the search. Flow had record sales of $10.8 mil for the first quarter ended July 1990.</t>
  </si>
  <si>
    <t>Sears Roebuck &amp; Co</t>
  </si>
  <si>
    <t>Department stores; finl svcs</t>
  </si>
  <si>
    <t>Montgomery Ward &amp; Co</t>
  </si>
  <si>
    <t>Own,operate department stores</t>
  </si>
  <si>
    <t>Sears Roebuck disclosed on 8/ 8/90 that it had spent about two months discussing the possibility of a merger with Montgomery Ward, but that those talks were discontinued by 8/3/90. At the same time, Sears denied rumors that it planned to spin-off its merchandising operations to shareholders.</t>
  </si>
  <si>
    <t>Banks of Iowa Inc</t>
  </si>
  <si>
    <t>Firstar Corp,Milwaukee, Wi</t>
  </si>
  <si>
    <t>Commercial bank hldg company</t>
  </si>
  <si>
    <t>Firstar acquired Banks of Iowa (BI) in a stock swap transaction valued at $219.1 mil. BI shareholders received 2.7 Firstar common shares for each of BI's 2,898,148 common shares outstanding. Based on Firstar's closing share price of $28 on 8/3/90, the last full trading day prior to the announcement, each BI share was valued at $75.60. Banks of Iowa had announced in June 1990 that it was seeking a buyer. An earlier agreement to be acquired by First Bank Systems had been withdrawn.</t>
  </si>
  <si>
    <t>CheckRobot</t>
  </si>
  <si>
    <t>Electronic price detection sys</t>
  </si>
  <si>
    <t>OmniCorp Holdings Inc</t>
  </si>
  <si>
    <t>Investment holding company</t>
  </si>
  <si>
    <t>OmniCorp Holdings, a unit of Omni Holding to acquire 2.5 mil common shares of CheckRobot at an exercise price of $1 per share plus 5 year warrants to acquire 1 mil common shares of CheckRobot at an exercise price of $2.50 per share. If the warrants were exercised, OmniCorp would own more than 50% of CheckRobot's voting shares.</t>
  </si>
  <si>
    <t>Eldon Industries Inc</t>
  </si>
  <si>
    <t>Mnfr plastic office products</t>
  </si>
  <si>
    <t>Rubbermaid Inc</t>
  </si>
  <si>
    <t>Mnfr consumer plastic prods</t>
  </si>
  <si>
    <t>Rubbermaid merged with Eldon Industries in a stock transaction valued at $232.5 mil. Eldon shareholders received .6320 common shares for each of Eldon's 9,289,000 shares outstanding. Based on Rubbermaid's closing share price of $39.50 on 8/3/90, the last full trading day prior to the announcement, each Eldon share was valued at $24.96. The acquisition was accounted for as a pooling of interests.</t>
  </si>
  <si>
    <t>Bayly Corp</t>
  </si>
  <si>
    <t>Mnfr and retail clothing</t>
  </si>
  <si>
    <t>In August 1990, Bayly retained Bear Stearns to aid in its search for a buyer. As financial advisor, Bear Stearns was also exploring the possibility of a Bayly recapitalization.</t>
  </si>
  <si>
    <t>Phoenix Medical Technology Inc</t>
  </si>
  <si>
    <t>Mnfr disposable vinyl gloves</t>
  </si>
  <si>
    <t>MBf International(MBF Hldg)</t>
  </si>
  <si>
    <t>Provide financial services</t>
  </si>
  <si>
    <t>Hong Kong</t>
  </si>
  <si>
    <t>MBF International, a unit of MBF Holdings, withdrew an offer to acquire 2 mil unissued common shares of Phoenix Medical Technology for $2 mil, or $1 per share. The sale would have given MBF International over 50% ownership of Phoenix Medical Technology, which at the time of the agreement had exhausted its available cash and credit line and was in default on its revolving line of credit and bank loan agreements.</t>
  </si>
  <si>
    <t>Response Technologies Inc</t>
  </si>
  <si>
    <t>Pvd cancer research svcs</t>
  </si>
  <si>
    <t>Dakota Ventures Inc</t>
  </si>
  <si>
    <t>Dakota Ventures acquired up to 10 mil newly issued Response Technologies common shares at $0.50 per share, for an indicated value of $5 mil. Dakota was also to receive warrants to purchase up to 9 mil common shares at prices ranging from $0.50 to $1.00 per share.</t>
  </si>
  <si>
    <t>North Hills Electronics Inc</t>
  </si>
  <si>
    <t>Mnfr TV,radio equipment</t>
  </si>
  <si>
    <t>Porta Systems Corp</t>
  </si>
  <si>
    <t>Mnfr,whl telecommun equip</t>
  </si>
  <si>
    <t>Porta Systems acquired North Hills Electronics for $6.717 mil in cash, or about $2.50 per common share. In connection with the agreement, Porta acquired an option to buy the 23% of North Hills' shares owned by Leo Staschover, its chairman and chief executive officer.</t>
  </si>
  <si>
    <t>Diversicare Corp of America</t>
  </si>
  <si>
    <t>Own and operate nursing homes</t>
  </si>
  <si>
    <t>Diversicare Ltd</t>
  </si>
  <si>
    <t>Diversicare Ltd, the owner of 95% of the outstanding common stock of Diversicare Corp of America, offered to acquire the remaining 5% interest for $2.40 cash per share, or $1.27 mil. Diversicare Corp of America would be merged into a new unit of Diversicare Ltd, with Diversicare Corp of America being the surviving company. All outstanding convertible debentures would remain outstanding after the merger with the same cash conversion values. Furman Selz provided a fairness opinion in the offer.</t>
  </si>
  <si>
    <t>Research Industries Corp</t>
  </si>
  <si>
    <t>Mnfr,whl surgical devices</t>
  </si>
  <si>
    <t>Research Industries agreed to acquire the remaining 20% of its 80% owned subsidiary. Research Medical, Gary Crocker, president of Research Industries, would exchange his Research Medical shares for an undisclosed number of Research Industries shares. Other terms were not disclosed.</t>
  </si>
  <si>
    <t>Webster Clothes Inc</t>
  </si>
  <si>
    <t>Men's apparel retail stores</t>
  </si>
  <si>
    <t>Edison Brothers Stores Inc</t>
  </si>
  <si>
    <t>Own,op clothing,shoe stores</t>
  </si>
  <si>
    <t>Edison Brothers Stores acquired all the outstanding common stock of Webster Clothes for or $6 in cash per share, or a total value of $19.2 mil. Of the total, $.50 per share was placed in escrow, subject to contingencies and adjustments. Certain shareholders of Webster Clothes, together holding 81% of the 3,200,000 outstanding shares, had granted Edison Brothers an option to purchase their shares at the merger price. Closing of the transaction was subject to certain conditions including approval by Webster Clothes' shareholders.</t>
  </si>
  <si>
    <t>Progress Financial Corp</t>
  </si>
  <si>
    <t>Progress Financial ended discussions with persons who were interested in putting together a group of investors to acquire the Corporation.</t>
  </si>
  <si>
    <t>Academy Insurance Group Inc</t>
  </si>
  <si>
    <t>Life,health,accident insurance</t>
  </si>
  <si>
    <t>Academy Mergerco Inc</t>
  </si>
  <si>
    <t>An investor group including shareholders and members of management acquired the remaining 50% of Academy Insurance Group which it did not already own for $1.325 per share, or $46.8 mil. The agreement was sweetened from the original $1.30 per share proposal. Smith Barney Harris Upham advised a special committee of Academy's board, which had been expected to solicit other potential suitors.</t>
  </si>
  <si>
    <t>Compumat Inc</t>
  </si>
  <si>
    <t>Manufacture,whl computers</t>
  </si>
  <si>
    <t>JWP acquired Compumat for $3. 25 per share or $6.33 mil. JWP acquired the 1.896 mil shares tendered, or 97% of Compumat's common stock outstanding, through a cash tender offer, and subsequently acquired the remaining shares for the same tender offer price.</t>
  </si>
  <si>
    <t>Stuart Hall Co Inc</t>
  </si>
  <si>
    <t>Mnfr school, office supplies</t>
  </si>
  <si>
    <t>A group of investors led by Rex Wiggins, president of Stuart Hall, terminated its intended acquisition of the company. The group had announced in August 1990 that it was interested in purchasing a block of 7% (284, 300) of the company's outstanding shares and might consider the eventual acquisition of all outstanding shares. Celulosa Y Papel Ponderosa later offered to acquire a minority interest in Stuart for $6.8 mil. Chase acted as financial advisor to Stuart.</t>
  </si>
  <si>
    <t>Tony Lama Co</t>
  </si>
  <si>
    <t>Manufacture leather boots</t>
  </si>
  <si>
    <t>Justin Industries completed its tender offer to acquire Tony Lama for $9 cash per share, or a total value of $55.15 mil. The consideration included $35 mil in the assumption of liabilities. The tender offer, which expired 9/25/90, was subject to certain conditions, including the tender of at least 67% of Tony Lama's common stock. Tony Lama granted Justin an option to buy .322 mil shares at $9 per share to prevent third party ownership. A management-led bid by Equus Investments was withdrawn in March 1990 when funding collapsed. Dean Witter advised Tony Lama, and Smith Barney advised Justin.</t>
  </si>
  <si>
    <t>Northern CA Community Bancorp</t>
  </si>
  <si>
    <t>Mission Valley Bancorp</t>
  </si>
  <si>
    <t>Mission Valley Bancorp (MVB) merged with Northern California Community Bancorp (NCB) in a stock swap transaction resulting in the formation of a new company known as California Bancshares. The merger combined the companies on an equal basis with the exchange ratio determined by the book value per share of each company shortly before the merger. As of Dec 31, the book value of the two companies required each MVB share to be exchanged for one new share of California Bancshares. One NCB share would be exchanged for 1.19 new shares of Bancshares.</t>
  </si>
  <si>
    <t>AmBase Corp</t>
  </si>
  <si>
    <t>Own,op coml office bldg</t>
  </si>
  <si>
    <t>A group led by Sequoia Associates withdrew its bid to acquire 50.1% (17 mil shares) of the common stock of AmBase in a deal valued at $68.632 mil. The group, which included Hermitage Capital and Whitman Heffernan &amp; Rhein, offered $4 per share, or $68. 632 mil, and was to provide a guaranteed investment of up to $68 mil. The group would have sought the other $68 mil through a rights offering to holders consisting of zero coupon notes carrying attached warrants to purchase 34 mil AmBase shares at $2 each. The group would make a $68 mil cash infusion if the holders had rejected the plan.</t>
  </si>
  <si>
    <t>Classified Financial Corp</t>
  </si>
  <si>
    <t>Rathbone, King &amp; Seeley Inc</t>
  </si>
  <si>
    <t>Rathbone King &amp; Seeley, a unit of Classified Financial, completed the acquisition of Classified Financial, which had owned 1,024,248, or 63.1% of Rathbone's shares. Classified shareholders were to receive .1658991 shares of Rathbone's common stock for each share held, as well as any net cash of Classified, if available. Rathbone's common stock had become registered under the Securities Exchange Act of 1934.</t>
  </si>
  <si>
    <t>Sutton Holding Corp</t>
  </si>
  <si>
    <t>Though Sutton Holding withdrew a sweetened bid for the 85.5%, or 3,703,861 common shares of DeSoto it did not own for $5.75 in cash per share, or $21.3 mil, it remained interested in still acquiring it and launched a proxy fight which resulted in Sutton gaining a majority of the seats on DeSoto's board. The latest bid came after 3 others were rejected. DeSoto liquidated nearly all of its assets in the face of Sutton's hostile takeover attempt. Sutton wanted to acquire the remaining equity of DeSoto as a means of acquiring DeSoto's detergents business.</t>
  </si>
  <si>
    <t>QSR Inc</t>
  </si>
  <si>
    <t>Own,operate fast food rest</t>
  </si>
  <si>
    <t>Miami Subs Corp</t>
  </si>
  <si>
    <t>Own,op fast-food restaurants</t>
  </si>
  <si>
    <t>Miami Subs acquired QSR in a reverse merger stock transaction valued at $32.9 mil. QSR shareholders received one share of Miami Subs share for each share of QSR common stock they owned. The value was based on QSR's closing share price of $3 on Aug 29, 1990, the last full trading day prior to the announcement of the terms. Chicago Corp rendered a fairness opinion to QSR.</t>
  </si>
  <si>
    <t>Electronic Control Systems Inc</t>
  </si>
  <si>
    <t>Control Techniques PLC</t>
  </si>
  <si>
    <t>Mnfr rectifiers, motor drives</t>
  </si>
  <si>
    <t>US - Control Techniques PLC (CT )acquired Electronic Control Systems Inc (EC) for $2.43 per share, or a total value of $2.52 mil. EC became a wholly-owned subsidiary of CT.</t>
  </si>
  <si>
    <t>Hicks Muse and investor, Ray C Davis, completed a $15 cash per share tender offer to acquire Healthco for $154.26 mil, with the acceptance of 8, 352,353 shares. Hicks Muse then merged with Healthco. Hicks Muse dropped a prior $19.25 cash per share or $197. 96 mil bid when Healthco posted fourth quarter losses, preventing financing. Healthco retained Lazard Freres and Wachtell Lipton in June 1991 to seek buyers in response to Gemini Partners' solicitation to insert its own directors on Healthco's board.</t>
  </si>
  <si>
    <t>HQ Office Supplies Warehouse</t>
  </si>
  <si>
    <t>Wholesale office supplies</t>
  </si>
  <si>
    <t>HQ Office International Inc</t>
  </si>
  <si>
    <t>Whl office equipment, supplies</t>
  </si>
  <si>
    <t>HQ Office International and HQ Office Supplies Warehouse, HQ International's former parent, terminated an agreement to merge after holding discussions regarding the possible business combination. HQ International retained Bateman, Eichler, Hill, Richards to serve as its investment banking and financial advisor for the proposed transaction.</t>
  </si>
  <si>
    <t>NL Industries Inc</t>
  </si>
  <si>
    <t>Mnfr titanium dioxide pigments</t>
  </si>
  <si>
    <t>Valhi Inc</t>
  </si>
  <si>
    <t>Mnfr pigments,other chem</t>
  </si>
  <si>
    <t>Valhi terminated its agreement to acquire the remaining 34% of NL Industries which it did not already own in a stock transaction valued at $402 mil. Both parties cited poor market conditions as the reason for the termination of the deal. NL shareholders were to have received 1.6 Valhi common shares for each of NL's 22,600,000 common shares not already held. Based on Valhi's closing share price of $11.125 on 9/4/ 90, the last full trading day prior to the announcement, each NL share was valued at $17.80.</t>
  </si>
  <si>
    <t>First Federal Svgs Bk of MT</t>
  </si>
  <si>
    <t>United Svgs Bk,Great Falls,MT</t>
  </si>
  <si>
    <t>United Savings Bank and First Federal Savings Bank of Montana, in September 1990, terminated a plan to combine and reorganize into a holding company. After signing a letter of intent, the two parties were unable to agree on the restructuring plan.</t>
  </si>
  <si>
    <t>Fitchburg Gas &amp; Elec Light Co</t>
  </si>
  <si>
    <t>Fitchburg Gas &amp; Electric Light was no longer seeking an alternative to the bid made by Eastern Utilities Association to acquire Fitchburg. Merrill Lynch Capital Markets advised Fitchburg.</t>
  </si>
  <si>
    <t>Rykoff-Sexton Inc</t>
  </si>
  <si>
    <t>Wholesale grocery products</t>
  </si>
  <si>
    <t>Catalogue Marketin</t>
  </si>
  <si>
    <t>Catalogue Marketing, a subsidiary of George Hormel, in September 1990 considered acquiring SE Rykoff. Terms were not disclosed.</t>
  </si>
  <si>
    <t>Ingres Corp</t>
  </si>
  <si>
    <t>ASK Computer Systems Inc</t>
  </si>
  <si>
    <t>Develop turnkey computer sys</t>
  </si>
  <si>
    <t>ASK Computer Systems acquired Ingres for $121 mil. ASK Computer acquired 10,753, 400 shares of Ingres (94%) through a $9.25 per share cash tender offer, and it agreed to assume $15 mil in debt. Goldman Sachs was retained to advise Ingres, and Unterberg Harris De Santis was retained as dealer manager for the offer.</t>
  </si>
  <si>
    <t>Aon Corp</t>
  </si>
  <si>
    <t>Pvd risk mgmt,insurance svcs</t>
  </si>
  <si>
    <t>Aon withdrew its bid and decided not to launch another offer after Corroon &amp; Black (C&amp;B) rejected Aon's $40 per share offer, valued at $814 mil. The bid challenged a $38. 61 per share, or $786 mil, stock swap agreement which C&amp;B had reached with Willis Faber. Though the cash offer was a premium to Willis' stock offer, analysts said that tax and other considerations created a true value closer to Willis' bid. Willis later acquired Corroon with a sweetened bid that included a $2.50 per share cash dividend.</t>
  </si>
  <si>
    <t>Furr's/Bishop Cafeterias LP</t>
  </si>
  <si>
    <t>Operate cafeterias</t>
  </si>
  <si>
    <t>Michael J Levenson, chairman of Cavalcade (CV), withdrew the agreement to buy 2 mil Class B Furr's/Bishop's (FB) Cafeterias shares, for $4 in cash per share, or $8 mil. The 10% stake purchase would raise Levenson's holding from 41% to 61%. The agreement was contingent on FB's completing a self tender for the 2 mil shares it would issue Levenson. The deal was part of a complex restructuring in which FB's converted from a limited partnership to a public entity via an exchange offer. Levenson planned to combine CV and its $15.9 mil assumed debt with FB's.</t>
  </si>
  <si>
    <t>Barden Corp</t>
  </si>
  <si>
    <t>Mnfr ball bearings</t>
  </si>
  <si>
    <t>FAG Bearings Corp</t>
  </si>
  <si>
    <t>Manufacture ball bearings</t>
  </si>
  <si>
    <t>US - FAG Bearings Corp, a majority owned unit of FAG Kugelfischer Georg Schaefer, completed its tender offer to acquire all the outstanding stock of Barden Corp through for $66.50 in cash per share, or a total value of $128.4 mil. The offer had expired with substantially all of Barden's shares tendered. Completion of the offer had been based on acceptances representing 66.66% of Barden's common stock outstanding an regulatory approval.</t>
  </si>
  <si>
    <t>Hotel Investors Trust</t>
  </si>
  <si>
    <t>First West Capital Corp</t>
  </si>
  <si>
    <t>Commercial bank</t>
  </si>
  <si>
    <t>First West Capital withdrew its offer to acquire Hotel Investors Trust and Hotel Investors Corp for a sweetened $5.25 per share, $66.77 mil bid. First West had originally made an offer for $5 per share, or $60.7 mil. Park Plaza also entered an agreement with Hotel Investors for $5 per share, or $60.7 mil, but later withdrew the offer to avoid a bidding war. The board of Hotel Investors Trust announced in May 1989 that it was seeking a buyer for the company. Hotel Investors Trust traded jointly with units of Hotel Investors Corp on the New York Stock Exchange.</t>
  </si>
  <si>
    <t>Wellco Enterprises Inc</t>
  </si>
  <si>
    <t>Mnfr combat boots</t>
  </si>
  <si>
    <t>An investor group led by Clyde W Engle and affiliated with Coronet Insurance creeped its holding in Wellco Enterprises to a majority 51. 35% by acquiring 13000 shares, or 1.5%, in the open market from 9/17/90 to 10/4/90 at prices ranging from $12 per share to $12.625 per share. Based on the range high price, the increase in stake had an indicated value of .164 mil. The investor group had been acquiring small stakes of Wellco in the open market since 5/25/88.</t>
  </si>
  <si>
    <t>Advance Ross Corp</t>
  </si>
  <si>
    <t>Mnfr air-pollution ctrl devic</t>
  </si>
  <si>
    <t>NaTec Resources Inc</t>
  </si>
  <si>
    <t>Mnfr prod to control emissions</t>
  </si>
  <si>
    <t>Advance Ross rejected an acquisition offer by NaTec Resources, a unit of CRSS. NaTec Resources had agreed to acquire Advance Ross through a stock swap. The exchange ratio was not disclosed. Advance Ross rejected the offer at the advice of Allen &amp; Co, its financial advisor. NaTec owned 3.4 mil common shares, or 13.7 of Advance Ross.</t>
  </si>
  <si>
    <t>Computer Factory Inc</t>
  </si>
  <si>
    <t>Market personal computer prod</t>
  </si>
  <si>
    <t>Bay Street Group</t>
  </si>
  <si>
    <t>Merchant bank</t>
  </si>
  <si>
    <t>Bay Street Group withdrew an unsolicited offer to acquire Computer Factory for $4 in cash per share or $33.13 mil. Bay Street Group had also disclosed that it held an 860, 000 share, or a 9.9% stake in Computer Factory. Computer Factory agreed to be acquired by CompuCom Systems for $4.40 cash per share, or $38.1 mil, down from $4.50 per share, or $38.96 mil, when Computer Factory's net book value dropped. Computer Factory had retained Dean Witter Reynolds to analyze its financial alternatives. The stake was eventually lowered to 8.2%.</t>
  </si>
  <si>
    <t>Heritage Entertainment Inc</t>
  </si>
  <si>
    <t>Produce TV series and specials</t>
  </si>
  <si>
    <t>Samuel Goldwyn Co</t>
  </si>
  <si>
    <t>Samuel Goldwyn (SG) acquired Heritage Entertainment (HE) under HE's revised bankruptcy reorganization plan. SG provided HE with $1.3 mil in financing. Each HE share was exchanged for .86 SG share, a .2245 interest in a Class A warrant and a .8112 interest in a Class B warrant. Class A warrants were to entitle the holder to purchase one share for $2.20, and Class B warrants were to entitle the holder to purchase one share at a price equal to 90% of the average price of GS stock for a 30-day period ending 2 days prior to exercise.</t>
  </si>
  <si>
    <t>NBSC Corp</t>
  </si>
  <si>
    <t>Southern Natl,Winston-Salem,NC</t>
  </si>
  <si>
    <t>Southern National and NBSC terminated negotiations in which Southern National was to acquire NBSC in a stock transaction, given a value of about $53 mil by industry analysts. The exchange ratio would have been determined in a formal merger agreement. Southern estimated it would have had to exchange between 4.8 mil and 5.3 mil shares.</t>
  </si>
  <si>
    <t>Ogden Projects Inc(Ogden Corp)</t>
  </si>
  <si>
    <t>Heavy construction company</t>
  </si>
  <si>
    <t>Ogden decided to retain its 85% holding in Ogden Projects instead of spinning it off into a separate entity, a possibility it made public early in 1990. Ogden then undertook a major reshuffling of Ogden Projects' board, replacing five of the eight members and adding three others. Ogden Projects went public in 1989.</t>
  </si>
  <si>
    <t>Petroleum Helicopters Inc</t>
  </si>
  <si>
    <t>Pvd helicopter transport svcs</t>
  </si>
  <si>
    <t>Tidewater Inc</t>
  </si>
  <si>
    <t>Pvd marine support services</t>
  </si>
  <si>
    <t>Petroleum Helicopters rejected an acquisition offer from Tidewater in a stock swap valued at $195 mil. Tidewater offered its common shares, for each voting and non-voting common share of Petroleum Helicopters, which were valued at $32 per share. Tidewater was also to assume $30 mil in debt.</t>
  </si>
  <si>
    <t>MCA Inc</t>
  </si>
  <si>
    <t>Matsushita Electric Industrial</t>
  </si>
  <si>
    <t>Mnfr home audio,video prods</t>
  </si>
  <si>
    <t>US - Matsushita Electric Industrial (MEI) acquired MCA in a deal valued at $7.406 bil. MEI paid $66 per share, or $5.719 bil in a cash tender offer and assumed $1. 36 bil of MCA's debt. MEI also paid MCA's CEO Lew Wasserman $327 mil in 8.75% preferred stock with annual dividends of $28.6 mil for his 4.94 mil shares. The offer closed with 97% tendered and a full merger was consummated under Delaware law. MEI conditioned the offer on a 50% acceptance level, and the simultaneous spin-off of MCA's WWOR-TV. The agreement included a lockup option and a $75 mil termination clause.</t>
  </si>
  <si>
    <t>New Brunswick Scientific Co</t>
  </si>
  <si>
    <t>Mnfr,whl lab equip;hldg co</t>
  </si>
  <si>
    <t>An investor group including Fundamental Management, LMB Securities, and LMB Investments that held an 8.2% stake in New Brunswick Scientific disclosed in September 1990 that it was seeking a buyer for New Brunswick.</t>
  </si>
  <si>
    <t>VeloBind Inc</t>
  </si>
  <si>
    <t>Manufacture binding machines</t>
  </si>
  <si>
    <t>General Binding Corp</t>
  </si>
  <si>
    <t>Mnfr business machines, prod</t>
  </si>
  <si>
    <t>General Binding acquired VeloBind for $9.77 in cash per share, or a total of $50 mil. VeloBind announced in September 1990 that it was involved in negotiations to sell all of its outstanding common shares. The Justice Department's anti-trust division had postponed the planned completion of the merger in December 1990, but General Binding accepted terms for a consent decree from the Justice Department.</t>
  </si>
  <si>
    <t>Sunbelt Nursery Group Inc</t>
  </si>
  <si>
    <t>Operate garden supply stores</t>
  </si>
  <si>
    <t>Pier 1 Imports Inc</t>
  </si>
  <si>
    <t>Ret,whl home furnishings</t>
  </si>
  <si>
    <t>Retail Trade-Home Furnishings</t>
  </si>
  <si>
    <t>Pier 1 Imports, 51% owned by Intermark, acquired the 83% of Sunbelt Nursery that it did not already own for $12 in cash per share, or $47.67 mil. About a week after acquiring 50.4% of Sunbelt from Intermark at $12 per share, Pier 1 launched a tender offer for the remaining 32.6%. The tender gave Pier 1 a 96% cumulative holding at expiration. The remaining 4% was converted into rights to receive $12 per share in cash.</t>
  </si>
  <si>
    <t>United Employee Acquisition failed to get the proper financing to acquire, together with Marvin Davis to acquire UAL. Davis had requested to join the proposed buyout of UAL by planning to acquire 80% of UAL while the employees would acquire 20%. He then would have sold his 80% interest in 2 years in order to provide a suitable rate of return. As recently as January 1991, the employees union stated that it may renew its efforts in a better economy, though in April 1991 the pilots union signed a new labor contract.</t>
  </si>
  <si>
    <t>Wang Laboratories Inc</t>
  </si>
  <si>
    <t>Mnfr computers;consulting svcs</t>
  </si>
  <si>
    <t>Data General Corp</t>
  </si>
  <si>
    <t>Manufacture minicomputers</t>
  </si>
  <si>
    <t>In September 1990, Data General was rumored to be considering a merger with Wang Laboratories. Data General denied the rumor. The Current status of this deal is unknown.</t>
  </si>
  <si>
    <t>West Mass Bankshares Inc</t>
  </si>
  <si>
    <t>Bank of Western Massachusetts</t>
  </si>
  <si>
    <t>Pvd coml bkg svcs</t>
  </si>
  <si>
    <t>The Bank of Western Massachusetts and West Mass Bankshares terminated its signed letter of intent to merge because Bank of Western Massachusetts was unable to raise the necessary funds. The agreement indicated that the purchase price of shares was to be between $10.34 and $11.42 per share. The merger had an indicated value of up to $14.11 mil, based on the higher price. The reasons cited for the deal were the complementary nature of the products and services provided by the banks and the geographic network which would be created.</t>
  </si>
  <si>
    <t>CPC</t>
  </si>
  <si>
    <t>Mnfr,whl ind oil</t>
  </si>
  <si>
    <t>Taiwanese government-owned Chinese Petroleum ended its consideration in bidding for Union Texas Petroleum Holdings after Union Texas announced it was no longer seeking a buyer. Goldman Sachs had been retained to assist Union Texas Petroleum in any transaction.</t>
  </si>
  <si>
    <t>Park Plaza Inc</t>
  </si>
  <si>
    <t>Park Plaza, a unit of EIE International, withdrew its offer to acquire Hotel Investors Trust and Hotel Investors Corp for $5 per share, or $60.7 mil. A transaction involving Park Plaza acquiring 27 hotel properties from Hotel Investors was suspended upon completion of the $5 per share offer. Concurrently, First West Capital offered to acquire Hotel Investors for $5 per share, but later increased its bid to $5.25 per share, or $66.77 mil.</t>
  </si>
  <si>
    <t>Tonka Corp</t>
  </si>
  <si>
    <t>Mnfr, wholesale toy products</t>
  </si>
  <si>
    <t>An investor group including Malcolm Glazer withdrew its intent to seek a controlling interest or board representation in Tonka. The announcement followed the group's disclosure that it had sold its 8.6% stake in Tonka which was amassed on the open market between Aug 7 and Aug 22, 1990.</t>
  </si>
  <si>
    <t>Alta Gold Co</t>
  </si>
  <si>
    <t>Gold mining company</t>
  </si>
  <si>
    <t>Hecla Mining Co</t>
  </si>
  <si>
    <t>Silver mining company</t>
  </si>
  <si>
    <t>Hecla Mining terminated discussions with Alta Gold regarding a possible merger between the two companies. In October 1990, the two companies had entered into a letter of intent concerning a possible business combination such as a merger or joint venture.</t>
  </si>
  <si>
    <t>Brand Cos Inc</t>
  </si>
  <si>
    <t>Hazardous-waste abatement svcs</t>
  </si>
  <si>
    <t>Chemical Waste Management Inc</t>
  </si>
  <si>
    <t>Hazardous waste management</t>
  </si>
  <si>
    <t>Chemical Waste Management, a unit of Waste Management, increased its interest in Brand Cos to 52.5% by agreeing to exercise its option to acquire 2,601,272 common shares, or about 3% of the common shares outstanding, of Brand Cos for $21 mil in cash, or an average $8.07 per share. Chemical Waste had earlier acquired 49% of Brand Cos, which had undergone a 2 for 1 stock split in 1990. The acquisition of the 49% stake included an option for Chemical Waste to increase its interest to 55%, which it eventually exercised.</t>
  </si>
  <si>
    <t>Phoenix American Inc</t>
  </si>
  <si>
    <t>Provide lease financing svcs</t>
  </si>
  <si>
    <t>Phoenix Affiliates Intl Inc</t>
  </si>
  <si>
    <t>Phoenix Affiliates International (PAI), an investor group led by Phoenix American (PA) chairman Gus Constantin, took PA private in a leveraged buyout valued at $5 per share or $6.3 mil, by acquiring 1,253,850 common shares, or the 27.6% that it did not already own, through a tender offer. PAI had 3.288 mil shares controlled by Gus Constantin transferred to it by exchanging 1 share of PAI's common stock for 1 share of PA common stock. The remaining shares were acquired through the tender offer and subsequent merger. Sutro advised the board of PA.</t>
  </si>
  <si>
    <t>TNP Enterprises Inc</t>
  </si>
  <si>
    <t>Electric utility; holding co</t>
  </si>
  <si>
    <t>Irwin L. Jacobs</t>
  </si>
  <si>
    <t>Irwin Jacobs' unsolicited proposal to acquire TNP Enterprises was rejected by TNP's board. Although no price was disclosed, Mr Jacobs offered a ''substantial premium above present market value.'' While Jacobs' insisted his bid was of a friendly nature, it was rejected by TNP's president and CEO, James M Tarpley.</t>
  </si>
  <si>
    <t>Courier Dispatch Group Inc</t>
  </si>
  <si>
    <t>Provide courier services</t>
  </si>
  <si>
    <t>John H Harland Co</t>
  </si>
  <si>
    <t>John H Harland Co withdrew its offer to acquire the remaining 49% interest, or 1, 228,200 common shares in Courier Dispatch Group for $3. 75 in cash per share, or $4.6 mil. Harland had owned 24% of Courier, and concurrently raised its stake to 51% at the time of the announcement. On Nov 7, the board of Courier Dispatch rejected the offer as being inadequate. In Dec 1991, Harland sold its 51% stake in Courier Dispatch Group to CDG Acquisition in a management-led buyout.</t>
  </si>
  <si>
    <t>John H Harland Co raised its stake to a majority 51% by acquiring .676 mil shares, or 27% of Courier Dispatch from founder Patrick L Connolly and other family members for $4 per share, or $2.7 mil. John Harland indicated that it may seek a merger with Courier.</t>
  </si>
  <si>
    <t>Exolon-ESK Co</t>
  </si>
  <si>
    <t>Mnfr,whl construction material</t>
  </si>
  <si>
    <t>Wacker Chemical Corp</t>
  </si>
  <si>
    <t>Mnfr silicone,polymer,chem</t>
  </si>
  <si>
    <t>Wacker Chemical, a unit of Wacker-Chemie, acquired Exolon-ESK in a transaction valued at $9.6 mil. Wacker paid $19 and $21.375 for each of Exolon's outstanding common shares and Class A preferred stock, respectively. Wacker originally offered $17.50 for Exolon's common shares, and $19.70 for each of Exolon's Class A preferred stock. Prior to the transaction Wacker Chemical owned all of the Class A common and Series B preferred of Exolon. Morgan Guaranty acted as financial advisor to Exolon.</t>
  </si>
  <si>
    <t>Calumet Industries</t>
  </si>
  <si>
    <t>Petroleum refining</t>
  </si>
  <si>
    <t>Schneider Corp</t>
  </si>
  <si>
    <t>Produce,whl meats,poultry prod</t>
  </si>
  <si>
    <t>Heritage Group acquired Calumet Industries for $21.5 mil. Calumet announced in August 1989 that it had retained Chicago Corp to solicit offers for the company. Calumet had rejected earlier undisclosed offers.</t>
  </si>
  <si>
    <t>Pacific Western Bancshares,CA</t>
  </si>
  <si>
    <t>Pacific Western Bancshares was no longer seeking a buyer for the company. Pacific Western Bancshares had announced in October 1990 that it was considering selling the company after Alpha Capital raised its stake in Pacific Western from 5.1% to 6.8%, and was working with the company to maximize shareholder value.</t>
  </si>
  <si>
    <t>Wendy's International Inc</t>
  </si>
  <si>
    <t>Own,op rest</t>
  </si>
  <si>
    <t>Wendy's International announced in October 1990 that it was willing to entertain takeover bids from other companies. The company also added that it was not speaking with any bidders at this times.</t>
  </si>
  <si>
    <t>Central Co-Op Bk,Somerville,MA</t>
  </si>
  <si>
    <t>Haymarket Cooperative Bank</t>
  </si>
  <si>
    <t>Haymarket Co-operative Bank intended to propose a merger involving a stock swap with Central Co-operative Bank, Somerville, Massachusetts. Details had not been determined. Haymarket already owned 9.9% of Central Co- operative.</t>
  </si>
  <si>
    <t>Wedco Technology Inc</t>
  </si>
  <si>
    <t>Mnfr plastic products</t>
  </si>
  <si>
    <t>Wedco Technology terminated its search for a buyer for the company, which it had announced in October 1990. Wedco Technology had also considered other financing options including obtaining major outside investors, forming a joint venture, divestitures, or a management group buyout.</t>
  </si>
  <si>
    <t>Hasbro Inc</t>
  </si>
  <si>
    <t>Mnfr toys,games,infant prod</t>
  </si>
  <si>
    <t>Hasbro withdrew an unsolicited offer to acquire Tyco Toys for $32 per share or about $315 mil. Alfred Verrecchia, Hasbro's co-chief operating officer forced the withdrawal with objections to Tyco's chairman and CEO, Richard Gray, being named president of the combined firm. In lieu of the merger, Hasbro undertook a management reorganization in which Verrecchia was made head of domestic operations.</t>
  </si>
  <si>
    <t>First Western Financial Corp</t>
  </si>
  <si>
    <t>Savings &amp; loan holding company</t>
  </si>
  <si>
    <t>An undisclosed party terminated negotiations with First Western Financial, Las Vegas, Nevada, regarding a possible acquisition of First Western.</t>
  </si>
  <si>
    <t>Alpha Microsystems</t>
  </si>
  <si>
    <t>Mnfr computers and equipment</t>
  </si>
  <si>
    <t>Aviva France SA</t>
  </si>
  <si>
    <t>Aril Group terminated its offer to merge with Alpha Microsystems for $3.75 cash per share, or $11.63 mil. Aril had previously offered $10 mil in cash, with the remainder to be paid using 10, 500,000 common shares of Aril. Aril had requested a response to the original offer by Oct 18, 1990. Ventana International advised Aril, while Houlihan Lokey Howard &amp; Zukin advised Alpha.</t>
  </si>
  <si>
    <t>Lincoln Savings Bk,Carnegie,PA</t>
  </si>
  <si>
    <t>State savings bank</t>
  </si>
  <si>
    <t>Allegheny Valley Bancorp Inc</t>
  </si>
  <si>
    <t>Pvd commercial banking svcs</t>
  </si>
  <si>
    <t>Allegheny Valley Bancorp (AVB) and Lincoln Savings Bank (LSB) withdrew from a merger agreement which would have formed a new bank, Bancorp of Pittsburgh. Shareholders of AVB would have received a stock dividend of an additional 1.4 shares of AVB, and shareholders of LSB would have exchanged their LSB shares for 1.2 shares of AVB. Upon completion of the exchange, AVB would have changed its name to Bancorp of Pittsburgh, the holding company for the then-newly- formed Bank of Pittsburgh. The deal was subject to various approvals.</t>
  </si>
  <si>
    <t>Lockheed rejected a bid by a Harold Simmons group to work with Lockheed to take the company private for $40 in cash per share, or about $1.6 bil. Simmons, who owned 19.5% of Lockheed, had proposed that Lockheed finance about half of the acquisition price, which would not include the 19.5% stake or the 11 mil shares unallocated to Lockheed's ESOP plan. Lockheed decided that the debt financing needed would be unavailable. Simmons had said he may seek control of Lockheed in April 1989. However, Simmons gave up a second proxy fight and sold his most of his stake.</t>
  </si>
  <si>
    <t>Pan Am Corp</t>
  </si>
  <si>
    <t>Pan Am, which had announced in October 1990 that it was seeking a buyer for the company, disclosed that it was ending its search. Thomas Plaskett, chairman and CEO of Pan Am, stated that Pan Am had failed in its attempt to find a buyer. Delta Air Lines and Trans World Airlines, among others, had been in negotiations with Pan Am, with Delta eventually being successful in acquiring most of the assets of Pan Am.</t>
  </si>
  <si>
    <t>ERC Environmental and Energy</t>
  </si>
  <si>
    <t>Hazardous waste disposal svcs</t>
  </si>
  <si>
    <t>Ogden Corp</t>
  </si>
  <si>
    <t>Pvd airline support services</t>
  </si>
  <si>
    <t>Ogden, which held 61.2% of ERC Environmental and Energy Services (ERCE) through its ERC International subsidiary, acquired the remaining 38.8% interest, or about 1.984 mil common shares, of ERC for a sweetened $15.13 in cash per share, or $30 mil. Ogden had originally offered $14.75 per share but ERCE's directors negotiated a higher price before any agreement was reached. Closing of the transaction had been subject to the approval of both companies' boards and the holders of two-thirds of the remaining ERCE stock.</t>
  </si>
  <si>
    <t>Landmark Bancshares Corp</t>
  </si>
  <si>
    <t>Magna Group Inc,St. Louis,MO</t>
  </si>
  <si>
    <t>US - Magna Group (MG) acquired Landmark Bancshares (LB) in an amended stock and cash transaction valued at $10.22 per share, or $71.2 mil. LB's shareholders received $.50 cash, plus .81 MG common shares equal to $9. 80 per share. The ratio was based on MG's average closing stock price of $11.4781 during a specified 20-day period. MG had offered .855 shares of its common stock plus $.50 in cash for each Landmark share, and amended that to .898 shares of Magna plus $.50 in cash per Landmark share. The merger was approved by the Federal Reserve Board.</t>
  </si>
  <si>
    <t>Mid-American Abrasives Inc</t>
  </si>
  <si>
    <t>Manufacture abrasive products</t>
  </si>
  <si>
    <t>Mid-American Abrasives took General Metal &amp; Abrasives private at $3.25 per share, or about $1.7 mil. Mid- American president Carl Stevens owned 24% of General Metal prior to the agreement. This agreement challenged a $2.50 per share offer made by GMA Acquisition, an investor group led by insider Merle F Rydesky, which owned 250,300 shares, or about 36% of General Metal.</t>
  </si>
  <si>
    <t>Original Italian Pasta Prods</t>
  </si>
  <si>
    <t>Produce pastas,tomato sauce</t>
  </si>
  <si>
    <t>Schreiber Foods Inc</t>
  </si>
  <si>
    <t>Prod,whl cheese,cheese prod</t>
  </si>
  <si>
    <t>Schreiber Foods agreed to acquire Original Italian Pasta Products for $2.40 per share, or about $3.47 mil. In December 1990, Schreiber suspended discussions citing pending litigation.</t>
  </si>
  <si>
    <t>Pit Stop Auto Centers Inc</t>
  </si>
  <si>
    <t>Provide oil change services</t>
  </si>
  <si>
    <t>Repair Services</t>
  </si>
  <si>
    <t>Grease Monkey Holding Corp</t>
  </si>
  <si>
    <t>Own,op auto lubrication ctrs</t>
  </si>
  <si>
    <t>Grease Monkey Holding (GM) terminated its agreement to acquire Pit Stop Auto Centers (PSA) in a stock swap transaction valued at $29.38 mil. GM offered 28 common shares per PSA share. Based on Grease Monkey's closing stock price of $.09375 on Oct 23, the last full trading day prior to the announcement, each PS share was valued at $2.625. Also, Grease Monkey offered Grease Monkey warrants for 11.2 mil Grease Monkey shares exercisable at $.28 per share, or $3.13 mil through Jul 31, 1995, to holders of PS warrants.</t>
  </si>
  <si>
    <t>Care Plus Inc</t>
  </si>
  <si>
    <t>Provide home health care svcs</t>
  </si>
  <si>
    <t>HMO Physicians Health Plan</t>
  </si>
  <si>
    <t>Own and operate HMOs</t>
  </si>
  <si>
    <t>United HealthCare's majority- owned HMO Physicians Health Plan of greater St Louis signed a letter of intent to acquire Care Plus, but the acquisition was never consummated. New England Critical Care launched a challenging bid and ultimately acquired Care Plus, thus nullifying HMO Physicians Health Plan's letter of intent.</t>
  </si>
  <si>
    <t>Rose Associates (RA) withdrew its revised bid of $50.126 mil for Home &amp; City Savings Bank, Albany (H&amp;C). H&amp;C had rejected the bid which called for payment of $20 in cash per share plus $6 per share in subordinated debentures for 67% of H&amp;C's common stock, after TrustCo had submitted a bid of $72.30 mil in cash and securities for H&amp;C. RA, which held 8.8% of H&amp;C's shares, had terminated an earlier agreement to acquire H&amp;C for $28 per share, or $73.4 mil, consisting of $24 in cash plus a $4 subordinated note. RA said it may make a revised offer for H&amp;C.</t>
  </si>
  <si>
    <t>Neiman-Marcus Group Inc</t>
  </si>
  <si>
    <t>Operate ret specialty stores</t>
  </si>
  <si>
    <t>General Cinema Corp</t>
  </si>
  <si>
    <t>Own,op movie theaters,stores</t>
  </si>
  <si>
    <t>General Cinema exercised its termination right for an agreement to acquire the 40% of Neiman-Marcus Group that it did not own through a tender offer at $14.40 per share, or $242 mil. The agreement was ended after a special review committee of the Neiman-Marcus board withdrew its support for the agreement. General Cinema owned about 50% of the common stock plus convertible preferred stock which brought its total equity stake in Neiman-Marcus to about 60%. Termination was announced on the day General Cinema was to commence the offer.</t>
  </si>
  <si>
    <t>Shirt Shed Inc</t>
  </si>
  <si>
    <t>Mnfr and retail outerwear</t>
  </si>
  <si>
    <t>Signal Apparel Co</t>
  </si>
  <si>
    <t>Manufacture activewear</t>
  </si>
  <si>
    <t>Signal Apparel (SA), a unit of Walsh Greenwood, acquired Shirt Shed (SS) through a stock swap transaction valued at $14.53 mil. For each of the 4.4 mil shares of SS that SA did not already own, SS shareholders received 1 share of SA Class A common stock for every 3.5 shares of SS. Based on SA's closing stock price of $11.5 on Apr 17, the day before the announcement, each SS share was valued at $3.34. The agreement had been revised two times with the first offer valued at $24.1 mil and the second offer valued at $18 mil.</t>
  </si>
  <si>
    <t>Square D Co</t>
  </si>
  <si>
    <t>Mnfr elec switch, power equip</t>
  </si>
  <si>
    <t>Square D laid to rest in November 1990 the rumor that it had been the target of a potential takeover. The rumor was evidently started in October 1990.</t>
  </si>
  <si>
    <t>Zenith Electronics Corp</t>
  </si>
  <si>
    <t>Mnfr consumer electronics</t>
  </si>
  <si>
    <t>NYCOR Inc</t>
  </si>
  <si>
    <t>Manufacture rotary compressors</t>
  </si>
  <si>
    <t>NYCOR disclosed in October 1990 that it had acquired an 8.29% stake in Zenith Electronics. It later received Federal Trade Commission clearance to raise the holding to up to 15% of Zenith's outstanding stock. NYCOR then proposed to unseat 3 of Zenith' s directors and to have Zenith sell its consumer electronics business. A proxy fight held at Zenith's annual meeting on Apr 24 ended with Zenith retaining its 3 seats, but with NYCOR indicating it would still fight. Major shareholders of Zenith indicated that they voted against NYCOR.</t>
  </si>
  <si>
    <t>Samna Corp</t>
  </si>
  <si>
    <t>Word processing services</t>
  </si>
  <si>
    <t>Lotus Development acquired Samna through a tender offer for $18.84 per share, or $65 mil. During the tender offer, 2,988,368 Samna shares were tendered, with Lotus acquiring the remaining shares after the offer expired. Lotus was working to enhance Samna's Ami word processor to be compatible with a future version of its 1-2-3 spreadsheet product.</t>
  </si>
  <si>
    <t>Infotechnology Inc</t>
  </si>
  <si>
    <t>Management of Infotechnology in November 1990 suggested that the company be sold.</t>
  </si>
  <si>
    <t>Computer Horizons Corp</t>
  </si>
  <si>
    <t>Pvd computer consulting svcs</t>
  </si>
  <si>
    <t>CGI Corp</t>
  </si>
  <si>
    <t>CGI, a unit of Compagnie Generale d'Informatique, announced in November 1990 that it may seek control of Computer Horizons through a merger, or a proxy fight. CGI acquired 16.2% of Computer Horizons through Apr 1990. The 16.2% was near where the poison pill of Computer Horizons would take effect.</t>
  </si>
  <si>
    <t>Wholesale Club</t>
  </si>
  <si>
    <t>Membership warehouse</t>
  </si>
  <si>
    <t>Wal-Mart Stores Inc</t>
  </si>
  <si>
    <t>Own,operate retail stores</t>
  </si>
  <si>
    <t>Wal-Mart Stores acquired Wholesale Club for $21 per share or a total of $164 mil. Wholesale Club shareholders were given a choice of cash or Wal-Mart stock, to a maximum payout of 20% of the consideration ($32.8 mil) being paid in cash. Goldman Sachs provided a fairness opinion to The Wholesale Club. Wal-Mart was able to fund the cash portion from internally generated resources. Both parties agreed to a $5 mil termination fee.</t>
  </si>
  <si>
    <t>Agripost Inc</t>
  </si>
  <si>
    <t>Waste management services</t>
  </si>
  <si>
    <t>F&amp;E Resource Systems</t>
  </si>
  <si>
    <t>Pvd pollution control services</t>
  </si>
  <si>
    <t>Agripost and F&amp;E Resource Systems Technology temporarily postponed their proposed merger negotiations in order to focus their time and efforts on strengthening the financial basis of their facilities.</t>
  </si>
  <si>
    <t>Brad Ragan Inc(Goodyear Tire)</t>
  </si>
  <si>
    <t>Wholesale tires and tubes</t>
  </si>
  <si>
    <t>Goodyear Tire &amp; Rubber Co</t>
  </si>
  <si>
    <t>Mnfr,whl tires,rubbers,resins</t>
  </si>
  <si>
    <t>Goodyear Tire &amp; Rubber withdrew an unsolicited offer to acquire the remaining 25% interest, or 556,924 shares, of Brad Ragan that it did not already own for $22 per share, or $12.25 mil. Ragan's board had approved the offer but a group of its shareholders filed a class action against Goodyear. The offer was withdrawn because Goodyear found the anticipated costs of defending against the suit to be prohibitive. Ragan had retained Interstate/Johnson Lane as financial advisor, as well as to represent its board of directors.</t>
  </si>
  <si>
    <t>Realty South Investors Inc</t>
  </si>
  <si>
    <t>An investor group including Rainbow Partners, and two general partners of Rainbow, James Sight and Harold Bird said in November 1990 that it may seek control of Southern Realty Investors. The group had acquired a 5% stake in Southern Realty.</t>
  </si>
  <si>
    <t>Edison Control Corp</t>
  </si>
  <si>
    <t>Mnfr elect fault indicators</t>
  </si>
  <si>
    <t>Edco Partners Ltd</t>
  </si>
  <si>
    <t>Edco Partners, which had announced that it may seek control of Edison Control, withdrew its offer after William Finneran announced that he intended to seek control of Edison. Edco had made its intent to seek control known after having disclosed that it had increased its stake in Edison to 9.9% by acquiring 33,500 shares, or 1.6% in the open market from November 1989 to May 1990.</t>
  </si>
  <si>
    <t>Richard M Osborne disclosed in November 1990 that he had acquired a 5.3% stake in Horizon Financial Services and was flirting with possibilities of acquiring a significant minority or a majority interest in the company, as well as board representation. Horizon's board responded that it would oppose any offer for less than 100% of the outstanding share capital. As of Apr 29, Osborne had reduced his stake to .065 mil shares or 4%.</t>
  </si>
  <si>
    <t>British Gas PLC</t>
  </si>
  <si>
    <t>Gas utility</t>
  </si>
  <si>
    <t>After Union Texas Petroleum Holdings announced that it was no longer seeking a buyer, British Gas terminated its bid for Union Texas that would have been in the $3 bil range. Union Texas had put itself up for sale in April 1990 and contracted Goldman Sachs to advise it in handling offers. Chinese Petroleum, British Petroleum, Elf Aquitaine and Shell had been rumored to be bidding.</t>
  </si>
  <si>
    <t>Carlyle Group LP executed a non-binding letter of intent to acquire a majority stake in Flight International in exchange for a package of preferred and common shares. The letter stipulated that a definitive agreement must be reached by 12/15/90. Several undisclosed acquirors had previously expressed interest in acquiring Flight. One of these included a merchant banking firm seeking to structure a management-led buyout. Later the merchant bank withdrew its interest.</t>
  </si>
  <si>
    <t>Trans World Airlines Inc</t>
  </si>
  <si>
    <t>Trans World Airlines (TWA) broke off talks regarding its proposed merger with Pan Am, valued at approximately $1. 675 bil. A dispute over short- term financing scuttled the merger. The $1.675 bil included $1.50 per share in cash and $1 face value per share in preferred stock or promissory notes plus the assumption of Pan Am's $1.3 bil in liabilities. An original bid was to go into effect contingent upon the failure of UAL's $400 mil bid to acquire Pan Am's London routes. The offer was to have been open until Dec 21, 1990. The deal had been subject to regulatory approval.</t>
  </si>
  <si>
    <t>US WEST NewVector Group Inc</t>
  </si>
  <si>
    <t>Pvd cellular telecomm services</t>
  </si>
  <si>
    <t>US WEST Inc</t>
  </si>
  <si>
    <t>Provide telecommun services</t>
  </si>
  <si>
    <t>US WEST acquired the 9.7 mil Class A common shares, or 19% of US WEST NewVector Group that it did not already own in a stock swap transaction valued at $433.247 mil. US WEST offered 1.14 of US WEST common shares for each Class A common share of US WEST NewVector Group. Each of the 9.7 mil US WEST NewVector Class A shares was valued at $44.597, based on US WEST's closing share price on Mar 21, 1991, the last full trading day prior to the announcement of the amended terms. US WEST had previously offered .95 of its shares for each US WEST NewVector Class A share.</t>
  </si>
  <si>
    <t>VanFed Bancorp</t>
  </si>
  <si>
    <t>Savings bank holding company</t>
  </si>
  <si>
    <t>Washington Mutual</t>
  </si>
  <si>
    <t>US - Washington Mutual, a unit of Washington Mutual Savings Bank, merged with VanFed Bancorp by offering $19 in cash per share, or a total value of $23.22 mil. VanFed had granted Washington Mutual an option to buy .384 mil of VanFed's unissued stock for $7.75 each, and had agreed to pay a $1 mil termination fee had a third offer been accepted. The merger price could have been lowered by 4% if the amount by which the core retail deposits of VanFed fell below $238 mil. RP Financial advised VanFed. The Office of Thrift Supervision approved the merger.</t>
  </si>
  <si>
    <t>AT&amp;E Corp</t>
  </si>
  <si>
    <t>Mnfr telecommunications equip</t>
  </si>
  <si>
    <t>AT&amp;E announced in November 1990 that it was exploring the possible sale of the company.</t>
  </si>
  <si>
    <t>Avondale Industries Inc</t>
  </si>
  <si>
    <t>Mnfr,repair ships,ferryboats</t>
  </si>
  <si>
    <t>Employee Stock Ownership Plan</t>
  </si>
  <si>
    <t>Employee stock ownership plan</t>
  </si>
  <si>
    <t>Avondale Industries' employee stock ownership plan agreed to acquire 1.15 mil common shares, or approximately 8% of the company's shares outstanding, in privately negotiated transactions. As of Jan 16, 1991, 1.115 mil of the shares had been purchased, giving the ESOP approximately 54% of the shares.</t>
  </si>
  <si>
    <t>Atico Financial Corp</t>
  </si>
  <si>
    <t>Intercontinental Bank,Miami,FL</t>
  </si>
  <si>
    <t>Atico Financial merged into its 97%-owned subsidiary, Intercontinental Bank, Miami, Florida in a stock swap transaction, valued at $35.1 mil. According to the terms of the transaction, shareholders of Atico Financial received one share of Intercontinental Bank stock for each Atico share held. The shares were valued based on Atico's closing stock price of $6.25 on Nov 14, 1990, the last full day of trading before the announcement. As a result, Atico was delisted and Intercontinental Bank began trading on NASDAQ under symbol ICBK.</t>
  </si>
  <si>
    <t>Baruch-Foster Corp</t>
  </si>
  <si>
    <t>Hadson Energy Resources Corp</t>
  </si>
  <si>
    <t>Hadson Energy Resources acquired the outstanding common shares of Baruch- Foster for $6.24 in cash per share, or $16.9 mil. Baruch- Foster disclosed earlier that it had received several unsolicited offers from oil and gas companies regarding a merger of sale or assets. Hadson lowered its offer from $6.70 per share, as per the letter of intent, in part to reflect new estimates of working capital and debt at closing. The agreement provided for a closing date of no later than 01/31/90. Rotan Mosle acted as financial advisor to Baruch- Foster.</t>
  </si>
  <si>
    <t>MIP Properties Inc</t>
  </si>
  <si>
    <t>In November 1990, MIP Properties terminated plans its consideration of long- term strategies such as mergers, business combinations, or restructuring plans to help maintain its liquidity in light of the deteriorating real estate and financial markets. The company retained Merrill Lynch Capital Markets to explore potential options.</t>
  </si>
  <si>
    <t>Regional Federal Bancorp Inc</t>
  </si>
  <si>
    <t>Indiana United Bancorp,IN</t>
  </si>
  <si>
    <t>Regional Federal Bancorp (RFB) merged into Indiana United Bancorp (IUB) in a cash and stock swap transaction valued at $17.5 mil. Under the terms of the agreement, IUB paid $16.50 in cash, plus .5 IUB common shares in exchange for each RFB share. Based on IUB's stock price of $13 on Nov 14, the last full trading day prior to the announcement, each RFB share was valued at a total of $23. As a result of the transaction, RFB held a 33% stake in IUB.</t>
  </si>
  <si>
    <t>Triangle Corp</t>
  </si>
  <si>
    <t>Mnfr mechanics hand tools</t>
  </si>
  <si>
    <t>An investor group including the Rothenberger family said in November 1990 that it was interested in purchasing common stock or other newly- issued securities from Triangle for cash, and that it may seek to acquire Triangle. As a result of the transaction, the group was to seek four seats on Triangle's board of directors, thereby increasing the total number to twelve from eight.</t>
  </si>
  <si>
    <t>CompuCom SystemsInc(Safeguard)</t>
  </si>
  <si>
    <t>Whl computer equip</t>
  </si>
  <si>
    <t>CompuCom Systems acquired Computer Factory for $4.40 per share in cash, or $38.1 mil. This offer followed the withdrawal of Bay Street Group's $4 per share, $34.6 mil bid for Computer Factory. CompuCom's bid was originally $4.50 cash per share, or $38. 96, but was adjusted based on a lower net book value on Dec 31, 1990. Bay Street's initial offer prompted Computer Factory to retain Dean Witter to solicit buyers. Before the bid lapsed, Bay Street joined with Melissa Cain Trust and Philip J Gioia, combining to hold a 9.9% stake.</t>
  </si>
  <si>
    <t>Heldor Industries Inc</t>
  </si>
  <si>
    <t>Mnfr swimming pools, chemicals</t>
  </si>
  <si>
    <t>Aqua Fab Industries Inc</t>
  </si>
  <si>
    <t>Whl swimming pool and spa</t>
  </si>
  <si>
    <t>Aqua Fab Industries terminated a letter of intent to acquire Heldor Industries. As a result of the termination, Heldor engaged Coopers &amp; Lybrand to assist in developing alternative financing strategies. If it did not succeed in securing alternative financing by 11/ 30/90, Heldor said it would have to file for bankruptcy protection. In July 1990, a group including certain members of Girard's management raised its stake in Heldor to 6.36%, and indicated it may seek control of the company.</t>
  </si>
  <si>
    <t>Shared Medical Systems Corp</t>
  </si>
  <si>
    <t>Pvd computer mgmt svcs</t>
  </si>
  <si>
    <t>David J Greene &amp; Company, holder of a 10.5% stake, or 2, 358,700 shares, suggested in November 1990 that Shared Medical Systems should seek a merger partner and retained Broadview Associates as financial advisor.</t>
  </si>
  <si>
    <t>Apco Argentina Inc</t>
  </si>
  <si>
    <t>Oil,gas expl,prodn</t>
  </si>
  <si>
    <t>The Williams Cos Inc</t>
  </si>
  <si>
    <t>Pvd gas distribution services</t>
  </si>
  <si>
    <t>Williams raised its stake in Apco Argentina to 62.44% by acquiring 1,519,560 ordinary shares, or about 20.7% of the company's ordinary shares outstanding, from Triton Energy for $16.7 mil. Triton Energy's decision to sell was the result of a restructuring plan announced in July 1990.</t>
  </si>
  <si>
    <t>Designs Inc</t>
  </si>
  <si>
    <t>Own,op ret clothing stores</t>
  </si>
  <si>
    <t>Designs announced in September 1991 that it was ending its search for a buyer. Designs retained Kidder Peabody in December 1990 to explore the possible sale, restructuring, or recapitalization of the company.</t>
  </si>
  <si>
    <t>Investor James P Lennane, holder of 7.45% of ASK Computer Systems, announced in November 1990 that he may seek control of the company through a tender offer, or through open market and privately negotiated transactions. He also said he may seek board representation.</t>
  </si>
  <si>
    <t>Eastern Co</t>
  </si>
  <si>
    <t>Mnfr hardware prod</t>
  </si>
  <si>
    <t>An investor group including Ernst Ohnell and Miles and Carolyn Jennings suggested in November 1990 that Eastern, in which the group held a 5. 9% stake, seek a buyer for the company.</t>
  </si>
  <si>
    <t>Georgia-Pacific Corp</t>
  </si>
  <si>
    <t>Mnfr,whl bldg materials</t>
  </si>
  <si>
    <t>An ex-employee whose job was eliminated when Georgia- Pacific acquired Great Northern Nekoosa issued a news release stating that the employee stock ownership plan of Georgia-Pacific was proposing to acquire the company and take it private. Georgia-Pacific dismissed the proposal as unrealistic and as having no chance of being successful. Georgia-Pacific planned to ask the SEC to investigate the matter. The proposed acquisition would have represented the largest ESOP buyout of a public company in US corporate history.</t>
  </si>
  <si>
    <t>Long Island City Financial</t>
  </si>
  <si>
    <t>An undisclosed national thrift bank withdrew its stock swap merger bid for Long Island City Financial after the acquiror's stock price dropped. Long Island City Financial announced in November 1990 that it was seeking a buyer for the company. Another bid for Long Island City Financial failed to receive regulatory approval. Merrill Lynch Capital Markets advised Long Island City Financial.</t>
  </si>
  <si>
    <t>Ameron Inc</t>
  </si>
  <si>
    <t>Mnfr piping systems</t>
  </si>
  <si>
    <t>A group including Mills- Dowling Investment and Hawaii Investor Group-Rock, disclosed in November 1990 that it had acquired an 8.52% stake in Ameron and might seek to acquire control of the company through a merger or tender offer. The group was considering soliciting additional investors to obtain further financing.</t>
  </si>
  <si>
    <t>Ozite Corp</t>
  </si>
  <si>
    <t>Mnfr carpets,twine</t>
  </si>
  <si>
    <t>US - Ozite withdrew its agreement to acquire Vader Group in a stock and cash deal with an indicated value of $6.5 mil. Ozite was to offer Vader shareholders the option of taking either .5 shares of Ozite common and . 02 shares of Ozite preferred for every share or $2.85 in cash for every share. Merger talks began after Vader and Prior Management ended merger talks because of failure to reach an agreement. Paribas acted as financial advisor and rendered a fairness opinion to Vader.</t>
  </si>
  <si>
    <t>MGM-Pathe Communications Co</t>
  </si>
  <si>
    <t>MGM-Pathe Communications' chairman, Giancarlo Parretti, contacted MCA with a letter of approach but was unsuccessful when Matsushita Electric Industrial (MEI) acquired MCA for $7.406 bil. Parretti sent the letter the day after the agreement with MEI was announced. According to that agreement, MCA would have had to pay up to $125 mil in fees and expenses should it accept a higher unsolicited bid. MEI was also granted the option to acquire 16.7 mil MCA shares at $71 each. Pathe had trouble obtaining financing for the Nov 1990 $1.36 bil acquisition of MGM/UA.</t>
  </si>
  <si>
    <t>Uni-Marts Inc</t>
  </si>
  <si>
    <t>Operate convenience stores</t>
  </si>
  <si>
    <t>Retail Trade-Food Stores</t>
  </si>
  <si>
    <t>Uni-Marts considered the possible sale of the company but decided not to proceed with contacting any possible buyers. In Nov 1990, Uni- Marts retained PaineWebber to explore methods of enhancing stockholder value. Other alternatives explored included the creation of an employee stock ownership plan and the sale of certain assets of the company. Uni- Marts operated 341 convenience stores.</t>
  </si>
  <si>
    <t>CACI International Inc</t>
  </si>
  <si>
    <t>Pvd information tech services</t>
  </si>
  <si>
    <t>CACI International rejected a bid of $4.50 per share, or $53.56 mil, from an investor group including LHN Group. CACI announced in Oct 1989 that Parsow Partnership and Elkhorn Partners, a group which owned 10.4%, requested that CACI seek a buyer for the company.</t>
  </si>
  <si>
    <t>Celutel Inc</t>
  </si>
  <si>
    <t>Pvd cellular telephone svcs</t>
  </si>
  <si>
    <t>Continental Illinois Venture</t>
  </si>
  <si>
    <t>Continental Illinois Venture, a unit of Continental Bank executed a definitive agreement to acquire a 50.35% interest on a fully diluted basis in Celutel consisting of convertible preferred shares and Class A warrants for $22.5 mil. The convertible preferred shares were to be convertible into 200 common shares for a total of 4.5 mil new common shares. The warrants were to be exercisable, for five years from Dec 1990, at $.2 per share for 891,520 shares.</t>
  </si>
  <si>
    <t>Diceon Electronics Inc</t>
  </si>
  <si>
    <t>Manufacture circuit boards</t>
  </si>
  <si>
    <t>Calvary Holdings</t>
  </si>
  <si>
    <t>Calvary Holdings withdrew its tender offer for Diceon Electronics for $5.25 per share, or $26.7 mil. All shares tendered into the offer were returned to tendering shareholders. Diceon's board had rejected the buyout offer as financially, inadequate forcing Calvary Holdings to instigate a proxy fight for control of Diceon. Previously, Calvary offered to acquire the shares of management for the same $5.25 per share. That offer expired Nov 25, 1990.</t>
  </si>
  <si>
    <t>Society for Savings Bancorp</t>
  </si>
  <si>
    <t>Society for Savings Bancorp announced that it had terminated the process of seeking a buyer for the company. In November 1990, Society for Savings Bancorp, in accordance with its restructuring plan intended to sell assets or the entire company. Society retained Goldman Sachs to evaluate alternatives.</t>
  </si>
  <si>
    <t>NCR Corp</t>
  </si>
  <si>
    <t>Manufacture business machines</t>
  </si>
  <si>
    <t>American Telephone &amp; Telegraph</t>
  </si>
  <si>
    <t>Telecommunications company</t>
  </si>
  <si>
    <t>American Telephone &amp; Telegraph (AT&amp;T) acquired NCR in a stock swap valued at a sweetened $110.74 per share, or $7.8934 bil. NCR holders received 2.839 shares of AT&amp;T stock for each NCR share held. The deal included an extra 6. 3 mil NCR shares sold to Capital Group. This offer was made after several others, including a hostile tender offer at $90 in cash per share, were rejected. NCR increased its poison pill trigger to 20% and took steps to protect itself in a proxy fight, as AT&amp;T fought to take control of the board, although it had succeeded in gaining only 4 seats.</t>
  </si>
  <si>
    <t>New England Critical Care Inc</t>
  </si>
  <si>
    <t>Provide infusion therapies</t>
  </si>
  <si>
    <t>New England Critical Care (NECC) acquired Care Plus (CP) in a stock swap pooling of interests valued at $132.4 mil. Under the terms of the agreement, NECC offered .775 of its shares for each of CP's shares. Based on NECC's closing stock price of $26 on Nov 30, the last full trading day prior to the announcement, each CP share was valued at $20.15. Alex Brown &amp; Sons and Morgan Stanley advised CP and NECC, respectively. HMO Physicians Health Plan had signed a letter of intent to acquire CP, which presented a challenge to NECC's offer.</t>
  </si>
  <si>
    <t>Gleason Corp</t>
  </si>
  <si>
    <t>Mnfr bevel gear machinery</t>
  </si>
  <si>
    <t>In January 1992, an investor group that included Field Point Capital Management, RUTCO and Tinicum Enterprises disclosed that it had raised its stake in Gleason to 10. 92%. Previously in December 1990, Field Point had disclosed a 9.97% stake in Gleason and that it might seek to acquire control of the company. Field Point had asked Gleason to set a shareholder vote at the 1991 annual meeting on a proposal urging the board to terminate the company's shareholder rights plan. Gleason's board did not support a sale of the company and opposed the resolution.</t>
  </si>
  <si>
    <t>Healthcare International Inc</t>
  </si>
  <si>
    <t>Own,operate hospitals</t>
  </si>
  <si>
    <t>HealthVest</t>
  </si>
  <si>
    <t>US - HealthVest's (HV) acquired a 96% shareholder of bankrupt Healthcare International (HI), a healthcare provider. Under terms of the plan, HV paid pay off the secured claims of Greenery Rehabilitation Group and the IRS. Subordinated bondholders received 4% of the reorganized entity. HV also tried to file a reorganization plan for HC's subsidiary hospitals, but was denied the competing submission by bankruptcy court. HV acquired a partial interest from Greenery Rehabilitation Group.</t>
  </si>
  <si>
    <t>Maryland Federal Bancorp Inc</t>
  </si>
  <si>
    <t>Providence S&amp;L Assn,Vienna,VA</t>
  </si>
  <si>
    <t>Federal savings and loan</t>
  </si>
  <si>
    <t>Providence Savings &amp; Loan Association, Vienna, Virginia, a unit of Miller &amp; Smith Holdings, was rejected in its offer to acquire Maryland Federal Bancorp for $9 per share or $27.3 mil. The offer was termed as inadequate. Under the terms of the unsolicited offer, Maryland Federal was to pay a $4.50 dividend to shareholders, and the remaining $4.50 was to be in the form of a ten-year 10% debenture with credit enhancement.</t>
  </si>
  <si>
    <t>MidSouth Corp</t>
  </si>
  <si>
    <t>Railroad holding company</t>
  </si>
  <si>
    <t>Illinois Central Corp</t>
  </si>
  <si>
    <t>Railroad transportation svcs</t>
  </si>
  <si>
    <t>Illinois Central withdrew an agreement to acquire MidSouth in a stock swap transaction valued at $49.5 mil. Earlier, the deal had been rejected by MidSouth as inadequate. Illinois announced it would continue to try to acquire MidSouth. Under the terms of the unsolicited offer, MidSouth shareholders were to have received between 3.7 mil and 4.4 mil new shares of Illinois Central at a ratio between .5 to .6 shares of Illinois Central for each share of MidSouth. The target price that Illinois Central was to have paid for each share of MidSouth was $6.60.</t>
  </si>
  <si>
    <t>Samsung Electronics Co Ltd</t>
  </si>
  <si>
    <t>Mnfr,whl electronic products</t>
  </si>
  <si>
    <t>South Korea</t>
  </si>
  <si>
    <t>Samsung Electronics was rumored in December 1990 to be interested in acquiring Orion Pictures, 68.4%-held by Metromedia Broadcasting, for an estimated $300 mil. The rumor was flatly denied by Samsung. It was not clear as to whether Samsung was seeking the entire company, or only Metromedia's 68.4% holding. Orion had previously retained Salomon Brothers to help it raise additional equity capital.</t>
  </si>
  <si>
    <t>ConVest Energy Partners Ltd</t>
  </si>
  <si>
    <t>ConVest Energy Corp</t>
  </si>
  <si>
    <t>ConVest Energy Partners (CEP) merged into a newly-formed company, ConVest Energy Corp (CEC) for $37.73 mil in common stock. Under the terms of the merger, two units of CEP were to become one common share of CEC. Based on CEP's net asset value on 12/31/89, each unit was worth $6.38 of new common stock. Petrie Parkman expressed a fairness opinion on the deal. New London offered to buy the partnership for $5 per unit cash, but was rejected by ConVest.</t>
  </si>
  <si>
    <t>Diversified Industries Inc</t>
  </si>
  <si>
    <t>Whl metal products,scrap metal</t>
  </si>
  <si>
    <t>Augustus Beratung-und</t>
  </si>
  <si>
    <t>Augustus Beratung-und Beteiligungs disclosed in December 1990 that it had acquired a 6.7% stake in Diversified Industries, and might seek to acquire the company through a tender offer or a proxy fight.</t>
  </si>
  <si>
    <t>First Interstate Bancorp, Los Angelas, California insisted in July 1991 that it was not seeking a merger partner, despite taking such provisions as cutting its dividend and increasing its loan loss reserves. Investor Marvin Davis wrote a letter in December 1990 to the board of First Interstate Bancorp and urged the company to seek a buyer for itself.</t>
  </si>
  <si>
    <t>It was rumored in December 1990 that a Japanese investor group was going to offer $75 per share, or $3.6 bil, for Hilton Hotels. Hilton was not aware of the offer, and asserted that it was not for sale. The Current status of this deal is unknown.</t>
  </si>
  <si>
    <t>Interim Systems Corp</t>
  </si>
  <si>
    <t>Employment agency</t>
  </si>
  <si>
    <t>H&amp;R Block Inc</t>
  </si>
  <si>
    <t>Pvd tax,finl advisory svcs</t>
  </si>
  <si>
    <t>Personal Services</t>
  </si>
  <si>
    <t>US - H&amp;R Block acquired Interim Systems for $1.66 per share, or $45.71 mil in a cash tender offer. The offer, which expired on 1/17/91, was conditioned on a majority of shares tendered. Fred R Sullivan, Interim's president, had agreed to tender his 3. 731 mil shares, or 13.8% of Interim's shares outstanding, in a stock purchase agreement. Interim also had agreed to pay Block a $1.425 mil termination fee should a third party acquire control of the company. Bear Stearns advised Interim and Cumberland Investment Group advised H&amp;R Block.</t>
  </si>
  <si>
    <t>Keegan Management(Worth Corp)</t>
  </si>
  <si>
    <t>Operate weight loss centers</t>
  </si>
  <si>
    <t>Worth Corp</t>
  </si>
  <si>
    <t>Operate fitness centers</t>
  </si>
  <si>
    <t>Keegan Management's board terminated a merger agreement where Worth agreed to acquire the remaining 33.6% of Keegan Management in a transaction value at $2.5 mil. Under the terms of the agreement, Worth was to have paid $1 in cash plus .4 shares of Worth common stock for each of the 1.4 mil shares of Keegan that it did not already own. Based on Worth's closing stock price of $2 on Dec 12, the last full trading day prior to the announcement, plus the $1 in cash per share, each Keegan share was valued at $1. 80.</t>
  </si>
  <si>
    <t>Reading &amp; Bates Corp</t>
  </si>
  <si>
    <t>Pvd oil,gas drilling services</t>
  </si>
  <si>
    <t>Creditors</t>
  </si>
  <si>
    <t>US - Reading &amp; Bates (RB), a provider of oil and gas drilling services, completed its debt restructuring with creditors (CR). Upon completion, CR held a 90% interest in the restructured RB. Chase Manhattan, which held $52 mil of RB's debt, was said to be opposed to the plan even though they received 16.3% of the newly recapitalized company.</t>
  </si>
  <si>
    <t>Vista Chemical Co</t>
  </si>
  <si>
    <t>Mnfr surfactant intermediates</t>
  </si>
  <si>
    <t>RWE Dea AG</t>
  </si>
  <si>
    <t>Oil,gas expl,prodn company</t>
  </si>
  <si>
    <t>RWE-DEA Mineraloel und Chemie, a unit of RWE, acquired Vista Chemical for $55 in cash per share, or $582 mil. RWE accepted 98.9%, or 10.5 mil shares, through a tender offer, and the remaining shares were purchased later under the same terms. The offer had been conditional on the receipt of at least two- thirds of Vista's shares. Morgan Grenfell and Gleacher were retained as dealer managers, and Morgan Stanley was retained by Vista Chemical as financial advisor.</t>
  </si>
  <si>
    <t>Barton Industries Inc</t>
  </si>
  <si>
    <t>Mnfr and wholesale gate valves</t>
  </si>
  <si>
    <t>Jack J Camarda, holder of 7. 2% of Barton Industries, terminated his efforts, announced in December 1990, to have the company seek a merger partner or some other business combination in order to maximize shareholder value.</t>
  </si>
  <si>
    <t>OIS Optical Imaging Systems</t>
  </si>
  <si>
    <t>Mnfr,whl matrix liquid display</t>
  </si>
  <si>
    <t>Guardian Industries Corp</t>
  </si>
  <si>
    <t>Manufacture glass products</t>
  </si>
  <si>
    <t>Guardian Industries (GI) exercised its option raise its interest to 51% from 29% in OIS Optical Imaging Systems (OIS) for $10.5 mil. Earlier, GI acquired a 29% stake in OIS $10.5 mil. Concurrently, GI converted some OIS convertible securities into common stock.</t>
  </si>
  <si>
    <t>Fabricland Inc</t>
  </si>
  <si>
    <t>Own and operate fabric stores</t>
  </si>
  <si>
    <t>House of Fabrics Inc</t>
  </si>
  <si>
    <t>Own,op retail fabrics stores</t>
  </si>
  <si>
    <t>House of Fabrics (HF) acquired Fabricland in a stock swap valued at $54.71 mil. The sweetened agreement targeted an exchange ratio which gave Fabricland shareholders $17.25 of HF stock. Fabricland stockholders ended up receiving .8314 of a HF share since HF's average stock price during the 15 days prior to the merger was over $20.75 per share. A previous hostile tender offer of $13. 50 per share had been rejected.</t>
  </si>
  <si>
    <t>Highland Superstores</t>
  </si>
  <si>
    <t>Consumer electronics stores</t>
  </si>
  <si>
    <t>Bankrupt Highland Superstores filed a bankruptcy reorganization as it had failed to restructure or find a merger partner. The company subsequently went into liquidation. In December 1990, Highland retained Lehman Brothers to assist in exploring a merger, divestiture, or a possible restructuring for the company to raise new equity capital.</t>
  </si>
  <si>
    <t>Index Technology Corp</t>
  </si>
  <si>
    <t>Develop computer software</t>
  </si>
  <si>
    <t>SAGE Software Inc</t>
  </si>
  <si>
    <t>SAGE Software acquired Index Technology in a stock swap transaction valued at $52.5 mil. Index shareholders received 1.059 shares of SAGE in exchange for each share of Index. In addition, SAGE offered 1 preferred share of SAGE for each preferred share of Index. Based on SAGE's closing stock price of $5.75 on Dec 17, the last full trading day prior to the announcement, each of Index's 4.5 mil shares was valued at $11.65. The transaction was subject to regulatory approval. Index was advised by Hambrecht &amp; Quist.</t>
  </si>
  <si>
    <t>American Vision Centers Inc</t>
  </si>
  <si>
    <t>Operate retail optical stores</t>
  </si>
  <si>
    <t>MJ Rosenthal &amp; Associates Inc</t>
  </si>
  <si>
    <t>MJ Rosenthal &amp; Associates acquired Balfour Maclaine's 74% interest in American Vision Centers for $1.85 mil. As part of a restructuring, Balfour Maclaine had announced in November 1990 that it was seeking a buyer for its interest in American Vision Centers.</t>
  </si>
  <si>
    <t>Bank of New England,Boston,MA</t>
  </si>
  <si>
    <t>Bondholders</t>
  </si>
  <si>
    <t>US - Bankrupt Bank of New England Corp(BNE), Boston, Massachusetts, a commercial bank, withdrew its debt restructuring with bondholders, who, upon completion, were to hold a 92% interest in the restructured BNE.</t>
  </si>
  <si>
    <t>Belvedere Corp</t>
  </si>
  <si>
    <t>Reinsurance company</t>
  </si>
  <si>
    <t>Storebrand America Inc</t>
  </si>
  <si>
    <t>Insurance agency</t>
  </si>
  <si>
    <t>Storebrand America, a unit of Storebrand's Storebrand International Insurance, raised its interest in Belvedere from 49.9% to 54.9% by purchasing 290,000 shares, in open market and block transactions, for an indicated $.69 mil. The stake increase was valued based on Belvedere's closing stock price of $2.375 on Dec 20, the last full trading day prior to the announcement. Storebrand America received the 49.9% stake from its wholly owned subsidiary, Christiania Holding.</t>
  </si>
  <si>
    <t>Benihana National Corp</t>
  </si>
  <si>
    <t>Restaurants; frozen foods</t>
  </si>
  <si>
    <t>The board of Benihana National received a letter in December 1990 from shareholder Stephan F Anfang which suggested that the company restructure, and terminate its relationship with Benihana of Tokyo, or put itself up for sale.</t>
  </si>
  <si>
    <t>Office Club</t>
  </si>
  <si>
    <t>Office Depot Inc</t>
  </si>
  <si>
    <t>Operate stationery stores</t>
  </si>
  <si>
    <t>Office Depot (OD) acquired Office Club (OC) in a swap transaction valued at $144 mil. OD offered 1.194 of its own shares in exchange for each share of OC. Based on OD's closing stock price of $16.75 on Dec 19, the last full trading day prior to the announcement, each of OC's 7. 2 mil shares was valued at $20. In addition, OD assumed the options of OC which represented about 675,000 OC shares. OD was advised by Peter J Solomon Co and Merrill Lynch, and OC was advised by Salomon Brothers and William Blair &amp; Co.</t>
  </si>
  <si>
    <t>Casual Male Corp</t>
  </si>
  <si>
    <t>Retail men's clothing</t>
  </si>
  <si>
    <t>J Baker Inc</t>
  </si>
  <si>
    <t>Own,operate shoe stores</t>
  </si>
  <si>
    <t>J Baker acquired Casual Male for $.25 per share, up to a maximum $1000 per shareholder. Shareholders were also given the option for a pro rata share of 10% of the net after- tax earnings of the subsidiary for seven years from the date of consummation Feb 2, 1991. Prior to seeking protection under Chapter 11, Casual Male had received acquisition offers from several potential acquirors, and retained Financo and Alex Brown to explore the strategic and financing alternatives including a possible sale.</t>
  </si>
  <si>
    <t>Cohasset Svgs Bk,Cohasset,MA</t>
  </si>
  <si>
    <t>Hingham Institution for Svgs</t>
  </si>
  <si>
    <t>Cohasset Savings Bank, Cohasset, Massachusetts, and Hingham Institution for Savings ended their merger negotiations. Under the terms of the agreement, Cohasset shareholders were to receive Hingham common stock in exchange for their Cohasset shares.</t>
  </si>
  <si>
    <t>Knowledge Data Systems Inc</t>
  </si>
  <si>
    <t>American Information Tech</t>
  </si>
  <si>
    <t>US - American Information Technologies acquired Knowledge Data Systems' in a tender offer at $.94 in cash per share, or $29.6 mil. At expiration on January 31, 1991, 91% of Knowledge Data's shares had been committed. American acquired the remaining shares in a merger at the tender price. Under the terms of the agreement, American had been granted an option by Knowledge Data and certain shareholders to acquire up to 40% of the shares outstanding on a fully diluted basis at the the tender price.</t>
  </si>
  <si>
    <t>Iowa Acquisition Group</t>
  </si>
  <si>
    <t>Iowa Acquisition Group failed to acquire Pan Am in a transaction valued at $1.75 bil. Thomas Plaskett, chairman and CEO of Pan Am, announced that attempts to find a buyer for Pan Am had failed. The $1.75 bil purchase price had included the assumption of $1.3 bil of Pan Am's debt plus $450 mil in cash for Pan Am's 150 mil common shares outstanding. Pan Am had announced in October 1990 that it was seeking a buyer for the company. Trans World Airlines and Delta Air Lines also were interested in Pan Am.</t>
  </si>
  <si>
    <t>The combined trading entity of Hotel Investors rejected a proposal by investor Leonard Ross to acquire Hotel Investors and Hotel Investors Trust, which trade together, in a transaction with an indicated value of $13.7 mil. Leonard Ross held a 9.8% stake in the companies and proposed to acquire each remaining share for $1.25 in cash and stock in a newly- formed subsidiary, Nevada, into which all of the assets were to be placed. In May 1989, the companies announced that they were seeking a buyer.</t>
  </si>
  <si>
    <t>Perini Investment Properties</t>
  </si>
  <si>
    <t>Operate real estate properties</t>
  </si>
  <si>
    <t>Perini Investment Properties retained Lazard Freres as financial advisor to assist the firms exploration of a possible restructuring, merger, or sale.</t>
  </si>
  <si>
    <t>Pentane Partners LP</t>
  </si>
  <si>
    <t>Investment partnership</t>
  </si>
  <si>
    <t>In December 1990, Pentane Partners announced that they might seek control of Tesoro Petroleum.</t>
  </si>
  <si>
    <t>Sandy Corp</t>
  </si>
  <si>
    <t>Pvd corporate training svcs</t>
  </si>
  <si>
    <t>Westcott Communications Inc</t>
  </si>
  <si>
    <t>Westcott Communications withdrew it intent to acquire the remaining interest in Sandy that it didn't already own. Westcott Communications disclosed that it held a 6. 38% stake (142,900 shares) in Sandy and had proposed seeking control of the company, offering $4.125 per share, for a total indicated value of $8.8 mil. The $8.8 mil proposed purchase price included 41,400 shares acquired in Dec 1990, with an estimated value of $.05 mil. Westcott disclosed in Nov 1991 that it sold its total holding in Sandy.</t>
  </si>
  <si>
    <t>Chrysler Corp</t>
  </si>
  <si>
    <t>Manufacture automobiles</t>
  </si>
  <si>
    <t>Ford Motor Co</t>
  </si>
  <si>
    <t>Mnfr,whl auto,trucks,auto part</t>
  </si>
  <si>
    <t>It was revealed in July 1991 that in the winter of 1991, Ford Motor considered the acquisition of Chrysler. Ford studied the feasibility of acquiring Chrysler shortly after Chrysler's merger negotiations with Fiat collapsed. The merger topic was a source of conflict at Chrysler. While some executives at Chrysler felt that the company could and should remain independent, other executives, including Lee Iacocca, felt that it needed a partner or a parent. Chrysler had a $3.6 bil unfunded pension liability.</t>
  </si>
  <si>
    <t>Graphic Scanning Corp</t>
  </si>
  <si>
    <t>Telecommun, DP and paging svcs</t>
  </si>
  <si>
    <t>BellSouth Enterprises Inc</t>
  </si>
  <si>
    <t>Pvd telecom svcs</t>
  </si>
  <si>
    <t>BellSouth Enterprises acquired Graphic Scanning for $5.18 in cash per share and a $45.5 mil loan, or $213.7 mil. The price was lowered from $5.30 in cash to reflect a decline in profits from Sep 30, 1990 to the proxy date. These terms were revised from $5.5 per share after BellSouth completed a review of the transaction. Mario Gabelli's Gamco Investors had pledged to vote its significant stake in favor of the offer. Graphic shareholders were to also receive an interest in a liquidating trust that was set up to sell certain assets of BellSouth.</t>
  </si>
  <si>
    <t>Ocean Drilling &amp; Exploration</t>
  </si>
  <si>
    <t>Murphy Oil Corp</t>
  </si>
  <si>
    <t>Oil,gas exploration,prodn co</t>
  </si>
  <si>
    <t>Murphy Oil (MO) acquired the remaining 39% of Ocean Drilling &amp; Exploration (ODECO) that it did not already own in a hostile $391.8 mil tender. MO, which offered .55 shares for each of ODECO's 20, 094,000 shares, accepted 17, 585,499 of the shares through a tender offer. Based on MO's closing stock price of $35.25 on May 31, the last day of trading before the announcement, each share of ODECO was valued at $19.388. ODECO shares not tendered were acquired later under the same terms. Smith Barney was retained as dealer manager. Goldman Sachs advised ODECO.</t>
  </si>
  <si>
    <t>BankAmerica Corp</t>
  </si>
  <si>
    <t>BankAmerica lost the bidding war for the failed Bank of New England to a victorious team including Fleet/Norstar Financial and Kohlberg Kravis Roberts. Sources close to the negotiations said that BankAmerica had bid between $600 and $750 mil for Bank of New England, which had been seized by the Federal Deposit Insurance Corp in January. Although the BankAmerica bid was strong, the Fleet/Norstar group was chosen by the FDIC for its regional proximity.</t>
  </si>
  <si>
    <t>BANC ONE Corp,Columbus,Ohio</t>
  </si>
  <si>
    <t>BANC ONE decided not to bid on the insolvent Bank of New England, which was seized by the Federal Deposit Insurance Corp in January. BANC ONE cited uncertainty about the New England economy as its reason for abstaining from the bidding. The acquisition would have included the $13.2 bil Bank of New England, the $7.7 bil Connecticut Bank and Trust, and the $1.1 bil Maine subsidiary.</t>
  </si>
  <si>
    <t>Bio-Vascular Inc</t>
  </si>
  <si>
    <t>Mnfr cardio-vascular products</t>
  </si>
  <si>
    <t>Cadema Corp</t>
  </si>
  <si>
    <t>Mnfr radiopharmaceuticals</t>
  </si>
  <si>
    <t>In January 1991, Cadema disclosed that it held an 11. 28% stake in Bio-Vascular and announced that it might seek control of the firm.</t>
  </si>
  <si>
    <t>Tracinda Corp</t>
  </si>
  <si>
    <t>Invest co</t>
  </si>
  <si>
    <t>Tracinda, Kirk Kerkorian's vehicle, declined to bid for Pan Am, citing a court decision. Kerkorian had been investigating teaming up with Pan Am employees to launch a bid for Pan Am. The proposal came from the joint labor council of Pan Am. Kerkorian had said that he would be willing to offer $50 mil in interim financing to Pan Am, which had agreed to sell selected assets to United Air Lines and receive interim financing of $150 mil from Bankers Trust. NWA, TWA, and others petitioned the Bankruptcy Court to allow other bids to be presented.</t>
  </si>
  <si>
    <t>Everest &amp; Jennings Intl</t>
  </si>
  <si>
    <t>Mnfr wheelchairs,medical equip</t>
  </si>
  <si>
    <t>Industrial Equity(Pacific)Ltd</t>
  </si>
  <si>
    <t>Industrial Equity (Pacific), a unit of Brierley Investment's Industrial Equity unit, agreed to raise its stake in Everest &amp; Jennings International to 53% from 31% by acquiring about 5. 4 mil newly-issued shares of 9% convertible preferred stock. In return, Industrial Equity (Pacific) would reduce a significant portion of the $14 mil in short-term loans which Everest &amp; Jennings owed the company. The transaction was part of a realignment of operations and credit agreements which would allow Everest &amp; Jennings to avoid filing for Chapter 11 bankruptcy protection.</t>
  </si>
  <si>
    <t>Kohlberg Kravis Roberts &amp; Co</t>
  </si>
  <si>
    <t>Kohlberg Kravis Roberts (KKR) withdrew its singular interest in the Bank of New England after deciding to form a joint-bid with Fleet/ Norstar Financial. The $22 bil Bank of New England was seized by the Federal Deposit Insurance Corp in January.</t>
  </si>
  <si>
    <t>Grace Energy Corp</t>
  </si>
  <si>
    <t>Contract drilling,oilfield svc</t>
  </si>
  <si>
    <t>WR Grace withdrew a search for a buyer for its 83.4% interest in Grace Energy. The search, which was part of a restructuring, was ended after WR Grace launched a tender offer for the remaining 16.6% of Grace Energy that it did not own. WR Grace had also announced it was seeking a buyer for its specialty businesses. Upon completion of its sweetened offer to acquire the remaining 16.6% of Grace Energy, WR planned to dispose of the unit. WR Grace planned to retain the Colowyo Coal unit of Grace Energy.</t>
  </si>
  <si>
    <t>SPS Technologies Inc</t>
  </si>
  <si>
    <t>Mnfr indl fasteners</t>
  </si>
  <si>
    <t>An investor group including RIT Capital Partners said it may seek to acquire all or most of SPS Technologies. The group had recently raised its stake in SPS to 7.31%.</t>
  </si>
  <si>
    <t>Cyclops Industries Inc</t>
  </si>
  <si>
    <t>Manufacture specialty steels</t>
  </si>
  <si>
    <t>Armco Inc</t>
  </si>
  <si>
    <t>Manufacture steel products</t>
  </si>
  <si>
    <t>Armco withdrew an offer to acquire all of the 7.1 mil outstanding shares of Cyclops Industries for $22 per share or $156 mil. According to the terms of the merger agreement, Armco was to have financed a portion of the transaction by selling Alleghany $100 mil of newly-issued Armco 10% convertible preferred stock. Alleghany held a 10.7% stake in Cyclops Industries. The offer was withdrawn because of financing difficulties.</t>
  </si>
  <si>
    <t>Security Pacific,Los Angeles</t>
  </si>
  <si>
    <t>Wells Fargo (WF) and Security Pacific (SP) indefinitely suspended sporadic merger talks shortly before WF announced a large loan-loss provision on Dec 10, 1990. Any resulting transaction was thought to involve each banks shareholders receiving 50% of the new concern. WF chairman, Carl Reichardt, would run the merged concern for several years before yielding control to Robert Smith, chief executive of SP. Both sides again denied that there were any talks between them after the Persian Gulf war ended, but some SP shareholders wanted the talks revived.</t>
  </si>
  <si>
    <t>Harcourt Brace Jovanovich Inc</t>
  </si>
  <si>
    <t>Publishing;parks;insurance</t>
  </si>
  <si>
    <t>General Cinema (GC) acquired Harcourt Brace Jovanovich (HBJ) for $1.5 bil, sweetened from $1.4 bil. GC paid $1.125 bil for HBJ's face value $1.9 bil in high-yield bonds at between $.410 and $1.00 on the dollar through debt tender offers. GC also paid $25.2 mil for HBJ's convertible bonds, and $.75 in new Class B common shares for all HBJ common and preferred shares, or $100.2 mil. In addition, GC assumed $274.1 mil of certain other HBJ debt. GC had the option to acquire HBJ's Academic Press unit for $390 mil if the deal failed.</t>
  </si>
  <si>
    <t>La Quinta Motor Inns Inc</t>
  </si>
  <si>
    <t>Own,op motor inns</t>
  </si>
  <si>
    <t>La Quinta Motor Inns terminated its search for a buyer for the company, which it had previously announced in January 1991. The search for a buyer was in response to pressure from two 15% holders, including Sir Ron Brierly's Industrial Equity (Pacific) group and the Bass brothers, to dispose of the company's poison-pill measures which limited their stakes to 15%. The Barshop family held 19.5% of the shares. In June 1991, La Quinta agreed to replace at least half of its board with representatives of the Bass family, Thomas Taylor, and Industrial Equity (Pacific).</t>
  </si>
  <si>
    <t>Air Midwest</t>
  </si>
  <si>
    <t>Mesa Airlines Inc</t>
  </si>
  <si>
    <t>Mesa Airlines acquired Air Midwest for $24.9 mil. The price consisted of $3 in cash and .45 common share per Air Midwest share. The value was based on Mesa's closing share price of $9.625 on Jan 23, 1991, the last full trading day prior to the announcement. In October of 1989, Mesa Airlines had made a previous offer for Air Midwest, which was valued at $23.3 mil, but the deal was withdrawn in November 1989.</t>
  </si>
  <si>
    <t>Lewis Galoob Toys Inc</t>
  </si>
  <si>
    <t>Design and wholesale toys</t>
  </si>
  <si>
    <t>Lewis Galoob Toys ended its agreement with Bear Stearns to explore financial alternatives for the company. Lewis Galoob had been seeking a buyer since January 1991.</t>
  </si>
  <si>
    <t>Medical Management of America</t>
  </si>
  <si>
    <t>Operate eye diagnostic centers</t>
  </si>
  <si>
    <t>An investor group including management acquired the 23.7% of Medical Management of America, or 1.564 mil shares that it did not already own, for $8.25 per share, or a total $12.9 mil. The group offered $5.75 in cash, plus $2.50 in secured two-year promissory notes for each share. The notes paid 10% interest and required payment in eight equal quarterly installments. The Chicago Corp acted as financial advisor to the MMA board. The group planned to fund the acquisition with MMA's cash reserves and future cash flows.</t>
  </si>
  <si>
    <t>Stage II Apparel Corp</t>
  </si>
  <si>
    <t>Design,whl casual apparel</t>
  </si>
  <si>
    <t>An investor group consisting of three officers and a director of Stage II Apparel withdrew its intent to take the company private by acquiring the remaining 33% of the company's shares at $1. 875 per share, or $2.6 mil. The group consisted of chairman Jack Clark, president Robert Plotkin, chief financial officer Philip London, and director Stephen Clark. No reasons were given for the proposal's withdrawal.</t>
  </si>
  <si>
    <t>North Carolina Natural Gas</t>
  </si>
  <si>
    <t>Sonat Inc</t>
  </si>
  <si>
    <t>Sonat terminated its agreement to acquire North Carolina Natural Gas (NCNG) for $126.6 mil. Each share of NCNG stock was to be exchanged for seven-tenths a share of newly-issued Sonat preferred stock, convertible into Sonat common stock at a conversion price of $50.25 per Sonat share. Based on the conversion ratio, each NCNG share was valued at $35.175 per share. The Sonat preferred stock was to have a liquidation preference of $50. 00 per share. Utilities Commission approval had been required.</t>
  </si>
  <si>
    <t>Westworld Resources Inc</t>
  </si>
  <si>
    <t>Gold and silver mining</t>
  </si>
  <si>
    <t>Battle Mountain Gold Co</t>
  </si>
  <si>
    <t>Gold,silver mining co</t>
  </si>
  <si>
    <t>Battle Mountain Gold (BMG) acquired Westworld Resources (WR) in a stock swap transaction valued at $37 mil. BMG offered .2779033 shares in exchange for each share of WR. Based on BMG's closing stock price of $6.375 on Jan 28, the last full trading day prior to the announcement, each of WR's shares was valued at $1.77. As part of the agreement, WR sold its Old West and Cia Miniera La Rosa units prior to the transaction. As a result of the merger, BMG's stake in Empresa Minera Inti Raymi increased to 75.5% from 51%.</t>
  </si>
  <si>
    <t>Weldotron Corp</t>
  </si>
  <si>
    <t>Mnfr indl packaging machinery</t>
  </si>
  <si>
    <t>Walter &amp; Edwin Schloss Associates (WES), holder of a 10.6% stake in Weldotron, intended to suggest in January 1991 to the Weldotron board that the company seek a merger partner or sell assets in order to maximize shareholder value. Later, Weldotron rejected WES's suggestion.</t>
  </si>
  <si>
    <t>Mattel Inc</t>
  </si>
  <si>
    <t>Mnfr,whl games,toys</t>
  </si>
  <si>
    <t>Mattel tried to put together a bid for Tonka but Tonka accepted a $540 mil bid from Hasbro. Analysts speculated that Mattel was not in a financial position to rival the Hasbro bid. In the agreement with Hasbro, Tonka agreed to pay $5 mil should it accept an improved offer from another bidder. Morgan Stanley acted as financial advisor to Mattel, and First Boston and Lehman acted as financial advisors to Tonka</t>
  </si>
  <si>
    <t>Hasbro acquired Tonka for a sweetened $540.1 mil, up from $524.8 mil. Hasbro paid $5 in cash per share for Tonka, or $82.8 mil, down from $7 per share. Bondholders of Tonka received $.928 on the dollar, or $178.2 mil for Series A 16. 25% subordinated debentures, up from $.80 on the dollar, and $.932 on the dollar, or $122.1 mil for Series B 17. 25% subordinated debentures, up from $.75 on the dollar. Also, Hasbro assumed $111 mil of Tonka's long-term debt and $46 mil in short-term notes.</t>
  </si>
  <si>
    <t>BHP Holdings (USA), a unit of Broken Hill Proprietary, acquired the remaining 49.9% of Hamilton Oil that it did not already own through a tender offer valued at $524.3 mil. BHP purchased 7,412,697 shares through the tender offer and acquired the rest by merger in which shareholders received a choice of $40 in cash or $40 in Broken Hill American Depository Receipts per share. Hamilton Oil retained Dillon Read for advisory services and a fairness opinion. Morgan Stanley advised BHP Holdings.</t>
  </si>
  <si>
    <t>Sony Corp</t>
  </si>
  <si>
    <t>Mnfr,whl teleision,audio prod</t>
  </si>
  <si>
    <t>Rumors that Sony was in talks to acquire Orion Pictures ended when Metromedia, the 70% owner of Orion, announced that its stake was no longer for sale and that Orion was to pursue a restructuring plan aimed at reducing Orion's debt. In November 1990, Orion Pictures retained Salomon Brothers as financial advisor. In December 1990, Samsung Electronics was rumored to be interested in acquiring Orion Pictures, but the rumor was denied.</t>
  </si>
  <si>
    <t>Texscan Corp</t>
  </si>
  <si>
    <t>Communications, computer equip</t>
  </si>
  <si>
    <t>An investor group including management of Texscan discontinued efforts to take the company private through a leveraged buyout. The group ended its efforts because of it was unable to come up with proper financing. A special committee representing the board of Texscan, which had been formed to evaluate the potential leveraged buyout, had retained First Boston as financial advisor.</t>
  </si>
  <si>
    <t>Lionel Corp</t>
  </si>
  <si>
    <t>Retail toys, leisure products</t>
  </si>
  <si>
    <t>Lionel withdrew its bid for Child World, 82%-held by the Cole National unit of CNC Holding. Bids were also withdrawn by Baytree Investors, an investor group including Art Spear and Malcolm Sherman, and investor Isaac Perlmutter. Child World accepted the bid of another investor group for $30 mil. Lionel originally indicated that it may make a revised bid for CNC's stake in Child World. Financo acted as financial advisor to Lionel.</t>
  </si>
  <si>
    <t>Fairchild Corp</t>
  </si>
  <si>
    <t>Mnfr aircraft,aircraft parts</t>
  </si>
  <si>
    <t>Mountleigh Group PLC</t>
  </si>
  <si>
    <t>Mountleigh Group terminated a $235 mil merger proposal for Fairchild's 16.5 mil common shares outstanding. According to the terms of the proposal, Mountleigh had offered $10.25 per share in cash for each of Fairchild's Class A and Class B common shares plus $4 per share in preferred stock, either issued or guaranteed by Mountleigh. Completion would have required UK and US regulatory approvals. For year-end 1990, Fairchild posted a loss of $4.3 mil on revenue of $703.2 mil.</t>
  </si>
  <si>
    <t>Longwood Group Ltd</t>
  </si>
  <si>
    <t>Prov finl and consulting svc</t>
  </si>
  <si>
    <t>JV-Longwood Group,Hanover Invt</t>
  </si>
  <si>
    <t>Own and operate resorts</t>
  </si>
  <si>
    <t>A joint venture between Longwood Group and Hanover Investment Group acquired 51% of Longwood Group.</t>
  </si>
  <si>
    <t>Parker Automotive Corp</t>
  </si>
  <si>
    <t>Remington Cos</t>
  </si>
  <si>
    <t>Fuel injector cleaning prods</t>
  </si>
  <si>
    <t>Remington acquired a controlling interest in Parker Automotive. Included under the terms of the agreement, Remington received an option to acquire 5.2 mil Parker shares at $6.50 per share from Parker Automotive founder Michael Parker. In connection with the transaction, Remington gave Parker a $3 mil cash infusion in return for convertible securities.</t>
  </si>
  <si>
    <t>National City terminated its potential bid for Bank of New England from the Federal Deposit Insurance Corp, which had seized the bank in January. The three units included the Massachusetts operation, Connecticut Bank and Trust, and Maine National Bank. CoreStates Financial, BankAmerica, BANC ONE, and Kohlberg Kravis Roberts had also bid for the entire bank while UST, Bank of Boston, Fleet/Norstar, Shawmut National, and KeyCorp were interested in specific portions. Bank of New England had filed for Chapter 7 bankruptcy.</t>
  </si>
  <si>
    <t>CoreStates Financial Corp,PA</t>
  </si>
  <si>
    <t>CoreStates Financial dropped out of the bidding for the Bank of New England based on shareholder value criteria and requirements of the New England marketplace. The insolvent bank had been seized by the Federal Deposit Insurance Corp in January.</t>
  </si>
  <si>
    <t>Fidelity Bancshares Inc,TN</t>
  </si>
  <si>
    <t>FideliTenn Partners Inc</t>
  </si>
  <si>
    <t>FideliTenn Partners, an investor group, withdrew its sweetened, unsolicited merger proposal to acquire Fidelity Bancshares for $73.7 mil, or $25 per share consisting of $20 in cash plus $5 in preferred stock. Fidelity was acquired by Union Planters. FideliTenn had raised its bid from $24 per share. The previous offer was for $67.5 mil, or $23 per share, with $18 in cash per share plus $5 in preferred stock per share. FideliTenn had previously disclosed that it 6.9% stake of Fidelity. The stake was then raised to 8.4%.</t>
  </si>
  <si>
    <t>Financial News Network Inc</t>
  </si>
  <si>
    <t>Provide cable TV prodn svcs</t>
  </si>
  <si>
    <t>An investor group including Group W Satellite and Dow Jones withdrew its $167.1 mil offer for Financial News Network (FNN). The bankruptcy court had awarded FNN to CNBC for $154 mil. The Dow group bid included $125 mil in cash, assumed liabilities of $9.3 mil, and up to $32.8 mil of earnout based on future sales. The Dow group originally bid $90 mil, and raised its bid to $115 mil. CNBC's original bid was $105 mil which was raised to $115 mil. The $167 mil bid rebuked a new CNBC bid of $135 mil. CNBC re- countered with a bid of $149 mil before the $154 mil bid.</t>
  </si>
  <si>
    <t>CNBC</t>
  </si>
  <si>
    <t>Pvd bus news svcs</t>
  </si>
  <si>
    <t>CNBC, a unit of the NBC subsidiary of General Electric's RCA, acquired the bankrupt Financial News Network (FNN) for $154.3 mil. The bid was for $145 mil in cash, assumed liabilities of $9.3 mil, plus a share of future FNN revenues. CNBC had raised its bid twice in one day to $135 mil, and then to $149.3 mil before the final $154.3 mil bid to counter a bid of $167.1 mil made by a Group W Satellite, Dow Jones investor group. The Dow group originally bid $90 mil and raised its bid to $115 mil. CNBC's original bid was $105 mil, also raised to $115 mil.</t>
  </si>
  <si>
    <t>Silicon Graphics Inc</t>
  </si>
  <si>
    <t>Mnfr computing servers</t>
  </si>
  <si>
    <t>Compaq Computer Corp</t>
  </si>
  <si>
    <t>Manufacture personal computers</t>
  </si>
  <si>
    <t>It was rumored in February 1991 that Compaq Computer and Silicon Graphics were involved in merger negotiations, but both companies denied the reports.</t>
  </si>
  <si>
    <t>Damon Group Inc</t>
  </si>
  <si>
    <t>Mnfr digital magnetic heads</t>
  </si>
  <si>
    <t>Damon Corp</t>
  </si>
  <si>
    <t>Pvd clinical lab testing svcs</t>
  </si>
  <si>
    <t>Damon Corp, a unit of Nomad Partners, which was 25%-owned by Damon Group, acquired Damon Group in a reverse merger to render Damon Corp's stock into publicly traded common shares. Under the terms of the deal, Damon Group shareholders received . 5929 shares of new Damon Corp common stock for each Damon Group share held, and Damon Group was to be liquidated. Two Damon Group founders, the Hendler brothers, sold their 20% stake (1 mil shares) for $7 a share with further payments of just over $1 mil to settle stock options and employment contracts.</t>
  </si>
  <si>
    <t>Schneider SA</t>
  </si>
  <si>
    <t>Mnfr,whl electn equip</t>
  </si>
  <si>
    <t>Schneider, a 56.2%-owned unit of Parisienne d'Enterprises de Participations (SPEP), acquired all the stock and Series A ESOP convertible preferred shares of Square D for a revised $88 cash per share, or $2.1653 bil tender offer. Schneider accepted 24. 3 mil shares, or 97% through the offer and merged the remaining shares. Square D had rejected an earlier bid and sued Schneider on grounds that the deal violated antitrust laws, though the suit was later dropped. Schneider also withdrew its list of people it had nominated in a proxy fight involving Square D.</t>
  </si>
  <si>
    <t>An investor group including Art Spear and Malcolm Sherman withdrew its bid for Child World, 82%-held by the Cole National unit of CNC Holding. Bids were also submitted by Lionel, WC Acquisition, and Baytree Investors and investor Isaac Perlmutter. CW was sold to an investor group which included the principals of WC plus Executive Life and Thomas H Lee for $30 mil, and all other bids were withdrawn.</t>
  </si>
  <si>
    <t>Avon Investors, which included Ronald L Tuchman, W John Devine, Thomas H Lee, Citicorp Venture Capital and Executive Life Insurance and Child World's (CW) banks, acquired the 82% of CW held by the Cole National unit of CNC Holding for $30 mil. The group assumed $60 mil of CNC's debt, while CNC assumed $30 mil of the debt of CW in exchange for CNC's 82% of CW. Previously, WC Acquisition had made a similar offer which included $4 mil in cash for the publicly traded 18% of CW. The offer for 18% was withdrawn as Thomas Lee and Executive were added to the investor group.</t>
  </si>
  <si>
    <t>Corken International Corp</t>
  </si>
  <si>
    <t>Pumps, valves, compressors</t>
  </si>
  <si>
    <t>IDEX Corp</t>
  </si>
  <si>
    <t>Manufacture, wholesale fluid handling products</t>
  </si>
  <si>
    <t>IDEX acquired the outstanding shares of Corken International from Hinderliter Industries for $14 mil. The transaction was approved by Hinderliter's shareholders.</t>
  </si>
  <si>
    <t>Baytree Investors Inc</t>
  </si>
  <si>
    <t>Baytree Investors(BI) withdrew its revised bid of $19.3 mil for Child World (CW) , 82%-held by the Cole National unit of CNC Holding. BI was to pay $9.2 mil, or $1 per share, for the CW stake held by CNC, and $5 per share, or $10.1 mil for the publicly traded 18% of CW. Also, BI was to set up a $50 to $100 mil line of credit for CW. BI later sweetened its bid so that CW's creditors were to receive 55% of their $190 mil immediately, up from 40%. CW accepted a $34 mil bid from WC Acquisition. Baytree was later rejected in a bid to buy only CNC's 82% stake. CW was sold to an investor group.</t>
  </si>
  <si>
    <t>Wavetek Corp</t>
  </si>
  <si>
    <t>Electronic test instruments</t>
  </si>
  <si>
    <t>Torrey Investments Ltd</t>
  </si>
  <si>
    <t>Torrey Investments, a group group led by Terrence J Gooding, acquired Wavetek for $3.15 cash per share, or $28. 32 mil. The deal had been subject to approval by Wavetek's holders, including Shufro Rose &amp; Ehrman, holders of 20.35% of Wavetek. Wavetek had announced in July 1990 that it was seeking a buyer. Torrey planned to fund the deal with borrowing by Torrey and Wavetek that was secured by future asset and real estate sales. Torrey required a 10% option agreement and a fee of $.5 mil should another party succeed in gaining 30% of Wavetek.</t>
  </si>
  <si>
    <t>Investor Isaac Perlmutter (IP) withdrew his bid to acquire the 82% of Child World (CW) owned by Cole National, a unit of CNC Holding. He offered to pay off CW's trade debt with $.45 in cash on the dollar, plus $. 15 on the dollar with a 3- year medium term note, and the remainder with a long- term subordinated junior debt. IP offered to pay 30% of CW's bank debt at closing. He also withdrew his intent to acquire the 18% of CW held publicly for $24 mil. CW was sold to an investor group for $30 mil, and three other bids were also withdrawn.</t>
  </si>
  <si>
    <t>Rospatch Corp</t>
  </si>
  <si>
    <t>Mnfr labels, service machinery</t>
  </si>
  <si>
    <t>Atlantis Group Inc</t>
  </si>
  <si>
    <t>Pvd consulting svcs</t>
  </si>
  <si>
    <t>Atlantis Group withdrew its offer to acquire the 80.3% of Rospatch that it did not already own for at least $7. 50 per share, or $15.2 mil. A condition of the offer had been that Rospatch rescind its poison pill plan. Rospatch had rejected the offer, deemed it hostile, and sued Atlantis in a Michigan court for attempting to remove its members from the board of Rospatch. Subsequently, Rospatch repurchased the 498,100 shares (19.1%) that were held by Atlantis. A previous merger agreement between Atlantis and Rospatch fell apart in 1988.</t>
  </si>
  <si>
    <t>Merrit Willits Hallowell and Dorothy Willits Hallowell, the son and wife, respectively of the former chairman of SPS Technologies, disclosed that they had had discussions concerning the sale of SPS Technologies. The Hallowells, owners of a 14.1% stake in SPS, also announced that they may seek seats on the board. In January 1991, an investor group led by RIT Capital Partners disclosed a stake of 7.31% and an intention to acquire at least a majority of the outstanding shares of SPS.</t>
  </si>
  <si>
    <t>MNC Financial Inc</t>
  </si>
  <si>
    <t>BANC ONE withdrew its offer to merge with MNC Financial.</t>
  </si>
  <si>
    <t>Flagship Financial Corp</t>
  </si>
  <si>
    <t>Sovereign Bancorp Inc,PA</t>
  </si>
  <si>
    <t>Pvd savings,loans svcs</t>
  </si>
  <si>
    <t>Sovereign Bancorp (SB) withdrew its offer to acquire Flagship Financial (FF) in a $40.2 mil stock swap when FF failed to permit SB to commence due diligence by March 11. SB had offered 1.16 of its common shares for each of FF's 3.5 mil common shares, with a minimum price per share of $11. Based on SB's closing stock price of $10 on Feb 27, the last full trading day before announcement, each FF share was valued at $11.60. The companies later revived their merger talks but those also collapsed. FF had retained Alex Brown as financial advisor.</t>
  </si>
  <si>
    <t>Iowa Southern Inc</t>
  </si>
  <si>
    <t>IES Industries Inc</t>
  </si>
  <si>
    <t>Iowa Southern merged into IE Industries in a stock swap transaction valued at $263.8 mil. IE issued 1.6 of common shares for each of Iowa Southern's 5.8 mil shares. Based on IE's closing stock price of $28.5 on Feb 27, the last full trading day prior to the announcement, each Iowa Southern share was valued at $45.60. The transaction received approval from the Securities and Exchange Commission, and was subject to approval from the Iowa Utilities Board. The new company was named IES.</t>
  </si>
  <si>
    <t>Ameribanc Inc</t>
  </si>
  <si>
    <t>An investor group including Gary Dickinson, holders of a 9.9% stake, withdrew its intent to seek control of Ameribanc through proxy solicitations or through the acquisition of a controlling interest in Ameribanc's common stock. The group had disclosed that it might seek control in the stock through open market purchases, privately negotiated transactions or a tender offer. The group would have needed regulatory approval if their stake were to rise above 10%. Mercantile Bancorp acquired Ameribanc for $26 per share, or a total of $87 mil.</t>
  </si>
  <si>
    <t>Metcalf &amp; Eddy Cos Inc</t>
  </si>
  <si>
    <t>Water treatment services</t>
  </si>
  <si>
    <t>Air &amp; Water Technologies Corp</t>
  </si>
  <si>
    <t>Pvd engineering services</t>
  </si>
  <si>
    <t>Air &amp; Water Technologies acquired the remaining 18% of Metcalf &amp; Eddy that it did not already own in a stock swap transaction valued at $50.99 mil. Air &amp; Water offered .875 shares of its common stock for each of the 2,648,880 shares of Metcalf traded publicly. Based on Air &amp; Water's closing stock price of $22 on Feb 28, the last full trading day prior to the announcement, each Metcalf share was valued at $19.25. Air &amp; Water had originally offered .85 of its common shares for each Metcalf share, resulting in a share price of $18.7, or $49.5 mil.</t>
  </si>
  <si>
    <t>Walt Disney Co</t>
  </si>
  <si>
    <t>Own,op amusement parks</t>
  </si>
  <si>
    <t>Walt Disney laid to rest the rumors of March 1991 which had Disney negotiating to acquire CBS. Paramount Communications was also mentioned as a potential acquiror of CBS.</t>
  </si>
  <si>
    <t>Industrial Funding Corp</t>
  </si>
  <si>
    <t>Lease small-ticket equipment</t>
  </si>
  <si>
    <t>Industrial Funding, 75%- owned by First City Financial's First City Trust, announced in March 1991 that it had retained Piper Jaffray &amp; Hopwood and Alex Brown &amp; Sons to assist in exploring strategic alternatives including the sale of the company.</t>
  </si>
  <si>
    <t>International Technology Corp</t>
  </si>
  <si>
    <t>Pvd pollution engineering svcs</t>
  </si>
  <si>
    <t>A group including Mathers Fund and Mathers &amp; Co, holders of a 12.3% stake, said in March 1991, that International Technology should consider being sold or merged with another company. The group suggested the transactions to maximize shareholder value. As of August 1991, the group had reduced its stake to 3.5%, but reiterated its request that International Technology seek a buyer.</t>
  </si>
  <si>
    <t>Leucadia National (LN) and its 67%-held subsidiary PHLCORP ended negotiations under which PHLCORP was to acquire LN in a stock swap transaction valued at $351.7 mil. Under the terms of the offer, LN shareholders were to receive 2 PHLCORP shares for each share of LN held. Based on PHLCORP's closing stock price of $15.5 on Mar 5, the last full trading day prior to the announcement, each of LN's 11.3 mil shares was valued at $31. As a result of the transaction, holders of PHLCORP, other than LN, would have owned 19% of PHLCORP on a fully diluted basis.</t>
  </si>
  <si>
    <t>An investor group including Trendex Capital Management and an undisclosed merchant bank withdrew its request to meet with Lionel regarding ways to maximize shareholder value including acquiring Lionel, or representation on its board. Lionel had rejected an earlier offer to meet with the group, but did ask for specific information regarding the offer. Shareholders of Lionel announced in May 1990 that a third party indicated that it was interested in acquiring it. Lionel later filed for bankruptcy.</t>
  </si>
  <si>
    <t>Napa Valley Bancorp</t>
  </si>
  <si>
    <t>Westamerica Bancorp,California</t>
  </si>
  <si>
    <t>Napa Valley Bancorp (NVB) rejected Westamerica Bancorp's (WB) stock swap offer for between $14.45 and $18.70 per share. Based on the high value of $18.70 per share, the bid was valued at $63 mil. NVB concluded that it was in their best interest to remain independent. NVB disclosed that the two banks had been in merger talks since the summer of 1990. NVB also ended merger talks with several undisclosed parties. Director Michael Conners had stated in January 1991 that the company should be more receptive to offers. NVB eventually agreed to be acquired by WB in July 1992.</t>
  </si>
  <si>
    <t>US - Home &amp; City Savings Bank, Albany, New York, merged with TrustCo Bank Corp NY for $72.30 mil. Home received $10 in cash plus .5 shares of TrustCo for each of Home's 2.877 mil outstanding shares. Based on TrustCo's closing stock price of $30.25 on March 8, 1991, the last full trading day before the announcement, each Home share had an indicated value of $25. 125. The offer challenged a last minute bid from Rose Associates for $68.2 mil which Home &amp; City rejected, and was withdrawn. Earlier, Rose had withdrawn a bid of $73.4 mil.</t>
  </si>
  <si>
    <t>Square D ended talks it had been having with several companies interested in acquiring Square D in a white knight transaction to thwart the $88 per share hostile tender offer from Schneider, a unit SPEP, when Schneider completed a tender offer for Square D. Interested parties had been said to include Siemens, Hanson, ABB Asea Brown Boveri, and Matsushita Electric Industrial. Siemens had denied it had any interest in being a white knight.</t>
  </si>
  <si>
    <t>Coastland Corp of Florida</t>
  </si>
  <si>
    <t>Provide waste disposal svcs</t>
  </si>
  <si>
    <t>Alterra Financial Group Ltd</t>
  </si>
  <si>
    <t>Alterra Financial Group acquired a 51% interest in Coastland Corp of Florida's issued and outstanding capital stock in exchange for real estate that had a fair market value of $1 mil.</t>
  </si>
  <si>
    <t>Iroquois Brands Ltd</t>
  </si>
  <si>
    <t>Mnfr vitamins,nutritional prod</t>
  </si>
  <si>
    <t>International Standards Group</t>
  </si>
  <si>
    <t>Mnfr telecommn,RE dvlp firm</t>
  </si>
  <si>
    <t>Iroquois Brand (IBL) acquire International Standards Group (ISG), in a reverse takeover, under which ISG shareholders received 750,000 shares of convertible preferred IBL stock, convertible into 7.5 mil shares of IBL common stock. Assuming that all shares were converted, the total outstanding stock would be approximately 9.7 mil common shares; ISG shareholders would own about 77%.</t>
  </si>
  <si>
    <t>Com Systems Inc</t>
  </si>
  <si>
    <t>Manufacture telephones</t>
  </si>
  <si>
    <t>Resurgens Communications Group</t>
  </si>
  <si>
    <t>Pvd telephone commun services</t>
  </si>
  <si>
    <t>Resurgens Communications Group (RC) acquired Com Systems (CS), 62.3%-held by the OmniCorp International (OI) unit of Omni Holding, for $72.44 mil. RC paid $17. 75 mil in cash and notes for OI's preferred shares of CS, and $13 mil in cash and notes for convertible subordinated debentures of CS held by OI. RC had offered 1 of its common shares in exchange for the publicly-traded 43% of CS. Based on RC's closing stock price of $5.625 on Mar 18, the last full trading day prior to the announcement, each public CS share was valued at $5.625.</t>
  </si>
  <si>
    <t>Republic Waste Industries Inc</t>
  </si>
  <si>
    <t>Pvd waste disposal svcs</t>
  </si>
  <si>
    <t>MGD Holdings Ltd</t>
  </si>
  <si>
    <t>Bermuda</t>
  </si>
  <si>
    <t>MGD Holdings, an investor group led by Michael Degroote, acquired from Republic Waste Industries $10 mil in 12% senior secured convertible debentures. Each $1 mil in debentures was convertible into 2.25 mil Republic Waste common shares. In addition, the investment concern received an option to buy warrants to purchase 12 mil Republic Waste shares for $66 mil. MGD Holdings intended to convert the debentures into common shares pending shareholder approval.</t>
  </si>
  <si>
    <t>Horn &amp; Hardart Co</t>
  </si>
  <si>
    <t>Pvd mail order svcs</t>
  </si>
  <si>
    <t>Horn &amp; Hardart announced several undisclosed parties had made proposals regarding the acquisition of the company's common stock.</t>
  </si>
  <si>
    <t>Raritan Bancorp</t>
  </si>
  <si>
    <t>In March 1991, Harold H Kline &amp; Associates, a large shareholder in Raritan Bancorp, requested that Raritan Bancorp seek a buyer for the company in order to maximize shareholder value.</t>
  </si>
  <si>
    <t>FNW Bancorp Inc</t>
  </si>
  <si>
    <t>NBD Bancorp,Detroit,Michigan</t>
  </si>
  <si>
    <t>US - NBD Bancorp (NBD), Detroit, Michigan, acquired FNW Bancorp Inc (FNW) in a stock swap valued at $205.34 mil. FNW's shareholders received .384 shares of NBD's common stock for each of FNW's 13.8 mil shares outstanding. Based on NBD's closing stock price of $38.75 on Mar 22, 1991, the last full trading day prior to the announcement, each share of FNW had an indicated value of $14.88. FNW also gave NBD an option to buy 4.567 authorized but currently unissued FNW shares. The acquisition was approved by FNW shareholders.</t>
  </si>
  <si>
    <t>Fabricland ended talks with undisclosed parties after it reached a definitive agreement to be acquired by House of Fabrics. Fabricland originally attempted to fend off the hostile bid from House of Fabrics but later agreed to a revised offer and was acquired for $54.7 mil.</t>
  </si>
  <si>
    <t>Hopper Soliday Corp</t>
  </si>
  <si>
    <t>Brokerage,investment services</t>
  </si>
  <si>
    <t>Fahnestock Viner Holdings Inc</t>
  </si>
  <si>
    <t>Fahnestock Viner Holdings took Hopper Soliday private through a tender offer valued at $1.25 in cash per common share plus an amount of preferred dividend stock valued at $1.10, or $5.13 mil. The offer had expired with substantially all of Hopper Soliday's shares tendered. Completion of the offer had been based on acceptances representing 82% of Hopper's shares outstanding. Consummation of the preferred dividend portion of the transaction was dependent on the Dauphin Deposit acquisition of Hopper Soliday units.</t>
  </si>
  <si>
    <t>Marine Corp,Springfield,IL</t>
  </si>
  <si>
    <t>BANC ONE acquired Marine, Springfield, Illinois in a stock swap valued at $181 mil, or $28.34 per share. BANC ONE exchanged 0.849 common shares for each Marine share. The merger was valued based on BANC ONE's $33.375 closing stock price on Mar 22, 1991, the last full trading day prior to the announcement. The transaction was subject to regulatory approval.</t>
  </si>
  <si>
    <t>Birtcher Medical Systems Inc</t>
  </si>
  <si>
    <t>Mnfr,whl medical instruments</t>
  </si>
  <si>
    <t>Cabot Medical Corp</t>
  </si>
  <si>
    <t>Mnfr medical devices, systems</t>
  </si>
  <si>
    <t>Cabot Medical terminated an agreement to acquire Birtcher Medical Systems in a stock transaction valued at $26.82 mil. Birtcher Medical Systems' shareholders were to receive .75 share of Cabot Medical's common stock for each of Birtcher's 2.07 mil shares outstanding. Based on Cabot's closing stock price of $18.25 on Mar 26, 1991, the last full trading day prior to the announcement, each share of Birtcher had an indicated value of $12.94.</t>
  </si>
  <si>
    <t>Inter Federal Svgs,Chattanooga</t>
  </si>
  <si>
    <t>First Chattanooga Financial (FCF) acquired Inter Federal Savings Bank Chattanooga, Tennessee (IFSB) in a stock transaction valued at $12.34 mil. IFSB shareholders received .700483 share of FCF common stock for each IFSB share held. Based on FCF's closing stock price of $17 on Mar 26, the last full trading day prior to the announcement, each share of IFSB was valued at $11.91. A cash alternative of $11.20 was offered, available for a maximum of 491,071 IFSB shares. In 1989, the two had halted preliminary merger talks.</t>
  </si>
  <si>
    <t>Kohlberg Kravis Roberts and Fleet/Norstar Financial Group acquired the failed Bank of New England from the FDIC for $125 mil. The group paid a $125 mil purchase premium, consisting of $100 mil in preferred stock and $25 mil in cash, plus a guaranteed investment of $500 mil. The most serious contenders to the Fleet group had been Bank of Boston and BankAmerica. KKR and Fleet had planned to bid individually, but combining KKR's capital with Fleet's industry knowledge made them the most formidable bidders.</t>
  </si>
  <si>
    <t>Continental Airlines Hldgs Inc</t>
  </si>
  <si>
    <t>Passenger airline holding co</t>
  </si>
  <si>
    <t>Northwest Airlines Corp</t>
  </si>
  <si>
    <t>Northwest Airlines, a unit of NWA, ended talks to acquire Continental Airlines Holdings. Northwest had previously withdrawn an offer to acquire Continental Airlines, which had taken itself off the market in March 1991. Continental received interest from USAir and had been rumored to be in discussions with Delta Airlines and British Airways. Continental filed a reorganization plan in February 1992 that would wipe out common and preferred stock and give creditors ownership through a debt for equity swap, but that plan was terminated.</t>
  </si>
  <si>
    <t>Crowley Milner &amp; Co</t>
  </si>
  <si>
    <t>Own,op department stores</t>
  </si>
  <si>
    <t>Crowley Milner said in March 1991 that it was seeking to merge with other retailers. Crowley Milner retained First of Michigan to search for appropriate opportunities.</t>
  </si>
  <si>
    <t>RB&amp;W Corp</t>
  </si>
  <si>
    <t>Mnfr,wholesale fasteners</t>
  </si>
  <si>
    <t>An investor group including Bisco Industries failed in its lowered hostile takeover of RB&amp;W for $6.5 per share, or $32.7 mil. The consideration had consisted of $4.75 in cash and $1.75 in newly issued preferred stock down from the original per share offer of $5 in cash and $2 in preferred. RB&amp;W rejected both offers stating that the group failed to identify viable funding sources. Previously, the investor group had acquired 447,265 common shares of RB&amp;W, or 8.4% of the outstanding shares and indicated that it would seek control of RB&amp;W.</t>
  </si>
  <si>
    <t>Oxford Consolidated Inc</t>
  </si>
  <si>
    <t>Park Oil and Gas Inc</t>
  </si>
  <si>
    <t>Park Oil and Gas and Oxford Consolidated terminated their agreement whereby Park was to acquire 624,785 common shares, or 71% of Oxford Consolidated's 879,979 outstanding common stock, for $11.30 per share, or a total of $7.06 mil. Major shareholders, officers, employees, directors and certain affiliates had entered into the agreement to sell their combined 71% interest to Oxford Consolidated.</t>
  </si>
  <si>
    <t>Spelling Entertainment Inc</t>
  </si>
  <si>
    <t>Produce TV shows and films</t>
  </si>
  <si>
    <t>Charter Co(American Financial)</t>
  </si>
  <si>
    <t>Charter, a unit of American Financial, acquired 14 mil shares, or 42% of Spelling Entertainment's outstanding common shares from Greater American Communications for $6 per share, or a total of $84 mil. Separately, Charter also acquired an additional 10.45 mil shares, or 32% of Spelling Entertainment from Aaron Spelling, which had been contingent upon completion of the 42% stake. Upon completion, Charter's total interest in the company was 73.8%. Lehman Brothers acted as financial advisor to the Board of Directors of Great American Communications.</t>
  </si>
  <si>
    <t>A European consortium led by Credit Lyonnais was involved in negotiations to acquire all or part of First Executive (FE), which had been seized by insurance regulators. FE was also in talks to sell some of its units and had been seeking a buyer for the entire company for which it retained CS First Boston in May 1990. California regulators were planning an auction for bidders for FE's Executive Life Insurance. Metropolitan Life had been rumored to be interested in acquiring FE's Executive Life Insurance Company of New York.</t>
  </si>
  <si>
    <t>Durham Corp</t>
  </si>
  <si>
    <t>Insurance;broadcasting;hldg co</t>
  </si>
  <si>
    <t>Capital Holding Corp</t>
  </si>
  <si>
    <t>US - Capital Holdings (CH) acquired Durham in a transaction valued at $298.3 mil. CH issued to Durham holders .25 of shares of CH's convertible preferred stock, convertible into 2.4945 common CH shares, subject to adjustments, in exchange for all of Durham's 8.5 mil common shares. Based on CH's closing stock price of $50. 375 on Apr 16, the last full trading day prior to the announcement, DC shares were valued at $35.24 each.</t>
  </si>
  <si>
    <t>FWF terminated its search to that began in April 1991 to seek a buyer for the company or for its assets to maximize shareholder value.</t>
  </si>
  <si>
    <t>Coast Savings Financial Inc,CA</t>
  </si>
  <si>
    <t>Coast Savings Financial announced in April 1991 that it was evaluating a possible sale or merger of the company. Goldman Sachs was retained to help in the search.</t>
  </si>
  <si>
    <t>US - Continental Airlines Holdings (CAH), a passenger airline holding company, withdrew its debt restructuring with creditors (CR). Upon completion, CRs were to hold an undisclosed majority interest in the restructured CAH. Previously, CAH filed for protection under Chapter 11 in December 1990. In October 1992, a bankruptcy court approved a process through which bids could be approved. An Air Partners group, Houston Air, a Deutsche Lufthansa group, and a MAXXAM group all bid, while Benefits Concepts of New York withdrew its bid.</t>
  </si>
  <si>
    <t>Inacomp Computer Centers Inc</t>
  </si>
  <si>
    <t>Retail computer stores</t>
  </si>
  <si>
    <t>ValCom Inc</t>
  </si>
  <si>
    <t>Own,op retail computer stores</t>
  </si>
  <si>
    <t>ValCom, 78%-held by Valmont Industries, acquired Inacomp Computer Centers in a transaction valued at $71.7 mil. Inacomp's shareholders received .5609 share of ValCom common stock plus $1 in cash for each of Inacomp's 7,189,121 shares outstanding. Based on ValCom's closing stock price of $16 on Apr 17, the last full trading day prior to the announcement, each share of Inacomp had an indicated value of $9.97. After the merger, the shareholders of each company owned approximately 50% of the new company.</t>
  </si>
  <si>
    <t>Intermec Corp</t>
  </si>
  <si>
    <t>Mnfr data collection equipment</t>
  </si>
  <si>
    <t>Litton Industries Inc</t>
  </si>
  <si>
    <t>Mnfr navigational systems</t>
  </si>
  <si>
    <t>Litton Industries acquired Intermec through a $24 per share tender offer which valued Intermec at $219.61 mil. Litton received 85.3% acceptances (7.8 mil shares). The shares not tendered were converted into the right to receive $24 in cash. Intermec also agreed to pay Litton a $4 mil breakup fee should it breach the pact in favor of a higher offer. Goldman Sachs advised Intermec. Intermec shareholders had filed an injunction to prevent or delay the tender offer, but this was rejected by a federal court.</t>
  </si>
  <si>
    <t>Doskocil Cos Inc</t>
  </si>
  <si>
    <t>Produce sausages,prepared meat</t>
  </si>
  <si>
    <t>Chiquita Brands International</t>
  </si>
  <si>
    <t>Whl,ret fuits,vegetables</t>
  </si>
  <si>
    <t>Chiquita Brands International, a unit of American Financial, was rejected in its offer to acquire a majority interest in Doskocil after Doskocil was to emerge from bankruptcy proceedings, and negotiations were ended. Terms were not disclosed. The offer had expired Jul 26, 1991. Chiquita had previously shown interest in acquiring a minority stake in Doskocil. Doskocil, which had filed for Chapter 11 bankruptcy protection on Mar 5, 1990 and was in the midst of a reorganization plan, disclosed that other parties had approached it concerning a business combination.</t>
  </si>
  <si>
    <t>Golden Valley Microwave Foods</t>
  </si>
  <si>
    <t>Produce microwave food prod</t>
  </si>
  <si>
    <t>ConAgra Inc</t>
  </si>
  <si>
    <t>Produce meats,eggs,cooking oil</t>
  </si>
  <si>
    <t>US - ConAgra acquired Golden Valley Microwave Foods (GV) in a stock transaction valued at $464.5 mil. GV shareholders received .5676 shares of ConAgra for each of GV's 18.8 mil fully diluted common shares. Based on ConAgra's closing stock price of $47.375 on Apr 18, the last full trading day prior to the announcement, each share of GV had an indicated value of $26.39. ConAgra also agreed to convert 600,000 GV warrants, held by an affiliate of Chase Manhattan Bank, for 340,560 rights to buy ConAgra stock at $60.48.</t>
  </si>
  <si>
    <t>First Fed S&amp;L Assn,Ft Myers,FL</t>
  </si>
  <si>
    <t>An investor group led by the Collier family was no longer intent on raising its stake in First Federal Savings &amp; Loan, Ft Myers, Florida from 14.5% to 100% by acquiring 2, 388,015 common shares. Society Corp agreed to acquire First Federal in July 1992. The investor group had also sought the dissolution of an earlier agreement with regulators that prohibited the group from acquiring more than 24.9% of First Federal. The group sought SEC and OTS approval. By December 1992, the group had reduced its stake to 6.91%, or 217,000 common shares.</t>
  </si>
  <si>
    <t>CDG Acquisition Corp</t>
  </si>
  <si>
    <t>CDG Acquisition, an investor group formed by management, acquired and took private Courier Dispatch Group, 51%- held by John H Harland in a leveraged buyout transaction with an indicated value of $10.6 mil. John H Harland Co sold its 51% interest, or 1, 275,000 shares for $4.35 in cash per share. Paul Dean, President and CEO of Courier Dispatch, and Robert Larsen, a director, sold their interests for $4 a share in cash or stock in the new company and the right to buy more shares. Public holders received $4.10 in cash per share.</t>
  </si>
  <si>
    <t>Fifth Dimension Inc</t>
  </si>
  <si>
    <t>Mnfr switches,sliprings,motors</t>
  </si>
  <si>
    <t>An investor group made up of Edward and Gail Gilbert withdrew its intentions to acquire up to or in excess of 50% of Fifth Dimension. Earlier, the group acquired 3% of Fifth Dimension's common stock outstanding, raising its stake to 5.05%. By January 1993, the stake had been increased to 16.9%.</t>
  </si>
  <si>
    <t>Infotron Systems Corp</t>
  </si>
  <si>
    <t>Mnfr data communications equip</t>
  </si>
  <si>
    <t>Gandalf Technologies Inc</t>
  </si>
  <si>
    <t>Pvd network technology support</t>
  </si>
  <si>
    <t>Gandalf Technologies (GT) merged with Infotron Systems (IS) in a transaction valued at $33.5 mil. IS shareholders received 50 GT common shares for every 100 IS common and convertible preferred shares held and 62 common shares for every 100 preferred shares held. IS shares were valued at $1.625 based on GT's closing price of $3.25 on Apr 23, the last full trading day prior to the announcement. Also, GT assumed $22.2 mil in IS liabilities. GT had previously agreed to exchange 100 of its common shares for every 100 IS common or preferred shares.</t>
  </si>
  <si>
    <t>USG Corp</t>
  </si>
  <si>
    <t>Creditors of USG acquired a majority interest in USG through a modified prepackaged Chapter 11 bankruptcy filed in in 1993. Under the modified plan, USG's 13.25% senior subordinated bondholders received 82% of USG's common stock, 16% debenture holders received 15% of USG's stock and warrants for a further 7% of USG stock. Current USG shareholders retained 3% of the common stock. USG's previous plans were to give creditors an 81% stake and cash. In December 1990, USG announced plans to seek an investor for a partial stake in the company.</t>
  </si>
  <si>
    <t>Valley Fed S&amp;L,Van Nuys,CA</t>
  </si>
  <si>
    <t>Valley Federal Savings &amp; Loan Association, Van Nuys, California announced in April 1991 that it had retained Shearson Lehman Hutton to find a buyer for the bank. Valley Federal Savings' board felt that a sale of the company was the only option for the company to meet regulatory capital requirements. Valley was placed in the Resolution Trust's Accelerated Resolution Program.</t>
  </si>
  <si>
    <t>Roadmaster Industries Inc</t>
  </si>
  <si>
    <t>Manufacture bicycles</t>
  </si>
  <si>
    <t>Roadmaster Industries announced that it was in negotiations with several undisclosed acquirors regarding the possible sale of the company. Norwest Corporate Finance was retained as financial advisor.</t>
  </si>
  <si>
    <t>Allstar Inns LP</t>
  </si>
  <si>
    <t>Own and operate hotels</t>
  </si>
  <si>
    <t>Motel 6 LP(Accor SA)</t>
  </si>
  <si>
    <t>Allstar Inns reached a restructuring agreement for Motel 6, a unit of Accor, to assume the operation and management of Allstar and to obtain an option to purchase all the assets of Allstar Inns. According to the terms, Motel 6 was to operate and manage Allstar's assets through 2011 while receiving fees based on revenues and would be granted an option to acquire its assets, exercisable in the 5th to 7th year after assuming Allstar's operations.</t>
  </si>
  <si>
    <t>Westinghouse Electric Corp</t>
  </si>
  <si>
    <t>Mnfr elec defense electn equip</t>
  </si>
  <si>
    <t>Tokyo Electric Co(Toshiba)</t>
  </si>
  <si>
    <t>Electric utility</t>
  </si>
  <si>
    <t>Tokyo Electric, a unit of Toshiba, and Westinghouse Electric have set up an equally owned joint venture which will manufacture computer printer heads. Annual sales are projected at $109.5 mil after 3 years.</t>
  </si>
  <si>
    <t>United Artists Entertainment</t>
  </si>
  <si>
    <t>Own and operate movie theaters</t>
  </si>
  <si>
    <t>Tele-Communications Inc</t>
  </si>
  <si>
    <t>Pvd cable TV services</t>
  </si>
  <si>
    <t>Tele-Communications (TC) acquired the remaining 46% of United Artists Entertainment (UAE) in a sweetened $1.189 bil stock and cash offer. TC offered 1.02 shares, up from . 95, for each UAE share. Based on TC's closing stock price of $15.875 on Jun 6, the stock portion was valued at $16.19 per share, or a total $1.037 bil. TC completed a tender offer for 3 mil rights by acquiring 29.3 mil, or 97%, at $4.75 in cash per right. TC offered $17.17 in cash per unit, with each unit representing 1 right and its matching share, for the remaining 742,746 rights.</t>
  </si>
  <si>
    <t>Bonneville Pacific Corp</t>
  </si>
  <si>
    <t>Power generation systems</t>
  </si>
  <si>
    <t>Portland General Corp</t>
  </si>
  <si>
    <t>Portland General terminated its plans to acquire a majority interest in Bonneville Pacific of 50.1% by acquiring a 1.1% stake. In September 1990, Portland General acquired the right to take up to a 49% stake in Bonneville Pacific. As of Jun 6, 1991, Portland General had accumulated 9.7 mil shares, or 46%.</t>
  </si>
  <si>
    <t>Hollywood Park Rlty Entrp Inc</t>
  </si>
  <si>
    <t>Own,op racetracks</t>
  </si>
  <si>
    <t>Hollywood Park Inc</t>
  </si>
  <si>
    <t>Own,op gaming company</t>
  </si>
  <si>
    <t>US - Hollywood Park Realty Enterprise acquired Hollywood Park Operating as part of a reorganization where Hollywood Park Realty would drop its real estate investment trust status. The merged company would be known as Hollywood Park Inc. The companies used to trade as a unit. The transaction was subject to shareholder approvals at the annual meeting expected to be held in July 1991.</t>
  </si>
  <si>
    <t>Putnam Diversified Premium</t>
  </si>
  <si>
    <t>Putnam Diversified Income Tr</t>
  </si>
  <si>
    <t>Open end mutual fund</t>
  </si>
  <si>
    <t>Putnam Diversified Premium Income Trust merged into Putnam Diversified Income Trust. The transaction had been  subject to regulatory approval.</t>
  </si>
  <si>
    <t>Banker's Note Inc</t>
  </si>
  <si>
    <t>Own,operate women's stores</t>
  </si>
  <si>
    <t>An investor group including SK Chow's Bonaventure Holdings and Yerington, was rejected in its proposal to raise its 15.6% stake in Banker's Note to more than 50% thereby obtaining control of the company. Under the proposal, Martin M Suchik, chairman and president of Bankers Note, were to resign and the upcoming annual meeting was to be postponed. The board of Bankers Note wrote the group to inform them that Bankers Note was declining the group's proposal. Banker's Note was nonetheless forced to file for Chapter 11 protection.</t>
  </si>
  <si>
    <t>First Allied Corp</t>
  </si>
  <si>
    <t>First Allied withdrew its offer to acquire DeSoto in a $6.25 in cash per share merger transaction valued at $26.8 mil. According to the proposal, DeSoto shareholders were also to have received a pro rata dividend or distribution of the excess pension-plan assets. DeSoto had been fending off takeover bids from Sutton Holdings since late 1989. Concurrently, Sutton had also offered a $5. 75 a share offer for DeSoto which was later withdrawn.</t>
  </si>
  <si>
    <t>Bradmar Petroleum Corp</t>
  </si>
  <si>
    <t>Red Eagle Resources Corp</t>
  </si>
  <si>
    <t>Red Eagle Resources and Bradmar Petroleum ended their merger agreement under which Red Eagle was to acquire Bradmar's 1.89 mil shares in a revised stock swap valued at $4.5 mil. Bradmar shareholders were to receive 2.12 common shares of Red Eagle for each Bradmar share held. The total value was based on Red Eagle's closing price on May 8, the last full trading day prior to the announcement of the revised agreement. The terms were changed from Bradmar shareholders receiving 1.68 Red Eagle shares for each Bradmar share held.</t>
  </si>
  <si>
    <t>Eljer Industries Inc</t>
  </si>
  <si>
    <t>Manufacture plumbing fixtures</t>
  </si>
  <si>
    <t>Jacuzzi Inc(HM Holdings Inc)</t>
  </si>
  <si>
    <t>Mnfr,whl,retail whirlpools</t>
  </si>
  <si>
    <t>Jacuzzi, a unit of Hanson's HM Holdings, announced that it would not continue with its offer to acquire Eljer Industries (EI) for $20 per share, or $141.1 mil, and also terminated negotiations to acquire EI's assets. EI's board delayed making a decision on the bid due to an adverse court decision in which it was a plaintiff. Jacuzzi insisted EI drop its poison spill provision that would be triggered if anyone gained control of over 10% of EI's common shares. Jacuzzi also conditioned the offer on receiving acceptances from least 70% of EI's holders.</t>
  </si>
  <si>
    <t>Vitalink Communications Corp</t>
  </si>
  <si>
    <t>Mnfr data communications prods</t>
  </si>
  <si>
    <t>Network Systems Corp</t>
  </si>
  <si>
    <t>Mnfr data commun equipment</t>
  </si>
  <si>
    <t>US - Network Systems Corp (NS) acquired Vitalink Communications Corp (VC) for $10.50 per share or $146.2 mil. NSC acquired the 12,854, 000 common shares tendered, or 85.3% of the shares outstanding through a cash tender offer, and subsequently acquired the remaining shares. VC had granted NS an option to purchase about 20% of VC's shares at $10.50 per share, exercisable were an outside party to acquire more than 20%. Salomon Brothers was retained as dealer manager to the offer and VC retained Kidder Peabody as financial advisor.</t>
  </si>
  <si>
    <t>Oakite Products Inc</t>
  </si>
  <si>
    <t>Mnfr cleaning chemicals</t>
  </si>
  <si>
    <t>Metallgesellschaft AG</t>
  </si>
  <si>
    <t>Metals mining co</t>
  </si>
  <si>
    <t>Metallgesellschaft acquired Oakite Products.</t>
  </si>
  <si>
    <t>Michael Anthony Jewelers Inc</t>
  </si>
  <si>
    <t>Mnfr gold jewelry</t>
  </si>
  <si>
    <t>Jan Bell Marketing Inc</t>
  </si>
  <si>
    <t>Mnfr and wholesale jewelry</t>
  </si>
  <si>
    <t>Jan Bell Marketing ended a merger agreement to acquire Michael Anthony Jewelers in a stock transaction valued at $52 mil. Michael Anthony's shareholders were to receive 0.635 shares of Jan Bell's common stock for each of their 7,198,000 shares outstanding as of March 31. Based on Jan Bell's closing stock price of $11.38 on May 8, the last full trading day prior to announcement, each share of Michael Anthony had an indicated value of $7.22. The deal had been subject to regulatory approval and receipt of a fairness opinion.</t>
  </si>
  <si>
    <t>Mor-Flo Industries Inc</t>
  </si>
  <si>
    <t>Heating equipment</t>
  </si>
  <si>
    <t>SABH(US)Inc(SA Brewing Hldgs)</t>
  </si>
  <si>
    <t>Manufacture water heaters</t>
  </si>
  <si>
    <t>SABH (US), a unit of SA Brewing Holdings, acquired Mor-Flo Industries for $62.9 mil. SABH offered $8.15 for each Mor-Flo Industries share, or a total of $21.5 mil plus the assumption of $41.4 mil of liabilities. SABH originally offered $73.05 mil and that was later reduced to $70.4 mil. The transaction had also been subject to shareholder and regulatory approval, including the Justice Department.</t>
  </si>
  <si>
    <t>BizMart Inc</t>
  </si>
  <si>
    <t>Operate office supply stores</t>
  </si>
  <si>
    <t>Intelligent Electronics Inc</t>
  </si>
  <si>
    <t>Whl, ret computer systems</t>
  </si>
  <si>
    <t>US - Intelligent Electronics (IE) acquired BizMart through a tender offer for $16.50 per share in cash, or $198.54 mil. 11.2 mil shares were acquired through the tender offer. IE was also granted an option to buy 24% of BizMart's fully diluted shares, and was guaranteed a $7.22 mil termination fee if BizMart accepted a rival bid. Merrill Lynch advised IE and acted as dealer manager in the offer. Donaldson Lufkin &amp; Jenrette advised BizMart. 2 shareholders of BizMart had filed suit to prevent the acquisition.</t>
  </si>
  <si>
    <t>Cukurova Holding terminated its agreement to acquire FNB Rochester for a sweetened $14. 50 in cash per share, or $28. 1 mil. The final bid was also to have included a special dividend whose amount was to be determined after the successful completion of the merger. The offer had been subject to approval by FNB's board and regulatory authorities. Cukurova had tried and failed to acquire a 75% interest in FNB during the summer of 1990.</t>
  </si>
  <si>
    <t>Uranium Resources Inc</t>
  </si>
  <si>
    <t>Uranium mining company</t>
  </si>
  <si>
    <t>Rio Algom Mining Corp</t>
  </si>
  <si>
    <t>Operate uranium, radium mines</t>
  </si>
  <si>
    <t>Rio Algom Mining, a unit of RTZ's Rio Algom, ended its agreement to acquire 4,801, 210 common shares, or the 73% of Uranium Resources it did not already own, for $6.40 per share, or $30.7 mil. The transaction had been subject to regulatory approval from Revenue Canada.</t>
  </si>
  <si>
    <t>AmeriTrust Corp,Cleveland,OH</t>
  </si>
  <si>
    <t>Society Corp</t>
  </si>
  <si>
    <t>US - Society acquired AmeriTrust (AT) in a stock swap valued at $1.186 bil. Society offered .65 shares of its stock for each of AT's 38 mil common shares outstanding and 1.2 mil of its cumulative preferred shares for 1.2 mil of AT's cumulative preferred shares. Based on Society's closing stock price of $48 on Sep 12, the last full trading day prior to the announcement, each AT share was valued at $31.20 per share. The deal was accounted for as a pooling of interests. National City had made a $887. 8 mil bid for AT. BANC ONE also bid for AT.</t>
  </si>
  <si>
    <t>Union Planters Corp,Memphis,TN</t>
  </si>
  <si>
    <t>Union Planters acquired Fidelity Bancshares for $23. 50 in cash per common share or a total value of $77.37 mil. Fidelity Bancshares had previously been offered a $25 per share offer from FideliTenn. Upon completion of the merger, which had been subject to regulatory approval, Fidelity was converted into a national bank. Robinson-Humphrey advised Fidelity Bancshares, while UBS Securities advised Union Planters.</t>
  </si>
  <si>
    <t>Oxford Energy Co</t>
  </si>
  <si>
    <t>Oxford Energy announced that it was in talks with several parties regarding the potential acquisition of a majority interest in Oxford.</t>
  </si>
  <si>
    <t>Grow Group Inc</t>
  </si>
  <si>
    <t>Mnfr paints, chemicals</t>
  </si>
  <si>
    <t>Grow Group announced in May 1991 that it was preparing to seek a buyer for the company. It also announced that a restructuring plan was being implemented by the end of 1991. Part of the plan involved disposing of several businesses.</t>
  </si>
  <si>
    <t>Pinnacle Bancorp Inc</t>
  </si>
  <si>
    <t>Fifth Third Bancorp,OH</t>
  </si>
  <si>
    <t>Fifth Third Bancorp acquired Pinnacle Bancorp in a stock swap transaction valued at $9. 69 mil. Fifth Third issued $13.21 of its common shares for each of Pinnacle's 733, 712 shares outstanding. The exact exchange ratio had been subject to certain transaction expenses. The transaction had been subject to regulatory approval.</t>
  </si>
  <si>
    <t>National City, Cleveland (NC) withdrew its offer to acquire AmeriTrust (AT) in a stock transaction valued at $887.9 mil. NC was to exchange .66 share of its stock for each of AT's 37 mil common shares outstanding. Based on NC's closing stock price of $36 on May 17, the last full day of trading before the announcement, each share of AT was valued at $23. 76. NC had made a private offer in September 1990, but never received a reply. BANC ONE also withdrew its offer, as AT was acquired by Society for $31.20 per share, or $1. 186 bil.</t>
  </si>
  <si>
    <t>Washington Fed Svgs BK,Oregon</t>
  </si>
  <si>
    <t>West One Bancorp,Boise,Idaho</t>
  </si>
  <si>
    <t>West One Bancorp (WOB) acquired Washington Federal Savings Bank, Hillsboro, Oregon, (WFSB) in a stock swap transaction valued at $31.9 mil. WOB paid .613848 of a common share for each WFSB common share. The ratio was determined by dividing $31.9 mil by the average market price for 10 consecutive trading days ending on the 20th trading day preceding the date of the completion of the acquisition. Based on WOB's closing stock price of $30.625 on May 17, the last full trading day prior to the announcement, each WFSB share was valued at $18.80.</t>
  </si>
  <si>
    <t>Moore Medical Corp</t>
  </si>
  <si>
    <t>Whl pharm,surgical supplies</t>
  </si>
  <si>
    <t>Ronald McDow and Richard Foley, co-chairmen of the committee to maximize shareholder value at Moore Medical, lost a proxy fight to gain control of the company for which they had been soliciting buyers. The two had announced that they had received expressions of interest from third parties to acquire the company. Their committee retained Colony Group as financial advisor.</t>
  </si>
  <si>
    <t>Galileo Electro-Optics Corp</t>
  </si>
  <si>
    <t>Mnfr fiber optic,elec equip</t>
  </si>
  <si>
    <t>A group including Travelers, Dillon Read, and Concord Partners, which held a 9.35% stake in Galileo Electro- Optics, disclosed that it no longer intended to contact third parties concerning a possible outside takeover of Galileo Electro-Optics. In Mar 1992, the group announced that it had reduced its stake in Galileo to 5.52% (350,460 shares).</t>
  </si>
  <si>
    <t>Tucson Electric Power Co</t>
  </si>
  <si>
    <t>Pinnacle West Capital Corp</t>
  </si>
  <si>
    <t>Electric utility company</t>
  </si>
  <si>
    <t>Pinnacle West Capital was rumored in May 1991 to be interested in acquiring all or some of Tucson Electric Power. Arizona utility regulators expressed concern about the rumored intentions of Pinnacle West. The Current status of this deal is unknown.</t>
  </si>
  <si>
    <t>Potlatch Corp</t>
  </si>
  <si>
    <t>Mnfr paper,wood products</t>
  </si>
  <si>
    <t>International Paper Co</t>
  </si>
  <si>
    <t>Mnfr,whl paper pkg prod</t>
  </si>
  <si>
    <t>It was rumored that International Paper was seeking to acquire Potlatch. International Paper was to have offered $60 per share for each outstanding share of Potlatch. It was also speculated that Wasserstein Perella would act as advisor to International. At Potlatch's annual meeting in May 1991, however, chief executive Richard Madden said that the company was not for sale.</t>
  </si>
  <si>
    <t>ESB Bancorp Inc</t>
  </si>
  <si>
    <t>ESB Bancorp discontinued merger talks with an undisclosed party. ESB's board felt that a merger with another company was not in the best interests of its shareholders at that time.</t>
  </si>
  <si>
    <t>Johnson Products Co Inc</t>
  </si>
  <si>
    <t>Mnf,whl hair care products</t>
  </si>
  <si>
    <t>JPC Inc</t>
  </si>
  <si>
    <t>JPC, an investor group formed by Johnson Products president Eric Johnson, withdrew a proposal to acquire the 39% or 466,440 shares, of Johnson Products not previously owned by the Johnson family for $17.25 per share or $8.05 mil. Eric Johnson's mother, Joan Johnson, the chairman and 61% owner of Johnson Products, would own all the outstanding shares in JPC, but her stake was to be reduced over a period of time to give senior management a substantial stake. Johnson's public shareholders sued the company regarding the merger.</t>
  </si>
  <si>
    <t>Newmont Mining Corp</t>
  </si>
  <si>
    <t>American Barrick Resources</t>
  </si>
  <si>
    <t>American Barrick Resources (ABR) and Newmont Mining (NM) mutually ended talks concerning ABR's acquisition of NM in a stock transaction valued at $2.363 bil. ABR was to have exchanged 1.8 of its shares for each NM share. NM shares were valued at $34.875, based on ABR's closing share price on May 27, 1991, the last full trading day prior to the announcement of the talks. Newmont Gold, 90.1%- owned by NM, was to also possibly have been included in the merger, in which case NM stated it would have wanted ABR to acquire the publicly-held shares of Newmont Gold.</t>
  </si>
  <si>
    <t>Northbay Financial Corp,CA</t>
  </si>
  <si>
    <t>Svgs bk; provide credit svcs</t>
  </si>
  <si>
    <t>US Bancorp, Portland, Oregon, ended its agreement to acquire Northbay Financial in a stock swap transaction valued at $27 per share, or $31.8 mil. The value was to have been subject to adjustment based upon the market price of US Bancorp common stock. The transaction had been subject to regulatory approval.</t>
  </si>
  <si>
    <t>Businessland Inc</t>
  </si>
  <si>
    <t>Own,op computer stores</t>
  </si>
  <si>
    <t>CompuCom Systems had been rumored in May 1991 to be interested in acquiring Businessland, according to industry insiders, but JWP successfully acquired Businessland. ComputerLand had also been interested in Businessland, which stated it would have to file for protection under federal bankruptcy laws if it could not restructure or sell the company quickly.</t>
  </si>
  <si>
    <t>JWP acquired Businessland (BL) through a two-tier tender offer transaction valued at $82.31 mil. JWP paid $1.00 in cash per share for 17,000,128 shares, and $. 35 on the dollar for $43.3 mil of 5.5% convertible subordinated debentures through a debt tender offer, under which $.172 mil of the debentures was accepted for $60,200. JWP also assumed a $50 mil note of BL. JWP had required at least 51% of the actual common shares to be tendered before it commenced a stock swap of $1 of its shares for each of the remaining 15.2 mil shares of BL valued at $15.2 mil.</t>
  </si>
  <si>
    <t>Image Retailing Group Inc</t>
  </si>
  <si>
    <t>Sound Advice Inc</t>
  </si>
  <si>
    <t>Own,op consumer electr stores</t>
  </si>
  <si>
    <t>Sound Advice and Image Retailing Group ended their stock swap merger agreement under which Sound Advice was to acquire Image in a transaction valued at $6.2 mil. Sound Advice was to provide 1 newly-issued common share for every 4 common shares of Image Retailing. Image Retailing shares were valued at $2.75 based on Sound Advice's closing share price of $11 on May 29, 1991, the last full trading day prior to the announcement.</t>
  </si>
  <si>
    <t>Kappa Networks Inc</t>
  </si>
  <si>
    <t>Electronic components and sys</t>
  </si>
  <si>
    <t>An investor group led by Rockies Fund, a unit of Galbreath Financial Services, raised its stake in Polyphase, formerly Kappa Networks, to 57.1% by exercising its 750, 000 Polyphase warrants at $1. 50 per share, or a total value of $1.125 mil to acquire 750,000 Polyphase common shares. The group had acquired 308,000 common shares and the warrants for $. 25 mil.</t>
  </si>
  <si>
    <t>First Illinois Corp, Evanston</t>
  </si>
  <si>
    <t>BANC ONE acquired First Illinois, Evanston, in a stock swap transaction valued at $347 mil. First Illinois shareholders received .325 BANC ONE shares for each of First Illinois' 25.7 mil shares outstanding. Based on BANC ONE's closing stock price of $39.375 on May 31, 1991, the last full trading day prior to announcement, each share of First Illinois had an indicated value of $13. 50. The acquisition had been subject to shareholder and regulatory approval.</t>
  </si>
  <si>
    <t>Opto Mechanik Inc</t>
  </si>
  <si>
    <t>Mnfr optical instruments</t>
  </si>
  <si>
    <t>Duane L Ottenstroer revealed that he might seek control of Opto Mechanik through open market purchases or privately negotiated transactions after he increased his stake in Opto to 41.29% by acquiring 793,000 common shares, or 36. 22% of the common shares outstanding, for $1.78 mil.</t>
  </si>
  <si>
    <t>Residential Mtg Investments</t>
  </si>
  <si>
    <t>American SW Mortgage Invts</t>
  </si>
  <si>
    <t>American Southwest Mortgage Investments (ASMI) acquired Residential Mortgage Investments (RMI) in a transaction valued at $15.21 mil. ASMI paid $1.05 mil in cash, plus 1.59 mil of its common shares in exchange for all of the common shares of RMI. The stock portion of the transaction was based on ASMI's closing stock price of $8.875 on May 31, 1991, the last full trading day prior to the announcement. RMI had announced in March 1991 that it was investigating strategic alternatives, including the possible sale of the company.</t>
  </si>
  <si>
    <t>Bolt Beranek and Newman Inc</t>
  </si>
  <si>
    <t>Mnfr computer integrated sys</t>
  </si>
  <si>
    <t>Cray Research Inc</t>
  </si>
  <si>
    <t>Manufacture supercomputers</t>
  </si>
  <si>
    <t>Cray Research denied a rumor circulating in June 1991 that it was interested in, among other options, acquiring Bolt Beranek and Newman. A source close to the negotiations said that some sort of agreement was likely before Jun 30, 1991, the end of Bolt Beranek's fiscal year. However, Cray CEO, John A Rollwagen, said that Cray was only interested in acquiring computer systems from Bolt Beranek.</t>
  </si>
  <si>
    <t>Cross &amp; Trecker Corp</t>
  </si>
  <si>
    <t>Manufacture machine tools</t>
  </si>
  <si>
    <t>Giddings &amp; Lewis Inc</t>
  </si>
  <si>
    <t>Mnfr automated machine tools</t>
  </si>
  <si>
    <t>Giddings &amp; Lewis (GL) acquired Cross &amp; Trecker (CT) for a sweetened $174.3 mil. CT shareholders received a choice of either $5 in cash per share or .2123 GL shares per share. Each consideration was subject to $.70 in cash per share, or a total of $8.7 mil, to be held in escrow due to outstanding contracts with the Soviet Union. Also, GL assumed $91 mil of CT's liabilities. Based on GL's closing stock price of $28. 375 on Oct 1, the last full trading day before the change in terms, each CT share was valued at $6.72.</t>
  </si>
  <si>
    <t>Artisan Entertainment Inc</t>
  </si>
  <si>
    <t>Whl,retail recorded music</t>
  </si>
  <si>
    <t>Carolco Pictures Inc</t>
  </si>
  <si>
    <t>Motion picture prodn svcs</t>
  </si>
  <si>
    <t>US - Carolco Pictures (CP) withdrew its agreement to acquire the remaining 46% of Artsian Entertainment (AE) that it did not already own in a stock swap transaction valued at $81.21 mil. AE holders were to have received 2.275 CP shares, plus a common stock dividend of . 2275 CP shares, or a total ratio of 2.5025 CP shares for each AE share. Based on CP's closing stock price of $6.125 on Sep 16, the last full trading day prior to the announcement, each AE share was valued at $15.33. AE had proposed a stock swap valued at $113.89 mil, or $21.50 per share.</t>
  </si>
  <si>
    <t>Henley Group</t>
  </si>
  <si>
    <t>Henley Properties Inc</t>
  </si>
  <si>
    <t>Henley Properties (HP) merged with Henley Group's (HG) remaining assets, following distributions, in a reverse stock swap valued at $42.6 mil. HG holders received 1 HP Class A common share and 2 HP Series A convertible preferred shares for each HG share held. Each preferred share was convertible into 1 HP common share. Based on HP's closing stock price of $.71875 on Jan 20, the last full trading day prior to the announcement, each HG share was valued at $4.50. Prior to the merger, HG also completed a $386.25 mil recapitalization plan and spun off its Abex unit.</t>
  </si>
  <si>
    <t>Mercom Inc</t>
  </si>
  <si>
    <t>Operate cable TV systems</t>
  </si>
  <si>
    <t>Mercom announced in June 1991 that it was actively pursuing a buyer for the company to maximize its shareholder value. C-TEC, a 20% holder of Mercon, asked Mercom for a current list of its shareholders. JP Morgan was retained by Mercom to aid in the sale. C-TEC sought to have Mercom's board replaced.</t>
  </si>
  <si>
    <t>Kenilworth Systems Corp</t>
  </si>
  <si>
    <t>Mnfr broadcasting equipment</t>
  </si>
  <si>
    <t>CashTek Corp</t>
  </si>
  <si>
    <t>CashTek, newly-formed by management and employees of Kenilworth Systems, was approved by bankruptcy court to acquire Kenilworth. CashTek was to issue 1 new share and 1 warrant to purchase 1 additional CashTek share at $10 for every 40 shares of Kenilworth. CashTek expected to issue 1.5 mil common shares and 1.5 mil warrants to the approximately 8600 Kenilworth shareholders. Kenilworth's approved creditors were to be paid 100% in cash.</t>
  </si>
  <si>
    <t>American Ecology Corp</t>
  </si>
  <si>
    <t>Waste disposal landfills</t>
  </si>
  <si>
    <t>Ecol Partners, an investor group led by Harry J Phillips, acquired a 52% interest in American Ecology from Browning-Ferris Industries, which had announced in April 1990 that it was seeking a buyer for the securities the company held in American Ecology. The 52% interest consisted of American Ecology preferred stock, debentures, and warrants which were convertible into 3,200,000 common shares. Browning- Ferris had retained Smith Barney Harris Upham to aid in the search.</t>
  </si>
  <si>
    <t>National Health Investors Inc</t>
  </si>
  <si>
    <t>REIT</t>
  </si>
  <si>
    <t>National HealthCorp LP(NHC) completed the spinoff of its National Health Investors (NHI) unit in a deal valued at $152.6 mil. NHC holders of record as of Oct 15, 1991 received one NHI share for each NHC unit held for a total of 7.31 mil new shares outstanding. The value was based on NHI's closing stock price of $20.875 on Oct 17, 1991, the first full day of trading.</t>
  </si>
  <si>
    <t>Chock Full O'Nuts Corp</t>
  </si>
  <si>
    <t>Manufacture coffee and tea</t>
  </si>
  <si>
    <t>A group led by Boyar Asset Management and including NRMB Management disclosed in June 1991 that it had raised its stake in Chock Full O'Nuts to 5.06% (427,988 shares) and might seek to acquire control of the company through a negotiated transaction, tender offer or other means.</t>
  </si>
  <si>
    <t>South Carolina National</t>
  </si>
  <si>
    <t>Wachovia Corp,Winston-Salem,NC</t>
  </si>
  <si>
    <t>US - Wachovia acquired South Carolina National (SCN) in a stock swap transaction valued at $816.5 mil. SCN shareholders received .675 Wachovia shares for each of the 22.19 mil shares outstanding. Based on Wachovia's closing stock price of $54.50 on Jun 19, the last full trading day prior to the announcement, each SCN share was valued at $36.79. The deal had been subject to regulatory approval. SCN and Wachovia were rumored in June 1991 to be involved in merger talks.</t>
  </si>
  <si>
    <t>MetroBank,Los Angeles,CA</t>
  </si>
  <si>
    <t>MetroBank, Los Angeles, California announced in June 1991 that it retained Oppenheimer to aid in the search for a buyer as part of its effort to maximize shareholder value.</t>
  </si>
  <si>
    <t>American Realty Trust Inc</t>
  </si>
  <si>
    <t>A group including insiders William Friedman and Gene Philips raised its stake in American Realty Trust to 51. 5% (1,090,872 shares) by acquiring 141,202 shares for an indicated $.805 mil. The group acquired 41,000 shares at prices ranging from $5 and $5.50 in cash per share between Sep 9 and Oct 16. The group also acquired 13,500 shares between Jun 10 and Jun 13 at prices ranging from $6 to $6.13 in cash per share and 86,702 shares between June 17 and Aug 13 at prices ranging from $5.25 to $5.75 per share. The value was based on the high end of each price range.</t>
  </si>
  <si>
    <t>C&amp;S/Sovran Corp</t>
  </si>
  <si>
    <t>NCNB Corp,Charlotte,NC</t>
  </si>
  <si>
    <t>Bank hldg co, financial svcs</t>
  </si>
  <si>
    <t>US - C&amp;S/Sovran merged into NCNB to form Nationsbank in a stock swap transaction valued at $4.259 bil. NCNB issued . 84 of its shares for each of C&amp;S's shares, up from a rumored .75 NCNB share per C&amp;S share. Based on NCNB's closing stock price of $37 on Jul 19, the last full trading day prior to the announcement, each share of C&amp;S/Sovran was valued at $31.08. The banks had also granted each other options to acquire up to 19. 9% of each other's stock in a lockup agreement.</t>
  </si>
  <si>
    <t>Marquest Medical Products Inc</t>
  </si>
  <si>
    <t>Mnfr,whl surgical appliances</t>
  </si>
  <si>
    <t>Cooper withdrew its offer after stating that it was still interested in pursuing a merger with Marquest Medical Products (MMP) despite MMP's rejection and Cooper's subsequent withdrawal of a $15 per share in cash or $63.54 mil merger offer. MMP had rejected a prior offer from Cooper and adopted a shareholder rights plan, but Cooper persisted. In Jun 1991, Cooper acquired a 7.4% stake in MMP and said that it might seek control of the company. As of Oct 1991, Cooper sold its entire position in MMP. Cooper was also willing to acquire MMP's health services unit in lieu of the merger.</t>
  </si>
  <si>
    <t>Chairman Edwin F Hale Sr announced that Baltimore Bancorp, Maryland (BB) was no longer seeking a buyer or merger partner. BB had announced in June 1991 that it was considering the sale of the company. In April 1990 Baltimore Bancorp was the target of an unsuccessful hostile takeover attempt by First Maryland Bancorp, a unit of Allied Irish Banks. First Maryland later denied rumors that it was interested in making a renewed bid for Baltimore Bancorp.</t>
  </si>
  <si>
    <t>Dow B Hickam Inc</t>
  </si>
  <si>
    <t>Mylan Laboratories Inc</t>
  </si>
  <si>
    <t>Mnfr,whl pharm</t>
  </si>
  <si>
    <t>US - Mylan Laboratories Inc (ML) acquired all of the outstanding common stock of Dow B Hickman Inc (DBH) in a cash and stock transaction valued at $48.308 mil. DBH's shareholders received .85524 share of ML for each of DBH's 2.2 mil shares outstanding. ML also paid $1,100 in cash for each of DBH's 916 preferred shares outstanding. ML merged DBH into its MLI unit. Based on ML's closing stock price of $24.75 on Jun 26, 1991, the last full trading day prior to the announcement, each share of DBH had an indicated value of $21.17.</t>
  </si>
  <si>
    <t>United Capital Corp</t>
  </si>
  <si>
    <t>RE and securities investment</t>
  </si>
  <si>
    <t>BMG Equities Corp</t>
  </si>
  <si>
    <t>Real estate agency</t>
  </si>
  <si>
    <t>BMG Equities acquired the remaining 35% of United Capital that it did not already own. Previously, United Capital bought back 3. 4 mil common shares from Pearl H Hack, a 50% owner of BMG.</t>
  </si>
  <si>
    <t>Concorde Career Colleges Inc</t>
  </si>
  <si>
    <t>Pvd career training svcs</t>
  </si>
  <si>
    <t>ConCorde Career Colleges announced in July 1991 that it had retained Bowles Hollowell Conner to act as financial advisor to explore various strategic alternatives to maximize shareholders' value, which included the sale or merger of the company.</t>
  </si>
  <si>
    <t>La Petite Academy(Vestar/LPA)</t>
  </si>
  <si>
    <t>Pvd child care,edu svcs</t>
  </si>
  <si>
    <t>La Petite Academy announced that it was no longer actively seeking a buyer. In July 1991 La Petite Academy had retained Merrill Lynch to act as financial advisor to explore various strategic alternatives including the sale or merger of the company.</t>
  </si>
  <si>
    <t>US - Doskocil Cos Inc (DC), a producer of sausage and prepared meats, completed its debt restructuring with creditors (CR). Upon completion, CR held a 92% interest in the restructured DC.</t>
  </si>
  <si>
    <t>Vulcan International Corp</t>
  </si>
  <si>
    <t>Mnfr rubber shoe heels</t>
  </si>
  <si>
    <t>An investor group that included Lloyd Miller and Catherine Miller disclosed in July 1991 that it had acquired a 17.8% stake in Vulcan International (266,041 shares) and might seek to acquire control of the company through a proxy contest, tender offer or by acquiring more stock.</t>
  </si>
  <si>
    <t>Worldwide Computer Svcs Inc</t>
  </si>
  <si>
    <t>Computer consulting services</t>
  </si>
  <si>
    <t>Worldwide Computer Services announced that it had terminated discussions with an undisclosed acquiror regarding a possible acquisition of Worldwide. Janney Montgomery Scott had been retained as financial advisor by Worldwide.</t>
  </si>
  <si>
    <t>Independence Savings Bank,NY</t>
  </si>
  <si>
    <t>US - Independence Savings Bank (ISB), Brooklyn, NY, a unit of Independence Community Bank, acquired Long Island City Financial (LIC) for $28.01 in cash per share, or $76.9 mil. As part of the consideration paid, ISB paid $4 mil for the 252,079 outstanding options of LIC. Previously, it was disclosed that an undisclosed bank made a cash bid for LIC but could not receive regulatory approval for the deal. Another bank withdrew its stock swap merger bid for LIC after its own stock price dropped. LIC announced in November 1990 that is was seeking a buyer.</t>
  </si>
  <si>
    <t>BankAmerica, who had disclosed that it had examined Talman Home Federal Savings &amp; Loan Assn and was interested in possibly acquiring Talman, terminated its interest when Talman was acquired by LaSalle National. In July 1990, Talman, who was financially weak, had announced that it was seeking a buyer after an offer by an investor group had faltered.</t>
  </si>
  <si>
    <t>Ashton-Tate Corp</t>
  </si>
  <si>
    <t>Dvlp software,database mgt sys</t>
  </si>
  <si>
    <t>Borland International Inc</t>
  </si>
  <si>
    <t>US - Borland International (BI) acquired Ashton-Tate in a stock swap transaction valued at $547.6 mil. Ashton- Tate's shareholders received . 361 share of BI's common stock for each of Ashton- Tate's 30,576,515 shares outstanding. Based on BI's closing stock price of $49. 625 on July 9, the last full trading day prior to the announcement, each share of Ashton-Tate had a value of $17.91. Goldman Sachs advised Ashton-Tate and Lazard Freres advised BI. The merger was accounted for as a pooling of interests.</t>
  </si>
  <si>
    <t>Glenmore Distilleries Co</t>
  </si>
  <si>
    <t>Produce distilled liquors,wine</t>
  </si>
  <si>
    <t>United Distillers USA(Guiness)</t>
  </si>
  <si>
    <t>Produce spirits</t>
  </si>
  <si>
    <t>United Distillers USA, a unit of Guinness, acquired all of the outstanding common shares of Glenmore Distilleries for $42.50 in cash per share plus the assumption of $58 mil in liabilities, or a total of $161 mil. Glenmore's products included Scoresby, Fleischmann's vodka and gin, Skol vodka and Mr Boston Cordials.</t>
  </si>
  <si>
    <t>As part of a restructuring plan to avoid Chapter 11 bankruptcy, Tucson Electric Power creditors received 50% of Tucson's common stock in an amended offer. Under the plan, holders of Tucson's $82. 8 mil of preferred stock received 34%, up from 20%, of the common stock while current shareholders retained a 16% interest, down from 20%. Merrill Lynch advised Tucson Electric.</t>
  </si>
  <si>
    <t>Hadson Corp</t>
  </si>
  <si>
    <t>Own,operate gas pipeline</t>
  </si>
  <si>
    <t>Hadson withdrew a proposal to reacquire the 51% interest in Hadson Energy Resources that it spun off in February 1990. Under the terms of the unsolicited merger proposal, Hadson had offered $14.50 per share, or a total of $45,309, 165. The companies would have been combined into an entity which would be 63%-owned by Hadson's shareholders and 37%- owned by Hadson Energy shareholders other than Hadson. Lehman Brothers was retained by Hadson as a financial advisor, while a special committee of Hadson Energy retained Merrill Lynch.</t>
  </si>
  <si>
    <t>Black Industries Inc</t>
  </si>
  <si>
    <t>Telephone lines placement svcs</t>
  </si>
  <si>
    <t>Helipol Investments Europe BV</t>
  </si>
  <si>
    <t>Netherlands</t>
  </si>
  <si>
    <t>Helipol Investments Europe acquired, through a leveraged buyout, all of the outstanding common stock of Black Industries for $13 per share, or a total of $10,313, 238. The merger took Black Industries private and also settled a lawsuit that involved Black's self-tender offer of Mar 9, 1990.</t>
  </si>
  <si>
    <t>Manufacturers Hanover Corp</t>
  </si>
  <si>
    <t>US - Manufacturers Hanover Corp (MH) and Chemical Banking Corp (CB) merged in a stock swap transaction valued at $2.0442 bil. Under the terms of the agreement, each MH share was exchanged for 1. 14 CH shares. Based on CB's closing stock price of $23.75 on Jul 12, the last full trading day prior to the announcement, each MH share was valued at $27.08. MH and CB also entered a lockup agreement under which each company had the option to acquire 19.9% of the other's common stock under certain conditions. MH and CB had been the topic of merger rumors since December 1989.</t>
  </si>
  <si>
    <t>LaSalle National Corp</t>
  </si>
  <si>
    <t>LaSalle National, a unit of ABN-AMRO Holding, acquired Talman Home Federal Savings &amp; Loan, Chicago, Illinois for $97 mil. LaSalle offered $10 per share, or $97 mil for Talman's stock. In addition, ABN provided Talman with a $330 mil capital infusion In July 1990, Talman announced that it was seeking a buyer. BankAmerica had shown interest in Talman.</t>
  </si>
  <si>
    <t>MFS Multimarket Total Return</t>
  </si>
  <si>
    <t>Massachusetts Finl Bond Fund</t>
  </si>
  <si>
    <t>Open-end invt management svcs</t>
  </si>
  <si>
    <t>Massachusetts Financial Bond Fund acquired MFS Multimarket Total Return Trust in a tax- free stock swap transaction. The share exchange ratio was to be based on the net asset value of each fund at the completion date. The acquisition was to be subject to final approval by the holders of the majority of the outstanding shares of Multimarket Total Return Trust.</t>
  </si>
  <si>
    <t>BTU International Inc</t>
  </si>
  <si>
    <t>Mnfr,whl thermal processing</t>
  </si>
  <si>
    <t>A group including George McFadden disclosed in July 1991 that it might seek to acquire control of BTU International through a negotiated transaction, tender or exchange offer, proxy contest or by acquiring more common shares in the open market. The group had raised its stake in BTU International to 5.08% by acquiring 96,000 shares, or 1. 4% of the shares outstanding for $170,000.</t>
  </si>
  <si>
    <t>Coda Energy Inc</t>
  </si>
  <si>
    <t>Coda Energy disclosed that it was in talks with an undisclosed acquiror regarding the possible acquisition of Coda Energy.</t>
  </si>
  <si>
    <t>Trans World Airlines' (TWA) offer to acquire Pan Am for a revised range of $1 bil to $1. 16 bil in cash, promissory notes, and assumption of liabilities was withdrawn when Delta Air Lines' bid was approved by the bankruptcy court. TWA was to have sold off some of Pan Am's assets to American Airlines for $250 mil. The new Pan Am was to have been owned by TWA, American, and Pan Am's creditors. Delta eventually acquired most of the assets of Pan Am. The value of TWA's offer was estimated by the bankruptcy court.</t>
  </si>
  <si>
    <t>BANC ONE withdrew its bid to acquire AmeriTrust. AmeriTrust merged with Society for $31.20 per share, or $1.186 bil. AmeriTrust had requested that BANC ONE review its books with regard to a possible merger. National City also withdrew its $887.8 mil bid for AmeriTrust.</t>
  </si>
  <si>
    <t>Cetus Corp</t>
  </si>
  <si>
    <t>Provide research services</t>
  </si>
  <si>
    <t>Chiron Corp</t>
  </si>
  <si>
    <t>Mnfr vaccines,biopharm prod</t>
  </si>
  <si>
    <t>Chiron merged with Cetus in a stock swap valued at $332.918 mil. Chiron exchanged .3 of its shares for each Cetus share in addition to assuming $145 mil of Cetus' liabilities. Based on Chiron's closing stock price of $15.187 on Jul 19, the last full trading day prior to the announcement, each Cetus share was valued at $. Cetus also sold its GeneAmp polymerase technology to Hoffman-La Roche. In November 1990, Cetus stated that it would seek a partner after FDA disapproval of anti- cancer drug Proleukin/ Interleukin-2.</t>
  </si>
  <si>
    <t>Golden Corral Realty Corp</t>
  </si>
  <si>
    <t>Re invest tr</t>
  </si>
  <si>
    <t>In July 1991, Golden Corral Realty stated that it began to explore strategic alternatives for the company, including a possible sale. Alex Brown &amp; Sons acted as financial advisor to Golden Corral board.</t>
  </si>
  <si>
    <t>ComputerLand Corp</t>
  </si>
  <si>
    <t>Pvd computer software,services</t>
  </si>
  <si>
    <t>ComputerLand (CL) withdrew its offer to acquire Businessland for $51.734 mil after JWP successfully acquired Businessland. CL offered to exchange $1 of its shares for each share of Businessland's 32.249 mil shares outstanding, plus a choice of $450 cash or common shares per $1000 principal amount of $43.3 mil of 5.5% convertible subordinated debentures due 2007. If the cash option was chosen, CL would have considered acquiring some assets and liabilities of Businessland.</t>
  </si>
  <si>
    <t>International Broadcast Sys</t>
  </si>
  <si>
    <t>Movie, TV program distn svcs</t>
  </si>
  <si>
    <t>Vidmark Inc</t>
  </si>
  <si>
    <t>Distribute motion pictures</t>
  </si>
  <si>
    <t>Vidmark acquired International Broadcast Systems (IBS) for $.51 per share or $1.67 mil. Vidmark acquired the 2.778 mil Class A shares, and .449 mil Class B shares through a cash tender offer. These shares represented 98.3% of the Class A shares outstanding and 100% of the Class B shares. All remaining shares were acquired for $.51. Vidmark had previously offered 600,000 of its common shares for IBS. IBS said in April 1991 that it had retained an investment bank and was considering a sale of the company.</t>
  </si>
  <si>
    <t>Alexander Energy Corp</t>
  </si>
  <si>
    <t>Alexander Energy acquired all of the outstanding common shares of Bradmar Petroleum for $9.85 mil. Bradmar shareholders received $2.57 in cash and .48 Alexander common shares per Bradmar share held. Based on Alexander Energy's closing stock price of $5.5 on Jul 24, the last full trading day prior to the announcement, each Bradmar share was valued at $5.21.</t>
  </si>
  <si>
    <t>Country Lake Foods Inc</t>
  </si>
  <si>
    <t>Process dairy products</t>
  </si>
  <si>
    <t>Land O'Lakes Inc</t>
  </si>
  <si>
    <t>Produce dairy food ingredients</t>
  </si>
  <si>
    <t>Land O' Lakes acquired the remaining 34.5% interest (1, 581,000 shares) that it did not already own in Country Lake Foods in a revised tender offer for $15.30 per share, or a total of $22.6 mil in cash. 1,431,000 shares were acquired for $21.9 mil, while an additional 150,000 shares subject to options were acquired for $.705 mil. Upon expiration on Nov 4, 30. 2% of Country Lake Foods' shares had been tendered. Land O' Lakes acquired the remaining shares in a merger at the tender price. The original agreement was for $13.5 per share, or a total of $18.9 mil in cash.</t>
  </si>
  <si>
    <t>Selecterm Inc</t>
  </si>
  <si>
    <t>Whl,lease,service computers</t>
  </si>
  <si>
    <t>A group comprised of Francis Privitera and Phillip Ciolfi, the founders and director and president, respectively, of Selecterm, withdrew their offer to acquire 494,100 common shares, or the remaining 27% it did not already own of Selecterm for $5 in cash per share, or a total of $2.47 mil. Completion had been contingent upon the approval by shareholders owning at least 80% of the 1.83 mil shares outstanding of Selecterm.</t>
  </si>
  <si>
    <t>Gateway Fed Corp,OH</t>
  </si>
  <si>
    <t>Gateway Fed, Cincinnati, Ohio, disclosed that it had held discussions with an undisclosed acquiror concerning the acquisition of Gateway.</t>
  </si>
  <si>
    <t>Hibernia Corp,New Orleans,LA</t>
  </si>
  <si>
    <t>NCNB dispelled in July 1991 a rumor that it was considering a capital infusion into Hibernia which would give NCNB the rights to eventually acquire Hibernia. Hibernia was actively seeking capital, according to people familiar with the situation, and it was not immediately clear whether it was also in talks with other parties about a capital infusion. Hibernia later announced that it was seeking a merger partner.</t>
  </si>
  <si>
    <t>Sports-Tech International Inc</t>
  </si>
  <si>
    <t>Mnfr video training simulators</t>
  </si>
  <si>
    <t>Bristol Holdings Inc</t>
  </si>
  <si>
    <t>Investment firm;holding co</t>
  </si>
  <si>
    <t>Bristol Holdings exercised an option to acquire the remaining 33.3% of Sports- Tech International that it did not already own in a stock swap transaction valued at $.644 mil. Bristol paid 1. 2 of its common shares for each of Sports-Tech's 357,380 shares that it did not own. Based on Bristol's closing share price of $1.1875 on Jul 25, the last full trading day prior to the announcement of terms, the shares were valued at $1.80. Bristol had previously acquired from Lexicon 750,000 shares, or 67. 7% of Sports-Tech's.</t>
  </si>
  <si>
    <t>Bristol Holdings acquired 750,000 common shares, or 67. 7% of Lexicon's Sports-Tech International's shares outstanding, from Lexicon for $1.4 mil in cash. Bristol was also in discussions for a proposed merger with Sports- Tech. Concurrently, Bristol Holdings acquired a 3-year warrant to purchase 4 mil shares of Lexicon at an initial price of $.1875 per share, which was to increase to $.25 per share in 1992. The 4 mil shares represented about 33% of Lexicon's outstanding common shares.</t>
  </si>
  <si>
    <t>Olson Industries Inc</t>
  </si>
  <si>
    <t>Produce and wholesale eggs</t>
  </si>
  <si>
    <t>0252</t>
  </si>
  <si>
    <t>Dolco Packaging Corp</t>
  </si>
  <si>
    <t>Mnfr packaging,shipping prods</t>
  </si>
  <si>
    <t>Dolco Packaging merged with Olson Industries.</t>
  </si>
  <si>
    <t>Hibernia ended its search for a merger partner or outside investor to inject capital into the company to meet required capital standards. Instead, Hibernia would restructure $99.4 mil of debt held by banks led by Chase Manhattan. The proposed deal would give the lenders as much 46% of Hibernia's common stock, $26.9 mil of senior debt, and $12.5 mil of subordinated debt. Hibernia stated in August 1991 that it would likely default on $85 mil in debt if it did not reach a recapitalization agreement by Oct 31, 1991.</t>
  </si>
  <si>
    <t>Jiffy Lube International Inc</t>
  </si>
  <si>
    <t>Pvd auto lubrication svcs</t>
  </si>
  <si>
    <t>Pennzoil Co</t>
  </si>
  <si>
    <t>Mnfr,whl petroleum prods</t>
  </si>
  <si>
    <t>Pennzoil acquired the remaining 18.95 of Jiffy Lube International that it did not already own in an unsolicited cash tender offer at $6 per share, or $9.19 mil. At expiration on Sep 3, 1991, 940,000 shares had been committed. Pennzoil purchased the remaining 592,394 shares in a merger at the tender price. Pennzoil acquired an 81.1% interest in Jiffy Lube in January 1990. A Jiffy Lube shareholder group filed suit to block the merger, calling Pennzoil's offer inadequate.</t>
  </si>
  <si>
    <t>Ross Industries Inc</t>
  </si>
  <si>
    <t>Mnfr food processing machines</t>
  </si>
  <si>
    <t>An investor group that included Roger and George Reiser acquired more than 50% of Ross Industries' outstanding common shares from Henry Ross, chairman and founder of Ross Industries. Terms were not disclosed.</t>
  </si>
  <si>
    <t>New York Merchants Inc</t>
  </si>
  <si>
    <t>New York Merchants announced that it was considering the acquisition of up to 1,150, 000 common shares, or 80% of the outstanding shares of BFS Bankorp. New York Merchants had held 125,100 shares, or 8. 7% of BFS. The transaction was subject to regulatory approval.</t>
  </si>
  <si>
    <t>Valley Capital Corp,Las Vegas</t>
  </si>
  <si>
    <t>US - BankAmerica (BA) acquired Valley Capital, Las Vegas (VC) in a stock swap valued at $347.3 mil. Consideration was satisfied with the issuance of .9 BA share for each of the 11.1 mil VC shares outstanding. Based on BA's closing stock price of $34.75 on Jul 30, the last full trading day prior to the announcement, each VC share was valued at $31.275. VC also had granted BA the option to purchase 15% of its common shares under a lockup agreement.</t>
  </si>
  <si>
    <t>Petroleum Equipment Tools Co</t>
  </si>
  <si>
    <t>Oil,gas equipment rental svcs</t>
  </si>
  <si>
    <t>Energy Ventures Inc</t>
  </si>
  <si>
    <t>Mnfr oil field products</t>
  </si>
  <si>
    <t>Weatherford International (WI) acquired Petroleum Equipment Tools (PETCO) in a stock swap transaction valued at $71.76 mil. PETCO's shareholders received .8 share of WI's common stock per share held. Based on WI's closing stock price of $5.75 on Jul 31, the last full trading day prior to announcement of the accord, each share of PETCO had an indicated value of $4.6. Howard Weil Labouisse Friedrichs advised WI while Smith Barney Harris Upham advised PETCO.</t>
  </si>
  <si>
    <t>Strings Ltd</t>
  </si>
  <si>
    <t>Operate specialty stores</t>
  </si>
  <si>
    <t>Strings announced that it was in merger talks with an undisclosed East Coast retail chain.</t>
  </si>
  <si>
    <t>EnviroSource (ES) acquired the remaining 1,441,000 common shares, or 37.5% of Envirosafe Services' outstanding common shares that it did not already own for a sweetened $16.8 mil. ES offered 4.25 ES common shares per Envirosafe share, up from an original 2.7 shares and a first raised bid to 3.5 ES shares per Envirosafe Services share. Based on ES' closing stock price of $2.75 on Nov 1, the last full trading day prior to the change in terms, each share of Envirosafe Services was valued at $11.69. ES owned 62. 5% through its IU International unit.</t>
  </si>
  <si>
    <t>Torotel Inc</t>
  </si>
  <si>
    <t>Mnfr magnetic components</t>
  </si>
  <si>
    <t>Electric &amp; Gas Technology Inc</t>
  </si>
  <si>
    <t>Mnfr electric,gas meter prod</t>
  </si>
  <si>
    <t>Electric &amp; Gas Technology, a unit of Commercial Technology, announced that it was no longer interested in acquiring the remaining 53% of Torotel which it could not acquire through an option. Electric &amp; Gas was granted an option to purchase 1.2 mil common shares, or 47% of Torotel's common stock from the Sizemore family, the controlling shareholders. The Sizemore family was originally thought to hold 36. 9%, and Electric said it would pay $5 per share, or $8. 1 mil for the 63.1%. Electric stated that it was going to keep its holdings in Torotel under 50%.</t>
  </si>
  <si>
    <t>Carter Hawley Hale Stores Inc</t>
  </si>
  <si>
    <t>US - Bankrupt Carter Hawley Hale Stores Inc(CHH), an owner and operator of department stores, completed its debt restructuring with creditors(CR), the largest of whom was Zell/Chilmark Fund LP, who received 23.705 mil new common shares. Upon completion, CR held a 71.73% interest in the restructured CHH.</t>
  </si>
  <si>
    <t>LIVE Entertainment planned to swap 1,626,000 of its newly-issued common shares with Carolco for the 1,084, 000 shares of LIVE's Series A common shares that Carolco held. The swap was to boost Carolco's 47% voting interest in LIVE to equal its 54% equity interest. Each Series A share was equal to 1.5 shares of LIVE's common shares, except for voting rights.</t>
  </si>
  <si>
    <t>Sterling Electronics Corp</t>
  </si>
  <si>
    <t>Whl electronic components</t>
  </si>
  <si>
    <t>Adage Inc</t>
  </si>
  <si>
    <t>Mnfr computer processors</t>
  </si>
  <si>
    <t>Adage disclosed that it raised its stake in Sterling Electronics to 5.8% (235,500 shares) and it might seek to acquire control of Sterling, though it was not in any type of acquisition discussions at the time of the stake purchase.</t>
  </si>
  <si>
    <t>West Point-Pepperell Inc</t>
  </si>
  <si>
    <t>Mnfr apparel, assorted fabrics</t>
  </si>
  <si>
    <t>WP Holding, a subsidiary formed by creditors, acquired a 95% interest in West Point- Pepperell from William Farley. Farley's interest in the company, which was held through West Point Acquisition (WPA), was reduced to under 5%. The plan called for a swap of debt for equity that would reduce WPA's debt to $800 mil from $1.9 bil, in addition to a 'prepackaged' Chapter 11 bankruptcy filing. WP Holding would assume $796 mil of WPA's debt and convert the remaining $1.1 bil of WPA's senior notes and preferred stock into WP Holding common stock.</t>
  </si>
  <si>
    <t>XL/Datacomp Inc</t>
  </si>
  <si>
    <t>Whl computers,software</t>
  </si>
  <si>
    <t>Storage Technology Corp</t>
  </si>
  <si>
    <t>Mnfr data storage equip</t>
  </si>
  <si>
    <t>US - Storage Technology acquired XL/Datacomp in a stock swap transaction valued at $161.8 mil. XL/Datacomp shareholders received .2675 Storage common share for each XL/Datacomp common share held. Based on Storage's closing share price of $50 on Aug 2, the last full trading day prior to the announcement of the terms, each of XL/ Datacomp's 12 mil shares was valued at $13.375. XL/ Datacomp had previously stated that it was in talks with an undisclosed party concerning a stock swap merger.</t>
  </si>
  <si>
    <t>Avantek Inc</t>
  </si>
  <si>
    <t>Mnfr microwave components</t>
  </si>
  <si>
    <t>Hewlett-Packard Co</t>
  </si>
  <si>
    <t>Mnfr computers,testing equip</t>
  </si>
  <si>
    <t>US - Hewlett-Packard Co (HP) acquired all of the outstanding common shares of Avantek Inc (AI) for $4.60 in cash per share, or a total of $90.72 mil. HP had received a lock-up option to purchase an additional 3.63 mil shares of AI's authorized, but not outstanding shares for $4.60 per share. Smith Barney Harris Upham advised AI. Goldman Sachs advised HP.</t>
  </si>
  <si>
    <t>Aerosonic Corp</t>
  </si>
  <si>
    <t>Mnfr precision flight products</t>
  </si>
  <si>
    <t>Aerosonic announced in August 1991 that it had retained TR Winston to seek a merger or acquisition partner. In October 1992, Aerosonic reiterated its intent to seek a buyer for the company.</t>
  </si>
  <si>
    <t>First National Pennsylvania</t>
  </si>
  <si>
    <t>Integra Financial Corp</t>
  </si>
  <si>
    <t>Integra Financial ended its confidentiality agreement with First National Pennsylvania regarding the possible acquisition of First National by Integra. First National announced in August 1991 that it formed a committee of non-management directors to explore the possible sale of the company. First National stated it was 'evaluating' possible buyers at the suggestion of its financial adviser McDonald &amp; Co Securities, but added that it was under no pressure to sell. First National was later acquired by PNC Financial.</t>
  </si>
  <si>
    <t>Image Bank Inc</t>
  </si>
  <si>
    <t>Dvlp software;pvd photo svcs</t>
  </si>
  <si>
    <t>Eastman Kodak Co</t>
  </si>
  <si>
    <t>Mnfr,whl still,video cameras</t>
  </si>
  <si>
    <t>Eastman Kodak (EK) completed a $6.75 per share cash tender offer for all shares of Image Bank, valued at $24.9 mil. Holders of 3,660,000 shares, or 90% of Image's common stock, tendered their holdings. All remaining shares were acquired for $6. 75 in cash. Directors and executive officers of Image Bank had approved the merger. Initially, EK submitted an unsolicited offer for between $6 and $6.50 per share, raised from the intended price of $5.50 per share. Ladenburg Thalmann advised Image Bank, while Thomas W Stephenson Jr advised EK.</t>
  </si>
  <si>
    <t>US - Pan Am Corp (PAC), a passenger airline, withdrew its debt restructuring plans with its Creditors (CR). Upon completion, CR were to hold a 55% interest in the restructured PAC. Concurrently, Delta Airlines' withdrew its offer for the remaining 45% stake in PAC. Delta had planned to acquire the stake and various assets and liabilities. Delta eventually acquired the assets, including Pan Am Shuttle. The remaining assets, including Pan Am's Latin American operations, were to be sold at a liquidation auction in December 1991. United Airlines, TWA, and American had all been bidding for the same assets that the CR and Delta were interested in.</t>
  </si>
  <si>
    <t>US - BankAmerica (BA) acquired Security Pacific (SP) in a stock swap valued at $4. 2127 bil. BA paid .88 of a share for each of SP's 128 mil common shares outstanding. Based on BA's closing stock price of $37.375 on Aug 9, the last full trading day prior to the announcement, each SP share was valued at $32.89. BA also exchanged one new preferred share for each SP preferred share. SP also granted BA an option to acquire up to 19.9% of its shares, and BA granted SP an option to acquire up to 9.95% of its shares.</t>
  </si>
  <si>
    <t>Penn Central Corp</t>
  </si>
  <si>
    <t>Manufacture wire products</t>
  </si>
  <si>
    <t>A group consisting of Carl Lindner and his companies American Financial Corp (AFC) and American Financial Enterprises raised its stake in Penn Central from 49.2% to to 50.3%. AFC had previously filed with the Securities and Exchange Commission indicating that prior to exceeding the 50% threshold, AFC would file a premerger notification and report form under the Hart-Scott-Rodino Act and wait until the expiration or early termination of the applicable waiting period.</t>
  </si>
  <si>
    <t>Bohemia Inc</t>
  </si>
  <si>
    <t>Mnfr lumber, plywood, beams</t>
  </si>
  <si>
    <t>Willamette Industries Inc</t>
  </si>
  <si>
    <t>Timber tracts, mnfr wood prod</t>
  </si>
  <si>
    <t>Willamette Industries acquired Bohemia for $24 per share or $128.5 mil. Willamette acquired 4.9 mil shares tendered through a cash tender offer, and subsequently acquired the remaining shares for the same $24 per share tender price. The offer had been conditioned upon a majority of the shares being tendered. Willamette was also granted an option to purchase 19.4% of the outstanding shares held by certain Bohemia directors.</t>
  </si>
  <si>
    <t>Dillard Department Stores Inc</t>
  </si>
  <si>
    <t>Dillard Department Stores was solicited by creditors of Carter Hawley Hale Stores to make a bid for the bankrupt company, but Dillard expressed no interest. The bid was to have challenged the tender offer by Zell/ Chilmark for Carter Hawley's outstanding debt and unsecured creditor claims. Dillard was rumored in August 1991 to be considering a bid for Carter Hawley Hale.</t>
  </si>
  <si>
    <t>US - Orion Pictures Corp (OPC), a provider of motion picture production, distribution and finance services and a 70.4%-owned unit of Metromedia Broadcasting (MB), terminated debt restructuring plans with its Bondholders (BH). Upon completion, BH were to hold a 70% interest in the restructured OPC. Upon termination of the debt restructuring plans, OPC filed for Chapter 11 bankruptcy. As part of the failed plans, MB was to receive a 29% stake in the newly-recapitalized OPC in return for a $50 mil capital infusion.</t>
  </si>
  <si>
    <t>Shawmut National Corp</t>
  </si>
  <si>
    <t>It was rumored in August 1991 that BankAmerica was considering acquiring Shawmut National. Shawmut had been searching since the spring of 1991 for a capital infusion due to pressure from regulators. Shawmut was also rumored to be in merger negotiations with Bank of Boston. BankAmerica had intentions of expanding into the New England area since it lost in its bid for Bank of New England. The Current status of this deal is unknown.</t>
  </si>
  <si>
    <t>National Health Care Systems</t>
  </si>
  <si>
    <t>Provide medical plan services</t>
  </si>
  <si>
    <t>Foundation Health Corp</t>
  </si>
  <si>
    <t>Own and operate HMO's</t>
  </si>
  <si>
    <t>US - Foundation Health (FH) acquired National Health Care Systems (NHCS) in a stock swap transaction valued at $14.88 mil. NHCS shareholders received $3.30 in FH common stock per NCHS share held. Based on FH's closing stock price of $24.25 on Aug 15, the last full trading day prior to the announcement, NHCS shareholders received . 136 FH common shares per NHCS share held.</t>
  </si>
  <si>
    <t>On-Line Software International</t>
  </si>
  <si>
    <t>Computer Assoc Intl Inc</t>
  </si>
  <si>
    <t>Dvlp IT mgmt software</t>
  </si>
  <si>
    <t>Computer Associates International (CA) acquired On-Line Software through a tender offer at $15.75 in cash per share, or $130.903 mil. At expiration on Sep 20, 1991, 7,305,390 shares, or 90% of On-Line's common stock, had been committed. CA acquired the remaining shares in a merger at the tender price. CA also paid $3.06 mil for cancellation of stock options owned by 11 On-Line officers. On-Line Chairman, Jack Berdy, sold his stake in On-Line (1,607,266 shares, or 19.8% on a fully-diluted basis) for $15.75 per share upon the completion of the offer.</t>
  </si>
  <si>
    <t>F&amp;M Financial Services Corp</t>
  </si>
  <si>
    <t>Associated Banc-Corp</t>
  </si>
  <si>
    <t>US - Associated Banc-Corp (AB) acquired F&amp;M Financial Services in a stock swap valued at $70.9 mil. F&amp;M holders received .8 shares of AB's common stock for each of F&amp;M's 3,017,110 shares outstanding. Based on AB's closing price of $29.375 on Aug 16, the last full trading day prior to the announcement, each share of F&amp;M was valued at $23.50. AB was also granted an option to acquire 19.99% of F&amp;M's unissued shares at $15.50 per share through a lockup agreement. The new bank was to have $2.6 bil in assets, $191 mil in equity capital and 69 branches.</t>
  </si>
  <si>
    <t>American Medical Holdings Inc</t>
  </si>
  <si>
    <t>An investor group including First Boston and Harry Gray Mel Klein &amp; Partners acquired 9.4 mil shares, or 72.53%, of American Medical Holdings. The group was to pay market value for the shares. Based on American Medical's closing stock price of $9.625 on Aug 21, the last full trading day prior to the announcement, the stake had an indicated value of $90.1 mil.</t>
  </si>
  <si>
    <t>Foothill Independent Bancorp</t>
  </si>
  <si>
    <t>CVB Financial Corp,Ontario,CA</t>
  </si>
  <si>
    <t>CVB Financial terminated its agreement to acquire all of the outstanding common shares of Foothill Independent Bancorp for $37.9 mil. CVB had offered $6.79 in cash plus .491 of a share of newly- issued CVB preferred stock, which had a stated value of $10 per share and a 10.5% annual cumulative cash dividend, for each share of Foothill's common shares outstanding.</t>
  </si>
  <si>
    <t>Village Financial Services Ltd</t>
  </si>
  <si>
    <t>Village Financial Services disregarded the urgings of Jerome H Davis, a 9.9% holder of Village Financial Services, to seek a buyer for the company. Davis had announced in August 1991 that he had urged the board of Village Financial to consider seeking a buyer for the company. Davis also disclosed that he had sent public information about Village Financial to potential buyers. As of June 1992, Jerome H Davis had lowered his stake to 4.98%.</t>
  </si>
  <si>
    <t>First Commerce,New Orleans,LA</t>
  </si>
  <si>
    <t>First Commerce ended merger negotiation talks with an undisclosed acquiror.</t>
  </si>
  <si>
    <t>Discount Corp of New York</t>
  </si>
  <si>
    <t>An investor group including George and John H McFadden disclosed in August 1991 that it had acquired a 5.02% stake in Discount Corp of New York (408,326 shares) and that it might seek to acquire control of Discount Corp of New York through a negotiated transaction, tender or exchange offer, proxy contest or by acquiring more common shares in the open market.</t>
  </si>
  <si>
    <t>Price Communications Corp</t>
  </si>
  <si>
    <t>Own,op TV and radio stations</t>
  </si>
  <si>
    <t>US - Price Communications Corp (PCC), an owner and operator of television and radio stations, completed its debt restructuring with Bondholders (BH). Upon completion, BH held a 94.5% interest in the restructured PCC. PCC had previously sought a pact with creditors that would allow it to file a "prepackaged" reorganization plan under Chapter 11 of the US Bankruptcy Code. Otherwise, PCC would be forced to have the bankruptcy court apply a "cram-down" provision against holders of about $282 mil of subordinated debt.</t>
  </si>
  <si>
    <t>Applied Solar Energy Corp</t>
  </si>
  <si>
    <t>Design and mnfr solar cells</t>
  </si>
  <si>
    <t>A management-led investor group including Westar Capital, Enterprise Partners, and Meridian Strategies acquired Applied Solar Energy, a 75%-owned unit of American Cyanamid, in an amended transaction valued at $19.23 mil. American Cyanamid received $1.99 per share for its 2,563,500 shares plus cash and notes in payment of $9 mil of loans outstanding while the remaining shareholders received $6 a share in cash for their 854, 500 shares.</t>
  </si>
  <si>
    <t>An investor group including H Ross Perot Jr, possibly Federal Express, and 2 unidentified international airlines ended discussions with bankrupt Continental Airlines Holdings involving a possible merger. Continental and its creditors had held discussions with numerous other parties including Marvin Davis, USAir Group, and Northwest Airlines. Continental had filed for protection under Chapter 11 in December 1990.</t>
  </si>
  <si>
    <t>Community Psychiatric Centers</t>
  </si>
  <si>
    <t>Own,op psychiatric hospitals</t>
  </si>
  <si>
    <t>Community Psychiatric Centers (CPC) ended its bid to acquire Healthcare International (HI) for a lowered $10.47 mil. CPC had offered $.60 in cash for each HI common share, $1.20 in cash for each convertible preferred shares and $5.55 mil for HI's subordinated debt of $29.2 mil. CPC had initially offered $.75 cash- per-common, $1.50 cash-per- preferred and $5.8 mil for HI's debt. CPC ended its agreement to acquire HealthVest (HV) for $306.8 mil. The successful closing of this deal had been a condition of the HV merger. Greenery Rehabilitation launched a competing bid.</t>
  </si>
  <si>
    <t>Community Psychiatric Centers (CPC) terminated its agreement to acquire HealthVest (HV) for a lowered $290.6 mil. Terms included $4. 50 in cash per common share plus certain proceeds from the sale of selected HV assets and $242 mil in assumption of HV's debt. CPC had initially offered $6 in cash per share plus the $242 mil of debt. CPC ended its agreement to acquire Healthcare International (HI) for $10.47 mil. Greenery Rehabilitation launched an alternative bid to CPC's. Separately, HI also agreed to acquire HV.</t>
  </si>
  <si>
    <t>Pansophic Systems Inc</t>
  </si>
  <si>
    <t>Computer Associates International (CA) acquired Pansophic Systems (PS) for $16.15 per share, or $281.773 mil. CA acquired 15,010,368 common shares, or 85.9% of PS's common stock outstanding, through a cash tender offer and subsequently acquired the remaining shares for $16.15. CA had previously owned 360, 200 PS shares, acquired between July 1991 and August 1991 for $3.42 mil. The value included $1.793 mil in non- competition payments.</t>
  </si>
  <si>
    <t>Greenery Rehabilitation Group</t>
  </si>
  <si>
    <t>Own,op rehabilitation centers</t>
  </si>
  <si>
    <t>Gerard Martin, chairman and chief executive officer of Greenery Rehabilitation Group, terminated his plans, announced in September 1991, to dispose of his 4,214,591 common shares, or 51% stake, in Greenery Rehabilitation.</t>
  </si>
  <si>
    <t>IBP Inc</t>
  </si>
  <si>
    <t>Produce beef and pork products</t>
  </si>
  <si>
    <t>Occidental Petroleum (OP) spun off the remaining 24 mil common shares of its 51%- owned IBP unit to OP shareholders via a rights offering valued at $15 per share, or a total of $360 mil. Shareholders were to receive one right for every 13 shares of OP common stock. OP, which planned to use the proceeds to reduce debt, had stated in January 1991 that it planned to sell $3 bil of its assets as part of a restructuring program. 19% of the shares were bought by outside investors. First Boston and DLJ, the underwriters, bought 80%, absorbing a major loss.</t>
  </si>
  <si>
    <t>K Med Centers Inc</t>
  </si>
  <si>
    <t>Own, operate medical clinics</t>
  </si>
  <si>
    <t>K Med Centers' board announced in September 1991 that it was seeking a buyer for all of the company's assets. K Med Centers was also considering the liquidation of all of the company's assets with the proceeds to be distributed to the company shareholders.</t>
  </si>
  <si>
    <t>North American National Corp</t>
  </si>
  <si>
    <t>Loyal American Life Insurance</t>
  </si>
  <si>
    <t>Loyal American Life Insurance, a unit of the Laurentian Capital subsidiary of Imperial Life Assurance of Canada, a unit of Laurentian Group's Laurentian Financial, allowed its offer to acquire the remaining 76% interest (2, 370,440 shares) of American National that not already own, for $10.80 per share or a total of $25,600,752, to expire. Loyal American had previously offered $12 per share, but later reduced the offer after reviewing North American's investments. JC Bradford advised North American National.</t>
  </si>
  <si>
    <t>Marion Merrell Dow Inc</t>
  </si>
  <si>
    <t>The Dow Chemical Co</t>
  </si>
  <si>
    <t>Mnfr,wholesale chemicals</t>
  </si>
  <si>
    <t>Dow Chemical put to rest the rumor in September 1991 that it planned to acquire the remaining 30% interest in Marion Merrell Dow that it did not already own for $45. 77 per share, or a total of $3.8 bil. Instead, Dow decided to purchase the 92 mil Dow Value Rights (DVRs) that it issued when it acquired 66% of Marion in 1989. The DVRs were to be redeemed on Sep 30, 1991 for $11.187. Dow had three options; to redeem the DVRs, extend the DVRs one more year or buy the remaining interest in Marion.</t>
  </si>
  <si>
    <t>Security Bancorp,Southgate,MI</t>
  </si>
  <si>
    <t>First of Amer Bk,Kalamazoo,MI</t>
  </si>
  <si>
    <t>US - First of America Bank, Kalamazoo, Michigan (FAB), acquired Security Bancorp, Southgate, Michigan (SB), in a stock swap valued at $560.6 mil. FAB had offered 1.3232 of its shares in exchange for each of SB's 13.4 mil shares, including 3.8 mil shares from the conversion of 1.27 mil Series A preferred shares, each convertible into 2.9955 shares. Based on FAB's closing stock price of $31.5 on Sep 11, the last full trading day prior to the announcement, each SB share was valued at $41.70. SB had announced it was in merger talks since April 1991.</t>
  </si>
  <si>
    <t>Sunlite Inc</t>
  </si>
  <si>
    <t>Nycal Corp</t>
  </si>
  <si>
    <t>Ferroalloy mining</t>
  </si>
  <si>
    <t>Nycal raised its stake in Sunlite to 53.79% from 4.88% by acquiring 49% or 1,208,900 shares from Channel Hotels and Properties for $8.45 mil. Terms included 363,673 shares of Nycal common stock and the assumption of a $7 mil loan. The stock portion of the consideration was valued based on Nycal's closing stock price of $4 on Sep 19, the last full trading day prior to announcement of terms.</t>
  </si>
  <si>
    <t>Barrys Jewelers Inc</t>
  </si>
  <si>
    <t>US - Bankrupt Barry's Jewelers Inc(BJ), an owner and operator of jewelery stores, completed its debt restructuring with bondholders(BH), who received $3.75 mil in cash 9 mil new common shares. Upon completion, BH held a 90% interest in BJ.</t>
  </si>
  <si>
    <t>Multnomah Kennel Club</t>
  </si>
  <si>
    <t>Own and operate racing tracks</t>
  </si>
  <si>
    <t>Investor RD Hubbard acquired Multnomah Kennel Club through a tender offer, open market, and privately negotiated transactions valued at $15.04 mil. Hubbard accepted 329,171 Class A and 166,293 Class B shares through the cash tender offer at $17.40 per share, and acquired the remaining shares not tendered for the same terms. Hubbard previously acquired 319,311 Class A and Class B common shares in two separate transactions for $5.56 mil and acquired 3,676 more shares in the open market for $32,900.</t>
  </si>
  <si>
    <t>Noven Pharmaceuticals Inc</t>
  </si>
  <si>
    <t>Pvd coml lab research svcs</t>
  </si>
  <si>
    <t>IVAX Corp</t>
  </si>
  <si>
    <t>Mnfr,whl specialty chem,drugs</t>
  </si>
  <si>
    <t>IVAX withdrew its letter of intent to acquire Noven Pharmaceuticals in a stock swap transaction valued at $47 mil.</t>
  </si>
  <si>
    <t>US - PNC Financial acquired First National Pennsylvania (FNP) in a stock swap valued at $79.6 mil. FNP shareholders received .81 shares of PNC's common stock for each of FNP's 2,496,756 shares outstanding. Based on PNC Financial's closing stock price of $39.375 on Sep 13, 1991, the last full trading day prior to the announcement, each share of FNP was valued at $31.90. PNC was also granted an option to acquire 19.99% of FNP's common stock at $25.50 per share through a lockup agreement. McDonald &amp; Co Securities advised FNP.</t>
  </si>
  <si>
    <t>Air Wis Services Inc</t>
  </si>
  <si>
    <t>UAL acquired Air Wis Services (AWS) in a cash and stock transaction valued at $252.96 mil. UAL offered 0. 0606 common shares for at least 81%, or 7,324,800 shares, of AWS, plus $9 in cash for up to 19%, or 1,718, 165 of AWS shares, valued at $15.46 mil. The stock portion of the transaction was valued at $57.6 mil based on UAL's closing price of $129.75 on Sep 16, the last full trading day prior to the announcement, with each of AWS' shares valued at $7.86 if UAL shares were accepted. In addition, UAL assumed $179.9 mil in debt.</t>
  </si>
  <si>
    <t>Arkla Exploration Co</t>
  </si>
  <si>
    <t>Arkla acquired the remaining 18%, or 5,999,400 common shares, of Arkla Exploration that it did not already own in a sweetened stock swap tender offer valued at $92.6 mil. Arkla had offered .95 share, up from a previous offer of .9 share, of its common stock per each share held. Holders of 3.25 mil shares tendered their holdings under the offer. All remaining shares were converted to .95 share of Arkla. The value was based on Arkla's closing stock price of $16.25 on Nov 5, the last trading day prior to the change of terms.</t>
  </si>
  <si>
    <t>Electrosource Inc</t>
  </si>
  <si>
    <t>Research and dvlp of batteries</t>
  </si>
  <si>
    <t>Undisclosed Finl Svcs Firm</t>
  </si>
  <si>
    <t>Electrosource terminated its proposal to merge with an undisclosed, privately-held financial services firm. Electrosource shareholders were to have owned a 10% interest in the ongoing company as a result of the merger. Terms were not disclosed.</t>
  </si>
  <si>
    <t>Genetics Institute Inc</t>
  </si>
  <si>
    <t>Pharmaceutical prods, R&amp;D</t>
  </si>
  <si>
    <t>American Home Products Corp</t>
  </si>
  <si>
    <t>Mnfr medical products, equip</t>
  </si>
  <si>
    <t>American Home Products (AHP) acquired 59.2% of Genetics Institute (GI) for $667 mil. AHP had offered $50 per share of GI common stock. AHP paid 40%, or $146.4 mil of the consideration in cash, (the equivalent of $20 in cash per share), and GI holders received the remaining 59.2% in new GI common stock (equal to .6 share of stock per GI share). AHP also acquired 9, 466,709 newly issued common shares for $300 mil. Later, AHP exercised its option to acquire the remaining 40% stake in GI for $85 per share.</t>
  </si>
  <si>
    <t>Bank of Boston Corp,Boston,MA</t>
  </si>
  <si>
    <t>Bank of Boston (BB) and Shawmut National (SN) ended their merger negotiations under which BB was to acquire SN in a stock swap transaction valued at $664.8 mil. BB offered .87 of a share for each of SN's 73.7 mil shares outstanding. Based on BB's closing stock price of $10.375 on Sep 18, the last full trading day prior to the agreement, each SN share was valued at $9.02. BB and BankAmerica were both rumored to be in merger talks with SN. Shawmut had retained Morgan Stanley to help it sell off a large stake to raise capital or find a merger partner.</t>
  </si>
  <si>
    <t>GNW Financial Corp</t>
  </si>
  <si>
    <t>Washington Mutual,Seattle,WA</t>
  </si>
  <si>
    <t>US - Washington Mutual Savings Bank (WM) acquired GNW Financial for $67.9 mil, or $24.60 per share. The consideration consisted of 51% paid in WM's common shares and 49% paid in cash. Each GNW share was converted into $12.054 in cash and .589 WM common shares. The per share value of each WM share was based on the average of the closing prices on the 10 trading days prior to completion, or $21.30. As part of the agreement, WM was granted an option to acquire up to 19.8% of GNW Financial's outstanding shares. Merrill Lynch advised GNW.</t>
  </si>
  <si>
    <t>UNIQUEST Inc</t>
  </si>
  <si>
    <t>Dvlp,whl computer software</t>
  </si>
  <si>
    <t>UNIQUEST (UN) acquired CheckRobot (CR) for a revised $6.53 mil. UN had offered 1 share for every 2.88 CR common shares, raised from the previous offer of 1 share for every 2.55 shares. The stock portion totalled $2.88 mil, valuing each CR share at $0.74, based on UN's closing share price of $2.125 on Feb 18, the last full day prior to the change in terms. Similar terms were offered for convertible preferred shares. Also, UN assumed $3. 65 mil of debt with $500,000 paid upon completion, and the remainder over two years with the option to convert into UN shares.</t>
  </si>
  <si>
    <t>Armco acquired all of the outstanding shares of Cyclops Industries for $327.2 mil. Armco had offered $22 per share plus the assumption of $171 mil of debt. Under the terms of the agreement, Cyclops' shareholders received $11 in cash and $11 in Armco shares (or 1.99 mil shares) for each of their shares. Armco had previously withdrawn an offer to acquire all of the outstanding shares of Cyclops for $22 per share due to financing difficulties.</t>
  </si>
  <si>
    <t>Metro Mobile CTS Inc</t>
  </si>
  <si>
    <t>Bell Atlantic Corp</t>
  </si>
  <si>
    <t>US - Bell Atlantic acquired the outstanding Class A and Class B common shares of Metro Mobile CTS in a stock swap transaction valued at $2. 464 bil. Bell Atlantic exchanged .5193 share per every Metro Mobile share held and assumed $865 mil of Metro Mobile's debt. The transaction was valued based on Bell Atlantic's closing stock price of $47.625 on Sep 23, the last full trading day prior to the announcement of the accord. Salomon advised Bell Atlantic while Lipper and Smith Barney Harris Upham advised Metro Mobile.</t>
  </si>
  <si>
    <t>Federated Bk SSB,Milwaukee,WI</t>
  </si>
  <si>
    <t>US - Firstar acquired Federated Bank SSB, Milwaukee, Wisconsin (FB), in a deal valued at $33.26 mil. Firstar offered FB holders a choice of $19.74 in cash or its own common stock for each of the 1,685,120 shares of FB, provided that no less than 55% of the aggregate amount of the transaction be paid in the form of Firstar common stock. FB disclosed in September 1991, that it was in merger negotiations with several financial institutions.</t>
  </si>
  <si>
    <t>First Federal Enterprises Inc</t>
  </si>
  <si>
    <t>SouthTrust Corp,Birmingham,AL</t>
  </si>
  <si>
    <t>Coml bank hldg co</t>
  </si>
  <si>
    <t>SouthTrust (ST) withdrew its letter of intent to acquire First Federal Enterprises FFE) in a stock swap valued at $9. 49 per FFE common share, or $12.7 mil. The amount of shares ST would offer for every FFE share would be based on ST's average closing share price for the 30 calendar days prior to the completion date, such that ST's offer would be maintained at $9.49 per share and provided that the number of ST shares would not exceed .3766 nor go below .3082 for every FFE share.</t>
  </si>
  <si>
    <t>LL&amp;E Royalty Trust</t>
  </si>
  <si>
    <t>Own,operate oil,gas fields</t>
  </si>
  <si>
    <t>Louisiana Land &amp; Exploration</t>
  </si>
  <si>
    <t>Louisiana Land &amp; Exploration withdrew its agreement to acquire all of the outstanding trust units of LL&amp;E Royalty Trust for $52.2 mil. Louisiana Land had offered $2.75 in its common shares for each trust unit.</t>
  </si>
  <si>
    <t>Landmark PaSA</t>
  </si>
  <si>
    <t>US - Integra Financial (IF) acquired Landmark Savings Association (LSA) in a stock swap transaction valued at $18.03 mil. IF had offered . 317 common shares for each LSA common share outstanding. The transaction valued each LSA share at $7.925, based on IF's closing share price of $25 on Oct 1, 1991, the last full trading day prior to the announcement. The transaction was accounted for as a pooling of interests. LSA announced in June 1991 that it was considering seeking a buyer after the Office of Thrift Supervision ordered LSA to raise $11 mil.</t>
  </si>
  <si>
    <t>Valid Logic Systems Inc</t>
  </si>
  <si>
    <t>Manufacture CAE and CAD sys</t>
  </si>
  <si>
    <t>Dvlp electn design software</t>
  </si>
  <si>
    <t>Cadence Design Systems acquired all of the outstanding common stock of Valid Logic Systems in a stock swap transaction valued at $202.35 mil. Cadence issued 11.4 mil of its common stock in exchange for Valid's 32.2 mil shares outstanding. The value was based on Cadence's closing stock price of $17.75 on Oct 1, the last full trading day prior to the announcement.</t>
  </si>
  <si>
    <t>JLG Industries Inc</t>
  </si>
  <si>
    <t>Mnfr excavators,telehandlers</t>
  </si>
  <si>
    <t>An investor group led by Adler &amp; Associates withdrew its hostile offer to acquire a controlling interest in JLG Industries for a lowered $14 in cash per share, or $25.2 mil. The bid had been rejected. The group initially offered $16 in cash per share, or about $28.8 mil. That offer had also been rejected. JLG stated that the offer appeared to be for 1.8 mil common shares, or 51% of JLG. The group held a 5% stake in JLG and had previously offered to acquire the 20% stake held by chairman John Grove, but the offer had been rejected.</t>
  </si>
  <si>
    <t>First Interstate of Iowa Inc</t>
  </si>
  <si>
    <t>Boatmen's Bancshares,St Louis</t>
  </si>
  <si>
    <t>Boatmen's Bancshares acquired First Interstate of Iowa (FI) in a stock swap transaction valued at $132.9 mil. FI holders received .17 share of Boatmen's common stock for each of FI's fully diluted 17,772,000 common shares outstanding. Based on Boatmen's closing stock price of $44 on Oct 10, 1991, the last full trading day prior to the announcement, each share of FI was valued at $7. 48. The merger had been subject to regulatory approval.</t>
  </si>
  <si>
    <t>Air Methods Corp</t>
  </si>
  <si>
    <t>Provide air ambulance services</t>
  </si>
  <si>
    <t>Cell Technology Inc</t>
  </si>
  <si>
    <t>Research and development</t>
  </si>
  <si>
    <t>Cell Technology acquired all of the outstanding common stock of Air Methods in exchange for 3.6 mil restricted common shares.</t>
  </si>
  <si>
    <t>Juniper Features Ltd</t>
  </si>
  <si>
    <t>Provide film distn svcs</t>
  </si>
  <si>
    <t>VP Hreljanovic</t>
  </si>
  <si>
    <t>A member of management, VP Hreljanovic, acquired 510,000 common shares of Juniper Features on the open market between Oct 14, 1991 and Oct 23, 1991 for a total of $1.1 mil cash.</t>
  </si>
  <si>
    <t>Nature Food Centres Inc</t>
  </si>
  <si>
    <t>Operate health food stores</t>
  </si>
  <si>
    <t>Revere Fund Inc</t>
  </si>
  <si>
    <t>Management investment offices</t>
  </si>
  <si>
    <t>Revere Fund merged with Nature Food Centres in a stock swap transaction valued at $19.3 mil. Revere issued 2, 447,342 of its common shares for Nature's common shares. As a result, Revere shareholders owned about 50. 1% of the surviving company and Nature's president, Ronald L Rossetti, held the remaining 49.9%. The value was based on Revere Fund's closing net asset value of $7. 90 on Oct 11, the last full trading day prior to the announcement.</t>
  </si>
  <si>
    <t>Amity Bancorp</t>
  </si>
  <si>
    <t>Investor R W Lenz acquired an 80% of Amity Bancorp for $5 mil. The transaction was subject to regulatory approval. Previously, Amity Bancorp ended negotiations with an investor under which the investor signed a letter of intent to acquire majority control of Amity Bancorp in exchange for an injection of $5 mil in common equity.</t>
  </si>
  <si>
    <t>Entertainment Publishing Corp</t>
  </si>
  <si>
    <t>Publish discount coupon books</t>
  </si>
  <si>
    <t>CUC International Inc</t>
  </si>
  <si>
    <t>CUC International acquired Entertainment Publishing (EP) in a stock swap valued at $266 mil. EP holders received 1.1 shares of CUC's common stock for each of EP's 7.92 mil shares and options to acquire 789,578 common shares. Based on CUC's closing stock price of $27.75 on Oct 14, the last full trading day prior to the announcement, each share of EP was valued at $30.525. The exchange ratio would have changed or the deal would have been terminated if CUC's stock price exceeded the floor and ceiling set at $22.75 and $35. The deal was accounted for as a pooling of interests.</t>
  </si>
  <si>
    <t>American Television &amp; Commun</t>
  </si>
  <si>
    <t>Pvd cable televison services</t>
  </si>
  <si>
    <t>Time Warner</t>
  </si>
  <si>
    <t>Pvd movie production svcs</t>
  </si>
  <si>
    <t>Time Warner (TW) acquired the remaining 18% of American Television &amp; Communications (ATC) that it did not already own for $82.50 per share, or $1699.5 mil. Consideration was satisfied by redeemable reset notes redeemable on Aug 15, 2002. The offer was part of an agreement between TW and an investor group including C Itoh to acquire a 12.5% stake in a newly-formed unit called Time Warner Entertainment for $1 bil. First Boston advised ATC while Lazard Freres and Alpine Capital Group advised Time Warner.</t>
  </si>
  <si>
    <t>Pharmatec Inc</t>
  </si>
  <si>
    <t>Provide drug research,dvlp svc</t>
  </si>
  <si>
    <t>A management buy-in team led by David Blech, vice president and co-founder of Pharmos, agreed to acquire about 60% interest plus warrants to purchase additional shares in Pharmatec in exchange for a $5.5 mil investment.</t>
  </si>
  <si>
    <t>Pharmos Corp</t>
  </si>
  <si>
    <t>Biopharm co</t>
  </si>
  <si>
    <t>Pharmatec acquired Pharmos in a revised stock swap transaction valued at $65 mil. Pharmos shareholders received .765 a share of Pharmatec's newly issued Class B convertible shares for each outstanding share, or a total of 12.5 mil newly issued Pharmatec shares. Pharmatec had also been granted the option to acquire Xenon Vision, which it exercised upon completion of the acquisition of Pharmos. Pharmatec was renamed Pharmos.</t>
  </si>
  <si>
    <t>ValliCorp Holdings Inc,CA</t>
  </si>
  <si>
    <t>ValliCorp Holdings (VC) acquired Pacific Bancorp (PB) in a stock swap transaction valued at $13.5 mil. VC offered .80 common shares for each common share of PB, and $3.5 mil in cash and stock for all of PB's preferred shares. Based on VC's closing stock price of $9.25 on Jan 25, the last full trading day prior to disclosure of specific terms, each PB common share was valued at $7. 40, or a total of $10 mil. Originally, the exchange ratio had been set at a range of .71 to .85. Also, 189,306 VC shares were held in escrow, pending a PB asset valuation.</t>
  </si>
  <si>
    <t>Prime Telecommunications Corp</t>
  </si>
  <si>
    <t>LDDS Communications Inc</t>
  </si>
  <si>
    <t>LDDS Communications acquired all of the outstanding common shares of Prime Telecommunications for $2.24 per share in cash and LDDS Class A common stock or a total of $10.13 mil. The exact mix of stock and cash to be exchanged for each Prime common share was subject to adjustment, though a maximum of $.45 in cash per share was established. Houlihan Dorton Jones Nicolatus &amp; Stuart advised Prime.</t>
  </si>
  <si>
    <t>Summit Holding Corp</t>
  </si>
  <si>
    <t>United Bankshares Inc,WV</t>
  </si>
  <si>
    <t>United Bankshares acquired Summit Holding for $41.875 mil. Summit Holding shareholders received .8 share of United Bankshares common stock, valued at a total of $23.45 mil, and $8. 60 in cash for each share held. The stock portion of the value was based on United Bankshares' closing stock price of $14.25 on Oct 20, the last full trading day prior to the announcement of the transaction.</t>
  </si>
  <si>
    <t>Ventura Motion Picture Grp Ltd</t>
  </si>
  <si>
    <t>Ventura Entertainment Group terminated its plans to spinoff a majority interest in its Ventura Motion Picture Group subsidiary to shareholders of record Oct 31, 1991 on a prorata basis. Ventura Entertainment Group had disclosed that it would distribute at least 3 mil of its subsidiary's 3.83 mil shares that it owned. Stock certificates were expected to be issued on Nov 8, 1991. The transaction was subject to SEC approval.</t>
  </si>
  <si>
    <t>UJB Financial Corp</t>
  </si>
  <si>
    <t>An investor group led by Chilmark Capital and Neil J Weisman lost in its attempt to seek control of UJB Financial through a proxy fight. The group garnered only 33% of the shares in support of their proposal. If successful, the group, which held a 9.9% stake in UJB, had promised to sell UJB. In Oct 1991, the group recommended to UJB's board to consider a merger with another bank. UJB filed suit against the group claiming the group was attempting to force a sale of the company. Meridian Bancorp and CoreStates Financial had been rumored to be interested in UJB.</t>
  </si>
  <si>
    <t>Electronic Data Technologies</t>
  </si>
  <si>
    <t>Mnfr information systems</t>
  </si>
  <si>
    <t>International Game Technology</t>
  </si>
  <si>
    <t>Mnfr casino gaming equip</t>
  </si>
  <si>
    <t>International Game Technology (IG) acquired the remaining 57% interest in Electronic Data Technologies (EDT) that was publicly owned in a transaction valued at $10.7 mil. IG offered .1007 share per EDT share held, or $5 in common stock for each share held. The ratio was based on IG's average closing stock price of $49.65 for the 10 consecutive trading days ending Jan 23.</t>
  </si>
  <si>
    <t>Manufacturers National Corp</t>
  </si>
  <si>
    <t>US - Comerica Inc (CI), Detroit, Michigan, acquired all of the outstanding common stock of Manufacturers National Corp (MN) in a stock swap transaction valued at $1. 087 bil. CI exchanged .81 new common shares for each of MN's 31.3 mil shares outstanding. Based on CI's closing stock price of $42. 875 on Oct 25, the last full trading day prior to the announcement of the accord, each MN share was valued at $34.73. The transaction gave CI shareholders 55% ownership in the newly-merged concern, and MN shareholders the remainder.</t>
  </si>
  <si>
    <t>Topps Co Inc</t>
  </si>
  <si>
    <t>Prod candy,gum</t>
  </si>
  <si>
    <t>Forstmann Little was to distribute 25.3 mil shares, or a 53% interest, in Topps' outstanding common shares to general partners in two Forstmann Little investment partnerships.</t>
  </si>
  <si>
    <t>Merchants National Corp</t>
  </si>
  <si>
    <t>US - National City, Cleveland, Ohio (NC), acquired all the outstanding common stock of Merchants National, Indianapolis, Indiana (MN), in a stock swap transaction valued at $655.4 mil. MN's shareholders received 1.12 shares of NC's common stock for each of MN's 14.7 mil shares outstanding. Based on NC's closing stock price of $39.75 on Oct 29, the last full trading day prior to the announcement, each share of MC was valued at $44.52. Also, MC was granted the right to sell $35 mil of nonvoting preferred stock to NC if the the merger agreement was cancelled.</t>
  </si>
  <si>
    <t>Synalloy Corp</t>
  </si>
  <si>
    <t>Mnfr alloy pipe and chemical</t>
  </si>
  <si>
    <t>An investor group including Chariot Group withdrew an offer to acquire the 82% of Synalloy that it did not already own for $14 per share, or $38.61 mil. The chairman of Chariot was also a director of Synalloy. In January 1991, Chariot Group said it intended to propose that Synalloy retain a nationally-recognized investment banking firm to seek a buyer for the company. In February 1992, the group disclosed that it had reduced its stake to 1.59% (49,533 shares).</t>
  </si>
  <si>
    <t>Brajdas Corp</t>
  </si>
  <si>
    <t>Wholesale electronic parts</t>
  </si>
  <si>
    <t>BRJS Investment Holding Corp</t>
  </si>
  <si>
    <t>Investment firm; holding co</t>
  </si>
  <si>
    <t>BRJS Investment Holdings acquired 6.9 mil shares of Brajdas common stock in a private placement for a price of $1.00 per share, or a total price of $6.9 mil.</t>
  </si>
  <si>
    <t>Indiana Bancshares Inc</t>
  </si>
  <si>
    <t>CNB Bancshares Inc,IN</t>
  </si>
  <si>
    <t>US - CNB Bancshares acquired Indiana Bancshares (IB) in a stock swap transaction valued at $18.7 mil. CNB offered 1. 25 of its shares for each share of IB. Based on CNB's closing stock price of $22.75 on Oct 30, 1991, the last full trading day prior to the announcement, each of IB's 657,000 shares was valued at $28.44. IB also had granted CNB a warrant to purchase 130, 854 of newly issued IB common stock at $21.50 per share if the deal was not completed. IB had previously announced that it was involved in merger talks with an undisclosed acquiror.</t>
  </si>
  <si>
    <t>Bankrupt Healthcare International (HI) was no longer persuing its solicited offer to acquire its principal creditor, HealthVest (HV), for $235 mil in the assumption of HV liabilities under a reorganization plan. Greenery Rehabilitation Group (GRG) was to have provided financing for the acquisition and then was to acquire 80% of the new concern. The plan also included a recapitalization of HI. Previously, Community Psychiatric Centers attempted to acquire HV and HI. HI and HV had been in merger talks since 1990.</t>
  </si>
  <si>
    <t>Vantage Point Energy Inc</t>
  </si>
  <si>
    <t>Convest Energy Corp</t>
  </si>
  <si>
    <t>Convest Energy (CE) acquired Vantage Point Energy (VPE), 80%-held by Sceptre Resources, for $9.7 mil in cash. Sceptre received $4.25 for each of its shares, or $5.95 mil. Holders of the 20% of VPE which traded publicly received $7.08 per share, or $2.3 mil. CE also had offered $70 in cash per share for each of VPE's 5% cumulative convertible preferred shares, or $1.81 mil. Originally, CE offered to pay $9.235 mil, but revised the price after performing due diligence on VPE.</t>
  </si>
  <si>
    <t>Biomedical Dynamics Corp</t>
  </si>
  <si>
    <t>Mnfr disposable medical prod</t>
  </si>
  <si>
    <t>Vital Signs Inc</t>
  </si>
  <si>
    <t>Mnfr,whl medical prod</t>
  </si>
  <si>
    <t>Vital Signs acquired Biomedical Dynamics (BD) in a stock swap valued at $40 mil. BD holders received .359 shares of Vital Signs' common stock for each of BD's 4,845, 750 shares outstanding. Based on Vital Signs' closing stock price of $23 on Nov 5, the last full trading day prior to the announcement, each share of BD was valued at $8. 26. The agreement included a termination option if BD's stock price fell below $20. 875 or rose above $26 per share. If the merger was terminated, Vital Signs was to pay BD $300,000.</t>
  </si>
  <si>
    <t>Fukutake Publishing Co Ltd</t>
  </si>
  <si>
    <t>Pvd vocational support svcs</t>
  </si>
  <si>
    <t>Fukutake Publishing's letter of intent to acquire 55.6% of the outstanding common stock of Berlitz International that was held by Macmillan, a unit of Maxwell Communication (MC), for $25 per share, or $265 mil was rendered void when MC went into bankruptcy. Swiss Volksbank (SV) and Shearson Lehman Brothers Holdings PLC took control of a $65 mil block of Berlitz shares given to them as security against loans. Later, SV announced that it was involved in talks to dispose of its 13% stake in Berlitz. In February 1993, Fukutake eventually acquired 67% of Berlitz.</t>
  </si>
  <si>
    <t>CalFed Inc</t>
  </si>
  <si>
    <t>S&amp;L assn,ins co,holding co</t>
  </si>
  <si>
    <t>CalFed announced in November 1991 that it was in discussions seeking possible merger partners or major investors for the company. GlenFed was rumored to be interested in merging with CalFed. Robert Smith, a former chief executive of Security Pacific, and William Isaac, a former Federal Deposit Insurance Corp chairman, were also rumored to be interested.</t>
  </si>
  <si>
    <t>Daniel Green Co</t>
  </si>
  <si>
    <t>Mnfr,whl leisure footwear</t>
  </si>
  <si>
    <t>Shareholder Edward Bloomberg, who held a 9.6% stake in the company, proposed that Daniel Green Co seek a buyer for the company.</t>
  </si>
  <si>
    <t>WestAir Holding Inc</t>
  </si>
  <si>
    <t>Passenger airline; holding co</t>
  </si>
  <si>
    <t>Mesa Airlines acquired WestAir Holding in a sweetened stock swap transaction valued at $33.507 mil. WestAir shareholders received .31 share of Mesa's common stock for each of WestAir's 6.36 mil shares outstanding. Based on Mesa's closing stock price of $22. 125 on May 29, the last full trading day prior to the announcement of the revised offer, each share of WestAir was valued at $6.85. Originally, Mesa offered . 2941 share per share held and a contingent value right, the value of which was based on WestAir's 1992 profitability.</t>
  </si>
  <si>
    <t>Sherwood Group Inc</t>
  </si>
  <si>
    <t>A group led by Arthur Kontos and the Kontos family's partnerships raised its stake in Sherwood Group from 44.48% to 50.96% by purchasing 843, 300 common shares in a privately negotiated transaction and on the open market for a total $1.37 mil. The group acquired 816,000 shares from a former director of the company for $1.625 per share, or a total of $1.326 mil, in a privately negotiated deal 27,300 shares were acquired on the open market at prices ranging from $1.50 to $1.75 in cash per share, or, based on the high end of the range, a total of $47,775.</t>
  </si>
  <si>
    <t>Environmental Systems Co</t>
  </si>
  <si>
    <t>Hazardous waste mgmt services</t>
  </si>
  <si>
    <t>Brambles USA Inc</t>
  </si>
  <si>
    <t>Trucking, warehousing services</t>
  </si>
  <si>
    <t>Brambles USA (BU), a subsidiary of Brambles Industries, acquired the remaining 18,154,209 shares of Environmental Systems (ES), or the 77.8% that it did not already own on a fully diluted basis in a sweetened cash tender offer valued at $17.50 in cash per share, or $240.62 mil. The value included over 7 mil shares acquired through the exercising of options for $7. 7 mil. BU initially offered $16 per share. In April 1989, ES rejected an offer by BU to purchase the remaining shares for $14 per share.</t>
  </si>
  <si>
    <t>Maury Federal Savings Bank</t>
  </si>
  <si>
    <t>Trans Finl,Bowling Green,KY</t>
  </si>
  <si>
    <t>Trans Financial Bancorp acquired all of the outstanding common stock of Maury Federal Savings Bank for $18.50 in cash per share, or a total of $10,896,500.</t>
  </si>
  <si>
    <t>Mercantile Bancorp,St Louis,MO</t>
  </si>
  <si>
    <t>Mercantile Bancorp (MB) acquired Ameribanc in a deal valued at $87 mil. MB offered .57 of its shares for each Ameribanc share. If the ratio worked out to be less than $26 per share at closing, Ameribanc holders would have a choice of receiving the difference in additional MB shares, or cash. Also, Ameribanc granted MB an option to acquire up to 19.9% of its shares under certain conditions. Ameribanc had previously said that it was in merger talks. A Dickenson- led investor group held a 9. 9% stake in Ameribanc and had said it may seek control.</t>
  </si>
  <si>
    <t>Bio-Electro Systems Inc</t>
  </si>
  <si>
    <t>Mnfr electromedical equipment</t>
  </si>
  <si>
    <t>ALZA Corp</t>
  </si>
  <si>
    <t>ALZA exercised a purchase option to acquire all of the outstanding Class A common shares of Bio-Electro Systems (BES) for $74.658 mil. ALZA had offered .5772 of its Class A common shares for each of BES' Class A common shares outstanding. The exchange ratio was determined by dividing $23 by the average closing price of BES for the 5 days preceding the exercise date. Fractional shares were paid in cash.</t>
  </si>
  <si>
    <t>Eljer Industries was in negotiations with several parties regarding the sale of the company. In May 1991, Jacuzzi, a unit of Hanson's HM Holdings, announced that it would not continue with its offer to acquire Eljer Industries for $20 per share, or $141.1 mil, but would continue to negotiate to acquire Eljer's assets.</t>
  </si>
  <si>
    <t>An investor group including MAXXAM, Kidder Peabody, Donaldson Lufkin &amp; Jenrette, and Aerovias de Mexico was no longer negotiating to acquire most of bankrupt Continental Airlines Holdings (CA) for an amended $400 mil, raised from $350 mil. CA was successfully acquired by an Air Canada led group. MAXXAM chairman Charles Hurwitz was rumored to be interested in acquiring CA in November 1991. The bid challenged the Houston Air group bid. Benefits Concepts of New York and Marvin Davis- Deutsche Lufthansa withdrew their bids.</t>
  </si>
  <si>
    <t>Workmen's Bancorp Inc</t>
  </si>
  <si>
    <t>Southern National, Lumberton, North Carolina acquired Workmen's Bancorp from Workmen's Federal Savings Bank in a stock swap valued at $37.7 mil. Workmen's Bancorp holders received 1.5 newly-issued shares of Southern's common stock for each of Workmen's 1,733,333 shares outstanding. Based on Southern National's closing stock price of $14.50 on Nov 13, the last full trading day prior to the announcement, each share of Workmen's Bancorp was valued at $21.75. The transaction had been subject to regulatory approval.</t>
  </si>
  <si>
    <t>Olympic Savings Bank,Seattle</t>
  </si>
  <si>
    <t>Puget Sound Bancorp,Tacoma,WA</t>
  </si>
  <si>
    <t>Puget Sound Bancorp (PSB) acquire Olympic Savings Bank, Seattle, Washington (OSB) for $8.25 per share in cash, or $2.75 mil. Previously, PSB had signed a letter of intent to acquire certain assets of OSB for $4 mil in cash. OSB announced in April 1991 that it was exploring various options to rebuild its capital including the sale of certain assets. OSB was also considering a non-public sale of common stock, and was operating under restrictions imposed by the Office of Thrift Supervision because of its failure to meet capital requirements.</t>
  </si>
  <si>
    <t>Occupational-Urgent Care</t>
  </si>
  <si>
    <t>Provide health care services</t>
  </si>
  <si>
    <t>HealthCare COMPARE Corp</t>
  </si>
  <si>
    <t>Insurance agent;own,op HMO</t>
  </si>
  <si>
    <t>HealthCare COMPARE (HC) acquired Occupational-Urgent Care Health Systems (OUCHS) in a stock swap transaction valued at $277.2 mil. OUCHS holders received .93 share of HC's common stock for each of OUCHS' 9,935,826 shares outstanding. Based on HC's closing stock price of $30 on Nov 15, 1991, the last full trading day prior to the announcement, each share of OUCHS was valued at $27.90. The merger was accounted for as a pooling of interests.</t>
  </si>
  <si>
    <t>Orthopedic Services Inc</t>
  </si>
  <si>
    <t>Design,mnfr prosthetic devices</t>
  </si>
  <si>
    <t>NovaCare Inc</t>
  </si>
  <si>
    <t>Pvd physical rehab services</t>
  </si>
  <si>
    <t>NovaCare (NC) acquired Orthopedic Services (OS) in a stock swap valued at $252.6 mil. OS holders received 1.3 shares of NC's common shares for each of OS's 7.987 mil shares outstanding. NC also issued options to acquire 34, 317 NC common shares in exchange for outstanding exercisable options to acquire 34,317 OS common shares with an average exercise price of $7.10 per share. Based on NC's closing stock price of $24.25 on Nov 15, the last full trading day prior to the announcement, each share of OS was valued at $31.525.</t>
  </si>
  <si>
    <t>Whiting Petroleum Corp</t>
  </si>
  <si>
    <t>IES Industries acquired Whiting Petroleum in a stock swap valued at $23 mil. Whiting shareholders received .1 share of IES's common stock for each of Whiting's 8, 233,000 shares outstanding. Based on IES's closing stock price of $27.875 on Nov 15, 1991, the last full trading day prior to the announcement, each share of Whiting was valued at $2.79. IES was also granted an option to acquire up to 2.05 mil shares of Whiting's common stock at $2. 79 per share through a lockup agreement.</t>
  </si>
  <si>
    <t>First Federal Savings Bk of TN</t>
  </si>
  <si>
    <t>US - Trans Financial Bancorp Inc acquired the entire share capital of First Federal Savings Bank of Tennessee, a Tullahoma-based savings bank, for USD 20 per share in cash, or a total value of USD 10. 185 mil.</t>
  </si>
  <si>
    <t>Grasso Corp</t>
  </si>
  <si>
    <t>Phoenix Canada Oil Co Ltd</t>
  </si>
  <si>
    <t>Phonenix Canada Oil withdrew its offer to acquire all of the outstanding common shares of Grasso for $5.50 in cash and Phoenix Canada common stock per share, or a total of $2.75 mil, after it was rejected. The unsolicited offer had been contingent on Grasso's cancelling its rights offering which was to increase Grasso's outstanding shares from 501,000.</t>
  </si>
  <si>
    <t>Sanford Corp</t>
  </si>
  <si>
    <t>Mnfr writing instr</t>
  </si>
  <si>
    <t>Newell acquired Sanford in a stock swap transaction valued at $575.1 mil. Newell paid . 934 share of its common stock for each of Sanford's shares outstanding. The exchange ratio was determined during a 10 day trading period ending before stockholders of each company voted on the transaction, and was to fall between .93 and 1 Newell shares for each Sanford share. Based on Newell's closing stock price of $41.375 on Nov 21, 1991, the last full trading day prior to the announcement, each Sanford share was valued at $38.64.</t>
  </si>
  <si>
    <t>CompuChem Corp</t>
  </si>
  <si>
    <t>Pvd environmental testing svcs</t>
  </si>
  <si>
    <t>Roche Biomedical Laboratories</t>
  </si>
  <si>
    <t>Own,op clinical laboratories</t>
  </si>
  <si>
    <t>Roche Biomedical, a unit of the Hoffman-La Roche subsidiary of Roche Holding acquired CompuChem for $9.75 in cash per share, or a total of $71.9 mil. Roche Biomedical was also granted an option to acquire 34.3% of CompuChem's common stock at $9.75 per share through a lockup agreement. CompuChem had announced in April 1991 that it had retained Kidder Peabody to evaluate alternatives, which included the sale of the company to maximize shareholder value.</t>
  </si>
  <si>
    <t>Southern Educators Life Ins Co</t>
  </si>
  <si>
    <t>AIA Services Corp</t>
  </si>
  <si>
    <t>AIA Services terminated its agreement to acquire 100% of the outstanding common shares of Southern Educators Life Insurance for $22.5 mil in cash and AIA stock. The new holding company would have been called Southern Educators Insurance. Previously, the 2 parties had signed a letter of intent to exclusively negotiate a merger agreement. However, the letter of intent expired on May 11, 1992.</t>
  </si>
  <si>
    <t>Omni Capital Group Inc</t>
  </si>
  <si>
    <t>Security Capital Bancorp</t>
  </si>
  <si>
    <t>First Security Financial (FSF) acquired Omni Capital Group in a reverse stock swap valued at $62.49 mil. Omni holders received 2.25 shares of FSF's common stock for each of Omni's 2.5 mil shares outstanding. Based on FSF's closing stock price of $11 on Nov 25, 1991, the last full trading day prior to the announcement, each share of Omni was valued at $24.75. Upon the completion of the deal, Omni owned 50.32% of the merged entity following the exercise of its stock options. The transaction had been subject to regulatory approval.</t>
  </si>
  <si>
    <t>First Security Corp of KY</t>
  </si>
  <si>
    <t>BANC ONE acquired First Security Corp of Kentucky (FS) in a stock swap transaction for $202.8 mil. FS's shareholders received 0.503 shares of BANC ONE's common stock for each of FS's 9,324, 000 shares outstanding. Based on BANC ONE's closing stock price of $43.25 on Nov 26, the last full trading day prior to the announcement, each share of FS was valued at $21.75. BANC ONE was to have also received an option to acquire 19.9% of FS' shares as part of a lockup agreement under certain circumstances. FS changed its name to called Bank One Lexington.</t>
  </si>
  <si>
    <t>Affiliated Publications Inc</t>
  </si>
  <si>
    <t>Newspaper Publishers</t>
  </si>
  <si>
    <t>Affiliated Publications' largest Class A shareholder, Southeastern Asset Management, disclosed that it might suggest the company seek a buyer as part of a restructuring plan. Southeastern owned 18.55% of Affiliated's Class A shares, but only 3.4% of the total voting power. Trusts controlled by the Jordan and Taylor families held 35% of the equity and 68% of the total voting stock.</t>
  </si>
  <si>
    <t>ALTA Health Strategies Inc</t>
  </si>
  <si>
    <t>First Financial Management</t>
  </si>
  <si>
    <t>First Financial Management acquired Alta Health Strategies for $13 per share, or a total of $117 mil. Under the terms of the agreement, Alta shareholders received up to $60 mil in cash, and the rest in First Financial Management common shares.</t>
  </si>
  <si>
    <t>Teradata Corp</t>
  </si>
  <si>
    <t>Mnfr mainframe computers</t>
  </si>
  <si>
    <t>NCR, a unit of American Telephone &amp; Telegraph, acquired the remaining 92% interest that it did not already own in Teradata (TD) in a stock swap valued at $520 mil. TD shareholders received $30.25 of AT&amp;T's stock. The per share value for TD shares was based on the average closing price of AT&amp;T's stock during the 20 consecutive trading days up to 5 days before the TD shareholders meeting. NCR retained Morgan Stanley while TD retained Montgomery Securities as financial advisors. NCR had held 1.4 mil TD shares.</t>
  </si>
  <si>
    <t>Evansville Federal Savings Bk</t>
  </si>
  <si>
    <t>National Bancorp,Tell City,ID</t>
  </si>
  <si>
    <t>Evansville Federal Savings Bank and National Bancorp suspended their merger agreement under which National was to acquire 100% of the common shares of Evansville Federal Savings Bank for $9.25 per share, or a total of $4,362,000. Evansville said the agreement was suspended because it would not have received shareholder approval.</t>
  </si>
  <si>
    <t>Gaylord Container Corp</t>
  </si>
  <si>
    <t>Mnfr paper packaging products</t>
  </si>
  <si>
    <t>US - Gaylord Container Corp(GC), a manufacturer of paper packaging products, completed its debt restructuring with creditors (CR). Upon completion, CR held a 72% interest in the restructured GC. CR received $377.7 mil new senior subordinated debentures plus up to 6 mil Class A common shares and warrants convertible into 31.8 mil shares.</t>
  </si>
  <si>
    <t>Pennsylvania Enterprises Inc</t>
  </si>
  <si>
    <t>Gas and water utility hldg co</t>
  </si>
  <si>
    <t>NUI Corp</t>
  </si>
  <si>
    <t>NUI witdhrew its unsolicited offer to acquire Pennsylvania Enterprises (PE) in a stock swap valued at $95.8 mil, after it was rejected. NUI had offered $35 of its common stock for each PE share outstanding and a $25 mil guaranteed investment if the merger was to be completed. Although major PE shareholder Kurt Lindner requested the company to seek a buyer, PE disclosed that it had stopped its solicitation of offers for the sale of the company.</t>
  </si>
  <si>
    <t>Adobe Resources Corp</t>
  </si>
  <si>
    <t>Santa Fe Energy Resources</t>
  </si>
  <si>
    <t>Santa Fe Energy Resources (SF), a unit of Santa Fe Pacific, acquired Adobe Resources (AR) in an amended stock swap valued at $470 mil. SF paid .6 common shares, down from .6196 share, per Adobe share. Each AR share was valued at $5.175, based on SF's closing share price of $8.625 on Jan 27. SF also paid .5974 common shares and . 5065 new convertible shares for each AR 9.2% convertible preferred share, as well as . 7029 common shares and .5959 convertible shares for each 12% preferred share. Minorco USA had been seeking a buyer for its 47.5% stake in AR.</t>
  </si>
  <si>
    <t>PNC Financial acquired CCNB in a stock swap agreement valued at $168 mil. PNC exchanged 1.32 of its common shares for each share of CCNB. CCNB shareholders were originally to receive .66 shares of PNC, until PNC's 2 for 1 stock split on Oct 1. Based on PNC's closing stock price of $42.75 on Dec 10, the last full trading day prior to the announcement and the stock split, each share of CCNB was valued at $28.215. PNC had also been granted an option to acquire 19.99% of CCNB's common stock through a lockup agreement.</t>
  </si>
  <si>
    <t>ATI Medical Inc</t>
  </si>
  <si>
    <t>Rent medical equipment</t>
  </si>
  <si>
    <t>MEDIQ/PRN Life Support Svcs</t>
  </si>
  <si>
    <t>Whl med supplies</t>
  </si>
  <si>
    <t>MEDIQ/PRN Life Support Services, a unit of MEDIQ, acquired ATI Medical for $4 in cash per share, or a total of $21.9 mil. MEDIQ/PRN had obtained options from Paul E Steveson, chairman of ATI, and Stephen W Case and Lester Grove, both executive vice presidents of ATI, to acquire their shares of ATI's common stock, approximately 24%, at $4 in cash per share. In Jan 1992, Kinetic Therapeutic Services sought a permanent injunction restraining MEDIQ/ PRN from acquiring ATI, stating the merger would create a near monopoly.</t>
  </si>
  <si>
    <t>Autotrol Corp</t>
  </si>
  <si>
    <t>Mnfr valves,controls</t>
  </si>
  <si>
    <t>WICOR Inc</t>
  </si>
  <si>
    <t>Pvd natural gas distn services</t>
  </si>
  <si>
    <t>WICOR and Autotrol terminated their stock swap merger agreement under which WICOR was to acquire Autotrol in a transaction valued at $46.9 mil. Autotrol holders were to receive .674 shares of WICOR's common stock for each of Autotrol's 2.9 mil shares outstanding. Based on WICOR's closing stock price of $24 on Dec 11, 1991, the last full trading day prior to the announcement, each share of Autotrol was valued at $16.176. The merger was to be accounted for as a pooling of interests.</t>
  </si>
  <si>
    <t>Trans World Airlines (TWA) withdrew from talks to merge with bankrupt Continental Airlines Holdings (CA). TWA stated that a potential merger could not have been reached until TWA had emerged from a reorganization. CA had also been in merger talks with Northwest Airlines, USAir Group, a number of foreign carriers, and was rumored to be in talks with investor Charles Hurwitz, who later led an investor group including MAXXAM. CA filed a plan in February 1992 that would allow debt holders to exchange their debt for equity in the company.</t>
  </si>
  <si>
    <t>Diamond M Corp(Loews Corp)</t>
  </si>
  <si>
    <t>Diamond M, a unit of Loews, acquired the Ocean Drilling &amp; Exploration unit of Murphy Oil for $372 mil in cash. Murphy Oil retained Smith Barney as financial advisor.</t>
  </si>
  <si>
    <t>SyStemix Inc</t>
  </si>
  <si>
    <t>Mnfr,dvlp cellular processes</t>
  </si>
  <si>
    <t>Sandoz AG</t>
  </si>
  <si>
    <t>Manufacture dyestuffs</t>
  </si>
  <si>
    <t>Sandoz acquired a 58.5% interest, or 5,993,827 common shares, in SyStemix for $391. 8 mil. Sandoz purchased 4,011, 684 shares through a tender offer at $70 per share in cash, or $280.8 mil. Sandoz also acquired 1,982,143 newly issued SyStemix shares at $56 per share, or $111 mil. Sandoz was permitted to bid for 100% of SyStemix at any time after 3 years following the closing, but only if its offer was recommended by SyStemix's board.</t>
  </si>
  <si>
    <t>Sovereign Bancorp withdrew its bid to acquire Flagship Financial in a transaction valued at $39.9 mil. Sovereign Bank offered $3.5 in cash and $8 in common stock for all of the outstanding shares of Flagship Financial. Sovereign previously offered to acquire Flagship in February 1991, but that offer was also withdrawn. Flagship announced that it had agreed to be acquired by PNC Financial.</t>
  </si>
  <si>
    <t>Evergreen Bancorp Inc</t>
  </si>
  <si>
    <t>Glacier Bancorp Inc</t>
  </si>
  <si>
    <t>US - Glacier Bancorp acquired Evergreen Bancorp, a bank holding company, for a total of $3.65 mil. Glacier paid $47.125 per share for all of Evergreen's 77,453 shares outstanding. The transaction had been subject to the approval of the Federal Reserve Board and the Office of Thrift Supervision.</t>
  </si>
  <si>
    <t>Cumberland Federal Bancorp</t>
  </si>
  <si>
    <t>Cumberland Federal Bancorp ended merger negotiations with several undisclosed acquirors after all possible suitors ended their due diligence evaluations. Since the talks began, Cumberland's stock price had risen to a level so as to make it more difficult to be acquired by another entity.</t>
  </si>
  <si>
    <t>Summcorp,Fort Wayne,Indiana</t>
  </si>
  <si>
    <t>NBD Bancorp acquired Summcorp in a stock swap transaction valued at $484.5 mil. Summcorp's shareholders received 1.35 shares of NBD's common stock for each of Summcorp's 8,807,000 shares outstanding. Based on NBD's closing stock price of $40.75 on Dec 19, the last full trading day prior to the announcement, each share of Summcorp was valued at $55.01. NBD was also granted an option to acquire 1,752,590 shares, or 19.9%, of Summcorp's common stock at $27.50 per share through a lock up agreement.</t>
  </si>
  <si>
    <t>Sunrise Bancorp Inc</t>
  </si>
  <si>
    <t>Central Trust,Northern KY NA</t>
  </si>
  <si>
    <t>Central Trust, Northern Kentucky (CT), a unit of PNC Financial, acquired Sunrise Bancorp (SB) in a stock swap transaction valued at $22.56 mil. SB's shareholders received .557 shares of PNC's common stock for each of CT's 958,532 shares outstanding. The original terms of .59 shares offered was decreased due to an increase in PNC's stock price. Based on PNC's closing price of $42.25 on Dec 19, the last full trading day prior to the announcement, each share of SB was valued at $23.53. McDonald &amp; Co Securities advised SB.</t>
  </si>
  <si>
    <t>Van Dorn Co</t>
  </si>
  <si>
    <t>Mnfr metal and fiber cans</t>
  </si>
  <si>
    <t>Crown Cork &amp; Seal (CC) withdrew its sweetened bid to acquire Van Dorn for $20 per share, or $167.1 mil. The offer was withdrawn after several others, including the previous offer of $18 per share, or $150.3 mil, were rejected. CC offered shareholders either cash or common shares. If successful, CC was to divest of Van Dorn's plastic molding machinery business to Mannesmann under a previous agreement. In March 1992, a Wyser-Pratte-led group said that it was calling a Van Dorn shareholders meeting to consider ways to sell the company.</t>
  </si>
  <si>
    <t>Affiliated Bankshares of CO</t>
  </si>
  <si>
    <t>BANC ONE acquired Affiliated Bankshares of Colorado in a stock swap valued at $390.34 mil. Affiliated common shareholders received 0.726 BANC ONE shares for each of Affiliated's 10.57 mil shares outstanding. Based on BANC ONE's closing stock price of $50.875 on Dec 27, 1991, the last full trading day prior to the announcement, each common share of Affiliated was valued at $36.93. Holders of Affiliated preferred stock received 3.025242 shares of BANC ONE common stock for each preferred share.</t>
  </si>
  <si>
    <t>STOR Furnishings International</t>
  </si>
  <si>
    <t>Mnfr furniture,furnishings</t>
  </si>
  <si>
    <t>IKEA Holding US Inc</t>
  </si>
  <si>
    <t>Own,op furniture stores</t>
  </si>
  <si>
    <t>IKEA Holding US, a unit of the INGKA Holdings Overseas subsidiary of IKEA Svenska's INGKA Holdings, acquired STOR Furnishings International through a cash tender offer at $3.10 per share, or $19.7 mil. 98.9% of the voting shares and 100% of the non- voting shares were accepted through the tender offer. The remaining 1.1% of the voting shares were merged into IKEA at $3.10 per share. STOR retained Sutro to deliver a fairness opinion on the transaction.</t>
  </si>
  <si>
    <t>Salem Carpet Mills Inc</t>
  </si>
  <si>
    <t>Mnfr and wholesale carpets</t>
  </si>
  <si>
    <t>Delta Woodside Industries Inc</t>
  </si>
  <si>
    <t>Mnfr woven and knitted fabrics</t>
  </si>
  <si>
    <t>Delta Woodside Industries withdrew its negotiations to acquire Salem Carpet Mills. Goldman Sachs was retained as financial advisor to Salem Carpet Mills.</t>
  </si>
  <si>
    <t>Continental Medical Systems</t>
  </si>
  <si>
    <t>Medical rehabilitation svcs</t>
  </si>
  <si>
    <t>HealthSouth Rehabilitation</t>
  </si>
  <si>
    <t>Pvd rehabilitation svcs</t>
  </si>
  <si>
    <t>HealthSouth Rehabilitation (HR) terminated its agreement to merge with Continental Medical Systems (CMS) in a stock swap valued at $960 mil. Under the terms, HR and CMS would have both become units of a holding company, CHS Medical (CHSM). CMS holders would have received one share of CHSM for each CMS share held, while HR holders would have received 1.27 CHSM shares for each HR share held. HR and CMS holders would have owned 51% and 49% of CHSM, respectively. Based on HR's post-stock split share price of $33.25 on Jan 2, each share of CMS was valued at $26.30.</t>
  </si>
  <si>
    <t>Transaction Financial Corp</t>
  </si>
  <si>
    <t>Transaction Financial withdrew its agreement to acquire the bankrupt Sprouse- Reitz Stores for $7.7 mil. Sprouse-Reitz shareholders would have received $7 for each common share held, with the $7 being comprised of $4 in cash and $3 in 9%-junior debentures. Sprouse-Reitz Stores had also received several other inquiries from parties interested in acquiring the company or certain of its assets. Also, Sprouse-Reitz was negotiating a proposed reorganization plan with creditors.</t>
  </si>
  <si>
    <t>Ceco Filters Inc(CECO)</t>
  </si>
  <si>
    <t>Mnfr,whl air filters</t>
  </si>
  <si>
    <t>CECO Environmental Corp</t>
  </si>
  <si>
    <t>Mnfr,wholesale air filters</t>
  </si>
  <si>
    <t>API Enterprises Inc raised its its interest in Ceco Filters to 51.9% through a series of privately negotiated transactions. API Enterprises had agreed to acquire Ceco Filters in a stock swap valued at $25.5 mil. That agreement was terminated along with API changing its name to Ceco Environmental. In April 1993, Ceco raised its stake in Ceco Filters to 37%. In June 1992, Ceco acquired 1,666,666 shares of Ceco Filters, or 24% of the shares outstanding, from IntroTech Investments for 8.333,330 treasury shares valued at about $6 mil.</t>
  </si>
  <si>
    <t>Sport Supply Group Inc</t>
  </si>
  <si>
    <t>Whl,retail sporting goods</t>
  </si>
  <si>
    <t>Sport Supply Group ended all discussions regarding the acquisition of Sport Supply by undisclosed parties. Sport Supply had retained PaineWebber to assist the company in reviewing unsolicited acquisition offers. Sport Supply said that it had not been seeking a buyer but it seriously reviewed proposals that would have benefited the company. Sport Supply was 27%-owned by BSN.</t>
  </si>
  <si>
    <t>Ames Department Stores Inc</t>
  </si>
  <si>
    <t>US - Bankrupt Ames Department Stores Inc(ADS), an owner and operator of department stores, completed its debt restructuring with creditors(CR) in a transaction valued at $422.5 mil. CR received $352.5 mil in cash and 40 mil new common shares valued at $70 mil. The shares were valued based on ADS' closing stock price of $1.75 on January 4, the first full trading day post- restructuring. Upon completion, CR held a 100% interest in the restructured ADS.</t>
  </si>
  <si>
    <t>Quantronix Corp</t>
  </si>
  <si>
    <t>Mnfr, whl solid-state lasers</t>
  </si>
  <si>
    <t>Excel Technology Inc</t>
  </si>
  <si>
    <t>Mnfr laser sys</t>
  </si>
  <si>
    <t>Excel Technology (ET) acquired Quantronix in a revised stock swap transaction valued at $7.26 mil. Quantronix's shareholders received .425 share of ET common stock, down from .5 share, per share held. Also, Quantronix received a 5-year warrant to purchase .30 share of ET common stock, up from .25 share, at $6 per share. Based on ET's closing stock price of $4.125 on Jul 28, the last full trading day prior to the announcement of the change in terms, each of Quantronix's 4, 146,778 shares was valued at $1.75.</t>
  </si>
  <si>
    <t>Citadel Holding Corp</t>
  </si>
  <si>
    <t>Own,op apartment buildings</t>
  </si>
  <si>
    <t>Craig Corp</t>
  </si>
  <si>
    <t>Own,operate cinemas,theatres</t>
  </si>
  <si>
    <t>Craig, which held an 8.9% stake in Citadel Holding, disclosed that it had received approval from the Office of Thrift Supervision concerning its application to acquire a controlling interest in Citadel.</t>
  </si>
  <si>
    <t>PNC Financial acquired Flagship Financial for $13.05 in cash per share, or $45.45 mil. The transaction had been subject to regulatory approval PNC was also granted an option to acquire 19.99% of Flagship's stock under certain circumstances. Sovereign previously had offered to acquire Flagship in February 1991 for $39.9 mil, but that offer had been withdrawn. Flagship had retained Alex Brown &amp; Sons as a financial advisor after its deal with Sovereign had fallen through.</t>
  </si>
  <si>
    <t>GMIS Inc</t>
  </si>
  <si>
    <t>GMIS was in negotiations to merge with an undisclosed acquiror in a transaction valued at an estimated $6 mil, or approximately $1.57 per GMIS share.</t>
  </si>
  <si>
    <t>Heekin Can Inc</t>
  </si>
  <si>
    <t>Manufacture metal cans</t>
  </si>
  <si>
    <t>Heekin Can announced in January 1992 that it no longer intended to make a bid for Van Dorn. Crown Cork &amp; Seal withdrew its sweetened $20 per share, or $167.1 mil bid for Van Dorn, following the rejection of several other unsolicited offers to acquire the company.</t>
  </si>
  <si>
    <t>An investor group comprised of Metromedia Broadcasting (MB), bondholders, and New Line Cinema (NL) withdrew its amended plan to acquire Orion Pictures (OP), 70%-held by MB for $25 mil. Under the plan, NL and MB were to each pay $12.5 mil in cash. NL was to receive a 46% stake in OP, MB a 7.5% stake, with an option to acquire another 5% from NL, and bondholders were to receive a 45% stake. NL was to initially receive a 49.5% stake, and bondholders were to receive 41.5%. Savoy Pictures also bid for OP. Bankruptcy court approved a plan by MB for $44 mil.</t>
  </si>
  <si>
    <t>Turner Broadcasting Systems</t>
  </si>
  <si>
    <t>Operate TV, cable TV stations</t>
  </si>
  <si>
    <t>Turner Broadcasting System denied rumors it was considering making a bid for Orion Pictures, a 70%-owned unit of Metromedia Broadcasting. Concurrently, an investor group comprised of Metromedia, bondholders, and New Line Cinema submitted a plan to acquire Orion Pictures for $25 mil in cash. In November 1992, bankruptcy court approve a plan filed by a group comprised of Metromedia and Orion bondholders.</t>
  </si>
  <si>
    <t>FB &amp; T Corp</t>
  </si>
  <si>
    <t>Dauphin Deposit Corp,PA</t>
  </si>
  <si>
    <t>Dauphin Deposit acquired FB&amp;T in a stock swap valued at $74.64 mil. FB&amp;T holders received .94 Dauphin common shares for each of FB&amp;T's 2. 097 mil shares outstanding. Based on Dauphin's closing stock price of $37.875 on Jan 24, 1992, the last full trading day prior to the announcement, each share of FB&amp;T was valued at $35.60. FB&amp;T had granted Dauphin an option to acquire up to 19. 99% of FB&amp;T under a lockup agreement.</t>
  </si>
  <si>
    <t>Carolina Financial Corp</t>
  </si>
  <si>
    <t>SouthTrust acquired Carolina Financial in a stock swap transaction valued at $20.9 mil. Carolina Financial's stockholders received 0.9546 shares of SouthTrust's common stock for each of Carolina Financial's 886,000 shares outstanding. Based on SouthTrust's closing stock price of $24.75 on Jan 27, the last full trading day prior to the announcement, each share of Carolina Financial had an indicated value of $23.63. The transaction was subject to regulatory approval.</t>
  </si>
  <si>
    <t>Tago Inc</t>
  </si>
  <si>
    <t>Mnfr lab diagnostic prod,kit</t>
  </si>
  <si>
    <t>An employee-led investor group withdrew its cash offer to acquire Tago Inc. Tago later retained an investment bank to seek a buyer for the company.</t>
  </si>
  <si>
    <t>Grenada Sunburst System Corp</t>
  </si>
  <si>
    <t>First Tennessee National Corp</t>
  </si>
  <si>
    <t>First Tennessee National, Memphis and Grenada Sunburst System terminated their stock swap merger negotiations. Under the agreement, all Grenada common shares were to have been converted into the right to receive shares of First Tennessee common stock. However, the exchange ratio had not been definitively established. The proposed merger was to have been accounted for as a pooling of interest. The transaction had been subject to regulatory approval.</t>
  </si>
  <si>
    <t>Rexene Corp</t>
  </si>
  <si>
    <t>Mnfr petrochemical products</t>
  </si>
  <si>
    <t>Thai Petrochemical Industry</t>
  </si>
  <si>
    <t>Mnfr petrochem products</t>
  </si>
  <si>
    <t>Thailand</t>
  </si>
  <si>
    <t>Thai Petrochemical Industry withdrew its sweetened unsolicited offer to acquire the assets and post-petition liabilities of bankrupt Rexene (RX) for $250 mil in cash, up from $225 mil. Under the offer, Thai Petrochemical would not have assumed any of RX's existing $403 mil in pre- bankruptcy debt or other pre- bankruptcy liabilities. Creditors of RX and Cambridge Capital Fund also announced a restructuring plan which would give the creditors 65% of RX's new common stock. Under the plan, Cambridge also would acquire 25% of RX, while RX's CT Film would be split off.</t>
  </si>
  <si>
    <t>Quarex Industries Inc</t>
  </si>
  <si>
    <t>Whl groceries; supermarkets</t>
  </si>
  <si>
    <t>Quarex Industries disclosed in February 1992 that its stockholders approved the proposed merger of the company with an undisclosed party.</t>
  </si>
  <si>
    <t>Charter (CH), 53%-held by American Financial, acquired the remaining 18% of Spelling Entertainment (SE) that it did not already own in a stock swap valued at $43 mil. CH offered 1 of its shares for each of SE's 5.94 mil shares. Based on CH's closing stock price of $7.25 on Mar 30, 1992, the last full trading day prior to the sweetened bid each SE share was valued at $7.25. Initially CH offered .9 of its shares for each SE share. Gary Goldberg, a shareholder, filed suit to block the initial offer, citing inadequacy of the offer.</t>
  </si>
  <si>
    <t>Shaw Industries Inc</t>
  </si>
  <si>
    <t>Manufacture tufted carpets</t>
  </si>
  <si>
    <t>Shaw Industries acquired Salem Carpet Mills for $138.2 mil, including the assumption of $73 mil of liabilities. Salem Carpet shareholders received a choice of either $7.98 cash or .363 common share per share held.</t>
  </si>
  <si>
    <t>Big O Tires Inc</t>
  </si>
  <si>
    <t>Own,operate tire stores</t>
  </si>
  <si>
    <t>Big O Tires rejected an unsolicited offer from an undisclosed acquiror.</t>
  </si>
  <si>
    <t>First Federal S &amp; L,Lenawee</t>
  </si>
  <si>
    <t>Savings and loan association</t>
  </si>
  <si>
    <t>Standard Federal Bank,Troy,MI</t>
  </si>
  <si>
    <t>Standard Federal Bank acquired First Federal Savings &amp; Loan Association, Lenawee County, Michigan, in a deal valued at $46.2 mil. Standard Federal had offered $27.94 in cash for each First Federal share outstanding. The transaction had been subject to the approval of the Office of Thrift Supervision. Standard Federal was also granted an option to acquire up to 175,000 newly- issued First Federal common shares, at $18 per share under the agreement. The merged bank agreed to sell its Tecumseh, Michigan, branch to Adrian State Bank, a unit of ASB Bankcorp.</t>
  </si>
  <si>
    <t>Commtron Corp</t>
  </si>
  <si>
    <t>Wholesale prerecorded videos</t>
  </si>
  <si>
    <t>Ingram Entertainment Inc</t>
  </si>
  <si>
    <t>Whl prerecorded video cassette</t>
  </si>
  <si>
    <t>Ingram Entertainment, a unit of Ingram Industries, acquired Commtron, 82%-owned by Bergen Brunswig, in a deal valued at $78.3 mil. Ingram paid $7.75 in cash for each of Commtron's common shares outstanding. The going private transaction was subject to regulatory approval. Salomon Brothers advised Commtron.</t>
  </si>
  <si>
    <t>Oxford Consolidated disclosed in February 1992 that it had retained NationsBank Investment Banking to seek a buyer for the company.</t>
  </si>
  <si>
    <t>Park-Ohio Industries Inc</t>
  </si>
  <si>
    <t>Mnfr forged and machined parts</t>
  </si>
  <si>
    <t>Secom General Corp</t>
  </si>
  <si>
    <t>Mnfr,whl,lease precision tools</t>
  </si>
  <si>
    <t>Secom General withdrew its offer to acquire the remaining 99% of Park-Ohio Industries that it did not already own for $5.50 per share or $30.8 mil. Secom also solicited proxies against Park-Ohio's acquisition of Kay Home Products.</t>
  </si>
  <si>
    <t>First Peoples Financial Corp</t>
  </si>
  <si>
    <t>CoreStates Financial (CF) acquired First Peoples Financial (FPF) in a stock swap valued at $107.4 mil. CF paid .935 shares of its common stock for each of the 2.51 mil FPF shares outstanding. Based on CF's closing stock price of $45.75 on Feb 13, 1992, the last full trading day prior to the announcement, each FPF share was valued at $42.80. FPF granted CF an option to acquire 19.9% of FPF's common stock under a lockup agreement.</t>
  </si>
  <si>
    <t>La Quinta Motor Inns LP</t>
  </si>
  <si>
    <t>Ronin Partners LP</t>
  </si>
  <si>
    <t>Ronin Partners agreed to withdraw its unsolicited offer to acquire up to 80% of La Quinta Motor Inns in exchange for preferred shares in a newly created company. Ronin Partners had filed a suit against La Quinta's general partner, alleging excessive management fees. In return for dropping the suit, La Quinta agreed to raise its dividend to unitholders to $1 from $0.80 per unit. Exel Inns of America offered to lease most of La Quinta's assets, but was rejected.</t>
  </si>
  <si>
    <t>Sunlite Inc(Nycal Corp)</t>
  </si>
  <si>
    <t>Nycal withdrew its unsolicited offer to acquire the remaining 46% of Sunlite that it did not already own in stock swap valued at $4.26 mil. Nycal offered 1.5 common shares for each of the 2,471, 143 outstanding common shares of Sunlite. Based on Nycal's closing stock price of $2.5 on February 13, the last full trading day prior to the announcement, each share of Sunlite was valed at $3.75.</t>
  </si>
  <si>
    <t>Security Financial Group Inc</t>
  </si>
  <si>
    <t>Metropolitan Financial Corp</t>
  </si>
  <si>
    <t>Metropolitan Financial (MF) acquired Security Financial Group (SFG) in a stock swap valued at $12.8 mil. MC exchanged $17.5 of its common stock for each SFG share outstanding. The final exchange ratio was 1.294 shares of MF for each share of SFG's 731,430 shares outstanding. SFG had disclosed in November 1991 that it was considering a merger or acquisition involving the company. Security Financial retained Dain Bosworth to assess strategic alternatives for the company.</t>
  </si>
  <si>
    <t>Mountain Medical Equipment Inc</t>
  </si>
  <si>
    <t>Mnfr and lease medical equip</t>
  </si>
  <si>
    <t>Grumman Hill Group</t>
  </si>
  <si>
    <t>Grumman Hill Associates raised its stake in Mountain Medical Equipment (MME) to 72% from 31% by acquiring MME common and preferred shares in exchange for a reduction in debt.</t>
  </si>
  <si>
    <t>Niagara Exchange Corp</t>
  </si>
  <si>
    <t>Property,casualty insuranace</t>
  </si>
  <si>
    <t>Selective Insurance Group Inc</t>
  </si>
  <si>
    <t>Selective Insurance Group acquired Niagara Exchange for $31.9 mil. Selective paid $11. 50 in cash per each of Niagara's 1.8 mil common shares and .978 mil Series C cumulative convertible preferred shares outstanding. In November 1990, the board of Niagara named a committee to explore options for maximizing shareholder value in terms of a sale or restructuring of the company. Philo Smith and Northington Capital Markets were retained as financial advisors to Niagara, while First Boston advised Selective.</t>
  </si>
  <si>
    <t>Environmental Services of Amer</t>
  </si>
  <si>
    <t>Provide disposal services</t>
  </si>
  <si>
    <t>Advance Ross (AR) terminated its letter of intent to acquire Environmental Services of America (ESA) in a revised stock swap valued at $9.2 mil. AR had offered 1 share of its common stock for every 3 ESA commons share outstanding. Based on AR's closing stock price of $9.375 on May 5, the last full trading day prior to the revision, each ESA share was valued at $3.17. AR originally offered 1 common share for each 2.25 ESA shares. At the original ratio, the transaction was valued at $4.17 per share, or $12.1 mil.</t>
  </si>
  <si>
    <t>American Maize-Products Co</t>
  </si>
  <si>
    <t>Produce corn;mnfr tobacco prod</t>
  </si>
  <si>
    <t>Archer Daniels Midland Co</t>
  </si>
  <si>
    <t>Produce,wholesale agricultural products</t>
  </si>
  <si>
    <t>Archer-Daniels-Midland's offered to acquire American Maize-Products was rejected.</t>
  </si>
  <si>
    <t>Secor Bank FSB,Birmingham,AL</t>
  </si>
  <si>
    <t>Union Planters (UP) terminated negotiations to acquire Secor Savings Bank, Birmingham, Alabama (SSB) in a stock swap valued at $33.3 mil. UP had offered .6557 share of its common stock for each SSB share outstanding, provided that the market price of UP's stock price at closing was between $14.5 and $16 per share. Based on UP's closing stock price of $15.25 on Feb 21, the last full day of trading prior to the announcement, each SSB share was valued at $10. Also, UP terminated talks to acquire specific SSB Alabama branches.</t>
  </si>
  <si>
    <t>Sonex Research Inc</t>
  </si>
  <si>
    <t>Mnfr combustion tech</t>
  </si>
  <si>
    <t>An investor group consisting of Proactive Partners, Lagunitas Partners and Fremont Proactive Partners acquired 2 mil convertible preferred shares of Sonex Research for $2 mil or $1 per share. The preferred shares were convertible into common stock at $.35 per share, or 5. 7 mil total shares. The group was also granted 5 year warrants to acquire 2.85 mil common shares at $1.5 per share.</t>
  </si>
  <si>
    <t>First Savings Bancorp,Ohio</t>
  </si>
  <si>
    <t>Tristate Bancorp,Cincinnati,OH</t>
  </si>
  <si>
    <t>Tristate Bancorp merged with First Savings Bancorp (FSB) to form a holding company in a stock swap valued at $14.1 mil. Each FSB common share was converted into 1.245 Tristate common shares. Based on Tristate's closing stock price of $19.75 on Feb 26, 1992, the last full trading day prior to the announcement, each FSB share was valued at $24.6. Following the merger, 1 share of Tristate represented 1 share of the newly formed holding company. The transaction was approved by the Office of Thrift Supervision.</t>
  </si>
  <si>
    <t>QVC Network Inc</t>
  </si>
  <si>
    <t>Home Shopping Network Inc</t>
  </si>
  <si>
    <t>Home shopping TV network</t>
  </si>
  <si>
    <t>Home Shopping Network ended preliminary negotiations to merge with QVC Network. Terms were not disclosed.</t>
  </si>
  <si>
    <t>American Drug Screens Inc</t>
  </si>
  <si>
    <t>Provide drug testing services</t>
  </si>
  <si>
    <t>MBf International, a unit of MBf Holdings, acquired a majority interest in American Drug Screens.</t>
  </si>
  <si>
    <t>WR Grace concluded a tender offer to acquire the remaining 16.6%, or 4.07 mil shares, of Grace Energy that it did not already own for a sweetened $19 in cash per share, up from the original offer of $16.50 per share, or a total value of $77.3 mil. Holders of 3.982 mil shares tendered their holdings under the offer. All remaining shares were acquired for the same tender price. WR Grace had stated in January 1991 that it was seeking a buyer for its 83.4% stake in Grace Energy and upon acquisition of 100%, WR Grace was to dispose of the unit.</t>
  </si>
  <si>
    <t>Chemical Leaman Corp</t>
  </si>
  <si>
    <t>Trucking company; holding co</t>
  </si>
  <si>
    <t>Investor John H McFadden disclosed in March 1992 that he raised his stake in Chemical Leaman to 9.5% and may seek control of the company. McFadden had raised his stake to 9.5% by acquiring 4,000 Chemical Leaman common shares on the open market between Jan 6, 1992 and Jan 21, 1992 at prices ranging from $18.5 to $19.13 in cash per share. Based on the range high price of $19.13 per share, the raised stake had an indicated value of $.08 mil.</t>
  </si>
  <si>
    <t>JM Peters Co Inc</t>
  </si>
  <si>
    <t>Operative builders</t>
  </si>
  <si>
    <t>Kaufman &amp; Broad Home Corp</t>
  </si>
  <si>
    <t>Construct residential bldgs</t>
  </si>
  <si>
    <t>Kaufman &amp; Broad Home terminated its negotiations to acquire JM Peters, an 86%- owned unit of San Jacinto Savings Assn, a unit of Southmark, from the Resolution Trust (RTC). In Dec 1990, the RTC, as conservator of San Jacinto Savings Assn intended to sell San Jacinto Savings Association's majority interest in JM Peters. McFarland Dewey was retained as JM Peters' financial advisor.</t>
  </si>
  <si>
    <t>KeyCorp,Albany,NY(Key Corp,OH)</t>
  </si>
  <si>
    <t>KeyCorp (KC) acquired Puget Sound Bancorp, Tacoma, WA (PSB) in a stock swap transaction valued at $889.8 mil. KC offered 1.32 of its common shares for each PSB share outstanding. Based on KC's closing stock price of $34.50 on Jul 14, the last full trading day prior to the change in terms, each PSB share was valued at $45.54. The original terms of .88 KC shares for each PSB share had been increased due to a decrease in KC's closing price during the course of the transaction. Other parties had expressed interest in PSB.</t>
  </si>
  <si>
    <t>Resource Recycling Techs Inc</t>
  </si>
  <si>
    <t>Waste mgmt,recycling services</t>
  </si>
  <si>
    <t>JWP terminated its agreement to acquire the remaining 1, 749,000 common shares, or 66%, of Resource Recycling (RR) that it did not already own for a sweetened $13 mil. However, merger talks between the 2 parties continued. RR holders would have received . 5 JWP common shares, up from the previous offer of .33 share, per share held. Based on JWP's closing stock price of $14.875 on Apr 30, the last full trading day prior to the announcement of the change in terms, each RR share was valued at $7.4375. 3 parties filed suit against RR relating to JWP's merger proposal.</t>
  </si>
  <si>
    <t>Newell (NE) acquired Stuart Hall (SH) in a stock swap for $62.6 mil. NE offered $14 in common shares per each share of SH's 3.6 mil common shares outstanding and SH's 500,000 Series A convertible preferred shares outstanding. In addition, NE offered SH Class B shareholders $14 in common shares multiplied by . 77 for each of the .48 mil Class B shares outstanding. Under certain conditions, NE would have been entitled to $2.6 mil from SH if the acquisition had not been successfully completed. Piper Jaffray advised Stuart Hall.</t>
  </si>
  <si>
    <t>Computer Horizons (CH) acquired the common shares and options of Worldwide Computer Services for 330,000 CH common shares valued at $3. 63 mil. CH offered 287,573 common shares to Worldwide Computer shareholders valued at $3.16 mil. 42,427 of common shares were offered to holders of options to acquire Worldwide common shares who agreed to cancel their options. The value was based on CH's closing stock price of $11 on Mar 3, the last full trading day prior to the announcement. Each Worldwide Computer common share was valued at $1.69.</t>
  </si>
  <si>
    <t>Spindle Oil and Gas Inc</t>
  </si>
  <si>
    <t>Trident Oil Co Inc</t>
  </si>
  <si>
    <t>Trident Oil agreed to acquire a majority interest in Spindle Oil and Gas. Under the agreement, Trident would acquire 617,694 shares from Spindle's chairman, Duane Bacon, and possibly additional shares from the other shareholders.</t>
  </si>
  <si>
    <t>Sunwest Finl Svcs,Albuquerque</t>
  </si>
  <si>
    <t>Boatmen's Bancshares acquired Sunwest Financial Services in a stock swap transaction valued at $327.9 mil. Sunwest holders were to received .7722 Boatmen's share for each Sunwest share held. The value was based on Boatmen's closing stock price of $44.625 on Mar 4, the last full trading day prior to the announcement. Sunwest announced in February 1992 that it was involved in merger talks with an undisclosed acquiror.</t>
  </si>
  <si>
    <t>First American BanCorp,Ohio</t>
  </si>
  <si>
    <t>Charter One Finl,Cleveland,OH</t>
  </si>
  <si>
    <t>Charter One Financial (COF) acquired First American BanCorp (FAB) in a stock swap transaction valued at $41.9 mil. COF had offered .625 shares of its common stock in exchange for each FAB share outstanding. Based on COF's closing stock price of $30.5 on Mar 6, 1992, the last full trading day prior to the announcement, each FAB share was valued at $19.06. The deal had been subject to regulatory approval.</t>
  </si>
  <si>
    <t>Niagara Share Corp</t>
  </si>
  <si>
    <t>Provide mgmt investment svcs</t>
  </si>
  <si>
    <t>Scudder Stevens &amp; Clark Inc</t>
  </si>
  <si>
    <t>Investment bank</t>
  </si>
  <si>
    <t>Scudder Stevens &amp; Clark acquired Niagara Share in a tax-free transaction. Under the terms of the agreement, Niagara Share's assets, valued at market value, were exchanged for shares of Scudder Growth &amp; Income Fund (SGIF) of equal net asset value. Niagara Share was to make a liquidating distribution of SGIF shares of its holders for their Niagara stock.</t>
  </si>
  <si>
    <t>Dycom Industries Inc</t>
  </si>
  <si>
    <t>Pvd specialty contracting svcs</t>
  </si>
  <si>
    <t>Burnup &amp; Sims Inc</t>
  </si>
  <si>
    <t>Burnup &amp; Sims withdrew its intent to merge with Dycom Industries. Previously, Burnup had agreed to acquire 9.9% of Dycom's common shares from certain shareholders and former president William T Stover, but terminated its agreement in December 1992. Stover had been dismissed by Burnup's board. Stover had initiated merger plans through the agreed divestiture of his minority stake to Burnup.</t>
  </si>
  <si>
    <t>Stifel Financial Corp</t>
  </si>
  <si>
    <t>Pvd sec brokerage,invest svcs</t>
  </si>
  <si>
    <t>Raymond James Financial Inc</t>
  </si>
  <si>
    <t>Pvd financial services</t>
  </si>
  <si>
    <t>Raymond James Financial and Stifel Financial ended their agreement under which Raymond James was to acquire Stifel in a tax free stock swap transaction valued at $40.26 mil. Raymond James had offered $11.57 of its stock for each of Stifel's 3,480, 000 outstanding common shares.</t>
  </si>
  <si>
    <t>US - Bankrupt Rexene Corp (RC) , a manufacturer of petrochemical products, completed its debt restructuring with Creditors (CR). Upon completion, CR held a 92.5% interest in the restructured RC. Under the previous plan, debtholders would have received 65% of RX. Thai Petrochemical withdrew its $250 mil bid for RX.</t>
  </si>
  <si>
    <t>Westinghouse Credit Corp</t>
  </si>
  <si>
    <t>Pvd bus,consumer credit svcs</t>
  </si>
  <si>
    <t>Westinghouse Credit, a unit of the Westinghouse Financial Services subsidiary of Westinghouse Electric, acquired a 74% interest, or 7. 1 mil common shares, in Royal International Optical for an undisclosed amount of debt. Westinghouse Credit had originally agreed to acquire warrants to purchase a 15% interest of Royal International Optical for $. 144 mil.</t>
  </si>
  <si>
    <t>MIPS Computer Systems Inc</t>
  </si>
  <si>
    <t>Mnfr semiconductors</t>
  </si>
  <si>
    <t>Silicon Graphics (SG) acquired MIPS Computer Systems in a revised stock swap valued at $217.7 mil, down from the original offer of $415.2 mil. SG had offered .52 share for each of the 25 mil outstanding common shares of MIPS. Based on SG's closing stock price of $16. 375 on Apr 24, the last full trading day prior to the announcement of the change in terms, each share of MIPS was valued at $8.515. Originally, Silicon had offered .61 share for each MIPS share. The transaction had been subject to regulatory approvals.</t>
  </si>
  <si>
    <t>Nendels Corp</t>
  </si>
  <si>
    <t>Aspinone Ventures Ltd</t>
  </si>
  <si>
    <t>Aspinone Ventures, an investor group including the former president of Nendels, John Matlick, Park Inns International, Park Inns Aspinone Ventures, and the president of both companies Jonathan Read, withdrew an unsolicited offer to acquire the 1.025 mil shares, or 92% of the shares outstanding, of Nendels that it did not already own. The bid had previously been rejected, then re-submitted, in hopes of a favorable consideration from new Nendels board members.</t>
  </si>
  <si>
    <t>Rockies Fund Inc(Galbreath)</t>
  </si>
  <si>
    <t>Rockies Fund announced agreed to acquire a majority interest in Tago in a privately negotiated transaction. Rockies Fund intended to replace the board of directors with a new board. Tago disclosed in Feb 1992 that it had retained DeMello Capital investment bank to explore strategic alternatives, including the sale of the company. Tago had previously rejected a cash offer from an employee-led investor group.</t>
  </si>
  <si>
    <t>Seibels Bruce Group Inc</t>
  </si>
  <si>
    <t>Insurance hldg co</t>
  </si>
  <si>
    <t>American States Insurance Co</t>
  </si>
  <si>
    <t>Insurance co</t>
  </si>
  <si>
    <t>American States Insurance, a unit of Lincoln National, terminated its agreement to acquire Seibels Bruce Group (SBG) for $6.25 per share, or a total of $47.9 mil. Consideration would have consisted of $22.1 mil in cash and $25.8 mil in Lincoln common stock. Policy Management Systems (PMS) and SBG mutually agreed to terminate their agreement in which PMS was to acquire 9% of SBG for $5 mil. Updyke Group terminated its plan to acquire 36.3% of SBG for $20 mil.</t>
  </si>
  <si>
    <t>ACTV Inc</t>
  </si>
  <si>
    <t>Multi-media company;holding co</t>
  </si>
  <si>
    <t>The Washington Post Co</t>
  </si>
  <si>
    <t>Pvd education,media services</t>
  </si>
  <si>
    <t>Washington Post acquired rights to purchase up to a 51% interest in ACTV. In addition, Washington Post acquired a 15% stake in ACTV and was granted an option for an additional 750,000 shares. The rights were to expire Mar 17, 1995.</t>
  </si>
  <si>
    <t>INB Financial Corp</t>
  </si>
  <si>
    <t>NBD Bancorp, Detroit, Michigan acquired INB Financial in a stock swap valued at $883.26 mil. NBD had offered 1.6 shares of its common stock for each actual INB share outstanding. Based on NBD's closing stock price of $29.75 on Mar 17, the last full trading day prior to the announcement, each INB share was valued at $47.6. INB also granted NBD an option to acquire 19.99% (3,678,340 shares) of its common shares at $43 per share under a lockup agreement. The transaction had been approved by regulators.</t>
  </si>
  <si>
    <t>BLV Acquisition Corp</t>
  </si>
  <si>
    <t>BLV Acquisition, a unit of the Christiania General Insurance Corp of New York subsidiary of Christiania Holding, a unit of the Storebrand America subsidiary of Storebrand's Storebrand International, acquired the remaining 2.69 mil shares, 45. 2% of Belvedere through a $6. 30 per share, $16.9 mil, tender offer.</t>
  </si>
  <si>
    <t>National Savings Bank of Albany (NSB) rejected TrustCo Bank's (TC) $45.14 mil offer as inadequate. KeyCorp subsequently acquired NSB. TC's offer was similar to its previously rejected offer of $45.1 mil. The difference in the two offers was that the revised proposal was adjusted to reflect NSB's 3-for-2 stock split. In the latest bid, TC offered .5 common shares and $6.67 in cash for each NSB share outstanding. Based on TC's closing price of $39 on Mar 20, the last full trading day prior to the announcement, each NSB share was valued at $26.17.</t>
  </si>
  <si>
    <t>Dravo Corp</t>
  </si>
  <si>
    <t>Shareholders of Dravo rejected a proposal by CRSS, a 4.5% Dravo shareholder, urging Dravo to explore a sale or merger. The board of Dravo opposed the proposal.</t>
  </si>
  <si>
    <t>El Paso Electric Co</t>
  </si>
  <si>
    <t>Southwestern Public Service Co</t>
  </si>
  <si>
    <t>Elec,gas utility</t>
  </si>
  <si>
    <t>Southwestern Public Service (SPS) abandoned its $2.185 bil proposal to acquire bankrupt El Paso Electric, and was considering alternative plans to acquire the company. SPS had offered $706 mil in cash, $218 mil in common stock, $464 mil in bonds, $204 mil in pollution control bonds and $593 mil in renegotiated leases. The proposal was rejected by bankruptcy court. Subsequently, Central &amp; South West terminated its agreement to acquire El Paso for $2.2 bil, and Southern Union Gas, a unit of Southern Union, had terminated negotiations with El Paso Electric.</t>
  </si>
  <si>
    <t>OW Office Warehouse</t>
  </si>
  <si>
    <t>Whl office furniture,equipment</t>
  </si>
  <si>
    <t>OfficeMax Inc</t>
  </si>
  <si>
    <t>Own,op office supply store</t>
  </si>
  <si>
    <t>OfficeMax, 92.7%-owned by K Mart, acquired OW Office Warehouse for $11 in cash per common share, or $74.8 mil. Class B preferred shareholders received $1064. 52 in cash per share, while Class C preferred shareholders received $1015. 39 in cash per share. The agreement included a breakup fee provision requiring OW Office Warehouse, under certain circumstances, to pay a $2 mil fee to OfficeMax if the agreement had been terminated. Previously, OW Office Warehouse had announced it had received interest from undisclosed acquirors for the acquisition of the company.</t>
  </si>
  <si>
    <t>Lifetime Products Inc</t>
  </si>
  <si>
    <t>Mnfr truck bodies,auto parts</t>
  </si>
  <si>
    <t>In March 1992, Lifetime Products announced that it had retained Furman Selz to assist it in exploring the sale of the company.</t>
  </si>
  <si>
    <t>Texas Olefins</t>
  </si>
  <si>
    <t>Mnfr,whl industrial chemicals</t>
  </si>
  <si>
    <t>Texas Olefins (TO) ended talks to acquire bankrupt Rexene (RX) for $337.5 mil. TO had made a restructuring proposal which included $50 mil in cash, a 5 year $200 mil promissory note, and an earnout payment equal to 50% of RX's annual net income, up to a maximum of $17.5 mil per year, for each of the first 5 years, or a total of $87.5 mil. Under the plan RX would be responsible for its senior debt. RX creditors completed a plan to acquire 92.5% of RX in exchange for debt reduction. Previously, Thai Petrochemical withdrew its competing $250 mil bid for RX.</t>
  </si>
  <si>
    <t>Republic Bancorp Inc,Owosso,MI</t>
  </si>
  <si>
    <t>Republic Bancorp (RB) acquired Horizon Financial Services (HFS) in a stock swap valued at an amended $28. 66 mil. RB exchanged 2 common shares for each HFS common share. Based on RB's closing stock price of $8.875 per share on Oct 28, the last full trading day prior to the announcement of the amendment, each HFS share was valued at $17.75. Previously, RB was to exchange 0.715 shares of its common stock and 0.565 convertible preferred shares for each HFS share. In May 1992, HFS rejected a $25 mil offer.</t>
  </si>
  <si>
    <t>Goal Systems International Inc</t>
  </si>
  <si>
    <t>Dvlp mainframe system software</t>
  </si>
  <si>
    <t>Legent Corp</t>
  </si>
  <si>
    <t>Legent acquired Goal Systems International in a stock swap valued at $407.2 mil. Legent had offered 0.52356 common share for each of the 19.1 mil outstanding common shares of Goal Systems. Based on Legent's closing stock price of $40.75 on Apr 1, the last full trading day prior to the announcement, each share of Goal Systems was valued at $21.34. The transaction had been accounted for as a pooling of interests and had subject to regulatory approval.</t>
  </si>
  <si>
    <t>Volunteer Bancshares Inc</t>
  </si>
  <si>
    <t>Bancorp of Mississippi,Tupelo</t>
  </si>
  <si>
    <t>Bancorp of Mississippi (BM) acquired Volunteer Bancshares (VB) in a stock swap valued at $56.2 mil. BM paid .7769 of its common shares for each VB share outstanding. Based on BM's closing stock price of $31.375 on Apr 1, the last full trading day prior to the announcement, each VB share was valued at $24.40. The transaction was accounted for as a pooling of interests. VB had disclosed that it received an unsolicited offer from an undisclosed acquiror at a premium to the bank value of its common shares.</t>
  </si>
  <si>
    <t>Whitman Medical Corp</t>
  </si>
  <si>
    <t>Mnfr intravenous stabilizers</t>
  </si>
  <si>
    <t>An investor group including Frost-Nevada and Azure acquired 2 mil Whitman Medical common shares or about 60.17% of the company's common stock outstanding for $.66 per share or a total value of $3.03 mil in a privately negotiated transaction. The investor group offered $2.1 mil in cash plus 30,000 IVAX common shares valued at $.93 mil. The shares were valued based on IVAX's closing stock price of $30.875 on Apr 3, the last full trading day prior to the announcement.</t>
  </si>
  <si>
    <t>Wicat Systems Inc</t>
  </si>
  <si>
    <t>Develop computer systems</t>
  </si>
  <si>
    <t>Jostens Inc</t>
  </si>
  <si>
    <t>Pvd photography svcs</t>
  </si>
  <si>
    <t>Jostens acquired Wicat Systems in a revised stock swap valued at $97.3 mil. Jostens had offered .1859 of a common share for each of the 21 mil Wicat outstanding common shares. Based on Jostens' closing stock price of $25 on Jul 22, the last full trading day prior to the announcement of the change of terms, each share of Wicat was valued at $4.65. The value had been subject to collar adjustments based on Jostens closing stock price on the day of completion. The transaction was accounted for as a pooling of interests.</t>
  </si>
  <si>
    <t>Elmwood Federal Savings Bank</t>
  </si>
  <si>
    <t>In April 1992 Elmwood Federal Savings Bank announced it had retained Ryan Beck to assist in exploring methods to enhance stockholder value including the possible sale of the company. Shareholders would be asked to vote on the proposal at the May 13 annual meeting as well as the possibility of forming a holding company, Elmwood Bancorp, which would control all of the stock of Elmwood Federal.</t>
  </si>
  <si>
    <t>Nicolet Instrument Corp</t>
  </si>
  <si>
    <t>Mnfr electronic instruments</t>
  </si>
  <si>
    <t>Thermo Instrument Systems (TIS), a unit of Thermo Electron, completed the acquisition of Nicolet Instruments (NI) through a tender offer for 8,424,807 common shares, or 92.7%, for $21 in cash per share, or a total of $168 mil. Previously, TIS had raised its stake in NI to 7.26% by acquiring 303, 500 shares for $3.72 mil and indicated that it may seek control of the company. The tender offer had been conditioned upon TIS acquiring 75% of NI, including shares already held by TIS. NI had rejected TIS's original offer to acquire the company.</t>
  </si>
  <si>
    <t>Orange-co(Stoneridge Res Inc)</t>
  </si>
  <si>
    <t>Prod oranges,juices,plastics</t>
  </si>
  <si>
    <t>0174</t>
  </si>
  <si>
    <t>Ben Hill Griffin Inc</t>
  </si>
  <si>
    <t>Frozen fruits,juices,vegetable</t>
  </si>
  <si>
    <t>Ben Hill Griffin acquired a 52.3% interest in Orange-co held by Stoneridge Resources for $31 mil. Stonebridge Resources said in October 1990 that it was seeking a buyer for all of its assets for the purpose of raising cash to distribute a liquidation dividend to shareholders. Stonebridge retained Donaldson Lufkin &amp; Jenrette Securities as a financial advisor.</t>
  </si>
  <si>
    <t>Savoy Pictures Entertainment</t>
  </si>
  <si>
    <t>Pvd motion picture financing</t>
  </si>
  <si>
    <t>Savoy Pictures Entertainment, an investor group including Allen &amp; Co, the Pritzker family, Lew Korman and Victor Kaufman, bid for bankrupt Orion Pictures (OP), a unit of Metromedia Broadcasting, for an estimated $575 mil. Savoy offered $400 mil in cash and $175 mil in new securities. A group including New Line Cinema (NLC), Metromedia (MM), and MM bondholders withdrew a $25 mil plan, but later submitted another bid which was approved by bankruptcy court. MGM/UA also submitted a bid for $85 mil. Republic Pictures offered to acquire OP for $550 mil.</t>
  </si>
  <si>
    <t>First City Bancorp of Texas</t>
  </si>
  <si>
    <t>First Gibraltar Mortgage Corp</t>
  </si>
  <si>
    <t>Mortgage bank</t>
  </si>
  <si>
    <t>First Gibraltar Bank (FGB), a unit of MavcAndrews &amp; Forbes holdings withdrew a bid to acquire First City Bancorp of Texas (FCBT) after FCBT announced that it was seeking a buyer for 13 of its branches. FGB had entered its bid under a plan put forth by FCBT to keep the bank open. First Union, Texas Commerce Bancshares, and two investor groups, one consisting of management, and the other including First Interstate Bancorp and Kohlberg Kravis Roberts, all expressed, or had been rumored to have expressed, an interest to acquire FCBT.</t>
  </si>
  <si>
    <t>Bank of San Francisco Co</t>
  </si>
  <si>
    <t>Indonesia</t>
  </si>
  <si>
    <t>An investor group led by Putra Masagung acquired a majority interest in Bank of San Francisco, comprised of a convertible note and 5.6 mil Bank of San Francisco Class A common shares, for $15.5 mil. The group paid $2.50 per share and $1.5 mil for the note. The transaction had been subject to regulatory approval. An investor group led by RIE Capital raised its stake in Bank of San Francisco to 8.22%. Montgomery Securities acted as financial advisor to Bank of San Francisco.</t>
  </si>
  <si>
    <t>Texas Commerce Bancshares,TX</t>
  </si>
  <si>
    <t>Texas Commerce Bancshares (TCB), a unit of Chemical Banking, performed due diligence but did not enter a bid to acquire the troubled First City Bancorp of Texas (FCBT) in an open-bank transaction. FCBT had announced in March 1991 that it was seeking a buyer. Gibraltar Bank, First Union, and two investor groups, one consisting of management and the other including First Interstate Bancorp and Kohlberg Kravis Roberts, all expressed, or were rumored to have expressed, an interest in acquiring FCBT.</t>
  </si>
  <si>
    <t>Valley National Corp,Phoenix</t>
  </si>
  <si>
    <t>BANC ONE (BO) acquired Valley National, Phoenix, Arizona (VN) in a stock swap valued at $1.186 bil. BO offered 1.2 shares of its common stock for each VN share outstanding. Based on BO's closing stock price of $47.125 on Apr 13, the last full trading day prior to the announcement, each of VN's 21, 670,075 outstanding shares was valued at $56.55. The transaction had been subject to regulatory approval.</t>
  </si>
  <si>
    <t>Star Banc Corp,Cincinnati,OH</t>
  </si>
  <si>
    <t>Fifth Third Bancorp (FTB) withdrew its sweetened $42 per share, or $1.214 bil, hostile stock swap offer to acquire Star Banc (SB). The bid was withdrawn following SB's rejection. FTB had previously offered between $38 and $40 per share in common stock. SB's board announced that both offers were inadequate. SB holders had stated that they supported the initial offer. Several other banks approached SB about a potential white knight offer.</t>
  </si>
  <si>
    <t>American Mobile Systems Inc</t>
  </si>
  <si>
    <t>Operate radiotelephone systems</t>
  </si>
  <si>
    <t>Fleet Call Inc</t>
  </si>
  <si>
    <t>Pvd wireless telecom svcs</t>
  </si>
  <si>
    <t>Fleet Call suspended talks to acquire all of the common shares and substantially all of the assets of American Mobile Systems for $54.53 mil. Fleet Call had offered 3.1 mil Fleet Call Class A common shares and the assumption of $15 mil in liabilities. The stock portion of the transaction was valued at $39. 53 mil based on Fleet Call's closing stock price of $12.75 on Apr 17, the last full trading day prior to the announcement.</t>
  </si>
  <si>
    <t>Borland disclosed informal merger plans with Lotus Development were discontinued.</t>
  </si>
  <si>
    <t>An investor group including First Interstate Bancorp and Kohlberg Kravis Roberts was no longer rumored to be making a bid for First City Bancorp of Texas (FCBT) after FCBT decided to instead sell off 13 branches. In March 1991, FCBT had announced it was seeking a buyer. First Gibraltar, Texas Commerce Bancshares, First Union, Charlotte, North Carolina, and two investor groups, one consisting of management and the other with First Interstate Bancorp and Kohlberg Kravis Roberts, all had expressed or had been rumored to express interest in acquiring FCBT.</t>
  </si>
  <si>
    <t>First Fincorp Inc</t>
  </si>
  <si>
    <t>BB&amp;T Financial acquired First Fincorp (FF) in a stock swap valued at $18.52 mil. BB&amp;T offered .276 of its common shares for each of FF's 2,439,916 common shares outstanding. Based on BB&amp;T's closing stock price of $27.5 on Apr 20, the last full trading day prior to the announcement, each FF share was valued at $7.59. FF also granted BB&amp;T an option to acquire 808,973 FF shares at $5.5 per share under a lockup agreement. The transaction had been subject to regulatory approval.</t>
  </si>
  <si>
    <t>A L Laboratories Inc</t>
  </si>
  <si>
    <t>Mnfr,ret drugs, animal feeds</t>
  </si>
  <si>
    <t>AL Oslo</t>
  </si>
  <si>
    <t>Norway</t>
  </si>
  <si>
    <t>Apothekernes Laboratorium agreed to acquire 8,798,000 AL Laboratories common shares, or the remaining 52% of the company's outstanding common shares that it did not already own. Terms were not disclosed.</t>
  </si>
  <si>
    <t>Alpha Industries Inc</t>
  </si>
  <si>
    <t>M/A-COM Inc</t>
  </si>
  <si>
    <t>Mnfr semiconductors,circuits</t>
  </si>
  <si>
    <t>M/A-Com terminated its sweetened $4.50 per share, or $33.3 mil, offer to acquire Alpha Industries. A previous offer of $4 per share, or $29. 6 mil was rejected and subsequently withdrawn.</t>
  </si>
  <si>
    <t>Centennial Svgs Bk,Durango,CO</t>
  </si>
  <si>
    <t>First Bank Sys,Minneapolis,MN</t>
  </si>
  <si>
    <t>First Bank System terminated negotiations to acquire Centennial Savings Bank, Durango, Colorado in a stock swap transaction valued at $19 per share, or $12.3 mil. Consideration was to consist of First Bank common shares. The value was equal to Centennial's book value. Previously, Centennial had announced that it was in preliminary negotiations with 2 undisclosed parties regarding the acquisition of all of Centennial's outstanding shares.</t>
  </si>
  <si>
    <t>Star Banc (SB) disclosed that a sale of the company was not favorable, though it had been contacted by several undisclosed parties with a potential interest in SB. Suitors that were mentioned included PNC Financial, Norwest and NBD Bancorp. SB had rejected Fifth Third Bancorp's $1.16 bil unsolicited acquisition offer. However, Fifth Third announced that it may consider a hostile offer if SB would not participate in merger negotiations.</t>
  </si>
  <si>
    <t>Western Capital Investment</t>
  </si>
  <si>
    <t>First Bank System (FBS) acquired Western Capital Investment (WCI) in a stock swap valued at $137.81 mil. FBS offered .565 share of its common stock for each of WCI's 8,908,493 common shares, or 95.1% of the shares it did not already own. Based on FBS's closing stock price of $27.375 on Apr 29, the last full trading day prior to the announcement, each WCI share was valued at $15.47. Prior to the transaction, FBS held 457,300 WCI common shares. The transaction received regulatory approval.</t>
  </si>
  <si>
    <t>Imagine Films Entertainment</t>
  </si>
  <si>
    <t>Motion picture, program prodn</t>
  </si>
  <si>
    <t>An investor group including Ron Howard and Brian Grazer acquired Imagine Films Entertainment (IFE) via a tender offer and subsequent merger valued at $41.3 mil. 2, 240,781 shares were tendered for $9 in cash per share. The group then acquired the remaining shares by converting them into rights to receive $9 in cash per share. The group also offered $1 in cash for each 123,681 options, each exercisable for 1 common share at $8 per share and assumed $7 mil in liabilities. Prior to the proposal, the group held 54. 7% (3.09 mil shares) of IFE's primary shares.</t>
  </si>
  <si>
    <t>Westamerica Bancorp (WB) acquired Napa Valley Bancorp (NVB) in a sweetened $59.7 mil hostile stock swap. WB paid NVB the equivalent of $17.31 WB shares per NVB share or a ratio of .6323 share per NVB share, based on WB's closing stock price for the 25 days prior to closing. WB had 3 previous offers for NVB rejected, including one for $50.39 mil, or $15.125 per share, and one for a sweetened $50.81 mil, or a $15.25 per share stock swap offer. NVB had terminated acquisition talks with undisclosed acquirors. The merged company would operate 53 branches.</t>
  </si>
  <si>
    <t>Script Systems Inc</t>
  </si>
  <si>
    <t>InfoMed Inc</t>
  </si>
  <si>
    <t>Provide info retrieval svcs</t>
  </si>
  <si>
    <t>InfoMed (IM) completed a tender offer for the outstanding equity securities of Script Systems (SS) for stock in InfoMed Holdings (IH) , the new holding company of IM, by accepting 1,331,487 SS common shares and 67,500 SS preferred shares. IM offered 0.4 common share of IH for each SS common share held and 139,737 IH common shares for all 67,500 SS preferred shares held. IM offered 2.72 IH common shares for each IM common share held, 370,784 IH common shs for each IM Series A preferred sh held, and 3.2 IH common shs for each IM Series B preferred sh held.</t>
  </si>
  <si>
    <t>Wiland Services Inc</t>
  </si>
  <si>
    <t>Provide computer services svcs</t>
  </si>
  <si>
    <t>Neodata Corp</t>
  </si>
  <si>
    <t>Pvd subscription svcs</t>
  </si>
  <si>
    <t>Neodata, a unit of Hicks Muse, acquired the outstanding stock of Wiland Services for $6.6 in cash per share, or a total value of $23.8 mil. In addition, Neodata acquired the Direct Marketing Services division of Wiland for $29.4 mil in cash and shares of the newly- formed firm that was the result of the Neodata and Wiland Services merger.</t>
  </si>
  <si>
    <t>Southwest Realty</t>
  </si>
  <si>
    <t>Operate residential buildings</t>
  </si>
  <si>
    <t>Investor Don Daseke announced his intent to acquire the remaining 73.5% interest of Southwest Realty that he did not already own. Don Daseke retained Realty Capital International as financial advisor. Daseke had filed a suit seeking a dissolution of Southwest Realty. Southwest Realty also sued Daseke alleging fraud.</t>
  </si>
  <si>
    <t>Republic Pictures Corp</t>
  </si>
  <si>
    <t>Film and tape production svcs</t>
  </si>
  <si>
    <t>Republic Pictures's (RP) offer to acquire bankrupt Orion Pictures (OP), a unit of Metromedia Broadcasting (MB), for $550 mil was terminated in light of a successful reorganization by MB and OP bondholders. RP offered creditors of OP $400 mil in cash and receivables, $150 mil in senior secured notes and a 10% interest in the newly merged entity. Savoy Pictures Entertainment also made a bid, Turner Broadcasting was said to be interested and a group including MB and New Line Cinema withdrew a $25 mil bid, then submit a new bid that was approved by bankruptcy court.</t>
  </si>
  <si>
    <t>Credit Lyonnais Bank Nederland</t>
  </si>
  <si>
    <t>Bank</t>
  </si>
  <si>
    <t>Credit Lyonnais Bank Nederland (CLB), a unit of Credit Lyonnais, merged with Pathe Communications (PC) in a transaction valued at $8.7 mil. Earlier, CLB completed its tender offer to acquire the remaining 5.8 mil common shares, or 9.7% stake, which it did not alread own for $1. 5 in cash per share, by accepting 2,809,739 common shares, or 4.7% of its outstanding shares. CLB had gained an 90.3% interest in PC for $483.5 mil through its MGM Holdings unit after Giancarlo Parretti, owner of PC, had defaulted on loans owed to CLB.</t>
  </si>
  <si>
    <t>MGM Holdings Corp</t>
  </si>
  <si>
    <t>MGM Holdings, a unit of Credit Lyonnais Bank Nederland (CLN), acquired 53, 348,460 common shares, or an 89.3% majority interest in Pathe Communications (PC) at a foreclosure proceeding in exchange for $483.5 mil in debt reduction. PC's shares were pledged as collateral for debt obligations owed to CLN. Simultaneously CLN launched a cash tender offer for the remaining 5.8 mil shares, or 9.7% it did not already own for $1.5 cash per share, or $8.7 mil.</t>
  </si>
  <si>
    <t>Pinelands Inc</t>
  </si>
  <si>
    <t>Own,op television stations</t>
  </si>
  <si>
    <t>BHC Communications Inc</t>
  </si>
  <si>
    <t>Own and operate TV stations</t>
  </si>
  <si>
    <t>BHC Communications, a subsidiary of Chris-Craft Industries, completed an $18. 1184 per share cash tender offer to acquire all of the outstanding common shares of Pinelands (PL) for $295.59 mil by accepting 16,464,472 shares, or 95.1% of PL's common stock that it did not already own. PL abandoned a previous agreement to acquire KCAL-TV from Walt Disney for $203.73 mil in which Walt Disney would have owned 45% of PL. A poison pill plan of PL was amended so that the BHC acquisition could proceed.</t>
  </si>
  <si>
    <t>Titan Holdings Inc</t>
  </si>
  <si>
    <t>Titan Holdings terminated its agreement to acquire all the outstanding common shares of Belvedere. Belvedere retained Alex Brown as financial advisor. BLV Acquisition, a unit of Christiania General Insurance Corp of New York completed a $6.30 per share tender offer to acquire the remaining 2, 666,667 common shares, or 45. 2% of Belevedere's outstanding stock, that it did not already own for $16.9 mil.</t>
  </si>
  <si>
    <t>MGM/UA Communications (MGMC), a unit of the MGM-Pathe Communications subsidiary of Credit Lyonnais Bank Nederland's Pathe Communications unit, bid to acquire bankrupt Orion Pictures (OP), a unit of Metromedia Broadcasting, for $50 mil. The offer would consist of $50 mil in cash. Other bidders for OP included Savoy Pictures Entertainment and Metromedia, of which the latter's bid was later accepted by creditors. Republic Pictures also bid to acquire OP for $550 mil.</t>
  </si>
  <si>
    <t>TM Century Inc</t>
  </si>
  <si>
    <t>Pvd music,production svcs</t>
  </si>
  <si>
    <t>Investor Lowell W Paxson acquired a 63% interest in TM Century. Terms were not disclosed. The transaction was subject to various approvals.</t>
  </si>
  <si>
    <t>Nova Pharmaceutical Corp</t>
  </si>
  <si>
    <t>Pharmaceutical research svcs</t>
  </si>
  <si>
    <t>Scios Inc</t>
  </si>
  <si>
    <t>Scios acquired Nova Pharmaceutical (NP) in a stock swap valued at $166.4 mil. Scios paid .39 of its common stock for each NP share outstanding. NP's publicly traded Class C and D warrants were also exchanged for equivalent warrants in the newly-merged entity. Based on Scios' closing stock price of $13.25 on May 12, the last full trading day prior to the announcement, each NP share was valued at $5.17.</t>
  </si>
  <si>
    <t>Security Finanical Holding Co</t>
  </si>
  <si>
    <t>BB&amp;T Financial acquired Security Financial Holding in a stock swap valued at $39.7 mil. BB&amp;T offered .7822 of its common shares for each of the 1,706,595 Security Financial common shares outstanding, subject to adjustment. Based on BB&amp;T's closing stock price of $29.75 on May 12, the last full trading day prior to the announcement, each Security Financial share was valued at $23.27. The transaction was to be accounted for as a pooling of interests and was subject to regulatory approval.</t>
  </si>
  <si>
    <t>Patlex Corp</t>
  </si>
  <si>
    <t>Mnfr and patent laser systems</t>
  </si>
  <si>
    <t>AutoFinance Group Inc</t>
  </si>
  <si>
    <t>Provide auto financing svcs</t>
  </si>
  <si>
    <t>AutoFinance Group acquired Patlex in a stock swap transaction valued at $45 mil. Patlex shareholders received 1.4 shares of AutoFinance per share held. Based of AutoFinance's closing stock price of $4.75 on May 14, the last full trading day prior to the announcement of the accord, each of Patlex' 6,771, 908 shares was valued at $6. 65.  In addition, Patlex shareholders were to also receive, in the form of common shares, 25% of the net proceeds that were to come from Patlex's patent infringement suit against the US government.</t>
  </si>
  <si>
    <t>Rheometrics Inc</t>
  </si>
  <si>
    <t>Mnfr viscosity measuring inst</t>
  </si>
  <si>
    <t>Axess Corp</t>
  </si>
  <si>
    <t>Manufacture laboratory equip</t>
  </si>
  <si>
    <t>Axess raised its stake in Rheometrics to 50.2% by acquiring 1,872,475 common shares, or a 20.7% stake, for a total of $1.992 mil in a privately negotiated transaction.  Under the terms of the agreement, Axess acquired 650,670 Rheometrics shares for $692,000 and acquired a debenture convertible into 1,221,805 shares for $1.3 mil.</t>
  </si>
  <si>
    <t>Applied Microbiology Inc</t>
  </si>
  <si>
    <t>Develop biotechnology products</t>
  </si>
  <si>
    <t>Burns Philp &amp; Co Ltd</t>
  </si>
  <si>
    <t>Produce yeast,food ingredient</t>
  </si>
  <si>
    <t>Burns Philp acquired 348,840 ordinary shares (2.06%) in Applied Microbiology (AM) for a total of value of $1.5 mil, or $4.80 per ordinary share. The transaction was effected through a private placement. Concurrently, AM acquired Aplin &amp; Barrett, a unit of Burns Philp. The placement, combined with the common shares that were offered to Burns Philp in AM's acquisition of Aplin &amp; Barrett, raised Burns Philp's stake in AM to a majority.</t>
  </si>
  <si>
    <t>Arctco Inc</t>
  </si>
  <si>
    <t>Mnfr and whl snowmobiles</t>
  </si>
  <si>
    <t>An investor group including investor Malcolm Glazer, which held a 6.3% minority stake in Arctco, announced it may seek control of Arctco. Suzuki Motor held 3.63 mil Class B Arctco common shares, or 36% of the company's outstanding common stock. Suzuki announced it was not interested in divesting its minority stake. In September 1992, Glazer divested of the entire 6.3% stake, or 593,000 shares.</t>
  </si>
  <si>
    <t>First Florida Banks Inc</t>
  </si>
  <si>
    <t>Barnett Banks,Jacksonville,FL</t>
  </si>
  <si>
    <t>Barnett Banks (BB) acquired First Florida Banks (FFB) in a stock swap valued at $882.6 mil. BB offered 1.42 shares of its common stock for each of FFB's 15.8 mil shares outstanding. Based on BB's closing stock price of $39.25 on May 15, the last full trading prior to the announcement, each FFB share was valued at $55.74. FFB had also granted BB an option to acquire up to 19.9% of FFB's common stock under a lockup agreement. First Union and SunTrust Banks, Atlanta, GA both withdrew their competing bids. The Lykes family controlled 32% of FFB.</t>
  </si>
  <si>
    <t>First Union Corp,Charlotte,NC</t>
  </si>
  <si>
    <t>Commercial bank;holding co</t>
  </si>
  <si>
    <t>First Union (FU) withdrew its offer to acquire First Florida Banks (FFB) in a stock swap estimated at $40. 74 per share, or a total of $645.5 mil. FU had been rumored to be a potential bidder for FFB. SunTrust Banks, Atlanta, Georgia also withdrew its competing bid. Barnett Banks later acquired FFB in a stock swap valued at $55.74 per share, or a total of $883 mil. The Lykes family controlled 32% of FFB.</t>
  </si>
  <si>
    <t>SunTrust Banks Inc,Atlanta,GA</t>
  </si>
  <si>
    <t>SunTrust Banks, Atlanta, Georgia (SB) withdrew its offer to acquire First Florida Banks (FFB) in a stock swap estimated at $40. 74 per share, or a total of $645.5 mil. SB had been rumored to be a potential bidder for FFB. First Union also withdrew its competing bid. Barnett Banks later acquired FFB for $55.74 per share, or a total of $883 mil. The Lykes family controlled 32% of FFB.</t>
  </si>
  <si>
    <t>CAMI'Z Inc</t>
  </si>
  <si>
    <t>Whl and retail activewear</t>
  </si>
  <si>
    <t>The chairman of CAMI'Z was granted the option to raise his stake in CAMI'Z to a majority stake. Concurrently, the chairman acquired a minority interest in CAMI'Z.</t>
  </si>
  <si>
    <t>Methode Electronics Inc</t>
  </si>
  <si>
    <t>manufacture, wholesale electronic products</t>
  </si>
  <si>
    <t>Methode Electronics (ME) terminated its search for a buyer for its Trace Instruments unit. In May 1992, ME announced that it was seeking a buyer for its Trace Instruments unit.</t>
  </si>
  <si>
    <t>Biocraft Laboratories Inc</t>
  </si>
  <si>
    <t>Mnfr generic pharmaceuticals</t>
  </si>
  <si>
    <t>In May 1992, Biocraft Laboratories retained Wertheim Schroder to assist them find a buyer for the company.</t>
  </si>
  <si>
    <t>Centel Corp</t>
  </si>
  <si>
    <t>Sprint Corp</t>
  </si>
  <si>
    <t>Pvd telephone svcs</t>
  </si>
  <si>
    <t>Sprint merged with Centel in a stock swap valued at $3.967 bil. Sprint had offered 1.37 common shares for each Centel share and assumed $1.1 bil in liabilities. Based on Sprint's closing stock price of $24.5 on May 26, the last full trading day prior to the announcement, each share of Centel was valued at $33.565. The transaction was accounted for as a pooling of interests. NYNEX, US WEST, Bell Atlantic, and BellSouth also expressed interest in acquiring Centel. Ameritech had bid for Centel's PA, IN and OH telephone operations. Centel was known as Sprint Cellular as of 4/21.</t>
  </si>
  <si>
    <t>Pioneer Financial Corp</t>
  </si>
  <si>
    <t>Virginia Beach Fed Finl Corp</t>
  </si>
  <si>
    <t>Virginia Beach Federal Savings Bank agreed to acquire Pioneer Financial's Virginia Beach branch.  The transaction was subject to the Office of Thrift Supervision's approval.</t>
  </si>
  <si>
    <t>Loyal American Life Insurance, a unit of the Laurential Capital subsidiary of Laurential Group's Laurential Financial unit, made an unsolicited offer to acquire the remaining 76% interest, or 2.37 mil shares in North American National for $11.50 in cash per share, or a total of $27.26 mil, which expired without a response from North American. The offer was subject to regulatory approval and expired on Jun 10, 1992. Loyal American had made an offer to acquire North American National in September 1991 that also expired.</t>
  </si>
  <si>
    <t>Durr-Fillauer Medical Inc</t>
  </si>
  <si>
    <t>Whl medical,surgical,drug prod</t>
  </si>
  <si>
    <t>Cardinal Distribution</t>
  </si>
  <si>
    <t>Whl pharmaceutical products</t>
  </si>
  <si>
    <t>Durr-Fillauer (DF) terminated Cardinal Distribution's (CD) bid to acquire it in a revised stock swap valued at $434.8 mil after DF entered into a merger agreement with Bergen Brunswig. As a result, CD received a $11 mil breakup fee from DF. CD had offered $30.50 in common shares per share and the assumption of $70.4 mil of debt. CD had offered between $161.5 mil and $181.5 mil in common stock and the assumed debt to acquire the wholesale drug business of DF. That deal was to have followed a spinoff by DF of its orthopedic unit, for which DF had been seeking a buyer.</t>
  </si>
  <si>
    <t>Capital Pacific Homes</t>
  </si>
  <si>
    <t>Capital Pacific Homes (CPH) acquired the 85.8% interest, or 12 mil shares of JM Peters held by the failed San Jacinto Savings Association FA (SJS) subsidiary of Southmark, from the Resolution Trust (RTC) for $47.25 mil. CPH also assumed 100% of the liabilities of JM Peters. CPH had been selected as the leading bidder for the 85.8% interest. In December 1990, the RTC, as conservator of SJS, intended to dispose of SJS's 85.8% interest in JM Peters McFarland. Dewey was retained as JM Peters' financial advisor.</t>
  </si>
  <si>
    <t>Advanced Telecommunications</t>
  </si>
  <si>
    <t>LDDS Communications acquired Advanced Telecommunications (AT) in a stock swap valued at $585.6 mil. LDDS offered . 83 of its common shares for each share of AT. Based on LDDS's closing stock price of $31.625 on Jun 2, the last full trading day prior to the announcement, each of AT's 22. 31 mil shares was valued at $26.25. Previously, AT announced it was in talks with an undisclosed acquiror about a possible merger. LDDS was rumored to be the acquiror. The transaction was accounted for as a pooling of interests. LDDS financed the acquisition with a $550 mil package.</t>
  </si>
  <si>
    <t>Bankruptcy court approved a reorganization plan filed by an investor group including Metromedia (MM) and bondholders (BH) whereby the group received 99.1% of bankrupt Orion Pictures, 70%- owned by MM. MM acquired 50. 1% of OP for $15 mil in cash, the forgiveness of $29 mil in debt and the guarantee of OP's $230 mil in bank debt. BH acquired 49% of OP and $100 mil face value zero- coupon subordinated debentures in exchange for debt reduction. Savoy Pictures Republic Pictures and MGM/UA also bid for OP.</t>
  </si>
  <si>
    <t>BANC ONE (BO) acquired Key Centurion Bancshares (KCB) in a stock swap merger valued at $583.9 mil. KCB common shareholder received .43478 BO common share for each KCB share held. Based on BO's closing stock price of $55. 125 on Apr 30, the last full trading day prior to the announcement of exact terms, each KCB share was valued at $24. The exchange ratio had been reduced from .4783 due to an agreement to maintain a $22 value per KCB share. The transaction had been subject to federal and state banking regulatory approval.</t>
  </si>
  <si>
    <t>Mellon Bank Corp,Pittsburgh,PA</t>
  </si>
  <si>
    <t>Mellon Bank's bid to merge with Key Centurion Bancshares (KCB) for $438.5 mil was withdrawn. The bid was for $18 per share for each of KCB's 24,363,636 common shares outstanding. BANC ONE submitted the winning bid, and subsequently acquired Key Centurion Bancshares in a stock swap for $24 per share, or a total of $583.9.</t>
  </si>
  <si>
    <t>Elm Financial Services Inc</t>
  </si>
  <si>
    <t>St Paul Bancorp,Chicago,IL</t>
  </si>
  <si>
    <t>St Paul Bancorp acquired Elm Financial Services for $49.04 mil. St Paul offered $12.35 in cash and $10.10 in common stock for each of Elm's common shares outstanding. Also, between Jul 7 and Sep 8 St Paul acquired 74,100 shares of Elm's stock in the open market for a total of $1. 59 mil based on the $21.45 closing price. The transaction was subject to regulatory approval. Elm had announced in July 1991 that it was exploring the possibility of selling the company or selling its Elmhurst Federal Saving Bank subsidiary.</t>
  </si>
  <si>
    <t>Gulf States Utilities Co</t>
  </si>
  <si>
    <t>Entergy Corp</t>
  </si>
  <si>
    <t>Electric,gas utility;hldg co</t>
  </si>
  <si>
    <t>Entergy acquired Gulf States Utilities for $20 in cash or common stock per share, or a total of $2.281 bil. Gulf shareholders had a choice between cash and common stock, with a maximum of $250 mil allotted for the cash portion of the consideration. Gulf States announced in March 1992 that it had retained Goldman Sachs to aid in merger talks with an undisclosed acquiror. Entergy was advised by Salomon Brothers. The transaction was approved by the Federal Energy Regulatory Commission.</t>
  </si>
  <si>
    <t>Collateral Investment Corp</t>
  </si>
  <si>
    <t>Pvd mortgage,life insurance</t>
  </si>
  <si>
    <t>Collateral Investment withdrew its letter of intent to acquire all the outstanding common stock of Southern Educators Life Insurance for $8.75 per common share, or a total of $22.4 mil.</t>
  </si>
  <si>
    <t>Wetterau Inc</t>
  </si>
  <si>
    <t>Wholesale,retail grocery prods</t>
  </si>
  <si>
    <t>Super Valu Stores Inc</t>
  </si>
  <si>
    <t>Wholesale groceries</t>
  </si>
  <si>
    <t>Super Valu Stores (SVS) acquired Wetterau (WTT) in a revised transaction valued at $1.08 bil. SVS had offered $30.25 in cash per share, raised from the original offer of $30.20 in cash per share, and the assumption of $440 mil of liabilities. As part of the revised agreement, SVS would receive 100% of WTT's Shop'n Save unit, which WTT had originally planned to spin off to shareholders. Goldman Sachs advised WTT while Bankers Trust advised SVS. The transaction had been subject to regulatory approval.</t>
  </si>
  <si>
    <t>Kirschner Medical Corp</t>
  </si>
  <si>
    <t>Mnfr orthopedic products</t>
  </si>
  <si>
    <t>Henley International Inc</t>
  </si>
  <si>
    <t>Henley International (HI) terminated its agreement to merge with Kirschner Medical (KM) in a stock swap transaction valued at $36.98 mil. HI had offered 0.92 of its common stock for each share of KM. Based on HI's closing stock price of $16. 126 on Jun 9, the last full trading day prior to the announcement, each KM share was valued at $14.835. The transaction had been subject to various approvals, including registration of the HI shares with the SEC.</t>
  </si>
  <si>
    <t>Bankrupt Lionel and bankrupt Child World ended their merger negotiations. The transaction would be subject to approval of bankruptcy court. Upon collapse of the merger talks, Child World was to begin closing its stores and begin liquidating.</t>
  </si>
  <si>
    <t>Investor Richard M Osborne disclosed that he intended to raise his stake in Park-Ohio Industries (POI) to majority control from 5.04% if the merger between POI and Kay Home Products had failed. In June 1992, Osborne disclosed that he reduced his total holding in Park-Ohio to 4.33% or 243,000 shares, as the merger with Kay Home Products succeeded.</t>
  </si>
  <si>
    <t>South Carolina Federal Corp</t>
  </si>
  <si>
    <t>First Union (FU) acquired South Carolina Federal (SCF) in a stock swap valued at $78. 2 mil. FU offered .76 shares of its common stock for each SCF share outstanding. Based on FU's closing stock price of $36.75 on Jun 10, the last full trading day prior to the announcement, each SCF share was valued at $27.93. The terms upon completion were subject to a pending environmental matter; if not settled prior to Dec 31, 1993, the ratio would be lowered to .745. SCF had earlier announced it was negotiating to merge with an undisclosed acquiror.</t>
  </si>
  <si>
    <t>Harmonia Bancorp</t>
  </si>
  <si>
    <t>Sovereign Bancorp (SB) acquired Harmonia Bancorp (HB) in a stock swap for an amended $92.17 mil. SB offered $2.5 in cash and 1. 7325 in common shares for each HB share outstanding. The terms called for the common share portion of the consideration offered to be based on SB's closing stock price of $11 per share on Jan 11, valuing each HB share at $21.56. The original terms of $2.5 in cash and $17.25 in common shares were amended because SB's average closing price during a 10 day period ending Jan 12 was greater than $10.10.</t>
  </si>
  <si>
    <t>Arctic Alaska Fisheries Corp</t>
  </si>
  <si>
    <t>Own, operate fishing vessels</t>
  </si>
  <si>
    <t>0913</t>
  </si>
  <si>
    <t>Tyson Foods Inc</t>
  </si>
  <si>
    <t>Mnfr,whl poultry,meat prod</t>
  </si>
  <si>
    <t>Tyson Foods acquired Arctic Alaska Fisheries (AAF) in a stock swap transaction valued at $412.32 mil. Tyson Foods had offered 0.5686 share of its Class A common stock and $2.23 in cash for each common share of AAF. Based on Tyson Foods' closing stock price of $18.50 in Jun 15, the last full trading day prior to the announcement, and the $2.23 per share cash offering, each AAF share was valued at $12. 75. Tyson also assumed $200 mil in Artic debt. The transaction had been subject to regulatory approval.</t>
  </si>
  <si>
    <t>Sphinx Natural Resources Inc</t>
  </si>
  <si>
    <t>Own and operate gold mines</t>
  </si>
  <si>
    <t>Sphinx Natural Resources disclosed that it had entered into a non-binding memorandum of agreement with a private undisclosed acquiror regarding the sale of the company. Terms were not disclosed. Onyx Financial Group structured the proposed transaction and planned to provide financing if the transaction was completed.</t>
  </si>
  <si>
    <t>Critical Care America Inc</t>
  </si>
  <si>
    <t>Medical Care International Inc</t>
  </si>
  <si>
    <t>Own,op surgical centers</t>
  </si>
  <si>
    <t>Medical Care International (MCI) merged with Critical Care America (CCA) in a stock swap valued at $846.3 mil. CCA and MCI shareholders received stock in the new firm on a basis of .72 shares per share held and 1 share per share held, respectively. Based on MCI's closing stock price of $55 on Jun 16, the last full trading day prior to the announcement, each CCA share was valued at $39.60. The merged firm was known as Medical Care America. Following completion of the deal, MCI and CCA owned 58% and 42% of the new firm, respectively.</t>
  </si>
  <si>
    <t>Tyler Cabot Mortgage Sec Fund</t>
  </si>
  <si>
    <t>Capstead Mortgage Corp</t>
  </si>
  <si>
    <t>Capstead Mortgage acquired Tyler Cabot Mortgage Securities Fund in a stock swap merger valued at $259.4 mil. Tyler Cabot shareholders received 1 share of $1.26 cumulative convertible preferred stock, Series B, for each common share held. The preferred shares were convertible into common shares at a .3196 to 1 ratio, originally a .271 to 1 ratio. The value of the shares was based on Capstead Mortgage's closing common stock price of $32.625 on Jun 16, the last full trading day prior to the announcement.</t>
  </si>
  <si>
    <t>CK Federal Savings,Concord,NC</t>
  </si>
  <si>
    <t>SouthTrust acquired CK Federal Savings Bank, Concord, North Carolina, in a stock swap transaction valued at $32.7 mil. SouthTrust offered .95 common share for each share held. Based on SouthTrust's closing stock price of $19.25 on Jun 17, the last full trading day prior to the announcement, each of CK Federal's 1,349, 036 shares was valued at $24. 225. SouthTrust was also granted an option to acquire 280,000 shares or 20.75% of CK Federal's stock at $23.99 per share under a lockup agreement.</t>
  </si>
  <si>
    <t>A management-led investor group withdrew an offer to acquire the troubled First City Bancorp of Texas in an open-bank transaction after First City decided to seek a buyer for 13 of its branches. In March 1991, the bank announced that it was seeking a buyer. Texas Commerce Bancshares, First Gibraltar Bank, First Union, Charlotte, North Carolina, and an investor groups including First Interstate Bancorp and Kohlberg Kravis Roberts had all expressed, or had been rumored to express, an interest in acquiring First City Bancorp.</t>
  </si>
  <si>
    <t>ImmuCell Corp</t>
  </si>
  <si>
    <t>Mnfr animal health prods</t>
  </si>
  <si>
    <t>Cambridge Biotech was granted an option to acquire a controlling interest in ImmuCell. Cambridge Biotech had initially acquired a 15% stake in ImmuCell for $0.6 mil.</t>
  </si>
  <si>
    <t>Flagstar Cos Inc</t>
  </si>
  <si>
    <t>Kohlberg Kravis Roberts failed to exercise 8-year warrants it was issued to acquire 75 mil common shares, increased from 59 mil common shares, or 14.2% of TW Holdings, a 50.3%-owned unit of Gollust Tierney and Oliver, for $3.50 per share, or a total value of $262.5 mil. Also, KKR acquired 100 mil shares or 47.2% of TW Holdings for $300 mil as part of TW Holdings recapitalization plan.</t>
  </si>
  <si>
    <t>Katy Industries Inc</t>
  </si>
  <si>
    <t>Mnfr,whl electric prod,tools</t>
  </si>
  <si>
    <t>Katy Holdings</t>
  </si>
  <si>
    <t>Katy Holdings, an investor group including the Carroll family, which held 51.9% of Katy Industries withdrew its agreement to acquire the remaining 48.1% of Katy Industries that it did not already own, or 4,340,063 common shares, for an amended $25.75 in cash per share, or $111.76 mil. The original offer of $22 per share was withdrawn after a special board committee of Katy recommended against the merger. Rosecliff and a group led by Steinhardt Partners subsequently offered to acquire Katy Industries.</t>
  </si>
  <si>
    <t>Crest Industries Inc</t>
  </si>
  <si>
    <t>Mnfr,whl fans,air conditioners</t>
  </si>
  <si>
    <t>Crest Industries was negotiating to divest of a majority interest to an undisclosed acquiror.  Crest was to possibly issue over 50% of its common stock to shareholders of the acquiring company.</t>
  </si>
  <si>
    <t>STI Group Inc</t>
  </si>
  <si>
    <t>Mnfr electronic capacitors</t>
  </si>
  <si>
    <t>American Financial Corp</t>
  </si>
  <si>
    <t>Provide life,casualty ins svcs</t>
  </si>
  <si>
    <t>American Financial (AF) raised its holding in STI Group to 80% in a two-stage transaction valued at $193.1 mil. AF completed a tender offer to acquire 5.14 mil shares at $7.25 in cash per share, or a total of $37.27 mil, by accepting 5,140,973 shares. AF acquired an additional 17.05 mil new common shares for $6.50 per share and 450,000 Series A preferred shares for $100 per share. Also, as part of the tax-motivated plan, STI acquired Great American Life Insurance from AF for $470 mil in cash and common stock.</t>
  </si>
  <si>
    <t>DFSoutheastern Inc</t>
  </si>
  <si>
    <t>First Union (FU) acquired DFSoutheastern (DFS) in a stock swap valued at $145.66 mil. FU offered .82 common share for each DFS share outstanding. Based on FU's closing stock price of $38.75 on Jun 26, the last full trading day prior to the announcement, each of DFS' 4. 58 mil actual shares was valued at $31.8. DFS had also granted FU an option to acquire 19.9% of its common stock at $28 per share as a lock-up agreement.</t>
  </si>
  <si>
    <t>AmSouth Bancorp,Alabama</t>
  </si>
  <si>
    <t>AmSouth Bancorp (AB) acquired First Chattanooga Financial (FCF) in a stock swap valued at $109.65 mil. AB offered 1.26 shares of its common stock and $1 in cash for each FCF share outstanding. The stock portion of the deal was valued at $106.86 mil, based on AB's closing stock price of $30.375 on Jun 26, the last full trading day prior to the announcement. Based on AB's closing stock price, each of FCF's 2.79 mil shares was valued at $39.3.</t>
  </si>
  <si>
    <t>First Union (FU) decided not to bid to acquire troubled First City Bancorp of Texas (FCB). FU had rumored to be interested in acquiring FCB in a open-bank assisted transaction. FCB had announced in March 1991 that it was seeking a buyer. First Gibraltar Bank, Texas Commerce Bancshares, and two investor groups, one a management group and the other including First Interstate Bancorp and Kohlberg Kravis Roberts, had all expressed, or had been rumored to express, an interest in acquiring FCB.</t>
  </si>
  <si>
    <t>General Sciences Corp</t>
  </si>
  <si>
    <t>Computer technical,support svc</t>
  </si>
  <si>
    <t>SAIC Inc</t>
  </si>
  <si>
    <t>Pvd coml research svcs</t>
  </si>
  <si>
    <t>Science Applications International acquired all of the outstanding stock of General Sciences for $5.35 in cash per share, or a total of $10.11 mil.  85% of the value was to be paid upon closing with the remainder paid 90 days after closing.  The transaction had been subject to various approvals.</t>
  </si>
  <si>
    <t>Wiser Oil Co</t>
  </si>
  <si>
    <t>Oil, gas exploration and prodn</t>
  </si>
  <si>
    <t>Wiser Oil withdrew its offer to acquire Hadson Energy Resources from Hadson (HER) for $85.4 mil. HER shareholders had been given a choice of receiving $14 in cash or common stock for each of the 6.1 mil HER common shares outstanding. However, Wiser disclosed that would have limited the cash outlay to 49.5% of the total purchase price. The transaction was subject to approval of Hadson, which owned 49% of HER. Other parties had expressed interest in acquiring HER. HER retained Merrill Lynch Pierce Fenner &amp; Smith to provide a fairness opinion.</t>
  </si>
  <si>
    <t>KeyCorp (KC) acquired National Savings Bank of Albany (NSB) in a stock swap valued at $64.6 mil. KC offered $33 in common stock, subject to collar arrangements, for all of the outstanding NSB shares and options. KC was also granted an option to acquire up to 16. 7% of NSB's common stock at $22 per share under a lockup agreement. NSB had previously rejected TrustCo's $45.1 mil hostile offer as inadequate. Donaldson Lufkin &amp; Jenrette advised NSB.</t>
  </si>
  <si>
    <t>REN Corp-USA</t>
  </si>
  <si>
    <t>Kidney dialysis centers</t>
  </si>
  <si>
    <t>COBE Laboratories inc</t>
  </si>
  <si>
    <t>COBE Laboratories, a unit of Gambro, raised its interest in REN Corp-USA to 51% by acquiring 5.5 mil common shares, or 21% of the shares outstanding, for $9.75 per share, or a total of $53.6 mil in a privately negotiated transaction. Kidder Peabody and Morgan Keegan advised REN.</t>
  </si>
  <si>
    <t>FedFirst Bancshares Inc</t>
  </si>
  <si>
    <t>Southern National (SNC) acquired FedFirst Bancshares (FFB), Winston-Salem, North Carolina, in a stock swap valued at $89.1 mil. FedFirst shareholders received 2.3443 shares of SNC common stock for each of the 1.99 mil shares outstanding and approximately $13.53 mil in stock options. Based on SNC's closing stock price of $16. 125 on Jul 2, the last full trading day prior to the announcement of the transaction, each FFB share was valued at $37.80. In July 1992, FFB was negotiating with an undisclosed acquiror over the sale of the company.</t>
  </si>
  <si>
    <t>Simetco Inc</t>
  </si>
  <si>
    <t>Mnfr molybdenum siliicon</t>
  </si>
  <si>
    <t>Simshares Inc(Simetco Inc)</t>
  </si>
  <si>
    <t>Pvd bus credit svcs</t>
  </si>
  <si>
    <t>Simshares, a unit of Simetco, initiated a tender offer to acquire the remaining 70,401 Class A Preferred Simetco shares that it does not already own for $1.9493 per share, or a total of $.137 mil.</t>
  </si>
  <si>
    <t>Bergen Brunswig Corp</t>
  </si>
  <si>
    <t>Whl pharmaceuticals,cosmetics</t>
  </si>
  <si>
    <t>Bergen Brunswig (BB) completed a $33 per share hostile cash tender offer to acquire all of the outstanding shares of Durr- Fillauer Medical (DF) for a sweetened $448.6 mil, including the assumption of $54.4 mil of DF debt, by accepting 11,946,765 shares, or 100% of the shares outstanding. Originally, BB had offered $26 in cash per share plus assumed liabilities. That offer was rejected in favor of a competing $434.8 mil merger agreement made with Cardinal Distribution, which failed.</t>
  </si>
  <si>
    <t>Rumors that First Fidelity Bancorp, Corestates Financial, PNC Financial and Mellon Bank were interested in acquiring MNC Financial were discontinued after NationsBank bid to acquire MNC.</t>
  </si>
  <si>
    <t>BioSource Industries Inc</t>
  </si>
  <si>
    <t>Mnfr immunological reagents</t>
  </si>
  <si>
    <t>BioSource Industries acquired the outstanding stock of Tago in a stock swap transaction valued at $0.98 mil. BioSource Industries offered 0.5 common share for each Tago share held. The value was based on BioSource's last available quote price $0.84 on Jun 26. The transaction received regulatory approval. The merged company was renamed BioSource International.</t>
  </si>
  <si>
    <t>Starstream Commun Group Inc</t>
  </si>
  <si>
    <t>Produce radio programs</t>
  </si>
  <si>
    <t>In July 1992, Starstream Communications Group announced that it was considering seeking a buyer or merger partner for the company. Other alternatives to increase shareholder value included a restructuring or a divestiture of assets. Starstream retained McFarland Grossman as financial advisor.</t>
  </si>
  <si>
    <t>Century MediCorp Inc</t>
  </si>
  <si>
    <t>Operate medical centers</t>
  </si>
  <si>
    <t>Foundation Health acquired Century MediCorp in a stock swap valued at $164.1 mil. Under the terms of the agreement, Foundation exchanged 0.8 share of its common stock for each share of Century's common stock held. Based on Foundation's closing stock price of $32.75 on Jul 10, the last full trading day prior to the announcement, each Century share was valued at $26.20. The merger was accounted for as pooling of interests. The transaction had been subject to state and federal regulatory approval.</t>
  </si>
  <si>
    <t>Columbia Hospital Corp</t>
  </si>
  <si>
    <t>Own,op hospitals</t>
  </si>
  <si>
    <t>Columbia Hospital terminated its agreement to acquire a 57. 5% majority interest in Kirschner Medical in exchange for Columbia Hospital's Sutter unit.</t>
  </si>
  <si>
    <t>Ultimap Corp</t>
  </si>
  <si>
    <t>Manufacture computer equipment</t>
  </si>
  <si>
    <t>Ultimap retained Marshall Financial Group to help seek a buyer for the company.</t>
  </si>
  <si>
    <t>Ametech Inc(AnSon Partners LP)</t>
  </si>
  <si>
    <t>Pvd transp of hazardous waste</t>
  </si>
  <si>
    <t>Moorpark Holdings</t>
  </si>
  <si>
    <t>Oil and gas expl,prodn;hldg co</t>
  </si>
  <si>
    <t>Moorpark Holdings, a unit of Continental Bank, acquired a 76.5% interest, or 10,350,297 common shares of Ametech from AnSon Partners. AnSon divested the interest as part of a restructuring plan.</t>
  </si>
  <si>
    <t>Columbia Hospital acquired Basic American Medical for an estimated $150.44 mil.  Basic American shareholders were given a choice of $6 in cash plus .7372 Columbia common shares or 1.1 Columbia common shares for each share of Basic American.  Based on Columbia's closing stock price of $16.50 on Jul 14, the last full trading day prior to the announcement, each Basic American share was valued at $18.16 under the cash and stock combination consideration.  The value was based on the cash and common stock combination.</t>
  </si>
  <si>
    <t>Sterling Optical Corp</t>
  </si>
  <si>
    <t>Sterling Vision Inc</t>
  </si>
  <si>
    <t>Own, op optical goods stores</t>
  </si>
  <si>
    <t>Sterling Vision acquired bankrupt Sterling Optical for $6 mil in cash and a note. Sterling Optical had announced it was seeking a buyer for its assets in February 1991. American Vision Centers acquired the owned and franchised optical stores of Sterling Optical.</t>
  </si>
  <si>
    <t>NationsBank Corp,Charlotte,NC</t>
  </si>
  <si>
    <t>Bank hldg co;pvd finl svcs</t>
  </si>
  <si>
    <t>NationsBank (NB) exercised an option to acquire the remaining 84% of MNC Financial in a $1.533 bil transaction. MNC shareholders received a choice of either $15.17 in cash or .2995 NB shares, subject to 49.9% of the total being in cash and 50.1% being in common stock. NB had acquired an initial 16% stake in convertible preferred shares for $200 mil. NB was granted the option to acquire the remaining 84%. The purchase price was set by MNC's average stock price in the period prior to completion.</t>
  </si>
  <si>
    <t>Society acquired First Federal Savings &amp; Loan Assn, Fort Myers, Florida for $45 per share in cash, or a total of $141.33 mil. Society was also granted an option to acquire 19.9% of First Federal's total stock outstanding under a lockup agreement. Society had stated its intention to acquire up to 4.9% of First Federal's shares in the open market during the course of the transaction, which had been subject to regulatory approval.</t>
  </si>
  <si>
    <t>In July 1992, Intelligent Electronics retained Merrill Lynch to help find a buyer for the company.  Other options to increase shareholder value included a spinoff or a merger, possibly of Intelligent's BizMart unit.</t>
  </si>
  <si>
    <t>Vivigen Inc</t>
  </si>
  <si>
    <t>Operate clinical testing</t>
  </si>
  <si>
    <t>Genzyme Corp</t>
  </si>
  <si>
    <t>Genzyme acquired Vivigen in an amended stock swap transaction valued at $39.3 mil. Vivigen shareholders received 0.3741 Genzyme common shares for every Vivigen common share held. Initially, Vivigen holders were to receive .3106 shares per share held. Vivigen announced said in October 1990 that it was seeking a buyer.</t>
  </si>
  <si>
    <t>An investor group including Air Canada, Air Partners, a partnership which included David Bonderman and James Coulter, and later disclosed Larry Hillblom and Alfredo Brener, acquired bankrupt Continental Airlines for an amended $450 mil cash bid. In an amended reorganization, Air Partners retained 28.7% of the new equity, Air Canada 24.5% and creditors 38.6%. The deal received bankruptcy court approval. Under the old plan stakes were to be 27.5%, 27.5% and 35.6% respectively. A MAXXAM-led group and Houston Air had previously made challenging bids.</t>
  </si>
  <si>
    <t>First Community Bancorp Inc</t>
  </si>
  <si>
    <t>BANC ONE (BO) acquired First Community Bancorp (FCB) in a stock swap valued at $137.9 mil. BO offered .6267 common shares for each FCB common share. Based on BO's closing stock price of $55.125 on Apr 30, the last full trading day before the announcement of exact terms, each FCB share was valued at $34.55. The exchange ratio, based on a collar agreement, would have been 0.68 if BO's share price was below $47 prior to closing and 0.6267 if BO's price was above $51. If BO's price was between $47 and $51, FCB holders would have received $31.96 in BO stock.</t>
  </si>
  <si>
    <t>BSN Corp</t>
  </si>
  <si>
    <t>Mnfr,ret sporting equipment</t>
  </si>
  <si>
    <t>BSN was negotiating with an undisclosed acquiror about a possible merger. BSN retained Aurora Partners as financial advisor.</t>
  </si>
  <si>
    <t>Fleer Corp</t>
  </si>
  <si>
    <t>Produce candy and gum</t>
  </si>
  <si>
    <t>Marvel Entertainment Group Inc</t>
  </si>
  <si>
    <t>Publish comic books</t>
  </si>
  <si>
    <t>Marvel Entertainment (ME), a 60% owned unit of MacAndrews and Forbes Holdings' Andrews Group subsidiary, acquired Fleer by completing a tender offer for up to 9,571,103 shares of Fleer common stock by accepting 7,092,948 shares, or 75% of the stock outstanding, at $28 per share in cash, and converting the non-tendered shares into the right to receive $28 per share cash, for a total value of $264.21 mil. The parties ended their lock-up agreement which granted ME an option to acquire 25% of Fleer's shares at $28 per share under certain circumstances.</t>
  </si>
  <si>
    <t>Frank B Hall &amp; Co</t>
  </si>
  <si>
    <t>Insurance brokerage firm</t>
  </si>
  <si>
    <t>Reliance Group Holdings Inc</t>
  </si>
  <si>
    <t>Reliance Group Holdings (RGH) acquired the remaining 14.9% or 13,268,509 common shares of Frank B Hall that it did not already own for $39.39 mil. The non-RGH shareholders were to received .625 common shares for each share held. Based on RGH's closing price of $4.75 on Jul 23, the last full trading day prior to the announcement, each Frank B Hall share was valued at $2. 97. In addition, Aon acquired the operating assets of Frank B Hall from RGH for $475 mil. Aon had announced in March 1992 that it was seeking a buyer for its interest in RGH.</t>
  </si>
  <si>
    <t>A group led by William A Hudson, chairman and president of Diversco, acquired the remaining 1,639, 320 common shares, or 76% of the company's common stock that it did not already own for a sweetened $5.55 in cash per share, or $9.1 mil. The original offer was for $4.75 per share, or a total of $7.8 mil. TM Capital advised Diversco.</t>
  </si>
  <si>
    <t>Horizon Industries Inc</t>
  </si>
  <si>
    <t>Manufacture carpets</t>
  </si>
  <si>
    <t>Mohawk Industries Inc</t>
  </si>
  <si>
    <t>Manufacture carpets and rugs</t>
  </si>
  <si>
    <t>Mohawk Industries acquired all the outstanding common stock of Horizon Industries for $15 per share, or a total of $86.5 mil. Mohawk exchanged $11.095 in cash and $3.90 in Mohawk common shares for each of Horizon's 5,767, 305 shares. The value of the shares was based on the average closing stock price for the 20 trading day period preceding the fifth full trading day prior to closing, Oct 23.</t>
  </si>
  <si>
    <t>Fretter Inc</t>
  </si>
  <si>
    <t>Home appliances, electronics</t>
  </si>
  <si>
    <t>An investor group comprised of of family members and management including Oliver and John Fretter, John Hurley and two family trusts withdrew its offer to acquire the remaining 3,558,720 Fretter common shares, or 24% of the outstanding shares that it did not already own for an estimated $14.23 mil. The consideration had been comprised of $3 per share for public shareholders and $4 per share for shareholders of Fretter who received their shares in Fretter's purchase of Fred Schmid Appliance &amp; TV. The total value was based on the high price offered.</t>
  </si>
  <si>
    <t>Equimark Corp,Pittsburgh,PA</t>
  </si>
  <si>
    <t>Integra Financial acquired Equimark in a stock swap valued at $287.9 mil. Equimark shareholders received .2 shares of Integra's common stock for each Equimark share outstanding. Based on Integra's closing stock price of $38.50 on Jul 29, the last full trading day prior to the announcement, each Equimark share was valued at $7.70. The acquisition was accounted for as a pooling of interests. The Tisch family, 20% holders of Equimark, said they supported the merger.</t>
  </si>
  <si>
    <t>Prime Bancshares,Decatur,GA</t>
  </si>
  <si>
    <t>SouthTrust acquired Prime Bancshares in a stock swap valued at $38.65 mil. Under terms of the agreement, SouthTrust exchanged 0.89 shares of its common stock and $0.50 in cash for each share of Prime common stock. Based on SouthTrust's closing price of $26 on Jul 29, the last full trading day prior to the announcement, and the $0.50 cash offered per share, each of Prime's 1.635 mil shares was valued at $23.64.</t>
  </si>
  <si>
    <t>Daxor Corp</t>
  </si>
  <si>
    <t>Own,operate sperm bank</t>
  </si>
  <si>
    <t>Resimmo Corp</t>
  </si>
  <si>
    <t>Resimmo, an investor group comprised of European and Middle Eastern investors, withdrew its offer to acquire all of the outstanding shares of Daxor for $20.25 in cash per share, or a total of $106. 13 mil. Daxor had agreed to enter merger negotiations with Resimmo, but stated it was unlikely that Resimmo would acquire the entire company. Resimmo had stated that it would also settle for acquiring 55%, or 2.9 mil shares.</t>
  </si>
  <si>
    <t>Hipotronics Inc</t>
  </si>
  <si>
    <t>Mnfr electric equip</t>
  </si>
  <si>
    <t>Hubbell Inc</t>
  </si>
  <si>
    <t>Mnfr electrical,electronic products</t>
  </si>
  <si>
    <t>Hubbell acquired Hipotronics for $39.938 mil. Hubbell offered $22.21 in cash per common share and between $.46 and $13.46 in cash per exercised option.</t>
  </si>
  <si>
    <t>TCS Enterprises Inc</t>
  </si>
  <si>
    <t>Mtg banking,brokerage services</t>
  </si>
  <si>
    <t>Mario A Rosas was granted a warrant to raise his stake in TCS Entertainment to 54.8% by acquiring 1 mil common shares, or 18.3% of the shares outstanding for between $3 and $5 per share in a privately negotiated transaction. Rosas initially agreed to acquire 2 mil common shares (44.7%) for $1 per share, or $2 mil. Rosas signed an agreement in November 1993 to divest his entire stake of stock and warrants to Santa Anita Produce.</t>
  </si>
  <si>
    <t>LSB Bancshares Inc of SC</t>
  </si>
  <si>
    <t>LSB Bancshares terminated negotiations with an undisclosed financial institution regarding the possible acquisition of LSB Bancshares. BB&amp;T Financial, First Union and SouthTrust were all mentioned as possible acquirors.</t>
  </si>
  <si>
    <t>Center Banks Inc</t>
  </si>
  <si>
    <t>NBT Bancorp Inc</t>
  </si>
  <si>
    <t>NBT Bancorp was rejected in its unsolicited offer to acquire all the outstanding stock of Center Banks for $11 in cash and common stock per share, or a total of $10.17 mil. A Center Banks' shareholder subsequently filed suit, stating the board of directors failed to seriously consider the offer.</t>
  </si>
  <si>
    <t>Lamonts Corp</t>
  </si>
  <si>
    <t>Own,op family clothing stores</t>
  </si>
  <si>
    <t>US - Lamont Apparel Inc (LAI) , formerly known as Lamonts Corp, an owner and operator of family clothing stores, completed its debt restructuring with creditors (CR) who received 8.081 mil new common shares. Upon completion, CR held a 90.434% interest in the restructured LAI.</t>
  </si>
  <si>
    <t>Carver Corp</t>
  </si>
  <si>
    <t>Mnfr stereos and audio equip</t>
  </si>
  <si>
    <t>Carver announced that it was no longer actively seeking a buyer for the company.</t>
  </si>
  <si>
    <t>Houston Air Inc</t>
  </si>
  <si>
    <t>Houston Air, an investor group led by Alfredo Brener and which had previously included Scandinavian Airlines (SAS), was no longer negotiating to acquire bankrupt Continental Airlines Holdings (CA) for $385 mil in cash. An Air Canada led group successfully acquired CA. The bid had been at one time rumored. Other bidders for CA included Air Partners, whose $450 mil bid had been accepted by CA, and a MAXXAM- led investor group. Deutsche Lufthansa-Marvin Davis, Benefits Concepts of New York and SAS with its undisclosed partner had withdrawn their bids.</t>
  </si>
  <si>
    <t>Gateway Communications Inc</t>
  </si>
  <si>
    <t>Mnfr computer networking equip</t>
  </si>
  <si>
    <t>Adage terminated negotiations to acquire the remaining 84.2%, or 4,271,274 common shares of Gateway Communications which it did not already hold. By October 1992, Adage raised its stake to 15.8%, or 748,800 shares outstanding, by acquiring 283, 500 shares in the open market at prices ranging from $1.50 to $1.63 in cash per share. Based on the range high price of $1.63 per share, the raised stake had an indicated value of $0.46 mil.</t>
  </si>
  <si>
    <t>American Biodyne Inc</t>
  </si>
  <si>
    <t>Outpatient administrative svcs</t>
  </si>
  <si>
    <t>Medco Containment Services Inc</t>
  </si>
  <si>
    <t>Medco Containment Services acquired American Biodyne (AB) through a stock swap valued at $120.2 mil. Medco was to exchange 0.723 shares of its common stock for each share of AB's common stock. Based on Medco's closing price of $30.5 on Aug 14, the last full trading day prior to the announcement, each of AB's 5, 510,964 shares was valued at $22.1. The exchange ratio had been adjustable to keep the value around $121 mil. The merger included a lockup agreement whereby Medco would acquire 15% of AB at $23 per share under certain circumstances.</t>
  </si>
  <si>
    <t>American Integrity terminated negotiations to merge with an undisclosed acquiror.</t>
  </si>
  <si>
    <t>Leucadia National (LN), a unit of Unitah National, acquired the remaining 36.9%, or 5,428,127 shares, of PHLCORP that it did not already own for $139.94 mil in LN common stock. LN exchanged 0.406 common share for each remaining share of PHL. Based on LN's closing price of $63.50 on Oct 9, the last full trading day prior to the announcement, each PHL share was valued at $25.78. The original terms were for LN to exchange .25 share and $8.28 in subordinated debt for each PHL share, giving a total value of $124.84 mil.</t>
  </si>
  <si>
    <t>Information International Inc</t>
  </si>
  <si>
    <t>Mnfr data processing equipment</t>
  </si>
  <si>
    <t>An investor group including David C Walentas, a 9% holder of Information International (II), and Charles Ying, president of II, intended to enter into merger talks with the company with the hope of acquiring it for $13 per share, or $27.7 mil. In Sep 1990, Kelso Management sent a letter on behalf of an investor group including FMR, to II saying that it felt the company should be sold. The investment group owned a 33. 9% stake in the company.</t>
  </si>
  <si>
    <t>Fukutake Publishing (FP) acquired 99.6%, or 19,996,084 common shares, of Berlitz International (BI), a 55.6% owned unit of bankrupt Maxwell Communication's Macmillan unit, that FP did not already own for over $419. 51 mil. FP offered $19.50 cash and .165 new BI common share for each old share of BI. BI holders also received $1.48 per share as proceeds of the sale of 3 Maxwell notes. Previously, FP offered $21.62 cash per share for all the BI shares, for a total of $442 mil. FP's original agreement to acquire the 55. 6% was nullified when Maxwell went bankrupt.</t>
  </si>
  <si>
    <t>Cardinal Financial Group Inc</t>
  </si>
  <si>
    <t>Great Financial Federal</t>
  </si>
  <si>
    <t>Savings and loan;mortgage bank</t>
  </si>
  <si>
    <t>Great Financial Federal acquired all of the outstanding common shares of Cardinal Financial Group for $17.50 in cash per share, or a total value of $21.13 mil.</t>
  </si>
  <si>
    <t>Lincoln Financial Corp,IN</t>
  </si>
  <si>
    <t>Norwest acquired Lincoln Financial (LF) in a stock swap transaction valued at $163.85 mil. Norwest offered . 588 of its common shares for each of LF's 7.215 mil common shares outstanding. Based on Norwest's closing stock price of $38.625 on Aug 18, the last full trading day prior to the announcement, each LF share was valued at $22.71. Norwest was also granted the option to acquire 19.9% of LF under a lockup agreement. LF disclosed in December 1991 that it had retained Goldman Sachs to study strategic options for LF which included seeking a partner or buyer.</t>
  </si>
  <si>
    <t>Pioneer Savings</t>
  </si>
  <si>
    <t>Savings bank;RE development</t>
  </si>
  <si>
    <t>Washington Mutual Savings Bank (WMSB) acquired Pioneer Savings Bank (PSB) in a stock swap transaction valued at $169.96 mil. Based on WMSB's closing stock price of $31. 875 on Feb 26, the last full trading day prior to the announcement, each share of PSB was valued at $26.3 under a collar agreement. The collar required WMSB to offer common stock valued at: $24.3 if WMSB's com $21-22.99; $24. 8 if WMSB's com $23-24.99; $25.3 if WMSB's com $25-27.99; $25.8 if WMSB's com $28-29. 99; $26.3 if WMSB's com $30- 31.99; $26.8 if WMSB's com $32-34.99; $27.3 if WMSB's com above $35.</t>
  </si>
  <si>
    <t>Candela Laser Corp</t>
  </si>
  <si>
    <t>Mnfr aesthectic laser systems</t>
  </si>
  <si>
    <t>Kirk Dornbush and Robert Dornbush disclosed their intention to acquire 4,807, 640 Candela Laser common shares, or the 93% of the of the stock outstanding that they did not already hold, through a tender offer or business combination. Candela responded that it was not for sale and that it instated a shareholder rights plan as a defensive measure. In June 1992, the investors had acquired a 7.1% stake in Candela. The investors planned to finance the acquisition through third party debt and equity financing.</t>
  </si>
  <si>
    <t>Vegas Chips Inc</t>
  </si>
  <si>
    <t>Produce potato chips</t>
  </si>
  <si>
    <t>Investor Roger Nix was granted the option to acquire 7 mil restricted common shares, or about 37.4% in Vegas Chips, which would raise his stake to a 63.1% majority interest. In a previous transaction, Roger Nix, along with an undisclosed investor group, acquired a 39.6% interest in Vegas Chips.</t>
  </si>
  <si>
    <t>American Funeral Services Corp</t>
  </si>
  <si>
    <t>Cemetery development firm</t>
  </si>
  <si>
    <t>Service Corp International</t>
  </si>
  <si>
    <t>Own,operate funeral homes</t>
  </si>
  <si>
    <t>Service Corp International acquired the 69.7% interest of American Funeral Services (AF) which it did not already own for a sweetened $51.444 mil in cash. SC offered $15 for the remaining 3.29 mil common shares, $5 for each option to acquire 394,000 shares, exercisable at $10 per share and $1.50 per warrant to acquire 55,987 shares, exercisable at $13.50 per share. SC had originally offered $14 per share, after which AF replied that it was not for sale, but would consider any serious offers by SC. Concurrently, AF adopted a shareholder rights plan.</t>
  </si>
  <si>
    <t>Bank of East Tennessee</t>
  </si>
  <si>
    <t>Coml bank; bank holding co</t>
  </si>
  <si>
    <t>Union Planters (UP) raised its stake to 62% from 18% in Bank of East Tennessee (BE) by acquiring 858,000 common shares. The transaction had been subject to regulatory approval. Concurrently, UP acquired the remaining 38% of BE.</t>
  </si>
  <si>
    <t>Union Planters (UP) acquired the remaining 38% of Bank of East Tennessee (BE) that it did not already own for $13 8%-cumulative convertible preferred Series E stock per BE share, or a total of $9.63 mil. The transaction had been subject to regulatory approval. Concurrently, UP raised its stake to 62% from 18% in BE.</t>
  </si>
  <si>
    <t>Norwest Investments Ltd</t>
  </si>
  <si>
    <t>Norwest Investments acquired a 51% interest in Plexus Resources consisting of 6 mil common shares and 1.6 mil purchase warrants from TOTAL Resources (Canada), a subsidiary of Total Cie Francaise des Petroles. Norwest also acquired mineral properties from TOTAL.</t>
  </si>
  <si>
    <t>Chippewa Resources Corp</t>
  </si>
  <si>
    <t>BRI Holdings Corp</t>
  </si>
  <si>
    <t>BRI Holdings acquired 77% of Chippewa Resources (CR) in a reverse takeover. CR received 100% of BRI in exchange for 35,815 CR Series E convertible preferred shares and a $10 mil promissory note. Originally, Underwriters Insurance Group (UIG) was part of a group led by BRI and was to have received 25, 500 CR Series D preferred shares and 1.5 mil common shares in exchange for 80% of UIG. BRI terminated the agreement with UIG due to breach of contract. CR was also to divest its oil and gas assets.</t>
  </si>
  <si>
    <t>Diagnostek Inc</t>
  </si>
  <si>
    <t>Own,op mail-order products co</t>
  </si>
  <si>
    <t>Medco Containment Services terminated its agreement to acquire Diagnostek (DK) in a stock swap valued at $435.03 mil. DK shareholders would have received .625 shares of Medco for each of DK's 23.301 mil shares outstanding. Based on Medco's closing stock price of $29.875 on Aug 28, the last full trading day prior to the announcement, each DK share was valued at $18.67. Medco was also granted the option to acquire 15% of DK's common shares at $18.67 per share under a lock up agreement.</t>
  </si>
  <si>
    <t>Bank of Boston (BB) acquired Society for Savings Bancorp (SSB) through a stock swap valued at $205.35 mil. BB exchanged 0.8 common shares for each share of SSB. Based on BB's closing stock price of $21.625 on Aug 28, the last full trading day prior to the announcement, each SSB share was valued at $17.30. The swap had been subject to a collar of $16 and $25 for BB's market price prior to the closing. Below $16, SSB could terminate the agreement; above $25, the ratio would be adjusted downward. In February 1993, other unnamed parties expressed interest in SSB.</t>
  </si>
  <si>
    <t>Sun Electric Corp</t>
  </si>
  <si>
    <t>Motor vehicle testing equip</t>
  </si>
  <si>
    <t>Snap-On Tools Corp</t>
  </si>
  <si>
    <t>Manufacture tools</t>
  </si>
  <si>
    <t>Snap-On Tools completed a $11.25 per share cash tender offer to acquire all of the outstanding shares of Sun Electric for $110.67 mil. Holders of 9,220,090 shares, or 87.6% of Sun Electric's common stock, tendered their shares under the offer. All remaining shares were acquired for the same tender price. The offer had been conditioned upon at least 66. 66% of the shares being validly tendered. Snap-On would have received up to $4 mil if the transaction was terminated. Merrill Lynch advised Snap-On.</t>
  </si>
  <si>
    <t>Celina Financial Corp</t>
  </si>
  <si>
    <t>Insurance agents</t>
  </si>
  <si>
    <t>Celina Group</t>
  </si>
  <si>
    <t>Insurance brokerage services</t>
  </si>
  <si>
    <t>Celina Group terminated its intentions to acquire the remaining 45%, or 765,000 common shares of Celina Financial that it did not already hold.</t>
  </si>
  <si>
    <t>Carriage Industries Inc</t>
  </si>
  <si>
    <t>Mnfr carpets,rugs</t>
  </si>
  <si>
    <t>Dixie Yarns Inc</t>
  </si>
  <si>
    <t>Mnfr cotton yarns and threads</t>
  </si>
  <si>
    <t>Dixie Yarns acquired Carriage Industries in a partial stock swap valued at $59.5 mil. For 2,552,719 shares, or 55.9%, Carriage shareholders received an exchange ratio of Dixie common stock to Carriage common stock equal to $13.25 per Carriage share. The ratio was subject to a collar for Dixie of $10 and $13 per share. Carriage shareholders could also elect to receive $3.25 of the per share consideration in cash. Dixie had earlier acquired 2.016 mil shares or a 44.1% interest in Carriage for $13. 25 per share.</t>
  </si>
  <si>
    <t>Carl Karcher Enterprises Inc</t>
  </si>
  <si>
    <t>Own,op fast food restaurants</t>
  </si>
  <si>
    <t>An investor group led by Carl Karcher, through the Karcher Trust, and including Freeman Spogli was rejected in its offer to acquire Carl Karcher Enterprises (CKE) for $9.50 per share cash for each of the 12 mil shares not held by the Trust, or a total of $114 mil. The Karcher Trust agreed to vote its 6.2 mil CKE shares, or 34%, with the Freeman Spogli group. Freeman Spogli was to provide $85 mil in equity capital, and said it received a letter from an undisclosed securities firm promising $130 mil in senior note financing. CKE retained Lehman Brothers as advisor.</t>
  </si>
  <si>
    <t>American Fructose Corp</t>
  </si>
  <si>
    <t>Mnfr,whl corn syrups,starches</t>
  </si>
  <si>
    <t>American Maize-Products (AM) acquired the remaining 57.34% stake (4.046 mil and 1.054 mil Class A and B common shares, respectively) in American Fructose (AF) in an amended stock swap valued at $130.29 mil. AM offered 1 A share per AF A share and 1 B share per AF B share, or $22. 475 in cash, AM's average Class A share price for the 5 days prior to completion. The value was based on AM's closing stock price of $25.5 on Oct 8, the last full trading day prior to the disclosure of revised terms. AF exchanged 3,737,683 shares for stock and 1,371,190 shares for cash.</t>
  </si>
  <si>
    <t>Multibank Financial Corp</t>
  </si>
  <si>
    <t>Bank of Boston (BB) acquired Multibank Financial (MF) in a stock swap valued at $203.68 mil. MF shareholders received 1.125 shares of BB's common stock for each MF share outstanding. Based on BB's closing stock price of $19. 625 on Sep 8, the last full trading day prior to the announcement, each share of MF was valued at $22.08. If BB's average stock price for a period prior to closing was greater then $25, the ratio was to have been adjusted downward and if the price was less than $16, Multibank had the option to terminate the agreement.</t>
  </si>
  <si>
    <t>North Side Deposit Bank,PA</t>
  </si>
  <si>
    <t>North Side Deposit Bank, Pittsburgh, Pennsylvania, withdrew its letter of intent to acquire Lincoln Savings Bank, Carnegie, Pennsylvania, in a stock swap. Under terms of the agreement, Lincoln shareholders were to have received 1.67 shares in the new entity for each share and North Side shareholders were to have received one new share for each old share held. The transaction had been subject to regulatory approval.</t>
  </si>
  <si>
    <t>Village Green Bookstore Inc</t>
  </si>
  <si>
    <t>Own, op bookstores</t>
  </si>
  <si>
    <t>Penfield Realty Holding Co Inc</t>
  </si>
  <si>
    <t>Penfield Realty Holdings exercised its right to raise its stake in Village Green Bookstores to 53.28% by acquiring 186,500 shares from shareholder Paul Adams for $4. 02 per share, or a total of $. 75 mil. Penfield had previously acquired a 26.64% interest for $.75 mil.</t>
  </si>
  <si>
    <t>CommerceBancorp,Newport Beach</t>
  </si>
  <si>
    <t>Michigan National Bank</t>
  </si>
  <si>
    <t>Commercial bank; mortgage bk</t>
  </si>
  <si>
    <t>Michigan National Bank (MNB) ended talks to acquire CommerceBancorp, Newport Beach, California (CB) for $11.59 per share, or a total of $25.5 mil in cash and common stock. MNB was to have exchanged an amount of its common shares for the common shares of CB equal to 1.0 times CB's tangible equity, based on the average trading price of the securities prior to the consummation, and a cash payment equal to 1.25 times CB's tangible shareholders' equity, subject to possible downward adjustment based on CB's non- performing assets.</t>
  </si>
  <si>
    <t>International Thoroughbred</t>
  </si>
  <si>
    <t>Breed horses,op race tracks</t>
  </si>
  <si>
    <t>0272</t>
  </si>
  <si>
    <t>Chairman RE Brennan acquired an 82.1% majority interest, or about 3,999,000 shares of International Thoroughbred Breeders in the open market on Aug 31 for $2.25 in cash per share, or a total of $8 mil.</t>
  </si>
  <si>
    <t>Travel Ports of America Inc</t>
  </si>
  <si>
    <t>Own,op truck stop stations</t>
  </si>
  <si>
    <t>US - In September 1992, Travel Ports of America, a Rochester-based owner and operator of full-service truck stop stations, was in negotiations to divest the company to an undisclosed acquirer. Originally, in August 1992, Travel Ports was seeking a buyer for the company.</t>
  </si>
  <si>
    <t>An investor group led by Deutsche Lufthansa and Marvin Davis withdrew its offer to acquire bankrupt Continental Airlines Holdings (CA) for $400 mil. The group offered $100 mil in cash for CA equity and $300 mil for CA debt securities. The bid had challenged bids made by an Air Canada led group, MAXXAM and Houston Air. Other bidders which withdrew their offers included a Scandinavian Airlines group and Benefits Concepts of New York. The transaction was subject to approval by the Federal Aviation Administration and bankruptcy court.</t>
  </si>
  <si>
    <t>Castle Harlan Partners II LP</t>
  </si>
  <si>
    <t>Private equity fund</t>
  </si>
  <si>
    <t>Castle Harlan Partners II (CH) was rejected in its offer to acquire 12.24 mil shares, or a 51% interest in Regency Cruises (REG) for $25. 1 mil, or $2.05 per share. In the event that the 51% had been acquired, CH was to have granted contingent value rights which would entitle the holders to a cash payment if REG's share price exceeded the target price of $1.95, adjustable yearly. Rainbow Cruises, which held a 32.2% stake in REG, sweetened its bid for the remaining shares to $2.60 per share, or a total of $38.2 mil and completed its merger in May 1993.</t>
  </si>
  <si>
    <t>Trans-National Leasing Inc</t>
  </si>
  <si>
    <t>Pvd automobile leasing svcs</t>
  </si>
  <si>
    <t>Associates Corp of N America</t>
  </si>
  <si>
    <t>Financing, insurance services</t>
  </si>
  <si>
    <t>Associates Corp of North America, a unit of Ford Motor, acquired all of the outstanding common shares of Trans-National Leasing for $4. 25 per share, or a total of $6.099 mil.</t>
  </si>
  <si>
    <t>General Kinetics Inc</t>
  </si>
  <si>
    <t>Mnfr precision enclosures</t>
  </si>
  <si>
    <t>Chichester Holdings Ltd</t>
  </si>
  <si>
    <t>Chichester Holdings agreed to acquire 2.3 mil common shares of General Kinetics, or 52% of the shares outstanding, for $4 mil in cash. The transaction was subject to regulatory and shareholder approval.</t>
  </si>
  <si>
    <t>Dominion Bankshares,Roanoke,VA</t>
  </si>
  <si>
    <t>First Union (FU) acquired Dominion Bankshares (DB) in a stock swap valued at $934.31 mil. The consideration offered consisted of .58 FU common shares for each DB common share held, and 1 share of new FU convertible class A preferred stock for each share of DB convertible preferred. Based on FU's closing common stock price of $38, and FU's closing preferred stock price of $55 on Sep 18, the last full trading day prior to the announcement of the terms, each of DB's 41 mil shares was valued at $22.04, and the preferred share portion was valued at $29 mil.</t>
  </si>
  <si>
    <t>Filtertek Inc</t>
  </si>
  <si>
    <t>Manufacture specialty filters</t>
  </si>
  <si>
    <t>Schawk Inc</t>
  </si>
  <si>
    <t>Pvd graphic design svcs</t>
  </si>
  <si>
    <t>Schawk acquired a 60% interest or about 3.6 mil common shares in Filtertek from a group led by Hayden Leason, chairman of Filtertek, for $14 per share, or a total value of $50.4 mil. Morgan Stanley was retained by Filtertek as its financial advisor.</t>
  </si>
  <si>
    <t>Kansas City Southern Industries (KCSI) acquired the remaining 95% of MidSouth (MS), or the 9.76 mil MS common shares outstanding which KCSI did not already own for $20.5 in cash per share,or a total of $197.34 mil. KCSI had, since October 1992, steadily raised its stake in MS to 38.2% by acquiring 1,945,400 shares in the open market and 1.5 mil shares from Archer-Daniels- Midland, valued at $67.8 mil. Both parties had been subject to a termination fee of $7. 875 mil, payable in the event of a breach of agreement by either party.</t>
  </si>
  <si>
    <t>Plum Creek Timber Co Inc</t>
  </si>
  <si>
    <t>Own,operate timberlands</t>
  </si>
  <si>
    <t>0811</t>
  </si>
  <si>
    <t>SPO Partners &amp; Co</t>
  </si>
  <si>
    <t>Pvd invest holding svcs</t>
  </si>
  <si>
    <t>SPO Partners, a private investment group, acquired a controlling interest in Plum Creek Timber for $70 mil, including shares acquired from Burlington Resources. SPO, who already held a 5.5% stake in Plum Creek had been in talks to raise its stake in the company. Lehman Brothers advised Plum Creek.</t>
  </si>
  <si>
    <t>American Health Properties Inc</t>
  </si>
  <si>
    <t>American Health Properties terminated its search for a buyer for the company. In September 1992, American Health Properties announced it had retained Goldman Sachs to assist in its search for a buyer.</t>
  </si>
  <si>
    <t>Montclair Bancorp Inc</t>
  </si>
  <si>
    <t>Collective Bancorp Inc,NJ</t>
  </si>
  <si>
    <t>Collective Bancorp (CB) acquired Montclair Bancorp (MB) for $24.20 in cash per share, or a total of $61.7 mil. The original $24.15 price per share had been subject to 3 upward adjustments of $.05 per share per month if the transaction had not been completed by Mar 1, 1993. CB also acquired all outstanding stock options at a price equal to the difference between $24.15 and the exercise price multiplied by the number of shares subject to the option. CB was granted an option to acquire 19.9% of MB's common stock at $24.15 per share under a lock up agreement.</t>
  </si>
  <si>
    <t>Salant Corp</t>
  </si>
  <si>
    <t>Mnr,retail apparel</t>
  </si>
  <si>
    <t>US - Bankrupt Salant Corp (SC) completed its debt restructuring with Creditors (CR), who received 9.612 mil new common shares. CR held a 73.37% interest in the restructured SC.</t>
  </si>
  <si>
    <t>Waste Processor Industries Inc</t>
  </si>
  <si>
    <t>Provide waste management svcs</t>
  </si>
  <si>
    <t>Pvd waste mgmt svcs</t>
  </si>
  <si>
    <t>American Ecology acquired all the outstanding shares of Waste Processor Industries for $1.5 per share, or a total of $6.43 mil, payable in a combination of cash and common stock. The consideration consisted of $3. 54 mil in common stock and $2. 89 mil in cash.</t>
  </si>
  <si>
    <t>An investor group including Benefits Concepts of New York (BCNY), an ESOP and creditors, withdrew their offer to acquire the bankrupt Continental Airlines Holdings (CA) for $425 mil. The investor group had offered $25 mil in cash and $400 mil in debt. Under the proposal, 52% of the reorganized CA's stock was to be granted to the ESOP, 40% to creditors and the rest to BCNY and former managers. BCNY complained about being denied access to financial information. Since July 1992, four other bids for CA had been presented and qualified by CA's board.</t>
  </si>
  <si>
    <t>Security Tag Systems Inc</t>
  </si>
  <si>
    <t>Mnfr electron surveillance tag</t>
  </si>
  <si>
    <t>Sensormatic Electronics Corp</t>
  </si>
  <si>
    <t>Pvd security systems services</t>
  </si>
  <si>
    <t>Sensormatic Electronics (SE) acquired the remaining 10,239, 970 outstanding common shares, or 69.9% of the shares outstanding that it did not already own in Security Tag Systems (ST) in a stock swap valued at $40.44 mil. SE offered 0.0975 common shares for each Security Tag share held. Under terms of the agreement, which was subject to a collar, SE offered $3.25 in common shares plus 0.058 times the amount that SE's closing stock price exceeded $28. Based on SE's closing stock price of $40.5 on Jun 16, each ST share was valued at $3.95.</t>
  </si>
  <si>
    <t>Ameriwood Industries Intl Corp</t>
  </si>
  <si>
    <t>Willametta K Day Trust</t>
  </si>
  <si>
    <t>Investment trust mgmt services</t>
  </si>
  <si>
    <t>Ameriwood Industries International (AIW) rejected Willametta K Day Trust's offer to acquire the remaining 84% interest, or 1, 680,000 common shares, that it did not already own of AIW for $21 in cash per share, or a total of $35.28 mil. In a revision of the offer, Willametta planned to include the distribution of any proceeds recovered from legal actions to AIW shareholders. Kemper Securities provided AIW with a fairness opinion. Willametta, had planned to negotiate further, but subsequently lowered its stake to 14.4%.</t>
  </si>
  <si>
    <t>Peoples Holding Co Inc,MI</t>
  </si>
  <si>
    <t>Central Bancshares of South,AL</t>
  </si>
  <si>
    <t>Coml bk hldg co</t>
  </si>
  <si>
    <t>Central Bancshares of the South acquired all the outstanding common stock of Peoples Holding and its subsidiary, Liberty Bank of Ft Walton Beach, for up to $4. 95 mil. The transaction had been subject to regulatory approval.</t>
  </si>
  <si>
    <t>Sunrise Energy Services Inc</t>
  </si>
  <si>
    <t>Jefferson Sunrise Partners</t>
  </si>
  <si>
    <t>Provide natural gas services</t>
  </si>
  <si>
    <t>Jefferson Sunrise Partners, a partnership comprised of Jefferson Gas Systems and Pentzer, a unit of Washington Water Power, acquired a $1 mil partial interest in Sunrise Energy Services comprised of voting redeemable, fully participating convertible preferred stock equal to 16. 9% of the common shares outstanding. The group, which concurrently acquired a 34% interest in the company, raised its interest to 50.9%.</t>
  </si>
  <si>
    <t>Command Credit Corp</t>
  </si>
  <si>
    <t>Ventura Capital Partners I LP</t>
  </si>
  <si>
    <t>Investment holding partnership</t>
  </si>
  <si>
    <t>Command Credit denied that any offer for the company had been made by Ventura Capital Partners I, a private investment partnership led by William Everly. Earlier in October 1992, Ventura announced that it had offered to acquire the outstanding common shares of Command Credit.</t>
  </si>
  <si>
    <t>Applied Biosystems Group</t>
  </si>
  <si>
    <t>Perkin-Elmer (PE) acquired Applied Biosystems (AB) in a stock swap valued at $295.836 mil. AB shareholders received 0.678 PE shares for each AB share outstanding in a tax free exchange. Based on PE's closing price of $30.125 on Oct 5, the last full trading day prior to the announcement, each share of AB was valued at $20.42. Under terms of the agreement, if the value to AB shareholders had fallen below $18 a share, the ratio could have been changed, or the agreement could have been terminated.</t>
  </si>
  <si>
    <t>RehabCare Corp</t>
  </si>
  <si>
    <t>Own,op outpatient facilities</t>
  </si>
  <si>
    <t>Continental Medical Systems (CMS) withdrew its offer to acquire RehabCare (RC) for $11.25 in cash per common share, or a total value of $32 mil for all of the 2.9 mil outstanding RC common shares. RC's board rejected the offer as being "inadequate." CMS had also exercised an option to acquire .425 mil common shares, or 14.5%, of RC from Comprehensive Care for $9 per share, or a total of $3.83 mil. However, RC exercised its right of first refusal and redeemed the shares.</t>
  </si>
  <si>
    <t>Showcase Cosmetics Inc</t>
  </si>
  <si>
    <t>Wholesale cosmetics</t>
  </si>
  <si>
    <t>An investor group consisting of 7 people acquired 1.2 mil Class A common shares, on a 57.6% interest in Showcase Cosmetics for $.3 mil. Showcase acquired an additional 400,000 shares for $.1 mil. In addition, the investor group was required to seek a buyer for the company within nine months.</t>
  </si>
  <si>
    <t>In October 1992, an investor group consisting of 7 people announced that it was seeking a buyer for Showcase Cosmetics. The announcement was part of an earlier agreement whereby the investor group acquired a 57. 6% interest, or 1.2 mil common shares of the company. As part of the same agreement, Showcase was given the right to require the investor group to raise its interest to 76. 8%. If a buyer for the company was not found within 9 months, the group would be required to return 500,000 shares.</t>
  </si>
  <si>
    <t>United New Mexico Financial</t>
  </si>
  <si>
    <t>Ford Bank Group Inc</t>
  </si>
  <si>
    <t>United New Mexico Financial merged with Ford Bank Group in a stock swap, forming a new company to be called First United Bank Group. Shareholders of United New Mexico received 5.3 mil common shares of the new company in exchange for their old common shares. Shareholders of Ford Bank Group received 6.3 mil shares of the new company for their Ford bank shares held.</t>
  </si>
  <si>
    <t>Avalon Corp(Corona Corp)</t>
  </si>
  <si>
    <t>Dundee Bancorp International</t>
  </si>
  <si>
    <t>Investment holding firm</t>
  </si>
  <si>
    <t>Dundee Bancorp International, a unit of Dundee Bancorp, acquired the remaining 2,076, 732 common shares, or 16.5% of the outstanding stock that it did not already hold of Avalon, for $3.75 per share, or a total of $7.79 mil, by accepting 1,676,604 preferred and common shares for $6.29 mil. The offer and subsequent pending merger were conditioned upon Dundee owning over 90% of Avalon's shares outstanding. Dundee also withdrew an offer to acquire the remaining 57% of Zemex that was not held by Avalon for $8.1 mil.</t>
  </si>
  <si>
    <t>Edisto Resources Corp</t>
  </si>
  <si>
    <t>Creditors,Shareholders</t>
  </si>
  <si>
    <t>Creditors and shareholders</t>
  </si>
  <si>
    <t>US - Edisto Resources Corp (ED), an oil and gas exploration and production company, completed a debt restructuring with creditors (CR), who recieved 11.568 mil new common shares. Upon completion CR held a 90% interest in the restructured ED. ED's shareholders retained the remaining 10% and received warrants to acquire up to 12% of the shares outstanding. In October 1991, Edisto announced that it was seeking a buyer for certain oil and gas assets.</t>
  </si>
  <si>
    <t>First Fed Svgs Bk,Salt Lake,UT</t>
  </si>
  <si>
    <t>Washington Federal Savings</t>
  </si>
  <si>
    <t>Washington Federal Savings &amp; Loan Assn, Seattle, Washington, acquired all the outstanding common shares of First Federal Savings Bank, Salt Lake City, Utah, for $17 in cash per share, or a total of $35.7 mil. The transaction had been subject to regulatory approval. Washington Federal Savings was also granted an option to acquire up to 19%, or about 400,000 shares, of First's common stock at $15 per share under a lockup agreement.</t>
  </si>
  <si>
    <t>Archive Corp</t>
  </si>
  <si>
    <t>Mnfr cartridge tape drives</t>
  </si>
  <si>
    <t>Conner Peripherals Inc</t>
  </si>
  <si>
    <t>Manufacture disk drives</t>
  </si>
  <si>
    <t>Conner Peripherals acquired all the outstanding stock of Archive through a cash tender offer of $11.25 per share, or a total of $163.99 mil. Conner accepted all 13,143, 759 shares that were tendered under the offer and subsequently acquired the remaining 321,579 shares for the same tender price. Conner also acquired 1,851,851 newly issued shares of Archive at $6.75 per share as a result of the extension of the letter of intent. The offer had been conditioned upon at least 51% of the stock being tendered when added to the 1. 852 mil shares already held by Conner.</t>
  </si>
  <si>
    <t>Home Fed Svgs Bk,Fort Collins</t>
  </si>
  <si>
    <t>KeyCorp (KC) acquired Home Federal Savings Bank, Fort Collins, Colorado (HF) through a stock swap valued at $19.6 mil. KC offered 0. 848 shares for every HF share held. Based on KC's closing stock price of $42.125 on Jun 29, the last full trading day prior to the announcement of exact terms, each HF share was valued at $35.6. KC had offered $32 of its common shares for each of HF share, but was adjusted because of a collar agreement. The number of KeyCorp shares issued was determined by its market price 20 days before completion, with a collar of $27.75 and $37.75.</t>
  </si>
  <si>
    <t>Flagler Bank Corp</t>
  </si>
  <si>
    <t>SunTrust Banks (SB) acquired Flagler Bank (FB) via a stock swap valued at $50.28 mil. Under terms of the agreement, SB exchanged 0.5 share of its common stock for each of FB's 2,545,970 shares. Based on SB's closing price of $39.50 on Oct 22, the last full trading day prior to the announcement, each FB share was valued at $19.75. SB was also granted an option to acquire a 6% stake in FB as part of a lockup agreement. FB announced in September 1992 that it was negotiating with an undisclosed acquiror.</t>
  </si>
  <si>
    <t>Home Federal Savings Bank</t>
  </si>
  <si>
    <t>First Banks Inc,Clayton</t>
  </si>
  <si>
    <t>First Banks was rejected in its unsolicited sweetened offer to acquire all the outstanding common stock of Home Federal Savings Bank of Missouri for $26.75 per share in cash or preferred stock, or a total of $37.3 mil. First Banks had stated the offer was negotiable, but Home Federal stated it was not for sale. Previously, First Banks offered $25 per share, but that bid was also rejected.</t>
  </si>
  <si>
    <t>Somatix Therapy Corp</t>
  </si>
  <si>
    <t>Mnfr cell biology products</t>
  </si>
  <si>
    <t>Somatix Therapy terminated its merger negotiations with an undisclosed firm.</t>
  </si>
  <si>
    <t>Western Energy Management Inc</t>
  </si>
  <si>
    <t>Energy conservation consultant</t>
  </si>
  <si>
    <t>Onsite Energy Corp</t>
  </si>
  <si>
    <t>Pvd energy engineering svc</t>
  </si>
  <si>
    <t>Onsite Energy acquired the outstanding stock of Western Energy Management as part of the formation of a new Onsite Energy corporation as part of its reorganization. As a result of the transaction, Western would a 51% interest in the new Onsite. Western shareholders received 1 share of the new company for every 5 shares held. The transaction was approved by the Securities and Exchange Commission.</t>
  </si>
  <si>
    <t>Financial Benefit Group Inc</t>
  </si>
  <si>
    <t>Life insurance co</t>
  </si>
  <si>
    <t>Southwestern Life Insurance Co</t>
  </si>
  <si>
    <t>Southwestern Life Insurance (SLI), a unit of ICH, had its option to acquire up to 51% of Financial Benefit's (FB) common shares outstanding terminated following a prepayment of debt by FB to SLI. In connection with the granting of the option, Southwestern agreed to acquire Financial Benefit convertible subordinated debentures for $10 mil. The option was to be exercisable after the conversion of the bonds.</t>
  </si>
  <si>
    <t>National City Bancorp</t>
  </si>
  <si>
    <t>Metropolitan Financial terminated its agreement to acquire National City Bancorp (NCB) in a stock swap valued at $108.1 mil. NCB holders were to have received 1.43 Metropolitan shares for each of the 5.4 mil NCB shares outstanding. Based on Metropolitan's closing price of $14 per share on Oct 27, the last full trading day prior to the announcement, each share of NCB was valued at $20.02. The transaction, to be accounted for as a pooling of interests, had been subject to shareholder and regulatory approval.</t>
  </si>
  <si>
    <t>Habersham Energy Co</t>
  </si>
  <si>
    <t>Habersham Energy acquired 837,944 common shares, or approximately 58% of the outstanding stock, of Spindle Oil and Gas for $300,152. Habersham was also engaged in discussions to divest of its oil and gas properties to Spindle.</t>
  </si>
  <si>
    <t>La Petite Holdings Inc</t>
  </si>
  <si>
    <t>La Petite Holdings, an investor group comprised of senior management, Vestar Capital Partners, and BT Investment Partners acquired the outstanding shares of La Petite Academy (LPA) it did not acquire through exercising an option for $10 per share, or a total of $157. 5 mil. The group also acquired 1,555,020 shares of LPA held by the Robert Brozman estate for $8.5 per share, or a total of $13.2 mil, bringing the entire value of the offer to $170.7 mil. In September 1992, the trustees for the Brozman estate were seeking a buyer for their 26% interest in LPA.</t>
  </si>
  <si>
    <t>Price Co</t>
  </si>
  <si>
    <t>Own,op membership wareshouses</t>
  </si>
  <si>
    <t>Price denied rumors that it was negotiating with an undisclosed party for a possible merger. In November 1992, it had been rumored that Price was in merger talks. Possible suitors included Home Depot, Sears, WalMart and K Mart.</t>
  </si>
  <si>
    <t>Colorado National Bankshares</t>
  </si>
  <si>
    <t>First Bank System acquired the 11.6 mil common shares, or 95.1%, of Colorado National Bankshares (CN) it did not already own in a stock swap valued at $513.3 mil. First Bank exchanged 1. 71206 common shares for each CN share. Based on First Bank's closing stock price of $25.75 on Nov 6, the last full trading day prior to the announcement, each of CN's shares was valued at $44.09. The transaction had been subject to CN divesting of its Grand Junction and Glenwood Springs branches. CN had been rumored to be in merger negotiations in January 1991.</t>
  </si>
  <si>
    <t>Naylor Industries Inc</t>
  </si>
  <si>
    <t>Water,sewer line construction</t>
  </si>
  <si>
    <t>Insituform Technologies Inc</t>
  </si>
  <si>
    <t>Pvd pipeline constr services</t>
  </si>
  <si>
    <t>Insituform of North America Inc acquired all the outstanding common stock of Naylor Industries for a revised bid of $5.15 in cash per share, or a total of $23. 04 mil. Insituform's previously signed letter of intent to acquire Naylor for $4.75 in cash per share for a total of $21.2 mil had been terminated. Insituform of North America had changed its name to Instituform Technologies after the merger announcement.</t>
  </si>
  <si>
    <t>CB&amp;T Financial,Fairmont,WV</t>
  </si>
  <si>
    <t>Huntington Bancshares acquired all the common stock of CB&amp;T Financial in a stock swap for $25.50 per share or a total value of $131.2 mil. Huntington had been granted an option to acquire up to 24. 9% of CB&amp;T's shares under a lock up agreement. Brown Brothers Harriman advised CB&amp;T. The transaction had been treated as a pooling of interests.</t>
  </si>
  <si>
    <t>Rust International Inc</t>
  </si>
  <si>
    <t>Provide engineering services</t>
  </si>
  <si>
    <t>Rust International (RI), 56% held by Waste Management's Chemical Waste Management (CW) , acquired the remaining 9.9 mil shares, or 44% of Brand it did not own for a sweetened $185 mil. RI offered a choice of 1 share or $18.75 in cash per share held. Holders of 6.9 mil shares chose cash, totalling $129 mil, while 3 mil opted for stock valued at $56 mil, based on RI's closing stock price of $19.75 on May 10, the first full trading day for RI. The terms had been a choice of $17.875 in cash or 1 RI share per share. Wheelabrator Technologies and CW merged assets to form RI.</t>
  </si>
  <si>
    <t>Western Financial Corp</t>
  </si>
  <si>
    <t>Metropolitan Financial (MF) acquired Western Financial (WF) in a stock swap transaction valued at $21.5 mil, consisting of $5.1 mil in cash and 940,000 MF common shares. MF offered a choice of $10 in cash or MF common stock for each share held, provided the cash portion was at least $4 mil and no more than $10 mil. In addition, MF had offered option holders a choice of cash or common stock equal to the product of the number of shares subject to options and the excess of $10 over the exercise price per share of the options for every option held.</t>
  </si>
  <si>
    <t>EquiVest Inc</t>
  </si>
  <si>
    <t>Medical Resource Cos of Amer</t>
  </si>
  <si>
    <t>Mnfr wheelchairs</t>
  </si>
  <si>
    <t>Medical Resource Cos of America acquired EquiVest through a stock swap valued at $7.41 mil. Under terms of the agreement, EquiVest shareholders received 1.5 Medical Resource shares per share held. In addition, all outstanding warrants and options were converted into comparable Medical Resource securities for the same terms. The value of the shares was based on Medical Resource's closing stock price of $2 on Nov 16, the last full trading day prior to the announcement.</t>
  </si>
  <si>
    <t>Franklin First Savings Bank</t>
  </si>
  <si>
    <t>ONBANCorp Inc,Syracuse,NY</t>
  </si>
  <si>
    <t>ONBANCorp acquired Franklin First Financial (FF) through a stock swap valued at $173.7 mil. ONBANCorp offered .825 common share for each FF share held. The value of the common shares was based on ONBANCorp's closing stock price of $36 on Aug 30, the last full trading day prior to the announcement of exact terms. The exchange ratio was determined by ONBANCorp's average closing stock price for the 20 trading days prior to receipt of final regulatory approval. In November 1992, FF disclosed that it was in merger talks with an undisclosed company.</t>
  </si>
  <si>
    <t>Hydro Flame Corp</t>
  </si>
  <si>
    <t>Mnfr and retail vent heaters</t>
  </si>
  <si>
    <t>Atwood Industries Inc</t>
  </si>
  <si>
    <t>Mnfr motor vehicle parts</t>
  </si>
  <si>
    <t>Atwood Industries, a unit of Anderson Industries acquired Hydro Flame (HF) for $9.04 mil. Atwood completed a tender offer to acquire all 861,043 common shares of HF for $10.50 each, or a total of $9.04 mil by accepting all 769,743 shares that were tendered. Atwood acquired the shares not tendered for the same terms. Previously, Atwood had launched a hostile bid of $7 per share, or a total of $6.03 mil, but was rejected, then offered $10 per share, or $8.61 mil, which was then increased to the final price. Prior to the offer, Atwood owned 100 shares of HF stock.</t>
  </si>
  <si>
    <t>MEI Diversified Inc</t>
  </si>
  <si>
    <t>Mnfr snack, health food prod</t>
  </si>
  <si>
    <t>IMR Fund LP</t>
  </si>
  <si>
    <t>IMR Fund terminated its letter of intent to acquire a majority interest in MEI Diversified, but was to continue negotiations for an alternative transaction. The letter of intent called for IMR purchasing 13.34 mil MEI voting shares, or about 71.4% of MEI's common stock outstanding, at $5 per share for a total consideration of $66.7 mil in cash and Brown- Minneapolis Tank &amp; Fabricating common shares. The consideration offered was comprised of $26.7 mil in cash and all the outstanding shares of Brown-Minneapolis Tank.</t>
  </si>
  <si>
    <t>Cryogenic Associates Inc</t>
  </si>
  <si>
    <t>Mnfr oxygen concentrators</t>
  </si>
  <si>
    <t>Cryogenic Associates, a unit of Beatrice Companies, acquired Mountain Medical Equipment, a 72%-owned unit of Grumman Hill Investments, in a stock swap transaction. Under terms of the agreement, Cryogenic offered 1/200th of its common stock for each share of Mountain Medical. However, if the shareholder held less than 200 shares, Cryogenic was to exchange $0. 7 in cash per share, unless total expenditure for the odd- lot shares exceeded $100,000. Upon conclusion of the transaction, Mountain Medical held a majority of the capital shares of Cryogenic.</t>
  </si>
  <si>
    <t>Republic Capital Group Inc</t>
  </si>
  <si>
    <t>TCF Financial Corp,MN</t>
  </si>
  <si>
    <t>TCF Financial (TCF) acquired Republic Capital Group (RC) in a stock swap valued at $68. 8 mil. TCF offered 1.217 shares for each of RC's 1,810, 000 shares outstanding. Based on TCF's closing stock price of $31.25 on Apr 20, the last full trading day prior to the announcement of the terms, each RC share was valued at $38.03. The exchange ratio, based on a collar agreement, was agreed to be $34.5 divided by an exchange value equal to TCF's closing stock price over a 20 day period ending 10 days before closing. In March 1992, RC stated that it was seeking a buyer for itself.</t>
  </si>
  <si>
    <t>Physician Computer Network</t>
  </si>
  <si>
    <t>Pvd network sys integration</t>
  </si>
  <si>
    <t>Jeffrey Picower raised his interest in Physician Computer Network (PCN) to 64% in part by exercising an option to acquire 5 mil new shares of Series D cumulative convertible preferred shares in PCN at $1 per share and converting them into 5.2 mil common shares. In February 1993, Picower acquired 10 mil common shares in PCN for $10 mil to raise his 20.8% stake to 56%, or 10,400,800 common shares. Prior to the purchase, Picower held warrants to buy 1.42 mil common shares at $1 per share and shares of Series B preferred convertible into 737,100 common shares.</t>
  </si>
  <si>
    <t>Preston Corp</t>
  </si>
  <si>
    <t>Trucking holding company</t>
  </si>
  <si>
    <t>Yellow Corp</t>
  </si>
  <si>
    <t>Pvd transp svcs;hldg co</t>
  </si>
  <si>
    <t>Yellow Freight System (YFS) acquired Preston for $108.75 mil. YFS completed a tender offer to acquire all the outstanding common shares of Preston for $4.125 in cash per share, or a total of $23. 75 mil by accepting 5,260,215 shares, or about 71.7% of Preston's shares. YFS also assumed $85 mil in Preston debt. The remaining shares not tendered were converted into $4.125 in cash. The transaction had been subject to 66.7% of the shares being validly tendered and required Interstate Commerce Commission approval.</t>
  </si>
  <si>
    <t>Brown &amp; Brown Inc</t>
  </si>
  <si>
    <t>Poe &amp; Brown Associate Inc</t>
  </si>
  <si>
    <t>Poe &amp; Associates acquired the outstanding shares of Brown &amp; Brown in a stock swap valued at $46.56 mil. Brown &amp; Brown shareholders received 4. 480252 shares for each share held. Based on Poe's closing stock price of $15.5 on Nov 27, the last full trading day prior to the announcement, each Brown &amp; Brown share was valued at $69.44.</t>
  </si>
  <si>
    <t>Inforum Inc</t>
  </si>
  <si>
    <t>Pvd marketing research svcs</t>
  </si>
  <si>
    <t>MEDSTAT Systems Inc</t>
  </si>
  <si>
    <t>Database svcs; dvlp software</t>
  </si>
  <si>
    <t>MEDSTAT Systems acquired all of the outstanding common stock of Inforum in a stock swap valued at $103.38 mil. Inforum shareholders received .9114 MEDSTAT common share for every Inforum share held. Based on MEDSTAT's closing stock price of $22 per share on Nov 30, the last full trading day prior to the announcement, each of Inforum's shares was valued at $20.05.</t>
  </si>
  <si>
    <t>Ball Corp</t>
  </si>
  <si>
    <t>Mnfr,whl metal containers</t>
  </si>
  <si>
    <t>Ball acquired Heekin Can in a stock swap for $27 per common share, or a total of $88.29 mil. Each of Heekin Can's 3.27 mil common shares outstanding was to be converted into 0.769 share of Ball common stock. The ratio represented a market value of $27, and was conditioned that Ball would issue no more than 0.871 or no fewer than 0.750 shares of its common stock for each Heekin Can share. Heekin Can had been subject to a termination fee of up to $5.5 mil in the event that the merger agreement had been terminated.</t>
  </si>
  <si>
    <t>Burritt InterFinancial Bancorp</t>
  </si>
  <si>
    <t>Derby Savings Bank(DS Bancor)</t>
  </si>
  <si>
    <t>Derby Savings Bank, a unit of DS Bancor acquired the failed Burritt InterFinancial Bancorp from the Federal Deposit Insurance Corp in a transaction valued at $6.2 mil. Derby paid a $6.2 mil purchase premium to assume $520.2 mil in deposits.</t>
  </si>
  <si>
    <t>Colonial Cos Inc</t>
  </si>
  <si>
    <t>Life,accident insurance co</t>
  </si>
  <si>
    <t>UNUM Corp</t>
  </si>
  <si>
    <t>Insurance company;holding co</t>
  </si>
  <si>
    <t>UNUM acquired Colonial (CL) in a stock swap valued at $576.7 mil. CL holders received .731 UNUM share for each of CL's 15,433,236 Class A common shares and Class B non-voting common shares outstanding. Based on UNUM's closing price of $51.125 on Dec 3, the last full trading day prior to the announcement, each of Colonial's shares was valued at $37.37. The transaction was accounted for as a pooling of interests.</t>
  </si>
  <si>
    <t>Ohio Bancorp</t>
  </si>
  <si>
    <t>PNC Financial terminated its agreement to acquire Ohio Bancorp in a stock swap valued at $249.6 mil. Ohio shareholders would receive 1. 12 PNC shares for each of Ohio's 7,925,266 shares outstanding. Based on PNC's closing stock price of $28. 125 on Dec 3, the last full trading day prior to the announcement, each share of Ohio was valued at $31.5. PNC was also granted an option to acquire additional Ohio shares under a lockup agreement. Ohio had previously disclosed that it was negotiating a possible merger with an undisclosed acquiror.</t>
  </si>
  <si>
    <t>Lite-On Semiconductor</t>
  </si>
  <si>
    <t>Mnfr semiconductors,rectifiers</t>
  </si>
  <si>
    <t>Lite-On Power Semiconductor, a subsidiary of Silitek, raised its stake in Diodes to 51.3% by acquiring 384,616 shares, or 8.2% of the common stock outstanding, for $.4 mil.</t>
  </si>
  <si>
    <t>Nostalgia Network Inc</t>
  </si>
  <si>
    <t>Own,op cable TV network</t>
  </si>
  <si>
    <t>Nostalgia Network disclosed that it was negotiating with various investor groups who held stakes in Nostalgia Network over the sale of a controlling interest or major investment in the company. M/ A Burgers, Tiger Communications, Gary Winnick and Terry N Christensen all held stakes in Nostalgia at the time of the announcement.</t>
  </si>
  <si>
    <t>Uno Restaurant Corp</t>
  </si>
  <si>
    <t>Own,op franchise restaurants</t>
  </si>
  <si>
    <t>Morrison Restaurants Inc</t>
  </si>
  <si>
    <t>Own,op cafeterias,restaurants</t>
  </si>
  <si>
    <t>Morrison Restaurants (MR) terminated its agreement to acquire Uno Restaurant through a stock swap valued at $96.71 mil. Under terms of the original agreement, MR was to have exchanged 1 share of its common stock for every 2.5 shares of Uno common stock, with MR not exchanging more than 3.6 mil shares. Based on MR's closing stock price of $27 on Dec 4, the last full trading day prior to the announcement, each of Uno's 8.955 mil shares was valued at $10.80. In November 1992, Uno disclosed it was negotiating with an undisclosed acquiror.</t>
  </si>
  <si>
    <t>Suburban Bancshares Inc</t>
  </si>
  <si>
    <t>Suburban Bancshares terminated an agreement to acquire Command Credit through a stock swap with an estimated value of $10 mil. Suburban had offered $4 mil to support Command's capital requirements as part of the consideration. The transaction had been subject to regulatory approval. In November 1992, Command Credit announced it was engaged in negotiations to merge with an undisclosed banking company through a stock swap. The transaction included a guaranteed investment.</t>
  </si>
  <si>
    <t>Clinical Homecare Ltd</t>
  </si>
  <si>
    <t>Curaflex Health Services Inc</t>
  </si>
  <si>
    <t>Operate dialysis centers</t>
  </si>
  <si>
    <t>Curaflex Health Services acquired all of the outstanding common and preferred stock of Clinical Homecare in a stock swap valued at $25.69 mil. Under terms of the agreement, each Clinical Homecare common share was converted into .43 common shares of Curaflex and each of the 412,000 preferred shares was converted into 2. 15 common shares. Based on Curaflex' closing stock price of $7.50 per share on Dec 9, the last full trading day prior to the announcement, each of Clinical's shares was valued at $3.23 per share.</t>
  </si>
  <si>
    <t>PSI Resources Inc</t>
  </si>
  <si>
    <t>Electric utility;holding co</t>
  </si>
  <si>
    <t>Cincinnati Gas &amp; Electric Co</t>
  </si>
  <si>
    <t>Cincinnati Gas &amp; Electric (CG) acquired PSI Resources in an amended stock swap transaction valued at $1.548 bil. PSI shareholders received 1.023 shares of CINergy, the merged unit, per share held, subject to a collar. Based on CG's closing stock price of $27.375 on Aug 13, the last full trading day prior to the disclosure, each PSI share was valued at $28. IPALCO withdrew its competing, twice sweetened, $30.5 per share bid for PSI in September 1993.</t>
  </si>
  <si>
    <t>Sequoia Systems Inc</t>
  </si>
  <si>
    <t>Manufacture computers</t>
  </si>
  <si>
    <t>Sequoia Systems announced it was seeking a buyer for the company. Sequoia retained Broadview Associates to advise it.</t>
  </si>
  <si>
    <t>Chambers Development Co Inc</t>
  </si>
  <si>
    <t>Waste mgmt; security services</t>
  </si>
  <si>
    <t>An investor group consisting of Frederick Moran and Moran Asset Management, which had previously raised its stake in Chambers Development to 15. 36% in December 1992, was considering a merger with the company by acquiring the remaining shares it did not already own.</t>
  </si>
  <si>
    <t>Teltronics Inc</t>
  </si>
  <si>
    <t>Mnfr telecommunication equip</t>
  </si>
  <si>
    <t>SRH PLC</t>
  </si>
  <si>
    <t>Whl commun equip,hardware</t>
  </si>
  <si>
    <t>SRH terminated negotiations to merge with Teltronics.</t>
  </si>
  <si>
    <t>Immunex Corp</t>
  </si>
  <si>
    <t>American Cyanamid Co</t>
  </si>
  <si>
    <t>Mnfr medical prod</t>
  </si>
  <si>
    <t>American Cyanamid (AC) acquired the outstanding common stock of Immunex (IM) for $736.3 mil consisting of $21 in cash per share and 1 share in a newly formed company between IM and AC's oncology business, which was named Immunex. The new shares were valued based on the closing stock price of $27.25 on Jun 2, the first full trading day after the company was formed. After the transaction, AC held 53.5% of the new company. First Boston advised IM and Morgan Stanley advised AC.</t>
  </si>
  <si>
    <t>VOPLEX Corp</t>
  </si>
  <si>
    <t>Mnfr molded plastic products</t>
  </si>
  <si>
    <t>Cambridge Industries Inc</t>
  </si>
  <si>
    <t>Mnfr automotive interior trim</t>
  </si>
  <si>
    <t>Cambridge Industries acquired the bankrupt VOPLEX. Subsequently, VOPLEX was to discontinue trading as a public company.</t>
  </si>
  <si>
    <t>Ambulatory Medical Care Inc</t>
  </si>
  <si>
    <t>Oper health care facilities</t>
  </si>
  <si>
    <t>A management led investor group consisting of Lawrence Decker, CEO, Jerome Decker, vice president finance, and Dean Judkins, vice president operations, acquired the remaining 40% of Ambulatory Medical Care (AMC) it did not already own for $5.50 in cash per share or a total of $2.33 mil. AMC retained McDonald as financial advisor. Ohio Co was also retained by AMC for a fairness opinion. In June 1992, Ambulatory Medical Care announced that it was seeking various ways to maximize shareholder value.</t>
  </si>
  <si>
    <t>Vicon Industries Inc</t>
  </si>
  <si>
    <t>Mnfr closed circuit TV sys</t>
  </si>
  <si>
    <t>Vicon Industries cancelled negotiations with an undisclosed acquiror to discuss the possible merger of the companies.</t>
  </si>
  <si>
    <t>Crown Cork &amp; Seal acquired all the outstanding common stock of Van Dorn for $21 per share, or a total of $176.5 mil. Van Dorn shareholders had the option to receive cash or Crown common shares, but with no more than 20% of the total being paid in cash. Van Dorn had been considering ways to sell the company. An investor group including Guy Wyser-Pratte and Spear Leeds &amp; Kellogg asked for Van Dorn to put itself up for sale. Crown had made a sweetened $20 per share, or $167.1 mil, bid for Van Dorn, which was rejected and subsequently withdrawn.</t>
  </si>
  <si>
    <t>CFS Financial Corp</t>
  </si>
  <si>
    <t>Bank holding compnay</t>
  </si>
  <si>
    <t>Crestar Finl Corp,Richmond,VA</t>
  </si>
  <si>
    <t>Crestar Financial acquired CFS Financial in a transaction valued at $60.6 mil. The condsideration consisted of $6.5 mil in cash and 1.4 mil in Crester shares valued at $54.1 mil. CRF had offered a choice of either $21.50 in cash or common stock per share, with the cash portion not exceeding 15% of the outstanding stock. The ratio of Crester shares exchanged for each CFS share was subject to a collar of . 524 and .652, which was determined by Crester's average closing price prior to closing. CFS also granted Crester a lockup option.</t>
  </si>
  <si>
    <t>PNC Bank Corp,Pittsburgh,PA</t>
  </si>
  <si>
    <t>PNC Bank acquired all the outstanding common shares of Gateway Fed for $30.6 per share in cash, or a total of $59.823 mil. The purchase price was pre-set so that it was initially $30.05 per share if completion occurred by Jun 3, and increased to $30.30 if the transaction was completed between Jul 1 and Sep 30 and $30.60 if the transaction was completed between Oct 1 and Dec 31. Gateway also granted PNC an option to acquire 19.95% (390, 023 shares) of its common stock under a lockup agreement. The transaction had been subject to regulatory approvals.</t>
  </si>
  <si>
    <t>Northeast Federal Corp</t>
  </si>
  <si>
    <t>Shawmut National was no longer rumored to be interested in acquiring Northeast Federal. The Current status of this deal is unknown.</t>
  </si>
  <si>
    <t>UST Corp,Boston,MA</t>
  </si>
  <si>
    <t>Shawmut National was rumored to be interested in acquiring UST for an estimated $150 to $200 mil. The Current status of this deal is unknown.</t>
  </si>
  <si>
    <t>Osmonics Inc</t>
  </si>
  <si>
    <t>Mnfr water purification equip</t>
  </si>
  <si>
    <t>Osmonics (OS) acquired all the common shares of Autotrol (AU) in a stock swap valued at $44.4 mil. Under terms of the amended agreement, OS exchanged 0.77 common shares for each AU common share. Based on OS' closing stock price of $19 on Apr 14, the last full trading day prior to the amendment, each AU share was valued at $14.63. In March 1993, OS had amended an original agreement to exchange 0.79 common shares for each AU common share. The agreement was originally a one-for-one swap, but was amended after an embezzlement case within AU.</t>
  </si>
  <si>
    <t>Sunshine Jr Stores Inc</t>
  </si>
  <si>
    <t>Own,op grocery stores</t>
  </si>
  <si>
    <t>Investor Stanley H Van Etten withdrew his offer to acquire 946,000 shares, or a 55% interest in the common stock of bankrupt Sunshine Jr Stores from the family of LD Lewis for $7 mil in a privately negotiated transaction.</t>
  </si>
  <si>
    <t>Sun Sportswear</t>
  </si>
  <si>
    <t>Mnfr auto trimming,apparel</t>
  </si>
  <si>
    <t>Seafirst Bank(Seafirst Corp)</t>
  </si>
  <si>
    <t>Seafirst Bank, a unit of Seafirst, acquired a 68% interest in Sun Sportswear. In March 1992, Sun Sportswear announced that it had retained NationsBank and C&amp;S/ Sovran to explore alternatives for increasing shareholder value, including a merger, recapitalization, or sale of the company. Subsequently, several undisclosed parties announced an interest in acquiring the company.</t>
  </si>
  <si>
    <t>Cancer Treatment Holdings Inc</t>
  </si>
  <si>
    <t>Provide cancer treatment svcs</t>
  </si>
  <si>
    <t>HDE Acquisition Corp</t>
  </si>
  <si>
    <t>HDE Acquisition acquired a 50.01% interest, or 1.461 mil common shares, in Cancer Treatment Holdings, for $3.42 per share, or a total value of $4.997 mil.</t>
  </si>
  <si>
    <t>National Medical Waste Inc</t>
  </si>
  <si>
    <t>Provide waste mgmt services</t>
  </si>
  <si>
    <t>BioMedical Waste Systems Inc</t>
  </si>
  <si>
    <t>BioMedical Waste Systems (BWS) acquired National Medical Waste (NMS) in a stock swap transaction valued at $3.137 mil. Based on BWS closing stock price of $3. 4375 per share on December 31, the last full trading day prior to the announcement, each NMS share and Series D preferred share was valued at $1.01. NMS was renamed BioMed International.</t>
  </si>
  <si>
    <t>United Medical Corp</t>
  </si>
  <si>
    <t>Whl medical supplies</t>
  </si>
  <si>
    <t>An investor group comprised of management acquired the remaining 1.24 mil shares, or 48% interest of United Medical, that it did not already own for $9.5 in cash per share, or a total of $11. 81 mil. United Medical's founders, John Aglialoro and Joan Carter, held the remaining 52% of the outstanding shares. Alex Brown &amp; Sons advised the special committee of independent directors which recommended the plan to UM's board.</t>
  </si>
  <si>
    <t>Belding Heminway Co Inc</t>
  </si>
  <si>
    <t>Mnfr textile treads,accessory</t>
  </si>
  <si>
    <t>Noel Group Inc</t>
  </si>
  <si>
    <t>Noel Group (NG) acquired Belding Hemingway (BH) through a tender merger for $59 mil. NG completed a tender offer for all the common shares of BH for $30. 25 in cash per share, or a total of $59 mil, accepting 1. 44 mil shares, or about 73% of the outstanding shares. NG acquired the remaining shares for the same terms. NG had previously offered $34.5 per share and originally offered $35 per share. Several parties had expressed interest in BH, which was 20% owned by the Hausman family. In February 1992, BH disclosed plans to search for a buyer.</t>
  </si>
  <si>
    <t>Scherer Healthcare Inc</t>
  </si>
  <si>
    <t>Mnfr pharmaceutical products</t>
  </si>
  <si>
    <t>Scherer Healthcare (SH) definitively agreed to acquire 51% of Marquest Medical Products (MM). The transaction included an amended guaranteed investment of MM $4.5 mil in mortgage debt and $4.5 mil related to a sale leaseback involving MM's blood gas analyzer product line. In return, SH would receive warrants for 51% of MM, or 4,615,500 shares. In Dec 1992, MM disclosed talks with an acquiror interested in purchasing the company. SH was also granted warrants to acquire 5.05 mil MM shares over the next 10 years.</t>
  </si>
  <si>
    <t>First of Michigan Capital Corp</t>
  </si>
  <si>
    <t>Comerica terminated its agreement to acquire all the outstanding common shares of First of Michigan Capital in a stock swap valued at $45 mil. Comerica offered 0.5558 shares of its common stock in exchange for each First of Michigan Capital share outstanding. Based on Comerica's closing stock price of $30.75 on Jan 8, the last full trading day prior to the announcement, each of First of Michigan Capital's 2. 62 mil shares valued at $17. 16. The transaction had been subject to regulatory approval.</t>
  </si>
  <si>
    <t>Central &amp; South West Corp</t>
  </si>
  <si>
    <t>Central &amp; South West terminated its agreement to acquire bankrupt El Paso Electric (EP) for an amended $2.2 bil. The consideration had included $830 mil in common stock. The newly reorganized company was also to settle with secured and unsecured creditors by issuing $1.37 bil in new equity. Central previously bid $2.1 bil. The transaction had been subject to bankruptcy court approval. Southwestern Public Service abandoned its $2.185 bil bid, but had considered alternative plans to acquire EP. Southern Union Gas had also expressed interest in EP.</t>
  </si>
  <si>
    <t>Southern Union Gas</t>
  </si>
  <si>
    <t>Provide oil,gas field svcs</t>
  </si>
  <si>
    <t>Southern Union Gas, a unit of Southern Union, terminated its negotiations to acquire bankrupt El Paso Electric. The transaction had been subject to approval by the Securities Exchange Commission. Southwestern Public Service was considering making a bid for the company and Central &amp; South West had agreed to acquire El Paso in a transaction valued at $2.2 bil, which was later terminated.</t>
  </si>
  <si>
    <t>Dakota Bancorp Inc</t>
  </si>
  <si>
    <t>South Dakota Financial Bancorp</t>
  </si>
  <si>
    <t>South Dakota Financial Bancorp acquired all the stock of Dakota Bancorp for $20.393 mil in cash. South Dakota offered $35.09 for each common share and $27.09 for each outstanding option. South Dakota had also been granted an option to acquire 9.9% of Dakota as part of a lockup agreement.</t>
  </si>
  <si>
    <t>Home Intensive Care Inc</t>
  </si>
  <si>
    <t>WR Grace acquired Home Intensive Care (HIC) for $103. 7 mil. WR Grace completed a tender offer to acquire all the outstanding common shares of Home Intensive Care (HIC) for $6.6 in cash per share, or a total of $88.91 mil by accepting 13,470,863 shares, or about 72.5% of HIC's shares. WR Grace acquired the remaining shares for the same terms. WR Grace's January 1993 offer to acquire HIC for $6 per share, or a total of $94.2 mil, had been rejected and subsequently withdrawn. HIC, after rejecting the offer, announced that it would seek a buyer for the company.</t>
  </si>
  <si>
    <t>Value-Added Communications Inc</t>
  </si>
  <si>
    <t>Pvd communications services</t>
  </si>
  <si>
    <t>US Long Distance Corp</t>
  </si>
  <si>
    <t>Pvd long distance commun svcs</t>
  </si>
  <si>
    <t>US Long Distance (USD) terminated its agreement to acquire all the outstanding common shares of Value-Added Communications (VC) in a stock swap, accounted for as a pooling of interests, valued at $106.4 mil. USD offered 0.62 shares of its common stock in exchange for each VC share outstanding. USD had withdrawn a clause which provided for a minimum transaction value of $100 mil. Based on USD's closing stock price of $18.25 on Jan 13, the last full trading day prior to the announcement, each of VC's 9.4 mil outstanding shares had been valued at $11.32.</t>
  </si>
  <si>
    <t>Atek Metals Center Inc</t>
  </si>
  <si>
    <t>Whl superalloy; coating svcs</t>
  </si>
  <si>
    <t>An investor group led by management and including chairman of the board George Wile, CEO and president Barry Bucher and executive VP Derwood Stephens, was rejected in its offer to acquire the remaining 44.7% interest in Atek Metals Center which it did not already own for $5 mil in a leveraged buyout. The group had intended to purchase the remaining 1,668,887 common shares for $3 per share.</t>
  </si>
  <si>
    <t>United Insurance Cos</t>
  </si>
  <si>
    <t>Insurance holding co</t>
  </si>
  <si>
    <t>United Insurance Cos completed a tender offer to acquire the outstanding common shares of Southern Educators Life Insurance for $8.10 in cash per share, or a total of $20.426 mil, by accepting 2,521,773 shares, or 99.2% of the outstanding shares. United planned to acquire the remaining shares for the same terms. The offer had been subject to a minimum of 51%, or 1,296,631 shares, being tendered. The transaction had been subject to regulatory approval.</t>
  </si>
  <si>
    <t>Alden Press Co</t>
  </si>
  <si>
    <t>Provide web printing services</t>
  </si>
  <si>
    <t>APC Holding Inc</t>
  </si>
  <si>
    <t>APC Holding, a company formed under the direction of Kohlberg Kravis Roberts, and including World Color Press, acquired Alden Press via a tender merger valued at $151 mil. APC completed a cash tender offer to acquire all the outstanding common shares of Alden Press at $15 per share or a total of $111 mil by accepting 7,357,649 shares, or 99.4% of the company's shares. APC acquired the remaining shares for the same consideration. APC also assumed $40 mil in liabilities.</t>
  </si>
  <si>
    <t>Crown Resources Corp</t>
  </si>
  <si>
    <t>Gold and metal mining co</t>
  </si>
  <si>
    <t>Crown Resources terminated its negotiations with an undisclosed acquiror.</t>
  </si>
  <si>
    <t>Lexicon Corp</t>
  </si>
  <si>
    <t>Comp signal processing equip</t>
  </si>
  <si>
    <t>Lexicon terminated its search for a buyer for the company which was announced in January 1993. The search was prompted by an investor group led by Ronald Hayes, which held a 5.1% stake in Lexicon. The group subsequently disbanded and reduced its stake to 4.4%.</t>
  </si>
  <si>
    <t>Peoples Westchester Savings Bk</t>
  </si>
  <si>
    <t>An investor group comprised of Carl Pohlad, Irwin Jacobs, Gerald Schwalbach, William Nicholson and Chartwell Associates withdrew its offer to acquire all the outstanding common shares of Peoples Westchester Savings, Hawthorne, New York it did not already own for $30 in cash per share or a total of $143.59 mil. Prior to the offer, the bidding group held a 9.9% stake in Peoples Westchester.</t>
  </si>
  <si>
    <t>Kasler Corp(Kasler Holding Co)</t>
  </si>
  <si>
    <t>Construction company</t>
  </si>
  <si>
    <t>DW Holdings Inc</t>
  </si>
  <si>
    <t>Constuction company</t>
  </si>
  <si>
    <t>DW Holdings acquired Kasler and merged it with its Washington Contractors Group unit under a new holding company. Washington Contractors shareholders received 66% of the new company, and Kasler shareholders a 34% in the newly formed company. Upon completion, the newly company became pubically traded. Prior to announcement DW Holdings held a 6.5% stake and wanted a greater role in making business decisions. As of Jan 28, DW Holdings had increased its stake to 7.7% then later increased it to 8. 3%, or 828,100.</t>
  </si>
  <si>
    <t>Reddi Brake Supply Corp</t>
  </si>
  <si>
    <t>Whl automobile parts</t>
  </si>
  <si>
    <t>Wesco Auto Parts Corp</t>
  </si>
  <si>
    <t>Own,op automotive store</t>
  </si>
  <si>
    <t>Wesco Auto Parts acquired Reddi Brake Supply in exchange for 583,500 common shares, $1.55 mil in cash, and earnout of up to $2.2 mil in common stock based on future performance for a total value of $5.28 mil. The value of the common shares were valued based on Wasco Auto Parts' closing stock price of $2.625 on Apr 27, the last full trading day prior to the announcement of terms.</t>
  </si>
  <si>
    <t>Southwestern Electric Service</t>
  </si>
  <si>
    <t>Texas Utilities Co</t>
  </si>
  <si>
    <t>Pvd elect,gas utility svcs</t>
  </si>
  <si>
    <t>Texas Utilities (TU) acquired all the common shares outstanding of Southwestern Electric Service (SES) in exchange for a choice of either 2.2 TU common shares for each SES share, or $93 in cash per SES share, for a total value of $62.61 mil. The cash portion of the transaction was not to exceed 20% of the total value, which was based on TU's closing stock price of $43 on Jan 21, the last full trading day prior to the announcement and taking into consideration the maximum 20% cash limit.</t>
  </si>
  <si>
    <t>Standard Brands Paint Co</t>
  </si>
  <si>
    <t>Mnfr paints,varnishes</t>
  </si>
  <si>
    <t>Creditors received a 75% interest, or about 16.8 mil newly issued common shares of bankrupt Standard Brands Paint in exchange for a reduction of $55 mil in debt. Fidelity Management and Research received 9,497,507 shares, or a 42.7% interest, Transamerica Life Insurance received 284,663 shares, Transamerica Occidental Life Insurance received 2,452,477 shares, Sun America Financial received 2,737,140 shares, and Kodak Retirement Income Plan Trust received 1,786,213 shares.</t>
  </si>
  <si>
    <t>Daniel Federal S&amp;L Assn</t>
  </si>
  <si>
    <t>New London Trust Co</t>
  </si>
  <si>
    <t>Commercial  bank</t>
  </si>
  <si>
    <t>New London Trust, a unit of Sun Life Assurance Co of Canada, acquired all the common shares of Danielson Federal Savings and Loan Assn for $2.5 per share. The transaction had been subject to regulatory approval as well as approval by Danielson shareholders.</t>
  </si>
  <si>
    <t>Baldwin Piano &amp; Organ Co</t>
  </si>
  <si>
    <t>Mnfr, retail pianos and organs</t>
  </si>
  <si>
    <t>Peridot Associates, an investor group formed by William Eberle and William A Frank, terminated an agreement to acquire the outstanding common shares of Baldwin Piano &amp; Organ for $18. 25 in cash per share, or a total of $62.03 mil.</t>
  </si>
  <si>
    <t>Alden Electronics Inc</t>
  </si>
  <si>
    <t>Environmental controls</t>
  </si>
  <si>
    <t>Alden Electronics terminated its search for buyer for the company. In January 1993, Alden had retained Bigelow to help in the search.</t>
  </si>
  <si>
    <t>Synercom Technology Inc</t>
  </si>
  <si>
    <t>Mnfr,whl electronic components</t>
  </si>
  <si>
    <t>US - In February 1993, Synercom Technology announced it was seeking a buyer for the company. Synercom retained Robert Fleming Pacific to assist in its search.</t>
  </si>
  <si>
    <t>Dahlberg Inc</t>
  </si>
  <si>
    <t>Mnfr hearing aids</t>
  </si>
  <si>
    <t>Bausch &amp; Lomb Inc</t>
  </si>
  <si>
    <t>Mnfr opthalmic prod</t>
  </si>
  <si>
    <t>US - Bausch &amp; Lomb acquired all the outstanding common stock of Dahlberg for an amended $21 in cash per share, or a total of $139 mil. The offer was lowered from an original $24 in cash per share or a total of $158.4 mil. The lower offer reflected an announcement that the Federal Trade Commission was contemplating to file suit against Dahlberg for improper advertising.</t>
  </si>
  <si>
    <t>Express Cash Intl Corp</t>
  </si>
  <si>
    <t>Own and operate pawn shops</t>
  </si>
  <si>
    <t>Cash America International Inc</t>
  </si>
  <si>
    <t>Pvd financing services</t>
  </si>
  <si>
    <t>Cash America International acquired Express Cash International for an amended $4.6 in cash per share, or a total of $12.75 mil which included the assumption of $6. 5 mil in liabilities. Cash America had originally agreed to acquire the company for $7. 37 mil but amended the terms due to Express Cash's asset and liability levels at completion.</t>
  </si>
  <si>
    <t>Jimbo's Jumbos Inc</t>
  </si>
  <si>
    <t>Own and operate peanut farms</t>
  </si>
  <si>
    <t>0139</t>
  </si>
  <si>
    <t>JJJ Acquisition Corp</t>
  </si>
  <si>
    <t>JJJ Acquisition, an investor group led by a partnership controlled by John W Kluge, acquired Jimbo's Jumbos for an amended $6.93 in cash per share, or a total of $45.09 mil. JJJ acquired 73% of Jimbo's Jumbos from Chock Full O'Nuts. The group had previously offered $7 per share, or a total of $45.55 mil.</t>
  </si>
  <si>
    <t>Video Jukebox Network Inc</t>
  </si>
  <si>
    <t>Pvd cable,pay TV services</t>
  </si>
  <si>
    <t>Island Trading Co</t>
  </si>
  <si>
    <t>Own,op cable television svc</t>
  </si>
  <si>
    <t>Island Trading (IT), a unit of Island International, terminated its agreement to acquire a 51% voting majority interest in Video Jukebox Network (VJ) for $7 mil. IT was to receive 7 mil shares of convertible common stock, warrants for an additional 7. 9 mil shares of convertible common stock and 2 mil common shares. The convertible stock was to automatically convert to common stock 2 years after closing of the transaction. In October 1992, VJ announced that it was negotiating with undisclosed parties for the sale of the company or for a controlling interest.</t>
  </si>
  <si>
    <t>Gusdorf Corp</t>
  </si>
  <si>
    <t>Mnfr wood furniture,cabinets</t>
  </si>
  <si>
    <t>Gusdorf was in preliminary negotiations to acquire Ameriwood Industries International. In October 1992, Willametta K Day offered to acquire the remaining 84% interest in the company, but those talks had reached a stalemate.</t>
  </si>
  <si>
    <t>Goldtex Inc</t>
  </si>
  <si>
    <t>Finished woven, knitted fabric</t>
  </si>
  <si>
    <t>Tomen America Inc</t>
  </si>
  <si>
    <t>Domestic,intl whl trading co</t>
  </si>
  <si>
    <t>Tomen America, a unit of Tomen, acquired Goldtex for $6.75 in cash per share, or a total of $15.7 mil. The transaction was approved by the Federal Trade Commission under the Hart-Scott-Rodino Act. In September 1992, Goldtex announced that it had retained Interstate/Johnson Lane to search for a buyer for the company.</t>
  </si>
  <si>
    <t>Capital Cities/ABC Inc</t>
  </si>
  <si>
    <t>Turner Broadcasting System denied rumors that it was to merge with Capital Cities/ABC. Paramount Communications and CBS were also rumored to have had discussions with Turner Broadcasting System about a possible merger.</t>
  </si>
  <si>
    <t>Liberty Media Corp</t>
  </si>
  <si>
    <t>Liberty Media (LM) withdrew its offer to acquire all the shares of Home Shopping Network (HSN) that it did not already own for $581 mil. LM offered $5.5 in cash and .1 Class A common share for each of HSN's 68,360,389 shares not already owned. Based on LM's closing price of $30 on Feb 23, the last full trading day prior to the announcement, each HSN share was valued at $8.5. Earlier, LM acquied 20 mil Class B HSN shares for $144 mil.</t>
  </si>
  <si>
    <t>United Airlines Union</t>
  </si>
  <si>
    <t>Airline labor union</t>
  </si>
  <si>
    <t>Miscellaneous Services</t>
  </si>
  <si>
    <t>United Airlines Union Coalition acquired a 55% interest in UAL by exchanging $84.81 in cash plus .5 newly issued common shares for each of UAL's 24 mil common shares outstanding for a total value of $3.468 bil. The common shares where valued based on UAL's closing stock price of $119.275 on May 20, the last full trading day prior to the change in terms. The transaction had been conditioned upon UAL employees contributing $5 bil in wage and benefit concessions and upon UAL successfully underwriting a preferred stock and notes offering.</t>
  </si>
  <si>
    <t>Equus Investments Inc</t>
  </si>
  <si>
    <t>Equus II Inc</t>
  </si>
  <si>
    <t>Equus II acquired Equus Investments in a stock swap valued at a revised $10.6 mil. Equus II had offered .54 shares, formerly .59, for each Equus Investment share outstanding. Based on Equus II's closing stock price of $9.25 per share on May 5, the last full trading day prior to the announcement of the change in terms, each Equus Investment share was valued at $5.00. The transaction had been subject to approval by the Securities and Exchange Commission.</t>
  </si>
  <si>
    <t>Jefferson Natl Bk,Watertown,NY</t>
  </si>
  <si>
    <t>In February 1993, Jefferson National Bank, Watertown, New York, disclosed that it was seeking a buyer for the company.</t>
  </si>
  <si>
    <t>South Alabama Bancorp,AL</t>
  </si>
  <si>
    <t>Mobile National Corp</t>
  </si>
  <si>
    <t>Mobile National acquired South Alabama Bancorp through a tax-free stock swap valued at $16.34 mil. South Alabama shareholders received 5.8 shares of Mobile for each share held. Based on Mobile's closing stock price of $10.50 per share on Feb 12, the last full trading day prior to disclosure, each South Alabama share was valued at $60.90. The transaction had been subject to regulatory as well as shareholder approval.</t>
  </si>
  <si>
    <t>Thermal Industries Inc</t>
  </si>
  <si>
    <t>Mnfr screens and metal doors</t>
  </si>
  <si>
    <t>JELD-WEN Inc</t>
  </si>
  <si>
    <t>Manufacture doors,windows</t>
  </si>
  <si>
    <t>JELD-WEN terminated its letter of intent to acquire all the outstanding shares of Thermal Industries for $8 in cash per share, or a total of $15.5 mil. Under the agreement, chairman and CEO David Weis and secretary/ treasurer Eric Rasco were to receive $7.75 in cash for their shares.</t>
  </si>
  <si>
    <t>Alco International Group Inc</t>
  </si>
  <si>
    <t>Pvd deep sea freight services</t>
  </si>
  <si>
    <t>Scottsdale Group</t>
  </si>
  <si>
    <t>Scottsdale Group, a group of Alco International Group (AIG) shareholders, withdrew its interest in acquiring in excess of 80% of AIG common shares outstanding. In February, Scottsdale announced that it had acquired a 10% stake, or 1, 362,950 shares. That stake was later raised to 23.3%, or 2,862,950 shares. AIG had announced in January 1993 that received an offer from an undisclosed investor group, later disclosed as Scottsdale, that was interested in acquiring the excess of 80% of AIG's common stock outstanding.</t>
  </si>
  <si>
    <t>Supermail International Inc</t>
  </si>
  <si>
    <t>Pvd check cashing svcs</t>
  </si>
  <si>
    <t>Other Financial</t>
  </si>
  <si>
    <t>Supermail International withdrew its search for a buyer.</t>
  </si>
  <si>
    <t>NERCO Inc</t>
  </si>
  <si>
    <t>Coal, gold and silver mining</t>
  </si>
  <si>
    <t>Kennecott Corp(RTZ Corp PLC)</t>
  </si>
  <si>
    <t>Mine copper; mnfr metal prod</t>
  </si>
  <si>
    <t>Kennecott (KE), a unit of RTZ, acquired the outstanding common shares of NERCO, an 82%-owned unit of PacifiCorp's Inner PacifiCorp for $1.162 bil. KE offered $12 in cash per share, or a total of $469.9 mil plus the assumption of $692 mil in liabilities. PacifiCorp provided KE with a $225 mil loan to finance the transaction. NERCO was merged into a unit of the RTZ America subsidiary of RTZ. Concurrently, NERCO announced that it was in negotiations with an undisclosed acquiror interested in purchasing its mineral properties.</t>
  </si>
  <si>
    <t>National Mutual Insurance Co</t>
  </si>
  <si>
    <t>Fire,marine,casualty ins co</t>
  </si>
  <si>
    <t>National Mutual Insurance acquired the remaining 45% stake (710,343 Class A common shares) in Celina Financial for $5.80 per share, or a total of $4.12 mil via its tender offer. National Mutual was one of the member mutual insurance companies which comprised Celina Group, which had owned an aggregate 55% interest in Celina Financial. The other mutuals consisted of Celina Mutual Insurance and Republic Mutual Insurance.</t>
  </si>
  <si>
    <t>Pioneer Fed BanCorp Inc</t>
  </si>
  <si>
    <t>First Hawaiian Inc,Honolulu,HI</t>
  </si>
  <si>
    <t>First Hawaiian acquired all the outstanding common stock of Pioneer Fed BanCorp for $34 per share in cash or a total of $87.35 mil. The transaction had been subject to regulatory approval from the Federal Reserve Board and the Office of Thift Supervision.</t>
  </si>
  <si>
    <t>First Fidelity Bancorporation (FF) acquired the outstanding common stock of Village Financial Services (VF) for a $28.35 per share, or a total of $65.97 mil. FF offered $17.01 in cash plus $11.34 in common shares for each VF share held. The number of FF shares exchanged was derived from its average price prior to closing. VF granted FF a lockup option, exercisable under certain conditions, to acquire 463, 000 shares, or 19.9% of VF's shares outstanding, for $23. 25 per share. The transaction received regulatory approval.</t>
  </si>
  <si>
    <t>Fleet Bank of New York</t>
  </si>
  <si>
    <t>US - Fleet Bank of New York, Albany, New York, a unit of Fleet Financial Group, acquired the failed Jefferson National Bank, Watertown, New York, a savings bank.</t>
  </si>
  <si>
    <t>Medical Innovations Inc</t>
  </si>
  <si>
    <t>Pvd home health care services</t>
  </si>
  <si>
    <t>Ballard Medical Products</t>
  </si>
  <si>
    <t>Ballard Medical Products acquired the outstanding common stock of Medical Innovations for $1.27 per share, or a total of $12.5 mil in cash. Robert Fleming advised Medical Innovations.</t>
  </si>
  <si>
    <t>US Home Corp</t>
  </si>
  <si>
    <t>Construct homes;RE development</t>
  </si>
  <si>
    <t>Creditors of bankrupt US Home completed a reorganization plan whereby creditors received $165 mil in new debt, 5 mil new US Home common shares, and 2.9 mil convertible preferred shares in exchange for the forgiveness of $297 mil in unsecured debt. Existing shareholders exchanged old common stock for 2.1 mil new common shares, warrants to purchase up to 1.9 mil new shares for $20 a share, and an additional 1.4 mil new shares conditional upon the retirement of $100 mil of new debt.</t>
  </si>
  <si>
    <t>Boston Digital Corp</t>
  </si>
  <si>
    <t>Mnfr metal cutting mach tools</t>
  </si>
  <si>
    <t>Charterhouse Group Inc</t>
  </si>
  <si>
    <t>Charterhouse Group International acquired Boston Digital for $10.37 mil. Charterhouse offered $3.74 in cash for each common share and a cash payment equal to the excess of $3.75 over the exercise price of the option multiplied by the total number of shares covered in the option.</t>
  </si>
  <si>
    <t>Perception Technology Corp</t>
  </si>
  <si>
    <t>Interactive voice response sys</t>
  </si>
  <si>
    <t>Brite Voice Systems Inc</t>
  </si>
  <si>
    <t>Mnfr voice response systems</t>
  </si>
  <si>
    <t>Brite Voice Systems acquired all of the 3,348,000 outstanding common shares of Perception Technology for 3, 348,000 newly issued Brite Voice Systems common shares, or about 45% of the company's common stock outstanding after the transaction, valued at $15.9 mil. The value of the common shares were based on Brite Voice System's closing stock price of $4.75 on Mar 5, the last full trading day prior to the announcement.</t>
  </si>
  <si>
    <t>Spelling Entertainment Group</t>
  </si>
  <si>
    <t>Blockbuster Entertainment Corp</t>
  </si>
  <si>
    <t>Operate video rental stores</t>
  </si>
  <si>
    <t>Blockbuster Entertainment raised its stake in Spelling Entertainment Group (SE) to a 53.8% majority interest by acquiring 24.522 mil common shares, or 48.2% of SE from America Financial in exchange for 7.6 mil BE common shares, or 4%, valued at $141.6 mil, and warrants to acquire an additional 2 mil shares at $25 a share. The common shares were valued based on BE's closing stock price of $18.625 on Mar 5, the last full trading day prior to the announcement.</t>
  </si>
  <si>
    <t>Attention Medical Co</t>
  </si>
  <si>
    <t>Wholesale medical equipment</t>
  </si>
  <si>
    <t>Taylor Medical Inc</t>
  </si>
  <si>
    <t>Taylor Medical acquired the outstanding common stock of Attention Medical. Taylor Medical offered shares of its common stock to Attention Medical's directors and affiliates, and an amended $2 in cash to other shareholders, who collectively held less than a 5% interest in Attention Medical. Taylor Medical had originally offered $1.5 in cash to the other shareholders.</t>
  </si>
  <si>
    <t>Gynex Pharmaceuticals Inc</t>
  </si>
  <si>
    <t>Mnf,whl pharmaceutical prod</t>
  </si>
  <si>
    <t>Bio-Technology General Corp</t>
  </si>
  <si>
    <t>Bio-Technology General (BTG) definitively agreed to acquire Gynex Pharmaceuticals (GP) in a stock swap valued at $58.824 mil. GP shareholders were to receive . 61 newly-issued shares of BTG common stock for each of GP's 16.07 mil actual common shares outstanding. Based on BTG's closing stock price of $6 on Mar 9, the last full trading day prior to the announcement, each GP share was valued at $3.66. The transaction, which was expected to be completed by Jun 30, was subject to shareholder and regulatory approval.</t>
  </si>
  <si>
    <t>Athlone Industries Inc</t>
  </si>
  <si>
    <t>Allegheny Ludlum Corp</t>
  </si>
  <si>
    <t>Rolled Steel Shape Manufacturing</t>
  </si>
  <si>
    <t>Allegheny Ludlum acquired the outstanding common stock of Athlone Industries in a $105. 55 mil stock swap transaction. Allegheny offered $17.5 per share in the form of .84726 common shares for each Athlone share held. Under the agreement, the final exchange ratio was determined by dividing $17.5 by the average closing price of Allegheny stock for the 15-day period ending Nov 8, provided that the ratio was within a collar of 1.14604 and .84726 Allegheny shares per Athlone share.</t>
  </si>
  <si>
    <t>Forum Group Inc</t>
  </si>
  <si>
    <t>Own,operate nursing homes</t>
  </si>
  <si>
    <t>Dalfort Corp</t>
  </si>
  <si>
    <t>US - Dalfort, a unit of Hyatt's Hyatt Air, was no longer planning to launch a tender offer for 49% of the outstanding shares of Forum Group for $3 per share. The offer had been conditional on the completion of Dalfort's offer to acquire a 51% interest in Forum Group by acquiring $21.5 mil in newly issued common shares. An investor group led by Apollo Investment Fund and FL Advisors successfully completed a two part recapitalization giving it a 64% interest in the company.</t>
  </si>
  <si>
    <t>IPALCO Enterprises Inc</t>
  </si>
  <si>
    <t>IPALCO Enterprises (IE) withdrew its amended bid to acquire PSI Resources for $30. 5 per share, or a total of $1. 69 bil, via a hostile tender offer. PSI rejected IE's $28 per share offer and its original $26.5 per share bid. IE had offered a choice of 0. 8414 shares valued at $30.5 or $30.5 in cash per share, provided that not more than 26% be cash and 74% be stock. The shares had been valued based on IE' closing price of $36.25 on Aug 17, the last full trading day prior to the raised bid. Cincinnati Gas &amp; Electric agreed to acquire PSI for $1.548 bil.</t>
  </si>
  <si>
    <t>Technalysis Corp</t>
  </si>
  <si>
    <t>Compuware Corp</t>
  </si>
  <si>
    <t>Develop application software</t>
  </si>
  <si>
    <t>CompuWare terminated its agreement to acquire all the outstanding common stock of Technalysis for $16.75 in CompuWare common stock per Technalysis share, or a total of $39.3 mil. The transaction, which had been subject to regulatory and shareholder approval, was to have been accounted for as a pooling of interests.</t>
  </si>
  <si>
    <t>Grant Tensor Geophysical Corp</t>
  </si>
  <si>
    <t>Oil and gas exploration svcs</t>
  </si>
  <si>
    <t>Digicon Inc</t>
  </si>
  <si>
    <t>Oil and gas services</t>
  </si>
  <si>
    <t>Digicon (DG) terminated its letter of intent to acquire all the outstanding shares of Grant Tensor Geophysical (GT) for $98 mil. DG offered 16 mil shares valued at $82 mil and to assume $16 mil in debt. DG was to issue .63 shares per GT common share and 3.8 shares per exchangeable preferred share. The shares were valued based on DG's closing stock price of $5.125 on Mar 17, the last full trading day prior to the announcement. In January 1993, GT disclosed plans to divest assets or enter into a joint venture. Also, Petroleum Geo- Services acquired GT's data processing assets.</t>
  </si>
  <si>
    <t>United Coasts Corp</t>
  </si>
  <si>
    <t>ACMAT Corp</t>
  </si>
  <si>
    <t>Pvd surety insurance svcs</t>
  </si>
  <si>
    <t>ACMAT withdrew its offer to acquire the remaining 16.4%, or 1,670,769 common shares, of United Coasts through a tender offer valued at $9.55 mil because of a lawsuit filed by a shareholder. The exchange ratio was set at one Class A share of ACMAT common stock for every 1.75 United Coasts shares held. The value was based on ACMAT's closing stock price of $10 on Mar 18, the full trading day prior to the announcement of the tender offer.</t>
  </si>
  <si>
    <t>An investor group led by Freeman Spogli acquired 55% of EnviroSource (ES) for $82. 37 mil. The group acquired 6. 4 mil common shares for $3.75 a share and .23 mil Class J preferred shares, each convertible into 30 common shares, for $112.5 a share from ES. The group also acquired 5.6 mil ES common shares for $3.75 a share, . 107 mil ES Class H preferred shares, and warrants to acquire 1.7 mil shares for $11.5 mil from Dyson-Kissner- Moran. The group received 3.1 mil common shares from ES in exchange for the Class H shares.</t>
  </si>
  <si>
    <t>Lifetime Corp</t>
  </si>
  <si>
    <t>Abbey Healthcare Group Inc</t>
  </si>
  <si>
    <t>Provide home infusion services</t>
  </si>
  <si>
    <t>Abbey Healthcare Group's withdrew its sweetened bid of $257.51 mil, of $27.50 in cash and common stock, per common share, to acquire all the outstanding common stock of Lifetime. The bid had been rejected by Lifetime, as had Abbey's previous $23.50 per share offer. Lifetime stated Abbey's bid would not enhance shareholder value and that Abbey did not present a firm, financed offer. In addition, Lifetime disclosed that it would consider all alternatives for the company, including a possible sale and was subsequently acquired by Olsten.</t>
  </si>
  <si>
    <t>New Generation Foods Inc</t>
  </si>
  <si>
    <t>Produce snack food</t>
  </si>
  <si>
    <t>New Generation Foods announced in March 1993 that it was seeking a buyer for the company. Possible courses of action included a strategic alliance.</t>
  </si>
  <si>
    <t>Nextel Communications (NX), formerly Fleet Call, terminated its definitive agreement to acquire 7,142, 857 common shares, or 51% of American Mobile Systems (AMS), for $7 per share, or a total of $50 mil. NX was to offer cash and Florida mobile radio assets. An initial $5 mil was to be placed in escrow upon receipt of the first 714,286 shares. NX also acquired an option for another 1.8 mil shares which was concurrently terminated. NX's previous agreement to acquire AMS was terminated in July 1992.</t>
  </si>
  <si>
    <t>Commonwealth Bancshares Corp</t>
  </si>
  <si>
    <t>Meridian Bancorp Inc</t>
  </si>
  <si>
    <t>Meridian Bancorp (MB) acquired all the outstanding common stock of Commonwealth Bancshares (CB) in a stock swap transaction valued at $358.5 mil. MB offered 1.415 common shares for each CB held. Based on MB's closing price of $32.75 on Mar 29, the last full trading day prior to announcement, each of CB's shares was valued at $46.34. The transaction was to have been accounted for as a pooling of interests, and had received regulatory approval. CB subsequently agreed to acquire Grange National Bank for $4.6 mil.</t>
  </si>
  <si>
    <t>Electro-Catheter Corp</t>
  </si>
  <si>
    <t>Mnfr electronic medical prod</t>
  </si>
  <si>
    <t>Electro-Catheter announced that an undisclosed company withdrew its offer to acquire the outstanding common shares of Electro-Catheter for $3.25 a share or a total of $17.8 mil. Subsequently, Electro- Catheter disclosed that it was seeking another buyer for the company.</t>
  </si>
  <si>
    <t>In March 1993, Electro- Catheter announced that it was seeking a buyer for the company after an undisclosed company withdrew its offer to acquire Electro-Catheter for $3.25 per share, or a total of $17.8 mil. Electro- Catheter retained Furman Selz to assist it in the search for a buyer.</t>
  </si>
  <si>
    <t>Freedom Financial Corp</t>
  </si>
  <si>
    <t>Freedom Financial (FF) exercised an option to acquire 1.75 mil common shares of Lexicon (LX) for $1. 45 per share, or a total of $2.54 mil. Upon exercise, the option increased FF's 42% stake in LX to about 75%. Previously, FF acquired a 42% stake in LX. In the event that LX was delisted from Nasdaq, the terms provided that the per share exercise price of the option would be reduced to $1.25 while the total price would remain unchanged. As a result the option would involve the purchase of 2.03 mil shares rather than 1.75 mil shares.</t>
  </si>
  <si>
    <t>Systems Center Inc</t>
  </si>
  <si>
    <t>Dvlp network mgmt software</t>
  </si>
  <si>
    <t>Sterling Software Inc</t>
  </si>
  <si>
    <t>Dvlp sys,applications software</t>
  </si>
  <si>
    <t>Sterling Software (SS) acquired Systems Center (SC) in a tax-free stock swap valued at $169.68 mil. SS offered .5417 common shares for each common share, option, or warrant held and 5.417 common shares for each of the 160,000 9% convertible redeemable Series A preferred shares held. Based on SS's closing price of $23.875 on Mar 31, the last full trading day prior to announcement, each SC common share was valued at $12.93 and each preferred share was valued at $129.33. Under a lockup clause, SS received an option for 1 mil SC shares.</t>
  </si>
  <si>
    <t>US - National City (NC) acquired the remaining 99.82% of Ohio Bancorp for $203.4 mil. Ohio shareholders were offered a choice of $28.25 in cash or .53 NC share per common share, and the total consideration was 52% comprised of shares and 48% of cash. The NC's shares ware valued based on NC's closing stock price of $53 on Apr 1, the last full trading day prior to the disclosure of terms. In March 1993, Ohio renewed its search for a buyer after merger talks with PNC Bank were terminated.</t>
  </si>
  <si>
    <t>Central &amp; Southern Holding,GA</t>
  </si>
  <si>
    <t>Central &amp; Southern Holding (CSH) terminated its search for a buyer for the company.</t>
  </si>
  <si>
    <t>Forum/Classic LP</t>
  </si>
  <si>
    <t>Own,op nursing homes</t>
  </si>
  <si>
    <t>Forum/Classic (FC) was no longer planning to acquire Forum Group (FG) for $51 mil in light of a recapitalization with an Apollo Investment led Group. FC offered $3.62 in cash per share for FG's 8.57 mil common shares. FC was also to acquire $20 mil principal amount of junior secured notes and a minimum of 2.45 mil $1000 liquidation preference Series B preferred shares. FC's acquisition of 51% in FG was to constitute the first step of the merger. FG had received offers for 51% from Dalfort, which also proposed a tender offer for th remaining 49%.</t>
  </si>
  <si>
    <t>Liberty Corp</t>
  </si>
  <si>
    <t>Own,op TV stn</t>
  </si>
  <si>
    <t>Liberty acquired all the outstanding common stock of North American National for an amended $14.75 in cash per share, or a total of $52.46 mil. Liberty had originally signed a letter of intent to acquire North American National for $15.25 in cash per share, or a total of $53. 57 mil. The transaction had received regulatory approvals.</t>
  </si>
  <si>
    <t>West Coast Bancorp</t>
  </si>
  <si>
    <t>Western Bank,Coos Bay,Oregon</t>
  </si>
  <si>
    <t>West Coast Bancorp rejected an unsolicited offer by Western Bank, Coos Bay, Oregon, to acquire all of its common shares for an indicated value of $201.7 mil. The consideration was to consist of $22 in common stock per West Coast share. The stock swap ratio was to be based upon the relative book values of each party. Based on the ratio, each West Coast share was valued in excess of $22 as of the announcement date. Alternatively, the consideration offered could have consisted of $18 in cash per share or $18 in cash and common stock.</t>
  </si>
  <si>
    <t>Price Stern Sloan Inc</t>
  </si>
  <si>
    <t>Publish children's books</t>
  </si>
  <si>
    <t>Putnam Berkley Publishing</t>
  </si>
  <si>
    <t>Publish books</t>
  </si>
  <si>
    <t>Putman Berkley Group, a unit of the MCA subsidiary of Matsushita Electric Industrial, completed its merger with Price Stern Sloan (PS) in a transaction valued at $39.07 mil. Earlier, Putnam completed a tender offer for all the common shares of PS at $9.625 in cash per share, by accepting 3.88 mil shares, or about 88% of PS' shares on a fully diluted basis. Putnam also received an option from Price Stern's founders for their remaining interests. The offer had been conditioned upon 90% of PS' shares being tendered.</t>
  </si>
  <si>
    <t>Allied Research Corp</t>
  </si>
  <si>
    <t>Manufacture ammunition</t>
  </si>
  <si>
    <t>First Allied (FA) terminated an agreement to acquire all the outstanding stock of Allied Research (AR) that it did not already own for $19 in cash per share, or a total of $80.1 mil. FA had originally offered $16.50 in per share, or a total of $69. 07 mil. FA had accumulated 9% of AR's shares. AR disclosed that it had offered to repurchase .35 mil of its outstanding shares from Saudi Arabian investor Kusai HM Al Azzawi for $15 a share, or a total of $5.25 mil. Al Azzami held 15% of AR's shares.</t>
  </si>
  <si>
    <t>MECA Software Inc</t>
  </si>
  <si>
    <t>ChipSoft Inc</t>
  </si>
  <si>
    <t>Develop prepackaged software</t>
  </si>
  <si>
    <t>ChipSoft withdrew a tender offer to acquire all the outstanding shares of MECA Software for $11.625 in cash per share or a total of $53. 37 mil because of antitrust concerns. The offer had been contingent upon 2,428,676 shares of the 5,091,150 shares outstanding being validly tendered. As of the date of announcement, holders of 50.5% of MECA stock had agreed to tender their shares. The offer was extended first from May 12 to expire on May 19 to respond to an inquiry by the antitrust division of the Justice Department.</t>
  </si>
  <si>
    <t>Boston Five Bancorp</t>
  </si>
  <si>
    <t>Citizens Financial Group, a unit of Royal Bank of Scotland Group, acquired Boston Five Bancorp (BFB) for $13 in cash per share, or a total of $92.5 mil. The per share price was adjusted upward by $.003612 because the merger was not completed by Oct 12. The consideration had been subject to an upward adjustment of $.001806 per share for each day from and including Oct 13 to and including Jan 11 and $.003611 per share for each day from and including Jan 12 to and including the completion date.</t>
  </si>
  <si>
    <t>First Fidelity Bancorporation (FF) acquired Peoples Westchester Savings Bank (PW) for $225.311 mil. PW common shareholders were given a choice of .9390 FF common shares or $40.86 in cash for each share held. The total consideration was to be comprised of 46% in stock and 54% in cash. The value was based on FF's closing price of $45.875 on Dec 16, the last trading day prior to finalized terms. Had FF's average exceeded $50.50, the exchange ratio and cash segment would be adjusted. A lockup clause provided FF with an option for 1.06 mil shares.</t>
  </si>
  <si>
    <t>FirsTier Financial Inc</t>
  </si>
  <si>
    <t>BANC ONE terminated its agreement to acquire all the outstanding common shares of FirsTier Financial in a stock swap transaction valued at $706 mil. FirsTier shareholders were to receive 1 BANC ONE common share for each of their 11,866,700 mil common shares held. Based on BANC ONE's closing stock price of $59.5 per share on Apr 16, the last full trading day prior to the announcement, each FirsTier share was valued at $59.5.</t>
  </si>
  <si>
    <t>CMS/DATA Corp(Maxon Computer)</t>
  </si>
  <si>
    <t>Quartex Corp</t>
  </si>
  <si>
    <t>Quartex raised its stake in CMS/DATA to 65% (77% voting) from 46% (65% voting) by acquiring 2,075,445 common shares for $3.881 mil, or $1. 87 per share.</t>
  </si>
  <si>
    <t>Hall-Mark Electronics Corp</t>
  </si>
  <si>
    <t>Avnet Inc</t>
  </si>
  <si>
    <t>Avnet acquired all the common stock outstanding of Hall- Mark Electronics in a transaction valued at $488.9 mil. Avnet offered $20 in cash and .45 common shares for every Hall-Mark share held and agreed to assume $143.22 mil of liabilities. Holders of warrants to purchase 109,852 common shares received the same merger consideration. All other warrant holders received reciprocal options of Avnet. The value was based on Avnet's closing stock price of $30.75 on Apr 19, the last day prior to the announcement.</t>
  </si>
  <si>
    <t>Michigan National Corp</t>
  </si>
  <si>
    <t>Retired outside director, Fred Erh had proposed that Michigan National seek a buyer for itself. The board of Michigan National after considering the proposal had decided not to seek a buyer for itself. The board decided it could best achieve its shareholder value goals on its own.</t>
  </si>
  <si>
    <t>Ameriscribe Corp</t>
  </si>
  <si>
    <t>Pvd facilities management svcs</t>
  </si>
  <si>
    <t>Pitney Bowes Inc</t>
  </si>
  <si>
    <t>Manufacture postage meters</t>
  </si>
  <si>
    <t>Pitney Bowes acquired all the outstanding shares of Ameriscribe for $14.37 in Pitney Bowes common stock per share, or a total value of $87.2 mil, including the value of options. The exact number of shares issued, 2, 257,782, was determined on the effective date, and the value was based upon the results of operations through Jun 30, 1993. In October 1992, Ameriscribe's board authorized its management to respond to acquisition inquiries made by undisclosed acquirors, and later disclosed that merger negotiations were under way.</t>
  </si>
  <si>
    <t>International Holding Capital</t>
  </si>
  <si>
    <t>Bancorp Hawaii Inc,Honolulu,HI</t>
  </si>
  <si>
    <t>Bancorp Hawaii withdrew its letter of intent to acquire all the outstanding common shares of International Holding Capital for $46 mil or about $30.71 per share. The consideration offered had been either in Bancorp Hawaii common shares or cash, or a combination of both. The transaction had been subject to both state and federal banking regulatory approval.</t>
  </si>
  <si>
    <t>Mid-State Fed S&amp;L Assn,Ocala</t>
  </si>
  <si>
    <t>AmSouth Bancorp, Birmingham, Alabama, acquired Mid-State Federal S&amp;L Assn, Ocala, Florida, for $91.78 mil in cash and common stock. AmSouth offered .8965 common shares and $13 in cash for each Mid-State share held. Based on AmSouth's closing stock price of $34.125 on Apr 22, the last trading day prior to the announcement of the agreement, each Mid-South share was valued at $43.59. Mid-State disclosed in April 1993 that it was in negotiations with various undisclosed parties who had expressed interest.</t>
  </si>
  <si>
    <t>Southeastern Public Service Co</t>
  </si>
  <si>
    <t>Retail liquefied petroleum gas</t>
  </si>
  <si>
    <t>Triarc Cos Inc</t>
  </si>
  <si>
    <t>Pvd hldg svcs;own,op rest</t>
  </si>
  <si>
    <t>Triarc Cos, formerly known as DWG, acquired the remaining 29%, or 3.36 mil common shares, in its Southeastern Public Service (SP) unit for a revised $86. 14 mil. Triarc offered 2,691, 822 common shares for each SP share. Based on DWG's closing stock price of $32 a share on Sep 13, the last full trading day prior to disclosure of amended terms, each SP share was valued at $25.6. The terms, which originally included .55 common shares and $6 in a note per SP share for a total of $56.96 mil, were amended consequent to settlement of a suit filed on SP's behalf.</t>
  </si>
  <si>
    <t>Comarco Inc</t>
  </si>
  <si>
    <t>Mnfr commun equip</t>
  </si>
  <si>
    <t>CACI International terminated negotiations to merge with Comarco through a stock swap. The two companies had originally agreed to merge to form a new company, Comarco International, in a transaction valued at $24.4 mil, based on CACI's closing stock price of $4.25 on Apr 26. CACI shareholders would have received 1 newly issued Comarco International common share for each of their common shares while Comarco shareholders would have received 1.075 Comarco International shares for each of their common shares.</t>
  </si>
  <si>
    <t>SouthTrust acquired all the outstanding common stock of BMR Financial Group for an amended $6.3 per share in cash, or a total of $16 mil. SouthTrust had originally offered $6.25 per share. The transaction had received approval from the Federal Reserve Board and shareholders.</t>
  </si>
  <si>
    <t>Industrial Training Sys Corp</t>
  </si>
  <si>
    <t>Audiovisual training programs</t>
  </si>
  <si>
    <t>Wesstcott Communications acquired all the outstanding shares of Industrial Training Systems for $3 in cash per share, or a total of $3.2 mil. The transaction had been subject to regulatory as well as Industrial Training Systems shareholder approval.</t>
  </si>
  <si>
    <t>Regency Bancshares Inc</t>
  </si>
  <si>
    <t>Southern National, Lumberton, North Carolina (SN) acquired Regency Bancshares (RB) in a stock swap transaction valued at $47.43 mil. RB common shareholders and option holders received 1.81197 SN common shares for each RB share held. Based on SN's closing stock price of $20. 125 on Jan 31, the last full trading prior to the adjustment of terms, each RB share had an indicated value of $36.47. The final ratio was adjusted from the original 1.7681 SN share for each RB share based on SN's stock prices during the period just prior to the closing date.</t>
  </si>
  <si>
    <t>Cobra Industries Inc</t>
  </si>
  <si>
    <t>Mnfr travel trailers,campers</t>
  </si>
  <si>
    <t>Lincolnshire Management Inc</t>
  </si>
  <si>
    <t>Lincolnshire Management acquired Cobra Industries. Hill Thompson Capital Markets was retained to advise Lincolnshire Management.</t>
  </si>
  <si>
    <t>America Online Inc</t>
  </si>
  <si>
    <t>Provide Internet services</t>
  </si>
  <si>
    <t>Paul Allen's interest in acquiring up to the remaining 75.1% interest, or about 4.3 mil shares in America Online (AO) that he did not already own was thwarted by a poison pill mechanism adopted to prevent any single shareholder from amassing more than a 25% stake in the company. Allen disclosed that further stake purchases, either through open market or privately negotiated, were being considered. Any transaction was subject to regulatory approval. As of Sepember 1994, Allen divested his remaining 7.8% stake or 568,000 shares in AO.</t>
  </si>
  <si>
    <t>United Federal Bancorp</t>
  </si>
  <si>
    <t>PNC Bank acquired all the outstanding common shares and options of United Federal Bancorp (UFB) for $32.5 in cash per share, or a total of $154.68 mil. The consideration offered was determined by the PNC board to be $32.5 in cash rather than the alternative of 1 common share. The transaction had received all required regulatory approvals as well as UFB shareholder approval. Under a lockup agreement, PNC received an option to acquire a 19.99% stake in UFB stock.</t>
  </si>
  <si>
    <t>Rochester Community Savings Bk</t>
  </si>
  <si>
    <t>Rochester Community Savings Bank, Rochester, New York disclosed that an undisclosed party withdrew its offer to acquire the company. Rochester Community subsequently disclosed its intention to remain independent. It was rumored that First Empire or KeyCorp had been interested in acquiring Rochester Community.</t>
  </si>
  <si>
    <t>HDR Power Systems Inc</t>
  </si>
  <si>
    <t>Mnfr electrical power systems</t>
  </si>
  <si>
    <t>Solidstate Controls Inc</t>
  </si>
  <si>
    <t>Mnfr UPS systems</t>
  </si>
  <si>
    <t>Solidstate Controls, a subsidiary of Marmon Holdings, acquired all the outstanding common shares of HDR Power Systems for $3.25 in cash per share, or a total of $6.45 mil. The transaction had been subject to the approval of at least 80% of HDR shareholders.</t>
  </si>
  <si>
    <t>InterFirst Bankcorp Inc</t>
  </si>
  <si>
    <t>Standard Federal Bank, Troy, Michigan (SFB) acquired all the outstanding common shares and options of InterFirst Bankcorp (IB) for an amended $14.26 in cash per share, or a total of $32.51 mil. SFB previously offered $13.56 and $13.78 per share. The purchase price had been subject to adjustment to the extent that the estimated value of IB varied from $26.5 mil on the final valuation date of Sep 30. IB also granted SFB an option for 420, 000 new IB share under a lockup agreement.</t>
  </si>
  <si>
    <t>Olsten Corp</t>
  </si>
  <si>
    <t>Pvd temporary staffing svcs</t>
  </si>
  <si>
    <t>Olsten (OC) acquired Lifetime (LI) in a stock swap valued at $607 mil, including $294 mil in assumed debt. OC exchanged 1.2 common shares for each of LI's outstanding shares. Based on OC's closing stock price of $27.25 on May 7, the last full trading day prior to the announcement, each LI share was valued at $32.7. The transaction had been subject to a 5% collar, up or down, and regulatory approval. In March 1993, LI announced that it would seek a buyer for the company, after refusing Abbey Healthcare Group's sweetened $257.51 mil bid.</t>
  </si>
  <si>
    <t>21st Century Insurance Co</t>
  </si>
  <si>
    <t>An investor group comprised of Compaq Computer, Sevin Rosen Funds and InterWest Partners acquired more than 50% of the outstanding stock of 21 CenNet for $5 mil.</t>
  </si>
  <si>
    <t>Wisconsin Southern Gas Co</t>
  </si>
  <si>
    <t>Wisconsin Energy Corp</t>
  </si>
  <si>
    <t>Electric,gas utility company</t>
  </si>
  <si>
    <t>Wisconsin Energy (WE) acquired all the outstanding common shares of Wisconsin Southern Gas (WSG) in a tax- free stock swap transaction valued at $45.06 mil. Each WSG common shareholder received 1.633 WE common share for each WSG share held. Based on the WE's closing stock price of $27.5 on Dec 31, the last full trading day prior to the annoucement, each WSG share was valued at $44.91. The share ratio had been subject to a collar of between 1.483 and 1.8167 WE shares per WSG share. The transaction had been subject to regulatory approval.</t>
  </si>
  <si>
    <t>Rolled Alloys Inc</t>
  </si>
  <si>
    <t>Whl metal prod</t>
  </si>
  <si>
    <t>Rolled Alloys acquired all the outstanding common shares of Atek Metals Center for $4. 51 in cash per share and all 2,000 shares of its convertible preferred stock for $2 mil in cash for a total of $18.8 mil. Atek Metals had retained Ohio Co for a fairness opinion. The transaction was subject to regulatory approval as per the Hart-Scott-Rodino Act.</t>
  </si>
  <si>
    <t>HMO America Inc</t>
  </si>
  <si>
    <t>United HealthCare Corp</t>
  </si>
  <si>
    <t>United HealthCare (UH) acquired HMO America (HMO) in a stock swap valued at $372.2 mil. HMO shareholders received .64 common share for each of HMO's 10.25 mil actual common and 6% cumulative convertible voting preferred shares outstanding. Based on UH's closing stock price of $56.75 on May 12, the last full trading day prior to the announcement, each HMO share was valued at $36.32. The consideration offered also included option holders reciprocal UH stock options. The transaction was accounted for as a pooling of interests.</t>
  </si>
  <si>
    <t>Omni Films International Inc</t>
  </si>
  <si>
    <t>Mnfr motion theater systems</t>
  </si>
  <si>
    <t>Showscan Corp</t>
  </si>
  <si>
    <t>Showscan withdrew from an agreement to merge with Omni Films International (OFI) in a stock swap merger of equals. Both Showscan and OFI were to have received one share of the newly combined entity per share held.</t>
  </si>
  <si>
    <t>Resurgens Communications Group acquired LDDS Communications through a stock swap merger transaction valued at $1961.3 mil. Resurgens had offered .9595 of a share for each common share held, 4 Series 2 preferred shares for each preferred share held, shares of Series 1 preferred stock for each Class A common share held, and reciprocal stock options. The value was based on Resurgens' closing stock price of $38.875 on May 13, the last full trading day prior to the announcement of the accord. Upon consummation, the merged firm was known as LDDS Communications.</t>
  </si>
  <si>
    <t>First AL Bancshares,AL</t>
  </si>
  <si>
    <t>First Alabama Bancshares (FAB) acquired Secor Bank (SB) in a stock swap valued at $102.53 mil. FAB offered .684 FAB share for each of SB share outstanding. Based on FAB's closing stock price of $32.375 on Dec 31, the last full trading day prior to the disclosure of adjusted terms, each SB share was valued at $22.14. The share exchange ratio was subject to a collar if FAB's share price fell below $25.5 or rose above $33. Earlier in May 1993, SB disclosed that it had received an unsolicited offer from an undisclosed company.</t>
  </si>
  <si>
    <t>Wellington Leisure Prod Inc</t>
  </si>
  <si>
    <t>Mnfr fishing,recreation prod</t>
  </si>
  <si>
    <t>Standard Industries Inc</t>
  </si>
  <si>
    <t>Provide recycling service</t>
  </si>
  <si>
    <t>Standard Industries (SI) acquired the remaining .453 mil common shares, or a 11.6% stake, that it did not already own in Wellington Leisure Products, for an amended $7.625 a share, or a total of $3.45 mil in cash. As a result of the transaction, Wellington was delisted. SI had originally offered $7.25 a share or a total of $3.28 mil. Robinson Humphrey advised the special committee to Wellington's board and rendered a fairness opinion.</t>
  </si>
  <si>
    <t>Zions First Natl Bk,Salt Lake</t>
  </si>
  <si>
    <t>Coml bk</t>
  </si>
  <si>
    <t>Zions First National Bank, Salt Lake City, Utah (ZF), a unit of Zions Bancorp, acquired the outstanding common stock of Discount Corp of New York (DC) for $8 in cash per share or a total of $65.3 mil, based on a post closing audit. ZF had offered an initial $7 in cash per share and an extra $1 per share plus the amount above $8.375 if DC's net asset value exceeded $8.375 or $1 minus the amount below $7.75 if the net asset value was less than $7.75. In February 1993, DC began a search for a buyer.</t>
  </si>
  <si>
    <t>Kentucky Central Life Ins Co</t>
  </si>
  <si>
    <t>Jefferson-Pilot acquired Kentucky Central Life Insurance (KCL). Previously. KCL regulators were in negotiations with 12 financial companies who were interested in acquiring KCL. KCL disclosed in February 1993 that they were seeking a buyer for the company after having been seized by state regulators. Bankers Trust and Creamer Realty were retained to assist in the search. Prior to the seizure, an investor group including the WHR Workout funds withdrew an offer to acquire a minority interest.</t>
  </si>
  <si>
    <t>An investor group comprised of Schnitzer Trust Partners (STP) and Martin Trust Partners (MTP) completed a cash tender offer for 66.5% of Lincoln NC Realty by accepting 1,307,119 shares for $4.90 per share, or a total of $6.4 mil. STP acquired 746,925 shares (38%) for $3.66 mil and MTP purchased 560,194 shares (28. 5%) for $2.74 mil. The offer had been conditioned upon the tender of a minimum of 60% of the outstanding shares.</t>
  </si>
  <si>
    <t>Thousand Trails Inc(USTrails)</t>
  </si>
  <si>
    <t>Own and operate campgrounds</t>
  </si>
  <si>
    <t>US Trails Inc</t>
  </si>
  <si>
    <t>Own and operate summer camps</t>
  </si>
  <si>
    <t>USTrails acquired the remaining 20%, or about 4.58 mil common shares, in Thousand Trails that it did not already own for an amended $1.55 in cash per share, or a total of $7.1 mil. USTrails had originally offered $1.1 per share, or a total of $5 mil.</t>
  </si>
  <si>
    <t>AMAX Inc</t>
  </si>
  <si>
    <t>Mnfr aluminum products; mining</t>
  </si>
  <si>
    <t>Cyprus Minerals Co</t>
  </si>
  <si>
    <t>Copper mining company</t>
  </si>
  <si>
    <t>Cyprus (CM) acquired AMAX via a $2.657 bil merger. AMAX common shareholders received . 5 CM common share for each share, subject to a collar. If CM were trading over $32, AMAX holders would receive $16 in CM stock or at least . 4 shares. If CM were below $24, AMAX could either accept $12 in CM stock, or .5 CM shares. Based on CM's $27.625 closing price on May 24, the last trading day prior to disclosure, the stock portion was valued at $1.224 bil. CM also offered 0.66 convertible preferred share for each such AMAX share and assumed $1.2 bil in liabilities.</t>
  </si>
  <si>
    <t>CPI Corp</t>
  </si>
  <si>
    <t>Pvd portrait photography svcs</t>
  </si>
  <si>
    <t>In May 1993, a shareholder group comprised of Systematic Financial Management and Cash Flow Investors proposed that CPI seek a buyer for some of its assets or the entire company. The group held a 10. 2% stake in CPI.</t>
  </si>
  <si>
    <t>Cal Rep Bancorp Inc</t>
  </si>
  <si>
    <t>First Interstate Bancorp (FI) acquired all the outstanding common shares of Cal Rep Bancorp (CR) in a stock swap transaction valued at $68 mil. FI exchanged $68 mil of its common stock, consisting of 1. 2 mil common shares, for all the shares of CR. The transaction was subject to CR shareholder approval, and was expected to be completed by Dec 31. The Federal Reserve Board had approved the transaction. The transaction was still subject to state banking regulatory approval</t>
  </si>
  <si>
    <t>T2 Medical Inc</t>
  </si>
  <si>
    <t>Home infusion therapy services</t>
  </si>
  <si>
    <t>A management-led investor group disclosed that it had terminated its efforts to acquire T2 Medical. Terms were not disclosed.</t>
  </si>
  <si>
    <t>Amoskeag Co(Dumaines Trust)</t>
  </si>
  <si>
    <t>Provide transportation svcs</t>
  </si>
  <si>
    <t>Springs Industries Inc</t>
  </si>
  <si>
    <t>Manufacture finished fabrics</t>
  </si>
  <si>
    <t>Springs Industries (SI) withdrew its offer to acquire the outstanding common stock of Amoskeag (AK), a majority owned unit of Dumaines Trust (DT), for $35 per share, or a total of $120.4 mil. SI offered $35 in cash per share for 33% of AK's shares and $35 in SI Class A common shares for 67% of AK's shares. The exchange ratio of SI shares offered for each AK share was to be determined by dividing $35 by the average closing price of SI stock for 30 days prior to completion. Fieldcrest Cannon acquired AK, which owned 81% of Fieldcrest, for $137.6 mil in December.</t>
  </si>
  <si>
    <t>Fieldcrest Cannon Inc</t>
  </si>
  <si>
    <t>Own,op broadwoven fabric mills</t>
  </si>
  <si>
    <t>Springs Industries (SI) withdrew its offer to acquire the outstanding common stock of Fieldcrest Cannon (FC), an 84% owned unit of Dumaines Trust's (DT) majority owned Amoskeag (AK), for $27.5 per share, or a total of $332.27 mil. SI offered $27.5 in cash per share for 33% of FC's common shares and $27.5 in SI Class A common stock for 66% of FC's shares. The exchange ratio of SI shares offered for each FC share was to have been determined by dividing $27.5 by the average closing price of SI for 30 days prior to completion. SI also offered to acquire AK for $120.4 mil.</t>
  </si>
  <si>
    <t>Interferon Sciences Inc</t>
  </si>
  <si>
    <t>Mnfr pharm</t>
  </si>
  <si>
    <t>D Blech &amp; Co Inc</t>
  </si>
  <si>
    <t>Merchant banking firm</t>
  </si>
  <si>
    <t>D Blech (DB) acquired a 69. 3% interest in Interferon Services (IS), a 53% owned unit of National Patent Development (NPD), for $10 mil. The transaction agreement called for DB to acquire 2.5 mil units in IS. Each unit consisted of two IS common shares and two seven year warrants, one which would allow DB to acquire one IS common share for $3.25 and the other that would allow DB to acquire one IS share for $5. The transaction was subject to regulatory approval.</t>
  </si>
  <si>
    <t>OCOM Inc(NTL Inc)</t>
  </si>
  <si>
    <t>International CableTel Inc</t>
  </si>
  <si>
    <t>International CableTel acquired OCOM in a one-for- one stock swap valued at $77. 6 mil as part of joint venture agreement formed to acquire the British cable and telephone interests of Insight Communications (IC). The value was based on OCOM's closing price of $11.625 on May 28, the last full trading day prior to the announcement. Prior to the merger, OCOM was to acquire a 51% interest in three of the companies that comprised IC's cable and telephone interests.</t>
  </si>
  <si>
    <t>Railroadmen's Federal S&amp;L Assn</t>
  </si>
  <si>
    <t>Huntington Bancshares (HB) acquired Railroadmen's Federal S&amp;L Assn, Indianapolis (FSL), in a tax- free stock swap valued at $82. 92 mil, based on HB's closing stock price of $22.625 on Dec 23, the last full trading day prior to the adjustment of terms. HB exchanged 1.8293 of its own shares for each FSL share. The final exchange ratio was based on the average closing price of HB common stock for the 10 trading day period ending 2 trading days before the closing date. The ratio had previously been subject to a collar of 1.43 to 1.75 HB shares.</t>
  </si>
  <si>
    <t>CB Bancshares Inc,Honolulu,HI</t>
  </si>
  <si>
    <t>CB Bancshares (CBB) acquired all of the outstanding stock of International Holding Capital (IHC) for an amended $34.5 per share, or a total of $50.93 mil. CCB offered $15.53 in cash and $18.97 in common shares for each IHC share held and agreed to assume outstanding options. CB had originally offered $31 per share. In June 1993, Bancorp Hawaii withdrew a letter of intent to acquire the outstanding common shares of IHC for for $46 mil.</t>
  </si>
  <si>
    <t>Liberte Investors</t>
  </si>
  <si>
    <t>US - Bankrupt Liberte Investors (LBI) completed its debt restructuring with creditors (CR) who received 12.154 mil new common shares. Upon completion, CR received 100% of the restructured LBI.</t>
  </si>
  <si>
    <t>Applied Immune Sciences Inc</t>
  </si>
  <si>
    <t>Mnfr blood therapeutic systems</t>
  </si>
  <si>
    <t>Rhone-Poulenc Rorer Inc</t>
  </si>
  <si>
    <t>Rhone-Poulenc Rorer (RPR), a unit of French state-owned Rhone-Poulenc, exercised its option to raise its stake in Applied Immune Sciences (AIS) to 59% by acquiring 6 mil shares at prices ranging from $21 to $25 per share. Based on the range high price, the transaction had an indicated value of $150 mil. The option was to have expired June 30, 1997. RPR also acquired an initial 37% interest in AIS for $113 mil. AIS completed a self-tender offer for 3.1 mil or 27% of its common shares for $30 per share, or a total value of $93 mil.</t>
  </si>
  <si>
    <t>First Bancorp of Indiana Inc</t>
  </si>
  <si>
    <t>Huntington Bancshares (HB) acquired First Bancorp Indiana (FAB) for a total of $48.6 mil. FAB shareholders had a choice of $42.7084 in cash or 1.9722 HB common stock for each FAB share held, resulting in about $18.7 mil in cash and the remaining FAB shares exchanged for 1.3 mil HB common shares. The value of the common shares was based on HB's closing stock price of $23 on Dec 28, the last full trading day prior to the announcement of exact terms. In April 1993, FAB retained Kemper Securities to assist in its search for a buyer.</t>
  </si>
  <si>
    <t>United Waste Systems Inc</t>
  </si>
  <si>
    <t>United Waste Systems was no longer seeking a buyer for the company. United Waste Systems disclosed in June 1993 that it had retained Morgan Stanley to help it assess its options including a possible search for a buyer for the company. Speculation arose in September that negotiations with undisclosed prospective acquirors were proceeding.</t>
  </si>
  <si>
    <t>MicroProse Inc</t>
  </si>
  <si>
    <t>Develop entertainment software</t>
  </si>
  <si>
    <t>MicroProse terminated its agreement with certain institutional investors for the acquisition of a majority interest in the company.</t>
  </si>
  <si>
    <t>The New York Times Co</t>
  </si>
  <si>
    <t>New York Times (NYT) acquired all the outstanding common shares of Affiliated Publications (AP), parent of the Boston Globe, for $15 per share, or a total of $1.0925 bil. NYT offered AP class A shareholders a choice of $15 in cash or common shares with up to 15% of the consideration in cash and the remainder in NYT common stock. Class B shareholders received NYT common stock in exchange for their shares. AP was controlled by the Taylor and Jordan families. In May 1993, the transaction had been rumored.</t>
  </si>
  <si>
    <t>Galen Health Care Inc</t>
  </si>
  <si>
    <t>Columbia Healthcare Corp</t>
  </si>
  <si>
    <t>Columbia Hospital (CH) acquired Galen Health Care (GHC) in a tax-free reverse stock swap valued at $4.188 bil. GHC common shareholders received .775 CH common share per share held. Based on CH's closing stock price of $25.75 per share on Jun 9, the last full trading day prior to announcement, each GHC share was valued at $19.96. The consideration included $1 bil in assumed liabilities. Also, GHC option holders received reciprocal stock options in CH. The merger was accounted for as a pooling of interests.</t>
  </si>
  <si>
    <t>RKS Financial Group Inc</t>
  </si>
  <si>
    <t>Securities firm;financial svcs</t>
  </si>
  <si>
    <t>An investor group comprised of Rafi Khan, Christopher Sues and Walter Senior acquired a 51% majority interest in RKS Financial Group. Terms were not disclosed.</t>
  </si>
  <si>
    <t>Equivest Finance Inc</t>
  </si>
  <si>
    <t>Provide insurance brkg svcs</t>
  </si>
  <si>
    <t>Atlantic Investment Partners</t>
  </si>
  <si>
    <t>Atlantic Investment Partners acquired a 70% interest, or 5 mil common shares of Equivest Finance for $2 mil.</t>
  </si>
  <si>
    <t>Goody Products Inc</t>
  </si>
  <si>
    <t>Mnfr hair-care products</t>
  </si>
  <si>
    <t>Newell acquired the remaining 87% interest in the outstanding common stock of Goody Products that it did not already own, for $24.75 in cash per share, or a total of $144.8 mil. The agreement had provided for a $7 mil breakup fee in the event any negotiations initiated prior to Aug 1 resulted in a completed acquisition by a third party prior to Jun 12, 1994. In addition, Goody granted Newell an option to acquire 1.34 mil common shares, or a 19.9% stake, for $24.75 per share as part of a lockup agreement.</t>
  </si>
  <si>
    <t>IVAX acquired the outstanding common stock of Johnson Products (JP) in a stock swap transaction valued at $62.85 mil. IVAX offered one common share for each JP share held. Based on IVAX's closing stock price of $25.25 on Jun 11, the last full trading day prior to the announcement, each JP share was valued at $25.25. The exchange ratio, based on a collar agreement, would have changed if IVAX's closing stock price upon completion was not between $24.5 and $29. A termination fee of $1.5 mil would have been paid to IVAX if the transaction was not completed.</t>
  </si>
  <si>
    <t>Vari-Care Inc</t>
  </si>
  <si>
    <t>Living Centers of America Inc</t>
  </si>
  <si>
    <t>Pvd long-term health care svcs</t>
  </si>
  <si>
    <t>Living Centers of America acquired all the outstanding common shares of Vari-Care for $8 per share, or a total of $71 mil, including the assumption of $28 mil in liabilities. Living Centers of America offered $3.3653 in cash and 0.2239 common shares for each Vari-Care share outstanding. Living Centers of America issued 1.2 mil common shares and satisfied the balance of $17.9 mil in cash. The transaction received regulatory approval.</t>
  </si>
  <si>
    <t>CYBERTEK Corp</t>
  </si>
  <si>
    <t>Develop insurane software</t>
  </si>
  <si>
    <t>Policy Management Systems Corp</t>
  </si>
  <si>
    <t>Dvlp,whl insurance software</t>
  </si>
  <si>
    <t>Policy Management Systems (PM) completed a cash tender offer for all of the common shares of CYBERTEK for $15.10 per share, or a total of $61. 3 mil by accepting 3.87 mil shares, or about 96.8% of CYBERTEK's shares outstanding. The remaining shares not tendered were to be converted into $15.10 in cash per share. The offer had been conditional upon at least 66. 66% of CYBERTEK's shares being validly tendered. Under a lockup clause, PM was granted an option for a 42% stake in CY. The value included $1 mil in non- competition payments to officers of CYBERTEK.</t>
  </si>
  <si>
    <t>Commercial Federal,Omaha,NE</t>
  </si>
  <si>
    <t>A proposal for Commercial Federal to initiate a seeking buyer program for the company, which was presented  to the board and shareholders by CAI in June 1993, was withdrawn. CAI held a 9.93% stake in the company.</t>
  </si>
  <si>
    <t>Costco Wholesale Corp</t>
  </si>
  <si>
    <t>Own,op warehouse club stores</t>
  </si>
  <si>
    <t>Costco Wholesale (CW) merged with Price (PR) in a $1.67 bil transaction. PR common shareholders received 2.13 common shares in the new company, Price/Costco, per share held, while CW shareholders received 1 new share per each share held. Based on CW's closing stock price of $17 on Jun 15, the last full trading day prior to announcement, each PR share was valued at $36.21. CW and PR were to have held 52% and 48%, respectively, of Price/Costco.</t>
  </si>
  <si>
    <t>Apache Corp</t>
  </si>
  <si>
    <t>Apache (AP) acquired a 61.2% interest, or 4.231 mil of the common shares outstanding of Hadson Energy Resources (HER) for $14 per share, or a total value of $59.23 mil. AP acquired 3,020,294 of the 4. 231 mil shares, or a 47.5% stake, from Hadson for $42 mil and acquired the remaining balance from institutional and other shareholders. The purchase price would increase to $15 per share if AP acquired over 80% of HER's stock in the next year. In addition, AP offered to acquire the remaining 33.5% interest for $39.3 mil.</t>
  </si>
  <si>
    <t>Apache acquire the remaining 33.5% or 2.62 mil common shares of Hadson Energy Resources (HR) that it did not already own for $15 per share or a total of $39.3 mil. HR shareholders were given a choice of $15 in cash or $15 in Apache common stock, consisting of .574 shares, for each share held. In July 1993, Apache acquired 66.5% or 4.231 mil common shares of HR for $59.23 mil. HR shareholders received $14 for each common share with the per share price increasing to $15 if Apache's ownership rose to 80% within twelve months.</t>
  </si>
  <si>
    <t>Spectrum Holobyte Inc</t>
  </si>
  <si>
    <t>Dvlp entertainment software</t>
  </si>
  <si>
    <t>MicroProse (MP) acquired the outstanding share capital of Spectrum Holobyte (SH) in a reverse stock swap valued at $50.96 mil. MP was to exchange .6 common share for each SH common share, and 9. 58 mil common shares for all of SH's convertible preferred stock, except the series B. Based on MP's closing share price of $5 on Jun 16, each SH share was valued at $3. SH was also granted a warrant to acquire up to 1.67 mil MP shares at $6.1875 each under a lockup agreement. Spectrum also received a conditional option from MP chairman John Stealey for his 55.6% interest.</t>
  </si>
  <si>
    <t>Superior Teletec Inc</t>
  </si>
  <si>
    <t>Mnfr alum,fiber optic cables</t>
  </si>
  <si>
    <t>Alpine Group Inc</t>
  </si>
  <si>
    <t>Mnfr,whl telecommun wire</t>
  </si>
  <si>
    <t>Alpine Group (AG) acquired Superior Teletec (ST) in a stock swap transaction valued at $57.77 mil. ST shareholders were given a choice of .461 AG shares and $2.5 in cash or .696 AG shares per ST share held, with holders of 6.8 mil shares (78%) electing the cash and stock option. Based on AG's closing stock price of $9.125 on Nov 9, the last full trading day prior to the completion, each ST share was valued at $6.71. The transaction was contingent upon an AG raising its interest in Alpine Polyvision to 98% for $24.345 mil.</t>
  </si>
  <si>
    <t>Pioneer Bancorp Inc</t>
  </si>
  <si>
    <t>First Citizens Bancshares,TN</t>
  </si>
  <si>
    <t>First Citizens Bancshares, Raleigh, North Carolina acquired all the outstanding common shares of Pioneer Bancorp for $2.18 in cash per share, or a total of $3.8 mil. The transaction received regulatory approval.</t>
  </si>
  <si>
    <t>Natl Health Laboratories Inc</t>
  </si>
  <si>
    <t>Pvd diagnostic laboratory svcs</t>
  </si>
  <si>
    <t>National Health Laboratories (NHL) terminated an agreement to merge with Damon for $16 per share or a total of $258. 3 mil, via two steps. NHL had launched a tender offer for 8. 9 mil shares or 55% of Damon's shares outstanding for $16 in cash per share to be followed by a stock swap in which NHL was to have offered $16 in its common stock for each of the remaining 7.2 mil shares or 45% of Damon's shares outstanding, with no more than 1.0667 and no less than 0.8 NHL shares exchanged. Corning acquired Damon for $23 per share, or a total of $565.3 mil.</t>
  </si>
  <si>
    <t>Rocky Mountain Helicopters Inc</t>
  </si>
  <si>
    <t>Helicopter transportation svcs</t>
  </si>
  <si>
    <t>AH Aviation</t>
  </si>
  <si>
    <t>Pvd air medical transp svcs</t>
  </si>
  <si>
    <t>AH Aviation acquired a 57% majority interest in Rocky Mountain Helicopters (RMH). A fairness opinion was provided to RMH by Houlihan, Dorton Jones Nicolatus and Stewart. The transaction was part of RMH's restructuring program begun in April 1993.</t>
  </si>
  <si>
    <t>KeyCorp withdrew its offer to acquire all the outstanding common shares of Evergreen Bancorp for an undisclosed amount of common stock. In May 1993, Evergreen disclosed that it had received merger offers from undisclosed acquirors.</t>
  </si>
  <si>
    <t>Comcast Cablevision of Phila</t>
  </si>
  <si>
    <t>Own, operate cable TV system</t>
  </si>
  <si>
    <t>Comcast Corp</t>
  </si>
  <si>
    <t>Pvd cable TV svcs</t>
  </si>
  <si>
    <t>Comcast acquired the remaining 8% interest, or 150, 000 common shares in its Comcast Cablevision of Philadelphia subsidiary it did not already own for an $95 in cash per share or a total of $14.25 mil.</t>
  </si>
  <si>
    <t>Costar Corp</t>
  </si>
  <si>
    <t>Mnfr medical products</t>
  </si>
  <si>
    <t>Corning Inc</t>
  </si>
  <si>
    <t>Mnfr,whl optical fiber,cable</t>
  </si>
  <si>
    <t>Corning (CG) acquired Costar (CR) in a $167.39 mil stock swap merger. CR shareholders received .79239 CG common shares for each share held. Based on CG's closing share price of $30.75 on Sep 7, the last full trading day prior to disclosure of terms, each CR share was valued at $24.36. The ratio had been subject to CG's price remaining within a collar of $30.6 to $35.7 per share. Also, the Morningstar family, which held 32%, granted CG a lockup option to acquire its stake for $25 per share. The transaction was to be accounted for as a pooling of interests.</t>
  </si>
  <si>
    <t>Furr's/Bishop's Inc</t>
  </si>
  <si>
    <t>Own,op restaurants</t>
  </si>
  <si>
    <t>KL Group Inc</t>
  </si>
  <si>
    <t>KL Group, an investor group led by Kevin E Lewis, terminated its options to acquire up to 3 mil Class B common shares within 6 months at $.96 per share or $2.88 mil, and 4.4 mil shares within 3 years at prices ranging between $1.81 and $2. 46 per share, of Furr's/ Bishop's (FB). If all the options had been exercised, the transaction would have had a total value of $13.704 mil and KL Group would have held a 75% interest in the company. Concurrently, KL Park acquired 6.96 mil FB Class B common shares. Previously, KL Group acquired 1.1 mil shares in FB.</t>
  </si>
  <si>
    <t>Rax Restaurants Inc</t>
  </si>
  <si>
    <t>Citicorp Venture Capital Ltd</t>
  </si>
  <si>
    <t>Citicorp Venture Capital, a unit of Citicorp, agreed to assume a 60% interest, or about 225,600 common shares, in bankrupt Rax Restaurants in exchange for a reduction in debt.</t>
  </si>
  <si>
    <t>Corning (CO) acquired Damon for $565.3 mil. CO completed a tender offer for all of the common shares of Damon for $23 in cash per share, or a total of $373 mil, by accepting 16,221,969 shares, or about 98.63% of Damon's shares outstanding. CO also assumed $187 mil of liabilities and obligations for outstanding options. The remaining shares not tendered were exchanged for $23 in cash. CO had planned to offer both cash and stock to maintain a tax-free status. National Health Laboratories had terminated its agreement to acquire Damon for $258.3 mil.</t>
  </si>
  <si>
    <t>Lone Star Industries Inc</t>
  </si>
  <si>
    <t>Manufacture cement,concrete</t>
  </si>
  <si>
    <t>US - Bankrupt Lone Star Industries Inc (LSI), a manufacturer of cement and concrete, completed its debt restructuring with creditors (CR) who received 10.2 mil new common shares. Upon completion, CR held 85% of the restructured LSI.</t>
  </si>
  <si>
    <t>American Network Group Inc</t>
  </si>
  <si>
    <t>Own and operate radio stations</t>
  </si>
  <si>
    <t>Las Vegas Entertainment</t>
  </si>
  <si>
    <t>Provide pay television svcs</t>
  </si>
  <si>
    <t>Las Vegas Entertainment Network withdrew its agreement to acquire American Network Group. Terms were not disclosed.</t>
  </si>
  <si>
    <t>FloridaBank A Federal Savings</t>
  </si>
  <si>
    <t>AmSouth Bancorp, Birmingham Alabama acquired FloridaBank A Federal Savings Bank in a stock swap transaction valued at $27.3 mil. FloridaBank shareholders were to receive . 49011 AmSouth shares per share held. Based on AmSouth Bancorp's closing stock price of $32.875 on Jun 29, the last full trading day prior to the announcement, each FloridaBank share had an indicated value of $16.11. The transaction had been accounted for as a pooling of interests.</t>
  </si>
  <si>
    <t>Quantum Chemical Corp</t>
  </si>
  <si>
    <t>Mnfr polyethylene, propane gas</t>
  </si>
  <si>
    <t>Hanson PLC</t>
  </si>
  <si>
    <t>Mnfr aggregates,concrete</t>
  </si>
  <si>
    <t>Hanson acquired all the outstanding common shares of Quantum Chemical (QC) in a tax-free transaction valued at $3.22 bil, including the assumption of $2.5 bil of liabilities. QC shareholders received 1.176 American depositary shares for each share held, with each ADR representing five ordinary shares. Based on Hanson's closing ADR price of $17 per share on Jun 29, the last full trading day prior to the disclosure, each QC share was valued at $20, for a total of $719.65 mil.</t>
  </si>
  <si>
    <t>Quartex acquired the remaining 35% of CMS/Data that it did not already own through a stock swap valued at $26.74 mil. Each publicly- held CMS/Data common share was exchanged for 5.6 Quartex common shares valued at $26. 74 mil. Each CMS was valued at $7 based on Quartex's closing stock price of $1.25 on Apr 15, the first full trading day of Quartex. The transaction had been subject to regulatory approval. Concurrently, Quartex changed each Class A non-voting share, each Class B multiple voting share and each Series 1 preferred share into one Quartex common share.</t>
  </si>
  <si>
    <t>Elmwood Bancorp Inc</t>
  </si>
  <si>
    <t>Keystone Finl,Harrisburg,PA</t>
  </si>
  <si>
    <t>Bank and insurance holding co</t>
  </si>
  <si>
    <t>Keystone Financial (KF) acquired Elmwood Bancorp (EB) in a stock swap valued at $34. 06 mil. KF offered .74 share for each of EB common share outstanding. Based on KF's closing stock price of $31.5 on Jul 1, the last full trading day prior to the announcement, each EB share was valued at $23.31. The transaction had been subject to regulatory approval. EB had announced in April 1993 that it was seeking a buyer for itself to enhance shareholder value and retained Ryan Beck as advisor.</t>
  </si>
  <si>
    <t>EnClean Inc</t>
  </si>
  <si>
    <t>Pvd indl cleaning services</t>
  </si>
  <si>
    <t>Rust International, a unit of WMX Technologies' Chemical Waste Management subsidiary, completed its merger with EnClean in a transaction valued at $57.2 mil. Earlier, Rust had completed its tender offer for all the common shares and options of EnClean for $6.75 in cash per share, by accepting 5.721 mil shares, or 86% of EnClean's stock. In addition, all of the $46 mil in principal amount of EnClean convertible notes were exchanged for $375 in cash per $1000 principal, or a total of $17.25 mil.</t>
  </si>
  <si>
    <t>Fifth Third Bancorp (FTB) acquired Tristate Bancorp (TB) in a tax free stock swap transaction valued at $68.4 mil. TB common shareholders were to receive .392 FTB common shares for each of their shares held. Based on FTB's closing stock price of $53.5 per share on Jul 1, the last full trading day prior to disclosure, each TB share was valued at $20.972. The transaction was to have been accounted for as a pooling of interests and required regulatory and TB shareholder approval.</t>
  </si>
  <si>
    <t>Cragin Financial Corp</t>
  </si>
  <si>
    <t>ABN-AMRO Holding NV</t>
  </si>
  <si>
    <t>ABN AMRO Holding acquired all the outstanding common shares of Cragin Financial for $38 in cash per share, or $501.6 mil. The transaction had been subject to regulatory approval.</t>
  </si>
  <si>
    <t>Dynasty Classics Corp</t>
  </si>
  <si>
    <t>Wholesale electrical equipment</t>
  </si>
  <si>
    <t>Catalina Lighting Inc</t>
  </si>
  <si>
    <t>Whl lighting fixtures, fans</t>
  </si>
  <si>
    <t>Catalina Lighting's letter of intent to acquire Dynasty Classics in a stock swap transaction valued at $16.48 mil, expired without a final agreement being negotiated. The transaction agreement had called for Dynasty shareholders to receive .261 Catalina common shares for every Dynasty share held. Based on Catalina's closing stock price of $7.75 on Jul 5, the last full trading day prior to the announcement, each Dynasty share was valued at $2.02.</t>
  </si>
  <si>
    <t>Farragut Mortgage Co</t>
  </si>
  <si>
    <t>JI Kislak Inc</t>
  </si>
  <si>
    <t>Real estate investment firm</t>
  </si>
  <si>
    <t>JI Kislak withdrew its agreement to merge with Farragut Mortgage. Under the terms of the transaction, Kislak shareholders would own 42.841 mil shares or 89% while Farragut shareholders would own 5.36 mil shares or 11% of the combined company. The transaction was to have been accounted for as a pooling of interests.</t>
  </si>
  <si>
    <t>Health Images Inc</t>
  </si>
  <si>
    <t>Provide magnetic imaging svcs</t>
  </si>
  <si>
    <t>ImageAmerica Inc</t>
  </si>
  <si>
    <t>Operate medical imaging ctr</t>
  </si>
  <si>
    <t>ImageAmerica disclosed that it was engaged in exploratory talks with Health Images which could lead to a possible acquisition or other form of alliance.</t>
  </si>
  <si>
    <t>Stacey's Buffet Inc</t>
  </si>
  <si>
    <t>Own and op buffet restaurants</t>
  </si>
  <si>
    <t>Homestyle Buffet Inc</t>
  </si>
  <si>
    <t>Own,op buffet restaurants</t>
  </si>
  <si>
    <t>Homestyle Buffet (HB) merged with Stacey's Buffet (SB) for $11.4 mil. The consideration consisted of $4.4 mil in cash and 4 mil common shares valued at $7 mil. The shares were valued based on HB's closing stock price of $1.75 on July 2, the last full trading day prior to the announcement. Upon completion, HB changed its name to SB.</t>
  </si>
  <si>
    <t>Home Shopping Network</t>
  </si>
  <si>
    <t>Own,op TV broadcasting statn</t>
  </si>
  <si>
    <t>Home Shopping Network (HSN) terminated its agreement to merge with QVC in a tax-free reverse stock swap merger valued at $2.263 bil. QVC common shareholders were to receive 5 HSN common shares per share held. Based on HSN's closing stock price of $12.625 per share on Jul 9, the last full trading day prior to disclosure, each QVC share was valued at $63.125. To account for litigation costs involving HSN chairman Roy Speer, QVC was to have received securities convertible into HSN shares of up to as much as 10% of the outstanding stock value.</t>
  </si>
  <si>
    <t>Silver King Communications Inc</t>
  </si>
  <si>
    <t>QVC Network proposed to receive an option to acquire 2 mil common shares of Silver King Communications, or a 60% controlling interest, from Liberty Media. The transaction was in connection with Home Shopping Network's agreement to merge with QVC. The option, which represented a 22.63% equity stake, had been granted to Liberty Media as part of a transaction whereby Liberty acquired a 22. 63% stake in Home Shopping Network from RMS. In August 1995, TCI placed Barry Diller in voting control of its options.</t>
  </si>
  <si>
    <t>Voit Corp</t>
  </si>
  <si>
    <t>Mnfr sporting,athletic goods</t>
  </si>
  <si>
    <t>Usaha Tegas Sdn Bhd</t>
  </si>
  <si>
    <t>Malaysia</t>
  </si>
  <si>
    <t>Usaha Tegas, a subsidiary of the Pacific States Investments unit of The Settlement's Excorp, acquired Voit for $13.9 mil through a tender merger. Usaha Tegas completed a tender offer for all the outstanding common shares of Voit for $4.5 in cash per share, or a total of $13.9 mil, by accepting 2,929, 147 shares, or about 95% of the company's shares outstanding. The remaining shares not tendered were converted into $4.5 in cash.</t>
  </si>
  <si>
    <t>Alter Sales Co</t>
  </si>
  <si>
    <t>Whl auto parts</t>
  </si>
  <si>
    <t>Alter Sales disclosed that it terminated negotiations with an undisclosed acquiror regarding the sale of the company.</t>
  </si>
  <si>
    <t>Excellerated Learning Inst Inc</t>
  </si>
  <si>
    <t>Pvd educational services</t>
  </si>
  <si>
    <t>Excellerated Learning Institute signed a letter of intent to acquire a 60% majority interest in Nostalgia Network for $2.50 per share. Earlier in July 1993, Nostalgia announced it was seeking a buyer for the company. In May 1990, Concept Communications acquired a partial interest in Nostalgia followed by a May 1993 announcement of Concept Communications' intent to raise its stake in Nostalgia.</t>
  </si>
  <si>
    <t>Princeton Diagnostic Labs</t>
  </si>
  <si>
    <t>Own,op clinical testing lab</t>
  </si>
  <si>
    <t>MBF USA Inc</t>
  </si>
  <si>
    <t>MBF USA terminated its planned tender offer for $1. 50 in cash per share or a total value of $3.6 mil for up to 80% or 2.4 mil of the common shares it would not own of Princeton Diagnostics (PD) following PD's acquisition of MBF's Laboratory Specialists subsidiary. If the tender offer had been successfully completed, MBF would have owned 92% of the outstanding shares of PD. PD also terminated its agreement to acquire Laboratory Specialists in exchange 4.5 mil newly issued shares, which would give MBF a 60% interest in PD.</t>
  </si>
  <si>
    <t>Dev-Tech Corp</t>
  </si>
  <si>
    <t>Euronote Intl Mgmt Ltd</t>
  </si>
  <si>
    <t>Euronote International Management acquired 5.15 mil common shares of Dev-Tech, or a 71.2% interest, under an amended agreement for a consideration consisting of cash and assets. As part of the agreement, Euronote was obligated to acquire a further 1.75 mil shares by Feb 27, 1994. Euronote also received options exercisable before Mar 29, 1994 at $.58 per share for up to another 6. 9 mil shares. Euronote had originally agreed to acquire 4 mil shares.</t>
  </si>
  <si>
    <t>Tuboscope Vetco International</t>
  </si>
  <si>
    <t>Provide oil and gas field svcs</t>
  </si>
  <si>
    <t>Energy Ventures Inc (EV) terminated its agreement to acquire Tuboscope Vetco International (TVI) in a tax free stock swap deal valued at $374.4 mil, including the assumption of $165 mil in liabilities. TVI shareholders were to receive 1 EV share for each TVI share. Based on EV's closing price of $11.5 on Jul 14, the last full trading day prior to the announcement, each TVI share was valued at $11.5. The exchange ratio was to have been subject to change due to a collar agreement. Negotiations were withdrawn due to differences over final terms of the exchange ratio.</t>
  </si>
  <si>
    <t>Great Southern Bancorp Inc</t>
  </si>
  <si>
    <t>Fourth Financial Corp</t>
  </si>
  <si>
    <t>Fourth Financial (FF) terminated its agreement to acquire all the outstanding common shares of Great Southern Bancorp (GSB) in a stock swap transaction valued at $84.7 mil, after GSB's board determined the share exchange ratio was not a true reflection of the bank's worth. GSB shareholders were to have received 1.6394 FF common shares for each GSB share held. Based on FF's closing stock price of $30.25 on Oct 11, the last full trading day prior to the announcement of exact terms, each GSB share was to have been valued at $49.6.</t>
  </si>
  <si>
    <t>Martin Color-Fi Inc</t>
  </si>
  <si>
    <t>Mnfr polyester fibers,pellets</t>
  </si>
  <si>
    <t>Pure Tech International Inc</t>
  </si>
  <si>
    <t>Recycle plastic products</t>
  </si>
  <si>
    <t>Pure Tech International (PTI) withdrew its agreement to acquire Martin Color-Fi (MCF) in a stock swap merger transaction valued at $105.3 mil. MCF common shareholders were to have received .833 PTI common shares for each of their shares held. Based on PTI's closing stock price of $19.75 per share on Jul 20, the last full trading day prior to the disclosure, each MCF share was valued at $16. 45. The transaction would have been subject to regulatory and shareholder approval.</t>
  </si>
  <si>
    <t>Bankers First Corp,Augusta,GA</t>
  </si>
  <si>
    <t>A proposal was terminated for the board of Bankers First to seek possible candidates for a potential merger with the company, that was orginally requested in July 1993. The proposal had been recommended by an investor group led by Mid- Atlantic Investors after it had acquired a 7% stake in Bankers First via the open market.</t>
  </si>
  <si>
    <t>First Amarillo Bancorp Inc</t>
  </si>
  <si>
    <t>Boatmen's Bancshares (BB) acquired First Amarillo Bancorp (FA) in a tax free stock swap transaction valued at USD 187.282 mil. FA common shareholders received .912 BB common shares for every share held. Based on BB's closing stock price of $28.75 per share on Nov 17, the last full trading day prior to the announcement of terms, each FA share was valued at $26.22. Previously, BB had offered FA shareholders .456 BB common shares for every FA share. The transaction had been accounted for as a pooling of interests and had been subject to regulatory approval.</t>
  </si>
  <si>
    <t>Rodman &amp; Renshaw Capital Group</t>
  </si>
  <si>
    <t>Josephthal Lyon &amp; Ross</t>
  </si>
  <si>
    <t>Security brokers and dealers</t>
  </si>
  <si>
    <t>Josephthal Lyon &amp; Ross, a unit of RLR Holdings, witdrew its offer to acquire Rodman &amp; Renshaw Capital Group. Josephthal acquired a 9.82% stake in open market and privately negotiated transactions from Jul 27 to Aug 20. On Jul 28, investor Marshall S Geller raised his stake in Rodman &amp; Renshaw Capital Group to 9.9%. In addition, a possible merger transaction caused Rodman's chairman and CEO Kurt Karmin to delay his retirement and announce that he recommended Geller to succeed him.</t>
  </si>
  <si>
    <t>First Eastern Corp,PA</t>
  </si>
  <si>
    <t>PNC Bank acquired First Eastern for $27 in cash per share or a total value of $336 mil. The agreement had called for PNC Bank to offer $26.5 per share if the transaction had been completed before Dec 31, 1993. First Eastern also granted PNC an option to acquire unissued shares under a lockup agreement. Also, Pennsylvania National Bank, Pottsville, PA, agreed to acquire the First Eastern branch of PNC and First Fidelity Bank, Salem, NJ agreed to acquire two branches of PNC to satisfy regulatory requirements.</t>
  </si>
  <si>
    <t>First United Bank Group Inc</t>
  </si>
  <si>
    <t>Norwest acquired First United Bank Group (FUB) in a stock swap valued at $413.8 mil. Norwest offered 1.1 common shares for each FUB common share held, 2.2 common shares for each FUB series A convertible preferred share held, and 6.039 common shares for each FUB series C convertible preferred share held. Based on Norwest's closing stock price of $27.25 on Jul 26, the last full trading day prior to the announcement, each FUB common share was valued at $30. FUB previously disclosed merger discussions with an undisclosed institution.</t>
  </si>
  <si>
    <t>Heritage Bankcorp Inc</t>
  </si>
  <si>
    <t>Standard Federal Bank (SFB) acquired all the outstanding stock of Heritage Bankcorp for $33.25 in cash per share, or a total of $110.7 mil. In addition, Heritage granted SFB an option to acquire 643, 000 of its shares under a lockup agreement. The transaction, had received approval by the Office of Thrift Supervision. In September 1992, Heritage Bankcorp announced that it had formed a new committee and was working with its investment banking firm to search for a buyer for the company.</t>
  </si>
  <si>
    <t>Own,op garden supply stores</t>
  </si>
  <si>
    <t>General Host Corp</t>
  </si>
  <si>
    <t>Own,op specialty retail stores</t>
  </si>
  <si>
    <t>General Host (GH) terminated its offer to acquire the remaining 4.28 mil common shares or 50.5% of the common stock in Sunbelt Nursery Group (SNG), a unit of Intermark's Pier 1 Imports subsidiary, that it did not already own for $5 in cash per share or a total of $21.4 mil. In April 1993, GH acquired a 49.5% stake in SNG from Pier 1 Imports in exchange for 1.94 mil common shares of GH valued at $17.7 mil.</t>
  </si>
  <si>
    <t>StarNet/CEA II Partners</t>
  </si>
  <si>
    <t>StarNet/CEA II Partners (SC), a joint venture between CEA Investors Partnership II and StarNet, a unit of Lenfest Communications, raised its stake in Video Jukebox Network (VJ) to a 54% interest by acquiring 1.5 mil shares for $.8 cash per share, or a total of $1.2 mil. The transaction was in addition to SC's acquisition of 2.835 mil VJ shares from a shareholder. In May 1993, an unnamed party announced plans to make an investment in VJ. Previously, Island Trading, a unit of Island International, had terminated its agreement to acquire a 51% stake in VJ.</t>
  </si>
  <si>
    <t>Bibb Co Inc</t>
  </si>
  <si>
    <t>Own,op fabric mills</t>
  </si>
  <si>
    <t>Bibb witdrew its offer  to acquire a majority interest n Fieldcrest Cannon, a subsidiary of Dumaines Trust's Amoskeag unit. In May 1993, Springs Industries had offered to acquire all the outstanding stock of both Amoskeag and Fieldcrest Cannon.</t>
  </si>
  <si>
    <t>Merck &amp; Co Inc</t>
  </si>
  <si>
    <t>Mnfr,whl pharmaceutical prod</t>
  </si>
  <si>
    <t>Merck (MK) acquired Medco Containment Services (MC) for $39 per share, or a total of $6.226 bil. MK granted MC shareholders a choice of $39 in cash or 1.21401 shares per share held, provided that 40% of the total consideration was cash and 60% stock. Based on MK's closing stock price of $32.125 on Jul 27, the last full trading day prior to disclosure, each MC share was valued at $39. The merger had been rumored earlier in July 1993. Morgan Stanley advised MK and Kidder Peabody provided a fairness opinion to MC.</t>
  </si>
  <si>
    <t>Allmerica Property &amp; Casualty</t>
  </si>
  <si>
    <t>State Mutual Life Assurance Co</t>
  </si>
  <si>
    <t>Ins co</t>
  </si>
  <si>
    <t>State Mutual Life Assurance Co of America terminated negotiations to acquire the remaining 42.6% of its Allmerica Property &amp; Casualty unit that it did not already own.</t>
  </si>
  <si>
    <t>First AmFed Corp,Huntsville,AL</t>
  </si>
  <si>
    <t>Colonial BancGroup Inc</t>
  </si>
  <si>
    <t>Colonial BancGroup acquired all of the outstanding common stock of First AmFed in a stock swap transaction valued at $44.26 mil. Under the terms of the agreement, First AmFed shareholders were to have received 1 share of Colonial BancGroup Class A common stock for each share of First AmFed stock held. Based on Colonial's closing stock price of $21.25 on Jul 29, the last full trading day prior to the announcement, each AmFed share was valued at $21.25. The transaction had received regulatory approval from the Federal Reserve Board.</t>
  </si>
  <si>
    <t>Telemundo Group Inc</t>
  </si>
  <si>
    <t>Operate radio, TV stations</t>
  </si>
  <si>
    <t>Creditors, led by Leon Black's Apollo Group agreed to acquire a 85.5% interest in bankrupt Telemundo Group a unit of Reliance Group Holdings' Reliance Capital Group in exchange for debt reduction. The senior bondholders would receive new common shares and warrants to acquire new common shares that would give them control of 55.5% of the reorganized Telemundo. The senior bondholders would also receive $35 mil in cash and new senior notes. Junior bondholders would have the option to convert their debt into 30% of the new common shares and warrants.</t>
  </si>
  <si>
    <t>American Steel &amp; Wire Corp</t>
  </si>
  <si>
    <t>Mnfr steel products</t>
  </si>
  <si>
    <t>Birmingham Steel Corp</t>
  </si>
  <si>
    <t>Manufacture steel, steel prod</t>
  </si>
  <si>
    <t>Birmingham Steel (BS) acquired American Steel &amp; Wire (ASW) in a stock swap transaction valued at $130. 586 mil. ASW shareholders received $.60946 in cash and . 23436 BS common shares for every share held. Based on BS' closing stock price of $22.875 per share on Nov 22, the last full trading day prior to disclosure of final terms, each ASW share was valued at $5.969. The final terms were determined based on the average BS price prior to closing, subject to a collar of $23 to $30. BS also assumed $76 mil in liabilities, and purchased ASW warrants for $3.646 mil.</t>
  </si>
  <si>
    <t>Constellation Bancorp</t>
  </si>
  <si>
    <t>CoreStates Financial (CSF) acquired Constellation Bancorp (CB) in a stock swap transaction valued at a revised $291.15 mil. CB common shareholders received . 4137 CSF common shares for every share held. Based on CSF's closing stock price of $25.875 per share on Feb 7, the last full trading day prior to disclosure of adjusted terms, each CB share was valued at $10.704. Originally CSF had offered . 412 shares for each CB share held. The transaction was accounted for as a pooling of interests.</t>
  </si>
  <si>
    <t>Horizon Healthcare Corp</t>
  </si>
  <si>
    <t>Own,op health-care facilities</t>
  </si>
  <si>
    <t>Horizon Healthcare (HH) acquired Greenery Rehabilitation Group (GRG) in a stock swap valued at $88.02 mil. GRG shareholders received .25 of a HH share for each GRG share and assumed $54.7 mil in GRG's convertible subordinated debentures and bonds. Based on HH's closing stock price of $16.25 on Jul 30, the last full trading day prior to the announcement, each GRG share was valued at $4.06. In September 1993, Health &amp; Rehabilitation Properties Trust agreed to acquire the Seattle rehabilitation facility of GRG.</t>
  </si>
  <si>
    <t>Greenwich Financial Corp</t>
  </si>
  <si>
    <t>First Fidelity Bancorporation (FFB) acquired all the outstanding stock of Greenwich Financial (GF) for $16 in cash per share or a total of $43.41 mil. The transaction had been subject to regulatory approval. Under a lockup agreement, FFB was also granted an option to acquire 521,154 GF common shares exercisable at the closing stock price on Aug 2 of $15 per share, or a total value of $7.817 mil. GF was to be merged with FFB's Union Trust unit of Stamford, Connecticut.</t>
  </si>
  <si>
    <t>Hach Co</t>
  </si>
  <si>
    <t>Mnfr,whl analytical instrument</t>
  </si>
  <si>
    <t>Lawter International Inc</t>
  </si>
  <si>
    <t>Mnfr printing ink and resins</t>
  </si>
  <si>
    <t>Lawter International terminated its agreement to acquire the remaining 72% interest it did not already own in Hach in a stock swap valued at $153.57 mil. Under the terms of the agreement, Lawter was to exchange 1.7 of its common shares for each Hach common share outstanding. Based on Lawter's closing stock price of $13.75 on Aug 3, the last full trading day prior to the announcement, each Hach share was valued at $23.375.</t>
  </si>
  <si>
    <t>First Savings Bank FSB,SC</t>
  </si>
  <si>
    <t>Southern National (SN) acquired First Savings Bank FSB, Greenville, South Carolina, (FS) in a stock swap valued at $179.06 mil. SN offered .855 share for each share outstanding share of FS, subject to a maximum of 8.305 mil shares. Based on SN's closing stock price of $21.875 per share on Aug 4, the last full trading day prior to the announcement, each FS share was valued at $18.7. The transaction was approved by regulatory authorities. In June 1993, FS disclosed that it was in merger negotiations with an undisclosed acquiror.</t>
  </si>
  <si>
    <t>Fruehauf Trailer Corp</t>
  </si>
  <si>
    <t>Mnfr truck trailers</t>
  </si>
  <si>
    <t>Congress Financial(CoreStates)</t>
  </si>
  <si>
    <t>Business credit institution</t>
  </si>
  <si>
    <t>Congress Financial, a unit of CoreStates Financial, agreed to acquire 13.3 mil newly issued common shares, or about 52.24% of Fruehauf Trailer's common stock outstanding for $20 mil. In January 1993, Terex disclosed that it received unsolicited inquiries to acquire its majority-owned Fruehauf Trailer unit from a number of unnamed parties. Terex retained PaineWebber as its financial advisor.</t>
  </si>
  <si>
    <t>Mountaineer Bankshares of WV</t>
  </si>
  <si>
    <t>One Valley Bancorp of WV,WV</t>
  </si>
  <si>
    <t>One Valley Bancorp of West Virginia (OVB) acquired Mountaineer Bankshares of West Virginia (MB) in a stock swap transaction valued at $129.5 mil. OVB offered 1.5 common shares for each MB share held. Based on OVB's closing stock price of $29.75 on Aug 4, the last full trading day prior to the announcement, each MB share was valued at $44.63. The transaction had been subject to both state and federal banking regulatory approval and was to be accounted for as a pooling of interests.</t>
  </si>
  <si>
    <t>New Line Cinema Corp</t>
  </si>
  <si>
    <t>Turner Broadcasting System (TBS) acquired the outstanding common stock of New Line Cinema (NL) through a stock swap transaction valued at $446.6 mil. TBS offered .96386 shares of its class B common stock for each NL share or convertible debenture held. Based on TBS' closing stock price of $23.5 on Aug 16, the last full trading day prior to the announcement of terms, each NL share was valued at $22.65 for a total stock consideration of $356.4 mil. TBS also assumed $89.9 mil of NL's debt. Concurrently, TBS agreed to acquire Castle Rock Entertainment.</t>
  </si>
  <si>
    <t>A group comprised of various undisclsed acquirors withdrew its offer to acquire Rodman &amp; Renshaw Capital Group. Concurrently, Fahnestock, a unit of Fahnestock Viner Holdings, withdrew its offer to acquire the company. Investor Marshall S Geller had raised his stake in Rodman to 9.99%. Josephthal Lyon &amp; Ross, a unit of RLR Holdings, also withdrew its offer to acquire Rodman.</t>
  </si>
  <si>
    <t>Fahnestock &amp; Co</t>
  </si>
  <si>
    <t>Fahnestock, a unit of Fahnestock Viner Holdings, terminated its interest in acquiring Rodman &amp; Renshaw Capital Group. On Jul 26, Josephthal Lyon &amp; Ross, a unit of RLR Holdings had offered to merge with Fahnestock, which it later withdrew. On Jul 28, investor Marshall S Geller raised his stake in Rodman &amp; Renshaw to 9.99%. Several other potential acquirors also withdrew their offers to acquire Rodman &amp; Renshaw.</t>
  </si>
  <si>
    <t>In August 1993, First of Michigan Capital was encouraged by an investor group to seek a buyer for the company. The group held a 25% stake or 656,927 of the company's common stock outstanding.</t>
  </si>
  <si>
    <t>SL Industries Inc</t>
  </si>
  <si>
    <t>Mnfr,whl power electronics equip</t>
  </si>
  <si>
    <t>A request was withdrawn by Steel Partners that SL Industries seek a buyer for itself. In August 1993, the proposal was submitted by Steel Partners to the board of SL Industries requesting that it initiate a search for a buyer for the company.</t>
  </si>
  <si>
    <t>Bank of New York Co Inc,NY</t>
  </si>
  <si>
    <t>Pvd finl svcs</t>
  </si>
  <si>
    <t>Bank of New York was not successful in its offer to acquire Constellation Bancorp. In March 1994, CoreStates Financial acquired Constellation Bancorp in a stock swap.</t>
  </si>
  <si>
    <t>Curtice-Burns Foods Inc</t>
  </si>
  <si>
    <t>Produce soft drinks, foods</t>
  </si>
  <si>
    <t>Pro-Fac Cooperative Inc</t>
  </si>
  <si>
    <t>Pvd agricultural mktg svcs</t>
  </si>
  <si>
    <t>Pro-Fac Cooperative (PFC) acquired Curtice-Burns (CBF) for a total of $19 in cash per share, or a total value of $424.25 mil, by accepting 8,276,439 common shares, or 96% of the outstanding shares. Included in the value was PFC's assumption of $267 mil of CBF's debt. PFC had originally offered $16.87 in cash per share held. The tender offer was contingent upon at least 90% of CBF's Class A and B shares being tendered. Dean Foods withdrew its offer to acquire CBF.</t>
  </si>
  <si>
    <t>Humphrey Inc</t>
  </si>
  <si>
    <t>Mnfr precision instruments</t>
  </si>
  <si>
    <t>REMEC Inc</t>
  </si>
  <si>
    <t>Mnfr search,detection equip</t>
  </si>
  <si>
    <t>Remec exercised its option to purchase 515,280 common shares or 51.5% of the outstanding common stock of Humphrey at $6.00 in cash per share, or a total consideration of $3.1 mil. The option was set to expire on Dec 31. Concurrently, Remec offered to acquire all the outstanding common stock of Humphrey for $6 per share.</t>
  </si>
  <si>
    <t>Remec acquired the remaining 48.5% stake, or 485,260 common shares of Humphrey for $6.00 per share, or a total of $2.9 mil in cash. Previously, Remec acquired a 51.5% interest in Humphrey through an option exercisable on or before Dec 31.</t>
  </si>
  <si>
    <t>Permian Basin Royalty Trust</t>
  </si>
  <si>
    <t>Oil Royalty Traders</t>
  </si>
  <si>
    <t>Southland Royalty Co</t>
  </si>
  <si>
    <t>Crude,oil exploration,production co</t>
  </si>
  <si>
    <t>Southland Royalty, a majority owned unit of Burlington Resources, acquired the remaining 67% of the units of Permian Basin Royalty Trust that it did not already own for $4.85 in cash per share, or a total of $151. 32 mil, concurrent with the completion of its tender offer by accepting 11,580,857 units. Morgan Stanley was retained as dealer manager for the tender offer. Burlington Resources had previously acquired a 33% interest, or 15.4 mil units, in Permian from Fund American Enterprises for $4.85 per unit, or a total of $74.69 mil.</t>
  </si>
  <si>
    <t>Fieldcrest Cannon (FC), an 81% owned unit of Dumaines Trust's Amoskeag (AM) subsidiary, acquired AM through a $137.6 mil tender merger. FC completed a tender offer to acquire the outstanding common shares of AM for $40 in cash per share, or a total of $137.6 mil, by accepting over 90%, or about 3.12 mil shares. The tender had been contingent on a majority being tendered. Remaining shares were acquired at the same terms. AM held 30% of FC capital stock and 81% of voting stock. In May, Springs Industries offered to acquire AM for $35 per share, or $120 mil.</t>
  </si>
  <si>
    <t>Bankers Life Holding Corp</t>
  </si>
  <si>
    <t>Life ins co;holding company</t>
  </si>
  <si>
    <t>Conseco Inc</t>
  </si>
  <si>
    <t>Conseco raised its interest in Bankers Life Insurance Holding to 55.7% from 31.3% by acquiring 13.3 mil common shares from ICH for $287.6 mil. The transaction had been subject to regulatory approval.</t>
  </si>
  <si>
    <t>McCaw Cellular Commun Inc</t>
  </si>
  <si>
    <t>Cellular telecommun services</t>
  </si>
  <si>
    <t>US - American Telephone &amp; Telegraph (AT&amp;T) acquired the remaining 93.058% interest, or 194.108 mil Class A and Class B common shares, which it did not already own, in McCaw Cellular Communications (MCC), a provider of cellular communications services, in a stock swap valued at USD 12. 109 bil, including the assumption of USD 5 bil in liabilities. ATT offered 1 common share per Class A or Class B MCC share held, subject to a collar agreement. Based on ATT's closing stock price of USD 62.38 on August 13, 1993, each MCC share was valued at USD 62.38. In Nov 1992, AT&amp;T planned to acquire 33% of MC, including British Telecommunication's 14.3% stake.</t>
  </si>
  <si>
    <t>EDITEK Inc</t>
  </si>
  <si>
    <t>EDITEK acquired the outstanding common shares of Princeton Diagnostic Laboratories of America (PDL) in a stock swap valued at $4. 13 mil. Editek offered .273 in common stock for each Princeton share held. MBF USA Rad previously terminated its tender offer to acquire the remaining 80% of Princeton Diagnostics Laboratories of America it did not own.</t>
  </si>
  <si>
    <t>Excalibur Holding Corp</t>
  </si>
  <si>
    <t>Pvd recreational svcs</t>
  </si>
  <si>
    <t>Excalibur Holding terminated its agreement to acquire all the outstanding stock of Las Vegas Entertainment Network in exchange for $12.00 in Excalibur preferred stock per share, or a total consideration of $150 mil.</t>
  </si>
  <si>
    <t>Spinnaker Software Corp</t>
  </si>
  <si>
    <t>Dvlp computer software</t>
  </si>
  <si>
    <t>WordStar International Inc</t>
  </si>
  <si>
    <t>Computer programming services</t>
  </si>
  <si>
    <t>WordStar International (WS) merged with Spinnaker Software (SS) in a stock swap valued at up to $28.32 mil, including $5 mil in assumed debts. WS's revised offer of between 1.599 and 1.641 common share for each SS share, depended on the number of new shares issued by SS. Based on WS's $1.15625 closing stock price on Dec 3, the last full trading day prior to the announcement, each SS share was valued at $1.9, based on the range high exchange ratio. The merger would be 3-way between WS, SS and Softkey Software Products, with the combined entity renamed SoftKey International.</t>
  </si>
  <si>
    <t>Termiflex Corp</t>
  </si>
  <si>
    <t>Mnfr,whl control panels</t>
  </si>
  <si>
    <t>Investor William E Fletcher, CEO of Termiflex (TM), terminated his rejected amended offer to acquire the remaining 1.106 mil common shares (79%) for $5.25 mil rejected. Instead WPI Group acquired TM. Fletcher had offered either $4.75 per share, consisting of $2.75 in cash and $2 in principal amount of 10% subordinated debt in the surviving company, or a total of $5.25 mil, or $5.25 per share in principal of the debt, or a total of $5. 8 mil. Fletcher initially made a $5.53 mil joint offer with Peter Ebner, who later withdrew.</t>
  </si>
  <si>
    <t>United Postal Bancorp</t>
  </si>
  <si>
    <t>Mercantile Bancorp acquired the outstanding stock of United Postal Bancorp (UPB) in a stock swap transaction valued at $180 mil. Mercantile offered 0.6154 common shares for each UPB share held. Based on Mercantile's closing stock price of $48.75 on Aug 16, the last full trading day prior to the announcement, each UPB share was valued at $30. Under a lockup clause, Mercantile was granted an option of 1.2 mil shares, or 19.9% of the shares outstanding. The transaction had been subject to regulatory approvals.</t>
  </si>
  <si>
    <t>Dean Foods Co</t>
  </si>
  <si>
    <t>Produce milk, dairy products</t>
  </si>
  <si>
    <t>Dean Foods withdrew its offer to acquire Curtice- Burns Foods (CBF) for $20 per share or a total value of $172.88 mil. The transaction had been contingent upon CBF terminating its agreement to acquire certain assets of Pro- Fac Cooperative, and CBF divesting its Nalley's Foods division and Nalley's Canada unit to Hormel Foods. Earlier, CBF had retained Donaldson Lufkin &amp; Jenrette to assist in the search for a buyer for its Meat Snack and Hiland Potato Chips businesses. In March 1993, Agway had announced it was seeking a buyer for its 34% interest in CBF.</t>
  </si>
  <si>
    <t>Sentrol Lifesafety Corp</t>
  </si>
  <si>
    <t>Mnfr electrical equip</t>
  </si>
  <si>
    <t>Sentrol Lifesafety, a unit of the Berwind Industries subsidiary of Berwind, merged with Aritech, after completing a tender offer to acquire all the outstanding common shares of Aritech for $6.25 in cash per share, or a total of $20 mil, by accepting 3,203,386 shares, or about 93.6% of the shares. The offer had been conditioned upon 75% of the shares being tendered.</t>
  </si>
  <si>
    <t>Century Telephone Enterprises</t>
  </si>
  <si>
    <t>Century Telephone Enterprises (CTE) acquired all the outstanding common shares of Celutel for $146. 775 mil. The consideration consisted of $51.4 mil in cash, 1.9 mil CTE common shares, and the assumption of $41.7 mil in liabilities. The CTE shares were valued at $53. 675 mil based on its closing stock price of $28.25 on Feb 10, the last full trading day prior to the adjustment of terms. The final number of CTE shares were based on CTE's price 10 days prior to completion. In October 1992 Celutel had announced that it was seeking a buyer for the company.</t>
  </si>
  <si>
    <t>Fisher-Price Inc</t>
  </si>
  <si>
    <t>Manufacture games and toys</t>
  </si>
  <si>
    <t>Mattel acquired Fisher-Price (FP) in a stock swap merger valued at $1.1 bil. Mattel offered 1.275 common shares for each FP share held and was to have assumed $144 mil of liabilities. Based on Mattel's closing stock price of $25.625 on Aug 18, the last full trading day prior to the announcement, each FP share was valued at $32.67. In June 1991, Mattel had considered acquiring FP from Quaker Oats (QO) prior to its spinoff to shareholders. Under a clause, Mattel was forbidden from launching a proxy solicitation for FP or QO through August 1992.</t>
  </si>
  <si>
    <t>Sym-Tek Systems Inc</t>
  </si>
  <si>
    <t>Mnfr measuring instruments</t>
  </si>
  <si>
    <t>Aseco Corp</t>
  </si>
  <si>
    <t>Aseco terminated its agreement to acquire Sym-Tek Systems for an indicated $11. 64 mil. Under the terms of the agreement, Aseco was to have issued between 600,000 and 950,000 shares of Aseco common stock depending on SymTek's pretax earnings over a specified measurement period and other conditions. The value was based on Aseco's closing price of $12. 25 on Aug 18, the last full trading day prior to the announcement.</t>
  </si>
  <si>
    <t>Apollo Advisors LP</t>
  </si>
  <si>
    <t>Open-end invest fund</t>
  </si>
  <si>
    <t>Apollo Advisors withdrew its offer to acquire the outstanding stock of Amoskeag, a majority owned unit of Dumaines Trust, for $32 in cash per share, or a total of $110 mil. Fieldcrest Cannon subsequently agreed to acquire Amoskeag for $40 in cash per share, or a total of $137.6 mil.</t>
  </si>
  <si>
    <t>Meadowpeak Partners LP</t>
  </si>
  <si>
    <t>Meadowpeak Partners withdrew its offer to acquire the outstanding stock of Amoskeag, a majority owned unit of Dumaines Trust, for $37.5 in cash per share, or a total of $129 mil. Fieldcrest Cannon subsequently agreed to acquire Amoskeag for $40 in cash per share, or a total of $137.6 mil.</t>
  </si>
  <si>
    <t>Dart Group Corp</t>
  </si>
  <si>
    <t>Own,operate auto part stores</t>
  </si>
  <si>
    <t>Ronald Haft, President and CEO of Dart Group (DG) raised his stake to 34.5% from 5.05% in DG by acquiring 172,730 common shares at $80 per share, or a total value of $13.8 mil, from Herbert Haft. Consideration was $2.76 mil and $11.05 mil in a promissory note due 2013. In September 1994, Ronald Haft exercised an option to raise his stake to 79% in DG that had been granted to him by Herbert Haft in August 1993.</t>
  </si>
  <si>
    <t>Ronald S Haft, president and CEO of Dart Group (DG), terminated his option to raise his stake to 79% from 39.5% by acquiring 197,048 Class B shares of DG for $94. 65 per share, or a total value of $18.66 mil. Ronald Haft had acquired the options for a premium of $5 per share at an exercise price of $89. 65 in August 1993 as part of an employment agreement with Herbert Haft. As a result, Ronald Haft was to have increased his voting control to 44.5% from 8.3% and Herbert Haft was to own only 34.5% from 57% in DG.</t>
  </si>
  <si>
    <t>Savin Corp(HCS Technology NV)</t>
  </si>
  <si>
    <t>Manufacture photo-copiers</t>
  </si>
  <si>
    <t>US - Savin Corp (SC) completed its debt restructuring with Creditors (CR), who recieved 3.067 mil new common shares. CR held an 80% interest in the restructured SC.</t>
  </si>
  <si>
    <t>Vermont Financial Services,VT</t>
  </si>
  <si>
    <t>Vermont Financial Services (VT) acquired West Mass Bankshares (MA) in a stock swap transaction valued at $24.06 mil. MA common shareholders received .9861 VT common shares for each of their shares held. Based on VT's closing stock price of $19.25 per share on Jun 13, the last full trading day prior to the announcement of the exchange ratio, each MA share was valued at $18.98. The ratio had been subject to a collar of between .8875 and .9861 VT shares. The merger was to be accounted for as a pooling of interests.</t>
  </si>
  <si>
    <t>First Fidelity Bancorp Inc,WV</t>
  </si>
  <si>
    <t>WesBanco Inc,Wheeling,WV</t>
  </si>
  <si>
    <t>WesBanco (WB) acquired First Fidelity Bancorp (FFB) for $75.41 mil in a tax-free stock swap. WB offered .9 shares of its common stock for each share of FFB common shares outstanding. In addition, WB was to exchange series A eight percent cumulative preferred convertible into WB common share for FFB series A eight percent cumulative preferred. Based on WB's closing stock price of $34 on Aug 25, the last full trading day prior to the announcement, each FFB common share had an indicated value of $30.6.</t>
  </si>
  <si>
    <t>Peoples Bancorp of Worcester</t>
  </si>
  <si>
    <t>Shawmut National acquired Peoples Bancorp of Worcester in a stock swap transaction valued at $181.55 mil. Shawmut National offered 2. 444 of its common shares for each Peoples Bancorp share held. Based on Shawmut's closing stock price of $22 per share on May 6, the last full trading day prior to the disclosure of the exchange ratio, each Peoples' share was valued at $53.767. The transaction was to be accounted for as a pooling of interests and had been subject to regulatory approval.</t>
  </si>
  <si>
    <t>Martech USA Inc</t>
  </si>
  <si>
    <t>Environmental control services</t>
  </si>
  <si>
    <t>In August 1993, Martech USA retained First Boston to assist in the search for a buyer for the company. Later Martech disclosed in December 1993 that it planned to file for Chapter 11 bankruptcy.</t>
  </si>
  <si>
    <t>Intuit Inc</t>
  </si>
  <si>
    <t>Intuit merged with ChipSoft in a stock swap transaction valued at $226.6 mil. Under the agreement, ChipSoft common shareholders received . 446 Intuit common shares for each ChipSoft share held. Based on Intuit's closing stock price of $31.25 on Aug 31, the last full trading day prior to the announcement, each ChipSoft share was valued at $13.94. The transaction had received approval from the Justice Department as a result of Inuit's termination of an option to acquire Legal Knowledge Systems.</t>
  </si>
  <si>
    <t>Penn Central Bancorp Inc</t>
  </si>
  <si>
    <t>Commercial bank;insurance co</t>
  </si>
  <si>
    <t>Omega Financial Corp,PA</t>
  </si>
  <si>
    <t>Omega Financial merged with Penn Central Bancorp (PCB) in a stock swap valued at USD 75. 26 mil. Under the terms of the agreement, PCB shareholders received 1.63 shares of Omega common stock for each PCB share. Based on Omega's closing stock price of $28.75 on Aug 31, the last full trading day prior to the announcement, each PCB share was valued at USD 46.863. The transaction had been subject to federal and state banking regulatory approval and was to be accounted for as a pooling of interests.</t>
  </si>
  <si>
    <t>Information Display Technology</t>
  </si>
  <si>
    <t>Mnfr flat display panels</t>
  </si>
  <si>
    <t>Adience Inc</t>
  </si>
  <si>
    <t>Mnfr clay refractories</t>
  </si>
  <si>
    <t>Adience disclosed that it had terminated negotiations with Information Display Technology to acquire the remaining 20% of Information Display that it did not already own through an exchange of common shares.</t>
  </si>
  <si>
    <t>Rosecliff Pensler Partners LP</t>
  </si>
  <si>
    <t>Rosecliff Pensler Partners, a joint venture between Rosecliff and Pensler Capital, withdrew its offer to acquire Katy Industries (KI) for $29 in cash per share or a total of $261 mil. Pensler withdrew its participation in November 1993. Katy Holdings, an investor group including the Carroll family, which held 51.9% of KI, had withdrawn its agreement to acquire the remaining 48.1% for an amended $25.75 in cash per share. Pensler subsequently allied with Steinhardt in submitting a joint bid to acquire Katy.</t>
  </si>
  <si>
    <t>Western Waste Industries Inc</t>
  </si>
  <si>
    <t>Pvd garbage collection svcs</t>
  </si>
  <si>
    <t>Browning-Ferris Industries Inc</t>
  </si>
  <si>
    <t>Browning-Ferris Industries (BF) withdrew from an agreement to acquire the outstanding common stock of Western Waste Industries in a stock swap valued at $522 mil. BF had offered 1.02 common shares for each Western Waste Industries share held. BF had also agreed to assume $90 mil of liabilities. Based on BF's closing stock price of $24. 875 on Sep 1, the last full trading day prior to the announcement, each Western Waste share was valued at $25. 3. The merger would have been accounted for as a pooling of interests.</t>
  </si>
  <si>
    <t>3Net Systems Inc</t>
  </si>
  <si>
    <t>An investor group led by investor James M Cameron acquired a 79% voting interest in 3Net Systems through a two-part share acquisition for $2.56 mil. Initially, the group acquired 6 mil common shares for $60, 000 and 251,666 convertible series B preferred shares for $1.5 mil, which were convertible into 6 mil shares of common stock. In the second part, the group acquired 166,666 convertible series B preferred shares, convertible into 4 mil common shares, for $1 mil.</t>
  </si>
  <si>
    <t>Baroid Corp</t>
  </si>
  <si>
    <t>Mnfr oil,gas field machinery</t>
  </si>
  <si>
    <t>Dresser Industries Inc</t>
  </si>
  <si>
    <t>Mnfr oil &amp; gas field machinery</t>
  </si>
  <si>
    <t>Dresser Industries (DI) merged with Baroid (BD) in a stock swap transaction valued at $842.2 mil. The transaction agreement called for BD shareholders to receive .4 DI common shares for each BD share or warrant held. Based on DI's closing stock price of $22.75 on Sep 3, the last full trading day prior to the announcement, each BD share was valued at $9.1. The transaction had been accounted for as a pooling of interests and had been subject to approval by the Justice Department.</t>
  </si>
  <si>
    <t>Hamptons Bancshares Inc</t>
  </si>
  <si>
    <t>Suffolk Bancorp</t>
  </si>
  <si>
    <t>Commercial bank holding company</t>
  </si>
  <si>
    <t>Suffolk Bancorp (SB) acquired Hamptons Bancshares (HB) in a stock swap transaction valued for an amended $13.1 mil. SB offered 0.6744 common shares for each HB common share held for 75% of HB. The other 25% of HB was to be exchanged for $14.5 in cash for each HB common share. Based on Suffolk's closing stock price of $23.5 on Feb 28, the last full trading day prior to the announcement, each HB share was valued at $15.85. SB originally offered .6744 shares for each HB share. In August 1993, HB received an offer from an undisclosed bank.</t>
  </si>
  <si>
    <t>Total Pharmaceutical Care Inc</t>
  </si>
  <si>
    <t>Pvd pharmaceutical care svcs</t>
  </si>
  <si>
    <t>Abbey Healthcare Group (AHG) acquired all the outstanding common shares of Total Pharmaceutical Care (TPC) for $23 per share or a total value of $185.6 mil. The transaction agreement called for TPC shareholders to receive $19 in cash and $4 consisting of .1706 AHG common shares for each TPC share held. The transaction was approved by the Federal Trade Commission.</t>
  </si>
  <si>
    <t>A&amp;W Brands Inc</t>
  </si>
  <si>
    <t>Produce bottled,canned soda</t>
  </si>
  <si>
    <t>Cadbury Schweppes PLC</t>
  </si>
  <si>
    <t>Produce confectionery products</t>
  </si>
  <si>
    <t>Cadbury Schweppes acquired A&amp;W Brands for $334 mil in a tender merger. Cadbury completed a tender offer for all of the outstanding shares of A&amp;W Brands for $24.5 in cash per share, or a total of $334 mil by accepting 13,072, 456 shares, or about 96% of A&amp;W Brands' actual common shares outstanding. The remaining shares not tendered were acquired for the same terms. The transaction was approved by antitrust regulators. In August 1993, it had been rumored that Cadbury Schweppes was negotiating to acquire A&amp;W Brands.</t>
  </si>
  <si>
    <t>Chattahoochee Bancorp Inc</t>
  </si>
  <si>
    <t>Commercial bank;financial svcs</t>
  </si>
  <si>
    <t>Bank South Corp,Atlanta,GA</t>
  </si>
  <si>
    <t>Bank South acquired all of the outstanding stock of Chattahoochee Bancorp in exchange for Bank South common shares valued at $46 mil. Under the terms of the agreement, Chattahoochee shareholders received $11.50 in Bank South common stock for each share of Chattahoochee stock. Under a lockup clause, Bank South was granted an option to purchase 803,000 shares at $9.5 per share.</t>
  </si>
  <si>
    <t>Comerica acquired all the outstanding common stock of Pacific Western Bancshares (PW) for 4,585,000 common shares valued at $133 mil. Based on Comerica's closing stock price of $29 on Sep 8, the last full trading day prior to the announcement, each PW share was valued at $11.4. The transaction had been subject to regulatory approvals. In October 1992, PW had announced that it retained Morgan Stanley to help seek a buyer for the company.</t>
  </si>
  <si>
    <t>Viacom Inc</t>
  </si>
  <si>
    <t>Pvd cable and TV prodn svcs</t>
  </si>
  <si>
    <t>Viacom (VI), a unit of National Amusements, completed its amended tender offer to acquire Paramount Communications (PC) for $9.6 bil by accepting 91 mil shares or a 74.6% stake. VI offered $107 in cash per share for 51% and .93065 class B shares, $17.5 in debentures, .93065 contingent value rights, and warrants per share for the remaining 49%. The stock portion was valued at $32.805 a share, based on VI's class B closing price of $35.25 on Jan 31, the day prior to revision. Challenger QVC lost the battle when its bid failed to attract the required shares.</t>
  </si>
  <si>
    <t>Tambrands Inc</t>
  </si>
  <si>
    <t>Mnfr feminine hygiene products</t>
  </si>
  <si>
    <t>Gillette Co</t>
  </si>
  <si>
    <t>Mnfr,whl shaving razors,blades</t>
  </si>
  <si>
    <t>Gillette was no longer rumored to be in preliminary discussions to acquire Tambrands. Earlier in September 1993, Gillette was rumored to be interested in acquiring Tambrands. Speculation had arose in June 1993 that Tambrands was considering seeking a buyer for the company. Johnson &amp; Johnson, Bristol-Meyers Squibb, and Kimberly-Clark had been alleged to be possible suitors.</t>
  </si>
  <si>
    <t>Geraghty &amp; Miller Inc</t>
  </si>
  <si>
    <t>Heidemij Holding NV</t>
  </si>
  <si>
    <t>Pvd engineering svcs</t>
  </si>
  <si>
    <t>Heidemij Holding (HH) acquired Geraghty &amp; Miller (GM) in a stock swap for $69. 785 mil. HH offered 1.09 common shares for each GM common share and option, resulting in an exchange of 7, 443,710 HH shares. Based on HH's offer price of $9.375 on its first day of trading, each GM share was valued at $10.24. As a result of the transaction, GM would hold 38% of the combined company. HH, a private company, underwent a 200 for 1 stock split prior to completion of the merger. GM retained Kidder Peabody as financial advisor.</t>
  </si>
  <si>
    <t>Commercial Bancorp of Colorado</t>
  </si>
  <si>
    <t>KeyCorp (KC) acquired Commercial Bancorp of Colorado (CBC) in a stock swap transaction valued at $90.62 mil. The transaction agreement called for CBC shareholder to receive .899 KC common shares for each CBC share held. Based on KC's closing stock of $32.25 on Mar 24, the last full trading day prior to the announcement of ammended terms , each CBC share was valued at $28.99. KC had offered .746 KC shares for each CBC share held. The ratio was adjusted due a collar agreement.</t>
  </si>
  <si>
    <t>Engraph Inc</t>
  </si>
  <si>
    <t>Mnfr paperboard and boxes</t>
  </si>
  <si>
    <t>Sonoco Products Co</t>
  </si>
  <si>
    <t>Mnfr converted packaging prod</t>
  </si>
  <si>
    <t>Sonoco Products acquired Engraph for $296 mil through a tender merger. Sonoco completed a tender offer for all the outstanding shares of Engraph for $15.63 in cash per share or a total of $296 mil by accepting 17,710,525 common shares, or about 93.5% of Engraph's shares outstanding. Sonoco acquired the remaining shares at the same terms. The transaction had received regulatory approval.</t>
  </si>
  <si>
    <t>Fortune Bancorp Inc</t>
  </si>
  <si>
    <t>US - AmSouth Bancorp (AmSouth) , acquired the entire share capital of Fortune Bancorp Inc (Fortune), a Clearwater- based savings institution, for a total of USD 184.496 mil. The consideration consisted of USD 142.5 mil in cash and 4.482 mil AmSouth common shares valued at USD 41.996 mil. The shares were valued based on AmSouth's closing stock price of USD 9. 37 on 10 September 1993, the last full trading day prior to the announcement.</t>
  </si>
  <si>
    <t>Katy Holdings, controlled by the Carroll family, raised its stake in Katy Industries to 50.6% or 4.56 mil shares in the open market from Dec 2 to Dec 3 at prices ranging from $26.25 to $26.87 per share. Based on the high price in the range the raised stake had an indicated value of $6.39 mil. Katy Holding acquired the shares in order to maintain its majority interest holding subsequent to a divestiture of shares by a member of the Carroll family.</t>
  </si>
  <si>
    <t>Spelling Entertainment Group (SE), a majority owned unit of Blockbuster Entertainment, acquired Republic Pictures (RP) for $13 in cash per share, or a total of $93.6 mil. In addition, options and warrants to acquire RP shares would be converted into rights to receive 1.65 SE shares for each RP share. Later in October 1993, Blockbuster Entertainment raised its interest in SE to 71% by acquiring 13.4 mil newly issued SE common shares.</t>
  </si>
  <si>
    <t>Santa Fe Energy Partners LP</t>
  </si>
  <si>
    <t>Santa Fe Energy Resources agreed to acquire all the outstanding depositary units and LP units of Sante Fe Energy Partner that it did not already own for $4.9225 in cash per unit.</t>
  </si>
  <si>
    <t>GWC Corp</t>
  </si>
  <si>
    <t>Water utility</t>
  </si>
  <si>
    <t>United Water Resources Inc</t>
  </si>
  <si>
    <t>United Water Resources (UW) acquired GWC, 82% owned by Lyonnaise des Eaux-Dumez (LE), for $193.805 mil. UW offered 1.2 shares for each GWC share for 70% of GWC shares. The remaining 30% was swapped for a choice of cash, 5% convertible preferred, or a combination of the two with a value of 1.2 UW's average closing price ($13.794), or a total of $16.55 per GWC share. LE chose the preferred shares. Based on UW's closing stock price of $14.875 on Sep 15, the last full trading day prior to disclosure, 70% of GWC shares had a value of $17. 85 each.</t>
  </si>
  <si>
    <t>Photocomm Inc</t>
  </si>
  <si>
    <t>Mnfr,whl solar electric prods</t>
  </si>
  <si>
    <t>New World Power Corp</t>
  </si>
  <si>
    <t>Elec utility;mnfr generators</t>
  </si>
  <si>
    <t>New World Power (NWP) purchased options to increase its stake in Photocom (PC) by a further 6.1 mil common shares. NWP received an option to acquire 2.6 mil common shares from PC for $2. 5 per share through 1995, another option from PC for $3 per share through 1996, and an option from Programmed Land for $2 per share through 1994. Concurrently, NWP had acquired a 29% stake or 3.41 mil common shares in PC.</t>
  </si>
  <si>
    <t>Digital Communications Assoc</t>
  </si>
  <si>
    <t>Mnfr network commun products</t>
  </si>
  <si>
    <t>DCA Holdings Inc</t>
  </si>
  <si>
    <t>DCA Holdings, an investor group formed by Welsh Carson Anderson &amp; Stowe and Sprout Group, merged with Digital Communications Associates (DC) in a transaction valued at $191.31 mil. Earlier, DCA completed its unsolicited tender offer to acquire DC for an amended $18.75 in cash per share, by accepting 9,920, 666 shares, or a 97.2% interest, in DC. In addition, DCA acquired 112,669 shares from members of management. DCA had originally offered $18.50 per share.</t>
  </si>
  <si>
    <t>QVC Network withdrew its amended bid to acquire Paramount Communications (PC) for $10.3 bil. QVC offered a $104 in cash for 51% of the outstanding shares and 1.2361 common shares, .2386 preferred shares and .32 warrants for the remaining 49%. The stock portion was valued at $66.33 a share based on QVC's closing price of $44 on Jan 31, the last full trading day prior to disclosure of revised terms. Viacom was the ultimate victor in the 5-month battle with its $9.6 bil competing bid.</t>
  </si>
  <si>
    <t>Valley Bancorp,Appleton,WI</t>
  </si>
  <si>
    <t>Marshall &amp; Ilsley,Milwaukee,WI</t>
  </si>
  <si>
    <t>Marshall &amp; Ilsley (MI) acquired Valley Bancorp, Appleton, Wisconsin (VB) through a tax-free stock swap transaction valued at $819.7 mil. MI offered 1.72 MI common shares for each VB share. Based on MI's closing stock price of $23.00 on Sep 17, the last full trading day prior to the announcement, each VB share was valued at $39.56. The agreement also provided MI with a lockup option to acquire about 19.9% of VB's shares under certain circumstances.</t>
  </si>
  <si>
    <t>Mnfr apparel,fabrics</t>
  </si>
  <si>
    <t>Valley Fashions Corp</t>
  </si>
  <si>
    <t>Manufacture textiles</t>
  </si>
  <si>
    <t>Valley Fashions (VF) acquired the remaining 1.476 mil common shares or 5% of West Point-Pepperell (WPP) that it did not already own for $46 in cash per share, or a total of $66.32 mil. The new entity was renamed as West Point Stevens. In 1992, creditors received West Point Acquisition's (WPA) 95% interest in WPP from William Farley. WPA later changed its name to VF. Farley acquired 95% of WPP in 1989 for about $2.8 bil, using junk bond financing.</t>
  </si>
  <si>
    <t>Bank of Boston acquired all of the outstanding common shares of BankWorcester for $34 in cash per share or a total value of $226.9 mil. The transaction had been subject to state and federal banking regulatory approval.</t>
  </si>
  <si>
    <t>HAL Inc(HAL Acquisition)</t>
  </si>
  <si>
    <t>Airline holding company</t>
  </si>
  <si>
    <t>US - Hal Inc (HAL), an airline holding company, completed its debt restructuring with creditors (CR). Upon completion, CR held a 70% interest in the restructured HAL.</t>
  </si>
  <si>
    <t>FFO Financial Group Inc</t>
  </si>
  <si>
    <t>Investor William R Hough acquired 5 mil common shares representing a 68% interest FFO Financial for $1.10 per share, or a total consideration of $5.5 mil in cash.</t>
  </si>
  <si>
    <t>Travelers Corp</t>
  </si>
  <si>
    <t>Primerica acquired the remaining 73.4% interest in the outstanding common stock of Travelers that it did not already own through a stock swap merger valued at $3.956 bil. Under terms of the merger, Primerica was to have offered .80423 common shares for each Travelers common share. Based on Primerica's closing stock price of $46 per share on Sep 21, the last full trading day prior to the disclosure, each Travelers share was valued at $36.99. In December 1992, Primerica had acquired a 27% stake in Travelers for $722.5 mil.</t>
  </si>
  <si>
    <t>Preferred Health Care Ltd</t>
  </si>
  <si>
    <t>Operate mental health centers</t>
  </si>
  <si>
    <t>Value Health Inc</t>
  </si>
  <si>
    <t>Provide health plan services</t>
  </si>
  <si>
    <t>Value Health, a unit of Warburg Pincus Capital, acquired Preferred Health Care from Four Winds through a stock swap valued at $386. 67 mil. Value offered .88 of a share for each Preferred Health share held. Based on Value's closing stock price of $35.75 on Sep 22, the last full trading day prior to the announcement, each Preferred Health share was valued at $31.46.</t>
  </si>
  <si>
    <t>Telematics International Inc</t>
  </si>
  <si>
    <t>Mnfr communications products</t>
  </si>
  <si>
    <t>ECI Telecom Ltd</t>
  </si>
  <si>
    <t>Mnfr radio &amp; TV commun equip</t>
  </si>
  <si>
    <t>Israel</t>
  </si>
  <si>
    <t>ECI Telecom acquired all of the outstanding common stock of Telematics International for $278.5 mil, or $16.34 per share. Under terms of the agreement, Telematics' shareholders received .66 ordinary shares of ECI Telecom for each share held of Telematics, or a total of 11.4 mil ordinary shares. The shares were valued based on ECI's closing price of $24.75 per share, accounting for a 2- for-1 split, on Sep 22, the last full trading day prior to disclosure. The transaction was treated as a pooling of interests.</t>
  </si>
  <si>
    <t>Bytex Corp</t>
  </si>
  <si>
    <t>Mnfr matrix switching systems</t>
  </si>
  <si>
    <t>Network Systems (NS) acquired Bytex for $49 mil through a tender merger. NS completed a tender offer to acquire all the outstanding common shares of Bytex for $6.8 per share, or a total $43.1 mil, by accepting 6.3 mil shares, or 83.4% of the shares. NS acquired the remaining shares at identical terms. NS offered $42.95 mil for the 6, 316,677 actual shares outstanding and $6.05 mil for the 645,364 options with exercise prices below $6.80. The offer had been contingent upon at least a majority of the fully diluted outstanding shares being tendered.</t>
  </si>
  <si>
    <t>NMR of America Inc</t>
  </si>
  <si>
    <t>Own,op imaging centers</t>
  </si>
  <si>
    <t>Medical Resources Inc</t>
  </si>
  <si>
    <t>Own,op diagnostic imaging ctrs</t>
  </si>
  <si>
    <t>Medical Resources (MR) terminated a letter of intent to acquire NMR of America. MR and NMR shareholders would have received 60% and 40%, respectively, of the outstanding common shares of the surviving entity. NMR shareholders would have received two classes of warrants, a Class A warrant exercisable for 18 months and a class B warrant exercisable for 36 months from the date of closing which would have increased NMR shareholders' ownership to 50%. The transaction had been subject to regulatory approval.</t>
  </si>
  <si>
    <t>Home Federal Bancorp of MO</t>
  </si>
  <si>
    <t>Roosevelt Finl Group,Missouri</t>
  </si>
  <si>
    <t>Roosevelt Financial (RF) acquired Home Federal Bancorp of Missouri (HF) in a stock swap transaction valued at $67 mil, or $30 per share. HF shareholders received .4945 RF common shares and $7.5 in cash for every share held. Based on RF's closing price of $45.5 per share on Sep 27, the last full trading day prior to disclosure, the common stock portion was valued at $22.5 a share. Under a lockup clause, RF received an option for 9.9% of the shares. HF retained Chicago in June 1993 to assist its search for a buyer.</t>
  </si>
  <si>
    <t>Boulevard Bancorp Inc</t>
  </si>
  <si>
    <t>First Bank System (FB) acquired all the outstanding stock of Boulevard Bancorp (BB) in a $213.7 mil stock swap transaction. BB shareholders received .8132 FB common shares for each share held. Based on FB's closing stock price of $32. 875 per share on Sep 28, the last full trading day prior to the disclosure, each FB share was valued at $26.7. To avoid dilution, First Bank System authorized a repurchase of 6.5 mil shares. In August 1993, BB had retained Goldman Sachs to assist in the search for a buyer for the company.</t>
  </si>
  <si>
    <t>Tennessee Bancorp Inc</t>
  </si>
  <si>
    <t>Union Planters acquired Tennessee Bancorp for $13.5 mil or $23.6 per share in cash. The transaction was subject to regulatory approval.</t>
  </si>
  <si>
    <t>Emerson Radio Corp</t>
  </si>
  <si>
    <t>Mnfr household audio equipment</t>
  </si>
  <si>
    <t>Fidenas Investment Ltd</t>
  </si>
  <si>
    <t>Fidenas Investment agreed to acquire a 90% interest in the newly reorganized Emerson Radio, which had declared bankruptcy, for $90 mil. Previously, Fidenas had tried to acquire up to 39% of Emerson through privately negotiated transactions.</t>
  </si>
  <si>
    <t>Society merged with KeyCorp (KC) through a merger of equals stock swap transaction valued at $3.924 bil. KeyCorp shareholders received 1.205 common shares of the new company for each share held while Society shareholders received 1 share for each share held. Based on Society's closing stock price of $32 on Sep 30, the last full trading day prior to the announcement, each KeyCorp share was valued at $38.6. Upon completion, KeyCorp and Society shareholders held 52% and 48% of the new company respectively.</t>
  </si>
  <si>
    <t>BioTechnica International Inc</t>
  </si>
  <si>
    <t>Periodontal diagnostic prod</t>
  </si>
  <si>
    <t>Groupe Limagrain Holding SA</t>
  </si>
  <si>
    <t>Whl seeds,agriculture prod</t>
  </si>
  <si>
    <t>Groupe Limagrain (GL) agreed to acquire a 80% interest in BioTechnica International (BI) in a two part transaction combining the US farm seed operations of both companies. In the first part, GL guaranteed a $15 mil line of credit for BI in exchange for 500,000 BI shares. In the second part, GL offered its Shissler Seed subsidiary in exchange for 55,638,668 common shares of BI. GL had originally agreed to acquire a 67% stake in BI, but the agrrement was revised due to poor earnings by BI.</t>
  </si>
  <si>
    <t>Cenith Partners LP</t>
  </si>
  <si>
    <t>Cenith Partners announced that it was considering a proxy fight or tender offer for the remaining 94.95% of Instron that it did not already own.</t>
  </si>
  <si>
    <t>Tele-Communications (TC) acquired the remaining 95% interest that it did not already own in Liberty Media (LM) for $3.411 bil. TC offered .975 Class A common shares for each LM share held. Based on TC's closing stock price of $26.75 on Oct 5, the last full trading day prior to disclosure, each LM share was valued at $26. The accord was part of the $29 bil Bell Atlantic/TC merger agreement which was ultimately terminated. QVC Network, of which LM was the largest shareholder, lost its battle to acquire Paramount Communications.</t>
  </si>
  <si>
    <t>Advanced Interventional Sys</t>
  </si>
  <si>
    <t>Mnfr laser systems, metals</t>
  </si>
  <si>
    <t>Spectranetics Corp</t>
  </si>
  <si>
    <t>Manufactures, wholesales excimer lasers</t>
  </si>
  <si>
    <t>Spectranetics (SP) acquired Advanced Interventional Systems (AIS) in a stock swap transaction valued at an amended $11.66 mil. The original offer was for $27. 365 mil. AIS shareholders received .8028 SP shares for each AIS share held. Based on SP's closing share price of $3.375 on October 6, the last full trading day prior to the announcement, each AIS share was valued at $2.710. Previous tentative agreements between AIS and SP had collapsed. Following completion, AIS was to hold a 47% stake in SP.</t>
  </si>
  <si>
    <t>Forum Retirement Partners LP</t>
  </si>
  <si>
    <t>Own,op retirement centers</t>
  </si>
  <si>
    <t>Forum Group (FG) agreed to raise its stake to 55.2% from 22.1% in Forum Retirement Partners (FRP) for $13 mil. FG was to acquire 6.5 mil limited partnership units at a price of $2 per unit. Upon completion of the transaction, FRP was to offer unit holders other than Forum Group the right to acquire additional units at the same price as FG to avoid dilution. If all eligible holders were to elect to acquire units, FG's interest would return to 22.1%.</t>
  </si>
  <si>
    <t>Copley Pharmaceutical Inc</t>
  </si>
  <si>
    <t>Hoechst Celanese Corp(Hoechst)</t>
  </si>
  <si>
    <t>Mnfr chemicals and fibers</t>
  </si>
  <si>
    <t>Hoechst Celanese, a unit of Hoechst, completed its tender offer for a 51% interest in Copley Pharmaceutical for $55 in cash per share, or a total of $546 mil, by accepting 9, 934,100 shares or 51% of Copley's common shares outstanding, of the 17.1 mil shares which were tendered. Under certain circumstances, Hoechst had been entitled to a $20 mil breakup fee.</t>
  </si>
  <si>
    <t>International Family Ent Inc</t>
  </si>
  <si>
    <t>Provide cable television svcs</t>
  </si>
  <si>
    <t>International Family Entertainment (IFE) terminated its tender offer to acquire Nostalgia Network (NN) at an amended $2 in cash per common share and $200 in cash per preferred share, or a total of $39.556 mil. The offer, to end Jan 5, required the tender of at least a majority. Initial terms included $1.50 in cash and $. 50 in stock per common share and $150 in cash and $50 in stock per preferred share. IFE had considered further enhancements to its former bid, contingent upon the NN board preventing Concept Communications from raising its stake.</t>
  </si>
  <si>
    <t>Salem Sportswear Corp</t>
  </si>
  <si>
    <t>Mnfr sports apparel</t>
  </si>
  <si>
    <t>Fruit of the Loom Inc</t>
  </si>
  <si>
    <t>Mnfr underwear, shirts</t>
  </si>
  <si>
    <t>Fruit of the Loom (FL) completed its merger with Salem Sportswear (SS) for $12. 75 in cash per share, or a total of $124.7 mil. Earlier, FL had completed its tender offer for all the outstanding common stock of SS for $12.75 in cash per share, by accepting 9.7 mil shares, or about 91% of Ss's shares. The offer had been subject to at least 50% of SS's common shares outstanding being tendered. SS had previously announced that it was in negotiations with an undisclosed acquiror.</t>
  </si>
  <si>
    <t>Sterling Bancshares Corp</t>
  </si>
  <si>
    <t>Fleet Financial Group Inc,MA</t>
  </si>
  <si>
    <t>Fleet Financial Group (FF) acquired Sterling Bancshares (SB) in a stock swap valued at $124.82 mil. FF offered 1. 1575 common shares for each SB common share held. Based on FF's closing stock price of $34.125 on Oct 8, the last full trading day prior to the announcement, each SB share was valued at $39.5. Under terms of the merger agreement, the exchange rate could have fluctuated 15% in either direction prior to the completion. The transaction was accounted for as a pooling of interests and had been subject to regulatory approval.</t>
  </si>
  <si>
    <t>LGF Bancorp</t>
  </si>
  <si>
    <t>First of America Bank, Kalamazoo, Michigan acquired LGF Bancorp in a stock swap valued at $67.78 mil. Under terms of the agreement, LGF shareholders were to receive . 8754 shares of First of America's common stock for each LGF common share. Based on First of America Bank's closing stock price of $41. 625 on Oct 11, the last full trading day prior to the announcement, each share of First of America was valued at $36.44. The transaction was to be accounted for as a pooling of interests.</t>
  </si>
  <si>
    <t>H&amp;R Block acquired MECA Software for $32.2 mil through a tender merger. H&amp;R completed a cash tender offer to acquire all the outstanding common shares of MECA for $6.625 per share or a total value of $32.2 mil by accepting 4,469,391 shares, or 96% of the shares outstanding. MECA had agreed to pay a $.9 mil termination fee if the transaction had not been completed. H&amp;R Block had already previously entered into stock purchase agreements with certain MECA shareholders who controlled 45% of MECA's common shares.</t>
  </si>
  <si>
    <t>Video Display Corp</t>
  </si>
  <si>
    <t>Mnfr,whl cathode ray tubes</t>
  </si>
  <si>
    <t>Richardson Electronics Ltd</t>
  </si>
  <si>
    <t>Richardson Electronics' option to acquire 2.24 mil shares, or a 53% interest, in Video Display for $4 per share for a total value of $8. 97 mil expired. The shares were to be purchased from Ronald D Ordway, Karen W Ordway and Alfred Kenerleber. Richardson had originally offered to acquire the entire company for $16.88 mil. In April 1994, Richardson terminated negotiations to acquire Video Display.</t>
  </si>
  <si>
    <t>Medical Marketing Group Inc</t>
  </si>
  <si>
    <t>Pvd marketing support services</t>
  </si>
  <si>
    <t>Pvd healthcare consulting svcs</t>
  </si>
  <si>
    <t>Medco Containment Services (MCS), a subsidiary of Merck acquired the remaining 45.8% of its Medical Marketing Group subsidiary for an amended $27.25 in cash per share, or a total of $122.51 mil. The transaction had been contingent upon Merck's merger with MCS, which was completed in November 1993. Prior to the merger, MCS directly held 54.2% of Medical Marketing, while Merck held a 10.6% interest.</t>
  </si>
  <si>
    <t>Bell Atlantic (BA) cancelled a signed letter of intent to acquire Tele-Communications (TC) in a stock swap valued at $29.432 bil. BA was to offer .65 new class B common shares, valued at $54 per share, for each share of TC pending its acquisition of Liberty Media (LM). BA was also to assume $10.454 bil in TC and LM debt. The transaction had been subject to regulatory approval. In October 1993, TC announced it was negotiating to acquire the remaining 95% in LM that it did not already own for $3. 411 bil.</t>
  </si>
  <si>
    <t>Candlewood Bank &amp; Trust Co</t>
  </si>
  <si>
    <t>New Milford Bank &amp; Trust Co</t>
  </si>
  <si>
    <t>New Milford Bank &amp; Trust, New Milford, Connecticut acquire Candlewood Bank &amp; Trust, New Fairfield, Connecticut for an amended $10.08 in cash per share or a total of $5.8 mil. New Milford had originally offered $9.56 per share or $5. 5 mil in cash. The transaction had been subject to regulatory approval.</t>
  </si>
  <si>
    <t>PennFirst Bancorp,Ellwood,PA</t>
  </si>
  <si>
    <t>PennFirst Bancorp (PF) acquired ESB Bancorp for $29. 444 mil. ESB shareholders were given a choice of receiving 1.62 PF common shares valued at $31.79 per share, based of PF's closing share price on Oct 13, 1994, the last full trading day prior to the announcement, or $27 in cash per ESB common share. As an alternative, ESB shareholders could elect to receive .972 PF shares plus $10.80 in cash, valued at $29. 876 per ESB share. The merger was approved by shareholders of both companies and received federal and state regulatory approval.</t>
  </si>
  <si>
    <t>WordPerfect Corp</t>
  </si>
  <si>
    <t>WordPerfect was no longer rumored to be in merger negotiations with Borland International. Earlier in October 1993, it was rumored that WordPerfect was negotiating to acquire Borland International.</t>
  </si>
  <si>
    <t>Artel Communications Corp</t>
  </si>
  <si>
    <t>Mnfr communication systems</t>
  </si>
  <si>
    <t>Chipcom Corp</t>
  </si>
  <si>
    <t>Mnfr switching systems</t>
  </si>
  <si>
    <t>Chipcom(CH) acquired Artel Communications (AC) through a stock swap transaction valued at $39 mil. CH exchanged about .75 mil of its common shares for all the AC common shares outstanding, or a ratio of 13.88 AC shares per CH share subject to a minimum of 12.57 AC shares per Chipcom share. The shares were valued based on Chipcom's closing stock price of $52.75 on Oct 15, the last full trading day prior to disclosure. The transaction was to be accounted for as a pooling of interests.</t>
  </si>
  <si>
    <t>Corporate Software Inc</t>
  </si>
  <si>
    <t>Wholesale computer software</t>
  </si>
  <si>
    <t>CS Acquisition Corp</t>
  </si>
  <si>
    <t>CS Acquisition, an investor group including management, Bain Capital and Information Partners, acquired Corporate Software for $94.33 mil through a tender merger. CS completed its tender offer to acquire Corporate Software for $15 in cash per share, or a total value of $60.03 mil, by accepting 4,402,199 shares, or about 70% of the shares outstanding. CS acquired the remaining 30% for the same terms. Corporate Software retained Adams Harkness &amp; Hill as a financial advisor for the transaction.</t>
  </si>
  <si>
    <t>Digital Solutions Inc</t>
  </si>
  <si>
    <t>Pvd healthcare staffing svcs</t>
  </si>
  <si>
    <t>SunGard Financial Systems Inc</t>
  </si>
  <si>
    <t>Pvd investment mgmt services</t>
  </si>
  <si>
    <t>SunGard Financial Systems, a unit of SunGard Data Systems, agreed to acquire Digital Solutions. Terms were not disclosed.</t>
  </si>
  <si>
    <t>King City Federal Savings Bank</t>
  </si>
  <si>
    <t>First Banks (FB) withdrew its offer to acquire all the outstanding common shares of King City Federal Savings Bank, Mount Vernon, Illinois for $25 per share or a total of $13.86 mil.</t>
  </si>
  <si>
    <t>La Quinta Inns Inc</t>
  </si>
  <si>
    <t>La Quinta Motor Inns (LMI) completed its tender offer to acquire the remaining 90% interest or 3,583,000 limited partnership units that it did not already own in La Quinta Motor Inns LP for an amended $13 in cash per unit, or a total of $46.4 mil, by accepting 2,811,038 shares, or 70.7% of outstanding stock. Units not tendered would be converted into the right to receive $13 in cash. The original terms were for $12 in cash per share. In May LMI raised its stake in La Quinta Motor Inns LP by acquiring 60, 700 for $.599 mil in the open market.</t>
  </si>
  <si>
    <t>UniCare Financial Corp</t>
  </si>
  <si>
    <t>Insurance underwriting svcs</t>
  </si>
  <si>
    <t>Wellpoint Health Networks Inc</t>
  </si>
  <si>
    <t>Own,op HMO</t>
  </si>
  <si>
    <t>Wellpoint Health Networks acquired all the outstanding common shares of UniCare Financial for $29 in cash per share or a total value of $145.9 mil.</t>
  </si>
  <si>
    <t>Datakey Inc</t>
  </si>
  <si>
    <t>Mnfr memory keys,cards</t>
  </si>
  <si>
    <t>Sheldahl Inc</t>
  </si>
  <si>
    <t>Mnfr,distn flexible laminates</t>
  </si>
  <si>
    <t>Sheldahl (SL) and Datakey (DK) mutually agreed to terminate the merger agreement between the two companies. SL and DK had agreed to merge in a stock swap valued at $16 mil. Under terms of the agreement, DK shareholders were to receive . 47 SL common shares and a three year warrant to acquire .1 SL common shares at $13.50 per share for each DK common share. Based on SL closing stock price of $12.25 on Oct 18, the last full trading day prior to the announcement, each share of SL was valued at $5.80.</t>
  </si>
  <si>
    <t>Mylan Laboratories disclosed that it terminated takeover negotiations with an undisclosed acquiror.</t>
  </si>
  <si>
    <t>NewMil Bancorp</t>
  </si>
  <si>
    <t>NewMil Bancorp withdrew its offer to acquire Candlewood Bank &amp; Trust (CBT) to $10.06 per share or a total value of $5.78 mil. NewMil had originally offered $8.92 cash per share or a total of $5.13 mil. In between NewMil's offers, CBT agreed to be acquired by New Milford Bank &amp; Trust for $9.56 per share or $5.5 mil in cash.</t>
  </si>
  <si>
    <t>Gerrity Oil and Gas Corp</t>
  </si>
  <si>
    <t>Gerrity Oil and Gas announced that it was no longer seeking a buyer for the company and was no longer pursuing acquisition negotiations. In October 1993, Gerrity had disclosed that it was pursuing tentative negotiations with several undisclosed parties in connection with the sale of the company. Gerrity had announced earlier in October 1993 that it was retaining Goldman Sachs and Indosuez Capital to assist its search for a buyer for the company.</t>
  </si>
  <si>
    <t>RehabClinics Inc</t>
  </si>
  <si>
    <t>Own,op physical therapy clinic</t>
  </si>
  <si>
    <t>NovaCare(NC) acquired RehabClinics(RC) in a stock swap merger valued at $192.5 mil. RC shareholders received 1.6 NC common shares for each share held. Based on NC's closing stock price of $13.75 on Oct 20, the last full trading day prior to the announcement, each RC share was valued at $22.</t>
  </si>
  <si>
    <t>Laser Photonics Inc</t>
  </si>
  <si>
    <t>Mnfr solid-state devices</t>
  </si>
  <si>
    <t>JMAR Industries Inc</t>
  </si>
  <si>
    <t>Mnfr precision measurement sys</t>
  </si>
  <si>
    <t>JMAR Industries' agreement to acquire Laser Photonics (LP) for $150,000 in cash and 723,077 common shares and warrants expired. In October 1993, JMAR acquired the advanced holmium/YAG Technology from LP for $3.02 mil.</t>
  </si>
  <si>
    <t>Medical Care America Inc</t>
  </si>
  <si>
    <t>Pvd outpatient health services</t>
  </si>
  <si>
    <t>Surgical Care Affiliates Inc</t>
  </si>
  <si>
    <t>Own,op surgical care centers</t>
  </si>
  <si>
    <t>Surgical Care Affiliates (SCA) withdrews its hostile offer to acquire Medical Care America (MCA) in a stock swap transaction valued at $984.66 mil. The merger proposal called for MCA shareholders to receive 1.35 SCA common shares for each MCA share held. Based on SCA's closing stock price of $19.875 on Oct 22, the last full trading day prior to the announcement, each MCA share was valued at $26.83.</t>
  </si>
  <si>
    <t>Neworld Bancorp,Boston,MA</t>
  </si>
  <si>
    <t>Citizens Financial Group (CFG), a unit of Royal Bank of Scotland Group, acquired all the outstanding common shares, including options, of Neworld Bancorp for $35.5 in cash per share or a total value of $144.4 mil. The transaction had been subject to state and federal banking regulatory approval. Under a lockup clause, CFG had been granted an option to purchase up to an 18% stake in Neworld.</t>
  </si>
  <si>
    <t>ProNet Inc</t>
  </si>
  <si>
    <t>Mnfr pagers;pager leasing svcs</t>
  </si>
  <si>
    <t>Metrocall Inc</t>
  </si>
  <si>
    <t>Pvd local paging svcs</t>
  </si>
  <si>
    <t>Metrocall disclosed that it terminated negotiations to acquire ProNet through a stock swap merger.</t>
  </si>
  <si>
    <t>Rational Software Corp</t>
  </si>
  <si>
    <t>Dvlp component-based software</t>
  </si>
  <si>
    <t>Verdix Corp</t>
  </si>
  <si>
    <t>Develop,whl software</t>
  </si>
  <si>
    <t>Verdix acquired all the outstanding stock of Rational through a reverse stock swap merger valued at $56 mil. The transaction agreement called for Rational shareholders to receive .808 Verdix common shares for each Rational common share held. Based on Verdix's closing stock price of $3.125 on Oct 22, the last full trading day prior to the announcement, each Rational share was valued at $2.525. Following the completion of the transaction Rational shareholders controlled 60% of the combined entity called Rational Software.</t>
  </si>
  <si>
    <t>Central Holding Co</t>
  </si>
  <si>
    <t>Financial services holding co</t>
  </si>
  <si>
    <t>Standard Federal Bank (SFB) acquired Central Holding (CH) for $21.3 mil, or $5.5 in cash per share. The terms provided for a lockup clause under which SFB received an option to purchase 960,000 newly issued CH shares at $3 per share. In July 1993, CH had disclosed that it would seek a buyer and had retained WY Campbell to assist and review alternatives. The transaction was approved by the Office of Thrift Supervision, as well as other regulatory approval.</t>
  </si>
  <si>
    <t>BellSouth Corp</t>
  </si>
  <si>
    <t>BellSouth was no longer rumored to be planning to acquire Paramount Communications. Viacom had completed its $9.6 bil revised tender offer bid for Paramount while QVC Network was rejected in its own hostile tender offer bid to acquire Paramount. BellSouth later agreed to acquire a $1. 5 bil stake in QVC to assist in its bid for Paramount. Of the $1.5 bil investment, $1 bil would be used to buy out Liberty Media's previously disclosed equity investment in QVC.</t>
  </si>
  <si>
    <t>1st United Bancorp,FL</t>
  </si>
  <si>
    <t>Baank holding co</t>
  </si>
  <si>
    <t>US - 1st United Bancorp merged with Surburban Bancshares in exchange for . 706 mil shares of common stock valued at $3.53 mil. The shares were valued based on 1st United's closing stock price of $5 on Jun 2, the last full trading day prior to the announcement of the terms. The transaction had been subject to state and federal banking regulatory approval.</t>
  </si>
  <si>
    <t>Washington Bancorp Inc</t>
  </si>
  <si>
    <t>Hudson United Bancorp,NJ</t>
  </si>
  <si>
    <t>Hubco acquired Washington Bancorp (WB) in a $40 mil stock swap transaction. WB shareholders were to receive a choice of either $16.1 in cash or .6708 Hubco class A preferred shares for every common share held, subject to the total consideration being comprised of 51% in preferred stock and 49% in cash. The agreement included a lockup clause whereby Hubco was granted an option to purchase 765,000 newly issued WB common shares for $11.5 per share. The transaction had been subject to regulatory approval.</t>
  </si>
  <si>
    <t>Terminal Data Corp</t>
  </si>
  <si>
    <t>Mnfr image processing systems</t>
  </si>
  <si>
    <t>BancTec Inc</t>
  </si>
  <si>
    <t>Pvd systems integration svcs</t>
  </si>
  <si>
    <t>BancTec acquired all the outstanding common stock of Terminal Data for $3.375 per share, or a total consideration of $16.2 mil in cash. The transaction had received regulatory approval.</t>
  </si>
  <si>
    <t>Abaco Casa de Bolsa SA de CV</t>
  </si>
  <si>
    <t>Mexico</t>
  </si>
  <si>
    <t>Abaco Casa de Bolsa, a unit of Abaco Groupo Financiero, completed its tender offer to acquire a 51% interest Rodman &amp; Renshaw Capital Group (RRC) for $10.5 in cash per share or a total of $27.3 mil, by accepting an amount of the 4. 2 mil shares, or 80% which was tendered, to give it a 51% interest. The transaction had been subject to a minimum of 51% of the shares being tendered, as well as regulatory approval. Several other potential acquirors had also expressed interest in RRC.</t>
  </si>
  <si>
    <t>EdgeMark Financial Corp</t>
  </si>
  <si>
    <t>Old Kent Finl Corp,Michigan</t>
  </si>
  <si>
    <t>Old Kent Financial (OKF) acquired all the outstanding common shares of EdgeMark Financial in exchange for $62 mil of its common shares. The transaction had been subject to regulatory approval. Concurrently, OKF's board authorized the repurchase of up to $62 mil of the company's common stock through open market transactions.</t>
  </si>
  <si>
    <t>Federal Savings Bank</t>
  </si>
  <si>
    <t>MidConn Bank,Kensington,CT</t>
  </si>
  <si>
    <t>MidConn Bank acquired all of the outstanding common shares of Federal Savings Bank, New Britain, Connecticut for $15. 5 in cash per share or a total value of $13.2 mil. Under a lockup agreement, MidConn was granted an option, exercisable under certain conditions, to purchase 20% of Federal Savings Bank's common stock for $14.5 per share. The transaction had been subject to federal and state banking regulatory approval.</t>
  </si>
  <si>
    <t>Pittencrieff Communications</t>
  </si>
  <si>
    <t>Pvd radiotelephone commun svcs</t>
  </si>
  <si>
    <t>Pittencrieff PLC (PP) withdrew its plans to seek a buyer for its 54% interest in Pittencrief Communications unit. Concurrently, PC agreed to acquire its parent PP), who was undergoing voluntary liquidation. Also PP planned to split off its oil and gas interests. PP had retained Gleacher to help in its search for a buyer of its 54% stake in PC.</t>
  </si>
  <si>
    <t>Bank of Nashville,TN</t>
  </si>
  <si>
    <t>In November 1993, Bank of Nashville announced that two shareholders, Steve MacKenzie and Brenda MacKenzie, who together owned about 5.5% of the company's stock, planned to seek control of the company and seek its sale or merger.</t>
  </si>
  <si>
    <t>Gateway Financial Corp</t>
  </si>
  <si>
    <t>Shawmut National (SN) acquired Gateway Financial (GF) in a stock swap transaction valued at $152 mil. GF shareholders received .559 SN common shares for each GN share outstanding. Based on SN's closing stock price of $20.25 on Nov 4, the last full trading day prior to the announcement, each GF share was valued at $11.32. The transaction had been subject to state and federal banking regulatory approval and had been accounted for as a pooling of interests.</t>
  </si>
  <si>
    <t>In November 1993, Nostalgia Network disclosed that it had received an offer to acquire 54% or 7,776,000 of the company's common stock outstanding for $2.20 per share or a total value of $17. 1 mil from an undisclosed acquiror . In September 1993, Concept Communications offered to acquire all the outstanding common stock and preferred stock of Nostagia for $29.6 mil. International Family Entertainment launched a tender offer to acquire Nostalgia.</t>
  </si>
  <si>
    <t>Weyco Group Inc</t>
  </si>
  <si>
    <t>Mnfr,whl, men's footwear</t>
  </si>
  <si>
    <t>A management led investor group withdrew its offer to acquire the remaining 1,405, 300 shares or 66.4% of Weyco Group that it did not already own for $34 per share, or a total consideration of $47.8 mil. The transaction was terminated after some large shareholders expressed dissatisfaction with the acquisition price.</t>
  </si>
  <si>
    <t>USBANCORP,Johnstown,PA</t>
  </si>
  <si>
    <t>USBANCORP (UB) acquired Johnstown Savings (JS) in a stock swap valued at $43.41 mil. The amended agreement called for JS shareholders to receive $10.13 cash and .4925 UB common shares for each JS share held. Based on UB's closing stock price of $24.75 on Jan 17, the last full trading day prior to the announcement of amended terms, each JS common share was valued at $22.50. The previous agreement called for JS shareholders to receive $21.5 per share in cash and common shares or a total $42. 83 mil.</t>
  </si>
  <si>
    <t>Prime Federal Bank FSB</t>
  </si>
  <si>
    <t>First Northern Savings Bank SA</t>
  </si>
  <si>
    <t>First Northern Savings Bank (FN) acquired Prime Federal Bank (PF), De Pere, Wisconsin, in a tax-free stock swap transaction valued at $19 mil. PF common shareholders received 2.8275 FN common shares for each of their shares held. Based on FN's closing stock price of $15.25 per share on Nov 10, the last full trading day prior to disclosure, each PF share was valued at $43. The transaction was to be accounted for as a pooling of interests and was subject to regulatory approval.</t>
  </si>
  <si>
    <t>American Healthcare Management</t>
  </si>
  <si>
    <t>OrNda HealthCorp</t>
  </si>
  <si>
    <t>Own,op hospital</t>
  </si>
  <si>
    <t>OrNda HealthCorp acquired American Healthcare Management (AHI) in a stock swap valued at $403.1 mil. AHI shareholders received .6 OrNda common shares for each share held. Based on OrNda's closing stock price of $14.5 on Nov 17, the last full trading day prior to the announcement, each share of AHI was valued at $8.7. OrNda was to also assume $163.9 mil in liabilities. The transaction was to be accounted for as a pooling of interests and had been subject to regulatory approval.</t>
  </si>
  <si>
    <t>Electromedics Inc</t>
  </si>
  <si>
    <t>Mnfr,whl blood mgmt equipment</t>
  </si>
  <si>
    <t>Medtronic acquired all of the outstanding common stock of Electromedics for an amended $6.75 in cash or in its own common shares for each Medtronic common share held, or a total of $95.08 mil. Medtronic had originally offered $6.125 per share or a total of $86.28 mil. Prior to Medtronic's increased offer, St Jude Medical had launched a competing bid to acquire Electromedics for $92 mil.</t>
  </si>
  <si>
    <t>Independence Bancorp,Perkasie</t>
  </si>
  <si>
    <t>CoreStates Financial (CF) acquired Independence Bancorp (IB) in a stock swap valued at $463 mil. IB common shareholders received 1.5 CF common shares for each share held, which had been subject to a collar agreement. Based on CB's closing price of $27 per share on Nov 18, the last full trading day prior to disclosure, each IB share had been valued at $40.50. CF had also been granted an option to acquire up to 9.9% of IB's stock under a lockup agreement. The transaction had been accounted for as a pooling of interests.</t>
  </si>
  <si>
    <t>Mark Twain Bancshares,MO</t>
  </si>
  <si>
    <t>Mark Twain Bancshares agreed to acquire CB Bancshares in a stock swap transaction. Terms were not disclosed. The transaction was subject to regulatory approval and was to be accounted for as a pooling of interests.</t>
  </si>
  <si>
    <t>Intl Leisure Enterprises Inc</t>
  </si>
  <si>
    <t>Own and op resort properties</t>
  </si>
  <si>
    <t>Edward J Martori acquired an undisclosed majority interest, or 3,534,857 shares, in International Leisure Enterprises from Arthur J Martori for $1.6 mil in assets.</t>
  </si>
  <si>
    <t>Lake Shore Bancorp Inc</t>
  </si>
  <si>
    <t>First Chicago Corp,Illinois</t>
  </si>
  <si>
    <t>First Chicago (FC) acquired Lake Shore Bancorp (SB) in a stock swap transaction valued at $307.26 mil. Consideration consisted of .671 FC common shares for each SB share held. Based on FC's average closing stock price of $50.41 for the 20 days prior to closing, each SB share was valued at $31.1. The transaction had been subject to a collar of FC's average closing stock not trading lower than $37 per share and not higher than $53 per share. The transaction had been subject to regulatory approval. In August 1993, SB announced a possible merger with an undisclosed bank.</t>
  </si>
  <si>
    <t>Mergerco Inc</t>
  </si>
  <si>
    <t>US - Mergerco acquired the remaining 12% interest in Pettibone it did not already own for an indicated $5.21 mil in cash. The consideration offered included $3.5 in cash for each Pettibone common share, $5.65 in cash for each Class A Preferred Series 1 share, $7.18 in cash for each Class A Preferred Series 2 share and $3.5 in cash for each Class B Preferred share held.</t>
  </si>
  <si>
    <t>Mid Maine Savings Bk,Auburn,ME</t>
  </si>
  <si>
    <t>Peoples Heritage Finl Group,ME</t>
  </si>
  <si>
    <t>Pvd banking,financial svcs</t>
  </si>
  <si>
    <t>Peoples Heritage Financial Group (PHFG) acquired Mid Maine Savings Bank, Auburn, Maine (MMS) in a stock swap transaction valued at $11.52 mil. PHFG offered .835 common shares for each MMS share held. Based on PHFG's closing stock price of $10 on Nov 23, the last full trading day prior to the announcement, each MMS share was valued at $8.35. The transaction had been subject to state and federal banking regulatory approval.</t>
  </si>
  <si>
    <t>Esquire Radio &amp; Electronics</t>
  </si>
  <si>
    <t>Mnfr,whl telecommun products</t>
  </si>
  <si>
    <t>Steel Partners II LP</t>
  </si>
  <si>
    <t>Steel Partners II (SP) withdrew its offer to acquire the remaining 92% of Esquire Radio &amp; Electronics (ERE) common stock it did not already own for an amended $51.5 in cash per share, or a total value of $22.99 mil. SP had its initial offer of $50 per common share rejected. Instead ERE searched for another buyer for itself, which it later terminated and instead launched a self- tender to go private. Also, ERE later repurchased SP's shares. ERE had terminated an earlier self-tender for up to 31% of its outstanding shares.</t>
  </si>
  <si>
    <t>MFL Holdings Inc</t>
  </si>
  <si>
    <t>Own and op restaurants</t>
  </si>
  <si>
    <t>MFL Holdings, a unit of Linium Technology, withdrew its offer to acquire 1,293, 584 common shares, or a 76% interest, in bankrupt Sunshine Jr Stores from American Financial and the Lewis family. Terms were not disclosed. MFL also terminated plans to launch a tender offer for the remaining 24% stake.</t>
  </si>
  <si>
    <t>MFL Holdings, a unit of Linium Technology, terminated its plans to launch a tender offer for the remaining 408, 500 common shares, or a 24% stake, in bankrupt Sunshine Jr Stores. Concurrently, MFL withdrew its offer to acquire the initial 76% interest from American Financial and the Lewis family.</t>
  </si>
  <si>
    <t>Western Publishing Group Inc</t>
  </si>
  <si>
    <t>Western Publishing terminated its search for a buyer for the company following its the sale of its games and puzzles business to Hasbro. In November 1993, Western Publishing disclosed that it had retained Bear Stearns and Morgan Stanley to help in its search for a buyer for the company. Western disclosed that several companies had expressed interest in a merger. Later Bemrose and Norwood Promotional Products agreed to acquire the four divisions of the advertising specialty division of Penn, a unit of Western Publishing.</t>
  </si>
  <si>
    <t>An investor group, including Steinhardt Enterprises and Pensler Capital, withdrew its offer to acquire all of the outstanding common share of Katy Industries (KI) via a tender offer for $28 in cash per share or a total of $252 mil. Earlier, Rosecliff Pensler Partners withdrew its offer to acquire acquire all the outstanding common shares of KI in an offer which evolved into a solo bid by Rosecliff. In March 1993, Katy Holdings, a group led by the Carroll family, which held 51.1% of KI had definitively agreed to acquire the remaining 48.1% of KI.</t>
  </si>
  <si>
    <t>Motor Coach Industries Intl</t>
  </si>
  <si>
    <t>Mnfr railroad cars,equipment</t>
  </si>
  <si>
    <t>Consorcio G Grupo Dina'l'ads</t>
  </si>
  <si>
    <t>Manufacture trucks</t>
  </si>
  <si>
    <t>Consorcio G Grupo Dina (CDG) merged with Motor Coach Industries International (MCI) for an amended $334.6 mil. The merger was in two parts with 51% of MCI shareholders receiving 1.236 CDG American Depository shares for each share or total of $169.71 mil and the remaining 49% receiving $16.72 of convertible subordinated debentures per MCI share held or a total of $164.93 mil. The ADS portion of the transaction was valued based on CDG's closing ADS price of $13.375 on May 17, the last full trading day prior to the announcement of amended terms.</t>
  </si>
  <si>
    <t>Rexnord Corp</t>
  </si>
  <si>
    <t>Mnfr ball,roller bearings</t>
  </si>
  <si>
    <t>BTR Dunlop Holdings(BTR PLC)</t>
  </si>
  <si>
    <t>Pvd highway construction svcs</t>
  </si>
  <si>
    <t>US - BTR Dunlop Holdings Inc, a unit of BTR PLC (BTR), merged with Rexnord Corp (RC), a manufacturer of ball and roller bearings, for $22.50 in cash per share, or a total of $414.755 mil. Upon completion, the newly combined entity was known as RC. RC operated as a subsidiary of BTR.</t>
  </si>
  <si>
    <t>Rexnord Corp(BTR PLC)</t>
  </si>
  <si>
    <t>Mnfr,whl power trans component</t>
  </si>
  <si>
    <t>BTR Dunlop Holdings, a wholly owned unit of BTR, merged with Rexnord for $814. 8 mil. The consideration consisted of $22.50 in cash for each Rexnord common stock as well as assumption of $400 mil of Rexnord's debt. Fairchild, who held a 43.9% stake in Rexnord, as well as an institutional investor, who held a 6% stake, both agreed to divest their shares. The merger had been subject to approval by Hart-Scott- Rodino as well as other appropriate regulatory agencies.</t>
  </si>
  <si>
    <t>Summit Health Ltd</t>
  </si>
  <si>
    <t>OrNda Health merged with Summit Health in a stock swap valued at $350.83 mil. OrNda offered .2157 shares of its common stock and $5.5 in cash for each Summit common share and assumed $83 mil in debt. Based on OrNda's closing stock price of $12.75 in Dec 1, the last full trading day prior to the announcement, each Summit share had an indicated value of $8.25. The transaction had been subject to regulatory approval.</t>
  </si>
  <si>
    <t>Farm &amp; Home Financial Corp</t>
  </si>
  <si>
    <t>Roosevelt Financial Group (RF) acquired Farm &amp; Home Financial (FHF) in a tax-free stock swap valued at $243.6 mil. FHF common shareholders received 2.01 RF common shares for each share held, adjusted from .67 shares due to a 3-1 stock split. Based on RF's closing stock price of $41.5 on Dec 2, the last full trading day prior to the disclosure, each FHF share was valued at $27.77. Concurrently, RF divested FHF's residential construction lending division, wholesale Texas loan operation, and Corpus Christi branch.</t>
  </si>
  <si>
    <t>Trans Leasing International</t>
  </si>
  <si>
    <t>Lease medical equipment</t>
  </si>
  <si>
    <t>Trans Leasing International (TI) terminated negotiations with an undisclosed acquiror. TI retained Bear Stearns to explore possible alternatives.</t>
  </si>
  <si>
    <t>Dreyfus Corp</t>
  </si>
  <si>
    <t>Security brokers &amp; dealers</t>
  </si>
  <si>
    <t>Mellon Bank (ML) acquired Dreyfus (DY) in a $1.85 bil tax-free stock swap transaction. DY common shareholders received .88017 ML common shares for each DY share held. Based on ML's closing stock price of $57. 375 per share on Dec 3, the last full trading day prior to disclosure, each DY share was valued at $50.5. The transaction had been accounted for as a pooling of interests. DY had ended talks with an undisclosed acquiror, rumored to possibly be BANC ONE, NationsBank, or JP Morgan.</t>
  </si>
  <si>
    <t>Glasgal Communications Inc</t>
  </si>
  <si>
    <t>Dvlp tech deployment systems</t>
  </si>
  <si>
    <t>Sellectek Inc</t>
  </si>
  <si>
    <t>Manufacture electric equipment</t>
  </si>
  <si>
    <t>Sellectek (SE) acquired Glasgal Communications (GC) in a reverse stock swap merger for $8.08 mil. GC shareholders were to receive 3,242.4 SE common shares for each GE share held. Currently GC has 2,849 shares outstanding. Based on SE's closing stock price of $.875 on Apr 28, the last full trading day prior to the announcement of ammended terms, each GC share was value valued at $2837.1. Following the completion of the transaction SE shareholders would own about 5% of the combined entity, and Glasgal shareholders would own 95%.</t>
  </si>
  <si>
    <t>St Jude Medical Inc</t>
  </si>
  <si>
    <t>Mnfr,wholesale medical devices</t>
  </si>
  <si>
    <t>St Jude Medical withdrew its offer to acquire all the outstanding stock of Electromedics for $92.27 mil. The consideration was to have consisted of a choice of $6. 375 in cash for each Electromedia common share or . 2287 St Jude common share for each Electromedia share. Based on St Jude's closing share price of $28.625 on Dec 6, the last full trading day prior to the announcement, each Electromedia share had indicated value of $6.55. Concurrently, Medtronics acquired Electromedics.</t>
  </si>
  <si>
    <t>BB&amp;T Financial acquired LSB Bancshares Inc in a stock swap transaction valued at $122.76 mil. BB&amp;T offered 1. 2593 shares of its common stock in exchange for each LSB share held, which had been subject to a collar agreement. Based on BB&amp;T's closing stock price of $31. 375 on Jun 29, the last full trading day prior to the completion, each LSB share was valued at $39.51. In addition, BB&amp;T was granted an option to acquire a 24.84% stake in LSB for $30 per share. The transaction had been accounted for as a pooling of interests and had been subject to regulatory approval.</t>
  </si>
  <si>
    <t>Hymedix</t>
  </si>
  <si>
    <t>Pvd mgmt consulting svcs</t>
  </si>
  <si>
    <t>Kingston Technology Co Inc</t>
  </si>
  <si>
    <t>Mnfr computer memory chips</t>
  </si>
  <si>
    <t>US-Kingston Technologies Inc and Servtex International Inc completed their merger, and began trading on the Nasdaq Small Cap Market as a newly named company, Hymedix Corp. (HYMX). Hymedix Inc is in the business of developing and manufacturing products for the wound care, skin care, cardiology and radiology markets. These products are based on the Company's proprietary hydrophilic polymer systems. The Company has also developed and licensed two ophthalmic products based on its polymer systems, the MemoryLens(TM) intraocular lens and a disposable soft contact lens. The business of Servtex was discontinued in late 1993.</t>
  </si>
  <si>
    <t>Nahama &amp; Weagant Energy Co</t>
  </si>
  <si>
    <t>Alexander Energy terminated its negotiations to merge with Nohama &amp; Wegant Energy and become wholly-owned units of a newly formed holding company. The transaction agreement had called for both Alexander and Nahama shareholders to receive one common share of the holding company for each common share they held in their respective companies.</t>
  </si>
  <si>
    <t>Tocor II Inc</t>
  </si>
  <si>
    <t>Pvd physical research svcs</t>
  </si>
  <si>
    <t>Centocor Inc</t>
  </si>
  <si>
    <t>Mnfr therapeutic health prods</t>
  </si>
  <si>
    <t>Centocor completed a tender offer to acquire all the 2.25 mil outstanding units of Tocor II in a stock swap transaction at $40 per unit for a total of $90 mil, by accepting 2,122,955 units, or about 94.4% of the units outstanding. A unit consisted of 1 common share, 1 series T warrant for 1 common share, and one callable warrant for 1 common share. Centocor's stock was valued based on the average closing price prior to completion. The transaction had been subject to a collar of Centocor shares issued per unit would be between 2.73 and 3.2.</t>
  </si>
  <si>
    <t>Nutmeg Industries Inc</t>
  </si>
  <si>
    <t>Mnfr collegiate apparel</t>
  </si>
  <si>
    <t>VF Corp</t>
  </si>
  <si>
    <t>Manufacture,wholesale apparel</t>
  </si>
  <si>
    <t>VF acquired Nutmeg Industries (NI) for $325.5 mil through a tender merger. VF completed a tender offer to acquire all the outstanding common shares of NI for $17.5 in cash per share or a total of $325.5 mil, by accepting 17,630,419 shares, or about 95%. All remaining shares not tendered were acquired through a subsequent merger with identical terms. Under a lockup agreement, VF received an option for a 13.8% stake in Nutmeg. Concurrently, VF acquired an option granting VF 18.9% of Nutmeg's common stock held by management.</t>
  </si>
  <si>
    <t>Snyder Oil Corp</t>
  </si>
  <si>
    <t>Snyder Oil terminated negotiations with American Exploration about a possible merger. In January 1994, Snyder Oil raised its stake to 8.4% from 4.95% in American Exploration.</t>
  </si>
  <si>
    <t>VSB Bancorp Inc</t>
  </si>
  <si>
    <t>UJB Financial acquired VSB Bancorp in a $71.67 mil stock swap transaction. VSB common shareholders received .7727 UJB common shares for each VSB common share held. The final ratio was determined by UJB's average closing price during the period prior to closing. Based on UJB's closing stock price of $27.5 on Mar 12, the last full trading day prior to announcement, each VSB share was valued at $21.25. In 1993, VSB disclosed it was seeking a buyer for the company.</t>
  </si>
  <si>
    <t>Borden Inc</t>
  </si>
  <si>
    <t>Produce dairy prods,snacks</t>
  </si>
  <si>
    <t>Hanson was no longer rumored to be interested in acquiring Borden. Other rumored acquirors were Nestle and Unilever. Borden planned to reveal restructuring plans in Jan 1994. Earlier in Dec 1993 Borden disclosed that it was seeking a buyer for certain businesses.</t>
  </si>
  <si>
    <t>Fibreboard Corp</t>
  </si>
  <si>
    <t>Mnfr fibreboard, paperboard</t>
  </si>
  <si>
    <t>CRP 3800 led by Carl Pohlad terminated its unsolicited offer to acquire the remaining 3,903,416 common shares of Fibreboard that it didn't already own for $45 per share, or a total of $184. 843 mil. This value included CRP's acquisition of a 6.78% stake or 283,900 shares in December 1993 for an indicated value of $9.19 mil. Fibreboard had rejected CRP's earlier bid of $42.5 per share or a total of $175.085 mil.</t>
  </si>
  <si>
    <t>Big-O-Tires terminated its search for a buyer it had announced in December 1993 after deciding to remain independent and pursue a plan of making future acquisitions.</t>
  </si>
  <si>
    <t>Care Enterprises Inc</t>
  </si>
  <si>
    <t>Nursing care facilities</t>
  </si>
  <si>
    <t>Regency Health Services Inc</t>
  </si>
  <si>
    <t>Pvd nursing services</t>
  </si>
  <si>
    <t>Regency Health Services (RHS) acquired Care Enterprises (CE) in a tax free stock swap transaction valued at $120 mil. CE common shareholders received .71 RHS common shares for each share held. Based on RHS's closing stock price of $12.63 per share on Dec 20, the last full trading day prior to the announcement, each CE share was valued at $8.96. The transaction was accounted for as a pooling of interests and had been subject to regulatory approval.</t>
  </si>
  <si>
    <t>Riedel Environmental Tech</t>
  </si>
  <si>
    <t>Pvd sanitary,engineering svcs</t>
  </si>
  <si>
    <t>Riedel Environmental Technologies (REI), a 56% owned subsidiary of bankrupt Williamette-Western (WW) disclosed that it was in discussions with an undisclosed acquiror. In September 1993, WW had announced that WW was seeking a buyer for the REI shares that it held. WW decided to dispose of the shares under a plan of reorganization. In February 1992, REI announced that it was seeking a buyer for 5 of its units, the proceeds of which it was to use to finance a repurchase of shares from WW.</t>
  </si>
  <si>
    <t>Healthcare America (HA) acquired all the outstanding common shares of HealthVest (HV) in a stock swap transaction HV's shareholders would receive 1 share of HA's common stock for each HV share held.</t>
  </si>
  <si>
    <t>Convergent Solutions</t>
  </si>
  <si>
    <t>KTI Inc</t>
  </si>
  <si>
    <t>Own,op waste-to-energy plants</t>
  </si>
  <si>
    <t>KTI Enviromental Group Inc acquired Convergent Solutions (CS) through an amended stock swap. CS shareholders received 1 KTI share per CS share held. Upon completion, KTI shareholders acquired control of 65.2% of the merged company. The previous ratio had been 61% to 39% and the initial ratio had been 64% to 36%. CS had originally agreed to acquire KTI in a reverse stock swap, after which KTI was to have owned 60% of CSOL. Also, either party could have terminated the deal if CS's stock price exceeded $2.5 on the effective date of the merger.</t>
  </si>
  <si>
    <t>Wetterau Properties Inc</t>
  </si>
  <si>
    <t>SuperValu Inc</t>
  </si>
  <si>
    <t>Own,operate grocery stores</t>
  </si>
  <si>
    <t>SuperValu acquired the remaining 91.1% interest in Wetterau Properties it did not already own in a transaction valued at $28.4 mil. Wetterau shareholders would receive $22 in a liquidation dividend for every share held. SuperValu was also to assume liabilities. LaSalle Partners advised Wetterau Properties.</t>
  </si>
  <si>
    <t>Central Pennsylvania Financial</t>
  </si>
  <si>
    <t>Fulton Financial Corp</t>
  </si>
  <si>
    <t>Fulton Financial acquired Central Pennsylvania Financial (CPF) for $44.62 mil in cash, or $23 per share. In December 1993, CPF had disclosed that it was seeking a buyer for its company. The transaction had been subject to federal and state banking regulatory approval. As part of the merger agreement, National Penn Bank acquired 8 branches of Central Pennsylvania Savings Association, a unit of CPF.</t>
  </si>
  <si>
    <t>Aspen Marine Group</t>
  </si>
  <si>
    <t>Houseboat rental services</t>
  </si>
  <si>
    <t>Bertrix Corp</t>
  </si>
  <si>
    <t>Bertrix acquired a 94% interest in Aspen Marine Group (AMGI) in exchange for TS Diversion, TS Commercial, and Tiera Del Sol, three companies  that own the Tiera Del Sol Hotel and Casino. Concurrently, Bertrix was negotiating to acquire Sport of Kings. Also, an investor group consisting of officers of AMGI was negotiating to acquire the marine and boat manufacturing operations of AMGI from Bertrix.</t>
  </si>
  <si>
    <t>Sterling Financial Corp,WA</t>
  </si>
  <si>
    <t>Life ins co;RE brokers</t>
  </si>
  <si>
    <t>US - An investor group acquired the entire share capital of Sterling Financial Corp, a Spokane-based bank holding company, from SoftNet technology Corp.</t>
  </si>
  <si>
    <t>Alta Energy Corp</t>
  </si>
  <si>
    <t>Devon Delaware Corp</t>
  </si>
  <si>
    <t>Devon Energy (DV) acquired Alta Energy (AL) for an amended $67.54 mil. DV offered $1.4 mil in cash and 1.18 mil shares of DV common stock valued based on DV's closing share price of $23 on May 17, the last full trading day prior to the announcement of the amended terms. Previously, DV offered between $.35 to $.65 in cash, and .3 DV shares for each AL share, valuing each AL share at $6.2, based on the high range amount of cash offered. Originally, DV offered $.23 in cash and .3189 DV shares per AL share.</t>
  </si>
  <si>
    <t>McGaw Inc</t>
  </si>
  <si>
    <t>IVAX acquired McGaw in a stock swap valued at a revised $428.52 mil. Ivax offered .523 of its own common shares for each McGaw share held based on IVAX's average closing stock price for the 10 day period ending two days prior to completion. Based on IVAX's closing stock price of $29.125 on Mar 25, the last full trading day prior to the disclosure of exact terms, each McGaw share was valued at $15.232. McGaw shareholders were originally to have received $16 of IVAX common stock for each McGaw common share held.</t>
  </si>
  <si>
    <t>EB Inc</t>
  </si>
  <si>
    <t>Parkway Co</t>
  </si>
  <si>
    <t>Own,op office buildings</t>
  </si>
  <si>
    <t>Parkway raised its stake to 51.3% from 29.7% in EB, formerly known as Eastover Bank for Savings, by acquiring 430,371 common shares from the Resolution Trust Corporation for $5.6 mil in cash, or $13 per share.</t>
  </si>
  <si>
    <t>City Holding Co,Charleston,WV</t>
  </si>
  <si>
    <t>City Holding (CH) terminated its agreement to acquire Lincoln Savings Bank, Carnegie, PA (LSB) in a stock swap transaction valued at $68.35 mil. CH offered 2.25 shares of its common stock for each LSB share held. Based on CH's closing stock price of $33.75 on Jan 5, the last full trading day prior to the announcement, each of LSB's shares was valued at $75.94. The transaction was terminated after a major shareholder stated it would vote against the merger. This would have made it impossible to account for the deal as a pooling of interests.</t>
  </si>
  <si>
    <t>Viacom(VI), a unit of National Amusements, acquired Blockbuster Entertainment(BE) in a $7.971 bil stock swap transaction. BE common shareholders received .08 class A shares and .60615 class B shares as well as 1 variable common right for each share held. The shares were valued based on VI closing prices of $47 and $42. 75 for class A and B shares, respectively, on Jan 6, the last trading day prior to disclosure. BE had previously agreed to grant a $1.25 bil cash infusion to VI to assist in the contested bid for Paramount Communications.</t>
  </si>
  <si>
    <t>Holnam Inc</t>
  </si>
  <si>
    <t>Mnfr cement;hldg co</t>
  </si>
  <si>
    <t>Holderbank Financiere Glarus</t>
  </si>
  <si>
    <t>Mnfr,whl cement</t>
  </si>
  <si>
    <t>Holderbank Financiere Glarus (HFG) acquired the remaining 5%, or about 6.8 mil common shares, that it did not already own in Holnam, a unit of the Holdernam subsidiary of HFG, for $7.65 in cash per share, or a total value of $51.7 mil.</t>
  </si>
  <si>
    <t>Provident Bancorp,OH</t>
  </si>
  <si>
    <t>Commercial bank,holding co</t>
  </si>
  <si>
    <t>Provident Bancorp terminated plans to divest itself to several undisclosed banking institutions.</t>
  </si>
  <si>
    <t>TakeCare Inc</t>
  </si>
  <si>
    <t>Own,op HMO's</t>
  </si>
  <si>
    <t>FHP International Corp</t>
  </si>
  <si>
    <t>FHP International acquired all the outstanding stock of TakeCare (TC) for an amended $1.07 bil, or $80 per share, in a stock swap transaction. FHP offered $28 in cash and $40 in convertible preferred shares and $12 in common shares for each TC common share. FHP had originally offered $829 mil, or $62 per share. The transaction had been subject to regulatory approval.</t>
  </si>
  <si>
    <t>Fifth Third Bancorp (FTB) acquired Cumberland Federal Bancorp (CFB) in a stock swap transaction valued at $137.5 mil. CFB common shareholders were to receive $57 of FTB common stock, subject to a collar of no less than 1, and no more than 1.2 FTB common shares for each CFB share held. The transaction had been subject to regulatory approval. CFB granted FTB an option to purchase up to 19. 9% of CFB's unissued common stock. JP Morgan assisted FTB as financial advisor. CFB was to be renamed Fifth Third Bank, Kentucky.</t>
  </si>
  <si>
    <t>National Media Corp</t>
  </si>
  <si>
    <t>Pvd infomercial prodn svcs</t>
  </si>
  <si>
    <t>ValueVision International Inc</t>
  </si>
  <si>
    <t>Pvd direct marketing services</t>
  </si>
  <si>
    <t>Advertising Services</t>
  </si>
  <si>
    <t>ValueVision International (VV) terminated its amended tender offer to acquire the remaining 90.2% interest in National Media (NM) to $11.5 cash per share or a total of $129.92 mil. VV cited dissatisfaction with NM's inaccurate representations and adverse regulatory developments. VV had launched a hostile offer for a raised $119.76 mil. VV had offered $10.5 in cash for 40.3% of the NM common shares and $10. 5 in its own Class A shares for the remaining 49.8% stake. In January 1994, VV acquired a 9.8% stake in NM, which was included in the deal value.</t>
  </si>
  <si>
    <t>Public Storage Properties VIII</t>
  </si>
  <si>
    <t>Own, operate commercial pptys</t>
  </si>
  <si>
    <t>Storage Equities Inc</t>
  </si>
  <si>
    <t>Storage Equities (SE) acquired all the common stock of Public Storage Properties VIII (PSP) for cash and common stock for $58.34 mil. Storage offered a choice of $22.16 in cash for up to 50% of PSP common shares or alternatively an undisclosed number of SE shares for PSP shares.</t>
  </si>
  <si>
    <t>BancFlorida Financial Corp</t>
  </si>
  <si>
    <t>First Union (FU) acquired BancFlorida Financial (BFF) in a stock swap transaction valued at $108.46 mil. FU offered, subject to a collar agreement, $30 of its common shares for each BFF share held. Under terms of a lockup agreement, FU had been granted an option to acquire a 19% stake in BFF for $25 per share. The transaction had been subject federal and state banking regulatory approval.</t>
  </si>
  <si>
    <t>ICC Technologies Inc</t>
  </si>
  <si>
    <t>Pvd info tech svcs</t>
  </si>
  <si>
    <t>Engelhard Corp</t>
  </si>
  <si>
    <t>Mnfr catalysts,pigments,chems</t>
  </si>
  <si>
    <t>Engelhard acquired a 50% interest in ICC Technologies for $10 mil as part of the formation of a joint venture. Engelhard also contributed $3 mil of credit support and certain technology rights to the partnership.</t>
  </si>
  <si>
    <t>WPI Group Inc</t>
  </si>
  <si>
    <t>Mnfr specialty transformers</t>
  </si>
  <si>
    <t>WPI Group (WPI) acquired Termiflex (TFLX) in a stock swap valued at $6.55 mil. TFLX shareholders received 1. 2 shares of WPI common stock for each TFLX share outstanding. Based on WPI's closing stock price of $4 on Jan 14, the last full trading day prior to the announcement, each share of TFLX was valued at $4.8. Previously, in August 1993, William E Fletcher, TFLX's CEO, had offered to acquired TFLX in a leveraged buyout transaction.</t>
  </si>
  <si>
    <t>Frankford Corp</t>
  </si>
  <si>
    <t>Keystone Financial, Harrisburg, Pennsylvania (KF) acquired Frankford (FF) in a tax free stock swap transaction valued at $131.5 mil. FF common shareholders were to receive 1.333 KF common shares for each of their shares held. Based on KF's closing stock price of $31.5 per share on Jan 17, the last full trading day prior to the announcement, each FF share was valued at $42. The transaction had been subject to federal and state banking regulatory approval.</t>
  </si>
  <si>
    <t>Perfumania Inc</t>
  </si>
  <si>
    <t>Own,op ret fragrance chain</t>
  </si>
  <si>
    <t>Perfumania terminated its search for a buyer which it had announced in January 1994. Perfumania announced it had retained Wasserstein Perella Securities to assist in its search for a buyer. Perfumania had explored the possibility of Reylon's Prestige Fragrance &amp; Cosmetics unit acquiring Perfumania's US retail operations.</t>
  </si>
  <si>
    <t>Micro Component Technology Inc</t>
  </si>
  <si>
    <t>Mnfr,whl automatic test prod</t>
  </si>
  <si>
    <t>Micro Component Technology (MC) terminated its agreement to acquire Sym-Tek Systems (ST) in a stock swap valued at an amended maximum of $2.5 mil. Consideration consisted of an initial .36 in mil MC stock and an additional .04 mil shares subject to 10% 90- day hold back. The value was based on MC's closing stock price of $6.25 on Apr 28, the last trading day prior to amended terms. Originally, MC offered .3 MC shares for each ST share, but the terms were renegotiated following ST's delisting on NASDAQ in April.</t>
  </si>
  <si>
    <t>United HealthCare (UH) withdrew its offer to acquire TakeCare (TC) in a tax-free stock swap transaction valued at $896.648 mil. TC common shareholders were to have received .85 UH common shares for each of their shares held. Based on UH's closing stock price of $82.75 on Jan 18, the last full trading day prior to the announcement, each share was valued at $70. 34. The transaction was to have been accounted for as a pooling of interests. In June 1994, FHP International acquired TC for an amended $1. 07 bil, or $80 per share, in a stock swap transaction.</t>
  </si>
  <si>
    <t>Mr. Coffee Inc</t>
  </si>
  <si>
    <t>Mnfr electric coffee makers</t>
  </si>
  <si>
    <t>Health o meter Products Inc</t>
  </si>
  <si>
    <t>Manufacture medical equipment</t>
  </si>
  <si>
    <t>Health o meter Products acquired all the outstanding common stock of Mr Coffee for $15.5 in cash per share or a total value of $134.317 mil. The value included options to purchase 531,286 common shares valued at $15.5 cash less $5.79, the average exercise price per option. Worth, which held an 18% stake in Mr Coffee, had previously agreed to vote in favor of the acquisition. In January 1994, Mr Coffee had disclosed it had been in talks with an undisclosed acquiror.</t>
  </si>
  <si>
    <t>Alpine Meadows of Tahoe Inc</t>
  </si>
  <si>
    <t>Own,op hotel ski resort</t>
  </si>
  <si>
    <t>Powdr Corp</t>
  </si>
  <si>
    <t>Own,operate mountain resorts</t>
  </si>
  <si>
    <t>Powdr merged with Alpine Meadows of Tahoe (AM) in a transaction valued at $37.21 mil concurrent with the completion of its tender offer to acquire all the outstanding common shares and voting preference shares of AM for $10.67 per share. Powdr had accepted 97.2% of AM's common shares and 94.2% of AM's preference shares. In January 1994, Alpine had announced it was in negotiations with undisclosed acquirors.</t>
  </si>
  <si>
    <t>On The Border Cafes Inc</t>
  </si>
  <si>
    <t>Operate Tex-Mex restaurants</t>
  </si>
  <si>
    <t>Brinker International Inc</t>
  </si>
  <si>
    <t>Own,operate restaurants</t>
  </si>
  <si>
    <t>Brinker International (BI) acquired On the Border Cafes (OBC) through a stock swap transaction valued at $30.808 mil. The agreement called for OBC shareholders to receive . 329 BI common shares for each OBC share held which had been subject to a collar based on BI's average closing stock price for the 10 day trading period ending 5 days prior to completion. Based on BI's closing stock price of $43.75 on Jan 21, each OBC share was valued at $9.60. The transaction was accounted for as a pooling of interests.</t>
  </si>
  <si>
    <t>WLR Foods Inc</t>
  </si>
  <si>
    <t>Prod poultry,meat products</t>
  </si>
  <si>
    <t>Tyson Foods terminated its hostile tender offer to acquire all the outstanding shares of WLR Foods for $30 per share in cash, or a total value of $328.3 mil. The value included 600,063 shares purchased prior to the offer in the open market. Tyson terminated the offer due to WLR's agreement to acquire the turkey processing and production assets of Cuddy Farms in exchange for cash and common shares.</t>
  </si>
  <si>
    <t>BankFirst Corp,Decatur,Alabama</t>
  </si>
  <si>
    <t>Union Planters (UP) acquired BNF Bancorp, formerly known as Bancfirst, in a stock swap transaction valued at $48.816 mil. BNF was a holding company for Bankfirst. BNF shareholders received 1.078 UP shares per BNF share held. Based on UP's closing stock price of $25.38 per share on Jan 27, the last full trading day prior to the announcement, each BNF share was valued at $27.36. The transaction had been subject to regulatory approval, and was accounted for as a pooling of interests.</t>
  </si>
  <si>
    <t>Continental Bank Corp NA</t>
  </si>
  <si>
    <t>BankAmerica (BA) acquired Continental Bank (CB) in a stock swap transaction valued at $2.16 bil. CB shareholders received $38.297 cash per share for 22.4 mil shares and .7993 BA common shares per share for 27.8 mil of their shares. The common shares were valued at $1.32 bil based on BA's closing stock price of $47.63 on Aug 19, the last full trading day prior to the announcement of the final terms. The transaction had called for a termination fee of the greater of $60 mil or 3% of the transaction's value. CB was to be renamed Bank America of Illinois.</t>
  </si>
  <si>
    <t>First Inter-Bancorp Inc</t>
  </si>
  <si>
    <t>First Fidelity Bancorp (FFB) acquired First Inter-Bancorp (FIB) for $56 mil or $24.20 per share in cash. Under a lockup agreement FFB had been granted an option to acquire 461,000 newly issued FIB common shares at $20.25 per share. The transaction had been subject to federal and state banking regulatory approval.</t>
  </si>
  <si>
    <t>Radiation Systems Inc</t>
  </si>
  <si>
    <t>Mnfr,whl microwave commun</t>
  </si>
  <si>
    <t>COMSAT Corp</t>
  </si>
  <si>
    <t>Pvd satellite commun svcs</t>
  </si>
  <si>
    <t>COMSAT (CQ) formally know as Communications Satellite Corp, acquired the remaining 95. 13% of Radiation Systems (RS) it did not already own in a stock swap valued at $144 mil. RS shareholders received $18. 25 in CQ common stock per share held, which had been subject to a collar requiring an exchange ratio of no less than .628 or more than .78 CQ shares per RS share. The transaction had called for a termination fee of up to $7.5 mil. RS was combined with a unit of CQ to form Comsat RSI. The transaction was accounted for as a tax-free pooling of interests and had been subject to regulatory approval.</t>
  </si>
  <si>
    <t>VMX Inc</t>
  </si>
  <si>
    <t>Pvd telephone commun system</t>
  </si>
  <si>
    <t>Octel Communications Corp</t>
  </si>
  <si>
    <t>Mnfr voice processing systems</t>
  </si>
  <si>
    <t>Octel Communications (OC) acquired all the outstanding shares of VMX in a stock swap transaction valued at $146.96 mil. VMX shareholders were to receive 1 OC common stock for every 5 VMX common shares held. Based on OC's closing stock price of $27.75 on Jan 28, the last full trading day prior to the announcement, each VMX share was valued at $5.55. The transaction had been to regulatory approval.</t>
  </si>
  <si>
    <t>Equivest Finance(Atlantic)</t>
  </si>
  <si>
    <t>An investor group led by Bennett Management &amp; Development, a unit of Bennett Funding Group, raised its stake to 63.77% from 40. 82% in Equivest Finance, a majority owned unit of Atlantic Investment Partners, for $6.52 in cash per share, or a total of $13.89 mil on the open market.</t>
  </si>
  <si>
    <t>Providence Health Care Inc</t>
  </si>
  <si>
    <t>Multicare Cos Inc</t>
  </si>
  <si>
    <t>Own,op nursing care facilities</t>
  </si>
  <si>
    <t>Multicare completed its merger with Providence Health Care in a transaction valued at $27.74 mil. Earlier, Multicare completed its tender offer to acquire all the outstanding common shares of Providence Health Care for $7.5 in cash per share, by accepting 3,674,889 shares, or about 93% of the primary shares outstanding (83% of fully-diluted shares). Providence had announced in August 1993 that it was seeking a buyer for itself.</t>
  </si>
  <si>
    <t>Loan America Financial,Florida</t>
  </si>
  <si>
    <t>Pvd mortgage banking svcs</t>
  </si>
  <si>
    <t>Barnett Banks acquired Loan America Financial (LAF) for $12.61 in cash per share, or a total value of $48.55 mil. LAF had disclosed earlier in February that it was in discussions about a possible acquisition of the company by an undisclosed financial institution. The transaction had been subject to federal and state banking regulatory approval.</t>
  </si>
  <si>
    <t>Specialty Equipment Cos Inc</t>
  </si>
  <si>
    <t>Mnfr, whl food service equip</t>
  </si>
  <si>
    <t>Investor Malcolm I Glazer (MIG) planned to raise his stake in Specialty Equipment (SE) to a majority interest from 44.7%. MIG raised his stake in SE to 44.7% by acquiring 6,735,176 common shares and 1,094,763 warrants between Jul 15 and Dec 9. The transaction was subject to regulatory approval.</t>
  </si>
  <si>
    <t>3CI Complete Compliance Corp</t>
  </si>
  <si>
    <t>Pvd med waste mgmt services</t>
  </si>
  <si>
    <t>Waste Systems Inc</t>
  </si>
  <si>
    <t>Refuse disposal,collection svc</t>
  </si>
  <si>
    <t>Waste Systems (WS) raised its stake to 63% from 43% by acquiring 1,255,182 restricted common shares of 3CI Complete Compliance (3CI) from American Medical Technologies (AMT) for $5.1 mil in a privately negotiated transaction. Concurrently, 3CI, a unit of AMT, acquired A/MED and American Medical Transports from WS in exchange for 2,640,350 shares of 3CI common stock.</t>
  </si>
  <si>
    <t>Broderbund Software Inc</t>
  </si>
  <si>
    <t>Dvlp,whl educational software</t>
  </si>
  <si>
    <t>Electronic Arts Inc</t>
  </si>
  <si>
    <t>Dvlp,whl interactive software</t>
  </si>
  <si>
    <t>Electronic Arts (EA) terminated its agreement to acquire Broderbund Software (BS) in a stock swap transaction valued at $404.25 mil because BS failed to secure changes in the terms of the deal and consequently, paid EA $10 mil in termination fees. BS shareholders were to have received 1.6 shares of EA common stock for each share held. Based on EA's closing stock price of $26.25 on Feb 8, the last full trading day prior to the announcement, each share of BS was valued at $42. The transaction was to have been accounted for as a pooling of interests.</t>
  </si>
  <si>
    <t>Interspec Inc</t>
  </si>
  <si>
    <t>Develop medical ultrasound sys</t>
  </si>
  <si>
    <t>Advanced Technology Labs</t>
  </si>
  <si>
    <t>Mnfr medical imaging products</t>
  </si>
  <si>
    <t>Advanced Technology Laboratories (ATL) acquired Interspec in a stock swap transaction valued at $41.9 mil. Interspec shareholders to received .413 ATL common shares for each Interspec share held. Based on ATL's closing stock price of $16.25 on Feb 9, the last full trading day prior to the announcement, each Interspec share was valued at $6.7. The transaction had been accounted for as a pooling of interests.</t>
  </si>
  <si>
    <t>Eldec Corp</t>
  </si>
  <si>
    <t>Mnfr aerospace electn prod</t>
  </si>
  <si>
    <t>Crane Co</t>
  </si>
  <si>
    <t>Mnfr industrial products</t>
  </si>
  <si>
    <t>Crane completed its merger with Eldec in a transaction valued at $74.12 mil. Earlier, Crane had completed its tender offer for all the outstanding common shares of Eldec for $13 in cash per share, by accepting 5.62 mil shares, or about 98.58% of Eldec's shares. Eldec had retained Morgan Stanley in January 1994 to assist in merger talks with several undisclosed acquirors.</t>
  </si>
  <si>
    <t>Olympus Capital Corp</t>
  </si>
  <si>
    <t>Private eq firm</t>
  </si>
  <si>
    <t>Olympus Capital terminated negotiations with an undisclosed acquiror regarding a possible stock swap merger. Goldman Sachs acted as financial advisor to Olympus Capital.</t>
  </si>
  <si>
    <t>Esquire Radio &amp; Electronics (ERE) ended its search for a buyer of the company after it launched a self-tender to take the company private. Concurrently, ERE repurchased 36,500 shares from Steel Partners II (SP) in a privately negotiated transaction. Earlier ERE had rejected SP's amended offer to acquire ERE for $22.99 mil. Also, ERE had terminated its previously launched cash self- tender offer for up to .15 mil common shares, or 31.1% of its outstanding shares.</t>
  </si>
  <si>
    <t>Ramsay-HMO</t>
  </si>
  <si>
    <t>United HealthCare (UH) acquired Ramsay-HMO (RMO) in a stock swap transaction valued at an amended $564.93 mil, adjusted from $505.2 mil due to a stock split. UH offered 11.5 mil UH common shares. Based on UH's closing stock price of $47.875 on May 27, the last full trading day prior to the announcement of the amended terms, each share of RMO was valued at $74.66. The transaction was accounted for as a pooling of interests and subject to regulatory approval.</t>
  </si>
  <si>
    <t>US HomeCare Corp</t>
  </si>
  <si>
    <t>In February 1994, US HomeCare announced it retained Donaldson, Lufkin &amp; Jenrette Securities as financial advisor to help search for a buyer for the company.</t>
  </si>
  <si>
    <t>American Holdings</t>
  </si>
  <si>
    <t>Manage,dispose property</t>
  </si>
  <si>
    <t>American Holdings announced it was in negotiations with various undisclosed acquirors regarding a possible acquisition.</t>
  </si>
  <si>
    <t>Box Energy Corp</t>
  </si>
  <si>
    <t>Box Brothers Holding Co</t>
  </si>
  <si>
    <t>Box Brothers Holding (BB) acquired a 56.7% interest, or 1,840,525 Class A common shares, in Box Energy. BB also acquired 52,748 non- voting Class B common shares.</t>
  </si>
  <si>
    <t>Signet Bkg Corp,Richmond,VA</t>
  </si>
  <si>
    <t>Signet Banking (SB) acquired Pioneer Financial (PF) in a stock swap transaction valued at $55.675 mil. SB offered . 6232 of its common shares for each PF share held. The share exchange ratio had been subject to a collar requiring SB's average closing stock price during a 10 day period prior completion being between $33.3 and $40.12. Based on SB's closing stock price of $38 on Feb 16, the last full trading day prior to announcement, each PF share was valued at $23.68. Previously, PF had disclosed it was in merger negotiations with several financial groups.</t>
  </si>
  <si>
    <t>Scripps Howard Broadcasting Co</t>
  </si>
  <si>
    <t>Operate radio,TV stations</t>
  </si>
  <si>
    <t>EW Scripps Co</t>
  </si>
  <si>
    <t>Publish newspapers</t>
  </si>
  <si>
    <t>EW Scripps (EW), a 77.6% subsidiary of EW Scripps Trust, offered to acquire the remaining 14% interest in Scripps Howard Broadcasting (SHB), that it did not already own, in a transaction valued at $115.92 mil. Consideration was to consist of 3.45 class A common shares for each SHB share. Based on EW's closing stock price of $24 on Apr 6 , the last full trading day prior to the announcement of amended terms, each SHB share was valued at $82.8. EW had originally offered 3 class A common shares for each SHB share held.</t>
  </si>
  <si>
    <t>Concord</t>
  </si>
  <si>
    <t>Mnfr nuclear fuel,uranium</t>
  </si>
  <si>
    <t>Concord agreed to acquire a majority interest in Uranium Resources.</t>
  </si>
  <si>
    <t>ASA International Ltd</t>
  </si>
  <si>
    <t>Dvlp enterprise software</t>
  </si>
  <si>
    <t>In February 1994, ASA International announced it was seeking a buyer for the company. Concurrently, a management-led investor group was in negotiations to acquire certain assets of ASA International, which were later terminated.</t>
  </si>
  <si>
    <t>Grand Valley Gas Co</t>
  </si>
  <si>
    <t>Provide gas distribution svcs</t>
  </si>
  <si>
    <t>Associated Natural Gas Corp</t>
  </si>
  <si>
    <t>Associated Natural Gas (ANG) acquired Grand Valley Gas (GVG) through a stock swap transaction valued at $55 mil. The transaction agreement called for GVG shareholders to receive .25 ANG common shares for each GVG share held. Based on ANG's closing stock price of $34.75 on Feb 18, the last full trading day prior to the announcement, each GVG share was valued at $8.69. The transaction had been subject to regulatory approval.</t>
  </si>
  <si>
    <t>Crestmont Financial Corp</t>
  </si>
  <si>
    <t>Summit Bancorporation</t>
  </si>
  <si>
    <t>Summit Bancorporation (SB) acquired Crestmont Financial (CF) in a stock swap transaction valued at $86.24 mil. CF shareholders received 1.059 SB shares for each CF share held. Based on SB's closing stock price of $21 on Feb 18, the last full trading day prior to the announcement, each share of CF was valued at $22.24. Under a lockup agreement, SB had been granted an option to acquire 19.9% of CF's common stock. The transaction had been subject to federal and state banking regulatory approval.</t>
  </si>
  <si>
    <t>Associated Communications Corp</t>
  </si>
  <si>
    <t>SBC Communications Inc</t>
  </si>
  <si>
    <t>Southwestern Bell (SB) acquired Associated Communications (AC) in a stock swap merger valued at $680 mil. The consideration consisted of $522 mil in SB common stock and the assumption of $128 mil in liabilities, subject to a collar on the number of SB shares issued if SB shares traded above $50 or below $30 per share. In connection with the transaction, AC shareholders received pro rated shares of a new company to be formed with the remaining assets of AC.</t>
  </si>
  <si>
    <t>Richardson Electronics terminated its negotiations with Video Display to acquire the company after an agreement to set the terms was not reached. In April 1994, Richardson's option to acquire 2.24 mil shares, or a 53% interest in Video Display had expired.</t>
  </si>
  <si>
    <t>FoxMeyer Corp(Natl Intergroup)</t>
  </si>
  <si>
    <t>National Intergroup (NI) acquired the remaining 19.5%, or 5.51 mil common shares, of FoxMeyer (FM) that it did not already own for an amended $79.69 mil. The consideration consisted of .904 common shares of NI for each share of FM. Based on NI closing stock price of $16 on Jun 30, the last full trading day prior to the new terms, each FM share was valued at $14.46. The original consideration consisted of $14.75 principal amount of newly issued 8.25% senior notes due 2004 of FoxMeyer Holding for each share of FM, valued at $81. 273 mil value.</t>
  </si>
  <si>
    <t>Gitano Group Inc</t>
  </si>
  <si>
    <t>Mnfr women's,men's clothing</t>
  </si>
  <si>
    <t>Mnfr underwear and active wear</t>
  </si>
  <si>
    <t>Fruit of the Loom acquired bankrupt Gitano Group for $100 mil in cash. Gitano had announced in January 1994 that it was seeking a buyer for the company. In February 1994, Gitano was in negotiations with several potential buyers. The transaction received Bankruptcy Court approval.</t>
  </si>
  <si>
    <t>Shawmut National acquired Cohasset Savings Bank, Cohasset, Massachusetts for $16 in cash per share, or a total of $16.05 mil. Cohasset had retained Tucker Anthony to assist in its search for a buyer in November 1993. The transaction had been subject to federal and state banking regulatory approval.</t>
  </si>
  <si>
    <t>Future Communications Inc</t>
  </si>
  <si>
    <t>Pvd satellite telecommun svcs</t>
  </si>
  <si>
    <t>Bankrupt Future Communications was t divest itself to an undisclosed acquiror. The transaction was subject to regulatory approval by the bankruptcy court.</t>
  </si>
  <si>
    <t>Business Bancorp,San Jose,Cal</t>
  </si>
  <si>
    <t>SJNB Financial Corp,CA</t>
  </si>
  <si>
    <t>SJNB Financial (SJNB) acquired Business Bancorp (BB) in a stock swap transaction valued at $9.6 mil or $8.50 per share.  BB shareholders had been granted a choice of $8.50 in cash per share held, or $8.50 in SJNB common stock per share, provided that the cash portion of the transaction did not exceed 45%. If BB shareholders had preferred a greater amount of stock, SJNB could have increased the number of shares offered by 120,000. The transaction had been subject to federal and state banking regulatory approval.</t>
  </si>
  <si>
    <t>Wells Fargo (WF) terminated negotiations to merge with First Interstate Bancorp (FI). The transaction was subject to federal and state banking regulatory approval. In March 1994, WF was rumored to be in negotiations to merge with FI.</t>
  </si>
  <si>
    <t>Partners Oil Co</t>
  </si>
  <si>
    <t>Midwest Energy Cos Inc</t>
  </si>
  <si>
    <t>Midwest Energy Companies (MEC) terminated its signed a letter of intent to acquire Partners Oil (PO) for a combination of cash and common shares. PO shareholders were to have received 12.9 shares of MEC's common stock per share held for 61.8% of the company's shares outstanding. MEC was to pay cash for 38.2% of PO's shares outstanding held by Magical Circle Energy.</t>
  </si>
  <si>
    <t>Germantown Savings Bank</t>
  </si>
  <si>
    <t>CoreStates Financial (CF) acquired Germantown Savings Bank (GSB) for $62 per share or a total value of $260 mil. GSB shareholders had a choice of receiving cash, CF common shares, or a combination of the two for their shares, with a limit of 55% in stock and 45% in cash. CF was required to issue a maximum number of its shares based on its closing stock not being below $22.6 per share or a minimum number of shares based on CF shares trading below $27.5 per share. In October 1993, GSB had announced that it was seeking a buyer for the company.</t>
  </si>
  <si>
    <t>Grumman Corp</t>
  </si>
  <si>
    <t>Mnfr aircraft,aerospace prod</t>
  </si>
  <si>
    <t>Martin Marietta Corp</t>
  </si>
  <si>
    <t>Mnfr aerospace systems,prod</t>
  </si>
  <si>
    <t>Martin Marietta (ML) lost in its bid to acquire all the outstanding shares of Grumman (GQ) for $55 in cash per share or a total value of $1. 866 bil. Instead, Northrop had offered $62 in cash a share for GQ. ML refused to increase its offer from $55 in the sealed bid auction. ML's previously launched tender offer had been contingent on a minimum of two-thirds of the shares being tendered. ML and GQ retained Bear Stearns and Goldman Sachs, respectively, as financial advisors.</t>
  </si>
  <si>
    <t>Hospital Staffing Services Inc</t>
  </si>
  <si>
    <t>Personnel recruitment services</t>
  </si>
  <si>
    <t>In March 1994, Hospital Staffing Services (HSS) announced that it had retained Gruntal to assist in its search for a buyer for the company.  In September 1994, Interim Services acquired the California, Arizona, and New York home health-care businesses of HSS.</t>
  </si>
  <si>
    <t>Sandy rejected Westcott Communications (WC) sweetened offer to acquire Sandy (SDY) in a stock swap valued at an increased $28.37 mil.  WC offered 1 of its common share for every 1.896 SDY shares held. SDY rejected WC's first offer of 1 WC share for every 2.81 SDY shares. Based on WC's closing stock price of $22.34 on Mar 4, the last full trading day prior to the announcement of the revised bid, each share of SDY was valued at $11.783. Sandy declined to enter into further merger discussions with Westcott.</t>
  </si>
  <si>
    <t>American Natural Energy Corp</t>
  </si>
  <si>
    <t>Alexander Energy (AE) acquired American Natural Energy (ANE) in a stock swap transaction valued at $27.87 mil. ANE shareholders to received 1.62 ANE common shares for each ANE share held. Based on AE's closing stock price of $5.25 on Mar 9, the last full trading day prior to the announcement, each ANE share was valued at $8.5. In January 1994, ANE announced it had retained Rauscher Pierce Refsnes to help in its search for a buyer of the company. The transaction had been subject to regulatory approval.</t>
  </si>
  <si>
    <t>Northrop Corp</t>
  </si>
  <si>
    <t>Mnfr aircraft, aerospace prod</t>
  </si>
  <si>
    <t>Northrop (NOC) completed its friendly tender offer after winning the bidding war to acquire Grumman (GQ) for an increased $62 in cash per share for a total of $2.104 bil. A total of 32,766,109 shares had been tendered or about 93.4% of the shares. NOC had originally launched a offer for all the outstanding shares of GQ for $60 in cash per share or a total value of $2.036 bil. GQ's employees held a 33% stake. Martin Marietta refused to increase its competing offer of $55 which was launched on Mar 7.</t>
  </si>
  <si>
    <t>Kemper Corp</t>
  </si>
  <si>
    <t>General Electric Capital Corp</t>
  </si>
  <si>
    <t>Provide financing services</t>
  </si>
  <si>
    <t>General Electric Capital, a unit of General Electric's General Electric Capital Services subsidiary, withdrew its bid to acquire Kemper at $60 in cash per share or a total of $2.307 bil. The value included the conversion of Kemper's 66,639 class D and 4.6 mil class E preferred shares, as well as the face value of the class A non- material class A convertible preferred shares. GEC had originally offered $55 per share or a total of $2.1 bil. Concurrently, Conseco offered to acquire Kemper which was later terminated.</t>
  </si>
  <si>
    <t>Stuart Entertainment Inc</t>
  </si>
  <si>
    <t>Manufacture bingo equipment</t>
  </si>
  <si>
    <t>MLGAL Partners</t>
  </si>
  <si>
    <t>Investment holding co</t>
  </si>
  <si>
    <t>MLGAL Partners was granted a warrant to raise its stake to 53% from 43.5% in Stuart Entertainment (SE) by acquiring an additional 775, 000 common shares exercisable at $5.75 per share, which expired unexercised. Concurrently, MLGAL acquired a 43.5% stake, or 3,130,435 shares, in SE. Also, SE planned to acquire Len Stuart &amp; Associates. In addition, SE terminated negotiations to acquire Bingo Press &amp; Specialty from Len Stuart &amp; Associates.</t>
  </si>
  <si>
    <t>Centex Telemanagement Inc</t>
  </si>
  <si>
    <t>MFS Commun(Peter Kiewit Sons)</t>
  </si>
  <si>
    <t>Pvd telephone communs svcs</t>
  </si>
  <si>
    <t>MFS communications, a unit of Peter Kiewit Sons, completed a sweetened tender offer for the remaining 93. 02% of the outstanding common shares of Centex Telemanagement at $11 in cash per share, or a total of $186. 86 mil. MFS acquired 15.754 mil shares through the offer and merged the remaining shares at the same $11 price. MFS had originally offered $9 per share. The value included the 6.98% stake MFS acquired for $9.69 mil prior to the offer. The offer had been contingent upon Centex's board invalidating its preferred share purchasing rights.</t>
  </si>
  <si>
    <t>California Jockey Club/Bay</t>
  </si>
  <si>
    <t>Own,op horse racing tracks</t>
  </si>
  <si>
    <t>Santa Anita Realty Enterprises</t>
  </si>
  <si>
    <t>Santa Anita terminated its negotiations to acquire the entire share capital of Bay Meadows Operating/ California Jockey Club. Terms were not disclosed.</t>
  </si>
  <si>
    <t>Fischer &amp; Porter Co</t>
  </si>
  <si>
    <t>Mnfr process control instrs</t>
  </si>
  <si>
    <t>Moorco International</t>
  </si>
  <si>
    <t>Mnfr totalizing fluid meters</t>
  </si>
  <si>
    <t>Moorco International withdrew its definitive agreement to acquire Fischer &amp; Porter (F&amp;P) for $23.25 in cash per share, or a total of $150 mil. Instead, Elsag Bailey Process Automation, a unit of Italian state-owned Istituto per la Ricostruzione Industriale's Elsag Bailey subsidiary, acquired F&amp;P in a competing bid for $24.24 in cash per share, or a total value of $156.45 mil. F&amp;P had first announced in October 1993 that it had retained CS First Boston to assist it in its search for a buyer for the company.</t>
  </si>
  <si>
    <t>Momentum Distribution Inc</t>
  </si>
  <si>
    <t>Wholesale scientific equipment</t>
  </si>
  <si>
    <t>Phillips &amp; Jacobs Inc</t>
  </si>
  <si>
    <t>Pvd commercial art,design svcs</t>
  </si>
  <si>
    <t>Phillips and Jacobs (PJ) acquired Momentum (MO) in a stock swap transaction valued at $30.185 mil. MO shareholders received .71 common shares per share held in the new company while PJ shareholders received 1 new share per share held. Based on PJ's closing stock price of $12.375 on Mar 17, the last full trading day prior to announcement, each MO share was valued at $8.79. PJ and MO were to have held 62. 7% and 37.3% respectively, of the new company. The transaction had been subject to regulatory approval.</t>
  </si>
  <si>
    <t>ACC Corp</t>
  </si>
  <si>
    <t>LDDS Communications (LDDS) terminated negotiations to acquire ACC in a stock swap transaction valued at $193.8 mil. Recent declines in the stock market and lack of both parties' ability to achieve synergistic goals changed the value of the proposed merger. ACC shareholders were to receive 1 share of LDDS common stock for each ACC share held. Based on LDDS' closing stock price of $28.50 on Mar 18, the last full trading day prior to the announcement, each share of LDDS was valued at $28.50.</t>
  </si>
  <si>
    <t>Citizens First Bancorp Inc</t>
  </si>
  <si>
    <t>National Westminster Bancorp</t>
  </si>
  <si>
    <t>National Westminster Bancorp (NWB), a unit of National Westminster Bank (NB), acquired Citizens First Bancorp, Glen Rock, NJ, (CFB) in a transaction valued at $486.13 mil. CFB shareholders were to receive a choice of either $9.75 in cash or . 22034 American Depositary Receipts (ADR) valued at $9. 75, based on NB's closing stock price on Mar 17, for each common share held, subject to the total consideration being comprised of between 50% to 60% in ADRs and the rest in cash. Each ADR was equal to 6 NB ordinary shares.</t>
  </si>
  <si>
    <t>Investor Steve Geller offered to acquire 7 year warrants to purchase a majority interest, or 2.1 mil common shares in Empire of Carolina, a 70% owned unit of the Halperin family. The warrants were initially exercisable at $6.50 a share, increasing to $8 per share over the seven years. Concurrently, Steve Geller offered to acquire a minority stake in Empire.</t>
  </si>
  <si>
    <t>Southern Starr Broadcasting</t>
  </si>
  <si>
    <t>Multi-Market Radio Inc</t>
  </si>
  <si>
    <t>Own,op radio broadcasting stns</t>
  </si>
  <si>
    <t>Multi-Market Radio (MMR) acquired all the outstanding common shares of Southern Starr Broadcasting Group (SSBG) for an amended $13.61 in cash per share, or a total value of $21.577 mil. Originally, MMR offered $13. 75 in cash per share. The transaction had been subject to the regulatory approval of the Federal Communications Commission. Wertheim Schroder was retained as financial advisor to SSBG and The Sillerman Companies were retained as financial advisor to MMR.</t>
  </si>
  <si>
    <t>Falcon Oil &amp; Gas Co Inc</t>
  </si>
  <si>
    <t>In March 1994, Falcon Oil &amp; Gas announced it was seeking a buyer for the company.</t>
  </si>
  <si>
    <t>American Oil and Gas Co</t>
  </si>
  <si>
    <t>Oil and gas drilling services</t>
  </si>
  <si>
    <t>KN Energy Inc</t>
  </si>
  <si>
    <t>Own,op natural gas pipelines</t>
  </si>
  <si>
    <t>KN Energy acquired American Oil &amp; Gas (AOG) in a tax free stock swap transaction valued at $286.83 mil. AOG's common shareholders received .47 common shares of KN common stock for each of AOG's 25.7 mil shares outstanding. Based on KN's closing stock price of $23.5 per share on Mar 23, the last full trading day prior to the announcement, each AOG share was valued at $11.045. The transaction had been accounted for as a pooling of interests and subject to regulatory approval.</t>
  </si>
  <si>
    <t>AmeriFed Financial Corp</t>
  </si>
  <si>
    <t>NBD Bancorp (NBD) acquired AmeriFed Financial (AF) for $45 per share, or a total value of $138.053 mil, in a stock swap transaction. The transaction had been subject to state and federal banking regulatory approval.</t>
  </si>
  <si>
    <t>Total World Telecommunications</t>
  </si>
  <si>
    <t>UMI Inc</t>
  </si>
  <si>
    <t>UMI withdrew its proposed tender offer it had submitted for up to 80% of the shares of International Standard Group (ISG) for $6.625 in cash per share, or a total value of $44.53 mil. UMI withdrew the offer after ISG agreed to acquire Elfworks. The offer had been contingent upon 50% of ISG's share being tendered. Elfworks had also submitted a tender offer to acquire a 51% interest in ISG. Upon receiving the bids, ISG negotiated with both potential acquirors and decided to acquire Elfworks, in exchange for giving up voting control of itself.</t>
  </si>
  <si>
    <t>Sandata Technologies Inc</t>
  </si>
  <si>
    <t>A management-led investor group withdrew its plans to acquire the remaining 29.08%, or 328,865 common shares, of Santadar that it did not already own for $2.5 in cash per share, or a total of $. 814 mil. The group had originally offered $2 per share, or a total of $.657 mil.</t>
  </si>
  <si>
    <t>Turner Broadcasting System (TBS) was rumored to be negotiating to acquire Home Shopping Network (HSN) from Liberty Media. TBS was also rumored to be very interested in 12 UHF stations operated as HSN affiliates. The Current status of this deal is unknown.</t>
  </si>
  <si>
    <t>Intramed Laboratories Inc</t>
  </si>
  <si>
    <t>Mnfr surgical equipment</t>
  </si>
  <si>
    <t>Baxter International Inc</t>
  </si>
  <si>
    <t>Mnfr,whl biological products</t>
  </si>
  <si>
    <t>Baxter International (BI) acquired Intramed Laboratories (IL) in a stock swap valued at $9.66 mil. IL shareholders were to receive $2.72 of BI common stock for every IL share held. Based on BI's closing stock price of $22.875 on Mar 30, the last full trading day prior to the announcement, IL shareholders were to receive .1189 BI common shares for each IL share held. The number of BI shares exchanged was based on the average trading price of BI for the 10 days prior to the merger.</t>
  </si>
  <si>
    <t>Software Toolworks Inc</t>
  </si>
  <si>
    <t>Pearson PLC</t>
  </si>
  <si>
    <t>Publish newspapers,periodicals</t>
  </si>
  <si>
    <t>Pearson completed its tender offer for all the outstanding shares of Software Toolworks at $14.75 in cash per share, or a total value of $435.4 mil. The offer had been contingent upon a minimum of 16,420,397 shares being tendered. Software Toolworks had retained Alex Brown as financial advisor and Pearson retained Lazard Freres to act as dealer manager for the transaction. Under a lock-up clause, Pearson was granted an option to acquire 5.79 mil shares at $14.75 per share.</t>
  </si>
  <si>
    <t>International Container Sys</t>
  </si>
  <si>
    <t>Soft drink bottle display case</t>
  </si>
  <si>
    <t>Intertape Polymer Group Inc</t>
  </si>
  <si>
    <t>Mnfr plastic,paper pkg prod</t>
  </si>
  <si>
    <t>Intertape Polymer Group, a unit of Altamira Capital, acquired the remaining 18.3% stake in International Container Systems that it did not already own for an adjusted $2.635 per share, or a total of $1.098 mil. Earlier, IP completed its tender offer for IC by accepting .371 mil shares, or 16.3% of the IC's shares. The original offer had been $2. 625 in cash per share or a total of $1.094 mil. There was no minimum acceptance condition.</t>
  </si>
  <si>
    <t>Hook-SupeRx Inc</t>
  </si>
  <si>
    <t>Own and operate drug stores</t>
  </si>
  <si>
    <t>Revco DS Inc</t>
  </si>
  <si>
    <t>Own,operate drug stores</t>
  </si>
  <si>
    <t>Revco DS, a unit of Anac Holding, acquired all of the outstanding common stock of Hook-SupeRx for $586.84 mil. The consideration consisted of $13.75 per share, or a total of $286.84 mil, and the assumption of $300 mil in liabilities. The transaction had been contingent upon Revco DS raising $175 mil through the issuance of senior subordinated debentures and had been subject to regulatory approval.</t>
  </si>
  <si>
    <t>Elfworks Inc</t>
  </si>
  <si>
    <t>Elfworks withdrew its planned tender offer to acquire 51% of International Standards Group (IS) for $7 per share, or a total value of $30 mil. Elfworks withdrew the offer after IS agreed to acquire Elfworks in exchange for preferred stock which would give voting control of IS to Elfworks. Concurrently, UMI withdrew its planned tender offer to acquire IS.</t>
  </si>
  <si>
    <t>Kenfil Inc</t>
  </si>
  <si>
    <t>Wholesale computer hardware</t>
  </si>
  <si>
    <t>AmeriQuest Technologies Inc</t>
  </si>
  <si>
    <t>Mnfr computer storage devices</t>
  </si>
  <si>
    <t>AmeriQuest Technologies (AT) acquired Kenfil (KF) in a stock swap transaction valued at $8.99 mil. KF shareholders received .34 AT shares for each KF share held. Based on AT's closing stock price of $4.125 on Apr 4, the last full trading day prior to the announcement of the transaction, each KF share was valued at $1.4. The transaction had been subject to regulatory approval.</t>
  </si>
  <si>
    <t>Candy's Tortilla Factory</t>
  </si>
  <si>
    <t>Mnfr Mexican food products</t>
  </si>
  <si>
    <t>Gruma Corp</t>
  </si>
  <si>
    <t>Prod tortilla, flour</t>
  </si>
  <si>
    <t>Gruma Corp, a unit of Gruma SA de CV, acquired a 69.4% interest in Candy's Tortilla Factory by acquiring 2.4 mil common shares for $3.57 per share, or a total value of $7. 94 mil. Included in the value were .4 mil newly issued restricted common shares, or 11.6% of Candy's outstanding common stock, Gruma acquired in April 1994 for $2 per share, or a total value of $. 8 mil, in a privately negotiated transaction. In August 1994, Gruma completed its tender offer for the remaining 30.6% stake that it did not already own in Candy's, raising Gruma's stake to 90%.</t>
  </si>
  <si>
    <t>In April 1994, it was rumored that Bank of New York was in merger negotiations with Fleet Financial Group. The transaction was subject to federal and state banking regulatory approval. The Current status of this deal is unknown.</t>
  </si>
  <si>
    <t>Atlanfed Bancorp Inc</t>
  </si>
  <si>
    <t>Commercial banking;holding co</t>
  </si>
  <si>
    <t>Susquehanna Bancshares Inc</t>
  </si>
  <si>
    <t>Susquehanna Bancshares (SB) acquired Atlanfed Bancorp (AB) in a stock swap transaction valued at $29.7 mil. The consideration consisted of 1. 2 mil SB common shares. Based on SB's closing stock price of $24.75 on Apr 8, the last full trading day prior to the announcement, each AB share was valued at $21.2 per share. The transaction had been subject to federal and state banking regulatory approval. SB was also granted the option to acquire up to 15% of AB under certain circumstances.</t>
  </si>
  <si>
    <t>FirstRock Bancorp Inc</t>
  </si>
  <si>
    <t>Northwest Illinois Bancorp</t>
  </si>
  <si>
    <t>Northwest Illinois Bancorp terminated an agreement to merge with FirstRock Bancorp.</t>
  </si>
  <si>
    <t>Elsag Bailey Process</t>
  </si>
  <si>
    <t>Mnfr process control equip</t>
  </si>
  <si>
    <t>Elsag Bailey Process Automation (EBPA), a unit of Italian state-owned Istituto per la Ricostruzione Industriale's Elsag Bailey subsidiary, acquired Fischer &amp; Porter (FP) for $24.25 in cash per share, or a total of $156.45 mil. EBPA's offer topped Moorco International's previous definitive agreement to acquire FP for $23.25 in cash per share. FP had first announced in October 1993 that it was seeking a buyer for the company. Elsag Bailey was a unit of FINMECCANICA's Societa Bailey Industriale Finanziaria Agricola unit.</t>
  </si>
  <si>
    <t>Jackpot Enterprises Inc</t>
  </si>
  <si>
    <t>Own,op gaming machine parlors</t>
  </si>
  <si>
    <t>Jackpot Enterprises terminated plans to divest the company to an undisclosed acquiror. Jackpot Enterprises retained Bear Stearns as financial advisor to assist in the possible transaction.</t>
  </si>
  <si>
    <t>United Financial Corp of SC</t>
  </si>
  <si>
    <t>American Federal Bank FSB</t>
  </si>
  <si>
    <t>American Federal Bank FSB, (AFB) terminated its agreement to merge with United Financial (UF) through a stock swap valued at $34.28 mil. UF shareholders were to have received 1 new share of Atlantic Bancorp (AB) for each share held, on a post 2- for-1 stock split basis, while AFB shareholders were to have received 1.0101 shares for each share held. Based on AFB's pre-split closing price of $11.75 on Apr 8, and adjusting for the AFB exchange ratio of 1.0101, each UF share was valued at $5.934. AFB and UF shareholders would own 65% and 35% of AB, respectively.</t>
  </si>
  <si>
    <t>Playorena Inc</t>
  </si>
  <si>
    <t>Operate recreation centers</t>
  </si>
  <si>
    <t>Kids N Things Inc</t>
  </si>
  <si>
    <t>Pvd child day care services</t>
  </si>
  <si>
    <t>Kids N Things agreed to merge the Playorena in a stock swap transaction. The transaction was conditioned upon Kid N Things closing its initial public offering with gross proceeds greater than $5 mil.</t>
  </si>
  <si>
    <t>Offshore Logistics Inc</t>
  </si>
  <si>
    <t>Pvd sea and air trasp services</t>
  </si>
  <si>
    <t>Offshore Logistics (OL) acquired the remaining 72.5% of Grasso (GR) that it did not already own, in a stock swap merger valued at $8.4 mil. GR shareholders received .49 shares of OL's stock for each GR share held, or a total value of $7.9 mil. The shares were valued based on OL's closing stock price of $13.25 on Apr 14, the last full trading day prior to the announcement of the transaction. Holders of GR's Class B warrants received one share of OL's stock for every 100 warrants held, or a total of $.5 mil.</t>
  </si>
  <si>
    <t>Pac Rim Holding Corp</t>
  </si>
  <si>
    <t>Pvd workers' compensation svcs</t>
  </si>
  <si>
    <t>PRAC Ltd</t>
  </si>
  <si>
    <t>PRAC agreed to acquire a majority interest in Pac Rim Holding by acquiring warrants to purchase 3.8 mil common shares. The warrants comprised 1.5 mil common shares exercisable at $2.50 per share, 1.5 mil common shares exercisable at $3 per share and .8 mil shares exercisable at $3.50 per share. The warrants were to expire in 5 years. Concurrently, PRAC definitively agreed to acquire $20 mil of convertible debentures in Pac Rim Holdings.</t>
  </si>
  <si>
    <t>Eastover Corp</t>
  </si>
  <si>
    <t>EastGroup Properties</t>
  </si>
  <si>
    <t>EastGroup Properties acquired the remaining 82.1% of Eastover it did not already own in a stock swap transaction valued at $11.41 mil. EastGroup offered .6 of its common shares for each Eastover common share held. Based on EastGroup's closing stock price of $20.25 on June 10, the last full trading day prior the announcement of the terms, each Eastover share was valued at $12.15.</t>
  </si>
  <si>
    <t>Dominion Bridge Inc</t>
  </si>
  <si>
    <t>Construct industrial buildings</t>
  </si>
  <si>
    <t>Dominion Bridge, a unit of Canadian Pacific's United Dominion Industries, terminated its plans to acquire a 51% to 100% interest in RB&amp;W for between $7.25 and $7.50 per share. RB&amp;W determined that the price range for controlling interest was insufficient. Based on the range high price and Dominion Bridge acquiring 100%, the transaction had an estimated total value of $43. 50 mil.</t>
  </si>
  <si>
    <t>Arden International Kitchens</t>
  </si>
  <si>
    <t>Produce frozen foods for</t>
  </si>
  <si>
    <t>Schreiber Foods (SF) acquired Arden International Kitchens (AIK) for an amended $11.8 mil in cash, or $3.90 per common share. SF had originally agreed to acquire AIK for $4 per share, or a total value of $12.1 mil.</t>
  </si>
  <si>
    <t>Nuveen Select Tax-Free Income</t>
  </si>
  <si>
    <t>Closed-end mutual fund</t>
  </si>
  <si>
    <t>Nuveen Select Tax-Free Income Portfolio 3 (NXR) acquired Nuveen Select Tax- Free Income Portfolio 4 (NXS) in exchange for newly issued shares of NXR.</t>
  </si>
  <si>
    <t>Iwerks Entertainment Inc</t>
  </si>
  <si>
    <t>Mnfr theatre systems</t>
  </si>
  <si>
    <t>Iwerks Entertainment (IE) acquired Omni Films International (OFI) for an amended $19.586 mil. Consideration consisted of . 424303 IE common shares and $1.42 in cash per OFI share, valuing each OFI share at $6. 3, based on IE's closing stock price of $11.5 on Apr 21, the last full trading day prior to the announcement of amended terms. The original consideration consisted of $1. 42 in cash and ,3744 common shares oer OFI share. IE was also granted an option to acquire 19.9% of OFI's common stock pursuant to a lockup agreement.</t>
  </si>
  <si>
    <t>Diamond Shamrock Offshore</t>
  </si>
  <si>
    <t>Burlington Resources Inc</t>
  </si>
  <si>
    <t>Burlington Resources (BR) acquired an 87.1% interest, or 64,163,885 limited partnership units, in Diamond Shamrock Offshore Partners from Maxus Energy for $4.48 per unit, or a total value of $287.45 mil. In July 1994, BR acquired the remaining 12.9% in Diamond Shamrock it did not own for the same share price. Concurrently, BR acquired offshore and onshore oil and gas properties from Maxus Energy.</t>
  </si>
  <si>
    <t>Burlington Resources (BR) acquired the remaining 12.9% stake, or 9,503,032 limited partnership units, in Diamond Shamrock Offshore Partners (DSO) that it did not already own, for $4.48 in cash per unit, or a total value of $42. 57 mil. Previously, BR acquired its initial 87.1% interest in DSO from Maxus Energy for $4.48 per unit, or $287.45 mil. Concurrently, BR acquired offshore and onshore oil and gas properties from Maxus Energy for $87.55 mil.</t>
  </si>
  <si>
    <t>Dravo terminated its search for a buyer for the company. Earlier in April 1994, Dravo announced it was seeking a buyer for the company.</t>
  </si>
  <si>
    <t>Enquirer/Star Group Inc</t>
  </si>
  <si>
    <t>Publish tabloid newspapers</t>
  </si>
  <si>
    <t>An investor group, comprised of MacFadden Holdings and Boston Ventures, withdrew its offer to acquire the remaining 43%, or 18 mil Class A shares outstanding, of Enquirer/Star Group (ESG) they did not already own for $17.50 in cash per share, or a total value of $315 mil. The group withdrew its offer because a special committee of ESG's board was not expected to approve the deal. The transaction had been subject to the group acquiring a majority of the outstanding principal amount of the 10.325% notes due 2002 and the zero coupon notes due 1997 of Enquirer/Star, a unit of ESG.</t>
  </si>
  <si>
    <t>Ketema Inc</t>
  </si>
  <si>
    <t>Mnfr weldments,missiles,engine</t>
  </si>
  <si>
    <t>An investor group, led by investors affiliated with American Securities and including 3 members of senior management, acquired the remaining 2,750,120 shares or about 78.8% of the common stock outstanding it did not already own of Ketema for a revised $15 in cash per share, or a total value of $41.25 mil. Initially, the offer was for $13.125 in cash per share, or a total value of $36.1 mil. The merger had been contingent upon the group reaching an agreement with Ketema's CEO to remain in place after the completion of the merger.</t>
  </si>
  <si>
    <t>Centex Telemanagement (CT) terminated negotiations with an undisclosed acquiror once MFS Communications launched a tender offer for the remaining 93.02% of CT. In April 1994, CT disclosed it was in merger negotiations with an undisclosed acquiror. In March 1994, MFS launched a tender offer for the remaining 93.02% of the outstanding common shares of CT that it did not already own for $9 in cash per share or a total value of $154.64 mil.</t>
  </si>
  <si>
    <t>Electronic Technology Group</t>
  </si>
  <si>
    <t>Manufacture semiconductors</t>
  </si>
  <si>
    <t>ETG International Inc</t>
  </si>
  <si>
    <t>Grason Industries acquired Electronic Technology Group in exchange for 2 mil common shares.  Upon completion, Grason Industries changed its name to ETG International Inc.</t>
  </si>
  <si>
    <t>New Mexico &amp; Arizona Land Co</t>
  </si>
  <si>
    <t>Operate nonresidential bldgs</t>
  </si>
  <si>
    <t>Sun NZ LLC</t>
  </si>
  <si>
    <t>Sun NZ acquired a 50.25% interest, or 1,246,175 common shares, in New Mexico and Arizona Land (NMA) from Burlington Resources, a unit of Burlington Northern, for $7.3 in cash per share, or a total value of $9.1 mil Concurrently, Sun NZ was granted an option to raise its stake to 66.89% from 50. 25% by acquiring an additional 1,246,175 common shares in NMA.</t>
  </si>
  <si>
    <t>Arista Investors Corp</t>
  </si>
  <si>
    <t>Pvd accident,heaIth ins svcs</t>
  </si>
  <si>
    <t>Old Lyme Holding(Kaye Intl)</t>
  </si>
  <si>
    <t>Property,casualty insurance co</t>
  </si>
  <si>
    <t>Old Lyme Holdings, a 67% unit of Kaye International, terminated negotiations to acquire Arista Investors for cash and common shares. In June 1994, an investor group, including Old Lyme Holdings, acquired a 9.8% stake in Arista Investors' Class A common shares.</t>
  </si>
  <si>
    <t>Leviathan Gas Pipeline Partner</t>
  </si>
  <si>
    <t>Pvd natl gas transmission svcs</t>
  </si>
  <si>
    <t>Tenneco Gas Gathering</t>
  </si>
  <si>
    <t>Pvd gas transmission svcs</t>
  </si>
  <si>
    <t>Tenneco Gas Gathering, a unit of Tenneco, acquired a 50% interest in Leviathan Gas Pipeline Partners from Offshore Energy Development and Enron Gas Services, a unit of Enron. Terms were not disclosed.</t>
  </si>
  <si>
    <t>Statesman Group Inc</t>
  </si>
  <si>
    <t>Conseco Capital Partners II LP</t>
  </si>
  <si>
    <t>Conseco Capital Partners II acquired all the outstanding common shares of Statesman Group for $349.225 mil in cash, or $15.25 in cash per share plus the right to receive up to another $2 per share based on the outcome of Statesman's pending litigation against the US government. The transaction received regulatory approval from the Alabama and Iowa Insurance Commissioners.</t>
  </si>
  <si>
    <t>Syntex Corp</t>
  </si>
  <si>
    <t>Roche Holding (RH) completed it merger with Syntex (SX) after completing its tender offer to acquire all the outstanding common stock of SX for $24 in cash per share, or a total value of $5.307 bil. RH had previously accepted 211.2 mil shares, or 90% of the company's fully- diluted shares outstanding. The offer had been contingent upon a majority of SX's shares being tendered. Shareholders who did not tender their shares had the choice of receiving $24 in cash per share, or shares of convertible preferred stock in a new Syntex holding company.</t>
  </si>
  <si>
    <t>Amity Bancshares Inc</t>
  </si>
  <si>
    <t>Advantage Bancorp,Kenosha,WI</t>
  </si>
  <si>
    <t>Advantage Bancorp acquired Amity Bancshares for $36.25 in cash per share, or a total value of $24.8 mil. The transaction had been subject to state and federal banking regulatory approval. In August 1993, Amity Bancshares hired Kemper Securities to assist in the search for a buyer for the company.</t>
  </si>
  <si>
    <t>Freeport-McMoRan Copper &amp; Gold</t>
  </si>
  <si>
    <t>Copper,gold mining co;hldg co</t>
  </si>
  <si>
    <t>Freeport-McMoRan completed the spinoff of its entire 60. 4% interest, or 117.909 mil Class B common shares, in its majority-owned Freeport- McMoRan Copper (FCX) unit to its shareholders, as a part of its restructuring plan, in a stock swap transaction valued at $2.9477 bil. The shares were valued based on FCX's closing stock price of $25 on July 11, the first full trading day on which the shares were distributed. Upon completion, Freeport-McMoRan held no stake in FCX.</t>
  </si>
  <si>
    <t>Seagram Co Ltd</t>
  </si>
  <si>
    <t>Produce distilled spirits,wine</t>
  </si>
  <si>
    <t>In May 1994, it was rumored that Seagram offered to acquire Time Warner for $55 per share. Bell Atlantic, Tele-Communications, US West, BellSouth, EI du Pont de Nemours, QVC Network, and David Geffen were rumored to be other possible acquirors. In April 1994, Seagram raised its stake to 14.2% in Time Warner. The Current status of this deal is unknown.</t>
  </si>
  <si>
    <t>Allied Clinical Laboratories</t>
  </si>
  <si>
    <t>Own,op clinical labs</t>
  </si>
  <si>
    <t>Natl Health Lab Holdgs Inc</t>
  </si>
  <si>
    <t>National Health Laboratories (NHL) completed its tender offer to acquire all the outstanding common stock of Allied Clinical Laboratories (ACL) for an amended $21.5 in cash per share, or a total value of $180.56 mil. NHL had previously accepted about 99. 57% of ACL's common shares. NHL had originally offered $23 in cash per share when it had launched the tender offer. The transaction had been subject to regulatory approval.</t>
  </si>
  <si>
    <t>Express America Holdings Corp</t>
  </si>
  <si>
    <t>Mortgage bank holding company</t>
  </si>
  <si>
    <t>Express America Holdings terminated its search for a buyer of the company it had announced in May 1994.</t>
  </si>
  <si>
    <t>General Cable(Cie Gen de Eaux)</t>
  </si>
  <si>
    <t>Mnfr,whl wire,cable prod</t>
  </si>
  <si>
    <t>Wassall PLC</t>
  </si>
  <si>
    <t>Mnfr,whl lighting equipment</t>
  </si>
  <si>
    <t>Wassall (WL) completed its merger with General Cable (GC) in a transaction valued at $35.85 mil. Earlier, WL completed its tender offer for the remaining 46.3% or 5. 97 mil shares of GC, not owned by American Financial and its subsidiaries for $6 per share by accepting about 42% of GC's common shares. Concurrently, WL acquired the 53.7% stake or 7.36 mil shares held by American Financial, American Financial Enterprises, and American Premier Underwriters, all controlled by financier Carl Lindner.</t>
  </si>
  <si>
    <t>Gull Laboratories Inc</t>
  </si>
  <si>
    <t>Mnfr med diagnostic kits</t>
  </si>
  <si>
    <t>Fresenius AG</t>
  </si>
  <si>
    <t>Fresenius acquired a 53% interest, or 3,492,739 common shares in Gull Laboratories (GL), from GL's Chairman Myron W Wentz at $6.50 per share, or a total value of $22.703 mil.</t>
  </si>
  <si>
    <t>Glendale Bancorporation</t>
  </si>
  <si>
    <t>Mellon Bank (MB) acquired all the outstanding common stock of Glendale Bancorp (GB) for $10.50 per share in cash or a total of $28 mil. Under a lockup agreement, GB granted MB a warrant to acquire up to 24.9% of its common stock at $10.50 per share. The transaction had been subject to state and federal banking regulatory approval. In April 1994, GB disclosed that it was in negotiations with an undisclosed acquiror regarding a possible acquisition of the company. GB retained Ryan Beck as financial advisor.</t>
  </si>
  <si>
    <t>Marlin Color-Fi terminated discussions with an undisclosed firm regarding an offer to acquire Marlin.</t>
  </si>
  <si>
    <t>MaxServ Inc</t>
  </si>
  <si>
    <t>Pvd technical info support svc</t>
  </si>
  <si>
    <t>Sears Roebuck raised its stake from 44.2% to 57.34% in Max Serv by purchasing 2.3 mil newly issued Max Serv shares in exchange for Sears Teleparts facilities, systems equipment, and other assets.</t>
  </si>
  <si>
    <t>NBB Bancorp Inc</t>
  </si>
  <si>
    <t>Fleet Financial Group (FLT) acquired all of the outstanding shares of NBB Bancorp (NBB) at $48.5 per share, or a total value of $420.454 mil. FLT granted NBB shareholders a choice of $48. 5 in cash and .277 warrants or $48.5 in FLT common stock and .277 warrants per share held, provided that 50% of the total consideration was cash. The warrants were exercisable for 5 years at $43.75 commencing 1 year after closing. Concurrently, FLT's board authorized the repurchase of up to 6 mil common shares.</t>
  </si>
  <si>
    <t>PDA Engineering</t>
  </si>
  <si>
    <t>Engineering services, software</t>
  </si>
  <si>
    <t>MacNeal-Schwendler Corp</t>
  </si>
  <si>
    <t>Develop CAE software</t>
  </si>
  <si>
    <t>MacNeal-Schwendler (MS) acquired all the outstanding shares of PDA Engineering for $6.85 of 7 7/8% convertible subordinated debentures per share, or a total value of $60.97 mil. The debentures were convertible into MS common shares at $15.15 per share.</t>
  </si>
  <si>
    <t>Mobley Environmental Services</t>
  </si>
  <si>
    <t>American Ecology acquired Mobley Environmental Services.</t>
  </si>
  <si>
    <t>Optical Radiation Corp</t>
  </si>
  <si>
    <t>Mnfr opthalmic products</t>
  </si>
  <si>
    <t>Benson Eyecare Corp</t>
  </si>
  <si>
    <t>Wholesale ophthalmic products</t>
  </si>
  <si>
    <t>Benson Eyecare (BE) acquired Optical Radiation (OR) for an amended $24.07 per share, or a total value of $141.958 mil, including the 9.02% interest it already held. OR shareholders received $17 in cash and 1.0476 BE shares, valued at $7.07, for each OR share held, for a total value of $129.203 mil. The share value of the transaction was based on BE's closing stock price of $6.75 on Oct 5, the last full trading day prior to the announcement of the final amended terms. In February 1994, OR announced it was seeking a buyer.</t>
  </si>
  <si>
    <t>Margaretten Financial Corp</t>
  </si>
  <si>
    <t>Chemical Banking Corp,New York</t>
  </si>
  <si>
    <t>Chemical Banking (CB) completed its merger with Margaretten Financial (MF) in a transaction valued at $372. 611 mil. Earlier, CB had completed its tender offer for all the common and depositary shares of MF for $25 in cash per share, by accepting 98.5% of MF's common shares and 93.75% of MF's depositary shares. Each MF depositary share was convertible into .4 shares of Series A 8.25% preferred stock. The offer had been contingent upon at least 80% of MF's common shares being tendered. In April 1994, MF announced it was seeking a buyer for the company.</t>
  </si>
  <si>
    <t>MSA Realty Corp</t>
  </si>
  <si>
    <t>Simon Property Group Inc</t>
  </si>
  <si>
    <t>Simon Property Group (SPG) acquired MSA Realty in a stock swap transaction valued at $49.532 mil. MSA shareholders received .31 SPG shares for every share held. Based on SPG's closing stock price of $27.5 on May 12, the last full trading day prior to announcement, each MSA share was valued at $8.53. The ratio had been subject to adjustment due to a collar agreement requiring SPG's average closing price to fall between $25 and $30 per share.</t>
  </si>
  <si>
    <t>Serving Software Inc</t>
  </si>
  <si>
    <t>HBO &amp; Co</t>
  </si>
  <si>
    <t>Dvlp healthcare software</t>
  </si>
  <si>
    <t>HBO acquired Serving Software (SS) in a stock swap transaction valued at $47.8 mil. SS shareholders received .29099 HBO shares per SS share held. The common shares were valued based on HBO's closing stock price of $32.75 on Sep 12, the last full trading day prior to the announcement of the exchange ratio which was subject to a collar agreement. The transaction was subject to a collar of a maximum of $9.33, and a minimum of $8 in common stock per share based on HBO's closing stock price the 10 days prior to closing.</t>
  </si>
  <si>
    <t>CCAIR Inc</t>
  </si>
  <si>
    <t>Passenger airlines;courier svc</t>
  </si>
  <si>
    <t>CCAIR was in merger talks with several undisclosed acquirors. In March 1994, Mesa Airlines was in negotiations to acquire the remaining 93% interest in CCAIR that it did not already own in a stock swap valued at $29.58 mil, or $4.50 per share.</t>
  </si>
  <si>
    <t>ASK Group Inc</t>
  </si>
  <si>
    <t>Computer Associates International (CA) merged with ASK Group (ASK) after completing its tender offer to acquire all the outstanding common stock of ASK Group (ASK) for $13.25 in cash per share, or a total value of $328.36 mil. CA had accepted about 94% of ASK's common shares through the offer. The offer had been conditioned upon CA receiving at least a majority of ASK's stock. Electronic Data Systems, a majority held unit of General Motors, had agreed to tender its 19% stake in ASK. The transaction had been subject to regulatory approval.</t>
  </si>
  <si>
    <t>BancTEXAS Group Inc</t>
  </si>
  <si>
    <t>First Banks acquired a 60.1% interest in BancTEXAS by acquiring 37.5 mil newly issued convertible class B common shares at $.80 per share, or a total value of $30 mil. The class B common shares were convertible into regular common shares after 5 years. The transaction had been subject to regulatory approval.</t>
  </si>
  <si>
    <t>S &amp; M Co</t>
  </si>
  <si>
    <t>A mangement-led investor group agreed to acquire the outstanding common shares of S &amp; M for $.965 mil in cash or $1.43 cash per share.</t>
  </si>
  <si>
    <t>Arrow Financial Corp,NY</t>
  </si>
  <si>
    <t>Trustco Bank had its unsolicited bid to acquire Arrow Financial rejected, citing Arrow's desire to remain independent.</t>
  </si>
  <si>
    <t>Gerber Products Co</t>
  </si>
  <si>
    <t>Manfr baby foods and products</t>
  </si>
  <si>
    <t>Sandoz completed its merger with Gerber Products (GP) in a transaction valued at $3.68 bil. Earlier, Sandoz had completed its tender offer for all the common shares of GP for $53 in cash per share, by accepting 69.08 mil shares, or about 99.2% of GP's shares outstanding. The offer had been conditioned upon Sandoz receiving at least a majority of GP's stock. The transaction had been subject to regulatory approval, including the approval of the Federal Trade Commission under the Hart-Scott-Rodino Act, and the Superintendent of Insurance of New York.</t>
  </si>
  <si>
    <t>H&amp;H Oil Tool Co</t>
  </si>
  <si>
    <t>Pvd oil tool equip rental svcs</t>
  </si>
  <si>
    <t>Energy Ventures Inc (EV) acquired H&amp;H Oil Tool (HH) in a tax-free stock swap transaction valued at $27.625 mil. HH shareholders received .789 shares of EV common stock for each HH share held. Based on EV's closing stock price of $10.625 on May 20, the last full trading day prior to the announcement, each share of HH was valued at $8.38. The transaction had been subject to regulatory approval and had been accounted for as a pooling of interests.</t>
  </si>
  <si>
    <t>Columbia/HCA Healthcare Corp</t>
  </si>
  <si>
    <t>Columbia/HCA Healthcare (COL) acquired Medical Care America (MRX) in a tax-free stock swap transaction valued at $875.57 mil. MRX's shareholders received $29.58 of COL common stock for each share held. The value had been subject to a collar agreement tied to the average price of COL's stock over a 20-day trading period. The transaction had been subject to regulatory approval. In December 1993, it was rumored that 7 different companies were considering acquiring MRX.</t>
  </si>
  <si>
    <t>Provident American Corp</t>
  </si>
  <si>
    <t>Life,health insurance co</t>
  </si>
  <si>
    <t>Provident American (PA) terminated its agreement to acquire an 80% interest in Medical Resources (MR) for $15 mil. PA subsequently withdrew its option to acquire the remaining 20% in MR.</t>
  </si>
  <si>
    <t>SuperMac Technology Inc</t>
  </si>
  <si>
    <t>Mnfr graphics systems</t>
  </si>
  <si>
    <t>Digital Origin Inc</t>
  </si>
  <si>
    <t>Data Processing, Hosting, and Related Services</t>
  </si>
  <si>
    <t>Radius acquired SuperMac Technology in a stock swap transaction valued at $80.5 mil. Radius offered .738158 shares of its common stock for each SuperMac Technology share held. Based on Radius' closing stock price of $6.125 on May 20, the last full trading day prior to the announcement, each SuperMac Technology share was valued at $9.04. The transaction was accounted for as a pooling of interests and had been subject to regulatory approval.</t>
  </si>
  <si>
    <t>Wheatley TXT Corp</t>
  </si>
  <si>
    <t>Natural gas transmission svc</t>
  </si>
  <si>
    <t>Dresser Industries (DI) acquired Wheatley TXT (WT) in a stock swap transaction valued at $173.8 mil. DI offered .7 shares of its common stock for each WT share held. Based on DI's closing stock price of $21 on May 20, the last full trading day prior to the announcement, each WT share was valued at $14.7. The ratio would have been adjusted to no more than .7368 and no less than .675 DI shares for each WT share held. The transaction had been accounted for as a pooling of interests and had been subject to regulatory approval.</t>
  </si>
  <si>
    <t>Orthomet Inc</t>
  </si>
  <si>
    <t>Mnfr,whl orthopedic products</t>
  </si>
  <si>
    <t>Orthomet (OT) withdrew its bid to acquire Kirscher Medical (KM) in an amended stock swap valued at $31.334 mil, after the deadline to accept the offer had expired. OT had offered 1.3 shares of its common stock and a 7-year warrant exercisable at $10 for 1.3 shares of OT stock for each KM share held. Based on OT's closing stock price of $7 on Jun 28, the last full trading day prior to the disclosure, each KM share was valued at $9.1. OT's original offer was amended after Bioment made a bid to acquire KM. In July 1994, Maxxim Medical offered to acquire KM.</t>
  </si>
  <si>
    <t>Bull &amp; Bear Group Inc</t>
  </si>
  <si>
    <t>Manage no-load mutual funds</t>
  </si>
  <si>
    <t>An investor group, including Maxus Investment Group was rejected in its bid to acquire the remaining 70% of the outstanding Class A shares of Bull &amp; Bear Group it did not already own for $3. 5 per share or a total value of $5.24 mil. The bid was contingent on the agreement by Bull &amp; Bear Chairman, Bassett S. Winmill, to sell his Class B voting stock. Winmill had "no intention" of selling.</t>
  </si>
  <si>
    <t>Home Federal Svgs Bk,Wash,DC</t>
  </si>
  <si>
    <t>First Union, Charlotte North Carolina (FU) acquired Home Federal Savings Bank, Washington, DC (HF), in a stock swap transaction valued at $22.88 mil. HF shareholders received .4835 FV shares per HF share held. Based on FV's closing stock price of $46.875 on May 27, the last full trading day prior to announcement, each HF share was valued at $22.66. Under a lockup agreement, FU was granted an option, exercisable under certains conditions, to purchase 19.8% of HF's common stock for $15 per share.</t>
  </si>
  <si>
    <t>Nichols Institute</t>
  </si>
  <si>
    <t>Provide clinical testing svcs</t>
  </si>
  <si>
    <t>Corning (CG) acquired Nichols Institute (NI) in a stock swap transaction valued at $322.07 mil, including $100 mil in the assumption of liabilities. NI shareholders received .431 shares of CG common stock, subject to a collar agreement and valued at $13.3, per NI Class A, B and C common share held, or a total of $222.19 mil. The shares were valued based on CG's closing stock price of $30.875 on Aug 31, the last full trading day prior to completion. The final ratio was determined during a 10- day trading period prior to Nichols' stockholder meeting. The transaction was accounted for as a pooling of interests.</t>
  </si>
  <si>
    <t>US Surgical Corp</t>
  </si>
  <si>
    <t>Manufacture surgical staplers</t>
  </si>
  <si>
    <t>Ciba-Geigy AG</t>
  </si>
  <si>
    <t>Mnfr, whl pharmaceutical prod</t>
  </si>
  <si>
    <t>In June 1994, it was rumored that Ciba-Geigy might make a bid to acquire US Surgical. The Current status of this deal is unknown.</t>
  </si>
  <si>
    <t>Koll Management Services(Koll)</t>
  </si>
  <si>
    <t>Real estate management svcs</t>
  </si>
  <si>
    <t>KMS Holding, an investor group including Donald M Koll, chairman of Koll Management Services (KMT) and Freeman Spogli, acquired KMT, a 64% owned subsidiary of Koll, in a stock swap transaction valued at $50.44 mil. Koll received a 48% stake in KMS for 50% of its KMT shares and $16 per share for the 14%, with minority shareholders also receiving $16 per for their KMT shares. KMS had originally offered $15 per share or a total value of $47. 29 mil.</t>
  </si>
  <si>
    <t>Offshore Pipelines Inc</t>
  </si>
  <si>
    <t>Marine construction services</t>
  </si>
  <si>
    <t>J Ray McDermott SA</t>
  </si>
  <si>
    <t>Pvd oil rig const svcs</t>
  </si>
  <si>
    <t>J Ray McDermott (JRM), a unit of McDermott International (MI), merged with Offshore Pipelines (OP) in a stock swap valued at $278.61 mil. Each OP shareholder received 1 share of JRM common stock, valued at $21.875, for each share held. Each OP convertible preferred share was exchanged for one Series B convertible preferred share for a total value of $31.7 mil. The shares were valued based on JRM's closing stock price of $21.875 on Jan 31, the first full trading day of JRM's stock. Upon completion, MI held 61% of JRM and OP 39%. Originally, JRM was to have been equally held.</t>
  </si>
  <si>
    <t>Ogden (OG) acquired the remaining 15.8% of Ogden Projects (OP) that it did not already own in a stock swap merger valued at an amended $110.25 mil. OP shareholders received .84 shares of OG's common stock, amended from . 78 shares, for each OP share held. Based on OG's closing stock price of $21.875 on Jun 3, the last full trading day prior to the announcement, each share of OP was valued at $18.375.</t>
  </si>
  <si>
    <t>In June 1994, it was rumored that Rhone-Poulenc planned to acquire the remaining 32% interest in Rhone-Poulenc Rorer (RPR) that it did not already own for about $40 per share, or a total value of about $1.7 bil. The transaction was subject to approval from a majority of 3 independent directors of RPR. The Current status of this deal is unknown.</t>
  </si>
  <si>
    <t>An Investor group led by John P. Sieff, president of S&amp;M, and his family, acquired the remaining 46.2% interest, or 660,030 common shares, that they did not already own in S&amp;M for $1.43 dollars in cash, or a total value of $. 94 mil. As a result of the transaction, S&amp;M was no longer a publicly traded company.</t>
  </si>
  <si>
    <t>Jay Jacobs Inc</t>
  </si>
  <si>
    <t>Retail men's, women's apparel</t>
  </si>
  <si>
    <t>In June 1994, bankrupt Jay Jacobs disclosed it was seeking a buyer for some of its 256 retail clothing stores and/or a purchase or merger of the company. Financo was retained as financial advisor to Jay Jacobs.</t>
  </si>
  <si>
    <t>F&amp;C Bancshares Inc</t>
  </si>
  <si>
    <t>First of America Bank (FAB, Kalamazoo, Michigan, acquired F&amp;C Bancshares (FC) in a stock swap transaction valued at $83.2 mil. FC's shareholders received no more than .6436 shares of FAB, subject to a collar agreement, for each FC share held. Based on FAB's closing stock price of $39.875 on June 13, the last full trading day prior to the announcement, each share of FC was valued at $25.66. The transaction had been subject to federal and state banking regulatory approval and accounted for as a pooling of interests.</t>
  </si>
  <si>
    <t>Kelley Oil &amp; Gas Partners Ltd</t>
  </si>
  <si>
    <t>Develop oil and gas properties</t>
  </si>
  <si>
    <t>Kelley Oil Corp</t>
  </si>
  <si>
    <t>Kelley Oil (KO) merged with Kelley Oil &amp; Gas Partners (KOGP) to form Kelley Oil &amp; Gas (KOG) by acquiring the remaining 86.5% of KOGP that it did not already own in an amended reverse stock swap valued at $101.736 mil. KOGP unit holders received a choice of 1.2188 KOG common shares for each unit held or . 609 KOG shares and .127 convertible preferred shares for each unit held, while KO shareholders received one KOG share for each share held. The shares were valued based on KO's closing stock price of $4.625 on Feb 6.</t>
  </si>
  <si>
    <t>Osprey Holding Inc</t>
  </si>
  <si>
    <t>Develop software; holding co</t>
  </si>
  <si>
    <t>Osprey Holding signed a letter of intent for the sale of the company to an undisclosed acquiror.</t>
  </si>
  <si>
    <t>RHNB Corp,Rock Hill, SC</t>
  </si>
  <si>
    <t>NationsBank acquired RHNB, Rock Hill, South Carolina, in a stock swap transaction valued at $43.65. RHNB shareholders received .35 shares of NationsBank common stock per RHNB share held. Based on NationsBank's closing stock price of $52. 625 on Jun 21, the last full trading day prior to the announcement, each RHNB share was valued at $18.42. The transaction had been subject to federal and state banking regulatory approval. In June 1994, RHNB disclosed that it was seeking a buyer for the company.</t>
  </si>
  <si>
    <t>Gates/FA Distributing Inc</t>
  </si>
  <si>
    <t>Wholesale computer products</t>
  </si>
  <si>
    <t>Arrow Electronics Inc</t>
  </si>
  <si>
    <t>Wholesale electronic components</t>
  </si>
  <si>
    <t>Arrow Electronics (ARW) acquired Gates/FA Distributing (GAFA) in a stock swap transaction valued at $141.8 mil. GAFA shareholders received $22.5 in ARW common shares for each GAFA share held. Under a lockup agreement, GAFA had granted ARW an option to purchase up to 19.9% of GAFA shares at $22.5 per share. Cheyenne Software had voted its 21.4% stake in GAFA in favor of the merger. The transaction was accounted for as a pooling of interests. In February 1994, GAFA retained Robinson Humphrey to help in its search for a buyer of the company.</t>
  </si>
  <si>
    <t>Conseco (CO) terminated its agreement to acquire Kemper (KP) for an amended $60 per share, or a total value of $2. 307 bil. The initial offer was for $67 per share, or a total of $2.544 bil. Consideration consisted of $56 in cash and $4 in CO shares per KP share. The value included the conversion of KP's 66,639 Class D and 4. 6 mil Class E preferred shares, as well as the face value of the non-material Class A convertible preferred shares. Earlier, General Electric Capital withdrew its bid for KP at $60 in cash per share, or a total of $2.307 bil.</t>
  </si>
  <si>
    <t>Biomet Inc</t>
  </si>
  <si>
    <t>Mnfr surgical,med supplies</t>
  </si>
  <si>
    <t>Biomet (BT) acquired Kirschner Medical (KM) for an amended $40.85 mil, including a 19.9% stake acquired from Figgie International. BT offered a choice of $10.75 in cash or $10.75 in a combination of cash and common stock, with the cash portion not to exceed $6.45. The total cash portion of the transaction was not to exceed 60% of the consideration. BT originally offered a choice of $10 in cash per share, or one BT share for each KM share, or a combination of cash and stock per share.</t>
  </si>
  <si>
    <t>Pacific Snax Corp</t>
  </si>
  <si>
    <t>Whl confectionery products</t>
  </si>
  <si>
    <t>Pacific Snax (PS) acquired a 66.67% interest, or 1.4 mil restricted common shares of Vegas Chips (VC) in exchange for 1.4 mil restricted common shares. Concurrently, PS planned to acquire the remaining 33.33% stake in VC that it did not already own.</t>
  </si>
  <si>
    <t>Pacific Snax (PS) planned to acquire the remaining 33.33% stake, or 700,000 common shares in Vegas Chips (VC) that it did not already own. Concurrently, PS acquired a 66.67% interest in VC.</t>
  </si>
  <si>
    <t>Sierra Pacific Resources Corp</t>
  </si>
  <si>
    <t>Washington Water Power Co</t>
  </si>
  <si>
    <t>Washington Water Power (WW) withdrew its offer to acquire Sierra Pacific Resources (SP) in a stock swap valued at $625.77 mil. SP shareholders were to receive 1.44 common shares of the new company, to be named Resources West Energy, per share held, and WW shareholders were to receive 1 share per share held. Based on WW's closing stock price of $14.875 on Jun 27, the last full trading day prior to the announcement, each SP share was valued at $21.42. Citizens Utilities petitioned the Nevada Public Service Commission to consider making a bid for SP.</t>
  </si>
  <si>
    <t>HoloPak Technologies Inc</t>
  </si>
  <si>
    <t>Mnfr,whl hot stamp foil</t>
  </si>
  <si>
    <t>In June 1994, HoloPak Technologies announced that ii had retained Wertheim Schroder as financial advisor to assist in the search for a buyer for the company.</t>
  </si>
  <si>
    <t>Nuveen CA Prem Inc Muni Fd 2</t>
  </si>
  <si>
    <t>Nuveen CA Premium Income Muni</t>
  </si>
  <si>
    <t>Nuveen California Premium Income Municipal Fund acquired Nuveen California Premium Income Municipal Fund 2.</t>
  </si>
  <si>
    <t>Nuveen Texas Premium Income</t>
  </si>
  <si>
    <t>Nuveen TX Quality Income Fund</t>
  </si>
  <si>
    <t>Closed end investment fund</t>
  </si>
  <si>
    <t>Us - Nuveen Texas Quality Income Municipal Fund acquired Nuveen Texas Premium Income Municipal Fund.</t>
  </si>
  <si>
    <t>Santa Fe Pacific Corp</t>
  </si>
  <si>
    <t>Burlington Northern Inc</t>
  </si>
  <si>
    <t>Operate RR sys,gas pipeline</t>
  </si>
  <si>
    <t>Burlington Northern (BN) acquired the remaining 63.45% of Santa Fe Pacific (SF) that it did not already own through a stock swap valued at an amended $3.74 bil. BN had offered .4114 shares for each SF share held, amended from .4347 shares for each SF share held. Based on BN's closing stock price of $71. 875 on Sep 21, each SF share was valued at $29.57. Concurrently, SF had repurchased 3.6 mil shares to thwart Union Pacific's bid for SF. Earlier, BN had completed a tender offer for a 12.3% stake in SF concurrent with SF's self- tender for 18.69% of its shares.</t>
  </si>
  <si>
    <t>Central Jersey Bancorp</t>
  </si>
  <si>
    <t>National Westminster Bank PLC</t>
  </si>
  <si>
    <t>National Westminster Bank (NW) acquired Central Jersey Bancorp (CJB) for $33.50 per share, or a total value of $273.288 mil. CJB shareholders had a choice of $33.50 in cash, or .7243 NW ADRs per share held, provided that 55% of the total consideration was in ADRs and 45% in cash. The NW ADRs represented NW common stock, and were valued based on NW's ADR closing price of $42.25 on Jan 29, 1994, the last full trading day prior to the announcement.</t>
  </si>
  <si>
    <t>QVC Inc</t>
  </si>
  <si>
    <t>CBS terminated negotiations to merge with QVC in a stock swap valued at $1.337 bil, after Comcast made an offer to acquire QVC. QVC shareholders were to have received .0486 CBS common shares and .1931 shares of a newly-issued non-voting preferred stock, convertible into .3229 shares of CBS common stock, for each share held, on a fully-diluted basis. Based on CBS's closing stock price of $263 on Jun 29, the last full trading day prior to the announcement, each QVC share was valued at $29.18. Later, an investor group comprised of Comcast and Liberty Media merged with QVC.</t>
  </si>
  <si>
    <t>Saba Petroleum Co</t>
  </si>
  <si>
    <t>CAPCO Resources Ltd</t>
  </si>
  <si>
    <t>CAPCO Resources intended to raise its stake to a majority interest in Saba Petroleum by acquiring up to an additional 5% in the open market.</t>
  </si>
  <si>
    <t>Fibronics International Inc</t>
  </si>
  <si>
    <t>Mnfr modems</t>
  </si>
  <si>
    <t>Elbit Ltd(Elron Electronic)</t>
  </si>
  <si>
    <t>Dvlp e-business solutions</t>
  </si>
  <si>
    <t>Elbit, a unit of Elron Electronic Industries, acquired Fibronics International in a stock swap transaction valued at USD 7. 822 mil. Fibronics common received 0.05 Elbit common shares for each share held. The shares were valued based on Elbit's closing stock price of USD 19.25 on June 29, the last full trading day prior to the announcement.</t>
  </si>
  <si>
    <t>Hamilton Bancorp Inc</t>
  </si>
  <si>
    <t>New York Bancorp (NYB) acquired Hamilton Bancorp (HB) in a tax-free stock swap valued at an amended $117.07 mil. HB shareholders received 1.705 NYB shares per share held. Based on NYB's closing stock price of $18.875 on Jan 27, the last full trading day prior to the announcement of amended terms, each HB share was valued at $32.18. Originally, NYB offered 1.6 shares for every HB share. Earlier, HB had exercised its option to terminate the merger, since NYB's stock price was below requirements, but later agreed to the amended terms.</t>
  </si>
  <si>
    <t>Welbilt Corp</t>
  </si>
  <si>
    <t>Mnfr,whl food service equip</t>
  </si>
  <si>
    <t>Welbilt acquired all the outstanding common stock of Lincoln Foodservice Products for $15.60 per share, or a total value of $52.614 mil.</t>
  </si>
  <si>
    <t>First Bank System (FBS) acquired Metropolitan Financial (MF) in a stock swap merger valued at $790. 075 mil. Each MF shareholder received .6803 FBS common shares for each share held. The exchange ratio was determined from a range of between .6803 and .7347 FBS shares for each MF share held. MF's Series B preferred shareholders received $27 in cash for each share held. The common shares were valued based on FSB's closing stock price of $36.25 on Jun 30.</t>
  </si>
  <si>
    <t>SynOptics Communications Inc</t>
  </si>
  <si>
    <t>Design and wholesale LANs</t>
  </si>
  <si>
    <t>Wellfleet Communications</t>
  </si>
  <si>
    <t>Mnfr,whl data networking prods</t>
  </si>
  <si>
    <t>Wellfleet Communications (WC) acquired SynOptics Communications (SC) in a stock swap valued at $1.17 bil. SC shareholders received .725 shares of WC common stock for each share held. Based on WC's closing stock price of $25.25 on Jul 1, the last full trading day prior to the announcement, each share of SC was valued at $18. 306. The transaction had been subject to regulatory approval and was accounted for as a pooling of interests.</t>
  </si>
  <si>
    <t>Action Products Intl Inc</t>
  </si>
  <si>
    <t>Action Products terminated its search for a buyer. Instead, the company refocused its efforts to increase shareholder value by taking aggressive steps to locate new sources of equity and debt capital to expand its current operations. In July 1994, Action Products International had disclosed it was seeking a buyer.</t>
  </si>
  <si>
    <t>Anchor Bancorp Inc,New York,NY</t>
  </si>
  <si>
    <t>Dime Bancorp Inc</t>
  </si>
  <si>
    <t>Savings,loan bank hldg co</t>
  </si>
  <si>
    <t>Dime Bancorp (DB) acquired Anchor Bancorp (AB) in a merger-of-equals stock swap transaction valued at $533.06 mil. AB shareholders received 1.77 DB shares per AB share held. Based on DB's closing stock price of $10.625 on Jul 5, the last full trading day prior to disclosure, each AB share was valued at $18.81. Also included in the value were 4.75 mil FDIC warrants acquired for 1.77 DB shares per warrant or a total value of $89.34 mil. DB and AB held 53% and 47%, respectively, in the merged company upon completion.</t>
  </si>
  <si>
    <t>Rock Financial Corp</t>
  </si>
  <si>
    <t>Valley National Bancorp (VNB) acquired Rock Financial (RF) in a stock swap transaction valued at $47.175 mil. RF shareholders received 1.85 VNB shares per RF share held. Based on VNB's closing stock price of $27.375 on July 5, the last full trading day prior to the announcement, each RF share was valued at $50.64. Under a lockup agreement, RF had granted VNB an option to acquire 102,000 common shares for $43 per share. The transaction had been subject to federal and state banking regulatory approval.</t>
  </si>
  <si>
    <t>Diasonics Ultrasound Inc</t>
  </si>
  <si>
    <t>Mnfr medical imaging systems</t>
  </si>
  <si>
    <t>Elbit, a majority-owned subsidiary of Elron Electronic Industries, acquired all the outstanding shares of Diasonics Ultrasound for $5.512 in cash per share, or a total value of $69.94 mil in cash.</t>
  </si>
  <si>
    <t>Comcast (CM) withdrew its offer to acquire the remaining 84.51% interest, on a fully-diluted basis, in QVC that it did not already own for $44 per share, or a total value of $1.7 bil. QVC shareholders were to receive $37 in cash and $7 in a newly- issued 7.5% exchangeable preferred stock, convertible into CM common shares at $21 per share. Later, CM and Liberty completed a tender offer to acquire QVC for $46 in cash per share. CBS had earlier terminated negotiations to merge with QVC in a stock swap valued at $1.173 bil.</t>
  </si>
  <si>
    <t>IDB Communications Group Inc</t>
  </si>
  <si>
    <t>Own,op commun network</t>
  </si>
  <si>
    <t>LDDS Communications (LC) acquired IDB Communications (IC) in a stock swap valued at an amended $879.84 mil. LC offered, subject to a collar agreement, .476879 common shares for each IC share held. Based on LC's closing stock price of $19.375 on Dec 29, the last full trading day prior to amended terms, each IC share was valued at $9.24. LC also offered to acquire IC's $195 mil of convertible notes for the same terms based on their conversion price. Originally, The transaction was valued at $873.17 mil. The transaction had been subject to regulatory approval.</t>
  </si>
  <si>
    <t>Maxxim Medical Inc</t>
  </si>
  <si>
    <t>Maxxim Medical (MM) withdrew its amended hostile offer to acquire Kirschner Medical (KM) for $39.6 mil. MM had offered $11.5 in cash for each KM share held. MM had amended the offer from a choice of either $11.5 in cash or common stock, of which MM's board would have had to decide in what form the consideration was to be paid. MM had amended those terms from a choice of $10.85 in cash per share or 7 MM common shares for every 10 KM shares held, amended from an original bid of $10.50 in cash per share or 2 MM shares for every 3 KM shares held. Subseqently, Biomet acquired KM.</t>
  </si>
  <si>
    <t>UNSL Financial</t>
  </si>
  <si>
    <t>Mercantile Bancorp acquired UNSL Financial for 1.731 mil common shares in a stock swap transaction valued at $61.2 mil. The shares were valued based on Mercantile Bancorp's closing stock price of $35. 775 on July 12, the last full trading day prior to the announcement. The transaction had been subject to federal and state banking regulatory approval. Mercantile Bancorp had also been granted an option to acquire 19.9% of UNSL Financial's shares outstanding if the transaction was not completed.</t>
  </si>
  <si>
    <t>Kendall International Inc</t>
  </si>
  <si>
    <t>Mnfr surgical,medical supplies</t>
  </si>
  <si>
    <t>Tyco International</t>
  </si>
  <si>
    <t>Mnfr,whl ind prod,sys</t>
  </si>
  <si>
    <t>Tyco International (TI) acquired all the outstanding shares of Kendall International (KI) through a stock swap transaction valued at $1.435 bil. KI shareholders received 1.29485 TI shares for each share held, subject to a collar agreement. Based on TI's closing stock price of $47. 375 on Jul 13, the last full trading day prior to announcement, each share of KI was valued at $61.34. The transaction had been subject to Federal Trade Commission approval under the Hart-Scott- Rodino Act.</t>
  </si>
  <si>
    <t>OneComm Corp</t>
  </si>
  <si>
    <t>Nextel Communications Inc</t>
  </si>
  <si>
    <t>Nextel Communications (NC) acquired OneComm in exchange for 22.55 mil common shares in a stock swap valued at $673.7 mil. The shares were valued based on NC's closing stock price of $29.875 on Jul 13, the last full trading day prior to announcement. The transaction had been subject to regulatory approval.</t>
  </si>
  <si>
    <t>Liberty Bancorp Inc,Chicago,IL</t>
  </si>
  <si>
    <t>Liberty Bancorp, Chicago, Illinois, terminated its negotiations with an undisclosed acquiror. Adams Cohen Securities had been retained as financial advisor to Liberty.</t>
  </si>
  <si>
    <t>Communication Cable Inc</t>
  </si>
  <si>
    <t>Mnfr, whl electronic cable</t>
  </si>
  <si>
    <t>Kuhlman Corp</t>
  </si>
  <si>
    <t>Mnfr transformers,indl springs</t>
  </si>
  <si>
    <t>Kuhlman (KU) terminated its definitive agreement to acquire Communication Cable (CC) in a stock swap valued at $37.89 mil. The deal had been subject to a collar whereby CC holders were to receive 1 KU share per CC share held if KU's stock price averaged between $16 to $18 per share for a predetermined period. If KU's average closing price had been below $16 or above $18, the number of KU shares issued was to be adjusted. Based on KU's closing price of $15.25 on Jul 15, the last full trading day prior to announcement, each CC share had been valued at $15.25.</t>
  </si>
  <si>
    <t>Gupta Corporation</t>
  </si>
  <si>
    <t>Dvlp Internet software</t>
  </si>
  <si>
    <t>Oracle Systems Corp</t>
  </si>
  <si>
    <t>Dvlp bus software</t>
  </si>
  <si>
    <t>Oracle Systems terminated negotiations to acquire a majority interest in Gupta. Oracles Systems had acquired a 7.7% stake in Gupta.</t>
  </si>
  <si>
    <t>Illinois Central (IC) terminated its signed letter of intent to acquire Kansas City Southern Industries (KC) for $1.64 bil. Consideration offered included .438 common shares for each KC share held, $929 mil in the assumption of debt and $6 mil for preferred stock. Based on IC's closing stock price of $33.25 on Jul 18, the last full trading day prior to disclosure, each KC share was valued at $14.56. The transaction had been contingent upon KS's spinoff of its financial services business. In May 1994, KC had announced it was seeking a buyer for its rail operations.</t>
  </si>
  <si>
    <t>CVD Financial Corp</t>
  </si>
  <si>
    <t>Pvd commercial financing svcs</t>
  </si>
  <si>
    <t>Conversion Industries Inc</t>
  </si>
  <si>
    <t>Waste-to-energy mgmt systems</t>
  </si>
  <si>
    <t>Conversion Industries planned to raise its stake in CVD Financial from 34% to a majority interest.</t>
  </si>
  <si>
    <t>Clucker's Wood Roasted Chicken</t>
  </si>
  <si>
    <t>Roasters Corp</t>
  </si>
  <si>
    <t>Own,op roast chicken rest</t>
  </si>
  <si>
    <t>Roasters acquired a 56% interest in Clucker's Wood Roasted Chicken by purchasing 1.745 mil common shares at $6 per share, or a total of $10. 472 mil. Concurrently, Roasters agreed to acquire 2 mil shares of Clucker's common stock via warrants with an exercise price of $6 per share. The warrants were to expire in November 1995.</t>
  </si>
  <si>
    <t>US - An investor group, comprised of Comcast (CC) and Liberty Media (LM), acquired the remaining 66.192% interest, or 36.874 mil common shares, on a fully- diluted basis, which it did not already own in QVC Inc (QVC), for a sweetened $1.316 bil, or $46 in cash per common share, and $460 in cash for each convertible Class B and Class C preferred share. Earlier, the investor group completed its tender offer for QVC by accepting 36. 15 mil shares, or 64.89% of QVC's common shares outstanding. The offer had been contingent upon the group receiving at least a majority of QVC's stock. Upon completion, CC held a 57% interest in QVC while LM held the remaining 43%. Earlier, CC and CBS had withdrawn their bids for QVC.</t>
  </si>
  <si>
    <t>AdvaCare Inc</t>
  </si>
  <si>
    <t>Information retreival services</t>
  </si>
  <si>
    <t>Medaphis Corp</t>
  </si>
  <si>
    <t>Pvd bus mgmt svcs &amp; info prod</t>
  </si>
  <si>
    <t>Medaphis (MS) acquired AdvaCare (AC) in an amended stock swap valued at $106.36 mil. Consideration consisted of $2.36 of MS common stock for each AC share held, subject to a collar agreement, valued at $31.16 mil, $5.9 mil in MS stock for AC warrants and options "in the money" and $69.3 mil in the assumption of liabilities. MS had originally offered $3 in stock for each AC share, $54 mil in the assumption of liabilities, and a $6.8 mil loan convertible into AC common stock. The transaction was subject to regulatory approval.</t>
  </si>
  <si>
    <t>Enex Resources Corp</t>
  </si>
  <si>
    <t>Oil and gas traders</t>
  </si>
  <si>
    <t>Lomak Petroleum Inc</t>
  </si>
  <si>
    <t>Lomak Petroleum withdrew from talks to acquire all the outstanding common stock of Enex Resources for $13.25 per share, or a total value of $17.225 mil in cash. The transaction was subject to regulatory approval. In June 1994, Enex Resources announced it had retained Southcoast Capital to assist in its search for a buyer for the company.</t>
  </si>
  <si>
    <t>Keptel Inc</t>
  </si>
  <si>
    <t>Mnfr telephone network systems</t>
  </si>
  <si>
    <t>ANTEC Corp</t>
  </si>
  <si>
    <t>Mnfr commun network prod</t>
  </si>
  <si>
    <t>Antec acquired Keptel in a stock swap transaction valued at $83.76 mil. Keptel shareholders had been granted a choice of $18 in common stock or $18 in cash and common stock per share held. The choices were limited to the condition that 60% of the total consideration was to be ANTEC common stock and 40% to be in cash. Earlier, Keptel disclosed it was in talks with an undisclosed acquiror.</t>
  </si>
  <si>
    <t>Central Indiana Bancorp</t>
  </si>
  <si>
    <t>National City (NC), Cleveland, Ohio, acquired Central Indiana Bancorp (CIB) in a stock swap transaction valued at $49.439 mil. CIB shareholders received 1.08 shares of NC's common stock for each CIB share held. Based on NC's closing stock price of $26.375 on Jul 22, the last full trading day prior to the announcement, each share of CIB was valued at $28.485. The transaction had been subject to federal and state banking regulatory approval. Concurrently, NC's board authorized the repurchase of 1 mil of its shares in the open market.</t>
  </si>
  <si>
    <t>BioSurface Technology Inc</t>
  </si>
  <si>
    <t>Mnfr biological surfactants</t>
  </si>
  <si>
    <t>Genzyme acquired BioSurface Technology in a stock swap transaction. BioSurface shareholders received 5 mil tracking shares out of 11.3 mil outstanding shares of a new unit of Genzyme, named Genzyme Tissue Repair. The exchange ratio was .571. Of the remaining 6.3 mil shares, Genzyme shareholders received 3.3 mil common shares as a tax-free dividend, and the remaining 3 mil shares were to be held in reserve to be issued to holders of Genzyme options, warrants, and convertible debentures.</t>
  </si>
  <si>
    <t>General Nutrition Cos Inc</t>
  </si>
  <si>
    <t>Retail sports nutrition prods</t>
  </si>
  <si>
    <t>General Nutrition Companies (GNCI) merged with Nature Food Centers (NFC) after completing its tender offer to acquire all the outstanding shares of NF for $12 per share in cash, or a total of $61.092 mil. GNCI had accepted 89% of NFC's common shares through the offer. Prior to the announcement of the offer, Ronald Rossetti, president and chief executive officer of Nature Food Centers, agreed to divest his 46% stake, or 2,347,342 common shares, to GNCI for $12 per share. The transaction had been subject to regulatory approval.</t>
  </si>
  <si>
    <t>Washington Mutual Savings Bank (WMSB) acquired Olympus Capital (OC) in a stock swap valued at $48.12 mil. OC's shareholders received $15.50 in WMSB common shares for each OC share held, subject to a collar agreement. Under a lockup agreement, WMSB had been granted an option to acquire up to 9.9% of OC's common stock for $13.58 per share. The transaction had been subject to federal and state banking regulatory approval.</t>
  </si>
  <si>
    <t>Orange Savings Bank</t>
  </si>
  <si>
    <t>Provide financial svcs</t>
  </si>
  <si>
    <t>CFX Corp</t>
  </si>
  <si>
    <t>CFX acquired Orange Savings Bank (OSB) in a stock swap valued at $10.82 mil. OSB shareholders received .8075 CFX shares for each OSB share held. Based on CFX's closing stock price of $18.5 on April 27, the last full trading day prior to the announcement of terms, each OSB share was valued at $14.94. The transaction had been subject to a collar agreement requiring .7143 to .9375 CFX shares to be exchanged for each OSB share, if CFX's share price averaged between $16 and $21. The transaction was accounted for as a pooling of interests.</t>
  </si>
  <si>
    <t>Santa Fe Financial Corp</t>
  </si>
  <si>
    <t>Own and op hotels</t>
  </si>
  <si>
    <t>An investor group, including Ronald Langley and Allied Mutual Insurance Services, a unit of Guinness Peat Group, offered to acquire the remaining 90.9% of Santa Fe Financial that it did not already own for $26.5 in cash per share, or a total of $11. 04 mil. Subsequently, InterGroup agreed to acquire 90,000 SF shares, and warrants to acquire an additional 90,000 SF shares within the next three years, in a privately negotiated transaction.</t>
  </si>
  <si>
    <t>Iowa-Illinois Gas &amp; Electric</t>
  </si>
  <si>
    <t>Midwest Resources (MWR) merged with Iowa-Illinois Gas &amp; Electric (IWG) in a stock swap valued at $642.365 mil. IWG shareholders received 1. 47 common shares of the new company to be formed, MidAmerican Energy (ME), per share held, while MWR shareholders received 1 ME share per share held. Based on MWR's closing stock price of $14.75 on July 26, the last full trading day prior to the announcement, each IWG share was valued at $21.68.</t>
  </si>
  <si>
    <t>CNB Bancshares (CNB) acquired King City Federal Savings Bank (KCF)in a stock swap valued at $20.237 mil. KCF shareholders received 1. 047 CNB common shares per share held. Based on CNB's closing stock price of $34.5 on July 26, the last full trading day prior to the announcement, each share of KCF was valued at $36.12. The transaction was accounted for a pooling of interests and had been subject to regulatory approval.</t>
  </si>
  <si>
    <t>Knogo Corp</t>
  </si>
  <si>
    <t>Mnfr anti-theft devices</t>
  </si>
  <si>
    <t>Sensormatic Electronics (SE) acquired Knogo in a stock swap merger transaction valued at $99.63 mil. Knogo shareholders received .5513 shares of SE common stock per share held. Based on SE's closing stock price of $32 on August 14, the last full trading day prior to the announcement, each share of Knogo was valued at $17.64. The transaction had been contingent upon Knogo's concurrent spinoff of its business interests inside the US, Canada, and Puerto Rico.</t>
  </si>
  <si>
    <t>In July 1994, Micro Component Technology announced it was seeking a buyer for the company.</t>
  </si>
  <si>
    <t>Pvd hazardous waste mgmt svcs</t>
  </si>
  <si>
    <t>WMX Technologies Inc</t>
  </si>
  <si>
    <t>Pvd chemical waste mgmt svcs</t>
  </si>
  <si>
    <t>WMX Technologies acquired the remaining 44.9 mil common shares, or 21.4%, it did not already own in Chemical Waste Management (CWM) in a transaction valued at an amended $397.365 mil. CWM's shareholders received $8.85 in $1,000 principal amount convertible subordinated notes for each share held, amended from .27 WMX shares for each CWM share held.</t>
  </si>
  <si>
    <t>Intergroup Healthcare Corp</t>
  </si>
  <si>
    <t>Intergroup Healthcare and its 62.6% majority stockholder, Thomas-Davis Medical Centers, terminated discussions with an undisclosed acquiror. In January 1994, Thomas-Davis Medical Centers announced that it had retained Bear Stearns to assist in its search for a buyer for its majority owned Intergroup Healthcare unit. As an alternative, Thomas-Davis was considering spinning off Intergroup Healthcare to it's shareholders.</t>
  </si>
  <si>
    <t>Microtek Medical Inc</t>
  </si>
  <si>
    <t>Mnfr, whl surgical supplies</t>
  </si>
  <si>
    <t>Microtek Medical terminated its search for a buyer for the company, which it had begun in July 1994. Goldman Sachs had been retained to explore various strategic alternatives, including the sale of the company.</t>
  </si>
  <si>
    <t>New Image Industries Inc</t>
  </si>
  <si>
    <t>Dev computer imaging software</t>
  </si>
  <si>
    <t>DENTSPLY International Inc</t>
  </si>
  <si>
    <t>Mnfr,whl dental prod</t>
  </si>
  <si>
    <t>Dentsply International terminated its signed letter of intent to acquire New Image Industries for $16.375 in cash per share, or a total of $76.418 mil, because of an inability of the two companies to agree to terms and Dentsply's unwillingness to assume the risk of New Image's pending patent legislation.</t>
  </si>
  <si>
    <t>First Colonial Bankshares,IL</t>
  </si>
  <si>
    <t>Firstar (FIR) acquired First Colonial Bankshares (FCB) in a stock swap transaction valued at $311.48 mil. Consideration consisted of . 7725 FIR common shares for each FCB share held, valued at $26.46 per share, or a total of $263.8 mil, $29.5 mil in convertible preferred shares, and $18.2 mil in options. The value was based on FIR's closing price of $34. 25 on Jul 28, the last full trading day prior to announcement. Concurrently, FIR's board authorized the repurchase of 765,000 shares and FCB's board authorized the buyback of 550,000 shares. The transaction was accounted for as a pooling of interests.</t>
  </si>
  <si>
    <t>Hills Stores Co</t>
  </si>
  <si>
    <t>Own,op dept stores,shoe stores</t>
  </si>
  <si>
    <t>An investor group led by Dickstein &amp; Co LP terminated its plans to make a hostile bid to raise its stake to a majority interest from 12% in Hills Stores (HS). Dickstein withdrew its consent solicitation to replace the HS board. The transaction had been subject to regulatory approval. In response to the intended bid, HS had adopted a poison pill to try and thwart the acquisition attempt. In addition, Hills implemented a $75 mil cash self-tender for Hills common shares in September 1994.</t>
  </si>
  <si>
    <t>Foundation Health (FH) acquired the remaining 3.6 mil common shares, or 37.4%, of Intergroup Healthcare (IH) it did not already own for $255.7 mil in common stock. FH had originally offered a choice of $65 in FH stock or $65 in a new series of FH convertible preferred stock, subject to a collar. FH also agreed to assume liabilities and to acquire FH's employee stock options in exchange for .6 mil FH shares valued at $21.675 mil. The shares were valued based on FH's closing stock price of $36.125 on Jul 28, the last full trading day prior to the announcement.</t>
  </si>
  <si>
    <t>New Jersey Steel(Von Roll)</t>
  </si>
  <si>
    <t>Mnfr steel reinforcing bars</t>
  </si>
  <si>
    <t>Intl Metals Acquisition Corp</t>
  </si>
  <si>
    <t>Special purpose acq co(SPAC)</t>
  </si>
  <si>
    <t>International Metals Acquisition (IMAC) terminated its definitive agreement to acquire New Jersey Steel (NJST) for a total value of $105.732 mil. NJST shareholders were to have a choice of converting their shares into 3 IMAC shares and a 5-year warrant to acquire IMAC shares for $8 per share, or $18 per share in cash.</t>
  </si>
  <si>
    <t>Grill Concepts Inc</t>
  </si>
  <si>
    <t>Magellan Restaurant Systems</t>
  </si>
  <si>
    <t>Own,op eating places</t>
  </si>
  <si>
    <t>Magellan Restaurant Systems (MGRS) acquired Grill Concepts in a reverse stock swap transaction valued at an amended $53.1 mil. Consideration included 8.5 mil MGRS shares and an additional 614,391 MGRS shares in profit-related payments. Originally, MGRS had offered 8.5 mil common shares and warrants equaling 68% of the total warrants outstanding of MGRS. The shares were valued based on MGRS's closing stock price of $5.5 on Sep 13, the last full trading day prior to announcement of the amended terms.</t>
  </si>
  <si>
    <t>US Shoe Corp</t>
  </si>
  <si>
    <t>Own,op women's apparel stores</t>
  </si>
  <si>
    <t>Nine West Group Inc</t>
  </si>
  <si>
    <t>Design,dvlp,mnfr footwear</t>
  </si>
  <si>
    <t>Nine West Group (NW) terminated its rejected amended offer to acquire United States Shoe (USS) for $525 mil in cash and warrants to purchase 3.7 mil NW common shares. Previously, NW offered to acquire USS for $600 mil in cash, and warrants to purchase 1.85 mil NW common shares at $35.5 per share for seven years. Originally, NW offered to acquire USS in a stock swap valued at $9.24 per share, or a total of $425 mil. NW's offer had been contingent upon USS spinning off its apparel and optical retailing operations to its shareholders prior to the completion.</t>
  </si>
  <si>
    <t>America Service Group Inc</t>
  </si>
  <si>
    <t>Pvd managed health care svcs</t>
  </si>
  <si>
    <t>Investor Gary S Feldstein, withdrew his offer to acquire the remaining 95.1% interest that he did not already own in America Service Group (ASG) , a unit of Key Energy Group, for an amended $6.50 in cash per share, or a total value of $18.48 mil. Dr Feldstein originally offered $5.50 in cash per share, or a total of $15.63 mil, which was later rejected by ASG. Dr. Feldstein had retained Brenner Securities to arrange financing.</t>
  </si>
  <si>
    <t>American Bus Computers Corp</t>
  </si>
  <si>
    <t>Mnfr cash registers</t>
  </si>
  <si>
    <t>Sterling Software acquired American Business Computers through a stock swap transaction. Terms were not disclosed. The transaction was accounted for as a pooling of interests.</t>
  </si>
  <si>
    <t>American Home Products (AHP) completed its hostile merger with American Cyanamid (AC) in a transaction valued at $9. 56 bil. Earlier, AHP completed its tender offer to acquire AC for an amended $101 in cash per share, by accepting 89.6 mil shares, or about 97.6% of AC's fully- diluted share capital. Originally, AHP had offered $95 per share, or a total value of $8.7 bil. Also, AC rejected AHP's special 24- hour $100 per share offer. In August 1993, AC was to exchange its drug and consumer brands units with Smithkline Beecham's vaccine and animal health units.</t>
  </si>
  <si>
    <t>Unitrin Inc</t>
  </si>
  <si>
    <t>American General (AG) terminated its hostile offer to acquire Unitrin for $2.611 bil in cash, or $50.375 per share. In response to the offer, Unitrin had adopted a poison pill in an attempt to thwart the offer. The transaction had been subject to regulatory approval. In August 1994, Unitrin's board had approved the repurchase of up to 10 mil common shares as an added measure to thwart the takeover attempt. Subsequently AG definitively agreed to acquire Franklin Life Insurance, a unit of American Brands, for $1.17 bil in cash.</t>
  </si>
  <si>
    <t>American Residential Holding</t>
  </si>
  <si>
    <t>Provide mtg banking services</t>
  </si>
  <si>
    <t>Chase Manhattan Bank</t>
  </si>
  <si>
    <t>Chase Manhattan Bank (CM), a unit of Chase Manhattan, merged with American Residential Holding (AMRS) in a transaction valued at $332. 28 mil. Earlier, CM completed a tender offer to acquire the outstanding shares of American Residential Holding (AMRS) for $28.25 in cash per share, or a total value of $332.28 mil, by accepting 11. 285 mil shares, or 91.32% of AMRS' shares outstanding. The offer had been subject to regulatory approval and the valid tender of not less that 80% of AMRS' outstanding common shares.</t>
  </si>
  <si>
    <t>Brentwood Financial Corp</t>
  </si>
  <si>
    <t>PNC Bank (PNC) acquired Brentwood Financial (BF) for $29 in cash per common share, or a total value of $19.947 mil. Under a lockup agreement, BF granted PNC the option to acquire up to 19.9% of BF's outstanding common shares. The transaction had been subject to state and federal banking regulatory approval.</t>
  </si>
  <si>
    <t>Conrail Inc</t>
  </si>
  <si>
    <t>Norfolk Southern Corp</t>
  </si>
  <si>
    <t>Pvd railroad transp svcs</t>
  </si>
  <si>
    <t>In August 1994, Norfolk Southern had been rumored to be in negotiations to acquire Conrail.</t>
  </si>
  <si>
    <t>ElectroCom Automation Inc</t>
  </si>
  <si>
    <t>AEG, a unit of Daimler-Benz, completed its tender merger to acquire all the outstanding shares of ElectroCom Automation for $10 in cash per share, or a total value of $265.922 mil. Earlier, AEG completed its tender offer for ElectroCom by accepting about 26 mil shares, or about 96.7% of EC's common stock. The offer had been contingent upon a majority of ElectroCom's stock being tendered. Included in the value were 120,991 options valued at $7. 625 each, based on an exercise price of $2.375 each.</t>
  </si>
  <si>
    <t>Holly Residential Properties</t>
  </si>
  <si>
    <t>Wellsford Residential Ppty</t>
  </si>
  <si>
    <t>Wellsford Residential Property Trust (WRPT) acquired Holly Residential Properties (HRP) in a stock swap merger valued at $130 mil. HRP shareholders received .75 shares of WRPT for each HRP share held. Based on WRPT's closing stock price of $21.875 on Aug 2, the last full trading day prior to the announcement, each HRP share was valued at $16.41.</t>
  </si>
  <si>
    <t>Transmation Inc</t>
  </si>
  <si>
    <t>Mnfr monitoring,testing equip</t>
  </si>
  <si>
    <t>Transmation terminated merger talks with a potential acquiror and terminated all pending negotiations to sell the company. In August 1993, Transmation retained Advest to assist it in its search for a buyer for the company.</t>
  </si>
  <si>
    <t>Trident NGL Holding Inc</t>
  </si>
  <si>
    <t>Mnfr natural gas liquids</t>
  </si>
  <si>
    <t>Natural Gas Clearinghouse</t>
  </si>
  <si>
    <t>Wholesale natural gas products</t>
  </si>
  <si>
    <t>Natural Gas Clearinghouse, a unit of Noble Affiliates' Noble Natural Gas subsidiary, acquired Trident NGL Holding in a transaction valued at $735.6 mil, including $420 mil in the assumption of debt. Consideration consisted of $5.875 in cash and $6.125 in common shares for each Trident share held. The transaction was part of the formation of a strategic business alliance and the newly merged company was renamed NGC.</t>
  </si>
  <si>
    <t>Storage Technology (ST) acquired Network Systems (NS) in a stock swap transaction valued at $331.825 mil. NS shareholders received .2618 shares of ST's common stock for each NS share held. Based on ST's closing stock price of $39 on Aug 8, the last full trading day prior to announcement, each share of NS was valued at $10.21. The transaction had been subject to regulatory approval and was accounted for as a pooling of interests.</t>
  </si>
  <si>
    <t>North American Mortgage Co</t>
  </si>
  <si>
    <t>North American Mortgage (NAM) terminated its search for a buyer for the company. Previously, in August 1994, NAM announced it had retained Morgan Stanley to assist it in its search for a buyer for the company.</t>
  </si>
  <si>
    <t>General Atlantic Resources Inc</t>
  </si>
  <si>
    <t>United Meridian Corp</t>
  </si>
  <si>
    <t>United Meridian (UMC) merged with General Atlantic Resources (GAR), a unit of GAE, in a two-tier transaction valued at $182. 296 mil. UMC acquired 2.009 mil shares, or 20% of GAR, for $16.50 per share. Subsequently, UMC completed a cash tender offer for 2.74 mil common shares, or 27% of GAR, for $16.50 per share. UMC acquired the remaining 4. 557 mil shares, or 49% of GAR, for 1.1 UMC shares, valued at $16.225, for each share held, and assumed $30 mil in liabilities. The share value was based on UMC's closing stock price of $14.75 on Aug 9.</t>
  </si>
  <si>
    <t>New Horizons Savings &amp; Loan</t>
  </si>
  <si>
    <t>Luther Burbank Savings,CA</t>
  </si>
  <si>
    <t>Luther Burbank Savings terminated its agreement to acquire all the outstanding common shares of New Horizons Savings and Loan Association for $13.50 in cash per share, or a total of $29.616 mil. Negotiations were terminated because Luther was unable to provide financing for the transaction. The transaction had been subject to federal and state banking regulatory approval.</t>
  </si>
  <si>
    <t>CompLink Ltd</t>
  </si>
  <si>
    <t>Develop networking software</t>
  </si>
  <si>
    <t>Network Resources Inc</t>
  </si>
  <si>
    <t>Mnfr computer peripherals</t>
  </si>
  <si>
    <t>Network Resources (NR), a unit of Control Data Systems's Evernet Systems subsidiary, terminated its signed letter of intent to merge with CompLink (CL) in a stock swap transaction. CL and NR shareholders were to have received common shares of the new company for shares held. CL and NR shareholders were to have owned 49% and 51% of the new company respectively. The transaction had been subject to regulatory approval. Concurrently, CL had agreed to repurchase 772,000 common shares in a privately negotiated transaction.</t>
  </si>
  <si>
    <t>An investor group including Field Point Capital Management withdrew its unsolicited offer to acquire the remaining 87.7% interest, or 4.19 mil shares, of Gleason it did not already own for $18 per share, or a total of $81.497 mil. Also, a suit had been filed in Delaware Chancery Court alleging shareholder interests had been damaged.</t>
  </si>
  <si>
    <t>Worthen Banking,Little Rock,AR</t>
  </si>
  <si>
    <t>Boatmen's Bancshares (BB) acquired Worthen Banking (WB) in a stock swap transaction valued at $585.5 mil. WB shareholders received 1 common share of BB, valued at $34.375, for each WB share held. The value was based on BB's closing stock price of $34.375 on Aug 17, the last full trading day prior to the announcement. The transaction had been subject to federal and state banking regulatory approval and was accounted for as a pooling of interests.</t>
  </si>
  <si>
    <t>Koo Koo Roo Inc</t>
  </si>
  <si>
    <t>Operate fast food chicken rest</t>
  </si>
  <si>
    <t>Casual Dining Concepts Inc</t>
  </si>
  <si>
    <t>Wholesale furniture</t>
  </si>
  <si>
    <t>Casual Dining Concepts terminated its agreement to acquire warrants exchangeable into common shares equivalent to a 51% interest in Koo Koo Roo. The warrants were exercisable at $6 per share. Concurrently, Casual Dining Concepts signed a letter of intent to acquire a 9.11% stake in Koo Koo Roo, which was also terminated.</t>
  </si>
  <si>
    <t>Ground Round Restaurants Inc</t>
  </si>
  <si>
    <t>An investor group led by 399 Ventures, a unit of Citicorp's Citicorp Venture Capital subsidiary, and management, terminated its definitive agreement to acquire Ground Round Restaurants (GRR) for $157.02 mil in a leveraged buyout transaction due to financing difficulties. GRR shareholders were to receive $9 in cash per share. The consideration included the assumption of $5 mil in capital leases and $52 mil in debt, which was to be refinanced.</t>
  </si>
  <si>
    <t>Service Fracturing Co</t>
  </si>
  <si>
    <t>Nowsco Well Service Ltd</t>
  </si>
  <si>
    <t>Pvd oil and gas field services</t>
  </si>
  <si>
    <t>Nowsco Well Service (NS), a majority held unit of American Air Liquide's Big Three Industries subsidiary, completed its merger with Service Fracturing (SF) in a transaction valued at $25.2 mil. Earlier, NS had completed its tender offer to acquire all of the outstanding shares of SF for $4.55 in cash per share, by accepting 5.15 mil shares, or 92.87% of SF's total shares outstanding. The offer had been contingent upon NS receiving at least 66.667% of SF's shares outstanding.</t>
  </si>
  <si>
    <t>Griffith Consumers Co</t>
  </si>
  <si>
    <t>Op fuel dealerships, gas stats</t>
  </si>
  <si>
    <t>Griffith Holdings Inc</t>
  </si>
  <si>
    <t>US - Griffith Holdings (GH) acquired all the outstanding shares of Griffith Consumers (GC) for $23 in cash per share, or a total value of $54.17 mil. GH was granted the right to acquire 82% of GC's common stock outstanding at $23 per share exercisable anytime within 6 months after termination of the merger agreement pursuant to a lockup agreement.</t>
  </si>
  <si>
    <t>Brock Candy Co</t>
  </si>
  <si>
    <t>Produce candy</t>
  </si>
  <si>
    <t>Brach Acquisition Co</t>
  </si>
  <si>
    <t>Produce candy;holding co</t>
  </si>
  <si>
    <t>Brach Acquisition, an investor group consisting of affiliates of EJ Brach, acquired Brock Candy (BRCK) in a transaction valued at $155 mil. Consideration offered consisted of $20 per share in cash for the 7 mil Brock shares outstanding and $15 mil in the assumption of liabilities. Earlier, BRCK announced it was in negotiations with an undisclosed third party regarding a merger or acquisition of the company and had retained Robinson- Humphrey as its financial advisor.</t>
  </si>
  <si>
    <t>Radiation Care Inc</t>
  </si>
  <si>
    <t>Pvd radiation therapy services</t>
  </si>
  <si>
    <t>In August 1994, Radiation Care announced that it had retained Kidder Peabody to assist in its search for a buyer for the company.</t>
  </si>
  <si>
    <t>Reliance Electric Co</t>
  </si>
  <si>
    <t>Mnfr electric motor,generators</t>
  </si>
  <si>
    <t>General Signal Corp</t>
  </si>
  <si>
    <t>Mnfr elec control equip</t>
  </si>
  <si>
    <t>General Signal terminated its definitive agreement to acquire Reliance Electric (RE) in a stock swap transaction valued at $1.38 bil. RE shareholders were to receive . 739 common shares of GS for each RE share held. Based on GS's closing stock price of $37.25 on Aug 29, the last full trading day prior to the announcement, each RE share was valued at $27.53. In October 1994, Rockwell International launched a competing hostile tender offer for RE for $1.5 bil in cash, which was amended to $1. 6 bil and was definitively agreed upon.</t>
  </si>
  <si>
    <t>United Counties Bancorp</t>
  </si>
  <si>
    <t>Meridian Bancorp (MB) acquired United Counties Bancorp (UC), Cranford, New Jersey, in a stock swap merger valued at an amended $358.095 mil. UC common shareholders received 5 MB common shares for each of their shares held. Based on MB's closing stock price of $33 on May 23, the last full trading day prior to the announcement of amended terms, each UC share was valued at $165. Originally, MB offered 5.25 shares for each UC share held. The transaction was accounted for as a pooling of interests.</t>
  </si>
  <si>
    <t>Cardiovascular Imaging Systems</t>
  </si>
  <si>
    <t>Boston Scientific Corp</t>
  </si>
  <si>
    <t>Mnfr,whl medical devices</t>
  </si>
  <si>
    <t>Boston Scientific acquired Cardiovascular Imaging Systems for $93.844 mil, or $10.50 per share. The value included 975,682 options valued at $10.50 less the average exercise price of $4. 85. The transaction had been subject to Federal Trade Commission approval under the Hart-Scott-Rodino Act.</t>
  </si>
  <si>
    <t>DT Industries Inc</t>
  </si>
  <si>
    <t>Mnfr production mach,equip</t>
  </si>
  <si>
    <t>Harbour Group Ltd</t>
  </si>
  <si>
    <t>Harbour Group acquired DT Industries in a leveraged buyout transaction.</t>
  </si>
  <si>
    <t>First Harrisburg Bancor Inc</t>
  </si>
  <si>
    <t>First Harrisburg Bancor (FHB) terminated negotiations with an undisclosed company interested in acquiring FHB through a stock swap transaction because it was unable to reach agreement with respect to price in light of the declines in the stock prices of the prospective stock acquirors and the continued rise in interest rates. FHB had retained National Capital as financial advisor.</t>
  </si>
  <si>
    <t>Samson Energy Co LP</t>
  </si>
  <si>
    <t>Samson Properties Inc</t>
  </si>
  <si>
    <t>Samson Properties (SP) acquired the remaining 76.9% interest in Samson Energy (SE) that it did not already own for $11.50 in cash per depositary unit, or a total value of $41.31 mil. SP had completed its tender offer for SE by accepting 59.67% of SE stock, raising SP's interest to 82.8%. The offer had been conditioned upon a majority of the publicly- owned units being tendered. Samson Energy retained Paine Webber to provide a fairness opinion.</t>
  </si>
  <si>
    <t>Plaza Home Mortgage Corp</t>
  </si>
  <si>
    <t>Mortgage banking services</t>
  </si>
  <si>
    <t>Fleet National Bank,Providence</t>
  </si>
  <si>
    <t>Fleet National Bank (FNB), Providence, a unit of Fleet Financial Group, acquired Plaza Home Mortgage for an amended $7.525 in cash per share, or a total of $83.806 mil. Originally, FNB offered $7.625 in cash per share, or a total of $84.9 mil. The transaction had been subject to federal and state banking regulatory approval. In Jan 1995, Plaza announced it was seeking a buyer for certain assets required to be divested under the merger agreement with Fleet, which were subsequently divested.</t>
  </si>
  <si>
    <t>Mercantile Stores Co Inc</t>
  </si>
  <si>
    <t>Mercantile Stores (MS) terminated talks with an undisclosed acquiror. May Department Stores was rumored to have been the possible acquiror, and the transaction was rumored to have been valued at approximately $2 bil. MS was 40% owned by the Milliken family.</t>
  </si>
  <si>
    <t>Nextel Communications (NC) acquired the remaining 6.5 mil common shares, or 90.1% interest, that it did not already own in American Mobile Systems (AM) in a stock swap valued at an amended $63.27 mil. AM shareholders received .62 NC common shares for each share held. Based on NC's closing stock price of $15.625 on Apr 25, the last full trading day prior to the disclosure of amended terms, each AM share was valued at $9.69. Originally, NC offered .545 common shares for each share held.</t>
  </si>
  <si>
    <t>Kohlberg Kravis Roberts (KKR) merged with Borden (BN) in an amended stock swap valued at $4.643 bil, including $2.4 bil in the assumption of liabilities in a leveraged buyout transaction. The value included a 16.5% stake KKR acquired in Borden through a lockup agreement valued at $309.518 mil. Earlier, KKR had completed a tender offer to acquire all the shares of BN in exchange for 2.29146 RJR shares, valued at $13.606, per BN share held, by accepting 90 mil shares, or about 63.5% of BN's total shares outstanding. The offer had been conditioned upon a minimum of 41% of BN's shares being tendered.</t>
  </si>
  <si>
    <t>Great Lakes Bancorp,Michigan</t>
  </si>
  <si>
    <t>Great Lakes Bancorp (GLB) disclosed it received an unsolicited letter from an undisclosed acquiror which never materialized into an offer. Later, TCF Financial acquired GLB in a stock swap merger valued at $177.463 mil. The transaction had bee subject to federal and state banking regulatory approval.</t>
  </si>
  <si>
    <t>Uniforce Temporary Personnel</t>
  </si>
  <si>
    <t>Pvd temporary personnel svcs</t>
  </si>
  <si>
    <t>Uniforce Temporary Personnel (UTP) terminated its search for a buyer, which it had initiated in September 1994. PaineWebber had been retained as UTP's financial advisor.</t>
  </si>
  <si>
    <t>Brainerd International Inc</t>
  </si>
  <si>
    <t>Investor Donald Williamson acquired a 72% interest in Brainerd International (BI) for $2.26 per share, or a total value of $1.103 mil. Later, BI acquired Colonel's, which was owned by Williamson and his wife, in a stock swap transaction.</t>
  </si>
  <si>
    <t>LDB Corp</t>
  </si>
  <si>
    <t>Mnfr mobile homes;whl carpets</t>
  </si>
  <si>
    <t>A management-led investor group including chairman of the board, president, chief executive officer, and controlling stockholder LD Brinkman, and Tom Thomas, acquired the remaining 31% of LDB they did not already own for an amended $4.297 mil in a leveraged buyout. Initially, the offer was for $5.5 per share, or a total of $3.151 mil.</t>
  </si>
  <si>
    <t>Western Co of North America</t>
  </si>
  <si>
    <t>Mnfr pressure pumping systems</t>
  </si>
  <si>
    <t>BJ Services Co</t>
  </si>
  <si>
    <t>Pvd pressure pumping svcs</t>
  </si>
  <si>
    <t>BJ Services (BJ) completed its hostile acquisition of Western Co of North America (WN) for an amended $377.158 mil. Consideration consisted of $10 in cash and $10 in BJ common shares. The value included 974,165 options valued at $11.7 each, based on an exercise price of $8.3. Upon completion, WN had 18.2 mil common shares outstanding, with the value assuming that $100 mil of WN's convertible debentures were converted into 5.9 mil common shares. The transaction had been subject to regulatory approval.</t>
  </si>
  <si>
    <t>American Income Holdings Inc</t>
  </si>
  <si>
    <t>Torchmark completed its merger with American Income Holdings (AIH) in a transaction valued at $550.8 mil. Earlier, Torchmark had completed its tender offer for all the common shares of AIH for $35 in cash per share, by accepting 15,632,502 common shares, or about 96. 73% of AIH's outstanding shares. The offer had been contingent upon at least 51% of AIH's shares being tendered. Fox-Pitt, Kelton had been retained by American Income Holdings to offer a fairness opinion. The transaction had been subject to regulatory approval.</t>
  </si>
  <si>
    <t>Wright Medical Technology Inc</t>
  </si>
  <si>
    <t>Manufacture prosthetic goods</t>
  </si>
  <si>
    <t>Wright Medical Technology (WM) completed its merger with Orthomet (OM) in a transaction valued at $63.68 mil. Earlier, WM had completed its tender offer for all the common and convertible preferred stock of OM for $11 in per common share, as well as $12.09 per share of 6% convertible preferred stock, in cash, by accepting 5,492,215 common shares, or 96.9% of the total common shares outstanding, and 100% of the preferred shares outstanding. The transaction had been subject to Federal Trade Commission regulatory approval under the Hart-Scott-Rodino Act.</t>
  </si>
  <si>
    <t>Hampton Resources Corp</t>
  </si>
  <si>
    <t>Oil,gas exploration,production</t>
  </si>
  <si>
    <t>Bellwether Exploration Co</t>
  </si>
  <si>
    <t>Bellwether Exploration (BE) acquired the remaining 87.3%, or 2,000,000 shares, on a fully-diluted basis that it did not already own in Hampton Resources (HR) for an amended $28 mil. The consideration consisted of $22 mil in cash and 1.2 mil BE shares valued at $6 mil. The shares were valued based on BE's closing price of $5 on Jan 2, the last day of the announcement of the amended terms. Previously, BE raised its stake in HR to 20.2% from 18.84%. Originally, BE submitted an unsolicited bid to acquire the remaining 79. 8% of HR, which was rejected.</t>
  </si>
  <si>
    <t>Magma Power Co</t>
  </si>
  <si>
    <t>California Energy Co Inc</t>
  </si>
  <si>
    <t>Own,op electronic utility co</t>
  </si>
  <si>
    <t>California Energy (CE) acquired Magma Power (MP) in a hostile two-tier merger valued at a sweetened $937.67 mil. CE completed a tender offer for 51% of MP's stock for an amended $39 in cash per share. Originally, CE had offered $28.5 in cash and $10. 5 in CE stock per share. In the second step, CE offered an amended $38.5 in cash for each remaining share held. CE had originally offered a choice of $38.5 in cash or $39 in cash and stock. Earlier, CE terminated its amended hostile offer to acquire MP for $25 in cash and $10 in CE stock per MP share held.</t>
  </si>
  <si>
    <t>Home Federal Bancorp,IN</t>
  </si>
  <si>
    <t>Comml bank holding co</t>
  </si>
  <si>
    <t>An investor group led by Hart N Hasten and Mark N Hasten withdrew its plans to acquire the remaining 92.4% of Home Federal Bancorp which they did not already own.</t>
  </si>
  <si>
    <t>Austin's International Inc</t>
  </si>
  <si>
    <t>An investor group, comprised of European investors, acquired a 54% interest, or 1 mil common shares, in Austin's International.</t>
  </si>
  <si>
    <t>EquiCredit Corp</t>
  </si>
  <si>
    <t>Barnett Banks acquired EquiCredit for $32 in cash per share, or a total value of $310.864 mil. The acquisition had been subject to state and federal banking regulatory approval.</t>
  </si>
  <si>
    <t>K/B Realty Advisors</t>
  </si>
  <si>
    <t>K/B Realty Advisors, a unit of Koll Management Services, terminated its letter of intent to acquire all the outstanding shares of MIP Properties for a total value of $23.2 mil in cash, or $2. 525 per share. Concurrently, JER Parnters acquired MIP for $69 mil. Palm Finance and Canton Financial also terminated their offers to acquire MIP.</t>
  </si>
  <si>
    <t>Public Storage Properties VI</t>
  </si>
  <si>
    <t>Pvd warehousing,storage svcs</t>
  </si>
  <si>
    <t>Storage Equities acquired Public Storage Properties VI in a stock swap merger valued at an amended $67.318 mil, or $24.77 per share. Consideration consisted of $. 72 cash and a choice of $24. 05 in cash or common stock per Public Storage share held. Originally, Storage Equities offered $24.71 per share consisting of a choice of Storage Equities common stock, or up to 50% in cash and the remainder in common stock.</t>
  </si>
  <si>
    <t>Revell-Monogram Inc</t>
  </si>
  <si>
    <t>Hallmark Cards Inc</t>
  </si>
  <si>
    <t>Publish,whl,ret greeting cards</t>
  </si>
  <si>
    <t>Hallmark Cards acquired all of the outstanding stock of Revell-Monogram for a total value of $29.79 mil in cash, or $6.375 per share. Revell- Monogram had retained Kidder Peabody as financial adviser. The transaction had been subject to regulatory approval and Hallmark Cards' successful minority stake purchase of Revell AG, a 51% owned unit of Revell-Monogram.</t>
  </si>
  <si>
    <t>Ropak Corp</t>
  </si>
  <si>
    <t>Manufacture plastic containers</t>
  </si>
  <si>
    <t>LINPAC Mouldings Ltd</t>
  </si>
  <si>
    <t>Mnfr plastic-injected moulding</t>
  </si>
  <si>
    <t>Linpac Mouldings terminated plans to acquire the remaining 91.5% of Ropak that it did not already own for $10.5 per share in cash, or a total value of $41.304 mil. Linpac withdrew its offer after Ropak's special committee rejected its offer for the second time.</t>
  </si>
  <si>
    <t>Allegheny &amp; Western Energy</t>
  </si>
  <si>
    <t>Gas utility; gas expln, prodn</t>
  </si>
  <si>
    <t>Energy Corp of America</t>
  </si>
  <si>
    <t>Energy Corp of America merged with Allegheny &amp; Western Energy for $12 in cash per share, or a total value of $89.75 mil. The transaction had been subject to regulatory approval.</t>
  </si>
  <si>
    <t>Crocker Realty Investors Inc</t>
  </si>
  <si>
    <t>Southeast Realty Corp</t>
  </si>
  <si>
    <t>Southeast Realty (SR) acquired Crocker Realty Investors (CR) in a stock swap merger. Consideration consisted of one SR common share for every one CR common share held. Originally, SR had planned to launch a tender offer for all of CR's common stock warrants, whereby CR warrant holders had a choice of receiving $1. 20 in cash for each warrant held, or one share of SR common stock for each six warrants held. Upon completion, SR changed its name to Crocker Realty Trust.</t>
  </si>
  <si>
    <t>Government Technology Services</t>
  </si>
  <si>
    <t>Whl computer prod</t>
  </si>
  <si>
    <t>Diana Corp</t>
  </si>
  <si>
    <t>Produce and wholesale meats</t>
  </si>
  <si>
    <t>Diana withdrew its offer to acquire Government Technology Services for $16 in cash and common stock per share held, or a total value of $106 mil. Diana held 114,500 shares or 1.7% of total outstanding shares and an option to acquire an additional 300,000 shares.</t>
  </si>
  <si>
    <t>Information America Inc</t>
  </si>
  <si>
    <t>Provide on-line data info svcs</t>
  </si>
  <si>
    <t>West Publishing Co</t>
  </si>
  <si>
    <t>Publish legal books</t>
  </si>
  <si>
    <t>West Publishing completed its merger with Information America (IA) in a transaction valued at $29.27 mil. Earlier, IA had completed its tender offer for all the outstanding shares of Information America (IA) for $6 in cash per share, by accepting 4,756,014 shares, or 82.44% of IA's fully dilued shares outstanding. The offer had been conditioned upon a majority of IA's common stock being tendered. The transaction had been subject to the Federal Trade Commission regulatory approval under the Hart-Scott- Rodino Act.</t>
  </si>
  <si>
    <t>HealthTrust Inc-The Hospital</t>
  </si>
  <si>
    <t>Columbia/HCA Healthcare (CH) merged with HealthTrust Inc- The Hospital (HT) in a stock swap transaction valued at $5. 219 bil, including $1.8 bil in the assumption of liabilities. HT's shareholders received .88 shares of CH's common stock for each share held. Based on CH's closing stock price of $42.75 on Oct 4, the last full trading day prior to the announcement, each HT share was valued at $37.62. The transaction was accounted for as a pooling of interests, and had been subject to regulatory approval.</t>
  </si>
  <si>
    <t>Citizens Utilities terminated plans to acquire Sierra Pacific Resources in a stock swap transaction. Earlier, Washington Water Power had agreed to acquire Sierra Pacific Resources in a stock swap valued at $625.77 mil.</t>
  </si>
  <si>
    <t>Bergstrom Capital Corp</t>
  </si>
  <si>
    <t>In October 1994, Bergstrom Capital announced it was seeking a buyer for the company.</t>
  </si>
  <si>
    <t>Oncology Therapies Inc</t>
  </si>
  <si>
    <t>Pvd oncology therapy services</t>
  </si>
  <si>
    <t>Oncology Therapies acquired Radiation Care for $2.625 in cash per share, or a total value of $46 mil. Initially, Oncology Therapies definitively agreed to acquire 17 radiation therapy centers from Radiation Care for $27 mil. Earlier, an investor group including company chairman and founder, Thomas E Haire, definitively agreed to acquire Radiation Care for $2.30 in cash per common share or a total value of $37.629 mil in a leveraged- buyout transaction.</t>
  </si>
  <si>
    <t>An investor group including company chairman and founder, Thomas E Haire, terminated its definitive agreement to acquire Radiation Care for $2. 30 in cash per common share, or a total value of $37.629 mil in a leveraged buyout transaction. Subsequently, Oncology Therapies definitively agreed to acquire 17 radiation therapy centers from Radiation Care for $27 mil.</t>
  </si>
  <si>
    <t>US ONE Communications Corp</t>
  </si>
  <si>
    <t>Pvd telephone commun svcs</t>
  </si>
  <si>
    <t>US One Communications agreed to acquire ACC in a stock swap transaction. Upon completion, US One's shareholders would hold 70% in the newly-merged company, which was to be called US One Communications.</t>
  </si>
  <si>
    <t>LILCO</t>
  </si>
  <si>
    <t>New York Power Authority</t>
  </si>
  <si>
    <t>New York Power Authority terminated its negotiations to acquire all of the outstanding shares of Long Island Lighting (LILCO) for $21.50 in cash per share, or a total value of $2.533 bil.</t>
  </si>
  <si>
    <t>Pulse Engineering Inc</t>
  </si>
  <si>
    <t>Mnfr solid state modules</t>
  </si>
  <si>
    <t>Bel Fuse Inc</t>
  </si>
  <si>
    <t>Elec components;hybrid circuit</t>
  </si>
  <si>
    <t>Bel Fuse (BF) acquired the remaining 92.9% interest in Pulse Engineering (PE) which it did not already own in a stock swap valued at an amended $33.719 mil. PE shareholders were to receive . 73 BF common shares for every share held. Based on BF's closing stock price of $9.375 on April 19, each PE share was valued at $6.84. Originally, BF offered $3 in cash and $3 in common shares for each PE share. The value of the transaction included 531,400 shares BF had acquired in the open market for estimated value of $.422 mil.</t>
  </si>
  <si>
    <t>SunRiver Corp</t>
  </si>
  <si>
    <t>Design computer terminals</t>
  </si>
  <si>
    <t>All-Quotes Inc</t>
  </si>
  <si>
    <t>Provide stock quotation svcs</t>
  </si>
  <si>
    <t>All-Quotes acquired Sunriver in exchange for 63% of All- Quotes common stock outstanding in a reverse stock swap transaction. Concurrently, Sunriver acquired Applied Digital Data Systems, a unit of AT&amp;T's AT&amp;T Global Information Solutions subsidiary. Also, Global Market Information acquired the Financial Information business of All- Quotes for $2 mil.</t>
  </si>
  <si>
    <t>UDC Homes Inc</t>
  </si>
  <si>
    <t>UDC Homes disclosed it was in negotiations to divest itself to an undisclosed acquiror. In October 1994, UDC Homes had retained Donaldson, Lufkin &amp; Jenrette Securities to assist in its search for a buyer for the company.</t>
  </si>
  <si>
    <t>SFM Corp</t>
  </si>
  <si>
    <t>Mnfr machine tools and motors</t>
  </si>
  <si>
    <t>EXX Inc</t>
  </si>
  <si>
    <t>Mnfr,whl toys,mechanical prod</t>
  </si>
  <si>
    <t>EXX agreed to acquire all the outstanding common stock of SFM in a stock swap transaction.</t>
  </si>
  <si>
    <t>Rockwell International Corp</t>
  </si>
  <si>
    <t>Mnfr aircraft, defense systems</t>
  </si>
  <si>
    <t>Rockwell International (RI) completed its merger for all the Class A and B common shares of Reliance Electric (RE) for $31 in cash per share, as well as RE Class C shares for $83.948 per share, or a total of $1.6 bil. Earlier, RI had completed its tender offer by accepting 31. 6 mil shares of Class A and 146,304 shares of Class B, representing 63.2% of RE's fully diluted common stock. RI initially offered $30 in cash per Class A and B share and $81.24 per Class C share. Earlier, General Signal terminated its agreement to acquire RE in a stock swap.</t>
  </si>
  <si>
    <t>Evergreen Media Corp</t>
  </si>
  <si>
    <t>Jacor Broadcasting Corp</t>
  </si>
  <si>
    <t>Own,op radio stations</t>
  </si>
  <si>
    <t>Jacor Broadcasting, a unit of Zell/Chilmark Fund, withdrew its bid to acquire all the outstanding common shares of Evergreen Media for $20 in cash per share, or a total value of $173.06 mil, after the bid was rejected by Evergreen Media's board.</t>
  </si>
  <si>
    <t>Monk-Austin Inc</t>
  </si>
  <si>
    <t>Whl leaf,processed tobacco</t>
  </si>
  <si>
    <t>Dibrell Brothers Inc</t>
  </si>
  <si>
    <t>Mnfr,whl tobacco products</t>
  </si>
  <si>
    <t>Tobacco Products</t>
  </si>
  <si>
    <t>Dibrell Brothers (DB) merged with Monk-Austin (MA) in a stock swap valued at $386.88 mil. Shareholders of DB common stock received 1.5 shares of the new company, to be called DiMon (DM), for every share held, and MA shareholders received 1 share of DM for each share held. Based on DB's closing stock price of $21.375 on Oct 20, the last full trading day prior to the announcement, each MA share was valued at $21.375.</t>
  </si>
  <si>
    <t>Bank Maryland Corp,Maryland</t>
  </si>
  <si>
    <t>Mason-Dixon Bancshares,MD</t>
  </si>
  <si>
    <t>Mason-Dixon Bancshares (MDB) acquired all the outstanding shares of Bank Maryland for an amended $12.81 per share, or a total value of $26.273 mil. Consideration consisted of a choice of cash or common shares, with at least 50% of the consideration in common shares. MDB originally offered $11.8 mil in cash and 278,000 shares of MDB common stock valued at $15.43 mil. The transaction had been subject to federal and state banking regulatory approval and had been subject to a collar agreement.</t>
  </si>
  <si>
    <t>Ricoh Corp</t>
  </si>
  <si>
    <t>Whl computers,photo equipment</t>
  </si>
  <si>
    <t>Ricoh, a unit of Ricoh Co Ltd, acquired Savin for $10. 43 in cash per share, or a total value of $42 mil.</t>
  </si>
  <si>
    <t>Photocomm Inc(New World Power)</t>
  </si>
  <si>
    <t>New World Power(NW) raised its stake to 50.4% from 46% in Photocomm(PH).  In December 1995, NW reduced its stake in PH to below 46% stake.</t>
  </si>
  <si>
    <t>Commercial Bancorp Inc</t>
  </si>
  <si>
    <t>Commercial Bancorp (CB) acquired West Coast Bancorp (WCB) in a merger of equals stock swap transaction valued at $27.925 mil. WCB shareholders received .6 CB shares per WCB share held. Based on CB's closing stock price of $16.50 on Oct 24, the last full trading day prior to the announcement, each WCB share was valued at $9.90. Under a lockup agreement, each company was granted an option to acquire a 19.9% stake in each other. The transaction had been subject to federal and state banking regulatory approval.</t>
  </si>
  <si>
    <t>Park Communications Inc</t>
  </si>
  <si>
    <t>TV, radio stations; newspapers</t>
  </si>
  <si>
    <t>An investor group, including investors Donald Tomlin and Gary Knapp, acquired Park Communications in a transaction valued at $711. 466 mil. The group offered $30.50 in cash for each common share held and $1.59 in cash for each convertible preferred share held. Each preferred share was convertible into .052 common shares. In March 1994, Park Communications had announced it had retained Goldman Sachs as financial advisor to assist in the search for a buyer for an 89.6% interest in the company.</t>
  </si>
  <si>
    <t>American Savings of Florida</t>
  </si>
  <si>
    <t>Enstar Group terminated negotiations to divest its American Savings of Florida unit to an undisclosed acquiror.</t>
  </si>
  <si>
    <t>FF Bancorp Inc</t>
  </si>
  <si>
    <t>First National Bancorp,Georgia</t>
  </si>
  <si>
    <t>First National Bancorp, Gainesville, Georgia, (FNB) acquired FF Bancorp (FF) in a stock swap transaction valued at $77.64 mil. FF shareholders received .825 shares of FNB's common stock for each FF share held. Based on FNB's closing stock price of $20 on Oct 26, the last full trading day prior to the announcement, each FF share was valued at $16.50. The transaction had been subject to state and federal banking regulatory approval and was accounted for as a pooling of interests.</t>
  </si>
  <si>
    <t>Dual Drilling(Mosvold Shippg)</t>
  </si>
  <si>
    <t>Oil and gas drilling</t>
  </si>
  <si>
    <t>Wilrig A/S</t>
  </si>
  <si>
    <t>Wilrig A/S terminated negotiations to acquire a 59% interest in Dual Drilling from Mosvold Shipping.</t>
  </si>
  <si>
    <t>WorldCorp Inc</t>
  </si>
  <si>
    <t>Pvd passenger airline svcs</t>
  </si>
  <si>
    <t>An investor group, including Dawson-Samberg Capital Management, acquired a 7.56% in Worldcorp by purchasing 1. 15 million common shares in the open market between Oct 10 and 19, at prices ranging from $7.4846 to $9.8580 per share. Based on the high range price, the stake had an indicated value of $11.3 mil.</t>
  </si>
  <si>
    <t>Younkers Inc</t>
  </si>
  <si>
    <t>Operate retail dept store</t>
  </si>
  <si>
    <t>Carson Pirie Scott &amp; Co</t>
  </si>
  <si>
    <t>Own,op dept stores</t>
  </si>
  <si>
    <t>Carson Pirie Scott (CP), a unit of PA Bergner, withdrew its hostile tender offer to acquire Younkers (YK) for an amended $19 in cash per share, or a total value of $166.67 mil. Originally, CP planned to raise its stake to 54.4% from 11.68%, by accepting 3.8 mil YK shares. Earlier, CP offered $20 in cash, amended from $19 in cash, also amended from an original offer of $17 in cash per share. The value included 1. 04 mil YK shares, or a 11.68% stake, acquired for $16.22 mil in the open market. Later, Proffitt, acting as a white knight, acquired YK.</t>
  </si>
  <si>
    <t>Vestar Inc</t>
  </si>
  <si>
    <t>Liposome-based drugs</t>
  </si>
  <si>
    <t>NeXagen Inc</t>
  </si>
  <si>
    <t>Develop AIDS pharmaceuticals</t>
  </si>
  <si>
    <t>NeXagen acquired Vestar in a stock swap transaction valued at $95.198 mil. Under terms of the agreement, Vestar shareholders received .88 shares of NeXagen's common stock per each Vestar share held. Based on NeXagen's closing stock price of $7.75 on Oct 28, the last full trading day prior to the announcement, each Vestar share was valued at $6.82. The merged company was renamed NeXstar Pharmaceuticals.</t>
  </si>
  <si>
    <t>AKH Co</t>
  </si>
  <si>
    <t>Own,op tire stores</t>
  </si>
  <si>
    <t>AKH withdrw its offer to acquire all the outstanding shares of Big O Tires (BOT) for $18 in cash per share, or a total value of $59.4 mil. In June 1994, BOT announced that it was seeking a buyer for the company. Later, a management led investor group terminated its agreement to acquire BOT for $18.50 in cash per share, or a total value of $61 mil. Later, the group once again terminated a definitive agreement to acquire BOT for $16.50 in cash per share, or a total value of $54.75 mil. Also, TBC acquired BOT for $16.50 per share.</t>
  </si>
  <si>
    <t>Mickelberry Communications</t>
  </si>
  <si>
    <t>Advertising and printing svc</t>
  </si>
  <si>
    <t>Union Capital Corp</t>
  </si>
  <si>
    <t>Union Capital acquired the remaining 3,055,520 common shares, or 52% interest, that it did not already own in Mickelberry Communications, for an amended $4.25 in cash per share, or a total value of $12.986 mil. Originally, Union had offered $3.25 in cash per share.</t>
  </si>
  <si>
    <t>National Securities Corp</t>
  </si>
  <si>
    <t>An investor group offered to acquire a majority stake in National Securities for $5 per common share.</t>
  </si>
  <si>
    <t>IBM Corp</t>
  </si>
  <si>
    <t>Manufacture computer products</t>
  </si>
  <si>
    <t>In November 1994, International Business Machines was rumored to be planning to acquire Novell. The Current status of this deal is unknown.</t>
  </si>
  <si>
    <t>Salem Corp</t>
  </si>
  <si>
    <t>Whl industrial mach and equip</t>
  </si>
  <si>
    <t>Harbour Group Investments III</t>
  </si>
  <si>
    <t>Whl industrial machinery</t>
  </si>
  <si>
    <t>Harbour Group Investments III (HGI) withdrew its sweetened bid for all the outstanding shares of Salem for $21 in cash per share, or a total value of $39.1 mil, after Salem terminated negotiations. The initial value was for at least $33 mil in cash and had been subject to a collar agreement whereby HGI would pay a premium not less than 25% of Salem's average closing stock price during a 30-day period prior to the receipt of the proposal. Earlier, investor Victor Postner withdrew his offer to acquire the remaining 51% interest which he did not already own.</t>
  </si>
  <si>
    <t>Casino &amp; Credit Services Inc</t>
  </si>
  <si>
    <t>Pvd credit collection services</t>
  </si>
  <si>
    <t>HFS Inc</t>
  </si>
  <si>
    <t>Own,op hotel franchises</t>
  </si>
  <si>
    <t>Hospitality Franchise Systems (HFS) acquired Casino &amp; Credit Services (CCS) in a stock swap transaction valued at $33.3 mil. HFS offered . 338 common shares per CCS share. Based on HFS' closing stock price of $26.625 on Nov 1, the last full trading day prior to the announcement, each CCS share was valued at $9.</t>
  </si>
  <si>
    <t>Mid-American Waste Systems Inc</t>
  </si>
  <si>
    <t>Pvd waste mgmt,removal svcs</t>
  </si>
  <si>
    <t>In February 1995, Mid- American Waste Systems (MAW) terminated its plans to seek a buyer for the company. In November 1994, MAW announced that it was seeking a buyer.</t>
  </si>
  <si>
    <t>Snapple Beverage Corp</t>
  </si>
  <si>
    <t>\roduce,whl soft drinks</t>
  </si>
  <si>
    <t>Quaker Oats Co</t>
  </si>
  <si>
    <t>Produce cereals,foods,drinks</t>
  </si>
  <si>
    <t>Quaker Oats (QO) merged with Snapple Beverage (SB) in a transaction valued at $1.703 bil concurrently with the completion of its tender offer to acquire all the outstanding shares of SB for $14 in cash per share. QO had accepted 117,380,755 shares, or 96.07% of the SB's fully diluted outstanding shares through the offer. Also, Thomas H Lee Partners and ML- Lee Acquisition Fund, owners of an aggregate of 68% of SB's common stock, agreed to tender their shares to QO. In October 1994, PepsiCo had been rumored to be in negotiations to acquire QO.</t>
  </si>
  <si>
    <t>CONMED Corp</t>
  </si>
  <si>
    <t>Mnfr electrosurgical systems</t>
  </si>
  <si>
    <t>Conmed acquired Birtcher Medical Systems (BMS) in a stock swap merger valued at $22.964 mil. BMS shareholders received .0833 Conmed common shares per BMS common share held, and .5 Conmed common shares per BMS preferred share held. Based on Conmed's closing stock price of $21.25 on Nov 2, the last full trading day prior to announcement, each BMS common share was valued at $1.77 and each BMS preferred share was valued at $10.625. In April 1994, BMS had announced it was seeking a buyer for the company.</t>
  </si>
  <si>
    <t>Healthcare Imaging Services</t>
  </si>
  <si>
    <t>Own,op fixed-site MRI centers</t>
  </si>
  <si>
    <t>In November 1994, HealthCare Imaging Services announced that it was seeking a buyer for the company.</t>
  </si>
  <si>
    <t>Marine Drilling Cos</t>
  </si>
  <si>
    <t>Pvd contract drilling svcs</t>
  </si>
  <si>
    <t>Falcon Drilling Co</t>
  </si>
  <si>
    <t>Falcon Drilling (FD) terminated its signed letter of intent to acquire Marine Drilling (MD) in a stock swap transaction. FD and MD shareholders were to receive 1 common share of the new company, to be called Falcon Marine, per share held. The exact ratio was to be determined at a later date.</t>
  </si>
  <si>
    <t>Investor Victor Posner withdrew his offer to acquire the remaining 51% interest in Salem that he did not already own for a value greater or equal to the offer previously made by Harbor Group Investments III (H3), a unit of Harbor Group. H3 had offered to acquire Salem for at least $33 mil. Later, H3 also withdrew its offer to acquire Salem.</t>
  </si>
  <si>
    <t>UF Bancorp Inc</t>
  </si>
  <si>
    <t>CNB Bancshares (CNB) acquired UF Bancorp (UFB) in a stock swap transaction valued at $69.726 mil. UFB shareholders received 1.366 CNB common shares for each UFB share held, subject to a collar agreement. Based on CNB's closing stock price of $31.75 on Dec 12, the last full trading day prior to the announcement of the terms, each UFB share was valued at $43.37. The transaction was accounted for as a pooling of interests and had been subject to federal and state banking regulatory approval.</t>
  </si>
  <si>
    <t>United Inns</t>
  </si>
  <si>
    <t>Own,op hotels, car washes</t>
  </si>
  <si>
    <t>United/Harvey Holdings LP</t>
  </si>
  <si>
    <t>United/Harvey Holdings (UHH) completed a merger with United Inns (UI) in a transaction valued at $66.647 mil. Earlier, UHH completed a tender offer to acquire all the outstanding shares of UI for $25 in cash per share by accepting 2,650,040 UI shares, or 98% of the common shares outstanding. The offer had been conditioned upon at least 50% of the shares outstanding being tendered. In July 1994, UI announced that it had retained Smith Barney as financial advisor to assist in the search for a buyer for the company.</t>
  </si>
  <si>
    <t>CCB Financial (CCB) acquired Security Capital Bancorp (SCB) in a stock swap valued at $230.289 mil. SCB shareholders received .5 shares of CCB common stock per share held. Based on CCB's closing stock price of $39.125 on Nov 4, the last full trading day prior to the announcement, each share of SCB was valued at $19.563. The transaction was accounted for as a pooling of interests and had been subject to federal and state regulatory approval.</t>
  </si>
  <si>
    <t>SciMed Life Systems Inc</t>
  </si>
  <si>
    <t>Boston Scientific (BS) acquired SciMed Life Systems (SLS) in a tax-free stock swap transaction valued at $897.268 mil. SLS shareholders received 3.4152 BS shares per SLS share held. Based on BS's closing stock price of $17.125 on Nov 7, the last full trading day prior to the announcement, each SLS share was valued at $58.48 per share. The transaction was accounted for as a pooling of interests and had been subject to regulatory approval.</t>
  </si>
  <si>
    <t>Trico Products Corp</t>
  </si>
  <si>
    <t>Stant Corp(Bessemer Capital Pa</t>
  </si>
  <si>
    <t>Mnfr,whl automotive parts</t>
  </si>
  <si>
    <t>Stant completed its merger with Trico Products (TP) in a transaction valued at $159. 683 mil. Earlier, Stant had completed its tender offer for all the common shares of TP for $85 in cash per share, by accepting 1,759,250 TP shares, or 93.5% of the company's common stock outstanding. The offer had been conditioned upon two- thirds of TP common stock being tendered. Stant had already been granted an option to receive 33% of TP stock from Oishei Family Charitable Foundation at the offer price. The transaction had been subject to regulatory approval.</t>
  </si>
  <si>
    <t>Orion Capital Corp</t>
  </si>
  <si>
    <t>Orion Capital terminated negotiations to acquire all of the outstanding common stock of Arista Investors for $3.75 in cash per share, or a total value of $9.5 mil.</t>
  </si>
  <si>
    <t>Broadcast International Inc</t>
  </si>
  <si>
    <t>Mnfr satellite commun systems</t>
  </si>
  <si>
    <t>Data Broadcasting Corp</t>
  </si>
  <si>
    <t>Pvd finl data,quotation svcs</t>
  </si>
  <si>
    <t>Data Broadcasting (DB) acquired Broadcasting International (BI) in a stock swap transaction valued at an amended $48.105 mil, or $6.05 per share, including $12 mil in the assumption of liabilities. BI shareholders were to receive $2.25 in cash plus 1.01408 DB common shares valued at $3.80 for each share held. The shares were valued based on DB's closing stock price of $3.75 on Dec 14, the last full trading day prior to amended terms. Originally, BI shareholders were to receive $6 in DB shares per BI share held.</t>
  </si>
  <si>
    <t>Spec's Music Inc</t>
  </si>
  <si>
    <t>Record and video retail stores</t>
  </si>
  <si>
    <t>Spec's Music terminated its search for a buyer for the company, which it had originally announced in November 1994. Paine Webber had been retained to assist in the search.</t>
  </si>
  <si>
    <t>Allstate Corp</t>
  </si>
  <si>
    <t>Ins hldg co</t>
  </si>
  <si>
    <t>Sears Roebuck (SR) completed the spinoff the remaining 80. 1% of its Allstate (AL) unit to its shareholders in a transaction valued at $11.761 bil. SR shareholders received .93 AL common shares for each share held. AL shares were value based on AL's closing stock price of $32.625 on Jul 13, the first full trading day on a non-when issued basis.</t>
  </si>
  <si>
    <t>AMSERV Healthcare Inc</t>
  </si>
  <si>
    <t>Pvd temp nursing employment</t>
  </si>
  <si>
    <t>ATC Services(Staff Builders)</t>
  </si>
  <si>
    <t>ATC Services, a unit of Staff Builders, acquired AMSERV Healthcare for an undisclosed amount of cash.</t>
  </si>
  <si>
    <t>NFS Financial Corp</t>
  </si>
  <si>
    <t>NFS Financial's merger negotiations with People's Heritage Financial Group was terminated. Sources familiar with the talks reported that People's called off talks because "it seemed as though there was a confidentiality problem." It was initially disclosed that NFS Financial was in talks with an undisclosed acquiror.</t>
  </si>
  <si>
    <t>Nematron Corp</t>
  </si>
  <si>
    <t>Mnfr computer terminals</t>
  </si>
  <si>
    <t>Total Control Products Inc</t>
  </si>
  <si>
    <t>Mnfr process control instr</t>
  </si>
  <si>
    <t>Total Control Products withdrew its offer to acquire Nematron for $2.50 in cash per share, or a total value of $4.032 mil in cash. Total was also to assume an undisclosed amount of Nematron's bank debt. In November 1994, Nematron planned to acquire Imagination Systems in a stock swap merger transaction.</t>
  </si>
  <si>
    <t>Powersoft Corp</t>
  </si>
  <si>
    <t>Sybase Inc</t>
  </si>
  <si>
    <t>Dvlp entrp,mobile software</t>
  </si>
  <si>
    <t>Sybase acquired Powersoft in a stock swap merger valued at $817.344 mil. Each Powersoft shareholder received 1.6 Sybase common shares per share held. Based on Sybase's closing stock price of $48. 375 on Nov 11, the last full trading day prior to the announcement, each Powersoft share was valued at $77.4. The transaction had been subject to regulatory approval and was accounted for as a pooling of interests.</t>
  </si>
  <si>
    <t>Triconex Corp</t>
  </si>
  <si>
    <t>Mnfr process control equipment</t>
  </si>
  <si>
    <t>Siebe PLC</t>
  </si>
  <si>
    <t>Mnfr appliance controls</t>
  </si>
  <si>
    <t>Siebe (SE) merged with Triconex (TX) in a transaction valued at $94.672 mil. The value included TX's options to acquire 729,013 shares and warrants to acquire 20,360 shares. The options were valued based on $17.75 minus their average exercise price of $9.56 and the warrants were valued based on $17.75 minus their average exercise price of $5. 6. Earlier, SE completed its tender for all the shares of TX for $17.75 in cash per sh, by accepting 95.7% of TX's shares. The offer had been conditioned upon a majority of the shares being tendered.</t>
  </si>
  <si>
    <t>Tuboscope Vetco International (TV) terminated its search for a buyer, which it had announced in November 1994. TV had retained the services of Goldman Sachs to assist in its search.</t>
  </si>
  <si>
    <t>Abraxas Petroleum Corp</t>
  </si>
  <si>
    <t>Abraxas Petroleum terminated negotiations to merge with Alexander Energy. In November 1994, AE disclosed it had received two unsolicited offers from undisclosed firms to acquire the company.</t>
  </si>
  <si>
    <t>MEDSTAT Group Inc</t>
  </si>
  <si>
    <t>Thomson Corp</t>
  </si>
  <si>
    <t>Pvd information solutions</t>
  </si>
  <si>
    <t>Thomson completed its merger with MEDSTAT Group (MG) in a transaction valued at $305.68 mil. Earlier, Thomson had completed its tender offer for all the common shares of MG for $27 in cash per share, by accepting about 93.47% of MG's common stock outstanding. The offer had been conditioned upon a majority of MG's shares being tendered. As part of the transaction, Chairman and Chief executive officer, Ernest G Ludy, had agreed to tender his 1,382, 290 shares. The transaction had been subject to the Federal Trade Commission approval under the Hart-Scott- Rodino Act.</t>
  </si>
  <si>
    <t>National Gypsum Co</t>
  </si>
  <si>
    <t>Mnfr gypsum,wallboard prods</t>
  </si>
  <si>
    <t>Delcor Inc(Golden Eagle Ind)</t>
  </si>
  <si>
    <t>Delcor (DC), a unit of Golden Eagle Industries, acquired the remaining 80.8% of National Gypsum (NG) it did not already own, including a 10% stake held by Lafarge Coppee, for an amended $54 in cash per share, or a total value of $937.598 mil. Earlier, DC had been rejected in its offer to acquire NG for $43.50 in cash per share and a $150 mil capital infusion, valued at $861.256 mil. Included in the value were 1.5 mil NG warrants valued at $39.5 each. Earlier, DC withdrew its offer to raise its stake to 54.5% from 29.6% in NG.</t>
  </si>
  <si>
    <t>In November 1994, Hilton Hotels (HH) announced that it was considering seeking a buyer for the company. Hilton International was rumored to be in negotiations to acquire HH.</t>
  </si>
  <si>
    <t>Synergen Inc</t>
  </si>
  <si>
    <t>Amgen Inc</t>
  </si>
  <si>
    <t>Manufacture human therapeutics</t>
  </si>
  <si>
    <t>Amgen completed its merger with Synergen in a transaction valued at $239. 910 mil. Earlier, Amgen had completed its tender offer for all the common shares of Synergen for $9.25 in cash per share, by accepting 23, 569,000 shares, or about 91% of Synergen's total shares outstanding. In July 1994, Synergen had announced that it was seeking a buyer for the company. The transaction had been subject to Federal Trade Commission approval under the Hart-Scott-Rodino Act.</t>
  </si>
  <si>
    <t>Abex Inc</t>
  </si>
  <si>
    <t>Mnfr aircraft landing systems</t>
  </si>
  <si>
    <t>MacAndrews &amp; Forbes Hldg Inc</t>
  </si>
  <si>
    <t>MacAndrews &amp; Forbes Holdings (MFH) acquired all the outstanding shares of Abex for a minimum of $10 in contingent value rights per share held, or a total value of $197.578 mil. The transaction included 5.94 mil shares acquired from Libra Invest &amp; Trade. Upon completion, the company was renamed Mafco Consolidated Group. The transaction occured following the divestiture of Abex's Abex Friction Products division (AFP). In May 1994, Abex announced that it was seeking a buyer for AFP.</t>
  </si>
  <si>
    <t>Plexus Corp</t>
  </si>
  <si>
    <t>Mnfr,whl printed circuit board</t>
  </si>
  <si>
    <t>Corporate Property Assoc 11</t>
  </si>
  <si>
    <t>Operate commercial properties</t>
  </si>
  <si>
    <t>Corporate Property Associates II acquired Plexus.</t>
  </si>
  <si>
    <t>Computer Petroleum Corp</t>
  </si>
  <si>
    <t>Information retrieval svcs</t>
  </si>
  <si>
    <t>American Teleprocessing Corp</t>
  </si>
  <si>
    <t>Pvd computer programming svcs</t>
  </si>
  <si>
    <t>American Teleprocessing terminated negotiations to acquire the remaining 91.5% interest in Computer Petroleum that it did not already own.</t>
  </si>
  <si>
    <t>Tri-Lite Corp</t>
  </si>
  <si>
    <t>Manufacture light bulbs</t>
  </si>
  <si>
    <t>Helionetic disclosed that it was in negotiations to divest its 56% interest in Tri-Lite to an undisclosed acquiror for $9.2 mil and the assumption of debt.</t>
  </si>
  <si>
    <t>Investor J R Simplot withdrew his offer to acquire all the outstanding Class A common voting stock of Box Energy, a unit of Box Brothers Holding, for $15 in cash per share, or a total of $48.675 mil. Previously, Phoenix Canada Oil planned to acquire all the outstanding Class A common shares of Box Energy for $13.50 per share.</t>
  </si>
  <si>
    <t>USA Waste Services Inc</t>
  </si>
  <si>
    <t>Pvd waste disposal services</t>
  </si>
  <si>
    <t>USA Waste Services (UWS) acquired Chambers Development (CD) in a tax-free stock swap transaction valued at $725 mil, including $335.4 mil in the assumption of liabilities. CD common shareholders received .41667 UWS shares for each CD share held. Based on UWS' closing stock price of $14 per share on Nov 25, the last full trading day prior to the announcement, each CD share was valued at $5.833. The transaction was accounted for as a pooling of interests and had been subject to regulatory approval.</t>
  </si>
  <si>
    <t>National Energy Group Inc</t>
  </si>
  <si>
    <t>National Energy Group (NE) acquired Alexander Energy (AE) in a stock swap valued at a twice amended $103.63 mil, including $48 mil in the assumption of debt. NE offered 1.7 NE shares for each share. Based on NE's closing stock price of $2.625 on Mar 22, the last full trading day prior to the amendment of terms, each AE share was valued at $4.4625. Earlier, NEG offered 1.8 NEG shares for each share. Originally, NEG offered $5 in cash and $2.5 in convertible preferred stock per share and $40 mil in the assumption of debt, for a total value of $131.5 mil.</t>
  </si>
  <si>
    <t>Oracle Systems' rumored offer to acquire Lotus Development were denied by OS.</t>
  </si>
  <si>
    <t>Western National Corp</t>
  </si>
  <si>
    <t>American General (AG) was granted an option to acquire up to a 79% interest in Western National (WN) by purchasing as much as 20% per year. Concurrently, AG acquired a 40% stake in WN from Conseco. In July 1994, Conseco terminated its search for a buyer for its 57% stake in Bankers Life Holding, its 40% stake in Western National and its 42% stake in CCP Insurance.</t>
  </si>
  <si>
    <t>Medical Diagnostics Inc</t>
  </si>
  <si>
    <t>Pvd diagnostic imaging svcs</t>
  </si>
  <si>
    <t>Raytel Medical Corp</t>
  </si>
  <si>
    <t>Provide medical services</t>
  </si>
  <si>
    <t>Raytel Medical (RM) terminated its hostile tender offer for all of the outstanding shares of Medical Diagnostics (MD) for an amended $5.75 in cash per share, or a total amended value of $20.498 mil after Advanced NMR Systems, acting as a white knight, definitively agreed to acquire MD. Originally, RM had offered $5.00 per MD share held. RM's offer had been conditioned upon a majority of MD's shares being tendered.</t>
  </si>
  <si>
    <t>First Union, Charlotte, North Carolina, (FU) acquired American Savings of Florida FSB (ASF), a unit of Enstar Group, in a stock swap valued at $255.16 mil. ASF shareholders received $21 in FU common shares for each share held. The exact share exchange ratio was to be based on the average closing stock price of the stock for the 10 trading days prior to the closing. The transaction had been subject to state and federal banking regulatory approval.</t>
  </si>
  <si>
    <t>A management led investor group terminated its agreement to acquire all the outstanding shares of Big O Tires for $18.50 in cash per share, or a total value of $61 mil, in a leveraged buyout transaction. Earlier, AKH withdrew its offer to acquire Big O Tires for $18 in cash per share, or a total value of $59.4 mil.</t>
  </si>
  <si>
    <t>YES Clothing Co</t>
  </si>
  <si>
    <t>Mnfr, whl women's clothing</t>
  </si>
  <si>
    <t>Investor Georges Marciano acquired a 79.26% interest, or 3,028,500 common shares, in YES Clothing (YC) for $2 in a combination of cash and promissory notes per share, or a total of $6.057 mil, from YC chairman George Randall and YC President Moshe Tsabag.</t>
  </si>
  <si>
    <t>Continental Corp</t>
  </si>
  <si>
    <t>CNA Financial Corp</t>
  </si>
  <si>
    <t>CNA Financial, an 84% owned unit of Loews, acquired Continental for $20 in cash per share, or a total value of $1.11 bil.</t>
  </si>
  <si>
    <t>General Computer(Revco DS Inc)</t>
  </si>
  <si>
    <t>Dvlp medical related software</t>
  </si>
  <si>
    <t>GenCC Holdings Corp</t>
  </si>
  <si>
    <t>GenCC Holdings (GH), a new company formed by Welsh Carson Anderson and Stowe, acquired General Computer (GC) , a unit of Revco DS, for an amended $8.75 per share in cash, or a total of $15.75 mil. GH was also granted a warrant to acquire .24 mil common shares of GC. Originally, GH offered between $8.50 to $9.50 per share in cash for a total value between $15.3 mil and $17.1 mil. Upon completion, the new entity retained the GC name.</t>
  </si>
  <si>
    <t>Intl Lottery &amp; Totalizator Sys</t>
  </si>
  <si>
    <t>Mnfr on-line lottery equip,sys</t>
  </si>
  <si>
    <t>Investor Stephen E Raville terminated his agreement to acquire a 53.8% interest in International Lottery. Terms had not been disclosed. In October 1994, International Lottery announced it was seeking a buyer for the company.</t>
  </si>
  <si>
    <t>Berisford International PLC</t>
  </si>
  <si>
    <t>Commodities broker;hldg co</t>
  </si>
  <si>
    <t>Berisford International (BI) acquired a 100% interest in Welbilt (WB) through a two- tier merger valued at an amended $441.78 mil. BI acquired 4.31 mil WB common shares, or a 46.7% stake, from Kohlberg for $30 in cash per share, or a total of $129. 39 mil. Also, BI completed its tender offer to acquire the remaining shares for $33. 75 in cash per share, or a total value of $164.585 mil, by accepting 4,876,604 shares, or a 53.14% stake. Also, BI assumed $147.8 mil in WB liabilities. Originally, BI had offered to acquire WB for $54.48 per share.</t>
  </si>
  <si>
    <t>Premiere Page Inc</t>
  </si>
  <si>
    <t>Pvd mobile communications svcs</t>
  </si>
  <si>
    <t>Metrocall (MC) terminated its unsolicited bid to acquire the remaining 57% interest in Premiere Page (PP) it did not already own in a stock-swap transaction valued at $45.152 mil. Shareholders of PP common stock were to receive $1.76 in cash and $9. 5775 in MC common stock for each share held, subject to a collar agreement. Concurrently, MC terminated its hostile offer to acquire USA Mobile Communications in a stock swap transaction valued at $322.165 mil. Subsequently, USA acquired PP.</t>
  </si>
  <si>
    <t>USA Mobile Communications</t>
  </si>
  <si>
    <t>Metrocall (MC) terminated its hostile offer to acquire USA Mobile Communications in a stock swap valued at $322. 165 mil. USA shareholders were to receive .7222 MC shares per USA share held, subject to a collar agreement. Based on MC's closing stock price of $18 on Dec 6, the last full trading day prior to the announcement, each USA share was valued at $13. Also, MC was to assume $183 mil in liabilities. Concurrently, MC terminated its unsolicited bid to acquire the remaining 57% interest in Premiere Page (PP) not owned by USA, and later, USA acquired PP.</t>
  </si>
  <si>
    <t>Ashland Coal Inc</t>
  </si>
  <si>
    <t>Coal mining; whl coal, ores</t>
  </si>
  <si>
    <t>Ashland Inc</t>
  </si>
  <si>
    <t>Mnfr,whl petro prod</t>
  </si>
  <si>
    <t>Ashland Oil(AO) raised its stake to 54% from 39% in Ashland Coal (AC) by acquiring 150 shares of AC Class B convertible preferred stock from Saarbergwerke for $110 mil. Each share of the stock was convertible into 18, 346 shares of AC common stock. In Jan 1997, AO raised its stake to 56.5% in AC.</t>
  </si>
  <si>
    <t>Derma Sciences Inc</t>
  </si>
  <si>
    <t>Mnfr,whl pharm prod</t>
  </si>
  <si>
    <t>Scherer Healthcare (SH) agreed to acquire Derma Sciences (DS) in a stock swap transaction valued at $20.271 mil. DS shareholders were to receive .2439 SH shares per DS share held. Based on SH's closing stock price of $20.5 per share on Dec 7, the last full trading day prior to the announcement, each DS share was valued at $5. Concurrently, SH acquired a 4. 96% stake in ProCyte. Also, SH was rejected in its offer to acquire ProCyte.</t>
  </si>
  <si>
    <t>ProCyte Corp</t>
  </si>
  <si>
    <t>Mnfr,whl skin care prod</t>
  </si>
  <si>
    <t>Scherer Healthcare (SH) withdrew its offer to acquire ProCyte in a stock swap transaction valued at $77.896 mil. ProCyte shareholders were to receive .2941 SH shares per ProCyte share held. Based on SH's closing stock price of $20.5 on Dec 7, the last full trading day prior to the announcement, each ProCyte share was valued at $6.029. Concurrently, SH agreed to acquire Derma Sciences. Also, SH acquired a 4.96% stake in ProCyte.</t>
  </si>
  <si>
    <t>An investor group was granted the option to acquire warrants for 28,509,628 common shares, or a 73.4% interest in Royal International Optical (RIO), a unit of the Westinghouse Credit subsidiary of Westinghouse Electric's Westinghouse Financial Services. Concurrently, the investor group acquired a 15. 4% stake, or 6,014,484 common shares, in RIO.</t>
  </si>
  <si>
    <t>ACM Managed Multi-Market Trust</t>
  </si>
  <si>
    <t>Alliance Multi-Market Strategy</t>
  </si>
  <si>
    <t>US - Alliance Multi-Market Strategy Trust acquired ACM Managed Multi-Market Strategy Trust in exchange for an undisclosed amount of its class A common shares.</t>
  </si>
  <si>
    <t>American Premier Underwriters</t>
  </si>
  <si>
    <t>US - American Premier Underwriters (APU) acquired all the outstanding common stock of American Financial Corp (AFC), an insurance company controlled by the Lindner family, in a swap transaction valued at $686. 520 mil. AFC shareholders received one APU share for each AFC share held. The shares were valued based on APU's closing stock price of $24.25 on Mar 2, the last full trading day prior to the amendment of terms. Upon completion, APU changed its name to American Premier Group Inc.</t>
  </si>
  <si>
    <t>Concord Holding Corp</t>
  </si>
  <si>
    <t>BISYS Group Inc</t>
  </si>
  <si>
    <t>Pvd data processing svcs</t>
  </si>
  <si>
    <t>Bisys Group acquired Concord Holding (CH) in a stock swap transaction valued at $121.48 mil on a fully-diluted basis. Each CH shareholder received . 789 Bisys shares, subject to a collar agreement, per CH share held. Based on Bisys's closing stock price of $21.5 on Dec 9, the last full trading day prior to the announcement, each CH share was valued at $16.964. The transaction was accounted for as a pooling of interests.</t>
  </si>
  <si>
    <t>Falls Financial Inc</t>
  </si>
  <si>
    <t>Fifth Third Bancorp, Cincinnatti, Ohio, (FT) acquired Falls Financial (FF) in a stock swap merger valued at $80.207 mil. FF common shareholders received .4791 FT common share for each FF share held, subject to a collar agreement. Based on FT's closing stock price of $56.25 on Jul 20, the last full trading day prior to the disclosure of exact terms, each FF share was valued at $26.95. The transaction was accounted for as a pooling of interests. In October 1994, FF announced that it had retained McDonald Securities to assist in its search for a buyer.</t>
  </si>
  <si>
    <t>First Southern Bancorp,NC</t>
  </si>
  <si>
    <t>Centura Bank Inc,NC</t>
  </si>
  <si>
    <t>Centura Banks (CB) acquired all the outstanding shares of First Southern Bancorp (FSB) for $27 in CB common stock per share, or a total value of $56.7 mil. The transaction had been subject to a lockup agreement and a collar agreement whereby the terms were to change if Centura's average stock price fell below $20 or was $24 or greater for a 20 day period prior to closing. In December 1994, CB's board authorized the buyback of up to 2.3 mil shares, or 10% of the company's common stock outstanding.</t>
  </si>
  <si>
    <t>Transco Energy Co</t>
  </si>
  <si>
    <t>Pvd gas transmission,distn svc</t>
  </si>
  <si>
    <t>Williams Holdings of Delaware</t>
  </si>
  <si>
    <t>Oil,gas transmission,prodn</t>
  </si>
  <si>
    <t>Williams (W) acquired Transco Energy (TE) in a two- tier merger valued at $2.706 bil. W completed its tender offer to acquire 24.6 mil TE common shares, or a 60% stake, by accepting 24.6 mil shares for $17.50 in cash per share, or a total of $430.5 mil. The offer had been conditioned upon the tender of at least 20.9 mil shares (51%). Upon completion, W offered .625 common shares, valued at $16. 8, based on W's closing stock price of $26.875 on Dec 9, for each of the shares remaining, for a total value of $275.52 mil.</t>
  </si>
  <si>
    <t>GHX Acquisition Co</t>
  </si>
  <si>
    <t>US - GHX Acquisition, a management-led investment group, completed its merger with Galveston-Houston (GH) in a transaction valued at $36.977 mil, in a leveraged buyout transaction. Earlier, GHX had completed its tender offer to acquire all the outstanding shares of GH, which it did not already own for $2.25 per share, by accepting 15,164,037, or 89. 41% of the common shares outstanding. The offer had been contigent upon at least a majority of the outstanding shares being tendered.</t>
  </si>
  <si>
    <t>El Paso Natural Gas Co</t>
  </si>
  <si>
    <t>Gas utility;own,op pipelines</t>
  </si>
  <si>
    <t>El Paso Natural Gas (EP) terminated its negotiations to acquire Hadson (HS) for $69 mil after LG&amp;E Energy acquired HS. HS shareholders, including Santa Fe Energy Resoures and Prudential Insurance Co of America, were to have received $2.25 per share held, or a total value of $57.8 mil. EP would have also acquired HS's Senior Cumulative Series A preferred shares for an undisclosed amount and HS Series B Junior Exercisable Automatically Convertible preferred stock for $11.2 mil, as well as assume all of HS's outstanding liabilities.</t>
  </si>
  <si>
    <t>ITT Corp</t>
  </si>
  <si>
    <t>Mnfr telecommun apparatus</t>
  </si>
  <si>
    <t>ITT completed its merger with Caesars World in a transaction valued at $1.695 bil. Earlier, ITT had completed its cash tender offer for all the outstanding shares of Caesars World (CW) at $67.5 per share, by accepting 24,345,066 common shares, or about 93.7% of CW's common shares outstanding. The transaction had been subject to Federal Trade Commission approval under the Hart-Scott-Rodino Act. Earlier, ITT was rumored to be in negotiations to acquire Caesars World for $70 per share, or a total of $1. 722 bil.</t>
  </si>
  <si>
    <t>American Safety Closure Corp</t>
  </si>
  <si>
    <t>Mnfr plastic bottle caps</t>
  </si>
  <si>
    <t>Seda Specialty Packaging Corp</t>
  </si>
  <si>
    <t>Mnfr specialty packaging prods</t>
  </si>
  <si>
    <t>Seda Specialty Packaging signed a letter of intent to acquire all of the outstanding shares of American Safety Closure. Terms were not disclosed.</t>
  </si>
  <si>
    <t>In December 1994, Williams disclosed that it was seeking a buyer for $400 mil of the non-core assets of Transco Energy. Previously, Williams agreed to acquire Transco Energy in a two-tier merger valued at $2.706 bil.</t>
  </si>
  <si>
    <t>Salick Health Care Inc</t>
  </si>
  <si>
    <t>Own,op kidney dialysis centers</t>
  </si>
  <si>
    <t>ZENECA Group PLC</t>
  </si>
  <si>
    <t>Mnfr prescription pharm</t>
  </si>
  <si>
    <t>ZENECA Group (ZG) exercised its option to acquire the remaining 50% interest, or 5. 687 mil common shares, which it did not already own, in Salick Health Care (SHC) for $41.15 per share, or a total value of $234 mil. Earlier, in April 1995, ZG acquired a 50% interest in SHC for $194. 412 mil.</t>
  </si>
  <si>
    <t>ZENECA Group (ZG) acquired a 50% interest, or 5.687 mil common shares, in Salick Health Care (SHC) for $37.75 per share, or a total of $214. 68 mil. Additionally, SHC paid a special dividend of $1. 25 per share to holders of those shares which were not purchased. Also, the remaining SHC shareholders were to receive one share of a special common stock from SHC for each SHC share held. Later, ZG exercised its option to acquire the remaining 50% interest, which it did not already own, in SHC, for $41.15 per share, or a total of $214 mil.</t>
  </si>
  <si>
    <t>US - Bankrupt Trans World Airlines Inc (TWA), a passenger airline, completed its debt restructuring with creditors (CR). Upon completion, CR held a 70% interest in the newly restructured TWA. The transaction had been subject to St Louis bankruptcy court approval.</t>
  </si>
  <si>
    <t>Plains Spirit Financial Corp</t>
  </si>
  <si>
    <t>Mercantile Bancorp (MB) acquired Plains Spirit Financial (PSF) for an amended $68.383 mil. Consideration consisted of a choice of $31.25 in cash, or . 7633 MB common shares valued at $33.39, per PSF share held. The common shares were valued based on MB's closing stock price of $43.75 on Jun 20, the last full trading day prior to the disclosure of amended terms. Originally, MB offered $19.725 mil in cash and 1.4 mil common shares. The transaction had been subject to regulatory approval.</t>
  </si>
  <si>
    <t>Home Holdings Inc</t>
  </si>
  <si>
    <t>An investor group, comprised of Zurich Versicherungs (ZV), Zurich Centre Investments and Insurance Partners Offshore (Bermuda), withdrew its definitive agreement to raise its stake to 52.57% from 3.2% in Home Holdings (HH), a unit of Trygg Hansa (TH), by acquiring 8-year warrants to purchase 12 mil HH common shares from TH as part of HH's restructuring program. Each warrant had an exercise price of $8.50 per share. Earlier, the investor group acquired a 3.2% stake in HH. Also, HH completed a self- tender offer to repurchase the public shares not held by ZV or TH.</t>
  </si>
  <si>
    <t>Pet Products</t>
  </si>
  <si>
    <t>Mnfr chewable dog treats</t>
  </si>
  <si>
    <t>Hartz Mountain Corp(Hartz Grp)</t>
  </si>
  <si>
    <t>Mnfr,whl pet foods</t>
  </si>
  <si>
    <t>Hartz Mountain (HM), a unit of Hartz Group, completed its merger with Pet Products (PP) in a transaction valued at $17.269 mil. Earlier, HM completed its hostile tender offer for all the remaining common stock and warrants of Pet Products (PP) by accepting 2.59 mil common shares and 1.682 mil warrants, or 78.12% of PP's common stock outstanding on a fully- diluted basis. The common shares were valued at $5.25 per share, and the warrants were convertible into 420,443 common shares, exercisable at $.16 per share. Originally, HM offered $4.25 per common share.</t>
  </si>
  <si>
    <t>Fleet Mortgage Group Inc</t>
  </si>
  <si>
    <t>Mortgage bank;holding company</t>
  </si>
  <si>
    <t>Fleet Financial Group (FFG) completed its merger with Fleet Mortgage Group (FMG) in a transaction valued at $188. 1 mil. Earlier, FFG had completed its tender offer for the remaining 19% of FMG it did not already own for $20 in cash per share, by accepting 15.98%, or 7,912, 254, of FMG's common shares.</t>
  </si>
  <si>
    <t>Health Systems International</t>
  </si>
  <si>
    <t>Own,op HMO's; holding company</t>
  </si>
  <si>
    <t>Foundation Health (FH) terminated its negotiations to acquire Health Systems International (HSI) in a stock swap transaction valued at $1.501 bil. HSI shareholders were to receive $31 in FH common stock for each share held. Later, FHP International terminated negotiations to acquire FH for $34 per share, or a total value of $1.646 bil.</t>
  </si>
  <si>
    <t>Old York Road Bancorp Inc</t>
  </si>
  <si>
    <t>Midlantic Corp</t>
  </si>
  <si>
    <t>Midlantic (ML) acquired Old York Road Bancorp (OYB) for $28.586 mil. Each OYB shareholder received a choice of either $10 cash per share or .3721 of ML common share in exchange for each OYB share held. Based on ML's closing stock price of $26.75 on Dec 29, the last full trading day prior to the announcement, each OYB share was valued at $9.95. Under a lockup agreement, ML had the option to purchase up to 19. 9% of OYB's outstanding shares. The transaction had been subject to federal and state banking regulatory approval.</t>
  </si>
  <si>
    <t>TransTechnology Corp</t>
  </si>
  <si>
    <t>Mnfr,whl fasteners,hook system</t>
  </si>
  <si>
    <t>TransTechnology (TT) withdrew its hostile offer to acquire RB&amp;W in a two-tier merger valued at an amended $44.564 mil. In the first step, TT was to have launched a tender offer for 4.5 mil RB&amp;W shares, or 67%, at $9 in cash per share. Upon completion, TT would have offered .13499 shares of redeemable preferred stock and .1454 shares of stock for each RB&amp;W share. Each share was valued at $1.78, based on TT's closing stock price of $12.25 on Jan 25. Originally, TT offered $9 in cash per share held. Concurrently, Park-Ohio Industries acquired RB&amp;W.</t>
  </si>
  <si>
    <t>Coral Gables Fedcorp Inc</t>
  </si>
  <si>
    <t>First Union Natl Bk of Florida</t>
  </si>
  <si>
    <t>First Union National Bank of Florida, a unit of First Union, Charlotte, North Carolina, acquired Coral Gables Fedcorp for $26.59 in cash per common share, or a total of $515.717 mil. The transaction had been subject to state and federal banking regulatory approval.</t>
  </si>
  <si>
    <t>Seda Specialty Packaging (SSP) acquired American Safety Closure (ASC) in a stock swap transaction valued at $3.901 mil. ASC common shareholders received 1 SSP common share for every 8 ASC shares held. Based on SSP's closing stock price of $10.25 on Jan 3, the last full trading day prior to announcement, each ASC share was valued at $1.28.</t>
  </si>
  <si>
    <t>Mitek Surgical Products</t>
  </si>
  <si>
    <t>Johnson &amp; Johnson</t>
  </si>
  <si>
    <t>Manufacture,wholesale pharmaceuticals</t>
  </si>
  <si>
    <t>Johnson &amp; Johnson (JJ) acquired Mitek Surgical Products (MSP) in a stock swap merger valued at $134. 693 mil. MSP shareholders received $30 in JJ common stock, subject to a collar agreement. The transaction had been subject to regulatory approval.</t>
  </si>
  <si>
    <t>Pet Products terminated its search for a buyer after it was acquired by Hartz Mountain through a hostile tender offer. In January 1995, Pet Products had announced it was seeking a buyer for the company. The search was the result of the hostile offer made by Hartz Mountain.</t>
  </si>
  <si>
    <t>ADESA Corp</t>
  </si>
  <si>
    <t>Wholesale automobiles</t>
  </si>
  <si>
    <t>Minnesota Power &amp; Light Co</t>
  </si>
  <si>
    <t>Electric,gas utility</t>
  </si>
  <si>
    <t>Minnesota Power &amp; Light acquired an 80% interest, or 9,724,122 common shares, in ADESA for $17 per share, or a total of $165.3 mil. Included in the value was $15 mil for newly-issued ADESA shares that were to be issued at closing. The transaction had been subject to regulatory approval.</t>
  </si>
  <si>
    <t>Spreckels Industries Inc</t>
  </si>
  <si>
    <t>Produce sugar;mnfr indust prod</t>
  </si>
  <si>
    <t>Amdura Corp</t>
  </si>
  <si>
    <t>Mnfr hardware</t>
  </si>
  <si>
    <t>Amdura withdrew its hostile offer to acquire Spreckels Industries (SI) in a reverse stock swap transaction valued at $11.94 per share, or a total of $71.442 mil. Upon completion, Amdura was to have held a 42% stake, and SI was to have held a 58% interest in the combined company.</t>
  </si>
  <si>
    <t>Eridania Beghin-Say</t>
  </si>
  <si>
    <t>Produce sugar</t>
  </si>
  <si>
    <t>Eridania Beghin-Say (EBS), a subsidiary of Ferruzzi Agricola's Montedison unit, acquired all the outstanding shares of American Maize- Products (AMP), including GIH's 13% stake and 47% stake in Class A and B shares respectively, for $40 per share, or a total value of $434.006 mil. Earlier, EBS bid $37 per share, amended from an initial offer of $32 per share. Later, Usaha Tegas terminated its offer to acquire AMP. Also, an investor group acquired an 88% interest in Swisher Int'l, a unit of AMP. Originally, EBS launched a tender offer for AMP.</t>
  </si>
  <si>
    <t>Apple Computer Inc</t>
  </si>
  <si>
    <t>Mnfr personal computers</t>
  </si>
  <si>
    <t>An investor group, including Oracle Systems, Philips Electronics and Matsushita Electric Industrial, were rumored to have entered into negotiations to acquire Apple Computer. In October 1995, the rumor was discontinued when Apple President James Buckley confirmed that Apple was not for sale.</t>
  </si>
  <si>
    <t>Deerbank Corp</t>
  </si>
  <si>
    <t>NBD Bancorp, Detroit, Michigan, acquired Deerbank (DB) in a stock swap transaction valued at $100.45 mil. DB shareholders received 1.409 NBD comon shares for each DB share held. Based on NBD's closing stock price of $27.875 on Jan 6, the last full trading day prior to the announcement, each DB share was valued at $39.28. Under a lockup agreement, NBD was granted the option to acquire up to 270,000 DB common shares. Concurrently, NBD repurchased 4 mil common shares as part of the source of funds needed for the merger.</t>
  </si>
  <si>
    <t>AT&amp;T Corp</t>
  </si>
  <si>
    <t>Own,op telecommunications sys</t>
  </si>
  <si>
    <t>AT&amp;T denied that it was planning to acquire Lotus Development.</t>
  </si>
  <si>
    <t>Pet Inc</t>
  </si>
  <si>
    <t>Dairy products, canned foods</t>
  </si>
  <si>
    <t>Pillsbury Co(Grand Met PLC)</t>
  </si>
  <si>
    <t>Produce flour,grain mill prod</t>
  </si>
  <si>
    <t>Pillsbury, a unit of Grand Metropolitan (GM), completed its merger with Pet in a transaction valued at $2.636 bil. Earlier, Pillsbury completed its tender offer for all the outstanding common shares of Pet for $26 in cash per share, by accepting 95,364,543 shares, or 95% of Pet's common stock outstanding. The offer had been conditioned upon GM receiving at least 50% of Pet's shares outstanding, and had been subject to regulatory approval.</t>
  </si>
  <si>
    <t>Pyramid Technology Corp</t>
  </si>
  <si>
    <t>Siemens Nixdorf Info AG</t>
  </si>
  <si>
    <t>Mnfr wiring devices,computers</t>
  </si>
  <si>
    <t>Siemens Nixdorf Informationssysteme (SNI), a unit of Siemens, acquired the remaining 83.36% interest, which it did not already own, in Pyramid Technology (PT) for an amended $16 in cash per share, or a total value of $215.131 mil. Earlier, SNI completed its tender offer for PT by accepting 73.82% of the common shares outstanding. The offer had been conditioned upon SNI receiving at least a majority of PT's shares. SNI originally offered $15 per share in cash. Earlier, SNI raised its stake in PT to 17. 6% from 5.3% by purchasing 2 mil shares.</t>
  </si>
  <si>
    <t>Sierra Home Service Companies</t>
  </si>
  <si>
    <t>Pvd housing svcs;holding co</t>
  </si>
  <si>
    <t>A management-led investor group, including director Norma Smith, raised its stake in Sierra Home Service (SHS) to 53.6% from 11.6% by acquiring 1.153 mil restricted common shares for $.65 per share, or a total value of $.750 mil.</t>
  </si>
  <si>
    <t>United Stationers Inc</t>
  </si>
  <si>
    <t>Whl business,office products</t>
  </si>
  <si>
    <t>Associated Stationers Inc</t>
  </si>
  <si>
    <t>Whl stationery,office supplies</t>
  </si>
  <si>
    <t>Associated Stationers (AS), a unit of Wingate Partners, merged with United Stationers (US) in a two-tier merger valued at an estimated $290. 646 mil. Earlier, AS completed its tender offer to acquire a 92.5% interest in US for an amended $15.5 per share in cash, or a total of $266.63 mil, by accepting all 17,201,839 shares sought. The offer had been conditioned upon a majority of US's shares being tendered. The shares not tendered were exchanged for a 20% interest in the newly merged company with AS's shareholders owning the remaining 80%.</t>
  </si>
  <si>
    <t>Dillon Investors LP</t>
  </si>
  <si>
    <t>Dillon Investors withdrew intentions to acquire the remaining 90% interest in Citaldel Holding, that it did not already own, for $4 in cash per share, or a total value of $24 mil.</t>
  </si>
  <si>
    <t>Re Capital Corp</t>
  </si>
  <si>
    <t>Zurich Reinsurance Centre</t>
  </si>
  <si>
    <t>Zurich Reinsurance Centre Holdings (ZRCH), a unit of Zuerich Versicherungs, acquired Re Capital (RC) for $18.50 in cash per share, or a total value of $203.05 mil. The consideration included $69 mil in the assumption of 5.5% convertible debentures due Aug 1, 2000. As part of the transaction, ZRCH was granted an option to acquire the 43.8% stake, or 3,087,598 RC common shares, held by John Deere Insurance Group, a unit of Deere, for $18.50 in cash per share. The transaction had been subject to regulatory approval.</t>
  </si>
  <si>
    <t>Gateway Bancorp,New York</t>
  </si>
  <si>
    <t>Staten Island Savings Bank</t>
  </si>
  <si>
    <t>Staten Island Savings Bank acquired all the outstanding shares of Gateway Bancorp for an amended $12.61 in cash per share, or a total value of $56.838 mil. Originally, Staten Island Savings had offered $12.25 in cash per Gateway share held. The transaction had been subject to federal and state banking regulatory approval.</t>
  </si>
  <si>
    <t>Questa Oil &amp; Gas Co</t>
  </si>
  <si>
    <t>Unit Corp</t>
  </si>
  <si>
    <t>Unit Corp terminated its definitive agreement to acquire Questa Oil &amp; Gas (QOG) in a stock swap transaction valued at $5.65 mil. QOG common shareholders were to receive 1.964 common shares for each share held. Based on Unit's closing stock price of $2.875 on Jan 12, the last full trading day prior to the announcement, each QOG share was valued at $5.65</t>
  </si>
  <si>
    <t>Pages Inc</t>
  </si>
  <si>
    <t>Pages disclosed it had entered into negotiations to divest itself to an undisclosed acquiror.</t>
  </si>
  <si>
    <t>Arcadian Partners LP</t>
  </si>
  <si>
    <t>Mnfr phosphatic fertilizers</t>
  </si>
  <si>
    <t>Arcadian Corp</t>
  </si>
  <si>
    <t>Arcadian acquired the remaining 55% of the outstanding preference units of Arcadian Partners (AP) it did not already own for an amended $29 per preference unit, or a total value of $428.4 mil. Consideration consisted of $14.5 in cash and $14.5 in Arcadian capped convertible preferred stock. Originally, Arcadian offered $26 per preference unit, consisting of $13 in cash and $13 in convertible preferred stock. The transaction had been subject to regulatory approval.</t>
  </si>
  <si>
    <t>Marietta Corp</t>
  </si>
  <si>
    <t>Mnfr,wholesale toiletries</t>
  </si>
  <si>
    <t>An investor group, including Calibre Capital Advisors and Dickstein Partners, withdrew its previously rejected offer to acquire the remaining 85. 7% interest in Marietta (MR), which it did not already own, for $11 per share or a total value of $33.95 mil. Later, an investor group led by Fluorescue Family, acquired MR for an amended $10.25 per share. Originally, the group was rejected in its offer to acquire MR for $12.30 per share. In August 1995, the investor group reduced its stake to 6.1% from 14.6%.</t>
  </si>
  <si>
    <t>Merry-Go-Round Enterprises Inc</t>
  </si>
  <si>
    <t>Operate clothing stores</t>
  </si>
  <si>
    <t>In January 1995, bankrupt Merry-Go-Round announced that it had retained Blackstone Group to assist in its search for a buyer for the company. The transaction was subject to bankruptcy court regulatory approval.</t>
  </si>
  <si>
    <t>National Gaming Corp</t>
  </si>
  <si>
    <t>Own and operate casinos</t>
  </si>
  <si>
    <t>Boomtown Casino</t>
  </si>
  <si>
    <t>Own,op casino hotel</t>
  </si>
  <si>
    <t>Boomtown terminated its agreement to acquire National Gaming (NG) in a stock swap transaction valued at $86.955 mil. Each NG shareholder was to have received between .9 to 1.1 Boomtown common shares for every NG share held. Based on Boomtown's closing stock price of $15.5 on Jan 17, the last full trading day prior to the announcement, each NG share was valued between $13.95 and $17.05, with the value based on the high range. The transaction had been subject to regulatory approval.</t>
  </si>
  <si>
    <t>Pacific Bank NA,CA</t>
  </si>
  <si>
    <t>Western Bank terminated negotiations to acquire all the outstanding common shares of Pacific Bank for $20 in cash per share, or a total of $55.099 mil. The transaction had been subject to federal and state banking regulatory approval.</t>
  </si>
  <si>
    <t>Bancorp New Jersey Inc</t>
  </si>
  <si>
    <t>UJB Financial acquired Bancorp New Jersey (BNJ) in a stock swap transaction valued at $121.499 mil. BNJ shareholders had been given a choice of either $43.10 in cash or 1.5441 USJ common shares BNJ share held, previously subject to a collar agreement. Of the considerations offered, the cash portion offered was limited to 40% of the total, with the stock comprising the remaining 60%. Based on UJB's closing stock price of $35 on Jul 10, the last full trading day prior to announcement of exact terms, each BNJ share was valued at $54.04. The transaction had been subject to regulatory approval.</t>
  </si>
  <si>
    <t>ConferTech International</t>
  </si>
  <si>
    <t>Mnfr teleconferencing systems</t>
  </si>
  <si>
    <t>ALC Communications (ALC) completed its merger with ConferTech International (CT) in a transaction valued at $65.963 mil.  Earlier, ALC completed a cash tender offer to acquire all the outstanding shares of CT for $8 per share by accepting 7, 409,000, or about 83% of the company's common stock outstanding. The offer had been contingent upon at least two-thirds of ConferTech's stock being tendered.</t>
  </si>
  <si>
    <t>MEDIQ Inc</t>
  </si>
  <si>
    <t>In January 1995, MEDIQ announced it had retained Lazard Freres to assist in a search for a buyer for the company.  MEDIQ was to divest all of its operations with the exception of it MEDIQ/PRN Life Support Services subsidiary. Later, a management-led investor group was rejected its offer to acquire MEDIQ.</t>
  </si>
  <si>
    <t>Central Mortgage Bancshares</t>
  </si>
  <si>
    <t>Central Mortgage Bancshares agreed to merge with Mercantile Bancorporation. The transaction was subject to Federal Reserve Board, and state and federal bank regulatory approval.</t>
  </si>
  <si>
    <t>IntegraCare Inc</t>
  </si>
  <si>
    <t>Own,op outpatient clinics</t>
  </si>
  <si>
    <t>Integrated Health Services Inc</t>
  </si>
  <si>
    <t>Pvd specialty healthcare svcs</t>
  </si>
  <si>
    <t>Integrated Health Services (IH) acquired IntegraCare (IC) in a stock swap valued at an amended $22.26 mil. IC shareholders received an amended .2167 IH shares for every IC share held, subject to a collar agreement. Based on IH's closing stock price of $33.75 on Jun 1, the last full trading day prior to the amendment of terms, each IC share was valued at $7.31. Previously, IH offered .2854 IH shares for every IC share held, and originally, IH had offered $9.5 in IH common shares for each share held. The transaction was accounted for as a pooling of interests.</t>
  </si>
  <si>
    <t>MAI Systems Corp(Brooke Group)</t>
  </si>
  <si>
    <t>Mnfr mini and micro computers</t>
  </si>
  <si>
    <t>Brooke Group (BG), a majority-held unit of Brooke Partners, completed the spinoff of its 65% interest in MAI Systems (MAI) to its shareholders in a transaction valued at $5.4 mil. BG common shareholders received 1 MAI common share for every 6 BG shares held. The shares were valued based on MAI's closing stock price of $10.125 on Aug 29, the first full trading day on which the shares were distributed.</t>
  </si>
  <si>
    <t>Phoenix Duff &amp; Phelps Corp</t>
  </si>
  <si>
    <t>Pvd fin adv,credit rating svcs</t>
  </si>
  <si>
    <t>John Govett &amp; Co Ltd(Berkeley)</t>
  </si>
  <si>
    <t>Investment management company</t>
  </si>
  <si>
    <t>Govett, a unit of Berkeley Govett, withdrew its offer to acquire Duff &amp; Phelps (DP) in a stock swap transaction valued at $229.12 mil. Consideration consisted of $13 in Govett convertible redeemable preference shares for each DP common share. Also, DP was to issue a special cash dividend of $1. 20 per share for every DP share held.</t>
  </si>
  <si>
    <t>Hillhaven Corp</t>
  </si>
  <si>
    <t>Vencor Inc</t>
  </si>
  <si>
    <t>Provide healthcare services</t>
  </si>
  <si>
    <t>Vencor (VC), acting as a white knight, acquired all of the common and preferred shares of Hillhaven (HH) in a stock swap valued at $1.895 bil, including $580 mil in the assumption of debt. HH shareholders received .872 VC shares per share held, subject to a collar, and $900 in cash per Class C and D preferred share held. Based on VC's closing stock price of $37 on April 21, each HH share was valued at $32.25. The transaction was accounted for as a pooling of interests. Earlier, Horizon Healthcare offered to acquire HH for $31 per share, which resulted in HH seeking a buyer for the company.</t>
  </si>
  <si>
    <t>Horizon Healthcare (HH) withdrew its offer to acquire Hillhaven (HV) for an amended $1.024 bil in a stock swap merger, after HV announced that Vencor, acting as a white knight, would acquire HV. Each HV shareholder was to have received $31 in HH stock for each share held. Originally, HH offered $28 in stock, which was rejected. The transaction had been subject to collar provisions, to be later negotiated with HV, and was to have been accounted for as a pooling of interests, on a tax-free basis. Later, Vencor acquired HV.</t>
  </si>
  <si>
    <t>Charter Power Systems Inc</t>
  </si>
  <si>
    <t>Mnfr battery power systems</t>
  </si>
  <si>
    <t>Charter Power Systems terminated its plan to seek a buyer for the company, which it had previously announced in January 1995.</t>
  </si>
  <si>
    <t>Easel Corp</t>
  </si>
  <si>
    <t>Develop, whl software</t>
  </si>
  <si>
    <t>VMARK Software Inc</t>
  </si>
  <si>
    <t>VMARK Software (VMS) acquired Easel in a stock swap transaction valued at $25.285 mil. Easel shareholders received .2128 VMS shares per share held. Based on VM's closing stock price of $18.25 per share on January 26, the last full trading day prior to the announcement, each Easel share was valued at $3.887. The transaction was accounted for as a pooling of interests.</t>
  </si>
  <si>
    <t>Palm Finance Corp</t>
  </si>
  <si>
    <t>Palm Finances, a unit of A- Mark Financial, terminated its hostile offer to acquire the remaining 85.2% interest in MIP Properties it did not already own for $1.83 per share, or a total of value of $17.075 mil. Concurrently K/B Realty Advisors, a unit of Koll Management Services, and Canton Financial terminated their offers to acquire MIP. JER Partners acquired MIP for $69 mil.</t>
  </si>
  <si>
    <t>Acuity Imaging Inc</t>
  </si>
  <si>
    <t>Robotic Vision Systems Inc</t>
  </si>
  <si>
    <t>Mnfr 3-D ind sys</t>
  </si>
  <si>
    <t>Robotic Vision Systems (RVS) acquired Acuity Imaging (AI) stock swap valued at an amended $25.161 mil. AI shareholders receive .581138 AI shares per share held, adjusted due to a collar agreement. Based on RVS's closing stock price of $21.5 on Sep 20, the last full trading day prior to the disclosure of adjusted terms, each AI share was valued at $12.49. Originally, RVS offered 1.823396 common shares and then 1.072 common shares for each AI share held. The transaction was accounted for as a pooling of interests.</t>
  </si>
  <si>
    <t>Broadcasting Partners Inc</t>
  </si>
  <si>
    <t>Own,op radio,TV stations</t>
  </si>
  <si>
    <t>Evergreen Media (EM) acquired Broadcasting Partners (BP) for $242.639 mil, including the assumption of $81 mil in liabilities. The consideration consisted of $12 cash and .46 EM shares per BP share held, subject to a collar agreement. Based on EM's closing stock price of $17.5 on Jan 31, the last full trading day prior to the announcement, each BP share was valued at valued at $8.05.</t>
  </si>
  <si>
    <t>Delcor, a unit of Golden Eagle Industries, withdrew its offer to raise its stake to 54.5% from 29.57% in National Gypsum (NG) by acquiring 3.2 mil newly issued common shares for $150 mil. Consideration was to consist of $34.5 in cash and . 25 shares of the recapitalized company for each NG share. The agreement had been contingent upon Delcor's board authorizing a repurchase of 75% of the company's common stock outstanding. Later, Delcor acquired the remaining 82.3% of NG which it did not already own.</t>
  </si>
  <si>
    <t>Maxwell Shoe Co Inc</t>
  </si>
  <si>
    <t>Mnfr,whl womens,kids shoes</t>
  </si>
  <si>
    <t>Maxwell Shoe terminated merger negotiations with an undisclosed acquiror.</t>
  </si>
  <si>
    <t>Club Car Inc</t>
  </si>
  <si>
    <t>Manufacture golf cars</t>
  </si>
  <si>
    <t>Clark Equipment Co</t>
  </si>
  <si>
    <t>Mnfr, whl construction equip</t>
  </si>
  <si>
    <t>Clark Equipment (CE) acquired all the outstanding common stock of Club Car (CC) for $25 in cash per share, or total value of $243 mil. Earlier, CE completed its tender offer for CC by accepting 8,988,018 shares, or about 88% of the company's common stock outstanding. The offer had been conditioned upon CE receiving at least a majority of CC's common shares.</t>
  </si>
  <si>
    <t>National Australia Bank Ltd</t>
  </si>
  <si>
    <t>National Australia Bank acquired Michigan National for $110 in cash per share, or a total value of $1.713 bil. The transaction had been subject to federal and state banking regulatory approval.</t>
  </si>
  <si>
    <t>Glycomed Inc</t>
  </si>
  <si>
    <t>Biological research services</t>
  </si>
  <si>
    <t>Ligand Pharmaceuticals Inc</t>
  </si>
  <si>
    <t>Ligand Pharmaceutical (LP) acquired Glycomed (GC) in a stock swap transaction valued at $55.779 mil. GC common shareholders received .5301 LP common shares for each share held. Based on LP's closing stock price of $8 on Feb 6, the last full trading day prior to the announcement, each GC share was valued at $4.24. Upon completion, GC shareholders held a 25% interest in LP.</t>
  </si>
  <si>
    <t>Petstuff Inc</t>
  </si>
  <si>
    <t>Own,op pet supply stores</t>
  </si>
  <si>
    <t>PetSmart Inc</t>
  </si>
  <si>
    <t>Own,op pet retail stores</t>
  </si>
  <si>
    <t>PetSmart (PS) acquired Petstuff in a stock swap transaction valued at $98.8 mil. Petstuff shareholders received .278 PS shares for every Petstuff share held. Based on PS's closing stock price of $37 on February 6, the last full trading day prior to the announcement, each Petstuff share was valued at $10.286. The transaction was accounted for as a pooling of interests and had been subject to regulatory approval.</t>
  </si>
  <si>
    <t>Tatham Offshore Inc</t>
  </si>
  <si>
    <t>In February 1995, Tatham Offshore announced that it had retained Donaldson Lufkin &amp; Jenrette Securities to assist in the search for a buyer for the company.</t>
  </si>
  <si>
    <t>LG&amp;E Energy Corp</t>
  </si>
  <si>
    <t>LG&amp;E Energy (LE) acquired Hadson (HS) for $167.85 mil. Under terms of the agreement, LE acquired the 65% of HS's common stock held by Santa Fe Resources and Prudential Insurance Co of America, all of HS's Senior Cumulative Series A and Junior Exercisable Automatically Convertible Series B preferred stock, and assumed HS's liabilities for $143 mil. LE also acquired the remaining 35% of HS's common stock for $2.75 in cash per share, or a total value of $24.85 mil. The transaction had been subject to regulatory approval.</t>
  </si>
  <si>
    <t>Seafield Capital Corp</t>
  </si>
  <si>
    <t>Own,op med labs;ins co</t>
  </si>
  <si>
    <t>In February 1995, Seafield Capital disclosed it was seeking a buyer for the company. One of the alternatives that was being considered was the possible sale of its LabOne subsidiary.</t>
  </si>
  <si>
    <t>Allstate Financial Corp</t>
  </si>
  <si>
    <t>Pvd personal credit svcs</t>
  </si>
  <si>
    <t>Allstate Financial terminated its search for a buyer for the company.</t>
  </si>
  <si>
    <t>Arbor Property Trust</t>
  </si>
  <si>
    <t>Arbor Property Trust (AP) terminated its search for a buyer which had previously been announced in February 1995.</t>
  </si>
  <si>
    <t>Gibraltar Packaging Group Inc</t>
  </si>
  <si>
    <t>Mnfr specialty packaging prod</t>
  </si>
  <si>
    <t>Caraustar Industries Inc</t>
  </si>
  <si>
    <t>Mnfr recycled paperboard</t>
  </si>
  <si>
    <t>Caraustar Industries terminated its agreement to acquire Gibraltar Packaging Group (GP) for $7 per share, or a total of $72.358 mil, including $37 mil in the assumption of liabilities. In October 1994, GP announced that it was seeking a buyer for the company.</t>
  </si>
  <si>
    <t>Intertrans Corp</t>
  </si>
  <si>
    <t>Pvd air freight forwarding</t>
  </si>
  <si>
    <t>Fritz Cos Inc</t>
  </si>
  <si>
    <t>Pvd arrangement of freight svc</t>
  </si>
  <si>
    <t>Fritz (FT) acquired Intertrans (IT) in a stock swap transaction valued at $224.448 mil. FT offered .365 common shares per FT share held, subject to a collar agreement. Based on FT's closing stock price of $49 on Feb 13, the last full trading day prior to the announcement, each IT share was valued at $17.885. The transaction was accounted for as a pooling of interests and had been subject to regulatory approval.</t>
  </si>
  <si>
    <t>American Recreation Co</t>
  </si>
  <si>
    <t>Mnfr,whl bicycles</t>
  </si>
  <si>
    <t>Bell Sports Corp</t>
  </si>
  <si>
    <t>Mnfr bicycle equip,accessories</t>
  </si>
  <si>
    <t>Bell Sports (BS) acquired all the outstanding shares of American Recreation Holdings (ARH) in a stock swap valued at an amended $74.819 mil. ARH shareholders received . 689 BS common shares for each ARH share held. Based on BS's closing stock price of $12.25 on Jun 27, the last full trading day prior to the disclosure of amended terms, each ARH share was valued at $8.44. Originally, BS offered .6224 common shares for each ARH share held.</t>
  </si>
  <si>
    <t>IG Laboratories Inc</t>
  </si>
  <si>
    <t>Genzyme (GZ) acquried the remaining 31% stake, or 3.06 mil shares, it did not already own in its IG Laboratories (IG) subsidiary for an amended $7 in GZ common stock per share held, or a total of $22.265 mil. Originally, IG common shareholders were to receive . 12368 GZ common shares for each share held. Based on GZ's closing stock price of $38.5 on Feb 14, the last full trading day prior to the announcement, each IG share had been valued at $4.76.</t>
  </si>
  <si>
    <t>Rocky Mount Undergarment Co</t>
  </si>
  <si>
    <t>Manufacture undergarments</t>
  </si>
  <si>
    <t>LMA Ltd</t>
  </si>
  <si>
    <t>Mnfr clothing;inv hldg co</t>
  </si>
  <si>
    <t>LMA acquired a 50.5% interest in bankrupt Rocky Mount Underground, by acquiring an undisclosed amount of newly issued common shares.</t>
  </si>
  <si>
    <t>Title Wave Stores Inc</t>
  </si>
  <si>
    <t>Own, op record &amp; tape stores</t>
  </si>
  <si>
    <t>Hollywood Entertainment Corp</t>
  </si>
  <si>
    <t>Own,op video rental stores</t>
  </si>
  <si>
    <t>Hollywood Entertainment (HE) completed its merger with Title Wave Stores (TWS) in a transaction valued at $8.51 mil. Earlier, HE had completed its tender offer for all the outstanding common shares for $2 in cash per share, by accepting 4,169, 232 shares, or 98% of the common stock outstanding. The tender offer had been subject to certain conditions, including the acquisition of at least 51% of TWS' shares and the regulatory approval of the Federal Trade Commission under the Hart- Scott-Rodino Antitrust Improvements Act.</t>
  </si>
  <si>
    <t>Healthdyne Technologies Inc</t>
  </si>
  <si>
    <t>Mnfr specialized med devices</t>
  </si>
  <si>
    <t>US - Healthdyne (HD) completed the spinoff of its 81% interest in Healthdyne Technologies Inc (HT), a manufacturer of specialized medical devices, to its shareholders, in a transaction valued at $112.43 mil. HD shareholders received 0.65071 HT shares for every HD share held. HT's shares were valued based on HT's closing stock price of $11.25 on May 22, the first full trading day on which the shares were distributed.</t>
  </si>
  <si>
    <t>Compass Bancshares Inc,AL</t>
  </si>
  <si>
    <t>Coml bk;pvd finl svcs</t>
  </si>
  <si>
    <t>First Union withdrew an unsolicited bid to acquire all the outstanding shares of Compass Bancshares for $30.71 per share, or a total value of $1.148 bil.</t>
  </si>
  <si>
    <t>Charter Fed Svgs,Bristol,VA</t>
  </si>
  <si>
    <t>In February 1995, Charter Federal Savings Bank, Bristol, Virginia, announced it had retained Wheat First Butcher Singer to help in its search for a buyer for the company.</t>
  </si>
  <si>
    <t>Dial Page Inc</t>
  </si>
  <si>
    <t>Pvd beeper,commun rental svcs</t>
  </si>
  <si>
    <t>American Paging Inc of FL</t>
  </si>
  <si>
    <t>American Paging of Florida, an 85%-owned unit of Telephone and Data Systems' American Paging subsidiary, acquired all the outstanding common shares of Dial Page. Terms were not disclosed.</t>
  </si>
  <si>
    <t>Fleet Financial Group (FF) acquired Shawmut National (SN) in a stock swap merger valued at $3.865 bil. SN common shareholders received . 89 FF common share for each SN share held. Based on FF's closing stock price of $33. 625 on Feb 17, the last full trading day prior to the announcement, each SN share was valued at $29.93. The transaction had been subject to federal and state banking regulatory approval and was accounted for as a pooling of interests. In order to receive Federal Reserve regulatory approval, FF and SN divested 64 of their branches.</t>
  </si>
  <si>
    <t>First Union (FU) acquired United Financial Corp of South Carolina (UF) in a stock swap transaction valued at $134.384 mil, adjusted due to a collar. UF shareholders received $21.41 FU common shares for each UF share held. FU also had been granted an option to acquire 19% of UF's common stock through a lockup agreement. Concurrently, FU's board authorized the repurchase of up to 2.94 mil, or 1.7%, of FU's common stock. The transaction had been subject to federal and state banking regulatory approval.</t>
  </si>
  <si>
    <t>Preferred Entertainment Inc</t>
  </si>
  <si>
    <t>Pvd wireless cable tv svcs</t>
  </si>
  <si>
    <t>People's Choice TV Corp</t>
  </si>
  <si>
    <t>Pvd video transmission svcs</t>
  </si>
  <si>
    <t>People's Choice TV (PC) acquired the remaining 77.4% it did not already own in Preferred Entertainment (PE) in a stock swap transaction valued at $56.322 mil. PC offered an amended .76 PC common shares per PE share. Based on PC's closing stock price of $21.25 on Mar 24, the last full trading day prior to the amendment, each PE share was valued at $16.15. Originally, PC offered .7 PC shares per PE share held. In June 1994, PE announced that it was seeking a buyer and in December 1994, PC terminated talks to acquire the 77.4% in PE which it later reopened.</t>
  </si>
  <si>
    <t>America First REIT Inc</t>
  </si>
  <si>
    <t>Mid-America Apartment Cmnty</t>
  </si>
  <si>
    <t>Mid-American Apartment Communities REIT (MA) acquired America First REIT (AF) in a stock swap transaction valued at $56.847 mil. AF common shareholders received .88 MA common shares for each share held, adjusted due to a collar agreement. Based on MA's closing stock price of $25.875 on Feb 24, the last full trading day prior to the announcement, each AF share was valued at $22.77. The transaction had been subject to regulatory approval.</t>
  </si>
  <si>
    <t>Usaha Tegas (UT), a unit of the Pacific States Investments subsidiary of Settlement's Excorp unit, terminated its offer to acquire American Maize- Products (AM) in a two-tier merger valued at $428.185 mil. UT offered to acquire .8 mil Class B shares, or a 47.3% stake, in AM from GIH for $44 in cash per share, or a total of $36.256 mil. Upon acceptance, UT would have offered $40.25 in cash per share for the remaining 9 mil Class A and B shares, or a 52. 7% interest, for $374.3 mil. Later, Eridania Beghin-Say acquired AM.</t>
  </si>
  <si>
    <t>Bankers Life Holding(Conseco)</t>
  </si>
  <si>
    <t>Conseco withdrew its offer to acquire the remaining 39. 6% stake, or 20.923 mil common shares, which it did not already own, in its Bankers Life Holding subsidiary for $22 in cash per share, or a total value of $460.962 mil. The value included 1.498 mil shares Conseco had previously purchased for $31.4 mil in the open market.</t>
  </si>
  <si>
    <t>Turner Broadcasting System was rumored to be in negotiations to acquire CBS for an undisclosed combination of cash and common shares. The rumors stated that CBS had been asking $5.3 bil for itself in the negotiations. The Current status of this deal is unknown.</t>
  </si>
  <si>
    <t>CCP Insurance Inc</t>
  </si>
  <si>
    <t>Conseco acquired the remaining 12.49 mil shares, or 52% interest on a fully- diluted basis, that it did not already own in CCP Insurance for an amended $23. 25 in cash per share, or a total value of $273.677 mil. Originally, Conseco had offered $22.5 in cash per share to acquire the remaining shares of CCP it did not already own. The transaction had been subject to regulatory approval.</t>
  </si>
  <si>
    <t>Sonat Offshore Drilling</t>
  </si>
  <si>
    <t>Pvd oil,gas well drilling svcs</t>
  </si>
  <si>
    <t>Sonat Offshore Drilling (SOD) terminated negotiations to acquire Reading &amp; Bates (RB) for $503.571 mil. SOD offered a choice of either $8.4 in cash or common shares for each share held and one warrant to purchase an additional SOD common share. Originally, SOD offered a choice of $7.5 in cash or . 357 common shares for each share held.</t>
  </si>
  <si>
    <t>Schwitzer Inc</t>
  </si>
  <si>
    <t>Mnfr turbochargers,auto parts</t>
  </si>
  <si>
    <t>Kuhlman acquired Schwitzer in a stock swap valued at $92. 737 mil. Each Schwitzer shareholder received .9615 Kuhlman common shares for each Schwitzer share held. Based on Kuhlman's closing stock price of $13.125 on Feb 24, the last full trading day prior to the announcement, each Schwitzer share was valued at $12.61. The transaction had been subject to regulatory approval and was accounted for as a pooling of interests.</t>
  </si>
  <si>
    <t>Hoechst AG</t>
  </si>
  <si>
    <t>Hoechst (HC) acquired Marion Merrell Dow (MM), a majority- held unit of Dow Chemical (DC) , for $25.75 in cash per share, or a total value of $7. 265 bil. Under terms of the agreement, HC acquired 196, 344,890 common shares, or a 71% stake, in MM from DC for a total value of $5.056 bil. Also, HC acquired the remaining 80,197,209 shares, or 29% stake, for a total value of $2.065 bil. The transaction had been subject to regulatory approval.</t>
  </si>
  <si>
    <t>Maxus Energy Corp</t>
  </si>
  <si>
    <t>YPF SA</t>
  </si>
  <si>
    <t>Argentina</t>
  </si>
  <si>
    <t>YPF Sociedad Anonima merged with Maxus Energy (ME) in a transaction valued at $1.843 bil, including $1 bil in the assumption of liabilities. Earlier, YPF completed its tender offer to acquire all the outstanding common shares and convertible preferred shares of ME for $5.50 in cash per share by accepting 118,864,500 ME shares, or a 87.7% interest in ME.</t>
  </si>
  <si>
    <t>BPB Industries PLC</t>
  </si>
  <si>
    <t>Mnfr gypsum,wood products</t>
  </si>
  <si>
    <t>BPB Industries terminated its unsolicited offer to acquire all the outstanding stock, including a 10% stake held by Lafarge-Coppe, in National Gypsum (NG) for $48. 5 per share, or a total of $1. 018 bil. Later, Delcor completed its amended offer to acquire the remaining 82. 3% of NG that it did not already own. Previously, Delcor withdrew its offer to raise its stake to 54.5% from 29.57% in NG. Also, an investor group comprised of First Union and NationsBank acquired a minority stake in NG as part of the Delcor's financing package.</t>
  </si>
  <si>
    <t>Trans Global Services Inc</t>
  </si>
  <si>
    <t>Pvd employee outsourcing svcs</t>
  </si>
  <si>
    <t>Concept Technologies Group Inc</t>
  </si>
  <si>
    <t>Mnfr audio,video equip</t>
  </si>
  <si>
    <t>Concept Technologies Group (CTG) acquired Trans Global Services (TGS), a unit of Consolidated Technologies Group (CT), in exchange for 3 mil shares valued at $7.125 mil. The shares were valued at $2.375 on Feb 27, the last full trading day prior to the announcement. Upon completion, CT held a 67% interest in CTG.</t>
  </si>
  <si>
    <t>Homedco Group Inc</t>
  </si>
  <si>
    <t>Homedco Group (HG) acquired Abbey Healthcare Group (AHG) in a merger-of-equals stock swap transaction valued at $750.279 mil. AHG shareholders received 1.4 new company (NEWCO) common shares and HG shareholders received 2 NEWCO common shares for each share held. Based on HG's closing stock price of $43.5 on Mar 1, the last full trading day prior to the announcement, each AHG share was valued at $60.9. HG held 53% and AH held 47% of the new company. The transaction had been subject to regulatory approval and was accounted for as a pooling of interests.</t>
  </si>
  <si>
    <t>DATEQ Information Network</t>
  </si>
  <si>
    <t>Provide auto insurance svcs</t>
  </si>
  <si>
    <t>Trans Union Corp</t>
  </si>
  <si>
    <t>Pvd credit reporting svcs</t>
  </si>
  <si>
    <t>Trans Union, a unit of Marmon Holdings, acquired all the outstanding stock of DATEQ Information Network for $5.41 in cash per share, or a total value of $19.079 mil. The transaction had been subject to regulatory approval under the Hart-Scott- Rodino Antitrust Act.</t>
  </si>
  <si>
    <t>PSB Holding Corp</t>
  </si>
  <si>
    <t>CitFed Bancorp Inc,Dayton,OH</t>
  </si>
  <si>
    <t>Savings and loan;holding co</t>
  </si>
  <si>
    <t>CitFed Bancorp,Dayton,Ohio (CB) acquired Peoples Savings Bank,Xenia,Ohio(PSB) in a stock swap merger valued at $44.854 mil. PSB shareholders received .6734 CB shares per PSB share held. Based on CB's closing stock price of $29 on Mar 1, the last full trading day prior to the announcement, each share of PSB was valued at $19.53. The transaction had been subject to federal and state banking regulatory approval and was accounted for as a pooling of interests.</t>
  </si>
  <si>
    <t>Scanforms Inc</t>
  </si>
  <si>
    <t>Mnfr business forms</t>
  </si>
  <si>
    <t>An investor group, including management, agreed to acquire the remaining 71.8% interest, which it did not already own, in Scanforms for $3.80 in cash per share, or a total value of $10.311 mil, in a leveraged buyout transaction. Originally, the investor group offered $3.60 in cash per share.</t>
  </si>
  <si>
    <t>Luxottica Group SpA</t>
  </si>
  <si>
    <t>Manufacture,whl,retail eyewear</t>
  </si>
  <si>
    <t>Italy</t>
  </si>
  <si>
    <t>Luxottica Group (LG) merged with US Shoe (US) in a transaction valued at $1.326 bil. Earlier, LG completed its its hostile tender offer to acquire all the outstanding common stock of US for an amended $28 in cash per share, by accepting 45, 715,747 shares, or 91.3% of the fully diluted shares outstanding. The value included 3,727,267 options valued at an amended $28 in cash less the average exercise price of $20.28. Originally, LG had offered $24 in cash per share. The offer had been subject to at least two thirds of US's shares being tendered.</t>
  </si>
  <si>
    <t>A Pea in the Pod Inc</t>
  </si>
  <si>
    <t>Own,op women's clothing stores</t>
  </si>
  <si>
    <t>Mothers Work Inc</t>
  </si>
  <si>
    <t>Mnfr,ret maternity apparel</t>
  </si>
  <si>
    <t>Mothers Work (MW) merged with A Pea in the Pod (AP) in a transaction valued at $22. 526 mil. Earlier, MW completed its tender offer to acquire all the outstanding common stock of (AP) for $5. 50 in cash per share, by accepting 4,032,184 shares, or 93.825% of AP's fully diluted common stock outstanding. The offer had been subject to at least a majority of APP's shares being tendered and Federal Trade Commission approval.</t>
  </si>
  <si>
    <t>Photo Control Corp</t>
  </si>
  <si>
    <t>Mnfr,whl photographic equip</t>
  </si>
  <si>
    <t>In March 1995, Photo Control announced it had retained William Blair to help in its search for a buyer for the company.</t>
  </si>
  <si>
    <t>Physicians Health Services Inc</t>
  </si>
  <si>
    <t>In March 1995, Physicians Health Services announced it had retained Smith Barney to help in its search for a buyer for the company.</t>
  </si>
  <si>
    <t>Trinzic Corp</t>
  </si>
  <si>
    <t>Dvlp,market &amp; support software</t>
  </si>
  <si>
    <t>PLATINUM Technology Inc</t>
  </si>
  <si>
    <t>Develop integrated software</t>
  </si>
  <si>
    <t>PLATINUM Technology (PT) acquired Trinzic in a stock swap merger valued at $144. 082 mil. Trinzic shareholders received .33 PT common shares for each Trinzic share held, subject to a collar agreement. Based on PT's closing stock price of $22 on Mar 6, the last full trading day prior to the announcement, each Trinzic share was valued at $7.26. The transaction was accounted for as a pooling of interests.</t>
  </si>
  <si>
    <t>Daniel Industries Inc</t>
  </si>
  <si>
    <t>Moorco International (MI) withdrew its hostile offer to acquire the remaining 95% of Daniel Industries (DI) it did not already own for $187.81 mil. MI offered $11.90 in cash and .3 MI common shares for each DI share held. Based on MI's closing stock price of $14.625 on Mar 7, the last full trading day prior to the announcement, each DI share was valued at $16.29. MI abandoned the offer after it became the target of a hostile offer from FMC.</t>
  </si>
  <si>
    <t>Wellpoint Health Networks (WHN), a unit of Blue Cross of California, terminated its agreement to merge with Health Systems International (HSI) in a merger-of-equals stock swap valued at $1.7 bil. HSI's Class A and Class B shareholders were to have received 1.09 Class A and Class B shares, respectively, of the company for each share held, and WHN's shareholders were to have received .667 shares of the company for each share held, following a 2 for 3 reverse split. Based on WHN's closing stock price of $31 on Mar 24, each HSI share was valued at $33.79.</t>
  </si>
  <si>
    <t>Hondo Oil &amp; Gas Co</t>
  </si>
  <si>
    <t>Hondo, a jointly-held unit of Lonrho and the Anderson family, terminted its search for a buyer for its 76%-held Hondo Oil &amp; Gas subsidiary it had announced in March 1995. The search was terminated after Hondo Oil &amp; Gas agreed to merge with Hondo.</t>
  </si>
  <si>
    <t>Lafarge Coppee SA</t>
  </si>
  <si>
    <t>Mnfr cement,building materials</t>
  </si>
  <si>
    <t>Lafarge Coppee had been rumored to have entered into negotiations to acquire the remaining 90% interest in National Gypsum (NG) it did not already own. Later, Delcor acquired NG. Also, BPB Industries was rejected in its bid to acquire NG for $48. 50 per share or a total of $981 mil.</t>
  </si>
  <si>
    <t>SkyBox International</t>
  </si>
  <si>
    <t>Print trading cards</t>
  </si>
  <si>
    <t>Marvel Entertainment Group (ME), a unit of New Marvel Holdings, a subsidiary of MacAndrews &amp; Forbes Holdings, merged with SkyBox International (SI) in a transaction valued at $136. 573 mil. Earlier, MG completed its tender offer to acquire SI for $16 in cash per SI common share held by accepting 8,219,119 shares, or 91.9% of SI's fully diluted shares outstanding. The offer had been conditioned upon a majority of SI's shares being tendered. Under a lockup agreement, SI granted ME an option to acquire a 17.43% interest in SI.</t>
  </si>
  <si>
    <t>AMP Inc</t>
  </si>
  <si>
    <t>Mnfr electronic connectors</t>
  </si>
  <si>
    <t>AMP acquired M/A-COM (MAC) in a stock swap merger valued at $292.813 mil. MAC shareholders received .28 AMP common shares for each MAC share held. Based on AMP's closing stock price of $38 on Mar 9, the last full trading day prior to the announcement, each MAC share was valued at $10.64. The transaction had been subject to regulatory approval and was accounted for as a pooling of interests.</t>
  </si>
  <si>
    <t>RS Financial Corp</t>
  </si>
  <si>
    <t>First Citizens Bancshares (FC) withdrew its unsolicited offer to acquire RS Financial (RSF) for an amended $34.51 per share, or a total value of $100.079 mil. RSF shareholders had been given a choice of cash, class A common shares or subordinated debentures valued at $34.51 for each share held. Originally, FC offered $30.05 in cash and common shares, which was rejected. The transaction had been subject to federal and state banking regulatory approval. Later, First Union acquired RSF, in a stock swap transaction.</t>
  </si>
  <si>
    <t>Mid-South Insurance Co</t>
  </si>
  <si>
    <t>Health,accident,life ins co</t>
  </si>
  <si>
    <t>Coastal Healthcare Group Inc</t>
  </si>
  <si>
    <t>Coastal Healthcare Group (CH) terminated its definitive agreement to acquire Mid- South Insurance (MSI) for $80. 34 mil in a stock swap transaction. Each MSI shareholder was to have received .5398 CH common shares for every MST share held. Based on CH's closing stock price of $27.25 on Mar 10, the last full trading day prior to the announcement, each MSI share had been valued at $14.71. The transaction had been subject to regulatory approval and was to have been accounted for as a pooling of interest.</t>
  </si>
  <si>
    <t>SFX Broadcasting Inc</t>
  </si>
  <si>
    <t>Own,op radio bdcstg stations</t>
  </si>
  <si>
    <t>Chancellor Holding Corp</t>
  </si>
  <si>
    <t>Chancellor Holding withdrew its unsolicited, hostile offer to acquire SFX Broadcasting for $26 in cash per common share, or a total value of $155.825 mil.</t>
  </si>
  <si>
    <t>Abraxas Petroleum terminated negotiations to acquire Alexander Energy.</t>
  </si>
  <si>
    <t>Leaseway Transportation Corp</t>
  </si>
  <si>
    <t>Trucking company, related svcs</t>
  </si>
  <si>
    <t>Penske Truck Leasing Co LP</t>
  </si>
  <si>
    <t>Pvd truck leasing services</t>
  </si>
  <si>
    <t>Penske Truck Leasing (PT) merged with Leaseway Transportation (LT) in a transaction valued at $20 in cash per share, or a total of $199.84 mil. Earlier, PT completed its tender offer for all the outstanding shares of Leaseway Transportation (LT), by accepting 96.9%, or 9,682,322 LT common shares. The offer had been contingent upon at least a majority of LT's shares being tendered.</t>
  </si>
  <si>
    <t>Main Street Community Bancorp</t>
  </si>
  <si>
    <t>Main Street Community Bancorp (MS) acquired Lexington Savings Bank (LS) in a merger-of-equals stock swap transaction valued at $35.017 mil. Each LS and MS shareholder received 1 share of the newly merged company called Affiliated Community Bancorp (ACB) per share held. The shares were valued based on MS's closing stock price of $14.25 on Mar 13. The transaction was accounted for as a pooling of interests.</t>
  </si>
  <si>
    <t>McArthur/Glen Realty Corp</t>
  </si>
  <si>
    <t>Re invest trust</t>
  </si>
  <si>
    <t>Horizon Outlet Centers Inc</t>
  </si>
  <si>
    <t>Horizon Outlet Centers (HO) merged with McArthur/Glen Realty (MG) in a reverse stock swap valued at $315.546 mil. MG shareholders received .64 HO common shares for each share held and MG operating partnership unitholders received .64 HO operating partnership units for each unit held. The units had been convertible into common stock on a 1-for-1 basis. Based on HO's closing stock price of $24.375 on Mar 13, MB shares and units were valued at $15. 60 each. The newly merged company was known as HGI Reality.</t>
  </si>
  <si>
    <t>A management-led investor group was rejected in its offer to acquire Mediq in a merger valued at $441.687 mil. Consideration consisted of $4 in cash and $2.87 in common shares of Mediq's affiliates, including MMI Medical, NutraMax Products, and PCI Services, and a note from Mental Health Management for each Mediq share held, and the assumption of $261.33 mil in liabilities. In January 1995, Mediq retained Lazard Freres to assist in its search for a buyer of the company.</t>
  </si>
  <si>
    <t>American Recreation Centers</t>
  </si>
  <si>
    <t>Own, op bowling, rec centers</t>
  </si>
  <si>
    <t>Fulcrum Capital Partners</t>
  </si>
  <si>
    <t>Fulcrum Capital Partners withdrew its offer to acquire all the outstanding common stock of American Recreation Centers for $7.50 in cash per share, or a total value of $17.045 mil.</t>
  </si>
  <si>
    <t>LinPac Mouldings (LM), a unit of LinPac Group, acquired the remaining 45%, which it did not already own, in Ropak for $11 in cash per common share, or a total of value $28.548 mil. Earlier, LM completed its hostile tender offer for the remaining 45% of Ropak by accepting 1,968,969 shares, or 41.56% of the common shares outstanding.</t>
  </si>
  <si>
    <t>UTI Energy Corp</t>
  </si>
  <si>
    <t>Pvd oil,nat gas drilling svcs</t>
  </si>
  <si>
    <t>Remy Capital Partners III LP</t>
  </si>
  <si>
    <t>Remy Capital Partners III acquired a 53.5% interest or 1,736,550 commons in UTI Energy from Bear Stearns for $4.50 per share or a total value of $7.8 mil.</t>
  </si>
  <si>
    <t>FKI PLC</t>
  </si>
  <si>
    <t>Engineering co</t>
  </si>
  <si>
    <t>FKI acquired all the outstanding common stock of Amdura (AM) for $2.30 in cash per share or a total value of $89.064 mil, including the assumption of $25.3 mil in liabilities. Earlier, FKI completed its tender offer for AM by accepting 24,064, 752 common shares, or about 89% of AM's stock outstanding.</t>
  </si>
  <si>
    <t>Investor JR Simplot withdrew his offer to acquire all the outstanding Class A common stock and Class B common stock of Box Energy (BE), a unit of Box Brothers Holding (BH), for $240.53 mil. The consideration was to consist of $14 in cash per Class A common share and $11 in cash per Class B non-voting share. JR Simplot's offer could not succeed because BH, a shareholder of 57% of BE's Class A shares, rejected the bid. Previously, JR Simplot withdrew his offer to acquire all the outstanding Class A common voting stock of BE for $15 in cash per share, or a total of $48.675 mil.</t>
  </si>
  <si>
    <t>Southern Electronics</t>
  </si>
  <si>
    <t>Whl computers,peripherals</t>
  </si>
  <si>
    <t>GBC Technologies Inc</t>
  </si>
  <si>
    <t>Whl computers,peripheral equip</t>
  </si>
  <si>
    <t>GBC Technologies terminated its agreement to acquire Southern Electronics (SE) in a stock swap merger valued at $58.786 mil. SE shareholders were to have received one GBC common share for each SE share held. Based on GBC's closing stock price of $7.875 on Mar 15, the last full trading day prior to announcement, each SE share was valued at $7.875. The transaction was to have been accounted for as a pooling of interests. In March 1994, SE had announced that it was seeking a buyer for the company.</t>
  </si>
  <si>
    <t>In March 1995, Arista Investors (AI) announced it was in negotiations with an an undisclosed acquiror. Concurrently, Orion Capital terminated its negotiations to acquire all the outstanding common stock of AI.</t>
  </si>
  <si>
    <t>WMX Technologies acquired all the outstanding common stock of Resource Recycling Technologies (RR) for $11.50 in cash per share, or a total value of $33.48 mil. Earlier, WM completed its a tender offer for RR for by accepting 2.568 mil shares, or a 81% of RR's stock outstanding. The offer had been contingent upon the tender of at least 50.1% of RR's shares and had been subject to regulatory approval.</t>
  </si>
  <si>
    <t>TelMed Inc</t>
  </si>
  <si>
    <t>Extreme Technologies Inc</t>
  </si>
  <si>
    <t>Pvd telcommun services</t>
  </si>
  <si>
    <t>Extreme Technologies signed a letter of intent to acquire TelMed in exchange for 3.786 mil common shares in a stock swap transaction.</t>
  </si>
  <si>
    <t>Triton Group Ltd</t>
  </si>
  <si>
    <t>Whl gas turbine engines</t>
  </si>
  <si>
    <t>TAC Inc</t>
  </si>
  <si>
    <t>Pvd mgmt svcs;investor group</t>
  </si>
  <si>
    <t>TAC withdrew its hostile tender offer to acquire Triton Group (TG) for an amended $2.20 in cash per share, or a total of $43.953 mil. The offer had been contingent upon at least 85% of TG's shares being tendered. Earlier, Actava Group (AG) signed a letter of intent to acquire Orion Pictures, which was part of AG's plan to also acquire MCEG Sterling and Metromedia International Telecommunications. Upon completion, all of the firms would have been merged into a new company called Metromedia International Group.</t>
  </si>
  <si>
    <t>Advanced Promotion Tech</t>
  </si>
  <si>
    <t>Develop point-of-sale systems</t>
  </si>
  <si>
    <t>APT Acquisition Inc</t>
  </si>
  <si>
    <t>APT Acquisition (AA) terminated negotiations to acquire Advanced Promotion Technologies (APR) for $87. 177 mil, including $25 mil in a capital infusion. Under terms of the agreement, APR shareholders were to have received $1.75 in cash and $2. 75 in notes for each share held.</t>
  </si>
  <si>
    <t>KeyCorp,Cleveland,Ohio</t>
  </si>
  <si>
    <t>Pvd bkg,finl svcs;hldg co</t>
  </si>
  <si>
    <t>KeyCorp (KC) acquired AutoFinance Group (AF) in a stock swap valued at $329.45 mil. AF common shareholders received .5 common shares per share held, subject to a collar agreement. Based on KC's closing stock price of $34.5 on Sep 21, the last full trading day prior to the announcement of exact terms, each AF share was valued at $17.25. Concurrently, AF announced plans to spinoff 95% of its Patlex subsidiary.</t>
  </si>
  <si>
    <t>Pay-Fone Systems</t>
  </si>
  <si>
    <t>Computerized payroll service</t>
  </si>
  <si>
    <t>Paychex Inc</t>
  </si>
  <si>
    <t>Provide payroll services</t>
  </si>
  <si>
    <t>Paychex agreed to acquire Pay-Fone Systems (PF) in exchange for $6.51 in Paychex common stock per PF share held, in a stock swap valued at $10.605 mil.</t>
  </si>
  <si>
    <t>Viagene Inc</t>
  </si>
  <si>
    <t>Pvd gene research,dvlp svcs</t>
  </si>
  <si>
    <t>Chiron (CH) acquired the remaining 66.13% of Viagene (VI) it did not already own in a stock swap valued at an amended $118.8075 mil. VI shareholders received .915 mil CH shares and $36 mil in cash. Originally, VI shareholder's were given a choice of either $9 in cash or .115 CH common shares, valued at $8.7575, for each VI share held. Green Cross granted CH an option to acquire its 1.2 mil shares. The transaction had been subject to regulatory approval.</t>
  </si>
  <si>
    <t>Sirco International Corp</t>
  </si>
  <si>
    <t>Whl handbags,tote bags,luggage</t>
  </si>
  <si>
    <t>A management led investor group, acquired a 56.3% interest in Sirco International from Yashiro Co and Yashiro Ltd. Terms were not disclosed. Concurrently, Yashiro Co acuired the handbag division of Sirco for $1.785 mil. The transaction were the results of Sirco's effort to restructure the company.</t>
  </si>
  <si>
    <t>Beeba's Creations Inc</t>
  </si>
  <si>
    <t>Whl women's,children's clothes</t>
  </si>
  <si>
    <t>In March 1995, Beeba's Creations announced that it was seeking a buyer for the company.</t>
  </si>
  <si>
    <t>Lottery Enterprises Inc</t>
  </si>
  <si>
    <t>Pvd vending machine rental svc</t>
  </si>
  <si>
    <t>International Lottery (IL) terminated its agreement to acquire Lottery Enterprises (LE) in a stock swap transaction valued at $24.69 mil. LE shareholders were to have received $3.125 IL common shares for each share held.</t>
  </si>
  <si>
    <t>An investor group, led by investor Lawrence F Orbe III, withdrew its offer to acquire 20 mil newly issued common shares, or a 50.03% interest, in Triton Group (TG) for an amended $2.25 per share, or a total value of $45 mil. Originally, the investor group offered $2.75 per share, or a total value of $55 mil for the interest. Earlier, TAC was rejected and terminated its plans to acquire all the outstanding shares of TG for $1.80 in cash per share, or a total value of $36 mil.</t>
  </si>
  <si>
    <t>Audits &amp; Surveys Worldwide Inc</t>
  </si>
  <si>
    <t>Audits &amp; Surveys acquired an 80% interest, or 10.5 mil newly-issued common shares, in Triangle.</t>
  </si>
  <si>
    <t>Paco Pharmaceutical Services</t>
  </si>
  <si>
    <t>Pharmaceutical packaging prod</t>
  </si>
  <si>
    <t>West Co Inc</t>
  </si>
  <si>
    <t>Mnfr med equip</t>
  </si>
  <si>
    <t>West acquired all the outstanding common stock of Paco Pharmaceutical Services for $12.25 in cash per share, or a total value of $50.512 mil. Earlier, West completed its tender offer for Paco by accepting 3,951,595 shares, or 92.96% of Paco's common shares outstanding. The offer had been conditioned upon the tender of a majority of Paco's shares.</t>
  </si>
  <si>
    <t>Cornerstone Financial Corp</t>
  </si>
  <si>
    <t>BayBanks,Boston,Massachusetts</t>
  </si>
  <si>
    <t>BayBanks (BB) acquired Cornerstone Financial (CF) for $8.80 in cash per share, or a total value of $21.278 mil. The transaction had been subject to federal and state banking regulatory approval.</t>
  </si>
  <si>
    <t>NuMed Home Health Care Inc</t>
  </si>
  <si>
    <t>Pvd home heath care svcs</t>
  </si>
  <si>
    <t>NuMed Home Health Care entered into negotiations to acquire all the outstanding common shares of Hospital Staffing Services. Terms were not disclosed.</t>
  </si>
  <si>
    <t>Putnam Trust Co</t>
  </si>
  <si>
    <t>Bank of New York (BNY) acquired Putnam Trust (PT) in a stock swap transaction valued at $138.534 mil. PT shareholders received 1.312 BNY common shares for each PT share held. Based on BNY's closing stock price of $32 on Mar 24, the last full trading day prior to the announcement, each PT share was valued at $41.98. The transaction had been subject to federal and state banking regulatory approval.</t>
  </si>
  <si>
    <t>Terra Nitrogen Co LP</t>
  </si>
  <si>
    <t>Mnfr,whl fertilizers</t>
  </si>
  <si>
    <t>Terra Industries Inc</t>
  </si>
  <si>
    <t>Mnfr nitrogenous fertilizers</t>
  </si>
  <si>
    <t>Terra Industries, a unit of the Minorco subsidiary of Anglo American Corp of South Africa, withdrew its plan to acquire the remaining 40% stake that it did not already own in its Terra Nitrogen subsidiary for $30 per senior preference unit, or a total value of $229.091 mil.</t>
  </si>
  <si>
    <t>Blue Shield of California</t>
  </si>
  <si>
    <t>Pvd health care plan svcs</t>
  </si>
  <si>
    <t>Blue Shield of California (BC) terminated its rejected offer to acquire the Class A and Class B common stock of Wellpoint Health Network (WHN) , a unit of Blue Cross of California (BCC), for an amended $48 in cash and stock per share, or $4.776 bil. Earlier, BC had offered to acquire WHN for $45 per share. Kohlberg Kravis Roberts and FHP International were rumored to be other possible suitors. Also, WHN terminated its offer to acquire Health Systems International. Also, BCC had been rumored to have offered to acquire the 20% of WHN it did not already own.</t>
  </si>
  <si>
    <t>ACS Enterprises Inc</t>
  </si>
  <si>
    <t>Own and operate cable TV sys</t>
  </si>
  <si>
    <t>CAI Wireless Systems Inc</t>
  </si>
  <si>
    <t>Pvd wireless cable TV svcs</t>
  </si>
  <si>
    <t>CAI Wireless Systems (CAI) acquired ACS Enterprises (ACS) in a stock swap valued at $209.36 mil. The consideration consisted of $3. 50 in cash and 1.65 CAI common shares per ACS share held, adjusted due to a collar agreement. Based on CAI's closing stock price of $9.875 on Sep 28, the last full trading day prior to the announcement, each ACS share was valued at $19.79. Concurrently, an investor group including Bell Atlantic and Nynex, acquired a minority stake in CAI for $100 mil in cash.</t>
  </si>
  <si>
    <t>Ingersoll-Rand Co</t>
  </si>
  <si>
    <t>Mnfr industrial mach</t>
  </si>
  <si>
    <t>Ingersoll-Rand (IR) completed its hostile merger with Clark Equipment (CE) in a transaction valued at $1. 467 bil. Earlier, IR had completed its tender offer for the remaining 98.4% of CE for an amended $86 in cash per share, by accepting 97.5% of CE's common stock outstanding. Originally, IR had offered $77 in cash per share held. The offer had been conditioned upon at least a majority of CE's shares being tendered.</t>
  </si>
  <si>
    <t>Teledyne Inc</t>
  </si>
  <si>
    <t>Manufacture aviation products</t>
  </si>
  <si>
    <t>USD - In March 1995, Teledyne terminated its search for a buyer for the company.</t>
  </si>
  <si>
    <t>NHD Stores Inc</t>
  </si>
  <si>
    <t>Whl,ret hardware, paints</t>
  </si>
  <si>
    <t>ACO Hardware East Inc</t>
  </si>
  <si>
    <t>Own and operate hardware store</t>
  </si>
  <si>
    <t>ACO Hardware East, a unit of ACO, completed its tender offer for all the outstanding shares of NHD for $1.75 in cash per share, or a total value of $2.139 mil, by accepting 1,175,957 shares, or 86.1% of the common stock outstanding. The offer had been conditioned upon at least 90% of NHD's shares being tendered.</t>
  </si>
  <si>
    <t>Circa Pharmaceuticals Inc</t>
  </si>
  <si>
    <t>Watson Pharmaceuticals Inc</t>
  </si>
  <si>
    <t>Mnfr,whl generic pharm prod</t>
  </si>
  <si>
    <t>Watson Pharmaceuticals (WP) acquired Circa Pharmaceuticals (CP) in a stock swap valued at $621.082 mil. CP shareholders received .86 WP common shares per share held. Based on WP's closing stock price of $32.5 on Mar 29, the last full trading day prior to the announcement, each CP share was valued at $27.95. The transaction was accounted for as a pooling of interests and had been subject to regulatory approval. The deal was to have been terminated if WP's stock fell below an average of $25.</t>
  </si>
  <si>
    <t>North American Trust Inc</t>
  </si>
  <si>
    <t>Schnitzer Investment Corp</t>
  </si>
  <si>
    <t>Own,op nonresidential bldgs</t>
  </si>
  <si>
    <t>Schnitzer Investment agreed to acquire North American Trust for $11.312 per common share, or a total of $22.239 mil.</t>
  </si>
  <si>
    <t>Horizon/CMS Healthcare Corp</t>
  </si>
  <si>
    <t>Horizon Healthcare (HH) acquired Continental Medical Systems (CMS) in a stock swap transaction valued at $594. 462 mil. Each CMS shareholder received .5397 HH common share for every CMS share held, subject to a collar agreement. Based on HH's closing stock price of $27.75 on Mar 30, the last full trading day prior to announcement, each CMS share was valued at $14.98. The transaction was accounted for as a pooling of interests and had been subject to regulatory approval.</t>
  </si>
  <si>
    <t>E-Systems Inc</t>
  </si>
  <si>
    <t>Mnfr defense electronics</t>
  </si>
  <si>
    <t>Raytheon Co</t>
  </si>
  <si>
    <t>Mnfr radar,electn equip</t>
  </si>
  <si>
    <t>Raytheon (RT) merged with E- Systems (ES) in a transaction valued at $2.255 bil. Earlier, RT completed its tender offer to acquire all the outstanding common stock of ES for $64 in cash per share, by accepting 33,027,200 shares, or about 90.2% of ES' stock outstanding. The offer had been contingent upon at least 50% of ES' shares being tendered. The transaction had been subject to regulatory approval.</t>
  </si>
  <si>
    <t>Arch Communications Group Inc</t>
  </si>
  <si>
    <t>Pvd wireless messaging svcs</t>
  </si>
  <si>
    <t>Arch Communications Group (ACG) merged with USA Mobile Communications Holdings (MCH) in a transaction valued at $491.66 mil, including $200 mil in the assumption of debt and $4 mil in a non- competition agreement. ACG had completed its $15.40 per share tender offer for 34.45% of MCH by accepting 5.06 mil shares. Also, ACG acquired . 39 mil MCH shares from Nomura Securities International for $15.4 per share, raising ACG's interest in MCH to 37%. Also, ACG acquired the remaining 63% of MCH for .802 ACG shares per share held, or a total value of $203 mil.</t>
  </si>
  <si>
    <t>FMC Corp</t>
  </si>
  <si>
    <t>Mnfr chem,auto process equip</t>
  </si>
  <si>
    <t>FMC acquired all the outstanding common stock of Moorco International (MI) for $316.544 mil. Earlier, FMC completed its sweetened hostile tender offer to acquire Moorco International (MI) for an amended $28 in cash per share, by accepting 11,123,104 common shares, or 97.2% of the fully diluted shares outstanding. Earlier, FMC was rejected in its offer to acquire MI for $2O in cash per share, or a total value of $222 mil. The offer had been conditioned upon at least 50% of MI's shares being validly tendered.</t>
  </si>
  <si>
    <t>Club Med Inc</t>
  </si>
  <si>
    <t>Operate vacation resorts</t>
  </si>
  <si>
    <t>Club Mediterranee SA</t>
  </si>
  <si>
    <t>Own,operate hotels</t>
  </si>
  <si>
    <t>Club Mediterranee (CM) merged with Club Med in a transaction valued at $153.4 mil concurrent with the completion of its tender offer for the remaining 4.794 mil shares, or 33% stake, that it it did not already own in Club Med for an amended $32 in cash per share, by accepting 4,717,450 shares, or a 32.5% stake, raising CM's interest to 99. 5%. Originally, CM offered to acquire the remaining Club Med shares for $26.25 in cash per share, or a total value of $125.85 mil.</t>
  </si>
  <si>
    <t>A management led investor group terminated its definitive agreement to acquire all the outstanding common shares of Big O Tires for an amended $16.50 in cash per share, or a total value of $56.595 mil, in a leveraged buyout transaction. Originally, the group offered $16 in cash per share. Earlier, AKH withdrew its offer to acquire Big O Tires for $18 in cash per share, or a total value of $61.563 mil. Later, TBC acquired Big O Tires for $16.50 in cash per share.</t>
  </si>
  <si>
    <t>Columbia First Bk,Arlington</t>
  </si>
  <si>
    <t>First Union (FU) acquired Columbia First Bank, FSB, Arlington, Virginia, (CF) in a stock swap merger valued at $230.3 mil. CF shareholders received $60 in FU common stock for each share held. Currently, in order to partially finance the transaction, FU's board authorized the repurchase of up to $111 mil in common shares in open market transactions.</t>
  </si>
  <si>
    <t>Intermetrics Inc</t>
  </si>
  <si>
    <t>Dvlp defense software</t>
  </si>
  <si>
    <t>Apollo Holdings Inc</t>
  </si>
  <si>
    <t>Apollo Holding acquired Intermetrics (IM) for $6.80 in cash per share, or a total value of $27.898 mil in a leveraged-buyout transaction.</t>
  </si>
  <si>
    <t>LIN Bdcstg(McCaw Cellular)</t>
  </si>
  <si>
    <t>Pvd cellular commun services</t>
  </si>
  <si>
    <t>McCaw Cellular Commun(AT&amp;T)</t>
  </si>
  <si>
    <t>McCaw Cellular Communications (MC), a unit of AT&amp;T, exercised its option to acquire the remaining 48% stake, or 23.998 mil common shares, which it did not already own, in LIN Broadcasting (LIN) for an amended $129.90 in cash per share, or a total of $3.209 bil. Earlier, MC had offered $129.5 in cash amended from $127.50 per share held. The transaction was a 'private market value guarantee', conditioned on MC acquiring a majority interest in LIN. MC also had the option to put LIN up for sale. MC received the option in 1989, after which it was acquired by AT&amp;T in 1994.</t>
  </si>
  <si>
    <t>Westcott Communications terminated its negotiations to acquire all the outstanding shares of Sandy for $10 in cash per share, or a total value of $23.706 mil. Concurrently, an investor group, including SAC Capital Management, raised its stake to 6.38% from 1.03% in Sandy. Later, Automatic Data Processing acquired Sandy, in a stock swap transaction.</t>
  </si>
  <si>
    <t>Frontier Corp</t>
  </si>
  <si>
    <t>Frontier merged with ALC Communications (ALC) in a stock swap transaction valued at $1.661 bil, including $80 mil in the assumption of debt. ALC common shareholders received 2 common shares for each share held. Based on Frontier's closing stock price of $22.75 on Apr 7, the last full trading day prior to the announcement, each ALC share was valued at $45.5. The transaction had been subject to FCC regulatory approval and was accounted for as a pooling of interests. Upon completion, ALC's shareholders owned 49% of Frontier.</t>
  </si>
  <si>
    <t>An investor group, including Zurich Versicherungs (ZV), Insurance Partners, Chase Manhattan, and Keystone, acquired Kemper for an amended $49.80 in cash per share, or a total value of $1. 872 bil. Earlier, the group had offered $49.50 in cash per share, amended from an original offer of $47.50 in cash and $2 in preferred stock per share held. The transaction had been subject to regulatory approval. Upon completion, ZV held 80% of Kemper.</t>
  </si>
  <si>
    <t>North Fork Bancorp (NFB) withdrew its hostile offer to acquire the remaining 94.6% interest in Sunrise Bancorp (SB) for $26.30 in cash per share, or a total value of $85.61 mil. Later, NFB raised its stake to 8.5% in SB. Originally, NFB had planned to raise its stake to 9.9%.</t>
  </si>
  <si>
    <t>Tracinda, headed by Kirk Kerkorian, terminated its rejected unsolicited offer to acquire the remaining 92.527% interest in Chrysler which it did not already own for $55 per share in cash, or $21.618 bil on a fully diluted basis. The value had included 4 mil shares Kerkorian acquired in Dec 1994 for approximately $200 mil which raised his holding in Chrysler to 36 mil shares, or 10.14% of the primary shares outstanding.</t>
  </si>
  <si>
    <t>US - In April 1995, Government Technology Services (GTS) announced it was seeking a buyer for the company. Previously, Diana offered to acquired GTS.</t>
  </si>
  <si>
    <t>Landsing Pacific Fund</t>
  </si>
  <si>
    <t>RE investment fund;holding co</t>
  </si>
  <si>
    <t>JER Partners II</t>
  </si>
  <si>
    <t>JER Partners II, a unit of JE Roberts, withdrew its letter of intent to acquire Landsing Pacific Fund for $4 in cash per share, or a total value of $23.911 mil.</t>
  </si>
  <si>
    <t>Microcom Inc</t>
  </si>
  <si>
    <t>Mnfr data comm products</t>
  </si>
  <si>
    <t>Loral Conic(Loral Corp)</t>
  </si>
  <si>
    <t>Mnfr radio,tv commun equip</t>
  </si>
  <si>
    <t>Loral Conic, a unit of Loral, acquired all the outstanding common shares of Microcom for $7 mil in cash.</t>
  </si>
  <si>
    <t>Rehability Corp</t>
  </si>
  <si>
    <t>Living Centers of America (LCA) merged with Rehability (RB) in a transaction valued at $123.688 mil, including $36 mil in the assumption of debt. Earlier, LCA completed its tender offer for RB for an amended $11.5 in cash per share, by accepting 7 mil shares, or 95% interest in RB. The offer had been conditioned upon at least a majority of RB's shares being tendered. Originally, LCA agreed to acquire RB in exchange for .4588 LCA common shares for each RB share held. The transaction was subject to Federal Trade Commission regulatory approval.</t>
  </si>
  <si>
    <t>WSB Bancorp Inc</t>
  </si>
  <si>
    <t>Roosevelt Financial Group acquired all the outstanding common shares of WSB Bancorp for $22.75 per share, or a total value of $26.233 mil. The transaction had been subject to federal and state banking regulatory approval.</t>
  </si>
  <si>
    <t>Mascott Corp</t>
  </si>
  <si>
    <t>Restaurant holding company</t>
  </si>
  <si>
    <t>DINE LLC</t>
  </si>
  <si>
    <t>Pvd limited liability ins svcs</t>
  </si>
  <si>
    <t>DINE acquired the remaining 25% stake, or 434,134 common shares, that it did not already own in its Mascott subsidiary for $1.55 in cash per share, or a total value of $.673 mil, concurrent with the completion of its tender offer. DINE completed its tender offer for Mascott by accepting 297,974 shares, or a 17% of Mascott's shares, thus raising its interest in Mascott to 92%.</t>
  </si>
  <si>
    <t>Bally Gaming International Inc</t>
  </si>
  <si>
    <t>Manufacture gaming equipment</t>
  </si>
  <si>
    <t>WMS Industries Inc</t>
  </si>
  <si>
    <t>Mnfr,whl games,gaming machines</t>
  </si>
  <si>
    <t>WMS Industries withdrew its agreement to acquire Bally Gaming International (BG) in an amended stock swap merger valued at $153.037 mil. BG shareholders were to have received .625 WMS common share for each BG share. Based on WMS' closing stock price of $22.125 on Sep 22, the last trading day prior to the amendment of terms, each BG share was valued at $13.83. Earlier, WMS offered .55 shares for each BG share amended from .6 WMS share per BG share. Later, Alliance Gaming merged with BG in a two-tier offer.</t>
  </si>
  <si>
    <t>Battle Mountain Gold (BMG) was rejected in its offer to acquire Crown Resources (CR) in a stock swap merger valued at $69.068 mil. CR shareholders were to receive . 4375 BMG common shares for each CR share held. Based on BMG's closing stock price of $12 on Apr 17, the last full trading day prior to the announcement, each CR share was valued at $5.25.</t>
  </si>
  <si>
    <t>Lincare Holdings Inc</t>
  </si>
  <si>
    <t>Pvd oxygen treatment svcs</t>
  </si>
  <si>
    <t>Coram Healthcare Corp</t>
  </si>
  <si>
    <t>Coram Healthcare (CH) terminated its agreement to acquire Lincare Holdings (LH) in a stock swap transaction valued at $1.082 bil. LH shareholders would have received 1.54 CH common shares for each LH share held. Based on CH's closing stock price of $25 on April 17, the last full trading day prior to the announcement, each LH share was valued at $38.50. The transaction was to have been accounted for as a pooling of interests and subject to regulatory approval.</t>
  </si>
  <si>
    <t>Railroad Financial Corp</t>
  </si>
  <si>
    <t>Commercial Federal (CF), Omaha, Nebraska, acquired Railroad Financial (RF) in a stock swap transaction valued at $50.065 mil. Each RF shareholder received .6389 common shares per share held, subject to a collar. Based on CF's closing stock price of $35.5 on Sep 26, the last full day prior to the adjustment of terms, each RF share had been valued at $22. 68. The transaction had been subject to federal and state regulatory approval and was accounted for as a pooling of interests.</t>
  </si>
  <si>
    <t>Bruno's Inc</t>
  </si>
  <si>
    <t>Kohlberg Kravis Roberts (KKR) acquired Bruno's (BR) for an amended $1.161 bil, including the assumption of $220 mil in liabilities. KKR had offered a choice of either $12 in cash or $12 in new BR shares per BR share held. Of the choice offered, about 94% was converted into cash and the remaining 6% was converted into shares. Under a lockup agreement, KKR had been granted the option to receive 19.9% of BR's stock for $12 per share. Orginally, KKR offered a choice of either $12.50 in cash or $12.50 in new BR common shares per BR share held.</t>
  </si>
  <si>
    <t>Transcisco Industries Inc</t>
  </si>
  <si>
    <t>Mnfr,service railroad equip</t>
  </si>
  <si>
    <t>Johnston America Industries</t>
  </si>
  <si>
    <t>Mnfr railroad equip</t>
  </si>
  <si>
    <t>Johnston America Industries withdrew its offer to acquire Transcisco Industries for $1. 75 per share of capital stock.</t>
  </si>
  <si>
    <t>Johnstown America Industries</t>
  </si>
  <si>
    <t>Mnfg truck parts and freights</t>
  </si>
  <si>
    <t>Johnstown America Industries (JA) withdrew its hostile offer to acquire Transcisco Industries (TI) for an amended $1.75 in cash per share, or a total value of $9. 074 mil. Earlier, JA was rejected in its offer to acquire TI for $1.50 in cash per share, or a total value of $7.73 mil.</t>
  </si>
  <si>
    <t>Altai Inc</t>
  </si>
  <si>
    <t>Computer support svcs,software</t>
  </si>
  <si>
    <t>Platinum Technology (PT) acquired Altai for $8.5 in PT common stock per Altai share held in a stock swap transaction valued at $21.372 mil. The transaction had been subject to regulatory approval and was accounted for as a pooling of interests.</t>
  </si>
  <si>
    <t>KFx Inc</t>
  </si>
  <si>
    <t>Thermo Ecotek(Thermo Electron)</t>
  </si>
  <si>
    <t>Pvd nonutility electric power</t>
  </si>
  <si>
    <t>Thermo Ecotek (TE), a unit of Thermo Electron, was granted an option to purchase up to a 51% interest in KFx. In August 1995, TE agreed to acquire a 7% interest in KFx.</t>
  </si>
  <si>
    <t>Circon Corp</t>
  </si>
  <si>
    <t>Mnfr,whl surgical,med instr</t>
  </si>
  <si>
    <t>Circon acquired Cabot Medical (CM) in a stock swap valued at $103.084 mil. CM shareholders received .415 Circon common shares for each CM share held. Based on Circon's closing stock price of $21.875 on April 24, the last full trading day prior to the announcement, each CM share was valued at $9.078. The tax-free transaction was accounted for as a pooling of interests and had been subject to regulatory approval.</t>
  </si>
  <si>
    <t>A management-led investor group terminated negotiations to acquire Coda Energy for an undisclosed amount of cash, in a leveraged buyout.</t>
  </si>
  <si>
    <t>International Nursing Services</t>
  </si>
  <si>
    <t>Pvd temporary help svcs</t>
  </si>
  <si>
    <t>Continental Choice Care Inc</t>
  </si>
  <si>
    <t>Pvd dialysis services</t>
  </si>
  <si>
    <t>Continental Choice Care terminated its agreement to acquire International Nursing Services.</t>
  </si>
  <si>
    <t>Seaboard Bancorp Inc</t>
  </si>
  <si>
    <t>Bank of Hampton Roads</t>
  </si>
  <si>
    <t>Bank of Hampton Roads (BHR) terminated its agreement to merge with Seaboard Bancorp (SB) in a stock swap merger valued at $7.345 mil. Under terms of the offer, SB shareholders had been granted a choice to receive $1.55 in cash or .0969 common shares, with no more than 38% of the total value in cash, and no more than 62% in common shares. The transaction had been subject to regulatory approval.</t>
  </si>
  <si>
    <t>UStel Inc</t>
  </si>
  <si>
    <t>Teletek Inc</t>
  </si>
  <si>
    <t>Mnfr, whl communications sys</t>
  </si>
  <si>
    <t>Teletek terminated its agreement to acquire a 70% interest in UStel for $10.5 mil.</t>
  </si>
  <si>
    <t>ICI PLC</t>
  </si>
  <si>
    <t>Mnfr,whl paints,coatings</t>
  </si>
  <si>
    <t>Imperial Chemical Industries (IC) acquired Grow Group (GG) in a two-tier merger transaction valued at an amended $353.465 mil. In the first step, IC completed its tender offer for 75% of GG's shares for $22 in cash, or a total of $268.455 mil, by accepting 11.8 mil shares, or 72.5% of the common stock outstanding. In the second step, IC acquired Corimon's 25% stake in GG for $21.4 in cash per share, or a total value of $86.15 mil. Originally, IC offered GG $18. 1 per share and offered Corimon $17.5 per GG share held.</t>
  </si>
  <si>
    <t>Loyola Capital Corp</t>
  </si>
  <si>
    <t>Crestar Financial (CF) acquired Loyola Capital (LC) in a stock swap merger valued at $279.89 mil. LC shareholders received .69 CF common shares for each share held. Based on CF's closing stock price of $45.5 on April 27, the last full trading day prior to announcement, each LC share was valued at $31.40. The transaction had been subject to federal and state banking regulatory approval, and was accounted for as a pooling of interests. In April 1995, LC had announced it was seeking a buyer for the company.</t>
  </si>
  <si>
    <t>NuVision Inc</t>
  </si>
  <si>
    <t>Eye care products stores</t>
  </si>
  <si>
    <t>American Vision Centers (AVC) , a unit of Balfour Maclaine's Kay subsidiary, completed its merger with NuVision in a transaction valued at $21.73 mil. Earlier, AVC had completed its tender offer for all the outstanding common shares of NuVision for $7.60 in cash per share, by accepting 92% of NuVision's shares, on a fully-diluted basis. The offer had been conditioned upon a minimum of 90% of NuVision's shares being tendered.</t>
  </si>
  <si>
    <t>AgriDyne Technologies Inc</t>
  </si>
  <si>
    <t>Manufacture insecticides</t>
  </si>
  <si>
    <t>biosys</t>
  </si>
  <si>
    <t>biosys (BI) acquired AgriDyne Technologies (ADT) in a stock swap merger valued at $9.38 mil. ADT shareholders were to receive . 7166 BI common shares for each ADT share held. Based on BI's closing stock price of $2 on Apr 28, the last full trading day prior to the announcement, each ADT share was valued at $1.4332. The transaction had been subject to regulatory approval and was accounted for as a pooling of interests. Upon completion, ADT common shareholders received .28664 biosys common shares for each share held to correct for a 2. 5 to 1 Mar 18 BI reverse stock split.</t>
  </si>
  <si>
    <t>Northern States Power Co</t>
  </si>
  <si>
    <t>Wisconsin Energy (WE) withdrew its agreement to acquire Northern States Power (NSP) in a merger-of-equals stock swap transaction valued at $3.037 bil. NSP and WE shareholders were to have received 1.626 common shares and 1 common share of the new company, to be called Primergy, per NSP and WE share, respectively. Based on WE's closing stock price of $27.75 on Apr 28, the last full trading day prior to the announcement, each NSP share was valued at $45.12. Upon completion NSP and WE were to have owned 50% of the new entity. The transaction was to have been subject to regulatory approval.</t>
  </si>
  <si>
    <t>Aldrich Eastman &amp; Waltch</t>
  </si>
  <si>
    <t>Aldrich, Eastman &amp; Waltch withdrew its letter of intent to acquire a 70.8% interest in UDC Homes for $80 mil in cash. Later, DMN Porperty Ventures acquired UDC Homes.</t>
  </si>
  <si>
    <t>Peoples Bancshares Inc</t>
  </si>
  <si>
    <t>First Commerce, New Orleans, Louisiana, (FC) acquired Peoples Bancshares in a stock swap merger for $30.6 mil in FC common shares. The transaction had been subject to federal and state banking regulatory approval.</t>
  </si>
  <si>
    <t>Heart Labs of America Inc</t>
  </si>
  <si>
    <t>Pvd med,health svcs</t>
  </si>
  <si>
    <t>An investor group, led Edwin F Russo, acquired a 55% interest in Heart Labs of America (HLA), from principal HLA shareholder, Marilyn Zinns. Terms were not disclosed.</t>
  </si>
  <si>
    <t>Dickstein Partners Inc</t>
  </si>
  <si>
    <t>Dickstein Partners (DP) withdrew its hostile offer to acquire the remaining 9,018, 151 outstanding common shares, or 87.55% interest, that it did not already own in Hills Stores for an amended $27 per share, or a total value of $251.856 mil. DP had offered $22 in cash and $5 in debt securities per Hills share held. Earlier, DP had offered $25 in cash per share, or a total value of $243.3 mil. DP had also acquired a 2.3% stake, or .25 mil shares, in Hills Stores for $6 mil.</t>
  </si>
  <si>
    <t>In Home Health Inc</t>
  </si>
  <si>
    <t>Pvd medical/health svcs</t>
  </si>
  <si>
    <t>Health Care and Retirement</t>
  </si>
  <si>
    <t>HCR Manor Care (MC) raised its stake to 71.3% from 37.8% in In Home Health (IHH) by acquiring newly issued convvertible preferred shares for $20 mil in cash and a 3- year warrant for 6 mil common shares, at an exercise price of $3.75 per share, in a privately negotiated transaction. Concurrently, MC acquired a 37.8% stake in IHH. Also, MC completed its self tender to acquire 6.4 mil common shares, by accepting 6. 75 mil shares.</t>
  </si>
  <si>
    <t>Advanced NMR Systems</t>
  </si>
  <si>
    <t>Mnfr magnetic resonance sys</t>
  </si>
  <si>
    <t>Advanced NMR Systems (NMR), acting as a white knight, acquired Medical Diagnostics (MD) for $8 per share, or a total value of $28.52 mil. Shareholders had the choice to receive either $8 in cash and 1 warrant, or $8 in a combination of cash and com and 1 warrant, or $8 in stock and 1 warrant. Due to a collar agreement, the common share exchange ratio would be 2.861 NMR shares per MD share. The acquisiton was the result of Raytel Medical's terminated hostile tender offer for MD for $5.75 in cash per share.</t>
  </si>
  <si>
    <t>Plains Petroleum Co</t>
  </si>
  <si>
    <t>Barrett Resources Corp</t>
  </si>
  <si>
    <t>Barrett Resources (BR) acquired Plains Petroleum (PP) in a stock swap merger valued at $299.575 mil. PP shareholders received 1.3 BR common shares for each share held. Based on BR's closing stock price of $23.25 on May 2, the last full trading day prior to announcement, each PP share was valued at $30. 225. The transaction was accounted for as a pooling of interests, and had been subject to regulatory approval. In March 1995, PP announced it had retained Goldman Sachs and Batchelder &amp; Partners to help in its search for a buyer.</t>
  </si>
  <si>
    <t>Bestop Inc</t>
  </si>
  <si>
    <t>Manufacture automobile parts</t>
  </si>
  <si>
    <t>Douglas &amp; Lomason Co</t>
  </si>
  <si>
    <t>Wholesale motor vehicles</t>
  </si>
  <si>
    <t>Douglas &amp; Lomason (DL) completed its merger with Bestop in a transaction valued at $44.126 mil. Earlier, DL had completed its tender offer for all the common shares of Bestop for $12.75 in cash per share, by accepting 3,430,306 shares, or 95.3% of the common stock outstanding. The offer had been contingent upon a majority of Bestop's shares being tendered.</t>
  </si>
  <si>
    <t>Sherwin-Williams Co</t>
  </si>
  <si>
    <t>Mnfr,whl paint,related prod</t>
  </si>
  <si>
    <t>Sherwin-Williams withdrew its hostile tender offer to acquire Grow Group (GG) for $19.50 per share, or a total value of $317.265 mil. The offer had been conditioned upon the removal of GG's poison pill rights plan and an $8 mil lockup fee granted Imperial Chemical Industries (IC) by GG. Later, IC completed its tender offer to acquire GG in a two-tier merger transaction valued at an amended $355.5 mil. The transaction had been subject ot Federal Trade Commission approval under the Hart-Scott- Rodino Act.</t>
  </si>
  <si>
    <t>HW Kaufman Financial Group</t>
  </si>
  <si>
    <t>AJK Enterprises</t>
  </si>
  <si>
    <t>AJK Enterprises acquired HW Kaufman Financial Group (HW) for an amended $8.50 in cash per share, or a total value of $26.55 mil. Originally, AJK offered $8.20 in cash per share.</t>
  </si>
  <si>
    <t>American Medical Electronics</t>
  </si>
  <si>
    <t>Orthofix International NV</t>
  </si>
  <si>
    <t>Mnfr,whl med equipment</t>
  </si>
  <si>
    <t>Neth Antilles</t>
  </si>
  <si>
    <t>Orthofix International (OI) acquired American Medical Electronics (AME) for $99.113 mil, including $18 mil in profit-related payments. AME shareholders had been granted a choice to receive either $10 in cash or .579973 OI common shares, valued at $10. 30, per share held. Based on OI's closing stock price of $17.75, on May 5, the last full trading day prior to announcement, each AM share was valued at $10.3. The transaction was valued based on the stock consideration, the higher of the 2 offered. Of the consideration. no more than 57% was in the form of cash.</t>
  </si>
  <si>
    <t>Data Switch Corp</t>
  </si>
  <si>
    <t>Data processing equip, systems</t>
  </si>
  <si>
    <t>General Signal (GS) acquired Data Switch (DS) in a stock swap merger valued at $72.836 mil, including $13 mil in the assumption of liabilities. DS common shareholders received . 12551 GS common share per share held, subject to a collar agreement. Based on GS's closing stock price of $37.50 on May 5, the last full trading day prior to the announcement, each DS share was valued at $4.71. The transaction was accounted for as a pooling of interests and had been subject to regulatory approval.</t>
  </si>
  <si>
    <t>Flair Corp</t>
  </si>
  <si>
    <t>Mnfr,whl industrial equipment</t>
  </si>
  <si>
    <t>United Dominion Industries Inc</t>
  </si>
  <si>
    <t>Construct industrial bldgs</t>
  </si>
  <si>
    <t>United Dominion Industries (UDI), a unit of United Dominion Industries Ltd, merged with Flair in a transaction valued at $199.67 mil, including $75 mil in the assumption of debt. Concurrently, UDI completed its $21 per share cash tender offer for Flair, by accepting 5.98 mil shares, or 99% of the fully diluted shares outstanding. The offer had been conditioned upon the tender of at least 70% of Flair's common shares outstanding. Harbour Group, a 32% shareholder of Flair, had agreed to tender its stake.</t>
  </si>
  <si>
    <t>Total Containment(Group Treco)</t>
  </si>
  <si>
    <t>Mnfr fuel delivery systems</t>
  </si>
  <si>
    <t>Danaher terminated its agreement to acquire 2.6 mil common shares, or a 56% interest, in Total Containment, a unit of Group Treco, for $10.50 in cash, per share, or a total value of $27.3 mil. The transaction had been subject to regulatory approval.</t>
  </si>
  <si>
    <t>Wahlco Environmntl Sys(Pac Di)</t>
  </si>
  <si>
    <t>Mnfr flue gas conditioning sys</t>
  </si>
  <si>
    <t>Wexford Capital Investments</t>
  </si>
  <si>
    <t>Wexford Capital Investments acquired an 81% interest in Wahlco Environmental Systems from Pacific Diversified Capital, a unit of San Diego Gas &amp; Electric, for approximately $5 mil in the assumption of Wahlco debt.</t>
  </si>
  <si>
    <t>US Bancorp (USB), Portland, Oregon, acquired West One Bancorp (WOB) in a stock swap merger valued at $1.476 bil. WOB shareholders received 1. 47 USB common shares for each share held. Based on USB's closing stock price of $26.75 on May 5, the last full trading day prior to the announcement, each WOB share was valued at $39.32. The transaction was accounted for as a pooling of interests and had been subject to a lockup agreement and federal and state banking regulatory approval.</t>
  </si>
  <si>
    <t>Eastex Energy Inc</t>
  </si>
  <si>
    <t>Gas transmission,distribution</t>
  </si>
  <si>
    <t>El Paso Natural Gas (EPN) merged with Eastex Energy (EE) in a stock swap transaction valued at $29.555 mil. EE shareholders were given a choice of receiving either . 1601 EPN shares, valued at $4. 42 per share, or $4.50 in cash, for every EE share held, subject to a maximum of 49% of the consideration being paid in cash. EE's chairman, Robert G. Phillips, who held 2.4 mil of EE's stock, had agreed to the terms of of the offer. The value of the EPN shares offered was based on EPN's closing stock price of $27.625 on May 8.</t>
  </si>
  <si>
    <t>Gametek Inc</t>
  </si>
  <si>
    <t>Investor Bill Britt raised his interest in GameTek to 73% from 36.5% by acquiring 2. 727 mil common shares in a privately negotiated transaction. Terms were not disclosed.</t>
  </si>
  <si>
    <t>Riverwood International Corp</t>
  </si>
  <si>
    <t>Mnfr paper,paperboard,plywood</t>
  </si>
  <si>
    <t>Riverwood Holding Inc</t>
  </si>
  <si>
    <t>Mnfr paper prods;holding co</t>
  </si>
  <si>
    <t>US - Riverwood Holding Inc, an investor group comprised of management, Clayton Dubilier &amp; Rice, 1818 Fund, and Exor Group, acquired all the outstanding shares of Riverwood International (RI), an 81.5%-held unit of Manville (MV), for $20.25 in cash per share, or a total value of $2.436 bil, including the assumption of $1.1 bil in liabilities, in a leveraged buyout transaction. In April 1995, MV announced that it was seeking a buyer for its 81.5% interest in RI. In May 1995, Georgia-Pacific had been rumored to be in negotiations to acquire RI.</t>
  </si>
  <si>
    <t>Wexford Capital LP</t>
  </si>
  <si>
    <t>Pvd invest advisory svcs</t>
  </si>
  <si>
    <t>Wexford Capital acquired a 81% interest in Wahlco Environmental, a unit of the Pacific Diversified Capital subsidiary of San Diego Gas &amp; Electric.</t>
  </si>
  <si>
    <t>Best Power Technology Inc</t>
  </si>
  <si>
    <t>Mnfr power protection equip</t>
  </si>
  <si>
    <t>General Signal (GS) acquired all the outstanding common stock of Best Power Technology (BPT) for $21 in cash per share, or a total value of $201.091 mil. Earlier, GS completed its tender offer for BPT by accepting 96.3% of BPT's shares outstanding. The offer had been conditioned upon a majority of BPT's shares being tendered. The transaction had been subject to regulatory approval.</t>
  </si>
  <si>
    <t>Morrison-Knudsen Corp</t>
  </si>
  <si>
    <t>Pvd construction services</t>
  </si>
  <si>
    <t>An investor group, including Jack Lemley and JR Simplot, made an unsolicited offer to acquire Morrison-Knudsen. Terms were not disclosed.</t>
  </si>
  <si>
    <t>Employee Benefits Plans Inc</t>
  </si>
  <si>
    <t>Provide pension fund services</t>
  </si>
  <si>
    <t>First Financial Management (FF) acquired Employee Benefits Plans (EB) in a stock swap transaction valued at $124.966 mil. EB shareholders received .1975 FF common shares for each share held. Based on FF's closing stock price of $74.25 on May 12, the last full trading day prior to the announcement of terms, each EB share was valued at $14.66.</t>
  </si>
  <si>
    <t>In May 1995, it was rumored that Novell was in negotiations to acquire Borland International. The Current status of this deal is unknown.</t>
  </si>
  <si>
    <t>Turner Corp</t>
  </si>
  <si>
    <t>Construct industrial building</t>
  </si>
  <si>
    <t>Warco Acquisition Corp</t>
  </si>
  <si>
    <t>Warco Acquisition planned to launch a tender offer to purchase all the outstanding common stock of Turner. Terms were not disclosed.</t>
  </si>
  <si>
    <t>Foothill Group Inc</t>
  </si>
  <si>
    <t>Norwest acquired Foothill Group (FG) in a stock swap merger valued at $465.508 mil. FG common shareholders received .92 Norwest common shares per FG share held. Based on Norwest's closing stock price of $28.25, on May 12, the last full trading day prior to the announcement, each FG common share had been valued at $25.99.</t>
  </si>
  <si>
    <t>Hungarian Telephone &amp; Cable</t>
  </si>
  <si>
    <t>Citizens Utilities (CU) was granted an option to raise its interest in Hungarian Telephone &amp; Cable (HTC) to 51% of the fully diluted share capital from about 8% by purchasing newly issued common shares. Concurrently, CU agreed to acquire an 8% stake in HTC by purchasing .3 mil common shares.</t>
  </si>
  <si>
    <t>DMB Property Ventures LP</t>
  </si>
  <si>
    <t>Real estate invest,dvlp firm</t>
  </si>
  <si>
    <t>DMB Property Ventures acquired bankrupt UDC Homes for $9.47 in cash per share, or a total value of $109.202 mil. Previously, Aldrich, Eastman &amp; Waltch withdrew its offer to acquire UDC Homes for $80 mil.</t>
  </si>
  <si>
    <t>Bay Ridge Bancorp Inc</t>
  </si>
  <si>
    <t>Intercedent Ventures Ltd</t>
  </si>
  <si>
    <t>Independence Community Bank (IC) acquired Bay Ridge Bancorp (BR) for $22.06 in cash per share, or a total value of $133.159 mil. Under a lockup agreement, IC was granted the option to acquire .661 mil BR common shares. The transaction had been subject to federal and state banking approval. In March 1995, BR announced it was seeking a buyer for the company.</t>
  </si>
  <si>
    <t>Danaher terminated its plan to acquire the remaining 44% stake it did not already own in Total Containment (TC), a unit of Group Treco, by purchasing 2.042 mil common shares from the public for $10.50 in cash per share, or a total value of $21.645 mil. Concurrently, Danaher terminated its agreement to acquire 2.6 mil common shares, or a 56% interest, in TC from Group Treco for $10.50 in cash per share, or a total value of $27.3 mil.</t>
  </si>
  <si>
    <t>CRSS Inc</t>
  </si>
  <si>
    <t>American Tractebel Corp</t>
  </si>
  <si>
    <t>American Tractebel (AT), a unit of TRACTEBEL, acquired all the outstanding common stock of CRSS for $14.50 in cash per share, or a total value of $191.648 mil. Earlier, AT had completed its tender offer for CRSS for by accepting 12.4 mil shares, or 89.2% of the common stock outstanding. The offer had been conditioned upon at least a majority of CRSS' shares being tendered.</t>
  </si>
  <si>
    <t>First American Corp,Tennessee</t>
  </si>
  <si>
    <t>First American (FA), Nashville, Tennessee, acquired Charter Federal Savings Bank (CFS), Bristol, Virginia in a stock swap merger valued at $80.001 mil. CFS shareholders received . 3398 FA common shares for every share held, adjusted due to a collar agreement. Based on FA's closing stock price of $45.625 on Nov 30, the last full trading day prior to the announcement of adjusted terms, each FA share was valued at $15.5. The tax- free transaction had been subject to federal and state banking regulatory approval.</t>
  </si>
  <si>
    <t>BIC Corp(BIC SA)</t>
  </si>
  <si>
    <t>Mnfr writing instruments</t>
  </si>
  <si>
    <t>BIC SA</t>
  </si>
  <si>
    <t>Mnfr,whl stationery products</t>
  </si>
  <si>
    <t>US - BIC SA (BICS) raised its interest to 86.915% from 64.631% in BIC Corp (BIC), a pen manufacturer, for an amended $40.50 in cash per share, or a total value of $212.625 mil. BIC had originally offered $36.50 in cash per share, or a total value of $191.625 mil. The transaction had been subject to regulatory approval. Upon completion, the family of BICS chairman Bruno Bich, retained the remaining 13. 085% stake in BIC.</t>
  </si>
  <si>
    <t>Recognition International Inc</t>
  </si>
  <si>
    <t>Mnfr data capture systems</t>
  </si>
  <si>
    <t>BancTec (BT) acquired Recognition International (RI) in a tax-free stock swap transaction valued at $163. 271 mil. RI common shareholders received .59 BT common shares for each of their shares held. Based on BT's closing stock price of $17.625 on May 18, the last full trading day prior to the announcement, each RI share was valued at $10.40. The transaction was accounted for as a pooling of interests and subject to regulatory approval.</t>
  </si>
  <si>
    <t>Laurel Bancorp,Laurel,Maryland</t>
  </si>
  <si>
    <t>FCNB Corp,Frederick,MD</t>
  </si>
  <si>
    <t>FCNB acquired Laurel Bancorp (LB) in a stock swap transaction valued at $25.082 mil. LB shareholders received .7656 FCNB common share for each LB share held, subject to a collar agreement. Based on FCNB's closing stock price of $19.25 on Jan 26, the last full trading day prior to disclosure of exact terms, each LB share was valued at $14.74. The transaction had been subject to state and federal banking regulatory approval.</t>
  </si>
  <si>
    <t>JER Partnetrs, a unit of JE Roberts, acquired MIP Properties (MIP) for $69.873 mil. Consideration consisted of $2.48 in cash per share, or a total value of $22.816 mil, and the assumption of $47 mil in liabilities. Also, Palm Finances, a unit of A- Mark Financial, terminated its hostile offer to acquire the remaining 85.2% interest in MIP; K/B Realty Advisors, a unit of Koll Management Services, withdrew its letter of intent to acquire MIP; and Canton Financial Services, a unit of Canton Industrial, terminated its unsolicited hostile offer to acquire MIP.</t>
  </si>
  <si>
    <t>Nationwide Cellular Services</t>
  </si>
  <si>
    <t>MCI Communications acquired Nationwide Cellular Service (NCS) for $18.50 in cash per share, or a total value of $174.33 mil. Concurrently, NCS completed the spin off of its 37% stake in Cellular Technical Services to its shareholders.</t>
  </si>
  <si>
    <t>Puritan-Bennett</t>
  </si>
  <si>
    <t>Mnfr respiratory care equip</t>
  </si>
  <si>
    <t>Nellcor Inc</t>
  </si>
  <si>
    <t>Mnfr electn patient monitors</t>
  </si>
  <si>
    <t>Nellcor merged with Puritan- Bennett (PB) in a tax-free stock swap valued at $469.584 mil. PB shareholders received .88 Nellcor common shares for every PB share held. Based on Nellcor's closing stock price of $41.25 per share on May 19, the last full trading day prior to the announcement, each PB share was valued at $36.30. The transaction was accounted for as a pooling of interests and had been subject to regulatory approval. The newly formed company was named Nellcor/ Puritan-Bennett.</t>
  </si>
  <si>
    <t>Banyan Strategic Realty Tr SBI</t>
  </si>
  <si>
    <t>Canton Financial Services Corp</t>
  </si>
  <si>
    <t>Canton Financial Services (CFS), a unit of Canton Industrial, terminated its unsolicited hostile offer to acquire all the outstanding common stock of Banyan Strategic Realty Trust for an undisclosed amount of preferred stock. Earlier, CFS terminated its offer to acquire American Industrial Properties, MIP Properties, TIS Mortgage Investment, California Real Estate Investment Trust, Mission West Properties, and HMG Courtland Properties.</t>
  </si>
  <si>
    <t>Repligen Corp</t>
  </si>
  <si>
    <t>Biopharmaceutical company</t>
  </si>
  <si>
    <t>Medco Research Inc</t>
  </si>
  <si>
    <t>Medco Research terminated its signed letter of intent to acquire Repligen in a stock swap transaction for $51.5 mil in common shares. The transaction was subject to regulatory approval.</t>
  </si>
  <si>
    <t>A management-led investor group, comprised of President James L Lawrence and Controller Jeffrey A Boehmer, withdrew its offer to acquire all the outstanding shares of Total Containment (TC) for $11.375 per share in cash, or a total value $53.182 mil, in a leveraged buyout transaction. Earlier, Danaher terminated its agreement to acquire 2.6 mil common shares, or a 56% interest in TC. Also, Danaher terminated its plans acquire the remaining 44% stake it did not already own in TC.</t>
  </si>
  <si>
    <t>Insituform Mid-America Inc</t>
  </si>
  <si>
    <t>Pvd sewer rehabilitation svcs</t>
  </si>
  <si>
    <t>US - Insituform Technologies (IT) acquired the entire share capital of Insituform Mid-America (IM) in a stock swap merger valued at $150. 107 mil. IM shareholders received 1.15 IT Class A common shares for each IM Class A and Class B share held. Based on IT's closing stock price of $12 on May 23, the last full trading day prior to the announcement, each IM Class A share was valued at $13.80. The transaction had been accounted for as a pooling of interests.</t>
  </si>
  <si>
    <t>MedChem Products Inc</t>
  </si>
  <si>
    <t>Mnfr biocompatible products</t>
  </si>
  <si>
    <t>CR Bard Inc</t>
  </si>
  <si>
    <t>CR Bard (CRB) acquired MedChem Products (MP) in a stock swap transaction valued at $100.83 mil. Each MP shareholder received $9.25 in CRB common shares per MP share held. The transaction was accounted for as a pooling of interests. Also, CRB had been granted the option to acquire Gesco, a subsidiary of MP, if the acquisition of MP by CRB did not occur.</t>
  </si>
  <si>
    <t>NAI Technologies Inc</t>
  </si>
  <si>
    <t>Mnfr,whl rugged computer sys</t>
  </si>
  <si>
    <t>Diagnostic Retrieval Systems</t>
  </si>
  <si>
    <t>Mnfr electronic equipment</t>
  </si>
  <si>
    <t>Diagnostic/Retrieval Systems (DRS) terminated its signed letter of intent to acquire NAI Technologies (NT) in a stock swap merger valued at $22.94 mil. NT shareholders were to receive .6 DRS Class B common shares for every NT share held. Based on DRS' closing stock price of $5.625 on May 23, the last full trading day prior to the announcement, each NT share was valued at $3.37.</t>
  </si>
  <si>
    <t>Banyan Strategic Land Fund II</t>
  </si>
  <si>
    <t>Management investment,open end</t>
  </si>
  <si>
    <t>Canton Financial Services (CFS), a unit of Canton Industrial, terminated its amended, unsolicited, hostile offer to acquire an 80% interest in Banyan Strategic Land Fund II (BSL) for an undisclosed amount of cash. Originally, CFS made an unsolicted hostile offer to acquire BSL for an undisclosed amount of non- voting preferred stock. Earlier, CFS terminated its offer to acquire American Industrial Properties, MIP Properties, TIS Mortgage Investment, California Real Estate Investment Trust, Mission West Properties, and HMG Courtland Properties.</t>
  </si>
  <si>
    <t>Banyan Short Term Income Trust</t>
  </si>
  <si>
    <t>Pvd trust svcs</t>
  </si>
  <si>
    <t>Canton Financial Services, (CFS), a unit of Canton Industrial, terminated its unsolicited hostile offer to acquire an 80% interest in Banyan Short Term Income Trust (BST) for an amended undisclosed amount of cash. Earlier, CFS terminated its offer to acquire American Industrial Properties, MIP Properties, TIS Mortgage Investment, California Real Estate Invest Trust, Mission West Properties and HMG Courtland Properties.</t>
  </si>
  <si>
    <t>Computer Associates International (CA) merged with Legent (LG) in a transaction valued at $1.799 bil. Earlier, CA had completed its $47.95 in cash per share tender offer for all the outstanding shares of LG, by accepting 32,294,351 shares, or 89.82% of LG's shares on a fully-diluted basis. The offer had been subject to at least a majority of LG's shares being tendered. The transaction had been subject to regulatory approval.</t>
  </si>
  <si>
    <t>Canton Financial Services (CFS), a unit of Canton Industrial, terminated its unsolicited hostile offer to acquire all the outstanding common stock of Liberte Investors for an undisclosed amount of preferred stock. Earlier, CFS terminated its offer to acquire American Industrial Properties, MIP Properties, TIS Mortgage Investment, California Real Estate Investment Trust, Mission West Properties, and HMG Courtland Properties.</t>
  </si>
  <si>
    <t>Laurentian Capital Corp</t>
  </si>
  <si>
    <t>Pvd life,health insurance svcs</t>
  </si>
  <si>
    <t>American Annuity Group Inc</t>
  </si>
  <si>
    <t>American Annuity Group (AAG), a unit of American Financial, acquired Laurentian Capital (LC), a unit of Desjardins Laurentian Financial's (DLF) Imperial Life Assurance Co of Canada subsidiary, in a two- tier merger valued at $110.03 mil. In the first step, DLF divested its 80% holding in LC for $13.875 in cash per share, or a total of $84.22 mil. In the second step, AAG acquired the remaining 20% for $14.125 in cash per share, or a total value of $21.43 mil. The transaction had been subject to regulatory approval.</t>
  </si>
  <si>
    <t>Mission West Properties Inc</t>
  </si>
  <si>
    <t>Reit</t>
  </si>
  <si>
    <t>Canton Financial Services (CFS), a unit of Canton Industrial, terminated its amended, unsolicited, hostile offer to acquire an 80% interest in Mission West Properties (MW) for an undisclosed amount of cash. Originally, CFS made an unsolicited hostile offer to acquire MW in a stock swap transaction. Earlier, CFS terminated its offer to acquire American Industrial California Real Estate Investment Trust, MIP Properties, and HMG Courtland Properties.</t>
  </si>
  <si>
    <t>PolyVision Corp</t>
  </si>
  <si>
    <t>Alpine Group (AG) completed the spinoff of its 73.2% interest, or 6.078 mil common shares, in PolyVision to its shareholders in a transaction valued at $26.59 mil. The shares were valued based on PolyVision's closing stock price of $4.375 on June 14, the first full trading day on which the shares were distributed. Earlier, Information Display Technology (IDT), a unit of Adience, merged with Alpine PolyVision and Posterloid, both units of AG for $29.95 mil. Upon completion of merger, IDT became a unit of AG and was renamed Polyvision.</t>
  </si>
  <si>
    <t>American Industrial Properties</t>
  </si>
  <si>
    <t>Canton Financial Services (CFS), a unit of Canton Industrial, terminated its amended, unsolicited, hostile offer to acquire an 80% interest in American Industrial Properties REIT (AIP) for an undisclosed amount of cash. Originally, CFS made a hostile offer to acquire AIP for an undisclosed amount of preferred stock. Earlier, CFS terminated its offer to acquire MIP Properties, TIS Mortgage Investment Trust, Mission West Properties, and HMG Courtland Properties.</t>
  </si>
  <si>
    <t>FirstFed Michigan Corp</t>
  </si>
  <si>
    <t>Charter One Financial (CO) acquired FirstFed Michigan (FM) through a merger of equals stock swap valued at $569.627 mil. FM shareholders were to receive 1.2 CO common shares for each of their shares held. Based on CO's closing stock price of $24.75 on May 26, the last full trading day prior to the announcement, each FM share was valued at $29.70. The transaction had been accounted for as a pooling of interests had been subject to federal and state banking regulatory approval.</t>
  </si>
  <si>
    <t>MNB Bancshares Inc,KS</t>
  </si>
  <si>
    <t>First Interstate Bancorp, California, acquired MNB Bancshares for $5 mil in cash. The transaction had been subject to state and federal banking regulatory approval.</t>
  </si>
  <si>
    <t>Marsam Pharmaceuticals Inc</t>
  </si>
  <si>
    <t>Mnfr generic drug products</t>
  </si>
  <si>
    <t>Schein Pharmaceutical Inc</t>
  </si>
  <si>
    <t>Manfacture pharmaceuticals</t>
  </si>
  <si>
    <t>Schein Pharmaceutical (SP) merged with Marsam Pharmaceuticals (MP) in a transaction valued at $239. 032 mil. Earlier, SP completed a tender offer for all of the outstanding common shares of SP for $21 in cash per share by accepting 10.6 mil shares, or 86.91% of the shares outstanding on a fully- diluted basis. Included in the value were 1.167 mil option to acquire MP common shares valued at $10 each. The offer had been conditioned upon at least a majority of MP's shares being tendered and had been subject to regulatory approval.</t>
  </si>
  <si>
    <t>First Union (FU), acting as a white knight, acquired RS Financial (RSF) in a stock swap transaction valued at $112.892 mil. RSF common shareholders received $40.25 in FU common stock for each RSF share held. The transaction had been subject to regulatory approval. In March 1995, RSF announced that it was seeking a buyer for the company. Later, First Citizens Bancshares withdrew its unsolicited offer to acquire RSF.</t>
  </si>
  <si>
    <t>CF Bancorp Inc</t>
  </si>
  <si>
    <t>Investment bankers</t>
  </si>
  <si>
    <t>First Midwest Bancorp Inc</t>
  </si>
  <si>
    <t>First Midwest Bancorp (FMB) acquired CF Bancorp (CFB) in a stock swap valued at $32. 325 mil. CFB shareholders were to received 1.4545 FMB shares for each CFB share held. Based on FMB's closing stock price of $24.25 on May 31, the last full trading day prior to the announcement, each CFB share was valued at $35.27. The transaction had been subject to federal and state banking regulatory approval, and was accounted for as a pooling of interests.</t>
  </si>
  <si>
    <t>Hi-Lo Automotive Inc</t>
  </si>
  <si>
    <t>Own,op auto parts stores</t>
  </si>
  <si>
    <t>Chief Auto Parts Inc</t>
  </si>
  <si>
    <t>Own,op auto part stores</t>
  </si>
  <si>
    <t>Chief Auto Parts, a unit of TCW Group's Trust Company of the West subsidiary, terminated its agreement to acquire Hi-Lo Automotive for $11 in cash per common share, or a total value of $118.873 mil and the assumption of liabilities in a leveraged- buyout transaction. Saratoga Partners LP, a 17.9% shareholder of Hi-Lo, agreed to vote in favor of the merger.</t>
  </si>
  <si>
    <t>International Business Machines (IBM) merged with Lotus Development (LD) in a transaction valued at $3.264 bil, concurrent with the completion of its hostile cash tender offer to acquire all the outstanding common shares, associated preferred share purchase rights and all the options of LD for an amended $64 per share. Through the offer, IBM had accepted 97% of the actual outstanding shares, or 81% of the shares on a fully-diluted basis. The options had been valued based on the offer price of $64 per share minus the average exercise price of $23.16.</t>
  </si>
  <si>
    <t>Automatic Data Processing Inc</t>
  </si>
  <si>
    <t>Pvd data processing services</t>
  </si>
  <si>
    <t>Automatic Data Processing (ADP) acquired Sandy (SD) in a stock swap transaction valued at $28.589 mil. Each SD common shareholder received $12 in ADP common stock for each SD share held. The transaction had been accounted for as a pooling of interests and was subject to Federal Trade Commission regulatory approval under the Hart-Scott-Rodino Act. Previously, Westcott Communications had been in negotiations to acquire SD.</t>
  </si>
  <si>
    <t>Jupiter National Inc(Johnston)</t>
  </si>
  <si>
    <t>Johnston Industries terminated its search for a buyer for its Jupiter National subsidiary, which it had announced in June 1995 when it had retained Dean Witter Reynolds to help.</t>
  </si>
  <si>
    <t>CII Financial Inc</t>
  </si>
  <si>
    <t>Workers compensation ins svcs</t>
  </si>
  <si>
    <t>Sierra Health Services Inc</t>
  </si>
  <si>
    <t>Sierra Health Services (SHS) acquired CII Financial (CII) in a tax-free stock swap transaction valued at $31.964 mil. CII common shareholders received .37 SHS common shares for each of their shares held. Based on SHS's closing stock price of $9.790 on Jun 12, the last full trading day prior to the announcement, each CII share was valued at $31.964. The transaction was accounted for as a pooling of interests, and had been subject to regulatory approval. Previously, Vista 2000 acquired a majority interest in InteLock Technologies, a unit of CII.</t>
  </si>
  <si>
    <t>First Data Corp</t>
  </si>
  <si>
    <t>Pvd payment processing svcs</t>
  </si>
  <si>
    <t>First Data (FD), a majority- held unit of American Express, merged with First Financial Management (FFM) in a stock swap transaction valued at $5. 946 bil. FFM shareholders received 1.5859 FD common shares for each FFM share held. Based on FD's closing stock price of $56.875 on Jun 12, the last full day prior to the announcement, each FFM share was valued at $90.1981. The transaction was accounted for as a pooling of interests and had been subject to regulatory approval.</t>
  </si>
  <si>
    <t>Truck Components</t>
  </si>
  <si>
    <t>Manufacture truck parts</t>
  </si>
  <si>
    <t>Johnstown America Industries acquired Truck Components (TC) for $248.961 mil, including $80 mil in the assumption of liabilities. TC common shareholders received $16 in cash for each share held. Included in the value were 140,714 options to purchase TC common shares, valued at $8.36 each, based on the difference between the offer price and the average exercise price of $7.64 for each option. The transaction had been subject to regulatory approval.</t>
  </si>
  <si>
    <t>Garden State Bancshares</t>
  </si>
  <si>
    <t>Summit Bancorporation (SB) acquired Garden State Bancshares (GSB) in a stock swap merger valued at $69.449 mil. GSB shareholders were to receive 1.08 SB common shares for each GSB share held. Based on SB's closing stock price of $20.75 on June 13, the last full trading day prior to the announcement, each GSB share was valued at $22.41. Under a lockup agreement, SB was granted an option to acquire up to 19.9% of GSB's stock. The tax-free transaction was accounted for as a pooling of interests.</t>
  </si>
  <si>
    <t>Lillian Vernon Corp</t>
  </si>
  <si>
    <t>Pvd ecommerce retail svcs</t>
  </si>
  <si>
    <t>Freeman Spogli &amp; Co</t>
  </si>
  <si>
    <t>Freeman Spogli withdrew its agreement to acquire Lillian Vernon for $19 in cash per share, or a total value of $189.16 mil.</t>
  </si>
  <si>
    <t>National Bank of Canada</t>
  </si>
  <si>
    <t>National Bank of Canada was rejected in its offer to acquire all the outstanding common shares of North American Trust (NAT), a unit of North American Life Assurance. Previously, Laurentian Bank of Canada signed a letter of intent to acquire NAT.</t>
  </si>
  <si>
    <t>Bird Medical Technologies Inc</t>
  </si>
  <si>
    <t>Mnfr respiratory care prod</t>
  </si>
  <si>
    <t>Allied Healthcare Products Inc</t>
  </si>
  <si>
    <t>Mnfr hospital, medical equip</t>
  </si>
  <si>
    <t>Allied Healthcare Products (AH), a majority-held unit of Harbour Group Investments, withdrew its hostile offer to acquire all the outstanding shares of Bird Medical Technologies (BM) for an amended $10.50 per share, or a total value of $70.1621 mil. Each BM share was to be exchanged for $5.145 in cash and $5.355 in AH common stock. Originally, AH offered to acquire BM for $9.50 per share. Later, Thermo Electron acquired BN for an amended $9. 25 in cash per share, or a total value of $59.21 mil.</t>
  </si>
  <si>
    <t>Cellcor(Hillman Medical Ventu)</t>
  </si>
  <si>
    <t>Mnfr phramaceutical products</t>
  </si>
  <si>
    <t>Cytogen Corp</t>
  </si>
  <si>
    <t>Biopharmaceutical co</t>
  </si>
  <si>
    <t>Cytogen (CYT) acquired all the outstanding shares of Cellcor (CEL), a majority- held unit of Hillman Medical Ventures, in a stock swap transaction valued at $20.414 mil. CEL shareholders received .6 and 218.94 CYT common shares for each of their common and convertible preferred shares held respectively. Based on CYT's closing stock price of $4.5 on Jun 15, the last full trading day prior to the announcement, each CEL common and convertible preferred share was valued at $2.7 and $985.23.</t>
  </si>
  <si>
    <t>E-Z Serve Corp</t>
  </si>
  <si>
    <t>Whl and retail gasoline</t>
  </si>
  <si>
    <t>E-Z Serve (EZ) acquired all the outstanding stock of Sunshine Jr Stores (SS) for $12 in cash per share, or a total value of $20.42 mil. Earlier, EZ completed its tender offer for SS by accepting 1,673,628 shares, or about a 98.35% interest in SS. The offer had been conditioned upon 76% of the total shares outstanding being tendered. In June 1994, SS announced it was seeking a buyer for the company.</t>
  </si>
  <si>
    <t>Alliance Gaming Corp</t>
  </si>
  <si>
    <t>Alliance Gaming (AG) acquired the remaining 92. 216% interest, that it did not already own, in Bally Gaming International (BG) in a two-tier merger valued at an amended $123.669 mil, including .5 mil shares acquired in the open market. AG completed its hostile tender offer to raise its interest to 59.5% in BG by acquiring 5.4 mil shares, for an amended $13 in cash per share, valued at $70.2 mil. Later, AG acquired the remaining 4.35 mil BG shares for $11.70 in cash, common and preferred shares. Originally, AG offered $13 in common stock per BG share.</t>
  </si>
  <si>
    <t>BioSafety Systems Inc</t>
  </si>
  <si>
    <t>Mnfr healthcare gloves, masks</t>
  </si>
  <si>
    <t>HVB Ltd</t>
  </si>
  <si>
    <t>HVB acquired all the outstanding shares of BioSafety Systems for $3.16 in cash per share, or a total value of $10.58 mil.</t>
  </si>
  <si>
    <t>First Union (FU) acquired First Fidelity Bancorp (FF), including the 30% stake held by Banco de Santader, in a stock swap merger valued at $5.438 bil. FF common shareholders received 1.35 FU common shares for each FF share held. Based on FU's closing stock price of $47. 625 on Jun 16, the last full trading day prior to the announcement, each FF share was valued at $64.29. Under a lockup agreement, FU and FF had each been granted options to acquire up to 19.9% of each other. The transaction had been accounted for as a pooling of interests.</t>
  </si>
  <si>
    <t>Milwaukee Insurance Group Inc</t>
  </si>
  <si>
    <t>Unitrin acquired Milwaukee Insurance Group for $22 in cash per share, or a total value of $92.475 mil. The transaction had been subject to regulatory approval.</t>
  </si>
  <si>
    <t>Long Island Power Authority</t>
  </si>
  <si>
    <t>Long Island Power Authority (LIPA) withdrew its hostile offer to acquire all the outstanding common stock of Long Island Lighting (LILCO) for $17.50 per share, or a total value of $4.334 bil, including $2.25 bil in the assumption of liabilities. The transaction had been subject to regulatory approval. Concurrently, LIPA agreed to acquire the electric transmission and distribution system, and an 18% stake in the Nine Mile Point 2 nuclear plant, for $6. 1 bil; and Brooklyn Union Gas sweetened its offer to acquire LILCO to $3.089 bil.</t>
  </si>
  <si>
    <t>Marble Financial Corp</t>
  </si>
  <si>
    <t>ALBANK FSB(ALBANK Financial)</t>
  </si>
  <si>
    <t>ALBANK, a unit of ALBANK Financial, acquired all the outstanding shares of Marble Financial for $18 in cash per share, or a total value of $62.644 mil. The transaction had been subject to federal and state banking regulatory approval.</t>
  </si>
  <si>
    <t>An investor group, including the Florescue Family, acquired the remaining 91.4% interest, which it did not already own, in Marietta (MR) for an amended $10.25 in cash per share, or a total value of $33.774 mil. Originally, the group was rejected in its $12.30 per share offer. Earlier, an investor group, including Calibre Capital Advisors and Dickenstein Partners, withdrew its rejected offer to acquire MR.</t>
  </si>
  <si>
    <t>Shelton Bancorp</t>
  </si>
  <si>
    <t>Webster Finl Corp,Waterbury,CT</t>
  </si>
  <si>
    <t>Webster Financial (WF) acquired Shelton Bancorp (SB) in a stock swap merger valued at $31.675 mil. SB shareholders received .92 WF shares for each SB share held. Based on WF's closing stock price of $24.125 on Jun 19, the last full trading day prior to the announcement, each SB share was valued at $22.195. Under a lockup agreement, WF was granted an option to acquire up to 19.9% of SB's common stock. The transaction had been subject to federal and state banking regulatory approval, and was accounted for as a pooling of interests.</t>
  </si>
  <si>
    <t>ERO Inc</t>
  </si>
  <si>
    <t>Manufacture toys</t>
  </si>
  <si>
    <t>ERO terminated its search for a buyer. In June 1995, ERO announced it had retained Bear Stearns to assist in its search.</t>
  </si>
  <si>
    <t>Frame Technology Corp</t>
  </si>
  <si>
    <t>Develop publishing software</t>
  </si>
  <si>
    <t>Adobe Systems Inc</t>
  </si>
  <si>
    <t>Adobe Systems (AS) acquired Frame Technology (FT) in a stock swap transaction valued at $566.567 mil. FT shareholders received .52 AS common shares for each FT share held. Based on AS' closing stock price of $63. 375 on Jun 21, the last full trading day prior to the announcement, each FT share was valued at $32.95. The transaction had been accounted for as a pooling of interests and was subject to regulatory approval.</t>
  </si>
  <si>
    <t>Telular Corp</t>
  </si>
  <si>
    <t>Manufacture wireless prods</t>
  </si>
  <si>
    <t>In June 1995, Telular announced it had retained Bear Stearns to help in its search for a buyer for the company.</t>
  </si>
  <si>
    <t>United Video Satellite Group</t>
  </si>
  <si>
    <t>Pvd cable television services</t>
  </si>
  <si>
    <t>Tele-Communications (TCI) acquired United Video Satellite Group (UV) in a stock swap re-organization plan. UV shareholders had the choice to receive one newly created TCI convertible preferred share for each Class A or B share held, or one Class A share of the new UV for each Class A or B share held, with a maximum of 50% of the consideration being preferred shares. Under the agreement, investor Lawrence Flinn exchanged 50% of his shares for preferred stock. Upon completion, UV remained publicly traded.</t>
  </si>
  <si>
    <t>NationsBank (NB) acquired Intercontinental Bank (IB), Miami, Florida, in a stock swap transaction valued at $207.67 mil. IB common shareholders received $30 in NB common stock for each IB share held. The transaction had been subject to federal and state banking regulatory approval.</t>
  </si>
  <si>
    <t>Southern Energy Homes Inc</t>
  </si>
  <si>
    <t>Wilkins Mobile Builders Inc</t>
  </si>
  <si>
    <t>Manufacture mobile homes</t>
  </si>
  <si>
    <t>Wilkins Mobile Builders terminated its letter of intent to acquire Southern Energy Homes. Terms were not disclosed.</t>
  </si>
  <si>
    <t>Enterra Corp</t>
  </si>
  <si>
    <t>Oil field equip rental svcs</t>
  </si>
  <si>
    <t>Energy Ventures Inc (EV) acquired all the outstanding stock of Enterra, including First Reserve's 40% stake, in a stock swap valued at $540. 57 mil. Enterra shareholders received .845 EV common shares, following a 1-for-2 reverse stock split, for each Enterra share held. Based on EV's closing stock price of $11.5 on June 23, the last full trading day prior to the announcement, each Enterra share was valued at $19.435. The transaction was accounted for as a pooling of interests. Upon completion, EVI changed its name to Weatherford Enterra.</t>
  </si>
  <si>
    <t>Super Rite Corp</t>
  </si>
  <si>
    <t>Own and operate supermarkets</t>
  </si>
  <si>
    <t>Richfood Holdings Inc</t>
  </si>
  <si>
    <t>Richfood Holdings (RH), acquired Super Rite (SR) in a stock swap merger value at $227.955 mil. SR shareholders received 1.02 RH common shares for each SR share held. Based on RH's closing stock price of $23 on June 23, the last full trading day prior to the announcement, each SR share was valued at $23.46. The transaction had been subject to regulatory approval and was accounted for as a pooling of interests.</t>
  </si>
  <si>
    <t>ViroGroup Inc</t>
  </si>
  <si>
    <t>Laidlaw Environmental Services</t>
  </si>
  <si>
    <t>Own,op refuse systems</t>
  </si>
  <si>
    <t>Laidlaw Environmental Services, a unit of Laidlaw, acquired a 50% interest in ViroGroup by exercising .8 mil ViroGroup preferred shares.</t>
  </si>
  <si>
    <t>Founders Financial Corp</t>
  </si>
  <si>
    <t>Chase Federal(TAC Bancshares)</t>
  </si>
  <si>
    <t>Chase Federal Bank FSB (CF), a unit of TAC Bancshares, acquired Founders Financial (FF) in a stock swap transaction valued at $8.05 mil. Each FF common shareholder received $5.50 in CF common stock for each FF share held. Prior to completion, CF had become a publically traded company. The transaction had been subject to federal and state banking regulatory approval.</t>
  </si>
  <si>
    <t>Renaissance Commun Corp</t>
  </si>
  <si>
    <t>Renaissance Communications withdrew its agreement to acquire Outlet Communications (OC) for $355.553 mil, including $70 mil in the assumption of debt. Each OC Class A share would be exchanged for $42.25 in cash, or a total value of $285.553 mil, and each OC warrant would be exchanged for $42.25 minus its exercise price, or a total estimated value of $2. 5 mil. The warrants were valued based on $42.25 minus their average exercise price of $5.25. In March 1995, OC announced it was seeking a buyer for the company. Later, NBC offered to acquire OC.</t>
  </si>
  <si>
    <t>Home Bancorp Inc,Fort Wayne,IN</t>
  </si>
  <si>
    <t>Essex Bancorp Inc,Norfolk,VA</t>
  </si>
  <si>
    <t>Essex Bancorp (EB) acquired Home Bancorp, including its Home Savings Bank subsidiary, for $15 mil. The consideration consisted of $15 mil in non-voting preference stock and warrants to acquire 7,949,000 mil common shares. The warrants were exercisable at $.9375 per share beginning in September 1998. The transaction had been subject to federal and state banking regulatory approval.</t>
  </si>
  <si>
    <t>Johnston Industries Inc</t>
  </si>
  <si>
    <t>Mnfr woven indl textile prod</t>
  </si>
  <si>
    <t>Johnston Industries (JI) acquired the remaining 45% stake, or 863,433 common shares, that it did not already own, in Jupiter National (JN) for a twice amended $33.97 in cash per share, or a total value of $30.468 mil. Originally, JI offered $29.50 in cash per share, which was later increased to $32.875 in cash per share.</t>
  </si>
  <si>
    <t>CSF Holdings Inc</t>
  </si>
  <si>
    <t>NationsBank acquired all the outstanding common stock of CSF Holdings for $39.5 in cash per share, or a total value of $401.123 mil. The transaction had been subject to federal and state banking regulatory approval.</t>
  </si>
  <si>
    <t>First City Bancorp Inc</t>
  </si>
  <si>
    <t>First American (FA), Nashville, Tennessee, acquired First City Bancorp (FCB) in a stock swap merger valued at an amended $41.176 mil. FCB common shareholders received .6036 FA common share for each FCB share held, subject to a collar agreement. Based on FA's closing stock price of $44. 625 on Mar 8, the last full trading day prior to the disclosure of exact terms, each FCB share was valued at $26.94. The transaction had been subject to federal and state banking regulatory approval. Originally, FA offered $26.5 per FCB share.</t>
  </si>
  <si>
    <t>Arcus Inc(Armored Transport)</t>
  </si>
  <si>
    <t>Provide security services</t>
  </si>
  <si>
    <t>United Acquisition Co</t>
  </si>
  <si>
    <t>United Acquisition, a unit of United Gas Holding, acquired Arcus, a 94.8% held unit of ATI Systems International, for $6.33 per share, or a total value of $50.051 mil in a leveraged- buyout transaction. Earlier, in Sep 1994, Arcus announced that it was  seeking a buyer for the company.</t>
  </si>
  <si>
    <t>Gaming Corp of America</t>
  </si>
  <si>
    <t>Own, op amusement rides</t>
  </si>
  <si>
    <t>Grand Casinos Inc</t>
  </si>
  <si>
    <t>Grand Casinos (GC) acquired Gaming Corp of America (GCA) in a stock swap transaction valued at $139.204 mil. Each GCA common shareholder received .19864 GC common shares for each share held. Based on GC's closing stock price of $36.25 on Jul 5, the last full trading day prior to the announcement, each GCA share was valued at $7.20. The transaction had been subject to regulatory approval. Concurrently, GC acquired Grand Gaming.</t>
  </si>
  <si>
    <t>Gibson Greetings Inc</t>
  </si>
  <si>
    <t>Manufacture greeting cards</t>
  </si>
  <si>
    <t>Gibson Greetings terminated its search for a buyer for the company, which it had previously announced in July 1995.</t>
  </si>
  <si>
    <t>Grand Gaming Corp</t>
  </si>
  <si>
    <t>Own,operate casinos</t>
  </si>
  <si>
    <t>Grand Casinos (GC) acquired the remaining 7.2 mil shares, or 22.2%, of Grand Gaming (GG) which it did not already own in a stock swap valued at $36. 486 mil. Each GG common shareholder received .1397 GC common share for each share held. Based on GC's closing stock price of $36.25 on Jul 5, the last full trading day prior to the announcement, each GG share was valued at $5.06. Of the shares GC owned prior to the transaction, 38. 9% were directly owned by GC and 38.9% were owned by Gaming Corp of America, which GC concurrently acquired.</t>
  </si>
  <si>
    <t>Panaco Inc</t>
  </si>
  <si>
    <t>National Energy Group [NMG] withdrew its hostile offer to acquire Panaco in a stock swap transaction valued at an amended $67.949mil. Panaco shareholders were to receive 2 NMG common shares for each Panaco share held. Based on NMG's closing stock price of $3.0625 on Jul 11, the last full trading day prior to the amendment of terms, each Panaco share was valued at $6. 125. NMG had originally offered 1.75 common shares for each Panaco share held. Concurrently, Panaco agreed to acquire the remaining US oil &amp; gas properties from Zapata.</t>
  </si>
  <si>
    <t>Aydin Corp</t>
  </si>
  <si>
    <t>Mnfr telecommun equipment</t>
  </si>
  <si>
    <t>In July 1995, Aydin announced it had retained the services of Oppenheimer to assist in its search for a buyer for the company.</t>
  </si>
  <si>
    <t>Genetic Therapy Inc</t>
  </si>
  <si>
    <t>Dvlp delivery sys;Pvd research</t>
  </si>
  <si>
    <t>Sandoz acquired the remaining 96.4% interest in Genetic Therapy (GT) it did not already own in a transaction valued at $283. 408 mil. Earlier, Sandoz had completed its $21 cash per share tender offer by accepting 12.3 mil shares, or 93.91%, of GT's common shares outstanding. The offer had been conditioned upon a majority of GT's shares being tendered and had also been subject to regulatory approval.</t>
  </si>
  <si>
    <t>Joslyn Corp</t>
  </si>
  <si>
    <t>Electrical transmission equip</t>
  </si>
  <si>
    <t>Danaher (DH) merged with Joslyn (JL) in a transaction valued at $227.14 mil, concurrent with the completion of its hostile tender offer to acquire the remaining 91.83% of the outstanding common shares and common stock purchase rights that it did not already own in JL for an amended $34 in cash per share. DH accepted 4. 82 mil shares, or 72.8% of those that it did not already own. DH had originally offered $32 in cash for each JL share held. The offer had been conditioned upon at least two thirds of JL's shares being tendered on a fully-diluted basis.</t>
  </si>
  <si>
    <t>PNC Bank (PNC) acquired Midlantic (ML) in a stock swap transaction valued at $2. 87 bil. ML common shareholders received 2.05 PNC common shares for each ML share held. Based on PNC's closing stock price of $26. 875 on Jul 7, the last full trading day prior to the disclosure of terms, each ML share was valued at $55.09. Under a lockup agreement, PNC and ML were granted options to acquire up to 19.9% of each other. The transaction was accounted for as a pooling of interests and had been subject to federal and state banking regulatory approval.</t>
  </si>
  <si>
    <t>Pulte Corp</t>
  </si>
  <si>
    <t>Pvd constr,finl svcs</t>
  </si>
  <si>
    <t>Pulte withdrew its offer to acquire bankrupt UDC Homes. Concurrently, DMB Property Ventures acquired UDC. In October 1994, UDC disclosed it was seeking a buyer for the company. Earlier, Aldrich Eastman &amp; Waltch withdrew its letter of intent to acquire a 70.8% interest in UDC.</t>
  </si>
  <si>
    <t>WorldWay Corp</t>
  </si>
  <si>
    <t>Arkansas Best Corp</t>
  </si>
  <si>
    <t>Transportation holding company</t>
  </si>
  <si>
    <t>Arkansas Best (AB) merged with WorldWay (WW) in a transaction valued at $142. 178 mil, including $70 mil in the assumption of debt, concurrent with the completion of its tender offer to acquire all the outstanding common stock of WW for $11 in cash per share. AB had accepted 5,964,030 shares, or 90.89% of WW's common stock outstanding. The offer had been conditioned upon at least 50% of WW's shares being tendered and had been subject to Interstate Commerce Commission regulatory approval.</t>
  </si>
  <si>
    <t>DEP Corp</t>
  </si>
  <si>
    <t>Manufacture personal care prod</t>
  </si>
  <si>
    <t>In July 1995, DEP retained the services of Donaldson Lufkin &amp; Jenrette Securities to assist in its search for a buyer for the company.</t>
  </si>
  <si>
    <t>Great Country Bank,Ansonia,CT</t>
  </si>
  <si>
    <t>Center Financial Corp,CT</t>
  </si>
  <si>
    <t>Center Financial (CF) acquired Great Country Bank, Ansonia, Connecticut, (GCB) in a stock swap merger valued at $28.134 mil. GCB common shareholders received .3136 CF common shares for each share held, due to a collar agreement. Based on CF's closing stock price of $17.75 on Dec 14, the last full trading day prior to the announcement of exact terms, each GCB share was valued at $5.57. The transaction had been subject to federal and state banking regulatory approval and was accounted for as a pooling of interests.</t>
  </si>
  <si>
    <t>Landmark Bancorp</t>
  </si>
  <si>
    <t>California State Bank</t>
  </si>
  <si>
    <t>California State Bank (CS) acquired Landmark Bancorp (LB) in a stock swap transaction valued at an amended $36.315 mil. LB common shareholders received $8.22 in cash and . 796 CS common share for each LB share held. Based on CS's closing stock price of $13.75 on Apr 12, the last full trading day prior to the announcement of amended terms, each LB share was valued at $19.165. Originally, CS offered $7.75 in cash and $12 in stock for each LB share held. The transaction had been subject to federal and state banking regulatory approval.</t>
  </si>
  <si>
    <t>NBD Bancorp (NBD) merged with First Chicago (FC) in a merger of equals stock swap valued at $5.415 bil. FC shareholders received 1.81 shares of the new company, First Chicago NBD (FCN), for each share held, while each NBD share was exchanged for one FCN share. Based on NBD's closing stock price of $32.5 on Jul 11, each FC share was valued at $58.825. Upon completion, FC held 50.1% and NBD held 49.9% of FCN.</t>
  </si>
  <si>
    <t>Polar Express Corp</t>
  </si>
  <si>
    <t>Asche Transportation Services</t>
  </si>
  <si>
    <t>Aasche Transportation Services (AT) acquired Polar Express (PE) in a stock swap merger valued at an amended $8.891 mil. PE shareholders received .411 AT shares per share held. Based on AT's closing stock price of $6.25 on Dec 20, the last full trading day prior to disclosure of amended terms, each PE share was valued at $2.57. Origianlly, AT had offered $9 mil of AT common stock and 1 warrant for all the outstanding PE shares and class B warrants.</t>
  </si>
  <si>
    <t>REN Corp-USA(COBE Labs Inc)</t>
  </si>
  <si>
    <t>COBE Laboratories, a majority-held unit of Gambro, acquired the remaining 47% of REN Corp-USA (REN) it did not already own in a transaction valued at $182.09 mil. Earlier, COBE had completed its tender offer to acquire the remaining 8.88 mil common shares of REN for an amended $20 in cash per share, or a total value of $177.7 mil, by accepting 8,355,796 shares, or a 44.16% interest in REN, raising COBE's interest in REN to 97%. Originally, COBE had offered $18 in cash per REN share held.</t>
  </si>
  <si>
    <t>Automotive Industries Holding</t>
  </si>
  <si>
    <t>Mnfr autoparts</t>
  </si>
  <si>
    <t>Lear Seating Corp</t>
  </si>
  <si>
    <t>Mnfr auto seats</t>
  </si>
  <si>
    <t>Lear Seating (LS) merged with Automotive Industries Holding (AIH) in a transaction valued at $613.106 mil. Earlier, LS completed its tender offer to acquire all the outstanding Class A common shares of AIH, including Onex's 24% stake, for $33.50 in cash per share, by accepting 16,928,204 shares, or 90.37% of AIH's shares. The transaction had been conditioned upon a least 50% of AIH's fully-diluted shares being tendered.</t>
  </si>
  <si>
    <t>CliniCom Inc</t>
  </si>
  <si>
    <t>Provide integrated sys design</t>
  </si>
  <si>
    <t>HBO (HBO) acquired CliniCom (CC) in a tax-free stock swap valued at $215.48 mil. CC shareholders received .4 HBO common shares for each of their shares held. Based on HBO's closing stock price of $58.50 on Jul 14, the last full trading day prior to the announcement, each CC share was valued at $23.40. The transaction was accounted for as a pooling of interests and had been subject to regulatory approval.</t>
  </si>
  <si>
    <t>Scott Paper Co</t>
  </si>
  <si>
    <t>Manufacture paper products</t>
  </si>
  <si>
    <t>Kimberly-Clark Corp</t>
  </si>
  <si>
    <t>Mnfr,whl sanitary,hygiene prod</t>
  </si>
  <si>
    <t>Kimberly-Clark (KC) acquired Scott Paper (SP) in a stock swap transaction valued at $6. 82 bil. SP shareholders received .765 KC share per share held. Based on KC's closing stock price of $58. 625 on Jul 14, the last full trading day prior to the announcement, each SP share was valued at $44.848. Upon completion, KC owned 58% of the merged company. The transaction was accounted for as a pooling of interests and had been subject to regulatory approval. Concurrently, KC announced it was seeking a buyer for some of its newly acquired SP US businesses.</t>
  </si>
  <si>
    <t>LG Electronics Inc</t>
  </si>
  <si>
    <t>Mnfr bdcstg receivers</t>
  </si>
  <si>
    <t>LG Electronics (LG), a unit of LG Group, completed a tender offer to raise its stake to 57.7% from 28.4% in Zenith Electronics (ZE) by acquiring 18.619 mil common shares for $10 per share, or a total value of $186.19 mil. The offer had been contingent upon all 18.619 mil shares being tendered, and was subject to Federal Trade Commission approval. Concurrently, LG raised its stake to 28.4% from 2.4% in ZE by acquiring 16.5 mil newly-issued common shares.</t>
  </si>
  <si>
    <t>CareLine Inc(Care Group Inc)</t>
  </si>
  <si>
    <t>Laidlaw Inc</t>
  </si>
  <si>
    <t>Pvd busing svcs</t>
  </si>
  <si>
    <t>Laidlaw (LL) acquired CareLine (CL), a majority- owned unit of Care Group, in a stock swap transaction valued at $346.425 mil, including the assumption of $175 mil in liabilities. CL shareholders received 1.1 LL Class B non-voting shares for each share held. Based on LL's closing stock price of $9.875 on Jul 17, the last full trading day prior to announcement, each CL share was valued at $10.86. The transaction had been subject to regulatory approval.</t>
  </si>
  <si>
    <t>Saratoga Beverage Group Inc</t>
  </si>
  <si>
    <t>Produce,whl bottled water</t>
  </si>
  <si>
    <t>Triarc (TR) acquired warrants which when exercised would raise TR's stake Saratoga Beverage Group (SB) to 51% from 25% on a fully- diluted basis. Each warrant was exercisable at $3.50 per SB share, subject to an adjustment to $2.46 per share if certain sales levels were reached. Earlier, TR acquired a 25% stake in SB in exchange for a $3 mil revolving credit loan.</t>
  </si>
  <si>
    <t>Premier Bancorp,Baton Rouge,LA</t>
  </si>
  <si>
    <t>BANC ONE (BO) acquired Premier Bancorp (PB), Baton Rouge, Louisiana, in a stock swap merger valued at $695. 476 mil. PB shareholders received .617761 BO common share for each PB share held. Based on BO's closing stock price of $32.625 on Jul 18, the last full trading day prior to the announcement, each PB share was valued at $20.15. The transaction was a result of an option received as part of a March 1992 acquisition of a $65 mil PB convertible note as part of PB's restructuring program. The transaction had been subject to regulatory approval.</t>
  </si>
  <si>
    <t>Tianrong Building Material</t>
  </si>
  <si>
    <t>Pvd telecommun svcs</t>
  </si>
  <si>
    <t>ComCentral Corp</t>
  </si>
  <si>
    <t>ComCentral (CC), a unit of Teltronics, agreed to merge with Tianrong Building Material Holdings (TBM) in a reverse stock swap transaction. TBM was to receive 75% of the common shares of CC in exchange for the entire share capital of TBM.</t>
  </si>
  <si>
    <t>CoreStates Financial terminated negotiations to merge with Bank of Boston (BB) for $38 per share in a merger of equals transaction valued at $4.23 bil. Later, BANC ONE terminated negotiations to acquire BB.</t>
  </si>
  <si>
    <t>Rule Industries Inc</t>
  </si>
  <si>
    <t>Mnfr marine, hardware products</t>
  </si>
  <si>
    <t>Greenfield Industries Inc</t>
  </si>
  <si>
    <t>Mnfr steel cutting tools</t>
  </si>
  <si>
    <t>Greenfield Industries (GI), a unit of Harbour Group, acquired Rule Industries (RI) for $15.30 per share, or a total value of $73.563 mil, including $36.7 mil in the assumption of debt. The value included .63 mil RI shares, or a 24% stake, acquired under a lockup agreement by GI at $8 per share, or a total value of $5.04 mil.</t>
  </si>
  <si>
    <t>BANC ONE withdrew its offer to acquire Bank of Boston (BB) for $45 per share, or a total value of $5.096 bil. The transaction had been subject to federal and state banking regulatory approval. Earlier, CoreStates Financial terminated negotiations to acquire BB in a stock swap merger-of-equals transaction.</t>
  </si>
  <si>
    <t>AMFED Financial Inc</t>
  </si>
  <si>
    <t>Norwest (NW) acquired the remaining 81.51% interest, which it did not already own, in AMFED Financial (AF) in a tax-free stock swap transaction valued at $156. 932 mil. AF shareholders received 1.1228 NW common shares for each of their shares held. Based on NW's closing stock price of $28.50 on Jul 21, the last full trading day prior to the announcement, each AF share was valued at $31.99. The transaction was accounted for as a pooling of interests, and had been subject to a lock-up agreement and state and federal banking regulatory approval.</t>
  </si>
  <si>
    <t>Harvest Financial Corp</t>
  </si>
  <si>
    <t>Firstar (FS) acquired Harvest Financial (HF), including its Harvest Savings Bank unit, in a stock swap transaction valued at $35.903 mil. Each HF shareholder received $28 in FS common stock for each HF share held, subject to a collar agreement. The transaction had been subject to regulatory approval. Concurrently, FS's board authorized the repurchase of up to .926 mil common shares in order to complete the acquisition.</t>
  </si>
  <si>
    <t>Bolle America Inc</t>
  </si>
  <si>
    <t>Mnfr sunglasses,ski goggles</t>
  </si>
  <si>
    <t>Wholesale ophthalmic goods</t>
  </si>
  <si>
    <t>Benson Eyecare (BE) acquired Bolle America (BA) in a stock swap transaction valued at an amended $33.87 mil. BA shareholders received .775 BE shares for each BA share held. Based on BE's closing stock price of $10.375 on Sep 19, the last full trading day prior to the amendment of terms, each BA share was valued at $8.04. Earlier, BE offered 1 BE share per BA share held. The transaction was accounted for as a pooling of interests and had been subject to regulatory approval.</t>
  </si>
  <si>
    <t>3Com Corp</t>
  </si>
  <si>
    <t>Mnfr voice networking prod</t>
  </si>
  <si>
    <t>3Com acquired Chipcom in a stock swap merger valued at $680.924 mil. Chipcom shareholders received .53 pre- split 3Com common shares for each Chipcom share held. Based on 3Com's closing stock price of $75.625 on Jul 26, the last full trading day, prior to the announcement, each Chipcom share was valued at $40.08. During the tranaction 3Com effected a 2 for 1 stock split. The transaction was accounted for as a pooling of interests and had been subject to regulatory approval.</t>
  </si>
  <si>
    <t>Walt Disney (WD) acquired all the outstanding shares of Capital Cities/ABC (CC) for $122.375 per share, or a total value of $18.837 bil. The consideration consisted of $65 in cash and 1 WD common share for each CC share held. The share portion was valued based on WD's closing stock price of $57. 375 on Jul 28, the last full trading day prior to the announcement. The transaction had been subject to Federal Communications Commission regulatory approval.  Later, WD divested its KCAL-TV unit to Young Broadcasting in order to meet regulatory approval for its merger with CC.</t>
  </si>
  <si>
    <t>Harvey Entertainment Co</t>
  </si>
  <si>
    <t>Cartoon publisher</t>
  </si>
  <si>
    <t>In July 1995, Harvey Entertainment announced that it had retained Oppenheimer and Arnhold and S Bleichroeder to assist in its search for a buyer of the company.</t>
  </si>
  <si>
    <t>Learning Co</t>
  </si>
  <si>
    <t>Develop educational software</t>
  </si>
  <si>
    <t>Broderbund Software (BB) terminated its agreement to acquire Learning (LN) in a stock swap valued at an amended $515.663 mil. LN shareholders were to receive . 92 BB shares for each LN share held. Originally, BB had offered .8125 shares for every share held. Based on LN's closing stock price of $65.5 on Nov 7, the last full trading day prior to the amended terms, each LN share was valued at $60.26. Concurrently, SoftKey completed its unsolicited hostile acquisition of LN.</t>
  </si>
  <si>
    <t>NBC</t>
  </si>
  <si>
    <t>Own,op TV bdcstg stn</t>
  </si>
  <si>
    <t>National Broadcasting, a unit of General Electric's RCA subsidiary, acquired all the outstanding common shares of Outlet Communications (OC) for $404.568 mil. The consideration consisted of $47.25 in cash per share, or a total value of $319.568 mil, $10 mil in common stock and $75 mil in the assumption of debt. Earlier, Renaissance Communications withdrew its agreement to acquire OC.</t>
  </si>
  <si>
    <t>Reliance Bancorp Inc,New York</t>
  </si>
  <si>
    <t>Reliance Bancorp acquired all the outstanding shares of Sunrise Bancorp for $32 in cash per share, or a total value of $116.752 mil. The transaction had been subject to federal and state banking regulatory approval.</t>
  </si>
  <si>
    <t>Westinghouse Electric (WE) acquired CBS for $82.065 in cash per share, or a total value of $5.122 bil. After Aug 31, 1995, a 6% annualized interest payment to CBS shareholders had been factored into the price to account for regulatory delays. Also, CBS payed WE a topping fee of 2.5% to 2.75% of the deal value, and WE would had to have paid CBS $120 mil if J P Morgan and Chemical Bank had failed to line up financing. Later, CBS divested WPRI-TV to Clear Channel Communications in order to comply with FCC regulations.</t>
  </si>
  <si>
    <t>Flemington Natl Bank &amp; Trust</t>
  </si>
  <si>
    <t>UJB Financial (UJB) acquired Flemington National Bank &amp; Trust (FN) in a stock swap merger valued at $42.24 mil. FN shareholders received 1. 3816 UJB common shares for each FN share held, subject to a collar agreement. Based on UJB's closing stock price of $38.375 on Feb 26, the last full trading day prior to the announcement of terms, each FN share was valued at $53.02. The transaction had been subject to federal and state banking regulatory approval.</t>
  </si>
  <si>
    <t>Southern Pacific Rail Corp</t>
  </si>
  <si>
    <t>Operate freight railroad sys</t>
  </si>
  <si>
    <t>Union Pacific Corp</t>
  </si>
  <si>
    <t>Pvd railroad,trucking svcs</t>
  </si>
  <si>
    <t>Union Pacific (UP) acquired Southern Pacific Rail (SP), a majority-held unit of Anschutz, in a two-tier merger valued at $4.036 bil. UP completed its tender offer for 25% of SP's shares, by accepting 39.03 mil shares, for $25 in cash per share, or a total of $975.862 mil. In the second step, the remaining SP shareholders received a choice of .4065 UP shares, valued at $26.42 each, based on UP's closing stock price on Aug 3, or $25 in cash for each SP share held, or a total of $3.061 bil, subject to a maximum of 20% of those shares being acquired with cash.</t>
  </si>
  <si>
    <t>ARICO</t>
  </si>
  <si>
    <t>RE investment trust</t>
  </si>
  <si>
    <t>In August 1995, American Real Estate Investment (AREI) announced that it had retained PaineWebber to assist in its search for a buyer for the company.</t>
  </si>
  <si>
    <t>American City Business Journal</t>
  </si>
  <si>
    <t>Publish journals and magazines</t>
  </si>
  <si>
    <t>Advance Publications Inc</t>
  </si>
  <si>
    <t>Advance Publications (AP) acquired all the outstanding common shares and 6% convertible debentures of American City Business Journals (ACB), a unit of Shaw Publishing, for $28 per share, or a total value of $205.42 mil. AP had been granted an option to acquire 1,376,000 authorized but unissued ACB common shares from Business Journal Associates for $28 per share. The transaction had been subject to regulatory approval.</t>
  </si>
  <si>
    <t>Hawkeye Bancorp</t>
  </si>
  <si>
    <t>Mercantile Bancorp (MB) acquired Hawkeye Bancorp (HB) in a stock swap merger valued at $375.655 mil. HB common shareholders received .585 MB common shares for each HB share held. Based on MB's closing stock price of $43. 875 on Aug 3, the last full trading day prior to the announcement, each HB share was valued at $25.66. The transaction had been subject to regulatory approval and was accounted for as a pooling of interests. Under a lockup agreement, MB was granted an option to acquire 19.9% of HB's common stock at $22 per share.</t>
  </si>
  <si>
    <t>Trigon Blue Cross Blue Shield</t>
  </si>
  <si>
    <t>Pvd hospital,med plans svcs</t>
  </si>
  <si>
    <t>Trigon Blue Cross Blue Shield acquired Mid-South Insurance for $15.67 per share, or a total of $85.5 mil. The transaction had been subject to regulatory approval.</t>
  </si>
  <si>
    <t>Servico Inc</t>
  </si>
  <si>
    <t>Own,op hotels; holding co</t>
  </si>
  <si>
    <t>Servico, a majority-held unit of FCD Hospitality, terminated its search for a buyer of the company which it had announced in August 1995.</t>
  </si>
  <si>
    <t>Allied Bank Capital</t>
  </si>
  <si>
    <t>First Citizens Bancshares (FCB) acquired all the outstanding shares of Allied Bank Capital (ABC) for $66. 139 mil. ABC shareholders had been granted a choice to receive either $25.25 in cash, $25.25 in Class A common stock, or $25.25 in subordinated debentures of FCB's First Citizens Bank &amp; Trust unit for each ABC share held. In June 1995, ABC announced that it had retained Legg, Mason, Wood, Walker to assist in its search for a buyer of the company. The transaction had been subject to federal and state banking regulatory approval.</t>
  </si>
  <si>
    <t>Cosmetic Center Inc</t>
  </si>
  <si>
    <t>Operate cosmetics stores</t>
  </si>
  <si>
    <t>Perfumania withdrew its unsolicited offer to acquire all the outstanding Class A and Class B common stock of Cosmetic Center for $13 in cash per share, or a total value of $56.681  mil.</t>
  </si>
  <si>
    <t>Enzon Inc</t>
  </si>
  <si>
    <t>In August 1995, Enzon announced that it had retained the services of Lazard Freres to assist in its search for a buyer.</t>
  </si>
  <si>
    <t>First Bank System (FBS) acquired FirstTier Financial (FF) in a stock swap merger valued at $710.511 mil. FF common shareholders received . 8829 FBS common share for each FF share held. Based on FBS's closing stock price of $43 on Aug 4, the last full trading day prior to the announcement, each FF share was valued at $37.965. Under a lockup agreement, FBS was granted the option to acquire up to a 19.9% stake in FF. Concurrently, FBS's board authorized the repurchase of up to 8.3 mil shares of the company's stock outstanding to complete the transaction.</t>
  </si>
  <si>
    <t>Right Start Inc</t>
  </si>
  <si>
    <t>Ret child prod</t>
  </si>
  <si>
    <t>An investor group, including Kayne Anderson Investment Management acquired 3.937 mil common shares, or a 62% interest, in Right Star, a unit of American Recreation Centers.</t>
  </si>
  <si>
    <t>In August 1995, Allstate Financial announced that it had retained the services of Oppenheimer to assist in its search for a buyer.</t>
  </si>
  <si>
    <t>Computer 2000 AG(Kloeckner)</t>
  </si>
  <si>
    <t>Wholesale computers</t>
  </si>
  <si>
    <t>Computer 2000 (C2), a unit of VIAG's Kloeckner subsidiary, exercised its option to raise its stake to 62.7% from 40.8% by acquiring an additional 14 mil newly issued common shares in AmeriQuest Technologies (AQT), exercisable at $.053 per share beginning July 31, 1996. Concurrently, C2 acquired a 12.7% stake, or preferred shares, convertible into 8.1 mil AQT common shares for cancellation of an $18 mil loan. Also, C2 raised its stake to 40.8% from 12.7% by acquiring preferred shares convertible into 18 mil AQT common shares.</t>
  </si>
  <si>
    <t>Piedmont Management Co</t>
  </si>
  <si>
    <t>Chartwell Re Corp</t>
  </si>
  <si>
    <t>Provide life reinsurance svcs</t>
  </si>
  <si>
    <t>Chartwell Re (CR), a unit of ReliaStar Financial's NWNL subsidiary, acquired all the outstanding common and preferred shares of Piedmont Management (PM) in a stock swap valued at $63.091 mil. PM common shareholders received .5656 newly-issued CR shares for each share held. Based on CR's closing stock price of $21 on Dec 13, the last full trading day prior to completion, each PM share was valued at $11.88. Upon completion, PM held 45.25% of the new company and CR was to hold 54.75%. Concurrently, PM completed the spin off of its Lexington Global Asset unit.</t>
  </si>
  <si>
    <t>MHI Group Inc</t>
  </si>
  <si>
    <t>Pvd funeral,crematory svcs</t>
  </si>
  <si>
    <t>Loewen Group Inc</t>
  </si>
  <si>
    <t>Loewen Group (LG) merged with MHI Group (MHI) in a transaction valued at $69.862 mil. Ealier, LG completed a tender offer to acquire all the outstanding shares of MHI Group for $10.25 in cash per share, by accepting 5,894,920 shares, or 84.26% of MHI's fully-diluted outstanding stock. Under a lockup agreement, LG had been granted an option to acquire up to 19.9% of MHI's common shares. The offer had been contingent upon a majority of MHI's shares being tendered and had been subject to regulatory approval.</t>
  </si>
  <si>
    <t>Elco Industries Inc</t>
  </si>
  <si>
    <t>Mnfr fasteners, hardware</t>
  </si>
  <si>
    <t>Illinois Tool Works terminated its hostile offer to acquire Elco Industries (EI) for $27 in cash per share, or a total value of $136.106 mil. Later, Textron merged with EI for $36 per share.</t>
  </si>
  <si>
    <t>Emphesys Financial Group Inc</t>
  </si>
  <si>
    <t>Humana Inc</t>
  </si>
  <si>
    <t>Humana (HU) merged with Emphesys Financial Group (EFG) in a transaction valued at $642.808 mil. Earlier, HU had completed its tender offer to acquire all the outstanding shares, including Lincoln National's 29% stake in EFG, for $37.50 in cash per share, by accepting 16.9 mil shares, or 97.96% of the common stock outstanding. The offer had been subject to at least a majority of the shares being tendered and regulatory approval. Earlier, Employers Health Insurance, a unit of EFG, signed a letter of intent to merge with Physicians Plus Insurance.</t>
  </si>
  <si>
    <t>Nu-West Industries Inc</t>
  </si>
  <si>
    <t>Manufacture fertilizers</t>
  </si>
  <si>
    <t>Agrium Inc</t>
  </si>
  <si>
    <t>Mnfr,whl,ret agricultural prod</t>
  </si>
  <si>
    <t>Agrium (AG) acquired all the outstanding common stock of Nu-West Industries (NW) for $10.50 in cash per share, or a total value of $87.726 mil. Earlier, AG completed its tender offer for NW by accepting 7,805,190 shares, or 90.881% of NW's stock outstanding. The offer had been conditioned upon at least 60% of NW's shares being tendered and had been subject to regulatory approval.</t>
  </si>
  <si>
    <t>Regent Bancshares Corp,PA</t>
  </si>
  <si>
    <t>Carnegie Bancorp,Princeton,NJ</t>
  </si>
  <si>
    <t>Carnegie Bancorp (CB) withdrew its offer to acquire the entire outstanding share capital of Regent Bancshares (RB) in exchange for CB common and preferred stock. Originally, RB common shareholders were to receive . 75 CB common share and RB Series A preferred shareholders were to receive 1 CB convertible preferred share for each RB share held. The transaction was to be subject to federal and state banking regulatory approval. Upon completion, the merged company was to be named Carnegie Regent Bank.</t>
  </si>
  <si>
    <t>Blockbuster Entertainment, a unit of National Amusements' Viacom (VI) subsidiary, terminated its search for for a buyer for its 77% interest in Spelling Entertainment (SE) . Earlier, in August 1995, BE announced that it had retained Bear Stearns to assist in its search for a buyer for its SE unit. Concurrently, VI planned to acquire a 22% stake in Virgin Interactive Entertainment from SE.</t>
  </si>
  <si>
    <t>Life Bancorp Inc</t>
  </si>
  <si>
    <t>Life Bancorp acquired all the outstanding shares of Seaboard Bancorp for $1.65 in cash per share, or a total value of $8.23 mil. The transaction had been subject to federal and state banking regulatory approval.</t>
  </si>
  <si>
    <t>Broadway Stores</t>
  </si>
  <si>
    <t>Federated Department Stores</t>
  </si>
  <si>
    <t>Federated Department Stores (FDS) acquired Broadway Stores (BDS) in stock swap valued at $1.614 bil. BDS' shareholders received .27 FDS common shares for each share held. Based on FDS's closing stock price of $29.625 on Aug 11, each BDS share had been valued at $8. Also, FDS assumed liabilities consisting of a $422 mil mortgage loan and $824 mil in credit-card receivables. The transaction was accounted for as a pooling of interests and had been subject to regulatory approval.</t>
  </si>
  <si>
    <t>CIPSCO Inc</t>
  </si>
  <si>
    <t>Union Electric Co</t>
  </si>
  <si>
    <t>Union Electric (UE) merged with CIPSCO to form Ameren (AM) in a stock swap transaction valued at $1.24 bil. CIPSCO common shareholders received 1.03 AM shares and UE common shareholders received 1 AM share for each share held. Based on UE's closing stock price of $35.375 on Aug 11, the last full trading day prior to the announcement, each CIPSCO share was valued at $36.44. The transaction was accounted for as a pooling of interests and had been subject to regulatory approval.</t>
  </si>
  <si>
    <t>Integrated Silicon Systems Inc</t>
  </si>
  <si>
    <t>Develop CAD and CAM systems</t>
  </si>
  <si>
    <t>Avant! Corp</t>
  </si>
  <si>
    <t>ArcSys (AS) acquired Integrated Silicon Systems (ISS) in a stock swap transaction valued at $286. 888 mil. ISS common shareholders received 1.5 AS common shares for each share held. Based on AS's closing stock price of $44.75 on Aug 11, the last full trading day prior to the announcement, each ISS share was valued at $67.12. The transaction had been subject to regulatory approval and was accounted for as a pooling of interests. The merged company was named Avant.</t>
  </si>
  <si>
    <t>C-TEC Corp</t>
  </si>
  <si>
    <t>C-TEC raised its stake to 62% from 43.6% in Mercom by exercising its rights to acquire shares for $3.60 in cash per share, or a total value of $3.759 mil.</t>
  </si>
  <si>
    <t>PP&amp;L Resources Inc</t>
  </si>
  <si>
    <t>Philadelphia Electric Co</t>
  </si>
  <si>
    <t>PECO Energy withdrew its sweetend hostile offer to acquire PP&amp;L Resources in a stock swap merger valued at an amended $4.32 bil. PPL shareholders were to have received .921 PE common shares for each PPL share held. Based on PE's closing stock price of $29.875 on Oct 20, the last full trading day prior to the amendment of terms, each PPL sahre was valued at $27.51. Earlier, PE had offered .865 PE shares for each PPL share held. The transaction was to have been accounted for as a pooling of interests and was subject to regulatory approval.</t>
  </si>
  <si>
    <t>ICO acquired Wedco Technology (WT) in a stock swap merger valued at an amended and estimated $56.692 mil. WT common shareholders had been granted a choice to receive either $3.50 in cash and 2.2 ICO common shares, or 2.84 ICO shares, for each WT share held. Based on ICO's closing stock price of $5.375 on Dec 11, the last full trading day prior to the disclosure of amended terms, each WT share was valued at $15.325, with the value based on the higher price of the two choices. Originally, ICO offered $5.71 in cash and 1.8 shares per WT share.</t>
  </si>
  <si>
    <t>Advance Circuits Inc</t>
  </si>
  <si>
    <t>Mnfr printed circuit boards</t>
  </si>
  <si>
    <t>Johnson Matthey PLC</t>
  </si>
  <si>
    <t>Mnfr,whl chemicals</t>
  </si>
  <si>
    <t>Johnson Matthey (JM) completed its merger with Advance Circuits (AC) in a transaction valued at $171. 001 mil. Earlier, JM completed its tender offer for all the outstanding shares of AC for $22.50 per share, by accepting 6,985,501, or 92.3%, of AC's shares. The offer had been contingent upon 51% of AC's shares being tendered. Included in the value were 81,954 options valued at $5.84, based on the difference offer price and the average exercise price.</t>
  </si>
  <si>
    <t>DF&amp;R Restaurants Inc</t>
  </si>
  <si>
    <t>Apple South Inc</t>
  </si>
  <si>
    <t>Apple South (AS) acquired DF&amp;R Restaurants (DFR) in a stock swap transaction valued at $207.136 mil. DFR shareholders received 1.5 AS common shares for each share held, subject to a collar agreement. Based on AS's closing stock price of $21. 875 on Aug 14, the last full trading day prior to the announcement, each DFR share was valued at $32.8125. The transaction was accounted for as a pooling of interests.</t>
  </si>
  <si>
    <t>Conservative Savings Corp</t>
  </si>
  <si>
    <t>Commercial Federal (CF) acquired Conservative Savings (CS) in a stock swap valued at $42.516 mil. Each CS share was exchanged for $6.34 in cash plus .2525 CF common shares, valued at $14.39, and each CS preferred share was exchanged for $14.33 in cash plus 2.26 times the exact common share exchange ratio, valued at $32.52. The shares were valued based on CF's closing stock price of $31. 875 on Aug 15, the last full trading day prior to the announcement. Under a lockup, CF was granted an option to acquire up to 19.9% of CS's shares.</t>
  </si>
  <si>
    <t>FSB Financial Corp</t>
  </si>
  <si>
    <t>Standard Fed Bancorp,Troy,MI</t>
  </si>
  <si>
    <t>Standard Federal Bancorp acquired all the outstanding shares and options of FSB Financial for $27.15 mil. The consideration consisted of $23.50 in cash per share and $23.50 minus the exercise price in cash per option. The transaction had been subject to federal and state banking regulatory approval under the Office of Thrift Supervision.</t>
  </si>
  <si>
    <t>Rockefeller Center Properties</t>
  </si>
  <si>
    <t>An investor group, comprised of Tishman Speyer Properties and Rockefeller Group, a unit of Mitsubushi Estate, withdrew their offer to acquire bankrupt Rockefeller Center Properties (RC) for $975 mil in cash and a 21% interest in a newco to be formed. Of the cash offered, the amount to be received by RC shareholders was not to be determined until the exact amount of RC debt to be assumed was made clear. Later, an investor group led by Zell/Merrill Lynch Opportunity Partners III, Walt Disney and General Electric, withdrew its offer for an amended 32.5% stake in RC.</t>
  </si>
  <si>
    <t>Capital Guaranty Corp</t>
  </si>
  <si>
    <t>Municipal bond insurance co</t>
  </si>
  <si>
    <t>Finl Security Assurance Hldgs</t>
  </si>
  <si>
    <t>Pvd finl guaranty ins</t>
  </si>
  <si>
    <t>Financial Security Assurance Holding (FSA), a unit of US WEST, acquired Capital Guaranty (CG) in a stock swap merger valued at $220.19 mil. CG shareholders receieved $5. 69 in cash and .6716 FSA common share for each share held, due to a collar agreement. Based on FSA's closing stock price of $25 on Dec 13, the last full trading day prior to the announcement of exact terms, each CG share was valued at $22.48. The transaction had been subject to regulatory approval.</t>
  </si>
  <si>
    <t>Liberty Natl Bk,Huntington,CA</t>
  </si>
  <si>
    <t>Savings and loans</t>
  </si>
  <si>
    <t>SDN Bancorp(Dartmouth Capital)</t>
  </si>
  <si>
    <t>SDN Bancorp, a unit of Dartmouth Capital Group, acquired all the outstanding shares of Liberty National Bank, Huntington Beach, California, for $14.80 in cash per share, or a total value of $14.48 mil.</t>
  </si>
  <si>
    <t>Eagle Bancorp,Helena,Montana</t>
  </si>
  <si>
    <t>United Bankshares (UB) merged with Eagle Bancorp (EB) in a stock swap transaction valued at $93.382 mil. EB common shareholders received 1.15 UB common shares for each EB share held. Based on UB's closing stock price of $29.75 on Aug 18, the last full trading day prior to the announcement, each EB share was valued at $34.212. The transaction had been subject to federal and state banking regulatory approval.</t>
  </si>
  <si>
    <t>Finl Institutions Ins Grp Ltd</t>
  </si>
  <si>
    <t>Chairman, R. Keith Long withdrew his unsolicited offer to acquire the remaining 87.5% interest that he did not already own in Financial Institutions Insurance Group (FI) for $16 per share, or a total value of $32.832 mil. Later, a group led by Castle Harlan Partners and FI president John A Dore, acquired FI for $18 in cash per share.</t>
  </si>
  <si>
    <t>King World Productions Inc</t>
  </si>
  <si>
    <t>Pvd TV distribution services</t>
  </si>
  <si>
    <t>Turner Broadcasting System (TBS) withdrew its offer to acquire King World Productions (KWP) after the TBS's directors opposed the acquisition. TBS was rumored to have been offering $47 for each KWP share held. In March 1995, King World Productions was rumored to have been seeking a buyer for the company.</t>
  </si>
  <si>
    <t>Rancho Santa Fe National Bk,CA</t>
  </si>
  <si>
    <t>FP Bancorp,Escondidio,CA</t>
  </si>
  <si>
    <t>FP Bancorp (FB) withdrew its agreement to acquire all the outstanding shares of Rancho Santa Fe National Bank, in exchange for 1,332,000 (FB) common shares valued at $10. 82 mil. The shares were valued based on FB's closing stock price of on Aug 18, the last full trading day prior to the announcement. The transaction had been subject to federal and state banking regulatory approval.</t>
  </si>
  <si>
    <t>Iowa Bancorp Inc</t>
  </si>
  <si>
    <t>First Midwest Finl,Iowa</t>
  </si>
  <si>
    <t>First Midwest Financial acquired all the outstanding shares and options of Iowa Bancorp (IB) for $20.39 per share, or a total value of $8. 985 mil, which included $20. 39 less $6.89 per option, for options to purchase 36,537 common shares. The transaction had been subject to the Office of Thrift Supervision regulatory approval. Concurrently, Chiplease terminated its offer to acquire IB for $21. 61 per share, or a total value of $9 mil.</t>
  </si>
  <si>
    <t>Palm Springs Golf Co Inc</t>
  </si>
  <si>
    <t>Own,op golf courses</t>
  </si>
  <si>
    <t>Ajay Sports Inc</t>
  </si>
  <si>
    <t>Mnfr, wholesale golf equipment</t>
  </si>
  <si>
    <t>Ajay Sports (AJS) acquired Palm Springs Golf for $4.4718 mil. The consideration consisted of .6667 mil common shares, valued at $.3959 mil, 633,333 common shares, in the form of profit-related payments, valued at $.376 mil, .8 mil stock options, and $3. 7 mil in assumption of liabilities. The shares were based on AJS's closing stock price of $.59375 on Oct 6, the last full trading day prior to the announcement of the terms.</t>
  </si>
  <si>
    <t>Medrad Inc</t>
  </si>
  <si>
    <t>Mnfr medical instruments</t>
  </si>
  <si>
    <t>Schering Berlin Inc</t>
  </si>
  <si>
    <t>Schering Berlin (SB), a unit of Schering, completed its acquisition of all the outstanding shares of Medrad (MD) in a transaction valued at $181.188 mil. Earlier, SB had completed its tender offer for MD for $28 in cash per share, by accepting 5.77 mil common shares, or a 97.1% interest in MD. The transaction had been subject to a minimum of 80% of the share outstanding being tendered.</t>
  </si>
  <si>
    <t>Metro Financial Corp</t>
  </si>
  <si>
    <t>Regions Financial Corp,AL</t>
  </si>
  <si>
    <t>Regions Financial (RF) acquired Metro Financial (MF) in a stock swap transaction valued at $29.761 mil. MF common shareholders received . 431 RF common shares for each MF share held. Based on RF's closing stock price of $38. 3125 on Aug 22, the last full trading day prior to the announcement, each MF share was valued at $16.51. The transaction had been subject to federal and state banking regulatory approval.</t>
  </si>
  <si>
    <t>Roto-Rooter Inc</t>
  </si>
  <si>
    <t>Provide plumbing services,prod</t>
  </si>
  <si>
    <t>Chemed Corp</t>
  </si>
  <si>
    <t>Mnfr chems,janitorial equip</t>
  </si>
  <si>
    <t>Chemed withdrew its unsolicited offer to acquire the remaining 41% interest it did not already own in Roto- Rooter in a stock swap transaction.</t>
  </si>
  <si>
    <t>Public Service Co of Colorado</t>
  </si>
  <si>
    <t>Public Service Co of Colorado (PSC) merged with Southwestern Public Service (SPS) to form New Century Energies (NCE) in a merger-of- equals stock swap transaction valued at $1.224 bil. SPS shareholders received .95 NCE share per share held, and PSC shareholders received 1 NCE share per share held. Based on PSC's closing stock price of $31.50 on Aug 22, the last full trading day prior to the announcement, each SPS share was valued at $29.925. Upon completion, PSC held a 61.9% interest and SPS held the remaining 38.1% stake in NCE. NCE was created as a holding company for both SPS and PSC to continue operations as subsidiaries of the newly created company.</t>
  </si>
  <si>
    <t>Enron Cap &amp; Trade Res Corp</t>
  </si>
  <si>
    <t>Enron Capital &amp; Trade Resources (EC), a unit of Enron, acquired Coda Energy (CE) for an amended $7.75 in cash per share, or a total value of $282.387 mil, including $100 mil in the assumption of liabilities. Originally, EC offered $8.00 in cash per share. The transaction was no longer contingent upon the divestiture of CE's Taurus Energy subsidiary and had been subject to regulatory approval. Earlier, a management-led investor group terminated its negotiations to acquire CE.</t>
  </si>
  <si>
    <t>Boatmen's Bancshares (BB) acquired Fourth Financial (FF) in a stock swap transaction valued at $1.18 bil. FF shareholders received 1 BB common share for each FF share held. Based on BB's closing stock price of $37.25 on Aug 24, the last full trading day prior to the announcement, each FF share was valued at $37.25. The transaction had been subject to federal and state banking regulatory approval and had been accounted for as a pooling of interests.</t>
  </si>
  <si>
    <t>GEICO Corp(Berkshire Hathaway)</t>
  </si>
  <si>
    <t>Insurance and financial svcs</t>
  </si>
  <si>
    <t>Berkshire Hathaway Inc</t>
  </si>
  <si>
    <t>Berkshire Hathaway acquired the remaining 47.4% stake, which it did not already own, in GEICO for $70 in cash per share, or a total value of $2. 306 bil. The transaction had been subject to regulatory approval, including that of the state insurance regulators.</t>
  </si>
  <si>
    <t>Chase Manhattan Corp</t>
  </si>
  <si>
    <t>Chemical Banking (CB) merged with Chase Manhattan (CM) in a merger-of-equals stock swap transaction valued at $10.439 bil. CM common shareholders received 1.04 common shares in the merged company per share held, while CB common shareholders received 1 share in the merged company per share held. Based on CB's closing stock price of $54. 375 on Aug 25, the last full trading day prior to the announcement, each CM share was valued at $56.55. Upon completion, the merged company was named Chase Manhattan.</t>
  </si>
  <si>
    <t>Dianon Systems Inc</t>
  </si>
  <si>
    <t>Provide pathology testing svcs</t>
  </si>
  <si>
    <t>Bio-Reference Laboratories Inc</t>
  </si>
  <si>
    <t>Bio-Reference Laboratories (BRL) withdrew its unsolicited offer to acquire all the outstanding shares of Dianon Systems (DS) for $34. 118 mil. The consideration was to have consisted of $1 in cash and 1 BRL share per DS share held. Based on BRL's closing stock price of $5.5 on Aug 25, the last full trading day prior to the announcement, each DS share was valued at $6.5.</t>
  </si>
  <si>
    <t>National City (NC), Cleveland, Ohio, acquired Integra Financial (IF) in a stock swap transaction valued at $2.098 bil. IF common shareholders received 2 NC common shares for each IF share held. Based on NC's closing stock price of $31. 625 on Aug 25, the last full trading day prior to the announcement, each IF share was valued at $63.25. Under a lockup agreement, IF had been granted the option to acquire 12,098,600 NC common shares at $31.625 per share. The transaction was accounted for as a pooling of interests.</t>
  </si>
  <si>
    <t>Medicine Shoppe International</t>
  </si>
  <si>
    <t>Cardinal Health Inc</t>
  </si>
  <si>
    <t>Whl medical,surgical products</t>
  </si>
  <si>
    <t>Cardinal Health (CH) acquired all the outstanding stock of Medicine Shoppe International (MSI) in exchange for $45 in CH common stock per MS share held, subject to a collar agreement, or a total value of $350.285 mil. The transaction had been accounted for as a pooling of interests and had been subject to regulatory approval. Under a lockup agreement, CH had been granted the option to acquire up to 1.3 mil MSI shares at $39 per share.</t>
  </si>
  <si>
    <t>SFFed Corp</t>
  </si>
  <si>
    <t>First Nationwide Bank,TX</t>
  </si>
  <si>
    <t>First Nationwide Bank (FNB), Dallas, Texas, a unit of MacAndrews &amp; Forbes Holdings, acquired SFFed for $32 in cash per share, or a total value of $264.048 mil. The transaction had been subject to federal and state banking regulatory approval.</t>
  </si>
  <si>
    <t>Univax Biologics Inc</t>
  </si>
  <si>
    <t>Mnfr biological products</t>
  </si>
  <si>
    <t>North American Biologicals Inc</t>
  </si>
  <si>
    <t>Biotech co</t>
  </si>
  <si>
    <t>North American Biologicals (NAB) acquired Univax Biologics (UB) in a stock swap valued at $163.248 mil. UB shareholders received .79 NAB common shares for each UB share held. Based on NAB's closing stock price of $11. 1875 on Aug 25, the last full trading day prior to the announcement, each UB share was valued at $8.838. The transaction had been subject to regulatory approval and was accounted for as a pooling of interests. Upon completion, UB was renamed NAB.</t>
  </si>
  <si>
    <t>American Consumer Products Inc</t>
  </si>
  <si>
    <t>Mnfr consumer hardward prods</t>
  </si>
  <si>
    <t>Vista 2000 Inc</t>
  </si>
  <si>
    <t>Dvlp sec sys;hldg co</t>
  </si>
  <si>
    <t>Vista 2000 (VS) acquired the remaining 99.1% of American Consumer Products (ACP), which it did not already own, for $5.30 in cash per share, or a total  value of $13 mil. Concurrently, VS completed its tender offer for ACP by accepting 2,369,921 shares, or 95.18% of ACP's common shares outstanding. The transaction had been contingent upon 51% of the shares being tendered.</t>
  </si>
  <si>
    <t>Time Warner (TW) acquired the remaining 82.2% it did not already own in Turner Broadcasting System (TB), including Tele- Communications' 21% stake, in a stock swap valued at $6.8 bil. TB Class A and B shareholders received .75 TW shares and TB Class C convertible preferred shareholders received .8 TW shares per common share held after conversion. Based on TW's closing stock price of $39.75 on Sep 21, each TB Class A and B share was valued at $29.81 and each TB common share held after the conversion of preferred stock was valued at $31.80.</t>
  </si>
  <si>
    <t>Lawter International (LI) terminated its unsolicited offer to acquire the remaining 8.199 mil common shares it did not already own in Hach (HH) for $21 in cash per share, or a total value of $173.76 mil after HH's board rejected the offer.</t>
  </si>
  <si>
    <t>Heart Technology Inc</t>
  </si>
  <si>
    <t>Manufacture heart catheters</t>
  </si>
  <si>
    <t>Boston Scientific (BS) acquired Heart Technology (HT) in a stock swap transaction valued at $490.918 mil. Each HT common shareholder received $27 of BS common stock for each HT share held, subject to a collar agreement. Investor David Auth and two board members, who collectively held 22% of HT's outstanding common stock, agreed to support the merger. The transaction had been subject to Federal Trade Commission regulatory approval under the Hart-Scott- Rodino Act and was accounted for as a pooling of interests.</t>
  </si>
  <si>
    <t>Helian Health Group Inc</t>
  </si>
  <si>
    <t>TheraTx Inc</t>
  </si>
  <si>
    <t>TheraTx (TT) acquired Helian Health Group (HH) in a stock swap transaction valued at $30.408 mil. Each HH shareholder received .4533 TT common shares for each of shares held. Based on TT's closing stock price of $12.25 on Dec 28, the last full trading day prior to the announcement of exact terms, each HH share was valued at $5.55. The transaction was accounted for as a pooling of interests and had been subject to regulatory approval.</t>
  </si>
  <si>
    <t>Kentucky Medical Insurance Co</t>
  </si>
  <si>
    <t>Michigan Physicians Mutual</t>
  </si>
  <si>
    <t>Surety insurance co</t>
  </si>
  <si>
    <t>Michigan Physicians Mutual Liability (MP) acquired all the outstanding Class A and Class B common shares of Kentucky Medical Insurance (KM) for $12.3686 in cash per share, or a total value of $25 mil. The transaction had been subject to regulatory approval.</t>
  </si>
  <si>
    <t>Syms Corp</t>
  </si>
  <si>
    <t>Retail designer clothing</t>
  </si>
  <si>
    <t>An investor group, led by Sy Syms, chairman and CEO of Syms, withdrew its offer to take Syms private by acquiring the remaining 22.7% interest, or 4.056 mil common shares, of Syms it did not already own for $8.75 in cash per share, or a total value of $34.157 mil, through a leveraged buyout transaction.</t>
  </si>
  <si>
    <t>Consumer Portfolio Services</t>
  </si>
  <si>
    <t>Pvd auto financing svcs</t>
  </si>
  <si>
    <t>CPS Holdings Inc</t>
  </si>
  <si>
    <t>Pvd credit card svcs</t>
  </si>
  <si>
    <t>CPS Holdings agreed to merge with Consumer Portfolio Services. Under terms of the agreement, CPS was to acquire the remaining 46.16%, or 2.9 mil common shares, of Consumer it did not already own. The shares CPS held included an option for .9 mil Consumer shares, which CPS planned to exercise.</t>
  </si>
  <si>
    <t>Bell Industries Inc</t>
  </si>
  <si>
    <t>Mnfr,whl electn prod</t>
  </si>
  <si>
    <t>Bell Industries (BI) withdrew its rejected unsolicited offer to acquire Sterling Electronics (SE) in a stock swap transaction valued at $149.906 mil. BI offered 1 BI common share for each SE share held. Based on BI's closing stock price of $21.75 on Aug 30, the last full trading day prior to the announcement, each SE share was valued at $21.75.</t>
  </si>
  <si>
    <t>NationsBank (NB) merged with Bank South (BS) in a stock swap transaction valued at $1. 58 bil. BS shareholders received .44 NB shares for each BS share held. Based on NB's closing stock price of $61.5 on Sep 1, the last full trading day prior to the announcement, each BS share was valued at $27.06. Under a lockup agreement, NB was granted an option to acquire 19.9% of BS's common stock. The transaction had been subject to federal and state banking regulatory approval and was accounted for as a pooling of interests.</t>
  </si>
  <si>
    <t>TPI Enterprises Inc</t>
  </si>
  <si>
    <t>Own,op restaurants,theaters</t>
  </si>
  <si>
    <t>Shoney's Inc</t>
  </si>
  <si>
    <t>Shoney's (SH) acquired TPI Enterprises (TP) in a stock swap transaction valued at an estimated $160.1 mil, including the assumption of $95 mil in liabilities. TP common shareholders received . 28 SH common share and .32 SH warrant for each TP share held. Based on SH's closing stock price of $11.375 on Sep 1, the last full trading day prior to the announcement, each TP share was valued at $3.185. The transaction had been subject to regulatory approval.</t>
  </si>
  <si>
    <t>Megatest Corp</t>
  </si>
  <si>
    <t>Mnfr automatic testing equip</t>
  </si>
  <si>
    <t>Teradyne Inc</t>
  </si>
  <si>
    <t>Mnfr automatic test equipment</t>
  </si>
  <si>
    <t>Teradyne (TD) acquired Megatest (MT) in a stock swap transaction valued at $206. 659 mil. MT shareholders received .9091 TD common shares for each MT share held. Based on TD's closing stock price of $30.625 per share on Nov 24, the last full trading day prior to the announcement, each MT share was valued at $27.8412. The transaction had been accounted for as a pooling of interests.</t>
  </si>
  <si>
    <t>Xylogics Inc</t>
  </si>
  <si>
    <t>Mnfr disk drive controllers</t>
  </si>
  <si>
    <t>Bay Networks Inc</t>
  </si>
  <si>
    <t>Bay Networks (BN) acquired Xylogics (XY) in a stock swap transaction valued at $337.24 mil. XY common shareholders were to receive 1.05 BN common shares for each XY share held. Based on BN's closing stock price of $50.25 on Sep 5, the last full trading day prior to the announcement, each XY share was valued at $52.7625. The transaction was accounted for as a pooling of interests. Upon completion, XY common shareholders received 1.575 BN common shares for each of their shares held to correct for a Nov 24 3 for 2 BN stock split.</t>
  </si>
  <si>
    <t>Admar Group Inc</t>
  </si>
  <si>
    <t>Provide health care mgmt svcs</t>
  </si>
  <si>
    <t>Principal Health Care Inc</t>
  </si>
  <si>
    <t>Principal Health Care, a unit of Principal Mutual Life Insurance, acquired all the outstanding common shares of Admar Group for $2.25 in cash per share, or a total value of $19.806 mil.</t>
  </si>
  <si>
    <t>LNH REIT Inc</t>
  </si>
  <si>
    <t>EastGroup Properties (EP) agreed to acquire the remaining 76.6% interest which it did not already own in LNH REIT (LN) in exchange for a sweetened $8.10 in EP common stock for each LN share held, or a total value of $13.65 mil. Originally, EP had offered $7.75 in common stock for each LN share held.</t>
  </si>
  <si>
    <t>AmVestors Financial Corp</t>
  </si>
  <si>
    <t>AmVestors Financial (AF) acquired all the outstanding common shares of Financial Benefit Group (FB) for about $5.51 per share, or an estimated total value of $43. 603 mil. Each FB common shareholder received an amended .3822 AF common share valued at $5.16, $.35 in cash, and .0932 AM warrant for each share held. The share portion was valued based on AF's closing stock price of $13.50 on Apr 8, the last full trading day prior to the announcement of amended terms. AF originally agreed to acquire FB for about $5.31 per share, or $35.85 mil.</t>
  </si>
  <si>
    <t>Sunbelt Cos Inc</t>
  </si>
  <si>
    <t>Wholesale lumber</t>
  </si>
  <si>
    <t>Pelican Cos Inc</t>
  </si>
  <si>
    <t>Pelican acquired all the outstanding shares of Sunbelt (SB) for $7.95 in cash per share, or a total value of $17.998 mil. The transaction had been subject to regulatory approval. Earlier, in March 1995, SB announced it was seeking a buyer for the company.</t>
  </si>
  <si>
    <t>UJB Financial (UJ) acquired Summit Bancorporation (SB) in a stock swap merger valued at $1.143 bil. SB common shareholders received .9 UJ common share for each SB share held. Based on UJ's closing stock price of $36. 625 on Sep 8, the last full trading day prior to the announcement, each SB share was valued at $32.96. The transaction was accounted for as a pooling of interests and had been subject to federal and state banking regulatory approval. Upon completion, the merged company was named Summit Bancorp.</t>
  </si>
  <si>
    <t>NJB Commercial Corp</t>
  </si>
  <si>
    <t>NJB Commercial agreed to merge with UJB Financial. The transaction was subject to federal and state banking regulatory approval.</t>
  </si>
  <si>
    <t>Advanced Surgical Inc</t>
  </si>
  <si>
    <t>UroHealth Systems Inc</t>
  </si>
  <si>
    <t>Urohealth Systems (US) acquired Advanced Surgical (AS) in a stock swap transaction valued at $12 mil. AS common shareholders received .3037 US common share for each of their shares held. Based on US's closing stock price of $4 per share on Sept 11, the last full trading day prior to the announcement, each AS share was valued at $1.21. The transaction was accounted for as a pooling of interests.</t>
  </si>
  <si>
    <t>CableMaxx Inc</t>
  </si>
  <si>
    <t>Own,operate cable TV systems</t>
  </si>
  <si>
    <t>Heartland Wireless Commun Inc</t>
  </si>
  <si>
    <t>Pvd cable,pay TV svcs</t>
  </si>
  <si>
    <t>Heartland Wireless Communication (HW) acquired all the outstanding common shares of CableMaxx (CM) for $8.50 in HW common stock per share, or a total value of $73.1 mil. The transaction had been subject to regulatory approval.</t>
  </si>
  <si>
    <t>Textron Inc</t>
  </si>
  <si>
    <t>Mnfr,whl aircraft engines,components</t>
  </si>
  <si>
    <t>Textron merged with Elco Industries (EI) in a transaction valued at $182.22 mil. Earlier, Textron completed its tender offer for all the outstanding shares of EI, including 853, 000 shares held by Okabe, for $36.00 in cash per share, by acquiring 4,665,384 EI shares, or 90.82% on a fully-diluted basis. The transaction had been contigent upon at least 67% of EI's shares being tendered. Earlier, Illinois Tool Works terminated its hostile offer to acquire EI for $27 per share.</t>
  </si>
  <si>
    <t>FMC Gold Co</t>
  </si>
  <si>
    <t>In September 1995, FMC announced that it had retained the services of Wood Gundy and JP Morgan to assist in its search for a buyer for its 80% interest in FMC Gold.</t>
  </si>
  <si>
    <t>Chiplease Inc</t>
  </si>
  <si>
    <t>Chiplease (CL) terminated its offer to acquire the remaining 93.66% of Iowa Bancorp (IB) it did not already own for $21.61 per share, or a total value of $7. 39 mil. Included in CL's interest in IB were 13,000 IB shares CL acquired during the 60 days prior to the offer. The transaction had been subject to federal and state banking regulatory approval. Later, First Midwest Financial acquired IB.</t>
  </si>
  <si>
    <t>First Financial Bancshares</t>
  </si>
  <si>
    <t>Barnett Banks (BB) acquired all the outstanding shares of First Financial Bancshares of Polk County (FFB) for $15.51 in cash per share, or a total value of $20 mil. Under a lockup agreement, BB was granted an option to acquire up to 19.9%, or 247,857 shares, of FFB's common stock outstanding for $13.50 per share. The transaction had been subject to federal and state banking regulatory approval.</t>
  </si>
  <si>
    <t>Coastwide Energy Services Inc</t>
  </si>
  <si>
    <t>Gas,electric utility</t>
  </si>
  <si>
    <t>Tesoro Petroleum (TP) acquired all the outstanding shares of Coastwide Energy Services (CE) for $6.38 in a combination of cash and common stock per share, or a total value of $13.876 mil. CE common shareholders received $2.55 in cash, or a total value of $4.609 mil, and .41 TP common share, or a total value of $9.267 mil, for each CE share held. The share portion was valued based on TP's closing stock price of $9.375 on Sep 13, the last full trading day prior to the announcement. The transaction had been subject to regulatory approval.</t>
  </si>
  <si>
    <t>CR Gibson Co</t>
  </si>
  <si>
    <t>Mnfr,publish memory books</t>
  </si>
  <si>
    <t>Thomas Nelson Inc</t>
  </si>
  <si>
    <t>Publish,whl Christian books</t>
  </si>
  <si>
    <t>Thomas Nelson (TN) merged with CR Gibson (CRG) in a transaction valued at $67.51 mil. Earlier, TN completed a tender offer to acquire all of CRG's outstanding shares for $9.00 in cash per share, by accepting 7.158 mil common shares, or 92.1% of the company's shares outstanding. The offer had been conditioned upon at least a majority of the shares, on a fully-diluted basis, being tendered.</t>
  </si>
  <si>
    <t>Data Measurement Corp</t>
  </si>
  <si>
    <t>Mnfr measurement systems</t>
  </si>
  <si>
    <t>Measurex Corp</t>
  </si>
  <si>
    <t>Mnfr process control systems</t>
  </si>
  <si>
    <t>Measurex acquired all the outstanding shares of Data Measurement for $18.625 in cash per share, or a total value of $32.245 mil.</t>
  </si>
  <si>
    <t>US Intec Inc</t>
  </si>
  <si>
    <t>Mnfr roofing materials</t>
  </si>
  <si>
    <t>G-I Holdings</t>
  </si>
  <si>
    <t>Mnfr chemicals,building prod</t>
  </si>
  <si>
    <t>G-I Holdings (GI), a unit of GAF Holdings, acquired US Intec (USI) for $9.05 in cash per share, or a total value of $27.52 mil. GI completed its tender offer for USI, by acquiring 2.87 mil shares. The offer was contingent upon a minimum of 66.67% of USI's shares being tendered. The transaction was subject to regulatory approval under the Hart Scott Rodino Act.</t>
  </si>
  <si>
    <t>Bliss &amp; Laughlin Industries</t>
  </si>
  <si>
    <t>Mnfr steel and steel products</t>
  </si>
  <si>
    <t>BRW (Veritas Capital Corp)</t>
  </si>
  <si>
    <t>BRW Steel, a unit of Veritas Capital, acquired all the outstanding shares of Bliss &amp; Laughlin Industries (BL), including Stelco's 39% stake, for a sweetened $9.50 in cash per share, amended from $7.75 per share, or a total value of $57.72 mil, including $20 mil in the assumption of liabilities. The transaction had been subject to regulatory approval. Earlier, International Metals Acquisition withdrew its hostile offer to acquire BL for an amended $9.75 in cash per share, or a total value of $58.71 mil.</t>
  </si>
  <si>
    <t>Kevlin Corp</t>
  </si>
  <si>
    <t>Kaydon Corp</t>
  </si>
  <si>
    <t>Manufacture bearing systems</t>
  </si>
  <si>
    <t>In Setember 1995, Kaydon signed a letter of intent to acquire Kevlin (K) for $13.83 mil, but subsequently terminated its agreement. The consideration was to have consisted of a choice of either $4.50 in cash per share held or $4.50 in common shares per share held. Also in September 1995, K announced that it was seeking a buyer for the company.</t>
  </si>
  <si>
    <t>Ply-Gem Industries Inc</t>
  </si>
  <si>
    <t>Manufacture wood products</t>
  </si>
  <si>
    <t>Ply-Gem withdrew its search for a buyer because of an increase in its second quarter 1996 earnings. In September 1995, Ply-Gem Industries announced that it had retained Bear Stearns to assit in its search for a buyer for the company.</t>
  </si>
  <si>
    <t>Huffman Koos(Sussex Group Ltd)</t>
  </si>
  <si>
    <t>Own,operate furniture stores</t>
  </si>
  <si>
    <t>Breuners Home Furnishings Corp</t>
  </si>
  <si>
    <t>Own,operate furniture store</t>
  </si>
  <si>
    <t>Home Furnishings (HF), a unit of Breuner, acquired all the outstanding stock of Huffman Koos (HK), a unit of JG Industries' (JGI) SGH subsidiary, for $9.375 in cash per share, or a total value of $37.586 mil. Earlier, HF completed its tender offer for HK by accepting 3, 913,010 shares, or 95.87% of HK's shares. The transaction had been subject to a minimum of 90% of the shares being tendered and subject to Federal Trade Commission approval. In April 1995, JGI announced it was seeking a buyer for HF.</t>
  </si>
  <si>
    <t>Seagate Technology Inc</t>
  </si>
  <si>
    <t>Mnfr,whl computer disk drives</t>
  </si>
  <si>
    <t>Seagate Technology (ST) acquired Conner Peripherals (CP) in a stock swap transaction valued at $1.164 bil. CP shareholders received .442 ST common shares for each CP share held. Based on ST's closing stock price of $47.25 on Sep 19, the last full trading day prior to the announcement, each CP share was valued at $20.88. The transaction had been accounted for as a pooling of interests and had been subject to regulatory approval.</t>
  </si>
  <si>
    <t>Convex Computer Corp</t>
  </si>
  <si>
    <t>Manufacture mini computers</t>
  </si>
  <si>
    <t>Hewlett-Packard (HP) acquired the remaining 95% interest which it did not already own in Convex Computer (CC) in a stock swap valued at $123.185 mil. CC common shareholders received $4.83 in HP common stock for each CC share held. The transaction was accounted for as a pooling of interests and had been subject to regulatory approval. Upon completion, CC was renamed Convex Technology Center of Hewlwtt-Packard.</t>
  </si>
  <si>
    <t>NuMed Home Health Care (NM) terminated its letter of intent to acquire International Nursing Services (IN) in a stock swap transaction valued at $4.766 mil. IN common shareholders were to receive .8 NM common share per IN common share held and IN preferred shareholders were to receive 2.5 NM common shares per IN preferred share held. Based on NM's closing stock price of $2.0625 on Sep 20, the last full trading day prior to the announcement, each IN common share was valued at $1. 65 and each IN preferred share was valued at $5.16.</t>
  </si>
  <si>
    <t>International Metals Acquisition withdrew its hostile offer to acquire all the outstanding shares, including Stelco's 39% stake, of Bliss &amp; Laughlin Industries (BL) for an increased $9.75 in cash per share, amended from $8.25, or a total value of $58.71 mil, including $20 mil in the assumption of liabilities. Later, BRW Steel, a unit of Veritas Capital, acquired BL for an amended $9.50 in cash per share, or a total value of $57.72 mil, including $20 mil in the assumption of liabilities.</t>
  </si>
  <si>
    <t>Brooklyn Bancorp Inc</t>
  </si>
  <si>
    <t>Republic New York Corp,NY,NY</t>
  </si>
  <si>
    <t>Republic New York (RNY) acquired all the outstanding shares of Brooklyn Bancorp (BB) for $41.50 in cash per share, or a total value of $508.758 mil. The value included $41.5 in cash less the exercise price of $23.5 for warrants to purchase 1 mil common shares. Under a lockup agreement, RNY had been granted an option to acquire 19.9% of BB's stock for $34.50 per share. The transaction had been subject to federal and state banking regulatory approval.</t>
  </si>
  <si>
    <t>CD Spangler</t>
  </si>
  <si>
    <t>CD Spangler acquired all the outstanding common shares of National Gypsum, a unit of Delcor, for $54 per share, or a total value of $1.135 bil.</t>
  </si>
  <si>
    <t>Potomac Electric Power Company</t>
  </si>
  <si>
    <t>Baltimore Gas and Electric Co</t>
  </si>
  <si>
    <t>Baltimore Gas and Electric (BG) terminated its agreement to merge with Potomac Electric Power (PE), to form a new company named Constellation Energy (CE), in a stock swap transaction valued at $3.08 bil. PE shareholders were to have received .997 CE shares per PE share held, while BG shareholders were to receive 1 CE share per BG share held. Based on BG's closing stock price of $26.125 on Sep 22, the last full trading day prior to the announcement, each PE share was valued at $26.05. BG and PE were granted the option to acquire up to 19.9% of each other under a lockup agreement.</t>
  </si>
  <si>
    <t>Syntro Corp</t>
  </si>
  <si>
    <t>Manufacture vaccines</t>
  </si>
  <si>
    <t>Mallinckrodt Veterinary Inc</t>
  </si>
  <si>
    <t>Manufacture animal food</t>
  </si>
  <si>
    <t>Mallinckrodt Veterinary (MV), a unit of Mallinckrodt Group, acquired all the outstanding common stock of Syntro for $3. 55 in cash per share, or a total value of $41.465 mil. Earlier, MV completed its tender offer for Syntro by accepting 10,325,610 shares, or 85.44% of Syntro's shares. The offer had been contingent upon at least a majority of MB's shares being tendered.</t>
  </si>
  <si>
    <t>ADVO Inc</t>
  </si>
  <si>
    <t>Pvd mail advg svcs</t>
  </si>
  <si>
    <t>Advo terminated its search for a buyer for the company. In September 1995, Advo announced it had retained Goldman Sachs to assist in its search for a buyer.</t>
  </si>
  <si>
    <t>Larizza Industries Inc</t>
  </si>
  <si>
    <t>Mnfr vehicle components</t>
  </si>
  <si>
    <t>Collins &amp; Aikman Corp</t>
  </si>
  <si>
    <t>Mnfr car floor,wall coverings</t>
  </si>
  <si>
    <t>Collins &amp; Aikman acquired all the outstanding shares of Larizza Industries for $6.50 in cash per share, or a total value of $173.57 mil, including $30 mil in the assumption of liabilities.</t>
  </si>
  <si>
    <t>SCOR US Corp(SCOR SA)</t>
  </si>
  <si>
    <t>Reinsurance holding co</t>
  </si>
  <si>
    <t>SCOR</t>
  </si>
  <si>
    <t>Reinsurance holding company</t>
  </si>
  <si>
    <t>Societe Commerciale de Reassurance (SCOR) acquired the remaining 20% stake which it did not already own in SCOR US for $59.93 mil. Earlier, SCOR had completed its tender offer for SCOR US for an amended $15.25 in cash per share by accepting 3,473, 743 common shares, or 17.87% of the common stock outstanding not held by SCOR. The transaction had been conditioned upon at least 90% of the outstanding shares not held by SCOR being tendered. Originally, SCOR had offered $14 per SCOR US share held.</t>
  </si>
  <si>
    <t>West Jersey Bancshares Inc</t>
  </si>
  <si>
    <t>Sovereign Bancorp (SB) acquired West Jersey Bancshares (WJ) in a stock swap transaction valued at $18.608 mil. WJ shareholders received .8335 SB common shares for each of their shares held. Based on SB's closing stock price of $10. 625 on 5/30,the last full trading day prior to the announcement of exact terms, each WJ share was valued at $8.856. Under a lockup agreement,SB was granted the option to acquire up to 19.9% of WJ's outstanding shares. The transaction had been accounted for as a pooling of interests and subj to federal and state banking reg approv.</t>
  </si>
  <si>
    <t>Hayes Wheels International Inc</t>
  </si>
  <si>
    <t>Varity Corp</t>
  </si>
  <si>
    <t>Mnfr agricultural tractors</t>
  </si>
  <si>
    <t>Varity withdrew its unsolicited bid to acquire the remaining 9.434 mil common shares, or 53.7% interest, of Hayes Wheels International which it did not already own for $25 per share, or a total value of $235.89 mil in cash. The transaction was subject to regulatory approval.</t>
  </si>
  <si>
    <t>AZCO Mining Inc</t>
  </si>
  <si>
    <t>Copper mining co</t>
  </si>
  <si>
    <t>Princeton Mining Corp</t>
  </si>
  <si>
    <t>Gold,silver,copper mining</t>
  </si>
  <si>
    <t>Princeton Mining (PM) terminated negotiations to acquire all the outstanding shares of AZCO Mining (AM) in a stock swap transaction. AM common shareholders were to receive .57 common share in the new company per share held, while PM common shareholders were to receive 1 common share and 1/2 share purchase warrant in the new company per share held. Upon completion, PM shareholders were to own 54.5% and AM shareholders were to own 45. 5% of the new company. The transaction had been subject to regulatory approval.</t>
  </si>
  <si>
    <t>Boonton Electronics Corp</t>
  </si>
  <si>
    <t>Whl electn measuring equipment</t>
  </si>
  <si>
    <t>General de Mesure et de Mainte</t>
  </si>
  <si>
    <t>Mnfr electn measuring equip</t>
  </si>
  <si>
    <t>General de Mesure et de Maintenance Electronique terminated its letter of intent to launch a tender offer to acquire up to 70% of the outstanding common shares of Boonton Electronics for $3. 50 in cash per share, or a total value of $3.29 mil. The offer had been conditioned upon at least 51% of the outstanding shares on a fully diluted basis being tendered.</t>
  </si>
  <si>
    <t>First Citizens Bancstock</t>
  </si>
  <si>
    <t>Whitney Holding Corp,Louisiana</t>
  </si>
  <si>
    <t>Whitney Holding (WH) acquired First Citizens Bancstock (FCB) in a stock swap transaction valued at $65.1 mil. FCB common shareholders received $49.95 in WH common stock for each FCB share held. The transaction was accounted for as a pooling of interests and had been subject to federal and state banking regulatory approval.</t>
  </si>
  <si>
    <t>AEL Industries Inc</t>
  </si>
  <si>
    <t>Electronic defense systems</t>
  </si>
  <si>
    <t>Tracor Inc</t>
  </si>
  <si>
    <t>Tracor acquired all the outstanding shares of AEL Industries (AEL) for an amended $24.25 in cash per share, or a total value of $120.13 mil, including an estimated $20 mil in the assumption of debt. Originally, Tracor offered $28 per share. In February 1995, AEL announced that it had retained Dillon Read to assist in its search for a buyer for the company. Upon completion, AEL became an operating unit of Tracor's Tracor Aerospace subsidiary.</t>
  </si>
  <si>
    <t>Intermet Corp</t>
  </si>
  <si>
    <t>Mnfr ductile iron castings</t>
  </si>
  <si>
    <t>An investor group, comprised of GMW and Kelso, withdrew its unsolicited offer to acquire all the outstanding common stock of Intermet for $13.50 in cash per share, or a total value of $337.5 mil.</t>
  </si>
  <si>
    <t>An investor group, comprised of Tishman Speyer Properties, Goldman Sachs (GS) and David Rockefeller, withdrew is offer to acquire bankrupt Rockefeller Center Properties (RC) for $7.75  per share, or a total value of $296.52 mil, concurrent with its same bid being offered with additional group members. The new group included Troutlet Investments and Exor Group and later acquired RP. A Zell/Merrill Lynch Opportunity Partners, Walt Disney and General Electric group witdrew its amended offers for up to 69. 9% of RC.</t>
  </si>
  <si>
    <t>Healthdyne Inc</t>
  </si>
  <si>
    <t>Manufacture medical products</t>
  </si>
  <si>
    <t>Tokos Medical Corp</t>
  </si>
  <si>
    <t>Tokos Medical (TM) acquired Healthdyne (HD) in a stock swap merger valued at $165. 048 mil. TM shareholders received 1 new company common share per TM share held, while HD shareholders were to receive 1 MH share per HD share held. Based on TM's closing stock price of $10. 625 on Oct 2, the last full trading day prior to the announcement, each HD share was valued at $10.625. The transaction was contingent upon the completion of HD's spin off of its Healthdyne Information Enterprises unit.</t>
  </si>
  <si>
    <t>P&amp;F Industries Inc</t>
  </si>
  <si>
    <t>Mnfr,whl machine hand tools</t>
  </si>
  <si>
    <t>An investor group, comprised of Steel Partners II and the company's management, planned to acquire the remaining 85. 1% of the common shares of P &amp; F Industries which it did not already own, in a leveraged buyout transaction.</t>
  </si>
  <si>
    <t>EV Environmental Inc</t>
  </si>
  <si>
    <t>Aqua Care Systems Inc</t>
  </si>
  <si>
    <t>Mnfr,whl fluid handling sys</t>
  </si>
  <si>
    <t>Aqua Care Systems (AC) terminated its agreement to acquire EV Environmental (EV) in a stock swap transaction valued at $9.808 mil. EV common shareholders were to receive 2 AC common shares for each EV share held. Based on AC's closing stock price of $2.375 on Oct 3, the last full trading day prior to the announcement, each EV share was valued at $4.75.</t>
  </si>
  <si>
    <t>Hammond Co</t>
  </si>
  <si>
    <t>Mortgage bank; holding co</t>
  </si>
  <si>
    <t>Westcorp,Irvine,CA</t>
  </si>
  <si>
    <t>Pvd financial svcs; hldg co</t>
  </si>
  <si>
    <t>Westcorp acquired an 80% interest in Hammond for $5.4 mil. The transaction had been subject to federal and state banking regulatory approval.</t>
  </si>
  <si>
    <t>An investor group, including Zell/Merrill Lynch Opportunity Partners III, Walt Disney and General Electric, terminated its offer to raise its stake to 50% from 32.5% by acquiring newly issued shares in bankrupt Rockefeller Center Properties (RC) for $100 mil. The offer was conditioned upon RC shareholders choosing not to exercise their option to acquire the 17.5% stake. The group also terminated its offer to repay debt owed to Goldman Sachs (GS) and to buy GS's warrants for 19.9% of RC. The GS group later acquired RC.</t>
  </si>
  <si>
    <t>US Air Group Inc</t>
  </si>
  <si>
    <t>United Airlines Inc</t>
  </si>
  <si>
    <t>Pvd air transp svcs</t>
  </si>
  <si>
    <t>United Airlines, a unit of UAL, terminated its negotiations to merge with USAir Group (USG). Later, American Airlines, a unit of AMR, terminated its negotiations to merge with USG. In October 1995, USG announced that it was seeking a buyer for the company.</t>
  </si>
  <si>
    <t>American Airlines Inc</t>
  </si>
  <si>
    <t>American Airlines, a unit of AMR, terminated its negotiations to merge with USAir Group (USG). Earlier, United Airlines, a unit of UAL, terminated its negotiations to merge with USG. In October 1995, USG announced that it was seeking a buyer for the company.</t>
  </si>
  <si>
    <t>Beverly Enterprises Inc</t>
  </si>
  <si>
    <t>Own,op healthcare facilities</t>
  </si>
  <si>
    <t>Integrated Health Services was rumored to be in negotiations to acquire Beverly Enterprises. The Current status of this deal is unknown.</t>
  </si>
  <si>
    <t>An investor group, including management, acquired Cobra Industries, a unit of Lincolnshire Management, in a leveraged-buyout transaction.</t>
  </si>
  <si>
    <t>EP Technologies Inc</t>
  </si>
  <si>
    <t>Mnfr electro-medical catheters</t>
  </si>
  <si>
    <t>Boston Scientific (BS) acquired all the outstanding shares of EP Technologies (EP) in exchange for $13 in BS common stock per share, subject to a collar agreement, or a total value of $159.695 mil. The transaction had been subject to a collar agreement, regulatory approval, and was accounted for as a pooling of interests.</t>
  </si>
  <si>
    <t>American Electronic Components</t>
  </si>
  <si>
    <t>Mnfr electrical components</t>
  </si>
  <si>
    <t>Echlin Inc</t>
  </si>
  <si>
    <t>Mnfr, whl automotive parts</t>
  </si>
  <si>
    <t>Echlin acquired American Electronic Components (AEC) in a tax-free stock swap transaction valued at $56.639 mil. AEC common shareholders received .4 Echlin common shares for each of their shares held. Based on AEC's closing stock price of $35.5 on October 6, the last full trading day prior to the announcement, each AEC share was valued at $14.20. The transaction was accounted for as a pooling of interests.</t>
  </si>
  <si>
    <t>CoreStates Financial (CF) acquired Meridian Bancorp (MB) in a stock swap transaction valued at $3.427 bil. MB common shareholders received 1.225 CF common shares for each of their shares held. Based on CF's closing stock price of $38.50 on Oct 9, the last full trading day prior to the announcement, each MB share was valued at $47.16. Under a lockup agreement, MB and CF were granted the option to acquire up to 19.9% of each other. The transaction was accounted for as a pooling of interests and had been subject to federal and state banking regulatory approval.</t>
  </si>
  <si>
    <t>Microtec Research Inc</t>
  </si>
  <si>
    <t>Mentor Graphics Corp</t>
  </si>
  <si>
    <t>Dvlp electn automation systems</t>
  </si>
  <si>
    <t>Mentor Graphics (MG) acquired Microtec Research (MR) in a stock swap transaction valued at $120. 669 mil. MR common shareholders received .693 MG common share for each of share held. Based on MG's closing stock price of $19. 0625 on Oct 9, the last full trading day prior to the announcement, each MR share was valued at $13.21. The transaction had been subject to regulatory approval.</t>
  </si>
  <si>
    <t>Shop at Home Inc</t>
  </si>
  <si>
    <t>Own,op mail-order houses</t>
  </si>
  <si>
    <t>Paxson Communications Corp</t>
  </si>
  <si>
    <t>Own,op radio and TV stations</t>
  </si>
  <si>
    <t>Paxson Communications withdrew its letter of intent to acquire more than a 50% interest in Shop at Home. The transaction had been subject to Federal Communications Commission regulatory approval.</t>
  </si>
  <si>
    <t>HealthSouth Corp</t>
  </si>
  <si>
    <t>Own,op outpatient surgery ctr</t>
  </si>
  <si>
    <t>HealthSouth (HS) acquired Surgical Care Affiliates (SCA) in a tax-free stock swap transaction valued at $1.459 bil. SCA common shareholders received 1.1726 HS common shares per share held, previously subject to a collar agreement. Based on HS's closing stock price of $31.25 on Jan 12, the last full trading day prior to the announcement of exact terms, each SCA share was valued at $36.64. The transaction was accounted for as a pooling of interests.</t>
  </si>
  <si>
    <t>Boston Bancorp</t>
  </si>
  <si>
    <t>Bank of Boston (BB) acquired all the outstanding shares of Boston Bancorp in a stock swap valued at $235.21 mil. Boston Bancorp shareholders received .879 BB common shares for each Boston Bancorp share held. The shares were valued based on BB's closing stock price of $48.875 on June 27, the last full trading day prior to the announcement of exact terms. The transaction had been subject to federal and state banking regulatory approval. Also, Goldman Sachs agreed to acquire the real estate portfolio of Boston Bancorp.</t>
  </si>
  <si>
    <t>Major Realty Corp</t>
  </si>
  <si>
    <t>Real estate developers,agents</t>
  </si>
  <si>
    <t>In October 1995, Major Realty announced that it was seeking a buyer for the company.</t>
  </si>
  <si>
    <t>Real Estate Investment Tr CA</t>
  </si>
  <si>
    <t>BRE Properties Inc</t>
  </si>
  <si>
    <t>BRE Properties (BRE) acquired Real Estate Investment Trust of California (RE) in a stock swap transaction valued at $272.39 mil, including $88 mil in the assumption of liabilities. RE common shareholders received .57 BRE common share for each RE share held.  Based on BRE's closing stock price of $33. 375 on Oct 11, the last full trading day prior to the announcement, each RE share was valued at $19.02. The transaction was accounted for as a pooling of interests. At completion, RE held 33% of BRE.</t>
  </si>
  <si>
    <t>US - An investor group, comprised of Tishman Speyer Properties, Rockefeller Group, Goldman Sachs (GS), David Rockefeller, Exor Group and Troutlet Investments, acquired bankrupt Rockefeller Center Properties (RC) for an amended $8 in cash per share, or a total of $1.121 bil, including $815 mil in debt assumption. Orginially, the group offered $7.75 in cash per share. Later, Zell/ Merrill Lynch Opportunity Partners, Walt Disney and General Electric, withdrew its offer to acquire 69.9% of RC.</t>
  </si>
  <si>
    <t>Washington Mutual (WM) acquired Western Bank, Coos Bay, Oregon, (WB) in a stock swap transaction valued at $177.23 mil. WB common shareholders received .69126 WM common share, amended from .72464 WM share, for each WB share held. Based on WM's closing stock price of $30.23 on Jan 31, the last full trading day prior to the announcement of amended terms, each WB share was valued at $20.90. The transaction was accounted for as a pooling of interests and had been subject to federal and state banking regulatory approval.</t>
  </si>
  <si>
    <t>CDC Ltd</t>
  </si>
  <si>
    <t>Mnfr electn,digital commun sys</t>
  </si>
  <si>
    <t>Chelton Communications Systems (CCS), a unit of Cobham, acquired all the outstanding shares of Kevlin for an amended $4.54 in cash per share, or a total value of $15.932 mil. Earlier, CCS had offered $4.68 cash per share. The transaction was subject to regulatory approval.</t>
  </si>
  <si>
    <t>Provident American (PA) withdrew its option to acquire the remaining 20% interest which it did not already own in Medical Resources (MR). Concurrently, PA terminated its agreement to acquire an 80% interest in MR.</t>
  </si>
  <si>
    <t>Mark Twain Bancshares terminated its negotiations to merge with an undisclosed acquiror.  The transaction had been subject to federal and state banking regulatory approval. Rumored acquirorers included First Bank System, Norwest, BANC ONE and Fifth Third Bancorp.</t>
  </si>
  <si>
    <t>CUC International (CUC) acquired Advance Ross (AR) in a stock swap transaction valued at $224.189 mil. AR common shareholders received . 8333 CUC common shares for each AR share held, subject to a collar agreement. Based on CUC's closing stock price of $35.125 on Oct 17, the last full trading day prior to the announcement, each AR share was valued at $29.2697. The transaction was accounted for as a pooling of interests and had been subject to regulatory approval.</t>
  </si>
  <si>
    <t>US - Rhone-Poulenc Rorer (RP) , a unit of French state- owned Rhone-Poulenc, acquired the remaining 54% interest, or 7.2 mil shares, which it did not already own, in Applied Immune Sciences (AI) for $11.75 in cash per share, or a total value of $84.6 mil. Earlier, RP completed its tender offer for AI, by accepting 7.06 mil common shares, or 52.95% of AI's common stock outstanding.</t>
  </si>
  <si>
    <t>Wells Fargo (WF) acquired First Interstate Bancorp (FIB) in a sweetened hostile stock swap merger valued at an amended $10.929 bil. FIB common shareholders received . 67 WF common share, amended from .625 WF share, for each FIB share held. Based on WF's closing stock price of $215. 37 on Nov 10, the last full trading day prior to the disclosure of amended terms, each FIB share was valued at $144.30. Earlier, First Bank System, acting as a white knight, terminated its agreement to acquire FIB for $10.01 bil.</t>
  </si>
  <si>
    <t>Geodynamics Corp</t>
  </si>
  <si>
    <t>Provide info engineering svcs</t>
  </si>
  <si>
    <t>Logicon Inc</t>
  </si>
  <si>
    <t>Pvd computer svcs to military</t>
  </si>
  <si>
    <t>Logicon acquired Geodynamics (GD) for $10.76 per share, or a total value of $31.158 mil. Earlier, GD announced that it had retained AG Edwards to assist in its search for a buyer for the company.</t>
  </si>
  <si>
    <t>Washington Energy Co</t>
  </si>
  <si>
    <t>Puget Sound Power &amp; Light Co</t>
  </si>
  <si>
    <t>Puget Sound Power &amp; Light (PSP) merged with Washington Energy (WE) to form Puget Sound Energy in a stock swap transaction valued at $489. 285 mil. WE common shareholders received .86 PSP common share for each WE share held. Based on PSP's closing stock price of $23.75 on Oct 17, the last full trading day prior to the announcement, each WE share was valued at $20.43. The transaction was accounted for as a pooling of interests and had been subject to regulatory approval.</t>
  </si>
  <si>
    <t>Cordis Corp</t>
  </si>
  <si>
    <t>Mnfr cardiovascular equipment</t>
  </si>
  <si>
    <t>Johnson &amp; Johnson (JJ) acquired Cordis (CD) in a sweetened stock swap transaction valued at $1.878 bil. Each CD shareholder received an amended $109 in JJ common stock for each CD share held. Originally, JJ launched a hostile tender offer to acquire CD for $100 in cash per share, or a total value of $1.76 bil. The transaction had been subject to regulatory approval and in order to gain approval, JJ agreed to divest the neurological products business of CD.</t>
  </si>
  <si>
    <t>First Kent Financial Corp</t>
  </si>
  <si>
    <t>Security First Corporation</t>
  </si>
  <si>
    <t>Security First (SF) acquired First Kent Financial (FKF) in a tax-free stock swap transaction valued at $22.01 mil.  FKF common shareholders received 1.7 SF common shares for each of their shares held. Based on SF's closing stock price of $15.75 on Oct 18, the last full trading day prior to the announcement, each FKF share was valued at $26.78. The transaction was accounted for as a pooling of interests and had been subject to regulatory approval.</t>
  </si>
  <si>
    <t>Independent Ins Group Inc</t>
  </si>
  <si>
    <t>American General (AG) acquired all the outstanding shares of Independent Insurance Group (IIG) for $27. 50 per share, or a total value of $156.44 mil. IIG shareholders were granted a choice of receiving either cash, AG common stock, or AG 7% convertible preferred shares for each IIG share held. The transaction had been subject to regulatory approval.</t>
  </si>
  <si>
    <t>Positive Response Television</t>
  </si>
  <si>
    <t>Pvd television production svcs</t>
  </si>
  <si>
    <t>National Media (NM) acquired Positive Response Television (PRTV) in a stock swap transaction valued at $36.62 mil. PRTV common shareholders received .5098 NM common shares, amended from .524 NM common shares for each PRTV share held. Based on NM's closing stock price of $20 on May 17, the last full trading day prior to the announcement of amended terms, each PRTV share was valued at $10.196. The transaction was accounted for as a pooling of interests and had been subject to regulatory approval.</t>
  </si>
  <si>
    <t>Newnan Savings Bank,Newnan,GA</t>
  </si>
  <si>
    <t>Provide savings svcs</t>
  </si>
  <si>
    <t>Citizens Bk &amp; Tr Fayette Cnty</t>
  </si>
  <si>
    <t>Citizens Bank &amp; Trust of Fayette County agreed to merge with Newnan Savings Bank. Terms were not disclosed. The transaction was subject to state and federal banking regulatory approval.</t>
  </si>
  <si>
    <t>NexGen Inc</t>
  </si>
  <si>
    <t>Manufacture microprocessors</t>
  </si>
  <si>
    <t>Advanced Micro Devices Inc</t>
  </si>
  <si>
    <t>Mnfr,whl microprocessors</t>
  </si>
  <si>
    <t>Advanced Micro Devices (AMD) acquired NexGen in a stock swap transaction valued at $755.538 mil. NexGen common shareholders received .8 AMD common share for each NexGen share held. Based on AMD's closing stock price of $26. 875 on Oct 19, the last full trading day prior to the announcement, each NexGen share was valued at $21.50. The transaction had been subject to regulatory approval and was accounted for as a pooling of interests.</t>
  </si>
  <si>
    <t>Washington Savings Bank FSB</t>
  </si>
  <si>
    <t>Roosevelt Bank,Chesterfield,MO</t>
  </si>
  <si>
    <t>Roosevelt Bank, Chesterfield, Missouri, a unit of Roosevelt Financial Group, acquired all the outstanding common stock of Washington Savings Bank, Waldorf, Maryland, for $22.75 in cash per share, or a total value of $103.705 mil. The transaction had been subject to federal and state banking regulatory approval.</t>
  </si>
  <si>
    <t>DIMAC Corp</t>
  </si>
  <si>
    <t>Pvd marketing services</t>
  </si>
  <si>
    <t>Heritage Media Corp</t>
  </si>
  <si>
    <t>Hertiage Media (HM) acquired all the outstanding common shares of DIMAC for $28 in cash per share, or a total value of $258.382 mil, including the assumption of $70 mil in liabilities. The transaction had been subject to regulatory approval.</t>
  </si>
  <si>
    <t>Regions Financial (RF) acquired First National Bancorp, Gainesville, Georgia, (FN) in a stock swap transaction valued at $652. 722 mil. FN common shareholders received .76 RF common share for each FN share held. Based on RF's closing stock price of $41.50 on Oct 20, the last full trading day prior to the announcement, each FN share was valued at $31.54. The transaction was accounted for as a pooling of interests and had been subject to federal and state banking regulatory approval.</t>
  </si>
  <si>
    <t>Milestone Properties Inc</t>
  </si>
  <si>
    <t>Merchants National Properties</t>
  </si>
  <si>
    <t>Pvd real property leasing svcs</t>
  </si>
  <si>
    <t>Merchants National Properties disclosed plans to launch a tender offer to acquire all the outstanding shares of Milestone Properties (MP) for $5 in cash per share, or a total value of $6 mil. Concurrently, MP agreed to acquire thirty- file real estate properties of Concord Assets Group.</t>
  </si>
  <si>
    <t>In October 1995, BankAmerica had been rumored to have been in negotiations 6 months earlier to merge with NationsBank.</t>
  </si>
  <si>
    <t>Proffitt's Inc</t>
  </si>
  <si>
    <t>Proffitt's (PR), acting as a white knight, acquired Younkers (YK) in a tax-free stock swap transaction valued at $258.378 mil. YK common shareholders received .98 PR common share for each of their shares held. Based on PR's closing stock price of $28.75 on Oct 20, the last full trading day prior to the announcement, each YK share was valued at $28.175. The transaction was accounted for as a pooling of interests. Concurrently, Carson Pirie Scott withdrew its hostile tender offer for all the outstanding shares of YK and agreed to back PR's bid.</t>
  </si>
  <si>
    <t>Bank of New Hampshire Corp</t>
  </si>
  <si>
    <t>Peoples Heritage Financial Group (PH) acquired Bank of New Hampshire (NH) in a stock swap transaction valued at $170.69 mil. NH common shareholders were to receive 2 PH common shares for each NH share held. Based on PH's closing stock price of $21 on Oct 24, the last full trading day prior to the announcement, each NH share was valued at $42. The transaction had been to be accounted for as a pooling of interests and was subject to federal and state banking regulatory approval.</t>
  </si>
  <si>
    <t>Bobbie Brooks Inc(Pubco Corp)</t>
  </si>
  <si>
    <t>Manufacture women's apparel</t>
  </si>
  <si>
    <t>Pubco Corp</t>
  </si>
  <si>
    <t>Own,op dept store</t>
  </si>
  <si>
    <t>Pubco (PB) acquired the remaining 10% stake, or 493, 240 shares, that it did not already own in Bobbie Brooks (BB) in a transaction valued at  $.474 mil.  BB shareholders received .167 PB common share per BB share held.  Based on PB's closing stock price of $5.75 on Oct 24, the last full trading day prior to the announcement, each BB share was valued at $. 96.</t>
  </si>
  <si>
    <t>Maxtor Corp</t>
  </si>
  <si>
    <t>Mnfr computer disk drives</t>
  </si>
  <si>
    <t>Hyundai Electn Industries Co</t>
  </si>
  <si>
    <t>Mnfr electn prod</t>
  </si>
  <si>
    <t>Hyundai Electronics Industries (HE), a unit of Hyundai Group, completed its sweetened hostile acquisition of the remaining 66.9% interest, or 39.6 mil common shares, which it did not already own, in Maxtor (MT) for an amended $6.70 in cash per share, or a total value of $228.153 mil. Earlier, HE had completed its tender offer for MT by accepting 32, 044,065 shares, or 54.2% of the shares outstanding. The terms had been amended from $6.15 per share, which had been increased from an original offer of $5.15 per share.</t>
  </si>
  <si>
    <t>CBI Industries Inc</t>
  </si>
  <si>
    <t>Mnfr ind gases,metal structure</t>
  </si>
  <si>
    <t>Praxair Inc</t>
  </si>
  <si>
    <t>Manufacture, wholesale industrial gases</t>
  </si>
  <si>
    <t>Praxair (PR) merged with CBI Industries (CBI) in a transaction valued at $2.149 bil, including $700 mil in the assumption of debt. Earlier, PR completed its hostile tender offer to acquire the remaining 99% interest, which it did not already own, in CBI for $33. 00 in cash or PR common stock per share, amended from $32. 00 in cash or PR stock per share, by accepting 37.912 mil common shares, or a 91% interest in CBI. The offer had been conditioned upon a majority of CBI's shares being tendered and subject to regulatory approval.</t>
  </si>
  <si>
    <t>An investor group, including Zell/Merrill Lynch Opportunity Partners III, Walt Disney and General Electric, withdrew its offer to acquire bankrupt Rockefeller Center Properties (RC) for $9 in cash per share, or a total of $1.159 bil, including $815 mil in debt assumption, upon rejection. The group later withdrew its reopened offers to acquire an amended 32.5% stake for $150 mil, to raise its stake to 50% for $100 mil and to repay debt and buyout Goldman Sachs' (GS) warrants for 19. 9%, for 69.9% in RC. Later, a GS group acquired RC for $1. 21 bil.</t>
  </si>
  <si>
    <t>Blount Inc</t>
  </si>
  <si>
    <t>Blount International Inc</t>
  </si>
  <si>
    <t>Manufacture saw blades</t>
  </si>
  <si>
    <t>Blount International acquired Blount in a stock swap merger transaction. Upon completion, Blount International was to go public.</t>
  </si>
  <si>
    <t>SoftKey International Inc</t>
  </si>
  <si>
    <t>Develop consumer software</t>
  </si>
  <si>
    <t>SoftKey International (SI) completed its unsolicited hostile acquisition of Learning (LN) in a transaction valued at $579.56 mil. Earlier, SI completed its tender offer for LN for $67.50 in cash per share, by accepting 7.302 mil common shares, or an 82.74% interest on a fully-diluted basis in LN. The value included $86. 801 mil in cash to acquire 1. 758 mil options, based on the difference between the offer price and the average option exercise price. Originally, SI had offered to acquire LN in a two-tier transaction valued at $630.45 mil.</t>
  </si>
  <si>
    <t>LFS Bancorp</t>
  </si>
  <si>
    <t>Great Financial Corp,Kentucky</t>
  </si>
  <si>
    <t>Great Financial acquired all the outstanding stock of LFS Bancorp, holding company for Lexington Federal Savings Bank, for $19.50 in cash per share, or a total value or $68.455 mil. The transaction had been subject to federal and state banking regulatory approval.</t>
  </si>
  <si>
    <t>MECC</t>
  </si>
  <si>
    <t>SoftKey International (SI) acquired Minnesota Educational Computing (MEC) in a tax-free stock swap transaction valued at $291.27 mil, including all outstanding options. SI offered 1.14286 common shares per MEC share, subject to a collar agreement. Based on SI's closing stock price of $30 on May 15, the last full trading day prior to the announcement of exact terms, each MEC share was valued at $34.29. The transaction was accounted for as a pooling of interests.</t>
  </si>
  <si>
    <t>Tucker Properties Corp</t>
  </si>
  <si>
    <t>Bradley Real Estate Inc</t>
  </si>
  <si>
    <t>Bradley Real Estate (BR) acquired Tucker Properties (TP) in a tax-free stock swap transaction valued at $270.27 mil, including $170 mil in the assumption of liabilities. TP common shareholders received .686 BR common share for each TP share held, subject to a collar agreement. Based on BR's closing stock price of $13.50 on Mar 14, the last full trading day prior to the announcement of exact terms, each TP share was valued at $9.26. The transaction had been subject to regulatory approval.</t>
  </si>
  <si>
    <t>SouthTrust (ST) acquired Bankers First (BF) in a stock swap transaction valued at $149.675 mil. BF common shareholders received 1.126 ST common shares for each BF share held. Based on ST's closing stock price of $25.50 on Oct 30, the last full trading day prior to the announcement, each BF share was valued at $28.71. The transaction had been subject to federal and state banking regulartory approval and was to be accounted for as a pooling of interests. In June 1995, BF announced that it was seeking a buyer for the company.</t>
  </si>
  <si>
    <t>Fedders Corp</t>
  </si>
  <si>
    <t>Mnfr air treatment prod</t>
  </si>
  <si>
    <t>Fedders (FD) acquired NYCOR (NR) in a stock swap transaction, valued at $49. 569 mil. NR shareholders received $6.25 in FD Class A common or convertible preferred shares for each NR share held. The transaction had been subject to regulatory approval.</t>
  </si>
  <si>
    <t>St Ives Laboratories</t>
  </si>
  <si>
    <t>Alberto-Culver Co</t>
  </si>
  <si>
    <t>Mnfr,whl beauty products</t>
  </si>
  <si>
    <t>Alberto-Culver acquired all the outstanding common shares of St Ives Laboratories for $15 in cash per share, or a total value of $110.409 mil.</t>
  </si>
  <si>
    <t>Astrosystems Inc</t>
  </si>
  <si>
    <t>Mnfr power conversion units</t>
  </si>
  <si>
    <t>In November 1995, Astrosystems (AS) announced that it was seeking a buyer for the company as part of a liquidation plan. Later, Orbit International acquired Behlman Electronics, a unit of AS, and the Military Electronics Division of AS, for $3.7 mil.</t>
  </si>
  <si>
    <t>Facelifters Home Systems Inc</t>
  </si>
  <si>
    <t>Mnfr kitchen remodeling prods</t>
  </si>
  <si>
    <t>AMRE Inc</t>
  </si>
  <si>
    <t>Mnfr home improvement products</t>
  </si>
  <si>
    <t>AMRE acquired Facelifters Home Systems (FHS) in a tax- free stock swap transaction valued at $71.956 mil. FHS common shareholders received 1 AMRE common share for each of their shares held, subject to a collar agreement. Each FHS share was valued at $19 based on AMRE's closing stock price of on Apr 25, the last full trading day prior to the announcement of exact terms. The transaction was accounted for as a pooling of interest and had been subject to regulatory approval.</t>
  </si>
  <si>
    <t>PerSeptive Tech II Corp</t>
  </si>
  <si>
    <t>Mnfr analytical instr</t>
  </si>
  <si>
    <t>PerSeptive Biosystems Inc</t>
  </si>
  <si>
    <t>Mnfr chromatography equipment</t>
  </si>
  <si>
    <t>PerSeptive Biosystems (PB) merged with PerSeptive Technologies (PT) in a transaction valued at $28.1 mil. Earlier, PB completed its stock swap tender offer to acquire all the outstanding units of PT, by acquiring 2,603,125 PT units, or 98.42% of PT's units outstanding. Each PT unit holder was to receive 1 PB unit, comprised of 1 PB common share valued at $10. 625 and 1 PB warrant, for each unit held. PB shares were valued based on PB's closing stock price of $10. 652 on Oct 31, the last full trading day prior to the announcement.</t>
  </si>
  <si>
    <t>American Home Products withdrew its offer to acquire the remaining 18.13 mil common shares, or 45.8% stake, which it did not already own, in Immunex for $14.50 in cash per share, or a total value of $263 mil in cash.</t>
  </si>
  <si>
    <t>Wickes Lumber Co</t>
  </si>
  <si>
    <t>Whl,ret lumber; wood millwork</t>
  </si>
  <si>
    <t>Riverside Group Inc</t>
  </si>
  <si>
    <t>Life,ppty,casualty ins co</t>
  </si>
  <si>
    <t>Riverside Group raised its stake to 51.22% from 35.5% in Wickes Lumber by acquiring 2 mil common shares for $10 mil in cash. Originally RG announced that it was in negotiations to acquire the remaining 4 mil outstanding shares, or 64.5% interest, in WL, which it did not already own.</t>
  </si>
  <si>
    <t>Conestoga Bancorp Inc</t>
  </si>
  <si>
    <t>Dime Savings Bk,Williamsburgh</t>
  </si>
  <si>
    <t>Dime Savings Bank of Williamsburgh (DSB) acquired all the outstanding shares of Conestoga Bancorp (CB) for $21.25 in cash per share, or a total value of $105.322 mil. The transaction was contigent upon DSB completing its conversion from a mutually owned savings bank to a federal stock savings bank. The transaction had been subject to federal and state banking regulatory approval and included CB's Pioneer Savings Bank unit.</t>
  </si>
  <si>
    <t>MSB Bancorp Inc,Goshen,NY</t>
  </si>
  <si>
    <t>Hubco withdrew its original hostile offer to acquire MSB Bancorp for $35 in cash per share, or a total value of $56.873 mil.</t>
  </si>
  <si>
    <t>Marshalltown Financial Corp,IA</t>
  </si>
  <si>
    <t>BancSecurity Corp,IA</t>
  </si>
  <si>
    <t>BancSecurity withdrew its offer to acquire all of the outstanding shares of Marshalltown Financial for $16.75 in cash per share, or a total value of $24.704 mil. The transaction was subject to federal and state banking regulatory approval.</t>
  </si>
  <si>
    <t>E For M Corp</t>
  </si>
  <si>
    <t>Manufacture HDTVs</t>
  </si>
  <si>
    <t>Marquette Electronics Inc USA</t>
  </si>
  <si>
    <t>Mnfr electromedical apparatus</t>
  </si>
  <si>
    <t>Marquette Electronics (ME) merged with E For M (EM) in a transaction valued at $88.87 mil. Earlier, ME completed its tender offer to acquire all the outstanding shares of EM for $12 in cash per share, by accepting 5.6 mil shares, or an 80% interest. The offer had been conditioned upon a majority of EM's shares being tendered and had been subject to regulatory approval.</t>
  </si>
  <si>
    <t>Federal Paper Board Co</t>
  </si>
  <si>
    <t>Mnfr, whl paperboard, pulps</t>
  </si>
  <si>
    <t>International Paper (IP) acquired all the outstanding shares of Federal Paper Board (FPB) for $55 per share, or a total value of $3.734 bil, including $800 mil in the assumption of liabilities. FPB common shareholders were granted the choice of receiving either $55 in cash or IP common stock or a combination of the two for each FPB share held. The transaction had been subject to regulatory approval.</t>
  </si>
  <si>
    <t>First Bank System (FBS), acting as a white knight, terminated its agreement to acquire First Interstate Bancorp (FIB) in a stock swap transaction valued at $10.352 bil. FIB common shareholders were to receive 2.6 FBS common shares for each FIB share held. Based on FBS's closing stock price of $50. 875 on Nov 3, the last full trading day prior to the announcement, each FIB share was valued at $132.20. The transaction was to be accounted for as a pooling of interests. Later, Wells Fargo acquired FIB for an amended $10.929 bil.</t>
  </si>
  <si>
    <t>Harris Computer Systems Corp</t>
  </si>
  <si>
    <t>Whl computer systems,software</t>
  </si>
  <si>
    <t>Concurrent Computer Corp</t>
  </si>
  <si>
    <t>Mnfr digital video systems</t>
  </si>
  <si>
    <t>US - Concurrent Computer (CC) , a unit of Perkin-Elmer, terminated its definitive agreement to acquire Harris Computer Systems (HCS), a wholesaler of computer systems and software, in a stock swap merger valued at $28.83 mil. HCS common shareholders were to receive 9.56 CC common shares for each HCS share held. Based on CC's closing stock price of $1.53 on Nov 3, the last full trading day prior to the announcement, each HCS share was valued at $14.63.</t>
  </si>
  <si>
    <t>Hawaiian Airlines Inc(HAL Inc)</t>
  </si>
  <si>
    <t>Airline Investors Partnership</t>
  </si>
  <si>
    <t>Airline Investor Partnership acquired a 61% interest, or 18,181,818 Class A common shares, in Hawaiian Airlines, a unit of HAL Acquisition's HAL subsidiary, for $20 mil in cash.</t>
  </si>
  <si>
    <t>McDonnell Douglas Corp</t>
  </si>
  <si>
    <t>Mnfr aerospace,defense equip</t>
  </si>
  <si>
    <t>Boeing Co</t>
  </si>
  <si>
    <t>Manufacture jetliners,aircraft</t>
  </si>
  <si>
    <t>In November 1995, Boeing had been rumored to be in negotiations to merge with McDonnell Douglas, by combining a variety of different businesses, including their helicopter- manufacturing operations and space-vehicle businesses.</t>
  </si>
  <si>
    <t>NPC International Inc</t>
  </si>
  <si>
    <t>Own,op fast food rest</t>
  </si>
  <si>
    <t>A management-led investor group, including CEO Gene Bicknell, withdrew its offer to acquire the remaining 38% interest, or 11.22 mil common shares, which it did not already own in NPC International for $9.00 per share, or a total value of $94.461 mil, through a leveraged buyout transaction.</t>
  </si>
  <si>
    <t>NetWorth Inc(Ungermann-Bass)</t>
  </si>
  <si>
    <t>Mnfr networking equipment</t>
  </si>
  <si>
    <t>Compaq Computer(CC) acquired all the outstanding common stock of Networth(NW) for $42 in cash per share, or a total value of $342.452 mil. Earlier, CC completed its tender offer for NW by accepting 7.232 mil shares, or 87.6% of NW's shares. The transaction had been subject to regulatory approval.</t>
  </si>
  <si>
    <t>Pratt &amp; Lambert United Inc</t>
  </si>
  <si>
    <t>Mnfr,whl paints,adhesives</t>
  </si>
  <si>
    <t>Sherwin Williams (SW) acquired all the outstanding common stock of Pratt &amp; Lambert United (P&amp;L) for $35 in cash per share, or a total value of $405.153 mil. Earlier, SW completed its tender offer for P&amp;L by accepting 10,825,550 shares, or 91.04% of P&amp;L shares. The transaction had been conditioned upon at least two- thirds of the shares being tendered.</t>
  </si>
  <si>
    <t>UniComp Inc</t>
  </si>
  <si>
    <t>DMI Inc</t>
  </si>
  <si>
    <t>Mnfr farm machinery</t>
  </si>
  <si>
    <t>DMI signed a letter of intent to acquire UniComp in a reverse stock swap merger. Upon completion, UniComp was to hold 60% of DMI's outstanding stock.</t>
  </si>
  <si>
    <t>Franklin Advantage RE Income</t>
  </si>
  <si>
    <t>Franklin Select RE Income Fund</t>
  </si>
  <si>
    <t>Franklin Select Real Estate Income Fund (FS) acquired Franklin Advantage RE Income Fund (FA), a unit of Franklin Resources (FRE), in a stock swap valued at $17.87 mil. Each FA shareholder received 1.2 FS common shares for each share held. Based on FS' closing stock price of $4.75 on Mar 14, the last full trading day prior to the announcement of terms, each FA share was valued at $5.70. Concurrently, FS acquired Franklin Real Estate Income Fund, also a unit of FRE. The funds merged Franklin Select Realty Trust.</t>
  </si>
  <si>
    <t>WFS Bancorp</t>
  </si>
  <si>
    <t>Emprise Bank NA,Wichita,KS</t>
  </si>
  <si>
    <t>Emprise Bank NA, Wichita, KS, a unit of Emprise Financial, acquired WFS Bancorp (WFS) for $23.25 in cash per share, or a total value of $39.6 mil. The transaction had been subject to federal and state banking regulatory approval. Earlier, Emprise Financial raised its stake to 5.45% from 1.74% in WFS.</t>
  </si>
  <si>
    <t>Alert Centre Inc</t>
  </si>
  <si>
    <t>Pvd alarm maintenance svcs</t>
  </si>
  <si>
    <t>ADT Ltd</t>
  </si>
  <si>
    <t>Provide security,cleaning svcs</t>
  </si>
  <si>
    <t>ADT merged with Alert Centre (AC) in a transaction valued at $93.126 mil. Earlier, ADT completed its tender offer to acquire all the outstanding shares of AC, a unit of Alert Holdings, for $9.25 in cash per share, by accepting 7,295, 784 AC shares, or 74.5% of its shares outstanding. The tender offer was conditioned upon AT receiving at least 53% of AC's outstanding shares.</t>
  </si>
  <si>
    <t>CIMCO Inc</t>
  </si>
  <si>
    <t>Thermoplastic products</t>
  </si>
  <si>
    <t>MA Hanna Co</t>
  </si>
  <si>
    <t>Mnfr rubber,plastic polymers</t>
  </si>
  <si>
    <t>MA Hanna (MAH) merged with CIMCO (CO) in a transaction valued at $31.842 mil. Earlier, MAH completed its tender offer to acquire all the outstanding shares of CO for $10.50 in cash per share by accepting 2,896,412 shares, or 97.85% of its capital stock outstanding. The transaction had been conditioned upon a majority of CO shares being tendered. In August 1995, CO announced that it had retained PaineWebber to assist in its search for a buyer for the company.</t>
  </si>
  <si>
    <t>Packaging Acq(MST Part,MST Of)</t>
  </si>
  <si>
    <t>Packaging Acquisition, a newly formed jointly-held unit of MST Partners and MST Offshore Partners, acquired all the outstanding common stock of Dolco Packaging (DP) for $21 in cash per share, or a total of $31.8 mil.</t>
  </si>
  <si>
    <t>Killearn Properties Inc</t>
  </si>
  <si>
    <t>Digital Communications Tech</t>
  </si>
  <si>
    <t>Produce video tape duplicates</t>
  </si>
  <si>
    <t>Digital Communication Technology (DCT) withdrew its unsolicited bid to launch a tender offer to acquire up to 1.15 mil common shares, or about 80% of the outstanding common shares of Killearn Properties (KP) for $9.2 mil. Each KP shareholder was to have received $8 series A 8% cumulative non-voting DCT preferred shares for each of their shares held.</t>
  </si>
  <si>
    <t>Interstate Power Co</t>
  </si>
  <si>
    <t>Interstate Energy Corp</t>
  </si>
  <si>
    <t>WPL Holdings (WP) acquired Interstate Power (IP) in a stock swap valued at $326.42 mil. IP shareholders received 1.11 WP common shares per IP share. Based on WP's closing stock price of $30.75 on Nov 9, the last full trading day prior to the announcement, each IP share was valued at $34.13. Concurrently, WP acquired IES Industries (IES) in a stock swap transaction. Upon completion, the surviving company was named Interstate Energy. Earlier, American Energy withdrew its rejected offer for IES.</t>
  </si>
  <si>
    <t>Bank of the West,CA</t>
  </si>
  <si>
    <t>Coml bk (for US)</t>
  </si>
  <si>
    <t>Bank of the West,San Francisco California (BW), a unit of BNP, acquired all the outstanding common shares of Northbay Financial,Petaluma, California (NF) for $15.75 per sh, or a total value of $45.863 mil. The transaction had been subject to federal and state banking regulatory approval.</t>
  </si>
  <si>
    <t>Pacific Rehab &amp; Sports Med</t>
  </si>
  <si>
    <t>Own,op rehab hospital</t>
  </si>
  <si>
    <t>Horizon/CMS Healthcare (HH) terminated its agreement to acquire Pacific Rehabilitation &amp; Sports Medicine (RSM) in a stock swap transaction valued at $53.921 mil. RSM common shareholders were to receive . 3483 HH common share for each RSM share held. Based on HH's closing stock price of $20. 625 on Nov 9, the last full trading day prior to the announcement, each RSM share was valued at $7.18. The transaction was to have been accounted for as a pooling of interests and had been subject to regulatory approval.</t>
  </si>
  <si>
    <t>Summit Family Restaurants Inc</t>
  </si>
  <si>
    <t>Operate restaurants</t>
  </si>
  <si>
    <t>Stella Bella Corp USA</t>
  </si>
  <si>
    <t>Produce coffee</t>
  </si>
  <si>
    <t>Stella Bella Corp USA (SB) withdrew its offer to acquire all the outstanding shares of Summit Family Restaurants (SFR) for $7.25 in cash per share, or a total value of $35.992 mil. Originally, SB had planned to launch a tender offer for SFR. Later, CKE Restaurants acquired SFR for an amended amended $5.38 per share, or a total value of $25.819 mil.</t>
  </si>
  <si>
    <t>Harris Savings Assn,Harrisburg</t>
  </si>
  <si>
    <t>Harris Savings Association, Harrisburg, Pennsylvania, acquired all the outstanding common shares of First Harrisburg Bancor (FH) for $14.77 per share, or a total value of $35.241 mil. The transaction had been subject to federal and state banking regulatory approval and included FH's First Federal Savings &amp; Loan of Harrisburg and its Avstar Mortgage unit.</t>
  </si>
  <si>
    <t>Simmons Outdoor Corp</t>
  </si>
  <si>
    <t>Whl professional equipment</t>
  </si>
  <si>
    <t>S.O.C. Corp(Blount/Blount Int)</t>
  </si>
  <si>
    <t>SOC, a unit of Blount International's Blount subsidiary, acquired Simmons Outdoor (SO), a 51% held unit of Noel group, in a transaction valued at $34.24 mil. Earlier, SOC completed its tender offer for SO for $10.40 in cash per share, by accepting 3,253,540 shares, or a 98.8% interest in SO. The transaction had been contingent upon SOC receiving at least 50.1% of SO's fully- diluted shares outstanding. The value included 287,500 options valued at $3.99 each and .1 mil warrants valued at $3.80 each.</t>
  </si>
  <si>
    <t>Victoria Bankshares Inc</t>
  </si>
  <si>
    <t>Norwest acquired Victoria Bankshares (VB) in a tax-free stock swap transaction valued at $282.293 mil. Each VB shareholder received 1.05 Norwest common shares for each of their shares held. Based on Norwest's closing stock price of $32.50 on Nov 10, the last full trading day prior to the announcement, each VB share was valued at $34.125. The transaction had been subject to regulatory approval and was accounted for as a pooling of interests.</t>
  </si>
  <si>
    <t>Vigoro Corp</t>
  </si>
  <si>
    <t>Mnfr, whl fertilizers</t>
  </si>
  <si>
    <t>IMC Global Inc</t>
  </si>
  <si>
    <t>Mnfr phosphate fertilizers</t>
  </si>
  <si>
    <t>IMC Global (IMC) acquired Vigoro (VI) in a stock swap merger valued at $1.218 bil. VI common shareholders were to receive .8 IMC common share for each VI share held, subject to a collar agreement. Based on IMC's closing stock price of $74.62 on Nov 10, the last full trading day prior to the announcement, each VI share was valued at $59.70. The transaction was accounted for as a pooling of interests and had been subject to regulatory approval. Upon completion, VI shareholders received 1.6 IMC shares for each VI share held to correct for a 2 for 1 IMC stock split.</t>
  </si>
  <si>
    <t>Sequa Corp</t>
  </si>
  <si>
    <t>Mnfr aircraft engine component</t>
  </si>
  <si>
    <t>Chairman of the Board Norman E Alexander withdrew his unsolicited offer to acquire the remaining 60.47% interest in Sequa, he did not already own, for $30 per Class A common share and $36 per Class B common share, or a total value of $226.36 mil, in a leveraged buyout transaction. The transaction had been subject to regulatory approval.</t>
  </si>
  <si>
    <t>Dairy Mart Con Stores(DM Asso)</t>
  </si>
  <si>
    <t>Own,op convenience stores</t>
  </si>
  <si>
    <t>Uni-Marts (UM) withdrew its unsolicited offer to acquire all the outstanding shares of Dairy Mart Convenience Stores (DMCS), a unit of DM Associates, in a stock swap transaction valued at $62.205 mil. DMCS common shareholders were to have received $8.20 in UM common stock for each share held. Included in the value was a payment of $13.15 mil to Charles Nirenberg, who held a 67% voting interest in the company.</t>
  </si>
  <si>
    <t>MediVators Inc</t>
  </si>
  <si>
    <t>Cantel Industries Inc</t>
  </si>
  <si>
    <t>Wholesale medical supplies</t>
  </si>
  <si>
    <t>Cantel Industries (CI) acquired MediVators in a stock swap transaction valued at $56.501 mil. MediVators common shareholders received . 2571 CI common shares for each of their shares held. Based on CI's closing stock price of $10 on Nov 14, the last full trading day prior to the announcement, each MediVators share was valued at $2.57.</t>
  </si>
  <si>
    <t>Prime Management Group Inc</t>
  </si>
  <si>
    <t>FirstService Corp</t>
  </si>
  <si>
    <t>Pvd real estate mgmt services</t>
  </si>
  <si>
    <t>FirstService (FS) acquired Prime Management Group (PMG) in a stock swap transaction valued at $6.59 mil. PMG common shareholders received . 8 FS subordinated common share for each of their shares held. Based on FS's closing stock price of $3.69 on Nov 15, the last full trading day prior to the announcement, each PMG share was valued at $2.95.</t>
  </si>
  <si>
    <t>Aviva Petroleum Inc</t>
  </si>
  <si>
    <t>Garnet Resources Corp</t>
  </si>
  <si>
    <t>Garnet Resources terminated negotiations to acquire Aviva Petroleum in a stock swap transaction.</t>
  </si>
  <si>
    <t>Moxham Bank Corp</t>
  </si>
  <si>
    <t>BT Financial Corp,Johnstown,PA</t>
  </si>
  <si>
    <t>BT Financial (BT) merged with Moxham Bank (MB) in a stock swap transaction valued at $38.42 mil. Each MB shareholder received 1.15 BT common shares for each MB share held. Based on BT's closing stock price of $37 on Nov 20, the last full trading day prior to the announcement, each MB share was valued at $42.55. The transaction had been subject to federal and state banking regulatory approval.</t>
  </si>
  <si>
    <t>Public Storage Inc</t>
  </si>
  <si>
    <t>Public Storage disclosed it was in negotiations to acquire the remaining 94.9% interest that it did not already own in American Industrial Properties REIT.</t>
  </si>
  <si>
    <t>FB&amp;T Financial Corp</t>
  </si>
  <si>
    <t>F&amp;M National,Winchester,VA</t>
  </si>
  <si>
    <t>Multi-bank holding company</t>
  </si>
  <si>
    <t>F&amp;M National (FM) acquired all the outstanding shares of FB&amp;T Financial (FBT) in a stock swap merger valued at $45.701 mil. FBT shareholders received 1.983 FM common shares for each of their shares held. Based on FM's closing stock price of $17.25 on Mar 28, the last full trading day prior to the announcement of exact terms, each FBT share was valued at $34.2. The transaction had been subject to federal and state banking regulatory approval, and accounted for as a pooling of interests.</t>
  </si>
  <si>
    <t>PSICOR Inc</t>
  </si>
  <si>
    <t>Provide health services</t>
  </si>
  <si>
    <t>Baxter Healthcare Corp</t>
  </si>
  <si>
    <t>Mnfr pharm,lab equipment</t>
  </si>
  <si>
    <t>Baxter Healthcare (BH), a unit of Baxter International, merged with PSICOR for $17.5 in cash per share, or a total value of $81.309 mil. Earlier, BH completed its tender offer to acquire all the outstanding shares of PSICOR, by accepting 4.2 mil common shares, or 96.44% of the company's shares outstanding. The offer had been conditioned upon at least 80% of PSICOR's outstanding shares being tendered. The transaction had been subject to regulatory approval.</t>
  </si>
  <si>
    <t>Commerce Clearing House Inc</t>
  </si>
  <si>
    <t>Publish books and law reports</t>
  </si>
  <si>
    <t>Wolters Kluwer NV</t>
  </si>
  <si>
    <t>Wolters Kluwer (WK) completed its acquisition of the fully diluted common share capital of Commerce Clearing House (CCH) in a transaction valued at $1.9 bil. Earlier, WK had completed its tender offer for CCH for $55.50 in cash per share, by accepting 32, 443,478 common shares in CCH. The transaction had been subject to regulatory approval.</t>
  </si>
  <si>
    <t>CFB Bancorp Inc</t>
  </si>
  <si>
    <t>Compass Bancshares(CB) acquired all the outstanding common stock of CFB Bancorp (CFB) in a stock swap transaction valued at $49.376 mil. CFB shareholders received .7169 CB common share for each of their shares held. Based on CB's closing stock price of $31.50 on 11/24,the last full trading day prior to the announcement, each CFB share was valued at $22.58. The transaction had been subject to federal and state banking regulatory approval. Also, CB's board completed the repurchase of up to 1.35 mil shares. This was necessary in order for CB to acquire CFB.</t>
  </si>
  <si>
    <t>HSN Inc</t>
  </si>
  <si>
    <t>HSN Inc, a unit of RMS and minority controlled by Barry Diller, withdrew its options to acquire 15 mil common shares, or a 17.57% stake in Home Shopping Network (HSN), a unit of Tele- Communications' Liberty Media subsidiary. The options were exercisable at $8.5 each, for a total value of $127.5 mil. Earlier, SKC withdrew its offer to acquire an initial 41% stake in HSN. Upon exercise of the options, SKC would hold a 58.57% interest in HSN.</t>
  </si>
  <si>
    <t>Silver King Communications (SKC), a unit of RMS and minority-controlled by SKTV chairman Barry Diller, acquired all the outstanding common shares of Savoy Pictures Entertainment (SPE) in a stock swap transaction valued at an amended $108451 mil. SPE common shareholders received .14 SKC common shares for each share held. Based on SKC's closing stock price of $25.8125 on August 13, the last full trading day prior to the announcement, each SPE share was valued at $3.6138.</t>
  </si>
  <si>
    <t>Compass Bancshares acquired all the outstanding shares of Peoples Bancshares for an undisclosed amount of cash. The transaction had been subject to federal and state banking regulatory approval.</t>
  </si>
  <si>
    <t>Kuhlman (KL) acquired Communication Cable (CC) by completed its sweetened tender offer to acquire CC for $14 in cash per share, amended from an already sweetened $13.0625 per share, or a total value of $51.709 mil, by accepting 2,287,124 shares, or an 81.8% interest in CC. Included in the value was KL's acquisition of a 10% stake, or 315,703 shares, in CC for $12 per share, or a total value of $3.788 mil. Earlier, Pentair definitively agreed to launch a tender offer to acquire CC for a sweetened $13.50 in cash per share, or a total value of $42.956 mil.</t>
  </si>
  <si>
    <t>Hudson General Corp</t>
  </si>
  <si>
    <t>Provide aviation services</t>
  </si>
  <si>
    <t>An investor group, including Gabelli Funds, a unit of Gabelli, raised its stake to 50.05% from 49.69% in Hudson General, by acquiring 5,297 common shares, in the open market, for an indicated value of $.535 mil in cash. The shares were acquired from Nov 16 to Nov 29, at prices ranging from $98 to $101 per share, with the value based on the high price in the range.</t>
  </si>
  <si>
    <t>NS Bancorp Inc</t>
  </si>
  <si>
    <t>MAF Bancorp,Clarendon Hills,IL</t>
  </si>
  <si>
    <t>Savings,loan hldg co</t>
  </si>
  <si>
    <t>MAF Bancorp (MAF) acquired NS Bancorp (NS) in a stock swap valued at an amended $272.41 mil. NS common shareholders received .8529 MAF common shares and $20. 1799 in cash for each NS share held, subject to a maximum of 49% of the consideration being paid in cash. The value also included .567 mil options valued at $33.29 each. Based on MAF's closing stock price of $24.75 on May 29, the last full trading day prior to the announcement of amended terms, each NS share was valued at $41.29. The transaction had been subject to regulatory approval.</t>
  </si>
  <si>
    <t>Rite Aid Corp</t>
  </si>
  <si>
    <t>Rite Aid (RA) withdrew its agreement to acquire Revco DS (RDS) in a two-tier merger valued at $2.127 bil. RA terminated its tender offer to acquire a 50.1% interest in RDS for $27.50 in cash per share, or a total value of $966 mil. Upon completion of the tender offer, RA was have offered between .916 and 1. 125 common shares for each of the shares remaining. Based on RA's closing stock price of $28.625 on Nov 28, the last full trading day prior to the announcement, each remaining share was valued at $32.20, based on the high ratio in the range.</t>
  </si>
  <si>
    <t>Alliance Entertainment Corp</t>
  </si>
  <si>
    <t>Wholesale CDs,tapes,music</t>
  </si>
  <si>
    <t>Metromedia International Group</t>
  </si>
  <si>
    <t>Metromedia International Group (MI) terminated it definitive agreement to acquire Alliance Entertainment (AE) in a stock swap merger valued at an amended $421.782 mil. Each AE shareholder was to receive .7 MI common share and 1 warrant to purchase .285 MI common share per AE share held. Based on MI's closing stock price of $14.25 on Dec 20, the last full trading day prior to disclosure of amended terms, each AE share was valued at $9.975. Originally, MI had offered $12 in MI common stock and 1 warrant to purchase .2 MI common share per AE share held.</t>
  </si>
  <si>
    <t>Annapolis Bancshares Inc,MD</t>
  </si>
  <si>
    <t>First Mariner Bancorp,MD</t>
  </si>
  <si>
    <t>First Mariner Bancorp (FMB) withdrew its signed letter of intent to acquire all the outstanding common shares of Annapolis Bancshares (AB) for approximately $12.724 mil. Each AB common shareholder was to receive $15.50 in cash and .667 of an FMB common share per AB share held. The transaction was subject to federal and state banking regulatory approval.</t>
  </si>
  <si>
    <t>Inmac Corp</t>
  </si>
  <si>
    <t>Whl data communications prod</t>
  </si>
  <si>
    <t>Micro Warehouse Inc</t>
  </si>
  <si>
    <t>Pvd catalog,online retail svcs</t>
  </si>
  <si>
    <t>Micro Warehouse (MW) acquired Inmac in a stock swap transaction valued at $119.979 mil. Inmac common shareholders received .276 MW common share per Inmac share held. Based on MW's closing stock price of $38.25 on Jan 24, the last full trading day prior to disclosure of exact terms, each Inmac share was valued at $10.56. The transaction had been subject to regulatory approval and had been accounted for as a pooling of interests.</t>
  </si>
  <si>
    <t>Magma Copper Co</t>
  </si>
  <si>
    <t>Precious metal mining</t>
  </si>
  <si>
    <t>BHP</t>
  </si>
  <si>
    <t>Coal,iron ore,copper mining</t>
  </si>
  <si>
    <t>Broken Hill Proprietary (BHP) completed its acquisition of Magma Copper (MC) for $2.431 bil including the assumption of $600 mil in liabilities. Earlier, BHP completed its tender offer to acquire all the outstanding common shares, and Series D and Series E convertible preferred shares, of MC, including Warburg Pincus Capital's 26% stake, by accepting 97% of MC's shares. The consideration consisted of $28 in cash per common share, $96.544 in cash per Series D share, and $100. 646 in cash for each Series E share.</t>
  </si>
  <si>
    <t>Condor Services Inc</t>
  </si>
  <si>
    <t>Property, casualty ins svcs</t>
  </si>
  <si>
    <t>Amwest Insurance Group Inc</t>
  </si>
  <si>
    <t>Amwest Insurance Group (AG) acquired Condor Services (CS) in a stock swap merger valued at $17.642 mil. CS common shareholders received .5 AG common share for each CS share held, subject to a collar agreement. Based on AG's closing stock price of $17.75 on Nov 30, the last full trading day prior to the announcement, each CS share was valued at $8.875. The transaction had been subject to regulatory approval.</t>
  </si>
  <si>
    <t>David White Inc</t>
  </si>
  <si>
    <t>Mnfr,whl surveying instruments</t>
  </si>
  <si>
    <t>Two investors withdrew their unsolicited bid to acquire all the outstanding common shares of David White for $14 in cash per share, or a total value of $8.038 mil.</t>
  </si>
  <si>
    <t>Groundwater Technology Inc</t>
  </si>
  <si>
    <t>Pvd envi, consulting services</t>
  </si>
  <si>
    <t>Fluor Daniel Inc(Fluor Corp)</t>
  </si>
  <si>
    <t>Fluor Daniel (FD), a unit of Fluor, acquired 4.4 mil common shares, or a 55% interest, in Groundwater Technology (GT) for approximately $32.743 mil. GT common shareholders received $8.62 in cash plus .5274 common shares in a new company, representing a 45. 49% stake in the new company, for each GT share held. The new company was to be formed by the  merger of FD Fluor Daniel Environmental Services subsidiary into GT and to be called Fluor Daniel GTI.</t>
  </si>
  <si>
    <t>CKE Restaurants Inc</t>
  </si>
  <si>
    <t>CKE Restaurants (CKE) acquired all the outstanding shares of Summit Family Restaurant (SFR) for an amended $25.819 mil. SFR common shareholders were to receive $2.63 in cash and . 1043 CKE common shares for each SFR share held. Based on CKE's closing stock price of $26.375 on Jul 8, the last full trading day prior to the disclosure of further amended terms, each SFR share was valued at $5.38. Also, Stella Bella Corp USA withdrew its offer to acquire SFR for $7. 25 per share, or a total value of $34.8 mil.</t>
  </si>
  <si>
    <t>In December 1995, Commercial Federal announced it was seeking a buyer for the company.</t>
  </si>
  <si>
    <t>Greiner Engineering Inc</t>
  </si>
  <si>
    <t>URS Corp</t>
  </si>
  <si>
    <t>Pvd engineering,constr svcs</t>
  </si>
  <si>
    <t>URS acquired all the outstanding stock of Greiner Engineering (GE) for $73.287 mil. GE common shareholders received $13.50 in cash and . 298 URS common share for each GE share held. Based on URS's closing stock price of $6.875 on Dec 1, the last full trading day prior to the announcement, each GE share was valued at $15.548. The transaction had been subject to regulatory approval.</t>
  </si>
  <si>
    <t>Americas Growth Fund Inc</t>
  </si>
  <si>
    <t>Tallard Technologies BV</t>
  </si>
  <si>
    <t>Tallard Technologies withdrew its offer to acquire Americas Growth Fund (AG). Later, Advance Electronic Support Products withdrew its offer to merge with AG.</t>
  </si>
  <si>
    <t>Globelle Corp</t>
  </si>
  <si>
    <t>Globelle (GL) acquired all the outstanding shares of GBC Technologies (GBC) for $9.50 in cash per share, or a total value of $62.102 mil. Earlier, GL completed its tender offer for GBC by accepting 6, 201,047 common shares, or 92. 75% of GBC's shares outstanding. The offer had been conditioned upon at least 50% of GBC's shares being tendered, and was subject to regulatory approval.</t>
  </si>
  <si>
    <t>Syratech Corp</t>
  </si>
  <si>
    <t>Mnfr silver flatware</t>
  </si>
  <si>
    <t>Syratech acquired all the outstanding shares of Rauch Industries (RI) for $13 in cash per share, or a total value of $48.16 mil. The transaction had been subject to Federal Trade Commission regulatory approval.</t>
  </si>
  <si>
    <t>NewCare Health Corp</t>
  </si>
  <si>
    <t>Retirement Care Associates Inc</t>
  </si>
  <si>
    <t>Retirement Care Associates (RCA) withdrew its definitive agreement to acquire all the outstanding shares of NewCare Health in exchange for between 2.651 mil and 2.916 mil RCA common shares valued at $31.71 mil. The shares were valued based on RCA's closing stock price of $10. 875 on Feb 19, the last full trading day prior to the disclosure of terms, with the value based on the maximum number of shares to be issued.</t>
  </si>
  <si>
    <t>Earth Technology Corp USA</t>
  </si>
  <si>
    <t>Hazardous waste consulting svc</t>
  </si>
  <si>
    <t>Tyco International (TI) mergerd with Earth Technology Corp USA (ET) in a transaction valued at $69.58 mil. Earlier, TC completed its tender offer to acquire all the outstanding shares of ET for $8 in cash per share, by accepting 8,088,059 common shares, or a 93% interest in ET. The offer had been contingent upon a majority of ET's shares outstanding being tendered.</t>
  </si>
  <si>
    <t>First Financial Bancorp Inc</t>
  </si>
  <si>
    <t>Bank holding co; savings bank</t>
  </si>
  <si>
    <t>Capital City Bank Group,FL</t>
  </si>
  <si>
    <t>Capital City Bank Group merged with First Financial Bancorp (FF) for $22 in cash per share, or a total value of $10.963 mil. The transaction included FF's Tallahassee-based First Federal Bank subsidiary and was subject to federal and state banking regulatory approval.</t>
  </si>
  <si>
    <t>Great Valley Bank,Ceres,CA</t>
  </si>
  <si>
    <t>Union Safe Deposit Bank,CA</t>
  </si>
  <si>
    <t>Union Safe Deposit Bank, Stock, California, (USB), acquired all the outstanding common shares of Great Valley Bank, Ceres, California, for $8.75 per share, or a total of $12.153 mil. The transaction had been subject to state and federal banking regulatory approval.</t>
  </si>
  <si>
    <t>Hogan Systems Inc</t>
  </si>
  <si>
    <t>Continuum Co Inc</t>
  </si>
  <si>
    <t>Continuum (CM) acquired Hogan Systems (HS) in a stock swap merger valued at an amended $193.356 mil. HS common shareholders received .315 CM share for each HS share held. Based on CM's closing stock price of $39.50 on Feb 7, the last full trading day prior to the announcement of amended terms, each HS share was valued at $12.44. Originally, CM offered .3556 share for each HS share held. The transaction was accounted for as a pooling of interests and had been subject to regulatory approval. In June 1995, HS announced that it was seeking a buyer for the company.</t>
  </si>
  <si>
    <t>Holson Burnes Group Inc</t>
  </si>
  <si>
    <t>Manufacture photo albums</t>
  </si>
  <si>
    <t>Newell acquired all the outstanding common stock of Holson Burnes Group (HBG) for $5.50 in cash per share, or a total value of $33.961 mil. Earlier, Newell completed its tender offer for HBG by accepting 6 mil common shares, or 93.76% of HBG's stock outstanding. The transaction had been subject to regulatory approval and had been contingent upon at least 80% of HBG's shares being tendered.</t>
  </si>
  <si>
    <t>Maybelline Inc</t>
  </si>
  <si>
    <t>Mnfr perfumes and cosmetics</t>
  </si>
  <si>
    <t>L'Oreal SA</t>
  </si>
  <si>
    <t>Mnfr cosmetics</t>
  </si>
  <si>
    <t>L'Oreal (LO), a unit of Gesparal, completed its acquisition of Maybelline (MB) , a majority-owned unit of Wasserstein Perella Management Partners, for a sweetened $44 in cash per share, or a total value of $785.693 mil, including $152 mil in the assumption of debt. Earlier, LO completed its tender offer for MB by accepting 13,629,840 common shares, or about a 98% interest in MB. Originally, LO offered $36.75 per share, which was later amended to $41 per share. Also, Jon A Beckiser withdrew its unsolicited offer to acquire MB for an amended $736.14 mil.</t>
  </si>
  <si>
    <t>Portage Industries Corp</t>
  </si>
  <si>
    <t>Mnfr extruded plastic sheets</t>
  </si>
  <si>
    <t>In December 1995, Portage Industries announced that it had retained Mesirow- Financial to assist in the search for a buyer of the company.</t>
  </si>
  <si>
    <t>Stone &amp; Webster Inc</t>
  </si>
  <si>
    <t>Raytheon announced plans to acquire Stone &amp; Webster.</t>
  </si>
  <si>
    <t>Bank of Boston (BKB) acquired all the outstanding common stock of BayBanks (BB) in a stock-swap valued at $2. 059 bil. BB common shareholders received 2.2 BKB common shares for each share held. Based on BKB's closing stock price of $46.625 on Dec 11,the last full trading day prior to the announcement, each BB share was valued at $102.575. The transaction was accounted for as a pooling of interests. Upon completion, the companies were renamed BankBoston. Earlier, UST agreed to acquire 20 branches of BKB for $60 mil.</t>
  </si>
  <si>
    <t>Maxim Group Inc</t>
  </si>
  <si>
    <t>Own,op floor covering fran</t>
  </si>
  <si>
    <t>Shaw Industries (SI) terminated its signed letter of intent to acquire all the outstanding shares of Maxim Group (MG) in a stock swap transaction valued at $112. 503 mil. MG shareholders were to receive 1 SI common share for each MG share held. The shares were valued based on SI's closing stock price of $15.25 on Dec 11, the last full trading day prior to the announcement. The transaction had been subject to Federal Trade Commission regulatory approval.</t>
  </si>
  <si>
    <t>Pacific Physician Services Inc</t>
  </si>
  <si>
    <t>Pvd physican staffing svcs</t>
  </si>
  <si>
    <t>MedPartners/Mullikin Inc</t>
  </si>
  <si>
    <t>Pvd physician mgmt services</t>
  </si>
  <si>
    <t>MedPartners/Mullikin (MM) acquired Pacific Physician Services (PP) in a stock swap transaction valued at $318. 454 mil. PP common shareholders received .6667 MM common share for each PP share held, subject to a collar agreement. Based on MM's closing stock price of $28.75 on Dec 11, the last full trading day prior to the announcement, each PP share was valued at $19.17. The transaction was accounted for as a pooling of interests and had been subject to regulatory approval.</t>
  </si>
  <si>
    <t>Kenetech Corp</t>
  </si>
  <si>
    <t>Manufacture wind turbines</t>
  </si>
  <si>
    <t>In December 1995, Kenetech annouced that it was seeking a buyer for the company.</t>
  </si>
  <si>
    <t>Alantec Corp</t>
  </si>
  <si>
    <t>Dvlp commun network products</t>
  </si>
  <si>
    <t>FORE Systems Inc</t>
  </si>
  <si>
    <t>Mnfr network interfaces</t>
  </si>
  <si>
    <t>Fore Systems (FS) acquired Alantec in a stock swap transaction valued at $779. 087 mil. Each Alantec common shareholder received 1 FS common share for each of their shares held. Based on FS's closing stock price of $64.50 on Dec 13, the last full trading day prior to the announcement, each Alantec share was valued at $64.50. The transaction had been subject Federal Trade Commission regulatory approval and was accounted for as a pooling of interests.</t>
  </si>
  <si>
    <t>Bell Bancorp Inc,Chicago,IL</t>
  </si>
  <si>
    <t>Standard Federal Bank (SFB) acquired all the outstanding common shares of Bell Bancorp (BB) for $37.50 per share, or a total value of $361.2 mil in cash including $37.5 per share in cash less the average exercise price of $13. 45 per option for options to purchase 813,457 common shares. The transaction had been subject to federal and state banking regulatory approval. Under a lockup agreement, SFB was granted the right to acquire 1,821, 308 common shares, or a 20% stake, in BB.</t>
  </si>
  <si>
    <t>FirstMerit Corp</t>
  </si>
  <si>
    <t>Madison Savings &amp; Loan Assoc</t>
  </si>
  <si>
    <t>Savings and Loan</t>
  </si>
  <si>
    <t>Madison Savings &amp; Loan terminated its agreement to merge with FirstMerit.</t>
  </si>
  <si>
    <t>Public Storage Properties IX</t>
  </si>
  <si>
    <t>US - Public Storage (PS) acquired Public Storage Properties IX (PSP) for $18 in cash per share, or a total value of $44.06 mil, in a stock swap transaction. PSP common shareholders were granted a choice to receive either $18 in cash or PS common stock for each PSP share held, whereby no more than 20% of the total purchase price was to be paid in cash.</t>
  </si>
  <si>
    <t>Public Storage Ppty Inc XI</t>
  </si>
  <si>
    <t>Public Storage (PS) agreed to acquire Public Storage Properties XI Inc(PSP) for $19.52 per share, or a total value of $10.43 mil, in a stock swap transaction. PSB common shareholders were granted a choice to receive either $19.52 in cash or PS common stock for each PSP share held, whereby no more than 20% of the total purchase price was to be paid in cash.</t>
  </si>
  <si>
    <t>Gaming Lottery Corp</t>
  </si>
  <si>
    <t>Dvlp desktop publishing sftwre</t>
  </si>
  <si>
    <t>Gaming Lottery (GL) terminated its agreement to acquire all the outstanding shares of Stuart Entertainment. The transaction was terminated due to GL's inability to complete its acquisition of Trade Products and had been subject to regulatory approval.</t>
  </si>
  <si>
    <t>Advantage Health Corp</t>
  </si>
  <si>
    <t>Own rehabilitation hospitals</t>
  </si>
  <si>
    <t>HealthSouth (HS) acquired Advantage Health (AH) in a stock swap transaction valued at $284.736 mil. AH common shareholders received 1.3768 HS common shares for each AH share held, subject to a collar agreement. Based on HS's closing stock price of $34.25 on Mar 11, the last full trading day prior to the announcement of exact terms, each AH share was valued at $47.16. The transaction had been subject to regulatory approval and was accounted for as a pooling of interests.</t>
  </si>
  <si>
    <t>AMSCO International</t>
  </si>
  <si>
    <t>Mnfr infection control prod</t>
  </si>
  <si>
    <t>Steris Corp</t>
  </si>
  <si>
    <t>Mnfr sterile processing sys</t>
  </si>
  <si>
    <t>Steris (ST) acquired AMSCO International (AI) in a stock swap transaction valued at $673.112 mil. AI common shareholders received .46 ST common share per share held. Based on ST's closing stock price of $41.50 on Dec 15, the last full trading day prior to the announcement, each ST share was valued at $19.09. Under a lockup agreement ST had been granted the option to acquire a 17.6% stake in AI. The transaction was accounted for as a pooling of interests.</t>
  </si>
  <si>
    <t>Cobra Golf Inc</t>
  </si>
  <si>
    <t>American Brands (AB) completed its acquisition of Cobra Golf (CG) for $36 in cash per share, or a total value of $670.44 mil. Earlier, AB had completed its tender offer for CG by accepting 18, 313,150 common shares, or a 98.4% interest in CG. The offer had been conditioned upon a majority of CG's outstanding shares, on a fully diluted basis, being tendered.</t>
  </si>
  <si>
    <t>Precision Aerotech Inc</t>
  </si>
  <si>
    <t>Aircraft metal; elec'l parts</t>
  </si>
  <si>
    <t>Vernitron acquired all the outstanding shares of Precision Aerotech in exchange for $5 in cash per share, or a total value of $3. 95 mil, and the assumption of all PA's outstanding debt.</t>
  </si>
  <si>
    <t>Home Fed Finl,San Francisco,CA</t>
  </si>
  <si>
    <t>First Nationwide Bank,CA</t>
  </si>
  <si>
    <t>First Nationwide Bank, San Francisco, CA (FNB), a unit of MacAndrews &amp; Forbes Holdings' First Nationwide Bank, Dallas, TX, subsidiary, acquired all the outstanding shares of Home Federal Financial (HFF) for $18.50 in cash per share, or a total value of $69.102 mil. The transaction had been subject to federal and state banking regulatory approval.</t>
  </si>
  <si>
    <t>USA Waste Services (UW) acquired Western Waste Industries (WW) in a stock swap transaction valued at $463.571 mil. WW common shareholders received 1.5 UW common shares for each of their shares held. Based on UW's closing stock price of $18.875 on Dec 18, the last full trading day prior to the announcement, each WW share was valued at $28.31. The transaction had been subject to regulatory approval, and was accounted for as a pooling of interests.</t>
  </si>
  <si>
    <t>In December 1995, Community Psychiatric Centers disclosed plans to spin off its U.S. Psychiatric hospitals to its shareholders.</t>
  </si>
  <si>
    <t>SCS/Compute Inc</t>
  </si>
  <si>
    <t>Pvd income tax processing svcs</t>
  </si>
  <si>
    <t>Thomson US Holdings Inc</t>
  </si>
  <si>
    <t>Thomson US Holdings (TUS), a unit of Thomson, completed its acquisition of all the outstanding shares of SCS/ Compute (SCS) for $6.75 in cash per share, or a total value of $17.799 mil. Earlier, TUS had completed its tender offer for SCS by accepting 1, 389,006 common shares, or a 54% interest in SCS. The offer had been conditioned upon a majority of SCS's outstanding shares on a fully diluted basis being tendered. The transaction had been subject to Federal Trade Commission regulatory approval.</t>
  </si>
  <si>
    <t>ACMAT (AC) acquired the remaining 1.6 mil common shares, or 16% stake, in its United Coasts (UC) subsidiary, it did not already own, in a stock swap valued at $14.21 mil. Each UC common shareholder received .651 AC common share for each UC share held. Based on AC's closing stock price of $13.25 on Dec 19, the last full trading day prior to the announcement, each UC share was valued at $8.626.</t>
  </si>
  <si>
    <t>Benson Financial Corp</t>
  </si>
  <si>
    <t>Norwest, Minneapolis, Minnesota, acquired all the outstanding common shares of Benson Financial (BF) for $20 in Norwest common stock per share, or a total value of $74.48 mil. Earlier, in August 1995, BF announced that it had retained the services of Huefer &amp; Arnett to assist in its search for a buyer for the company. The transaction had been subject to federal and state banking approval.</t>
  </si>
  <si>
    <t>American Enterprises LLC</t>
  </si>
  <si>
    <t>American Enterprises (AE) withdrew its hostile tender offer for the remaining 80% interest that it did not already own in Spreckels Industries (SI) for an amended $16.50 in cash per share, or a total value of $79.718 mil, including the net proceeds from the sale of Spreckel Sugar. Earlier, AE offered $11 in cash per SI share. Later, Columbus McKinnon acquired SI for $24 per share. Earlier, Holly Sugar, a unit of Imperial Holly, acquired Spreckels Sugar and Limestone Products.</t>
  </si>
  <si>
    <t>Brock Exploration Corp</t>
  </si>
  <si>
    <t>Key Production Co Inc</t>
  </si>
  <si>
    <t>Key Production (KP) acquired Brock Exploration (BE) in a stock swap transaction valued at $13.427 mil. BE common shareholders received .6897 KP common share for each BE share held. Based on KP's closing stock price of $5.00 on Dec 21, the last full trading day prior to the announcement, each BE share was valued at $3.45. Earlier, in November 1994, BE announced that it was seeking a buyer for the company.</t>
  </si>
  <si>
    <t>Metromedia International Group (MIG) acquired all the shares of Samuel Goldwyn (SG) for $112.89 mil. Each SG shareholder received .3335 MIG shares for each SG share held, amended from $5 in MIG common stock per share, subject to a collar agreement, including $72.9 mil in the assumption of liabilities. Based on MIG's closing stock price of $14.125 on Dec 21, 1995, the last full trading day prior to the announcement, each SG share was valued at $4.17. In July 1995, SG announced that it had retained Furman Selz to assist in its search for a buyer for the company.</t>
  </si>
  <si>
    <t>Mountasia Entertainment</t>
  </si>
  <si>
    <t>Pvd entertainment services</t>
  </si>
  <si>
    <t>An investor group, including Hisham Araim and Robert Nihon, sweetened its unsolicited offer to acquire all the outstanding shares of Mountasia Entertainment International (MEI) to $6 per share, or a total value of $82.215 mil, including up to $35 mil in the assumption of liabilities. Originally, the group offered to acquire MEI for approximately $90 mil.</t>
  </si>
  <si>
    <t>Pending</t>
  </si>
  <si>
    <t>First Empire State Corp,NY</t>
  </si>
  <si>
    <t>First Empire State made an unsolicited bid to acquire MSB Bancorp for a choice of $26 in cash or common stock per share, or a total value of $42.248 mil.</t>
  </si>
  <si>
    <t>International Jensen Inc</t>
  </si>
  <si>
    <t>Mnfr radios and televisions</t>
  </si>
  <si>
    <t>Recoton Corp</t>
  </si>
  <si>
    <t>Recoton (RT) acquired International Jensen (IJ) for an amended $11 in cash per share, or a total value about $109.104 mil, amended from $9. 15 per share, or a total value of $95.78 mil, including about $43.5 mil in the assumption of debt. IJ's Chairman Robert G Shaw and Chief Executive Robert Blair were to receive $9 per share. RT originally offered $8.90 in cash or common stock per share. The transaction had been conditioned upon Shaw buying IJ's OEM &amp; Marketing business of IJ. Also, Emerson Radio(ER) withdrew its offer for IJ and bid for OEM.</t>
  </si>
  <si>
    <t>An investor group comprised of Financial Institutions Insurance Group's (FIIG) President, John A Dore and Castle Harlan Partners II, a unit of Castle Harlan, acquired all the outstanding common shares of FIIG for an amended $16 in cash per share, or a total value of $52.952 mil. The group originally offered to acquire FIIG for $18 in cash per share but amended its terms due to a Feb 22, 20% FIIG stock dividend. Earlier, FIIG's Chairman, R Keith Long withdrew his unsolicited offer to acquire the remaining 87.5% interest in FIIG for $16 per share.</t>
  </si>
  <si>
    <t>PaperClip Imaging Software</t>
  </si>
  <si>
    <t>Dvlp document mgmt software</t>
  </si>
  <si>
    <t>Access Solutions International</t>
  </si>
  <si>
    <t>Access Solutions International (ASI) withdrew its plans to merge with PaperClip Imaging Software for approximately $5.98 mil in a stock swap transaction. The consideration was to consist of 1,544,438 common shares valued at $5.98 mil, Class B warrants to acquire 1, 544,438 common shares exercisable at $6 per share, and the assumption of liabilities. The shares were valued based on ASI's closing stock price of $3.875 on Jan 6, the last full trading day prior to the announcement.</t>
  </si>
  <si>
    <t>Safety Fund Corp</t>
  </si>
  <si>
    <t>CFX acquired Safety Fund (SF) in a stock swap transaction valued at $28.278 mil, subject to a collar agreement, SF's shareholders were to receive 1.7 common shares for each CFX share held. Based on CFX's closing stock price of $15.375 on Jan 4, the last full trading day prior to the announcement, each SF share was valued at $26.14. The transaction had been accounted for as a pooling of interests and was subject to regulatory approval. Under a lockup agreement, CFX was granted the option to acquire up to 19.9% of SF.</t>
  </si>
  <si>
    <t>Swing-N-Slide Corp</t>
  </si>
  <si>
    <t>Mnfr backyard swings,slides</t>
  </si>
  <si>
    <t>GreenGrass Holdings</t>
  </si>
  <si>
    <t>US - GreenGrass Holdings, a unit formed by senior management of Swing-N-Slide (SS), successfully completed its tender offer to acquire a 58.5% interest, or 3.51 mil common shares, in SS for $6. 50 in cash per share, or a total value of $22.815 mil. Later, Hedstrom, a unit of Hicks Muse Tate &amp; Furst, withdrew its hostile offer to acquire SS.</t>
  </si>
  <si>
    <t>Immune Response Corp</t>
  </si>
  <si>
    <t>Pvd medical research svcs</t>
  </si>
  <si>
    <t>Ocurest Laboratories Inc</t>
  </si>
  <si>
    <t>Mnfr,wholesale opthalmic drug</t>
  </si>
  <si>
    <t>Ocurest Laboratories withdrew its agreement to acquire all the outstanding common shares of Immune Response. Terms were not disclosed.</t>
  </si>
  <si>
    <t>Loral Corp</t>
  </si>
  <si>
    <t>Lockheed Martin Corp</t>
  </si>
  <si>
    <t>Mnfr aerospace sys,prod</t>
  </si>
  <si>
    <t>Lockheed Martin (LM) merged with Loral in a transaction valued at $8.762 bil, including the assumption of $2.1 bil in liabilities. Earlier, LM completed its tender offer to acquire Loral for $38 in cash per share, by accepting 167,769,814 common shares, or 94% of its common stock outstanding on a fully diluted basis. Concurrently, Loral spun off its Loral Space &amp; Communications unit.</t>
  </si>
  <si>
    <t>Medalist Industries Inc</t>
  </si>
  <si>
    <t>Mnfr screws,bolts</t>
  </si>
  <si>
    <t>Illinois Tool Works (ITW) acquired all the outstanding common shares of Medalist Industries (MI) in a stock swap transaction valued at $55.428 mil. Each MI shareholder received .2143 of an ITW common share for each share held. Based on ITW's closing stock price of $66.25 on May 30, the last full trading day prior to the announcement of exact terms, each MI common was valued at $14.20.</t>
  </si>
  <si>
    <t>US Delivery Systems Inc</t>
  </si>
  <si>
    <t>Pvd courier services</t>
  </si>
  <si>
    <t>Corporate Express Inc</t>
  </si>
  <si>
    <t>Retail office supplies</t>
  </si>
  <si>
    <t>Corporate Express (CE) acquired US Delivery Systems (USDS) in a stock swap transaction valued at $428.32 mil. Each USDS common shareholder received 1.2 CE common shares for each of their shares held, subject to a collar agreement. Based on CE's closing stock price of $26.25 on Jan 5, the last full trading day prior to the announcement, each USDS share was valued at $31.50. The transaction was accounted for as a pooling of interest and had been subject to regulatory approval.</t>
  </si>
  <si>
    <t>CompuWare acquired Technalysis for $14 per share, or a total value of $32.574 mil.</t>
  </si>
  <si>
    <t>American Resource Corp</t>
  </si>
  <si>
    <t>REA Gold Corp</t>
  </si>
  <si>
    <t>REA Gold (RG) merged with American Resource (AR) in a stock swap transaction valued at $77.527 mil. Each AR shareholder received 2.47 RG shares for each AR share held. Based on RG's closing stock price of $2.25 on Jun 25, the last full trading day prior to the announcement of exact terms, each AR share was valued at $5.5575.</t>
  </si>
  <si>
    <t>Golf Enterprises Inc</t>
  </si>
  <si>
    <t>Own,op golf course,club,shop</t>
  </si>
  <si>
    <t>National Golf Properties Inc</t>
  </si>
  <si>
    <t>National Golf Properties (NGP) acquired all the outstanding common shares of Golf Enterprises (GE) for $82. 864 mil. GE shareholders received $6 in cash and between .2087 and .31304 NGP common shares valued at $6 for every share held. As part of the agreement, NGP had the option of paying the entire $12 in cash per share. The value included 1,075,783 GE options valued at $3.57 each, based on the offer price of $12 less the average exercise price of $8.43 per option.</t>
  </si>
  <si>
    <t>HitCom Corp</t>
  </si>
  <si>
    <t>Brian Creath &amp; Partners Ltd</t>
  </si>
  <si>
    <t>Advertising agency</t>
  </si>
  <si>
    <t>Brian Creath &amp; Partners agreed to acquire all the outstanding shares of HitCom. Terms were not disclosed.</t>
  </si>
  <si>
    <t>Joh A Benckiser GmbH</t>
  </si>
  <si>
    <t>Mnfr,whl personal care product</t>
  </si>
  <si>
    <t>Jon A Benckiser (JB) withdrew its unsolicited offer to acquire all the outstanding shares of Maybelline (MB), a majority- owned unit of Wasserstein Perella Management Partners, for a sweetened $42 in cash per share, or a total value of $756.383 mil, including $152 mil in the assumption of debt. Originally, JB offered $37 per share. Concurrently, L'Oreal, a unit of Gesparal, acquired MB for a twice sweetened $44 in cash per share, or a total value of $785.693 mil.</t>
  </si>
  <si>
    <t>Standish Care Co</t>
  </si>
  <si>
    <t>Integrated Health Services terminated its agreement to acquire all the outstanding common and preferred shares of Standish Care (SC) for $4. 80 in cash per share, or a total value of $17.174 mil. Concurrenlty, Emeritus withdrew its offer to acquire SC in a stock swap transaction valued at $13.23 mil.</t>
  </si>
  <si>
    <t>Concord Health Group</t>
  </si>
  <si>
    <t>Pvd healthcare mgmt services</t>
  </si>
  <si>
    <t>Multicare merged with Concord Health Group (CHG) in a transaction valued at $126. 922 mil. Multicare offered $7. 35 for each outstanding share, and $1.85 for each warrant. Multicare also assumed $44 mil of Concord debt.</t>
  </si>
  <si>
    <t>Orthopedic Technology Inc</t>
  </si>
  <si>
    <t>Manufacture surgical supplies</t>
  </si>
  <si>
    <t>Depuy Inc(Corange Ltd)</t>
  </si>
  <si>
    <t>Mnfr orthopedic devices</t>
  </si>
  <si>
    <t>DePuy merged with Orthopedic Technology (OT) for $10.432 in cash per share, or a total value of $45.23 mil. Earlier, DePuy completed its tender offer by accepting 3,527,262 common shares, or 89.7% of its shares outstanding. The offer was conditioned upon a majority of OT's shares being tendered on a fully diluted basis and had been subject to regulatory approval.</t>
  </si>
  <si>
    <t>Star Multi Care Services Inc</t>
  </si>
  <si>
    <t>Star Multi Care Services (SMC) acquired AMSERV Healthcare (AM) in a stock swap transaction valued at $9. 16 mil. SMC offered 1 common share for every 2.445 AM shares held. Based on SMC's closing stock price of $7 on Jan 17, the last trading day prior to the announcement, each AM share was valued at $2.864. The transaction was accounted for as a pooling of interests and had been subject to regulatory approval.</t>
  </si>
  <si>
    <t>Corvita Corp</t>
  </si>
  <si>
    <t>Pfizer Inc</t>
  </si>
  <si>
    <t>Pfizer (PZ) merged with Corvita (CV) for $10.25 in cash per share, or a total of $78.5 mil. The value included $5.63 mil for outstanding options and warrants. Earlier, PZ completed its tender offer to acquire all the outstanding shares of CV by accepting 6,918,487 common shares, or about 97% of the CV's common stock outstanding. The offer had conditioned upon a majority of CV's shares being tendered on a fully diluted basis.</t>
  </si>
  <si>
    <t>Premier Financial Services</t>
  </si>
  <si>
    <t>Northern Illinois Financial</t>
  </si>
  <si>
    <t>Northern Illinois Financial (NIF) merged with Premier Financial Services (PFS) in a merger-of-equals stock swap valued at $80.53 mil. The newly merged entity was to be named Grand Premier Financial (GPF). PFS shareholders were to receive 1.116 new GPF shares for each share held, and NIF shareholders received 4.25 new GPF common shares for each share held. The shares were valued based on NIF's closing stock price of $47 on Jan 17, the last full trading day prior to the announcement. Upon completion, NIF and PFS shareholders owned 59% and 41%, respectively of the new entity.</t>
  </si>
  <si>
    <t>Quorum Health Group Inc</t>
  </si>
  <si>
    <t>Own,op acute care hospitals</t>
  </si>
  <si>
    <t>Quorum Health Group terminated merger negotiations with an undisclosed acquiror.</t>
  </si>
  <si>
    <t>Rotonics Manufacturing Inc</t>
  </si>
  <si>
    <t>Mnf rotational plastics</t>
  </si>
  <si>
    <t>Low &amp; Bonar PLC</t>
  </si>
  <si>
    <t>Manufacture,wholesale yarns,fabrics products</t>
  </si>
  <si>
    <t>Low &amp; Bonar withdrew its offer to acquire all the outstanding shares of Rotonics Manufacturing for $2. 34 in cash per share, or a total value of $33.154 mil. The transaction had been subject to regulatory approval. Concurrently, Rotonics Manufacturing announced that it was in negotiations to divest the company to an undisclosed acquiror.</t>
  </si>
  <si>
    <t>ABS Industries Inc</t>
  </si>
  <si>
    <t>Wholesale industrial supplies</t>
  </si>
  <si>
    <t>In January 1996, ABS Industries announced that it had retained Smith Barney to assist in its search for a buyer for the company.</t>
  </si>
  <si>
    <t>Broadway &amp; Seymour Inc</t>
  </si>
  <si>
    <t>Dvlp fin info sys</t>
  </si>
  <si>
    <t>In January 1996, Broadway &amp; Seymour announced that it had retained Goldman, Sachs to assist in its search for a buyer.</t>
  </si>
  <si>
    <t>Kansas City Power &amp; Light Co</t>
  </si>
  <si>
    <t>Elec utility</t>
  </si>
  <si>
    <t>UtiliCorp United Inc</t>
  </si>
  <si>
    <t>UtiliCorp United (UU) withdrew its definitive agreement to acquire Kansas City Power &amp; Light (KC) in a merger-of-equals stock swap valued at an amended $1.688 bil. KC common shareholders were to have received 1 UU common share per KC share. The shares were valued based on UU's price of $27.25 on May 20, the last full trading day prior to the announcement of terms. Earlier, KC shareholders were to receive 1.096 UU shares of a new company for each share held. Subsequently, Western Resources withdrew its unsolicited, hostile offer to acquire KC.</t>
  </si>
  <si>
    <t>Premier Industrial Corp</t>
  </si>
  <si>
    <t>Whl electronic parts and equip</t>
  </si>
  <si>
    <t>Farnell Electronics PLC</t>
  </si>
  <si>
    <t>Wholesale electronic products</t>
  </si>
  <si>
    <t>Farnell Electronics (FE) acquired all the outstanding common shares of Premier Industrial (PI) in a transaction valued at $2.7 bil. PI common shareholders received .844 FE ordinary shares, .34 FE convertible preferred shares, and $17 in cash for each PI common share held. The preferred shares were convertible into 2.0686 FE ordinary shares. Based on FE's closing stock price of $10.29 on Jan 19, the last full trading day prior to the announcement, each PI share was valued at $32.92. The transaction had been subject to regulatory approval.</t>
  </si>
  <si>
    <t>Rally's Hamburgers Inc</t>
  </si>
  <si>
    <t>Own,op drive-through rests</t>
  </si>
  <si>
    <t>Giant Group Ltd</t>
  </si>
  <si>
    <t>Holding company</t>
  </si>
  <si>
    <t>GIANT GROUP (GG) terminated its agreement to raise its stake to 81% from 47.5% in Rally's Hamburgers (RH), in stock swap transaction. Each RH common shareholder was to receive have 1 non-voting GG preferred share for every 4.5 RH shares held. Earlier, Fidelity National Financial made an unsolicited offer to acquire the remaining 85.4% interest, that it did not already own, in GG, contingent upon GG terminating its agreement with RH.</t>
  </si>
  <si>
    <t>Kelley Oil &amp; Gas Corp</t>
  </si>
  <si>
    <t>Contour Production Co</t>
  </si>
  <si>
    <t>Contour Production (CP) agreed to raise its stake to 77.8% from 49.8% in Kelly Oil &amp; Gas (KO) by acquiring 27 mil newly issued common shares for $1 in cash per share, or a total value of $27 mil. Earlier, CP acquired a initial 49.8% stake in KO, or 48 mil newly issued common shares, for $1 in cash per share, or a total value of $48 mil.</t>
  </si>
  <si>
    <t>Spartech Corp</t>
  </si>
  <si>
    <t>Mnfr,whl plastic products</t>
  </si>
  <si>
    <t>Spartech acquired all the outstanding common shares of Portage Industries for $6.60 in cash per share, or a total value of $15.84 mil. The transaction had been subject to regulatory approval.</t>
  </si>
  <si>
    <t>Sun Microsystems Inc</t>
  </si>
  <si>
    <t>Mnfr servers,storage equip</t>
  </si>
  <si>
    <t>Sun Microsystems had been rumored to be in negotiations to acquire all the outstanding shares of Apple Computer (AP) for an estimated $23 per share, or a total value of $2.82 bil. The rumored negotiations were the result of AP's forecast of another loss for the current period.</t>
  </si>
  <si>
    <t>1st Washington Bancorp Inc</t>
  </si>
  <si>
    <t>First Maryland Bancorp, a unit of Allied Irish Bank, acquired all the outstanding common shares of 1st Washington Bancorp (WB) for $8.125 per share, or a total value of $81.917 mil. Earlier, in December 1995, WB announced that it had retained Legg Mason Wood Walker to assist in its search for a buyer for the company. The transaction had been subject to federal and state banking regulatory approval.</t>
  </si>
  <si>
    <t>Mattel (MT) withdrew its hostile offer to acquire Hasbro (HB) in a stock swap transaction valued at $5.084 bil. HB common shareholders were to receive 1.67 MT common shares for each HB share held. Based on MT's closing stock price of $31. 875 on Jan 23, the last full trading day prior to the announcement, each HB share was valued at $53.23. The transaction was to be accounted for as a pooling of interests and had been subject to regulatory approval.</t>
  </si>
  <si>
    <t>National Lodging Corp</t>
  </si>
  <si>
    <t>Chartwell Leisure Associates</t>
  </si>
  <si>
    <t>Chartwell Leisure Associates acquired a 52% interest, or 4 mil common shares, in National Lodging for $14.25 in cash per share, or a total value of $57 mil. National Lodging was formerly named National Gaming and upon completion of this deal, changed its name to Chartwell Leisure.</t>
  </si>
  <si>
    <t>New Iberia Bancorp,Louisiana</t>
  </si>
  <si>
    <t>Whitney Holding (WH)withdrew its offer to acquire all the outstanding shares of New Iberia Bancorp in exchange for $27 in WH common stock per share, or a total value of $54 mil. The transaction had been subject to federal and state banking regulatory approval and was to be accounted for as a pooling of interests.</t>
  </si>
  <si>
    <t>TGV Software Inc</t>
  </si>
  <si>
    <t>Cisco Systems Inc</t>
  </si>
  <si>
    <t>Manufactures, wholesales networking and communications products</t>
  </si>
  <si>
    <t>cisco Systems (CS) acquired TGV Software (TGV) in a stock swap transaction valued at $92.43 mil. TGV common shareholders received .2 CS common shares for each TGV share held. Based on CS's closing stock price of $77. 875 on Jan 23, the last full trading day prior to the announcement, each TGV share was valued at $15.57. Included in the value was 1, 498,512 TGV options valued at $1.28 each. Upon completion, TGV shareholders received .4 CS common shares for each TGV share held to correct for a Feb 20 2-for-1 CS stock split. The transaction was accounted for as a pooling of interests.</t>
  </si>
  <si>
    <t>ENSCO International Inc</t>
  </si>
  <si>
    <t>Oil and gas contract drilling</t>
  </si>
  <si>
    <t>ENSCO International (EI) acquired all the outstanding common shares of Dual Drilling (DD), a unit of Mosvold Shipping, in a stock swap transaction valued at $224.743 mil. DD common shareholders received .625 EI common shares for each of their shares held. Based on EI's closing stock price of $22.75 on Jan 24, the last full trading day prior to the announcement, each DD share was valued at $14.22. The transaction had been subject to regulatory approval.</t>
  </si>
  <si>
    <t>An investor group, including Jack Mandel, agreed to acquire 42.481 mil common shares, or a 51% interest, in Premier Industrial.</t>
  </si>
  <si>
    <t>Hedstrom Corp(Hedstrom Hldgs)</t>
  </si>
  <si>
    <t>Hedstrom, a unit of Hicks Muse Tate &amp; Furst, withdrew its hostile offer to acquire all the outstanding shares of Swing-N-Slide (SS). Earlier, GreenGrass Holdings, a unit formed by senior management of SS, completed its tender offer to acquire a 58.5% interest, or 3.51 mil common shares, in SS.</t>
  </si>
  <si>
    <t>Barrington Bancorp,Illinois</t>
  </si>
  <si>
    <t>First Chicago NBD Corp</t>
  </si>
  <si>
    <t>First Chicago NBD (FC) acquired all the outstanding shares of Barrington Bancorp (BB) in a stock swap transaction valued at $15.455 mil. BB common shareholders were to receive .589 FC common shares for each of their shares held. Based on FC's closing stock price of $38 on Jan 25, the last full trading day prior to the announcement, each BB share was valued at $22.382. The transaction had been subject to federal and state banking regulatory approval.</t>
  </si>
  <si>
    <t>CSB Financial Corp,VA</t>
  </si>
  <si>
    <t>One Valley Bancorp Inc,WV</t>
  </si>
  <si>
    <t>One Valley Bancorp of West Virginia (OV) acquired CSB Financial (CSB) in a tax-free stock swap transaction valued at $60.34 mil. CSB common shareholders received .6774 OV common shares for each of their shares held. Based on OV's closing stock price of $32.25 on Jan 25, the last full trading day prior to the announcement, each CSB share was valued at $21.84. The transaction had been subject to federal and state banking regulatory approval.</t>
  </si>
  <si>
    <t>Charter Bancshares Inc</t>
  </si>
  <si>
    <t>NationsBank (NB) acquired the remaining 58% interest in Charter Bancshares (CB) that it did not already own in a stock swap transaction valued at $94.7 mil. CB common shareholders, class B common shareholders, and class C common shareholders received . 385 NB common shares for each CB share held. Based on NB's closing stock price of $67 on Jan 24, the last full trading day prior to the announcement, each CB share was valued at $25.795. The transaction had been subject to federal and state banking regulatory approval.</t>
  </si>
  <si>
    <t>Teva Pharmaceutical Industries</t>
  </si>
  <si>
    <t>Mnfr,wholesale pharmaceuticals</t>
  </si>
  <si>
    <t>Teva Pharmaceutical Industries (TPI) acquired all the outstanding common shares of Biocraft Laboratories (BL) in a stock swap transaction valued at $297.931 mil. Each BL shareholder received .461 TPI american depository receipts (ADR) for each BL share held. Based on TPI's closing ADR price of $45.25 on Jan 26, the last full trading day prior to the announcement, each BL share was valued at $20.86. Each ADR represented 10 TPI ordinary shares. The transaction was accounted for as a pooling of interests.</t>
  </si>
  <si>
    <t>Varitronic Systems Inc</t>
  </si>
  <si>
    <t>Mnfr typewriters</t>
  </si>
  <si>
    <t>WH Brady Co</t>
  </si>
  <si>
    <t>Mnfr indl labeling machines</t>
  </si>
  <si>
    <t>WH Brady (WH) merged with Varitronic Systems (VS) for a total of $42.539 mil. Earlier, WH completed its tender offer to acquire all the outstanding common shares of VS for a twice amended $17.50 in cash per share, by accepting 2,249,263 common shares, or 97% of its common stock outstanding. Originally, WH granted VS shareholders a choice to receive either $14 in cash or WH common stock for each VS share held, which was later amended to $16 in cash per share. Previously, a management-led investor group withdrew its offer to acquire VS.</t>
  </si>
  <si>
    <t>Daig Corporation</t>
  </si>
  <si>
    <t>Mnfr pacemakers</t>
  </si>
  <si>
    <t>St Jude Medical (ST) acquired Daig in a stock swap transaction valued at $441.33 mil. Daig common shareholders received .651733 ST common share for each Daig share held. Based on ST's closing stock price of $44.25 on Jan 29, the last full trading day prior to the announcement, each Daig share was valued at $28.84. The transaction was accounted for as a pooling of interests.</t>
  </si>
  <si>
    <t>Rumor</t>
  </si>
  <si>
    <t>LDI Corp</t>
  </si>
  <si>
    <t>Computer equip leasing svcs</t>
  </si>
  <si>
    <t>US - In January 1996, NationsBank Corp,Charlotte, North Carolina, ultimately owned by Bank of America Corp, was rumored to be seeking a buyer for the entire share capital of its LDI Corp(NationsBank Corp) unit, a Cleveland-based provider of office machinery and equipment rental and leasing services.</t>
  </si>
  <si>
    <t>Mellon Mtg Tr Coml Ppty Series</t>
  </si>
  <si>
    <t>Vinings Investment Property</t>
  </si>
  <si>
    <t>Vinings Investment &amp; Properties, a unit of A&amp;P Investors, completed its tender offer to acquire 6,271, 320 common shares, or 72.5% of the outstanding shares of Mellon Participating Mortgage Trust Series 85/10 for $.47 in cash per share, or a total value of $2.95 mil.</t>
  </si>
  <si>
    <t>Tivoli Systems Inc</t>
  </si>
  <si>
    <t>Dvlp systems mgmt software</t>
  </si>
  <si>
    <t>International Business Machines (IBM) acquired Tivoli Systems (TS) in a transaction valued at $709.8 mil. Earlier, IBM completed its tender offer to acquire all the outstanding common shares of TS for $47.50 in cash per share, by accepting about 14 mil shares, or a 90% interest in TS. The offer had been conditioned upon a majority of TS's outstanding shares being tendered on a fully diluted basis. The transaction had been subject to regulatory approval.</t>
  </si>
  <si>
    <t>HealthWise of America Inc</t>
  </si>
  <si>
    <t>United HealthCare (UH) acquired HealthWise of America (HA) in a stock swap transaction valued at $271.14 mil. HA common shareholders received .6475 UH common share for each HA share held. Based on UH's closing stock price of $62.75 on Jan 31, the last full trading day prior to the announcement, each HA share was valued at $40.63. The transaction was accounted for as a pooling of interests and had been subject to regulatory approval.</t>
  </si>
  <si>
    <t>IP Timberlands Ltd</t>
  </si>
  <si>
    <t>Own and operate timber tracts</t>
  </si>
  <si>
    <t>An investor group including Rosewood Resources and Hampton Resources agreed to merge with IP Timberlands, a unit of International Paper.</t>
  </si>
  <si>
    <t>Health Insurance of Vermont</t>
  </si>
  <si>
    <t>Insurance firm</t>
  </si>
  <si>
    <t>Penn Treaty American Corp</t>
  </si>
  <si>
    <t>Penn Treaty American (PT) acquired all the outstanding shares of Health Insurance of Vermont (HI) for $10.252 mil. HI shareholder was to receive $4 in cash and .86 PT common shares for each HI share held. Based on PT's closing stock price of $23.375 on Feb 1, the last full trading day prior to announcement, each HI share was valued at $20. 103. The transaction had been subject to regulatory approval.</t>
  </si>
  <si>
    <t>Advanced Mammography Systems</t>
  </si>
  <si>
    <t>Pvd outpatient diagnostic svcs</t>
  </si>
  <si>
    <t>Advanced NMR Systems (NMR) terminated its definitive agreement to acquire the remaining 39% stake, or 2.5 mil shares, that it did not already own, in Advanced Mammography Systems (AMS) in a stock swap transaction valued at $7.1 mil. Each AMS common shareholder was to receive between 1.173529 and 1.297059 NMR common shares for each AMS share held. Based on NMR's closing stock price of $2.125 on Feb 2, the last full trading day prior to the announcement, and based on the high ratio in the range, each AMS share was valued at $2.76.</t>
  </si>
  <si>
    <t>CTL Credit Inc</t>
  </si>
  <si>
    <t>Bay View Capital,San Mateo,CA</t>
  </si>
  <si>
    <t>Bay View Capital acquired all the outstanding common stock of CTL Credit (CTL) for $18.00 in cash per share, or a total value of $64.963 mil. The transaction had been subject to regulatory approval. In May 1995, CTL announced that it was seeking a buyer for the company.</t>
  </si>
  <si>
    <t>Customedix Corp</t>
  </si>
  <si>
    <t>Mnfr dental, medical products</t>
  </si>
  <si>
    <t>CUS Acquisition Inc</t>
  </si>
  <si>
    <t>CUS Acquistion, a corporation formed by Chairman and CEO Gordon S Cohen and certain members of his family,acquired the remaining 45.4% stake, or 1, 496,384 common shares, that it did not already own, in Customedix for an amended $2. 375 in cash per share, or a total value $3.55 mil, in a leveraged buyout transaction. Earlier, the group withdrew its offer to for $1.9375 in cash per share, or a total value of $2.899 mil.</t>
  </si>
  <si>
    <t>DiMark Inc</t>
  </si>
  <si>
    <t>Pvd database marketing svcs</t>
  </si>
  <si>
    <t>Harte-Hanks Communications Inc</t>
  </si>
  <si>
    <t>Pvd direct mktg svcs</t>
  </si>
  <si>
    <t>Harte-Hanks Communications (HH), a unit of HHC Holding, acquired DiMark (DI) in a stock swap transaction valued at $59.808 mil. DI common shareholders received .656 HH common share for each of their shares held. Based on HH's closing stock price of $7.625 on Feb 2, the last full trading day prior to the announcement, each DI share was valued at $5.002. The transaction was accounted for as a pooling of interests and had been subject to regulatory approval.</t>
  </si>
  <si>
    <t>Pyxis Corp</t>
  </si>
  <si>
    <t>Provide med equip leasing svcs</t>
  </si>
  <si>
    <t>Cardinal Health (CH) acquired Pyxis (PY) in a tax- free stock swap merger valued at $907.345 mil. PY shareholders received .406557 CH common shares for each PY share held. Based on CH's closing stock price of $59. 375 on Feb 6, the last full trading day prior to the announcement, each PY share was valued at $24.14. The transaction was accounted for as a pooling of interests and had been subject to regulatory approval. Under a lockup agreement, CH had been granted the option to acquire up to a 19.9% stake in PY.</t>
  </si>
  <si>
    <t>Citizens Security Group Inc</t>
  </si>
  <si>
    <t>Meridian Insurance Group LLC</t>
  </si>
  <si>
    <t>Meridian Insurance Group acquired all the outstanding common shares of Citizens Security Group (CSG) for approximately $12.50 in cash per share, or a total value of $22.62 mil. The transaction had been subject to regulatory approval.</t>
  </si>
  <si>
    <t>Essilor of America Inc</t>
  </si>
  <si>
    <t>Mnfr,whl ophthalmic goods</t>
  </si>
  <si>
    <t>Essilor of America (EA), a unit of Essilor International, acquired all of the outstanding common shares of Benson Eyecare (BE) in a transaction valued at $210. 295 mil. Each BE shareholder received an amended $6.60 in cash and a share in a new company named BEC Group (BEC) for each of their shares held. As part of the deal, EA acquired Omega Laboratory Group (OLG). Also, Monsanto acquired the Orcolite polycarbonate and plastic lens manufacturing division of BE. BEC was comprised of BE's sunglass group and optical technologies group.</t>
  </si>
  <si>
    <t>California Bancshares Inc</t>
  </si>
  <si>
    <t>US Bancorp, Portland, Oregon, (USB) acquired California Bancshares (CB) in a tax-free stock swap valued at $339.386. CB common shareholders received .95 USB common shares for each of their shares held. Based on USB's closing stock price of $34.25 on Feb 9, the last full trading day prior to the announcement, each CB share was valued at $32.54. The transaction had been subject to federal and state banking regulatory approval and was accounted for as a pooling of interests. Under a lockup agreement, USB was granted the option to acquire up to 19.9% of CB.</t>
  </si>
  <si>
    <t>Duracraft Corp</t>
  </si>
  <si>
    <t>Mnfr electric housewares</t>
  </si>
  <si>
    <t>Honeywell Inc</t>
  </si>
  <si>
    <t>Mnfr,whl environmental control</t>
  </si>
  <si>
    <t>Honeywell (HW) merged with Duracraft (DC) for $43.5 in cash per share, or a total of $286.672 mil. Earlier, HW completed its tender offer to acquire all the outstanding shares of DC by accepting 6, 248,614 shares, or 98.5% of DC's shares outstanding. The value included 348,400 options valued at $16.37 each, based on the offer price of $43.5 less the average exercise price of $27.13 per option. The offer was conditioned upon two-thirds of DC's shares being tendered. The transaction had been subject to regulatory approval under the Hart-Scott- Rodino Act.</t>
  </si>
  <si>
    <t>Citicasters Inc</t>
  </si>
  <si>
    <t>Own,op TV, radio stations</t>
  </si>
  <si>
    <t>Jacor Communications Inc</t>
  </si>
  <si>
    <t>Jacor Communications (JAC) acquired all the outstanding common shares and options of Citicasters (CT), a 56%-held unit of American Financial Group, for $29.50 in cash per share, or a total value of $767.63 mil, including the assumption of $150 mil in liabilities. JAC offered $29. 50 in cash and 1 warrant to acquire .2 of a JAC share, exercisable at $28 per share over a 5-year period, for each CT share held. The transaction was contingent upon the sale of JAC's WKRQ radio station.</t>
  </si>
  <si>
    <t>Copley Properties Inc</t>
  </si>
  <si>
    <t>EastGroup Properties (EGP) acquired the remaining 94.7% interest, which it did not already own, in Copley Properties (CP) for $15.60 in EGP common shares per share, or a total value of $52.95 mil. In May 1995, CP announced it was seeking a buyer for the company. Previously, in June 1995, EGP terminated its plans to acquire the remaining 94.7% interest it did not already own in CP.</t>
  </si>
  <si>
    <t>FinishMaster Inc(Maxco Inc)</t>
  </si>
  <si>
    <t>Whl automotive paint,coatings</t>
  </si>
  <si>
    <t>Maxco terminated its offer to divest its 67% interest, or 4.045 mil common shares, in FinishMaster to an undisclosed acquiror.</t>
  </si>
  <si>
    <t>Horizon/CMS Healthcare (HC) acquired Medical Innovations (MI), a unit of Ballard Medical Products,for $1.85 cash per share, or a total value of $30.25 mil.</t>
  </si>
  <si>
    <t>S-K-I Ltd</t>
  </si>
  <si>
    <t>Operate ski resorts</t>
  </si>
  <si>
    <t>LBO Enterprises</t>
  </si>
  <si>
    <t>Own,op ski and summer resorts</t>
  </si>
  <si>
    <t>LBO Enterprises acquried all the outstanding common shares of S-K-I for $18 per share, or a total value of $135.294 mil, including $30 mil in the assumption of liabilities. In February 1995, S-K-I disclosed that it was in negotiations to merge with an undisclosed acquiror.</t>
  </si>
  <si>
    <t>Hamilton Financial Services</t>
  </si>
  <si>
    <t>Pvd mortgage bkg svcs;hldg co</t>
  </si>
  <si>
    <t>Harbor Financial Group Inc</t>
  </si>
  <si>
    <t>Pvd mortgage bankers svcs</t>
  </si>
  <si>
    <t>Harbor Financial Group (HFG) acquired all the outstanding common shares of Hamilton Financial Services (HFS), for an amended $.61 in cash per share, or a total value of $3. 63 mil in cash. Originally, HFG offered $.95 in cash per share. Earlier in November 1994, HFS announced it was seeking a buyer for the company.</t>
  </si>
  <si>
    <t>Helene Curtis Industries Inc</t>
  </si>
  <si>
    <t>Mnfr perfumes,cosmetics</t>
  </si>
  <si>
    <t>Unilever NV</t>
  </si>
  <si>
    <t>Produce,whl food products</t>
  </si>
  <si>
    <t>Unilever (UN) merged with Helene Curtis Industries (HC) in a transaction valued at $737.4 mil. Earlier, UN completed its tender offer to acquire all the outstanding common shares and Class B common shares of HC at $70 in cash per share, by accepting 6.4 mil common shares and 2.6 mil Class B common shares, or 90.9% of the company's total common stock outstanding. The offer had been conditioned upon a majority of HC's outstanding voting shares being tendered on a fully diluted basis and had been subject to regulatory approval.</t>
  </si>
  <si>
    <t>Andros Inc</t>
  </si>
  <si>
    <t>Mnfr infrared gas analyzers</t>
  </si>
  <si>
    <t>Genstar Capital Partners II LP</t>
  </si>
  <si>
    <t>Genstar Capital Partners II (GC) merged with Andros in a transaction valued at $92.619 mil. Earlier, GC completed its tender offer for Andros for $18 in cash per share, by accepting 2,734,192 shares, or a 56.25% interest in Andros. The offer had been conditioned upon a majority of Andros shares being tendered.</t>
  </si>
  <si>
    <t>Fidelity National Financial In</t>
  </si>
  <si>
    <t>Pvd title insurance services</t>
  </si>
  <si>
    <t>Fidelity National Financial (FNF) withdrew its hostile offer to acquire the remaining interest in GIANT GROUP (GG) for approximately $12 in FNF common stock per share, or a total value of $52.224 mil, subject to a collar agreement. Included in the value was FNF's acquisition of a 14.6% stake, or 695,489 shares, in GG at prices ranging from $6.375 to $9.00 per share. The offer was contingent upon the termination of GG's agreement to raise its stake to 81% from 47.5% in Rally's Hamburgers.</t>
  </si>
  <si>
    <t>NationsBank acquired all the outstanding shares of LDI for $4.10 in cash per share, or a total value of $28.1 mil. The transaction was subject to regulatory approval.</t>
  </si>
  <si>
    <t>Circle K Corp</t>
  </si>
  <si>
    <t>Tosco Corp</t>
  </si>
  <si>
    <t>Pvd petroleum refining svcs</t>
  </si>
  <si>
    <t>Tosco (TS) acquired all the outstanding shares of Circle K (CK), a unit of CK Acquisitions (CA), in a stock swap transaction valued at $983.027 mil, including $190 mil in the assumption of liabilities. CA shareholders received .6162 TS shares for each of their shares held. Based on TS' closing stock price of $50 on May 28, each CK share was valued at $30.81. The exact exchange ratio had been subject to a collar agreement. As part of the transaction, TS acquired 16, 555,852 shares from CA for $25.825 in cash and a fraction of a TS share per share.</t>
  </si>
  <si>
    <t>Marriott Intl-Lodging,Senior</t>
  </si>
  <si>
    <t>Own,op lodging facilities</t>
  </si>
  <si>
    <t>Marriott International (MI) merged with Forum Group (FG) for $13 cash per share, or a total value of $622.289 mil, including $303 mil in the assumption of debt. Earlier, MI completed its tender offer for FG by accepting 22.341 mil shares, or 90% of FG's shares outstanding on a fully diluted basis. The offer was conditioned upon two-thirds of FG's shares being tendered on a fully diluted basis and was subject to regulatory approval under the Hart-Scott- Rodino Act.</t>
  </si>
  <si>
    <t>Aegis Consumer Funding Group</t>
  </si>
  <si>
    <t>Pvd personal credit services</t>
  </si>
  <si>
    <t>An investor group, comprised of Whitehall Financial, Robert Weingarten, Gerry Ginsberg, Ilene Weingarten, Philip Fitzpatrick, Rita Villa, Palomba Weingarten, Garry Winnick, Atlas Holdings Group, and PCG Management, exercised an option to acquire a 50.7% interest, or 7,497,701 common shares, in Aegis Consumer Funding Group from Bennett Funding Group and its Bennett Management &amp; Development subsidiary, for $9.5 mil.</t>
  </si>
  <si>
    <t>Cable Link Inc</t>
  </si>
  <si>
    <t>Whl cable television equipment</t>
  </si>
  <si>
    <t>Applied Cellular Technology</t>
  </si>
  <si>
    <t>Pvd wireless commun svcs</t>
  </si>
  <si>
    <t>Applied Cellular Technology withdrew its offer to acquire all the outstanding common stock of Cable Link. Terms were not disclosed.</t>
  </si>
  <si>
    <t>Davidson &amp; Associates Inc</t>
  </si>
  <si>
    <t>CUC International (CUC) acquired all the outstanding common shares of Davidson &amp; Associates (DA) in a stock swap transaction valued at $1. 145 bil. DA common shareholders received .85 CUC common shares for each DA share held. Based on CUC's closing stock price of $37.50 on Feb 19, the last full trading day prior to the announcement, each DA share was valued at $31.875. The transaction had been accounted for as a pooling of interests. As part of the agreement, DA had been entitled to terminate the merger if CUC's average stock price was less than $29.</t>
  </si>
  <si>
    <t>Sierra On-Line Inc</t>
  </si>
  <si>
    <t>Develop software for games</t>
  </si>
  <si>
    <t>CUC International (CUC) acquired Sierra On-Line (SO) in a tax-free stock swap transaction valued at $911.02 mil. SO common shareholders received 1.225 CUC common shares for each of their shares held. Based on CUC's closing stock price of $37.50 on Feb 19, the last full trading day prior to the announcement, each SO share was valued at $45.93. The transaction was accounted for as a pooling of interests.</t>
  </si>
  <si>
    <t>Aurora Electronics Inc</t>
  </si>
  <si>
    <t>Recycle integrated circuits</t>
  </si>
  <si>
    <t>Welsh Carson Anderson &amp; Stowe</t>
  </si>
  <si>
    <t>Welsh Carson Anderson &amp; Stowe (WC) acquired a majority interest in Aurora Electronics (AE) for $50 mil, as part of a recapitalization plan. The consideration consisted of $40 mil in convertible preferred shares and $10 mil for a subordinated debenture with . 61 mil AE common shares, with the value based on the high end of the range. Concurrently, AE completed its self-tender offer, by acquiring 4.268 mil shares. Upon completion, WC was to hold between 56% and 64% of AE depending upon the number of shares tendered.</t>
  </si>
  <si>
    <t>Silicon Graphics(SG) merged with Cray Research (CR) in a two-tier merger valued at $769.99 mil. Earlier, SG completed its tender offer to acquire a 75% interest in CR for $30 in cash per share, or a total value of $576.56 mil by accepting 19.218 mil common shs,or 75% of the common stock outstanding. In the 2nd step, each remaining CR shareholder received 1 SG share for each CR share held. Based on SG's closing stock price on 2/23,the last full trading day prior to announcement of terms, each remain CR sh was valued at $27.50.</t>
  </si>
  <si>
    <t>An investor group, including management, withdrew its offer to acquire all the outstanding shares of Varitronic Systems (VS), in a leveraged buyout transaction. Later, WH Brady merged with VS for a twice amended $17.50 in cash per share, or a total value of $40.58 mil.</t>
  </si>
  <si>
    <t>Sterile Concepts Inc</t>
  </si>
  <si>
    <t>Mnfr sterilized surgical trays</t>
  </si>
  <si>
    <t>Maxxim Medical (MM) acquired all the outstanding common stock of Sterile Concepts (SC) for an amended $20.00 per share, or a total value of $140.19 mil, including $29 mil in the assumption of liabilities. Earlier, MM completed its hostile tender offer by accepting 5.438 mil common shares, or about 98.4% of SC's shares. SC shareholders received either $20.00 in cash, MM common stock or a combination of the two for each SC share held. Earlier, MM offered $19 per share.</t>
  </si>
  <si>
    <t>Tide West Oil Co</t>
  </si>
  <si>
    <t>HS Resources Inc</t>
  </si>
  <si>
    <t>HS Resources (HS) acquired all the outstanding shares of Tide West Oil (TW), including Natural Gas Partners' 46.25% stake, for $201.262 mil, including $38.7 mil in the assumption of liabilities. TW common shareholders received $8.75 in cash and .6295 HS common share for each of their shares held. Based on HS's closing stock price of $11.375 on Feb 23, the last full trading day prior to the announcement, each TW share was valued at $15.91. In October 1995, TW announced that it was seeking a buyer for the company.</t>
  </si>
  <si>
    <t>Brandon Systems Corp</t>
  </si>
  <si>
    <t>Personnel agency,consulting</t>
  </si>
  <si>
    <t>Interim Services Inc</t>
  </si>
  <si>
    <t>Pvd human resource solutions</t>
  </si>
  <si>
    <t>Interim Services (IS) acquired Brandon Systems (BS) in a stock swap valued at $165.22 mil. BS shareholders received .88 IS common shares for each BS share held. Based on IS's closing stock price of $40 on Feb 26, the last full trading day prior to the announcement, each BS share was valued at $35.20. The value included 498,400 BS shares reserved for issuance upon the exercise of all outstanding options valued at $20.82 each, based on the offer price of $35.2 less the average exercise price of $14. 38 per option. The transaction was accounted for as a pooling of interests.</t>
  </si>
  <si>
    <t>Maxum Health Corp</t>
  </si>
  <si>
    <t>Own and operate medical labs</t>
  </si>
  <si>
    <t>Insight Health Services Corp</t>
  </si>
  <si>
    <t>Diagnostic imaging services</t>
  </si>
  <si>
    <t>US-June 27, 1996--InSight Health Services Corp. completed the merger of Maxum Health Corp. As a result of the merger, American Health and Maxum are now wholly- owned subsidiaries of InSight Health Services Corp. InSight common stock is listed on the OTC Bulletin Board under the symbol.Maxum, headquartered in Dallas, It is a provider of radiology and related management services through its imaging networks in the Central and Eastern United States. Services are generally provided under contracts with hospitals and managed care companies, through a network of imaging centers and mobile equipment which Maxum owns or manages.</t>
  </si>
  <si>
    <t>Salton/Maxim Houswares Inc</t>
  </si>
  <si>
    <t>Mnfr electric housewares,fans</t>
  </si>
  <si>
    <t>Windmere-Durable Holdings</t>
  </si>
  <si>
    <t>Mnfr household appliances</t>
  </si>
  <si>
    <t>Windmere (WND) acquired a 50% interest, or 6.5 mil newly issued common shares, in Salton/Maxim Housewares for $3.244 per share, or a total value of $21.116 mil. The consideration was $3.254 mil in cash, 748,112 newly issued WND common shares valued at $7.014 mil, and a $10.848 mil note. The shares were valued based on WND's closing stock price of $9.375 on Feb 27, the last full trading day prior to the announcement.</t>
  </si>
  <si>
    <t>TBC Corp</t>
  </si>
  <si>
    <t>Mnfr,whl tires</t>
  </si>
  <si>
    <t>TBC acquired all the outstanding shares of Big O Tires for $16.50 in cash per share, or a total value of $56.62 mil. The transaction had been subject to regulatory approval. Concurrently, a management led investor group terminated its definitive agreement to acquire Big O Tires for an amended $16.50 in cash per share, in a leveraged buyout transaction. Earlier, AKH withdrew its offer to acquire Big O Tires for $18 in cash per share, or a total value of $59.4 mil.</t>
  </si>
  <si>
    <t>In August 1996, Box Brothers Holding terminated its search for a buyer for its 56.5% interest, or 1,843,850 common shares Class A, in its Box Energy subsidiary.</t>
  </si>
  <si>
    <t>Physicians Insurance Co of OH</t>
  </si>
  <si>
    <t>Insurance company and agency</t>
  </si>
  <si>
    <t>Citation Insurance Group</t>
  </si>
  <si>
    <t>Citation Insurance Group (CIG) acquired Physicians Insurance Co of Ohio (PICO) in a reverse stock swap merger valued at $104.4 mil. PICO shareholders received 5. 0099 CIG shares for each PICO share held. Based on CIG's closing stock price of $4 on Nov 20, the last full trading day prior to the announcement of the exact terms, each PICO share was valued at $20.04. The transaction was subject to regulatory approval. Upon completion, PICO was renamed PICO Holdings.</t>
  </si>
  <si>
    <t>Portsmouth Bank Shares,NH</t>
  </si>
  <si>
    <t>Atlantic Bancorp,Portland,ME</t>
  </si>
  <si>
    <t>Atlantic Bancorp was in negotiations to acquire all the outstanding common stock of Portsmouth Bank Shares. Any agreed upon transaction would be subject to state and federal banking regulatory approval.</t>
  </si>
  <si>
    <t>Storage Properties Inc</t>
  </si>
  <si>
    <t>Own and operate warehouses</t>
  </si>
  <si>
    <t>Public Storage (PS) acquired the remaining 92.62%, or 3, 101,138 mil shares, of Storage Properties (SP) which it did not already own for $7. 35 per share, or a total value of $22.79 mil. The consideration consisted of $. 18 in cash and $7.17 in either cash or PS common shares for each SP share. Earlier, PS raised its stake to 7.38% from 4.6% in SP.</t>
  </si>
  <si>
    <t>Hercules Inc</t>
  </si>
  <si>
    <t>Mnfr,whl chem</t>
  </si>
  <si>
    <t>Hercules withdrew its rejected, unsolicited offer to acquire all the outstanding shares of WR Grace.</t>
  </si>
  <si>
    <t>Castle Energy Corp</t>
  </si>
  <si>
    <t>In March 1996, Castle Energy announced that it retained Lazard Freres to assist in the search for a buyer for the company.</t>
  </si>
  <si>
    <t>In 1996, Regions Financial was rumored to be seeking a buyer. The Current status of this deal is unknown.</t>
  </si>
  <si>
    <t>Acme-Cleveland Corp</t>
  </si>
  <si>
    <t>Mnfr metal cutting tools</t>
  </si>
  <si>
    <t>Danaher (DH) acquired the remaining 95.4% interest that it did not already own in Acme-Cleveland (ACM) for an amended $30 in cash per common share and Series A convertible preferred share, or a total value of $204.431 mil. Concurrently, DH completed its tender offer for the remaining 95.4% interest in ACM by accepting 5,768,177 shares, or 83.6% of ACM. The offer had been conditioned upon a majority of ACM's shares being tendered. Originally, DH offered $27 in cash per common and convertible preferred ACM share. Also, ACM terminated its search for a white knight.</t>
  </si>
  <si>
    <t>Infrasonics Inc</t>
  </si>
  <si>
    <t>Mnfr,mkt medical respirators</t>
  </si>
  <si>
    <t>Nellcor Puritan-Bennett</t>
  </si>
  <si>
    <t>Nellcor Puritan-Bennett (NEL) acquired Infrasonics (IF) in a stock swap valued at an amended $60.965 mil. IF common shareholders received . 12 NEL common share for each IF share held. Based on NEL's closing stock price of $47.75 on Jun 26, the day prior to the amendment of terms, each IF share was valued at $5.73. Previously, IF shareholders were to receive .095 NEL share per IF share held. The transaction was accounted for as a pooling of interests and had been subject to regulatory approval.</t>
  </si>
  <si>
    <t>ERC Industries Inc</t>
  </si>
  <si>
    <t>Manufacture oil field equip</t>
  </si>
  <si>
    <t>John Wood Group PLC</t>
  </si>
  <si>
    <t>Pvd oil,gas svcs</t>
  </si>
  <si>
    <t>John Wood Group raised its stake to 52.8% from 47.1%, by acquiring .78 mil common shares from an investor group led by George Soros, in a privately negotiated transaction, for $633,750.</t>
  </si>
  <si>
    <t>ALBANK Financial Corp,NY</t>
  </si>
  <si>
    <t>TrustCo Bank, NY (TB) withdrew its hostile offer to acquire all the outstanding common shares of ALBANK Financial (AF) for $40 per share, or a total value of $488.145 mil. The consideration was to consist of $8 in cash and $32 in TB common shares for each pre stock split AF common share. Upon completion, AF common shareholders were to actually receive $33.32 in a combination of cash and TB stock per share to correct for an April 1 six-for-five AF stock split. The transaction had been subject to federal and state banking regulatory approval.</t>
  </si>
  <si>
    <t>Bird Corp</t>
  </si>
  <si>
    <t>Manufacture building products</t>
  </si>
  <si>
    <t>CertainTeed Corp</t>
  </si>
  <si>
    <t>CertainTeed (CT), a unit of Saint-Gobain, withderw its tender offer to acquire all the outstanding common and cumulative convertible preferred shares of Bird for $7.50 in cash per common share, and $20 in cash per cumulative convertible preferred share, or a total value of $47.33 mil. The offer was conditioned upon 67% of Bird's outstanding common and cumulative convertible preferred shares being tendered. In May 1994, Bird announced that it was seeking a buyer for the company.</t>
  </si>
  <si>
    <t>Emeritus Corp</t>
  </si>
  <si>
    <t>Own,op assisted living cmnty</t>
  </si>
  <si>
    <t>Emeritus (EM) withdrew its offer to acquire Standish Care (SC) in a stock swap transaction valued at $14.658 mil. SC shareholders were to receive .1845 EM shares for each SC share held. Based on FM's closing stock price of $21.125 on March 14, each SC share was valued at $3.9. Earlier Integrated Health Services agreed to acquire all the outstanding common shares and preferred shares of SC for $40.08 mil in cash.</t>
  </si>
  <si>
    <t>Athena Neurosciences Inc</t>
  </si>
  <si>
    <t>Elan Corp PLC</t>
  </si>
  <si>
    <t>Ireland-Rep</t>
  </si>
  <si>
    <t>Elan (EL) acquired the remaining 91% interest, or 32, 949,932 common shares, that it did not already own, in Athena Neurosciences (ATH) in a stock swap transaction valued at $601.34 mil. ATH common shareholders received . 2956 EL American Depositary share for each ATH share held. Based on EL's closing stock price of $61.75 on Mar 15, the last full trading day prior to the announcement, each ATH share was valued at $18.25. The transaction had been subject to regulatory approval.</t>
  </si>
  <si>
    <t>Isolyser Co Inc</t>
  </si>
  <si>
    <t>Mnfr surgical supplies</t>
  </si>
  <si>
    <t>Isolyser(IS) acquired Microtek Medical (MM) in a stock swap valued at $108.645 mil, including the assumption of $19 mil in debt. MM comon shareholders received 1.65 IS common share for each MM share held. Based on IS' closing stock price of $9.375 on July 29, the last full trading day prior to the announcement of exact terms, each MM share was valued at $15.4688. Earlier, IS offered $16.50 in IS common stock for each MM share held. The transaction was accounted for as a pooling of interests.</t>
  </si>
  <si>
    <t>Survival Tech(Stanley)</t>
  </si>
  <si>
    <t>Mnfr syringes, injectors</t>
  </si>
  <si>
    <t>Brunswick Biomedical Corp</t>
  </si>
  <si>
    <t>Mnfr elec medical equipment</t>
  </si>
  <si>
    <t>Brunswick Biomedical acquired Stanley J Sarnoff Endowment for Cardiovascular Science's (SJS), 61% interest in Survival Technology for an estimated total value of $20. 7 mil.  Consideration included $16.069 mil cash, $4. 7 mil promissory note and warrants to purchase an additional .05 mil common shares for $27.55 per share. In February 1994, Survival Technology announced that it had retained Merrill Lynch to assist in its search for a buyer for the company.</t>
  </si>
  <si>
    <t>Todays Bancorp Inc</t>
  </si>
  <si>
    <t>Mercantile Bancorp (MB) acquired all the outstanding common shares of Todays Bancorp for $31.81 in a combination of cash and MB common stock per share, or a total value of $88.751 mil. The consideration consisted of up to 1,177,066 MB common shares with the rest of the consideration being paid in cash. The transaction had been subject to state and federal banking regulatory approval.</t>
  </si>
  <si>
    <t>Skysat Communications Network</t>
  </si>
  <si>
    <t>Mnfr comm network equipment</t>
  </si>
  <si>
    <t>Palomar Medical Tech Inc</t>
  </si>
  <si>
    <t>Mnfr,whl laser med devices</t>
  </si>
  <si>
    <t>Palomar Medical Technologies (PMT) was granted a warrant to raise its stake to 53.31% from 15.31% in Skysat Communications Network (SCN). The warrant was convertible into 2 mil SCN common shares at $1 per share. Concurrently, PMT acquired a 15.31% stake in SCN.</t>
  </si>
  <si>
    <t>InStent Inc</t>
  </si>
  <si>
    <t>Mnfr surgical instrumentation</t>
  </si>
  <si>
    <t>Medtronic (ME) acquired all the common shares of InStent (IN) in a stock swap transaction valued at $233. 745 mil. IN common shareholders received .3833 ME common shares for each IN share held. Based on ME's closing stock price of $57. 625 on Mar 22, the last full trading day prior to the announcement, each IN share was valued at $22.10. The transaction was accounted for as a pooling of interests.</t>
  </si>
  <si>
    <t>DeBartolo Realty Corp</t>
  </si>
  <si>
    <t>Simon Property Group (SPG) acquired DeBartolo Realty (DR) in a stock swap valued at $2. 962 bil, including $1.5 bil in the assumption of liabilities. DR common shareholders and holders of convertible partnership interests received .68 SPG common shares for each DR share held. Based on SPG's closing stock price of $24 on Mar 25, each DR share was valued at $16.32. Each partnership interest was convertible to DR common shares on a one-for-one basis. Upon completion, DR held 40% of the merged company, Simon DeBartolo Group.</t>
  </si>
  <si>
    <t>First Ashland Financial Corp</t>
  </si>
  <si>
    <t>Camco Financial Corp</t>
  </si>
  <si>
    <t>Camco Financial (CF) acquired First Ashland Financial (FAF) in a stock swap transaction valued at $28.988 mil. FAF common shareholders received $8. 93736 in cash and .67492 CF common share for each FAF share held. Based on the cash consideration and CF's closing stock price of $17.25 on Mar 25, the last full trading day prior to the announcement, each FAF common share was valued at $20.577. The transaction had been subject to state and federal banking regulatory approval.</t>
  </si>
  <si>
    <t>Glaxo Wellcome PLC</t>
  </si>
  <si>
    <t>In March 1996, Glaxo- Wellcome had been rumored to be in negotiations to acquire Pfizer.</t>
  </si>
  <si>
    <t>Brandywine Realty Trust</t>
  </si>
  <si>
    <t>Safeguard Scientifics Inc</t>
  </si>
  <si>
    <t>Safeguard Scientifics (SS) was granted warrants to raise its stake to 83.5% from 41. 75% in Brandywine Realty Trust (BRT) in a privately negotiated transaction. Concurrently, SS agreed to acquire an initial 41.75% stake, or 775,000 common shares in BRT. The combined value of both transactions was $4.36 mil.</t>
  </si>
  <si>
    <t>An investor group, including Joel N Levy/Peter M Schulte, Carl Marks, and Swissair, withdrew its sweetened hostile bid to acquire all the outstanding shares of Hudson General to $44 in cash per share, or a total value of $52.265 mil. Originally, the group offered $41.25 in cash per share, or a total value of $49.5 mil.</t>
  </si>
  <si>
    <t>Kelly Russell Studios Inc</t>
  </si>
  <si>
    <t>Pvd coml printing services</t>
  </si>
  <si>
    <t>Global One Distribution</t>
  </si>
  <si>
    <t>Publish miscellaneous material</t>
  </si>
  <si>
    <t>Global One Distribution &amp; Merchandising merged with Kelly Russell Studios. Terms were not disclosed.</t>
  </si>
  <si>
    <t>Stop &amp; Shop Cos</t>
  </si>
  <si>
    <t>Own,op grocery store</t>
  </si>
  <si>
    <t>Koninklijke Ahold NV</t>
  </si>
  <si>
    <t>Own,op supermarkets</t>
  </si>
  <si>
    <t>Koninklijke Ahold (KA) merged with Stop &amp; Shop (SS) for $33.5 in cash per share, or a total value of $2.87 bil, including the assumption of $1.1 bil in liabilities. Earlier, KA completed its tender offer for all the outstanding shares of SS by accepting 49.798 mil shares, or 90% of the common shares outstanding. As part of the transaction, KA had agreed to sweeten its offer to $34.5 in cash per share if antitrust approvals had not been obtained by July 31, 1996.</t>
  </si>
  <si>
    <t>Great American Mgmt &amp; Invt Inc</t>
  </si>
  <si>
    <t>Invt advice and financial svcs</t>
  </si>
  <si>
    <t>Equity Holdings Ltd</t>
  </si>
  <si>
    <t>Invest mgmt svcs</t>
  </si>
  <si>
    <t>Equity Holdings (EH) acquired the remaining interest in its Great American Management &amp; Investment (GAMI) unit in a transaction valued at $63.229 mil. Earlier, EH completed its unsolicited tender offer to acquire the remaining 1. 112 mil common shares, in GAMI for $50 in cash per share, by accepting 834,676 common shares, raising its interest to 97%. The offer had been conditioned upon at least 90% of GAMI's shares outstanding being tendered.</t>
  </si>
  <si>
    <t>Motor Wheel Corp</t>
  </si>
  <si>
    <t>Manufacture automotive parts</t>
  </si>
  <si>
    <t>Motor Wheel acquired all the outstanding common stock of of Hayes Wheels International (HWI), a 46.3%-held unit of Varity, for $32 per share, or a total value of $563.78 mil. HWI common shareholders received $28.80 in cash and . 1 share in the newly merged company, valued at $3.20, for each HWI share held. Concurrently, an investor group, including Joseph Littlejohn &amp; Levy, agreed to acquire a 43% stake in the merged company for $32 per share, or a total value of $200 mil. The transaction had been subject to regulatory approval.</t>
  </si>
  <si>
    <t>Jefferson Bancorp,Gretna,LA</t>
  </si>
  <si>
    <t>Savings bank;bank holding co</t>
  </si>
  <si>
    <t>ISB Financial,New Iberia,LA</t>
  </si>
  <si>
    <t>ISB Financial acquired all the outstanding common shares of Jefferson Bancorp (JB), Gretna, Louisiana, for $23 in cash per share, or a total value of $52.003 mil. JB was the bank holding company for Jefferson Federal Savings Bank, Gretna, Louisiana. The transaction had been subject to state and federal banking regulatory approval.</t>
  </si>
  <si>
    <t>MediSense Inc</t>
  </si>
  <si>
    <t>Mnfr blood monitoring systems</t>
  </si>
  <si>
    <t>Abbott Laboratories</t>
  </si>
  <si>
    <t>Mnfr,whl pharm,med equip</t>
  </si>
  <si>
    <t>Abbott Laboratories merged with MediSense for $45 in cash per share, or a total value of $821.57 mil. Earlier, AL completed its tender offer to acquire all the outstanding common shares of MS by accepting 19,121,138 common shares, or 99.1% of the company's common stock outstanding.</t>
  </si>
  <si>
    <t>Pratt Hotel Corp</t>
  </si>
  <si>
    <t>Operate hotels and casinos</t>
  </si>
  <si>
    <t>Hollywood Casino Corp</t>
  </si>
  <si>
    <t>Own and operate casino hotels</t>
  </si>
  <si>
    <t>Hollywood Casino withdrew its plans to launch a tender offer to acquire 1,030,000 common shares, or remaining 19.9% interest that it did not already own, in Pratt Hotel, for $3.25 per share, or a total value of $3.347 mil.</t>
  </si>
  <si>
    <t>Regional Acceptance Corp</t>
  </si>
  <si>
    <t>Pvd consumer financing svcs</t>
  </si>
  <si>
    <t>Southern National (SN) acquired Regional Acceptance (RA) in a stock swap transaction valued at $160. 729 mil. RA common shareholders received .3861 SN common share for each RA share held. Based on SN's closing stock price of $27. 625 on Mar 28, the last full trading day prior to the announcement, each RA share was valued at $10.66. The exchange ratio had been subject to a collar agreement. The transaction was accounted for as a pooling of interests and had been subject to regulatory approval.</t>
  </si>
  <si>
    <t>SBC Communications (SBC) merged with Pacific Telesis (PT) in a stock swap transaction valued at $16.49 bil. PT common shareholders received .73145 SBC common share for each PT share held. Based on SBC's closing stock price of $52.62 on March 29, the last full trading day prior to the announcement, each PT share was valued at $38.489. The transaction was accounted for as a pooling of interests and had been subject to regulatory approval.</t>
  </si>
  <si>
    <t>US Healthcare Inc</t>
  </si>
  <si>
    <t>Aetna Life &amp; Casualty Co</t>
  </si>
  <si>
    <t>Aetna Life &amp; Casualty (AET) acquired all the outstanding shares of US Healthcare (USHC) for $8.939 bil. USHC common shareholders received $34.20 in cash, .2246 AET common shares and .0749 mandatory convertible preferred shares for each USHC share held. Based on AET's closing stock price of $75.50 on Mar 29, the last full trading day prior to the announcement, each USHC share was valued at $57. The transaction had been subject to the completion of the sale of AET's property and casualty operations to Travelers.</t>
  </si>
  <si>
    <t>Bally Entertainment Corp</t>
  </si>
  <si>
    <t>Own,op casino hotels</t>
  </si>
  <si>
    <t>ITT Sheraton Corp</t>
  </si>
  <si>
    <t>ITT Sheraton, a unit of ITT, had been rumored to be in negotiations to acquire all the outstanding common stock of Bally Entertainment (BAL). Later, Hilton Hotels acquired BAL in a stock swap transaction valued at $3.116 bil.</t>
  </si>
  <si>
    <t>Home Federal,Hagerstown,MD</t>
  </si>
  <si>
    <t>F&amp;M Bancorp,Frederick,MD</t>
  </si>
  <si>
    <t>F&amp;M Bancorp, Frederick, Maryland (FM), acquired Home Federal, Hagerstown, Maryland (HF), in a stock swap valued at $29.873 mil. HF shareholders received .49535 FM common share per share held. The shares were valued based on FM's closing stock price of $23.75 on Nov 15, the last full trading day prior to the announcement of exact terms. The transaction was accounted for as a pooling of interests and had been subject to state and federal banking regulatory approval.</t>
  </si>
  <si>
    <t>Allegheny Ludlum (AL), acting as a white knight, merged with Teledyne (TD) in a stock swap transaction valued at $2.097 bil. TD shareholders received 1.925 shares in the merged company, Allegheny Teledyne (AT), per share held, while AL shareholders were to receive 1 AT share per share held. Based on AL's closing stock price of $19 on Apr 1, the last full trading day prior to the announcement, each TD share was valued at $36.57. Also, WHX terminated its twice sweetened hostile offer to acquire TD for $32 per share, or a total value of $1. 781 bil.</t>
  </si>
  <si>
    <t>California Financial Hldg,CA</t>
  </si>
  <si>
    <t>First Nationwide Bank, Dallas, Texas, a unit of MacAndrews &amp; Forbes Holdings, withdrew its unsolicited offer to acquire all the outstanding shares of California Financial Holding for $24 in cash per share, or a total value of $115.225 mil.</t>
  </si>
  <si>
    <t>E&amp;B Marine Inc</t>
  </si>
  <si>
    <t>Ret , whl marine accessories</t>
  </si>
  <si>
    <t>West Marine Inc</t>
  </si>
  <si>
    <t>Own,op boat dealerships</t>
  </si>
  <si>
    <t>West Marine (WM) acquired E&amp;B Marine (EB) in a stock swap transaction valued at $30.493 mil. EB common shareholders received .15157 WM common share for each EB share held, subject to a collar agreement. Based on WM's closing stock price of $49.50 on Apr 2, the last full trading day prior to the announcement, each EB share was valued at $7.50.</t>
  </si>
  <si>
    <t>Strawbridge &amp; Clothier</t>
  </si>
  <si>
    <t>Operate ret department stores</t>
  </si>
  <si>
    <t>May Department Stores Co</t>
  </si>
  <si>
    <t>Own,operate dept stores</t>
  </si>
  <si>
    <t>May Department Stores (MDS) acquired all the outstanding shares of Strawbridge &amp; Clothier (S&amp;C) for approximately $479.5 mil. The consideration consisted of 4. 2 mil MDS common shares valued at $199.5 mil and $280 mil in the assumption of liabilities. The shares were valued based on MDS's closing stock price of $47.50 on Apr 4, the last full trading day prior to the announcement. In October 1995, S&amp;C announced that it was seeking a buyer for the company. The transaction included S&amp;C's 13 Philadelphia area stores.</t>
  </si>
  <si>
    <t>Cyberonics Inc</t>
  </si>
  <si>
    <t>Manufacture, wholesale medical devices</t>
  </si>
  <si>
    <t>St Jude Medical (SJM) withdrew its agreement to acquire all the outstanding shares of Cyberonics for $7 in cash per share, or a total value of $74.615 mil. The transaction was to have been subject to regulatory approval. Earlier, SJM acquired a 17.5% stake in Cyberonics upon Cyberonics' shareholder approval for the acquisition of Cyberonics by SJM.</t>
  </si>
  <si>
    <t>Sunrise Bancorp,Roseville,CA</t>
  </si>
  <si>
    <t>ValliCorp Holdings, Fresno, California (VH), terminated its signed letter of intent to acquire Sunrise Bancorp, Roseville, California (SB), for $4.83 per share, or a total value of $20.6 mil. The consideration was to have consisted of an undetermined combination of cash and VH common shares. The transaction had been subject to state and federal banking regulatory approval.</t>
  </si>
  <si>
    <t>Mutual Bancompany Inc,MO</t>
  </si>
  <si>
    <t>Roosevelt Financial Group, Chesterfield, Missouri (RFG), acquired Mutual Bancompany, Jefferson City, Missouri (MBJ) , in a stock swap transaction valued at $7.67 mil. MBJ common shareholders received $23 in RFG common shares for each MBJ share held. The transaction had been subject to state and federal banking regulatory approval.</t>
  </si>
  <si>
    <t>Rotonics Manufacturing (ROT) announced that it was in negotiations to divest the company to an undisclosed acquiror. Earlier, Low &amp; Bonar withdrew its offer to acquire all the outstanding common shares of ROT for $2. 34 in cash per share, or a total value of $33.123 mil.</t>
  </si>
  <si>
    <t>Workingmen's Capital Hldgs Inc</t>
  </si>
  <si>
    <t>Old Natl Bancorp,Evansville,IN</t>
  </si>
  <si>
    <t>Old National Bancorp, Evansville, Indiana (ONB), acquired all the outstanding common stock of Workingmens Capital Holdings, Bloomington, Indiana (WCH), in a stock swap transaction valued at $37.813 mil. ONB offered .64 common shares per WCH share held. Based on ONB's closing stock price of $33.25 on April 8, the last full trading day prior to announcement, each WCH common share was valued at $21.28.</t>
  </si>
  <si>
    <t>Waterhouse Investor Services</t>
  </si>
  <si>
    <t>Discount brokerage holding co</t>
  </si>
  <si>
    <t>Toronto-Dominion Bank</t>
  </si>
  <si>
    <t>Toronto-Dominion Bank (TD) acquired all the outstanding common shares of Waterhouse Investor Services (WIS) for $38 per share, or a total value of $547.85 mil. WIS common shareholders received a choice of either $38 in TD common stock or $38 in cash and TD common stock. The transaction had been subject to regulatory approval.</t>
  </si>
  <si>
    <t>Western Resources Inc</t>
  </si>
  <si>
    <t>Electric services</t>
  </si>
  <si>
    <t>Western Resources (WR) terminated its agreement to merge with Kansas City Power &amp; Light (KCPL) in a stock swap transaction valued at $2. 201 bil. Upon completion the new entity was to be named Westar Energy (WE) and was to be 80.1%-owned by WR. Consideration was to consist of $23.5 in WR common shares and up to $12 in WE new common shares for every KC common share held, subject to a collar agreement. Originally, WR offered $28 per share and was rejected by KCPL. WR then launched a hostile tender offer to acquire KCPL in exchange for an amended $31 but later withdrew it. Previously, Utilicorp United withdrew its offer to merge with KCPL in an amended stock swap valued at $1.686 bil. The transaction was subject to regulatory approval.</t>
  </si>
  <si>
    <t>Champion Healthcare Corp</t>
  </si>
  <si>
    <t>Own,op hosp,medical facilities</t>
  </si>
  <si>
    <t>Paracelsus Healthcare Corp</t>
  </si>
  <si>
    <t>Hospitals, nursing homes</t>
  </si>
  <si>
    <t>Paracelsus Healthcare (PH), a 54%-owned unit of Park Hospital, acquired Champion Healthcare (CH) in a stock swap transaction valued at $167.244 mil. PH offered 1 common share per CH share. Based on PH's closing stock price of $8.50 on Aug 19, the last full trading day prior to the announcement of the exact terms, each CH common share was valued at $8.50.</t>
  </si>
  <si>
    <t>Cheyenne Software Inc</t>
  </si>
  <si>
    <t>McAfee Associates Inc</t>
  </si>
  <si>
    <t>Develop network software</t>
  </si>
  <si>
    <t>McAfee Associates (MA) withdrew its offer to acquire all the outstanding shares of Cheyenne Software (CS) in exchange for $27.50 in MA common stock per share, or a total value of $1.098 bil. Earlier, MA was rejected in its unsolicited offer to acquire CS and in response to the offer, CS adopted a poison pill plan the thwart the takeover.</t>
  </si>
  <si>
    <t>Enserch Exploration Inc</t>
  </si>
  <si>
    <t>ENSERCH (EN) completed the spinoff of its 83% interest in its Enserch Exploration (EE) unit to shareholders in a transaction valued $835.8 mil. EN shareholders received 1.5 EE shares per EN share held. The transaction was valued based on EE's closing stock price of $8 on Aug 4, the first full trading on a non when-issued basis. Concurrently, Texas Utilities acquired EN in a stock swap transaction valued at approximately $1.686 bil.</t>
  </si>
  <si>
    <t>Global TeleMedia International</t>
  </si>
  <si>
    <t>Cam-Net Communications Network</t>
  </si>
  <si>
    <t>Pvd satellite transmission svc</t>
  </si>
  <si>
    <t>Cam-Net Communications Network (CMC) terminated a letter of intent to launch a tender offer to acquire all the outstanding common shares of Global TeleMedia International (CTI) for $5 in cash per share, or a total value of $55.98 mil in cash.</t>
  </si>
  <si>
    <t>SFX Broadcasting (SFX) acquired all the outstanding shares of Multi-Market Radio (MMR) for an amended $12.5 in SFX common stock per share, or a total value of $104.44 mil, including the assumption of $50 mil in liabilities. The transaction had been subject to Federal Communications Commission regulatory approval. Earlier, SFX offered $12 in SFX Common stocks amended from $11.5 in SFX common stock per share.</t>
  </si>
  <si>
    <t>Teletouch Communications Inc</t>
  </si>
  <si>
    <t>ProNet (PN) withdrew its offer to merge with Teletouch Communications (TC) in a transaction valued at approximately $183.703 mil. The consideration was to consist of about $15 mil in cash for all the outstanding TC preferred stock, $75 mil in PN common stock for all the outstanding TC common stock, and $91 mil in the assumption of liabilities. TC common shareholders were to receive about $5.50 in PN common stock and certain TC shareholders affiliated with TC were to receive about $5 in PN common stock for each TC share held.</t>
  </si>
  <si>
    <t>Sandy Spring Bancorp Inc</t>
  </si>
  <si>
    <t>Sandy Spring Bancorp, Olney, Maryland (SSB), acquired Annapolis Bancshares, Annapolis, Maryland (ABA), in a stock swap transaction valued at $20.063 mil. ABA shareholders received .62585 SSB common shares for each ABA common share held. Based on SSB's closing stock price of $36.625 on Apr 16, the last full trading day prior to announcement, each ABA common share was at value of $22.92. The transaction had been subject to state and federal banking regulatory approval.</t>
  </si>
  <si>
    <t>Mnfr,whl household audio equip</t>
  </si>
  <si>
    <t>Emerson Radio (ER) withdrew its hostile offer to acquire all the outstanding common stock of International Jensen (IJ) for an amended $113.711 mil, including the assumption of an estimated $43.5 mil in liabilities. ER offered $12 in cash per share, except for shares owned by Robert Shaw who was to receive $8.90 in cash per share or $10.75 per share if he acquired IJ's OEM business for $27.9 mil. Earlier, ER offered $9.90 in cash per share. Later, Recoton acquired IJ for an amended $11 in cash per share and Mr Shaw agreed to acquire IJ's OEM business.</t>
  </si>
  <si>
    <t>Tucker Drilling Co Inc</t>
  </si>
  <si>
    <t>Oil &amp; gas contract drilling</t>
  </si>
  <si>
    <t>Patterson Energy Inc</t>
  </si>
  <si>
    <t>Pvd contract drilling services</t>
  </si>
  <si>
    <t>Patterson Energy (PE) merged with Tucker Drilling (TD) in a tax-free stock swap transaction valued at $23.268 mil. TD shareholders received .74 PE common share for each of their shares held. Based on PE's closing stock price of $14.50 on Apr 22, the last full trading day prior to the announcement of terms, each TD share was valued at $10.73. The transaction had been accounted for as a pooling of interests.</t>
  </si>
  <si>
    <t>Texoil Inc</t>
  </si>
  <si>
    <t>Fortune Petroleum Corp</t>
  </si>
  <si>
    <t>Fortune Petroleum (FP) terminated negotiations to acquire Texoil (TXO) in a stock swap transaction valued at an estimated $7.534 mil. including about $1.1 mil in the assumption of debt. TXO common shareholders were to receive .3125 FP common share for each TXO share held. TXO preferred shareholders were to receive up to .56 mil FP common shares in total. Based on FP's closing stock price of $3.31 on Apr 17, the last full trading day prior to the announcement, each TXO common share was valued at $1.035 and all the outstanding TXO prefered stock at $1.85 mil.</t>
  </si>
  <si>
    <t>Bayport Restaurant Group</t>
  </si>
  <si>
    <t>Landry's Seafood Restaurants</t>
  </si>
  <si>
    <t>Own,op seafood restaurants</t>
  </si>
  <si>
    <t>Landry's Seafood Restaurants (LS) acquired Bayport Restaurant Group in a stock swap transaction valued at $74.084 mil. Consideration consisted of 1.866 mil LS common shares valued at $44. 084 mil, .039 mil preferred shares convertible into .039 mil common shares, and $30 mil in the assumption of liabilities. The common shares were valued based on LS's closing stock price of $23.625 on Aug 8, the last full trading day prior to the announcement of exact terms. The transaction had been accounted for as a pooling of interests.</t>
  </si>
  <si>
    <t>Allegiance Banc,Bethesda,MD</t>
  </si>
  <si>
    <t>F&amp;M National (FM), Winchester, Virginia, acquired Allegiance Banc (AB), Bethesda, Maryland in a stock transaction valued at $27.949 mil. AB shareholders received $15 of FM common stock for each AB share held. The transaction was accounted for as a pooling of interests and had been subject to state and federal banking regulatory approval.</t>
  </si>
  <si>
    <t>Cornerstone Natural Gas Co</t>
  </si>
  <si>
    <t>Natural gas distribution svcs</t>
  </si>
  <si>
    <t>El Paso Field Services Co</t>
  </si>
  <si>
    <t>Own,op oil and gas pipelines</t>
  </si>
  <si>
    <t>El Paso Field Services, a unit of El Paso Energy, completed its tender offer to acquire all the outstanding common shares of Cornerstone Natural Gas (CNG) for $6 in cash per share, or a total value of $96.6 mil by accepting 12.296 mil common shares, or about 98% of the company's common stock outstanding, including $17 mil in the assumption of liabilities. The offer was conditioned upon a majority of CNG's outstanding shares being tendered and subject to regulatory approval under the Hart-Scott-Rodino Antitrust Act.</t>
  </si>
  <si>
    <t>Duplex Products Inc</t>
  </si>
  <si>
    <t>Manufacture business forms</t>
  </si>
  <si>
    <t>The Reynolds &amp; Reynolds Co</t>
  </si>
  <si>
    <t>Pvd info mgmt system svcs</t>
  </si>
  <si>
    <t>Reynolds &amp; Reynolds acquired all the outstanding common stock of Duplex Products (DP) for $12 in cash per share, or a total value of $90.095 mil. Earlier, Reynolds &amp; Reynolds completed its tender offer by accepting 7,315,271 common shares, or 97.8% of the company's common stock outstanding. The offer had been conditioned upon at least 70% of DP's outstanding shares being tendered and was subject to regulatory approval under the Hart-Scott- Rodino Antitrust Act.</t>
  </si>
  <si>
    <t>Financial Security,Chicago,IL</t>
  </si>
  <si>
    <t>Pinnacle Banc Grp,Oak Brook,IL</t>
  </si>
  <si>
    <t>Pinnacle Banc Group (PBG), Oakbrook, Illinois, acquired all the outstanding shares of Financial Security, Chicago, Illinois, in a stock swap transaction for $28.50 per share, or a total value of $42.63 mil. The consideration consisted of cash, PBG common stock, or a combination of both, whereby no more than 45% of the total consideration was paid in cash. The transaction had been subject to state and federal banking regulatory approval.</t>
  </si>
  <si>
    <t>Ideon Group Inc</t>
  </si>
  <si>
    <t>Operate ret mail order house</t>
  </si>
  <si>
    <t>CUC International (CUC) acquired Ideon Group (IG) in a stock swap transaction valued at $381.824 mil. IG common shareholders received $13.50 in CUC common stock for each IG share held, subject to a collar agreement. The transaction was accounted for as a pooling of interests. In January 1996, IG announced that it had retained Lazard Freres to assist in its search for a buyer for the company.</t>
  </si>
  <si>
    <t>NYNEX Corp</t>
  </si>
  <si>
    <t>Bell Atlantic (BA) acquired NYNEX (NX) in a merger of equals stock swap transaction valued at an amended $21.345 bil. NX shareholders received .768 BA common shares per share held. Based on BA's closing stock price of $61.25 on June 25, the last full trading day prior to announcement of amended terms, each NX share was valued at $47.04. Originally, NX shareholders were to received 1 share in a newly merged company while BA shareholders were to receive 1.302 shares in a transaction valued at $22.72 bil.</t>
  </si>
  <si>
    <t>Perpetual State Bank,NC</t>
  </si>
  <si>
    <t>Fidelity Bank,Fuquay Varina,No</t>
  </si>
  <si>
    <t>Fidelity Bank (FB), Fuquay- Varina, North Carolina, agreed to acquire all the outstanding common shares of Perpetual State Bank (PSB), Lexington, North Carolina, for $17.50 in cash per share, or a total value of approximately $11.17 mil, including up to $.25 mil in profit related payments. PSB common shareholders were to receive between $.3 and $.4 in cash per share, to be determined by earnings and expenses, with the value based on the maximum earnout in the range. The transaction was subject to state and federal banking regulatory approval.</t>
  </si>
  <si>
    <t>Sterling Chemicals Inc</t>
  </si>
  <si>
    <t>Mnfr industrial organic chem</t>
  </si>
  <si>
    <t>Huntsman Corp</t>
  </si>
  <si>
    <t>Mnfr petrochemicals</t>
  </si>
  <si>
    <t>Huntsman, a joint venture between Consolidated Press Holdings and Huntsman Chemical's Huntsman Financial subsidiary, withdrew its offer to acquire all the outstanding shares of Sterling Chemicals for $12 per share, or a total value of $798.4 mil, including $130 mil in the assumption of liabilities. Concurrently, an investor group comprised of Sterling Group and Unicorn Group, acquired all the outstanding shares of SC for $12 per share. In Jan 1996, SC announced that it was seeking a buyer for the company.</t>
  </si>
  <si>
    <t>StrataCom Inc</t>
  </si>
  <si>
    <t>Manufacture telecommun equip</t>
  </si>
  <si>
    <t>Cisco Systems (CIS) acquired StrataCom (ST) in a stock swap transaction valued at $4. 83 bil. ST common shareholders received 1 CIS share for each share held. Based on CIS' closing price of $57.5 on July 9, each ST share was valued at $57.5. The value included 11,733,897 ST options valued at $38.77 each, based on the offer price of $57.5 less the average exercise price of $18. 73 per option. Under a lockup agreement, CIS was granted the option to acquire up to 15% of ST. The transaction was accounted for as a pooling of interests.</t>
  </si>
  <si>
    <t>K-III Communications (K-III) merged with Westcott Communications (WC) in a transaction valued at $438.87 mil. Earlier, K-III completed its tender offer to acquire all the outstanding shares of WC for $21.50 in cash per share, by accepting 19,363, 464 common shares, or about 90.3% of its stock outstanding on a fully diluted basis. The offer had been conditioned upon a majority of WC's common shares being tendered. In March 1996, WC announced that it was seeking a buyer for the company.</t>
  </si>
  <si>
    <t>Third Financial Corp,Piqua,OH</t>
  </si>
  <si>
    <t>Security Banc Corp,OH</t>
  </si>
  <si>
    <t>Bank holding co; coml bank</t>
  </si>
  <si>
    <t>US - Security Banc(SB), Springfield, Ohio, acquired all the outstanding common shares of Third Financial, Piqua, Ohio for an amended $33.41 in cash per share or a total of $43.935 mil. The transaction had been subject to state and federal banking regulatory approvals. Originally, SB offered $33.23 per share.</t>
  </si>
  <si>
    <t>David White terminated its search for a buyer which had begun in April 1996.</t>
  </si>
  <si>
    <t>Dayton Hudson Corp</t>
  </si>
  <si>
    <t>JC Penney Co</t>
  </si>
  <si>
    <t>Department stores</t>
  </si>
  <si>
    <t>JC Penney (JC) withdrew its offer to acquire Dayton Hudson (DH). Earlier, JC was rejected in its unsolicited offer to acquire all the outstanding shares of DH for between $90 and $95 in a combination of cash and common stock per share, or a total value of approximately $6.905 bil, with the value based on the maximum price in the range.</t>
  </si>
  <si>
    <t>An investor group, including Sterling Group and Unicorn Group, acquired all the outstanding shares of Sterling Chemicals (SC) for $12 in cash per share, or a total value of $798.4 mil, including $130 mil in the assumption of debt. Concurrently, Huntsman, a joint venture between Consolidated Press Holdings and Huntsman Chemical's Huntsman Financial subsidiary, withdrew its offer to acquire all the outstanding common shares of Sterling Chemicals for $12 per share.</t>
  </si>
  <si>
    <t>Combancorp,City of Commerce,CA</t>
  </si>
  <si>
    <t>BanPonce Corp,Hato Rey,PR</t>
  </si>
  <si>
    <t>Puerto Rico</t>
  </si>
  <si>
    <t>BanPonce acquired all the outstanding common stock of CombanCorp, City of Commerce, California, for $18.34 in cash per share or a total of $11.013 mil. The transaction was subject to state and federal banking regulatory approval.</t>
  </si>
  <si>
    <t>Circle Finl,Sharonville,Ohio</t>
  </si>
  <si>
    <t>Fidelity Financial of Ohio Inc</t>
  </si>
  <si>
    <t>Fidelity Financial of Ohio (FFO), Cincinnati, Ohio, acquired Circle Financial (CF) , Sharonville, Ohio, for a choice of $38 in cash per share or 3.85 FF's common shares, or a total of $27.779 mil. CF shareholders received a combination of cash and FFO common shares, with the expected combination to be 55% cash and 45% FFO common shares. The amount of cash and common shares was to be determined by applying a formula based on the average market price of FFO common stock over a 20 day trading period ending the day regulatory approval is given.</t>
  </si>
  <si>
    <t>Computer Sciences Corp</t>
  </si>
  <si>
    <t>Provide information technology services</t>
  </si>
  <si>
    <t>Computer Sciences (CS) acquired all the outstanding shares of Continuum (CN), including DST Systems' 23% stake, in a stock swap transaction valued at $1.622 bil. CN common shareholders received .79 newly issued CS common shares for each CN share held. Based on CS' closing stock price of $78. 125 on April 26, the last full trading day prior to the announcement, each CN share was valued at $61.72. The transaction was accounted for as a pooling of interests and had been subject to regulatory approval.</t>
  </si>
  <si>
    <t>Crocker Realty Trust Inc</t>
  </si>
  <si>
    <t>Highwoods Properties Inc</t>
  </si>
  <si>
    <t>Highwoods Properties (HW) acquired a 77% interest, or 20.79 mil common shares, in Crocker Realty Trust (CRK), including the 47.6% stake held by Apollo Real Estate Advisors and the 32.6% stake held by AEW Partners, for $11. 02 in cash per share, or a total value of $537.54 mil, including $240 mil in the assumption of liabilities. Concurrently, HW acquired the remaining 23% stake, which it did not already own, in CRK.</t>
  </si>
  <si>
    <t>Hometown Bancorporation Inc,CT</t>
  </si>
  <si>
    <t>Hubco, Mahwah, New Jersy, acquired all the outstanding common shares of Hometown Bancorporation, Darien, Connecticut, for $17.75 in cash per share, or a total of $31.924 mil. The transaction had been subject to state and federal banking regulatory approval.</t>
  </si>
  <si>
    <t>Paul Revere Corp(Textron Inc)</t>
  </si>
  <si>
    <t>Individual disability ins co</t>
  </si>
  <si>
    <t>Provident Cos</t>
  </si>
  <si>
    <t>Pvd disability insurance svcs</t>
  </si>
  <si>
    <t>US - Provident (PV) acquired all the outstanding common shares of Paul Revere (PR), an 83%-owned unit of Textron, for $26 per share, or a total value of $1.17 bil. PR shareholders were granted a choice of either $26 in cash, a combination of $20 in cash and .177 PV common shares, or .767 PV common shares for each PR share held. Earlier, PR had been rumored to be in negotiations to merge with numerous acquirors. The transaction had been subject to regulatory approval.</t>
  </si>
  <si>
    <t>Harmony Holdings Inc</t>
  </si>
  <si>
    <t>Pvd TV commercials prodn svcs</t>
  </si>
  <si>
    <t>An investor group including Capital Media (CM) and Unimedia withdrew its offer to acquire all the outstanding common shares of Harmony Holdings (HH) for $3. 50 per share, or a total value of $21 mil. HH shareholders were to receive $1.16 in cash plus $2.34 in CM common stock for each HH share held.</t>
  </si>
  <si>
    <t>UUNet Technologies Inc</t>
  </si>
  <si>
    <t>Internet service provider</t>
  </si>
  <si>
    <t>MFS Communications (MFS) acquired all the outstanding common shares of UUNet Technologies (UT), including Microsoft's 13% stake, in a stock swap transaction valued at $2.061 bil. UT common shareholders received 1. 777776 newly issued MFS common shares for each UT share held. Based on MFS' closing stock price of $34. 625 on April 29, the last full trading day prior to the announcement, each UT share was valued at $61.56. The transaction had been subject to regulatory approval under the Hart-Scott-Rodino Antitrust Act.</t>
  </si>
  <si>
    <t>Quantum Health Resources Inc</t>
  </si>
  <si>
    <t>Olsten (OLS) acquired Quantum Health Resources (QHR) in a stock swap transaction valued at $270.23 mil. QHR common shareholders received . 58 OLS common share for each QHR share held. Based on OLS' closing stock price of $30. 375 on Apr 30, the last full trading day prior to the announcement, each QHR share was valued at $17.62. The transaction had been accounted for as a pooling of interests and was subject to regulatory approval.</t>
  </si>
  <si>
    <t>Uniroyal Chemical(Avery Inc)</t>
  </si>
  <si>
    <t>Mnfr pesticides</t>
  </si>
  <si>
    <t>Crompton &amp; Knowles Corp</t>
  </si>
  <si>
    <t>Mnfr chemicals, dyes, flavors</t>
  </si>
  <si>
    <t>Crompton &amp; Knowles (CK) merged with Uniroyal Chemical (UC) in a tax free stock swap transaction valued at $1.463 bil, including $1.1 bil in the assumption of debt. Each UC shareholder received $15 in CK common stock for each of their shares held. CK was to issue no more than 1.111 shares and no less than .9091 shares for each UC share. The transaction had been accounted for as a pooling of interests.</t>
  </si>
  <si>
    <t>Hanover Bank,Mechanicsville,VA</t>
  </si>
  <si>
    <t>MainStreet BankGroup Inc,VA</t>
  </si>
  <si>
    <t>Mainstreet Bankgroup (MB), Martinsville, Virginia, acquired Hanover Bank (HB), Mechanicsville, Virginia, in a stock swap transaction valued at $25.086 mil. HB common shareholders received . 884 MB common share for each HB share held. Based on HB's closing stock price of $18 on Nov 13, the last full trading day prior to the announcment of the exact terms, each MB share was valued at $15.912. transaction had been subject to state and federal banking regulatory approval.</t>
  </si>
  <si>
    <t>Homeowners Group Inc</t>
  </si>
  <si>
    <t>Real estate,insurance agency</t>
  </si>
  <si>
    <t>Cross Country Group Inc</t>
  </si>
  <si>
    <t>Pvd homeowner membership svcs</t>
  </si>
  <si>
    <t>Cross Country Group (CC) acquired the remaining 91.7% interest, or 5,582,700 common shares, which it did not already own, in Homeowners Group (HG) for an amended $2. 06 in cash per share, or a total value of $10.441 mil. Earlier, CC completed its hostile tender offer to acquire the remaining 91.7% interest, or 5,582,700 common shares, which it did not already own by accepting 3, 177,160 shares, or 52% of HG's shares. Previously, CC offered $2.1 in cash per share and terminated its merger agreement because of HG tax problems, but the companies reached an agreement after terms were amended. Originally, in April 1996, HG announced it was seeking a buyer for the company.</t>
  </si>
  <si>
    <t>Reading Entertainment Inc</t>
  </si>
  <si>
    <t>Craig announced that it was in negotiations to acquire a majority interest in Reading by acquiring 70,000 common shares in open market transactions.</t>
  </si>
  <si>
    <t>AMC Entertainment Inc</t>
  </si>
  <si>
    <t>Own,op movie theaters</t>
  </si>
  <si>
    <t>Durwood</t>
  </si>
  <si>
    <t>Building and theater operators</t>
  </si>
  <si>
    <t>Durwood agreed to merge with its 85%-owned AMC Entertainment unit.</t>
  </si>
  <si>
    <t>American Phoenix Group Inc</t>
  </si>
  <si>
    <t>Kushi Macrobiotics Corp</t>
  </si>
  <si>
    <t>Produce food products</t>
  </si>
  <si>
    <t>Kushi Macorbiotics (KM) merged with American Phoenix Group (AG) in a stock swap transaction valued at an amended $49.725 mil. AG common shareholders received 1 KM share for every 2.03 AG shares held. Based on KM's closing stock price of $3 on July 26, the last full trading day prior to the announcement of amended terms, each AG share was valued at $1.478.</t>
  </si>
  <si>
    <t>EA Industries Inc</t>
  </si>
  <si>
    <t>Mnfr computer simulation sys</t>
  </si>
  <si>
    <t>EA Industries (EA) withdrew its plans to merge with Aydin. Previously, EA acquired an 11.7% stake in Aydin. Originally, in July 1995, Aydin announced that it was seeking a buyer for the company.</t>
  </si>
  <si>
    <t>Trinity Industries Inc</t>
  </si>
  <si>
    <t>Mnfr,whl constr,transp prod</t>
  </si>
  <si>
    <t>Trinity Industries (TI) merged with Transcisco Industries(TR) in a stock swap transaction valued at $44.713 mil. TI offered .1884 common shares for every TR share held. Based on TI's closing stock price of $34.50 on May 3, the last full trading day prior to the announcement, each TR share was valued at $6.50. The transaction had been subject to Hart-Scott-Rodino regulatory approval.</t>
  </si>
  <si>
    <t>American Bancorp of Nevada,NV</t>
  </si>
  <si>
    <t>American Bancorp, Las Vegas, Nevada, disclosed that it had received an unsolicited bid to acquire the company from an undisclosed bank holding company. American Bancorp said that negotiations with the bank holding company had been terminated.</t>
  </si>
  <si>
    <t>Kahler Realty Corp</t>
  </si>
  <si>
    <t>Tiger Real Estate Fund LP</t>
  </si>
  <si>
    <t>Tiger Real Estate Fund, a unit of Tiger Management, acquired all the outstanding common shares of Kahler Realty in a transaction valued at $222.67 mil. The consideration consisted of $17 in cash per share and the assumption of $145 mil in liabilities. The transaction had been subject to regulatory approval.</t>
  </si>
  <si>
    <t>Medical (MED) Resources acquired NMR of America (NMR) in a stock swap transaction valued at $40.41 mil. NMR common shareholders received . 6875 MED common share for each NMR share held. Based on MED's closing stock price of $9 on May 6, the last full trading day prior to the announcement, each NMR share was valued at $6.1875.</t>
  </si>
  <si>
    <t>United Companies Financial</t>
  </si>
  <si>
    <t>Life insurance, financial svcs</t>
  </si>
  <si>
    <t>Bank of Boston, Boston, Massachusetts, was rebuffed in its effort to acquire United Companies Financial. Both companies declined comment.</t>
  </si>
  <si>
    <t>Lucas Industries PLC</t>
  </si>
  <si>
    <t>vd engineering svcs</t>
  </si>
  <si>
    <t>Lucas Industries (LI) merged with Varity in a tax-free stock swap transaction valued at USD 1.95 bil. Each Varity common shareholder received 1. 38 American Depository Receipts (ADR) in the newly merged UK based company, LucasVarity (LV), for each share held. Each ADR was to be equal to 10 LV ordinary shares. Based on LI's closing stock price of USD 3.54 on May 30, the last full trading day prior to the announcement of terms, each Varity share was valued at $48.85. The transaction had been subject to regulatory approval and was effected via a scheme of arrangement..</t>
  </si>
  <si>
    <t>Cellular Commun of Puerto Rico</t>
  </si>
  <si>
    <t>Pvd cellular commun svcs</t>
  </si>
  <si>
    <t>US - In May 1996, Cellular Communications disclosed it was seeking a buyer or merger partner for the company.</t>
  </si>
  <si>
    <t>Pacific Gateway Properties</t>
  </si>
  <si>
    <t>An unnamed buyer withdrew its offer to launch a tender offer for up to 50%, or 1.95 mil common shares, of Pacific Gateway Properties (PGP), for $5.05 per share, or a total value of $9.83 mil. Later, another undisclosed acquiror withdrew its letter of intent to acquire all the outstanding common shares of PGP for $5 in cash per share.</t>
  </si>
  <si>
    <t>Allergan Inc</t>
  </si>
  <si>
    <t>Mnfr eye care,skin care pharmaceutical products</t>
  </si>
  <si>
    <t>Pharmacia &amp; Upjohn Inc</t>
  </si>
  <si>
    <t>Mnfr pharmaceutical prods</t>
  </si>
  <si>
    <t>Pharmacia &amp; Upjohn terminated negotiations to merge with Allergan.</t>
  </si>
  <si>
    <t>CyCare Systems Inc</t>
  </si>
  <si>
    <t>Provide accounting services</t>
  </si>
  <si>
    <t>US - HBO &amp; Co (HBO) merged with CyCare Systems Inc (CS), a Phoenix-based provider of accounting services, in a stock swap valued at USD 280. 404 mil. HBO offered 0.86 common shares per CS share, subject to a collar agreement. The shares were valued based on HBO's closing stock price of USD 56.5 on 09 May 1996, the last full trading day prior the announcement, each CS share was valued at USD 48. 59. The transaction was accounted for as a pooling of interests.</t>
  </si>
  <si>
    <t>Palm Springs Savings Bank, CA</t>
  </si>
  <si>
    <t>HF Bancorp Inc,Hemet,CA</t>
  </si>
  <si>
    <t>HF Bancorp, Hemet, California acquired all the outstanding common shares of Palm Springs Savings Bank FSB, Palm Springs, California for $14.375 in cash per share, or a total value of $17.292 mil. The transaction had been subject to federal and state and banking regulatory approval.</t>
  </si>
  <si>
    <t>A management-led investor group, including AA Fornataro and Donald Hoylman, withdrew its offer to acquire Salem, in a leverage buyout transaction, for $22 per share, or a total value of $41 mil. Earlier, investor Victor Posner withdrew its offer to acquire the remaining 51% interest, that he did not already own, in Salem for an amended $22 in cash per share, or a total of $20.925 mil.</t>
  </si>
  <si>
    <t>Investor Victor Posner withdrew his offer to acquire the remaining 51% interest, or 951,150 common shares, that he did not already own, in Salem for an amended $22 in cash per share, or a total value of $20.925 mil. Earlier, Mr Posner offered $20 per share, or a total of $19.2 mil. In March 1995, Salem announced that it had retained Donaldson, Lufkin &amp; Jenrette to assist in its search for a buyer for the company. Concurrently, a management-led investor group withdrew its offer to acquire Salem for $22 per share, or a total value of $41 mil.</t>
  </si>
  <si>
    <t>Transnational Re Corp</t>
  </si>
  <si>
    <t>PXRE Corp</t>
  </si>
  <si>
    <t>PXRE acquired the remaining 78% interest, or 5.47 mil Class A common shares, which it did not already own, in Transnational Re (TRE) in a stock swap transaction valued at an amended $133.1 mil. TRE Class A common stockholders were to receive 1.0575 PXRE common share for each TRE share held. Based on PXRE's closing stock price of $23 on Aug 21, the last full trading day prior to the announcement of amended terms, each TRE Class A share was valued at $24.3225. The transaction had been subject to regulatory approval.</t>
  </si>
  <si>
    <t>MDT Corp</t>
  </si>
  <si>
    <t>Mnfr sterility assurance equip</t>
  </si>
  <si>
    <t>Getinge Industrier AB</t>
  </si>
  <si>
    <t>Mnfr sterilizing equipment</t>
  </si>
  <si>
    <t>Getinge Industrier (GI) merged with MDT for a sweetened $5.5 in cash per share, or a total value of $70.258 including the assumption of $33 mil in liablities. Earlier, GI completed its tender offer for MDT by accepting 6.278 mil common shares or about 92. 7% of the company's common stock. Originally GI offered $4.50 in cash per share. The offer was conditioned upon at least two-thirds of MDT's shares being tendered and had been subject to regulatory approval. Earlier, Cyclopos withdrew its offer to merge with MDT.</t>
  </si>
  <si>
    <t>MICOM Communications Corp</t>
  </si>
  <si>
    <t>Mnfr communications equipment</t>
  </si>
  <si>
    <t>Northern Telecom Ltd</t>
  </si>
  <si>
    <t>Northern Telecom (NT) merged with MICOM Communications (MC) , a unit of MB Communications, for $12 in cash per share, or a total value of $138.3 mil. Earlier, NT completed its cash tender for MC by accepting 11,456,363 commons shares, or 99.4% of MC's common stock outstanding on a fully-diluted basis.</t>
  </si>
  <si>
    <t>Caremark International Inc</t>
  </si>
  <si>
    <t>Pvd home heatlh care services</t>
  </si>
  <si>
    <t>MedPartners/Mullikin (MPM) acquired all the outstanding shares of Caremark International (CI) in a tax- free reverse stock swap transaction valued at $2.708 bil. CI shareholders received 1.21 MPM common shares for each share held. Based on MPM's closing stock price of $26.125 on May 13, the last trading day prior to the announcement, each CI share was valued at $31.61. Upon completion, MPM was renamed MedPartners Inc. The transaction had been subject to regulatory approval.</t>
  </si>
  <si>
    <t>Davis Water &amp; Waste Industries</t>
  </si>
  <si>
    <t>Water distn and treatment prod</t>
  </si>
  <si>
    <t>United States Filter Corp</t>
  </si>
  <si>
    <t>Mnfr water treatment equip</t>
  </si>
  <si>
    <t>United States Filter (USF) acquired Davis Water &amp; Waste Industries (DWW)in a stock swap transaction valued at $100.817 mil. DWW common shareholders received .933 USF pre-split common share for each share held. Based on USF's closing stock price of $31.75 on May 14, the last full trading day prior to the announcement of terms, each DWW share was valued at $29. 62. The transaction had been accounted for as a pooling of interests.</t>
  </si>
  <si>
    <t>PSINet Inc</t>
  </si>
  <si>
    <t>Pvd Internet svcs</t>
  </si>
  <si>
    <t>In May 1996, PSINet retained Merrill Lynch to assist in the search for a buyer for the company. Later, MindSpring Enterprises acquired the individual Internet subscriber base of PSINet for $23 mil</t>
  </si>
  <si>
    <t>A+ Network Inc</t>
  </si>
  <si>
    <t>Pvd paging services</t>
  </si>
  <si>
    <t>Metrocall (MET) acquired A+ Network (A+) in a two-tier merger for $345.07 mil. In the first step, MET completed its tender offer for 4.1 mil shares, at $21.10 in cash per share, or a total value of $86.626 mil. In the second step, MET acquired the remaining interest, in A+ for $21.10 in MET common stock, or total value of $137.71 mil. MET also paid $3.518 mil for A+'s outstanding options and assumed approximately $125 mil in liabilities.</t>
  </si>
  <si>
    <t>Washington Construction Group</t>
  </si>
  <si>
    <t>Washington Construction Group (WC) merged with bankrupt Morrison-Knudsen (MK) in a transaction valued at $268.15 mil, including $50 mil in the assumption of debt. MK creditors received $13.3 mil in cash and 24.1 mil newly issued WC shares valued at $204.85 mil. MK common shareholders received warrants to acquire 2,765,000 common shares, in the new company to be named MK, at $12 per share for a 5 year period. The share portion was valued based on WC's closing stock price of $8.5 on May 15, the last full trading day prior to the announcement.</t>
  </si>
  <si>
    <t>Professional Sports Care Mngmt</t>
  </si>
  <si>
    <t>HealthSouth (HS) acquired Professional Sports Care Management (PSC) in a stock swap transaction valued at $64.789 mil. PSC common shareholders were to receive . 233 HS common shares for each PSC share held, subject to a collar agreement. Based on HS' closing stock price of $36 on May 15, the last full trading day prior to the announcement, each PSC share was valued at $8.388. The transaction was to be accounted for as a pooling of interests.</t>
  </si>
  <si>
    <t>Television Broadcasting</t>
  </si>
  <si>
    <t>Liberty Media (LM) withdrew the options to raise its stake to 52% from 28% in Video Jukebox Network (VJ) by acquiring 5.7 mil common shares, for $2 per share, or a total value of $11.4 mil. Also, LM withdrew is option to raise its stake to 28% from 4.61% in VJ, by acquiring 5.6% mil common shares from StarNet.</t>
  </si>
  <si>
    <t>CFI Industries Inc</t>
  </si>
  <si>
    <t>Ivex Packaging Corp</t>
  </si>
  <si>
    <t>Mnfr paper packaging prod</t>
  </si>
  <si>
    <t>Ivex Packaging acquired all the outstanding common stock of CFI Industries for $6.22 per share, or a total value of $17.973 mil, including the assumption of $4.5 mil in liabilities.</t>
  </si>
  <si>
    <t>General Parcel Service</t>
  </si>
  <si>
    <t>In May 1996, General Parcel Service announced that it had retained KPMG Baymark Capital to assist in its search for a buyer for the company.</t>
  </si>
  <si>
    <t>AmeriData Technologies Inc</t>
  </si>
  <si>
    <t>General Electric Capital Svcs</t>
  </si>
  <si>
    <t>Pvd financing svcs</t>
  </si>
  <si>
    <t>General Electric Capital Services (GEC), a unit of General Electric, merged with AmeriData Technologies (AD) for $16 in cash per share, or a total value of $454.758mil. Earlier, GEC completed its cash tender offer to acquire all the outstanding common shares of AD by accepting 22. 572 mil common shares, or about 75% of the company's common stock outstanding on a fully diluted basis. The offer had been conditioned upon a majority of AD's shares being tendered on a fully diluted basis and had been subject to regulatory approval.</t>
  </si>
  <si>
    <t>Continental Waste Industries</t>
  </si>
  <si>
    <t>Republic Industries Inc</t>
  </si>
  <si>
    <t>Republic Industries (RI) acquired all the outstanding shares of Continental Waste Industries (CWI) in a stock swap transaction valued at an amended $345.42 mil. Each CWI shareholder received .8 RI common shares on a pre-split basis for each share held. Based on RI's closing stock price of $27.875 on June 27, the last full trading day prior to the announcement of amended terms, each CWI share was valued at $22.3. The transaction had been accounted for as a pooling of interests.</t>
  </si>
  <si>
    <t>Financing for Science Intl Inc</t>
  </si>
  <si>
    <t>Pvd business credit services</t>
  </si>
  <si>
    <t>Finova Group Inc</t>
  </si>
  <si>
    <t>FINOVA Group acquired all the outstanding common stock of Financing for Science International for $6.40 in cash per share, or a total value of $39.241 mil.</t>
  </si>
  <si>
    <t>ILC Technology Inc</t>
  </si>
  <si>
    <t>Mnfr high intensity lamps</t>
  </si>
  <si>
    <t>BEC Group Inc</t>
  </si>
  <si>
    <t>Mnfr,whl eyeglass lenses,frame</t>
  </si>
  <si>
    <t>BEC Group (BE) withdrew its unsolicited offer to acquire all the outstanding common shares of ILC Technology (ILC) in a stock swap transaction valued at $70.296 mil. Under terms of the agreement, each ILC shareholder was to receive 2 BE shares for each share held. Based on BE's closing stock price of $6.625 on May 17, the last full trading day prior to the announcement, each ILC share was valued at $13.25. Any transaction as a result of the offer was to be accounted for as a pooling of interests.</t>
  </si>
  <si>
    <t>Sterling Healthcare Group Inc</t>
  </si>
  <si>
    <t>Own,op doctors' offices</t>
  </si>
  <si>
    <t>FPA Medical Management Inc</t>
  </si>
  <si>
    <t>Pvd health care mgmt services</t>
  </si>
  <si>
    <t>FPA Medical Management (FPA) acquired Sterling Healthcare Group (SHG) in a reverse stock swap transaction valued at $157.54 mil. SHG shareholders received .951 FPA common shares for each SHG share held. Based on FPA's closing stock price of $19.625 on Oct 30, the last full trading day prior to the announcement of the terms, each SHG share was valued at $18.66. The transaction was accounted for as a pooling of interests.</t>
  </si>
  <si>
    <t>Total Tel Communications Inc</t>
  </si>
  <si>
    <t>Tel-Save Holdings Inc</t>
  </si>
  <si>
    <t>Tel-Save Holdings (TSH) was rejected in its unsolicited offer to acquire all the outstanding common stock of Total-Tel USA Communications for $26 in a combination of cash and TSH common stock per share, or a total value of $53.524 mil.</t>
  </si>
  <si>
    <t>Central Jersey Financial Corp</t>
  </si>
  <si>
    <t>Summit Bancorp,Princeton,NJ</t>
  </si>
  <si>
    <t>Summit Bancorp (SB) acquired all the outstanding common shares of Central Jersey Financial (CJ) in a stock swap merger valued at $93.443 mil. CJ shareholders received .875 SB common shares for each CJ share held. Based on SB closing stock price of $38. 625 on May 21, the last full trading day prior to announcement, each CJ share was valued at $33.8. Under the lockup agreement SB was granted the option to acquire up to a 19.9% stake in CJ. The transaction had been subject to federal and state banking regulatory approval.</t>
  </si>
  <si>
    <t>Midland Resources Inc</t>
  </si>
  <si>
    <t>Midland Resources was rejected in its offer to acquire Enex Resources (ER) for $11.35 per share in a combination of cash, common shares and warrants. The transaction was subject to regulatory approval.</t>
  </si>
  <si>
    <t>Proactive Technologies Inc</t>
  </si>
  <si>
    <t>Pvd online information svcs</t>
  </si>
  <si>
    <t>Proactive Technologies (PT), withdrew its plans to acquire all the outstanding common shares of Killearn Properties (KP) in exchange for 4 PT common shares per share. Included in the transaction was PT's acquisition of 117, 500 KP common shares, in the open market, for $.983 mil. PT also withdrew its agreement to acquire an additional 116,915 KP common shares fro 2 KP shareholders, in a privately negotiated transaction.</t>
  </si>
  <si>
    <t>Network Express Inc</t>
  </si>
  <si>
    <t>Cabletron Systems Inc</t>
  </si>
  <si>
    <t>Mnfr,whl,install LAN,WAN</t>
  </si>
  <si>
    <t>Cabletron Systems (CS) acquired Network Express (NE) in a stock swap valued at $118.411 mil. Each NE common shareholder received .1388 CS common share for each share held. Based on CS's closing stock price of $78.875 on May 21, the last full trading day prior to the announcement, each NE share was valued at $10.947. The transaction had been subject to regulatory approval was accounted for as a pooling of interests.</t>
  </si>
  <si>
    <t>NHS Financial,San Rafael,CA</t>
  </si>
  <si>
    <t>Commercial Bank</t>
  </si>
  <si>
    <t>Luther Burbank Savings(LB), Santa Rosa, California, acquired all the outstanding shares of NHS Financial(NHS), San Rafael, California, for $11.5 in cash per share, or a total value of $29.552 mil. The transaction had been subject to federal and state banking regulatory approval. Under the lockup agreement LB had been granted the option to acquire up to 19.9% stake in NHS.</t>
  </si>
  <si>
    <t>Clinton Gas Systems Inc</t>
  </si>
  <si>
    <t>Joint Energy Dvlp Investments</t>
  </si>
  <si>
    <t>Joint Energy Development Investments, a joint venture between California Public Employees Retirement System and Enron, acquired all the outstanding common shares of Clinton Gas Systems (CG) for $6.75 in cash per share, or a total value of $38.35 mil. Upon completion, CG was renamed CGAS Inc.</t>
  </si>
  <si>
    <t>Masland Corp</t>
  </si>
  <si>
    <t>Holding Companies, Except Banks</t>
  </si>
  <si>
    <t>Lear Corp</t>
  </si>
  <si>
    <t>Mnfr,whl auto interior systems</t>
  </si>
  <si>
    <t>Lear merged with Masland (MS) for $26 in cash per share, or a total of $413.552 mil. Earlier, Lear completed its tender offer to acquire all the outstanding common shares of MS by accepting 13.225 mil shares, or 97.3% of MS' common stock outstanding. The value included 1,883,262 MS shares issuable upon the exercise of options and warrants. The offer had been conditioned upon a majority of MS' shares being tendered on a fully diluted basis.</t>
  </si>
  <si>
    <t>SyStemix Inc(Sandoz AG)</t>
  </si>
  <si>
    <t>Novartis AG</t>
  </si>
  <si>
    <t>Sandoz AG completed its tender offer for the remaining 6,233,311 common shares, or 26.8% of SyStemix shares outstanding, that it did not already own, for an amended $19.5 in cash per share, or a total value of $107.56 mil, by accepting 6, 233,311 common shares, or 26. 3% of SyStemix. Originally, NV offered $17 per share, or a total value of $93.76 mil.</t>
  </si>
  <si>
    <t>Florida First Bancorp Inc,FL</t>
  </si>
  <si>
    <t>Regions Financial, Birmingham, Alabama, acquired the entire outstanding share capital of Florida First Bancorp, Panama City, Florida, for $11.65 in cash per share, or a total value of $40.898 mil. The transaction had been subject to federal and state banking regulatory approval.</t>
  </si>
  <si>
    <t>WestAmerica Corp</t>
  </si>
  <si>
    <t>Aries Ventures Inc</t>
  </si>
  <si>
    <t>Casmyn wtihdrew its plans to acquire a 60% interest, or 5. 68 mil common shares, in WestAmerica in exchange for 606,061 Casmyn common shares.</t>
  </si>
  <si>
    <t>Neolens Inc</t>
  </si>
  <si>
    <t>Manufacture optical lenses</t>
  </si>
  <si>
    <t>Sola International Inc</t>
  </si>
  <si>
    <t>Sola International (SLI) acquired all the outstanding common and convertible preferred shares of Neolens (NE) for $1.14 in cash per comon share, $25.20 in cash per convertible preferred A share, and $41.09 in cash per convertible preferred B share, or a total value of $16 mil, including an estimated $7.9 mil in the assumption of liabilities. Earlier, SLI completed its tender offer for NE by accepting 84% of the common shares, or 5,538, 281 shares, and 3,269 and 12, 000 representing 100% of the Series A&amp;B convertible preferred shares, respectively.</t>
  </si>
  <si>
    <t>CCF Health Care Ventures Inc</t>
  </si>
  <si>
    <t>CCF Health Care Ventures terminated its agreement to acquire an 80% interest in NuMed Home Health Care, by acquiring 3.92 mil common shares, in a privately negotiated transaction, for $4 per share, or a total value of $15.68 mil.</t>
  </si>
  <si>
    <t>Addington Resources Inc</t>
  </si>
  <si>
    <t>Bituminous coal mining</t>
  </si>
  <si>
    <t>Republic Industries (RI) acquired Addington Resources (AR) in a stock swap transaction valued at $317. 816 mil. Each AR common shareholder received .45 RI common share on a pre-split basis for each share held. Based on RI's closing stock price of $47.187 on May 30, the last full trading day prior to the announcement, each AR share was valued at $21.23.</t>
  </si>
  <si>
    <t>Family Bancorp,Haverhill,MA</t>
  </si>
  <si>
    <t>Peoples Heritage Financial Group (PH), Portland, Maine, merged with Family Bancorp (FB), Haverhill, Pennsylvania, in a stock swap valued at $106.881 mil. FB shareholders received 1.26 PH common shares for each FB share held. Based on PH's closing stock price of $19.75 on May 30, each FB share was valued at $34.335. Previously, PH completed a dutch auction self tender offer of 2.5 mil common shares, or 9.9% of its common stock outstanding, for $24 per share, or a total of $60 mil. The shares were bought to fund PH's merger with FB.</t>
  </si>
  <si>
    <t>Image Industries Inc</t>
  </si>
  <si>
    <t>Pvd plastic recycling svcs</t>
  </si>
  <si>
    <t>Maxim Group (MG) merged with Image Industries (II) in a stock swap transaction valued at $105.056 mil. Each II common shareholder received one MG common share for each share held. Based on MG's closing stock price of $14. 625 on May 30, the last full trading day prior to the announcement, each II share was valued at $14.625.</t>
  </si>
  <si>
    <t>NetStar Inc</t>
  </si>
  <si>
    <t>Ascend Communications Inc</t>
  </si>
  <si>
    <t>Mnfr wide area network equip</t>
  </si>
  <si>
    <t>Ascend Communications (AC) acquired all the outstanding common shares of NetStar (NE) in a stock swap valued at $294.273 mil. NE shareholders received .35398 AC common shares for each NE share held. Based on AC's closing stock price of $66.125 on May 30, each NE share was valued at $23.41. The transaction had been subject to regulatory approval and was accounted for as a pooling of interests.</t>
  </si>
  <si>
    <t>Bio-Dental Technologies Corp</t>
  </si>
  <si>
    <t>Provide dental research svcs</t>
  </si>
  <si>
    <t>Zila Inc</t>
  </si>
  <si>
    <t>Mnfr pharm;hldg co</t>
  </si>
  <si>
    <t>Zila acquired Bio-Dental Technologies (BT) in a stock swap transaction valued at $40.288 mil. BT common shareholders received .825 Zila common share for each BT share held. Based on Zila's closing stock price of $7 on Jan 8, the last full trading day prior to the announcement of the exact terms, each BT share was valued at $5.775. The transaction was accounted for as a pooling of interests.</t>
  </si>
  <si>
    <t>Heftel Broadcasting Corp</t>
  </si>
  <si>
    <t>Clear Channel Commun Inc</t>
  </si>
  <si>
    <t>Own,operate radio,TV station</t>
  </si>
  <si>
    <t>C1ear Channel Communications (CC) completed its tender offer for the 81% interest, that it did not already own, in Heftel Broadcasting (HB) for $23 per share, or a total value of $315.277 mil, including $118 mil in the assumption of liabilities. Upon completion, CC merged HB with Tichenor Media System in a stock swap transaction. The transaction had been subject to Federal Communications Commission and Federal Trade Commission regulatory approval.</t>
  </si>
  <si>
    <t>Univar Corp</t>
  </si>
  <si>
    <t>Whl industrial,textile chem</t>
  </si>
  <si>
    <t>Pakhoed Holding NV</t>
  </si>
  <si>
    <t>Pvd freight transp services</t>
  </si>
  <si>
    <t>Pakhoed Holding acquired the remaining 72% interest, or 16. 74 mil common shares, which it did not already own, in Univar for $19.45 in cash, or a total value of $331.77 mil. Earlier, Pakhoed Holding completed its tender offer by accepting 14.6 mil common shares, or about 95.5% of the company's common stock outstanding.</t>
  </si>
  <si>
    <t>HomeTown Buffet Inc</t>
  </si>
  <si>
    <t>Buffets Inc</t>
  </si>
  <si>
    <t>Buffets acquired HomeTown Buffet (HB) in a tax-free stock swap transaction valued at $174.02 mil. Each HB common shareholder received 1. 17 Buffets common shares for each of their shares held. Based on Buffets' closing stock price of $12.50 on June 3, the last full trading day prior to the announcement, each HB share was valued at $14.63. The transaction had been subject to regulatory approval and was accounted for as a pooling of interests.</t>
  </si>
  <si>
    <t>Sunair Electronics Inc</t>
  </si>
  <si>
    <t>Mnfr,whl commun equip</t>
  </si>
  <si>
    <t>Sunair Electronics (SNR) chairman Robert Uricho received an unsolicited offer from an undisclosed acquiror to purchase his 50.7% interest in SNR for $4 per share, or a total value of $7. 974 mil.</t>
  </si>
  <si>
    <t>A management-led investor group, including Chairman and CEO Guy Anthome, acquired a 50% interest, or 3.515 mil common shares, in YES Clothing Co for $.035 mil in a leveraged buyout transaction.</t>
  </si>
  <si>
    <t>AT&amp;T Capital Corp</t>
  </si>
  <si>
    <t>Pvd leasing,financing services</t>
  </si>
  <si>
    <t>A management-led investor group, including GRS Holding and Babcok &amp; Brown, acquired all the outstanding common stock of AT&amp;T Capital (AC), an 86%-owned unit of AT&amp;T, for $45 in cash per share, or a total value of $2.129 bil, in a leveraged buyout transaction. In September 1995, AT&amp;T announced that it was seeking a buyer for its 86% interest in AC. Concurrently, AT&amp;T spun off its 82.54% interest in Lucent Technology. Also, AT&amp;T planned to spin off its NCR unit to shareholders.</t>
  </si>
  <si>
    <t>Atria Software Inc</t>
  </si>
  <si>
    <t>Develop CASE tool software</t>
  </si>
  <si>
    <t>Pure Software Inc</t>
  </si>
  <si>
    <t>Dvlp custom computer programs</t>
  </si>
  <si>
    <t>Pure Software (PS) merged with Atria Software (AS) to form a new company in a stock swap transaction valued at $944.4 mil. AS common shareholders received 1. 544615 PS common shares for each AS share held. Based on PS' closing stock price of $39.50 on June 5, the last full trading day prior to the announcement, each AS common share was valued at $61.01. Upon completion, the newly merged entity was named Pure Atria. Under a lockup agreement, PS and AS were granted options to acquire 13% of each other.</t>
  </si>
  <si>
    <t>Authentic Fitness Corp</t>
  </si>
  <si>
    <t>Mnfr,whl swimwear,swim access</t>
  </si>
  <si>
    <t>Warnaco Group Inc</t>
  </si>
  <si>
    <t>Mnfr women's intimate apparel</t>
  </si>
  <si>
    <t>Warnaco Group (WG) withdrew its agreement to acquire all the outstanding common shares of Authentic Fitness (AF), including Pentland Group's 23% stake, in a stock swap valued at an amended $416.6 mil. Each AF common shareholder would have received .82 WG common share for each share held. Based on WG's closing stock price of $24.125 on July 12, the last full trading day prior to the amendment of terms, each AF share was valued at $19.78. Earlier, WG offered .725 share for each AF share held. The transaction would have been accounted for as a pooling of interests.</t>
  </si>
  <si>
    <t>Hilton Hotels (HH) acquired Bally Entertainment (BE) in a stock swap valued at $3.138 bil, including the assumption of $1 bil in liabilities. Upon effecting a 4-for-1 stock split by HH, each BE shareholder received 1 HH post-split common share for each BE common share held. Based on HH's closing stock price of $114.5 on June 5, the last full trading day prior to the announcement, each BE share was valued at $28.625. Earlier HH and ITT Sheraton were both rumored to be in negotiations to acquire BE.</t>
  </si>
  <si>
    <t>Cupertino National Bancorp,CA</t>
  </si>
  <si>
    <t>Greater Bay Bancorp,Palo Alto</t>
  </si>
  <si>
    <t>Greater Bay Bancorp (GB), acquired all the outstanding shares of Cupertino National Bancorp (CN), Cupertino, California in a merger-of- equals stock swap transaction valued at $27.695 mil. GB offered .81522 common shares for every CN share held. Based on GB's closing stock price of $16.916 on June 6, the last full trading day prior to the announcement, esch CN share was valued at $13.79.</t>
  </si>
  <si>
    <t>Lacy Distribution Inc</t>
  </si>
  <si>
    <t>Whl industrial machinery equip</t>
  </si>
  <si>
    <t>Lacy Distribution acquired a 67% interest, or 4 mil common shares, in FinishMaster, from Maxco, for $15.65 per share, or a total value of $62.6 mil. Upon completion, Maxco held no stake in FinishMaster. The transaction had been subject to regulatory approval.</t>
  </si>
  <si>
    <t>Bailey Corp</t>
  </si>
  <si>
    <t>Manufacture rubber products</t>
  </si>
  <si>
    <t>Vemco Acquisition Corp</t>
  </si>
  <si>
    <t>Vemco Acquisition(VA), a unit of Venture Holdings Trust, merged with Bailey in a transcation valued at $47. 794 mil concurrent with the completion of its tender offer to acquire all the outstanding common shares of Bailey for $8.75 in cash per share. VA had accepted 5.249 mil common shares or 98.05% of the company's common stock outstanding, through the tender.</t>
  </si>
  <si>
    <t>Orbit Semiconductor Inc</t>
  </si>
  <si>
    <t>DII Group</t>
  </si>
  <si>
    <t>DII Group (DII) acquired Orbit Semiconductor (OS) in a stock swap transaction valued at $118.265 mil. OS shareholders received .45 common DII shares for each OS share held. Based on DII's closing stock price of $31 on June 7, the last full trading day prior to the announcement, each OS share was valued at $13.95. The transaction had been accounted for as a pooling of interests.</t>
  </si>
  <si>
    <t>SysteMed Inc</t>
  </si>
  <si>
    <t>Pvd medical services</t>
  </si>
  <si>
    <t>Merck-Medco Managed Care Inc</t>
  </si>
  <si>
    <t>Pvd pharmacy benefit svcs</t>
  </si>
  <si>
    <t>Merck-Medco Managed Care (MM) , a unit of Merck, merged with SysteMed (SM) for $3 in cash per share, or a total value of $64.8 mil. Earlier, MM completed its tender offer for all the outstanding shares of SM by accepting 19, 364,496 shares, or 89% of SM's outstanding shares. The transaction had been subject to regulatory approval.</t>
  </si>
  <si>
    <t>Community Health Systems Inc</t>
  </si>
  <si>
    <t>Pvd gen hosp healthcare svcs</t>
  </si>
  <si>
    <t>Forstmann Little (FL) acquired all the outstanding common shares of Community Health Systems (CHS) for $52 in cash per share, or a total value of $1.08 bil. Included in the value were 2,107,515 options valued at $52.25 mil, based on the difference between the offer price and the option exercise price. Earlier, FL completed its tender offer to acquire the outstanding common shares of CHS by accepting 19.03 mil common shares, or about 87% of the company's common stock outstanding on a fully diluted basis.</t>
  </si>
  <si>
    <t>Computer Identics Corp</t>
  </si>
  <si>
    <t>Manufacture bar code scanners</t>
  </si>
  <si>
    <t>Robotic Vision Systems (RVS) acquired Computer Identics (CI) in a stock swap transaction valued at $42.005 mil. CI shareholders received .195586 common share for each RVS share held. Based on RVS' closing stock price of $18.75 on June 10, the last full trading day prior to the announcement, each CI share was valued at $3.67. The transaction was accounted for as a pooling of interests.</t>
  </si>
  <si>
    <t>Meridian Gold Inc (MGI) acquired the entire share capital of FMC Gold (FMCG), a unit of FMC in a stock swap transaction. Each FMCG shareholder was to receive 1 MG common share and $.02 in cash for each common share held. Upon completion, the MGI changed its name to Meridian Gold Co.</t>
  </si>
  <si>
    <t>MG Products Inc</t>
  </si>
  <si>
    <t>Mnfr commercial lighting equip</t>
  </si>
  <si>
    <t>Exportadora Cabrera SA de CV</t>
  </si>
  <si>
    <t>Exportadora Cabrera agreed to raise its stake to 51% in MG Products in exchange for $1.7 mil in debt reduction plus an undisclosed amount of cash.</t>
  </si>
  <si>
    <t>Farmers &amp; Mechanics Bank,CT</t>
  </si>
  <si>
    <t>Citizens Financial Group, Providence, Rhode Island, a 76.5% held unit of Royal Bank of Scotland Group, acquired all the outstanding stock of Farmers &amp; Mechanics Bank, Middletown, Connecticut, for $32 cash per share, or a total of $53 mil. The transaction had been subject to federal and state banking regulatory approval.</t>
  </si>
  <si>
    <t>Cyclops Corp</t>
  </si>
  <si>
    <t>Mnfr alloys, stainless steel</t>
  </si>
  <si>
    <t>Cyclops withdrew its offer to merge with MDT. Later, Getinge Industrier merged with MDT via a tender offer for a sweetened $5.5 in cash per share, or a total value of $70.23 mil, including $33 mil in the assumption of liabilities.</t>
  </si>
  <si>
    <t>SyQuest Technology Inc</t>
  </si>
  <si>
    <t>In June 1996, SyQuest Technology disclosed that it was seeking a buyer. Included in the roster of potential acquirors were IBM, Quantum, and Western Digital.</t>
  </si>
  <si>
    <t>Allied Bankshares Inc,GA</t>
  </si>
  <si>
    <t>Regions Financial (RF), Birmingham, Alabama, acquired Allied Bankshares (AB), Thompson, Georgia, in a stock swap valued at $136 mil. AB shareholders received .226 RF shares for each AB share held. Based on RF's closing stock price of $47.75 on June 13, each AB share was valued at $10.79. The transaction was to be accounted for as a pooling of interests and had been subject to federal and state banking regulatory approval. Under the lockup agreement, RF was granted the option to acquire up to 19.9% of AB stock.</t>
  </si>
  <si>
    <t>Brenco Inc</t>
  </si>
  <si>
    <t>Ball and roller bearings</t>
  </si>
  <si>
    <t>Varlen Corp</t>
  </si>
  <si>
    <t>Mnfr,whl auto,railroad parts</t>
  </si>
  <si>
    <t>Varlen merged with Brenco for $16.125 in cash per share, or a total value of $161.35 mil. Earlier, Varlen completed its tender offer for the remaining 95.49% of Brenco's common shares outstanding that it did not own, by accepting 9.3 mil shares. The offer had been conditioned on the valid tender of two-thirds of the shares outstanding on a fully diluted basis. The value included 442,000 Brenco options valued at $9.435 each, based on the offer price of $16.125 less the average exercise price of $6.69 per option.</t>
  </si>
  <si>
    <t>Bugaboo Creek Steak House Inc</t>
  </si>
  <si>
    <t>Longhorn Steaks Inc</t>
  </si>
  <si>
    <t>Own and operate steakhouses</t>
  </si>
  <si>
    <t>Longhorn Steaks (LS) acquired Bugaboo Creek Steak House (BC) in a stock swap transaction valued at $48.494 mil. BC shareholders received .5625 common share for each LS share held. Based on LS' closing stock price of $16.5 on July 29, the last full trading day prior to the announcement of exact terms, each BC share was valued at $9.2813. The transaction had been accounted for as a pooling of interests and was subject to regulatory approval.</t>
  </si>
  <si>
    <t>Falcon Cable Systems Co</t>
  </si>
  <si>
    <t>Own, operate cable TV systems</t>
  </si>
  <si>
    <t>Falcon Holding Group LP</t>
  </si>
  <si>
    <t>Falcon Holding Group acquired the entire share capital of Falcon Cable Systems for $247.39 mil in cash.</t>
  </si>
  <si>
    <t>Seven Hills Financial</t>
  </si>
  <si>
    <t>Western Ohio Financial Corp,OH</t>
  </si>
  <si>
    <t>Western Ohio Financial acquired all the outstanding common stock of Seven Hills Financial for $19.7 per share, or a total value of $11.002 mil. The transaction had been subject to federal and state banking regulatory approval.</t>
  </si>
  <si>
    <t>First Union (FI), Charlotte, North Carolina, acquired Center Financial (CD), Waterbury, Connecticut, in a stock swap valued at $324.224 mil. CD common stockholders received .3539 FI common share for each CD share held. Based on FI's closing stock price of $60 on June 14, the last full trading day prior to announcement, each CD share was valued at $21.23. The transaction had been subject to federal and state banking regulatory approval. Later, a management-led group acquired CF's Center Capital unit.</t>
  </si>
  <si>
    <t>Home Financial Corp</t>
  </si>
  <si>
    <t>First Union (FU) acquired Home Financial (HF) in a stock swap valued at $440.54 mil. HF common shareholders received an amended .2257 FU common share for each share held. Based on FU's closing stock price of $75.75 on Nov 22, the last full trading day prior to the announcement, each HF share was valued at $17.1. In January 1996, HF announced that it was seeking a buyer. Later, American Home Service, a unit of HF, divested certain assets to an undisclosed acquiror to gain approval for FU's acquisition of HF. Earlier, FU offered . 2233 share per HF share.</t>
  </si>
  <si>
    <t>New World Commun Grp(Mafco)</t>
  </si>
  <si>
    <t>New World Communications Group (NWC) terminated negotiations to acquire all the outstanding common shares in King World Productions. Later, News acquired NWC for $2.173 bil.</t>
  </si>
  <si>
    <t>Penril DataComm Networks Inc</t>
  </si>
  <si>
    <t>US - Bay Networks (BN) acquired Penril DataComm Networks (PEN), a manufacturer of data communications equipment, in exchange for $10 in BN common shares per PEN share, or a total value of $114.694 mil. Later, Venture Partners agreed to acquire Technipower (TP); a management-led investor group acquired Electro Metrics (EM); and PEN spun off its Access Beyond (AB) unit to shareholders. Earlier in June 1996, PEN announced it was seeking a buyer for its TP and EM units and planned to spin off AB to shareholders.</t>
  </si>
  <si>
    <t>Big Flower Press Holdings Inc</t>
  </si>
  <si>
    <t>Pvd advertising,marketing svcs</t>
  </si>
  <si>
    <t>Big Flower Press Holdings acquired all the outstanding common stock of Scanforms for $5.75 per share, or a total value of $26.476 mil in common stock, including $5.1 mil in the assumption of liabilities.</t>
  </si>
  <si>
    <t>Builders Warehouse Assn Inc</t>
  </si>
  <si>
    <t>Pvd LAN design services</t>
  </si>
  <si>
    <t>Osicom Technologies Inc</t>
  </si>
  <si>
    <t>Osicom Technologies (OT) acquired all the outstanding stock of Builders Warehouse Association (BWA) in a stock swap valued at $69.32 mil. BWA common shareholders received .94 OT common shares for each BWA share held. The shares were valued based on OT's closing stock price of $17.50 on Jun 17, the last full trading day prior to the announcement.</t>
  </si>
  <si>
    <t>An investor group, including Slot All, a unit of Leggett &amp; Platt, and Excell Store Fixtures, agreed to merge with Leggett &amp; Platt.</t>
  </si>
  <si>
    <t>Med Imaging Cntrs of America</t>
  </si>
  <si>
    <t>Diagnostic Imaging Svcs In</t>
  </si>
  <si>
    <t>Manufacture measuring equip</t>
  </si>
  <si>
    <t>Diagnostic Imaging Services withdrew its agreement to acquire Imaging Centers of America for $11.50 in cash per share or a total of $29. 81 mil. Later, US Diagnostic Labs acquired all the outstanding common stock of Medical Imaging Centers America(MIC) for $11.76 in cash per share, or a total of $35.904 mil, including the assumption of $5.4 mil in liabilities. Earlier, in March 1996, MIC announced that it was seeking a buyer or merger partner for the company.</t>
  </si>
  <si>
    <t>MuniYield Insured Fund II Inc</t>
  </si>
  <si>
    <t>MuniYield Insured Fund Inc</t>
  </si>
  <si>
    <t>Provide investments mgmt svcs</t>
  </si>
  <si>
    <t>MuniYield Insured Fund agreed to acquire MuniYield Insured Fund II in a stock swap transaction.</t>
  </si>
  <si>
    <t>Infinity Broadcasting Corp</t>
  </si>
  <si>
    <t>Westinghouse Electric (WE) acquired Infinity Broadcasting (IB) in a stock swap valued at $4.737 bil, including the assumption of $1 bil in liabilities. IB shareholders received 1.71 WE common shares for each IB share held. Based on WE's closing stock price of $18. 875 on June 19, the last full trading day prior to announcement of exact terms, each IB share was valued at $32.276. The transaction had been subject to the approval of the Federal Communications Commission.</t>
  </si>
  <si>
    <t>Public Storage Properties X</t>
  </si>
  <si>
    <t>Public Storage acquired all the outstanding common stock of Public Storage Properties X for $20.92 per share, or a total value of $50.17 mil.</t>
  </si>
  <si>
    <t>Public Storage Properties XII</t>
  </si>
  <si>
    <t>Rent storage space</t>
  </si>
  <si>
    <t>Public Storage acquired all the outstanding common stock of Public Storage Properties XII for $22.34 per share, or a total value of $55.2 mil.</t>
  </si>
  <si>
    <t>American Re Partners LP</t>
  </si>
  <si>
    <t>Own,op coml re ppty</t>
  </si>
  <si>
    <t>An investor group, led by Carl C Icahn, raised its interest to 50.6% from 48% in American Real Estate Partners, by acquiring 667,688 common shares.</t>
  </si>
  <si>
    <t>Applied Bioscience Intl(IMS)</t>
  </si>
  <si>
    <t>Provide medical testing svcs</t>
  </si>
  <si>
    <t>Pharmaceutical Prod Dvlp Inc</t>
  </si>
  <si>
    <t>Pvd research,development svcs</t>
  </si>
  <si>
    <t>Pharmaceutical Product Development (PPD) merged with Applied Bioscience International (ABI), a unit of Dun &amp; Bradstreet's IMS International subsidiary, in a stock swap transaction valued at $491.51 mil. ABI common shareholders received . 4054 PPD common share for each ABI share held. Based on PPD's closing stock price of $39.5 on June 20, the last full trading day prior to the announcement, each ABI share was valued at $16.</t>
  </si>
  <si>
    <t>United Commun Grp LP</t>
  </si>
  <si>
    <t>Publish newsletters</t>
  </si>
  <si>
    <t>United Communications (UC) acquired Computer Petroleum for $3.85 per share, or a total value of $12 mil. Concurrently XATA acquired Payne &amp; Associates, from UC.</t>
  </si>
  <si>
    <t>Seaboard Oil Co</t>
  </si>
  <si>
    <t>Seaboard Acquisition Partners</t>
  </si>
  <si>
    <t>Seaboard Acquisition Partners agreed to acquire the remaining 28.25% stake, or 415,686 shares, that it did not already own in Seaboard Oil, for $9.75 per share, or a total value of $4. 21 mil.</t>
  </si>
  <si>
    <t>Westport Bancorp,Westport,CT</t>
  </si>
  <si>
    <t>Hubco merged with Westport Bancorp (WB) in a stock swap transaction valued at $85.28 mil. Hubco offered .3225 common shares for each WB common share held. Holders of WB Series A convertible preferred stock received a new series of Hubco convertible preferred stock. Based on Hubco's closing share price of $20.15 on June 20, the last full day of trading prior to the announcement, each WB common share was valued at $6.49.</t>
  </si>
  <si>
    <t>MEM Co Inc</t>
  </si>
  <si>
    <t>Manufacture toiletries</t>
  </si>
  <si>
    <t>Renaissance Cosmetics Inc</t>
  </si>
  <si>
    <t>Renaissance Cosmetics acquired the entire share capital of MEM for $7.50 per share, or a total value of $38.195 mil, including the assumption of $18.3 mil in liabilities. The transaction had been subject to regulatory approval.</t>
  </si>
  <si>
    <t>Sanifill Inc</t>
  </si>
  <si>
    <t>USA Waste Services (USA) acquired Sanifill (SF) in a stock swap transaction valued at $1.237 bil. SF shareholders received 1.7 USA common shares for each SF share held. Based on USA's closing stock price of $27.87 on June 21, the last full trading day prior to announcement, each SF share was valued at $47.38.</t>
  </si>
  <si>
    <t>First Banks America Inc,TX</t>
  </si>
  <si>
    <t>First Banks America, Houston, Texas, a unit of First Banks, St Louis, Missouri, acquired all the outstanding stock of Sunrise Bancorp, Roseville, California, for $4 in cash per share, or a total value of $18.66 mil. The transaction had been subject to federal and state banking regulatory approval.</t>
  </si>
  <si>
    <t>First State Financial Svcs Inc</t>
  </si>
  <si>
    <t>Savings &amp; loan holding co</t>
  </si>
  <si>
    <t>Sovereign Bancorp (SB) merge withd First State Financial Services (FSF) in a stock swap transaction valued at $49.076 mil. SB offered 1.225 common shares for every FSF common share held. Based on SB's closing stock price of $10.1875 on June 24,1996, the last full trading day prior to announcement, each FSF was valued at $12.48. Under a lockup agreement, SB was granted the option to acquire up to a 19.9% stake in FSF at $10 per share. The transaction accounted for as a pooling of interests and had been subject to federal and state banking regulatory approval.</t>
  </si>
  <si>
    <t>Mountain Parks Finl Corp,MN</t>
  </si>
  <si>
    <t>Community First Bankshares,ND</t>
  </si>
  <si>
    <t>Community First Bankshares Community First Bankshares (CFB) merged with Mountain (CFB) merged with Mountain Parks Financial (MPF) in a Parks Financial (MPF) in a stock swap transaction valued stock swap transaction valued at $113.3 mil. MPF common at $115.317 mil. MPF common shareholders received 1.275 shareholders received 1.275 CFB common share for each MPF CFB common share for each MPF share. Based on CFB's closing share. Based on CFB's closing share price of $23.75 on June share price of $23.75 on June 24, 1996, the last full 24, 1996, the last full trading day prior to trading day prior to announcement, each MPF share announcement, each MPF share was valued at $30. 28. The was valued at $30.28. The transaction had been subject transaction had been subject to federal and state banking to federal and state banking regulatory approval. regulatory approval.</t>
  </si>
  <si>
    <t>Kemet Corp</t>
  </si>
  <si>
    <t>Mnfr tantalum capacitors</t>
  </si>
  <si>
    <t>Vishay Intertechnology Inc</t>
  </si>
  <si>
    <t>Vishay Intertechnology withdrew its hostile offer to acquire all the outstanding common stock of Kemet for $22 per share, or a total of $854. 22 mil.</t>
  </si>
  <si>
    <t>Bridgeville Savings Bank</t>
  </si>
  <si>
    <t>Northwest Svgs Bk,Warren,PA</t>
  </si>
  <si>
    <t>Northwest Savings Bank, Warren, Pennsylvania, acquired Bridgeville Savings Bank FSB, Bridgeville, Pennsylvania, for $16 in cash per share, or a total value of $18.33 mil. The transaction had been subject to federal and state banking regulatory approval.</t>
  </si>
  <si>
    <t>National Re Corp</t>
  </si>
  <si>
    <t>General Re Corp</t>
  </si>
  <si>
    <t>General Re (GR) acquired National Re (NR) for $53 per share, or a total value of $904.44 mil. NR shareholders were given a choice of either $53 in cash or $53 in GR common shares, with a minimum stock component of 50%, whereby each NR shareholder would receive .37262 GR shs com for each NR share held. Earlier, GR was rumored to be in negotiations to acquire NR.</t>
  </si>
  <si>
    <t>An undisclosed acquiror withdrew its letter of intent to acquire Pacific Gateway Properties (PGP) for $5 in cash per share, or a total value of $19.748 mil. Earlier, another undisclosed acquiror terminated its plans to launch a tender offer for up to a 50% interest, or 1.95 mil common shares, in PGP for $5.05 per share, or a total value of $9.83 mil.</t>
  </si>
  <si>
    <t>A management-led investor group, including Perfumania CEO Simon Falic, withdrew its offer to acquire Perfumania for $6 in cash per share, or a total value of $41.499 mil, in a leveraged buyout transaction. The transaction was subject to regulatory approval.</t>
  </si>
  <si>
    <t>A management-led investor group, including Three Cities Fund II and Three Cities Offshore II CV, acquired Salem for $25 in cash per share, or a total value of $46.622 mil, in a leveraged buyout transaction. In June 1996, Salem disclosed that it was seeking a buyer. Concurrently, another management-led investor group withdrew its agreement</t>
  </si>
  <si>
    <t>Brooktree Corp</t>
  </si>
  <si>
    <t>Rockwell International acquired all the outstanding common stock and options of Brooktree for $15 in cash per share, or a total of $261.782 mil.</t>
  </si>
  <si>
    <t>Haven Bancorp,Woodhaven,NY</t>
  </si>
  <si>
    <t>North Fork Bancorp, Mattituck, New York made a hostile offer to merge with Haven Bancorp, Woodhaven, New York. The transaction was subject to federal and state banking regulatory approval.</t>
  </si>
  <si>
    <t>Interpoint Corp</t>
  </si>
  <si>
    <t>Mnfr microelelectrn circuits</t>
  </si>
  <si>
    <t>Crane acquired Interpoint (ITP) in a stock swap merger transaction valued at $52.75 mil, including $20 mil in the assumption of liabilities. ITP shareholders received an estimated .091183 Crane common share for each ITP share held. Based on Crane's closing stock price of $45.5 on Oct 15, the last full trading day prior to the announcement of exact terms, each ITP share was valued at $4.15. Concurrently, ITP planned to spin off its Advanced Digital Information unit prior to merging with Crane.</t>
  </si>
  <si>
    <t>Landmark Graphics Corp</t>
  </si>
  <si>
    <t>Dvlp CAE sys for geoscientists</t>
  </si>
  <si>
    <t>Halliburton Co</t>
  </si>
  <si>
    <t>Provide oil,gas exploration services</t>
  </si>
  <si>
    <t>Halliburton (HAL) acquired Landmark Graphics (LG) in a stock swap transaction valued at $586.77 mil. LG common shareholders received .574 HAL common share for each share held. Based on HAL's closing stock price of $55.5 on June 28, the last full trading day prior to the announcement, each LG share was valued at $31.86. The transaction had been subject to regulatory approval.</t>
  </si>
  <si>
    <t>Tribune Co</t>
  </si>
  <si>
    <t>Tribune acquired all the outstanding common stock of Renaissance Communications for $36 in cash per share, or a total value of 1.094 bil. The transaction had been subject to regulatory approval.</t>
  </si>
  <si>
    <t>Ambar Inc</t>
  </si>
  <si>
    <t>Beacon Group Energy Investment</t>
  </si>
  <si>
    <t>Beacon Group Energy Investment Fund (BG) acquired Ambar (AM) for $18 per share, or a total value of $66.6 mil. Earlier, BG completed its tender offer for AM by accepting 3.789 mil common shares, or about 99.3% of the company's common stock outstanding.</t>
  </si>
  <si>
    <t>Golden Poultry Co Inc</t>
  </si>
  <si>
    <t>Produce,wholesale poultry</t>
  </si>
  <si>
    <t>Gold Kist Inc</t>
  </si>
  <si>
    <t>Produce, wholesale poultry</t>
  </si>
  <si>
    <t>Gold Kist (GK) acquired the remaining 25% stake, or 3,656, 000 common shares, that it did not already own in Golden Poultry for $14.25 per share, or a total value of $52.09 mil. The transaction had been subject to regulatory approval.</t>
  </si>
  <si>
    <t>Tylan General Inc</t>
  </si>
  <si>
    <t>Mnfr gas measure equipment</t>
  </si>
  <si>
    <t>Danaher (DH) withdrew its intentions to make an unsolicited bid to acquire the remaining 89.53% interest, or 5.8 mil common shares, which it did not already own in Tylan General (TG). In response to the intended offer, TG adopted a poison pill plan to thwart the takeover. Concurrently, Millipore acquired TG. Earlier, DH raised its stake to 10.47% from 3.49% in Tylan General by acquiring .452 mil common shares, in open market transactions for an indicated value of $4.58 mil in cash.</t>
  </si>
  <si>
    <t>Parisian Inc</t>
  </si>
  <si>
    <t>Family apparel retail stores</t>
  </si>
  <si>
    <t>Proffitt's (PRF) acquired all the outstanding common stock of Parisian, a unit of the LJ Hooker International subsidiary of Hersfield Group's Hooker unit, for $451. 96 mil, including the assumption of $243 mil in liabilities. The consideration consisted of $110 mil in cash and 2.9 mil PRF common shares valued at $98.96 mil. The shares were valued based on PRF's closing stock price of $34.125 on July 5, the last full trading day prior to the announcement.</t>
  </si>
  <si>
    <t>Fay's Inc</t>
  </si>
  <si>
    <t>Thrift Drug Inc(JC Penney Co)</t>
  </si>
  <si>
    <t>Thrift Drug, a unit of JC Penney (JC), acquired all the outstanding common shares of Fay's in exchange for $12.75 in JC common stock per share, or a total value of $277.93 mil.</t>
  </si>
  <si>
    <t>Geriatric &amp; Medical Cos</t>
  </si>
  <si>
    <t>Pvd skilled nursing care svcs</t>
  </si>
  <si>
    <t>Genesis Health Ventures Inc</t>
  </si>
  <si>
    <t>Own, op geriatric facilities</t>
  </si>
  <si>
    <t>Genesis Health Ventures acquired all the outstanding common stock of Geriatric &amp; Medical for $227 mil. The consideration consisted of $93 mil in cash and the assumption of $134 mil in liabilities.</t>
  </si>
  <si>
    <t>ADCO Technologies Inc</t>
  </si>
  <si>
    <t>Mnfr adhesives and sealants</t>
  </si>
  <si>
    <t>Astor Chemicals</t>
  </si>
  <si>
    <t>Astor Chemicals, a unit of Aurora Capital Partners, acquired ADCO Technologies for $10.25 in cash per share, or a total of $53.781 mil. In May 1996, ADCO announced that it had retained Schroder Wertheim to assist in its search for a buyer for the company. The transaction had been subject to regulatory approval.</t>
  </si>
  <si>
    <t>Supercuts Inc</t>
  </si>
  <si>
    <t>Operate barber shops</t>
  </si>
  <si>
    <t>Regis Corp</t>
  </si>
  <si>
    <t>Own,operate hair salons</t>
  </si>
  <si>
    <t>Regis (RE), a unit of Curtis Squire, merged with Supercuts (SU) in a stock swap transaction valued at $175.08 mil, including $25 mil in assumption of liabilities. SU shareholders received .4 RE share for each SU share held. Based on RE's closing stock price of $33 on July 11, the last full trading day prior to announcement, each SU share was valued at $13.2. The transaction was accounted for as a pooling of interests.</t>
  </si>
  <si>
    <t>North Side Savings Bank,NY</t>
  </si>
  <si>
    <t>North Fork Bancorp (NF), Mattituck, New York, acquired North Side Savings Bank (NS), Floral Park, New York, in a stock swap transaction valued at $211.211 mil. NS shareholders received 1.556 NF common shares for each NS share held. Based on NF's closing stock price of $27.50 on July 12, the last full trading day prior to the announcement, each NS share was valued at $42.79. The transaction had been subject to federal and state banking regulatory approval and accounted for as a pooling of interests.</t>
  </si>
  <si>
    <t>SDNB Finl Corp, San Diego,CA</t>
  </si>
  <si>
    <t>FBOP Corp,Oak Park,Illinois</t>
  </si>
  <si>
    <t>FBOP, Oak Park, Illinois, merged with SDNB Financial, San Diego, California, for approximately $8 in cash per share, or a total value of $25.775 mil. The transaction had been subject to federal and state banking regulatory approval.</t>
  </si>
  <si>
    <t>BankUnited Financial Corp,FL</t>
  </si>
  <si>
    <t>BankUnited Financial, Coral Gables, Florida (BU) acquired Suncoast Savings and Loan Association, Hollywood, Florida (SS), a unit of Temple Inland's Guaranty Federal Savings and Loans Association subsidiary, in a stock swap transaction valued at $15.305 mil. SS shareholders received 1 BU Class A common shares for each SS share held. Based on BU's closing stock price of $7.25 on July 12, the last full trading day prior to announcement, each SS share was valued at $7.25.</t>
  </si>
  <si>
    <t>Advanced Electronic Support</t>
  </si>
  <si>
    <t>Mnfr,whl computer products</t>
  </si>
  <si>
    <t>Advance Electronic Support Products(AESP) withdrew its offer to merge with  Americas Growth Fund(AG) to form a new company. Upon completion, AESP shareholders was to own 1.265 mil common shares, or 42% of the new company, while AG shareholders was to own 1. 747 mil common shares, or 58% of the new company. Earlier, Tallard Technologies withdrew its offer to acquire AG.</t>
  </si>
  <si>
    <t>An investor group, comprised of BW Elliot Manufacturing, a unit of Millbrook Capital Management (MCM), and Eastern (ES) shareholder Ernst Ohnell, made an unsolicited hostile offer to acquire all the outstanding common shares of ES for $15 in cash per share, or a total value of $37.76 mil. Later, MCM raised its stake to 9.8% from 9.4% in ES by acquiring .011 mil shares in the open market. The transaction was subject to regulatory approval.</t>
  </si>
  <si>
    <t>US Diagnostic Inc</t>
  </si>
  <si>
    <t>Own,op imaging facilities</t>
  </si>
  <si>
    <t>US Diagnostic Labs (USD) acquired all the outstanding common stock of Medical Imaging Centers of America (MIC), including Steel Partners II's 19.6% stake, for $11.75 in cash per share, or a total of $35.905 mil, including the assumption of $5.4 mil in liabilities. Earlier, Diagnostic Imaging Services terminated its agreement to acquire MIC for $11.5 in cash per share, or a total value of $29.81 mil.</t>
  </si>
  <si>
    <t>News Corp Ltd</t>
  </si>
  <si>
    <t>Publish newspapers, magazines</t>
  </si>
  <si>
    <t>News Corp (NC) acquired the remaining 82% interest, or 88. 9 mil Class A and Class B common shares, which it did not already own in New World Communications Group (NW), a unit of Mafco Holdings' Mafco Consolidated Group, in a stock swap valued at $2.173 bil. NW Class A and B common shareholders received 1.45 NC limited voting preferred American Depositary Receipts for each NW share held. Based on NC's closing preferred price of $18.5 on July 16, the last full trading day prior to the announcement, each NW share was valued at $26.825.</t>
  </si>
  <si>
    <t>American Telecasting</t>
  </si>
  <si>
    <t>American Telecasting agreed to acquire Heartland Wireless Communications in a stock swap transaction.</t>
  </si>
  <si>
    <t>ROC Communities Inc</t>
  </si>
  <si>
    <t>Chateau Communities Inc</t>
  </si>
  <si>
    <t>Chateau Properties(CP) merged with ROC Communities (RC)in an amended merger-of- equals stock swap valued at $288.56 mil, to form a new company named Chateau Communities Inc (CC). RC shareholders received 1.042 shs in CC for each RC sh held and CP shareholders were to receive 1.0136 shs for each sh held plus a one-time dividend of 3.16% to 6% of com and operating partnership units based on the converted units. Based on CP's closing stock price of $22.25 on Jul 17, each RC sh was valued at $23.185. Sun Commun and Manufactured Home Commun each made offers for CP.</t>
  </si>
  <si>
    <t>FluoroScan Imaging Systems</t>
  </si>
  <si>
    <t>Mnfr,whl x-ray imaging device</t>
  </si>
  <si>
    <t>Hologic Inc</t>
  </si>
  <si>
    <t>Mnfr,whl diagnostic products</t>
  </si>
  <si>
    <t>Hologic Designs (HLG) acquired all the outstanding common stock of Fluoroscan Imaging Systems in exchange for 1.5 mil HLG common shares valued at $59.06 mil. The shares were valued based on HLG's closing stock price of $39.375 on July 18, the last full trading day prior to the announcement. The transaction was accounted for as a pooling of interests.</t>
  </si>
  <si>
    <t>Enron Corp</t>
  </si>
  <si>
    <t>Pvd energy prod,svcs</t>
  </si>
  <si>
    <t>Enron (EN) acquire Portland General (PG) in a stock swap transaction valued at $2.9018 bil, including the assumption of $1.1 bil in liabilities. EN offered an amended .9825 EN common shares per PG share. Earlier, EN offered 1 EN common share per PG share. The shares were valued based on EN's closing stock price of $35.875 on Apr 11, the last full trading day prior to the amendment of the terms. The transaction was subject to regulatory approval.</t>
  </si>
  <si>
    <t>Huntsman completed its hostile offer to acquire all the outstanding common stock of Rexene for an amended $16 in cash per share, or a total value of $606.82 mil, including the assumption of $300 mil in liabilities. Previously, the consideration consisted of $15 in cash per Rexene share and the assumption of $175 mil in liabilities. As part of the transaction, Wyser-Pratte and Spear Leeds Kellog, holders of a 10% stake in Rexene, had initiated a proxy fight to amend Rexene's bylaws and replace Rexene's current board of directors with a slate of there own nominees committed to considering Huntsman's offer.</t>
  </si>
  <si>
    <t>Gelman Sciences Inc</t>
  </si>
  <si>
    <t>Mnfr medical filter devices</t>
  </si>
  <si>
    <t>Memtec Ltd</t>
  </si>
  <si>
    <t>Mnfr service industry mach</t>
  </si>
  <si>
    <t>Memtec (MM) terminated its definitive agreement to acquire Gelman Sciences (GS) in a stock swap valued at $293.45 mil. GS common shareholders were to receive 1.05 MM American Depositary shares for each share held. Based on MM's closing stock price of $33 on July 19, the last full trading day prior to the annoucement of terms, each GS share was valued at $34.65. Subsequently, Pall acquired GS for $34.74 per share, or a total value of $279.56 mil. Earlier, in July 1996, GS announced it seeking a buyer for the company.</t>
  </si>
  <si>
    <t>Global Natural Resources Inc</t>
  </si>
  <si>
    <t>Seagull Energy Corp</t>
  </si>
  <si>
    <t>Own,op gas pipelines</t>
  </si>
  <si>
    <t>Seagull Energy (SE) acquired Global Natural Resources (GN) in a stock swap transaction valued at approximately $525. 55 mil. GN common stockholders received 1 right for each GN share held. Each right was convertible into between .72 and .88 SE common share subject to a collar agreement. Based on the high end in the range and SE's closing stock price of $19.75 on July 19, the last full trading day prior to the announcement, each GN share was valued at $17.38.</t>
  </si>
  <si>
    <t>Telebit Corp</t>
  </si>
  <si>
    <t>Mnfr data transmission equip</t>
  </si>
  <si>
    <t>cisco Systems acquired Telebit (TE) for $13.35 per share, or a total value of $196.258 mil. Concurrently, a management-led investor group acquired the analog modem business Netblazer &amp; Micablazer products of Telebit in a leveraged buyout transaction for $35 mil.</t>
  </si>
  <si>
    <t>United Cities Gas Co</t>
  </si>
  <si>
    <t>Atmos Energy Corp</t>
  </si>
  <si>
    <t>Atmos Energy (AE) acquired United Cities Gas (UC), including Southern Union's (SU) 4.5% stake in UC, in a reverse stock swap valued at $496.53 mil, including the assumption of $163 mil in liabilities. AE offered 1 common share per UC share. Based on AE's closing stock price of $25.875 on July 19, the last full trading day prior to the announcement, each UC share was valued at $25.875. The transaction had been subject to regulatory approval and was accounted for was a pooling of interests. Earlier, SU raised its stake in UC to 6.5%.</t>
  </si>
  <si>
    <t>Caterpillar Inc</t>
  </si>
  <si>
    <t>Manufactures, wholesales construction equipements</t>
  </si>
  <si>
    <t>Caterpillar was rumored to be in negotiations to acquire Varity. Earlier, Lucas Industries merged with Varity in a tax-free stock swap transaction valued at $1.96 bil. The Current status of this deal is unknown.</t>
  </si>
  <si>
    <t>PCI Services Inc</t>
  </si>
  <si>
    <t>Pvd product packaging services</t>
  </si>
  <si>
    <t>Cardinal Health (CH) acquired PCI Services (PCI), including MEDIQ's 46% interest in PCI, in a stock swap transaction valued at $208 mil, including $56 mil in the assumption of liabilities. PCI common shareholders received .336 CH common share for each PCI share held. Based on CH's closing stock price of $69. 125 on July 23, the last full trading day prior to the announcement, each PCI share was valued at $23.22. The transaction was accounted for as a pooling of interests and had been subject to regulatory approval.</t>
  </si>
  <si>
    <t>Carolina State Bank,Shelby,NC</t>
  </si>
  <si>
    <t>Bank of Granite Corp</t>
  </si>
  <si>
    <t>Bank of Granite, (BG), Granite, North Carolina, withdrew its letter of intent to acquire all the outstanding shares of Carolina State Bank (CS), Shelby, North Carolina, in a stock swap transaction valued at $28.98 mil. CS shareholders were to receive 1.11 BG common shares for each CS share held. Based on BG's closing stock price of $24.5 on July 24, the last full trading day prior to the announcement, each CS share was valued at $27.2. The transaction was to be accounted for as a pooling of interests and was subject to banking regulatory approval.</t>
  </si>
  <si>
    <t>Deprenyl Animal Health Inc</t>
  </si>
  <si>
    <t>Mnfr animal pharmaceuticals</t>
  </si>
  <si>
    <t>DRAXIS Health Inc</t>
  </si>
  <si>
    <t>Mnfr specialty pharm</t>
  </si>
  <si>
    <t>Draxis Health (DH) acquired the remaining 61.3% interest, or 5.2 mil common shares, which it does not already own, in Deprenyl Animal Health (DA) in a stock swap transaction valued at $21.832 mil. DA shareholders received 1.35 DH shares for each DA share held. Based on DH's closing stock price of $3.218 on July 24, each DA share was valued at $4.35. The transaction ahd been subject to regulatory approval.</t>
  </si>
  <si>
    <t>First Family Financial,FL</t>
  </si>
  <si>
    <t>Colonial Bancorp Inc,PA</t>
  </si>
  <si>
    <t>Colonial BancGroup (CB), Montgomery, Alabama, definitively agreed to acquire First Family Financial (FF), Eustis, Florida for $13.33 mil in a combination of cash and common shares. FF shareholders were to receive $23.5 for each share held, half in cash and half in common shares. The transaction was subject to federal and state banking regulatory approval.</t>
  </si>
  <si>
    <t>ReadiCare Inc</t>
  </si>
  <si>
    <t>OccuSystems Inc</t>
  </si>
  <si>
    <t>Pvd healthcare svcs</t>
  </si>
  <si>
    <t>OccuSystems (OCS) withdrew its hostile offer to acquire ReadiCare (RC) in a stock swap for $7 in OCS common shares per share, or a total value of $61.8 mil.</t>
  </si>
  <si>
    <t>Seda Specialty Packaging acquired the remaining 14% stake, or 1,288,201 common shares, in its American Safety Closure unit that it did not already own. Terms were not disclosed.</t>
  </si>
  <si>
    <t>Tennenbaum &amp; Co</t>
  </si>
  <si>
    <t>Tennenbaum (TE) withdrew its offer to raise its stake to 60.1% from 11.1% in Mission West Properties (MW) by acquiring 672,315 common shares from Triton Group, in a privately negotiated transaction, for $8 per share, or a total value of $5.379 mil. Later, DMB/SVP California Investment withdrew its offer to acquire the real estate assets of MW for an amended $38.25 mil in cash. TE's acquisition was to prevent the acquisition by DMB/SVP of MW's assets.</t>
  </si>
  <si>
    <t>Nuveen Insured Premium Income</t>
  </si>
  <si>
    <t>Nuveen Ins Prem Inc Muni Fd 2</t>
  </si>
  <si>
    <t>Nuveen Insured Premium Income Municipal Fund 2 (N2) agreed to acquire Nuveen Insured Premium Income Municipal Fund (NI) in a stock swap transaction. NI common stockholders were to receive 2 N2 common shares for each NI share held.</t>
  </si>
  <si>
    <t>Cal Fed Bancorp,Los Angeles,CA</t>
  </si>
  <si>
    <t>First Nationwide Bank, San Francisco, California, a unit of MacAndrews &amp; Forbes Holdings' (MFH) First Nationwide, Dallas, Texas, subsidiary, acquired all the outstanding shares of Cal Fed Bancorp (CFB), Los Angeles, California, for $23.5 in cash per share, or a total of $1. 287 bil. The transaction had been subject to Office of Thrift Supervision and federal and state banking regulatory approval. Upon completion, CFB was renamed California Federal Bank. MFH was a unit of Mafco Holdings' Mafco Consolidated Group subsidiary.</t>
  </si>
  <si>
    <t>Raytheon was rumored to be in negotiations to merge with McDonnell Douglas. The Current status of this deal is unknown.</t>
  </si>
  <si>
    <t>Calgene Inc</t>
  </si>
  <si>
    <t>Own and operate greenhouse</t>
  </si>
  <si>
    <t>0181</t>
  </si>
  <si>
    <t>Monsanto Co</t>
  </si>
  <si>
    <t>Mnfr agro chems,manmade fibers</t>
  </si>
  <si>
    <t>Monsanto raised its stake to 54.6% from 49.9% in Calgene by acquiring 6.25 mil newly issued common shares, for $8 per share, or a total value of $50 mil.</t>
  </si>
  <si>
    <t>Grand Union Co</t>
  </si>
  <si>
    <t>An investor group, comprised of Shamrock Group and GE Investments, a unit of General Electric, acquired an approximately 60% interest, in the form of convertible preferred stock, in Grand Union, a unit of Grand Union Holdings.</t>
  </si>
  <si>
    <t>Star Gas Partners LP</t>
  </si>
  <si>
    <t>Electric, gas utility</t>
  </si>
  <si>
    <t>Star Gas Partners(SG) withdrew its intentions to search for a buyer for its company. In May 1996, SG announced that it had retained Morgan Stanley to assist in its search for a buyer.</t>
  </si>
  <si>
    <t>US Surgical Corp (US) withdrew its hostile tender offer for the remaining 85.1% interest, or 11.26 mil common shares, of Circon Corp (CC), which it did not already own, for an amended $16.5 in cash per share, or a total value of $185.96 mil. Previously, US offered $17 in cash amended from an original $18 in cash per share. The offer was conditioned upon 67% of CC's shares, including US' 14. 9% stake in CC, being tendered. Previously, US raised its stake to 14.9% from 7.55% in CC by acquiring 973,174 common shares for $14. 5 in cash per share, or a total value of $14.11 mil, via a tender offer. As part of the transaction, US' slate of 2 dissident nominees were elected to CC's board. Concurrently, MAXXIM Medical Inc completed its tender offer for Circon Corp.</t>
  </si>
  <si>
    <t>Colonial Data Technologies</t>
  </si>
  <si>
    <t>US Order Inc</t>
  </si>
  <si>
    <t>Pvd equip rental,leasing svcs</t>
  </si>
  <si>
    <t>US Order (US) merged with Colonial Data Technologies (CD) in a merger-of-equals stock swap transaction valued at $185.491 mil. CD shareholders received 1 US share for each CD share held. Based on US's closing stock price of $12 on Aug 1, each CD share was valued at $12. US owned 51% and CD owned 49% of the combined company. The transaction had been subject to regulatory approval. The new company was called TriTech.</t>
  </si>
  <si>
    <t>First Colony Corp</t>
  </si>
  <si>
    <t>General Electric Capital, a unit of General Electric's General Electric Capital Services subsidiary, acquired First Colony (FC) for $36.15 in cash per share, or a total of $1.799 bil. The transaction had been subject to New York and Virginia states insurance departments regulatory approvals. In June 1996, FC announced that it was seeking a buyer for the company. Possible buyers were thought to be American General, GE Capital, a unit of General Electric, SunAmerica and Travelers Group.</t>
  </si>
  <si>
    <t>EZ Communications Inc</t>
  </si>
  <si>
    <t>Own,operate radio stations</t>
  </si>
  <si>
    <t>American Radio Systems Corp</t>
  </si>
  <si>
    <t>Own,op radio bdcstg station</t>
  </si>
  <si>
    <t>American Radio Systems (ARS) acquired all the outstanding common stock of EZ Communications (EZ) for $47.3 per share, or a total of $687. 3 mil, including the assumption of $239 mil in liabilities. ARS offered $11. 75 in cash and .9 ARS common share per EZ share. Based on ARS's closing stock price of $39.5 on Aug 2, the last full trading day prior to the announcement, each EZ share was valued at $47.3. The transaction had been subject to regulatory approval.</t>
  </si>
  <si>
    <t>PacifiCare Health Systems Inc</t>
  </si>
  <si>
    <t>Pvd hosp,med service plans</t>
  </si>
  <si>
    <t>PacifiCare Health Systems (PH) acquired FHP International (FI) for $2 bil. FI shareholders received $33. 274, which consisted of $17.5 in cash, .056 PH Cl A shs com, and .176 PH Cl B shs com, for each FI sh com held; $14. 113 in cash and .5 newly issued PH Series A cumulative shs pfd, convertible into . 374 PH Cl B shs com, for each FI Series A cumulative convertible sh pfd held; and $79.101 mil for options. The shares were valued on PH's closing stock prices of $68. 75, $67.75, and $67.75, for each Cl A sh com, Cl B sh com, and Series A sh pfd, respectively, on Aug 2.</t>
  </si>
  <si>
    <t>MidAmerican Energy Co</t>
  </si>
  <si>
    <t>Pvd natl gas distribution svcs</t>
  </si>
  <si>
    <t>MidAmerican Energy (ME) withdrew its rejected, unsolicited offer to merge with IES Industries (IES) in a merger of equals stock swap transaction valued at $1.161 bil. IES shareholders were to have had the option to receive 2.346 ME common shares or $39 in cash per IES share held. Based on ME's closing stock price of $16. 625 on August 2, the last full trading day prior to the announcement, each IES share was valued at $39. No more than 40% of the consideration offered was to have been paid in cash. Later, WPL Holdings acquired IES and Interstate Power in a 3-way merger.</t>
  </si>
  <si>
    <t>Hinsdale Financial Corp</t>
  </si>
  <si>
    <t>Hinsdale Financial (HF), Hinsdale, Illinois, merged with Liberty Bancorp (LB), Chicago, Illinois, to form Alliance Bancorp (AB) in a merger-of-equals stock swap valued at $66.36 mil. LB common shareholders received 1.054 AB common share per LB share and HF common shareholders received 1 AB common share per LB share held. Based on HF's closing stock price of $23.5 on Aug 2, the last full trading day prior to the announcement, each LB share was valued at $24.77.</t>
  </si>
  <si>
    <t>Freeport-McMoRan Inc</t>
  </si>
  <si>
    <t>Own,op chem,fertilizer mines</t>
  </si>
  <si>
    <t>Freeport-McMoRan (FM) terminated its agreement to merge with Arcadian (AR) in a merger-of-equals stock swap valued at $777.8 mil. AR shareholders were to have received .658 common shares in the merged company for each AR share held and FM shareholders were to receive 1 share in the merged company for each FM share held. Based on FM's closing stock price of $36.5 on Aug 6, the last full trading day prior to the announcement, each AR share was valued at $24.02. Later, Potash acquired AR.</t>
  </si>
  <si>
    <t>Magna International Inc</t>
  </si>
  <si>
    <t>Mnfr,whl car parts,accessories</t>
  </si>
  <si>
    <t>Magna International merged with Douglas &amp; Lomason (DL) in a transaction valued at $134.55 mil concurrent with the completion of its tender for all DL outstanding common shares at $31 in cash per share. The value included 228, 675 DL common shares reserved for issuance upon the exercise of all outstanding options valued at $12.93 each, based on the offer price of $31 less the average exercise price of $18.07 per option. The offer had been contingent upon at least 51% of DL's shares being tendered on a fully diluted basis.</t>
  </si>
  <si>
    <t>Coastal Physician Group Inc</t>
  </si>
  <si>
    <t>In August 1996, Coastal Physician Group hired Smith Barney to assist in its search for a buyer for the company.</t>
  </si>
  <si>
    <t>Chemed acquired the remaining 45.06% stake, or 2. 45 mil common shares, that it did not already own in Roto- Rooter (RR) for $41 in cash per share, or a total value of $93.58 mil. Earlier, Chemed completed its tender offer for the remaining 2.15 mil common shares, that it did not already own, in Roto- Rooter by accepting 2.1 mil common shares, or 90.8% of the company's common stock outstanding.</t>
  </si>
  <si>
    <t>Cinergy Corp</t>
  </si>
  <si>
    <t>Williams was rumored to be in negotiations to acquire all the outstanding common shares of CINergy (CIN). Concurrently, PanEnergy was rumored to be in negotiations to acquire all the outstanding common shares of CIN. The Current status of this deal is unknown.</t>
  </si>
  <si>
    <t>PanEnergy Corp</t>
  </si>
  <si>
    <t>PanEnergy was rumored to be in negotiations to acquire all the outstanding common shares of CINergy (CIN). Concurrently, Williams was rumored to be in negotiations to acquire all the outstanding common shares of CIN. The Current status of this deal is unknown.</t>
  </si>
  <si>
    <t>Kash N' Karry Food Stores Inc</t>
  </si>
  <si>
    <t>Food Lion Inc</t>
  </si>
  <si>
    <t>Owns and operates supermarkets</t>
  </si>
  <si>
    <t>Food Lion acquired all the outstanding common shares of Kash N' Karry Food Stores for USD 341 mil. The consideration consisted of USD 120 mil in cash and USD 221 mil liabilities.</t>
  </si>
  <si>
    <t>NorAm Energy Corp</t>
  </si>
  <si>
    <t>Houston Industries Inc</t>
  </si>
  <si>
    <t>Houston Industries (HI) acquired NorAm Energy (NE) in a stock swap valued at $3.649 bil, including the assumption of $1.4 bil in liabilities. HI offered a choice of $16 in cash, or .74963 common shares, or $16 in a combination of cash and common stock per NE share. Based on the stock consideration and HI's closing stock price of $21.50 on July 29, the last full trading day prior to the announcement of exact terms, each NE share was valued at $16.117. The transaction had been subject to regulatory approval.</t>
  </si>
  <si>
    <t>Atlantic Energy(AmeriGas)</t>
  </si>
  <si>
    <t>Public utility holding co</t>
  </si>
  <si>
    <t>Delmarva Power &amp; Light</t>
  </si>
  <si>
    <t>Pvd electric,gas utility svcs</t>
  </si>
  <si>
    <t>Delmarva Power &amp; Light (DP) merged with Atlantic Energy (AE) to form a new company named Conectiv in a stock swap valued at an estimated $951.1 mil. AE shareholders received .75 Conectiv common shares and .125 Class A Conectiv shares per share held and DP common shareholders received 1 Conectiv common share per share held. Based on DP's closing stock price of $20. 625 on Aug 9, the last day prior to announcement, each AE share was valued at $18.04. Conectiv Class A shares were to be tied to the annual earnings of AE's utility business.</t>
  </si>
  <si>
    <t>Hilcoast Development Corp</t>
  </si>
  <si>
    <t>US - A management-led investor group, headed by chief executive officer H Irwin Levy, acquired all the outstanding common shares of Hilcoast Development for $6 in cash per share, or a total of $14.4 mil. The transaction was subject to regulatory approval.</t>
  </si>
  <si>
    <t>Zanart Entertainment Inc</t>
  </si>
  <si>
    <t>Pvd commercial printing svcs</t>
  </si>
  <si>
    <t>Continucare Corp</t>
  </si>
  <si>
    <t>Pvd outpatient services</t>
  </si>
  <si>
    <t>Continucare acquired all the outstanding common shares or Zanart Entertainment (ZE). Terms were not disclosed. Upon completion, ZE was renamed Continucare.</t>
  </si>
  <si>
    <t>LCS Bancorp Inc</t>
  </si>
  <si>
    <t>Jacksonville Savings Bank</t>
  </si>
  <si>
    <t>Svgs bk</t>
  </si>
  <si>
    <t>Jacksonville Savings Bank, Jacksonville, Illinois, a unit of Jacksonville Bancorp, acquired all the outstanding stock of LCS Bancorp, Litchfield, Illinois, for $17. 75 in cash per share, or a total value of $1.948 mil. The transaction had been subject to federal and state banking regulatory approval.</t>
  </si>
  <si>
    <t>American Re Corp</t>
  </si>
  <si>
    <t>Munich Re</t>
  </si>
  <si>
    <t>Muenchener Reueckversicherungs Gesellschaft acquired American Re, a 64%-owned unit of Kohlberg Kravis Roberts (KKR), for $65 in cash per share, or a total value of $3. 28 bil. The transaction had been subject to regulatory approval. In July 1996, KKR was rumored to be seeking a buyer for its entire 64% interest in American Re.</t>
  </si>
  <si>
    <t>CNET Inc</t>
  </si>
  <si>
    <t>Pvd television prodn svcs</t>
  </si>
  <si>
    <t>Glenayre Technologies Inc</t>
  </si>
  <si>
    <t>Pvd messaging solution svcs</t>
  </si>
  <si>
    <t>US - Glenayre Technologies merged with CNET in a stock swap transaction. Terms were not disclosed. The transaction was to be accounted for as a pooling of interests.</t>
  </si>
  <si>
    <t>Payco American Corp</t>
  </si>
  <si>
    <t>OSI Holdings Corp</t>
  </si>
  <si>
    <t>OSI Holdings acquired all the outstanding common shares of Payco American for $14 in cash per share, or a total of $161.86 mil, including the assumption of $16.43 mil in liabilities.</t>
  </si>
  <si>
    <t>Redman Industries Inc</t>
  </si>
  <si>
    <t>Champion Enterprises Inc</t>
  </si>
  <si>
    <t>Mnfr,ret mobile homes</t>
  </si>
  <si>
    <t>Champion Enterprises (CE) acquired Redman Industries (RI) in a stock swap transaction valued at $341. 896 mil. RI shareholders received 1.24 CE common shares for each RI share held. Based on CE's closing stock price of $19.875 on Aug 13, the last full trading day prior to the announcement, each RI share was valued at $24.645. The transaction was accounted for as a pooling of interests.</t>
  </si>
  <si>
    <t>Cinergi Pictures Entertainment</t>
  </si>
  <si>
    <t>Walt Disney (WD) terminated its negotiations to acquire all the outstanding common stock of Cinergi Pictures Entertainment (CPE). Later, Walt Disney Pictures and Television, a unit of WD, agreed to acquire the motion picture library of CPE for an estimated $38.4 mil in debt forgiveness. Consideration was also to consist of WD relinquishing its equity interest in CPE, the assumption of liabilities and profit-related payments related to a CPE film. Also, a management-led investor group including Valdina agreed to acquire the remaining 48.21% stake, or 6, 513,977 common shares, which it did not already own, in CPE for a thrice amended $2. 52 in cash per share, or a total value of $16.283 mil, in a leveraged-buyout transaction. Originally in April 1996, CPE announced it was seeking a buyer for the company.</t>
  </si>
  <si>
    <t>Music &amp; Entertainment Network</t>
  </si>
  <si>
    <t>BNN Corp</t>
  </si>
  <si>
    <t>Pvd TV prodn services</t>
  </si>
  <si>
    <t>BNN was in negotiations to merge with Music &amp; Entertainment Network in the formation of a joint venture.</t>
  </si>
  <si>
    <t>Orchard Supply Hardware Stores</t>
  </si>
  <si>
    <t>Own,op home improvement ctrs</t>
  </si>
  <si>
    <t>Sears Roebuck(SR) merged with Orchard Supply Hardware Stores (OS) for $35 in cash per share, or a total value of $423.68 mil, including the assumption of $110 mil in liabilities. Earlier, SR completed its tender offer for OS by acquiring 8,705,203 shares, or 96.3% of its outstanding stock. The offer had been conditioned upon a majority of shares being tendered. The transaction had been subject to regulatory approval.</t>
  </si>
  <si>
    <t>Alliance Imaging Inc</t>
  </si>
  <si>
    <t>US Diagnostic Labs Inc</t>
  </si>
  <si>
    <t>US Diagnostic Labs withdrew its offer to merge with Alliance Imaging in a stock swap transaction for between $6 to $6.5 in common shares per share, or a total value of $73.86 mil, with the value based on the high price in the range.</t>
  </si>
  <si>
    <t>Inland Resources Inc</t>
  </si>
  <si>
    <t>Oil and gas field exploration</t>
  </si>
  <si>
    <t>Pengo Industries Inc</t>
  </si>
  <si>
    <t>Provide oil field services</t>
  </si>
  <si>
    <t>Pengo Industries raised its stake to 56.7% from 33.9% in Inland Resources by acquiring .95 mil convertible preferred shares on July 31 in a privately negotiated transaction for $9.5 mil. The shares were convertible into 1.5 mil common shares.</t>
  </si>
  <si>
    <t>Hudson Bay Partners LP</t>
  </si>
  <si>
    <t>Hudson Bay Partners (HBP) terminated its agreement to acquire paired common shares, convertible into a 72% interest, in Bay Meadows Operating/California Jockey Club (BC) for $300 mil in cash. Earlier, Starwood Capital Group withdrew its offer to acquire a majority interest in BC for approximately $300 mil. Later, Patriot American Hospitality (PAH) merged with BC.</t>
  </si>
  <si>
    <t>CasTech Aluminum Group Inc</t>
  </si>
  <si>
    <t>Mnfr aluminum sheets</t>
  </si>
  <si>
    <t>Commonwealth Industries Inc</t>
  </si>
  <si>
    <t>Mnfr aluminum sheet</t>
  </si>
  <si>
    <t>Commonwealth Aluminum merged with CasTech Aluminum Group (CTA) in a transaction valued at $328.68 mil, including $54 mil in the assumption of liabilities, concurrent with the completion of its tender offer for all of CTA's outstanding common shares for $20.50 per share by accepting 12.65 mil common shares, or 98% of the company's stock.</t>
  </si>
  <si>
    <t>Chateau Properties Inc</t>
  </si>
  <si>
    <t>Manufactured Home Communities</t>
  </si>
  <si>
    <t>Manufactured Home Communities (MH) terminated its amended hostile tender to acquire Chateau Properties (CP) for $26 per share, or a total of $389.614 mil. CP common stockholders were to receive a choice of $26 in cash or 1 MH convertible preferred share for each CP share held. Originally, MH offered $26 in cash and 1.15 MH shares for each CP share held. The value was based on the cash consideration. Later, CP merged with ROC Communities. Earlier, Sun Communities also made a hostile offer to acquire CP.</t>
  </si>
  <si>
    <t>Griffin Gaming &amp; Entertainment</t>
  </si>
  <si>
    <t>Own,op gaming facilities</t>
  </si>
  <si>
    <t>Sun International Hotels Ltd</t>
  </si>
  <si>
    <t>Bahamas</t>
  </si>
  <si>
    <t>Sun International Hotels (SI) , a unit of Sun International Investments, acquired Griffin Gaming &amp; Entertainment (GG) in a stock swap merger valued at $309.564 mil, including the assumption of $127 mil in liabilities. GG shareholders received .4324 SI ordinary shares for each GG share held and .1928 SI ordinary shares for each GG Class B share held,subject to a collar agreement. Based on SI's closing stock price of $51. 875 on Aug 16, each GG share was valued at $22.43 and each Class B share was valued at $10.</t>
  </si>
  <si>
    <t>An investor group comprised of Tylan General's(TG) chairman David Ferran, vice chairman Don Whitson and chief administrative officer Leo Whitson acting as a white knight withdrew its plans to acquire the remaining 87.3% it did not already own in TG. Concurrently, Millipore acquired TG. Earlier, Danaher (DH) raised its stake to 10. 47% and withdrew intentions to make an unsolicited bid to acquire the remaining 89.53% interest in TG. In response to the intended offer, TG adopted a poison pill plan to thwart the takeover.</t>
  </si>
  <si>
    <t>Kenwin Shops Inc</t>
  </si>
  <si>
    <t>Own,op womens clothes stores</t>
  </si>
  <si>
    <t>D&amp;A Funding Corp</t>
  </si>
  <si>
    <t>US - D&amp;A Funding (DA) acquired 526,818 common shares, or about a 52.7% interest, in Kenwin Shops (KS) . The stake was equivalent to 61.1% of the votes. 83,978 common share were acquired from relatives of the founders of KS.</t>
  </si>
  <si>
    <t>Golden Technologies Co Inc</t>
  </si>
  <si>
    <t>Produce corn related prod</t>
  </si>
  <si>
    <t>Golden Technologies (GT), a unit of ACX Technologies, acquired a 52% interest, or 8. 6 mil common shares, in Photocomm (PC), including New World Power's (NWP) 40% and Programmed Land's 2.7% in PC for $16.8 mil in cash. Earlier, PC adopted a poison pill plan to thwart GT's takeover efforts but later redeemed the plan. Previously, PC announced that it was seeking a buyer for a stake in the company. Also earlier, GT acquired the entire share capital of New World do Brazil and a 51% interest in Solartec from NWP.</t>
  </si>
  <si>
    <t>Sun Communities Inc</t>
  </si>
  <si>
    <t>Sun Communities (SC) withdrew its hostile offer to acquire Chateau Properties (CP) in a stock swap valued at $370.421 mil. CP shareholders were to receive . 892 SC shares for each CP share held. Based on SC's closing stock price of $27.75 on Aug 21, each CP share was valued at $24.75. Later, CP merged with ROC Communities in a stock swap transaction valued at $288.04 mil.</t>
  </si>
  <si>
    <t>Meta Software Inc</t>
  </si>
  <si>
    <t>Avant! (AV) acquired Meta Software (MS) in a stock swap transaction valued at $139. 265 mil. MS common shareholders received .43 AV common shares for each MS share held. Based on AV's closing stock price of $29.5 on Aug 21, the last full trading day prior to the announcement, each MS share was valued at $12.685. The transation was accounted for as a pooling of interests.</t>
  </si>
  <si>
    <t>Lucent Technologies Inc</t>
  </si>
  <si>
    <t>Pvd telecomm svcs</t>
  </si>
  <si>
    <t>Lucent Technologies was rumored to plan to acquire the entire share capital of Bay Networks. The Current status of this deal is unknown.</t>
  </si>
  <si>
    <t>American Travellers Corp</t>
  </si>
  <si>
    <t>US - Conseco (CN) merged with American Travellers (AM) in a stock swap transaction valued at $868.30 mil. AM common stockholders received an sweetened .5836 CN common shares for each AM share held. Based on CN's closing stock price of $63.25 on Dec 12, the last full trading day prior to the amendment of terms, each AM share was valued at $36.9127. The consideration also included $218.71 mil in CN common shares for AM convertible subordinated debentures.</t>
  </si>
  <si>
    <t>Conseco acquired the remaining 11.5% stake, or 5. 844 mil common shares, which it did not already own, in Bankers Life Holding (BLH) for $25 in Conseco common shares per BLH share, or a total value of $120.838 mil.</t>
  </si>
  <si>
    <t>Capitol American Financial</t>
  </si>
  <si>
    <t>Pvd accident,life ins svcs</t>
  </si>
  <si>
    <t>Conseco (CON) acquired all the outstanding common stock of Capitol American Financial (CA) for $685.45 mil. CA common stockholders received $30.75 in cash per share and . 1647 CON common stock for each CA share held. Based on CON's closing stock price of $42.3125 on Aug 23, each CA share was valued at $6.96. The transaction had been subject to regulatory approval.`</t>
  </si>
  <si>
    <t>Career Horizons Inc</t>
  </si>
  <si>
    <t>AccuStaff Inc</t>
  </si>
  <si>
    <t>Pvd staffing svcs</t>
  </si>
  <si>
    <t>AccuStaff (AST) acquired Career Horizons (CH) in a stock swap transaction valued at $1.01 bil. CH common shareholders received 1.53 AST common share for each CH share held. Based on AST's closing stock price of $28 on Aug 23, the last full trading day prior to the announcement, each CH share was valued at $42.84. The transaction was accounted for as a pooling of interest and had been subject to regulatory approval.</t>
  </si>
  <si>
    <t>HSN Inc, minority controlled by investor Barry Diller, acquired Home Shopping Network (HSN), a unit of Tele- Communications' Liberty Media subsidiary, in a stock swap transaction valued at an estimated $1.216 bil. HSN shareholders received .45 HSN Inc common shares for each HSN share held and .54 HSN Inc Class B common shares for each HSN share held. Based on HSN Inc's closing stock price of $29.5 on Aug 23, the last full trading day prior to the announcement, each HSN share was valued at $13.2. Upon completion, HSN Inc expected to change its name to CityVision.</t>
  </si>
  <si>
    <t>WorldCom Inc</t>
  </si>
  <si>
    <t>WorldCom (WC) acquired MFS Communications (MFS) in a stock swap transaction valued at $13.595 bil. MFS common stockholders received 2.1 WC common shares for each MFS share held. Based on WC's closing stock price of $26. 375 on Aug 23, each MFS share was valued at $55.3875. Included in the value were 10. 4 mil options valued at $22. 74 each, based on the offer price of $55.3875 less the average exercise price of $32. 65 per option. The value also included $1.023 bil for MFS Class B convertible preferred shares.</t>
  </si>
  <si>
    <t>North Carolina Railroad Co</t>
  </si>
  <si>
    <t>Own and operate railroads</t>
  </si>
  <si>
    <t>North Carolina</t>
  </si>
  <si>
    <t>State govt</t>
  </si>
  <si>
    <t>Public Administration</t>
  </si>
  <si>
    <t>North Carolina government acquired the remaining 25% stake, which it did not already own, in North Carolina Railroad from approximately 800 private shareholders for $66 per share, or a total value of $70.677 mil. The transaction had been subject to government and other regulatory approval.</t>
  </si>
  <si>
    <t>Olympic Financial Ltd</t>
  </si>
  <si>
    <t>Provide loan brokerage svcs</t>
  </si>
  <si>
    <t>In August 1996, Olympic Financial announced that it had retained Donaldson, Lufkin &amp; Jenrette to assist in its search for a buyer.</t>
  </si>
  <si>
    <t>Mace Security Intl Inc</t>
  </si>
  <si>
    <t>Mnfr,whl surveillance products</t>
  </si>
  <si>
    <t>Spain</t>
  </si>
  <si>
    <t>Director Robert Gould and chairman John Goodrich terminated their negotiations to divest their 56.2% interest, or 3.82 mil common shares, in Mace Security International (MS) to an undisclosed acquiror. Gould held a 27% stake in MS while Goodrich held a 29.2% stake. Concurrently, the same unnamed buyer terminated negotiations to acquire an option from executive vice president Richard A Galt for additional shares in MS. The option was for additional shares held by Goodrich.</t>
  </si>
  <si>
    <t>Red Lions Hotels(Red Lion Inn)</t>
  </si>
  <si>
    <t>Doubletree Corp</t>
  </si>
  <si>
    <t>Own,operate hotel mgt co</t>
  </si>
  <si>
    <t>Doubletree (DT) merged with Red Lion Hotels (RL), a majority-owned unit of Red Lion Inns, in a transaction valued at $1.174 bil, including $200 mil in the assumption of liabilities. RL common shareholders received $21.3 in cash and and .2314 DT common share for each RL share held. Based on the cash consideration and DT's closing stock price of $39.25 on Nov 5, the last full trading day prior to the announcement of the exact terms, each RL share was valued at $30.38.</t>
  </si>
  <si>
    <t>Amtrol Inc</t>
  </si>
  <si>
    <t>Mnfr plumbing, heating systems</t>
  </si>
  <si>
    <t>Cypress Group LLC</t>
  </si>
  <si>
    <t>Cypress Group acquired all the outstanding common stock of Amtrol for $28.25 in cash per share, or a total value of $227.23 mil. In April 1996, Amtrol announced that it had retained Smith Barney and HSBC Securities to assist in its search for a buyer for the company.</t>
  </si>
  <si>
    <t>BMJ Financial Corp,New Jersey</t>
  </si>
  <si>
    <t>Summit Bancorp (SB), Princeton, New Jersey, acquired BMJ Financial (BMJ), Bordentown, New Jersey, in a stock swap transaction valued at $164.84 mil. BMJ shareholders received .56 SB share for each BMJ share held. Based on SB's closing stock price of $38.875 on Aug 28, each BMJ share was valued at $21.77. The transaction was accounted for as a pooling of interest and had been subject to federal and state banking regulatory approval. Under a lockup agreement, SB was granted the option to acquire up to 19.9% of BMJ.</t>
  </si>
  <si>
    <t>NationsBank (NB), Charlotte, North Carolina, acquired Boatmen's Bancshares (BB), St. Louis, Missouri, in a stock swap merger valued at $9.474 bil. BB common shareholders received .6525 NB common share for each share held. Based on NB's closing price of $92.375 on Aug 29, the last full trading day prior to the announcement, each BB share was valued at $60.27. The consideration consisted of common stock for the initial 60% interest and a choice of cash or common stock for the remaining 40%. The merger had been subject to regulatory approval.</t>
  </si>
  <si>
    <t>Circuit Systems Inc</t>
  </si>
  <si>
    <t>DDL Electronics Inc</t>
  </si>
  <si>
    <t>DDL Electronics terminated negotiations to merge with Circuit Systems in a stock swap transaction.</t>
  </si>
  <si>
    <t>Walden Bancorp Inc,Acton,MA</t>
  </si>
  <si>
    <t>UST, Boston, Massachusetts, acquired all the outstanding shares of Walden Bancorp (WB), Acton, Massachusetts, in a stock swap transaction valued at $162.407 mil. WB common shareholders received 1.9 UST common shares for each WB share held. Based on UST's closing stock price of $16.25 on Aug 29, the last full trading day prior to the announcement, each WB share was valued at $30.875. The transaction had been accounted for as a pooling of interests and subject to federal and state banking regulatory approval.</t>
  </si>
  <si>
    <t>Potash Corp of Saskatchewan</t>
  </si>
  <si>
    <t>Potash mining company</t>
  </si>
  <si>
    <t>US - Canadian state-owned Potash Corp of Saskatchewan (PCS) acquired Arcadian (ARC) in a stock swap valued at $1. 723 bil. The consideration consisted of $12.25 in cash and .17713 PCS common shares for each ARC common and .948 convertible preferred shares held, $22.868 mil for options, and the assumption of $525 mil in liabilities. Based on PCS' closing stock price of $76 on Aug 30, the last day prior to announcement, each ARC share was valued at $25. 71. Upon completion, ARC was merged into PCS Nitrogen. Previously, Freeport-McMoRan terminated its agreement to acquire ARC.</t>
  </si>
  <si>
    <t>Homeland Bankshares Corp,Iowa</t>
  </si>
  <si>
    <t>Magna Group (MG) acquired all the outstanding shares of Homeland Bankshares (HB), Waterloo, Iowa, in a stock swap valued at $217.31 mil. The consideration consisted of $91.97 mil in cash and 5, 038,934 common shares valued at $125.34 mil. The shares were valued based on MG's closing stock price of $24. 875 on Sept 2, the last full trading day prior to the announcement. The transaction had been subject to federal and state banking regulatory approval.</t>
  </si>
  <si>
    <t>Sudbury Inc</t>
  </si>
  <si>
    <t>Mnfr automotive parts</t>
  </si>
  <si>
    <t>Park-Ohio Holdings Corp</t>
  </si>
  <si>
    <t>Mnfr,whl industrial prod,mach</t>
  </si>
  <si>
    <t>Park-Ohio Industries withdrew its hostile offer to acquire Sudbury for $11 in cash per share, or a total value of $127.201 mil.</t>
  </si>
  <si>
    <t>DMX Inc</t>
  </si>
  <si>
    <t>TCI Music Inc</t>
  </si>
  <si>
    <t>TCI Music (TM), a newly- formed unit of Tele- Communications, acquired the remaining 55% interest, or 2. 398 mil common shares, which it did not already own, in DMX in exchange for a 19.25% stake in TM. TM offered .5 Series A common shares and 1 right per DMX share. The right was exercisable into 1 TM Series A common share at a price of $4 per share. The transaction had been subject to regulatory approval.</t>
  </si>
  <si>
    <t>Retail,whl office supplies</t>
  </si>
  <si>
    <t>Staples Inc</t>
  </si>
  <si>
    <t>Staples (ST) terminated its definitive agreement to acquire Office Depot (OD) in a merger-of-equals stock swap tansaction valued at $3.538 bil. ST offered 1.14 common shares per OD share. Based on ST's closing stock price of $19.5 on Sep 3, each OD share was valued at $22.23. Under a lockup agreement, ST and OD granted an option to acquire up to 19.9% of each other. The transaction was to have been accounted for as a pooling of interests. Upon completion, the combined company was to have been called Staples/Office Depot.</t>
  </si>
  <si>
    <t>Simione Central Holdings Inc</t>
  </si>
  <si>
    <t>InfoMed Holdings Inc</t>
  </si>
  <si>
    <t>Pvd info retrieval svcs</t>
  </si>
  <si>
    <t>InfoMed Holdings, a unit of InfoMed, acquired Simione Central in exchange for an undisclosed amount of common shares.</t>
  </si>
  <si>
    <t>Big B Inc</t>
  </si>
  <si>
    <t>Own,op drug stores</t>
  </si>
  <si>
    <t>Revco DS acquired the remaining 94.2%, or 19.512 mil common shares, which it did not already own, in Big B for a sweetened $17.25 in cash per share, or a total value of $335.44 mil, including the assumption of $35 mil in liabilities. Earlier, Revco DS, completed its unsolicited hostile tender offer by accepting 16. 1 mil shares. The transaction was conditioned upon 50% of Big B's common stock being tendered. Originally, Revco had offered $15 per share.</t>
  </si>
  <si>
    <t>Highwoods Properties (HW) acquired the remaining 23% stake, which it did not already own, in Crocker Realty Trust (CRK) for approximately $76.13 mil. Earlier, HW acquired a 77% interest, or 20.79 mil common shares, in CRK, including the 47.6% stake held by Apollo Real Estate Advisors and the 32.6% stake held by AEW Partners, for $11.02 in cash per share, or a total value of $537.54 mil, including $240 mil in the assumption of liabilities.</t>
  </si>
  <si>
    <t>Innovir Laboratories Inc</t>
  </si>
  <si>
    <t>An investor group including Paramount Capital Asset Management acquired a 62.07% interest in Innovir Laboratories for $2 mil in cash. The transaction included 4 mil common shares, 4 mil Class C warrants, an option to acquire 2 mil units, an option to acquire 1 mil common shares and an option to acquire 1 mil Class C warrants.</t>
  </si>
  <si>
    <t>ShopKo Stores Inc</t>
  </si>
  <si>
    <t>Own,op variety stores</t>
  </si>
  <si>
    <t>Phar-Mor Inc</t>
  </si>
  <si>
    <t>Own,op discount drug stores</t>
  </si>
  <si>
    <t>Phar-Mor (PM) terminated its agreement to merge with ShopKo Stores (SK) to form Cabot Noble (CN) in a stock swap transaction valued at $1. 05 bil, including the assumption of $410 mil in liabilities. SK shareholders were to have received 2.4 CN shares for each SK share held and PM shareholders were to have received 1 CN share for each PM share held. Based on PM's closing stock price of $8.125 on Sep 6, each SK share was valued at $19.50.</t>
  </si>
  <si>
    <t>Shuffle Master Inc</t>
  </si>
  <si>
    <t>Mnfr automatic card shufflers</t>
  </si>
  <si>
    <t>Anchor Gaming Inc</t>
  </si>
  <si>
    <t>Own,op casinos</t>
  </si>
  <si>
    <t>Anchor Gaming made an unsolicited offer to merge with Shuffle Master.</t>
  </si>
  <si>
    <t>ValliCorp Holdings, Fresno, California, terminated negotiations to divest itself to an undisclosed acquiror.</t>
  </si>
  <si>
    <t>Aequitron Medical Inc</t>
  </si>
  <si>
    <t>Manufacture apnea monitors</t>
  </si>
  <si>
    <t>Nellcor Puritan-Bennett (NE) acquired Aequitron Medical (AM) in a stock swap transaction valued at $56.633 mil. AM shareholders received an amended .467 NE common shares for each AM share held. Originally, NE offered .432 common shares for each AM share held. Based on NE's closing stock price of $22. 125 on Dec 4, the last full trading day prior to the completion, each AM share was valued at $10.33. The transaction was accounted for as a pooling of interests and had been subject to regulatory approval.</t>
  </si>
  <si>
    <t>GreenStone Industries Inc</t>
  </si>
  <si>
    <t>Manufacture stationery</t>
  </si>
  <si>
    <t>Louisiana-Pacific Corp</t>
  </si>
  <si>
    <t>Mnfr,whl forest prod</t>
  </si>
  <si>
    <t>Louisiana-Pacific (LP) acquired the entire share capital of GreenStone Industries (GI) for $5.25 in cash per share, or a total of $29.247 mil. Additionally, GI management and founding stockholders were to receive LP restricted common stock for shares held.</t>
  </si>
  <si>
    <t>MK Rail Corp(Morrison Knudson)</t>
  </si>
  <si>
    <t>Mnfr railroad cars</t>
  </si>
  <si>
    <t>US - MK Rail Corp (MK), a manufacturer of rail cars, completed its debt restructuring with creditors (CR). CR recieved 11.149 mil new common shares. Upon completion, CR held a 63.48% interest in the restructured MK.</t>
  </si>
  <si>
    <t>Chempower Inc</t>
  </si>
  <si>
    <t>Insulation, asbestos abatement</t>
  </si>
  <si>
    <t>American Eco Corp</t>
  </si>
  <si>
    <t>American Eco acquired Chempower for $6.20 in cash per share, or a total value of $49.996 mil. The transaction had been subject to regulatory approval.</t>
  </si>
  <si>
    <t>HealthSouth (HS) acquired ReadiCare (RC) in a stock swap transaction valued at $73.883 mil. RC common shareholders received .2425 HS common share for each RC share held. Based on HS' closing stock price of $35.25 on Sep 10, the last full trading day prior to the announcement, each RC share was valued at $8.548. The transaction was accounted for as a pooling of interest and had been subject to regulatory approval.</t>
  </si>
  <si>
    <t>United TransNet Inc</t>
  </si>
  <si>
    <t>Corporate Express (CE) acquired the entire share capital of United Transnet (UT) in a stock swap transaction valued at $138.25 mil. Each UT shareholder received .45 CE common shares for each share held. Based on CE's closing stock price of $32.75 on Sep 10, the last full trading day prior to announcement, each UT share was valued at $14.74. The transaction had been subject to regulatory approval and was accounted for as a pooling of interests.</t>
  </si>
  <si>
    <t>Temple-Inland Financial Svcs</t>
  </si>
  <si>
    <t>Pvd financial investment svcs</t>
  </si>
  <si>
    <t>Temple-Inland Financial Services Group, a unit of Temple-Inland (TI), acquired California Financial Holding (CF) for $30 per share, or a total value of $146.478 mil. CF shareholders received a choice of either $30 in cash, .5037 common shares, or $30 in a combination of cash and TI common stock, per CF share held. Under lockup agreement TI was granted the option to acquire up to a 19.9% stake in CF. The transaction had been subject to federal and state banking regulatory approval.</t>
  </si>
  <si>
    <t>Duracell International Inc</t>
  </si>
  <si>
    <t>Manufacture alkaline batteries</t>
  </si>
  <si>
    <t>Gillette (GT) acquired all the outstanding common shares of Duracell International (DC) , including Kohlberg Kravis &amp; Roberts' 34.5% stake, in a stock swap transaction valued at $7.231 bil. DC shareholders received .904 GT common shares for each DC share held. Based on GT's closing stock price of $65. 125 on Sep 11, the last full trading day prior to the announcement, each DC share was valued at $58.873. The value included 6.783 mil DC options valued at $30.05 each, based on the offer price of $58.873 less the average exercise price of $28.82 per option.</t>
  </si>
  <si>
    <t>Jefferson Bancorp,Florida</t>
  </si>
  <si>
    <t>Colonial BancGroup (CB), Montgomery, Alabama, acquired all the outstanding shares of Jefferson Bancorp (JF), Miami Beach, Florida, in a stock swap transaction valued at $77.62 mil. The transaction had been subject to federal and state banking regulatory approval and accounted for as a pooling of interests.</t>
  </si>
  <si>
    <t>Health Risk Management Inc</t>
  </si>
  <si>
    <t>Health care risk mgmt svcs</t>
  </si>
  <si>
    <t>HealthPlan Services Corp</t>
  </si>
  <si>
    <t>Own and operate HMO</t>
  </si>
  <si>
    <t>HealthPlan Services (HS) withdrew its agreement to acquire Health Risk Management (HRM) in a stock swap transaction valued at $80.928 mil. HRM common stockholders were to receive $9.69 in cash and .360208 HS common share for each HRM share held. Based on HS' closing stock price of $22. 375 on Sep 12, the last full trading day prior to the announcement, each HRM share was valued at $17.75. The transaction was subject to regulatory approval.</t>
  </si>
  <si>
    <t>Chairman Jon E Goodrich and Director Robert Gould were in negotiations to divest their combined 56.2% interest, or 3, 829,906 common shares, in Mace Security Internationed (MSI), to an undisclosed acquiror. Mr Goodrich and Mr Gould held 29.2% and 27% in MSI, respectively. The sale of one stake was not dependent on the sale of the other.</t>
  </si>
  <si>
    <t>Centerior Energy Corp</t>
  </si>
  <si>
    <t>Ohio Edison Co</t>
  </si>
  <si>
    <t>Ohio Edison (OH) merged with Centerior Energy (CEN), to form a new company named FirstEnergy (FE), in a stock swap transaction valued at $1. 6126 bil. CEN shareholders received .525 FE common shares for each CEN share held and OH shareholders received 1 FE common share for each OH share held. Based on OH's closing stock price of $20.75 on Sep 13, the last full trading day prior to the announcement, each CEN share was valued at $10.89. The transaction was subject to regulatory approval.</t>
  </si>
  <si>
    <t>Citizens Bancorp,Laurel,MD</t>
  </si>
  <si>
    <t>Crestar Financial (CF), Richmond, Virginia, acquired Citizens Bancorp (CB), Laurel, Maryland in a stock swap transaction valued at $793.77 mil. CB shareholders received .835 CF common share for each CB share held. Based on CF's closing stock price of $61. 375 on Sept 13, the last full trading day prior to the announcement, each CB share was valued at $51.248. The transaction was accounted for as a pooling of interests and had been subject to federal and state banking regulatory approval.</t>
  </si>
  <si>
    <t>First Fed Bancshares of Eau Cl</t>
  </si>
  <si>
    <t>Mutual Savings Bk,Milwaukee,WI</t>
  </si>
  <si>
    <t>Mutual Savings Bank, Milwaukee, Wisconsin, acquired all the outstanding common shares of First Federal Bancshares of Eau Claire, Eau Claire, Wisconsin, for $18.85 in cash per share, or a total value of $132.738 mil. The transaction had been subject to federal and state banking regulatory approval.</t>
  </si>
  <si>
    <t>Superior National Ins Group</t>
  </si>
  <si>
    <t>Superior National Insurance Group acquired all the outstanding common stock of Pac Rim Holding (PRH) for an amended $42.196 mil in cash. Consideration consisted of $20 mil for all PR common stock, $20 mil for convertible subordinate debentures and $1.96 mil for all outstanding options and warrants. Previously, SN offered $3 in cash per PRH common share, or a total of $28.5 mil, plus the assumption of approximately $25.5 mil in liabilities. The transaction had been subject to regulatory approval.</t>
  </si>
  <si>
    <t>Proler International Corp</t>
  </si>
  <si>
    <t>Whl scrap metals &amp; metals</t>
  </si>
  <si>
    <t>Schnitzer Steel Industries Inc</t>
  </si>
  <si>
    <t>Mnfr,whl recycled metals</t>
  </si>
  <si>
    <t>Schnitzer Steel Industries (SS) merged with Proler International (PI) for an amended $9 in cash per share, or a total value of $42.543 mil. Earlier, SS completed its tender offer by acquiring 4.1 mil common shares, or 86% of PI's outstanding common stock. The offer had been conditioned upon a majority of PI's shares being tendered on a fully diluted basis. Earlier, SSI had offered $7.5 in cash per share. Concurrently, Hugo Neu withdrew its hostile offer to acquire PI for an amended $9 in cash per share, or a total $42.456 mil.</t>
  </si>
  <si>
    <t>Troy Hill Bancorp,Pennsylvania</t>
  </si>
  <si>
    <t>Savings and loan,holding co</t>
  </si>
  <si>
    <t>PennFirst Bancorp (PFB), Ellwood, Pennsylvania, acquired Troy Hill Bancorp (TH), Pittsburgh, Pennsylvania for a choice of $21.15 in cash or 1.52 PFB common shares per share held, or a total value of $22.42 mil, with 40% of the consideration being paid for in cash. The transaction had been subject to federal and state banking regulatory approval.</t>
  </si>
  <si>
    <t>Ventura County Natl Bancorp,CA</t>
  </si>
  <si>
    <t>City National Bk,Beverly Hills</t>
  </si>
  <si>
    <t>City National Bank, Beverly Hills, California, a unit of City National (CN) , Beverly Hills, California acquired the all the outstanding stock of Ventura County Bancorp (VCB), Oxford, California, for $46.7 mil. VCB shareholders received a choice of $5.03 in cash or CN common shares for each share held, with a maximum of 55% of the consideration paid in common shares. The transaction had been subject to federal and state banking regulatory approval.</t>
  </si>
  <si>
    <t>Bettis Corp</t>
  </si>
  <si>
    <t>Mnfr fluid power valve cntrls</t>
  </si>
  <si>
    <t>Daniel Industries (DI) acquired Bettis (BE) in a stock swap transaction valued at $106.54 mil, including the assumption of $38 mil in liabilities. BE shareholders received .58 DI common shares for each BE share held. Based on DI's closing stock price of $13 on September 16, the last full trading day prior to the announcement, each BE share was valued at $7.54. The transaction was accounted for as a pooling of interests and had been subject to regulatory approval.</t>
  </si>
  <si>
    <t>Rhodes Inc</t>
  </si>
  <si>
    <t>Home furnishing stores</t>
  </si>
  <si>
    <t>Heilig-Meyers Co</t>
  </si>
  <si>
    <t>Operate furn.,hshld app, floor</t>
  </si>
  <si>
    <t>Hellig-Meyers (HM) acquired Rhodes (RH) in a stock swap transaction valued at approximatley $157.97 mil, including the assumption of approximately $89 mil in liabilities. RH common shareholders were to receive . 5 HM common shares for each RH share held. Based on HM's closing stock price of $14. 875 on Sep 16, the last full trading day prior to the announcement, each RH share was valued at $7.438. The transaction was subject to regulatory approval. In April 1996, RH disclosed that it retained Salomon Brothers to assist in its search for a buyer.</t>
  </si>
  <si>
    <t>Horizon Bancorp Inc,Austin,TX</t>
  </si>
  <si>
    <t>Compass Bancshares (CB), Birmingham, Alabama, merged with Horizon Bancorp (HB), Austin, Texas, in a stock swap transaction valued at $32.808 mil. HB shareholders received .5629 CB common shares for each HB share held. Based on CB closing stock price of $38.3125 on Dec 4, the last full trading day prior to announcement, each HB share was valued at $21.57. The transaction had been subject to state and federal banking regulatory approval.</t>
  </si>
  <si>
    <t>Diamond Shamrock Inc</t>
  </si>
  <si>
    <t>Mnfr,wholesale petroleum</t>
  </si>
  <si>
    <t>Ultramar Diamond Shamrock Corp</t>
  </si>
  <si>
    <t>Ultramar (UL) acquired the entire share capital of Diamond Shamrock (DS) in a stock swap transaction valued at $860.9 mil. DS common stockholders received 1.02 UL common shares for each DS share held. Based on UL's closing stock price of $28.50 on Sep 20, the last full trading day prior to the announcement, each DS share was valued at $29.07. The transaction was accounted for as a pooling of interests. The new company was named Ultramar Diamond Shamrock.</t>
  </si>
  <si>
    <t>Datalogix International</t>
  </si>
  <si>
    <t>Develop business software</t>
  </si>
  <si>
    <t>Oracle Corp</t>
  </si>
  <si>
    <t>Develop enterprise software</t>
  </si>
  <si>
    <t>Oracle, a unit of Oracle Systems, acquired the remaining 86.6% of Datalogix International (DLI), which it did not already own, for $8 in cash per share, or a total of $80.03 mil. The transaction had been subject to regulatory approval.</t>
  </si>
  <si>
    <t>HBO acquired GMIS in a stock swap transaction valued at 242.571 mil. GMIS shareholders received .42 HBO common shares for each GMIS share held. The exchange ratio had been subject to a collar agreement. Based on HBO's closing stock price of $63.75 on Sep 23, the last full trading day prior to the announcement, each GMIS share was valued at $26.775. The transaction was accounted for as a pooling of interests and had been subject to regulatory approval.</t>
  </si>
  <si>
    <t>Providence Journal Co</t>
  </si>
  <si>
    <t>Belo Corp</t>
  </si>
  <si>
    <t>AH Belo (AH) merged with Providence Journal (PV) for an amended $1.4296 bil. PV shareholders were granted a choice to receive either $32. 14 in cash, or $9.75 in cash and .6024 Class A common shares, or $12.33 in cash and .5333 Class A common shares for each PV share held. Based AH's closing stock price of $37.375 on February 25, the last full trading day prior to the amendment of the terms, each PV share was valued at $32.27. The value was based on the $9.75 cash and .6024 shares consideration, the highest of all choices offered to PV shareholders.</t>
  </si>
  <si>
    <t>Transport Holdings</t>
  </si>
  <si>
    <t>Conseco (CS) acquired all the outstanding common stock of Transport Holdings (TH) in a stock swap transaction valued at $216.92 mil. Each TH shareholder received 1.4 CN common shares for each share held. Based on CN's closing stock price of $46.5 on Sep 25, the last full trading day prior to the announcement, each TH share was valued at $65.1. The transaction had been subject to a collar agreement and regulatory approval.</t>
  </si>
  <si>
    <t>Chicago Dock and Canal Trust</t>
  </si>
  <si>
    <t>Newsweb Corp</t>
  </si>
  <si>
    <t>Newsweb (NW) terminated its definitive agreement to acquire all the outstanding common shares of Chicago Dock and Canal Trust (CDCT) for an amended $23 in cash per share, or a total of $165.211 mil, including the assumption of $28.2 mil in liabilities. Originally, NW had offered $21 in cash per share. The transaction had been subject to regulatory approval. Later, CityFront Center (CC) was successful in its unsolicited challenging offer to acquire CDCT for amended $25 in cash per share. Previously, CC had offered $22 in cash per share.</t>
  </si>
  <si>
    <t>An investor group including Michael A Roth and Brian J Stark acquired a 76.918% interest in Proler International by acquiring 453,300 common shares in the open market for an indicated value of $3.345 mil. The shares were acquired from Sep 18 to Sep 27 at prices ranging from $7.13 to $7.38 per share with the value based on the high price in the range.</t>
  </si>
  <si>
    <t>Belden &amp; Blake Corp</t>
  </si>
  <si>
    <t>Texas Pacific Group Inc</t>
  </si>
  <si>
    <t>Texas Pacific Group acquired all the outstanding common stock and options of Belden &amp; Blake (BB) for $27 in cash per share, or a total of value of $315.73 mil. The transaction had been subject to regulatory approval.</t>
  </si>
  <si>
    <t>Corpus Christi Bancshares,TX</t>
  </si>
  <si>
    <t>Cullen/Frost Bankers Inc</t>
  </si>
  <si>
    <t>Cullen/Frost Bankers, San Antonio, Texas, acquired all the outstanding common stock of Corpus Christi Bankshares, Corpus Christi, Texas, for $18.84 per share, or a total value of $32.354 mil. The transaction had been subject to federal and state banking regulatory approval.</t>
  </si>
  <si>
    <t>Sigma Circuits Inc</t>
  </si>
  <si>
    <t>Continental Circuits Corp</t>
  </si>
  <si>
    <t>Continental Circuits (CC) terminated its signed letter of intent to acquire Sigma Circuits (SG) in a stock swap transaction valued at $37.34 mil. SG common shareholders were to receive .7 CC common share for each SG share held. Based on CC's closing stock price of $12 on Sep 27, the last full trading day prior to the announcement, each SG share was valued at $8.40. The transaction had been subject to regulatory approval.</t>
  </si>
  <si>
    <t>Prestige Fragrance &amp; Cosmetics</t>
  </si>
  <si>
    <t>Own and op retail stores</t>
  </si>
  <si>
    <t>Prestige Fragrance &amp; Cosmetics, a unit of the Revlon subsidiary of McAndrews &amp; Forbes Holdings' Revlon Group unit, merged with Cosmetic Center (CC) for $32.808 mil. CC Class A and Class B common shareholders were granted a choice to receive either $7.63 in cash per share or 1 Class C common share of the merged company for each CC share held. The value was based on CC's cash consideration. Upon completion, the newly merged company retained the Cosmetic Center name.</t>
  </si>
  <si>
    <t>Foundation Health (FD) merged with Health Systems International (HS) to form Foundation Health Systems (FHS) in a merger-of-equals stock swap transaction valued at $1.278 bil. HS common shareholders received 1 FHS Class A common share per share held, and FD common shareholders received 1.3 Class A FHS common share per share held. Based on FD's closing stock price of $33. 875 on Sep 30, the last full trading day prior to the announcement, each HS share was valued at $26.05. Upon completion, FD shareholders held a 61% and HS shareholders the remaining 39% in FHS.</t>
  </si>
  <si>
    <t>South West Property Trust Inc</t>
  </si>
  <si>
    <t>United Dominion Realty Trust</t>
  </si>
  <si>
    <t>United Dominion Realty Trust (UD) acquired South West Property Trust (SW) in a stock swap transaction valued at approximately $547.818 mil. including the assumption of about $235 mil in liabilities. SW common shareholders received 1.0833 UD common shares for each SW share held. Based on UD's closing stock price of $14 on Sep 30, the last full trading day prior to the announcement, each SW share was valued at $15.166.</t>
  </si>
  <si>
    <t>Baby Superstore Inc</t>
  </si>
  <si>
    <t>Own,op children's wear stores</t>
  </si>
  <si>
    <t>Toys R Us Inc</t>
  </si>
  <si>
    <t>Own,op retail toy stores</t>
  </si>
  <si>
    <t>Toys 'R' Us (TRU) acquired Baby Superstore (BB) in a stock swap transaction valued at $382.185 mil. BB shareholders received .8121 TRU common shares valued at $23.45 per BB share held, and BB's CEO and Chairman, Jack Tate who held a 46.8% stake or 9,000,966 shares, received .515 TRU common shares valued at $14.87 per BB share held. The shares were valued based on TRU's closing stock price of $28.875 on Oct 1, the last full trading day prior to the announcement.</t>
  </si>
  <si>
    <t>Software Publishing Corp</t>
  </si>
  <si>
    <t>Allegro New Media</t>
  </si>
  <si>
    <t>Pvd software services</t>
  </si>
  <si>
    <t>Allegro New Media (ANM), acquired Software Publishing (SPG) in a stock swap transaction valued at $25.24 mil. SPG common stockholders received .26805 ANM common shares for each SPG share held. Based on ANM's closing stock price of $7.5 on Oct 1, the last full trading day prior to the announcement, each ANM share was valued at $2.01. The transaction had been subject to regulatory approval.</t>
  </si>
  <si>
    <t>TSX Corporation</t>
  </si>
  <si>
    <t>ANTEC (ATC) merged with TSX in a stock swap transaction valued at $254.316 mil. TSX shareholders received 1 ATC common share for each TSX share held. The shares were valued based on on ATC's closing stock price of $15. 125 on Oct 1, the last full trading day prior to the announcementh. The transaction was accounted for as a pooling of interests and had been subject to regulatory approval.</t>
  </si>
  <si>
    <t>Kinder-Care Learning Centers</t>
  </si>
  <si>
    <t>Kohlberg Kravis Roberts (KKR) acquired a 93% interest in Kinder-Care Learning Centers (KLC), a unit of Lodestar Group, for $19 per share, or a total of $571 mil. Consideration consisted of approximately $321.94 mil in cash, $119.06 mil in common stock and the assumption of approximately $130 mil in liabilities. The transaction had been subject to regulatory approval. Earlier, KKR offered to acquire KLC for a choice of $20.25 in cash or common shares.</t>
  </si>
  <si>
    <t>LXE Inc</t>
  </si>
  <si>
    <t>Mnfr electn,handheld computers</t>
  </si>
  <si>
    <t>Electromagnetic Sciences Inc</t>
  </si>
  <si>
    <t>Electromagnetic Sciences (ES) completed its tender offer for the remaining 22.2% stake, or 1.29 mil common shares, which it already did not already own, in LXE in a stock swap transaction valued at $14.752 mil. LXE shareholders received .75 ES common shares for each share held. Based on ES's closing stock price of $17.50 per share on Oct 2, the last full trading day prior to the announcement, each LXE share had been valued at $13.125. The offer had been was subject to at least 8.5% of LXE's shares being tendered.</t>
  </si>
  <si>
    <t>US - Nextel Communications Inc, a unit of Sprint Nextel Corp, acquired the entire share capital of Pittencrieff CommunicationsInc(Nextel Communications), an Abilene- based wireless telecommunications carrier, in exchange for 8.782 mil common shares valued at USD 159.181 mil, in a stock swap transaction. The shares were valued based on Nextel's closing stock price of USD 18. 125 on 02 October 1996, the last full trading day prior to the announcement.</t>
  </si>
  <si>
    <t>Pet Food Warehouse Inc</t>
  </si>
  <si>
    <t>Own,op pet food stores</t>
  </si>
  <si>
    <t>Petco Animal Supplies Inc</t>
  </si>
  <si>
    <t>Own,operate pet stores</t>
  </si>
  <si>
    <t>Petco Animal Supplies (PAS) acquired the entire outstanding share capital of Pet Food Warehouse (PFW) in a stock swap transaction valued at $60.652 mil. PFW common shareholders received . 2173913 PAS common shares for each PFW share held. Based on PAS' closing stock price of $29 per share on Oct 3, the last full trading day prior to the announcement, each PFW share was valued at $6.30. The transaction had been subject to regulatory approval and was accounted for as a pooling of interests.</t>
  </si>
  <si>
    <t>Augat Inc</t>
  </si>
  <si>
    <t>Mnfr electn,hardware prods</t>
  </si>
  <si>
    <t>Thomas &amp; Betts Corp</t>
  </si>
  <si>
    <t>Mnfr,whl electrical components</t>
  </si>
  <si>
    <t>Thomas &amp; Betts (TB) acquired Augat (AG) in a stock swap transaction valued at $570.10 mil. AG common shareholders received .6356 TB common shares for each AG share held. The exchange ratio had been subject to a collar agreement. Based on TB's closing stock price of $43.625 on Dec 5, the last full trading day prior to the announcement of the exact terms, each AG share was valued at $27.728. The transaction was accounted for as a pooling of interests.</t>
  </si>
  <si>
    <t>Computer Associates International (CAI) merged with Cheyenne Software (CS) for $30.5 in cash per share, or a total value of $1.247 bil. Earlier, CAI completed its tender offer to acquire all the outstanding common stock of CS by accepting 37. 75 mil common shares.</t>
  </si>
  <si>
    <t>Starwood Capital Group Global</t>
  </si>
  <si>
    <t>Starwood Capital Group withdrew its offer to acquire an undisclosed majority interest in Bay Meadows Operating/California Jockey Club (BC) for approximately $300 mil, in a leveraged buyout transaction. Later, Hudson Bay Partners terminated its agreement agreed to acquire a 72% interest in BC for $300 mil cash and Patriot American Hospitality merged with BC.</t>
  </si>
  <si>
    <t>Webster Financial (WF), Waterbury, Connecticut, acquired all the outstanding common shares of DS Bancor (DS), Derby, Connecticut, in a stock swap transaction valued at $136.127 mil. Each DS shareholder received 1. 14158 WF common shares per each DS share held. Based on WF's closing stock price of $35.25 on October 7, the last full trading day prior to the announcement, each DS share was valued at $40.24. The transaction had been  subject to federal and state banking regulatory approval.</t>
  </si>
  <si>
    <t>OroAmerica</t>
  </si>
  <si>
    <t>Mnfr,whl jewelry</t>
  </si>
  <si>
    <t>Michael Anthony Jewelers (MAJ) terminated plans to acquire all the outstanding common shares of OroAmerica (ORA) for $7.5 in a combination of cash and MAJ common shares per share, or a total value of $47.037 mil.</t>
  </si>
  <si>
    <t>Super Food Services Inc</t>
  </si>
  <si>
    <t>Wholesale food products</t>
  </si>
  <si>
    <t>Nash Finch Co</t>
  </si>
  <si>
    <t>Whl,ret supermarket food prod</t>
  </si>
  <si>
    <t>Nash Finch acquired all the outstanding common stock of Super Food Services (SFS) for $15.50 in cash per share, or a total value of $164.154 mil. Earlier, Nash Finch completed its tender offer by accepting 10.57 mil common shares, or 95% of SFS' shares. The offer had been conditioned upon a majority of SFS' shares being tendered and had been subject to regulatory approval under the Hart-Scott-Rodino Antitrust Act.</t>
  </si>
  <si>
    <t>Robertson-Ceco Corp</t>
  </si>
  <si>
    <t>Mnfr metal building products</t>
  </si>
  <si>
    <t>US - An investor group including Pettibone raised its stake in Robertson-Ceco, to 55.6% from 35% by acquiring 3.49 mil common shares.</t>
  </si>
  <si>
    <t>An investor group, comprised of Koll Arcadia Investors and Colony Capital (CC), terminated its plans to its raise its stake to 60.88% from 16.17% in Santa Anita Realty Enterprises (SA) by acquiring 5.6 mil paired units for about $170.8 mil. The group offered a choice of $30.5 in cash or $24 in cash and a warrant per SA paired unit. Previously, the group offered a choice of $27 in cash or $22 in cash and a warrant per SA paired unit. Also, CC withdrew its offer to acquire 45% in SA for $138 mil. Later, Meditrust acquired all the outstanding paired units of SA in an amended reverse stock swap valued at $389.545 mil, including a 10% stake, or 1, 255 mil paired units acquired in open market or privately negotiated transactions, for $31 per share, or a total value of $38.907 mil.</t>
  </si>
  <si>
    <t>Cochrane Furniture Co Inc</t>
  </si>
  <si>
    <t>Mnfr dining,bed room furniture</t>
  </si>
  <si>
    <t>Chromcraft Revington Inc</t>
  </si>
  <si>
    <t>Manufacture,whl furniture</t>
  </si>
  <si>
    <t>Chromcraft Revington acquired the entire share capital of Cochrane Furniture (CF) for approximately $27 mil. Consideration was to consist of $4.75 cash for each CF common share plus the assumption of liabilities. The transaction was subject to regulatory approval.</t>
  </si>
  <si>
    <t>Pall Corp</t>
  </si>
  <si>
    <t>Mnfr filters,separations equip</t>
  </si>
  <si>
    <t>Pall (PL) acquired all the outstanding common shares of Gelman Sciences (GS) in a stock swap valued at $297.67 mil. GS shareholders received 1.3047 PL shares per share held. Based on PL's closing stock price of $26.625 per share on October 9, the last trading day prior to the announcement, each GS share was valued at $34.74. The transaction had been subject to a collar agreement and was accounted for as a pooling of interests. Previously, Memtec terminated its agreeement to acquire GS. In July 1996, GS announced it was seeking a buyer for the company.</t>
  </si>
  <si>
    <t>Group Technologies Corp</t>
  </si>
  <si>
    <t>Group Financial Partners Inc</t>
  </si>
  <si>
    <t>Group Financial Partners (GF) acquire the remaining 20% stake, or 3,244,126 common shares, which it did not already own, in its Group Technologies subsidiary. The transaction was subject to regulatory approvals. The proposed merger was part of a plan under which GF combined several companies in which it owns the controlling interest into a new publicly held firm called Sypris Solutions Inc. The other companies to be merged into the new entity were Bell Technologies Inc and Tube Turns Technologies Inc.</t>
  </si>
  <si>
    <t>Knogo North America Inc</t>
  </si>
  <si>
    <t>Mnfr search,navigation equip</t>
  </si>
  <si>
    <t>Video Sentry Corp</t>
  </si>
  <si>
    <t>Provide electrical services</t>
  </si>
  <si>
    <t>Video Sentry (VS) merged with Knogo North America (KNA) to form a new company named Sentry Technology (ST) in a stock swap transaction valued at $48.75 mil. VS common shareholders received 1 ST common share for each VS share held and KNA shareholders received 1 ST common share and 1 ST Class A preferred share for each 1. 2022 KNA shares held. The shares were valued based on VS' closing stock price of $4. 375 on Oct 9, the last full trading day prior to the announcement.</t>
  </si>
  <si>
    <t>Noland Co</t>
  </si>
  <si>
    <t>Whl plumbing,heating supplies</t>
  </si>
  <si>
    <t>Marvin Schwartz</t>
  </si>
  <si>
    <t>Investor Marvin Schwartz acquired a 52.6% stake in Noland by acquiring 194,899 common shares, in the open market, for an indicated value of $4.093 mil in cash. The shares were acquired from Oct 10 to Oct 16 at $21 per share.</t>
  </si>
  <si>
    <t>WCI Steel Inc(Renco Group Inc)</t>
  </si>
  <si>
    <t>Manufacture steel</t>
  </si>
  <si>
    <t>The Renco Group Inc</t>
  </si>
  <si>
    <t>Renco Group (RG) acquired the remaining 15.53% stake in WCI Steel (WCI) that it did not already own in a transaction valued at $56.54 mil. Earlier, RG completed its tender offer to acquire the remaining 15.53% stake, or 5,654,500 common shares, of WCI for $10 in cash per share by accepting 5,397,623 shares, or 14.8% of WCI, raising its stake in WCI to 99.27%.</t>
  </si>
  <si>
    <t>Ride Inc</t>
  </si>
  <si>
    <t>Mnfr snowboards,related equip</t>
  </si>
  <si>
    <t>US - A management-led investor group acquired Ride Inc, a manufacturer of snowboards and related equipment, for $3 mil, in a leveraged buyout transaction.</t>
  </si>
  <si>
    <t>Independence Bancorp Inc,NJ</t>
  </si>
  <si>
    <t>Commerce Bancorp,New Jersey</t>
  </si>
  <si>
    <t>Coml bank</t>
  </si>
  <si>
    <t>Commerce Bancorp (CB), Cherry Hill, New Jersey, acquired Independence Bancorp (IB), Ramsey, New Jersey, in a stock swap transaction valued at $91.623 mil. IB shareholders received .98175 CB common share for each IB share held. Based on CB's closing stock price of $32 on January 10, the last full trading day prior to the announcement of the exact terms, each IB share was valued at $31.416. The transaction had been subject to federal and state banking regulatory approval.</t>
  </si>
  <si>
    <t>Pacific Enterprises Inc</t>
  </si>
  <si>
    <t>Natural gas utility</t>
  </si>
  <si>
    <t>Enova Corp</t>
  </si>
  <si>
    <t>Enova merged with Pacific Enterprises (PE) to form a new company named Sempra Energy (SE) in a stock swap transaction valued at $2.87 bil. Enova common shareholders received 1 SE common share and PE common shareholders received 1.5038 SE common shares for each share held. Based on Enova's closing stock price of $22.5 on Oct 11, the last full trading day prior to the announcement, each PE share was valued at $33.84. The transaction was to be accounted for as a pooling of interests and had been subject to regulatory approval.</t>
  </si>
  <si>
    <t>Thrifty Payless Holdings Inc</t>
  </si>
  <si>
    <t>Own,op drug store chain</t>
  </si>
  <si>
    <t>Rite Aid (RA) acquired all the outstanding common stock of Thrifty Payless Holdings (TPH), including K Mart and Green Equity Investor's combined 43% stake, in a stock swap valued at $2.394 bil, including the assumption of $890 mil in liabilities. TPH shareholders received .65 RA shares for each share held. Based on RA's closing stock price of $35.875 on Oct 11, 1996, the last full trading day prior to announcement, each TPH share was valued at $23.32. The transaction had been subject to Federal Trade Commission regulatory approval.</t>
  </si>
  <si>
    <t>CSX Corp</t>
  </si>
  <si>
    <t>Pvd rail transportation svcs</t>
  </si>
  <si>
    <t>CSX withdrew its efforts to solely acquire all the outstanding common stock and Series A convertible junior preferred shares of Conrail (CR) for a thrice-amended $115 in cash per share, or a total value of $10.436 bil, via a two-tier merger transaction. Concurrently, Norfolk Southern (NF) terminated its challenging offer to acquire the remaining 91% in CR. Instead, CSX formed a new jointly owned entity with NF to acquire CR via a tender offer. Later, CR and NF acquired and subsequently divided CR. NF acquired 58% and CSX 42% of CR's assets.</t>
  </si>
  <si>
    <t>Norfolk Southern (NF) and CSX jointly acquired all the outstanding common stock and Series A ESOP convertible junior preferred shares of Conrail (CR) for $115 in cash per share, or a total value of $10.436 bil. Earlier, NF and CSX completed their joint tender offer for CR by accepting 75.665 mil shares, or 92% of CR's fully-diluted shares. Originally, CSX was to solely acquire CR via a tender offer, but it subsequently amended its offer to include NF as a joint bidder. Upon completion, CR was divided between NR and CSX. NF acquired 58% and CSX the remaining 42% of CR's assets.</t>
  </si>
  <si>
    <t>FlightSafety International</t>
  </si>
  <si>
    <t>Mnfr flight simulators</t>
  </si>
  <si>
    <t>Berkshire Hathaway (BH) acquired all the outstanding common shares of FlightSafety International (FI) for $1.518 bil. FI shareholders were granted the choice to receive either $50 in cash per share held for up to 58% of the consideration, or about $48 in BH Class A or Class B common shares per share. The transaction was valued based on FI's cash consideration.</t>
  </si>
  <si>
    <t>BHC Financial Inc</t>
  </si>
  <si>
    <t>An investor group led by Private Capital Management offered to acquire the remaining 82.93% interest, or 5,355,470 common shares that it did not already own in BHC Financial for cash.</t>
  </si>
  <si>
    <t>Big B terminated its search for a white knight for the company in order to thwart Revco DS hostile offer. Later, Revco DS completed its unsolicited hostile tender offer to acquire the remaining 94.2%, or 19.39 mil common shares, which it did not already own, in Big B by accepting 16.1 mil shares for an amended $17.25 in cash per share, or a total value of $334.5 mil.</t>
  </si>
  <si>
    <t>Riverside Natl Bk,Riverside,CA</t>
  </si>
  <si>
    <t>City National Bank, Beverly Hills, California, a unit of City National, Beverly Hills, California acquired the entire outstanding shares capital of Riverside National Bank California (NB), Riverside, California, for $18 per share, or a total value of $42.773 mil. NB shareholders were given the choice to receive cash or common stock or a combination of cash and common shares. The transaction had been subject to federal and state banking regulatory approval.</t>
  </si>
  <si>
    <t>Zebra Technologies Corp</t>
  </si>
  <si>
    <t>Mnfr,whl bar code printing sys</t>
  </si>
  <si>
    <t>Eltron International Inc</t>
  </si>
  <si>
    <t>Mnfr computer printers</t>
  </si>
  <si>
    <t>Eltron International (EI) terminated its letter of intent to merge with Zebra Technologies (ZT) in a stock swap transaction valued at $677.53 mil. ZT shareholders were to receive .84 EI common shares for each ZT share held. Based on EI's closing stock price of $33.25 on Oct 15, the last full trading day prior to announcement, each ZT share was valued at $27.93. The transaction was to be accounted for as a pooling of interests. Subsequently, ZT definitively agreed to acquire EI.</t>
  </si>
  <si>
    <t>Tenet Healthcare Corp</t>
  </si>
  <si>
    <t>Own,operate hospital</t>
  </si>
  <si>
    <t>Tenet Healthcare (TH) merged with OrNda HealthCorp (OR) in a stock swap valued at approximately $3.163 bil, including the assumption of $1.3 bil in liabilities. TH offered 1.35 common shares per OR share held. Based on TH's closing stock price of $22.125 on Oct 16, each OR share was valued at $29.869. Earlier in January 1997, OR disclosed it was seeking a buyer for its 33% stake in Monarch Health System and its Fench Hospital Medical Center (FHM) unit, in order to gain FTC approval for the merger. Subsequently, Vista Hospital Systems acquired FHM.</t>
  </si>
  <si>
    <t>PepsiCo Inc</t>
  </si>
  <si>
    <t>Produce,wholesale soft drinks</t>
  </si>
  <si>
    <t>Philip Morris Cos Inc</t>
  </si>
  <si>
    <t>Mnfr cigarettes</t>
  </si>
  <si>
    <t>Philip Morris was rumored to be in negotiations to acquire PepsiCo. The Current status of this deal is unknown.</t>
  </si>
  <si>
    <t>Toy Biz Inc</t>
  </si>
  <si>
    <t>Marvel Entertainment, a unit of the Andrews Group (AD) subsidiary of Mafco Holdings' Mafco Consolidated unit, withdrew its agreement to acquire a 67% interest, or 18. 59 mil Class A and Class B common shares, in Toy Biz (TB) from TB founders Isaac Perlmutter and Avi Arad for an undisclosed amount of cash and debt. Concurrently, AD made an offer to acquire the remaining 33% stake in TB held by public stockholders for an amended $22.5 in cash per share, or a total value of $206 mil.</t>
  </si>
  <si>
    <t>Triad Systems Corp</t>
  </si>
  <si>
    <t>An investor group, comprised of Hicks Muse Tate &amp; Furst and Cooperative Computing, acquired all the outstanding common stock of Triad Systems (TSM) for $9.25 in cash per share, or a total of $193.051 mil. Earlier, the group completed its tender offer by accepting 19.46 mil common shares, or 98.7% of TSM's shares outstanding. The transaction did not include certain TSM real estate assets which were contributed to Triad Park LLC and was spunoff to shareholders. The offer was conditioned upon 51% of TSM's shares being tendered and had been subject to Federal Trade Commission regulatory approval.</t>
  </si>
  <si>
    <t>Integrated Health Services (IHS) terminated its agreement to acquire all the outstanding common shares of Coram Healthcare (CH) in a stock swap transaction valued at $558.791 mil, including the assumption of $375 mil in liabilities. CH shareholders were to have received an amended .15 IHS common shares per each CH share held. Originally, IHS offered .2111 common shares per each CH share held. Based on IHS' closing stock price of $29 on Oct 18, the last full trading day prior to the announcement of the amended terms, each CH share was valued at $4.35.</t>
  </si>
  <si>
    <t>Detroit &amp; Canada Tunnel Corp</t>
  </si>
  <si>
    <t>Pvd tunnel operation services</t>
  </si>
  <si>
    <t>An investor group, comprised of Hyde Park Holdings and John Hancock Mutual Life Insurance, acquired all the outstanding shares of Detroit &amp; Canada Tunnel for $54 in cash per share, or a total value of $36.5 mil. Previously in July 1996, Detroit &amp; Canada Tunnel announced that it was seeking a buyer for the company.</t>
  </si>
  <si>
    <t>Ocean Reef Management Inc</t>
  </si>
  <si>
    <t>Ocean Reef Management (ORM) withdrew its offer to acquire the all the outstanding common shares of Jan Bell Marketing for $4 in cash per share, or a total value of $103.503 mil. The transaction had been subject to regulatory approvals. Previously, ORM was granted an option to acquire a 6.2% stake, or 1.6 mil common shares, in JBM for $4.5 per share.</t>
  </si>
  <si>
    <t>Norfolk Southern (NF) terminated its second tender offer to acquire the remaining 91% interest, or 81. 55 mil common shares and Series A ESOP convertible junior preferred shares, that it did not already own, in Conrail (CR), for $115 in cash per share, or a total value of $9.493 bil. Instead, NF formed a new jointly owned entity with CSX to acquire CR. Later, NF and CSX acquired CR via their joint tender offer. Upon completion, CR was divided between NF and CSX. Earlier, NF and CSX were engaged in a bidding war in their efforts to acquire CR.</t>
  </si>
  <si>
    <t>Thomas H Lee Equity Fund III</t>
  </si>
  <si>
    <t>Leveraged buyout fund</t>
  </si>
  <si>
    <t>Thomas H Lee Equity Fund III merged with Syratech (SRT) for $32 per share, or a total of $304.358 mil. SRI shareholders were granted a choice to receive either $32 in cash or $32 in a combination of cash and options for each SRI share held, whereby SRI shareholders may select to receive up to 34.75% of the consideration in the form of options. The transaction had been subject to regulatory approval.</t>
  </si>
  <si>
    <t>Ventritex</t>
  </si>
  <si>
    <t>Mnfr,whl defibrillators</t>
  </si>
  <si>
    <t>St Jude Medical (SJM) acquired all the outstanding common stock of Ventritex (VT) in a stock swap valued at $361.75 mil. SJM offered an amended .5 common shares per VT share. Based on SJM's closing stock price of $34. 625 on March 28, the last full trading day prior to the announcement of amended terms, each VT share was valued at $17.3125. Originally, SJM offered .6 common shares per VT share. The transaction was accounted for as a pooling of interests and had been subject to regulatory approval. Concurrently, VT's authorized the repurchase of up to .2 mil common shares.</t>
  </si>
  <si>
    <t>Amedisys Inc</t>
  </si>
  <si>
    <t>Pvd home health care svcs</t>
  </si>
  <si>
    <t>Complete Management Inc</t>
  </si>
  <si>
    <t>Pvd management consulting svcs</t>
  </si>
  <si>
    <t>Complete Management (CMI) withdrew its signed letter of intent to acquire the outstanding share capital of Amedisys (AMD) in exchange for $9 in CMI common shares for each AMD share held, or a total of $23.255 mil. The transaction was to have been accounted for as a pooling of interests and had been subject to regulatory approval.</t>
  </si>
  <si>
    <t>Cooper &amp; Chyan Technology Inc</t>
  </si>
  <si>
    <t>Cadence Design Systems (CDS) acquired Cooper &amp; Chyan Technology (CCT) in a stock swap transaction valued at $474.8 mil. CDS offered .85 common shares per CCT share. Based on CDS' closing stock price of $38 per share on Oct 25, the last full trading day prior to the announcement, each CCT share was valued at $32.30. The transaction had been subject to Federal Trade Commission regulatory approval and was accounted for as a pooling of interests.</t>
  </si>
  <si>
    <t>Loctite Corp</t>
  </si>
  <si>
    <t>Mnfr adhesives &amp; sealants</t>
  </si>
  <si>
    <t>Henkel AG &amp; Co KGaA</t>
  </si>
  <si>
    <t>Manufacture,wholesale consumer chemicals</t>
  </si>
  <si>
    <t>US - Henkel (HE) acquired the remaining 65.648% interest, or 21.419 mil common shares, that it did not already own, on a fully- diluted basis, in Loctite (LT) for a twice sweetened $61 in cash per share, or a total value of $1.289 bil. Prior to this, HE completed its tender offer by accepting 19.88 mil shares, or about 60.93% of LT's shares outstanding, on a fully-diluted basis. Earlier , HE had offered a sweetened $57.75 in cash per share. Originally, HE offered $56 in cash per share. Earlier, LT withdrew its search for a white knight to thwart HE's offer. The transaction had been subject to regulatory approval.</t>
  </si>
  <si>
    <t>Mercantile Bancorp (MB), St Louis, Missouri, acquired Mark Twain Bancshares (MT), St Louis, Missouri, in a stock swap transaction valued at $817.351 mil. MB offered . 952 common shares per MT share. Based on MB's closing stock price of $52 on Oct 25, the last full trading day prior to the announcement, each MT share was valued at $49.5. The transaction had been subject to federal and state banking regulatory approval.</t>
  </si>
  <si>
    <t>Premier Bankshs,Bluefield,VA</t>
  </si>
  <si>
    <t>First Virginia Banks Inc,VA</t>
  </si>
  <si>
    <t>First Virginia Banks (FV), Falls Church, Virginia, merged with Premier Bankshares (PM), Bluefield, Virginia, in a stock swap transaction valued at $160. 857 mil. PM shareholders received .545 FV common shares for each PM share held. Based on FV's closing stock price of $44.25 on Oct 25, the last full trading day prior to the announcement, each PM share was valued at $24.116. Concurrently, FV's board authorized the repurchase of up to 1.9 mil common shares, or about 5.81% of the company's common stock outstanding.</t>
  </si>
  <si>
    <t>Wireless Cable of Atlanta</t>
  </si>
  <si>
    <t>Pvd wireless cable communs svc</t>
  </si>
  <si>
    <t>BellSouth(BS) acquired all the outstanding shares of Wireless Cable of Atlanta(WC) in a stock swap transaction valued at $44.703 mil. Each WC shareholder received .49 BS common share for each share held. Based on BS' closing stock price of $38.75 per share on Oct 25, the last full trading day prior to the announcement, each WC share was valued at $18.9875. In April 1996, WC announced that it had retained Alex Brown &amp; Sons to assist in its search for a buyer for the company.</t>
  </si>
  <si>
    <t>AM International Inc</t>
  </si>
  <si>
    <t>Mnfr printing,graphics equip</t>
  </si>
  <si>
    <t>Pacholder Associates Inc</t>
  </si>
  <si>
    <t>Pvd invest,finl advisory svcs</t>
  </si>
  <si>
    <t>Pacholder Associates (PA) terminated its agreement to acquire all the outstanding common stock of AM International (AMI) for an amended $4.5 per share, or a total value of $31.545 mil. Earlier, PA offered $5 per share. Originally, in April 1996, AMI announced that it was seeking a buyer for the company.</t>
  </si>
  <si>
    <t>Carter-Wallace Inc</t>
  </si>
  <si>
    <t>Investor Marvin Davis withdrew his hostile offer to acquire all the outstanding Class A and Class B common stock of Carter-Wallace, a 51%-owned unit of CPI Development, for an amended $20 in cash per share, or a total value of $927.8 mil. Originally, Davis offered $18 in cash per share, or a total value of $835 mil.</t>
  </si>
  <si>
    <t>First-Knox Banc Corp</t>
  </si>
  <si>
    <t>Park National Corp,OH</t>
  </si>
  <si>
    <t>Park National (PN), Newark, Ohio acquired First-Knox Banc (FB), Mount Vernon, Ohio, in a stock swap transaction valued at $105.9 mil, including all outstanding options. PN offered .5914 common shares per FB share. Based on PN's closing stock price of $48.875 on Oct 28, the last full trading day prior to the announcement, each FB share was valued at $28.9. The transaction was accounted for as a pooling of interests and had been subject to federal and state banking regulatory approval.</t>
  </si>
  <si>
    <t>Proxim Inc</t>
  </si>
  <si>
    <t>Mnfr,whl wireless commun equip</t>
  </si>
  <si>
    <t>DSP Communications Inc</t>
  </si>
  <si>
    <t>Design and develop chip sets</t>
  </si>
  <si>
    <t>DSP Communications (DSPC) withdrew its offer to acquire the entire share capital of Proxim in a stock swap transaction valued at $314. 272 mil. Proxim shareholders were to receive .7 DSPC common shares for each share held. Based on DSPC's closing stock price of $52.375 per share on Oct 28, the last full trading day prior to the announcement, each Proxim share was valued at $36.66. The transaction was subject to regulatory approval and was to be accounted for as a pooling of interests.</t>
  </si>
  <si>
    <t>Consumers Financial Corp</t>
  </si>
  <si>
    <t>Pvd merchant banking svcs</t>
  </si>
  <si>
    <t>LaSalle Group Inc</t>
  </si>
  <si>
    <t>LaSalle Group (LG) terminated its agreement to merge with Consumers Financial (CF) for $3.78 in cash per share, or a total value of $10.174 mil. The transaction was to have been subject to regulatory approval. Earlier in March 1996, CF announced it was seeking a buyer for the company. In May 1997, CF announced it was again seeking a buyer for the company. The second search for a buyer was a result of LG's inability to obtain sufficient funding to finance the merger.</t>
  </si>
  <si>
    <t>Monaco Finance Inc</t>
  </si>
  <si>
    <t>Pacific USA Holding Corp</t>
  </si>
  <si>
    <t>US - Pacific USA Holdings (PCH), a unit of Pacific Electric Electric Wire &amp; Cable withdrew its agreement to acquire a 54.7% interest, in Monaco Finance (MNF) by acquiring 3.8 mil common shares in privately negotiated transaction for $3. 25 in cash per share, or a total of $12.35 mil. Concurrently, PCH was granted a warrant to acquire up to an additional 6 mil MNF common shares between $4.50 and $7 per share and an option to acquire up to .83 mil Class B common shares at $4 per share.</t>
  </si>
  <si>
    <t>US - Pacific USA Holdings (PCH), a unit of Pacific Electric Wire &amp; Cable, withdrew its warrant to raise its stake further to 82% from 35.7%, of the fully diluted share capital, in Monaco Finance (MNF) by acquiring 6 mil Class A common shares between $4.5 and $7 per share, or a total of approximately $42 mil. The shares were valued based on the high price in the range. Previously, PCH agreed to acquire a 54.7% interest, on an original basis, in MNF and was granted an option to acquire up to .83 mil Class B common shares.</t>
  </si>
  <si>
    <t>Horizon/CMS Healthcare (HCMS) completed its tender offer for 93.9% of the outstanding share capital of Pacific Rehabilitation &amp; Sports (PRSM) Medicine for $6.50 in cash per share, or a total of $72. 7 mil, including the assumption of $22 mil in liabilities. The transaction had been subject to regulatory approval. In October, 1996 HCMS launched its tender offer for the entire share capital of PRSM.</t>
  </si>
  <si>
    <t>Vons Cos Inc</t>
  </si>
  <si>
    <t>Safeway Inc</t>
  </si>
  <si>
    <t>Safeway (SW) acquired the remaining 65.5% interest, or 28.7 mil common shares, which it did not already own, in Vons, in a stock swap transaction valued at $2.25 bil, including the assumption of $565 mil in liabilities. SW offered an amended 1.425 common shares per Vons share. Originally, SW offered 1.34 SW shares per Vons share. Based on SW's closing stock price of $38.375 on Dec 13, the last full trading day prior to the announcement of the amended terms, each Vons share was valued at $54.684.</t>
  </si>
  <si>
    <t>Patriot American Hospitality</t>
  </si>
  <si>
    <t>Patriot American Hospitality (PA) merged with Bay Meadows Operating/California Jockey Club (BC) for $199.735 mil, including a $2.9 mil termination fee for Hudson Bay Partners (HB). PA offered a choice of $33 in cash or . 9635 PA shares per BC paired share. Based on PA's closing stock price of $34.25 on Oct 30, each BC paired share was valued at $33. Earlier, HB withdrew its offer to acquire 72% in BC. Earlier, PA planned to merge with Wyndham Hotels.</t>
  </si>
  <si>
    <t>Food Lion (FL) merged with Kash N' Karry Food Stores (KASH) for $26 in cash per share, or a total of $347.132 mil, including the assumption of $221 mil in liabilities. Earlier, FL completed its tender offer for KASH by accepting 4.626 mil shares, or 99% or KASH's outstanding shares. The offer had been conditioned upon a majority of KASH's common stock being tendered and had been subject to regulatory approval under the Hart-Scott-Rodino Antitrust Act.</t>
  </si>
  <si>
    <t>British Telecommunications PLC</t>
  </si>
  <si>
    <t>British Telecommunications (BT) terminated its agreement to acquire the remaining 82. 27% interest, or 630.1 mil common shares, which it did not already own, in MCI Communications (MCI) in a stock swap transaction valued at an amended $18.889 bil. BT had offered $7.75 in cash and .375 American Depositary Receipts (ADR) per MCI common and Class A share. Based on BT's closing stock price of $66.375 on Aug 21, the last full trading day prior to the announcement of amended terms, each MCI share was valued at $32.64. Upon completion, the merged company was to be named Concert. Concurrently, WorldCom merged with MCI for an amended $51 per share, or a total value of $41.907 bil. Subsequently, GTE withdrew its unsolicited challenging offer to acquire MCI for $40 in cash per share, or a total of $28.97 bil.</t>
  </si>
  <si>
    <t>Eckerd Corp</t>
  </si>
  <si>
    <t>Own,op retail drug stores</t>
  </si>
  <si>
    <t>JC Penney (JCP) merged with Eckerd (EK) for $3.299 bil, including the assumption of $760 mil in liabilities, in a two-tier merger. First, JCP completed its tender offer for 50.1% of EK's outstanding shares, or 35.28 mil common shares, for $35 in cash per share. In the second step, remaining EK shareholder received .6604 JCP common share per EK share held. Based on JCP's closing price of $53 on Nov 1, the last full trading day prior to the announcement. each EK share was valued at $35. Also, JCP was to repurchase up to 15 mil shares prior to the merger.</t>
  </si>
  <si>
    <t>Citizens Bank of Massachusetts</t>
  </si>
  <si>
    <t>Commercial savings and loan</t>
  </si>
  <si>
    <t>Citizens Bank of Massachusetts, a unit of Royal Bank of Scotland's Citizen Financial subsidiary acquired the entire share capital of Grove Bank for $51 in cash per share, or a total value of $78.654 mil. The transaction had been subject to federal and state banking regulatory approval.</t>
  </si>
  <si>
    <t>TransWorld Bancorp,California</t>
  </si>
  <si>
    <t>Glendale Fed Bk,Glendale,CA</t>
  </si>
  <si>
    <t>Glendale Federal Bank FSB, Glendale, California, acquired all the outstanding common stock of TransWorld Bancorp (TWB), Sherman Oaks, California, for $18.25 in cash per share, or a total of $63.181 mil. Upon completion, TWB merged into Glendale Federal. The transaction had been subject to federal and state banking regulatory approval.</t>
  </si>
  <si>
    <t>Panatech Research&amp;Development</t>
  </si>
  <si>
    <t>Mnfr,whl painting supplies</t>
  </si>
  <si>
    <t>Harbour Group acquired all the oustanding common stock of Panatech Research &amp; Development (PRD) for $7 per share, or a total value of $29.232 mil.</t>
  </si>
  <si>
    <t>American Express was rumored to be in negotiations to acquire Intuit. Possible potential buyers were to include Fidelity Investments, First Data and Charles Schwab. The Current status of this deal is unknown.</t>
  </si>
  <si>
    <t>Charter One Financial (COF) withdrew its challenging offer to acquire the entire share capital of Standard Federal Bancorp (SFB) in a stock swap transaction valued at $2.014 bil. Each SFB shareholder was to receive an amended 1.39 COF common shares per share held. The shares were valued based on COF's closing stock price of $43.375 per share on Nov 21. Previously, COF offered 1.33 of its common shares for each SFB share. Later, ABN-AMRO Holding acquired SFB, for $59 in cash per share, or a total value of $1.9 bil.</t>
  </si>
  <si>
    <t>Union Switch &amp; Signal Inc</t>
  </si>
  <si>
    <t>Mnfr automation,control equip</t>
  </si>
  <si>
    <t>Ansaldo Trasporti SpA</t>
  </si>
  <si>
    <t>Mnfr train and transp equip</t>
  </si>
  <si>
    <t>Ansaldo Transporti, a unit of FINMECCANICA's Ansaldo subsidiary, acquired the remaining 38.4% stake in Union Switch &amp; Signal (UN) in exchange for $21.9 mil in a new company's common stock. Upon completion, UN merged with Ansaldo Segnalamento Ferroviario, CSEE Transport, Ansaldo Transporti Signaling and 75% of AT Signal Systems to form the new company named Ansaldo Signal NV (AS). UN shareholders received 1 AS share for each UN share held. The value was based on AN's closing stock price of $7.25 on Dec 13, its first full trading day after completion.</t>
  </si>
  <si>
    <t>American Filtrona Corp</t>
  </si>
  <si>
    <t>Mnfr bonded fiber</t>
  </si>
  <si>
    <t>WBT Holdings LLC</t>
  </si>
  <si>
    <t>WBT Holdings (WBT) terminated its signed letter of intent to acquire all the outstanding common stock of American Filtrona (AF) for an amended $46.52 in cash per share, or a total of $180.341 mil. Originally, WBT offered $43 per share. Concurrently, Bunzl terminated intentions to acquire the bonded fibers business of AF from WBT. Both transactions had been subject to regulatory approval.</t>
  </si>
  <si>
    <t>SJS Bancorp Inc,St Joseph,MI</t>
  </si>
  <si>
    <t>Shoreline Financial Corp,MI</t>
  </si>
  <si>
    <t>Shoreline Financial, Benton Harbor, Michigan, acquired all the outstanding common shares of SJS Bancorp, Saint Joseph, Michigan, for $27 in cash per share, or a total value of $26.53 mil. The transaction had been subject to federal and state banking regulatory approval.</t>
  </si>
  <si>
    <t>Mako Marine International Inc</t>
  </si>
  <si>
    <t>Pvd boat building services</t>
  </si>
  <si>
    <t>Tracker Marine Group</t>
  </si>
  <si>
    <t>Mnfr,whl boats,trailers,motors</t>
  </si>
  <si>
    <t>Tracker Marine (TM) acquired an 81% interest in Mako Marine International (MMI) by acquiring .93 mil common shares from CreditAmerica Venture Capital at $1.4 per share and 6.4 mil newly issued common shares, for a total of $10.7 mil. The consideration consisted of $1. 3 mil, $4.14 mil in cash and approximately $5.26 mil in assets. The assets included TM's SeaCraft and Silver King boat brands. TM was also granted a right to earn up to an additional 7.2 mil shares if MMI's stock price fell between $5 and $7 per share over the next 4 years.</t>
  </si>
  <si>
    <t>In November 1996, Hoechst Celanese announced that it was seeking a buyer for its 51% interest in Copley Pharmaceutical.</t>
  </si>
  <si>
    <t>Bergen Brunswig (BB) withdrew its agreement to merge with IVAX to form BBI Healthcare (BBI) in a stock swap transaction valued at $1. 697 bil. IVAX shareholders were to have received .42 BBI common shares for each IVAX share held and BB shareholders were to receive 1 BBI common share for each BB share held. Based on BB's closing stock price of $32.75 on Nov 8, last full trading day prior to the announcement, each IVAX share was valued at $13.755. The transaction had been subject to regulatory approval.</t>
  </si>
  <si>
    <t>PHH Corp</t>
  </si>
  <si>
    <t>Pvd auto,truck leasing svcs</t>
  </si>
  <si>
    <t>HFS acquired PHH in a stock swap transaction valued at $1. 81 bil. HFS offered $49.50 in common stock per PHH share, subject to a collar agreement. The transaction was accounted for as a pooling of interests and had been subject to regulatory approval.</t>
  </si>
  <si>
    <t>Strober Organization Inc</t>
  </si>
  <si>
    <t>Wholesale building materials</t>
  </si>
  <si>
    <t>Fidelity Ventures Inc</t>
  </si>
  <si>
    <t>Fidelity Ventures terminated its agreement to acquire all the outstanding shares of Strober Organization (SO) for $6 in cash per share, or a total value of $30.4 mil. In March 1996, SO announced that it was seeking a buyer.</t>
  </si>
  <si>
    <t>Crown Casino Corp</t>
  </si>
  <si>
    <t>Manufacture cable TV equipment</t>
  </si>
  <si>
    <t>In November 1996, Crown Casino announced that it had retained Jefferies to assist in its search for a buyer for the company.</t>
  </si>
  <si>
    <t>Leslie's Poolmart Inc</t>
  </si>
  <si>
    <t>Own,op swimming pool stores</t>
  </si>
  <si>
    <t>A management-led investor group, comprised of Hancock Park Associates, Leonard Green &amp; Partners, Chairman Michael Fourticq, and Chief Executive Officer Brian McDermott, acquired all the outstanding common stock of Leslie's Poolmart for $14.5 in cash per share, or a total value of $112.792 mil, in a leveraged buyout transaction. The transaction had been subject to regulatory approval.</t>
  </si>
  <si>
    <t>Hugo Neu Corp</t>
  </si>
  <si>
    <t>Pvd metals recycling svcs</t>
  </si>
  <si>
    <t>Hugo Neu withdrew its hostile offer to acquire all the outstanding common stock of Proler International (PI) for an amended $9 in cash per share, or a total of $42.543 mil. The transaction was subject to regulatory approval. Originally, Hugo Neu offered $8.25 in cash per share. Concurrently, Schnitzer Steel Industries merged with PI for $9 in cash per share, or a total of $42. 456.</t>
  </si>
  <si>
    <t>Continental Materials Corp</t>
  </si>
  <si>
    <t>Mnfr air coolers,furnaces</t>
  </si>
  <si>
    <t>A management-led investor group, headed by James Gidwitz, withdrew their plans to acquire all the outstanding common shares of Continental Materials for $21 per share, or a total of $23. 167 mil.</t>
  </si>
  <si>
    <t>Farrington Bk,N Brunswick,NJ</t>
  </si>
  <si>
    <t>United National Bancorp,NJ</t>
  </si>
  <si>
    <t>United National Bancorp(UNB), Bridgewater, NJ acquired the entire share capital of Farrington Bank (FB), North Brunswick, NJ in a stock swap transaction valued at $18.19 mil. Each FB shareholder received .7647 UNB common shares per share held; subject to a lockup agreement. Also, UNB was to exchange 60, 051 FB options exercisable at a price of $8.33, for UNB options exercisable into . 7647 UNB common shares. The transaction had been subject to federal and state banking regulatory approval and was to be accounted for as a pooling of interests.</t>
  </si>
  <si>
    <t>Medex Inc</t>
  </si>
  <si>
    <t>Mnfr drug infusion prod</t>
  </si>
  <si>
    <t>FCY Inc</t>
  </si>
  <si>
    <t>Mnfr engineered polymer prods</t>
  </si>
  <si>
    <t>FCY, a unit of Furon, acquired all the outstanding common shares of Medex for $150.622 mil. Earlier, FCY completed its tender offer for all the outstanding common shares of Medex for $23.5 per share, by accepting 5,380,092 shares. The transaction had been subject to regulatory approval. The offer had been extended until Jan 2, 1997. Should MED have terminated the agreement, FCY would have been granted an option to acquire 10% of MED's shares, as well as shares held by managers and directors, at the tender offer price of $23.50 per share.</t>
  </si>
  <si>
    <t>Vermont Financial Services (VFS), Brattleboro, Vermont, merged with Eastern Bancorp (EB), Williston, Vermont in a stock swap transaction valued at $91.931 mil, including $27 mil in cash. VFS offered $24. 23 in cash or common stock per EB share. The transaction had been subject to federal and state banking regulatory approval.</t>
  </si>
  <si>
    <t>Health Management Inc</t>
  </si>
  <si>
    <t>Pvd prescription distn svcs</t>
  </si>
  <si>
    <t>Transworld Home HealthCare Inc</t>
  </si>
  <si>
    <t>Transworld Home HealthCare (THH) was granted an option to acquire up to .366 mil, or 2% of the remaining shares, which it did not already own, in Health Management (HM). Concurrently, THH acquired a 49% stake in HM, by acquiring 8.964 mil common shares, for $1 per share, or a total of $8.964 mil. Later, THH terminated its agreement to raise its stake to 98% from 49% in HM, by acquiring 8.964 mil newly issued shares, for a twice amended $.3 per share.</t>
  </si>
  <si>
    <t>Transworld Healthcare Inc</t>
  </si>
  <si>
    <t>Transworld Home HealthCare (THH) acquired the remaning 51% that it did not already- owned in Health Management (HM), by acquiring 9.33 mil newly issued common shares, for a twice amended $.3 in cash per share, or a total of $30.799 mil, including the option to acquire .366 mil shares and the assumption of $28 mil in liabilities. Earlier, THH offered $1.5 per share. Subsequently, THH acquired a 49% stake in HM, by acquiring 8.964 mil shares, for $1 per share, or a total of $8.964 mil. Additionally, THH was granted an option to acquire up to .366 mil shares, or 2% of the remaining HM common stock outstanding. Concurrently, Counsel acquired HM from THH.</t>
  </si>
  <si>
    <t>Indiana Federal,Valparaiso,IN</t>
  </si>
  <si>
    <t>Pinnacle Financial Svcs Inc,MI</t>
  </si>
  <si>
    <t>Pinnacle Financial Services (PF), St Joseph, Michigan, merged with Indiana Federal (IN), Valparaiso, Indiana, in a merger-of-equals stock swap transaction valued at $120.45 mil. PF offered 1 common share per IN share. Based on PF's closing stock price of $24.75 on Nov 13, the last full trading day prior to the announcement, each IN share was valued at $24.75. The transaction had been subject to federal and state banking regulatory approval.</t>
  </si>
  <si>
    <t>OSB Financial Corp,Oshkosh,WI</t>
  </si>
  <si>
    <t>FCB Financial Corp,Neenah,WI</t>
  </si>
  <si>
    <t>FCB Financial (FCB), Neenah, Wisconsin, acquired OSB Financial (OSB), Oshkosh, Wisconsin, in a merger-of- equals stock swap transaction valued at $31.1979 mil. FCB offered 1.46 common shares per OSB share. Based on FCB's closing stock price of $19.25 on Nov 13, the last full trading day prior to the announcement, each OSB share was valued at $28.105. The transaction had been subject to federal and state banking regulatory approval.</t>
  </si>
  <si>
    <t>Washington National Corp</t>
  </si>
  <si>
    <t>PennCorp Financial Group Inc</t>
  </si>
  <si>
    <t>PennCorp Financial Group (PFG) terminated its definitive agreement to acquire all the outstanding common stock of Washington National (WN) for $29.5 in a combination of cash and common stock per share, or a total value of $379.15 mil. The transaction was to have been subject to regulatory approval. Earlier in September 1996, WN announced it was seeking a buyer for the company.</t>
  </si>
  <si>
    <t>Video Lottery Technologies Inc</t>
  </si>
  <si>
    <t>Mnfr video lottery systems</t>
  </si>
  <si>
    <t>An investor group, including William Spier, withdrew its offer to acquire the remaining 85.6%, or 10,785, 600 common shares, which it did not already own, in Video Lottery Technologies, for $6 in cash per share, or a total value of $64.714 mil. The transaction was subject to regulatory approval.</t>
  </si>
  <si>
    <t>West Coast Bancorp Inc,Florida</t>
  </si>
  <si>
    <t>FNB Corp,Hermitage,PA</t>
  </si>
  <si>
    <t>Commercial bank hldg co</t>
  </si>
  <si>
    <t>FNB, Hermitage, Pennsylvania, acquired West Coast Bancorp (WCB), Cape Coral, Florida, in a stock swap transaction valued at $30.575 mil. WCB shareholders received .794 common shares per share held. Based on FNB closing stock price of $24 on Nov 14, the last full trading day prior to the announcement, each WCB share was valued at $19.06. The transaction was accounted for as a pooling of interests and had been subject to federal and state banking regulatory approval.</t>
  </si>
  <si>
    <t>Loctite (LT) terminated its search for a white knight to thwart Henkel's (HE) twice- sweetened hostile tender offer for the company. Minnesota Mining &amp; Manufacturing, Morton International, and Unilever were among the potential suitors. Later, HE acquired the remaining 65% interest, which it did not already own, in LT for an amended $61 in cash per share. Previously, LT had rejected HE's amended offer of $57.75 in cash per share.</t>
  </si>
  <si>
    <t>PVC Container Corp</t>
  </si>
  <si>
    <t>M\fr containers</t>
  </si>
  <si>
    <t>Kirkland Capital</t>
  </si>
  <si>
    <t>Kirkland Capital Partners acquired a 63% interest, or 4. 367 mil common shares, in PVC Container from Mr Rimer Anstalt. Terms were not disclosed. The transaction had been subject to regulatory approval.</t>
  </si>
  <si>
    <t>Intermet merged with Sudbury for $12.50 in cash per share, or a total value of $155.43 mil. Earlier, Intermet completed its tender offer for Sudbury by accepting 11. 86 mil shares, or 95.4% of Sudbury's shares outstanding. The transaction had been subject to regulatory approval under the Hart-Scott- Rodino Antitrust Act.</t>
  </si>
  <si>
    <t>Mattel (MT) merged with Tyco Toys (TT) in a stock swap transaction valued at $737. 448 mil. TT common shareholders received .48876 MT common shares for each TT share held, whereby the exchange ratio had been subject to a collar agreement. Based on MT's closing stock price of $24.875 on March 26, the last full trading day prior to the announcement of the exact terms, each MT share was valued at $12.158. The transaction had been subject to regulatory approval.</t>
  </si>
  <si>
    <t>Phoenix Canada Oil (PCO) disclosed intentions to launch a tender offer to acquire the entire share capital of Box Energy (BE), a 56.6%-owned unit of Box Brothers Holding, for $239. 789 mil. Each BE shareholder was to receive $12 per Class A share held and $11.40 per Class B share held. BE shareholders were given the choice to receive payment in the form of either cash or a combination of cash and securities. The transaction was subject to regulatory approval.</t>
  </si>
  <si>
    <t>KMart Corp</t>
  </si>
  <si>
    <t>Kohlberg Kravis Roberts was rumored to be in negotiations to acquire K Mart. The Current status of this deal is unknown.</t>
  </si>
  <si>
    <t>Aspen Bancshares Inc,Aspen,CO</t>
  </si>
  <si>
    <t>Zions Bancorp</t>
  </si>
  <si>
    <t>Zions Bancorp (ZB), Salt Lake City, UT, acquired Aspen Bancshares (AB), Aspen, CO, in a stock swap valued at $89. 94 mil. ZB offered .7387 common shares per AB share. Based on ZB's closing stock price of $32.75 per share on May 15, the last full trading day prior to the announcement of exact terms, each AB share was valued at $24.19. The transaction had been subject to federal and state banking regulatory approval and was accounted for as a pooling of interest. Previously, ZB completed the repurchase of $25 mil of its stock as part of its merger with AB.</t>
  </si>
  <si>
    <t>An undisclosed acquiror withdrew its unsolicited challenging offer for all the outstanding shares of Strober Organization (SO) at $6.5 in cash per share, or a total of $32.93 mil. The transaction was subject to regulatory approval. Previously, Fidelity Ventures agreed to acquire all the outstanding shares of SO for $6 in cash per share, or a total of $30. 4 mil.</t>
  </si>
  <si>
    <t>Andrews Group Inc</t>
  </si>
  <si>
    <t>Pvd motion picture distn svcs</t>
  </si>
  <si>
    <t>Andrews Group (AG), a unit of Mafco Holdings' Mafco Consolidated subsidiary, withdrew its offer to acquire the remaining 33% stake, which it did not already own, in Toy Biz (TB), for an amended $22.5 in cash per share, or a total value of $208.18 mil. Earlier, AG agreed to acquire the 33% stake in TB for $19 per share. Previously, Marvel Entertainment, a unit of AG, agreed to acquire a 67% interest in TB for an undisclosed amount of cash and debt.</t>
  </si>
  <si>
    <t>Johnson &amp; Johnson was rumored to be in negotiations to acquire Bausch &amp; Lomb. The Current status of this deal is unknown.</t>
  </si>
  <si>
    <t>ABN-AMRO Holding acquired Standard Federal Bancorp (SFB) , Troy, Michigan, for $59 in cash per share, or a total value of $1.971 bil. Under a lockup agreement, ABN-AMRO had been granted options to acquire up to a 19.9% stake, or 6.2 mil common shares, in SFB. The transaction had been subject to federal and state banking regulatory approval.</t>
  </si>
  <si>
    <t>American Studios Inc</t>
  </si>
  <si>
    <t>Pvd photography services</t>
  </si>
  <si>
    <t>PCA International Inc</t>
  </si>
  <si>
    <t>Pvd photo processing services</t>
  </si>
  <si>
    <t>PCA International (PCA) merged with American Studios (AS) for $2.50 in cash per share, or a total of $66.3 mil, including the assumption of approximately $12.42 mil in liabilities. Earlier, PCA completed its tender offer for AS by accepting 20.3 mil shares, or 94.9% of AS' shares outstanding. The offer was conditioned upon a majority of AS' shares being tendered and had been subject to regulatory approval under the Hart-Scott-Rodino Antitrust Act.</t>
  </si>
  <si>
    <t>Opal Inc</t>
  </si>
  <si>
    <t>Mnfr special industry equip</t>
  </si>
  <si>
    <t>Applied Materials Inc</t>
  </si>
  <si>
    <t>Applied Materials completed its tender offer for all the outstanding common stock of Opal, including Cial Electornics' 29% stake, for $18.50 in cash per share, or a total value of $189.55 mil, by accepting 8,270,036 Opal common shares, or 83.08% of the Opal's outstanding common stock. The transaction was subject to regulatory approval. Included in the value was also $5.4 mil for Opal's outstanding options.</t>
  </si>
  <si>
    <t>Duke Power Co</t>
  </si>
  <si>
    <t>Duke Power (DP) acquired PanEnergy (PE) to form Duke Energy in a stock swap merger valued at $7.667 bil, including all outstanding options. DP offered 1.0444 common shares per PE share. Based on DP's closing stock price of $47.875 on Nov 22, the last full trading day prior to the announcement, each PE share was valued at $50. The transaction was accounted for as a pooling of interests and had been subject to regulatory approval.</t>
  </si>
  <si>
    <t>Armor All Products(McKesson)</t>
  </si>
  <si>
    <t>Mnfr cleaners and waxes</t>
  </si>
  <si>
    <t>The Clorox Co</t>
  </si>
  <si>
    <t>Mnfr,whl consumer products</t>
  </si>
  <si>
    <t>Clorox merged with Armor All Products (AAP), a 54.9%-owned unit of Eli Lilly's McKesson subsidiary, for a total of $410.1 mil. Earlier, Clorox completed its tender offer for all the outstanding common shares of AAP for $19. 09 in cash per share, by accepting 21.1 mil shares. Included in the value was 806, 354 AAP in the money options valued at $2.68 each, based on the offer price of $19.09 less the average exercise price of $16.41 per option. The transaction had been subject to regulatory approval.</t>
  </si>
  <si>
    <t>First Finl Corp of Wstn MD</t>
  </si>
  <si>
    <t>Keystone Financial (KF), Harrisburg, Pennsylvania, acquired First Financial Corp of Western Maryland (FF), Cumberland, Maryland, in a stock swap transaction valued at $76.979 mil. KF offered a choice of either 1.29 common shares or an equivalent amount of cash per FF share. Based on KF's closing stock price of $26.625 on Nov 25, the last trading day prior to the announcement, each FF share was valued at $34.346. The transaction had been subject to federal and state banking regulatory approval. Earlier, FF announced that it was seeking a buyer.</t>
  </si>
  <si>
    <t>Central Tractor Farm &amp; Country</t>
  </si>
  <si>
    <t>Own,op tractor,hardware stores</t>
  </si>
  <si>
    <t>JW Childs Equity Partners LP</t>
  </si>
  <si>
    <t>JW Childs Equity Partners (JWC) acquired the remaining 34.6% stake, which it did not already own, in Central Tractor Farm &amp; Country (CTF) for $14.25 in cash per share, or a total of $56.702 mil. The transaction had been subject to regulatory approval. Earlier, JWC raised its stake to 65.4% from 9.9% in CTF by acquiring 5,783,515 common shares from Butler Capital (BC) and its affiliates. Previously, JWC acquired a 9.9% stake in CTF by acquiring 1,048,214 common shares from BC and its affiliates.</t>
  </si>
  <si>
    <t>JW Childs Equity Partners (JWC) raised its stake to 65. 4% from 9.9% in Central Tractor Farm &amp; Country (CTF) by acquiring 5,783,515 common shares, from Butler Capital (BC) and its affiliates, for $14 per share, or a total of $80.969 mil. Subsequently, JWC acquired the remaining 34. 6% stake, which it did not already own, in CTF and JWC acquired a 9.9% stake in CTF by acquiring 1,048,214 common shares from BC and its affiliates.</t>
  </si>
  <si>
    <t>Milgray Electronics Inc</t>
  </si>
  <si>
    <t>Whl electronic equip</t>
  </si>
  <si>
    <t>Bell Industries (BI) merged with Milgray Electronics (ME) for $14.77 in cash per share, or a total of $100.04 mil. Earlier, BI completed its tender offer for ME by accepting 6.57 mil common shares, or 97% of ME's common stock outstanding. As part of the transaction, ME chairman, Herbert S Davidson, tendered his 55% interest in ME. The transaction had been contingent upon two-third of the shares being tendered and was subject to regulatory approval.</t>
  </si>
  <si>
    <t>Owen Healthcare Inc</t>
  </si>
  <si>
    <t>Cardinal Health (CH) merged with Owen Healthcare (OH) in a stock swap transaction valued at $544.098 mil. OH common shareholders received . 45 CH common shares for each OH share held, whereby the exact exchange ratio had been subject to a collar agreement. The shares were valued based on CH's closing stock price on March 18, the last full trading day prior to the announcement of the exact terms. The transaction was accounted for as a pooling of interests and had been subject to regulatory approval under the Hart-Scott- Rodino Act.</t>
  </si>
  <si>
    <t>CityFront Center LLC</t>
  </si>
  <si>
    <t>CityFront Center acquired all the oustanding common shares of Chicago Dock and Canal Trust (CDCT) for an amended $25 in cash per share, or a total value of $177.916 mil, including the assumption of $28.2 mil in liabilities. Originally, CityFront Center offered $22 in cash per share. Later, Newsweb terminated its definitive agreement to acquire the outstanding common shares of CDCT for an amended $23 in cash per share. Originally, Newsweb had offered $21 in cash per share.</t>
  </si>
  <si>
    <t>ElectroStar Inc</t>
  </si>
  <si>
    <t>Tyco International acquired all the outstanding common shares of ElectroStar by completing its tender offer for $14 in cash per share, or a total of $110.014 mil. The transaction had been conditioned upon a majority of the shares being tendered and had been subject to regulatory approval.</t>
  </si>
  <si>
    <t>Eastbay Inc</t>
  </si>
  <si>
    <t>Own,operate mail order bus</t>
  </si>
  <si>
    <t>Woolworth Corp</t>
  </si>
  <si>
    <t>Woolworth acquired all the outstanding common stock of Eastbay (EB) for up to $146. 018 mil. EB common shareholders received $24 in cash for each EB share held. EB's 3 senior executives: Richard Gering, Arthur Juedes, and Harry Colcord, who together owned a 58% interest in EB, received $22 in cash and up to $1.75 in profit- related payments for each EB share held. The transaction had been subject to regulatory approval.</t>
  </si>
  <si>
    <t>HealthSouth (HS) acquired Health Images (HI) in a stock swap transaction valued at $263.72 mil, including the assumption of $62 mil in liabilities. HI shareholders received .446 HS common shares for each HI share held. Based on HS' closing stock price of $37.625 on Nov 29, the last full trading day prior to the announcement, each HI share was valued at $16.78. The transaction was accounted for as a pooling of interests and had been subject to regulatory approval under the Hart-Scott- Rodino Antitrust Act.</t>
  </si>
  <si>
    <t>Zycon Corp</t>
  </si>
  <si>
    <t>Hicks Muse Tate &amp; Furst Inc</t>
  </si>
  <si>
    <t>Hicks Muse Tate &amp; Furst terminated its agreement to launch a tender offer to acquire the entire share capital of Zycon for $16.25 in cash per share, or a total value of $189.523 mil.</t>
  </si>
  <si>
    <t>Dime Bancorp Inc,New York,NY</t>
  </si>
  <si>
    <t>Dime Bancorp, New York, New York, acquired BFS Bankorp (BFS), New York, New York, for $52 in cash per share, or a total value of $91.463 mil. The transaction had been subject to federal and state banking regulatory approval. Previously in September 1996, BFS disclosed that it was seeking a buyer for the company.</t>
  </si>
  <si>
    <t>Tele-Communications Intl</t>
  </si>
  <si>
    <t>Tele-Communications withdrew its plan to spinoff its majority interest in Tele- Communications International to shareholders. The spinoff was withdrawn due to IRS' refusal to grant tax-free status to shareholders.</t>
  </si>
  <si>
    <t>In December 1996, Anchor Gaming announced that it had retained Morgan Stanley to assist in its search for a buyer for the company.</t>
  </si>
  <si>
    <t>Cincinnati Microwave Inc</t>
  </si>
  <si>
    <t>Mnfr microwave commun products</t>
  </si>
  <si>
    <t>Bel-Tronics Limited USA</t>
  </si>
  <si>
    <t>Mnfr consumer electronic prod</t>
  </si>
  <si>
    <t>Bel-Tronics terminated its agreement to acquire all the outstanding common stock of Cincinnati Microwave in exchange for an undisclosed amount of capital stock and the assumption of liabilities.</t>
  </si>
  <si>
    <t>Continental Airlines Inc</t>
  </si>
  <si>
    <t>Pvd airline transp svcs</t>
  </si>
  <si>
    <t>Delta Air Lines Inc</t>
  </si>
  <si>
    <t>Delta Airlines had been rumored to be in negotiations to merge with Continental Airlines.</t>
  </si>
  <si>
    <t>Mycogen Corp(DowElanco/Dow)</t>
  </si>
  <si>
    <t>Provide crop services</t>
  </si>
  <si>
    <t>0721</t>
  </si>
  <si>
    <t>Monsanto had been rumored to have made an unsolicited offer to acquire all the outstanding shares of Mycogen. Later, DowElanco, a joint venture between Dow Chemical and Eli Lilly raised its stake to 50.7% from 47.4% in Mycogen to thwart a third party from acquiring Mycogen. The Current status of this deal is unknown.</t>
  </si>
  <si>
    <t>DowElanco</t>
  </si>
  <si>
    <t>Mnfr pest mgmt,biotech prod</t>
  </si>
  <si>
    <t>DowElanco, a joint venture between Dow Chemical and Eli Lilly, raised its stake to 50. 7% from 47.4% in Mycogen by acquiring 1 mil common shares from Pioneer Overseas, a unit of Pioneer Hi-Bred International, for $16.75 per share, or a total of $16.75 mil. The transaction was to thwart a third party from acquiring Mycogen. Previously, Monsanto had been rumored to have made a bid for Mycogen.</t>
  </si>
  <si>
    <t>Research Medical Inc</t>
  </si>
  <si>
    <t>Baxter International (BI) merged with Research Medical Inc (RM) in a stock swap transaction for $236 mil in BI common stock. RM shareholders received $23.50 in BI common stock for each RM share held. The transaction had been subject to regulatory approval under the Hart-Scott-Rodino Antitrust Act.</t>
  </si>
  <si>
    <t>American BioMed Inc</t>
  </si>
  <si>
    <t>In December 1996, American BioMed announced that it was seeking a buyer for its company. There were five potential suiters, four domestic and one international.</t>
  </si>
  <si>
    <t>Barefoot Inc</t>
  </si>
  <si>
    <t>Provide lawn care services</t>
  </si>
  <si>
    <t>0782</t>
  </si>
  <si>
    <t>ServiceMaster LP</t>
  </si>
  <si>
    <t>Pvd mgmt svcs</t>
  </si>
  <si>
    <t>ServiceMaster (SM) merged with Barefoot (BF) for $230. 92 mil, Earlier, SM completed its tender offer by accepting 14.15 mil common shares, or 99% of BF's common stock outstanding. BF shareholders had been granted a choice to receive either $16 in cash or .62971 SM common shares per share held. Based on SM's closing stock price of $25.25 on Feb 13, the last full trading day prior to the announcement of the exchange ratio, each BF share was valued at $15.9. The transaction value was based on the cash consideration, the higher of the 2 choices.</t>
  </si>
  <si>
    <t>Cavco Industries Inc</t>
  </si>
  <si>
    <t>Mnfr mobile homes</t>
  </si>
  <si>
    <t>Centex Corp</t>
  </si>
  <si>
    <t>US - Centex acquired an 80% interest, or 2.848 mil common shares, in Cavco Industries for $26.75 per share, or a total value of $76.184 mil.</t>
  </si>
  <si>
    <t>Public Storage Properties XIV</t>
  </si>
  <si>
    <t>Public Storage (PSA) agreed to acquire Public Storage Properties XIV (PSP) in a stock swap transaction valued at $82.4 mil. PSP Class A, B and C shareholders were granted a choice to receive either 1 PSA common share per share held, or $21.73 in cash per share held. The shares were valued based on PSA's closing stock price of $26 on Dec 4, the last full trading day prior to the announcement.</t>
  </si>
  <si>
    <t>Public Storage Prop XV Inc</t>
  </si>
  <si>
    <t>Public Storage (PSA) acquired Public Storage Properties XV (PSQ) in a stock swap transaction valued at $79.1 mil. PSQ Class A, B and C shareholders were granted a choice to receive either 1 PSA common share per share held,or $21.99 in cash per share held. The shares were valued based on PSA's closing stock price of $26 on Dec 4, the last full trading day prior to the announcement.</t>
  </si>
  <si>
    <t>Santa Fe Pacific Gold Corp</t>
  </si>
  <si>
    <t>Gold mining co</t>
  </si>
  <si>
    <t>Newmont Mining (NM) acquired Santa Fe Pacific Gold (SF) in an unsolicited hostile stock swap merger valued at $2.505 bil, including all outstanding options. SF shareholders received a twice- sweetened .43 NM shares per share held. Earlier, NM offered .4 NM shares, amended from .3 NM shares. Based on NM's closing stock price of $44.125 on Mar 7, the last full trading day prior to announcement of the amended terms, each SF share was valued at $18.97. Concurrently, Homestake Mining terminated its agreement to acquire SF for $2.29 bil.</t>
  </si>
  <si>
    <t>Spinnaker Industries Inc</t>
  </si>
  <si>
    <t>In December 1996, Lynch, a unit of Gabelli Group, disclosed that it was seeking a buyer for its 83% interest in Spinnaker Industries. Concurrently, Lynch also disclosed that it was seeking a buyer for its Lynch Machinery and M-tron Industries units.</t>
  </si>
  <si>
    <t>Hadco Corp</t>
  </si>
  <si>
    <t>Hadco completed its tender offer to acquire all the outstanding common stock of Zycon for $18 in cash per share, or a total of $211.661 mil. The offer was conditioned upon a majority of Zycon's shares being tendered and had been subject to regulatory approval.</t>
  </si>
  <si>
    <t>MaxServ Inc(Sears Roebuck)</t>
  </si>
  <si>
    <t>Sears Roebuck (SR) acquired the remaining 47.6% of the fully-diluted share capital of MaxServ (MS) that it did not already own for a twice- sweetened $7.75 in cash per share, or a total value of $45.993 mil. Earlier, SR completed its hostile tender offer to acquire the remaining 35.6% stake of MS' common shares outstanding, or 3.88 mil shares, for $7.75 in cash per share by accepting 3. 7 mil shares. The offer had been sweetened from $7 in cash per share. Originally, MS shareholders were to receive between $6.50 to $6. 75 per share held.</t>
  </si>
  <si>
    <t>Homestake Mining Co</t>
  </si>
  <si>
    <t>Homestake Mining (HM), which had emerged as a white knight, terminated its agreement to acquire Santa Fe Pacific Gold (SF) in a stock swap merger valued at $2.298 bil. SF common shareholders were to receive 1.115 HM common shares for each SF share held. Based on HM's closing stock price of $15.625 on Dec 6, the last full trading day prior to the announcement, each SF share was valued at $17.42. The transaction was to be accounted for as a pooling of interests and was subject to regulatory approval. Subsequently, Newmont Mining acquired SF for a twice-sweetened $2.505 bil.</t>
  </si>
  <si>
    <t>Sobieski Bancorp Inc,Indiana</t>
  </si>
  <si>
    <t>Savings and loan hldg co</t>
  </si>
  <si>
    <t>Chiplease (CP) withdrew its hostile offer to acquire the remaining 89% interest, or 7. 8 mil common shares, which it did not already own, in Sobieski Bancorp (SB), South Bend, Indiana, for $18.2 per share, or a total value of $14.22 mil. The transaction was subject to federal and state banking regulatory approval. Concurrently, CP reduced its stake to 3.95% and disclosed plans to divest the remaining SB shares.</t>
  </si>
  <si>
    <t>Square Industries Inc</t>
  </si>
  <si>
    <t>Own and operate parking lots</t>
  </si>
  <si>
    <t>Central Parking Corp</t>
  </si>
  <si>
    <t>Pvd automobile parking svcs</t>
  </si>
  <si>
    <t>Central Parking (CP) merged with Square Industries (SI) for $31 in cash per share, or a total of $69.314 mil, including the assumption of $22.3 mil in liabilities. Earlier, CP completed its tender offer for by accepting 1.438 mil shares, or 97% of SI's shares outstanding. The offer had been conditioned upon 66.67% of Square Industries' shares being tendered.</t>
  </si>
  <si>
    <t>Softdesk Inc</t>
  </si>
  <si>
    <t>Develop,wholesale CAD software</t>
  </si>
  <si>
    <t>Autodesk Inc</t>
  </si>
  <si>
    <t>Software Publishers</t>
  </si>
  <si>
    <t>Autodesk (AD) acquired Softdesk (SD) in a stock swap transaction valued at $91.661 mil. AD offered .477327 common shares per SD share. Originally, AD offered .44 common shares per SD share. Based on AD's closing stock price of $31 on Mar 31, the last full trading day prior to the announcement of exact terms, each SD share was valued at $14.8. The transaction had been subject to regulatory approval and a lockup agreement.</t>
  </si>
  <si>
    <t>Alexander &amp; Alexander Services</t>
  </si>
  <si>
    <t>Pvd insurance brokerage svcs</t>
  </si>
  <si>
    <t>Aon acquired all the outstanding common stock of Alexander &amp; Alexander Services (AL) for $17.50 in cash per share, or a total value of $1.227 bil. Previously, Aon completed its tender offer for all AL common shares, not including AL Class A and Class C shares, by accepting 42.81 mil shares. Also included in the value were $317.5 mil in cash for AL 8% Series B cumulative convertible preferred stock held by American International Group and $120 mil in cash for AL Series A convertible preferred stock. Earlier, Aon was seeking a buyer for company.</t>
  </si>
  <si>
    <t>American Shared Hospital Svcs</t>
  </si>
  <si>
    <t>US Diagnostic Labs (UDL) terminated its agreement to acquire all the outstanding shares, warrants, and options of American Shared Hospital Services (ASHS) in exchange for an amended $2.40 in UDL common shares per ASHS common share, or a total of $15.627 mil. Originally, UDL offered $2.25 in cash per ASHS share, or a total of $14.4 mil. The transaction was to be accounted for as a pooling of interests and was to be subject to regulatory approval.</t>
  </si>
  <si>
    <t>Sun Television &amp; Appliances</t>
  </si>
  <si>
    <t>Own,op radio an TV stores</t>
  </si>
  <si>
    <t>HH Gregg Appliances Inc</t>
  </si>
  <si>
    <t>Own,op appliance stores</t>
  </si>
  <si>
    <t>Gregg Appliances withdrew its intentions to acquire all the outstanding shares of Sun Television &amp; Appliances for $5 in cash per share, or a total value of $88.206 mil. The transaction had been subject to regulatory approval.</t>
  </si>
  <si>
    <t>Amrion Inc</t>
  </si>
  <si>
    <t>Own,op food stores</t>
  </si>
  <si>
    <t>Amrion terminated its negotiations to divest the company to an undisclosed acquiror.</t>
  </si>
  <si>
    <t>In December 1996, Citicorp had been rumored to be in negotiations to acquire American Express.</t>
  </si>
  <si>
    <t>CompuServe Inc(H&amp;R Block)</t>
  </si>
  <si>
    <t>Internet Service Provider</t>
  </si>
  <si>
    <t>America Online (AOL) was rumored to have been in negotiations to acquire all the outstanding common stock of CompuServe (CS), a majority-owned unit of H&amp;R Block,  for up to approximately $1.2 bil in AOL common stock. Subsequently, Worldcom agreed to acquire CS for $1.2 bil. Previously, in December 1996, H &amp; R Block announced that it was seeking a buyer for its 80.1% stake in CompuServe subsidiary.</t>
  </si>
  <si>
    <t>T Rowe Price Associates Inc</t>
  </si>
  <si>
    <t>Citicorp was rumored to be in negotiations to acquire T Rowe Price Associates. The Current status of this deal is unknown.</t>
  </si>
  <si>
    <t>Zurn Industries Inc</t>
  </si>
  <si>
    <t>Mnfr plumbing fixtures</t>
  </si>
  <si>
    <t>Zurn Industries (ZI) merged with Eljer Industries (EI) for $24 in cash per share, or a total value of $175.634 mil. Earlier, ZI completed its tender offer to acquire all the outstanding common shares of EI for $24 in cash per share by accepting 6.755 mil shares, or 94% of EI's shares outstanding. The offer had been conditioned upon a majority of EI's shares being tendered.</t>
  </si>
  <si>
    <t>First Bankshares,Hapeville,GA</t>
  </si>
  <si>
    <t>Regions Financial (RF), Birmingham, Alabama, acquired First Bankshares (FB), Hapeville, Georgia, in a stock swap transaction valued at $17.26 mil. RF offered .32 common shares per FB share. Based on RF's closing stock price of $51.25 on Dec 18, the last full trading day prior to the announcement, each FB share was valued at $16.4. The transaction had been subject to federal and state regulatory approval.</t>
  </si>
  <si>
    <t>Oakley Inc</t>
  </si>
  <si>
    <t>Mnfr,design,whl eyewear</t>
  </si>
  <si>
    <t>Investor Jim Jannard, Chairman and President of Oakley, planned to raise his stake to approximately 50% in Oakley by acquiring up to 1 mil common shares in the open market.</t>
  </si>
  <si>
    <t>Paragon Group Inc</t>
  </si>
  <si>
    <t>Camden Property Trust</t>
  </si>
  <si>
    <t>Camden Property Trust (CPT) acquired Paragon Group (PG) in a stock swap transaction valued at $624.827 mil, including the assumption of $288 mil in liabilities. CPT offered .64 common shares per PG share, subject to a collar agreement. Based on CPT's closing stock price of $28.5 on Dec 13, the last full trading day prior to the announcement, each PG share was valued at $18.24. Included in the value were 3. 6 mil PG common shares reserved for issuance upon the redemption of units of partnership interest.</t>
  </si>
  <si>
    <t>Pioneer Financial Services</t>
  </si>
  <si>
    <t>Life,health,accident ins svcs</t>
  </si>
  <si>
    <t>US - Conseco acquired Pioneer Financial Services (PFS) in a stock swap transaction valued at $504. 025 mil. Conseco offered $28 in common stock per PFS share. The number of shares offered by Conseco had been subject to a collar agreement.</t>
  </si>
  <si>
    <t>Millipore Corp</t>
  </si>
  <si>
    <t>Mnfr med,analytical lab equip</t>
  </si>
  <si>
    <t>US - Millipore acquired the entire share capital of Tylan General (TG) for $16 per share, or a total value of $147.73 mil, including the assumption of $17 mil in liabilities, via a tender offer. Earlier, an investor group comprised of TG's management, acting as a white knight, failed in its plans to acquire the remaining 87. 3% it did not already own in TG. Also, Danaher raised its stake to 10.47% and withdrew intentions to make an unsolicited bid for the remaining 89.53%.</t>
  </si>
  <si>
    <t>Allmerica Financial Corp</t>
  </si>
  <si>
    <t>Allmerica Financial (AF) acquired the remaining 40.5% interest, or 24.2 mil shares, that it did not already own, in Allmerica Property &amp; Casualty (APC) for approximately $816.867 mil. AF offered a choice of either $17.60 in cash and .4 common shares, or $33 in cash or . 85714 APC share, previously subject to a collar agreement The shares were valued based on AF's average closing stock price of $40.125 for the 10 trading days prior to the announcement of exact terms.</t>
  </si>
  <si>
    <t>American Home Products (AHP) exercised its option to acquire the remaining 40% stake, or 11.83 mil common shares, which it did not already own, in Genetics Institute (GI) for $85 in a combination of cash and AHP commn stock per share, or a total value of $1.006 bil. The option was granted in September 1991, concurrent with AHP's acquisition of 60% interest in GI for $667 mil.</t>
  </si>
  <si>
    <t>Boeing merged with McDonnell Douglas (MD) in a stock swap transaction valued at $13.359 bil. Boeing offered .65 2-for- 1 pre-split common shares per MD share. Based on Boeing's closing stock price of $96.75 on Dec 13, the last full trading day prior to the announcement, each MD share was valued at $62.89. The transaction had been subject to regulatory approval.</t>
  </si>
  <si>
    <t>Partners Preferred Yield Inc</t>
  </si>
  <si>
    <t>Public Storage merged with Partners Preferred Yield.</t>
  </si>
  <si>
    <t>Aircoa Hotel Partners LP</t>
  </si>
  <si>
    <t>Regal Hotel Management Inc</t>
  </si>
  <si>
    <t>Regal Hotel Management (RH), a unit of Regal Hotels International, acquired 1.55 mil Class A LP units and .057 mil Class B LP units, or the remaining 25.5% stake, which it did not already own, in Aircoa Hotel Partners, for a sweetened $3.10 per Class A LP unit and $20 per Class B LP unit, or a total value of $5.94 mil. Previously, RH offered $2.35 per Class A LP unit and $16.80 per Class B LP unit.</t>
  </si>
  <si>
    <t>IWC Resources Corp</t>
  </si>
  <si>
    <t>Water utility holding company</t>
  </si>
  <si>
    <t>NIPSCO Industries Inc</t>
  </si>
  <si>
    <t>Electric,gas,water utility</t>
  </si>
  <si>
    <t>NIPSCO Industries (NI) merged with IWC Resources (IWC) in a stock swap transaction valued at $290.59 mil. IWC shareholders were granted a choice of either $32 in NI common shares or $32 in cash for each IWC share held. The transaction had been subject to regulatory approval.</t>
  </si>
  <si>
    <t>Voice It Worldwide Inc</t>
  </si>
  <si>
    <t>Mnfr consumer electn prod</t>
  </si>
  <si>
    <t>Voice Powered Technology Intl</t>
  </si>
  <si>
    <t>Voice Powered Technology International terminated its letter of intent to merge with Voice It Worldwide in a stock swap transaction. The transaction had been subject to regulatory approval.</t>
  </si>
  <si>
    <t>Capsure Holdings Corp</t>
  </si>
  <si>
    <t>Fire,marine, insurance company</t>
  </si>
  <si>
    <t>CNA Surety Corp(CNA Financial)</t>
  </si>
  <si>
    <t>Surety insurance company</t>
  </si>
  <si>
    <t>CNA Surety (CS), a unit of CNA Financial (CF) merged with Capsure Holdings (CH) in a stock swap transaction. CF was an 83% held unit of Loews. In May 1996, CH announced that it had retained Smith Barney to assist in its search for a buyer for the company. The transaction had been subject to Federal Trade Commission regulatory approval. Upon completion, CF held a 61.75% interest in CS and shareholders of CH held the remaining 38.25% in CS.</t>
  </si>
  <si>
    <t>Financial Trust,Carlisle,PA</t>
  </si>
  <si>
    <t>Keystone Financial (KF), Harrisburg, Pennsylvania, acquired Financial Trust (FT), Carlisle, Pennsylvania, in a stock swap transaction valued at $374.97 mil. KF offered 1. 65 mil common shares per FT share. Based on KF's closing stock price of $26.75 on Dec 19, the last full trading day prior to the announcement, each FT share was valued at $44.13. The transaction had been subject to federal and state banking regulatory approval.</t>
  </si>
  <si>
    <t>Partners Preferred Yield II</t>
  </si>
  <si>
    <t>Public Storage (PS) acquired the entire share capital of Partners Preferred Yield II (PPYII) for $19.54 per share, or a total value of $77.409 mil. PPYII shareholders were granted the choice to receive payment in either cash or common stock. Concurrently, PS acquired the entire share capital of Partners Preferred Yield I for $71.447 mil. Additionally, PS acquired Partners Preferred Yield III for $32.426 mil.</t>
  </si>
  <si>
    <t>Partners Preferred Yield III</t>
  </si>
  <si>
    <t>Public Storage (PS) acquired the all the outstanding common shares of Partners Preferred Yield III (PPY) for $19.68 per share, or a total value of $32.426 mil. PPY shareholders were granted the choice to receive payment in cash or PS common shares. Concurrently, PS acquired the entire share capital of Partners Preferred Yield I for $71.44 mil and Partners Preferred Yield II for $77. 409 mil.</t>
  </si>
  <si>
    <t>Mercantile Bancorp (MB), St Louis, Missouri, acquired Roosevelt Financial Group (RF) , Chesterfield, Missouri, in a stock swap valued at $1.187 bil. MB offered a choice of $22 in cash or $7.1 in cash and .2853 common shares per RF share. Based on the cash and stock consideration and MB's closing stock price of $60.75 on June 30, the last full trading day prior to the announcement of exact terms, each RF share was valued at $24.43. The transaction had been subject to federal and state banking regulatory approval.</t>
  </si>
  <si>
    <t>StarSight Telecast Inc</t>
  </si>
  <si>
    <t>Pvd cable programming svcs</t>
  </si>
  <si>
    <t>Gemstar International Group</t>
  </si>
  <si>
    <t>Mnfr simplified VCR programmer</t>
  </si>
  <si>
    <t>Gemstar International Group (GI) acquired StarSight Telecast (ST) in a stock swap transaction valued at $273. 059 mil. ST shareholders received .6062 GI common for each ST share held. Based on GI's closing stock price of $17.25 on Dec 20, the last full trading day prior to the announcement, each ST share was valued at $10.46. The transaction had been subject to regulatory approval.</t>
  </si>
  <si>
    <t>Home Beneficial Corp</t>
  </si>
  <si>
    <t>American General (AG) acquired Home Beneficial (HB) for $39 per share, or a total value of $665.089 mil in a stock swap transaction. The consideration consisted of $285.988 mil in cash and $379. 101 mil in common stock. AG offered a choice of either $39 in cash or $39 in common stock per HB share, subject to a collar agreement and whereby no more than 75% of the consideration was to have been paid in common stock and no more than 50% of the consideration was to have been paid in cash. The transaction had been subject to regulatory approval.</t>
  </si>
  <si>
    <t>Eldorado Bancorp,Tustin,CA</t>
  </si>
  <si>
    <t>Commerce Security Bancorp,CA</t>
  </si>
  <si>
    <t>Commerce Security Bancorp, Sacramento, California, acquired all the outstanding common stock of Eldorado Bancorp, Tustin, California, for $23 in cash per share, or a total value of $91.681 mil. The transaction had been subject to federal and state banking regulatory approval.</t>
  </si>
  <si>
    <t>Republic Bancshares Inc,FL</t>
  </si>
  <si>
    <t>Coml bank,bank hldg co</t>
  </si>
  <si>
    <t>Republic Bankshares (RB), St Petersburg, Florida, acquired FFO Finanical Group (FFO), St Cloud, Florida, in a stock swap transaction valued at $38.027 mil. RB offered .29 common shares per FFO share, subject to a collar agreement. Based on RB's closing stock price of $15.375, the last full trading day prior to the announcement of the terms, each FFO share was valued at $4.45875. The transaction had been subject to federal and state banking regulatory approval.</t>
  </si>
  <si>
    <t>Royce Laboratories Inc</t>
  </si>
  <si>
    <t>Mnfr pharmaceuticals products</t>
  </si>
  <si>
    <t>Watson Pharmaceuticals (WP) acquired Royce Laboratories (RL) in a stock swap transaction valued at $84.165 mil. WP offered .19 common shares per RL share. Based on WP's closing stock price of $32.75 on April 15, the last full trading day prior to the announcement of the exact terms, each RL share was valued at $6.2225. The transaction was accounted for as a pooling of interests and had been subject to regulatory approval.</t>
  </si>
  <si>
    <t>Business &amp; Professional Bk,CA</t>
  </si>
  <si>
    <t>US Bancorp, Portland, Oregon, acquired all the outstanding common shares of Business &amp; Professional Bank, Sacramento, California, for $18 in cash per share, or a total value of $33.477 mil. The transaction had been subject to federal and state banking regulatory approval.</t>
  </si>
  <si>
    <t>Liberty Bancorp Inc,Oklahoma</t>
  </si>
  <si>
    <t>BANC ONE (BO), Columbus, Ohio, acquired Liberty Bancorp (LB), Oklahoma City, Oklahoma, in a stock swap transaction valued at $529. 785 mil. BO offered 1.175 common shares per LB share. Based on BO's closing stock price of $44.875 on Dec 27, the last full trading day prior to the announcement, each LB share was valued at $52.728. The transaction had been subject to federal and state banking regulatory approval.</t>
  </si>
  <si>
    <t>Brooklyn Union Gas Co</t>
  </si>
  <si>
    <t>Brooklyn Union Gas (BG), a newly-formed unit of KeySpan Energy Corp (KSE), merged with Long Island Lighting (LILCO) to form a new company (NC) in a stock swap valued at $4.725 bil, including 1. 637 bil in the assumption of liabilities. LILCO shareholders were to receive a sweetened .88 NC shares and BG shareholders were to receive 1 NC share per LILCO share. Based on BG's closing stock price of $29.125 on Mar 18, each LILCO share was valued at $25.63. Concurrently, Long Island Power Authority withdrew its hostile offer to merge with LILCO and instead agreed to acquire certain LILCO assets. Upon completion the new entity was renamed Marketspan Corp. Subsequent to the merger agreement, BG completed a restructuring whereby BG shares were exchanged for KSE shares, and BG became a subsidiary of KSE.</t>
  </si>
  <si>
    <t>Family Bargain Corp</t>
  </si>
  <si>
    <t>Own,op family clothing store</t>
  </si>
  <si>
    <t>Three Cities Research Inc</t>
  </si>
  <si>
    <t>Three Cities Research acquired a 52% interest in Family Bargain (FB) from Benson and John A Selzer for $32 mil. Consideration was to consist of $27 mil for FB's convertible preferred stock and Series B convertible preferred stock, and $5 mil for an option to acquire an additional convertible preferred stock in FB.</t>
  </si>
  <si>
    <t>USMX Inc</t>
  </si>
  <si>
    <t>Dakota Mining Corp</t>
  </si>
  <si>
    <t>Dakota Mining (DM) acquired all the outstanding common stock of USMX in a stock swap transaction valued at $22.016 mil. DM offered 1 share per every 1.1 USMX shares. Based on DM's closing stock price of $1.5 on Jan 3, the last full trading day prior to the announcement, each USMX share was valued at $1.36. The transaction had been subject to regulatory approval.</t>
  </si>
  <si>
    <t>American Medical Response Inc</t>
  </si>
  <si>
    <t>Provide ambulance services</t>
  </si>
  <si>
    <t>MedTrans Inc</t>
  </si>
  <si>
    <t>Pvd ambulance svcs</t>
  </si>
  <si>
    <t>MedTrans (MT), a unit of Laidlaw, merged with American Medical Response (AMR) for $40 in cash per share, or a total value of $1.011 bil. Earlier, MT completed its tender offer for AMR by accepting 19.99 mil shares, or a 95% interest, in AMR. The offer had been conditioned upon two-third of AMR's shares being tendered and had been subject to regulatory approval.</t>
  </si>
  <si>
    <t>Bonray Drilling Corp</t>
  </si>
  <si>
    <t>On-shore oil and gas drilling</t>
  </si>
  <si>
    <t>DLB Oil &amp; Gas Inc</t>
  </si>
  <si>
    <t>DLB Oil &amp; Gas (DLB) acquired all the outstanding common stock and options of Bonray Drilling (BRD) via a tender offer for $30 in cash per share, or a total value of $12.721 mil, including $.015 mil for BRD's options outstanding.</t>
  </si>
  <si>
    <t>Compression Labs Inc</t>
  </si>
  <si>
    <t>VTEL Corp</t>
  </si>
  <si>
    <t>Mnfr video telecommun equip</t>
  </si>
  <si>
    <t>VTEL merged with Compression Labs (CL) in a stock swap valued at $74.26 mil. VTEL offered .46 common shares per CL share. Based on VTEL's closing stock price of $10. 125 on Jan 6, the last trading day prior to the announcement, each CL shares was valued at $4.658. The transaction was accounted for as a pooling of interests and had been subject to regulatory approval. Upon completion, the merged company retained the VTEL name. Earlier, VTEL terminated its repurchase program in order to comply with pooling of interests rules.</t>
  </si>
  <si>
    <t>HIG Investment Group</t>
  </si>
  <si>
    <t>HIG Investment Group acquired all the outstanding common stock of Thermal Industries (TI) for $15 in cash per share, or a total value of $29.589 mil. Later, Hicks Muse Tate &amp; Furst Equity Fund III withdrew its unsolicited challenging offer to acquire all the outstanding common stock of TI for $19 in cash per share.</t>
  </si>
  <si>
    <t>American Standard Cos Inc</t>
  </si>
  <si>
    <t>Mnfr air-conditioning units</t>
  </si>
  <si>
    <t>Tyco International (TI) withdrew its hostile offer to acquire all the outstanding common stock of American Standard (AS), including Kelso's 27% stake in AS, for $50 per share in a combination of cash and common stock, or a total value of $6.059 bil, including the assumption of approximately $2 bil in liabilities. No more 50% of the consideration was to have been offered in cash.</t>
  </si>
  <si>
    <t>InvaCare Corp</t>
  </si>
  <si>
    <t>Invacare terminated its hostile tender offer to acquire the remaining 95.25% interest, or 12.025 mil common shares, which it did not already own, in Healthdyne Technologies (HT) for an amended $15 in cash per share, or a total value of $213.914 mil, including the assumption of $33.5 mil in liabilities. Previously, Invacare offered $13.5 in cash per share. Earlier, Invacare also launched a proxy fight to replace HT's board with a slate of its own nominees and filed a legal challenge against HT's poison pill.</t>
  </si>
  <si>
    <t>OpenVision Technologies Inc</t>
  </si>
  <si>
    <t>Mnfr software, pvd programming</t>
  </si>
  <si>
    <t>Veritas Software Corp</t>
  </si>
  <si>
    <t>Dvlp bus applications software</t>
  </si>
  <si>
    <t>Veritas Software (VS) acquired OpenVision Technologies (OV) in a stock swap transaction valued at $365.65 mil. VS offered .346 shares per OV share. Based on VS's closing stock price of $54.5 on Jan 10, the last full trading day prior to the announcement, each OV share was valued at $18.857. The transaction was accounted for as a pooling of interests and had been subject to regulatory approval.</t>
  </si>
  <si>
    <t>Cell Genesys Inc</t>
  </si>
  <si>
    <t>Mnfr biotech prod</t>
  </si>
  <si>
    <t>Cell Genesys (CG) acquired Somatix Therapy (ST) in a stock swap transaction valued at $85.718 mil. ST shareholders received .385 CG common shares for each ST share held. Based on CG's closing stock price of $9.125 on Jan 10, the last full trading day prior to the announcement, each ST share was valued at $3.513.</t>
  </si>
  <si>
    <t>Starrett Corp</t>
  </si>
  <si>
    <t>Related Capital Co</t>
  </si>
  <si>
    <t>Related Capital terminated its letter of intent to acquire a 52% interest in Starrett from a group of shareholders for $12 per share, or a total value of $40.974 mil.</t>
  </si>
  <si>
    <t>Zurich Versicherungs GmbH</t>
  </si>
  <si>
    <t>Zurich Versicherungs acquired the remaining 34% stake, or 8.86 mil common shares, that it did not already owned in its Zurich Reinsurance Center Holdings subsidiary, for $36 per share, or a total of $318.981 mil. The transaction had been subject to regulatory approval.</t>
  </si>
  <si>
    <t>Oxford Resources Corp</t>
  </si>
  <si>
    <t>Pvd passenger car leasing svcs</t>
  </si>
  <si>
    <t>Barnett Banks (BB) acquired Oxford Resources (OR) in a stock swap transaction valued at $561 mil. OR shareholders received .9085 BB common shares for each OR share held. Based on BB's closing stock price of $40.875 on Jan 13, the last full trading day prior to the announcement, each OR share was valued at $37.135. The transaction had been subject to regulatory approval. Under a lockup agreement, BB was granted the option to acquire up to a 19. 9% stake in OR.</t>
  </si>
  <si>
    <t>Tencor Instruments Inc</t>
  </si>
  <si>
    <t>Mnfr test instruments</t>
  </si>
  <si>
    <t>KLA Instruments Corp</t>
  </si>
  <si>
    <t>KLA Instruments (KLA) merged with Tencor Instruments (TI) to form KLA-Tencor in a stock swap transaction valued at $1343 bil. KLA offered 1 common share per TI share. The shares were valued based on KLA's closing stock price of $40 on Jan 13, the last full trading day prior to the announcement. The transaction was accounted for as a pooling of interests and had been subject to regulatory approval.</t>
  </si>
  <si>
    <t>Premier BancShares,Atlanta,GA</t>
  </si>
  <si>
    <t>Premier Bancshares (PB), Atlanta, Georgia, formerly First Alliance Premier Bancshares, acquired Central &amp; Southern Holding (CSH), Milledgeville, Georgia, in a merger-of-equals stock swap transaction valued at $50. 5122 mil. Upon effecting a 1. 8-for-1 stock split by PB, CSH shareholders received 1 PB post-split share for each CSH share held. Based on PB's pre-split closing stock price of $24.375 on Jan 14, the last full trading day prior to the announcement, each CSH share was valued at $13.54. Upon completion, CSH retained a 46% stake in the merged company. The transaction had been subject to federal and state banking regulatory approval.</t>
  </si>
  <si>
    <t>Columbia/HCA Healthcare (COL) acquired Value Health (VH) for an amended $20.5 in cash per share, or a total value of $1.132 bil. The transaction had been subject to regulatory approval. Earlier, COL offered .58 common shares per VH share in a stock swap transaction valued at $1.298 bil.</t>
  </si>
  <si>
    <t>In January 1997, Video Lottery Technologies announced it had retained the services of Raymond James &amp; Associates to assist in its search for a buyer.</t>
  </si>
  <si>
    <t>Epic Design Technology Inc</t>
  </si>
  <si>
    <t>Develop CAD software</t>
  </si>
  <si>
    <t>Synopsys Inc</t>
  </si>
  <si>
    <t>Dvlp electronic design automation (EDA) software</t>
  </si>
  <si>
    <t>Synopsys (SS) acquired Epic Design Technology (EDT) in a stock swap transaction valued at $455.43 mil. SS offered . 7485 common shares per EDT share. Based on SS' closing stock price of $41.75 on Jan 15, the last full trading day prior to the announcement, each EDT share was valued at $31.063. The transaction was accounted for as a pooling of interests and had been subject to regulatory approval.</t>
  </si>
  <si>
    <t>Equity Residential</t>
  </si>
  <si>
    <t>Equity Residential Properties Trust (ERP) acquired Wellsford Residential Property Trust (WRP) in a stock swap transaction valued at $995. 464 mil, including the assumption of $370 mil in liabilities. WRP shareholders received .625 ERP shares per WRP share. Based on ERP's stock price of $43.25 on Jan 15, the last full trading day prior to the announcement, each WRP share was valued at $27.03. Also included in the value was the issuance of $158 mil in ERP preferred stock in exchange for WRP preferred stock.</t>
  </si>
  <si>
    <t>AMF Bowling Centers</t>
  </si>
  <si>
    <t>Own,op bowling centers</t>
  </si>
  <si>
    <t>AMF Group acquired all the outstanding stock of American Recreation Centers for $8.5 in cash per share, or a total value of approximately $70. 706 mil, including the assumption of approximately $39.153 mil in liabilities and $.706 mil for all outstanding options.</t>
  </si>
  <si>
    <t>Avemco Corp</t>
  </si>
  <si>
    <t>HCC Insurance Holdings Inc</t>
  </si>
  <si>
    <t>HCC Insurance Holdings (HC) acquired Avemco in a stock swap transaction valued at $246.84 mil. Hc offered 1 common share per Avemco share. The transaction was valued based on HC's closing stock price of $28.625 on Jan 16, the last full trading day prior to the announcement. The transaction was accounted for as a pooling of interests and had been subject to regulatory approval.</t>
  </si>
  <si>
    <t>Studio Plus Hotels Inc</t>
  </si>
  <si>
    <t>Own,operate hotels,motels</t>
  </si>
  <si>
    <t>Extended Stay America Inc</t>
  </si>
  <si>
    <t>Extended Stay America (EX) acquired Studio Plus Hotels (SP) in a stock swap transaction valued at $295. 902 mil. EX offered 1.2272 common shares per SP share. Based EX's closing stock price of $18.625 on Jan 16, the last full trading day prior to the announcement, each SP share was valued at $22.8566. The transaction was accounted for as a pooling of interests.</t>
  </si>
  <si>
    <t>First USA Inc</t>
  </si>
  <si>
    <t>Pvd credit card services</t>
  </si>
  <si>
    <t>BANC ONE (BO), Columbus, Ohio, acquired First USA (FU) in a stock swap transaction valued at $7.304 bil. BO offered 1.1659 common shares per FU share. Based on BO's closing stock price of $45. 125 on Jan 17, the last full trading day prior to the announcement, each FU shared was valued at $52.61. The transaction included a 57% interest in First USA Paymentech, was accounted for as a pooling of interests, and had been subject to federal and state banking regulatory approval.</t>
  </si>
  <si>
    <t>Target Therapeutics Inc</t>
  </si>
  <si>
    <t>Mnfr,whl mini-surgical devices</t>
  </si>
  <si>
    <t>Boston Scientific (BS) acquired Target Therapeutics (TT) in a stock swap transaction valued at $1.218 bil. BS shareholders offered 1.07 common shares per TT share. Based on BS' closing stock price of $71.5 on Jan 17, the last full trading day prior to the announcement, each TT share was valued at $76.505. The transaction included all TT outstanding options, and had been accounted for as a pooling of interests and subject to regulatory approval.</t>
  </si>
  <si>
    <t>First Maryland Bancorp (FMB), Baltimore, Maryland, a unit of Allied Irish Bank (AIB), acquired Dauphin Deposit (DD), Harrisburg, Pennsylvania, in a stock swap transaction valued at $1.343 bil. FMB offered a choice of either $43 in cash, up to a maximum of 49% of the consideration, or 1 AIB American Depositary Receipts per DD share. The transaction had been subject to federal and state banking regulatory approval.</t>
  </si>
  <si>
    <t>Dynamotion/ATI Corp</t>
  </si>
  <si>
    <t>Mnfr routers and drills</t>
  </si>
  <si>
    <t>Electro Scientific Inds Inc</t>
  </si>
  <si>
    <t>Mnfr,whl photonic systems</t>
  </si>
  <si>
    <t>Electro Scientific Industries (ESI) acquired the all the outstanding common stock of Dynamotion/ATI, including all outstanding options, for $13 mil in common stock. The transaction had been subject to regulatory approval.</t>
  </si>
  <si>
    <t>InPhyNet Medical Management</t>
  </si>
  <si>
    <t>Pvd physician management svcs</t>
  </si>
  <si>
    <t>MedPartners Inc</t>
  </si>
  <si>
    <t>Pvd prescription mgmt svcs</t>
  </si>
  <si>
    <t>MedPartners (MP) merged with InPhyNet Medical Management (IM) in a stock swap transaction valued at $369. 725 mil. MP offered an amended 1.18 common shares per IM share. Originally, MP offered 1.31 common shares per IM share. Based on MP's closing stock price of $19. 125 on May 20, the last full trading day prior to the amendment, each IM share was valued at $22.5675. The transaction was accounted for as a pooling of interests and had been subject to regulatory approval.</t>
  </si>
  <si>
    <t>Old North State Bank,NC</t>
  </si>
  <si>
    <t>LSB Bancshares,Lexington,NC</t>
  </si>
  <si>
    <t>LSB Bancshares (LS) acquired Old North State Bank (ON), Winston-Salem, North Carolina in a stock swap transaction for $32.729 mil. ON shareholders received .938 LS common shares for each ON share held. Based on LS's closing stock price of $21 on August 8, the last full trading day prior to the completion, each ON share was valued at $19.698. The transaction had been subject to federal and state banking regulatory approval. Under a lockup agreement, LS was granted the option to acquire up 16.83% of ON.</t>
  </si>
  <si>
    <t>Norand Corp</t>
  </si>
  <si>
    <t>Mnfr electronic info systems</t>
  </si>
  <si>
    <t>Western Atlas Inc</t>
  </si>
  <si>
    <t>Western Atlas (WA), a majority-owned unit of Litton Industries, merged with Norand (NR) for $33.50 in cash per share, or a total of $320.84 mil, including $13.1 mil for NR's options outstanding and the assumption of approximately $45 mil in liabilities. Earlier, WA completed its tender offer for NR by accepting 7.65 mil NR shares, or 85.92% of NR's fully diluted shares. The offer was conditioned upon a majority of Norand's shares being tendered on a fully diluted basis and had been subject regulatory approvals.</t>
  </si>
  <si>
    <t>Amphenol Corp</t>
  </si>
  <si>
    <t>Manufacture connectors</t>
  </si>
  <si>
    <t>As part of a recapitalization, Kohlberg Kravis Roberts acquired a 90% interest, or 41.94 mil Class A common shares, in Amphenol for $26 in cash per share, or a total value of $1.39 bil, including the assumption of $300 mil in liabilities.</t>
  </si>
  <si>
    <t>ESELCO Inc</t>
  </si>
  <si>
    <t>Wisconsin Energy (WE) acquire ESELCO (EL) in a stock swap transaction for $74.34 mil. WE offered 1.5114 common shares per EL share held. Based on WE's closing stock price of $30.875 on June 1, the last full trading day prior to the announcement of the exact terms. The terms were amended from $44.5 in common shares per share, or a total value of $68.3 mil. The transaction was accounted for as a pooling of interests and had been subject to regulatory approval.</t>
  </si>
  <si>
    <t>Checkers Drive-In Restaurants</t>
  </si>
  <si>
    <t>CKE Restaurants (CKE) acquired Checkers Drive-In Restaurants (CDR). Concurrently, CKE was granted warrants exercisable into a 12.43% stake in CDR. Earlier, in January 1996, CDR announced that it was seeking a buyer for the company.</t>
  </si>
  <si>
    <t>Brockson Investment Co</t>
  </si>
  <si>
    <t>Brockson Investment (BRK) terminated its agreement to raise its stake to 54.3% from 44% in Torotel by acquiring 510,506 common shares from Torotel's founding family in a privately negotiated transaction. Concurrently, BRK terminated its agreement to acquire a 44% stake, or 2. 17 mil newly issued common shares, in Torotel.</t>
  </si>
  <si>
    <t>CB Financial Corp,Jackson,MI</t>
  </si>
  <si>
    <t>Citizens Banking Corp,Flint,MI</t>
  </si>
  <si>
    <t>Citizens Banking (CB) Flint, Michigan, merged with CB Financial (CF), Jackson, Michigan, in a stock swap transaction valued at $131. 053 mil. CF Shareholders received 1.489 CB common share for each CF share held. Based on CB's closing stock price of $31.25 on Jan 24, the last full trading day prior to the announcement, each CF share was valued at $46.53. The transaction had been subject to federal and state banking regulatory approval. The transaction was accounted for as a pooling of interests.</t>
  </si>
  <si>
    <t>Cardiometrics Inc</t>
  </si>
  <si>
    <t>Mnfr surgical,medical equip</t>
  </si>
  <si>
    <t>EndoSonics Corp</t>
  </si>
  <si>
    <t>Mnfr image processing equip</t>
  </si>
  <si>
    <t>EndoSonics (EN) merged with Cardiometrics (CM) in a stock swap transaction valued at $56.4 mil. CM shareholders received an amended $3 in cash, .35 EN shares and .1364 CardioVascular Dynamics (CD) common shares per share held. Based on EN's and CD's closing stock price of $9.75 and $8.25 respectively on May 20, the last full trading day prior to the announcement of the amended terms, each CM share was valued at $7.54. The transaction had been subject to regulatory approval.</t>
  </si>
  <si>
    <t>Own and operate hotels,casinos</t>
  </si>
  <si>
    <t>Hilton Hotels (HH) terminated its unsolicited hostile offer to acquire ITT for a twice-sweetened $13.608 bil, including the assumption of $4 bil in liabilities, in a two-tier merger transaction. Initially, HH launched a tender offer to acquire up to 65 mil common shares, or a 52. 88% interest in ITT for an amended $80 in cash per share. Subsequently, HH was to have offered 2 common shares and 1 contingent value preferred share, both with a combined value of $80 per ITT share, for the remaining 47.12% interest . Previously, HH was to acquire a 50.1% interest in ITT for $70 in cash per share and $70 in common stock for the remaining 49.9%. Originally, HH offered $55 per share. In an effort to thwart HH's hostile bid, ITT had planned to spin itself off into 3 new companies.</t>
  </si>
  <si>
    <t>Mama Tish's Italian</t>
  </si>
  <si>
    <t>Mnfr ice cream,desserts</t>
  </si>
  <si>
    <t>J&amp;J Snack Foods acquired all the outstanding common shares of Mama Tish's Italian Specialties in for the assumption of an undisclosed amount in liabilities.</t>
  </si>
  <si>
    <t>Honeywell (HW) merged with Measurex (MX) for a total value of $597.02 mil. Earlier, HW completed its tender offer to acquire all the outstanding common shares of MX for $35 in cash per share, by accepting 17.969 mil shares. The offer had been conditioned upon a majority of shares being tendered on a fully- diluted basis and subject to regulatory approval under the Hart-Scott- Rodino Antitrust Act.</t>
  </si>
  <si>
    <t>CVS Corp</t>
  </si>
  <si>
    <t>Ow,op drug stores</t>
  </si>
  <si>
    <t>CVS acquired Revco DS (RV), including Zell/Chilmark Fund's 19% stake in RV, in a stock swap transaction valued at $3.912 bil, including the assumption of $900 mil in liabilities. CVS offered . 8842 shares per RV share. Based on CVS' closing stock price of $47.75 on May 29, the last full trading day prior to announcement of the exact terms, each RV share was valued at $42.22. The transaction had been subject to Federal Trade Commission regulatory approval.</t>
  </si>
  <si>
    <t>BSI Holdings Inc</t>
  </si>
  <si>
    <t>Brazos Sportswear Inc</t>
  </si>
  <si>
    <t>Sun Sportswear (SUN) merged with BSI Holdings (BSI) in a reverse stock swap transaction. Upon completion, BSI shareholders was to own an approximately 88% and SUN shareholders the remaining 12% in the merged entity.</t>
  </si>
  <si>
    <t>Calgene Inc(Monsanto Co)</t>
  </si>
  <si>
    <t>Monsanto acquired the remaining 43.67% stake, which it did not already own, in Calgene for a total value of $242.58 mil. Earlier, Monsanto completed its unsolicited tender offer to acquire the 45.5% stake in Calgene for a sweetened $8 in cash per share, by accepting 26.8 mil shares. Originally, Monsanto offered $7.25 per share.</t>
  </si>
  <si>
    <t>Eagle Finl Corp,Bristol,CT</t>
  </si>
  <si>
    <t>Savings bank;holdong co</t>
  </si>
  <si>
    <t>Eagle Financial (EF), Berlin, Connecticut, acquired MidConn Bank (MB), Kensington, Connecticut, in a stock swap transaction valued at $49.963 mil. EF offered .86 common shares per MB share. Based on EF's closing stock price of $29.25 on Jan 27, the last full trading day prior to the announcement, each MB share was valued at $25.15. The transaction had been subject to federal and state banking regulatory approval. Under a lockup agreement, EF had been granted an option to acquire up to 19.9% of MC.</t>
  </si>
  <si>
    <t>AST Research Inc</t>
  </si>
  <si>
    <t>Mnfr computers;dvlp software</t>
  </si>
  <si>
    <t>Samsung Electronics (SE) acquired the remaining 51% interest, or 35 mil common shares, which it did not already own, in AST Research (AST) for $5.40 in cash per share, or a total value of $495.8 mil, including the assumption of approximately $307 mil in liabilities. Previously, SE completed its tender offer to acquire the remaining 51% by accepting 28 .5 mil shares. The transaction had been subject to regulatory approval under the Hart-Scott -Rodino Antitrust Act.</t>
  </si>
  <si>
    <t>Harry's Farmers Market Inc</t>
  </si>
  <si>
    <t>Own,op food supermarkets</t>
  </si>
  <si>
    <t>Progressive Food Concepts Inc</t>
  </si>
  <si>
    <t>Progressive Food Concepts (PFC) terminated its plan to raise its stake to 53.16% from approximately 37.97% in Harry's Farmers Market (HFM) for $1 mil. The warrants were exercisable into 2 mil class A common shares at prices between $4 and $5.5. Concurrently, PFC acquired a 37.97% stake in HFM.</t>
  </si>
  <si>
    <t>Kysor Industrial Corp</t>
  </si>
  <si>
    <t>Scotsman Industries Inc</t>
  </si>
  <si>
    <t>Mnfr,whl refrigeration equip</t>
  </si>
  <si>
    <t>Scotsman Industries completed its tender off for all the outstanding common stock and Series A convertible voting preferred stock of Kysor Industrial (KYS) for $43 in cash per share, or a total value of approximately $359. 233 mil, including $42.816 mil for KYS' options outstanding and the assumption of about $30 mil in liabilities. The offer was conditioned upon a majority of KYS' shares being tendered.</t>
  </si>
  <si>
    <t>McM Corp(McMillen Trust)</t>
  </si>
  <si>
    <t>MCM Acquisition Co</t>
  </si>
  <si>
    <t>McM Acquisition withdrew its option to acquire a 66% interest, or 3.085 mil common shares in McM, from McMillen Trust, for $6.2 per share, or a total value of $19.13 mil. The transaction was subject to regulatory approval.</t>
  </si>
  <si>
    <t>Abaco Grupo Finaciero SA de CV</t>
  </si>
  <si>
    <t>Bank;pvd lending svcs</t>
  </si>
  <si>
    <t>Abaco Grupo Financiero agreed to acquire the remaining 30.4% interest, or 2.02 mil common shares, that it did not already own, in Rodman &amp; Renshaw Capital Group, for $.3 per share, or a total value of $.606 mil. The transaction was subject to regulatory approval from the Mexican authorities.</t>
  </si>
  <si>
    <t>Catalytica Inc</t>
  </si>
  <si>
    <t>Mnfr indl process catal,pharms</t>
  </si>
  <si>
    <t>Morgan Stanley Capital Partner</t>
  </si>
  <si>
    <t>Morgan Stanley Capital Partners, a unit of Morgan Stanley Dean Witter, acquired a 59.6% interest, or 30 mil newly-issued Class A and Class B common shares, in Catalytica for $120 mil.</t>
  </si>
  <si>
    <t>Morgan Stanley Group Inc</t>
  </si>
  <si>
    <t>Dean Witter Discover &amp; Co</t>
  </si>
  <si>
    <t>Pvd sec brokerage svcs</t>
  </si>
  <si>
    <t>Dean Witter Discover (DWD) merged with Morgan Stanley Group (MSG) in a merger-of- equals stock swap transaction valued at $10.573 bil. DWD offered 1.65 common shares per MSG share. Based on DWD's closing stock price of $38. 625 on February 4, the last full trading day prior to the announcement, each MSG share was valued at $63.73. The transaction was accounted for as a pooling of interests. Upon completion, the newly- merged company was named Morgan Stanley Dean Witter Discover.</t>
  </si>
  <si>
    <t>Bankers Corp,Perth Amboy,NJ</t>
  </si>
  <si>
    <t>Sovereign Bancorp (SB), Wyomissing, Pennsylvania, acquired all the outstanding common stock of Bankers, Perth Amboy, New Jersey, for $356.911 mil in a stock swap transaction. SB offered 1.854 common shares per Bankers share, subject to a collar agreement. Based on SB's closing stock price of $15. 1875 on Aug 28, the last full trading day prior to the announcement of exact terms, each Bankers share was valued at $28.158. The transaction was accounted for as pooling of interests and had been subject to a lockup agreement and federal and state banking regulatory approval.</t>
  </si>
  <si>
    <t>NetLive Communications Inc</t>
  </si>
  <si>
    <t>Pvd computer integrated svcs</t>
  </si>
  <si>
    <t>Zodiac Group Inc</t>
  </si>
  <si>
    <t>Pvd tele entertainment svcs</t>
  </si>
  <si>
    <t>Zodiac Group made an unsolicited offer to merge with NetLive Communications.</t>
  </si>
  <si>
    <t>Vencor acquired all the outstanding common stock of TheraTx (TT) for $17.1 in cash per share, or a total value of $378.22 mil. Earlier, Vencor completed its tender offer for TT by accepting 20. 5 mil shares, or 99% of TT's common stock outstanding. The offer was conditioned upon a majority of TT's shares being tendered on a fully-diluted basis and had been subject to regulatory approval under the Hart-Scott-Rodino Antitrust Act.</t>
  </si>
  <si>
    <t>Xpedite Systems Inc</t>
  </si>
  <si>
    <t>Pvd enhanced fax services</t>
  </si>
  <si>
    <t>A management-led investor group (IG), including Fenway Partners and UBS Partners, terminated its tender offer to acquire all the outstanding stock of Xpedite Systems for an amended $23 in cash per share, or a total value of $214.892 mil, in a leveraged buyout transaction. Originally IG offered $22.5 in cash per share, or a total value of $210.08 mil.</t>
  </si>
  <si>
    <t>AMISYS Managed Care Systems</t>
  </si>
  <si>
    <t>Pvd intergrated systems svcs</t>
  </si>
  <si>
    <t>HBO definitively acquired all the outstanding common stock of AMISYS Managed Care Systems (AMC) in a stock swap transaction valued at $170.59 mil. AMC shareholders were to receive .35 HBO common shares for each AMC share held. Based on HBO's closing stock price of $62.875 on Feb 10, the last full trading day prior to the announcement, each AMC share was valued at $22. The transaction was to be accounted for as a pooling of interest and was subject to regulatory approval.</t>
  </si>
  <si>
    <t>Atlantic Gulf Communities Corp</t>
  </si>
  <si>
    <t>Real estate developers</t>
  </si>
  <si>
    <t>Apollo Real Estate Advisors LP</t>
  </si>
  <si>
    <t>Apollo Real Estate Advisors (AR) acquired a 51.5% interest in Atlantic Gulf Communities (AG) in exchange for a warrant to purchase 5 mil common shares exercisable at $5.75 per share. Concurrently, AR agreed to acquire 20% redeemable cumulative convertible preferred shares in AG for $25 mil.</t>
  </si>
  <si>
    <t>Fractal Design Corp</t>
  </si>
  <si>
    <t>Develop graphics software</t>
  </si>
  <si>
    <t>MetaTools Inc</t>
  </si>
  <si>
    <t>MetaTools (MT) merged with Fractal Design (FD) in a stock swap transaction valued at $140.173 mil. MT offered . 749 common shares per FD share. Based on MT's closing stock price of $15 per share on Feb 10, each FD share was valued at $11.235. The transaction was accounted for as a pooling of interests and had been subject to regulatory approval. Upon completion, the merged company was named MetaCreations Corp.</t>
  </si>
  <si>
    <t>Innotech Inc</t>
  </si>
  <si>
    <t>Mnfr electro-medical prods</t>
  </si>
  <si>
    <t>Johnson &amp; Johnson (JJ) acquired Innotech for $13.75 in cash per share, or a total value of $135.551 mil, including the assumption of $2.75 mil in liabilities. Earlier, JJ completed its tender offer by accepting 8. 422 mil shares, or 94% of Innotech's shares outstanding. The transaction had been subject to regulatory approval under the Hart-Scott- Rodino Antitrust Act.</t>
  </si>
  <si>
    <t>Serv-Tech Inc</t>
  </si>
  <si>
    <t>Maintenance and cleaning svcs</t>
  </si>
  <si>
    <t>Philip Environmental Inc</t>
  </si>
  <si>
    <t>Philip Environmental (PE) merged with Serv-Tech (ST) in a stock swap transaction valued at $73.353 mil, including the assumption of $21 mil in liabilities. PE offered .403 common shares for each ST share held. Based on PE's closing stock price of $16.375 on Mar 6, the last full trading day prior to the announcement, each ST share was valued at $6.6. The transaction had been subject to regulatory approval.</t>
  </si>
  <si>
    <t>Steel of West Virginia Inc</t>
  </si>
  <si>
    <t>J&amp;L Structural Inc</t>
  </si>
  <si>
    <t>J&amp;L Structural, a unit of Mentmore Holdings' CPT Holdings subsidiary, withdrew its unsolicited, hostile offer to acquire all the outstanding common stock of Steel of West Virginia (SWV) for $9 in cash per share, or a total value of $53.92 mil. In response to the offer, SWV adopted a poison pill plan to thwart the takeover.</t>
  </si>
  <si>
    <t>Universal Hospital Services</t>
  </si>
  <si>
    <t>Pvd med equip rental services</t>
  </si>
  <si>
    <t>MEDIQ withdrew its agreement to acquire Universal Hospital Services for $17.50 in cash per share, or a total value of approximately $98.130 mil. The transaction had been subject to regulatory approval under the Hart-Scott- Rodino Act. Previously, in November 1996, Universal Hospital Services announced that it was seeking a buyer for the company.</t>
  </si>
  <si>
    <t>Contour Medical(Retirement)</t>
  </si>
  <si>
    <t>Retirement Care Associates (RCA) raised its to 65.3% from 40.8% in Contour Medical by acquiring 1.95 mil common shares at $5 per share, or a total value of $9.75 mil.</t>
  </si>
  <si>
    <t>Michael Foods Inc</t>
  </si>
  <si>
    <t>Produce, whl dairy foods</t>
  </si>
  <si>
    <t>Michael Foods (MF) acquired North Star Universal (NSU) in a stock swap transaction valued at $69.64 mil. NSU shareholders received .562 MF common shares per NSU share held. Based on MF's closing stock price of $12.5 on Feb 12, the last full trading day prior to the announcement, each NSU share was valued at $7.025. Concurrently, NSU spun off its ENStar unit to its shareholders and MF repurchased 1,782,961 common shares from NSU in a privately negotiated transaction.</t>
  </si>
  <si>
    <t>CFX, Keene, New Hampshire, acquired Portsmouth Bank Shares (PBS), Portsmouth, New Hampshire, in a stock swap valued at $102.192 mil. CFX offered .9314 common shares per PBS share, subject to a collar agreement. Based on CFX' closing stock price of $19.125 on Aug 28, the last full trading day prior to the announcement of exact terms, each PBS share was valued at $17.813. The transaction had been subject to state and federal banking regulatory approval. Earlier in November 1996, PBS disclosed it was seeking a buyer for the company.</t>
  </si>
  <si>
    <t>Reflectone Inc</t>
  </si>
  <si>
    <t>Manufacture flight simulators</t>
  </si>
  <si>
    <t>British Aerospace Holdings</t>
  </si>
  <si>
    <t>Whl aircraft,aircraft equip</t>
  </si>
  <si>
    <t>British Aerospace Holdings, a unit of British Aerospace, acquired the remaining 52% interest, or 17.9 mil common shares, which it did not already own, in Reflectone (RE) for $24 per share, or a total of $41.056 mil.</t>
  </si>
  <si>
    <t>USLIFE Corp</t>
  </si>
  <si>
    <t>American General (AG) merged with USLIFE (USL) in a stock swap valued at $1.774 bil. AG offered 1.1069 common shares per USL share, subject to a collar agreement. Based on AG's closing stock price of $45.625 on June 10, the last trading day prior to the announcement of exact terms, each USL share was valued at $50.50. The transaction was accounted for as a pooling of interests.</t>
  </si>
  <si>
    <t>Calnetics Corp</t>
  </si>
  <si>
    <t>Manufacture plastic products</t>
  </si>
  <si>
    <t>Summa Industries</t>
  </si>
  <si>
    <t>Mnfr plastic conveyor parts</t>
  </si>
  <si>
    <t>Summa Industries (SI) terminated its definitive agreement to acquire all the outstanding common stock of Calnetics for $7.75 per share, or a total value of $24.28 mil. Calnetics shareholders were to have received $1.25 in cash, $4.25 in SI common stock, and $2.25 in a 10-year, 5.5% subordinate note per share held. The transaction was to have been subject to a collar agreement and regulatory approval.</t>
  </si>
  <si>
    <t>Regions Financial (RF), Birmingham, Alabama, acquired New Iberia Bancorp (NI), New Iberia, Louisiana, in a stock swap transaction valued at $62.1 mil. RF offered .36 common shares per NI share. Based on RF's closing stock price of $57.5 on Feb 13, the last full trading day prior to the announcement, each NI share was valued at $20.7. The transaction was accounted for as a pooling of interests and had been subject to federal and state banking regulatory approval.</t>
  </si>
  <si>
    <t>UNC Inc</t>
  </si>
  <si>
    <t>Mnfr aircraft components</t>
  </si>
  <si>
    <t>Greenwich Air Services Inc</t>
  </si>
  <si>
    <t>Manufacture aircraft engines</t>
  </si>
  <si>
    <t>Greenwich Air Services (GA) acquired all the outstanding common stock of UNC for $15 in cash per share, or a total value of 442.715 mil. Previously, GA offered a choice of $14 in cash or $14 in GA Class B non-voting common stock per UNC share. No more than 50% of the consideration was paid in cash. The transaction had been subject to regulatory approval. Earlier, General Electric acquired GA.</t>
  </si>
  <si>
    <t>Winthrop Resources Corp</t>
  </si>
  <si>
    <t>Provide computer leasing svcs</t>
  </si>
  <si>
    <t>TCF Financial (TCF), Minneapolis, Minnesota, merged with Winthrop Resources (WR) in a stock swap transaction valued at $334.7 mil. TCF offered .7766 common shares per WR share. Based on TCF's closing stock price of $47.125 on Feb 13, the last full trading day prior to the announcement, each WR share was valued at $36.6. The transaction was accounted for as a pooling of interests and had been subject to federal and state banking regulatory approval.</t>
  </si>
  <si>
    <t>Zapata Corp</t>
  </si>
  <si>
    <t>Invest hldg co</t>
  </si>
  <si>
    <t>Investor Michael Heisley withdrew an unsolicited offer to acquire all the outstanding common share of Zapata for $5.50 per share, or a total value of $162.579 mil. The offer was contingent on at least 50.1% of the shares being acquired. Earlier, Zapata terminated its launched self-tender offer in order to review Heisley's offer.</t>
  </si>
  <si>
    <t>American Federal Bank FSB,SC</t>
  </si>
  <si>
    <t>CCB Financial (CCB), Durham, North Carolina, acquired American Federal Bank FSB (AFB), Greenville, South Carolina, in a stock swap transaction valued at $331.51. AFB shareholders received . 445 CCB common shares for each AFB share held. Based on CCB's closing stock price of $68 on Feb 14, the last full trading day prior to the announcement, each AFB share was valued at $30.26. The transaction was accounted for as a pooling of interests and had been subject to federal and state banking regulatory approval.</t>
  </si>
  <si>
    <t>Chancellor Broadcasting Co</t>
  </si>
  <si>
    <t>Evergreen Media (EM) merged with Chancellor Broadcasting (CB) in a stock swap transaction valued at $669. 421 mil, including the assumption of approximately $100 mil in liabilities. EM offered .9091 Class A common shares per CB share. Based on EM's closing stock price of $32.75 on Feb 14, each CB share was valued at $29.77. Upon completion, the merged company was named Chancellor Media. The transaction had been subject to regulatory approval. Earlier, EM and CB acquired 10 radio stations from Viacom International for $1.075 bil.</t>
  </si>
  <si>
    <t>Destec Energy Inc</t>
  </si>
  <si>
    <t>NGC Corp</t>
  </si>
  <si>
    <t>NGC acquired all the outstanding common stock of Destec Energy (DE), an 80.7% majority-owned unit of Dow Chemical, for $21.65 in cash per share, or a total value of $1.222 bil. The transaction had been subject to regulatory approval. Subsequently, AES acquired DE's international assets for $365 mil. The assets were located in Canada, the Netherlands, England, Australia and the Dominican Republic. In October 1996, DE announced it was seeking a buyer for the company.</t>
  </si>
  <si>
    <t>First Republic Bancorp Inc,CA</t>
  </si>
  <si>
    <t>In May 1997, First Republic Bancorp, San Francisco, California, terminated its search, which begun in February 1997, for a buyer for the company.</t>
  </si>
  <si>
    <t>Great Western Finl Corp,CA</t>
  </si>
  <si>
    <t>HF Ahmanson &amp; Co,Irwindale,CA</t>
  </si>
  <si>
    <t>Savings &amp; loan; insurance co</t>
  </si>
  <si>
    <t>HF Ahmanson (HF) withdrew its unsolicited hostile offer to merge with Great Western Financial (GW), Chatsworth, California, in a reverse stock swap valued at $7.152 bil. GW shareholders were to have received an amended $50 in HF common stock per share held, subject to a collar agreement. Earlier, HF offered 1.05 shares per GW share. Later, Washington Mutual, acting as a white knight, merged with GW in a stock swap transaction valued at $6.848 bil.</t>
  </si>
  <si>
    <t>US Drug Testing Inc</t>
  </si>
  <si>
    <t>Pvd drug research,dvlp svcs</t>
  </si>
  <si>
    <t>Substance Abuse Technologies</t>
  </si>
  <si>
    <t>Provide alcohol testing svcs</t>
  </si>
  <si>
    <t>Substance Abuse Technologies (SAT) agreed to acquire US Drug Testing (USD) in a stock swap transaction valued at $4. 532 mil. USD shareholders were to receive 1.62 SAT common shares for each USD share held. Based on SAT's closing stock price of $1.625 on Feb 14, the last full trading day prior to the announcement, each USD share was valued at $2.632.</t>
  </si>
  <si>
    <t>First Patriot Bankshares,VA</t>
  </si>
  <si>
    <t>United Bankshares, Parkersburg, West Virginia, aquired all the outstanding common stock of First Patriot Bankshares, Reston, Virginia for $17 per share or a total value of $35.427 mil. The transaction had been subject to federal and state banking regulatory approval.</t>
  </si>
  <si>
    <t>CleveTrust Realty Investors</t>
  </si>
  <si>
    <t>RM Crowe Co</t>
  </si>
  <si>
    <t>RM Crowe withdrew its signed letter of intent to acquire via a tender offer all the outstanding common stock of CleveTrust Realty Investors (CR) for $6.42 in cash per share, or a total of $67.30 mil. The offer was to be conditioned upon 90% of CR's shares being tendered.</t>
  </si>
  <si>
    <t>NHP Inc</t>
  </si>
  <si>
    <t>Apartment Invest &amp; Mgmt Co</t>
  </si>
  <si>
    <t>Apartment Investment &amp; Management (AIM) acquired a 55.1% interest, or 6.93 mil common shares, in NHP for $131.4 mil. Consideration consisted of $72.6 mil in cash and 2.1 mil AIM common shares valued at $58.8 mil. The shares were valued based on NHP's closing stock price of $28 on May 5, the last full trading day prior to the announcement of exact terms. Originally, NHP shareholders were granted a choice of . 37383 AIM shares and $10 in cash, or .74766 AIM shares per NHP share held.</t>
  </si>
  <si>
    <t>Apartment Investment &amp; Management (AIM) acquired the remaining 44.9% stake, or 6, 0566290 common shares, including all outstanding options, in NHP, which it did not already own, in a stock swap transaction valued at $114.45 mil. AIM offered . 7476 common shares per NHP share. Based on AIM's closing stock price of $26.375 per share or Feb 19, each NHP share was valued at $19.72. Subsequently, AIM acquired a 55.1% interest in NHP from Demeter Holdings and Capricorn Investors for $131. 4 mil in common stock.</t>
  </si>
  <si>
    <t>Insignia Financial Group Inc</t>
  </si>
  <si>
    <t>Insignia Financial Group (IFG) terminated its unsolicited offer to acquire all the outstanding common stock of NHP for $24 per share, or a total value of $316.18. IFG offered $24 in cash per NGP share for the initial 50% interest and $24 in IFG common stock per NHP for the remaining 50%. Previously, Apartment Investment &amp; Management definitively agreed to acquire NHP for approximately $249.58 mil.</t>
  </si>
  <si>
    <t>Skyline Chili Inc</t>
  </si>
  <si>
    <t>Operate,franchise restaurants</t>
  </si>
  <si>
    <t>Meritage Hospitality Group Inc</t>
  </si>
  <si>
    <t>Own and operates hotels,marina</t>
  </si>
  <si>
    <t>Meritage Hospitality Group (MHP) terminated its unsolcited hostile offer to acquire all the outstanding common stock of Skyline Chili (SKC) for approximately $34 mil. MHP offered a choice of either $7.50 per SKC share for an undiclosed majority interest and $9.50 per SKC share for the remaining stake, or $9.50 in cash per SKC share for newly issued common shares constituting an undisclosed majority interest.</t>
  </si>
  <si>
    <t>EchoStar Communications Corp</t>
  </si>
  <si>
    <t>Pvd pay-TV svcs</t>
  </si>
  <si>
    <t>News (NC) terminated its agreement to acquire a 50% interest, in EchoStar Communications (EC) for approximately $1 bil, in the formation of a new joint venture to be named Sky. Consideration was to consist of about $500 mil in cash and about $500 mil in assets from NC's American Sky Broadcasting subsidiary. Previously, EC planned to spin off certain assets, including its manufacturing and international business units to shareholders.</t>
  </si>
  <si>
    <t>Read-Rite Corp</t>
  </si>
  <si>
    <t>Mnfr magnetic recording heads</t>
  </si>
  <si>
    <t>Applied Magnetics Corp</t>
  </si>
  <si>
    <t>Applied Magnetics (AM) withdrew its unsolicited hostile offer to acquire Read- Rite (RR) in a stock swap transaction valued at $1.856 bil, including all outstanding options. RR common shareholders were to have received .679 AM common shares per share share held. Based on AM's closing stock price of $55.25 on Feb 21, the last full trading day prior to the announcement, each AM share was valued at $37.51.</t>
  </si>
  <si>
    <t>Security-Connecticut Corp</t>
  </si>
  <si>
    <t>ReliaStar Financial Corp</t>
  </si>
  <si>
    <t>ReliaStar Financial (RF) acquired Security-Connecticut (SC) in a stock swap transaction valued at $470.44. RF offered .7367 common shares per SC share, previously subject to a collar agreement. Based on RF's closing stock price of $73.125 on June 30, the last full trading day prior to the announcement of exact terms, each SC share was valued at $53.50. The transaction had been subject to regulatory approval.</t>
  </si>
  <si>
    <t>Sure Shot International Inc</t>
  </si>
  <si>
    <t>Mnfr sporting goods</t>
  </si>
  <si>
    <t>Investor Isiah Thomas terminated his letter of intent to acquire a 54.2% interest, or 4.5 mil newly issued common shares, in Sure Shot International (SSI) for $1.5 mil in cash. Additionally, Mr Thomas was to receive an option to acquire up to an additional 1 mil SSI common shares.</t>
  </si>
  <si>
    <t>CU Bancorp,Encino,California</t>
  </si>
  <si>
    <t>Pacific Century Financial Corp</t>
  </si>
  <si>
    <t>Pacific Century Financial (PCF), Honolulu, Hawaii, formerly Bancorp Hawaii, merged with CU Bancorp (CU), Encino, California, for a choice of $15.34 per share, or a total value of $178.446 mil. PCF offered a choice of either $15.34 in cash or $15. 34 in PCF common stock per CU share. Under a lockup agreement, PCF had been granted the option to acquire up to 19.9% of CU's stock. The transaction had been subject to federal and state banking regulatory approval.</t>
  </si>
  <si>
    <t>Fina Inc</t>
  </si>
  <si>
    <t>Mnfr petroleum refined prods</t>
  </si>
  <si>
    <t>Petrofina SA</t>
  </si>
  <si>
    <t>Mnfr,whl,retail petroleum</t>
  </si>
  <si>
    <t>Petrofina SA (PF) acquired the remaining 14.6% stake, which its Petrofina Delaware Inc subsidiary did not already own, in Fina Inc for $257.015 mil. The consideration consisted of $60 in cash per Class A common share and a warrant exercisable into .9 PF American Depository shares at a price of $42.25 per share. The warrant portion of the consideration was not valued because the exercise price of the warrant was greater than PF's closing stock price of $34.625 on February 13, the last full trading day prior to the announcement of definitive terms.</t>
  </si>
  <si>
    <t>Glendale Co-Operative Bank,MA</t>
  </si>
  <si>
    <t>MASSBank Corp</t>
  </si>
  <si>
    <t>MassBank, Reading, Massachusetts, acquired all the outstanding stock of Glendale Co-Operative Bank, Sverett, Massachusetts, for $28 per shares, or a total value of $6.923 mil. The transaction was subject to federal and state banking regulatory approval.</t>
  </si>
  <si>
    <t>Petrolite Corp</t>
  </si>
  <si>
    <t>Mnfr fuel additives,waxes</t>
  </si>
  <si>
    <t>Baker Hughes Inc</t>
  </si>
  <si>
    <t>Mnfr oil,natural gas machinery</t>
  </si>
  <si>
    <t>Baker Hughes (BH) acquired Petrolite (PL), including Wm S Barnickel's (WSB) 47% stake in PL, in a stock swap transaction valued at $710.9 mil, including all outstanding options. PL common shareholders received $61 in BH common shares for each PL share held. Previously, in November 1996, PL and WSB announced that they had retained Goldman Sachs and Morgan Stanley to assist in their search for a buyer for the company. The transaction was subject to regulatory approval.</t>
  </si>
  <si>
    <t>Summit Bancorp (SB), Princeton, New Jersey, acquired Collective Bancorp (CB), Egg Harbor City, New Jersey, in a stock swap transaction valued at $916.09 mil. SB offered .895 common shares per CB share. Based on SB's closing stock price of $49.25 on Feb 26, the last full trading day prior to the announcement, each CB share was valued at $44.08. The transaction was accounted for as a pooling of interests and had been subject to federal and state banking regulatory approval.</t>
  </si>
  <si>
    <t>Production Operators Corp</t>
  </si>
  <si>
    <t>Provide oil an gas field svcs</t>
  </si>
  <si>
    <t>Camco International Inc</t>
  </si>
  <si>
    <t>Mnfr oil,gas field equipment</t>
  </si>
  <si>
    <t>Camco International (CI) acquired Production Operators (PO) in a stock swap transaction valued at $609. 636 mil, including the assumption of $21 mil in liabilities. CI offered 1.3 CI common shares per PO share. Based on CI's closing stock price of $43.25 on Feb 26, the last full trading day prior to the announcement, each PO share was valued at $56.225. The transaction was accounted for as a pooling of interests and had been subject to regulatory approval.</t>
  </si>
  <si>
    <t>Healthsource Inc</t>
  </si>
  <si>
    <t>Cigna Corp</t>
  </si>
  <si>
    <t>Pvd healthcare insurance svcs</t>
  </si>
  <si>
    <t>CIGNA acquired all the outstanding common stock of Healthsource (HS) for $21.75 in cash per share, or a total value of $1.652 bil. Earlier, CIGNA completed its tender offer for HS by accepting 63. 3 mil shares. The transaction had been subject to regulatory approval.</t>
  </si>
  <si>
    <t>American Finl Entps Inc</t>
  </si>
  <si>
    <t>Provides investment services</t>
  </si>
  <si>
    <t>American Financial Group Inc</t>
  </si>
  <si>
    <t>American Financial Group (AG) acquired the remaining 17% stake, or 2.3 mil common shares, which it did not already own, in American Financial Enterprises (AE) for $82.6 mil, based on the cash consideration. AG offered a choice of either $37 in cash or 1 common share per AG share. The transaction was subject to regulatory approval.</t>
  </si>
  <si>
    <t>Fiserv Inc</t>
  </si>
  <si>
    <t>Provide information tech svcs</t>
  </si>
  <si>
    <t>FIserv (FI) acquired BHC Financial (BHC) in a stock swap transaction valued at $220.57 mil, including all outstanding BHC options. BHC shareholders received $33.50 in FI common stock for each BHC share held. The transaction was accounted for as a pooling of interests and had been subject to regulatory approval.</t>
  </si>
  <si>
    <t>CB Bancorp,Michigan City,IN</t>
  </si>
  <si>
    <t>Pinnacle Financial Services (PF), St Joseph, Michigan, acquired all the outstanding common stock of CB Bancorp, Michigan City, Indiana, for $35 in PF common stock per share, or a total value of $43.12 mil, subject to a collar agreement. The transaction had been subject to federal and state banking regulatory approval.</t>
  </si>
  <si>
    <t>Audio King Corp</t>
  </si>
  <si>
    <t>Own,op consumer electn stores</t>
  </si>
  <si>
    <t>Ultimate Electronics Inc</t>
  </si>
  <si>
    <t>Own,op radio,TV,electn stores</t>
  </si>
  <si>
    <t>Ultimate Electronics (UE) acquired Audio King (AK) in a stock swap transaction valued at $5.98 mil. UE offered a choice of $1.75 in cash or .7 common shares per AK share. Based on the stock consideration and UE's closing stock price of $3 on March 3, the last full trading day prior to the announcement, each AK share was valued at $2.1. The transaction had been subject to regulatory approval under the Hart-Scott-Rodino Antitrust Act.</t>
  </si>
  <si>
    <t>Allwaste Inc</t>
  </si>
  <si>
    <t>Pvd asbestos treatment svcs</t>
  </si>
  <si>
    <t>Philip Environmental (PE) merged with Allwaste in a stock swap transaction valued at $506.745 mil, including the assumption of approximately $133 mil in liabilities. PE offered .611 common shares per Allwaste share held. Based on PE's closing stock price of $16. 375 on March 5, the last full trading day prior to the announcement, each Allwaste share had been valued at $10. 005. The transaction had been subject to regulatory approval.</t>
  </si>
  <si>
    <t>Crop Growers Corp</t>
  </si>
  <si>
    <t>Firemans Fund Insurance Co</t>
  </si>
  <si>
    <t>Fireman's Fund Insurance, a unit of Allianz AG Holdings Berlin und Munchen, acquired all the outstanding common stock of Crop Growers for $10 .25 in cash per share, or a total value of $82.1 mil. The transaction had been subject to regulatory approval.</t>
  </si>
  <si>
    <t>Washington Mutual Bank (WM), Seattle, Washington, acting as a white knight, merged with Great Western Financial (GW), Chatsworth, California, in a stock swap transaction valued at $6.848 bil. WM offered .9 common shares per GW share. Based on WM's closing stock price of $53.25 on March 5, the last full trading day prior to the announcement, each GW share was valued at $47.925. Earlier, HF Ahmanson withdrew its unsolicited hostile offer to acquire GW in a reverse stock swap valued at $7.152 bil.</t>
  </si>
  <si>
    <t>Broad Natl Bancorp,Newark,NJ</t>
  </si>
  <si>
    <t>National commercial bank</t>
  </si>
  <si>
    <t>Hubco, Mahwah, New Jersey, withdrew its unsolicited offer to acquire Broad National Bancorp (BNB), Newark, New Jersey, in a stock swap transaction valued at $118.519 mil. Hubco offered .76 common shares per BNB share. The shares were valued based on Hubco's closing stock price of $25. 875 on March 6, the last full trading day prior to the announcement. The transaction was subject to federal and state banking regulatory approval.</t>
  </si>
  <si>
    <t>Micro Bio-Medics Inc</t>
  </si>
  <si>
    <t>Whl,mnfr medical equip</t>
  </si>
  <si>
    <t>Henry Schein Inc</t>
  </si>
  <si>
    <t>Medical, Dental, and Hospital Equipment and Supplies Merchant Wholesalers</t>
  </si>
  <si>
    <t>Henry Schein (HS) acquired Micor Bio-Medics (MB) in a stock swap transaction valued at $136.12 mil, including thea assumption of $30 mil in liabilities and all outstanding options. MB shareholders received .62 HS common shares per share held. Based on HS' closing stock price of $28.5 on March 6, the last full trading day prior to the announcement, each MB share was valued at $17.67. The transaction was accounted for as a pooling of interests and had been subject to regulatory approval.</t>
  </si>
  <si>
    <t>General Electric (GE) acquired all the outstanding common stock of Greenwich Air Services (GAS) for $31 per share, or a total value of $519.231 mil. GE offered a choice of either $31 in cash or in GE common stock per GAS share, whereby a maximum of 55% of the consideration was to be paid in cash. The transaction had been subject to regulatory approval.</t>
  </si>
  <si>
    <t>First Citizens Financial,MD</t>
  </si>
  <si>
    <t>Provident Bankshares Corp,MD</t>
  </si>
  <si>
    <t>Provident Bankshares (PB), Baltimore, Maryland, merged with First Citizens Financial (FCF), Gaithersburg, Maryland, in a stock swap transaction valued at $107.751 mil. PB offered .7665 common shares per FCF share. Based on PB's closing stock price of $44 on Aug 22, the last full trading day prior to the announcement of exact terms, each FCF share was valued at $33.726. The transaction was accounted for as a pooling of interests and had been subject to federal and state banking regulatory approval.</t>
  </si>
  <si>
    <t>TPC Corp</t>
  </si>
  <si>
    <t>PacifiCorp Holdings Inc</t>
  </si>
  <si>
    <t>PacifiCorp Holdings, a unit of PacifiCorp, acquired all the outstanding common stock of TPC, including French state-owned Gaz de France's 22.5% stake, for $13.41 in cash per share, or a total of $408.455 mil, including $20. 018 mil for TPC's outstanding options and the assumption of $147 mil in liabilities. Earlier in November 1996, TPC announced that it was seeking a buyer for the company.</t>
  </si>
  <si>
    <t>Ultrak Inc</t>
  </si>
  <si>
    <t>Whl electronic parts,equipment</t>
  </si>
  <si>
    <t>Checkpoint Systems Inc</t>
  </si>
  <si>
    <t>Mnfr,whl surveillance sys prod</t>
  </si>
  <si>
    <t>Checkpoint Systems (CS) terminated its agreement to merge with Ultrak (UT) in a stock swap transaction valued at $289.25 mil, including all outstanding options. UT shareholders were to receive 1.15 CS common shares for each UT share held. Based on CS' closing stock price of $22.5 on Mar 10, the last full trading day prior to the announcement, each UT share was valued at $25.875. The transaction was to be accounted for as a pooling of interests.</t>
  </si>
  <si>
    <t>He-Ro Group Ltd</t>
  </si>
  <si>
    <t>Mnfr,whl women's evening wear</t>
  </si>
  <si>
    <t>An investor group, comprised of Oleg Cassini and Stonehill Investment, terminated its agreement to acquire an 80% interest in He-Ro Group (HRG) for $7 mil in cash. Upon completion, HRG was to have been renamed Oleg Cassini Group International. The transaction was to have been subject to regulatory approval.</t>
  </si>
  <si>
    <t>National Education Corp</t>
  </si>
  <si>
    <t>Vocational training services</t>
  </si>
  <si>
    <t>Sylvan Learning Systems Inc</t>
  </si>
  <si>
    <t>Own,op learning ctrs</t>
  </si>
  <si>
    <t>Sylvan Learning Systems (SLS) terminated its agreement to acquire National Education (NE) in a stock swap transaction valued at $771. 565 mil. SLS offered .58 SLS shares per NE share, subject to a collar agreement. Based on SLS' closing stock price of $35.125 on March 11, the last full trading day prior to the announcement, each NE share was valued at $20.373. Subsequently, Harcourt General completed its unsolicited challenging tender offer to acquire NE for an amended $21 in cash per share, or a total value of $776.09 mil.</t>
  </si>
  <si>
    <t>Suburban Bancorporation,Ohio</t>
  </si>
  <si>
    <t>Fifth Third Bancorp (FT), Cincinnati, Ohio merged with Suburban Bancorp (SB), Cincinnati, Ohio, in a stock swap transaction valued at $32.916 mil. SB shareholders received .24357 FT common shares per SB share held. Based on FT's closing stock price of $87.9375 on Mar 12, the last full trading day prior to the announcement, each SB share was valued at $21.419. The transaction had been accounted for as a pooling of interests and was subject to federal and state banking regulatory approval.</t>
  </si>
  <si>
    <t>Communications Central Inc</t>
  </si>
  <si>
    <t>PhoneTel Technologies Inc</t>
  </si>
  <si>
    <t>Provide pay telephone svcs</t>
  </si>
  <si>
    <t>PhoneTel Technologies terminated its tender offer to acquire all the outstanding common stock of Communications Central (CC) for $12.85 in cash per share, or a total of $154.75 mil, including the assumption of approximately $74 mil in liabilities. The offer was to have been conditioned upon 75% of CC's shares being tendered on a fully diluted basis and subject to regulatory approval.</t>
  </si>
  <si>
    <t>Enterprise Systems Inc</t>
  </si>
  <si>
    <t>Develop hospital mgmt software</t>
  </si>
  <si>
    <t>HBO acquired Enterprise Systems (ES) in a stock swap transaction valued at $275. 161 mil, including all outstanding options. HBO offered .4579 common shares per ES share, previously subject to a collar agreement. Based on HBO's closing stock price of $69.5625 per share on June 25, the last full trading day prior to announcement of exact terms, each ES share was valued at $31.85. The transaction was accounted for as a pooling of interests and had been subject to regulatory approval.</t>
  </si>
  <si>
    <t>Vital Signs acquired all the outstanding common stock of Marquest Medical Products (MMP) for $.797 in cash per share, or a total value of $11.395 mil. The transaction had been subject to regulatory approval.</t>
  </si>
  <si>
    <t>Security Capital,Milwaukee,WI</t>
  </si>
  <si>
    <t>Marshall &amp; Ilsley (MI), Milwaukee, Wisconsin, acquired Security Capital (SC) , Milwaukee, Wisconsin, in a stock swap transaction valued at $1.116 bil. MI offered a choice of $111.06 in cash, or a combination of either 1. 3561 common shares and $41.40 in cash, or 1.9494 common shares and $10.90 in cash per SC share. The transaction was accounted for as a pooling of interests and had been subject to federal and state banking regulatory approval. Originally, MI offered $92 per SC share. Previously, F&amp;M Bancorp agreed to acquire the Antigo, Wisconsin branch of Security Capital.</t>
  </si>
  <si>
    <t>First Security Bk of Nevada,NV</t>
  </si>
  <si>
    <t>First Security Bank of Nevada, Las Vegas, Nevada (FSB), a unit of First Security (FS), Salt Lake City, Utah acquired American Bancorp of Nevada, Las Vegas, Nevada (ABN) in a stock swap transaction valued at $95.549 mil. FSB offered .9054 FS common shares per ABN share. Based on FS's closing stock price of $27.3125 on June 30, the last full trading day prior to the announcement of terms, each ABN share was valued at $24.73. The transaction had been subject to federal and state banking regulatory approval.</t>
  </si>
  <si>
    <t>Bank Corp of Georgia,Macon,GA</t>
  </si>
  <si>
    <t>Century South Banks Inc,GA</t>
  </si>
  <si>
    <t>Century South Banks (CSB), Gainesville, Georgia, definitively merged with Bank Corporation of Georgia (BCG), Macon, Georgia, in a stock swap transaction valued at $60.709 mil. CSB offered an amended 1.33 common shares per BCG share. Originally, CSB offered 1.4 shares per BCG share. Based on CSB's closing stock price of $18.75 on Mar 27, the last full trading day prior to the announcement, each BCG share was valued at $24.9375. The transaction was subject to federal and state banking regulatory approval and was to be accounted for as a pooling of interests.</t>
  </si>
  <si>
    <t>News Corp (NC) acquired Heritage Media (HM) in a stock swap transaction valued at $1.352 bil, including the assumption of approximately $600 mil in liabilities. NC offered $20.5 in preferred limited voting ordinary American depositary receipts per HM share. Later, Sinclair Broadcast Group (SB) agreed to acquire 6 television stations, including KOKH-TV, and 24 radio stations of HM from NC. SB later planned to divest KOKH-TV to Sullivan Broadcasting. The transactions were subject to regulatory approval.</t>
  </si>
  <si>
    <t>Standard Financial,Chicago,IL</t>
  </si>
  <si>
    <t>TCF Financial (TCF), Minneapolis, Minnesota, merged with Standard Financial (SF), Chicago, Illinois, for $428.026 mil. The finanl consideration consisted of $218.923 mil in cash and 3.85 mil TCF common shares valued at $209.103 mil. The shares were valued based on TCF's closing stock price of $54.3125 on Sep 3, the last full trading day prior to the announcement of exact terms. Earlier, TCF offered a choice of $25.81 in cash, or . 49359 TCF common shares, or $25.81 in a combination of cash and TCF common stock per SF share, subject to a collar agreement. The transaction had been subject to federal and state banking regulatory approval.</t>
  </si>
  <si>
    <t>American List Corp</t>
  </si>
  <si>
    <t>Pvd mail advertising svcs</t>
  </si>
  <si>
    <t>Snyder Communications Inc</t>
  </si>
  <si>
    <t>Pvd outsourced marketing svcs</t>
  </si>
  <si>
    <t>Snyder Communications (SC) acquired American List (AL) in a stock swap transaction valued at $117.124 mil. SC offered 1 common share per AL share, subject to a collar agreement. Based on SC's closing stock price on Mar 18, the last full trading day prior to the announcement, each AL share was valued at $26.25. The transaction was accounted for as a pooling of interests and had been subject to regulatory approval.</t>
  </si>
  <si>
    <t>Falcon Building Products Inc</t>
  </si>
  <si>
    <t>Manufacture air compressors</t>
  </si>
  <si>
    <t>Investcorp Bank BSC</t>
  </si>
  <si>
    <t>Pvd invest mgmt svcs</t>
  </si>
  <si>
    <t>Bahrain</t>
  </si>
  <si>
    <t>InvestCorp acquired all the outstanding stock of Falcon Building Products (FBP) for $17.75 in cash per share, or a total value of $584.48 mil, including the assumption of $225 mil in liabilities and all outstanding options. As part of the agreement, FBP shareholders had the choice of retaining their FBP shares. However, no more than 900, 000 FBP shares, or 4% of the common stock outstanding, could be retained. In December 1996, FBP announced it was seeking a buyer for the company or its individual businesses.</t>
  </si>
  <si>
    <t>US Bancorp,Minneapolis,MN</t>
  </si>
  <si>
    <t>First Bank System (FBS), Minneapolis, Minnesota, merged with US Bancorp (USB), Portland, Oregon, in a stock swap valued at $8.929 bil. FBS offered .755 FBS common shares per USB share. Based on FBS' closing stock price of $78.25 on March 19, the last full trading day prior to the announcement, each USB share was valued at $59.08. The transaction had been subject to federal and state banking regulatory approval and was accounted for as a pooling of interests. Upon completion, FBS assumed the US Bancorp name.</t>
  </si>
  <si>
    <t>CrossComm Corp</t>
  </si>
  <si>
    <t>Olicom A/S</t>
  </si>
  <si>
    <t>Olicom (OL) merged with CrossCom (CC) for approximately $84.586 mil. OL offered $5 in cash, .2667 common shares valued at $3. 934, and a 3-year warrant exercisable into .1075 OL shares at a price of $19.74 per CC share. The shares were valued based on OL's closing stock price of $14.75, the last full trading day prior to the announcement. The merged company retained the Olicom name. Earlier in November 1996, CC announced it was seeking a buyer for the company.</t>
  </si>
  <si>
    <t>Community Bankshares,NH</t>
  </si>
  <si>
    <t>CFX, Keene, New Hampshire, acquired Community Bankshares (CB), Concord, New Hampshire, in a stock swap transaction valued at $101.631 mil. CFX offered .2113 common shares per CB share, subject to a collar agreement. Based on CFX' closing stock price of $19.125 on Aug 28, the last full trading day prior to the announcement of exact terms, each CB share was valued at $40.411. The transaction was accounted for as a pooling of interests and had been subject to a lockup agreement and federal and state banking regulatory approval.</t>
  </si>
  <si>
    <t>MDL Information Systems</t>
  </si>
  <si>
    <t>Pvd scientific info svcs</t>
  </si>
  <si>
    <t>Elsevier Science Inc</t>
  </si>
  <si>
    <t>Publish books,journals</t>
  </si>
  <si>
    <t>Elsevier Science, a unit of Reed Elsivier PLC's Reed Elsevier Inc unit, merged with MDL Information Systems (MDL) for a total value of $310.73 mil in cash. Earlier, RE completed its tender offer for all the outstanding common stock of MDL for $32 in cash per share, by accepting 8.5 mil shares. Reed Elsevier PLC was a joint venture between Reed International and Elsevier.</t>
  </si>
  <si>
    <t>OnTrak Systems Inc</t>
  </si>
  <si>
    <t>Mnfrs semiconductor cap equip</t>
  </si>
  <si>
    <t>Lam Research Corp</t>
  </si>
  <si>
    <t>Mnfr wafer fabrication equip</t>
  </si>
  <si>
    <t>Lam Research (LR) acquired OnTrak Systems (OS) in a stock swap transaction valued at $217.897 mil, including all outstanding options. OS shareholders were to receive . 83 LR common shares for each OS share held. Based on OS' closing stock price of $32.25 on Mar 21, the last full trading day prior to the announcement, each OS share was valued at $26.77. The transaction was to be accounted for as a pooling of interests.</t>
  </si>
  <si>
    <t>Foodbrands America Inc</t>
  </si>
  <si>
    <t>IBP inc</t>
  </si>
  <si>
    <t>IBP merged with Foodbrands America (FA) for $23.40 in cash per share, or a total of $657.48 mil, including the assumption of approximately $350 mil in liabilities. Earlier, IBP completed its tender offer by accepting 11. 582 mil shares, or 83.5% of FA's fully diluted shares. The offer had been conditioned upon a majority of FA's shares being tendered on a fully diluted basis and had been subject to regulatory approval under the Hart-Scott-Rodino Antitrust Act.</t>
  </si>
  <si>
    <t>Phamis Inc</t>
  </si>
  <si>
    <t>Pvd integrated systems design</t>
  </si>
  <si>
    <t>IDX Systems Corp</t>
  </si>
  <si>
    <t>Dvlp med software</t>
  </si>
  <si>
    <t>IDX Systems (IDX) merged with Phamis (PH) in a stock swap transaction valued at $142.826 mil. IDX offered .73 common shares per PH share held. Based on IDX's closing stock price of $30.75 on March 24, the last full trading day prior to the announcement, each PH share was valued at $22.4475. The transaction was accounted for as a pooling of interests.</t>
  </si>
  <si>
    <t>Checkers Drive-In Restaurants (CKD) terminated its signed letter of intent to merge with Rally's Hamburger (RH) in a stock swap transaction valued at $111.819 mil. RH common shareholders were to receive 3 CKD common shares for each RH share held. Based on CKD's closing stock price of $1. 796875 on March 24, the last full trading stock price prior to the announcement, each RH share had been valued at $5.39. The transaction had been subject to regulatory approval.</t>
  </si>
  <si>
    <t>Argyle Television Inc</t>
  </si>
  <si>
    <t>Hearst Broadcasting Group</t>
  </si>
  <si>
    <t>Hearst Broadcasting Group merged with Argyle Television (ARG) to form Hearst-Argyle Television (HAT) in a stock swap transaction valued at $322.206 mil. ARG common shareholders were granted a choice to receive either $26. 50 in cash, 1 HAT Series A common share, or a combination of $13.25 in cash and .5 HAT Series A common shares for each ARG share held. No more than 50% of the consideration was paid in cash. The transaction had been subject to regulatory approval. Earlier, in August 1996, ARG was seeking a buyer for the company.</t>
  </si>
  <si>
    <t>CitiSave Finl,Baton Rouge,LA</t>
  </si>
  <si>
    <t>Deposit Guaranty,Jackson,MS</t>
  </si>
  <si>
    <t>Deposit Guaranty, Jackson, Mississippi, acquire all the outstanding stock of CitiSave Financial, Baton Rouge, Louisiana, for $20.5 in cash per share, or a total of $20. 299 mil. The transaction had been subject to federal and state banking regulatory approval.</t>
  </si>
  <si>
    <t>Goleta National Bank,Goleta,CA</t>
  </si>
  <si>
    <t>Los Robles Bancorp,California</t>
  </si>
  <si>
    <t>Los Robles Bancorp (LRB), Thousand Oaks, California, terminated its letter of intent to merge with Goleta National Bank (GNB), Goleta, California, to form Community West Bancshares (CWB), in a stock swap transaction valued at approximately $14.755 mil. LRB offered .55 CWB common shares and .55 CWB warrants per each GNB share and warrant held, respectively. Based on LRB's closing stock price of $18.25 on Mar 21, the last full trading day prior to the announcement, each GNB share was valued at $10.0375.</t>
  </si>
  <si>
    <t>Lincoln National Corp</t>
  </si>
  <si>
    <t>US - In March 1997, Lincoln National announced it was seeking a buyer for the company.</t>
  </si>
  <si>
    <t>Hamilton Acquisition LLC</t>
  </si>
  <si>
    <t>Hamilton Acquisition acquired all the outstanding common stock of Strober Organization for $6 in cash per share, or a total value of $33.396 mil. The transaction had been subject to regulatory approval.</t>
  </si>
  <si>
    <t>Peerless Industrial Group Inc</t>
  </si>
  <si>
    <t>Mnfr chain and wire</t>
  </si>
  <si>
    <t>R-B Capital Corp</t>
  </si>
  <si>
    <t>R-B Capital (RB), a company formed by Ridge Capital and William Blair Mezzanine Capital Fund, merged with Peerless Industrial Group (PI) for $1.67 in cash per share, or a total value of $10.474 mil. Earlier, RB completed its tender offer by accepting 6,092,155 common and Class B common shares, or 97.1% of PI's shares. The transaction had been subject to regulatory approval.</t>
  </si>
  <si>
    <t>Cascade Communications Corp</t>
  </si>
  <si>
    <t>Mnfr frame relays</t>
  </si>
  <si>
    <t>Ascend Communications (AS) merged with Cascade Communications (CC) in a stock swap transaction valued at $3.529 bil. CC shareholders received .7 AS shares per share held. Based on AS' closing stock price of $52 on Mar 27, the last full trading day prior to announcement, each CC share was valued at $36.40. The transaction was accounted for as a pooling of interests and had been subject to regulatory approval.</t>
  </si>
  <si>
    <t>Dynamics Corp of America</t>
  </si>
  <si>
    <t>Mnfr electrical appliances</t>
  </si>
  <si>
    <t>WHX Corp</t>
  </si>
  <si>
    <t>Mnfr steel prod</t>
  </si>
  <si>
    <t>WHX terminated its plans to acquire the remaining 80% interest, that it did not already own, in Dynamics Corp of America (DCA), for $45 in cash per share, or a total value of $139.126 mil. Concurrently, WHX amended its unsolicited hostile tender offer to raise its stake to 20% from 3% in DCA to a new offer to acquire the remaining 97% in DCA. Later, WHX completed its tender offer for the remaining 97% in DCA by accepting .4 mil shares, or 10.7% of DCA's shares, for a twice-sweetened $56 in cash per share, or a total value of $22.77 mil.</t>
  </si>
  <si>
    <t>EDT Toys(Knowledge Universe)</t>
  </si>
  <si>
    <t>EDT Toys (EDT), a unit of Knowledge Universe, terminated its letter of intent to acquire a 67.5% interest, in the form of convertible preferred stock and convertible senior debentures, in Empire of Carolina (EOC), for $50 mil. EDT offered to acquire $20 mil in preferred shares and $30 mil in senior debentures.</t>
  </si>
  <si>
    <t>Greater NY Svgs Bk,New York,NY</t>
  </si>
  <si>
    <t>Astoria Financial Corp</t>
  </si>
  <si>
    <t>Pvd banking svcs</t>
  </si>
  <si>
    <t>Astoria Financial (AF) acquired Greater New York Savings Bank (GN), New York, New York, in a stock swap transaction valued at $318. 108 mil. AF offered $19 in cash per share for 25% of GN's shares outstanding; and . 5 AF common shares per share for 75% of GN's shares outstanding. Based on the stock consideration and AF's closing stock price of $50. 3125 on Sep 30, the last full trading day prior to the announcement of exact terms, each GN share was valued at $25.156. The transaction had been subject to federal and state banking regulatory approval. Upon completion, GN was merged with AF's Astoria Federal Savings and Loan Association.</t>
  </si>
  <si>
    <t>Peak Technologies Group Inc</t>
  </si>
  <si>
    <t>Whl integrated systems</t>
  </si>
  <si>
    <t>Moore Corp Ltd</t>
  </si>
  <si>
    <t>Mnfr manifold business forms</t>
  </si>
  <si>
    <t>Moore merged with Peak Technologies (PT) for a total value of $169.76 mil, including outstanding options. Earlier, Moore completed its tender offer to acquire all the outstanding stock of PT for $18 in cash per share, by accepting 8,969,225 shares. The offer had been conditioned upon a majority of the shares being tendered and subject to regulatory approval.</t>
  </si>
  <si>
    <t>Hicks Muse Tate &amp; Furst Equity</t>
  </si>
  <si>
    <t>Hicks Muse Tate &amp; Furst Equity Fund III withdrew its unsolicited challenging offer to acquire all the outstanding stock of Thermal Industries (TI) for $19 in cash per share, or a total value of $37.494 mil. Previously, HIG Investment Group acquired all the outstanding common shares of TI for $15 in cash per share.</t>
  </si>
  <si>
    <t>Angeles Mortgage Investment</t>
  </si>
  <si>
    <t>Insignia Financial (IF) acquired the remaining 96% interest, or 2.44 mil common shares, which it did not already own in Angeles Mortgage Investment Trust (AMIT), a unit of Angeles, for $190 mil in IF Class A common shares. Previously, IF raised its stake to 6% from 3. 75% in AMIT.</t>
  </si>
  <si>
    <t>Sun Microsystems had been rumored to be in negotiations to merge with Apple Computer.</t>
  </si>
  <si>
    <t>Conoco Inc</t>
  </si>
  <si>
    <t>Conoco (CN), a unit of EI du Pont de Nemours, acquired a 50% interest, or 26,352 shares, in Atlantic Energy (AE), a 50-50 joint venture between AmeriGas Propane Partners(API) and Commonwealth Propane, from API.  API was a unit of UGI. Terms were not disclosed.</t>
  </si>
  <si>
    <t>Medical Resources (MR) terminated its offer to merge with US Diagnostic for $6.25 per share, or a total value of $147.082 mil, in a stock swap transaction.</t>
  </si>
  <si>
    <t>People's Savings Finl,CT</t>
  </si>
  <si>
    <t>Webster Financial (WF), Waterbury, Connecticut, acquired People's Savings Financial (PS) in a stock swap transaction valued at $67.633 mil. WF offered $34 in common stock per PS share held, subject to a collar agreement. The transaction had been subject to federal and state regulatory approval and had been accounted for as a pooling of interest.</t>
  </si>
  <si>
    <t>Alex Brown Inc</t>
  </si>
  <si>
    <t>Bankers Trust New York Corp</t>
  </si>
  <si>
    <t>Bankers Trust New York (BT), New York, New York, acquired Alex Brown (AB) in a stock swap transaction valued at $2. 077 bil. BT offered .83 common shares per AB share. Based on BT's closing stock price of $82.25 on Apr 4, the last full trading day prior to the announcement, each AB share was valued at $68.2675. The transaction was accounted for as a pooling of interests and had been subject to federal and state banking regulatory approval.</t>
  </si>
  <si>
    <t>DQE Inc</t>
  </si>
  <si>
    <t>Elec,water utility;holding co</t>
  </si>
  <si>
    <t>Allegheny Power System Inc</t>
  </si>
  <si>
    <t>Allegheny Power System (AP) withdrew its agreement to acquire DQE in a stock swap transaction valued at $4.0886 bil, including the assumption of $1.5 bil in liabilities. AP offered 1.12 common shares per DQE share. Based on AP's closing stock price of $29.75 on Apr 4, the last full trading day prior to the announcement, each DQE share was valued at $33.32. Upon completion, AP was to be renamed Alleghemy Energy. The transaction was subject to regulatory approval.</t>
  </si>
  <si>
    <t>Mesa Inc</t>
  </si>
  <si>
    <t>Parker &amp; Parsley Petroleum Co</t>
  </si>
  <si>
    <t>Parker &amp; Parsley Petroleum (PPP) merged with Mesa to form Pioneer Natural Resources (PNR) in a stock swap valued at $938.7 mil. Mesa shareholders received 1 PNR common share for every 7 common shares held. Mesa convertible preferred shareholders received a choice of 1.25 PNR common shares for every 7 shares or 1 PNR Series A 8% convertible preferred stock for every share held. Based on PPP's closing stock price of $29. 875 on April 4, each Mesa share was valued at $4.26. PPP shareholders were to receive 1 PNR share per share held.</t>
  </si>
  <si>
    <t>Pure Atria Corp</t>
  </si>
  <si>
    <t>Rational Software (RS) acquired Pure Atria (PA) in a stock swap transaction valued at $958.388 mil. RS offered . 9 common shares per PA share. Based on RS's closing stock price of $23.375 on Apr 4, the last full trading day prior to the announcement, each PA share was valued at $21.04. The transaction had been subject to regulatory approval and was accounted for as a pooling of interests.</t>
  </si>
  <si>
    <t>BNH Bancshares,New Haven,CT</t>
  </si>
  <si>
    <t>Citizens Financial Group, Providence, Rhode Island, a 76.5%-owned unit of Royal Bank of Scotland Group, acquired all the outstanding common stock of BNH Bancshares, New Haven, Connecticut, for $15.50 in cash per share, or a total value of $58.0199 mil. The transaction had been subject to federal and state banking regulatory approval.</t>
  </si>
  <si>
    <t>United Home Life Insurance Co</t>
  </si>
  <si>
    <t>SouthCap Corp</t>
  </si>
  <si>
    <t>SouthCap terminated its hostile tender offer to acquire the remaining 93.6% interest, which it did not already own, in United Home Life Insurance (UHLI), for an amended $7 in cash per share, or a total value of $8.135 mil. Originally, SouthCap offered $4.5 per share. The offer was to have been conditioned on 40% of UHLI's shares being tendered and subject to regulatory approval. Earlier, Farm Bureau Life Insurance definitively agreed acquire UHLI for $10.94 mil in cash.</t>
  </si>
  <si>
    <t>Public Storage Properties XVI</t>
  </si>
  <si>
    <t>Public Storage (PS) acquired all the outstanding common stock of Public Storage Properties XVI (PXVI) for $20. 01 per share, or a total value of $84.21 mil. PS offered a choice of either $20.01 in cash or PS common stock per PXVI Class A common share. PXVI Class B and Class C common shares were convertible into Class A common shares on a 1-for-1 basis.</t>
  </si>
  <si>
    <t>Public Storage Properties XVII</t>
  </si>
  <si>
    <t>Public Storage (PS) acquired all the outstanding common stock of Public Storage Properties XVII (PXVII) for $18.92 per share, or a total value of $74.89 mil. PS offered a choice of either $18.92 in cash or PS common stock per PXVII Class A common share. PXVII Class B and Class C common shares were convertible into Class A common shares on a 1-for-1 basis.</t>
  </si>
  <si>
    <t>Public Storage Ppties XVIII</t>
  </si>
  <si>
    <t>Public Storage (PS) acquired all the outstanding common stock of Public Storage Properties XVIII (PXVIII) for $19.55 per share, or a total value of $78.62 mil. PS offered a choice of either $19.55 in cash or PS common stock per PXVIII Class A common share. PXVIII Class B and Class C common shares were convertible into Class A common shares on a 1-for-1 basis.</t>
  </si>
  <si>
    <t>Public Storage Properties XIX</t>
  </si>
  <si>
    <t>Public Storage (PS) acquired all the outstanding common stock of Public Storage Properties XIX (PXIX) for $16. 52 per share, or a total value of $67.88 mil. PS offered a choice of $16.52 in cash or PS common stock per PXIX Class A common share. PXIX Class B and Class C common shares were convertible into Class A common shares on a 1-for-1 basis.</t>
  </si>
  <si>
    <t>FH Tomkins (FH) merged with Stant, a 56.9% owned unit of Bessemen Capital Partners, for a total value of $574.02 mil, including the assumption of $200 mil in liabilities. Earlier, FH completed its tender offer to acquire all the outstanding common stock of Stant, for $21.5 in cash per share, by accepting 16.1 mil shares, or 99.2% of Stant's stock. The offer had been conditioned upon a minimum of 50.1% of the shares being tendered and subject to regulatory approval.</t>
  </si>
  <si>
    <t>Procter &amp; Gamble Co</t>
  </si>
  <si>
    <t>Mnfr,whl beauty care products</t>
  </si>
  <si>
    <t>Procter &amp; Gamble acquired all the outstanding common stock of Tambrands for $50 in cash per share, or a total value of approximately $2.004 bil, including the assumption of $150 mil in liabilities. The transaction had been subject to regulatory approval.</t>
  </si>
  <si>
    <t>Hedstrom, a unit of Hicks Muse Tate &amp; Furst, acquired all the outstanding common stock of ERO for $11.25 in cash per share, or a total value of $203.582 mil, including the assumption of approximately $80 mil in liabilities. Earlier, Hedstrom completed its tender offer by accepting 10,834,922 common shares, or 98.5% of the outstanding stock. The offer had been conditional on a minimum of 50.1% of ERO's shares being tendered.</t>
  </si>
  <si>
    <t>Compaq Computer (CP) acquired all the outstanding common stock of Microcom for $16.25 in cash per share, or a total value of $267.55 mil. Earlier, CP completed its tender offer by accepting 16. 095 mil shares, or 95.2% of Microcom's fully diluted shares outstanding. The offer had been conditioned upon a majority of Microcom's shares being tendered on a fully diluted basis and subject to regulatory approval.</t>
  </si>
  <si>
    <t>Micron Electronics Inc</t>
  </si>
  <si>
    <t>Dvlp desktop,notebook systems</t>
  </si>
  <si>
    <t>Compaq Computer had been rumored to be in negotiations to acquire all the outstanding common shares of Micron Electronics, a 64%- owned unit of Micron Technology.</t>
  </si>
  <si>
    <t>Riviera Holdings Corp</t>
  </si>
  <si>
    <t>Own,op hotels;hldg co</t>
  </si>
  <si>
    <t>R&amp;E Gaming Corp</t>
  </si>
  <si>
    <t>R&amp;E Gaming, a company controlled by Allen Paulson, terminated its option to acquire a 58.8% in Riviera Holdings (RH) from Morgan Waterfall Vindtiadis (MW), Stoe Rein &amp; Farnham (SR), a unit of Liberty Mutual Insurance, and Sun Life Trust (SL), for $15 per share, or a total of $43.424 mil. MW held 25.9%, SR held 17.4%, and SL held 15.5% in RH. Concurrently, RE terminated agreement to acquire the remaining 41.2% stake, which it did not already own, in RH.</t>
  </si>
  <si>
    <t>Meditrust Corp</t>
  </si>
  <si>
    <t>Meditrust (MT) acquired all the outstanding paired units of Santa Anita Realty Enterprises (SA) in an amended reverse stock swap transaction valued at $389. 545 mil. MT offered 1 common share for every 1.2016 SA paired units. Based on MA's closing stock price of $37. 375 on June 19, the last full trading day prior to the announcement of amended terms, each SA paired unit was valued at $31.1. The value included a 10% stake, or 1. 255 mil paired units acquired for $31 per share, or a total of $38.907 mil, in open market transactions or privately negotiated transactions. Originally, MT agreed to acquire all the outstanding paired units of SA. Upon completion, SA was merged in to Meditrust Acquisition. Concurrently, an investor group terminated its plans to raise its stake to 62.24% from 16.53% in SA.</t>
  </si>
  <si>
    <t>APL Ltd</t>
  </si>
  <si>
    <t>Shipping,trucking co</t>
  </si>
  <si>
    <t>Neptune Orient Lines Ltd</t>
  </si>
  <si>
    <t>Pvd container transp svcs</t>
  </si>
  <si>
    <t>Neptune Orient Lines acquired all the outstanding common stock of APL for $33.50 per share, or a total value of $878.48 mil. The transaction had been subject to Department of Transportation and Maritime Administration regulatory approval.</t>
  </si>
  <si>
    <t>USA Waste Services (USA) acquired United Waste Systems (UWS) in a stock swap transaction valued at $1.682 bil. USA offered 1.075 common shares per UWS share. Based on USA's closing stock price of $35.25 on April 11, the last full trading day prior to the announcement, each share was valued at $37.89375. The transaction was accounted for as a pooling of interests and had been subject to regulatory approval.</t>
  </si>
  <si>
    <t>Wyndham Hotel Corp</t>
  </si>
  <si>
    <t>Wyndham International Inc</t>
  </si>
  <si>
    <t>US- Patriot American Hospitality and Patriot American Hospitality Operating (PA), formerly known as California Jockey Club/Bay Meadows Operating Co, merged with Wyndham Hotel (WH) in a stock swap valued at $773.1 mil, including the assumption of $152 mil in liabilities. PA offered a choice of 1.372 shares or equivalent cash per WH share, up to a maximum of $100 mil cash and subject to a collar agreement on a pre-Bay Meadows Operating/California Jockey Club (BC) merger basis. Based on PA's closing stock price of $22.25 on Apr 11, each WH share was valued at $30.53. Earlier, PA merged with BC.</t>
  </si>
  <si>
    <t>Kurzweil Applied Intelligence</t>
  </si>
  <si>
    <t>Electronic computing equip</t>
  </si>
  <si>
    <t>Lernout &amp; Hauspie Speech</t>
  </si>
  <si>
    <t>Dvlp multilingual software</t>
  </si>
  <si>
    <t>Lernout en Hauspie Speechproducts (LHS) acquired all the outstanding common stock of Kurzweil Applied Intelligence for approximately $51.293 mil. The consideration consisted of about $40.7 mil in cash and .46 mil common shares valued at $9.26 mil. The shares were valued based on LHS' closing stock price of $20.125 on Apr 14, the last full trading day prior to the announcement.</t>
  </si>
  <si>
    <t>Total Petroleum(North Amer)Ltd</t>
  </si>
  <si>
    <t>Ultramar Diamond Shamrock (UD), a unit of LASMO's Ultamar subsidiary, acquired all the outstanding common stock of Total Petroleum (North America) (TP), a 55.5%- owned unit of TOTAL, for $823. 72 mil, including the assumption of $435 mil in liabilities. UD offered .322 common shares per TP share. Based on UD's closing stock price of $30.875 on Apr 14, the last full trading day prior to the announcement, each TP share was valued at $9.94. Earlier in February 1997, UD was rumored to be in negotiations to acquire TP.</t>
  </si>
  <si>
    <t>Steck-Vaughn Publishing Corp</t>
  </si>
  <si>
    <t>Publish books, magazines</t>
  </si>
  <si>
    <t>Harcourt General Inc</t>
  </si>
  <si>
    <t>Harcourt General (HG) acquired the remaining 17%, or 2.438 mil common shares, in Steck-Vaugh Publishing (SVP), an 83%-owned unit of National Education (NE), for an amended $14.75 in cash per share, or a total value of $40.294 mil. Originally, HG offered $14. Earlier, HG completed its unsolicited challenging tender offer to acquire NE and Sylvan Learning Systems terminated its agreement to acquire NE.</t>
  </si>
  <si>
    <t>Drilex International Inc</t>
  </si>
  <si>
    <t>Pvd prod,svcs used in drilling</t>
  </si>
  <si>
    <t>Baker Hughes (BH) acquired Drilex International (DI) in a stock swap transaction valued at $120.135 mil. BH offered .4013 common shares per DI share. Based on BH's closing stock price of $43. 8125 on Jul 11, the last full trading day prior to the announcement of exact terms, each DI share was valued at $17.58.</t>
  </si>
  <si>
    <t>An investor group, including Richland Gordon and Bain Capital, acquired all the outstanding common stock of LIVE Entertainment (LVE), a 50.3%-owned unit of Pioneer Electronic, for $53.118 mil in cash. The group offered $6 in cash per LVE common share and $10 in cash per LVE Series B cumulative convertible share.</t>
  </si>
  <si>
    <t>Vitalink Pharmacy Services Inc</t>
  </si>
  <si>
    <t>Pvd health and allied svcs</t>
  </si>
  <si>
    <t>Manor Care Inc</t>
  </si>
  <si>
    <t>Own,op nursing homes,hotels</t>
  </si>
  <si>
    <t>Manor Care (MC) completed its tender offer to raise its stake to 51% from 45% in Vitalink Pharmacy (VP) for $20 in cash per share, or a total value of $30 mil, by accepting 1.5 mil shares. VP had previously been an 82% owned unit of MC but as a result of VP's stock swap acquisition of TeamCare Pharmacy from GranCare its stake was reduced to 45%.</t>
  </si>
  <si>
    <t>CRA Managed Care Inc</t>
  </si>
  <si>
    <t>usd field case mgmt svcs</t>
  </si>
  <si>
    <t>CRA Managed Care (CRA) acquired Concentra Managed Care Inc in a stock swap transaction valued at $498. 839 mil. CRA offered .56 common shares per OS share. Based on CRA's closing stock price of $39.75 on Apr 18, the last full trading day prior to the announcement, each OS share was valued at $22.26. The transaction had been subject to regulatory approval and was accounted for as a pooling of interests. Upon completion, CRA was renamed Concentra Managed Care.</t>
  </si>
  <si>
    <t>Goulds Pumps Inc</t>
  </si>
  <si>
    <t>Mnfr centrifugal pumps</t>
  </si>
  <si>
    <t>ITT Industries Inc</t>
  </si>
  <si>
    <t>Mnfr brakes and chassis sys</t>
  </si>
  <si>
    <t>ITT Industries (ITT) merged with Goulds Pumps (GP) for a total of $922.139 mil, including the assumption of $119 mil in liabilities. Earlier ITT completed its tender offer for all the outstanding common stock of GP, including 10% held by Gabelli Asset Management, for $37 in cash per share, by accepting 20.269 mil shares, or 91.2% of the company's common stock outstanding. The offer had been conditioned upon 90% of the shares being tendered and subject to regulatory approval under the Hart-Scott-Rodino Antitrust Act.</t>
  </si>
  <si>
    <t>Imagyn Medical Inc</t>
  </si>
  <si>
    <t>Mnfr surgical,medical instr</t>
  </si>
  <si>
    <t>UroHealth Systems (UH) merged with Imagyn Medical (IM) in a stock swap valued at $57.101 mil. UH offered an amended 1.4 common shares per IM share. Originally, UH offered 1.0358 common shares per IM share. Based on UH's closing stock price of $4. 9375 on July 17, the last full trading day prior to announcement of amended terms, each IM share was valued at $6.9125. Later, US Surgical made a challenging offer to acquire IM for a choice of $57.5 mil in cash or common stock. Upon completion, the merged entity was named Imagyn Medical Technologies.</t>
  </si>
  <si>
    <t>Harcourt General (HG) completed its unsolicited challenging tender offer for all the outstanding common stock of National Education (NE) for a sweetened $21 in cash per share, or a total value of $776.09 mil. Originally, HG offered $19.5. The offer had been conditioned upon a majority of NE's common shares outstanding being tendered. Earlier, Sylvan Learning Systems withdrew its agreement to acquire NE in a stock swap transaction valued at $771.565 mil. Later, HG acquired the remaining 17%, or 2.438 mil common shares, in Steck-Vaugh Publishing), an 83%-owned unit of NE, for an amended $14.75 incash per share, or a total value of $40.294 mil.</t>
  </si>
  <si>
    <t>Fox Kids Worldwide Inc</t>
  </si>
  <si>
    <t>Fox Kids Worldwide (FKW), a joint venture between News Corp and Saban Entertainment, merged with International Family Entertainment (IFE) for $35 in cash per share, or a total of $1.863 bil, including the assumption of $150 mil in liabilities. FKW offered $35 in cash per Class A and Class B share and $35 in preferred stock per non- voting Class C share and convertible secured note. The transaction included 21.6%, 9. 4%, 6.7% and 8.2% stakes held by Liberty Media, Regent University, the Robertson Family and Christian Broadcasting Network.</t>
  </si>
  <si>
    <t>Haverfield Corp,Lakewood,Ohio</t>
  </si>
  <si>
    <t>Charter One Financial (CO), Cleveland, Ohio, acquired Haverfield (HF), Lakewood, Ohio, in a stock swap transaction valued at $57.039 mil. CO offered .4952 common shares per HF share, subject to a collar agreement. Based on CO's closing stock price of $59 on September 18, the last full trading day prior to the completion, each HF share was valued at $29.217. The transaction had been subject to Office of Thrift Supervision, federal and state banking regulatory approval.</t>
  </si>
  <si>
    <t>VeriFone Inc</t>
  </si>
  <si>
    <t>Electronic funds transfer mach</t>
  </si>
  <si>
    <t>Hewlett-Packard (HP) acquired VeriFone (VF) in a stock swap transaction valued at $1.245 bil. HP offered 1 common share per VF share. The shares were valued based on HP's closing stock price of $50.50 on Apr 22, the last full trading day prior to the announcement. The transaction was accounted for as a pooling of interests.</t>
  </si>
  <si>
    <t>Gateway Bancorp,KY</t>
  </si>
  <si>
    <t>Peoples Bancorp,Marietta,OH</t>
  </si>
  <si>
    <t>Peoples Bancorp (PB), Marietta, Ohio, acquired Gateway Bancorp (GB), Catlettsburg, Kentucky, in a stock swap transaction valued at $20.56 mil. Catlettsburg Federal Savings Bank was a unit of GB. PB offered a choice of $18.75 in cash, common stock, or a combination of cash and common stock per GB share, subject to a collar agreement and with no more than 32% of the consideration to be paid in cash. The transaction had been subject to Office of Thrift Supervision, Federal and State banking regulatory approvals.</t>
  </si>
  <si>
    <t>Harnischfeger Industries Inc</t>
  </si>
  <si>
    <t>Mnfr mining,paper machinery</t>
  </si>
  <si>
    <t>Harnischfeger Industries (HI) terminated its unsolicited, hostile tender offer to acquire all the outstanding common stock of Giddings &amp; Lewis (GL) for $19 in cash per share, or a total of $751. 146 mil, including outstanding options and the assumption of $116 mil in liabilities. HI had begun a proxy fight to replace GL's board with a slate of its own nominees. Later,Thyssen, acting as white a knight, acquired all the outstanding common stock of GL for $21 in cash per share, or a total of $695.69 mil.</t>
  </si>
  <si>
    <t>MetroGolf Inc</t>
  </si>
  <si>
    <t>Own,op golf centers</t>
  </si>
  <si>
    <t>John W McCall Investment Group</t>
  </si>
  <si>
    <t>John W McCall Investment Group (JW) failed in its plans to to raise its stake to at least 50% from 9.54% in MetroGolf (MG) . Previously, JW acquired a 9.54% stake, or 211,020 common shares, in MetroGolf in open market transactions. Concurrently, Family Golf Centers acquired all the outstanding common stock of MG via a tender offer.</t>
  </si>
  <si>
    <t>Toy Biz Inc (TB) terminated its plans to merge with bankrupt Marvel Entertainment Group (MEG) for approximately $420 mil. The consideration was to have consisted of a 28% stake in the merged company, warrants to acquire up to additional 7.5% and 5% stakes in the merged company, shares in both Fleer/SkyBox and Panini, a $170 note, and the assumption of $250 mil in liabilities. Subsequently, TB planned to merge with MEG.</t>
  </si>
  <si>
    <t>PLM International Inc</t>
  </si>
  <si>
    <t>Pvd railcar,equip leasing svcs</t>
  </si>
  <si>
    <t>Equis Financial Group LP</t>
  </si>
  <si>
    <t>Equis Financial Group withdrew its offer to acquire all the outstanding common stock of PLM International for $5 in cash per share, or a total value of $46.02 mil.</t>
  </si>
  <si>
    <t>SC Bancorp,Anaheim,California</t>
  </si>
  <si>
    <t>Western Bancorp,California</t>
  </si>
  <si>
    <t>Western Bancorp (WB), Laguna Niguel, California, formerly known as Monarch Bancorp, merged with SC Bancorp (SC), Anaheim, California, for $105 mil in a stock swap transaction. MB offered $14. 25 in common stock per SC share. The transaction was to be accounted for as a pooling of interests and had been subject to federal and state regulatory approval. WB was formerly known as Monarch Bancorp before WB changed its name.</t>
  </si>
  <si>
    <t>Arden Industrial Products Inc</t>
  </si>
  <si>
    <t>Whl fasteners</t>
  </si>
  <si>
    <t>Park-Ohio Industries completed its unsolicited offer to acquire all the outstanding common stock of Arden Industrial Products (AIP) for $6 in cash per share, or a total value of $41.964 mil, by accepting 6. 85 mil shares, or 98% of AIP's common stock outstanding.</t>
  </si>
  <si>
    <t>Sinter Metals Inc</t>
  </si>
  <si>
    <t>Mnf powder metal parts</t>
  </si>
  <si>
    <t>GKN PLC</t>
  </si>
  <si>
    <t>Mnfr,whl auto,aircraft parts</t>
  </si>
  <si>
    <t>GKN acquired all the outstanding Class A and Class B common stock of Sinter Metals (SM) for $37 in cash per share, or a total value of $469.7 mil, including the assumption of approximately $184 mil in liabilities. Earlier, GKN completed its tender offer by accepting 9. 83 mil shares, or 94.3% of SM's fully-diluted shares. The offer was conditioned upon at least 50.1% of SM's shares being tendered on a fully-diluted basis and had been subject to regulatory approval.</t>
  </si>
  <si>
    <t>Cardinal Bancshares,Kentucky</t>
  </si>
  <si>
    <t>Area Bancshares Corp,Kentucky</t>
  </si>
  <si>
    <t>Area Bancshares (AB), Owensboro, Kentucky, acquired Cardinal Bancshares (CB), Lexington, Kentucky, in a stock swap transaction valued at $96.03 mil. AB offered 2. 7391 AB common shares per CB share. Based on AB's closing stock price of $22 on April 30, the last full trading day prior to the announcement, each CB share was valued at $60.2602. The transaction was accounted for as a pooling of interests and had been subject to federal and state banking regulatory approval.</t>
  </si>
  <si>
    <t>Cryenco Sciences Inc</t>
  </si>
  <si>
    <t>Mnfr liquid gas storage tanks</t>
  </si>
  <si>
    <t>Chart Industries Inc</t>
  </si>
  <si>
    <t>Chart Industries acquired all the outstanding stock of Cryenco Sciences for $2.75 in cash per share,or a total value of 19.24 mil, plus the assumption of liabilites.</t>
  </si>
  <si>
    <t>Choucroute Partners</t>
  </si>
  <si>
    <t>Choucroute Partners acquired all the outstanding common stock of David White for $12 in cash per share, or a total value of $5.923 mil.</t>
  </si>
  <si>
    <t>First Merchants Acceptance</t>
  </si>
  <si>
    <t>Provide personal credit svcs</t>
  </si>
  <si>
    <t>In May 1997, First Merchants Acceptance announced that it was seeking a buyer for the company.</t>
  </si>
  <si>
    <t>OneWave Inc</t>
  </si>
  <si>
    <t>Develop Internet software</t>
  </si>
  <si>
    <t>Avix Ventures LP</t>
  </si>
  <si>
    <t>Avix Ventures acquired a 51. 69% interest, or 7.75 mil common shares, in OneWave for approximately $8 mil and an undisclosed amount in profit- related payments.</t>
  </si>
  <si>
    <t>DecisionOne Holdings Corp</t>
  </si>
  <si>
    <t>Mnfr computer peripheral</t>
  </si>
  <si>
    <t>DLJ Merchant Bkg Partners II</t>
  </si>
  <si>
    <t>DLJ Merchant Banking Partners, a unit of Donaldson Lufkin &amp; Jenrette, acquired an 86.16% interest, or 26,334,351 common shares, in DecisionOne Holdings (DH) for $831.67 mil, including the assumption of $226 mil in liabilities, in a recapitalization transaction. DH shareholders were granted a choice to receive $23 in cash per share or were to retain common stock held, up to a maximum of 1,483,479 shares, on a prorated basis.</t>
  </si>
  <si>
    <t>First Michigan Bank Corp,MI</t>
  </si>
  <si>
    <t>Huntington Bancshares (HB), Columbus, Ohio, acquired First Michigan Bank (FM), Holland, Michigan, in a stock swap transaction valued at an amended $1.13 bil. HB offered an amended 1.155 common shares per FM share held. Originally, HB offered 1.05 shares per FM share. Based on HB's closing stock price of $36.25 on Sep 29, the last full trading day prior to announcement of amended terms, each FM share was valued at $41.869. The transaction was accounted for as a pooling of interests and had been subject to federal and state banking regulatory approval.</t>
  </si>
  <si>
    <t>Florida East Coast Inds Inc</t>
  </si>
  <si>
    <t>St Joe Corp</t>
  </si>
  <si>
    <t>Real estate development co</t>
  </si>
  <si>
    <t>St Joe Paper withdrew its plans to acquire the remaining 46% stake, which it did not already own, in Florida East Coast Industries for $102 in cash per share, or a total value of $428.4 mil.</t>
  </si>
  <si>
    <t>Fort Howard Corp</t>
  </si>
  <si>
    <t>Mnfr sanitary tissue products</t>
  </si>
  <si>
    <t>James River Corp of Virginia</t>
  </si>
  <si>
    <t>Mnfr paper,paper-related prods</t>
  </si>
  <si>
    <t>James River Corp of Virginia (JR) merged with Fort Howard (FH) to form a new company named Fort James in a reverse stock swap transaction valued at approximately $5.682 bil, including the assumption of about $2.4 bil in liabilities. JR offered 1.375 common shares per FH share. Based on JR's closing stock price of $30.875 on May 2, the last full trading day prior to the announcement, each FH share was valued at $42.45. The transaction was accounted for as a pooling of interests and had been subject to regulatory approval.</t>
  </si>
  <si>
    <t>Northrop Grumman Corp</t>
  </si>
  <si>
    <t>Mnfr aircraft,aerospace equip</t>
  </si>
  <si>
    <t>Northrop Grumman (NG) acquired Logicon (LO) in a stock swap transaction valued at $1.028 bil. NG offered . 6161 common shares per LO share, subject to a collar agreement. Based on NG's closing stock price of $115. 125 on Jul 31, the last full trading day prior to the announcement of exact terms, each LO share was valued at $70.929. The transaction was accounted for as a pooling of interests. The transaction had been subject to regulatory approval.</t>
  </si>
  <si>
    <t>Riser Foods Inc</t>
  </si>
  <si>
    <t>Giant Eagle Inc</t>
  </si>
  <si>
    <t>Own,operate supermarkets</t>
  </si>
  <si>
    <t>Giant Eagle (GE) merged with Riser Foods (RF) for $42 in cash per share, or a total of $468.47 mil, including the assumption of approximately $47 mil in liablilites. Earlier, GE completed its tender offer for all the outstanding Class A and Class B common stock RF for $42 in cash per share. The offer had been conditioned on a minimum of 80% of RF's shares being tendered and had been subject to regulatory approval.</t>
  </si>
  <si>
    <t>Transitional Hospitals Corp</t>
  </si>
  <si>
    <t>Select Medical Corp</t>
  </si>
  <si>
    <t>Own op acute care hospitals</t>
  </si>
  <si>
    <t>Select Medical terminated its definitive agreement to acquire all the outstanding common stock of Transitional Hospitals (TH) for $14.55 in cash per share, or total value of $569.447 mil. Earlier, Vencor launched a challenging tender offer for all the outstanding common shares of TH for a sweetened $16 in cash per share.</t>
  </si>
  <si>
    <t>Vivra Inc</t>
  </si>
  <si>
    <t>Incentive AB</t>
  </si>
  <si>
    <t>Mnfr medical instr,ind equip</t>
  </si>
  <si>
    <t>Incentive acquired all the outstanding common stock of Vivra for $35.62 in cash per share, or a total value of $1. 66 bil. The transaction had been conditioned upon at least 50.1% of the shares being tendered on a fully- diluted basis and had been subject to regulatory approval under the Hart-Scott- Rodino Antitrust Act. Previously, an investor group agreed to acquire Vivra Specialty Partners for $85 mil.</t>
  </si>
  <si>
    <t>BBN Corp</t>
  </si>
  <si>
    <t>GTE acquired all the outstanding stock of BBN for $29 in cash per share, or a total value of $713.828 mil, including the assumption of $70 mil in liabilities. Earlier, GTE completed its tender offer by accepting 21. 4 mil shares,or 90.7% of BBN's outstanding stockr. The offer had been conditioned upon two-thirds of BBN's shares being tendered. Originally, GTE was rumored to have agreed to merge with BBN.</t>
  </si>
  <si>
    <t>BW/IP Inc</t>
  </si>
  <si>
    <t>Mnfr fluid transfer equip</t>
  </si>
  <si>
    <t>Durco International Inc</t>
  </si>
  <si>
    <t>Mnfr,whl industrial equip</t>
  </si>
  <si>
    <t>Durco International (DI) merged with BW/IP to form Flowserve in a merger-of- equals stock swap transaction valued at $530.689 mil, including the assumption of $80 mil in liabilities. DI offered .6968 common shares per BW/IP share held. Based on DI's closing stock price of $26.625 on May 5, the last full trading day prior to announcement, each BW/IP share was valued at $18.55. The transaction was accounted for as a pooling of interests.</t>
  </si>
  <si>
    <t>Foundation Health Systems Inc</t>
  </si>
  <si>
    <t>Foundation Health Systems, a unit of Foundation Health, acquired all the outstanding Class A and Class B common stock of Physicians Health Services (PHS), including Greater Bridgeport Individual Practice Association's (GBIPA) 27% stake in PHS, for an amended $28.25 in cash per share, or a total value of $268.199 mil. GBIPA's 27% economic stake represented 58% of the voting interest of PHS. The transaction was subject to regulatory approval.</t>
  </si>
  <si>
    <t>Varsity Spirit</t>
  </si>
  <si>
    <t>Mnfr,whl cheerleader uniforms</t>
  </si>
  <si>
    <t>Riddell Sports Inc</t>
  </si>
  <si>
    <t>Mnfr football equip</t>
  </si>
  <si>
    <t>Riddell Sports (RS) merged with Varsity Sports (VS) for $18.9 in cash per share, or a total value of $91.041 mil. Earlier, RS completed its tender offer for all the outstanding common stock of VS by accepting 4.5 mil shares. The offer had been conditioned upon a majority of the shares being tendered on a fully-diluted basis.</t>
  </si>
  <si>
    <t>Virginia First Finl Corp,VA</t>
  </si>
  <si>
    <t>BB&amp;T Corp.</t>
  </si>
  <si>
    <t>Southern National Corp acquired Virginia First Financial (VF), Petersburg, Virginia, in a stock swap transaction valued at $145. 347 mil. SN offered .6 common shares per VF share. Based on SN's closing stock price of $40.63 on May 5, the last full trading day prior to the announcement, each VF share was valued at $24.38. The transaction was subject to federal and state banking regulatory approval. Originally, BBT was named Southern National, Winston- Salem, North Carolina.</t>
  </si>
  <si>
    <t>Lehman Brothers Holdings Inc</t>
  </si>
  <si>
    <t>Invest bk</t>
  </si>
  <si>
    <t>JP Morgan &amp; Co Inc</t>
  </si>
  <si>
    <t>JP Morgan was rumored to be in negotiations to acquire all the outstanding common stock of Lehman Brothers Holdings. Chase Manhattan and Internationale Nederlanden Groep were also rumored to be possible buyers. The Current status of this deal is unknown.</t>
  </si>
  <si>
    <t>Reliable Life Insurance Co</t>
  </si>
  <si>
    <t>US - Unitrin Inc (Unitrin) acquired the entire share capital of Reliable Life Insurance Co (Reliable) in exchange for a 3.76 mil common shares valued at USD 261.085 mil. The transaction was valued based on Unitrin's closing stock price of USD 69. 4375 on June 2, the last full trading day prior to the announcement of the amended terms. Previously, Unitrin offered a choice of either 2. 235 common shares or USD 119 in cash per Reliable share, with a maximum of 20% of the consideration to be paid in cash. Based on Unitrin's closing stock price of USD 53. 75 on May 6, the last full trading day prior to the announcement, each Reliable share was valued at USD 120. 13. The transaction had been subject to regulatory approval.</t>
  </si>
  <si>
    <t>Vencor Inc (VI) acquired all the outstanding common stock of Transitional Hospitals Corp (TH) for a sweetened $16 in cash per share, or a total value of $627.955 mil. Previously, VI completed its tender offer for TH by accepting 37,247,234 shares, or 95.5% of TH's shares. Originally, Vencor offered $15 in cash per share. The transaction was conditioned upon the redemption or invalidation of TH's poison pill and was subject to regulatory approval under the Hart-Scott-Rodino Antitrust Act. Later, Select Medical terminated its definitive agreement to acquire TH for $14.55 in cash per share.</t>
  </si>
  <si>
    <t>Imex Medical Systems Inc</t>
  </si>
  <si>
    <t>Mnfr fetal diagnostic instr</t>
  </si>
  <si>
    <t>Nicolet Biomedical Inc</t>
  </si>
  <si>
    <t>Mnfr,distribute med instr sys</t>
  </si>
  <si>
    <t>Nicolet Biomedical, a unit of Thermo Electron, acquired all the outstanding common stock of Imex Medical Systems (IM) for $1.35 per share, or a total value of $9.324 mil in cash. Upon completion, IM changed its name to Nicolet Vascular. The transaction had been subject to regulatory approval.</t>
  </si>
  <si>
    <t>Apollo Management LP</t>
  </si>
  <si>
    <t>Apollo Management (AM), a unit of Apollo Advisors, acquired all the outstanding common stock of Living Centers of America (LCA) for $40.5 per share, or a total value of $1.048 bil. The amended consideration consisted of $40.5 in cash per share for an initial 90. 5% interest, $40.5 in common stock for the remaining 9.5% stake, and $240 mil for 4.94 mil newly issued LCA shares. Concurrently, an investor group comprised of AM and LCA acquired GranCare for $243.12 mil. Upon completion, the three companies merged to form Paragon Health Network.</t>
  </si>
  <si>
    <t>Magna Bancorp,Hattiesburg,MS</t>
  </si>
  <si>
    <t>Union Planters (UP) acquired Magna Bancorp (MB), Hattiesburg, Mississippi, in a stock swap transaction valued at $330.092 mil. UP offered .5165 common shares per MB share. Based on UP's closing stock price of $46. 125 per share on May 8, the last full trading day prior to the announcement, each MB share was valued at $23.82. The transaction had been subject to federal and state banking regulatory approval and was accounted for as a pooling of interests.</t>
  </si>
  <si>
    <t>CTS Corp</t>
  </si>
  <si>
    <t>CTS acquired Dynamics Corp of America (DC) in a challenging two-tier stock swap valued at $244.554 mil. CTS offered an amended $56.25 in cash per DC share for initial 31.45%, a choice of $58 in cash or .88 shares per DC share for subsequent 18. 54%, and .88 shares per DC share for remaining 50.01%. Earlier, CTS offered $56.25 for initial 31.45% and .88 shares for remaining 68.55%. Based on stock consideration and CTS' closing price of $72. 8125 on Jul 17, the last day prior to announcement of amended terms, each DC share was valued at $64.075.</t>
  </si>
  <si>
    <t>Mercom Inc(C-TEC Corp)</t>
  </si>
  <si>
    <t>C-TEC offered to acquire the remaining 38%, or 1.82 mil common shares, which it did not already own, in Mercom in exchange for a 23% stake in C- TEC Cable Systems of Michigan.</t>
  </si>
  <si>
    <t>Smith's Food &amp; Drug Centers</t>
  </si>
  <si>
    <t>Fred Meyer Inc</t>
  </si>
  <si>
    <t>Fred Meyer (FM), a majority- owned unit of Kohlberg Kravis Roberts, acquired Smith's Foods &amp; Drug Centers (SF) in a merger-of-equals stock swap transaction valued at approximately $2.018 bil, including the assumption of approximately $1.3 bil in liabilities. FM offered 1.05 common shares per SF share. Based on FM's closing stock price of $41.875 on May 9, the last full trading day prior to announcement, each SF share was valued at $43.97. The transaction had been subject to regulatory approval.</t>
  </si>
  <si>
    <t>Aurum Software Inc</t>
  </si>
  <si>
    <t>Dvlp sales, mktg info software</t>
  </si>
  <si>
    <t>BAAN Co NV</t>
  </si>
  <si>
    <t>Baan acquired Aurum Software (AS) in a stock swap transaction valued at $259. 881 mil. Baan offered .3559 common shares per AS share. Based on Baan's closing stock price of $62.125 on May 12, the last full trading day prior to the announcement, each AS share was valued at $22.11. The transaction was accounted for as a pooling of interests.</t>
  </si>
  <si>
    <t>Inbrand Corp</t>
  </si>
  <si>
    <t>Mnfr incontinence products</t>
  </si>
  <si>
    <t>Tyco International Ltd</t>
  </si>
  <si>
    <t>Mnfr,whl security prod,sys</t>
  </si>
  <si>
    <t>Tyco International (TI) acquired Inbrand in a stock swap transaction valued at $322.836 mil, including all outstanding options. TI offered .43 common shares per Inbrand share. Based on TI's closing stock price of $63.25 on May 12, the last full trading day prior to the announcement, each Inbrand share was valued at $27.1975. The transaction was accounted for as a pooling of interests.</t>
  </si>
  <si>
    <t>Enron Global Power &amp; Pipelines</t>
  </si>
  <si>
    <t>Enron acquired the remaining 48.04% interest, which it did not already own, in Enron Global Power &amp; Pipelines (EPP) in a stock swap transaction valued at $428.017 mil. Enron offered an amended .9189 common shares per EPP share. The shares were valued based on Enron's closing stock price of $36.8125 on December 17, the last full trading day prior to the announcement of terms. Originally, Enron offered $32 in common stock per EPP share.</t>
  </si>
  <si>
    <t>Envirodyne Industries Inc</t>
  </si>
  <si>
    <t>Mnfr cellulosic casings</t>
  </si>
  <si>
    <t>Zapata (ZP) terminated its offer to acquire the remaining 59.6% interest, or 8.68 mil common shares, which it did not already own, in Envirodyne Industries (EI) for $4 in cash and $4 in ZP common stock per EI common share, or a total value of approximately $596.756 mil, including the assumption of about $524.3 mil in liabilities.</t>
  </si>
  <si>
    <t>Foilmark Inc</t>
  </si>
  <si>
    <t>Manufacture,whl metal foil</t>
  </si>
  <si>
    <t>Advanced Deposition Techs Inc</t>
  </si>
  <si>
    <t>Mnfr metallized films</t>
  </si>
  <si>
    <t>Advanced Deposition Technologies (ADT) withdrew its unsolicited offer to acquire all the outstanding common stock of Foilmark for an undisclosed amount of cash and ADT common stock.</t>
  </si>
  <si>
    <t>Farm Bureau Mutual Ins Co</t>
  </si>
  <si>
    <t>Pvd mutual ins svcs</t>
  </si>
  <si>
    <t>Farm Bureau Life Insurance definitively agreed to launch a tender offer to acquire all the outstanding common stock of United Home Life Insurance (UHLI), for $8.75 in cash per share, or a total value of $10.94 mil. The transaction was subject to regulatory approval. Previously, SouthCap terminated its hostile tender offer to acquire the remaining 93.6% interest, which it did not already own, in UHLI for an amended $7 in cash per share, or a total value of $8.135 mil.</t>
  </si>
  <si>
    <t>First Finl,Stevens Point,WI</t>
  </si>
  <si>
    <t>Associated Banc-Corp (AB), Green Bay, Wisconsin, acquired First Financial (FF), Stevens Point, Wisconsin, in a merger-of-equals stock swap transaction valued at $1.0747 bil. AB offered .765 common shares per FF share. Based AB's closing stock price of $37.75 on May 14, the last full trading day prior to the announcement, each FF share was valued at $28.88. The transaction was accounted for as a pooling of interests and had been subject to federal and state banking regulatory approval. The newly formed entity retained AB's name.</t>
  </si>
  <si>
    <t>In May 1997, Consumers Financial (CF) announced it was again seeking a buyer for the company. Later, Life of the South signed a letter of intent to acquire the marketing organization and force credit insurance business of CF. Also, LaSalle Group (LG) terminated its merger agreement with CF for $11.47 mil. Earlier in March 1996, CF announced it was seeking a buyer for the company. The second search for a buyer was a result of LG's inability to obtain sufficient funding to finance the merger with CF.</t>
  </si>
  <si>
    <t>R&amp;E Gaming (RE), a company controlled by Allen Paulson, withdrew its intentions to acquire the remaining 41.2% stake, which it did not already own, in Riviera Holdings (RH) for $15 per share, or a total value of $205.427 mil, including the assumption of $175 mil in liabilities. Concurrently, RE terminated its option to acquire a 58.8% interest in RH from Morgan Waterfall Vindtiadis, Stoe Rein &amp; Farnham, and Sun Life Trust for $15 per share, or a total of $43.424 mil.</t>
  </si>
  <si>
    <t>Keystone International Inc</t>
  </si>
  <si>
    <t>Mnfr indl flow control prod</t>
  </si>
  <si>
    <t>Tyco International (TI) acquired Keystone International (KI) in a stock swap transaction valued at $1. 362 bil. TI offered .48726 common shares per KI share, subject to a collar agreement. Based on TI's closing stock price of $78.4375 on Aug 29, the last full trading day prior to the announcement, each KI share was valued at $38.2195. The transaction was accounted for as a pooling of interests and had been subject to regulatory approval.</t>
  </si>
  <si>
    <t>Wembley Rubber Products</t>
  </si>
  <si>
    <t>Mnfr gloves</t>
  </si>
  <si>
    <t>Wembley Rubber Products (Malaysia) (WM) raised its stake to 55.1% from 18.39% in MBf USA (MBF), a unit of MBf Holdings' MBf International (MBFI) subsidiary, by acquiring 2.5 mil unregistered common shares for $2.7 per share or a total value of $6.75 mil. Concurrently, WM acquired 1, 252,538 common shares, or a 18.39% stake in MBF, from MBFI, for $5 per share or a total value of $6.26 mil.</t>
  </si>
  <si>
    <t>Renaissance Solutions Inc</t>
  </si>
  <si>
    <t>Pvd mgmt consulting services</t>
  </si>
  <si>
    <t>Registry Inc</t>
  </si>
  <si>
    <t>Pvd info tech consulting svcs</t>
  </si>
  <si>
    <t>Registry (RY) acquired Renaissance Solutions (RS) in a stock swap transaction valued at $454.476 mil. RY offered .8 common shares per RS share. Based on RY's closing stock price of $56.5 on May 19, the last full trading day prior to the announcement, each RS share was valued at $45.2.</t>
  </si>
  <si>
    <t>Bigmar Inc</t>
  </si>
  <si>
    <t>Mnfr pharmaceutical chemicals</t>
  </si>
  <si>
    <t>Mr John Tramontana, chairman of Bigmar, raised his stake to 58.2% from 26.7% in Bigmar by acquiring 1,293,663 common shares from Chemholding and four other undisclosed individuals in a privately negotiated transaction.</t>
  </si>
  <si>
    <t>Howell Industries Inc</t>
  </si>
  <si>
    <t>Oxford Automotive Inc</t>
  </si>
  <si>
    <t>Oxford Automotive acquired all the outstanding common stock of Howell Industries (HI) for $37 in cash per share, or a total value of $23.04 mil. The transaction had been subject to regulatory approval. Earlier in November 1996, HI announced it was seeking a buyer for the company.</t>
  </si>
  <si>
    <t>KU Energy Corp</t>
  </si>
  <si>
    <t>LG&amp;E Energy (LG) acquired KU Energy (KU) in a merger-of- equals stock swap transaction valued at $1.539 bil. LG offered 1.67 common shares per KU share held. Based on LG's closing stock price of $24.375 on May 19, the last full trading day prior to the announcement, each KU share was valued at $40.706. The transaction had been subject to regulatory approval, a lockup agreement and was accounted for as a pooling of interests.</t>
  </si>
  <si>
    <t>RCSB Finl Inc,Rochester,NY</t>
  </si>
  <si>
    <t>Charter One Financial (COF), Cleveland, Ohio, acquired all the outstanding common stock of RCSB Financial (RCSB), Rochester, New York, in a stock swap transaction valued at $634.109 mil. COF offered . 91 common shares per RCSB share. Based on COF's closing stock of $46.5 on May 20, the last full trading day prior to the announcement, each RCSB share was valued at $42. 315. The transaction was to be accounted for as a pooling of interests and had been subject to a lock-up agreement and federal and state banking regulatory approval.</t>
  </si>
  <si>
    <t>Worldwide Leisure Corp</t>
  </si>
  <si>
    <t>Travel agency</t>
  </si>
  <si>
    <t>Worldwide Leisure (WL) terminated its plans to acquire an 80% interest, or 6. 56 mil common shares, in Total World Telecommunications for $33 mil. WL offered a choice of either $11 mil in cash and $22 mil in WL common stock or $33 mil in WL common stock.</t>
  </si>
  <si>
    <t>Biopsys Medical Inc</t>
  </si>
  <si>
    <t>Johnson &amp; Johnson (JJ) acquired Biopsys Medical (BM) in a stock swap transaction valued at $303.494 mil. JJ offered .464 common shares per BM share. Based on JJ's closing stock price of $59. 375 on May 21, the last full trading day prior to the announcement, each BM share was valued at $27.55. The transaction had been subject to regulatory approval under the Hart-Scott-Rodino Antitrust Act.</t>
  </si>
  <si>
    <t>Chaparral Steel Co</t>
  </si>
  <si>
    <t>Mnfr primary steel prod</t>
  </si>
  <si>
    <t>Texas Industries Inc</t>
  </si>
  <si>
    <t>Mnfr,whl constr,steel products</t>
  </si>
  <si>
    <t>Texas Industries (TI) acquired the remaining 15% stake, or 4.26 mil common shares, in Chaparral Steel that it did not already own, for an amended $15.5 in cash per share, or a total value of $72.816 mil. Originally, TI offered $14.25 in cash per share.</t>
  </si>
  <si>
    <t>Mail Boxes Etc</t>
  </si>
  <si>
    <t>Pvd franchised postal svcs</t>
  </si>
  <si>
    <t>US Office Products Co</t>
  </si>
  <si>
    <t>Whl,retail office supplies</t>
  </si>
  <si>
    <t>US Office Products (USOP) acquired Mail Boxes Etc (MBE) in a stock swap transaction valued at $354.823 mil. USOP offered 1.349 common share per MBE share. The transaction was accounted for as a pooling of interests. The value was based on USOP's closing stock price of $20.25 on Nov 19, the last full trading day prior to the announcement of exact of terms..</t>
  </si>
  <si>
    <t>Palmer Wireless Inc</t>
  </si>
  <si>
    <t>Pvd telephone services</t>
  </si>
  <si>
    <t>Price Communications (PC) acquired all the outstanding Class A common stock of Palmer Wireless (PW) for $17. 50 in cash per share, or a total value of $870.417 mil, including the assumption of approximately $380 mil in liabilities, via a tender offer. The transaction had been subject to Federal Communication Commission regulatory approval.</t>
  </si>
  <si>
    <t>Alamco Inc</t>
  </si>
  <si>
    <t>Columbia Natural Resources LLC</t>
  </si>
  <si>
    <t>Own,op natural gas pipeline</t>
  </si>
  <si>
    <t>Columbia Natural Resources, a unit of Columbia Gas Systems, acquired all the outstanding stock of Alamco for $15.75 in cash per share, or a total value of $102.841 mil, including the assumption of $24 mil in liabilities.</t>
  </si>
  <si>
    <t>Cendant Corp</t>
  </si>
  <si>
    <t>CUC International (CUC) acquired HFS in a merger-of- equals stock swap transaction valued at $11.343 bil. CUC offered 2.4031 common shares per HFS share. Based on CUC's closing stock price of $25. 125 on May 23, the last full trading day prior to the announcement, each HFS share was valued at $60.378. The transaction was accounted for as a pooling of interests and had been subject to Federal Trade Commission regulatory approval.</t>
  </si>
  <si>
    <t>Walt Disney discontinued its rumor be in negotiations to acquire all the outstanding common stock of International Family Entertainment (IFE). Later, Fox Kids Worldwide (FKW), a joint venture between News Corp and Saban Entertainment, merged with IFE for $35 in cash per share, or a total of $1.811 bil, including the assumption of $150 mil in liabilities.</t>
  </si>
  <si>
    <t>AT&amp;T was rumored to have been in negotiations to merge with SBC Communications.</t>
  </si>
  <si>
    <t>CommNet Cellular Inc</t>
  </si>
  <si>
    <t>Cellular telephone services</t>
  </si>
  <si>
    <t>Blackrock Florida Municipal</t>
  </si>
  <si>
    <t>closed-end invst fund</t>
  </si>
  <si>
    <t>Blackstone Capital Partners Merchant Banking Fund (BCP) acquired an 87% interest in CommNet Cellular (CC) for $36 in cash per share, or a total value of $631.15 mil, including the assumption of $200 mil in liabilities. BCP granted CC shareholders a choice to retain their shares up to a maximum of .59 mil common shares. If the total number of shares retained were less or more than .59 mil, those shares were to be prorated. The transaction was subject to regulatory approval.</t>
  </si>
  <si>
    <t>DAKA International Inc</t>
  </si>
  <si>
    <t>Compass Group PLC</t>
  </si>
  <si>
    <t>Own,operate eating places</t>
  </si>
  <si>
    <t>Compass Group acquired all the outstanding common stock of DAKA International (DI) for $7.5 in cash per share, or a total value of approximately $193.982 mil, including the assumption of about $110 mil in liabilities. Earlier, Compass Group completed its tender offer for DI by accepting 10.64 mil, or 95% of DI's shares. The offer was conditioned upon 66% of the shares being tendered and had been subject to regulatory approval. Previously, DI spun off its Unique Casual Restaurants unit to shareholders.</t>
  </si>
  <si>
    <t>Owens Corning</t>
  </si>
  <si>
    <t>Mnfr glass fiber materials</t>
  </si>
  <si>
    <t>Owens Corning acquired all the outstanding stock of Fibreboard via a tender offer for $55 in cash per share, or a total value of $631.165 mil, including the assumption of $120 mil in liabilities. The offer had been conditioned upon a majority of the shares being tendered.</t>
  </si>
  <si>
    <t>An investor group, including Berg &amp; Berg Enterprises, acquired a 79.65% interest, or 6 mil newly issued common shares, in Mission West Properties, for $.15 per share, or a total value of $. 9 mil.</t>
  </si>
  <si>
    <t>Integrated Living Communities</t>
  </si>
  <si>
    <t>Pvd nursing,personal care svcs</t>
  </si>
  <si>
    <t>Whitehall Street Real Estate</t>
  </si>
  <si>
    <t>Whitehall Street Real Estate VII (WS) acquired all the outstanding common stock of Integrated Living Communities (LC) for $11.50 in cash per share, or a total value of $79.7 mil. Earlier, WS completed its tender for LC by accepting 6,646,851, or 99. 25% of LC's shares. The offer had been conditioned on a majority of the shares being tendered on a fully diluted basis.</t>
  </si>
  <si>
    <t>National Picture and Frame Co</t>
  </si>
  <si>
    <t>Mnfr picture,mirror frames</t>
  </si>
  <si>
    <t>Colonnade Capital LLC</t>
  </si>
  <si>
    <t>Colonnade Capital (CC) acquired National Picture and Frame (NP) for $12 in cash per share, or a total value of $60.327 mil. Earlier, CC completed its ternder offer for NP by accepting 4,765,257 shares, or 95.9% of NP's stock outstanding.</t>
  </si>
  <si>
    <t>Acordia Inc</t>
  </si>
  <si>
    <t>Pvd ins brokerage svcs</t>
  </si>
  <si>
    <t>Anthem Inc</t>
  </si>
  <si>
    <t>Anthem acquired the remaining 33.2%, or 4.32 mil common shares, that it did not already owned, in Acordia, for $40 in cash per share, or a total value of $193.155 mil. Earlier, Anthem completed its tender offer for the remaining 33.2% stake by accepting 4.045 mil shares. The offer had been conditioned upon a majority of the shares, not owned by Anthem, being tendered.</t>
  </si>
  <si>
    <t>Faulding Inc(FH Faulding &amp; Co)</t>
  </si>
  <si>
    <t>Mnfr pharmaceutical preps</t>
  </si>
  <si>
    <t>FH Faulding &amp; Co Ltd</t>
  </si>
  <si>
    <t>Mnfr,whl drugs,toiletries</t>
  </si>
  <si>
    <t>FH Faulding (FH) acquired the remaining 38% stake, or 5. 72 mil common shares, which it did not already own, in Faulding, for an amended $13. 5 in cash per share, or a total value of $77.28 mil. Originally, FH offered $12 per share.</t>
  </si>
  <si>
    <t>Physician Corp of America</t>
  </si>
  <si>
    <t>Humana acquired all the outstanding common stock of Physician Corp of America for $7 in cash per share, or a total value of $405.07 mil, including the assumption of $130 mil in liabilities. The transaction had been subject to regulatory approval.</t>
  </si>
  <si>
    <t>Iomega Corp</t>
  </si>
  <si>
    <t>Mnfr,whl data storage devices</t>
  </si>
  <si>
    <t>Hewlett-Packard withdrew its plans to acquire all the outstanding common stock of Iomega.</t>
  </si>
  <si>
    <t>Maxis Inc</t>
  </si>
  <si>
    <t>Electronic Arts (EA) merged with Maxis (MX) in a stock swap transaction valued at $126.64 mil, including all outstanding options. EA offered .3644 shares per MX share. Based on EA's closing stock price of $30.875, on June 3, the last full trading day prior to the announcement, each MX share was valued at $11.25.</t>
  </si>
  <si>
    <t>DIGEX Inc</t>
  </si>
  <si>
    <t>Pvd managed web hosting svcs</t>
  </si>
  <si>
    <t>Intermedia Communications Inc</t>
  </si>
  <si>
    <t>Intermedia Communications (IC) acquired all the outstanding common stock of DIGEX for $13 in cash per share, or a total value of $171.573 mil. Earlier, IC completed its tender offer for DIGEX by accepting 11.557 mil shares, or 82.5% of DIGEX's shares. The offer was conditioned upon a majority of the shares being tendered and had been subject to regulatory approval.</t>
  </si>
  <si>
    <t>Fisher Scientific Intl Inc</t>
  </si>
  <si>
    <t>Mnfr lab supplies,chem</t>
  </si>
  <si>
    <t>Trinity I Fund LP</t>
  </si>
  <si>
    <t>Trinity I Fund (TI), owned by the Bass family, withdrew intentions to acquire the remaining 91%, or 18.09 mil common shares, which it did not already own in Fisher Scientific International (FS) for between $47 and $48 in cash per share, or a total of approximately $926.446 mil. The shares were valued based on the higher price in the range. Concurrently, an investor group comprised of Thomas H Lee, Chase Capital Partners, and DLJ Merchant Banking Partners acquired FS for an amended $48.25 in cash per share, or a total value of $1.12 bil.</t>
  </si>
  <si>
    <t>Telco Communications Group Inc</t>
  </si>
  <si>
    <t>Pvd switch-based telecom svcs</t>
  </si>
  <si>
    <t>Excel Communications Inc</t>
  </si>
  <si>
    <t>Excel Communicatons (EC) merged with Telco Communications (TC) in a stock swap transaction valued at $1.046 bil, in the formation of a new company (NC). TC shareholders received $15 in cash and . 7579 NC common shares per share held, and EC shareholders received 1 NC common share per share held. Based on EC's closing stock price of $18.75 on June 5, the last day prior to the announcement, each TC share was valued at $29.24. Upon completion, EC shareholders held an 80% interest in the new company. The transaction had been subject to regulatory approval.</t>
  </si>
  <si>
    <t>American States Financial Corp</t>
  </si>
  <si>
    <t>Fire and marine insurance co</t>
  </si>
  <si>
    <t>Safeco Corp</t>
  </si>
  <si>
    <t>Pvd ins svcs</t>
  </si>
  <si>
    <t>SAFECO acquired American States Financial, an 83%- owned unit of Lincoln National, for $47 in cash per share, or a total value of $2. 827 bil. Earlier, in March 1997, Lincoln National disclosed that it was seeking a buyer for its 83% interest in American States Financial.</t>
  </si>
  <si>
    <t>JW Charles Financial Services</t>
  </si>
  <si>
    <t>Pvd fund mgmt,fin advisory svc</t>
  </si>
  <si>
    <t>Corporate Mangement Group (CMG) acquired the remaining 75% interest in Americas Growth Fund (AG), which it did not already own, in a stock swap transaction valued at approximately $3.169 mil. JW offered an amended .431 common shares per AG share. Based on CMG's closing stock price of $7.75 on August 18, the last full trading day prior to the announcement of amended terms, each AG share was valued at $3.34. The transaction had been subject to regulatory approval. Originally, CMG offered .418 common shares per AG share.</t>
  </si>
  <si>
    <t>Whole Foods Market Inc</t>
  </si>
  <si>
    <t>Whole Foods Market (WFM) acquired Amrion (AM) in a stock swap transaction valued at $152.627 mil. WFM offered . 87 common shares per AM share. Based on WFM's closing stock price of $31.6875 on June 6, the last full trading day prior to the announcement, each AM share was valued at $27.57. The transaction was accounted for as a pooling of interests.</t>
  </si>
  <si>
    <t>Prime Service Inc</t>
  </si>
  <si>
    <t>Pvd const equip rental svcs</t>
  </si>
  <si>
    <t>Atlas Copco North America LLC</t>
  </si>
  <si>
    <t>Mnfr compressors,machinery</t>
  </si>
  <si>
    <t>Atlas Copco North America (AC), a unit of Atlas Copco, merged with Prime Service (PS) , a 74%-owned unit of Investcorp, for $32 in cash per share, or a total value of $905.996 mil. Earlier, AC completed its tender offer for all the outstanding common stock of PS by accepting 27.712 mil shares. The offer had been conditioned upon 20 mil shares being tendered and had been subject to regulatory approval.</t>
  </si>
  <si>
    <t>Jefferson Bankshares Inc,VA</t>
  </si>
  <si>
    <t>Wachovia (WC), Winston-Salem, North Carolina, acquire Jefferson Bankshares (JB), Charlottesville, Virginia, in a stock swap valued at $544. 53 mil. WC offered .625 common shares per JB share. Based on WC's closing stock price of $62.125 on June 9, the last full trading day prior to announcement, each JB share was valued at $38. 828. The transaction was subject to federal and state banking regulatory approval. Under a lockup agreement, WC was granted the option to acquire up to a 19.9% stake in JB.</t>
  </si>
  <si>
    <t>NetFrame Systems Inc</t>
  </si>
  <si>
    <t>Manufacture electn computers</t>
  </si>
  <si>
    <t>Micron Electronics (ME), a unit of Micron Technology, acquired all the outstanding stock of NetFrame Systems (NS) for $1 in cash per share, or a total of $13.98 mil. Earlier, ME completed its tender offer by accepting 8, 771,829 NS common shares. The offer had been conditioned on a majority of the shares being tendered amd was subject to regulatory approval.</t>
  </si>
  <si>
    <t>Numar Corp</t>
  </si>
  <si>
    <t>Mnfr imaging logging equip</t>
  </si>
  <si>
    <t>Halliburton (HA) acquired Numar in a stock swap transaction valued at $341. 565 mil, including outstanding options. HA offered .4832 common shares per Numar share on a 2-for-1 pre-split basis. Based on HA's closing stock price of $82 on June 9, the last full trading day prior to the announcement, each Numar share was valued at $39.62. The transaction was accounted for as a pooling of interests and had been subject to regulatory approval under the Hart-Scott-Rodino Antitrust Act.</t>
  </si>
  <si>
    <t>Pacific Greystone Corp</t>
  </si>
  <si>
    <t>Pvd general contracting svcs</t>
  </si>
  <si>
    <t>Lennar Corp</t>
  </si>
  <si>
    <t>Lennar (LN) merged with Pacific Greystone (PG) in a stock swap transaction valued at $459.251 mil. LN offered 1. 138 common shares per PG share held. Based on LN's closing stock price of $26. 375, on June 10, the last full trading day prior to the announcement, each PG share was valued at $30.015. Upon completion, PG shareholders were to hold a 68% interest in LN and the combined entity was to retain the LN name. This transaction had been contigent upon the completion of Lennar's spinoff of its LNR Property unit to its shareholders.</t>
  </si>
  <si>
    <t>HK Acquisition Corp</t>
  </si>
  <si>
    <t>HK Acquisition, a company formed by Envirodyne Industries (EI) director Michael Heisley, withdrew its unsolicited offer to acquire all the outstanding common stock of EI for $8.50 in cash per share, or a total value of $650.586 mil, including the assumption of $525 mil in liabilities. Later, Heico Holding (HH), a company affliated with Michael Heisley, made an unsolicited offer to acquire EI for $8.50 per share. HH also offered EI shareholders an additional undiclosed amount of cash per EI share to settle a litigation.</t>
  </si>
  <si>
    <t>Fahnestock Viner Holdings (FVH) acquired all the outstanding common stock of First Michigan Capital (FMC) for $15 in cash per share, or a total value of $38.416 mil. Earlier, FVH completed its tender by accepting 2,491,079 shares, or 92.4%, of FMC's outstanding stock. The transaction had been subject to regulatory approval under the Hart-Scott-Rodino Antitrust Act.</t>
  </si>
  <si>
    <t>Thyssen AG</t>
  </si>
  <si>
    <t>Manufacture malleable iron</t>
  </si>
  <si>
    <t>US - Thyssen AG (Thyssen), acting as white a knight, acquired the entire share capital of Giddings &amp; Lewis Inc (Giddings), a Fond du Lac- based manufacturer of automated machine tools, for USD 21 in cash per share, or a total value of USD 677.178 mil. Earlier, Harnischerfeger Industries terminated its unsolicited, hostile tender offer to acquire GL for USD 19 in cash per share.</t>
  </si>
  <si>
    <t>Lucille Farms Inc</t>
  </si>
  <si>
    <t>Mnfr mozzarella cheese</t>
  </si>
  <si>
    <t>Suprema Specialties Inc</t>
  </si>
  <si>
    <t>Mfg gourmet cheeses</t>
  </si>
  <si>
    <t>Suprema Specialties planned to acquire all the outstanding common stock of Lucille Farms for $2.5 per share, or a total of $11.1 mil.</t>
  </si>
  <si>
    <t>Shiloh Industries Inc</t>
  </si>
  <si>
    <t>Mnfr automotive stampings</t>
  </si>
  <si>
    <t>MTD Products Inc</t>
  </si>
  <si>
    <t>Mnfr lawn,garden equipment</t>
  </si>
  <si>
    <t>MTD Products (MTD) terminated its plans to launch a tender offer to acquire the remaining 64% interest, which it did not already own, in Shiloh Industries (SI) for $19 in cash per share, or a total value of $158.55 mil. Concurrently, MTD was in negotiations to raise its stake to 63.8% from 36% in (SI).</t>
  </si>
  <si>
    <t>Advest Group Inc</t>
  </si>
  <si>
    <t>Fleet Financial Group was rumored to be negotiations to merge with Advest Group. The Current status of this deal is unknown.</t>
  </si>
  <si>
    <t>Citicorp was rumored to be in negotiations to merge American Express. The Current status of this deal is unknown.</t>
  </si>
  <si>
    <t>Bally's Grand Inc</t>
  </si>
  <si>
    <t>Hilton Hotels (HH) acquired the remaining 4.794% stake, or .901 mil common shares and warrants exercisable into . 492 mil common shares, which it did not already own, in Bally's Grand (BG) for $52.75 in cash per share and $52.75 in cash per warrant, or a total value of $49.592 mil. Concurrently, BG repurchased about 11.35% of the company's common stock outstanding in privately negotiated transactions. Upon completion of both transactions, HH held 100% of BG.</t>
  </si>
  <si>
    <t>Core Industries Inc</t>
  </si>
  <si>
    <t>Manufacture electronic equip</t>
  </si>
  <si>
    <t>United Dominion Industries Ltd</t>
  </si>
  <si>
    <t>Mnfr industrial prod,equipment</t>
  </si>
  <si>
    <t>United Dominion Industries (UDI) acquired all the outstanding common stock of Core Industries (CI) for $25 in cash per share, or a total value of $275.228 mil. Earlier, UDI completed its tender offer for CI by accepting 9.958 mil shares, or 92.9% of CI's common stock outstanding. The offer was conditioned upon a majority of the shares being tendered and had been subject to regulatory approval under the Hart-Scott-Rodino Act.</t>
  </si>
  <si>
    <t>Dragon Environmental Corp</t>
  </si>
  <si>
    <t>An investor group acquired all the outstanding common shares of Dragon Environmental.</t>
  </si>
  <si>
    <t>Fredericks of Hollywood Inc</t>
  </si>
  <si>
    <t>Women's clothing stores</t>
  </si>
  <si>
    <t>An investor group led by Knightsbridge Capital acquired all the outstanding stock of Frederick's of Hollywood for an amended $7. 75 in cash per share, or a total value of $69.426 mil. Originally, the investor group offered $6.14 in cash per share. Previously, in June 1996, Frederick's of Hollywood announced it had retained Janney Montgomery Scott to assist its search for a buyer for the company. Concurrently, Veritas Capital Fund withdrew its unsolicited challenging bid to acquire all the outstanding common stock of Fredrick's of Hollywood (FH) for $9 per share, or a total value of $86.252 mil.</t>
  </si>
  <si>
    <t>Genesis Eldercare</t>
  </si>
  <si>
    <t>Own,op geriatric facilities</t>
  </si>
  <si>
    <t>Genesis Eldercare Acquisition, a company formed by Genesis Health Venture, Cypress Group and Texas Pacific (GT), acquired Multicare (MC) by completing its tender offer to acquire all the outstanding common stock of MC for $28 in cash per share, or a total value of $1.249 bil, including the assumption of $342 mil in liabilities. GT accepted 32. 79 mil shares, or 96.5% of MC's stock outstanding. The transaction had been subject to regulatory approval and a majority of MC shares being tendered.</t>
  </si>
  <si>
    <t>Raymond Corp</t>
  </si>
  <si>
    <t>Mnfr industrial lift trucks</t>
  </si>
  <si>
    <t>BT Industries AB</t>
  </si>
  <si>
    <t>Mnfr fork lift trucks</t>
  </si>
  <si>
    <t>BT Industries (BT) acquired all the outstanding common stock of Raymond for $33 in cash per share, or a total value of $360.43 mil. Previously, BT completed its tender offer by accepting 10. 46 mil shares, or 93.77% of Raymond's shares outstanding. The offer had been conditioned upon 66.67% of the shares being tendered and subject to regulatory approval under the Hart-Scott- Rodino Antitrust Act.</t>
  </si>
  <si>
    <t>Hechinger Co</t>
  </si>
  <si>
    <t>Own,op retail home centers</t>
  </si>
  <si>
    <t>Leonard Green &amp; Partners LP</t>
  </si>
  <si>
    <t>Leonard Green &amp; Partners (LGP) acquired all the outstanding Class A and Class B common stock of Hechinger for $3 in cash per share, or a total value of $126.97 mil. The transaction had been subject to regulatory approval. Concurrently, LGP acquired Builders Square, a unit of KMart, for $10 mil in cash and a warrant to acquire a minority interest in the combined company.</t>
  </si>
  <si>
    <t>McFarland Energy Inc</t>
  </si>
  <si>
    <t>Monterey Resources Inc</t>
  </si>
  <si>
    <t>Monterey Resources (MR), a majority-owned unit of Santa Fe Energy Resources, acquired all the outstanding common stock of McFarland Energy (ME) for $18.55 in cash per share, or a total value of $111.206 mil. Earlier, MR completed its tender offer for ME by accepting 5.55 mil shares, or 96.9% of the shares outstanding. The offer had been conditioned upon a majority of the shares being tendered and was subject ot regulatory approval.</t>
  </si>
  <si>
    <t>National Energy Group terminated negotiations to acquire all the outstanding common shares of Panaco. Terms were not disclosed.</t>
  </si>
  <si>
    <t>CCL Industries Inc</t>
  </si>
  <si>
    <t>Unsupported Plastics Packaging Film and Sheet Manufacturing</t>
  </si>
  <si>
    <t>CCL Industries (CCL) acquired all the outstanding common stock of Seda Specialty Packaging (SSP) for $29 in cash per share, or a total value of $182.6 mil. Earlier, CCL completed its tender offer for SSP by accepting 4.71 mil shares, or 68.62% of SSP's shares. The offer had been conditioned on a majority of the shares being tendered and was subject to regulatory approval.</t>
  </si>
  <si>
    <t>Moovies Inc</t>
  </si>
  <si>
    <t>Provide video tape rental svcs</t>
  </si>
  <si>
    <t>Video Update Inc</t>
  </si>
  <si>
    <t>Own/op record tape stores</t>
  </si>
  <si>
    <t>Video Update (VU) acquired all the outstanding common stock of Moovies (MV) in an amended stock swap transaction valued at $29.54 mil. VU offered .75 common shares for every MV common share held. Based on VU's closing stock price of $3.187 on October 29, the last full trading day prior to the announcement of the amended terms each MV share was valued at $2.39. Originally VU offered 1.1 common shares per MV share. The transaction was subject to regulatory approval.</t>
  </si>
  <si>
    <t>NTN Communications Inc</t>
  </si>
  <si>
    <t>Pvd interactive software svcs</t>
  </si>
  <si>
    <t>GameScape Inc(GTECH)</t>
  </si>
  <si>
    <t>Develop interactive games</t>
  </si>
  <si>
    <t>GameScape, a unit of GTECH Holdings, withdrew its letter of intent to acquire all the outstanding common stock of NTN Communications for $5.125 in cash per share, or a total value of $123.91 mil. The transaction had been subject to regulatory approval.</t>
  </si>
  <si>
    <t>Advanced Logic Research Inc</t>
  </si>
  <si>
    <t>Gateway 2000 Inc</t>
  </si>
  <si>
    <t>Gateway 2000 (G2) acquired all the outstanding common stock of Advanced Logic Research (ALR), including a 42% stake held by Wearnes Technology(Private), a unit of WBL's Wearnes Brothers subsidiary, for $15.5 in cash per share, or a total value of $206.81 mil. Earlier, G2 completed its tender offer for ALR by accepting 11.915 mil shares, or 95% of ALR's common stock outstanding. The offer was conditioned upon a majority of the shares being tendered and had been subject to regulatory approval under the Hart-Scott-Rodino Antitrust Act.</t>
  </si>
  <si>
    <t>Gemini II</t>
  </si>
  <si>
    <t>Vanguard Windsor Fund Inc</t>
  </si>
  <si>
    <t>Mutual fund</t>
  </si>
  <si>
    <t>Vanguard/Windsor Fund merged with Gemini II.</t>
  </si>
  <si>
    <t>Todays Man Inc</t>
  </si>
  <si>
    <t>Operate men's clothing stores</t>
  </si>
  <si>
    <t>Men's Wearhouse Inc</t>
  </si>
  <si>
    <t>Own,op men's apparel store</t>
  </si>
  <si>
    <t>Men's Warehouse acquired Today's Man.</t>
  </si>
  <si>
    <t>CompScript Inc</t>
  </si>
  <si>
    <t>Pvd pharmaceutical mgmt svcs</t>
  </si>
  <si>
    <t>In June 1997, CompScript announced that it was seeking a buyer for the company.</t>
  </si>
  <si>
    <t>Convest Energy(Edisto Res)</t>
  </si>
  <si>
    <t>Forcenergy Inc</t>
  </si>
  <si>
    <t>Forcenergy (FE) merged with Convest Energy (CE), a majority-owned unit of Edisto Resources (ER), in a stock swap transaction valued at approximately $101.98. FE offered .254 common shares per CE share held, subject to a collar agreement. Based on FE's closing stock price of $37.1875 on Oct 22, the last full trading day prior to announcement of definitive terms, each CE share was valued at $9.44. Concurrently, FE merged with ER in a stock swap transaction.</t>
  </si>
  <si>
    <t>Forcenergy (FE) definitively merged with Edisto Resources (ER) in a stock swap transaction valued at approximately $147.66 mil. FE offered $4.886 in cash and approximately .145 common shares in FE common stock per ER share, subject to a collar agreement. The stock portion of the consideration was valued at $76.16 based on FE's closing stock price of $37.1875 on Oct 22, the last full trading day prior to announcement of definitive terms. Concurrently, FE definitively merged with Convest Energy (CE), a majority-owned unit of ER, in a stock swap transaction.</t>
  </si>
  <si>
    <t>American National Bancorp,MD</t>
  </si>
  <si>
    <t>Crestar Financial (CF), Richmond, Virginia, acquired all the outstanding common stock of American National Bancorp (ANB), Baltimore, Maryland in a stock swap transaction vaued at $75.172 mil. CF offered a choice of either $20.25 in cash or .426 common shares per ANB share. Based on CF's closing stock price of $47.6875 and valued off the common stock consideration, each ANB shares was valued at $20.315. The transaction had been subject to federal and state regulatory approval. Under a lockup agreement, CF was granted an option to acquire up to a 21.9% stake, or .792 mil common shares, in ANB.</t>
  </si>
  <si>
    <t>Dime Bancorp (DB), New York, New York, acquired North American Mortgage (NA), Santa Rosa, California, in a stock swap transaction valued at $376.075 mil. DB had offered 1.37 common shares per NA share. Based on DB's closing stock price of $19 on Jun 20, the last full trading day prior to the announcement, each NA share was valued at $26.03. The transaction was subject to federal and state banking regulatory approval.</t>
  </si>
  <si>
    <t>Union Pacific Resources Group</t>
  </si>
  <si>
    <t>Union Pacific Resources Group (UP), a unit of Union Pacific, withdrew its unsolicited hostile offer to acquire all the outstanding common stock of Pennzoil (PZ) for an amended $84 in cash per share, or a total value of $6.222 bil, including the assumption of $2.2. bil in liabilities. Originally, UP launched a tender offer to acquire a 50.1% interest in PZ for $84 in cash per share. The offer was conditioned upon a majority of PZ's shares being tendered. Subsequently, UP was to have offered to acquire the remaining 49% stake in PZ for $84 in common stock per share, subject to a collar agreement, or a total value of $4.114 bil, including the assumption of iabilities.</t>
  </si>
  <si>
    <t>Tandem Computers Inc</t>
  </si>
  <si>
    <t>Mnfr computers,network systems</t>
  </si>
  <si>
    <t>Compaq Computer (CC) acquired Tandem Computers (TC) in a stock swap transaction valued at $2.78 bil. CC offered .525 post 5-for-2 split common shares per TC share. Based on CC's closing stock price of $42.6875 on a post-split basis on Aug 27, the last full trading day prior to announcement, each TC share was valued at $22.40. The transaction was accounted for as a pooling of interests and had been subject to regulatory approval.</t>
  </si>
  <si>
    <t>Louis Dreyfus Natural Gas</t>
  </si>
  <si>
    <t>Louis Dreyfus Natural Gas (LD) acquired American Exploration (AE) for $15.96 per share, or a total value of $275.477 mil, in a stock swap transaction. LD offered $3 in cash and .72 common shares valued at $12.96 per AE common share. LD also offered preferred shares convertible into .96 mil LD common shares valued at $17. 28 mil and $4 mil cash to AE convertible preferred shareholders. The shares were valued based on LD's closing stock price of $18 on June 23, the last full trading day prior to the announcement.</t>
  </si>
  <si>
    <t>Cable Car Beverage</t>
  </si>
  <si>
    <t>Produce, wholesale beverages</t>
  </si>
  <si>
    <t>Triarc (TR) acquired Cable Care Beverage (CC) in a stock swap transaction valued at $33.92 mil. TR offered .1722 common shares for each CC share. Based on TR's closing stock price of $20.75 on June 23, the last full trading day prior to the announcement, each CC share was valued at $3.573. Under a lockup agreement, TR was granted an option to acquire an estimated 20% stake in CC. The transaction was subject to regulatory approval.</t>
  </si>
  <si>
    <t>Central Fidelity Banks Inc,VA</t>
  </si>
  <si>
    <t>Wachovia (WC), Winston-Salem, North Carolina, acquired all the outstanding stock in Central Fidelity Bank (CFB), Richmond, Virginia, in a stock swap transaction valued at $2.303 bil. WC offered .63 common shares per CFB share. Based on WC's closing stock price of $62.625 on June 23, the last full trading day prior to the announcement, each CFB share was valued at $39.454. The transaction had been subject to federal and state banking regulatory approval and was accounted for as a pooling of interests.</t>
  </si>
  <si>
    <t>LabOne Inc</t>
  </si>
  <si>
    <t>Pvd testing svcs for ins in</t>
  </si>
  <si>
    <t>US - Seafield Capital withdrew its offer to acquire the remaining 18% stake, or . 341 mil common shares, which it did not already own in LabOne Inc, a provider of laboratory testing services for the insurance industry.</t>
  </si>
  <si>
    <t>SMT Health Services Inc</t>
  </si>
  <si>
    <t>Operate outpatient facilities</t>
  </si>
  <si>
    <t>Three Rivers Holding Corp</t>
  </si>
  <si>
    <t>Three Rivers Holding (TRH), a unit of Apollo Advisors' Apollo Management subsidiary, acquired all the outstanding common stock of SMT Health Services (SMT) for $11.75 in cash per share, or a total value of $75.642 mil. Earlier, TRH completed its tender offer for SMT by accepting 5, 280,297 shares, or 91.9% of SMT's stock. The offer was conditioned upon a majority of SMT's shares being tendered and had been subject to regulatory approval.</t>
  </si>
  <si>
    <t>Atrium Corp</t>
  </si>
  <si>
    <t>Mnfr metal doors,windows</t>
  </si>
  <si>
    <t>Atrium, a unit of Hicks Muse Tate and Furst, terminated its definitive agreement to acquire all the outstanding common stock of Ply-Gem Industries (PG) for $18.75 in cash per share, or a total value of approximately $482 mil, including the assumption of $193.12 mil in liabilities. The transaction was to have been subject to regulatory approval. Later, Nortek acquired PG for $19.5 in cash per share.</t>
  </si>
  <si>
    <t>CinemaStar Luxury Theaters Inc</t>
  </si>
  <si>
    <t>Own,op motion picture theaters</t>
  </si>
  <si>
    <t>US - An investor group, led by SCP Private Equity Partners and Rust Capital, acquired a 65% interest, or 17.685 mil newly-issued common shares, in CinemaStar Luxury Theater (CLT) for $. 848 per share, or a total value of $15 mil. Concurrently, the group planned to raise its stake to 71% from 65% in CLT by acquiring warrants exercisable into 1,630,624 new common shares at a price of $.848 per share. The transaction was subject to regulatory approval.</t>
  </si>
  <si>
    <t>Hancock Savings Bank FSB,CA</t>
  </si>
  <si>
    <t>Bank Plus Corp,Los Angeles,CA</t>
  </si>
  <si>
    <t>Bank Plus (BP), Los Angeles, California, acquired Hancock Savings Bank FSB (HSB), Los Angeles, California, for an estimated $12 mil in a stock swap transaction.</t>
  </si>
  <si>
    <t>Imo Industries Inc</t>
  </si>
  <si>
    <t>Mnfr industrial controls,pumps</t>
  </si>
  <si>
    <t>United Dominion Industries terminated its tender offer to acquire all the outstanding stock of Imo Industries (II) for $6 in cash per share, or a total of approximately $440.075 mil, including the assumption of $337.24 mil in liabilities. The offer had been conditioned upon 80% of the shares being tendered and was subject to regulatory approval under the Hart-Scott- Rodino Antitrust Act. Later, Constellation Capital Partners acquired an 88.7% interest in Imo Industries via a tender offer for $7.05 in cash per share.</t>
  </si>
  <si>
    <t>French state-owned Rhone- Poulenc (RP) acquired the remaining 34.96% interest, or 43.48 mil common shares, which it did not already own, in Rhone-Poulenc Rorer (RPR) for an amended $97 in cash per share, or a total value of $4.83 bil. Earlier, RP completed its tender offer for RPR by accepting 46.27 mil shares or 32% of RPR's stock outstanding. Originally, RP offered $92 per share. The offer had been conditioned upon 90% of the shares being tendered.</t>
  </si>
  <si>
    <t>Frydman &amp; Co</t>
  </si>
  <si>
    <t>Frydman terminated its agreement to acquire all the outstanding common stock of Starrett for $12.25 in cash per share or a total value of $80.438 mil.</t>
  </si>
  <si>
    <t>First Charter Corp,Charlotte</t>
  </si>
  <si>
    <t>First Charter (FC), North Concord, North Carolina, acquired Carolina State Bank (CSB), Shelby, North Carolina, in a stock swap transaction valued at $38.3 mil. FC offered 1.023 FC common shares per CSB share. Based on FC's closing stock price of $21.75 on June 27, the last full trading day prior to the announcement, each CSB share was valued at $22.25. The transaction was accounted for as a pooling of interest and was subject to federal and state banking regulatiory approval.</t>
  </si>
  <si>
    <t>Frontier Airlines Inc</t>
  </si>
  <si>
    <t>Western Pacific Airlines Inc</t>
  </si>
  <si>
    <t>Western Pacific Airlines (WP) withdrew its agreement to acquire Frontier Airlines (FA) in a stock swap transaction valued at $40.42 mil. WP offered .75 common shares per FA share. Based on WP's closing stock price of $5.375 on June 27, the last full trading day prior to the announcement, each FA share was valued at $4.03. The transaction was subject to regulatory approval.</t>
  </si>
  <si>
    <t>Hugoton Energy Corp</t>
  </si>
  <si>
    <t>Belco Oil &amp; Gas Corp</t>
  </si>
  <si>
    <t>Belco Oil &amp; Gas (BO) terminated its agreement to acquire the remaining 85.12% interest, which it did not already own, in Hugoton Energy (HE), for $15 per share, or a total value of $263.052 mil. BO had offered $5 in cash and $10 in common stock per HE share.</t>
  </si>
  <si>
    <t>Melamine Chemicals Inc</t>
  </si>
  <si>
    <t>Manufacture melamine crystal</t>
  </si>
  <si>
    <t>Ashland withdrew its unsolicited offer to acquire the remaining 76.6% interest, or 4,180,700 common shares, which it did not already own, in Melamine Chemcials (MC) for an amended $14.75 in cash per share, or a total value of $63.783 mil. Originally, Ashland had offered $12.50 in cash per share. Subsequently, Borden Chemical, a unit of Kohlberg Kravis Roberts' Borden subsidiary, acquired all the outstanding stock of MC for $20.50 in cash per share, or a total value of $116.27 mil, via a tender offer.</t>
  </si>
  <si>
    <t>JP Foodservice Inc</t>
  </si>
  <si>
    <t>US - JP Foodservice (JP) merged with Rykoff-Sexton (RS) in a stock swap transaction valued at an amended $1.436 bil, including the assumption of $740 mil in liabilities. JP offered an amended .775 common shares per RS share. Originally, JP offered .82 common shares per RS share. Based on JP's closing stock price of $31.5 on June 27, the last full trading day prior to the announcement of amended terms, each RS share was valued at $24.4125. The transaction was accounted for as a pooling of interests and had been subject to regulatory approval. Upon completion, the newly merged entity was named US FoodService Inc.</t>
  </si>
  <si>
    <t>First Southeast Finl Corp,SC</t>
  </si>
  <si>
    <t>Carolina First Corp,SC</t>
  </si>
  <si>
    <t>Carolina First (CF), Greenville, South Carolina, acquired First Southeast Financial (FS), Anderson, South Carolina, in a stock swap transaction valued at $70.611 mil. CF offered an amended .7971 common shares per FS share. Originally, CF offered 1 common share per FS share. The shares were valued based on CF's closing stock price of $20.1875 on Nov 20, the last full trading day prior to the announcement of amended terms. The transaction had been subject to state and federal banking regulatory approval.</t>
  </si>
  <si>
    <t>Kerr Group Inc</t>
  </si>
  <si>
    <t>Mnfr plastic pkg prod</t>
  </si>
  <si>
    <t>Fremont Partners</t>
  </si>
  <si>
    <t>Private equity invest firm</t>
  </si>
  <si>
    <t>Fremont Partners (FP) merged with Kerr Group (KG) for a total value of $78.332 mil, including the assumption of about $51 mil in liabilities. Earlier, FP completed its tender offer for all the outstanding common stock of KG by accepting 3,653,433 shares. FP offered $5.4 per KG common share and $12.5 per KG Class B cumulative preferred share convertible into common shares on a 1-for- 1.4545 basis. The offer had been conditioned upon 51% of the shares being tendered. Originally in October 1995, KG announced it was seeking a buyer for the company.</t>
  </si>
  <si>
    <t>HMN Financial,Rochester,MN</t>
  </si>
  <si>
    <t>HMN Financial, Spring Valley, Minnesota, merged with Marshalltown Financial, Marshalltown, Iowa, for $17. 51 in cash per share, or a total value of $25.882 mil.</t>
  </si>
  <si>
    <t>Twinlab Corp</t>
  </si>
  <si>
    <t>Mnfr medicinal chem</t>
  </si>
  <si>
    <t>Rexall Sundown Inc</t>
  </si>
  <si>
    <t>Mnfr,whl vitamins</t>
  </si>
  <si>
    <t>Rexall Sundown (RS) terminated negotiations to merge with Twinlab (TL) in a stock swap transaction valued at $779.22 mil. RS offered . 74 common shares per TL common share. Based on RS' closing stock price of $39 on June 30, the last full trading day prior to the announcement, each TL share was valued at $28.86. The transaction was to be accounted for as a pooling of interests and had been subject to regulatory approval..</t>
  </si>
  <si>
    <t>Bunzl PLC</t>
  </si>
  <si>
    <t>Provide international distribution,outsourcing services</t>
  </si>
  <si>
    <t>Bunzl acquired all the outstanding stock of American Filtrona, including WBT Holdings' 25.78% stake, or 1. 06 mil common shares, for $46. 52 in cash per share, or a total value of $183.465 mil. The transaction had been subject to regulatory approval.</t>
  </si>
  <si>
    <t>Summa Industries acquired all the outstanding common stock of Calnetics for $7.35 in cash per share, or a total value of $23.4 mil.</t>
  </si>
  <si>
    <t>Equalnet Communications Corp</t>
  </si>
  <si>
    <t>Cherry Communications Inc</t>
  </si>
  <si>
    <t>Pvd long distance svcs</t>
  </si>
  <si>
    <t>Cherry Communications (CC) terminated its agreement to merge with EqualNet Holding (EN) to form a Cherry Holding (CH). Terms were not disclosed. Upon completion, CC shareholders were to have held a 91% interest and EN shareholders were to have held a 9% stake in CH.</t>
  </si>
  <si>
    <t>Duty Free International Inc</t>
  </si>
  <si>
    <t>Own,op duty free shops</t>
  </si>
  <si>
    <t>BAA PLC</t>
  </si>
  <si>
    <t>Own,op airports,airfields</t>
  </si>
  <si>
    <t>BAA acquired, via a tender offer, all the outstanding common stock of Duty Free International (DFI) for $24 in cash per share, or a total value of $674.553 mil. The offer had been conditioned upon a majority of the shares being tendered and had been subject to regulatory approval under the Hart-Scott- Rodino Antitrust Act. Under a lockup agreement, BAA was granted an option to acquire up to a 19.9% stake in DFI.</t>
  </si>
  <si>
    <t>Krystal Co</t>
  </si>
  <si>
    <t>Port Royal Holdings Inc</t>
  </si>
  <si>
    <t>Port Royal Holdings acquired all the outstanding common stock of Krystal for $14.5 in cash per share, or a total value of $145.439 mil, including the assumption of $37 mil in liabilities.</t>
  </si>
  <si>
    <t>Lockheed Martin (LM) terminated its definitive agreement to merge with Northrop Grumman (NG) in a stock swap transaction valued at $11.83 bil, including the assumption of $3.3 bil in liabilities. LM offered 1. 1923 common shares per NG common share. Based on LM's closing stock price of $104 on July 2, the last full trading day prior to the announcement, each NG share was valued at $124. The transaction was subject to Hart-Scott-Rodino regulatory approval.</t>
  </si>
  <si>
    <t>Patrick Industries Inc</t>
  </si>
  <si>
    <t>Mnfr,whl building products</t>
  </si>
  <si>
    <t>Patrick Industries terminated negotiations to divest the company to an undisclosed acquiror.</t>
  </si>
  <si>
    <t>Capital Invest Partners Inc</t>
  </si>
  <si>
    <t>Capital Investment Partners agreed to acquire a 52% interest, or 1,622,143 common shares, in WestAmerica from director William Groszkruger and president Edward Foraker for $2.86 mil.</t>
  </si>
  <si>
    <t>Wyle Electronics</t>
  </si>
  <si>
    <t>Whl high tech electronic prods</t>
  </si>
  <si>
    <t>Raab Karcher AG</t>
  </si>
  <si>
    <t>Raab Karcher (RK), a unit of VEBA, acquired all the outstanding common stock of Wyle Electronics (WE) for $50 in cash per share, or a total value of $633.01 mil. Earlier, RK completed its tender offer for WE by accepting 12. 55 mil shares, or 95.6% of WE's common stock outstanding. The offer had been conditioned on a minimum of 90% of the shares being tendered and had been subject to regulatory approval under the Hart-Scott-Rodino Antitrust Act.</t>
  </si>
  <si>
    <t>ADVANTA Corp</t>
  </si>
  <si>
    <t>Provide credit card svcs</t>
  </si>
  <si>
    <t>National Austraila Bank was rumored to have terminated its offer to acquire all the outstanding common stock of ADVANTA.</t>
  </si>
  <si>
    <t>Cairn Energy USA Inc</t>
  </si>
  <si>
    <t>Meridian Resource Corp</t>
  </si>
  <si>
    <t>Meridian Resource (MR) acquired Cairn Energy USA (CEU), a unit if Cairn Energy, in a reverse stock swap transaction valued at $233.6 mil. MR offered 1.08 common shares per CEU share. Based on MR's closing stock price of $12.3125 on Jul 3, the last full trading day prior to the announcement, each CEU share was valued at $13.3. The transaction was accounted for as a pooling of interests. Earlier in March 1997, CEU announced it was seeking a buyer for the company.</t>
  </si>
  <si>
    <t>Rotech Medical Corp</t>
  </si>
  <si>
    <t>Integrated Health Services (IH) acquired RoTech Medical (RM) in a stock swap transaction valued at approximately $918.86 mil, including the assumption of about $300 mil in liabilities. IH offered .5806 common shares per RM share. Based on IH's closing stock price of $38.9375 on July 3, the last full trading day prior to the announcement, each RM share was valued at $22.61. The transaction was subject to regulatory approval.</t>
  </si>
  <si>
    <t>Welsh Carson Anderson &amp; Stowe acquired all the outstanding common stock of CompuServe, a majority-owned unit of H&amp;R Block.</t>
  </si>
  <si>
    <t>Delchamps Inc</t>
  </si>
  <si>
    <t>Jitney-Jungle Stores of Amer</t>
  </si>
  <si>
    <t>Own and operate grocery stores</t>
  </si>
  <si>
    <t>Jitney-Jungle Stores of America (JJ) acquired all the outstanding common stock of Delchamps (DC) for $30 in cash per share, or a total value of $213.6 mil. Earlier, JJ completed its tender offer for DC by accepting 5.3 mil shares, or 74.7% of DC's outstanding stock. The offer had been conditioned upon 66. 67% of the shares being tendered and had been subject to regulatory approval under the Hart-Scott-Rodino Antitrust Act. Originally, in June 1997, DC announced it was seeking a buyer for the company.</t>
  </si>
  <si>
    <t>Equitable of Iowa Cos</t>
  </si>
  <si>
    <t>ING Groep NV</t>
  </si>
  <si>
    <t>Internationale Nederlander Groep (ING) acquired Equitable of Iowa (EI) for $2. 226 bil. ING offered a choice of either $68 in cash or 1. 5115 American Depsitory Receipts (ADR) per EI share held, subject to a collar agreement. The transaction had been subject to regulatory approval.</t>
  </si>
  <si>
    <t>Colorado Gaming &amp; Ent</t>
  </si>
  <si>
    <t>Jackpot Enterprises withdrew its plans to acquire all the outstanding common shares of Colorado Gaming &amp; Entertainment (CG). Terms were not disclosed. Later in July, Ladbroke Group signed a letter of intent to acquire CG.</t>
  </si>
  <si>
    <t>Control Data Systems Inc</t>
  </si>
  <si>
    <t>Mnfr computers,peripherals</t>
  </si>
  <si>
    <t>CDSI Holding Corp</t>
  </si>
  <si>
    <t>CDSI Holding, a company formed by Welsh, Carson, Anderson &amp; Stowe, acquired all the outstanding common stock of Control Data Systems (CD) for $20.25 in cash per share, or a total value of $273.858 mil. Earlier, CDSI Holding completed its tender offer for CD by accepting 11, 225,901 shares. The offer had been conditioned upon 51% of the shares being tendered and subject to regulatory approval under the Hart-Scott- Rodino Antitrust Act.</t>
  </si>
  <si>
    <t>Exide Electronics Group Inc</t>
  </si>
  <si>
    <t>Mnfr,whl batteries</t>
  </si>
  <si>
    <t>Danaher withdrew its unsolicited hostile tender offer to acquire the remaining 96.05% interest, or 9.65 mil common shares, which it did not already own, in Exide Electronics Group (EEG) for $20 in cash per share, or a total value of $221.76 mil. The offer had been conditioned upon a majority EEG's shares being tendered, and had been subject to regulatory approval. Subsequently, BTR PLC merged with EEG for $29 in cash per share, or a total value of $583.182, including the assumption of $233 mil in liabilities. Earlier, BTR completed its challenging tender offer to acquire all the outstanding common stock of EEG by accepting 11,539, 899 shares.</t>
  </si>
  <si>
    <t>Outboard Marine Corp</t>
  </si>
  <si>
    <t>Manufacture marine products</t>
  </si>
  <si>
    <t>Detroit Diesel</t>
  </si>
  <si>
    <t>Manufacture diesel,alt engines</t>
  </si>
  <si>
    <t>Detriot Diesel (DD) terminated its definitive agreement to acquire Outboard Marine (OM) in a two-tier transaction valued at $504. 488 mil, including the assumption of approximately $180 mil in liabilities. Initially, DD launched a tender offer to acquire a 64. 43% interest, or 13,842,619 OM common shares, for $16 in cash per share, or a total of $221.482 mil. Subsequently, DD was to acquire the remaining 35.57% interest for $16 in a combination of cash and stock per share, or a total of $283.006 mil. Concurrently, an investor group including Greenway Partners completed its challenging tender offer to acquire the remaining 90% interest, which it did not already own, in OM. Earlier in April 1997, OM announced that it was seeking a buyer for the company.</t>
  </si>
  <si>
    <t>Seaman Furniture Co</t>
  </si>
  <si>
    <t>Own,op ret furniture stores</t>
  </si>
  <si>
    <t>A management-led investor group, including MD Sass Associates, T Rowe Price Recovery Fund, and Carl Marks Management, acquired the remaining 20% stake, or .907 mil common shares, which it did not already own, in Seaman Furniture, for an amended total value of $45.61 mil in a leveraged buyout transaction. Consideration consisted of an ammended $25. 05 per share, plus the assumption of $14 mil in liabilities. Originally, the investor group offered $24 per share.</t>
  </si>
  <si>
    <t>Southern Union Co</t>
  </si>
  <si>
    <t>Gas utility company</t>
  </si>
  <si>
    <t>El Paso Electric was rumored to be in negotiations to acquire Southern Union in a stock swap transaction. The Current status of this deal is unknown.</t>
  </si>
  <si>
    <t>Airways Corp</t>
  </si>
  <si>
    <t>ValuJet Inc</t>
  </si>
  <si>
    <t>ValuJet Inc (VI) merged with Airways Corp (AC) in a stock swap transaction valued at $63.739 mil. VI offered 1 common share per AC share. Based on VI's closing stock price of $6.8125 on Jul 9, the last full trading day prior to the announcement, each AC share was valued at $6.8125. The transactio had been subject to regulatory approval. Upon completion, the merged company was renamed AirTran Holdings Inc.</t>
  </si>
  <si>
    <t>Kinetic Concepts Inc</t>
  </si>
  <si>
    <t>Mnfr medical treatment tables</t>
  </si>
  <si>
    <t>An investor group including Fremont Partners and investor Richard Blum acquired the remaining 38.41 mil common shares, or 90.5%, in Kinetic Concepts (KC) which it did not already own, at $19.95 in cash per share for a total of $776.73 mil. Previously, the investor group completed its tender offer by accepting 31 mil KC common shares, or 74. 3% of KS's shares.</t>
  </si>
  <si>
    <t>R&amp;B Falcon Corp</t>
  </si>
  <si>
    <t>Falcon Drilling (FD) merged with Reading &amp; Bates (RD) to form R&amp;B Falcon (RBF) in a merger-of-equals stock swap transaction valued at $2.587 bil, including the assumption of $225 mil in liabilities. FD shareholders received 1 RBF share per share held and RD shareholders received .59 RBF shares per share held. Based on FD's closing stock price of $55.5625 on Jul 9, each RB share was valued at $32.78. The transaction was accounted for as a pooling of interests.</t>
  </si>
  <si>
    <t>Upper Peninsula Energy Corp</t>
  </si>
  <si>
    <t>WPS Resources Corp</t>
  </si>
  <si>
    <t>WPS Resources (WPS) acquired Upper Peninsula Energy (UPE) in a stock swap transaction valued at $73.15 mil. WPS offered .9 WPS common shares per UPE share. Based on WPS's closing stock price of $27. 375 on July 9, the last full trading day prior to the announcement, each UPE share was valued at $24.6375. The transaction was subject to Hart-Scott-Rodino Antitrust regulatory approval.</t>
  </si>
  <si>
    <t>Katz Media Group</t>
  </si>
  <si>
    <t>An investor group comprised of Evergreen Media and Chancellor Broadcasting acquired all the outstanding common stock of Katz Media Group (KM) for $11 in cash per share, or a total value of approximately $371.92 mil, including the assumption of about $218 mil in liabilities. Earlier, the investor group completed its tender offer for KM by accepting 13,531, 726 shares, or 99% of KM's shares. The transaction had been conditioned on a majority of the shares being tendered and was subject to regulatory approval.</t>
  </si>
  <si>
    <t>DH Technology Inc</t>
  </si>
  <si>
    <t>Mnfr,whl computer printers</t>
  </si>
  <si>
    <t>Axiohm SA</t>
  </si>
  <si>
    <t>Axiohm acquired an 85% interest in DH Technology (DHT) by completing its tender offer to acquire up to 7 mil common shares in DHT for $25 in cash per share, or a total value of $169.485 mil. The offer had been conditioned upon a minimum of 6.5 mil shares being tendered. At completion, Axiohm Transaction Solutions.</t>
  </si>
  <si>
    <t>Intl Imaging Materials</t>
  </si>
  <si>
    <t>Mnfr thermal transfer ribbons</t>
  </si>
  <si>
    <t>Paxar Corp</t>
  </si>
  <si>
    <t>Mnfr label sys</t>
  </si>
  <si>
    <t>Paxar merged with International Imaging Materials (IM) in a stock swap transaction valued at $230.48 mil. Paxar offered 1. 5 common shares for every IM share held, subject to a collar agreement. Based on Paxar's closing stock price of $18.6875 on July 11, the last full trading day prior to announcement, each IM share was valued at $28.031. The transaction was accounted for as a pooling of interests and had been subject to regulatory approval.</t>
  </si>
  <si>
    <t>Merisel Inc</t>
  </si>
  <si>
    <t>Whl computer hardware,software</t>
  </si>
  <si>
    <t>Stonington Partners Inc</t>
  </si>
  <si>
    <t>Stonington Partners (SP) raised its stake to 62.4% from 16.6% in Merisel by acquiring 44 mil common shares, for $152 mil in convertible debt. Originally, SP offered to raise its stake to 70% from 16.6% in Merisel for $152 mil.</t>
  </si>
  <si>
    <t>New York State Electric &amp; Gas</t>
  </si>
  <si>
    <t>CalEnergy Co Inc</t>
  </si>
  <si>
    <t>CE Electric (NY) (CEE), a unit of CalEnergy (CE), withdrew its tender offer to acquire the remaining 90.1% interest, or 61.95 mil common shares, in New York State Electric &amp; Gas (NY) for $27. 50 per share, or a total value of $1.704 bil. Concurrently, CEEterminated its unsolicited hostile tender offer to acquire a 9. 9% stake in NY for $24.50 in cash per share, or a total value of $160.25 mil. If NY's board had recommended CE's offer, the bid for the 9.9% stake was to have been amended to a new bid for 100% of NY at $27.5 per share.</t>
  </si>
  <si>
    <t>Nortek Inc</t>
  </si>
  <si>
    <t>Mnfr AC, building, wood prods</t>
  </si>
  <si>
    <t>Nortek (NT) acquired all the outstanding common stock of Ply-Gem Industries (PG) for $19.5 in cash per share, or a total value of $476.286 mil, including the assumption of $172 mil in liabilities . Previously, NT completed its challenging tender offer for PG by accepting 12,96 mil shares, or 93% of PG's shares. The offer had been conditioned upon a majority of the shares being tendered and subject to regulatory approval under the Hart-Scott- Rodino Antitrust Act. Previously, Atrium terminated its definitive agreement to acquire PG for $18.75 in cash per share.</t>
  </si>
  <si>
    <t>Vacation Break USA Inc</t>
  </si>
  <si>
    <t>Vacation Break merged with an undisclosed acquiror.</t>
  </si>
  <si>
    <t>ArgentBank,Thibodaux,Louisiana</t>
  </si>
  <si>
    <t>Hibernia (HB), New Orleans, Louisiana, acquired ArgentBank (AB), Thibodaux, Louisiana, in a stock swap transaction valued at $171. 204 mil. HB offered 2.04 common shares per AB share. Based on HB's closing stock price of $14.3125 on July 15, the last full trading day prior to the announcement, each AB share was valued at $29.1975. The transaction had been subject to federal and state banking regulatory approval and was accounted for as a pooling of interests. Upon completion, AB changed its name to Hibernia.</t>
  </si>
  <si>
    <t>Forgotten Woman Inc</t>
  </si>
  <si>
    <t>Own,op women's ret stores</t>
  </si>
  <si>
    <t>Optimax Industries Inc</t>
  </si>
  <si>
    <t>Optimax Industries (OI) acquired Forgotten Woman in a reverse stock swap transaction. OI was to undergo a 2.4-1 reverse split before the swap. OI offered 1 post split common share per Forgotten Woman share. Upon completion, Forgotten Woman shareholders were to own 75% of OI.</t>
  </si>
  <si>
    <t>ITT Educational Services Inc</t>
  </si>
  <si>
    <t>Pvd secondary degree svcs</t>
  </si>
  <si>
    <t>ITT , completed the spinoff of 48.33% of its ITT Educational Services (IES) to shareholders in a transaction valued at $363.769 mil. ITT shareholders were to receive 1 IES common share per share held. The transaction was subject to Securities and Exchange Commission regulatory approval. Previously, Hilton Hotels made a hostile, unsolicited offer to acquire ITT. Earlier, ITT planned to spin off the remaining 83.3% interest, or 22,490,960 common shares.</t>
  </si>
  <si>
    <t>ITT withdrew its plans to spin off its ITT Destinations (ID) unit to shareholders. ITT shareholders were to receive 1 ID common shares per share held. The transaction was subject to Securities and Exchange Commission regulatory approval. Previously, Hilton Hotels made a hostile unsolicited offer to acquire ITT for $55 per share, or a total of $10.53 bil, including the assumption of $4 bil in liabilities.</t>
  </si>
  <si>
    <t>US Surgical (US) withdrew its challenging offer to acquire all the outstanding common stock of Imagyn Medical (IM) for a choice of $59.54 mil in cash or US common stock. Earlier, UroHealth Systems definitively agreed to acquire IM in a stock swap transaction valued at an amended $57.101 mil.</t>
  </si>
  <si>
    <t>Burlington Resources (BR) acquired Louisiana Land and Exploration (LL) in a stock swap transaction valued at approximately $2.954 bil, including the assumption of about $500 mil in liabilities. BR offered 1.525 common share per LL share. Based on BR's closing stock price of $46.125 on July 16, the last full trading day prior to the announcement, each LL share was valued at $70.34. The transaction was accounted for as a pooling of interests.</t>
  </si>
  <si>
    <t>Lucent Technologies (LT) acquired all the outstanding common stock of Octel Communications (OC) for $31 in cash per share, or a total value of $1.825 bil. Concurrently, LT completed its tender offer by accepting 49,812,662 OC shares The transaction had been subject to regulatory approval under the Hart-Scott-Rodino Antitrust Act.</t>
  </si>
  <si>
    <t>Shared Technologies Fairchild</t>
  </si>
  <si>
    <t>Tel-Save Holdings (TSH) terminated its definitive agreement to acquire Shared Technologies Fairchild (STF), including a 44% stake held by Fairchild, in a stock swap transaction valued at $417. 986 mil, including the assumption of $240 mil in liabilities. TSH had offered $11.25 in common stock per STF share. The transaction was to be accounted for as a pooling of interests and had been subject to a lockup agreement and regulatory approval. Previously, Intermedia Communications planned to launch a challenging unsolicited tender offer to acquire STF. Earlier in July 1997, STF disclosed it was in negotiations to divest the company to an undisclosed acquiror.</t>
  </si>
  <si>
    <t>Elek-Tek Inc</t>
  </si>
  <si>
    <t>Own,op retail software stores</t>
  </si>
  <si>
    <t>Bookcase Investment LLC</t>
  </si>
  <si>
    <t>Bookcase Investment withdrew its letter of intent to acquire all the outstanding common stock of Elek-Tek for $3 in cash per share, or a total value of $18.934 mil.</t>
  </si>
  <si>
    <t>Ladbroke Group PLC</t>
  </si>
  <si>
    <t>Ladbroke Group acquired all the outstanding common stock of Colorado Gaming and Entertainment (CG) for $6.25 in cash per share, or a total value of $82.118 mil, including the assumption of approximately $53 mil in liabilities. The transaction was subject to regulatory approval. Earlier in July, Jackpot Enterprises had offered to acquire CG.</t>
  </si>
  <si>
    <t>North Cincinnati Svgs Bk,OH</t>
  </si>
  <si>
    <t>Enterprise Federal Bancorp,OH</t>
  </si>
  <si>
    <t>Enterprise Federal Bancorp (EF), West Chester, Ohio, acquired North Cincinnati Savings Bank (CS), Cincinnati, Ohio, in a stock swap merger transaction valued at $7.3 mil. CS shareholder received either $18.5 in cash or EF common stock for each CS share held. The transaction was subject to federal and state banking regulatory approval.</t>
  </si>
  <si>
    <t>First Union (FI), Charlotte, North Carolina, merged with Signet Banking (SB), Richmond, Virginia, in a stock swap transaction valued at $3.319 bil. FI offered .55 common shares per SB share, on a 2- for-1 pre-split basis. Based on FI's closing stock price of $97.4375 on July 18, the last full trading day prior to annoucement, each SB share was valued at $53.59. The transaction was to be accounted for as a pooling of interests and was subject to federal and state banking regulatory approval.</t>
  </si>
  <si>
    <t>Zilog Inc</t>
  </si>
  <si>
    <t>Texas Pacific Group (TPG) acquired a 98.4% interest, or 22.876 mil common shares, in Zilog (ZG) for an amended $20 in cash per share, or a total value of $396.82 mil in a recapitalization. ZG shareholders were granted a choice to either receive $20 in cash per share or to retain their shares. If ZG shareholders chosed to retain greater than .375 mil shares, or 1.6% of ZG; the .375 mil shares allowed for retention were to be prorated among shareholders who opted this choice. Originallly, TPG offered $25 per ZG share held.</t>
  </si>
  <si>
    <t>Box Worldwide Inc</t>
  </si>
  <si>
    <t>TCI Music (TM), a majority- owned unit of Tele- Communications, definitively agreed to acquired all the outstanding stock of Box Worldwide (BW) for $1.5 in Class A preferred stock per share, or a total value of $36 .072 mil. Each Class A preferred share was convertible into 3 Class A common shares. The transaction was subject to regulatory approval.</t>
  </si>
  <si>
    <t>Elexsys International Inc</t>
  </si>
  <si>
    <t>Sanmina Corp</t>
  </si>
  <si>
    <t>Manufacture backpanels</t>
  </si>
  <si>
    <t>Sanmina (SM) merged with Elexsys International (EI ) in a stock swap transaction valued at $219.901 mil. SM offered .33 common share per EI share. Based on SM's closing stock price of $66. 125 on July 21, the last full trading day prior to the announcement, each EI share was valued at $21.82. The transaction was to be accounted for as a pooling of interests.</t>
  </si>
  <si>
    <t>Columbia/HCA Healthcare was rumored to be in negotiations to merge with Tenet Healthcare. The Current status of this deal is unknown.</t>
  </si>
  <si>
    <t>Newport Invest(Apollo Mgmt)</t>
  </si>
  <si>
    <t>Leverage buyout firm</t>
  </si>
  <si>
    <t>US - Newport Investment LLC acquired a 95% interest, or 10.38 mil common shares, in Alliance Healthcare Service Inc (Alliance) for $11 in cash per share, or a total value of $114.2 mil, in a leveraged buyout transaction. Subsequently, Kohlberg Kravis Roberts &amp; Co LLC agreed to acquire a 90% interest in Alliance in a secondary buyout transaction.</t>
  </si>
  <si>
    <t>Rudy's Restaurant Group</t>
  </si>
  <si>
    <t>Benihana Inc</t>
  </si>
  <si>
    <t>Benihana acquired all the outstanding common stock of Rudy's Restaurant, a majority- owned unit of Bright Star Holding, for $5 per share, or a total value of $18.825 mil.</t>
  </si>
  <si>
    <t>Astrotech International Corp</t>
  </si>
  <si>
    <t>Pvd storage tank maintenance</t>
  </si>
  <si>
    <t>ITEQ Inc</t>
  </si>
  <si>
    <t>Prvds treatment for liqds, gas</t>
  </si>
  <si>
    <t>Iteq (IT) acquired Astrotech International (AI) in a stock swap transaction valued at $108.565 mil. IT offered .93 common shares per AI share. Based on IT's closing stock price of $11.75 on Jul 23, the last full trading day prior to the announcement, each AI share was valued at $10.9275. The transaction was accounted for as a pooling of interests and had been subject to regulatory approval.</t>
  </si>
  <si>
    <t>Mallinckrodt Inc</t>
  </si>
  <si>
    <t>Mnfr diagnostic products</t>
  </si>
  <si>
    <t>Mallinckrodt (MCK) acquired all the oustanding common stockof Nellcor Puritan- Bennett (NPB) for $28.5 in cash per share, or a total value of $1.858 bil. Previously, MCK completed its tender offer by accepting 59. 1 mil common shares, or 93% of NPB's common stock outstanding. The offer had been conditioned on a majority of the shares being tendered and was subject to regulatory approval.</t>
  </si>
  <si>
    <t>Branford Savings Bank,CT</t>
  </si>
  <si>
    <t>US - North Fork Bancorp (NF), Melville, New York, acquired Branford Savings Bank (BS), Branford, Connecticut, in a stock swap transaction valued at an amended $41.797 mil. NF offered 0.1957 common shares per BS share. Based on NF's closing stock price of $32. 5625 on December 11, the last full trading day prior to the announcement, each BS share was valued at $6.37. Originally, NF definitively agreed to acquire BS for $34. 44 mil. NF offered $5.25 in NF common stock per BS share, subject to a collar agreement. The transaction had been subject to federal and state banking regulatory approval.</t>
  </si>
  <si>
    <t>First Commercial Bancorp,CA</t>
  </si>
  <si>
    <t>First Banks America (FBA), Houston, Texas, a 70%-owned unit of First Banks (FB), St Louis, Missouri, merged with First Commercial Bancorp (FCB) , Sacramento, California, a 61.6%-owned unit of FB in a stock swap transaction valued at $9.68 mil. FBA offered . 8888 common share per FCB share. Based on FBA's closing stock price of $12.875 on July 24, the last full trading day prior to the announcement, each FCB share was valued at $11.44. The transaction had been subject to federal and state banking regulatory approval. Concurrently, FB acquired 804, 000 FBA common shares.</t>
  </si>
  <si>
    <t>Homegate Hospitality Inc</t>
  </si>
  <si>
    <t>Prime Hospitality Corp</t>
  </si>
  <si>
    <t>Own,operate,franchise hotels</t>
  </si>
  <si>
    <t>Prime Hospitality (PH) acquired Homegate Hospitality (HH) in a stock swap transaction valued at $133. 155 mil. PH offered .6073 common shares per HH share. Based on PH's closing stock price of $20.375 on Jul 24, the last full trading day prior to the announcement, each HH share was valued at $12.374. The transaction was accounted for as a pooling of interests and had been subject to regulatory approval.</t>
  </si>
  <si>
    <t>Constellation Capital Partners</t>
  </si>
  <si>
    <t>Constellation Capital Partners (CCP) acquired an 92. 8% interest, or 16.635 mil common shares, in Imo Industries (IM) via a challenging tender offer for $7.05 in cash per share, or a total value of $117.277 mil. Originally, CCP intended to acquire 100% of IM. The tender offer had been conditioned upon 80% of the shares being tendered. Previously, United Dominion terminated its tender offer for all the outstanding common stock of IM for $6 in cash per share. Subsequently, in July 1998, CCP acquired the remaining 7.2% stake in IM.</t>
  </si>
  <si>
    <t>Tysons Financial Corp,VA</t>
  </si>
  <si>
    <t>US - Mainstreet BankGroup (MB), Martinsville, Virginia, acquired all the outstanding common stock of Tysons Financial (TF), McLean, Virginia, for $14.5 in common stock per TF common share, or a total value of $16.145 mil. The transaction had been subject to federal and state banking regulatory approval.</t>
  </si>
  <si>
    <t>Chips and Technologies Inc</t>
  </si>
  <si>
    <t>Design, whl integrated circuit</t>
  </si>
  <si>
    <t>Intel Corp</t>
  </si>
  <si>
    <t>Manufacture,wholesale semiconductors</t>
  </si>
  <si>
    <t>Intel acquired all the outstanding stock of Chips and Technologies (CT) for $17. 5 in cash per share, or a total value of $422.947 mil. Previously, Intel completed its tender offer for CT by accepting 23.163 mil shares. The offer had been conditioned upon a majority of the shares being tendered and was subject to regulatory approval under the Hart-Scott- Rodino Antitrust Act.</t>
  </si>
  <si>
    <t>Cyrix Corp</t>
  </si>
  <si>
    <t>Mnfr PC units,microprocessors</t>
  </si>
  <si>
    <t>National Semiconductor Corp</t>
  </si>
  <si>
    <t>US - National Semiconductor Corp (NS) acquired Cyrix Corp (CY) in a stock swap transaction valued at $566.39 mil. NS offered .825 common shares per CY share. Based on NS' closing stock price of $33.5625 on Jul 25, the last full trading day prior to the announcement, each CY share was valued at $27.69. The transaction had been subject to a lockup agreement and regulatory approval.</t>
  </si>
  <si>
    <t>IMC Global (IM) merged with Freeport-McMoRan (FM) in a stock swap transaction valued at $790.707 mil. IM offered . 9 common shares and 1 warrant, exercisable into .33 common shares at an price of $44.5 per share, per FM share. Based on IM's closing stock price of $33.75 on July 25, the last full trading day prior to the announcement, each FM share was valued at $30.375. Upon completion, FM was merged into IM. Immediately prior to the merger, IM and FM merged their sulphur businesses to form a new company named Freeport-McMoRan Sulphur and spunoff the new company to FM's shareholders. The transaction had been subject to regulatory approval under the Hart-Scott-Rodino Anti- Trust Act.</t>
  </si>
  <si>
    <t>Sun Healthcare Group Inc</t>
  </si>
  <si>
    <t>Pvd long-term healthcare svcs</t>
  </si>
  <si>
    <t>Sun Healthcare Group (SH) acquired all the outstanding common stock of Regency Health Services (RHS) for $22 in cash per share, or a total value of approximately $587. 875 mil, including the assumption of about $220 mil in liabilities. Earlier, SH completed its tender offer for RHS by accepting 15,736, 828 shares, or 89.3% of RHS' outstanding shares. The offer was conditioned upon a majority of RHS's shares being tendered and was subject to regulatory approval.</t>
  </si>
  <si>
    <t>America First Prep Fund 2 LP</t>
  </si>
  <si>
    <t>Amer First Partipating Pfd</t>
  </si>
  <si>
    <t>America First Participating/ Preferred Equity Mortgage Fund (AF) merge with America First Prep Fund 2 (A2) to form America First Mortgage Investments (AM) in a stock swap transaction valued at $18.11 mil. A2 shareholders were to receive 1.26 AM common shares and AF shareholders were to receive 1 AM common share per share held. Based on AF's closing stock price of $9 on July 28, the last full trading day prior to the announcement, each A2 share was valued at $11.34. Concurrently, AF also merged with America First Prep Fund 2 Pension Series LP for a stock swap transaction valued at $18.11.</t>
  </si>
  <si>
    <t>First Southern Bancshares Inc</t>
  </si>
  <si>
    <t>Citizens Bancshares Corp,GA</t>
  </si>
  <si>
    <t>US - Citizens Bancshares (CB) acquired all the outstanding common stock of First Southern Bancshares, a commercial bank, in exchange for an estimated $4.469 mil. The consideration consisted of $4.469 mil in cash and . 837 mil CB common shares.</t>
  </si>
  <si>
    <t>J-Bird Records Inc</t>
  </si>
  <si>
    <t>Pvd record production svcs</t>
  </si>
  <si>
    <t>Caltron Inc</t>
  </si>
  <si>
    <t>Caltron merged with J-Bird Records (JBR). Upon completion, JBR was renamed J- Bird Music Group.</t>
  </si>
  <si>
    <t>Ticketmaster Group Inc</t>
  </si>
  <si>
    <t>Own,operate ticket agencies</t>
  </si>
  <si>
    <t>HSN raised its stake to 50. 1% from 47.5% in Ticketmaster Group. Terms were not disclosed.</t>
  </si>
  <si>
    <t>Amdahl Corp</t>
  </si>
  <si>
    <t>Develop computer sys,software</t>
  </si>
  <si>
    <t>Fujitsu Ltd</t>
  </si>
  <si>
    <t>Mnfr,whl computer,sys</t>
  </si>
  <si>
    <t>Fujitsu acquired the remaining 58% interest, or 70. 92 mil common shares, which it did not already own, in Amdahl for an amended $12.4 in cash per share, or a total value of $924.752 mil. Earlier, Fujitsu completed its tender offer for Amdahl by accepting 67,292,435 shares. Originally, Fujitsu offered $12 in cash per share. The offer had been conditioned upon a minimum ot 51% of Amdahl's shares outstanding being tendered and was subject to regulatory approval under the Hart-Scott- Rodino Antitrust Act.</t>
  </si>
  <si>
    <t>EmCare Holdings Inc</t>
  </si>
  <si>
    <t>Laidlaw acquired EmCare Holdings (EM) by completing its tender offer for $38 in cash per share, or a total value of $398.34 mil, including the assumption of $65 mil in liabilities. The offer had been to condition upon 51% of the shares being tendered and was subject to regulatory approval.</t>
  </si>
  <si>
    <t>Plasti-Line Inc</t>
  </si>
  <si>
    <t>Mnfr illuminated outdoor signs</t>
  </si>
  <si>
    <t>PL Holdings Corp</t>
  </si>
  <si>
    <t>Investor group formed by mgmt</t>
  </si>
  <si>
    <t>PL Holdings, a mangement-led investor group, acquired, via a tender offer, the remaining 53% interest, or 2.255 mil shares of Plasti-Line for $14. 5 in cash per share, or a total value of $30.71 mil, in a leveraged buyout transaction. James R Martin, chairman and CEO of Plasti- Line, holds a 90% interest of PL Holdings and a group of 15 managers holds the remaining 10%.</t>
  </si>
  <si>
    <t>Protection One Inc</t>
  </si>
  <si>
    <t>Mnfr security systems</t>
  </si>
  <si>
    <t>Western Resources (WR) acquired an 82.99% interest, or 68.67 mil common shares, in Protection One for approximately $900 mil. The consideration consisted of $320 mil in cash and WR's Westar Security subsidiary valued at approximately $580 mil.</t>
  </si>
  <si>
    <t>An unnamed buyer planned to acquire a 50.7% interest, or 1.99 mil common shares, in Sunair Electronics from Mr Robert Uricho at $4.25 per share, for a total of $8.47 mil.</t>
  </si>
  <si>
    <t>Delaware Otsego Corp</t>
  </si>
  <si>
    <t>Own and operate railroad</t>
  </si>
  <si>
    <t>An investor group comprised of CSX, Norfolk Southern and President Walter Rich acquired the remaining 80% interest, or 1,721,728 common shares in Delaware Otsego (DO) , which they did not already own , by completing its tender offer for an amended $22 in cash per share, or a total value of $53.423 mil, including the assumption of $17.75 mil in liabilities, by accepting 1.663 mil shares, or 79.63% of DO's shares . Originally, the investor group offered $19 in cash per share. The offer had been contingent on a minimum of two-thirds of the shares being tendered and was subject to regulatory approval.</t>
  </si>
  <si>
    <t>Interactive Group Inc</t>
  </si>
  <si>
    <t>Dvlp,whl comp integrated sys</t>
  </si>
  <si>
    <t>DataWorks Corp</t>
  </si>
  <si>
    <t>Dvlp computer integrated sys</t>
  </si>
  <si>
    <t>DataWorks (DW) merged with Interactive Group (IG) in a stock swap transaction valued at $54.992 mil. DW offered . 805 common shares per IG share. Based on DW's closing stock price of $14.375 on July 30, the last full trading day prior to announcement, each IG share was valued at $11.58. The transaction was accounted for as a pooling of interest.</t>
  </si>
  <si>
    <t>Santa Monica Bank</t>
  </si>
  <si>
    <t>Western Bancorp (WB), Laguna Niguel, California, acquired all the common stock outstanding, or 7,077,000 common shares, of Santa Monica Bank (SM), Santa Monica, California, for $198. 1 mil. WB offered a choice of either $28 in cash or .875 common shares per SM share. 57.3% of the shareholders elected the cash choice and the remaining 42.7% elected the common share consideration. The stock portion of the consideration was valued at $84.613 mil based on WB's closing stock price of $32 on July 30, the last full trading day prior to announcement.</t>
  </si>
  <si>
    <t>Sterling House Corp</t>
  </si>
  <si>
    <t>Alternative Living Services</t>
  </si>
  <si>
    <t>Pvd residential care svcs</t>
  </si>
  <si>
    <t>Alternative Living Services, a unit of Evergreen Healthcare, merged with Sterling House in a stock swap transaction valued at approximately $170 mil, including the assumption of about $47.37 mil in liabilities. AL offered 1.1 common shares per SH share. Based on AL's closing stock price of $21.625 on July 30, the last full trading day prior to announcement, each SH share was valued at $23.79. The transaction was accounted for as a pooling of interests and had been subject to regulatory approval.</t>
  </si>
  <si>
    <t>Community Care of America Inc</t>
  </si>
  <si>
    <t>Integrated Health Services (IH) acquired all the outstanding stock of Community Care of America (CCA) for $4 in cash per share, or a total value of $94.034 mil, including the assumption of approximately $62 mil in liabilities and $1. 6 mil in additional financial payments. Earlier, IH completed its tender offer for CCA by accepting 7.07 mil shares, or 91.28% of CCA's outstanding stock. The offer had been conditioned upon a majority of the shares being tendered and had been subject to regulatory approval. Previously, in June 1997, CCA disclosed that it was seeking a buyer for the company.</t>
  </si>
  <si>
    <t>North Coast Energy Inc</t>
  </si>
  <si>
    <t>Nuon International BV</t>
  </si>
  <si>
    <t>Nuon International, a unit of Nuon, raised its interest to 60.365% from 34.825% in North Coast Energy by acquiring 5.7 mil newly issued common shares for $5 mil. The transaction was subject to regulatory approval.</t>
  </si>
  <si>
    <t>Belmont Homes Inc</t>
  </si>
  <si>
    <t>Mnfr prefabricated houses</t>
  </si>
  <si>
    <t>Cavalier Homes Inc</t>
  </si>
  <si>
    <t>Cavalier Homes (CH) acquired Belmont Homes (BH) in a stock swap transaction valued at $73.9736 mil. CH offered .8 common shares per BH share. Based on CH's closing stock price of $9.75 on August 1, the last full trading day prior to the announcement, each BH share was valued at $7.8. The transaction was accounted for as a pooling of interests.</t>
  </si>
  <si>
    <t>Columbus Realty Trust</t>
  </si>
  <si>
    <t>Post Properties Inc</t>
  </si>
  <si>
    <t>Post Properties (PP) acquired Columbus Realty Trust (CR) in a stock swap transaction valued at approximately $600 mil, including the assumption of about $259.444 mil in liabilities. PP offered .615 common shares per CR share. Based on PP's closing stock price of $39.9375 on August 1, the last full trading day prior to the announcement, each CR share was valued at $24.56.</t>
  </si>
  <si>
    <t>Gynecare Inc</t>
  </si>
  <si>
    <t>Pvd biotech prod dlvp services</t>
  </si>
  <si>
    <t>Johnson &amp; Johnson (JNJ) acquired Gynecare in a stock swap merger transaction valued at $70.533 mil. JNJ offered $8.46 in common shares per Gynecare share. The transaction had been subject to regulatory approval.</t>
  </si>
  <si>
    <t>Perkins Family Restaurant LP</t>
  </si>
  <si>
    <t>Own,op franchised restaurants</t>
  </si>
  <si>
    <t>Restaurant Co</t>
  </si>
  <si>
    <t>Restaurant Co (RC) acquired the remaining 52% interest, or 5,448,558 limited partnership units, which it did not already own, in Perkins Family Restaurants for an amended $14 in cash per unit, or a total value of $76.28 mil. Originally, RC offered $13 in cash per unit.</t>
  </si>
  <si>
    <t>Covenant Bancorp,New Jersey</t>
  </si>
  <si>
    <t>First Union (FU), Charlotte, North Carolina, acquired Covenant Bancorp (CB), Haddonfield, New Jersey, in a stock swap transaction valued at $55.4 mil. FU offered . 3813 common shares per CB share. Based on FU's closing stock price of $49.5 on August 4, the last full trading prior to the announcement, each CB share was valued at $18.87. The transaction had been subject to federal and state banking regulatory approval.</t>
  </si>
  <si>
    <t>Showscan Entertainment Inc</t>
  </si>
  <si>
    <t>Iwerks Entertainment (IE) withdrew its agreement to merge with Showscan Entertainment (SE) in a stock swap transaction valued at an amended $7.939 mil. IE offered .62 common shares per SE common share and convertible preferred share. Based on IE's closing stock price of $2.25 on December 29, the last full trading day prior to the announcement of amended terms, each SE share was valued at $1.395. The transaction was to be accounted for as a pooling of interests.</t>
  </si>
  <si>
    <t>Team Inc</t>
  </si>
  <si>
    <t>Provide industrial services</t>
  </si>
  <si>
    <t>Wingate Partners LP</t>
  </si>
  <si>
    <t>Wingate Partners signed a letter of intent to acquire a 50% interest, or 2,579,921 common shares, in Team for $3. 125 per share or a total value of $8.062 mil. The transaction was subject to regulatory approval.</t>
  </si>
  <si>
    <t>Bank of Southington</t>
  </si>
  <si>
    <t>State bank</t>
  </si>
  <si>
    <t>Hubco definitively acquired Bank of Southington (BS), Southington, Connecticut in a stock swap transaction valued at $26.045 mil. Hubco offered $21 in common stock per BS share, subject to a collar agreement. The transaction had been subject to federal and state banking regulatory approval and was to be accounted for as a pooling of interests. In August 1997, Bank of Southington announced that it was seeking a buyer for the company.</t>
  </si>
  <si>
    <t>An investor group, including Thomas H Lee, Chase Capital Partners, Merrill Lynch and DLJ Merchant Banking Partners, a unit of Donaldson Lufkin &amp; Jenrette, acting as a white knight, acquired a 97% interest, or 23,222,330 common shares, in Fisher Scientific International (FS) for an amended $48.25 in cash per share, or a total value of $950.58 mil, in a recapitalization transaction. Originally, the investor group offered $51 per share. Concurrently, Trinity I Fund withdrew intentions to acquire the remaining 91% interest, that it did not already own, in FS.</t>
  </si>
  <si>
    <t>Magnetic Technologies Corp</t>
  </si>
  <si>
    <t>Manufacture copiers,printers</t>
  </si>
  <si>
    <t>SPS Technologies (SPS) acquired all the outstanding common stock of Magnetic Technologies (MT) for $5 per share, or a total value of $16.797 mil, including the assumption of $2.3 mil in liabilities. The consideration consisted of approximately $8.4 mil in cash and $6.097 mil in SPS common stock.</t>
  </si>
  <si>
    <t>An investor group including Greenway Partners acquired the remaining 90.11% interest, or 18,221,964 common shares, which it did not already own, in Outboard Marine (OM) for $18 in cash per share, or a total value of $330.122 mil. Earlier, the investor group completed its challenging tender offer for OM by accepting 16,502,801 shares or 76.8% of OM's outstanding stock. Concurrently, Detroit Diesel terminated its definitive agreement to acquire OM in a two-tier merger transaction.</t>
  </si>
  <si>
    <t>Tracker Marine (TM) acquired the remaining 19% stake, which it did not already own, in Mako Marine International (MM), through its TRACKAQ subsidiary, for an estimated $2.16 mil. TM offered $1.25 in cash per MM common share and $.125 in cash per public warrant.</t>
  </si>
  <si>
    <t>USF&amp;G Corp</t>
  </si>
  <si>
    <t>US - USF&amp;G (USF) acquired all the outstanding common stock of Titan Holdings Inc (THI) for $22.47 per share, or a total value of $228.063 mil. The consideration consisted of $11.6 in cash and .465 common shares per THI share. Based on USF's closing stock price of $23. 375 on August 7, the last full trading day prior to the announcement, each THI share was valued at $22.47. Originally in June 1997, TH announced that it was seeking a buyer for the company.</t>
  </si>
  <si>
    <t>A management-led investor group comprised of UBS Partners, Fenway Partners and senior management, terminated its agreement to acquire all the outstanding common stock of Xpedite Systems (XS) for $23.25 per share, or a total value of approximately $222. 916 mil, in a leveraged buyout transaction. Previously, the investor group terminated its tender offer to acquire XS for an amended $23 in cash per share. The transaction was to subject to regulatory approval. Subsequently, Premiere Technologies completed its sweetened, unsolicited, challenging offer to acquire XS in a stock swap transaction valued at $386.655.</t>
  </si>
  <si>
    <t>Amscan Holdings Inc</t>
  </si>
  <si>
    <t>Whl paper,plastic party goods</t>
  </si>
  <si>
    <t>Confetti Acquisition Inc</t>
  </si>
  <si>
    <t>Confetti Acquisition (CA), a company formed by GS Capital Partners II, a unit of Goldman Sachs, and management, acquired all the outstanding common stock of Amscan Holdings (AH) for approximately $334.916 mil, plus the assumption of liabilities, in a recapitalization transaction. CA offered a choice of either $16.50 in cash or a combination of $9.33 in cash plus common stock per AH common share.</t>
  </si>
  <si>
    <t>Heico Holding Inc</t>
  </si>
  <si>
    <t>Heico Holding, a company affliated with Envirodyne Industries (EI) director Michael Heisley, withdrew an unsolicited offer to acquire all the outstanding common stock of EI for $8.50 per share, or a total value of approximately $651.299 mil, including the assumption of $525 mil in liabilities. EI shareholders were also to receive an additional undisclosed amount in cash per share from HH to settle a litigation. Earlier, HK Acquisition, a company formed by Michael Heisley, withdrew its unsolicited offer to acquire EI for $8.50 per share.</t>
  </si>
  <si>
    <t>In August 1997, Midland Resources announced that it was seeking a buyer for the company.</t>
  </si>
  <si>
    <t>Midway Games Inc</t>
  </si>
  <si>
    <t>Dvlp,market gaming software</t>
  </si>
  <si>
    <t>WMS Industries (WMS) completed the spinoff of its 86.7% interest, or 39,979,638 common shares, in its Midway Games (MG) unit to its shareholders in a transaction valued at $923.5 mil. WMS shareholders received 1.19773 MG common shares per WMS share held. The shares were valued based on WMS' closing stock price of $23.1 on April 6, the first full day of trading on which the shares were distributed. Previously, WMS split off a 13.3% stake in MG via an initial public offering.</t>
  </si>
  <si>
    <t>National Sanitary Supply Co</t>
  </si>
  <si>
    <t>Sanitary maintenance supplies</t>
  </si>
  <si>
    <t>Unisource Worldwide Inc</t>
  </si>
  <si>
    <t>Wholesale printing paper</t>
  </si>
  <si>
    <t>Unisource Worldwide acquired National Sanitary Supply, an 82%-owned unit of Chemed, for $21 in cash per share, or a total value of $155.852 mil, including the assumption of $19 mil in liabilities.</t>
  </si>
  <si>
    <t>Metrocall (MC) acquired ProNet (PN) in a stock swap transaction valued at approximately $239.317 mil, including the assumption of about $170.3 mil in liabilities. MC offered .9 common shares per PN share. Based on MC's closing stock price of $6 on August 8, the last full trading day prior to the announcement, each PN share was valued at $5.4. The transaction had been subject to regulatory approval under the Hart-Scott-Rodino Antritrust Act.</t>
  </si>
  <si>
    <t>Fairfield Communities Inc</t>
  </si>
  <si>
    <t>Construct vacation resorts</t>
  </si>
  <si>
    <t>Fairfield Communities (FC) acquired Vacation Break USA (VB) in a stock swap transaction valued at $178. 128 mil. FC offered .6075 common shares per VB common share. Based on FC's closing stock price of $32.625 on August 8, the last full trading day prior to the announcement, each VB share was valued at $19.82. The transaction was to be accounted for as a pooling of interests.</t>
  </si>
  <si>
    <t>Isomedix Inc</t>
  </si>
  <si>
    <t>Pvd contract sterilization svc</t>
  </si>
  <si>
    <t>Steris acquired all the outstanding common stock of Isomedix for $20.50 in cash per share, or a total value of $139.787 mil. Earlier, Steris completed its tender offer for Isomedix by accepting 6.26 mil shares. The offer had been conditioned on a majority of the shares being tendered.</t>
  </si>
  <si>
    <t>LIN Television Corp</t>
  </si>
  <si>
    <t>Own,op TV bdcstg stations</t>
  </si>
  <si>
    <t>Hicks Muse Tate &amp; Furst (HMT) acquired all the outstanding stock of LIN Television (LT), including AT&amp;T's 45.4% stake, for $55 in cash plus 8% interest per share, or a total value of $1.961 bil, including the assumption of $270 mil in liabilities. The transaction was subject to regulatory approval. Concurrently, HMT agreed to acquire WOOD-TV, a unit of AT&amp;T for approximately $122.5 mil. Previously in December 1996, AT&amp;T announced it was seeking a buyer for all or part of its 45.4% stake in LT. Subsequently, NBC signed a letter of intent to acquire KXAS-TV, located in Dallas, Texas, of LT, from HMT. Later, Raycom Media terminated its offer to acquire LT for $52.5 in cash per share.</t>
  </si>
  <si>
    <t>Unitel Video Inc(UEI PLC)</t>
  </si>
  <si>
    <t>Provide video services</t>
  </si>
  <si>
    <t>An unnamed buyer withdrew its intentions to acquire Unitel Video, a majority- owned unit of UEI.</t>
  </si>
  <si>
    <t>Phoenix Network Inc</t>
  </si>
  <si>
    <t>MIDCOM Communications Inc</t>
  </si>
  <si>
    <t>MIDCOM Communications (MC) terminated its agreement to merge with Phoenix Network (PN) in exchange for 9.1 mil common shares valued at $79. 63 mil. The shares were valued based on MC's closing stock price of $8.75 on August 12, the last full trading day prior to the announcement. The transaction was subject to regulatory approval. Concurrently, PN agreed to acquire Trans National Communications (TNC). Upon completion of TNC's acquisition, MC was to issue PN an additional 1.5 mil common shares and assume $15. 7 mil in liabilities.</t>
  </si>
  <si>
    <t>PlanGraphics Inc</t>
  </si>
  <si>
    <t>DCX Inc</t>
  </si>
  <si>
    <t>Mnfr military electronic prods</t>
  </si>
  <si>
    <t>DCX acquired all the outstanding stock of PlanGraphics for 2,631,145 common shares valued at $5. 427 mil. The shares were valued based on DCX's closing stock price of $2.0625 per share on August 12, the last full trading day prior to announcement. The transaction had been subject to regulatory approval .</t>
  </si>
  <si>
    <t>Allied Capital Advisers Inc</t>
  </si>
  <si>
    <t>Investment advisory svcs</t>
  </si>
  <si>
    <t>Allied Capital Lending Corp</t>
  </si>
  <si>
    <t>business development company</t>
  </si>
  <si>
    <t>Allied Capital Lending (ACL) merged with Allied Capital Advisors (ACA) in a stock swap valued at $49.476 mil. ACL offered .31 common shares per ACA common share. Based on ACL's closing stock price of $16.25 on August 13, the last full trading day prior to the announcement, each ACA share was valued at $5.0375. The transaction had been subject to regulatory approval. Concurrently, ACL merged with Allied Capital, Allied Capital Corp II, and Allied Capital Commercial. Upon completion, the five merged companies were renamed Allied Capital Corp.</t>
  </si>
  <si>
    <t>Allied Capital Commercial Corp</t>
  </si>
  <si>
    <t>Real estate investment trusts</t>
  </si>
  <si>
    <t>Allied Capital Lending (ACL) merged with Allied Capital Commercial (ACC) in a stock swap valued at $381.324 mil. ACL offered 1 .6 common shares per ACC common share. Based on ACL's closing stock price of $16.25 on August 13, the last full trading day prior to the announcement, each ACC share was valued at $26. The transaction had been subject to regulatory approval. Concurrently, ACL merged with Allied Capital, Allied Capital Advisors, and Allied Capital Corp II. Upon completion, the five merged companies were renamed Allied Capital Corp.</t>
  </si>
  <si>
    <t>Allied Capital Corp</t>
  </si>
  <si>
    <t>Pvd bus,personal fin svcs</t>
  </si>
  <si>
    <t>Allied Capital Lending (ACL) merged with Allied Capital (AC) in a stock swap valued at $129.977 mil. ACL offered 1.07 common shares per AC share. Based on ACL's closing stock price of $16.25 on August 13, the last full trading day prior to the announcement, each AC share was valued at $17.3875. The transaction had been subject to regulatory approval. Concurrrently, ACL merged with Allied Capital Advisors, Allied Capital Commercial, and Allied Capital Corp II. Upon completion, the five merged companies were renamed Allied Capital Corp.</t>
  </si>
  <si>
    <t>Allied Capital Lending (ACL) merged with Allied Capital Corp II (ACC) in a stock swap transaction valued at $175. 608 mil. ACC offered 1.4 common shares per ACC common share. Based on ACL's closing stock price of $16.25 on August 13, the last full trading day prior to the announcement, each ACC share was valued at $22.75. The transaction had been subject to regulatory approval. Concurrrently, ACL merged with Allied Capital Corp, Allied Capital Commercial, and Allied Capital Advisors. Upon completion, the five merged companies were renamed Allied Capital Corp.</t>
  </si>
  <si>
    <t>American Medserve Corp</t>
  </si>
  <si>
    <t>Provide pharmacy services</t>
  </si>
  <si>
    <t>Omnicare Inc</t>
  </si>
  <si>
    <t>Ret,whl pharmaceuticals</t>
  </si>
  <si>
    <t>Omnicare acquired all the outstanding common stock of American Medserve (AM) for $18 in cash per share, or a total value of $233.181 mil, including the assumption of $11.6 mil in liabilities. Earlier, Omnicare completed its tender offer for AM by accepting 11.868 mil shares, or 94.9% of AM's shares outstanding. The transaction had been subject to regulatory approval.</t>
  </si>
  <si>
    <t>Talbert Medical Management</t>
  </si>
  <si>
    <t>Own,op medical,dental clinics</t>
  </si>
  <si>
    <t>MedPartners (MP) acquired all the outstanding common shares of Talbert Medical Management Holdings (TMMH) for $63 in cash per share, or a total value of $189.048 mil. Earlier, MP completed its tender offer for TMMH. The offer was conditioned upon a minimum of 51% of the shares being tendered.</t>
  </si>
  <si>
    <t>Technology Service Group Inc</t>
  </si>
  <si>
    <t>Mnfr cellular telephones</t>
  </si>
  <si>
    <t>Elcotel Inc</t>
  </si>
  <si>
    <t>Mnfr public commun products</t>
  </si>
  <si>
    <t>Elcotel (ET) acquired Technology Service Group (TS), a 52%-owned unit of Wexford Partners Fund, in a stock swap transaction valued at $32.908 mil. ET offered 1.05 common shares per TS share. Based on ET's closing stock price of $6.25 on August 13, the last full trading day prior to the announcement, each TS share was valued at $6.5625. The transaction had been subject to Hart-Scott- Rodino regulatory approval.</t>
  </si>
  <si>
    <t>Tuesday Morning Corp</t>
  </si>
  <si>
    <t>Own, operate giftware stores</t>
  </si>
  <si>
    <t>Madison Dearborn Partners LLC</t>
  </si>
  <si>
    <t>US - Madison Dearborn Partners acquired all the outstanding common stock of Tuesday Morning for $25 in cash per share, or a total value of $298.643 mil.</t>
  </si>
  <si>
    <t>Uniforce Services Inc</t>
  </si>
  <si>
    <t>COMFORCE Corp</t>
  </si>
  <si>
    <t>Pvd staffing,consulting svcs</t>
  </si>
  <si>
    <t>Comforce (CC) acquired all the outstanding common stock of Uniforce Services (UNF) for $32.24 per share, or a total value of $140.741 mil, including the assumption of $35 mil in liabilities. Earlier CC completed its tender offer for UNF by accepting 2,931,741 shares, or 87% of UNF's stock outstanding. The consideration consisted of a combination of $28 in cash and .5217 CC common shares per UNF share. Based on CC's closing stock price of $8.125 on Oct 18, the last full trading day prior to the announcement, each UNF share was valued at $4.24. The transaction was subject to regulatory approval.</t>
  </si>
  <si>
    <t>Keystone Heritage Group</t>
  </si>
  <si>
    <t>Fulton Financial (FF), Lancaster, Pennsylvania, acquired Keystone Heritage Group (KH), Lebanon, Pennsylvania, in a stock swap transaction valued at $210. 899 mil. FF offered 1.83 common shares per KH common share. Based on FF's closing stock price of $28.875 on August 14, the last full trading day prior to the announcement, each KH share was valued at $52.841. The transaction was subject to federal and state banking regulatory approval.</t>
  </si>
  <si>
    <t>T/SF Communications Corp</t>
  </si>
  <si>
    <t>Pvd info svcs</t>
  </si>
  <si>
    <t>VS&amp;A Communications Partners</t>
  </si>
  <si>
    <t>VS&amp;A Communications Partners II acquired an 85.367% interest, or 2.844 mil T/SF Communications common shares, for $40.5 in cash per share, or a total value of $115.188 mil.</t>
  </si>
  <si>
    <t>CENFED Financial,Pasadena,CA</t>
  </si>
  <si>
    <t>Golden State Bancorp Inc,CA</t>
  </si>
  <si>
    <t>Savings and loan; holding co</t>
  </si>
  <si>
    <t>Golden State Bancorp, Glendale, California (GSB), acquired CENFED Financial, Pasadena, California (CF), in a stock swap transaction valued at $208.37 mil. GSB offered 1.2 common shares per CF share. Based on GSB's closing stock price of $28. 688 on August 15, the last full trading day prior to the announcement, each CF share was valued at $34.425. The transaction was subject to federal and state banking regulatory approval.</t>
  </si>
  <si>
    <t>Frontier Natural Gas Corp</t>
  </si>
  <si>
    <t>In August 1997, Frontier Natural Gas announced that it was seeking a buyer for the company.</t>
  </si>
  <si>
    <t>Glastonbury Bank &amp; Trust Co,CT</t>
  </si>
  <si>
    <t>Commercial bank;RE agency</t>
  </si>
  <si>
    <t>SIS Bancorp Inc,Springfield,MA</t>
  </si>
  <si>
    <t>SIS Bancorp (SIS), Springfield , Massachusetts, acquired Glastonbury Bank &amp; Trust(GB), Glastonbury, Connecticut, in stock swap transaction valued at $40.624 mil. SB offered .74 common shares per GB common share. Based on SB's closing stock price of $30 on August 15, the last full trading day prior to the announcement, each GB share was valued at $22.2. The transaction had been subject to federal and state banking regulatory approval. Under a lockup agreement, SB was granted an option to acquire a 8.5% stake in GB.</t>
  </si>
  <si>
    <t>Texaco Inc</t>
  </si>
  <si>
    <t>Texaco acquired all the outstanding common stock of Monterey Resources for $21 in common stock per share, or a total value of approximately $1.435 bil, including the assumption of about $285 mil in liabilities The transaction had been subject to regulatory approva and to collar agreement.</t>
  </si>
  <si>
    <t>Rexworks Inc</t>
  </si>
  <si>
    <t>Mnfr concrete mixers</t>
  </si>
  <si>
    <t>Giuffre Bros Cranes Inc</t>
  </si>
  <si>
    <t>Giuffre Bros Cranes acquired all the outstanding common stock of Rexworks (RX). The transaction had been conditional upon the completion CMI's acquisition of the compactor and grinder businesses of RX. The transaction had been subject to regulatory approval.</t>
  </si>
  <si>
    <t>American United Global Inc</t>
  </si>
  <si>
    <t>Dvlp application software</t>
  </si>
  <si>
    <t>IDF International Inc</t>
  </si>
  <si>
    <t>Operate medical testing labs</t>
  </si>
  <si>
    <t>IDF International (IDF) agreed to merge with American United Global (AUG) in exchange for 6.2 mil IDF common shares in a reverse stock swap transaction. Upon completion, AUG shareholders were to hold a 52% interest in IDF.</t>
  </si>
  <si>
    <t>In August 1997, Hollywood Park Inc announced that it was seeking a buyer for the company.</t>
  </si>
  <si>
    <t>Boston Technology Inc</t>
  </si>
  <si>
    <t>Comverse Technology Inc</t>
  </si>
  <si>
    <t>Dvlp commun software</t>
  </si>
  <si>
    <t>Comverse Technology (CT) acquired Boston Technology (BT) in a stock swap transaction valued at $873. 862 mil. CT offered .65 common shares per BT share. Based on CT's closing stock price of $48.5 on Aug 20, the last full trading day prior to the announcement, each BT share was valued at $31.525. The transaction was accounted for as a pooling of interests.</t>
  </si>
  <si>
    <t>ACC Consumer Finance Corp</t>
  </si>
  <si>
    <t>Pvd auto financing services</t>
  </si>
  <si>
    <t>Household International Inc</t>
  </si>
  <si>
    <t>Provide financical services</t>
  </si>
  <si>
    <t>Household International (HI) acquired all the outstanding common stock of ACC Consumer Finance (ACC) for $3.5 in cash and .161 HI common shares per ACC share, or a total value of $186.914 mil. Based on HI's closing stock price of $111.25 on Oct 20, the last full trading day prior to the announcement of exact terms, each ACC share was valued at $17.891. The transaction had been subject to regulatory approval.</t>
  </si>
  <si>
    <t>Vornado Realty Trust</t>
  </si>
  <si>
    <t>Vornado Realty Trust (VR) definitively acquired all the outstanding common stock of Arbor Property Trust (AP) for $254.501 mil, including the assumption of $125 mil in liabilities. VR offered a choice of either .153846 convertible preferred shares or .121905 common shares per AP share held. Baseb on VR's closing stock price of $68.25 on August 24, the last full trading day prior to the announcement, each AP share was valued at $10.50. The transaction was valued based on the convertible preferred stock consideration.</t>
  </si>
  <si>
    <t>Cardinal Health (CH) terminated its definitive agreement to merge with Bergen Brunswig (BB) in a stock swap transaction valued at approximately $2.877 bil, including the assumption of about $386 mil in liabilities. CH offered .775 common shares per BB share. Based on CH's closing stock price of $62.3125 on August 22, the last full trading day prior to theannouncement, each BB share was valued at $48.29. The transaction was to be accounted for as a pooling of interests and was subject to regulatory approval.</t>
  </si>
  <si>
    <t>BioWhittaker Inc</t>
  </si>
  <si>
    <t>Mnfr,whl medical testing prods</t>
  </si>
  <si>
    <t>Cambrex Corp</t>
  </si>
  <si>
    <t>Pvd life sciences svcs</t>
  </si>
  <si>
    <t>Cambrex acquired BioWhittaker (BW) by completing its tender offer to acquire all the outstanding stock of BW for $11.63 in cash per share, or a total value of $130.539 mil, by accepting 10.13 mil shares, or 92.54% of Biowhittaker's shares. The offer had been conditioned on a majority of the shares being tendered and was subject to regulatory approval. Previously,in May 1997, BW disclosed it was seeking a buyer for the company.</t>
  </si>
  <si>
    <t>Mosinee Paper Corp</t>
  </si>
  <si>
    <t>Manufacture paper</t>
  </si>
  <si>
    <t>Wausau Paper Mills</t>
  </si>
  <si>
    <t>Manufacture,wholesale paper</t>
  </si>
  <si>
    <t>Wausau Paper Mills (WP) merged with Mosinee Paper (MP) in a stock swap transaction valued at $446.298 mil. WP offered 1.4 common shares per MP share. Based on WP's closing stock price of $20.75 on August 22, the last full trading day prior to announcement, each MP share was valued at $29.05. The transaction was subject to regulatory approval and was to be accounted for as a pooling of interests. Upon completion the new company was to be named Wausau- Mosinee Paper Corp.</t>
  </si>
  <si>
    <t>Perkin-Elmer (PE) acquired PerSeptive Biosystems (PB) in a stock swap transaction valued at $288.131 mil. PE offered .1926 common shares per PB share, subject to a collar agreement. The shares were valued based on PE's closing stock price of $64. 4375 on January 21, the last full trading day prior to the announcement. The transaction was accounted as a pooling of interests and was subject to regulatory approval and a lockup agreement.</t>
  </si>
  <si>
    <t>Savannah Foods &amp; Industries</t>
  </si>
  <si>
    <t>Produce sugar,sugar by-prod</t>
  </si>
  <si>
    <t>Imperial Holly Corp</t>
  </si>
  <si>
    <t>Imperial Holly (IH) acquired Savannah Foods and Industries (SFI) for an amended $20.25 per share, or a total value of $582.874 mil, in a two- tier merger transaction. First, IH completed its unsolicited tender offer for 14,397,836 shares, or 50.1% of SFI's outstanding stock, for an amended $20.25 in cash per share, or a total value of $291.556 mil, by accepting 14,397,836 shares. Second, IH acquired the remaining 49.9% interest in SFI for a choice of an amended $20.25 in cash or IH common stock per share, or a total value $290.392 mil. Originally, IH offered $18. 75 per SFI share. Earlier, SFI terminated its agreement to merge with Florida Crystals, a unit of Flo-Sun.</t>
  </si>
  <si>
    <t>Evans Withycombe Residential</t>
  </si>
  <si>
    <t>Equity Residential Properties Trust (ERPT) acquired Evans Withycombe Residential (EWR) in a stock swap valued at $$932.383 mil, including the assumption of $420 mil in liabilities. ERPT offered .5 common shares per EWR share. Based on ERPT's closing stock price of $50. 375 on Aug 27, the last full trading day prior to the announcement, each EWR share was valued at $25.1875. Upon completion, EWR was merged into ERPT.</t>
  </si>
  <si>
    <t>Value Property Trust</t>
  </si>
  <si>
    <t>Wellsford Real Properties Inc</t>
  </si>
  <si>
    <t>Wellsford Real Properties (WR) acquired all the outstanding common stock of Value Property Trust (VP) for $16.17 in a combination of cash and WR common stock per share, or a total value of $18.58 mil. WR offered an amended $11.58 in cash and . 2984 common shares per share. Based on the cash consideration and WR's closing stock price of $15. 375 on Sep 19, the last full trading day prior to the announcement of amended terms, each VP's share was valued at $16.17. Originally, WR offered $10 in cash and .4259 common shares per share.</t>
  </si>
  <si>
    <t>NationsBank (NB), Charlotte, North Carolina, acquired all the outstanding common stock of Barnett Banks (BB), Jacksonville, Florida, in a stock swap transaction valued at $14.822 bil. NB offered 1. 1875 common shares per BB share. Based on NB's closing stock price of $63.3125 on August 28, the last full trading day prior to the announcement, each BB share was valued at $75.183. The transaction was accounted for as a pooling of interests and had been subject to federal and state banking regulatory approval. The transaction had been delayed until the completion of SouthTrust's acquisition of First of America-Florida FSB, a unit of BB.</t>
  </si>
  <si>
    <t>Outlook Group Corp</t>
  </si>
  <si>
    <t>Goldner Hawn Johnson</t>
  </si>
  <si>
    <t>Goldner Hawn Johnson &amp; Morrison terminated its letter of intent to acquire all the outstanding common stock of Outlook Group for $8. 25 in cash per share, or a total value of $38.823 mil.</t>
  </si>
  <si>
    <t>Rexel Inc</t>
  </si>
  <si>
    <t>Whl electrical components</t>
  </si>
  <si>
    <t>Rexel SA</t>
  </si>
  <si>
    <t>Own,op retail stores</t>
  </si>
  <si>
    <t>Rexel SA (RE), a majority- owned unit of Pinault- Printemps Redoute, completed a sweetened tender offer to acquire the remaining 51.28% interest, or 13,865,019 common shares, which it did not already own, in Rexel Inc (RI) for $22.5 in cash per share, or a total value of $302.028 mil, by accepting 11. 644 mil shares, or 84% of RI's shares outstanding. Originally, RE offered $19.5 in cash per share, or a total value of $260.407 mil.</t>
  </si>
  <si>
    <t>Badger Paper Mills Inc</t>
  </si>
  <si>
    <t>Mnfr papers</t>
  </si>
  <si>
    <t>Investor James Azzar withdrew its unsolicited offer to acquire the remaining 85.8% interest, or 1.667 mil common shares, that it did not already have, in Badger Paper Mills for $10.05 per share, or a total value of 16.768 mil.</t>
  </si>
  <si>
    <t>Promus Hotel Corp</t>
  </si>
  <si>
    <t>Promus Hotel (PH) merged with Doubletree (DT) in a reverse takeover transaction to form a new company retaining the name of Promus Hotel (NPH) in a merger-of- equals stock swap transaction valued at $1.704 bil. DT common shareholders were to receive 1 NPH share per DT share, and PH common shareholders were to receive . 925 NPH shares per PH share. Based on PH's closing stock price of $38.8125 on August 29, the last full trading day prior to the announcement, each DT share was valued at $41.959. The transaction was accounted for as a pooling of interests and had been subject to regulatory approval. Upon completion, PH shareholders held 54% and DT shareholders the remaining 46% in NPH.</t>
  </si>
  <si>
    <t>GRR Holdings LLC</t>
  </si>
  <si>
    <t>GRR Holdings, a company formed by Boston Ventures and Ground Round Restaurants (GR), acquired GR by completed its tender offer the remaining 95. 1% interest, or 10,618,521 common shares, which it did not already own, for $1.65 in cash per share, or a total value of $17.52 mil ,by accepting 8,776,313 common shares or 78.5% of its common stock outstanding. The offer had been conditioned upon 66. 7% of GR's shares being tendered and had been subject to regulatory approval under the Hart-Scott-Rodino Antitrust Act.</t>
  </si>
  <si>
    <t>Micros-to-Mainframes Inc</t>
  </si>
  <si>
    <t>BTG Inc</t>
  </si>
  <si>
    <t>BTG withdrew its offer to acquire all the outstanding common stock of Micros to Mainframes for $25 mil. The consideration was to consist of approximately $12.5 mil in cash and $12.5 mil in common stock. The transaction would have subject to regulatory approval.</t>
  </si>
  <si>
    <t>Mid-Continent Bancshares,KS</t>
  </si>
  <si>
    <t>Commercial Federal (CF), Omaha, Nebraska, acquired Mid Continent Bancshares (MC), El Dorado, Kansas, in a stock swap transaction valued at $79.286 mil. CF offered .8693 common shares per MC share. The transaction had been subject to a collar agreement. Based on CF's closing stock price of $44 on September 2, the last full trading day prior to the announcement, each MC share was valued at $38.25. The transaction was to be accounted for as a pooling of interests and had been subject to federal and state banking regulatory approval.</t>
  </si>
  <si>
    <t>Sunrise Educational Services</t>
  </si>
  <si>
    <t>Own,op preschool centers</t>
  </si>
  <si>
    <t>Education Alternatives Inc</t>
  </si>
  <si>
    <t>Pvd school mgmt svcs</t>
  </si>
  <si>
    <t>Education Alternatives (EA) acquired Sunrise Educational Services (SE) for $1.92 per share, or a total value of $18.92 mil. SE shareholders were offered a choice of either $1.92 in cash, up to a maximum of 50%, or $1.92 in EA common stock per SE share and $15 in EA common stock per SE preferred share.</t>
  </si>
  <si>
    <t>Norwich Financial Corp,CT</t>
  </si>
  <si>
    <t>Peoples Bk Bridgeport,CT</t>
  </si>
  <si>
    <t>S&amp;L bk hldg co</t>
  </si>
  <si>
    <t>Peoples Bank of Bridgeport, (PBB) Connecticut, acquired all outstanding common stock of Norwich Financial, Norwich, Connecticut, for $28.85 per share for a total of $163.96 mil in a stock swap transaction. Consideration consisted of 50% in cash and 50% in common shares.</t>
  </si>
  <si>
    <t>Vitronics Corp</t>
  </si>
  <si>
    <t>Mnfr heat processing equipment</t>
  </si>
  <si>
    <t>Dover Tech Intl Inc</t>
  </si>
  <si>
    <t>Mnfr metalworking mach</t>
  </si>
  <si>
    <t>Dover Technologies International (DI), a unit of Dover, acquired all the outstanding common stock of Vitronics (VT) for $1.90 in cash per share, or a total value of $19.693 mil. Previously, DI completed its tender offer for VT by accepting 7,935,940 shares, or 80.% of DI's shares outstanding. The transaction was conditioned upon a minimum of 66.67% of VT's shares being tendered.</t>
  </si>
  <si>
    <t>Zytec Corp</t>
  </si>
  <si>
    <t>Mnfr electric power supplies</t>
  </si>
  <si>
    <t>Computer Products Inc</t>
  </si>
  <si>
    <t>Mnfr power conversion prod</t>
  </si>
  <si>
    <t>Computer Products (CP) merged with Zytec (ZT) in a stock swap transaction valued at $412.349 mil. CP offered 1. 33 common shares per ZT share. Based on CP's closing stock price of $31.69 on September 2, the last full trading day prior to the announcement, each ZT share was valued at $42.15. The transaction was accounted for as a pooling of interests and had been subject to regulatory approval.</t>
  </si>
  <si>
    <t>A management-led investor group, including Valdina and chairman Andrew Vajna, acquired the remaining 48.21% stake, or 6,513,977 common shares, which it did not already own, in Cinergi Pictures Entertainment (CPE) for a thrice amended $2.52 in cash per share, or a total value of $16.283 mil, in a leveraged-buyout transaction. Previously, the group offered $2.41 in cash twice amended from $2.39 amended from $2.3 per share. The transaction had been subject to regulatory approval. Earlier, Walt Disney Pictures and Television, a unit of Walt Disney (WD), agreed to acquire the motion picture library of CPE for an estimated $38.4 mil in debt forgiveness; and WD terminated its negotiations to acquire all the outstanding common stock of CPE. Originally in April 1996, CP announced it was seeking a buyer for the company.</t>
  </si>
  <si>
    <t>Hudson Foods Inc</t>
  </si>
  <si>
    <t>Produce poultry products</t>
  </si>
  <si>
    <t>Tyson Foods (TF) acquired Hudson Foods (HF) in a stock swap transaction valued at $642.418 mil. TF offered $8.4 in cash and .6 TF shares per HF share. Based on Tyson's closing stock price of $21. 375 on September 3, the last full trading day prior to the announcement, each Hudson share was valued at $21.225.</t>
  </si>
  <si>
    <t>Polyphase Corp</t>
  </si>
  <si>
    <t>Mnfr electn components and sys</t>
  </si>
  <si>
    <t>An unnamed buyer made an unsolicited offer to acquire Polyphase (PO) in a stock swap transaction. PO was offered a dividend-bearing preferred stock per PO share held.</t>
  </si>
  <si>
    <t>Tecnol Medical Products Inc</t>
  </si>
  <si>
    <t>Mnfr disposable med supplies</t>
  </si>
  <si>
    <t>Kimberly-Clark (KC) acquired Tecnol Medical Products (TM) in a stock swap transaction valued at $407.815 mil. KC offered .42 common shares per TM share. Based on KC's closing stock price of $47. 625 on September 3, the last full trading day prior to the announcement, each TM share was valued at $20. The transaction had been subject to regulatory approval and was accounted for as a pooling of interests.</t>
  </si>
  <si>
    <t>DavCo Restaurants Inc</t>
  </si>
  <si>
    <t>Own,op Wendy's restaurants</t>
  </si>
  <si>
    <t>A management-led investor group including Citicorp Venture Capital, President Mr Ronald Kirstien and Executive Vice President Mr Harvey Rothstein definitively acquired all the outstanding common shares of DavCo Restaurants at $20 in cash per share, or a total value of $133.556 mil, in a leveraged buyout transaction. Previously, the investor group disclosed that it planned to acquire each share between $18 to $20.</t>
  </si>
  <si>
    <t>Medic Computer Systems Inc</t>
  </si>
  <si>
    <t>Pvd mgmt info sys design svcs</t>
  </si>
  <si>
    <t>Misys PLC</t>
  </si>
  <si>
    <t>US - Misys acquired all the outstanding common stock of Medic Computer Systems for $35 in cash per share, or a total value of $915.8 mil. The transaction had been subject to Hart-Scott-Rodino Antitrust regulatory approval.</t>
  </si>
  <si>
    <t>WorldCom (WC) acquired CompuServe (CS), an 80% owned unit of H&amp;R Block, in a stock swap transaction valued at $1. 186 bil. WC offered .40625 common shares per CS share. Based on WC's closing stock price of $31.50 on September 5, the last full trading day prior to the announcement, each CS share was valued at $12.80. The transaction was subject to regulatory approval. Concurrently, WC acquired ANS, a unit of America Online, for $175 mil plus the consumer business of CS. Previously, Welsh Carson Anderson &amp; Stowe had been rumored to be in negotiations to acquire CS.</t>
  </si>
  <si>
    <t>Fuqua Enterprises Inc</t>
  </si>
  <si>
    <t>Manufacture tanned leather</t>
  </si>
  <si>
    <t>Graham-Field Health Products</t>
  </si>
  <si>
    <t>Mnfr medical supply,healthcare</t>
  </si>
  <si>
    <t>Graham-Field Health Products (GFHP) merged with Fuqua Enterprises (FE) in a stock swap transaction valued at approximately $231.041 mil, including the assumption of about $55 mil in liabilities. GFHP offered 2.1 common shares per FE common share, subject to a collar agreement. Based on GFHP's closing stock price of $17.875 on September 5, the last full day prior to the announcement, each FE share was valued at $37.5375. The transaction had been subject to regulatory approval.</t>
  </si>
  <si>
    <t>Westbrae Natural Inc</t>
  </si>
  <si>
    <t>Whl natural,organic foods</t>
  </si>
  <si>
    <t>Hain Food Group Inc</t>
  </si>
  <si>
    <t>Whl packaged frozen foods</t>
  </si>
  <si>
    <t>Hain Food Group (HG) acquired all the outstanding common stock of Westbrae Natural (WN) for $3.625 in cash per share, or a total value of approximately $21. 571 mil. Previously, HG completed its tender offer to acquire WN by accepting 5,731, 904 shares, or about 82.53% of WN's stock outstanding. The offer had been conditioned on a majority of the shares being tendered.</t>
  </si>
  <si>
    <t>Offshore Energy Development</t>
  </si>
  <si>
    <t>Titan Exploration Inc</t>
  </si>
  <si>
    <t>Titan Exploration (TE) acquired Offshore Energy Development (OED) in a stock swap transaction valued at $79.49 mil. TE offered an amended .63 common shares per OED share. Based on TE's closing stock price of $10. 875 on November 5, the last full trading day prior to the announcement of the amended terms, each OED share was valued at $8.505. Originally, TE offered .675 common shares per OED share held. Earlier in April 1997, OED announced it was seeking a buyer for the company.</t>
  </si>
  <si>
    <t>Data Documents Inc</t>
  </si>
  <si>
    <t>Manufacture tabulating cards</t>
  </si>
  <si>
    <t>Corporate Express (CE) merged with Data Documents (DD) in a stock swap transaction valued at $159. 437 mil. CE offered 1.1 common shares per DD share held. Based on CE's closing stock price of $14.62 on Nov 6, the last full trading day prior to the announcement of exact terms, each DD share was valued at $16.082. The transaction had been accounted for as a pooling of interests and was subject to regulatory approval.</t>
  </si>
  <si>
    <t>Tinsley Laboratories Inc</t>
  </si>
  <si>
    <t>Mnfr optical instr,lenses</t>
  </si>
  <si>
    <t>Silicon Valley Group Inc</t>
  </si>
  <si>
    <t>Mnfr semiconductor equipment</t>
  </si>
  <si>
    <t>Silicon Valley Group (SVG) acquired Tinsley Laboratories (TL) in a stock swap transaction valued at $40.502 mil. SVG offered .6594 common shares per TL share. Based on SVG's closing stock price of $33.5 on Sep 9, the last full trading day prior to the announcement, Each TL share was valued at $22.09. The transaction had been subject to regulatory approval and was accounted for as a pooling of interest.</t>
  </si>
  <si>
    <t>Triad Park LLC</t>
  </si>
  <si>
    <t>Own,op commercial building</t>
  </si>
  <si>
    <t>An investor group, including Richard C. Blum &amp; Associates terminated its thrice sweetened tender offer to acquire the outstanding common stock of Triad Park LLC for $56.96 mil. The consideration was to consist of $1.84 per share, or a total vaue of $36.36 mil, and the assumption of $20.7 mil in liabilites. Previously the investor group offered $1.8 per share, or a total of $35. 74 mil, and the assumption of $20.7 mil in liabilities. Previously, the investor group offered $1.32 per share and then sweetened the offer to $1.74. Subsequently, Kontrabecki Group twice sweetened its offer to $1.9 from $1.74 per share.</t>
  </si>
  <si>
    <t>Westwood Financial Corp</t>
  </si>
  <si>
    <t>Lakeview Financial Corp</t>
  </si>
  <si>
    <t>Lakeview Financial acquired Westwood Financial (WF) for $29.25 in a combination of cash and common stock per WF share, or a total value of $19.042 mil. The transaction was subject to federal and state banking regulatory approval.</t>
  </si>
  <si>
    <t>Mnfr broadwoven fabrics</t>
  </si>
  <si>
    <t>Pillowtex Corp</t>
  </si>
  <si>
    <t>Mnfr,whl home textile prods</t>
  </si>
  <si>
    <t>Pillowtex (PT) acquired all the outstanding common stock of Fieldcrest Cannon (FC) for approximately $768.18 mil, including the assumption of about $300 mil in liabilities. PT offered $27 in cash and $7 in common stock per FC common share and $46.15 in cash and $11.97 in common stock per FC Series A convertible preferred share. The transaction had been subject to regulatory approval.</t>
  </si>
  <si>
    <t>Veritas Capital Fund LP</t>
  </si>
  <si>
    <t>Veritas Capital Fund withdrew its unsolicited challenging bid to acquire all the outstanding common stock of Fredrick's of Hollywood (FH) for $9 per share, or a total value of $86.252 mil. Concurrently, an investor group led by Knightsbridge Capital completed the acquisition of FH  an amended $7.75 in cash per share, or a total value of $69.426 mil.</t>
  </si>
  <si>
    <t>George Mason Bankshares Inc</t>
  </si>
  <si>
    <t>United Bankshares (UB), Parkersburg, West Virginia, merged with George Mason Bankshares (GMB), Fairfax, Virginia, in a stock swap transaction valued at $207. 592 mil. UB offered .85 common shares per GMB share. Based on UB's closing stock price of $45.50 on September 10, the last full trading day prior to the announcement, each GMB share was valued at $38.675. The transaction was accounted for as a pooling of interests and was subject to federal and state banking regulatory approval.</t>
  </si>
  <si>
    <t>Helisys Inc</t>
  </si>
  <si>
    <t>Mnfr printing trade machinery</t>
  </si>
  <si>
    <t>InSeptember 1997, Helisys Inc announced that it was seeking a buyer fot the company.</t>
  </si>
  <si>
    <t>Coml Bancshares,Parkersburg,WV</t>
  </si>
  <si>
    <t>WesBanco (WB), Wheeling, West Virginia, acquired Commercial Bancshares (CB), Parkersburg, West Virginia, in a stock swap transaction valued at $126.669 mil. WB offered 2.85 common shares per CB share. Based on WB's closing stock price of $27.5 on September 11, the last full trading day prior to the announcement, each CB share was valued at $78.375. The transaction was accounted for as a pooling of interests and had been subject to a lockup agreement and federal and state banking regulatory approval.</t>
  </si>
  <si>
    <t>Unison Software Inc</t>
  </si>
  <si>
    <t>Develop network mgmt software</t>
  </si>
  <si>
    <t>Tivoli Systems Inc(IBM Corp)</t>
  </si>
  <si>
    <t>Tivoli Systems (TS), a unit of International Business Machines (IBM), acquired Unison Software (US) for $15 per share, or a total value of $182.982 mil, in a stock swap transaction. TS offered a choice of $15 in cash, up to a maximum of 50% of the consideration, or $15 in IBM common stock per US common share. The transaction had been subject to regulatory approval.</t>
  </si>
  <si>
    <t>American General (WG) acquired the remaining 55.34% interest, or 39.9 mil common shares, which it did not already own, in Western National (WN), a majority- owned unit of Conseco for $31 in cash or .54 common shares per share, or a total value of $1.215.03 bil whereby each type of consideration was limited to 50% of the total. Based on the cash consideration and AG's closing stock price of $58. 1875 on February 24, the last full trading day prior to the disclosure of definitive terms, each WN share was valued at $30.82. The transaction had been subject to a collar agreement and regulatory approvals.</t>
  </si>
  <si>
    <t>Beacon Properties Corp</t>
  </si>
  <si>
    <t>Equity Office Properties Trust</t>
  </si>
  <si>
    <t>Equity Office Properties Trust (EOPT) merged with Beacon Properties (BP) in a stock swap transaction valued at $4.039 bil, including the assumption of $1.168 bil in liabilities. EOPT offered 1. 4063 common shares per BP common share and 1 EOPT preferred share per BP preferred share. Based on EOPT's closing stock price of $33.4375 on September 12, the last full trading day prior to the announcement, each BP share was valued at $47.203. Upon completion, BP was merged into EOPT.</t>
  </si>
  <si>
    <t>Star Banc (SB), Cincinnati, Ohio, merged with Great Financial (GF), Louisville, Kentucky, in a stock swap transaction valued at $663. 498 mil. SB offered .949 shares per GF share for 70% of GF's common stock outstanding, and $44 in cash per GF share for the remaining 30%. Based on SB's closing stock price of $46. 375 on September 12, the last full trading day prior to the announcement, each GF share was valued at $44. The transaction was subject to federal and state regulatory approval.</t>
  </si>
  <si>
    <t>All American Communications</t>
  </si>
  <si>
    <t>Pvd motion picture &amp; video svc</t>
  </si>
  <si>
    <t>Pearson completed its tender offer for all the outstanding common stock of All American Communications (AC) for $25.5 in cash per share, or a total value of $500.171 mil, including the assumption of $136 in liabilities. Pearson accepted 11,858,173 shares or 76.8% of AC's stock outstanding. The transaction was subject to regulatory approval.</t>
  </si>
  <si>
    <t>Quick &amp; Reilly Group Inc</t>
  </si>
  <si>
    <t>Fleet Financial Group (FFG) acquired Quick &amp; Reilly Group (QRG) in a stock swap transaction valued at $1.526 bil. FFG offered .578 common shares per QRG share. Based on FFG's closing stock price of $67.5 on Sept. 15, the last full trading day prior to announcement, each QRG share was valued at $39.015. Originally, in August 1997 QRG disclosed that it was seeking a buyer for its assets.</t>
  </si>
  <si>
    <t>Designer Holdings(New Rio LLC)</t>
  </si>
  <si>
    <t>Dvlp, mkt designer sportswear</t>
  </si>
  <si>
    <t>Warnaco Group (WG) acquired Designer Holdings (DH), a unit of New Rio, in a stock swap transaction valued at $353.616 mil. WG offered .324 common shares per DH share held. Based on WG's closing stock price of $33.938 on Sept 16, the last full trading day prior to announcement, each DH share was valued at $10.995. The transaction had been subject to regulatory approval.</t>
  </si>
  <si>
    <t>Tescorp Inc</t>
  </si>
  <si>
    <t>Oil and gas field machinery</t>
  </si>
  <si>
    <t>Supercanal Holding SA</t>
  </si>
  <si>
    <t>Supercanal Holding, a unit of Supercanal, acquired all the outstanding common and convertible preferred stock of Tescorp for via its unsolicited tender offer for $4.5 per common share, $5.639 per Series 1990 10% convertible preferred share, and $144 per Series 1995 8% convertible preferred share, or a total value of $86.404 mil. The offer was conditioned upon two-thirds of Tescorp's shares outstanding being tendered. The transaction was subject to regulatory approval under the Hart-Scott-Rodino Antitrust Act.</t>
  </si>
  <si>
    <t>Guaranty National Corp</t>
  </si>
  <si>
    <t>Orion Capital (OC) acquired the remaining 22.7% interest, or 3.57 mil common shares, which it did not already own, in Guaranty National (GN) for an amended $36 in cash per share, or a total value of $117.219 mil. Earlier, OC completed its tender offer for the remaining 22.7% stake in GN, by accepting 2,884,526 shares, or 18.36% of GN's stock outstanding. Originally, OC offered $27.2 in cash and $6.8 in OC common stock per GN share. The transaction had been subject to regulatory approval.</t>
  </si>
  <si>
    <t>Home Products Intl Inc</t>
  </si>
  <si>
    <t>Mnfr,whl houseware prod</t>
  </si>
  <si>
    <t>ZAG Industries Ltd</t>
  </si>
  <si>
    <t>ZAG Industries (ZAG) terminated its agreement to acquire Home Products International (HP) in a merger-of-equals stock swap transaction valued at $96.479 mil. ZAG had offered 1.1 common shares per HP share held. Based on ZAG's closing stock price of $12.375 on Sep 17, the last full trading day prior to the announcement, each HP share was to have been valued at $13.613. The transaction was to be accounted for as a pooling of interests. Upon completion, ZAG was to have owned 52% and HP was to have owned 48% of the new company.</t>
  </si>
  <si>
    <t>ML Bancorp,Villanova,PA</t>
  </si>
  <si>
    <t>Sovereign Bancorp (SB), Wyomissing, Pennsylvania, acquired ML Bancorp, Villanova, Pennsylvania, in a stock swap transaction valued at $355.62 mil. SB offered 1. 62 common shares per ML share held, subject to a collar agreement. Based on SB's closing stock price of $19. 4375 on February 26, the last full trading day prior to the announcement of definitive terms, each ML share was valued at $31.49. The transaction was accounted for as a pooling of interests and had been subject to federal and state banking regulatory approval.</t>
  </si>
  <si>
    <t>Stokely USA Inc</t>
  </si>
  <si>
    <t>Prod canned fruits,vegetables</t>
  </si>
  <si>
    <t>Whl fresh fruits,vegetables</t>
  </si>
  <si>
    <t>Chiquita Brands International (CBI) acquired all the outstanding common stock of Stokely USA (SU) in exchange for $1 in common stock per share, or a total value of approximately $43.389 mil, including the assumption of about $32 mil in liabilities.</t>
  </si>
  <si>
    <t>USLD Communications Corp</t>
  </si>
  <si>
    <t>LCI International Inc</t>
  </si>
  <si>
    <t>LCI International (LCI) acquired USLD Communications (USLD) in a stock swap transaction valued at $402. 761 mil. LCI offered .7576 common shares per USLD share, subject to a collar agreement. Based on LCI's closing stock price of $28.4375 per share on December 19, the last full trading day prior to the announcement of exact terms, each USLD share was valued at $21.544. The transaction was accounted for as a pooling of interests and had been subject to Federal Communications Commission regulatory approval.</t>
  </si>
  <si>
    <t>CBS Corp</t>
  </si>
  <si>
    <t>Own,op broadcasting stations</t>
  </si>
  <si>
    <t>CBS Corp acquired all the outstanding common stock of American Radio Systems (ARS) for $44 in cash per share, or a total value of approximately $2.441 bil, including the assumption of about $1 bil in liabilities. Concurrently, ARS was required to spin-off its American Tower Systems unit to its shareholders in order to obtain regulatory approval. CBS had previously been known as Westinghouse Electric before December 2.</t>
  </si>
  <si>
    <t>Marshall Industries</t>
  </si>
  <si>
    <t>Marshall Industries acquired all the outstanding common stock of Sterling Electronics for $21 in cash per share, or a total value of $217.399 mil, including the assumption of $55 mil in liabilities. The transaction had been subject to regulatory approval.</t>
  </si>
  <si>
    <t>Computer Data Systems Inc</t>
  </si>
  <si>
    <t>Design computer program data</t>
  </si>
  <si>
    <t>Affiliated Computer Services</t>
  </si>
  <si>
    <t>Pvd outsourcing solutions svcs</t>
  </si>
  <si>
    <t>Affiliated Computer Services (ACS) acquired Computer Data Systems (CDS) in a stock swap transaction valued at $383. 662 mil, including the assumption of approximately $48 mil in liabilities. ACS offered 1.759 common shares per CDS share. Based on ACS' closing stock price of $29. 375 on September 19, the last full trading day prior to the announcement, each CDS share was valued at $51.67. The transaction was subject to regulatory approval.</t>
  </si>
  <si>
    <t>Interra Financial</t>
  </si>
  <si>
    <t>In September 1997, Interra Financial Inc announced that it was seeking a buyer for the company.</t>
  </si>
  <si>
    <t>Amerac Energy Corp</t>
  </si>
  <si>
    <t>Southern Mineral Corp</t>
  </si>
  <si>
    <t>Southern Mineral acquired Amerac Energy (AE) in a stock swap transaction valued at $22.5 mil, plus the assumption of liabilities. The transaction was subject to regulatory approval and a collar agreement, and was accounted for as a pooling of interests. Earlier, in September 1997 AE disclosed that it was in merger negotiations with an undisclosed acquiror.</t>
  </si>
  <si>
    <t>AmeriSource Health Corp</t>
  </si>
  <si>
    <t>Whl drugs,pharm</t>
  </si>
  <si>
    <t>McKesson Corp</t>
  </si>
  <si>
    <t>Whl pharmaceuticals</t>
  </si>
  <si>
    <t>McKesson (MK) withdrew its definitive agreement to merge with AmeriSource (AS) in a stock swap transaction valued at $2.261 bil, including the assumption of $532.3 mil in liabilities. MK offered .71 common shares per AS share. Based on MK's closing stock price of $99.8125 on September 22, the last full trading day prior to the announcement, each AS share was valued at $70.87. The transaction was to be accounted for as a pooling of interests and was subject to regulatory approval.</t>
  </si>
  <si>
    <t>AmerUs Life Holdings Inc</t>
  </si>
  <si>
    <t>AmerUs Life Holdings (ALH), a unit of American Mutual Holding's AmerUs Group subsidiary, acquired AmVestors Financial (AVF) in a stock swap transaction valued at $330.21 mil. ALH offered .6724 Class A common shares per AVF share, subject to a collar agreement. Based on ALH's closing stock price of $31.8125 on Dec 18, the last full trading day prior to the announcement of exact terms, each AVF share was valued at $23.408. The transaction had been subject to regulatory approval.</t>
  </si>
  <si>
    <t>Rohr Inc</t>
  </si>
  <si>
    <t>Mnfr aircraft and rocket parts</t>
  </si>
  <si>
    <t>BF Goodrich Co</t>
  </si>
  <si>
    <t>Mnfr aircraft parts,equip</t>
  </si>
  <si>
    <t>BF Goodrich (BF) acquired Rohr (RO) in a stock swap transaction valued at $1.27 bil, including the assumption of $424 mil in liabilities. BF offered .7 common shares per RO share. Based on BF's closing stock price of $45.06 on Sep 19, the last full trading day prior to the announcement, each RO share was valued at $31.54. The transaction had been subject to regulatory approval and was accounted for as a pooling of interests.</t>
  </si>
  <si>
    <t>Conseco definitively agreed to acquire all the outstanding common stock of Washington National for $33. 25 in cash per share, or a total value of $424.03 mil. The transaction was subject to regulatory approval.</t>
  </si>
  <si>
    <t>El Chico Restaurants Inc</t>
  </si>
  <si>
    <t>An investor group, led by Cracken Harkey &amp; Co, acquired all the outstanding common stock of El Chico Restaurants (EC) at $12.75 in cash per share, for a total value of $49.246 mil. Previously, EC received 2 separate unsolicited offers to acquire all of its common stock outstanding from undisclosed acquirors. Concurrently, the group acquired Good Eats Holding (GE).</t>
  </si>
  <si>
    <t>First United Bancorp,SC</t>
  </si>
  <si>
    <t>Regions Financial (RF), Birmingham, Alabama, merged with First United Bancorp (FUB), Anderson, South Carolina, in a stock swap transaction valued at $56.548 mil. RF offered .5173 common shares per FUB share. Based on RF's closing stock price of $39.125 on September 22, the last full trading day prior to the announcement, each FUB share was valued at $20.24. The transaction had been accounted for as a pooling of interests and had been subject to federal and state banking regulatory approvals.</t>
  </si>
  <si>
    <t>PALFED Inc</t>
  </si>
  <si>
    <t>Regions Financial (RF) acquired PALFED (PA) in a stock swap transaction value at $151.437 mil. RF offered . 7 common shares per PA share held. Based on RF's closing stock price of $39.125 on Sept 22, the last full trading day prior to announcement, each PA share was valued at $27.38. The transaction was subject to regulatory approval and was to be accounted for as a pooling of interests. Originally, in September 1997, PALFED announced that it was seeking a buyer for the company.</t>
  </si>
  <si>
    <t>Tejas Gas Corp</t>
  </si>
  <si>
    <t>Own,op natural gas lines</t>
  </si>
  <si>
    <t>Shell Oil Co</t>
  </si>
  <si>
    <t>Oil,gas exploration,prodn</t>
  </si>
  <si>
    <t>Shell Oil, a unit of Royal Dutch Shell Group's Royal Dutch Petroleum subsidiary, merged with Tejas Gas for $61. 50 in cash per share, or a total value of $2.166 bil, including the assumption of approximately $829.161 mil in liabilities The transaction had been subject to regulatory approval.</t>
  </si>
  <si>
    <t>Allergan Ligand Retinoid</t>
  </si>
  <si>
    <t>Ligand Pharmaceutical (LP) acquired all the outstanding callable common stock, or 3. 25 mil shares, of Allergan Ligand Retinoid Therapeutics (ALRT) for $21.97 per share, or a total value of $71.403 mil. The consideration consisted of approximately $25 mil in cash and $46.403 mil in LP common stock. At the time of announcement, ALRT's common stock outstanding was comprised of 3.25 mil callable common shares and 200 special common shares.</t>
  </si>
  <si>
    <t>Game Financial Corp</t>
  </si>
  <si>
    <t>Pvd fund access svcs</t>
  </si>
  <si>
    <t>Travelers Express Co Inc</t>
  </si>
  <si>
    <t>Pvd money payment svcs</t>
  </si>
  <si>
    <t>Travelers Express (TE), a unit of Viad, merged with Game Financial (GF) in a stock swap transaction valued at $50.498 mil. TE offered $10.75 in Viad common shares per GF share. The transaction was subject to regulatory approval and was to be accounted for as a pooling of interests.</t>
  </si>
  <si>
    <t>Salomon Inc</t>
  </si>
  <si>
    <t>Travelers Group Inc</t>
  </si>
  <si>
    <t>Travelers Group (TG) acquired Salomon (SAL) in a stock swap transaction valued at $8.852 bil. TG offered 1. 13 common shares per SAL share on a 3 for 2 pre-split basis. Based on TG's closing stock price of $72.0625 on Sep 23, the last full trading day prior to the announcement, each SAL share was valued at $81.431. The transaction was accounted for as a pooling of interests and had been subject to regulatory approval. Upon completion, SAL was merged with TG's Smith Barney Holdings subsidiary to form Salomon Smith Barney Holdings. Originally in September 1997, TG was rumored to be in negotiations to acquire SAL.</t>
  </si>
  <si>
    <t>Vectra Banking Corp,Denver,CO</t>
  </si>
  <si>
    <t>Zions Bancorp (ZB), Salt Lake City, Utah, acquired Vectra Banking (VB), Denver, Colorado, a bank holding company, in a stock swap transaction valued at approximately $162.274 mil. ZB offered .685 common shares per VB share held. Based on ZB's closing stock price of $41.125 on Sep 23, the last full trading day prior to the announcement, each VB share was valued at $28.171. The transaction was subject to federal and state banking regulatory approval and was accounted for as a pooling of interests.</t>
  </si>
  <si>
    <t>Vivendi SA</t>
  </si>
  <si>
    <t>Water,elec utility</t>
  </si>
  <si>
    <t>Cie Generale de Eaux (CGE) raise its stake Air &amp; Water Technologies (AWT) to 83% from 42.5% in exchange fo $60 mil in AWT preferred stock as part of a recapitalization. Upon completion, AWT was to conduct a rights offering on a pro rata basis. CGE held an oversubscription privilege to subscribe for additional shares not otherwise purchased in the rights offering.</t>
  </si>
  <si>
    <t>Talley Industries Inc</t>
  </si>
  <si>
    <t>Mnfr guided missiles,space veh</t>
  </si>
  <si>
    <t>Carpenter Technology Corp</t>
  </si>
  <si>
    <t>Mnfr,whl specialty alloy</t>
  </si>
  <si>
    <t>Carpenter Technology (CT) acquired Talley Industries (TI) for $12 in cash per share, or a total value of $309.425 mil, including the assumption of $127 mil in liabilities. Earlier CT completed its tender offer for TI by accepting 10.77 mil shares, or 70.28% of TI's stock outstanding. The offer was conditioned on a minimun of 70% of the shares being tendered and was subject to regulatory approval.</t>
  </si>
  <si>
    <t>Medwave Inc</t>
  </si>
  <si>
    <t>Mnfr,dvlp med devices</t>
  </si>
  <si>
    <t>MC Shipping Inc</t>
  </si>
  <si>
    <t>Shipping co</t>
  </si>
  <si>
    <t>Monaco</t>
  </si>
  <si>
    <t>MC Shipping acquired a 50% stake in Medwave Shipping for $.376 mil in cash.</t>
  </si>
  <si>
    <t>Sagebrush Inc</t>
  </si>
  <si>
    <t>Database information provider</t>
  </si>
  <si>
    <t>WSMP Inc</t>
  </si>
  <si>
    <t>Produce prepared sandwiches</t>
  </si>
  <si>
    <t>WSMP acquired Sagebrush (SB) in a stock swap transaction valued at $38.407 mil. WSMP offered .3822 shares per SB share held, subject to a collar agreement. Based on WSMP's closing stock price of $17.25 on February 02, the last full trading day prior to the announcement of definitive terms, each SB share was valued at $6.42. The transaction was accounted for as a pooling of interests and had been subject to regulatory approval..</t>
  </si>
  <si>
    <t>A management-led investor group, including Fleet Equity Partners, acquired all the outstanding common stock of Skyline Chili for $6.75 in cash per share, or a total value of $22.928 mil, in a leverage buyout transaction.</t>
  </si>
  <si>
    <t>CompuRAD Inc</t>
  </si>
  <si>
    <t>Pvd healthcare software</t>
  </si>
  <si>
    <t>Lumisys Inc</t>
  </si>
  <si>
    <t>Mnfr medical imaging equipment</t>
  </si>
  <si>
    <t>Lumisys (LM) acquired CompuRAD (CD) in a stock swap transaction valued at $25.023 mil. LM offered .928 common shares per CD share. Based on LM's closing stock price of $6.6875 on September 26, the last full trading day prior to the announcement, each CD share was valued at $6.206. The transaction was accounted for as a pooling of interest.</t>
  </si>
  <si>
    <t>Graphic Industries Inc</t>
  </si>
  <si>
    <t>Pvd financial printing svcs</t>
  </si>
  <si>
    <t>Wallace Computer Services Inc</t>
  </si>
  <si>
    <t>Wallace Computer Services (WC) acquired, via its tender offer, all the outstanding common stock of Graphic Industries (GI) for a sweetened $21.75 in cash per share, or a total value of $424.482 mil, including the assumption of $130 mil in liabilities. Originally, WC offered $18.5 per GI share. The transaction was subject to regulatory approval. Subsequently, Mail-Well withdrew its unsolicited tender offer for GI for $20 per GI share tendered.</t>
  </si>
  <si>
    <t>HPR Inc</t>
  </si>
  <si>
    <t>HBO acquired HPR in a stock swap transaction valued at $389.589 mil. HBO offered .6 common shares per HPR share. Based on HBO's closing stock price of $39.4375 on September 26, the last full trading day prior to the announcement, each HPR share was valued at $23.6625. The transaction was accounted for as a pooling of interests and had been subject to regulatory approval.</t>
  </si>
  <si>
    <t>Morningstar Group Inc</t>
  </si>
  <si>
    <t>Produce dairy products</t>
  </si>
  <si>
    <t>Suiza Foods Corp</t>
  </si>
  <si>
    <t>Produce milk,related prod</t>
  </si>
  <si>
    <t>Suiza Foods (SF) acquired Morningstar Group (MG) in a stock swap transaction valued at approximately $971.957 mil, including the assumption of $180 mil in liabilities. SF offered .85 SF common shares per MG share. Based on SF's closing stock price of $53. 9375 on Sep 26, the last full trading day prior to the announcement, each MG share was valued at $45.85. The transaction was accounted for as a pooling of interests and had been subject to regulatory approval.</t>
  </si>
  <si>
    <t>Meditrust Corp (MC) completed the spin off of its Meditrust Inc (MI) unit, a real estate investment trust, to its shareholders. MC shareholders receive 1 new MC share for every 1.2016 MC shares held.</t>
  </si>
  <si>
    <t>Sportmart Inc</t>
  </si>
  <si>
    <t>Sporting goods,bicycle shops</t>
  </si>
  <si>
    <t>Gart Sports Co</t>
  </si>
  <si>
    <t>Own,op sporting goods stores</t>
  </si>
  <si>
    <t>US - Gart Sports (GS) merged with Sportmart (SM) in a stock swap transaction valued at $29.696 mil. GS offered . 165 common shares per SM share. Based on GS' closing stock price of $14 on January 8, the last day of trading prior to the announcement of the terms, each SM share was valued at $2.31. Upon completion, the new company was named Gart Sports Co and GS held 72.5% of the merged entity and SM shareholders held the remaining 27.5%.</t>
  </si>
  <si>
    <t>Home Health Corp of America</t>
  </si>
  <si>
    <t>Home Health Corp of America (HH) withdrew its agreement to merge with US HomeCare (HC) in exchange for between 2.6 and 2.8 mil HH common shares valued at $35.35 mil. The shares were valued based on HH's closing stock price of $12.625 on September 26, the last full trading day prior to the announcement. The transaction was to be accounted for as a pooling of interests and was subject to regulatory approval.</t>
  </si>
  <si>
    <t>Arbor Health Care Co</t>
  </si>
  <si>
    <t>AHC Acquisition Corp</t>
  </si>
  <si>
    <t>AHC Acquisition Corp (AHC), a unit of Extendicare, acquired all the outstanding common stock of Arbor Health Care (AHC) for $45 in cash per share, or a total value of $424.247 mil, including the assumption of about $107 mil in liabilities. Earlier, AHC completed its tender offer for all the common stock of AHP for $45 in cash per share by accepting 6,874, 758 shares, or 95.23% of AHC's shares outstanding.</t>
  </si>
  <si>
    <t>Alpine Lace Brands Inc</t>
  </si>
  <si>
    <t>Whl dairy products,cheese</t>
  </si>
  <si>
    <t>Land O' Lakes acquired Alpine Lace Brands for $9.125 in cash per share, or a total value of $48.447 mil. The transaction had been subject to regulatory approval. Earlier, in July 1997, Alpine Lace Brands announced it was seeking a buyer for the company.</t>
  </si>
  <si>
    <t>Amati Communications Corp</t>
  </si>
  <si>
    <t>Westell Technologies Inc</t>
  </si>
  <si>
    <t>Mnfr,whl broadband products</t>
  </si>
  <si>
    <t>Westell Technologies (WT) terminated its definitive agreement to merge with Amati Communications (AC) in a stock swap transaction valued at $424.537 mil. WT offered . 9 common shares per AC share. Based on WT's closing stock price of $22.1875 on September 30, the last full trading day prior to the announcement, each AC share was valued at $19.97. Concurrently, Texas Instruments agreed to acquire AC for $394.939 mil.</t>
  </si>
  <si>
    <t>MedPartners (MP) terminated its agreement to acquire America Service Group (ASG) in a stock swap transaction valued at $58.616 mil. MP offered .71 common shares per ASG share. Based on MP's closing stock price of $21.43 per share, on September 30 1997, the last full trading day prior to the announcement, each ASG share was valued at $15.22. The transaction was to be accounted for as a pooling of interests and was subject to regulatory approval. Previously, in December 1995, KEG announced that it had retained Equitable Securities to assist in its search for a buyer for its ASG subsidiary.</t>
  </si>
  <si>
    <t>Brooks Fiber Properties Inc</t>
  </si>
  <si>
    <t>Pvd communication installation</t>
  </si>
  <si>
    <t>WorldCom (WC) acquired Brooks Fiber Properties (BF) in a stock swap transaction valued at $2.532 bil. WC offered 1.85 common shares per BF share subject to a collar agreement. Based on WC's closing stock price of $34.25 on January 28, the last full trading day prior to the announcement of definitive terms, each BF shares was valued at $63.36.</t>
  </si>
  <si>
    <t>Erawest Inc</t>
  </si>
  <si>
    <t>Pvd radio communications svcs</t>
  </si>
  <si>
    <t>US - Erawest had been rumored to be in negotiations to divest the company to an undisclosed acquiror.</t>
  </si>
  <si>
    <t>WorldCom (WC) merged with MCI Communications (MCI) in a stock swap valued at $41.907 bil, including the assumption of $4.5 bil in liabilites. WC offered $51 in common stock per MCI common share, for the initial 80.32% interest, and $51 in cash per Class A common share, for the remaining 19.68% interest held by British Telecommunications. Originally, WC offered $41.50 per share. Upon completion, the new company was called MCI WorldCom. The transaction was subject to regulatory approval and a collar agreement. Concurrently, BT terminated its agreement to acquire the remaining 80.32% interest, which it did not own, in MCI for an amended $32.64 per share, or a total of $19.181 bil. Subsequently, GTE withdrew its unsolicited challenging offer to acquire MCI for $40 in cash per share, or a total of $28.97 bil.</t>
  </si>
  <si>
    <t>Kapson Senior Quarters Corp</t>
  </si>
  <si>
    <t>Provide residential care svcs</t>
  </si>
  <si>
    <t>Prometheus Senior Quarters</t>
  </si>
  <si>
    <t>Pvd nursing care services</t>
  </si>
  <si>
    <t>Prometheus Senior Quarters (PSQ) acquired Kapson Senior Quarters (KS) for an amended $247.405 mil. Earlier, PSQ completed its tender offer, to acquire KS, by accepting 7. 7 mil common shares, or 99% of KS' shares outstanding, and 2.4 mil preferred shares. The consideration consisted of an amended $14.5 per common share, or a total of $112.375 mil, and $27.93 per convertible preferred share, or a total of $67.03 mil, and the assumption of $68 mil of liabilities. Previously, the consideration consisted of $16 per common share, $30.82 per convertible preferred share, and the assumption of $68 mil in liabilities. The transaction was subject to regulatory approval.</t>
  </si>
  <si>
    <t>Central Reserve Life Corp</t>
  </si>
  <si>
    <t>Strategic Acquisition Partners</t>
  </si>
  <si>
    <t>Strategic Acquisition Partners (SAP) acquired a 64. 13% interest, or 5 mil common shares and warrants exerciseable into 2.5 mil common shares, in Central Reserve Life Corp (CRL) for $27.5 mil. Previously, SAP withdrew its signed letter of intent to acquire CRL.</t>
  </si>
  <si>
    <t>Natl Health Enhancement Sys</t>
  </si>
  <si>
    <t>Develop healthcare software</t>
  </si>
  <si>
    <t>HBO acquired National Health Enhancement Systems (NHES) in a stock transaction valued at $97.81 mil. HBO offered .3084 common shares per NHES share. The transaction was accounted for as a pooling of interests and had been subject to regulatory approval. The shares were valued based on HBO's closing stock price of $45.875 on Dec 26, the last full trading prior to the announcement of the exact terms. Each NHES share was valued at $14.148.</t>
  </si>
  <si>
    <t>Caliber Systems Inc</t>
  </si>
  <si>
    <t>FDX Corp</t>
  </si>
  <si>
    <t>Provide global delivery svcs</t>
  </si>
  <si>
    <t>Federal Express (FE) formerly known as Federal Express Corp, acquired Caliber Systems (CS) in a stock swap transaction valued at $2.471 bil. FE offered .8 common shares per CS share. Based on FE's closing stock price of $78.75 on September 3, the last full trading day prior to the announcement, each CS share was valued at $63. FE and CS were to operate as separate units under a holding company called FDX Corp. The transaction was accounted for as a pooling of interests and had been subject to regulatory approval.</t>
  </si>
  <si>
    <t>HF Ahmanson (HF), Irwindale, California, acquired Coast Savings Financial (CSF), Los Angeles, California, in a stock swap transaction valued at $902.715 mil. HF offered . 8082 common shares per CSF share. Based on HF's closing stock price of $57.125 on October 3, the last full trading day prior to the announcement, each CSF share was valued at $46.17. The transaction was subject to federal and state banking regulatory approval.</t>
  </si>
  <si>
    <t>EndoVascular Technologies Inc</t>
  </si>
  <si>
    <t>Guidant Corp</t>
  </si>
  <si>
    <t>Mnfr cardiovascular equip</t>
  </si>
  <si>
    <t>Guidant acquired all the outstanding common stock of EndoVascular Technologies (ET) for $20 in Guidant common stock per ET share, or a total value of $187.847 mil. The transaction was accounted for as a pooling of interests and had been subject to a collar agreement.</t>
  </si>
  <si>
    <t>Orion Network Systems Inc</t>
  </si>
  <si>
    <t>Pvd Communications svcs</t>
  </si>
  <si>
    <t>Loral Space &amp; Communications</t>
  </si>
  <si>
    <t>Mnfr satellites,components</t>
  </si>
  <si>
    <t>Loral Space &amp; Communications (LSC) acquired Orion Network Systems (ONS) in a stock swap transaction valued at $357. 553 mil. LSC offered .71553 new common shares for every ONS share held. Based on LSC's closing stock price of $28.5 on Mar 29, the last full trading day prior to closing, each ONS share was valued at $20.39. Originally LSC offered $17.50 in common stock per ONS share, subject to a collar agreement. The transaction was subject to Federal Communications Commission regulatory approval.</t>
  </si>
  <si>
    <t>North Fork Bancorp (NF), Melville, New York, acquired New York Bancorp (NY), Douglaston, New York, in a stock swap transaction valued at $822.08 mil, subject to a collar agreement. NF offered 1.19 common shares per NY share. Based on NF's closing stock price of 31.1875 on October 6, the last full trading day prior to the announcement, each NY share was valued at $37.113. The transaction was to be accounted for as a pooling of interests and had been subject to federal and state banking regulatory approval.</t>
  </si>
  <si>
    <t>Associates First Capital Corp</t>
  </si>
  <si>
    <t>Pvd finance,leasing services</t>
  </si>
  <si>
    <t>Ford Motor (FM) spun off its remaining 80.7% interest, or 317.9 mil common shares, in Associates First Capital (AFC) to its shareholders in a transaction valued at $26.625 bil. FM shareholders received .262085 AFC common shares per FM common or Class B share held. The transaction was valued based on AFC'c closing stock price of $83.75 on April 8, the first full trading day on a non-when issued basis. Previously, FM split off a 19.3% stake in AFC via an initial public offering.</t>
  </si>
  <si>
    <t>Standard Mgmt Corp</t>
  </si>
  <si>
    <t>Ret pharmaceuticals</t>
  </si>
  <si>
    <t>Standard Management (SM) withdrew its signed a letter of intent to acquire Central Reserve Life (CRL) in a stock swap transaction valued at $30.816 mil. SM had offered $7 in common stock per CRL share. The transaction was to have been accounted for as a pooling of interests and had been subject to regulatory approval.</t>
  </si>
  <si>
    <t>Mellon Bank Corp, Pittsburgh, Pennsylvania, terminated its unsolicited offer to acquire all the outstanding common stock of CoreStates Financial Corp, Philadelphia, Pennsylvania. The value had been rumored to be $88 per share, or a total value of $17.8 bil. The transaction was to have been subject to federal and state regulatory approval.</t>
  </si>
  <si>
    <t>Mail-Well Inc</t>
  </si>
  <si>
    <t>Manufacture envelopes</t>
  </si>
  <si>
    <t>Mail-Well withdrew its unsolicited tender offer to acquire all the outstanding common stock of Graphic Industries for $20 in cash per share, or a total value of $246.97 mil. Later, Wallace Computer Services launched a challenging tender offer to acquire all the outstanding common stock of Graphic Industries for an amended $21.75 in cash per share, or a total value of $398.579 mil.</t>
  </si>
  <si>
    <t>Borden Chemical Inc</t>
  </si>
  <si>
    <t>Mnfr formaldehyde,resins</t>
  </si>
  <si>
    <t>Borden Chemical (BC), a unit of Kohlberg Kravis Roberts' Borden subsidiary, acquired all of the outstanding common stock of Melamine Chemicals (MC), including a 23.4% stake held by Ashland in MC, for $20.5 in cash per share, or a total value of $119.736 mil. Earlier, BC completed its tender offer for MC by accepting 5.494 mil common shares, or 91.3% of MC's stock outstanding. The offer was conditioned upon 51% of MC's shares being tendered and had been subject to regulatory approval under the Hart-Scott-Rodino Antitrust Act. Previously, Ashland terminated its plans to acquire the remaining 76.6% interest in MC for an amended $14.75 in cash per share.</t>
  </si>
  <si>
    <t>Metris Cos Inc</t>
  </si>
  <si>
    <t>Fingerhut Cos Inc (FC) completed the spin off its 83% interest, or 15.957 mil shares in Metris Companies Inc (MC) to its shareholders in a transaction valued at $797.838 mil. TC shareholders received .31 new MC shares for every TC common share held. The shares were valued based on MC's closing stock price of $50 on September 25, the first full trading day on which the shares were distributed. Previously, FC split off a 17% stake in MC via an initial public offering.</t>
  </si>
  <si>
    <t>Putnam Intermed Govt Inc Trust</t>
  </si>
  <si>
    <t>Putnam Master Intermediate  In</t>
  </si>
  <si>
    <t>Putnam Master Intermediate Income Trust merged with Putnam Intermediate Government Income Trust.</t>
  </si>
  <si>
    <t>Kennametal Inc</t>
  </si>
  <si>
    <t>Mnfr,whl tooling systems</t>
  </si>
  <si>
    <t>Kennametal (KM) merged with Greenfield Industries (GI), a majority-owned unit of Harbour Group for $38 in cash per share, or a total value of approximately $956.995 mil, including the assumption of approximately $214.061 mil in liabilities. Previously, KM completed its tender offer by accepting 16,179,976 common shares. The transaction had been subject to Hart-Scott- Rodino Antitrust and German Federal Cartel Office regulatory approval.</t>
  </si>
  <si>
    <t>Puro Water Group Inc</t>
  </si>
  <si>
    <t>Whl bottled water</t>
  </si>
  <si>
    <t>United States Filter (USF) acquired Puro Water Group (PWG) in a stock swap transaction valued at $25.738 mil. USF offered $7.20 in USF common stock per PWG share. The transaction was subject to regulatory approval.</t>
  </si>
  <si>
    <t>ARV Assisted Living Inc</t>
  </si>
  <si>
    <t>Provide nursing care services</t>
  </si>
  <si>
    <t>Emeritus terminated its unsolicited hostile tender offer for the remaining 92% interest, which it did not already own, in ARV Assisted Living (ARV) for a sweetened $17.5 in cash per share, or a total value of $298.412 mil, including the assumption of $91 mil in liabilities. Originally, ARV offered $16.5 per share. Later, Prometheus Assisted Living (PAL) terminated its agreement to acquire a 49.9% stake in ARV, raised it to 53.6% from 16.6% in ARV and was granted a 3- year option to acquire the remaining 46.4% in ARV. Earlier, PAL acquired a 16.6% stake in ARV.</t>
  </si>
  <si>
    <t>Apria Healthcare Group Inc</t>
  </si>
  <si>
    <t>All Other Miscellaneous Ambulatory Health Care Services</t>
  </si>
  <si>
    <t>An investor group comprised of Transworld Healthcare (TH) and Hyperion Partners II (HP) withdrew its intentions to acquire all the outstanding common stock of Apria Healthcare Group (AHG) for $18 per share, or a total value of $928.024 mil. The investor group had offered $14 in cash and $4 in TH and HP common stock per AHG share held.</t>
  </si>
  <si>
    <t>I-Link Inc</t>
  </si>
  <si>
    <t>Pvd voice,data commmun svcs</t>
  </si>
  <si>
    <t>Winter Harbor LLC</t>
  </si>
  <si>
    <t>Winter Harbor LLC was issued warrants to purchase an aggregate of 10 mil common shares of I-Link Inc for an aggregate purchase price of $4.0325 per share in cash, or a total value of $40.325 mil, if fully exercised. Concurrently, Winter Harbor acquired 23.4% stake in I- Link Inc for $12.1 mil in cash and assumption of debt.</t>
  </si>
  <si>
    <t>Integrated Brands Inc</t>
  </si>
  <si>
    <t>Produce ice cream</t>
  </si>
  <si>
    <t>Yogen Fruz World-Wide Inc</t>
  </si>
  <si>
    <t>Produce frozen yogurt</t>
  </si>
  <si>
    <t>Yogen Fruz World-Wide (YFWW) merged with Integrated Brands (IB) in a stock swap transaction valued at $46.812 mil. YFWW offered .557 common shares per IB share. Alternatively, YFWW offered . 585129 subordinated common shares for every IB share held. Based on YFWW's closing stock price of $8.10 October 10, the last full trading day prior to the announcement, each IB share was valued at $4.514.</t>
  </si>
  <si>
    <t>Netcom On-Line Communication</t>
  </si>
  <si>
    <t>Internet Service Provider{ISP}</t>
  </si>
  <si>
    <t>ICG Communications Inc</t>
  </si>
  <si>
    <t>ICG Communications (ICG) acquired Netcom On-Line Communication Services (NOL) in a stock swap transaction valued at $269.395 mil. ICG offered .8628 common shares per NOL share, subject to a collar agreement. Based on ICG's closing stock price of $26.25 on October 10, the last full trading day prior to the announcement, each NOL share was valued at $22.65. The transaction was subject to regulatory approval.</t>
  </si>
  <si>
    <t>Network General Corp</t>
  </si>
  <si>
    <t>Pvd computer sys design svcs</t>
  </si>
  <si>
    <t>McAfee Associates Inc acquired Network General (NG) in a stock swap transaction valued at $1.143 bil. MA offered .4167 common shares per NG share. Based on MA's closing stock price of $59. 9375 on Sep 10, the last full trading day prior to the announcement, each NG share was valued at $24.976. The transaction had been subject to regulatory approval. Upon completion, the new company was called Network Associates.</t>
  </si>
  <si>
    <t>Saint Andrews Golf Corp</t>
  </si>
  <si>
    <t>Pvd patent licensing services</t>
  </si>
  <si>
    <t>Las Vegas Discount Golf</t>
  </si>
  <si>
    <t>Retail golf and tennis goods</t>
  </si>
  <si>
    <t>Las Vegas Discount Golf and Tennis (LVDGT) agreed to acquire the remaining 43% stake, or 1. mil common shares and .5 mil Class A convertible preferred shares, which it did not already owned in Saint Andrews Golf (SAG) in a stock swap transaction valued at $4.05 mil. LVDGT offered 2.4 common shares per SAG common share, or Class A convertible preferred share. Each Class A preferred share is convertible into 1 cmmon share. Based on LVDGT's closing stock price of $1.125 on October 10, the last full trading day prior to the announcement, each SAG share was valued at $2.70. The transaction was to be accounted for as a pooling of interests and was subject to regulatory approval.</t>
  </si>
  <si>
    <t>Physician Support Systems Inc</t>
  </si>
  <si>
    <t>Pvd business mgmt services</t>
  </si>
  <si>
    <t>National Data Corp</t>
  </si>
  <si>
    <t>Pvd info,transaction svcs</t>
  </si>
  <si>
    <t>National Data (ND) acquired Physician Support Systems (PS) in a stock swap transaction valued at $175.241 mil. ND offered .435 common shares per PS share. Based on ND's closing stock price of $41.25 on October 13, the last full trading day prior to the announcement, each PS share was valued at $17.94. The transaction was accounted for as a pooling of interests and had been subject to regulatory approval under the Hart-Scott-Rodino Anti-Trust Improvements Act.</t>
  </si>
  <si>
    <t>Zegarelli Group International</t>
  </si>
  <si>
    <t>Mnfr cosmetics,pharmaceuticals</t>
  </si>
  <si>
    <t>Millennia Inc</t>
  </si>
  <si>
    <t>Own,operate racetracks</t>
  </si>
  <si>
    <t>Millennia (ML) withdrew its intentions to acquire all the outstanding common stock of Zegarelli Group (ZG) in a stock swap transaction. ML had planned to offer 1 preferred share for each ZG common share. Each preferred share was exercisable into 1. 1 ML common shares two years after the completion of the transaction.</t>
  </si>
  <si>
    <t>Hector Communications Corp</t>
  </si>
  <si>
    <t>Own,op telephone companies</t>
  </si>
  <si>
    <t>Lynch Interactive Corp(Lynch)</t>
  </si>
  <si>
    <t>Lynch Interactive, a unit of Lynch, terminated its agreement to raise its stake in Hector Communications to 51% from 17.5% by acquiring 633,906 common shares, for $10 per share, or a total value of $6.339 mil.</t>
  </si>
  <si>
    <t>GTE Corp withdrew its unsolicited challenging offer to acquire all the outstanding common stock of MCI Communications (MCI) for $40 in cash per share, or a total value of $28.97 bil. The transaction had been subject to Federal Communications Commission regulatory approval. Later, WorldCom merged with MCI for an amended $51 per share, or a total value of $41.906 bil. Earlier, British Telecommunications terminated its agreement to acquire the remaining 80.32% interest, which it did not already own, in MCI for an amended $32.64 per share, or a total value of $19.181 bil.</t>
  </si>
  <si>
    <t>CNB Bancshares (CNB), Evansville, Indiana, acquired Pinnacle Financial Services (PFS), St Joseph, Michigan, in a stock swap transaction valued at $577.352 mil. CNB offered 1.0365 common shares per PFS share. Based on CNB's closing stock price of $44.75 on October 14, the last full trading day prior to the announcement, each PFS share was valued at $46.383. The transaction had been subject to federal and state banking regulatory approval.</t>
  </si>
  <si>
    <t>Thompson PBE Inc</t>
  </si>
  <si>
    <t>Whl automotive paint,supplies</t>
  </si>
  <si>
    <t>FinishMaster Inc</t>
  </si>
  <si>
    <t>FinishMaster, a majority- owned unit of Lacey Distribution, acquired all the outstanding common stock of Thompson PBE (TP) for $8 in cash per share, or a total value of $69.29 mil. Earlier, FinishMaster completed its tender offer for TP by accepting 8.46 mil common shares, or 96.5% of TP's shares. The transaction had been subject to regulatory approval.</t>
  </si>
  <si>
    <t>Viewlogic Systems Inc</t>
  </si>
  <si>
    <t>Dvlp automation software</t>
  </si>
  <si>
    <t>Synopsys (SN) merged with Viewlogic Systems (VS) in a stock swap transaction valued at $530.929 mil. SN offered . 6521 common shares per VS share. Based on SN's closing stock price of $42.9375 on October 14, the last full trading day prior to the announcement, each VS share was valued at $28. The transaction was accounted for as a pooling of interests.</t>
  </si>
  <si>
    <t>Omni Insurance Group Inc</t>
  </si>
  <si>
    <t>The Hartford Fin Svcs Group</t>
  </si>
  <si>
    <t>Pvd invest,ins svcs</t>
  </si>
  <si>
    <t>Hartford Financial Services Group (HF) acquired all the outstanding common stock of Omni Insurance Group (OG) for $31.75 in cash per share, or a total value of $184.722 mil. The transaction was subject to regulatory approval.</t>
  </si>
  <si>
    <t>ATC Group Services Inc</t>
  </si>
  <si>
    <t>A management-led investor group, including WPG Corporate Development Associates V, merged with ATC Group Services (ATC) for $12 in cash per share, or a total value of approximately $150 mil, including the assumption of about $52 mil in liabilities. Earlier the group completed its tender offer to acquire all the outstanding common stock of ATC by accepting 7,607,194 shares, or 86.95% of ATC shares, in a leveraged buyout transaction. The offerhad been conditioned upon a minimum 50.1% of ATC's shares being tendered and subject to regulatory approval under the Hart-Scott-Rodino Antitrust Act.</t>
  </si>
  <si>
    <t>Computational Systems Inc</t>
  </si>
  <si>
    <t>Manufacture measuring devices</t>
  </si>
  <si>
    <t>Emerson Electric Co</t>
  </si>
  <si>
    <t>Mnfr,wholesale electn prod,sys</t>
  </si>
  <si>
    <t>Emerson Electric (EMR) acquired all the outstanding common stock of Computational Systems (CSIN) for $29.65 per share, or a total value of $158.636 mil. EMR offered $5. 93 in cash and $23.72 in common shares per CSIN share. The agreement was subject to regulatory approval.</t>
  </si>
  <si>
    <t>BTR PLC (BTR) merged with Exide Electronics Group (EEG) for $29 in cash per share, or a total value of $583.182 mil, including the assumption of $233 mil in liabilities. Earlier, BTR completed its challenging tender offer to acquire all the outstanding common stock of EEG by accepting approximately 90% of EGG's common stock outstanding, or 9,292,157 shares. The offer had been conditioned upon a minimum of 80% of EEG's shares being tendered on a fully diluted basis and had been subject to regulatory approval. Earlier, Danaher launched an unsolicited hostile tender offer to acquire the remaining 96.05% interest, or 9.65 mil common shares, which it did not already own, in EEG for $20 in cash per share, or a total value of $221.76 mil.</t>
  </si>
  <si>
    <t>GFS Bancorp Inc,Grinnell,IA</t>
  </si>
  <si>
    <t>First Federal Savings,Iowa</t>
  </si>
  <si>
    <t>First Federal Savings Bank, Siouxland, Iowa, acquired all the outstanding common stock of GFS Bancorp for $17.65 in cash per share, or a total value of $17.889 mil. The transaction had been subject to federal and state banking regulatory approvals, including approval by the Office of Thrift Supervision.</t>
  </si>
  <si>
    <t>Infinity Financial Technology</t>
  </si>
  <si>
    <t>Dvlp financial software</t>
  </si>
  <si>
    <t>SunGard Data Systems Inc</t>
  </si>
  <si>
    <t>Pvd software,processing svcs</t>
  </si>
  <si>
    <t>SunGard Data Systems (SDS) merged with Infinity Financial Technology (IFT) in a stock swap transaction valued at $357.97 mil. SDS offered .68 common shares per IFT share. Based on SDS' closing stock price of $24. 0625 on October 16, the last full trading day prior to the announcement, each IFT share was valued at $16.3625. The transaction was accounted for as a pooling of interests and had been subject to regulatory approval.</t>
  </si>
  <si>
    <t>Startt Acquisition LLC</t>
  </si>
  <si>
    <t>Startt Acquisition (SA), an investor group comprised of executives of Lawrence Ruben, Blackacre Capital, Amroc Investments, and Argent Ventures acquired all the outstanding common stock of Starrett (ST) for $12.25 in cash per share, or a total value of $80.438 mil. Previously, SA completed its tender offer for ST by accepting 6.1 mil shares, or 92.9% of ST's stock outstanding. The offer was conditioned on a minimum of 66.67% of the shares being tendered.</t>
  </si>
  <si>
    <t>Tranzonic Cos</t>
  </si>
  <si>
    <t>Mnfr sanitary paper prod,</t>
  </si>
  <si>
    <t>Linsalata Capital Partners II</t>
  </si>
  <si>
    <t>Linsalata Capital Partners Fund II acquired all the outstanding common stock of Tranzonic for $29 in cash per share, or a total value of $104.811 mil.</t>
  </si>
  <si>
    <t>Cruise America Inc</t>
  </si>
  <si>
    <t>Pvd vehicle rental svcs</t>
  </si>
  <si>
    <t>Budget Group Inc</t>
  </si>
  <si>
    <t>Pvd passenger car rental svcs</t>
  </si>
  <si>
    <t>Budget Group (BG) acquired Cruise America (CA) in a stock swap transaction valued at $59.329 mil. BG offered . 28073 common shares per CA share. Based on BG's closing stock price of $35.1875 on October 17, the last full trading day prior to the announcement, each CA share was valued at $9.878. The transaction had been subject to regualtory approval.</t>
  </si>
  <si>
    <t>BANC ONE (BO), Columbus, Ohio, acquired First Commerce (FC), New Orleans, Louisiana, in a stock swap transaction valued at an amended $3.169 bil. BO offered 1.408 common shares per FC share. Based on BO's closing stock price of $56.825 on June 11, the last full trading day prior to the announcemnt of the amended terms, each FC share was valued at $80.01.The transaction had been subject to federal and state banking regulatory approval. Previously, BO offered 1.28 BO common shares per FC share.</t>
  </si>
  <si>
    <t>Discount Auto Parts Inc</t>
  </si>
  <si>
    <t>Own and op auto parts stores</t>
  </si>
  <si>
    <t>Discount Auto Parts (DAP) withdrew its agreement to merge with Hi-Lo Automotive (HLA) in a stock swap transaction valued at $35.936 mil. DAP offered .1485 common shares per HLA share, subject to a collar agreement. Based on DAP's closing stock price of $22.5 per share on October 17, the last full trading day prior to announcement, each HLA shares was valued at $3. 34. The transaction was to have been accounted for as a pooling of interests and subject to regulatory approval. Subsequently, O'Reilly Automotive Inc acquired a 90.4% interest in HLA.</t>
  </si>
  <si>
    <t>Starwood Hotels &amp; Resorts Tr</t>
  </si>
  <si>
    <t>Starwood Hotels &amp; Resorts Worldwide (ST), acting as a white knight, acquired ITT in a challenging stock swap transaction valued at $13.748 bil, including the assumption of $3.5 bil in liabilites. ST offered a sweetened combination of $25.5 in cash and $59.5 in ST common stock, or a total of $85 per ITT share. Originally, ST offered a combination of $15 in cash and $67 in ST common stock, or a total of $82 per ITT share, subject to a collar agreement. The transaction had been subject to regulatory approval. Previously, Hilton Hotels withdrew its hostile unsolicited offer to acquire ITT for a twice sweetened $80 per share, or a total value of $13.608 bil. In the middle of the transaction, ST changed its name from Starwood Lodging.</t>
  </si>
  <si>
    <t>Raycom Media Inc</t>
  </si>
  <si>
    <t>Own, operate television stations</t>
  </si>
  <si>
    <t>Raycom Media terminated its unsolicited challenging offer to acquire all the outstanding common stock of LIN Television (LIN) for $52. 5 in cash per share, or a total of $1.872 bil, including the assumption of $260 mil in liabitites. Previously, Hicks Muse Tate &amp; Furst agreed to acquire LIN for $47.5 in cash per share.</t>
  </si>
  <si>
    <t>Santa Fe Pacific Pipeline</t>
  </si>
  <si>
    <t>Operate petroleum pipelines</t>
  </si>
  <si>
    <t>Kinder Morgan Energy Partners</t>
  </si>
  <si>
    <t>Kinder Morgan Energy Partners (KMEP) acquired Santa Fe Pacific Pipeline Partners (SFP), a unit of Santa Fe Industries, for $1. 47 bil. Consideration consisted of 1.39 KMEP limited partnership units per SFP unit, $85 mil in cash and the assumption of $350 mil in liablilities. Based on KMEP's closing stock price of $39 on October 17, the last full trading day prior to the announcement, the stock portion of the consideration was valued at $1.03 bil,, The transaction was subject to regulatory approval.</t>
  </si>
  <si>
    <t>Sybron Chemicals Inc</t>
  </si>
  <si>
    <t>An investor group comprised of Citicorp Venture Capital and management, led by President Richard Klein and Executive Vice President John Schroeder withdrew its agreement to acquire the remaining 55%, or 3.1 mil common shares, which it did not already own, in Sybron Chemicals (SC) for $34.5 in cash per share, or a total value of $114.518 mil. Originally, SA agreed to acquired SC for between $32 and $33 per share. Subsequently, Gencorp terminated its unsolicited hostile challenging offer to acquire SC for $38 in cash per share, or a total value of $223.598 mil.</t>
  </si>
  <si>
    <t>US - HSN Inc acquired the remaining 55.41% interest, which it did not already own, in Ticketmaster Group (TG) in an amended stock swap transaction valued at USD 413. 185 mil. HSN offered 0.563 common shares for every TG share held. Based on HSN's closing stock price of USD 52. 75 on March 9, the last full day of trading prior to announcement, each TG share had an indicated value of USD 29.7. Previously, HSN offered a choice of either USD 25 in cash or 0.506 common shares per TG share held, subject to a collar agreement. Previously, HSN acquired the television assets, including USA and Sci-Fi cable networks, of Universal Studios, a unit of Seagram (SE), for USD 5. 275 bil.</t>
  </si>
  <si>
    <t>International Dairy Queen Inc</t>
  </si>
  <si>
    <t>Whl dairy desserts,hamburgers</t>
  </si>
  <si>
    <t>Berkshire Hathaway (BH) acquired all the outstanding common stock of International Dairy Queen (IDQ) for approximately $596.918 mil. BH offered a choice of either $27 in cash or $26 in BH Class A or Class B common stock for each IDQ Class A and Class B common share held. No more than 55% of the consideration was payable in cash.</t>
  </si>
  <si>
    <t>Shelter Components Corp</t>
  </si>
  <si>
    <t>Whl construction materials</t>
  </si>
  <si>
    <t>Kevco Inc</t>
  </si>
  <si>
    <t>Mnfr building products</t>
  </si>
  <si>
    <t>Kevco acquired Shelter Components (SC) for $17.50 in cash per share, or a total value of $136.626 mil. Previously, Kevco completed its tender offer for SC by accepting 7.386 mil common shares, or 93.84% of SC's outstanding stock. The offer was conditioned upon a minimum of 50.1% of the shares being tendered and was subject to regulatory approval under the Hart-Scott- Rodino Antitrust Act.</t>
  </si>
  <si>
    <t>USX-Delhi Group</t>
  </si>
  <si>
    <t>Oil and gas exploation,prodn</t>
  </si>
  <si>
    <t>Koch Midstream Enterprises Inc</t>
  </si>
  <si>
    <t>Koch Midstream Enterprises, a unit of Koch Industries, acquired all the outstanding common stock of USX-Delhi Group for $762 mil in cash. The transaction was subject to regulatory approval under the Hart-Scott-Rodino Antitrust Act. The acquisition was to include Delhi Gas Pipeline and certain other subsidiaries.</t>
  </si>
  <si>
    <t>Emerald Isle Bancorp,Quincy,MA</t>
  </si>
  <si>
    <t>Eastern Bank Corp,MA</t>
  </si>
  <si>
    <t>Eastern Bank, Lynn, Massachusetts, acquired all the outstanding common stock of Emerald Isle Bancorp, Quincy, Massachusetts, for $33 in cash per share, or a total value of $76.589 mil. The transaction had been subject to federal and state banking regulatory approval.</t>
  </si>
  <si>
    <t>Poughkeepsie Financial Corp</t>
  </si>
  <si>
    <t>Hubco Inc (HI), Mahwah, New Jersey, acquired Poughkeepsie Financial (PF) in a stock swap transaction valued at $142.429 mil. HI offered .3 common shares per PF share, subject to a collar agreement. Based on HI's closing stock price of $35.375 on Oct 22, the last full trading day prior to the announcement, each PF share was valued at $10.6125. The transaction was to be accounted for as a pooling of interests and had been subject to federal and state banking regulatory approval. Later, HI agreed to acquire the remaining 81% interest, which it did not already own, in MSB Bancorp (MSB), Goshen, New York, for $36.02 in HI common stock per MSB share, or a total value of $82.982 mil, ina stock swap transaction. Upon completion of the two transactions, HI was to merge MSB with PF.</t>
  </si>
  <si>
    <t>Premenos Technology Corp</t>
  </si>
  <si>
    <t>Develop EDI software</t>
  </si>
  <si>
    <t>Harbinger Corp</t>
  </si>
  <si>
    <t>Dvle electn commerce software</t>
  </si>
  <si>
    <t>Harbinger (HR) acquired Premenos Technology (PT) in a stock swap transaction valued at $234.737 mil. HR offered . 45 common shares per PT share. Based on HR's closing stock price of $42.25 on October 22, the last full trading day prior to the announcement, each PT share was valued at $19.013. The transaction was subject to regulatory approval and was to be accounted for as a pooling of interests.</t>
  </si>
  <si>
    <t>Goodyear Tire &amp; Rubber acquired the remaining 25% interest,or 556,924 common shares, which it did not already own, in Brad Regan for an amended $37.25 in cash per share, or a total value of $20.745 mil. Previously, GY offered $32 in cash per share, or a total value of $17.822.</t>
  </si>
  <si>
    <t>Sunbeam Corp</t>
  </si>
  <si>
    <t>Mnfr,whl household appliances</t>
  </si>
  <si>
    <t>In October 1997, Sunbeam announced that it was seeking a buyer for the company.</t>
  </si>
  <si>
    <t>Universal Outdoor Holdings Inc</t>
  </si>
  <si>
    <t>Pvd outdoor advertising svcs</t>
  </si>
  <si>
    <t>Clear Channel Communications (CCC) acquired Universal Outdoor Holdings (UOH) in a stock swap transaction valued at $1.629 bil, including the assumption of $495 mil in liabilities. CCC offered .67 common shares per UOH common share. Based on CCC's closing stock price of $63.375 on October 22, the last full trading day prior to the announcement, each UOH share was valued at $42.46125. The transaction was subject to regulatory approval.</t>
  </si>
  <si>
    <t>Peoples Heritage Financial Group (PHFG), Portland, Maine, acquired CFX in a stock swap transaction valued at $704. 883 mil. PHFG offered .667 common shares per CFX share. Based on PHFG's closing stock price of $43.125 on October 24, the last full trading day prior to the announcement, each CFX share was valued at $28.76. The transaction was accounted for as a pooling of interests and was subject to federal and state banking regulatory approval. Subsequently, CFX divested 5 southern New Hampshire branches to First Essex Bancorp, Andover, Massachusetts. The divestiture was necessary in order to gain regulatory approval for PHFG's acquisition of CFX.</t>
  </si>
  <si>
    <t>Webster Financial (WF) merged with Eagle Financial (EF) in a stock swap transaction valued at $367. 035 mil. WF offered .84 common shares per EF share. Based on WF's closing stock price of $66 on October 24, the last full trading day prior to the announcement, each EF share was valued at $55.44. The transaction was subject to federal and state banking regulatory approval and was accounted for as a pooling of interests.</t>
  </si>
  <si>
    <t>HomeSide Inc</t>
  </si>
  <si>
    <t>National Australia Bank acquired all the outstanding common stock of HomeSide, for $27.825 in cash per share, or a total value of $1.23 bil. The transaction had been subject to federal and state banking regulatory approval. NationsBank and Thomas H Lee held a 55% interest and BankBoston held a 26% stake in HS.</t>
  </si>
  <si>
    <t>Quipp Inc</t>
  </si>
  <si>
    <t>Mnfr material handling equip</t>
  </si>
  <si>
    <t>SI Handling Systems Inc</t>
  </si>
  <si>
    <t>Mnfr material handling systems</t>
  </si>
  <si>
    <t>SI Handling System (SIH) withdrew its unsolicited offer to acquire all the outstanding common stock of Quipp (QP) in a stock swap transaction valued at $29.816 mil. SIH offered .875 common shares per QP share. Based on SIH's closing stock price of $20 on October 24, the last full trading day prior to the announcement, each QP share was valued at $17.5.</t>
  </si>
  <si>
    <t>Regency Financial Shares,VA</t>
  </si>
  <si>
    <t>MainStreet BankGroup (MB) to acquired Regency Financial Shares (RFS) in a stock swap transaction valued at $17.2 mil. MB offered $13 in common stock for every RFS share.</t>
  </si>
  <si>
    <t>US WEST Media Group</t>
  </si>
  <si>
    <t>Pvd cable television svcs</t>
  </si>
  <si>
    <t>US WEST (UW) spun off its US WEST Media Group (UWM) unit to its shareholders to form MediaOne Group (MG) in a transaction valued at $21.815 bil. UWM shareholders received 1 MG common share for each share of UWM tracking stock held. The transaction was valued based on UWM's closing stock price of $35.9375 on June 15,the first full trading day after completion of the spinoff. MG was to include UW's cable properties and interactive services. As part of the transaction, US West Communications (USWC) was to be renamed US WEST Inc and was to be comprised of UW's telephone, data and wireless operations. Concurrently, USWC acquired the US WEST Dex business of UWM for $4.75 bil.</t>
  </si>
  <si>
    <t>First Empire State (FE), Buffalo, New York, acquired ONBANCorp (ON), Syracuse, New York, in a stock swap transaction valued at approximately $892.971 mil. FE offered a choice of either $69.50 in cash or .161 common shares per ON share held. Based on FE's closing stock price of $417 on October 27, the last full trading day prior to announcement, the common stock consideration was valued at $67.137 per ON share. The transaction was subject to federal and state banking regulatory approval.</t>
  </si>
  <si>
    <t>US Wats Inc</t>
  </si>
  <si>
    <t>ACC (AC) withdrew its plans to acquire US Wats (USW) in a stock swap transaction valued at $39.166 mil. AC was to offer .077 common shares per USW share, subject to a collar agreement. Based on AC's closing stock price of $29.625 on October 27, the last full trading day prior to the announcement, each USW share was valued at $2.28. The transaction was to be subject to regulatory approval and was to be accounted for as a pooling of interests.</t>
  </si>
  <si>
    <t>Prometheus Assisted Living LLC</t>
  </si>
  <si>
    <t>Prometheus Assisted Living LLC (PAL), an affiliate of Lazard Freres Real Estate Investors, was granted a 3- year option to acquire the remaining 46.4% stake, which it did not already own, in ARV Assisted Living Inc (ARV). Concurrently, PAL terminated its agreement to acquire a 49. 9% stake, or 9,624,415 restricted common shares, and raised its stake to 53.6% from 16.6% in ARV. Earlier, PAL acquired a 16.6% in ARV and Emeritus terminated its unsolicited hostile tender offer for the remaining 92% interest, which it did not already own, in ARV for a sweetened $17.5 in cash per share.</t>
  </si>
  <si>
    <t>Prometheus Assisted Living LLC (PAL), an affiliate of Lazard Freres Real Estate Investors, raised its stake to 53.6% from 16.6% in ARV Assisted Living Inc (ARV) by acquiring a subordinated note convertible into 4.285 mil common shares at $17.25 per share, for $60 mil. Concurrently, PAL was granted a 3-year option for the remaining 46.4% and terminated its agreement to acquire a 49.9% stake, or 9, 624,415 restricted common shares, in ARV. Earlier, PAL acquired a 16.6% stake in ARV and Emeritus terminated its unsolicited hostile tender offer for the remaining 92% interest, which it did not already own, in ARV.</t>
  </si>
  <si>
    <t>CapMAC Holdings Inc</t>
  </si>
  <si>
    <t>MBIA Inc</t>
  </si>
  <si>
    <t>Pvd finl guarantee ins svcs</t>
  </si>
  <si>
    <t>MBIA acquired CapMAC Holdings (CM) in a stock swap transaction valued at $599.28 mil. MBIA offered an amended $31 in common stock per CM share which was not to be subject to a collar agreement. The transaction was to be accounted for as a pooling of interests and was subject to regulatory approval. Originally, MBIA offered $35 per share subject to a collar agreement.</t>
  </si>
  <si>
    <t>Proffitt's (PI) acquired Carson Pirie Scott (CP) in a stock swap transaction valued $867.678 mil. PI offered 1.75 PI common shares per CP share. Based on PI's closing stock price of $29.75 on Jan 29, the last full trading day prior to the announcement of the exact terms, each CP share was valued at $52.063. The transaction had been subject to regulatory approval and was to be accounted for as a pooling of interests.</t>
  </si>
  <si>
    <t>HomeCorp Inc,Rockford,Illinois</t>
  </si>
  <si>
    <t>Mercantile Bancorp (MB), St Louis, Missouri, merged with HomeCorp (HC), Rockford, Illinois, in a stock swap transaction valued at $41.842 mil. MB offered .4968 common shares per HC share. Based on MB's closing stock price of $48 per share on October 28, the last full trading day prior to the announcement, each HC share was valued at $23.85. The transaction was to be accounted for as a pooling of interests and was subject to federal and state banking regulatory approval.</t>
  </si>
  <si>
    <t>BB&amp;T acquired Life Bancorp (LB) in stock swap transaction valued at $316. 335 mil. BB&amp;T offered .58 common shares per LB share, subject to a collar agreement. Based on BB&amp;T's closing stock price of $54.875 per share on October 28, the last full trading day prior to the announcement, each LB share was valued at $31.828. The transaction was subject to federal and state banking regulatory approval and was to be accounted for as a pooling of interests.</t>
  </si>
  <si>
    <t>PhyCor Inc</t>
  </si>
  <si>
    <t>Own,op multi-specialty clinics</t>
  </si>
  <si>
    <t>PhyCor (PC) withdrew plans to merge with MedPartners (MP) in a reverse stock swap transaction valued at $8.177 bil, including the assumption of $1.2 bil in liabilities. PC offered 1.18 common shares per MP share. Based on PC's closing stock price of $28. 9375 on October 28, the last full trading day prior to the announcement, each MP share was valued at $34.146. The transaction was to have been accounted for as a pooling of interests and had been subject to regulatory approval.</t>
  </si>
  <si>
    <t>Tel-Save Holdings (TH) terminated its unsolicited offer to acquire ACC for $50 in common stock per share, or a total value of $841.858 mil. The offer had been conditioned upon the termination of ACC's merger agreement with US Wats (US). If the merger was not terminated, TH was to have offered $40 in common stock per ACC share. The transaction was to have been accounted for as a pooling of interests and was to have been subject to regulatory approval.</t>
  </si>
  <si>
    <t>Lumen Technologies Inc</t>
  </si>
  <si>
    <t>BEC Group (BEC) merged with ILC Technology (ILC) in a stock swap transaction valued at $130.776 mil. BEC offered 4.36 common shares per ILC share, on a 1-for-2 pre- reverse stock split basis. Based on BEC's closing stock price of $5.625 on October 30, the last full trading day prior to the announcement, each ILC share was valued at $24.525. The transaction was subject to regulatory approval. Earlier, BEC announced that it planned to spin off its Bolle subsidiary. Previously, BEC withdrew its unsolicited offer to acquire ILC in a stock swap transaction. Upon completion, BEC Group was named Lumen Technologies.</t>
  </si>
  <si>
    <t>TransNet Corp</t>
  </si>
  <si>
    <t>Whl commun prod</t>
  </si>
  <si>
    <t>GE Capital IT Solutions</t>
  </si>
  <si>
    <t>Pvd information tech svcs</t>
  </si>
  <si>
    <t>GE Capital IT Solutions, a unit of General Electric's GE Capital Services subsidiary, withdrew its agreement to acquire all the oustanding common stock of TransNet for a maximum of $3.93 per share, or a total value of $20.502 mil.</t>
  </si>
  <si>
    <t>Premiere Technologies Inc</t>
  </si>
  <si>
    <t>Pvd computer telephony svcs</t>
  </si>
  <si>
    <t>Premiere Technologies (PT) completed its sweetened, unsolicited, challenging offer to acquire Xpedite Systems (XS) in a stock swap transaction valued at $496. 355 mil, including the assumption of $140 mil in liabilities. PT offered an amended 1.165 PT common shares per XS share. Based on PT's closing stock price of $31.375 on Feb 26, the last full trading day prior to the announcement of the exact terms, each XS share was valued at $36.55. Originally, PT offered $30 in common stock per XS share. The transaction was accounted for as a pooling of interests and had been subject to regulatory approval. Subsequently, a management- led investor group comprised of UBS Partners, Fenway Partners and senior management, terminated its agreement to acquire XS for $23.25 per share in a leveraged buyout transaction.</t>
  </si>
  <si>
    <t>Marshall &amp; Ilsley (MI) acquired all the outstanding common stock of Advantage Bancorp (AB) in a stock swap transaction valued at $215. 767 mil. MI offered 1.2 common shares per AB share. Based on MI's closing stock price of $51.875 on October 31, the last full trading day prior to the announcement, each AB share was valued at $62.25. The transaction had been subject to federal and state banking regulatory approval.</t>
  </si>
  <si>
    <t>Cambridge SoundWorks Inc</t>
  </si>
  <si>
    <t>Mnfr stereo speakers</t>
  </si>
  <si>
    <t>Creative Technology Ltd</t>
  </si>
  <si>
    <t>Mnfr,whl digital ent prod</t>
  </si>
  <si>
    <t>Creative Technology (CT) acquired the remaining 79.18% interest, or 2.89 mil common shares,which it did not already own, in Cambridge SoundWorks (CS) at $10.68 in cash per share, or a total value of $28.92 mil. Earlier, CT completed its tender offer for CS, by accepting 2,772, 887 shares, or 74.5% of CS's common stock. The offer was conditioned on a minimum of 45.85% of the fully-diluted shares being tendered, and had been subject to regulatory approval.</t>
  </si>
  <si>
    <t>CoBancorp Inc</t>
  </si>
  <si>
    <t>FirstMerit (FM), Akron, Ohio, acquired CoBancorp (CB), Elyria, Ohio, in a stock swap transaction valued at $157. 305 mil. FM offered 1.745 common shares per CB share, for up to a 70% interest, and $44.50 in cash for the remaining interest. Based on FM's closing stock price of $25.50 on October 31, the last full trading day prior to the announcement, the common stock consideration was valued at $44.50 per CB share. The transaction had been subject to federal and state banking regulatory approval.</t>
  </si>
  <si>
    <t>Indiana Community Bank,IN</t>
  </si>
  <si>
    <t>Union Federal Bank,IN</t>
  </si>
  <si>
    <t>Savings bk</t>
  </si>
  <si>
    <t>Union Federal Savings Bank of Indianapolis, Indiana, a unit of Waterfield Mortgage, Michigan City, Indiana, definitively agreeed to acquire all the outstanding common stock of Indiana Community Bank, Lebanon, Indiana, for $21.65 in cash per share, or a total value of $22.1 mil. The transaction was subject to federal and state banking regulatory approval.</t>
  </si>
  <si>
    <t>Individual Inc</t>
  </si>
  <si>
    <t>Pvd on-line info retrieval svc</t>
  </si>
  <si>
    <t>Desktop Data Inc</t>
  </si>
  <si>
    <t>Desktop Data (DD) merged with Individual (ID) in a stock swap transaction valued at $86.836 mil. DD offered 0. 5 common shares per ID share. Based on DD's closing stock price of $10.344 on October 31, the last full trading day prior to the announcement, each ID share was valued at $5.172. The new entity was named NewsEDGE. The transaction was accounted for as a pooling of interests and was subject to regulatory approval.</t>
  </si>
  <si>
    <t>Oregon Metallurgical Corp</t>
  </si>
  <si>
    <t>Mnfr,whl titanium</t>
  </si>
  <si>
    <t>Allegheny Teledyne Inc</t>
  </si>
  <si>
    <t>Mnfr specialty materials,metal</t>
  </si>
  <si>
    <t>Allegheny Teledyne (AT) acquired Oregon Metallurgical (OM) in a stock swap transaction valued at $557. 157 mil. AT offered 1.296 AT common shares per OM share. Based on AT's closing stock price of $26.3125 on Oct 31, the last full trading day prior to the announcement, each OM share was valued at $34.101. The transaction was to be accounted for as a pooling of interests and was subject to regulatory approval.</t>
  </si>
  <si>
    <t>Sequana Therapeutics</t>
  </si>
  <si>
    <t>Mnfr diagnostic substances</t>
  </si>
  <si>
    <t>Arris Pharmaceuticals Corp</t>
  </si>
  <si>
    <t>Manufacture synthetic drugs</t>
  </si>
  <si>
    <t>Arris Pharmaceuticals (AP) merged with Sequana Therapeutics (ST) in a stock swap transaction valued at $169.411 mil. AP offered 1.35 common shares per ST share. Based on AP's closing stock price of $12 on October 31, the last full trading day prior to the announcement, each ST share was valued at $16.20. The transaction was subject to regulatory approval. Upon completion the new company was renamed AxyS Pharmaceuticals.</t>
  </si>
  <si>
    <t>ComputerVision Corp</t>
  </si>
  <si>
    <t>PTC</t>
  </si>
  <si>
    <t>Dvlp prod mgmt software</t>
  </si>
  <si>
    <t>Parametric Technology (PT) acquired ComputerVision (CV) in a stock swap transaction valued at $250.322 mil. PT offered .0866 common shares per CV share. Based on PT's closing stock price of $45. 375 on November 3, the last full trading day prior to the announcement, each CV share was valued at $3.929. The transaction was accounted for as a pooling of interests and was subject to regulatory approval.</t>
  </si>
  <si>
    <t>Safety-Kleen Corp</t>
  </si>
  <si>
    <t>Pvd vehicular cleaning svcs</t>
  </si>
  <si>
    <t>Pvd waste removal svcs</t>
  </si>
  <si>
    <t>Laidlaw Environmental Services (LES), a unit of Laidlaw Inc, acquired the remaining 99.048% interest on a fully-diluted basis, or 62. 6 mil common shares, in Safety-Kleen (SK) for $1.8 bil. Earlier, LES completed its unsolicited hostile tender offer, which was amended four times, for SK by accepting 55.75 mil shares. The consideration was to consist of $18.3 in cash and 2.8 LES common shares valued at $11.9 per SK share held. Based on LES's closing stock price of $4.25 on March 13, the last full day of trading prior to announcement of amended terms, each SK share was valued at $30.2. Previously, LES offered $18 in cash and 2.8 LES common shares per SK share.</t>
  </si>
  <si>
    <t>Mac Frugal's Bargains</t>
  </si>
  <si>
    <t>Consolidated Stores Corp</t>
  </si>
  <si>
    <t>General merchandise ret stores</t>
  </si>
  <si>
    <t>Consolidated Stores (CS) acquired Mac Frugal's Bargains-Closeouts (MF) in a stock swap transaction valued at $994.12 mil. CS offered . 94 common shares per MF share, subject to a collar agreement. The shares were valued based on CS's closing stock price of $41.125 on Nov 4, the last full trading day prior to the announcement. The transaction was accounted for as a pooling of interests and had been subject to regulatory approval.</t>
  </si>
  <si>
    <t>Oppenheimer Capital LP</t>
  </si>
  <si>
    <t>PIMCO Advisors LP</t>
  </si>
  <si>
    <t>Investment management svcs</t>
  </si>
  <si>
    <t>PIMCO Advisors (PA) acquired the remaining 67% interest, or 10.339 mil units, which it did not already own in Oppenheimer Capital (OC) from Oppernheimer Group for 26.1 mil LP units valued at $850. 234 mil, in a stock swap transaction. The units were valued based on PA's closing stock price of $30.375 on November 4, the last full trading day prior to the announcement. Upon completion, OC was renamed PIMCO Advisors Holdings and resumed trading in PA's place. PA was delisted.</t>
  </si>
  <si>
    <t>Scudder World Income</t>
  </si>
  <si>
    <t>Latin America Dollar Income Fd</t>
  </si>
  <si>
    <t>Latin America Dollar Income Fund Inc acquired Scudder World Income Opportunities Fund Inc. Terms were not disclosed.</t>
  </si>
  <si>
    <t>C Brewer Homes Inc</t>
  </si>
  <si>
    <t>Construct single-family houses</t>
  </si>
  <si>
    <t>Mauna Loa Macadamia Partners</t>
  </si>
  <si>
    <t>Produce macadamia nuts</t>
  </si>
  <si>
    <t>Manua Loa Macadamia Partners (MM) withdrew its agreemebt to merge with C Brewer Homes (CB) in a stock swap transaction valued at $22.936 mil. MM had offered .667 LP units per CB share. Based on MM's closing stock price of November 5, the last full trading day prior to the announcement, each CB share was valued at $2.75.</t>
  </si>
  <si>
    <t>Bogen Commun Intl Inc</t>
  </si>
  <si>
    <t>Mnfr telecommun peripherals</t>
  </si>
  <si>
    <t>An undisclosed investor group signed a letter of intent to acquire a 64% interest, or 3.69 mil common shares, in Bogen Communications International, a majority-owned unit of Geotek Communications, for $18.5 mil in cash.</t>
  </si>
  <si>
    <t>Key Florida Bancorp,FL</t>
  </si>
  <si>
    <t>Savings institution</t>
  </si>
  <si>
    <t>Regions Financial (RF), Birminghan, Alabama, acquired Key Florida Bancorp (KF), Bradenton, Florida, in a stock swap transaction valued at $38.549 mil. RF offered . 3666 common shares per KF share. Based on RF's closing stock price of $38.125 on November 6, the last full trading day prior to the annoucement, each KF share was valued at $13.977. The transaction was to be accounted for as a pooling of interests and was subject to federal and state banking regulatory approval.</t>
  </si>
  <si>
    <t>Medicus Systems Corp</t>
  </si>
  <si>
    <t>Develop,whl medical software</t>
  </si>
  <si>
    <t>QuadraMed Corp</t>
  </si>
  <si>
    <t>Pvd healthcare info tech svcs</t>
  </si>
  <si>
    <t>QuadraMed (QM) acquired a 56. 7% interest, or 3.1 mil common shares, in Medicus Systems (MS) for $7.5 per share, or a total value of $23.333 mil, based on the cash consideration. QM offered a choice of $7.5 in cash, .3125 shares, or a combination of $7.5 in cash and common stock per MS share.</t>
  </si>
  <si>
    <t>Quality Food Centers Inc</t>
  </si>
  <si>
    <t>Fred Meyer (FM) merged with Quality Food Centers (QFC) in a stock swap transaction valued at $1.703 bil, including the assumption of $400 mil in liabilities. FM offered 1.9 common shares or $55 in common stock, whichever value was greater, per QFC share. Based on FM's offer of 1.9 shares per QFC share and its closing stock price of $30.9375 on November 6, the last full trading day prior to the announcement, each QFC share was valued at $58.78125. The transaction was to be accounted for as a pooling of interests and was subject to regulatory approval.</t>
  </si>
  <si>
    <t>Respironics Inc</t>
  </si>
  <si>
    <t>Mnfr,whl med equip</t>
  </si>
  <si>
    <t>Respironics (RP) merged with Healthdyne Technologies (HT) for $24 in RP common stock per share, or a total value of $344.132 mil, including the assumption of $33 mil in liabilities, in a stock swap transaction. The transaction was to be accounted for as a pooling of interests and subject to regulatory approval. Earlier in September 1997, HT announced it was seeking a buyer for the company.</t>
  </si>
  <si>
    <t>Midwest Fed Finl,Baraboo,WI</t>
  </si>
  <si>
    <t>AMCORE Financial Inc</t>
  </si>
  <si>
    <t>AMCORE Financial (AF), Rockford, Illinois, acquired Midwest Federal Financial (MF) , Baraboo, Wisconsin, in a stock swap transaction valued at $47.961 mil. AF offered 1. 174 common shares per MF share. Based on AF's closing stock price of $23.50 on November 11, the last full trading day prior to the announcement, each MF share was valued at $27.589. The transaction was to be accounted for as a pooling of interests and was subject to federal and state banking regulatory approval.</t>
  </si>
  <si>
    <t>PureTec Corp</t>
  </si>
  <si>
    <t>Tekni-Plex Inc</t>
  </si>
  <si>
    <t>Mnfr plastics</t>
  </si>
  <si>
    <t>Tekni-Plex acquired PureTec for $3.5 in cash per share, or a total value of $324.581 mil, including the assumption of approximately $215 mil in liabilities. The transaction was subject to regulatory approval.</t>
  </si>
  <si>
    <t>Chartwell Leisure Inc</t>
  </si>
  <si>
    <t>Own,op hotels and motels</t>
  </si>
  <si>
    <t>An investor group, comprised of Whitehall Street Real Estate and Westmont Hospitality Group, acquired all the outstanding common stock of Chartwell Leisure, a majority-owned unit of Chartwell Leisure Associates, for $17.25 in cash per share, or a total value of $240.769 mil. The transaction was subject to regulatory approval.</t>
  </si>
  <si>
    <t>Horizon Group Inc</t>
  </si>
  <si>
    <t>Real Estate Investment Trust</t>
  </si>
  <si>
    <t>Prime Retail Inc</t>
  </si>
  <si>
    <t>Prime Retail (PR) acquired Horizon Group (HG) in a stock swap transaction valued at $867.301 mil, including the assumption of an amended $556. 9 mil in liabilities. PR offered .597 common shares and .2 Series B preferred shares per HG share. Based on PR's closing common and preferred stock prices on Nov 12 of $13.3125 and $24.75 respectively, each HG share was valued at $12.898. Originally, PR offered to assume $540.4 mil of liabilities.</t>
  </si>
  <si>
    <t>Chesapeake Energy Corp</t>
  </si>
  <si>
    <t>Chesapeake Energy (CE) acquired Hugoton Energy (HE) in a stock swap transaction valued $376.994 mil, including the assumption of $105 mil in liabilities. CE offered 1.3 common shares per HE share. Based on CE's closing stock price of $10.25 on Nov 12, the last full trading day prior to the announcement, each HE share was valued at $13.325. The transaction was to be accounted for as a pooling of interests and was subject to regulatory approval. Earlier in July 1997, HE announced it was seeking a buyer for the company.</t>
  </si>
  <si>
    <t>California Community</t>
  </si>
  <si>
    <t>SierraWest Bancorp,Truckee,CA</t>
  </si>
  <si>
    <t>SierraWest Bancorp (SWB), Truckee, California, acquired all the outstanding common stock of California Community Bancshares, Vacaville, California, in exchange for approximately $39 mil in SWB common stock. The transaction was to be accounted for as a pooling of interests and had been subject to state and federal banking regulatory approval.</t>
  </si>
  <si>
    <t>Century Finl Corp,Rochester,PA</t>
  </si>
  <si>
    <t>Citizens Bancshares Inc,OH</t>
  </si>
  <si>
    <t>Citizens Bancshares (CB), Salineville, Ohio, merged with Century Financial (CF), Rochester, Pennsylvania, in a stock swap transaction valued at $137.359 mil. CB offered . 425 common shares per CF share, subject to a collar agreement. Based on CB's closing stock price of $62.5 on November 14, the last full trading day prior to the announcement, each CF share was valued at $26.5625. The transaction was accounted for as a pooling of interests and was subject to federal and state banking regulatory approval.</t>
  </si>
  <si>
    <t>Granite Financial Inc</t>
  </si>
  <si>
    <t>Fidelity National Financial (FNF) acquired Granite Financial (GF) in a stock swap transaction valued at $132.427 mil. FNF offered 0. 702 common shares per GF share. Based on FNF's closing stock price of $29.063 on Feb 25, the last full trading day prior to the announcement of the exact terms, each GF share was valued at $20.402. The transaction was accounted for as a pooling of interests and had been subject to regulatory approval.</t>
  </si>
  <si>
    <t>Price REIT Inc</t>
  </si>
  <si>
    <t>Price Enterprises Inc</t>
  </si>
  <si>
    <t>Price Enterprise (PE) withdrew its unsolicited offer to acquire Price REIT (PR) in a stock swap transaction valued at $497. 443 mil. PE offered 1 PE Series A cumulative convertible preferred share with a liquidation preference of $42 per PR share.</t>
  </si>
  <si>
    <t>US - Intermedia Communications (IC) acquired the remaining 76.7% interests, or 13.175 mil common shares, that its did not already own in Shared Technologies Fairchild (STF) for $15 in cash per share, or a total value of $503.606 mil, including the assumption of an estimated $274 mil in liabilities. Concurrently, IC completed its tender to acquire 4 mil common shares, or a 23.3% stake in STF, for $15 in cash per share, or a total value of $60 mil. The transaction was subject to regulatory approval. Earlier, Tel-Save Holdings (TH) terminated its definitive agreement to acquire STF in a stock swap transaction.</t>
  </si>
  <si>
    <t>True North Communications Inc</t>
  </si>
  <si>
    <t>Pvd advertising,PR svcs</t>
  </si>
  <si>
    <t>Publicis Groupe SA</t>
  </si>
  <si>
    <t>Provide advertising, marketing services</t>
  </si>
  <si>
    <t>US - Pubilics of France (PC) withdrew plans to launch an unsolicited hostile tender offer to raise its stake to 56.6% from 18.5%, or 9.6 mil shares, in True North Communications (TC) for $28 in cash per share, or a total of $268.8 mil. The tender offer was to be conditioned upon rejection of the TC and Bozell Jacob Kenyon &amp; Eckhardt (BJ) merger. Concurrently, TC was to acquire the advertising assets of PC for an undisclosed amount of TC common shares. Previously, PC planned to launch an unsolicited hostile offer to acquire the remaining 81.5% interest that it did not already own TC for $28 in cash and ordinary shares per TC share, or a total value of $576.7 mil. PC's bid was an attempt to stall TC's definitive agreement to acquire BJ for approximately $440 mil in a stock swap transaction.</t>
  </si>
  <si>
    <t>Visigenic Software Inc</t>
  </si>
  <si>
    <t>Dvlp database access software</t>
  </si>
  <si>
    <t>Borland International (BI) acquired Visigenic Software (VS) in a stock swap transaction valued at $148. 417 mil. BI offered 0.81988 common shares per VS share. Based on BI's closing stock price of $12 on November 17, the last full trading day prior to the announcement, each VS share was valued at $9.84. The transaction was to be accounted for as a pooling of interests and had been subject to regulatory approval.</t>
  </si>
  <si>
    <t>First Union (FU), Charlotte, North Carolina, acquired CoreStates Financial (CF), Philadelphia, Pennsylvania, in a stock swap transaction valued at $17.122 bil. FU offered 1.62 common shares per CF share. Based on FU's closing stock price of $52. 4375 per share on Nov 17, the last full trading day prior to the announcement, each CF share was valued at $84.94875. The transaction was to be accounted for as a pooling of interests and had been subject to federal and state banking regulatory approval. Earlier, FU was rumored to have agreed to acquire CF.</t>
  </si>
  <si>
    <t>Jackson Hewitt Inc</t>
  </si>
  <si>
    <t>Pvd tax preparation services</t>
  </si>
  <si>
    <t>CUC International Inc, formerly known as HFS, acquired all the outstanding common stock of Jackson Hewitt (JH) for $68 in cash per share, or a total value of $468.2 mil. Earlier, Cendant completed its tender offer to acquire all the outstanding common stock of JH by accepting 6,441,054 shares of JH's stock outstanding. The transaction had been conditioned upon a minimum of two-third of the shares outstanding being tendered and had been subject to regulatory approval.</t>
  </si>
  <si>
    <t>Molten Metal Techonology Inc</t>
  </si>
  <si>
    <t>In November 1997, Molten Metal Technology Inc disclosed it was seeking a buyer for the company.</t>
  </si>
  <si>
    <t>Peoples First Corp</t>
  </si>
  <si>
    <t>Union Planters Corp (UP), Memphis, Tennessee, acquired Peoples First (PF), Raducah, Kentucky, in a stock swap transaction valued at $372. 188 mil. UP offered .6 common shares per PF share. Based on UP's closing stock price of $60 on November 17, the last full trading day prior to the announcement, each CB share was valued at $36. The transaction had been subject to federal and state banking regulatory approval and was accounted for as a pooling of interests.</t>
  </si>
  <si>
    <t>Texas Instruments Inc</t>
  </si>
  <si>
    <t>Mnfr,wholesale semiconductors</t>
  </si>
  <si>
    <t>Texas Instruments (TI) acquired, via a tender offer, all the outstanding common stock of Amati Communications for $20 in cash per share, or a total value of $459.841 mil. Previously TI completed its tender offer by accepting 15, 430,622 shares or 78% of the common stock outstanding. The offer was conditioned upon a majority of AC's shares being tendered and had been subject to regulatory approval under the Hart-Scott-Rodino Antitrust. Concurrently, Westell Communications terminated its definitive agreement to merge with AC.</t>
  </si>
  <si>
    <t>BCB Financial Services Corp,PA</t>
  </si>
  <si>
    <t>Heritage Bancorp,Pottsville,PA</t>
  </si>
  <si>
    <t>Heritage Bancorp (HB), Pottsville, Pennsylvania, merged with BCB Financial Services (BS), Reading, Pennsylvania, to form a new company (NC) in a stock swap transaction valued at $107.88 mil. BS common shareholders were to receive 1.335 NC common shares and HB common shareholders were to receive 1.05 NC common shares per share held. Based on HB's closing stock price of $23.5 on Nov 18, the last full trading day prior to the announcement, each BS share was valued at $29.85. The transaction was to be accounted for as a pooling of interests and was subject to federal and state banking regulatory approval.</t>
  </si>
  <si>
    <t>Charter Financial Inc,Illinois</t>
  </si>
  <si>
    <t>Magna Corp(MC), St Louis, Missouri, acquired Charter Financial Inc(CF), Sparta, Ilinois, in a stock swap transaction valued at $99.282 mil. MC offered 0.5751 common share per CF share. Based on MC's closing stock price of $39.81 on November 18, the last full trading day prior to the announcement each CF share was valued at $22.89. The transaction had been subject to federal and state banking regulatory approval.</t>
  </si>
  <si>
    <t>Renal Treatment Centers Inc</t>
  </si>
  <si>
    <t>Total Renal Care Holdings Inc</t>
  </si>
  <si>
    <t>Pvd kidney dialysis svcs</t>
  </si>
  <si>
    <t>Total Renal Care Holdings (TR) acquired Renal Treatment Center (RT) in a stock swap transaction valued at approximately $1.363 bil, including the assumption of about $220 mil in liabilities. TR offered 1.335 TR common shares per RT share. Based on TR's closing stock price of $31.125 on Nov 18, the last full trading day prior to the announcement, each RT share was valued at $41.55. The transaction was subject to regulatory approval and was accounted for as a pooling of interests.</t>
  </si>
  <si>
    <t>US - An investor group, including Philip Services (PS) , Apollo Advisors, and Blackstone Management Associates, withdrew its offer to acquire all the outstanding common stock of Safety-Kleen Corp (SK) for $27 in cash per share, or a total value of $1.899 bil. The transaction was subject to regulatory approval. Earlier, Laidlaw Environmental Services (LES), a majority-owned unit of Laidlaw, made an unsolicited hostile offer to acquire the remaining 98.97% interest, which it did not already own, in SK. Originally, in October 1997, SK was rumored to be seeking a buyer for the company.</t>
  </si>
  <si>
    <t>An investor group, including Liberty Media (LM), Apollo Group (AG), Bastion Capital (BC), and Sony Pictures Entertainment (SPE), a unit of Sony's Sony Software subsidiary, acquired the remaining 60% interest, or 6. 065 mil common shares, which it did not already own, in Telemundo Group (TG) for an amended $44.12537 in cash per share, or a total value of $521.354 mil, including the assumption of $191.675 mil in liabilities. Upon completion, AG and BC held a 50.1% interest, and LM and SPE each held about a 25% stake in TG. Originally, the investor group offered $44 in cash per TG common share. The transaction had been subject to regulatory approval by the Federal Communications Commission.</t>
  </si>
  <si>
    <t>Interstate Hotels Co</t>
  </si>
  <si>
    <t>Meditrust withdrew its plans to acquire all the outstanding common stock of Interstate Hotels (IH) for $37 per share, or a total value of $1.311 bil. Concurrently, Patriot American Hospitaluty Inc/ Patriot American Hospitality Operating Co was rumored to be in negotiations to acquire all the outstanding common stock of IH for over $1.311 bil.</t>
  </si>
  <si>
    <t>Meritrust Fed Svgs Bk,LA</t>
  </si>
  <si>
    <t>Whitney Holding (WH) acquired Meritrust Federal Savings Bank (MFS), Thibodaux, Louisiana, in a stock swap transaction valued at $56.515 mil. WH offered $73 in common stock per MFS share. The transaction had been subject to federal and state regulatory approval and was to be accounted for as a pooling of interests.</t>
  </si>
  <si>
    <t>BDM International Inc</t>
  </si>
  <si>
    <t>Pvd comp info technology svcs</t>
  </si>
  <si>
    <t>TRW Inc</t>
  </si>
  <si>
    <t>Mnfr,whl steering,suspension</t>
  </si>
  <si>
    <t>TRW acquired all the outstanding common stock of BDM International (BDM), including a 25.8% stake held by Carlyle Group and certain of its affiliates, for $29.5 in cash per share, or a total value of $888.046 mil via a tender offer. Previously, TRW completed its tender offer by accepting 29.123 mil shares, or 98% of BDM's shares. The offer was conditioned upon a majority of BDM's shares outstanding being tendered and was subject to regulatory approval under the Hart-Scott- Rodino Antitrust Act.</t>
  </si>
  <si>
    <t>Co-Steel Inc</t>
  </si>
  <si>
    <t>Co-Steel acquired New Jersey Steel (NJS), a 60%-owned unit of Von Roll Holdings (VRH), for $23 in cash per share, or a total value of $173.5433 mil, including the assumption of $34 mil in liabilities. Previously, NJS completed its tender offer by accepting 5, 855,362 shares, or 95.16% of the shares outstanding. The transaction had been subject to regulatory approval under the Hart-Scott-Rodino Antitrust Act. Originally in August 1997, VRH disclosed it was seeking a buyer for its 60% interest in NJS.</t>
  </si>
  <si>
    <t>Davel Communications Inc</t>
  </si>
  <si>
    <t>Pvd pay telephone commun svcs</t>
  </si>
  <si>
    <t>Davel Communications Group acquired all the outstanding common stock of Communications Central for $10.50 in cash per share, or a total value of $102.403 mil, including the assumption of approximately $36.4 mil in liabilities. The transaction was subject to regulatory approval.</t>
  </si>
  <si>
    <t>Cypress Group merged with General Host Corp. Upon completion, CG was renamed GHC. Previously, CG completed its tender offer to acquire all the outstanding common stock of GH for $5.5 in cash per share, or a total value of $326.195 mil, including the assumption of $191.5 mil in liabilities, by accepting 21.98 mil shares. The transaction had been contingent upon a minimum of two-thirds of the shares being tendered and had been subject to Hart-Scott-Rodino regulatory approval.</t>
  </si>
  <si>
    <t>Hambrecht &amp; Quist Group Inc</t>
  </si>
  <si>
    <t>Merrill Lynch &amp; Co Inc</t>
  </si>
  <si>
    <t>Pvd invest bkg,advisory svcs</t>
  </si>
  <si>
    <t>Merrill Lynch &amp; co withdrew its plans to acquire all the outstanding common shares of Hambrecht &amp; Quist Group was. Societe Generale was also mentioned as a possible bidder.</t>
  </si>
  <si>
    <t>MAPCO Inc</t>
  </si>
  <si>
    <t>Gas utility; petro refining</t>
  </si>
  <si>
    <t>Oaktree LLC</t>
  </si>
  <si>
    <t>US - Oaktree LLC, a unit of Williams Cos Inc (Williams) acquired MAPCO in a stock swap transaction valued at $2. 634 bil. Williams offered . 8325 pre-split common shares per MAPCO share. Williams effected a 2-for-1 stock split on Dec 29, 1997. Based on Williams' closing stock price of $55.44 on Nov 21, the last full trading day prior to the announcement, each MAPCO share was valued at $46.15. The transaction was accounted for as a pooling of interests and had been subject to Hart-Scott- Rodino Antitrust regulatory approval.</t>
  </si>
  <si>
    <t>Capital Savings Bancorp Inc,MO</t>
  </si>
  <si>
    <t>Union Planters (UP), Memphis, Tennessee, acquired Capital Savings Bancorp (CS), Jefferson City, Missouri, in a stock swap transaction valued at $46.586 mil. UP offered .3812 UP common shares per CS share. Based on UP's closing stock price of $59.94 on Nov 24, the last full trading day prior to the announcement, each CS share was valued at $22.85. The transaction was subject to federal and state banking regulatory approval.</t>
  </si>
  <si>
    <t>Teleport Communications Group</t>
  </si>
  <si>
    <t>Teleport Communications Group (TCG) acquired all the outstanding common stock of ACC in exchange for $50 in TCG Class A common stock per share, or a total value of $906.809 mil, subject to a collar agreement. The transaction was subject to regulatory approval.</t>
  </si>
  <si>
    <t>MuniYield California Fund</t>
  </si>
  <si>
    <t>Taurus MuniCalifornia Holdings</t>
  </si>
  <si>
    <t>Taurus MuniCalifornia Holdings (TM) acquired MuniYield California Fund (MC) in a stock swap transaction. TM was to offer 1 share for every MC share held.</t>
  </si>
  <si>
    <t>An investor group comprised of JW Childs Equity Partners and management, led by CFO David Dovenberg, acquired all of the outstanding common stock of Universal Hospital Services for $15.50 in cash per share, or a total value of $89.222 mil, in a recapitalization transaction. The transaction had been subject to regulatory approval under the Hart-Scott- Rodino Anti-Trust Improvements Act.</t>
  </si>
  <si>
    <t>Deflecta-Shield Corp</t>
  </si>
  <si>
    <t>Mnfr truck accessories</t>
  </si>
  <si>
    <t>Lund Intl Hldgs Inc</t>
  </si>
  <si>
    <t>Mnfr auto accessories</t>
  </si>
  <si>
    <t>Lund International Holdings (LIH) acquired all the outstanding common stock of Deflecta-Shield (DS) for $16 in cash per share, or a total value of $89.769 mil, including the assumption of $10 mil in liabilities. Concurrently,LIH completed its tender offer by accepting 4,742,411 DS shares. The offer had been conditioned upon a minimum of 50.1% of DS' shares being tendered on a fully-diluted basis.</t>
  </si>
  <si>
    <t>RedFed Bancorp Inc,Redlands,CA</t>
  </si>
  <si>
    <t>Golden State Bancorp Inc (GSB), Glendale, California, acquired RedFed Bancorp Inc (RFB), Redlands, California, in a stock swap transaction valued at $159.549 mil. GSB offered $20.75 in common shares per RFB share. The transaction had been subject to federal and state banking regulatory approval. Concurrently, GSB's board authorized the repurchase of up to $159.549 mil of its common stock.</t>
  </si>
  <si>
    <t>Guy F Atkinson Co</t>
  </si>
  <si>
    <t>Construct roads,bridges,dams</t>
  </si>
  <si>
    <t>Morrison Knudsen terminated its negotiations to acquire all the outstanding stock of bankrupt Guy F Atkinson (GFA). Concurrently, Clark Construction Group agreed to acquire GFA. Previously, in September 1997, bankrupt GFA announced that it was seeking a buyer for the company.</t>
  </si>
  <si>
    <t>National City (NC), Cleveland,Ohio, acquired First of America Bank (FA), Kalamazoo, Michigan, in a stock swap transaction valued at $7.053 bil. NC offered 1.2 common shares per FA share. Based on NC's closing stock price of $66.75 on November 28, the last full trading day prior to the announcement, each FA share was valued at $80.10. The transaction had been subject to federal and state banking regulatory approval and was to be accounted for as a pooling of interests.</t>
  </si>
  <si>
    <t>Raptor Systems Inc</t>
  </si>
  <si>
    <t>Develop security mgmt software</t>
  </si>
  <si>
    <t>AXENT Technologies Inc</t>
  </si>
  <si>
    <t>AXENT Technologies (AT) acquired Raptor Systems (RS) in a stock swap transaction valued at $253.745 mil. AT offered .8 common shares per RS share. Based on AT's closing stock price of $20.75 on Nov 28, the last full trading day prior to the announcement, each RS share was valued at $16.60. The transaction was accounted for as a pooling of interests and had been subject to regulatory approval.</t>
  </si>
  <si>
    <t>Patriot American Hospitality/ Wyndham International (PA) acquired Interstate Hotels Co (IH) in an amended two tiered stock swap transaction valued at $2.055 bil, including the assumption of $790 mil in liabilities. PAH offered $37. 5 in cash per share, or a total of $554.96 mil, for the initial 40% of IH shares. In the second part, PA offered 1. 341 paired common shares and $.429 in cash per IH share, for the remaining 60% interest, valued at $710.92 mil. Based on PA's closing stock price of $23.5625 on June 1, the last full trading day prior to the announcement of the exact terms, each IH share was valued at $32. Previously, PA offered $37.5 in cash or common shares, subject to a collar agreement. Earlier, Meditrust was rumored to be in negotiations to acquire IH for $37 per share.</t>
  </si>
  <si>
    <t>Staodyn Inc</t>
  </si>
  <si>
    <t>Rehabilicare Inc</t>
  </si>
  <si>
    <t>Mnfr electromedical equip</t>
  </si>
  <si>
    <t>Rehabilicare (RH) merged with Staodyn (SD) in a stock swap transaction valued at $22.461 mil. RH offered .829 common shares per SD share. Based on RH's closing stock price of $4 on December 1, the last full trading day prior to the announcement, each SD share was valued at $3.316. The transaction was to be accounted for as a pooling of interests and was subject to regulatory approval.</t>
  </si>
  <si>
    <t>Proactive Technologies (PT) withdrew its agreement to acquire the remaining 55% interest, or 488,077 common shares, that it did not already own, in Killearn Properties (KP) for $9 in cash per share, or a total value of $4.393 mil. Earlier, in May 1996, PT withdrew its plans to acquire all the outstanding common shares of KP in exchange for 4 PT common shares per KP share.</t>
  </si>
  <si>
    <t>Able Telcom Holding Corp</t>
  </si>
  <si>
    <t>Pvd fiber optic design svcs</t>
  </si>
  <si>
    <t>Applied Cellular Technology (ACT) withdrew its unsolicited offer to acquire all the outstanding common shares of Able Telcom Holding (ATH) for $12 in ACT common shares per ATH share, or a total value of $100.45 mil. The transaction was subject to regulatory approval.</t>
  </si>
  <si>
    <t>Wheels Sports Group Inc</t>
  </si>
  <si>
    <t>Publish sports trading cards</t>
  </si>
  <si>
    <t>Racing Champions Corp</t>
  </si>
  <si>
    <t>Racing Champions (RC) acquired Wheels Sports Group (WSG) in a twice amended stock swap transaction valued at $32.866 mil. RC offered . 51 common shares per WSG share. Based on RC's closing stock price of $12.125 on April 20, the last full day of trading prior to the annoucement of amended terms, each WSG share was valued at $6.184. Furthermore, WSG's publicly traded warrants were converted into warrants to purchase RC common shares based on the exchange ratio of 0.51. Two warrants entitled the holder to purchase 0.51 shares of RC common stock at an exercise price of approximately $13.88 per share. Previously, RC offered .7 common shares per WSG share. Originally, RC offered .8 common shares per WSG share held. The transaction was accounted for as a pooling of interests and had been subject to regulatory approval.</t>
  </si>
  <si>
    <t>First American Corp (FAC), Nashville, Tennesse, acquired Deposit Guaranty Corp (DGC), Jackson, Mississippi, in a stock swap transaction valued at $2.647 bil. FAC offered 1. 17 common shares per DGC share. Based on FAC's closing stock of $54.75 on Dec 5, the last full trading day prior to the annoucement, each DGC share was valued at $64.0575. The transaction had been subject to federal and state banking regulatory approval and was to be accounted for as a pooling of interests. Originally in December 1997, DGC was rumored to be seeking a buyer for the company.</t>
  </si>
  <si>
    <t>Angeles Participating Mortgage</t>
  </si>
  <si>
    <t>Starwood Capital Group (SCG) acquired the remaining 30% stake, or 2.265 mil Class A common shares, which it did not already own, in Angeles Participating Mortgage Trust for a net value of $700 mil. SCG offered $1 bil in assets in exchange for 300 mil Class A shares and $300 mil in cash.</t>
  </si>
  <si>
    <t>Somerset Savings Bank,MA</t>
  </si>
  <si>
    <t>UST, located in Boston, Massachusetts, acquired Somerset Savings Bank (SSB), located in Somerville, Massachusetts, in a stock swap transaction valued at $93.733 mil. UST offered 0.19 common shares per SSB share. Based on UST's closing stock price of $29.625 on December 9, the last full trading day prior to the announcement, each SSB share was valued at $5.63. The transaction was accounted for as a pooling of interests and was subject to regulatory approval. Upon completion, SSB was merged into USTrust, UST's principal banking subsidiary.</t>
  </si>
  <si>
    <t>First State Corp,Albany,Ga</t>
  </si>
  <si>
    <t>Regions Financial Corp (RF), Birmingham, Alabama, merged with First State Corp (FS), Albany, Georgia, in a stock swap transaction valued at $161.153 mil. RF offered .56 common shares per FS share. Based on RF's closing stock price on December 11, the last full trading day prior to the announcement, each FS share was valued at $23.38. The transaction was accounted for as a pooling of interests.</t>
  </si>
  <si>
    <t>TriMas Corp</t>
  </si>
  <si>
    <t>Mnfr specialty closures, caps</t>
  </si>
  <si>
    <t>MascoTech Inc</t>
  </si>
  <si>
    <t>MascoTech acquired the remaining 63% interest, or 26 mil common shares, that it did not already own, in TriMas (TM) via a tender offer for $34.5 in cash per share, or a total value of $911.702 mil, by accepting 24. 7 mil common shares. The offer was conditioned upon 53% of TM's shares being tendered and was subject to antitrust regulatory approval.</t>
  </si>
  <si>
    <t>White River Corp</t>
  </si>
  <si>
    <t>Insurance agency;holding co</t>
  </si>
  <si>
    <t>Harvard Private Capital Group</t>
  </si>
  <si>
    <t>Harvard Private Capital Group (HP) acquired all the outstanding common stock of White River (WR) for twice sweetened $90.67 per share in cash, or a total of $676.167 mil. Previously, HP amended its offer to $89 from $82.02 in cash per share. Subsequently, Fund American Enterprises Holdings made a challenging offer to acquire the remaining 86.6% interest which it did not already own in WR for an amended $90 per share from $85.</t>
  </si>
  <si>
    <t>Impact Systems Inc</t>
  </si>
  <si>
    <t>Paper prodn control systems</t>
  </si>
  <si>
    <t>Voith Sulzer Paper Technology</t>
  </si>
  <si>
    <t>Provide paper tech dvlp svcs</t>
  </si>
  <si>
    <t>Voith Sulzer Paper Technology North America Inc (VS), a unit of JM Voith AG's Voith Sulzer Papiertechnik GmbH &amp; Co KG subsidiary, acquired Impact Systems (IS) for $2.75 in cash, per share, or a total value of $28.61. Earlier, VS completed its tender offer to acquire all the outstanding common stock of (IS), including Elsag International's 23% stake, by accepting 10,149,813 shares, or 93% of IS' shares. The offer was subject to regulatory approval.</t>
  </si>
  <si>
    <t>Lukens Inc</t>
  </si>
  <si>
    <t>Mnfr steel plates</t>
  </si>
  <si>
    <t>Bethlehem Steel Corp</t>
  </si>
  <si>
    <t>Bethlehem Steel Corp (BS) acquired Lukens Inc for a sweetened $700.232 mil, including the assumption of about $250 mil in liabilities. BS offered an amended $30 in common stock per Lukens share, subject to a collar agreement, for the initial 32% stake, and $30 in cash for the remaining 68% interest. Previously, BS offered $25 per Lukens common share. Earlier, Allegheny Teledyne withdrew its unsolicited offer to acquire Lukens for $28 in cash per share.</t>
  </si>
  <si>
    <t>Pacific Scientific Co</t>
  </si>
  <si>
    <t>Manufacture electric motors</t>
  </si>
  <si>
    <t>Kollmorgen (KL) withdrew its unsolicted hostile tender offer to acquire all the outstanding common stock of Pacific Scientific (PS) for a sweetened $23.75 in cash per share, or a total value of $304.414 mil. Concurrently, Danaher agreed to acquire PS for $30.25 per share. Originally, KL offered $20.5 per share. The offer was conditioned on a majority of the shares being tendered and was subject to regulatory approval.</t>
  </si>
  <si>
    <t>Timber Lodge Steakhouse Inc</t>
  </si>
  <si>
    <t>Santa Barbara Restaurant Group</t>
  </si>
  <si>
    <t>GB Foods (GB) acquired all the outstanding stock in Timber Lodge Steakhouse TLS) in a stock swap transaction valued at $30.35 mil.. GB offered 0.8276 common shares per TLS share. Based on GB's closing stock price of $10. 125 on December 11, the last full trading day prior to announcement, each TLS share was valued at $8.38.</t>
  </si>
  <si>
    <t>Affiliated Cmnty Bancorp,MA</t>
  </si>
  <si>
    <t>Savings and looan</t>
  </si>
  <si>
    <t>UST Corp (UST), Boston, Massachusetts, acquired Affiliated Community Bancorp Inc (ACB), Waltham, Massachusetts, in a stock swap transaction valued at $272.039 mil. UST offered 1. 41 common shares per ACB share. Based on UST's closing stock price of $28.3125 on December 12, the last full trading day prior to the announcement, each ACB share was valued at $39.92. The trasnsaction had been accounted for as a pooling of interests and had been subject to federal and state regulatory approval.</t>
  </si>
  <si>
    <t>Sovereign Bancorp (SB), located in Wyomissing, Pennsylvania, merged with Carnegie Bancorp (CB), located in Princeton, New Jersey, in a stock swap transaction valued at an amended $105.922 mil. SB offered 2.022 common shares per CB share. Based on SB's closing stock price of $16. 0312 on July 13, the last full trading day prior to the announcement, each CB share was valued at $32.415. Previously, SB offered $35.50 in common stock per CB share, subject to a collar agreement. The transaction had been accounted for as a pooling of interests and had been subject to federal and state banking regulatory approval.</t>
  </si>
  <si>
    <t>Christiana Cos Inc</t>
  </si>
  <si>
    <t>Pvd warehousing,logistical svc</t>
  </si>
  <si>
    <t>EVI Inc</t>
  </si>
  <si>
    <t>EVI acquired all the outstanding common stock of Christiana in a stock swap transaction valued at an estimated $102.829 mil. EVI offered an amended .85433 common shares and an estimated $4 in cash per Christiana share. Based on EVI's closing stock price of $18.75 on February 5, the last full trading day prior to the amendment, each Christiana share was valued at $20.103. Upon completion, Christiana planned to sell its controlling interest in Total Logistic Control (TLC) to a newly formed company called C2, while EVI was to retain the remaining one- third interest in TLC. Originally, EVI offered . 74913 common shares and an estimated $5 in cash per Christiana share. Later, EVI offered .85191 shares and an estimated $4 in cash per share. Concurrently, EVI changed its name to Weatherford International.</t>
  </si>
  <si>
    <t>Gulf South Medical Supply Inc</t>
  </si>
  <si>
    <t>Physician Sales &amp; Service Inc</t>
  </si>
  <si>
    <t>Physician Sales &amp; Service (PS) acquired Gulf South Medical Supply (GS) in a stock swap transaction valued at $678.881 mil. PS offered 1. 75 PS common shares per GS share. Based on PS' closing stock price of $23 on Dec 12, the last full trading day prior to the announcement, each GS share was valued at $40.25. The transaction was accounted for as a pooling of interests and had been subject to regulatory approval. Upon completion, PS was renamed PSS World Medical Inc.</t>
  </si>
  <si>
    <t>Hubco Inc (HI), Mahwah, New Jersey, acquired the remaining 81% interest, which it did not already own, in MSB Bancorp (MSB), Goshen, New York, for $36.02 in HI common stock per MSB share, or a total value of $82.982 mil, in a stock swap transaction. The transaction was to be accounted for as a pooling of interests and had been subject to federal and state banking regulatory approval. Earlier, HI acquired Poughkeepsie Financial (PF) in a stock swaptransaction valued at $142.429 mil. Upon completion of the two transactions, HI was to merge MSB with PF.</t>
  </si>
  <si>
    <t>Family Golf Centers Inc</t>
  </si>
  <si>
    <t>Own and operate golf courses</t>
  </si>
  <si>
    <t>Family Golf Centers acquired all the outstanding common stock of MetroGolf (MG) for $1.5 in cash per share, or a total value of $6.62 mil via a tender offer. Concurrently, John W McCall Investment Group withdrew it plans to raise its stake in MG to at least 50% from a 9.54% stake. The offer had been conditioned upon a majority of the shares being tendered and was subject to regulatory approval.</t>
  </si>
  <si>
    <t>Perpetual Midwest Finl Inc</t>
  </si>
  <si>
    <t>Commercial Federal Corp (CF), Omaha, Nebraska, acquired Perpetual Midwest Financial Inc (PF) in exchange for an amended 1.7 mil common shares, valued at $57.23 mil. The shares were valued based on CF's closing stock price of $33.3125 on May 29, the last full trading day prior to the announcement of the amended terms. Originally, CF offered .58 common shares per PF share. Based on CF's closing stock price of $52.875 on December 12, the last full trading day prior to the announcement, each PF share was valued at $30.67. The transaction had bee subject to federal and state banking regulatory approval.</t>
  </si>
  <si>
    <t>Piper Jaffray Cos</t>
  </si>
  <si>
    <t>Investment bank; holding co</t>
  </si>
  <si>
    <t>US Bancorp, Portland, Oregon, acquired all the outstanding common stock of Piper Jaffray for $37.25 in cash per share, or a total value of $767.823 mil. The transaction was subject to Federal Reserve Board regulatory approval.</t>
  </si>
  <si>
    <t>Sano Corp</t>
  </si>
  <si>
    <t>Elan Corp (EC) acquired Sano Corp (SC) in a stock swap transaction valued at $396. 798 mil. EC offered .655 common shares per SC share held. Based on EC's closing stock price of $53.625 on December 12, the last full trading day prior to the announcement, each SC share was valued at $35.124.</t>
  </si>
  <si>
    <t>Ambassador Apartments Inc</t>
  </si>
  <si>
    <t>Apartment Investment and Management Company (AI) acquired all the outstanding common shares and partnership units of Ambassador Apartments Inc in a stock swap valued at $663 mil, including $400 mil in the assumption of liabilities. AI offered .553 common shares and partnership units per AA share and unit held. Based on AI's closing stock price of $38.125 on May 7, the last full trading day prior to the announcement of the exact terms, each AA share was valued at $21.083.</t>
  </si>
  <si>
    <t>FFVA Financial Corp,VA</t>
  </si>
  <si>
    <t>One Valley Bancorp (OB), Charleston, West Virginia, acquired FFVA Financial (FF), Lynchburg, Virginia, in a stock swap transaction valued at $209.376 mil. OB offered 1. 05 OB common shares per FF share. Based on OB's closing stock price of $40.9375 on Dec 15, the last full trading day prior to the announcement, each FF share was valued at $42.98. The transaction was to be accounted for as a pooling of interests and had been subject to federal and state banking regulatory approval.</t>
  </si>
  <si>
    <t>Franklin Bancorp,Washington,DC</t>
  </si>
  <si>
    <t>BB&amp;T Corporation (BT), Winston-Salem, North Carolina, acquired Franklin Bancorp Inc (FB), Washington, District of Columbia, in a stock swap transaction valued at $160.165 mil. BT offered . 3522 common shares per FB share. Based on BT's closing stock price of $63.75 on December 15, the last full trading day prior to the announcement, each FB share was valued at $22.45. The transaction was accounted for as a pooling of interests and had been subject federal and state banking regulatory approval.</t>
  </si>
  <si>
    <t>Matrix Service Co</t>
  </si>
  <si>
    <t>Pvd constr svcs</t>
  </si>
  <si>
    <t>ITEQ withdrew its plans to acquire Matrix Service (MS) in a stock swap transaction valued at $104.058 mil. ITEQ had offered a choice of $10 in cash or .83 common shares per MS share held, with a maximum of 50% and minimum of 30% of the consideration to be paid in cash. The transaction had been subject to regulatory approval.</t>
  </si>
  <si>
    <t>Siliconix Inc(AEG AG)</t>
  </si>
  <si>
    <t>Vishay Intertechnology acquired, 8 mil common shares, or about an 80.32% interest in Siliconix Inc from AEG AG, a unit of Daimler-Benz AG. Terms were not disclosed.</t>
  </si>
  <si>
    <t>Spine-Tech Inc</t>
  </si>
  <si>
    <t>Mnfr spinal implants</t>
  </si>
  <si>
    <t>Sulzer Medica AG</t>
  </si>
  <si>
    <t>Mnfr medical implants</t>
  </si>
  <si>
    <t>SulzerMedica (SM), a unit of Gebrueder Sulzer AG, merged with Spine-Tech Inc (ST) for $52 in cash per share, or a total value of $621.124 mil. Earlier, SM completed its tender offer to acquire all the outstanding common stock of ST by accepting 9,203,918 shares, or 90% of the common stock outstanding. The offer had been conditioned upon a minimum of 50% of ST's shares being tendered and subject to regulatory approval under the Hart-Scott-Rodino Antitrust Act.</t>
  </si>
  <si>
    <t>Company Doctor</t>
  </si>
  <si>
    <t>Own,op health facilities</t>
  </si>
  <si>
    <t>HealthSouth (HS) acquired Company Doctor (CD) in a stock swap transaction valued at $19.68 mil. HS offered . 142 HS common shares per CD share. Based on HS's closing stock price of $28.25 on Dec 16, the last full trading day prior to the announcement, each CD share was valued at $4.01. The transaction was to be accounted for as a pooling of interests.</t>
  </si>
  <si>
    <t>Oasis Residential Inc</t>
  </si>
  <si>
    <t>Camden Property Trust (CPT) acquired Oasis Residential (OR) in a stock swap transaction valued at $395. 203 mil. CPT offered 0.759 common shares per OR share held and one CPT preferred share per OR preferred share. Based on CPT's closing stock price of $32 on December 16, the last full trading day prior to the annoucement, each OR share was valued at $24.288. The transaction had been subject to regulatory approval.</t>
  </si>
  <si>
    <t>RFS Hotel Investors Inc</t>
  </si>
  <si>
    <t>RFS Hotel Investor (RFS) was rumored to have been seeking a buyer for the company. Earlier, in December 1997, RFS was rumored to be seeking a buyer for the company.</t>
  </si>
  <si>
    <t>Southwest Bancshares Inc,IL</t>
  </si>
  <si>
    <t>Alliance Bancorp</t>
  </si>
  <si>
    <t>Alliance Bancorp (AB), Chicago, Illinois, acquired Southwest Bancshares (SB), Hometown, Illinois, in a stock swap transaction valued at $90.061 mil. AB offered 1. 1981 common shares per SB share, subject to a collar agreement. Based on AB's closing stock price of $27 on Dcember 16, the last full trading day prior to the announcement, each SB share was valued at $32.35. The transaction was accounted for as a pooling of interests and had been subject to federal and state banking regulatory approval. Concurrently, AB was granted a call option to acquire a 9.9% stake in SB.</t>
  </si>
  <si>
    <t>Suburban Ostomy Supply Co Inc</t>
  </si>
  <si>
    <t>Whl medical and hospital equip</t>
  </si>
  <si>
    <t>Invacare acquired all the outstanding common stock of Suburban Ostomy Supply (SS) via a tender offer for $11.75 in cash per share, or a total value of $130.793 mil. The offer was conditioned on at least 66.67% of SS's shares being tendered on a fully diluted basis and had been subject to regulatory approval.</t>
  </si>
  <si>
    <t>Aerial Communications Inc</t>
  </si>
  <si>
    <t>Telephone and Data Systems (TDS) withdrew its intentions to spin off an 80% interest in its Aerial Communications (AC) unit to its shareholders as part of a restructuring program. Previously, TDS withdrew its plans to acquire the remaining 17.5% stake, it did not already own, in AC for $102.59 mil, and the remaining 18.9% stake in United States Cellular (UC) for $537.84 mil. Subsequently, TDS disclosed intentions to spinoff 80% of the wholly owned subsidiaries, including UC and TDS Telecommunications, through the issuance of new TDS Telecom tracking stock.</t>
  </si>
  <si>
    <t>Telephone &amp; Data Systems Inc</t>
  </si>
  <si>
    <t>Telephone and Data Systems (TD) withdrew its agreement to acquire the remaining 17. 5% stake, or 12.5 mil common shares, it did not already own, in Aerial Communications (AC) for $107.555 mil. The consideration was to consist of 1 new AC tracking share for each current AC share held. The total value was based on AC's closing stock price of $8.1875 on December 17, the last full trading day prior to the announcement. Concurrently, TD planned to acquire the remaining 18.9% stake, it did not already own, in United States Cellular (UC) for $537.84 mil. Subsequently, TD planned to spin off 80% of AC, UC and TDS Telecommunications through the issuance of new TDS Telecom tracking shares to existing TDS share holders. The transaction was subject to federal and state regulatory approval.</t>
  </si>
  <si>
    <t>North Bancshares,Chicago,IL</t>
  </si>
  <si>
    <t>Success Bancshares,Illinois</t>
  </si>
  <si>
    <t>Offices of bank holding cos</t>
  </si>
  <si>
    <t>Success Bancshares (SB), Lincolnshire, Illinois, withdrew an unsolicited hostile offer to acquire the remaining 99.32% interest, or 949,208 common shares, which did not already own in North Bancshares (NB) in a stock swap transaction valued at $34.61 mil. SB offered 2.41 common shares per NB share held. Based on SB's closing stock price of $13.9375 on December 17, the last full trading day prior to the announcement, each NB share was valued at $33.59. The transaction was subject to federal and state banking regulatory approval.</t>
  </si>
  <si>
    <t>United States Cellular Corp</t>
  </si>
  <si>
    <t>Telephone and Data Systems (TDA) withdrew intentions to spin off 80% of its United States Cellular (UC) unit to its shareholders as part of restructuring program. TDA shareholders owning Series A common shares and common shares were to receive new tracking shares. Previously, TDA planned to acquire the remaining 18.9% stake, it did not already own, in US for $537.84 mil. Concurrently, TDA withdrew its plans to acqurie the remaining 17.5% stake, it did not already own, in Aeriel Communications (AC) , for $102.59 mil. Subsequently, TDA disclosed intentions to spinoff 80% interest in these wholly owned subsidiaries, including UC, AC and TDS Telecommunications, through the issuance of new TDS Telecom tracking shares.</t>
  </si>
  <si>
    <t>Telephone and Data Systems (TD) acquired the remaining 19.27% stake, or 16.3 mil common shares, which it did not already own, in United States Cellular (UC), as part of its restructuring program, for $539.22 mil. UC shareholders were to receive 1new UC tracking share for each current UC share held. The shares were valued based on UC's closing stock price of $33 on December 17, the last full closing day prior to the announcement. Concurrently, TD withdrew its plans to acquire the remaining 17.5% stake, it did not already own, in Aerial Communications (AC) for $102. 59 mil. Subsequently, TD planned to spinoff 80% of UC, AC, and TDS Telecommunications through the issuance of new TDS Telecom tracking shares. The transaction was subject to federal and state regulatory approval.</t>
  </si>
  <si>
    <t>ASR Investments Corp</t>
  </si>
  <si>
    <t>United Dominion Realty Trust (UDRT) acquired ASR Investments (ASR) in a stock swap transaction valued at $277 mil, including the assumption of $167 mil in liabilities. UDRT offered 1. 575 common shares per ASR share. Based on UDRT's closing stock price of $14, on December 18, each ASR share was valued at $22.05. The transaction was to be accounted for as a pooling of interests and had been subject to regulatory approval.</t>
  </si>
  <si>
    <t>Chemi-Trol Chemical Co</t>
  </si>
  <si>
    <t>Mnfr steel pressure tanks</t>
  </si>
  <si>
    <t>Harsco acquired all the outstanding common stock of Chemi-Trol Chemical for $23 in cash per share, or a total value of $46.11 mil.</t>
  </si>
  <si>
    <t>Continental Homes Holding</t>
  </si>
  <si>
    <t>Construct, design homes</t>
  </si>
  <si>
    <t>DR Horton Inc</t>
  </si>
  <si>
    <t>Pvd residential constr svcs</t>
  </si>
  <si>
    <t>DR Horton (DR) acquired Continental Homes Holding (CH) in a stock swap transaction valued at approximately $590. 18 mil, including the assumption of about $278 mil in liabilities. DR offered 2. 3 DR common shares per CH share. Based on DR's closing stock price of $19.25 on Dec 18, the last full trading day prior to the announcement, each CH share was valued at $44.275. The transaction was accounted for as a pooling of interests.</t>
  </si>
  <si>
    <t>First Home Bancorp Inc,NJ</t>
  </si>
  <si>
    <t>US - Sovereign Bancorp (SB), Wyomissing, Pennsylvania, acquired First Home Bancorp (FHB), Pennsville, New Jersey, in a stock swap transaction valued at an amended $79.242 mil. SB offered 1.779 common shares per FHB share. Based on SB's closing stock price of $16.03125 on July 31, the last full trading price prior to the announcement, each FHB share was valued at $28.519. Previoulsy, SB offered $31.25 in common stock per FHB common share, subject to a collar agreement. The transaction had been accounted for as a pooling of interests and had been subject to federal and state banking regulatory approval.</t>
  </si>
  <si>
    <t>IPC Information Systems Inc</t>
  </si>
  <si>
    <t>Mnfr telecommun equip</t>
  </si>
  <si>
    <t>Cable Systems International</t>
  </si>
  <si>
    <t>Cable Systems International, a unit of Cable Systems Holding, acquired a 90% interest in IPC Information Systems (IPC) for $21 in cash per share, or a total value of $201.697, in a leveraged recapitalization transaction. Alternatively, IPC shareholders were to receive up to a 46% stake in the new company.</t>
  </si>
  <si>
    <t>NCF Financial Corp</t>
  </si>
  <si>
    <t>Community Bank Shares of IN</t>
  </si>
  <si>
    <t>Community Bank Shares (CBS) of Indiana acquired NCF Financial in a stock swap transaction valued at $16.348 mil. CBS offered 0.935 common share per NCF share. Based on CBS' closing stock price of $21.5 on December 18, the last full trading day prior to the announcement, each NCF share was valued at $21.1025. The transaction had been accounted for as a pooling of interests and was subject to federal and state banking regulatory approval.</t>
  </si>
  <si>
    <t>Network Long Distance Inc</t>
  </si>
  <si>
    <t>Pvd radiotelecommunication svs</t>
  </si>
  <si>
    <t>IXC Communications Inc</t>
  </si>
  <si>
    <t>Pvd long distance tele svcs</t>
  </si>
  <si>
    <t>IXC Communications (IXC) acquired Network Long Distance (NLD) in a stock swap transaction valued at $122.212 mil. IXC offered . 2998 common shares per NLD share. Based on IXC's closing stock price of $31 on Dec 18, the last full trading day prior to the announcement, each NLD share was valued at $9.294. The transaction was to be accounted for as a pooling of interests. Upon completion, NLD changed its name to Eclipse Telecommunications. Originally in January 1997, NLD announced it was seeking a buyer for the company.</t>
  </si>
  <si>
    <t>Panavision Inc</t>
  </si>
  <si>
    <t>Mnfr camera systems</t>
  </si>
  <si>
    <t>Mafco Holdings Inc</t>
  </si>
  <si>
    <t>Mnfr toilet preparations</t>
  </si>
  <si>
    <t>Mafco Holdings Inc (MH) raised its stake to 97% from 49%, by acquiring 11,190,960 common shares, in Panavision Inc (PI) from Warburg Pincus Capital, for $26.5 in cash per share, or a total value of $296.56 mil. Concurrently, MH raised its stake to 49% from 25%, by acquiring 5,466, 120 common shares, in PI for $27 in cash per share, or a total value of $147.585 mil. Earlier, MH acquired a 25%stake, or 5,784,199 common shares, in PI for $26.69 per share, or a total value of $154.38 mil. Upon completion, shareholders retained the remaining 3%, or 745,380 common shares in PI.</t>
  </si>
  <si>
    <t>Showboat Inc</t>
  </si>
  <si>
    <t>Own,operate hotel casinos</t>
  </si>
  <si>
    <t>Harrah's Entertainment Inc</t>
  </si>
  <si>
    <t>Own,op casinos,hotels</t>
  </si>
  <si>
    <t>US - Harrah's Entertainment Inc acquired all the outstanding common stock of Showboat Inc for $30.75 in cash per share, or a total value of $1.147 bil, including the assumption of $635 mil in liabilities.</t>
  </si>
  <si>
    <t>Software Artistry Inc</t>
  </si>
  <si>
    <t>Develop help-desk software</t>
  </si>
  <si>
    <t>Tivoli Systems (TS), a unit of International Business Machines {IBM}, merged with Software Artistry (SA) for $24.5 in cash per share, or a total value of $201.882 mil. Earlier,TV completed its tender offer for SA by accepting 6.486 mil shares, or 95% of SA's common stock outstanding. The transaction had been subject to regulatory approval under the Hart-Scott-Rodino Antritrust Act. Upon completion, SA was merged into TS.</t>
  </si>
  <si>
    <t>Symetrics Industries Inc</t>
  </si>
  <si>
    <t>Mnfr communications equip</t>
  </si>
  <si>
    <t>Tel-Save Holding acquired all the outstanding common stock of Symetrics Industries for $15 per share, or a total value of $24.967 mil, by accepting approximately 1.711 mil shares.</t>
  </si>
  <si>
    <t>American Bankers Ins Group Inc</t>
  </si>
  <si>
    <t>American International Group (AIG) terminated its definitive agreement to acquire American Bankers Insurance Group (ABIG) in a stock swap transaction valued at a sweetened $2.717 bil. AIG offered a choice of either $58 in cash or common stock per ABIG share held, with a maximum of 50% of the consideration to be paid in cash. Previously, AIG offered a choice of either $47 in cash or common stock per ABIG share held, with a maximum of 50% of the consideration to be paid in cash. The transaction was subject to regulatory approval. Concurrently, Cendant Corp launched a challenging tender offer to acquire all the outstanding common stock of ABIG for $67 per share.</t>
  </si>
  <si>
    <t>Artistic Greetings Inc</t>
  </si>
  <si>
    <t>Mnfr personalized stationery</t>
  </si>
  <si>
    <t>MDC Communications Corp</t>
  </si>
  <si>
    <t>Pvd secure trans,prods svcs</t>
  </si>
  <si>
    <t>MDC Communications acquired all the outstanding common stock of Artistic Greetings (AG) for $5.70 in cash per share, or a total value of $33.603 mil. Concurrently, as part of the merger, Artistic Direct agreed to acquire the non-check assets of AG. Originally in September 1997, AG announced that it was seeking a buyer for the company.</t>
  </si>
  <si>
    <t>Boardwalk Casino Inc</t>
  </si>
  <si>
    <t>Own,op hotel resort,casino</t>
  </si>
  <si>
    <t>Mirage Resorts Inc</t>
  </si>
  <si>
    <t>Mirage Resorts (MR) acquired all the outstanding common stock of Boardwalk Casino (BC) . Terms were not disclosed. Originally, MR had agreed to acquire a 53% interest, or 3. 8 mil common shares for $5 in cash per share, or a total value of $19 mil.</t>
  </si>
  <si>
    <t>American Electric Power Co Inc</t>
  </si>
  <si>
    <t>Pvd electric utility services</t>
  </si>
  <si>
    <t>American Electric Power (AEP) merged with Central &amp; South West (CSW) in a stock swap transaction valued at $6.662 bil. AEP offered .6 common shares per CSW share. Based on AEP's closing stock price of $52 on December 19, the last full trading day prior to the announcement, each CSW share was valued at $31.20. Upon completion, CSW held approximately 40% of the merged company, which retained the AEP name. The transaction was accounted for as a pooling of interests and was subject to regulatory approval. Subsequently, Teco Power Services, a unit of Teco Energy Inc, agreed to acquire Frontera Power Station, a 500-megawatt power plant, from AEP. The divestiture was consistent with regulatory requirements in connection to AEP's merger with CSW.</t>
  </si>
  <si>
    <t>Dynatech Corp</t>
  </si>
  <si>
    <t>A management-led investor group, including Clayton Dubilier &amp; Rice (CDR), acquired a 94.7% interest, or 15.977 mil common shares, in Dynatech (DT) for $47.75 in cash per share, or a total value of $762.92 mil, in a leveraged buyout transaction. Upon completion, CDR was to hold a 70% interest in DT.</t>
  </si>
  <si>
    <t>Essex County Gas Co</t>
  </si>
  <si>
    <t>Eastern Enterprises</t>
  </si>
  <si>
    <t>Gas utility holding company</t>
  </si>
  <si>
    <t>Eastern Enterprises (EFU) acquired Essex County Gas (ECG) in a stock swap transaction valued at $79.23 mil. EFU offered 1.184 common shares per EGC share, subject to a collar agreement. Based on EFU's closing stock price of $41.6875 on December 19, the last full trading day prior to the announcement, each ECGC share was valued at $49.358. The transaction was accounted for as a pooling of interest and was subject to regulatory approval.</t>
  </si>
  <si>
    <t>Allegheny Teledyne withdrew its unsolicited offer to acquire all the outstanding common stock of Lukens for $28 in cash per share, or a total value of approximately $668.354 mil, including the assumption of about $250 mil in liabilities. Subsequently, Bethlehem Steel amended its definitive agreement to acquire Lukenstp $30 per share, or a total value of $700.232 mil, including the assumption of $250 mil in liabilities.</t>
  </si>
  <si>
    <t>American Paging Inc</t>
  </si>
  <si>
    <t>TSR Wireless Holdings LLC</t>
  </si>
  <si>
    <t>TSR Paging Inc (TSRP) acquired a 70% interest in American Paging Inc (API), a unit of Telephone and Data System Inc (TDS). Concurrently, TDS agreed to acquire the remaining 18% stake, or 3,624,389 shares which it did not already own, in API for $2.25 in cash per share, or a total value of $8. 155 mil. Upon completion, TSRP's changed its name to TSR Wireless LLC (TSRW). TSRP was to hold a 70% interest and TDS was to hold the remaining 30% stake in TSRW.</t>
  </si>
  <si>
    <t>US - Telephone and Data System Inc (TDS) acquired the remaining 18% stake, or 3,624, 389 shares which it did not already own, in API via a tender offer for $2.50 in cash per share, or a total value of $9.061 mil, by accepting 2.3 mil shares or 11.4% of API. Concurrently, TSR Paging Inc (TSRP) disclosed intentions to acquire all the outstanding stock of American Paging Inc (API) from TDS. Upon completion, API was to be merged with TSRP's paging operations to form a new company named TSR Wireless LLC (TSRW). TSRP was to hold a 70% interest and TDS was to hold the remaining 30% stake in TSRW.</t>
  </si>
  <si>
    <t>Clark Construction Group</t>
  </si>
  <si>
    <t>Pvd residential construct svcs</t>
  </si>
  <si>
    <t>Clark Construction Group acquired all the outstanding common stock of Guy F Atkinson(GFA). Terms were not disclosed. Previously, in September 1997, bankrupt GFA announced that it was seeking a buyer for its assets. Subsequently, Morrison Knudsen disclosed intentions to acquire GFA.</t>
  </si>
  <si>
    <t>O'Reilly Automotive Inc</t>
  </si>
  <si>
    <t>Ret,whl auto aftermarket parts</t>
  </si>
  <si>
    <t>O'Reilly Automotive Inc (OR) acquired a 90.4% interest, of 9,776,550 common shares, Hi- Lo Automotive (HL) $4.35 in cash per share, or a total value of $42.53 mil via its tender offer all the outstanding stock. The offer was conditioned upon at least a majority of HL's shares being tendered and had been subject to Hart-Scott-Rodino antitrust regulatory approval. Previously, Discount Auto Parts Inc withdrew its agreement to merge with HL in a stock swap transaction valued at $35.936 mil.</t>
  </si>
  <si>
    <t>JC Nichols Co</t>
  </si>
  <si>
    <t>Provide building svcs</t>
  </si>
  <si>
    <t>Highwood Properties (HP) acquired JC Nichols (JC) in a stock swap for an amended $558.09 mil, including the assumption of approximately $250 mil in liabilities. HP offered a choice of 2.03 common shares per JC share or an equivalent amount in cash, where cash was not to exceed 40% of the consideration offered. Previously, HP offered $65 in cash or common shares per JC share. Originally, HP offered a choice of $65 in cash or 1.84 HP common shares per JC share, whereby no more than 40% of the total consideration was to be paid in cash. Subsequently, an investor group including Duke Realty Investments and Simon DeBartolo Group withdrew their unsolicited challenging offer to acquire JC at $75 per share.</t>
  </si>
  <si>
    <t>Union Corp</t>
  </si>
  <si>
    <t>Pvd adjustment collection svcs</t>
  </si>
  <si>
    <t>Outsourcing Solutions Inc</t>
  </si>
  <si>
    <t>Pvd outsourcing svcs</t>
  </si>
  <si>
    <t>Outsourcing Solutions acquired all the outstanding common stock of Union Corp (UC) for $31.50 in cash per share, or a total value of $193.034 mil. Previously, OS completed its tender offer by accepting 5,205,762 shares, or 79.5% of UC's shares. The transaction had been subject to Hart-Scott-Rodino regulatory approval.</t>
  </si>
  <si>
    <t>Ocean Energy Inc</t>
  </si>
  <si>
    <t>Ocean Energy (OE) merged with United Meridian (UM) to form a new company (NC) in a merger-of-equals stock swap transaction valued at $1.032 bil. UM shareholders were to receive 1.3 NC common shares and OE shareholders were to receive 2.34 NC common shares per share held. Based on OE's closing stock price of $50 on Dec 22, the last full trading day prior to the announcement, each UM share was valued at $27.78. The transaction was to be accounted for as a pooling of interests and was subject to regulatory approval. Upon completion the new company was renamed Ocean Energy Inc.</t>
  </si>
  <si>
    <t>Orion Acquisition Corp II</t>
  </si>
  <si>
    <t>DVM Pharmaceuticals Inc</t>
  </si>
  <si>
    <t>Mnfr,whl veterinary products</t>
  </si>
  <si>
    <t>US - DVM Pharmaceuticals Inc, a unit of IVAX Corp, signed a letter of intent to merge with Orion Acquisition Corp II, an investment firm, to form a new company named DVM Pharmaceuticals Inc.</t>
  </si>
  <si>
    <t>United Fed Svgs Bk,Rocky Mount</t>
  </si>
  <si>
    <t>Triangle Bancorp,Raleigh,NC</t>
  </si>
  <si>
    <t>Triangle Bancorp (TB), Raleigh, North Carolina, merged with United Federal Savings Bank (UFSB), Rocky Mount, North Carolina, in a stock swap transaction valued at an amended $51.276 mil. TB offered 1.098 common shares per UFSB share. Based on TB's closing stock price of $15. 1875 on August 31, the final trading day prior to the announcement of the amendment, each UFSB share was valued at $16.676. Originally, TB definitively agreed to merge with USFB in a stock swap valued at $67.788 mil. TB offered 0.63 common shares per UFSB share. The transaction was to be accounted for as a pooling of interests and was subject to regulatory approval. Upon completion, UFSB was to be merged into TB's Triangle Bank subsidiary.</t>
  </si>
  <si>
    <t>Zions Bancorp (ZB), Escondido, California, acquired FP Bancorp (FPB), Salt Lake City, Utah, in a stock swap transaction valued at $81.194 mil. ZB offered . 627 common shares per FPB share. Based on ZB's closing stock price of $43.50 on December 26, the last full trading day prior to the announcement, each FPB share was valued at $27.2745. The transaction was accounted for as a pooling of interests and was subject to federal and state banking regulatory approval.</t>
  </si>
  <si>
    <t>Heartstream Inc</t>
  </si>
  <si>
    <t>Mnfr defibrillators</t>
  </si>
  <si>
    <t>Hewlett Packard (HP) acquired Heartstream (HS) in a stock swap transaction valued at $130.638 mil. HP offered .173433 common shares per HS share. Based on HP's closing stock price of $63. 875 on March 26, the last full trading day prior to the announcement of exact terms, each HS share was valued at $11.078. The transaction had been subject to regulatory approval.</t>
  </si>
  <si>
    <t>Holmes Protection Group Inc</t>
  </si>
  <si>
    <t>Provide security systems svcs</t>
  </si>
  <si>
    <t>Tyco International (TI) merged with Holmes Protection Group (HP) for $17 in cash per share, or a total value of $117.142 mil. Earlier, TI completed its tender offer to acquire all the outstanding common stock of HP by accepting 97% of HP's shares. The offer had been conditioned upon a majority of the shares being tendered and subject to regulatory approval.</t>
  </si>
  <si>
    <t>Joachim Bancorp Inc,De Soto,MO</t>
  </si>
  <si>
    <t>First State Bancshares Inc,MO</t>
  </si>
  <si>
    <t>First State Bancshares Inc, Farmington, Missouri, acquired all the outstanding common stock of Joachim Bancorp Inc, De Stoto, Missouri, for $17.25 in cash per share, or a total value of $12.761 mil. The transaction was subject to federal and state banking regulatory approval.</t>
  </si>
  <si>
    <t>SuburbFed Financial Corp</t>
  </si>
  <si>
    <t>Citizens Financial Services,IN</t>
  </si>
  <si>
    <t>Pvd svgs,loans svcs</t>
  </si>
  <si>
    <t>CFS Bancorp Inc (CBI), formerly Citizens Financial Services, acquired SuburbFed Financial Corp (SFC).</t>
  </si>
  <si>
    <t>A management-led investor group, including Chase Capital Partners, acquired an undisclosed majority interest in Home Products International Inc, in a leveraged buyout transaction.</t>
  </si>
  <si>
    <t>Sterling West Bancorp,CA</t>
  </si>
  <si>
    <t>Pacific Bank NA, San Francisco, California, acquired all the outstanding common stock of Sterling West Bancorp, Los Angeles, California, for $7.11 in cash per share, or a total value of $12.1596 mil. The transaction had been subject to federal and state banking regulatory approval.</t>
  </si>
  <si>
    <t>Lone Star Technologies Inc</t>
  </si>
  <si>
    <t>Mnfr steel pipes,tubes</t>
  </si>
  <si>
    <t>In Dec 97, investor Robert Bass was rumored to plan to acquire the remaining 75% interest, which he did not already own in Lone Star Technologies. The Current status of this deal is unknown.</t>
  </si>
  <si>
    <t>Red Lion Inns LP</t>
  </si>
  <si>
    <t>Boykin Lodging Co</t>
  </si>
  <si>
    <t>Boykin Lodging (BL) acquired all the outstanding limited partnership units of Red Lions Inns LP (RL) for $276. 045 mil. The consideration consisted of $8.34 in cash and .735 BL common shares per RL unit, and the assumption of $155.875 mil in liabilities. The units were valued based on BL's closing stock price of $21.75 on May 21, the last full trading day prior to the announcement of the exact terms.</t>
  </si>
  <si>
    <t>GoodMark Foods Inc</t>
  </si>
  <si>
    <t>Produce meat snacks</t>
  </si>
  <si>
    <t>ConAgra Inc (CA) merged with GoodMark Foods Inc (GMF) in a stock swap transaction valued at $217.801 mil. CA offered 1. 08108 common shares for every GMF share held. The value was based on CA's closing stock price of $26.4375 on July 30, the last full trading day prior to amendment of the terms, each GMF share was valued at $28.58. Originally, CA offered $30 in common stock per GMF share, subject to a collar agreement.</t>
  </si>
  <si>
    <t>NACT Telecommunications(GST)</t>
  </si>
  <si>
    <t>Whl,pvd telecom equip,svcs</t>
  </si>
  <si>
    <t>World Access Inc</t>
  </si>
  <si>
    <t>World Access (WA) raised its stake to 68% from 5% in NACT Telecommunications (NT), a 63%-owned unit of GST Telecommunications (GST), by acquiring GST's entire holding in NT for $93.2 mil in a stock swap transaction, subject to a collar agreement. The consideration consisted of $59.6 mil in cash and 1, 429,907 common shares. The stock portion of the consideration was valued at $33.6 mil, based on WA closing stock price of $23.5 on February 26, the last full trading day prior to disclosure of definitive terms. Originally in September 1997, GST announced that it was seeking a buyer for its 63% interest, or 5.1 mil common shares, in NT. Under the original agreement, WA was to acquire only approximately 4.1 mil common shares in NT. Subsequently, WA intended to launch a tender offer to acquire the remaining 32%.</t>
  </si>
  <si>
    <t>Meditrust Acquisition Co</t>
  </si>
  <si>
    <t>Meditrust (MA) acquired La Quinta Inns (LQI) in a stock swap transaction valued at approximately $2.907 bil, including the assumption of about $900 mil in liabilities. MA offered a choice of $26 in cash or common stock per LQI share, subject to a collar agreement, and with the cash consideration subject to a maximum of $521 mil. The transaction had been subject to regulatory approval.</t>
  </si>
  <si>
    <t>LBMS</t>
  </si>
  <si>
    <t>Provide quoted computer svcs</t>
  </si>
  <si>
    <t>PLATINUM Technology (PT) Inc acquired Learmonth &amp; Burchett Management Systems (LB) in a stock swap transaction valued at $82.006 mil. PT offered . 1047 common shares for every LB ordinary share held and . 2094 shares for every American Depository Receipt held. Based on PT's closing stock price of $27.8125 on January 2, the last full trading day prior to the announcement, each LB share was valued at $2.912. The transaction was to be accounted for as a pooling of interests.</t>
  </si>
  <si>
    <t>ValueVision International (VVI) withdrew its agreement to merge with National Media (NM) to form Quantum Direct Corp (QD) in a stock swap transaction valued at $88.449 mil. NM common shareholders were to receive 1 QD common share and VVI common shareholders were to receive 1.19 QD common shares per share held. Based on VVI's closing stock price of $3.875 on January 2, the last full trading day prior to the announcement, each NM share was valued at $3.256. Upon completion, VVI shareholders were to hold a 55% interest in QD, while NM shareholders were to hold the remaining 45% stake. Subsequently, an investor group made a challenging offer to acquire all the outstanding common stock of VVI.</t>
  </si>
  <si>
    <t>Southern New England Telecomm</t>
  </si>
  <si>
    <t>SBC Communications (SBC) acquired Southern New England Telecommunications (NE) in a stock swap transaction valued at $5.829 bil, including the assumption of $1.4 bil in liabilities. SBC offered . 8784 SC common shares per NE share. Based on SC's closing stock price of $74.9375 on Jan 2, the last full trading day prior to the announcement, each NE share was valued at $65.83. The transaction was accounted for as a pooling of interests and was subject to Connecticut Department of Public Utilities Control and Hart-Scott-Rodino Antitrust regulatory approvals.</t>
  </si>
  <si>
    <t>DBA Systems Inc</t>
  </si>
  <si>
    <t>Dvlp digital imaging systems</t>
  </si>
  <si>
    <t>Titan Corp</t>
  </si>
  <si>
    <t>Titan Corp (TC) acquired DBA Systems Inc (DBA) in a stock swap transaction valued at $37.939 mil. TC offered 1.37 shares per DBA share. Based on TC's closing stock price of $6.1875 on January 5, the last full trading day prior to the announcement, each DBA share was valued at $8.477. The transaction was to be accounted for as a pooling of interests.</t>
  </si>
  <si>
    <t>Qwest Communications Corp</t>
  </si>
  <si>
    <t>Qwest Communications International acquired all of the outstanding common stock of Phoenix Network (PN) in a stock swap transaction values at approximately $31.2 mil. Consideration was to consist of up to $4 mil in cash plus $27.2 mil in QC common stock. The transaction was subject to regulatory approval Previously, in October 1997, PN announced that it was seeking a buyer for the company.</t>
  </si>
  <si>
    <t>Schult Homes Corp</t>
  </si>
  <si>
    <t>Oakwood Homes Corp</t>
  </si>
  <si>
    <t>Mnfr,ret factory-built homes</t>
  </si>
  <si>
    <t>Oakwood Homes (OH) acquired all the outstanding common stock of Schult Homes for $22. 5 in cash per share, or a total value of $101.42 mil. The transaction had been subject to regulatory approval.</t>
  </si>
  <si>
    <t>Miners Bank of Lykens</t>
  </si>
  <si>
    <t>Mid Penn Bancorp Inc,PA</t>
  </si>
  <si>
    <t>Mid Penn Bank (MPB) located in Millersburg, Pennsylvania, a unit of Mid Penn Bancorp, acquired all the outstanding common shares of Miners Bank of Lykens (MPL), Pennsylavania, in a an exchange for 148,250 common shares valued at $4.41 mil. The shares were valued based on MPB closing stock price of $29.75 on July 10, the last full trading day prior to the announcement of the exact terms. The transation was accounted for as a pooling of interests and had been subject to federal and state banking regulatory approval.</t>
  </si>
  <si>
    <t>GenCorp Inc</t>
  </si>
  <si>
    <t>Mnfr propulsion system</t>
  </si>
  <si>
    <t>GenCorp terminated its unsolicited challenging offer to acquire all the outstanding common stock of Sybron Chemicals (SC) for $38 in cash per share, or a total value of $223.598 mil. Previously, an investor group comprised of Citicorp Venture Capital and management, led by President Richard Klein and Executive Vice President John Schroeder definitively agreed to acquire the remaining 55% interest, which it did not already own, in SC for $34.50 in cash per share, or a total value of $114.518 mil.</t>
  </si>
  <si>
    <t>Rayonier Timberlands LP</t>
  </si>
  <si>
    <t>Own,op timber tracts</t>
  </si>
  <si>
    <t>Rayonier Inc</t>
  </si>
  <si>
    <t>Mnfr logs,timber</t>
  </si>
  <si>
    <t>Rayonier Inc acquired the remaining 25.3% interest, or 5.06 mil Class A Depositary Units, which it did not already own, in Rayonier Timberlands LP for $13 in cash per share, or a total value of $65.78 mil.</t>
  </si>
  <si>
    <t>AT&amp;T Corp acquired Teleport Communications Group (TC), including a 28.5% stake held by TCI Ventures Group, in a stock swap transaction valued at $11.188 bil, including the assumption of about $1.12 bil in liabilities. AT&amp;T offered . 943 common shares per TC share. Based on AT&amp;T's closing stock price of $60 on Jan 7, the last full trading day prior to the announcement, each TC share was valued at $56.58. The transaction had been subject to Hart-Scott- Rodino and Federal Communications Commission regulatory approval and was accounted for as a pooling of interests. Originally, AT&amp;T was rumored to be in negotiations to acquire TC.</t>
  </si>
  <si>
    <t>Fort Wayne Natl Corp,Indiana</t>
  </si>
  <si>
    <t>National City Corp (NC), Cleveland, Ohio, acquired all the outstanding stock in Fort Wayne National Corp (FW), Fort Wayne, Indiana, in a stock swap transaction valued at $767.63 mil. NC offered 0. 75 common shares per FW share. Based on NC's closing stock price of $59.25 on Jan 9, the last full day of trading prior to announcement, each FW share was valued at $44.44. The transaction was accounted for as a pooling of interests and had been subject to state and federal banking regulatory approval.</t>
  </si>
  <si>
    <t>Wandel &amp; Goltermann Tech Inc</t>
  </si>
  <si>
    <t>Mnfr network equipment</t>
  </si>
  <si>
    <t>Wandel &amp; Goltermann Management</t>
  </si>
  <si>
    <t>Mnfr,whl commun test equip</t>
  </si>
  <si>
    <t>Wandel &amp; Goltermann Management Holding GmbH (WGMH) acquired the remaining 38% stake, which it did not alreay own, in Wandel &amp; Goltermann Technologies Inc for a sweetened $15.9 cash per share, or a total value of $34.19 mil. Previously, WGMH offered $13 cash per share. Concurrently, WGMH merged with Wavetek Corp to form Wavetek Wandel &amp; Goltermann Inc.</t>
  </si>
  <si>
    <t>CBT Corp,Paducah,Kentucky</t>
  </si>
  <si>
    <t>Mercantile Bancorp (MB), St Louis, Missouri, acquired CBT, Paducah, Kentucky, in a stock swap transaction valued at $275.832 mil. MB offered . 6513 MB common shares per CBT share. Based on MB's closing stock price of $52.75 on Jan 9, the last full trading day prior to the announcement, each CBT share was valued at $34.356. The transaction was accounted for as a pooling of interests and had been subject to federal and state banking regulatory approval.</t>
  </si>
  <si>
    <t>Computer Language Research Inc</t>
  </si>
  <si>
    <t>Dvlp tax processing software</t>
  </si>
  <si>
    <t>Research Institute of America</t>
  </si>
  <si>
    <t>Publish tax law brochures</t>
  </si>
  <si>
    <t>Research Institute of America (RI), a unit of Thomson Corp, acquired all the outstanding common stock of Computer Language Research Inc (CL) for $22.5 in cash per share, or a total value of $325.392. Previously, RI completed its tender offer for CL by accepting 14,365, 891 shares, or 99.17% of CL's shares. The offer had been subject to Hart-Scott-Rodino regulatory approval.</t>
  </si>
  <si>
    <t>CertainTeed (CT), a unit of Cie de Saint-Gobain, acquired Bird Corp (BC) for $5.50 in cash per common share and $20 in cash per cumulative preferred share, or a total value of $39.23 mil. Earlier, CT completed its tender offer for BC by accepting 4,846,267 shares, or 95% of BC's shares. The transaction had been subject to regulatory approval.</t>
  </si>
  <si>
    <t>An investor group, comprised of Duke Realty Investments Inc and Simon DeBartalo Group, withdrew its unsolicited challenging offer to acquire JC Nichols Co (JN) for an estimated $75 per share, or at total value or $353.401 mil. Earlier, Highwoods Properties definitively agreed to acquire JN for approximately $555.869 mil, including the assumption of $250 mil in liabilities.</t>
  </si>
  <si>
    <t>Fifth Third Bancorp (FT), Cincinatti, Ohio, acquired CitFed Bancorp (CB), Dayton, Ohio, in a stock swap transaction valued at an amended $691.644 mil. FT offered 1.005 FT common shares per CB share. Based on FT's closing stock price of $51.4375 on May 14, the last full trading day prior to the announcement of the amended terms, each CB share was valued at $51.694. The transaction had been subject to federal and state banking regulatory approval. Previously, FT offered .67 FT common shares per CB share. Upon completion CB was merged with Fift Third Bank of Western Ohio, Dayton, Ohio, a unit of FT.</t>
  </si>
  <si>
    <t>Bruckmann Rosser Sherrill &amp; Co</t>
  </si>
  <si>
    <t>Bruckmann Rosser Sherrill &amp; Co acquired all the outstanding common stock of MEDIQ Inc for $526 mil. The consideration consisted of $13.75 in cash and $.75 in Series A preferred shares per MEDIQ share and the assumption of $235.22 mil in liabilities. The transaction had been subject to regulatory approval.</t>
  </si>
  <si>
    <t>Meridian Point Realty Trust</t>
  </si>
  <si>
    <t>EastGroup Properties Inc</t>
  </si>
  <si>
    <t>EastGroup Properties(EP) acquired all the outstanding common stock and the remaining 3.8 mil preferred shares, which it did not already own, in Meridian Point Realty Trust VIII (MT) for an amended $51.729 mil. The consideration consisted of an amended $8.5 in cash per common share and $10 in cash per preferred share. Earlier, EP completed its tender offer for MT by accepting 1.21 mil common shares or 75.08% of MT's common shares and 3.13 mil preferred shares. Previoulsy, the consideration was to consist of a choice of $6.75 in cash or EP common stock per MT common share and a choice of $9.75 in cash or EP common stock per MT preferred share; whereby a maximum of 30% of the consideration was to be cash.</t>
  </si>
  <si>
    <t>Kimco Realty Corp</t>
  </si>
  <si>
    <t>Kimco Realty (KR) acquired all the outstanding common stock of Price REIT (PR) in a stock swap transaction valued at an amended $870.55 mil, including the assumption of approximately $300 mil in liabilities. KR offered 1 common share and .36 Class D convertible preferred share with a liquidity of $9 per PR common share. Based on KR's closing stock price of $38. 875 on June 10, the last full trading day prior to the announcement of the amended terms, each PR share was valued at $47.875. Previously, KR offered $35 in common shares and $10 in class D convertible preferred shares per PR share, subject to a collar agreement. The transaction was to be accounted for as a pooling of interests.</t>
  </si>
  <si>
    <t>Heritage Financial Services</t>
  </si>
  <si>
    <t>First Midwest Bancorp Inc (FM), Itaska, Illinois, acquired Heritage Financial Services Inc (HF), Tinley Park, Illinois, in a stock swap transaction valued at $405.76 mil. FM offered .7695 common shares per HF share. Based on FM's closing stock price of $42.375 on January 14, the last full trading day prior to the announcement, each FM share was valued at $32.608. The transaction was accounted for as a pooling of interests and was subject to federal and state banking regulatory approval.</t>
  </si>
  <si>
    <t>OHM Corp</t>
  </si>
  <si>
    <t>Pvd hazardous waste svcs</t>
  </si>
  <si>
    <t>International Technology (IT) acquired OHM Corp, including a 35% stake held by WMX Technologies (WM), in a two- tier stock swap valued at an amended, $326.8 mil. Earlier, IT completed its tender offer for OHM by accepting 13,933, 000 shares plus 2,535,000 shares from WM, or 55% of OHM's shares. Subsequently, IT acquired the remaining 45% stake for 12.9 mil common shares valued at $133 mil, and $30 mil in cash. The shares were valued based on IT's closing stock price of $10.313 on June 10, the last full trading day prior to the announcement of exact terms for the second tier. Initially, IT launched a tender offer to acquire a 50. 6% interest for $8 in cash and .42 common shares valued at $3.334 per OHM share, or a total of $157 mil, and was to acquire remaining 49% for 1. 394 common shares per OHM share, or a total of $155 mil. Concurrently, OHM spunoff its 40% stake in NSC Corp.</t>
  </si>
  <si>
    <t>Checkmate Electronics Inc</t>
  </si>
  <si>
    <t>Mnfr,whl payment systems</t>
  </si>
  <si>
    <t>International Verifact Inc</t>
  </si>
  <si>
    <t>Mnfr,whl electn payment sys</t>
  </si>
  <si>
    <t>International Verifact Inc (IV) merged with Checkmate Electronics Inc (CE) to form IVI Checkmate Corp (IVIC) in a stock swap transaction valued at $47.171 mil. CE common shareholders received 1.2775 IVIC common shares and IV common shareholders received 1 IVIC common share per share held. Based on IV's closing stock price of $6.795 on January 15, the last full trading day prior to the announcement, each CE share was valued at $8.681. Upon completion, IV shareholders held a 57% interest in IVIC and CE shareholders held the remaining 43% stake. Furthermore, as a result of the merger IVIC had 2 operating subsidiaries. The Canadian operations of IV were renamed IVI Checkmate Ltd and the United States operations of both IV and CE were renamed IVI Checkmate Inc. The transaction was accounted for as a pooling of interests and had been subject to regulatory approval.</t>
  </si>
  <si>
    <t>PhyCorp was rumored to be planning to acquire all of the outstanding common stock of FPA Medical Management. The Current status of this deal is unknown.</t>
  </si>
  <si>
    <t>Little Switzerland Inc</t>
  </si>
  <si>
    <t>Own,op jewelry stores</t>
  </si>
  <si>
    <t>Destination Retail Holdings</t>
  </si>
  <si>
    <t>Own,op duty free shop</t>
  </si>
  <si>
    <t>Destination Retail Holdings (DRH) terminated its definitive merger agreement to acquire all the outstanding common stock of Little Switzerland (LS) for $8.10 in cash per share, or a total value of $70.226 mil. Originally, in August 1995, LS announced it was seeking a buyer for the company and began a bidding process. Later, DRH made an offer of $8.10 per share which was immediately rejected. In response to the rejection of the offer, DRH began a proxy fight to replace 2 of LS' directors with its own nominees who would support the takeover. Subsequently, DRH definitively agreed to acquire LS.</t>
  </si>
  <si>
    <t>Ophthalmic Imaging Systems Inc</t>
  </si>
  <si>
    <t>Mnfr,design,market imaging sys</t>
  </si>
  <si>
    <t>Premier Laser Systems Inc</t>
  </si>
  <si>
    <t>Mnfr,dvlp,market medical laser</t>
  </si>
  <si>
    <t>Premier Laser Systems Inc raised its interest to 51% from 30.87% in Ophthalmic Imaging Systems Inc for $1.75 cash per share, or a total value of $1.308 mil.</t>
  </si>
  <si>
    <t>Station Casinos Inc</t>
  </si>
  <si>
    <t>Crescent Real Estate Equities</t>
  </si>
  <si>
    <t>Crescent Real Estate Equities Co (CR) terminated its definitive agreement to acquire Station Casino Inc (SC) in a stock swap transaction valued at $1.646 bil, including the assumption of $919 mil in liabilities. CR offered .466 common shares per SC common share and $103. 5 mil in convertible preferred stock for all SC convertible preferred stock, whereby each preferred share was convertible into 3.2573 common shares. Based on CR's closing stock price on January 16, the last full trading day prior to the announcement, each SC share was valued at $17.30. The transaction was subject to regulatory aproval. Upon completion of the transaction SC shareholders were to own a majority of CR.</t>
  </si>
  <si>
    <t>Lidak Pharmaceuticals Inc</t>
  </si>
  <si>
    <t>Mnfr pharma prod</t>
  </si>
  <si>
    <t>HealthMed Inc</t>
  </si>
  <si>
    <t>Special purpose acq vehicle</t>
  </si>
  <si>
    <t>HealthMed Inc (HM) withdrew its plan to acquire an undisclosed majority interest in Lidak Pharmaceuticals Inc (LP) for between $80 to $130 mil as part of a recapitalization plan. Earlier, HM acquired a 3% stake in LP for an undisclosed amount.</t>
  </si>
  <si>
    <t>St Paul Cos Inc</t>
  </si>
  <si>
    <t>St Paul Cos (SP) merged with USF&amp;G (US) in a stock swap transaction valued at an amended $3.382 bil, including $300 mil in capital securities. SP offered .2821 common shares per US common share held, subject to a collar agreement. Based on SP's closing stock price of $89.8125 on April 6, the last full day prior to the announcement of amended terms, each US share was valued at $25.336. Originally, SP offer $22 in common stock per US share. The transaction was accounted for as a pooling of interests.</t>
  </si>
  <si>
    <t>SmithKline Beecham PLC</t>
  </si>
  <si>
    <t>SmithKline Beecham (SB) withdrew its negotiations to merge with American Home Products (AHP). Later, SB agreed to merge with Glaxo Wellcome PLC.</t>
  </si>
  <si>
    <t>Buttrey Food and Drug Stores</t>
  </si>
  <si>
    <t>Own,op supermarkets,drug store</t>
  </si>
  <si>
    <t>Albertsons Inc</t>
  </si>
  <si>
    <t>Albertson's Inc (AL) acquired all the outstanding common stock of Buttrey Food and Drug Stores Co (BFD) for $15.50 in cash per share, or a total value of $139.246 mil. Previously, AL completed its tender offer to acquire BFD by accepting 8.6 mil common shares. Subsequently, Smith's Food &amp; Drug Centers Inc agreed to acquire 13 Albertson's and Buttrey stores of AL. Also, in August 1998, AL disclosed that that it was seeking a buyer for two Buttrey stores, located in Casper, Wyoming. The two divestitures were necessary in order to gain Federal Trade Commission regulatory approval.</t>
  </si>
  <si>
    <t>Casino Magic Corp</t>
  </si>
  <si>
    <t>Grand Casinos (GC) withdrew plans to launch an unsolicited tender offer to acquire Casino Magic (CM) in a stock swap transaction valued at $61.68 mil. GC offered $1.6 cash for 25% of CM's outstanding common shares and 1 GC common share for ever 7.95 CM shares for the remaining 75% interest. Based on GC's closing stock price of $14.06 on January 19, the last full day of trading prior to announcement, each CM share was valued at $1.77. Later, Hollywood Park definitively agreed to acquire CM.</t>
  </si>
  <si>
    <t>World Access Inc (WA) acquired the remaining 32% stake, which it did not already own, in NACT Telecommunications Inc (NACT) in a stock swap transaction valued at $53.143 mil. WA offered approximately $17.5 in common stock per share. Previously, WA raised its stake to 68% from 5% in NACT for $17.50 per share, or a total of $89.49 mil. In September 1997, GST announced that it was seeking a buyer for its 63% interest, or 5. 1mil common shares, in NACT. Under the original agreement, WA was to only acquire approximately 4.1mil common shares.</t>
  </si>
  <si>
    <t>Regal Cinemas Inc</t>
  </si>
  <si>
    <t>Pvd movie exhibition services</t>
  </si>
  <si>
    <t>An investor group, comprised of Kohlberg Kravis Roberts &amp; Co (KKR) and Hicks Muse Tate &amp; Furst Inc (HMTF), acquired all the outstanding common stock of Regal Cinemas Inc (RC) for an estimated $1.463 bil. The consideration consisted of $31 in cash per share, or a total value of $1. 119 bil, and the assumption of approximately $290 mil in liabilities. Upon completion, RC was merged with Act III Theatres, a unit of KKR, and United Artists Theatre Group, which HMTF recently agreed to acquire. KKR and HMTF held a 45% stake in the merged company, with the remaining 10% stake was held by management and certain other investors. Previously, KKR was rumored to be in negotiations to acquire RC.</t>
  </si>
  <si>
    <t>Sbarro Inc</t>
  </si>
  <si>
    <t>Operate, franchise restaurants</t>
  </si>
  <si>
    <t>An investor group comprised of the Sbarro Family withdrew its plans to launch a tender offer to acquire the remaining 65% interest, or 13, 288,104 common shares, which it did not already own in Sbarro for $28.5 per share, or a total value of $381.439 mil.</t>
  </si>
  <si>
    <t>BKC Semiconductors Inc</t>
  </si>
  <si>
    <t>Mnfr semiconductor devices</t>
  </si>
  <si>
    <t>Microsemi Corp</t>
  </si>
  <si>
    <t>Microsemi acquired all the common stock outstanding of BKC Semiconductors Inc, for $9.17 in cash per share, or a total value of $13.293 mil.</t>
  </si>
  <si>
    <t>Thermadyne Holdings Corp</t>
  </si>
  <si>
    <t>Mnfr,whl cutting,welding prod</t>
  </si>
  <si>
    <t>DLJ Merchant Banking Partners II, a unit of Equitable Companies's majority-owned Donaldson Lufkin &amp; Jenrette subsidiary, acquired an 82% interest, or 9.1 mil common shares, of Thermadyne Holdings for $790 mil. The consideration consisted of $34.5 in cash per share, or a total value of $314.13 mil, and the assumption of $475.87 mil in liabilities. The transaction was part of a recapitalization.</t>
  </si>
  <si>
    <t>BT Office Products Intl Inc</t>
  </si>
  <si>
    <t>Whl office stationary,supplies</t>
  </si>
  <si>
    <t>Buhrmann NV</t>
  </si>
  <si>
    <t>Dist office supplies,furniture</t>
  </si>
  <si>
    <t>Koninklijke KNP BT NV (KNP) acquired the remaining 30% stake, or 10.04 mil common shares, that it did not already own in BT Office Products International Inc, a unit of Koninklijke KNP BT NV's Buhrmann-Tetterode NV subsidiary, for an amended $13.75 in cash per share, or a total value of $138.05 mil. Previously, KNP offered $10. 50 per share for a total value of $105.42 mil.</t>
  </si>
  <si>
    <t>GNI Group Inc</t>
  </si>
  <si>
    <t>Pvd waste management svcs</t>
  </si>
  <si>
    <t>US - A management-led investor group backed by 399 Venture Partners, a unit of Citicorp's Citicorp Venture Capital subsidiary, acquired all the outstanding common stock of GNI Group Inc, for $7 US in cash per share, or a total value of $47.857 mil, in a leveraged buyout transaction.</t>
  </si>
  <si>
    <t>Handy &amp; Harman</t>
  </si>
  <si>
    <t>Mnfr,whl metal wire,cable</t>
  </si>
  <si>
    <t>WHX acquired Handy &amp; Harman (HH) for $32.25 in cash per share, or $625.083 mil. Earlier, WHX completed its tender offer for the remaining 92.2% interest on a fully-diluted basis, which it did not already own, in HH by accepting 95.7% of HH's shares. The consideration consisted of $35.25 in cash per share, or a total of $387. 888 mil, and the assumption of $218 in liabilities. Previously, WHX raised its stake in HH to 8.4% from 4.9% through its unsolicited hostile tender offer to acquire the remaining 95.1% interest, which it did not already own, in HH. The transaction was subject to regulatory approval under the Hart-Scott-Rodino Act. In January 1998, HH Inc disclosed that it was seeking a buyer for the company.</t>
  </si>
  <si>
    <t>Ambassador Bk of Commonwealth</t>
  </si>
  <si>
    <t>Fulton Financial Corp (FF), Lancaster, Pennsylvania, acquired Ambassador Bank of Commonwealth (AB), Allentown, Pennsylvania, in a stock swap transaction valued at $75.668 mil. FF offered 1.12 common shares per AB share. Based on FF's closing stock price of $31 on January 23, the last full day prior to the announcement, each AB share was valued at $34.72. FF also offered $9.7 mil in common stock for AB's options and warrants. The transaction had been accounted for as a pooling of interests and was subject to federal and state banking regulatory approval.</t>
  </si>
  <si>
    <t>Delta Air Lines withdrew its plans to acquire all the outstanding common stock of Continental Airlines (CA). Terms were not disclosed. Concurrently, Northwest Airlines acquired a 14.1% stake in CA from Air Partners in the formation of a strategic alliance.</t>
  </si>
  <si>
    <t>Compaq Computer Corp (CCC) merged with Digital Equipment Corp (DEC) in a stock swap transaction valued at $9.1237 bil. CCC offered $30 in cash and approximately .945 common shares per DEC share. Based on CCC's closing stock price of $31.75 on January 23, the last full trading day prior to the announcement, each DEC share was valued at $60.004. The transaction had been subject to FTC and other regulatory approvals.</t>
  </si>
  <si>
    <t>First Federal Savings and Loan</t>
  </si>
  <si>
    <t>Jackson National Life Ins Co</t>
  </si>
  <si>
    <t>Pvd life ins,financial svcs</t>
  </si>
  <si>
    <t>Jackson National Life Insurance Inc acquired all the outstanding common stock of First Federal Savings and Loan Association of San Bernadino, California, for approximately $5.9 mil in cash.</t>
  </si>
  <si>
    <t>HarCor Energy Inc</t>
  </si>
  <si>
    <t>Oil,gas exploration and prodn</t>
  </si>
  <si>
    <t>Seneca Resources Corp</t>
  </si>
  <si>
    <t>Seneca Resources (SR), a unit of National Fuel Gas, acquired all the outstanding common shares of HarCor Energy (HE) for $2 in cash per share, or a total value of $32.5 mil. Previously, SR completed its tender offer for HE by accepting 15,506, 632 shares, or 95% of HE's shares. This transaction was conditional upon the completion of the divestiture of HE's non-California assets. In March 1997, HarCor Energy announced that it was seeking a buyer for the company.</t>
  </si>
  <si>
    <t>TransAmerican Waste Industries</t>
  </si>
  <si>
    <t>Pvd waste management services</t>
  </si>
  <si>
    <t>USA Waste Services (USA) acquired all the outstanding common stock of TransAmerican Waste Industries (TWI) in a stock swap transaction valued at an amended $142.25 mil, including the assumption of $43 mil in liabilities. USA offered .044591 common shares per TWI share. Based on USA's closing stock price of $48. 8125 on May 5, the last full trading day prior to the announcement of the amended terms, each TWI share was valued at $2.1766. Originally, USA offered .045232 common shares for each TWI share. The transaction was accounted for as a pooling of interests and was subject to regulatory approval.</t>
  </si>
  <si>
    <t>Cendant Corp (CC) cancelled its tender offer to acquire American Bankers Insurance Group (ABIG) in a two-tier transaction, for $67 per share, or a total value of $3. 14 bil. CC was to offer $67 in cash per share for a 51% interest and $67 in CC common shares for the remaining 49% stake. Previously, CC launched a sweentened hostile challenging tender offer to aquire all the outstanding common stock of ABIG. Earlier, CC was to offer $58 in cash per share for a 51% interest and $58 in CC common shares for the remaining 49% stake. Later, American Insurance Group (AIG) withdrew its agreement to acquire ABIG. CC had sought legal action to contest a 120 day blackout provision in the AIG offer.</t>
  </si>
  <si>
    <t>State of the Art Inc</t>
  </si>
  <si>
    <t>Sage Group PLC</t>
  </si>
  <si>
    <t>Dvlp,whl bus mgmt software</t>
  </si>
  <si>
    <t>Sage Group (SG) acquired all the oustanding common stock of State of the Art (SOTA) for $22 per share, or a total value of $245.241 mil. Earlier, SG completed its tender offer for SOTA by accepting 11.02 mil SOTA common shares or 86.9% of SOTA's shares. The offer had been conditioned upon at least 90% of SOTA's shares being tendered.</t>
  </si>
  <si>
    <t>First Commercial Corp,Arkansas</t>
  </si>
  <si>
    <t>Regions Financial, Birmingham, Alabama (RF) merged with First Commercial Corp, Little Rock, Arkansas, (FC) in stock swap transaction valued at $2.5 bil. RF offered 1.7 common shares per FC share. Based on RF's closing stock price of $40.5 on February 6, the last full trading day prior to the announcement of definitive terms, each FC share was valued at $68.85. The transaction had been accounted for as a pooling of interests and had been subject to federal and state banking regulatory approval. Originally, in January 1998, FC announced that it was seeking a buyer for the company.</t>
  </si>
  <si>
    <t>Sun Coast Industries Inc</t>
  </si>
  <si>
    <t>Kerr Group Inc acquired all the outstanding common stock of Sun Coast Industries for $10.75 per share, or a total value of $45.506 mil by accepting 3.7 mil shares. The offer had been conditioned upon a majority of shares being tendered and had been subject to regulatory approval.</t>
  </si>
  <si>
    <t>Tel Offshore Trust</t>
  </si>
  <si>
    <t>Magnum Hunter Resources Inc</t>
  </si>
  <si>
    <t>Magnum Hunter Resources (MH) raised its stake to 40.1% from 3.4%, in Tel Offshore Trust (TO), by acquiring 2. 262 mil beneficial interest shares for an amended $5.5 in cash per share, or a total value of $12.44 mil by accepting 1,745,353 shares. Originally, MH launched a tender offer to raise its stake to 50.1% in TO.</t>
  </si>
  <si>
    <t>Talley Industries disclosed that it was seeking a buyer for the company.</t>
  </si>
  <si>
    <t>Monroc Inc</t>
  </si>
  <si>
    <t>Mnfr,whl concrete,sand,gravel</t>
  </si>
  <si>
    <t>US Aggregates Inc</t>
  </si>
  <si>
    <t>US Aggregates Inc acquired all the outstanding common stock of Monroc Inc for $10. 77 in cash per share, or a total value of $50.317 mil. The transaction was subject to regulatory approval.</t>
  </si>
  <si>
    <t>ProSource Inc(Onex Corp)</t>
  </si>
  <si>
    <t>AmeriServe Food Distn Inc</t>
  </si>
  <si>
    <t>AmeriServe Food Distribution, a unit of Holberg Industries Inc, acquired all of the outstanding common stock of ProSources, a 61%-owned unit of Onex, for $15 in cash per share, or a total value of $343.304 mil, including the assumption of approximately $200 mil in liabilities. The transaction had been subject to regulatory approval under to Hart-Scott-Rodino Act.</t>
  </si>
  <si>
    <t>Harveys Casino Resorts</t>
  </si>
  <si>
    <t>Own,op hotel casino</t>
  </si>
  <si>
    <t>Colony Capital LLC</t>
  </si>
  <si>
    <t>Colony Capital Inc (CC) acquired all the outstanding common stock of Harveys Casino Resorts (HC) for an amended $28.73 in cash per share, or a total value of $427.925 mil, including the assumption of an estimated $131.981 mil in liabilities, in a leveraged buyout transaction. Originally, CC agreed to acquire HC for $28 in cash per share, or a total value of approximately $420 mil, including the assumption of liabilities.</t>
  </si>
  <si>
    <t>New Retail Concepts Inc</t>
  </si>
  <si>
    <t>Mnfr and whl women's jeans</t>
  </si>
  <si>
    <t>Candie's Inc</t>
  </si>
  <si>
    <t>Mnfr,whl women's footwear</t>
  </si>
  <si>
    <t>Candies Inc (CI) acquired New Retail Concepts Inc (NRC) in a stock swap transaction valued at $12.92 mil. CI offered 0.405 common shares per NRC share. Based on CI's closing stock price of $5.00 on January 29, the last full trading day prior to the announcement, each NRC share as valued at $2.025.</t>
  </si>
  <si>
    <t>Kontrabecki Group Inc</t>
  </si>
  <si>
    <t>US - Kontrabecki Group (KG) completed its twice sweetened offer to acquire all the outstanding common shares of Triad Park LLC for $54.99 mil. The consideration consisted of $1.9 in cash per share, or a total value of $37.445 mil and the assumption of $20.7 mil in liabilities. Previously, KG offerd $1.74 in cash per share, or a total value of $34.29 mil, and the assumption of $20.7 mil in liabilities amended from $1. 65125 in cash per share. Subsequently, an investor group, including Richard C. Blum &amp; Associates terminated its thrice sweetened tender offer to acquire the outstanding common stock of Triad Park LLC for $56.96 mil.</t>
  </si>
  <si>
    <t>Lund International Holdings Inc divested the company to an undisclosed acquiror</t>
  </si>
  <si>
    <t>BGS Systems Inc</t>
  </si>
  <si>
    <t>Develop utilities software</t>
  </si>
  <si>
    <t>BMC Software Inc</t>
  </si>
  <si>
    <t>Dvlp enterprise mgmt software</t>
  </si>
  <si>
    <t>BMC Software acquired BGS Systems in a stock swap transaction valued at $306. 909 mil. BMC offered $45 in common stock per BGS share held. The transaction was accounted for as a pooling of interests and had been subject to regulatory approval.</t>
  </si>
  <si>
    <t>Firstbank of IL,Springfield,IL</t>
  </si>
  <si>
    <t>Mercantile Bancorp (MB), St Louis , Missouri, acquired Firstbank of Illinois Co (FB), Springfield, Illinois, in a stock swap transaction valued at $669.217 mil. MB offered . 8308 common shares per FB share. Based on MB's closing stock price of $50.50 on January 30, the last full trading day prior to the announcement, each FB share was valued at $41.96. The transaction had been subject to federal and state banking regulatory approval.</t>
  </si>
  <si>
    <t>Glen Burnie Bancorp,MD</t>
  </si>
  <si>
    <t>First Mariner Corp (FMB) withdrew its hostile offer to acquire the remaining 80.5% interest, which it did not already own, in Glen Burnie Bancorp (GBB) for an estimated $23.80 in cash per share, or a total value of $20.944 mil. FMB withdrew its offer after GBB adopted a poison pill defense to thwart the takeover. Previously, FMB agreed to raise its stake to 19.5% from .51% in GBB.</t>
  </si>
  <si>
    <t>Danaher Corp(DC), acting as a white knight, acquired all the outstanding common stock of Pacific Scientific (PS) for $30.25 in cash per share, or a total value of $417.547 mil Earlier DC completed its tender offer for PS by accepting 11,666,541 common shares or 94% of PS's shares. Concurrently, Kollmorgen (KL) withdrew its sweetened unsolicted hostile tender offer to acquire all the outstanding common stock of PS.</t>
  </si>
  <si>
    <t>Sandwich Bancorp,Sandwich,MA</t>
  </si>
  <si>
    <t>CompassBank,New Bedford,MA</t>
  </si>
  <si>
    <t>CompassBank (CB), New Bedford, Massachusetts, a unit of Seacoast Financial Services, acquired all the outstanding common stock of Sandwich Bancorp (SB), Sandwich, Massachusetts, for a sweetened $129.632 mil. CB offered $64 in BC common stock per SB share. Originally, CB offered $53 in cash per share, or a total value of $106.911. The transaction was subject to federal and state banking regulatory approval. Subsequently, Cape Cod Bank and Trust withdrew its challenging offer to acquire SB.</t>
  </si>
  <si>
    <t>Source Services Corp</t>
  </si>
  <si>
    <t>Provide help supply services</t>
  </si>
  <si>
    <t>Romac International Inc</t>
  </si>
  <si>
    <t>Pvd specialty staffing svcs</t>
  </si>
  <si>
    <t>Romac International Inc (RI) acquired Source Services Corp (SS) in a stock swap transaction valued at $454. 367 mil. RI offered 1.1351 RI common shares per SS share. Based on RI's closing stock price of $28.125 on April 17, the last full trading day prior to the announcement of the exact terms, each SS share was valued at $31.925. The transaction was to be accounted for as a pooling of interests and had been subject to regulatory approval under the Hart-Scott- Rodino Antitrust Improvements Act.</t>
  </si>
  <si>
    <t>Industrial Acoustics Inc</t>
  </si>
  <si>
    <t>Mnfr noise reducing products</t>
  </si>
  <si>
    <t>IAC Holdings Corp</t>
  </si>
  <si>
    <t>IAC Holdings acquired a 79. 02% interest, or 2,353,904 mil common shares, in Industrial Acoustics, for $11 per share, or a total value of $25.893 mil.</t>
  </si>
  <si>
    <t>Spice Entertainment Cos Inc</t>
  </si>
  <si>
    <t>Pvd adult entertainment svcs</t>
  </si>
  <si>
    <t>Playboy Inc</t>
  </si>
  <si>
    <t>Playboy Enterprises (PE) acquired all the outstanding common stock of Spice Entertainment (SE) for an amended 108.774 mil, including the assumption of approximately $20 mil in liabilities. PE offered $3.60 in cash and 0.1371 Class B common shares per SE common share, subject to a collar agreement. Based on PE's closing stock price of $19. 3125 on April 17, the last full day of trading prior to the announcement of amended terms, each SE share was valued at $6.248. Originally, PE offered $3.60 in cash and 0.1524 Class B common shares per SE common share.</t>
  </si>
  <si>
    <t>Tremont Corp</t>
  </si>
  <si>
    <t>Mnfr titanium prod;holding co</t>
  </si>
  <si>
    <t>An investor group, including Vahli Group Inc (VI), raised its stake to 50% from 48% by acquiring 103,900 common shares in Tremont Corp (TC) for between $52.38 and $54 in cash per share, or a total value of $5.61 mil. The value was based on the highest price in the range. Subsequently, VI acquired a 43.71% stake in TC.</t>
  </si>
  <si>
    <t>TresCom International Inc</t>
  </si>
  <si>
    <t>Pvd communications svcs</t>
  </si>
  <si>
    <t>Primus Telecommunications</t>
  </si>
  <si>
    <t>Primus Telecommunications Group Inc (PTG) acquired TresCom International Inc (TI) in a stock swap transaction valued at an amended $130.691 mil. PTG offered .6147 common shares per TI share, subject to a collar agreement. The transaction was subject to regulatory approval. Originally, PTG offered $10 in PTG common stock per TI share, subject to a collar agreement. Subsequently, IDT terminated its unsolicited challenging offer to acquire TI.</t>
  </si>
  <si>
    <t>First Nationwide Holdings Inc</t>
  </si>
  <si>
    <t>First Nationwide Holdings, New York, New York, a majority-owned unit of MacAndrews &amp; Forbes Holdings, merged with Golden State Bancorp (GSB), Glendale, California, in a reverse stock swap transaction valued at $1.354 bil. The value was based on GSB's 56% holding in the new company and its closing stock price of $18. 6875 on Sept 11, the first full trading day of the merged entity. Upon completion, the merged companies were renamed California Federal Bank at the operating level and retain the GSB name at the holding company level. The transaction was subject to federal and state banking regulatory approval.</t>
  </si>
  <si>
    <t>Trump Hotels &amp; Casino Resorts</t>
  </si>
  <si>
    <t>Own,op hotels and casinos</t>
  </si>
  <si>
    <t>In February 1998, Trump Hotels &amp; Casino Resorts Inc disclosed that it was seeking a buyer for the company.</t>
  </si>
  <si>
    <t>Amax Gold Inc</t>
  </si>
  <si>
    <t>Kinross Gold Corp</t>
  </si>
  <si>
    <t>Kinross Gold Corp (KG) merged with Amax Gold (AG), a majority-owned unit of Cyprus Amax Mineral Co (CAM), in a stock swap transaction valued at $365.476 mil. KG offered 0. 8 common shares per AG share. Based on KG's closing price of $3.625 on February 6, the last full trading day prior to the announcement, each AG share was valued at $2.9. Concurrently, CAM agreed to raise its stake in to 50% from 36.2% in KG, to maintain equal ownership in the new merged company.</t>
  </si>
  <si>
    <t>American Waste Services</t>
  </si>
  <si>
    <t>USA Waste Services Inc (USA) acquired all the outstanding common stock of American Waste Services (AWS) Inc for $4 in cash per share, or a total value of $122.064 mil. Previously, AWS completed the spinoff of its transportation, technical services, and golf course businesses into a new company named Avalon Holdings to its shareholders.</t>
  </si>
  <si>
    <t>Arbor Drugs Inc</t>
  </si>
  <si>
    <t>Own,operate drug stoes</t>
  </si>
  <si>
    <t>CVS Corp acquired Arbor Drugs Inc (AD) in a stock swap transaction valued at $1. 475 bil. CVS offered .3182 common shares for every AD share held. Based on CVS' closing stock price of $72. 625 on Mar 25, the last full trading day prior to the announcement of the stock ratio, each AD share was valued at $23.10. Originally, CVS offered $23 in common shares for every AD share held, subject to a collar agreement. The transaction was accounted for as a pooling of interests.</t>
  </si>
  <si>
    <t>Culligan Water Technologies</t>
  </si>
  <si>
    <t>Mnfr,whl purification products</t>
  </si>
  <si>
    <t>United States Filter Corp (USF) acquired Culligan Water Technologies Inc (CWT) in a stock swap transaction valued at $1.474 bil. USF offered 1. 714 common shares per CWT share Based on USF's closing stock price of $34.6875 on February 6, the last full trading day prior to the announcement, each CWT share was valued at $59.454. The transaction was to be accounted for as a pooling of interests and was subject regulatory approval under the Hart-Scott-Rodino act.</t>
  </si>
  <si>
    <t>First Shenango Bancorp,PA</t>
  </si>
  <si>
    <t>Signal Corp,Wooster,OH</t>
  </si>
  <si>
    <t>Signal Corp, Wooster, Ohio, formerly known as FirstFederal Financial Services Corp, acquired all the outstanding common stock of First Shenango Bancorp (FSB), New Castle, Pennsylvania, in exchange for an amended 3.1 mil common shares valued at $89.125 mil. The value was based on SC's closing stock price of $28.75 on June 29, the last full trading day prior to the announcement. Originally, SC offered 1.143 common shares per FSB share, or a total value of $102.795 mil. Based on SC' closing stock price of $41.75 on February 6, the last full trading day prior to the announcement, each FSB share was valued at $47.72. The transaction was accounted for as a pooling of interests. Originally, SC was named FirstFederal Financial Services and changed its name to SC during the transaction.</t>
  </si>
  <si>
    <t>Summit Care Corp</t>
  </si>
  <si>
    <t>Provide nursing services</t>
  </si>
  <si>
    <t>Fountain View</t>
  </si>
  <si>
    <t>Fountain View (FV), a unit of Heritage Partners, acquired all the outstanding common stock of Summit Care (SC) for $21 in cash per share, or a total of $275.109, including the assumption of $130 mil in liabilities. Earlier, FV completed its tender offer for SC by accepting 6.75 mil common shares, or 90% of SC's shares.</t>
  </si>
  <si>
    <t>Medtronic Inc was rumored to be in negotiations to acquire Boston Scientific Corp. The Current status of this deal is unknown.</t>
  </si>
  <si>
    <t>Computer Associates International Inc withdrew its unsolicited hostile tender offer to acquire all the outstanding common stock of Computer Sciences Corp (CS) for $108 in cash per share, or a total value of $8.863 bil. The offer was conditioned upon 50% of the shares being tendered and the redemption or invalidation of CS' poison pill. In response to the offer, CS was to amend its severance plan to give its top executives two times their annual salary and its chairman three times his.</t>
  </si>
  <si>
    <t>Canadian National Railway Co</t>
  </si>
  <si>
    <t>Provide railway transportation,shipping services</t>
  </si>
  <si>
    <t>Canadian National Railway Company (CNR) acquired all the outstanding common stock, of Illinois Central Corp (IC) in a two-tiered transaction valued at approximately $2.93 bil. The consideration consisted of $1.796 bil in cash for the initial 75% interest, $535.66 mil in common stock for the remaining 25% stake and the assumption of about $560 mil in liabilities. Initially, CNR completed its tender offer to acquire a 75% interest, for $39 in cash per share, by accepting 46,051, 761 shares. Subsequently, CNR acquired the remaining 25% stake in IC for .633 CNR shares per IC share, subject to a collar agreement. Based on CNR's closing stock price of $55.104 on June 4, the last trading day prior to the announcement of the exact terms, each IC share was valued at $34.88.</t>
  </si>
  <si>
    <t>Ryan Beck &amp; Co,Livingston,NJ</t>
  </si>
  <si>
    <t>BankAtlantic Bancorp.FL</t>
  </si>
  <si>
    <t>BankAtlantic Bancorp (BA), Fort Lauderdale, Florida acquired Ryan, Beck &amp; Co (RBC) , Livingston, New Jersey, in a stock swap transaction valued at an amended $35.873 mil. BA offered .761 pre- split Class A common shares per RBC share. Based on BA's closing stock price of $12.75 on June 29, the last full trading day prior to the announcement of the amended terms, each RBC share was valued at $9.703. The transaction was to be accounted for as a pooling of interests and was subject to federal and state banking regulatory approval. Previously, BA offered .609 pre-split class A common shares per RBC share held, subject to a collar agreement.</t>
  </si>
  <si>
    <t>MTL Inc</t>
  </si>
  <si>
    <t>Pvd tank truck carrier svcs</t>
  </si>
  <si>
    <t>Sombrero Acquisition Corp</t>
  </si>
  <si>
    <t>US - Sombrero Acquisition Corp (SA), a unit of Apollo Management LP (APM), acquired all the outstanding common stock of MTL Inc (MTL) for $250.053 mil, including the assumption of an estimated $54 mil in liabilities. SA offered a choice of $40 in cash or $40 in cash and stock per MTL share, whereby up to $1.60 of the consideration was to be payable in stock. Upon completion, MTL became the surviving entity, and APM owned a 76.9% interest in MTL, on a fully-diluted basis.</t>
  </si>
  <si>
    <t>Waverly Inc</t>
  </si>
  <si>
    <t>Publish books,periodicals</t>
  </si>
  <si>
    <t>Wolters Kluwer (WK) acquired all the outstanding common stock of Waverly Inc (WI) for $39 in cash per share, or a total of $379.427 Earlier, WK completed its tender offer for WI by accepting approximately 8,970,3817 shares, or 99.3% of WI's shares. The offer was conditioned upon at least 66. 67% of WI's shares being tendered. Originally, in November 1997, WI announced that it was seeking a buyer for the company.</t>
  </si>
  <si>
    <t>First Community Banking Svcs</t>
  </si>
  <si>
    <t>Regions Financial Corp, Birmingham, Alabama, (RF) acquired First Community Banking Services Inc, Peachtree City, Georia, (FC) in a stock swap transaction valued at $31.424 mil. RF offered 1.25 common shares for every FC share held. Based on RF's closing stock price of $38.4375 on Jan 23, the last full trading day prior to the announcement, each FC share was valued at $48.05. The transaction was accounted for as a pooling of interests and was subject to federal and state banking regulatory approval.</t>
  </si>
  <si>
    <t>Public Storage Properties XX</t>
  </si>
  <si>
    <t>Public Storage Inc (PSI) agreed to acquire all the outstanding common stock of Public Storage Properties XX Inc (PPS) for approximately $27.288 mil. PSI offered PPS shareholders a choice of $22. 57 in cash or PSI common stock.</t>
  </si>
  <si>
    <t>Bertucci's Inc</t>
  </si>
  <si>
    <t>Ten Ideas Inc</t>
  </si>
  <si>
    <t>Ten Ideas, a management-led investor group, including president and CEO Joseph Crugnale, terminated its agreement to acquire all the outstanding common stock of Bertucci's Inc for $8 in cash per share, or a total value of $72.567 mil, in a leveraged buyout transaction.</t>
  </si>
  <si>
    <t>Coherent Communications Sys</t>
  </si>
  <si>
    <t>Mnfr voice enhancement prods</t>
  </si>
  <si>
    <t>Tellabs Inc</t>
  </si>
  <si>
    <t>Mnfr voice,data transport sys</t>
  </si>
  <si>
    <t>Tellabs Inc (TL) acquired Coherent Communications Systems Corp (CCS) in a stock swap transaction valued at $664.314 mil. TL offered 0.72 common shares per CCS share. Based on TL' closing stock price of $57.9375 on February 13, the last full trading day prior to the announcement, each CCS share was valued at $41.715. The transaction was accounted for as a pooling of interests and was subject to regulatory approval.</t>
  </si>
  <si>
    <t>HB Acquisition Corp</t>
  </si>
  <si>
    <t>HB Acquisition Corp (HB), an investor group comprised of Harvard Private Capital Holdings, Brentwood Associates Buyout Fund II LP, and Coral Reef Capital LLC, acquired Bell Sports Corp for $10.25 in cash per share, or a total value of $165.682 mil. Originally, HB offered $10. 50 per share.</t>
  </si>
  <si>
    <t>Devon Group Inc</t>
  </si>
  <si>
    <t>Pvd graphic arts services</t>
  </si>
  <si>
    <t>Applied Graphics Tech Inc</t>
  </si>
  <si>
    <t>Pvd digital prepress svcs</t>
  </si>
  <si>
    <t>Applied Graphics Technologies Inc (AGT) definitively agreed to acquire Devon Group Inc (DG) in a stock swap transaction valued at $474.361 mil. AGT offered $30 in cash and .6 common shares per DG share. Based on AGT's closing stock price of $50.125 on February 13, the last full trading day prior to the announcement, each DG share was valued at 60.075. The transaction was subject to regulatory approval under the Hart-Scott- Rodino Anti-Trust Improvements Act.</t>
  </si>
  <si>
    <t>SPX Corp</t>
  </si>
  <si>
    <t>Mnfr engine components,tools</t>
  </si>
  <si>
    <t>SPX Corp (SPX) withdrew plans to launch an unsolicited hostile tender offer to acquire the remaining 98.2% interest, which it did not already own, in Echlin Inc (ECL) in a stock swap transaction valued at $3.0201 bil. SPX offered $12 in cash and .4796 common shares valued at $36 per ECL share. The stock portion was valued based on SPX's closing stock price of $75.0625 on February 16, the last full trading day prior to the announcement. SPX also began a proxy fight to replace a portion of ECL's board with a slate of its own nominees who favored the takeover and were to remove ECL's poison pill. Subsequently, Dana, acting as a white knight, agreed to acquire ECL in a stock swap transaction.</t>
  </si>
  <si>
    <t>Hadco Corp (HC) acquired all the outstanding common stock of Continental Circuits Corp (CC) for $23.90 in cash per share, or a total value of $216.856 mil, including the assumption of $33 mil in liabilities. Previously, HC completed its tender offer to acquire CC by accepting 7.2 mil shares or 90% of CC's share capital. The offer was subject to regulatory approval including Hart-Scott- Rodino Act.</t>
  </si>
  <si>
    <t>HomeUSA Inc</t>
  </si>
  <si>
    <t>Retail manufactured homes</t>
  </si>
  <si>
    <t>Fleetwood Enterprises Inc</t>
  </si>
  <si>
    <t>Mnfr,retail motor homes</t>
  </si>
  <si>
    <t>Fleetwood Enterprises (FE) acquired HomeUSA (HU) in a stock swap transaction valued at an amended $155.515 mil. The consideration consisted of $70 mil in cash, 2.4 mil common shares valued at $81.9 mil and $3.615 per option. The shares were valued based on FE's closing stock price of $34.125 on August 10, the last full trading day prior to the announcement. Originally FE offered $10.25 per share, or a total value of $161.894 mil.</t>
  </si>
  <si>
    <t>Northwestern Steel &amp; Wire Co</t>
  </si>
  <si>
    <t>Bayou Steel Corp</t>
  </si>
  <si>
    <t>Mnfr light structural prod</t>
  </si>
  <si>
    <t>Bayou Steel (BA) withdrew its agreement to acquire all the outstanding common stock of Northwestern Steel &amp; Wire (NS) for $4 per share, or a total value of $239.672 mil, including the assumption of approximately $140 mil in liabilities, in a reverse takeover. The consideration was to consist of $2.29 in cash and $1.71 in BA common stock per NS share held.</t>
  </si>
  <si>
    <t>Cape Cod Bank &amp; Trust,MA</t>
  </si>
  <si>
    <t>Cape Cod Bank and Trust Co (CC), Hyannis, Massachusetts, withdrew its challenging offer to acquire all the outstanding common stock of Sandwich Bancorp (SB), Sandwich, Massachusetts, for $121.37 mil. CC offered $60 in common stock per SB share. The transaction was subject to federal and state banking regulatory approval. Previously, CompassBank, New Bedford, Massachusetts, acquired SB.</t>
  </si>
  <si>
    <t>Universal International</t>
  </si>
  <si>
    <t>Wholesale goods</t>
  </si>
  <si>
    <t>99 Cents Only Stores</t>
  </si>
  <si>
    <t>Own,operate variety stores</t>
  </si>
  <si>
    <t>99 Cents Only Store (COS) acquired the remaining 52% interest, which it did not already own, in Universal International Inc (UI) in a stock swap transaction valued at $10.22 mil. Previously, COS completed its tender offer by accepting 4.429 mil shares, or 95.25% of UI's shares. COS offered 1 common shares for every 16 UI shares. Based on COS' closing stock price of $33.5625 on February 16, the last full trading day prior to the announcement, each UI share was valued at $2.098. Earlier, in November 1997, COS acquired a 48% stake in UI for $4 mil.</t>
  </si>
  <si>
    <t>Fed One Bancorp,Wheeling,WV</t>
  </si>
  <si>
    <t>United Bankshares Inc (UB), Parkersburg, West Virginia, acquired Fed One Bancorp (FOB) , Wheeling, West Virginia, in a stock swap transaction valued at $92.646 mil. UB offered .75 common shares per FOB share. Based on UB's closing stock price of $48. 625 on February 17, the last full trading day prior to the announcement, each FOB share was valued at $36.469. The transaction had been accounted for as a pooling of interests and was subject to federal and state banking regulatory approval.</t>
  </si>
  <si>
    <t>National Income Realty Trust</t>
  </si>
  <si>
    <t>Tarragon Realty Investors Inc</t>
  </si>
  <si>
    <t>Tarragon Realty Investors (TRI) merged with National Income Realty Trust (NIR) in a stock swap transaction valued at $75.002 mil. TRI offered 1.97 common shares for each NIR share held. Based on TRI's closing stock price of $10.0625 on February 18, the last full trading day prior to the announcement, each NIR share was valued at $19.82. Upon completion, TRI was to be the surviving company.</t>
  </si>
  <si>
    <t>Blue Diamond Coal Co</t>
  </si>
  <si>
    <t>Coal mining; wholesale coal</t>
  </si>
  <si>
    <t>James River Coal Co</t>
  </si>
  <si>
    <t>Coal mining company</t>
  </si>
  <si>
    <t>US - James River Coal Co acquired all the outstanding common stock of Blue Diamond Coal Co, a coal mining company, for $60.413 in cash per share, or a total value of $56.5 mil.</t>
  </si>
  <si>
    <t>First Security Corp,Utah</t>
  </si>
  <si>
    <t>First Security Corp, Salt Lake City, Utah, (FS) acquired California State Bank, West Covina, California, (CSB) in a stock swap transaction valued at $276.86 mil. FS offered 2.13 common shares per CSB share. Based on FS' closing stock price of $22.875 on June 1, the last full trading day pior to the announcement of the amended terms, each CBS share was valued at $48.724. Previously, FS offered 1.42 common shares per CSB share. Based on FS' closing stock price of $37.1875 on February 18, the last full trading day prior to the announcement, each CSB share was valued at $52.81. The transaction was accounted for as a pooling of interests, and had been subject to federal and state banking regulatory approval.</t>
  </si>
  <si>
    <t>Hollywood Park Inc acquired all the outstanding common stock of Casino Magic Corp (CMC) for $2.27 in cash per share, or a total value of $344.826 mil, including the assumption of approximately $263 mil in liabilities. Subsequently, Grand Casinos withdrew plans to launch an unsolicited tender offer to acquire CMC.</t>
  </si>
  <si>
    <t>Middle Bay Oil Co Inc</t>
  </si>
  <si>
    <t>Middle Bay Oil Co acquired a 79.2% interest in Enex Resources Corp (ER) for $15 per share, or a total of $17. 346 mil. Originally completed its tender offer to acquire all the outstanding common stock of Enex Resources Corp (ER) for $15 per share, or a total value of $21.603 mil, by accepting 1,064,032 shares, or 77.9%.</t>
  </si>
  <si>
    <t>Mastering Inc</t>
  </si>
  <si>
    <t>Provied computer training svcs</t>
  </si>
  <si>
    <t>PLATINUM Technology Inc (PT) acquired Mastering Inc (MI) in a stock swap transaction valued at $198.711 mil. PT offered an amended $12.50 in PT common stock. Originally, PT offered .448 common shares per MI share held. The transaction included MI's Mastering Computers subsidiary. The transaction was accounted for as a pooling of interests and was subject to regulatory approval.</t>
  </si>
  <si>
    <t>Calgon Carbon Corp</t>
  </si>
  <si>
    <t>Mnfr,whl air treatment prod</t>
  </si>
  <si>
    <t>Calgon Carbon Corp withdrew its search for buyer for the company.</t>
  </si>
  <si>
    <t>In February 1998, Lawter International Inc announced that it was seeking a buyer for the company.</t>
  </si>
  <si>
    <t>USinterworking Inc</t>
  </si>
  <si>
    <t>Pvd computer network services</t>
  </si>
  <si>
    <t>USinterworking Inc, a unit of IXC Communications Inc, withdrew its unsolicited offer to acquire a 51% interest, or 20.6 mil common shares, in PSINet Inc for $10 in cash per share, or a total value of 206.2 mil.</t>
  </si>
  <si>
    <t>Capstar Broadcasting Partners</t>
  </si>
  <si>
    <t>Capstar Broadcasting Partners (CBP), a unit of Hicks Muse Tate &amp; Furst, acquired all the outstanding common stock of SFX Broadcasting (SFX) for $1.927 bil, including the assumption of $900 mil in liabilities. CBP offered $75 in cash per SFX Class A common share and $97.5 in cash per SFX Class B common share. The transaction had been subject to regulatory approval. Earlier, in August 1997, CBP was rumored to have planned to acquire SFX.</t>
  </si>
  <si>
    <t>Omnicare Inc (OM) acquired CompScript Inc (CP) in a stock swap transaction valued at $68.386 mil, including the assumption of $7.5 mil in liabilities. CP offered . 12947 common shares per CP share. The transaction was accounted for as a pooling of interests.</t>
  </si>
  <si>
    <t>Union Planters Corp (UP), Memphis, Tennessee, acquired Magna Group Inc (MG), St. Louis, Missouri, in a stock swap transaction valued at $2. 151 bil. UP offered .9686 common shares per MG share. Based on UP's closing stock price of $63.4375 on February 20, the last full trading day prior to the announcement, each MG share was valued at $61.45. The transaction was accounted for as a pooling of interests and had been subject to federal and state banking regulatory approval.</t>
  </si>
  <si>
    <t>Money Store Inc</t>
  </si>
  <si>
    <t>Pvd mortgages svcs</t>
  </si>
  <si>
    <t>First Union Corp (FUC), Charlotte, North Carolina, acquired Money Store (MS) in a stock swap transaction valued at an amended $2.215 bil. FUC offered .5851 common shares per MS common share and .5383 common shares per MS convertible preferred share. Based on FUC's closing stock price of $58.0625 on June 29, the last full trading day prior to the announcement of the exact terms, each MS common share was valued at $33.972 and each MS convertible preferred share was valued at $31.109. Previously, FUC offered $34 in FUC common stock per MS common share and $31.28 in FUC common stock per MS convertible preferred share. The transaction had been subject to regulatory approval. Originally, in February 1998, MS disclosed that it was seeking a buyer for the company.</t>
  </si>
  <si>
    <t>Trusted Information Systems</t>
  </si>
  <si>
    <t>Develop security software</t>
  </si>
  <si>
    <t>Network Associates Inc</t>
  </si>
  <si>
    <t>Pvd network software svcs</t>
  </si>
  <si>
    <t>Network Associates Inc (NA) acquired Trusted Information Systems (TIS) in a stock swap transaction valued at $322. 11mil. NA offered .323 shares per TIS share. Based on NA's closing stock price of $62.5 on February 20, the last full trading day prior to the announcement, each TIS share was valued at $20.19. The transaction was to be accounted for as a pooling of interests.</t>
  </si>
  <si>
    <t>Ben &amp; Jerry's Homemade Inc</t>
  </si>
  <si>
    <t>Dreyers Grand Ice Cream Inc</t>
  </si>
  <si>
    <t>Dryers Grand Ice Cream Inc's planned to launch an unsolicited bid to acquire all the outstanding common shares of Ben &amp; Jerry's Homemade Inc. Terms were not disclosed.</t>
  </si>
  <si>
    <t>Somatogen Inc</t>
  </si>
  <si>
    <t>Dvlp human blood substitutes</t>
  </si>
  <si>
    <t>Baxter International Inc (BI) acquired Somatogen Inc (SI) in a stock swap transaction valued at $232.875 mil. BI offered $9 in common stock and up to $2 in profit- related payments per SI share.</t>
  </si>
  <si>
    <t>Water-Jel Technologies Inc</t>
  </si>
  <si>
    <t>First aid and prods for burns</t>
  </si>
  <si>
    <t>X-Ceed Inc</t>
  </si>
  <si>
    <t>Mnfr,whl first aid burn prods</t>
  </si>
  <si>
    <t>X-Ceed Inc merged with Water- Jel Technologies Inc in a stock swap transaction. Upon completion, WJT was renamed X- Ceed Inc.</t>
  </si>
  <si>
    <t>Wonderware Corp</t>
  </si>
  <si>
    <t>Dvlp process control software</t>
  </si>
  <si>
    <t>Siebe (SE) merged with Wonderware (WD) for $24 in cash per share, or a total value of $362.663. Earlier SE completed its tender offer for WD by accepting 13,662, 162 shares, or 94% of WD's shares. The transaction had been subject to regulatory approval under the Hart-Scott- Rodino Act.</t>
  </si>
  <si>
    <t>Environment/One Corp</t>
  </si>
  <si>
    <t>Mnfr pressure sewer systems</t>
  </si>
  <si>
    <t>Precision Castparts Corp</t>
  </si>
  <si>
    <t>Mnfr metal components,products</t>
  </si>
  <si>
    <t>Precision Castparts Corp (CP) acquired all the outstanding common stock of Environment/ One Corp (EO) for $15.25 in cash per share, or a total value of $68.788 mil. Previously, CP completed its tender offer for EO by accepting 3.65 mil common shares or 86% of EO's common stock outstanding. The offer was conditioned upon at least 67% of EO's shares being tendered on a fully-diluted basis and was subject to regulatory approval under the Hart-Scott-Rodino Anti-Trust Improvements Act.</t>
  </si>
  <si>
    <t>FAC Realty Trust Inc</t>
  </si>
  <si>
    <t>Prometheus Southeast Retail</t>
  </si>
  <si>
    <t>Prometheus Southeast Retail LLC (PSR) raised its stake to 59% from 29.5% in FAC Realty Trust Inc (FAC) by acquiring 10.5 mil common shares for $9. 5 per share, or a total value of $100 mil. Concurrently, PSR agreed to acquire a 6.7% stake, or 2.4 mil common shares in FAC. Also, PSR disclosed intentions to raise its stake to 29.5% from 6.7% in FAC by acquiring 8.1mil common shares.</t>
  </si>
  <si>
    <t>BB&amp;T Corp (BBT), Winston- Salem, North Carolina, acquired Maryland Federal Bancorp of Hyattsville, Maryland, (MFB) in a stock swap transaction valued at $243.565 mil. BBT offered . 5975 common shares per MFB share. Based on BBT's closing stock price of $62 on February 24, the last full trading day prior to the announcement, each MFB share was valued at $37.05. The transaction was subject to federal and state banking regulatory approval.</t>
  </si>
  <si>
    <t>Matlack Systems</t>
  </si>
  <si>
    <t>Apollo Management LP, a unit of Apollo Advisors LP, withdrew its intentions to acquire all the outstanding common shares of Matlack Systems Inc for $12 in cash per share, or a total value of $109.348 mil, via a tender offer. The transaction was subject to regulatory approval.</t>
  </si>
  <si>
    <t>Halliburton Co (HL) merged with Dresser Industries Inc (DI) in a stock swap transaction valued at $7.783 bil. HL offered 1 common share per DI share. Based on HL's closing stock price of $44 on February 25, the last full trading day prior to the announcement, each DI share was valued at $44. The transaction was to be accounted for as a pooling of interests and was subject to regulatory approval. Concurrently, HL was required to divest its pathfinder business to satisfy antitrust requirements.</t>
  </si>
  <si>
    <t>Lancit Media Entertainment Ltd</t>
  </si>
  <si>
    <t>Produce children's TV shows</t>
  </si>
  <si>
    <t>RCN Corp</t>
  </si>
  <si>
    <t>RCN Corp (RCN), a majority- owned unit of Peter Kiewit Sons Inc, acquired Lancit Media Entertainment Ltd (LME) in a stock swap transaction valued at $7.962 mil. RCN offered $1.20 in common stock per LME common share, subject to a collar agreement.</t>
  </si>
  <si>
    <t>Benchmarq Microelectronics Inc</t>
  </si>
  <si>
    <t>Mnfr microprocessors</t>
  </si>
  <si>
    <t>Unitrode Corp</t>
  </si>
  <si>
    <t>Unitrode Corp (UN) acquired Benchmarq Microelectronics Inc (BM) in a stock swap transaction valued at $150. 571 mil. UN offered 1 common share per BM share. Based on BM's closing stock price on February 27, the last full trading day prior to the announcement, each BM share was valued at $18.813. The transaction was accounted for as a pooling of interests, and had been subject to regulatory approval under the Hart-Scott-Rodino Anti-Trust Improvements Act.</t>
  </si>
  <si>
    <t>Coleman Co Inc</t>
  </si>
  <si>
    <t>Mnfr,whl outdoor products</t>
  </si>
  <si>
    <t>Sunbeam (SB) acquired an 82% interest, or 43.8 mil common shares, in Coleman (CL) from MacAndrews &amp; Forbes Holdings Inc, for $1.32 bil. SB offered $6.44 in cash and . 5677 in SB common stock per CL share. The shares were valued based on SB's closing stock price of stock price of $41.75 on February 27, the last full trading day prior to the announcement, each CC share was valued at $30.14. The transaction was subject to regulatory approval under the Hart-Scott-Rodino Antitrust Act.</t>
  </si>
  <si>
    <t>Sunbeam (SC) acquired the remaining 18% interest, or 9. 6 mil common shares, in Coleman Co (CC) in a stock swap transaction valued at $485.990 mil. SC offered $6. 44 in cash, .5677 common shares and .381 warrants per CC share. Based on SC's closing stock price of $41.75 on February 27, the last full trading day prior to the announcement, each CC share was valued at $30.14 The transaction was subject to regulatory approval under the Hart-Scott-Rodino Antitrust Act.</t>
  </si>
  <si>
    <t>DeepTech International</t>
  </si>
  <si>
    <t>El Paso Natural Gas Co (EPNG) merged with DeepTech International Inc (DTI) in a transaction valued at $375. 445 mil. EPNG offered a choice of $14 in cash or $14 in common stock per DTI common share, subject to a collar agreement. By way of the merger, EPNG was to acquire an indirect 23.3% stake in Leviathan Gas Pipeline Partners LP, thus raising its stake to 27.3%.</t>
  </si>
  <si>
    <t>First Alert Inc</t>
  </si>
  <si>
    <t>Mnfr fire and burglar alarms</t>
  </si>
  <si>
    <t>Sunbeam acquired all the outstanding stock of First Alert (FI) for $5.25 in cash per share, or a total value of $129.183 mil. Earlier, Sunbeam completed its tender offer for FI by accepting 23, 288,440 shares, or 93% of FI's total common stock outstanding. The offer had been contingent upon a majority of FI's shares being tendered and subject to regulatory approval under the Hart-Scott-Rodino Antitrust Act.</t>
  </si>
  <si>
    <t>Scopus Technology Inc</t>
  </si>
  <si>
    <t>Dvlp Client/server software</t>
  </si>
  <si>
    <t>Siebel Sys Inc</t>
  </si>
  <si>
    <t>Dvlp bus intelligence software</t>
  </si>
  <si>
    <t>Siebel Systems Inc (SS) acquired Scopus Technology Inc (ST) in a stock swap transaction valued at $490. 661mil. SS offered .36405 common shares per ST share. Based on SS' closing stock price of $61.50 on February 27, the last full trading day prior to the announcement, each ST share was valued at $22.38. The transaction was to be accounted for as a pooling of interests.</t>
  </si>
  <si>
    <t>Sealright Co Inc</t>
  </si>
  <si>
    <t>Manufacture food containers</t>
  </si>
  <si>
    <t>Huhtamaki Oy</t>
  </si>
  <si>
    <t>Mnfr pkg paper,allied prod</t>
  </si>
  <si>
    <t>Finland</t>
  </si>
  <si>
    <t>Huhtamaki Oy (HO) acquired all the outstanding common stock of Sealright Co Inc (SO) for $226.704 mil. HO offered $11 in cash and .5 JPS Packaging common shares, valued at $24.912 mil, per SO share and the assumption of $80 mil in liabilities. The shares were valued based on JPS's closing stock price of $4.5 on July 1, the first full trading day on a non- when-issued basis.</t>
  </si>
  <si>
    <t>Cellular Technical Svcs Co Inc</t>
  </si>
  <si>
    <t>US Wireless Corp</t>
  </si>
  <si>
    <t>Mnfr,whl cellular items</t>
  </si>
  <si>
    <t>US Wireless Corp (USW) terminated its signed letter of intent to merge with Cellular Technical Services Co (CTS) in a stock swap transaction. Terms were not disclosed. Upon completion, USW and CTS were to each have held a 50% interest in the combined company.</t>
  </si>
  <si>
    <t>Community Financial Hldg,NJ</t>
  </si>
  <si>
    <t>Hubco Inc (HUB), Mahwah, New Jersey, acquired Community Financial Holding Corp (CFH), Westmont, New Jersey, in a stock swap transaction valued at $27.055 mil. HUB offered . 695 common shares per CFH share. Based on HUB's closing stock price of $36.375 on March 2, the last full trading day prior to the announcement, each CFH share was valued at $25.28 mil. The transaction had been accounted for as a pooling of interests and had been subject to federal and state banking regulatory approval.</t>
  </si>
  <si>
    <t>Weatherford Enterra Inc</t>
  </si>
  <si>
    <t>EVI Weatherford Inc</t>
  </si>
  <si>
    <t>EVI Inc (EVI) acquired Weatherford Enterra Inc (WE) in a stock swap transaction valued at $2.671 bil. EVI offered .95 newly-issued common shares per WE share. Based on EVI's closing stock price of 52.813 on March 3, the last full trading day prior to the announcement, each WE share was valued at $50.172. The transaction was to be accounted for as a pooling of interests and had been subject to regulatory approval under the Hart-Scott- Rodino Anti-Trust Improvements Act. Upon completion of the reverse takeover, WE was to hold a majority interest in the newly merged entity which was renamed EVI Weatherford Inc.</t>
  </si>
  <si>
    <t>Circus Circus Enterprises Inc</t>
  </si>
  <si>
    <t>Hilton Hotels terminated its negotiations to merge with Circus Circus Enterprises Inc.</t>
  </si>
  <si>
    <t>AP Green Industries Inc</t>
  </si>
  <si>
    <t>Manufacture refractory prod</t>
  </si>
  <si>
    <t>Global Industrial Technologies</t>
  </si>
  <si>
    <t>Global Industrial Technologies Inc (GI) acquired all the outstanding common stock of AP Green Industries Inc (APG) for $22 in cash per share, or a total value of $212.03 mil, including the assumption of $23 mil in liabilities. Earlier, GI completed its tender offer for APG by accepting 7.7 mil shares, or 95.5% of APG's shares. The offer was conditioned upon at least a majority of APG's shares being tendered.</t>
  </si>
  <si>
    <t>Xerox Corp</t>
  </si>
  <si>
    <t>Mnfr bus machines,equipment</t>
  </si>
  <si>
    <t>Xerox Corp (XC) acquired all the outstanding common stock of Intelligent Electronics Inc (IE) for $7.6 in cash per share, or a total value of $342.449 mil. As a result of this transaction, XC indirectly acquired an 80% interest in XLConnect (XL). Concurrently, XC acquired the remaining 20% stake, which it did not already own, in XL. Both transactions had been subject to regulatory approval. Upon completion, IE and XL were merged and renamed Xerox Connect.</t>
  </si>
  <si>
    <t>Samsonite Corp</t>
  </si>
  <si>
    <t>Mnfr luggage bags,suitcases</t>
  </si>
  <si>
    <t>It was rumored that Sunbeam Corp planned to acquire all the outstanding common stock of Samsonite Corp. The Current status of this deal is unknown.</t>
  </si>
  <si>
    <t>XLConnect Solutions Inc</t>
  </si>
  <si>
    <t>Pvd integrated sys design svcs</t>
  </si>
  <si>
    <t>Xerox Corp (XC) acquired the remaining 20% stake, which it did not already own, in XLConnect Solutions Inc (XS), a unit of Intelligent Electronics Inc (IE), for $20 in cash per share, or a total value of $92.992 mil. Concurrently, XC acquired all the outstanding common stock of IE. Each transaction had been subject to regulatory approval. Upon completion, XS and IE were merged and renamed Xerox Connect.</t>
  </si>
  <si>
    <t>Alumax Inc</t>
  </si>
  <si>
    <t>Mnfr aluminum products</t>
  </si>
  <si>
    <t>Aluminum Co of America</t>
  </si>
  <si>
    <t>Mnfr,whl alum products</t>
  </si>
  <si>
    <t>Aluminum Co of America (Alcoa) acquired Alumax Inc (AI) for $3.944 bil, including the assumption of $1.047 in liabilities, in a two-tier stock swap transaction. Earlier, Alcoa completed its tender offer by accepting 27.5 mil shares or 51% of AI's shares. Initially, Alcoa offered $50 cash per share for 50% of AI common stock. In the second step of the transaction, Alcoa offered .6975 common shares per share for remaining 50% of AI common stock. The stock portion of the transaction was valued at $1.44 bil based on Alcoa's closing stock price of $70.8125 on March 5, the last full trading day prior to announcement.</t>
  </si>
  <si>
    <t>PBD Holdings LP</t>
  </si>
  <si>
    <t>Invst co</t>
  </si>
  <si>
    <t>PBD Holdings LP acquires all the outstanding common stock of Major Realty Corp, a majority-owned unit of Acceptance Insurance Co, for $1.25 in cash per share, or a total value of $11.131 mil.</t>
  </si>
  <si>
    <t>Proxima Corp</t>
  </si>
  <si>
    <t>Mnfr PC liq crys display prods</t>
  </si>
  <si>
    <t>ASK AS</t>
  </si>
  <si>
    <t>Mnfr liquid crystal displays</t>
  </si>
  <si>
    <t>ASK ASA merged with Proxima Corp (PC) for $11 in cash per share, or a total value of $82.886 mil. Earlier, ASK completed its tender offer, by accepting 6,596,224 shares. The transaction had been subject to a majority of PC's shares being tendered and to regulatory aproval under the Hart-Scott-Rodino Anti-Trust Improvements Act.</t>
  </si>
  <si>
    <t>Tappan Zee Financial Inc</t>
  </si>
  <si>
    <t>USB Holding Co Inc,Orangeburg</t>
  </si>
  <si>
    <t>USB Holding Inc (USB) acquired Tappan Zee Financial Inc (TZF) in a stock swap transaction valued at an amended $25.459 mil. USB offered 1.12 common shares per TZF share. Based on USB's closing stock price of $15 on August 28, the last full trading day prior to the announcement, each TZF share was valued at $16.8. Previously, USB agreed to acquire TZF in a stock swap valued at $33.778 mil. USB offered $22 in common stock per TZF common share, subject to collar agreeement. The transaction ahd been accounted for as a pooling of interests and was subject to federal and state banking regulatory approval.</t>
  </si>
  <si>
    <t>United Dental Care Inc</t>
  </si>
  <si>
    <t>Pvd dental svcs to subscribers</t>
  </si>
  <si>
    <t>Protective Life Corp</t>
  </si>
  <si>
    <t>Protective Life Corp (PLC) acquired United Dental Care (UDC) in a stock swap transaction valued at $180. 447 mil. PLC offered $9.31 in cash and .14465 common shares on a 2-for-1 pre-stock split basis per UDC share. Based on PLC's closing stock price of $71 on March 10, the last full trading day prior to the announcement, each UDC share was valued at $19.58. Previously, UDC was in negotiations to divest the company to an undisclosed acquiror for approximately $19.00 per share.</t>
  </si>
  <si>
    <t>Avalon Properties Inc</t>
  </si>
  <si>
    <t>Bay Apartment Communites Inc</t>
  </si>
  <si>
    <t>Bay Apartment Communities (BAC) merged with Avalon Properties (AP) in a stock swap transaction valued at $1. 847 bil, including the assumption of $646 mil in liabilities. BAC offered . 7683 common shares per AP share. Based on BAC's closing stock price of $37 on March 6, the last full trading day prior to the announcement, each AP share was valued at $28.427. The transaction had been subject to regulatory approval. Upon completion of the reverse takeover, BAC was renamed Avalon Bay Communities.</t>
  </si>
  <si>
    <t>First Colorado Bancorp Inc,CO</t>
  </si>
  <si>
    <t>Commercial Federal Corp (CF), located in Omaha, Nebraska, acquired First Colorado Bancorp Inc (CB), located in Lakewood, Colorado, in a stock swap transaction valued at an amended $449.529 mil. CF offered 0.9847 common shares per CB share. Based on CF's closing stock price of $25.9375 on August 10, the last full trading day prior to the amendment of terms, each CB share was valued at $25.541. Originally, CF agreed to acquire CB in a stock swap transaction valued at $531.118 mil. CF offered $30 in common stock per CF common share, subject to a collar agreement. The transaction was to be accounted for as a pooling of interests and was subject to federal and state banking regulatory approval.</t>
  </si>
  <si>
    <t>John Alden Financial Corp</t>
  </si>
  <si>
    <t>Life,health insurance hldg co</t>
  </si>
  <si>
    <t>Fortis BV(Fortis AG,AMEV)</t>
  </si>
  <si>
    <t>Fortis BV, a joint venture between Fortis AG and AMEV NV, acquired all the outstanding common shares of John Alden Financial Corp for $22.50 in cash per share, or a total value of $583.113 mil.</t>
  </si>
  <si>
    <t>Qwest Communications International (QC) acquired LCI International (LCI) in a stock swap transaction valued at $4.4 bil. QC offered $42 in common stock per LCI share, subject to a collar agreement. The transaction was subject to regulatory approval.</t>
  </si>
  <si>
    <t>Premier Laser Systems terminated its plans to acquire the remaining 49% interest, or 2.036 mil common shares, which it did not already own, in Ophthalmic Imaging Systems Inc.</t>
  </si>
  <si>
    <t>PriCellular Corp</t>
  </si>
  <si>
    <t>American Cellular Corp</t>
  </si>
  <si>
    <t>American Cellular Corp (AC) acquired all the outstanding common stock and convertibles of PriCellular Corp, including minority stakes held by AT&amp;T and Thomas H Lee Co, for $14 in cash per share, or a total value of $1.385 bil, including the assumption of $600 mil in liabilities. The transaction had been subject to regulatory approval under the Hart-Scott- Rodino Anti-Trust Improvements Act and by the Federal Communications Commission.</t>
  </si>
  <si>
    <t>3-D Geophysical Inc</t>
  </si>
  <si>
    <t>Pvd oil,gas field exploration</t>
  </si>
  <si>
    <t>Western Atlas (WA) acquired all the outstanding common stock of 3-D Geophysical (3D) for $9.65 in cash per share, or a total value of $117.572 mil. Previously, WA completed its tender offer for 3D by accepting 11.23 mil shares or 94.26% of 3D's shares. The offer was conditioned upon at least a majority of 3D's shares being tendered and was subject to regulatory approval under the Hart-Scott- Rodino Anti-Trust Improvements Act.</t>
  </si>
  <si>
    <t>Corcom Inc</t>
  </si>
  <si>
    <t>Manufacture radio filters</t>
  </si>
  <si>
    <t>Communications Instruments Inc</t>
  </si>
  <si>
    <t>Mnfr,whl relay systems</t>
  </si>
  <si>
    <t>Communications Instruments Inc, a unit of Code Hennessy &amp; Simmons LLC's CII Technologies Inc subsidiary, acquired all the outstanding common stock of Corcom Inc for $13 in cash per share, or a total value of $51.745 mil. The transaction was subject to regulatory approval.</t>
  </si>
  <si>
    <t>IP Forest Resources Co</t>
  </si>
  <si>
    <t>IP Forest Resources, a wholly-owned unit of International Paper (IP), acquired the remaining 16% stake, or 7,229,500 Class A Depository Units, which it did not already own, in IP Timberlands (IPT), also a unit of IP, for $13.6325 in cash per unit, or a total value of $99.51 mil in cash. As a result of the transaction, IP will indirectly own 100% of IPT.</t>
  </si>
  <si>
    <t>Portec Inc</t>
  </si>
  <si>
    <t>Mnfr railroad track components</t>
  </si>
  <si>
    <t>J Richard Industries Inc</t>
  </si>
  <si>
    <t>J Richard Industries, a unit of Code Hennessy &amp; Simmons, acquired all the outstanding stock of Portec Inc for $16 in cash per share or a total value of $76.485 mil.</t>
  </si>
  <si>
    <t>Southern Pacific Funding,OR</t>
  </si>
  <si>
    <t>Special purpose finance subs</t>
  </si>
  <si>
    <t>619B</t>
  </si>
  <si>
    <t>In March 1998, Imperial Credit Industries, a unit of Imperial Bancorp's Imperial Bank subsidiary, announced that it was seeking a buyer for all the outstanding common stock of its Southern Pacific Funding Corp subsidiary, located in Lake Oswego, Oregon.</t>
  </si>
  <si>
    <t>An investor group, comprised of Michael Blake and Brian Danzis, withdrew its challenging offer to acquire all the outstanding common stock of ValueVision International (VVI) for $5.50 per share, or a total value of $155.984 mil. Previously, National Media agreed to merge with VVI.</t>
  </si>
  <si>
    <t>Fund AM Enterprises Hldgs</t>
  </si>
  <si>
    <t>Property casualty insurance</t>
  </si>
  <si>
    <t>Fund American Enterprises Holdings Inc withdrew its planned to make a challenging offer to acquire the remaining 86.6% interest of the fully diluted common stock outstanding, which it did not already own in White River Corp for an amended $90 per share, or a total of $547. 12 mil. Originally, FA offered $85 in cash per share. Previously, Harvard Capital Private Group amended its offer to acquire White River for $89 per share from $82.02 per share.</t>
  </si>
  <si>
    <t>Aquila Gas Pipeline Corp</t>
  </si>
  <si>
    <t>In March 1998, Aquila Energy Corp, a unit of UtiliCorp United Inc, withdrew its search buyer for its 82% interest in Aquila Gas Pipeline Corp subsidiary. Western Gas Resources Inc was mentioned as a potential bidder.</t>
  </si>
  <si>
    <t>Western Gas Resources Inc</t>
  </si>
  <si>
    <t>Western Gas Resources Inc was rumored to acquire all the outstanding common stock of Aquila Gas Pipeline Corp. The Current status of this deal is unknown.</t>
  </si>
  <si>
    <t>Grist Mill Co</t>
  </si>
  <si>
    <t>Granola bars, natural cereal</t>
  </si>
  <si>
    <t>International Home Foods Inc</t>
  </si>
  <si>
    <t>Produce,whl canned specialties</t>
  </si>
  <si>
    <t>International Home Foods acquired all the outstanding common stock of Grist Mill (GM) for $14.50 in cash per share, or a total value of $110.279 mil, including the assumption of $5 mil in liabilities. Previously, IH completed its tender offer for GM by accepting 6,191,663 shares, or 90.2% of it's common shares outstanding.</t>
  </si>
  <si>
    <t>USA Waste Management Inc (USA) merged with Waste Management Inc (WM) in a reverse stock swap transaction valued at $13.3 bil. USA offered .725 common shares per WM share. Based on USA's closing stock price of $39.125 on March 10, the last full trading day prior to the announcement, each WM share was valued at $28.366. Upon completion, WM shareholders held a 60% interest in the merged entity, which retained the name Waste Management Inc. The transaction was accounted for as a pooling of interests and had been subject to regulatory approval under the Hart-Scott- Rodino Anti-Trust Improvements Act.</t>
  </si>
  <si>
    <t>Life Financial Corp,CA</t>
  </si>
  <si>
    <t>FirstPlus Financial Group Inc</t>
  </si>
  <si>
    <t>Pvd finl credit svcs</t>
  </si>
  <si>
    <t>FirstPlus Financial Group Inc terminated its plans to merge with Life Financial Corp, Riverside, California, for an estimated $138 mil in a stock swap transaction. The transaction was to be accounted for as a pooling of interests and was subject to federal and state banking regulatory approval.</t>
  </si>
  <si>
    <t>Metromail Corp</t>
  </si>
  <si>
    <t>Pvd direct-mail advg svcs</t>
  </si>
  <si>
    <t>Great Universal Stores PLC</t>
  </si>
  <si>
    <t>Own,op mail order house</t>
  </si>
  <si>
    <t>US - Great Universal Stores (GUS) acquired all the outstanding common stock of Metromail Corp (MC) for $34.5 in cash per share, or a total value of $837.889 mil, including the assumption of $61 mil in liabilities. Earlier GUS completed its sweetened tender offer by accepting 20.975 mil shares, or 91% of MC's shares, including a 37.3% stake from RR Donnelley &amp; Sons. Originally, GUS offered $31.5 in cash per share. Previously, American Business Information Inc terminated its sweetened, challenging, unsolicited tender offer to acquire all the outstanding common shares of MC for $37. 675 per share. The consideration consisted of $35 in cash and .2 ABI common shares per share.</t>
  </si>
  <si>
    <t>Beverly Bancorp,Tinley Park,IL</t>
  </si>
  <si>
    <t>St Paul Bancorp (SP), Chicago, Illinois, acquired Beverly Bancorp (BB), Tinley Park, Illinois, in a stock swap transaction valued at $161.764 mil. SP offered 1. 063 common shares per BB share. Based on SP's closing stock price of $26.4375 on March 13, the last full trading day prior to the announcement, each BB share was valued at $28.103. The transaction was accounted for as a pooling of interests and had been subject to federal and state banking regulatory approval.</t>
  </si>
  <si>
    <t>Brown &amp; Sharpe Manufacturing</t>
  </si>
  <si>
    <t>Thermo Instrument Systems (TI), a majority-owned unit of Thermo Electron Corp, withdrew its sweetened offer to acquire Brown &amp; Sharpe Manufacturing Co (BSM) for $15.50 per share, or a total value of $212.318 mil. Originally, TI offered $13.50 per BSM share.</t>
  </si>
  <si>
    <t>Pollo Tropical Inc</t>
  </si>
  <si>
    <t>A management-led investor group, including co-founder Larry J. Harris, terminated its plans to launch a tender offer to acquire all the outstanding common stock of Pollo Tropical (PT) for $10 in cash per share, or a total value of $85.771 mil, in a leveraged buyout transaction. Subsequently, Carrols Corp acquired all the outstanding common stock of PT via a tender offer for $11 in cash per share, or a total value of $94.584 mil.</t>
  </si>
  <si>
    <t>American General Hospitality</t>
  </si>
  <si>
    <t>CapStar Hotel Co</t>
  </si>
  <si>
    <t>US - CapStar Hotel Co (CH) merged with American General Hospitality Corp (AG) to form MeriStar Hospitality Corp (MH) in a stock swap merger of equals transaction valued at $1.211 bil. AG shareholders were to receive 0.8475 MH common shares and CH shareholders were to receive 1 MH common share per share held. Based on CH's closing stock price of $35.75 on March 13, the last full trading day prior to the announcement, each AG share was valued at $42.183. Previously, CapStar spun-off its hotel operations and management business to its shareholders.</t>
  </si>
  <si>
    <t>Foamex International Inc</t>
  </si>
  <si>
    <t>Mnfr,whl plastic foam products</t>
  </si>
  <si>
    <t>Trace International Holdings</t>
  </si>
  <si>
    <t>Mnfr auto parts;wall coverings</t>
  </si>
  <si>
    <t>US- Trace International Holdings Inc (TIH) withdrew its unsolicited offer to acquire the remaining 53.75% interest, which it did not already own, in Foamex International Inc for for an amended $12 in cash per share, or a total value of $166.634 mil. TIH originally offered $17 in cash per share, or a total value of $247.395 mil. The transaction was subject to regulatory approval.</t>
  </si>
  <si>
    <t>Logic Works Inc</t>
  </si>
  <si>
    <t>Develop client/server software</t>
  </si>
  <si>
    <t>PLATINUM Technology (PT) acquired Logic Works (LW) in a stock swap transaction valued at $212.907 mil. PT offered .5769 common shares per LW share. Based on PT's closing stock price of $26. 5625 on March 13, the last full trading day prior to the announcement, each LW share was valued at $15.32. The transaction was accounted for as a pooling of interests.</t>
  </si>
  <si>
    <t>Norwood Promotional Products</t>
  </si>
  <si>
    <t>Mnfr promotional prods</t>
  </si>
  <si>
    <t>FPK LLC</t>
  </si>
  <si>
    <t>FPK LLC, a company formed by Chairman and Chief Executive Officer Frank P Krasovec, acquired all the outstanding common stock of Norwood Promotional Products Inc for $20.70 in cash per share, or a total value of $107.787 mil. The transaction was subject to regulatory approval under the Hart-Scott-Rodino Anti- Trust Improvements Act.</t>
  </si>
  <si>
    <t>Prime Motor Inns LP</t>
  </si>
  <si>
    <t>Operate hotels; holding co</t>
  </si>
  <si>
    <t>Servico Inc acquired a 50% interest, or 2 mil common shares, in Prime Motor Inns LP.</t>
  </si>
  <si>
    <t>360 Communications Co</t>
  </si>
  <si>
    <t>Alltel Corp</t>
  </si>
  <si>
    <t>ALLTEL (AT) merged with 360 Communications (CC) in a stock swap transaction valued at $5.949 bil, including the assumption of $1.8 bil in liabilities. AT offered .74 common shares per CC share. Based on AT's closing stock price of $45.8125 on March 13, the last full trading day prior to the announcement, each CC share was valued at $33.9. The transaction was accounted for as a pooling of interests and had been subject to regulatory approval. Previously, AT was rumored to be in negotiations to acquire CC.</t>
  </si>
  <si>
    <t>Washington Mutual Inc (WM), Seattle, Washington, acquired HF Ahmanson &amp; Co (HF), Irwindale, California, in a stock swap transaction valued at an amended $14.725 bil. WM offered 1.68 common shares per HF share. Based on WM's closing stock price of $71.75 on March 16, the last full trading day prior to the announcement, each HF share was valued at $120.54. Originally, WM agreed to acquire HF in a stock swap transaction valued at $9.015 bil. WM offered 1.12 common shares per HF share. The transaction had been accounted for as a pooling of interests and was subject to federal and state banking regulatory approval.</t>
  </si>
  <si>
    <t>BET Holdings Inc</t>
  </si>
  <si>
    <t>A management-led investor group, including Chief Executive Robert L Johnson and Liberty Media, a unit of Tele-Communications, acquired the remaining 42% stake on a fully-diluted basis, that it did not already own, in BET Holdings, for a sweetened $63 in cash per share, or a total value of $462.285 mil. Originally, the investor group offered $48 in cash per share.</t>
  </si>
  <si>
    <t>ForeFront Group Inc</t>
  </si>
  <si>
    <t>CBT Group PLC</t>
  </si>
  <si>
    <t>Dvlp educational software</t>
  </si>
  <si>
    <t>CBT Group PLC (CBT) merged with ForeFront Group PLC (FGP) in a stock swap transaction valued at $147.47 mil. CBT offered 0.3137 American Depositary shares per FGP share. Based on CBT's closing stock price of $50 on March 16, the last full trading day prior to the announcement, each FGP share was valued at $15.685. The transaction was to be accounted for as a pooling of interests and was subject to regulatory approval.</t>
  </si>
  <si>
    <t>Medusa Corp</t>
  </si>
  <si>
    <t>Manufacture cement</t>
  </si>
  <si>
    <t>Southdown Inc</t>
  </si>
  <si>
    <t>Mnfr cement; limestone mining</t>
  </si>
  <si>
    <t>Southdown (SD) acquired Medusa (MD) in a stock swap transaction valued at $1.053 bil. SD offered .88 common shares per MD share. Based on SD's closing stock price of $69.5625 on March 17, the last full trading day prior to the announcement, each MD share was valued at $61.215. The transaction was accounted for as a pooling of interests and had been subject to regulatory approval under the Hart-Scott-Rodino Antitrust Act.</t>
  </si>
  <si>
    <t>Chase Manhattan Corp,NY</t>
  </si>
  <si>
    <t>Chase Manhattan Corp denied rumors to be planning to acquire all the outstanding common shares of Merrill Lynch &amp; Co Inc.</t>
  </si>
  <si>
    <t>American Business Information</t>
  </si>
  <si>
    <t>Pvd bus to bus mktg info svcs</t>
  </si>
  <si>
    <t>US- American Business Information (ABI) withdrew its unsolicited challenging tender offer to acquire all the outstanding common shares of Metromail Corp for a sweetened $37.675 per share, or a total $909.386 mil including $61 mil in liabilities. The consideration was to consist of $35 in cash and .2 ABI common shares per share. The stock portion of the consideration was valued at $2.675 per share based on ABI's closing stock price $13. 375 on March 27, the last full trading day prior to the announcement of amended terms. Originally, ABI offered $33 in cash per share. Concurrently, Great Universal Stores PLC completed its sweetened tender offer to acquire all the outstanding common stock of Metromail Corp.</t>
  </si>
  <si>
    <t>Bank of South Windsor,Windsor</t>
  </si>
  <si>
    <t>New England Cmnty Bancorp,CT</t>
  </si>
  <si>
    <t>New England Community Bancorp (NECB), Windsor, Connecticut, acquired Bank of South Windsor (BSW), Windsor, Connecticut, in a stock swap transaction valued at an amended $29.065 mil. NECB offered 1.35 NECB common shares per BSW share. Based on NECB's closing stock price of $20.625 on August 13, the last full trading day prior to the announcement of the amended terms, each BSW share was valued at $27.844. The trasaction was to be accounted for as a pooling of interests and had been subject to federal and state banking regulatory approval. Previously, NECB offered 1. 3204 share per BSW share.</t>
  </si>
  <si>
    <t>Caye Chapel Inc</t>
  </si>
  <si>
    <t>Oilex Inc</t>
  </si>
  <si>
    <t>Pvd oil,gas exploration svcs</t>
  </si>
  <si>
    <t>Oilex Inc was in negotiations to merge with Caye Chapel Inc.</t>
  </si>
  <si>
    <t>PS Group Holdings Inc</t>
  </si>
  <si>
    <t>Pvd aircraft leasing services</t>
  </si>
  <si>
    <t>American Telecommun Standards</t>
  </si>
  <si>
    <t>American Telecommunication Standards International Inc (ATS) merged with PS Group Holdings Inc (PS). Upon completion of the reverse takeover, PS held a majority interest in the combined company, which retained the PS Group Holdings Inc name.</t>
  </si>
  <si>
    <t>JeffBanks Inc,Philadelphia,PA</t>
  </si>
  <si>
    <t>JeffBanks Inc, Philadelphia, Pennsylvania, (JB) acquired Regent Bancshares Corp, Philadelphia, Pennsylvania, (RB) in a stock swap transaction valued at $48.822 mil. JB offered 0.303 common shares per RB share. Based on JB's closing stock price of $49 on March 18, the last full trading day prior to the announcement, each RB share was valued at $14.847. The transaction had been accounted for as a pooling of interests and was subject to federal and state banking regulatory approval.</t>
  </si>
  <si>
    <t>Fireplace Manufacturers Inc</t>
  </si>
  <si>
    <t>Mnfr metal fireplace systems</t>
  </si>
  <si>
    <t>Desa International Inc</t>
  </si>
  <si>
    <t>Mnfr,whl heating appliances</t>
  </si>
  <si>
    <t>DESA International acquired all the outstanding common stock of Fireplace Manufacturers for $7.14 in cash per share, or a total value of $27.3101 mil.</t>
  </si>
  <si>
    <t>Bristol Hotel Co</t>
  </si>
  <si>
    <t>FelCor Lodging Trust Inc</t>
  </si>
  <si>
    <t>FelCor Suite Hotels (FSH) acquired Bristol Hotel Co's real estate assets (BH), including a 30% stake held by Bass PLC, in a stock swap transaction valued at $1.793 bil, including the assumption of $700 mil in liabilities. FSH offered 0.685 common shares per BH share. Based on FSH's closing stock price of $36.25 on March 20, the last full trading day prior to the announcement, each BH share was valued at $24.83.</t>
  </si>
  <si>
    <t>Fort Bend Holding,Rosenberg,TX</t>
  </si>
  <si>
    <t>Millers Mutual Fire Insurance</t>
  </si>
  <si>
    <t>Fire insurance co</t>
  </si>
  <si>
    <t>Millers Mutual Fire Insurance terminated its plans to acquire all the outstanding common stock of Fort Bend Holding for between $28 and $32 in cash per share, or a total value of $72.889 mil, based on the high price in the range.</t>
  </si>
  <si>
    <t>Global Motorsport Group Inc</t>
  </si>
  <si>
    <t>Wholesale motorcycle parts</t>
  </si>
  <si>
    <t>Golden Cycle LLC</t>
  </si>
  <si>
    <t>Mnfr motorcycle parts</t>
  </si>
  <si>
    <t>US - Golden Cycle LLC (GC) withdrew its tender offer to acquire the remaining 89.6% interest, which it did not already own, in Global Motorsport Group Inc (GMG) for an amended $20 in cash per share, or a total value of $100.869 mil. Originally GC offered $18 cash per share, or a total value of $89.565 mil. Subsequently, Fremont Partners withdrew its letter of intent to acquire all the outstanding common stock of GMG.</t>
  </si>
  <si>
    <t>JPE Inc</t>
  </si>
  <si>
    <t>Mnfr,whl motor vehicle parts</t>
  </si>
  <si>
    <t>In August 1998, JPE Inc withdrew its search for a buyer for the company. Originally, in March 1998, JPE announced that it was seeking a buyer for the company.</t>
  </si>
  <si>
    <t>Ultra Pac Inc</t>
  </si>
  <si>
    <t>Mnfr packaging marerial</t>
  </si>
  <si>
    <t>Ivex Packaging Corp (IP), a majority-owned unit of Acadia Partners (AP), acquired all the outstanding common stock of Ultra Pac Inc (UP) for $15. 5 in cash per share, or a total value of $63.92 mil. Previously, IP completed its tender offer to acquire UP by accepting 3.5 mil shares or 90.25% of AP's shares. The offer was conditioned upon at least a majority of UP's shares being tendered on a fully-diluted basis and was subject to Hart-Scott-Rodino regulatory approval.</t>
  </si>
  <si>
    <t>Insilco Corp</t>
  </si>
  <si>
    <t>Mnfr auto,elec, &amp; electn parts</t>
  </si>
  <si>
    <t>DLJ Merchant Banking Partners II, a unit of Donaldson, Lufkin &amp; Jenrette, acquired a 90% interest, or 3.673 mil common shares, in Insilco (IL) for $425.268 mil. The consideration consisted of $43.48 in cash and $1.52 in stock per IL's share and the assumption of approximately $260 mil of liabilities. The transaction had been subject to regulatory approval under the Hart-Scott-Rodino Antitrust Improvements Act.</t>
  </si>
  <si>
    <t>ITG Inc</t>
  </si>
  <si>
    <t>Pvd securities brokerage svcs</t>
  </si>
  <si>
    <t>Jefferies Group (JG) completed the spinoff of its 82% interest in Investment Technologies Group Inc (ITGI) in a transaction valued at $975 mil. JG shareholders received 1 new ITGI share for every JG share held. The shares were valued based on ITGI's closing stock price of $40.3125 on April 27, the first full trading day on which the shares were distributed.</t>
  </si>
  <si>
    <t>Walsh International Inc</t>
  </si>
  <si>
    <t>Pvd sales systems dvlp svcs</t>
  </si>
  <si>
    <t>Cognizant Corp</t>
  </si>
  <si>
    <t>Pvd audience measurement svcs</t>
  </si>
  <si>
    <t>Cognizant Corp (CC) acquired all the outstanding common stock of Walsh International (WI) in a stock swap transaction valued at $176. 795 mil. CC offered 0.3041 common shares per WI share, subject to a collar agreement. Based on CC's closing stock price of $52.3125 on March 23, the last full trading day prior to the announcement, each WI share was valued at $15.908. Upon completion, CC separated into two public corporations: IMS Health and Nielsen Media Research. WI was merged with IMS Health, which was spun off.</t>
  </si>
  <si>
    <t>Data Transmission Network Corp</t>
  </si>
  <si>
    <t>Pvd information,commun svcs</t>
  </si>
  <si>
    <t>An investor group, led by Mr Jerrold S Pressman, terminated its unsolicited offer to acquire all the outstanding common stock of Data Transmission Network Corp for between $36 and $41 per share, or a total value of $505.444 mil. The value was based on the high price in the range.</t>
  </si>
  <si>
    <t>Matrix Capital Corp,Denver,Co</t>
  </si>
  <si>
    <t>Fidelity National Financial (FNF) terminated its definitive agreement to merge with Matrix Capital Corp (MCC) in a stock swap transaction valued at $193.117 mil. FNF offered 0.8 common shares per MCC share, subject to a collar agreement. Based on FNF's closing stock price of $34.9375 on March 24, the last full trading day prior to the announcement, each MCC share was valued at $27.95. The transaction was to be accounted for as a pooling of interests, and was subject to regulatory approval.</t>
  </si>
  <si>
    <t>Sumitomo Bank of California</t>
  </si>
  <si>
    <t>Zions Bancorp (ZB), Salt Lake City, Utah, acquired all the outstanding stock of Sumitomo Bank of California (SBK), San Francisco, California, an 85.2%-owned unit of Sumitomo Bank (SB), for $544.313 mil in cash. ZB offered $38.25 in cash per share to public shareholders and $32.26 in cash per share to SB. The transaction was subject to federal and state banking regulatory approval. Originally, in December 1997, SB disclosed that it was seeking a buyer for its 85.2% interest in its SBK.</t>
  </si>
  <si>
    <t>Aviation Sales Co</t>
  </si>
  <si>
    <t>Wholesale aircraft parts</t>
  </si>
  <si>
    <t>Aviation Sales (AS) acquired Whitehall Corp (WC) in a stock swap transaction valued at $139.924 mil, including the assumption of $9.4 mil in liabilities. AS offered .5143 common shares per WC share. Based on AS' closing stock price of $43.875 on March 25, the last full trading day prior to the announcement, each WC share was valued at $22.565. The transaction was to be accounted for as a pooling of interests and had been subject to regulatory approval.</t>
  </si>
  <si>
    <t>Atrix International Inc</t>
  </si>
  <si>
    <t>Mnfr,whl hardware</t>
  </si>
  <si>
    <t>Firamada Inc</t>
  </si>
  <si>
    <t>Firamada Inc withdrew its intentions to merge with Atrix Inc in a stock swap transaction. Terms were not disclosed.</t>
  </si>
  <si>
    <t>Grand Prix Assoc Of Long Beach</t>
  </si>
  <si>
    <t>Own,op motorsport facilities</t>
  </si>
  <si>
    <t>Dover Downs Entertainment Inc</t>
  </si>
  <si>
    <t>Own,op race track,casinos</t>
  </si>
  <si>
    <t>Dover Downs Entertainment Inc (DDE) acquired Grand Prix Association of Long Beach Inc (GPA) in a stock swap transaction valued at $ $90. 97 mil. DDE offered .63 shares per GPA share, subject to a collar agreement. Based on DDE's closing stock price of $29.0625 on March 26, the last full trading day prior to the announcement, each GPA share was valued at $18.309. The value included DDE's acquisition of a 14.6% stake, or 680,000 common shares, in GPA from Penske Motorsports Inc and Speedway International Corp for $15.50 in cash per share, or a total value of $10.54 mil, in a privately negotiated transaction. The transaction was subject to regulatory approval under the Hart-Scott- Rodino Anti-Trust Improvement Act.</t>
  </si>
  <si>
    <t>International Specialty Prods</t>
  </si>
  <si>
    <t>ISP Holdings Inc</t>
  </si>
  <si>
    <t>Mnfr industrial chemicals</t>
  </si>
  <si>
    <t>US - ISP Holdings (ISPH) acquired the remaining 16% stake, or 15.557 mil common shares, which it did not already own, in International Specialty Products Inc (ISPI) in a stock swap transaction valued at USD 404.546 mil. ISPH offered 1 new publicly- traded common share in the surviving corporation, which was to retain the International Specialty Products name, per ISPI share. The shares were valued based on the new ISPI's closing stock price on USD 17.94 on 15 July 1998, the first full trading day of the new ISPI shares. ISPH's interest in the surviving company was reduced by 26.67 mil shares to 53.83 mil common shares, or 78% of those outstanding after the merger.</t>
  </si>
  <si>
    <t>Mego Financial Corp</t>
  </si>
  <si>
    <t>Dvlp,op timeshare prop</t>
  </si>
  <si>
    <t>Sycamore Partners LLC</t>
  </si>
  <si>
    <t>Sycamore Partners LLC terminated its definitive agreement to acquire all the outstanding common stock of Mego Financial Corp for between $5.71 and $5.75 in cash per share, or a total value of $188.411, including the assumption of $67.6 mil in liabilities. The value was based on the high price in the range. The transaction was subject to regulatory approval.</t>
  </si>
  <si>
    <t>Dorel Industries Inc</t>
  </si>
  <si>
    <t>Household Furniture (Except Wood and Metal) Manufacturing</t>
  </si>
  <si>
    <t>Dorel Industries (DI) Inc acquired Ameriwood Industries International Corp (AI) for $9.625 in cash per share, or a total value of $42.464 mil. Previously, DI completed its tender offer by accepting 4, 074,429 shares, or 94% of AI's shares. The offer was conditioned upon at least a majority of AI's shares being tendered.</t>
  </si>
  <si>
    <t>Knowledge Beginnings Inc</t>
  </si>
  <si>
    <t>Own,operate child care centers</t>
  </si>
  <si>
    <t>Knowledge Beginnings Inc, a unit of Knowledge Universe, acquired all the outstanding common stock of Children's Discovery Centers of America (CDC) via a tender offer for $12.25 in cash per share, or a total of $89.101 mil. The offer had been conditioned upon at least a majority of CDC's shares being tendered.</t>
  </si>
  <si>
    <t>Ambanc Corp,Vincennes,Indiana</t>
  </si>
  <si>
    <t>US - Union Planters Corp (UP) , Memphis, Tennessee, merged with Ambanc Corp (AB), Vincennes, Indiana, in a stock swap transaction valued at $210.829 mil. UP offered . 4841 common shares per AB share. Based on UP's closing stock price of $62.1875 on March 31, the last full trading day prior to the announcement, each AB share was valued at $30.1. The transaction was to be accounted for as a pooling of interests, and was subject to federal and state banking regulatory approval.</t>
  </si>
  <si>
    <t>Dime Financial Corp</t>
  </si>
  <si>
    <t>Hubco Inc, Mahwah, New Jersey, (HI) acquired Dime Financial (DF) in a stock swap transaction valued at $214.003 mil. HI offered $38. 25 in common stock per DF common share, subject to a collar agreement. The transaction had been accounted for as a pooling of interests and had been subject to federal and state banking regulatory approval.</t>
  </si>
  <si>
    <t>Fresh Juice Co Inc</t>
  </si>
  <si>
    <t>Produce and whl orange juice</t>
  </si>
  <si>
    <t>Saratoga Beverage Group Inc (SB) acquired all the outstanding common stock of Fresh Juice Co (FJ) for an amended $18.929 mil. The consideration consisted of an amended $2.244 in cash and . 33 common shares per FJ share. The shares were valued based on SB's closing stock price of $2.063 on October 13, the last full trading day prior to the terms being amended. Earlier, SB offered $3.35 in cash per share, or a total value of $21.906 mil. Originally, SB offered $3.75 per FJ share.</t>
  </si>
  <si>
    <t>IBS Financial Corp</t>
  </si>
  <si>
    <t>Hubco Inc, Mahwah, New Jersey, (HI) acquired IBS Financial Corp (IBS) in a stock swap transaction valued at $242.426 mil. HI offered 0. 534 common shares per IBS share. Based on HI's closing stock price of $38.8125 on March 30, the last full trading day prior to the announcement, each IBS share was valued at $20.726. The transaction had been accounted for as a pooling of interests and had been subject to federal and state regulatory banking approval.</t>
  </si>
  <si>
    <t>IBAH Inc</t>
  </si>
  <si>
    <t>Omnicare Inc (OC) acquired IBAH Inc (IB) in a stock swap transaction valued at $154.26 mil. OC offered $5.75 in common stock per IB share. The transaction accounted for as a pooling of interests and had been subject ot regulatory approval under the Hart-Scott-Rodino Anti-Trust Improvements Act.</t>
  </si>
  <si>
    <t>Thermo Voltek Corp</t>
  </si>
  <si>
    <t>Thermedics(Thermo Electron)</t>
  </si>
  <si>
    <t>Mnfr biomedical systems</t>
  </si>
  <si>
    <t>Thermedics Inc (TI), a majority-owned unit of Thermo Electron Corp, acquired the remaining 33% stake, or 50. 01% on a fully-diluted basis, which it did not already own, in Thermo Voltek Inc (TV) for $7 in cash per share, or a total value of $43.947 mil, including approximately $5.25 mil for the redemption of TV's outstanding 3-3/4% convertible subordinated debentures.</t>
  </si>
  <si>
    <t>IDT Corp</t>
  </si>
  <si>
    <t>IDT Corp terminated its offer to acquire all the outstanding common stock of TresCom International Inc (TI) for $10.5 in cash per share, or a total value of $129.483 mil. Concurrently, Primus Telecommunications Group Inc acquired TI in a stock swap transaction.</t>
  </si>
  <si>
    <t>Security Capital Atlantic Inc</t>
  </si>
  <si>
    <t>Lessors Of Residential Buildings and Dwellings</t>
  </si>
  <si>
    <t>Security Capital Pacific Trust</t>
  </si>
  <si>
    <t>Security Capital Pacific Trust (SCP) merged with Security Capital Atlantic (SCA) to form a new company called Archstone Communities in a stock swap transaction valued at $1.681 bil, including the assumption of $527 mil in liabilities. SCP offered 1 share per SCA share. Based on SCP's closing stock price of $24.125 on April 1, the last full trading day prior to the announcement, each SCA share was valued at $24.125.</t>
  </si>
  <si>
    <t>Spaghetti Warehouse</t>
  </si>
  <si>
    <t>Operate Italian restaurants</t>
  </si>
  <si>
    <t>ConQuest Partners</t>
  </si>
  <si>
    <t>ConQuest Partners (QP) withdrew its amended unsolicited offer to acquire all the outstanding common stock of Spaghetti Warehouse Inc for $8.75 in cash per share, or a total value of $51.563 mil. Previously, CP offered $8.50 per share for a total value of $49.96.</t>
  </si>
  <si>
    <t>NE Restaurant Co Inc</t>
  </si>
  <si>
    <t>NE Restaurant Co Inc acquired all the outstanding common stock of Bertucci's Inc (BI) for $10.5 in cash per share, or a total value of $96.513 mil. Earlier, Ten Ideas Inc, a management-led investor group including president and CEO Joseph Crugnale, definitively agreed to acquire all the outstanding common stock of BI.</t>
  </si>
  <si>
    <t>Long Island Bancorp,NY</t>
  </si>
  <si>
    <t>Astoria Financial Corp, Lake Success, New York, (AF) acquired Long Island Bancorp (LIB), Melville, New York, in a reverse stock swap transaction valued at $1.73 bil. AF offered 1.15 common shares for every 1 LIB share held. Based on AF's closing stock price of $60.3125 on April 2, the last full trading day prior to announcement of definitive terms, each LIB share was valued at $69.36. Previously, it was rumored that AF was to acquire LIB. Concurrently, North Fork Bancorp, Melville, New York raised its stake in LIB to 9.9% from 4.5%.</t>
  </si>
  <si>
    <t>Travelers Group Inc (TG) merged with Citicorp (CC) to form Citigroup Inc (CGI) in a merger-of-equals stock swap transaction valued at $72.558 bil. CC common shareholders received 2.5 CGI common shares and TG common shareholders received 1 CGI common share per share held. Based on TG's closing stock price of $61.6875 on April 3, the last full trading day prior to the announcement, each CC share was valued at $154.219. The transaction was accounted for as a pooling of interests and had been subject to regulatory approval. Upon completion, both TG and CC shareholders each owned 50% in CG.</t>
  </si>
  <si>
    <t>MoneyGram Payment Systems Inc</t>
  </si>
  <si>
    <t>Pvd money transfer services</t>
  </si>
  <si>
    <t>Viad Corp</t>
  </si>
  <si>
    <t>Pvd convention event mktg svcs</t>
  </si>
  <si>
    <t>Viad Corp (VC) acquired MoneyGram Payment Systems Inc (MP) for an amended $17.35 in cash per share, or a total value of $294.017 mil. Earlier, VC completed its sweetened tender offer to acquire all the outstanding common stock of MP , by accepting 11.2 mil shares, or 66% of MP's common shares outstanding. The offer was conditioned upon at least 50. 1% of MP's shares being tendered, and had been subject to Hart-Scott-Rodino regulatory approval. Previously, VC offered $17 in cash per share, or a total value of $287.825 mil.</t>
  </si>
  <si>
    <t>FirstMerit Corp, Akron, Ohio, (FM) acquired Security First Corp (SFC) in a stock swap transaction valued at $251. 235 mil. FM offered 0.8855 common shares per SFC share. Based on FM's closing stock price of $33.0625 on April 3, the last full trading day prior to the announcement, each SFC share was valued at $29.277. The transaction had been accounted for as a pooling of interest and was subject to federal and state banking regulatory approval.</t>
  </si>
  <si>
    <t>Zero Corp</t>
  </si>
  <si>
    <t>Manufacture metal encasements</t>
  </si>
  <si>
    <t>Applied Power Inc</t>
  </si>
  <si>
    <t>Mnfr tools,equip,consumables</t>
  </si>
  <si>
    <t>Applied Power Inc (AP) acquired Zero Corp (ZC) in a stock swap transaction valued at $291.404 mil. AP offered . 85 shares per ZC share. Based on AP's closing stock price of $39.5625 on April 3, the last full trading day prior to the announcement, each ZC share was valued at $33.628. The transaction was to be accounted for as a pooling of interests, and had been subject to regulatory approval.</t>
  </si>
  <si>
    <t>Beneficial Corp</t>
  </si>
  <si>
    <t>Household International Inc (HI) merged with Beneficial Corp (BC) in a stock swap transaction valued at $8.704 bil. HI offered 1.0222 pre- split shares per BC share. HR effected a 3-for-1 stock split in May. Based on HI's pre-split closing stock price of $146.75 per share on April 6, the last full trading day prior to the announcement, each BC share was valued at $150.008. Upon completion, HI shareholders held a 67% interest in the merged company, and BC shareholders were hed the remaining 33% stake. The transaction was accounted for as a pooling of interests and had been subject to regulatory approval. Previously, in February 1998, BC annouced that it was seeking a buyer for the company.</t>
  </si>
  <si>
    <t>Green Tree Financial Corp</t>
  </si>
  <si>
    <t>Pvd consumer,coml finance svcs</t>
  </si>
  <si>
    <t>Conseco Inc (CI) merged with Green Tree Financial Corp (GTF) in a stock swap transaction valued at $7.359 bil. CI offered 0.9165 common shares per GTF share. Based on CI's closing stock price of $57.75 on April 6, the last full trading day prior to the announcement, each GTF share was valued at $52.928. Upon completion, CI held a 62% interest in the combined company, and GTF was to hold the remaining 38% stake. The transaction had been accounted for as a pooling of interests.</t>
  </si>
  <si>
    <t>Blessings Corp</t>
  </si>
  <si>
    <t>Mnfr plastic film products</t>
  </si>
  <si>
    <t>Huntsman Packaging Corp</t>
  </si>
  <si>
    <t>Prod printed,laminated films</t>
  </si>
  <si>
    <t>Huntsman Packaging (HP), a unit of Huntsman, acquired all the outstanding common stock of Blessings Corp (BC), a majority-owned unit of Williamson-Dickie Manufacturing, for $21 in cash per share, or a total value of $269.719 mil, including the assumption of $55 mil in liabilities. Previously, HP completed its tender offer for BC by accepting 97% of BC's shares. The offer was conditioned upon at least a majority of BC's shares being tendered.</t>
  </si>
  <si>
    <t>DRS Technologies Inc</t>
  </si>
  <si>
    <t>Mnfr defense electn equip</t>
  </si>
  <si>
    <t>DRS Technologies Inc (DT) acquired NAI Technologies Inc (NT) in a stock swap transaction valued at $43.243 mil. DT offered 0.25 common shares per NT share. Based on DT's closing stock price of $13.375 on April 7, the last full trading day prior to the announcement, each NT share was valued at $3.344. Subsequently, Wilcom Acquisition Corp acquired Wilcom Inc, from NAI.</t>
  </si>
  <si>
    <t>Claremont Technology Group Inc</t>
  </si>
  <si>
    <t>Pvd comp integrated sys svc</t>
  </si>
  <si>
    <t>Complete Business Solutions</t>
  </si>
  <si>
    <t>Complete Business Solutions (CBS) merged with Claremont Technology Group (CTG) in a stock swap transaction valued at $282.521 mil. CBS offered $27 in common stock per CTG share, subject to a collar agreement. The transaction was to be accounted for as a pooling of interests.</t>
  </si>
  <si>
    <t>Richfood Holdings Inc (RF) acquired all the outstanding common stock of Dart Group Corp (DC) for $160 in cash per share, or a total value of $193 mil. Earlier, RF completed its tender offer by accepting 1,180,503 shares or 97% of DC's shares. The transaction was conditioned upon a majority of DC's shares being tendered on a fully-diluted basis.</t>
  </si>
  <si>
    <t>Vista Energy Resources Inc</t>
  </si>
  <si>
    <t>Vista Resources Partners (VRP), a unit of Natural Gas Partners, merged with Midland Resources (MR) to form Vista Energy Resources Inc. Upon completion, VRP shareholders would hold 72.5% and MR shareholders would hold 27.5% of the new company.</t>
  </si>
  <si>
    <t>Camelot Music Holdings</t>
  </si>
  <si>
    <t>Own,op chain record stores</t>
  </si>
  <si>
    <t>Camelot Music Holdings acquired all the outstanding common stock of Spec's Music Inc (SM) for $3.3 in cash per share, or a total value of $26.751 mil, including the assumption of approximately $7.5 mil in liabilities. Previously, SM planned to divest the company to an undisclosed acquiror for approximately $3 per share.</t>
  </si>
  <si>
    <t>Dataflex Corp</t>
  </si>
  <si>
    <t>Whl microcomputer equipment</t>
  </si>
  <si>
    <t>CompuCom Systems Inc, a majority-owned unit of Safeguard Scientifics Inc, acquired all the outstanding common stock of Dataflex Corp for $4.10 in cash per share, or a total value of $25.204 mil.</t>
  </si>
  <si>
    <t>NationsBank Corp (NB), Charlotte, North Carolina, merged with BankAmerica Corp (BA), San Francisco, California, to form a new bank holding company also named BankAmerica Corp (NBA) in a stock swap transaction valued at $61.633 bil. BA common shareholders received 1.1316 NBA shares and NB shareholders received 1 NBA share per share held. Based on NB's closing stock price of $76.4375 on April 9, the last full trading day prior to the announcement, each BA share was valued at $86.5. The transaction was accounted for as a pooling of interests and was subject to federal and state banking regulatory approval.</t>
  </si>
  <si>
    <t>US - BANC ONE (BC), Columbus, Ohio, acquired First Chicago NBD (FC), Chicago, Illinois, in a merger-of-equals stock swap transaction valued at USD 29.616 bil. BC offered 1. 62 BC common shares per FC share. Based on BC's closing stock price of USD 61.75 on April 9, the last full trading day prior to the announcement, each FC share was valued at USD 100.035. The transaction had been accounted for as a pooling of interests and was subject to federal and state banking regulatory approval. Concurrently, FC terminated its repurchase programs. Previously, BC was rumored to be in negotiations to merge with FC. Upon completion, the newly-merged entity was to be renamed Bank One Corp.</t>
  </si>
  <si>
    <t>Highlander Income Fund</t>
  </si>
  <si>
    <t>Americas Income Trust</t>
  </si>
  <si>
    <t>Americas Income Trust merged with Highlander Income Fund to form First American Strategic Income Fund.</t>
  </si>
  <si>
    <t>Mariner Health Group Inc</t>
  </si>
  <si>
    <t>Provide sub-acute care svcs</t>
  </si>
  <si>
    <t>Paragon Health Network Inc</t>
  </si>
  <si>
    <t>Paragon Health Network (PHN) merged with Mariner Health Group (MHG) to form Mariner Post Acute Network Inc in a stock swap transaction valued at $622.285 mil. PHN offered 1 common share per MHG common share. Based on PHN's closing stock price of $19.75 on April 9, the last full trading day prior to the announcement, each MHG share was valued at $19.75. The transaction was to be accounted for as a pooling of interests.</t>
  </si>
  <si>
    <t>Aloette Cosmetics Inc</t>
  </si>
  <si>
    <t>Manufacture,whl cosmetics</t>
  </si>
  <si>
    <t>ACI Acquisition Partners Inc</t>
  </si>
  <si>
    <t>ACI Acquisition Partners acquired all the outstanding common stock of Aloette Cosmetics for $5.25 in cash per share, or a total value of 13.777 mil, including the assumption of approximately $2 mil in liabilities.</t>
  </si>
  <si>
    <t>ComSouth Bankshares Inc</t>
  </si>
  <si>
    <t>Anchor Financial Corp</t>
  </si>
  <si>
    <t>Anchor Financial Corp, Columbia, South Carolina, (AF) acquired ComSouth Bankshares Inc, Myrtle Beach, South Carolina, (CSB) in a stock swap transaction valued at $82.205 mil. AF offered 0.75 common shares per CSB share. Based on AF's closing stock price of $44 on April 13, the last full trading day prior to the announcement, each CSB share was valued at $33. The transaction was accounted for as a pooling of interests, and was subject to federal and state banking regulatory approval.</t>
  </si>
  <si>
    <t>Harborside Healthcare Corp</t>
  </si>
  <si>
    <t>Pvd long-term med services</t>
  </si>
  <si>
    <t>Investcorp acquired approximately a 91% interest, or 7.29 mil common shares, in Harborside Healthcare Corp for $263 mil. The consideration consisted of $25 in cash per share and the assumption of $81 mil in liabilities.</t>
  </si>
  <si>
    <t>Holly Corp</t>
  </si>
  <si>
    <t>Mnfr,whl refined petro prod</t>
  </si>
  <si>
    <t>Giant Industries Inc</t>
  </si>
  <si>
    <t>Giant Industries Inc (GI) terminated its agreement to merge with Holly Corp (HC) in a stock swap transaction valued at $251.404 mil. GI offered 1.33 common shares per HC share and $25 mil in cash. Based on GI's closing stock price of $20.625 on April 14, the last full day prior to the announcement, each share was valued at $27. 431.</t>
  </si>
  <si>
    <t>Simulation Sciences Inc</t>
  </si>
  <si>
    <t>Dvlp simulation software</t>
  </si>
  <si>
    <t>Siebe PLC (SP) acquired all the outstanding common stock of Simulation Sciences Inc (SS) for $10 in cash per share, or a total value of $146.456 mil. Earlier, SP completed its tender offer to acquire all the outstanding common stock of SS by accepting 13.9 mil common shares or 92% of SS' shares.</t>
  </si>
  <si>
    <t>Award Software International</t>
  </si>
  <si>
    <t>Phoenix Technologies Ltd</t>
  </si>
  <si>
    <t>Dvlp,whl systems software</t>
  </si>
  <si>
    <t>Phoenix Technologies (PT) merged with Award Software International (AWI) in a stock swap transaction valued at $129.474 mil. PT offered 1. 225 common shares per AWI share. Based on PT's closing stock price of $13.125 on April 15, the last full trading day prior to the announcement, each AWI share was valued at $16.078. The transaction was accounted for as a pooling of interests.</t>
  </si>
  <si>
    <t>American Express Co was rumored to be in negotiations to acquire all the outstanding common stock of American International Group Inc. The Current status of this deal is unknown.</t>
  </si>
  <si>
    <t>XcelleNet Inc</t>
  </si>
  <si>
    <t>Dvlp remote computing software</t>
  </si>
  <si>
    <t>Sterling Commerce Inc</t>
  </si>
  <si>
    <t>Dvlp e-commerce software</t>
  </si>
  <si>
    <t>Sterling Commerce Inc (SC) acquired XcelleNet Inc (XN) in a stock swap transaction valued at $214.327 mil. SC offered $8.8 in cash and . 2885 common shares per XN share. Based on SC's closing stock price of $45.8125 on April 16, the last full trading day prior to the announcement, each XN share was valued at $22.017. The transaction was subject to regulatory approval. Included in the transaction was SC's wholly-owned subsidiary, Sterling Commerce (Southern) Inc.</t>
  </si>
  <si>
    <t>Atria Communities Inc</t>
  </si>
  <si>
    <t>Kapson Senior Quarters Corp (KSQ) raised its stake to 88. 1% from 37.64%, by acquiring 11.798 mil common shares, in Atria Communities Inc (AC) for $20.25 in cash per share, or a total value of $238.927 mil. Concurrently, KSQ acquired a 37.64% stake, or 8. 8 mil common shares, in (AC) from Vencor Inc, for $20.25 in cash per share, or a total value of $178.2 mil, in a privately negotiated transaction.</t>
  </si>
  <si>
    <t>Corrections Corp of America</t>
  </si>
  <si>
    <t>Own,op correctional facilities</t>
  </si>
  <si>
    <t>CCA Prison Realty Trust</t>
  </si>
  <si>
    <t>CCA Prison Realty Trust (CPR) acquired Corrections Corp of America (COR) in a reverse stock swap transaction valued at 3.274 bil. CPR offered 0. 875 common shares per COR share. Based on CPR's closing stock price of $40.125 on April 17, the last full trading day prior to the announcement, each COR share was valued at $35.109. Concurrently, CPR acquired US Corrections Corp for $255 mil.</t>
  </si>
  <si>
    <t>Medical Industries of America</t>
  </si>
  <si>
    <t>Physician Health Corporation</t>
  </si>
  <si>
    <t>Pvd physician management srvcs</t>
  </si>
  <si>
    <t>Physician Health Corporation terminated its agreement to merge with Medical Industries of America for $100.9 mil in common stock and an undisclosed amount in liabilities. Upon completion, the new company was to be named MedSurg Ancillaries Inc.</t>
  </si>
  <si>
    <t>An undisclosed acquiror made an unsolicited offer to acquire all the outstanding common stock of Pacific Bank NA, San Francisco, California (PCB). The transaction was subject to federal and state banking regulatory approval. Later, in June 1998, two major shareholders, Mr. Cheong Swee Kheong and Mr. Cahyadi Kumala Kwee, announced that they were seeking a buyer for their 1. 32 mil shares, or 44.6% stake in PCB.</t>
  </si>
  <si>
    <t>Cenit Bancorp,Norfolk,VA</t>
  </si>
  <si>
    <t>Savings,loan holdg co</t>
  </si>
  <si>
    <t>In April 1998, Cenit Bancorp Inc, Norfolk, Virginia, disclosed that it was seeking a buyer for the company.</t>
  </si>
  <si>
    <t>A management-led investor group, including president and CEO John Grosso and Jupiter Partners LP, acquired PCA International Inc (PCA) for $26.50 in cash per share, or a total value of $232.516 mil. Originally, the Investor Group definitively agreed to acquire between a 95% interest and a 97% interest in PCA.</t>
  </si>
  <si>
    <t>Precision Systems Inc</t>
  </si>
  <si>
    <t>Develop network-based software</t>
  </si>
  <si>
    <t>Speer Communications Holdings</t>
  </si>
  <si>
    <t>Manufacture communication Eqpt</t>
  </si>
  <si>
    <t>Speer Communications withdrew plans to acquire an 80% interest in Precision Systems for an estimated $100 mil.</t>
  </si>
  <si>
    <t>Equity Inns Inc</t>
  </si>
  <si>
    <t>RE invest tr</t>
  </si>
  <si>
    <t>Equity Inns Inc (EII) terminated its definitive agreement to acquire RFS Hotel Investors Inc (RHI) in a reverse stock swap transaction valued at $981. 003 mil, including the assumption of $330 mil in liabilities. EII offered 1.5 common shares per RHI share, subject to a collar agreement. Based on EII's closing stock price of $15.375 on April 20, the last full trading day prior to the announcement, each RHI share was valued at $23.0625.</t>
  </si>
  <si>
    <t>Telxon Corp</t>
  </si>
  <si>
    <t>Symbol Technologies Inc</t>
  </si>
  <si>
    <t>Mnfr code scanning equip</t>
  </si>
  <si>
    <t>Symbol Technologies Inc (ST) withdrew its unsolicited offer to acquire all of the outstanding common stock of Telxon Corp (TC) for an amended $40 per share, or a total of $876.523 mil. Previously, ST offered $38 per share, or a total value of $830.109 mil. ST originally offered a choice of either $38 in cash or $38 in a combination of cash and common stock per TC share.</t>
  </si>
  <si>
    <t>GEC PLC</t>
  </si>
  <si>
    <t>Mnfr,whl power,commun equip</t>
  </si>
  <si>
    <t>General Electric Co PLC (GEC) acquired all outstanding common stock of Tracor Inc (TI) $40 in cash per share, or a total value of $1.323 bil, including the assumption of approximately $230 mil in liabilities. Earlier, GEC completed its tender offer for TI by accepting 25,192, 843 shares or 90% of TI's common stock outstanding.</t>
  </si>
  <si>
    <t>AccelGraphics Inc</t>
  </si>
  <si>
    <t>Mnfr graphics accelerators</t>
  </si>
  <si>
    <t>E&amp;S</t>
  </si>
  <si>
    <t>Dvlp visual sys</t>
  </si>
  <si>
    <t>Evans &amp; Sutherland Computer Corp (ES) acquired all the outstanding common stock of AccelGraphics Inc (AG) for $55.869 mil. Consideration consisted of $23.7 mil in cash and 1,109,300 common shares valued at $32.169 mil. The value was based on E&amp;S's closing stock price of $29 on April 21, the last full day of trading prior to announcement.</t>
  </si>
  <si>
    <t>Bank of New York (NY), New York, withdrew its unsolicited offer to acquire Mellon Bank (MB), Pittsburgh, Pennsylvania, in a stock swap transaction valued at $24.24 bil. NY offered 1.4 common shares per MB share. Based on NY's closing stock price of $64.0625 on April 21, the last full trading day prior to the announcement, each MB share was valued at $89.6875. The transaction was subject to federal and state banking regulatory approval. Earlier, in December 1997, NY was rumored to be in negotiations to merge with MB.</t>
  </si>
  <si>
    <t>AFSALA Bancorp Inc,NY</t>
  </si>
  <si>
    <t>Ambanc Holding Co Inc</t>
  </si>
  <si>
    <t>Ambanc Holdings Co (AH), Amsterdam, New York, acquireD AFSALA Bancorp (AB), Amsterdam, New York, in a stock swap transaction valued at $29.983 mil. AH offered 1. 07 common shares per AB share. Based on AH's closing stock price of $19.625 on April 22, the last full trading day prior to the announcement, each AB share was valued at $21. The transaction had been accounted for as a pooling of interests and was subject to federal and state banking regulatory approval. Upon completion, AH was renamed Mohawk Community Bank.</t>
  </si>
  <si>
    <t>Big Sky Bancorp Inc,MT</t>
  </si>
  <si>
    <t>Sterling Financial Corp</t>
  </si>
  <si>
    <t>Sterling Financial Corp (SFC) , Spokane, Washington, acquired Big Sky Bancorp (BSB) , Hamilton, Montana, in a stock swap transaction valued at $12.454 mil. SFC offered 1. 384 common shares per BSB share. Based on SFC's closing stock price of $25.625 on April 22, the last full trading day prior to the announcement, each BSB share was valued at $35.465. The transaction had been accounted for as a pooling of interests.</t>
  </si>
  <si>
    <t>Piccadilly Cafeterias Inc</t>
  </si>
  <si>
    <t>Own,operate cafeterias</t>
  </si>
  <si>
    <t>Piccadilly Cafeterias acquired all the outstanding common stock of Morrison Restaurants Inc (MR) via a tender offer for $5 in cash per share, or a total of $46. 249 mil. The offer was conditioned upon at least 66. 67% of MR's shares being tendered. Originally, in January 1998, MR disclosed that it was seeking a buyer for the company.</t>
  </si>
  <si>
    <t>Boston Restaurant Associates</t>
  </si>
  <si>
    <t>Own,op pizzeria restaurants</t>
  </si>
  <si>
    <t>A management led investor group raised its stake to 55% from 39% in Boston Restaurant Associates Inc by acquiring . 803 mil common shares.</t>
  </si>
  <si>
    <t>CorporateFamily Solutions Inc</t>
  </si>
  <si>
    <t>Provide child day care svcs</t>
  </si>
  <si>
    <t>Bright Horizons Holdings Inc</t>
  </si>
  <si>
    <t>Pvd children's day care svcs</t>
  </si>
  <si>
    <t>Bright Horizons Holdings Inc (BHH) merged with CorporateFamily Solutions Inc (CFS) to form Bright Horizons Family Solutions (BHFS) in a stock swap transaction valued at $126.989 mil. CFS shareholders were to receive 1 BHFS common share and BHH were to receive 1.15022 BHFS common shares per share held. Based on BHH's closing stock price of $27.25 on April 24, the last full trading day prior to the announcement, each CFS share was valued at $23.691. The transaction was to be accounted for as a pooling of interests.</t>
  </si>
  <si>
    <t>Fluke Corp</t>
  </si>
  <si>
    <t>Manufacture electn test equip</t>
  </si>
  <si>
    <t>Danaher Corp (DC) acquired Fluke Corp (FC) in a stock swap transaction valued at an amended $699.192 mil. DC offered .905 common shares per FC share. Based on DC's closing stock price of $41. 437 on July 7, the last full trading day prior to the announcement of amended terms, each FC share was valued at $37.5. Previously, DC offered .4524 common shares per FC share in a transaction valued at $619.9. The transaction was accounted for as a pooling of interests.</t>
  </si>
  <si>
    <t>Genesis Health Ventures Inc (GHV) acquired all the outstanding common stock of Vitalink Pharmacy Services Inc, a majority-owned unit of Manor Care, for an estimated $678.366 mil. The consideration consisted of $303.366 in cash, an estimated $295 mil in convertible preferred shares and the assumption of $80 mil in liabilities.</t>
  </si>
  <si>
    <t>Yurie Systems Inc</t>
  </si>
  <si>
    <t>Lucent Technologies (LT) merged with Yurie Systems (YS) for $35 in cash per share, or a total value of $1.044 bil. Earlier, LT completed its tender offer to acquire all the outstanding common stock of YS by accepting 28, 598,028 shares, or about 92. 1%. The offer had been conditioned upon at least a majority of YS' shares being tendered on a fully-diluted basis.</t>
  </si>
  <si>
    <t>American International Group Inc was rumored to be planning to merge with American Express Co. The Current status of this deal is unknown.</t>
  </si>
  <si>
    <t>Hein-Werner Corp</t>
  </si>
  <si>
    <t>Mnfr automotive service equip</t>
  </si>
  <si>
    <t>Snap-On Inc</t>
  </si>
  <si>
    <t>Manufacture,wholesale tools,equipment</t>
  </si>
  <si>
    <t>Snap-On acquired all the outstanding common stock of Hein-Werner (HW) for $12.6 in cash per share, or a total value of $37.476 mil. Earlier, SO completed its tender offer by accepting 2.7 mil shares (90%). The transaction had been conditioned upon at least 66.67% of HW's shares being tendered.</t>
  </si>
  <si>
    <t>Much Music(MuchMusic,Rainbow</t>
  </si>
  <si>
    <t>Pvd TV broadcasting services</t>
  </si>
  <si>
    <t>Much Music, a joint venture between MuchMusic and Cablevision System's Rainbow Programming Holdings subsidiary, planned to merge with TCI Music Inc, a majority-owned unit of Tele- Communications Inc.</t>
  </si>
  <si>
    <t>Group 1 Software Inc</t>
  </si>
  <si>
    <t>COMNET Corp</t>
  </si>
  <si>
    <t>Pvd dat processing svcs</t>
  </si>
  <si>
    <t>COMNET Corp (COM) acquired the remaining 18.8% stake, which it did not already own, in Group 1 Software (GRS) in a stock swap transaction valued at $11.766 mil. COM offered 1.15 common shares per GRS share. Based on COM's closing stock price of $11. 9375 on April 28, the last full trading day prior to the announcement, each GRS share was valued at $13.728.</t>
  </si>
  <si>
    <t>Lukens Medical Corp</t>
  </si>
  <si>
    <t>Mnfr disposable surgical prods</t>
  </si>
  <si>
    <t>Medisys PLC</t>
  </si>
  <si>
    <t>Pvd medical research services</t>
  </si>
  <si>
    <t>Medisys PLC acquired all the outstanding common stock of Lukens Medical Corp for $4 in cash per share, or a total value of $21.161 mil, including the assumption of $7 mil in liabilities.</t>
  </si>
  <si>
    <t>Neurex Corp</t>
  </si>
  <si>
    <t>Mnf,whl biopharmaceuticals</t>
  </si>
  <si>
    <t>Elan Corp PLC (EC) acquired Neurex Corp (NC) in a stock swap transaction valued at $824.501 mil. EC offered .51 new ordinary shares per NC share. Based on EC's closing stock price of $64.114 on April 28, the last full trading day prior to the announcement, each NC share was valued at $32.698. The transaction was to be accounted for as pooling of interests.</t>
  </si>
  <si>
    <t>Nevada Power Co</t>
  </si>
  <si>
    <t>Nevada Power (NP) merged with Sierra Pacific Resources (SPR) to form a new SPR (NSPR) in a merger-of-equals stock swap transaction valued at $1. 081 bil. NP shareholders received either 1 NSPR common share or $26 in cash per NP share held. SPR shareholders received either 1.44 NSPR common shares or $37.55 in cash per SPR share held. Based on NP's closing stock price of $24.25 on April 29, the last full trading day prior to the announcement, each SPR share was valued at $34.92. Upon completion, NSPR became the holding company for NP, Sierra Pacific Power, and all of their subsidiaries.</t>
  </si>
  <si>
    <t>Denamerica Corp</t>
  </si>
  <si>
    <t>Tech Electro Industries Inc</t>
  </si>
  <si>
    <t>Tech Electro Industries Inc (TE) withdrew its agreement to acquire all the outstanding common stock of Denamerica Corp (DC) for $66. 999 mil. TE offered $4.00 in cash and $.90 in preferred stock per DC share held. Alternatively, TE offered $3. 00 in cash and $1.90 in preferred stock.</t>
  </si>
  <si>
    <t>MessageMedia Inc</t>
  </si>
  <si>
    <t>Pvd Internet messaging svcs</t>
  </si>
  <si>
    <t>An investor group (IG) comprising of Softbank Holdings Inc and Softbank Technology Ventures IV LP, acquired 91.8% interest, or 10 mil common shares and convertible debt, in MessageMedia Inc for $12.4 mil. IG offered $.6 per share, or a total value of $6 mil, for 10 mil FV common shares, and $5.8 mil for convertible debt exercisable into 9.1 mil common shares.</t>
  </si>
  <si>
    <t>BankBoston Corp,Boston,MA</t>
  </si>
  <si>
    <t>Fleet Financial Group Inc, Boston, Massachusetts, was rumored to be in negotiations to merge with BankBoston Corp, Boston, Massachusetts. The Current status of this deal is unknown.</t>
  </si>
  <si>
    <t>Dana Corp</t>
  </si>
  <si>
    <t>Dana, acting as a white knight, acquired Echlin in a stock swap transaction valued at $4.124 bil. Dana offered . 9293 common shares per Echlin share and agreed to assume $570 mil in liabilities. Based on Dana's closing stock price of $59.1875 on May 1, the last full trading day prior to announcement, each Echlin share was valued at $55. Previously, SPX launched and subsequently withdrew its unsolicited hostile tender offer to acquire Echlin.</t>
  </si>
  <si>
    <t>Electronic Designs Inc</t>
  </si>
  <si>
    <t>Mnfr memory components</t>
  </si>
  <si>
    <t>Bowmar Instrument Corp</t>
  </si>
  <si>
    <t>Mnfr,whl modules,components</t>
  </si>
  <si>
    <t>Bowmar Instrument Corp (BOM) merged with Electronic Designs Inc (EDIX) in an amended stock swap transaction valued at $12.897 mil. BOM offered 1.275 common shares per EDIX share. Based on BOM's closing stock price of $2.25 on August 23, the last full trading day prior to the announcement of amended terms, each EDIX share was valued at $1.83. Upon completion, BOM changed its name to White Electronic Designs Corp. Originally, BOM offered 1.375 common shares per EDIX share.</t>
  </si>
  <si>
    <t>Tropical Sportswear Intl Corp</t>
  </si>
  <si>
    <t>Mnfr,whl mens,women's apparel</t>
  </si>
  <si>
    <t>Tropical Sportswear International Corp (TSI) acquired all the outstanding common stock of Farah Inc (FI) for $9 in cash per share, or a total value of $93.553 mil. Earlier, TSI completed its tender offer for FI by accepting 9,757,923 common shares, or 95% of FI's shares outstanding. The offer had been conditioned upon a minimum of 66.67% of FI's shares being tendered.</t>
  </si>
  <si>
    <t>PowerGen PLC</t>
  </si>
  <si>
    <t>PowerGen withdrew its merger negotiations with Houston Industries.</t>
  </si>
  <si>
    <t>Marquee Group Inc</t>
  </si>
  <si>
    <t>Pvd professional mgmt services</t>
  </si>
  <si>
    <t>SFX Entertainment</t>
  </si>
  <si>
    <t>Pvd music,entertainment svcs</t>
  </si>
  <si>
    <t>SFX Entertainment Inc (SFX), a majority-owned unit of SFX Broadcasting, merged with Marquee Group Inc (MG), in a stock swap transaction valued at an amended $92.09 mil. SFX offered an amended .0815 common shares per MG share. Based on SFX's closing stock price of $61.625 on March 9, the last full trading day prior to the terms being amended, each MG share was valued at $5.0224. Previously, SFX agreed to merge with MG. SFX offered an amended .1111 common shares per MG share, subject to a collar agreement. Originally, SFX offered $6 per share, or a total value of $110.013 mil.</t>
  </si>
  <si>
    <t>Wells Fargo &amp; Co, San Francisco, California, was rumored to be in negotiations to merge with US Bancorp, Minneapolis, Minnesota. The Current status of this deal is unknown.</t>
  </si>
  <si>
    <t>Atlantic Richfield Co</t>
  </si>
  <si>
    <t>Atlantic Richfield Co acquired all the outstanding common stock of Union Texas Petroleum Holdings (UT), including a 25.6% stake held by Kohlberg Kravis Roberts &amp; Co, for $29 in cash per common share and $122 in cash per Series A cumulative preferred share, or a total value of $2.741 bil. Earlier, AR completed its tender offer for UT by accepting 84.7 bil shares or 99% of UT's shares. The offer was conditioned upon at least 51% of UT's shares being tendered. Upon completion, UT preferred shares not purchased by AR pursuant to the tender offer were to remain outstanding.</t>
  </si>
  <si>
    <t>Allied Digital Technologies Co</t>
  </si>
  <si>
    <t>Mnfr multi media software prod</t>
  </si>
  <si>
    <t>US - A management-led investor group including 399 Venture Partners Inc and Citicorp Venture Ltd, acquired all the outstanding common stock of Allied Digital Technologies Corp in a leveraged recapitalization transaction for $5 in cash per share, or a total value of $69.232 mil.</t>
  </si>
  <si>
    <t>Daimler-Benz AG</t>
  </si>
  <si>
    <t>Mnfr,whl auto,trucks</t>
  </si>
  <si>
    <t>Daimler-Benz AG (DB) merged with Chrysler Corp (CC) to form DaimlerChrysler (DC) in a stock swap transaction valued at $40.466 bil. CC common shareholders received an amended .6235 DC new ordinary shares and DB shareholders received 1 DC new ordinary share per share held. Based on DB's closing stock price of $97.875 on Aug 5, the last full trading day prior to amendment, each CC share was valued at $61.03. The transaction was accounted for as a pooling of interests. Originally, CC shareholders were to receive .547 DC shares per share held. Upon completion, DB shareholders were to own 57% of the new company. The net debt of CC was not included in the rank value for this transaction due to the fact that CC's finance subsidiary's debt accounted for over 82% of CC total debt. Originally, DB was rumored to be planning to merge with CC.</t>
  </si>
  <si>
    <t>Mountbatten Inc</t>
  </si>
  <si>
    <t>Fidelity &amp; Deposit Co of MD</t>
  </si>
  <si>
    <t>Fidelity &amp; Deposit Co of Maryland, a joint venture between Swiss Reinsurance and Zurich Australian Insurance, acquired Mountbatten Inc for $14.60 in cash per share, or a total value of $43.363 mil.</t>
  </si>
  <si>
    <t>National Surgery Centers Inc</t>
  </si>
  <si>
    <t>HealthSouth Corp (HSC) acquired National Surgery Centers (NSC) in a stock swap transaction valued at $703. 096 mil. HSC offered 1.0972 common shares per NSC share. HSC originally offered $30.5 in common stock per NSC share, subject to a collar agreement.</t>
  </si>
  <si>
    <t>Innovative Tech Systems Inc</t>
  </si>
  <si>
    <t>Dvlp facilities mgmt software</t>
  </si>
  <si>
    <t>Peregrine Systems Inc</t>
  </si>
  <si>
    <t>Dvlp service desk software</t>
  </si>
  <si>
    <t>Peregrine Systems Inc (PS) acquired Innovative Tech systems (ITS) in a stock swap transaction valued at $75.684 mil. PS offered 0.2341 common shares per ITS share. Based on PS' closing stock price of $22.5 on May 6, the last full trading day prior to the announcement, each ITS share was valued at $5.267.</t>
  </si>
  <si>
    <t>InTime Systems International</t>
  </si>
  <si>
    <t>Aris Corp</t>
  </si>
  <si>
    <t>Pvd computer related services</t>
  </si>
  <si>
    <t>Aris Corp (AC) acquired all the common stock outstanding of InTime Systems International (TS) in an amended stock swap transaction valued at $40.995 mil. AC offered .30466 shares for every TS share held. Based on AC's closing stock price of $29.25 on June 29, the last full day of trading prior to the annoucement of amended terms, each TS share was valued at $8.91. Previously, AC offered .266 shares for every TS share held for a total value of $37. 97 mil. The transaction was to be accounted for as a pooling of interests.</t>
  </si>
  <si>
    <t>Senior Tour Players Dvlp Inc</t>
  </si>
  <si>
    <t>Own,operate golf courses</t>
  </si>
  <si>
    <t>Golf Club Partners LLC</t>
  </si>
  <si>
    <t>Own,op golf club</t>
  </si>
  <si>
    <t>Golf Club Partners LLC acquired all of the outstanding common shares of Senior Tour Players Development Inc for $26 mil in cash.</t>
  </si>
  <si>
    <t>Sports Authority Inc</t>
  </si>
  <si>
    <t>Venator Group Inc (VG), formerly Woolworth Corp, terminated its definitive agreement to acquire Sports Authority Inc (SA) in a stock swap transaction valued at $820.641 mil, including the assumption of approximately $179 mil in liabilities. VG offered 0.8 common shares per SA share. Based on VG's closing stock price of $21. 875 on May 6, the last full trading day prior to the announcment, each SA share was valued at $17.50. The transaction was to be accounted for as a pooling of interests. Subsequently, Gart Sports terminated its unsolicited challenging offer to acquire SA.</t>
  </si>
  <si>
    <t>Authentic Specialty Foods Inc</t>
  </si>
  <si>
    <t>Whl,produce Mexican foods</t>
  </si>
  <si>
    <t>Agrobios(Desc SA de CV)</t>
  </si>
  <si>
    <t>Mnfr,whl foods products</t>
  </si>
  <si>
    <t>Agrobios (AB), a unit of Desc SA de CV, acquired all the outstanding common stock of Authentic Specialty Foods Inc (ASF) for $17 in cash per share, or a total value of $141.876 mil. Earlier, AB completed its tender offer for ASF by accepting 7.8 million shares, or 89% of ASF's shares outstanding. The offer had been conditioned upon at least 66.67% of ASF's shares being tendered on a fully-diluted basis.</t>
  </si>
  <si>
    <t>Ameritech Corp</t>
  </si>
  <si>
    <t>SBC Communications (SBC) merged with Ameritech Corp (AC) in a stock swap transaction valued at $62.593 bil. SBC offered 1.316 common shares per AC share. Based on SBC's closing stock price of $42.375 on May 8, the last full trading day prior to the announcement, each AC share was valued at $55.766. The transaction was to be accounted for as a pooling of interests and was subject to regulatory approval. Upon completion, SBC shareholders were to own 56% of the combined company. Later, GTE Corp agreed to acquire a 50% interest in the Midwest wireless properties of AC for $3.27 bil in cash. AC was required to divest the properties to gain regulatory approval for its merger with SBC.</t>
  </si>
  <si>
    <t>DeKalb Genetics Corp</t>
  </si>
  <si>
    <t>Operate agricultural labs</t>
  </si>
  <si>
    <t>Monsanto Co (MC) acquired remaining 60% interest, which it did not already own, in DeKalb Genetics Corp (DG) for $100 in cash per share, or a total value of $2.263 bil. Previously, MC completed its tender offer for DG, by accepting 19.981 mil shares. The offer was conditioned upon at least a majority of DG's shares being tendered. Originally, in February 1998, DG announced that it was seeking a buyer for the company.</t>
  </si>
  <si>
    <t>Delta &amp; Pine Land Co</t>
  </si>
  <si>
    <t>Own,op cottonseed farms</t>
  </si>
  <si>
    <t>0131</t>
  </si>
  <si>
    <t>Monsanto Co (MTC) withdrew its agreement to acquire the remaining 95.66% interest or 39.71 mil common shares, which it did not already own, in Delta &amp; Pine Land Co (DLP) in a stock swap transaction valued at $1.832 bil. MTC offered 0.8625 common shares per DLP share. Based on MTC's closing stock price of $53.5 on May 8, the last full trading day prior to the announcement, each DLP share was valued at $46.144. Subsequesntly, Monsanto agreed to merge with Pharmacia &amp; Upjohn.</t>
  </si>
  <si>
    <t>Micronics Computers Inc</t>
  </si>
  <si>
    <t>Mnfr system boards</t>
  </si>
  <si>
    <t>Diamond Multimedia Systems Inc</t>
  </si>
  <si>
    <t>Manufacture multimedia systems</t>
  </si>
  <si>
    <t>Diamond Multimedia Systems (DMS) acquired all the outstanding common stock of Micronics Computer (MC) for $2.45 in cash per share, or a total value of $31.653 mil. Previously, DMS completed its tender offer to acquire MC by accepting 11.6 mil common shares. The offer had been conditioned upon at least 51% of the MC's shares being tendered on a fully-diluted basis.</t>
  </si>
  <si>
    <t>Orange &amp; Rockland Utilities</t>
  </si>
  <si>
    <t>Pvd energy services</t>
  </si>
  <si>
    <t>Consolidated Edison Inc</t>
  </si>
  <si>
    <t>Pvd electric,gas svcs</t>
  </si>
  <si>
    <t>Consolidated Edison acquired all the outstanding common stock of Orange &amp; Rockland Utilities for $58.50 in cash per share, or a total value of $791.844 mil. The transaction was subject to New York Public Service Commission approval.</t>
  </si>
  <si>
    <t>Stone Container Corp</t>
  </si>
  <si>
    <t>Mnfr containerboard,paper prod</t>
  </si>
  <si>
    <t>Jefferson Smurfit Corp</t>
  </si>
  <si>
    <t>Manufacture paperboard prod</t>
  </si>
  <si>
    <t>Jefferson Smurfit (JS) merged with Stone Container (SC) in a stock swap transaction valued at $2.23 bil. JS offered .99 common shares per SC share. Based on JS' closing stock price of $20.50 on May 8, the last full trading day prior to the announcement, each SC share was valued at $20.295. Upon completion, the merged company was renamed Smurfit- Stone Container Corp. Previously, in April 1998, JS was rumored to be in negotiations to merge with SC.</t>
  </si>
  <si>
    <t>Baker Hughes Inc (BH) merged with Western Atlas Inc (WA) in a stock swap transaction valued at an amended $4.564 bil. BH offered 2.7 common shares per WA share subject to a collar agreement. Based on BH's closing stock price of $28.5 on July 22, the last full trading day prior to the announcement, each WA share was valued at $76.9. The transaction had been accounted for as a pooling of interests.</t>
  </si>
  <si>
    <t>Domain Energy Corporation</t>
  </si>
  <si>
    <t>Lomak Petroleum Inc (LPI) merged with Domain Energy Corp (DEC) in a stock swap transaction valued at $268. 049 mil. LPI offered 1.2083 common shares per DEC share, subject to a collar agreement. Upon completion, the combined company was renamed Range Resources Corp.</t>
  </si>
  <si>
    <t>Virus Research Institute Inc</t>
  </si>
  <si>
    <t>T Cell Sciences Inc</t>
  </si>
  <si>
    <t>Mnfr vaccines,medicinal prod</t>
  </si>
  <si>
    <t>T Cell Sciences (TCS) merged with Virus Research Institute (VRI) to form Avant Immunotherapeutics Inc (AVI) in a stock swap transaction valued at $62.642 mil. TCS offered 1.55 common shares per VRI share. Based on TCS' closing stock price of $4.25 on May 11, the last full trading day prior to the announcment, each VRI share was valued at $6.5875. Upon completion, TCS was to own 66% of AVI.</t>
  </si>
  <si>
    <t>Triton Energy Ltd</t>
  </si>
  <si>
    <t>US - Triton Energy Ltd (TE) withdrew its search for a buyer for the company. Originally, in May 1998, TE announced that it was seeking a buyer for the company.</t>
  </si>
  <si>
    <t>Sage Laboratories Inc</t>
  </si>
  <si>
    <t>Filtronic PLC</t>
  </si>
  <si>
    <t>Mnfr radio frequency equipment</t>
  </si>
  <si>
    <t>Filtronic PLC (FL) acquired all the outstanding common stock of Sage Laboratories Inc (SL) for $17.5 in cash per share, or a total value of $20.226 mil. Earlier, FL completed its tender offer for SL, by accepting 1,013, 163 common shares or 93.4% of the total common stock outstanding. The offer was conditioned upon at least 66. 667% of SL's shares being tendered.</t>
  </si>
  <si>
    <t>New Plan Realty Trust</t>
  </si>
  <si>
    <t>Excel Realty Trust Inc</t>
  </si>
  <si>
    <t>Excel Realty Trust Inc (ER) merged with New Plan Realty Trust (NP) in a stock swap transaction valued at $1.715 bil. ER offered 1 common share per NP share. Based on ER's closing stock price of $28.5 on May 13, the last full trading day prior to the announcement, each NP share was valued at $28.5. Upon completion of the reverse takeover, NP shareholders were to own 65% of the combined company.</t>
  </si>
  <si>
    <t>USA Bridge Construction of NY</t>
  </si>
  <si>
    <t>Pvd bridge constructions svcs</t>
  </si>
  <si>
    <t>Amalgamated Resources Mgmt</t>
  </si>
  <si>
    <t>Amalgamated Resources Management agreed to acquire a 56.8% interest in USA Bridge Construction of NY (UBC) from USABG for $10.22 mil. Concurrently, UBC signed a letter of intent to acquire a 51% interest in First Anglo- Swiss Holdings.</t>
  </si>
  <si>
    <t>Allied Group Inc</t>
  </si>
  <si>
    <t>Pvd fire,marine,ins svcs</t>
  </si>
  <si>
    <t>Nationwide Mutual Insurance Co</t>
  </si>
  <si>
    <t>Pvd insurance,svgs services</t>
  </si>
  <si>
    <t>Nationwide Mutual Insurance Co (NM) completed its unsolicited hostile tender offer to acquire all the outstanding common stock of ALLIED Group Inc (AGI) for an amended $48.25 in cash per share, or a total value of $1. 576 bil, including $65 mil for AGI's 6-3/4% series non- convertible preferred stock. Earlier, NM completed its tender off for AGI by accepting 27.756 mil shares, or 87.73% of AGI's shares. The offer was conditioned upon at least 50.1% of AGI's shares being tendered. Previously, NM offered $47 in cash per common share and $65 mil in cash for all the outstanding 6-3/4% series non- convertible preferred stock of AGI.</t>
  </si>
  <si>
    <t>HFNC Financial Corp</t>
  </si>
  <si>
    <t>Pvd financial credit services</t>
  </si>
  <si>
    <t>First Charter (FC), North Concord, North Carolina, merged with HFNC Financial (HF), Charlotte, North Carolina, in a stock swap transaction valued at $240. 163 mil. FC offered .57 FC common shares per HF share. Based on FC's closing stock price of $24.5 on May 15, the last full trading day prior to the announcement, each HF share was valued at $13.965. The transaction was accounted for as a pooling of interests. Upon completion of the reverse takeover, HF owned a majority of the combined company. Originally, in October 1997, HF disclosed that it was seeking a buyer for the company. Under a lockup agreement, both HF and FC were granted an option up to acquire up to a 19.9% stake in each other.</t>
  </si>
  <si>
    <t>Dillard's Inc</t>
  </si>
  <si>
    <t>Dillard's Inc (DI) acquired of Mercantile Stores Co Inc (MS) for $80 in cash per share, or a total value of $2. 943 bil. Earlier, DI completed its tender offer by accepting 36 mil shares, or 97.71% of MS' shares. The offer was conditioned upon at least a majority of MS' shares being tendered. Subsequently, May Department Stores Co agreed to acquire 11 Mercantile stores and Proffitt's Inc agreed to acquire 15 Mercantile stores from DI. The two transactions were contingent upon completion of DI's acquisition of MS.</t>
  </si>
  <si>
    <t>RP Scherer Corp</t>
  </si>
  <si>
    <t>Mnfr soft gelatin capsules</t>
  </si>
  <si>
    <t>Cardinal Health (CH) acquired RP Scherer Corp (RPS) in a stock swap transaction valued at $2.542 bil, including the assumption of approximately $159 mil in liabilities. CH offered .95 common shares per RPS share. Based on CH's closing stock price of $95.75 on May 15, the last full trading day prior to the announcement, each RPS share was valued at $90.9625. The transaction was accounted for as a pooling of interests.</t>
  </si>
  <si>
    <t>Telescan Inc</t>
  </si>
  <si>
    <t>Dvlp and op financial websites</t>
  </si>
  <si>
    <t>In Myy 1998, Telescan Inc announced that it was seeking a buyer for the company.</t>
  </si>
  <si>
    <t>Viking Office Products Inc</t>
  </si>
  <si>
    <t>Whl,retail office products</t>
  </si>
  <si>
    <t>Office Depot Inc (ODI) acquired Viking Office Products Inc (VOP) in a stock swap transaction valued at $3. 082 bil. ODI offered 1 common share per VOP share. Based on ODI's closing stock price of $34.4375 on May 15, the last full trading day prior to the announcement, each VOP share was valued at $34.4375. The transaction was accounted for as a pooling of interests.</t>
  </si>
  <si>
    <t>ATL Products Inc</t>
  </si>
  <si>
    <t>Quantum Corp</t>
  </si>
  <si>
    <t>Mnfr info storage products</t>
  </si>
  <si>
    <t>Quantum Corp (QC) acquired ATL Products Inc (AP), a majority-owned unit of Odetics Inc, in a stock swap transaction valued at $303. 968 mil. QC offered $29 in common stock per AP share.</t>
  </si>
  <si>
    <t>Bear Stearns Cos Inc</t>
  </si>
  <si>
    <t>Pvd invest bkg svcs</t>
  </si>
  <si>
    <t>ABN-AMRO Holding NV was rumored to acquire all the outstanding common share of Bear Stearns Cos Inc. The Current status of this deal is unknown.</t>
  </si>
  <si>
    <t>GTI Corp(Telemetrix PLC)</t>
  </si>
  <si>
    <t>Technitrol Inc</t>
  </si>
  <si>
    <t>Technitrol Inc acquired all the outstanding common stock of GTI Corp, a majority-owned unit of Telemetrix PLC, for $3.10 in cash per share, or a total value of $33.709 mil.</t>
  </si>
  <si>
    <t>Giant Food Inc</t>
  </si>
  <si>
    <t>Koninklijke Ahold NV acquired all the outstanding common stock of Giant Food Inc via a tender offer for $43 in cash per share, or a total value of $2.634 bil.</t>
  </si>
  <si>
    <t>QuesTech Inc</t>
  </si>
  <si>
    <t>Sys engineering, tech services</t>
  </si>
  <si>
    <t>CACI International acquired all the outstanding common stock of QuesTech Inc (QT) for $18.13 in cash per share, or a total value of $43.795 mil, including the assumption of approximately $2 mil in liabilities. Upon completion, QT was renamed CACI Technologies Inc. The transaction was contigent on QT's divestment of its Questech Packaging Inc subsidiary to an undisclosed acquiror. Previously, QT offered $18.54 in cash per share plus the assumption of $2 mil in liabilities.</t>
  </si>
  <si>
    <t>InnoServ Technologies</t>
  </si>
  <si>
    <t>Pvd med equip repair svcs</t>
  </si>
  <si>
    <t>GE Medical Systems</t>
  </si>
  <si>
    <t>Mnfr diagnostic imaging equip</t>
  </si>
  <si>
    <t>GE Medical Systems, a unit of General Electric, acquired all of the outstanding common stock of InnoServ Technologies for between an estimated $3.97 and $4.25 in cash per share, or a total value of $13.062 mil, with the value based on the high price in the range.</t>
  </si>
  <si>
    <t>National Gas &amp; Oil Co</t>
  </si>
  <si>
    <t>Gas utility; gas expl and prod</t>
  </si>
  <si>
    <t>Licking Rural Electrification</t>
  </si>
  <si>
    <t>Licking Rural Eletrification Inc acquired all the outstanding common stock of National Gas &amp; Oil Co for $13 in cash per share, or a total value of $93.04 mil.</t>
  </si>
  <si>
    <t>Excite Inc</t>
  </si>
  <si>
    <t>Dvlp Internet search engines</t>
  </si>
  <si>
    <t>Zapata Corp withdrew its unsolicited offer to acquire all the outstanding common stock of Excite Inc in a stock swap transaction valued at 1.97 bil. Zapata offered $72 in newly issued common stock per Excite share.</t>
  </si>
  <si>
    <t>Mid Am Inc,Bowling Green,Ohio</t>
  </si>
  <si>
    <t>Citizens Bancshares Inc (CB), Salineville, Ohio, merged with Mid Am Inc (MA), Bowling Green, Ohio, in a stock swap transaction valued at an amended $620.243 mil. CB offered 0.77 shares per MA share. Basedon CB's closing stock price of $33.25 on June 2, the last full trading day prior to the amendment, each MA share was valued at $25. 602. Originally, CB agreed to merge with MA in a stock swap transaction valued at $680. 907 mil. CB offered 0.385 common shares per MA share. The transaction was to be accounted for as a pooling of interests and a mergers of equals. Upon completion, the newly-merged entity was to be renamed Sky Financial Group (SFG), and MA was to hold 50. 9% interest in SFG. Subsequently, CB agreed to acquire Ohio Bank,Findlay, Ohio.</t>
  </si>
  <si>
    <t>Fremont Partners withdrew its letter of intent to acquire all the outstanding common stock of Global Motorsport Group Inc (GMG) for $23 in cash per share, or a total value of $130.194 mil. Previously, Golden Cycle Gold Corp launched a tender offer to acquire the remaining 89.6%, which it did not already own, in GMG.</t>
  </si>
  <si>
    <t>Pete's Brewing Co</t>
  </si>
  <si>
    <t>Produce beer</t>
  </si>
  <si>
    <t>Gambrinus Co</t>
  </si>
  <si>
    <t>Produce,wholesale beer</t>
  </si>
  <si>
    <t>Gambrinus Co acquired all the outstanding common stock of Pete's Brewing Co for $6. 375 per share, or a total value of $69.421 mil.</t>
  </si>
  <si>
    <t>Tyco International Ltd (TI) acquired US Surgical Corp (US) in stock swap transaction valued at $3.394 bil. TI offered .7606 common shares per US share. Based on TI's closing stock price of $55. 6875 on May 22,, the last full trading day prior to the announcement, each US share was valued at $42.356. The transaction was accounted for as a pooling of interests.</t>
  </si>
  <si>
    <t>Berkshire Realty Co Inc</t>
  </si>
  <si>
    <t>In May 1998, Berkshire Realty Co announced that it was seeking a buyer for the company</t>
  </si>
  <si>
    <t>Hyperion Software Corp</t>
  </si>
  <si>
    <t>Arbor Software Corp</t>
  </si>
  <si>
    <t>Arbor Software Corp (AS) merged with Hyperion Software Corp (HS) in a stock swap transaction valued at $837. 292 mil. AS offered 0.95 common shares per HS share. Based on AS' closing stock price of $42.125 on May 22, the last full trading day prior to the announcement, each HS share was valued at $40.019. Upon completion, the combined company was renamed Hyperion Solutions Corp (HSC). HS held an estimated 60% interest in HSC, and AS held the remaining 40% stake. The transaction was accounted for as a pooling of interests.</t>
  </si>
  <si>
    <t>T R Financial Corp,NY</t>
  </si>
  <si>
    <t>Roslyn Bancorp Inc,Jericho,NY</t>
  </si>
  <si>
    <t>Roslyn Bancorp Inc (RB), Roslyn, New York, acquired TR Financial Corp (TR), Garden City, New York, in a stock swap transaction valued at $1. 078 bil. RB offered 2.05 RB common shares per TR share. Based on RB's closing stock price of $27.625 on May 22, the last full trading day prior to the announcement, each TR share was valued at $56.631. The transaction was accounted for as a pooling of interests. Previously, RB was rumored to be in negotiations to acquire TR.</t>
  </si>
  <si>
    <t>TST/Impreso Inc</t>
  </si>
  <si>
    <t>Mnfr paper products</t>
  </si>
  <si>
    <t>Undisclosed Paper Company</t>
  </si>
  <si>
    <t>Manufacture paper machinery</t>
  </si>
  <si>
    <t>An undisclosed Indonesian paper company terminated its agreement to acquire an undisclosed majority interest in TST/Impreso Inc.</t>
  </si>
  <si>
    <t>Einstein/Noah Bagel Corp</t>
  </si>
  <si>
    <t>Own,operate bagel stores</t>
  </si>
  <si>
    <t>In May 1998, Boston Chicken Inc announced that it was seeking a buyer for its 52% interest in Einstein/Noah Bagel Corp.</t>
  </si>
  <si>
    <t>May &amp; Speh Inc</t>
  </si>
  <si>
    <t>Pvd computer-based direct mktg</t>
  </si>
  <si>
    <t>Acxiom Corp</t>
  </si>
  <si>
    <t>Pvd info mgmt,mktg svcs</t>
  </si>
  <si>
    <t>Acxiom Corp (AC) merged with May &amp; Speh Inc (MS) in a stock swap transaction valued at $502.479 mil. AC offered 0. 8 common shares per MS share. Based on AC's closing stock price of $21.8125 on May 26, the last full day of trading prior to announcement, each MS share was valued at $17.45. The transaction was accounted for as a pooling of interests. Upon completion May &amp; Speh changed its name to Acxiom May &amp; Speh.</t>
  </si>
  <si>
    <t>QuadraMed Corp (QM) acquired the remaining 43.3% stake that it did not already own in Medicus Systems Corp for $30.250 mil. The consideration consisted of $0. 92 mil in cash and 1.2 mil common shares valued at $29. 33 mil. The shares were valued based on QM's closing stock price of $24.438 on May 27, the last full trading day prior to the announcement. Previously, in November 1997, QM acquired a 56.7% interest, or 3.1 mil common shares, in Medicus Systems for $7.5 in cash per share, or a total value of $23.333 mil.</t>
  </si>
  <si>
    <t>Donnelley Enterprise Solutions</t>
  </si>
  <si>
    <t>Pvd info management services</t>
  </si>
  <si>
    <t>Bowne &amp; Co Inc</t>
  </si>
  <si>
    <t>Pvd finl,mktg,bus commun svcs</t>
  </si>
  <si>
    <t>Bowne &amp; Co (BC) acquired all the outstanding common stock of Donnelley Enterprise Solutions Inc (DES) for $21 in cash per share, or a total value of $105.216 mil. Previously, BC completed its tender offer to acquire all the outstanding common stock of DES by accepting 4.9 mil shares. The offer had been conditioned upon at least a majority of DES' shares being tendered. Upon completion, BC merged DES with its Bowne Business Services unit to form Bowne Business Solutions.</t>
  </si>
  <si>
    <t>First Palm Beach Bancorp Inc</t>
  </si>
  <si>
    <t>Republic Security Financial</t>
  </si>
  <si>
    <t>Republic Security Financial Corp (RSF) acquired First Palm Beach Bancorp Inc (FPB) in a stock swap transaction valued at $294.97 mil. RSF offered 4.194 common shares per FPB share. Based on RSF's closing stock price of $13. 125 on May 27, the last full trading day prior to the announcement, each FPB share was valued at $55.046. The transaction had been accounted for as a pooling of interests.</t>
  </si>
  <si>
    <t>United HealthCare (UH) withdrew its agreement to merge with Humana Inc (HI) in a stock swap transaction valued at $5.539 bil. UH offered .5 shares per HI share. Based on UH's closing stock price of $64.125 on May 27, the last full trading day prior to announcement, each HI share was valued at $32. 063. Upon completion, the combined company was to have operated under the UH name. The transaction was to be accounted for as a pooling of interests.</t>
  </si>
  <si>
    <t>Rochester &amp; Pittsburgh Coal Co</t>
  </si>
  <si>
    <t>Coal mining</t>
  </si>
  <si>
    <t>Consol Commonwealth Inc</t>
  </si>
  <si>
    <t>Consol Commonwealth, a unit of Consol Coal Group, acquired all of the outstanding common stock of Rochester &amp; Pittsburgh Coal for $43.50 in cash per share, or a total value of $149.683.</t>
  </si>
  <si>
    <t>Arch Petroleum Inc</t>
  </si>
  <si>
    <t>Pogo Producing Co</t>
  </si>
  <si>
    <t>Oil,gas expl, prodn</t>
  </si>
  <si>
    <t>Pogo Producing (PP) acquired Arch Petroleum (AP) in a stock swap transaction valued at an estimated $114.005 mil, including the assumption of approximately $48.5 mil in liabilities. PP offered 1 common share for every 10.4 AP common shares held and 1 common share for every 1.04 exchangeable convertible preferred shares held. Based on PP's closing stock price of $25.75 on May 28, the last full trading day prior to the announcement, each AP common share was valued at $2.472 and each AP exchangeable convertible preferred share was valued at $24.772. The transaction was to be accounted for as a pooling of interests.</t>
  </si>
  <si>
    <t>Emerging Communications Inc</t>
  </si>
  <si>
    <t>Pvd local telephone svcs</t>
  </si>
  <si>
    <t>Innovative Communication Corp</t>
  </si>
  <si>
    <t>Pvd telecommun,cable TV svcs</t>
  </si>
  <si>
    <t>US Virgin Is</t>
  </si>
  <si>
    <t>Innovative Communication Co LLC (ICC), a management-led company by chairman and chief executive officer Mr Jeffrey J Prosser, acquired all the outstanding common stock of Emerging Communications (EC) for an amended $10.25 in cash per share, or a total value of $112.331 mil, in a leveraged buyout transaction. Earlier ICC completed its tender offer fir EC. Originally, ICC offered $9. 125 per share.</t>
  </si>
  <si>
    <t>Mid-America Realty Investments</t>
  </si>
  <si>
    <t>Bradley Real Estate Inc (BR) acquired Mid-America Realty Investments (MD) in a stock swap transaction valued at $153.244 mil. BR offered .42 newly-issued Series A convertible preferred shares per MD common share and the assumption of $66 mil in liabilities. Based on the par value of $25 per BR Series A convertible preferred share, each MD common share was valued at $10.50.</t>
  </si>
  <si>
    <t>Wayne Bancorp Inc,Wayne,NJ</t>
  </si>
  <si>
    <t>Valley National Bancorp (VB), Wayne, New Jersey, acquired Wayne Bancorp Inc (WB), Wayne, New Jersey, in a stock swap transaction valued at $72.486 mil. VB offered 1.1 common shares per WB share. Based on VB's closing stock price of $31.25 on May 28, the last full trading day prior to the announcement, each WB share was valued at $34.375. The transaction had been accounted for as a pooling of interests. Originally, in March 1998, WB disclosed that it was seeking a buyer for the company. Hubco Financial, Summit Bancorp, and VB were mentioned as possible buyers.</t>
  </si>
  <si>
    <t>American Home Products (AHP) terminated definitive agreement to merge with Monsanto in a stock swap transaction valued at $35.563 bil. Monsanto shareholders were to receive 1.15 new common shares and AHP shareholders were to receive 1 new common share per share held. Based on AHP's closing stock price of $48.3125 on May 29, the last full trading day prior to the announcement, each Monsanto share was valued at $55.559. The transaction was to be accounted for as a pooling of interests. Upon completion, AHP shareholders were to own 65% of the new company.</t>
  </si>
  <si>
    <t>PST Vans Inc</t>
  </si>
  <si>
    <t>US Xpress Enterprises Inc</t>
  </si>
  <si>
    <t>Trucking co</t>
  </si>
  <si>
    <t>US Xpress Enterprises (USX) acquired all of the outstanding common stock of PST Vans (PST) in a stock swap transaction valued at $83.869 mil, including the assumption of $51 mil in liabilities. USX offered $2. 73 in cash and .24 Class A common shares per PST share. Based on USX's closing stock price of $19.75 on May 29, the last full trading day prior to announcement, each PST share was valued at $7.47.</t>
  </si>
  <si>
    <t>Home Bancorp of Elgin,Elgin,IL</t>
  </si>
  <si>
    <t>State Finl Svcs Corp,WI</t>
  </si>
  <si>
    <t>State Financial Services Corp (SF), Hales Corner, Wisconsin, acquired Home Bancorp of Elgin Inc (HB), Elgin, Illinois, in a stock swap transaction valued at $133.957 mil. SF offered . 77767 common shares per HB share subject to a collar agreement. Based on SF's closing stock price of $24.50 on June 1, the last full trading day prior to the announcement, each HB share was valued at $19.053</t>
  </si>
  <si>
    <t>Housecall Medical Resources</t>
  </si>
  <si>
    <t>Sunbelt Home Health Care</t>
  </si>
  <si>
    <t>Sunbelt Home Health Care, a unit of Adventist Health System, acquired all the outstanding common stock of Housecall Medical Resources Inc for $52.375 mil.</t>
  </si>
  <si>
    <t>RF Power Products</t>
  </si>
  <si>
    <t>Mnfr,whl RF power delivery sys</t>
  </si>
  <si>
    <t>Advanced Energy Industries</t>
  </si>
  <si>
    <t>Mnfr power delivery systems</t>
  </si>
  <si>
    <t>Advanced Energy Industries (AEI) acquired all the outstanding common stock of RF Power Products in exchange for 4 mil AEI common shares valued at $60.822 mil. The shares were valued based on AEI's closing stock price of $13.625 on June 1, the last full trading day prior to the announcement. The transaction had been accounted for as a pooling of interests.</t>
  </si>
  <si>
    <t>Tyco International (TI) acquired Sigma Circuits (SC) for $10.50 in cash per share, or a total value of $55.159 mil. Previously, TI completed its tender offer by accepting 3,977,701 shares, or 93.56% of SC's common shares outstanding. The offer was conditioned upon at least a majority of SC's shares being tendered on a fully diluted basis.</t>
  </si>
  <si>
    <t>CIENA Corp</t>
  </si>
  <si>
    <t>Mnfr,whl fiber optic cable sys</t>
  </si>
  <si>
    <t>Tellabs Inc (TI) terminated its agreement to merge with CIENA Corp (CC) in a stock swap transaction valued at an amended $5.053 bil. TI offered .8 common shares per CC share. Based on TI's closing stock price of $57. 8125 on August 27, the last full trading day prior to the announcement of the amended terms, each CC share was valued at $46.25. Oringinally, TI offered 1 common share per CC share. The transaction was to be accounted for as a pooling of interests.</t>
  </si>
  <si>
    <t>Allied Life Financial Corp</t>
  </si>
  <si>
    <t>Insurance co; holding co</t>
  </si>
  <si>
    <t>Nationwide Mutual Insurance Co (NMIC) acquired the remaining 66.64% interest, or 3.086 mil common shares, which it did not already own, in Allied Life Financial Corp (ALFC) via a tender offer for $30 in cash per share, or a total value of $89.916 mil. The offer was conditioned upon at least a majority of ALFC's shares being tendered. Concurrently, NMIC acquired all the outstanding common stock of ALLIED Group via a tender offer for an amended $48.25 in cash per share. Furthermore, NMIC definitively agreed to merge with Allied Mutual Insurance (AMI). AMI held approximately 36.6% of ALFC's common stock and about 56% of the voting stock.</t>
  </si>
  <si>
    <t>Cable Michigan Inc</t>
  </si>
  <si>
    <t>Avalon Cable of Michigan Inc</t>
  </si>
  <si>
    <t>Pvd cable TV bdcstg services</t>
  </si>
  <si>
    <t>Avalon Cable acquired all the outstanding common stock of Cable Michigan Inc (CMI) for $40.5 in cash per share, or a total value of $291.248 mil. Concurrently, CMI agreed to acquire the remaining 38. 08%, or 1,882,810 common shares, which it did not already own, in Mercom Inc.</t>
  </si>
  <si>
    <t>DSC Communications Corp</t>
  </si>
  <si>
    <t>Dvlp,mnfr digital telecom sys</t>
  </si>
  <si>
    <t>Alcatel Alsthom CGE</t>
  </si>
  <si>
    <t>Mnfr telephone,commun equip</t>
  </si>
  <si>
    <t>Alcatel Alsthom (AA), a majority-owned unit of the French government, acquired DSC Communications (DSC) in a stock swap transaction valued at $4.685 bil. AA offered . 163 new ordinary shares per DSC share, or .815 American Depository Shares per DSC share. Based on AA's closing stock price of $219.387 on June 3, the last full trading day prior to the announcement, each DSC share was valued at $35.76. On completion, DSC was renamed Alcatel USA Inc.</t>
  </si>
  <si>
    <t>Cable Michigan Inc (CM) acquired the remaining 38.08%, or 1,882,810 common shares, which it did not already own, in Mercom Inc for an amended $12 in cash per share, or a total value of $21.874 mil. Concurrently, Avalon Cable acquired all the outstanding common stock of CM. Previously CM offered $11 cash per share.</t>
  </si>
  <si>
    <t>Carrols Corp</t>
  </si>
  <si>
    <t>Carrols Corp (CC) acquired Pollo Tropical Inc (PT) for $11 in cash per share, or a total value of $94.584 mil. Earlier, CC completed its tender offer for PT by accepting 7.89 mil shares or 95.6% of PT's shares. The offer was conditioned upon at least a majority of PT's shares being tendered on a fully diluted basis. Previously, a management-led investor group, including co- founder Larry J. Harris, terminated its plans to launch a tender offer to acquire all the outstanding common stock of PT for $10 in cash per share, or a total value of $84.986 mil, in a leveraged buyout transaction.</t>
  </si>
  <si>
    <t>Supertel Hospitality Inc</t>
  </si>
  <si>
    <t>PMC Commercial Trust Inc</t>
  </si>
  <si>
    <t>PMC Commercial Trust (PMC), a majority-owned unit of PMC Capital Inc, terminated its agreement to merge with Supertel Hospitality Inc (SH) in a stock swap transaction valued at approximately $131. 949 mil, including the assumption of about $73 mil in liabilities. PMC offered . 6 common shares per SH share, subject to a collar agreement. Based on PMC's closing stock price of $20.25 on June 3, the last full trading day prior to the annoucement, each SH share was valued at $12.15.</t>
  </si>
  <si>
    <t>Telco Systems Inc</t>
  </si>
  <si>
    <t>Mnfr telecommunication prods</t>
  </si>
  <si>
    <t>World Access Inc (WA) merged with Telco Systems Inc (TS) in a stock swap transaction valued at $194.503 mil. WA offered $17 in common stock per TS share. The offer was subject to a collar agreement.</t>
  </si>
  <si>
    <t>Allied Waste Industries Inc</t>
  </si>
  <si>
    <t>Pvd waste collection svcs</t>
  </si>
  <si>
    <t>Allied Waste Industries discontinued rumors that it was in negotiations to acquire all the outstanding common stock of Browning- Ferris Industries Inc. Terms were not disclosed.</t>
  </si>
  <si>
    <t>Audio Communications Network</t>
  </si>
  <si>
    <t>Pvd bus music bdcstg svcs</t>
  </si>
  <si>
    <t>Diverse Media Acquisitions Inc</t>
  </si>
  <si>
    <t>Diverse Media Acquisitions Inc, a unit of DMA Holdings Inc, acquired all of the outstanding common stock of Audio Communications Network Inc, a majority-owned unit of Suncom Communications LLC, for $6.40 in cash per share, or a total value of $29.299 mil.</t>
  </si>
  <si>
    <t>Capstone Capital Corp</t>
  </si>
  <si>
    <t>Healthcare Realty Trust Inc</t>
  </si>
  <si>
    <t>Healthcare Realty Trust (HR) acquired Capstone Capital (CC) in a stock swap transaction valued at $971.396 mil, including the assumption of $268 mil in liabilities. HR offered .8518 common shares per CC share and $75 mil in preferred stock for all the outstanding CC preferred stock. Based on HR's closing stock price of $28.375 on June 5, the last full trading day prior to the announcement, each CC share was valued at $24.17.</t>
  </si>
  <si>
    <t>Prestige Holdings I LP</t>
  </si>
  <si>
    <t>Prestige Holdings I LP acquired an 85% interest, or 8.479 mil common shares, in Cosmetic Center Inc from Revlon Inc. Terms were not disclosed.</t>
  </si>
  <si>
    <t>Internet Communications Corp</t>
  </si>
  <si>
    <t>Pvd network solutions services</t>
  </si>
  <si>
    <t>Rocky Mountain Internet Inc</t>
  </si>
  <si>
    <t>Rocky Mountain Internet Inc terminated its definitive agreement to acquire all the outstanding common stock of Internet Communications Corp for an amended $6.764 per share, or a total value of approximately $41.406 mil.</t>
  </si>
  <si>
    <t>PaineWebber Group Inc</t>
  </si>
  <si>
    <t>Prudential Securities Inc</t>
  </si>
  <si>
    <t>Securities,commodities brokers</t>
  </si>
  <si>
    <t>Prudential Securities Inc, a unit of Prudential Insurance Co of America, was rumored to be in negotiations to acquire all the outstanding common stock of PaineWebber Group Inc. The Current status of this deal is unknown.</t>
  </si>
  <si>
    <t>Phage Therapeutics Intl Inc</t>
  </si>
  <si>
    <t>All Product Distribution Corp</t>
  </si>
  <si>
    <t>Wholesale professional equip</t>
  </si>
  <si>
    <t>All Product Distribution Corp signed a letter of intent to merge with Phage Therapeutics Inc for $1.1 mil in cash.</t>
  </si>
  <si>
    <t>Wells Fargo &amp; Co</t>
  </si>
  <si>
    <t>Norwest Corp (NC), Minneapolis, Minnesota, merged with Wells Fargo &amp; Co (WF), San Francisco, California, in a merger-of- equals stock swap transaction valued at $34.353 bil. NC offered 10 common shares per WF share. Based on NC's closing stock price of $39. 6875 on June 5, the last full trading day prior to the announcement, each WF share was valued at $396.875. The transaction was to be accounted for as a pooling of interests. Under a lockup agreement, both NC and WF were granted an option to acquire up to a 19.9% stake in each other. Upon completion of the reverse takeover, the new company was to retain the Wells Fargo name, and WF shareholders were to own 52.5% and NC shareholders the remaining 47. 5% in the new Wells Fargo.</t>
  </si>
  <si>
    <t>Lincoln Snack Co(Noel Group)</t>
  </si>
  <si>
    <t>Produce,whl pre-poped popcorn</t>
  </si>
  <si>
    <t>Brynwood Partners LP</t>
  </si>
  <si>
    <t>Brynwood Partners III acquired a 56.4% interest, or 3,569,755 common shares, in Lincoln Snack from Noel Group for an estimated $7.14 mil. The consideration consisted of $2 in cash per share and a promissory note of undisclosed value.</t>
  </si>
  <si>
    <t>Ceanic Corp</t>
  </si>
  <si>
    <t>Pvd subsea services,products</t>
  </si>
  <si>
    <t>Stolt Comex Seaway SA</t>
  </si>
  <si>
    <t>Pvd oil/gas contracting svcs</t>
  </si>
  <si>
    <t>Stolt Comex Seaway, a majority-owned unit of Stolt- Neilsen, acquired all the outstanding common stock of Ceanic for $20 in cash per share, or a total value of $222.77 mil.</t>
  </si>
  <si>
    <t>Family Restaurants Inc</t>
  </si>
  <si>
    <t>Family Restaurants Inc (FR) acquired all the outstanding common stock of Koo Koo Roo Inc (KKR) in a stock swap transaction valued at $158 mil including the assumption of $12 mil in liabilities. FR offered one common share for every outstanding KKR share held. Upon completion, the combined company was called Koo Koo Roo Enterprises Inc.</t>
  </si>
  <si>
    <t>Health Care &amp; Retirement Corp of America (HCR), a majority owned unit of Health Care and Retirement Co, merged with Manor Care Inc (MC) in a stock swap transaction valued at $2.474 bil. HCR offered 1 common share per MC share. Based on HCR's closing stock price of $37.75 on June 9, the last full trading day prior to the announcement, each MC share was valued at $37.75. The transaction was accounted for as a pooling of interests. Upon completion of the reverse takeover, MC shareholders held a 58.7% interest in the merged entity, which was renamed HCR Manor Care.</t>
  </si>
  <si>
    <t>Mego Mortgage Corp(Mego Finl)</t>
  </si>
  <si>
    <t>City Holding Co, Charleston, West Virginia, acquired 6.667 mil common shares, or a 54.2% interest, in Mego Mortgage Corp, a majority-owned unit of Mego Financial Corp, for $10 mil.</t>
  </si>
  <si>
    <t>Plenum Publishing Corp</t>
  </si>
  <si>
    <t>Publish technical journals</t>
  </si>
  <si>
    <t>Wolters Kluwer NV (WK) acquired Plenum Publishing Corp (PPC) for $258 mil . Originally, WK completed its tender offer to acquire all the outstanding common stock PPC for $73.50 in cash per share, by accepting 3.252 mil common shares. The offer had been conditioned upon at least 51% of PPC's shares being tendered.</t>
  </si>
  <si>
    <t>CRW Financial Inc</t>
  </si>
  <si>
    <t>Pvd credit collection svcs</t>
  </si>
  <si>
    <t>TeleSpectrum Worldwide Inc</t>
  </si>
  <si>
    <t>Pvd integrated teleservice sol</t>
  </si>
  <si>
    <t>TeleSpectrum Worldwide Inc (TS) acquire all the outstanding common stock of CRW Financial Inc (CR) in a stock swap transaction valued at $43.828 mil. TS offered . 709 common shares per CR share. Based on TS' closing stock price of $8.5 on June 11, the last full trading day prior to the announcement, each CR share was valued at $6.0265.</t>
  </si>
  <si>
    <t>McDonald &amp; Co Investments Inc</t>
  </si>
  <si>
    <t>KeyCorp (KK) acquired McDonald &amp; Co Investments Inc (MD) in a stock swap transaction valued at an amended $577.375. KK offered 1.06 common shares per MD share. Based on KK's cloing stock price of $29.5625 on October 23, each MD share was valued at $31.336. Originally, KK agreed to acquire MD in a stock swap transaction valued at $645.106 mil. KK offered $35 in common stock per MD share, subject to a collar agreement.</t>
  </si>
  <si>
    <t>Davel Communications Group Inc (DCG) terminated its agreement to merge with PhoneTel Technologies Inc (PTT) in a stock swap transaction valued at $222. 697, including the assumption of $153 mil in liabilities. DCG offered $3.08 in common stock per PTT share, subject to a collar agreement.</t>
  </si>
  <si>
    <t>Charter One Financial Inc (CO), Cleveland, Ohio, merged with ALBANK Financial Corp (AF), Albany, New York, in a stock swap transaction valued at an amended $827.84 mil. CO offered 2.268 common shares per AF share. Based on CO's closing stock price of $27. 1875 on September 9, the last full trading day prior to the amendment, each AF share was valued at $58.725. Originally, CO definitively agreed to merge with AF in a stock swap transaction valued at $1.045 bil. CO offered 2.16 common shares per AF share. Based on CO's closing stock price of $34.0625 on June 12, the last full trading day prior to the announcement, each AF share was valued at $73.575. The transaction had been accounted for as a pooling of interests.</t>
  </si>
  <si>
    <t>Northern Telcom Ltd (NT), a majority-owned unit of BCE Inc, acquired Bay Networks Inc (BN) in a stock swap transaction valued at $9.269 bil. NT offered 0.6 common shares per BN share. Based on NT's closing stock price of $63.6875 on June 12, the last full trading day prior to the announcement, each BN share was valued at $38.2125.</t>
  </si>
  <si>
    <t>Teleglobe Inc</t>
  </si>
  <si>
    <t>Teleglobe Inc (TI) merged with Excel Communications (EC) in a stock swap transaction valued at $6.407 bil. TI offered .885 common shares per EC share. Based on TI's closing stock price of $51. 625 on June 12, the last full trading day prior to the announcement, each EC common share was valued at $45.688. The transaction was accounted for as a pooling of interests. Upon completion, TI shareholders were to hold 51. 5% of the new company. Concurrently, BCE Inc agreed to acquire a 7.8% stake in EC in order to maintain its 24% equity stake in TI.</t>
  </si>
  <si>
    <t>FTP Software Inc</t>
  </si>
  <si>
    <t>Pvds software svcs</t>
  </si>
  <si>
    <t>NetManage Inc</t>
  </si>
  <si>
    <t>NetManage Inc (NM) acquired FTP Software Inc (FTP) in a stock swap transaction valued at $77.777 mil. NM offered . 73 common shares per FTP share. Based on NM's closing stock price of $3.125 on June 12, the last full trading day prior to the announcement, each FTP share was valued at $2.281. The transaction was accounted for as a pooling of interests.</t>
  </si>
  <si>
    <t>Sulcus Hospitality</t>
  </si>
  <si>
    <t>Mnfr computers, dvlp software</t>
  </si>
  <si>
    <t>Tridex Corp</t>
  </si>
  <si>
    <t>Mnfr terminal devices</t>
  </si>
  <si>
    <t>Tridex Corp withdrew its intentions to acquire all the outstanding common stock of Sulcus Hospitality Technologies Corp. Terms were not disclosed.</t>
  </si>
  <si>
    <t>Personnel Management Inc</t>
  </si>
  <si>
    <t>Linsalata Capital Partners Inc</t>
  </si>
  <si>
    <t>Linsalata Capital Partners acquired all the outstanding common stock of Personnel Management Inc for $16 in cash per share, or a total value of $34.912 mil.</t>
  </si>
  <si>
    <t>US Rentals Inc</t>
  </si>
  <si>
    <t>Pvd equipment rental services</t>
  </si>
  <si>
    <t>United Rentals Inc</t>
  </si>
  <si>
    <t>United Rentals Inc (UR) acquired US Rentals Inc (US) in a stock swap transaction valued at $1.046 bil. UR offered .9625 common shares per US share. Based on UR's closing stock price of $33. 375 on June 15, the last full trading day prior to the announcement, each US share was valued at $32.1234. The transaction had been accounted for as a pooling of interests. Earlier, UR was rumored to be in negotiations to acquire US.</t>
  </si>
  <si>
    <t>AT&amp;T Corp was rumored to acquire all the outstanding stock of America Online Inc. The Current status of this deal is unknown.</t>
  </si>
  <si>
    <t>Intersolv Inc</t>
  </si>
  <si>
    <t>Develop software products</t>
  </si>
  <si>
    <t>Micro Focus Group PLC</t>
  </si>
  <si>
    <t>Dvlp networking software</t>
  </si>
  <si>
    <t>Micro Focus Group PLC (MFG) acquired Intersolv Inc (IS) in a stock swap transaction valued at $532.043 mil. MFG offered 0.55 American Depository Shares (ADS) per IS share (Each ADS share corresponded to 5 MFG ordinary shares). Based on MFG's ADS closing stock price of $39.75 on June 16, the last full trading day prior to the announcement, each CB share was valued at $21.8625. The transaction was to be accounted for as a pooling of interests.</t>
  </si>
  <si>
    <t>Nimbus CD International Inc</t>
  </si>
  <si>
    <t>Mnfr compact discs</t>
  </si>
  <si>
    <t>Carlton Communications PLC</t>
  </si>
  <si>
    <t>Multimedia co</t>
  </si>
  <si>
    <t>Carlton Communications PLC (CC) acquired Nimbus CD International Inc (NC) for $11.50 in cash per share, or a total value of $264.919 mil. Earlier, CC completed its tender offer for NC by accepting 20,598,948 shares, or about 96% of all the oustanding common stock.</t>
  </si>
  <si>
    <t>Pen Interconnect Inc</t>
  </si>
  <si>
    <t>TMCI Electronics Inc</t>
  </si>
  <si>
    <t>Mnfr sheet metal work</t>
  </si>
  <si>
    <t>TMCI Electronics (TE) withdrew its agreement to acquire Pen Interconnect (PI) in a stock swap transaction valued at $13.129 mil. TE offered 0.625 common shares per PI share. Based on TE's closing stock price of $3. 8125 on June 16, the last full trading day prior to the announcement, each PI share was valued at $2.383.</t>
  </si>
  <si>
    <t>ARCO Chemical Co</t>
  </si>
  <si>
    <t>Mnfr,whl intermediate chems</t>
  </si>
  <si>
    <t>Lyondell Petrochemical</t>
  </si>
  <si>
    <t>Mnfr,whl performance chemicals</t>
  </si>
  <si>
    <t>Lyondell Petrochemical Co (LP) acquired all the outstanding common stock of ARCO Chemical Co (AC), a majority owned unit of Atlantic Richfield Co, for $57.75 in cash per share, or a total value of $5.646 bil. Originally, LP completed its tender offer to acquire all the oustanding common stock of AC by accepting 96.7 mil shares, or 99.3%.</t>
  </si>
  <si>
    <t>Infoseek Corp</t>
  </si>
  <si>
    <t>Pvd Internet search engine svc</t>
  </si>
  <si>
    <t>Walt Disney Co (WD) acquired warrants convertible into an undisclosed majority interest in Infoseek Corp (IC) in exchange for an estimated $139 mil note. Concurrently, WD acquired a 43% stake in IC.</t>
  </si>
  <si>
    <t>NSS Bancorp,Norwalk,CT</t>
  </si>
  <si>
    <t>Summit Bancorp (SB), Princeton, New Jersey, acquired NSS Bancorp (NS), Norwalk, Connecticut, in a stock swap transaction valued at $151.335 mil. SB offered 1. 232 common shares per NS share. Based on SB's closing stock price of $47.75 on June 17, the last full trading day prior to the announcement, each NS share was valued at $58.828.</t>
  </si>
  <si>
    <t>PMT Services Inc</t>
  </si>
  <si>
    <t>NOVA Corp</t>
  </si>
  <si>
    <t>Pvd transaction processing svc</t>
  </si>
  <si>
    <t>NOVA Corp (NC) acquired PMT Services Inc (PS) in a stock swap transaction valued at $1. 267 bil. NC offered .715 common shares per PS share. Based on NC's closing stock price of $35.1875 on June 17, the last full trading day prior to the announcement, each PS share was valued at $25.159. The transaction had been accounted for as a pooling of interests.</t>
  </si>
  <si>
    <t>Bedford Property Investors Inc</t>
  </si>
  <si>
    <t>In June 1998, Bedford Property Investors Inc announced that it was seeking a buyer for the company</t>
  </si>
  <si>
    <t>Schlumberger Technology Corp</t>
  </si>
  <si>
    <t>Dvlp data mgmt software</t>
  </si>
  <si>
    <t>Schlumberger Technology, a unit of Schlumberger Ltd (France)'s majority-owned Schlumberger Ltd (US) subsidiary, acquired Camco International (CI) in a stock swap transaction valued at $3. 376 bil, including the assumption of $160 mil in liabilities. ST offered 1.18 Schlumberger (US) common shares per CI share. Based on Schlumberger's closing stock price of $69.9375 on June 18, the last full trading day prior to the announcement, each CI share was valued at $82.526. The transaction was to be accounted for as a pooling of interests.</t>
  </si>
  <si>
    <t>Berkshire Hathaway (BH) merged with General Re (GR) in a stock swap transaction valued at $22.3 bil. BH offered .0035 Class A common shares per GR share. Alternatively, BH offered . 105 Class B common shares per GR share. Based on BH's Class A closing stock price of $79, 000 on June 18, the last full trading day prior to the announcement, each GR share was valued at $276.50.</t>
  </si>
  <si>
    <t>An investor group (IG), comprised of Interpool Inc and Apollo Management, withdrew its plans to acquire a 97% interest, or 14.869 mil common shares, in XTRA Corp for $65 in cash per share, or a total value of $966.456 mil, in a recapitalization. Upon completion, XTRA shareholders were to retain a 10% stake in the newly recapitalized company.</t>
  </si>
  <si>
    <t>All American Semiconductor Inc</t>
  </si>
  <si>
    <t>Whl electn components</t>
  </si>
  <si>
    <t>Reptron Electronics Inc</t>
  </si>
  <si>
    <t>Mnfr,whl electn components</t>
  </si>
  <si>
    <t>Reptron Electronic (RE) withdrew its plans to acquire All American Semiconductor Inc (AAS) in a stock swap transaction valued at $53.151 mil. RE offered between $1 and $1.10 cash and between 0. 1695 and .2 common shares per AAS share. The value was based on the higher end of the range. Based on RE's closing stock price of $5.93 on September 21, the last full trading day prior to the announcement of amended terms, each AAS share was valued at $2.722. The transaction was to be accounted for as a pooling of interests. Previously, RE offered .222 shs com</t>
  </si>
  <si>
    <t>GT Bicycles Inc</t>
  </si>
  <si>
    <t>Manufacture,wholesale bicycles</t>
  </si>
  <si>
    <t>Schwinn Holdings Corp</t>
  </si>
  <si>
    <t>Mnfr bicycles;holding company</t>
  </si>
  <si>
    <t>Schwinn Holdings Corp, a unit of Questor Partners Fund, acquired all of the outstanding common stock of GT Bicycles Inc for $8.00 in cash per share, or a total value of $149.642, including the assumption of $70 mil in liabilities.</t>
  </si>
  <si>
    <t>NetVantage Inc</t>
  </si>
  <si>
    <t>Mnfr,whl switching devices</t>
  </si>
  <si>
    <t>Cabletron Systems (CS) acquired NetVantage (NV) in a stock swap transaction valued at $94.007 mil. CS offered . 6154 common shares per NV Class A and Class B share as well as .6154 common shares for every 10 Class E shares held. Based on CS' closing stock price of $13.9375 on June 19, the last full trading day prior to the announcement, each NV Class A and Class B share was valued at $8.577, and each NV Class E share was valued at $.8577.</t>
  </si>
  <si>
    <t>Special Devices Inc</t>
  </si>
  <si>
    <t>Mnfr ordnance devices</t>
  </si>
  <si>
    <t>JF Lehman &amp; Co</t>
  </si>
  <si>
    <t>JF Lehman &amp; Co (JFL) acquired all the outstanding common stock of Special Devices Inc for an amended $34 in cash per share, or a total value of $277.779 mil. Originally, JFL offered $37 per share, or a total value of $303.426 mil.</t>
  </si>
  <si>
    <t>Celadon Group Inc</t>
  </si>
  <si>
    <t>Provide truckload services</t>
  </si>
  <si>
    <t>A management-led investor group, including Odyssey Investment Partners, terminated its definitive agreement to acquire all of the outstanding common stock of Celadon Group for $20 in cash per share, or a total value of $259 mil, including the assumption of approximately $101.118 mil in liabilities, in a leveraged buyout transaction.</t>
  </si>
  <si>
    <t>Metallurg Inc</t>
  </si>
  <si>
    <t>Mnfr,whl metal alloys</t>
  </si>
  <si>
    <t>An investor group, including Safeguard International, acquired all the outstanding common stock of Metallurg Inc for $30 in cash per share, or a total value of $303.11 mil, including the assumption of $151.308 mil in liabilities.</t>
  </si>
  <si>
    <t>US - Johnson &amp; Johnson had been rumored to be planning to merge with Amgen Inc, a biotechnology company.</t>
  </si>
  <si>
    <t>Penederm Inc</t>
  </si>
  <si>
    <t>Mylan Laboratories Inc (ML) acquired Penederm Inc (PI) in a stock swap transaction valued at $193.08 mil. ML offered .68 common shares per PI share. Based on ML's closing stock price of $32. 1875 on June 23, the last full trading day prior to the announcement, each PI share was valued at $21.8875.</t>
  </si>
  <si>
    <t>AT&amp;T merged with Tele- Communications (TC) in a stock swap transaction valued at $53.593 bil. AT&amp;T offered . 7757 common shares per TC Series A share and .8533 common shares per TC Series B share. AT&amp;T acquired the the A and B tracking shares of TC's technology investment unit, TCI Ventures (TV) for $17.375 and $17.125 respectively and the A and B tracking shares of TC's programming unit, Liberty Media (LM) for $36.0625 and $36.375 respectively. Based on AT&amp;T's closing stock price of $65.375 on June 23, the last full trading day prior to the announcement, each TC Series A share was valued at $50.711 and each TC Series B share was valued at $55.784. The consideration offered for the tracking stock was offered at no premium and based on their closing stock prices on June 23.</t>
  </si>
  <si>
    <t>Tseng Laboratories Inc</t>
  </si>
  <si>
    <t>Manufacture graphic displays</t>
  </si>
  <si>
    <t>Cell Pathways Holdings Inc</t>
  </si>
  <si>
    <t>Cell Pathways Inc (CP) acquired all the outstanding common stock of Tseng Laboratories (TL) in a stock swap transaction valued at $174.749 mil. CP offered .36 common share per TL share held. Based on CP's closing stock price of $32.18 on June 23, the last full trading day prior to the announcement, each TL share was valued at $11.585</t>
  </si>
  <si>
    <t>1st Bancorp,Vincennes,Indiana</t>
  </si>
  <si>
    <t>German American Bancorp,IN</t>
  </si>
  <si>
    <t>German American Bancorp (GA), Jasper, Indiana, definitively acquired 1st Bancorp (FB), Vicennes, Indiana, in a stock swap transaction valued at an estimated $55.872 mil, subject to a collar agreement. GA offered approximately $50. 94 in common stock per FB share.</t>
  </si>
  <si>
    <t>Consumers Water Co</t>
  </si>
  <si>
    <t>Water utility; holding company</t>
  </si>
  <si>
    <t>Philadelphia Suburban Corp</t>
  </si>
  <si>
    <t>Water utility hldg co</t>
  </si>
  <si>
    <t>Philadelphia Suburban (PS) merged with Consumers Water (CW) in a stock swap transaction valued at $460.49 mil, including the assumption of $190 mil in liabilities. PS offered 1.432 common shares per CW share, subject to a collar agreement. Based on PS' closing stock price of $20.875 on June 26, the last full trading day prior to the announcement, each CW share was valued at $29.893. The transaction was to be accounted for as a pooling of interests.</t>
  </si>
  <si>
    <t>Dawson Production Services Inc</t>
  </si>
  <si>
    <t>Key Energy Group Inc</t>
  </si>
  <si>
    <t>Pvd oil well services</t>
  </si>
  <si>
    <t>Key Energy Group (KE) acquired all of the outstanding common stock of Dawson Production Services Inc (DP) for an amended $350. 871 mil. Previously, KE completed its hostile tender offer, by accepting about 10, 047,035 shares, or 89.7%. The consideration consisted of $17.5 in cash per share, or a total value of $159.572 mil and the assumption of $150 mil in liabilities. Originally, KE offered $16 in cash per DP share.</t>
  </si>
  <si>
    <t>Hilton Hotels Corp (HH) acquired Grand Casinos Inc. (GC) for $832.433 mil. Consideration consisted of $246.134 mil in new Park Place Entertainment (PPE) common shares and $565 mil in the assumption of debt. HH offered .9699 PPE shares for every GC share held. Based on PPE's closing stock price of $6 on December 30, the last full day of trading prior to announcement, each GC share was valued at $18.82. Originally, HH was rumored to be in negotiations to acquire GC. Previously, Hilton spun off its gaming operations in the formation of PPE. Subsequently, PPE acquired the Mississippi gaming operations of GC.</t>
  </si>
  <si>
    <t>IQ Software Corp</t>
  </si>
  <si>
    <t>Develop data access software</t>
  </si>
  <si>
    <t>Information Advantage Software</t>
  </si>
  <si>
    <t>Dvlp,whl business software</t>
  </si>
  <si>
    <t>Information Advantage Software (IAS) acquired IQ Software (IQ) in a stock swap transaction valued at $62.4 mil. IAS offered 1.96 common share per IQ share. Based on IAS's closing stock price of $6.813 on June 26, the last full trading day prior to the announcement, each IQ share was valued at $6.813. The transaction was to be accounted for as a pooling of interests.</t>
  </si>
  <si>
    <t>Physio-Control International</t>
  </si>
  <si>
    <t>Mnfr,whl cardiac defibrillator</t>
  </si>
  <si>
    <t>Medtronic (MT) acquired all the outstanding common stock of Physio-Control International Corp (PCI) in a stock swap transaction valued at $529.129 mil. MT offered $27.50 in common stock per PCI share. Upon completion, PCI was renamed Medtronic Physio-Control. The transaction was accounted for as a pooling of interests.</t>
  </si>
  <si>
    <t>Kings Road Entertainment Inc</t>
  </si>
  <si>
    <t>Produce motion pictures</t>
  </si>
  <si>
    <t>RAS Securities Corp</t>
  </si>
  <si>
    <t>Provide brokerage services</t>
  </si>
  <si>
    <t>RAS Securities Corp (RAS) acquired a 50% interest, or 955,874 common shares in Kings Road Entertainment Inc (KRE) for $2.35 in cash per share, or a total value of $2. 246 mil. Concurrently, RAS planned to raise its stake to 90% from 50% via a tender offer. Originally, in June 1998, KRE announced that it was seeking a buyer for the company.</t>
  </si>
  <si>
    <t>Newstar Media Inc</t>
  </si>
  <si>
    <t>Manufactures audio books</t>
  </si>
  <si>
    <t>An investor group, consisting of Apollo Partners LLC and Mr. Ronald Lighthouse, acquired a 57% interest, pr 3,824,757 common shares, in NewStar Media Inc for $1.438 in cash per share or a total value of $5.5 mil.</t>
  </si>
  <si>
    <t>Reliance Bancshares Inc</t>
  </si>
  <si>
    <t>St Francis Capital Corp,WI</t>
  </si>
  <si>
    <t>St Francis Capital Corp (SFC) acquired Reliance Bancshares Inc (RBI) in a stock swap transaction valued at $25.234 mil. SFC offered a choice of $10.40 in cash or $10.40 in SFC common stock per RBI share. No more than 40% of the consideration was to be payable in cash.</t>
  </si>
  <si>
    <t>Summit Holding Southeast Inc</t>
  </si>
  <si>
    <t>Pvd management services</t>
  </si>
  <si>
    <t>Liberty Mutual Group Inc</t>
  </si>
  <si>
    <t>Liberty Mutual Group, a unit of Liberty Mutual Insurance Co, acquired all the outstanding common stock of Summit Holding Southeast Inc (SHS) for an estimated $233. 423 mil. The consideration consisted of $33 per SHS common share, or a total value of $191.123 mil, approximately $17 mil for the redemption of SHS' 1.64 mil Class A preferred shares, and the assumption of $14.3 mil in liabilities.</t>
  </si>
  <si>
    <t>Star Banc Corp (SB), Cincinnati, Ohio, merged with Firstar Corp (FC), Milwaukee, Wisconsin, to form a new company called Firstar Corp (NEW) in a stock swap transaction valued at $7.218 bil. FC common shareholders were to receive .76 NEW common shares and SB common shareholders were to receive 1 NEW common share per share held. Based on SB's closing stock price of $63.875 on June 30, the last full trading day prior to the announcement of the terms, each FC share was valued at $48.545. The transaction had been accounted for as a pooling of interests. Earlier, SB was rumored to be planning to merge with FC.</t>
  </si>
  <si>
    <t>CSFB</t>
  </si>
  <si>
    <t>Credit Suisse First Boston, a unit of CS Holding AG's CS First Boston Group Inc subsidiary, was rumored to be planning to acquire all the outstanding common stock of Hambrecht &amp; Quist Group Inc. The Current status of this deal is unknown.</t>
  </si>
  <si>
    <t>Lecg Inc</t>
  </si>
  <si>
    <t>Pvd econ consulting svcs</t>
  </si>
  <si>
    <t>Metzler Group Inc</t>
  </si>
  <si>
    <t>Pvd business consulting svcs</t>
  </si>
  <si>
    <t>Metzler Group Inc (MG) acquired Lecg Inc (LI) in a stock swap transaction valued at $294.448 mil. MG offered 0. 6 common shares per LI share. Based on MG's closing stock price of $36.625 on June 30, the last full trading day prior to the announcement, each LI share was valued at $21.975. The transaction was to be accounted for as a pooling of interests.</t>
  </si>
  <si>
    <t>Tultex Corp</t>
  </si>
  <si>
    <t>Mnfr knit outerwear</t>
  </si>
  <si>
    <t>Logo Athletics</t>
  </si>
  <si>
    <t>Mnfr,whl sports apparel</t>
  </si>
  <si>
    <t>Logo Athletics merged with Tultex Corp. Terms were not disclosed.</t>
  </si>
  <si>
    <t>First Mutual Bancorp,Illinois</t>
  </si>
  <si>
    <t>Union Planters Corp (UPC), Memphis, Tennesee, acquired First Mutual Bancorp (FMB), Decatur, Illinois, in a stock swap transaction valued at $68.065 mil. UPC offered $18. 50 in common stock per FMB share.</t>
  </si>
  <si>
    <t>Gart Sports terminated its unsolicited challenging offer to acquire all the outstanding common stock of Sports Authority Inc (SA) for $20 in cash and common stock per share, or a total value of $738.957 mil. Only 70% of the consideration was to be payable in cash, while the remaining 30% was to represent a 51% ownership interest in the common stock of the combined company. Concurrently, Venator Group, formerly Woolworth Corp, terminated its agreement to acquire SA in a stock swap transaction.</t>
  </si>
  <si>
    <t>Saks Holdings</t>
  </si>
  <si>
    <t>Own and operate dept stores</t>
  </si>
  <si>
    <t>Proffitt's Inc (PI) acquired Saks Holdings (SH), a majority-owned unit of Investcorp Bank, in a stock swap transaction valued at $3. 282 bil, including the assumption of $890 mil in liabilities. PI offered .82 common shares per SH share. Based on PI's closing stock price of $40.6875 on June 2, the last full trading day prior to the annoucement, each SH share was valued at $33.364. The transaction was to be accounted for as a pooling of interests. Previously, in June 1998, SH disclosed that it was seeking a buyer for its Saks Fifth Avenue (SFA) unit. Originally, SH was rumored to be seeking a buyer for SFA.</t>
  </si>
  <si>
    <t>Arizona Bank,Tuscon,AZ</t>
  </si>
  <si>
    <t>Compass Bancshares, Birmingham, Alabama (CB) acquired all the outstanding common stock of Arizona Bank, Tuscon, Arizona in exchange for 4.35 mil common shares valued at $162.581 mil. The shares were valued based on CB's closing stock price of $37.375 on December 14, the last full trading day prior to the announcement of the terms. The transaction was accounted for as a pooling of interests.</t>
  </si>
  <si>
    <t>GeoWaste Inc</t>
  </si>
  <si>
    <t>Own,op waste disposal cos</t>
  </si>
  <si>
    <t>Superior Services Inc</t>
  </si>
  <si>
    <t>Pvd solid waste disposal svcs</t>
  </si>
  <si>
    <t>Superior Services (SS) acquired GeoWaste (GW) in a stock swap transaction valued at $62.189 mil. SS offered $2. 65 in common stock per GW share. The transaction was accounted for as a pooling of interests.</t>
  </si>
  <si>
    <t>Peoples Telephone Co Inc</t>
  </si>
  <si>
    <t>Own,op public pay telephones</t>
  </si>
  <si>
    <t>Davel Communications (DC) acquired Peoples Telephone Co (PT) in a stock swap transaction valued at $114. 458 mil. DC offered .235 common shares per PT share. Based on DC's closing stock price of $24.9375 on July 3, the last full trading day prior to te announcement, each PT share was valued at $5.86. The transaction was accounted for as a pooling of interests.</t>
  </si>
  <si>
    <t>United Video Satellite Group, a majority-owned unit of Tele-Communications, withdrew its plans to launch an unsolicited tender offer to acquire all of the outstanding common stock of Gemstar International Group for $45 in cash per share, or a total value of $2.525 bil.</t>
  </si>
  <si>
    <t>Life Technologies Inc(Dexter)</t>
  </si>
  <si>
    <t>Biological, medical products</t>
  </si>
  <si>
    <t>Dexter Corp</t>
  </si>
  <si>
    <t>Mnfr adhesives,coatings</t>
  </si>
  <si>
    <t>Dexter Corp (DC) raised its stake to 79.926% from 51.65% in Life Technologies (LT) by acquiring 5,514,764 common shares for a sweetened $39. 125 in cash per share, or a total value of $215.765 mil. Earlier, DC completed its hostile tender offer to acquire the remaining 48% stake, or 11,314,563 common shares, which it did not already own, in Life Technologies Inc for a sweetened $39.125 in cash per share, or a total value of $481.975 mil, by accepting 5, 514,764 common shares, or 22% stake. Originally, DC offered $37 in cash per share, or a total value of $453.198 mil.</t>
  </si>
  <si>
    <t>OncorMed Inc</t>
  </si>
  <si>
    <t>Own,op medical labs</t>
  </si>
  <si>
    <t>Gene Logic Inc</t>
  </si>
  <si>
    <t>Pvd drug repositioning svcs</t>
  </si>
  <si>
    <t>Gene Logic Inc (GL) acquired OncorMed in a stock swap transaction valued at $38.7 mil. GL offered 4,849,815 common shares. The shares were valued based on GL's closing stock price of $8. 1875 on July 6, the last full trading day prior to the announcement.</t>
  </si>
  <si>
    <t>Polus Inc</t>
  </si>
  <si>
    <t>Tostel Inc</t>
  </si>
  <si>
    <t>Tostel Inc (TOS) agreed to acquire all the outstanding common stock of Polus Inc (POL) in a stock swap transaction. TOS offered 0.33 common shares per POL share.</t>
  </si>
  <si>
    <t>Republic Engineered Steels</t>
  </si>
  <si>
    <t>Mnfr cold-finished steel prods</t>
  </si>
  <si>
    <t>An investor group (IG), comprised of Blackstone Capital Partners II Merchant Banking Fund LP and Veritas Capital Partners LP, acquired all the outstanding common stock of Republic Engineered Steels (RE) for $7.25 in cash per share, or $417.8 mil, including the assumption of $273.9 mil in liablities. Earlier, IG completed its tender offer to acquire all the outstanding common stock of RE for $7.25 in cash per share, or a total value of $417.8 mil, including the assumption of approximately $273.9 mil in liabilities, by accepting 19.3 mil shares, or 97.7% of RE's shares.</t>
  </si>
  <si>
    <t>Citation Computer Systems Inc</t>
  </si>
  <si>
    <t>Medasys Digital System</t>
  </si>
  <si>
    <t>Medasys Digital System agreed to merge with Citation Computer Systems Inc in a one- for-one stock trasaction.</t>
  </si>
  <si>
    <t>Merry Land &amp; Investment Co Inc</t>
  </si>
  <si>
    <t>Equity Residential Properties Trust (ER) definitively merged with Merry Land &amp; Investment (ML) in a stock swap transaction valued at $1.986 bil, including the assumption of $656 mil in liabilities. ER offered .53 common shares per ML share. Based on ER's closing stock price of $47. 125 on July 7, the last full trading day prior to the announcement, each ML share was valued at $24.976. Upon completed, ML was renamed ER. Concurrently, ML planned to spin off its non-core real estate operations to its shareholders.</t>
  </si>
  <si>
    <t>American Materials &amp; Techs</t>
  </si>
  <si>
    <t>Mnfr advanced composities</t>
  </si>
  <si>
    <t>Cytec Industries Inc</t>
  </si>
  <si>
    <t>Mnfr,whl specialty chemicals</t>
  </si>
  <si>
    <t>Cytec Industries Inc (CI) acquired American Materials &amp; Technologies Corp (AMT) in a stock swap transaction valued at $34.774 mil. CI offered $6 in common shares per AMT share and to assume of $7 mil in liabilities.</t>
  </si>
  <si>
    <t>Zebra Technologies Corp (ZEB) acquired Eltron International Inc (ELN) in a stock swap transaction valued at $287.658 mil. ZEB offered 0.9 common shares per ELN share. Based on ZEB's closing stock price of $40 on July 8, the last full trading day prior to the announcement, each ELN share was valued at $36. The transaction was to be accounted for as a pooling of interests. Previously, ZEB terminated its agreement to acquire ELN.</t>
  </si>
  <si>
    <t>Pulse Bancorp Inc</t>
  </si>
  <si>
    <t>First Source Bancorp,NJ</t>
  </si>
  <si>
    <t>First Source Bancorp Inc (FSB) acquired all the outstanding common stock of Pulse Bancorp Inc in exchange for 10 mil FSB common shares valued at $98.75 mil. This reverse takeover was subject to a collar agreement. The shares were valued based on FSB's closing stock price of $9.875 on July 8, the last full trading day prior to the announcement. The transaction had been accounted for as a pooling of interests.</t>
  </si>
  <si>
    <t>Source Media Inc</t>
  </si>
  <si>
    <t>Provide media content services</t>
  </si>
  <si>
    <t>Yahoo! Inc</t>
  </si>
  <si>
    <t>Yahoo! Inc was rumored to be in negotiations to acquire all the outstanding common stock of Source Media Inc. The Current status of this deal is unknown.</t>
  </si>
  <si>
    <t>Tower Realty Trust Inc</t>
  </si>
  <si>
    <t>US - An investor group, including Reckson Associates Realty Corp (RAR) and Crescent Real Estate Equities Inc (CRE), terminated its agreement to acquire all the outstanding common stock of Tower Realty Trust Inc (TRT) for 692.806 mil, including the assumption of $286 mil in liabilities. The investor group offered a choice of $24 in cash or .4615 RAR common shares and .3523 CRE common shares per TRT share. No more than 40% of the consideration was to be payable in common shares.</t>
  </si>
  <si>
    <t>National Commerce Bancorp</t>
  </si>
  <si>
    <t>National Commerce Bancorp (NCB), Memphis, Tennessee, withdrew its search for a buyer for the company. Previoulsy, in July 1998, NCB announced that it was seeking a buyer for the company.</t>
  </si>
  <si>
    <t>AVECOR Cardiovascular Inc</t>
  </si>
  <si>
    <t>Medtronic Inc (MI) acquired AVECOR Cardiovascular (AC) in a stock swap transaction valued at a sweetened $106. 617 mil. MI offered a sweetened $13 in common stock per AC share. Originally, MI offered $11.125 in common stock per share. Subsequently, an unnamed medical device manufacturing company planned to launch an unsolicited tender offer to acquire AC.</t>
  </si>
  <si>
    <t>HomeBase Inc</t>
  </si>
  <si>
    <t>Lowe's Cos Inc</t>
  </si>
  <si>
    <t>Retail home improvement prod</t>
  </si>
  <si>
    <t>Lowe's Cos Inc was rumored to be planning to acquire all the outstanding common stock of HomeBase Inc. The Current status of this deal is unknown.</t>
  </si>
  <si>
    <t>Consep Inc</t>
  </si>
  <si>
    <t>Manufacture pesticides</t>
  </si>
  <si>
    <t>Ringer Corp</t>
  </si>
  <si>
    <t>Mnfr,wholesale fertilizers</t>
  </si>
  <si>
    <t>Verdant Brands Inc, formerly known as Ringer Corp, merged with Consep Inc (CI) in a stock swap transaction valued at an amended $12.027 mil. RG offered .95 common share per CI share. Based on RG's closing stock price of $1. 3125 on September 8, the last full trading day prior to the announcement, each CI share was valued at $1.247. Originally, RG offered 1 common share per CI share.</t>
  </si>
  <si>
    <t>Henkel KGaA acquired all the outstanding common stock of DEP Corp (DC) via its tender offer for $5.25 in cash per share, or a total value of $89.687, including the assumption of approximately $53 mil in liabilities, by acquiring 6.467 mil shares, or 94% interest. The offer was conditioned upon at least a majority of DC's shares being tendered.</t>
  </si>
  <si>
    <t>New West Eyeworks Inc</t>
  </si>
  <si>
    <t>Own,op eyeglass stores</t>
  </si>
  <si>
    <t>National Vision Associates Ltd</t>
  </si>
  <si>
    <t>Own,op optical goods stores</t>
  </si>
  <si>
    <t>National Vision Associates (NVA) acquired all of the outstanding common stock of New West Eyeworks (NWE) for an amended $11.50 in cash per share, or a total value of $67.69 mil , including the assumption of $2 mil in liabilities. Earlier, NVA completed its tender offer for NWE by accepting 5,590, 940 mil shares, or 92%. Originally, NVA offered $13 in cash per share.</t>
  </si>
  <si>
    <t>PhyMatrix Corp</t>
  </si>
  <si>
    <t>Pvd medical management svcs</t>
  </si>
  <si>
    <t>In July 1998, PhyMatrix announced that it was seeking a buyer for all or part of the company.</t>
  </si>
  <si>
    <t>Andal Corp</t>
  </si>
  <si>
    <t>Mnfr steel and alloy tubing</t>
  </si>
  <si>
    <t>Cafec Holding Corp</t>
  </si>
  <si>
    <t>Cafco Holding Corp acquired the remaining 24.7% stake, or 70,696 common shares, which it did not already own, in Andal Corp for $37 in cash per share, or a total value of $2.924 mil.</t>
  </si>
  <si>
    <t>In July 1998, CPI Development Corp announced that it was seeking a buyer for its majority-owned Carter- Wallace Inc subsidiary.</t>
  </si>
  <si>
    <t>Southwest National Corp,PA</t>
  </si>
  <si>
    <t>First Commonwealth Finl Corp</t>
  </si>
  <si>
    <t>First Commonwealth Financial Corp (FCF) definitively merged with Southwest National Corp (SNC) in a stock swap transaction valued at $269.77 mil. FCF offered 2. 9 common shares per SNC share. Based on FCF's closing stock price of $30.5625 on July 15, the last full trading day prior to the announcement, each SNC share was valued at $88.63125. The transaction was accounted for as a pooling of interests.</t>
  </si>
  <si>
    <t>Bullsboro BancShares,GA</t>
  </si>
  <si>
    <t>Regions Financial Corp, Birmingham, Alabama, acquired Bullsboro BancShares, Newnan, Georgia, for $35.6 mil in a stock swap transaction. The transaction was to be accounted for as a pooling of interests.</t>
  </si>
  <si>
    <t>DeCrane Aircraft Holdings Inc</t>
  </si>
  <si>
    <t>Mnfr avionics components</t>
  </si>
  <si>
    <t>DLJ Merchant Banking Inc</t>
  </si>
  <si>
    <t>DLJ Merchant Banking Inc (DLJ) , a unit of Donaldson Lufkin &amp; Jenrette, acquired all the outstanding common stock of DeCrane Aircraft Holdings Inc (DCA) for $23 in cash per share, or a total value of $181.546 mil. Earlier, DLJ completed its tender offer for DCA by accepting 7.9 mil shares. The offer had been conditioned upon a majority of DCA's shares being tendered.</t>
  </si>
  <si>
    <t>Evans Systems Inc</t>
  </si>
  <si>
    <t>Pvd remediation svcs</t>
  </si>
  <si>
    <t>US Refining &amp; Petrochemicals</t>
  </si>
  <si>
    <t>Oil,gas expl and production</t>
  </si>
  <si>
    <t>US Refining &amp; Petrochemicals terminated its plans to acquire all the outstanding common stock of Evans Systems for an estimated $12.2 mil.</t>
  </si>
  <si>
    <t>Ironbound Bancorp,Newark,NJ</t>
  </si>
  <si>
    <t>Richmond County Financial Corp</t>
  </si>
  <si>
    <t>Richmond County Financial Corp (RCFC) acquired Ironbound Bancorp (IB), Newark, New Jersey, in a stock swap transaction valued at 26.478 mil. RCFC offered 1. 45 common shares per IB share. Based on RCFC's closing stock price of $18.3125 on July 16, the last full trading day prior to the announcement, each IB share was valued at $26.553. The transaction was accounted for as a pooling of interests.</t>
  </si>
  <si>
    <t>West Teleservices Corp</t>
  </si>
  <si>
    <t>Provides call center services</t>
  </si>
  <si>
    <t>A management-led investor group, including Chairman Gary L West, Vice Chairman Mary E West, and Chief Executive Troy L Eaden, withdrew its plans to acquire the remaining 15% stake, or 9. 5 mil common shares, which it did not already own, in West Teleservices Corp for $15.50 per share, or a total value of $147.242 mil, in a leveraged buyout transaction.</t>
  </si>
  <si>
    <t>SunTrust Banks Inc (ST), Atlanta, Georgia, acquired Crestar Financial Corp (CF), Richmond, Virginia, in a stock swap transaction valued at $9.603 bil. ST offered 0. 96 common shares per CF share. Based on ST's closing stock price of $87.4375 on July 17, the last full trading day prior to the announcement, each CF share was valued at $83.94. The transaction was accounted for as a pooling of interests.</t>
  </si>
  <si>
    <t>Financial Bancorp Inc</t>
  </si>
  <si>
    <t>Dime Community Bancshares</t>
  </si>
  <si>
    <t>Dime Community Bancshares (DCB) acquired Financial Bancorp Inc (FB) in a stock swap transaction valued at an amended $72.12 mil, subject to a collar agreement. DCB offered 1.8282 common shares per FB share. Based on DCB's closing stock price of $21.75 on January 20, the last full trading day prior to the announcement of the amended terms, each FB's share was valued at $39.76. Alternatively, DCB offered $39.14 in cash per FB share.</t>
  </si>
  <si>
    <t>SPX Corp (SPX) acquired all the outstanding common stock of General Signal Corp (GSC) in a stock swap transaction valued at $2.32 bil, including the assumption of approximately $335 mil in liabilities. SPX offered a choice of $45 in cash per GSC share, .6977 common shares per GSC share, or $18 in cash and .4186 common shares per GSC share. Upon completion GSC was holding a 60% interest in SPX.</t>
  </si>
  <si>
    <t>Pacific Capital Bancorp,CA</t>
  </si>
  <si>
    <t>Santa Barbara Bancorp,CA</t>
  </si>
  <si>
    <t>Santa Barbara Bancorp (SBB), Santa Barbara, California, merged with Pacific Capital Bancorp (PCB), Salinas, California, in a stock swap transaction valued at $291. 361mil. SBB offered 1.935 common share per PCB share. Based on SBB's closing stock price of $32.25 on July 17, the last full trading day prior to the announcement, each PCB share was valued at $62.404. Upon completion, SBB was to change its name to Pacific Capital Bancorp. SBB was to hold a 64% interest in the merged entity, and PCC was to hold the remaining 36% stake. The transaction had been accounted for as a pooling of interests.</t>
  </si>
  <si>
    <t>Peoples Heritage Financial Group (PH) acquired SIS Bancorp (SIS), Springfield, Massachusetts, in a stock swap transaction valued at $427.596 mil. PH offered 2.25 common shares per SIS share. Based on PH's closing stock price of $25.4375 on July 17, the last full trading day prior to the announcement, each SIS share was valued at $57.234. The transaction had been accounted for as a pooling of interests.</t>
  </si>
  <si>
    <t>US SerVis Inc</t>
  </si>
  <si>
    <t>Dvp,design,whl software</t>
  </si>
  <si>
    <t>HBO &amp; Co (HBO) acquired US SerVis Inc (US), a majority- owned unit of USA Waste Services Inc, in a stock swap transaction valued at $60.72 mil. HBO offered 0.16265 common shares per US share. Based on HBO's closing stock price of $32.875 on July 17, the last full trading day prior to the announcement, each US share was valued at $5.347. The transasction had been accounted for as a pooling of interests.</t>
  </si>
  <si>
    <t>Johnson &amp; Johnson (JJ) acquired DePuy Inc (DI), a majority-owned unit of Roche Holding AG's Corange Ltd subsidiary, for $35 in cash per share, or a total value of $3.488 bil. Earlier JJ completed its tender offer for DI by accepting 98.630 mil, or 99.7% of DI's shares.</t>
  </si>
  <si>
    <t>Forum Group Inc, a unit of Crestline Capital Corp (CC), acquired the remaining 7.419% stake, or 1.134 mil partnership units, that it did not already own in Forum Retirement Partners LP for a sweetened $5.75 in cash per unit, or a total value of $6. 521 mil. Originally, in July 1998, HMA offered $4.50 per unit. Concurrently, CC was spun off from Host Marriott Corp.</t>
  </si>
  <si>
    <t>Globalink Inc</t>
  </si>
  <si>
    <t>Lernout &amp; Hauspie Speech Products (LH) acquired Globalink Inc (GB) in a stock swap transaction valued at $59.682 mil. LH offered . 095726 common shares per GB share. Based on LH's closing stock price of $58.5 on July 20, the last full trading day prior to the announcement, each GB share was valued at $5.60.</t>
  </si>
  <si>
    <t>IMNET Systems Inc</t>
  </si>
  <si>
    <t>Dvlp,whl document mgmt sys</t>
  </si>
  <si>
    <t>HBO &amp; Co (HBO) acquired IMNET Systems Inc (IS) in a stock swap transaction valued at $261.515 mil. HBO offered an amended .975 common shares per IS share. Based on HBO's closing stock price of $23. 938 on October 29, the last full trading day prior to the announcement, each IS share was valued at $25.289. The transaction was accounted for as a pooling of interests. Originally, HBO offered .84 common shares per IS share.</t>
  </si>
  <si>
    <t>Innova Corp</t>
  </si>
  <si>
    <t>Mnfr millimeter wave radios</t>
  </si>
  <si>
    <t>Digital Microwave Corp</t>
  </si>
  <si>
    <t>Mnfr telecommunications prod</t>
  </si>
  <si>
    <t>Digital Microwave Corp (DM) acquired Innova Corp (IC) in a stock swap transaction valued at $115.743 mil. DM offered 1.05 common shares per IN share. Based on DM's closing stock price of $6.5 on July 22, the last full trading day prior to the announcement, each IC share was valued at $6.825.</t>
  </si>
  <si>
    <t>Information Storage Devices</t>
  </si>
  <si>
    <t>Mnfr voice recorded circuits</t>
  </si>
  <si>
    <t>Winbond Electronics Corp</t>
  </si>
  <si>
    <t>Windbond Electronic Corp (WEC) acquired the remaining 86% interest, or 8.514 mil common shares, which it did not already own, in Information Storage Devices Inc for an amended $7.50 in cash per share, or a total value of $66.322 mil. Originally, WEC offered $8.25 in cash per share, or a total value of $74.399 mil.</t>
  </si>
  <si>
    <t>Peninsula Bank of San Diego,CA</t>
  </si>
  <si>
    <t>State commercial bank</t>
  </si>
  <si>
    <t>Western Bancorp, Newport Beach, California, terminated its definitive agreement to acquire Peninsula Bank of San Diego, California, for $113.8 mil in a stock swap transaction. The transaction was to be accounted for as a pooling of interests.</t>
  </si>
  <si>
    <t>Triathlon Broadcasting Co</t>
  </si>
  <si>
    <t>Capstar Radio Broadcasting</t>
  </si>
  <si>
    <t>Own, operate radio stations</t>
  </si>
  <si>
    <t>Capital Radio Broadcasting Partners Inc acquired all the outstanding common stock and depositary shares of Triathlon Broadcasting Co for $13 in cash per share, or a total value of $196.798 mil, including the assumption of approximately $60 mil in liabilities.</t>
  </si>
  <si>
    <t>Gull Laboratories(Fresenius)</t>
  </si>
  <si>
    <t>Meridian Diagnostics (MD) acquired all the outstanding common stock of Gull Laboratories (GL), a majority- owned unit of Fresenius, for an amended $2.25 in common stock per share, or a total value of $17.885 mil. Previously, MD offered $3 per share.</t>
  </si>
  <si>
    <t>Independence Brewing Co</t>
  </si>
  <si>
    <t>Produce malt beverages</t>
  </si>
  <si>
    <t>Pittsburgh Brewing(Keystone)</t>
  </si>
  <si>
    <t>Pittsburgh Brewing Co, a unit of Keystone Brewers Inc, terminated its intent to acquire Independence Brewing Co.</t>
  </si>
  <si>
    <t>Life Re Corp</t>
  </si>
  <si>
    <t>Reinsurance co</t>
  </si>
  <si>
    <t>Swiss Reinsurance Co Ltd</t>
  </si>
  <si>
    <t>Provide reinsurance services</t>
  </si>
  <si>
    <t>Swiss Reinsurance Co acquired all the outstanding common stock of Life Re Corp for $95 in cash per share, or a total value of $1.795 bil.</t>
  </si>
  <si>
    <t>Summa Four Inc</t>
  </si>
  <si>
    <t>Mnfr telecomm switches,equip</t>
  </si>
  <si>
    <t>Cisco Systems acquired all the outstanding common stock of Summa Four for $116 mil in common stock.</t>
  </si>
  <si>
    <t>Admor Memory Corp</t>
  </si>
  <si>
    <t>Mnfr computer memory products</t>
  </si>
  <si>
    <t>NetGateway Inc</t>
  </si>
  <si>
    <t>Dvlp e-commerce technology</t>
  </si>
  <si>
    <t>NetGateway Inc withdrew its plan to acquire Admor Memory Corp in a stock swap transaction.</t>
  </si>
  <si>
    <t>CompDent Corp</t>
  </si>
  <si>
    <t>Own,op dental HMO</t>
  </si>
  <si>
    <t>An investor group, comprised of Golder Thoma Cressey Rauner Inc, TA Associates Inc, and NMS Capital Partners, acquired all the outstanding common stock of CompDent Corp for an amended $15 in cash per share, or a total value of $152.052 in re- capitalization. Originally in July 1998, the group offered $18 in cash per share.</t>
  </si>
  <si>
    <t>CyberMedia Inc</t>
  </si>
  <si>
    <t>Dvlp,whl support software prod</t>
  </si>
  <si>
    <t>Network Associates Inc acquired all the outstanding common stock of CyberMedia Inc (CM) via a tender offer for $9.50 in cash per share, or a total value of $130.146 mil. The offer had been conditioned upon at least a majority of CM's shares being tendered on a fully-diluted basis.</t>
  </si>
  <si>
    <t>US - Bell Atlantic Corp (BAC) merged with GTE Corp, a provider of telecommunications services, in a merger-of-equals stock swap transaction valued at $53.415 bil. BAC offered 1.22 common shares per GTE share. Based on BAC's closing stock price of $45 on July 27, the last full trading day prior to the announcement, each GTE share was valued at $54.9. The transaction was accounted for as a pooling of interests. Originally, BAC was rumored to be in negotiations to merge with GTE. Upon completion, the merged company was named Verizon Communications Corp. Concurrently, SBC Communications (SBC) acquired wireless properties in Austin and Victoria, Texas, and Seattle and Spokane, Washington, from GTE Corp. The completion of the GTE, BAC merger was dependant upon the completion of the acquisition of the properties by SBC.</t>
  </si>
  <si>
    <t>ATL Ultrasound Inc</t>
  </si>
  <si>
    <t>Koninklijke Philips Elect</t>
  </si>
  <si>
    <t>Manufacture, wholesale electronic products</t>
  </si>
  <si>
    <t>Koninklijke Philips Electronics NV (PE) acquired all the outstanding common stock of ATL Ultrasound (ATL) for $50.50 in cash per share, or a total value of $786.375 mil. Previously, PE completed its tender offer for ATL by accepting 14 mil shares, or 94%. The offer was conditioned upon at least a majority of ATL's shares being tendered on a fully- diluted basis.</t>
  </si>
  <si>
    <t>BetzDearborn Inc</t>
  </si>
  <si>
    <t>Mnfr,whl water treatment chems</t>
  </si>
  <si>
    <t>Hercules Inc acquired all the outstanding common stock of BetzDearborn Inc for $72 in cash per share, or a total value of $3.09 bil, including the assumption of approximately $700 mil in liabilities.</t>
  </si>
  <si>
    <t>Ocwen Financial Corp</t>
  </si>
  <si>
    <t>In July 1998, Ocwen Financial Corp announced that it was seeking a buyer for the company.</t>
  </si>
  <si>
    <t>Elmer's Restaurants Inc</t>
  </si>
  <si>
    <t>CBW Inc</t>
  </si>
  <si>
    <t>CBW Inc acquired a 53.8% interest, or 705,377 common shares, in Elmers Restaurants Inc from investors Anita Goldberg and Rudolph Mazurosky. Terms were not disclosed.</t>
  </si>
  <si>
    <t>Banknorth Group Inc,VT</t>
  </si>
  <si>
    <t>Banknorth Group Inc (BGI), Burlington, Vermont, acquired Evergreen Bancorp Inc (EBI), Glens Falls, New York, in a stock swap transaction valued at $313.13 mil. BGI offered 0. 9 common shares per EBI share. Based on BGI's closing stock price of $38.25 on July 30, the last full trading day prior to the announcement, each EBI share was valued at $34.425. The transaction had been accounted for as a pooling of interests.</t>
  </si>
  <si>
    <t>SFS Bancorp Inc,Schenectady,NY</t>
  </si>
  <si>
    <t>Cohoes Savings Bank,NY</t>
  </si>
  <si>
    <t>Cohoes Savings Bank (CS), Cohoes, New York, terminated its agreement to acquire all the outstanding common stock of SFS Bancorp Inc (SFS), Schenedtady, New York, in a stock swap transaction valued at $44.983 mil. CS offered up to $35 in common stock per SFS share.</t>
  </si>
  <si>
    <t>ATEC Group Inc</t>
  </si>
  <si>
    <t>IAT Multimedia Inc</t>
  </si>
  <si>
    <t>Mnfr visual commun systems</t>
  </si>
  <si>
    <t>IAT Multimedia Inc terminated its letter of intent to acquire ATEC Group Inc in a stock swap trasaction valued at $76.097 mil. IAT offered 1 common share per ATEC share. Based on IAT's closing stock price of $11.75 on July 31, the last full trading day prior to the announcement, each ATEC share was valued at $11. 75. Originally, in March 1998, ATEC announced that it was seeking a buyer for the company.</t>
  </si>
  <si>
    <t>American Stores Co</t>
  </si>
  <si>
    <t>Albertson's Inc (AL) merged with American Stores Co (AS) in a stock swap transaction valued at $11.865 bil, including the assumption of $3.4 bil in liabilities. AL offered .63 common shares per AS share. Based on AL's closing stock price of $48 on July 31, the last full trading day prior to the announcement, each AS share was valued at $30.24. Upon completion, AS was to hold a 41.3% stake in the combined company, which was to retain the Albertson's Inc name. The transaction was to be accounted for as a pooling of interests.</t>
  </si>
  <si>
    <t>Continental Natural Gas Inc</t>
  </si>
  <si>
    <t>CMS Energy Corp</t>
  </si>
  <si>
    <t>CMS Energy acquired all the outstanding common stock of Continental Natural Gas (CN) in a stock swap transaction valued at an estimated $154. 228 mil including the assumption of an estimated $88 mil in liabilities. CMS offered $10 in common shares per CN share held. The transaction was accounted for as a pooling of interests.</t>
  </si>
  <si>
    <t>CYBEX International Inc</t>
  </si>
  <si>
    <t>Mnfr fitness equip products</t>
  </si>
  <si>
    <t>UM Holdings Ltd</t>
  </si>
  <si>
    <t>UM Holdings Ltd planned to raise its stake to approximately 60% from 48% in CYBEX International Inc by acquiring up to 1 mil common shares.</t>
  </si>
  <si>
    <t>Freeport-McMoRan Sulphur Inc</t>
  </si>
  <si>
    <t>Sulphur mining company</t>
  </si>
  <si>
    <t>McMoRan Oil &amp; Gas Co</t>
  </si>
  <si>
    <t>McMoRan Oil &amp; Gas (MO) merged with Freeport-McMoRan Sulphur (FM) to form McMoRan Exploration (ME) in a stock swap transaction valued at $124.187 mil. FM shareholders received .625 ME common shares and MO shareholders received .2 ME common shares per share held. Based on MO's closing stock price of $4 on July 31, the last full trading day prior to the announcement, each FM share was valued at $12.50. Upon completion, MO held a 58.5% interest in ME, and FM held the remaining 41.7% stake.</t>
  </si>
  <si>
    <t>Priority Healthcare Corp</t>
  </si>
  <si>
    <t>Own,op specialty pharmacy</t>
  </si>
  <si>
    <t>Bindley Western Industries Inc (BWI) completed the spinoff of its 82% interest in Priority Healthcare Corp (PH) to shareholders for $437. 938 mil. BWI common shareholders received .46 PH common shares per BWI share held. The shares were valued based on PH's closing stock price of $42.875 on January 4, the first full trading day on a non-when issued basis.</t>
  </si>
  <si>
    <t>Stratus Computer Inc</t>
  </si>
  <si>
    <t>Mnfr,whl computers;dvlp soft</t>
  </si>
  <si>
    <t>Ascend Communications Inc (AC) acquired Stratus Computer Inc (SC) in a stock swap transaction valued at $969.662 mil. AC offered .75 common shares per SC share. Based on AC's closing stock price of $44.46875 on July 31, the last full trading day prior to the announcement, each SC share was valued at $33.352. Originally, AC was rumored to be in negotiations to acquire SC.</t>
  </si>
  <si>
    <t>Zeigler Coal Holding Co</t>
  </si>
  <si>
    <t>Coal mining holding company</t>
  </si>
  <si>
    <t>AEI Resources Inc</t>
  </si>
  <si>
    <t>Coal mining;holding co</t>
  </si>
  <si>
    <t>AEI Resources Inc (AEI) acquired Zeigler Coal Holdings Co (ZCH) for $21.25 in cash per share, or a total value of $848.323 mil, including the assumption of an estimated $241 mil in liabilities. Earlier, AEI completed its tender offer by accepting 27.9 mil common shares, or 93.1% of ZCH shares. The offer was conditioned upon at least 90% of ZCH's shares being tendered on a fully-diluted basis.</t>
  </si>
  <si>
    <t>AlliedSignal Inc</t>
  </si>
  <si>
    <t>Mnfr aircraft engines,radar</t>
  </si>
  <si>
    <t>AlliedSignal Inc (AS) withdrew its hostile tender offer to acquire the remaining 91% interest, or 198.6 mil common shares, which it did not already own, in AMP Inc (AMP) for $44.5 in cash per share, or a total value of $8.862 bil. Concurrently, AS launched a tender offer to acquire a 9% stake, or 20 mil common shares, in AMP after AMP invoked a poison pill which forced AS to amend its original offer for 100% of AMP. Subsequently, AMP launched a defensive self- tender offer to repurchase up to 30 mil common shares. Later, Tyco International Ltd, acting as a white knight, merged with AMP. As a result, AMP terminated its self tender offer.</t>
  </si>
  <si>
    <t>InControl Inc</t>
  </si>
  <si>
    <t>Mnfr heart implants</t>
  </si>
  <si>
    <t>Guidant Corp (GC) acquired all the outstanding common stock of InControl Inc for $6 in cash per share, or a total value of $116.809 mil. Earlier, GC completed its tender offer for GC by accepting 21,346,323 shares, or 97.8% of GC's shares. The transaction was subject to Hart-Scott-Rodino Antitrust Improvement Act and other regulatory approvals.</t>
  </si>
  <si>
    <t>Storage Trust Realty</t>
  </si>
  <si>
    <t>Public Storage Inc (PS) acquired the remaining 94.1% interest in Storage Trust Realty (ST) in a stock swap transaction valued at $518. 323 mil. PS offered .86 common shares per ST share and the assumption of $192 mil in liabilities. Based on PS's closing stock price of $25 on August 4, the last full trading day prior to the announcement, each ST share was valued at $21.5.</t>
  </si>
  <si>
    <t>Tel-Save Holdings Inc withdrew its search for buyer for the company.</t>
  </si>
  <si>
    <t>VSI Holdings Inc</t>
  </si>
  <si>
    <t>Pvd mamngement svcs</t>
  </si>
  <si>
    <t>Navidec Inc</t>
  </si>
  <si>
    <t>Pvd online solution services</t>
  </si>
  <si>
    <t>NAVIDEC Inc terminated its letter of intent to merge with VSI Holdings Inc. Terms were not disclosed.</t>
  </si>
  <si>
    <t>Carr-Gottstein Foods Co</t>
  </si>
  <si>
    <t>Own and op grocery,drug stores</t>
  </si>
  <si>
    <t>Safeway Inc acquired all the outstanding common stock of Carr-Gottstein Foods Co for $12.50 in cash per share, or a total value of $331.851 mil, including the assumption of $220 mil in liabilities.</t>
  </si>
  <si>
    <t>Equity Corp International</t>
  </si>
  <si>
    <t>Pvd deathcare services</t>
  </si>
  <si>
    <t>Service Corp International (SCI) acquired Equity Corp International (ECI) in a stock swap transaction valued at $738.297 mil. SCI offered $27 in common stock per ECI share, subject to a collar agreement. The transaction was accounted for as a pooling of interests.</t>
  </si>
  <si>
    <t>Metro-Goldwyn-Mayer Inc</t>
  </si>
  <si>
    <t>Pvd motion picture content svc</t>
  </si>
  <si>
    <t>In August 1998, Metro- Goldwyn-Mayer Inc (MG) discontinued rumors that it was seeking a buyer for the company. Concurrently, Tracinda Corp planned to raise its stake to 90% from 65% in MG.</t>
  </si>
  <si>
    <t>Applied Extrusion Technologies</t>
  </si>
  <si>
    <t>Mnfr OPP films</t>
  </si>
  <si>
    <t>Huntsman Packaging Corp (HP), a unit of Huntsman Corp, withdrew its sweetened unsolicited offer to acquire all the outstanding common stock of Applied Extrusion Technologies Inc for $12.50 in cash per share, or a total value of $149.152 mil. Originally, HP offered $10.50 in cash per share, or a total value of $122.679 mil.</t>
  </si>
  <si>
    <t>US - Data Transmission Network Inc, an Omaha-based provider of information and communication services, was seeking a buyer for the company.</t>
  </si>
  <si>
    <t>Horizon Bancorp,Beckley,WV</t>
  </si>
  <si>
    <t>US - City Holding Co (CH), Charleston, West Virginia, acquired Horizon Bancorp Inc (HB), Beckley, West Virginia, valued at $413.398 mil. CH offered $45 in common stock per HB share. Upon completion, HB's five bank subsidiaries would be merged into CH's commercial banking subsidiary, City National Bank of West Virginia to form New City National Bank of West Virginia. The transaction had been accounted for as a pooling of interests.</t>
  </si>
  <si>
    <t>Magicworks Entertainment Inc</t>
  </si>
  <si>
    <t>Own,op theater production co</t>
  </si>
  <si>
    <t>SFX Entertainment Inc</t>
  </si>
  <si>
    <t>SFX Entertainment Inc (SF) acquired Magicworks Entertainment Inc (ME) for $4 in cash per share, or a total value of $105.257 mil. Previously, SF completed its tender offer to acquire all the outstanding common stock of ME by accepting 90% of the total common stock outstanding. The offer was conditioned upon at least a majority of ME's shares being tendered.</t>
  </si>
  <si>
    <t>American Disposal Services Inc</t>
  </si>
  <si>
    <t>Allied Waste Industries Inc (AW) merged with American Disposal Services Inc (AD) in a stock swap transaction valued at $1.067 bil. AW offered 1.65 common shares per AD share. Based on AW's closing stock price of $27. 125 on Aug 7, the last full trading day prior to the announcement, each AD share was valued at $44.756. The transaction was to be accounted for as a pooling of interests. Upon completion, the combined company was to retain the Allied Waste Industries Inc name.</t>
  </si>
  <si>
    <t>Cliffs Drilling Co</t>
  </si>
  <si>
    <t>Pvd oil well drilling services</t>
  </si>
  <si>
    <t>R&amp;B Falcon (RB) acquired Cliffs Drilling (CD) in a stock swap transaction valued at $452.073 mil. RB offered 1. 7 common shares per CD share. Based on RB's closing stock price of $16.5625 on August 7, the last full trading day prior to the announcement, each CD share was valued at $28.156.</t>
  </si>
  <si>
    <t>Commander Aircraft Inc</t>
  </si>
  <si>
    <t>Mnfr single-engine aircraft</t>
  </si>
  <si>
    <t>Aviation General Inc</t>
  </si>
  <si>
    <t>Mnfr single engine aircraft</t>
  </si>
  <si>
    <t>Aviation General Inc agreed to merge with Commander Aircraft Inc (CA). Upon Completion, CA was to be renamed Aviation General Inc.</t>
  </si>
  <si>
    <t>Molecular Dynamics Inc</t>
  </si>
  <si>
    <t>Mnfr,whl laboratory equipment</t>
  </si>
  <si>
    <t>Amersham Pharmacia Biotech Ltd</t>
  </si>
  <si>
    <t>Mnfr,whl biotechnology prods</t>
  </si>
  <si>
    <t>Amersham Pharmacia Biotech (APB), a joint venture between Nycomed Amersham and Pharmacia &amp; Upjohn, acquired the remaining 90% interest, or 9.443 mil common shares, which it did not already own, in Molecular Dynamics (MD) for $20.50 in cash per share, or a total value of $222.211 mil. Previously, APB completed its tender offer for MD by accepting approximately 9.032 mil common shares. The offer had been conditioned upon at least a majority of MD's shares being tendered on a fully-diluted basis.</t>
  </si>
  <si>
    <t>Rio Hotel &amp; Casino Inc</t>
  </si>
  <si>
    <t>Own,operate casino hotel</t>
  </si>
  <si>
    <t>Harrah's Entertainment (HE) acquired Rio Hotel &amp; Casino Inc (RHC) in a stock swap transaction valued at $821. 867 mil, including the assumption of $303 mil in liabilities. HE offered 1 common share per RHC share. Based on HE's closing stock price $20.125 on August 7, the last full trading day prior to the announcement, each RHC share was valued at $20.125. The transaction had been accounted for as a pooling of interests.</t>
  </si>
  <si>
    <t>Scott &amp; Stringfellow Financial</t>
  </si>
  <si>
    <t>Securities brokerage hldg co</t>
  </si>
  <si>
    <t>BB&amp;T Corp (BBT), Winston- Salem, North Carolina, acquired Scott &amp; Stringfellow Financial Inc (SSF) in a stock swap transaction valued at $126.427 mil. BBT offered 1 common share per SSF share. Based on BBT's closing stock price of $34.4375 on August 7, the last full trading day prior to the announcement, each SSF share was valued at $34.4375. The transaction had been accounted for as a pooling of interests.</t>
  </si>
  <si>
    <t>Amoco Corp</t>
  </si>
  <si>
    <t>Oil,gas expl,prodn,mining</t>
  </si>
  <si>
    <t>British Petroleum Co PLC</t>
  </si>
  <si>
    <t>Integrated oil and gas company</t>
  </si>
  <si>
    <t>British Petroleum Co PLC (BP) merged with Amoco Corp (AC) to form BP Amoco PLC (BPA) in a stock swap transaction valued at $48.174 bil. BP offered 3.97 new ordinary shares per AC share. Based on BP's closing stock price of $12.641 on August 10, the last full trading day prior to the announcement, each AC share was valued at $50.185. Upon completion, BP was to hold a 60% interest in BPA, and AC was to hold the remaining 40% stake.</t>
  </si>
  <si>
    <t>Dominick's Supermarkets Inc</t>
  </si>
  <si>
    <t>Koninklijke Ahold NV was rumored to be planning to acquire all the outstanding common stock of Dominick's Supermarkets Inc. The Current status of this deal is unknown.</t>
  </si>
  <si>
    <t>Dresdner Bank AG</t>
  </si>
  <si>
    <t>Dresdner Bank AG was rumored to be planning to acquire all the outstanding common stock of PaineWebber Group Inc. The Current status of this deal is unknown.</t>
  </si>
  <si>
    <t>FirstMerit Corp (FIM), Akron, Ohio, acquired Signal Corp (SIG), Wooster, Ohio, in a stock swap transaction valued at $392.837 mil. FIM offered 1.32 FIM common shares per SIG share. Based on FIM's closing stock price of $28. 188 on August 10, the last full trading day prior to the announcement, each SIG share was valued at $37.208. The transaction had been accounted for as a pooling of interests.</t>
  </si>
  <si>
    <t>Liberty Technologies Inc</t>
  </si>
  <si>
    <t>Mnfr,whl diagnostic devices</t>
  </si>
  <si>
    <t>Crane Co (CC) acquired all the outstanding common stock of Liberty Technologies Inc (LT) for $3.50 per share, or a total value of $17.618 mil. Earlier, CC completed its tender offer by accepting 4, 737,868 shares, or 94.6% of LT's shares.</t>
  </si>
  <si>
    <t>Hasbro Inc completed its tender offer to acquire all the outstanding common stock of MicroProse Inc (MP) for $6 in cash per share, or a total value of $69.594 mil, including the assumption of approximately $32.5 mil in liabilities, by accepting 5. 265 mil common shares, or 91. 5% of MP's shares. The offer had been conditioned upon at least 50.1% of MP's shares being tendered on a fully- diluted basis.</t>
  </si>
  <si>
    <t>MidAmerican Energy Holdings Co</t>
  </si>
  <si>
    <t>CalEnergy acquired all the outstanding common stock of MidAmerican Energy Holdings (ME) for $27.15 in cash per share, or a total value of $3. 975 bil, including the assumption of $1.4 bil in liabilities. Upon completion, CalEnergy reincorporated in Iowa and changed its name to ME.</t>
  </si>
  <si>
    <t>Quickturn Design Systems Inc</t>
  </si>
  <si>
    <t>Dvlp computer systems</t>
  </si>
  <si>
    <t>Mentor Graphics Corp (MG) terminated its unsolicited, hostile tender offer to acquire all the outstanding common stock of Quickturn Design Systems Inc (QD) for an amended $14 in cash per share, or a total value of $270.903 mil. Originally, MG launched the offer to acquire QD for $12.125 in cash per share, or a total value of $246.439 mil. Subsequently, Cadence Design Systems Inc acquired QD for $15 per share, or a total value of $293.255.</t>
  </si>
  <si>
    <t>Walshire Assurance</t>
  </si>
  <si>
    <t>Kingsway Finl Svcs Inc</t>
  </si>
  <si>
    <t>Pvd automobile insurance svcs</t>
  </si>
  <si>
    <t>Kingsway Financial Services Inc (KFS) acquired Walshire Assurance (WA) for $43.056 mil. KFS offered $8.25 in cash per WA common share and $50 in cash per preferred share.</t>
  </si>
  <si>
    <t>Clearview Cinema Group Inc</t>
  </si>
  <si>
    <t>Cablevision Systems Corp</t>
  </si>
  <si>
    <t>Cablevision Systems Corp acquired all the outstanding common stock of Clearview Cinema Group Inc for $161.942 mil. The consideration consisted of $13.34 in cash and $10.91 in common stock per share, and the assumption of $101.138 mil in liabilities.</t>
  </si>
  <si>
    <t>Envirotest Systems Corp</t>
  </si>
  <si>
    <t>Pvd emissions testing services</t>
  </si>
  <si>
    <t>Stone Rivet Inc</t>
  </si>
  <si>
    <t>Investment co</t>
  </si>
  <si>
    <t>Stone Rivet Inc (SR) acquired all the outstanding common stock of Envirotest Systems Corp (ESC) for $17.25 in cash per share, or a total value of $535.325 mil, including the assumption of $275 mil in liabilities. Previously, SR completed its tender offer to acquire ESC by accepting 11,963,529 shares, or about 98.7% of ESC's common stock outstanding. The offer had been conditioned upon at least 90% of ESC's shares being tendered.</t>
  </si>
  <si>
    <t>Mitchell Bancorp,NC</t>
  </si>
  <si>
    <t>First Western Bank,NC</t>
  </si>
  <si>
    <t>First Western Bank (FWBN), Burnsville, North Carolina, definitively acquired all the outstanding common stock of Mitchell Bancorp Inc (MBSP), SprucePine, North Carolina, for an estimated $18.929 mil. FWBN offered a choice of $20 in cash, 1.6 FWBN common shares, or a combination of both per MBSP share. No more than 49.9% of the consideration was to be payable in cash.</t>
  </si>
  <si>
    <t>Skylands Community Bank</t>
  </si>
  <si>
    <t>Little Falls Bancorp Inc</t>
  </si>
  <si>
    <t>Little Falls Bancorp Inc (LFB), Little Falls, New Jersey, terminated its agreement to merge with Skyland Community Bank (SCB), Hackettstown, New Jersey, to form Little Falls Bancorp Inc (LFBI) in a merger-of-equals stock swap transaction valued at $39.456 mil. SCB common shareholders were to receive 0.8 LFBI common shares and LFB common shareholders were to receive 1 LFBI common share per share held. Based on LFB's closing stock price of $20 on August 12, the last full trading day prior to the announcement, each SCB share was valued at $16. Upon completion, LFB was to own 57% of LFBI. The transaction was to be accounted for as a pooling of interests.</t>
  </si>
  <si>
    <t>Petroleum Heat and Power Co</t>
  </si>
  <si>
    <t>Own,op heating oil distn co</t>
  </si>
  <si>
    <t>Retail home heating oil</t>
  </si>
  <si>
    <t>Star Gas Partners (SGP) acquired all the outstanding common stock of Petroleum Heat and Power (PHP). SGP offered .1306 senior subordinate units per PHP share.</t>
  </si>
  <si>
    <t>Trion</t>
  </si>
  <si>
    <t>Manufacture exhaust systems</t>
  </si>
  <si>
    <t>McLeod Russel Holdings PLC</t>
  </si>
  <si>
    <t>RE dvlp firm;mnfr paints</t>
  </si>
  <si>
    <t>McLeod Russel Holdings PLC terminated its agreement to acquire all the outstanding common stock of Trion Inc for $7.27 in cash per share, for a total value of $52.287 mil cash.</t>
  </si>
  <si>
    <t>Alamo Group Inc</t>
  </si>
  <si>
    <t>Mnfr,whl farm mach equip</t>
  </si>
  <si>
    <t>Woods Equipment Co</t>
  </si>
  <si>
    <t>Mnfr farm machinery,equip</t>
  </si>
  <si>
    <t>Woods Equipment Co terminated its agreement to acquire all the outstanding common stock of Alamo Group Inc for $18.50 in cash per share, or a total value of $180.809 mil.</t>
  </si>
  <si>
    <t>Huntsman Chemical Corp</t>
  </si>
  <si>
    <t>Mnfr polystyrene resins</t>
  </si>
  <si>
    <t>Huntsman Chemical Corp withdrew its tender offer to acquire all the outstanding common stock of Applied Extrusion Tecnologies Inc for $10.50 in cash per share, or a total value of $123.141 mil.</t>
  </si>
  <si>
    <t>Eastern Environmental Services</t>
  </si>
  <si>
    <t>Waste Management Inc (WM) acquired Eastern Environmental Services Inc (EE) in a stock swap transaction valued at $1.276 bil, including the assumption of $52 mil in liabilities. WM offered .6406 common shares per EE share. Based on WM's closing stock price of $52. 6875 on August 14, the last full trading day prior to the announcement, each EE share was valued at $33.75.</t>
  </si>
  <si>
    <t>Mid-Iowa Financial,Newton,IA</t>
  </si>
  <si>
    <t>First Federal Savings Bank, Siouxland, Iowa acquired all the outstanding common stock of Mid-Iowa Financial Corp, Newtown, Ohio for $15 per share, or a total value of $25.147 mil.</t>
  </si>
  <si>
    <t>Ronson Corp</t>
  </si>
  <si>
    <t>Mnfr aerospace products</t>
  </si>
  <si>
    <t>An investor group, consisting of Steel Partners II LP and Warren Lichtenstein, withdrew its plans to acquire the remaining 91% interest, or 2.891 mil common shares, which it did not already own, in Ronson Corp via a tender offer for an amended $5.25 per share, or total value of $15.454 mil. Originally, the investor group offered to acquire the remaining 91% interest via a tender offer for $5 per share, or total value of $14.706 mil.</t>
  </si>
  <si>
    <t>Westco Bancorp Inc,IL</t>
  </si>
  <si>
    <t>Federal savings institution</t>
  </si>
  <si>
    <t>MAF Bancorp Inc (MAF), Clarendon Hills, Illinois, acquire Westco Bancorp Inc (WBI), Westchester, Illinois, in a stock swap transaction valued at $82.144 mil. MAF offered 1.395 common shares per WBI share. Based on MAF's closing stock price of $22. 125 on August 14, the last full trading day prior to the announcement, each WBI share was valued at $30.864.</t>
  </si>
  <si>
    <t>Quark Inc</t>
  </si>
  <si>
    <t>Dvlp content mgmt software</t>
  </si>
  <si>
    <t>Quark Inc withdrew its unsolicited offer to acquire all the outstanding common stock of Adobe Systems Inc.</t>
  </si>
  <si>
    <t>In August 1998, SierraWest Bancorp,Truckee, California, announced that it was seeking a buyer for the company. The bidders included Westamerica Bancorp.</t>
  </si>
  <si>
    <t>Lion Brewery Inc</t>
  </si>
  <si>
    <t>Red Bell Brewing Co</t>
  </si>
  <si>
    <t>Produce beer and alcohol</t>
  </si>
  <si>
    <t>Red Bell Brewing Co (RBB) withdrew its plans to acquire all the outstanding common stock of Lion Brewery Inc (LB) for an amended $5.02 in cash per share, or a total value of $19.503 mil. Previously, RBB offered $4.875 in cash per share, or a total value of $18.94 mil. Subsequently, Malt Acquiring Inc, a management led investor group, acquired all the outstanding common stock of LB.</t>
  </si>
  <si>
    <t>Peerless Group Inc</t>
  </si>
  <si>
    <t>Jack Henry &amp; Associates Inc (JH) acquired Peerless Group Inc (PG) in a stock swap transaction valued at $36.958 mil. JH offered .16145 common shares per PG share. Based on JH's closing stock price of $45.59375 on August 18, the last full trading day prior to the announcement, each PG share was valued at $7.36. The transaction was accounted for as a pooling of interests.</t>
  </si>
  <si>
    <t>Middle Bay Oil Company Inc terminated its agreement to acquire the remaining 20.8% interest in Enex Resources Corp, for $15 per share, or a total value of $20.14 mil.</t>
  </si>
  <si>
    <t>Mednu Acquisition Corp</t>
  </si>
  <si>
    <t>Mednu Acquisition Corp (MA) terminated its agreement to merger with Numed Home Health Care (NH) for $8.789 mil to form a new company (NC). MN offered $1.40 in cash, .1 NC shares common, and .3195 in subordinate debenture per NH share. Upon completion NH shareholders were to own 5% of the NC, and MN shareholders were to own the remaining 95%.</t>
  </si>
  <si>
    <t>SunAmerica Inc</t>
  </si>
  <si>
    <t>American International Group (AIG) acquired SunAmerica (SA) in a stock swap transaction valued at $18.117 bil. AIG offered 0.855 common shares per SA share. Based on AIG's closing stock price of $94. 625 on August 19, the last full trading day prior to the announcement, each SA share was valued at $80.904. The transaction had been accounted for as a pooling of interests.</t>
  </si>
  <si>
    <t>20th Century Industries</t>
  </si>
  <si>
    <t>An investor group, including American International Group Inc, acquired a 53.08% interest, or 46.51 mil common shares, in 20th Century Industries in privately negotiated transactions.</t>
  </si>
  <si>
    <t>Versatility Inc</t>
  </si>
  <si>
    <t>Develop telemarketing software</t>
  </si>
  <si>
    <t>Oracle Corp acquired all the outstanding common stock of Versatility Inc via a tender offer for $1.50 in cash per share, or a total value of $11.583 mil.</t>
  </si>
  <si>
    <t>Coho Energy Inc</t>
  </si>
  <si>
    <t>Hicks Muse Tate &amp; Furst Inc terminated its agreement to acquire a 62% interest, or 41, 666,666 newly issued common shares, in Coho Energy for $6 in cash per share, or a total value of $250 mil, in a privately negotiated transaction.</t>
  </si>
  <si>
    <t>General Microwave Corp</t>
  </si>
  <si>
    <t>Mnfr microwave test equipment</t>
  </si>
  <si>
    <t>Herley Industries Inc</t>
  </si>
  <si>
    <t>Herley Industries Inc (HII) acquired all the outstanding common stock of General Microwave Corp (GMC) for $23. 525 mil. The consideration consisted of $18 in cash and 1 warrant exercisable into HI common shares at a price of $14.40 per share through January 11, 1999 and $15.60 per share for two years thereafter per GMC share.</t>
  </si>
  <si>
    <t>Liberty Media Corp (LM), a majority-owned unit of Tele- Communications Inc acquired the remaining 18.9% indirect interest in Tele- Communications International Inc (TCI) that it did not already own, from TCI Ventures, in a stock swap transaction valued at $379. 056 mil. LM offered .58 common shares per TCI Class A common share. Based on LM's closing stock price of $35. 813 on August 21, the last full trading day prior to the announcement, each TCI share was valued at $21. The merger agreement stipulated that if LM's share price were to fall to a point at which the exchange ratio would yield less than $22 per share, the ratio is subject to adjustment. Upon completion, TCI was to become a wholly- owned subsidiary of Liberty Media's parent Tele- Communications Inc.</t>
  </si>
  <si>
    <t>New Canaan Bank &amp; Trust Co</t>
  </si>
  <si>
    <t>Summit Bancorp, Princeton, New Jersey, acquired all the outstanding common stock of New Canaan Bank &amp; Trust Co (NCB) for $135 in common stock per NCB share, subject to a collar agreement, or a total value of $45.11 mil.</t>
  </si>
  <si>
    <t>Malt Acquiring Inc</t>
  </si>
  <si>
    <t>Produce,whl beer</t>
  </si>
  <si>
    <t>Malt Acquiring Inc (MA), a management led investor group including American Capital Strategies, acquired all the outstanding common stock of Lion Brewery Inc (LB) for an amended $4.70 in cash per share, or a total value of $18.26 mil, in a leveraged buyout transaction. Originally, MA offered $4.40 in cash per share, or a total value of $17.094 mil. Previously, Red Bell Brewing Co made an offer to acquire all the outstanding common stock of LB.</t>
  </si>
  <si>
    <t>Toastmaster Inc</t>
  </si>
  <si>
    <t>Mnfr electric consumer appl</t>
  </si>
  <si>
    <t>Salton/Maxim Housewares Inc acquired all the outstanding common stock of Toastmaster Inc for $7 in cash per share, or a total value of $101.202 mil, including the assumption of approximately $47.9 mil in liabilities.</t>
  </si>
  <si>
    <t>Berg Electronics Corp</t>
  </si>
  <si>
    <t>Framatome Connectors Intl</t>
  </si>
  <si>
    <t>Mnfr elec connectors</t>
  </si>
  <si>
    <t>Framatome Connectors International (FCI), a unit of Framatome SA, acquired all the outstanding common stock of Berg Electronics Corp (BEC) for $35 in cash per share, or a total value of $1.877 bil, including the assumption of approximately $400 mil in liabilities. Earlier, FCI completed its tender offer for BEC by accepting 41,061, 318 mil shares or 99.4% of the total common stock outstanding.</t>
  </si>
  <si>
    <t>Capstar Broadcasting Corp</t>
  </si>
  <si>
    <t>Chancellor Media Corp</t>
  </si>
  <si>
    <t>Chancellor Media Corp (CM) merged with Capstar Broadcasting Corp (CB) in a stock swap transaction valued at an amended $4.275 bil, including the assumption of $1.785 bil in liabilities. CM offered .4955 common shares per CP share. Based on CM's closing stock price of $40.75 on March 23, the last full trading day prior to the announcement, each CP share was valued at $20.192. Hicks Muse Tate &amp; Furst (HMTF) held a 15% stake in CM and a 59% interest in CB. Upon completion, the combined company was renamed AMFM Inc and HMTF was to hold a 25% stake in the merged company.</t>
  </si>
  <si>
    <t>Mesa Air Group Inc</t>
  </si>
  <si>
    <t>Passenger,coml airline;Hldg co</t>
  </si>
  <si>
    <t>Mesa Air Group Inc (MAG) merged with CCAIR Inc (CC) in a stock swap transaction valued at an amended $55.077 mil, including the assumption of $15 mil in liabilities. MAG offered $4.35 in common stock per CC share, subject to a collar agreement. The transaction was accounted for as a pooling of interests. Originally, MAG offered $5.40 in common stock per share, subject to a collar agreement.</t>
  </si>
  <si>
    <t>Frontier Adjusters of America</t>
  </si>
  <si>
    <t>United Financial Adjusting Co</t>
  </si>
  <si>
    <t>United Financial Adjusting Co, a unit of Progressive Corp, withdrew a signed a letter of intent to acquire a 52% interest, or newly issued securities convertible into 4. 9 mil common share in Frontier Adjusters of America Inc for $1.30 in cash per share, or a total value of $6. 37 mil.</t>
  </si>
  <si>
    <t>Advocat Inc</t>
  </si>
  <si>
    <t>Pvd nursing health care svcs</t>
  </si>
  <si>
    <t>AVC Holding Co</t>
  </si>
  <si>
    <t>AVC Holding withdrew its unsolicited offer to acquire all the outstanding common stock of Advocat for an undisclosed amount of cash and stock.</t>
  </si>
  <si>
    <t>Altron Inc</t>
  </si>
  <si>
    <t>Mnfr,mkt circuit board prods</t>
  </si>
  <si>
    <t>Sanmina Corp (SC) acquired Altron Inc (AI) in a stock swap transaction valued at $195.279 mil. SC offered . 4545 common shares per AI share. Based on SC's closing stock price of $27.25 on September 1, the last full trading day prior to the announcement, each AI share was valued at $12.385.</t>
  </si>
  <si>
    <t>CKS Group Inc</t>
  </si>
  <si>
    <t>Pvd integrated marketing svcs</t>
  </si>
  <si>
    <t>USWeb Corp</t>
  </si>
  <si>
    <t>Pvd internet-related solutions</t>
  </si>
  <si>
    <t>USWeb (US) acquired CKS Group Inc (CK) in a stock swap transaction valued at $337.77 mil. US offered 1.5 common shares per CK share. Based on US' closing stock price of $14.4375 on September 1, the last full trading day prior to the announcement, each CK share was valued at $21.656. Upon completion, the combined company was to operate temporarily under the USWeb/ CKS name. Originally, the combined company was to be named Reinvent Communications Inc, but the companies decided to avoid that name after objections were raised in a lawsuit filed by Inventa Corp. The transaction was accounted for as a pooling of interests.</t>
  </si>
  <si>
    <t>Home Choice Holdings Inc</t>
  </si>
  <si>
    <t>Pvd equip rental svcs</t>
  </si>
  <si>
    <t>Rent-Way Inc</t>
  </si>
  <si>
    <t>Own,op rental-purchase stores</t>
  </si>
  <si>
    <t>Rent-Way Inc (RW) acquired Home Choice Holdings Inc (HCH) in a stock swap transaction valued at $231.417 mil. RW offered .588 common shares per HCH share. Based on RW's closing stock price of $23. 125 on September 1, the last full trading day prior to the announcement, each HCH share was valued at $13.60. The transaction was accounted for as a pooling of interests.</t>
  </si>
  <si>
    <t>Katz Digital Technologies Inc</t>
  </si>
  <si>
    <t>Print plates,related prods</t>
  </si>
  <si>
    <t>Photobition Group PLC</t>
  </si>
  <si>
    <t>Pvd svcs to media industries</t>
  </si>
  <si>
    <t>Photobition Group PLC acquired all the outstanding common stock of Katz Digital Technologies Inc for $47 mil in cash.</t>
  </si>
  <si>
    <t>USCS International Inc</t>
  </si>
  <si>
    <t>Pvd customer mgmt software,svc</t>
  </si>
  <si>
    <t>Provide information processing services</t>
  </si>
  <si>
    <t>DST Systems Inc (DST) acquired USCS International Inc (USCS) in a stock swap transaction valued at $877. 782 mil. DST offered .62 common shares per USCS share. Based on DST's closing stock price of $56.75 on September 1, the last full trading day prior to the announcement, each USCS share was valued at $35.185. The transaction was accounted for as a pooling of interests.</t>
  </si>
  <si>
    <t>Gryphon Holdings Inc</t>
  </si>
  <si>
    <t>Markel Corp</t>
  </si>
  <si>
    <t>Markel Corporation (MC) acquired the remaining 88.3% interest, that it did not already own, in Gryphon Holdings Inc (GH) via its tender offer for an amended $19 in cash per share, plus the assumption of $62 mil in debt for a total value of $197 mil, by accepting an estimated 5.9 mil shares, or 87.5% of GH's shares. Previously, MC launched a tender offer to acquire GH for $18 in cash per share, or a total value of $120.54 mil. Originally, MC launched a tender offer to acquire the remaining 88.3% interest in GH for $15.5 in cash and $2.5 in notes per share, or a total value of $82.985 mil. Previously, Markel planned to raise its stake to 31.6% from 11.4% by acquiring a 19.9% stake. Earlier, Markel acquired a 9.9% stake in GH.</t>
  </si>
  <si>
    <t>Monocacy Bancshares Inc</t>
  </si>
  <si>
    <t>F &amp; M Bancorporation (F&amp;M), Frederick, Maryland, acquired Monocacy Bancshares Inc (MBI) in a stock swap transaction valued at an estimated $84. 737 mil. F&amp;M offered 1.233 common shares per MBI share. Based on F&amp;M's closing stock price of $37.25 on September 3, the last full trading day prior to the announcement, each MBI share was valued at $45.93.</t>
  </si>
  <si>
    <t>In September 1998, Aerosonic Corp announced that it was seeking a buyer for the company.</t>
  </si>
  <si>
    <t>PEC Israel Economic Corp</t>
  </si>
  <si>
    <t>An investor group (IDB), including IDB Development Corp, a unit of IDB Holding Corp, acquired the remaining 18.65% stake, or 3.425 mil common shares, that it did not already own in PEC Israel Economic Corp (PEC) for an amended $36.5 in cash per share, or a total value of $124.996 mil. Previously, IDB offered $30 in cash per share. Originally, IDB offered $25. 5 in cash per share.</t>
  </si>
  <si>
    <t>Peoples Bancorp Inc,New Jersey</t>
  </si>
  <si>
    <t>Sovereign Bancorp Inc (SVR), Wyomissing, Pennsylvania, acquired Peoples Bancorp Inc (TSB), Lawrenceville, New Jersey, in a stock swap transaction valued at $381. 419 mil. SVR offered 0.8 common shares per TSB share. Based on SVR's closing stock price of $13.125 on September 4, the last full trading day prior to the announcement, each TSB share was valued at $10.5.</t>
  </si>
  <si>
    <t>Calumet Bancorp Inc</t>
  </si>
  <si>
    <t>FBOP Corp (FBOP), Oak Park, Illinois, definitively acquired all the outstanding common stock of Calumet Bancorp Inc (CB), Dolton, Illinois, for $32 in cash per share, or a total value of $110.64 mil.</t>
  </si>
  <si>
    <t>Integrated Systems Consulting</t>
  </si>
  <si>
    <t>Provide consulting services</t>
  </si>
  <si>
    <t>First Consulting Group Inc</t>
  </si>
  <si>
    <t>First Consulting Group Inc (FC) merged with Integrated Systems Consulting Group Inc (IS) in a stock swap transaction valued at $209. 104 mil. FC offered 1.299 common shares per IS share. Based on FC's closing stock price of $17.75 on September 8, the last full trading day prior to the announcement, each IS share was valued at $23.057. The transaction was to be accounted for as a pooling of interests.</t>
  </si>
  <si>
    <t>PacificAmerica Money Center</t>
  </si>
  <si>
    <t>Fremont General Corp</t>
  </si>
  <si>
    <t>Fremont General Corp (FG) terminated its agreement to acquire all the outstanding common stock of PacificAmerica Money Center Inc (PAM) for an amended $10 in cash per share, or a total value of $52.975 mil. Originally, FG agreed to acquire PAM for $52.975 mil. The consideration was to consist of $7.50 in cash and $2.50 in FG common stock per PAM share.</t>
  </si>
  <si>
    <t>Broughton Foods Co</t>
  </si>
  <si>
    <t>Suiza Foods Corp (SFC) acquired Broughton Foods Co (BFC) for an amended $16.5 in cash per share, or a total value of $130.777 mil, including the assumption of approximately $13 mil in liabilities. Originally, SFC offered $19 in cash per share. Included in the total value was a 22% stake acquired from certain directors for $11.25 per share, or a total value of $22.5 mil.</t>
  </si>
  <si>
    <t>THT Inc</t>
  </si>
  <si>
    <t>Mnfr sanitary paper,steel prod</t>
  </si>
  <si>
    <t>PH II Inc</t>
  </si>
  <si>
    <t>PH II Inc acquired the remaining 54% interest, or 2. 151 mil common shares, which it did not already own, in THT Inc for $3.50 in cash per share, or a total value of $7. 527 mil.</t>
  </si>
  <si>
    <t>Carmeuse Lime Inc(Carmeuse SA)</t>
  </si>
  <si>
    <t>Limestone mining</t>
  </si>
  <si>
    <t>Carmeuse Lime Inc, a unit of Carmeuse SA, completed its tender offer to acquire all the outstanding common stock of Dravo Corp (DC) for $13 in cash per share, or a total value of $212.872 mil, by accepting 13,541,029 shares, or 92% of DC's shares. The offer was conditioned upon at least a majority of DC's shares being tendered on a fully-diluted basis. The transaction was subject to regulatory approvals.</t>
  </si>
  <si>
    <t>Icon CMT Corp</t>
  </si>
  <si>
    <t>Pvd Internet svcs,products</t>
  </si>
  <si>
    <t>Qwest Communications International Inc (QCI) acquired Icon MCT Corp (Icon) in a stock swap transaction valued at $202.908 mil. QCI offered $12 in common stock per Icon share, subject to a collar agreement.</t>
  </si>
  <si>
    <t>Scottish Power PLC</t>
  </si>
  <si>
    <t>Scottish Power withdrew its rumored plans to merge with Cinergy.</t>
  </si>
  <si>
    <t>United Foods Inc</t>
  </si>
  <si>
    <t>Produce frozen fruits,veggies</t>
  </si>
  <si>
    <t>An investor group, comprised of James I. Tankersley and his family, acquired the remaining 63% interest, or 2. 616 mil class A common shares and 1.644 class B common shares, which it did not already own, in United Foods Inc for $3 per share, or a total value of $12.78 mil.</t>
  </si>
  <si>
    <t>Prestige Financial Corp</t>
  </si>
  <si>
    <t>Commerce Bancorp Inc (CB), Cherry Hill, New Jersey, merged with Prestige Financial Corp (PF), Flemington, New Jersey, in a stock swap transaction valued at $73.038 mil. CB offered . 4069 common shares per PF share. Based on CB's closing stock price of $34.94 on September 16, the last full trading day prior to the announcement, each PF share was valued at $16.25.</t>
  </si>
  <si>
    <t>Marquette Medical Systems Inc</t>
  </si>
  <si>
    <t>GE Medical Systems (GM), a unit of General Electric (GE), acquired all the outstanding common stock of Marquette Medical Systems (MM) in a stock swap transaction valued at an amended $897.289 mil. GM offered .508 GE common shares per MM share. Based on GE's closing stock price of $92.5625 on November 19, the last full trading day prior to ammendment, each MM share was valued at $47.0218. Originally, GM offer $45 in GE common stock per MM share.</t>
  </si>
  <si>
    <t>Consolidated Restaurant Op</t>
  </si>
  <si>
    <t>Own,op eating establishments</t>
  </si>
  <si>
    <t>Consolidated Restaurant Cos, a unit of Cracken Harkey &amp; Co LLC, acquired all the outstanding common stock of Spaghetti Warehouse Inc for $8 in cash per share, or a total value of $54.318 mil including the assumption of $10 mil in liabilities.</t>
  </si>
  <si>
    <t>Lockheed Martin (LM) merged with COMSAT via a two-tier merger valued at $2.668 bil. Initially, LM completed a tender offer to acquire a 49% stake, or 25,684,042 common shares, in COMSAT for $45.5 in cash per share by accepting 24,684,042 shares for a total value of $1.169 bil. In the second step, LM acquired the remaining 51% interest, or 26,732,370 common shares, which it did not already own, in COMSAT in a stock swap transaction valued at $1.337 bil. LM offered .5 common shares per COMSAT share. Based on LM's closing stock price of $100 on September 18, the last full trading day prior to the announcement, each COMSAT share was valued at $50. The transaction had been contingent on the enactment of pending legislation which removed the existing restrictions on authorized carrier ownership of COMSAT voting stock.</t>
  </si>
  <si>
    <t>OrCAD Inc</t>
  </si>
  <si>
    <t>Develop CAE and CAD software</t>
  </si>
  <si>
    <t>Summit Design Inc</t>
  </si>
  <si>
    <t>Dvlp circuit design softwa</t>
  </si>
  <si>
    <t>Summit Design Inc (SD) withdrew its agreement to merge with OrCAD Inc (OI) in a stock swap transaction valued at $70.566 mil. SD offered 1.05 common shares per OI share. Based on SD's closing stock price of $7 on September 18, the last full trading day prior to the announcement, each OI share was valued at $7.35. The transaction was to be accounted for as a pooling of interests.</t>
  </si>
  <si>
    <t>Gamma Biologicals Inc</t>
  </si>
  <si>
    <t>Mnfr blood transfusion prod</t>
  </si>
  <si>
    <t>Immucor Inc</t>
  </si>
  <si>
    <t>Mnfr,whl reagents</t>
  </si>
  <si>
    <t>Immucor Inc (II) acquired all the outstanding common stock of Gamma Biologicals Inc (GN) for $5.40 in cash per share, or a total value of $24.979. Previously, II completed its tender offer for GN by accepting 4,285,810, or 92.7% on GN's shares. The offer was conditioned upon 67% of GB's shares being tendered.</t>
  </si>
  <si>
    <t>Continental Mtg &amp; Equity Trust</t>
  </si>
  <si>
    <t>Transcontinental Realty Inv</t>
  </si>
  <si>
    <t>Transcontinental Realty Investors Inc (TRI) merged with Continental Mortgage &amp; Equity Trust (CMET) in a stock swap transaction valued at $62.194 mil. TRI offered 1. 181 common shares per CMET share. Based on TRI's closing stock price of $13.125 on September 21, the last full trading day prior to the announcement, each CMET share was valued at $15.50.</t>
  </si>
  <si>
    <t>United National Bancorp (UNB) , Bridgewater, New Jersey merged with Raritan Bancorp (RB), Bridgewater, New Jersey in a stock swap transaction valued at $98.218 mil. UNB offered 1.45 common shares per RB share. Based on UNB's closing stock price of $26.5 on September 21, the last full trading day prior to the announcement, each RB share was valued at $38.43. The transactionhad been accounted for as a pooling of interests.</t>
  </si>
  <si>
    <t>Bryan Steam Corp</t>
  </si>
  <si>
    <t>Mnfr boilers,water heaters</t>
  </si>
  <si>
    <t>Burnham Corp</t>
  </si>
  <si>
    <t>Mnfr climate control equip</t>
  </si>
  <si>
    <t>Burnham Corp (BC) acquired Bryan Steam Corp (BS) for $152 in cash per share, or a total value of $29.075 mil. Previously, BC completed its tender offer to acquire all the outstanding common stock of BS by accepting 185,749 common shares or 98.6% of the total common stock outstanding. The transaction was conditioned upon 90% of BS' shares being tendered.</t>
  </si>
  <si>
    <t>Golden Eagle Group Inc</t>
  </si>
  <si>
    <t>Pvd transp logistics svcs</t>
  </si>
  <si>
    <t>USFreightways Corp</t>
  </si>
  <si>
    <t>Pvd trucking svcs</t>
  </si>
  <si>
    <t>USFreightways Corp acquired all the outstanding common stock of Golden Eagle Group for $4.45 per share, or a total value of $30.244 mil.</t>
  </si>
  <si>
    <t>J&amp;L Specialty Steel Inc</t>
  </si>
  <si>
    <t>Mnfr steel,steel products</t>
  </si>
  <si>
    <t>Usinor SA</t>
  </si>
  <si>
    <t>Mnfr,whl steel</t>
  </si>
  <si>
    <t>Usinor SA (USN) acquired the remaining 46.521% stake, or 18.033 mil common shares, which it did not already own, in J&amp;L Specialty Steel Inc for an amended $6.375 in cash per share, or a total value of $114.96 mil. Earlier, USN completed its tender offer for J&amp;L by accepting 17,182, 323 shares, or 44.33%. Originally, USN offered $5.75 per share, or a total value of $103.69 mil.</t>
  </si>
  <si>
    <t>Ryerson Tull Inc</t>
  </si>
  <si>
    <t>Inland Steel Industries Inc</t>
  </si>
  <si>
    <t>Mnfr steel; holding company</t>
  </si>
  <si>
    <t>Inland Steel Industries Inc (ISI) acquired the remaining 13.588% stake, or 5.347 mil Class A common shares, which it did not already own, in Ryerson Tull Inc (RT) in a stock swap transaction valued at $61.151 mil. ISI offered an amended 0.61 common shares per RT class A shares. Based on ISI's closing stock price of $18.75 on October 15, the last full trading day prior to the amendment, each RT class A share was valued at $11.437. Originally, ISI agreed to acquire the remaining interest in RT for $55.938 mil. ISI offered .54 common shares per RT Class A share. Based on ISI's closing stock price of $19.375 on September 22, the last full trading day prior to the announcement, each RT share was valued at $10.463.</t>
  </si>
  <si>
    <t>Galoob Toys Inc</t>
  </si>
  <si>
    <t>Mnfr and whl toys</t>
  </si>
  <si>
    <t>Hasbro Inc (HI) acquired Galoob Toys (GT) for $12 in cash per share, or a total value of $221.565 mil. Previously HI completed its tender offer to acquire all the outstanding stock of GT, by accepting 16,851,673 shares, or 93%.</t>
  </si>
  <si>
    <t>Access Health Inc</t>
  </si>
  <si>
    <t>Pvd health care mgmt svcs</t>
  </si>
  <si>
    <t>HBO &amp; Co (HBO) acquired Access Health Inc (AH) in a stock swap transaction valued at $1.118 bil. HBO offered $43.50 in common stock per AH share, subject to a collar agreement. The transaction was accounted for as a pooling of interests.</t>
  </si>
  <si>
    <t>Fifth Third Bancorp (FTB), Cincinnati, Ohio, acquired Enterprise Federal Bancorp (EFB), West Chester, Ohio, in a stock swap transaction valued at $104.175 mil. FTB offered .68516 common shares per EFB share. Based on FTB's closing stock price of $63. 625 on September 25, the last full trading day prior to the announcement, each EFB share was valued at $43.593.</t>
  </si>
  <si>
    <t>Rally's Hamburgers Inc (RH) terminated its letter of intent to acquire GIANT GROUP Ltd (GG) in a stock swap transaction valued at $45.878 mil. RH offered 10.48 common shares per GG share. Based on RH's closing stock price of $1.094 on September 25, the last full trading day prior to the announcement, each GG share was valued at $11.465. Concurrently, RH terminated its letter of intent to acquire the remaining 74% interest, or 54.324 mil common shares, which it did not already own, in Checkers Drive-In Restaurants Inc in a stock swap transaction valued at $29.715 mil. Upon completion, RH was to be renamed Checkers.</t>
  </si>
  <si>
    <t>Glenway Financial Corp.</t>
  </si>
  <si>
    <t>Fidelity Financial of Ohio Inc (FFO), Cincinnati, Ohio, merged with Glenway Financial Corp (GFC), in a stock swap transaction valued at $46.538 mil. FFO offered 1.50 common shares per GFC share. Based on FFO's closing stock price of $13.25 on September 25, the last full trading day prior to the announcement, each GFC share was valued at $19.875.</t>
  </si>
  <si>
    <t>Newmont Gold Co</t>
  </si>
  <si>
    <t>Newmont Mining Corporation (NMC) acquired the remaining 6.25% stake, or 10,434,104 shares, of Newmont Gold Company (NGC) it did not already own in a stock swap transaction valued at $264. 825 mil. NMC offered 1.025 common shares per 1 NGC share. Based on NMC's closing price of $24.75 on September 28, the last full trading day prior to the announcement, each NGC share was valued at $25.37.</t>
  </si>
  <si>
    <t>Ovid Technologies Inc</t>
  </si>
  <si>
    <t>Pvd information retrieval svcs</t>
  </si>
  <si>
    <t>Wolters Kluwer US Corp</t>
  </si>
  <si>
    <t>Publish newspapers,books</t>
  </si>
  <si>
    <t>Wolters Kluwer US Corp, a unit of Wolters Kluwer NV, acquired all the outstanding common stock of Ovid Technologies Inc (OT) for $24. 59 in cash per share, or a total value of $193.447 mil by accepting 97% of the total common stock outstanding or 6, 089,679 shares. The offer had been conditioned upon at least a majority of OT's shares being tendered.</t>
  </si>
  <si>
    <t>Autonomous Technologies Corp</t>
  </si>
  <si>
    <t>Mnfr,whl excimer laser instr</t>
  </si>
  <si>
    <t>Summit Technology Inc</t>
  </si>
  <si>
    <t>Mnfr,whl opthalmic laser sys</t>
  </si>
  <si>
    <t>Summit Technology Inc (ST) acquired all the outstanding common stock of Autonomous Technologies Corp (AT) for $195.62 mil. The consideration consisted of $3. 04 in cash and .727 common shares per share held. Based on ST's closing stock price of $16.25 on April 28, the last full trading day prior to the disclosure of the final terms, each AT share was valued at $14.854. Originally, ST announced that it would acquire AT for 11.65 mil common shares and an estimated $50 mil in cash.</t>
  </si>
  <si>
    <t>Carnegie Group Inc</t>
  </si>
  <si>
    <t>Operate laboratories</t>
  </si>
  <si>
    <t>Logica Inc(Logica PLC)</t>
  </si>
  <si>
    <t>Logica Inc (LI), a unit of Logica PLC, acquired all the outstanding common stock of Carnegie Group Inc (CGI) for $5 in cash per share, or a total value of $34.734 mil, via a tender offer. The offer was conditioned upon at least a majority of CGI's shares being tendered.</t>
  </si>
  <si>
    <t>Richey Electronics Inc</t>
  </si>
  <si>
    <t>Arrow Electronics Inc acquired all of the outstanding common stock of Richey Electronics for $10.50 in cash per share, or a total value of $101.772 mil.</t>
  </si>
  <si>
    <t>FemRx Inc</t>
  </si>
  <si>
    <t>Johnson &amp; Johnson Inc (JJ) acquired FemRx (FR) for $2.35 in cash per share, or a total value of $21.574 mil. Previously, JJ completed its tender offer to acquire all the outstanding common stock of FR, by accepting 8,736,973 shares, or 93% of FR's shares. The offer was conditioned upon at least 90% of FR's shares being tendered.</t>
  </si>
  <si>
    <t>Insignia Properties Trust</t>
  </si>
  <si>
    <t>Apartment Investment and Management Co (AIM) acquired the remaining 25% stake, or 4. 86 mil common shares, that it did not already own in Insignia Properites Trust (IPT) in a stock swap transaction valued at $63.619 mil. AIM offered 0.3601 common shares per IPT share. Based on AIM's closing stock price of $36.375 on October 2, the last full trading day prior to the announcement, each IPT share was valued at $13.09.</t>
  </si>
  <si>
    <t>SEQUUS Pharmaceuticals Inc</t>
  </si>
  <si>
    <t>Develop drug delivery systems</t>
  </si>
  <si>
    <t>ALZA Corp (AC) acquired SEQUUS Pharmaceuticals Inc (SP) in a stock swap transaction valued at $577. 442 mil. AC offered .4 common shares per SP share. Based on AC's closing stock price of $42.4375 on October 2, the last full trading day prior to the announcement, each SP share was valued at $16.975. The transaction was accounted for as a pooling of interests, and, was subject to shareholder approval.</t>
  </si>
  <si>
    <t>Vanguard Cellular Systems Inc</t>
  </si>
  <si>
    <t>Provide cellular telephone svc</t>
  </si>
  <si>
    <t>AT&amp;T Corp acquired all the outstanding common stock of Vanguard Cellular Systems Inc (VCS) for $1.649 bil, including the assumption of $600 mil in liabilities. AT&amp;T offered a choice of $23 in cash or .3987 common shares per VCS share, whereby 50% of the total consideration was payable in cash and 50% in common stock. The actual consideration was either $23 in cash per share or $10.95 in cash and .3134 common shares per share.</t>
  </si>
  <si>
    <t>N2K Inc</t>
  </si>
  <si>
    <t>CDNow Inc</t>
  </si>
  <si>
    <t>Retail music prods on Internet</t>
  </si>
  <si>
    <t>CDNow Inc (CD) merged with N2K (NK) Inc to form a new co (NC) in a stock swap transaction valued at $105. 856 mil. NK common shareholders were to receive . 83 NC common shares and CD common stockholders were to receive 1 NC common share per share held. Based on CD's closing stock price of $8.625 on October 21, the last full trading day prior to the announcement, each NK share was valued at $7.159. Upon completion, the merged entity was to temporarily be named CDNow/N2K Inc and later be named CDNow Inc.</t>
  </si>
  <si>
    <t>Clear Channel Communications Inc (CC) merged with Jacor Communications Inc (JC) in a stock swap transaction valued at an amended $6.603 bil, including the assumption of $1.742 bil in liabilities. CC offered an amended 1.15732 common shares per JC share. Based on CC's closing stock price of $68.3125 on April 29, the last full trading day prior to the amendment, each JC share was valued at $79. 059. Originally, CC offered an estimated 1.4 common shares per JC share.</t>
  </si>
  <si>
    <t>PNB Financial Group</t>
  </si>
  <si>
    <t>Bank &amp; holding company</t>
  </si>
  <si>
    <t>Western Bancorp (WB), Newport Beach, California merged with PNB Financial Group (PNB), Newport Beach, California, in a stock swap transaction valued at $89.714 mil. WB offered 1 common share per PNB share. Based on WB's closing stock price of $29.625 on October 6, the last full trading day prior to the announcement, each PNB share was valued at $29.625. The transaction was accounted for as a pooling of interests.</t>
  </si>
  <si>
    <t>Red Brick Systems Inc</t>
  </si>
  <si>
    <t>Informix Corp</t>
  </si>
  <si>
    <t>Dvlp, whl database software</t>
  </si>
  <si>
    <t>Informix Corp (IC) acquired Red Brick Systems Inc (RB) in a stock swap transaction valued at $33.57 mil. IC offered .6 common shares per RBS share. Based on IC's closing stock price of $4. 34375 on October 6, the last full trading day prior to the announcement, each RB share was valued at $2.606.</t>
  </si>
  <si>
    <t>Resource America Inc</t>
  </si>
  <si>
    <t>Pvd asset management svcs</t>
  </si>
  <si>
    <t>Radcliffe Mitchell &amp; Weiss</t>
  </si>
  <si>
    <t>Radcliffe Mitchell &amp; Weiss withdrew its unsolicited offer to acquire all the outstanding common stock of Resource America Inc for $15 per share, or a total value $308.93 mil.</t>
  </si>
  <si>
    <t>Mecklermedia Corp</t>
  </si>
  <si>
    <t>Penton Media Inc</t>
  </si>
  <si>
    <t>Publish bus,trade magazines</t>
  </si>
  <si>
    <t>Penton Media Inc acquired all of outstanding common stock of Mecklermedia Corp (MM) for $29 in cash per share, or a total value of $273.726 mil. The offer was conditioned upon at least a majority of MM's shares being tendered. Mr. Alan Meckler agreed to tender his 30% stake in MM in the event of a third party offer for MM.</t>
  </si>
  <si>
    <t>Allegiance Corp</t>
  </si>
  <si>
    <t>Pvd health care cost-mgmt svcs</t>
  </si>
  <si>
    <t>Cardinal Health Inc (CH) acquired all the outstanding common stock of Allegiance Corp (AC) in a stock swap transaction valued at $5.356 bil, including the assumption of approximately $890 mil in liabilities. CH offered .415 common shares per AC share, on a 3-for-2 pre-split basis. Based on CH's closing stock price of $92.6875 on October 8, the last full trading day prior to the announcement, each AC share was valued at $38.465. The transaction was accounted for as a pooling of interests.</t>
  </si>
  <si>
    <t>Biochem International Inc</t>
  </si>
  <si>
    <t>Smiths Industries PLC</t>
  </si>
  <si>
    <t>Mnfr switchgear-board equip</t>
  </si>
  <si>
    <t>Smiths Industries PLC acquired all the outstanding common stock of Biochem International Inc for $6.28 per share, or a total value of $82.496 mil.</t>
  </si>
  <si>
    <t>Vanstar Corp</t>
  </si>
  <si>
    <t>InaCom Corp</t>
  </si>
  <si>
    <t>Pvd voice/data IT svcs</t>
  </si>
  <si>
    <t>Inacom Corp (IC) merged with Vanstar Corp (VC) in a stock swap transaction valued at $886.197 mil. The consideration consisted of . 64 IC common shares per VC share, $195 mil for all the outstanding preferred stock, and the assumption of $120 mil in liabilities. Based on IC's closing stock price of $16.8125 on October 8, the last full trading day prior to the announcement, each VC share was valued at $10.76. The transaction was accounted for as a pooling of interests.</t>
  </si>
  <si>
    <t>Consilium Inc</t>
  </si>
  <si>
    <t>Applied Materials Inc (AM) acquired Consilium Inc (CI) in a stock swap transaction valued at $45.231 mil. AM offered between .182 and .165 common shares per CI share, subject to a collar agreement. Based on AM's closing stock price of $23.625 on October 9, the last full trading day prior to the announcement, each CI share was valued at $4.30, with the value based on the high ratio in the range. The transaction was accounted for as a pooling of interests.</t>
  </si>
  <si>
    <t>A management-led investor group, comprised of Chairman and Chief Executive Nelson Peltz and President and Chief Operating Officer Peter May, and Pepper Financial Partners, withdrew its plans to acquire the remaining 80.38% interest, or 24.588 mil common shares, which it did not already own, in Triarc Cos for $18 in cash and securities per share, or a total value of $525.301 mil, in a leveraged buyout transaction.</t>
  </si>
  <si>
    <t>Safeway Inc (SI) acquired all the outstanding common stock of Dominick's Supermarkets Inc (DSI) for $49 in cash per share, or a total value of $1.854 bil, including the assumption of approximately $646.2 mil in liabilities. Previously, SI completed its tender offer for DSI by accepting 21.476 mil common shares, or 99.7% of DSI's shares The offer was conditioned upon at least 50% of DSI's shares being tendered on a fully-diluted basis.</t>
  </si>
  <si>
    <t>ASV Inc</t>
  </si>
  <si>
    <t>Mnfr,whl construction machines</t>
  </si>
  <si>
    <t>US - Caterpillar Inc (CI) raised its stake in ASV Inc (AI), a manufacturer of construction machinery, to up to 51% from 13.15% by acquiring warrants exercisable into CI common stock at a price of $21 per share. Concurrently, CI acquired a 13.15% stake, or 1 mil common shares, in AI for $18 per share, or a total value of $18 mil.</t>
  </si>
  <si>
    <t>Luther Medical Products Inc</t>
  </si>
  <si>
    <t>Manufacture catheter systems</t>
  </si>
  <si>
    <t>Becton Dickinson &amp; Co</t>
  </si>
  <si>
    <t>Mnfr,whl med devices,equipment</t>
  </si>
  <si>
    <t>Becton Dickinson and Co (BDC) acquired all of the outstanding common stock of Luther Medical Products Inc for an amended $4.7 in cash per share, or a total value of $16.066 mil. Originally, BDC offered $4.62 cash per share, or a total value of $15.744 mil.</t>
  </si>
  <si>
    <t>Mayflower Co-Operative Bank</t>
  </si>
  <si>
    <t>State chartered coop bank</t>
  </si>
  <si>
    <t>First Finan Corp,Providence,RI</t>
  </si>
  <si>
    <t>First Financial Corp(FFC), located in Providence, Rhode Island, withdrew its offer to acquire Mayflower Co- Operative Bank (MCO) in a stock swap transaction valued at $25.2 mil. FFC offered 1.7 common shares per MCO share. based on FFC's closing stock price of October 13, the last full trading day prior to the announcement, each MCO share was valued at $20.0</t>
  </si>
  <si>
    <t>1st Bergen Bancorp</t>
  </si>
  <si>
    <t>Kearny Federal Savings Bank</t>
  </si>
  <si>
    <t>Kearny Federal Savings Bank, Kearny, New Jersey, acquired all the outstanding common stock of 1st Bergen Bancorp (BB),Woodridge, New Jersey via a tender offer for $24 per share, or a total value of $64.658 mil. The offer was conditioned upon at least a majority of BB's shares being tendered.</t>
  </si>
  <si>
    <t>Oryx Energy Co</t>
  </si>
  <si>
    <t>Kerr-McGee Corp</t>
  </si>
  <si>
    <t>Kerr-McGee Corp (KM) acquired Oryx Energy Co (OE) in a stock swap transaction valued at $3.141 bil, including the assumption of $1.3 bil in liabilities. KM offered .369 common shares per OE share. Based on KM's closing stock price of $46. 9375 on October 14, the last full trading day prior to the announcement, each OE share was valued at $17.32. The transaction was accounted for as a pooling of interests.</t>
  </si>
  <si>
    <t>BRC Holdings Inc</t>
  </si>
  <si>
    <t>Develop health care software</t>
  </si>
  <si>
    <t>Affiliated Computer Services Inc (AC) acquired the remaining 49% stake, or 6.940 mil common shares, which it did not already own, in BRC Holdings Inc (BR) for $19 in cash per share, or a total value of $131.861 mil. Previously, AC completed its tender offer to acquire a 51% interest, or 7.223 mil common shares, in BR for $19 in cash per share, or a total value of $137.243 mil.</t>
  </si>
  <si>
    <t>Affiliated Computer Services Inc (AC) completed its tender offer to acquire a 51% interest, or 7.223 mil common shares, in BRC Holdings Inc (BR) for $19 in cash per share, or a total value of $137.24 mil. Upon completion, AC planned to acquire the remaining 49% stake, or 6.940 mil common shares, which it did not already own, in BR for $19 in cash per share, or a total value of $131.861 mil.</t>
  </si>
  <si>
    <t>Dental Care Alliance Inc</t>
  </si>
  <si>
    <t>Pvd dental mgmt services</t>
  </si>
  <si>
    <t>Gentle Dental Service Corp</t>
  </si>
  <si>
    <t>Pvd dental care svcs</t>
  </si>
  <si>
    <t>Gentle Dental Service Corp (GD) merged with Dental Care Alliance Inc (DC) to form InterDent Inc (ID) in a stock swap transaction valued at $67.541 mil. GD common shareholders were to receive 1 ID common share and DC common shareholders were to receive 1.67 ID common shares per share held. Based on GD's closing stock price of $5.75 on October 15, the last full trading day prior to the announcement, each DC share was valued at $9.6025. The transaction was accounted for as a pooling of interests.</t>
  </si>
  <si>
    <t>Greyhound Lines Inc</t>
  </si>
  <si>
    <t>Pvd inter city bus transp svcs</t>
  </si>
  <si>
    <t>Laidlaw Inc (LI) acquired all of the outstanding common stock of Greyhound Lines Inc (GI) for $6.5 in cash per common share, or a total value of $604.158 mil, including the assumption of approximately $185 mil in liabilities.</t>
  </si>
  <si>
    <t>McKesson Corp (MC) merged with HBO &amp; Co (HB) in a stock swap transaction valued at $14.32 bil. MC offered .37 common shares per HB share. Based on MC's closing stock price of $88.6875 on October 16, the last full trading day prior to the announcement, each HB share was valued at $32.814. Upon completion, the merged company was named McKesson HBOC. The transaction was accounted for as a pooling of interests.</t>
  </si>
  <si>
    <t>Bayard Drilling Technologies</t>
  </si>
  <si>
    <t>Nabors Industries Inc</t>
  </si>
  <si>
    <t>Pvd oil and gas drilling svcs</t>
  </si>
  <si>
    <t>Nabors Industries (NI) acquired all the outstanding common stock of Bayard Drilling Technologies Inc (BD) in a stock swap transaction valued at an amended $200.486 mil, including the assumption of an estimated $120 mil in liabilities. NI offered $.30 in cash and an amended .3375 common shares per BD share. Based on NI's closing stock price of $12.1875 on February 11, the last full trading day prior to the amendment, each BD share was valued at $4.413. Originally, in October 1998, NI offered $.3 in cash and . 375 common shares per BD share, or a total value of $246.628.</t>
  </si>
  <si>
    <t>Colonial Gas Co</t>
  </si>
  <si>
    <t>Gas distribution utility</t>
  </si>
  <si>
    <t>US - Eastern Enterprises acquired the entire share capital of Colonial Gas Co, a Lowell-based gas distribution utility company, for USD 491. 732 mil, including the assumption of USD 163 mil in liabilities. Eastern Enterprises offered a choice of USD 37.5 in cash per share, or 0.85239 Eastern Enterprise common share for each Colonial Gas Co share held, subject to proration whereby 82% consisted of common shares and the remaining 18% consisted of cash.</t>
  </si>
  <si>
    <t>DepoTech Corp</t>
  </si>
  <si>
    <t>Mnfr sustained-release prods</t>
  </si>
  <si>
    <t>SkyePharma PLC</t>
  </si>
  <si>
    <t>Pharmaceutical Preparation Manufacturing</t>
  </si>
  <si>
    <t>SkyePharma PLC (SP) acquired all the outstanding common stock of DepoTech Corp (DC) in a stock swap transaction valued at $52.348 mil. The consideration consisted of . 186 American Depositary Shares (ADS) per DC share held, and up to an additional .185 ADS shares per DC share in profit-related payments. Based on SP's closing stock price of $9.625 on October 16, the last full trading day prior to the announcement, each DC share was valued at $1.79.</t>
  </si>
  <si>
    <t>Clorox Co (CO) acquired First Brands Corp (FC) in a stock swap transaction valued at $2. 027 bil, including the assumption of $440 mil in liabilities. CO offered $39 in common stock per FC common share, subject to a collar agreement. The transaction was accounted for as a pooling of interests.</t>
  </si>
  <si>
    <t>Karrington Health Inc</t>
  </si>
  <si>
    <t>Pvd daily assistance svcs</t>
  </si>
  <si>
    <t>Sunrise Assisted Living Inc</t>
  </si>
  <si>
    <t>Pvd assisted living svcs</t>
  </si>
  <si>
    <t>Sunrise Assisted Living Inc (SU) acquired all the outstanding common stock of Karrington Health Inc (KH) in a stock swap transaction valued at $184.131 mil, including the assumption of $102 mil in liabilities. SU offered .3333 common shares per KH share. Based on SU's closing stock price of $36 on October 16, the last full trading day prior to the announcement, each KH share was valued at $11.999.</t>
  </si>
  <si>
    <t>Lifeline Systems Inc</t>
  </si>
  <si>
    <t>Pvd personal response svcs</t>
  </si>
  <si>
    <t>Protection One Inc (PO), a majority-owned unit of Western Resources Inc, terminated its agreement to acquire all the outstanding common stock of Lifeline Systems (LS) to form a new company (NC) in a stock swap transaction valued at $190. 001 mil. LS shareholders were to receive $14.50 in cash and 1.3182 NC shares per share held, subject to a collar agreement. PO shareholders were to receive 1 NC share per share held. Based on PO's closing stock price of $11. 5625 on October 16, the last full trading day prior to the announcement, each LS share was valued at $29.742.</t>
  </si>
  <si>
    <t>Kroger Co</t>
  </si>
  <si>
    <t>Kroger Co (KC) merged with Fred Meyer Inc (FM) in a stock swap transaction valued at $12.89 bil, including the assumption of approximately $5 bil in liabilities. KC offered 1 common share per FM share. Based on KC's closing stock price of $48.75 on October 16, the last full trading day prior to the announcement, each FM share was valued at $48.75. Upon completion, FM was to hold approximately 38% of the combined company which was to retain the Kroger Co name. The transaction was to be accounted for as a pooling of interests.</t>
  </si>
  <si>
    <t>Shiva Corp</t>
  </si>
  <si>
    <t>Intel Corp acquired all the outstanding common stock of Shiva Corp for $6 in cash per share, or a total value of $184.208 mil.</t>
  </si>
  <si>
    <t>Transaction Network Services</t>
  </si>
  <si>
    <t>Pvd network communication svcs</t>
  </si>
  <si>
    <t>Transaction Network Services cancelled its search for buyer for the company. Previously, in October 1998, Transaction Network Services Inc announced that it was seeking buyer for the company. The bidders included GTECH Corp.</t>
  </si>
  <si>
    <t>Capital Factors Inc</t>
  </si>
  <si>
    <t>Pvd short-term bus credit svcs</t>
  </si>
  <si>
    <t>Union Planters Bank NA,TN</t>
  </si>
  <si>
    <t>Union Planters Bank National Association, a unit of Union Planters Corp, acquired the remaining 7.73%, or 95,1203 common shares that it did not already own in Capital Factors Holding Inc, for $17. 50 in cash per share, or a total value of $22.249 mil.</t>
  </si>
  <si>
    <t>Centennial HealthCare Corp</t>
  </si>
  <si>
    <t>Welsh Carson Anderson &amp; Stowe withdrew its agreement to acquire all the outstanding common stock of Centennial Healthcare Corp for $16 in cash per share, or a total value of $292.109 mil, including the assumption of approximately $100 mil in liabilities</t>
  </si>
  <si>
    <t>Southwest Bancorp of Texas,TX</t>
  </si>
  <si>
    <t>Southwest Bancorp of Texas Inc (SBT), Houston, Texas acquired Fort Bend Holding Corp (FBH), Rosenberg, Texas, in a stock swap transaction valued at $65.15 mil. SBT offered 1.45 common shares per FBH common share. Based on SBT's closing stock price of $15 on October 20, the last full trading day prior to the announcement, each SBT share was valued at $21.75. The transaction accounted for as a pooling of interests.</t>
  </si>
  <si>
    <t>Newell Co (NC) merged with Rubbermaid Co (RC) in a stock swap transaction valued at $6. 33 bil, including the assumption of an estimated $500 mil in liabilities. NW offered .7883 common shares per RC share. Based on NW's closing stock price of $49. 063 on October 20, the last full trading day prior to the announcement, each RC share was valued at $38.676. The transaction had been accounted for as a pooling of interests. Upon completion, the merged company was to be named Newell Rubbermaid Inc.</t>
  </si>
  <si>
    <t>BA Merchant Svcs(BankAmerica)</t>
  </si>
  <si>
    <t>Bank of America National Trust</t>
  </si>
  <si>
    <t>Bank of America National Trust &amp; Savings Association (BA), a unit of BankAmerica, acquired the remaining 32.8% interest, or 16,267,042 Class A common shares, which it did not already own, in BA Merchant Services Inc (BAM) for an amended $20.50 mil in cash per share, or a total value of $339.426 mil. Originally, BAC planned to acquire BAM for $15.50 per share.</t>
  </si>
  <si>
    <t>CardioGenesis Corp</t>
  </si>
  <si>
    <t>Eclipse Surgical Technologies</t>
  </si>
  <si>
    <t>Eclipse Surgical Technologies Inc (ES) merged with Cardiogenesis Corp (CC) in a stock swap transaction valued at $92.71 mil. ES offered .8 common shares per CC share. Based on ES's closing stock price of $8. 78125 on October 21, the last full trading day prior to the announcement, each CC share was valued at $7.025. The transaction was accounted for as a pooling of interests.</t>
  </si>
  <si>
    <t>Essex International Inc</t>
  </si>
  <si>
    <t>Mnfr electric cable and wire</t>
  </si>
  <si>
    <t>Superior Telecom Inc</t>
  </si>
  <si>
    <t>Mnfr copper wire/cable prod</t>
  </si>
  <si>
    <t>Superior Telecom Inc (ST) acquired all the outstanding common stock of Essex International Inc (EI), including a 48% stake from Bessemer Holdings LP and affiliates, in a two-tier transaction valued at $1.431 bil, including the assumption of $419 mil in liabilities. Earlier, ST completed its tender offer to acquire 22, 562,135 common shares, or the initial 76.4% interest in EI, for $32 in cash per share, or a total value of $722 mil. The offer was conditioned upon at least 51% of EI's shares being tendered. Subsequently, ST was to acquire the remaining 23.6% interest for $222.921 mil. ST offered .64 preferred shares convertible into ST common shares at $56 per share for every EI share held.</t>
  </si>
  <si>
    <t>Lab Specialists of America Inc</t>
  </si>
  <si>
    <t>Provide laboratory testing svc</t>
  </si>
  <si>
    <t>Kroll-O Gara Co</t>
  </si>
  <si>
    <t>Kroll O'Gara Co (KO) acquired Laboratory Specialists Of America Inc (LS) in a stock swap transaction valued at $30.062 mil. KO offered .2102 KO common shares per LS share. Based on KO's closing stock price of $30 on December 4, the last full trading day prior to the announcement, each LS share was valued at $6.306. Originally, KO offered $5 in KO common shares for each LS common share. The transaction was accounted for as a pooling of interests.</t>
  </si>
  <si>
    <t>Lighthouse Weston Corp</t>
  </si>
  <si>
    <t>Lighthouse Weston Corp (LW), a unit of EG&amp;G Inc, acquired Lumen Technologies Inc (LT) for $7.75 in cash per share, and the assumption of an undisclosed amount in liabilities, or a total value of $160.507 mil. Previously, LW completed its tender offer to acquire all the outstanding common stock of LT by accepting 18,754,556 shares, or 93%. The offer was to be conditioned upon at least a majority of LI's shares being tendered.</t>
  </si>
  <si>
    <t>TheraTech Inc</t>
  </si>
  <si>
    <t>Mnfr drug delivery systems</t>
  </si>
  <si>
    <t>Watson Pharmaceuticals Inc (WP) acquired TheraTech Inc (TI) in a stock swap transaction valued at $312. 686 mil. WP offered $13.91 in common stock, subject to a collar agreement. The transaction had been accounted for as a pooling of interests.</t>
  </si>
  <si>
    <t>Trans World Entertainment Corp</t>
  </si>
  <si>
    <t>Own,op media,ent ret stores</t>
  </si>
  <si>
    <t>Trans World Entertainment Corp (TWE) acquired all the outstanding common stock of Camelot Music Holdings (CM) in a stock swap transaction valued at $398.769 mil. TWE offered 1.9 common shares per CM share. Based on TWE's closing stock price of $20. 625 on October 23, the last full trading day prior to the announcement, each CM was valued at $39.188. The transaction was to be accounted for as a pooling of interests.</t>
  </si>
  <si>
    <t>GeneMedicine Inc</t>
  </si>
  <si>
    <t>Mnfr,dvlp gene therapy prods</t>
  </si>
  <si>
    <t>MegaBios Corp</t>
  </si>
  <si>
    <t>Mnfr,dvlp gene delivery sys</t>
  </si>
  <si>
    <t>MegaBios Corp (MBC) merged with GeneMedicine Inc (GMI) in a stock swap transaction valued at $34.86 mil. MBC offered .571 common shares per GMI share. Based on MBC's closing stock price of $4.188 on October 23, the last full trading day prior to the announcement, each GMI share was valued at $2.391. Upon completion, the combined company was named Valentis Inc.</t>
  </si>
  <si>
    <t>Fulltime Software Inc</t>
  </si>
  <si>
    <t>Dvlp software for UNIX/Windows</t>
  </si>
  <si>
    <t>Legato Systems Inc</t>
  </si>
  <si>
    <t>Legato Systems (LS) agreed to acquire Fulltime Software Inc (FS) in a stock swap transaction valued at $69.378 mil. The shares were valued based on LS's closing stock price of $40.3125 on October 23, the last full trading day prior to the announcement. The transaction was accounted for as a pooling of interests.</t>
  </si>
  <si>
    <t>Citizens Corp(Hanover Ins Co)</t>
  </si>
  <si>
    <t>Auto,workers comp insurance co</t>
  </si>
  <si>
    <t>Allmerica Financial Corp (AF) completed its tender offer to acquire the remaining 18% of common stock, or 6.35 mil common shares, of Citizens Corp (CC), a majority-owned unit of Hanover Insurance Co, for an amended $33.25 in cash per share, or a total value of $212.367 mil. Originally, AF planned to acquire CC for $29 in cash per share, or a total value of $185.055 mil.</t>
  </si>
  <si>
    <t>Interstate/Johnson Lane Inc</t>
  </si>
  <si>
    <t>Investment banking holding co</t>
  </si>
  <si>
    <t>Wachovia Corp (WC), merged with Interstate/Johnson Lane (IJL) Inc in a stock swap transaction valued at $203. 603 mil. WC offered $32 in common stock per IJL share. Upon completion, the new company was named Wachovia Securities. The transaction had been accounted for as a pooling of interests.</t>
  </si>
  <si>
    <t>First Coastal Bankshares Inc</t>
  </si>
  <si>
    <t>Centura Banks Inc (CBI) located in, Rocky Mount, North Carolina, acquired First Coastal Bancshares Inc (FCB) in a stock swap transaction valued at $124. 761 mil. CBI offered .34 common shares per FCB share, subject to a collar agreement. Based on CBI's closing stock price of October 27, the last full trading day prior to the announcement, each FCB share was valued at $23.8. The transaction had been accounted for as a pooling of interests.</t>
  </si>
  <si>
    <t>General Scanning Inc</t>
  </si>
  <si>
    <t>Mnfr optical test equip</t>
  </si>
  <si>
    <t>Lumonics Inc</t>
  </si>
  <si>
    <t>Mnfr laser, laser systems</t>
  </si>
  <si>
    <t>Lumonics Inc (LI), a majority-owned unit of Sumitomo Heavy Industries Ltd, merged with General Scanning Inc (GS) in a stock swap transaction valued at $98.545 mil. LI offered 1.347 common shares per GS share. Based on LI's closing stock price of October 27, the last full trading day prior to the announcement, each GS share was valued at $7.664. Upon completion, the new merged company was named GSI Lumonics Inc.</t>
  </si>
  <si>
    <t>Superior Energy Services Inc</t>
  </si>
  <si>
    <t>Pvd oilfield svcs</t>
  </si>
  <si>
    <t>Parker Drilling Co</t>
  </si>
  <si>
    <t>Provide drilling solutions</t>
  </si>
  <si>
    <t>Parker Drilling Co (PD) withdrew its agreement to merge with Superior Energy Services Inc (SE) in a stock swap transaction valued at an amended $141.743 mil including the assumption of $25 mil in liabilities. PD offered .975 common shares per SE share. Based on PD's closing stock price of $4. 0625 on November 27, the last full trading day prior to the announcement of the amended terms, each SE share was valued at $3.961. Originally, PD offered .9 common shares. The transaction was to be accounted for as a pooling of interests.</t>
  </si>
  <si>
    <t>Transition Systems Inc</t>
  </si>
  <si>
    <t>Dvlp,whl mgmt info tech sys</t>
  </si>
  <si>
    <t>Eclipsys Corp</t>
  </si>
  <si>
    <t>Dvlp clinical software</t>
  </si>
  <si>
    <t>Eclipsys Corp (EC) acquired Transition Systems Inc (TS) in a stock swap transaction valued at $284.715 mil. EC offered .525 common shares per TS share. Based on EC's closing stock price of $25. 875 on October 28, the last full trading day prior to the announcement, each TS share was valued at $13.584. The transaction was accounted for as a pooling of interests.</t>
  </si>
  <si>
    <t>IAC Holdings Corp agreed to acquire the remaining 21% stake, or .627 mil common shares, it did not already own in Industrial Acoustics Co for $11in cash per share, or a total value of $7.5 mil.</t>
  </si>
  <si>
    <t>Pool Energy Services Co</t>
  </si>
  <si>
    <t>Nabors Industries (NI) acquired the remaining 95.2% interest, or 20.024 mil common shares, which it did not already own, in Pool Energy Services Co (PE) in a stock swap transaction valued at a sweetened $332.793 mil. NI offered 1.025 common shares per PE share. Based on NI's closing stock price of $16.0625 on January 8, the last full trading day prior to the announcement, each PE share was valued at $16.464. Included in the value was NI's acquisition of a 5.2% stake, or 1.089 mil common shares, for $15.679 mil in open market transactions. Originally in October 1998, NI offered $6.125 in cash and .481 common shares per PE share.</t>
  </si>
  <si>
    <t>Reconditioned Systems Inc</t>
  </si>
  <si>
    <t>Mnfr office furniture</t>
  </si>
  <si>
    <t>Cort Investment Group Inc</t>
  </si>
  <si>
    <t>Manufacture office furniture</t>
  </si>
  <si>
    <t>Cort Investment Group Inc withdrew its definitive agreement to acquire all the outstanding common stock of Reconditioned Systems Inc for $8.6 mil in cash.</t>
  </si>
  <si>
    <t>AquaPenn Spring Water Co Inc</t>
  </si>
  <si>
    <t>Produce,whl spring water</t>
  </si>
  <si>
    <t>Groupe Danone SA</t>
  </si>
  <si>
    <t>Produce,whl dairy products</t>
  </si>
  <si>
    <t>Danone Group (DG) acquired all the outstanding common stock of AquaPenn Spring Water Company Inc (AP) for $13 in cash per share, or a total value of $110.301 mil. Earlier, DG completed its tender offer for AP by accepting 8.373 mil shares, or about 95% of AP's shares. The offer was conditioned upon at least 80% of AP's shares being tendered on a fully diluted basis. Upon completion, AP became a wholly-owned unit of Danone International Brands Inc, an indirect subsidiary of DG.</t>
  </si>
  <si>
    <t>Boole &amp; Babbage Inc</t>
  </si>
  <si>
    <t>BMC Software Inc (BM) acquired Boole &amp; Babbage Inc (BB) in a stock swap transaction valued at $1 bil. BM offered .675 common shares per BB share. Based on BM's closing stock price of $48. 0625 on October 30, the last full trading day prior to the announcement, each BB share was valued at $32.442. The transaction was to be accounted for as a pooling of interests.</t>
  </si>
  <si>
    <t>Intl Manufacturing Svcs Inc</t>
  </si>
  <si>
    <t>Pvd electn manufacturing svcs</t>
  </si>
  <si>
    <t>Celestica Inc</t>
  </si>
  <si>
    <t>Celestica Inc (CEL) merged with International Manufacturing Services Inc (IMS), a majority-owned unit of Prudential Equity Investors and Oak Investment Partners, in a stock swap transaction valued at $173. 156 mil. CEL offered a choice of $7 in cash or .4 subordinate voting share per IMS Class A and Class B share and the assumption of $20 mil in liabilities. Based on CEL's closing stock price of $18.3125 on October 30, the last full trading day prior to the announcement, each IMS share was valued at $7.325.</t>
  </si>
  <si>
    <t>LandCARE USA Inc</t>
  </si>
  <si>
    <t>Pvd landscape,tree svcs</t>
  </si>
  <si>
    <t>0781</t>
  </si>
  <si>
    <t>ServiceMaster Co</t>
  </si>
  <si>
    <t>Pvd maintenance svcs</t>
  </si>
  <si>
    <t>ServiceMaster Co (SC) acquired LandCARE USA (LC) in a stock swap transaction valued at an estimated $167. 51 mil. SC offered .55 common shares per LC share. Based on SC's closing stock price of $18.8125 on March 17, 1999, the last full trading day prior to the announcement of the definitive terms, each LC share was valued at $10.347. Originally, SC agreed to acquire LC in a stock swap transaction valued at an estimated $178.05 mil. SC offered approximately $11 in common stock per LC common share, subject to a collar agreement.</t>
  </si>
  <si>
    <t>Quality Semiconductor</t>
  </si>
  <si>
    <t>Integrated Device Tech Inc</t>
  </si>
  <si>
    <t>Integrated Device Technology Inc (IT) acquired Quality Semiconductor Inc (QS) in a stock swap transaction valued at $36.054 mil. IT offered . 6875 common shares per QS share. Based on IT's closing stock price of $6.938 on October 30, the last full trading day prior to the announcement, each QS share was valued at $4.77.</t>
  </si>
  <si>
    <t>Resource Bancshares Mtg Grp,SC</t>
  </si>
  <si>
    <t>In November 1998, Resource Bancshares Mortgage Group Inc, Columbia, South Carolina, announced that it was seeking a buyer for the company.</t>
  </si>
  <si>
    <t>Sofamor Danek Group Inc</t>
  </si>
  <si>
    <t>Mnfr,whl spinal,cranial device</t>
  </si>
  <si>
    <t>Medtronic Inc (MD) merged with Sofamor Danek Group Inc (SD) in a stock swap transaction valued at $3.603 bil. Medtronic offered 1. 65159 common shares per SD share, subject to a collar agreement. Based on MD's closing stock price of $70. 9375 on January 26, the last full trading day prior to completion, each SD share was valued at $117.15. The transaction was accounted for as a pooling of interests.</t>
  </si>
  <si>
    <t>Costilla Energy Inc</t>
  </si>
  <si>
    <t>An investor group, including Cadell S. Liedtke, raised its stake to 52.76% from 23.64% in Costilla Energy Inc by acquiring 2,869,900 common shares in the open market.</t>
  </si>
  <si>
    <t>Cortland First Financial,NY</t>
  </si>
  <si>
    <t>CNY Financial Corp,NY</t>
  </si>
  <si>
    <t>CNY Financial Corp(CNY) terminated its unsolicited offer to acquire all the outstanding common stock of Cortland First Financial Corp (CFC) for $72.890 mil. The consideration for each CFC share was to consist of $18. 50 in cash and $18.50 in CNY common stock per CFC share. Concurrently, CNY made an unsolicited challenging offer to acquire all the outstanding common stock of Oneida Valley Bancshares (OVB) , Oneida, New York. Previously, CFC agreed to merge with OVB in a stock swap transaction.</t>
  </si>
  <si>
    <t>Stonington Partners (SP) acquired Global Motorsport Group Inc (GMG) for $19.50 in cash per share, or a total value of $109.024 mil. Earlier, SP completed its tender offer for GMG by accepting 4,766,143 shares or 92% of GMG's shares. Originally, in October 1998, Global Motorsport Group Inc announced that it was seeking a buyer for the company. The offer was conditioned on at least a majority of GMG's shares being tendered.</t>
  </si>
  <si>
    <t>RAS Securities Corp (RAS) planned to raise its stake to 90% from 50% in Kings Road Entertainment Inc (KRE) by acquiring a further 40%, or 764,699 common share for $2. 35 in cash per share, or a total value of $1.797 mil. Concurrently, RAS acquired a 50% interest in KRE.</t>
  </si>
  <si>
    <t>Primadonna Resorts Inc</t>
  </si>
  <si>
    <t>Own,op casino-hotels</t>
  </si>
  <si>
    <t>MGM Grand Inc</t>
  </si>
  <si>
    <t>Op hotels,airlines</t>
  </si>
  <si>
    <t>MGM Grand Inc (MGM), a majority-owned unit of Tracinda Corp, acquired Primadonna Resorts Inc (PRI) in a stock swap transaction valued at $268.405 mil. MGM offered .33 common shares per PRI share. Based on MGM's closing stock price of $28. 125 on November 6, the last full trading day prior to the announcement, each PRI share was valued at $9.28125.</t>
  </si>
  <si>
    <t>ICAD Inc</t>
  </si>
  <si>
    <t>Pvd programming services</t>
  </si>
  <si>
    <t>Oracle Corp completed its tender offer to acquire all the outstanding common stock of Concentra Corp (CC) for $7 in cash per share, or a total value of $46.589 mil, by accepting 5.823 mil shares, or 95.4 % of CC's stock outstanding. The offer was conditioned upon at least 51% of CC's shares being tendered.</t>
  </si>
  <si>
    <t>Intensiva Healthcare Corp</t>
  </si>
  <si>
    <t>Pvd acute,long-term care svcs</t>
  </si>
  <si>
    <t>Select Medical (SM) acquired all the outstanding common stock of Intensiva Healthcare (IH) for $9.625 in cash per share, or a total value of $115.193 mil, including the assumption of $12.991 mil in liabilities. Previously, SM completed its tender offer for IH, by accepting 9.619 mil shares.</t>
  </si>
  <si>
    <t>Players International Inc</t>
  </si>
  <si>
    <t>Own,op riverboat casinos</t>
  </si>
  <si>
    <t>Hollywood Park Inc withdrew its unsolicited offer to acquire all the outstanding common stock of Players International Inc (PI) for $6 in cash per share, or a total value of $333.265 mil, including the assumption of $140 mil in liabilities. Subsequently, in February 1999, Jackpot Enterprises agreed to acquire PI.</t>
  </si>
  <si>
    <t>Rockford Industries Inc</t>
  </si>
  <si>
    <t>Pvd medical equip finance svcs</t>
  </si>
  <si>
    <t>American Express Co (AEC) acquired Rockford Industries Inc (RII) in a stock swap transaction valued at $54.228 mil. AEC offered $11.88 in common stock per RII share.</t>
  </si>
  <si>
    <t>Security Bank Corp</t>
  </si>
  <si>
    <t>F &amp; M National Corp (FMN), Winchester, Virginia, merged with Security Bank Corp (SBC), Manassas, Virginia, in a stock swap transaction valued at $19.795 mil. FMN offered 0. 653 common shares per SBC share. The shares were valued based on FMN's closing stock price of $29.6875 on November 19, the last full trading day prior to the announcement. Upon completion, FMN planned to merge its F&amp;M Bank- Northern Virginia affiliate with SBC. The transaction had been accounted for as a pooling of interests.</t>
  </si>
  <si>
    <t>Roanoke Electric Steel Corp</t>
  </si>
  <si>
    <t>Mnfr,whl steel bar prod</t>
  </si>
  <si>
    <t>Roanoke Electric Steel acquired Steel of West Virginia, a majority-owned unit of Charterhouse Group International, for $10.75 in cash per share, or a total value of $116.776 mil, including the assumption of an estimated $52.084 mil in liabilities.</t>
  </si>
  <si>
    <t>Carolina Power &amp; Light Co</t>
  </si>
  <si>
    <t>Carolina Power &amp; Light (CP) acquired North Carolina Natural Gas (NC) in a stock swap transaction valued at $352.538 mil. CP offered $35 in common stock per NC share, subject to a collar agreement. The transaction was to be accounted for as a pooling of interests.</t>
  </si>
  <si>
    <t>Eltrax Systems Inc</t>
  </si>
  <si>
    <t>Pvd network integration svcs</t>
  </si>
  <si>
    <t>Eltrax Systems Inc (ES) merged with Sulcus Hospitality Technologies Corp (SH) in a stock swap transaction valued at $71.207 mil. ES offered .55 common shares per SH share. Based on ES' closing stock price of $7. 375 on November 10, the last full trading day prior to the announcement, each SH share was valued at $4.056.</t>
  </si>
  <si>
    <t>Village Bancorp Inc</t>
  </si>
  <si>
    <t>Webster Financial Corp (WFC), Waterbury, Connecticut, acquired all the outstanding common stock of Village Bancorp Inc (VBI), Ridgefield, Connecticut, in a stock swap transaction valued at $51.221 mil. WFC offered .8545 common shares per VBI share subject to a collar agreement. Based on WFC's closing stock price of $29.75 on May 19, the last trading day prior to the announcement of the exact exchage ratio, each VBI share was valued at $25.42.</t>
  </si>
  <si>
    <t>UtiliCorp United Inc (UU) acquired the remaining 18.37% stake, or 5.4 mil common shares, which it did not already own, in Aquila Gas Pipeline Corp (AG) for $8 in cash per share, or a total value of $43.2 mil. Earlier, UU completed its tender offer by accepting 3.4 mil shares, or 11.6% of AG's shares. The offer was conditioned upon at least 8.367% of AG's shares being tendered.</t>
  </si>
  <si>
    <t>Ames Department Stores Inc (AD) acquired all the outstanding common stock, Series A convertible preferred stock, and senior notes of Hills Stores Co (HS) for an estimated $153.404 mil. The consideration consisted of $1.50 in cash per HS common share and Series A convertible preferred share, $700 in cash per $1000 principle amount of HS' $195 mil 12.5% senior notes due 2003, and the assumption of an undisclosed amount in capital lease obligations and other debt. The preferred shares were convertible into common shares on a 1-for-1 basis. Previously, AD completed its tender offer for HS by accepting 8,496,822 common shares and 554,483 convertible preferred shares, or about 80.3% of HS' shares. The offer had been conditioned upon at least 60% of HS' shares being tendered on a fully diluted basis. Originally, AD offered $550 in cash per $1000 principle amount of the senior notes.</t>
  </si>
  <si>
    <t>CalMat Co</t>
  </si>
  <si>
    <t>Mnfr,whl aggregates,concrete</t>
  </si>
  <si>
    <t>Vulcan Materials Co</t>
  </si>
  <si>
    <t>Limestone quarry operator</t>
  </si>
  <si>
    <t>Vulcan Materials Co (VM) acquired all the outstanding common stock of CalMat Co (CM) for $31in cash per share, or a total value of $886.589 mil, including the assumption of $130 mil in liabilities. Previously, VM completed its tender offer for CM by accepting 22,605,990 common shares, or about 95% of its shares.</t>
  </si>
  <si>
    <t>Dominguez Services Corp</t>
  </si>
  <si>
    <t>California Water Service Group</t>
  </si>
  <si>
    <t>Pvd water utility svcs</t>
  </si>
  <si>
    <t>California Water Services Corp (CW) merged with Dominguez Services Corp (DS) in a stock swap transaction valued at an amended $61.841 mil, including the assumption of $10.5 mil in liabilities. CW offered $33.75 in common shares per DS share, subject to a collar agreement. The transaction was accounted for as a pooling of interests. In March 1999, American States Water Co made and subsequently withdrew an unsolicited challenging offer to acquire DS.</t>
  </si>
  <si>
    <t>Group Long Distance Inc</t>
  </si>
  <si>
    <t>Star Telecommunications Inc</t>
  </si>
  <si>
    <t>Star Telecommunications Inc terminated its agreement to acquire all the outstanding common stock of Group Long Distance Inc for an estimated $3.7 mil in cash.</t>
  </si>
  <si>
    <t>Temple-Inland Inc</t>
  </si>
  <si>
    <t>Mnfr packaging,forest products</t>
  </si>
  <si>
    <t>Temple-Inland Inc (TI), Didoll, Texas, a majority- owned unit of Time Inc, acquired all the outstanding common stock of HF Bancorp (HFB), Hemet, California, for $18.5 per share, or a total value of $121.637 mil. Previously, TI offered a choice of $18.50 in cash or common stock or a combination of both per HFB share. A maximum of 1.225 mil common shares were to be issued as part of the consideration.</t>
  </si>
  <si>
    <t>Omniamerica Inc</t>
  </si>
  <si>
    <t>American Tower Corp</t>
  </si>
  <si>
    <t>Own,op wireless,broadcast communication towers</t>
  </si>
  <si>
    <t>American Tower Corp (AT) merged with Omniamerica Corp (OC) in a stock swap transaction valued at $321.37 mil. AT offered 1.1 common shares per OC share. Based on AT's closing stock price of $19 on November 13, the last full trading day prior to the announcement, each OC share was valued at $20.90.</t>
  </si>
  <si>
    <t>Western Beef Inc</t>
  </si>
  <si>
    <t>Cactus Acquisitions Inc</t>
  </si>
  <si>
    <t>Cactus Acquistions Inc completed its unsolicited offer to acquire the 28% remaining stake, 1.493 mil common shares, that it did not already own, in Western Beef Inc (WBI) for $8.75 in cash per share, or a total value of $ 11.384 mil.</t>
  </si>
  <si>
    <t>Eskimo Pie Corp</t>
  </si>
  <si>
    <t>Wholesale ice cream products</t>
  </si>
  <si>
    <t>Yogen Fruz World-Wide Inc (YFW) made an unsolicted hostile offer to acquire all the outstanding common stock of Eskimo Pie Corp (EP) for an amended $13 in cash per share, or a total value of $45.105 mil. Originally, YFW made an unsolicted offer to acquire all the outstanding common stock of EP for $10.25 in cash per share, or a total value of $35.451 mil. YFE terminated the offer in April 1999.</t>
  </si>
  <si>
    <t>Meridian Industrial Trust Inc</t>
  </si>
  <si>
    <t>Prologis Trust</t>
  </si>
  <si>
    <t>Prologis Trust (PT) merged with Meridian Industrial Trust Inc (MIT) in a stock swap transaction valued at $1. 457 bil, including the assumption of approximately $560 mil in liabilities. PT offered $2 in cash and 1.1 common shares per MIT share, subject to a collar agreement. A maximum of $69 mil was payable in cash. PT also offered $50 mil for all of MIT's outstanding Series D cumulative redeemable preferred stock.</t>
  </si>
  <si>
    <t>Oak Technology Inc</t>
  </si>
  <si>
    <t>A management-led investor group, including Chief Executive Officer and Chairman of the Board David Tsang, Director Ta-Lin Hsu and Advanced Semiconductor Engineering Corp, withdrew its plans to launch a tender offer to acquire the remaining 91.66% interest, or 37.266 mil common shares, which it did not already own in Oak Technology for $4.50 in cash per share, or a total value of $170.716 mil, in a leveraged buyout transaction.</t>
  </si>
  <si>
    <t>Uniflex Inc</t>
  </si>
  <si>
    <t>Mnfr,whl plastic bags</t>
  </si>
  <si>
    <t>US - An investor group, including Carl Marks &amp; Co and RFE Investment Partners, acquired all the outstanding common stock of Uniflex Inc for $7.57 in cash per share, or a total value of $33.332 mil.</t>
  </si>
  <si>
    <t>Chyrsalis International Corp</t>
  </si>
  <si>
    <t>Pvd research svcs</t>
  </si>
  <si>
    <t>Phoenix Intl Life Sciences Inc</t>
  </si>
  <si>
    <t>Phoenix International Life Sciences Inc (PI) acquired all the outstanding common stock of Chrysalis International Corp (CI) in a stock swap transaction valued at $18.691 mil, including the assumption of $10.5 mil in liabilities. PI offered $.71 in common stock per CI share.</t>
  </si>
  <si>
    <t>Delaware First Financial Corp</t>
  </si>
  <si>
    <t>Crown Group Inc</t>
  </si>
  <si>
    <t>Crown Group Inc (CGI) acquired Delaware First Financial Corp (DFF), Wilmington, Delaware, for $15. 50 in cash per share, or total value of $17.934 mil.</t>
  </si>
  <si>
    <t>Foilmark Inc (FI) merged with HoloPak Technologies Inc (HT) in a stock swap transaction valued at $12.924 mil. HT offered $1.42 in cash and 1.11 common shares per HT share. Based on FI's closing stock price of $2 on November 16, the last full trading day prior to the announcement, each HT share was valued at $3.64. Upon completion, HT held a 47% stake in FI.</t>
  </si>
  <si>
    <t>National Information Group</t>
  </si>
  <si>
    <t>Fire insurance holding company</t>
  </si>
  <si>
    <t>First American Financial Corp</t>
  </si>
  <si>
    <t>First American Financial Corp (FAF) acquired National Information Group (NIG) in a stock swap transaction valued at $111.518 mil. FAF offered . 67 common share per NIG share. Based on FAF's closing stock price of $34.8125 on November 17, 1998, the last full trading day prior to the announcement, each FAF share was valued at $23.324. The transaction was accounted for as a pooling of interests.</t>
  </si>
  <si>
    <t>Assisted Living Concepts Inc</t>
  </si>
  <si>
    <t>Own,op assisted living homes</t>
  </si>
  <si>
    <t>American Retirement Corp</t>
  </si>
  <si>
    <t>Own,op senior living center</t>
  </si>
  <si>
    <t>American Retirement (AR) withdrew its definitive agreement to merge with Assisted Living Concepts (AL) in a merger of equals stock swap transaction valued at $490.523 mil, including the assumption of $228 mil in liabilities. AR offered .85 common shares per AL share. Based on AR's closing stock price of $17.25 on November 18, the last full trading day prior to the announcement, each AL share was valued at $14.663. Upon completion, AR shareholders were to own 54% of the combined company and AL shareholders were to own 46%.</t>
  </si>
  <si>
    <t>CN Biosciences Inc</t>
  </si>
  <si>
    <t>Mnfr medicinal biotech prods</t>
  </si>
  <si>
    <t>EM Industries Inc</t>
  </si>
  <si>
    <t>Whl chemicals</t>
  </si>
  <si>
    <t>EM Industries Inc (EM), a unit of Merck AG, acquired all the outstanding common stock of CN Biosciences Inc (CN) for $25 in cash per share, or a total value of $149.701 mil. Earlier EM completed its tender offer for CN by accepting 5.5 mil shares (96.12%). The offer had been conditioned upon at least a majority of CN's shares being tendered.</t>
  </si>
  <si>
    <t>Prism Solutions Inc</t>
  </si>
  <si>
    <t>Dvlp data management software</t>
  </si>
  <si>
    <t>Ardent Software Inc</t>
  </si>
  <si>
    <t>Ardent Software Inc (AS) acquired Prism Solutions Inc (PS) in a stock swap transaction valued at $43.09 mil. AS offered .131 common shares per PS share. Based on AS's closing stock price of $17.25 on November 18, the last full trading day prior to the announcement, each PS share was valued at $2.264. The transaction was accounted for as a pooling of interests.</t>
  </si>
  <si>
    <t>Reno Air Inc</t>
  </si>
  <si>
    <t>American Airlines Inc (AA), a unit of AMR Corp, acquired all the outstanding common and preferred stock of Reno Air Inc (RI) for $7.75 in cash per common share and $27. 50 in cash per Series A cumulative convertible exchangeable preferred share, or a total value of $141.318 mil. Earlier, AA completed its tender offer for RI by accepting 9.195 mil shares, or 84.77% of RI's shares. The offer was conditioned upon at least a majority of RI's common shares and 66.67% of RI's preferred shares being tendered. Ultimately, Aviation Technologies Ltd planned to make a challenging offer to acquire RI.</t>
  </si>
  <si>
    <t>Axsys Technologies Inc</t>
  </si>
  <si>
    <t>Mnfr,whl precision optical sys</t>
  </si>
  <si>
    <t>An investor, Mr. Stephen W. Bershad, the company's chairman and CEO, terminated his plans to acquire all the outstanding common stock of Axsys Technologies Inc (ATI) for $15 per share, or a total value of $60.049 mil in cash, in a leverage buyout transaction. Concurrently, ATI received an unsolicited tender offer to acquire the company from an undisclosed acquiror.</t>
  </si>
  <si>
    <t>CILCORP Inc</t>
  </si>
  <si>
    <t>Elec,gas utility;holding co</t>
  </si>
  <si>
    <t>AES Corp</t>
  </si>
  <si>
    <t>Pvd electric utility svcs</t>
  </si>
  <si>
    <t>AES Corp acquired all the outstanding common stock of CILCORP Inc for $65 per share, or a total value of $1.333 bil, including the assumption of $448 mil in liabilities.</t>
  </si>
  <si>
    <t>Maxxim Medical Inc, acting as a white knight, acquired all the outstanding common stock of Circon Corp (CC) via its tender offer for $15 in cash per share, or a total value of $243.718 mil, including the assumption of $38 mil in liabilities, by accepting 12,547,831 shares, or 93%. The offer was conditioned upon a majority of CC's shares being tendered. In August 1998, CC announced that it was seeking a buyer for the company. Previously, US Surgical Corp launched a tender offer to acquire CC.</t>
  </si>
  <si>
    <t>Eagle Hardware &amp; Garden Inc</t>
  </si>
  <si>
    <t>Lowe's Cos Inc (LC) acquired Eagle Hardware &amp; Garden Inc (EHG) in a stock swap transaction valued at $867. 397 mil. LC offered $29 in common stock, subject to a collar agreement. The transaction accounted for as a pooling of interests.</t>
  </si>
  <si>
    <t>Integrated Process Equipment</t>
  </si>
  <si>
    <t>Mnfr planarization systems</t>
  </si>
  <si>
    <t>SpeedFam International Inc</t>
  </si>
  <si>
    <t>Mnfr,whl planarization systems</t>
  </si>
  <si>
    <t>SpeedFam International Inc (SI) merged with Integrated Process Equipment Corp (IP) in a stock swap transaction valued at $188.775 mil. SI offered .71 common shares per IP share. Based on SI's closing stock price of $14. 875 on November 19, the last full trading day prior to the announcement, each IP share was valued at $10.56125. The transaction was accounted for as a pooling of interests. Upon completion, the combined company was named SpeedFam- IPEC Inc.</t>
  </si>
  <si>
    <t>Amerin Corp</t>
  </si>
  <si>
    <t>Mortgage insurance company</t>
  </si>
  <si>
    <t>CMAC Investment Corp</t>
  </si>
  <si>
    <t>Pvd mtg guaranty ins svcs</t>
  </si>
  <si>
    <t>CMAC Investment Corp (CIC) merged with Amerin Corp (AC) in a stock swap transaction valued at $634.545 mil. CIC offered .5333 common shares per AC share. Based on CIC's closing stock price of $43. 9375 on November 20, the last full trading day prior to the announcement, each AC share was valued at $23.432. Upon completion, the combined company was renamed Radian Group Inc.</t>
  </si>
  <si>
    <t>Tyco International Ltd (TI), acting as a white knight, merged with AMP Inc (AM) in a stock swap transaction valued at an amended $10.736 bil. TO offered 0.7507 common shares per AM share. Based on TI's closing stock price of $63. 063 on November 20, each AM share was valued at $48.843. Previously, TI, acting as a white-knight, agreed to acquire AM for $11.221 bil. TI offered .7839 common shares per AM share, subject to a collar agreement. Based on TI's closing stock price of $65.063 on November 20, the last full trading day prior to the announcement, each AM share was valued at $51.003. The transaction had been accounted for as a pooling of interests. Concurrently, Allied Signal Inc withdrew its hostile tender offer for all the outstanding stock of AM. AM also launched a self-tender.</t>
  </si>
  <si>
    <t>Coltec Industries Inc</t>
  </si>
  <si>
    <t>Automotive, aerospace prods</t>
  </si>
  <si>
    <t>BF Goodrich Co (BF) acquired Coltec Industries Inc (CT) in a stock swap transaction valued at $1.907 bil, including the assumption of approximately $607.6 mil in liabilities. BF offered .56 common shares per CT share. Based on BF's closing stock price of $35.9375 on November 20, the last full trading day prior to the announcement, each CT share was valued at $20.125. The transaction was accounted for as a pooling of interests.</t>
  </si>
  <si>
    <t>A management-led investor group terminated its agreement to acquire all the outstanding common stock of Hudson General (HG) for a sweetened $61 in cash per share, or a total value of $107.879 mil, in a leveraged buyout transaction. Originally, in November 1998, the group offered $57.25 in cash per share, or a total value of $101.217 mil. Subsequently, in December 1998, Ranger Aerospace (RA) made an unsolicited challenging offer to acquire all the outstanding common stock of HG. Then, In February 1999, both GlobeGround (GG) and Ogden made separate challenging offers to acquire HG. In March 1999, GG completed its tender offer by accepting 97. 57% of HG's shares and Ogden and RA withdrew their offers.</t>
  </si>
  <si>
    <t>UNUM Corp (UC) merged with Provident Cos (PC) to form UNUMProvident (UP) in a stock swap transaction valued at $4. 866 bil. PC common shareholders received .73 UP common shares and UC common shareholders received 1 UP common share per share held. Based on UC's closing stock price of $48.125 on November 20, the last full trading day prior to the announcement, each PC share was valued at $35.13125. Upon completion, UC held a 58% interest in UP, and PC held the remaining 42% stake. The transaction was accounted for as a pooling of interests.</t>
  </si>
  <si>
    <t>GE Fanuc Automation N America</t>
  </si>
  <si>
    <t>GE Fanuc Automation North America Inc, a joint venture between General Electric Co and Fanuc Ltd, completed its tender offer to acquire Total Control Products Inc (TC) for $11 in cash per share, or a total value of $99.575 mil.</t>
  </si>
  <si>
    <t>An unnamed medical device manufacturing company terminated its unsolicited challenging tender offer to acquire all the outstanding common stock of AVECOR Cardiovascular Inc (AC) for $107.071 mil. The unnamed company offered a choice of $13 in cash or stock per AC share. Previously, Medtronic Inc agreed to acquire AC in a stock swap transaction.</t>
  </si>
  <si>
    <t>Besicorp Group Inc</t>
  </si>
  <si>
    <t>Mnfr, whl heating equipment</t>
  </si>
  <si>
    <t>BGI Acquisition LLC</t>
  </si>
  <si>
    <t>BGI Acquisition LLC, a unit of Lion Gate LLC, acquired all the outstanding common stock of Besicorp Group Inc for $36.965 in cash per share, or a total value of $111.819 mil.</t>
  </si>
  <si>
    <t>Genovese Drug Stores</t>
  </si>
  <si>
    <t>Drug stores</t>
  </si>
  <si>
    <t>JC Penney Co (JCP) acquired Genovese Drug Stores (GDS) in a stock swap transaction valued at $497.525 mil, including the assumption of approximately $60 mil in liabilities. JCP offered $30 in common stock per GDS share, subject to a a collar agreement.</t>
  </si>
  <si>
    <t>Netscape Communications Corp</t>
  </si>
  <si>
    <t>Develop internet software</t>
  </si>
  <si>
    <t>America Online Inc (AOL) acquired Netscape Communications Corp (NCC) in a stock swap transaction valued at $4.631 bil. AOL offered .9 common shares per NCC share. Based on AOL's closing stock price of $49. 4512 on November 23, the last full trading day prior to the announcement, each NCC share was valued at $44.506. Previously, in February 1998, NCC announced that it was seeking a buyer for the company. Sun Microsystmes Inc, Oracle Corp, International Business Machines, and Novell Inc were all mentioned as potential buyers.</t>
  </si>
  <si>
    <t>Union Camp Corp</t>
  </si>
  <si>
    <t>Manufacture paper,wood prods</t>
  </si>
  <si>
    <t>International Paper Co (IPC) merged with Union Camp Corp (UCC) in a stock swap transaction valued at $7.472 bil, including the assumption of approximately $1.6 bil in liabilities. IP offered 1.47 common shares per UCC share, subject to a collar agreement. The shares were valued based on IPC's closing stock price of $56.25 on April 29, the last full trading day prior to the completion. Upon completion, IP held a 75% interest in the combined company, and UCC held the remaining 25% stake. The transaction was to be accounted for as a pooling of interests.</t>
  </si>
  <si>
    <t>Seagull Energy Corp (SC) merged with Ocean Energy Inc (OE) in a reverse stock swap transaction valued at $1.094 bil. SC offered 1 newly- issued common share per OE share. Based on SC's closing stock price of $10.813 on November 24, the last full trading day prior to the announcement, each OE share was valued at $10.813. Upon completion of the reverse takeover, OE held a 61.5% interest in the merged entity, which retained the Ocean Energy Inc name.</t>
  </si>
  <si>
    <t>US - An investor group comprised of the Sbarro Family (SF) acquired the remaining 65% interest, or 13, 288,104 common shares, which it did not already own, in Sbarro (SB) for an amended $28.85 in cash per share, or a total value of $386.428 mil. Originally, SF planned to acquire SB for $27.5 in cash per share, or a total value of $367.227 mil. Previously, in June 1998, SF withdrew its plans to acquire the remaining 65% interest in Sbarro for $28.5 per share, or a total value of $381.439 mil.</t>
  </si>
  <si>
    <t>Arterial Vascular Engineering</t>
  </si>
  <si>
    <t>Manufacture stent systems</t>
  </si>
  <si>
    <t>Medtronic Inc (MD) merged with Arterial Vascular Engineering Inc (AV) in a stock swap transaction valued at $3.801 bil. MD offered . 76726 common shares per AV common share. Based on MD's closing stock price of $72.5 on January 27, the last full trading day prior to the exact exchange ratio being disclosed, each AV share was value at $55.608. The transaction was accounted for as a pooling of interests. Originally, in November 1998, MD offered $54 in common stock per AV share, subject to a collar agreement.</t>
  </si>
  <si>
    <t>IMC Mortgage Co,Tampa,Florida</t>
  </si>
  <si>
    <t>Greenwich Street Capital</t>
  </si>
  <si>
    <t>Greenwich Street Capital Partners II LP, a unit of Greenwich Street Capital Partners LP, terminated its letter of intent to acquire a 95% interest in IMC Mortgage Co, Tampa, Florida.</t>
  </si>
  <si>
    <t>Mobil Corp</t>
  </si>
  <si>
    <t>Oil,gas expl,prodn,refining</t>
  </si>
  <si>
    <t>Exxon Corp</t>
  </si>
  <si>
    <t>Oil,gas,coal,petrochemicals</t>
  </si>
  <si>
    <t>Exxon Corp (EC) merged with Mobil Corp (MC) to form Exxon Mobil Corp (EM) in a stock swap transaction valued at $78.945 bil. EC offered 1. 32015 common shares per MC share. Based on EC's closing stock price of $75 on November 30, the last full trading day prior to the announcement, each MC share was valued at $99.011. The transaction was accounted for as a pooling of interests. Upon completion, EC shareholders were to own 70% of the new entity. Concurrently, Tosco Corp agreed to acquire the Northeast and Mid-Atlantic Service Stations of Exxon Mobil Corp. The 1740 service stations involved ranged from Virginia to Maine.</t>
  </si>
  <si>
    <t>Amplidyne Inc</t>
  </si>
  <si>
    <t>Mnfr,whl linear amplifiers</t>
  </si>
  <si>
    <t>Microwave Power Devices Inc</t>
  </si>
  <si>
    <t>Mnfr commun equipment</t>
  </si>
  <si>
    <t>Microwave Power Devices Inc (MP) withdrew its agreement to acquire all the outstanding common stock of Amplidyne Inc in exchange for 1.15 mil common shares valued at $7.367 mil. The shares were valued based on MP's closing stock price of $6.406 on December 1st, the last full trading day prior to the announcement.</t>
  </si>
  <si>
    <t>Brylane Inc</t>
  </si>
  <si>
    <t>Own,op mail-order house</t>
  </si>
  <si>
    <t>Pinault Printemps-Redoute</t>
  </si>
  <si>
    <t>Ret clothing,records,books</t>
  </si>
  <si>
    <t>Pinault-Printemps Redoute (PPR) acquired the remaining 50.1%, or 9,257,052 common shares, which it did not already own, in Brylane Inc (BI) for a sweetened $24.5 in cash per share, or a total value of $230.593 mil. Previously, PPR completed its tender offer for BI by accepting 8.851 mil shares, or 47.9% of BI's shares. Originally, PPR offered $20 in cash per share, or a total value of $187.559 mil.</t>
  </si>
  <si>
    <t>Intercargo Corp</t>
  </si>
  <si>
    <t>XL Capital Ltd</t>
  </si>
  <si>
    <t>EXEL Ltd acquired all of the outstanding common stock of Intercargo Corp for $12 in cash per share, or a total value of $87.645 mil.</t>
  </si>
  <si>
    <t>Irvine Apartment Communities</t>
  </si>
  <si>
    <t>The Irvine Co LLC</t>
  </si>
  <si>
    <t>Irvine Co (IC) acquired the remaining 83% interest, or 16. 6 mil common shares, which it did not already own, in Irvine Apartment Communities Inc (IA) for an amended $34 in cash per share, or a total value of $569.301 mil. Originally, IC offered $32.50 in cash per share.</t>
  </si>
  <si>
    <t>A management-led investor group, led by CEO Steven D. Riedel, acquired all the outstanding common stock of Atrix International Inc for $2 per share, or a total value of $2.832 mil, in a leveraged buyout transaction.</t>
  </si>
  <si>
    <t>Back Bay Restaurants Group Inc</t>
  </si>
  <si>
    <t>Own,op Italian restaurants</t>
  </si>
  <si>
    <t>SRC Holdings</t>
  </si>
  <si>
    <t>SRC Holdings, a management- led investor group, led by CEO Charles F. Sarkis, acquired all the outstanding common stock of Back Bay Restaurant Group Inc for $10. 25 per share, or a total value of $38.928 mil, in a leveraged buyout transaction.</t>
  </si>
  <si>
    <t>Banner Aerospace Inc</t>
  </si>
  <si>
    <t>Wholesale aerospace equipment</t>
  </si>
  <si>
    <t>Fairchild Corp (FC) acquired the remaining 15% stake, or 3, 222,469 common shares, which it did not already own, in Banner Aerospace Inc for an amended $11 in Class A common stock per share, subject to a collar agreement, or a total value of 82.425 mil. Originally, FC offered $9.75 in Class A common stock per share, or a total value of $31.419 mil.</t>
  </si>
  <si>
    <t>Denbury Resources Inc</t>
  </si>
  <si>
    <t>US - Texas Pacific Group raised its interest to 60.09% from 19.18%, by acquiring a 40.91% stake, or 18.553 mil common shares, in Denbury Resources Inc, a Plano-based oil and gas exploration and production company, for USD 5. 39 per share, or a total value of USD 100 mil, in a privately negotiated transaction.</t>
  </si>
  <si>
    <t>Micrion Corp</t>
  </si>
  <si>
    <t>Mnfr focused-ion-beam systems</t>
  </si>
  <si>
    <t>FEI Co</t>
  </si>
  <si>
    <t>Mnfr particle beam sys</t>
  </si>
  <si>
    <t>FEI Co (FEI), a majority- owned unit of Philips Electronics NV's Philips Industrial Electronics NV subsidiary, acquired all the outstanding common stock of Micrion Corp (MC) in a stock swap transaction valued at $59.604 mil. FEI offered $6 in cash and 1 common share per MC share. Based on FEI's closing stock price of $8.125 on December 2, the last full trading day prior to the announcement, each MC share was valued at $14.125.</t>
  </si>
  <si>
    <t>Microdyne Corp</t>
  </si>
  <si>
    <t>Mnfr,whl telemetry products</t>
  </si>
  <si>
    <t>L-3 Communications Holdings</t>
  </si>
  <si>
    <t>Radio and Television Broadcasting and Wireless Communications Equipment Manufacturing</t>
  </si>
  <si>
    <t>L-3 Communications Holdings (L-3) acquired all the outstanding common stock of Microdyne for $5 in cash per share, or a total value of approximately $90.206 mil, including the assumption of an estimated $24.65 mil in liabilities. Previously, L-3 completed its tender offer for Microdyne by accepting 12, 049,673 or 91.9% of Microdyne's shares.</t>
  </si>
  <si>
    <t>TIG Holdings Inc</t>
  </si>
  <si>
    <t>Fairfax Financial Holdings Ltd</t>
  </si>
  <si>
    <t>Reinsurance Carriers</t>
  </si>
  <si>
    <t>Fairfax Financial Holdings Ltd (FFH) acquired all the outstanding common stock of TIG Holdings Inc (TIG) for $16.50 in cash per share, or a total value of $846.756 mil. Originally in October 1998, TIG announced that it was seeking a buyer for the company.</t>
  </si>
  <si>
    <t>Valley Forge Corp</t>
  </si>
  <si>
    <t>Mnfr oil sealants and gaskets</t>
  </si>
  <si>
    <t>Key Components LLC</t>
  </si>
  <si>
    <t>Mnfr,whl locks,lock systems</t>
  </si>
  <si>
    <t>Key Components LLC completed its tender offer to acquire all the outstanding common stock of Valley Forge Corp (VFC) for $19 in cash per share, or a total value of $82.866 mil, by acquiring 4. 248 mil common shares, or 94. 6% of shares oustanding. The offer was to be conditioned upon at least 90% of VFC's shares being tendered.</t>
  </si>
  <si>
    <t>Vincam Group Inc</t>
  </si>
  <si>
    <t>Provide temporary help svcs</t>
  </si>
  <si>
    <t>Automatic Data Processing Inc (ADP) merged with Vincam Group Inc (VG) in a stock swap transaction valued at $294.889 mil. ADP offered . 458 common shares per VG share. Based on ADP's closing stock price of $39.6875 on December 2, the last full trading prior to the announcement, each VG share was valued at $18.177. The transaction was accounted for as a pooling of interests.</t>
  </si>
  <si>
    <t>High Point Financial Corp</t>
  </si>
  <si>
    <t>Lakeland Bancorp Inc</t>
  </si>
  <si>
    <t>Lakeland Bancorp Inc (LBI), Oak Ridge, New Jersey, acquired High Point Financial Corp (HPF) in a stock swap transaction valued at $72.974 mil. LBI offered 1.2 common shares per HPF share. Based on LBI's closing stock price of $15.5 on December 4, the last full trading day prior to the announcement, each HPF share was valued at $18.6. The transaction was to be accounted for as a pooling of interests.</t>
  </si>
  <si>
    <t>Matador Capital Management</t>
  </si>
  <si>
    <t>Pvd investment advisory svcs</t>
  </si>
  <si>
    <t>Matador Capital Management withdrew its challenging offer to acquire all the outstanding common stock of BRC Holdings Inc (BRC) for $21 per share, or a total of $288.501 mil. Previously, Affiliated Computer Services Inc (ACS) acquired a 51% interest, or 7.223 mil common shares in BRC via a tender offer. Upon completion, ACS acquired the remaining 49% stake, or 6.94 mil common shares, which it did not already own in BRC.</t>
  </si>
  <si>
    <t>Commonwealth Energy System</t>
  </si>
  <si>
    <t>BEC Energy Co</t>
  </si>
  <si>
    <t>BEC Energy Co (BEC) merged with Commonwealth Energy System (CES) to form NStar in a stock swap transaction valued at $1.549 bil, including the assumption of $600 mil in liabilities. CES common shareholders received 1.05 NStar common shares and BEC common shareholders received 1 NStar common share per share held. Based on BEC Energy's closing stock price of $42 on December 4, the last full trading day prior to the announcement, each CES share was valued at $44.1. Alternatively, BEC offered $44.1 in cash per CES share.</t>
  </si>
  <si>
    <t>Global Marine Inc</t>
  </si>
  <si>
    <t>Pvd offshore drilling svcs</t>
  </si>
  <si>
    <t>In December 1998, Surety Settlement announced that it was seeking a buyer for its Global Marine Inc subsidiary.</t>
  </si>
  <si>
    <t>Interlake Corp</t>
  </si>
  <si>
    <t>Mnfr,whl storage racks,metals</t>
  </si>
  <si>
    <t>GKN PLC acquired all the outstanding common stock of Interlake Corp for $7.25 in cash per share, or a total value of $540.446 mil, including the assumption of $292 mil in liabilities. Earlier, GKN completed its tender offer for Interlake by accepting 18.7 mil shares, or 80.7% of Interlake's shares.</t>
  </si>
  <si>
    <t>Mercury Air Group Inc</t>
  </si>
  <si>
    <t>Whl fuel to airline industry</t>
  </si>
  <si>
    <t>Mercury Air Group Inc was rumored to be in negotiations to divest the company to an undisclosed acquiror. The Current status of this deal is unknown.</t>
  </si>
  <si>
    <t>PacifiCorp</t>
  </si>
  <si>
    <t>Scottish Power PLC (SP) merged with PacifiCorp (PC) in a stock swap transaction valued at $12.6 bil, including the assumption of approximately $4.9 bil in liabilities. SP offered .58 American depository receipts or 2.32 ordinary shares per PC share. Each ADR was equivalent to 4 SP ordinary shares. Based on SP's closing stock price of $11.149 on December 4, the last full trading day prior to the announcment, each PC share was valued at $25.866.</t>
  </si>
  <si>
    <t>Horizontal Ventures Inc</t>
  </si>
  <si>
    <t>Oil and gas expl,prodn co</t>
  </si>
  <si>
    <t>Horizontal Ventures Inc (HV) merged with Saba Petroleum Co (SP) in a stock swap transaction valued at $35.303 mil. HV offered .167 common shares per SP share. Based on HV's closing stock price of December 4, the last full trading day prior to the announcement, each SP share was valued at $ 1.84. Included in the value was HV's acquisition of 33% of SP's enlarged share capital for $15 mil in cash. Upon completion, the combined company was to be named Greka Energy Corp.</t>
  </si>
  <si>
    <t>Headlands Mortgage Corp</t>
  </si>
  <si>
    <t>GreenPoint Financial Corp,NY</t>
  </si>
  <si>
    <t>Greenpoint Financial Corp (GP), New York, New York, merged with Headlands Mortgage Co (HM), Larkspur, California, in a stock swap transaction valued at $490. 951mil. GP offered 0.62 common shares per HM share. Based on GP's closing stock price of $39.25 on December 07, the last full trading day prior to the announcement, each HM share was valued at $24.335.</t>
  </si>
  <si>
    <t>In December 1998, Panaco Inc announced that it was seeking a buyer for the company.</t>
  </si>
  <si>
    <t>St John Knits Inc</t>
  </si>
  <si>
    <t>Mnfr,whl women's clothing</t>
  </si>
  <si>
    <t>A management-led investor group, including Vestar Capital Partners, acquired St John Knits for a sweetened $30 in cash per share, or a total value of $513.756 mil in a leveraged buyout transaction. Originally, in December 1998, the investor group offered to acquire an 86.4% interest for $28 in cash per share, or a total value of $415.564 mil.</t>
  </si>
  <si>
    <t>Cadence Design Systems Inc (CD), acting as a white knight, merged with Quickturn Design Systems Inc (QD) in a stock swap transaction valued at $293.255 mil. CD offered a sweetened $15 in CD common stock per QD share. The transaction was accounted for as a pooling of interests. Previously, Mentor Graphics Inc launched an unsolicited hostile tender offer for all the outstanding common stock of QD. Originally, CD offered $14 in common stock per QD share, or a total of $272.279 mil.</t>
  </si>
  <si>
    <t>An investor group, including Reckson Associates Realty Corp (RAR) and Cresent Real Estate Equities Co (CRE), merged with Tower Realty Trust Inc (TRT) in a stock swap transaction valued at $645.534 mil, including the assumption of $300 mil in liabilities. RAR offered $5. 75 in cash per share and . 6273 newly issued Class B common shares per TRT share. Based on RAR's closing stock price of $23.313 on December 8, the last full trading day prior to the announcement, each TRT share was valued at $20.374. Earlier, RAR and CRE terminated their agreement to acquire all the outstanding common stock of TRT.</t>
  </si>
  <si>
    <t>Chevron Corp</t>
  </si>
  <si>
    <t>Integrated petro co</t>
  </si>
  <si>
    <t>Royal Dutch/Shell Group</t>
  </si>
  <si>
    <t>Crude Petroleum and Natural Gas Extraction</t>
  </si>
  <si>
    <t>Royal Dutch/Shell Group, a joint venture between Royal Dutch Petroleum and Shell Transport and Trading, was rumored to be planning to merge with Chevron. The Current status of this deal is unknown.</t>
  </si>
  <si>
    <t>First Philson Financial Corp</t>
  </si>
  <si>
    <t>BT Financial Corp (BFC), Johnstown, Pennsylvania merged with First Philson Financial Corp (FPF), Berlin, Pennsylvania in a stock swap transaction valued at $80.602 mil. BFC offered 1.667 common shares per FPF share. Based on BFC's closing stock price of $27.75 on December 9, the last full trading day prior to the announcement, each FPF share was valued at $46.259.</t>
  </si>
  <si>
    <t>Grow Biz International Inc</t>
  </si>
  <si>
    <t>Own,op misc retail stores</t>
  </si>
  <si>
    <t>An investor group, comprised of K Jeffrey Dahlberg and Ronald Olson, withdrew its plans to acquire the remaining 33% stake, that it did not already own in Grow Biz International Inc for $14 in cash per share, or a total value of $27.465 mil.</t>
  </si>
  <si>
    <t>C-ATS Software Inc</t>
  </si>
  <si>
    <t>Develop risk mgmt software</t>
  </si>
  <si>
    <t>Misys PLC (MP) acquired all the outstanding common stock of C-ATS Software Inc (CT) for $7.50 in cash per share, or a total value of $58.959 mil. Previously, MP completed its tender offer for CT by accepting 6,897,493 common shares, or about 98% of CT's shares. The offer was conditioned upon at least a majority if CT's shares being tendered.</t>
  </si>
  <si>
    <t>Learning Co Inc</t>
  </si>
  <si>
    <t>Dvlp consumer software</t>
  </si>
  <si>
    <t>Mattel Inc (MI) merged with Learning Co (LC) in a stock swap transaction valued at $3. 532 bil. MI offered $33 in common stock per LC share, subject to a collar agreement. The transaction was accounted for as a pooling of interests.</t>
  </si>
  <si>
    <t>Logans Roadhouse Inc</t>
  </si>
  <si>
    <t>Cracker Barrel Old Country Str</t>
  </si>
  <si>
    <t>Cracker Barrel Old Country Store Inc acquired all the outstanding common stock of Logan's Roadhouse Inc (LR) for $24 per LR share, or $178. 255 mil.</t>
  </si>
  <si>
    <t>STB Systems Inc</t>
  </si>
  <si>
    <t>Mnfr,whl multimedia systems</t>
  </si>
  <si>
    <t>3Dfx Interactive Inc</t>
  </si>
  <si>
    <t>Dvlp 3D media technology</t>
  </si>
  <si>
    <t>3Dfx Interactive Inc (3D) acquired STB Systems Inc (STB) in a stock swap transaction valued at $140.987 mil. 3D offered .65 common shares per STB share. Based on 3D's closing stock price of $16. 375 on December 11, the last full trading day prior to the announcement, each STB share was valued at $10.644.</t>
  </si>
  <si>
    <t>Technology 80</t>
  </si>
  <si>
    <t>Mnfr computer card systems</t>
  </si>
  <si>
    <t>ACS Electronics Ltd</t>
  </si>
  <si>
    <t>Mnfr motion control products</t>
  </si>
  <si>
    <t>ACS Electronics Ltd withdrew its letter of intent to merge with Technology 80 Inc for between $5.25 and $5.75 per, or a total value of $9.761mil, with the value based on the high price in the range.</t>
  </si>
  <si>
    <t>Cellular Communications Intl</t>
  </si>
  <si>
    <t>Kensington Acquisition Sub Inc</t>
  </si>
  <si>
    <t>Kensington Acquisition Sub Inc (KAS), a joint venture between Ing C Olivetti &amp; Co SpA and Mannesmann AG, acquired Cellular Communications International Inc (CC) for a sweetened $80 in cash per share, or a total value of $1.688 bil. Earlier, KAS completed its tender offer for CC by accepting 12, 079,305 shares, or 72.4% of CC's shares. Previoulsy, KAS offered $65.75 per CC share. The offer had been conditioned upon at least a majority of CC's shares being tendered on a fully-diluted basis.</t>
  </si>
  <si>
    <t>Getchell Gold Corp</t>
  </si>
  <si>
    <t>Placer Dome Inc</t>
  </si>
  <si>
    <t>Gold,copper,ferroalloy mining</t>
  </si>
  <si>
    <t>Placer Dome (PD) merged with Getchell Gold (GG) in a stock swap transaction valued at $1. 079 bil. PD offered 2.45 common shares per GG share held. Based on PD's closing stock price of $14.157 on December 11, the last full trading day prior to the announcement, each GG share was valued at $34.685. The transaction was accounted for as a pooling of interests.</t>
  </si>
  <si>
    <t>First Western Bancorp Inc,PA</t>
  </si>
  <si>
    <t>Sky Financial Group Inc,</t>
  </si>
  <si>
    <t>Sky Financial Group Inc (SFG) acquired First Western Bancorp Inc (FWB), New Castle, Pennsylvania, in a stock swap transaction valued at $424.297 mil. SFG offered 1. 211 common shares per FWB share. Based on SFG's closing stock price of $30.75 on December 11, the last full trading day prior to the announcement, each FWB share was valued at $37.238. The transaction was to be acccounted for as a pooling of interests.</t>
  </si>
  <si>
    <t>New England Electric System</t>
  </si>
  <si>
    <t>National Grid Group PLC</t>
  </si>
  <si>
    <t>National Grid Co merged with New England Electric System (NEES) for $53.75 in cash per share, or a total value of $4. 217 bil, including the assumption of $1 bil in liabilities. Upon completion, NEES was renamed National Grid USA.</t>
  </si>
  <si>
    <t>Physician Reliance Network Inc</t>
  </si>
  <si>
    <t>Pvd physician mgmt bus svcs</t>
  </si>
  <si>
    <t>American Oncology Resources</t>
  </si>
  <si>
    <t>Pvd health and allied services</t>
  </si>
  <si>
    <t>American Oncology Resources Inc (AO) merged with Physician Reliance Network Inc (PR) in a reverse stock swap transaction valued at $682.187 mil including the assumption of $60 mil in liabilities. AO offered .94 common shares per PR share. Based on AO's closing stock price of $12 on June 14, the last full trading day prior to the announcement, each PR share was valued at $11.28. The transaction was to be accounted for as a pooling of interests. Upon completion of the reverse takeover, PR held a 50% interest in AO, and the merged company changed its name to US Oncology.</t>
  </si>
  <si>
    <t>US Satellite Broadcasting Inc</t>
  </si>
  <si>
    <t>Provide satellite TV svcs</t>
  </si>
  <si>
    <t>Hughes Electronics Corp</t>
  </si>
  <si>
    <t>Pvd digital television svcs</t>
  </si>
  <si>
    <t>Hughes Electronics Corp (HE), a unit of General Motors Corp (GM), merged with US Satellite Broadcasting Inc (US), a majority-owned unit of Hubbard Broadcasting Inc, in a stock swap transaction valued at $1.693 bil. HE offered a choice of $18 in cash or .3199 GM Class H common shares per US share. Originally, HE offered $13.85 in cash per share or .3775 GM class H common shares per US share, subject to a collar agreement which was broken. The cash portion of the consideration was not to exceed 50% of the total consideration and the stock portion was not to exceed 70% of the total consideration.</t>
  </si>
  <si>
    <t>Chicago Pizza &amp; Brewery Inc</t>
  </si>
  <si>
    <t>La Pizza Loca Inc</t>
  </si>
  <si>
    <t>Own,op pizza restaurants</t>
  </si>
  <si>
    <t>La Pizza Loca Inc made an unsolicited offer to acquire a 72% interest, or 4,596,607 common shares of Chicago Pizza &amp; Brewery Inc, for $2 in cash per share, or a total value of $9.193 mil.</t>
  </si>
  <si>
    <t>Crane Co (CC) withdrew its unsolicited challenging offer to acquire Coltec Industries Inc (CI) in a stock swap transaction valued at $1.453 bil. CC offered .8 common shares per CII share. Based on CC's closing stock price of $28 on December 14, the last full trading day prior to the announcement, each CI share was valued at $22.40. The transaction was to be accounted for as a pooling of interests. Previously, BF Goodrich Co agreed to acquire CII in a stock swap transaction.</t>
  </si>
  <si>
    <t>Envoy Corp</t>
  </si>
  <si>
    <t>Pvd data interchange svcs</t>
  </si>
  <si>
    <t>Quintiles Transnational Corp</t>
  </si>
  <si>
    <t>Pvd contract research svcs</t>
  </si>
  <si>
    <t>Quintiles Transnational Corp (QTC) acquired Envoy Corp (EC) in a stock swap transaction valued at $1.773 bil. QTC offered 1.166 common shares per EC share. Based on QTC's closing stock price of $56. 188 on December 15, the last full trading day prior to the announcement, each EC share was valued at $65.515. The transaction was accounted for as a pooling of interests.</t>
  </si>
  <si>
    <t>WHX Corp withdrew its unsolicited hostile tender offer to acquire all the outstanding common stock of Global Industrial Technologies Inc (GI) for an amended $11.5 in cash per share, or a total value of $228.902 mil. Originally, WHX offered $10.5 in cash per share, or a total value of $224.76 mil. Included in the value was a 9.86% stake in GI that WHX acquired in October 1998.</t>
  </si>
  <si>
    <t>Hallwood Consolidated Resource</t>
  </si>
  <si>
    <t>Hallwood Consolidated Resources Corp (HCR) merged with Hallwood Energy Partners LP (HEP) to form Hallwood Energy Corp (HEC) in a reverse stock swap valued at $50.279 mil. HEP Cl A and Cl B shareholders were to receive .7417 HEC common shares per share, HEP Cl C shareholders were to receive 1 HEC redeemable preferred share per share, and HCR shareholders were to receive 1.5918 HEC common shares per share. Based on HCR's exchange ratio of 1.5918 and closing stock price of $10. 625 on Dec 14, the last full trading day prior to announcement, each HEP share was valued at $4.951. Concurrently, HCR merged the energy interests of Hallwood Group Inc (HG) into HEC. Upon completion, HEP held 56%, HCR held 26%, and HG held 18% in HEC.</t>
  </si>
  <si>
    <t>Petersen Companies Inc</t>
  </si>
  <si>
    <t>Emap PLC</t>
  </si>
  <si>
    <t>Publish consumer magazines</t>
  </si>
  <si>
    <t>EMAP PLC acquired all the outstanding common stock of Petersen Companies Inc (PC) for $34 in cash per share, or a total value of $1.495 bil, including the assumption of approximately $300 mil in liabilities. Previously, EMAP completed its tender offer for PC by accepting 34,683, 794 common shares, or about 99.7% of PC's shares. The offer was conditioned upon at least a majority of PC's shares being tendered. Upon completion, PC was renamed EMAP Petersen.</t>
  </si>
  <si>
    <t>Pharmaceutical Marketing Svcs</t>
  </si>
  <si>
    <t>Pvd info,market research svcs</t>
  </si>
  <si>
    <t>Quintiles Transnational Corp (QT) acquired all the outstanding common stock of Pharmaceutical Marketing Services Inc (PM) in a stock swap transaction valued at an estimated $244.125 mil. QT offered an estimated .3977 common shares per PM share, subject to a collar agreement. Based on QT's closing stock price of $38.4375 on March 26, the last full trading day prior to the exchange ratio being disclosed, each PM share was valued at $15.287. Originally, QT announced that it would offer $15.40 in common stock per PM share.</t>
  </si>
  <si>
    <t>Consolidated Cigar Holdings</t>
  </si>
  <si>
    <t>Manufacture cigarettes</t>
  </si>
  <si>
    <t>Seita</t>
  </si>
  <si>
    <t>Mnfr tobacco,tobacco products</t>
  </si>
  <si>
    <t>Societe Nationale d'Exploitata-tion Industrielle des Tabacset Allumettes (SEITA) acquired all the outstanding common stock of Consolidated Cigar Holdings Inc (CCH) for $17.85 in cash per share, or a total value of $730.361 mil, including the assumption of $199 mil in liabilities. Earlier, SEITA completed its tender offer for CCH by accepting 29,470,435 shares, or 99% of CCH's shares.</t>
  </si>
  <si>
    <t>Enron Oil &amp; Gas Co(Enron Corp)</t>
  </si>
  <si>
    <t>Enron Corp terminated its agreement to divest its majority-owned Enron Oil &amp; Gas Co unit to an undisclosed acquiror.</t>
  </si>
  <si>
    <t>LCS Industries Inc</t>
  </si>
  <si>
    <t>CustomerOne Holding Corp</t>
  </si>
  <si>
    <t>CustomerOne Holding Corp, a unit of Onex Corp, acquired all the outstanding common stock of LCS Industries (LCS) for $17.5 in cash per share, or a total value of $89.099 mil. Previously, CO completed its tender offer by accepting 4,637,469 shares, or 94.7% of its common shares outstanding.</t>
  </si>
  <si>
    <t>Dime Bancorp Inc (DB), New York, New York, acquired Lakeview Financial Corp (LF), Paterson, New Jersey, in a stock swap transaction valued at $107.332 mil. DB offered a choice of $24.26 in cash or 0. 9 common shares per LF share, whereby 65% of the consideration was to be payable in DB common stock and the remaining 35% was to be payable in cash. Based on DB's closing stock price of 23.5625 on December 15, the last full trading day prior to the announcement, each LF share was valued at $21.206.</t>
  </si>
  <si>
    <t>In December 1998, Hyundai Electronics Industries disclosed that it was seeking a buyer for its Maxtor Corp subsidiary.</t>
  </si>
  <si>
    <t>Chittenden Corp,Burlington,VT</t>
  </si>
  <si>
    <t>Bk hldg co;pvd finl svcs</t>
  </si>
  <si>
    <t>Chittenden Corp (CC), Burlington, Vermont, merged with Vermont Financial Services Corp (VFS), Brattleboro, Vermont, in a stock swap transaction valued at $453.962 mil. CC offered 1. 07 common shares per VFS share. Based on CC's closing stock price of $32.375 on December 15, the last full trading day prior to the announcement, each VFS share was valued at $34.641. In May 1999, CC agreed to divest 14 of VFS' Vermont National Bank branches to meet federal regulations.</t>
  </si>
  <si>
    <t>Pharmhouse Corp</t>
  </si>
  <si>
    <t>Phar-Mor acquired all the outstanding common stock of Pharmhouse for $3.25 in cash per share, or a total value of $35.047 mil, including the assumption of an estimated $26 mil in liabilities.</t>
  </si>
  <si>
    <t>RightCHOICE Managed Care Inc</t>
  </si>
  <si>
    <t>Own,operate HMOs,PPOs</t>
  </si>
  <si>
    <t>Blue Cross &amp; Blue Shield of KC</t>
  </si>
  <si>
    <t>Pvd health svcs</t>
  </si>
  <si>
    <t>Blue Cross &amp; Blue Shield of Kansas City withdrew its plans to acquire all the outstanding common stock of RightCHOICE Managed Care Inc, a majority-owned unit of Blue Cross &amp; Blue Shield of Missouri, for $15.25 in cash per Class B common share and $13.5 in cash per Class A common share, or a total value of $282.339 mil.</t>
  </si>
  <si>
    <t>Rival Co</t>
  </si>
  <si>
    <t>Moriarty Acquisition Corp</t>
  </si>
  <si>
    <t>US - Moriarty Acquisition Corp, a unit of Berkshire Partners' Holmes Products Corp subsidiary, completed its tender offer to acquire all of the outstanding common stock of Rival Co (RC) for $13.75 per share, or a total value of $129.385 mil. The offer was conditioned upon at least 70% of RC's shares being tendered.</t>
  </si>
  <si>
    <t>Wood Bancorp,Bowling Green,OH</t>
  </si>
  <si>
    <t>Sky Financial Group Inc (SFG) acquired Wood Bancorp Inc (WBI), Bowling Green, Ohio, in a stock swap transaction valued at $59.113 mil. SFG offered .7315 common shares per WBI share. Based on SFG's closing stock price of $28. 125 on December 16, the last full trading day prior to the announcement, each WBI share was valued at $20.573. The transaction was to be accounted for as a pooling of interests.</t>
  </si>
  <si>
    <t>Aliant Communications Inc</t>
  </si>
  <si>
    <t>ALLTEL merged with Aliant Communications (AC) in a stock swap transaction valued at $1.397 bil. ALLTEL offered $39.13 in common stock per AC share, subject to a collar agreement. The transaction was accounted for as a pooling of interests.</t>
  </si>
  <si>
    <t>BorgWarner Inc</t>
  </si>
  <si>
    <t>Mnfr,whl automotive components</t>
  </si>
  <si>
    <t>Borg-Warner Automotive Inc (BW), a majority-owned unit of Borg-Warner Security Corp, merged with Kuhlman Corp (KC) for $789.924 mil, including the assumption of approximately $90 mil in liabilities. The consideration consisted of $39 in cash for 78% of KC's shares and .88545 common shares per KC share for the remaining 22% of KC's shares. Based on BW's closing stock price of $45.3125 on February 23, the last full trading day prior to the exact terms being disclosed, each KC share was valued at $38.763 for the stock portion of the consideration.</t>
  </si>
  <si>
    <t>LeaRonal Inc</t>
  </si>
  <si>
    <t>Mnfr,whl chemical additives</t>
  </si>
  <si>
    <t>Rohm &amp; Haas Co</t>
  </si>
  <si>
    <t>Mnfr polymers,resins</t>
  </si>
  <si>
    <t>Rohm and Haas Co (RH) acquired all the outstanding common stock of LeaRonal Inc (LR) for $34 in cash per share, or a total value of $449.18 mil. Earlier, RH completed its tender offer for LR by accepting 12,029, 687 shares, or 96% of LR's shares.</t>
  </si>
  <si>
    <t>Ramapo Financial Corp</t>
  </si>
  <si>
    <t>Valley National Bancorp (VNB) , Wayne, New Jersey, acquired Ramapo Financial Corp (RFC), Ramapo, New Jersey, in a stock swap transaction valued at $113.194 mil. VNB offered an amended .44625 common shares per RFC share. Based on VNB's closing stock price of $28.9375 on May 14, the last full trading day prior to the amendment, each CB share was valued at $12.913. The transaction was accounted for as a pooling of interests. Originally, VNB offered .425 common shares per RFC share.</t>
  </si>
  <si>
    <t>Whittaker Corp</t>
  </si>
  <si>
    <t>Tennenbaum &amp; Co LLC withdrew its unsolicited offer to acquire the remaining 95% interest, or 10,765,589 shares, in Whittaker Corp (WC) for $18.5 in cash per share, or a total value of $201.649 mil. The offer was to be conditioned upon at least a majority of WC's shares being tendered.</t>
  </si>
  <si>
    <t>Bradford Group</t>
  </si>
  <si>
    <t>Bradford Group planned to launch an unsolicited tender offer to acquire all the outstanding common stock of Amedisys Inc, a majority- owned unit of M&amp;N Capital (MN) , for $5 in cash per share, or a total value of $24. 001mil.</t>
  </si>
  <si>
    <t>Aviation Technologies Ltd</t>
  </si>
  <si>
    <t>Airline hldg co</t>
  </si>
  <si>
    <t>Aviation Technologies Ltd (AT) terminated its plans to make a challenging offer to acquire all the outstanding common stock of Reno Air Inc (RA) for $8.15 in cash per share, or a total value of $149.237 mil. Previously, American Airlines Inc, a unit of AMR Corp, acquired all the outstanding stock of RA.</t>
  </si>
  <si>
    <t>Aames Financial Corp</t>
  </si>
  <si>
    <t>Provide mortgage banking svcs</t>
  </si>
  <si>
    <t>Capital Z Finl Svcs Fund</t>
  </si>
  <si>
    <t>Capital Z Financial Services Fund II LP (CFS), a fund owned by Zurich Financial Services Group, acquired a 57. 2% interest, or 17.741 mil common shares, in Aames Financial Corp (AFC) for $75 mil, by acquiring 2 new series of convertible preferred stock. Concurrently, CFS was granted an option to acquire a 19.1% stake in AFC.</t>
  </si>
  <si>
    <t>Kimberly-Clark Corp (KC) acquired Ballard Medical Products (BM) in a stock swap transaction valued at $761. 314 mil. KC offered $25 in common stock per BM share.</t>
  </si>
  <si>
    <t>Building One Services Corp</t>
  </si>
  <si>
    <t>Pvd facilities maintenance svc</t>
  </si>
  <si>
    <t>Boss Investment LLC</t>
  </si>
  <si>
    <t>Boss Investment LLC, a unit of Apollo Management LP, withdrew its agreement to merge with Building One Services Corp.</t>
  </si>
  <si>
    <t>Rutherford-Moran Oil Corp</t>
  </si>
  <si>
    <t>Chevron Corp (CC) acquired all the outstanding common stock of Rutherford-Moran Oil Corp (RM) in a stock swap transaction valued at an estimated $396.292 mil, including the assumption of an estimated $302 mil in liabilities. CC offered . 043983 common shares per RM share held. Based on CC's closing stock price of $83.75 on December 22, the last full trading day prior to the announcement, each RM share was valued at $3.684. Previously, in November 1998, RM announced that it was seeking a buyer for the company. Subsequently, in December 1998, CC definitively agreed to acquire RM for $3.50 in common stock per share.</t>
  </si>
  <si>
    <t>COHR Inc</t>
  </si>
  <si>
    <t>An investor group, including Three Cities Research Inc, acquired the remaining 52%, or 3.345 mil common shares, which it did not already own, in COHR Inc (CR) for a sweetened $6.50 in cash per share, or a total value of $21.744 mil. Previously, the investor group completed its tender offer to acquire CR by accepting 2.953 mil shares. Originally, IG offered $5.375 in cash per share. Previously, IG acquired a 48% stake in CR.</t>
  </si>
  <si>
    <t>Heartland Bancshares Inc,IL</t>
  </si>
  <si>
    <t>Savings bank holding co</t>
  </si>
  <si>
    <t>Banterra Corp</t>
  </si>
  <si>
    <t>Banterra Corp acquired all the outstanding common stock of Heartland Bancshares Inc for $15.75 in cash per share, or a total value of $13.27.</t>
  </si>
  <si>
    <t>Kaynar Technologies Inc</t>
  </si>
  <si>
    <t>Mnfr metal equip,components</t>
  </si>
  <si>
    <t>Fairchild Corp acquired all the outstanding common stock of Kaynar Technologies Inc for $28.75 per share, or a total value of $388.743 mil, including the assumption of $98 mil in liabilities. Included in the value was a 5. 98% stake, or .303 mil common shares, acquired in November 1998.</t>
  </si>
  <si>
    <t>Value City Department Stores</t>
  </si>
  <si>
    <t>Value City Department Stores Inc (VC), a majority-owned unit of Schottenstein Stores Corp, raised its stake to 53% from 33% in Crowley Miller &amp; Co (CM) by acquiring .3 mil common shares for .025 mil VC common shares, or a total value of $.322 mil. Based on VC's closing stock price of $12.875 each CM share was valued at $3.21.</t>
  </si>
  <si>
    <t>LCS Golf Inc</t>
  </si>
  <si>
    <t>Mnfr,whl golf prod</t>
  </si>
  <si>
    <t>Securities Resolutions</t>
  </si>
  <si>
    <t>Investors</t>
  </si>
  <si>
    <t>Securities Resolutions Advisory terminated its letter of intent to acquire all the outstanding common stock of LCS Golf Inc. Terms were not disclosed. Financial terms were to be released with the signing of a definitive agreement.</t>
  </si>
  <si>
    <t>Quizno's Corp</t>
  </si>
  <si>
    <t>An investor group, comprised of Richard E Schaden and Richard F Schaden, planned to acquire all the outstanding shares of Quizno's Corp for between $7.84 and $8.20 per share, or a total value between $34.104 and $35.67 mil.</t>
  </si>
  <si>
    <t>Jewelcor Inc</t>
  </si>
  <si>
    <t>Jewelcore Inc (JI) withdrew its offer to acquire all the outstanding common stock of Designs Inc (DI) for an amended $3.65 in cash per share, or a total value of $57.955 mil. Originally, JI offered to acquire DI for $3 in cash per share. Previously, in December 1998, DI announced that it was seeking a buyer for the company.</t>
  </si>
  <si>
    <t>First Banks Inc, Clayton, Missouri (FBI), planned to launch a Dutch auction tender offer for the remaining 14% stake, which it did not already own, in First Banks America Inc, a unit of FBI, for between $21 and $16.50 in cash per share, or a total value of $22.774 mil, with the value based on the high price on the range.</t>
  </si>
  <si>
    <t>Interlinq Software Corp</t>
  </si>
  <si>
    <t>Dvlp information tech</t>
  </si>
  <si>
    <t>WR Hambrecht &amp; Co LLC</t>
  </si>
  <si>
    <t>WR Hambrecht &amp; Co withdrew its agreement to acquire all the outstanding common stock of Interlinq Software for $9. 25 in cash per share, or a total value of $52.931 mil.</t>
  </si>
  <si>
    <t>SkyMall Inc</t>
  </si>
  <si>
    <t>Pvd in-flight shopping</t>
  </si>
  <si>
    <t>Chief Executive Officer, Mr. Robert Worsley, raised his stake to 54% from 27.01% in SkyMall Inc by acquiring 2.3 mil common shares.</t>
  </si>
  <si>
    <t>Xeon Financial Corp</t>
  </si>
  <si>
    <t>First Security Bank of Nevada, Las Vegas, Nevada, a unit of First Security Corp (FSC), mergeD with Xeon Financial Corp (XFC) in a stock swap transaction valued at $28.266 mil. FSC offered . 4662 common shares per XFC share. Based on FSC's closing stock price of $21.75 on December 29, the last full trading day prior to the announcement, each XFC share was valued at $10.14.</t>
  </si>
  <si>
    <t>AirTouch Communications Inc</t>
  </si>
  <si>
    <t>Bell Atlantic Corp withdrew its negotiations to acquire all the outstanding common stock of AirTouch Communications (AT). Concurrently, Vodafone Group PLC merged with AT.</t>
  </si>
  <si>
    <t>Anchor BanCorp Wisconsin Inc</t>
  </si>
  <si>
    <t>US - Anchor Bancorp Wisconsin Inc (ABW), Madison, Wisconsin, merged with FCB Financial Corp (FCB), Neenah, Wisconsin, in a stock swap transaction valued at USD 174.872 mil. ABW offered 1.83 common shares per FCB share. Based on ABW's closing stock price of USD 24.125 on January 4, the last full trading day prior to the announcement, each FCB share was valued at USD 44.149 per share. The transaction was to be accounted for as a pooling of interests.</t>
  </si>
  <si>
    <t>Peekskill Finl,Peekskill,NY</t>
  </si>
  <si>
    <t>An investor group, led by BRT Realty Trust, planned to launch an unsolicited tender offer to acquire all the outstanding common stock of Peekskill Financial Corp, Peekskill, New York, for $17. 25 in cash per share, or a total value of $50.622 mil.</t>
  </si>
  <si>
    <t>ExecuStay Corp</t>
  </si>
  <si>
    <t>Own and operate rooming houses</t>
  </si>
  <si>
    <t>Marriott International Inc</t>
  </si>
  <si>
    <t>Own,op hotels,restaurants</t>
  </si>
  <si>
    <t>Marriott International Inc (MI), a unit of Marriott Corp, completed its tender offer to acquire the remaining 56. 24% interest in ExecuStay Corp (ES) for $14 per share, or a total value of $64.844 mil. The offer was conditioned upon at least 70% of ES' shares being tendered. Concurrently, MI agreed to acquire a 43.76% stake for $13 per share in ES from the founders.</t>
  </si>
  <si>
    <t>MCI WorldCom</t>
  </si>
  <si>
    <t>MCI WorldCom withdrew its rumored intentions to acquire all the oustanding stock of AirTouch Communications (AC). Concurrently, Vodafone Group PLC and Bell Atlantic Corp were rumored to be planning to acquire AC.</t>
  </si>
  <si>
    <t>Defiance Inc</t>
  </si>
  <si>
    <t>Mnfr,whl bearings</t>
  </si>
  <si>
    <t>General Chemical Group Inc</t>
  </si>
  <si>
    <t>Mnfr industrial inorganic chem</t>
  </si>
  <si>
    <t>General Chemical Group (GC) acquired all the outstanding common stock of Defiance Inc (DI) for $9.5 in cash per share, or a total value of $57.81 mil. Previously, GC completed its tender offer to acquire DI by accepting 5,651, 767 common shares, or about 94% of DI's shares. The offer had been conditioned upon at least 50% of DI's shares being tendered.</t>
  </si>
  <si>
    <t>Sirrom Capital Corp</t>
  </si>
  <si>
    <t>Special purpose finance co</t>
  </si>
  <si>
    <t>Finova Group Inc (FGI) acquired Sirrom Capital Corp (SCC) in a stock swap transaction valued at $348. 164 mil. FGI offered .1634 common shares per SCC share. Based on FGI's closing stock price of $56.9375 on January 6, the last full trading day prior to the announcement, each SCC share was valued at $9.304.</t>
  </si>
  <si>
    <t>Trident International Inc</t>
  </si>
  <si>
    <t>Manufacture printing machinery</t>
  </si>
  <si>
    <t>Illinois Tool Works Inc completed its tender offer to acquire all the outstanding common stock of Trident International Inc (TI) for $16.50 in cash per share, or a total value of $111.653 mil, by acquiring 6.755 mil shares, or 97% of common shares outstanding. The offer was conditioned upon at least a majority of TI's shares being tendered on a fully diluted basis.</t>
  </si>
  <si>
    <t>Horizon Group Properties Inc</t>
  </si>
  <si>
    <t>Prime Capital Holding LLC</t>
  </si>
  <si>
    <t>Prime Capital Holding LLC, a unit of Prime Group Inc, withdrawn its plan to acquire all the outstanding common stock of Horizon Group Properties Inc.</t>
  </si>
  <si>
    <t>Alarmguard Holdings Inc</t>
  </si>
  <si>
    <t>Pvd security sys svcs;hldg co</t>
  </si>
  <si>
    <t>ADT Inc(ADT Group PLC)</t>
  </si>
  <si>
    <t>Mnfr electronic security sys</t>
  </si>
  <si>
    <t>ADT Inc, a unit of the ADT Group PLC subsidiary of Tyco International Ltd's ADT Ltd unit, acquired all the outstanding common stock of Alamguard Holdings Inc (AH) via a tender offer for $9.25 in cash per share, or a total value of $53.376 mil. The offer was to be conditioned upon at least a majority of AH's shares being tendered.</t>
  </si>
  <si>
    <t>Centris Group Inc</t>
  </si>
  <si>
    <t>HCC Insurance Holdings Inc withdrew its unsolicited offer to acquire all the outstanding common stock of Centris Group Inc for $13.25 in cash per share, or a total value of $159.705 mil.</t>
  </si>
  <si>
    <t>International CompuTex Inc</t>
  </si>
  <si>
    <t>Dvlp client/server software</t>
  </si>
  <si>
    <t>Information Handling Svcs Inc</t>
  </si>
  <si>
    <t>Dvlp content software</t>
  </si>
  <si>
    <t>Information Handling Services, a unit of the Information Handling Services Group subsidiary of Thyssen- Bornamisza's TBG unit, acquired all the outstanding common stock of International CompuTex (IC). The consideration consisted of $9. 50 in cash per share in exchange for 26% of IC's shares and stock in the newly formed company for the remaining 74% of the shares.</t>
  </si>
  <si>
    <t>PharMerica Inc</t>
  </si>
  <si>
    <t>Retail pharma prod</t>
  </si>
  <si>
    <t>Bergen Brunswig Corp (BB) merged with PharMerica Inc (PM) in a stock swap transaction valued at $1.385 bil including the assumption of $580 mil in liabilities. BB offered .275 common shares per PM share. Based on BB's closing stock price of $32.50 on January 8, the last full trading day prior to the announcement, each PM share was valued at $8.9375.</t>
  </si>
  <si>
    <t>SPR Inc</t>
  </si>
  <si>
    <t>Metamor Worldwide Inc (MW) withdrew its agreement to merge with SPR Inc (SP) in a stock swap transaction valued at $325.232 mil. MW offered . 8 common shares per SP share. Based on MW's closing stock price of $28.50 on January 8, the last full trading day prior to the announcement, each SP share was valued at $22.80. The transaction was to be accounted for as a pooling of interests.</t>
  </si>
  <si>
    <t>Shopping.com</t>
  </si>
  <si>
    <t>Pvd internet shopping svcs</t>
  </si>
  <si>
    <t>Compaq Computer Corp (CC) acquired Shopping.com (SC) for an amended $18.25 in cash per share, or a total value of $130.092 mil. Earlier, CC completed its tender offer for SC by accepting 7.165 mil common shares, or 95.9% of the shares outstanding. Previously, CC offered $19 in cash per share, or a total value of $135.694 mil. The tender was conditioned upon at least 90% of SC's shares being tendered and had been subject to regulatory approval.</t>
  </si>
  <si>
    <t>Unitog Co</t>
  </si>
  <si>
    <t>Mnfr, whl and supply uniforms</t>
  </si>
  <si>
    <t>Cintas Corp</t>
  </si>
  <si>
    <t>Mnfr,pvd uniforms rental svcs</t>
  </si>
  <si>
    <t>Cintas Corp (CC) merged with Unitog Corp (UC) in a stock swap transaction valued at $370.824 mil. CC offered $38 in CC common stock, subject to a collar agreement.</t>
  </si>
  <si>
    <t>Lucent Technologies (LT) acquired all the outstanding common stock of Ascend Communications (AC) in a stock swap transaction valued at $21.423 bil. LT offered 1. 65 common shares per AC share held. Based on LT's split- adjusted closing stock price of $53.938 on January 12, the last full trading day prior to the announcement, each AC share was valued at $88.998. The transaction was accounted for as a pooling of interests. Originally, LT was rumored to be in negotiations to acquire AC.</t>
  </si>
  <si>
    <t>Comstock Bancorp,Reno,Nevada</t>
  </si>
  <si>
    <t>First Security Corp (FSC), Salt Lake City, Utah, acquired Comstock Bancorp (CSB), Reno, Nevada, in a stock swap transaction valued at $66.928 mil. FSC offered . 675 common shares per CSB share. Based on FSC's closing stock price of $18.938 on May 31, the last full trading day prior to the announcement, each CSB share was valued at $12.783.</t>
  </si>
  <si>
    <t>Casella Waste Systems Inc</t>
  </si>
  <si>
    <t>Casella Waste Systems Inc (CW) acquired KTI Inc (KI) in a stock swap transaction valued at $381.74 mil, including the assumption of $225 mil in liabilities. CW offered an amended .51 common shares per KI share. Based on CW's closing stock price of $21.25 on May 12, the last full trading day prior to the amendment, each KI share was valued at $10.838. The transaction was to be accounted for as a pooling of interests. Previously, CW agreed to acquire KI in a stock swap transaction valued at $182.767. CW offered .59 common shares per KI share. Based on CW's closing stock price of $28.125 on January 12, the last full trading day prior to the announcement, each KI share was valued at $12.538. The transaction was to be accounted for as a pooling of interests. Originally, CW agreed to acquire KI in a stock swap transaction valued at $383. 188 mil. CW offered .91 common shares per KI share. Based on CW's closing stock price of $28.125 on January 12, the last full trading day prior to the announcement, each KI share was valued at $25.59.</t>
  </si>
  <si>
    <t>Morton International Inc</t>
  </si>
  <si>
    <t>Rohm and Haas Co (RH) acquired all the outstanding common stock of Morton International Inc (MI) for an amended $5.076 bil, including the assumption of $268 mil in liabilities. The consideration consisted of $24.55 in cash and .368776 common shares, subject to a collar agreement, per share. Based on RH's closing stock price of $38.75 on April 22, the last full trading day prior to the amendment, each MI share was valued at $38.84 per share. Originally, RH agreed to acquire MI in a two- tier merger transaction valued at $4.857 bil, including the assumption of $268 mil in liabilities. RH was to acquire the initial 67% interest in MI via a tender offer for $37.125 in cash per share and to acquire the remaining 33% stake via a stock swap for $37.125 in common stock per share. The tender offer was conditioned upon at least 50.1% of MI's shares being tendered on a fully diluted basis.</t>
  </si>
  <si>
    <t>Santa Fe Energy Resources Inc (SF) merged with Snyder Oil Corp (SO) in a stock swap transaction valued at $685. 681 mil, including the assumption of $216 mil in liabilities. SF offered 2.05 common shares per SO share. Based on SF's closing stock price of $6.625 on January 12, the last full trading day prior to the announcement, each SO share was valued at $13.58. Upon completion the combined company was named Santa Fe Snyder Corp (SFS), and SF shareholders owned 60% of SFS.</t>
  </si>
  <si>
    <t>Axsys Technologies Inc (ATI) received an unsolicited tender offer from an undisclosed acquiror to acquire the company for $20 in cash per share, or a total value of $80.599 mil. Concurrently, Stephen Bershad withdrew his offer to acquire ATI.</t>
  </si>
  <si>
    <t>Winsloew Furniture Inc</t>
  </si>
  <si>
    <t>Mnfr indoor,outdoor furniture</t>
  </si>
  <si>
    <t>A management-led investor group (MI), including Mr. Earl Powell, acquired Winsloew Furniture Inc (WF) for an amended $34.75 in cash per share, or a total value of $274.759 mil, in leveraged buyout transaction. Previously, MI agreed to acquire WF for $33 per share, or a total value of $267.771 mil. Originally, MI agreed to acquire WF for $30 per share, or a total value of $236.216 mil.</t>
  </si>
  <si>
    <t>Vodafone Group PLC</t>
  </si>
  <si>
    <t>Pvd mobile telecom svcs</t>
  </si>
  <si>
    <t>Vodafone Group PLC (VG) merged with AirTouch Communications (AT) in a merger-of-equals stock swap transaction valued at $60.287 bil. VG offered 5 ordinary shares per AT share and $9 in cash per share. Based on VG's closing stock price of $17. 651 on January 15, the last full trading day prior to the announcement of the agreement, each AT share was valued at $97.515. Previously, VG was rumored to be planning to acquire all the outstanding stock of AT. Concurrently, Bell Atlantic Corp had been rumored to be in negotiations to acquire all the outstanding common stock of AT. Upon completion, the new company was renamed Vodafone AirTouch PLC.</t>
  </si>
  <si>
    <t>MIPS Technologies Inc</t>
  </si>
  <si>
    <t>Mnfr electronic computer</t>
  </si>
  <si>
    <t>In January 1999 Silicon Graphics Inc announced that it was seeking a buyer for its MIPS Technologies Inc subsidiary.</t>
  </si>
  <si>
    <t>FDP Corp</t>
  </si>
  <si>
    <t>SunGard Data Systems Inc (SD) acquired FDP Corp (FD) in a stock swap transaction valued at $89.692 mil. SD offered $. 4114 common shares per FD share, subject to a collar agreement. The transaction was accounted for as a pooling of interests.</t>
  </si>
  <si>
    <t>GeoScience Corp(Tech-Sym Corp)</t>
  </si>
  <si>
    <t>Mnfr elec measuring devices</t>
  </si>
  <si>
    <t>Core Laboratories NV</t>
  </si>
  <si>
    <t>Pvd petroleum svcs</t>
  </si>
  <si>
    <t>Core Laboratories NV (CL) terminated its agreement to acquire GeoScience Corp (GSC), a majority-owned unit of Tech-Sym Corp, in a stock swap transaction valued at $216.334 mil, including the assumption of $33 mil in liabilities. GSC offered . 6778 common shares and $2.46 in cash per CB share. Based on CL's closing stock price of $22.75 on January 15, the last full trading day prior to the announcement, each GSC share was valued at $17.88.</t>
  </si>
  <si>
    <t>ABT Building Products Corp</t>
  </si>
  <si>
    <t>Mnfr,whl building materials</t>
  </si>
  <si>
    <t>US - Louisiana-Pacific Corp (LP) acquired all the outstanding common stock of ABT Building Products Corp (ABT), a majority-owned unit of Kolhberg Associates LP, for $15 in cash per share, or a total value of $222.047 mil, including the assumption of $50 mil in liabilities. Earlier, LP completed its tender offer for ABT by accepting 10,524,722 shares, or 98.6% of ABT's shares.</t>
  </si>
  <si>
    <t>AG Associates Inc</t>
  </si>
  <si>
    <t>Mnfr single-wafer equipment</t>
  </si>
  <si>
    <t>Evonik Steag GmbH</t>
  </si>
  <si>
    <t>Own,op coal-fired power plant</t>
  </si>
  <si>
    <t>Steag AG (SAG), a unit of Ruhrkohle acquired AG Associates (AA) for $34.58 mil. Previously, SAG completed its tender offer to acquire all the outstanding common stock of AA for $5.50 in cash per share, or a total value of $31.35 mil by accepting 5.7 mil shares, or about 91% of the outstanding common stock. The offer was conditioned upon at least a majority of AA's shares being tendered.</t>
  </si>
  <si>
    <t>United Information Group</t>
  </si>
  <si>
    <t>United Information Group (UIG), a unit of United News &amp; Media PLC, acquired all the outstanding common stock of Audits &amp; Surveys Worldwide Inc (ASW) Previously UIG completed its tender offer to acquire all the outstanding stock of ASW by accepting 13, 643,926 common shares, or 97. 5% for $3.24 in cash per share, or a total value of $43.224 mil.</t>
  </si>
  <si>
    <t>Newport News Shipbuilding Inc</t>
  </si>
  <si>
    <t>Mnfr,repair aircraft carriers</t>
  </si>
  <si>
    <t>Newport News Shipbuilding Inc (NNS) withdrew its agreement to merge with Avondale Industries Inc (AVI) in a stock swap transaction valued at $474.536 mil. NNS offered $35.50 in common stock per AVI share. The transaction was to be accounted for as a pooling of interests. Upon completion, the merged entity was to be named Newport News Avondale Industries. Subsequently, Litton Industries Inc (LI) made an unsolicited challenging bid to acquire AVI for an amended $523.84 mil, LI definitively agreed to acquire AVI, and LI made an unsolicited offer to acquire NNS.</t>
  </si>
  <si>
    <t>Excel Industries Inc</t>
  </si>
  <si>
    <t>Mnfr motor vehicle windows</t>
  </si>
  <si>
    <t>DURA Automotive Systems Inc</t>
  </si>
  <si>
    <t>Mnfr shifter sys</t>
  </si>
  <si>
    <t>Dura Automotive Systems Inc (DAS) acquired all the outstanding common stock of Excel Industries Inc (EIC) in a stock swap transaction valued at $482.106 mil, including the assumption of approximately $153.7 mil in liabilities. The consideration consisted of $12.75 in cash and .4 DAS Class A common shares per EIC share. Based on DAS' closing stock price of $33.5625 on January 15, the last full trading day prior to the announcement, each EIC share was valued at $26.175.</t>
  </si>
  <si>
    <t>At Home Corp</t>
  </si>
  <si>
    <t>At Home Corp (AH) merged with Excite Inc (EI) in a stock swap transaction valued at $5.95 bil. AH offered 1. 042 common shares per EI common share. Based on AH's closing stock price of $102 on January 15, the last full trading day prior to the announcement, each EI share was valued at $106.284. Upon completion, the merged company was renamed Excite At Home.</t>
  </si>
  <si>
    <t>Four Media Co</t>
  </si>
  <si>
    <t>Pvd television,film services</t>
  </si>
  <si>
    <t>Warburg Pincus Equity Partners</t>
  </si>
  <si>
    <t>Venture capital fund</t>
  </si>
  <si>
    <t>Warburg Pincus Equity Partners LP (WP) acquired a 53.09% interest, or 10.2 mil common shares, in Four Media Co (FMC), for an estimated $80.01 mil. Included in the interest was a 16.13% stake from Technician Service Partners LP, for $23.4 mil. WP also received a warrant exercisable into 1.1 mil common shares at a price of $15 per share.</t>
  </si>
  <si>
    <t>America West Holdings Corp</t>
  </si>
  <si>
    <t>UAL Corp was rumored to be in negotiations to acquire all the outstanding common stock of America West Holdings Corp. The Current status of this deal is unknown.</t>
  </si>
  <si>
    <t>Royal Precision Inc</t>
  </si>
  <si>
    <t>Mnfr steel golf club shafts</t>
  </si>
  <si>
    <t>Coyote Sports Inc</t>
  </si>
  <si>
    <t>Mnfr,whl sporting goods</t>
  </si>
  <si>
    <t>Coyote Sports Inc (CSI) terminated its agreement to merge with Royal Precision Inc (RPI) in a stock swap transaction valued at $34.986 mil. CSI offered $6 in a new class of convertible preferred stock per RPI share.</t>
  </si>
  <si>
    <t>NationsRent Inc</t>
  </si>
  <si>
    <t>Pvd equipment rental svcs</t>
  </si>
  <si>
    <t>Rental Service Corp</t>
  </si>
  <si>
    <t>Rental Service Corp (RS) terminated its merger agreement with NationsRent Inc (NR) to form RSC NationsRent in a stock swap transaction valued at $372. 727 mil. RS offered .355 common shares per NR share. Based on RS's closing stock price of $23.25 on January 20, the last full trading prior to the announcement, each NR share was valued at $8.25. The transaction was to be accounted for as a pooling of interests. Concurrently, United Rentals launched a hostile tender offer to acquire RS.</t>
  </si>
  <si>
    <t>Treadco Inc</t>
  </si>
  <si>
    <t>Own,operate auto supply stores</t>
  </si>
  <si>
    <t>Arkansas Best Corp (AB) acquired the remaining 49% stake, or 2.485 mil common shares, which it did not already own, in Treadco Inc (TI) for $9 in cash per share, or a total value of $22.654 mil. Previously, AB completed its tender offer by acquiring 2.5 mil common shares, or 48. 102% of TI's shares.</t>
  </si>
  <si>
    <t>Yieldup International Corp</t>
  </si>
  <si>
    <t>Manufacture industrial equip</t>
  </si>
  <si>
    <t>FSI International Inc</t>
  </si>
  <si>
    <t>Whl surface conditioning equip</t>
  </si>
  <si>
    <t>FSI International Inc (FSI) acquired YieldUP International Corp (YIC) in a stock swap transaction valued at $22.647. FSI offered $. 7313 mil in cash and .1567 common shares per YIC share. Based on FSI's closing stock price of $12.8125 on January 21, the last full trading day prior to the announcement, each YIC share was valued at $2.739.</t>
  </si>
  <si>
    <t>Adirondack Financial Services</t>
  </si>
  <si>
    <t>CNB Banschares Inc (CNB), Evansville, Indiana, acquired all the outstanding common stock of Adirondack Financial Services Bancorp Inc (AFS), Gloversville, New York, for $21.88 in cash per share, or a total value of $14.468 mil.</t>
  </si>
  <si>
    <t>Natl City Bancshares Inc,IN</t>
  </si>
  <si>
    <t>CNB Bancshares (CNB), Evansville, Indiana, terminated its agreement to merge with National City Bancshares Inc (NCB) in a stock swap transaction valued at $301.681. CNB offered .91 common shares per NCB share. Based on CNB's closing stock price of $36.875 on January 25, the last full trading day prior to the announcement, each NCB share was valued at $33.556.</t>
  </si>
  <si>
    <t>Skaneateles Bancorp Inc</t>
  </si>
  <si>
    <t>BSB Bancorp Inc,Binghamton,NY</t>
  </si>
  <si>
    <t>BSB Bancorp Inc (BS) merged with Skaneateles Bancorp Inc (SB) in a stock swap transaction valued at $42.426 mil. BS offered .97 common shares per SB share. Based on BS's closing stock price of $28.75 on January 22, the last full trading day prior to the announcement, each SB share was valued at $27.89. The transaction was to be accounted for as a pooling of interests.</t>
  </si>
  <si>
    <t>Agouron Pharmaceuticals Inc</t>
  </si>
  <si>
    <t>Mnfr,whl pharmaceuticals</t>
  </si>
  <si>
    <t>Warner-Lambert Co</t>
  </si>
  <si>
    <t>Health care,consumer products</t>
  </si>
  <si>
    <t>Warner-Lambert Co (WL) acquired all the outstanding common stock of Agouron Pharmaceuticals Inc (AP) in a stock swap transaction valued at $2.196 bil, subject to a collar agreement. WL offered $60 in WL common shares per AP share, subject to a collar agreement. The transaction was accounted for as a pooling of interests. Concurrently, AP withdrew its intentions to spinoff its oncology division.</t>
  </si>
  <si>
    <t>Lasergate Systems Inc</t>
  </si>
  <si>
    <t>Mnfr electronic scanners</t>
  </si>
  <si>
    <t>Advantix</t>
  </si>
  <si>
    <t>Pvd computerized ticket svcs</t>
  </si>
  <si>
    <t>Advantix, a unit of Playhouse Square Foundation, completed its unsolicited tender offer to acquire an 84% interest in Lasergate Systems Inc, or 7.8 mil common shares and 7,500 Series G convertible preferred shares, for $.10 per share, or a total of $3. 266 mil. Each Series G preferred share was convertible into 4,354 common shares.</t>
  </si>
  <si>
    <t>Hubco Inc (HI), Mahwah, New Jersey, acquired Little Falls Bancorp Inc (LF), Little Falls, New Jersey, in a stock swap transaction valued at $54.119 mil. HI offered a choice of 0.65 common shares per LF share or $20.64 in cash per share. Based on HI's closing stock price of $32. 125 on January 25, the last full trading day prior to the announcement, each LF share was valued at $20.88.</t>
  </si>
  <si>
    <t>AFC Cable Systems Inc</t>
  </si>
  <si>
    <t>Mnfr electrical products</t>
  </si>
  <si>
    <t>Thomas &amp; Betts Corp (TB) withdrew its agreement to acquire all the outstanding common stock of AFC Cable Systems Inc (AF) in a stock swap transaction valued at $519.758 mil. TB offered .83 common shares per AF share. Based on TB's closing stock price of $47 on January 26, the last full trading day prior to the announcement, each AF share was valued at $39.01. The transaction was to be accounted for as a pooling of interests. Later, Tyco International Ltd agreed to acquire all the outstanding common stock of AF.</t>
  </si>
  <si>
    <t>First Citizens Corp,Newman,GA</t>
  </si>
  <si>
    <t>BB&amp;T Corp</t>
  </si>
  <si>
    <t>BB&amp;T Corp (BBT), Winston- Salem, North Carolina, planned to acquire First Citizens Corp (FCC) in a stock swap transaction valued at $119.745. BBT offered 1. 0789 common shares per FCC Share. Based BBT's closing stock price of $38.4375 on January 26, the last full trading day prior to the announcement, each FCC share was valued at $41.4702.</t>
  </si>
  <si>
    <t>GeoCities</t>
  </si>
  <si>
    <t>Pvd web-based cmnty svcs</t>
  </si>
  <si>
    <t>Yahoo! Inc (YI) acquired all the outstanding common stock of GeoCities (GC) in a stock swap transaction valued at $4. 66 bil. YI offered .3384 common shares per GC common share. Based on YI's closing stock price of $351.25 on January 27, the last full trading day prior to the announcement, each GC share was valued at $118.863. The transaction was accounted for as a pooling of interests.</t>
  </si>
  <si>
    <t>Asphalt Associates Inc</t>
  </si>
  <si>
    <t>Pacific WebWorks Inc</t>
  </si>
  <si>
    <t>Dvlp business software</t>
  </si>
  <si>
    <t>Pacific WebWorks Inc (PW) merged with Asphalt Associates Inc (AA) in a stock swap transaction. Upon completion of the reverse takeover, AA held a majority interest in the combined company which retained the PW name.</t>
  </si>
  <si>
    <t>BB&amp;T Corp (BC), Winston- Salem, North Carolina, acquired Mason-Dixon Bancshares (MB), Westminster, Maryland, in a stock swap transaction valued at $244. 854 mil. BC offered 1.3 common shares per MB share. Based on BC's closing stock price of $37.1875 on January 27, the last full trading day prior to the announcement, each MB share was valued at $48.344. The transaction was to be accounted for as a pooling of interests.</t>
  </si>
  <si>
    <t>Signature Inns Inc</t>
  </si>
  <si>
    <t>Jameson Inns Inc</t>
  </si>
  <si>
    <t>Jameson Inns Inc (JII) merged with Signature Inns Inc (SII) in a stock swap transaction valued at $41.218 mil. JII offered .5 common shares and $1.50 in cash per SII share. Based on JII's closing stock price of $9.125 on January 27, the last full trading day prior to the announcement, each SII share was was valued at $6.063.</t>
  </si>
  <si>
    <t>Eastern Utilities Associates</t>
  </si>
  <si>
    <t>National Grid USA (NG), formerly known as New England Electric System, a unit of National Grid Group PLC, merged with Eastern Utilities Associates (EU) for $31.429 in cash per share, or a total value of $642.283 mil. Subsequently in May 2000, EU's Eastern Edison unit was to become part of NG's Massachusetts Electric subsidiary and and it's Newport Electric Corp unit was to become part of NG's Narragansett Electric Co.</t>
  </si>
  <si>
    <t>Checker's Drive-In Restaurants Inc (CD) merged with Rally's Hamburgers Inc (RH) in a stock swap transaction valued at $35.82 mil. CD offered 1.99 common shares per RH share. Based on CD's closing stock price of $. 531 on January 28, the last full trading day prior to the announcement, each RH share was valued at $1.057.</t>
  </si>
  <si>
    <t>Standard Funding Corp</t>
  </si>
  <si>
    <t>Atlantic Bank of New York,NY</t>
  </si>
  <si>
    <t>Coml bank;travel agency</t>
  </si>
  <si>
    <t>Atlantic Bank of New York, New York, New York, acquired all the outstanding common stock of Standard Funding Corp for approximately $9.66 mil. The consideration consisted of $3.5 in cash per share, or a total value of $9. 66 mil and an undisclosed amount of notes.</t>
  </si>
  <si>
    <t>Aeroquip-Vickers Inc</t>
  </si>
  <si>
    <t>Mnfr hoses,hydraulic sys</t>
  </si>
  <si>
    <t>Eaton Corp</t>
  </si>
  <si>
    <t>Eaton Corp acquired all the outstanding common stock of Aeroquip-Vickers Inc for $58 in cash per share, or a total value of $1.634 bil.</t>
  </si>
  <si>
    <t>Data Systems Network Corp</t>
  </si>
  <si>
    <t>Alydaar Software Corp</t>
  </si>
  <si>
    <t>Dvlp Y2K correction software</t>
  </si>
  <si>
    <t>Alydaar Software Corp (AS) withdrew its agreement to merge with Data Systems Network Corp (DS) in a stock swap transaction valued at $18.6 mil. AS offered 1.6 mil common shares for all DS common shares. The shares were valued based on AS's closing stock price of $11. 625 on January 26, the last full trading day prior to the announcement.</t>
  </si>
  <si>
    <t>MovieFone Inc</t>
  </si>
  <si>
    <t>Pvd interactive info svcs</t>
  </si>
  <si>
    <t>America Online Inc (AO) acquired MovieFone Inc (MI) in a stock swap transaction valued at $384.603 mil. AO offered $29.25 in common stock per MI share, subject to a collar agreement. The transaction was accounted for as a pooling of interests.</t>
  </si>
  <si>
    <t>Ranger Aerospace Corp</t>
  </si>
  <si>
    <t>Pvd aircraft maintenance svcs</t>
  </si>
  <si>
    <t>Ranger Aerospace (RA) withdrew its challenging offer to acquire all the outstanding common stock of Hudson General (HG) for a sweetened $72 in cash per share, or a total value of $127.418 mil. Originally, RA offered $62 in cash per share, or a total value of $109.655 mil. Previously, in December 1998, HG received the offer from an undisclosed acquiror. In November 1998, a management-led investor group agreed to acquire HG and in March 1999, that agreement was terminated. In February 1999, both GlobeGround (GG) and Ogden made separate challenging offers to acquire HG. In March 1999, GG completed its tender offer by accepting 97.57% of HG's shares, and Ogden withdrew its offer.</t>
  </si>
  <si>
    <t>Midwest Bancshares Inc,Iowa</t>
  </si>
  <si>
    <t>Mahaska Investment Co,Iowa</t>
  </si>
  <si>
    <t>Mahaska Investment Co (MIC), Oskaloosa, Iowa, acquired Midwest Bancshares Inc (MB), Burlington, Iowa, in a stock swap transaction valued at $19.782 mil. MIC offered 1 common share per MB share. Based on MIC's closing stock price of $16.875 on February 01, the last full trading day prior to the announcement, each MC share was valued at $16.875.</t>
  </si>
  <si>
    <t>FFBS Bancorp Inc,Columbus,MS</t>
  </si>
  <si>
    <t>NBC Capital Corp</t>
  </si>
  <si>
    <t>NBC Capital Corp,Starkville, Missouri (NBC) acquired all the outstanding common stock of FFBS Bancorp Inc, Columbus, Mississippi (FFBS) in a stock swap transaction valued at $47.389 mil. NBC offered . 7702 common shares per FFBS share. Based on NBC's closing stock price of $38 on February 2, the last full trading day prior to the announcement, each FFBS share was valued at $29.268. The transaction was accounted for as a pooling of interests.</t>
  </si>
  <si>
    <t>Computer Management Sciences</t>
  </si>
  <si>
    <t>Computer Associates International (CA) acquired all the outstanding common stock of Computer Management Sciences Inc (CM) for $28 in cash per share, or a total value of $425.142 mil. Previously CA completed its tender offer to acquire CM by accepting 14.5 mil mil common shares, or 98% of the company's common stock outstanding. The offer was conditioned upon at least a majority of CM's shares being tendered on a fully-diluted basis.</t>
  </si>
  <si>
    <t>Executive Risk Inc</t>
  </si>
  <si>
    <t>Professional liability ins co</t>
  </si>
  <si>
    <t>Chubb Corp</t>
  </si>
  <si>
    <t>Pvd ppty,casualty ins svcs</t>
  </si>
  <si>
    <t>Chubb Corp (CC) acquired Executive Risk (ER) in a stock swap transaction valued at $1.044 bil. CC offered 1. 235 common shares per ER share plus $125 mil in preferred securities. Based on CC's closing stock price of $58.0625 on February 5, the last full trading day prior to the announcement, each ER share was valued at $71.707.</t>
  </si>
  <si>
    <t>American Safety Razor Co</t>
  </si>
  <si>
    <t>JW Childs Equity Partners LP (JWC) acquired all the outstanding common stock of American Safety Razor Co (AS) for a sweetened $14.20 in cash per share, or a total value of $173.071 mil. Earlier, JWC completed its tender offer by accepting 11. 844 mil common shares, or about 97.8% of AS' shares. The offer had been conditioned upon at least a majority of AS' shares being tendered on a fully-diluted basis. Originally, JWC offered $14.13 in cash per AS share.</t>
  </si>
  <si>
    <t>Coffee People Inc</t>
  </si>
  <si>
    <t>Own,op coffee shops</t>
  </si>
  <si>
    <t>Diedrich Coffee Inc</t>
  </si>
  <si>
    <t>Produce,whl coffee</t>
  </si>
  <si>
    <t>Diedrich Coffee Inc (DC) acquired Coffee People Inc (CP), a majority-owned unit of Second Cup Ltd, for an amended $31.674 mil. The consideration was to consist of $10.75 mil in cash, 1.507 mil DC common shares valued at $8.664 mil , and up to $12. 25 mil in profit-related payments. The shares were valued based on DC's closing stock price of $5.75 on March 16, the last full trading day prior to the amendment. Originally, DC signed a letter of intent to acquire CP, a majority-owned unit of Second Cup Ltd, for $33.127 mil. The consideration was to consist of $10.75 mil in cash, 1.667 mil DC common shares valued at $8.127 mil, and up to $14.25 mil in profit- related payments. The shares were valued based on DC's closing stock price of $4.875 on January 8, the last full trading day prior to the announcement.</t>
  </si>
  <si>
    <t>Lycos Inc</t>
  </si>
  <si>
    <t>USA Networks Inc</t>
  </si>
  <si>
    <t>Own,op TV stations; holding co</t>
  </si>
  <si>
    <t>USA Networks (UN) withdrew its agreement to merge its e- commerce, internet assets and 60%-owned Ticketmaster Online- CitySearch (TO) unit with Lycos Inc (LI) in the formation of a new company called USA/Lycos Interactive Networks Inc in a transaction valued at $8.227 bil. In the complex transaction, UN was to have contributed its 60% interest in TO, the Home Shopping Network, Ticketmaster Corp and Internet Shopping Network/ First Auction in return for a 61.5% interest in the new company. The public shareholders of TO were to own an 8.5% stake while LI was to own a 30% stake in the new company. CMGI Inc., an 18. 5% shareholder of LI, had hired Morgan Stanley as its financial advisor. Wasserstein Parrella was advising LI directly, Goldman Sachs were advising TO and Lazard, Allen &amp; Co, and Chase were directly advising UN.</t>
  </si>
  <si>
    <t>MarketCentral.Net Corp</t>
  </si>
  <si>
    <t>Pvd online stock quote svcs</t>
  </si>
  <si>
    <t>All American Consultant</t>
  </si>
  <si>
    <t>Pvd consulting services</t>
  </si>
  <si>
    <t>All American Consultant Aircraft Inc merged with Marketcentral.Net Corp.</t>
  </si>
  <si>
    <t>Jackpot Enterprises Inc (JEI) terminated its definitive agreement to acquire all the outstanding common stock of Players International Inc (PII) for $426.603 mil, including the assumption of $160 mil in liabilities. The consideration was to consist of $6.75 in cash and $1.50 in JEI common stock per PII share. Included in the value was a 3.168% stake in PII which JEI acquired in March 1999. Concurrently, Harrah's Entertainment acquired PII.</t>
  </si>
  <si>
    <t>GlobeGround GmbH</t>
  </si>
  <si>
    <t>Pvd air transp support svcs</t>
  </si>
  <si>
    <t>GlobeGround GmbH (GG), a unit of Deutsche Lufthansa AG, acquired all the outstanding common stock of Hudson General Corp (HG) for a sweetened $76 in cash per share, or a total value of $134.663 mil. Earlier, GG completed its challenging tender offer for HG by accepting 1,702,623 shares, or 97.57% of HG's shares. The offer was conditioned up on at least a majority of HG's shares being tendered. Previously, GG offered $67 in cash per share. Originally, in November 1998, a management-led investor group agreed to acquire HG. Then, in March 1999, that agreement was terminated. In December 1998, Ranger Aerospace made an unsolicited challenging offer to acquire HG. Concurrently, in February 1999, Ogden Corp made a challenging offer to acquire HG.</t>
  </si>
  <si>
    <t>Fingerhut Cos Inc</t>
  </si>
  <si>
    <t>Retail prods via catalogs</t>
  </si>
  <si>
    <t>Federated Department Stores Inc (FDS) acquired all the outstanding common stock of Fingerhut Cos Inc (FH) . Previously, FDS completed its tender offer to acquire all the outstanding common stock of FH for $25 in cash per share, or a total value of $1. 544 bil, including the assumption of $200 mil in liabilities by accepting 47, 806,078 common shares, or 96. 3%. The offer was conditioned up on 90% of the shares being tendered.</t>
  </si>
  <si>
    <t>Sport-Haley Inc</t>
  </si>
  <si>
    <t>Sport-Haley Inc signed a letter of intent to divest the company to an undisclosed acquiror.</t>
  </si>
  <si>
    <t>American Media Inc</t>
  </si>
  <si>
    <t>Evercore Capital Partners LP</t>
  </si>
  <si>
    <t>Evercore Capital Partners LP merged with American Media Inc for $7 in cash per share, or a total value of $765.7 mil, including the assumption of $467 mil in liabilities.</t>
  </si>
  <si>
    <t>ASA Holdings Inc</t>
  </si>
  <si>
    <t>Passenger airline;holding co</t>
  </si>
  <si>
    <t>Delta Air Lines (DAL) acquired the remaining 72.25% interest, or 20,817,677 common shares, which it did not already own, in ASA Holdings Inc (ASA) for $34 in cash per share, or a total value of $718.007 mil. Previously, DAL completed its tender offer, by accepting 18 mil shares, or 62.5% of ASA's shares.</t>
  </si>
  <si>
    <t>OroAmerica planned to acquire all the outstanding common stock of Michael Anthony Jewelers Inc for $6 in cash per share, or a total value of $43.15 mil.</t>
  </si>
  <si>
    <t>NAC Re Corp</t>
  </si>
  <si>
    <t>XL Capital Ltd (XL) merged with NAC Re Corp (NAC) in a stock swap transaction valued at $1.183 bil. XL offered 0. 915 common shares per NAC share. Based on XL's closing stock price of $60.50 on February 12, the last full trading day prior to the announcement, each NAC share was valued at $55.358. The transaction was accounted for as a pooling of interests.</t>
  </si>
  <si>
    <t>Doughtie's Foods</t>
  </si>
  <si>
    <t>Process meat products</t>
  </si>
  <si>
    <t>Sysco Corp</t>
  </si>
  <si>
    <t>Sysco Corp acquired all the outstanding common stock of Doughtie's Foods Inc for $17 in cash per share, or a total value of $25.415 mil.</t>
  </si>
  <si>
    <t>Equitrac Corp</t>
  </si>
  <si>
    <t>Mnfr,dvlp,whl computers</t>
  </si>
  <si>
    <t>A management-led investor group, including Cornerstone Equity Investors LLC, acquired all the outstanding common stock of Equitrac Corp for an amended $21 in cash per share or a total value of $81.529 mil, in a leveraged buyout recapitalization transaction. Originally, the group offered $25.25 in cash per share, or a total value of $98.995 mil</t>
  </si>
  <si>
    <t>Cavanaughs Hospitality Corp</t>
  </si>
  <si>
    <t>Cavanaughs Hospitality Corporation withdrew its plans to launch a tender offer to acquire all the outstanding common stock of Lasergate Systems Inc. Terms were not disclosed.</t>
  </si>
  <si>
    <t>Northwest Equity Corp</t>
  </si>
  <si>
    <t>Bremer Financial(Bremer Otto)</t>
  </si>
  <si>
    <t>Bremer Financial Corp, a majority-owned unit of Otto Bremer Foundation, acquired all the outstanding common stock of Northwest Equity Corp for $24 in cash per share, or a total value of $19.807 mil.</t>
  </si>
  <si>
    <t>Parts Source Inc</t>
  </si>
  <si>
    <t>Whl,retail auto parts,supplies</t>
  </si>
  <si>
    <t>General Parts Intl Inc</t>
  </si>
  <si>
    <t>Whl,retail replacement parts</t>
  </si>
  <si>
    <t>General Parts acquired all the outstanding common stock of Parts Source for $3 per share, or a total value of $10.237 mil.</t>
  </si>
  <si>
    <t>Anshutz Digital Media Inc</t>
  </si>
  <si>
    <t>Anschutz Digital Media Inc acquired all the outstanding common stock of Precision Systems Inc (PS) for $1in cash per share, or a total value of $20.174 mil.</t>
  </si>
  <si>
    <t>Prime Bancorp,Philadelphia,PA</t>
  </si>
  <si>
    <t>Summit Bancorp (SB), Princeton, New Jersey, acquired Prime Bancorp Inc (PB), Philadelphia, Pennsylvania, in a stock swap transaction valued at $294. 326 mil. SB offered 0.675 common shares per PB share. Based on SB's closing stock price of $39.375 on February 17, the last full trading day prior to the announcement, each PB share was valued at $26.578. The transaction was to be accounted for as a pooling of interests.</t>
  </si>
  <si>
    <t>PSNC</t>
  </si>
  <si>
    <t>Pvd natural gas distn svcs</t>
  </si>
  <si>
    <t>SCANA Corp</t>
  </si>
  <si>
    <t>US - Scana Corp (SC) acquired all the outstanding common stock of Public Service Company of North Carolina Inc (PS), a provider of natural gas, for $940.973 mil, including the assumption of approximately $250 mil in liabilities. SC offered a choice of $33 in cash or SC common stock or a combination of both per PS share. Upon completion, PC was no longer to be traded on the NYSE. SC was to become a registered holding company under the Public Utility Holding Company Act of 1935, form a service company subsidiary to handle administrative and strategic functions for SC and its subsidiaries, and retain its ticker symbol (SCG) but change its cusip.</t>
  </si>
  <si>
    <t>Bank of Commerce,San Diego,CA</t>
  </si>
  <si>
    <t>US Bancorp (USB), Minneapolis, Minnesota, acquired Bank of Commerce (BOC), San Diego, California, in a stock swap transaction valued at $277.542 mil. USB offered .6 common shares per BOC share. Based on USB's closing stock price of $31. 875 on February 17, the last full trading day prior to the announcement, each BOC share was valued at $19.125.</t>
  </si>
  <si>
    <t>Medical Alliance Inc</t>
  </si>
  <si>
    <t>Diagnostic Health Services Inc</t>
  </si>
  <si>
    <t>Mnfr med devices</t>
  </si>
  <si>
    <t>Diagnostic Health Services Inc (DHS) withdrew its offer to merge with Medical Alliance Inc (MA) in a stock swap transaction valued at an amended $3.598 mil. DHS offered an amended .375 common shares per MA share. Based on DHS's closing stock price of $1.3125 on May 18, the last full trading day prior to the amendment, each MA share was valued at $.492. Upon completion, the merged entity will retain the name Medical Alliance Inc. Originally, DHS offered 1.57 common shares per MA share.</t>
  </si>
  <si>
    <t>General Dynamics Corp</t>
  </si>
  <si>
    <t>General Dynamics withdrew its unsolicited offer to acquire all the outstanding common stock of Newport News Shipbuilding for $38.5 in cash per share, or a total value of $2.06 bil, including the assumption of $600 mil in liabilities.</t>
  </si>
  <si>
    <t>TransAmerica Corp</t>
  </si>
  <si>
    <t>Aegon NV</t>
  </si>
  <si>
    <t>Aegon NV (AN) acquired TransAmerica Corp (TC) in a stock swap transaction valued at $9.553 bil. AN offered $23. 40 in cash and .71813 newly issued ordinary shares per TC share. Based on AN's closing stock price of $74.233 on July 20, the last full trading day prior to the announcement of the exact exchange ratio, each TC share was valued at $76.709. Originally, AN offered $23.40 in cash and $54.60 in new ordinary shares per share, subject to a collar agreement which was subsequently breached. Each TC share was originally valued at $78.</t>
  </si>
  <si>
    <t>Ascent Pediatrics Inc</t>
  </si>
  <si>
    <t>Alpharma Inc</t>
  </si>
  <si>
    <t>US - Alpharma Inc, a unit of King Pharmaceuticals Inc, acquired the remaining stake, which it did not already own, in Ascent Pediatrics Inc, a Wilmington-based manufacturer of pharmaceutical preparation, from BioMarin Pharmaceutical Inc.</t>
  </si>
  <si>
    <t>Sempra Energy Inc</t>
  </si>
  <si>
    <t>Provides energy utility services</t>
  </si>
  <si>
    <t>Sempra Energy (SE) withdrew its definitive agreement to acquire all the outstanding common stock of KN Energy Inc (KN) for $25 in cash per share, or a total value of $5. 353 bil, including the assumption of $4.2 bil in liabilities. Alternatively, SE offered 1.115 common shares per KN share.</t>
  </si>
  <si>
    <t>Oacis Healthcare Holdings Corp</t>
  </si>
  <si>
    <t>Provide systems design svcs</t>
  </si>
  <si>
    <t>Science Applications International Corp completed its tender offer to acquire all the outstanding common stock of Oacis Healthcare Holdings Corp (OH), a majority-owned unit of Bell Atlantic Corp, for $4.45 in cash per share, or a total value of $74.58 mil, by accepting 9,994,810 mil shares, or 94.2% of OH's shares. The offer was conditioned upon at least a majority of OH's shares being tendered on a fully diluted basis.</t>
  </si>
  <si>
    <t>Pinkerton's Inc</t>
  </si>
  <si>
    <t>Securitas AB</t>
  </si>
  <si>
    <t>Provide security systems services</t>
  </si>
  <si>
    <t>Securitas AB (SA) acquired Pinkerton's Inc (PI) for $29 in cash per share, or a total value of $382.978 mil. Previously, SA completed its tender offer by acepting 99. 3%, or 12,157,501shares outstanding. The offer was conditioned on at least a majority of PI's shares being tendered</t>
  </si>
  <si>
    <t>Consolidated Natural Gas Co</t>
  </si>
  <si>
    <t>Pvd natural gas services</t>
  </si>
  <si>
    <t>Dominion Resources Inc</t>
  </si>
  <si>
    <t>Elec,gas utility hldg co</t>
  </si>
  <si>
    <t>Dominion Resources Inc (DRI) merged with Consolidated Natural Gas Co (CNG) in a stock swap transaction valued at an amended $6.482 bil. DRI offered $66.6 in cash per CNG share for 40% of common stock and $66.6 per CNG share for 60% of common stock. Originally, DRI offered 1.52 common shares per CNG shares, or a total value of $6.244 bil. The transaction was accounted for as a pooling of interests. Upon completion CNG stockholders would own approximately 43% of the combined company. Previously, Columbia Energy Group terminated its unsolicited challenging merger bid for CNG for $8.678 bil. In December 1999, DRI announced that it was seeking a buyer for its Dominion Capital Inc (DCI) unit. Proceeds from the sale of DCI were to be used to financed the merger between DRI and CNG.</t>
  </si>
  <si>
    <t>Republic Banking Corp,Miami,FL</t>
  </si>
  <si>
    <t>Union Planters Corp, Memphis, Tennessee, acquired Republic Banking Corp, Miami, Florida, for $19.25 in cash per share, or a total value of $404.474 mil.</t>
  </si>
  <si>
    <t>SEEQ Technology Inc</t>
  </si>
  <si>
    <t>LSI Logic Corp</t>
  </si>
  <si>
    <t>Mnfr,whl custom chips,circuits</t>
  </si>
  <si>
    <t>LSI Logic Corp (LSI) acquired SEEQ Technology Inc (SEEQ) in a stock swap transaction valued at $104.328 mil. LSI offered 0.1095 common shares per SEEQ share. Based on LSI's closing stock price of $27.25 on February 19, the last full trading day prior to the announcement, each SEEQ share was valued at $2. 984.</t>
  </si>
  <si>
    <t>Southwest Gas Corp</t>
  </si>
  <si>
    <t>Southern Union Co (SU) withdrew its unsolicited hostile challenging offer to acquire all of the outstanding common stock of Southwest Gas Corp (SGC) for a sweetened $33.5 in cash per share, or a total value of $1. 025 bil. Originally, SU offered $32 in cash per share, or a total value of $984.161 mil. Previously in December 1998, ONEOK Inc agreed to acquire SGC and in April 1999, ONEOK amended its offer. ONEOK withdrew its offer in January 2000.</t>
  </si>
  <si>
    <t>United Technologies Corp</t>
  </si>
  <si>
    <t>Manufacture,whl aerospace systems products</t>
  </si>
  <si>
    <t>United Technologies Corp (UT) acquired all the outstanding common stock of Sundstrand Corp (SC) in a stock swap transaction valued at $4.408 bil, including the assumption of $500 mil in liabilities. UT offered .279 common shares, subject to a collar agreement, plus $35 in cash per SC common share. Based on UT's closing stock price of $125.438 on February 19, the last full trading day prior to the announcement, each SC share was valued at $70. Upon completion, SC became part of UT's Hamilton Standard division, which was renamed Hamilton Sundstrand Corp.</t>
  </si>
  <si>
    <t>Control Devices Inc</t>
  </si>
  <si>
    <t>Mnfr relays and indus controls</t>
  </si>
  <si>
    <t>First Technology PLC</t>
  </si>
  <si>
    <t>Mnfr auto safety products</t>
  </si>
  <si>
    <t>First Technology PLC (FTP) acquired all the outstanding common stock of Control Devices Inc (CD) for $16.25 in cash per share, or a total value of $142.437 mil. Earlier, FTP completed its tender offer for CD by accepting 98.3%, or 8.2 mil common shares. The offer was conditioned upon a majority of CD's shares being tendered on a fully-dilluted basis.</t>
  </si>
  <si>
    <t>Damen Financial Corp</t>
  </si>
  <si>
    <t>Midcity Financial Corp</t>
  </si>
  <si>
    <t>Midcity Financial Corp (MFC) acquired all the outstanding common shares of Damen Financial Corp (DFC) for $18. 35 in cash per share, or a total value of $53.744 mil. Upon completion, DFC was to merge with MFC unit.</t>
  </si>
  <si>
    <t>Wall Street Deli Inc</t>
  </si>
  <si>
    <t>Own,operate delicatessens</t>
  </si>
  <si>
    <t>Trinity Management Inc</t>
  </si>
  <si>
    <t>Trinity Management Co withdrew its agreement to acquire all the outstanding common stock of Wall Street Deli Inc for $5.50 in cash per share, or a total value of $16.173 mil.</t>
  </si>
  <si>
    <t>CFSB Bancorp Inc,Lansing,MI</t>
  </si>
  <si>
    <t>Old Kent Financial Corp (OKF) , Grand Rapids, Michigan, acquired CFSB Bancorp Inc (CBI), Lansing, Michigan, in a stock swap transaction valued at $241.841 mil. OKF offered .6222 shares per CBI share. Based on OKF's closing stock price of $45.4375 on February 23, the last full trading day prior to the announcement, each CBI share was valued at $28.271. The transaction was to be accounted for as a pooling of interests.</t>
  </si>
  <si>
    <t>Industrial Scientific</t>
  </si>
  <si>
    <t>Mnfr gas emission contrl equip</t>
  </si>
  <si>
    <t>A management-led investor group, comprised of Chairman, President, CEO, and Director Kent D McElhattan and Florence L McElhattan, acquired the remaining 32.3% stake, or 1,091,429 shares, that it did not already own in Industrial Scientific Corp, for $28.50 in cash per share, or a total value of $31.106 mil, in a leveraged buyout transaction.</t>
  </si>
  <si>
    <t>Matewan Bancshares Inc</t>
  </si>
  <si>
    <t>BB&amp;T Corp (BBT), Winston- Salem, North Carolina, acquired Matewan Bancshares Inc (MWB), Williamson, West Virginia, in a stock swap transaction valued at an amended $120.456 mil. BTT offered 0.67 common shares per MWB share. Based on BTT's closing stock price of $39 on April 23, the last full trading day prior to the announcement of the terms, each MWB share was valued at $26.13. Originally, BTT agreed to acquire MWB for $157.843 mil. BBT offered 0. 9333 common shares per MWB share. Based on BBT's closing stock price of $36.6875 on February 24, the last full trading day prior to the announcement, each MWB share was valued at $34.24.</t>
  </si>
  <si>
    <t>Marriott International Inc, a majority-owned unit of Marriott Corp, was rumored to be in negotiations to acquire all the outstanding common stock of Prime Hospitality Corp. The Current status of this deal is unknown.</t>
  </si>
  <si>
    <t>BancWest Corp,San Francisco,CA</t>
  </si>
  <si>
    <t>BancWest Corp (BWC), San Francisco, California, acquired SierraWest Bancorp (SWB), Truckee, California, in a stock swap transaction valued at $198.951 mil. BWC offered .82 common shares per SWB share. Based on BWC's closing stock price of $44 on February 24, the last full trading day prior to the announcement, each SWB share was valued at $36.08. The transaction was to be accounted for as a pooling interests.</t>
  </si>
  <si>
    <t>Navistar International Corp</t>
  </si>
  <si>
    <t>Mnfr,whl medium,heavy trucks</t>
  </si>
  <si>
    <t>Volvo AB</t>
  </si>
  <si>
    <t>Mnfr,whl motor vehicles,parts</t>
  </si>
  <si>
    <t>Volvo AB was rumored to be planning to acquire all the oustanding common stock of Navistar International Corp. The Current status of this deal is unknown.</t>
  </si>
  <si>
    <t>North Face Inc</t>
  </si>
  <si>
    <t>Whl men/boy clothing &amp; furnish</t>
  </si>
  <si>
    <t>A management-led investor group, including CEO Mr. James Fifield and Leonard Green &amp; Partners LP, withdrew its agreement to acquire all the outstanding common stock of North Face Inc for $17 in cash per share, or a total value of $219.523 mil, via a tender offer in a leveraged buyout transaction.</t>
  </si>
  <si>
    <t>TravelCenters of America Inc</t>
  </si>
  <si>
    <t>Own,op auto supply stores</t>
  </si>
  <si>
    <t>Travelcenters of America acquired Travel Ports of America Inc for $4.3 in cash per share, or total value of $36.867 mil.</t>
  </si>
  <si>
    <t>VLSI Technology Inc</t>
  </si>
  <si>
    <t>Mnfr,whl integrated circuits</t>
  </si>
  <si>
    <t>Koninklijke Philips Electronics NV (PE) acquired all the outstanding common stock of VLSI Technology (VLSI) Inc for a sweetened $21 in cash per share, or a total value of $1.163 bil, including the assumption of $160 mil in liabilities. Earlier, PE completed its hostile tender offer by accepting 41.2 mil shares, or 92.1% of VLSI's shares. Originally PE offered $17 in cash per share, or a total value of $801.728 mil. Concurrently, PE planned to begin a proxy fight to replace VLSI's board with a slate of its own nominees.</t>
  </si>
  <si>
    <t>L-3 Communications Holdings (LCH) acquired all the outstanding common stock of Aydin Corp (AC) for $13.50 in cash per share, or a total value of $71.531 mil. Previously, LCH completed its tender offer by accepting 4, 896,172 shares, or 93.8% of AC's shares. Originally, in September 1998, AC announced that it was seeking a buyer for the company. The offer was conditioned upon at least a majority of AC's shares being tendered on a fully diluted basis.</t>
  </si>
  <si>
    <t>Collagen Aesthetics Inc</t>
  </si>
  <si>
    <t>Mnfr biomedical implants</t>
  </si>
  <si>
    <t>Mentor Corp</t>
  </si>
  <si>
    <t>Mnfr,whl med supplies</t>
  </si>
  <si>
    <t>Mentor Corp withdrew its unsolicited offer to acquire all the outstanding common stock of Collagen Aesthetics Inc (CA) via a tender offer for $14.50 in cash per share, or a total value of $124.875 mil. Subsequently, Inamed Corp completed its tender offer to acquire all the outstanding common stock of CA offer for $16.25 in cash per share, or a total value of $140.795 mil.</t>
  </si>
  <si>
    <t>Emerald Financial Corp,OH</t>
  </si>
  <si>
    <t>Fifth Third Bancorp (FTB), Cincinnati, Ohio, acquired Emerald Financial Corp (EFC), Strongsville, Ohio, in a stock swap transaction valued at $203.911 mil. FTB offered . 3 common shares per EFC share. Based on FTB's closing stock price of $66.013 on February 26, the last full trading day prior to the announcement, each EFC share was valued at $19.804. The transaction was accounted for as a pooling of interests.</t>
  </si>
  <si>
    <t>NeXstar Pharmaceuticals Inc</t>
  </si>
  <si>
    <t>Mnfr AIDS pharmaceuticals</t>
  </si>
  <si>
    <t>Gilead Sciences Inc</t>
  </si>
  <si>
    <t>Gilead Sciences Inc (GI) acquired all the outstanding common stock of NeXstar Pharmaceuticals Inc (NP) in a stock swap transaction valued at $842.442 mil. GI offered . 3786 common shares per NP share. Based on GI's closing stock price of $63.875 on July 28, the last full trading day prior to the announcement of the exact exchange ratio, each NP share was valued at $24.183. Originally, GI offered .425 common shares per NP share, subject to a collar agreement that was subsequently breached. Based on GI's closing stock price of $41.25 on February 26, the last full trading day prior to the announcement, each NP share was originally valued at $17. 53. The transaction was accounted for as a pooling of interests. Upon completion, the combined company operated under the GI name.</t>
  </si>
  <si>
    <t>Reltec Corp</t>
  </si>
  <si>
    <t>Mnfr tele,telegraph apparatus</t>
  </si>
  <si>
    <t>General Electric Co PLC (GEC) acquired all the outstanding common stock of Reltec Corp (RC) for $29.50 in cash per share, or a total value of $2. 102 bil, including the assumption of $361 mil in liabilities. Previously, GEC completed its tender offer to acquire RC by accepting 56, 110,741 shares, or 93.5%of RC's shares. The offer was conditioned upon at least a majority of RC's shares being tendered.</t>
  </si>
  <si>
    <t>UGI Corp</t>
  </si>
  <si>
    <t>Provide gas distribution services</t>
  </si>
  <si>
    <t>UGI Corp (UGI) withdrew its agreement to merge with Unisource Worldwide Inc (UWI) in a stock swap transaction valued at $1.498 bil, including the assumption of $685 mil in liabilities. UGI offered .566 common shares per UWI share. Based on UGI's closing stock price of $20. 313 on February 26, the last full trading day prior to the announcement, each UWI share was valued at $11.49. Upon completion UWI was to own a 55% interest in UGI. Subsequently, UWI was acquired by Georgia-Pacific Corp.</t>
  </si>
  <si>
    <t>Weeks Corp</t>
  </si>
  <si>
    <t>REIT;construct indl bldgs</t>
  </si>
  <si>
    <t>Duke Realty Investments Inc</t>
  </si>
  <si>
    <t>Duke Realty Investments Inc (DRI) merged with Weeks Corp (WC) in a stock swap transaction valued at $1.675 bil. DRI offered 1.38 common shares per WC share, $254 mil for preferred stock, and the assumption of $654 mil in liabilities. Based on DRI's closing stock price of $21. 8125 on February 26, the last full trading day prior to the announcement, each WC share was valued at $30.101. Upon completion, the combined company was to be renamed Duke-Weeks Realty Corp.</t>
  </si>
  <si>
    <t>Aviall Inc</t>
  </si>
  <si>
    <t>Mnfr vehicle parts</t>
  </si>
  <si>
    <t>Nolan Acquisition Partners</t>
  </si>
  <si>
    <t>Nolan Acquisition Partners terminated its agreement to acquire the remaining 92% interest, or 16,717,764 common shares, that it did not already own in Aviall Inc for $15.50 in cash per share, or a total value of $265.735 mil.</t>
  </si>
  <si>
    <t>Jones Apparel Group Inc</t>
  </si>
  <si>
    <t>Mnfr,whl apparel</t>
  </si>
  <si>
    <t>Jones Apparel Group Inc (JA) acquired Nine West Group Inc (NW) for $1.546 bil. The consideration consisted of $13 in cash and .5011 JA common shares per NW share, and the assumption of $550 mil in liabilities. The shares were valued based on JA's closing stock price of $27.313 on March 1, the last full trading day prior to the announcement.</t>
  </si>
  <si>
    <t>XYLAN Corp</t>
  </si>
  <si>
    <t>Develop LAN hub systems</t>
  </si>
  <si>
    <t>Alcatel SA</t>
  </si>
  <si>
    <t>Mnfr,whl telecom equip</t>
  </si>
  <si>
    <t>Alcatel SA (ASA) acquired all the outstanding common stock of Xylan Corp (XC) for $37 in cash per share, or a total value of $1.822 bil. Earlier, ASA completed its tender offer for XC by accepting 42.13 mil shares. The offer was conditioned upon at least 90% of XC's shares being tendered.</t>
  </si>
  <si>
    <t>Concentra Managed Care Inc</t>
  </si>
  <si>
    <t>Welsh Carson Anderson &amp; Stowe acquired all the outstanding common stock of Concentra Managed Care Inc $16.50 in cash per share, for a total value of $1.164 bil, including the assumption of $328 mil in liabilities.</t>
  </si>
  <si>
    <t>Expert Software Inc</t>
  </si>
  <si>
    <t>Activision Inc</t>
  </si>
  <si>
    <t>Activision Inc (AI) acquired all the outstanding common stock of Expert Software Inc (ES) for an amended $2.65 in cash per share, or a total value of $23.339 mil. Previously, AI agreed to acquire ES for $2.65 in common stock per share. Originally, AI agreed to acquire ES for $2.65 in cash and common stock per share.</t>
  </si>
  <si>
    <t>American Indemnity Finl Corp</t>
  </si>
  <si>
    <t>Property,casualty insurance</t>
  </si>
  <si>
    <t>United Fire &amp; Casualty Co</t>
  </si>
  <si>
    <t>Pvd ppty,casualty,life ins svc</t>
  </si>
  <si>
    <t>United Fire &amp; Casualty Co acquired American Indemnity Financial Corp for $15.60 in cash per share, or a total value of $39.014 mil.</t>
  </si>
  <si>
    <t>Aptco LLC</t>
  </si>
  <si>
    <t>Aptco LLC (AL), a management- led investor group comprised of Chairman Douglas Krupp, Blackstone Real Estate Advisors, and Whitehall Street Real Estate Ltd Partnership XI, acquired all the outstanding common stock of Berkshire Realty Co Inc (BR) for an amended $12.25 in cash per share, or a total value of $1.123 bil, including the assumption of $600 mil in liabilities. Previously, AL offered $11.05 in cash per share, or a total value of $469.196 mil. Originally, in May 1998, Berkshire Realty Co announced that it was seeking a buyer for the company.</t>
  </si>
  <si>
    <t>Harvey Acquisition Corp</t>
  </si>
  <si>
    <t>Pvd investing svcs</t>
  </si>
  <si>
    <t>Harvey Acquisition Corp (HA) made an unsolicited offer to acquire all the outstanding common stock of Harvey Entertainment Co(HE) for $7. 50 in notes per share, or a total value of $32.822 mil. The consideration also included 5-year warrants exercisable into a 70% interest in HA at a price of $.01 per share.</t>
  </si>
  <si>
    <t>K&amp;G Men's Center Inc</t>
  </si>
  <si>
    <t>Own,op men's apparel stores</t>
  </si>
  <si>
    <t>Men's Wearhouse Inc (MW) acquired all the outstanding stock of K&amp;G Men's Center Inc (KG) in a stock swap transaction valued at $118. 267 mil. MW offered .43 common shares per KG share, subject to a collar agreement. The shares were valued based on MW's closing stock price of $26.75 on March 3, the last full trading day prior to the announcement. The transaction was accounted for as a pooling of interests.</t>
  </si>
  <si>
    <t>Level One Communications Inc</t>
  </si>
  <si>
    <t>Intel Corp (IC) acquired Level One Communications Inc (LOC) in a stock swap transaction valued at $2.273 bil. IC offered .43 common shares per LOC share. Based on IC's closing stock price of $114.6875 on March 3, the last full trading day prior to the announcement, each LOC share was valued at $49.3156. The transaction was accounted for as a pooling of interests.</t>
  </si>
  <si>
    <t>Phonexchange Inc</t>
  </si>
  <si>
    <t>Pvd direct response mktg svcs</t>
  </si>
  <si>
    <t>Integrated Commun Network Inc</t>
  </si>
  <si>
    <t>Integrated Communication Network Inc acquired the 86. 6% interest in PhoneXchange Inc for $6.45 mil in common stock and an undisclosed amount in profit-related payments.</t>
  </si>
  <si>
    <t>St Joseph Light &amp; Power Co</t>
  </si>
  <si>
    <t>Electric &amp; gas utility</t>
  </si>
  <si>
    <t>Utilicorp United Inc (UU) acquired all the outstanding common stock of St Joseph Light &amp; Power Co (SJ) in a stock swap transaction valued at $187.996. UU offered .7933 shares per SJ share. Based on UU's closing stock price of $30.4375 on December 28, the last full trading day prior to the announcement of a definitive ratio, each SJ share was valued at $24.146.</t>
  </si>
  <si>
    <t>Allied Waste Industries Inc (AW) acquired all the outstanding common stock of Browning-Ferris Industries Inc for $45 in cash per share, or a total value of $9.054 bil, including the assumption of $1.8 bil in liabilties. Subsequently, Waste Management Inc agreed to acquire the Canadian solid waste assets of AW.</t>
  </si>
  <si>
    <t>Century Communications Corp</t>
  </si>
  <si>
    <t>Adelphia Communications Corp</t>
  </si>
  <si>
    <t>Own,op cable TV systems</t>
  </si>
  <si>
    <t>Adelphia Communications (AC) acquired all the outstanding common stock of Century Communications (CC) in a stock swap transaction valued at $5.201 bil, including the assumption of $1.6 bil in liabilities. AC offered .6122 type A common shares and $9. 16 in cash per CC type A common share and .636 type A common shares and $11.81 in cash per CC type B common share. Based on AC's closing stock price of $57.125 on March 4, the last full trading day prior to the announcement, each CC type A share was valued at $44.13 and each CC type B share was valued at $48.14. Originally, in December 1998, CC announced that it was seeking a buyer for the company.</t>
  </si>
  <si>
    <t>Fortis (B)</t>
  </si>
  <si>
    <t>Fortis AG acquired all the outstanding common stock of American Bankers Insurance Group Inc for $55 in cash per share, or a total value of $2. 63 bil.</t>
  </si>
  <si>
    <t>Analysis &amp; Technology Inc</t>
  </si>
  <si>
    <t>Anteon Corp</t>
  </si>
  <si>
    <t>Anteon Corp acquired all the outstanding common stock of Analysis &amp; Technology Inc for $26 per share, or a total value of $108.512 mil.</t>
  </si>
  <si>
    <t>ENStar Inc</t>
  </si>
  <si>
    <t>Whl connectivity devices</t>
  </si>
  <si>
    <t>A management-led investor group comprised of James Michael and Jeffrey Michael acquired the remaining 35.5% stake, or 1,057,167 common shares, which it did not already own, in ENStar Inc for an amended $12.50 in cash per share, or a total value of $13.215 mil, in a leveraged buyout transaction. Originally, in March 1999, the group offered $10 in cash per share, or a total value of $10.572 mil.</t>
  </si>
  <si>
    <t>Lab Holdings Inc</t>
  </si>
  <si>
    <t>Lab Holdings Inc (LH) acquired the remaining 19.5% stake, which it did not already own, in LabOne Inc (LO) in a stock swap transaction valued at $34.286 mil. LO offered a choice of $12.75 cash or 1 new LO common share or a combination of both per LH share. Stockholders in LH will have their shares split immediately before the merger into 1.5 shares of the survivor. Upon completion, LH was to own 78.9% of the new company which will retain the LabOne Inc name.</t>
  </si>
  <si>
    <t>Powerhouse Technologies Inc</t>
  </si>
  <si>
    <t>Anchor Gaming (AG) acquired all the outstanding common stock of Powerhouse Technologies for $19.50 in cash per share, or a total value of $222.36 mil.</t>
  </si>
  <si>
    <t>Sun Energy Partners LP</t>
  </si>
  <si>
    <t>Kerr-McGee Corp (KM) acquired the remaining 1.8% stake, or 7,543,100 limited partnership units, which it did not already own, in Sun Energy Partners LP (SE) for a sweetened $5.75 in cash per share, or a total value of $43.373 mil. Originally in March 1999, KM offered $4.52 in cash per unit. The stake being acquired was the only publicly held stake in SE.</t>
  </si>
  <si>
    <t>Morgan Products Ltd</t>
  </si>
  <si>
    <t>Andersen Corp</t>
  </si>
  <si>
    <t>Mnfr windows,doors</t>
  </si>
  <si>
    <t>Andersen Corp acquired all the outstanding common stock of Morgan Products Ltd for $4 in cash per share, or a total value of $41.44 mil.</t>
  </si>
  <si>
    <t>Franchise Mortgage Acceptance</t>
  </si>
  <si>
    <t>Specialty finance company</t>
  </si>
  <si>
    <t>619A</t>
  </si>
  <si>
    <t>Bay View Capital Corp (BV), San Mateo, California, acquired Franchise Mortage Acceptance Corp (FM) in a stock swap transaction valued at $352.426 mil, including up to $30 mil in profit-related payments. BV offered .5444 common shares per FM share. Based on BV's closing stock price of $20.625 on March 10, the last full trading day prior to the announcement, each share was valued at $11. 228. Alternatively, BV offered $9.8 in cash per FM share. Previously, BV offered .513 common shares per FM share. Alternatively, BV offered $10.25 in cash per FM share. The stock portion of the consideration was subject to the number of FM common shares to be exchanged for BV common shares being equal to 60% of the number of FM common shares outstanding.</t>
  </si>
  <si>
    <t>LAI Worldwide Inc</t>
  </si>
  <si>
    <t>Pvd employment consulting svcs</t>
  </si>
  <si>
    <t>TMP Worldwide Inc</t>
  </si>
  <si>
    <t>Pvd advg,recruitment svcs</t>
  </si>
  <si>
    <t>TMP Worldwide Inc (TMP) acquireF LAI Worldwide Inc (LAI) in a stock swap transaction valued at $74.211 mil. TMP offered .1321 common shares per LAI share. Based on TMP's closing stock price of $69.875 on March 10, the last full trading day prior to the announcement, each LAI share was valued at $9.2305.</t>
  </si>
  <si>
    <t>Sodak Gaming Inc</t>
  </si>
  <si>
    <t>Wholesale game machines</t>
  </si>
  <si>
    <t>International Game Technology definitively acquired all the outstanding common stock of Sodak Gaming Inc for $10 in cash per share, or a total value of $228.423 mil.</t>
  </si>
  <si>
    <t>Golden Cycle Gold Corp</t>
  </si>
  <si>
    <t>Gold,copper mining</t>
  </si>
  <si>
    <t>Euro-Nevada Mining Corp</t>
  </si>
  <si>
    <t>Euro-Nevada Mining Corp withdrew its plans to launch a tender offer to acquire a 54% interest, or 1.009 mil common shares, in Golden Cycle Gold Corp, for $13.5 in cash per share, or a total value of $13.633 mil.</t>
  </si>
  <si>
    <t>ImageMAX Inc</t>
  </si>
  <si>
    <t>Pvd document mgmt svcs</t>
  </si>
  <si>
    <t>Pierce Leahy Corp</t>
  </si>
  <si>
    <t>Pvd records warehousing svcs</t>
  </si>
  <si>
    <t>Pierce Leahy Corp (PLC) planned to raise its stake to 51.422% from 37.19% in Imagemax Inc (II) by acquiring a warrant exercisable into 1.861 mil convertible preferred shares at a price of $5 per share, or a total value of $9.305 mil. The preferred shares were convertible into II common shares on a 1-for-1 basis. Concurrently, PLC agreed to acquire a 24.044% stake, or 3.144 mil convertible preferred shares, in II. Furthermore, PLC planned to raise its stake to 37.19% from 24.044% in II by acquiring a warrant exercisable into 1.719 mil additional common shares.</t>
  </si>
  <si>
    <t>Lowrance Electronics Inc</t>
  </si>
  <si>
    <t>Mnfr,whl sonars,marine electn</t>
  </si>
  <si>
    <t>Magellan Corp</t>
  </si>
  <si>
    <t>Mnfr GPS,satellite prods</t>
  </si>
  <si>
    <t>Magellan Corp (MC), a unit of Orbital Sciences Corp (OSC) , terminated its agreement to acquire Lowrance Electronics Inc (LEI) for an amended $7. 30 in cash per share, or a total value of $30.067 mil. Previously, MC agreed to acquire LEI in a stock swap transaction valued at $26.409 mil. OSC offered between .745 mil and 1.25 mil OSC common shares per LEI share.</t>
  </si>
  <si>
    <t>Trak Auto(Dart Group)</t>
  </si>
  <si>
    <t>Operate auto parts stores</t>
  </si>
  <si>
    <t>Halart LLC</t>
  </si>
  <si>
    <t>Mnfr car batteries</t>
  </si>
  <si>
    <t>Halart LLC acquired all the outstanding common stock of Trak Auto Corp, a majority- owned unit of Richfood Holdings Inc's Dart Group subsidiary, for $9 in cash per share, or a total value of $53.183 mil.</t>
  </si>
  <si>
    <t>Fleet Financial Group Inc (FFG), Boston, Massachusetts, merged with BankBoston Corp (BBC), Boston, Massachusetts, in a stock swap transaction valued at $15.925 bil. FFG offered 1.1844 common shares per BBC share. Based on FFG's closing stock price of $44.75 on March 12, the last full trading day prior to the announcement, each BBC share was valued at $53.002. Upon completion, the new merged company was to be named Fleet Boston Corp.</t>
  </si>
  <si>
    <t>Go2Net Inc</t>
  </si>
  <si>
    <t>Provide on-line services</t>
  </si>
  <si>
    <t>Vulcan Ventures Inc</t>
  </si>
  <si>
    <t>Vulcan Ventures Inc (VV) raised its stake to 52.82% from 42.6% in Go2net Inc (GN) by acquiring 1,760,689 common shares for $90 in cash per share, or a total value of $158.462 mil, via a tender offer to acquire up to 3,596, 688 shares. Concurrently, VV acquired a 14.71% stake, raised its stake to 26.34%, and then raised its stake to 42.6% in GN.</t>
  </si>
  <si>
    <t>Haskel International Inc</t>
  </si>
  <si>
    <t>Mnfr pumps,plungers,boosters</t>
  </si>
  <si>
    <t>An investor group including Tinicum Capital Partners LP acquired all the outstanding common stock of Haskel International Inc (HI) for $12.90 in cash per share, or a total value of $65.385 mil. Earlier, the group completed its tender offer by accepting 4,674,044 shares, or 97.4% of HI's shares. The offer was conditioned upon at least 90% of HI's shares being tendered.</t>
  </si>
  <si>
    <t>Pioneer Hi-Bred International</t>
  </si>
  <si>
    <t>Provide crop research services</t>
  </si>
  <si>
    <t>DuPont</t>
  </si>
  <si>
    <t>Mnfr chemical,electronic prod</t>
  </si>
  <si>
    <t>EI du Pont de Nemours &amp; Co (ED) acquired the remaining 80% interest that it did not already own in Pioneer Hi- Breed International Inc for $7.74 bil. ED offered a choice of $40 in cash or common shares per common share, whereby 45% was to be paid in cash and the remaining 55% was to be paid in ED common shares.</t>
  </si>
  <si>
    <t>El Paso Energy Corp</t>
  </si>
  <si>
    <t>El Paso Energy Corp (EP) acquired Sonat Inc (SI) in a stock swap transaction, valued at $5.963 bil, including the assumption of $2 bil in liabilities. EP offered 1 common share per SI share. Based on EP's closing stock price of $35.75 on March 12, the last full trading day prior to the announcement, each SI share was valued at $35.75.</t>
  </si>
  <si>
    <t>Bridgeport Machines Inc</t>
  </si>
  <si>
    <t>High Technology Holding Corp</t>
  </si>
  <si>
    <t>High Technology Holding Corp withdrew its agreement to raise its stake to 53.6% from 9.8% in Bridgepoint Machines Inc by acquiring up to 2.5 mil common shares for $10.125 a share, or a total value of $25.313 mil.</t>
  </si>
  <si>
    <t>Insurance Auto Auctions Inc</t>
  </si>
  <si>
    <t>Ret used motor vehicles</t>
  </si>
  <si>
    <t>Copart Inc</t>
  </si>
  <si>
    <t>Pvd online auto auction svcs</t>
  </si>
  <si>
    <t>Copart Inc withdrew the unsolicited tender offer to acquire all the outstanding common stock of Insurance Auto Auctions Inc for $13.27 in cash per share, or a total value of $150.922 mil.</t>
  </si>
  <si>
    <t>Omega Orthodontics Inc</t>
  </si>
  <si>
    <t>Pvd mgmt,mktg services</t>
  </si>
  <si>
    <t>Pentegra Dental Group Inc</t>
  </si>
  <si>
    <t>Own,op dental office</t>
  </si>
  <si>
    <t>Pentegra Dental Group Inc (PD) acquired all the outstanding common stock of Omega Orthodontics Inc in a stock swap transaction valued at $4.8875 mil. The consideration consisted of 1. 8 mil PD shares valued at $3. 4875 mil and the assumption of $1.4 mil in liabilities. The shares were valued based on PD's closing stock price of $1.9375 on March 15, the last full trading day prior to the close.</t>
  </si>
  <si>
    <t>SeaMED Corp</t>
  </si>
  <si>
    <t>Mnfr printed circuit board</t>
  </si>
  <si>
    <t>Plexus Corp (PC) merged with Seamed Corp (SC) in a stock swap transaction valued at $78.452 mil. PC offered .4 common shares per SC share, subject to a collar agreement. Based on PC's closing stock price of $34.188 on March 15, the last full trading day prior to the announcement, each SC share was valued at $13.675 mil. The transaction was to be accounted for as a pooling of interests.</t>
  </si>
  <si>
    <t>Global Crossing Ltd</t>
  </si>
  <si>
    <t>Provide telecom svcs</t>
  </si>
  <si>
    <t>Global Crossing Ltd (GC) acquired Frontier Corp (FC) in a stock swap transaction valued at a twice amended $10. 063 bil, including the assumption of $1.3 bil in liabilities. GC offered an amended 2.05 shares per FC share held. Previously, GC offered $63 in common stock per FC shares, subject to a collar agreement. Originally, GC offered $62 in common stock per FC share, subject to a collar agreement.</t>
  </si>
  <si>
    <t>Fedders Corp completed its tender offer to acquire all the outstanding common stock of Trion Corp (TC) for $5.50 in cash per share, or a total value of $39.558 mil by accepting 6.376 mil shares, or about 87%. The offer was conditioned upon at least 80% of TC's shares being tendered on a fully-diluted basis. In March 1999, Trion Inc announced that it was seeking a buyer for all the outstanding common stock of the company.</t>
  </si>
  <si>
    <t>Cornerstone Realty Income Tr</t>
  </si>
  <si>
    <t>Mr. Irwin Jacobs withdrew its plans to acquire all the outstanding common stock of Cornerstone Realty Income Trust Inc for $11.5 per share, or a total value of $449.965 mil.</t>
  </si>
  <si>
    <t>Old Kent Financial Corp (OKF) , Grand Rapids, Michigan, acquired Pinnacle Banc Group Inc (PBG), OakBrook, Illinois, in a stock swap transaction valued at $243.264 mil. PBG offered .717 common shares per OKF share. Based on OKF's closing stock price of $45 on March 18, the last full trading day prior to the announcement, each PBG share was valued at $32.265. The transaction was accounted for as a pooling of interests.</t>
  </si>
  <si>
    <t>Staff Leasing Inc</t>
  </si>
  <si>
    <t>Pvd help svcs</t>
  </si>
  <si>
    <t>Paribas Principal Inc</t>
  </si>
  <si>
    <t>Paribas Principal Partners withdrew its plans to launch a tender offer to acquire all the outstanding common stock of Staff Leasing (SL) for $17. 5 in cash per share, or a total value of $407.157 mil.</t>
  </si>
  <si>
    <t>Carver Bancorp Inc,NY,NY</t>
  </si>
  <si>
    <t>Boston Bank of Commerce</t>
  </si>
  <si>
    <t>Carver Bancorp Inc withdrew its plans to acquire all the outstanding stock of Boston Bank of Commerce for $29.7 mil.</t>
  </si>
  <si>
    <t>First Bank of Philadelphia</t>
  </si>
  <si>
    <t>PSB Bancorp,Philadelphia,PA</t>
  </si>
  <si>
    <t>PSB Bancorp (PSB), Philadelphia, Pennsylvania, agreed to acquire First Bank of Philadelphia (FBP), Philadelphia, Pennsylvania, in a stock swap transaction valued at $10.002 mil. PSB offered $6 in common stock per FBP share, subject to a collar agreement. Upon completion, PSB unit Pennsylvania Savings Bank was to merge with First Bank of Philadelphia and to be given a new company name.</t>
  </si>
  <si>
    <t>Merit Holding Corp,Tucker,GA</t>
  </si>
  <si>
    <t>Synovus Financial Corp</t>
  </si>
  <si>
    <t>Synovus Financial Corp (SFC), Columbus, Georgia, acquired Merit Holding Corp (MHC), Tucker, Georgia, in a stock swap transaction valued at $125.921 mil. Previously, SFC agreed to acquire MHC in a stock swap transaction valued at $126.533 mil. SFC offered 1.0529 common shares per MHC share. Based on SFC's closing stock price of $22.9375 on March 18, the last full trading day prior to the announcement, each MHC share was valued at $24.1509. The transaction was to be accounted for as a pooling of interests.</t>
  </si>
  <si>
    <t>Rock Bottom Restaurants Inc</t>
  </si>
  <si>
    <t>RB Capital Inc</t>
  </si>
  <si>
    <t>RB Capital Inc, a management led investor group including Mr. Frank B. Day, CEO of Rock Bottom Restaurants (RBR), acquired the remaining 72%, or 5.8 mil ordinary shares, that it did not already own in RBR for $10 in cash per share, or a total value of $58.529 mil in a leveraged buyout transaction. Originally, in January 1999, Rock Bottom Restaurants Inc announced that it was seeking a buyer for the company.</t>
  </si>
  <si>
    <t>Viacom Inc (VI), a majority- owned unit of National Amusements Inc, acquired the remaining 19.1% stake, or 24. 269 mil shares, which it did not already own, in Spelling Entertainment Group Inc (SE), for an amended $9.75 in cash per share, or a total value of $191.647 mil. Previously, VI completed its tender offer by accepting 15,492,326 mil shares, or 16.7% of SE's shares. Previously, VI offered $9 in cash per share, or a total value of $181.118 mil.</t>
  </si>
  <si>
    <t>MediaOne Group Inc</t>
  </si>
  <si>
    <t>Comcast Corp (CC) withdrew its agreement to merge with MediaOne Group Inc (MG) in a reverse stock swap transaction valued at $58.51 bil, including the assumption of $7 bil in liabilities. CC offered 1.1 special Class A common shares per MG share, . 1 Class C preferred shares per MG Class C cumulative redeemable preferred share, . 1 Class D preferred shares per MG Class D preferred shares convertible into approximately 38.709 mil common shares; and .1 Class E preferred shares per MG Class E convertible preferred share. Based on CC's Special Class A common shares closing stock price of $72.875 on March 19, the last full trading day prior to the announcement, each MG share was valued at $80.16. Upon completion MG was to own 64% of the merged company. Subsequently, AT&amp;T Corp completed an unsolicited, challenging offer to acquire MG in a stock swap transaction.</t>
  </si>
  <si>
    <t>Vivendi SA (VS) acquired all the outstanding common stock of United States Filter Corp (USF) for $31.50 in cash per share, or a total value of $6. 318 bil. Previously, VS completed its tender offer to acquire USF by accepting 194. 238 mil common shares, or 95. 7% of its shares outstanding. The offer was conditioned on at least a majority of USF's shares being tendered.</t>
  </si>
  <si>
    <t>American Residential Services</t>
  </si>
  <si>
    <t>Electrical Contractors</t>
  </si>
  <si>
    <t>ServiceMaster Co (SM) acquired all the outstanding common stock of American Residential Services Inc (RSI) for $5.75 in cash per share, or a total value of $283.842 mil, including the assumption of $180 mil in liabilities. Earlier, SM completed its tender offer by accepting 15. 333 mil common shares, or 96. 42% of RSI's shares. The offer was conditioned upon at least 52% of RSI's shares being tendered.</t>
  </si>
  <si>
    <t>DSP Technology Inc</t>
  </si>
  <si>
    <t>Mnfr data measurement equip</t>
  </si>
  <si>
    <t>MTS Systems Corp</t>
  </si>
  <si>
    <t>Mnfr testing,simulation sys</t>
  </si>
  <si>
    <t>MTS Systems Corp (MTS) agreed to acquire all the outstanding common stock of DSP Technology Inc (DSP) in exchange for 2.077 mil common shares valued at $18.619 mil. The shares were valued based on MTS's closing stock price of $10.813 on March 22, the last full trading day prior to the announcement. The transaction was to be accounted for as a pooling of interests.</t>
  </si>
  <si>
    <t>Interlink Computer Sciences</t>
  </si>
  <si>
    <t>Provide computer design svcs</t>
  </si>
  <si>
    <t>Sterling Software Inc (SS) acquired all the outstanding common stock of Interlink Computer Sciences Inc (CS) for $7 in cash per share, or a total value of $63.021. Previously, SS completed its tender offer to by accepting 9,416,968 shares, or 94.8% of CS' shares on a fully diluted basis. The offer was conditioned upon at least a majority of shares being tendered on a fully diluted basis.</t>
  </si>
  <si>
    <t>Mutual Savings Bank FSB</t>
  </si>
  <si>
    <t>Independent Bank Corp</t>
  </si>
  <si>
    <t>Independent Bank Corp (IBC), Ionia, Michigan, acquired Mutual Savings Bank (MSB), Bay City, Michigan, in a stock swap transaction valued at $63.921 mil. IBC offered . 8 common shares per MSB share. Based on IBC's closing stock price of $18.25 on March 23, the last full trading day prior to the announcement, each MSB common share was valued at $14.6. The transaction was to be accounted for as a pooling of interests.</t>
  </si>
  <si>
    <t>Country Star Restaurants Inc</t>
  </si>
  <si>
    <t>Go Call Inc</t>
  </si>
  <si>
    <t>Pvd Internet communication svc</t>
  </si>
  <si>
    <t>Go Call Inc (GC) acquired a 92% interest, or 652,973 common shares, in Country Star Restaurants Inc in exchange for 4,570,811 GC common shares valued at $8.57 mil. The shares were valued based on GC's closing stock price of $1.875 on March 22, the last full trading day prior to the announcement.</t>
  </si>
  <si>
    <t>Eurosoft Corp</t>
  </si>
  <si>
    <t>Biotechnology co</t>
  </si>
  <si>
    <t>SICOR Inc</t>
  </si>
  <si>
    <t>Pvd tech consulting svcs</t>
  </si>
  <si>
    <t>SICOR Inc planned to acquire the remaining 49% stake, that it did not already own, in Eurosoft Corp.</t>
  </si>
  <si>
    <t>Knoll Inc(Warburg, Pincus)</t>
  </si>
  <si>
    <t>Warburg Pincus Ventures Inc</t>
  </si>
  <si>
    <t>Pvd invest advice svcs</t>
  </si>
  <si>
    <t>Warburg, Pincus Ventures Inc (WP) acquired the remaining 40% stake, or 16.955 mil common shares, that it did not already own in Knoll Inc (KI) for a sweetened $28 in cash per share, or a total value of $490.82 mil. Previously, WP offered KI $25 in cash per share, or a total value of $435.945 mil.</t>
  </si>
  <si>
    <t>Burlington Resources Coal Seam</t>
  </si>
  <si>
    <t>Oil royalty traders</t>
  </si>
  <si>
    <t>San Juan Partners LLC</t>
  </si>
  <si>
    <t>San Juan Partners LLC agreed to acquire the remaining 33. 32% interest, or 2,932,032 units, which it did not already own, in Burlington Resources Coal SeamGas Royalty Trust, for $73 mil in cash.</t>
  </si>
  <si>
    <t>New Century Energies Inc</t>
  </si>
  <si>
    <t>Northern States Power Co (NS) merged with New Century Energies Inc (NC) in a stock swap transaction valued at $4. 83 bil. NS offered 1.55 common shares per NC share. Based on NS' closing stock price of $27.25 on March 24, the last full trading day prior to the announcement, each NC share was valued at $42.24. The transaction was to be accounted for as a pooling of interests and a mergers of equals. Upon completion, the combined company was renamed Xcel Energy Inc.</t>
  </si>
  <si>
    <t>Norrell Corp</t>
  </si>
  <si>
    <t>Pvd personnel,business svcs</t>
  </si>
  <si>
    <t>Interim Services Inc (ISI) merged with Norrell Corp (NC) in a stock swap transaction valued at $517.289 mil, includiing the assumption of $55.3 mil in liabilities. ISI offered .9 common shares per NC share. Based on ISI's closing stock price of $17. 813 on March 24, the last full trading price prior to the announcement, the each NC share was valued at $16.032.</t>
  </si>
  <si>
    <t>Sheridan Healthcare Inc</t>
  </si>
  <si>
    <t>A management-led investor group (IG), including CEO Dr. Mitchell Eisenberg, Executive Vice President Dr. Lewis Gold, and Vestar Capital Partners Inc, acquired Sheridan Healthcare Inc (SH) for $9.25 in cash per share, or a total value of $74.826 mil. Previously, IG completed its tender offer to acquire all the outstanding common stock of SH, by accepting 7,634,548 common shares, or a 98.3% in a leveraged buyout transaction. The offer was conditioned upon at least a majority of SH's shares being tendered on a fully-diluted basis.</t>
  </si>
  <si>
    <t>Corporate Renaissance Group</t>
  </si>
  <si>
    <t>Closed-end mgt investment fund</t>
  </si>
  <si>
    <t>A management-led investor group, including CEO Martin D. Sass, Executive Vice President Hugh R. Lamle, and Walter Kaas, terminated its plans to acquire all the outstanding common stock of Corporate Renaissance Group via a tender offer for $8 in cash per share, or a total value of $5.425 mil, in a leveraged buyout transaction.</t>
  </si>
  <si>
    <t>CORT Business Services Corp</t>
  </si>
  <si>
    <t>Provide furniture rental svcs</t>
  </si>
  <si>
    <t>US - A management-led investor group (MB), including Bruckmann Rosser Sherill &amp; Co, terminated its offer to acquire all the outstanding common stock of CORT Business Services Corp (CB) for an amended $388.969 mil, in a leveraged buyout transaction. The consideration was to consist of $25 in cash and $3 in preferred stock per CB common share. Originally, MB definitively agreed to acquire all the outstanding common stock of CB for $367. 57 mil, in a leveraged buyout transaction. The consideration was to consist of $24 in cash and $2.50 in preferred stock per CB common share. Subsequently, Brook Furniture Rental Inc made an unsolicited challenging offer to acquire CB for $366.648 mil in cash.</t>
  </si>
  <si>
    <t>American States Water Co</t>
  </si>
  <si>
    <t>Provide water utility services</t>
  </si>
  <si>
    <t>American States Water Co withdrew its unsolicited challenging offer to acquire all of the outstanding common stock of Dominguez Services Corp (DSC) for $32.50 in common stock per share, subject to a collar agreement, or a total value of an estimated $59.923 mil, including the assumption of an estimated $10.5 mil in liabilities. The transaction was to be accounted for as a pooling of interests. Previously, in November 1998 California Water Services Corp agreed to acquire DSC in a stock swap transaction.</t>
  </si>
  <si>
    <t>Computer Associates International Inc (CAI) completed its tender offer to acquire all the outstanding common stock of PLATINUM Technology Inc (PTI) for $29. 25 in cash per share, or a total value of $4.057 bil, including the assumption of $651 mil in liabilities. The offer was conditioned upon at least a majority of PTI's shares being tendered.</t>
  </si>
  <si>
    <t>Amerigon Inc</t>
  </si>
  <si>
    <t>Mnfr,whl auto seats</t>
  </si>
  <si>
    <t>US - An investor group, comprised of Big Beaver Investments LLC and Westar Capital II LLC, acquired 73. 1% interest, or 9 mil Series A convertible preferred shares with contingent warrants, in Amerigon Inc (AI) for $9.001 mil. The preferred shares were convertible into 5,373,134 AI common shares at a price of $1.675 per share, and the warrants were exercisable into 1,214,134 AI common shares.</t>
  </si>
  <si>
    <t>Aqua Alliance Inc</t>
  </si>
  <si>
    <t>Vivendi SA (VA) acquired the remaining 17% stake, or 31.48 mil common shares, which it did not already own, in Aqua Alliance Inc (AA) for an amended $2.90 in cash per share, or a total value of $117.07 mil. Previously, VA completed the tender offer by accepting 30,030,178 shares. VA now owns 99% of AA's shares. Previously, VA made an offer to acquire the remaining 17% stake for $2 in cash per share, or a total value of $79.622 mil.</t>
  </si>
  <si>
    <t>BP Amoco PLC</t>
  </si>
  <si>
    <t>BP Amoco PLC (BP) merged with Atlantic Richfield Co (ARCO) in a stock swap transaction valued at $27.224 bil. BP offered 4.92 post 2-for-1new ordinary shares per ARCO share. Based on BP's closing share price of $16.902 on March 31, the last full trading day prior to the announcement, each ARCO share was valued at $83.158. The newly issued shares were to be delivered in the form of American Depositary Receipts, with each ADR convertible into six ordinary shares. Subsequently, Phillips Petroleum Co Inc agreed to acquire the Alaskan crude oil assets of ARCO for an estimated $7 bil, in order to gain approval for ARCO's merger with BP. Originally, in March, BP was rumored to be in negotiations to merge with ARCO. Subsequently, Texas Eastern Products Pipeline Co, a unit of TEPPCO Crude Oil LLC, definitively agreed to acquire all the outstanding stock of ARCO Pipe Line Co, from ARCO. This was contingent upon the successful completion of BP and ARCO's merger.</t>
  </si>
  <si>
    <t>Broadcast.Com Inc</t>
  </si>
  <si>
    <t>Yahoo! Inc (YI) acquired Broadcast.com Inc (BC) in a stock swap transaction valued at $4.733 bil. YI offered . 7722 common shares per BC share. Based on YI's closing stock price of $168.375 on March 31, the last full trading day prior to the announcement, each BC share was valued at $130.019. The transaction was accounted for as a pooling of interests. Upon completion BC was to be renamed Yahoo! Broadcast Services. Originally, YI was rumored to be in negotiations to merge with BC.</t>
  </si>
  <si>
    <t>CNBT Bancshares Inc,Bellaire</t>
  </si>
  <si>
    <t>SouthTrust Corp, Birmingham, Alabama, planned to launch an unsolicited tender offer to acquire all the outstanding common stock of CNBT Bankshares Inc (CNBT), Bellaire, Texas, for $16.23 in cash per share, or a total value of $81.36 mil.</t>
  </si>
  <si>
    <t>Emergency Filtration Products</t>
  </si>
  <si>
    <t>Mnfr medical filtration sys</t>
  </si>
  <si>
    <t>American Medical Capital LLC</t>
  </si>
  <si>
    <t>Pvd financing,investment bkg</t>
  </si>
  <si>
    <t>American Medical Capital LLC acquired all the outstanding common stock of Emergency Filtration Products Inc.</t>
  </si>
  <si>
    <t>Great Pines Water Company Inc</t>
  </si>
  <si>
    <t>Produce,bottle,whl water</t>
  </si>
  <si>
    <t>Suntory Water Group Inc</t>
  </si>
  <si>
    <t>Produce,wholesale spring water</t>
  </si>
  <si>
    <t>Suntory Water Group Inc, a unit of Suntory Ltd's Suntory International Corp subsidiary, acquired all the outstanding common stock of Great Pines Water Co Inc for $5.87 in cash per share, or a total value of $18.427 mil.</t>
  </si>
  <si>
    <t>CBS Corp (CBS) acquired all the outstanding common stock of King World Productions Inc (KWP) in a stock swap transaction valued at $2.59 bil. CBS offered .81 common shares per KWP share. Based on CBS's closing stock price of $40.8125 on March 31, the last full trading day prior to the announcement, each KWP share was valued at $33.06.</t>
  </si>
  <si>
    <t>General Electric Co PLC was rumored to be planning to acquire all the outstanding common stock of First Data Corp. The Current status of this deal is unknown.</t>
  </si>
  <si>
    <t>Welsh Carson Anderson &amp; Stowe acquired a 97% interest, or 18.867 mil common shares, in BancTec Inc for $18.50 in cash per share, or a total value of $535.538 mil, including the assumption of $150 mil in liabilities, in a recapitalization.</t>
  </si>
  <si>
    <t>Hitox Corp of America</t>
  </si>
  <si>
    <t>Mnfr,whl pigments</t>
  </si>
  <si>
    <t>Zemex Corp</t>
  </si>
  <si>
    <t>Metal mining co</t>
  </si>
  <si>
    <t>Zemex withdrew its offer to acquire all the outstanding common stock of Hitox Corp of America (HC) for a sweetened $3 in cash per share, or a total value of $14.066 mil. Originally, Zemex offered $2. 50 in cash per share, or a total value of $11.663 mil. Previously, an investor group acquired a 4% stake in HC via a tender offer.</t>
  </si>
  <si>
    <t>Mosaix Inc</t>
  </si>
  <si>
    <t>Lucent Technologies Inc (LTI) acquired Mosaix Inc (MI) in a stock swap transaction valued at $129.292 mil. LTI offered .1927 common shares per MI share. Based on LTI's closing stock price of $55. 875 on April 1, the last full trading day prior to the announcement, each MI share was valued at $10.767. The transaction was accounted for as a pooling of interests.</t>
  </si>
  <si>
    <t>National Propane Partners LP</t>
  </si>
  <si>
    <t>Retail,wholesale propane</t>
  </si>
  <si>
    <t>Columbia Propane Corp</t>
  </si>
  <si>
    <t>Own,op retail propane business</t>
  </si>
  <si>
    <t>Columbia Propane Corp (CP), a unit of Columbia Energy Group, acquired all the outstanding common limited partnership units of National Propane Partners LP (NP) for $12 in cash per unit, or a total value of $96.219 mil. Earlier, CP completed its tender offer by accepting 5, 928,804 units, or 88.5% of NP's units.. The transaction included the acquisition of a limited partnership stake in NP from Triarc Cos Inc and the assumption of $15.8 mil in liabilities.</t>
  </si>
  <si>
    <t>US - United Rentals Inc terminated its unsolicited hostile tender offer to acquire all the outstanding common stock of Rental Service Corp (RSC) for $22.75 in cash per share, or a total value of $582.189 mil. Previously, RSC agreed to merge with NationsRent (NR) in a stock swap transaction. In May 1999, the merger agreement was terminated. The offer was conditioned upon at least a majority of RSC's shares being tendered on a fully diluted basis and the termination of the NR merger agreement.</t>
  </si>
  <si>
    <t>Sunstone Hotel Investors Inc</t>
  </si>
  <si>
    <t>A management-led investor group (WPSH), including Westbrook Partners and SHP Acquisition LLC, acquired all the outstanding common stock of Sunstone Hotel Investors Inc (SHI) via a tender offer for $10.3761 in cash per share, or a total value of $875.384 mil, including the assumption of $450 mil in liabilities. Previously, WPSH offered to acquire SHI for $10.35 in cash or common stock per share, or a total value of $855.718 mil, including the assumption of $450 mil in liabilities. Originally, SHI offered prices ranging from $9.5 to $10 in cash per share, or a total value of $802.573 mil, including the assumption of $410 mil in liabilities, in a leveraged buyout transaction. The value was based on the high price in the range.</t>
  </si>
  <si>
    <t>J Alexander's Corp</t>
  </si>
  <si>
    <t>O'Charley's Inc</t>
  </si>
  <si>
    <t>O'Charley's Inc withdrew an unsolicited tender offer for all the outstanding common stock of J Alexander's Inc for $5.50 in cash per share, or a total value of $35.847 mil.</t>
  </si>
  <si>
    <t>MCI WorldCom terminated its negotiations to acquire all the outstanding common stock of Nextel Communications.</t>
  </si>
  <si>
    <t>Minotaur Capital Inc</t>
  </si>
  <si>
    <t>Minotaur Capital Inc (MC) withdrew its unsolicited tender offer to acquire a 51% interest, or 7.26 mil common shares, in Ride Inc (RI) for an amended $2.25 in cash per share, or a total value of $16.334 mil. The offer was conditioned upon at least 51% of RI's shares being tendered on a fully-diluted basis. Originally, MC launched an unsolicited tender offer to acquire a 51% interest, or 7. 26 mil common shares, in RI for $1.25 in cash per share, or a total value of $9.075 mil. The offer was conditioned upon at least 51% of RI's shares being tendered on a fully-diluted basis.</t>
  </si>
  <si>
    <t>Community Care Services Inc</t>
  </si>
  <si>
    <t>LTTR Homecare LLC</t>
  </si>
  <si>
    <t>LTTR Homecare LLC signed a letter of intent to acquire Community Care Services Inc for $1.20 in cash per share, or a total value of $9.117 mil.</t>
  </si>
  <si>
    <t>An investor group, comprised of Mr. Roger Burlage and Kushner-Locke Co (KL), acquired an undisclosed majority interest in Harvey Entertainment Co (HE) for $17 mil. The consideration was to consist of $11.5 mil in cash and $5.5 mil in KL common stock in exchange for newly issued HE Class A convertible preferred stock.</t>
  </si>
  <si>
    <t>R-B Rubber Products Inc</t>
  </si>
  <si>
    <t>Mnfr,whl rubber products</t>
  </si>
  <si>
    <t>Dash Multi-Corp Inc</t>
  </si>
  <si>
    <t>Mnfr formulated plastics</t>
  </si>
  <si>
    <t>Dash Multi-Corp Inc completed its tender offer to acquire 1,567,417 shares, or 70.3% of the common stock outstanding, of RB Rubber Products Inc (RB) for $3.00 in cash per share, or a total value of $4.702 mil.</t>
  </si>
  <si>
    <t>Meadowcraft Inc</t>
  </si>
  <si>
    <t>Mnfr,whl outdoor furniture</t>
  </si>
  <si>
    <t>A management-led investor group, comprised of Chairman Samuel Blount, acquired the remaining 27% stake, or 5,315, 819 common shares, which it did not already own, in Meadowcraft Inc (MI) for an amended $10 in cash per share, or a total value of $53.157 mil. Earlier, the investor group completed its tender offer for MI by accepting approximately 4.9 mil common shares, or about 24.88% of MI's shares . Originally, the investor group planned to acquire the remaining 27% stake for $8 in cash per share.</t>
  </si>
  <si>
    <t>MTD Products Inc raised its stake to 51% from 43.36% in Shiloh Industries Inc (SII) by acquiring 1 mil SII common shares from Dominick and James Fanello, for $14.5 per share, or a total value of $14.5 mil, in a privately negotiated transaction.</t>
  </si>
  <si>
    <t>Statewide Financial Corp,NJ</t>
  </si>
  <si>
    <t>Independence Cmnty Bk Corp,NY</t>
  </si>
  <si>
    <t>Savings,loan holding co</t>
  </si>
  <si>
    <t>Independence Community BankCorp (ICB), Brooklyn, New York, acquired Statewide Financial Corp (SFC), Jersey City, New Jersey, for $25.31 in cash or common stock per share, or a total value of $108.948 mil. The consideration was satisfied 50% in common stock and 50% in cash.</t>
  </si>
  <si>
    <t>GeoTel Communications Corp</t>
  </si>
  <si>
    <t>Dvlp voice call software</t>
  </si>
  <si>
    <t>Cisco Systems Inc (CS) acquired GeoTel Communications Corp (GC) in a stock swap transaction valued at $1.911 bil. CS offered . 5138 common shares per GC share. Based on CS's closing stock price of $117.75 on April 12, the last full trading day prior to the announcement, each GC share was valued at $60.50. The transaction was accounted for as a pooling of interests.</t>
  </si>
  <si>
    <t>HealthCom Evaluation Services</t>
  </si>
  <si>
    <t>Pvd medical assessment svcs</t>
  </si>
  <si>
    <t>Handell-Graff Inc</t>
  </si>
  <si>
    <t>Handell-Graff Inc(HG) acquired all the outstanding common stock of HealthCom Evaluation Services Corp (HC). Upon completion, HG was renamed HC.</t>
  </si>
  <si>
    <t>Remec Inc</t>
  </si>
  <si>
    <t>Mnfr microwave modules</t>
  </si>
  <si>
    <t>SDA Express Courier Srl</t>
  </si>
  <si>
    <t>STM Wireless Inc (STM) terminated its signed letter of intent to merge with Remec Inc (RI) in a stock swap transaction valued at $383. 833 mil. STM offered 3.8 common shares per RI share. Based on STM's closing stock price of $4.25 on April 13, the last full trading day prior to the announcement, each RI share was valued at $16.15. The transaction was to be accounted for as a pooling of interests.</t>
  </si>
  <si>
    <t>Stone Street Bancorp Inc,NC</t>
  </si>
  <si>
    <t>CCB Financial Corp (CCB), Durham, North Carolina, acquired Stone Street Bancorp (SSB), Mocksville, North Carolina, in a stock swap transaction valued at $34.122 mil, subject to a collar agreement. Based on CCB's closing stock price of $41. 375 on October 1, the last full trading day prior to the announcement of the exact exchange ratio, each SSB share was valued at $19.86. CCB offered a choice of $21. 37 in cash or in common shares per SSB share, whereby a minimum of 80% of the consideration was to be paid in common stock.</t>
  </si>
  <si>
    <t>MCI Worldcom Inc (MCI) merged with CAI Wireless Systems Inc (CAI) for an amended $28 in cash per share, or total value of an estimated $603.374 mil. Originally, MCI offered $24 in cash per share, or a total value of $514.112 mil. The transaction included the acquisition of an estimated 62% of CAI's shares from institutional investors for less than $28 per share.</t>
  </si>
  <si>
    <t>Children's Broadcasting Corp</t>
  </si>
  <si>
    <t>Children's Broadcasting Corp raised its stake to 52.1% from 49.1% in Harmony Holdings Inc by acquiring . 228 mil common shares.</t>
  </si>
  <si>
    <t>Ocwen Asset Investment Corp</t>
  </si>
  <si>
    <t>Investment firm; REIT</t>
  </si>
  <si>
    <t>Ocwen Financial Corp (OFC) acquired the remaining 91.88% interest, or 17.425 mil common shares, which it did not already own, in Ocwen Asset Investment Corp (OAI) in a stock swap transaction valued at an amended $95.881 mil. OFC offered a sweetened . 71 common shares per OAI share. Based on OFC's closing stock price of $7.75 on July 23, the last full trading day prior to the amendment, each OAI share was valued at $5. 503.</t>
  </si>
  <si>
    <t>A management-led investor group, including Lehman Brothers Merchant Banking Partners II (LB), a unit of Lehman Brothers Holdings Inc, acquired a 96% interest, or 35.578 mil common shares, in Blount International Inc (BI) for $30 in cash per share, or a total value of $1.257 bil, including the assumption of approximately $190 mil in liabilities, in a leveraged recapitalization transaction. Upon completion, pre-merger shareholders will retain approximately a 10% stake in BI.</t>
  </si>
  <si>
    <t>Go Call Inc (GC) withdrew its agreement to acquire the remaining 8% stake, or 56,362 common shares, which it did not already own, in Country Star Restaurants Inc in exchange for 395,534 common shares valued at $.715 mil. The shares were valued based on GC's closing stock price of $1.812 on April 16, the last full trading day prior to the announcement.</t>
  </si>
  <si>
    <t>F&amp;M Bancorp,Kaukauna,WI</t>
  </si>
  <si>
    <t>Citizens Banking Corp (CBCF), Flint, Michigan, acquired F&amp;M Bancorp Inc (FM), Kaukauna, Wisconsin, in a stock swap transaction valued at $333.549 mil. CBCF offered 1.303 common shares per FM share. Based on CBCF's closing stock price of $39 on April 16, the last full trading day prior to the announcement, each FM share was valued at $50.817. The transaction was to be accounted for as a pooling of interests.</t>
  </si>
  <si>
    <t>HealthCare Financial Partners</t>
  </si>
  <si>
    <t>Pvd asset-based financing svcs</t>
  </si>
  <si>
    <t>Heller Financial Inc</t>
  </si>
  <si>
    <t>Provide business finance svcs</t>
  </si>
  <si>
    <t>Heller Financial Inc, a unit of The Fujibank Ltd's Fuji America Holdings Inc subsidiary, acquired all the outstanding common stock of HealthCare Financial Partners Inc for $35 in cash or common stock per share, or a total value of $485.295 mil. The consideration consisted of no more than 41% in common stock.</t>
  </si>
  <si>
    <t>MedE America Inc</t>
  </si>
  <si>
    <t>Pvd elec data interchange svcs</t>
  </si>
  <si>
    <t>Healtheon Corp</t>
  </si>
  <si>
    <t>Dvlp Internet-based health sys</t>
  </si>
  <si>
    <t>Healtheon Corp (HC) acquired all the outstanding common stock of Mede America Inc (MA) in a stock swap transaction valued at an amended $390.498 mil. HC offered an amended . 7494 common shares per MA share. Based on HC's closing stock price of $40.25 on November 9, the last full trading day prior to the announcement, each MA share was valued at $30.163. Originally in April 1999, HC offered .6593 common shares per share. Concurrently, HC merged with WebMD Inc (WI) and HC and WI together acquired Greenberg News Networks Inc. The four companies formed a new entity called Healtheon/WebMD.</t>
  </si>
  <si>
    <t>TAVA Technologies Inc</t>
  </si>
  <si>
    <t>Mnfr switchgear apparatus</t>
  </si>
  <si>
    <t>Real Software NV</t>
  </si>
  <si>
    <t>Real Software NV acquired all the outstanding common stock of Tava Technologies Inc for $8 in cash per share, or a total value of $196.535 mil.</t>
  </si>
  <si>
    <t>Hancock Park Associates</t>
  </si>
  <si>
    <t>Hancock Park Associates terminated its plans to acquire all the outstanding common stock of Winsloew Furniture Inc for $34 per share, or a total value of $267.116 mil.</t>
  </si>
  <si>
    <t>Sara Lee Corp</t>
  </si>
  <si>
    <t>Produce,whl meats,baked goods</t>
  </si>
  <si>
    <t>Sara Lee Corp (SLC) acquired all the outstanding common stock of Chock Full O'Nuts Corp (CFN) for an amended $11 in common stock per share, or a total value of $242.478 mil. Originally, SLC launched an unsolicited, hostile tender offer to acquire all the outstanding common stock of CFN for $10.50 in cash per share, or a total value of $231.339 mil.</t>
  </si>
  <si>
    <t>Danaher Corp (DC) acquired Hach Co (HC) in a stock swap transaction valued at $337. 629 mil. DC offered .2987 common shares per HC common and Class A common share. Based on DC's closing stock price of $62.313 on April 21, the last full trading day prior to the announcement, each HC share was valued at $18.613. The transaction was accounted for as a pooling of interests.</t>
  </si>
  <si>
    <t>AT&amp;T Corp (AC) completed an unsolicited, challenging offer to acquire MediaOne Group Inc (MGI) in a stock swap transaction valued at an amended $49.279 bil, including the assumption of $4.5 bil in liabilities. AC offered $36.27 in cash and . 95 common shares per MGI share. Based on AC's closing stock price of $33.5 on June 14, the last full trading day prior to the amendment, each MGI share was valued at $68. 095. The cash portion of the deal included the maximum "top-up" of $5.42 a share that MGI was promised in the event of a drop in AC's stock. The deal was orginally valued at $60.52 bil, including the assumption of $4.5 bil in liabilities. AC offered $30.85 in cash and . 95 common shares per MGI share. Based on AC's closing stock price of $57 on April 21, the last full trading day prior to the announcement, each MGI share had been valued at $85. Subsequently, Comcast Corp withdrew its agreement to merge with MGI and agreed to acquire cable systems from AC and other cable systems from MGI. Both transactions were contingent upon the completion of AC's acquisition of MGI. The acquisition of MGI was to be contingent upon Excite At Home's acquisition of MGI's 25% stake in Road Runner.</t>
  </si>
  <si>
    <t>Connecticut Energy</t>
  </si>
  <si>
    <t>Energy East Corp</t>
  </si>
  <si>
    <t>US - Energy East Corp (EE) acquired Connecticut Energy Corp (CE), a gas utility holding company, in a stock swap transaction valued at $621.727 mil, including the assumption of 187 mil in liabilities. EE offered a choice of $42 in cash or common stock, subject to a collar agreement. The consideration was paid 50% in cash and 50% in common stock.</t>
  </si>
  <si>
    <t>Goldman Industrial Group Inc</t>
  </si>
  <si>
    <t>Mnfr metal working machinery</t>
  </si>
  <si>
    <t>Goldman Industrial Group Inc acquired all the outstanding common stock of Bridgeport Machines Inc for $10 in cash per share, or a total value of $57.044 mil.</t>
  </si>
  <si>
    <t>EVEREN Capital Corp</t>
  </si>
  <si>
    <t>First Union Corp (FUC) acquired EVEREN Capital Corp (ECC) in a stock swap transaction valued at $1.172 bil. FCU offered $31 in common stock per ECC share. Originally, FUC definitively agreed to acquire ECC in a stock swap transaction valued at $1.153 bil. FCU offered . 555 common shares per ECC share. Based on FUC's closing stock price of $55 on April 23, the last full trading day prior to the announcement, each ECC share was valued at $30.525.</t>
  </si>
  <si>
    <t>General Electric Co PLC (GEC) acquired all the outstanding common stock of FORE Systems Inc (FORE) for $35 in cash per share, or a total value of $4.19 bil. Previously, GEC completed its tender offer for FORE by accepting 100,115, 502 shares, or 90%. Originally, in April GEC was rumored to be in negotiations to acquire FORE.</t>
  </si>
  <si>
    <t>Lasertec International Inc</t>
  </si>
  <si>
    <t>Manufacture lasers</t>
  </si>
  <si>
    <t>An investor group planned to acquire a 51% interest in Lasertec International Inc.</t>
  </si>
  <si>
    <t>Norton Drilling Services Inc</t>
  </si>
  <si>
    <t>UTI Energy Corp (EC) acquired Norton Drilling Services Inc (NS) in a stock swap transaction valued at $20.295 mil, including the assumption of $6.3 mil in liabilites. EC offered .2632 common shares per NS share. Based on EC's closing stock price of $10.75 on April 23, the last full trading day prior to the announcement, each NS share was valued at $2.83.</t>
  </si>
  <si>
    <t>Sprint Nextel Corp</t>
  </si>
  <si>
    <t>Pvd telecommun,Internet svcs</t>
  </si>
  <si>
    <t>Sprint Corp acquired all the outstanding common stock of American Telecasting Inc, for $6.50 in cash per share, or a total value of $448.49 mil, including the assumption of $281 mil in liabilities.</t>
  </si>
  <si>
    <t>InterVoice Inc</t>
  </si>
  <si>
    <t>Mnfr voice response system</t>
  </si>
  <si>
    <t>InterVoice Inc (IV) merged with Brite Voice Systems Inc (BV) for $172.204 mil. Initially, IV completed its tender offer for BV by acquiring a 74.97% interest, by accepting 9,158,155 common shares, in BV for $13.40 in cash per share, or a total value of $122.719 mil. In the second step, IV planned to acquire the remaining 25.03% stake, or 3.071 mil common shares which it did not already own, in exchange for $13.40 in common stock per BV share, subject to a collar agreement, or a total value of $41.152 mil. Upon completion, the combined company was renamed InterVoice-Brite.</t>
  </si>
  <si>
    <t>First Liberty Financial Corp</t>
  </si>
  <si>
    <t>BB&amp;T Corp (BBT), Winston- Salem, North Carolina, acquired First Liberty Financial Corp (FLFC), Macon, Georgia, in a stock swap transaction valued at $416. 694 mil. BBT offered .87 common shares per FLFC share. Based on BBT's closing stock price of $35.187 on November 21, the last full trading day prior to the announcment of the exact exchange ration, each FLFC share was valued at $30.1627. Originally, BBT offered $33.25 in common shares per FLFC share, subject to a collar agreement which was subsequently breached. The transaction was accounted for as a pooling of interests.</t>
  </si>
  <si>
    <t>Hilite Industries Inc</t>
  </si>
  <si>
    <t>Mnfr motor vehicle equipment</t>
  </si>
  <si>
    <t>An investor group which included Carreras Kestner &amp; Co LLC, acquired all the outstanding common stock of Hilite Industries Inc (HI) for $14.25 in cash per share, or a total value of $70.996 mil. Earlier the group completed its tender offer by accepting 4,730,941 shares, or 96.55% of HI's shares. Upon completion of the recapitalization, HI management retained a 7.8% stake in HI.</t>
  </si>
  <si>
    <t>Eastman Chemical Co</t>
  </si>
  <si>
    <t>Mnfr,whl chem,plastics,fibers</t>
  </si>
  <si>
    <t>Eastman Chemical Co (EC) acquired all the outstanding common stock of Lawter International Inc (LI) for $12.25 in cash per share, or a total value of $408.6 mil. Earlier, EC completed its tender offer for LI by accepting 30.926 mil common shares, or about 93.52% of LI's common stock outstanding The offer was conditioned upon 50.1% of LI's shares being tendered.</t>
  </si>
  <si>
    <t>Advanced Technical Products</t>
  </si>
  <si>
    <t>Mnfr aerospace,defense prods</t>
  </si>
  <si>
    <t>Advanced Technical Products Inc agreed to divest the company to an undisclosed financial acquiror for an estimated $94.433 mil. The consideration was to consist of $20 in cash per share and $15.757 mil in profit-related payments payable in $3 in cash per share.</t>
  </si>
  <si>
    <t>Oneida Ltd</t>
  </si>
  <si>
    <t>Mnfr silverware,china</t>
  </si>
  <si>
    <t>Libbey Inc</t>
  </si>
  <si>
    <t>Mnfr,whl glass tableware</t>
  </si>
  <si>
    <t>Libbey Inc (LI) withdrew its unsolicited, hostile tender offer to acquire all the outstanding common stock of Oneida Ltd for a sweetened $37.5 in cash per share, or a total value of $625.064 mil. Originally, LI offered $30 in cash per share, or a total value of $500.051 mil.</t>
  </si>
  <si>
    <t>Regency Bancorp,Fresno,CA</t>
  </si>
  <si>
    <t>Zions Bancorp (ZB), Salt Lake City, Utah, acquired Regency Bancorp (RB), Fresno, California, in a stock swap transaction valued at $60.04 mil. ZB offered .3669 common shares per RB share. Based on ZB's closing stock price of $56.312 on October 5, the last full trading day prior to the announcement, each RB share was valued at $20.667. Originally, ZB offered .3233 common shares per RB share. Based on ZB's closing stock price of $70 on April 27, the last full trading day prior to the announcement, each RB share was valued at $22.631. The transaction was accounted for as a pooling of interests.</t>
  </si>
  <si>
    <t>CMP Media LLC</t>
  </si>
  <si>
    <t>Publish info tech magazines</t>
  </si>
  <si>
    <t>United News &amp; Media PLC</t>
  </si>
  <si>
    <t>United News &amp; Media PLC (UNM) acquired all the outstanding common stock of CMP Media Inc (CM) for $39 in cash per share, or a total value of $993.974 mil. Previously, UNM completed its tender offer for CM by accepting 22.934 mil shares, or 99.36%. The offer was conditioned upon at least 68% of CM's shares being tendered on a fully- diluted basis.</t>
  </si>
  <si>
    <t>Essef Corp</t>
  </si>
  <si>
    <t>Mnfr filters,pumps and casings</t>
  </si>
  <si>
    <t>Pentair Inc</t>
  </si>
  <si>
    <t>Mnfr fluid processing products</t>
  </si>
  <si>
    <t>Pentair Inc (PI) acquired all the outstanding common stock of Essef Corp (EC) for an amended $18.97 in cash per share, or a total value of $352.113 mil, including the assumption of $120 mil in liabilities. Previously, PI offered EC $19.09 in cash per share, or total value of $353. 611 mil.</t>
  </si>
  <si>
    <t>Killearn Inc</t>
  </si>
  <si>
    <t>Killearn Inc acquired the remaining 38% stake, or .337 mil common shares, which it did not already own, in Killearn Properties Inc for $5.50 in cash per share, or a total value of $1.855 mil.</t>
  </si>
  <si>
    <t>PAREXEL International Corp</t>
  </si>
  <si>
    <t>Pvd biopharmaceutical svcs</t>
  </si>
  <si>
    <t>Covance Inc</t>
  </si>
  <si>
    <t>Covance Inc (CI) terminated its offer to merge with Parexel International Corp (PI) in a stock swap transaction valued at $829. 218 mil. CI offered 1.184 common shares per PI share. Based on CI's closing stock price of $27.50 on April 28, the last full trading day prior to the announcement, each PI share was valued at $32.56. Upon completion, the combined company was to be renamed Covance Parexel Inc.</t>
  </si>
  <si>
    <t>ABR Information Services Inc</t>
  </si>
  <si>
    <t>Pvd benefits admin services</t>
  </si>
  <si>
    <t>Ceridian Corp</t>
  </si>
  <si>
    <t>Pvd human resources svcs</t>
  </si>
  <si>
    <t>Ceridian Corp (CC) merged with ABR Information Services Inc (ABR) for $25.50 in cash per share, or a total value of $745.093 mil. CC completed its tender offer for ABR by accepting 28.304 mil common shares, or 98.5% of ABR's shares outstanding. The offer was conditioned upon at least a majority of CC's shares being tendered on a fully- diluted basis.</t>
  </si>
  <si>
    <t>Market Facts Inc</t>
  </si>
  <si>
    <t>Aegis Group PLC</t>
  </si>
  <si>
    <t>Pvd media,digital commun svcs</t>
  </si>
  <si>
    <t>Aegis Group PLC (AG) acquired all the outstanding common stock of Market Facts Inc (MF) for $31 in cash per share, or a total value of $296.838 mil. Earlier, AG completed its tender offer by accepting 8.6 mil shares, or 96.2% of MF's shares.</t>
  </si>
  <si>
    <t>Firstar Corp,Milwaukee,WI</t>
  </si>
  <si>
    <t>Firstar Corp (FRS), Milwaukee, Wisconsin, merged with Mercantile Bancorp (MB), St Louis, Missouri, in a stock swap transaction valued at $10.64 bil. FRS offered 2. 091 common shares per MB share. Based on FRS' closing stock price of $31.5625 on April 29, the last full trading day prior to the announcement, each MB share was valued at $66. The transaction was to be accounted for as a pooling of interests.</t>
  </si>
  <si>
    <t>An investor group, comprised of SBC Communications Inc and Telefonos de Mexico SA, acquired all the outstanding common stock of Cellular Communications of Puerto Rico Inc for $29.50 in cash per share, or a total value of $867.781 mil, including the assumption of $350 mil in liabilities.</t>
  </si>
  <si>
    <t>Integrated Sensor Solutions In</t>
  </si>
  <si>
    <t>Mnfr sensors,semiconductors</t>
  </si>
  <si>
    <t>Texas Instruments Inc completed its tender offer to acquire Integrated Sensor Solutions Inc (IS) for $8.05 in cash per share, or a total value of $64.668 mil, by accepting 7.709 mil common shares, or about 99% of IS's shares. The offer was conditioned upon at least a majority of IS's shares being tendered on a fully-diluted basis.</t>
  </si>
  <si>
    <t>MBLA Financial Corp</t>
  </si>
  <si>
    <t>Citizens Bancshares Co</t>
  </si>
  <si>
    <t>Citizens Bancshares Co, Chillicothe, Missouri, acuired all the outstanding common stock of MBLA Financial Corp for $24.15 in cash per share, or a total value of $31.09 mil.</t>
  </si>
  <si>
    <t>Pvd software consulting svcs</t>
  </si>
  <si>
    <t>Getronics NV</t>
  </si>
  <si>
    <t>Getronics NV (GN) acquired all the outstanding common stock of Wang Laboratories (WL) Inc for $29.25 in cash per share, or a total value of $1.49 bil. Previously, GN completed its tender offer for WL by accepting 41,765, 726 shares, or 90.4% of its common stock outstanding.</t>
  </si>
  <si>
    <t>Dames &amp; Moore Group</t>
  </si>
  <si>
    <t>Pvd envi,engineering svcs</t>
  </si>
  <si>
    <t>URS Corp acquired all the outstanding common stock of Dames &amp; Moore Group (DM) for $16 in cash per share or a total value of $596.361 mil, including the assumption of $300 mil in liabilities, by accepting 17.6 mil shares, or 96% of DM's shares. The offer was conditioned upon at least a majority of DM's shares being tendered on a fully- diluted basis.</t>
  </si>
  <si>
    <t>Enterprise Software Inc</t>
  </si>
  <si>
    <t>Dvlp program mgmt software</t>
  </si>
  <si>
    <t>LiveWire Ventures LLC</t>
  </si>
  <si>
    <t>Pvd billing,customer care svcs</t>
  </si>
  <si>
    <t>LiveWire Ventures LLC acquired a 98% interest, or 5, 298,366 common shares, in Enterprise Software Inc (ES) for an amended $9.25 in cash per share, or a total value of $74.01 mil, including the assumption of $25 mil in liabilities. Originally, LV signed a letter of intent to acquire all the outstanding common stock of ES for $10 in cash per share.</t>
  </si>
  <si>
    <t>Thermo Power Corp</t>
  </si>
  <si>
    <t>Manufacture cogeneration sys</t>
  </si>
  <si>
    <t>499A</t>
  </si>
  <si>
    <t>Thermo Electron Corp</t>
  </si>
  <si>
    <t>Mnfr scientific tech,equipment</t>
  </si>
  <si>
    <t>Thermo Electron Corp acquired the remaining 22% stake, or 2,602,636 common shares, that it did not already own in Thermo Power Corp (TP) for $12 in cash per share, or a total value of $34.772 mil. Upon completion, TP will not be traded publicly.</t>
  </si>
  <si>
    <t>US - Litton Industries Inc (LI) acquired all the outstanding common stock of Avondale Industries Inc (AI), an owner and operator of a shipyard, for a sweetened $39. 50 in cash per share, or a total value of 523.84 mil. Previously, LI made an unsolicited challenging offer to acquire AI for $38 in cash per share, or a total value of $503.946 mil. Originally, Newport News Shipbuilding Inc definitively agreed to merge with AI for $474.536 mil. Subsequently, NN withdrew its agreement. Concurrently, LI made an unsolicited offer to acquire NN.</t>
  </si>
  <si>
    <t>Litton Industries Inc (LI) withdrew its unsolicited offer to acquire of Newport News Shipbuilding Inc (NN) in a stock swap transaction valued at $1.905 bil, including the assumption of $600 mil in liabilities. LI offered .55 common shares per NN share. Based on LN's closing stock price of $64. 563 on May 5, the last full trading day prior to the announcement, each NN share was valued at $35.51. The transaction was to be accounted for as a pooling of interests. Previously, both LI and NN made offers to acquire Avondale Industries (AI). Subsequently, NN withdrew its agreement to acquire AI.</t>
  </si>
  <si>
    <t>Shelby Williams Industries Inc</t>
  </si>
  <si>
    <t>Mnfr seating products</t>
  </si>
  <si>
    <t>Falcon Products Inc</t>
  </si>
  <si>
    <t>Mnfr,whl furniture,wire prod</t>
  </si>
  <si>
    <t>Falcon Products Inc (FPI) acquired all the outstanding common stock of Shelby Williams Industries Inc (SWI) for $16.5 in cash per share, or a total value of $147.445 mil. Previously, FPI completed its tender offer for SWI for $16.50 in cash per share, or a total value of $145.153 mil, by accepting 8.613 mil common shares, or 98% of SWI's shares. The offer was conditioned on at least a majority of shares being tendered.</t>
  </si>
  <si>
    <t>Kirtland Capital Partners</t>
  </si>
  <si>
    <t>Kirtland Capital Partners acquired all the outstanding common stock of Instron Corp for $22 in cash per share, or a total value $159.936 mil cash.</t>
  </si>
  <si>
    <t>McDermott International Inc</t>
  </si>
  <si>
    <t>Pvd marine engineering svcs</t>
  </si>
  <si>
    <t>McDermott International Inc (MI) acquired the remaining 37% stake, or 14.445 mil common shares which it did not already own, in J Ray McDermott SA (JM) for $35.62 in cash per share, or a total value of $514.540 mil. Earlier, MI completed its tender offer for JM by accepting 14.129 mil shares, or 97.8% of JM's shares.</t>
  </si>
  <si>
    <t>Chevron Corp terminated its negotiations to acquire all the outstanding common stock of Texaco Inc.</t>
  </si>
  <si>
    <t>CMC Industries Inc</t>
  </si>
  <si>
    <t>ACT Manufacturing Inc</t>
  </si>
  <si>
    <t>Pvd electn mfg solutions svc</t>
  </si>
  <si>
    <t>ACT Manufacturing Inc (ACT) acquired CMC Industries Inc (CMC) in a stock swap transaction valued at $60.392 mil. ACT offered .5 common shares per CMC share. Based on ACT's closing stock price of $15.1875 on May 7, the last full trading day prior to the announcement, each CMC share was valued at $7.594. The transaction was to be accounted for as a pooling of interests.</t>
  </si>
  <si>
    <t>EMCON</t>
  </si>
  <si>
    <t>IT Group Inc</t>
  </si>
  <si>
    <t>IT Group Inc (IT) acquired all the outstanding common stock of EMCON (EM) for $6.75 in cash per share, or a total value of $64.30 mil, including the assumption of $8 mil in liabilities. Previously, IT completed its tender offer by accepting 7. 864 mil shares, or 94.2% of EM's shares.</t>
  </si>
  <si>
    <t>Pamida Holdings Corp</t>
  </si>
  <si>
    <t>ShopKo Stores Inc acquired all the outstanding common stock of Pamida Holdings Corp (PHC) for $11.50 in cash per share, or a total value of $372.283 mil, including the assumption of $265 mil in liabilities. Earlier, ShopKo completed its tender offer fot PHC by accepting 8.804 mil common shares, or about 97% of the shares outstanding. The offer was conditioned upon at least 51% of PHC's shares being tendered.</t>
  </si>
  <si>
    <t>Penske Motorsports Inc</t>
  </si>
  <si>
    <t>Pvd racing promotion svcs</t>
  </si>
  <si>
    <t>International Speedway Corp</t>
  </si>
  <si>
    <t>Pvd motorsports promotion svcs</t>
  </si>
  <si>
    <t>International Speedway Corp acquired the remaining 88% stake, or 12.192 mil common shares, which it did not already own, in Penske Motorsports Inc, a majority- owned unit of Goodrich Petroleum Corp's Penske Corp subsidiary, for $50 in cash or common stock per share, or a total value of $617.23 mil.</t>
  </si>
  <si>
    <t>HSBC</t>
  </si>
  <si>
    <t>HSBC Holdings PLC (HSBC) acquired all the outstanding common stock of Republic New York Corp, New York, New York, (RNY) for $72 in cash per share, or a total value of $7. 703 bil. Concurrently, HSBC acquired the remaining 51% interest, or 35.986 mil ordinary shares, which it did not already own, in Safra Republic Holdings SA (SRH). RNY held a 49% stake in SRH. Subsequently, founder and major shareholder, Mr. Edmond Safra, agreed to take a $450 mil cut, by accepting an amended $57.41 in cash per share for his 29% stake, or 31.004 mil common shares, in RNY.</t>
  </si>
  <si>
    <t>ReSound Corp</t>
  </si>
  <si>
    <t>Manufacture,whl hearing aids</t>
  </si>
  <si>
    <t>GN Great Nordic Ltd</t>
  </si>
  <si>
    <t>GN Great Nordic Ltd acquired ReSound Corp via a tender offer for $8 in cash per share, or a total value of $185.368 mil. The offer was conditioned on at least 90% of shares being tendered.</t>
  </si>
  <si>
    <t>Georgia-Pacific Corp acquired all the outstanding common shares of Unisource Worldwide Inc (UW) for $12 in cash per share, or a total value of $849.239 mil, by accepting 63. 7 mil common shares, or 91% of the company's common stock outstanding. Previously, UGI Corp withdrew its agreement to merge with UW.</t>
  </si>
  <si>
    <t>Valley National Corp,CA</t>
  </si>
  <si>
    <t>Community First Bankshares Inc (CFBX), Fargo, North Dakota, merged with Valley National Corp (VADO), El Cajon, California, in a stock swap transaction valued at $29.199 mil. CFBX offered 1 common share per VADO share, subject to a collar agreement. Based on CFBX's closing stock price of $20.9375 on May 07, the last full trading day prior to the announcement, each VADO share was valued at $20.9375. The transaction was to be accounted for as a pooling of interests.</t>
  </si>
  <si>
    <t>Xoom.com Inc</t>
  </si>
  <si>
    <t>National Broadcasting Co Inc (NBC), a unit of General Electric Co's majority-owned RCA Corp subsidiary, acquired Xoom.com Inc (XOOM) in a stock swap transaction valued at an estimated $1.51 bil. NBC offered 1 Class A common share in newly formed NBC Internet (NBCi) per XOOM share. Concurrently, NBC acquired the remaining 40% stake, which it did not already own, in Snap! (SNAP) from its joint-venture partner CNET Inc in exchange for 7,147,584 Class A NBCi common shares. NBCi was formed through the merger of XOOM, SNAP, and current NBC- owned properties NBC.com, NBC Interactive Neighborhood, Videoseeker.com, and a 10% stake in newly formed CNBC. com. Upon completion, NBC owned a 47.3% stake, with an option to acquire an additional 3.1%, former XOOM shareholders owned a 38.8% stake, and CNET owned a 13.8%, in NBCi</t>
  </si>
  <si>
    <t>Empire District Electric Co</t>
  </si>
  <si>
    <t>Elec,water utility</t>
  </si>
  <si>
    <t>Utilicorp United Inc (UU) withdrew its agreement to acquire all the outstanding common stock of Empire District Electric Co in a stock swap transaction valued at $763.89 mil, including the assumption of $260 mil in liabilities. UU offered a choice of $29.50 in cash or common stock per share, subject to a collar agreement. No more than 50% of the total consideration consisted of cash and stock representing no more than 19. 9% of UU's total outstanding stock was issued.</t>
  </si>
  <si>
    <t>Gradall Industries Inc</t>
  </si>
  <si>
    <t>JLG Industries Inc (JLG) acquired all the outstanding common stock of Gradall Industries Inc (GII) for $20 in cash per share, or a total value of $196.195 mil. Earlier, JLG completed its tender offer for GII by accepting 9.4 mil shares, or 98.7% of GII's shares outstanding. The offer was conditioned on at least 50% of shares being tendered and was subject to regulatory approval.</t>
  </si>
  <si>
    <t>Meridian Data</t>
  </si>
  <si>
    <t>Mnfr electn computers</t>
  </si>
  <si>
    <t>Quantum Corp (QC) acquired Meridian Data (MD) in a stock swap transaction valued at $93.779 mil. QC offered .489 common shares per MD share. Based on QC's closing stock price of $19.25 on May 10, the last full trading day prior to the announcement, each MD share was valued at $9.413. The transaction was accounted for as a pooling of interests.</t>
  </si>
  <si>
    <t>Rocky Mountain Chocolate Inc</t>
  </si>
  <si>
    <t>Produce chocolate products</t>
  </si>
  <si>
    <t>Whitman's Candies Inc</t>
  </si>
  <si>
    <t>Produce chocolate candy</t>
  </si>
  <si>
    <t>Whitman's Candies Inc, a unit of Russell Stover Candies Inc, terminated its unsolicited hostile tender offer to acquire all the outstanding common stock of Rocky Mountain Chocolate Factory Inc (RMCF) for $5.75 in cash per share, or a total value of $15.134 mil. The offer was conditioned upon at least a majority of RMCF's shares being tendered.</t>
  </si>
  <si>
    <t>National City Corp, Cleveland, Ohio, was rumored to be in negotiations to merge with KeyCorp, Cleveland, Ohio. The Current status of this deal is unknown.</t>
  </si>
  <si>
    <t>Optek Technology Inc</t>
  </si>
  <si>
    <t>Mnfr optoelectronic components</t>
  </si>
  <si>
    <t>Dyson-Kissner-Moran Corp</t>
  </si>
  <si>
    <t>Mnfr metal doors,sash,frames</t>
  </si>
  <si>
    <t>Dyson-Kissner-Moran Corp (DK) acquired all the outstanding common stock of Optek Technology Inc (OT) for $25. 50 in cash per share, or a total value of $202.559 mil. Previously, DK completed its tender offer by accepting 7. 489 mil common shares, or about 98% of OT's shares. The offer was conditioned upon at least a majority of OT's shares being tendered.</t>
  </si>
  <si>
    <t>Excel Legacy Corp</t>
  </si>
  <si>
    <t>Excel Legacy Corp (XLG), a unit of Excel Realty Trust Inc, acquired a 91.375% interest in its tender offer to acquire all the outstanding common stock of Price Enterprises Inc (PREN) for $8.50 in cash per share, or a total value of $106.446 mil, by accepting 12.151 mil common shares. The offer was conditioned upon at least 8 mil common shares being tendered.</t>
  </si>
  <si>
    <t>TCA Cable TV Inc</t>
  </si>
  <si>
    <t>Cox Communications Inc</t>
  </si>
  <si>
    <t>Own,op TV,radio stn</t>
  </si>
  <si>
    <t>Cox Communications Inc (CCI) acquired all the outstanding common stock of TCA Cable TV Inc (TCA) for $3.986 bil, including the assumption of $736 mil in liabilities. CCI offered $31.25 in cash and . 3709 common shares per TCA share. Based on CCI's closing stock price of $88 on May 11, the last full trading day prior to the announcement, each TCA share was valued at $63.89.</t>
  </si>
  <si>
    <t>Compass International Svcs</t>
  </si>
  <si>
    <t>Pvd outsourced business svcs</t>
  </si>
  <si>
    <t>NCO Group Inc</t>
  </si>
  <si>
    <t>Pvd BPO svcs</t>
  </si>
  <si>
    <t>NCO Group Inc (NCO) acquired Compass International Services Corp (CI) in a stock swap transaction valued at $107.736 mil. NCO offered . 23739 common shares per CI share. Based on NCO's closing stock price of $32.875 on May 12, the last full trading day prior to the announcement, each CI share was valued at $7.80. Concurrently, a management-led investor group acquired the print and mail business of CI in a leveraged buyout transaction.</t>
  </si>
  <si>
    <t>Emerson Electric Co (EEC) acquired all the outstanding common stock of Daniel Industries Inc (DI) for $21. 25 in cash per share, or a total value of $429.188 mil. Earlier, EEC completed its tender offer for DI by accepting 18,454,232 shares, or 94.72% of DI's shares. The transaction was conditioned upon at least 66.67% of shares being tendered and had been subject to regulatory approval.</t>
  </si>
  <si>
    <t>Six Rivers National Bank,CA</t>
  </si>
  <si>
    <t>Humboldt Bancorp,Eureka,CA</t>
  </si>
  <si>
    <t>Humboldt Bancorp, Eureka, California, made an unsolicited offer to acquire all the common stock of Six Rivers National Bank, Eureka, California, for $17.25 per share, or a total value of $24.961 mil.</t>
  </si>
  <si>
    <t>Kentek Information Systems Inc</t>
  </si>
  <si>
    <t>Manufacture mid range printers</t>
  </si>
  <si>
    <t>A management-led investor group, including President and CEO Mr. Philip W. Shires, acquired all the outstanding common stock of Kentek Information Systems Inc for $8.29 in cash per share, or a total value of $42.09 mil in a leveraged buyout transaction.</t>
  </si>
  <si>
    <t>Life USA Holding Inc</t>
  </si>
  <si>
    <t>Allianz Life Ins Co</t>
  </si>
  <si>
    <t>Allianz Life Insurance Co of North America, a unit of Allianz AG Holding, acquired the remaining 77% interest, or 18.398 mil common shares, that it did not already own, in Life USA Holding Inc for $20.75 in cash per share, or a total value of $411.401 mil.</t>
  </si>
  <si>
    <t>StateFed Financial Corp,IA</t>
  </si>
  <si>
    <t>Krause Gentle Corp</t>
  </si>
  <si>
    <t>Own,operate convenience stores</t>
  </si>
  <si>
    <t>Krause Gentle Corp signed a letter of intent to acquire the remaining 90% stake, or 1. 396 mil common shares, which it did not already own, in StateFed Financial Corp.</t>
  </si>
  <si>
    <t>Pictsweet LLC</t>
  </si>
  <si>
    <t>Produce frozen fruit prod</t>
  </si>
  <si>
    <t>Pictsweet LLC acquired all the outstanding common stock of United Foods Inc for $3.50 in cash per share, or a total value of $23.835 mil.</t>
  </si>
  <si>
    <t>WesTower Corp</t>
  </si>
  <si>
    <t>Own,op wireless commun towers</t>
  </si>
  <si>
    <t>SpectraSite Holdings Inc</t>
  </si>
  <si>
    <t>Operates wireless communic twr</t>
  </si>
  <si>
    <t>SpectraSite Communications Inc (SH) acquired all the outstanding common stock of Westower Corp (WC) in a stock swap transaction valued at $330 mil. SH offered 1.81 shares per WC share. The transaction was to be accounted for as a pooling of interests. Upon completion, WC owned a 20% stake in SH.</t>
  </si>
  <si>
    <t>Case Corp</t>
  </si>
  <si>
    <t>Mnfr,whl farm machinery</t>
  </si>
  <si>
    <t>New Holland(New Holland Hldg)</t>
  </si>
  <si>
    <t>Mnfr,whl agricultural equip</t>
  </si>
  <si>
    <t>New Holland NV, a majority- owned unit of Fiat SpA's New Holland Holdings NV subsidiary, acquired Case Corp for $55 in cash per share, or a total value of $6. 236 bil, including the assumption of $1.8 bil in liabilities.</t>
  </si>
  <si>
    <t>Brook Furniture Rental Inc</t>
  </si>
  <si>
    <t>US - Brook Furniture Rental Inc terminated its unsolicited hostile challenging offer to acquire CORT Business Services Corp (CB) for $28 in cash per share, or a total value of $584.49 mil. Previously, a management-led investor group, including Bruckmann Russer Sherill &amp; Co agreed to acquire CB for $367.57 mil, which was subsequently withdrawn. Subsequently, Westco Holdings Midwest (WH), a unit of Westco Financial Corp, acquired all the outstanding common stock of CORT Business Services Corp (CBS) via a tender offer for $28 in cash per share, or a total value of $384.622 mil.</t>
  </si>
  <si>
    <t>Edify Corp</t>
  </si>
  <si>
    <t>Security First Technologies</t>
  </si>
  <si>
    <t>Security First Technologies Corp (SF) acquired Edify Corp (EC) in a stock swap transaction valued at $353. 533 mil. SF offered .330969 common shares per EC share. Based on SF's closing stock price of $54 on May 14, the last full trading day prior to the announcement, each EC share was valued at $17.87. Upon completion, SF was to be named S1.</t>
  </si>
  <si>
    <t>Gulfstream Aerospace Corp</t>
  </si>
  <si>
    <t>General Dynamics Corp (GD) acquired Gulfstream Aerospace Corp (GA) in a stock swap transaction valued at $5.42 bil. GD offered 1 common share per GA share. Based on GD's closing stock price of $71.438 on May 14, the last full trading day prior to the announcement, each GA share was valued at $71.438. The transaction was to be accounted for as a pooling of interests.</t>
  </si>
  <si>
    <t>Medical Manager Corp</t>
  </si>
  <si>
    <t>Synetic Inc</t>
  </si>
  <si>
    <t>Mnfr plastic components</t>
  </si>
  <si>
    <t>Synetic Inc (SI) merged with Medical Manager Corp (MM) in a stock swap transaction valued at $1.411 bil. SI offered .625 common shares per MM share, subject to a collar agreement. Based on SI's closing stock price of $95.50 on May 14, the last full trading day prior to the announcement, each MM share was valued at $59.688. The transaction was accounted for as a pooling of interests. Upon completion, the combined company was to be renamed MM.</t>
  </si>
  <si>
    <t>Hudson River Bancorp Inc,NY</t>
  </si>
  <si>
    <t>Hudson River Bancorp Inc, Hudson, New York, acquired all the outstanding common stock of SFS Bancorp Inc, Schenectady, New York, for $25.10 in cash per share, or a total value of $31.778 mil.</t>
  </si>
  <si>
    <t>Charter One Financial Inc (COFI), Cleveland, Ohio, acquired St Paul Bancorp Inc (SPBC), Chicago, Illinois, in a stock swap transaction valued at $955 mil. COFI offered .992 common shares per SPBC share. Based on COFI's closing stock price of $23.125 on September 30, the last full trading day prior to the amendment, each SPBC share was valued at $22.94. Originally, COFI offered 0. 945 common shares per SPBC share. Based on COFI's closing stock price of $30. 281 on May 14, the last full trading day prior to the announcement, each SPBC share was valued at $28.62. The transaction was to be accounted for as a pooling of interests.</t>
  </si>
  <si>
    <t>ULTRADATA Corp</t>
  </si>
  <si>
    <t>Dvlp,whl financial software</t>
  </si>
  <si>
    <t>CFI ProServices Inc</t>
  </si>
  <si>
    <t>Develop,whl financial software</t>
  </si>
  <si>
    <t>Concentrex Inc, formerly known as CFI ProServices Inc, acquired all the outstanding common stock of Ultradata Corp for $7.50 per share, or a total value of $64.023 mil.</t>
  </si>
  <si>
    <t>Global Crossing Ltd (GC) withdrew its agreement to merge with US WEST Inc (UW) in a stock swap transaction valued at $41.105 bil. GC offered 1.2 Class G or Class L tracking shares per UW share. Based on GC's closing common stock price of $61.375 on May 14, the last full trading day prior to the announcement, each UW share was valued at $73.65. Upon completion, the combined company was to be renamed Global Crossing Corp (GCC) and was to have 2 tracking stocks. One would track the Internet assets and the other would track the traditional telecommunications assets. Concurrently, UW acquired 39, 259,305 common shares, or a 9. 02% stake, in GC for $2.463 bil. Furthermore, GC definitively agreed to acquire Frontier Corp (FC) in a stock swap transaction. Subsequently, Qwest Communications International Inc made unsolicited challenging offers to acquire both UW and FC.</t>
  </si>
  <si>
    <t>Wyman-Gordon Co</t>
  </si>
  <si>
    <t>Nonferrous iron,steel forgings</t>
  </si>
  <si>
    <t>Precision Castparts Corp (PC) acquired all the outstanding common stock of Wyman-Gordon Co (WG) for $20 in cash per share, or a total value of $828.826 mil, including the assumption of $104 mil in liabilities. Earlier, PC completed its tender offer by accepting an estimated 35.11 mil shares, or 99% of WG's shares. The offer was conditioned upon at least 66. 67% of WG's shares being tendered.</t>
  </si>
  <si>
    <t>fine.com International Corp</t>
  </si>
  <si>
    <t>Provide computer related svcs</t>
  </si>
  <si>
    <t>Aris Corp (AC) acquired fine. com International Corp (FC) in a stock swap transaction valued at $12.25 mil. AC offered a choice of $12.25 mil in common stock or 1 mil common shares per FC share and $4.25 mil in cash, subject to a collar agreement. The shares were valued based on AC's closing stock price of $8 on May 17, the last full trading day prior to the announcement.</t>
  </si>
  <si>
    <t>O'Sullivan Industries Holdings</t>
  </si>
  <si>
    <t>Manufacture furniture</t>
  </si>
  <si>
    <t>A management-led investor group and Bruckmann Rosser Sherrill &amp; Co acquired O'Sullivan Industries Holding Inc (OSI) for an amended $16. 75 in cash per share, or a total value of $279.592 mil, in a leveraged buyout transaction. Previously, the management-led investor group and Bruckmann Rosser Sherrill &amp; Co offered $17.5 in cash per share, or a total value of $292.789 mil. OSI filed termination of registration as a public company on December 7, 1999.</t>
  </si>
  <si>
    <t>PLD Telekom Inc</t>
  </si>
  <si>
    <t>Metromedia International Group Inc (MG) acquired PLD Telekom Inc (PLD) in a stock swap transaction valued at an amended $304.213 mil, including the assumption of $190 mil in liabilities. MG offered .6353 common shares per share held. Based on MG's closing stock price of $4. 3125 on September 27, the last full trading day prior to the amendment, each PLD share was valued at $2.74. Originally, MG offered $3.50 in common stock per share, subject to a collar agreement, or a total value of $147.214 mil.</t>
  </si>
  <si>
    <t>Amsted Industries Inc</t>
  </si>
  <si>
    <t>Mnfr industrial components</t>
  </si>
  <si>
    <t>AMSTED Industries Inc (AI) acquired all the outstanding common stock of Varlen Corp (VC) for a sweetened $42 in cash per share, or a total value of $784.801 mil, including the assumption of approximately $50 mil in liabilities. Earlier, AI completed its tender offer for VC by accepting 15.8 mil common shares, or about 93% of VC's common stock outstanding. The offer was conditioned upon at least a majority of VC's shares being tendered. Originally, AI launched an unsolicited, hostile tender offer to acquire VC for $35 in cash per share, or a total value of $705.679 mil, including the assumption of approximately $50 mil in liabilties.</t>
  </si>
  <si>
    <t>ContiFinancial Corp</t>
  </si>
  <si>
    <t>Pvd finance business services</t>
  </si>
  <si>
    <t>Residential Funding Corp</t>
  </si>
  <si>
    <t>Residential Funding Corp, a unit of General Motors Corp's GMAC Mortgage Corp subsidiary, withdrew its unsolicited offer to acquire all the outstanding common stock of ContiFinancial Corp, a majority-owned unit of Continental Grain Co.</t>
  </si>
  <si>
    <t>First Commonwealth Inc</t>
  </si>
  <si>
    <t>Pvd dental benefit services</t>
  </si>
  <si>
    <t>Guardian Life Ins Co</t>
  </si>
  <si>
    <t>Pvd mutual life ins svcs</t>
  </si>
  <si>
    <t>Guardian Life Insurance (GL) acquired all the outstanding common stock of First Commonwealth Inc (FC) for $25 in cash per share, or a total value of $113.661 mil. Earlier, GL completed its tender offer for FC by accepting 3.7 mil shares, or about 99% of FC's shares outstanding.</t>
  </si>
  <si>
    <t>Fulton Bancorp,Fulton,MO</t>
  </si>
  <si>
    <t>Central Bancompany Inc,MO</t>
  </si>
  <si>
    <t>Central Bancompany Inc, Jefferson City, Montana, acquired all the outstanding common stock of Fulton Bancorp Inc, Fulton, Missouri, for $19.15 in cash per share, or a total value of $31.673 mil.</t>
  </si>
  <si>
    <t>Long Beach Financial Corp</t>
  </si>
  <si>
    <t>Mort bank</t>
  </si>
  <si>
    <t>Savings bk hldg co</t>
  </si>
  <si>
    <t>Washington Mutual Inc, Seattle, Washington, acquired all the outstanding common stock of Long Beach Financial Co, Long Beach, California for $15.50 in cash or common stock per share, or a total value of $374.788 mil.</t>
  </si>
  <si>
    <t>Orange National Bancorp</t>
  </si>
  <si>
    <t>CVB Financial Corp (CVB), Ontario, California, merged with Orange National Bancorp (ONB), Orange, California, in a stock swap transaction valued at $78.42 mil. CVB offered 1.5 common shares per ONB share. Based on CVB's closing stock price of $24. 813 on May 18, the last full trading day prior to the announcement, each ONB share was valued at $37.220. The transaction was accounted for as a pooling of interests.</t>
  </si>
  <si>
    <t>Raychem Corp</t>
  </si>
  <si>
    <t>Mnfr circuit protection device</t>
  </si>
  <si>
    <t>Tyco International Ltd (TI) acquired all the outstanding common stock of Raychem Corp (RC) for an estimated $3.528 bil, including the assumption of $400 mil in liabilities. The consideration consisted of a choice of $39.29 in cash or .3912 common shares per RC share held. The value was based on the cash consideration. Upon completion, RC was combined with TI's AMP Inc unit to form Raychem Interconnect.</t>
  </si>
  <si>
    <t>US Bancorp (USB), Minneapolis, Minnesota, acquired Western Bancorp (WEBC), Newport Beach, California, in a stock swap transaction valued at $957. 965 mil. USB offered 1.2915 common shares per WEBC share. Based on USB's closing stock price of $34.375 on May 18, the last full trading day prior to the announcement, each WEBC share was valued at $44.40. The transaction was to be accounted for as a pooling of interests.</t>
  </si>
  <si>
    <t>An investor group, led by Chap-Cap Partners LP, planned to acquire the remaining 93. 93% interest, or 618,750 shares, which it did not already own, in Corporate Renaissance Group for $9 per share, or a total value of $5. 569 mil.</t>
  </si>
  <si>
    <t>PennzEnergy Co</t>
  </si>
  <si>
    <t>Devon Energy Corp (DEC) merged with PennzEnergy Co (PEN) to form a new Devon Energy Corp (NDE) in a stock swap transaction valued at $2. 416 bil, including the assumption of $1.74 bil in liabilities. PEN common shareholders received .4475 NDE common shares and DEC common shareholders were to receive 1 NDE common share per share held. Based on DEC's closing stock price of $31.50 on May 19, the last full trading day prior to the announcement, each PEN share was valued at $14.09625. Upon completion, DEC held an approximate 69% interest in the merged company, and PEN held the remaining 31% stake.</t>
  </si>
  <si>
    <t>AmeriLink Corp</t>
  </si>
  <si>
    <t>Constructs cabling systems</t>
  </si>
  <si>
    <t>Tandy Corp</t>
  </si>
  <si>
    <t>Mnfr,whl,retail,tapes,tvs</t>
  </si>
  <si>
    <t>Tandy Corp (TC) acquired all the outstanding common stock of AmeriLink Corp (AC) in a stock swap transaction valued at an estimated $70.725 mil. TC offered an estimated .2018 common shares per AC share. Based on TC's closing stock price of $76 on May 20, the last full trading day prior to the announcement, each AC share was valued at $15.337.</t>
  </si>
  <si>
    <t>AK Steel Holding Corp</t>
  </si>
  <si>
    <t>AK Steel Holding Corp (AK) acquired Armco Inc (AI) in a stock swap transaction valued at $1.39 bil, including the assumption of $250 mil in liabilities. AK offered .2836 common shares per AI share as well as $257 mil in cash and AK preferred stock in exchange for all of AI's preferred stock outstanding. Based on AK's closing stock price of $23.563 on May 20, the last full trading day prior to the announcement, each AI share was valued at $6.692.</t>
  </si>
  <si>
    <t>Revlon Inc</t>
  </si>
  <si>
    <t>Mnfr,whl cosmetics,beauty prod</t>
  </si>
  <si>
    <t>Coty US Inc</t>
  </si>
  <si>
    <t>Mnfr,whl perfumes,cosmetics</t>
  </si>
  <si>
    <t>Coty Inc withdrew plans to acquire Revlon Inc. Previously, Coty Inc was rumored to be planning to acquire all the outstanding common stock of Revlon Inc, a majority-owned unit of MacAndrews &amp; Forbes Holdings' Revlon Holdings subsidiary.</t>
  </si>
  <si>
    <t>ThermoSpectra(Thermo Instr)</t>
  </si>
  <si>
    <t>Mnfr precision imaging equip</t>
  </si>
  <si>
    <t>US - Thermo Instrument Inc , a unit of Thermo Electron Corp (TEC), merged with Thermospectra Corp by acquiring the remaining 8% stake, or 1.232 mil common shares, which it did not already own, in TEC, for $16 in cash per share, or a total value of $26.092 mil.</t>
  </si>
  <si>
    <t>Texas Micro Inc</t>
  </si>
  <si>
    <t>Pvd computer systems services</t>
  </si>
  <si>
    <t>RadiSys Corp</t>
  </si>
  <si>
    <t>RadiSys Corp (RAD) acquired Texas Micro Inc (TEX) in a stock swap transaction valued at $119.555 mil. RAD offered 0.2 common shares per TEX share, subject to a collar agreement. Based on RAD's closing stock price of $41. 125 on August 16, the last full trading day prior to the announcement, each TEX share was valued at $8.225.</t>
  </si>
  <si>
    <t>Possis Medical Inc</t>
  </si>
  <si>
    <t>US - In May 1999, Possis Medical Inc withdrew its announcement that it was seeking a buyer for the company.</t>
  </si>
  <si>
    <t>A management-led investor group including William J. Catacosinos, managing director of Laurel Hill Capital Partners LLC and Cibc World Markets, acquired TNP Enterprises Inc for $44 per share, or a total value of 1. 023 bil, including the assumption of $434 mil in liabilities, in a leveraged buyout transaction.</t>
  </si>
  <si>
    <t>Unilab Corp(Corning Inc)</t>
  </si>
  <si>
    <t>Own,op medical laboratories</t>
  </si>
  <si>
    <t>Kelso &amp; Co</t>
  </si>
  <si>
    <t>Kelso &amp; Co acquired all the outstanding common stock of Unilab Corp, a majority-owned unit of Corning Inc, for $5. 85 in cash per share, or a total value of $428.984 mil, including the assumption of $145 mil in liabilities.</t>
  </si>
  <si>
    <t>Capital Re Corp</t>
  </si>
  <si>
    <t>Reinsurance co;holding co</t>
  </si>
  <si>
    <t>ACE Ltd</t>
  </si>
  <si>
    <t>ACE Ltd (ACE) merged with Capital Re Corp (CRC) in a stock swap transaction valued at $858.71 mil. ACE offered a twice sweetened .65 common shares and $4.68 in cash per CRC share. Based on ACE's closing stock price of $31.5 on May 26, the last full trading day prior the announcement, each CRC share was valued at $25.155. Subsequently, ACE offered an amended .6 common shares and $3.175 in cash per CRC share. Included in the value was, ACE's 12% stake in CRE for $64.817. Originally, ACE offered .6 common shares per CRC share.</t>
  </si>
  <si>
    <t>Golden Genesis Co</t>
  </si>
  <si>
    <t>Kyocera International Inc</t>
  </si>
  <si>
    <t>Kyocera International Inc, a unit of Kyocera Corp acquired Golden Genesis Co, a unit of ACX Technologies' Golden Technologies Co Inc subsidiary for $2.33 in cash per share or a total value of $40.48 mil.</t>
  </si>
  <si>
    <t>Guthrie Savings Inc,OK</t>
  </si>
  <si>
    <t>Local Financial Corp,OK</t>
  </si>
  <si>
    <t>Local Financial Corp, Oklahoma City, Oklahoma acquired all the outstanding common stock of Guthrie Savings Inc, Guthrie, Oklahoma, for $22.25 in cash per share, or a total value of $9.34 mil.</t>
  </si>
  <si>
    <t>Empi Inc</t>
  </si>
  <si>
    <t>Mnfr,whl medical rehab equip</t>
  </si>
  <si>
    <t>Carlyle Group LP acquired all the outstanding common stock of Empi Inc for $26.50 in cash per share, or a total value of $165.319 mil.</t>
  </si>
  <si>
    <t>Endogen Inc</t>
  </si>
  <si>
    <t>Manufacture biotech prod</t>
  </si>
  <si>
    <t>Perbio Science AB(Perstorp AB)</t>
  </si>
  <si>
    <t>Mnfr biopharmaceutical tools</t>
  </si>
  <si>
    <t>PerBio Science AB (PB), a unit of Perstorp AB, acquired all the outstanding common stock of Endogen Inc (EI) for $3.75 in cash per share or a total value of $13.537 mil. Previously, PB completed its tender offer by accepting 3, 040,712 common shares, or about 88% of EI's shares. The offer was conditioned upon at least 66.66% of EI's share being tendered on a fully- diluted basis.</t>
  </si>
  <si>
    <t>Marcam Solutions Inc</t>
  </si>
  <si>
    <t>Dvlp prepackaged software</t>
  </si>
  <si>
    <t>Invensys PLC</t>
  </si>
  <si>
    <t>Mnfr control,automation sys</t>
  </si>
  <si>
    <t>Invensys PLC (IP) acquired all the outstanding common stock of Marcam Solutions Inc (MS) for $7.50 in cash per share, or a total of $59.497 mil. Previously, IP completed its tender offer by accepting 7.534 mil common shares, or about 96% of the MS' common stock outstanding.</t>
  </si>
  <si>
    <t>Outdoor Systems Inc</t>
  </si>
  <si>
    <t>Infinity Broadcasting Corp (IC), a unit of CBS Corp, acquired Outdoor Systems (OS) in a stock swap transaction valued at $8.467 bil, including the assumption of $1.8 bil in liabilities. IC offered 1.25 Class A common shares per OS share. Based on IC's closing stock price of $26 on May 26, the last full trading day prior to the announcement, each OS share was valued at $32.50.</t>
  </si>
  <si>
    <t>SkyTel Communications Inc</t>
  </si>
  <si>
    <t>MCI WorldCom (MCI) acquired all the outstanding common stock of SkyTel Communications (SKY) Inc in a stock swap transaction valued at $1.832 bil, including the assumption of $525 mil in liabilities. MCI offered . 2778 in common shares per SKY share, subject to a collar agreement. Based on MCI's closing stock price of $71. 875 on September 30, the last full trading day prior to the announcement, each SKY share was valued at $19.967.</t>
  </si>
  <si>
    <t>AmSouth Bancorp (ASO), Birmingham, Alabama, acquired First American Corp (FAC), Nashville, Tennessee, in a stock swap transaction valued at $6.328 bil. ASO offered 1. 871 common shares per FAC share. Based on ASO's closing stock price of $28.375 on May 28, the last full trading day prior to the announcement, each FAC share was valued at $53.09.</t>
  </si>
  <si>
    <t>Aquarion Co</t>
  </si>
  <si>
    <t>Yorkshire Water PLC</t>
  </si>
  <si>
    <t>Yorkshire Water PLC, now known as Kelda Group PLC, acquired all the outstanding common stock of Aquarion Co for $37.05 in cash per share, or a total value of $582.641 mil, including the assumption of $155 mil in liabilities.</t>
  </si>
  <si>
    <t>Associated Group Inc</t>
  </si>
  <si>
    <t>Liberty Media Group (LM), a majority-owned unit of AT&amp;T Corp (AT), merged with Associated Group Inc (AG) in a stock swap transaction valued at $2.985 bil, including the assumption of $187 mil in liabilities. LM offered .6206 LM Class A common shares and .4727 AT common shares per Class A and B AG share. Based on LM's and AT's closing stock prices of $66.438 and $55.50 respectively on May 28, the last full trading day prior to the announcement, each AG share was valued at $67.466.</t>
  </si>
  <si>
    <t>Dialogic Corp</t>
  </si>
  <si>
    <t>Mnfr computer telephony equip</t>
  </si>
  <si>
    <t>Intel Corp (IC) acquired all the outstanding common stock of Dialogic Corp (DC) for $44 in cash per share, or a total value of $817.279 mil. Earlier, IC completed its tender offer for DC by accepting 16.5 mil shares, or 97.6% of DC's shares. The offer was conditioned upon at least a majority of DC's shares being tendered on a fully-diluted basis.</t>
  </si>
  <si>
    <t>TeleBanc Financial Corp,VA</t>
  </si>
  <si>
    <t>E Trade Group Inc</t>
  </si>
  <si>
    <t>E*Trade Group Inc (ETG) acquired all the outstanding common stock of Telebanc Financial Corp (TFC), Arlington, Virgina, in a stock swap transaction valued at $1.94 bil. ETG offered 2.1 common shares per TFC share. Based on ETG's closing stock price of $44.5 on May 28, the last full trading day prior the announcement, each TFC share was valued at $93.45. The transaction was to be accounted for as a pooling of interests.</t>
  </si>
  <si>
    <t>@Entertainment Inc</t>
  </si>
  <si>
    <t>United Pan-Europe Comm NV</t>
  </si>
  <si>
    <t>Pvd broadband commun svcs</t>
  </si>
  <si>
    <t>United Pan-Europe Communications NV (UP), a unit of United International Holdings Inc, acquired all the outstanding common stock of @Entertainment Inc (EI) for $19 in cash per share, or a total value of $1.155 bil, including the assumption of $400 mil in liabilities. Earlier, UP completed its tender offer by accepting 33, 988,449 common shares, or 73% of EI's shares outstanding on a fully-diluted basis. The offer was conditioned upon at least a majority of EI's shares being tendered on a fully-diluted basis.</t>
  </si>
  <si>
    <t>US - Peoples Heritage Financial Group Inc (PHF), Portland, Maine, acquired all the outstanding common stock of Banknorth Group Inc (BG), Burlington, Vermont, in a stock swap transaction valued at $779.003 mil. PHF offered 1.825 common shares per BG share. Based on PHF's closing stock price of $18 on June 1, the last full trading day prior to the announcement, each BG share was valued at $32.85. Upon completion, the new company was renamed Banknorth Group Inc, located in Portland, Maine.</t>
  </si>
  <si>
    <t>Halter Marine Group Inc</t>
  </si>
  <si>
    <t>Mnfr offshore support vessels</t>
  </si>
  <si>
    <t>Friede Goldman International</t>
  </si>
  <si>
    <t>Mnfr,repair ships,barges</t>
  </si>
  <si>
    <t>Freide Goldman International Inc (FG) merged with Halter Marine Group Inc (HM) in a merger of equals stock swap transaction valued at an amended $244.024 mil. FG offered an amended .57 common shares per HM share. Based on FG's closing stock price of $12.125 on September 14, the last full trading day prior to the amendment, each HM share was valued at $6.911. Originally, FG offered .4614 common shares per share held. Upon completion, the combined company was renamed Friede Goldman Halter Inc.</t>
  </si>
  <si>
    <t>Metro Networks Inc</t>
  </si>
  <si>
    <t>Provide communication services</t>
  </si>
  <si>
    <t>Westwood One Inc</t>
  </si>
  <si>
    <t>Pvd programming content svcs</t>
  </si>
  <si>
    <t>Westwood One Inc (WO) acquired Metro Networks Inc (MN) in a stock swap transaction valued at $926. 074 mil. WO offered 1.5 common shares per MN share. Based on WO's closing stock price of $35 on June 1, the last full trading day prior to the announcement, each MN share was valued at $52.50.</t>
  </si>
  <si>
    <t>O'Sullivan Corp</t>
  </si>
  <si>
    <t>Mnfr rubber and plastic prod</t>
  </si>
  <si>
    <t>Geon Co(BF Goodrich Co)</t>
  </si>
  <si>
    <t>Mnfr polyvinyl chloride resins</t>
  </si>
  <si>
    <t>Geon Co, a majority-owned unit of BF Goodrich Co, completed its tender offer to acquire all the outstanding common stock of O'Sullivan Corp (OSL) for $12.25 in cash per share, or a total value of $191.789 mil, by accepting 13,458,324 common shares, or 86.3% of the company's common stock outstanding. The offer was conditioned upon at least 70% of OSL's shares being tendered.</t>
  </si>
  <si>
    <t>US - Roche Holding AG (RH) exercised its option to acquire the remaining 35% stake, which it did not already own, in Genentech Inc (GT) for $82.50 per share, or a total value of $4.313 bil. Previously, in February 1990, RH was to acquire the remaining 40% stake, which it did not already own, in GT for a beginning exercise price of $39 per share, with the exercise price increasing by $1.25 per calendar quarter until June 1995. In May 1995, the option was extended until April 1999, under the same terms, raising the uppermost exercise price to $82 per share. RH also had the option to acquire up to a 79.9% stake in GT in the open market.</t>
  </si>
  <si>
    <t>MotivePower Industries Inc</t>
  </si>
  <si>
    <t>Mnfr,whl rail equipment</t>
  </si>
  <si>
    <t>Westinghouse Air Brake Co</t>
  </si>
  <si>
    <t>Mnfr railway brake components</t>
  </si>
  <si>
    <t>Westinghouse Air Brake Co (WAB) merged with MotivePower Industries Inc (MII) in a stock swap transaction valued at $493.048 mil, including the assumption of $130 mil in liabilities. WAB offered an amended .66 common shares per MII share. Based on WAB's closing stock price of $19. 875 on September 24, the last full trading day prior to the amendment, each MII share was valued at $13.118. The transaction was accounted for as a pooling of interests. Upon completion, the new company was named Wabtec Corp. WAB was to own 59% of the new company. Originally, MII definitively agreed to merge with WAB in a merger of equals stock swap transaction valued at $744.738 mil. MII offered 1.3 common shares per WAB share. Based on MII's closing stock price of $16. 625 on June 2, the last full trading day prior to the announcement, each WAB share was valued at $21.613. WAB was to own 55% of the new company.</t>
  </si>
  <si>
    <t>Uroquest Medical Corp</t>
  </si>
  <si>
    <t>Irradiation Apparatus Manufacturing</t>
  </si>
  <si>
    <t>Chemfab Corp</t>
  </si>
  <si>
    <t>Mnfr polymer based prods</t>
  </si>
  <si>
    <t>Uroquest Medical Corp acquired all the outstanding common stock of Chemfab Corp (CC) for an amended $2.267 in cash per share, or a total value of $29.382 mil.</t>
  </si>
  <si>
    <t>Stimsonite Corp</t>
  </si>
  <si>
    <t>Mnfr optical safety instr</t>
  </si>
  <si>
    <t>Avery Dennison Corp</t>
  </si>
  <si>
    <t>Mnfr,whl labeling materials</t>
  </si>
  <si>
    <t>Avery Dennison Corp (AD) acquired all the oustanding common stock of Stimsonite (ST) for $14.75 in cash per common share, or a total value of $131.169 mil. Earlier, AD completed its tender offer for ST by accepting 8.3 mil shares, or about 98.4%. The transaction was conditioned upon at least 90% of ST's shares being tendered. Originally, in March 1999, Stimsonite Corp announced that it was seeking a buyer for the company.</t>
  </si>
  <si>
    <t>Zions Bancorp (ZION), Salt Lake City, Utah, terminated its agreement to merge with First Security Corp (FSCO), Salt Lake City, Utah, to form a new First Security Corp (FS) in a stock swap transaction valued at $5.678 bil. FSCO common shareholders were to receive 0.442 FS common shares and ZION common shareholders were to receive 1 FS common share per share held. Based on ZION's closing stock price of $65.375 on June 04, the last full trading day prior to the announcement, each FSCO share was valued at $28.90. The transaction was to be accounted for as a pooling of interests. Upon completion of the reverse takeover, FSCO was to hold a 51% interest in the new company.</t>
  </si>
  <si>
    <t>Greenwich Street Muni Fund</t>
  </si>
  <si>
    <t>Smith Barney Managed Munis</t>
  </si>
  <si>
    <t>Open-end investment fund</t>
  </si>
  <si>
    <t>Smith Barney Managed Municipals Fund Inc, a unit of Citigroup Inc's majority- owned Salomon Smith Barney Holdings Inc subsidiary, agreed to acquire all the oustanding common stock of Greewich Street Municipal Fund Inc.</t>
  </si>
  <si>
    <t>Burnham Pacific Properties Inc</t>
  </si>
  <si>
    <t>Schottenstein Stores Corp</t>
  </si>
  <si>
    <t>Schottenstein Stores Corp (SS) withdrew its amended unsolicited offer to acquire all the outstanding common stock of Burnham Pacific Properties Inc (BP) for an amended $13.50 in cash per share, or a total value of $1. 138 bil, including the assumption of $576 mil in liabilities. Previously, SS made an unsolicited bid to acquire all the outstanding common stock of BP for $13 in cash per share, or a total value of $1.117 bil, including the assumption of $576 mil in liabilities.</t>
  </si>
  <si>
    <t>Columbia Energy Group</t>
  </si>
  <si>
    <t>New NiSource Inc</t>
  </si>
  <si>
    <t>NiSource Inc (NS) terminated its unsolicited hostile tender offer to acquire all the outstanding common stock of Columbia Energy Group (CEG) for an amended $74 in cash per share, or a total value of $6.224 bil. The offer was conditioned upon at least 51% of NS's shares being tendered. Originally, NS offered $68 in cash per share. CEG had determined that the offer price was inadequate and not in the best interests of CEG shareholders. NS Chief Executive Officer ,Gary L. Neale, stated that it was necessary for NS to terminate the tender offer in order to maintain the confidentiality and flexibility of the final phase of CEG's defined bidding process. NS was to continue negotiating with CEG along with other potential bidders. Subsequently, NS merged with CEG to form a new company called NiSource Inc Holding Co.</t>
  </si>
  <si>
    <t>AlliedSignal Inc (AS) merged with Honeywell Inc (HI) in a stock swap transaction valued at $15.601 bil, including the assumption of $1.5 bil in liabilities. AS offered 1.875 common shares per HI share. Based on AS' closing stock price of $58.375 on June 4, the last full trading day prior to the announcement, each HI share was valued at $109.453. The transaction was accounted for as a pooling of interests. Upon completion, the combined company was renamed Honeywell International Inc.</t>
  </si>
  <si>
    <t>Jevic Transportation Inc</t>
  </si>
  <si>
    <t>Provide trucking services</t>
  </si>
  <si>
    <t>Yellow Corp completed its tender offer to acquire all the outstanding common stock of Jevic Transportation Inc for $14 in cash per share, or a total value of $194.458, including the assumption of approximately $40 mil in liabilities, by accepting 10. 6 mil common shares, or 98.6% of the company's common stock outstanding. The offer was conditioned upon at least 51% of the shares being tendered on a fully diluted basis.</t>
  </si>
  <si>
    <t>Metra Biosystems Inc</t>
  </si>
  <si>
    <t>Pvd commercial research svcs</t>
  </si>
  <si>
    <t>Quidel Corp</t>
  </si>
  <si>
    <t>Manufactures, wholesales med diagnostic prods</t>
  </si>
  <si>
    <t>Quidel Corp (QC) acquired all of the outstanding common stock of Metra Biosystems Inc (MB) for $1.78 in cash per share or, a total value of $22.73 mil. Earlier QC completed its tender offer for MB, by accepting 11,876, 374 common shares, or about 93% of MB's shares. The transaction was conditioned on at least 90% of shares being tendered. Previously, MB was rumored to be in negotiations to divest the company to an undisclosed acquiror.</t>
  </si>
  <si>
    <t>Neopath Inc</t>
  </si>
  <si>
    <t>Dvlp integrated software</t>
  </si>
  <si>
    <t>AutoCyte Inc</t>
  </si>
  <si>
    <t>Mnfr medical equip</t>
  </si>
  <si>
    <t>AutoCyte Inc (AC) merged with NeoPath Inc (NP) in a stock swap transaction valued at $107.496 mil. AC offered . 7903 common shares per NP share. Based on AC's closing stock price of $7.75 on June 4, the last full trading day prior to the announcement, each NP share was valued at $6.125. The transaction was accounted for as a pooling of interests.</t>
  </si>
  <si>
    <t>Southern Union Co (SU) merged with Pennsylvania Enterprises Inc (PE) in a stock swap transaction valued at $384.35 mil. SU offered $3 in cash and $32 in common stock per PE share, subject to a collar agreement.</t>
  </si>
  <si>
    <t>ViaGrafix Corp</t>
  </si>
  <si>
    <t>Pvd software training services</t>
  </si>
  <si>
    <t>7th Street.com</t>
  </si>
  <si>
    <t>7th Street.com (7S) acquired ViaGrafix Corp (VG) in a stock swap tranasction valued at $55.151 mil. 7S offered 1. 846 common shares per VG share. Based on 7S's closing stock price of $5 on June 4, the last full trading day prior to the announcement, each VG share was valued at $9.23. The transaction was accounted for as a pooling of interests.</t>
  </si>
  <si>
    <t>CVF Technologies Corp</t>
  </si>
  <si>
    <t>Pvd tech dvlp svcs;invest hldg</t>
  </si>
  <si>
    <t>USA Global Link Inc</t>
  </si>
  <si>
    <t>USA Global Link Inc (UG) was granted an option to acquire all the outstanding common stock of CVF Technologies Corp for $9 per share, or a total value of $60.528 mil. Concurrently, CVF was granted an option to acquire a minority stake in UG. Previously, in June 1999, UG and CVF definitively agreed to merge.</t>
  </si>
  <si>
    <t>QMS Inc(Lason Inc)</t>
  </si>
  <si>
    <t>Mnfr printing processors</t>
  </si>
  <si>
    <t>Minolta Co Ltd</t>
  </si>
  <si>
    <t>Mnfr cameras,precision equip</t>
  </si>
  <si>
    <t>Minolta Co Ltd (MC) completed its tender offer to acquire a 51% interest, or 5. 440 mil common shares, in QMS Inc, a majority-owned unit of Lason Inc, for an amended $6. 25 in cash per share, or a total value of $34 mil. Previously, MC offered $5.75 in cash per share, or a total value of $31.39 mil.</t>
  </si>
  <si>
    <t>VWR Scientific Products Corp</t>
  </si>
  <si>
    <t>Whl laboratory supplies</t>
  </si>
  <si>
    <t>Merck KGaA</t>
  </si>
  <si>
    <t>Mnfr,wholesale pharmaceuticals,chem</t>
  </si>
  <si>
    <t>Merck E (ME), a unit of Merck AG (MA), acquired the remaining 14,799,851 shares, or 51.1% interest, that it did not already own, in VWR Scientific Products (VWR), a majority-owned unit of VWR Corp, for $37 in cash per share, or a total value of $581.123 mil. Earlier, ME completed its tender offer by accepting 13.334 mil shares, or 46% of VWR's shares. The offer was conditioned upon at least a majority of VWR's shares being tendered. Upon completion, an 89.5% interest in VWR was transferred to EM Industries, a unit of MA.</t>
  </si>
  <si>
    <t>WRP Corp</t>
  </si>
  <si>
    <t>Pvd drug testing svcs</t>
  </si>
  <si>
    <t>WRP Asia Pacific Sdn Bhd</t>
  </si>
  <si>
    <t>Manufacture gloves</t>
  </si>
  <si>
    <t>WRP Asia Pacific Sdn Bhd withdrew its offer to acquire the remaining 45.8% stake, or 3.174 mil common shares, which it did not already own, in WRP Corp.</t>
  </si>
  <si>
    <t>Meggitt PLC</t>
  </si>
  <si>
    <t>Other Aircraft Parts and Auxiliary Equipment Manufacturing</t>
  </si>
  <si>
    <t>Meggitt PLC (MP) acquired all the outstanding common stock of Whittaker Corp (WC) for $28 in cash per share, or a total value of $357.333 mil. Earlier, MP completed its tender offer by accepting 11. 38 mil common shares, or about 92% of WC's shares The offer was conditioned on at least a majority of shares being tendered.</t>
  </si>
  <si>
    <t>Automobile Protection Corp</t>
  </si>
  <si>
    <t>Pvd ins mktg,admin services</t>
  </si>
  <si>
    <t>Ford Motor Co (FM) acquired all the outstanding common stock of Automobile Protection Corp (APC) for $13 in cash per share, or a total value of $169.879 mil. Previously, FM completed its tender offer for APC by accepting 11,193,357 shares, or 93.5% of the common shares outstanding. The offer was conditioned upon at least a majority of APC's shares being tendered on a fully- diluted basis.</t>
  </si>
  <si>
    <t>Fi-Tek V Inc</t>
  </si>
  <si>
    <t>Laidlaw Holdings Inc</t>
  </si>
  <si>
    <t>Laidlaw Holdings Inc (LH) acquired all the outstanding common stock of Fi-Tek V Inc (FI) in stock swap transaction. Terms were not disclosed. Upon completion of the reverse takeover, FI changed its name to Laidlaw Global Corp (LG) and LG owned over 95% of LH.</t>
  </si>
  <si>
    <t>SuperValu Inc (SI) acquired all the outstanding common stock of Richfood Holdings Inc (RH), for $1.165 bil. The consideration consisted of $443 mil in cash, 19.7 mil common shares valued at $36. 938 mil, and the assumption of $685 mil in liabilities. The shares were valued based on RH's closing stock price of $1.875 on June 8, the last full trading day prior to the announcement.</t>
  </si>
  <si>
    <t>Hawks Industries Inc</t>
  </si>
  <si>
    <t>North Star Exploration</t>
  </si>
  <si>
    <t>Whl coal;mineral mining</t>
  </si>
  <si>
    <t>North Star Exploration was granted an option to acquire the remaining .56% stake, or 14.375 mil common shares, which it did not already own, in Hawks Industries Inc, for $1.6 per share, or a total value of $23 mil.</t>
  </si>
  <si>
    <t>North Star Exploration agreed to acquire a 99.44% interest, or 6.25 mil common shares in Hawks Industries Inc for $1.6 per share, or a total value of $10 mil.</t>
  </si>
  <si>
    <t>RIBI ImmunoChem Research Inc</t>
  </si>
  <si>
    <t>Mnfr biological modifiers</t>
  </si>
  <si>
    <t>Corixa Corp</t>
  </si>
  <si>
    <t>Corixa Corp (CRXA) acquired RIBI ImmunoChem Research Inc (RIBI) in a stock swap transaction valued at $55.27 mil. CRXA offered 0.1685 common shares per RIBI share and $8.8 mil in cash for all the outstanding RIBI preferred stock. Based on CRXA's closing stock price of $13.5625 on June 09, the last full trading day prior to the announcement, each RIBI share was valued at $2.285.</t>
  </si>
  <si>
    <t>Dynegy Inc</t>
  </si>
  <si>
    <t>Illinova Corp</t>
  </si>
  <si>
    <t>Illinova Corp (IC) merged with Dynegy Inc (DI) to form a new Dynegy Inc (ND) in a stock swap transaction valued at $2.852 bil. DI shareholders received .69 ND common shares and IC shareholders received 1 ND common shares per share held. DI shareholders were also offered a choice of $16.50 in cash per share, subject to a maximum of 40% of the total consideration consisting of cash. Based on IC's closing stock price of $25.3125 on June 11, the last full trading day prior to the announcement, each DI share was valued at $17.079. Upon completion of the reverse takeover, former DI shareholders were to owned slightly more than 50% of the new company. The transaction was to be satisified after a previously announced deal, where AmerGen Energy Corp, a joint venture between British Energy PLC and PECO Energy Co, agreed to acquire a nuclear power plant, located in Clinton, Illinois, from IC, was completed.</t>
  </si>
  <si>
    <t>SIGCORP Inc</t>
  </si>
  <si>
    <t>Indiana Energy Inc</t>
  </si>
  <si>
    <t>Indiana Energy Inc (IE) merged with Sigcorp Inc (SI) to form Vectren Corp (VC) in a merger of equals stock swap transaction valued at $1.214 bil, including the assumption of $500 mil in liabilities. SI common shareholders were to receive 1.33 VC common shares and IE shareholders were to receive 1 VC common share per share held. Based on IE's closing stock price of $22.5625 on June 11, the last full trading day prior to the announcement, each SI share was valued at $30.08. Upon completion, VC was to begin trading on April 3, 2000 under the ticker "VVC" on the New York Stock Exchange.</t>
  </si>
  <si>
    <t>Sterigenics International Inc</t>
  </si>
  <si>
    <t>Ion Beam Applications SA</t>
  </si>
  <si>
    <t>Mnfr medical precision equip</t>
  </si>
  <si>
    <t>Ion Beam Applications SA (IB) acquired the remaining 91.5% interest, or 8.226 mil common shares, which it did not already own, in Sterigenics International Inc (SII) for $27 in cash per share, or a total value of $213.743 mil. Earlier, IB completed its tender offer by accepting 7. 24 mil shares, or 90.57% of SII's shares.</t>
  </si>
  <si>
    <t>Humphrey Hospitality Trust Inc</t>
  </si>
  <si>
    <t>Humphrey Hospitality Inc (HHI) acquired Supertel Hospitality Inc (SHI) in a stock swap transaction valued at $52.821 mil. HHI offered 1. 3 common shares per SHI share. Based on HHI's closing stock price of $8.375 on June 10, the last full trading day prior to the announcement, each SHI share was valued at $10.888. Upon completion of the reverse takeover, SHI was to own 57% of the new company.</t>
  </si>
  <si>
    <t>Unimed Pharmaceuticals Inc</t>
  </si>
  <si>
    <t>Solvay Pharmaceuticals SA</t>
  </si>
  <si>
    <t>Mnfr pharm prod</t>
  </si>
  <si>
    <t>Solvay Pharmaceuticals SA (SP), a unit of Solvay SA, acquired all the outstanding common stock of Unimed Pharmaceuticals Inc (UP) for $12 in cash per share, or a total value of $119.879. Previously, SP completed its tender offer for UP by accepting 8,869,843 common shares, or 82.24%. The offer was conditioned upon at least 50% of UP's shares being tendered.</t>
  </si>
  <si>
    <t>Abacus Direct Corp</t>
  </si>
  <si>
    <t>Pvd info to direct marketers</t>
  </si>
  <si>
    <t>DoubleClick Inc</t>
  </si>
  <si>
    <t>Pvd Internet advg svcs</t>
  </si>
  <si>
    <t>DoubleClick Inc (DC) merged with Abacus Direct Corp (AD) in a stock swap transaction valued at $1.006 bil. DC offered 1.05 common shares per AD share. Based on DC's closing stock price of $88. 813 on June 11, the last full trading day prior to the announcement, each AD share was valued at $93.253. The transaction was accounted for as a pooling of interests. Upon completion, the combined company was renamed DC.</t>
  </si>
  <si>
    <t>Coach USA Inc</t>
  </si>
  <si>
    <t>Pvd motorcoach charter svcs</t>
  </si>
  <si>
    <t>Stagecoach Holdings PLC</t>
  </si>
  <si>
    <t>Provide public transport srvcs</t>
  </si>
  <si>
    <t>Stagecoach Holdings PLC (SH) acquired all the outstanding common stock of Coach USA (CU) for $42 in cash per share, or a total value of $1.836 bil, including the assumption of $638 mil in liabilities. Earlier, CU completed its tender offer to acquire CU by accepting 25,177,547 shares, or 99% of CU's shares. The offer had been conditioned upon at least a majority of CU's shares being tendered on a fully-diluted basis.</t>
  </si>
  <si>
    <t>Qwest Commun Intl Inc</t>
  </si>
  <si>
    <t>Pvd voice,Internet svcs</t>
  </si>
  <si>
    <t>Qwest Communications International Inc (QC) withdrew its unsolicited challenging offer to acquire Frontier Corp (FC) in a stock swap transaction valued at an amended $13.62 bil, including the assumption of $1.4 bil in liabilities. QC offered $20 in cash and $48 in common stock per FC share, subject to a collar agreement. Originally, QC offered $20 in cash and 1.181 common shares per FC share. Concurrently, QC made an unsolicited challenging offer to acquire US WEST Inc (UW). Previously, Global Crossing Ltd (GC) withdrew its agreement to acquire FC and UW. In addition, UW acquired 39,259, 305 common shares, or a 9.02% stake, in GC.</t>
  </si>
  <si>
    <t>A management-led investor group, including President, Chairman, and CEO Kenneth W. Davidson and Fox Paine &amp; Co LLC, acquired Maxxim Medical Inc for $26 in cash per share, or a total value of $386.931 mil in a leveraged buyout transaction.</t>
  </si>
  <si>
    <t>Cadence Design Systems Inc acquired all the outstanding common stock of Orcad Inc for $13 in cash per share, or a total value of $129.478 mil. Earlier, CD completed its tender offer for OI by accepting 8.835 mil common shares, or 94% of OI's common shares outstanding.</t>
  </si>
  <si>
    <t>Physicians Specialty Corp</t>
  </si>
  <si>
    <t>Pvd medical practice mgmt svcs</t>
  </si>
  <si>
    <t>TA Associates Inc</t>
  </si>
  <si>
    <t>US - TA Associates, backed by Allied Capital Corp, First Union National Bank, CIBC World Markets, Bank of America, and U.S. Bank, acquired all the outstanding common stock of Physicians Specialty Corp, a physician practice management company, for $10.50 in cash per share, or a total value of $100.876 mil, in a leveraged buyout transaction.</t>
  </si>
  <si>
    <t>Vivendi SA (VI) merged with Superior Services Inc (SSI) for $27 per share, or a total value of $897.715. The offer was conditioned upon at least 50.1% of SSI's shares being tendered. Previously, VI completed its tender offer to acquire SSI by accepting 29.3 mil shares, or about 82%.</t>
  </si>
  <si>
    <t>US - Qwest Communications International Inc (QC) merged with US WEST Inc (UW) in a stock swap transaction valued at an amended $56.307 bil, including the assumption of $10 bil in liabilities. QC offered 1.72932 common shares per UW share, subject to a collar agreement. Originally, QC made an unsolicited challenging offer to acquire UW for 1.738 common shares per UW share. Concurrently, QC made an unsolicited challenging offer to acquire Frontier Corp (FC). Subsequently, Global Crossing Ltd (GC) terminated its agreement to acquire UW. In addition, UW acquired 39,259, 305 common shares, or a 9.02% stake, in GC. In March 2000, Deutsche Telekom AG (DT) discontinued rumors that it had been planning to acquire all the outstanding common stock of QC and UW.</t>
  </si>
  <si>
    <t>CMP Group Inc</t>
  </si>
  <si>
    <t>Energy East Corp acquired all the outstanding common stock of CMP Group Inc via a tender offer for $29.50 in cash per share, or a total value of $1.231 bil, including the assumption of $271 mil in liabilities.</t>
  </si>
  <si>
    <t>A management-led investor group, including the affiliates of CPI Corp (CPI) management and American Securities Capital Partners LP, withdrew its definitive agreement to acquire all the outstanding common stock outstanding of CPI for $37 in cash per share, or a total value of $378.851 mil, in a leveraged buyout transaction.</t>
  </si>
  <si>
    <t>PulsePoint Communications</t>
  </si>
  <si>
    <t>Mnfr networking platforms</t>
  </si>
  <si>
    <t>Unisys Corp</t>
  </si>
  <si>
    <t>Unisys Corp (UC) acquired PulsePoint Communications (PP) in a stock swap transaction valued at $92.306 mil. UC offered $6.60 in common stock per PP share, subject to a collar agreement. The transaction was accounted for as a pooling of interests.</t>
  </si>
  <si>
    <t>SUGEN Inc</t>
  </si>
  <si>
    <t>Pharmacia &amp; Upjohn Inc (PU) acquired SUGEN Inc (SI) in a stock swap transaction valued at $634.076 mil. PU offered $31 in common stock per SI share, subject to a collar agreement. The transaction was accounted for as a pooling of interests.</t>
  </si>
  <si>
    <t>Yankee Energy System Inc</t>
  </si>
  <si>
    <t>Gas utility; holding company</t>
  </si>
  <si>
    <t>Northeast Utilities</t>
  </si>
  <si>
    <t>Northeast Utilities (NU) merged with Yankee Energy System Inc (YES) for $45 per share, or a total value of $681.617 mil, including the assumption of $201 mil in liabilities. 45% of the consideration was paid in NU common stock and 55% in cash. Upon completion, YES retained its corporate name.</t>
  </si>
  <si>
    <t>Fifth Third Bancorp (FTB), Cincinnati, Ohio, acquired all the outstanding common stock of CNB Bancshares Inc (CNB), Evansville, Indiana, in a stock swap transaction valued at $2.121 bil. FTB offered .8825 common shares per CNB share. Based on FTB's closing stock price of $67. 625 on June 15, the last full trading day prior to the announcement, each CNB share was valued at $59.679. The transaction was to be accounted for as a pooling of interests.</t>
  </si>
  <si>
    <t>Central Sprinkler Corp</t>
  </si>
  <si>
    <t>Mnfr,whl fire sprinkler sys</t>
  </si>
  <si>
    <t>Tyco International Ltd acquired all the outstanding common stock of Central Sprinkler Corp for $30 in cash per share, or a total value of $125.506 mil.</t>
  </si>
  <si>
    <t>TriNet Corporate Realty Trust</t>
  </si>
  <si>
    <t>Starwood Financial Inc</t>
  </si>
  <si>
    <t>Starwood Financial Trust (APT) acquired Trinet Corporate Realty Trust Inc (TRI) in a stock swap transaction valued at $1.629 bil. APT offered 1.15 common shares per TRI share. Based on APT's closing stock price of $55 on June 15, the last full trading day prior to the announcement, each TRI share was valued at $63.25.</t>
  </si>
  <si>
    <t>Durakon Industries Inc</t>
  </si>
  <si>
    <t>Mnfr,whl truck bedliners</t>
  </si>
  <si>
    <t>Littlejohn &amp; Co LLC</t>
  </si>
  <si>
    <t>Littlejohn &amp; Co LLC (LC) acquired all the outstanding common stock of Durakon Industries Inc (DI) for $16 in cash per share, or a total value of $101.23 mil. Earlier, LC completed its tender offer by accepting 6 mil common shares, or 98% of DI's shares . The offer was conditioned upon at least 90% of DI's shares being tendered.</t>
  </si>
  <si>
    <t>Citizens Financial Group Inc, Providence, Rhode Island, a majority-owned unit of Royal Bank of Scotland Group PLC, acquired all the outstanding common stock of UST Corp, Boston, Massuchusetts, for $32 in cash per share, or a total value of $1.403 bil.</t>
  </si>
  <si>
    <t>Abbott Laboratories (AL) terminated its definitive agreement to acquire Alza Corp (AC) in a stock swap transaction valued at $6.559 bil. AL offered 1.2 common shares per AC share. Based on AL's closing stock price of $44.688 on June 18, the last full trading day prior to the announcement, each AC share was valued at $53.626. The transaction was to be accounted for as a pooling of interests. The companies were not able to reach an agreement with the Federal Trade Commission (FTC) that would satisfy the FTC's antitrust concerns relating to the merger.</t>
  </si>
  <si>
    <t>Aquis Communications Group Inc</t>
  </si>
  <si>
    <t>Pvd paging svcs</t>
  </si>
  <si>
    <t>Intelispan Inc</t>
  </si>
  <si>
    <t>Pvd managed network svcs</t>
  </si>
  <si>
    <t>Intelispan withdrew plans to acquire all the outstanding shares of Aquis Communications Group Inc. Terms were not disclosed.</t>
  </si>
  <si>
    <t>Holophane</t>
  </si>
  <si>
    <t>Mnfr holophane lighting prod</t>
  </si>
  <si>
    <t>National Service Industries</t>
  </si>
  <si>
    <t>Mnfr lighting equipment</t>
  </si>
  <si>
    <t>National Service Industries (NSI) acquired all the outstanding stock of Holophane Corp (HC) for $38. 50 in cash per share, or a total value of $434.721 mil. Previously, NSI completed its tender offer for HC by accepting 10.3 mil common shares, or 87%, of HC's common stock outstanding.</t>
  </si>
  <si>
    <t>Transfinancial Holdings Inc</t>
  </si>
  <si>
    <t>COLA Acquisitions Inc (CA), a management-led investor group, comprised of Transfinancial Holdings Inc (TH) Chairman William Cox, Vice Chairman Roy Labourde, and President Timothy O'Neil, terminated it's plans to acquire all the outstanding common stock of TH for an amended $6.03 in cash per share, or a total value of $19.657 mil, in a leveraged buyout transaction. As a result of poor financial operating results bankers withdrew financing for the transaction leaving CA unable to continue with the transaction. Previously, the group offered $5.25 in cash per share.</t>
  </si>
  <si>
    <t>AboveNet Communications Inc</t>
  </si>
  <si>
    <t>Pvd Internet connectivity svcs</t>
  </si>
  <si>
    <t>Metromedia Fiber Network Inc</t>
  </si>
  <si>
    <t>Provide infrastructure svcs</t>
  </si>
  <si>
    <t>Metromedia Fiber Network Inc (MFN) acquired all the outstanding common stock of Abovenet Communications Inc (ACI) in a stock swap transaction valued at $1.553 bil. MFN offered 1.175 Class A common shares per ACI share. Based on MFN's closing stock price of $42.5 on June 21, the last full trading day prior to the announcement, each ACI share was valued at $49.938.</t>
  </si>
  <si>
    <t>Trenwick Group Inc</t>
  </si>
  <si>
    <t>Trenwick Group (TG) acquired Chartwell Re Group (CRG) in a stock swap transaction valued at $230.298. TG offered .825 common shares per CRG share. Based on TG's closing stock price of $28.875 on June 21, the last full trading day prior to the announcement, each CRG share was valued at $23.8219. The transaction was accounted for as a pooling of interests.</t>
  </si>
  <si>
    <t>S3 Inc</t>
  </si>
  <si>
    <t>S3 Inc (SI) acquired Diamond Multimedia Systems Inc (MS) in a stock swap transaction valued at $182.976 mil. SI offered .52 common shares per MS share. Based on SI's closing stock price of $9.44 on June 21, the last full trading day prior to the announcement, each MS share was valued at $4.9. The transaction was accounted for as a pooling of interests.</t>
  </si>
  <si>
    <t>EarthLink Network Inc</t>
  </si>
  <si>
    <t>Gateway Inc</t>
  </si>
  <si>
    <t>Mnfr,whl personal computers</t>
  </si>
  <si>
    <t>Gateway Inc had been rumored to be planning to acquire all the outstanding common stock of EarthLink Network Inc.</t>
  </si>
  <si>
    <t>Market Guide Inc</t>
  </si>
  <si>
    <t>Pvd online financial data svcs</t>
  </si>
  <si>
    <t>Multex.com Inc</t>
  </si>
  <si>
    <t>Pvd electn publishing svcs</t>
  </si>
  <si>
    <t>Multex.com (MU) acquired Market Guide Inc (MG) in a stock swap transaction valued at $149.758 mil. MU offered 1 common share per MG share. Based on MU's closing stock price of $29 on June 22, the last full trading day prior to the announcement, each MG share was valued at $29. The transaction was to be accounted for as a pooling of interests.</t>
  </si>
  <si>
    <t>National Processing Inc</t>
  </si>
  <si>
    <t>National City Corp, Cleveland, Ohio, terminated its plans to launch a tender offer to acquire 6.077 mil common shares, or the remaining 12% stake, which it did not already own, in National Processing Inc (NPI) for $9.50 in cash per share, or a total value of $58.231 mil. The offer was conditioned upon at least a majority of the shares being tendered.</t>
  </si>
  <si>
    <t>Stanford Telecommunications</t>
  </si>
  <si>
    <t>Mnfr digital commun products</t>
  </si>
  <si>
    <t>Newbridge Networks Corp</t>
  </si>
  <si>
    <t>Develop area networking prods</t>
  </si>
  <si>
    <t>Newbridge Networks (NNC) acquired all the outstanding common stock of Stanford Telecommunications Inc (STI) for an amended $34.22 in cash per share, or a total value of $469.121 mil. Originally in June 1999, NNC offered $30 in common stock per share.</t>
  </si>
  <si>
    <t>Beyond.com Corp</t>
  </si>
  <si>
    <t>Pvd search engine svcs</t>
  </si>
  <si>
    <t>Amazon.com Inc</t>
  </si>
  <si>
    <t>Own,operate e-commerce retail sites</t>
  </si>
  <si>
    <t>Amazon.Com Inc was rumored to be planning to acquire all the outstanding common stock of Beyond.Com Corp. The Current status of this deal is unknown.</t>
  </si>
  <si>
    <t>Omnipoint Corp</t>
  </si>
  <si>
    <t>Provide cellular commun svcs</t>
  </si>
  <si>
    <t>VoiceStream Wireless Corp</t>
  </si>
  <si>
    <t>US - VoiceStream Wireless Corp (VS) acquired all the outstanding common stock of Omnipoint Corp (OC), a provider of cellular communication services, in a stock swap transaction valued at $4.816 bil, including the assumption of $2.6 bil in liabilities. VS offered $8 in cash and .825 common shares per OC share. Based on VS' closing stock price of $29. 375 on June 22, the last full trading day prior to the announcement, each OC share was valued at $32.234. Concurrently, Hutchison Whampoa Ltd planned to raise its stake to 30% from 23.97% in VS for $957 mil.</t>
  </si>
  <si>
    <t>Citation Corp</t>
  </si>
  <si>
    <t>Mnfr iron,steel prod</t>
  </si>
  <si>
    <t>Kelso &amp; Co (KC) acquired all the outstanding common stock of Citation Corp (CC) for an amended $17 in cash per share, or a total value of $307.437 mil. Previously, KC offered $18.10 per share, or a total value of $313.251 mil, as part of a recapitalization. Originally, KC offered a choice of $18.10 in cash and/ or shares of the surviving corporation up to the point that a maximum of .79 mil CC shares, or approximately 4.4% of the outstanding shares, are converted into the right to receive shares of the surviving corporation on a 1- for-1 basis.</t>
  </si>
  <si>
    <t>Data Processing Resources Corp</t>
  </si>
  <si>
    <t>Develop computer system</t>
  </si>
  <si>
    <t>Compuware Corp (CPWR) acquired all the outstanding common stock of Data Processing Resources Corp (DPRC) for $24 in cash per share, or a total value of $452.085 mil. Previously, CPRW completed its tender offer by accepting 14,401,187 shares, or 97.78% of DPRC's shares. The offer was conditioned upon at least 91% of DPRC's shares being tendered.</t>
  </si>
  <si>
    <t>International Comfort Products</t>
  </si>
  <si>
    <t>Mnfr heating,refrig equip</t>
  </si>
  <si>
    <t>Carrier Corp</t>
  </si>
  <si>
    <t>Mnfr,whl air conditioning sys</t>
  </si>
  <si>
    <t>Carrier Corp, a unit of United Technologies Corp, completed its tender offer to acquire International Comfort Products Corp for $11.75 in cash per common share, or a total value of $495.223 mil, by accepting 40.1 mil common shares, or 98.3% of the company's common stock outstanding.</t>
  </si>
  <si>
    <t>Tickets.com</t>
  </si>
  <si>
    <t>Tickets.com Inc acquired all the outstanding common stock of Lasergate Systems Inc for $.10 in cash per share, or a total value of $1.53 mil.</t>
  </si>
  <si>
    <t>Newpark Resources Inc</t>
  </si>
  <si>
    <t>Mnfr,whl oil,gas equipment</t>
  </si>
  <si>
    <t>Tuboscope Inc</t>
  </si>
  <si>
    <t>Tuboscope Inc (TI) terminated its agreement to acquire all the outstanding common stock of Newpark Resources Inc (NRI) in a stock swap transaction valued at $844.284 mil, including the assumption of $195 mil in liabilities. TI offered .65 common shares per NRI share. Based on TI's closing stock price of $14.313 on June 23, the last full trading day prior to the announcement, each NRI share was valued at $9.304. Upon completion, NRI was to be renamed.</t>
  </si>
  <si>
    <t>Think New Ideas Inc</t>
  </si>
  <si>
    <t>Pvd marketing,commun services</t>
  </si>
  <si>
    <t>AnswerThink Consulting Group</t>
  </si>
  <si>
    <t>Pvd e-commerce consulting svcs</t>
  </si>
  <si>
    <t>Answerthink Consulting Group (ACG) acquired Think New Ideas Inc (TNI) in a stock swap transaction valued at $215.314 mil. ACG offered .7 common shares per TNI share. Based on ACG's closing stock price of $27.5 on June 23, the last full trading day prior to the announcement, each TNI share was valued at $19.25. The transaction was accounted for as a pooling of interests.</t>
  </si>
  <si>
    <t>Nalco Chemical Co</t>
  </si>
  <si>
    <t>Mnfr water treatment chemicals</t>
  </si>
  <si>
    <t>Suez Lyonnaise des Eaux SA</t>
  </si>
  <si>
    <t>Suez Lyonnaise des Eaux-Dumez SA (SLE) acquired all the outstanding common stock of Nalco Chemical Co (NCC) for $53 in cash per share, or a total value of $4.063 bil. Previously, SLE completed its tender offer for NCC by accepting 66,195,852 common shares, or 79.54% of the company's common stock outstanding. The offer was conditioned upon at least a majority of the shares being tendered.</t>
  </si>
  <si>
    <t>Big Flower Holdings Inc</t>
  </si>
  <si>
    <t>An investor group, comprised of Thomas H. Lee Co and Evercore Capital Partners LP, acquired all the outstanding common stock of Big Flower Holdings Inc (BFH) for an amended $945.389 mil, in a recapitalization. The consideration consisted of $31.5 in cash and $5.25 in preferred stock per BFH share.</t>
  </si>
  <si>
    <t>Consolidated-Tomoka Land Co</t>
  </si>
  <si>
    <t>Prod,whl fruits;own,op hotels</t>
  </si>
  <si>
    <t>Baker Fentress &amp; Co (BF) completed the spinoff of its 79% interest in Consolidated- Tomoka Land Co (CT) to its shareholders for $68.75 mil. BF shareholders received 1 CT share for every 7.8058 BF shares held. The shares were valued based on CT closing stock price of $13.75 on Sept 24, the first full day in which the shares were traded.</t>
  </si>
  <si>
    <t>Avnet Inc (AI) acquired Marshall Industries (MI) in a stock swap transaction valued at $769.303 mil, including the assumption of $160 mil in liabilities. AI offered . 82063 common shares per MI share. Based on AI's closing stock price of $42.875 on October 20, the last full trading day prior to the announcement, each MI share was valued at $35.185. Previously, AI offered .816 common shares per MI share. Based on AI's closing stock price of $47.81 on June 25, the last full trading day prior to the announcement, each MI share was valued at 39.01. Alternatively, AI offered $39 in cash per MI share, for a total value of $818.421, inlcuding the assumption of $160 mil in liabilities.</t>
  </si>
  <si>
    <t>Professional Bancorp Inc,CA</t>
  </si>
  <si>
    <t>FirstFed Finl Corp,Santa Monic</t>
  </si>
  <si>
    <t>Firstfed Financial Corp, Santa Monica, California, withdrew its plans to acquire all the outstanding common shares of Professional Bancorp Inc for $23.50 in cash per share, or a total value of $51.77 mil.</t>
  </si>
  <si>
    <t>US - Atlas Copco North America (ACN) a unit of Atlas Copco AB, acting as a white knight, acquired all the outstanding common stock of Rental Service Corp (RSC) for $29 in cash per share, or a total value of $714.617 mil. Earlier, ACN completed its tender offer for RSC by accepting 22.471 mil common shares, or about 92.5% of RSC's common shares outstanding. The offer had been conditioned upon at least a majority of RSC's shares being tendered on a fully-dliuted basis. ACN was a unit of Atlas Copco AB. Concurrently, United Rentals terminated its unsolicited, hostile tender offer to acquire all the outstanding common stock of RS for $22.75 per share.</t>
  </si>
  <si>
    <t>Wisconsin Energy Corp (WE) merged with WICOR Inc (WI) in a stock swap transaction valued at $1.445 bil in cash, including the assumption of $230 mil in liabilities. Originally, WE offered WI $31. 50 in a combination of cash and common stock, subject to a collar agreement which was subsequently breached.</t>
  </si>
  <si>
    <t>Hudson United Bancorp (HUB), Mahwah, New Jersey, acquired all the outstanding common stock of JeffBanks Inc (JI), Philadelphia, Pennsylvania, in a stock swap transaction valued at $386.082 mil. HUB offered .95 shares per JI share. Based on HUB's closing stock price of $34.938 on June 28, the last full trading day prior to the announcement, each JI share was valued at $33.191. The transaction was accounted for as a pooling of interests.</t>
  </si>
  <si>
    <t>Webster Financial Corp (WBST) , Waterbury, Connecticut, acquired New England Community Bancorp (NECB), Windsor, Connecticut, in a stock swap transaction valued at $220.841 mil. WBST offered 1.06 common shares per NECB share. Based on WBST's closing stock price of $28. 375 on June 28, the last full trading day prior to the announcement, each NECB share was valued at $30.078.</t>
  </si>
  <si>
    <t>Racing Acquisitions Inc</t>
  </si>
  <si>
    <t>Racing Acquisition Inc withdrew the unsolicited offer to acquire all the outstanding common stock of Racing Champions Corp for $10 per share, or a total value of $169.067 mil.</t>
  </si>
  <si>
    <t>SRS Labs Inc</t>
  </si>
  <si>
    <t>Mnfr audio technologies</t>
  </si>
  <si>
    <t>Sabratek Corp</t>
  </si>
  <si>
    <t>Sabratek Corp (SC) acquired SRS Labs Inc in exchange for 1,363,359 common shares in a stock swap transaction valued at $36.41 mil. The shares were valued based on SC's closing stock price of $22.25 on June 28, the last full trading day prior to the announcement. The transaction was accounted for as a pooling of interests.</t>
  </si>
  <si>
    <t>Eagle Bancgroup,Bloomington,IL</t>
  </si>
  <si>
    <t>First Busey Corp,Urbana,Il</t>
  </si>
  <si>
    <t>First Busey Corp, Urbana, Illinois, acquired all the outstanding common stock of Eagle Bancgroup, Bloomington, Illinois, for $25.74 in cash per share, or a total value of $28.644 mil.</t>
  </si>
  <si>
    <t>SafeGuard Health Enterprises</t>
  </si>
  <si>
    <t>Own,op dental care plans</t>
  </si>
  <si>
    <t>US - An investor group led by CAI Partners and Co, and Jack R. Anderson, definitively agreed to acquire subordinated debentures convertible into an undisclosed majority interest in Safeguard Health Enterprises Inc , an owner and operate of dental care plans, for $20 mil in cash.</t>
  </si>
  <si>
    <t>TechForce Corp</t>
  </si>
  <si>
    <t>Pvd computer support svcs</t>
  </si>
  <si>
    <t>Equant NV</t>
  </si>
  <si>
    <t>Pvd telecomm network svcs</t>
  </si>
  <si>
    <t>Equant NV (EN) acquired all the outstanding common stock of Techforce Inc (TI) for $8. 50 in cash per share, or a total value of $72.624 mil. Previously, EN completed its tender offer by accepting 8. 126 mil common shares, or about 98.1% of TI's shares. Upon completion, TI was renamed Equant Integration Services Inc.</t>
  </si>
  <si>
    <t>ADFlex Solutions Inc</t>
  </si>
  <si>
    <t>Mnfr circuit-based systems</t>
  </si>
  <si>
    <t>Innovex Inc</t>
  </si>
  <si>
    <t>Mnfr flexible circuit prod</t>
  </si>
  <si>
    <t>Innovex Inc (II) acquired all the outstanding common stock of ADFlex Solutions Inc (AS) for $3.80 in cash per share, or a total value of $34.317 mil. Previously, II completed its tender offer by accepting 6,865,119 common shares, or 76% of AS' shares.</t>
  </si>
  <si>
    <t>Holiday RV Superstores</t>
  </si>
  <si>
    <t>Own,op RV dealerships</t>
  </si>
  <si>
    <t>Atlas Recreational Hldgs Inc</t>
  </si>
  <si>
    <t>Atlas Recreational Holdings Inc acquired a 58.3% interest or 4.168 mil common shares, in Holiday RV Superstores Inc. Terms were not disclosed.</t>
  </si>
  <si>
    <t>Kreisler Manufacturing Corp</t>
  </si>
  <si>
    <t>Mnfr aircraft engine parts</t>
  </si>
  <si>
    <t>Wood Group Gas Turbines</t>
  </si>
  <si>
    <t>Manufacture gas turbines</t>
  </si>
  <si>
    <t>Wood Group Gas Turbines withdrew its offer to acquire all the outstanding common stock of Kreisler Manafacturing Corp for $12.25 per share, or a total value of $26.754 mil.</t>
  </si>
  <si>
    <t>Lexford Residential Trust</t>
  </si>
  <si>
    <t>Equity Residential Properties (ERP) acquired Lexford Residential Trust (LRT) in a stock swap transaction valued at $730.92 mil, including the assumption of $530 mil in liabilities. ERP offered .463 common shares per LRT share. Based on ERP's closing stock price of $45.0625 on June 30, the last full trading day prior to the announcement, each LRT share was valued at $20.864.</t>
  </si>
  <si>
    <t>South Carolina Community</t>
  </si>
  <si>
    <t>Union Financial Bancshares Inc</t>
  </si>
  <si>
    <t>Union Financial Bancshares Inc (UFB) acquired all the outstanding common stock of South Carolina Community Bancshares (SCC), Winnsboro, South Carolina, in a stock swap transaction valued at $9. 618 mil. UFB offered $12.25 in common stock and $5.25 in cash per SCC share, subject to a collar agreement.</t>
  </si>
  <si>
    <t>Bay View Capital Corp, San Mateo, California, withdrew its agreement to all the outstanding common stock of Bank Plus Corp, Los Angeles, California, for $9 per share, or a total value of $181.92 mil.</t>
  </si>
  <si>
    <t>Koninklijke Numico NV</t>
  </si>
  <si>
    <t>Produce specialized food prod</t>
  </si>
  <si>
    <t>Numico NV acquired all the outstanding common stock of General Nutrition Cos Inc (GNC) for $25 in cash per share, or a total value of $2. 506 bil, including the assumption of $760 mil in liabilities. Earlier Numico completed its tender offer for GNC by accepting 63.137 mil common shares, or a 92.8% of GNC shares outstanding. The offer was conditioned upon at least a majority of GNC's shares being tendered on a fully-diluted basis.</t>
  </si>
  <si>
    <t>Berisford PLC</t>
  </si>
  <si>
    <t>Mnfr,whl food equip</t>
  </si>
  <si>
    <t>Berisford PLC (BP) acquired all the outstanding common stock of Scotsman Industries Inc (SI) for $33 in cash per share, or a total value of $710.297 mil, including the assumption of $348 mil in liabilities. Earlier, BP completed its tender offer for SI by accepting 9,867,863 common shares, or 92.85% of the company's common stock outstanding. The offer was conditioned upon at least a majority of SI's shares being tendered on a fully diluted basis.</t>
  </si>
  <si>
    <t>Smartflex Systems</t>
  </si>
  <si>
    <t>Mnfrs custom electronic prods</t>
  </si>
  <si>
    <t>Saturn Electn &amp; Engineering</t>
  </si>
  <si>
    <t>Mnfr electornic components</t>
  </si>
  <si>
    <t>Saturn Electronics &amp; Engineering Inc completed its tender offer to acquire all the outstanding common stock of Smartflex Systems Inc (SS) for $10.50 in cash per share, or a total value of $69.106 mil, by accepting 6,284,430 shares, or 97.22% of SS' shares. The offer was conditioned upon at least a majority of the shares being tendered</t>
  </si>
  <si>
    <t>American Heritage Life Invt</t>
  </si>
  <si>
    <t>Allstate Corp (AC) merged with American Heritage Life Investment Corp (AH) in a stock swap transaction valued at $914.448 mil. AC offered a choice of $32.25 in cash or common stock per AH share. The transaction was to be accounted for as a pooling of interests.</t>
  </si>
  <si>
    <t>Community Federal Bancorp Inc</t>
  </si>
  <si>
    <t>First M&amp;F Corp,Kosciusko,MS</t>
  </si>
  <si>
    <t>First M&amp;F Corp (FMF) acquried Community Federal Bancorp Inc (CFB) in a stock swap transaction valued at $78.002 mil. FMF offered .286 common shares and $8.846 in cash per CFB share. Based on FMF's closing stock price of $33 on July 7, the last full trading day prior to the announcement, each FMF share was valued $18.284.</t>
  </si>
  <si>
    <t>Perclose Inc</t>
  </si>
  <si>
    <t>Abbott Laboratories (AL) acquired Perclose Inc (PI) in a stock swap transaction valued at $670.473 mil. AL offered $54 in common stock per PI share, subject to a collar agreement. The transaction was to be accounted for as a pooling of interests.</t>
  </si>
  <si>
    <t>Peoples Bank Corp,Indiana</t>
  </si>
  <si>
    <t>Fifth Third Bancorp (FITB), Cincinnati, Ohio, acquired Peoples Bank Corp of Indianapolis (PPLS), Indianapolis, Indiana, in a stock swap transaction valued at $228.237 mil. FITB offered 1.09 common shares per PPLS share. Based on FITB's closing stock price of $66. 969 on July 09, the last full trading day prior to the announcement, each PPLS share was valued at $73.</t>
  </si>
  <si>
    <t>RHI AG</t>
  </si>
  <si>
    <t>Mnfr,wholesale refractories</t>
  </si>
  <si>
    <t>Austria</t>
  </si>
  <si>
    <t>US - Radex-Heraklith Industrie AG (RHI) acquired all the outstanding common stock of Global Industrial Technologies Inc (GI) for $13 in cash per share, or a total value of an estimated $498. 231 mil, including the assumption of an estimated $200 mil in liabilities, Earlier RHI completed its tender offer for GI by accepting 20.718 mil common shares, or 92.89% of GI's common stock outstanding . The offer was conditioned upon at a least a majority of GI's shares being tendered on a fully-diluted basis. The transaction also included GI's Harbish Walker Refractories Co subsidiary, manufacturer of clay refractories.</t>
  </si>
  <si>
    <t>Happy Kids Inc</t>
  </si>
  <si>
    <t>Mnfr,whl children's clothing</t>
  </si>
  <si>
    <t>HIG Capital LLC</t>
  </si>
  <si>
    <t>HIG Capital LLC acquired all the outstanding common stock of Happy Kids Inc for $11.50 in cash per share, or a total value of $119.59 mil.</t>
  </si>
  <si>
    <t>Walt Disney Co (WD) acquired the remaining 57% interest, or 35.22 mil common shares which it did not already own, in Infoseek Corp (IC) in a stock swap transaction valued at an estimated $1.607 bil. WD offered 1.15 tracking stock shares in the new company per IC share. Upon completion, WD combined its internet assets with IC to form Go.com (GO). Based on GO's tracking stock closing price of $35.437 on November 18, the first full trading day, each IC share was valued at $40.753. Originally, WD was rumored to be in negotiations to acquire the remaining 57% interest, which it did not already own, in IC.</t>
  </si>
  <si>
    <t>NetGravity Inc</t>
  </si>
  <si>
    <t>Dvlp advertising mgmt software</t>
  </si>
  <si>
    <t>DoubleClick Inc (DI) merged with NetGravity Inc (NI) in a stock swap transaction valued at $512.046 mil. DI offered . 28 common shares per NI share. Based on DI's closing stock price of $94 on July 12, the last full trading day prior to the announcement, each NI share was valued at $26.32. The transaction was accounted for as a pooling of interests.</t>
  </si>
  <si>
    <t>Royal &amp; Sun Alliance Ins Grp</t>
  </si>
  <si>
    <t>Royal &amp; Sun Alliance Insurance Group PLC (RSA) merged with Orion Capital Corp (OCC) for $50 in cash per share, or a total value of $1.391 bil. The offer was conditioned upon at least a majority of OCC's shares being tendered. Previously, RSA completed its tender offer for OCC by accepting 25. 6 mil common shares.</t>
  </si>
  <si>
    <t>Red Roof Inns Inc</t>
  </si>
  <si>
    <t>Own,op economy chain hotels</t>
  </si>
  <si>
    <t>Accor SA (ACS) acquired all the outstanding common stock of Red Roof Inns (RRI) for $22.75 in cash per share, or a total value of $1.128 bil, including the assumption of $502 mil in liabilities. Earlier, ACS completed its tender offer for RRI by accepting 26,776,479 common shares, or about 99% of RRI's shares outstanding. The offer was conditioned upon at least a majority of RRI's shares being tendered.</t>
  </si>
  <si>
    <t>Sequent Computer Systems Inc</t>
  </si>
  <si>
    <t>International Business Machines Corp (IBM) acquired all the outstanding common stock of Sequent Computer Systems Inc (SCS) for $18 in cash per share, or a total value of $808.871 mil. Originally, IBM was rumored to be in negotiations to acquire SCS.</t>
  </si>
  <si>
    <t>TSI Inc</t>
  </si>
  <si>
    <t>Mnfr,whl measuring instruments</t>
  </si>
  <si>
    <t>JJF Acquisition Inc</t>
  </si>
  <si>
    <t>US - JJF Acquisition Inc (JJF) acquired all the outstanding common stock of TSI Inc, a manufacturer of industrial meansuring instruments, for a twice amended $15.25 in cash per share, or a total value of $167.906 mil. Previously, JJF completed its tender offer by accepting 11.025 mil common shares, or about 98% of the total outstanding. Previously, Mr. Fauth launched a hostile tender offer for $14 in cash per share. Originally he offered $12.50 in cash per share. The tender offer was conditioned upon at least 44. 55% of the shares being tendered. Originally, in June 1999, TSI Inc announced that it was seeking a buyer for all the outstanding common stock of the company. Upon completion TSI was to be privately held and continue to operate under that name.</t>
  </si>
  <si>
    <t>World Color Press Inc</t>
  </si>
  <si>
    <t>Quebecor Printing Inc</t>
  </si>
  <si>
    <t>Quebecor Printing Inc (QP), a majority-owned unit of Quebecor Inc, merged with World Color Press Inc (WC) via a two-tier merger valued at $2.913 bil, including the assumption of $1.3 bil in liabilities. Earlier, QP completed a tender offer to acquire a 62% interest, or 23. 617 mil common shares, in WC for $35.69 in cash per share by accepting 19,180,695 shares, or 50.4% of WC's shares for a total value of $684.559 mil. The offer was conditioned upon at least 50. 1% of WC's shares being tendered on a fully-diluted basis. In the second step, QP acquired the remaining 49.6% stake in a stock swap transaction valued at $737. 098 mil. QP offered 1.6455 subordinated voting shares per WC share. The shares were valued based on QP's closing stock price of $23.688 on July 8, the last full trading day prior to the announcement.</t>
  </si>
  <si>
    <t>Pvd online music retail svcs</t>
  </si>
  <si>
    <t>Columbia House Co</t>
  </si>
  <si>
    <t>Pvd catalog mail order svcs</t>
  </si>
  <si>
    <t>Columbia House Co, a joint venture between Sony Music Entertainment Inc (SM) and Time Warner Music Group (TW), withdrew its definitive agreement to merge with CDnow Inc (CD) to form a new company (NC) in a stock swap transaction. CD common shareholders were to receive 1 NC common share per CD share held. Other terms of the transaction were not disclosed. Upon completion, SM and TW were to each hold a 37% stake in the new company, and CD shareholders were to hold the remaining 26% stake. SM was a unit of Sony Corp and TW was a unit of Time Warner Inc.</t>
  </si>
  <si>
    <t>Burhmann NV acquired all the outstanding common stock of Corporate Express Inc for $9. 70 in cash per share, or a total value of $2.267 bil, including the assumption of $1.2 bil in liabilities.</t>
  </si>
  <si>
    <t>iMall Inc</t>
  </si>
  <si>
    <t>Excite At Home (EH) acquired all the outstanding common stock of iMall Inc (IM) in a stock swap transaction valued at $460.275 mil. EH offered . 46 common shares per IM share. Based on EH's closing stock price of $51.50 on July 12, the last full trading day prior to the announcement, each IM share was valued at $23.69.</t>
  </si>
  <si>
    <t>SGV Bancorp,West Corvina,CA</t>
  </si>
  <si>
    <t>Savings and loan;hldg co</t>
  </si>
  <si>
    <t>IndyMac Mortgage Holdings Inc</t>
  </si>
  <si>
    <t>IndyMac Mortgage Holdings Inc acquired all the outstanding common stock of SGV Bancorp Inc, West Corvina, California, for $25 in cash per share, or a total value of $65.81 mil.</t>
  </si>
  <si>
    <t>Thermo Vision(Thermo Inst)</t>
  </si>
  <si>
    <t>Mnfr medical monitoring equip</t>
  </si>
  <si>
    <t>Thermo Instrument Systems Inc, a majority owned unit of Thermo Electron Corp, acquired the remaining 19% stake, or about 1.53 mil common shares which it did not already own, in majority owned Thermo Vision Corp for $7 in cash per share, or a total value of an estimated $11.872.</t>
  </si>
  <si>
    <t>IT Staffing Ltd</t>
  </si>
  <si>
    <t>Pvd info tech recruiting svcs</t>
  </si>
  <si>
    <t>IT Staffing Ltd withdrew its signed a letter of intent to acquire Trans Global Services Inc, a unit of Consolidated Technology Group Ltd, in a stock swap transaction. Terms were not disclosed.</t>
  </si>
  <si>
    <t>Egghead.com Inc</t>
  </si>
  <si>
    <t>Ret computer hardware,software</t>
  </si>
  <si>
    <t>ONSALE Inc</t>
  </si>
  <si>
    <t>Ret,whl elec prods on Internet</t>
  </si>
  <si>
    <t>Onsale Inc (OI) merged with Egghead.com Inc (EH) in a stock swap transaction valued at $328.323 mil. OI offered . 565 common shares per EH share. Based on OI's closing stock price of $22.5 on July 13, the last full trading day prior to the announcement, each EH share was valued at $12.713. The transaction was accounted for as a pooling of interests. Upon completion, the merged company retained the EH name.</t>
  </si>
  <si>
    <t>Enna Corp</t>
  </si>
  <si>
    <t>Enna Corp planned to launch a tender offer to acquire all the outstanding common stock of Racing Champion Corp (RACN) for $9.969 per share, or a total value of $116.109 mil. The offer was conditioned upon at least a majority of Racn's shares being tendered.</t>
  </si>
  <si>
    <t>Cyprus Amax Minerals Co</t>
  </si>
  <si>
    <t>ASARCO Inc</t>
  </si>
  <si>
    <t>Mine, smelt, refine metals</t>
  </si>
  <si>
    <t>Asarco Inc (AI) terminated its agreement to merge with Cyprus Amax Minerals Co (CA) to form Asarco Cyprus Inc (AC) in a merger-of-equals stock swap transaction valued at $1. 462 bil. CA common shareholders were to receive . 765 AC common shares and AI common shareholders were to receive 1 AC common share per share held. Based on AI's closing stock price of $19 on July 14, the last full trading day prior to the announcement, each CA share was valued at $14.535. The transaction was to be accounted for as a pooling of interests. Subsequently, Phelps Dodge Corp withdrew its definitive agreement to acquire AI and definitively agreed to acquire CA in stock swap transactions. Eventually, Grupo Mexicano de Desarrollo SA acquired AI via a challenging tender offer.</t>
  </si>
  <si>
    <t>EnergyNorth Inc</t>
  </si>
  <si>
    <t>Gas utility;holding co</t>
  </si>
  <si>
    <t>KeySpan Corp (KC), through its newly acquired Eastern Enterprises Inc (EE) merged with EnergyNorth Inc (EN) in a stock swap transaction valued at $404.167 mil, including the assumption of $46 mil in liabilities. EE offered a choice of $47 in cash or common stock, subject to a combination of 50.1% in common stock and 49.9% in cash per EN share, subject to a collar agreement. Concurrently, KC acquired all the outstanding common stock of EE for $2.561 bil.</t>
  </si>
  <si>
    <t>Sterling Software Inc (SI) acquired Information Advantage Software Inc (IA). Previously, SI completed its tender offer to acquire all the outstanding common stock of IA for $6.50 in cash per share, or a total value of $177.528 mil, by accepting 24, 288,270 shares, or 96.36% of IA's shares. The offer was conditioned upon at least a majority of IA's shares being tendered.</t>
  </si>
  <si>
    <t>Wingate Partners II LP</t>
  </si>
  <si>
    <t>Wingate Partners II LP acquired a 56% interest in Kevco Inc (KI) for an estimated $46.35 mil. The consideration consisted of $13.5 mil for 2.7 mil newly issued KI voting shares, $23. 5 mill for senior subordinated debt, convertible into 3.1 mil newly issued voting shares and 1.2 mil newl non-voting shares and $9.35 mil for warrants exercisable into1.7 mil new KI non-voting shares at a price of $5.50 per share.</t>
  </si>
  <si>
    <t>Merrill Corp</t>
  </si>
  <si>
    <t>Financial printing services</t>
  </si>
  <si>
    <t>DLJ Merchant Banking Partners II, a unit of Donaldson Lufkin &amp; Jenrette Inc, acquired all the outstanding common stock of Merrill Corp via a tender offer for $22 in cash per share, or a total value of $384.731 mil.</t>
  </si>
  <si>
    <t>SpecTran Corp</t>
  </si>
  <si>
    <t>Mnfr optical fiber</t>
  </si>
  <si>
    <t>US - Lucent Technologies Inc (LT) acquired all the outstanding common stock of SpecTran Corp (SC) for $9 in cash per share, or a total value of $65.115 mil. Earlier, LT completed its tender offer for SC by accepting 4, 383,731 shares. The offer was conditioned upon at least a majority of SC's shares being tendered.</t>
  </si>
  <si>
    <t>VIASOFT Inc</t>
  </si>
  <si>
    <t>Dvlp application mgmt software</t>
  </si>
  <si>
    <t>Compuware Corp withdrew its agreement to merge with Viasoft Inc (VI) via a tender offer for $9 in cash per share, or a total value of $162.984 mil. The offer, launched in July 1999, was conditioned upon at least a majority of VI's shares being tendered.</t>
  </si>
  <si>
    <t>Fidelity Federal Bancorp</t>
  </si>
  <si>
    <t>Lincolnshire Equity Fund II LP</t>
  </si>
  <si>
    <t>Lincolnshire Equity Fund LP withdrew intentions to acquire a 51% interest in Fidelity Federal Bancorp, Evansville, Indiana, for $4. 40 per share, or a total value of $7.063 mil.</t>
  </si>
  <si>
    <t>An undisclosed investor group was rumored to be planning to acquire all the outstanding common stock of Turner Corp. The Current status of this deal is unknown.</t>
  </si>
  <si>
    <t>AirTouch Cellular</t>
  </si>
  <si>
    <t>Pvd cellular telecommun svcs</t>
  </si>
  <si>
    <t>AirTouch Cellular, a unit of Vodafone AirTouch PLC, acquired all the outstanding common stock of CommNet Cellular Inc, a majority- owned unit of Blackstone Capital Partners Merchant Banking Fund, for $31 in cash per share, or a total value of $1.35 bil, including the assumption of $600 mil in liabilities.</t>
  </si>
  <si>
    <t>Vistana Inc</t>
  </si>
  <si>
    <t>Own,op timeshare resorts</t>
  </si>
  <si>
    <t>Starwood Hotels &amp; Resorts</t>
  </si>
  <si>
    <t>Own,operate hotel</t>
  </si>
  <si>
    <t>Starwood Hotels &amp; Resorts Worldwide Inc (SHR) acquired Vistana Inc (VTI) in a stock swap transaction valued at $406.135 mil. SHR offered $5 in cash and .4667 common shares per VTI share, subject to a collar agreement.</t>
  </si>
  <si>
    <t>Intrav Inc</t>
  </si>
  <si>
    <t>Pvd transp arrangement svcs</t>
  </si>
  <si>
    <t>Kuoni Holding Delaware Inc</t>
  </si>
  <si>
    <t>Kuoni Holding Delaware Inc, a unit of Kuoni Reisen Holding AG acquired all the outstanding stock of Intrav Inc, a provider of transportation arrangement services, for $115 mil.</t>
  </si>
  <si>
    <t>Johnson &amp; Johnson (JJ) acquired all the outstanding common stock of Centocor Inc (CT) in a stock swap transaction valued at $5.047 bil. JJ offered $61 in common stock per CT common share, subject to a collar agreement. The transaction was accounted for as a pooling of interests. Originally in May 1999, JJ was rumored to be planning to acquire CT.</t>
  </si>
  <si>
    <t>Cincinnati Bell Inc</t>
  </si>
  <si>
    <t>Cincinnati Bell Inc (CSN) acquired IXC Communications Inc (IIXC) in a stock swap transaction valued at $2.964 bil, including the assumption of $700 mil in liabilities. CSN offered 2.0976 common shares per IIXC share. Based on CSN's closing stock price of $23.5625 on July 20, the last full trading day prior to the announcement, each IIXC share was valued at $49. 425.</t>
  </si>
  <si>
    <t>SHS Bancorp Inc,Pittsburg,PA</t>
  </si>
  <si>
    <t>ESB Financial Corp</t>
  </si>
  <si>
    <t>ESB Financial Corp (ESB), Ellwood City, Pennsylvania, acquired all the outstanding common stock of SHS Bancorp Inc (SHS) for $17.8 in cash per share, or a total value of $14.294 mil. Alternatively, ESB offered 1.3 ESB common shares per SHS common share.</t>
  </si>
  <si>
    <t>Wireless One Inc</t>
  </si>
  <si>
    <t>Pvd wireless access svcs</t>
  </si>
  <si>
    <t>MCI WorldCom acquired all the outstanding common stock of bankrupt Wireless One Inc for an estimated $1.31 per share, or a total value of $131.683 mil, including the assumption of an estimated $109 mil in liabilities.</t>
  </si>
  <si>
    <t>Interplay Entertainment Corp</t>
  </si>
  <si>
    <t>Dvlp interactive ent software</t>
  </si>
  <si>
    <t>Titus Interactive SA</t>
  </si>
  <si>
    <t>Pvd software publishing svcs</t>
  </si>
  <si>
    <t>Titus Interactive (TI) raised its stake to 53.66% from 12.01% in Interplay Entertainment Corp, by acquiring up to 8.662 mil comon shares. TI acquired 6. 25 mil common shares for $4 in cash per share, an option exercisable into an additional .4162 mil common shares, and an additional 2 mil common shares in exchange for common stock.</t>
  </si>
  <si>
    <t>Pilgrim Capital Corp</t>
  </si>
  <si>
    <t>Reliastar Financial Corp (RF) acquired all the outstanding common stock of Pilgrim Capital Corp (PC) for $229. 389 mil, including the assumption of $31 mil in liabilities. RF offered $12.5 in cash and .5 common shares per PC share. Based on RF's closing stock price of $47. 9375 on July 21, the last full trading day prior to the announcement, each PC share was valued at $23.969.</t>
  </si>
  <si>
    <t>White Cap Industries Inc</t>
  </si>
  <si>
    <t>Wholesale specialty tools</t>
  </si>
  <si>
    <t>A management-led investor group including White Cap Industries Inc's (WCI) CEO Greg Grosch, and an affiliate of Leonard Green &amp; Partners LP, acquired all the outstanding common stock of WCI for $16.5 in cash per share, or a total value of $185.4 mil in a leveraged buyout transaction, under a recapitalization plan.</t>
  </si>
  <si>
    <t>Networks Electronic Corp</t>
  </si>
  <si>
    <t>GWB (USA) Inc</t>
  </si>
  <si>
    <t>GWB Inc, a unit of Gartland Whalley &amp; Barker PLC, agreed to acquire all the outstanding common stock of Networks Electronic Corp for $7.5 in cash per share, or a total value of $12.554 mil</t>
  </si>
  <si>
    <t>Texas Instruments Inc (TI) acquired all the outstanding common stock of Unitrode Corp (UC) in a stock swap transaction valued at $848 Mil. TI offered .289 common shares per UC common share, subject to a collar agreement. Based on TI's closing stock price of $85, on July 23, the day prior to closing, each UC share was valued at $24.565.</t>
  </si>
  <si>
    <t>Exogen Inc</t>
  </si>
  <si>
    <t>Manufacture biological prod</t>
  </si>
  <si>
    <t>Smith &amp; Nephew Inc</t>
  </si>
  <si>
    <t>Smith &amp; Nephew Inc (SN), a unit of Smith &amp; Nephew PLC, acquired all the outstanding common stock of Exogen Inc (EI), for $5.15 in cash per share, or a total value of $67.348 mil. Previously, SN completed its tender offer to acquire EI by accepting 11, 529,197 share, or 90.468% of EI's shares.</t>
  </si>
  <si>
    <t>Fuisz Technologies Ltd</t>
  </si>
  <si>
    <t>Develop pharmaceuticals</t>
  </si>
  <si>
    <t>Biovail Corp International</t>
  </si>
  <si>
    <t>Biovail Corp (BC), a majority-owned unit of Trimel Corp, merged with Fuisz Technologies Ltd (FL) via a two-tier merger valued at $257.692 mil, including the assumption of $91 mil in liabilities. Initially, BC completed its tender offer to raise its stake to 49% from 19.2%, or 6,533,865 common shares, in FL for $7 in cash per share or a total value of $45.737 mil. In the second step, BC acquired the remaining 51% interest, or 11, 182,119 common shares, which it did not already own, in FL in a stock swap transaction valued at $78.273 mil. BC offered .1194 common shares per FL share. Based on BC's closing stock price of $58. 625 on July 23, the last full trading day prior to the announcement , each FL share was valued at $7.00.</t>
  </si>
  <si>
    <t>Host Marriott Services</t>
  </si>
  <si>
    <t>Own,op concession stands</t>
  </si>
  <si>
    <t>Autogrill SpA</t>
  </si>
  <si>
    <t>Own,operate restaurants,bars</t>
  </si>
  <si>
    <t>Autogrill SpA (AS), a majority-owned unit of Benetton Group SpA, acquired Host Marriott Services Corp (HM) for $15.75 in cash per share, or a total value of $547.285 mil. Earlier AS completed its tender offer for HM by accepting 30.5 mil shares, or about 82.5% of HM's shares. The offer was conditioned upon at least 66. 66% of HM's shares being tendered.</t>
  </si>
  <si>
    <t>Roberts Pharmaceutical Corp</t>
  </si>
  <si>
    <t>Mnfr post-discovery drugs</t>
  </si>
  <si>
    <t>Shire Pharmaceuticals Grp PLC</t>
  </si>
  <si>
    <t>Shire Pharmaceuticals Group PLC (SP) merged with Roberts Pharmaceutical Corp (RP) in a stock swap transaction valued at $998.786 mil. SP offered 1. 0427 American Depositary shares (ADS) per RP shares per a collar agreement. Based on SP's ADS closing price of $28.75 on December 22, the last full trading day prior to the disclosure of the exact terms, each RP share was valued at $29.978. Each ADS consisted of 3 ordinary shares. The transaction was accounted for as a pooling of interests.</t>
  </si>
  <si>
    <t>Asahi-America Inc</t>
  </si>
  <si>
    <t>Manufacture plastics pipe</t>
  </si>
  <si>
    <t>Asahi Organic Chem Ind Co Ltd</t>
  </si>
  <si>
    <t>Mnfr synthetic resins</t>
  </si>
  <si>
    <t>Asahi Organic Chemical Industry Co acquired the remaining 86% interest in Asahi-America Inc, which it does not already own, for between $9.55 and $9.45 in cash per share, or a total value of $28.594 mil, with the value based on the high value on the range.</t>
  </si>
  <si>
    <t>KSB Bancorp Inc,Kingfield,ME</t>
  </si>
  <si>
    <t>Camden National Corp,Camden,ME</t>
  </si>
  <si>
    <t>Camden National Corp (CNC) acquired KSB Bancorp Inc (KSB) in a stock swap transaction valued at $30.368 mil. CNC offered 1.136 common shares per KSB share. Based on CNC's closing stock price of $19. 938 on July 26, the last full trading day prior to the announcement, each KSB share was valued at $22.65. The transaction was to be accounted for as a pooling of interests.</t>
  </si>
  <si>
    <t>Mark VII Inc</t>
  </si>
  <si>
    <t>MSAS Global Logistics Inc</t>
  </si>
  <si>
    <t>Pvd integrated logistic svcs</t>
  </si>
  <si>
    <t>MSAS Global Logistics Inc, a unit of Ocean Group PLC, merged with Mark II by completingits tender offer to acquire all the outstanding common stock of Mark VII Inc (MV) for $23 in cash per share, or a total value of $225.844 mil, by accepting 9, 259,566 common shares, or 90. 12% of the company's common stock outstanding. The offer was conditioned upon at least a majority of MV's shares being tendered on a fully- diluted basis.</t>
  </si>
  <si>
    <t>Mylex Corp</t>
  </si>
  <si>
    <t>Mnfr computers and peripherals</t>
  </si>
  <si>
    <t>International Business Machines Corp acquired all the outstanding common stock of Mylex Corp for $12 in cash per share, or a total value of $260.52 mil.</t>
  </si>
  <si>
    <t>Standard Products Co</t>
  </si>
  <si>
    <t>Mnfr rubber, plastic auto prod</t>
  </si>
  <si>
    <t>Cooper Tire &amp; Rubber Co</t>
  </si>
  <si>
    <t>Mnfr,wholesale tires,tubes</t>
  </si>
  <si>
    <t>Cooper Tire &amp; Rubber Co (CR) acquired all the outstanding common stock of Standard Products Co for $36.50 in cash per share, or a total value of $800.625 mil, including the assumption of $207.2 mil in liabilities. Originally, CR offered $36.50 in cash or common stock whereby 55% was to be paid in cash and 45% was to be paid in common stock subject to a collar agreement.</t>
  </si>
  <si>
    <t>Easco Inc(American Industrial)</t>
  </si>
  <si>
    <t>Caradon PLC</t>
  </si>
  <si>
    <t>Mnfr electn,control prods</t>
  </si>
  <si>
    <t>Caradon PLC (CA) merged with Easco Inc (EI), a majority- owned unit of American Industrial Partners, for $15. 2 in cash per share, or a total value of $154.709 mil. Previously, CA completed its tender offer for EI by accepting 9.6 mil common shares, or 99.5% of EI's shares. The offer was conditioned upon at least a majority of the shares being tendered.</t>
  </si>
  <si>
    <t>Kofax Image Products Inc</t>
  </si>
  <si>
    <t>A management-led investor group, including Dicom Group PLC and Dresdner Kleinwort Benson, a unit of Dresdner Bank AG, acquired Kofax Image Products Inc (KI) for $12.75 in cash per share, or a total value of $70.748 mil, in a leveraged buyout transaction. Earlier, the investor group completed its tender offer for KI by accepting 4,413,509 shares, or 83% of KI's shares. The offer was conditioned upon at least 50% of KI's shares being tendered on a fully-diluted basis.</t>
  </si>
  <si>
    <t>BB&amp;T Corp (BBT), Winston- Salem, North Carolina, acquired Premier Bancshares Inc (PB), Atlanta, Georgia, in a stock swap transaction valued at $491.931 mil. BBT offered 0.5155 common shares per PB share. Based on BBT's closing stock price of $35.75 on July 27, the last full trading day prior to the announcement, each PB share was valued at $18.429. The transaction was to be accounted for as a pooling of interests.</t>
  </si>
  <si>
    <t>Deutsche Telekom AG</t>
  </si>
  <si>
    <t>Deutsche Telekom AG discounted rumors to be in negotiations to merge with Qwest Communications International Inc.</t>
  </si>
  <si>
    <t>Deutsche Telekom AG discontinued the rumor that it was in negotiations to merge with Sprint Corp.</t>
  </si>
  <si>
    <t>Team America Corp</t>
  </si>
  <si>
    <t>US - An investor group, including Mr. S Cash Nickerson and Muchocode.com (MC), withdrew their agreement to acquire all the outstanding common stock of Team America Corp (TA) for a sweetened $6.75 in cash per share or a total value of 28. 73 mil. Originally, the investor group offered a choice of a combination of $6 in cash and MC common stock per share, or a total value of $25.631. Subsequently, Global Employment Solutions Inc, a joint-venture between KRG Capital Partners LLC and Fasturn Inc, terminated its agreement to acquire all the outstanding common stock of TA for $7.75 in cash per share, or a total value of $34.152 mil.</t>
  </si>
  <si>
    <t>ANB Corp</t>
  </si>
  <si>
    <t>Old National Bancorp (ON), Evansville, Indiana, merged with ANB Corp (AC), Muncie, Indiana, in a stock swap transaction valued at $235. 818 mil. ON offered a sweetened 1.3125 common shares per AC share. Based on ON's closing stock price of $31.625 on March 9, the last full trading day prior to the announcement of the terms, each AC share was valued at $41.508. Originally, ON offered 1.25 common shares per AC share. Based on ON's closing stock price of $30. 0625 on July 29, the last full trading day prior to the announcement, each AC share was valued at $37.578. The transaction was accounted for as a pooling of interests.</t>
  </si>
  <si>
    <t>Merchants Bancorp,Aurora,IL</t>
  </si>
  <si>
    <t>Old Kent Financial Corp (OK), Grand Rapids, Michigan, acquired all the outstanding common stock of Merchants Bancorp Inc (MB), Aurora, Illinois, in a stock swap transaction valued at $185.01 mil. OK offered .83 shares per MB share. Based on OK's closing stock price of $42. 312 on July 29, the last full trading day prior to the announcement, each MB share was valued at $35.119. The transaction was to be accounted for as a pooling of interests. Upon completion, MB was to be renamed Old Kent Bank and OK was to hold the number 1 position in terms of deposit market share in Kane county.</t>
  </si>
  <si>
    <t>Prime Bancshares Inc,Texas</t>
  </si>
  <si>
    <t>State bank holding company</t>
  </si>
  <si>
    <t>Wells Fargo &amp; Co, San Francisco, California, (WFC) acquired all the outstanding common stock of Prime Bancshares Inc, Houston, Texas (PBI) in a stock swap transaction valued at $264. 826 mil. WFC offered approximately .5908 shares for each PBI common share. Based on WFC's closing stock price of $40.812 on July 28, the last full trading day prior to the announcement, each PBI share was valued at $24.1.</t>
  </si>
  <si>
    <t>General Housewares Corp</t>
  </si>
  <si>
    <t>Mnfr,whl cookware and cutlery</t>
  </si>
  <si>
    <t>Corning Consumer Products Co</t>
  </si>
  <si>
    <t>Manufacture housewares</t>
  </si>
  <si>
    <t>Corning Consumer Products Co, a unit of Corning Inc, acquired all the outstanding common stock of General Housewares Corp for $28.75 in cash per share, or a total value of approximately $148. 58 mil, including the assumption of an estimated $29 mil in liabilities.</t>
  </si>
  <si>
    <t>Letchworth Independent Bancshs</t>
  </si>
  <si>
    <t>Tompkins TrustCo Inc,NY</t>
  </si>
  <si>
    <t>Tompkins TrustCo Inc (TT), Ithaca, New York, acquired all the outstanding common stock of Letchworth Independent (LI), Castile, New York, in a stock swap transaction valued at $84.651 mil. TT offered .685 common shares per LI share. Based on TT's closing stock price of $34.75 on July 30, the last full trading day prior to the announcement, each LI share was valued at $23.804. The transaction was to be accounted for as a pooling of interests.</t>
  </si>
  <si>
    <t>Todd-AO Corp</t>
  </si>
  <si>
    <t>Liberty Media Group (LM), a majority-owned unit of AT&amp;T Corp, acquired a 57% interest, or 3.974 mil Class A common shares and 1.747 mil Class B common shares, in Todd-AO Corp (TA) in a stock swap transaction valued at $84.675 mil. LM offered .4 Class A common shares per TA Class A and B share. The shares were valued based on LM's closing stock price of $37 on July 29, the last full trading day prior to the announcement. In June 1999, TA announced that it was seeking a buyer for the company. Upon completion, TA changed its name to Liberty Livewire Corp, which is listed on Nasdaq.</t>
  </si>
  <si>
    <t>Xionics Document Technologies</t>
  </si>
  <si>
    <t>Dvlp page processing software</t>
  </si>
  <si>
    <t>Oak Technology Inc (OT) acquire all the outstanding common stock of Xionics Document Technologies Inc (XD) in a stock swap transaction valued at $82.293 mil. OT offered $2.94 in cash and . 803 common shares per XD share. Based on OT's closing stock price of $3.938 on July 29, the last full trading day prior to the announcement, each XD share was valued at $6.102. Upon completion, XD was merged with OT's existing imaging operations to form the Oak Imaging Group.</t>
  </si>
  <si>
    <t>Chicago Title Corp</t>
  </si>
  <si>
    <t>Pvd title insurance,trust svcs</t>
  </si>
  <si>
    <t>US - Fidelity National Finanical Inc (FNF) acquired all the outstanding common stock of Chicago Title Corp (CTC), a provider of title insurance and trust services, in a stock swap transaction valued at $1.29 bil. FNF offered 1.7673 common shares and $26 in cash per CTC share. Based on FNF's closing stock price of July 30, the last full trading day prior to the announcement, each CTC share was valued at $56.816.</t>
  </si>
  <si>
    <t>California Culinary Academy</t>
  </si>
  <si>
    <t>Culinary academy/school</t>
  </si>
  <si>
    <t>Career Education Corp</t>
  </si>
  <si>
    <t>Own,op colleges,schools</t>
  </si>
  <si>
    <t>Career Education Corp signed a letter of intent to acquire all the outstanding common stock of California Culinary Academy Inc for $6.50 per share, or a total value of $25.197 mil.</t>
  </si>
  <si>
    <t>Inamed Corp</t>
  </si>
  <si>
    <t>Mnfr,whl medical equipment</t>
  </si>
  <si>
    <t>Inamed Corp (IC) acquired all the outstanding common stock of Collagen Aesthetics Inc (CA) for $16.25 in cash per share, or a total value of $140.795 mil. Earlier IC completed its tender offer for CA by accepting 8.05 mil shares, or 94.04% of CA's shares outstanding. The offer was conditioned upon at least a majority of CA's shares being tendered on a fully- diluted basis. Subsequently, Mentor Corp withdrew its unsolicited bid to acquire all the outstanding common stock of CA for $14.50 in cash per share, or a total value of $124.875 mil.</t>
  </si>
  <si>
    <t>SIBIA Neurosciences Inc</t>
  </si>
  <si>
    <t>Mnfr molecule therapeutics</t>
  </si>
  <si>
    <t>Merck &amp; Co (MC) acquired all the outstanding common stock of SIBIA Neurosciences Inc (SN) for $8.50 in cash per share, or a total value of $88.59 mil. Earlier, MC completed its tender offer for SN by accepting 6.7 mil shares, or 70% of SN's shares. The offer was conditioned upon at least a majority of SN's shares being tendered on a fully diluted basis.</t>
  </si>
  <si>
    <t>Health Care Ppty Investors Inc</t>
  </si>
  <si>
    <t>Health Care Property Investors Inc (HCP) acquired American Health Properties Inc (AHP) in a stock swap transaction valued at $904. 864 mil, including $100 mil in preferred stock and the assumption of $300 mil in liabilities. HCP offered .78 common shares per AHP share. Based on HCP's closing stock price of $25.875 on August 3, the last full trading day prior to the announcement, each AHP share was valued at $20.183.</t>
  </si>
  <si>
    <t>OHSL Financial Corp,OH</t>
  </si>
  <si>
    <t>Provident Financial Group Inc</t>
  </si>
  <si>
    <t>Provident Financial Group (PFG), Cincinnati, Ohio, acquired OHSL Financial Corp (OHSL), Cincinnati, Ohio, in a stock swap transaction valued at $52.460 mil. PFG offered .5458 common shares per OHSL share. The shares were valued based on PFG's closing stock price of $39. 562 on December 2, the last full trading day prior to the announcement of the exact exchange ratio. Originally, PFG offered $22.5 in common stock per OHSL share, or a total value of $54.663 mil, subject to a collar agreement.</t>
  </si>
  <si>
    <t>Pacific Research &amp; Engineering</t>
  </si>
  <si>
    <t>Mnfr high quality studio prods</t>
  </si>
  <si>
    <t>Harris Corp</t>
  </si>
  <si>
    <t>Mnfr commun systems,equipment</t>
  </si>
  <si>
    <t>Harris Corp completed its tender offer to acquire all the outstanding common stock of Pacific Research &amp; Engineering Corp (PRE) for $2. 35 in cash per share, or a total value of $5.527 mil, including the assumption of an undisclosed amount of liabilities, by accepting 2. 12 mil common shares, or 90. 02% of the company's common stock outstanding. The offer was conditioned upon at least a majority of 90% of PRE's shares being tendered.</t>
  </si>
  <si>
    <t>First Place Financial Corp</t>
  </si>
  <si>
    <t>Wells Fargo &amp; Co (WFC), San Francisco, California, acquired all the outstanding common stock of First Place Financial Corp, Farmington, New Mexico, in exchange for 4. 6 mil WFC common shares valued at $179.685 mil. The shares were valued based on WFC's closing stock price of $39.062 on August 3, the last full trading day prior to the announcement.</t>
  </si>
  <si>
    <t>An investor group, comprised of Texas Pacific Group Inc and Cypress Group LLC, acquired a 63.95% stake, on a fully dilluted basis, in Genesis Health Ventures Inc for $470 mil. The investor group was to acquire 12.5 newly issued common shares, 2 mil warrants, and $420 mil of convertible preferred stock with a conversion price of $8. 75 per share. In addition, the investor group agreed to terminate its right to sell its 56% interest in Genesis ElderCare Corp.</t>
  </si>
  <si>
    <t>RiboGene Inc</t>
  </si>
  <si>
    <t>Pvd physical,bio research svcs</t>
  </si>
  <si>
    <t>Cypros Pharmaceutical Corp</t>
  </si>
  <si>
    <t>Cypros Pharmaceutical Corp (CP) merged with Ribogene Inc (RI) to form Questcor Pharmaceuticals Inc (QP) in a stock swap transaction valued at $22.746 mil. CP offered 1. 494 shares per RI share. Based on CP's closing stock price of $2.063 on August 4, the last full trading day prior to the announcement, each RI share was valued at $3.082. Upon completion CP shareholders were to own 55% of QP and RI shareholders 45%.</t>
  </si>
  <si>
    <t>Titan International Inc</t>
  </si>
  <si>
    <t>Manufacture,whl wheels,tires</t>
  </si>
  <si>
    <t>Carlisle Cos Inc</t>
  </si>
  <si>
    <t>Manufacture roof coating products</t>
  </si>
  <si>
    <t>Carlisle Cos Inc withdrew its letter of intent to acquire all the outstanding common stock of Titan International Inc for an estimated $17 in common stock per share, or a total value of $356.858 mil, subject to a collar agreement.</t>
  </si>
  <si>
    <t>Union Carbide Corp</t>
  </si>
  <si>
    <t>Mnfr chemicals,polymers</t>
  </si>
  <si>
    <t>US - Dow Chemical Co (DC) acquired all the outstanding common stock of Union Carbide Corp (UC), a manufacturer of industrial chemicals, in a stock swap transaction valued at $11.692 bil, including the assumption of $2.3 bil in liabilities. DC offered .537 common shares per UC share. Based on DC's closing stock price of $124.687 on August 3, the last full trading day prior to the announcement, each UC share was valued at $66.957. The transaction was accounted for as a pooling of interests.</t>
  </si>
  <si>
    <t>Ekco Group Inc</t>
  </si>
  <si>
    <t>Manufacture kitchenware</t>
  </si>
  <si>
    <t>Corning Consumer Products Co (CCP) merged with Ekco Group Inc (EG) for $7 in cash per share, or a total value of $304.618 mil, including the assumption of $166 mil in liabilities. Earlier, CCP completed its tender offer for EG by accepting 27.91 mil common shares, or 93%. The transaction was conditioned upon at least a majority of EG's shares being tendered on a fully-diluted basis.</t>
  </si>
  <si>
    <t>Impac Commercial Holdings Inc</t>
  </si>
  <si>
    <t>Specialty coml ppty finance co</t>
  </si>
  <si>
    <t>Amresco Capital Trust</t>
  </si>
  <si>
    <t>Amresco Capital Trust (ACT) withdrew its definitive agreement to acquire all the outstanding common stock of Impac Commercial Holdings Inc (ICH) in a stock swap transaction valued at $55.65 mil. ACT offered .661 common shares per ICH share. Based on ACT's closing stock price of $10 on August 4, the last full trading day prior to the announcement, each ICH share was valued at $6.61. Subsequent to the agreenment, Apex Mortgage Capital Inc made an unsolicited challenging offer to acquire ICH in a stock swap transaction valued at $59.691 mil.</t>
  </si>
  <si>
    <t>CCA Industries Inc</t>
  </si>
  <si>
    <t>Mnfr,whl health,beauty aids</t>
  </si>
  <si>
    <t>Tella-Tech Inc</t>
  </si>
  <si>
    <t>Mnfr,whl health,beauty aides</t>
  </si>
  <si>
    <t>Tella-Tech Inc planned to acquire all the outstanding common shares of CCA Industries Inc for $2 in cash per share, or a total value of $2.403 mil.</t>
  </si>
  <si>
    <t>An investor group, comprised of Sorgenti Chemical Industries LLC and Liberty Partners Holdings 20 LLC, terminated its letter of intent to acquire all the outstanding common stock of Foamex International Inc for $11.5 per share, or a total value of $1.075 bil, including the assumption of $785 mil in liabilities.</t>
  </si>
  <si>
    <t>Westwood Homestead Financial</t>
  </si>
  <si>
    <t>Camco Financial Corp (CFC), Cambride, Ohio, acquired Westwood Homestead Financial Corp (WHF), Cincinnati, Ohio in a stock swap transaction valued at $28.370 mil. CFC offered .611 common shares and $5.20 in cash per WHF share. Based on CFC's closing stock price of $12 on August 6, the last full trading day prior to the announcement, each WHF share was valued at $12.532.</t>
  </si>
  <si>
    <t>EMC Corp</t>
  </si>
  <si>
    <t>Mnfr storage platforms</t>
  </si>
  <si>
    <t>EMC Corp (EM) acquired Data General Corp (DG) in a stock swap transaction valued at $1. 41 bil. EM offered .3125 common shares per DG share. Based on EM's closing stock price of $72.875 on October 1, the last full trading day prior to the announcement of exact exchange ratio, each DG share was valued at $22.773. Originally, EM offered .3262 common shares per DG share, subject to a collar agreement that was subsequently breached. Based on EM's closing stock price of $60 on August 6, the last full trading day prior to the announcement, each DG share was originally valued at $19. 572. The transaction was to be accounted for as a pooling of interests.</t>
  </si>
  <si>
    <t>Green Street Financial Corp,NC</t>
  </si>
  <si>
    <t>NewSouth Bancorp,Washington,NC</t>
  </si>
  <si>
    <t>New South Bancorp, Washington, North Carolina, acquired all the outstanding common stock of Green Street Financial Corp for $15.25 in cash per share, or total value of $59.292 mil.</t>
  </si>
  <si>
    <t>Jones Intercable Inc</t>
  </si>
  <si>
    <t>Comcast Corp (CC) acquired the remaining 61% interest, or 25.23 mil common shares it did not already own in Jones Intercable Inc (JI), for an amended $3.479 bil, including the assumption of $1.6 bil in liabilities. CC offered 1.4 Class A common shares per JI Class A or common share. Based on CC's Special Class A closing stock price of $51 on December 21, the last full trading day prior to the amendment, each JI common share was valued at $71.4. Previously, CC raised its stake to 78.89% from 39% in JI.</t>
  </si>
  <si>
    <t>OEC Medical Systems Inc</t>
  </si>
  <si>
    <t>Manufacture X-ray equipment</t>
  </si>
  <si>
    <t>GE Medical Systems (GM), a unit of General Electric Co (GE), acquired OEC Medical Systems Inc (OE) in a stock swap transaction valued at $500.001 mil. GE offered .262 common shares per OE share. Based on GE's closing stock price of $136.875 on November 25, the last full trading day prior to the announcement of of exact terms, each OE share was valued at $36.</t>
  </si>
  <si>
    <t>Peerless Mfg Co</t>
  </si>
  <si>
    <t>Mnfr,whl specialized filters</t>
  </si>
  <si>
    <t>Ceco Environmental Corp (CEC) planned to acquire all the outstanding common stock of Peerless Manufacturing Co (PMC) for $15 in cash per share, or a total value of $19.868 mil. Previously, CEC acquired a 12.25% stake in PMC.</t>
  </si>
  <si>
    <t>Union Bankshares Ltd,Denver,CO</t>
  </si>
  <si>
    <t>Gold Banc Corp Inc,Leawood,KS</t>
  </si>
  <si>
    <t>US - Gold Banc Corp Inc (Gold) , withdrew its plans to acquire the entire share capital of Union Bankshares Ltd (Union), a Denver-based commercial bank, in a stock swap transaction valued at USD 52.003 mil. Gold offered 1.77 common shares for Union share. Based on Gold's closing stock price of USD 11. 5  on 06 August 1999, the last full training day prior to the announcement, each Union share was valued at USD 20.355.</t>
  </si>
  <si>
    <t>Teva Pharms Usa Inc</t>
  </si>
  <si>
    <t>Teva Pharmaceutical USA Inc (TP), a unit of Teva Pharmaceutical Industries Inc, acquired all the outstanding common stock of Copley Pharmaceutical Inc (CP), a majority-owned unit of Hoechst AG's Hoechst Celanese Corp subsidiary, for $11 in cash per share, or a total value of $214.842 mil. Previously, TP completed its tender offer by accepting 18. 9 mil shares, or 94.11% of CP's shares outstanding. The offer was conditioned upon at least a majority of CP's shares being tendered.</t>
  </si>
  <si>
    <t>International Integration Inc</t>
  </si>
  <si>
    <t>Razorfish Inc</t>
  </si>
  <si>
    <t>Pvd integration system svcs</t>
  </si>
  <si>
    <t>Razorfish Inc (RI) acquired International Integration Inc (II) in a stock swap transaction valued at $611. 046 mil. RI offered .875 common shares per II share. Based on RI's closing stock price of $28.25 on August 9, the last full trading day prior to the announcement, each II share was valued at $24.719. The transaction was accounted for as a pooling of interests. Upon completion, the combined company was to be called RI.</t>
  </si>
  <si>
    <t>International Network Services</t>
  </si>
  <si>
    <t>Provide networking services</t>
  </si>
  <si>
    <t>Lucent Technologies Inc (LT) merged with International Network Services Inc (IN) in a stock swap transaction valued at $3.284 bil. LT offered .8473 common shares per IN share. Based on LT's closing stock price of $63. 625 on August 9, the last full trading day prior to the announcement, each IN share was valued at $53.909. The transaction was accounted for as a pooling of interests.</t>
  </si>
  <si>
    <t>HCIA Inc(AMBAC Inc)</t>
  </si>
  <si>
    <t>Pvd health care information</t>
  </si>
  <si>
    <t>Veronis Suhler &amp; Asoc Commun</t>
  </si>
  <si>
    <t>VS&amp;A Communications Partners III LP, a unit of Veronis, Suhler &amp; Associates, acquired all the outstanding common stock of HCIA Inc, a majority- owned unit of AMBAC Inc, for $11in cash per share, or a total value of $134.695 mil.</t>
  </si>
  <si>
    <t>Reynolds Metals Co</t>
  </si>
  <si>
    <t>Mnfr,whl aluminum products</t>
  </si>
  <si>
    <t>Alcoa Inc</t>
  </si>
  <si>
    <t>Mnfr,wholesale aluminum prod</t>
  </si>
  <si>
    <t>US - Alcoa Inc (AI) merged with Reynolds Metal Co (RM), a manufacturer and wholesaler of aluminum products, in a stock swap transaction valued at $6.077 bil, including the assumption of $1.5 bil in liabilities. AI offered an amended 1.06 common shares per RM share. Based on AI closing stock price of $66. 875 on August 18, the last full trading day prior to the amendment, each RM share was valued at $70.8875. Previously, AI planned to make an unsolicited hostile bid to merge with RM via a two-tier merger valued at $4. 196 bil. Initially, AI was to acquire a 50% interest, or 32, 253,627 common shares, in RM via a tender offer for $65 in cash per share of a total value of $2.096 bil. In the second step, AI was to acquire the remaining 50% interest, that it did not already own, in RM in a stock swap transaction valued at $4. 193 bil. AI offered .9784 common shares per RM share. Based on AI's closing stock price of $66.437 on August 10, the last full trading day prior to the announcement, each RM share was valued at $65. Upon completion, RM's common stock would be delisted from NYSE.</t>
  </si>
  <si>
    <t>Intelliquest Information Group</t>
  </si>
  <si>
    <t>Pvd info-based mktg svcs</t>
  </si>
  <si>
    <t>WPP Group PLC</t>
  </si>
  <si>
    <t>Pvd mktg,advg svcs</t>
  </si>
  <si>
    <t>WPP Group PLC acquired all the outstanding common stock of Intelliquest Information Group Inc for an amended $12. 7 in cash per share, or a total value of $111.207, including up to $2.5 mil in profit-related payments. Originally in August 1999, WPP offered $42.5 mil in cash and up to $2.5 mil in profit- related payments.</t>
  </si>
  <si>
    <t>US - Provident Financial Group Inc (PFG), Cincinnati, Ohio, acquired Fidelity Financial of Ohio Inc (FF), Cincinnnati, Ohio, a bank holding company, in a stock swap transaction valued at $193.51 mil. PFG offered $21 in common stock per FF share, subject to a collar agreement. The transaction was acccounted for as a pooling of interests.</t>
  </si>
  <si>
    <t>Michigan Avenue Partners Inc</t>
  </si>
  <si>
    <t>Michigan Avenue Partners Inc withdrew its plans to make a challenging offer to acquire all the outstanding common stock of Reynolds Metals Co (RMC). Terms were not disclosed. Subsequently, Alcoa Inc merged with RMC is a stock swap transaction.</t>
  </si>
  <si>
    <t>Hochtief AG</t>
  </si>
  <si>
    <t>Hochtief AG (HA), a majority- owned unit of RWE AG, acquired all the outstanding common stock of Turner Corp (TC) for $28.625 in cash per share, or a total value of $394.758 mil. Previously, HA completed its tender offer by accepting 91% of TC's shares. The offer was conditioned upon at least 66.66% of TC's shares being tendered.</t>
  </si>
  <si>
    <t>World Wide Net Inc</t>
  </si>
  <si>
    <t>Pvd film production services</t>
  </si>
  <si>
    <t>American Intl Industries Inc</t>
  </si>
  <si>
    <t>American International Industries Inc (AI) acquired a 61% interest in World Wide Net Inc (WW) in exchange for a 100% interest in Modern Film Effects Inc, a unit of AI.</t>
  </si>
  <si>
    <t>JSB Financial Inc,Lynbrook,NY</t>
  </si>
  <si>
    <t>North Fork Bancorporation (NFB) acquired JSB Financial Inc (JSB) in a stock swap transaction valued at $593. 685 mil. NFB offered 3 common shares per JSB share. Based on NFB's closing stock price of $20.44 on August 13, the last full trading day prior to the announcement, each JSB share was valued at $61.32.</t>
  </si>
  <si>
    <t>Lake Ariel Bancorp Inc,PA</t>
  </si>
  <si>
    <t>NBT Bancorp Inc (NBT), Norwich, New York, merged with Lake Ariel Bancorp (LAB), Lake Ariel, Pennsylvania, in a stock swap transaction valued at $100.774 mil. NBT offered .9961 common shares per LAB share held. Based on NBT's closing stock price of $20.25 on August 13, the last full trading day prior to the announcement. The transaction was to be accounted for as a pooling of interests. Previously, NBT offered $18.5 in common stock per LAB share, subject to a collar agreement.</t>
  </si>
  <si>
    <t>Nielsen Media Research Inc</t>
  </si>
  <si>
    <t>VNU NV</t>
  </si>
  <si>
    <t>VNU acquired all the outstanding common stock of Nielsen Media Research (NMR) for $37.75 in cash per share, or a total value of $2.788 bil, including the assumption of $200 mil in liabilities, Earlier VNU completed its tender offer for NMR, by accepting 54,733,956 shares, or about 94.8% of NR's shares outstanding. The offer had been conditioned upon at least a majority of NMR's shares being tendered on a fully-diluted basis. Subsequently, VNU announced that it was seeking a buyer for its Competitive Media Reporting unit.</t>
  </si>
  <si>
    <t>Harrah's Entertainment Inc acquired all the outstanding common stock of Players International Inc (PII) for $8.5 in cash per share, or a total value of $428.349 mil. Subsequently Jackpot Enterprises Inc withdrew its agreement to acquire PI.</t>
  </si>
  <si>
    <t>SunPharm Corp</t>
  </si>
  <si>
    <t>Mnfr anticancer drugs</t>
  </si>
  <si>
    <t>GelTex Pharmaceuticals Inc</t>
  </si>
  <si>
    <t>GelTex Pharmaceuticals Inc (GT) acquired all the outstanding common stock of SunPharm Corp (SC) in a stock swap transaction valued at $15.589 mil. GT offered between .122 and .145 common shares per SC share, with the value based on the high ratio in the range. Based on GT's closing stock price of $14.25 on August 13, the last full trading day prior to the announcement, each SC share was valued at $2.066.</t>
  </si>
  <si>
    <t>ACS Electronics Ltd (AS) acquired all the outstanding common stock of Technology 80 Inc (TI), for $5.4 in cash per share, or a total value of $9.419 mil. Previously in May 1999, AS withdrew its letter of intent to merge with TI.</t>
  </si>
  <si>
    <t>Freshstart Venture Capital</t>
  </si>
  <si>
    <t>Pvd small bus financing svcs</t>
  </si>
  <si>
    <t>Medallion Financial Corp</t>
  </si>
  <si>
    <t>Pvd commercial lending svcs</t>
  </si>
  <si>
    <t>US - Medallion Financial Corp merged with Freshstart Venture Capital Corp, a provider of small business financing services, in a stock swap transaction valued at $8.685 mil. MFC offered . 23865 common shares per FVC shares. Based on MFC's closing stock price of $16.75 on October 2, the last full trading day prior to the amendment, each FVC share was valued at $3.997. The transaction was to be accounted for as a pooling of interests.</t>
  </si>
  <si>
    <t>Cel Sci Corp</t>
  </si>
  <si>
    <t>An unnamed buyer made an withdrew its unsolicited offer to acquire all the outstanding common stock of Cel-Sci Corp for $7.75 per share, or a total value of $133.422 mil.</t>
  </si>
  <si>
    <t>Excel Switching Corp</t>
  </si>
  <si>
    <t>Mnfr telephone apparatus</t>
  </si>
  <si>
    <t>Lucent Technologies Inc (LT) acquired all the outstanding common stock of Excel Switching Corp (ES) in a stock swap transaction valued at $1.723 bil. LT offered . 558 common shares per ES share. Based on LT's closing stock price of $66.50 on August 17, the last full trading day prior to the announcement, each ES share was valued at $37.107. The transaction was to be accounted for as a pooling of interests.</t>
  </si>
  <si>
    <t>Hannaford Bros Co</t>
  </si>
  <si>
    <t>Delhaize America Inc, formerly Food Lion Inc, acquired all the outstanding common stock of Hannaford Bros Co for $3.713 bil, including the assumption of $300 mil in liabilities. The consideration was to consist of $79 in cash for the initial 80% interest and $79 in Class A common stock for the remaining 20% stake.</t>
  </si>
  <si>
    <t>Adecco SA</t>
  </si>
  <si>
    <t>Provide HR solutions services</t>
  </si>
  <si>
    <t>Adecco SA (AS) acquired all the outstanding common stock of Olsten Corp (OC) for $8.75 in cash per share, or a total value of $1.475 bil, including the assumption of $750 mil in liabilities. Alternatively, AS offered either .12472 American Depository Shares per share held, or a combination of cash and shares per share held. The transaction included OC's staffing and information technology services businesses. Concurrently, OC spun off its health care businesses to its shareholders.</t>
  </si>
  <si>
    <t>Anson Bancorp Inc,Wadesboro,NC</t>
  </si>
  <si>
    <t>Uwharrie Capital Corp,NC</t>
  </si>
  <si>
    <t>US - Uwharrie Capital Corp acquired all the outstanding common stock of Anson Bancorp Inc, Wadesboro, North Carolina for $17.30 per share, or a total value of $10.123 mil.</t>
  </si>
  <si>
    <t>Metrowerks Corp</t>
  </si>
  <si>
    <t>Dvlp,whl applications software</t>
  </si>
  <si>
    <t>Motorola Inc</t>
  </si>
  <si>
    <t>Mnfr integrated commun prod</t>
  </si>
  <si>
    <t>Motorola Inc completed its tender offer to acquire Metrowerks Inc (MW) for $6.25 in cash per share, or a total value of $94.872 mil, by accepting 15.084 mil common shares, or about 96% of MW's shares. The offer was conditioned upon at least 77% of MW's shares being tendered.</t>
  </si>
  <si>
    <t>Phelps Dodge Corp</t>
  </si>
  <si>
    <t>Copper mining</t>
  </si>
  <si>
    <t>Phelps Dodge Corp (PDC) withdrew its offer to launch a triple amended, unsolicited, hostile challenging tender offer to acquire all the outstanding common stock of Asarco Inc (AI) in a stock swap transaction valued at $1. 126 bil. PDC offered $14.75 in cash and .2513 common shares per AI share. Based on PDC's closing stock price of $53.5625 on October 5, the last full trading day prior to the amendment, each AI share was valued at $28.21. The offer was conditioned upon at least 80% of AI's shares being tendered. Previous offers included $9 in cash and .288 common shares per share, .4098 common shares per AI share, and .3756 common shares per AI share. Concurrenlty, PDC definitively agreed to acquire Cyprus Amax Minerals Co (CAM). Subsequently, AI withdrew its agreement to merge with CAM, and Grupo Mexicano De Desarrollo SA acquired AI via a challenging tender offer.</t>
  </si>
  <si>
    <t>Phelps Dodge Corp (PDC) acquired Cyprus Amax Minerals Co (CAM) in a stock swap transaction valued at $1.991 bil. PDC offered a sweetened $7.61 in cash and .2203 common shares per CAM share. Based on PDC's closing stock price of $55.3125 on September 29, the last full trading day prior to the announcment, each CAM share was valued at $19.795. Previously, PDC offered $6.89 in cash and .2203 common shares per CAM share. Earlier, PDC offered an amended .3135 per CAM share. Originally, PDC offered .2784 common shares per CAM share. Subsequently, PDC withdrew its tender offer to acquire Asarco Inc (AI). Previously, CAM and AI agreed to merge in a merger-of-equals transaction. which was later withdrawn. Subsequently, Grupo Mexicano De Desarrollo acquired AI via a challenging tender offer.</t>
  </si>
  <si>
    <t>Centura Banks Inc (CB), Rocky Mount, North Carolina, acquired Triangle Bancorp Inc (TB), Raleigh, North Carolina, in a stock swap transaction valued at $608.31 mil. CB offered .45 common shares per TB share. Based on CB's closing stock price of $52 on August 20, the last full trading day prior to the announcement, each TB share was valued at $23.4. The transaction was accounted for as a pooling of interests.</t>
  </si>
  <si>
    <t>Florida Progress Corp</t>
  </si>
  <si>
    <t>Carolina Power &amp; Light Co (CPL) acquired all the outstanding common stock of Florida Progress Corp (FPC) for a total value of $7.984 bil including the assumption of $2.7 bil in liabilities. CPL offered a choice of $54 in cash or 1.3473 common shares per FPC share, whereby shareholders have the right to elect cash or common stock, subject to proration if the elections exceed 65% in cash or 35% in common stock, subject to a collar.</t>
  </si>
  <si>
    <t>Petroglyph Energy Inc</t>
  </si>
  <si>
    <t>Intermountain Industries Inc</t>
  </si>
  <si>
    <t>Intermountain Industries acquired a 51.3% interest, or 2.8 mil shares in Petroglyph Energy Inc, for $3 per share, or total value of $8.4 mil.</t>
  </si>
  <si>
    <t>An undisclosed investor group, agreed to acquire all the outstanding common stock of Eskimo Pie Corp for $10. 125 in cash per share, or a total value of $36.707 mil.</t>
  </si>
  <si>
    <t>Forte Software Inc</t>
  </si>
  <si>
    <t>Sun Microsystems Inc (SM) acquired Forte Software Inc (FS) in a a stock swap transaction valued at $545. 053 mil. SM offered .3 common shares per FS share. Based on SM's closing stock price of $74.25 on August 20, the last full trading day prior to the announcement, each FS share was valued at $22.275.</t>
  </si>
  <si>
    <t>General Surgical Innovations</t>
  </si>
  <si>
    <t>Tyco International Ltd (TI) acquired General Surgical Innovations (GS) in a stock swap transaction valued at $108.306 mil. TI offered $7. 50 in common stock per GS share.</t>
  </si>
  <si>
    <t>Omniquip International Inc</t>
  </si>
  <si>
    <t>Textron Inc completed its tender offer to acquire all the outstanding common stock of Omniquip International Inc for $21 in cash per share, or a total value of $474.494 mil, including the assumption of approximately $170 mil in liabilities, by accepting 13. 259 mil common shares, or about 93% of the shares.</t>
  </si>
  <si>
    <t>PSInet Inc (PS) acquired Transaction Network Services Inc (TN) in a stock swap transaction valued at $660. 895 mil. PS offered $22.50 in cash and .5 common shares per TN share. Based on PS's closing stock price of $45. 563 on August 20, the last full trading day prior to the announcement, each TN share was valued at $45.282.</t>
  </si>
  <si>
    <t>Suez Lyonnais des Eaux SA acquired the remaining 69.9% interest, or 27.111 mil common shares which it did not already own, in United Water Resources Inc for $35 in cash per share, or a total value of $1.845 bil, including the assumption of $800 mil in liabilities.</t>
  </si>
  <si>
    <t>Aavid Thermal Technologies Inc</t>
  </si>
  <si>
    <t>Mnfr electrical equipment</t>
  </si>
  <si>
    <t>Willis Stein &amp; Partners LP</t>
  </si>
  <si>
    <t>US - Willis Stein &amp; Partners LP acquired all the outstanding stock of Aavid Thermal Technologies Inc, a mnaufacturer of electrical equipment, for $25.50 in cash per share or a total value of $264.088 mil in a leveraged buyout transaction.</t>
  </si>
  <si>
    <t>Periphonics Corp</t>
  </si>
  <si>
    <t>Mnfr,whl telephone systems</t>
  </si>
  <si>
    <t>Nortel Networks Corp</t>
  </si>
  <si>
    <t>Mnfr,whl networking products</t>
  </si>
  <si>
    <t>Nortel Networks Corp (NN) acquired all the outstanding common stock of Periphonics Corp (PC) in a stock swap transaction valued at $398. 518 mil. NN offered $29.23 in common stock per PC share, subject to a collar agreement.</t>
  </si>
  <si>
    <t>Sheridan Energy Inc</t>
  </si>
  <si>
    <t>Oil,gas exploration, prodn</t>
  </si>
  <si>
    <t>Calpine Corp</t>
  </si>
  <si>
    <t>Pvd power generation svcs</t>
  </si>
  <si>
    <t>Calpine Corp merged with Sheridan Energy Inc via its tender offer(SE) for $5.50 in cash per share, or a total value of $37.022 mil, by accepting 6.341 mil common shares, or 94.2% of the company's common stock outstanding. The offer had been conditioned upon at least 50.1% of SE's shares being tendered.</t>
  </si>
  <si>
    <t>East Texas Financial Services</t>
  </si>
  <si>
    <t>An investor group comprised of William D. Vaughan, Earl D. Bellamy, Basin M. Jiishi, and Donald G. Wilson, made an unsolicited offer to acquire the remaining 90.2% interest, or 1.256 mil common shares, that it did not already own, in East Texas Financial Services Inc for $16 in cash per share, or a total value of $20.102 mil.</t>
  </si>
  <si>
    <t>Recovery Engineering Inc</t>
  </si>
  <si>
    <t>Mnfr,whl drinking water sys</t>
  </si>
  <si>
    <t>Procter &amp; Gamble Co (PG) acquired all the outstanding common stock of Recovery Engineering Inc (RE) for $35. 25 in cash per share, or a total value of $276.167 mil. Earlier, PG completed its tender offer for RE by accepting 7.93 mil common shares, or about 97% of RE's shares outstanding. The offer was conditioned upon at least a majority of the shares being tendered on a fully- diluted basis.</t>
  </si>
  <si>
    <t>Cogeneration Corp of America</t>
  </si>
  <si>
    <t>Calpine Corp acquired an 80% interest, or 5.486 mil common shares, in Cogeneration Corp of America for $25 in cash per share, plus the assumption of $80 mil in liabilities or a total value of $217.14 mil.</t>
  </si>
  <si>
    <t>Destia Communications Inc</t>
  </si>
  <si>
    <t>Viatel Inc</t>
  </si>
  <si>
    <t>Viatel Inc (VI) merged with Destia Communications Inc (DC) in a stock swap transaction valued at $713.325 mil. VI offered .445 mil common shares per DC share. Based on VI's closing stock price of $41.875 on August 26, the last full trading day prior to the announcement, each DC share was valued at $18.634.</t>
  </si>
  <si>
    <t>OpenROUTE Networks Inc</t>
  </si>
  <si>
    <t>Mnfr network connectivity prod</t>
  </si>
  <si>
    <t>Netrix Corp</t>
  </si>
  <si>
    <t>Netrix Corp (NC) merged with OpenROUTE Networks Inc (ON) to form Nx Networks in a stock swap transaction valued at $70.187 mil. NC offered 1 common share per ON share. Based on NC's closing stock price of $4.125 on August 26, the last full trading day prior to the announcement, each ON share was valued at $4.125.</t>
  </si>
  <si>
    <t>Smart Choice Automotive Group</t>
  </si>
  <si>
    <t>Whl used motor vehicle parts</t>
  </si>
  <si>
    <t>Crown Group Inc acquired a 53.81% interest in Smart Choice Automotive Group Inc for $23 mil. The consideration consisted of $20 mil for preferred stock and debt convertible into approximately 30 mil common shares, $1 mil for a debenture convertible into 2 mil common shares at a price of $.50 per share, $2 mil in exchange for 4 mil common shares, and an 85% interest in Paaco Automotive Group Inc in exchange for 51 mil common shares.</t>
  </si>
  <si>
    <t>Xomed Surgical Products Inc</t>
  </si>
  <si>
    <t>Mnfr surgical products</t>
  </si>
  <si>
    <t>Medtronic Inc (MI) merged with Xomed Surgical Products Inc (XS) in a stock swap transaction valued at $815. 644 mil. MI offered 1.74723 common shares per XS share. Based on MI's closing stock price of $37.6875 on November 4, the last trading day prior to the amended terms, each XS share was valued at $65.849. The transaction was accounted for as a pooling of interests. Previously, MI definitively agreed to merge with Xomed Surgical Products Inc (XS) in a stock swap transaction valued at $797.596 mil. MI offered $60 in common stock per XS share, subject to a collar agreement. The transaction was to be accounted for as a pooling of interests.</t>
  </si>
  <si>
    <t>Saratoga Bancorp,Saratoga,CA</t>
  </si>
  <si>
    <t>SJNB Financial Corp (SJNB), San Jose, California, acquired Saratoga Bancorp (SB) , in a stock swap transaction valued at $43.119 mil. SJNB offered .7 common share per SB share. Based on SJNB's closing stock price of $33.25 on August 26, the last full trading day prior to the announcement, each SB share was valued at $23.275. The transaction was accounted for as a pooling of interests.</t>
  </si>
  <si>
    <t>Albion Banc Corp</t>
  </si>
  <si>
    <t>Niagara Bancorp Inc,NY</t>
  </si>
  <si>
    <t>US - Niagara Bancorp Inc, Lockport, New York, acquired all the outstanding common stock of Albion Banc Corp, Albion, New York, for $15.75 in cash per share, or a total value of $13.036 mil.</t>
  </si>
  <si>
    <t>CardioThoracic Systems Inc</t>
  </si>
  <si>
    <t>Guidant Corp (GC) acquired CardioThoracic Systems Inc (CS) in a stock swap transaction valued at $315. 854 mil. GC offered $19.50 in common stock per CS share, subject to a collar agreement. The transaction was accounted for as a pooling of interests.</t>
  </si>
  <si>
    <t>An undisclosed investment firm made an unsolicited offer to acquire all the outstanding common stock of Johnston Industries Inc for $3 in cash per share, or a total value of $33.476 mil.</t>
  </si>
  <si>
    <t>North Fork Bancorp (NFB), Melville, New York, acquired Reliance Bancorp Inc (RBI), Garden City, New York, in a stock swap transaction valued at $354.301 mil. NFB offered 2 common shares per RBI share. Based on NFB's closing stock price of $19.062 on August 27, the last full trading day prior to the announcement, each RBI share was valued at $38.124.</t>
  </si>
  <si>
    <t>Tyco International Ltd (TI) acquired all the outstanding common stock of AFC Cable Systems Inc (AFC) in a stock swap transaction valued at an amended $595.606 mil. TI offered 1 common share per AFC share. Based on TI's closing stock price of $44.25 on November 17, the last full trading day prior to the announcement, each AFC share was valued at $44.25. Originally, TI offered $45 in common stock per share. Previously, Thomas &amp; Betts Corp withdrew its agreement to acquire all the outstanding common stock of AFC.</t>
  </si>
  <si>
    <t>Commercial Assets Inc</t>
  </si>
  <si>
    <t>Asset Investors Corp</t>
  </si>
  <si>
    <t>Pvd real estate invest svcs</t>
  </si>
  <si>
    <t>US - Asset Investors Corp (AI) merged with Commercial Assets Inc (CA), a real estate investment trust, for an amended $59.616 mil. AI offered a choice of $5.75 in cash per share or .4075 common shares per CA share. The additional cash portion was limited to 3.55 mil shares of CA common stock. Previously, AI offered .4075 common shares per CA share. Based on AI's closing stock price of $13.50 on August 30, the last full trading day prior to the announcement, each CA share was valued at $5.501. Upon completion, the combined company was to be renamed American Land Lease Inc.</t>
  </si>
  <si>
    <t>Effective Management Sys Inc</t>
  </si>
  <si>
    <t>Dvlp mnfr,bus mgmt software</t>
  </si>
  <si>
    <t>IFS Americas Inc</t>
  </si>
  <si>
    <t>IFS Americas Inc (IFS), a unit of Industrial &amp; Financial Systems AB, acquired all the outstanding common stock of Effective Management Systems Inc (EM) via a tender offer for $4.50 in cash per share, or a total value of $21.738 mil. Previously, IFS completed its tender offer by accepting 4, 007,954 shares, or 97.3% of EM's shares.</t>
  </si>
  <si>
    <t>GP Strategies Corp</t>
  </si>
  <si>
    <t>Provide training,consulting services</t>
  </si>
  <si>
    <t>US - A management-led investor group including Veronis Suhler &amp; Associates Communications Partners III LP, a unit of Veronis Suhler &amp; Associates, withrew plans to acquire all the outstanding common stock of GP Strategies Corp, for $13 per Class A common share and $14.625 per Class B common share, or a total value of $149.664 mil, in a leveraged buyout transaction.</t>
  </si>
  <si>
    <t>US Bancorp (USB), Minneapolis, Minnesota, acquired all the outstanding common stock of Peninsula Bank (PB), San Diego, California, in a stock swap transaction valued at $124.79 mil. USB offered 1.548 common shares per PB share. Based on USB's closing stock price of $30.875 on August 31, the last full trading day prior to the announcement, each PB share was valued at $47.795.</t>
  </si>
  <si>
    <t>Dyckerhoff AG</t>
  </si>
  <si>
    <t>Dyckerhoff AG (DA) acquired all the outstanding common stock of Lone Star Industries Inc for $50 in cash per share, or a total value of $1.075 bil, by accepting 18.701 mil common shares, or about 96.6% of DA's common stock. The offer was conditioned upon at least 50.1% of the shares being tendered on a fully diluted basis.</t>
  </si>
  <si>
    <t>Veritas Capital Fund LP (VC), a unit of Veritas Capital Partners LP, withdrew its agreement to acquire all the outstanding common stock of Advanced Technical Products Inc (AT) for $14.50 in cash per share, or a total value of $80.901 mil. Subsequently, VC and AT entered into a new merger agreement.</t>
  </si>
  <si>
    <t>Digital Link Corp</t>
  </si>
  <si>
    <t>Mnfr,whl digital access prods</t>
  </si>
  <si>
    <t>US - A management-led investor group, formed by Vinita Grupa, acquired the remaining 57.74% interest, or 5.474 mil common shares, that it did not already own on a fully-diluted basis, in Digital Link Corp (DL), a manufacturer and wholesaler of digital access products, for $10.85 in cash per share or a total value of $53.75 mil, in a leveraged buyout transaction. Previously, the investor group completed a tender offer for DL, by accepting 3.615 mil shares, or y accepting 3.615 mil common shares, or 38.14% of DL's total shares outstanding. The offer was conditioned upon at least 40% of DL's shares being tendered.</t>
  </si>
  <si>
    <t>International Telecommun Data</t>
  </si>
  <si>
    <t>Pvd computerized billing svcs</t>
  </si>
  <si>
    <t>Amdocs Ltd</t>
  </si>
  <si>
    <t>Provide customer system svcs</t>
  </si>
  <si>
    <t>Amdocs Ltd (AM) acquired all the outstanding common stock of International Telecommunication Data Systems Inc (IT) in a stock swap transaction valued at $236.811 mil. AM offered . 3717 common shares per TI share. Based on AM's closing stock price of $35.187 on November 30, the last full trading day prior to the announcement of the exact exchange ration, each TI share was valued at $13.079. Originally, AM offered $10.50 in common stock per IT share, subject to a collar which was subsequently breached.</t>
  </si>
  <si>
    <t>American Bancshares Inc,FL</t>
  </si>
  <si>
    <t>Gold Bank Corp Inc (GBI), Leawood, Kansas, acquired American Bancshares Inc (ABI), Brandelton, Florida, in a stock swap transaction valued at $92.772 mil. GBC offered $18.18 in common stock per ABI share. The transaction was to be accounted for as a pooling of interests.</t>
  </si>
  <si>
    <t>Wireless Telecom Group Inc</t>
  </si>
  <si>
    <t>Mnfr wireless test instr,sys</t>
  </si>
  <si>
    <t>Wireless Telecom Group Inc (WT) withdrew its definitive agreement to acquire Boonton Electronics Corp (BE) in a stock swap transaction valued at $6.308 mil. WT offered 1.4 common shares per BE share. Based on WT's closing stock price of $1.875 on September 3, the last full trading day prior to the announcement, each BE share was valued at $2.625.</t>
  </si>
  <si>
    <t>Pvd cable tv,advg svcs</t>
  </si>
  <si>
    <t>Viacom Inc (VI), a majority- owned unit of National Amusements Inc, merged with CBS Corp (CB) in a stock swap transaction valued at $39.434 bil. VI offered 1.085 Class B common shares per CB share. Based on VI's closing stock price of $45.0625 on September 3, the last full trading day prior to the announcement, each CB share was valued at $48.89 per share. Upon completion, the combined company was renamed VI.</t>
  </si>
  <si>
    <t>Patapsco Valley Bancshares Inc</t>
  </si>
  <si>
    <t>US - F&amp;M Bancorporation (FM), Frederick, Maryland, acquired Patapsco Valley Bancshares Inc (PVB), Elliot City, Maryland, a commercial bank, in a stock swap transaction valued at $46.542 mil. FM offered 1.18 common shares per PVB share. Based on FM's closing stock price of $28.875 on September 3, the last full trading day prior to the announcement, each PVB share had an indicated value of $34.073. The transaction was to be accounted for as a pooling of interests.</t>
  </si>
  <si>
    <t>Hilton Hotels Corp (HHC) acquired all the outstanding common stock of Promus Hotel Corp (PHC) for $3.643 bil, including the assumption of $800 mil in liabilities. HHC offered a choice of $38.50 in cash or 3.2158 common shares per PHC share, subject to proration to ensure that 55% percent of PHC shares were converted into cash and the remaining 45% percent were converted into HHC common stock. Originally, HHC offered a choice of $38.50 in cash or common stock, subject to a collar agreement that was subsequently breached.</t>
  </si>
  <si>
    <t>Applied Digital Access Inc</t>
  </si>
  <si>
    <t>Mnfr telephone test equipment</t>
  </si>
  <si>
    <t>Dynatech Corp (DC) acquired all the outstanding common stock of Applied Digital Access Inc (AD) for $5.37 in cash per share, or a total value of $79.147 mil. Earlier, DC completed its tender offer for AD by accepting 12, 165,489 shares, or 92.5% of AD's shares. The offer was conditioned upon at least 50% of AD's shares being tendered on a fully diluted basis.</t>
  </si>
  <si>
    <t>Apex Mortgage Capital Inc</t>
  </si>
  <si>
    <t>Mortgage securities finance co</t>
  </si>
  <si>
    <t>Apex Mortgage Capital Inc (AMC) made an unsolicited challenging offer to acquire Impac Commercial Holdings Inc (ICH) in a stock swap transaction valued at $59.691 mil. AMC offered .60328 common shares per ICH share. Based on AMC's closing stock price of $11.75 on September 7, the last full trading day prior to the announcement, each ICH share was valued at $7.089. Previously, Amresco Capital Trust (ACT) definitively agreed to acquire ICH in a stock swap transaction valued at $55.644 mil. ACT withdrew that agreement in January 2000.</t>
  </si>
  <si>
    <t>IMPCO Technologies Inc</t>
  </si>
  <si>
    <t>Mnfr,whl fuel mgmt sys</t>
  </si>
  <si>
    <t>Beru AG</t>
  </si>
  <si>
    <t>Beru AG withdrew its unsolicited bid to acquire all the outstanding common stock of IMPCOTechnologies Inc, via a tender offer for $14 in cash per share, or a total value of $124.728 mil.</t>
  </si>
  <si>
    <t>Fall River Gas Co</t>
  </si>
  <si>
    <t>US - Southern Union Co merged with Fall River Gas Co in a stock swap transaction valued at $51.599 mil. UA offered a choice of $23.50 in cash or common stock per FR share. Originally in September 1999, FR reported receiving an unsolicited offer from an undisclosed acquiror.</t>
  </si>
  <si>
    <t>Novacare Employee Services Inc</t>
  </si>
  <si>
    <t>Pvd help supply services</t>
  </si>
  <si>
    <t>An investor group, including Patricof &amp; Co Ventures Inc, Fidelity Ventures Inc, and AFLAC Inc, acquired all the outstanding common stock of NovaCare Employee Services Inc (NE), a majority-owned unit of NovaCare Inc (NI), for $2.50 in cash per share, or a total value of $72.553 mil. Earlier the group completed its tender offer by accepting 29.1 mil common shares, or about 96.5% of NE's common stock. Originally, in August 1999, NI announced that it was seeking a buyer for its 64% interest in NE.</t>
  </si>
  <si>
    <t>Premark International Inc</t>
  </si>
  <si>
    <t>Mnfr food equipment</t>
  </si>
  <si>
    <t>Illinois Tool Works Inc (ITW) acquired Premark International Inc (PII) in an amended stock swap transaction valued at $3.62 bil. ITW offered .8081 common shares per PII common share. Based on ITW's closing stock price of $67.375 on November 22, the last full trading day prior to the announcement, each PII share was valued at $54.446. Previously, ITW agreed to acquire PII for $55 in common stock per share, or a total value of $3.658 bil, subject to a collar agreement.</t>
  </si>
  <si>
    <t>Grand Premier Financial Inc</t>
  </si>
  <si>
    <t>Old Kent Financial Corp (OK), Grand Rapids, Michigan, acquired Grand Premier Financial Inc (GP), Wauconda, Illinois, in a stock swap transaction valued at $392. 746 mil. OK offered .4231 common shares per GP share. Based on OK's closing stock price of $39.375 on September 9, the last full trading day prior to the announcement, each GP share was valued at $16.66.</t>
  </si>
  <si>
    <t>Herbalife International Inc</t>
  </si>
  <si>
    <t>Whl vitamins,minerals</t>
  </si>
  <si>
    <t>MH Millenium Holdings LLC</t>
  </si>
  <si>
    <t>MH Millenium Holdings LLC, a company formed by Herbalife International Inc's (HII) CEO, Mark Hughes, terminated its tender offer to acquire all the outstanding common stock of HI for $17 in cash per share, or a total value of $559.642 mil, in a leveraged buyout transaction. The offer was conditioned upon at least a majority of HII's shares being tendered.</t>
  </si>
  <si>
    <t>Smart Modular Technologies Inc</t>
  </si>
  <si>
    <t>Mnfr memory modules</t>
  </si>
  <si>
    <t>Solectron Corp</t>
  </si>
  <si>
    <t>Solectron Corp (SC) acquired all the outstanding common stock of Smart Modular Technologies Inc (SM) in a stock swap transaction valued at $1.938 bil. SC offered .51 common shares per SM share. Based on SC's closing stock price of $77.50 on September 10, the last full trading day prior to the announcement, each SM share was valued at $39.525. The transaction was accounted for as a pooling of interests.</t>
  </si>
  <si>
    <t>Align-Rite International Inc</t>
  </si>
  <si>
    <t>Mnfr pressed,blown glass</t>
  </si>
  <si>
    <t>Photronics Inc</t>
  </si>
  <si>
    <t>Mnfr reticles,photomasks</t>
  </si>
  <si>
    <t>Photronics Inc (PI) acquired Align-Rite International Inc (AR) in a stock swap transaction valued at a sweetened $116.851 mil, subject to a collar agreement. PI offered .85 common shares per AR share. Based on PI's closing stock price of $27. 593 on January 7, the last full trading day prior to the amendment of the terms, each AR share was valued at $23. 454. Originally, PI agreed to acquire AR in a stock swap transaction valued at $114. 987 mil, subject to a collar agreement. PI offered $23.09 in common stock per AR share. The transaction was to be accounted for as a pooling of interests.</t>
  </si>
  <si>
    <t>Kohlberg Kravis Roberts &amp; Co (KKR) acquired a 90% interest, or 5,174,594 common shares, in Alliance Imaging Inc (Alliance), a majority-owned unit of the Newport Investment LLC (Newport) unit of Apollo Advisors LP's Apollo Management LP subsidiary, for $55 in cash per share, or a total value of $821.603 mil, including the assumption of $537 mil in liabilities, in a secondary buyout transaction. Previuosly, Newport acquired a 95% interest in Alliance in a leveraged buyout transaction.</t>
  </si>
  <si>
    <t>US - Hudson United Bancorp (HU), Mahwah, New Jersey, terminated its definitive agreement to merge with Dime Bancorp Inc (DB), New York, New York, to form Dime United Bancorp Inc (DUB) in a stock swap transaction valued at an amended $2.228 bil. HU common shareholders were to receive 1 DUB common share per share held and DB common shareholders were to receive . 60255 common shares per share held. Based on HU's closing stock price of $32.0625 on November 16, the last full trading day prior to the announcement, each DB share was valued at $19.319. The transaction was to be accounted for as a pooling of interests. Upon completion of the reverse takeover, HU was to hold 44% in DUB and DB was to hold the remaining 56%. Originally in September 1999, DB common shareholders were to receive .60255 common shares per share held. Subsequently, North Fork Bancorp terminated its unsolicited challenging offer to acquire all the outstanding common stock of DB. HU will receive between $50 mil and $92 mil if DB merges with or sells substantial assets to another company by October 28. HU will receive a fee of $15 mil if the merger is terminated.</t>
  </si>
  <si>
    <t>Mnfr communications systems</t>
  </si>
  <si>
    <t>Motorola Inc (MI) acquired General Instrument Corp (GI) in a stock swap transaction valued at $10.936 bil. MI offered .575 common shares per GI share. Based on MI's closing stock price of $93. 1875 on September 14, the last full trading day prior to the announcement, each GI share was valued at $53.58.</t>
  </si>
  <si>
    <t>Mt Diablo Bancshares Inc</t>
  </si>
  <si>
    <t>Greater Bay Bancorp (GB), Palto Alto, California, acquired Mt Diablo Bancshares Inc (MD), Danville, California in a stock swap transaction valued at $48.787 mil. GB offered .9532 common shares per MD share. Based on GB's closing stock price of $42.125, on January 31, the last full trading day prior to the announcement of the exact exchange ratio, each MD share was valued at $40.154. Originally, GB offered .975 common shares per MD share, subject to a collar agreement which was subsequently breached. Subsequently, GB definitively agreed to merge with Bank of Santa Clara (BS), Santa Clara, California , in a stock swap transaction valued at $87.541 mil, subject to a collar agreement. Upon completion, BS was to own 11% of GB's common stock outstanding, assuming GB completes the previously announced agreements to acquire MD and Coast Bancorp, Santa Cruz, California.</t>
  </si>
  <si>
    <t>Northern Bank of Commerce,OR</t>
  </si>
  <si>
    <t>Cowlitz Bancorp</t>
  </si>
  <si>
    <t>US - Cowlitz Bancorp (Cowlitz) withdrew its plans to acquire the entire share capital of  Northern Bank of Commerce (Northern), a Portland -based commercial bank, in a stock swap transaction valued at USD 56. 117 mil. The consideration consisted of USD 2 mil in cash and .82584 Cowlitz common shares per Northern share. Based on Cowlitz' closing stock price of USD 52. 19, the last full trading day prior to the announcement, each Northern share was valued at USD 43.10.</t>
  </si>
  <si>
    <t>Visio Corp</t>
  </si>
  <si>
    <t>Develop,whl drawing software</t>
  </si>
  <si>
    <t>Microsoft Corp</t>
  </si>
  <si>
    <t>Microsoft Corp (MC) acquired all the outstanding common stock of Visio Corp (VC) in a stock swap transaction valued at $1.375 bil. MC offered VC . 45 common shares per VC share. Based on MC's closing stock price of $95.063 on September 14, the last full trading day prior to the announcement, each VC share was valued at $42.778. The transaction was accounted for as a pooling of interests.</t>
  </si>
  <si>
    <t>AdForce Inc</t>
  </si>
  <si>
    <t>Pvd Internet advertising svcs</t>
  </si>
  <si>
    <t>CMGI Inc</t>
  </si>
  <si>
    <t>CMGI Inc (CM) acquired all the outstanding common stock of AdForce Inc (AF) in a stock swap transaction valued at $419.036 mil. CM offered . 262 common shares per AF share. Based on CM's closing stock price of $80 on September 17, the last full trading day prior to the announcment, each AF share was valued at $20.96.</t>
  </si>
  <si>
    <t>US - Voicestream Wireless (VC) merged with Aerial Communications Inc (AC), a majority owned unit of Telephone and Data Systems Inc, in a stock swap transaction valued at $1.863 bil. VC offered .455 common shares per AC share. Based on VC's closing stock price of $56.063 on September 17, the last full trading day prior to the announcement, each AC share was valued at $25.509. Alternatively, VC offered $18 in cash per share. Upon completion, AC was to be a privately held, wholly owned unit of VC.</t>
  </si>
  <si>
    <t>US - Micro Component Technology Inc (MC) acquired all the outstanding common stock of Aseco Corp (AC), a manufacturer and wholesaler of test handlers used to automate the testing of integrated circuits in surface mount packages, in a stock swap transaction valued at $19.823 mil. MC offered . 633 common shares per AC share. Based on MC's closing stock price of $7 on January 31, the last full trading day prior to the announcement of the exchange ratio and completion, each AC share was valued at $4.43.</t>
  </si>
  <si>
    <t>El Paso Energy Corp acquired all the outstanding common stock of Bonneville Pacific Corp for an estimated $63 mil.</t>
  </si>
  <si>
    <t>Diatide Inc</t>
  </si>
  <si>
    <t>Mnfr imaging,therapeutic drugs</t>
  </si>
  <si>
    <t>Schering Berlin Inc, a unit of Schering AG, acquired all the outstanding common stock of Diatide Inc (DI) for $9.5 in cash per share, or a total value of $126.081 mil. Earlier, SB completed it tender offer to acquire DI by accepting 11.2 mil shares, or about 78.74% of DI's shares on a fully-diluted basis. The offer had been conditioned upon at least a majority of DI's shares being tendered on a fully-diluted basis.</t>
  </si>
  <si>
    <t>Furon Co Inc</t>
  </si>
  <si>
    <t>Mnfr highly engineered prods</t>
  </si>
  <si>
    <t>Cie de Saint Gobain SA (CSG) aquired all the outstanding common stock of Furon Co Inc (FC) for $25.5 in cash per share, or a total value of $615.99 mil, including the assumption of $116 mil in liabilities, Earlier, CSG completed its tender offer for FC by accepting 17.769 mil common shares, or 96% of FC's common stock. The offer was conditioned upon at least 90% of FC's shares being tendered.</t>
  </si>
  <si>
    <t>Guarantee Life Companies Inc</t>
  </si>
  <si>
    <t>Life insurance co;holding co</t>
  </si>
  <si>
    <t>Jefferson-Pilot Corp</t>
  </si>
  <si>
    <t>Jefferson-Pilot Corp (JP) acquired all the outstanding common stock of Guarantee Life Company (GL) for an amended $32 in cash per share, or a total value of $309.59 mil. Previously, JP agreed to acquire all the outstanding common stock of GL in a stock swap transaction valued at $424.587 mil, including the assumption of $115 mil in liabilities. JP offered $16 in cash and .237 common shares per GL share. Based on JP's closing stock price of $67.50 on September 17, the last full trading day prior to the announcement, each GL share was valued at $31.998.</t>
  </si>
  <si>
    <t>Nichols Research Corp</t>
  </si>
  <si>
    <t>Pvd dvlp,scientific appl svcs</t>
  </si>
  <si>
    <t>Computer Sciences Corp (CS) merged with Nichols Research Corp (NR) in a stock swap transaction valued at $400. 851 mil. CS offered .423 common shares per NR share, subject to a collar agreement. Based on CS's closing stock price of $64.438 on September 17, the last full trading day prior to the announcement, each NR share was valued at $27.257. The transaction was accounted for as a pooling of interests.</t>
  </si>
  <si>
    <t>Tivoli Industries Inc</t>
  </si>
  <si>
    <t>Mnfr nonres electric lighting</t>
  </si>
  <si>
    <t>Targetti Sankey SpA</t>
  </si>
  <si>
    <t>Mnfr lighting,hldg co</t>
  </si>
  <si>
    <t>Targetti Sankey SpA acquired all the outstanding common stock of Tivoli Industries Inc, for $4.5 per share, or a total value of $7.17 mil.</t>
  </si>
  <si>
    <t>Trigen Energy Corp</t>
  </si>
  <si>
    <t>Operate co-generation plants</t>
  </si>
  <si>
    <t>Elyo</t>
  </si>
  <si>
    <t>Pvd waste &amp; energy services</t>
  </si>
  <si>
    <t>Elyo (E), a unit of Suez Lyonnaise des Eaux SA, withdrew its offer to acquire the remaining 47.3% interest, or 5,844,948 common shares it did not already own in Trigen Energy Corp (TEC), for $22 in cash per share or a total value of $132.703 mil. Subsequently, E definitively agreed to acquire the remaining 47.3% stake in TEC for $23.5 in cash per share.</t>
  </si>
  <si>
    <t>Three Rivers Financial Corp</t>
  </si>
  <si>
    <t>Peoples Bancorp,Auburn,Indiana</t>
  </si>
  <si>
    <t>Peoples Bancorp Indiana (PBI) acquired Three Rivers Financial Corp (TRF) in a stock swap transaction valued at $13.209 mil. PBI offered 1. 08 common shares per TRF share. Based on PBI's closing stock price of $17 on September 20, the last full trading day prior to the announcement, each TRF share was valued at $18.36.</t>
  </si>
  <si>
    <t>Laser Power Corp</t>
  </si>
  <si>
    <t>Mnfr laser optics</t>
  </si>
  <si>
    <t>II-VI Inc</t>
  </si>
  <si>
    <t>Manufacture,wholesale electro-optical products</t>
  </si>
  <si>
    <t>II-IV Inc (IV) acquired Laser Power Corp (LP) in a stock swap transaction valued at $38.931 mil. IV offered a sweetened $4.32 in cash and common stock per LP share. Previously, IV offered $3 per LP share.</t>
  </si>
  <si>
    <t>City National Corp</t>
  </si>
  <si>
    <t>City National Corp (CNC), Beverly Hills, California, acquired all the outstanding common stock of Pacific Bank NA (PB), San Francisco, California, for a choice of $29 in cash, common stock, or a combination of both, per PB share, or a total value of $145 mil, subject to a collar agreement. CNC paid 47% of the consideration in common stock and 53% of the consideration in cash.</t>
  </si>
  <si>
    <t>US Bioscience Inc</t>
  </si>
  <si>
    <t>MedImmune Inc</t>
  </si>
  <si>
    <t>Mnfr vaccines,pvd research svc</t>
  </si>
  <si>
    <t>MedImmune Inc (MI) acquired US Bioscience Inc (UB) in a stock swap transaction valued at $418.873 mil. MI offered . 15 common shares per UB share; subject to a collar agreement. Based on MI's closing stock price of $102. 063 on September 21, the last full trading day prior to the announcement, each UB share was valued at $15.31. The transaction was be accounted for as a pooling of interests.</t>
  </si>
  <si>
    <t>MindSpring Enterprises Inc</t>
  </si>
  <si>
    <t>MindSpring Enterprises Inc (ME) merged with EarthLink Network Inc (EN) to form EarthLink (EL) in a merger-of- equals stock swap transaction valued at $2.342 bil. EN common shareholders were to receive 1.615 EL common shares and ME common shareholders were to receive 1 EL common share per share held. Based on ME's closing stock price of $32.875 on September 22, the last full trading day prior to the announcement, each EN share was valued at $53.093. The transaction was accounted for as a pooling of interests.</t>
  </si>
  <si>
    <t>Litchfield Financial Corp</t>
  </si>
  <si>
    <t>Textron Financial Corp</t>
  </si>
  <si>
    <t>US - Textron Financial Corp (TFC), a unit of Textron Inc, acquired all the outstanding common stock of Litchfield Financial Corp (LFC), Williamstown, Massachussets, for $24.5 in cash per share, or a total value of $171.253 mil. Earlier, TFC completed its tender offer to acquire LFC, by accepting 6,582,848 common shares, or 94% of the company's common stock outstanding. The offer was conditioned upon at least 66. 66% of the shares being tendered.</t>
  </si>
  <si>
    <t>Medical Graphics Corp</t>
  </si>
  <si>
    <t>Mnfr cardio monitoring sys</t>
  </si>
  <si>
    <t>Angeion Corp</t>
  </si>
  <si>
    <t>Mnfr,whl med devices</t>
  </si>
  <si>
    <t>Angeion Corp acquired all the outstanding common stock of Medical Graphics Corp for $2.15 per share, or a total value of $18.695 mil.</t>
  </si>
  <si>
    <t>Miller Building Systems Inc</t>
  </si>
  <si>
    <t>Mnfr factory-built buildings</t>
  </si>
  <si>
    <t>Modtech Holdings Inc</t>
  </si>
  <si>
    <t>Mnfr modular classrooms</t>
  </si>
  <si>
    <t>Modtech Inc (MI) terminated its agreement to merge with Miller Building Systems Inc (MBS) in a stock swap transaction valued at $25.898 mil. MI offered .8 common shares and $1 cash per MBS share. Based on MI's closing stock price of $7.687, each MBS share was valued at $7.15.</t>
  </si>
  <si>
    <t>Unicom Corp</t>
  </si>
  <si>
    <t>Electric utility;hldg company</t>
  </si>
  <si>
    <t>PECO Energy Co</t>
  </si>
  <si>
    <t>Peco Energy Co (PE) merged with Unicom Corp (UC) to form Exelon Corp (EC) in a stock swap merger-of-equals transaction valued at an amended $7.386 bil. UC common shareholders were to receive $3 in cash and .875 EC common shares per share held and PC common shareholders received 1 EC share per share held. Based on PC's closing stock price of $35.3125 on January 6, the last full trading day prior to the amendment, each UC share was valued at $33. 898. Originally, UC shareholders were to receive a choice of $42.75 in cash per share, subject to proration, or .95 EC common shares per share held and PC shareholders were to receive $45 in cash, subject to proration, or 1 EC share per share held. Subsequently, PE's board authorized the repurchase of $500 mil of the company's common stock outstanding while UC's board authorized the repurchase of $1 bil of the company's common stock outstanding to increase shareholder value. The repurchases are to be completed prior to the closing of the merger and were authorized so fewer EC shares would have to be issued in the merger.</t>
  </si>
  <si>
    <t>Nueva Grupo Mexico SA de CV</t>
  </si>
  <si>
    <t>Mining investment holding co</t>
  </si>
  <si>
    <t>US - Nueva Grupo Mexico SA de CV (GM) acquired the remaining 90.2% interest, or 35.883 mil common shares, which it did not already own, in ASARCO Inc (AI) for a twice sweetened $29.75 in cash per share, or a total value of $1.073 bil. Earlier, GM completed a challenging tender offer by accepting 32, 573,446 common shares, or 87. 91% of the remaining common shares. Previously, GM offered $29.5 in cash per share and $26 in cash per share. The offer was conditioned upon at least 80% of the shares being tendered on a fully-diluted basis. Previously, Phelps Dodge Corp withdrew its offer to launch a tender offer to acquire AI. Originally, AI agreed to merge with Cyprus Amax Minerals Co in a merger-of- equals transaction, which was later withdrawn.</t>
  </si>
  <si>
    <t>Walden Residential Properties</t>
  </si>
  <si>
    <t>Olympus Real Estate Corp</t>
  </si>
  <si>
    <t>Olympus Real Estate Corp (ORE), a unit of Hicks Muse Tate &amp; Furst Inc, merged with Walden Residential Properties Inc (WRP) for $23.25 in cash per share, or a total value of $1.722 bil, including the assumption of $835 mil in liabilities. Originally, in June 1999, WRP announced that it was seeking a buyer the company.</t>
  </si>
  <si>
    <t>Global Employment Solutions</t>
  </si>
  <si>
    <t>US - Global Employment Solutions Inc, a joint- venture between KRG Capital Partners LLC and Fasturn Inc, through Team Acquisition Inc, terminated its agreement to acquire all the outstanding common stock of Team America Corp (TA) for $7.75 in cash per share, or a total value of $34.509 mil. Subsequently, an investor group, including Mr. S Cash Nickerson and Muchocode.com (MC), withdrew its unsolicited offer to acquire all the outstanding common stock of TA for $6 in cash per share, or a total value of $25.631. Alternatively, the group offered $6 in a combination of cash and MC common shares.</t>
  </si>
  <si>
    <t>Geerlings &amp; Wade Inc</t>
  </si>
  <si>
    <t>Ret wine via catalogs,Internet</t>
  </si>
  <si>
    <t>Liquid Holdings Inc</t>
  </si>
  <si>
    <t>Wholesale wine</t>
  </si>
  <si>
    <t>Liquid Holdings Inc terminated its agreement to acquire all the outstanding common stock of Geerlings &amp; Wade Inc for $10 in cash per share, or a total value of $40.352 mil.</t>
  </si>
  <si>
    <t>Genesys Telecommun Labs</t>
  </si>
  <si>
    <t>Dvlp interaction mgmt software</t>
  </si>
  <si>
    <t>Alcatel SA (AS) acquired all the outstanding common stock of Genesys Telecommunications Laboratories Inc (GT) in a stock swap transaction valued at an amended $1.772 bil. AS offered 1.274 American Depository shares per GT share, subject to a collar agreement. Based on AS' closing stock price of $40. 875 on January 19, the last full trading day prior to the announcement of the final terms, each GT share was valued at $52.08.</t>
  </si>
  <si>
    <t>Chase Manhattan Corp, New York, New York (CM) acquired all the outstanding common stock of Hambrecht &amp; Quist Group Inc (HQ) for $50 in cash per share, or a total value of $1.368 bil. Earlier, CM completed its tender offer by accepting 23,429,079 shares, or 95.85% of HQ's shares. The offer was conditioned upon at least 50% of the shares being tendered on a fully diluted basis. Upon Completion, HQ was renamed Chase H&amp;Q. Originally, HQ was to be named Chase Securities West.</t>
  </si>
  <si>
    <t>LADD Furniture Inc</t>
  </si>
  <si>
    <t>Mnfr household furniture</t>
  </si>
  <si>
    <t>La-Z-Boy Inc</t>
  </si>
  <si>
    <t>Mnfr,whl residential furniture</t>
  </si>
  <si>
    <t>La-Z-Boy Inc (LZ) acquired LADD Furniture Inc (LF) in a stock swap transaction valued at $294.424 mil, including the assumption of $101.5 mil in liabilities. LZ offered 1. 18 common shares per LF share. Based on LZ's closing stock price of $20.25 on September 27, the last full trading day prior to the announcement, each LF share was valued at $23.895.</t>
  </si>
  <si>
    <t>Ragen MacKenzie Group Inc</t>
  </si>
  <si>
    <t>Pvd securities &amp; invest svcs</t>
  </si>
  <si>
    <t>Wells Fargo &amp; Co (WFC), San Francisco, California, acquired all the outstanding common stock of Ragen Mackenzie Group Inc (RMG) in a stock swap transaction valued at $245.484 mil. WFC offered $18.75 in common stock per RMG share.</t>
  </si>
  <si>
    <t>FlyCast Communications</t>
  </si>
  <si>
    <t>Prvds Web advertising managmnt</t>
  </si>
  <si>
    <t>CMGI Inc (CMG) acquired Flycast Communications Corp (FCC) in a stock swap transaction valued at $1.786 bil. CMG offered an amended . 9476 common shares for each FCC share. Based on CMG's closing stock price of $129. 75 on January 13, the last full trading day prior to the amendment, each FCC share was valued at $122.951. Previously, CMG offered .474 common shares for each FCC share.</t>
  </si>
  <si>
    <t>Harvest Home Financial Corp</t>
  </si>
  <si>
    <t>Peoples Bldg Loan &amp; Savings</t>
  </si>
  <si>
    <t>US - Peoples Building Loan &amp; Savings Co (PB), known as Peoples Community Bancorp (PC) post-IPO, acquired all the outstanding common stock of Harvest Home Financial Corp (HH) for an estimated $9 in cash and .9 new PC common shares per share, or a total value of $15.755 mil. Previously, PB acquired all the oustanding stock of Oakley Improved Building and Loan Co, changed its name to PC and went public on the Nasdaq market. Immediated following the IPO, PC acquired HH. The shares were valued based on PC's IPO price of $10 on March 29, the first full day of trading.</t>
  </si>
  <si>
    <t>M/A/R/C Group</t>
  </si>
  <si>
    <t>Provide market research svcs</t>
  </si>
  <si>
    <t>Omnicom Group Inc</t>
  </si>
  <si>
    <t>Advertising Agencies</t>
  </si>
  <si>
    <t>Omnicom Group Inc (OG) acquired M/A/R/C Inc (M) for $20 in cash per share, or a total value of $112.521 mil. Previously, OG, completed its tender offer to acquire all the outstanding common stock of M by accepting 4.7 mil common shares, or 89.65% of M's common stock. The offer was conditioned upon at least 66.67% of the shares being tendered.</t>
  </si>
  <si>
    <t>Multigraphics Inc</t>
  </si>
  <si>
    <t>Paragon Group of Cos PLC</t>
  </si>
  <si>
    <t>US - Paragon Corporate Holdings Inc, a unit of NES Group Inc, acquired all the outstanding stock of Multigraphics Inc, a manufacturer of printing and graphics equipment, for $1.25 in cash per share, or a total value of $3.542 mil.</t>
  </si>
  <si>
    <t>Worthington Foods Inc</t>
  </si>
  <si>
    <t>Produce egg substitutes</t>
  </si>
  <si>
    <t>Kellogg Co</t>
  </si>
  <si>
    <t>Produce,whl cereal,cookies</t>
  </si>
  <si>
    <t>Kellogg Co acquired Worthington Foods Inc for $24 in cash per share, or a total value of $307.5 mil.</t>
  </si>
  <si>
    <t>AMFM Inc</t>
  </si>
  <si>
    <t>US - Clear Channel Communications Inc (CC) merged with AMFM Inc (AM) in a stock swap transaction valued at $23.112 bil, including the assumption of $6.1 bil in liabilities. CC offered 0.94 common shares per AM share. Based on CC's closing stock price of $80. 375 on October 1, the last full trading day prior to the announcement, each AM share was valued at $75.553. Upon completion, CC was to own 63% and AM the remaining 37% of the combined company, which was to retain the Clear Channel Communications name. Subsequently, CC and AM were required to divest 99 radio stations in order to gain approval from the Department of Justice for the pending merger of AM and CC.</t>
  </si>
  <si>
    <t>NMBT Corp,New Milford,CT</t>
  </si>
  <si>
    <t>Summit Bancorp, Princeton, New Jersey (SB), merged with NMBT Corp, New Milford, Connecticut (NM), in a stock swap transaction valued at $72.130 mil. SB offered .9503 common shares per NM share. Based on SB's closing stock price of $26.312 on March 28, the last full trading day prior to the announcement of the exact exchange ratio, each NM share was valued at $25.004. Originally, SB offered $26 in common stock per NM share, subject to a collar agreement, which was subsequently breached.</t>
  </si>
  <si>
    <t>Newmark Homes Corp</t>
  </si>
  <si>
    <t>Design single-family homes</t>
  </si>
  <si>
    <t>Technical Olympic SA</t>
  </si>
  <si>
    <t>Greece</t>
  </si>
  <si>
    <t>Technical Olympic SA acquired a 80% interest, or 9. 2 mil common shares, in Newmark Homes Corp, a majority-owned unit of the Pacific Realty Group Inc subsidiary of Pacific Electric Wire &amp; Cable Co's Pacific USA Holding Corp unit, for $9.35 in cash per share, or a total value of $246.02 mil including the assumption of $160 mil in liabilities.</t>
  </si>
  <si>
    <t>Preview Travel Inc</t>
  </si>
  <si>
    <t>Pvd online travel agency svcs</t>
  </si>
  <si>
    <t>Travelocity.com Inc</t>
  </si>
  <si>
    <t>Travelocity.com, a unit of AMR Corp's majority-owned Sabre Holdings Corp (SHC) subsidiary, acquired all the outstanding common stock of Preview Travel Inc (PT) for $660.493 mil to form a new Travelocity.com Inc (TCI). PT shares were exchanged into TCI shares on a 1 for 1 basis. Upon completion, SHC held 70% of the new company and former PT shareholders held 30% of the new company. The shares were valued based on TCI's closing stock price of $43.875 on March 8, the first full trading day on which the shares traded.</t>
  </si>
  <si>
    <t>North Valley Bancorp</t>
  </si>
  <si>
    <t>North Valley Bancorp (NV), Redding, California, definitively agreed to acquire Six Rivers National Bank (SR), Eureka, California, in a stock swap transaction valued at $26.09 mil. NV offered 1.4 common shares per SR share. The shares were valued based on NV's closing stock price of $12.75 on October 10, the last full trading day prior to the announcement of the exact exchange ratio. Originally, NV offered $17.50 in common stock per SR share, subject to a collar agreement which was subsequently breached. The transaction was accounted for as a pooling of interests. Subsequently, Scott Valley Bank planned to acquire the 234 Main Street branch, located in Yreka, California, from SR, a comercial bank.</t>
  </si>
  <si>
    <t>BellSouth Corp (BC) terminated negotiations to acquire all the outstanding common stock of Sprint Corp (SC). BC had been rumoured to be in negotiations to acquire SC. Previosuly, MCI Worldcom Inc withdrew its offer to acquire SC.</t>
  </si>
  <si>
    <t>TV Guide(Tele-Communications)</t>
  </si>
  <si>
    <t>Gemstar International Group Ltd (GIG) acquired TV Guide Inc (TVG) in a stock swap transaction valued at $9.085 bil, including the assumption of $600 mil in liabilities. GIG offered .6573 common shares per TVG share. Based on GIG's closing stock price of $83.625 on October 1, the last full trading day prior to the announcement, each GIG share was valued at $54.967. Upon completion, GIG changed its name to Gemstar-TV Guide International Inc.</t>
  </si>
  <si>
    <t>CombiChem</t>
  </si>
  <si>
    <t>Pvd pharm research services</t>
  </si>
  <si>
    <t>EI Du Pont de Nemours and Co acquired the entire share capital of CombiChem Inc (CC) via its tender offer for $6. 75 in cash per share, or a total value of $93.472 mil, by accepting approximately 13, 084,905 common shares, or about 97% of the company's common stock outstanding. The offer was conditioned on at least a majority of CC's shares being tendered.</t>
  </si>
  <si>
    <t>FOCUS Enhancements Inc</t>
  </si>
  <si>
    <t>Provide video production svcs</t>
  </si>
  <si>
    <t>Faroudja Inc</t>
  </si>
  <si>
    <t>Mnfr audio and video equipment</t>
  </si>
  <si>
    <t>Faroudja Inc (FI) withdrtew its letter of intent to merge with Focus Enhancements Inc (FEI) in a stock swap transaction valued at $33.887 mil. FI offered .58 common shares per FEI share. Based on FI's closing stock price of $3 on October 4, the last full trading day prior to the announcement, each FEI share was valued at $1.74.</t>
  </si>
  <si>
    <t>UICI</t>
  </si>
  <si>
    <t>Pvd insurance svcs</t>
  </si>
  <si>
    <t>US - UICI (UI) terminated its agreement to merge with HealthPlan Services Corp (HS) in a stock swap transaction valued at an amended $121.12 mil. UI offered an amended estimated $8.75 in convertible preferred stock per share. Originally UI offered $8.80 in common stock per HS share, subject to a collar agreement, but its stock price subsequently plunged.</t>
  </si>
  <si>
    <t>MCN Energy Group Inc</t>
  </si>
  <si>
    <t>Gas distribution holding co</t>
  </si>
  <si>
    <t>DTE Energy Co</t>
  </si>
  <si>
    <t>US - DTE Energy Co (DTE) acquired all the outstanding common stock of MCN Energy Group Inc (MCN), a gas distribution holding company, in a stock swap transaction valued at an amended $4.185 bil, including the assumption of $2 bil in liabilities. DTE offered a choice of .715 common shares or $24 in cash per MCN share. Based on MCN's closing stock price of $35.67 on February 27, the last full trading day prior to the amendment, each DTE share was valued at $25.504. Upon announcement of the amended terms, boards of both companies had already granted approval. Originally, DTE offered a choice of .775 common shares or $28.50 in cash per share. Based on DTE's closing stock price of $37 on October 4, the last full trading day prior to the announcement, each MCN share was valued at $28.675.</t>
  </si>
  <si>
    <t>MCI Worldcom Inc (MCI) withdrew its agreement to acquire Sprint Corp (SC) in a stock swap transaction valued at $113.644 bil. MCI offered $76 in common stock per Sprint FON Group share, subject to a collar agreement, and .1547 common share and 1 new MCI PCS tracking share per Sprint PCS Group share. Based on MCI's closing stock price of $71.625 on October 4, the last full trading day prior to the announcement, each Sprint PCS share was valued at $89.768. The transaction failed to get both US and European regulatory approval. Subsequently, BellSouth Corp withdrew its offer to acquire all the outstanding common stock of SC.</t>
  </si>
  <si>
    <t>Vivid Technologies Inc</t>
  </si>
  <si>
    <t>Manufacture X-Ray machines</t>
  </si>
  <si>
    <t>EG&amp;G Inc</t>
  </si>
  <si>
    <t>PerkinElmer Inc (PE), formerly EG&amp;G Inc, acquired Vivid Technologies Inc (VT) in a stock swap transaction valued at $64.898 mil. PE offered .1613 common shares per VT share. Based on PE's closing stock price of $39. 313 on October 4, the last full trading day prior to the announcement, each VT share was valued at $6.341.</t>
  </si>
  <si>
    <t>XL Capital Ltd (XLC) withdrew its unsolicited challenging offer to acquire all the outstanding stock of Capital Re Corp (CRC) for a twice amended $14 in cash per share, or a total value of $512.148 mil. Previously, XLC offered $13 in cash per share and originally $12.50 in cash per share. Previously, ACE Ltd (ACE) acquired a 12% stake, or 3.824 mil common shares in CRC for $64.817 mil, in a privately negotiated transaction. Subsequently, ACE merge with CRC in a stock swap transaction.</t>
  </si>
  <si>
    <t>Conso International Corp</t>
  </si>
  <si>
    <t>Mnfr homefurnishing,trimmings</t>
  </si>
  <si>
    <t>CIC Acquisition Co</t>
  </si>
  <si>
    <t>US - CIC Acquisition Co, an investment company formed by Conso International Corp's (CIC) senior management and Citicorp Venture Capital Ltd, acquired all the outstanding stock of CIC for $9 in cash per share, or a total value of $66.114 mil, in a leveraged recapitalization transaction.</t>
  </si>
  <si>
    <t>Lady Luck Gaming Corp</t>
  </si>
  <si>
    <t>Isle of Capri Casinos Inc</t>
  </si>
  <si>
    <t>Isle of Capri Casinos Inc (ICC) acquired Lady Luck Gaming Corp (LLG) for $12 in cash per share, or a total value of $235.572 mil, including the assumption of $177 mil in liabilities. Concurrently, ICC acquired the remaining 50% interest, that it did not already own, in Bettendorf Riverfront Development Co, from its joint venture partner Lady Luck Gaming Corp (LLG), in exchange for 6.3 mil common shares valued at $61.425 mil.</t>
  </si>
  <si>
    <t>US - An undisclosed investor group acquired a 64.7% interest, or 12 mil common shares, in Las Vegas Entertainment Network for $15. 833 per share, or a total value of $190 mil.</t>
  </si>
  <si>
    <t>Luxtec Corp</t>
  </si>
  <si>
    <t>Mnfr optical instr</t>
  </si>
  <si>
    <t>Luxtec Corp terminated its agreement to divest the company to an undisclosed acquiror. Terms were not disclosed.</t>
  </si>
  <si>
    <t>Mitchell Energy &amp; Development</t>
  </si>
  <si>
    <t>In October 1999, Mitchell Energy &amp; Development withdrew its search for a buyer for the company.</t>
  </si>
  <si>
    <t>PIMCO Advisors Holdings LP</t>
  </si>
  <si>
    <t>Allianz AG</t>
  </si>
  <si>
    <t>US - Allianz AG (AAG) acquired all the outstanding limited partner units of Pimco Advisors Holdings LP (PAH) for an $38.75 in cash per unit, or a total value of $1.93 bil. PAH's sole business was a 44% stake, or 49.251 mil partnership units, in Pimco Advisors LP (PAL). Upon completion AAG owned, via the PAH acquisition, a 44% stake in PAL. Concurrently, AAG raised its interest to 70% from a 44% stake, by acquiring an estimated 29.103 mil limited partnership units, in PAL.</t>
  </si>
  <si>
    <t>PalEx Inc</t>
  </si>
  <si>
    <t>Mnfr wood and metal pallets</t>
  </si>
  <si>
    <t>International Food Container</t>
  </si>
  <si>
    <t>International Food Container Organization GmbH, a unit of Scholler Holdings, acquired all the outstanding common stock of PalEx Inc, for $9 in cash or common stock per share, or a total value of $191.257 mil.</t>
  </si>
  <si>
    <t>Las Vegas Entertainment Network Inc withdrew its plans to launch an unsolicited tender offer to acquire all the outstanding common stock of Jackpot Enterprises Inc (JE) for $11 in cash per share, or a total value of $95.183 mil. The offer was conditioned upon at least a majority of JE's shares being tendered.</t>
  </si>
  <si>
    <t>Penobscot Shoe Co</t>
  </si>
  <si>
    <t>Mnfr women's footwear</t>
  </si>
  <si>
    <t>Riedman Corp</t>
  </si>
  <si>
    <t>US - Riedman Corp (RC) acquired all the outstanding common stock of Penobscot Shoe Co (PS) for $11.75 in cash per share, or a total value of $16.512 mil. Earlier, RC completed its tender offer by accepting 1.136 mil shares, or 81.8% of PS's common shares outstanding. The transaction was conditioned upon at least 80% of the shares being tendered.</t>
  </si>
  <si>
    <t>Real Estate Credit</t>
  </si>
  <si>
    <t>Intuit Inc (IN) acquired Rock Financial Corp (RF) in a stock swap transaction valued at $390.862 mil, subject to a collar agreement. IN offered $23 in common stock per RF share.</t>
  </si>
  <si>
    <t>An investor group including Steel Partners LP, withdrew its agreement to acquire Bell Industries Inc for $5.30 per share, or a total value of $50.924 mil.</t>
  </si>
  <si>
    <t>Warnaco Group Inc (WGI) acquired all the outstanding common stock of Authentic Fitness Corp (AFC) for a sweetened $20.8 in cash per share, or a total value of $605.251 mil, including the assumption of $105 mil in liabilities. Previously, WGI completed its tender offer of AFC by accepting 19.527 mil common shares, or about 84. 89% of the company's common stock outstanding. The offer was conditioned upon at least a majority of AFC's shares being tendered. Originally, WGI offered $20.5 in cash per AFC share.</t>
  </si>
  <si>
    <t>Vantive Corp</t>
  </si>
  <si>
    <t>Dvlp customer mgmt software</t>
  </si>
  <si>
    <t>PeopleSoft Inc</t>
  </si>
  <si>
    <t>Dvlp entrp software</t>
  </si>
  <si>
    <t>Peoplesoft Inc (PI) acquired all the outstanding common stock of Vantive Corp (VC) in a stock swap transaction valued at $425.579 mil. PI offered .825 common shares per VC share held. Based on PI's closing stock price of $17.25 on October 8, the last full trading day prior to the announcement, each VC share was valued at $14.23.</t>
  </si>
  <si>
    <t>HCC Insurance Holdings Inc acquired all the outstanding common stock of Centris Group Inc via its tender offer for $12.50 in cash per share, or a total value of $149.223 mil, by accepting 11.3 mil common shares, or about 97.06% of the common stock outstanding.</t>
  </si>
  <si>
    <t>Global DataTel Inc</t>
  </si>
  <si>
    <t>Surge Components Inc</t>
  </si>
  <si>
    <t>Wholesale supp electronic prod</t>
  </si>
  <si>
    <t>Surge Components Inc (SC) withdrew its agreement to acquire all the outstanding common stock of Global DataTel Inc (GD) in exchange for .239 mil Series A preferred shares convertible into Class B common shares on a 1 for 100 basis, valued at $22.406 mil. The shares were valued based on SC's Class B closing stock price of $.9375 on December 9, the last full trading day prior to the terms being disclosed. Previously in October 1999, GD agreed to merge with SC.</t>
  </si>
  <si>
    <t>Consolidated Edison Inc (CE) withdrew its agreement to merge with Northeast Utilities (NU) for $25 in cash per share, or a total value of $7.486 bil, including the assumption of $4.2 bil in liabilities, subject to a collar agreement. Alternatively, CE offered $25 in common stock per NU share. Previously, CE was rumored to be planning to merge with NU.</t>
  </si>
  <si>
    <t>Intel Corp (IC) acquired all the outstanding common stock of DSP Communications Inc (DSP) for $36 in cash per share, or a total value of $1. 709 bil. Earlier, IC completed its tender offer by accepting 41,916,000 common shares, or 85.4% of DSP's common shares outstanding. The offer was conditioned upon at least a majority of DSP's shares being tendered on a fully diluted basis.</t>
  </si>
  <si>
    <t>LeukoSite Inc</t>
  </si>
  <si>
    <t>Millennium Pharmaceuticals Inc</t>
  </si>
  <si>
    <t>Biopharma co</t>
  </si>
  <si>
    <t>Millennium Pharmaceuticals Inc (MP) acquired all the outstanding common stock of LeukoSite Inc (LS) in a stock swap transaction valued at $577.335 mil. MP offered 0. 4296 common shares per LS common share. Based on MP's closing stock price of $83.50 on October 13, the last full trading day prior to the announcement, each LS share was valued at $35.872.</t>
  </si>
  <si>
    <t>RailTex Inc</t>
  </si>
  <si>
    <t>Own,op shortline railways</t>
  </si>
  <si>
    <t>RailAmerica Inc</t>
  </si>
  <si>
    <t>Own,op freight railroads</t>
  </si>
  <si>
    <t>Railamerica Inc (RA) acquired Railtex Inc (RI) for $308.436 mil, including the assumption of $117 mil in liabilities. RA offered 13.50 in cash and .667 common shares per RI share. The shares were valued based on RA's closing stock price of $9.688 on October 13, the last full trading day prior to the announcement.</t>
  </si>
  <si>
    <t>Genzyme General</t>
  </si>
  <si>
    <t>Mnfr,whl biotech prods</t>
  </si>
  <si>
    <t>Genzyme General Corp (GG), a unit of Genzyme Corp, withdrew its agreement to acquire all the outstanding stock of Cell Genesys Inc (CG) in exchange for $347.888 mil in GG common stock, subject to a collar agreement. GG offered $10 in common shares per CG share.</t>
  </si>
  <si>
    <t>Crystal Gas Storage Inc</t>
  </si>
  <si>
    <t>El Paso Energy Corp acquired all the outstanding common stock of Crystal Gas Storage for $57 in cash per share, or a total value of $158.391 mil.</t>
  </si>
  <si>
    <t>Zion Cooperative Mercantile</t>
  </si>
  <si>
    <t>Own and operate dept. stores</t>
  </si>
  <si>
    <t>May Department Stores Co acquired all the outstanding common stock of Zions Cooperative Mercantile Institution (ZCM) in a stock swap transaction valued at $49.698 mil. MD offered $22.5 in common stock per ZCM share.</t>
  </si>
  <si>
    <t>Carolina Fincorp Inc,NC</t>
  </si>
  <si>
    <t>FNB Corp</t>
  </si>
  <si>
    <t>FNB Corp (FNB), Asheboro, North Carolina, acquired Carolina Fincorp Inc (CF), Rockingham, North Carolina, in a stock swap transaction valued at $29.1 mil. FNB offered .79 common shares per CF share. Based on FNB's closing stock price of $19 on October 15, the last full trading day prior to the announcement, each CF share was valued at $15.01. The transaction was to be accounted for as a pooling of interests.</t>
  </si>
  <si>
    <t>Clarify Inc</t>
  </si>
  <si>
    <t>Dvlp,retail office software</t>
  </si>
  <si>
    <t>Nortel Networks Corp (NC) acquired all the outstanding common stock of Clarify Inc (CI) in a stock swap transaction valued at $1.863 bil. NC offered 1.3 shares per CI common share. Based on NC's closing stock price of $52.924 on October 15, the last full trading day prior to the announcement, each CI share was valued at $68.494.</t>
  </si>
  <si>
    <t>Comair Holdings Inc</t>
  </si>
  <si>
    <t>Pvd air transp svcs;holding co</t>
  </si>
  <si>
    <t>US - Delta Air Lines Inc (DA) acquired 74.531 mil common shares, or the remaining 77. 9% interest, that it did not already own, in Comair Holdings Inc (CH) for $23.50 in cash per share, or a total value of $1.921 bil, including the assumption of $110 mil in liabilities. Earlier, DA completed its tender offer for CH by accepting an estimated 64.9 mil shares, or 90% of CH's shares. The offer was conditioned upon 66% of CH's shares being tendered.</t>
  </si>
  <si>
    <t>CEM Corp</t>
  </si>
  <si>
    <t>Mnfr,whl testing,analysis prod</t>
  </si>
  <si>
    <t>A management-led investor group, comprised of Cem Corp's (CC) President and Chief Executive Officer, Michael J. Collins, offered to acquire all the outstanding common stock of CC for a sweetened $11.15 in cash per share, or a total value of $34.553 mil, in a leveraged buyout transaction. Previously in November 1999, the group offered $9.25 in cash per share. Originally in October 1999, the group offered $8.4 in cash per share.</t>
  </si>
  <si>
    <t>East County Bank,Antioch,CA</t>
  </si>
  <si>
    <t>CivicBank of Commerce</t>
  </si>
  <si>
    <t>CivicBank of Commerce, Oakland, California, a unit of Civic Bancorp, merged with East County Bank, Antioch, California for an estimated $14.6 mil in cash.</t>
  </si>
  <si>
    <t>Farmers Insurance Group</t>
  </si>
  <si>
    <t>Farmers Insurance Group, a unit of Zurich Allied AG's Zurich Versicherungs GmbH subsidiary, acquired all the outstanding common stock of Foremost Corporation of America, for $29.25 in cash per share, or a total value of $814.006 mil.</t>
  </si>
  <si>
    <t>Ascent Entertainment Group Inc</t>
  </si>
  <si>
    <t>US - Liberty Media Corp (Liberty) withdrew its plans to acquire the entire share capital of  Ascent Entertainment Group Inc (Ascent), a Denver-based distributor of motion pictures and videos, from LodgeNet Interactive Corp, in a stock swap transaction valued at USD 528.717 mil. Liberty offered 0.4626 common shares per Ascent share. Based on the Liberty's closing stock price of USD 37 on 20 October 2000, the last full trading day prior to the announcement, each Ascent share was valued at USD 17. 260.</t>
  </si>
  <si>
    <t>Coinmach Laundry Corp</t>
  </si>
  <si>
    <t>Mnfr,whl laundry equipment</t>
  </si>
  <si>
    <t>A management-led investor group, including GTCR Golder Rauner, terminated its offer to acquire up to 11.64 mil common shares, or about 90% of Coinmach Laundry Corp's shares outstanding, for $13 in cash per share, or total value of $151.25 mil, in a leveraged buyout transaction.</t>
  </si>
  <si>
    <t>Ferrofluidics Corp</t>
  </si>
  <si>
    <t>Mnfr stable magnetic fluids</t>
  </si>
  <si>
    <t>Ferrotec Corp</t>
  </si>
  <si>
    <t>Manufacture,whl semiconductor</t>
  </si>
  <si>
    <t>Ferrotec Corp acquire all the outstanding common stock of Ferrofluidics Corp (FC) for $6.5 in cash per share, or a total value of $41.502 mil.</t>
  </si>
  <si>
    <t>Template Software Inc</t>
  </si>
  <si>
    <t>Level 8 Systems Inc</t>
  </si>
  <si>
    <t>Level 8 Systems Inc (LE) acquired Template Software Inc (TS) for $46.643 mil, subject to a collar agreement. LE offered $4.00 in cash and $3.90 in common shares per TS share.</t>
  </si>
  <si>
    <t>Thermoretec Corp</t>
  </si>
  <si>
    <t>Mnfr processed metals</t>
  </si>
  <si>
    <t>US - Thermo Electron Corp (TEC) acquired the remaining 29%, or 3.9336 mil common shares, that it did not already own, in ThermoRetec Corp (TR), a manufacturer of cogeneration systems, from Thermo TerraTech Inc, a unit of TEC, for $7 in cash per share, or a total value of $ 56.875 mil. Upon completion, TR was to cease trading on the New York Stock Exchange.</t>
  </si>
  <si>
    <t>Cade Industries Inc</t>
  </si>
  <si>
    <t>Mnfr jet engine components</t>
  </si>
  <si>
    <t>US - United Technologies Corp (UT) acquired all the outstanding stock of Cade Industries Inc (CI) for $5.05 in cash per share, or a total value $133.22 mil, including the assumption of $20 mil in liabilities. Earlier, UT completed its tender offer for CI by accepting 19 mil common shares, or 87.94% of CI's common shares outstanding. The offer was conditioned upon at least 75% of CB's shares being tendered.</t>
  </si>
  <si>
    <t>Integrated Systems Inc</t>
  </si>
  <si>
    <t>Wind River Systems Inc</t>
  </si>
  <si>
    <t>Pvd software optimization svcs</t>
  </si>
  <si>
    <t>Wind River Systems Inc (WR) acquired all the outstanding common stock of Integrated Systems Inc (IS) in a stock swap transaction valued at $491.21 mil. WR offered .92 shares per IS share. Based on WR's closing stock price of $21 on October 20, the last full trading day prior to the announcement, each IS share was valued at $19.32. The transaction was accounted for as a pooling of interests.</t>
  </si>
  <si>
    <t>Isocor</t>
  </si>
  <si>
    <t>Critical Path Inc</t>
  </si>
  <si>
    <t>Dvlp messaging software</t>
  </si>
  <si>
    <t>Critical Path Inc (CP) acquired Isocor (IS) in a stock swap transaction valued at $294.746 mil. CP offered . 4707 common shares per IS share. Based on CP's closing stock price of $50 on October 20, the last full trading day prior to the announcement, each IS share was valued at $23.535.</t>
  </si>
  <si>
    <t>Noble International Ltd</t>
  </si>
  <si>
    <t>Noble International was rumored to be planning to divest the company to an undisclosed acquiror. The Current status of this deal is unknown.</t>
  </si>
  <si>
    <t>Iron Mountain Inc</t>
  </si>
  <si>
    <t>Pvd records storage services</t>
  </si>
  <si>
    <t>Iron Mountain Inc (IM) merged with Pierce Leahy Corp (PL) in a stock swap transaction valued at approximately $1.174 bil, including the assumption of approximately $570 mil in liabilities, in a reverse takeover transaction. IM offered 1.1 common shares per PL share. Based on IM's closing stock price of $30. 437 on October 20, the last full trading day prior to the announcement, each PL share was valued at $33.481. Upon completion, PL was to be the surviving entity and renamed Iron Mountain Inc.</t>
  </si>
  <si>
    <t>Premisys Communications Inc</t>
  </si>
  <si>
    <t>Mnfr,whl voice commun products</t>
  </si>
  <si>
    <t>Zhone Technologies Inc</t>
  </si>
  <si>
    <t>Dvlp hardware,software</t>
  </si>
  <si>
    <t>Zhone Technologies (ZT) acquired all the outstanding common stock of Premisys Communications Inc (PC) for $10 in cash per share, or a total value of $249.886 mil. Previously, ZT completed its tender offer by accepting 21. 773 mil common shares, or 90% of PC's common shares outstanding. The offer was conditioned upon at least 90% of PC's shares being tendered.</t>
  </si>
  <si>
    <t>Student Loan Corp</t>
  </si>
  <si>
    <t>Provide student loan services</t>
  </si>
  <si>
    <t>Citigroup Inc</t>
  </si>
  <si>
    <t>Citigroup Inc withdrew its agreement to acquire the remaining 20% stake, or 4 mil common shares, that it did not already own, in Student Loan Corp for $45 in cash per share, or a total value of $180 mil.</t>
  </si>
  <si>
    <t>Wall Data Inc</t>
  </si>
  <si>
    <t>Dvlp software application,tool</t>
  </si>
  <si>
    <t>NetManage Inc (NI) acquired all the outstanding common stock of Wall Data Inc (WD) for $9 in cash per share, or a total value of $93.298. Earlier, NI completed its tender offer for WD by accepting 9.082 mil common shares, or 89.15%. The offer was conditioned upon at least 51% of WD's shares being tendered.</t>
  </si>
  <si>
    <t>East/West Communications Inc</t>
  </si>
  <si>
    <t>Omnipoint Corp(OP) acquired East/West Communications Inc (EW) in a stock swap transaction valued at approximately $136 mil. The consideration consisted of $118 mil in OP common stock and the assumption of $15 mil in liabilities. Included in the value was a 7% stake acquired in October 1999 for $3 mil.</t>
  </si>
  <si>
    <t>InterDent Inc</t>
  </si>
  <si>
    <t>Pvd dental management svcs</t>
  </si>
  <si>
    <t>A management-led investor group, including affiliates of Leonard Green &amp; Partners LP, withdrew its definitive agreement to acquire Interdent Inc for $9.50 in cash per share, or a total value of $198.688 mil, in a leveraged buyout transaction.</t>
  </si>
  <si>
    <t>First Cmnty Bk of the Desert</t>
  </si>
  <si>
    <t>Rancho Santa Fe National Bank, Santa Fe, California, merged with First Community Bank of the Desert, Yucca Valley, California, to form a new company, in a stock swap transaction valued at an estimated $19 mil. The transaction was accounted for as a pooling of interests. Upon completion, each bank would become a subsidiary of a new holding company called First Community Bancorp.</t>
  </si>
  <si>
    <t>Interactive Pictures Corp</t>
  </si>
  <si>
    <t>Dvlp,whl imaging software</t>
  </si>
  <si>
    <t>Bamboo.com Inc</t>
  </si>
  <si>
    <t>Pvd Internet-based RE services</t>
  </si>
  <si>
    <t>Bamboo.com Inc (BI) merged with Interactive Pictures Corp (IP) to form Internet Pictures Corp in a merger of equals stock swap transaction valued at $368.458 mil. BI offered 1.369 shares per IP share. Based on BI's closing stock price of $16.25 on October 25, the last full trading day prior to the announcement, each IP share was valued at $22.246. The transaction was accounted for as a pooling of interests.</t>
  </si>
  <si>
    <t>An investor group, comprised of Berkshire Hathaway Inc (BH) , Mr. Walter Scott, and Mr. David L. Sokol, acquired MidAmerican Energy Co (MA), a majority-owned unit of MidAmerican Energy Holdings Co, for $35.05 in cash per share, or a total value of $9. 488 bil, including the assumption of $7 bil in liabilities. Upon completion, BH was to hold a 75% interest in MA.</t>
  </si>
  <si>
    <t>Chesapeake Corp</t>
  </si>
  <si>
    <t>Mnfr pkg prod</t>
  </si>
  <si>
    <t>Shorewood Packaging Corp</t>
  </si>
  <si>
    <t>Mnfr paperboard packaging prod</t>
  </si>
  <si>
    <t>Shorewood Packaging Corp (SP) withdrew its launched hostile offer to acquire all the outstanding common stock of Chesapeake Corp (CC) for $40 in cash per share, or a total value of $862.439 mil. Subsequently, CC withdrew its tender offer to acquire all the outstanding common stock of SP in an unsolicited challenging hostile pac-man defense. Earlier, CC acquired a 14.9% stake in SP from Ariel Capital Management for $17.25 in cash per share. Later, International Paper Co, acting as a white-knight, acquired all the outstanding common stock of SP via a tender offer for $21 in cash per share.</t>
  </si>
  <si>
    <t>Shamrock Farms Co</t>
  </si>
  <si>
    <t>Own and operate dairy farms</t>
  </si>
  <si>
    <t>Shamrock Farms Co was rumored to be in negotiations to acquire the remaining 85. 1% interest, or 2.948 mil common shares, which it did not already own, in Eskimo Pie Corp, in a privately negotiated transaction.</t>
  </si>
  <si>
    <t>Cie Generale de Geophysique SA</t>
  </si>
  <si>
    <t>Cie Generale de Geophysique (CG) acquired all the outstanding common stock of Geoscience Corp (GC), a majority-owned unit of Tech- Sym Corp, for $6.71 in cash per share, or a total value of $97.002 mil, including the assumption of $30 mil in liabilities. Earlier, CG completed its tender offer for GC by accepting 9,414,263 common shares, or 94.4% of GC's shares outstanding. The offer had been conditioned upon at least 70% of GC's shares being tendered on a fully-diluted basis. Upon completion, GC became a unit of CG's Sercel SA unit.</t>
  </si>
  <si>
    <t>Praegitzer Industries Inc</t>
  </si>
  <si>
    <t>Tyco International Ltd completed its tender offer to acquire all the outstanding common stock of Praegitzer Industries Inc (PI) for $5.50 in cash per share, or a total value of $79.839 mil, by accepting 12.6 mil common shares, or about 95.67%. The offer was conditioned upon at least 51% of PI's shares being tendered.</t>
  </si>
  <si>
    <t>Watkins-Johnson Co</t>
  </si>
  <si>
    <t>Mnfr semiconductor mnfr equip</t>
  </si>
  <si>
    <t>Fox Paine &amp; Co LLC</t>
  </si>
  <si>
    <t>US - Fox Paine &amp; Co LLC acquired all the outstanding common stock of Watkins- Johnson Co (WJC) for $41.125 in cash per share, or a total value of $319.001 mil, in a leveraged buyout transaction.</t>
  </si>
  <si>
    <t>St Joe Co (SJC) completed the spinoff of its 54% interest, or 19.631 mil common shares, in Florida East Coast Industries Inc (FEC) unit to its shareholders in a transaction valued at an estimated $797.497 mil. SJC common shareholders received . 225 FEC common shares per SJC share held. The shares were valued based on FEC's closing stock price of $40.625 on October 09, the first full trading day on which the shares were distributed.</t>
  </si>
  <si>
    <t>Service Experts Inc</t>
  </si>
  <si>
    <t>Pvd HVAC repair services</t>
  </si>
  <si>
    <t>Lennox International Inc</t>
  </si>
  <si>
    <t>Mnfr,whl cooling,heating equip</t>
  </si>
  <si>
    <t>US - Lennox International Inc (LI) merged with Service Experts (SE), a provider of HVAC repair services, in a stock swap transaction valued at $158.278 mil. LI offered . 67 common shares per SE share. Based on LI's closing stock price of $13.25 on October 26, the last full trading day prior to the announcement, each SE share was valued at $8.878. LI has approximately 10,000 employees and estimated 1999 sales of $1 bil.</t>
  </si>
  <si>
    <t>CNS Bancorp,Jefferson City,MO</t>
  </si>
  <si>
    <t>Exchange National Bancshares</t>
  </si>
  <si>
    <t>Exchange National Bancshares Inc (ENB), Jefferson City, Missouri, acquired all the outstanding common stock of CNS Bancorp Inc (CNS), Jefferson City, Missouri for $20.844 mil. ENB offered .15 common shares and $8.8 in cash per CNS share. Based on ENB's closing stock of $39. 313 on October 27, each CNS share was valued at $14.697.</t>
  </si>
  <si>
    <t>SJW Corp</t>
  </si>
  <si>
    <t>Water utility co</t>
  </si>
  <si>
    <t>American Water Works Co Inc</t>
  </si>
  <si>
    <t>American Water Works Co (AWW) withdrew its definitive agreement to acquire all the outstanding common stock of SJW Corp for $128 in cash per share, or total value of $479. 779, including the assumption of $90 mil in liabilities. AWW had previously announced it would terminate the agreement when it expired on April 28 because of delays outlined in a procedural scheduling order issued by the California Public Utilities Commission (CPUC) on February 20, 2001. The CPUC had contemplated a proposed decision in August 2001 and a meeting to consider the proposed decision in September 2001.</t>
  </si>
  <si>
    <t>Firstcom Corp</t>
  </si>
  <si>
    <t>Mnfr telcommunications equip</t>
  </si>
  <si>
    <t>US - AT&amp;T Corp (AT) acquired Firstcom Corp (FC), a provider of broadband communications services primarily to business customers in four major metropolitan business centers: Santiago, Chile; Lima/Callao, Peru; and Bogota and Cali, Colombia, in a stock swap transaction valued at $721. 881 mil. AT offered 1 AT&amp;T Latin America (ATL) Class A common share per FC share, and 1 ATL Class A convertible preferred share per FC convertible preferred share. The shares were valued based on ATL's closing stock price of $17.375 on August 29, the first full trading day on which the shares were traded. Previously, AT acquired Netstream (NE), a unit of Promon Tecnologia SA (PT). Upon completion, FC was to be merged with NE to form a new publicly-traded company named ATL. AT, FC, and PT were to hold approximately 58%, 34%, and 7%, respectively, of ATL on a fully-diluted basis. Subsequently, ATL acquired Keytech LD (KL), a unit of Keytech Group SA. Also, former owners of KL were to own slightly less than 1% of ATL.</t>
  </si>
  <si>
    <t>US - Liberty Media Group (LM), a majority-owned unit of AT&amp;T Corp, acquired Four Media Co (FM), a majority- owned unit of Warburg Pincus Equity Partners LP, in a stock swap transaction valued at $288.088 mil. LM offered . 322 Class A common shares in cash per FM share. Based on LM's closing stock price of $39.688 on October 29, the last full trading day prior to the announcement, each FM share was valued at $12.802.</t>
  </si>
  <si>
    <t>Tristar Aerospace Co</t>
  </si>
  <si>
    <t>Mnfr aerospace hardware</t>
  </si>
  <si>
    <t>US - Honeywell International Inc (HI), formerly known as AlliedSignal Inc, acquired all the outstanding common stock of TriStar Aerospace Co (TA) for $9.5 in cash per share, or a total value of approximately $269.763 mil, including the assumption of an estimated $107 mil in liabilities. Earlier, HI completed its tender offer for TA by accepting an estimated 16.7 mil shares, or about 96.8% of TA's shares outstanding.</t>
  </si>
  <si>
    <t>Group Maintenance America</t>
  </si>
  <si>
    <t>Pvd plumbing,heating svcs</t>
  </si>
  <si>
    <t>Group Maintenance America Corp (GMA) merged with Building One Services Corp (BOS) in a stock swap transaction valued at $845. 365 mil, including the assumption of $530 mil in liabilities. GMA offered 1.25 common shares per BOS share. Based on GMA's closing stock price of $10 on November 1, the last full trading day prior to the announcement, each BOS share was valued at $12.5.</t>
  </si>
  <si>
    <t>American Greetings Corp</t>
  </si>
  <si>
    <t>Publish greeting cards</t>
  </si>
  <si>
    <t>US - American Greetings Corp (AG) acquired all the outstanding common stock of Gibson Greetings Inc (GG), a manufacturer of greeting cards, for $10.25 in cash per share, or a total value of $162.299 mil. Earlier AG completed its tender offer by accepting 15.431 mil common shares, or about 97.47% of GG's common shares. The offer was conditioned upon at lease 50.1% of GG's shares being tendered.</t>
  </si>
  <si>
    <t>Michigan Financial Corp</t>
  </si>
  <si>
    <t>Wells Fargo &amp; Co, San Francisco (WFC), California, acquired all the outstanding common stock of Michigan Financial, Marquette, Michigan, in exchange for 4. 419 mil common shares valued at $209.331 mil. The shares were valued based on WFC's closing stock price of $47. 375 on November 2, the last full trading day prior to the announcement.</t>
  </si>
  <si>
    <t>National Realty LP</t>
  </si>
  <si>
    <t>Real estate investment company</t>
  </si>
  <si>
    <t>American Realty Trust Inc merged with National Realty LP in a stock swap transaction. Upon completion, the newly merged company was to be renamed American Realty Investors Inc.</t>
  </si>
  <si>
    <t>Cleveland Indians Baseball Co</t>
  </si>
  <si>
    <t>Own,operate sports clubs</t>
  </si>
  <si>
    <t>An investor group, comprised of Lawrence J Dolan and the Dolan family trusts, acquired all the outstanding common stock of Cleveland Indians Baseball Co Inc (CIB) for $22. 661 in cash per share, or a total value of $180.563 mil, including the assumption of $35 mil in liabilities. The group had offered between $22. 25 and $22.75 in cash per share. Originally, in May 1999, CIB announced that it was seeking a buyer for the company. Upon completion, CIB was to become a privately held company.</t>
  </si>
  <si>
    <t>COMPS Inc</t>
  </si>
  <si>
    <t>CoStar Group Inc (CS) acquired Comps.com Inc (CC) in a stock swap transaction valued at $89.132 mil. CS offered $7.50 in cash per CC share. Alternatively, CS offered .31496 common shares per CC share, subject to adjustment to ensure that 49. 9% of the consideration was paid in cash and 50.1% was paid in common stock.</t>
  </si>
  <si>
    <t>KeySpan Corp</t>
  </si>
  <si>
    <t>Pvd gas,electric svcs</t>
  </si>
  <si>
    <t>KeySpan Corp (KC) acquired all the outstanding common stock of Eastern Enterprises for $64 in cash per share, or a total value of $2.561 bil, including the assumption of $800 mil in liabilities. Concurrently, KC acquired all the outstanding common stock of EnergyNorth Inc for $404. 167 mil.</t>
  </si>
  <si>
    <t>Giant Cement Holding Inc</t>
  </si>
  <si>
    <t>Manufacture cement products</t>
  </si>
  <si>
    <t>Cementos Portland SA</t>
  </si>
  <si>
    <t>Mnfr cement</t>
  </si>
  <si>
    <t>Cementos Portland SA (CP), a majority-owned unit of Portland Valderrivas SA, acquired all the outstanding common stock of Giant Cement Holding Inc (GCH) for $31 in cash per share, or a total value of $277.017 mil. Earlier, CP completed its tender offer by accepting an estimated 8.5 mil shares, or 98.19% of GCH's shares. The offer was conditioned upon at least a majority of GCH's shares being tendered on a fully-diluted basis.</t>
  </si>
  <si>
    <t>International Fuel Technology</t>
  </si>
  <si>
    <t>Mnfr fuel additives</t>
  </si>
  <si>
    <t>Blencathia Acquisition Corp</t>
  </si>
  <si>
    <t>US - Blencathia Acquisition Corp merged with International Fuel Technology Inc, an investment company.</t>
  </si>
  <si>
    <t>Optical Coating Laboratory Inc</t>
  </si>
  <si>
    <t>Mnfr film coated optical prod</t>
  </si>
  <si>
    <t>JDS Uniphase Corp</t>
  </si>
  <si>
    <t>Mnfr,whl broadband test prod</t>
  </si>
  <si>
    <t>US - JDS Uniphase Corp (JDS) acquired Optical Coating Laboratory Inc (OCL) in a stock swap transaction valued at $2.766 bil. JDS offered . 928 common shares per OCL share. Based on JDS's closing stock price of $191.4375 on November 3, the last full trading day prior to the announcement, each OCL share was valued at $177.654.</t>
  </si>
  <si>
    <t>RISCORP Inc</t>
  </si>
  <si>
    <t>Griffin Acquisition Corp</t>
  </si>
  <si>
    <t>US - Griffin Acquisition Corp (GAC) acquired all the outstanding common stock of Riscorp Inc (RI), a provider of managed care workers' compensation insurance claim services, for an amended $3. 075 in cash per common share or a total value of $118.674 mil. Originally, GAC offered $2.85 per RI common share.</t>
  </si>
  <si>
    <t>US - American Home Products Corp (AHP) withdrew from its agreement to merge with Warner-Lambert Co (WLC), a pharmaceutical company, to form AmericanWarner Inc (AWI) in a mergers-of-equals stock swap transaction valued at $75.563 bil after WLC agreed to accept Pfizer Inc's (PI) increased challenging offer. AHP was to recieve roughly $1. 8 bil as a break-up fee for agreeing to drop its merger agreement with WLC. WLC common shareholders were to have received 1.4919 AWI common shares and AHP common shareholders were to have received 1 AWI common shares per share held. Based on AHP's closing stock price of $56 on November 3, the last full trading day prior to the announcement, each WLC share was valued at $83.546. The transaction was to be accounted for as a pooling of interests. Originally, AHP and WLC were rumored to be planning to merge. PI had filed a lawsuit against WLC charging that WLC violated terms of their joint marketing pact for the cholesterol drug Lipitor, and as a result the pact barred PI from acquiring WLC until a third-party bidder first made a bid.</t>
  </si>
  <si>
    <t>US - Pfizer Inc (PI) acquired all the outstanding common stock of Warner-Lambert Co (WC), a pharmaceutical company, in a hostile challenging stock swap transaction valued at a sweetened $89.167 bil, creating the world's second largest drug maker. PI offered a sweetened 2.75 common shares per WC share. Based on PI's closing stock price of $35.75 on February 4, 2000, the last full trading day prior to the increase in terms, each WC share was valued at $98.31. Originally, PI offered 2.5 common shares per WC share. PI's shareholders were to hold a 61% interest in the merged company with WL's shareholders owning the remaining 39%. Concurrently, American Home Products Corp agreed to walk away from its mergers of equals transaction with WC, which had been valued at $75.563 bil, in return for a break-up fee of roughly $1.8 bil . Previously, PI had filed a lawsuit against WC charging that WC violated terms of their joint marketing pact for the cholesterol drug Lipitor, and as a result the pact barred PI from acquiring WC until a third-party bidder first made a bid.</t>
  </si>
  <si>
    <t>Laser Mortgage Management Inc</t>
  </si>
  <si>
    <t>Specialty finance co</t>
  </si>
  <si>
    <t>An investor group led by Ellington Capital Management, withdrew its plans to launch a tender offer to acquire all the outstanding common stock of Laser Mortgage Management Inc (LMM) for $4.15 in cash per share, or a total value of $76.635 mil. Previously, in October 1998, LMM disclosed that it was seeking a buyer for the company.</t>
  </si>
  <si>
    <t>MegaBank Financial Corp</t>
  </si>
  <si>
    <t>US - Compass Bancshares (CB), Birmingham, Alabama, definitively acquired Megabank Financial Corp (MF), in a stock swap transaction valued at USD 96.389 mil. CB offered 0.444 common shares per MF share. Based on CB's closing stock price of USD 27. 88 on 4 November 1999, the last full trading day prior to the announcement, each MF share was valued at USD 12. 379.</t>
  </si>
  <si>
    <t>Discount Investment Corp Ltd</t>
  </si>
  <si>
    <t>US - Discount Investment Corp Ltd (DIC), IDB Holding's IDB Development Corp subsidiary, acquired the remaining 30.7% stake, which it did not already own, in PEC Israel Economic Corp (PEC) , an investment firm, for $36. 5 in cash per share, or a total value of $319.962 mil. Upon completion, PEC was to be merged into a subsidiary of DIC. PEC's common stock ceased trading on the New York Stock Exchange.</t>
  </si>
  <si>
    <t>Synthetic Industries Inc</t>
  </si>
  <si>
    <t>Mnfr polypropylene fabric</t>
  </si>
  <si>
    <t>US - Investcorp (IC), backed by Chase Manhattan and Bear Stearns &amp; Co, acquired all the outstanding common stock of Synthetic Industries Inc (SI), a majority-owned unit of Integrated Resources Inc, for $33 in cash per share, or a total value of $530.679 mil, including the assumption of $230 mil in liabilities. Earlier, IC completed its leveraged buyout tender offer for SI by accepting 8.944 mil common shares, or 95% of the company's common stock outstanding. The offer was conditioned upon at least 50% of the shares being tendered on a fully diluted basis.</t>
  </si>
  <si>
    <t>Autocam Corp</t>
  </si>
  <si>
    <t>Mnfr special inds fasteners</t>
  </si>
  <si>
    <t>Aurora Capital Group</t>
  </si>
  <si>
    <t>Aurora Capital Partners LP acquired all the outstanding common stock of Autocam Corp for $18.75 per share, or a total value of $123.3 mil.</t>
  </si>
  <si>
    <t>Carolina First Bancshares,NC</t>
  </si>
  <si>
    <t>US - First Charter Corp (FCC) , Concord, North Carolina acquired Carolina First Bancshares Inc (CFB), Lincolnton, North Carolina, a commercial bank holding company, in a stock swap transaction valued at $260. 453 mil. FCC offered 2.252 common shares per CFB share. Based on FCC's closing stock price of $18.875 on November 5, the last full trading day prior to the announcement, each CFB share was valued at $42.50. The transaction was accounted for as pooling of interests.</t>
  </si>
  <si>
    <t>PowerGen PLC was rumored to be planning to acquire all the outstanding common stock of Cinergy Corp. The Current status of this deal is unknown.</t>
  </si>
  <si>
    <t>FlashNet Communications Inc</t>
  </si>
  <si>
    <t>Prodigy Communications Corp</t>
  </si>
  <si>
    <t>Prodigy Communications Corp (PC) acquired all the outstanding common stock of FlashNet Communications Inc (FN) in a stock swap transaction valued at $120. 864 mil. PC offered .35 common shares per FN share. Based on PC's closing stock price of $24.75 on November 5, the last full trading day prior to the announcement, each FN share was valued at $8.663. As part of the transaction, PC acquired FN's national network operations center with state-of-the-art disaster recovery capability, additional network infrastructure including 697 Points of Presence.</t>
  </si>
  <si>
    <t>Ellington Management Group Inc</t>
  </si>
  <si>
    <t>Ellington Management Group LLC (EMG) amended an unsolicited hostile offer to acquire all the outstanding common stock of LASER Mortgage Management Inc, for $4.30 per share, or a total value of $63.6901 mil, in a leveraged buyout transaction. Previously, EMG offered $4.15 per common share.</t>
  </si>
  <si>
    <t>Novartis AG was rumored to be in negotiations to merge with Monsanto Co. The Current status of this deal is unknown.</t>
  </si>
  <si>
    <t>Aironet Wireless Communication</t>
  </si>
  <si>
    <t>Dvlp,mnfr wireless LAN prods</t>
  </si>
  <si>
    <t>Cisco Systems Inc (CSI) acquired all the outstanding common stock of Aironet Wireless Communications Inc (AWC) in a stock swap transaction valued at $677. 962 mil. CSI offered .637 shares per AWC common share. Based on CSI's closing stock price of $75.313 on November 8, the last full trading day prior to the announcement, each AWC share was valued at $47.97.</t>
  </si>
  <si>
    <t>Alba-Waldensian Inc</t>
  </si>
  <si>
    <t>Manufacture knitted products</t>
  </si>
  <si>
    <t>Tefron Ltd</t>
  </si>
  <si>
    <t>Mnfr underwear,nightwear</t>
  </si>
  <si>
    <t>Tefron Ltd (TF) acquired all the outstanding common stock of Alba-Waldensian Inc (AW), manufacturer of seamless intimate apparel, for $18.5 in cash per share, or a total value of $61.585 mil. Earlier, TF completed its tender offer by accepting 3,136,679 shares, or 99.2% of AW's shares.</t>
  </si>
  <si>
    <t>Carleton Corp</t>
  </si>
  <si>
    <t>Oracle Corp acquired all the outstanding common stock of Carleton Corp for $2.45 in cash per share, or a total value of $8.393 mil.</t>
  </si>
  <si>
    <t>Datum Inc</t>
  </si>
  <si>
    <t>Mnfr,whl time,frequency prod</t>
  </si>
  <si>
    <t>Frequency Electronics Inc</t>
  </si>
  <si>
    <t>Mnfr precision,frequency prod</t>
  </si>
  <si>
    <t>US - Frequency Electronics Inc (FE) withdrew its unsolicited offer to acquire all the outstanding common stock of Datum Inc (DA) for $10 in cash per share, or a total value of $59.455 mil. Alternatively, FE offered 1. 06 common shares per DA share. Based on FE's closing stock price of $9.438 on November 8, the last full trading day prior to the announcement, each DA share was valued at $10.</t>
  </si>
  <si>
    <t>HealthWorld Corp</t>
  </si>
  <si>
    <t>Pvd healthcare marketing svcs</t>
  </si>
  <si>
    <t>Cordiant Communications Group</t>
  </si>
  <si>
    <t>Advertising agency;hldg co</t>
  </si>
  <si>
    <t>Cordiant Communications Group PLC (CO) acquired all the outstanding common stock of HealthWorld Corp (HW) in a stock swap transaction valued at $198.027 mil. CO offered $23 in common stock per HW share. Originally CO offered 6.602 common shares per HW, subject to a collar agreement, which was subsequently broken.</t>
  </si>
  <si>
    <t>Innovasive Devices Inc</t>
  </si>
  <si>
    <t>Mnfr soft tissue repair sys</t>
  </si>
  <si>
    <t>Johnson &amp; Johnson (JJ) acquired Innovasive Devices Inc (ID) in a stock swap transaction valued at $83.092 mil. JJ offered $8.25 in common stock per ID share.</t>
  </si>
  <si>
    <t>Percon Inc</t>
  </si>
  <si>
    <t>PSC Inc</t>
  </si>
  <si>
    <t>Mnfr,whl bar code prod</t>
  </si>
  <si>
    <t>PSC Inc acquired all the outstanding common stock of Percon Inc for $15 in cash per share, or a total value of $59.515 mil.</t>
  </si>
  <si>
    <t>Avado Brands Inc</t>
  </si>
  <si>
    <t>A management-led investor group, comprised of Chief Executive Office Tom E. Dupree Jr, and other senior managers, terminated its agreement to acquire the remaining 68.4% interest, or 17.334 mil common shares, that it did not already own in Avado Brands Inc for $7.25 in cash per share, or a total value of $182.035 mil in a leveraged buyout transaction.</t>
  </si>
  <si>
    <t>Berkshire Energy Resources</t>
  </si>
  <si>
    <t>Energy holding company</t>
  </si>
  <si>
    <t>US - Energy East Corp acquired all the outstanding common stock of Berkshire Energy Resources, an energy holding company, for $38 in cash per share, or a total value of $95.728 mil.</t>
  </si>
  <si>
    <t>Plains All American Pipeline</t>
  </si>
  <si>
    <t>Own,op oil storage terminals</t>
  </si>
  <si>
    <t>All American Pipeline Co</t>
  </si>
  <si>
    <t>Own,op petroleum pipelines</t>
  </si>
  <si>
    <t>All American Pipeline Co, a unit of Plains Resources Inc, was rumored to be planning to acquire Plains All American Pipeline LP, a majority-owned unit of Plains Resources Inc's Plains All American subsidiary. The Current status of this deal is unknown.</t>
  </si>
  <si>
    <t>Howmet International Inc</t>
  </si>
  <si>
    <t>Mnfr investment engine parts</t>
  </si>
  <si>
    <t>Cordant Technologies Inc</t>
  </si>
  <si>
    <t>Mnfr propulsion systems</t>
  </si>
  <si>
    <t>Cordant Technologies Inc (CTI) terminated its agreement to acquire the remaining 15.4% stake, or 15, 375,562 common shares, which it did not already own, in Howmet International Inc (HII) for $17 in cash per share, or a total value of $261.385 mil. Concurrently, Alcoa Inc launched a tender offer to acquire all the outstanding common stock of CTI for $57 in cash per share and planned to launch a tender offer for all the outstanding common stock of HII for $20 in cash per share.</t>
  </si>
  <si>
    <t>Molecular Biosystems Inc</t>
  </si>
  <si>
    <t>Palatin Technologies Inc</t>
  </si>
  <si>
    <t>Palatin Technologies Inc (PT) withdrew its definitive agreement to merge with Molecular Biosystems Inc (MB) in a stock swap transaction valued at $29.549 mil. PT offered .525 common shares per MB share. Based on PT's closing stock price of $3 on November 11, the last full trading day prior to the announcement, each MB share was valued at $1.575. Upon completion, the shareholders of PT were to hold 50%, and the shareholders of MB were to hold the other 50%, of the combined company, which was to be renamed Palatin Technologies Inc.</t>
  </si>
  <si>
    <t>Vertex Communications Corp</t>
  </si>
  <si>
    <t>Mnfr earth station antennas</t>
  </si>
  <si>
    <t>TriPoint Global Communications</t>
  </si>
  <si>
    <t>US - TriPoint Global Communications Inc (TP) acquired all the outstanding common stock of Vertex Communications Corp (VC) for $22 in cash per share, or a total value of $115.954 mil. Earlier, TP completed its tender offer by accepting 5. 467 mil common shares, or 98. 7% of VC's shares on a fully diluted basis.</t>
  </si>
  <si>
    <t>Oak Industries Inc</t>
  </si>
  <si>
    <t>Mnfr cable connectors</t>
  </si>
  <si>
    <t>Corning Inc (CO) acquired Oak Industries Inc (OI) in a stock swap transaction valued at $1.659 bil. CO offered .83 common shares per OI share. Based on CO's closing stock price of $90.375 on November 12, the last full trading day prior to the announcement, each OI share was valued at $75.011. The transaction was to be accounted for as a pooling of interests.</t>
  </si>
  <si>
    <t>Air Express International Corp</t>
  </si>
  <si>
    <t>Pvd cargo mgmt svcs</t>
  </si>
  <si>
    <t>Danzas Holding AG</t>
  </si>
  <si>
    <t>Provide transporation services</t>
  </si>
  <si>
    <t>Danzas Holding AG (DA), a unit of German state-owned Deutsche Post AG, acquired all the outstanding common stock of Air Express International Corp (AE) for $33 in cash per share, or a total value of $1.13 bil. Earlier, DA completed its tender offer for AE, by accepting 32.302 mil shares, or 96.34% of AE's shares outstanding. The offer was conditioned upon at least a majority of AE's shares being tendered. Upon completion, the combined company was named Danzas-AEI. Originally in October 1999, DA was rumored to be planning to acquire AEl.</t>
  </si>
  <si>
    <t>American Educational Products</t>
  </si>
  <si>
    <t>Mnfr educational products</t>
  </si>
  <si>
    <t>G C Associates Holding Corp</t>
  </si>
  <si>
    <t>US - G C Associates Holdings Corp planned to acquire the remaining 63.5% interest, which it did not already own, in American Educational Products Inc, for $17 mil.</t>
  </si>
  <si>
    <t>Catherines Stores Corp</t>
  </si>
  <si>
    <t>Charming Shoppes Inc</t>
  </si>
  <si>
    <t>US - Charming Shoppes Inc (CH) acquired all the outstanding common stock of Catherines Stores Corp (CSC) for $21 in cash per share, or a total value of $153.587 mil. Earlier, CH completed its tender offer for CSC by accepting 6,792,984 common shares, or 88.05% of CSC common shares outstanding. The offer was conditioned upon at least a majority of CSC shares being tendered.</t>
  </si>
  <si>
    <t>Chapman Capital Management</t>
  </si>
  <si>
    <t>Echapman Inc</t>
  </si>
  <si>
    <t>Pvd online financial services</t>
  </si>
  <si>
    <t>US - eChapman.com Inc (EC) acquired Chapman Capital Management Holdings Inc (CC), a provider of management investment services, in a stock swap transaction valued at $55.216 mil. EC offered 2. 234 common shares per CC share. Based on EC's closing stock price of $7.375 on June 20, the first full trading day after the initial public offering, each EC share was valued at $16.473.</t>
  </si>
  <si>
    <t>GT Interactive Software Corp</t>
  </si>
  <si>
    <t>Develop games,related software</t>
  </si>
  <si>
    <t>Infogrames Entertainment SA</t>
  </si>
  <si>
    <t>Dvlp interactive software</t>
  </si>
  <si>
    <t>Infogrames Entertainment acquired a 70% interest, or 51.08 mil common shares, in GT Interactive Software Corp for $135 mil.</t>
  </si>
  <si>
    <t>An investor group led by Blackstone Capital Partners III Merchant Banking Fund LP and including American International Group, withdrew its definitive agreement to acquire a 90% interest, or 19. 936 mil common shares, in Kroll-O'Gara Co for an amended $16 in cash per share, or a total value of $318.972 mil, in a leveraged buyout transaction. Originally, the investor group offered $18 in cash per share, or a total value of $358.843 mil.</t>
  </si>
  <si>
    <t>Providence Energy Corp</t>
  </si>
  <si>
    <t>Southern Union Co acquired all the outstanding common stock of Providence Energy Corp (PEC) for $42.50 in cash per share, or a total value of an estimated $400 mil, including the assumption of an estimated $141.351 in liabilities. As part of the transation, North Attleboro Gas Co, a unit of PEC, was to merge into PEC.</t>
  </si>
  <si>
    <t>Vallen Corp</t>
  </si>
  <si>
    <t>Wholesale safety equipment</t>
  </si>
  <si>
    <t>Hagemeyer NV</t>
  </si>
  <si>
    <t>Whl general line of groceries</t>
  </si>
  <si>
    <t>Hagemeyer NV (HN) acquired all the outstanding common stock of Vallen Corp (VC) for $25 in cash per share, or a total value of $200.988 mil, including the assumption of $17 mil in liabilities. Earlier, HN completed its tender offer for VC by accepting 7,121,481 common shares, or about 99% of its shares outstanding. The offer had been conditioned upon at least a majority of VC's shares being tendered.</t>
  </si>
  <si>
    <t>Arcadia Financial Ltd</t>
  </si>
  <si>
    <t>US - Associated First Capital Corp acquired all the outstanding common stock of Arcadia Financial Ltd, a provider of loan brokerage services, for $4.90 in cash per share, or a total value of $193.667 mil.</t>
  </si>
  <si>
    <t>Lodgian Inc</t>
  </si>
  <si>
    <t>Casuarina Cayman Holdings Ltd</t>
  </si>
  <si>
    <t>Casuarina Cayman Holdings Ltd (CCH) withdrew its plans to acquire the remaining 90. 68% interest, or 25.274 mil common shares, which it did not already own, in Lodgian Inc (LI) for $6.50 in cash per share, or a total value of $231.687 mil. Previously, in October 1999, CCH acquired a 9.32% stake, or 2.598 mil common shares, in LI for $11. 042 mil. The value included the 9.32% stake CCH acquired in LI.</t>
  </si>
  <si>
    <t>Crown Communications Corp</t>
  </si>
  <si>
    <t>Satellite communications svcs</t>
  </si>
  <si>
    <t>Crown Communications Corp acquired all the outstanding common stock of Nostalgia Network Inc for $.07 in cash per share, or a total value of $1.442 mil.</t>
  </si>
  <si>
    <t>Thermo TerraTech Inc(Thermo)</t>
  </si>
  <si>
    <t>Mnfr metal processing systems</t>
  </si>
  <si>
    <t>US - Thermo Electron Corp (TEC) acquired the remaining 13% stake, which it did not already own, in Thermo TerraTech Inc (TTT), manufacturer of metal processing systems, in a stock swap transaction valued at 80.691 mil, subject to a collar agreement. TEC offered .4 shares per TTT share. Based on TEC's closing stock price of $15 on December 17, the last full trading day prior to announcement, each TTT share was valued at $6.</t>
  </si>
  <si>
    <t>Safeskin Corp</t>
  </si>
  <si>
    <t>Mnfr latex med exam gloves</t>
  </si>
  <si>
    <t>Kimberly-Clark Corp (KC) acquired Safeskin Corp (SC) in a stock swap transaction valued at $882.142 mil, including the assumption of $115 mil in liabilities. KC offered .1956 common shares per SC common share. Based on KC's closing stock price of $67.0625 on November 16, the last full trading day prior to the announcement, each SC share was valued at $13.117.</t>
  </si>
  <si>
    <t>Innovative Valve Technologies</t>
  </si>
  <si>
    <t>Wholesale industrial valves</t>
  </si>
  <si>
    <t>Flowserve Corp</t>
  </si>
  <si>
    <t>US - Flowserve Corp completed its tender offer to acquire all the outstanding common stock of Innovative Valve Technologies Inc (VTI), a wholesaler of industrial valves, for $1.62 in cash per share, or a total value of $101.078 mil, including the assumption of $84 mil in liabilities, by accepting 9, 430,301 common shares, or 87. 28% of VTI's common stock outstanding.</t>
  </si>
  <si>
    <t>North American Vaccine Inc</t>
  </si>
  <si>
    <t>Mnfr,whl,develop vaccines</t>
  </si>
  <si>
    <t>Baxter International Inc (BI) acquired all the outstanding common stock of North American Vaccine Inc for an amended $6.73 per share, or a total value of $495.576 mil, including the assumption of $133 mil in liabilities. The consideration consisted of $6. 70 in common stock and $.03 in cash per share. Originally in November 1999, BI offered $7 per share.</t>
  </si>
  <si>
    <t>ONTRACK Data International</t>
  </si>
  <si>
    <t>Pvd data software svcs</t>
  </si>
  <si>
    <t>Legato Systems Inc (LS) terminated its definitive agreement to acquire all the outstanding common stock of ONTRACK Data International Inc (ODI) in a stock swap transaction valued at $138. 419 mil, including $20 mil in cash. LS offered .1491 common shares per ODI common share. Based on LS' closing stock price of $76.781 on November 17, the last full trading day prior to the announcement, each ODI share was valued at $13.456.</t>
  </si>
  <si>
    <t>Russ Berrie &amp; Co Inc</t>
  </si>
  <si>
    <t>Mnfr,whl infant products</t>
  </si>
  <si>
    <t>Evercore Partners Inc</t>
  </si>
  <si>
    <t>Evercore Partners LLC withdrew its plans to acquire all the outstanding common stock of Russ Berrie &amp; Co for $27 in cash per share, or a total value of $559.906 mil.</t>
  </si>
  <si>
    <t>US - Chesapeake Corp (CC) withdrew its tender offer to acquire all the outstanding common stock of Shorewood Packaging Corp (SP) for an amended $17.25 in cash per share, or a total value of $761.649 mil, including $270 mil in debt, in an unsolicited challenging hostile pac-man transaction. Originally, CC offered $16.5 in cash per share, or a total value of $728.677 mil, including $260 mil in debt. Previously, SP offered to acquire all the outstanding common stock of CC. Subsequently, CC acquired a 14.9% stake in SP from Ariel Capital Management for $17.25 in cash per share. Later, International Paper Co, acting as a white-knight, agreed to acquire all the outstanding common stock of SP for $21 in cash per share.</t>
  </si>
  <si>
    <t>Worldtalk Communications Corp</t>
  </si>
  <si>
    <t>Tumbleweed Communications Corp</t>
  </si>
  <si>
    <t>Tumblewood Communications Corp (TC) acquired Worldtalk Communications Corp (WC), doing business as Worldtalk Corp, in a stock swap transaction valued at $146. 741 mil. TC offered .26 common shares per WC share. Based on TC's closing stock price of $39.50 on November 17, the last full trading day prior to the announcement, each WC share was valued at $10.27. The transaction was accounted for as a pooling of interests.</t>
  </si>
  <si>
    <t>EuroWeb International Corp</t>
  </si>
  <si>
    <t>Koninklijke KPN NV</t>
  </si>
  <si>
    <t>Koninklijke KPN NV acquired a 52.969% interest, or 10.3 mil newly issued common shares, in EuroWeb International Corp for $1.58 per share, or a total value of $16.274 mil.</t>
  </si>
  <si>
    <t>Flextronics International Ltd</t>
  </si>
  <si>
    <t>Manufacture electronic component</t>
  </si>
  <si>
    <t>Flextronics International Ltd (FIL) merged with DII Group Inc (DII) in a stock swap transaction valued at $2. 591 bil. FIL offered .805 shares for each DII share. Based on FIL's closing stock price of $81.25 on November 19, the last full trading day prior to the announcement, each DII share was valued at $65.406. The transaction was accounted for as a pooling of interests.</t>
  </si>
  <si>
    <t>E'town Corp</t>
  </si>
  <si>
    <t>Water utility;holding company</t>
  </si>
  <si>
    <t>Thames Water PLC</t>
  </si>
  <si>
    <t>Thames Water PLC (TW) acquired all the outstanding common stock of E'Town Corp for $68 in cash per share, or a total value of $1.077 bil, including the assumption of $334.213 mil in liabilities. Subsequently, RWE AG of Germany agreed to acquire TW via a recommended tender offer valued at $6.23 bil (4. 292 bil british pounds). However, the RWE acquisition is conditional upon the E'Town acquisition remaining uncompleted due to further regulatory complications.</t>
  </si>
  <si>
    <t>Garden Ridge Corp</t>
  </si>
  <si>
    <t>Own,op homefurnishing stores</t>
  </si>
  <si>
    <t>GR Acquisition Corp</t>
  </si>
  <si>
    <t>GR Acquisition Corp, a unit of GRDG Holdings LLC, acquired the remaining 69.1% interest, or 11.816 mil common shares, which it did not already own, in Garden Ridge Corp via a tender offer for $11.5 in cash per share, or a total value of $144.432 mil, in a leveraged buyout transaction. Earlier the group completed its tender offer by accepting 10,224,750 shares, or 86.5% of the shares not already owned. The offer was conditioned upon at least 51% of the shares being tendered.</t>
  </si>
  <si>
    <t>Gilmer Financial Services Inc</t>
  </si>
  <si>
    <t>US - East Texas Financial Services acquired all the outstanding common stock of Gilmer Financial Services.</t>
  </si>
  <si>
    <t>nFront Inc</t>
  </si>
  <si>
    <t>Pvd Internet banking prods</t>
  </si>
  <si>
    <t>Digital Insight Corp</t>
  </si>
  <si>
    <t>Pvd online bkg svcs</t>
  </si>
  <si>
    <t>Digital Insight Corp (DI) merged with nFront Inc (NF) in a stock swap transaction valued at $439.855 mil. DI offered .579 common shares per NF share. Based on DI's closing stock price of $50. 125 on November 19, the last full trading day prior to the announcement, each NF share was valued at $29.022. Upon completion, the combined entity operated under the DI name.</t>
  </si>
  <si>
    <t>TJ International Inc</t>
  </si>
  <si>
    <t>Manufacture building trusses</t>
  </si>
  <si>
    <t>Weyerhaeuser Co Ltd</t>
  </si>
  <si>
    <t>Mnfr paper,forest products</t>
  </si>
  <si>
    <t>US - Weyerhaeuser Co (WC) acquired all the outstanding common stock of TJ International Inc (TJ) for $42 in cash per share, or a total value of $690.293 mil. Earlier, WC completed its tender offer for TJ by accepting 15.423 mil common shares, or about 90.7% of TJ's common stock. The offer was conditioned upon at least 50.1% of TJ common shares being tendered. Via its acquisition of TJ, WC was to acquire the remaining 51% interest that it did not already own in Trus Joint MacMillan LP, a joint venture between JT and WC, of which WC owns the other 49% stake.</t>
  </si>
  <si>
    <t>TREEV Inc</t>
  </si>
  <si>
    <t>Pvd management systems svcs</t>
  </si>
  <si>
    <t>Ceat Cavi-Cable Making Bus</t>
  </si>
  <si>
    <t>Mnfr nonferrous drawn wire</t>
  </si>
  <si>
    <t>CE Computer Equipment AG (CE) acquired all the outstanding common stock of Treev Inc in exchange for 1.33 mil ordinary shares valued at $103.615 mil. The shares were valued based on CE's closing stock price of $77.906 on November 19, the last full trading day prior to the announcement.</t>
  </si>
  <si>
    <t>Algos Pharmaceutical Corp</t>
  </si>
  <si>
    <t>Endo Pharmaceuticals Inc</t>
  </si>
  <si>
    <t>Endo Pharmaceuticals Holdings Inc (EP) merged with Algos Pharmaceutical Corp (AP) to form a new company named Endo Inc (NEI) in a stock swap transaction. AP shareholders were to receive 1 NEI common share per share held. The transaction was to be accounted for as a pooling of interests and was subject to regulatory approval. Upon completion, Kelso &amp; Co was to own a majority of the shares or NEI due to its shareholding in EP.</t>
  </si>
  <si>
    <t>Bolle Inc</t>
  </si>
  <si>
    <t>Mnfr,whl sunglasses,goggles</t>
  </si>
  <si>
    <t>Worldwide Sports &amp; Recreation</t>
  </si>
  <si>
    <t>Whl sporting,recreational prod</t>
  </si>
  <si>
    <t>Worldwide Sports &amp; Recreation Inc acquired all the outstanding common stock of Bolle Inc (BI) for $5.25 in cash per common, share or a total value of $92.003 mil, including the assumption of $47.799 mil in liabilities, by accepting 6.483 mil common shares, or about 91.5% of the BI's common stock outstanding. The offer was conditioned upon at least 90% of BI's shares being tendered.</t>
  </si>
  <si>
    <t>Connectinc.com</t>
  </si>
  <si>
    <t>Pvd internet integration svcs</t>
  </si>
  <si>
    <t>Calico Commerce Inc</t>
  </si>
  <si>
    <t>Calico Commerce Inc (CCI) acquired ConnectInc.com (CIC) in a stock swap transaction valued at $89.722 mil. CCI offered .081 common shares per CIC share. Based on CCI's closing stock price of $67 on November 18, the last full trading day prior to the announcement, each CIC share was valued at $5.427.</t>
  </si>
  <si>
    <t>Mecon Inc</t>
  </si>
  <si>
    <t>Pvd oper benchmarking data svc</t>
  </si>
  <si>
    <t>GE Medical Systems, a unit of General Electric Co (GE), acquired MECON Inc (MI) in a stock swap transaction valued at $85.249 mil. GE offered . 081 common shares per MI share. Based on GE's closing stock price of $136.5 on February 7, the last full trading day prior to the announcement of the exchange ratio, each MI share was valued at $11.057.</t>
  </si>
  <si>
    <t>Optical Security Group Inc</t>
  </si>
  <si>
    <t>Mnfr,whl security labels,foils</t>
  </si>
  <si>
    <t>Applied Holographics PLC</t>
  </si>
  <si>
    <t>Pvd anti-counterfeiting svcs</t>
  </si>
  <si>
    <t>Applied Holographics PLC (AH) acquired all the outstanding common stock of Optical Security Group Inc (OS) for $7 in cash per share, or a total value of $53.309 mil. Earlier, AH completed its tender offer for OS by accepting 5.876 mil common shares, or about 95% of the company's common stock. The transaction was conditioned upon at least a majority of the shares being tendered on a fully-diluted basis. Originally iIn November 1997, OS disclosed that it was seeking a buyer for the company. Upon completion, the newly-merged company was to changed its name to Applied Optical Technologies PLC.</t>
  </si>
  <si>
    <t>Informix Corp (IN) acquired Ardent Software Inc (AS) in a stock swap transaction valued at $909.188 mil. IN offered 3. 5 common shares per AS share. Based on IN's closing stock price of $11 on November 30, the last full trading day prior to the announcement, each AS share was valued at $38.50. The transaction was to be accounted for as a pooling of interests.</t>
  </si>
  <si>
    <t>Bio-Plexus Inc</t>
  </si>
  <si>
    <t>Mnfr blood collection needle</t>
  </si>
  <si>
    <t>Appaloosa Management LP</t>
  </si>
  <si>
    <t>Private eq fund</t>
  </si>
  <si>
    <t>US - Appaloosa Management LP acquired an undisclosed majority interest in Bio- Plexus Inc, investment company. Terms were not disclosed.</t>
  </si>
  <si>
    <t>Boise Cascade Office Products</t>
  </si>
  <si>
    <t>Whl stationary,office supplies</t>
  </si>
  <si>
    <t>Boise Cascade Corp</t>
  </si>
  <si>
    <t>Mnfr paper,paper prod</t>
  </si>
  <si>
    <t>US - Boise Cascade Corp (BC) acquired the remaining 18.8% stake, or 12.5 mil shares, which it did not already own, in Boise Cascade Office Products Corp (BCO), a business-to-business office distributor, for a sweetened $16.5 in cash per share, or a total value of $205.257 mil. Earlier, BC completed its tender offer for BCO by accepting 11,921,355 shares, or 18.118% of BCO's shares. Originally, BC offered $13.25 mil in cash per share, or a total value of $163.948 mil.</t>
  </si>
  <si>
    <t>Celtrix Pharmaceuticals Inc</t>
  </si>
  <si>
    <t>InsMed Pharmaceuticals Inc</t>
  </si>
  <si>
    <t>Insmed Pharmaceuticals Inc (IP) agreed to merge with Celtrix Pharmaceuticals Inc (CP) to form a new company (NC) in a stock swap transaction. CP common shareholders were to receive 1 NC common share and IP shareholders were to receive 3.5 common shares per share held. IP was to hold 50% interest and CP was to hold 41% stake in NC.</t>
  </si>
  <si>
    <t>King Pharmaceuticals Inc</t>
  </si>
  <si>
    <t>King Pharmaceuticals Inc (KP) acquired all the outstanding common stock of Medco Research Inc (MR) in a stock swap transaction valued at $378.74 mil. KP offered $34 in common stock per MR share. Originally KP offered .6818 common shares per MR share, subject to a collar agreement, which was subsequently breached. The transaction was accounted for as a pooling of interests.</t>
  </si>
  <si>
    <t>Pointe Communications Corp</t>
  </si>
  <si>
    <t>Telscape International Inc</t>
  </si>
  <si>
    <t>US - Telscape International Inc (TII) merged with Pointe Communications Corp (PCC), a provider of enhanced telecommunications products and services, in a stock swap transaction valued at $208. 503 mil. TII offered .224 common shares per PCC share. Based on TII's closing stock price of $9.438 on November 30, 1999 the last full trading day prior to the announcement, each PCC share was valued at $2.114.</t>
  </si>
  <si>
    <t>Valley Resources Inc</t>
  </si>
  <si>
    <t>Southern Union Co acquired all the outstanding common stock of Valley Resources Inc for $25 in cash per share, or a total value of $159.826 mil, including the assumption of $35 mil in liabilities.</t>
  </si>
  <si>
    <t>All Communications Corp</t>
  </si>
  <si>
    <t>View Tech Inc</t>
  </si>
  <si>
    <t>Wholesale video commun systems</t>
  </si>
  <si>
    <t>US - View Tech Inc (VTI) merged with All Communications Corp (ACC), a manufacturer of communications equipment, in a reverse stock swap transaction valued at $38.482 mil. VTI offered 3.3 common shares per ACC share. Based on VTI's closing stock price of $2.375 on December 1, the last full trading day prior to the announcement, each ACC share was valued at $7.8735. Upon completion, the combined company was renamed Wire One Technologies Inc. ACC was to own 70% of the combined company and VTI the remaining 30%. ACC's President and Chief Executive, Richard Reiss, will retain those titles for the merged company.</t>
  </si>
  <si>
    <t>MECH Financial Inc</t>
  </si>
  <si>
    <t>Commercial savings bank</t>
  </si>
  <si>
    <t>Webster Financial Corp, Waterbuy, Connecticut, (WF) acquired Mech Financial Inc, Hartford, Connecticut (MF), in a stock swap transaction valued at $206.408 mil. WF offered 1.52 common shares per MF share. Based on WF's closing stock price of $26 on December 1, the last full trading day prior to the announcement, each MF share was valued at $39.52. Originally, the transaction was to be accounted for as a pooling of interests, but because WF's closing stock price had fallen since the deal was signed, WF decided not to use the pooling of interests method of accounting.</t>
  </si>
  <si>
    <t>Analogy Inc</t>
  </si>
  <si>
    <t>Design,develop comp software</t>
  </si>
  <si>
    <t>Avant Corp</t>
  </si>
  <si>
    <t>Dvlp circuit design software</t>
  </si>
  <si>
    <t>Avant Corp acquired all the outstanding common stock of Analogy Inc, for approximately $2.48 in cash per share, or a total value of $24.258 mil.</t>
  </si>
  <si>
    <t>Dualstar Technologies Corp</t>
  </si>
  <si>
    <t>Pvd systems installation svcs</t>
  </si>
  <si>
    <t>Blackacre Capital Management</t>
  </si>
  <si>
    <t>US - Blackacre Capital Management LLC (BCM) definitively agreed to acquire 51.7% interest, or 11. 5 mil common shares, in Dualstar Technologies Corp, a provider of engineering services, for $4 per share, or a total value of $46.2 mil. As an alternative BCM had the option of a $30 mil 10-yr promissory note convertible into 7.5 mil common shares at a price of $4 per share and 4. 05 common shares also at a price of $4 per share.</t>
  </si>
  <si>
    <t>Nexland Inc</t>
  </si>
  <si>
    <t>Pvd Internet,sec access svcs</t>
  </si>
  <si>
    <t>Winstar Resources Inc</t>
  </si>
  <si>
    <t>Winstar Resources Inc (WR) agreed to acquire all the outstanding stock of Nexland Inc in exchange for 29.5 mil WR restricted common shares.</t>
  </si>
  <si>
    <t>Specialty Catalog Corp</t>
  </si>
  <si>
    <t>Own,op multi-channel wig mktg</t>
  </si>
  <si>
    <t>Golub Associates</t>
  </si>
  <si>
    <t>Golub Associates terminated its agreement to acquire Specialty Catalog Corp for $5 in cash per share, or a total value of $22.22 mil.</t>
  </si>
  <si>
    <t>Kinnard Investments Inc</t>
  </si>
  <si>
    <t>Stockwalk.Com Group Inc</t>
  </si>
  <si>
    <t>Pvd retail brokerage svs</t>
  </si>
  <si>
    <t>US - Stockwalk.com Group Inc (SGI) terminated its launched unsolicited tender offer to acquire all the outstanding common stock of Kinnard Investments Inc, an investment bank, for a sweetened $8 in cash per share, or a total value of $40.902 mil in cash. Previously, SGI offered $7.5 in cash per share.</t>
  </si>
  <si>
    <t>NewsEdge Corp</t>
  </si>
  <si>
    <t>Pvd online news svcs</t>
  </si>
  <si>
    <t>RoweCom Inc</t>
  </si>
  <si>
    <t>Pvd subscript magazines svcs</t>
  </si>
  <si>
    <t>Rowecom Inc (RI) terminated its agreement to merge with Newsedge Corp (NC) in a stock swap transaction valued at $243.811 mil. RI offered .26 common shares per NC share. Based on RI's closing stock price of $50.125 on December 6, the last full trading day prior to the announcement, each NC share was valued at $13.033.</t>
  </si>
  <si>
    <t>Pioneer American Holding Corp</t>
  </si>
  <si>
    <t>NBT Bancorp Inc (NBT), Norwich, New York, acquired Pioneer American Holding Corp (PAH) in a stock swap transaction valued at $85.861 mil. NBT offered 1.805 common shares per PAH share. Based on NBT's closing stock price of $16.25 on December 6, the last full trading day prior to the announcement, each PAH share was valued at $29.33.</t>
  </si>
  <si>
    <t>Simon Transportation Services</t>
  </si>
  <si>
    <t>Jerry Moyes</t>
  </si>
  <si>
    <t>Mr Jerry Moyes (JM) terminated his tender offer to raise its interest to 69. 76% from 11.254% in Simon Transportation Services Inc (ST) by acquiring 3.575 mil common shares for a sweetened $7 per share, or a total value of $25.025 mil. Originally, JM offered $6.8 per share, or total value of $24.31 mil. The offer was conditioned upon at least a majority of ST's shares being tendered.</t>
  </si>
  <si>
    <t>Telident Inc</t>
  </si>
  <si>
    <t>Mnfr telecomm software</t>
  </si>
  <si>
    <t>Teltronics Inc (TT) acquired all the outstanding common stock of Telident Inc (TD) in exchange for .663 mil common shares valued at $2.278 mil. The shares were valued based on TT's closing stock price of $3.438 on December 6, the last full trading day prior to the announcement.</t>
  </si>
  <si>
    <t>Heico Cos LLC</t>
  </si>
  <si>
    <t>Heico Companies LLC completed its tender offer to acquire the remaining 30.8% stake, or 4.959 mil common shares, which it did not already own, in Robertson- Ceco Corp for an amended $11. 5 in cash per share, or a total value of $57.026 mil, by accepting 4,207,502 shares, or about 84.85% of the remaining common shares outstanding.</t>
  </si>
  <si>
    <t>Advanced Communication Systems</t>
  </si>
  <si>
    <t>Pvd commun,info sys svcs</t>
  </si>
  <si>
    <t>US- Titan Corp (TC), merged with Advanced Communication Systems Inc (ACS), an information technology provider to military and government agencies, in a tax- free stock swap transaction valued at $306.634 mil, including the assumption of an estimated $55 mil in liabilities. TC offered $20 in common stock per ASC share, subject to a collar agreement. The transaction was accounted for as a pooling of interests.</t>
  </si>
  <si>
    <t>A management-led investor group, including Vestar Capital Partners, merged with Gleason Corp (GC) for $23 in cash per share, or a total value of $320.482 mil, including the assumption of $100 mil in liabilities, in a leveraged buyout transaction. Previously, the investor group completed its tender offer by accepting 5,771,399 shares, or 60.19% of GC's common stock outstanding . The offer was conditioned upon at least 4.863 mil shares being tendered.</t>
  </si>
  <si>
    <t>Imtec Inc</t>
  </si>
  <si>
    <t>Mnfr,whl bar code printers</t>
  </si>
  <si>
    <t>Brady Corp</t>
  </si>
  <si>
    <t>Mnfr,whl identification prod</t>
  </si>
  <si>
    <t>US - Brady Co (BC) acquired all the outstanding common stock of Imtec Inc (II), a manufacturer and wholesaler of bar code printers, for $12 in cash per share, or a total value of $20.153 mil. Previously, BC completed its tender offer by accepting 1, 565,403 shares, or 98.1% of II's shares. The offer was conditioned upon at least 75% of II's shares being tendered on a fully-diluted basis.</t>
  </si>
  <si>
    <t>REXX Environmental Corp</t>
  </si>
  <si>
    <t>Pvd asbestos contracting svcs</t>
  </si>
  <si>
    <t>TWG Inc</t>
  </si>
  <si>
    <t>TWG Inc (TWG) acquired all the outstanding common stock of REXX Environmental Corp (REXX) in a stock swap transaction. Previously, REXX agreed to divest its Watkins Contracting (WC) unit. TWG's acquisition was contingent upon the completion of the sale of WC.</t>
  </si>
  <si>
    <t>Galaxy Enterprises Inc</t>
  </si>
  <si>
    <t>Own,op internet sites</t>
  </si>
  <si>
    <t>US - NetGateway Inc (NI) merged with Galaxy Enterprises Inc (GE) in a stock swap transaction valued at an estimated $50.508 mil. NI offered an estimated .63 common shares per GE share held. Based on NI's closing stock price of $11.75 on March 10, the last full trading day prior to the amendment, each GE share was valued at $7.403. Previously, NI offered an estimated 5 mil common shares.</t>
  </si>
  <si>
    <t>Kranzco Realty Trust</t>
  </si>
  <si>
    <t>CV Reit Inc</t>
  </si>
  <si>
    <t>CV Reit Inc (CR) merged with Kranzco Realty Trust (KR) to form Kramont Realty Trust (KRT) in a reverse stock swap transaction valued at $130. 895 mil. KR common shareholders received 1 KRT common share and CR common shareholders received 1 KRT common share per share held. Based on CR's closing stock price of $10.75 on December 10, the last full trading day prior to the announcement, each CR share was valued at $10.75.</t>
  </si>
  <si>
    <t>NetMoves</t>
  </si>
  <si>
    <t>Pvd internet fax message svc</t>
  </si>
  <si>
    <t>Mail.com Inc</t>
  </si>
  <si>
    <t>Pvd internet email svcs</t>
  </si>
  <si>
    <t>US - Mail.com Inc (MC) merged with Netmoves (NM) in a stock swap transaction valued at $179.833 mil. MC offered .385 common shares per NM share. Based on MC's closing stock price of $25. 625 on December 10, the last full trading day prior to the announcement, each NM share was valued at $9.866.</t>
  </si>
  <si>
    <t>Unit Corp (UC) acquired all the outstanding common stock of Questa Oil &amp; Gas Co (QO) in a stock swap transaction valued at $9.086 mil. UC offered .95 common shares per QO share. Based on UC's closing stock price of $5 on December 10, the last full trading day prior to the announcement, each QO share was valued at $4.75. The transaction was accounted for as a pooling of interests.</t>
  </si>
  <si>
    <t>Teltrend Inc</t>
  </si>
  <si>
    <t>Mnfr,whl transmission products</t>
  </si>
  <si>
    <t>US - Westell Technologies Inc (WT) acquired Teltrend Inc (TI), a manufacturer and wholesaler of transmission products, in a stock swap transaction valued at $220. 291 mil. WT offered 3.3 common shares per TI share. Based on WT's closing stock price of $10.75 on December 10, each TI share was valued at $35.475.</t>
  </si>
  <si>
    <t>Transportation Tech Ind Inc</t>
  </si>
  <si>
    <t>US - A management-led investor group, including Chairman and CEO Thomas Begel, and President and COO Andrew Weller, merged with Transportation Technologies Industries Inc (TII), a manufacturer of truck parts and freight equipment, for an amended $21.5 in cash per share, or a total value of $221.312 mil, in a leveraged buyout transaction, by accepting 8.756 mil common shares, or about 85.06% of TII's common shares. The offer was conditioned upon at least a majority of the shares being tendered on a fully-diluted basis. Previously, the group offered $20 in cash per share. The offer is expected to begin no later than February 4. Upon completion, TII was to become a privately held company and delist from Nasdaq.</t>
  </si>
  <si>
    <t>USWeb/CKS</t>
  </si>
  <si>
    <t>Whittman-Hart Inc</t>
  </si>
  <si>
    <t>Pvd IT business solutions svcs</t>
  </si>
  <si>
    <t>Whittman-Hart (WH) merged with USWeb/CKS (US) in a stock swap merger-of-equals transaction valued at $7.28 bil. WH offered .865 common shares per US share. Based on WH's closing stock price of $79.25 on December 10, the last full trading day prior to the announcement, each US share was valued at $68.55. Upon completion of the reverse takeover, US was to hold a 57% interest in the merged entity, which was to have a new corporate name and new logo. The new name, identity, and ticker symbol for the combined company was to be disclosed on March 23.</t>
  </si>
  <si>
    <t>CSB Financial Group Inc,IL</t>
  </si>
  <si>
    <t>Savings and loan;bank hldg co</t>
  </si>
  <si>
    <t>Midland States Bancorp-Central</t>
  </si>
  <si>
    <t>Midland States Bancorp, Effingham, Illinois, merged with CSB Financial Group Inc, Centralia, Illinois, a savings and loan bank holding company, for $12 mil.</t>
  </si>
  <si>
    <t>US - International Specialty Products Inc (ISP) terminated it's launched unsolicited hositle tender offer to acquire the remaining 90.02% interest, or 20.742 mil common shares, that it did not already own, in Dexter Corp (DC), a manufacturer of adhesives and coatings, for an amended $45 per share or a total value of $942.312 mil. Previously, ISP offered a sweetened $50 per share, or a total value of $1.048 bil. The bid comes after ISP made attempts to persuade DC to separate its Life Technologies Inc unit from the rest of the chemicals company. Originally, ISP offered $45 per share, or a total value of $942.312 mil. ISP lower the bid to its originaly offer after it ended discussions with DC and decided to wage a proxy contest. Subsequently, Invitrogen Corp, (IC) acting as a white-knight, completed a challenging offer to acquire all the outstanding common stock of DC for a choice of $62.50 in cash per share or $17.50 in cash and $45 in common stock per share. This transaction was to include DC's 75% interest in its majority-owned subsidiary Life Technologies Inc (LT). In a separate transaction IC agreed to acquire the remaining 25% stake in LT for $60 in cash per share.</t>
  </si>
  <si>
    <t>Sabre Holding Corp(AMR Corp)</t>
  </si>
  <si>
    <t>Pvd elec travel info dist svcs</t>
  </si>
  <si>
    <t>US - AMR Corp (AMR) completed the spin off its 83% interest, or 107.374 mil common shares, in its Sabre Holdings Corp (SHC) unit, an information technology services provider for the travel and transportation industries, to its shareholders in a transaction valued at $5.194 bil. AMR shareholders received .7 SHC common shares per AMR share held. The shares were valued based on SHC's closing stock price of $48.374 on March 15, the first full trading day on which the shares were distributed.</t>
  </si>
  <si>
    <t>Unocal Corp</t>
  </si>
  <si>
    <t>US- Unocal Corp (UC) acquired all the outstanding common stock of Titan Exploration Inc (TEI) in a stock swap transaction valued at $234.003 mil. Upon completion UC merged its oil and gas exploration and production assets in the Permian Basin and San Juan Basin areas of Texas, New Mexico, and Colorado with TEI to form a new company named Pure Energy Resources Inc (PER). TEI shareholders received .4302314 PER shares per TEI share held . The shares were valued based on PER's closing stock price of $14.75 on May 26, 2000, the first full tading day on which the shares were distributed. Upon completion, UC was to hold 65% interest in PER.</t>
  </si>
  <si>
    <t>Coast Bancorp</t>
  </si>
  <si>
    <t>Greater Bay Bancorp (GB), Palo Alto, California, acquired Coast Bancorp (CB), Santa Cruz, California, in a stock swap transaction valued at $127.767 mil. GB offered . 633 common shares per CB share. Based on GB's closing stock price of $40.5 on December 14, the last full trading day prior to the announcement, each CB share was valued at $25.637. Subsequently, GB definitively agreed to merge with Bank of Santa Clara (BS), Santa Clara, California , in a stock swap transaction valued at $87.541 mil, subject to a collar agreement. Upon completion, BS was to own 11% of GB's common stock outstanding, assuming GB completes the previously announced agreements to acquire Mt Diablo Banchshares, Danville, California, and CB.</t>
  </si>
  <si>
    <t>Elite Information Group Inc</t>
  </si>
  <si>
    <t>Solution 6 Holdings Ltd</t>
  </si>
  <si>
    <t>Dvlp mgmt software</t>
  </si>
  <si>
    <t>US - Solution 6 Holdings Ltd withdrew its tender offer to acquire all the outstanding common stock of Elite Information Group Inc, a developer of financial information systems, for $11 in cash per share, or a total value of $103.608 mil. The offer was conditioned upon at least a majority of the shares being tendered on a fully-diluted basis.</t>
  </si>
  <si>
    <t>First Banking Co of Southeast</t>
  </si>
  <si>
    <t>National &amp; State banks</t>
  </si>
  <si>
    <t>BB&amp;T Corp, Winston-Salem, North Carolina (BBT) acquired all the outstanding common stock of First Banking Co of Southeast Georgia (FBG) in a stock swap transaction valued at $122.149. BBT offered .74 common shares per FBG share. Based on BBT's closing stock price of $29.5 on December 14, the last full trading day prior to the annoucement, each FBG share was valued at $21.83.</t>
  </si>
  <si>
    <t>ThermoLase Corp(ThermoTrex)</t>
  </si>
  <si>
    <t>Mnfr personal care products</t>
  </si>
  <si>
    <t>US - Thermo Electron Corp (TEC) merged with ThermoLase Corp, (TLC) a manufacturer of personal care products and its 81% owned subsidiary, by acquiring the remaining 19% stake, or 7.476 mil common shares, which it does not already own, in a stock swap transaction valued at $36.44 mil. TEC offered .132 common shares per TLC share. Based on TLC's closing stock price of $20.695 on August 14, the last full trading day prior to the announcement, each TLC share was valued at $2.732. Upon completion TLC was to be privately held. Originally, TEC offered $2.439 in common shares per share, subject to a collar agreement which was subsequently breached.</t>
  </si>
  <si>
    <t>Yesmail.com Inc</t>
  </si>
  <si>
    <t>Pvd email direct marketing svc</t>
  </si>
  <si>
    <t>US - CMGI Inc (CMG) acquired all the outstanding common stock of Yesmail.com (YES), a Web-based direct marketing company, in a stock swap transaction valued at $522.71 mil. CMG offered .1252 common shares per YES share. Based on CMG's closing stock price of $205.75 on December 14, the last full trading day prior to the announcement, each YES share was valued at $25.719.</t>
  </si>
  <si>
    <t>Be Inc</t>
  </si>
  <si>
    <t>Develop operating systems</t>
  </si>
  <si>
    <t>Red Hat Inc</t>
  </si>
  <si>
    <t>Develop open source software</t>
  </si>
  <si>
    <t>US - Red Hat Inc was rumored to be planning to acquire Be Inc, a developer of an operating system for digital media and Internet appliances. The Current status of this deal is unknown.</t>
  </si>
  <si>
    <t>First Savings Bancorp Inc,NC</t>
  </si>
  <si>
    <t>US - First Bancorp (FB) acquired First Savings Bancorp Inc (FSB), Southern Pines, North Carolina, a commercial bank, in a stock swap transaction valued at $77.923 mil. FB offered 1.247 shares per FSB share. Based on FB's closing stock price of $17 on December 15, the last full trading day prior to announcement, each FSB share was valued at $21.196. Subsequently, an investor group led by Stanley J. Bradshaw made an unsolicted challenging offer to acquire FSB.</t>
  </si>
  <si>
    <t>Protocol Systems Inc</t>
  </si>
  <si>
    <t>Mnfr patient monitors</t>
  </si>
  <si>
    <t>Invivo Corp</t>
  </si>
  <si>
    <t>Mnfr,whl medical equip</t>
  </si>
  <si>
    <t>US - Invivo Corp (IC) withdrew its hostile offer to acquire all the outstanding common stock of Protocol Systems Inc (PS), manufacturer of patient monitoring equipment, for an amended USD 12 cash per share, or a total value of $102.239 mil. Previously in December 1999, IC offered $5 in cash and $5 in common stock per share. Originally, on November 4, IC submitted an offer to acquire PS.</t>
  </si>
  <si>
    <t>ThermoTrex Corp</t>
  </si>
  <si>
    <t>Pvd electromedical services</t>
  </si>
  <si>
    <t>US - Thermo Electron Corp acquired the remaining 20% stake, that it did not already own, in ThermoTrex Corp, a provider of electromedical services, in a stock swap transaction valued at $36.929 mil. Thermo Electron Corp offered .5503 common shares per ThermoTrex Corp share. Based on Thermo Electron Corp's closing stock price of $15 on December 16, the last full trading day prior to announcement, each ThermoTrex Corp share was valued at $8.255.</t>
  </si>
  <si>
    <t>Virginia Gas Co</t>
  </si>
  <si>
    <t>Pvd oil and gas expl svcs</t>
  </si>
  <si>
    <t>US - A management-led investor group comprised of Virginia Gas Co (VGC) President and CEO Michael Edwards, withdrew its plans to acquire all the outstanding common stock of VGC for $4 in cash per share, or a total value of $22.02 mil in a leveraged buyout transaction.</t>
  </si>
  <si>
    <t>EIS International Inc</t>
  </si>
  <si>
    <t>Mnfr call center systems</t>
  </si>
  <si>
    <t>SER Systems AG</t>
  </si>
  <si>
    <t>US- SER Systeme AG (SS) acquired all the outstanding common stock of EIS International Inc (EI) for $6. 25 in cash per share, or a total value of $67.257 mil. Previously, SS completed its tender offer for EI by accepting 9,987,112 common shares, or 88.44% of EI's common stock outstanding. The offer was conditioned upon at least a majority of EI's shares being tendered.</t>
  </si>
  <si>
    <t>MMI Cos Inc</t>
  </si>
  <si>
    <t>Medical malpractice ins co</t>
  </si>
  <si>
    <t>US - St. Paul Companies Inc acquired all the outstanding common stock of MMI Cos for $10 in cash per share, or a total value of an estimated $192.958 mil.</t>
  </si>
  <si>
    <t>Maker Communications Inc</t>
  </si>
  <si>
    <t>Manufacture silicon technology</t>
  </si>
  <si>
    <t>Conexant Systems Inc</t>
  </si>
  <si>
    <t>US - Conexant Systems Inc (CS) acquired Maker Communications Inc (MI), a manufacturer of silicon technology, in a stock swap transaction valued at $846. 707 mil. CS offered .66 common shares per MI share. Based on CS's closing stock price of $69.625 on December 17 the last full trading day prior to the announcement, each MI share was valued at $45.953.</t>
  </si>
  <si>
    <t>NFO Worldwide Inc</t>
  </si>
  <si>
    <t>Pvd advertising research svcs</t>
  </si>
  <si>
    <t>Interpublic Group Of Cos Inc</t>
  </si>
  <si>
    <t>Pvd marketing,advertising svcs</t>
  </si>
  <si>
    <t>US - Interpublic Group of Companies Inc (IG) acquired all the outstanding common stock of NFO Worldwide Inc (NFO), an advertising research company, in a stock swap transaction valued at $674.186 mil, including the assumption of $175.8 mil in liabilities, subject to an amended collar agreement. IG offered .5503 common shares per NFO common share. Based on IG's closing stock price of $38.5 on April 19, the last full trading day prior to the completion, each NFO share was valued at $21.187. Previously, IG offered $26 in common stock per NFO share, subject to a collar agreement. IG chnaged its bid in response to an offer made by an undisclosed acquiror, which was subsequently rejected.</t>
  </si>
  <si>
    <t>Integrated Capital Associates</t>
  </si>
  <si>
    <t>US - Integrated Capital Associates Inc (ICA) acquired all the outstanding common stock of PS Group Holdings (PSG), an investment holding company, for $12 per share, or a total value of $72.82 mil. Upon completion, PSG acquired an insurance policy to fund the obligations of PSG and its Statex Petroleum subsidiary to their retirees.</t>
  </si>
  <si>
    <t>Permanent Bancorp Inc,Indiana</t>
  </si>
  <si>
    <t>US- Old National Bancorp (ONB), Evansville, Indiana, acquired Permanent Bancorp Inc (PBI), Evansville, Indiana, ina a stock swap transaction valued at $109. 275 mil. ONB offered .7719 common shares per PBI share. Based on ONB's closing stock price of $33.125 on December 17, the last full trading day prior to the announcement, each PBI share was valued at 25.569. The transaction was subject to a collar agreement.</t>
  </si>
  <si>
    <t>US - Monsanto Co (MO) merged with Pharmacia &amp; Upjohn Inc (PU), a manufacturer of pharmaceutical products, to form Pharmacia Corp (PC), in a merger of equals stock swap transaction valued at $26.486 bil. PU shareholders were to receive 1.19 PC common shares and MO shareholders were to receive 1 PC common share per share held. Based on MO's closing stock price of $41.75 on December 17, the last full trading day prior to the announcement, each PU share was valued at $49.683. Upon completion, MO shareholders were to hold 51% and PU shareholders were to hold 49% in the new company, which was to be the world's eleventh largest pharmaceutical company, with a market capitalization of approximately $50 bil. The transaction was to be accounted for as a pooling of interests. PC began trading on the New York and Stockholm Stock exchanges on April 3, 2000 under the ticker PHA.</t>
  </si>
  <si>
    <t>Pittway Corp</t>
  </si>
  <si>
    <t>Honeywell International Inc</t>
  </si>
  <si>
    <t>Manufacture automation,aerospace solutions products</t>
  </si>
  <si>
    <t>US - Honeywell International Inc (HI) acquired all the outstanding common stock of Pittway Corp (PC), for $45.5 in cash per share, or a total value of $2.199 bil, including the assumption of $167 mil in liabilities. Earlier, HI completed its tender offer for PC by accepting 42.2 mil common shares, or 98.7% of PC's shares. The offer was conditioned upon at least 66. 67% of PC's shares being tendered</t>
  </si>
  <si>
    <t>Plasma-Therm Inc</t>
  </si>
  <si>
    <t>Mnfr plasma-tech semicond sys</t>
  </si>
  <si>
    <t>Oerlikon-Buehrle Holding AG</t>
  </si>
  <si>
    <t>Mnfr anti-aircraft sys;hldg co</t>
  </si>
  <si>
    <t>US - Oerlikon-Buehrle Holding AG (OB) acquired all the outstanding common stock of Plasma-Therm Inc (PT), a manufacturer of semiconductors and electronic components, for $12.50 in cash per share, or a total value of $155.004 mil. Earlier, OB completed its tender offer to acquire PT by accepting 10,629,473 shares, or 94.74% of PT's common stock outstanding . The offer was conditioned upon at leat a majority of PT's common shares being tendered.</t>
  </si>
  <si>
    <t>Showpower Inc</t>
  </si>
  <si>
    <t>GE Power Systems</t>
  </si>
  <si>
    <t>Mnfr power generators</t>
  </si>
  <si>
    <t>US - GE Power Systems (GEP), a unit of General Electric Co, acquired all the outstanding common stock of Showpower Inc, a provider of equipment rental and leasing services, for $7 in cash per share, or a total value of $23.953 mil. Earlier, GEP completed its tender offer by accepting 3.3 mil common shares or 96.44% of the company's common stock. The offer was conditioned upon at least a majority of the shares being tendered on a fully diluted basis. GEP was established in 1999 in response to a growing demand for temporary distributed power and climate control.</t>
  </si>
  <si>
    <t>US - World Access Inc (WA) withdrew its agreement to acquire all the outstanding common stock of Star Telecommunications Inc (ST), a provider of telecommunications services, in a stock swap transaction valued at an estimated $293. 013 mil. WA offered a twice amended .3866 common shares per ST share. Additionally, WA was to have the option to pay up to 40% of the consideration in cash. Based on WA's closing stock price of $12.875 on June 6, the last full trading day prior to the announcement of the amended exchange ratio, each ST share was valued at $4.978. Previously, WA offered .3905 common shares per share held, valued at $523.603 mil. Originally, WA agreed to acquire ST for $637.6 mil, subject to adjustment whereby ST was to receive a minimum of $10.50 in WA common shares per share.</t>
  </si>
  <si>
    <t>CyBear Inc(Andryx Corp)</t>
  </si>
  <si>
    <t>Andrx Corp</t>
  </si>
  <si>
    <t>US - Andrx Corp (AC) acquired the remaining 27% stake, or 4.766 mil common shares, which it did not already own, in its CyBear Inc (CB) unit, a provider of Internet services, in a stock swap transaction that was part of a recapitalization plan. AC offered 1 new Cybear Group Common tracking share per CB share. In the recapitalization, the number of CB shares held by AC were reduced from 12.4 mil to 10.3 mil shares so as to provide the equivalent of a 20% increase in shares held by the non-AC shareholders of CG. Upon completion, the non-AC shareholders of CB were to own approximately 34.5% of the Cybear Group Common. Pursuant to the agreement, each AC common share was converted into one share of Andrx Group Common and approximately .1622 shares of Cybear Group Common, after giving effect to AC's pending two-for-one stock split (in the form of a stock dividend) announced on March 1. Upon completion of the recapitalization, CB was a wholly owned subsidiary of AC with 100% of its value publicly traded in the form of Cybear Group Common. Current AC shareholders own 100% of the Andrx Group Common and 65.5% of the Cybear Group Common.</t>
  </si>
  <si>
    <t>US - An investor group, led by Freeman Spogli &amp; Co, and including Gary L. Wilson, Jerome B. York, Alfred D. Boyer, Alfred Checchi and Michael Ovitz, acquired all the outstanding stock of Micro Warehouse Inc (MW), computer mail order house, for $19 in cash per share, or a total value of $679.856 mil, in a leveraged buyout transaction. Earlier, the investor group completed its tender offer for MW by accepting 33.2 mil shares, or 96% of MW's shares. The offer had been conditioned upon at least 51% of shares being tendered.</t>
  </si>
  <si>
    <t>Natl Bancorp Of Alaska Inc</t>
  </si>
  <si>
    <t>Wells Fargo &amp; Co (WF), San Francisco, California, acquired all the outstanding common stock of National Bancorp of Alaska Inc (NB), Anchorage, Alaska, in a stock swap transaction valued at an amended $1.049 bil. WF offered .896303 common shares per NB share held. Based on WF's closing stock price of $38.75 on January 30, the last full trading day prior to the amendement, each NB share was valued at $34.732. Originally, WF offered an estiamted $30 in common stock per NB share.</t>
  </si>
  <si>
    <t>Softworks Inc</t>
  </si>
  <si>
    <t>Dvlp,whl systems mgmt software</t>
  </si>
  <si>
    <t>US - EMC Corp (EMC) acquired all the outstanding common stock of Softworks Inc (SWI) for $10 in cash per share, or a total value of $179.774 mil. Earlier, EMC completed its tender offer for SWI by accepting 18.382 mil common shares, or about 90% of the company's common stock. The offer was conditioned upon at least a majority of SI's shares being tendered on a fully diluted basis. The transaction included a 35% stake held by Computer Concepts Corp, SWI's former parent.</t>
  </si>
  <si>
    <t>MYR Group Inc</t>
  </si>
  <si>
    <t>GPU Inc</t>
  </si>
  <si>
    <t>US - GPU Inc (GPU) acquired all the outstanding common stock of MYR Group (MYR), a Chicago-based utility infrastructure construction company, for $30.1 in cash per share, or a total value of $241.569 mil. Earlier, GPU completed its tender offer by accepting 6,241,416 common shares, or about 75.51% of MYR's common stock outstanding. The offer was conditioned upon at least 50. 1% of the shares being tendered on a fully-diluted basis.</t>
  </si>
  <si>
    <t>MapQuest.com Inc</t>
  </si>
  <si>
    <t>Data processing services</t>
  </si>
  <si>
    <t>US - America Online Inc (AOL) acquired MapQuest.com Inc (MQ) , a provider of online map information services, in a stock swap transaction valued at $900.56 mil. AOL offered .31558 common shares per MQ share. Based on AOL's closing stock price of $85 on December 21, the last full trading day prior to announcement, each MQ share was valued at $26.824. The transaction was to be accounted for as a pooling of interests.</t>
  </si>
  <si>
    <t>NetRatings Inc</t>
  </si>
  <si>
    <t>US - Verenigd Bezit VNU (VNU) raised its stake to 54% from 14% in NetRatings Inc (NRI), an audience-measurement information company, for an estimated $246 mil. Previously, in October 1999 VNU acquired Nielsen Media Research Inc (NMR), which held an undisclosed minority stake in NRI. At the time of closing of the VNU/NMR transaction, VNU received a 14% stake in NRI. Since October 1999, VNU raised its stake to 54% via warrants, the purchase of shares from shareholders before the public offering, and through the purchase of shares in the initial public offering which occurred on December 8, 1999.</t>
  </si>
  <si>
    <t>Rainforest Cafe Inc</t>
  </si>
  <si>
    <t>Own,op cafes</t>
  </si>
  <si>
    <t>Lakes Gaming Inc</t>
  </si>
  <si>
    <t>US - Lakes Gaming Inc (LG) withdrew its agreement to acquire all the outstanding common stock of Rainforest Cafe Inc (RC), cafe owner and operator, in a stock swap transaction valued at $108. 456 mil. LG offered .55 shares per RC share. Based on LG's closing stock price of $8.25 on December 21, the last full trading day prior to announcement, each RC share was valued at $4.538. Previously in January 2000, RC received an unsolicited challenging offer to acquire the company.</t>
  </si>
  <si>
    <t>Fort Thomas Financial Corp</t>
  </si>
  <si>
    <t>Bank of Kentucky Finl Corp</t>
  </si>
  <si>
    <t>US - Bank of Kentucky Financial Corp (BKYF) acquired Fort Thomas Financial Corp (FTFC), a savings bank holding company, in a stock swap transaction valued at $26.424 mil. BKYF offered .565 common shares per FTFC share. Based on BKYF's closing stock price on December 22, the last full trading day prior to the announcement, each FTFC share was valued at $17.923.</t>
  </si>
  <si>
    <t>Wilmar Industries Inc</t>
  </si>
  <si>
    <t>Whl repair,maintenance prods</t>
  </si>
  <si>
    <t>US - An investor group, including Parthenon Capital; Chase Capital Partners, a unit of Chase Manhattan Corp; a pension plan managed by GM Investment Management Corp; Sterling Investment Partners LP; BancBoston Capital Inc, a unit of Fleet Boston Corp; Svoboda Collins LLC; and members of management; acquired all the outstanding common stock of Wilmar Industries Inc, a wholesaler of hardware and repair products, for $18.25 in cash per share, or a total value of an estimated $294.71 mil, including the assumption of an estimated $65 mil in liabilities, in a leveraged buyout transaction.</t>
  </si>
  <si>
    <t>Sierra National,Tehachapi,CA</t>
  </si>
  <si>
    <t>Bank of the Sierra,California</t>
  </si>
  <si>
    <t>US - Bank of the Sierra, Porterville ,California acquired all the outstanding common stock of Sierra National Bank, Tehachapi, California for $9.1 mil in cash.</t>
  </si>
  <si>
    <t>VDI Multimedia</t>
  </si>
  <si>
    <t>Pvd motion picture prod svcs</t>
  </si>
  <si>
    <t>Bain Capital LLC</t>
  </si>
  <si>
    <t>US - Bain Capital Inc, a unit of Bain &amp; Co, withdrew its agreement to acquire all the outstanding common stock of VDI Multimedia, a provider of motion picture production services, for $15 in cash per share, or a total value of $139.362 mil, in a leveraged buyout transaction.</t>
  </si>
  <si>
    <t>Dvlp video editing software</t>
  </si>
  <si>
    <t>Media 100 Inc</t>
  </si>
  <si>
    <t>Dvlp,design,whl software</t>
  </si>
  <si>
    <t>US - Media 100 Inc (ME) acquired Digital Origin Inc (DO), a developer of digital video editing software, in a stock swap transaction valued at $95.425 mil. ME offered . 535 shares per DO share. Based on ME's closing stock price of $27 on December 27, the last full trading day prior to announcement, each DO share was valued at $14. 445. The transaction was accounted for as a pooling of interests.</t>
  </si>
  <si>
    <t>Hemlock Federal Financial Corp</t>
  </si>
  <si>
    <t>US - An investor group, including Tara Enterprises LLC, offered to acquire the remaining 89.57% interest, or 1,366,507 common shares, which it did not already own, Hemlock Federal Financial Corp, Oak Forest, Illinois for an estimated $16.5 in cash per share, or a total value of $22.557 mil in a leveraged buyout transaction.</t>
  </si>
  <si>
    <t>US - An investor group including Investcorp SA (ISA), DB Capital Partners Inc (DBC) and the management of Jostens Inc (JI) acquired all the outstanding common stock of JI, a jewelery and apparel manufacturer, for $25.25 in cash per share, or a total value of $951.479 mil, including the assumption of $100 mil in liabilities in a leveraged buyout transaction. Upon completion, ISA and others in the investor group were to own 94% and DBC and JI's management the remaining 6%.</t>
  </si>
  <si>
    <t>Piedmont Bancorp Inc</t>
  </si>
  <si>
    <t>US - National Commerce Bancorp (NCB), Memphis, Tennessee, acquired Piedmont Bancorp Inc (PBI), Hillsborough, North Carolina , a bank holding company, in a stock swap transaction valued at $32.091 mil. NCB offered . 5627 shares per BB share. Based on NCB's closing stock price of $22.25 on December 27, the last full trading day prior to announcement, each PB share was valued at $12.52.</t>
  </si>
  <si>
    <t>Renex Corp</t>
  </si>
  <si>
    <t>National Nephrology Associates</t>
  </si>
  <si>
    <t>Own,op dialysis centers</t>
  </si>
  <si>
    <t>US - National Nephrology Associates (NNA) acquired all the outstanding common stock of Renex Corp (RC) for $10 in cash per share, or a total value of $76.655 mil. Earlier, NNA completed its tender offer for RC, by accepting approximately 7,393,055 common shares, or about 79. 69% RC's common stock outstanding. The offer was conditioned upon at least a majority of the shares being tendered on a fully diluted basis.</t>
  </si>
  <si>
    <t>US - Niagara Bancorp Inc (NBI), Lockport, New York, acquired all the outstanding common stock of CNY Financial Corp, Cortland, New York, a savings and loan, for $18.75 in cash per share, or a total value of $86.276 mil.</t>
  </si>
  <si>
    <t>US - An investor group led by Stanley J. Bradshaw, withdrew an unsolicited challenging offer to acquire all the outstanding common stock of First Savings Bancorp Inc (FSB), Southern Pines, North Carolina, a commercial bank, for $23 in cash per share, or a total value of $86.722 mil. Subsequently, First Bancorp acquired FSB in a stock swap transaction.</t>
  </si>
  <si>
    <t>North Castle Partners LLC</t>
  </si>
  <si>
    <t>US - North Castle Partners acquired all the outstanding common stock of Saratoga Beverage Group Inc, a producer and wholesaler of bottled water, for $6 in cash per share, or a total value of $39.647 mil, in a going private transaction.</t>
  </si>
  <si>
    <t>SplitRock Services Inc</t>
  </si>
  <si>
    <t>Pvd data communications svcs</t>
  </si>
  <si>
    <t>McLeodUSA Inc</t>
  </si>
  <si>
    <t>US - McLeodUSA Inc (MC) acquired SplitRock Services Inc (SR), an Internet service provider, in a stock swap transaction valued at $1.758 bil. MC offered .535 common shares per SR share. Based on MC's closing stock price of $52.563 on January 6, the last full trading day prior to the announcement, each SR share was valued at $28.121.</t>
  </si>
  <si>
    <t>US - South Financial Group Inc, formerly known as Carolina First Corp Greenville, South Carolina (CFC), acquired all the outstanding common stock of Anchor Financial Corp (AF) in a stock swap transaction valued at $304.072 mil. CFC offered 2.175 common shares for every AF share. Based on CFC's closing stock price of $16.50 on January 7, the last full trading day prior to the announcement, each AF share was valued at $35.89. The transaction was accounted for as a pooling of interests and was subject to shareholder and regulatory approval.</t>
  </si>
  <si>
    <t>Concentric Network Corp</t>
  </si>
  <si>
    <t>Pvd IP-based network services</t>
  </si>
  <si>
    <t>NextLink Communications Inc</t>
  </si>
  <si>
    <t>US - NextLink Communications Inc (NCI) acquired Concentric Network Corp (CNC), a provider of tailored, value- added IP-based network services, in a stock swap transaction valued at $2.063 bil. NCI offered $45 in common shares per CNC share, subject to a collar agreement.</t>
  </si>
  <si>
    <t>US - America Online Inc (AOL) merged with Time Warner Inc (TW), an entertainment company, in a stock swap merger of equals transaction valued at $164.747 bil. AOL offered 1.5 common shares per TW share. Based on AOL's closing stock price of $73.75 on January 7, the last full trading day prior to the announcement, each TW share was valued at $110.625. The transaction was accounted for as a purchase. Upon completion, AOL held 55% and TW 45% of the combined company named AOL Time Warner (AOLTW). AOLTW brought together TW's Time, CNN, Warner Bros, People, HBO, Sports Illustrated, Cartoon Network, Warner Music Group, Fortune, Entertainment Weekly, and Looney Tunes with AOL's America Online, Compuserve, Netscape, ICQ, Digital City and AOL Moviefone. Conditions associated with the transaction included open access to AOL's high-speed Internet cable lines to rival Internet service providers, and required that AOL allow unaffiliated ISPs to control the first pop-up screen, that AOL Time Warner open up the instant messaging platform to at least three competitors and make it interoperable with competing messaging services and that AT&amp;T sell its stake in Time Warner Entertainment.</t>
  </si>
  <si>
    <t>Hayes Lemmerz International</t>
  </si>
  <si>
    <t>Mnfr,whl wheels,brakes</t>
  </si>
  <si>
    <t>US - An investor group, led by Joseph Littlejohn &amp; Levy, terminated an offer to acquire the remaining 25% stake, or about 7.584 mil common shares, that they did not already own, in Hayes Lemmerz International Inc, a manufacturer of steel and aluminum wheels, for $21 in cash per share, or a total value of $165.205 mil.</t>
  </si>
  <si>
    <t>Best Software Inc</t>
  </si>
  <si>
    <t>Dvlp bus mgmt software</t>
  </si>
  <si>
    <t>US - Sage Group PLC (SG) acquired all the outstanding common stock of Best Software Inc (SI), a developer and wholesaler of human resources software, for $35 in cash per share, or a total value of $446.263 mil. Earlier SG completed its tender offer for SI by accepting 11.9 mil common shares, or about 97% of SI's common stock.</t>
  </si>
  <si>
    <t>Etec Systems Inc</t>
  </si>
  <si>
    <t>Mnfr equip for semi circuits</t>
  </si>
  <si>
    <t>US - Applied Materials Inc (AMI) acquired Etec Systems Inc (ESI), a developer of mask-patterning systems for use in the semiconductor and electronics industries, in a stock swap transaction valued at $1.846 bil. AM offered . 649 shares, on a 2-for-1 pre- split basis, per ESI share. Based on AMI's closing stock price of $120.8125 on January 11, the last full trading day prior to the announcement, each ESI share was valued at $78.407. The transaction was accounted for as a pooling of interests.</t>
  </si>
  <si>
    <t>Precision Response Corp</t>
  </si>
  <si>
    <t>USA Networks (USA) acquired all the outstanding common stock of Precision Response Corp (PR) in a stock swap transaction valued at $688. 045 mil. USA offered .54 common shares per PR share. Based on USA's closing stock price of $52.062 on January 11, the last full trading day prior to the announcement, each PR share was valued at $28.113.</t>
  </si>
  <si>
    <t>Chapman Holdings Inc</t>
  </si>
  <si>
    <t>Brokerage of securities</t>
  </si>
  <si>
    <t>US - Echapman.com Inc (EI) agreed to acquire Chapman Holdings Inc (CH), a provider of brokerage services. EI offered 1.933 common shares per CH share.</t>
  </si>
  <si>
    <t>Milton Federal Financial Corp</t>
  </si>
  <si>
    <t>BancFirst Ohio Corp,OH</t>
  </si>
  <si>
    <t>US - BancFirst Ohio Corp (BFO), Zanesville, Ohio, acquired Milton Federal Financial Corp (MFF), West Milton, Ohio, a savings and loan holding company, in a stock swap transaction valued at $33.793 mil. BFO offered $6.80 in cash and .444 common shares per MFF share. Based on BFO's closing stock price of $20.375 on January 12, the last full trading day prior to announcement, each MFF share was valued at $15.847. The transaction was accounted for as a pooling of interests.</t>
  </si>
  <si>
    <t>US Trust Corp,New York,NY</t>
  </si>
  <si>
    <t>Pvd invest,asset mgmt svcs</t>
  </si>
  <si>
    <t>The Charles Schwab Corp</t>
  </si>
  <si>
    <t>US - Charles Schwab Corp (CSC) acquired US Trust Corp (UST), New York, New York, a bank holding company, in a stock swap transaction valued at $2.613 bil. CSC offered 3. 427 shares per UST share. Based on CSC's closing stock price of $37.625 on January 12, the last full trading day prior to announcement, each UST share was valued at $128. 941. The transaction was accounted for as a pooling of interests. The transaction was subject to US Federal Reserve Board approvals. Upon completion, UST was to remain a separate subsidiary of CSC, retaining a separate brand and its New York headquarters. The transaction was to enable CSC to create a full service brokerage, offering high end investment advise and trust services.</t>
  </si>
  <si>
    <t>Globe Business Resources Inc</t>
  </si>
  <si>
    <t>Pvd bus furniture rental svcs</t>
  </si>
  <si>
    <t>US - Equity Residential Properties Trust acquired all the oustanding common stock of Globe Business Resources Inc, a provider of temporary business furniture rental services, for $13 per share, or a total value of $62.998 mil.</t>
  </si>
  <si>
    <t>American Business Products Inc</t>
  </si>
  <si>
    <t>US - Mail-Well Inc acquired all the outstanding common stock of American Business Products, a manufacturer of manifold business forms, via a tender offer for $20 in cash per share, or a total value of $295.834 mil.</t>
  </si>
  <si>
    <t>Caere Corp</t>
  </si>
  <si>
    <t>ScanSoft Inc</t>
  </si>
  <si>
    <t>Dvlp scanning software</t>
  </si>
  <si>
    <t>US - ScanSoft Inc (SS), a unit of Visioneer Inc, acquired all the outstanding common stock of Caere Corp (CC), a software developer, in a stock swap transaction valued at $147.456 mil. SS offered $4 in cash and $7.75 in common stock per CC share, subject to a collar agreement. Upon completion, the combined company used the SS name.</t>
  </si>
  <si>
    <t>Wesco Holdings Midwest</t>
  </si>
  <si>
    <t>S&amp;L bk,pvd ins svcs</t>
  </si>
  <si>
    <t>US - Westco Holdings Midwest (WH), a unit of Westco Financial Corp, acquired all the outstanding common stock of CORT Business Services Corp (CBS) via a tender offer for $28 in cash per share, or a total value of $384.622 mil. Previously, WH completed its tender offer by accepting 12. 9 mil common shares, or 98. 48% of CBS' common shares outstanding.The offer was conditioned upon at least a majority of CBS' shares being tendered. Previously, Brook Furniture Rental terminated its unsolicited offer to acquire all the outstanding common stock of CBS for $28 in cash per share. Originally, A management-led investor group (MB), including Bruckmann Rosser Sherill &amp; Co, definitively terminated its offer to acquire all the outstanding common stock of CORT Business Services Corp (CB) for an amended $478.969 mil, including the assumption of $90 mil in liabilities, in a leveraged buyout transaction.</t>
  </si>
  <si>
    <t>E-Tek Dynamics Inc</t>
  </si>
  <si>
    <t>US - JDS Uniphase Corp (JDS) acquired all the outstanding common stock of E-Tek Dynamics Inc (ETD), a manufacturer of telecommunications equipment and a majority-owned unit of Summit Partners LP, in a stock swap transaction valued at $15.394 bil. JDS offered 1. 1 common shares per ETD share. Based on JDS' closing stock price of $192.187 on January 14, the last full trading day prior to announcement, each ETD share was valued at $211. 406.</t>
  </si>
  <si>
    <t>Moore Products Co</t>
  </si>
  <si>
    <t>Mnfr control instruments</t>
  </si>
  <si>
    <t>Siemens Energy &amp; Automation</t>
  </si>
  <si>
    <t>Pvd elec engineering svcs</t>
  </si>
  <si>
    <t>US - Siemens Energy &amp; Automation (SEA), a unit of Siemens AG's Siemens Corp subsidiary, acquired all the outstanding common and preferred stock of Moore Products Co (MP), a manufacturer of control instruments, for $54.71 in cash per common share and $21. 88 in cash per preferred share, or a total value of $168.648 mil. Earlier, SEA completed its tender offer to acquire MP, by accepting 2, 562,538 common shares, or 97%. 16% of the outstanding common stock of MP, and 175,950, or 100% of the outstanding preferred shares of MP. The offer was conditioned upon at least a majority of the shares being tendered on a fully-diluted basis.</t>
  </si>
  <si>
    <t>American Mutual Holding Co</t>
  </si>
  <si>
    <t>US - American Mutual Holding Company (AMH) merged with AmerUS Life Holdings Inc (AUS) , to form AmerUS Group Co (AG) , in a stock swap transaction, by acquiring the remaining 42% stake that it did not already own, for $328.687 mil. AMH offered 1 AG common share per AUS share. The shares were valued based on AG's closing stock price on September 20, the last full trading day prior to the closing, each AUS share was valued at $26. Concurrently, AMH agreed to merge with Indianapolis Life Insurance Co. AG was to trade on the New York Stock exchange under the symbol AMH.</t>
  </si>
  <si>
    <t>Coastal Corp</t>
  </si>
  <si>
    <t>US - El Paso Energy Corp (EC) acquired Coastal Corp (CC), a provider of oil and gas exploration, production, and distribution services, in a stock swap transaction valued at $16.006 bil, including the assumption of $6.1 bil in liabilities. EC offered 1.23 shares per CC common stock and Class A common stock. Based on EC's closing stock price of $37.125 on January 14, the last full trading day prior to the announcement, each CC share was valued at $45.664. The transaction was accounted for as a pooling of interests. The combination of the companies would create a company with $18 bil in revenue and over 58,000 miles of pipeline, and would be one of the top producers and gatherers of natural gas in the US.</t>
  </si>
  <si>
    <t>Dayton Superior Corp</t>
  </si>
  <si>
    <t>Mnfr concrete accessories</t>
  </si>
  <si>
    <t>Stone Acquisition Corp</t>
  </si>
  <si>
    <t>US - Stone Acquisition Corp, a unit of Odyssey Investment Partners, acquired all the outstanding common stock of Dayton Superior Corp, a manufacturer of steel wiring, nails and other concrete accessories, and a majority- owend unit of Ripplewood Holding, for an estimated $27 in cash per share, or a total value of $322.25 mil, including the assumption of $154.534 mil in liabilities.</t>
  </si>
  <si>
    <t>Transport Corp of America Inc</t>
  </si>
  <si>
    <t>Pvd truckload carriage svcs</t>
  </si>
  <si>
    <t>US - USFreightways Corp (USF) terminated its plans to acquire Transport Corporation of America (TCA), a trucking company, in a stock swap transaction valued at $150. 318 mil. USF offered .412 shares per TCA share. Based on USF's closing stock price of $43.625 on January 14, the last full trading day prior to announcement, each TCA share was valued at $17.974. The transaction was to be accounted for as a pooling of interests. USF issued 3.435 mil common shares for the transaction.</t>
  </si>
  <si>
    <t>Conning Corp</t>
  </si>
  <si>
    <t>Pvd asset mgmt,research svcs</t>
  </si>
  <si>
    <t>Metropolitan Life Insurance Co</t>
  </si>
  <si>
    <t>US - Metropolitan Life Insurance Co (MLI) acquired the remaining 39% stake, or 5. 364 mil common shares, which it did not already own, in Conning Corp (CC), a majority- owned unit of MLI's GenAmerica (GA) subsidiary, a provider of asset management and research services, for an amended $12.50 in cash per share, or a total value of $74.251 mil. Earlier, MLI completed its tender offer for CC, by accepting 5,348, 876 common shares of CC's common stock outstanding. The offer was conditioned upon MLI owning a total of 66.67% of CC's shares. MLI indirectly owned a 61% stake in CC through its acquisition of GA in January 2000. Previously, MLI offered $10. 50 in cash per share. The offer was sweetened due to a lawsuit filed by CC shareholders against CC alleging the previous share price to be unfair.</t>
  </si>
  <si>
    <t>General Cigar Holdings Inc</t>
  </si>
  <si>
    <t>Mnfr brand name premium cigars</t>
  </si>
  <si>
    <t>Swedish Match AB</t>
  </si>
  <si>
    <t>Mnfr,whl snuff prod,matches</t>
  </si>
  <si>
    <t>US - Swedish Match AB (SWM) raised its stake to 64% from 13% by acquiring 16.995 mil common shares, in General Cigar Holdings Inc (GCH), a manufacturer of brand name premium cigars, and a majority-owned unit of Culbro Corp, for $15.25 in cash per share, or a total value of $210.53. Concurrently, SWM acquired a 13% stake, or 3.5 mil common shares, in GCH for $15 per share, or a total value of $52.5 mil, from the Cullman family, in a privately negotiated transaction. The 2 transactions was to have a combined value of $ 263.03 mil. GCH had turnover of $108 mil in the first nine months of the last fiscal year. Upon completion, GCH was no longer be a publicly traded company.</t>
  </si>
  <si>
    <t>US - Dexter Corp withdrew its agreement to acquire the remaining 28.28% stake, or 7. 058 mil common shares, which it does not already own, in Life Technologies Inc, a manufacturer of biological and medical products, for $49 in cash per share, or a total value of $356.878 mil.</t>
  </si>
  <si>
    <t>Transition Analysis Component</t>
  </si>
  <si>
    <t>Pvd data base information svcs</t>
  </si>
  <si>
    <t>Aspect Development Inc</t>
  </si>
  <si>
    <t>US - Aspect Development Inc definitively agreed to merge with Transition Analysis Component Technology Inc, a provider of database information services, in exchange for approximately . 225 mil common shares valued at $15.694 mil. The shares were valued based on AD's closing stock price of $69.75 on January 18, the last full trading day prior to the announcement.</t>
  </si>
  <si>
    <t>US - Elyo (E), a unit of Suez Lyonnaise des Eaux SA's Societe Generale de Belgique SA subsidiary, acquired the remaining 47.03% stake, or 6. 549 mil common shares, which it does not already own, in Trigen Energy Corp (TEC), an operator of co-generation plants, for $23.5 in cash per share, or a total value of $159.212 mil. TEC's board has already granted approval for the merger. Previously, E withdrew an offer to acquire the remaining 47.03% stake in TEC for $22 in cash per share.</t>
  </si>
  <si>
    <t>Cameron Ashley Building Prods</t>
  </si>
  <si>
    <t>Wholesale building products</t>
  </si>
  <si>
    <t>US -A management led investor group, consisting of CGW Southeast Partners IV LP and an affiliate of Citicorp Venture Capital Ltd, terminated its agreement to acquire Cameron Ashley Building Products Inc (CAB), a wholesaler of building products, for a sweetened $18. 25 in cash per share, or a total value of $169.606 mil, in a leveraged buyout transaction. Originally, the management group offered $15. 10 in cash per share, or a total value of $137.547 mil. The transaction was to include a $5 mil breakup fee. Subsequently, Guardian Industries Corp (GIC) made a challenging bid to acquire all the outstanding common stock of CAB for $17 per share, which GIC sweetened to $18.50. Subsequently, GIC completed its tender offer to acquire CAB for an amended $18.35 in cash per share. Neither GIC or CAB commented on the decreased price.</t>
  </si>
  <si>
    <t>TekInsight.com Inc</t>
  </si>
  <si>
    <t>US - TekInsight.com Inc (TE) acquired all the outstanding common stock of Data Systems Network Corp, a developer of Internet software, in exchange for an estimated $12. 5 mil in newly-issued TE convertible preferred stock.</t>
  </si>
  <si>
    <t>Balance Bar Co</t>
  </si>
  <si>
    <t>Kraft Foods Inc</t>
  </si>
  <si>
    <t>Pvd brand food and beverages</t>
  </si>
  <si>
    <t>US - Kraft Foods Inc (KF), a unit of Philip Morris Cos Inc's Kraft Inc subsidiary, acquired all the outstanding common stock of Balance Bar Co (BB) for $19.40 in cash per share, or a total value of $269.592 mil. Earlier, KF completed its tender offer for BB by accepting 12.3 mil shares, or 86.19% of BB's common shares outstanding.</t>
  </si>
  <si>
    <t>Dynamic Materials Corp</t>
  </si>
  <si>
    <t>Mnfr fabricated metal prods</t>
  </si>
  <si>
    <t>SNPE SA</t>
  </si>
  <si>
    <t>Manufacture,wholesale explosives</t>
  </si>
  <si>
    <t>US - Societe Nationale des Poudres et Explosifs (SNPE), raised its stake in Dyanmic Materials Corp, a manufacturer of metal products, to 50.802%, from 14. 3%, by acquiring 2.109 mil common shares on a fully diluted basis, for $2.75 per share, or a total value of $5. 8 mil. The initial 14.3% was acquired from Nobel Explosifs France, a wholly owned subsidiary of SNPE.</t>
  </si>
  <si>
    <t>Union National Bancorp Inc,MD</t>
  </si>
  <si>
    <t>Mercantile Bankshares Corp,MD</t>
  </si>
  <si>
    <t>US - Mercantile Bankshares Corp (MBC), Baltimore, Maryland, acquired Union National Bancorp Inc (UNB), Westminster, Maryland , a commercial bank, in a stock swap transaction valued at 66. 321 mil. MBC offered 1.15 shares per UNB share. Based on MBC's closing stock price of 29.188 on January 20, the last full trading day prior to announcement, each UNB share was valued at $33.566. The transaction was to be accounted for as a pooling of interests.</t>
  </si>
  <si>
    <t>Echelon International Corp</t>
  </si>
  <si>
    <t>Land Subdivision</t>
  </si>
  <si>
    <t>EIN Acquisition Corp</t>
  </si>
  <si>
    <t>US - EIN Acquisition Corp (EIN) acquired all the outstanding common stock of Echelon International Corp (EI), for $34 in cash per share, or a total value $233. 788 mil. Earlier, EIN completed its tender offer for EI by accepting 5.8 mil common shares, or about 87. 12% of the shares outstanding. The offer was conditioned upon at least 80% of the shares being tendered on a fully-diluted basis. Upon completion, EI was to become a wholly owned subsidiary of EIN and privately held.</t>
  </si>
  <si>
    <t>Carnival Corp</t>
  </si>
  <si>
    <t>Provide cruise tour services</t>
  </si>
  <si>
    <t>US - Carnival Corp (CC) withdrew its signed letter of intent to acquire Fairfield Communities Inc (FC), a constructor and operator of vacation resorts, in a stock swap transaction valued at $739.192 mil, including the assumption of $50 mil in liabilities. CC offered .3164 common shares per FC share. Based on CC's closing stock price of $46.625 on January 21, the last full trading day prior to the announcement, each FC share was valued at $14.752. The transaction was to be accounted for as a pooling of interests. CC and FC mutally agreed to terminate the agreement because of existing market conditions which have had a negative impact on CC shares.</t>
  </si>
  <si>
    <t>Styleclick.com Inc</t>
  </si>
  <si>
    <t>Dvlp merchandising software</t>
  </si>
  <si>
    <t>US - USA Networks Inc (UN) acquired a 75% interest, or 5, 553,386 common shares, in Styleclick.com Inc (SC), an online retailer, in exchange for $40 mil in cash, $10 mil in advertising time and by contributing its Shopping Network to the company. Upon completion, the new company was renamed Styleclick Inc and consisted of SC and assets of UN's Internet Shopping Network including First Auction and First Jewelry.</t>
  </si>
  <si>
    <t>CompUSA Inc</t>
  </si>
  <si>
    <t>Own,operate computer stores</t>
  </si>
  <si>
    <t>Grupo Sanborns SAB de CV</t>
  </si>
  <si>
    <t>US - Grupo Sanborns (GS), a majority-owned unit of Grupo Carso SA de CV, acquired the remaining 85.2% interest, or 78.991 mil common shares, that it did not already own in CompUSA Inc (CU), an owner and operate of computer stores, for $10.10 in cash per share, or a total of $805. 261 mil. Earlier, GS completed its tender offer for CU by accepting 69.5 mil shares, or 74.96% of CU's remaining common shares oustanding. The offer was conditioned upon at least a majority of CU's shares being tendered.</t>
  </si>
  <si>
    <t>Interleaf Inc</t>
  </si>
  <si>
    <t>Dvlp,whl e-publishing software</t>
  </si>
  <si>
    <t>BroadVision Inc</t>
  </si>
  <si>
    <t>Develop e-business software</t>
  </si>
  <si>
    <t>US - Broadvision Inc (BDV) acquired all the outstanding common stock of Interleaf Inc (ILF) in a stock swap transaction valued at $777. 197 mil. BDV offered .347 common shares per ILF share. Based on BDV's closing stock price of $156.562 on January 25, the last full trading day prior to the announcement, each ILF share was valued at $54.327.</t>
  </si>
  <si>
    <t>Bank of Santa Clara</t>
  </si>
  <si>
    <t>US - Greater Bay Bancorp (GB) , Palo Alto, California merged with Bank of Santa Clara (BS), Santa Clara, California, in a stock swap transaction valued at $84.621 mil, subject to a collar agreement. GB offered .87 common shares per BS share. Based on GB's closing stock price of $42.125 on January 26, the last full trading day prior to announcement, each BS share was valued at $35. 806. The transaction was to be accounted for as a pooling of interests. BS has an option to terminate the agreement, unless GB elects to exercise a top up option. Upon completion, BS was to own 11% of GB's common stock outstanding, assuming GB completes the previously announced agreements to acquire Mt Diablo Banchshares, Danville, California, and Coast Bancorp, Santa Cruz, California.</t>
  </si>
  <si>
    <t>GBT Bancorp Inc,Gloucester,MA</t>
  </si>
  <si>
    <t>Chartered commercial bank</t>
  </si>
  <si>
    <t>US - Andover Bancorp Inc, Andover, Massachusetts(AB) acquired GBT Bancorp Inc, Gloucester, Massachusetts, a chartered commercial bank, for an estimated $20.177 mil. The consideration consisted of a choice of $20.50 cash or .7543 common shares, subject to a lockup agreement based on AB closing stock price on January 26, the last full trading day prior to the announcement.</t>
  </si>
  <si>
    <t>US - Veritas Capital Fund LP (VC), a unit of Veritas Capital Partners LP withdrew its agreement to acquire all the outstanding common stock of Advanced Technical Products Inc (AT) for $12.75 in cash per share, or a total value of $70.892 mil. Earlier, VC and AT terminated their original merger agreement.</t>
  </si>
  <si>
    <t>Chris-Craft Industries Inc</t>
  </si>
  <si>
    <t>US - CBS Corp had been rumored to be in negotiations to acquire all the outstanding common stock of Chris-Craft Industries Inc.</t>
  </si>
  <si>
    <t>Leapnet Inc</t>
  </si>
  <si>
    <t>US - Leapnet Inc (LNI) acquired SPR Inc (SPR), a provider of information technology consulting services, in a stock swap transaction valued at $93.859 mil. LNI offered 1.085 common shares per SPR share. Based on LNI's closing stock price of $6.625 on January 25, the last full trading day prior to the announcement, each SPR share was valued at $7.188.</t>
  </si>
  <si>
    <t>Zing Technologies Inc</t>
  </si>
  <si>
    <t>International Rectifier Corp</t>
  </si>
  <si>
    <t>Mnfr, whl power mgmt semiconductors</t>
  </si>
  <si>
    <t>US - International Rectifier Corp (IR) acquired all the outstanding common stock of Zing Technologies Inc (ZT), a manufacturer of semiconductors, for $15.36 in cash per share, or a total value of $36.969 mil. Earlier, IR completed its tender by accepting 2.3 mil common shares, or about 95.56% of ZT's shares. The offer was conditioned upon at least 66. 67% of ZT's shares being tendered. Previously, ZT announced that it was seeking a buyer for itself or for Omnirel, its wholly-owned subsidiary.</t>
  </si>
  <si>
    <t>Jason Inc</t>
  </si>
  <si>
    <t>Mnfr noise control equipment</t>
  </si>
  <si>
    <t>US - A management-led investor group including Chairman Vincent Martin, Chief Executive Mark Train, and Saw Mill Capital Fund II LLP, a unit of Saw Mill Capital Partners, acquired all the outstanding common stock of Jason Inc (JI), a manufacturer of noise control equipment, for $11.25 in cash per share, or a total value of $237.514 mil, in a leveraged buyout transaction. Upon completion, the management buyout group was to own 40% and JI was to become privately held.</t>
  </si>
  <si>
    <t>Metrika Systems Corp</t>
  </si>
  <si>
    <t>Mnfr measurement technologies</t>
  </si>
  <si>
    <t>US - Thermo Instrument Systems Inc (TIS), a majority- owned unit of Thermo Electron Corp (TE), launched a tender offer to acquire the remaining 24% stake, or 1.622 mil common shares, that it did not already own, in Metrika Systems Corp (MS), a majority-owned unit of Thermo Electron Corp's Thermo Instrument Systems Inc subsidiary, a manufacturer of measurement technologies, for $9 in cash per share, or a total value of $14.154 mil. The offer was conditioned upon at least 90% of MS shares being tendered. Upon completion of the 90% interest, TIS was to acquire MS through a short form merger. Subsequently, TIS will become private. Concurrently, tender offers were to be launched for Onix Systems Inc, Thermedics Detection Inc, Thermo Sentron Inc, Thermo Optek Corp, ThermoQuest Corp, and ThermoBioanalysis. The 7 transactions were to be part of a restructuring to make TE one publicly traded company.</t>
  </si>
  <si>
    <t>ONIX Systems Inc</t>
  </si>
  <si>
    <t>Mnfr process control device</t>
  </si>
  <si>
    <t>US - Thermo Instrument Systems Inc (TIS), a majority- owned unit of Thermo Electron Corp (TE), acquired the remaining 19% stake, that it did not already own, in ONIX Systems (ONIX), for $9 in cash per share, or a total value of $23.134 mil. Earlier, TIS completed its unsolicited tender offer for the remaining 19% stake in ONIX by accepting 1,597,487 shares, or 11.13% of ONIX's common shares outstanding. The offer was conditioned upon at least 90% of ONIX shares being tendered. Because at least 90% was tendered, TIS acquired the remaining stake through a short from merger. Subsequently, TIS was to become private. Concurrently, tender offers were launched for Thermedics Detection, Thermo Sentron Inc, Thermo Optek Corp, ThermoQuest Corp, ThermoBioanalysis, and Metrika Systems Corp. The 7 transactions were to be part of a restructuring to make TE one publicly traded company.</t>
  </si>
  <si>
    <t>Sunrise Intl Leasing Inc</t>
  </si>
  <si>
    <t>King Management Corp</t>
  </si>
  <si>
    <t>Provide mgmt consulting svcs</t>
  </si>
  <si>
    <t>US - King Management Corp (KM) acquired the remaining 43% stake, or 2.852 mil common shares, which it did not already own, in Sunrise International Leasing Corp (SIL), a provider of lease financing services, for $5.25 in cash per share, or a total value of $17.774 mil in cash. Upon completion, SIL was to be merged into KM and was to no longer be a public company.</t>
  </si>
  <si>
    <t>Thermedics Detection Inc</t>
  </si>
  <si>
    <t>US - Thermedics Inc (TI), a majority-owned unit of Thermo Electron Corp (TE), acquired the remaining 12% stake, or 2. 29 mil common shares, that it did not already own, in Thermedics Detection Inc (TD), a majority-owned unit of TE's Thermedics Inc subsidiary, a manufacturer of process control systems, for $8 in cash per share, or a total value of $17.018 mil. Previously, TI completed its tender offer by accepting 1.9 mil shares, or 98.85% of TD's common shares outstanding, or 82.95% of the remaining 12% of TD's shares. The offer was conditioned upon at least 90% of TD's shares being tendered. Upon competion of the 90% tender, TI was to acquire TD through a short-form merger. Subsequently, TI was to become private. Concurrently, tender offers were to be launched for Thermo Sentron Inc, Thermo Optek Corp, ThermoQuest Corp, ThermoBioanalysis, Metrika Systems Corp, and Onix Systems Inc. The 7 transactions were to be part of a restructuring to make TE one publicly traded company.</t>
  </si>
  <si>
    <t>Thermo BioAnalysis(Thermo)</t>
  </si>
  <si>
    <t>Mnfr,whl lab instruments</t>
  </si>
  <si>
    <t>US - Thermo Instrument Systems Inc (TIS), a majority- owned unit of Thermo Electron Corp (TE), acquired the remaining 16%, or 6.460 mil common shares, that they did not already own, in Thermo BioAnalysis Corp (TBA), a majority-owned unit of Thermo Electron Corp's Thermo Instrument Systems Inc subsidiary, a manufacturer and wholesaler of lab instruments, for $28 in cash per share, or a total value of $167.869 mil. Earlier, TIS completed its tender offer for TBA by accepting approximately 2.3 mil common shares, bringing TIS's ownership up to 99.23% of TBA's common stock outstanding. The offer was conditioned upon at least 90% of TBA shares being tendered. Upon completion of the 90% interest, TIS was to acquire TBA through a short form merger. Subsequently, TIS will become private. Concurrenlty, tender offers were launched for Metrika Systems Corp, Onix Systems Inc, Thermedics Detection, Thermo Sentron Inc, Thermo Optek Corp, and ThermoQuest Corp. The 7 transactions were to be part of a restructuring to make TE one publicly traded company.</t>
  </si>
  <si>
    <t>US - Thermo Electron Corp (TE) acquired the remaining 6% stake, that it did not already own, in Thermo Ecotek Corp (TEC), a majority-owned unit of TE, a provider of nonutility electric power, in a stock swap transaction valued at $297.943 mil. TE offered .431 shares per TEC share. Based on TE's closing stock price on January 28, the last full trading day prior to the announcement, each TEC share was valued at $16.25. The transaction was part of a restructuring to make TE one publicly traded company.</t>
  </si>
  <si>
    <t>Thermo Fibertek Inc</t>
  </si>
  <si>
    <t>Mnfr paper industry machinery</t>
  </si>
  <si>
    <t>US - Thermo Electron Corp (TE) completed the spinoff of its remaining 87% interest, or 11.125 mil common shares, in its Thermo Fibertek Inc (TF) unit, a manufacturer of paper industry machinery, to its shareholders in a transaction valued at $150. 254 mil. TE shareholders received .0612 new TF shares for every 1 TE share held. The shares were valued based on TF's closing stock price of $13.35 on August 9, 2001, the first full trading day on which the shares were distributed. Previously, TF changed its name to Kadant Inc. Concurrently, TE planned to spin off its medical products business to its shareholders. The two transactions were to be part of a restructuring to make TE one publicly traded company.</t>
  </si>
  <si>
    <t>Thermo Optek Corp</t>
  </si>
  <si>
    <t>Mnfr spectroscopy instruments</t>
  </si>
  <si>
    <t>US - Thermo Instrument Systems Inc (TIS), a majority- owned unit of Thermo Electron Corp (TE), acquired the remaining 5% stake, or 2.699 mil common shares, that it did not already own, in Thermo Optek Corp (TOC), a manufacturer of optical spectroscopy instruments, for $15 in cash per share, or a total value of $51.844 mil. Concurrently, TIS planned to acquire the remaining stakes in ThermoQuest Corp, ThermoBioanalysis, Metrika Systems Corp, Onix Systems, Thermedics Detection Inc, and Thermo Sentron Inc. The 7 transactions were part of a restructuring to make TE one publicly traded company.</t>
  </si>
  <si>
    <t>Thermo Sentron Inc(Thermedics)</t>
  </si>
  <si>
    <t>Mnfr packaging machinery</t>
  </si>
  <si>
    <t>US - Thermedics Inc (TI), a majority-owned unit of Thermo Electron Corp (TE), acquired the remaining 14% stake, or 1. 979 mil common shares, that it did not already own, in Thermo Sentron Inc (TS), a majority-owned unit of Thermedics, a manufacturer of packaging machinery, for $15. 5 in cash per share, or a total value of $30.688 mil. Previously, TI completed its tender offer by accepting 1. 144 mil TS common shares. The offer was conditioned upon at least 90% of TS's shares being tendered. Upon completion of 90% interest, TI was to acquire TS through a short form merger. Subsequently, TI was to become private. Concurrently, tender offers were to be launched for Thermo Optek Corp, ThermoQuest Corp, ThermoBioanalysis, Metrika Systems Corp, Onix Systems Inc, and Thermedics Detection Inc. The 7 transactions were to be part of a restructuring to make TE one publicly traded company,</t>
  </si>
  <si>
    <t>US - In January 2000, Thermo Electron Corp (TE) disclosed that it was seeking a buyer for its 86% interest in Thermo TerraTech Inc. Concurrently, searches for buyers were disclosed for Thermo Coleman Corp, Peek Ltd, NuTemp Inc, Thermo Trilogy Corp, Peter Brotherhood, Thermo Cardiosystems, and Trex Medical Corp. The 8 transactions were to be part of a restructuring to make TE one publicly traded company.</t>
  </si>
  <si>
    <t>ThermoQuest Corp</t>
  </si>
  <si>
    <t>Mnfr mass spectrometers</t>
  </si>
  <si>
    <t>US - Thermo Instrument Systems Inc (TIS), a majority- owned unit of Thermo Electron Corp (TE), acquired the remaining 10% stake, or 5.056 mil common shares, that it did not already own, in ThermoQuest Corp, a manufacturer of mass spectrometers, for $17 in cash per share, or a total value of $96.895 mil. Concurrently, TIS planned to acquire the remaining stakes in ThermoBioanalysis, Metrika Systems Corp, Onix Systems inc, Thermedics Detection Inc, Thermo Sentron Inc, and Thermo Optek Corp. The 7 transactions were to be part of a restructuring to make TE one publicly traded company.</t>
  </si>
  <si>
    <t>US - Thermo Electron Corp (TE) acquired the remaining 26% stake, or 10.904 mil common shares, which it does not already own, in Thermedics Inc (TI), a manufacturer of biomedical systems, via a stock swap tender offer for $169.177 mil. TE offered .45 common shares per share held. Based on TE's closing stock price of $24 on March 7, the last full trading day prior to the announcment, each TI share was valued at $10.8. The transaction was to be part of a restructuring to make TE one publicly traded company. Earlier, the same day, TE completed its tender offer for TI by accepting 8.4 mil common shares, or 20.03% of the shares outstanding. The offer was conditioned upon at least a majority of the remaining shares being tendered.</t>
  </si>
  <si>
    <t>Writer Corp</t>
  </si>
  <si>
    <t>Construct homes, apartments</t>
  </si>
  <si>
    <t>Standard Pacific Corp</t>
  </si>
  <si>
    <t>Constructs residential bldgs</t>
  </si>
  <si>
    <t>US - Standard Pacific(SP) acquired Writer Corp (WC) in a stock swap transaction valued at $52.699 mil, including the assumption of $27.7 mil in liabilities. SP offered a choice of $3.35 in cash or common stock per share, subject to a collar agreement. Originally, SP offered a choice of $3.42 in cash or common stock per share, or a total value of $52.522 mil, including the assumption of $27 mil in liabilities.</t>
  </si>
  <si>
    <t>Arizona Instrument Corp</t>
  </si>
  <si>
    <t>Mnfr moisture analysis instr</t>
  </si>
  <si>
    <t>US - An investor group, led by Arizona Instrument Corp (AIC) President and CEO George G Hays, and including Harold D Schwartz, and G James Hayes, acquired AIC, a manufacturer of moisture analysis instruments, for $5 in cash per share, or a total value of $9.898 mil, in a leveraged buyout transaction.</t>
  </si>
  <si>
    <t>Shopss Com Inc</t>
  </si>
  <si>
    <t>Metals mining</t>
  </si>
  <si>
    <t>Jordan</t>
  </si>
  <si>
    <t>ISRAEL - An investor group led by Jarrar M Faisal, agreed to acquire an 80% interest in Shopss.com, a virtual shopping mall, from OSCM-One Stop.Com Inc.</t>
  </si>
  <si>
    <t>C Me Run Corp</t>
  </si>
  <si>
    <t>CMERUN Inc</t>
  </si>
  <si>
    <t>Whl chocolate, related prod</t>
  </si>
  <si>
    <t>Fundae Corp merged with C Me Run Corp, a developer of Internet software, in a reverse takeover, stock swap transaction.</t>
  </si>
  <si>
    <t>First Commerce Bancshares Inc</t>
  </si>
  <si>
    <t>US - Wells Fargo &amp; Co (WF), San Francisco, California, acquired all the outstanding common stock of First Commerce Bancshares Inc (FC), Lincoln, Nebraska, for approximately $35.95 per share, or a total value of approximately $479.52 mil. Upon completion, FC was to become a part of Norwest Bank Nebraska, a unit of WF. FC shareholders were to receive WF shares at a ratio determined by dividing $35.95 by the average trading price of 20 days before FC shareholder voting on the merger. The transaction included First Commerce Technologies, First Commerce Mortgage Co, First Commerce Investors Inc, Commerce Afilliated Life Insurance, Peterson Building Corp, Commerce Court Inc, and the headquarters building, located in Lincoln, Nebraska.</t>
  </si>
  <si>
    <t>US- Thermo Electron Corp (TE) acquired the remaining 15% stake, or 17.886 mil common shares, that it did not already own, in Thermo Instrument Systems Inc (TI) in a stock swap transaction valued at $831.671 mil. TE offered .85 common shares per TI share. Based on TE's closing stock price of $24 on March 7, the last full trading day prior to the announcement of the exact exchange ratio, each TI share was valued at $20.4. The transaction was to be part of a restructuring to make TE one publicly traded company. Earlier, the same day, TE completed its tender offer for TI by accepting 13 mil common shares, or 9.17% of TI's shares outstanding. The offer was conditioned upon at least a majority of TI's remaining shares outstanding being tendered.</t>
  </si>
  <si>
    <t>Weddingpages Inc</t>
  </si>
  <si>
    <t>Bridal information books</t>
  </si>
  <si>
    <t>Knot Inc</t>
  </si>
  <si>
    <t>Pvd online wedding info svcs</t>
  </si>
  <si>
    <t>US - Knot Inc acquire all the outstanding common stock of Weddingpages Inc, a publisher of wedding magazine, for an estimated $8.5 mil in cash.</t>
  </si>
  <si>
    <t>Andover.net Inc</t>
  </si>
  <si>
    <t>Manage a network of websites</t>
  </si>
  <si>
    <t>VA Linux Systems Inc</t>
  </si>
  <si>
    <t>Dvlp Linux software</t>
  </si>
  <si>
    <t>US - VA Linux Systems Inc(VA) acquired all the outstanding common stock of Andover.Net Inc(AN), a network website manager, in a stock swap transaction valued at $872. 578 mil. VA offered .425 common shares per AN share. Based on VA's closing stock price of $136.875 on February 2, the last full trading day prior to the announcement, each AN share was valued at $58.172. Originally the total purchase price was to be reduced by an aggregate of $60 mil in cash payment to AN common stock holders. That provision was removed in April 2000.</t>
  </si>
  <si>
    <t>Advanced Machine Vision Corp</t>
  </si>
  <si>
    <t>Mnfr machine vision systems</t>
  </si>
  <si>
    <t>US - FMC Corp withdrew its unsolicited offer to acquire the remaining 88.89%, or 11. 44 mil common shares, that it did not already own, in Advanced Machine Vision Corp, a manufacturer of machine vision systems, for $1.75 in cash per share, or a total value of $37.642 mil.</t>
  </si>
  <si>
    <t>BNC Mortgage Inc</t>
  </si>
  <si>
    <t>US - BNCM Acquisition Co, a company formed by a management-led investor group, including president Kelly W Monahan, acquired the remaining 93.2% interest, or approximately 4.7 mil common shares, which it did not already own, in BNC Mortgage Inc, a mortage bank, for $10 per share, or a total value of an estimated $48.103 mil, in a leveraged buyout transaction. Subsequently, an investor group including Greenlight Capital LLP made an unsolicited challenging offer to acquire the remaining 86.8% interest, which it did not already own, for $11 in cash per share.</t>
  </si>
  <si>
    <t>San Benito Bank,Hollister,CA</t>
  </si>
  <si>
    <t>US - Pacific Capital Bancorp (PCB), Santa Barbara, California, acquired all the outstanding common stock of San Benito Bank (SBB), Hollister, California, in a stock swap transaction. PCB offered .605 common shares per SBB share. The transaction was to be accounted for as a pooling of interests.</t>
  </si>
  <si>
    <t>Strayer Education Inc</t>
  </si>
  <si>
    <t>Pvd higher educ svcs</t>
  </si>
  <si>
    <t>In February 2000, Strayer Education Inc disclosed that it was seeking a buyer for all of its common stock outstanding.</t>
  </si>
  <si>
    <t>United Payors &amp; United Provide</t>
  </si>
  <si>
    <t>Pvd ins contract mediator svcs</t>
  </si>
  <si>
    <t>BCE Emergis Inc</t>
  </si>
  <si>
    <t>Dvlp electn commerce software</t>
  </si>
  <si>
    <t>US - BCE Emergis Inc, a majority-owned unit of BCE Inc, acquired all the outstanding common stock of United Payors &amp; United Providers Inc, an insurance agency, for $27 in cash per share, or a total value of $544.199 mil.</t>
  </si>
  <si>
    <t>Empire Banc Corp,Traverse City</t>
  </si>
  <si>
    <t>US - Huntington Bancshares Inc, Columbus, Ohio (HB), acquired Empire Banc Corp (EB) , a commercial bank holding company located in Traverse City, Michigan, in a stock swap transaction valued at $139.062 mil. HB offered 2. 036 common shares per EB share. Based on HB's closing stock price of $21.25 on February 4, the last full trading day prior to the announcement, each EB share was valued at $43.265.</t>
  </si>
  <si>
    <t>Inprise Corp</t>
  </si>
  <si>
    <t>Corel Corp</t>
  </si>
  <si>
    <t>US - Corel Corp (CC) terminated its definitive agreement to merge with Inprise Corp (IC), a developer of computer software, in a stock swap transaction valued at $1.256 bil. CC offered .747 common shares per IC share. Based on CC's closing stock price of $20 on February 4, the last full trading day prior to the announcment, each IC share was valued at $14.94. Upon completion, CC was to hold a 56% interest and IC a 44% stake. The new company was to retain the Corel name. The transaction was to be accounted for as a purchase.</t>
  </si>
  <si>
    <t>InterVU Inc</t>
  </si>
  <si>
    <t>Pvd Internet video distn svcs</t>
  </si>
  <si>
    <t>Akamai Technologies Inc</t>
  </si>
  <si>
    <t>Provide internet acceleration services</t>
  </si>
  <si>
    <t>US - Akamai Technologies Inc (AK) acquired Intervu Inc (IV) in a stock swap transaction valued at $2.395 bil. AK offered .5957 common shares per IV share. Based on AK's closing stock price of $235 on February 4, the last full trading day prior to the announcement, each IV share was valued at $139.99.</t>
  </si>
  <si>
    <t>US - BB&amp;T Corp (BC), Winston- Salem, North Carolina, acquired all the outstanding common stock of One Valley Bancorp Inc (OVB), Charleston, West Virginia, a bank holding company, in a stock swap transaction valued at $1. 19 bil. BC offered 1.28 common shares per OVB share. Based on BC's closing stock price of $27.5 on February 4, the last full trading day prior to the announcement, each OVB share was valued at $35.2. The transaction was to be accounted for as a pooling of interests. The boards of directors of both companies had already granted approval. Upon completion, BC would have the largest market share in WV.</t>
  </si>
  <si>
    <t>Ortel Corp</t>
  </si>
  <si>
    <t>Mnfr optoelectric components</t>
  </si>
  <si>
    <t>US - Lucent Technologies Inc(LU) acquired all the outstanding common stock of Ortel Corp(OC), a manufacturer of optoelectronic components for cable TV networks, in a stock swap transaction valued at $2. 798 bil. Lucent Technologies Inc offered 3.135 shares per Ortel Corp share. Based on LU's closing stock price of $ 57 on February 4, the last full trading day prior to announcement, each OC share was valued at $178.695.</t>
  </si>
  <si>
    <t>Silknet Software Inc</t>
  </si>
  <si>
    <t>Dvlps internet sftwr</t>
  </si>
  <si>
    <t>Kana Communications Inc</t>
  </si>
  <si>
    <t>US - Kana Communications Inc (KC) merged with Silknet Software Inc (SSI), an Internet software developer, in a stock swap transaction valued at $4.207 bil. KC offered .83 shares per SSI share. Based on KC's closing stock price of $258.875 on February 4, the last full trading day prior to announcement, each SSI share was valued at $214.866.</t>
  </si>
  <si>
    <t>US - Landry's Seafood Restaurants Inc (LSR) withdrew its agreement to merge with Rainforest Cafe Inc (RC), an owner and operator of cafes, in a stock swap transaction valued at $136.835 mil. LSR offered . 5816 common shares per RC share. Alternatively, LSR offered $5.23 in cash per RC share. The total consideration was to be paid 65% in common stock and 35% in cash. The transaction was to be accounted for as a purchase. Previously in December 1999, Lakes Gaming Inc (LG) agreed to acquire RC. Subsequently in January 2000, LG withdrew its offer. Subsequently, LSR offered $3. 25 cash per share for RC.</t>
  </si>
  <si>
    <t>TCBY Enterprises Inc</t>
  </si>
  <si>
    <t>Operate frozen yogurt stores</t>
  </si>
  <si>
    <t>Capricorn Investors II LP</t>
  </si>
  <si>
    <t>US - Capricorn Investors III LP acquired all the outstanding common stock of TCBY Enterprises Inc for $6 per share, or a total value of $139.107 mil in a leveraged buyout transaction.</t>
  </si>
  <si>
    <t>uBID Inc</t>
  </si>
  <si>
    <t>Pvd online auctioneering svcs</t>
  </si>
  <si>
    <t>US - CMGI Inc (CI) acquired all the outstanding common stock of uBID Inc (UI), a provider of online auction services, in a stock swap transaction valued at $396. 667 mil. CI offered .2628 common shares per UI share. Based on CI's closing stock price of $120.5 on February 9, the last full trading day prior to the announcement, each UI share was valued at $31.667. UI owns uBid.com, which was the second largest auction site on the Web in terms of traffic. Upon completion, UI was to operate as a majority-owned unit of CI. The transaction was subject to regulatory and shareholder approval.</t>
  </si>
  <si>
    <t>Vision Twenty-One Inc</t>
  </si>
  <si>
    <t>Provide practice mgmt services</t>
  </si>
  <si>
    <t>OptiCare Health Systems Inc</t>
  </si>
  <si>
    <t>Own,op eyecare med clinics</t>
  </si>
  <si>
    <t>US - OptiCare Health Systems Inc (OPT) terminated its definitive agreement to merge with Vision Twenty-One Inc (VT), a provider of practice management services, in a stock swap transaction valued at $81.754 mil, including the assumption of $60 mil in liabilities. OPT offered .402 shares per VT share. Based on OPT's closing stock price of $3.50 on February 9, the last full trading day prior to announcement, each VT share was valued at $1.407. According to the merger agreement, VT was to continue to divest other operating businesses prior to closing. The merger was to be effected on a tax free basis to shareholders and be a purchase accounting transaction.</t>
  </si>
  <si>
    <t>US - Guardian Industries Corp (GIC) acquired all the outstanding common stock of Cameron Ashley Building Products Inc (CAB) for a twice amended $18.35 in cash per share, or a total value of $170.704 mil. Earlier, GIC completed its tender offer for CAB by accepting 8,272, 386 shares, or 95.3% of CAB's common shares outstanding. Previously, GIC made an unsolicited challenging bid to acquire all the outstanding common stock of CAB for a sweetened $18.50 in cash per share, or a total value of $172.007 mil. The offer was conditioned upon at least 50.1% of the shares being tendered on a fully- diluted basis. Originally, GIC offered $17 in cash per share, or a total value of $158.226 mil. Concurrently, a management led investor group, consisting of CGW Southeast Partners IV LP and an affiliate of Citicorp Venture Capital Ltd, terminated its agreement to acquire CAB, for an sweetened $18.25 in cash per share, or a total value of $169.606 mil, in a leveraged buyout transaction. Originally, the management group offered $15.10 in cash per share, or a total value of $137.547 mil. The transaction was to include a $5 mil breakup fee.</t>
  </si>
  <si>
    <t>Cornerstone Properties Inc</t>
  </si>
  <si>
    <t>US - Equity Office Properties Trust (EO) acquired all the outstanding common stock and operating limited partnership units of Cornerstone Properties Inc (CP), a real estate investment trust, in a stock swap transaction valued at $4. 55 bil, including the assumption of $1.8 bil in liabilities. EO offered a choice of $18 in cash or . 7009 common shares or a combination thereof per CP share or unit, subject to a final proration whereby approximately 55% of the total consideration was to be paid in common stock and 45% in cash if all current holders of CP operating limited partnership units elect to receive EO operating limited partnership units. PGGM, a 30% shareholder in CP, and the directors and certain executive officers of both companies have agreed to vote in favor of the merger as part of the merger agreement. Upon completion, EO, already the nation's largest publicly traded office building owner and manager, became the owner and operator of 380 office buildings consisting of 95.5 mil square feet across the country, a 24% increase in portfolio size based on square footage.</t>
  </si>
  <si>
    <t>WestPoint Stevens Inc</t>
  </si>
  <si>
    <t>Mnfr,whl bed,bath textile prod</t>
  </si>
  <si>
    <t>US - A management-led investor group, including WestPoint Stevens Inc's (WP) Chairman and CEO Holcombe T Green Jr, terminated its offer to acquire all the outstanding stock in WP, for $21 in cash per share, or a total value of $1.135 bil, in a leveraged buyout transaction.</t>
  </si>
  <si>
    <t>CareInsite Inc(Medical Mgr)</t>
  </si>
  <si>
    <t>Dvlp health e-commerce network</t>
  </si>
  <si>
    <t>Healtheon/WebMD Inc</t>
  </si>
  <si>
    <t>US - Healtheon/WebMD Inc (HW) acquired the remaining 35% stake, or 27.518 mil common shares, not already owned by Medical Manager Corp (MM), in CareInsite Inc (CI), a healthcare e-commerce network developer, in a stock swap transaction valued at $1.884 bil. HW offered 1.3 common shares per CI share. Based on HW's closing stock price of $55 on February 11, the last full trading day prior to the announcement, each CI share was valued at $71.50. Concurrently, HW acquired MM in a stock swap transaction. Upon completion of the transactions, HW was to become one of the largest online providers of healthcare services.</t>
  </si>
  <si>
    <t>DBT Online</t>
  </si>
  <si>
    <t>Pvds on-line integrated svcs</t>
  </si>
  <si>
    <t>ChoicePoint Inc</t>
  </si>
  <si>
    <t>Pvd tech,software,info svcs</t>
  </si>
  <si>
    <t>US - ChoicePoint Inc (CP) merged with DBT Online Inc (DB), a provider of online integrated database services, in a stock swap transaction valued at $408.57 mil. CP offered .525 common shares per DB share. Based on CP's closing stock price of $39.75 on February 11, the last full trading day prior to the announcement, each DB share was valued at $20.869. The transaction was to be accounted for as a pooling of interests. Upon completion, the combined company was to be renamed CP.</t>
  </si>
  <si>
    <t>GRC International Inc</t>
  </si>
  <si>
    <t>Provide research,analysis svcs</t>
  </si>
  <si>
    <t>US - AT&amp;T Corp (AT) acquired all the outstanding common stock of GRC International Inc (GRC), a provider of management consulting services, for $15 in cash per share, or a total value of $218.897 mil, including the assumption of $17 mil in liabilities. Earlier, AT completed its tender offer for GRC by accepting 12 mil share, or 97% of GRC's shares. The offer was conditioned upon at least 50.01% of GRC's shares being tendered on a fully-diluted basis. Upon completion, GRC was to become a privately held company.</t>
  </si>
  <si>
    <t>US - Healtheon/WebMD Corp (HW) acquired all the outstanding common stock of Medical Manager Corp (MM), a manufacturer of plastic components used in medical products and a developer of medical software, in a stock swap transaction valued at an amended $1.924 bil. HW offered an amended 2.5 common shares per MM share. Based on HW's closing stock price of $16.875 on June 16, the last full trading day prior to the amendment, each MM share was valued at $42.188. Originally in February 2000, HW offered 1.65 shares per share held. Concurrently, HW acquired the remaining 31% stake not already owned by MM, in CareInsite Inc, a healthcare e-commerce network developer, in a stock swap transaction. Upon completion of the transactions, HW became one of the largest providers of online healthcare services and was renamed WebMD.</t>
  </si>
  <si>
    <t>NetOptix Corp</t>
  </si>
  <si>
    <t>Mnfr fiber optic telecom equip</t>
  </si>
  <si>
    <t>US - Corning Inc (CI) acquired Netoptix Corp (NC), a manufacturer of fiber optic telecommunications equipment, in a stock swap transaction valued at $1.85 bil. CI offered .9 common shares per NC share. Based on CI's closing stock price of $165. 75 on February 11, the last full trading day prior to the announcement, each RC share was valued at $149.175.</t>
  </si>
  <si>
    <t>Spiros Development Corp II</t>
  </si>
  <si>
    <t>Dura Pharmaceuticals Inc</t>
  </si>
  <si>
    <t>US - Dura Pharmaceuticals Inc (DP) acquired Spiros Development Corp II (SD), a manufacturer of pharmaceutical products, via a tender offer for an amended $13.25 in cash per share, or a total value of $83.806 mil. The per share consideration was to also include 1 warrant exercisable into a to-be- determined fraction of a common share at a price of $17.94 per share. The shares represented the remaining undisclosed minority stake in SD, which DP did not already own. DP owned all the special common shares of SD, which represented voting control. The outstanding callable common stock were issued in an initial public offering in 1997, subsequent to DP's acquisition of SD.</t>
  </si>
  <si>
    <t>US - Computer Associates International Inc (CI) acquired all the outstanding common stock of Sterling Software Inc (SS), a developer of systems and applications software, for $3. 72 bil in a stock swap tender offer. Earlier, CI completed its stock swap tender offer for SS by accepting 75.906 mil common shares, or 92.01% of SS's common shares outstanding. CI offered .5634 common shares per SS share, subject to a collar agreement. Based on CI's closing stock price of $69.75 on February 11, the last full trading day prior to the announcement each SS share was valued at $39.297.</t>
  </si>
  <si>
    <t>Key Technology Inc</t>
  </si>
  <si>
    <t>Mnfr process automation sys</t>
  </si>
  <si>
    <t>US - Key Technology Inc (KTI) acquired all the outstanding common stock of Advanced Machine Vision Corp (AMV), a manufacturer of machine vision systems, for $1 in cash per share, or a total value of $26.446 mil. KTI also offered convertible preferred stock redeemable for $1 any time after two years, or convertible at any time into .67 KTI shares for each 10 shares of AMV. Additionally, AMV shareholders received a warrant to acquire KTI stock, redeemable at any time for $. 25 in cash or exercisable to purchase .025 KTI common stock at $15 a share.</t>
  </si>
  <si>
    <t>Marquette Savings Bank SA</t>
  </si>
  <si>
    <t>North Shore Bank</t>
  </si>
  <si>
    <t>US - North Shore Bank, Brookfield, Wisconsin, a unit of State Financial Services Corp's, Hales Corners, Wisconsin, Eastbrook State Bank, Brookfield, Wisconsin subsidiary, acquired all the outstanding stock of Marquette Savings Bank SA, West Allis, Pennsylvania, a 55.91% owned unit of Marquette Savings Bank SA's, West Allis, Pennsylvania, Marquette Financial subsidiary, for $12 per share, or a total value of $28.534 mil.</t>
  </si>
  <si>
    <t>Net2Phone Inc</t>
  </si>
  <si>
    <t>Pvd Internet voice commun svcs</t>
  </si>
  <si>
    <t>US - America Online Inc (AOL) discontinued rumors to raise its stake to an undisclosed majority interest from 5.3%, in Net2Phone Inc (NPI), a provider of voice-enhanced Internet communications services, from IDT Corp (IDT). IDT held a 48.6% stake, or 25.1 mil common shares, in NPI.</t>
  </si>
  <si>
    <t>American Precision Industries</t>
  </si>
  <si>
    <t>Mnfr heat transfer equipment</t>
  </si>
  <si>
    <t>US - Danaher Corp (DC) acquired all the outstanding common stock of American Precision Industries Inc (API) , a manufacturer of heat transfer equipment, for $19. 25 in cash per share, or a total value of $209.569 mil including the assumption of $65 mil in liabilities. Earlier, DC completed its tender offer for API by accepting 6.7 mil common shares, or 94.8% of API's common shares outstanding. The offer was conditioned upon at least a majority of API's shares being tendered on a fully-diluted basis.</t>
  </si>
  <si>
    <t>OnHealth Network Co</t>
  </si>
  <si>
    <t>Pvd on-line health care svcs</t>
  </si>
  <si>
    <t>US - Healtheon/WebMD Corp (HC) acquired all of the outstanding common stock of OnHealth Network Co (OC), a provider of on-line health care and benefit information services, in a stock swap transaction valued at $274. 524 mil. HC offered .189435 shares per OC shares. Based on HC's closing stock price of $68.625 on February 15, the last full trading day prior to the announcement, each OC share was valued at $12.97.</t>
  </si>
  <si>
    <t>Champion International Corp</t>
  </si>
  <si>
    <t>Mnfr paper and wood products</t>
  </si>
  <si>
    <t>UPM-Kymmene Oyj</t>
  </si>
  <si>
    <t>Manufacture, wholesale wood, paper and steel products</t>
  </si>
  <si>
    <t>US - UPM-Kymmene Corp (UPM), based in Helsinki, Finland, withdrew its definitive agreement to merge with Champion International Corp (CI), a manufacturer of paper and wood products, in a stock swap transaction valued at an amended $6.806 bil. UPM offered $70 in ordinary stock per CI common share. Previously, UPM definitively agreed to merge with CI in a stock swap transaction valued at $6.402 bil. UPM offered 1. 99 shares per CI share. Based on UPM's closing stock price of $33.125 on February 16, the last full trading day prior to announcement, each CI share had been valued at $65.919. The transaction was to be accounted for as a pooling of interests. The combined company was to be called Champion International (CHI) with 49,000 employees. CHI, based in Helsinki, was to have a business portfolio with production plants in 17 countries and extensive sales and distribution facilities on five continents. Subsequently, International Paper Co (IP) amended its unsolicited challenging offer to acquire CI via a tender offer for $75 in cash and stock. Previously, IP offered $64 per CI share. UPM had until May 12 to better IP's offer, at which time it chose to withdraw from the bidding war.</t>
  </si>
  <si>
    <t>Independent Bankshares Inc</t>
  </si>
  <si>
    <t>State National Bankshares Inc</t>
  </si>
  <si>
    <t>US - State National Bankshares, Lubbock, Texas acquired all the outstanding common stock of Independent Bankshares Inc, Abilene, Texas for $20.017 per share, or a total value of $43.448 mil.</t>
  </si>
  <si>
    <t>Sound Federal Bancorp,NY</t>
  </si>
  <si>
    <t>US - Sound Federal Bancorp, Lamaroneck, New York, acquired all the outstanding common stock of Peekskill Financial Corp, Peekskill, New York, for $22 in cash per share, or a total value of $38.769 mil.</t>
  </si>
  <si>
    <t>Molex Inc</t>
  </si>
  <si>
    <t>US - Molex Inc terminated its plan to acquire the remaining 76% interest, or 8, 825,844 common shares, which it did not already own, in Sheldahl Inc, a manufacturer of flexible laminates and printed circuitry for the automotive and data communication markets, for $7. 75 in cash per share, or a total value of $119.608 mil. Subsequently, an investor group made a challenging offer to acquire SI for $8.50 in cash per share.</t>
  </si>
  <si>
    <t>US - International Paper Co, acting as a white-knight, acquired all the outstanding common stock of Shorewood Packaging Corp (SP), a manufacturer of paperboard packaging products, for $21 in cash per share, or a total value $878.298 mil, including the assumption of $275 mil in liabilities. Earlier, SP completed its challenging tender offer to acquire all the outstanding common stock of SP, by accepting 25.9 mil common shares, or about 94. 64% of the total outstanding. Subsequently, Chesapeake Corp (CC) withdrew its tender offer to acquire all the outstanding common stock of SP for an amended $17.25 in cash per share. Earlier, CC acquired a 14.9% stake in SP from Ariel Capital Management for $17.25 in cash per share. Originally, SP launched a tender offer to acquire all the outstanding common stock of CC for $40 in cash per share.</t>
  </si>
  <si>
    <t>US - Lennar Corp acquired all the outstanding common stock of US Home Corp, a constructor of homes and real estate developer, in a stock swap transaction for $18 in cash and $18 in common stock per share, or a total value of $1.505 bil, including the assumption of $650 mil in liabilities.</t>
  </si>
  <si>
    <t>US - An investor group, including Greenlight Capital LLP (GCL), withdrew its unsolicited challenging offer to acquire the remaining 86. 8% interest, or 4.377 mil common shares, which it did not already own, in BNC Mortgage Inc (BNC), a mortgage bank, for $11 in cash per share, or a total value of $50.114 mil. Previously, BNCM Acquisition Co, a company formed by a management-led investor group agreed to acquire the remaining 93.2% of BNC for $10 in cash per share. GCL questioned the termination fee of $2 mil in connection with the agreement between BNCM and BNC.</t>
  </si>
  <si>
    <t>Rheometrics Scientific Inc</t>
  </si>
  <si>
    <t>Andlinger Capital XXVI LLC</t>
  </si>
  <si>
    <t>US - Andlinger Capital XXVI LLC, a unit of Andlinger &amp; Co, acquired a 55.79% stake, or 16.606 mil common shares, in Rheometric Scientific Inc, a manufacturer of viscosity and elasticity measuring instruments, for $15.825 mil in a privately negotiated transaction. The consideration consisted 10. 606 mil shares valued at $1. 825 mil and warrants valued at $14 mil.The warrants were exercisable into an additional 2 mil shs com at an exercise price of $1 per share for 7 years plus warrants exercisable into an aditional 4 mil shs com at an exercise price of $3 per share for 3 years</t>
  </si>
  <si>
    <t>Diehl Graphsoft Inc</t>
  </si>
  <si>
    <t>Develop commercial programs</t>
  </si>
  <si>
    <t>Nemetschek SE</t>
  </si>
  <si>
    <t>Develop management software</t>
  </si>
  <si>
    <t>US - Nemetschek AG acquired all the outstanding common stock of Diehl Graphsoft Inc, a developer of commercial software programs, for $9.50 in cash per common share, or a total value of $29.486 mil.</t>
  </si>
  <si>
    <t>Pennwood Bancorp Inc, PA</t>
  </si>
  <si>
    <t>Fidelity Bancorp,Pittsburgh,PA</t>
  </si>
  <si>
    <t>US - Fidelity Bancorp Inc, Pittsburgh, Pennsylvania, acquired all the outstanding common stock of Pennwood Bancorp Inc, Pittsburgh, Pennsylvania, a savings and loan, for $13.10 in cash per share, or a total value of $7. 451 mil.</t>
  </si>
  <si>
    <t>Landmark Financial Corp,NY</t>
  </si>
  <si>
    <t>US - TrustCo Bank Corp, NY acquired all the outstanding common stock of Landmark Financial Corp, Canajoharie, NY, a bank holding company, for $21 in cash per share or a total value of $3.293 mil.</t>
  </si>
  <si>
    <t>Northstar Computer Forms Inc</t>
  </si>
  <si>
    <t>Publish manifold bus forms</t>
  </si>
  <si>
    <t>Ennis Business Forms Inc</t>
  </si>
  <si>
    <t>Publish business forms, paper pro</t>
  </si>
  <si>
    <t>US - Ennis Business Forms Inc (EBF) acquired all the outstanding stock of Northstar Computer Forms Inc (NCSF), a manufacturer of business forms and paper products, for $14 in cash per share, or a total value of $41.896 mil. Completion of the acquisition was to be subject to shareholder approval and the Hart-Scott Rodino Act. Upon completion, NSCF was to become a wholly- owned unit of EBF and the current management of NSCF was to continue to operate the business.</t>
  </si>
  <si>
    <t>Havas Advertising SA</t>
  </si>
  <si>
    <t>US - Havas Advertising SA (HA) acquired all the outstanding common stock of Snyder Communications Inc (SC) , a provider of outsourced marketing services, in a stock swap transaction valued at $2.765 bil. HA offered $29. 50 ADR's per SC share. Upon completion, HA was to own 70% of the combined company, while SC was to own the remaining 30%.for $1.921 bil.</t>
  </si>
  <si>
    <t>Travel Services International</t>
  </si>
  <si>
    <t>Pvd leisure travel services</t>
  </si>
  <si>
    <t>Airtours PLC</t>
  </si>
  <si>
    <t>Tour operator; holding company</t>
  </si>
  <si>
    <t>US - Airtours PLC (ATR) acquired all the outstanding common stock of Travel Services International Inc (TSI), an owner and operater of travel agencies, for $26 in cash per share, or a total value of $368.473 mil. Earlier, ATR completed its tender offer for TSI by accepting 13.4 mil common shares, or about 95% of the total outstanding. The transaction was subject to antitrust approval under the Hart-Scott-Rodino Act. The offer was conditioned upon at least a majority of TSI's shares being tendered.</t>
  </si>
  <si>
    <t>US - Liberty Media Group (LM) , a majority-owned unit of AT&amp;T Corp, merged with Ascent Entertainment Group Inc (AEG), a provider of entertainment services, for $15.25 per share, or a total value of $748.804 mil, including the assumption of $295 mil in liabilities. Previously, LM completed its tender offer by accepting 25.3 mil common shares or about 85% of the total outstanding. The transaction occurred after previous negotiations were terminated in October. The offer was conditioned upon at least a majority of AEG's shares being tendered.</t>
  </si>
  <si>
    <t>Consolidated Papers Inc</t>
  </si>
  <si>
    <t>Stora Enso Oyj</t>
  </si>
  <si>
    <t>Mnfr paper,packaging prod</t>
  </si>
  <si>
    <t>US - Stora Enso Oy J (SE) acquired all the outstanding common stock of Consolidated Papers Inc, a manufacturer of paper products, for $44 in a choice of cash or SE American Depository Receipts (ADR) per share, or a total value of $4. 94 bil, including the assumption of $900 mil in liabilities. The consideration was pro-rated so that 50% of the consideration was paid in cash and 50% in ADR's.</t>
  </si>
  <si>
    <t>Sage Inc</t>
  </si>
  <si>
    <t>Mnfr,design,mkt semiconductors</t>
  </si>
  <si>
    <t>US - Sage Inc (SI) acquired Faroudja Inc (FA), a manufacturer of audio and video equipment, in a stock swap transaction valued at $151.445 mil. SI offered .285 shares per FA share. Based on SI's closing stock price of $39.625 on February 18, the last full trading day prior to announcement, each FA share was valued at $11.29. The transaction was to close by June 30 and was to be accounted for as a purchase.</t>
  </si>
  <si>
    <t>First Northern Capital Corp</t>
  </si>
  <si>
    <t>US - Mutual Savings Bank FSB (MSB), Bay City, Michigan, acquired all the outstanding common stock of First Northern Capital Corp (FN), Green Bay, Wisconsin, a bank holding company, for $15 in cash and common stock per share, or a total value of $135.169 mil. The transaction was subject to regulatory approval. The transaction created Wisconsin's largest savings and loan thrift. Upon completion, FN was to add $840 mil in assets and 19 branch offices to MSB's $1.8 bil in assets and 51 offices.</t>
  </si>
  <si>
    <t>IPC Communications(Citicorp)</t>
  </si>
  <si>
    <t>Pvd integrate commun svcs</t>
  </si>
  <si>
    <t>US - Global Crossing Ltd (GC) acquired IPC Communications Inc (IPC), a provider of integrated communications systems and services, from Citicorp Venture Capital, a unit of Citigroup, in a stock swap transaction valued at $2. 793 bil. GC offered 5.417 GC common shares per IPC share. Based on GC's closing stock price of $52.375 on February 18, the last full trading day prior to announcement, each IPC share was valued at $283. 71. Concurrently, GC acquired the remaining 27% interest that IPC did not already own in IXnet Inc</t>
  </si>
  <si>
    <t>IXnet Inc(IPC Information)</t>
  </si>
  <si>
    <t>Provide global networking svcs</t>
  </si>
  <si>
    <t>US - Global Crossing Ltd (GC) acquired the remaining 27% stake, or 13.797 mil common shares not already owned by IPC Communications Inc (IPC), in IXnet Inc (IX), a provider of global networking services and majority-owned unit of the IPC division of Citicorp's Citicorp Venture Captial Ltd subsidiary, in a stock swap transaction valued at $876.943 mil. GC offered 1. 184 GC common shares per IX share. Based on GC's closing stock price of $52.375 on February 18, the last full trading day prior to the announcement, each IX share was valued at $62.012. Concurrently, GC acquired all the outstanding common stock of IPC.</t>
  </si>
  <si>
    <t>Medscape Inc</t>
  </si>
  <si>
    <t>Pvd medical info via website</t>
  </si>
  <si>
    <t>MedicaLogic Inc/Medscape Inc</t>
  </si>
  <si>
    <t>Dvlp medical info software</t>
  </si>
  <si>
    <t>US - MedicaLogic Inc (ML) merged with Medscape Inc (MS), a provider of online medical information services to physicians and healthcare professionals, in a stock swap transaction valued at $731.201 mil. ML offered .323 common shares per MS share. Based on ML's closing stock price of $50.688 on February 18, the last full trading day prior to the announcement, each MS share was valued at $16.372. Upon completion, the combined company was initially to be renamed MedicaLogic/Medscape.</t>
  </si>
  <si>
    <t>US - MGM Grand Inc (MGM), a majority-owned unit of Tracinda Corp, acquired all the outstanding common stock of Mirage Resorts Inc (MR), an owner and operator of casino hotels, for a sweetened $21 in cash per share, or a total value $6. 483 bil, including the assumption of approximately $2 bil in liabilities. Originally, MGM offered a choice of $17 in cash or a combination of $7 in cash and $10 in common stock per MR share. MR's board rejected the original offer, and adopted a poison pill plan giving shareholders the right to purchase stock at a deep discount in the event of an acquisition or an attempt to acquire a stake of 10% or more of the company. Upon completion, this acquisition was to create the second largest US gaming company behind Park Place Entertainment Corp.</t>
  </si>
  <si>
    <t>US - SBC Communications Inc (SBC) acquired all the outstanding common stock of Sterling Commerce Inc (SCI), for $44.25 in cash per share, or a total value of $3.841 bil. Previously, SBC completed a tender offer by accepting 76,159,720 shares, or 95.15% of SCI's common stock outstanding. The offer was conditioned upon at least a majority of SCI's shares being tendered on a fully diluted basis.</t>
  </si>
  <si>
    <t>Everest Medical Corp</t>
  </si>
  <si>
    <t>Mnfr electrosurgical devices</t>
  </si>
  <si>
    <t>Gyrus Group PLC</t>
  </si>
  <si>
    <t>US - Gyrus Group PLC (GG) acquired all the outstanding common stock of Everest Medical Corp (EM), a manufacturer of electrosurgical devices, for $4.85 in cash per share, or a total value of $51.267 mil. Previously, GG completed its tender offer by accepting 7. 204 mil common shares, or about 93.93% of EM's common stock outstanding. The offer was conditioned upon at least a majority of EM's shares being tendered.</t>
  </si>
  <si>
    <t>PairGain Technologies Inc</t>
  </si>
  <si>
    <t>Mnfr telecommunications prods</t>
  </si>
  <si>
    <t>ADC Telecommunications Inc</t>
  </si>
  <si>
    <t>Mnfr,whl communications equip</t>
  </si>
  <si>
    <t>US - ADC Telecommunications Inc (ADC) acquired PairGain Technologies Inc (PGT), a manufacturer and wholesaler of telecommunications equipment, including digital subscriber line networking systems, in a stock swap transaction valued at $1.612 bil. ADC offered .43 common shares per PGT share. Based on ADC's closing stock price of $46.813 on February 22, the last full trading day prior to the announcememt, each PGT was valued at $20.13. The transaction was to be accounted for as a pooling of interests. The acquisition of PGT supported ADC's strategy to become a market leader in supplying DSL broadband access systems.</t>
  </si>
  <si>
    <t>Skylands Financial Corp</t>
  </si>
  <si>
    <t>US - Fulton Financial Corp (FFC), Lancaster, Pennsylvania acquired Skylands Community Bank (SCB), Hackettstown, New Jersey , a commercial bank, in a stock swap transaction valued at $31.79 mil. FFC offered .819 shares per SCB share. Based on FFC's closing stock price of $16.125 on February 22, the last full trading day prior to announcement, each SCB share was valued at $13. 309. Concurrently, FFC's board authorized the repurchase of up to 2 mil common shares, or about 2. 911%, of the company's common stock outstanding, in open market transactions in connection with the acquisition.</t>
  </si>
  <si>
    <t>ResCare Inc</t>
  </si>
  <si>
    <t>Pvd health,educ support svcs</t>
  </si>
  <si>
    <t>US - A management-led investor group, including Carlyle Group, Madison Dearborn Partners, and Bear Stearns Merchant Banking, terminated its agreement to merge with Res-Care Inc (RCI), a provider of support services, for $15.75 in cash per share, or a total value of $389.65 mil, in a leveraged buyout transaction. RCI's board agreed not to solicit other proposals but may consider unsolicted offers. Previously, the group had offered $18 per share, but later withdrew its offer.</t>
  </si>
  <si>
    <t>Westaff Inc</t>
  </si>
  <si>
    <t>Pvds recruitment,staffing svcs</t>
  </si>
  <si>
    <t>US - A management-led investor group terminated its plans to acquire all the outstanding common stock of Westaff Inc, a provider of staffing and employment services, for $10 in cash per share, or a total value of $159.173 mil, in a leveraged buyout transaction.</t>
  </si>
  <si>
    <t>US - A management-led investor group, including Hilltopper Acquisition Corp and Hilltopper Holding Corp, units of E.M. Warburg, Pincus &amp; Co LLC, acquired all the outstanding common stock of Centennial HealthCare Corp (CHC), a provider of home health care services, for $5. 5 in cash per share, or a total value of $65.58 mil in a leveraged buyout transaction. Earlier, the investor group completed its tender offer for CHC, by accepting 6,179,862 shares, or about 51.83% of CHC's common stock outstanding. The offer was conditioned upon at least 68.5% of CH's shares being tendered.</t>
  </si>
  <si>
    <t>Mission Critical Software Inc</t>
  </si>
  <si>
    <t>Develop LAN products</t>
  </si>
  <si>
    <t>NetIQ Corp</t>
  </si>
  <si>
    <t>Dvlp sys mgmt software</t>
  </si>
  <si>
    <t>US - NetIQ Corp (NIC) merged with Mission Critical Software Inc (MCS), a developer of LAN backup and recovery products, in a merger-of-equals stock swap transaction valued at $1.413 bil. NIC offered .9413 common shares per MCS share. Based on NIC's closing stock price of $73.5 on February 25, the last full trading day prior to the announcement, each MCS share was valued at $69.164. Upon completion, the combined company used the NIC name.</t>
  </si>
  <si>
    <t>US - An investor group led by investor Irwin L. Jacobs terminated its unsolicited challenging offer to acquire the remaining 89.86% interest, or 10.436 mil common shares, that it did not already own, in Sheldahl Inc (SI), a manufacturer of flexible laminates and printed circuitry for the automotive and datacommunication markets, for $8.5 per share, or a total value of $145.297 mil. Earlier, Molex Inc was in negotiations to acquire the remaining 76% interest it did not already own in SI.</t>
  </si>
  <si>
    <t>Spanlink Communications Inc</t>
  </si>
  <si>
    <t>Mfr interactive comp telecomm</t>
  </si>
  <si>
    <t>Spanlink Acquisition Group</t>
  </si>
  <si>
    <t>US - A management-led investor group, comprised of Spanlink Acquisition Group, acquired the remaining 98% interest, or 5,288,187 comon shares, in Spanlink Communications Inc (SC), a developer of call center software, for $10.50 in cash per share, or a total value of $69.484 mil, in a leveraged buyout transaction. Previously, the group completed a tender offer by accepting 5.288 mil common shares, or about 98% of SC's common stock. The offer was conditioned upon at least 67% of SC's shares being tendered. Upon completion, SC was to be delisted.</t>
  </si>
  <si>
    <t>VirtGame Corp</t>
  </si>
  <si>
    <t>Pvd Internet gambling svcs</t>
  </si>
  <si>
    <t>eLottery Inc(eLOT Inc)</t>
  </si>
  <si>
    <t>Retail lottery tickets online</t>
  </si>
  <si>
    <t>US - eLottery Inc (eLOT) planned to acquire Virtgame. com Corp (VCOM), a provider of Internet gambling services, in a stock swap transaction valued at $16.874 mil. eLOT offered .333 shares per VCOM share. Based on eLOT's closing stock price of $5.125 on February 24, the last full trading day prior to announcement, each VCOM share was valued at $1.707.</t>
  </si>
  <si>
    <t>Bristol Hotels &amp; Resorts Inc</t>
  </si>
  <si>
    <t>Bass PLC</t>
  </si>
  <si>
    <t>Produce beer,spirits</t>
  </si>
  <si>
    <t>US - Bass PLC (BP) acquired the remaining 90.1% interest, or 16.046 mil common shares, which it did not already own, in Bristol Hotels &amp; Resorts Inc (BH), an owner and operator of hotels, for $9.50 in cash per share, or a total value of $152.497 mil. Earlier, BP completed its tender offer for BH by accepting 15.562 mil common shares or about 96.99% of BH's shares outstanding.</t>
  </si>
  <si>
    <t>Carson Inc</t>
  </si>
  <si>
    <t>Mnfr hair,nail care products</t>
  </si>
  <si>
    <t>Cosmair Inc</t>
  </si>
  <si>
    <t>Manufacture cosmetics</t>
  </si>
  <si>
    <t>US - Cosmair Inc (COS), a unit of Gesparal SA's majority-owned L'oreal SA subsidiary, acquired all the outstanding common stock of Carson Inc (CAR), a manufacturer of hair and skin products, for $5.20 in cash per share, or a total value of $80.642 mil. Earlier, COS completed its tender offer by accepting 14.56 mil common shares, or 95.73% of the common shares outstanding. Certain stockholders of CAR who together own a majority of the outstanding shares of the company's common stock have entered into a stockholders agreement with COS requiring them to tender their shares in the offer. The offer was conditioned upon at least a majority of CAR's shares being tendered on a fully diluted basis.</t>
  </si>
  <si>
    <t>US - NiSource Inc (NS) merged with Columbia Energy Group (CE), a gas utility company, to form a new holding company named NiSource Inc Holding Co (NH), for $8.501 bil, including the assumption of $2.5 bil in liabilities. The consideration consisted of $70 in cash and a $2.60 face value security per CE common share. The face value security was a unit consisting of a zero coupon debt security with a forward equity contract. Alternatively, CE shareholders had the option to elect to receive $74 in NH common stock, subject to a collar agreement, for up to 30% of the company's common stock outstanding. Upon completion, both CE and NS were to become wholly owned subsidiaries of the new holding company. The transaction was subject to regulatory and NS shareholder approval. However, if the NS shareholder approval was not obtained, the transaction was to be automatically restructured so that CE shareholders will receive $70 in cash and a $3.02 face value SAILS unit with no option for CE shareholders to elect to receive new holding common stock. Previously, NS terminated its unsolicited hostile tender offer to acquire CE.</t>
  </si>
  <si>
    <t>US - PowerGen PLC acquired all the outstanding common stock of LG&amp;E Energy Corp, an electric utility, for $24.85 in cash per share, or a total value of $5.426 bil, including the assumption of $2.2 bil in liabilities.</t>
  </si>
  <si>
    <t>Mustang.com Inc</t>
  </si>
  <si>
    <t>Quintus Corp</t>
  </si>
  <si>
    <t>Dvlp customer support software</t>
  </si>
  <si>
    <t>US - Quintus Corp (QC) acquired Mustang.com Inc (MU), a developer of online communications software, in a stock swap transaction valued at $214.558 mil. QC offered . 793 common shares per MU share. Based on QC's closing stock price of $48.25 on February 25, the last full trading day prior to the announcement, each MU share was valued at $38.262.</t>
  </si>
  <si>
    <t>CVC Inc</t>
  </si>
  <si>
    <t>Mnfr fabrication equip</t>
  </si>
  <si>
    <t>Veeco Instruments Inc</t>
  </si>
  <si>
    <t>Mnfr metrology,process equip</t>
  </si>
  <si>
    <t>US - Veeco Instruments Inc (VI) acquired CVC Inc (CV), a manufacturer of fabrication equipment, in a stock swap transaction valued at $441. 934 mil. VI offered .43 common shares per CV share. Based on VI's closing stock price of $74.3125 on February 28, the last full trading day prior to the announcement, each CV share was valued at $31.954. The transaction was accounted for as a pooling of interests.</t>
  </si>
  <si>
    <t>Exactis.com Inc</t>
  </si>
  <si>
    <t>Pvd e-mail marketing services</t>
  </si>
  <si>
    <t>24/7 Media Inc</t>
  </si>
  <si>
    <t>US - 24/7 Media Inc (MI) acquired all the outstanding common stock of Exactis.com Inc (EI), a provider of permission-based precision e- mail marketing and communications outsourcing solutions services, in a stock swap transaction valued at $400.326 mil. MI offered . 67 common shares per EI share. Based on MI's closing stock price of $49.5 on February 28, the last full trading day prior to the announcement, each EI share was valued at $33.165.</t>
  </si>
  <si>
    <t>Tritel Inc</t>
  </si>
  <si>
    <t>TeleCorp PCS Inc</t>
  </si>
  <si>
    <t>Pvd wireless telecommun svcs</t>
  </si>
  <si>
    <t>US - TeleCorp PCS Inc (TP) merged with Tritel Inc (TI) to form TeleCorp (TC) in a stock swap transaction valued at $4.884 bil. TI common shareholders were to receive . 76 TC common shares and TP common shareholders were to receive 1 TC common share per share held. Based on TP's closing stock price of $54 on February 28, each TI share was valued at $41.04.</t>
  </si>
  <si>
    <t>Lexington Global Asset Mgrs</t>
  </si>
  <si>
    <t>US - ReliaStar Financial Corp (RS) acquired Lexington Global Asset Managers Inc (LGA), a provider of assets management services, in a stock swap transaction valued at $45.55 mil. RS offered $3. 31 in cash and .231 common shares per LGA share. Based on RS's closing stock price of $28.625 on February 28, each LGA share was valued at $9.922.</t>
  </si>
  <si>
    <t>US - Deutsche Telekom AG (DT) had been rumored to be planning to acquire all the outstanding common stock of Qwest Communications International Inc (QCI), a provider of multimedia telephone communications services. Concurrently, DT was rumored to be planning to acquire all the outstanding common stock of US West (USW), a provider of telecommunications and data networking services. In addition, QCI agreed to merge with USW in a stock swap transaction.</t>
  </si>
  <si>
    <t>US - Deutsche Telekom AG (DT) had been rumored to be planning to acquire all the outstanding common stock of US West Inc (USW), a provider of telecommunications and data networking services. Concurrently, DT was rumored to be planning to acquire all the outstanding common stock of Qwest Communications International Inc (QCI), a provider of multimedia telephone communications services. In addition, QCI agreed to merge with USW in a stock swap transaction.</t>
  </si>
  <si>
    <t>Savoir Technology Group Inv</t>
  </si>
  <si>
    <t>Whl computers,electronics</t>
  </si>
  <si>
    <t>US - Avnet Inc (AV) acquired all the outstanding common stock of Savoir Technology Group Inc (ST), a wholesaler of computers and electronics, in a stock swap transaction valued at an estimated $133. 518 mil, including the assumption of $10 mil in liabilities. AV offered an estimated .11996 common shares per ST share. Based on AV's closing stock price of $65.438 on March 1, the last full trading day prior to the announcement, each ST share was valued at $7.853.</t>
  </si>
  <si>
    <t>US - Eclipsys Corp (EC) withdrew its unsolicited offer to acquire all the outstanding common stock of Shared Medical Systems Corp (SM), a provider of computer facilities management services to the healthcare industry, in a stock swap transaction valued at $1.869 bil. EC offered $67 in common stock per SM share. Alternatively, EC offered $67 in a combination of cash and common stock per SM share. Subsequently, Siemens Corp launched a challenging tender offer to acquire SM.</t>
  </si>
  <si>
    <t>US - Wireless Telecom Group Inc (WTG) merged with Boonton Electronics Corp(BE), a wholesaler of electronic measuring equipment, in a stock swap transaction valued at $15.441 mil. WTG offered . 79 shares per BE share. Based on WTG's closing stock price of $8.187 on March 2, the last full trading day prior to announcement, each BE share was valued at $6.468.</t>
  </si>
  <si>
    <t>Commerce Natl,Winter Park,FL</t>
  </si>
  <si>
    <t>US - Wachovia Corp, Winston- Salem, North Carolina (WC) acquired all the outstanding common stock of Commerce National Corp, Winter Park, Florida (CN), in a stock swap transaction valued at $38.935 mil, subject to a collar agreement. WC offered $54 in common stock per CN share.</t>
  </si>
  <si>
    <t>Biomatrix Inc</t>
  </si>
  <si>
    <t>Mnfr biological prod</t>
  </si>
  <si>
    <t>Genzyme Biosurgery</t>
  </si>
  <si>
    <t>US - Genzyme Biosurgery (GB), a company formed by the merger of Genzyme Surgical Products (GSP) and Genzyme Tissue Repair (GTR), both units of Genzyme Corp, merged with Biomatrix Inc (BI), a manufacturer of biological products, in a stock swap transaction valued at an amended $459.864 mil. GB offered $11.03 in cash and . 7019 common shares per BI share. Alternatively, GB offered 1 common share per BI share. GB also offered $10.50 in cash and .7162 common shares per BI share. The GB shares were valued based on GB's closing stock price of $11 on December 19, the first full trading day of GB's stock. Concurrently, GSP merged with GTR to form GB. Upon completion of the two transactions, BI, GTR, and GSP, were to hold 47%, 27%, and 26% respectively in GB. Previously, GB offered $37 in cash per share for up to 28% of BI's common stock, with the remaining 72% exchanged for new GB shares on a 1-for- 1 basis.</t>
  </si>
  <si>
    <t>Celestial Seasonings Inc</t>
  </si>
  <si>
    <t>Produce specialty herb,teas</t>
  </si>
  <si>
    <t>US - Hain Food Group Inc (HF) merged with Celestial Seasonings Inc (CS) , a producer of specialty teas, in a stock swap transaction valued at $386.704 mil, including the assumption of $7.8 mil in liabilities. HF offered 1.265 common shares per CS share. Based on HF's closing stock price of $32. 375 on March 3, the last full trading day prior to announcement, each CS share was valued at $40.954. The transaction was to be accounted for as a pooling of interests. The combined company was to be renamed Hain Celestial Group Inc (HCG) and was to continue to trade under the stock symbol HAIN. HCG was expected to have pro forma sales of $430 mil for the year ended June 30, 2000. HG chairman, chief executive officer, and president, Irwin Simon, was to hold the same titles at HCG, while CS's president, Mo Siegel, was to be vice chairman of HCG.</t>
  </si>
  <si>
    <t>US - VS&amp;A Communications Partners III LP (VSA), a unit of Veronis Suhler &amp; Associates, acquired all the outstanding common stock of Data Transmission Network Corp (DT), a provider of information services, for $29 in cash per share, or a total value of $467.087 mil including the assumption of $100 mil in liabilities. Previously, VSA completed its tender offer by accepting approximately 11.7 mil common shares, or a 97.81% of DT's common stock outstanding. The offer was conditioned upon at least 90% of DT's shares being tendered.</t>
  </si>
  <si>
    <t>Destron Fearing Corp</t>
  </si>
  <si>
    <t>Dvlp,mnfr identification prods</t>
  </si>
  <si>
    <t>Applied Digital Solutions Inc</t>
  </si>
  <si>
    <t>Mnfr identification,sec prod</t>
  </si>
  <si>
    <t>US - Applied Digital Solutions Inc (ADS) acquired all the outstanding common stock of Destron Fearing Corp (DF), a manufacturer of visual and electronic animal identification devices, in a stock swap transaction valued at an amended $87.723 mil. ADS offered an amended 1.5 common shares per DF share held. Originally in March 2000, ADS offered ADS offered .75 shares per DF share, subject to a collar agreement. Based on ADS' closing stock price of $4 on May 25, the last full trading day prior to the amendment, each DF share was valued at $6. Upon completion, DF was to be merged into DigitalAngel.net Inc, a manufacturer of an implantable digital transceiver device and a subsidiary of ADS.</t>
  </si>
  <si>
    <t>US - North Fork Bancorp Inc (NF), Melville, New York, withdrew its hostile, challenging tender offer to acquire Dime Bancorp Inc (DB), New York, New York, a savings and bank mortgage holding company, in a swap transaction valued at $1.908 bil. NF offered $2 in cash and .9302 common shares per DB share. Based on NF's closing stock price of $16. 125 on March 3, the last full trading day prior to the announcement, each DB share was valued at $16.999. Upon completion, the combined company was to be named North Fork-Dime (FND). Previously, Hudson United Bancorp terminated its agreement to merge with DB in a reverse stock swap transaction. In addition, FleetBoston Financial Corp agreed to acquire an undisclosed minority stake in NF for $250 mil, contingent upon the completion of NF's acquisition of DB. Subsequently, DB launched a Dutch auction self- tender for up to13.608 mil common shares, or 12.18% of its common stock outstanding, in an effort to thwart NF's hostile bid for the company.</t>
  </si>
  <si>
    <t>Liposome Co Inc</t>
  </si>
  <si>
    <t>US - Elan Corp Plc (EC) acquired all the outstanding common stock of Liposome Co Inc (LC), a manufacturer of pharmaceutical products, in a stock swap transaction valued at $667.741 mil, including up to $44 mil in profit-related payments. EC offered .385 American Depository Shares per LC share and up to $54 mil in contingent value rights. Based on EC's closing stock price of $39.6875, each LC share was valued at $15.28. Originally, in February 2000, LC announced that it was seeking a buyer for the company.</t>
  </si>
  <si>
    <t>Loronix Information Systems</t>
  </si>
  <si>
    <t>US - Comverse Technology Inc (CT) acquired Loronix Information Systems Inc (LIS), a software developer, in a stock swap transaction valued at $268.899 mil. CT offered . 193 shares per LIS share. Based on CT's closing stock price of $227.5 on March 3, the last full trading day prior to announcement, each LIS share was valued at $43. 908. The transaction was accounted for as a pooling of interests.</t>
  </si>
  <si>
    <t>Duff &amp; Phelps Credit Rating Co</t>
  </si>
  <si>
    <t>Pvd credit reporting services</t>
  </si>
  <si>
    <t>Fitch IBCA</t>
  </si>
  <si>
    <t>US - Fitch IBCA (FI), a unit of FIMALAC SA merged with Duff &amp; Phelps Credit Rating Co (DP), a provider of credit reporting services, for $100 in cash per share, or a total value of $562.134 mil. Previously, FI completed its tender offer by accepting 4. 496 mil common shares, or about 96.78% of the total outstanding. The offer was conditioned upon at least a majority of DP's shares being tendered on a fully-diluted basis. Upon completion, DP was to delist and the combined company was to be called Fitch (F). F was to have dual headquarters in New York and London and a major office in Chicago.</t>
  </si>
  <si>
    <t>Network Solutions Inc</t>
  </si>
  <si>
    <t>Pvd domain registration svcs</t>
  </si>
  <si>
    <t>VeriSign Inc</t>
  </si>
  <si>
    <t>US - VeriSign Inc (VS) acquired Network Solutions Inc (NS), a provider of Internet domain name registration services, in a stock swap transaction valued at $21.101 bil. VS offered 2. 15 common shares per NS share. Based on VS' closing stock price of $247.4375 on March 6, the last full trading day prior to the announcement, each NS share was valued at $531.991. The number of common shares offered by VS was based on the number of NS common shares outstanding prior to a 2-for-1 split of NS stock to be completed on March 10, 2000. Upon completion of the transaction, the combined company was to become the world's largest provider of Internet trust services.</t>
  </si>
  <si>
    <t>Apex Inc</t>
  </si>
  <si>
    <t>Cybex Computer Products Corp</t>
  </si>
  <si>
    <t>Mnfr,whl keyboard,monitors</t>
  </si>
  <si>
    <t>US - Cybex Computer Products Corp (CCP) merged with Apex Inc (AP), a manufacturer of switching systems, to form Avocent Corp (AC) in a stock swap transaction valued at $1. 106 bil. AP common shareholders were to receive 1.091 AC common shares and CCP common shareholders were to receive 1 AC common share per share held. Based on CCP's closing stock price of $44.813 on March 7, the last full trading day prior to the announcement, each AP share was valued at $48.868. Upon completion of the reverse- takeover merger, AP shareholders were to hold a 55% interest in AC and CCP shareholders were to hold the remaining 45% stake in AC. Stephen F. Thornton, currently president and chief executive officer of CCP, was to be chairman, president and CEO of AC.</t>
  </si>
  <si>
    <t>Crown Central Petroleum Corp</t>
  </si>
  <si>
    <t>Rosemore Inc</t>
  </si>
  <si>
    <t>US - Rosemore Inc (RI) withdrew its definitive agreement to acquire the remaining 70.832% interest, or 7.133 mil common shares, that it did not already own, in Crown Central Petroleum Corp (CCP), a refiner and wholesaler of petroleum and an owner and operator of gas stations, for a sweetened $9. 50 per share, or a total value of $67.76 mil. Previously, RI offered $9.35 per share. Originally RI offered $8.35 per share. Subsequently, Apex Oil Co made a challenging offer to acquire the remaining 84.6%, or 8.520 mil common shares, that it did not already own, in CCP for an amended $10 in cash per share, from $9.2 per share.</t>
  </si>
  <si>
    <t>Pinnacle Entertainment Inc</t>
  </si>
  <si>
    <t>Own,operate casino hotels</t>
  </si>
  <si>
    <t>US - Harveys Casino Resorts, a majority-owned unit of Colony Capital Inc, withdrew its agreement to acquire all the outstanding common stock of Pinnacle Entertainment Inc, an owner and operator of casinos and other gaming and sporting facilities, for $25 in cash per share, or a total value of $1.353 bil, including the assumption of $700 mil in liabilities.</t>
  </si>
  <si>
    <t>US Foodservice Inc</t>
  </si>
  <si>
    <t>US - Koninklijke Ahold NV (KAN) acquired all the outstanding commons stock of US Foodservice Inc (USF), a wholesaler of groceries, for $26 in cash per share, or a total value of $3.619 bil, including the assumption of $925 mil in liabilities. Earlier, KAN completed its tender offer for USF by accepting 100,400,644 common shares, or 98.55% of USF's common stock outstanding. The offer was conditioned upon at least 50.1% of USF's shares being tendered on a fully diluted basis.</t>
  </si>
  <si>
    <t>Apex Oil Co Inc</t>
  </si>
  <si>
    <t>Pvd oil refining,storage svcs</t>
  </si>
  <si>
    <t>US - Apex Oil Co (AOC) withdrew its challenging offer to acquire the remaining 84.6%, or 8.520 mil common shares, that it did not already own, in Crown Central Petroleum Corp (CCP), a refiner and wholesaler of petroleum and an owner and operator of gas stations, for a twice sweetened USD 10.5 in cash per share, or a total value of USD 85.201 mil. Previously, AOC offered USD 9. 20 per share, for a total value of USD 78.385 mil. Previously, Rosemore Inc definitively agreed acquire the remaining 70.832% interest, or 7.133 mil common shares, that it did not already own, in CCP for $8.35 in cash per share.</t>
  </si>
  <si>
    <t>Prism Financial,Chicago,IL</t>
  </si>
  <si>
    <t>Royal Bank of Canada</t>
  </si>
  <si>
    <t>US - Royal Bank of Canada (RBC) acquired all the outstanding common stock of Prism Financial Corp (PF), Chicago, Illinois, a mortgage bank, for $7.5 in cash per share, or a total value of $109.689 mil. Earlier, RBC completed its tender offer for PF by accepting 14.424 mil shares, or 98.6% of PF's shares outstanding.</t>
  </si>
  <si>
    <t>Wave Technologies Intl Inc</t>
  </si>
  <si>
    <t>US - Thomson Corp (TH) acquired all the outstanding common stock of Wave Technologies International Inc (WT), a provider of data processing services, for $9. 75 per share, or a total value of $42.549 mil. Earlier, TH completed its tender offer for WT by accepting 3. 967 mil shares, or 95.4% of WT's common stock outstanding. The offer was conditioned upon at least 66.67% of WT's shares being tendered. The transaction was in support of TH's strategy to focus on delivering information electronically.</t>
  </si>
  <si>
    <t>In March 2000, bankrupt Premier Laser Systems Inc announced that it was seeking a buyer for its assets.</t>
  </si>
  <si>
    <t>i2 Technologies Inc</t>
  </si>
  <si>
    <t>Dvlp supply chain software</t>
  </si>
  <si>
    <t>US - i2 Technologies Inc (TI) acquired all the outstanding common stock of Aspect Development Inc (AD), a developer of electronic engineering software for the ASIC market, in a stock swap transaction valued at $7.974 bil. TI offered .55 shares for each AD common share after AD's 2-for-1 stock split. Based on TI's closing stock price of $208 on March 10, the last full trading day prior to the announcement, each AD share was valued at $114.4</t>
  </si>
  <si>
    <t>Mod U Kraf Homes Inc</t>
  </si>
  <si>
    <t>Coachmen Industries Inc</t>
  </si>
  <si>
    <t>Mnfr,whl system-built homes</t>
  </si>
  <si>
    <t>US - Coachmen Industries Inc (CII) acquired all the outstanding common stock of Mod U Kraf Homes Inc, a provider of construction services for residential buildings, for $11.75 in cash per share, or a total value of $9.701 mil. The definitive agreement provides for a significant termination fee payable to CII in certain circumstances.</t>
  </si>
  <si>
    <t>OEA Inc</t>
  </si>
  <si>
    <t>Mnfr explosive ejection sys</t>
  </si>
  <si>
    <t>Autoliv Inc</t>
  </si>
  <si>
    <t>Mnfr automotive safety system</t>
  </si>
  <si>
    <t>US - Autoliv Inc (AI) acquired all the outstanding common stock of OEA Inc (OEA), a manufacturer of airbag inflaters, for $10 in cash per share, or a total value of $206.28 mil. Previously, AI completed its tender offer by accepting 19,507,906 common shares, or 94.62% of OEA's common shares outstanding . The offer was conditional upon a majority of OEA' shares being tendered.</t>
  </si>
  <si>
    <t>Times Mirror Co</t>
  </si>
  <si>
    <t>Pub newspapers,books,magazine</t>
  </si>
  <si>
    <t>US - Tribune Co (TC) acquired Times Mirror Co (TM), in a two-tier stock swap transaction valued at $9.07 bil. Earlier, TC completed its tender offer for TM by accepting 23,444,800 shares, or 25.7% of TM's common shares outstanding. The offer was conditioned upon at least 15 mil shares being tendered. Subsequently, TC acquired the remaining 74.3% interest, or 67.768 mil common shares, in a stock swap transaction. TC offered 2.5 common shares per TM Class A and Class C share. The deal was to create the third-largest newspaper company in the United States behind Gannett Co and Knight Ridder Inc.</t>
  </si>
  <si>
    <t>Voyager.Net Inc</t>
  </si>
  <si>
    <t>CoreComm Ltd</t>
  </si>
  <si>
    <t>Pvd voice,data commun svcs</t>
  </si>
  <si>
    <t>US - CoreComm Ltd (CL) acquired Voyager.net Inc (VI), an internet service provider, in a stock swap transaction valued at an amended $189.117 mil, subject to a collar agreement. CL offered $1.14 in cash and .614 common shares per VI common share. Based on CL's closing stock price of $7.875 on September 28, the last full trading day prior to the amendment, each VI share was valued at $5.975. Originally, CL offered $3 in cash and .292 common shares per VI share, subject to a collar agreement which was subsequently breached. Based on CL's closing stock price of $47.875 on March 10, the last full trading day prior to the announcement, each VI share was originally valued at $16.98.</t>
  </si>
  <si>
    <t>US - Alcoa Inc (AI) acquired all the outstanding common stock of Cordant Technologies Inc (CTI), a manufacturer of propulsion systems, via a tender offer for $57 in cash per share, or a total value of $2.777 bil, including the assumption of $685 in liablities. Earlier, AI completed its tender offer for CTI by accepting 34.5 mil shares, or 93.97% of CTI's common shares outstanding. The offer was conditioned upon at least a majority of the shares being tendered on a fully diluted basis. Concurrently, AI planned to launch a tender offer to acquire all the outstanding common stock of Howmet International Inc (HII) for $20 in cash per share and CTI terminated its agreement to launch a tender offer to acquire the remaining 15.4% stake, which it does not already own, in HII.</t>
  </si>
  <si>
    <t>Dexia SA</t>
  </si>
  <si>
    <t>Bk</t>
  </si>
  <si>
    <t>US - Dexia Belgium acquired Financial Security Assurance Holdings Ltd (FSA), a provider of insurance services, from US WEST Inc, for $76 in cash per share, or a total value of $2.549 bil.</t>
  </si>
  <si>
    <t>US - Alcoa Inc (AI) completed it unsolicited, hostile offer to acquire the remaining 15.4% stake, or 15. 405 mil common shares, which are not owned by Cordant Technologies Inc (CTI), in Howmet International Inc (HII) , a manufacturer of steel foundries, for a twice amended $21 in cash per share, or a total value of $349.316 mil. Earlier, AI completed its tender offer for the remaining 15.4% stake by accepting 14,562,735 shares, or 99.2% of the company's common stock outstanding. Previously, AI offered $20 in cash per share. Originally, AI offered $18.75 in cash per share. Earlier, AI acquired all the outstanding common stock of CTI. The offer had been conditioned upon completion of AI's tender offer for CTI and the tender of the majority of the HII shares not owned by CTI. Upon completion of both transactions, AI owned 100% of CTI and 100% of HII.</t>
  </si>
  <si>
    <t>Met-Coil Systems Corp</t>
  </si>
  <si>
    <t>Mnfr sheet metalworking mach</t>
  </si>
  <si>
    <t>Mestek Inc</t>
  </si>
  <si>
    <t>Mnfr heating,ventilating equip</t>
  </si>
  <si>
    <t>US - Mestek Inc acquired all the outstanding common stock of Met Coil Systems Corp, a manufacturer of metal-forming and fabricating machinery, for $7.10 in cash per share, or a total value of $38.042 mil.</t>
  </si>
  <si>
    <t>First Counties Bank,Clearlake</t>
  </si>
  <si>
    <t>Westamerica Bancorp</t>
  </si>
  <si>
    <t>US - Westamerica Bancorp,San Rafael, California(WABC) acquired all the outstanding common stock of First Counties Bank, Clearlake, California(FCB), a savings and loan bank, in a stock swap transaction valued at $15.999 mil. Westamerica Bancorp offered .888 shares per FCB share. The shares were valued based on WABC's closing stock price of $21. 813 on March 14, the last full trading day prior to announcement.</t>
  </si>
  <si>
    <t>LHS Group Inc</t>
  </si>
  <si>
    <t>Pvd programming svcs</t>
  </si>
  <si>
    <t>Sema Group PLC</t>
  </si>
  <si>
    <t>US - Sema Group PLC (SG), based in the UK, merged with LHS Group Inc (LHS), a provider of programming services, in a stock swap transaction valued at $4.338 bil. SG offered 2.6 ordinary shares per LHS share. Based on SG's closing stock price of $26.736 on March 14, the last full trading day prior to announcement, each LHS share was valued at $69.514. Upon completion, the companies aim was to offer a full menu of software and systems for billing, customer care, messaging, and other services.</t>
  </si>
  <si>
    <t>Northstar Health Services Inc</t>
  </si>
  <si>
    <t>Benchmark Medical Inc</t>
  </si>
  <si>
    <t>US - Benchmark Medical Inc acquired all the outstanding common stock of Northstar Health Services Inc, a provider of rehabilitation services, for $1.50 per share, or a total value of $36 mil, including the assumption of an estimated $27.037 mil in liabilities.</t>
  </si>
  <si>
    <t>South Jersey Financial Corp</t>
  </si>
  <si>
    <t>Savings Bank</t>
  </si>
  <si>
    <t>US - Richmond County Financial Corp, Staten Island, New York acquired all the outstanding common stock of South Jersey Financial Corporation Inc, (SJFC) a savings bank, Turnersville, New Jersey, for $20 in cash per SJFC common share, or a total value of $72.075 mil.</t>
  </si>
  <si>
    <t>IRI International Corp</t>
  </si>
  <si>
    <t>Mnfr mobile drilling rigs</t>
  </si>
  <si>
    <t>National-Oilwell Inc</t>
  </si>
  <si>
    <t>Mnfr,whl oil extraction equip</t>
  </si>
  <si>
    <t>US - National-Oilwell Inc (NOW) acquired IRI International Corp (IRI), a manufacturer of oilfield equipment, in a stock swap transaction valued at $328. 136 mil. NOW offered .3385 common shares per IRI share. Based on NOW's closing stock price of $23.75 on March 15, the last full trading day prior to the announcement, each IRI share was valued at $8.039. The transaction was accounted for as a pooling of interests.</t>
  </si>
  <si>
    <t>Inference Corp</t>
  </si>
  <si>
    <t>eGain Communications Corp</t>
  </si>
  <si>
    <t>US - eGain Communications (EC) acquired Inference Corp (IC), a developer of help- desk software, in a stock swap transaction valued at $73.264 mil, subject to a collar agreement. EC offered . 7362 shares per IC share. Based on EC's closing stock price of $11.25 on June 29, the last full trading day prior to completion, each IC share was valued at $8.282.</t>
  </si>
  <si>
    <t>NEFF Corp</t>
  </si>
  <si>
    <t>US - A management-led investor group, including General Electric Capital Corp, a unit of General Electric Co's General Electric Capital Services subsidiary, and President and CEO Kevin Fitzgerald, withdrew an unsolicited offer to acquire all the outstanding common stock of Neff Corp (NC), a provider of equipment rental services, for $9 in cash per share, or a total value of $192.047 mil, in a leveraged buyout transaction. Subsequently, United Rentals Inc offered to acquire a 72% interest in NC.</t>
  </si>
  <si>
    <t>Ocular Sciences Inc</t>
  </si>
  <si>
    <t>Mnfr,whl soft contact lens</t>
  </si>
  <si>
    <t>Wesley Jessen(Bain Capital)</t>
  </si>
  <si>
    <t>Mnfr ophthalmic goods, equip</t>
  </si>
  <si>
    <t>US - Wesley Jessen Vision Care Inc (WJ), a unit of Bain Capital, terminated its plans to acquire Ocular Sciences Inc (OS), a manufacturer and wholesaler of contact lenses, in a stock swap transaction valued at $426.539 mil. WJ offered .721 shares per OS share. Based on WJ's closing stock price of $25 on March 17, the last full trading day prior to announcement, each OS share was valued at $18. 025. As a result of the termination, WJ paid OS a termination fee of $25 mil. Concurrently, Ciba Vision Corp definitively agreed to acquire all the outstanding common stock of WJ via a tender offer for $38.5 in cash per share, or a total value of $679.798 mil. Bausch &amp; Lomb terminated its unsolicited tender offer to acquire all the outstanding common stock of WJ for $35.55 in cash per share or a total value of $703.701 mil.</t>
  </si>
  <si>
    <t>Vastar Resources Inc</t>
  </si>
  <si>
    <t>US - BP Amoco PLC (BP) acquired the remaining, publicly held 18% stake, or 19.928 mil common shares, which it did not currently own, in Vastar Resources Inc (VR), an oil and gas exploration/production company, for a sweetened $83 in cash per share, or a total value of $1.576 bil, by accepting 19.928 mil shares, or 19.9% of VR's common shares outstanding. Originally, BP offered $71 in cash per share, or a total value of $1.336 bil. Previously, BP Amoco Plc merged with Atlantic Richfield (ARCO). The offer was conditioned upon a majority of VR's shares being tendered and on the successful completion of BP's acquisition of ARCO, who held the other 82% of VR.</t>
  </si>
  <si>
    <t>Thor Industries Inc</t>
  </si>
  <si>
    <t>Mnfr recreational vehicle,bus</t>
  </si>
  <si>
    <t>US - Thor Industries Inc (TI) withdrew its unsolicited, hostile offer to acquire all the outstanding common stock of Coachmen Industries Inc (CI), a manufacturer of mobile homes and trailers, via a tender offer for an amended $18 in cash and common stock per common share, or a total value of $280.093 mil, whereby, 60% of the consideration was to be paid in cash and the remaining 40% was to be paid in common stock, with a set exchange ratio of .737. Previously, TI made an unsolicited offer to acquire CI for $17 in cash and common stock per share whereby, 50% was to be paid in cash and the remaning 50% was to be paid in common stock.</t>
  </si>
  <si>
    <t>eBay Inc</t>
  </si>
  <si>
    <t>Pvd ecommerce retail services</t>
  </si>
  <si>
    <t>US- Yahoo! Inc was rumored to be in negotiations to merge with eBay Inc. The Current status of this deal is unknown.</t>
  </si>
  <si>
    <t>Franklin Bank NA,Southfield,MI</t>
  </si>
  <si>
    <t>Bingham Financial Services</t>
  </si>
  <si>
    <t>Pvd home financing svcs</t>
  </si>
  <si>
    <t>US - Bingham Financial Services Corp (BFS) terminated its agreement to acquire Franklin Bank NA (FRB) , Southfield, Michigan, a commercial bank, in a stock swap transaction valued at $43.157 mil. BFS offered 1. 525 shares per FRB share. Based on BFS' closing stock price of $8.063 on March 17, the last full trading day prior to announcement, each FRB share was valued at 12. 295. The transaction was to be accounted for as a pooling of interests.</t>
  </si>
  <si>
    <t>RMI.NET Inc</t>
  </si>
  <si>
    <t>US - RMI.NET Inc (RMI) acquired Internet Communications Corp (ICC), a provider of network solutions services and a majority-owned unit of Anschutz Corp in a stock swap transaction valued at $3.347 mil. RMI offered . 25 common shares per ICC share. Based on RMI's closing stock price of $1.688, on March 17, the last full trading day prior to the announcement, each ICC was valued at $.422. Upon completion RMI was to change its name to Internet Commerce and Communications Inc.</t>
  </si>
  <si>
    <t>Bad Toys Inc</t>
  </si>
  <si>
    <t>Mnfr,whl V-twin motorcycles</t>
  </si>
  <si>
    <t>MYCA Group</t>
  </si>
  <si>
    <t>US - Mycom.com Inc merged with Bad Toys Inc, a manufacturer of toys. Upon completion, the combined company was to be name MYCOM Group Inc.</t>
  </si>
  <si>
    <t>Bank Petaluma California</t>
  </si>
  <si>
    <t>US - Greater Bay Bancorp, Palo Alto, California(GB) acquired all the outstanding common stock of Bank of Petaluma California, Petaluma, California(BP) a commercial bank, in a stock swap transaction valued at $36.442 mil. GB offered .685 shares per BP share, subject to a collar agreement. Based on GB's closing stock price of $38 on march 20, the last full trading day prior to the announcement, each BP share was valued at $26.030. The merger was accounted for as pooling of interest. The completion of this merger will be contingent upon, GB's completion of its pending merger agreement with Coast Bancorp and Bank of Santa Clara.</t>
  </si>
  <si>
    <t>CNA Surety Corp</t>
  </si>
  <si>
    <t>Continental Casualty Co</t>
  </si>
  <si>
    <t>US - Continental Casualty Co, a unit of Loews Corp's Continental Financial Corp subsidiary, withdrew its plans to launch a tender offer to acquire the remaining 38% stake, or 16. 562 mil common shares, which it did not already own, in CNA Surety Corp, a surety insurance company, for $13 in cash per share or a total value of $218.447 mil. The offer was conditioned upon at least 90% of the shares being tendered.</t>
  </si>
  <si>
    <t>Citizens Bancorp,Frankfort,IN</t>
  </si>
  <si>
    <t>Lincoln Bancorp,IN</t>
  </si>
  <si>
    <t>US - Lincoln Bancorp, Plainfield, Indiana (LB) acquired Citizens Bancorp, Frankfort, Indiana (CB), a commercial bank, in a stock swap transaction valued at $18.032 mil. LB offered .9375 common shares and $9.375 in cash per CB share. Based on LB's closing stock price of $9.75, each CB share was valued at $18.516.</t>
  </si>
  <si>
    <t>E-Pawn.com Inc</t>
  </si>
  <si>
    <t>Pvd online auction services</t>
  </si>
  <si>
    <t>Colonel's International Inc</t>
  </si>
  <si>
    <t>US- Colonels International Inc (CI) withdrew its agreement to merge with E- Pawn.com Inc (EPC), a provider of online auction services and software development, in a stock swap transaction. CI was to offer 1 common share per EPC share. Upon completion, CI was to change its name to EPC.</t>
  </si>
  <si>
    <t>Metamor Worldwide Inc</t>
  </si>
  <si>
    <t>Pvd info tech staffing svcs</t>
  </si>
  <si>
    <t>US - PSINet Inc (PS) acquired all the outstanding common stock of Metamor Worldwide Inc(MW), a provider of information technology staffing services, in a stock swap transaction valued at $1. 835 bil. PS offered .900 shares per MW share. Based on PS's closing stock price of $49.50 on March 21, the last full trading day prior to announcement, each MW share was valued at $44.55 per share. Concurrently, PS agreed to acquire an undisclosed minority stake in Xpedior Inc, a majority-owned unit of MW. The two transactions were to complete in connection with each other.</t>
  </si>
  <si>
    <t>Varco International Inc</t>
  </si>
  <si>
    <t>Mnfr oil drilling equipment</t>
  </si>
  <si>
    <t>US - Tuboscope Inc (TI) merged with Varco International Inc (VI), a manufacturer of oil drilling equipment, in a merger-of- equals stock swap transaction valued at $803.745 mil. TI offered 0.7125 common shares per VI share. Based on TI's closing stock price of $17 on March 21, the last full trading day prior to the announcement, each VI share was valued at $12.113. The transaction was accounted for as a pooling of interests. On completion, a new company named Varco International (VAI) was formed and equally owned and was traded on the New York Stock Exchange under the symbol VRC.</t>
  </si>
  <si>
    <t>Homestead Village Inc</t>
  </si>
  <si>
    <t>Own and op lodging properties</t>
  </si>
  <si>
    <t>Security Capital Group Inc</t>
  </si>
  <si>
    <t>Pvd real estate research svcs</t>
  </si>
  <si>
    <t>US - Security Capital Group Inc (SC), a unit of Security Capital Corp, acquired the remaining 13% stake or 15,584, 803 common shares, which it did not already own, in Homestead Village Inc, a real estate development firm, via a tender offer for an amended $4.10 in cash per share, or a total value of $156.771 mil. Previously, SC completed its tender offer by accepting 14. 277 mil common shares, or about 98.9% of the shares outstanding. Originally in March 2000, SC offered $3.40 in cash per share.</t>
  </si>
  <si>
    <t>United States Can Corp</t>
  </si>
  <si>
    <t>Manufacture metal containers</t>
  </si>
  <si>
    <t>US - A management-led investor group (IG), including US Can Corp (USCC) CEO Paul Jones and Berkshire Partners, acquired USCC, a manufacturer of metal cans, for an amended $20 in cash per share, or a total value of $273.772, in a leveraged buyout transaction. Previously, IG offered $21 in cash per share.</t>
  </si>
  <si>
    <t>US - Bausch &amp; Lomb Inc (BL) terminated its amended hostile, unsolicited tender offer for all the outstanding stock of Wesley Jessen Vision Care Inc (WJ), a manufacturer of ophthalmic goods and equipment and a majority- owned unit of Bain Capital, for $35.55 in cash per share, or a total value of $708.189 mil in cash. Previously, BL offered $34 in cash per share. Concurrently, WJ terminated plans to acquire Ocular Sciences in a stock swap transaction valued at $426. 539 mil and Ciba Vision definitively agreed to acquire all the outstanding common stock of WJ via a tender offer for $38.5 in cash per share, or a total value of $679.798 mil.</t>
  </si>
  <si>
    <t>Bank of Ventura,Ventura,CA</t>
  </si>
  <si>
    <t>US - First Banks Inc,Clayton, Missouri agreed to acquire all the outstanding common stock of Bank of Ventura, Ventura, California, a commercial bank, for $25.52 in cash per share, or a total value of approximately $12. 026 mil. The share price was to be subject to adjustment for the earnings from March 1, 2000 through the month prior to closing.</t>
  </si>
  <si>
    <t>BridgeStreet Accommodations</t>
  </si>
  <si>
    <t>Pvd housing svcs</t>
  </si>
  <si>
    <t>MeriStar Hotels &amp; Resorts Inc</t>
  </si>
  <si>
    <t>US - Meristar Hotels &amp; Resorts Inc (MHR) acquired all the outstanding common stock of Bridgestreet Accomodations Inc (BA), a provider of housing services, for $34.015 mil. The consideration consisted of $1. 5 in cash, .5 common shares per BA share and the assumption of $11 mil in liabilities. The shares were valued based on MHR's closing stock price of $2.75 on March 23, the last full trading day prior to the announcement.</t>
  </si>
  <si>
    <t>Harding Lawson Associates</t>
  </si>
  <si>
    <t>Pvd engineering,consulting svc</t>
  </si>
  <si>
    <t>MACTEC Inc</t>
  </si>
  <si>
    <t>Pvd environmental mgmt svcs</t>
  </si>
  <si>
    <t>US - Mactec Inc acquired all the outstanding common stock of Harding Lawson Associates Group Inc, a provider of engineering and consulting services related to hazardous waste sites, for $11.50 in cash per share, or a total value of $61.284 mil.</t>
  </si>
  <si>
    <t>Tubby's Inc</t>
  </si>
  <si>
    <t>R Corp</t>
  </si>
  <si>
    <t>US - R Corp planned to acquire Tubby's Inc (TI), an owner and operator of sandwich restaurant franchises, for $1.10 in cash per share, or a total value of $2.841 mil.</t>
  </si>
  <si>
    <t>FPL Group Inc</t>
  </si>
  <si>
    <t>Iberdrola SA</t>
  </si>
  <si>
    <t>Provide electric utility services</t>
  </si>
  <si>
    <t>US - Iberdrola SA terminated its negotiations to acquire all the outstanding common stock of FPL Group Inc (FPL), an electric utility and insurance company.</t>
  </si>
  <si>
    <t>Farr Co</t>
  </si>
  <si>
    <t>Mnfr air filtration systems</t>
  </si>
  <si>
    <t>Ratos Acquisition Corp</t>
  </si>
  <si>
    <t>Own,op hotels;holding company</t>
  </si>
  <si>
    <t>US - Ratos Acquisition Corp (RAC), a unit of Forvaltnings AB Ratos, acquired all the outstanding common stock of Farr Co (FAR), a manufacturer of air filtration systems, for $17.45 in cash per share, or a total value of $132.695 mil. Earlier, RAC completed its tender offer for FAR by accepting 6.976 mil shares, or 95.6% of FAR's common shares outstanding. The offer was conditioned upon a majority of FAR's shares being tendered.</t>
  </si>
  <si>
    <t>Hartford Life(ITT Hartford)</t>
  </si>
  <si>
    <t>Pvd insurance, finl services</t>
  </si>
  <si>
    <t>US - Hartford Financial Services Group (HF) acquired the remaining 18.5% stake, or 26 mil common shares, which it did not already own, in Hartford Life Inc (HL), a provider of insurance and financial services, via a tender offer for a sweetened $50.50 in cash per share, or a total value of $1.325 bil. Earlier, HF completed its tender offer to acquire HL, by accepting 21,654,794 common shares, or about 83. 65% of the company's common stock outstanding. Originally, HF offered $44 in cash per HL share. Analysts had expected HF to increase its offer for HL's shares, which had risen from $40.50 on the announcement date to close at $46.875 on March 31.</t>
  </si>
  <si>
    <t>Iroquois Bancorp Inc,NY</t>
  </si>
  <si>
    <t>Savings bank,coml bank hldg co</t>
  </si>
  <si>
    <t>US - Niagara Bancorp, Inc, Lockport, New York, merged with Iroquois Bancorp Inc, Auburn, New York, a bank holding company, for $33.25 in cash per share, or a total value of $80.694 mil.</t>
  </si>
  <si>
    <t>Spyglass Inc</t>
  </si>
  <si>
    <t>OpenTV Corp</t>
  </si>
  <si>
    <t>Pvd software solution svcs</t>
  </si>
  <si>
    <t>US - OpenTV Corp (OTV) acquired Spyglass Inc (SG) , a developer of Internet software, in a stock swap transaction valued at $2.44 bil. OTV offered .7236 shares per SG share. Based on OTV's closing stock price of $169 on March 24, the last full trading day prior to the announcement, each SG share was valued at $122.29. The transaction was to allow OTV to deliver Web information to set-top boxes and wireless devices, including mobile telephones, in the US and overseas.</t>
  </si>
  <si>
    <t>Union Bankshares Co,Ellsworth,</t>
  </si>
  <si>
    <t>US - Union Bankshares Co (UB) , Ellsworth, Maine acquired all the outstanding common stock of Mid-Coast Bancorp Inc (MC), Waldoboro, Maine a bank holding company, for $15. 875 in cash per share, or a total value of $12.067 mil. Upon completion, Waldobro Bank FSB (WB), a wholly-owned subsidiary of MC was to be merged with Union Trust Co (UT), a subsidiary of UB and WB's four offices in Waldobro, Rockland, Belfast and Jefferson, Maine, were to operate as branches of UT.</t>
  </si>
  <si>
    <t>York Financial Corp,PA</t>
  </si>
  <si>
    <t>Harris Financial Inc,PA</t>
  </si>
  <si>
    <t>Savings and loans;holding co</t>
  </si>
  <si>
    <t>US - Waypoint Financial Corp, Hamsburg, Pennsylvania (WF), formerly known as Harris Financial (HF), merged with York Financial Group (YFG), a bank holding company, in a stock swap transaction valued at $179.1 mil. HF offered $17. 25 in common stock per YFG share. Prior to the transaction, HF's mutual holding company, which owns approximately 76% of its stock, was to convert to a stock company for a conversion between $289.5 mil and $341.5 mil. Upon completion, YFG shareholders were to hold between 34% and 38% stake. YPF was to be merged with WF which was to serve as the successor to HF. In addition, York Federal Savings and Loan Association, a wholly-owned subsidiary of YPF was to be merged with Harris Savings Bank, a wholly- owned subsidiary of HF. The combined bank was to be renamed Waypoint Bank.</t>
  </si>
  <si>
    <t>IMS Health Inc</t>
  </si>
  <si>
    <t>Pvd market intelligence svcs</t>
  </si>
  <si>
    <t>The TriZetto Group Inc</t>
  </si>
  <si>
    <t>Dvlp health,medical software</t>
  </si>
  <si>
    <t>US - TriZetto Group Inc (TZ) terminated its agreement to acquire all the outstanding common stock of IMS Health Inc (IMS), a provider of information solutions, in a stock swap transaction valued at $8.28 bil. TZ offered . 4655 common shares per IMS share held. Based on TZ's closing stock price of $58. 0625 on March 28, the last full trading day prior to the announcement, each IMS share was valued at $27.028. Upon completion of the reverse takeover, IMS shareholders were to hold 85% of the combined company, to be named TZ, and TZ was to issue three stocks: one to track the current TZ business plus the Internet assets of IMS; one to track stock reflecting the "old" IMS business; and a spinoff into a separate company of an IMS division, Strategic Technologies, a systems provider for pharmaceutical sales forces. Concurrently, TZ agreed to acquire Erisco Managed Care Technologies, a unit of IMS HEALTH Inc.</t>
  </si>
  <si>
    <t>US - Veritas Software Corp (VS) acquired Seagate Technology Inc (ST), a designer, manufacturer, and marketer of products for storage, retrieval, and management of data on computer and data communications systems, in a stock swap transaction valued at $18.515 bil. VS offered . 467 common shares and $5 in cash per ST share. Based on VS' closing stock price of $154.938 on March 28, the last full trading day prior to the announcement, each ST share was valued at $77.36. Concurrently, an investor group, including management, Silverlake Partners LP, Texas Pacific Group Inc, Goldman Sachs Capital Partners LP, Integral Capital Partners LP, August Capital Corp, and Chase Capital Partners, acquired the disk-drive business of ST for $2 bil in a leveraged buyout transaction.</t>
  </si>
  <si>
    <t>Castle &amp; Cooke Inc</t>
  </si>
  <si>
    <t>Flexi-Van Leasing Inc</t>
  </si>
  <si>
    <t>Pvd chassis leasing svcs</t>
  </si>
  <si>
    <t>US - Flexi-Van Leasing Inc (FVL), a unit of Flex-Van Corp, acquired the remaining 73.45% interest, or 12.524 mil common shares, which it did not already own, in Castle &amp; Cooke Inc (CC), a real estate development firm, for a twice amended $19.25 in cash per share, or a total value of $242.558 mil. Earlier, FVL completed its tender offer by accepting 10. 681 mil common shares, or about 62.63% of CC's common shares outstanding. Previously, FVL offered a sweetened $18.5 in cash per share, or a total value of $232.952 mil. Originally, FVL offered $17 in cash per share, or a total value of $213.738 mil. The offer was conditioned upon at least a majority of the shares being tendered.</t>
  </si>
  <si>
    <t>EFTC Corp</t>
  </si>
  <si>
    <t>Mnfr high-mix electronic prods</t>
  </si>
  <si>
    <t>US - An investor group, comprised of Thayer Equity Investors IV LP (TEP) and BLUM Capital Partners LP (BLUM), acquired senior subordinated exchangeable notes and warrants for a 60. 555% interest in EFTC Corp (EFTC), a manufacturer of high-mix electronic products, for $54 mil. The senior subordinated exchangeable notes and warrants were to be exercisable at $2.60 per share into 20.769 mil and 3. 093 mil EFTC common shares, respectively. Concurrently, an investor group, comprised of TEP and BLUM, acquire 5. 625 mil common shares to raise its interest in EFTC to 81.494% from 60.555% via tender offer for $4 in cash per share, or a total value of $22.5 mil. The offer was conditioned upon at least 5 mil common shares being tendered. The warrants were not to be exercisable and were to expire unless shareholder approval was not received or the tender offer was not completed.</t>
  </si>
  <si>
    <t>Neoforma.com Inc</t>
  </si>
  <si>
    <t>Pvd bus-to-bus ecommerce svcs</t>
  </si>
  <si>
    <t>US - Neoforma.com Inc (NC) terminated its agreement to merge with Eclipsys Corp (EC), a provider of integrated software services, in a stock swap transaction valued at $1. 569 bil. NC offered 1.344 common shares per EC share. Based on NC's closing stock price of $30.375 on March 29, the last full trading day prior to the announcement, each EC share was valued at $40.824. Concurrently, NC terminated its agreement to acquire HEALTHvision Inc (HI), an affiliate of EC and VHA Inc. Instead of merging, EC, NC and HI entered into a strategic commercial relationship. The relationship was to include a co-marketing and distribution arrangement between NC and HI that includes the use of EC's eWebIT(TM) Web-based enterprise application integration technology and professional services to assist in the implementation of NC's solutions.</t>
  </si>
  <si>
    <t>CGW Southeast Partners IV</t>
  </si>
  <si>
    <t>US - CGW Southeast Partners IV (CGW) acquired all the outstanding common stock of Johnston Industries Inc (JI), a manufacturer of woven industrial textile products, for $3 in cash per share, or a total value of $33.401 mil. Earlier, CGW completed its tender offer to acquire JI by accepting 9,002,189 shares, or 83.96% of JI's shares. The offer was conditioned upon at least a majority of JII's shares being tendered. Upon completion, CGW was to also invest an estimated $27 mil through a stock purchase.</t>
  </si>
  <si>
    <t>US - Welsh Carson Anderson &amp; Stowe (WC) withdrew an agreement to acquire a 75% interest, or 26.69 mil common shares, in Policy Management Systems Corp (PM), a provider of insurance software services, for $14 per share, or a total value of $373.654 mil. Upon completion WC planned to acquire up to 93% of PM and PM planned to change its name to Mynd. Subsequently, Electronic Data Systems corp withdrew its challenging offer to acquire PM.</t>
  </si>
  <si>
    <t>Pulaski Furniture Corp</t>
  </si>
  <si>
    <t>Mnfr wood household furniture</t>
  </si>
  <si>
    <t>US - A management-led investor group, including Pulaski Furniture Corp's(PF) President and CEO John G. Wampler, completed its tender offer to acquire all the outstanding common stock of PF's, a manufacturer of wood household furniture, for $22. 50 in cash per share, or a total value of $65.313 mil in a leveraged buyout transaction, by accepting 2. 025 mil common shares or 69. 9% of PF's common shares outstanding. The offer was to be conditioned upon at least a majority of PF's shares being tendered.</t>
  </si>
  <si>
    <t>Solomon-Page Group Ltd</t>
  </si>
  <si>
    <t>Employment agencies</t>
  </si>
  <si>
    <t>US -A management-led investor group, comprised of 3 of Solomon-Page Ltd's (SPG) principal executive officers, Lloyd Solomon, Scott Page, and Herbert Solomon, acquired SPG, an employment agency, for an amended $5.25 in cash per share, or a total value of $27.006 mil, in a leveraged buyout transaction. Originally, the management- led investor group agreed to acquire SPG for $4.25 in cash per share, or a total value of $29.27 mil, in a leveraged buyout transaction.</t>
  </si>
  <si>
    <t>Veterinary Centers of America</t>
  </si>
  <si>
    <t>Pvd animal veterinary services</t>
  </si>
  <si>
    <t>0742</t>
  </si>
  <si>
    <t>US - An investor group comprised of Green Equity Investors III LP, a unit of Leonard Green &amp; Partners LP's Green Equity Investors LP unit, and members of Veterinary Centers of America Inc (VCA) management acquired all the outstanding common stock of VCA for $15 a share, or a total value of $372.14 mil, in a leveraged buyout transaction.</t>
  </si>
  <si>
    <t>American National Can Group</t>
  </si>
  <si>
    <t>Mnfr metal,plastic containers</t>
  </si>
  <si>
    <t>Rexam PLC</t>
  </si>
  <si>
    <t>Manufacture packaging products</t>
  </si>
  <si>
    <t>US - Rexam PLC (RXP) acquired all the outstanding common stock of American National Can Group Inc (ANC), a manufacturer of metal and plastic containers, for $18 in cash per share, or a total value of $1.978 bil, including the assumption of $984 mil in liabilities. Earlier RXP completed its tender offer for ANC by accepting 54,655,122 common shares, or about 99.37% of ANC's common stock outstanding. RXP has received an irrevocable undertaking from Pechiney SA to accept the offer with regard to its 45.45% holding in ANC.</t>
  </si>
  <si>
    <t>Funco Inc</t>
  </si>
  <si>
    <t>Own and operate toy stores</t>
  </si>
  <si>
    <t>Electronics Boutique Holdings</t>
  </si>
  <si>
    <t>Own,op computer store</t>
  </si>
  <si>
    <t>US - Electronics Boutique Holding Corp, a majority owned unit of, EB Nevada, withdrew its agreement to acquire all the outstanding common stock of Funco Inc (FNC), an owner and operater of toy stores, via a tender offer for a sweetened $21 in cash per share, or a total value of $126.295 mil. Subsequently, Babbage's Etc LLC, a unit of Barnes &amp; Noble Inc, merged with FNC for a sweetened $24.75 in cash per share, or a total value of $148.818 mil. Originally, BN offered $21 in cash per share or a total value of $129.296 mil. Alternatively, BN offered a combination of $21 in cash and BN common stock per share, or a total value of $126.296 mil.</t>
  </si>
  <si>
    <t>Anadarko Petroleum Corp</t>
  </si>
  <si>
    <t>US - Anadarko Petroleum Corp (AP) merged with Union Pacific Resources Group Inc (UP), an oil and gas exploration and production company, and a majority-owned unit of CNW Corp's Union Pacific Corp subsidiary, in a stock swap transaction valued at $7.25 bil, including the assumption of $2.8 bil in liabilities. AP offered .455 common shares per UP share. Based on AP's closing stock price of $38.688 on March 31, the last full trading day prior to the announcement, each UP share was valued at $17.603. Upon completion, the combined company was to be renamed AP and become one of the world's largest independent oil and gas companies.</t>
  </si>
  <si>
    <t>Nabisco Group Holdings Corp</t>
  </si>
  <si>
    <t>Produce,whl cookies,crackers</t>
  </si>
  <si>
    <t>Carl Icahn</t>
  </si>
  <si>
    <t>US - Mr. Carl Icahn withdrew his unsolicited offer to acquire the remaining 90.4%, which he did not already own, in Nabisco Group Holdings Corp (NG) via a tender offer for an amended $8.413 bil. The consideration was to consist of a sweetened $19 in cash and $9 in face amount 2- year 14% notes per NG share. Previously, Icahn offered $19 in cash and $3 in face amount 2-year 14% notes per share. Originally, Icahn offered $16 in cash per NG share. Earlier, Icahn withdrew his unsolicited offer to raise his stake to 40% from 9.6% in NG via a tender offer for 100 mil shares at $13 in cash per share. NG had recently authorized a shareholders- rights plan, or poison pill, with a 10% trigger to deter Icahn from raiding the company. NG's board had rejected the offer as inadequate and directed its management to explore all alternatives to maximize shareholder value, including the sale of the company or the sale of its 80.6% interest in Nabisco Holdings Corp (NH). Subsequently, Philip Morris Cos Inc agreed to acquire all the outstanding common stock of NH and RJ Reynolds Tobacco Holdings Inc agreed to acquire NG. Icahn had been considering increasing his bid to $19 in cash and $12 in notes.</t>
  </si>
  <si>
    <t>Valley Merchants Bank,Hemet,CA</t>
  </si>
  <si>
    <t>Business Bank of California</t>
  </si>
  <si>
    <t>US - Business Bank of California, San Bernardino, California acquired all the outstanding common stock of Valley Merchants Bank, Hemet, California , a commercial bank, for $22.69 in cash per shares or a total value of $11.058 mil.</t>
  </si>
  <si>
    <t>US - Peregrine Systems Inc acquired Harbinger Corp, a developer of e-commerce software and provider of computer communications networking and e-commerce consulting services, in a stock swap transaction valued at $1.907 bil. PS offered .75 common shares per HC share. Based on PS' closing stock price of $56.219 on April 4, the last full trading day prior to the announcement, each HC share was valued at $42.164. The transaction was to allow the combined company to provide a more comprehensive offering of infrastructure management solutions for e-commerce businesses.</t>
  </si>
  <si>
    <t>Arvin Industries Inc</t>
  </si>
  <si>
    <t>Mnfr auto parts, accessories</t>
  </si>
  <si>
    <t>Meritor Automotive Inc</t>
  </si>
  <si>
    <t>Mnf,whl cars,trucks,equip</t>
  </si>
  <si>
    <t>US - Meritor Automotive Inc (MA) merged with Arvin Industries Inc (AR), a manufacturer of auto parts and accessories, to form ArvinMeritor Inc (AM) in a stock swap merger-of-equals transaction valued at $588. 759 mil. AR common shareholders received $2 in cash and 1 AM common share and MA common shareholders received .75 AM common shares per share held. Based on MA's closing stock price of $15. 688 on April 5, the last full trading day prior to the announcement, each CB share was valued at $20.917. Upon completion, AR held a 34.2% stake in AM, while MA held a 65.8% interest in AM. The new company would be headquartered in Troy, Michigan and incorporated in Indiana.</t>
  </si>
  <si>
    <t>eFax.com.Inc</t>
  </si>
  <si>
    <t>JFAX.com Inc</t>
  </si>
  <si>
    <t>Pvd comm svcs via internet</t>
  </si>
  <si>
    <t>US - JFAX Com Inc (JF) acquired all the outstanding common stock of eFax.com.Inc, a manufacturer of computer peripherals, in exchange for 3.507 mil JF common shares valued at $14.208 mil. The shares were valued based on JF's closing stock price of $4 on April 5, the last full trading day prior to announcement.</t>
  </si>
  <si>
    <t>Babbage's Etc LLC</t>
  </si>
  <si>
    <t>Retail software,video games</t>
  </si>
  <si>
    <t>US - Babbage's Etc LLC, a unit of Barnes &amp; Noble Inc (BN), merged with Funco Inc (FNC), an owner and operater of toy stores, for a sweetened $24.75 in cash per share, or a total value of $162.873 mil. Previously, BN completed its unsolicited challenging tender offer by accepting 6.313 mil common shares or about 98% of the total outstanding. The offer was conditioned upon at least 51% of the share being tendered on a fully diluted basis. Originally, BN offered $21 in cash per share, or a total value of $126.296 mil. Alternatively, BN offered a combination of $21 in cash and BN common stock per share, or a total value of $126.296 mil. Previously, Electronics Boutique Holding Corp, a majority owned unit of, EB Nevada, agreed to acquire all the outstanding common stock of FNC for a sweetened $21 in cash per share, or a total value of $126.295 mil. That agreement was subsequently withdrawn.</t>
  </si>
  <si>
    <t>US - VF Corp acquired all the outstanding common stock of North Face Inc (NFI), a wholesaler of men's and boy's clothing and furnishings, for $2 in cash per share, or a total value of $25.609 mil in cash, by accepting 10.46 mil common shares or 81.19% of NFI's shares. The offer was conditioned upon at least a majority of the shares being tendered on a fully-diluted basis.</t>
  </si>
  <si>
    <t>Seaway Food Town Inc</t>
  </si>
  <si>
    <t>Spartan Stores Inc</t>
  </si>
  <si>
    <t>US - Spartan Stores Inc (SS) acquired Seaway Food Town Inc (SFT), an owner and operater of grocery stores, in a stock swap transaction valued at an estimated $108.032 mil. SS offered $5 in cash and 1 common share per SFT share held. Based on the new company's closing stock price of $11.1875 on August 2, 2000, the first day of trading each share was valued at $16. 188 . Upon completion, SS became a publicly traded company.</t>
  </si>
  <si>
    <t>Vista Medical Technologies Inc</t>
  </si>
  <si>
    <t>Mnfr visualization instr</t>
  </si>
  <si>
    <t>US - An investor group comprised of the State of Wisconsin Investment Board (WIB), Domain Partners III LP (DP), and SBIC Partners LP (SBIC), acquired a 50.31% interest, or 5.654 mil common shares, in Vista Medical Technologies Inc, a manufacturer of visualization instruments for minimally invasive surgery, for $.85 per share, or a total value of $4.806 mil. Upon completion, WIB was to own 19. 37%, DP was to own 21.66%, and SBIC was to own 9.28%.</t>
  </si>
  <si>
    <t>US - Wells Fargo &amp; Co, San Francisco, California (WFC) acquired First Security Corp, Salt Lake City, Utah (FSC), a bank holding co, in a stock swap transaction valued at $2. 81 bil. WFC offered .355 common shares per FSC share. Based on WFC's closing stock price of 39.75 on April 7, the last full trading day prior to the announcement, each FSC share was valued at $14.111. The combined bank was to have the largest operation in terms of deposits in Utah, New Mexico, Nevada, and Idaho. The transaction was to be accounted for as a pooling of interests. Subsequently, Bancwest Corp, Honolulu, Hawaii, agreed to acquire 30 branches, located in New Mexico and Nevada, from FSC.</t>
  </si>
  <si>
    <t>US - Unilever NV (UNV) acquired all the oustanding common stock of Ben &amp; Jerry's Homemade Inc (BJH), a producer, wholesaler, and retailer of a wide variety of super premium ice cream, ice cream novelties, low fat ice cream, low fat yogurt and sorbet, for $43.6 in cash per share, or a total value of $339.678 mil. Previously, UNV completed its tender offer for BJH, by accepting 6.414 mil shares, or 92.74% of BJH's shraes. Under the terms of the agreement, BJH was to operate separately from UNV's current US ice cream business. There was to also be an independent Board of Directors, which was to focus on providing leadership for BJH's social mission and brand integrity. Originally in February 2000, BJH disclosed that it was seeking a buyer for the company.</t>
  </si>
  <si>
    <t>KLLM Transport Services Inc</t>
  </si>
  <si>
    <t>Low Acquisition</t>
  </si>
  <si>
    <t>US - Low Acquisition Inc, a company owned by investor Robert Low, withdrew a launched a tender offer to acquire all the outstanding common stock of KLLM Transport Services Inc, a trucking company, for $7.75 in cash per share, or a total value of $31.786 mil, by allowing the offer to expire. The offer was conditioned upon at least a majority of KTS' shares being tendered on a fully diluted basis. Subsequently, an investor group comprised of KTS CEO Jack Liles and Bernard Ebbers planned to launch a challenging tender offer to acquire all the outstanding common stock of KTS for $8.25 in cash per share, or a total value of $33.837 mil.</t>
  </si>
  <si>
    <t>Peapod Inc</t>
  </si>
  <si>
    <t>Pvd media,research svcs</t>
  </si>
  <si>
    <t>US - Koninklijke Ahold NV (KA) acquired a 51% interest, or 19.369 mil common shares, in Peapod Inc (PP), a provider of online grocery services, for $73 mil. KA purchased a newly issued series of convertible preferred PP stock at a price of $3.75 per share, representing on a converted basis, 51% of the company's common stock outstanding. Ahold will also receive warrants immediately exercisable for additional Peapod shares. Previously, in March 2000, Peapod Inc announced that it was seeking a buyer for the company.</t>
  </si>
  <si>
    <t>PlayCore Inc</t>
  </si>
  <si>
    <t>Mnfr playground equip,games</t>
  </si>
  <si>
    <t>Chartwell Investments II LLC</t>
  </si>
  <si>
    <t>US - An affiliate of Chartwell Investments II LLC (CI) acquired all the outstanding common stock of PlayCore Inc (PC),a manufacturer of playground equipment and games and a majority-owned unit of GreenGrass Holdings, for $10. 10 in cash per share, or a total value of $105.964 mil. Earlier, CI completed its tender offer for PC by accepting 11.3 mil shares, or 100% of PC's common shares outstanding. The offer was conditioned upon at least a majority of PC's shares being tendered.</t>
  </si>
  <si>
    <t>ACSYS Inc</t>
  </si>
  <si>
    <t>Provide staffing services</t>
  </si>
  <si>
    <t>Vedior NV</t>
  </si>
  <si>
    <t>US - Vedior NV (VN) acquired all the outstanding common stock of Acsys Inc (AI), a provider of staffing services, for $5 in cash per share, or a total value of $72.514 mil. Earlier, VN completed its tender offer for AI by accepting 14.187 mil shares, or 97.8% of AI's common shares outstanding. The offer was conditioned upon at least a majority of AI's shares being tendered.</t>
  </si>
  <si>
    <t>Brunswick Technologies Inc</t>
  </si>
  <si>
    <t>Manufacture composite textiles</t>
  </si>
  <si>
    <t>US - CertainTeed Corp (CT), a unit of Cie de Saint Gobain (SG), acquired the remaining 84% interest, or 3.766 mil common shares, which it did not already own, in Brunswick Technologies Inc (BT), a manufacturer of composite textiles, for a sweetened $8. 50 in cash per share, or a total value of $35.489 mil. Earlier CT completed its unsolicited, hostile tender offer to acquire the remaining 84% interest, which it did not already own, in BT by accepting 3.497 mil common shares, or 77.73% of the total outstanding . The offer was conditioned upon at least a majority of BT's shares being tendered on a fully diluted basis. Originally, CT offered $8.0 in cash per share, or a total value of $33.338 mil. In a separate, later statement BT noted the CT offer and its directors have adopted a shareholder rights plan triggered by ownership of 15% of the company's stock as a precautionary measure. On completion, BT changed its name to Saint-Gobain BTI Inc and became part of SG's worldwide Technical Fabrics business unit.</t>
  </si>
  <si>
    <t>Cybergold Inc</t>
  </si>
  <si>
    <t>Provide online marketing</t>
  </si>
  <si>
    <t>MyPoints.com Inc</t>
  </si>
  <si>
    <t>Pvd Internet-based mktg svcs</t>
  </si>
  <si>
    <t>US - MyPoints.com Inc (MP) acquired Cybergold Inc (CB), a provider of online retail services, in a stock swap transaction valued at $146. 609 mil. MP offered .48 common shares per CB share. Based on MP's closing stock price of $14.938 on April 16, the last full trading day prior to the announcement, each CB share was valued at $7.17.</t>
  </si>
  <si>
    <t>First United Bancshares Inc,AR</t>
  </si>
  <si>
    <t>BancorpSouth Inc</t>
  </si>
  <si>
    <t>US - BancorpSouth Inc, Tupelo, Mississippi (BSI), acquired all the outstanding common stock of First United Bancshares Inc, El Dorado, Arkansas (FUB), a bank holding company, in a stock swap transaction valued at $455.757 mil. BSI offered 1. 125 shares per FUB share. Based on BSI's closing stock price of $16 on April 14, the last full trading day prior to announcement, each FUB share was valued at $18. The transaction was to be accounted for as a pooling of interests.</t>
  </si>
  <si>
    <t>US - Sanmina Corp (SC) acquired all the outstanding common stock of Hadco Corp (HC), a manufacturer of computer circuit boards, in a stock swap transaction valued at $1.004 bil. SC offered 1.4 common shares per HC share, subject to a collar agreement. Based on SC's closing stock price of $49.3125 on April 14, the last full trading day prior to the announcement, each HC share was valued at $69.0375. The transaction was accounted for as a pooling of interests.</t>
  </si>
  <si>
    <t>Heritage Bancorp Inc,McLean,VA</t>
  </si>
  <si>
    <t>Cardinal Financial Corp</t>
  </si>
  <si>
    <t>US - Cardinal Financial Corp (CFC), Fairfax, Virginia, definitively acquired all the oustanding common stock of Heritage Bancorp Inc, McLean, Virginia (HBI), a bank holding company, for $6 in cash per share, or a total value of $13.88 mil. Alternatively, CFC offered 1. 2 shares of convertible preferred stock per HBI share. Upon completion, HBI was to be renamed Cardinal Bank- Potomac.</t>
  </si>
  <si>
    <t>GSB Financial Corp,Goshen,NY</t>
  </si>
  <si>
    <t>Warwick Community Bancorp Inc</t>
  </si>
  <si>
    <t>US - Warwick Community Bancorp Inc, Warwick, New York, withdrew its unsolicited offer to acquire the remaining 91.56% stake, or 1,817,138 common shares, in GSB Financial Corp, Goshen, New York, a savings and loan holding company, for $18 in cash per share, or a total value of $35.919 mil. Subsequently, Berkshire Bancorp Inc (BB), New York, New York definitively agreed to acquire all the outstanding common stock of GSB Financial Corp (GSB), Goshen, New York , a savings and loan holding company, in a stock swap transaction valued at $41.612.</t>
  </si>
  <si>
    <t>Rockingham Heritage Bank</t>
  </si>
  <si>
    <t>Pvd loans svcs</t>
  </si>
  <si>
    <t>Marathon Financial Corp</t>
  </si>
  <si>
    <t>US - Marathon Financial Corp (MFC), Winchester, Virginia, merged with Rockingham Heritage Bank (RHB), Harrisonburg, Virginia in a merger-of-equals stock swap transaction valued at $15.072 mil, to form a new company named Premier Community Bankshares, Inc (PCB). MFC offered 1.58 PCB shares per RHB share. Based on MFC's closing stock price of $6 on April 18, the last full trading day prior to announcement, each share was valued at $9.48. The transaction was to be accounted for as a pooling of interests.</t>
  </si>
  <si>
    <t>Somerset Group Inc</t>
  </si>
  <si>
    <t>First Indiana Corp,Indiana</t>
  </si>
  <si>
    <t>US - First Indiana Bancorp (FIB), Indianapolis, Indiana, merged with Somerset Group Inc (SG), a mortgage bank and holding company, for $71.858 mil. FIB offered a choice of $24.7 in cash per share or 1. 21 common shares per share held or a combination of the both.</t>
  </si>
  <si>
    <t>US - A management-led investor group, comprised of KLLM Transport Services (KTS), CEO Jack Liles and Bernard Ebbers, withdrew its plans to launch a challenging tender offer to acquire all the outstanding common stock of KTS for $8.25 in cash per share, or a total value of $33.837 mil. The offer was conditioned upon at least a majority of KTS' shares being tendered on a fully diluted basis. Previously, Low Acquisition Inc, a company owned by investor Robert Low, launched a tender offer to acquire all the outstanding common stock of KTS for $7.75 in cash per share, or a total value of $31.786 mil.</t>
  </si>
  <si>
    <t>US - NBT Bancorp Inc, Norwich, NY (NBT) withdrew its agreement to merge with BSB Bancorp Inc, Binghampton, New York(BSB), a savings &amp; Loan bank, to form a bank holding co in a reverse takeover stock swap transaction valued at $249. 801 mil. NBT offered 2 common shares per BSB share. Based on NBT's closing stock price of $12 on April 19, the last full trading day prior to the announcement, each BSB share was valued at $24. Upon completion, NBT was to hold a 46.72% stake in the new co and BSB was to own a 53.28% interest in the new co.</t>
  </si>
  <si>
    <t>Cherry Corp</t>
  </si>
  <si>
    <t>US - A management led investor group (IG), comprised of Cherry Corp's (CC) chairman and president, Peter Cherry, and his affiliates, acquired the remaining 48.9% stake, on a fully-diluted basis, or 5.269 mil common shares, which it did not already own, in CC, a manufacturer of electronic equipment, for a sweetened $26.4 in cash per share, or a total value of $130.507 mil. Earlier IG completed its tender offer by accepting 4. 818 mil common shares, or 44. 74% of CC's shares outstanding, in a going private leveraged buyout transaction. The offer was conditioned upon at least 13. 55% of CC's shares being tendered. Previously, the group offered $18.75 in cash per share. CC was offered a bid of $26 in cash per share from an undisclosed acquirer; this bid was terminated after the investor group amended its offer.</t>
  </si>
  <si>
    <t>Noodle Kidoodle Inc</t>
  </si>
  <si>
    <t>Own,op hobby,toy,game shops</t>
  </si>
  <si>
    <t>Zany Brainy Inc</t>
  </si>
  <si>
    <t>Own,operate toy stores</t>
  </si>
  <si>
    <t>US - Zany Brainy Inc (ZBI) acquired all the outstanding common stock of Noodle Kidoodle Inc (NKI), a retailer and wholesaler of hobby, toy, games and sporting goods, in a stock swap transaction valued at $40.867 mil. ZBI offered 1. 233 shares for each NKI share. Based on ZBI's closing stock price of $4.281 on April 20, the last full trading day prior to the announcement, each NKI share was valued at $5.278.</t>
  </si>
  <si>
    <t>Safety 1st Inc</t>
  </si>
  <si>
    <t>Mnfr child safety products</t>
  </si>
  <si>
    <t>US - Dorel Industries Inc (DI) acquired all the outstanding common stock of Safety 1st Inc (SAF), a manufacturer of child safety products, for $13.875 in cash per share, or a total value of $178.208 mil, including the assumption of $55 mil in liabilities. Earlier, DI completed its tender offer for SAF by accepting 9.263 mil shares, or 82.69% of SAF's common shares outstanding.</t>
  </si>
  <si>
    <t>US - International Paper Co (IP) acquired all the outstanding common stock of Champion International Corp (CI), a manufacturer of paper and wood products, via a tender offer for $9.64 bil, including the assumption of $2.3 bil in liabilities, by accepting 92 mil common shares, or 92.35% of CI's common stock. IP offered $75 in cash per share for 64.392 mil common shares, a 66.67% interest, valued at $4.892 bil, and $75 in common stock per share for the remaining 32.191 mil common shares, a 33.33% stake, valued at $2. 414 bil. IP would offer 2. 14286 common shares for the remaining untendered shares if its closing stock price falls below $34.50. Previously, IP offered $43 in cash and $21 in common stock per share, or a total value of $8.544 bil, including the assumption of $2.3 bil in liabilities. IP completed its amended unsolicited challenging tender offer to acquire CI, by accepting 92 mil shares. Previously, UPM- Kymmene Corp (UPM) definitively agreed to merge with CI in a stock swap transaction valued at $6.402 bil.Concurrent with IP's sweetened offer, UPM offered an amended $70 in ordinary stock per CI share. On May 12, UPM withdrew its definitive agreement to merge with CI.</t>
  </si>
  <si>
    <t>Cohoes Bancorp,Cohoes,New York</t>
  </si>
  <si>
    <t>US - Hudson River Bancorp Inc (HRB), Hudson, New York, withdrew its agreement to acquire Cohoes Bancorp Inc (CBI), Cohoes, New York , a bank holding company, in a stock swap merger of equals transaction valued at $97.275 mil. HRB offered 1.185 shares per CBI share. Based on HRB's closing stock price of $9. 3125 on April 24, the last full trading day prior to announcement, each CBI share was valued at $11.332. Upon completion, HRB shareholders were to own 62% of the new entity and CBI shareholders the remaining 38%. HRB will also change the name of its holding company to Cohoes- Hudson Bancorp Inc. Subsequently, TB agreed to acquire CB in a revised offer.</t>
  </si>
  <si>
    <t>Highland Bancorp Inc,Burbank</t>
  </si>
  <si>
    <t>Jackson Federal Bank,CA</t>
  </si>
  <si>
    <t>US - Jackson Federal Bank, a unit of Prudential PLC's Jackson National Life Insurance Inc subsidiary, acquired all the outstanding common stock of Highland Bancorp Inc, Burbank, California, for $25.45 in cash per share, or a total value of $113.449 mil.</t>
  </si>
  <si>
    <t>MPW Industrial Services Group</t>
  </si>
  <si>
    <t>Pvd industrial cleaning svcs</t>
  </si>
  <si>
    <t>US - A management-led investor group including CEO Monte Black, withdrew plans to acquire the remaining 43% stake, or 6.201 mil common shares, that they did not already own, in MPW Industrial Services Group Inc for $8 per share, or a total value of $122.362 mil including the assumption of $80 mil in liabilities, in a leveraged buyout transaction.</t>
  </si>
  <si>
    <t>US - Cowlitz Bancorp, Longview, Washington acquired all the outstanding common stock of Northern Bank of Commerce, Portland, Oregon, a commercial bank, for $3.35 in cash per share, or a total value of $4.107 mil.</t>
  </si>
  <si>
    <t>Stratosphere Corp</t>
  </si>
  <si>
    <t>Own and operate hotel casinos</t>
  </si>
  <si>
    <t>US - Carl C Icahn withdrew his offer to acquire the remaining 10.4%, or .211 mil common shares, that he did not already own, in Stratosphere Corp (SC), an owner and operator of hotel casinos, for $44.35 per share, or a total value of $9.363 mil. Furthermore, American Real Estate Partners LP agreed to acquire the remaining 49% stake, that it did not already own, in SC for $44.304 mil.</t>
  </si>
  <si>
    <t>Acme Electric Corp</t>
  </si>
  <si>
    <t>Mnfr electronic transformers</t>
  </si>
  <si>
    <t>US - A management-led investor group, comprised of Chairman and Chief Executive Robert J. McKenna and Strategic Investments &amp; Holdings Inc, withdrew its agreement to acquire Acme Electric Corp (AEC) for a sweetened $8 in cash per common share, or a total value of $50.788 mil, including the assumption of $9.5 mil in liabilities, in a leveraged buyout transaction. Previously, the group offered $7.65 in cash per share. Upon completion, AEC was to become a private company. Subsequently, Key Components LLC definitively agreed to acquire AEC via a tender offer for $9 in cash per share, or a total value of $57.55 mil, including the assumption of $11 mil in liabilities. As a result, AEC paid the group a termination fee of $2.5 mil.</t>
  </si>
  <si>
    <t>HMT Technology Corp</t>
  </si>
  <si>
    <t>Mnfr magnetic, optical media</t>
  </si>
  <si>
    <t>Komag Inc</t>
  </si>
  <si>
    <t>Manufacture thin film disks</t>
  </si>
  <si>
    <t>US - Komag Inc (KM) merged with HMT Technology Corp (HMT) , a manufacturer of computer disk products, in a merger-of- equals stock swap transaction valued at $158.5 mil. KM offered .909 common shares per HMT share. Based on KM's closing stock price of $3.031 on April 25, the last full trading day prior to announcement, each HMT share was valued at $2.755.</t>
  </si>
  <si>
    <t>Allen Systems Group Inc</t>
  </si>
  <si>
    <t>Develope computer software</t>
  </si>
  <si>
    <t>US - Allen Systems Group (ASG) acquired all the outstanding common stock of VIASOFT Inc (VIA), a developer of application management software, for $8. 40 in cash per share, or a total value of $157.382 mil. Earlier, ASG completed its tender offer for VIA by accepting 16,926,908 common shares, or about 93.53% of the company's common stock outstanding. The offer was conditioned upon at least 51% of VIASOFT Inc's shares being tendered.</t>
  </si>
  <si>
    <t>US - ING Groep NV (ING) acquired all the outstanding common stock of ReliaStar Financial Corp, an insurance company, for $54 in cash per share, or a total value of $4. 973 bil. The transaction will make ING the eighth-largest publicly-traded U.S. life insurance and mutual funds firm.</t>
  </si>
  <si>
    <t>Electronic Data Systems Corp</t>
  </si>
  <si>
    <t>US - Electronic Data Systems Corp withdrew its challenging offer to acquire all the outstanding common stock of Policy Management Systems Corp (PM), a provider of insurance software services, for between $18 and $20 in cash per share, or a total value of $713.808 mil, with the value based upon the higher price in the range. Previously, Welsh Carson Anderson &amp; Stowe (WC) agreed to acquire a 75% interest, or 26.69 mil common shares, in PM for $14 per share, or a total value of $373.654 mil. Upon completion WC planned to acquire up to 93% of PM and PM planned to change its name to Mynd Corp.</t>
  </si>
  <si>
    <t>US - Koninklijke Numico NV (KN) acquired all the outstanding common stock of Rexall Sundown Inc (RS), a manufacturer and wholesaler of vitamins, for $24 in cash per share, or a total value of $1.768 bil, including the assumption of approximately $114 mil in liabilities. Earlier, KN completed its tender offer by accepting 62. 657 mil common shares, or about 97.96% of the common shares outstanding. The offer was conditioned upon at least a majority of RS's shares being tendered on a fully- diluted basis.</t>
  </si>
  <si>
    <t>Siemens Corp</t>
  </si>
  <si>
    <t>US - Siemens Corp (SC), a unit of Siemens AG, merged with Shared Medical Systems Corp (SMS), a provider of computer management services, via a challenging tender offer for $73 in cash per share, or a total value of $2. 058 bil. Previously, SC completed its tender offer by accepting 25.028 mil common shares, or about 93% of the total outstanding. Previously, Eclipsys Corp made an unsolicited offer to acquire SMS. The offer was conditioned upon at least a majority of SMS' shares being tendered. Upon completion, SMS was to be a wholly-owned subsidiary of SC.</t>
  </si>
  <si>
    <t>Young &amp; Rubicam Inc</t>
  </si>
  <si>
    <t>US - Publicis discontinued rumors to acquire all the outstanding common stock of Young &amp; Rubicam Inc, an advertising agency.</t>
  </si>
  <si>
    <t>ACT Networks Inc</t>
  </si>
  <si>
    <t>Mnfr wide area network prod</t>
  </si>
  <si>
    <t>Clarent Corp</t>
  </si>
  <si>
    <t>Pvd communications software</t>
  </si>
  <si>
    <t>US - Clarent Corp (CC) acquired ACT Networks Inc (ACT), a manufacturer of wide area network products, in a stock swap transaction valued at $151.963 mil. CC offered . 4198 common shares per ACT share. Based on CC's closing stock price of $32 on August 9, the last full trading day prior the announcement of the exact exchange ratio, each ACT share was valued at $13. 434. Originally, CC offered . 2546 common shares per ACT share, subject to a collar agreement which was subsequently breached. Based on CC's closing stock price of $74.5, on May 1, the last full trading day prior to the announcement, each ACT share was originally valued at $18. 968.</t>
  </si>
  <si>
    <t>Bestfoods</t>
  </si>
  <si>
    <t>Produce soups,sauces,food prod</t>
  </si>
  <si>
    <t>Unilever PLC</t>
  </si>
  <si>
    <t>Produce,wholesale consumer goods</t>
  </si>
  <si>
    <t>US - Unilever PLC (UL) acquired all the outstanding common stock of Bestfoods (BF) , a producer of consumer foods, via an unsolicited hostile offer, for a sweetened $73 in cash per share, or a total value of $25.065 bil, including the assumption of $4 bil in liabilities. UL first made an unsolicited written proposal on April 20, stating its interest to purchase all outstanding shares of BF common stock, par value $0.25 per share, at $61 to $64 cash per share. BF informed UL that its management would study the proposal and would submit it to its Board of Directors for its review at a special Board meeting on May 2. On May 1, unsolicited, UL increased its proposal, subject to certain conditions, to $66 per share. After careful consideration of UL's latest proposal, including consultation with independent financial and legal advisors, the BF Board of Directors rejected the offer. The board determined that UL's proposal of $66 per share was financially inadequate; the proposal was not in the best interests of BF, its shareholders, and other constituents; and it was not opportune to consider a sale of the company.</t>
  </si>
  <si>
    <t>Cunningham Graphics Intl Inc</t>
  </si>
  <si>
    <t>Pvd commercal printing service</t>
  </si>
  <si>
    <t>US - Automatic Data Processing Inc (AD) acquired all the outstanding common stock of Cunningham Graphics International Inc (CG), a provider of commercal printing service, for $22 in cash per share, or a total value of $129.343 mil. Earlier, AD completed its tender offer for CG by accepting approximately 5.492 mil common shares, or 95.38% of CG's common shares outstanding. Certain directors and officers of CG holding about 44.4% of the outstanding shares have agreed to tender their shares pursuant to AD's offer.</t>
  </si>
  <si>
    <t>Excalibur Technologies Corp</t>
  </si>
  <si>
    <t>Dvlp applications software</t>
  </si>
  <si>
    <t>Intel Corp-Interactive Media</t>
  </si>
  <si>
    <t>US - Intel Corp (IC) merged its interactive media services with all the outstanding common stock of Excalibur Technologies Corp (ET), a software applications developer, to form a new joint venture named Convera Corp. IC was to contribute $150 mil in cash and its interactive media services. Upon completion, IC was to own 60% and ET the remaining 40% of the joint venture.</t>
  </si>
  <si>
    <t>CoolBrands International Inc</t>
  </si>
  <si>
    <t>Produce,whl consumer food prod</t>
  </si>
  <si>
    <t>US - CoolBrands International Corp (CB), formerly known as Yogen fruz WorldWide Inc (YFW), acquired the remaining 83% interest, or 2.891 mil common shares, which it did not already own, in Eskimo Pie Corp (EPC), a wholesaler of ice cream products, for $10.25 in cash per shares, or a total value of $29.634 mil. Upon completion, the acquisition allowed CB to double its sales to US markets. The agreement ended a 17 month attempt by YFW to acquire EPC. Previously YFW made an unsolicted, hostile offer to acquire all the outstanding common stock of EPC for an amended $13 in cash per share, or a total value of $45.105 mil. Originally, YFW made an unsolicted offer to acquire all the outstanding common stock of EP for $10.25 in cash per share, or a total value of $35.451 mil. YFE terminated that offer in April 1999.</t>
  </si>
  <si>
    <t>Harbor Federal Bancorp Inc,MD</t>
  </si>
  <si>
    <t>US - Provident Bankshares Corp (PBC), Baltimore, Maryland, acquired Harbor Federal Bancorp Inc (HFB), Baltimore, Maryland , a commercial bank, in a stock swap transaction valued at $31.165 mil. PBC offered 1. 256 shares per HFB share. Based on PBC's closing stock price of $14.313 on May 3, the last full trading day prior to announcement, each HFB share was valued at $17. 977.</t>
  </si>
  <si>
    <t>US - Danaher Corp (DC) acquired all the outstanding common stock of Kollmorgen Corp (KC), a manufacturer of printed circuit boards, for $23 in cash per share, or a total value of $358.575 mil, including the assumption of approximately $85 mil in liabilties. Earlier, DC completed its tender offer for KC by accepting 9.8 mil shares, or 94.82% of KC's common shares outstanding . The offer was conditioned upon at leat 66.67% of KC's shares being tendered.</t>
  </si>
  <si>
    <t>McWhorter Technologies Inc</t>
  </si>
  <si>
    <t>Mnfr surface coating resins</t>
  </si>
  <si>
    <t>US - Eastman Chemical Co (EC) acquired all the outstanding common stock of McWhorter Technologies Inc (MTI), a manufacturer of surface coating resins, for $19.70 in cash per share, or a total value of $352.844 mil, inlcuding the assumption of $155 mil in liabilities. Previously, EC completed its tender offer by accepting 9. 376 mil common shares or about 94.2% of the total outstanding. The offer was conditioned upon at least 50. 1% of MTI's shares being tendered on a fully-diluted basis. Upon completion, MTI was to become a fully-owned subsidiary of EC and delist from the NYSE.</t>
  </si>
  <si>
    <t>US - Intermountain Industries Inc (III) acquired the remaining 48.7% stake, or 2.658 mil common shares, it did not already own in Petroglyph Energy Inc, an oil and gas exploration and production company, for a sweetened $2.85 in cash per share, or a total of $9.611 mil. Previously, III offered $2.2 per share or a total value of $7.419 mil.</t>
  </si>
  <si>
    <t>Provantage Health Services</t>
  </si>
  <si>
    <t>Pvd pharmacy benefit mgmt svcs</t>
  </si>
  <si>
    <t>US - Merck &amp; Co Inc (MCI) acquired all the outstanding common stock of ProVantage Health Services Inc (PHS), a provider of decision support services to the healthcare industry, for $12.25 in cash per share, or a total value of $222.396 mil. MCI acquired 64% of the outstanding common shares, or 11.71 mil shares, from ShopKo Stores Inc. Previously, MCI completed its tender offer by accepting approximately 17.7 mil common shares or 97.35% of MCI's common shares outstanding. The offer was to be conditioned upon at least a majority of PHS' shares being tendered.</t>
  </si>
  <si>
    <t>US - Applied Digital Solutions Inc (ADS) terminated its agreement to acquire ATEC Group Inc (ATG), a wholesaler of bed mattresses, in a stock swap transaction valued at $60.87 mil. ADS offered 1.25 common shares per ATG share. Based on ADS's closing stock price of $6 on May 4, the last full trading day prior to announcement, each ATG share was valued at $7.5.</t>
  </si>
  <si>
    <t>ArrowPoint Communications Inc</t>
  </si>
  <si>
    <t>Mnfr intelligent Web switches</t>
  </si>
  <si>
    <t>US - Cisco Systems Inc (CSI) acquired ArrowPoint Communications Inc (APC), a developer of network products, in a stock swap transaction valued at $5.658 bil. CSI offered 2.1218 common shares per APC share. Based on CSI's closing stock price of $63. 625 on May 4, the last full trading day prior to the announcement, each APC share was valued at $135. The transaction was accounted for as a pooling of interests.</t>
  </si>
  <si>
    <t>BAB Holdings Inc</t>
  </si>
  <si>
    <t>Own,op food court franchise</t>
  </si>
  <si>
    <t>Planet Zanett Corporate</t>
  </si>
  <si>
    <t>US - Planet Zanett Corporate Incubator acquired a 90% interest in BAB Holdings Inc (BH), an owner and operator of a food court franchise, in a recapitalization. Concurrently, BH transferred all of its existing operations into BAB Inc (BI) and spunoff BI to its shareholders. Upon completion, BH changed its name to Planet Zanett Inc and</t>
  </si>
  <si>
    <t>Verio Inc</t>
  </si>
  <si>
    <t>NTT Communications Corp</t>
  </si>
  <si>
    <t>Provide telecommunication svcs</t>
  </si>
  <si>
    <t>US - NTT Communications Corp (NTT), a unit of Nippon Telegraph and Telephone Corp, acquired the remaining 90% interest, or 99.277 mil common shares, on a fully- diluted basis, which it did not already own, in Verio Inc (VI), an Internet Service Provider, for $60 in cash per share, or a total value of $5. 694 bil. Previously, NTT completed its tender offer by accepting 67.734 mil common shares, or 95.6% of the total shares outstanding. The offer was conditioned upon at least a majority of VI's shares being tendered. The transaction was to allow NTT to deliver high-speed Internet access and Web- hosting services to customers in Asia as well as the United States.</t>
  </si>
  <si>
    <t>US - MA Hanna Co (MH) merged with Geon Co (GC), a manufacturer of polyvinyl chloride resins, to form PolyOne Corp (PO), in a stock swap transaction valued at $571.25 mil. GC common shareholders were to receive 2 PO common shares and MH common shareholders were to receive 1 PO common shares per share held. Based on MH's closing stock price of $11. 8125 on May 5, the last full trading day prior to the announcement, each GC share was valued at $23.625. MH was to own 50% of PO while GC was to own the remaining 50%.</t>
  </si>
  <si>
    <t>Ancor Communication Inc</t>
  </si>
  <si>
    <t>Mnfr computer peripheral eqmt</t>
  </si>
  <si>
    <t>QLogic Corp</t>
  </si>
  <si>
    <t>Mnfr,whl networking devices</t>
  </si>
  <si>
    <t>US - QLogic Corp(QL) acquired all the outstanding common stock of Ancor Communication Inc(AC), a manufacturer of computer peripheral equipment, in a stock swap transaction valued at $1.78 bil. QL offered . 5275 shares per AC share. Based on QL's closing stock price of $99.938 on May 5, the last full trading day prior to announcement, each AC share was valued at $52. 767. The transaction was accounted for as a pooling of interests.</t>
  </si>
  <si>
    <t>Latin America Equity Fund</t>
  </si>
  <si>
    <t>Latin America Investment Fund</t>
  </si>
  <si>
    <t>US - Latin America Investment Fund, Inc (LAI) merged with Latin America Equity Fund Inc (LAE), a closed end investment fund, in a stock swap transaction valued at $83.811mil. LAI offered .9175 common shares per LAE share. Based on LAI's closing stock price of $12. 625 on May 5, the last full trading day prior to the announcement, each LAE share was valued at $11.583. Upon completion, LAI changed its name to LAE.</t>
  </si>
  <si>
    <t>Quality Dining Inc</t>
  </si>
  <si>
    <t>Own,op restaurants franchises</t>
  </si>
  <si>
    <t>QDI Acquisition LLC(NBO LLC)</t>
  </si>
  <si>
    <t>US - QDI Acquisition LLC,a unit of NBO LLC (NBO), terminated its launched hostile tender offer to acquire the remaining 90.2% interest, or a 11.081 mil common shares, which it did not already own, in Quality Dining Inc, an owner and operator of restaurants, for $5 in cash per share, or a total value of $56.052 mil. The offer was conditioned upon at least a majority of QD's shares being tendered on a fully-diluted basis. Subsequently, NBO planned to acquire 18 Detroit Burger King restaurants from QD for $12.45 mil, as an alternative arrangement to the previous tender offer agreement.</t>
  </si>
  <si>
    <t>GZA GeoEnvironmental Tech</t>
  </si>
  <si>
    <t>Pvd remediation systems svcs</t>
  </si>
  <si>
    <t>US - Futureco Environmental Inc(FE), an investment group formed by a group of senior management of GZA GeoEnvironmental Technologies Inc(GZA), a provider of remediation systems services, acquired the remaining 84. 297% interest, which it did not already own, in GZA, for an amended $6.4 in cash per share, or a total value of $21.802 mil in a leveraged buyout transaction. Previously, FE agreed to acquire a 5.29% stake or .219 mil common share, from Acquisitor PLC, for $1.368 mil.</t>
  </si>
  <si>
    <t>Overseas Filmgroup Inc</t>
  </si>
  <si>
    <t>Rosemary Street Production LLC</t>
  </si>
  <si>
    <t>US - Rosemary Street Productions LLC planned to acquire an 80.97% interest, or 5.097 mil common shares and .905 mil Series A preferred stock, each convertible into 2 common shares, and warrants, in Overseas Filmgroup Inc, a provider of motion picture production services, for $17 mil.</t>
  </si>
  <si>
    <t>WMF Group Ltd</t>
  </si>
  <si>
    <t>Prudential Mortgage Capital</t>
  </si>
  <si>
    <t>US - Prudential Mortgage Capital Co (PMC), a unit of Prudential Insurance Co of America, merged with WMF Group Ltd (WMF), a provider of mortgage loan services, for $8.90 in cash per share, or a total value of $99.788 mil. Previously, PMC completed its tender offer by accepting 10,562,115 common shares, or about 96.38% of WMF's common stock outstanding . The transaction was to create a commercial mortgage servicing business with more than $31 bil in assets. Upon completion, WMF was to become a wholly-owned subsidiary of PMC and delist.</t>
  </si>
  <si>
    <t>Gatefield Corp</t>
  </si>
  <si>
    <t>Mnfr integrated array circuits</t>
  </si>
  <si>
    <t>Actel Corp</t>
  </si>
  <si>
    <t>US - Actel Corp acquired all the outstanding common stock of Gatefield Corp, a manufacturer of electronic computers, for $5.25 in cash per share, or a total value of $29.465 mil.</t>
  </si>
  <si>
    <t>Investors &amp; Lenders LLC</t>
  </si>
  <si>
    <t>US - Investors &amp; Lenders LLC, a unit of Private Mortgage Investment Services, withdrew its challenging tender offer to acquire a 65% interest, or .100 mil common shares, in Landmark Financial Corp (LFC), a bank holding company, for $25 in cash per share, or a total value of $2.5 mil, after TrustCo Bank Corp, New York, acquired LFC.</t>
  </si>
  <si>
    <t>Old Guard Group Inc</t>
  </si>
  <si>
    <t>Ohio Farmers Insurance Co</t>
  </si>
  <si>
    <t>US - Ohio Farmers Insurance Co acquired all the outstanding common stock of Old Guard Group Inc (OG), a provider of insurance services, for $12 in cash per share, or a total value of $44.877 mil. Upon completion, OG was delisted from Nasdaq.</t>
  </si>
  <si>
    <t>Hussmann International Inc</t>
  </si>
  <si>
    <t>Mnfr regrigeration systems</t>
  </si>
  <si>
    <t>US - Ingersoll-Rand Co (IR) acquired all the outstanding common stock of Hussmann International Inc (HI), a manufacturer of refrigeration systems, for $29 in cash per share, or a total of $1.837 bil, including the assumption of $275 mil in liabilities. Previously, IR completed its tender offer by accepting 47. 200 mil common shares, or about 93% of the total outstanding. The offer was conditioned upon at least a majority of HI's shares being tendered. The transaction was to add to IR's earnings and HI was to strategically fit into IR's Thermo King unit, which manufactures refrigeration equipment to deliver fresh foods. Upon completion, HI was to become wholly-owned by IR.</t>
  </si>
  <si>
    <t>US - WPP Group PLC (WPP) acquired Young &amp; Rubicam Inc (YR), an advertising agency, in a stock swap transaction valued at $4.979 bil. WPP offered .835 ADR's per YR share. Based on WPP's closing stock price of $63.5 on May 11, the last full trading day prior to announcement, each YR share was valued at $53. 023. Earlier in the year, the 2 companies were rumored to be in merger talks.</t>
  </si>
  <si>
    <t>Heritage Property Invest Trust</t>
  </si>
  <si>
    <t>US - Heritage Property Investment Trust acquired all the outstanding common stock of Bradley Real Estate Inc (BRE), a real estate investment trust, for $22 per share, or a total value of $1. 125 bil, including the assumption of $452 mil in liablities and $105.6 mil in preferred securities and units.</t>
  </si>
  <si>
    <t>Cerner Corp</t>
  </si>
  <si>
    <t>US - Cerner Corp (CE) acquired Citation Computer Systems Inc (CI), a software developer, in a stock swap transaction valued at $16.054 mil. CE offered $.53 in cash and .153 common shares per CI share. The shares were valued based on CE's closing stock price of $23.5625 on May 12, the last full trading day prior to the announcement.</t>
  </si>
  <si>
    <t>CLC Acquisition Corp</t>
  </si>
  <si>
    <t>US - GTCR Golder Rauner LLC acquired the remaining 77% interest, or 9.963 mil common shares, which it did not already own, in Coinmach Laundry Corp, a Roslyn-based manufacturer and wholesaler of laundry equipment, via a tender offer, for USD 14.25 in cash per share, or a total value of USD 141.977.</t>
  </si>
  <si>
    <t>US - Danone Group withdrew its challenging bid to acquire all the outstanding common stock of Nabisco Group Holdings Corp (NG), a producer and wholesaler of cookies and crackers. Concurrently, Mr Carl Icahn withdrew his unsolicited offer to acquire the remaining 90.4% interest, which he did not already own in, in NG. Subsequently, RJ Reynolds Tobacco agreed to acquire NG, and Philip Morris agreed to acquire Nabisco Holdings Corp, a majority- owned unit of NG.</t>
  </si>
  <si>
    <t>Pioneer Group Inc</t>
  </si>
  <si>
    <t>Unicredito Italiano SpA</t>
  </si>
  <si>
    <t>Bank;hldg co</t>
  </si>
  <si>
    <t>US - Unicredito Italiano acquired Pioneer Group Inc, a provider of investment advisory services, for $43.50 in cash per share, or a total value of $1.229 bil. Concurrently, Pioneer Group completed the spin off of its Harbor Global unit to its shareholders.</t>
  </si>
  <si>
    <t>Texarkana First Financial,AR</t>
  </si>
  <si>
    <t>Savings &amp; loans holding co</t>
  </si>
  <si>
    <t>US - First United Bancshares Inc, El Dorado, Arkansas, a unit of BancorpSouth Inc, Tupelo, Mississippi, merged with Texarkana First Financial Corp (TFF), Texarkana, Arkansas, a savings and loan holding company, for $23.35 in cash per share, or a total value of $35.944 mil. Upon completion, TFF changed its name to BancorpSouth Bank.</t>
  </si>
  <si>
    <t>Terra Networks(Telefonica SA)</t>
  </si>
  <si>
    <t>Pvd internet access svcs</t>
  </si>
  <si>
    <t>US - Terra Networks SA (TN), a majority-owned unit of Telefonica de Espana SA, acquired Lycos Inc (LI), an Internet web portal, in a stock swap transaction valued at $6.188 bil. TN offered 2. 15 ordinary shares per LI share. Based on TN's closing share price of $23.638 on October 26, the last full trading day prior to the announcement of the exact exchange ratio, each LI share was valued at $50.882. Originally, TN offered $97.55 in ordinary shares per LI share, subject to a collar agreement which was subsequently breached. Upon completion, the new company was renamed Terra Lycos Inc (TLI). TN was to hold between 54% and 63% of TLI, and LI was own between 37% and 46%. In connection with the transaction, Bertelsmann was to purchase $1 bil in advertising in TLI over a span of 5 years.</t>
  </si>
  <si>
    <t>Northfield Bancorp Inc</t>
  </si>
  <si>
    <t>Patapsco Bancorp Inc</t>
  </si>
  <si>
    <t>US - Patapsco Bancorp Inc (PB), Dundalk, Maryland, acquired all the outstanding common stock of Northfield Bancorp Inc (NB), Baltimore Maryland, a bank holding company, for $12.5 in cash and .24 preferred shares convertible into PB common shares on a one-for-one basis per NB common share, or a total value of $8.225 mil. Based on PB's closing stock price of $20 on May 15, the last full trading day prior to the announcement, each NB share was valued at $17.3.</t>
  </si>
  <si>
    <t>M&amp;T Bank Corp,Buffalo,New York</t>
  </si>
  <si>
    <t>US - M&amp;T Bank Corp (M&amp;T), Buffalo,New York, merged with Keystone Financial Inc (KS), Harrisburg,Pennsylvania, a bank and insurance holding company, in a stock swap transaction valued at $1.028 bil. M&amp;T offered a choice of $21.5 in cash per KS share or .05 M&amp;T common shares per KS share. The consideration was conditioned upon 65% of KS's common stock outstanding being exchanged for M&amp;T stock and the remainder for cash. Based on M&amp;T's closing stock price of $415 on May 16, the last full trading day prior to announcement. Upon completion, M&amp;T was to effect a 10-for-1 split of its common stock, with the .05 exchange ratio being adjusted to .5 to reflect the split. In addition, Carl Campbell, KS chairman and CEO, was to become vice chairman of M&amp;T and Robert Wilmers, M&amp;T chairman and CEO, was to continue as president and CEO of M&amp;T.</t>
  </si>
  <si>
    <t>US - Silicon Graphics (SG) completed the spinoff of its 65.23% interest in MIPS Technologies Inc (MIPS), a manufacturer of electronic computers, to its shareholders in a transaction valued at $880.565 mil. SG common shareholders received . 135 MIPS Class B common shares per SG share held. The shares were valued based on MIPS' closing stock price of $35.125 on June 20, 2000, the first full trading day on which the shares were distributed. Previously, SG divested a 14.31% stake, or 5. 5 mil common shares, in its MIPS subsidiary through an initial public offering.</t>
  </si>
  <si>
    <t>US - An investor group, comprised of Leonard Green &amp; Partners LP and Texas Pacific Group, acquired all of the outstanding common stock of Petco Animal Supplies Inc (PAS), an owner and operator of pet stores, for $22 in cash per share, or a total value of $589.378 mil, including the assumption $125 mil in liabilities, in a leveraged buyout transaction. The Chairman and Chief Executive Brian Devine and other members of the company's management were to retain an interest in PAS.</t>
  </si>
  <si>
    <t>Scientific Games Holdings Corp</t>
  </si>
  <si>
    <t>Mnfr,whl lottery ticket machs</t>
  </si>
  <si>
    <t>Autotote Corp</t>
  </si>
  <si>
    <t>Mnfr computerized wagering sys</t>
  </si>
  <si>
    <t>US - Autotote Group Inc (AGI) acquired Scientific Games Holdings Corp (SGH), a manufacturer and wholesaler of instant lottery ticket machines, for $26 per share, or a total value of $306.032 mil.</t>
  </si>
  <si>
    <t>Active Software Inc</t>
  </si>
  <si>
    <t>Pvd eBusiness integration sftw</t>
  </si>
  <si>
    <t>webMethods Inc</t>
  </si>
  <si>
    <t>US - webMethods Inc (WM) acquired Active Software Inc (AS), a provider of eBusiness integration software, in a stock swap transaction valued at $1.331 bil. WM offered . 527 common shares per AS share. Based on WM's closing stock price of $87 on May 19, the last full trading day prior to announcement, each AS share was valued at $45. 849. The transaction was accounted for as a pooling of interests.</t>
  </si>
  <si>
    <t>Lindberg Corp</t>
  </si>
  <si>
    <t>Pvd metal heat treating svcs</t>
  </si>
  <si>
    <t>US - An Investor, Ira Sochet, planned to launch a tender offer to acquire the remaining 85.5% interest, or 4.84 mil common shares, that he did not already own, of Lindberg Corp, a provider of metal heat treating services, for $9 in cash per share, or a total value of $43.56 mil.</t>
  </si>
  <si>
    <t>MedQuist Inc</t>
  </si>
  <si>
    <t>Pvd medical transcription svcs</t>
  </si>
  <si>
    <t>US - Koninklijke Philips Electronics NV (KPE) acquired a 57% interest, or 20,193,881 common shares, in MedQuist Inc (MQ), a provider of home health care management services, via a tender offer for $51 in cash per share, or a total value of $1.03 bil. Concurrently, KPE acquired a 3% stake in MQ for $51 in cash per share from MQ management. The tender offer was conditioned upon at least 57% of the shares being tendered on a fully diluted basis. Since the number of shares tendered exceeded 57%, the shares were purchased on a pro-rata basis.</t>
  </si>
  <si>
    <t>Ondisplay Inc</t>
  </si>
  <si>
    <t>Dvlp ecommerce software</t>
  </si>
  <si>
    <t>Vignette Corp</t>
  </si>
  <si>
    <t>Dvlp Internet mgmt software</t>
  </si>
  <si>
    <t>US - Vignette Corp (VIGN) acquired all the outstanding common stock of OnDisplay Inc (ONDS), a developer of e- commerce software for powering e-commerce portals and e-marketplaces, in a stock swap transaction valued at $2.466 bil. Earlier, VIGN completed its tender offer for ONDS by accepting 20,463, 113 common shares, or about 92.44% of the company's common stock outstanding. VIGN offered 1.58 common shares per ONDS share. Based on VIGN's closing stock price of 43.813 on May 19, the last full trading day prior to the announcement, each ONDS share was valued at $69.224.</t>
  </si>
  <si>
    <t>Cambridge Neuroscience</t>
  </si>
  <si>
    <t>CeNeS Pharmaceuticals PLC</t>
  </si>
  <si>
    <t>Mnfr biopharm</t>
  </si>
  <si>
    <t>US - CeNes Pharmaceuticals PLC acquired all the outstanding common stock of Cambridge NeuroScience Inc, a manufacturer of pharmaceuticals, for $2.25 per share, or a total value of $41.784 mil payable in new CeNeS ordinary shares.</t>
  </si>
  <si>
    <t>US Airways Group Inc</t>
  </si>
  <si>
    <t>US - UAL Corp (UA) withdrew its agreement to acquire all the outstanding common stock of US Airways Group Inc (US), for $5.801 bil. The consideration was to consist of $60 in cash per share and the assumption of $1.6 bil in liabilities.</t>
  </si>
  <si>
    <t>FFY Financial,Youngstown,Ohio</t>
  </si>
  <si>
    <t>US - First Place Financial Corp Del, Warren, Ohio(FP) acquired FFY Financial Corp, Youngstown, Ohio(FFY), a bank holding company, in a stock swap transaction valued at $73.204 mil. FP offered 1.075 shares per FFY share. Based on FP's closing stock price of $9.75 on May 23, the last full trading day prior to announcement, each FFY share was valued at $10.48.</t>
  </si>
  <si>
    <t>Welch Allyn Inc</t>
  </si>
  <si>
    <t>US - Welch Allyn (WA) acquired all the outstanding common stock of Protocol Systems Inc (PS), a manufacturer of patient monitoring systems, for $16 in cash per share, or a total value of $143.051 mil. Earlier, WA completed its tender offer for PS by accepting 7.8 mil shares, or about 95.26% of PS's common shares outstanding. The offer was conditioned upon at least a majority of PS' shares being tendered.</t>
  </si>
  <si>
    <t>US - Watson Pharmaceuticals Inc (WPH) acquired Schein Pharmaceutical Inc (SPH), a manufacturer of pharmaceuticals, in a two- tier merger transaction valued at $916.284 mil. Earlier, WPH completed its tender offer for SPH by accepting 24.566 mil common shares, or about 74.37% of the total outstanding. SPH launched a tender offer to acquire 75%, or 24.775 mil shares, of SPH's common stock outstanding, for $19.50 in cash per share, or a total value of $703.117 mil, including the assumption of $220 mil in liabilities. The offer was conditioned upon at least 24.5 mil common shares being tendered.The remaining 25% of SPH's common stock outstanding, or 8.258 mil shares, were to be acquired in a stock swap transaction valued at $189.943 mil, subject to a collar agreement. WPH offered $23 in common stock per share.</t>
  </si>
  <si>
    <t>US - Key Components LLC acquired all of the outstanding common stock of Acme Electric Corp (AEC), a manufacturer of electronic transformers, for $9 in cash per share, or a total value of $57.55 mil, including the assumption of $11 mil in liabilities. Previously, a management-led investor group, comprised of Chairman and Chief Executive Robert J. McKenna and Strategic Investments &amp; Holdings Inc, withdrew its agreement to acquire AEC for a sweetened $8 in cash per common share, or a total value of $50.723 mil, including the assumption of $9.5 mil in liabilities, in a leveraged buyout transaction.</t>
  </si>
  <si>
    <t>High Road Acquisition Corp</t>
  </si>
  <si>
    <t>US - High Road Acquisition Corp (HR) acquired all the outstanding common stock KLLM Transport Services Inc (KL), a trucking company, for $8.05 in cash per share, or a total value of $33.017 mil. Earlier HR completed its tender offer for KL by accepting 3,297,869 shares, or about 80.41% of the company's common stock outstanding. The transaction was conditioned upon at least a majority of KL's shares being tendered on a fully- dilluted basis.</t>
  </si>
  <si>
    <t>US - Leucadia National Corp(LN) withdrew its agreement to acquire Reliance Group Holdings Inc(RG), an insurance company, in a stock swap transaction valued at $306.208 mil. LN offered .111 shares per RG share. Based on LN's closing stock price of $23.0625 on May 25, the last full trading day prior to announcement, each RG share was valued at $2.559.</t>
  </si>
  <si>
    <t>Sante Fe Synder Corp</t>
  </si>
  <si>
    <t>Devon Energy Corp</t>
  </si>
  <si>
    <t>US - Devon Energy Corp (DE) merged with Santa Fe Snyder Corp (SF), an oil and gas exploration and production co, in a stock swap transaction valued at $3.426 bil, including the assumption of approximately $1 bil in liabilities. DE offered .22 common shares per SF share. Based on DE's closing stock price of $58.6875 on May 25, the last full trading day prior to announcement, each SF share was valued at $12. 911. The transaction was accounted for as a pooling of interests. Upon completion, the combined company was named Devon Energy Corp and remained headquartered in Oklahoma City. DE shareholders owned approximately 68% of the combined company, and SF shareholders owned the remaining 32% stake. The transaction created an international oil and gas company with a pro forma enterprise value of approximately $9 billion.The combined company was to also to rank in the top 5 of all U. S.-based independent oil and gas producers in terms of market capitalization, total proved reserves and annual production. On a combined basis, the company was to have total proved reserves of approximately 1.1 billion barrels of oil equivalent.</t>
  </si>
  <si>
    <t>Mark IV Industries Inc</t>
  </si>
  <si>
    <t>Technical and audio products</t>
  </si>
  <si>
    <t>US - An investor group, led by BC Partners, acquired all the outstanding common stock of Mark IV Industries Inc, a manufacturer of technical and audio products, for $23 in cash per share, or a total value of $2.175 bil, including the assumption of $950 mil in liabilities, in a leveraged buyout transaction.</t>
  </si>
  <si>
    <t>Summit Autonomous Inc</t>
  </si>
  <si>
    <t>Alcon Laboratories Inc</t>
  </si>
  <si>
    <t>Mnfr,whl ophthalmic prods</t>
  </si>
  <si>
    <t>US - Alcon Laboratories Inc (ALI), a unit of Nestle SA, merged with Summit Autonomous Inc (SAI), a manufacturer and wholesaler of opthalmic laser systems, for $19 in cash per share, or a total value of $929.167 mil. Previously, ALI completed its tender offer by accepting 40.6 mil common shares, or about 86.32% of SAI's common stock outstanding. The offer was conditioned upon at least 66. 67% of the shares being tendered on a fully-diluted basis.</t>
  </si>
  <si>
    <t>Ciba Vision Corp</t>
  </si>
  <si>
    <t>Mnfr contact lenses</t>
  </si>
  <si>
    <t>US - Ciba Vision Corp (CVC), a unit of Novartis AG's Ciba- Geigy Corp subisidiary, acting as a white knight, acquired all the outstanding common stock of Wesley Jessen Vision Care Inc (WJ), a manufacturer of opthalmic goods and equipment and a majority-owned unit of Bain Capital, for $38.5 in cash per share, or a total value of $759.403 mil. Previously, CVC completed its tender offer by accepting 17.551 mil common shares, or 99.4% of the total outstanding. The offer was conditioned upon at least 51% of the shares being tendered. Upon completion, the combined company was to be the world's second largest manufacturer of contact lenses. Concurrently, Bausch &amp; Lomb terminated its unsolicited tender offer for WJ for $35.55 in cash per share, or a total value of $703.701 mil and WJ terminated plans to acquire Ocular Sciences in a stock swap transaction valued at $426.539 mil.</t>
  </si>
  <si>
    <t>Gliatech Inc</t>
  </si>
  <si>
    <t>Manufacture medical devices</t>
  </si>
  <si>
    <t>Guilford Pharmaceuticals Inc</t>
  </si>
  <si>
    <t>US - Guilford Pharmaceuticals Inc (GP) withdrew its agreement to acquire Gliatech Inc (GI), a manufacturer of drugs, in a stock swap transaction valued at $216.717 mil. GP offered 1. 38 shares per GI share. Based on GP's closing stock price of $15.50 on May 26, the last full trading day prior to announcement, each GI share was valued at $21.39. The transaction was to be accounted for as a pooling of interests.</t>
  </si>
  <si>
    <t>PremiumWear Inc</t>
  </si>
  <si>
    <t>New England Bus Service Inc</t>
  </si>
  <si>
    <t>Publishes bus forms</t>
  </si>
  <si>
    <t>US - New England Business Service Inc (NEBS) acquired all the outstanding common stock of PremiumWear Inc (PWI) , a manufacturer of men's and women's apparel, for $13.5 in cash per share, or a total value of $40.185 mil, including the assumption of $2.2 mil in liabilities. Earlier, NEBS completed its tender offer to acquire PWI by accepting 2.107 mil common shares, or about 82.07% of the total outstanding. The offer was condition upon at least a majority of PWI shares being tendered on a fully-diluted basis. A subsidiary of NEBS was to commence the tender offer no later than June 9, 2000. Any shares not acquired in the tender offer were to be acquired at $13.5 in cash per share in a subsequent merger. The transaction was expected to close by July 15, 2000.</t>
  </si>
  <si>
    <t>Wisconsin Fuel &amp; Light Co</t>
  </si>
  <si>
    <t>US - WPS Resources Corporation (WP) acquired all the outstanding stock of Wisconsin Fuel &amp; Light Co (WF) , an investment company, in a stock swap transaction valued at $56.908 mil. WP offered 1. 73 common shares for each of WF's 1.02 mil shares outstanding.</t>
  </si>
  <si>
    <t>Nutmeg Savings &amp; Loans</t>
  </si>
  <si>
    <t>US - NewMil Bancorp (NB), New Milford, Connecticut, acquired all the outstanding common stock of Nutmeg Federal Savings &amp; Loan Association(NT), Danbury, Connecticut, a savings and loan bank, in a stock swap transaction valued at $11.543 mil. NB offered .8394 common shares per NT share. Based on NF's closing stock price of $9.625 on November 10, the last full trading day prior to the announcement of the exact exchange ratio, each NT share was valued at $$8.079. Originally, NB offered $8.25 in a combination of cash and common stock. The transaction was to be accounted for as a purchase with the stock component not to exceed 60% of the purchase price. The exchange ratio for NB stock was to be determined during the pricing period to yield the fixed consideration being paid.</t>
  </si>
  <si>
    <t>Image Guided Technologies Inc</t>
  </si>
  <si>
    <t>Manufacture optical digitizers</t>
  </si>
  <si>
    <t>Stryker Corp</t>
  </si>
  <si>
    <t>Mnfr,whl surgical products</t>
  </si>
  <si>
    <t>US - Stryker Corp(SC) acquired all the outstanding common stock of Image Guided Technologies Inc, a manufacturer of optical digitizers, in exchange for $12 mil in SC common stock. The calculation of the actual exchange ratio was to depend upon the average closing price of SC's common stock during 30 consecutive trading day period preceding the fifth day prior to the date of the special shareholder meeting.</t>
  </si>
  <si>
    <t>Union Miniere SA</t>
  </si>
  <si>
    <t>Mnfr nonferrous metals</t>
  </si>
  <si>
    <t>US - Union Miniere SA (UM) withdrew its definitive agreement to acquire the remaining 90% interest, or 8. 664 mil common shares, which it did not already own, in Laser Power Corp (LP), a manufacturer of optical components, via a sweetened tender offer of between $4.25 to $4.55 in cash per share, or a total value of $43.183 mil. Originally, UM agreed to acquire the remaining 90% interest in LP via a tender offer of $4 in cash per share, or a total value of $34.657 mil. The shares were valued based on the higher price in the range.</t>
  </si>
  <si>
    <t>Lunar Corp</t>
  </si>
  <si>
    <t>Mnfr bone densitometers</t>
  </si>
  <si>
    <t>US - GE Medical Systems (GEM) , a unit of General Electric Co (GE), acquired Lunar Corp (LC), a manufacturer of bone densitometers, in a stock swap transaction valued at $158.713 mil. GEM offered . 322 GE common shares per LC common share. Based on GE's closing stock price of $52. 375 on June 1, the last full trading day prior to the announcement, each LC share was valued at $16.865. Upon completion, LC changed its name to GE Medical Systems Lunar.</t>
  </si>
  <si>
    <t>US - American Airlines Inc, a unit of AMR Corp, was rumored to be in negotiations to acquire all the outstanding common stock of Northwest Airlines Corp, a passenger airline. The Current status of this deal is unknown.</t>
  </si>
  <si>
    <t>Pathmark Stores Inc</t>
  </si>
  <si>
    <t>US - Bankrupt Pathmark Stores Inc(PS), an owner and operator of supermarkets, and a unit of Supermarkets General Holdings Corp, completed its debt restructuring with boldholders (BH), in a transaction valued at $487. 472 mil. BH received 30 mil new common shares valued at $369.36 mil and warrants to purchase an additional 5.29 mil common shares at an exercise price of $22.31, or a total value of $118.112 mil. The shares were valued based on PS' closing stock price of $12.312 on September 29, the first full trading day post- restructuring. Upon completion, BH held a 100% interest in the restructured PS.</t>
  </si>
  <si>
    <t>Security of PA,Hazleton,PA</t>
  </si>
  <si>
    <t>Provide banking services</t>
  </si>
  <si>
    <t>Northeast Pennsylvania Finl</t>
  </si>
  <si>
    <t>US - Northeast Pennsylvania Financial Corp (NPF), Hazleton, Pennsylvania, acquired all the outstanding common stock of Security Of Pennsylvania Financial Corp (SPF), Hazleton, Pennsylvania, a provider of banking services, for $17.5 in cash per share, or a total value of $23.748 mil. Upon completion, SPF was merged with with a recently formed wholly owned subsidiary of NPF with SPF being the survivor.</t>
  </si>
  <si>
    <t>US - An investor group, including Caxton-Iseman Capital Inc and Sentinel Capital Partners, acquired all the outstanding common stock of Buffets Inc (BFI), an owner and operator of restaurants, for $13.85 in cash per share, or a total value of $646.761 mil, in a leveraged buyout transaction. Upon completion, the existing management of BFI owned an estimated 16 percent of the company, which operates 403 restaurants in 34 states.</t>
  </si>
  <si>
    <t>Jenny Craig Inc</t>
  </si>
  <si>
    <t>Own,op weight mgmt centers</t>
  </si>
  <si>
    <t>SJF Enterprises Inc</t>
  </si>
  <si>
    <t>Provide weight loss services</t>
  </si>
  <si>
    <t>US - SJF Enterprises Inc, a unit of Craig Enterprises Inc, withdrew its plans to acquire the remaining 33% stake, that it did not already own, in Jenny Craig Inc, a provider of weight loss services, for $3.75 in cash per share, or a total value of $25.603 mil.</t>
  </si>
  <si>
    <t>Primark Corp</t>
  </si>
  <si>
    <t>Dvlp,whl databases</t>
  </si>
  <si>
    <t>US - Thomson Corp (TC), acquired all the outstanding common stock of Primark Corp (PC), a developer and wholesaler of databases, for $38 in cash per share, or a total value of $1.081 bil, including the assumption of $235 mil in liabilities. Previously, TC completed its tender offer by accepting 19. 607 mil common shares, or 96. 7% of PC's common shares outstanding. The offer was conditioned upon at least 51% of the shares being tendered. PC's European and international operations were to further expand TC's reach. Upon announcement, the boards of both had granted approval of the merger.</t>
  </si>
  <si>
    <t>US - Stockwalk.Com Group Inc (SC) acquired all the outstanding common stock of Kinnard Investments Inc (KI), an investment bank and holding company, for a sweetened $6 cash and .7676 shares per SC share, or a total value of $53.181 mil. Originally, in June 1999, SC offered $6 in cash and .5 share per SC share, or a total value of $54.74 mil. Based on SC's closing stock price of $5.50 on September 1, the last full trading day prior to the amendment, each KI share was valued at $10.22.</t>
  </si>
  <si>
    <t>US - Welch Allyn Inc, an affiliate of Mohawk Acquisition Corp, withdrew its tender offer to acquire all the outstanding common stock of PSC Inc, a manufacturer of bar code scanning and automatic data colleciton solutions, for $8. 45 in cash per share, or a total value of $118.7 mil. The offer was conditioned upon at least 66.67% of the shares being tendered on a fully-diluted basis.</t>
  </si>
  <si>
    <t>Trimark Holdings Inc</t>
  </si>
  <si>
    <t>Lions Gate Entertainment Corp</t>
  </si>
  <si>
    <t>US - Lion's Gate Entertainment Corp (LG) acquired all the oustanding common stock of Trimark Holdings Inc (TH), a distributor of motion pictures, for an amended $4. 50 in cash and 2.018 common shares per share, or a total value of $48.61 mil. Based on LG's closing stock price of $2.64 on October 6, each TH share was valued at $9.828. Originally, LG offered $10 per share, or a total value of $46.047 mil, subject to a collar agreement.</t>
  </si>
  <si>
    <t>Computer Research Inc</t>
  </si>
  <si>
    <t>US - SunGard Data Systems Inc withdrew its signed letter of intent to acquire all the outstanding common stock of Computer Research Inc, a provider of data processing services, for $2 in cash per share, or a total value of $8.074 mil.</t>
  </si>
  <si>
    <t>Marketing Specialists Corp</t>
  </si>
  <si>
    <t>Pvd marketing svcs</t>
  </si>
  <si>
    <t>US - An investor group, including Richmont Capital Partners I LP, planned to acquire the remaining 51% interest, or 10.09 mil common shares, which it did not already own, in Marketing Specialists Corp, a wholesale groceries and food broker, for $2.50 in cash per share, or a total value of $24.805 mil.</t>
  </si>
  <si>
    <t>Catskill Financial Corp,NY</t>
  </si>
  <si>
    <t>Troy Financial Corp,Troy,NY</t>
  </si>
  <si>
    <t>US - Troy Financial Corp (TFC), Troy, New York, acquired all the outstanding common stock of Catskill Financial Corp (CFC), Catskill, New York, a bank holding company, for $23 in cash per share, or a total value of $90.213 mil. CFC was the holding company of Catskill Savings Bank (CSB), a $346.1 million asset, seven office savings bank headquartered in Catskill, New York. Upon completion, TFC, the bank holding company of The Troy Savings Bank (TSB) , was to merge CSB into TSB, creating a regional bank with pro forma total assets in excess of $1.2 billion, deposits of $782.3 million and 21 full-service offices located in eight New York counties throughout New York State's Capital and Catskill regions. The transaction was accounted for under the purchase method of accounting.</t>
  </si>
  <si>
    <t>Broadwing Inc</t>
  </si>
  <si>
    <t>US - Broadwing Inc discontinued negotiations to acquire all the outstanding common stock of Intermedia Communications Inc, a provider of telecommunications services.</t>
  </si>
  <si>
    <t>LJL Biosystems Inc</t>
  </si>
  <si>
    <t>Mnfr lab analytical instr</t>
  </si>
  <si>
    <t>Molecular Devices Corp</t>
  </si>
  <si>
    <t>Mnfr bioanalytical measure sys</t>
  </si>
  <si>
    <t>US - Molecular Devices Corp (MD) acquired LJL Biosystems Inc (LJL), a manufacturer of lab analytical instrument, in a stock swap transaction valued at $289.818 mil. MD offered .3 common shares per LJL share. Based on MD's closing stock price of $59. 0625 on June 7, the last full trading day prior to the announcement, each LJL share was valued at $17.719. The transaction was accounted for as a pooling of interests.</t>
  </si>
  <si>
    <t>Marion Capital Holdings Inc,IN</t>
  </si>
  <si>
    <t>MutualFirst Financial Inc,IN</t>
  </si>
  <si>
    <t>Savings,loan bank hloding co</t>
  </si>
  <si>
    <t>US - MutualFirst Financial Inc(MF), Muncie, Indiana acquired Marion Capital Holdings Inc(MC) Marion, Indiana, a bank holding company, in a stock swap transaction valued at $27.531 mil. MF offered 1.862 shares per MC share. Based on MF's closing stock price of $10. 828 on June 7, the last full trading day prior to the announcement, each MC share was valued at $20.16.</t>
  </si>
  <si>
    <t>OneMain.com Inc</t>
  </si>
  <si>
    <t>EarthLink Inc</t>
  </si>
  <si>
    <t>US - EarthLink (EL) acquired all the outstanding common stock of OneMain.com Inc (OM), an Internet service provider, in a stock swap transaction valued at $310.047 mil. EL offered $5.964 in cash and . 3562 common shares per OM share. Based on EL's closing stock price of $17.938 on June 7, the last full trading day prior to the announcement, each OM share was valued at $6.39. upon completion OM was delisted from the Nasdaq stock market.</t>
  </si>
  <si>
    <t>PFSweb Inc</t>
  </si>
  <si>
    <t>Pvd transaction management</t>
  </si>
  <si>
    <t>US - Daisytek International Corp (DC) completed the spin off it's 80.1% interest in PFSweb Inc (PF), a provider of transaction management, to its shareholders, in a transaction valued at $60.796 mil. DI shareholders were to receive .81 PFS common share per DI share held. The shares were valued based on PF's closing stock price of $4.25 on July 6, the first full trading day on which the shares were distributed. Previously, DC splitoff a 17. 8% stake in its PF subsidiary through an initial public offering.</t>
  </si>
  <si>
    <t>Centigram Communications Corp</t>
  </si>
  <si>
    <t>Mnfr,whl communicatins sys</t>
  </si>
  <si>
    <t>US - ADC Telecommunications Inc acquired all the outstanding common stock of Centigram Communications Corp, a manufacturer and wholesaler of messaging and communications systems that integrate voice, data, and facsimile, for $24.12 in cash, or a total value of $172.946 mil.</t>
  </si>
  <si>
    <t>Health Power Inc</t>
  </si>
  <si>
    <t>Managed health care holding co</t>
  </si>
  <si>
    <t>Security Capital Corp</t>
  </si>
  <si>
    <t>Investment hldg co</t>
  </si>
  <si>
    <t>US - Security Capital Corp merged with Health Power Inc, a managed health care holding company, for an estimated $36. 25 mil. The consideration was to consist of an estimated $26.5 mil in cash and the assumption of approximately $9.75 mil in liabilities.</t>
  </si>
  <si>
    <t>US - Modtech Holdings Inc terminated its agreement to acquire Miller Building Systems Inc, a manufacturer of factory-built buildings, for $8.05 in cash per share, or a total value of approximately $25.756 mil, including the assumption of an undisclosed amount in liabilities.</t>
  </si>
  <si>
    <t>Comptek Research Inc</t>
  </si>
  <si>
    <t>Pvd programming software svcs</t>
  </si>
  <si>
    <t>US - Northrop Grumman Corp (NG) acquired Comptek Research Inc (CR), a provider of programming software services, in a stock swap transaction valued at $180. 536 mil. NG offered .28 common shares per CR shares. Earlier, NG completed its tender offer to acquire CR, subject to a collar agreement, by accepting 5,876,389 common shares, or about 70. 062% of CR's common stock outstanding. NG offered between .247 and .28 common shares per CR share. Based on NG's closing stock price of $79.625 on June 9, the last full trading day prior to the announcement, each CR share was valued at $22.295. The offer was conditioned upon at least 66.67% of the shares being tendered on a fully- diluted basis. The transaction was valued based on the higher of the two NG exchange ratios.</t>
  </si>
  <si>
    <t>Cereus Technology Partners Inc</t>
  </si>
  <si>
    <t>Pvd hardware,software svcs</t>
  </si>
  <si>
    <t>US - Eltrax Systems Inc (ES) merged with Cereus Technology Partners Inc (CT), a provider of hardware and software services, in a stock swap transaction valued at $128. 912 mil. ES offered 1.67 common shares per CT share. Based on ES's closing stock price of $7.5625 on June 12, the last full trading day prior to the announcement, each CT share was valued at $12.629. CT was to invest up to $5 mil in ES in a convertible subordinated note prior to the closing of the deal. CT was to have more than $12 mil to $13 mil in cash at closing. Both companies were to raise $20 mil in new cash through additional equity and/or the sale of some or all the ES's hospitality business. The transaction was expected to close by September 30, 2000.</t>
  </si>
  <si>
    <t>Wynn's International Inc</t>
  </si>
  <si>
    <t>Mnfr auto lubricants, products</t>
  </si>
  <si>
    <t>Parker Hannifin Corp</t>
  </si>
  <si>
    <t>Manufacture, wholesale fluid power system</t>
  </si>
  <si>
    <t>US - Parker Hannifin Corp (PHC) acquired all the outstanding common stock of Wynn's International Inc (WII) , a manufacturer of automotive lubricants, fuel additives, and automotive accessories, for $23 in cash per share, or a total value of $497.61 mil, including the assumption of $59 mil in liabilities Earlier, PHC completed its tender offer for WII, by accepting 18,262, 997 common shares, or about 97.72% of the company's common stock outstanding.</t>
  </si>
  <si>
    <t>US - NUI Corp acquired all the outstanding common stock of Virginia Gas Co, a provider oil and gas exploration services, for $4 per share in common stock, or a total value of $22.02 mil.</t>
  </si>
  <si>
    <t>IMP Inc</t>
  </si>
  <si>
    <t>Teamasia Semiconductors Ltd</t>
  </si>
  <si>
    <t>India</t>
  </si>
  <si>
    <t>US - Teamasia Semiconductors (India) Ltd (TS) raised its stake to 62% from 16.7%, or 1. 984 mil common shares, in IMP Ltd (IMP), a manufacturer of inorganic and biological products, for $.087 mil. Previously TS acquired a 16. 7% stake in IMP.</t>
  </si>
  <si>
    <t>International Aluminum Corp</t>
  </si>
  <si>
    <t>Mnfr metal doors,sash frames</t>
  </si>
  <si>
    <t>Columbia Ventures Corp</t>
  </si>
  <si>
    <t>US - Columbia Ventures Inc (CV) made an unsolicited offer to acquire the remaining 93.65% interest, or 3.933 mil common shares, which it did not already own, in International Aluminum Corp (IA), a manufacturer of aluminum building products, for $18.25 in cash per common share, or a total value of $71.733 mil. The offer was rejected by the board of IA.</t>
  </si>
  <si>
    <t>USP Real Estate Invt Tr</t>
  </si>
  <si>
    <t>Aegon USA Realty Advisors Inc</t>
  </si>
  <si>
    <t>US - Aegon USA Realty Advisors acquired all the outstanding common stock of USP Real Estate Investment Trust for $6 a share, or a total value of $23.28 mil. USP had been exploring alternatives, including a possible sale of assets.</t>
  </si>
  <si>
    <t>AirTran Holdings Inc</t>
  </si>
  <si>
    <t>US - Trans World Airlines Inc terminated its negotiations to be planning to merge with AirTran Holdings Inc, a passenger airline company.</t>
  </si>
  <si>
    <t>US - Old Kent Financial Corp (OK), Grand Rapids, Michigan acquired Home Bancorp Inc (HB) , Fort Wayne, Indiana , a bank holding company, in a stock swap transaction valued at an amended $38.458 mil. OK offered .6945 shares per HB share. Based on OK's closing stock price of $27.125 on October 13, the last full trading day prior to the announcement of the amendment, each HB share was valued at $18.838. Originally, OK offered .6614 shares per HB share. Based on OK's closing stock price of $29.625 on June 15, the last full trading day prior to the announcement of the deal, each HB share was valued at $19.59.</t>
  </si>
  <si>
    <t>NVEST LP</t>
  </si>
  <si>
    <t>CDC Asset Management Europe</t>
  </si>
  <si>
    <t>Pvd asset management services</t>
  </si>
  <si>
    <t>US - CDC Asset Management Europe, a unit of Caisse des Depots Group, acquired all the outstanding limited partnership units, general partnership units and operating partnership units of Nvest LP (NV), a provider of Investment management services, and its operating partnership Nvest Companies LP, for $40 in cash per unit, or a total value of $2.186 bil, including the assumption of $311 mil in liabilities. MetLife Inc, which had a 48% stake in NV, received $858 mil, and other partners, who had a 38% stake in NV, received $680 mil. The transaction included 6.3 mil NV common shares, or 14%, that was publicly traded. After completion, NV planned to be renamed CDC Asset Management-North America in the first quarter of 2001 . The combined firm had over $300 bil in assets under management.</t>
  </si>
  <si>
    <t>Mission Orchard Statutory</t>
  </si>
  <si>
    <t>Statutory trust</t>
  </si>
  <si>
    <t>US - Mission Orchard Statutory Trust (MOS) acquired all the outstanding common stock of Pacific Gateway Properties (PGP), an owner and operator of apartment buildings, for $12. 7 in cash per share, or a total value of $53.76 mil. Originally, MOS offered between $12.60 and $12.80 per share. The agreement had provided for a reserve of an estimated $.20 per share for certain additional potential adjustments relating to transaction expenses, any potential unanticipated casualty losses, or changes in PGP's balance sheet at the time of the closing. Based on a preliminary consolidated balance sheet of the company as of the effective date of the merger, MOS agreed on a $. 10 true-up payment, bringing the price per share to $12.70. A final reconciliation was to be completed in accordance with the agreement, and a final true up payment may be made depending on the results of the final balance sheet reconciliation.</t>
  </si>
  <si>
    <t>United Asset Management Corp</t>
  </si>
  <si>
    <t>Old Mutual Life Assurance Co</t>
  </si>
  <si>
    <t>South Africa</t>
  </si>
  <si>
    <t>US - Old Mutual PLC (OMT) acquired all the outstanding common stock of United Asset Management Corp (UAM), a provider of investment management services, for $25 in cash per share, or a total value of $1.457 bil. Earlier, OMT completed its tender offer for UAM by by accepting 53.270 mil common shares, or 94.3% of the total common stock outstanding. The offer was conditioned upon at least a majority of the shares being tendered on a fully- diluted basis. The transaction was to develop the combined company into a coordinated global asset management company.</t>
  </si>
  <si>
    <t>AppNet Inc</t>
  </si>
  <si>
    <t>Pvd e-business solutions svcs</t>
  </si>
  <si>
    <t>Commerce One Inc</t>
  </si>
  <si>
    <t>US - Commerce One Inc (CO) acquired AppNet Inc (AP), a provider of end-to-end e- business services and solutions, in a stock swap transaction valued at $1.478 bil. CO offered .8 common shares per AP share. Based on CO's closing stock price of $51.438 on June 19, the last full trading day prior to the announcement, each AP share was valued at $41.15. The transaction enhanced CO's ability to deliver e-commerce services and implement its business-to-business exchanges worldwide.</t>
  </si>
  <si>
    <t>Blaze Software Inc</t>
  </si>
  <si>
    <t>Pvd infrastrctr internet sftwr</t>
  </si>
  <si>
    <t>Brokat Infosystems AG</t>
  </si>
  <si>
    <t>Dvlp,whl Internet software</t>
  </si>
  <si>
    <t>US - Brokat Infosystems AG (BI) acquired Blaze Software Inc (BS), a provider of infrastructure internet software, in a stock swap transaction valued at $441. 118 mil. BI offered .1826 ordinary shares per BS share. Based on BI's closing stock price of $113.333 on June 19, the last full trading day prior to the announcement, each BI share was valued at $20.695,</t>
  </si>
  <si>
    <t>Hagler Bailly Inc</t>
  </si>
  <si>
    <t>PA Consulting Group Ltd</t>
  </si>
  <si>
    <t>Pvd mgmt,sys,tech consulting</t>
  </si>
  <si>
    <t>US - PA Consulting Group, a unit of Button Trust acquired all the outstanding common stock of Hagler Bailly Inc, a provider of management consulting services, for approximately $5.32 in cash per share or a total value of approximately $96.993 mil.</t>
  </si>
  <si>
    <t>US - Berkshire Hathaway Inc (BH) acquired all the outstanding common stock of Justin Industries Inc (JI), a manufacturer of brickface and concrete products, for $22 in cash per share, or a total value of $584.079 mil. Earlier, BH completed its tender offer by accepting approximately 24.7 mil common shares, or about 95.98% of JI's shares outstanding. The offer was conditioned upon at least 67% of JI's shares being tendered on a fully- diluted basis. Upon completion, JI was to become a wholly-owned subsidiary of BH and delist.</t>
  </si>
  <si>
    <t>US - Computer Sciences Corp (CS) acquired all the outstanding common stock of Mynd Corp (MC), formerly known as Policy Management Systems Corp a developer and wholesaler of insurance software, for $16 in cash per share, or a total value of $569.526 mil. Earlier, CS completed its tender offer for MC by accepting 32.178 mil shares, or 90% of MC's common shares outstanding. The offer was conditioned upon at least 66.67% of PMS's shares being tendered. Concurrently, Welsh Carson Anderson withdrew a challenging tender offer for MC. Previously, Electronic Data Systems withdrew its challenging offer for MC.</t>
  </si>
  <si>
    <t>US - Newmont Mining Corp (NM) acquired Battle Mountain Gold Co (BM), a provider of gold and silver mining services, in a stock swap transaction valued at $794. 213 mil, including the assumption of $199 mil in liabilities. NM offered .105 shares per BM share. Based on NM's closing stock price of $23.063 on June 20, the last full trading day prior to announcement, each BM share was valued at $2.422. The transaction was to be accounted for as a pooling of interests.</t>
  </si>
  <si>
    <t>Burr-Brown Corp</t>
  </si>
  <si>
    <t>Mnfr microelectronic component</t>
  </si>
  <si>
    <t>US - Texas Instruments Inc (TI) acquired Burr-Brown Corp (BB), a manufacturer of microelectronic components and semiconductor chips, in a stock swap transaction valued at $6.956 bil. TI offered 1.3 shares per BB share. Based on TI's closing stock price of $86.875 on June 20, the last full trading day prior to announcement, each BB share was valued at $112.938. The transaction was accounted for as a pooling of interests. The acquisition supported TI's strategy to become a leader in producing analogue semiconductors that were used with its premier product, digital signal processors.</t>
  </si>
  <si>
    <t>Dynamic Homes Inc</t>
  </si>
  <si>
    <t>Mnfr prefabricated wood bldgs</t>
  </si>
  <si>
    <t>US - An investor group including three directors acquired all the outstanding common stock of Dynamic Homes Inc, a manufacturer of prefabricated wood buildings, for $2.55 in cash per share, or a total value of $5.714 mil, in a leveraged buyout transaction. The transaction was expected to be completed by September 30, 2000.</t>
  </si>
  <si>
    <t>Fieldworks Inc</t>
  </si>
  <si>
    <t>Mnf computing platforms</t>
  </si>
  <si>
    <t>Kontron Embedded Computers AG</t>
  </si>
  <si>
    <t>Mnfr,whl computers</t>
  </si>
  <si>
    <t>US - Kontron Embedded Computers AG of Germany acquired a 51% interest, or 4. 536 mil common shares, in Fieldworks Inc, manufacturer of computing platforms, for $5.4 mil.</t>
  </si>
  <si>
    <t>US - G C Associates Holding Corp (GCH) definitively agreed to acquire the remaining 31.2% stake, or . 338 mil common shares, which it did not already own, in American Educational Products Inc (AEP), a provider of educational video services, for $10 per share, or a total value of $4.993 mil. GCH planned to merge AEP with its Nasco International Inc unit.</t>
  </si>
  <si>
    <t>Dreyfus Strategic Govt Income</t>
  </si>
  <si>
    <t>Dreyfus A Bonds Plus Inc</t>
  </si>
  <si>
    <t>US - Dreyfus A Bonds Plus Inc merged with Dreyfus Strategic Government Income Inc (DSG), a closed-end investment fund. Upon completion, DSG was delisted from the New York Stock Exchange.</t>
  </si>
  <si>
    <t>PSS World Medical Inc</t>
  </si>
  <si>
    <t>Whl med equip,supplies,pharm</t>
  </si>
  <si>
    <t>US - Fisher Scientific International Inc (FS), a majority-owned unit of Thomas H Lee Co, terminated its definitive agreement to acquire PSS World Medical Inc(PSS), a wholesaler of medical equipment, in a stock swap transaction valued at $841.332 mil. FS offered . 3121 shares per PSS share. Based on FS's closing stock price of $38 on June 21, the last full trading day prior to announcement, each PSS share was valued at $11.859.</t>
  </si>
  <si>
    <t>US - Conagra Inc definitively acquired International Home Foods Inc, a producer and wholesaler of canned food products, for $11 in cash and $11 in common stock per share, or a total value of $3.036 bil, including the assumption of $1.3 bil in liabilities, subject to a collar agreement.</t>
  </si>
  <si>
    <t>Johns Manville Corp</t>
  </si>
  <si>
    <t>Mnfr bldg,equipment insulation</t>
  </si>
  <si>
    <t>US - An investor group, led by Hicks Muse Tate &amp; Furst Inc and Bear Stearns Merchant Banking and including management, withdrew its definitive agreement to acquire all the outstanding common stock of Johns Manville Corp (JMC), a manufacturer of fiber glass and lumber products, for $3. 028 bil, including the assumption of approximately $700 mil in liabilities, in a leveraged buyout transaction. The consideration was to consist of $13.625 in cash and $2 in preferred stock with a 13% dividend rate per JMC share. Originally in January 1999, JMC announced that it was seeking a buyer for the company.</t>
  </si>
  <si>
    <t>Professionals Group Inc</t>
  </si>
  <si>
    <t>Pvd insurance coverage svcs</t>
  </si>
  <si>
    <t>Medical Assurance Inc</t>
  </si>
  <si>
    <t>US - Medical Assurance Inc (MAI) merged with Professionals Group Inc (PGI), an insurance company, to form ProAssurance Corp (PA) in a stock swap transaction valued at $248.815 mil. MAI offered a choice of $27.47 in cash or a combination of $13. 47 in cash and .897 PA common shares per PGI share held. MAI common shareholders were to receive 1 PA common share per MAI share held. Upon completion, PA was to be the third largest provider of medical malpractice insurance in the US.</t>
  </si>
  <si>
    <t>Nabisco Holdings Corp(Nabisco)</t>
  </si>
  <si>
    <t>US - Philip Morris Cos Inc (PM) acquired all the outstanding common stock of Nabisco Holdings Corp (NHC), a majority-owned unit of Nabisco Group Holdings Corp (NGH) that produces and wholesales cookies, crackers, cereal, candy, and other food products, for $55 in cash per share, or a total value of $19.275 bil, including the assumption of $4 bil in liabilities. Upon completion, PM planned to combine NHC with its Kraft Foods Inc unit and undertake an IPO for less than 20% of the company. Concurrently, RJ Reynolds Tobacco Holdings Inc acquired all the outstanding common stock of NGH. The transaction was contingent upon the successful completion of PM's acquisition of NHC.</t>
  </si>
  <si>
    <t>RJ Reynolds Tobacco Holdings</t>
  </si>
  <si>
    <t>Mnfr cigarettes,tobacco prod</t>
  </si>
  <si>
    <t>US - RJ Reynolds Tobacco Holdings Inc (RJ) acquired all the outstanding common stock of Nabisco Group Holdings Corp (NGH), a holding company and producer and wholesaler of cookies, crackers, cereal, candy, and other food products, for $30 per share, or a total value of $11.065 bil. Concurrently, Philip Morris (PM) acquired all the outstanding common stock of Nabisco Holdings Corp (NHC), a majority-owned unit of NGH. RJ's acquisition of NGH was to be contingent upon the successful completion of PM's acquisition of NHC. Previously, Mr. Carl Icahn made, and subsequently withdrew, an unsolicited offer to acquire the remaining 90.4% interest, which he did not already own, in NGH.</t>
  </si>
  <si>
    <t>US - Trustco Bank NY, Schenectady, New York (TB) withdrew its unsolicited challenging offer to acquire Cohoes Bancorp Inc, Cohoes, New York (CB) in a stock swap transaction valued at an amended $142.421 mil. TB offered $10.8 in cash and $7. 2 in common stock per CB common share. Originally, TB offered $16 in common stock per share, or a total value of $126.596 mil. CB rejected the offer. Concurrently, TB made an unsolicited offer to acquire Hudson River Bancorp, Hudson, New York (HRB) in a stock swap transaction. Previously, HRB definitively agreed to acquire CB in a stock swap transaction which was withdrawn. Subsequently, HRB agreed to acquire CB in a new offer, TB withdrew it's offer as a result of this.</t>
  </si>
  <si>
    <t>US - Ambanc Holding Co (AH), Amsterdam, New York launched an unsolicited hostile challenging tender offer to acquire all the outstanding common stock of Cohoes Bancorp Inc (CBI), Cohoes, New York, a bank holding company, for a sweetened $16. 50 per share in cash, or a total value of $130.552 mil. The offer was conditioned upon at least a majority of the shares being tendered on a fully-diluted basis. Previously, AH made an unsolicited hostile challenging offer to acquire all the outstanding common stock of CBI for $15.25 in cash per share, or a total value of $120.661 mil. Earlier, Hudson River Bancorp Inc (HRB), Hudson, New York definitely agreed to acquire CBI in a stock swap transaction valued at $97.275 mil. HRB offered 1.185 share per CBI share. Also, Trustco Bank Corp (TB), made an unsolicited challenging offer to acquire CBI. TB offered $16 in common stock per CBI share. CBI rejected the offer. Subsequently, TB offered $10. 8 in cash and $7.2 in common stock per CBI common share, valued at an amended $142.421 mil.</t>
  </si>
  <si>
    <t>HomeGrocer.com</t>
  </si>
  <si>
    <t>Pvd online grocery shopping</t>
  </si>
  <si>
    <t>WebVan Group Inc</t>
  </si>
  <si>
    <t>Online grocery store</t>
  </si>
  <si>
    <t>US - WebVan Group Inc (WV) acquired all the outstanding common stock, including a 27. 6% stake held by Amazon.com Inc, of HomeGrocer.com (HG), a provider of online grocery shopping services, in a stock swap transaction valued at $1. 203 bil. WV offered 1.07605 shares per HG share. Based on WV's closing stock price of $8.719 on June 23, the last full trading day prior to announcement, each HG share was valued at $9.382. Upon completion, HG was to change its name to Webvan Group Inc.</t>
  </si>
  <si>
    <t>US - Trustco Bank Corp NY, Schenectady, New York (TB) withdrew its unsolicited offer to acquire Hudson River Bancorp Inc, Hudson, New York (HRB), a savings and loan and bank holding company, in a stock swap transaction valued at $268.392 mil. TB offered a sweetened $10.20 in cash per share and $6.80 in common stock per HRB share. Originally, TB offered $14 in common stock per share, or a total value of $218.406 mil. The offer was rejected by HRB. Concurrently, TB made an unsolicited challenging offer to acquire Cohoes Bancorp Inc, Cohoes, New York (CB) in a stock swap transaction. Previously, HRB definitively agreed to acquire CB in a stock swap transaction, which was withdrawn. Subsequently, HRB made agreed to acquire CB in a revised offer. TB withdrew its offer for HRB as a result.</t>
  </si>
  <si>
    <t>Lilly Industries Inc</t>
  </si>
  <si>
    <t>Mnfr industrial finishings</t>
  </si>
  <si>
    <t>Valspar Corp</t>
  </si>
  <si>
    <t>Mnfr,wholesale paints,coatings</t>
  </si>
  <si>
    <t>US - Valspar Corp acquired all the outstanding common stock of Lilly Industries Inc, a manufacturer of industrial finishings, for $31.75 in cash per share, or a total value of $955.269 mil, including the assumption of $213 mil in liabilities.</t>
  </si>
  <si>
    <t>Reliant Interactive Media Corp</t>
  </si>
  <si>
    <t>Direct marketing co</t>
  </si>
  <si>
    <t>Teleservices Internet Group</t>
  </si>
  <si>
    <t>US - Teleservices Internet Group (TIG) withdrew its definitive agreement to acquire all the outstanding common stock of Reliant Interactive Media Corp, an Internet direct marketing company, in exchange for 3.5 mil common shares valued at $6.563 mil. The shares were valued based on TIG's closing stock price of $1.875 on June 23, the last full trading day prior to the announcement.</t>
  </si>
  <si>
    <t>Queens County Bancorp Inc,NY</t>
  </si>
  <si>
    <t>US - Queens County Bancorp Inc (QCB) acquired Haven Bancorp Inc, Woodhaven, New York (HB), a bank holding company, in a stock swap transaction valued at $187. 167 mil. QCB offered 1.04 common shares per HB share. Based on QCB's closing stock price of $18.5 on June 26, the last full trading day prior to the announcement, each HB share was valued at $19.24. Upon completion, the combined company was to be named New York Community Bancorp Inc and to trade on the Nasdaq Stock Market under the ticker symbol "NYCB". A 2 mil share stock repurchase program was part of the transaction.</t>
  </si>
  <si>
    <t>Jupiter Communications Inc</t>
  </si>
  <si>
    <t>Pvd research services</t>
  </si>
  <si>
    <t>Media Metrix Inc</t>
  </si>
  <si>
    <t>Pvd market research services</t>
  </si>
  <si>
    <t>US - Media Metrix Inc (MM) merged with Jupiter Communications In (JC), a provider of research services, in a stock swap transaction valued at $476.52 mil. MM offered .946 common shares per JC share. Based on MM's closing stock price of $28.25 on June 26, the last full trading day prior to the announcement, each JC share was valued at $26.73. Upon completion, the merged company was renamed Jupiter Media Metrix (JMM). JMM was to provide Internet- measurement, analysis, events and advice to businesses.</t>
  </si>
  <si>
    <t>National-Standard Co</t>
  </si>
  <si>
    <t>Mnfr wire,metal products</t>
  </si>
  <si>
    <t>US - Heico Holding Inc (HHI) merged with National-Standard Co (NS) for $1 in cash per share, or a total value of $5. 789 mil. Previously, HHI completed its tender offer by accepting 4,721,759 shares, or 81.57% of the company's common stock outstanding. The offer was conditioned upon at least a majority of NS's shares being tendered.</t>
  </si>
  <si>
    <t>Quest Education Corp</t>
  </si>
  <si>
    <t>Own,operate vocational schools</t>
  </si>
  <si>
    <t>Kaplan Inc</t>
  </si>
  <si>
    <t>Pvd educ,career training svcs</t>
  </si>
  <si>
    <t>US - Kaplan Inc (KA), a unit of Washington Post Co, acquired all the outstanding common stock of Quest Education Corp (QE), an owner and operator of vocational schools, for $18.25 per share, or a total value of $157.118 mil. Earlier, KA completed its tender offer for QE by accepting 7.825 mil common shares, or about 98.3% of the common shares outstanding. The offer was conditioned upon at least 51% of QE's shares being tendered. The transaction was to increase KA's educational operations, allowing the company to offer regionally accredited associate and baccalaureate degrees.</t>
  </si>
  <si>
    <t>Scripps Financial Corp</t>
  </si>
  <si>
    <t>US - US Bancorp, Minneapolis, Minnesota (USB) acquired Scripps Financial Corp, San Diego, California (SFC), a savings and loan bank, in a stock swap transaction valued at $155.232 mil. USB offered 1.067 shares per SFC share. Based on USB's closing stock price of $20.625 on June 26, the last full trading day prior to announcement, each SFC share was valued at $22. 01.</t>
  </si>
  <si>
    <t>Tech-Sym Corp</t>
  </si>
  <si>
    <t>Mnfr electronics equipment</t>
  </si>
  <si>
    <t>Integrated Defense Tech</t>
  </si>
  <si>
    <t>Mnfr defense related equipment</t>
  </si>
  <si>
    <t>US - Integrated Defense Technologies Inc, a unit of Veritas Capital Partners' Veritas Capital Fund LP subsidiary, acquired all the outstanding common stock of Tech-Sym Corp (TS), a manufacturer of electronics equipment, for $30 in cash per share, or a total value of $93.012 mil in a leveraged buyout transaction. Upon completion, TS stock was to no longer be publicly traded.</t>
  </si>
  <si>
    <t>CFM Technologies Inc</t>
  </si>
  <si>
    <t>Mnfr specialty industry mach</t>
  </si>
  <si>
    <t>Mattson Technology Inc</t>
  </si>
  <si>
    <t>Mnfr,whl semiconductor equip</t>
  </si>
  <si>
    <t>US - Mattson Technology Inc (MT) acquired CFM Technologies Inc (CFM), a manufacturer of specialty industry machine, in a stock swap transaction valued at $177.751 mil. MT offered . 5223 shares per CFM share. Based on MT's closing stock price of $39.50 on June 27, the last full trading day prior to announcement, each CFM share was valued at $20. 63. Concurrently, MT agreed to acquire the semiconductor equipment division of STEAG AG of Germany in a deal valued at $468.075 mil. The two deals were mutually conditioned on one another.</t>
  </si>
  <si>
    <t>Canisco Resources Inc</t>
  </si>
  <si>
    <t>Kenny Industrial Services LLC</t>
  </si>
  <si>
    <t>Pvd industrial maintenance svc</t>
  </si>
  <si>
    <t>US - Kenny Industrial Services LLC (KI) acquired all the outstanding common stock of Canisco Resources Inc (CR), a provider of neclear power engineering and consulting services, for $1 in cash per share, or a total value of $2.537 mil. Earlier, KIS completed its tender offer for CR by accepting 2, 242,863 commons shares, or about 88.42% of CR's common stock outstanding. The offer was conditioned upon at least a majority of CR's shares being tendered on a fully- diluted basis.</t>
  </si>
  <si>
    <t>Central Newspapers Inc</t>
  </si>
  <si>
    <t>Gannett Co Inc</t>
  </si>
  <si>
    <t>US - Gannett Co Inc (GC) acquired all the outstanding common stock of Central Newspapers Inc (CN), for $64 in cash per Class A common share and $6.40 in cash per Class B common share, or a total value of $2.446 bil, including the assumption of an undisclosed amount in liabilities. Previously, GC completed its tender offer by accepting approximately 32 mil Class A shares and approximately 49 mil Class B shares, or 93.13% of CN's Class A and Class B common shares. CN had 32.681 mil Class A shares and 55.356 mil Class B shares outstanding. The offer was to be conditioned upon at least a majority of CN's shares being tendered. The transaction was expected to be completed by September 30, 2000, and does not require approval by the Federal Communications Commission because no broadcast licenses are being transferred.</t>
  </si>
  <si>
    <t>US - Tyco International Ltd (TI) acquired all the outstanding common stock of Mallinckrodt Inc, a manufacturer of diagnostic products, in a stock swap transaction valued at $4.393 bil, including the assumption of $1.1 bil in liabilities. TI offered .9384 common shares per MI share. Based on TI's closing stock price of $50.313 on October 16, the last full trading day prior to the announcement, each MI share was valued at $47.214. Previously, TI offered $47.50 in common stock per MI share. The exact exchange ratio was to be based on the volume weighted average prices of TI shares on the market for the five consecutive trading days ending on the day before the conditions to the acquisition were satified.</t>
  </si>
  <si>
    <t>Prentiss Properties Trust</t>
  </si>
  <si>
    <t>Mack-Cali Realty Corp</t>
  </si>
  <si>
    <t>US - Mack-Cali Realty Corp (MCR) withdrew its agreement to acquire Prentiss Properties Trust (PPT) in a stock swap transaction valued at $2.288 bil, including the assumption of $1.25 bil in liabilites. MCR offered .956 common shares per PPT share. Based on MCR's closing stock price of $27 on June 27, the last full trading day prior to the announcement, each PPT share was valued at $26.055. Subsequently, PPT planned to acquire the Cielo Center, located in Austin, Texas, from MCR for $47.175 mil, as a result of the termination agreement, which also included a $25 mil break-up fee to PPT.</t>
  </si>
  <si>
    <t>Columbia Laboratories Inc</t>
  </si>
  <si>
    <t>US - In June 2000, Columbia Laboratories, a manufacturer of pharmaceutical products, announced that it was seeking a buyer for the company. The company hired Banc of America Securities LLC to explore "strategic options" for the company to boost shareholder value, including a possible sale or merger of the drug concern.</t>
  </si>
  <si>
    <t>Interface Systems Inc</t>
  </si>
  <si>
    <t>US - Tumbleweed Communications Corp(TC) acquired Interface Systems Inc(IS), a manufacturer of computer printers, in a stock swap transaction valued at $70.377 mil. TC offered .264 shares per IS share. Based on TC's closing stock price of $50.50 on June 28, the last full trading day prior to the announcement, each IS share was valued at $13.332.</t>
  </si>
  <si>
    <t>US - Deutsche Telekom AG was rumored to be planning to acquire all the outstanding common stock of Sprint Corp, a provider of telecommunications services. The Current status of this deal is unknown.</t>
  </si>
  <si>
    <t>Utilx Corp</t>
  </si>
  <si>
    <t>Pvd pipe installation svcs</t>
  </si>
  <si>
    <t>Infrastrux Group Inc</t>
  </si>
  <si>
    <t>Pvd specialty svcs</t>
  </si>
  <si>
    <t>US - Infrastrux Group Inc (IG) acquired all the outstanding common stock of Utilx Corp (UC), a provider of cable and pipe installation, for $6.125 in cash per share, or a total value of $49.58 mil. Previously IG completed its tender offer by accepting 6. 487 mil common shares, or 87% of the total outstanding. The offer was conditioned upon at least 67% of UC's shares being tendered. If the tender was successful, it would be followed as promptly as possible by a merger in which any remaining shares of UC stock were to be converted into the right to receive $6. 125 in cash per share.</t>
  </si>
  <si>
    <t>Bangor Hydro-Electric Co</t>
  </si>
  <si>
    <t>NS Power Hldg Inc</t>
  </si>
  <si>
    <t>US - Emera Inc (EI), formerly NS Power Holdings Inc, acquired all the outstanding common stock of Bangor Hydro-Electric Co (BGR) , an electric utility, for a sweetened $26.806 in cash per share, or a total value of $230.064 mil. Originally, EI offered $26.50 in cash per share, or a total value of $227.306 mil.</t>
  </si>
  <si>
    <t>Circle International Group Inc</t>
  </si>
  <si>
    <t>Freight forwarding services</t>
  </si>
  <si>
    <t>EGL Inc</t>
  </si>
  <si>
    <t>Pvd freight forwarding svcs</t>
  </si>
  <si>
    <t>US - EGL Inc (EG) acquired Circle International Group Inc (CG), a provider of freight forwarding services, in a stock swap transaction valued at $558.661 mil. EG offered 1 common share per CG share. Based on EG's closing stock price of $30.75 on June 30, the last full trading day prior to the announcement, each CG share was valued at $30.75. The transaction was accounted for as a pooling of interests. Upon completion, EG shareholders were to own about 63% and CG shareholders were to own about 37% of the combined company's outstanding shares.</t>
  </si>
  <si>
    <t>AHT Corp</t>
  </si>
  <si>
    <t>BioShield Technologies Inc</t>
  </si>
  <si>
    <t>Research and development firm</t>
  </si>
  <si>
    <t>US - BioShield Technologies Inc (BT) withdrew its agreement to acquire AHT Corp (AT), a provider of healthcare management services, in a stock swap transaction valued at an amended $12 mil in cash. The consideration was also to include $3.5 mil in restricted common shares. Previously, BT offered $1.75 in common stock per AT share.</t>
  </si>
  <si>
    <t>David's Bridal Inc</t>
  </si>
  <si>
    <t>Own,op womens clothing store</t>
  </si>
  <si>
    <t>US - May Department Stores Co (MD) acquired all the outstanding common stock of David's Bridal Inc (DB), an owner and operator of women's clothing stores, for $20 in cash per share, or a total value of $412.758 mil. Earlier, MD completed its tender offer to acquire DB by accepting 19,376,367 shares, or about 99.79% of the company's common stock outstanding. The offer was conditioned upon at least a majority of DB's shares being tendered.</t>
  </si>
  <si>
    <t>Atlantic Financial,Corp,VA</t>
  </si>
  <si>
    <t>US - F&amp;M National Corp, Wincester, Virginia, (FM) merged with Atlantic Financial Corp, Newport News, Virginia (AT), a commercial bank, in a stock swap transaction valued at $71.715 mil. FM offered .753 common shares per AT share. Based on FM's closing stock price of $22.375 on July 6, the last full trading day prior to the announcement, each AT share was valued at $16.848. The transaction was accounted for as a pooling of interests.</t>
  </si>
  <si>
    <t>Engineering Measurements Co</t>
  </si>
  <si>
    <t>Mnfr flow measurement devices</t>
  </si>
  <si>
    <t>US - Advanced Energy Industries Inc (AE) acquired all the outstanding common stock of Engineering Measurements Co, a manufacturer of flow measurement devices, for an amended $7.09 in cash per common share, or a total value of $30.024 mil. Originally AE offered .9 mil common shares valued at $47. 419 mil. The transaction was accounted for as a pooling of interests.</t>
  </si>
  <si>
    <t>Arrow-Magnolia International</t>
  </si>
  <si>
    <t>Whl chemicals,janitor's equip</t>
  </si>
  <si>
    <t>US - Bioshield Technologies Inc (BT) withdrew its agreement to acquire an 85% interest, or 2.761 mil common shares, in Arrow-Magnolia International Inc (AM), a wholesaler of chemicals and janitor's equipment and supplies, for $4.41 in cash and .05221common shares per share, or a total value of $13.628 mil. Based on BT's closing stock price of $10. 0625 on July 6, the last full trading day prior to the announcement, and the $4.41 in cash per share offered, each AM share was valued at $4.9354. The transaction was expected to close by September 30, 2000.</t>
  </si>
  <si>
    <t>Brenton Banks,Des Moines,IA</t>
  </si>
  <si>
    <t>US - Wells Fargo &amp; Co, San Francisco, California acquired all the outstanding common stock of Brenton Banks Inc, Des Moines, Iowa, a bank holding company, for $12.56 in cash per share, or a total value of $255.688 mil.</t>
  </si>
  <si>
    <t>CheckFree Corp</t>
  </si>
  <si>
    <t>Pvd electronic billing svcs</t>
  </si>
  <si>
    <t>US - An investor group, comprised of Microsoft Corp, First Data Corp, and Citibank NA, agreed to acquire all the outstanding common stock of CheckFree Holdings Corp, a provider of ecommerce bill paying services.</t>
  </si>
  <si>
    <t>Invitrogen Corp</t>
  </si>
  <si>
    <t>US - Invitrogen Corp (IC), acting as a white-knight, acquired all the outstanding common stock of Dexter Corp (DC), a manufacturer of adhesives coatings, for a choice of $62.50 in cash per share or $17.50 in cash per share and $45 in IC common share, or a total value of $1. 468 bil, subject to a collar agreement whereby the cash portion of the transaction had to be up to a maximum of 28% of the total consideration. Concurrently, IC agreed to acquire the remaining 25% stake, which it did not already own, in Life Technologies Inc, a 75% owned unit of DC, for $375.931 mil. Previously, International Specialty Products Inc (ISP), launched an unsolicited hostile tender offer to acquire the remaining 90.02% interest or 20.742 mil common share, which it did not already own, in DC for an amended $45 per share or a total value of $945.312 mil. Upon the announcement of IC acquiring DC, ISP decided to terminate it's offer.</t>
  </si>
  <si>
    <t>US - Invitrogen Corp (IC) acquired the remaining 25% stake, or 6.266 mil common shares, which it did not already own, in Life Technologies Inc(LT), a manufacturer of Biological and medical products, for $60 in cash per share, or a total value of $401.658 mil. IC offered a choice of $60 in cash per LT share, or $16.8 in cash and .72 common shares per LT share, or 1 common share per LT share. Concurrently, IC, acting as a white knight made a challenging offer to acquire all the outstanding common stock of Dexter Corp (DC), for a choice of $62.50 in cash per share or $17.50 in cash and $45 in common stock per share, or a total value of $1.444 bil, subject to a collar agreement. DC owns a 75% interest n LT, the transaction was to include this interest in LT. This transaction is contigent upon IC acquiring DC.</t>
  </si>
  <si>
    <t>Advanced Magnetics Inc</t>
  </si>
  <si>
    <t>US - Cytogen Corp (CY) terminated its agreement to acquire all the outstanding common stock of Advanced Magnetics Inc (AM), a manufacturer of medical diagnostic products based on magnetic particle technology, in a stock swap transaction valued at $59.643 mil. CY offered $8.75 in common stock per AM share, subject to a collar agreement. The transaction was to be accounted for as a pooling of interests.</t>
  </si>
  <si>
    <t>Barnett Inc</t>
  </si>
  <si>
    <t>Whl plumbing, electrical equip</t>
  </si>
  <si>
    <t>US - Wilmar Industries Inc acquired all the outstanding common stock of Barnett Inc (BI), a wholesaler of plumbing and electrical equipment for $13.15 in cash per share, or a total value of $214.006 mil. The transaction included a 44.2% stake held by Waxman Industries, BI's former parent.</t>
  </si>
  <si>
    <t>Business Resource Group</t>
  </si>
  <si>
    <t>BR Holding Inc</t>
  </si>
  <si>
    <t>Special purpose acquisition co</t>
  </si>
  <si>
    <t>US - BR Holding Inc (BR),a unit of Bull Run Corp, acquired all the outstanding common stock Business Resource Group (BRG), a wholesaler of furniture, for $9.25 in cash per share, or a total value of $57.212 mil. Earlier, BR completed its tender offer for BRG by accepting 4.936 mil common shares, or 93.22% of the total outstanding. The offer was conditioned on at least 51% of the shares being tendered.</t>
  </si>
  <si>
    <t>Forest Oil Corp</t>
  </si>
  <si>
    <t>Oil,gas expl,production co</t>
  </si>
  <si>
    <t>US - Forest Oil Corp (FO) acquired Forcenergy Inc (FC), an oil and gas production and exploration company, in a stock swap transaction valued at $645.768 mil. FO offered 1. 6 common shares per FC share. Based on FO's closing stock price of $16 on July 7, the last full trading day prior to the announcement, each FC share was valued at $25.60. The transaction was accounted for as a pooling of interests.</t>
  </si>
  <si>
    <t>Premier Natl Bancorp Inc, NY</t>
  </si>
  <si>
    <t>Natl commercial bk;bk hldg co</t>
  </si>
  <si>
    <t>US - M&amp;T Bank Corp (M&amp;T), Buffalo, New York acquired all the outstanding common stock of Premier National Bancorp Inc (PNB), Lagrangeville, New York, a bank holding company, for $21 in cash or common stock per share, or a total value of $340.751 mil. The transaction was subject to proration whereby 50% of the total consideration was paid in cash and 50% at a exchange ratio of .3091in M&amp;T common stock. PNB's subsidiary, Premier National Bank merged into M&amp;T's Manufacturers and Traders Trust Co, subsidiary.</t>
  </si>
  <si>
    <t>SDL Inc</t>
  </si>
  <si>
    <t>Mnfr optical components</t>
  </si>
  <si>
    <t>US - JDS Uniphase Corp (JDS) acquired SDL Inc (SDL), a manufacturer of semiconductors, optoelectronic integrated circuits, and high power semiconductor lasers, in a stock swap transaction valued at $41.466 bil. JDS offered 3. 8 common shares per SDL share. Based on JDS' closing stock price of $116.1875 on July 7, the last full trading day prior to the announcement, each SDL share was valued at $441.513. SDL was to give JDS advanced technology and the knowledge to build the next generation of parts for communications networks. The merger was contingent upon Nortel Networks Corp of Canada completed acquisition of the Zurich based laser manufacturing unit of JDS. Originally in January 2000, JDS was rumored to be planning to acquire SDL.</t>
  </si>
  <si>
    <t>US - BB&amp;T Corp, Winston- Salem, North Carolina was rumored to be planning to acquire all the outstanding common stock of SouthTrust Corp, Birmingham, Alabama, a regional bank and holding company. The Current status of this deal is unknown.</t>
  </si>
  <si>
    <t>CNB Holdings Inc,Alpharetta,GA</t>
  </si>
  <si>
    <t>FNB Corp,Christianburg,VA</t>
  </si>
  <si>
    <t>US - FNB Corp, Christianburg, Virginia withdrew its agreement to acquire all the outstanding common stock of CNB Holdings Inc, a bank holding company, for $10.60 in cash per share or a total value of $11.695 mil., subject to a collar. FNB offered a choice of $10.60 in cash per share or a combination of cash and com whereby the total consideration had to be 50% cash and 50% common stock.</t>
  </si>
  <si>
    <t>US - Manor Care Inc (MCI) acquired the remaining 38.6% stake, or 2.131 mil common shares, which it did not already own, in Home Health Inc (IH), a provider of home health care services, for a sweetened $3.7 in cash per share, or a total value of $21.032 mil. Upon completion, IH was delisted from Nasdaq and became a wholly-owned unit of MCI. Previously, MCI offered $3.375 in cash per share, or a total value of $19.118 mil.</t>
  </si>
  <si>
    <t>UBS AG</t>
  </si>
  <si>
    <t>Provide investment banking services</t>
  </si>
  <si>
    <t>US - UBS AG (UBS) acquired PaineWebber Group Inc (PWG), an investment bank holding company, in a stock swap transaction valued at $12.243 bil. UBS offered $73.50 in a combination of cash and common stock per PWG share. The total consideration was to be 50% in cash and 50% in stock, with the exchange ratio of .4954 UBS common shares per PWG share. The acquisition increased the global reach of both companies and expand UBS' private client operations. General Electric and Yasuda Mutual Life, the two largest shareholders of PWG, supported the acquisition.</t>
  </si>
  <si>
    <t>Quantum Effect Devices Inc</t>
  </si>
  <si>
    <t>Develop microprocessors</t>
  </si>
  <si>
    <t>PMC-Sierra Inc</t>
  </si>
  <si>
    <t>US - PMC-Sierra Inc (PMC) acquired Quantum Effect Devices Inc (QED), a manufacturer of microprocessors used in network/communications infrastructure equipment , in a stock swap transaction valued at $2.017 bil. PMC offered .385 shares per QED share. Based on PMC's closing stock price of $196.438 on July 11, the last full trading day prior to announcement, each QED share was valued at $75.629. The transaction was to be accounted for as a pooling of interests. The acquisition was to develop PMC's microprocessor manufacturing capabilities and complement its existing product lines.</t>
  </si>
  <si>
    <t>Jones Pharmaceutical Inc</t>
  </si>
  <si>
    <t>Mnfr drug products, vitamins</t>
  </si>
  <si>
    <t>US - King Pharmaceuticals Inc (KP) acquired all the outstanding common stock of Jones Pharmaceutical Inc(JP), a manufacturer of drug products and vitamins, in a stock swap transaction valued at $3.523 bil. KP offered 1. 125 shares per JP share. Based on KP's closing stock price of $45.4375 on July 12, the last full trading day prior to the announcement, each JP share was valued at $51.117. The transaction was accounted for as a pooling of interests.</t>
  </si>
  <si>
    <t>General Bearing Corp</t>
  </si>
  <si>
    <t>Manufacture bearings</t>
  </si>
  <si>
    <t>US - A management-led investor group withdrew its agreement to acquire all the outstanding common stock of General Bearing Corp, a manufacturer of bearings, for $6.50 cash per share, or a total value of $25.5 mil, in a leveraged buyout transaction.</t>
  </si>
  <si>
    <t>Matrix Bancorp Inc,Denver,Co</t>
  </si>
  <si>
    <t>Thrift holding co</t>
  </si>
  <si>
    <t>Southwest Securities Group Inc</t>
  </si>
  <si>
    <t>US - Southwest Securities Group Inc (SG) terminated its agreement to acquire Matrix Bancorp Inc (MB), a bank holding company, in a stock swap transaction valued at $111.51 mil. SG offered .4715 shares per MB share. Based on SG's closing stock price of $34.438 on July 14, the last full trading day prior to announcement, each MB share was valued at $16.238.</t>
  </si>
  <si>
    <t>Triple S Plastics Inc</t>
  </si>
  <si>
    <t>Mnfr thermoplastic moldings</t>
  </si>
  <si>
    <t>Eimo Oyj</t>
  </si>
  <si>
    <t>US - Eimo (EO) withdrew an agreement to acquire all the outstanding common stock of Triple S Plastics Inc (TS), a manufacturer of thermoplastic moldings, in a reverse stock swap transaction valued at approximately $161 mil, subject to a collar agreement. The transaction was to be accounted for as a pooling of interests. Upon completion, TS shareholders were to own an estimated 39% stake in EO. Subsequently, EO was to apply for a listing of ADR's on the Nasdaq. If either party were to withdraw, a termination fee of up to $6.4 mil plus expenses was to be payable to the other side.</t>
  </si>
  <si>
    <t>Anesta Corp</t>
  </si>
  <si>
    <t>Dvlp cancer pain mgmt prods</t>
  </si>
  <si>
    <t>Cephalon Inc</t>
  </si>
  <si>
    <t>US - Cephalon Inc (CE) acquired Anesta Corp (AN), a manufacturer of pharmaceutical products, in a stock swap transaction valued at $452.59 mil. CE offered . 4765 shares per AN share. Based on CE's closing stock price of $66 on July 14, the last full trading day prior to announcement, each AN share was valued at $31.449. The transaction was to be accounted for as a pooling of interests.</t>
  </si>
  <si>
    <t>CareerBuilder Inc</t>
  </si>
  <si>
    <t>Pvd online recruitment svcs</t>
  </si>
  <si>
    <t>US - An investor group (IG), comprised of Knight Ridder Inc and Tribune Co, acquired all the outstanding common stock of CareerBuilder Inc (CB), a provider of online recruitment services, for $8 in cash per share, or a total value of $199.314 mil. Previously, IG completed its tender offer by accepting 23. 415 mil common shares, or 98. 33% of CB's common stock outstanding. The offer was conditioned upon at least a majority of CB's shares being tendered. Concurrently, IG agreed to acquire Careerpath. com (CP), a provider of ecommere career services. The CP transaction was subject to the closing of the CB transaction.</t>
  </si>
  <si>
    <t>Concentrex Inc</t>
  </si>
  <si>
    <t>US - John H Harland Co (JHH) acquired all the outstanding common stock of Concentrex Inc (CI), a developer and wholesaler of integrated PC- based software for financial institutions, for $7 per share, or a total value of $37.877 mil. Previously, JHH completed its tender offer by accepting 5,287,029 common shares, or about 97.71% of CI's common stock outstanding. The offer was conditioned upon at least a majority of CI's shares being tendered.</t>
  </si>
  <si>
    <t>Fort James Corp</t>
  </si>
  <si>
    <t>US - Georgia-Pacific Corp (GP) completed its tender offer to acquire all the outstanding common stock of Fort James Corp (FJ), a manufacturer of paper-related products, for $11.198 bil, including the assumption of $3.5 bil in liabilities, by accepting 197.860 mil common shares, or about 96% of the total outstanding, subject to a collar agreement. GP offered $29.60 in cash and . 2644 GP common shares per FJ share. Based on GP's closing stock price of $28.625 on July 14, the last full trading day prior to the announcement, each FJ share was valued at $37.168. The maximum value that was to be received by FJ shareholders was $40 per share, comprised of $29.60 in cash and $10.40 in GP common stock. Therefore, the 0.2644 GP common shares included in the offer was to be subject to downward adjustment in the event that GP's average share price was greater than $39.33. The offer was conditioned upon at least two-thirds of FJ's shares being tendered.</t>
  </si>
  <si>
    <t>Grove Property Trust</t>
  </si>
  <si>
    <t>US - Equity Residential Properties Trust (ER) acquired all the outstanding common stock of Grove Property Trust (GP), a real estate investment trust, for $17 in cash per share, or a total value of $391.332 mil, including the assumption of $244 mil in liabilities. Holders of GP's units were to have the option of selecting $17 in cash per unit or .3696 ER units per unit. Concurrently, a management- led investor group comprised of GP's executives agreed to acquire four existing retail shopping centers from GP, for $29.2 mil, including the assumption of $7.5 mil in liabilities.</t>
  </si>
  <si>
    <t>Harmon Industries Inc</t>
  </si>
  <si>
    <t>Mnfr RR safety,electn equip</t>
  </si>
  <si>
    <t>US - General Electric Co (GE) acquired all the outstanding common stock of Harmon Industries Inc (HI), a manufacturer of railroad safety and electrical equipment, in a stock swap transaction valued at $443. 481 mil, including the assumption of approximately $82.77 mil in liabilities, subject to a collar agreement. GE offered .527 GE common shares per HI share. Based on GE's closing stock price of $60 on August 28, the last full trading day prior to the announcement of the exact exchange ratio, each HI share was valued at $31.62. Previously, GE completed its tender offer by accepting 11. 271 mil common shares. The offer was conditioned upon at least 66.67% of HI's shares being tendered. Originally, GE offered $30 in common stock per HI share,subject to a collar agreement which was subsequently breached.</t>
  </si>
  <si>
    <t>US - AES Corp acquired IPALCO Enterprises Inc (IEI), an electric utility holding company, in a stock swap transaction valued at $3.056 bil, including the assumption of $890 in liabilities and preferred stock. AES offered $25 in common stock per IEI share, subject to a collar agreement. The transaction was accounted for as a pooling of interests.</t>
  </si>
  <si>
    <t>US - A management-led investor group comprised of shareholders Bruce L Newberg and Jon Brooks withdrew its plan to acquire the remaining 93% interest, which it did not already own, in Scherer Healthcare Inc, a manufacturer of pharmaceutical products, for $5 in cash per share, or a total value of $20.658 mil, in a leveraged buyout transaction.</t>
  </si>
  <si>
    <t>Ziff-Davis Inc(Softbank Corp)</t>
  </si>
  <si>
    <t>Pub computing related products</t>
  </si>
  <si>
    <t>CNET Networks Inc</t>
  </si>
  <si>
    <t>Pvd multi-media svcs</t>
  </si>
  <si>
    <t>US - CNET Networks Inc (CN) acquired all the outstanding common stock of Ziff-Davis Inc (ZD),a publisher of computing and Internet related technology literature and a majority-owned unit of Softbank Corp (SC), in a stock swap transaction valued at $1.509 bil. CN offered . 3397 common shares per ZD share, and .5932 common shares per ZDNet (ZDN) share. ZDN was the online business tracking stock of ZD. Based on CN's closing stock price on July 18, the last full trading day prior to the announcement, each ZD share was valued at $10.934 and each ZDN share was valued at $19.094. Upon completion, SC owned a 17% stake in the combined company and holders of ZD common stock owned approximately 35% stake. Concurrently, prior to the completionand as a condition of this transaction, ZD completed the spinoff of its remaining 82.3% interest in Key3Media Group Inc to its shareholders in a transaction valued at $307.625 mil.</t>
  </si>
  <si>
    <t>Carey International Inc</t>
  </si>
  <si>
    <t>Pvd transportation svcs</t>
  </si>
  <si>
    <t>US - An investor group (IG), including Chartwell Investments II LLC and Ford Motor Co, acquired all the outstanding common stock of Carey International Inc (CI), a provider of transportation services, for $18.25 in cash per share, or a total value of $189.806 mil. Previously, IG completed its tender offer by accepting 9.766 mil common shares, or 99.16% of the total shares outstanding in a leveraged buyout transaction. The offer was conditioned upon at least 50.1% of CI's shares being tendered.</t>
  </si>
  <si>
    <t>PDK Labs Inc</t>
  </si>
  <si>
    <t>Mnfr vitamins;coml research</t>
  </si>
  <si>
    <t>US - A management-led investor group comprised of PDK Labs Inc CEO and chairman of the Board, Reginald Spinello, Director Karine Hollander and CFO, Raveendra Nandigam planned to acquire the remaining 67% interest, or 2.55 mil common shares, which it did not already own, in PDK Labs Inc, a manufacturer of vitamins, for $16.439 mil. The consideration consisted of $5 in cash per common share or a total value of $12.754 mil and $8 in cash per preferred share or a total value of $3. 685 mil shares.</t>
  </si>
  <si>
    <t>Twin City Bancorp,Bristol,TN</t>
  </si>
  <si>
    <t>Citco Community Bancshares Inc</t>
  </si>
  <si>
    <t>US - Citco Community Bancshares Inc (CCB), Elizabethtown, Tennessee agreed to acquire all the outstanding common stock of Twin City Bancorp (TCB), Bristol, Tennessee, a commercial bank, for $17.15 in cash per share, or a total value of $20.186 mil.</t>
  </si>
  <si>
    <t>Bertelsmann AG</t>
  </si>
  <si>
    <t>US - Bertelsmann AG (BM) acquired all the outstanding common stock of CDNow Inc (CD) , an online retailer of compact discs and other music products, for $3 in cash per share, or a total value of an estimated $138.417 mil, including the assumption of approximately $40 mil in liabilities. Previously, BM completed its tender offer by accepting 25,757,825 shares, or 78.52% of CD's common stock outstanding. CD co- founders Jason Olim and Matthew Olim have agreed to tender their 5.8 mil shares, which represent approximately 17.7% of the company's shares outstanding. The offer was conditioned upon at least a majority of CD's shares being tendered.</t>
  </si>
  <si>
    <t>DaimlerChrysler AG</t>
  </si>
  <si>
    <t>Mnfr,whl passenger cars</t>
  </si>
  <si>
    <t>US - DaimlerChrysler AG (DCA) acquired the remaining 78.7% interest, or 18.217 mil common shares, which it did not already own, in Detroit Diesel Corp (DDC), a manufacturer of diesel and alternator engines, for $23 in cash per share, or a total value of $581.168 mil, including the assumption of $160 mil in liabilities. Previously, DCA completed its tender offer by accepting 17. 509 mil common shares, or about 97% of the total shares outstanding. Penske Corp, which holds a 48.6% stake in DDC, has committed to tender its shares to DCA. The transaction was expected to close by November 30, 2000 and was subject to US and European Union regulatory approval. The offer was to be conditioned upon at least a majority of DCA's shares being tendered on a fully- diluted basis.</t>
  </si>
  <si>
    <t>JLK Direct Distribution Inc</t>
  </si>
  <si>
    <t>Wholesale indl machinery</t>
  </si>
  <si>
    <t>US - Kennametal Inc (KI) acquired the remaining 17% stake, or 4.167 mil common shares, which it did not already own, in JLK Direct Distribution Inc (JLK), a wholesaler of industrial machinery, for a sweetended $8.75 in cash per share, or a total value of $36.458 mil. Earlier KI completed its tender offer for KI by accepting 4.141 mil shares, or 99.4% of JLK's common shares outstanding. Previously, KI offered $6.70 in cash per common share, or a total value of $27.917 mil.</t>
  </si>
  <si>
    <t>Drkoop.com Inc</t>
  </si>
  <si>
    <t>Own,op Internet health network</t>
  </si>
  <si>
    <t>MillenniumHealth</t>
  </si>
  <si>
    <t>US - MilleniumHealth Communications Inc terminated its signed a letter of intent to acquire all the outstanding common stock of DrKoop.com Inc, an Internet Service Provider {ISP}. Terms were not disclosed.</t>
  </si>
  <si>
    <t>ChiRex Inc</t>
  </si>
  <si>
    <t>Mnfr pharm chemicals</t>
  </si>
  <si>
    <t>Rhodia SA</t>
  </si>
  <si>
    <t>Mnfr specialty chem</t>
  </si>
  <si>
    <t>US - Rhodia SA (RH), a majority-owned unit of Rhone- Poulenc SA, acquired all the outstanding common stock of Chirex Inc (CH), a manufacturer of pharmaceuticals, for $31.25 in cash per share, or a total value of $509.832 mil. Previously, RH completed its tender offer by accepting 15. 057 mil common shares, or 98. 73% of the total shares outstanding. The offer was conditioned upon at least a majority of CH's shared being tendered.</t>
  </si>
  <si>
    <t>Community Independent Bank</t>
  </si>
  <si>
    <t>US - National Penn Bancshares Inc (NPB), Boyertown, Pennsylvania, acquired Community Independent Bank (CIB), Bernville, Pennsylvania , a commercial bank, in a stock swap transaction valued at $14.176 mil. NPB offered .945 shares per CIB share. Based on NPB's closing stock price of $21.25 on October 31, the last full trading day prior to announcement , each CIB share was valued at $19.688. The transaction was accounted for as a pooling of interests. Upon completion, NPB merged CIB's Bernville Bank subsidiary into the company's Berks County Division. Previously, NPB offered .9 shares per CIB share.</t>
  </si>
  <si>
    <t>Home Port Bancorp Inc</t>
  </si>
  <si>
    <t>Seacoast Finl Svcs Corp,MA</t>
  </si>
  <si>
    <t>Savings bank hldg co</t>
  </si>
  <si>
    <t>US - Seacoast Financial Services Corp (SF) acquired Home Port Bancorp Inc, Nantucket, Massachusetts, a savings bank holding company, for $37 in cash per share, or a total value of $68.824 mil.</t>
  </si>
  <si>
    <t>Phoenix Investment Partners</t>
  </si>
  <si>
    <t>Pvd investment,asset mgmt svcs</t>
  </si>
  <si>
    <t>Phoenix Home Life Mutual</t>
  </si>
  <si>
    <t>US - Phoenix Home Life Mutual Insurance Co (PHL), a unit of Phoenix Cos Inc, acquired the remaining 41% stake, or 25.3 mil common shares, which it did not already own, in Phoenix Investment Partners Ltd, a provider of investment and asset management services, for a sweetened $15.75 in cash per share, or a total value of $430.086 mil. Originally, in July 2000, PHL offered $12.50 in cash per share, or a total value of $331.034 mil.</t>
  </si>
  <si>
    <t>US - Deutsche Telekom AG (DT) acquired VoiceStream Wireless Corp (VS), a provider of commercial and personal cellular and communication services, in a stock swap transaction valued at an amended $29.404 bil, including the assumption of $5 bil in liabilities. DT offered $15.7262 in cash and 3.6693 ordinary shares per VS share. Originally, DT offered $30 in cash and 3.2 ordinary shares per VS share. Based on DT's closing stock price of $21.32 on May 30, the last full trading day prior to the announcement of the amended terms, each VS share was valued at $93.956. Under the agreement, VS can renegotiate the terms of the deal if DT's share price averages less than 33 euros ($30.776 US) for 7 days within 15 days prior to closure. Previously, Deutsche Telekom AG was rumored to be planning to acquire all the outstanding common stock of Voicestream Wireless Corp, a provider of commercial and personal cellular and communication services. Earlier, NTT Mobile Communications was rumored to be planning to acquire an estimated 20% stake in VS.</t>
  </si>
  <si>
    <t>Williams Communications Group</t>
  </si>
  <si>
    <t>Pvd fiber optic commun svcs</t>
  </si>
  <si>
    <t>US - Williams Cos Inc (WC) spun off its remaining 82.45% interest, or 398.5 mil common shares on a fully diluted basis, in its majority-owned Williams Communications Group Inc (WCG) unit, a provider of fiber optic communication services, to its shareholders in a transaction valued at an estimated $1.674 bil. WC shareholders received .8222 new WCG shares for evert WC share held. The shares were valued based on WCG's closing stock price of $4.2 on April 23, the first full trading day on which the shares were distributed. Previously, WC split off a 15% stake, or 68. 205 mil common shares, in WCG to investors in an initial public offering.</t>
  </si>
  <si>
    <t>US - Norton Co (NC), a unit of Cie De Saint-Gobain SA, merged with Chemfab Corp (CFC) , a manufacturer of polymer based products for $18.25 in cash per share, or a total value of $145.413 mil. Previously, NC completed its tender offer by accepting 7. 168 mil common shares, or 93% of the total shares outstanding. The offer was conditioned upon at least a majority of CFC's shares being tendered.</t>
  </si>
  <si>
    <t>Cabot Microelectronics Corp</t>
  </si>
  <si>
    <t>Develop abrasive chemicals</t>
  </si>
  <si>
    <t>US - Cabot Corp (CC) completed the spin off its 80. 5% interest in its Cabot Microelectronics Corp (CM) unit to its shareholders in a transaction valued at $919. 972 mil. CC shareholders received 1 new CM shares for every CC share held. The shares were valued based on CM's closing stock price of $49 on October 3, the first full trading day on which the shares were distributed. Previously, CC split off a 19. 5% stake in CM via an initial public offering.</t>
  </si>
  <si>
    <t>Go2Net Inc(Vulcan Ventures)</t>
  </si>
  <si>
    <t>InfoSpace Inc</t>
  </si>
  <si>
    <t>Dvlp mobile,PC software</t>
  </si>
  <si>
    <t>US - InfoSpace Inc (IS) acquired Go2Net Inc (G2), a provider of online services, from Vulcan Ventures Inc in a stock swap transaction valued at $4.079 bil. IS offered 1. 82 shares per G2 share. Based on IS' closing stock price of $46.313 on July 25, the last full trading day prior to announcement, each G2 share was valued at $84.29.</t>
  </si>
  <si>
    <t>TALBOT BANCSHARES INC</t>
  </si>
  <si>
    <t>Shore Bancshares Inc</t>
  </si>
  <si>
    <t>Pvd bk hldg svcs</t>
  </si>
  <si>
    <t>US - Shore Bancshares Inc (SHBI) acquired Talbot Bancshares Inc (TBI) in a reverse takeover stock swap transaction valued at $44.819 mil. SHBI offered 2.85 common shares per TBI share. Based on SHBI's closing stock price of $13 on July 18, the last full trading day prior to the announcement, each TBI share was valued at $37.5. The transaction was accounted for as a pooling of interests.</t>
  </si>
  <si>
    <t>US - Symbol Technologies Inc (ST) acquired Telxon Corp (TC) , a manufacturer of microcomputer systems, in a stock swap transaction valued at $570.787 mil. ST offered . 5 common shares per TC share. Based on ST's closing stock price of $49.875 on July 25, the last full trading day prior to the announcement, each TC share was valued at $24.938.</t>
  </si>
  <si>
    <t>Video Services Corp</t>
  </si>
  <si>
    <t>Provide motion picture svcs</t>
  </si>
  <si>
    <t>Liberty Livewire Corp</t>
  </si>
  <si>
    <t>US - Liberty Livewire Corp (LL), a majority-owned unit of Liberty Media Group, acquired Video Services Corp (VS), a provider of motion picture services, in a stock swap transaction valued at $138.276 mil. LL offered $2. 75 in cash and .104 common shares per VS Class A share. Based on LL's closing stock price of $66.5 on July 25 , the last full trading day prior to the announcement, each VS share was valued at $6.916.</t>
  </si>
  <si>
    <t>Symantec Corp</t>
  </si>
  <si>
    <t>Develops sec,sys mgmt software</t>
  </si>
  <si>
    <t>US - Symantec Corp (SC) acquired AXENT Technologies Inc (AT), a software developer, in a stock swap transaction valued at $988. 066 mil. SC offered .5 common shares per AT share. Based on SC's closing stock price of $63.688 on July 26, the last full trading day prior to announcement, each AT share was valued at $31.844.</t>
  </si>
  <si>
    <t>BFX Hospitality Group Inc</t>
  </si>
  <si>
    <t>US - A management-led investor group comprised of BFX Hospitality Group Inc (BFX) chairman and CEO Robert McLean acquired BFX, an owner and operater of hotels and restaurants, for $2.25 in per share or a total value of $9. 041 mil in a leveraged buyout transaction.</t>
  </si>
  <si>
    <t>Brookdale Living Communities</t>
  </si>
  <si>
    <t>Pvd residential care services</t>
  </si>
  <si>
    <t>Brookdale Living SPV</t>
  </si>
  <si>
    <t>US - An investor group, comprised of Fortress Investment Fund Group LLC (FI) and Capital Z Partners Ltd (CZ), acquired the remaining 60.238% interest, that it did not already own, in Brookdale Living Communities Inc (BLC), a provider of residential care services, for $15.25 in cash per share, or a total value of $90.58 mil. Earlier, FI and CZ completed its tender offer for BLC by accepting 5.489 mil common shares, or about 92.5% of the common stock outstanding. The offer was conditioned upon at least a majority of BLC's shares being tendered. Previously, in March 2000, FI acquired a 33.84% stake for $58.753 mil. The transaction included the value of the stake.</t>
  </si>
  <si>
    <t>Equality Bancorp Inc,St Louis,</t>
  </si>
  <si>
    <t>Allegiant Bancorp,St Louis,MO</t>
  </si>
  <si>
    <t>US - Allegiant Bancorp Inc (AB), located in St Louis, Missouri, acquired Equality Bancorp Inc, St Louis, Missouri (EB), a savings and loans, located in St Louis, Missouri, in a stock swap transaction valued at $24.181 mil. AB offered 1.118 common shares per EB share. Based on AB's closing stock price of $9 on July 26, the last full trading day prior to announcement, each EB share was valued at $10.062.</t>
  </si>
  <si>
    <t>US - BB&amp;T Corp (BB), Winston- Salem, North Carolina acquired FCNB Corp (FC), Frederick, Maryland, a commercial bank, in a stock swap transaction valued at $219.259 mil. BB offered .725 shares per FC Corp share. Based on BB's closing stock price of $25 on July 26, the last full trading day prior to announcement, each FC share was valued at $18.13. The transaction was accounted for as a pooling of interests.</t>
  </si>
  <si>
    <t>Mercury Waste Solutions Inc</t>
  </si>
  <si>
    <t>Pvd mercury waste recycle svcs</t>
  </si>
  <si>
    <t>EVTC Inc</t>
  </si>
  <si>
    <t>Whl ind chem</t>
  </si>
  <si>
    <t>US - Environmental Technologies Corp (ET) withdrew its agreement to acquire a 70% interest in Mercury Waste Solutions Inc (MW), a provider of hazardous waste disposal services, via a tender offer for $2.15 in cash per share, or a total value of $ 5.238 mil. ET also offered $1.95 in cash per MW restricted common shares and $.20 in restricted common stock. Upon completion, ET was to consummate a second- step merger whereby it was to contribute its ballast and fluorescent lamp recycling division, Full Circle, to MW in exchange for additional MW common stock</t>
  </si>
  <si>
    <t>Alteon Websystems Inc</t>
  </si>
  <si>
    <t>Pvd Internet solutions</t>
  </si>
  <si>
    <t>US - Nortel Networks Corp (NT) acquired Alteon WebSystems Inc (ATON), a provider of Internet infrastructure solutions, in a stock swap transaction valued at $7.057 bil. NT offered 1.831 common shares per ATON share. Based on NT's closing stock price of $78.50 on July 27, the last full trading day prior to the announcement, each ATON share was valued at $143.771. Upon completion, NT was to build the next generation Internet data center, capable of delivering content at unprecedented levels of speed.</t>
  </si>
  <si>
    <t>Undertherapy.com</t>
  </si>
  <si>
    <t>Pvd medical information svcs</t>
  </si>
  <si>
    <t>US - Undertherapy.com made an unsolicited bid to acquire all the outstanding stock of drkoop.com Inc, an owner and operator of a consumer health network that consists of a consumer-focused interactive website which provides users with comprehensive health information and services, as well as affiliate relationships with Internet portals, healthcare organizations and traditional media outlets. Terms were not disclosed.</t>
  </si>
  <si>
    <t>US - FPL Group Inc (FPL) withdrew an agreement to merge with Entergy Corp (EC), an electric and gas utility holding company, to form a new company (NC) in a stock swap transaction valued at $14.014 bil, including the assumption of $6.9 bil in liabilities. FPL common shareholders were to receive 1 NC common share and EC common shareholders were to receive .585 NC common shares per share held. Based on FPL's closing stock price of $52.813 on July 28, the last full trading day prior to the announcement, each EC share was valued at $30.896. Upon completion, FPL was to own 57% of NC, while EC was to own the remaining 43%.</t>
  </si>
  <si>
    <t>National Computer Systems Inc</t>
  </si>
  <si>
    <t>Mnfr optical mark reading sys</t>
  </si>
  <si>
    <t>Publish newspapers;information</t>
  </si>
  <si>
    <t>US - Pearson PLC (P) acquired all the outstanding common stock of National Computer Systems Inc (NCS), a manufacturer of optical mark reading systems and a majority-owned unit of SunGard Data Systems Inc, for $73 in cash per share, or a total value of $2.521 bil. Previously, P completed its tender offer by accepting 31. 054 mil common shares, or 95. 17% NCS' total common shares outstanding. The offer was conditioned upon at least a majority of NCS' shares being tendered on a fully diluted basis. Upon completion, NCS changed its name to NCS Pearson.</t>
  </si>
  <si>
    <t>On-Site Sourcing Inc</t>
  </si>
  <si>
    <t>Provide facilities mgt svcs</t>
  </si>
  <si>
    <t>US Technologies Inc</t>
  </si>
  <si>
    <t>US - US Technologies Inc (USXX) withdrew its definitive agreement to acquire On-Site Sourcing (OSS) in exchange for 26.25 mil USXX common shares valued at $25.41 mil. The shares were valued at a minimum of $5 per share, based on the agreed terms and recent market prices.</t>
  </si>
  <si>
    <t>US - An investor group, comprised of Heartland Industrial Partners LP and Credit Suisse First Boston, acquired all the outstanding common stock of MascoTech Inc, a manufacturer of motor vehicle parts, for approximately $16.90 in cash per share, or a total value of up to $934.713 mil and the assumption of an undisclosed amount in liabilities, as part of a recapitalization. The transaction included the 17% stake acquired from Masco Corp.</t>
  </si>
  <si>
    <t>4Front Technologies Inc</t>
  </si>
  <si>
    <t>Mnfr information tech products</t>
  </si>
  <si>
    <t>US - NCR Corp acquired 4Front Technologies Inc, a develop of computer software, for $18. 50 per common share, or a total value of $257.667 mil.</t>
  </si>
  <si>
    <t>Jomed NV</t>
  </si>
  <si>
    <t>Whl medical,dental,hosp equip</t>
  </si>
  <si>
    <t>US - Jomed NV (JNV) acquired all the outstanding common stock of EndoSonics Corp, a manufacturer of image processing equipment, for $11 in cash per share, or a total value of $209.57 mil. Earlier, JNV completed its tender offer by accepting 16.593 mil common shares, or about 93. 48% of the company's common stock outstanding.</t>
  </si>
  <si>
    <t>ITEX Corp</t>
  </si>
  <si>
    <t>Pvd ret trade exchange svcs</t>
  </si>
  <si>
    <t>Maxx International Inc</t>
  </si>
  <si>
    <t>Pvd media mgmt consulting svcs</t>
  </si>
  <si>
    <t>US - Maxx International Inc, a majority-owned unit of Area Investment &amp; Development Co, planned to acquire Itex Corp, an owner and operator of barter exchanges, in a stock swap transaction valued at $16 mil.</t>
  </si>
  <si>
    <t>PDK Acquisition Corp</t>
  </si>
  <si>
    <t>US - PDK Acquisition Corp, a company owned by PDK Labs Inc's (PDL) CEO Reginald Spinello, Chariman of the Board Karine Hollander, and CFO Raveendra Nandigm, acquired all the outstanding common and preferred stock of PDL, a manufacturer of vitamins and provider of commercial research, for $98. 863 mil in a leveraged buyout transaction. The consideration consisted of $5 per common share valued at $95.179 mil and $8 per preferred share valued at $3. 685 mil.</t>
  </si>
  <si>
    <t>A Novo SA</t>
  </si>
  <si>
    <t>Pvd equipment repair svcs</t>
  </si>
  <si>
    <t>US - A NOVO acquired an undisclosed majority interest in Cable Link Inc, a wholesaler of cable television equipment, for $12 mil in cash.</t>
  </si>
  <si>
    <t>Pvd bkg svcs</t>
  </si>
  <si>
    <t>US - First Community Bancorp Inc (FCB), Rancho Santa Fe, California, acquired all the outstanding common stock of Professional Bancorp Inc (PB), Santa Monica, California, a bank holding company, in a stock swap transaction valued at $16.313 mil. FCB offered . 55 common shares per PB share. Based on FCB's closing stock price of $14.688 on August 4, the last full trading day prior to the announcement, each PB share was valued at $8.078. Alternatively, FCB offered $8 in cash per share, or a total value of $16.246 mil. Should more than 50% of PB shareholders choose common stock or cash, the consideration was to be prorated such that the aggregate consideration was to total approximately .559 mil FCB shares and approximately $8.1 mil in cash.</t>
  </si>
  <si>
    <t>US Vision Inc</t>
  </si>
  <si>
    <t>Norcross Roberts Group</t>
  </si>
  <si>
    <t>US - Norcross Investment Group withdrew its plans to acquire the remaining 76.3% interest, or 5.947 mil common shares, which it did not already own, in US Vision Inc, an owner and operator of optical goods stores, for $4 per share, or a total value of $23.787 mil.</t>
  </si>
  <si>
    <t>Agribrands International Inc</t>
  </si>
  <si>
    <t>Produce,mkt animal feed</t>
  </si>
  <si>
    <t>Ralcorp Holdings Inc</t>
  </si>
  <si>
    <t>Produce,whl cereals,snacks</t>
  </si>
  <si>
    <t>US - Ralcorp Holdings Inc (RH) withdrew its definitive agreement to merge with Agribrands International Inc (AI), a producer of aminal feed, to form a new company (NC) in a stock swap merger- of-equals transaction valued at $401.298 mil. AI common shareholders were to receive 3 NC common shares per share held and RH common shareholders were to receive 1 NC common share per share held. Alternatively, AI common shareholders were to receive $39 in cash per common share held and RH common shareholders were to receive $15 in cash per share held. Based on RH's closing stock price of $13.25 on August 7, the last full trading day prior to the announcement, each AI share was valued at $39.75. At least 80% of each company's shares were to be converted into NC stock. Any excess cash elections were to be reduced on a pro rata basis. The transaction was subject to Internal Revenue Service regulatory approval and was expected to be completed by February 8, 2001. Subsequently, Cargill Inc acquired all the oustanding common stock of AI.</t>
  </si>
  <si>
    <t>FirstEnergy Corp</t>
  </si>
  <si>
    <t>US - FirstEnergy Corp (FE) acquired GPU Inc (GPU), an electric utility holding company, in a stock swap transaction valued at $11.827 bil, including the assumption of approximately $7.4 bil in liabilities and preferred stock. FE offered a choice of $36.50 in cash or common stock per GPU share, subject to a collar agreement. The transaction was also subject to proration whereby 50% of the total consideration was to be paid in cash and 50% in FE common stock.</t>
  </si>
  <si>
    <t>SWVA Bancshares Inc</t>
  </si>
  <si>
    <t>US - FNB Corp, Christianburg, Virginia (FNB), planned to acquire all the outstanding common stock of SWVA Bancshares Inc, a commercial bank, for $20.25 per share, or a total value of $8.7 mil. FNB offered a choice of $20. 25 in cash or common stock or a combination thereof per share; whereby 20% of the consideration was to be cash and 80% was to be common stock.</t>
  </si>
  <si>
    <t>Software.com Inc</t>
  </si>
  <si>
    <t>Phone.com Inc</t>
  </si>
  <si>
    <t>Pvd hosted web svcs</t>
  </si>
  <si>
    <t>US - Phone.com Inc (PC) acquired all the outstanding common stock of Software.com Inc (SC), a software developer, in a stock swap transaction valued at $7.047 bil. PC offered 1.6105 common shares per SC share. Based on PC's closing stock price of $78.063 on August 8, the last full trading day prior to the announcement, each SC share was valued at $125.721 mil. The transaction was accounted for as a pooling of interests.</t>
  </si>
  <si>
    <t>Daou Systems Inc</t>
  </si>
  <si>
    <t>Pvd IT consulting svcs</t>
  </si>
  <si>
    <t>Perot Systems Corp</t>
  </si>
  <si>
    <t>US - Perot Systems Inc withdrew talks in which it was rumored to be planning to acquire all the outstanding common stock of Daou Systems Inc, a provider of information technology services primarily to the health care sector.</t>
  </si>
  <si>
    <t>BI Inc</t>
  </si>
  <si>
    <t>US - An investor group, led by Kohlberg &amp; Co LP, acquired all the outstanding common stock of BI Inc (BIAC), a manufacturer of electronic security systems, for $8.25 in cash per share, or a total value of $67.444 mil, by accepting 7.769 mil common shares. The tender offer was conditioned upon at least a majority of BIAC's shares being tendered.</t>
  </si>
  <si>
    <t>Piercing Pagoda Inc</t>
  </si>
  <si>
    <t>Zale Corp</t>
  </si>
  <si>
    <t>Own,operate jewelry stores</t>
  </si>
  <si>
    <t>US - Zale Corp (ZC) completed its tender offer to acquire all the outstanding common stock of Piercing Pagota Inc (PP), an owner and operator of jewelry stores, for $21.50 in cash per share, or a total value of an estimated $265.638 mil, including the assumption of an estimated $60 mil in liabilities, by accepting 8. 944 mil shares, or about 97. 26% of the company's common stock outstanding. The offer was conditioned upon at least a majority of shares being tendered.</t>
  </si>
  <si>
    <t>Republic Group Inc</t>
  </si>
  <si>
    <t>Mnfr gypsum wallboards,paper</t>
  </si>
  <si>
    <t>Premier Construction Products</t>
  </si>
  <si>
    <t>US - Premier Construction Products Statutory Trust, a unit of Intergrated Capital Associates Inc, acquired all the outstanding common stock of Republic Group Inc (RG), a manufacturer of gypsum wallboards and paperboard, for $19 in cash per share, or a total value of $411.964 mil, including the assumption of $184.8 mil in liabilities. Concurrently, Centex Construction Products Inc intended to acquire all the outstanding common stock of RG, for $17.50 in cash per share, or $207.2 mil. This offer was contingent upon the termination or failure of PC's agreement.</t>
  </si>
  <si>
    <t>Centex Construction Products</t>
  </si>
  <si>
    <t>US - Centex Construction Products Inc, a majority- owned unit of Centex Corp, withdrew its intentions to acquire all the outstanding common stock of Republic Group Inc (RG), a manufacturer of gypsum wallboards and paperboard, for $17.50 in cash per share, or a total value of $208.875 mil. Concurrently, Premier Construction Products Statutory Trust (PC), acquired all the outstanding common stock of RG. The offer was to be withdraw upon the consummation of PC's agreement.</t>
  </si>
  <si>
    <t>US - News Corp Ltd (NC) acquired the remaining 23.9% stake, which it did not already own, in BHC Communications Inc (BHC), an owner and operator of TV stations and a majority-owned unit of Chris-Craft Industries Inc (CC), for $887. 745 mil. The consideration consisted of a choice of $165 in cash, $66 in cash and 2. 228 American Depository Receipts, or 3.376 ADRs per BHC share. Concurrently, NC acquired CC in a stock swap transaction and NC acquired the remaining 55.25% interest, which it did not already own, in United Television Inc. The elections in each merger agreement were to be subject to the limitation that 40% of the agreement be paid in cash and 60% in NC ADRs.</t>
  </si>
  <si>
    <t>US - News Corp Ltd (NC) acquired Chris-Craft Industries Inc (CC), an owner and operator of TV stations, for $2.986 bil. NC offered a choice of $85 in cash, or 1. 932 American Depository Receipts, or $34 in cash and 1.159 ADRs per CC share. Previously, CBS Corp had been rumored to be in negotiations to acquire all the outstanding common stock of CC. Concurrently, NC acquired the remaining 23.9% stake, which it did not already own, in BHC Communications Inc (BHC) for $887.745 mil and NC acquired the remaining 55.25% interest, which it did not already own, in United Television Inc for $788.491 mil. The election in each merger agreement was to be subject to the limitation that 40% of the agreement be paid in cash and 60% in NC ADRs. If the transaction closed after August 13, 2001, the CC merger consideration was to be increased by $1 per share.</t>
  </si>
  <si>
    <t>PathoGenesis Corp</t>
  </si>
  <si>
    <t>US - Chiron Corp (CC) acquired all the outstanding common stock of Pathogenesis Corp (PC), a manufacturer of pharmaceuticals, for $38.50 in cash per share, or a total value of $700.444. Earlier, CC completed its tender offer for PC by accepting 15.962 mil common shares, or 96.4% of the total shares outstanding. The offer was conditioned upon at least a majority of PC's shares being tendered on a fully-diluted basis.</t>
  </si>
  <si>
    <t>United Television Inc</t>
  </si>
  <si>
    <t>US - News Corp Ltd (NC) acquired the remaining 55.25% interest, which it did not already own, in United Television Inc (UT), an owner and operator of TV stations and a majority-owned unit of BHC Communications Inc (BHC), for $790.468 mil. The consideration consisted of a choice of $150 in cash, $60 in cash and 2.025 American Depository Receipts, or 3.376 ADRs per UT share. Concurrently, NC acquired Chris-Craft Industries Inc in a stock swap transaction and NC acquired the remaining 23. 9% stake, which it did not already own, in BHC. The election in each merger agreement was to be subject to the limitation that 40% of the agreement be paid in cash and 60% in NC ADRs.</t>
  </si>
  <si>
    <t>Avis Group Holdings Inc</t>
  </si>
  <si>
    <t>Provide car rental services</t>
  </si>
  <si>
    <t>US - Cendant Corp (CC) acquired the remaining 82. 218% interest, or 25.6 mil common shares, which it did not already own, in Avis Group Holdings Inc (AG), a provider of car rental services, for a sweetened $33 in cash per share, or a total value of $925.026 mil. Originally, CC offered $29 in cash per share.</t>
  </si>
  <si>
    <t>US - In August 2000, Burnham Pacific Properities Inc announced that it was seeking a buyer for the company.</t>
  </si>
  <si>
    <t>Clearworks Net Inc</t>
  </si>
  <si>
    <t>Eagle Wireless International</t>
  </si>
  <si>
    <t>Mnfr,whl telecomm equip</t>
  </si>
  <si>
    <t>US - Eagle Wireless International Inc (EW) acquired Clearworks Net Inc (CN), an Internet service provider, in a stock swap transaction valued at $155.08 mil. EW offered .8 common shares per CN share. Based on EW's closing stock price of $8 on August 14, the last full trading day prior to the announcement, each CN share was valued at $6.4. Upon completion, CN was delisted and the combined company traded on the American Stock Exchange under the ticker symbol EAG.</t>
  </si>
  <si>
    <t>US - Viacom Inc (VIA), a majority-owned unit of National Amusements Inc, acquired the remaining 35. 727% stake, that it did not already own, in Infinity Broadcasting Corp (IBC), an owner and operator of radio broadcasting stations, in a stock swap transaction valued at $13.649 bil. VIA offered an amended .592 Class B common shares per IBC Class A share. Based on VIA's closing stock price of $55.561 on October 30, the last full trading day prior to the amendment, each IBC share was valued at $32.893. Originally, VIA offered .564 Class B shares per IBC Class A share, or a total value of $16.666 bil.</t>
  </si>
  <si>
    <t>VRB Bancorp, Rogue River, OR</t>
  </si>
  <si>
    <t>Umpqua Holdings Corp</t>
  </si>
  <si>
    <t>US - Umpqua Holdings Corp (UH) merged with VRB Bancorp (VRB), Rogue River, Oregon, a commercial bank, in a stock swap, merger-of-equals, transaction valued at $56.018 mil. UH offered .814 common shares per VRB share. Based on UH's closing stock price of $8.25 on August 14, the last full trading day prior to announcement, each VRB share was valued at $6.716. The transaction was accounted for as a pooling of interests.</t>
  </si>
  <si>
    <t>Delia s Inc</t>
  </si>
  <si>
    <t>Own,op catalog houses</t>
  </si>
  <si>
    <t>iTurf Inc</t>
  </si>
  <si>
    <t>US - iTurf Inc (IT) acquired all the outstanding common stock of Delia's Inc (DI), an owner and operator of catalog houses, to form a new company named Delia's Corp (DC) in a reverse stock swap transaction valued at $82.769 mil. IT offered 1.715 shares per DI share. Based on IT's closing stock price of $2.875 on August 15, the last full trading day prior to announcement, each DI share was valued at $4.931. Upon completion, DC was to trade on the Nasdaq stock market under the symbol DLIA and was to have approximately 37.5 mil shares outstanding.</t>
  </si>
  <si>
    <t>Berkshire Bancorp Inc</t>
  </si>
  <si>
    <t>US - Berkshire Bancorp Inc (BB), New York, New York acquired all the outstanding common stock of GSB Financial Corp (GSB), Goshen, New York , a savings and loan holding company, in a stock swap transaction valued at $41.612. BB offered a choice of $20. 75 in cash or .6027 share per GSB share. The transaction was also subject to proration whereby 50.1% of the total consideration was to be paid in common stock and 49.9% in cash. Previously, Warwick Community Bancorp Inc made an unsolicited offer to acquire the remaining 91.56% interest, or 1.817 mil common shares, in GSB.</t>
  </si>
  <si>
    <t>GlobalNetFinancial.com Inc</t>
  </si>
  <si>
    <t>US - GlobalNetFinancial.com Inc (GNF) withdrew its definitive agreement to acquire all the outstanding common stock of Telescan Inc (TI), a developer and operator of financial websites, to form a new company in a stock swap transaction valued at $114. 205 mil. GNF offered .5 common shares per TI share held. Based on GNF's closing stock price of $13.188 on August 16, the last full trading day prior to the announcement, each TI share was valued at $6.594. Upon completion, the new company was to be called GlobalNetFinancial.com.</t>
  </si>
  <si>
    <t>Westfield America Inc</t>
  </si>
  <si>
    <t>Own,operate shopping centers</t>
  </si>
  <si>
    <t>Westfield America Trust</t>
  </si>
  <si>
    <t>US - Westfield America Trust raised its stake to 56.9% from 49.7% in Westfield America Inc, an owner and operator of shopping centers, by acquiring 1.21 mil convertible preference shares from ABP for $130.017 mil.</t>
  </si>
  <si>
    <t>Zaring National Corp</t>
  </si>
  <si>
    <t>Mnfr single-family homes</t>
  </si>
  <si>
    <t>Drees Co</t>
  </si>
  <si>
    <t>US - Drees Co (DC) withdrew its intentions to merge with Zaring National Corp (ZN), a manufacturer of homes. Subsequently, DC acquired ZN's Raleigh, North Carolina assets and acquired ZN's Nashville, Cincinnati, and Indianapolis assets.</t>
  </si>
  <si>
    <t>HSB Group Inc</t>
  </si>
  <si>
    <t>US - American International Group Inc (AIG) acquired HSB Group Inc, an insurance company, in a stock swap transaction valued at $1.431 bil. AIG offered a choice of $41 in common stock or a combination of cash and common stock thereof.</t>
  </si>
  <si>
    <t>Transocean Sedco Forex Inc</t>
  </si>
  <si>
    <t>US - Transocean Sedco Forex Inc (TSF) acquired all the outstanding common stock of R&amp;B Falcon Corp (RB), a provider of contract drilling services, in a stock swap transaction valued at $9.091 bil, including the assumpiton of $3 bil in liabilities. TSF offered .5 shares per RB share. Based on TSF's closing stock price of $57.6875 on August 18, the last full trading day prior to announcement, each RB share was valued at $28.844. Upon completion, the new company was named Transocean Sedco Forex Inc and will trade on NYSE under the symbol RIG.</t>
  </si>
  <si>
    <t>Bank United Corp,Houston,Texas</t>
  </si>
  <si>
    <t>Pvd broad-based financial svcs</t>
  </si>
  <si>
    <t>US - Washington Mutual Inc, Seattle, Washington (WM) acquired Bank United Corp, Houston, Texas (BU), a provider of broad-based financial services, in a stock swap transaction valued at $1.419 bil. WM offered 1.3 shares per BU share. Based on WM's closing stock price of $32.813 on August 18, the last full trading day prior to announcement, each BU share was valued at $42.657.</t>
  </si>
  <si>
    <t>BOK Financial Corp</t>
  </si>
  <si>
    <t>US - BOK Financial Corp, Tulsa, Oklahoma, acquired CNBT Bancshares Inc (CNBT), Bellaire, Texas, a commercial bank, for an estimated $18.22 per share, or a total value of an estimated $91.789 mil.</t>
  </si>
  <si>
    <t>PepsiAmerica Inc</t>
  </si>
  <si>
    <t>Produce soft drinks</t>
  </si>
  <si>
    <t>Whitman Corp</t>
  </si>
  <si>
    <t>Produce bottled,canned drinks</t>
  </si>
  <si>
    <t>US - Whitman Corp (WC) acquired all the outstanding common stock of PepsiAmericas Inc, a producer of soft drinks and a majority-owned unit of joint venture partners Pohlad Co and PepsiCo Inc, for a choice of $3.80 in cash per share, or . 2773 WC's common shares per share, or .2043 WC's shares and up to .1092 WC's shares in profit-related payments, and the assumption of $330 mil in liabilities, or a total value of $642.8 mil.</t>
  </si>
  <si>
    <t>Newgen Results Corporation</t>
  </si>
  <si>
    <t>Pvd database mngmt svces</t>
  </si>
  <si>
    <t>TeleTech Holdings Inc</t>
  </si>
  <si>
    <t>Provide business outsourcing services</t>
  </si>
  <si>
    <t>US - TeleTech Holdings Inc (TT) acquired all the outstanding common stock of Newgen Results Corporation (NR), a provider of database management services, in a stock swap transaction valued at $166.83. TT offered .8 common shares per NR share. Based on TT's closing stock price of $18.125 on December 19, the last full trading day prior to the announcement of the exact exchange ratio, each NR share was valued at $14.50. Originally, TI offered $18 in common stock per NR share, subject to a collar agreement which was subsequently breached. The transaction was accounted for as a pooling of interests.</t>
  </si>
  <si>
    <t>Chemical Financial Corp</t>
  </si>
  <si>
    <t>US - Chemical Financial Corp (CF) merged with Shoreline Financial Corp (SF), Benton Harbor, Michigan, a commercial bank and holding company, in a stock swap transaction valued at $173. 548 mil. CF offered .64 common shares per SF share. Based on CF's closing stock price of $23.50 on August 21, the last full trading day prior to the announcament, each SF share was valued at $15.04. The transaction was to be accounted for as a pooling of interests.</t>
  </si>
  <si>
    <t>UST Inc</t>
  </si>
  <si>
    <t>Mnfr,whl tobacco,wine prod</t>
  </si>
  <si>
    <t>US - RJ Reynolds Tobacco Holdings Inc was rumored to be planning to acquire all the outstanding common stock of UST Inc, a manufacturer of tobacco products. The Current status of this deal is unknown.</t>
  </si>
  <si>
    <t>Western Properties Trust</t>
  </si>
  <si>
    <t>Pan Pacific Ret Ppty Inc</t>
  </si>
  <si>
    <t>US - Pan Pacific Retail Properties Inc (PPRP) acquired Western Properties Trust (WPT), a real estate investment trust, in a stock swap transaction valued at $420.058 mil, including the assumption of $200 mil in liabilities. PPRP offered 0. 62 common shares per WPT common share. Based on PPRP's closing stock price of $20. 563 on August 21, the last full trading day prior to the announcement, each WPT share was valued at $12.749.</t>
  </si>
  <si>
    <t>BankFirst Corp</t>
  </si>
  <si>
    <t>Provides bank holding svcs</t>
  </si>
  <si>
    <t>US - BB&amp;T Corp (BBT) acquired BankFirst Corp (BFC), a bank holding company, in a stock swap transaction valued at $147.812 mil. BBT offered . 455 common shares per BFC share. Based on BBT's closing stock price of August 22, the last full trading day prior to the announcement, each BFC share was valued at $12.21.</t>
  </si>
  <si>
    <t>Maytag Corp</t>
  </si>
  <si>
    <t>Mnfr household appl</t>
  </si>
  <si>
    <t>Electrolux AB</t>
  </si>
  <si>
    <t>US - Electrolux AB was rumored to be in negotiations to acquire all the outstanding common stock of Maytag Corp, a manufacturer of home appliances. The Current status of this deal is unknown.</t>
  </si>
  <si>
    <t>US - Coachmen Industries Inc acquired all the outstanding common stock of Miller Building Systems Inc, a manufacturer of factory-built buildings meeting the specialized needs of users, for $27.877 mil. The consideration consisted of $8. 40 in cash per share valued at $26.055 mil and $.30 per share in profit related payments, valued at $.931 mil.</t>
  </si>
  <si>
    <t>Radiologix Inc</t>
  </si>
  <si>
    <t>Saunders Karp &amp; Megrue LLC</t>
  </si>
  <si>
    <t>US - Saunders Karp &amp; Megrue withdrew its definitively agreement to acquire up to a 90% interest, or 17.555 mil common shares, in Radiologix Inc, a provider of diagnostic imaging services, for a choice of $7.25 in cash or 1. 122 of the newly recapitalized company's common shares per share, or a total value of an estimated $339.777 mil, including the assumption of $212.5 mil in liabilities.</t>
  </si>
  <si>
    <t>Bracknell Corp</t>
  </si>
  <si>
    <t>Design,install networks</t>
  </si>
  <si>
    <t>US - Bracknell Corp (BC) acquired all the outstanding common stock of Able Telcom Holdings Corp, a provider of fiber optic design services, in exchange for an estimated 22 mil common shares valued at $92.576 mil, and the assumption of an undisclosed amount in liabilities. The shares were valued based on BC's closing stock price of $4.208 on August 23, the last full trading day prior to the announcement.</t>
  </si>
  <si>
    <t>MONY Group Inc</t>
  </si>
  <si>
    <t>US - MONY Group Inc acquired all of the outstanding common stock of Advest Group Inc, a securities brokerage firm, for an estimated $31 in a combination of cash and common stock per share, or a total value of $293.34 mil, subject to a collar agreement.</t>
  </si>
  <si>
    <t>Nogatech Inc</t>
  </si>
  <si>
    <t>Mnfr video connection devices</t>
  </si>
  <si>
    <t>Zoran Corp</t>
  </si>
  <si>
    <t>US - Zoran Corp (ZC) acquired Nogatech Inc (NI), a manufacturer of video connection devices, in a stock swap transaction valued at $157.86 mil. ZC offered . 166 common shares per NI share. Based on ZC's closing stock price of $63 on August 23, the last full trading day prior to the announcement, each NI share was valued at $10.458.</t>
  </si>
  <si>
    <t>Getthere.Com Inc</t>
  </si>
  <si>
    <t>Prvd web-based travel srvcs</t>
  </si>
  <si>
    <t>Sabre Holdings Corp</t>
  </si>
  <si>
    <t>Pvd electn travel info svcs</t>
  </si>
  <si>
    <t>US - Sabre Holding Corp (SH) acquired all the outstanding common stock of Getthere.com Inc, a provider of web-based travel services, for $17.75 in cash per share, or a total value of $981.126 mil. Earlier, SH completed its tender offer by accepting 33. 5 mil common shares.</t>
  </si>
  <si>
    <t>Greg Manning Auctions Inc</t>
  </si>
  <si>
    <t>Pvd online auction svcs</t>
  </si>
  <si>
    <t>Take To Auction.com Inc</t>
  </si>
  <si>
    <t>Pvd online auction site svcs</t>
  </si>
  <si>
    <t>US - Take to Auction.com Inc (TA) made an unsolicited offer to acquire Greg Manning Auctions Inc (GA), a provider of online auction services, in a reverse takeover stock swap transaction valued at $142.617 mil. TA offered $14 in common stock per GA share. The offer also calls for the divestiture of GA's 48% owned Chinese subsidiary, GMAI-Asia. com, prior to the close of the deal. The divestiture would be distributed to GA's shareholders. This unsolicited bid was withdrawn.</t>
  </si>
  <si>
    <t>MMC Networks Inc</t>
  </si>
  <si>
    <t>Dvlp network processors</t>
  </si>
  <si>
    <t>Applied Micro Circuits Corp</t>
  </si>
  <si>
    <t>US - Applied Micro Circuits Corp (AMCC) acquired MMC Networks Inc (MMC), a developer of network processors, in a stock swap transaction valued at $4.465 bil. AMCC offered .619 common shares per MMC share. Based on AMCC's closing stock price of $188.563 on August 25, the last full trading day prior to the announcement, each MMC share was valued at $116.72.</t>
  </si>
  <si>
    <t>Powertel Inc</t>
  </si>
  <si>
    <t>US - Voicestream Wireless Corp (VWC) acquired Powertel Inc (PI), a mobile phone company, in a stock swap transaction valued at $6.153 bil, including the assumption of $1.2 bil in liabilities. VWC offered 2.5363 Deutsche Telekom AG (DT) ordinary shares per common share. Originally, VWC offered $85 per common share to PI shareholders, subject to a collar agreement. Based on DT's closing stock price of $40.225 on August 25, the last full trading day prior to the announcement, each PI share was valued at $106.005. Previously, (DT) acquired VWC in a stock swap transaction valued at $29.95 bil. Upon DT's completion of the acquisition of VWC, PI shareholders received 2.6353 DT common shares for each share of PI common stock instead of VWC common stock originally agreed.</t>
  </si>
  <si>
    <t>Beringer Wine Estates Holdings</t>
  </si>
  <si>
    <t>Produce wines,brandy</t>
  </si>
  <si>
    <t>Fosters Brewing Group Ltd</t>
  </si>
  <si>
    <t>US - Foster's Brewing Group Ltd (FBG) acquired all the outstanding common stock of Beringer Wine Estates Holding Inc (BW), a producer of wines and brandy and a majority- owned unit of Texas Pacific Group Inc, for $55.75 in cash per share, or a total value of $1.447 bil, including the assumption of $370 mil in liabilities. Previously, FBG completed its tender offer by accepting 17.467 mil common shares, or 95% of the total outstanding. The offer was conditioned upon at least a majority of BW's shares being tendered on a fully-diluted basis.</t>
  </si>
  <si>
    <t>Delphos Citizens Bancorp Inc</t>
  </si>
  <si>
    <t>United Bancshares Inc,Columbus</t>
  </si>
  <si>
    <t>US - United Bancshares Inc, Columbus Grove, Ohio (UBI), acquired all the outstanding common stock of Delphos Citizens Bancorp Inc, Ohio (DCB), a bank holding company, in a stock swap transaction valued at $20.706 mil. UBI offered .8749 common shares and $5.41 in cash per DCB share. Based on UBI's closing stock price on August 25, the last full trading day prior to the announcement, each DCB share was valued at $13.065. A maximum of 1.387 mil UBI shares were issued as part of the consideration.</t>
  </si>
  <si>
    <t>800-JR Cigar Inc</t>
  </si>
  <si>
    <t>Wholesale tobacco</t>
  </si>
  <si>
    <t>US - An investor group, comprised of Chairman, CEO, and President Lewis I. Rothman, Executive Vice President LaVonda M. Rothman, and the Lewis I. Rothman 1998 Trust No. 1, acquired the remaining 21.6% stake, or 2. 562 mil common shares, that it did not already own, in 800-JR Cigar Inc (JR), a wholesaler of tobacco, via a tender offer for $13 in cash per share, or a total value of $33.310 mil, in a leveraged buyout transaction, by accepting 1.802 mil shares, or 70.3% of the remaining JR shares outstanding. The offer was conditioned upon at least a majority of JR's shares not held being tendered.</t>
  </si>
  <si>
    <t>RH Phillips Inc</t>
  </si>
  <si>
    <t>Mnfr wines and brandy</t>
  </si>
  <si>
    <t>Vincor International Inc</t>
  </si>
  <si>
    <t>Produce,whl wine</t>
  </si>
  <si>
    <t>US - Vincor International Inc (VI) launched a tender offer to acquire all the outstanding common stock of R H Phillips Inc (RH), a manufacturer of wines and brandy, via a tender offer for $7 in cash per share, or a total value of $53.328 mil. The offer was conditioned upon at least 90% of RH's shares being tendered. RH also agreed to pay a topping fee of $9 mil to VI if RH terminates the VI agreement and consummates a business combination with another party which is announced within one year of terminating the VI agreement.</t>
  </si>
  <si>
    <t>United Finl Mtg Corp,Illinois</t>
  </si>
  <si>
    <t>Ameri-Cap Mortgage Group Inc</t>
  </si>
  <si>
    <t>Mortgage security finance co</t>
  </si>
  <si>
    <t>US - Ameri-Cap Mortgage Group Inc, a unit of Finantra Capital Inc, agreed to merge with United Financial Mortgage Corp, Oak Brook, Illinois, a mortgage bank.</t>
  </si>
  <si>
    <t>Washington Homes Inc</t>
  </si>
  <si>
    <t>Build single family homes</t>
  </si>
  <si>
    <t>Hovnanian Enterprises Inc</t>
  </si>
  <si>
    <t>Pvd home constr,finl svcs</t>
  </si>
  <si>
    <t>US - Hovnanian Enterprises Inc (HE) agreed to acquire Washington Homes Inc (WH), a builder of single family homes, townhomes and condiminiums, for $136.188 mil including the assumption of $52 mil in liabilities, subject to a collar agreement. HE offered a choice of $10. 08 in cash or 1.39 common shares per share.</t>
  </si>
  <si>
    <t>Columbus Energy Corp</t>
  </si>
  <si>
    <t>US - Key Production Co Inc (KP) acquired all the outstanding stock of Columbus Energy Corp (CE), an oil and gas exploration and production company, in a transaction valued at for $23. 844 mil. KP offered .355 common shares per CE share. Based on KP's closing stock price of $17.812 on August 28, the last full trading day prior to the announcement, each CE share was valued at $6.323. The deal also included a termination fee of $1 mil.</t>
  </si>
  <si>
    <t>Lamar Advertising Co</t>
  </si>
  <si>
    <t>Display Advertising</t>
  </si>
  <si>
    <t>US - In August 2000, AMFM Inc (AM) announced that it was seeking a buyer for its 29% stake, or 26.664 mil common shares in Lamar Advertising, an advertising agency. The Department of Justice ordered Clear Channel Communications (CC) to sell AM's stake in order to gain approval for CC's pending merger with AM.</t>
  </si>
  <si>
    <t>Printrak International Inc</t>
  </si>
  <si>
    <t>Mnfr fingerprint id systems</t>
  </si>
  <si>
    <t>US - Motorola Inc acquired all the outstanding common stock of Printrak International Inc a manufacturer fingerprint identification systems, for $12.14 in cash per share, or a total value of $154.042 mil.</t>
  </si>
  <si>
    <t>Ridgewood Financial Inc,NJ</t>
  </si>
  <si>
    <t>Savings &amp; loan bank</t>
  </si>
  <si>
    <t>Provident Savings Bank,NJ</t>
  </si>
  <si>
    <t>US - Provident Savings Bank, Jersey City, New Jersey, withdrew an agreement to acquire all the outstanding common stock of Ridgewood Financial Inc (RF), Ridgewood, New Jersey, a savings and loan bank, for $15 in cash per share, or a total value of $47.7 mil. Subsequently, Boiling Springs Savings Bank, Rutherford, New Jersey, merged with RF in a challenging bid.</t>
  </si>
  <si>
    <t>AXA Financial Inc</t>
  </si>
  <si>
    <t>AXA SA</t>
  </si>
  <si>
    <t>US - AXA-UAP SA (AU) of France, acquired the remaining 40% stake, or 173. 341 mil common shares, which it did not already own, in AXA Financial Inc (AF), a life insurance company, for an amended USD 11.189 bil. The consideration consisted of USD 35.75 in cash and 0. 295 common shares per AF share. Based on AU's closing stock price of USD 64 on October 17, the last full trading day prior to the announcement, each AF share was valued at USD 54.63. Earlier, AU completed its tender offer for AF by accepting 143.8 mil shares, or 33% of AF's common shares outstanding. Originally, AU offered USD 53.5 in a combination of cash and common stock per share, or a total value of USD 10.946 bil, whereby 60% was to be in cash and 40% in common stock. Previously, Credit Suisse First Boston Corp (CSFB), a unit of Credit Suisse Group's (CSG) CS First Boston Group Inc subsidiary, launched a tender offer to acquire all the outstanding common stock of Donaldson Lufkin &amp; Jenrette Inc (DLJ), an investment bank, from 71% shareholder AXA SA's AXA Financial (AXAF) subsidiary, in a stock swap transaction valued at USD 13.529 bil.</t>
  </si>
  <si>
    <t>US - An investor group, comprised of Tom Burcham and John Eggemeyer III, planned to acquire Commercial Federal Corp, Omaha, Nebraska, a bank holding company, for $18.5 in cash per share, or a total value of $1.007 bil.</t>
  </si>
  <si>
    <t>Donaldson Lufkin &amp; Jenrette</t>
  </si>
  <si>
    <t>US - Credit Suisse First Boston Corp (CSFB), a unit of Credit Suisse Group's (CSG) CS First Boston Group Inc subsidiary, acquired all the outstanding common stock of Donaldson Lufkin &amp; Jenrette Inc (DLJ), an investment bank, from 71% shareholder AXA SA's AXA Financial (AXAF) subsidiary, in a stock swap transaction valued at $13.529 bil. The consideration consisted of the public shareholders receiving $90 in cash per share, valued at $3. 337 bil; AXAF was to receive $5.75 bil in CSG common stock and $2.39 bil in cash. The tracking stock for DLJdirect was to continue to trade on the New York Stock Exchange under the ticker symbol DIR, but was to change its name to CSFB Direct. Upon completion, the new entity was to operate under the name CSFB. Subsequently, AXA Group, a unit of AXA-UAP, planned to acquire the remaining 40% stake, or 173.341 mil common shares, that it did not already own, in AXA Financial Inc (AXAF), a life insurance company, for $53.5 in a combination of cash and common stock per share, or a total value of $10.946 bil. The tender offer was conditioned upon 90% of DLJ's shares being tendered.</t>
  </si>
  <si>
    <t>Bayer AG</t>
  </si>
  <si>
    <t>Mnfr,whl chemicals,pharmaceuticals</t>
  </si>
  <si>
    <t>US - Bayer AG (BA) acquired all the outstanding common stock of Sybron Chemicals Inc (SC), a specialty chemical maker, for $35 in cash per share, or a total value of $210.407 mil. Earlier, BA completed its tender offer for SC by accepting 5.716 mil shares, or 99.62% of SC's common shares outstanding. The offer was conditioned upon at least a majority of SC's shares being tendered.</t>
  </si>
  <si>
    <t>Wyant Corp</t>
  </si>
  <si>
    <t>Perkins Papers Ltd</t>
  </si>
  <si>
    <t>Mnfr paper</t>
  </si>
  <si>
    <t>US - Perkins Papers Ltd (PP) acquired all the outstanding common stock of Wyant Corp (WC), a manufacturer of surgical supplies, for $4 in cash per share, or a total value of $9.178 mil. Earlier, PP completed its tender offer for WC by accepting 2.213 mil common shares, or 98.71% of the total shares outstanding. The offer was conditioned upon at least a majority of WC's shares being tendered.</t>
  </si>
  <si>
    <t>Ottawa Financial Corp</t>
  </si>
  <si>
    <t>US - Fifth Third Bancorp, Cincinnati, Ohio, (FTB) acquired all the outstanding common stock of Ottawa Financial Corp (OFC), Holland, Michigan, a savings and loan institution, in a stock swap transaction valued at $171. 347 mil. FTB offered .54 common shares per OFC share. Based on FTB's closing stock price on August 31, the last full trading day prior to the announcement, each OFC share was valued at $24.943.</t>
  </si>
  <si>
    <t>Splash Technology Holdings Inc</t>
  </si>
  <si>
    <t>EFI</t>
  </si>
  <si>
    <t>Manufacture,wholesale digital printers</t>
  </si>
  <si>
    <t>US - Electronics for Imaging Inc (EI) acquired all the outstanding common stock of Splash Technology Holdings Inc (STH), a manufacturer of computer peripherals, for $10 in cash per share, or a total value of $147.368 mil. Earlier, EI completed its tender offer by accepting 13. 4 mil shares or 93% of the shares outstanding. The offer was conditioned upon at least a majority of STH's shares being tendered.</t>
  </si>
  <si>
    <t>JW Genesis Financial Corp</t>
  </si>
  <si>
    <t>US - First Union Corp, Charlotte, North Carolina, (FU) acquired all the outstanding common stock of JWGenesis Financial Corp (JW), a provider of fund management and financial advisory services, for $12 in cash per share, or a total value of $108.561 mil. Upon completion, the independent registered broker-dealer formerly within JW became affiliated with FU and operated under the name First Union Securities Financial Network Inc.</t>
  </si>
  <si>
    <t>Minolta-QMS Inc(Minolta Co)</t>
  </si>
  <si>
    <t>Manufacture print systems</t>
  </si>
  <si>
    <t>Minolta Investments Co</t>
  </si>
  <si>
    <t>US - Minolta Investments Co (MI), a unit of Minolta Co Ltd, acquired the remaining 42.94% stake, or 5.985 mil common shares, that it did not already own, in Minolta- QMS Inc (QMS), a manufacturer of printing processors, for a sweetened $6 in cash per share, or a total value of 34. 177 mil. Previously, MI completed its tender offer for QMS by accepting 4.865 mil shares, or 36.675% of QMS' common shares outstanding. Originally, MI offered $5.25 in cash per share, or a total value of $30.31 mil. The offer was conditioned upon at least a majority of QMS's shares being tendered.</t>
  </si>
  <si>
    <t>Engineering Animation Inc</t>
  </si>
  <si>
    <t>Pvd coml art &amp; grphc desgn svc</t>
  </si>
  <si>
    <t>Unigraphics Solutions Inc</t>
  </si>
  <si>
    <t>Dvlp CAD,CAE,CAM,PDM software</t>
  </si>
  <si>
    <t>US - Unigraphics Solutions Inc (US), a unit of Electronic Data Systems Corp, acquired all the outstanding common stock of Engineering Animation Inc (EA), a provider of commercial art &amp; graphic design services, for $13.75 in cash per share, or a total value of $176.887 mil. Earlier, US completed its tender offer for EA by accepting 10.847 mil common shares, or about 90% of EA's common shares outstanding. The offer was conditioned upon at least 51% of EA's shares being tendered on a fully-diluted basis.</t>
  </si>
  <si>
    <t>Red Cube International AG</t>
  </si>
  <si>
    <t>US - Red Cube International AG signed a letter of intent to acquire an undisclosed majority interest in I-Link Inc, a provider of voice and data communications services, for $80 mil. The consideration was to consist of $60 mil in cash and $20 mil in options.</t>
  </si>
  <si>
    <t>US - WorldCom Inc (WC) merged with Intermedia Communications Inc (IC), a provider of telecommunications services, in a stock swap transaction valued at an amended $4.154 bil, including the assumption of $3 bil in liabilities. WC offered 1 common share per IC share. Based on WC's closing stock price of $16.188 on February 15, the last full trading day prior to the announcement of the amended terms, each IC share was valued at $16.188. Previously, WC offered $39 per IC share, subject to a collar agreement. The transaction was to include IC's 55% interest in publicly held Digex Inc, a provider of managed Web hosting services to businesses operating mission- critical, multi-functional Web sites. Originally, WC was rumored to be planning to acquire all the outstanding common stock of IC.</t>
  </si>
  <si>
    <t>Niagara Mohawk Holdings Inc</t>
  </si>
  <si>
    <t>US - National Grid Group Inc (NG) acquired Niagara Mohawk Holdings Inc (NM), an electric utility company, for $19 per share, or a total value of $8.047 bil, including the assumption of $5 bil in liabilities. NG offered a choice of $19 in cash, or $19 American depository shares, or a combination of both per NM common share, subject to a collar agreement.</t>
  </si>
  <si>
    <t>US - Citigroup Inc (CG) acquired Associates First Capital Corp (ASC), a provider of finance, leasing and related services to individual consumers and businesses worldwide, in a stock swap transaction valued at $30.957 bil. CG offered . 7334 common shares per ASC share. Based on CG's closing stock price of $57.563 on September 5, the last full trading day prior to the announcement, each ASC share was valued at $42.217. The transaction was accounted for as a pooling of interests. CG combined ASC's North American consumer finance operations with CitiFinancial, a consumer finance business. ASC's commercial unit was to join with CG's Global Equipment Finance operations and ASC's credit card operations were combined with CG's.</t>
  </si>
  <si>
    <t>Firstspartan Financial Corp</t>
  </si>
  <si>
    <t>US - BB&amp;T Corp, Winston- Salem, North Carolina (BB) acquired all the outstanding common stock of FirstSpartan Financial Corp (FS), a bank holding company, in a stock swap transaction valued at $102.81 mil. BB offered 1 common share per FS common share. The shares were valued based on BB's closing stock price of $26.875 on September 5, the last full trading day prior to the announcement.</t>
  </si>
  <si>
    <t>Merchants New York Bancorp</t>
  </si>
  <si>
    <t>US - Valley National Bancorp, Wayne, New Jersey (VNB), acquired Merchants New York Bancorp (MNY), a bank holding company, in a stock swap transaction valued at $376. 821 mil. VNB offered .7634 common shares per MNY share. Based on VNB's closing stock price of $26.25 on September 5, the last full trading day prior to the announcement, each MNY share was valued at $20.039.</t>
  </si>
  <si>
    <t>US - Berkshire Hathaway Inc withdrew its planned to acquire between an 80.1% and 86% interest in Shaw Industries Inc, a manufacturer of tufted carpets, for $19 per share, or a total value of $2.0691 bil, with the total value based on the high percentage in the range.</t>
  </si>
  <si>
    <t>Agritope Inc</t>
  </si>
  <si>
    <t>Mnfr biotechnology products</t>
  </si>
  <si>
    <t>Exelixis Inc</t>
  </si>
  <si>
    <t>US - Exelixis Inc (EI) acquired all the outstanding common stock of Agritope Inc (AI), a manufacturer of biotechnology products, in a stock swap transaction valued at $33.095 mil. EI offered . 35 common shares per AI share. Based on EI's closing stock price of $17.875 on December 7, the last full trading day prior to the announcement of the exact exchange ratio, each AI share was valued at $6.256. Originally, EI offered $14 in common stock per AI share, subject to a collar agreement which was subsequently breached.</t>
  </si>
  <si>
    <t>Delhaize America Inc</t>
  </si>
  <si>
    <t>Etablissements Delhaize Freres</t>
  </si>
  <si>
    <t>US - Etablissements Delhaize Freres et Cie Le Lion SA (DF) acquired the remaining 58% interest, or 85.391 mil common shares, which it did not already own, in Delhaize America Inc (DA), an owner and operator of supermarkets, in a stock swap transaction valued at $1.825 bil. DF offered .4 ordinary shares per DA class A and B share. Based on DF's closing stock price of $46.037 on November 15, the last full trading day prior to the announcement of the amended terms, each DA share was valued at $18.415. Originally, DF offered .35 ordinary shares per DA class A and B share. Previously, DA acquired the entire share capital of Hanneford Inc, which increased the common shares outstanding of DA by 13,715,998, thereby decreasing DF's holding in DA from 45% to 42%.</t>
  </si>
  <si>
    <t>AT&amp;T Wireless Group</t>
  </si>
  <si>
    <t>Pvd wireless voice,data svcs</t>
  </si>
  <si>
    <t>US - AT&amp;T Wireless Group, a unit of AT&amp;T Corp, was rumored to be in negotiations to acquire all the outstanding common stock of Nextel Communications Inc, a cellular telephone services provider. The Current status of this deal is unknown.</t>
  </si>
  <si>
    <t>PW Eagle Inc</t>
  </si>
  <si>
    <t>Mnfr,whl PVC piping</t>
  </si>
  <si>
    <t>US - An investor group, led by CEO and founder Michael B. Fernandez, withdrew its agreement to acquire the remaining undisclosed stake it did not already own in PHP Holdings Inc, an investment holding company.</t>
  </si>
  <si>
    <t>Shared Technologies Cellular</t>
  </si>
  <si>
    <t>SATX Inc</t>
  </si>
  <si>
    <t>Mnfr vehicle tracking sys</t>
  </si>
  <si>
    <t>US - SATX Inc withdrew a definitive merger agreement with Shared Technologies Cellular Inc (STCI), a provider of cellular telephone services, to form an undisclosed new entity in a stock swap transaction valued at $47.943 mil. STCI common shareholders were to receive $3 in cash plus .5 common shares of the undisclosed new entity per share held. Based on SATX's closing stock price of $0.531 on September 6, the last full trading day prior to announcement, each STCI share was valued at $3.266.</t>
  </si>
  <si>
    <t>US - Medtronic Inc (MI) withdrew its unsolicited offer to acquire Cyberonics Inc (CI), a manufacturer of medical equipment, in a stock swap transaction valued at $523.496 mil. MI offered $26 in common stock per CI share.</t>
  </si>
  <si>
    <t>Colorado MEDtech Inc</t>
  </si>
  <si>
    <t>Mnfr surgical,med prod</t>
  </si>
  <si>
    <t>HEI Inc</t>
  </si>
  <si>
    <t>Mnfr microelectronic prod</t>
  </si>
  <si>
    <t>US - HEI Inc withdrew its plans to acquire the remaining 90.1% interest, that it did not already own, or 11.05 mil common shares, in Colorado Medtech Inc, a manufacturer of surgical products, for $12 in HEI common shares per CMI share, or a total value of $146.559 mil.</t>
  </si>
  <si>
    <t>US - Elan Corp PLC (EC) acquired Dura Pharmaceuticals Inc (DPI), a manufacturer of pharmaceuticals, in a stock swap transaction valued at $1. 71 bil. EC offered 0.672 American depository receipts per DPI share. Based on EC's closing stock price of $52. 125 on September 8, the last full trading day prior to announcement, each DPI share was valued at $35.028.</t>
  </si>
  <si>
    <t>US - Genzyme Corp (GC) acquired GelTex Pharmaceuticals Inc (GTP), a manufacturer of pharmaceuticals, in a stock swap transaction valued at $1. 052 bil. GC offered a choice of .727 common shares or $47. 50 in cash per GTP share. The shares were valued based on GT's closing stock price of $65.312 on September 8, the last full trading day prior to the announcement.</t>
  </si>
  <si>
    <t>Mikasa Inc</t>
  </si>
  <si>
    <t>Mnfr houseware;whl furniture</t>
  </si>
  <si>
    <t>JG Durand Industries SA</t>
  </si>
  <si>
    <t>Mnfr glass,crystal</t>
  </si>
  <si>
    <t>US - JG Durand Industries Inc acquired all of the outstanding common stock of Mikasa Inc (MI), a manufacturer of housewares, for $16.50 in cash per share, or a total value of $288.949 mil.</t>
  </si>
  <si>
    <t>Magnavision Corp</t>
  </si>
  <si>
    <t>IP Wireless Inc</t>
  </si>
  <si>
    <t>Mnfr mobile broadband products</t>
  </si>
  <si>
    <t>US - IP Wireless Inc definitively agreed to acquire all the outstanding common stock of MagnaVision Corp(MVC), a provider of cable television services, for an estimated $20.179 mil. The consideration was to consist of $5.78 in cash or a combination of cash and notes per MVC common share, $1.00 per MVC Class A and Class B preferred share, and an undisclosed amount in profit- related payments. Shareholders who hold less than 1% of MVC's common stock were to receive their consideration entirely in cash, and shareholders holding more than 1% were to receive approximately 80% of their consideration in cash and 20% in notes.</t>
  </si>
  <si>
    <t>BeautiControl Cosmetics Inc</t>
  </si>
  <si>
    <t>Mnfr cosmetics,beauty aids</t>
  </si>
  <si>
    <t>Tupperware Corp</t>
  </si>
  <si>
    <t>Mnfr plastic consumer prod</t>
  </si>
  <si>
    <t>US - Tupperware Corp (TC) acquired all the outstanding common stock of Beauticontrol Cosmetics Inc (BC), a manufacturer of beauty and cosmetics supplies, for $7.00 in cash per share, or a total value of $54.315 mil. Earlier, TC completed its tender offer for BC by accepting 7 mil common shares, or about 96.8% of the company's common stock outstanding. The offer was conditioned upon at least a majority of the shares being tendered on a fully- diluted basis.</t>
  </si>
  <si>
    <t>Dynex Capital Inc</t>
  </si>
  <si>
    <t>California Investment Fund LLC</t>
  </si>
  <si>
    <t>US - California Investment Fund LLC (CI), a unit of Regions Financial Corp's First Commercial Corp subsidiary, withdrew its definitive agreement to acquire the remaining 95% interest, or 10.874 mil common shares, which it did not already own, in Dynex Capital Inc, a real estate investment trust, for $88.856 mil. CI offered an amended $2 in cash per common share; $12. 07 in cash per series A convertible preferred share; $12.32 in cash per series B convertible preferred share and $15.08 in cash per series C convertible preferred share.</t>
  </si>
  <si>
    <t>Fatbrain.com Inc</t>
  </si>
  <si>
    <t>Pvd online book retail svcs</t>
  </si>
  <si>
    <t>barnesandnoble.com Inc</t>
  </si>
  <si>
    <t>Pvd on-line book retail market</t>
  </si>
  <si>
    <t>US - barnesandnoble.com Inc (BN) acquired Fatbrain.com Inc (FB), a provider of online book retail svcs, in a stock swap transaction valued at $57.179 mil. BN offered . 689 shares per FB share and $1.0625 in cash per share. Based on BN's closing stock price of $4.625 on September 12, the last full trading day prior to announcement, each FB share was valued at $3. 1875. The transaction was also subject to proration whereby 25% of the total was paid in cash and 75% in BN common stock.</t>
  </si>
  <si>
    <t>US - Chase Manhattan Corp (CM) acquired all the outstanding common stock of JP Morgan &amp; Co Inc (JPM), a bank holding company, in a stock swap transaction valued at $33.555 bil. CM offered 3. 7 common shares per JPM share. Based on CM's closing stock price of $52.50 on September 12, the last full trading day prior to the announcement, each JPM share was valued at $194.25 . Upon completion, the combined entity was named JP Morgan Chase &amp; Co. Originally, CM was rumored to be in negotiations to acquire all the outstanding common stock of JPM.</t>
  </si>
  <si>
    <t>Planet Earth Recycling Inc</t>
  </si>
  <si>
    <t>Waste collection holding co</t>
  </si>
  <si>
    <t>Adventure Minerals Inc</t>
  </si>
  <si>
    <t>Mining company</t>
  </si>
  <si>
    <t>US - Adventure Minerals Inc acquired all the outstanding stock of Planet Earth Recycling Inc, a provider of recycling services for 10 mil restricted common shares. Upon completion Adventure Minerals Inc was to change its name to Planet Earth Recycling Inc.</t>
  </si>
  <si>
    <t>MoneyZone.com</t>
  </si>
  <si>
    <t>Pvd online financial info svcs</t>
  </si>
  <si>
    <t>Global Capital Partners Inc</t>
  </si>
  <si>
    <t>US - Global Capital Partners Inc raised its interest to 57. 4% from 30% in MoneyZone.com, a provider of online financial information services, by converting a debenture for 8.449 mil shs com, in exchange for $2.5 mil. The consideration was to also consist of all the assets of MZ, including domain names, trademarks, loan processing software, logos, and equipment.</t>
  </si>
  <si>
    <t>Cobalt Networks Inc</t>
  </si>
  <si>
    <t>Prvd server appliances</t>
  </si>
  <si>
    <t>US - Sun Microsystems Inc (SM) acquired Cobalt Networks Inc (CN), a provider of server appliances, in a stock swap transaction valued at $1. 925 bil. SM Inc offered .5 shares per CN share. Based on SM's closing stock price of $115.25 on September 18, the last full trading day prior to announcement, each CN share was valued at $57.625.</t>
  </si>
  <si>
    <t>Langer Biomechanics Group Inc</t>
  </si>
  <si>
    <t>Mnfr,whl medical foot product</t>
  </si>
  <si>
    <t>OrthoStrategies Inc</t>
  </si>
  <si>
    <t>US - OrthoStrategies Inc (OI) launched a tender offer to acquire a 75% interest, or 1. 93 mil common shares, in Langer Biomechanics Group (LBG), a manufacturer and marketer of professional foot orthotics, for an amended $1. 525 in cash per share, or a total value of $2.955 mil. The offer was conditioned upon at least 51% of the shares being tendered. The offer was amended due to LBG's below forecast operating results. Originally, OI signed a letter of intent to acquire all the outstanding stock of LBG for $1.75 in cash per share, or a total value of $4.57 mil. The purchase price per share was subject to adjustment, from a minimum of $1.73 to a cap of $1.81, depending upon the new worth and net working capital of Langer at the time of the merger.</t>
  </si>
  <si>
    <t>Aztec Technology Partners Inc</t>
  </si>
  <si>
    <t>Pvd technology consulting svcs</t>
  </si>
  <si>
    <t>Heritage Concepts Intl</t>
  </si>
  <si>
    <t>US - Heritage Concepts International Inc agreed to acquire an undisclosed majority interest in Aztec Technology Partners Inc, a provider of technology consulting services. Terms were not disclosed.</t>
  </si>
  <si>
    <t>Carolina Southern Bank</t>
  </si>
  <si>
    <t>US - Synovus Financial Corp (SF) agreed to acquire all the outstanding common stock of Carolina Southern Bank, Spartanburg, South Carolina (CS), a savings bank, in a stock swap transaction valued at $63.456 mil. SF offered . 851 common shares per CS share. Based on SF's closing stock price of September 18, the last full trading day prior to the announcement, each CS share was valued at $17.286.</t>
  </si>
  <si>
    <t>Market Financial Corp</t>
  </si>
  <si>
    <t>Pvd institutional savings svcs</t>
  </si>
  <si>
    <t>Peoples Comnty Bancorp Inc,OH</t>
  </si>
  <si>
    <t>US - Peoples Community Bancorp Inc acquired all of the outstanding common stock of Market Financial Corp, a provider of institutional savings services, for a choice of $13 cash or common stock per share, or a total value of $16.789 mil, whereby 50% of the consideration was to be paid in cash and 50% in common stock.</t>
  </si>
  <si>
    <t>US Franchise Systems Inc</t>
  </si>
  <si>
    <t>Pvd franchise services</t>
  </si>
  <si>
    <t>Pritzker Group</t>
  </si>
  <si>
    <t>US - Pritzker Group (PG) acquired all the outstanding common stock of US Franchise Systems Inc (USF), a provider of franchise services, for $5 in cash per share, or a total value of $100.209 mil. Earlier PG completed its tender offer for USF by accepting 14.882 mil common shares, or about 74.58% of the common shares outstanding. The offer was conditioned upon at least a majority of USF's shares being tendered and was subject to Hart-Scott- Rodino regulatory approval.</t>
  </si>
  <si>
    <t>Jefferson Svgs Bancorp,MO</t>
  </si>
  <si>
    <t>US - Union Planters Corp (UP) , Memphis, Tennessee, acquired Jefferson Savings Bancorp Inc (JSB), Ballwin, Missouri, a bank, in a stock swap transaction valued at $146.152 mil. UP offered .433 common shares per JSB share. Based on UP's closing stock price of $33.062 on Sept 19, the last full trading day prior to the announcement, each JSB share was valued at $14.316.</t>
  </si>
  <si>
    <t>Hertz Corp</t>
  </si>
  <si>
    <t>Pvd auto,truck rental svcs</t>
  </si>
  <si>
    <t>US - Ford Motor Co (FM) acquired the remaining 18.5% stake, or 20.57 mil common shares that it did not already own, in Hertz Corp (HC), a provider of automobile and truck rental services, for a sweetened $35. 5 in cash per Class A common share, or a total value of $734.039 mil. Earlier, FM completed its tender offer by accepting 19.4 mil shares, or about 18%. Originally, FM offered $30 in cash per Class A common share, or a total value of $600.56 mil.</t>
  </si>
  <si>
    <t>Boiling Springs Svgs Bk,Ruther</t>
  </si>
  <si>
    <t>US - Boiling Springs Savings Bank, Rutherford, New Jersey, acquired all the outstanding common stock of Ridgewood Financial Inc (RF), Ridgewood, New Jersey, a savings and loan bank, for $18 in cash per share, or a total value of $57.24 mil. Concurrently, Provident Savings Bank withdrew its agreement to acquire RF for $15 per share.</t>
  </si>
  <si>
    <t>Sunburst Hospitality Corp</t>
  </si>
  <si>
    <t>US - A management-led investor group, including Chairman Steward Bainum Jr and Nova Finance Co LLC, a company owned by certain members of management, acquired Sunburst Hospitality Corp, an owner and operator of hotels, for $7.375 in cash per share, or a total value of $120.754 mil, in a leveraged buyout transaction.</t>
  </si>
  <si>
    <t>WesterFed Financial Corp,MT</t>
  </si>
  <si>
    <t>US - Glacier Bancorp Inc, Kalispell, Montana (GB), acquired Westerfed Financial Corp, Billings, Montana (FC), a provider of fund management and financial advisory services, in a stock swap transaction valued at $95.626 mil. GB offered 1.1 common shares and $9.05 in cash per FC share. Based on GB's closing stock price of $12. 875 on September 20, the last full trading day prior to the announcement, each CB share was valued at $23.2125. Upon completion, WF shareholders receive 1.7902 GB stock or $23.47 in cash. At the termination date, which will be 15 days prior to closing, the value of the combined cash and stock that each shareholder will receive will have the same value. Based on GB's closing price on September 20, 2000, of $12.88, the transaction has an implied per share value of $23.213 per WF share.</t>
  </si>
  <si>
    <t>@plan.inc</t>
  </si>
  <si>
    <t>Pvd internet marketing tools</t>
  </si>
  <si>
    <t>US - Doubleclick Inc (DC) acquired all the outstanding common stock of @Plan.Inc (PL) , a provider of internet market research decsion support and planning systems specifically designed for internet advertisers, advertising agencies and web publishers, for an amended $102.347 mil. DC offered a choice of $8 in cash per share or between $1.6 and $4 in cash per share and the remainder in DC common stock, adding up to $8 per PL common share. Originally, DC planned to acquire PL in a stock swap transaction valued at $116. 489 mil, subject to a collar agreement. DC offered $9.25 per PL share, whereby 20% was to be in cash and 80% was to be in common stock.</t>
  </si>
  <si>
    <t>Bush Boake Allen(Union Camp)</t>
  </si>
  <si>
    <t>Produce extracts,syrups</t>
  </si>
  <si>
    <t>IFF</t>
  </si>
  <si>
    <t>Manufacture,wholesale flavor,fragrance products</t>
  </si>
  <si>
    <t>US - International Flavors &amp; Fragrances (IFF) acquired all the outstanding stock of Bush Boake Allen Inc (BB) a, majority owned unit of International Paper Co and a producer of food flavorings and syrups, for $48.50 in cash per share, or a total value of $964.186 mil. Earleier IFF completed its tender offer for BB by accepting 18.833 mil shares, or about 97.47% of the company's common stock outstanding. The tender offer was to be conditioned upon at 66.667% of BB's stock being tendered.</t>
  </si>
  <si>
    <t>Dynamic Homes LLC</t>
  </si>
  <si>
    <t>US - Dynamic Homes LLC agreed to acquire all the outstanding common stock of Dynamic Homes Inc (DYI), a manufacturer of prefabricated wood buildings, for $2.55 in cash per share, or a total value of $5.767 mil.</t>
  </si>
  <si>
    <t>Del Webb Corp</t>
  </si>
  <si>
    <t>Dev residential communities</t>
  </si>
  <si>
    <t>JF Shea Co Inc</t>
  </si>
  <si>
    <t>Residential const, venture cap</t>
  </si>
  <si>
    <t>US - JF Shea Co withdrew its plans to acquire all the outstanding common stock of Del Webb Corp (DWC), a developer of residential communities, via a tender offer for $30 in cash per share, or a total value of $572.624 mil. The offer was conditioned upon at least a majority of DWC's shares being tendered.</t>
  </si>
  <si>
    <t>Rbid.com Inc</t>
  </si>
  <si>
    <t>Pvd mktg svcs</t>
  </si>
  <si>
    <t>US - Rbid.com terminated its agreement to launch a tender offer to acquire 5.954 mil Class A common shares and 11. 759 Class B common shares, or a 61.67% interest in Herbalife International Inc, a wholesaler of vitamins and minerals, from Mark Hughes Family Trust, for $10.25 in cash per Class A share and $9. 50 in cash per Class B share, or a total value of $172.739 mil.</t>
  </si>
  <si>
    <t>US - Landry's Seafood Restaurants Inc (LS) acquired the remaining 95.5% interest, that it did not already own, in Rainforest Cafe Inc (RF), an owner and operator of cafes, for $3.25 in cash per share, or a total value of $70.769 mil. Previously, it completed its tender offer by accepting 13.4 mil shares. The offer was subject to a termination agreement in which RF would reimburse LS up to $2.5 mil for expenses. Previously, LS withdrew its offer of $5.23 per RF share.</t>
  </si>
  <si>
    <t>US - In December 2000, United Dominion Industries Ltd (UD), a manufacturer of engineered products, withdrew its search for a buyer for the company. Subsequently, UD put itself back on the market and agreed to be acquired by SPX Corp.</t>
  </si>
  <si>
    <t>Urban Shopping Centers Inc</t>
  </si>
  <si>
    <t>Pvd svc as real estate trust</t>
  </si>
  <si>
    <t>Rodamco North America NV</t>
  </si>
  <si>
    <t>US - Rodamco North America NV (RN) acquired all the outstanding common stock and operating partnership units of Urban Shopping Centers Inc, a provider of services as a self administered real estate investment trust in the business of owning, managing, leasing, developing and redeveloping of malls throughout the US, for $48 in cash per share, or a total value of $3.358 bil, including the assumption of $1.8 bil in liabilities. The offer was conditioned upon at least 66.6% of the shares being tendered. Earlier, RN completed its tender offer by accepting 26.308 mil shares. Upon completion, RN was to become the third-largest regional mall company in the US by doubling its assets to about $7 bil.</t>
  </si>
  <si>
    <t>Acuson Corp</t>
  </si>
  <si>
    <t>Mnfr ultrasound imaging sys</t>
  </si>
  <si>
    <t>Siemens Medical Solutions Inc</t>
  </si>
  <si>
    <t>Mnfr,whl med,dental,hosp equip</t>
  </si>
  <si>
    <t>US - Siemens Medical (SM), a unit of Siemens AG, acquired all the outstanding common stock of Acuson Corp (AC), a manufacturer of diagnostic ultrasound imaging systems, for $23 in cash per share, or a total of value of $668.093 mil. Earlier, SM completed its tender offer for AC by accepting 26.026 mil shares, or 94.31% of AC's common shares outstanding. The offer was conditioned upon at least a majority of AC's shares being tendered, on a fully diluted basis.</t>
  </si>
  <si>
    <t>Dain Rauscher Corp</t>
  </si>
  <si>
    <t>US - Royal Bank of Canada (RYC) merged with Dain Rauscher Corp (DR), an investment bank, for $95 in cash per share, or a total value of $1.354 bil. The transaction could be terminated by either company if it isn't completed by March 31, 2001. DR was to pay $14 mil to RYC if its board fails to recommend merger or recommends another acquisition.</t>
  </si>
  <si>
    <t>First Washington Realty Trust</t>
  </si>
  <si>
    <t>US Retail Partners LLC</t>
  </si>
  <si>
    <t>US - US Retail Partners LLC acquired all of the outstanding common stock of First Washington Realty Trust Inc, a real estate investment trust, for $26.12 in cash per share, or a total value of $469.701 mil, and the assumption of an undisclosed amount in liabilities.</t>
  </si>
  <si>
    <t>Golf Trust of America Inc</t>
  </si>
  <si>
    <t>US - In September 2000, Golf Trust of America Inc, a specialty purpose finance company, disclosed that it was seeking a buyer for the company. Larry Young, a member of the board, was named as a possible bidder for the company.</t>
  </si>
  <si>
    <t>US - Maxtor Corp, a manufacturer of computer disk drives, was rumored to be in negotiations to divest the company to an undisclosed acquiror. The Current status of this deal is unknown.</t>
  </si>
  <si>
    <t>Pilgrim's Pride Corp</t>
  </si>
  <si>
    <t>Produce,whl poultry prod</t>
  </si>
  <si>
    <t>US - Pilgrim's Pride Corp acquired all the outstanding common stock of WLR Foods Inc, a provider and wholesaler of processed poultry and meat products, for $14.25 in cash per share, or a total value of $279.85 mil, including the assumption of an amended $45. 5 mil in liabilities. Originally, $14.25 in cash per share, or a total value of $292.125 mil, including the assumption of $60 mil in liabilities.</t>
  </si>
  <si>
    <t>Bridge Technology Inc</t>
  </si>
  <si>
    <t>Pvd wireless application svcs</t>
  </si>
  <si>
    <t>MSA Capital Corp</t>
  </si>
  <si>
    <t>US - MSA Capital Corp (MC) agreed to acquire all the outstanding common stock of Bridge Technology Inc, a provider of wireless aplication services for the mass transit and shuttle service industries, for $4. 935 mil in a reverse takeover transaction. The consideration was to consist of $.3 mil in cash, 12.5 mil common shares valued at $2. 575 mil and up to $2.06 mil in profit-related payments. The shares were based on MC's closing stock price of $.206 on September 21, the last full trading day prior to the announcement.</t>
  </si>
  <si>
    <t>ASM Lithography Holding NV</t>
  </si>
  <si>
    <t>Mnfr photolithography systems</t>
  </si>
  <si>
    <t>US - ASM Lithography Holding NV (ASM) of the Netherlands acquired all the outstanding common stock of Silicon Valley Group Inc (SVG), a manufacturer of integrated circuits, in a stock swap transaction valued at $1.562 bil. ASM offered 1.286 ordinary shares per SVG share. Based on ASM's closing stock price of $32.313 on September 29, the last full trading day prior to the announcement, each SVG share was valued at $41.555. The transaction was to be accounted for as a pooling of interests. Upon completion, ASM was ordered to sell SVG's Tinsley Laboratories subsidiary.</t>
  </si>
  <si>
    <t>Simpson Industries Inc</t>
  </si>
  <si>
    <t>Heartland Industrial Partners</t>
  </si>
  <si>
    <t>US - Heartland Industrial Partners LP acquired all the outstanding common stock of Simpson Industries Inc, a manufacturer of motor vehicle parts, for $13 in cash per share, or a total value of $350.075 mil, including the assumption of $117.633 mil in liabilities, in a leveraged buyout transaction.</t>
  </si>
  <si>
    <t>CEMEX SA DE CV</t>
  </si>
  <si>
    <t>Mnfr,whl cement,ready-mix prod</t>
  </si>
  <si>
    <t>US - Cia Cementos Mexicanos SA {Cemex} (CC) acquired all the outstanding common stock of Southdown Inc (SI), a manufacturer of cement and provider of limestone mining services, for $73 in cash per share, or a total value of $2. 846 bil, including the assumption of $185 mil in liabilities. Earlier, CC completed its tender offer for SI by accepting 33.023 mil shares, or about 91.99% of the company's common stock outstanding. The offer was conditioned upon at least 66. 66% of SI's shares being tendered.</t>
  </si>
  <si>
    <t>Applied Science &amp; Technology</t>
  </si>
  <si>
    <t>MKS Instruments Inc</t>
  </si>
  <si>
    <t>Mnfr,whl process control instr</t>
  </si>
  <si>
    <t>US - MKS Instruments Inc (MKS) acquired Applied Science &amp; Technology Inc (AST) , a manufacturer of electronic components, in a stock swap transaction valued at $312.329 mil. MKS offered . 7669 common shares per AST share. Based on MKS's closing stock price of $27.375 on September 29, the last full trading day prior to the announcement, each AST share was valued at $20.994. The transaction was accounted for as a pooling of interests.</t>
  </si>
  <si>
    <t>Crescendo Pharmaceuticals Corp</t>
  </si>
  <si>
    <t>Mnfr pharma preparations</t>
  </si>
  <si>
    <t>US - Alza Corp agreed to acquire all of the outstanding Class A common shares of Crescendo Pharmaceuticals Corp, a manufacturer of pharmaceutical preparations, for $20.27 in cash per share, or a total value of $97.975 mil.</t>
  </si>
  <si>
    <t>DLJ Merchant Banking Partners</t>
  </si>
  <si>
    <t>US - DLJ Merchant Banking Partners III LP, a unit of Donaldson Lufkin &amp; Jenrette Inc, withdrew its agreement to acquire all the outstanding common stock of IBP Inc (IBP), a producer of beef and pork products, for $22.25 in cash per share, or a total value of $3.767 bil, including the assumption of $1.4 bil in liabilities in a leveraged buyout transaction. Subsequently, Smithfield Foods Inc and Tyson Foods Inc (TFI) withdrew challenging offers to acquire IBP Inc.</t>
  </si>
  <si>
    <t>FleetBoston Financial Corp,MA</t>
  </si>
  <si>
    <t>US - FleetBoston Financial Corp (FB), Boston, Massachusetts, acquired Summit Bancorp (SB), Princeton, New Jersey, a bank holding company, in a stock swap transaction valued at $7. 012 bil. FB offered 1.02 common shares per SB share. Based on FB's closing stock price of $39 on September 29, the last full trading day prior to the announcement, each SB share was valued at $39.78. The transaction was accounted for as a pooling of interests and will solidify FB's market share in New Jersey and the New York metro area. Originally, on September 27, FB was rumored to be planning to acquire all the outstanding common stock of SB. Subsequently, in January 2001, SB announced that it was seeking a buyer for 5 branches located in Atlantic City, New Jersey. The divestitures were to be made in order to resolve antitrust concerns over acquisition.</t>
  </si>
  <si>
    <t>Vialog Corp</t>
  </si>
  <si>
    <t>Genesis Malaysia Maju Fund</t>
  </si>
  <si>
    <t>US - Genesys SA acquired Vialog Corp, a provider of telephone communication services, in a stock swap transaction valued at $170. 755 mil, including the assumption of an estimated $90 mil in liabilities. GS offered .3352 ordinary shares per VC share, subject to a collar agreement. Based on GS's closing stock price of $21.44 US on April 24, the last full trading day prior to the announcement of the specific terms, each VC share was valued at $7.187.</t>
  </si>
  <si>
    <t>CapRock Communications Corp</t>
  </si>
  <si>
    <t>US - McLeodUSA Inc (MLU) acquired all of the outstanding common stock of CapRock Communications Corp (CRC), an owner and operator of a fiber optic network, in a stock swap transaction valued at $531.775 mil, including the assumption of $335 mil in liabilities. MLU offered .3876 common shares per CRC share. Based on MLU's closing stock price of $13. 062 on October 2, the last full trading day prior to the announcement, each CRC share was valued at $5.063.</t>
  </si>
  <si>
    <t>Netcreations Inc</t>
  </si>
  <si>
    <t>US - DoubleClick Inc (DC) withdrew its agreement to acquire Netcreations Inc (NC), an Internet based advertising agency, in a stock swap transaction valued at $190.572 mil. DC offered . 41 common shares per NC share. Based on DC's closing stock price of $29.625 on October 2, the last full trading day prior to the announcement, each NC share was valued at $12.146. Immediately prior to the withdrawal, NC had notified DC that it received a higher bid from an unnamed third party and intended to accept the competing offer.</t>
  </si>
  <si>
    <t>Robinson Nugent Inc</t>
  </si>
  <si>
    <t>Mnfr electronic hardware</t>
  </si>
  <si>
    <t>3M Co</t>
  </si>
  <si>
    <t>Mnfr coated paper,tapes</t>
  </si>
  <si>
    <t>US - Minnesota Mining and Manufacturing Co (3M) acquired all the outstanding common stock of Robinson Nugent Inc (RN), a manufacturer of electronic hardware, in a stock swap transaction valued at $123. 856 mil including the assumption of $18 mil in liabilities. 3M offered $19 in common stock per RN share, subject to a collar agreement.</t>
  </si>
  <si>
    <t>Thermo Cardiosystems Inc</t>
  </si>
  <si>
    <t>Mnfr heart monitoring systems</t>
  </si>
  <si>
    <t>Thoratec Cardiosystems Inc</t>
  </si>
  <si>
    <t>Mnfr cardiac medical devices</t>
  </si>
  <si>
    <t>US - Thoratec Laboratories Inc (TL) merged in a reverse transaction with Thermo Cardiosystems Inc (TC), a majority-owned unit of Thermo Electron Co (TE), for $699. 563 mil. TLC offered .835 common shares per TC share. Based on TL's closing stock price of $20.5625 on October 2, the last full trading day prior to the announcement, each TC share was valued at $17.17. The transaction was accounted for as a pooling of interests. Previously, TE disclosed that it was seeking a buyer for its 60% interest in its TC. Concurrently, searches for buyers were disclosed for Trex Medical Corp, Thermo Terratech Inc, Thermo Coleman Corp, Peek Ltd, NuTemp Inc, Thermo Trilogy Corp and Peter Brotherhood. The 8 transactions were part of a restructuring to make TE one publicly traded company. Subsequently, ABIOMED Inc launched an unsolicited offer to acquire all the outstanding stock of TCI, for $11.5 in cash and common stock per share, or a total value of $443.469 mil. Upon completion TC changed its name to Thoratec Corp.</t>
  </si>
  <si>
    <t>ZapMe! Corp</t>
  </si>
  <si>
    <t>Pvd internet access for school</t>
  </si>
  <si>
    <t>Gilat Satellite Networks Ltd</t>
  </si>
  <si>
    <t>Pvd IP-based satellite commun</t>
  </si>
  <si>
    <t>US - Gilat Satellite Networks Ltd completed its tender offer to acquire a 51% interest, or 23.033 mil common shares, in ZapMe Corp (ZM), a provider of Internet access for schools, for $2.32 in cash per share, or a total value of $53.436 mil by accepting 16.6 mil shares, or about 37%. The offer was conditioned upon at least 17% of ZM's shares being tendered.</t>
  </si>
  <si>
    <t>Bowlin Outdoor Advtg &amp; Travel</t>
  </si>
  <si>
    <t>US - Lamar Advertising Co (LAC) acquired all of the outstanding stock of Bowlin Outdoor Advertising &amp; Travel Centers Inc (BOA), an owner and operator of retail stores, in a stock swap transaction valued at $41.642 mil, including the assumption of up to $14.5 mil in liabilities. LAC offered .725 mil common shares. The shares were valued based on LAC's closing stock price of $37. 437 on October 3, the last full trading day prior to the announcement. BOA was to retain the right to terminate the agreement if the average closing stock price of LAC's shares over a 30 day period prior to closing was less than $40 per share.</t>
  </si>
  <si>
    <t>Hello Direct Inc</t>
  </si>
  <si>
    <t>Own,op mail-order company</t>
  </si>
  <si>
    <t>GN Netcom Inc</t>
  </si>
  <si>
    <t>Mnfr,whl headsets</t>
  </si>
  <si>
    <t>US - GN Netcom (GN), a unit of GN Store Nord AS's GN Great Nordic Communications A/ S subsidiary, acquired all the outstanding common stock of Hello Direct Inc (HDI), a mail order company, for $16. 40 in cash per share, or a total value of $94.044 mil. Earlier GN completed its tender offer to acquire HDI by accepting 4.99 mil shares, or 80.761% of the company's shares outstanding. The offer was conditioned upon at least a majority of the shares being tendered on a fully- diluted basis.</t>
  </si>
  <si>
    <t>Home-Stake Oil &amp; Gas Co</t>
  </si>
  <si>
    <t>Cortez Oil &amp; Gas Inc</t>
  </si>
  <si>
    <t>US - Cortez Oil &amp; Gas Inc acquired all of the outstanding common stock of Home-Stake Oil &amp; Gas Co, a producer of oil and natural gas, for $11.00 per share in cash, or a total value of $50. 255 mil.</t>
  </si>
  <si>
    <t>InnerDyne Inc</t>
  </si>
  <si>
    <t>Mnfr surgical access prods</t>
  </si>
  <si>
    <t>US - Tyco International Ltd (TI) acquired Interdyne Co (IC), a surgical devices manufacturer, for $7.50 in common stock per share, or a total value of $194.809 mil. Earlier, TI completed its tender offer for IC by accepting 21.68 mil common shares, or about 94.13% of IC's common stock outstanding. The offer was conditioned upon at least a majority of TI's shares being tendered.</t>
  </si>
  <si>
    <t>Integ Inc</t>
  </si>
  <si>
    <t>Mnfr glucose monitoring equip</t>
  </si>
  <si>
    <t>Inverness Medical Tech Inc</t>
  </si>
  <si>
    <t>Mnfr,whl med diagnostic device</t>
  </si>
  <si>
    <t>US - Inverness Medical Technology Inc (IMTI) acquired Integ Inc (II), a manufacturer of glucose monitoring equipment, in a stock swap transaction valued at $55.769 mil. IMTI offered an amended 0.1739 common shares per II share. Based on IMTI's closing stock price of $29 on January 22, the last full trading day prior to the announcement of the new exchange ratio, each II share was valued at $5.042. Previously, IMTI offered .187 common shares per II share. Upon completion, II preferred shares were to be redeemed for cash.</t>
  </si>
  <si>
    <t>Quantum HDD(Quantum Corp)</t>
  </si>
  <si>
    <t>Mnfr,whl hard disk drives</t>
  </si>
  <si>
    <t>US - Maxtor Corp (MC) acquired all the outstanding common stock of Quantum HDD (HDD), a manufacturer and wholesaler of hard disk drives, from Quantum Corp (QC) in a reverse stock swap transaction valued at $1.375 bil. MC offered 1.52 common shares per HDD share. Based on MC's closing stock price of 9.781 on October 3, the last full trading day prior to the announcement, each HDD share was valued at $14.867. The transaction was not to include QC's storage systems group, Quantum DLT (QD). Upon completion, the combined company was to retain the MC name and the QD group was to operate under the QC name.</t>
  </si>
  <si>
    <t>US - Firstar Corp (FC), Milwaukee, Wisconsin merged with US Bancorp (USB), Minneapolis, Minnesota , a bank holding company, in a stock swap transaction valued at $21.085 bil. FC offered 1. 265 shares per USB share. Based on FC's closing stock price of $22.25 on October 3, the last full trading day prior to announcement, each USB share was valued at $28. 146. The transaction was accounted for as a pooling of interests. Upon completion, the combined company was to operate under the USB name with headquarters in Minneapolis.</t>
  </si>
  <si>
    <t>Interstate Hotels Corp</t>
  </si>
  <si>
    <t>Shaner Hotel Group Inc</t>
  </si>
  <si>
    <t>US - Shaner Hotel Group (SH) planned to acquire all of the outstanding common shares of Interstate Hotels Corp, an owner and operator of hotels, for a sweetened $4.50 in cash per share, or a total value of $30.95 mil. Originally, SH offered $4.125 in cash per share, or a total value of $27.9 mil.</t>
  </si>
  <si>
    <t>Pancho's Mexican Buffet Inc</t>
  </si>
  <si>
    <t>Stephen Oyster</t>
  </si>
  <si>
    <t>US - Mr. Stephen Oyster acquired the remaining 91.5% interest, or 1.33 mil common shares, that he did not already own in Pancho's Mexican Buffet Inc, an owner and operator of restaurants, for an amended $4.6 in cash per share, or a total value of $6.128 mil. Originally, Mr. Oyster offered $5 in cash per share, or a total value of $6.196 mil.</t>
  </si>
  <si>
    <t>Ugly Duckling Corp</t>
  </si>
  <si>
    <t>Own,op used car dealerships</t>
  </si>
  <si>
    <t>Ernest C Garcia II</t>
  </si>
  <si>
    <t>US - Ernest C Garcia II withdrew plans to acquire all the outstanding shares that he did not already own in Ugly Duckling Corp, an owner and operator of used car dealerships, for $66.805 mil. The consideration consisted of $19.648 mil in cash and $47.157 mil in subordinated debt.</t>
  </si>
  <si>
    <t>Taco Cabana Inc</t>
  </si>
  <si>
    <t>wn,op mexican restaurants</t>
  </si>
  <si>
    <t>US - Carrols Corp acquired Taco Cabana Inc, an owner and operator of Mexican restaurants, for $9.04 in cash per common share, or a total value of $151.412 mil, including the assumption of $42 mil in liabilities.</t>
  </si>
  <si>
    <t>Block Drug Co</t>
  </si>
  <si>
    <t>Mnfr dental prod,pharmaceutica</t>
  </si>
  <si>
    <t>US - GlaxoSmithKline PLC (GSK) formerly known as SmithKline Beecham PLC acquired all the outstanding common stock of Block Drug Co (BD) for $53 in cash per share, or a total value of $1. 235 bil. Previously, GSK completed its tender offer by accepting 22.991 mil shares, or 97.88% of BD's common shares outstanding. The offer was conditioned upon at least majority of BD's shares being tendered. Originally, in June 2000, BD announced that it was seeking a buyer for the company.</t>
  </si>
  <si>
    <t>Cameron Financial,Cameron,MI</t>
  </si>
  <si>
    <t>Dickinson Finl,Kansas City,MO</t>
  </si>
  <si>
    <t>US - Dickinson Financial Corp, Kansas City, Missouri acquired all the outstanding stock of Cameron Financial Corp, Cameron, Michigan, a bank holding company for $20. 75 in cash per share, or a total value of $39.708 mil.</t>
  </si>
  <si>
    <t>Lifemark Corp</t>
  </si>
  <si>
    <t>Evercare</t>
  </si>
  <si>
    <t>Pvd coordinated elderly care</t>
  </si>
  <si>
    <t>US - Evercare (EC), a unit of UnitedHealth Group's (UH) Ovations subsidiary, merged with Lifemark Corp (LC), a provider of business consulting services, for $10. 55 in UH common stock per share, or a total value of an estimated $62.444 mil, subject to a collar agreement.</t>
  </si>
  <si>
    <t>GrandBanc Inc</t>
  </si>
  <si>
    <t>Century Bancshares Inc</t>
  </si>
  <si>
    <t>Savings inst;bank holding co</t>
  </si>
  <si>
    <t>US - Century Bancshares Inc (CB) acquired GrandBanc Inc, a bank holding company, in a stock swap transaction valued at $8.783 mil. CB offered . 3318 common shares per GB share. Based on CB's closing stock price of $6.531 on October 3, the last full trading day prior to the announcenment, each GB share was valued at $2.167. The transasction was to be accounted for as a pooling of interests.</t>
  </si>
  <si>
    <t>Rocky Mountain Bank</t>
  </si>
  <si>
    <t>First Natl Bank of Nevada Hold</t>
  </si>
  <si>
    <t>US - First National Bank of Nevada Holding Co (FNBN) acquired an 84.8% interest in Rocky Mountain Bank Inc (RMB), a state bank, for $9.75 per in cash per share, or a total value of $11.141 mil. Upon completion, RMB was renamed First National Bank of Arizona. Previously, FNBN planned to acquire all the outstanding common stock of RMB.</t>
  </si>
  <si>
    <t>Cerprobe Corporation</t>
  </si>
  <si>
    <t>Mnfr measuring equip</t>
  </si>
  <si>
    <t>Kulicke &amp; Soffa Industries Inc</t>
  </si>
  <si>
    <t>Mnfr semiconductor equip</t>
  </si>
  <si>
    <t>US - Kulicke and Soffa Industries Inc (KS) acquired all the outstanding common stock of Cerprobe Corp (CC), a manufacturer of electricity measuring equipment, for $20 in cash per share, or a total value of $201.368 mil. Earlier, KS completed its tender offer for CC's by accepting 8.858 mil shares, or 92.5% of CC's common shares outstanding. The offer was conditioned on at least a majority of CC's share being tendered.</t>
  </si>
  <si>
    <t>Engle Homes Inc</t>
  </si>
  <si>
    <t>Construct single-family homes</t>
  </si>
  <si>
    <t>Technical Olympic USA Inc</t>
  </si>
  <si>
    <t>US - Technical Olympic USA Inc, a unit of Technical Olympic SA, completed its tender offer to acquire all the outstanding common stock of Engle Homes Inc (EH), a single family home construction company, for $19. 10 in cash per share or a total value of $464.159 mil, including the assumption of $250 mil in liabilities, by accepting 10.66 mil shares, or about 98.42% of EH's common stock outstanding.</t>
  </si>
  <si>
    <t>US - An investor group, comprised of Whitehall Street Real Estate Limited Partnership XIII and Whitehall Parallel Real Estate Limited Partnership XIII, both units of the real estate investment arm of Goldman Sachs Group Inc, withdrew its plans to acquire all the outstanding common stock of Lodgian Inc (LI), an owner and operator of hotels, for $4.50 in cash per share, or a total value of $163.435 mil. Subsequently, Edgecliff Holdings LLC also withdrew it plans to launch an unsolicited, challenging tender offer to acquire the remaining 85.1% interest, or 23.936 mil common shares, which it did not already own, in LI.</t>
  </si>
  <si>
    <t>National Discount Brokers</t>
  </si>
  <si>
    <t>On-Line Trading Company</t>
  </si>
  <si>
    <t>Deutsche Bank AG</t>
  </si>
  <si>
    <t>Provide banking and financial services</t>
  </si>
  <si>
    <t>US - Deutsche Bank AG (DB) acquired the remaining 84% interest, or 17.639 mil common shares, that it did not already own, in National Discount Brokers Group Inc (NDB), an online trading company, for $49 in cash per share, or a total value of $898.645 mil. Previously, it completed its tender offer by accepting approximately 16.8 mil common shares, or about 89.25% of NDB's common stock outstanding. The offer was conditioned upon at least a majority of NDB's shares being tendered, on a fully- diluted basis.</t>
  </si>
  <si>
    <t>Fortress Investment Corp</t>
  </si>
  <si>
    <t>US - Fortress Investment Corp (FIC) , acquired all the outsanding common stock of Impac Commercial Holdings Inc (ICH) , an investment firm, for $7.55 per share, or a total value of $60.412 mil, in a leveraged buyout transaction. Earlier, FIC completed its tender offer for ICH by accepting 7.207 mil common shares, or about 90% of the total shares outstanding, on a fully- diluted basis.</t>
  </si>
  <si>
    <t>Telefonaktiebolaget LM</t>
  </si>
  <si>
    <t>Provides telecommun services</t>
  </si>
  <si>
    <t>US - LM Ericsson Telefon AB (LME) acquired all the outstanding common stock of Microwave Power Devices (MPD), a manufacturer of communications equipment, for $8.70 in cash per share, or a total value of $95.104 mil. Earlier, LME completed it's tender offer for MPD by accepting 10.384 mil common shares, or about 90.16% of MPD's common stock outstanding.</t>
  </si>
  <si>
    <t>Bluefly Inc</t>
  </si>
  <si>
    <t>Soros Private Equity Partners</t>
  </si>
  <si>
    <t>US - Soros Private Equity Fund (SP), a unit of Soros Fund Management Inc, acquired a 72.82% interest, or an undisclosed amount of convertible preferred shares, in Bluefly Inc (BF), a provider of ecommerce retail services of discount designer fashions and home furnishings, for $15 mil in a leveraged buyout transaction.</t>
  </si>
  <si>
    <t>Convergent Group Corp</t>
  </si>
  <si>
    <t>Pvd Intenet services</t>
  </si>
  <si>
    <t>Schlumberger Ltd</t>
  </si>
  <si>
    <t>US - Schlumberger Ltd (SL) acquired a 71.7% interest, or 31.131 mil common shares, in Convergent Group Corp (CGC), a provider of Intenet services, for $8 in cash per share, or a total value of $249.044 mil. Previously, SL completed its tender offer by accepting 29.872 mil shares, or 68.8% of CGC's common shares outstanding. The offer was conditioned upon at least a majority of CGC's shares being tendered. Upon completion, the executive management of CGC was to own 26% of the common shares outstanding, and Cinergy Ventures LLC, an affiliate of CGC's largest client Cinergy Corp, was to own 2.3% of the common shares outstanding, becoming stockholders of the new entity, Convergent Holding Corp.</t>
  </si>
  <si>
    <t>Coulter Pharmaceuticals Inc</t>
  </si>
  <si>
    <t>Mnfr cancer pharmaceuticals</t>
  </si>
  <si>
    <t>US - Corixa Corp (CC) acquired Coulter Pharmaceutical Inc (CP), a manufacturer of cancer pharmaceuticals, in a stock swap transaction valued at $853.872 mil. CC offered 1. 003 common shares per CP share. Based on CC's closing stock price of $44.187 on October 13, the last full trading day prior to the announcement, each CP share was valued at $44.32.</t>
  </si>
  <si>
    <t>Edgecliff Holdings LLC</t>
  </si>
  <si>
    <t>US - Edgecliff Holdings LLC (EH) withdrew its plans to launch a tender offer to acquire the remaining 85.1% interest, or 23.936 mil common shares, which it did not already own, in Lodgian Inc (LI), an owner and operator of hotels, for an amended $4.75 in cash per share, or a total value of $882.728 mil, including the assumption of $730 mil in liabilities. Originally, EH offered $5 in cash per share, or a total value of $1.06 bil, including the assumption of $900 mil in liabilities. Previously, an investor group, comprised of Whitehall Street Real Estate Limited Partnership XIII and Whitehall Parallel Real Estate Limited Partnership XIII, both units of the real estate investment arm of Goldman Sachs Group Inc, also withdrew its plans to acquire LI.</t>
  </si>
  <si>
    <t>Morgan's Foods Inc</t>
  </si>
  <si>
    <t>US - In October 2000, Morgan's Foods Inc, an owner and operator of franchise restaurants, withdrew its seeking a buyer for the company.</t>
  </si>
  <si>
    <t>Real Goods Trading Corp</t>
  </si>
  <si>
    <t>Retail healthy living products</t>
  </si>
  <si>
    <t>Gaiam Inc</t>
  </si>
  <si>
    <t>Pvd lifestyle-media services</t>
  </si>
  <si>
    <t>US - Gaiam Inc (GI) acquired Real Goods Trading Corp (RGT), a provider of oil and gas exploration services, in a stock swap transaction valued at $8.184 mil. GI offered .1 common shares per RGT share. Based on GI's closing stock price of $17 on October 13, the last full trading day prior to the announcement, each RGT share was valued at $1.7. Upon completion, RGT shareholders would receive $1 in gift certificates for GI products for each RGT share owned.</t>
  </si>
  <si>
    <t>US - United Technologies Corp (UT) acquired all the outstanding common stock of Specialty Equipment Companies Inc (SE), a manufacturer and wholesaler of commercial food equipment, for $30.50 in cash per share, or a total value of $724.371 mil, including the assumption of $100 mil in liabilities. Earlier, UT completed its tender offer for SE by accepting an estimated 19.1 mil shares, or 97.9% of SE's common shares outstanding. The offer was conditioned upon at least a majority of SE's shares being tendered.</t>
  </si>
  <si>
    <t>US - Chevron Corp (CC) merged with Texaco Inc (TI), an oil and natural gas producing and exploring company, in a stock swap transaction valued at $42.872 bil, including the assumption of an estimated $7 bil in liabilities. CC offered .77 common shares per TI share. Based on CC's closing stock price of $84.25 on October 13, the last full trading day prior to the announcement, each TI share was valued at $64.873. The transaction was to be accounted for as a pooling of interests. Upon completion, the combined company was to be named Chevron Texaco and was to create the fourth- largest publicly traded oil company in the world after Exxon Mobil, Royal Dutch/ Shell Group, and BP Amoco. Subsequently, Avfuel Corp agreed to acquire the general aviation business of TI in order to comply with regulatory requirements. Concurrently, TI amended it poison pill to exempt CC from all provisions of its right agreement.</t>
  </si>
  <si>
    <t>JPS Packaging Co</t>
  </si>
  <si>
    <t>Manufacture flexible packaging</t>
  </si>
  <si>
    <t>Pechiney SA</t>
  </si>
  <si>
    <t>Mnfr aluminium prod</t>
  </si>
  <si>
    <t>US - Pechiney SA (PSA) acquired all the outstanding common stock of JPS Packaging Co (JPS), a manufacturer of flexible packaging materials, for $7.86 in cash per share, or a total value of $45.469 mil. Earlier, PSA completed its tender offer for JPS by accepting 5.3 mil common shares, or about 95.41% of JPS' common stock outstanding. The offer was conditioned upon at least a majority of JPS's shares being tendered. Originally, JPS was rumored to be in negotiations to divest the company to an undisclosed acquiror.</t>
  </si>
  <si>
    <t>Sunrise Medical Inc</t>
  </si>
  <si>
    <t>Mnfr medical rehab products</t>
  </si>
  <si>
    <t>US - A management-led investor group (MIG), including Chief Executive Michael Hammes, Park Avenue Equity Partners, and Vestar Capital Partners, acquired all the outstanding common stock of Sunrise Medical Inc (SM), a manufacturer of medical rehabilitation products, for $10 in cash per share, or a total value of $240.997 mil, in a leveraged buyout transaction. Earlier, MIG completed its tender offer for SM by accepting 21. 52 mil common shares, or about 96.73% of SM's common stock outstanding. The offer was conditioned upon at least of majority of SM's shares being tendered. Upon completion, management retained a 17% stake, while Vestar and Park Avenue retained the remainder.</t>
  </si>
  <si>
    <t>Timberline Bancshares Inc</t>
  </si>
  <si>
    <t>Coml bank;holding company</t>
  </si>
  <si>
    <t>PremierWest Bancorp,Medford,OR</t>
  </si>
  <si>
    <t>US - PremierWest Bancorp (PW) acquired Timberline Bancshares Inc (TB) for $14. 021 mil. PW offered a choice of $13.50 in cash, or common stock, or a combination thereof per TB share.</t>
  </si>
  <si>
    <t>Trex Medical Corp(ThermoTrex)</t>
  </si>
  <si>
    <t>Mnfr mammograghy, x-ray equip</t>
  </si>
  <si>
    <t>US- Thermo Electron Corp (TEC) acquired the remaining 23% stake, or 7.5 mil common shares, that it did not already own, in Trex Medical Corp (TMC), a manufacturer of mammograghy and x-ray equipment, for $2.15 in cash per share, or a total value of $16.137 mil. Earlier, TEC completed it tender offer for TMC by accepting 6 mil common shares, or about 79.94% of TMC's common stock outstanding. The offer was conditioned upon at least 90% of TMC's shares being tendered. Previously, in January 2000, ThermoTrex Corp, a majority-owned unit of TEC, disclosed that it planned to seek a buyer for its 77.7% interest in its Trex Medical Corp subsidiary. Concurrently, searches for buyers were disclosed for Thermo Terratech Inc, Thermo Coleman Corp, Peek Ltd, NuTemp Inc, Thermo Trilogy Corp, Peter Brotherhood, and Thermo Cardiosystems. The 8 transactions were to be part of a restructuring to make TE one publicly traded company.</t>
  </si>
  <si>
    <t>Cascade Corp</t>
  </si>
  <si>
    <t>US - An investor group comprised of Lift Technologies Inc, TD Capital Group Ltd, and Ontario Municipal Employees Retirement Board, withdrew an agreement to acquire all the outstanding common stock of Cascade Corp (CC), a manufacturer of lift truck attachments, for an amended $15.75 in cash per share, or a total value of $180.178 mil. Originally, in September 2000, it was was rumored that the investor group planned to acquire CC. The original bid was for $17.25 in cash per share, or a total value of $197.857 mil.</t>
  </si>
  <si>
    <t>Media Arts Group Inc</t>
  </si>
  <si>
    <t>Mnfr media products</t>
  </si>
  <si>
    <t>Thomas Kinkade</t>
  </si>
  <si>
    <t>US - Thomas Kinkade withdrew his plans to acquire the remaining 76%, or 9.99 mil common shares, that he did not already own, in Media Arts Group Inc (MAG) for $6. 25 in cash per share, or a total value of $71.567 mil.</t>
  </si>
  <si>
    <t>Triad Hospitals Inc</t>
  </si>
  <si>
    <t>Own,op hosp</t>
  </si>
  <si>
    <t>US - Triad Hospitals Inc (THI) acquired Quorum Health Group Inc (QHG), an owner and operator of acute care hospitals, in a stock swap transaction valued at $1.399 bil. THI offered $3.50 in cash and 0.411 common shares per QHG share. Based on THI's closing stock price of $30.75 on October 18, the last full trading day prior to announcement, each QHG share was valued at $16.138.</t>
  </si>
  <si>
    <t>SVI Holdings Inc(Softline)</t>
  </si>
  <si>
    <t>US - In October 2000, Softline Holdings Ltd, annouced that it was seeking a buyer for its 60% interest in SVI Holdings Inc, an investment firm.</t>
  </si>
  <si>
    <t>Health Systems Design Corp</t>
  </si>
  <si>
    <t>US - Perot Systems Corp acquired Health Systems Design Corp, a provider of healthcare consulting services, for $2 in cash per share, or a total value of $13.613 mil.</t>
  </si>
  <si>
    <t>Century Bancorp Inc,NC</t>
  </si>
  <si>
    <t>US - First Bancorp, Troy, North Carolina (FB) merged with Century Bancorp Inc, Thomasville, North Carolina (CB), a bank holding company, for $22.1 mil. FB offered a choice of $20 in cash or 1. 3333 common shares per CB share. The transaction was also subject to propation whereby 60% of CB common stock was to be exchanged for cash and 40% exchanged for FB common stock.</t>
  </si>
  <si>
    <t>US - An investor group, led by Berkshire Hathaway Inc (BH) and members of management acquired an 87.5% interest, or 110.8 mil common shares, in Shaw Industries Inc (SI), a manufacturer of tufted carpets, for $19 in cash per share, or a total value of $2. 114 bil, in a leveraged buyout transaction. Concurrently, BH was granted an option to acquire the remaining 12.5% of SI. Previously, BH had offered $19 per share, but those plans were withdrawn upon management's interest in participating in the deal.</t>
  </si>
  <si>
    <t>Fashionmall.com</t>
  </si>
  <si>
    <t>Own,op online shopping mall</t>
  </si>
  <si>
    <t>Sitestar Corp</t>
  </si>
  <si>
    <t>US - Sitestar Corp, a majority-owned unit of Interfoods Consolidated Inc, withdrew its plans to acquire all the outstanding common stock of Fashionmall.com Corp, an owner and operator of an online department store, for $3.00 in cash per share, or a total value of $24.972 mil.</t>
  </si>
  <si>
    <t>US - General Electric Co (GE) withdrew its agreement to acquire Honeywell International Inc (HI), a manufacturer of aircraft engines and parts, turbines, radar systems, motor vehicles, brakes, chemicals and plastic materials, in a stock swap transaction valued at $45.205 bil. GE offered 1.055 common shares per HI share. Based on GE's closing stock price of $52.125 on October 20, the last full trading day prior to the announcement, each HI share was valued at $54.992. The transaction was to be accounted for as a pooling of interests. Contingent upon Justice Department approval, HI must divest its helicopter-engine unit. Subsequently, GE agreed to acquire Tensor Inc, a manufacturer of oil and gas field machinery, and Honeywell Advanced Composites, a manufacturer of micro turbines and fuel cells, from HI.</t>
  </si>
  <si>
    <t>Immulabs Corp</t>
  </si>
  <si>
    <t>Aggressive American Capital</t>
  </si>
  <si>
    <t>US - Aggressive American Capital Partners Inc acquired an 82.266% interest, or 7.985 mil common shares, in Immulabs Corp, a provider of medical research services, for $.068 mil.</t>
  </si>
  <si>
    <t>Bluestone Software Inc</t>
  </si>
  <si>
    <t>US - Hewlett-Packard Co (HP) acquired all of the outstanding common stock of Bluestone Software Inc (BS), a provider of business software, in a stock swap transaction valued at $528. 878 mil. HP offered .243 common shares per BS share. Based on HP's closing stock price of October 23, the last full trading day prior to the announcement, each BS share was valued at $23.935.</t>
  </si>
  <si>
    <t>First Capital Bank,Phoenix,AZ</t>
  </si>
  <si>
    <t>Colorado Business Bankshares</t>
  </si>
  <si>
    <t>US - Colorado Business Bankshares Inc, Denver, Colorado (CBB) acquired all the outstanding common stock of First Capital Bank, Phoenix, Arizona (FCB), in a stock swap transaction valued at $28.588 mil. CBB offered 2. 322 common shares per FCB share, subject to a collar agreement. Based on CBB's closing stock price of $16. 875 on October 23, the last full trading day prior to the announcement, each FCB share was valued at $39.184. The transaction was to be accounted for as a pooling of interests.</t>
  </si>
  <si>
    <t>Axcelis Technologies(Eaton)</t>
  </si>
  <si>
    <t>Mnfr ion implantation equip</t>
  </si>
  <si>
    <t>US - Eaton Corp (EC) completed the spinoff its remaining 82.95% interest in Axcelis Technologies Inc (AT) unit, a manufacturer of ion implantation equipment, to its shareholders in a transaction valued at $696. 808 mil. EC common shareholders received an estimated 1.15 AT common shares per EC share held. The shares were valued based on AT's closing stock price of $8.656 on January 2, the first full trading day on which the shares were distributed. Previously, EC split off an approximate 18% stake in AT to investors in an initial public offering.</t>
  </si>
  <si>
    <t>Continuus Software Corp</t>
  </si>
  <si>
    <t>Telelogic AB</t>
  </si>
  <si>
    <t>US - Telelogic AB (TL) acquired all the outstanding common stock of Continuus Software Corp (CS), a developer of configuration management software for UNIX- based systems, for $3.46 in cash per share, or a total value of $43.334 mil. Previously, TL completed its tender offer by accepting 7. 596 mil common shares, or about 71.87% of the total outstanding. The offer was conditioned upon at least a majority of CS's shares being tendered on a fully-diluted basis.</t>
  </si>
  <si>
    <t>EduTrek International Inc</t>
  </si>
  <si>
    <t>Provide college academic svcs</t>
  </si>
  <si>
    <t>US - Career Education Corp (CEC) acquired all the outstanding common stock of Edutek International Inc, a provider of college, university, and professional school academic services, in a stock swap transaction valued at $44.613 mil. The consideration consisted of $2. 5 mil in cash, $.563 mil in convertible securities, and 1. 2 mil common shares valued at $41.55 mil. The shares were valued based on CEC's closing stock price of $34.625 on October 24, the last full trading day prior to the announcement.</t>
  </si>
  <si>
    <t>Fiduciary Trust Co Intl</t>
  </si>
  <si>
    <t>Pvd investment mgmt svcs</t>
  </si>
  <si>
    <t>Franklin Templeton Investments</t>
  </si>
  <si>
    <t>Provide investment management services</t>
  </si>
  <si>
    <t>US - Franklin Resources Inc (FR) merged with Fiduciary Trust Co International (FT), a provider of investment management services, in a stock swap transaction valued at $815.592 mil. FR offered 2. 774 common shares per FT share, subject to a collar agreement. Based on FR's closing stock price of $40.4 on October 24, the last full trading day prior to the announcement, each FT share was valued at $112.086. The transaction was originally to be accounted for as a pooling of interests. Subsequently, the two companies decided to use the purchase method of accounting based on a pronouncement by the Financial Accounting Standards Board. Originally, FR definitively agreed to merge with FT in a stock swap transaction valued at $825.01 mil. FR offered $113.380 in common shares per FT share, subject to a collar agreement agreement.</t>
  </si>
  <si>
    <t>pcOrder.com</t>
  </si>
  <si>
    <t>Pvd ecommerce svcs</t>
  </si>
  <si>
    <t>Trilogy Software Inc</t>
  </si>
  <si>
    <t>US - Trilogy Software Inc acquired the remaining 38.9% stake, or 6.567 mil common shares, that it did not already own, in pcOrder.com (PC), a provider of ecommerce solutions, for $6.375 in cash per share, or a total value of $48.345 mil. Earlier, TS completed its tender offer for PC by accepting 5.053 mil shares, or 29.93% of PC's common stock outstanding.</t>
  </si>
  <si>
    <t>US - A management-led investor group (MG), including Uno Restaurant Corp (UNO) Chairman Aaron Spencer, acquired the remaining 38% stake, or 6.042 mil common shares, that it did not already own, on a fully- diluted basis, in UNO, an owner and operator of restaurants, via a tender offer, for a sweetened $9.75, or a total value of $45.428 mil in a leveraged buyout transaction. Previously, MG offered $8.75 in cash per share. The offer was conditioned upon 90% of UNO's shares being tendered. Upon completion, UNO became a privately held company.</t>
  </si>
  <si>
    <t>Capital Holdings Inc</t>
  </si>
  <si>
    <t>US - Fifth Third Bancorp of Cincinnati Ohio (FT) merged with Capital Holdings Inc (CH) , a comercial bank, in a stock swap transaction valued at $242.107 mil. FT offered . 637 common shares per CH share. Based on FT's closing stock price of $51.375 per share on October 25, the last full trading day prior to the announcement, each CH share was valued at $32.725. The transaction included Capital Bank NA, a unit of CH.</t>
  </si>
  <si>
    <t>Corsair Communications Inc</t>
  </si>
  <si>
    <t>Mnfr,whl telecom software sys</t>
  </si>
  <si>
    <t>Lightbridge Inc</t>
  </si>
  <si>
    <t>US - Lightbridge Inc (LB) merged with Corsair Communications Inc (CC), a manufacturer and wholesaler of telecom software systems, in a stock swap transaction valued at $170.891 mil. LB offered .5978 common shares per CC share. Based on LB's closing stock price on October 25, the last full trading day prior to the announcement, each CC share was valued at $9.34. The transaction was to be accounted for as a pooling of interests. Upon completion, CC was renamed LB.</t>
  </si>
  <si>
    <t>GaSonics International Corp</t>
  </si>
  <si>
    <t>Mnfr photoresist removal equip</t>
  </si>
  <si>
    <t>Novellus Systems Inc</t>
  </si>
  <si>
    <t>Mnfr advanced process equip</t>
  </si>
  <si>
    <t>US - Novellus Systems Inc (NSI) merged with GaSonics International Corp (GIC), a manufacturer and supplier of photoresistant removal equipment, in a stock swap transaction valued at $365. 347 mil. NSI offered .52 common shares per GIC share. Based on NSI's closing stock price on October 24, the last full trading day prior to the announcement, each GIC share was valued at $20.28. The transaction was accounted for as a pooling of interests.</t>
  </si>
  <si>
    <t>Hardin Bancorp Inc</t>
  </si>
  <si>
    <t>US - Dickinson Financial Corp, Kansas City, Missouri, acquired all the outstanding stock of Hardin Bancorp Inc, a bank holding company, for $21.75 cash per share, or a total value of $15.909 mil.</t>
  </si>
  <si>
    <t>Keebler Foods Co</t>
  </si>
  <si>
    <t>Produce bread,cookies;hldg co</t>
  </si>
  <si>
    <t>US - Kellogg Corp (KC) acquired all the outstanding common stock of Keebler Foods Co (KF), a producer of bread and cookies and a holding company, from majority-owner Flowers Industries Inc (FI), for $42 in cash per share, or a total value of $4.652 bil, including the assumption of an estimated $800 mil in liabilities. Originally in July 2000, FI disclosed that it was seeking a buyer for its majority-owned KF subsidiary. Possible bidders had included KC, Groupe Danone SA, Campbell Soup Co and Pepsi Co.</t>
  </si>
  <si>
    <t>About.com Inc</t>
  </si>
  <si>
    <t>Pvd Internet information svc</t>
  </si>
  <si>
    <t>PRIMEDIA Inc</t>
  </si>
  <si>
    <t>US - Primedia Inc (PMI) acquired About.com Inc (AI), an Internet portal, in a stock swap transaction valued at $699.501 mil. PMI offered 2.341 common shares per AI share. Based on PMI's closing stock price of October 27, the last full trading day prior to the announcement, each PMI share was valued at $35.69.</t>
  </si>
  <si>
    <t>Azurix Corp(Enron Corp)</t>
  </si>
  <si>
    <t>Pvd water services</t>
  </si>
  <si>
    <t>US - Enron Corp acquired the remaining 33.068% stake, or 38.83 mil common shares, which it did not already own, in Azurix Corp (AZ), a provider of water services, for a sweetened $8.375 in cash per share or a total value of $330.134 mil. Upon completion, AZ was delisted from public trading.</t>
  </si>
  <si>
    <t>Reed Elsevier Group PLC</t>
  </si>
  <si>
    <t>Publish periodicals</t>
  </si>
  <si>
    <t>US - Reed Elsevier PLC (RE), a joint venture between Reed International PLC and Elsevier NV, acquired all the outstanding common stock of Harcourt General Inc (HGI), an owner and operator of movie theaters and stores, for $59 in cash per share, or a total value of $5.603 bil, including the assumption of $1.2 bil in liabilities. Earlier RE completed its tender offer for HGI by accepting 69.344 mil shares, or 94.8% of HGI's common shares outstanding. The offer was conditioned upon at least a majority of HGI's shares being tendered. Upon completion, RE will have acquired HGI's Scientific, Technical and Medical business as well as its K-12 Schools Education and Testing businesses. Originally in June 2000, HGI announced that it was seeking a buyer for the company. Bidders had included Wolters Kluwer, Reed Elsevier, McGraw Hill, Bertelsmann, Pearson, and Thomson Corp. Concurrently, Thomson Corp acquired the higher education business and certain corporate professional services businesses, from RE, for $2. 06 bil in cash.</t>
  </si>
  <si>
    <t>Neutral Posture Ergonomics Inc</t>
  </si>
  <si>
    <t>US - A management-led investor group, including Chief Executive Rebecca Boenigk and Executive Vice President Jaye Congleton of Neutral Posture Ergonomics Inc (NPE), acquired the remaining 38% stake, or 1.26 mil common shares, that it did not already own in NPE, a manufacturer of ergonomic office furniture, for $1.72 in cash per share, or a total value of $2.162 mil, in a leveraged buyout transaction.</t>
  </si>
  <si>
    <t>SeraNova Inc</t>
  </si>
  <si>
    <t>Pvd info tech services</t>
  </si>
  <si>
    <t>Silverline Technologies Ltd</t>
  </si>
  <si>
    <t>US - Silverline Technologies (ST) acquired SeraNova Inc (SN), a provider of Internet consulting services, in a stock swap transaction valued at $97.017 mil. ST offered . 35 common shares per SN share. Based on ST's closing stock price of $15.875 on October 26, the last full trading day prior to the announcement, each SN share was valued at $5.556.</t>
  </si>
  <si>
    <t>TelCom Semiconductor Inc</t>
  </si>
  <si>
    <t>Mnfr analog circuit boards</t>
  </si>
  <si>
    <t>Microchip Technology Inc</t>
  </si>
  <si>
    <t>US - Microchip Technology Inc (MT) acquired all the outstanding common stock of Telcom Semiconductor Inc (TS), a manufacturer of semiconductors, in a stock swap transaction valued at $318.269 mil. MT offered .53 common shares per TS common share. Based on MT's closing stock price of $29.75 on October 26, the last full trading day prior to the announcement of the exact exchange ratio, each TS share was valued at $13.9125. Originally, MT offered $15 in common stock per TS share, subject to a collar agreement which was subsequently breached. Upon completion, TC became a wholly owned subsidiary of MC and existing TC employees were to become a part of MC's existing analog product group.</t>
  </si>
  <si>
    <t>Basin Exploration Inc</t>
  </si>
  <si>
    <t>Stone Energy Corp</t>
  </si>
  <si>
    <t>US - Stone Energy Corp (SE) acquired Basin Exploration Inc (BE), an oil and gas exploration and production company, in a stock swap transaction valued at $471. 071 mil, including the assumption of an estimated $48 mil in liabilities. SE offered .3974 common shares per BE common share. Based on SE's closing stock price of $54.16 on October 27, the last full trading day prior to the announcement, each BE share was valued at $21.52. The transaction was to be accounted for as a pooling of interests. SE shareholders was to own about 71% of the combined company, and BE the remaining 29%.</t>
  </si>
  <si>
    <t>Chesapeake Biological Labs Inc</t>
  </si>
  <si>
    <t>Cangene Corp</t>
  </si>
  <si>
    <t>US - Cangene Corp (CG) acquired all the outstanding common stock of Chesapeake Biological Laboratories Inc (CB), a manufacturer of pharmaceuticals, for $4.60 per share, or a total value of $36.451 mil, including the assumption of $7.2 mil in liabilities. Earlier, CG completed its tender offer for CB by accepting 5.283 mil shares, or 93% of CB's common shares outstanding. The offer was conditioned upon at least a majority of the shares being tendered.</t>
  </si>
  <si>
    <t>US - Wachovia Corp (WC), Winston-Salem, North Carolina, acquired all the outstanding common stock of Republic Security Financial Corp (RS), West Palm Beach, Florida , a bank holding company, in a stock swap transaction valued at $384.979 mil. WC offered . 1245 common shares per RS share, subject to a collar agreement, which was subsequently breached. Based on WC's closing stock price of $63.14 on February 28, the last full trading day prior to clsoing, each RS share was valued at $7.861.</t>
  </si>
  <si>
    <t>Smith Barney Municipal Fund</t>
  </si>
  <si>
    <t>Smith Barney Intermed Muni Fd</t>
  </si>
  <si>
    <t>US - Smith Barney Intermediate Municipal Fund Inc (SBI) acquired all the outstanding common shares of Smith Barney Municipal Fund Inc (SBM), an investment portfolio, in a stock swap transaction. Each SBM was exchanged for an SBI share on an equal net asset value as of the last day of trading prior to the completion of the deal.</t>
  </si>
  <si>
    <t>BLC Financial Services Inc</t>
  </si>
  <si>
    <t>Pvd small bus lending svcs</t>
  </si>
  <si>
    <t>Business development co</t>
  </si>
  <si>
    <t>US - Allied Capital Corp (ACC) acquired BLC Financial Services Inc (BLC), a provider of lending services, in a stock swap transaction valued at $101.093 mil. ACC offered .18 common shares per BLC share. Based on ACC's closing stock price of $20. 375 on October 30, the last full trading day prior to the announcement, each BLC share was valued at $3.668. The transaction was to be accounted for as a pooling of interests. Upon completion, BLC changed its name to Business Loan Express Inc.</t>
  </si>
  <si>
    <t>Farm Family Holdings Inc</t>
  </si>
  <si>
    <t>Direct Property and Casualty Insurance Carriers</t>
  </si>
  <si>
    <t>American National Insurance Co</t>
  </si>
  <si>
    <t>US - American National Insurance Co (ANI) acquired all the outstanding common and Series A preferred stock of Farm Family Holdings Inc (FFH), an insurance company serving farms, agricultural related businesses and residents and business of rural and suburban communities, for $44 in cash per common share and $35.72 in cash per Series A preferred share, or a total value of $277.182 mil. Upon completion, FFH was to become a subsidiary of ANI.</t>
  </si>
  <si>
    <t>Imperial Bancorp,Inglewood,CA</t>
  </si>
  <si>
    <t>US - Comerica Inc, Detroit, Michigan (COM) acquired Imperial Bancorp, Inglewood, California, (IPB) a bank holding company, in a stock swap transaction valued at $1. 387 bil. COM offered .46 common shares per IPB share. Based on COM's closing stock price of $60.313 on October 31, the last full trading day prior to the announcment, each IPB share was valued at $27.744. The transaction was accounted for as a pooling of interests.</t>
  </si>
  <si>
    <t>Mesaba Holdings Inc</t>
  </si>
  <si>
    <t>US - Northwest Airlines Corp (NW) withdrew its plan to acquire the remaining 72% interest or 14.593 mil common shares, that it did not already own, in Mesaba Holdings Inc, an airline holding company, for $13 per share, or a total value of $191.512 mil. NW already holds warrants to acquire additional shares to raise its stake to 40%.</t>
  </si>
  <si>
    <t>Developers Diversified Realty</t>
  </si>
  <si>
    <t>US - Developers Diversified Realty Corp (DDR) acquired the remaining 54% interest, or 11.33 mil common shares, which it did not already own, in American Industrial Properties REIT Inc, a real estate investment trust, for an amended $12.89 per share, or a total value of $146.397 mil. Previously, DDR offered $13.74 per share, or a total value of $155.791 mil.</t>
  </si>
  <si>
    <t>BYL Bancorp,Orange,CA</t>
  </si>
  <si>
    <t>PBOC Holdings Inc</t>
  </si>
  <si>
    <t>US - PBOC Holdings Inc (PBOC) withdrew its agreement to acquire all the outstanding common stock of BYL Bancorp (BYL), a commercial bank holding company, located in Yorba Linda, Calfornia for $15 in cash per share, or a total value of $39.284 mil. Originally, PBOC was rumored to be in negotiations to acquire BYL.</t>
  </si>
  <si>
    <t>Bath National Corp</t>
  </si>
  <si>
    <t>Financial Institutions Inc</t>
  </si>
  <si>
    <t>US - Financial Institutions Inc acquired all the outstanding common stock of Bath National Corp, a national commercial bank, for $48 in cash per share, or a total value of $65.558 mil.</t>
  </si>
  <si>
    <t>SAGA Systems Inc</t>
  </si>
  <si>
    <t>Software AG</t>
  </si>
  <si>
    <t>Pvd software development svcs</t>
  </si>
  <si>
    <t>US - Software AG acquired all the outstanding stock of SAGA Systems Inc, a developer of applications software, from Thayer Capital Partners, for $11.50 in cash per share, or a total value of $347.987 mil.</t>
  </si>
  <si>
    <t>US - Cendant Corp (CC) acquired all the outstanding common stock of Fairfield Communities Inc (FC), a provider of vacation and resort construction services, for $16 in cash and common stock per share, or a total value of $805.253 mil, including the assumption of $93.5 mil in liabilities. At least 50% of the consideration was to be paid in cash and the balance was to be paid in cash or common stock, at CC's selection. As part of the agreement, CC can ask FC to spin off the property-development portion of the business to FC's current shareholders. In turn, Cendant would serve as the exclusive sales and marketing agent for such facilities. Previously, CC definitively agreed to acquire all the outstanding common stock of FC for $15 in cash and common stock per share, or a total value of $759.319 mil, including the assumption of $93.5 mil in liabilities, subject to a collar agreement which was subsequently breached.</t>
  </si>
  <si>
    <t>Getty Petroleum Marketing Inc</t>
  </si>
  <si>
    <t>Whl,retail petroleum products</t>
  </si>
  <si>
    <t>LUKoil Holdings</t>
  </si>
  <si>
    <t>Russian Fed</t>
  </si>
  <si>
    <t>US - LUKoil acquired all the outstanding common stock of Getty Petroleum Marketing Inc (GP), an oil and gas exploration and production company, for $5 in cash per share, or a total value of $71.086 mil, by accepting 10. 082 mil common shares, or about 72% of the total outstanding. The offer was to be conditioned upon at least a majority of GP's shares being tendered. Subsequently, United Refining Co planned to acquire GP for $5.75 per common share.</t>
  </si>
  <si>
    <t>Jade Financial Corp</t>
  </si>
  <si>
    <t>US - PSB Bancorp Inc, Philadelphia, Pennsylvania acquired all the outstanding common stock of Jade Financial Corp, an investment holding company, for $13.55 in cash per share, or a total value of $25.378 mil.</t>
  </si>
  <si>
    <t>Ellett Brothers Inc</t>
  </si>
  <si>
    <t>Mnfr,wholesale sporting goods</t>
  </si>
  <si>
    <t>US - An investor group consisting of Chairman Robert D. Gorham Jr., Secretary and Director E. Wayne Gibson and certain companies owned by both the executives, agreed to acquire the remaining 35. 9%, or 1.465 mil common shares, which it did not already own, in Ellett Brothers Inc, a manufacturer and wholesaler of outdoor sporting goods, for a sweetened $3.20 in cash per share, or a total value of $4. 689 mil, in a leveraged buyout transaction. The investor group indicated that it had no interest in selling its controlling ownership position to a third party. Originally, the investor group offered $2.75 in cash per share, or a total value of $4.030 mil.</t>
  </si>
  <si>
    <t>Equinox Systems Inc</t>
  </si>
  <si>
    <t>Mnfr computer hardware</t>
  </si>
  <si>
    <t>Avocent Corp</t>
  </si>
  <si>
    <t>Mnfr,whl hardware prod</t>
  </si>
  <si>
    <t>US - Avocent Corp acquired all the outstanding common stock of Equinox Systems Inc, a manufacturer of computer hardware and software, for $9. 75 in cash per share, or a total value of $56.914 mil.</t>
  </si>
  <si>
    <t>SierraCities.com Inc</t>
  </si>
  <si>
    <t>Pvd online equip financing svc</t>
  </si>
  <si>
    <t>VerticalNet Inc</t>
  </si>
  <si>
    <t>Pvd supply mgmt solutions svcs</t>
  </si>
  <si>
    <t>US - VerticalNet Inc (VN) withdrew its tender offer to acquire all the outstanding common stock of SierraCities. com Inc (SC), a provider of equipment financing services, via a stock swap transaction valued at $133.398 mil. VN offered $7 in common stock per SC share, subject to a collar agreement. The offer was conditioned upon at least 66.67% of SC's shares being tendered. Approximately 20% of SC's shareholders had already agreed to tender their shares. Upon completion, SC was to be renamed VerticalNet Credit.</t>
  </si>
  <si>
    <t>ShowCase Corp</t>
  </si>
  <si>
    <t>Dvlps data warehouse tools</t>
  </si>
  <si>
    <t>SPSS Inc</t>
  </si>
  <si>
    <t>Dvlp analytics software</t>
  </si>
  <si>
    <t>US - SPSS Inc (SI) acquired ShowCase Corp (SC), a developer of end-to-end data warehouse solutions for the IBM AS/400 platform which assist its customers in building strategic enterprise- wide business intelligence solutions, in a stock swap transaction valued at $97.496 mil. SI offered 1 common share for every 3 SC common shares. Based on SI's closing stock price of $25 on November 6, the last full trading day prior to the announcement, each SC share was valued at $8.325. The transaction was accounted for as a pooling of interests.</t>
  </si>
  <si>
    <t>Glen Rock State Bank,PA</t>
  </si>
  <si>
    <t>Community Banks Inc,PA</t>
  </si>
  <si>
    <t>US - Community Banks Inc, Millersburg, Pennsylvania (CB) acquired Glen Rock State Bank, Glen Rock, Pennsylvania (GR), a savings and loan bank, in a stock swap transaction valued at $12.738 mil. CB offered .9 common shares per GR share. Based on CB's closing stock price of of $21. 125 on November 6, the last full trading day prior to the announcement, each GR share was valued at $19.125.</t>
  </si>
  <si>
    <t>Pro-Dex Inc</t>
  </si>
  <si>
    <t>Mnfr,whl surgical prod</t>
  </si>
  <si>
    <t>US - Dentsply International Inc (DSI) withdrew its agreement to acquire all the outstanding common stock of Pro-Dex Inc (PD), an owner of dental care centers, in a stock swap transaction valued at $29.194 mil. DSI offered . 091 common shares per PD share. Based on DSI's closing stock price of $36.188 on November 7, the last full trading day prior to the announcement, each PD share was valued at $3.293.</t>
  </si>
  <si>
    <t>US - Eastman Kodak Co acquired all the outstanding common stock of Lumisys Inc (LI), a manufacturer of medical imaging equipment, for $4.05 per share in cash, or a total value of $39.097 mil. The transaction also included LI's radiology portal, AuntMinnie.com.</t>
  </si>
  <si>
    <t>Benjamin-Moore and Co</t>
  </si>
  <si>
    <t>Mnfr paints,coatings,finishes</t>
  </si>
  <si>
    <t>US - Berkshire Hathaway Inc (BH) acquired all the outstanding common stock of Benjamin Moore &amp; Co (BM), a manufacturer of paints, coatings and finishes, for $37.82 in cash per share, or a total value of $1.016 bil. Earlier, BH completed its tender offer for BM by accepting 26.469 mil common shares, or 99.8% of BM common share outstanding. The offer was conditioned upon at least 66.667% of BM shares being tendered on a fully diluted basis.</t>
  </si>
  <si>
    <t>Ophidian Pharmaceuticals Inc</t>
  </si>
  <si>
    <t>Promega Corp</t>
  </si>
  <si>
    <t>Mnfr molecular biological prod</t>
  </si>
  <si>
    <t>US - Promega Corp agreed to acquire Ophidian Pharmaceuticals (OP) , a manufacturer of pharmaceuticals. Originally, in May 2000, OP announced that it was seeking a buyer for the company.</t>
  </si>
  <si>
    <t>Primex Technologies Inc</t>
  </si>
  <si>
    <t>US - General Dynamics Corp acquired all the outstanding common stock of Primex Technologies Inc, a provider of a variety of munitions, propellants, satellite propulsion systems and electronics products to the U. S government and its allies, as well as domestic and international industrial customers, for $32.10 in cash per share, or a total value of $516.588 mil, including the assumption of $170 mil in liabilities.</t>
  </si>
  <si>
    <t>Public Svc Co of New Mexico</t>
  </si>
  <si>
    <t>Provide electric services</t>
  </si>
  <si>
    <t>US - Public Service Co of New Mexico (PNM) withdrew its agreement to merge with Western Resources Inc (WR), a provider of electric utility, to form a new holding company to be named at a later date, for an estimated $4.45 bil in a reverse takeover stock swap transaction. The consideration was to consist of 55 mil in common shares valued at $1.55 bil and the assumption of an estimated $2. 9 bil in liabilities. The shares were valued based on PNM's closing stock price of $28.188 on November 8, the last full trading day prior to the announcement. Concurrently, WR withdrew its plans to spin off its Westar Industries (WI) unit to its shareholders. The consummation of the merger was contingent upon the completion of the spin off. PNM shareholders were to own approximately 42% of the new holding company with WR and WI shareholders owning the remaining 58%.</t>
  </si>
  <si>
    <t>Active Voice Corp</t>
  </si>
  <si>
    <t>US - Cisco Systems Inc (CS) acquired all the outstanding common stock of Active Voice Corp (AVC), a manufacturer of voice processing systems, in a stock swap transaction valued at $296 mil in common stock. As a result of the acquisition, AVC shareholders received .5796 CS common share per AVC share. Upon completion, CS planned to sell the AVC voicemail business to former AVC employees, which was to be renamed Active Voice Inc.</t>
  </si>
  <si>
    <t>Holt's Cigar Holding Inc</t>
  </si>
  <si>
    <t>Own and operate tobacco stores</t>
  </si>
  <si>
    <t>HCH Acquisition Corp</t>
  </si>
  <si>
    <t>US - CEO Robert G Levin, via his HCH Acquisition Corp (HA), a jointly owned subsidiary of Levin and Fuent Investment Partnership, acquired the the remaining 25.95% stake, or 1. 517 mil common shares, that it did not already own, in Holt's Cigar Holdings Inc (HC) , a retailer and distributor of cigars, for $5.50 in cash per share, or a total value of $11.304 mil, in a leveraged buyout transaction. Earlier, HA completed its offer for HC by accepting 1. 263 mil common shares, or about 83.23% of HC's common stock outstanding. The offer was conditioned upon at least a majority of the shares being tendered.</t>
  </si>
  <si>
    <t>Kenan Transport Co</t>
  </si>
  <si>
    <t>US - An investor group, including Mr. Malcolm Turner, planned to acquire all the outstanding common stock of Kenan Transport Co, a provider of trucking services. Terms were not disclosed.</t>
  </si>
  <si>
    <t>ADAC Laboratories</t>
  </si>
  <si>
    <t>Mnfr diagnostic imaging sys</t>
  </si>
  <si>
    <t>Philips Medical Systems Intl</t>
  </si>
  <si>
    <t>US - Philips Medical Systems International BV (PMS), a unit of Philips Electronics NV, completed a tender offer to acquire all the outstanding common stock of ADAC Laboratories, a manufacturer of diagnostic imaging systems, for $18.50 in cash per share, or a total value of $411.176 mil by acquiring 19.679 mil shares, or approximately 90.56%. The offer was conditioned upon at least 90% of ADAC's shares being tendered, on a fully diluted basis. If fewer were to be tendered, PMS has the option to lower the threshold to 49.9%, and pursue a merger.</t>
  </si>
  <si>
    <t>Adaptive Broadband Corp</t>
  </si>
  <si>
    <t>Mnfr,whl communications system</t>
  </si>
  <si>
    <t>Western Multiplex Corp</t>
  </si>
  <si>
    <t>Mnfr broadband wireless system</t>
  </si>
  <si>
    <t>US - Western Multiplex Corp (WM) withdrew its definitive agreement to merge with Adaptive Broadband Corp (ABC), a manufacturer of radio and TV communications equipment, in a stock swap transaction valued at $664.026 mil. WM offered 1.345 common shares per ABC share. Based on WM's closing stock price of $12.75 on November 10, the last full trading day prior to announcement, each ABC share was valued at $17.149. Upon completion, ABC will become a wholly owned subsidiary of WM, with headquarters in Sunnyvale, California.</t>
  </si>
  <si>
    <t>American Freightways Corp</t>
  </si>
  <si>
    <t>Pvd freight transportation svc</t>
  </si>
  <si>
    <t>FEDEX Corp</t>
  </si>
  <si>
    <t>Pvd transp,logistics svcs</t>
  </si>
  <si>
    <t>US - FedEx Corp (FC) acquired all the outstanding common stock of American Freightways Corp (AFC), a provider of freight transportation services, in a two-tier merger transaction valued at $1.225 bil, including the assumption of $250 mil in liabilities. In the first step, FC acquired a 50.1% interest, or 16.221 mil common shares, in AFC via a tender offer for $28.13 in cash per share, or a total value of $491.188 mil. The offer was conditioned upon at least a majority of AFC's shares being tendered. In the second step, FC acquired the remaining 49.9% stake, or 16. 155 mil common shares, that it did not already own, in AFC in a stock swap transaction valued at $484. 475 mil. FC offered .6639 common shares per AFC share. Based on FC's closing stock price of $45.17 on November 10, the last full trading day prior to the announcement, each AFC share was valued at $29.988. Upon completion, AFC was renamed FedEx Freight, which encompasses AFC and Viking Freight, a sister company.</t>
  </si>
  <si>
    <t>US - Leucadia National Corp wtihdrew its plans to acquire a 62.11% interest, on a fully dilluted basis, or 10 mil preferred shares comvertible into 100 mil common shares on June 30, 2006, in Finova Group Inc, a mortgage bank, for $250 mil in LN's convertible preferred shares, in a privately negotiated transaction. Concurrently, LN's option to raise its interest, or acquire $100 mil in convertible preferred shares, in FG in a privately negotiated transaction was withdrawn.</t>
  </si>
  <si>
    <t>Smithfield Foods Inc</t>
  </si>
  <si>
    <t>Produce,whl pork meat products</t>
  </si>
  <si>
    <t>US - Smithfield Foods Inc (SF) withdrew its unsolicited challenging offer to acquire IBP Inc (IBP), a producer of beef, pork , and variety meats, in a stock swap transaction valued at $3.904 bil, including the assumption of $1.4 bil in liabilities, subject to a collar agreement. SF offered .791 common share per IBP share. Based on SF's closing stock price of $31. 625 on November 10, the last fuill trading day prior to the announcement, each IBP share was valued at $25.02. Previously, DLJ Merchant Banking Partners III LP withdrew its agreement to acquire IBP. Subsequently, Tyson Foods Inc withdrew a challenging offer for IBP.</t>
  </si>
  <si>
    <t>Weyerhaeuser Co</t>
  </si>
  <si>
    <t>US - Weyehaeuser Co (WY) acquired all the oustanding common stock of Willamette Industries Inc (WI), a provider of timber forestry services and manufacturer of wood products, for a thrice sweetened $55.5 in cash per share, or a total value of $7. 857 bil, including the assumption of an estimated $1. 7 bil in liabilities. Earlier, WY completed its unsolicited hostile tender offer by accepting 106.476 mil shares, or 97.5% of WI's common shares outstanding. Previously, WY offered a twice sweetened $55 in cash per share, or a total value of $7.8 bil, including the assumption of an estimated $1. 7 bil in liabilities. Previously, WY offered a sweetened $50 in cash per share, or a total value $7. 236 bil, including the assumption of an estimated $1. 7 bil in liabilities. Originally, WY offered $48 in cash per share, or a total value of $7.002 bil, including the assumption of an estimated $1.7 bil in liabilities. The offer was contingent upon at least a majority of the shares being tendered. Concurrently, WI withdrew from discussions to acquire the building products assets of Pacific Corp. In Jan. 2002, WI rendered its poison pill inapplicable to the merger agreement.</t>
  </si>
  <si>
    <t>Enhance Financial Svcs Grp</t>
  </si>
  <si>
    <t>Pvd credit-based ins svcs</t>
  </si>
  <si>
    <t>Radian Group Inc</t>
  </si>
  <si>
    <t>Pvd mortgage ins svcs</t>
  </si>
  <si>
    <t>US - Radian Group Inc (RG) acquired all the outstanding common stock of Enhance Financial Services Group Inc (EFS), a reinsurance company, in a stock swap transaction valued at $550.307 mil. RG offered .22 common shares per EFS share. Based on RG's closing stock price of $64. 188 on November 13, the last full trading day prior to the announcement, each EFS share was valued at $14.121. Concurrently, Residential Funding Corp, a unit of General Motors Corp's GMAC Mortgage Corp subsidiary, withdrew its agreement to acquire a 46% stake in Credit- Based Asset Servicing &amp; Securitization LLC (CBA), from EFS.</t>
  </si>
  <si>
    <t>United Refining Co</t>
  </si>
  <si>
    <t>US - United Refining Co (UR), a unit of Red Apple Group, withdrew its plans to launch a challenging tender offer to acquire all the outstanding common stock of Getty Petroleum Marketing Inc (GP), a provider of oil and gas exploration and production services, via a tender offer for a sweetened $6 in cash per share, or a total value of $85.684 mil. The offer was conditioned upon at least 90% of GP's shares being tendered. Originally, UR agreed to acquire GP for $5.75 in cash per share. Previously, LUKoil Holding agreed to acquire GP for $5.00 per common share.</t>
  </si>
  <si>
    <t>MicroTouch Systems Inc</t>
  </si>
  <si>
    <t>US - Minnesota Mining &amp; Manufacturing (MM) acquired all the outstanding common stock of MicroTouch Systems Inc (MS), a manufacturer of computer peripheral equipment, for $21 in cash per share, or a total value of $147.704 mil. Earlier, MM completed its tender offer for MS by accepting 7.491 mil common shares or 91.6% of the total fully-diluted shares outstanding. The offer was conditioned upon at least a majority of MS' shares being tendered.</t>
  </si>
  <si>
    <t>US - AT&amp;T Corp (ATT) completed the spin off its Liberty Media Group unit (LMG) , a provider of cable television services, to its shareholders in a transaction value at an estimated $41.864 bil. Liberty Media Tracking (LMT) stock shareholders recieved 1 new LMC share for every 1 LMT share held. The shares were valued based on LMG's closing stock prices of $16.10 and $17.05 for their class A and B shares, respectively, on August 10 the first full trading day on which the shares were distributed. The spinoff was to permit LMG, which trades as a tracking stock of ATT, to raise capital on its own and build relationships with other companies, including those that compete with ATT.</t>
  </si>
  <si>
    <t>Il Fornaio America Corp</t>
  </si>
  <si>
    <t>Own,operate restaurant</t>
  </si>
  <si>
    <t>US - Bruckmann Rosser Sherrill &amp; Co LLC (BRS) acquired all the outstanding common stock of Il Fornaio America Corp (IFA), an Italian restaurant and bakery company, for an amended $12 in cash per share, or a total value of $77.279 mil, in a leveraged buyout transaction. Originally, BRS offered $14 in cash per share, or a total value of $91.223 mil, in a leveraged buyout transaction. Upon completion, IFA would operate as a private company.</t>
  </si>
  <si>
    <t>Guest Supply Inc</t>
  </si>
  <si>
    <t>Mnfr,whl personal care prod</t>
  </si>
  <si>
    <t>BFMA Holding Corp</t>
  </si>
  <si>
    <t>US - BFMA Holding Corp, a unit of Florescue Family Corp, withdrew its plans to launch an unsolicited tender offer to acquire the remaining 95. 33% interest, or 6.303 mil common shares, that it did not already own in Guest Supply Inc (GSI), a manufacturer and wholesaler of personal care products, for $21.00 in cash per share, or a total value of $149.633 mil. Subsequently, Sysco Corp acquired GSI.</t>
  </si>
  <si>
    <t>Coca-Cola Co</t>
  </si>
  <si>
    <t>Produce,wholesale bottled soft drink</t>
  </si>
  <si>
    <t>US - Coca-Cola Co terminated its negotiations to acquire all the outstanding common stock of Quaker Oats Co, a producer of cereals, foods, and drinks.</t>
  </si>
  <si>
    <t>AG-Chem Equipment Co Inc</t>
  </si>
  <si>
    <t>Mfr chem equip and machinery</t>
  </si>
  <si>
    <t>AGCO Corp</t>
  </si>
  <si>
    <t>US - AGCO Corp (AGCO) acquired all the outstanding common stock of AG-Chem Equipment Co Inc (AGC), a manufacturer of chemical equipment and machinery, in a stock swap transaction valued at $267.698 mil. AGCO offered $15.396 in cash and 1.2317 common shares per AGC share. Based on AGCO's closing stock price of $10.188 on November 17, the last full trading day prior to the announcement, each AGC share was valued at $27.944.</t>
  </si>
  <si>
    <t>US - Fifth Third Bancorp (FTB) , Cincinnati, Ohio, acquired Old Kent Financial Corp (OKF), Grand Rapids, Michigan, a bank holding company, in a stock swap transaction valued at $4.954 bil. FTB offered . 74 common shares per OKF share. Based on FTB's closing stock price of $48.063 on November 17, the last full trading day prior to the announcement, each OKF share was valued at $35.566. Subsequently, in March 2001, FTB announced that it was seeking a buyer for 6 branches in Western Michigan. The divestiture was conditional on the approval of the merger between FTB and OKF. Subsequently, OKF divested two of its branches in St. Joseph, Michigan as a condition to the merger.</t>
  </si>
  <si>
    <t>Swiss Army Brands Inc</t>
  </si>
  <si>
    <t>Manufacture,wholesale cutlery</t>
  </si>
  <si>
    <t>Victorinox AG</t>
  </si>
  <si>
    <t>Mnfr,whl cutleries</t>
  </si>
  <si>
    <t>US - Victorinox AG raised its interest to 60.68% from a 40.9% stake in Swiss Army Brands Inc, a manufacturer and wholesale of cutlery, from Brae Group Inc, by acquiring 1.918 mil common shares for $5.00 per share, or a total value of $9.59 mil.</t>
  </si>
  <si>
    <t>US - Park National Corp, Newark, Ohio (PNC), acquired Security Banc Corp, Springfield, Ohio (SBC), a bank holding company, in a stock swap transaction valued at $306.276 mil. PNC offered . 2844 common shares per SBC share. Based on PNC's closing stock price of $91.375 on November 20, the last full trading day prior to the announcement, each SBC share was valued at $25.987. The transaction was to be accounted for as a pooling of interests.</t>
  </si>
  <si>
    <t>US - Hudson River Bancorp Inc, Hudson, NY (HR), acquired all the outstanding common stock of Cohoes Bancorp Inc, Cohoes, NY (CB), a bank holding company, for $19.5 in cash per share, or a total value of $160.697 mil. Previously, in September 2000, HR withdrew its agreement to acquire CB. Previously, Trusto Bank Corp made an unsolicited offer to acquire HR and CB, which was subsequently withdrawn as a result of this new agreement.</t>
  </si>
  <si>
    <t>Chorus Communications Group</t>
  </si>
  <si>
    <t>TDS Telecommunications Corp</t>
  </si>
  <si>
    <t>US - TDS Telecom Inc, a unit of Telephone &amp; Data Systems Inc, acquired the outstanding common stock of Chorus Communications Group Ltd, a manufacturer of communications equipment, for a total value of $225 mil. The consideration was to consist of $195 mil in cash and the assumption of $30 mil in liabilities.</t>
  </si>
  <si>
    <t>Objective Systems Integrators</t>
  </si>
  <si>
    <t>Dvlp,whl mgmt software</t>
  </si>
  <si>
    <t>Agilent Technologies Inc</t>
  </si>
  <si>
    <t>Manufacture test, measurement equipment</t>
  </si>
  <si>
    <t>US - Agilent Technologies Inc (AT), a unit of Hewlett- Packard Co, acquired all the outstanding common stock of Objective Systems Integrators Inc (OSI), a developer of next generation operations support system software for communication service providers, via a tender offer for $17.75 in cash per share, or a total value of $733.478 mil. Earlier, AT completed its tender offer for OSI by accepting 37.573 mil common shares, or 88.12% of the total shares outstanding. The offer was conditioned upon at least a majority of OSI's shares being tendered on a fully-diluted basis.</t>
  </si>
  <si>
    <t>SpaceLabs Medical Inc</t>
  </si>
  <si>
    <t>Mnfr patient monitoring equip</t>
  </si>
  <si>
    <t>Cardiac Science Inc</t>
  </si>
  <si>
    <t>Mnfr,whl electromedical equip</t>
  </si>
  <si>
    <t>US - Cardiac Science Inc withdrew its plan to acquire all the outstanding common stock of SpaceLabs Medical Inc, a manufacturer of patient monitoring and diagnostic cardiology equipment and developer of clinical information system software, for $15 in cash per share, or a total value of $143.817 mil.</t>
  </si>
  <si>
    <t>US - In November 2000, Hercules Inc, a chemical manufacturer, announced that it was seeking a buyer for the company.</t>
  </si>
  <si>
    <t>First Liberty Bank,PA</t>
  </si>
  <si>
    <t>Community Bank System Inc</t>
  </si>
  <si>
    <t>US - Community Bank System (CBS), Dewitt, New York, acquired all the outstanding common shares of First Liberty Bank Corp (FLB), Jermyn, Pennsylvania, a commercial bank and holding company, in a stock swap transaction valued at $87.916 mil. CBS offerred .56 common shares per FLB share. Based on CBS's closing stock price of $24.30 on November 28, the last full trading day prior to the announcement, each FLB share was valued at $13.608. The transaction was accounted for as a pooling of interests.</t>
  </si>
  <si>
    <t>G&amp;L Realty Corp</t>
  </si>
  <si>
    <t>US - An investor group (IG), comprised of CEO Daniel Gottlieb and President Steven Lebowitz, acquired the remaining 71% interest, or 1. 66 mil common shares, which it did not already own, in G&amp;L Realty Corp, a real estate investment trust, for a twice sweetened $13 in cash per share, or a total value of $21.801 mil, in a leveraged buyout transaction. Previously, the IG offered $12 in cash per share. Originally IG offered $10 in cash per share. Previously, an investor group, led by Mr Lyle Weisman, made a challenging bid, which was subsequently withdrawn, to acquire the remaining 88.2% interst, which it did not already own, in G&amp;L Realty Corp (GL), a real estate investment trust, for $15.50 in cash per common share, or a total value of $33.927 mil in cash.</t>
  </si>
  <si>
    <t>Cargill Inc</t>
  </si>
  <si>
    <t>Produce,wholesale grains,field beans</t>
  </si>
  <si>
    <t>US - Cargill Inc acquired all the oustanding common stock of Agribrands International Inc, a producer of animal feed, for $54.5 in cash per share, or a total value of $575.763 mil. Originally, CI made an unsolicited offer to acquire all the oustanding common stock of AI for $50 per share. Previously, Ralcorp Holdings Inc definitively agreed to merge with AI in a stock swap merger of equals transaction, which was subsequently withdrawn.</t>
  </si>
  <si>
    <t>Bindley Western Industries Inc</t>
  </si>
  <si>
    <t>US - Cardinal Health Inc (CHI) acquired all the outstanding common stock of Bindley Western Industries Inc (BWI), a wholesaler of pharmaceuticals, in a stock swap transaction valued at an estimated $1.751 bil. CHI offered .4275 common shares per BWI share. Based on CHI closing stock price of $99.5 on December 1, the last full trading day prior to the announcement, each BWI share was valued at $42.536. The transaction was accounted for as a pooling of interests.</t>
  </si>
  <si>
    <t>Produce,whl poultry,meat prod</t>
  </si>
  <si>
    <t>US - Tyson Foods Inc (TFI) acquired all the outstanding common stock of IBP Inc (IBP), a producer beef and pork products, via a two-tier acquisition valued at an amended $4.233 bil, including the assumption of $1.5 bil in liabilities. Initially, TFI completed its tender offer to acquire a 50.1% interest, or 52.91 mil common shares, in IBP for $30 in cash per share, or a total value of $1.617 bil. In the second step, TFI planned to acquire a 49.9% stake, or 52.7 mil common shares, in a stock swap transaction valued at $1.115 bil. TFI offered 2.381 common shares per IBP share, subject to a collar agreement. Based on TFI's closing stock price of $8.89 on June 26, the last full trading day prior to announcement, each IBP share was valued at $25.592. Previously in March 2001, TFI withdrew its agreement to acquire IBP. However, a Delaware court subsequently ruled that TFI was to honor its agreement to acquire IBP. Previously, TFI offered a choice of $30 in cash or common stock per IBP share. Originally, TFI offered $26 per IBP share and subseqently sweetened it to $27 per share.</t>
  </si>
  <si>
    <t>US - PepsiCo Inc (PC) acquired Quaker Oats Co (QO), a producer of cereals and flour mixes, in a stock swap transaction valued at $14.392 bil, including the assumption of $761 mil in liabilities. PC offered 2.3 common shares per QO share. Based on PC's closing stock price of $42. 375 on December 1, the last full trading day prior to the announcement, each QO share was valued at $97.463. Originally, PC was rumored to be in negotiations to acquire all the outstanding common stock of QO.</t>
  </si>
  <si>
    <t>US - BB&amp;T Corp, Winston- Salem, North Carolina (BBT), acquired Century South Banks Inc, Gainesville, Georgia (CSB), a bank holding company, in a stock swap transaction valued at $426.521 mil. BBT offered .93 common shares per CSB share. Based on BBT's closing stock price of $33. 125 on December 4, the last full trading day prior to the announcement , each CSB share was valued at $30.806. The transaction was to be accounted for as a pooling of interests.</t>
  </si>
  <si>
    <t>Accord Networks Ltd</t>
  </si>
  <si>
    <t>Multi-media company</t>
  </si>
  <si>
    <t>Polycom Inc</t>
  </si>
  <si>
    <t>Mnfr,whl communication equip</t>
  </si>
  <si>
    <t>US - Polycom Inc (PC) acquired Accord Networks Ltd (AN), a provider of multi- media services, in a stock swap transaction valued at $500.261 mil. PC offered . 3065 common shares per AN share. Based on PC's closing stock price of $46.125 on December 5, the last full trading day prior to the announcement, each AN share was valued at $14.137. The transaction was accounted for as a pooling of interests.</t>
  </si>
  <si>
    <t>Musicland Stores Corp</t>
  </si>
  <si>
    <t>Own,operate record stores</t>
  </si>
  <si>
    <t>Best Buy Co Inc</t>
  </si>
  <si>
    <t>US - Best Buy Co acquired all the outstanding common stock of Musicland Stores Corp (MS), an owner and operator of record stores, for $12.55 in cash per share, or a total value of $418.705 mil. Earlier, BB completed its tender offer for MS by accepting 30.017 mil share or 93.5% of MS' common shares outstanding. The offer was conditioned upon at least 67% of MS' shares being tendered.</t>
  </si>
  <si>
    <t>Ramp Networks Inc</t>
  </si>
  <si>
    <t>Nokia Oyj</t>
  </si>
  <si>
    <t>Mnfr network infrastructure products</t>
  </si>
  <si>
    <t>US - Nokia Oy AB acquired all the outstanding common stock of Ramp Networks Inc (RNI) , a provider of networking services, for $5.8 in cash per share, or a total value of $132.143 mil, by accepting 20.281 mil common shares, or 87.49% of RNI's fully-diluted common shares outstanding. The offer was conditioned upon at least 51% of RNI's shares being tendered.</t>
  </si>
  <si>
    <t>Tri-County Bancorp Inc</t>
  </si>
  <si>
    <t>Platte Valley Finl Svcs Inc</t>
  </si>
  <si>
    <t>US - Platte Valley Financial Services Inc, Scottsbluff, Nebraska, acquired all the outstanding common stock of Tri-County Bancorp Inc, Torrington, Wyoming (TCB), a bank holding company, for $12. 60 in cash per share, or a total value of $11.714 mil. The transaction was to be accounted for as a purchase. Upon completion, TCB was to operate under the name of Platte Valley National Bank.</t>
  </si>
  <si>
    <t>Industrial Bancorp Inc,OH</t>
  </si>
  <si>
    <t>United Community Finl Corp</t>
  </si>
  <si>
    <t>Savings,loan holding company</t>
  </si>
  <si>
    <t>US - United Community Financial Corp, Youngstown, Ohio, acquired all the outstanding common stock of Industrial Bancorp Inc, Bellevue, Ohio, a savings and loan, for $20.375 in cash per share, or a total value of $91.769 mil.</t>
  </si>
  <si>
    <t>Casco International Inc</t>
  </si>
  <si>
    <t>Pvd incentive programs</t>
  </si>
  <si>
    <t>US - A management-led investor group, comprised of Casco International Inc's (CII) Chairman S. Robert Davis and CEO Charles Davis, agreed to acquire the remaining 78.12% interest, or 1.393 mil common shares, that it did not already own, in CII, a provider of management consulting services, for $1. 87 in cash per share, or a total value of $2.691 mil, in a leveraged buyout transaction.</t>
  </si>
  <si>
    <t>Detection Systems Inc</t>
  </si>
  <si>
    <t>Mnfr,whl detection equip</t>
  </si>
  <si>
    <t>Robert Bosch GmbH</t>
  </si>
  <si>
    <t>Manufacture,wholesale automobile,household equipment</t>
  </si>
  <si>
    <t>US - Robert Bosch GmbH (RB) completed a hostile tender offer to acquire all the outstanding common stock of Detection Systems Inc, a manufacturer of detection and alarm equipment, for a sweetened $18 in cash per share, or a total value of $117.539 mil, by accepting 6. 215 mil common shares, or 98. 1% of the total outstanding. Originally, RB offered $14 in cash per share, or a total value of $88.687 mil.</t>
  </si>
  <si>
    <t>American Skiing Co</t>
  </si>
  <si>
    <t>Own,op ski resorts</t>
  </si>
  <si>
    <t>US - American Skiing Co (AS) withdrew an agreement to acquire all the outstanding common stock of Meristar Hotels &amp; Resorts Inc (MH), a manager of hotels and motels, in a reverse stock swap transaction valued at an amended $185.884 mil. AS offered an amended 1.75 common shares per MH share. Based on AS's closing stock price of $1.48 on February 21, 2001, the last full trading day prior to the announcement of the new terms, each MH share was valued at $2.59. Previously, AS offered 1.88 common shares for each MH share. Upon completion, AS planned to change its name to Doral International Inc and move its headquarters to Washington, DC.</t>
  </si>
  <si>
    <t>US - FBOP Corp, Oak Park, Illinois acquired all the outstanding common stock of PBOC Holdings Inc, a bank holding company, for $10 in cash per share, or a total value of $199.241 mil.</t>
  </si>
  <si>
    <t>Bay Bancshares,Laporte,Texas</t>
  </si>
  <si>
    <t>US - Southtrust Corp, Birmingham, Alabama (STC) acquired all the outstanding common stock of Bay Bancshares Inc, Laporte, Texas (BBI), a bank holding company, for $26.42 in cash per share, or a total value of $53.016 mil. Upon completion, BBI became a wholly-owned subsidiary of STC.</t>
  </si>
  <si>
    <t>Lincoln Security Bank</t>
  </si>
  <si>
    <t>Independent Financial Network</t>
  </si>
  <si>
    <t>US - Independent Financial Network Inc agreed to acquire the remaining undisclosed minority stake, that it did not already own, in Lincoln Security Bank, for $25 in cash per share, or a total value of an estimated $2.4 mil.</t>
  </si>
  <si>
    <t>MS Carriers Inc</t>
  </si>
  <si>
    <t>Pvd trucking services</t>
  </si>
  <si>
    <t>Swift Transportation Co Inc</t>
  </si>
  <si>
    <t>Pvd trucking svcs;hldg co</t>
  </si>
  <si>
    <t>US - Swift Transportation Co Inc (ST) acquired all the outstanding common stock of M. S. Carriers (MS), a trucking company, in a stock swap transaction valued at $408. 511 mil. ST offered 1.7 common shares per MC share. Based on ST's closing stock price of $20.1875 on December 11, each MC share was valued at $34.319.</t>
  </si>
  <si>
    <t>Software Spectrum Inc</t>
  </si>
  <si>
    <t>Whl,retail software</t>
  </si>
  <si>
    <t>Chell Group Corp</t>
  </si>
  <si>
    <t>US - Chell Merchant Capital Group withdrew its unsolicited offer to acquire all the outstanding common stock of Software Spectrum Inc, a wholesaler of computers and peripherals, for $16 per share, or a total value of $58.265 mil. A minimum of $11 per share was to have been paid in cash.</t>
  </si>
  <si>
    <t>Bodycote International PLC</t>
  </si>
  <si>
    <t>Pvd heat treatment svcs</t>
  </si>
  <si>
    <t>US - Bodycote International PLC (BCI) acquired all the outstanding common stock of Lindberg Corp (LC), a provider of metal heat treating services, for $18. 125 in cash, or a total value of $162.427 mil, including the assumption of $59.5 mil in liabilities. Previously, BCI completed its tender offer by accepting 5.51 mil shares or 97.3% of LC's common shares outstanding. The offer was conditioned upon at least 90% of LC's common shares being tendered.</t>
  </si>
  <si>
    <t>O Gene Bicknell</t>
  </si>
  <si>
    <t>US - O Gene Bicknell (OG), Chairman and CEO of NPC International Inc (NPC), acquired the remaining 35% stake, or 7.642 mil common shares, that he did not already own, in NPC, an owner and operator of restaurants, for a sweetened $11.55 in cash per share, or a total value of $93.577 mil, in a leveraged buyout transaction. Originally, in December 2000, OG offered $11.4 in cash per share, or a total value of $88.267 mil.</t>
  </si>
  <si>
    <t>Techdyne Inc</t>
  </si>
  <si>
    <t>Simclar International Ltd</t>
  </si>
  <si>
    <t>Mnfr sheet metal,plastic</t>
  </si>
  <si>
    <t>US - Simclar International Ltd (SI) acquired a 71.3% interest, or 4.675 mil common shares of Techdyne Inc (TI), a manufacturer of electro- mechanical components, from Medicore Inc (MI), for an estimated $15 mil. The consideration was to consist of $10 mil plus up to $5 mil in profit related payments. Originally, SI offered $3 per share for a 51% interest and MI was to retain a 20% stake in TI.</t>
  </si>
  <si>
    <t>Bacou USA Inc</t>
  </si>
  <si>
    <t>Manufacture ophthalmic goods</t>
  </si>
  <si>
    <t>US - Bacou SA, a manufacturer of security equipment, withdrew its intentions to seek a buyer for its majority-owned Bacou USA Inc unit.</t>
  </si>
  <si>
    <t>El Dorado Bancshares Inc,CA</t>
  </si>
  <si>
    <t>US - Zions Bancorp (ZB), Salt Lake City, Utah, acquired El Dorado Bancshares Inc (EDB), Huntington Beach, California, a bank holding company, in a stock swap transaction valued at $198. 049 mil. ZB offered 0.23 shares per EDB share. Based on ZB's closing stock price of $58.156 on December 14, the last full trading day prior to announcement, each EDB share was valued at $13. 376. The transaction was subject to a lockup agreement.</t>
  </si>
  <si>
    <t>First Lancaster Bancshares Inc</t>
  </si>
  <si>
    <t>Bank Holding Co</t>
  </si>
  <si>
    <t>CKF Bancorp Inc,Danville,KY</t>
  </si>
  <si>
    <t>US - CKF Bancorp Inc, Danville, Kentucky, acquired all the outstanding common stock of First Lancaster Bancshares Inc, Lancaster, Kentucky, a bank holding company, for $16.27 in cash per share, or a total value of $13.803 mil.</t>
  </si>
  <si>
    <t>UnitedAuto Group Inc</t>
  </si>
  <si>
    <t>Own,op automotive dealerships</t>
  </si>
  <si>
    <t>Penske Capital Partners LLC</t>
  </si>
  <si>
    <t>US - Penske Capital Partners LLC, a unit of Penske Corp, raised its stake to 54.9% from 34.8% in United Auto Group Inc, an owner and opperator of automotive dealerships, by acquiring 3. 993 mil common shares, from Bank of Nove Scotia, for $10. 50 per share, or a total value of $41.928 mil.</t>
  </si>
  <si>
    <t>US - Rosemore Inc (RI) acquired the remaining 51% interest, or 7.13 mil common shares, that it did not already own, in Crown Central Petroleum Corp, an oil and gas exploration and production company, for $10.5 in cash per share, for a total value of $75.175 mil.</t>
  </si>
  <si>
    <t>eToys Inc</t>
  </si>
  <si>
    <t>US - In December 2000, bankrupt eToys Inc (ETOY), a web-based toy retailer, announced that it was seeking a buyer for the company. Subsequently, Unique Industries Inc planned to acquire furniture, fixtures, and equipment, located in Blairs, Virginia, from bankrupt ETOY. Furthermore, KB Toys acquired the software and intellectual assets of ETOY.</t>
  </si>
  <si>
    <t>ACNielsen Corp</t>
  </si>
  <si>
    <t>Pvd TV viewer estimation svcs</t>
  </si>
  <si>
    <t>US - VNU NV (VNU) acquired all the outstanding common stock of ACNielsen Corp (ACN), a provider of television audience estimation services, for $36.75 in cash per share, or at total value of $2.341 bil. Earlier, VNU completed its tender offer for ACN by accepting 55.497 mil shares, or 96% of ACN's common shares outstanding. The offer was conditioned upon at least a majority of the shares being tendered.</t>
  </si>
  <si>
    <t>Citizens Community Bancorp Inc</t>
  </si>
  <si>
    <t>US - FNB Corp, Hermitage, Pennsylvania (FNB) merged with Citizens Community Bancorp Inc (CCB), a state commercial bank, in a stock swap transaction valued at $38.042 mil. FNB offered .543 common shares per CCB share. Based on FNB's closing stock price of $20 on December 15, the last full trading day prior to the announcement, each CCB share was valued at $10.86. The transaction was to be accounted for as a pooling of interests.</t>
  </si>
  <si>
    <t>Donna Karan International</t>
  </si>
  <si>
    <t>LVMH Moet Hennessy Louis</t>
  </si>
  <si>
    <t>Toilet Preparation Manufacturing</t>
  </si>
  <si>
    <t>US - LVMH Moet Hennessy- Louis Vuitton (LVMH) acquired all the outstanding common stock of Donna Karan International Inc (DKI), a manufacturer of women and men's clothing, for a sweetened $10.75 in cash per share, or a total value of $242.157 mil, including the assumption of an estimated $5 mil in liabilities. Concurrently, LVMH agreed to acquire Gabrielle Studio Inc (GS), a company which licenses the Donna Karan brand trademarks, for $450 mil. Upon completion of LVMH's acquisition of DKI, the purchase price of GS was to be reduced to $400 mil. Originally, LVMH offered $8. 50 in cash per share, or a total value of $189.877 mil.</t>
  </si>
  <si>
    <t>Morgan Keegan Inc</t>
  </si>
  <si>
    <t>US - Regions Financial Corp, Birmingham, Alabama (RFC), acquired all the outstanding common stock of Morgan Keegan Inc (MKI), a securities brokerage firm, for $774.367 mil. RFC offered a choice of $27 in cash per share or 0.96 RFC common shares per MKI share.</t>
  </si>
  <si>
    <t>Printware Inc</t>
  </si>
  <si>
    <t>Mnfr,whl comp peripheral equip</t>
  </si>
  <si>
    <t>Piranha Inc</t>
  </si>
  <si>
    <t>Develp Digital Tech software</t>
  </si>
  <si>
    <t>US - Piranha Inc planned to launch a tender offer to acquire all the outstanding common stock of Printware Inc, a manufacturer of computer peripheral equipment, for $3. 75 in cash per share, or a total value of $12.619 mil.</t>
  </si>
  <si>
    <t>Loislaw.com Inc</t>
  </si>
  <si>
    <t>Pvd legal info via internet</t>
  </si>
  <si>
    <t>US - Wolters Kluwer NV (WK) acquired all the outstanding common stock of Loislaw.com (LC), a provider of comprehensive legal related information over the Internet and on CD-ROM, for $4.355 in cash per share, or a total value of $92.872 mil. Earlier, WK completed its tender for LC by accepting 20.988 mil shares or 98.8% of LC's common shares outstanding. The offer is conditioned upon 66.66% of LC's being tendered.</t>
  </si>
  <si>
    <t>J Acquisition Corp</t>
  </si>
  <si>
    <t>US - J Acquisition Corp, a wholly-owned unit of Berkshire Hathaway Inc, completed a tender offer to acquire all the outstanding common stock of Johns Manville Corp (JM), the majority-owned fiberglass and lumber products manufacturing unit of Manville Personal Injury Settlement Trust (MP), for $13 in cash per share, or a total value of $1.926 bil by accepting 134.989 mil shares, or about 91% . MP, owner of an approximately 76% interest in JM, had agreed to tender its shares in the offer.</t>
  </si>
  <si>
    <t>Marine Transport Corp</t>
  </si>
  <si>
    <t>Pvd oil transportation svcs</t>
  </si>
  <si>
    <t>Crowley Maritime Corp</t>
  </si>
  <si>
    <t>Provide marine transp services</t>
  </si>
  <si>
    <t>US - Crowley Maritime Corp (CM) acquired all the outstanding stock of Marine Transport Corp (MT), a provider of ocean cargo transportation services, for $7 per share, or a total value of $47.828 mil. Earlier CM completed its tender offer for MT by accepting 6.099 mil share, or 93.1% of MT's common shares outstanding.</t>
  </si>
  <si>
    <t>Jacmar Cos</t>
  </si>
  <si>
    <t>US - Jacmar Cos agreed to raise its stake to 51% from 43% in Chicago Pizza &amp; Brewery Inc, an owner and operator of a restaurant chain, by acquiring .661 mil common shares for $2.75 cash per share, or a total value of $1.819 mil.</t>
  </si>
  <si>
    <t>Great Plains Software Inc</t>
  </si>
  <si>
    <t>Dvlp business mgmt software</t>
  </si>
  <si>
    <t>US - Microsoft Corp (MC) acquired Great Plains Software Inc (GPS), a developer of business management software, in a stock swap transaction valued at $939.884 mil. MC offered 1. 1 common shares per GPS share. Based on MC's closing stock price of $41.50 on December 20, the last full trading day prior to announcement, each GPS share was valued at $45. 65.</t>
  </si>
  <si>
    <t>US - Northrop Grumman Corp (NGC) acquired all the outstanding common and preferred stock of Litton Industries Inc (LI), a manufacturer of navigational systems, for a sweetened $80. 25 in common stock per common share and $35 in cash per Series B cumulative preferred share, or a total value of $5. 158 bil, including the assumption of $1.3 bil in liabilities. Earlier, NGC completed its tender offer for LI by accepting 49.168 mil shares or 99% of LI's common and preferred stock outstanding. Alternatively, NGC offered $80 in cash or preferred stock with a liquidation value of $80 for each LI common share. Elections to receive cash were not be prorated, so LI stockholders would not be required to accept common or preferred stock. However, the offer was to be limited to approximately 13 million shares of NGC common stock and $350 million aggregate liquidation value of preferred stock. Oversubscriptions for common stock or preferred stock were to be subject to reduction on a pro rata basis. The transaction included a 28% stake held by Unitrin Inc. Originally, NGC only offered $80 in cash per common share and $35 in cash per Series B preferred share.</t>
  </si>
  <si>
    <t>Telocity Delaware Inc</t>
  </si>
  <si>
    <t>US - Hughes Electronics Corp (HE), a unit of General Motors Corp, acquired all the outstanding common stock of Telocity Delaware Inc (TD), a broadband Internet Service Provider, for $2.15 cash per share, or a total value of $261.31 mil. Earlier, HE completed its tender offer for TD by accepting 79.169 mil shares or 94.22% of TD's common shares outstanding.The offer was conditioned upon at least a majority of the shares being tendered, on a fully diluted basis.</t>
  </si>
  <si>
    <t>Court Square Capital Ltd</t>
  </si>
  <si>
    <t>US - Court Square Capital Ltd, a unit of Citigroup Inc, planned to acquire all the outstanding common stock of Chromcraft Revington Inc, a manufacturer and wholesaler of furniture, for $10.30 in cash per share, or a total value of $100.267 mil in a leveraged buyout transaction.</t>
  </si>
  <si>
    <t>Delco Remy International Inc</t>
  </si>
  <si>
    <t>US - Court Square Capital Ltd (CSC), a unit of Citigroup Inc, acquired the remaining 63.6% interest, or 11.518 mil Class A common shares, which it did not already own, in Delco Remy International Inc (DRI), a manufacturer and wholesaler of motor vehicle parts, for a sweetened $9.5 in cash per share, or a total value of $653.427 mil, including the assumption of $528 mil in liabilities, in a leveraged buyout transaction. Earlier, CSC completed its tender offer for DRI by accepting 9. 716 mil common shares, which when combined with the shares already held by CSC represented 90% of DRI's common shares outstanding. Originally, CSC offered $8 in cash per share, or a total value of $647.022 mil, including the assumption of $528 mil in liabilities.</t>
  </si>
  <si>
    <t>Gehl Co</t>
  </si>
  <si>
    <t>Mnfr,whl constr equip</t>
  </si>
  <si>
    <t>US - An investor group, including Newcastle Partners LP and CIC Equity Partners, planned to acquire the remaining 93.6% interest or 5. 031 mil common shares, which it did not already own, in Gehl Co, a manufacturer of agricultural equipment, for $18 in cash per share, or a total value of $96.743 mil, in a leveraged buyout transaction.</t>
  </si>
  <si>
    <t>US - A management-led investor group backed by Vestar Capital Partners and Goldner Hawn Johnson &amp; Morrison, acquired all the outstanding stock of Michael Foods Inc, a producer and wholesaler of dairy products, for $30.10 in cash per share, or a total value of $769.336 mil, including the assumption of $200 mil in liabilities, in a leveraged buyout transaction.</t>
  </si>
  <si>
    <t>Pennaco Energy Inc</t>
  </si>
  <si>
    <t>Oil and gas exploration,prdn</t>
  </si>
  <si>
    <t>Marathon Oil Co</t>
  </si>
  <si>
    <t>Integrated oil co</t>
  </si>
  <si>
    <t>US - Marathon Oil Co (MOC), a majority-owned unit of USX- Marathon Group, acquired all the outstanding common stock of Pennaco Energy Inc (PEI), an oil and gas exploration and production company, for $19 in cash per share, or a total value of $488.134 mil including the assumption of $54 mil in liabilities. Previously, MOC completed the tender offer by accepting 17 mil shares or 86.6% of PEI's shares outstanding on a fully diluted basis. The offer was conditioned upon at least a majority of PEI's shares being tendered on a fully- diluted basis.</t>
  </si>
  <si>
    <t>PetroCorp Inc</t>
  </si>
  <si>
    <t>Oil,gas exploration co</t>
  </si>
  <si>
    <t>US - PetroCorp Inc (PC) acquired all the outstanding common stock of Southern Mineral Corp (SM), an oil and gas exploration and production company, for $84. 952 mil. PC offered a choice of $4.17 in cash or .416 common shares or a combination of both per SM share.</t>
  </si>
  <si>
    <t>Milpi Holdings LLC</t>
  </si>
  <si>
    <t>US - Milpi Holdings LLC (MH), a unit of Semele Group Inc, acquired all the outstanding common stock of PLM International Inc (PLM), a provider of railcar and equipment leasing services, for $3.46 in cash per share, or a total value of $25.772 mil. Earlier, MH completed its tender offer for PLM by accepting 6.288 mil shares, or 84.42% of PLM's common shares outstanding. The offer was conditioned upon at least 50.1% of PLM's shares being tendered.</t>
  </si>
  <si>
    <t>Seat Pagine Gialle SpA</t>
  </si>
  <si>
    <t>Pvd publishing,Internet svcs</t>
  </si>
  <si>
    <t>US - Seat Pagine Gialle Spa acquired Netcreations Inc (NCI), an advertising agency, for $7 in cash per share, or a total value of $109.22 mil. Previously, DoubleClick Inc withdrew its agreement to acquire NCI in a stock swap transaction valued at $190. 572 mil.</t>
  </si>
  <si>
    <t>AMDL Inc</t>
  </si>
  <si>
    <t>Dvlp cancer detection tech</t>
  </si>
  <si>
    <t>Chinese Universal Tech Co Ltd</t>
  </si>
  <si>
    <t>US - Chinese Universal Technologies Co Ltd acquired a 51.52% interest on a fully- diluted basis, or 2 mil newly issued common shares in AMDL Inc, a develop of cancer detection technology.</t>
  </si>
  <si>
    <t>Drovers Bancshares Corp</t>
  </si>
  <si>
    <t>US - Fulton Financial Corp (FF), Lancaster, Pennsylvania, acquired Drovers Bancshares Corp (DB), York, Pennsylvania, a commercial bank holding company, in a stock swap transaction valued at $146. 382 mil. FF offered 1.24 common shares per DB share. Based on FF's closing stock price of $22.937 on December 26, the last full trading day prior to the announcement, each DB share was valued at $28.44. The transaction was accounted for as a pooling of interests.</t>
  </si>
  <si>
    <t>US - Norcross Roberts Group (NR), a group of shareholders comprised of George Norcross III, Phillip Norcross and Joseph Roberts, withdrew its signed letter of intent to acquire to acquire the remaining 76% interest or 5. 923 mil common shares, which it did not already own, in US Vision Inc (UV), an owner and operator of optical goods stores, for an amended $4.25 in cash per share, or a total value of $25.173 mil. Originally, NR offered $3.25 in cash and $1.25 in subordinated promissory notes per UV share.</t>
  </si>
  <si>
    <t>Venturian Corp</t>
  </si>
  <si>
    <t>Wholesale trucks,related parts</t>
  </si>
  <si>
    <t>US - A management-led investor group, including Chairman and CEO Gary Rappaport, Jon Kutler, J Stephen Schmidt, Charles Langevin, and Melissa Rappaport, planned to launch a tender offer to acquire the remaining 59% interest, or . 766 mil common shares, which it did not already own, in Venturian Corp, a wholesaler of special purpose vehicles and related products, for a sweetened $5 per share, or a total value of $4.32 mil, in a leveraged buyout transaction. Originally, in December 2000, management offered $3 per share, or a total value of $2.505 mil.</t>
  </si>
  <si>
    <t>Narax Inc</t>
  </si>
  <si>
    <t>US - Narax Inc withdrew its plans to acquire Fashionmall. com (FM), an owner and operator of an online shopping mall, for $3.50 per share in cash, or a total value of $29.134 mil in a leveraged buyout transaction. Subsequently, GenesisIntermedia.com Inc made a challenging offer of $7.039 per FM share, or a total value of $49.147 mil.</t>
  </si>
  <si>
    <t>Berlitz Intl Inc(Benesse Corp)</t>
  </si>
  <si>
    <t>Pvd language instruction svcs</t>
  </si>
  <si>
    <t>Benesse Corp</t>
  </si>
  <si>
    <t>Pvd educational support svcs</t>
  </si>
  <si>
    <t>US - Benesse Corp (BC) acquired the remaining 22.8% stake, or 2.555 mil common shares, which it did not already own, in Berlitz International Corp (BI), a provider of language instruction services, for a sweetened $16.5 in cash per share, or a total value of $110.152 mil. Earlier, BC completed its tender offer for BI by accepting 2.126 mil shares, or 18.975% of BI's shares outstanding. Previously, BC offered $14.5 in cash per share, or a total value of $105.043. Originally BC offered $12 in cash per share, or a total value of $86.934 mil.</t>
  </si>
  <si>
    <t>GenesisIntermedia.com Inc</t>
  </si>
  <si>
    <t>Pvd integrated mktg svcs</t>
  </si>
  <si>
    <t>US - GenesisIntermedia.com Inc (GI) withdrew its challenging offer to acquire the remaining 93% interest, that it did not already own, in Fashionmall.com (FM), an owner and operator of online shopping mall, in a stock swap transaction valued at $52.031 mil. GI offered $2 cash and .29 common shares per FM share. Based on GI's closing stock price of $17. 375 on December 28, the last full trading day prior to the announcement, each FM share was valued at $7.039. Concurrently, GI acquired a 7% stake, or .525 mil shares, in FM in open market transactions. Previously, Narax Inc planned to acquire FM for $3.50 per share in cash, or a total value of $26. 25 mil.</t>
  </si>
  <si>
    <t>Mnfr specialty resins</t>
  </si>
  <si>
    <t>Travis Street Partners</t>
  </si>
  <si>
    <t>US - Travis Street Partners (TS) withdrew its plans to acquire the remaining 94.98% or 35.698 mil common shares, that it did not already own, in ICO Inc (ICO), a provider of equipment reconditioning services, for a sweetened $3. 10 cash per share, or a total value of $111.859 mil. Originally, TS planned to acquire the remaining 94.98% of ICO for, $2.85 cash per share, or a total value of $101.722 mil. Subsequently, Varco International Inc signed a letter of intent to acquire the oilfield services business of ICO.</t>
  </si>
  <si>
    <t>US - United Rentals Inc (UR) withdrew its agreement to acquire a 72% interest in Neff Corp (NC), a provider of construction equipment rental and leasing services, in a stock swap transaction valued at $36.764 mil. UR offered . 18 common shares per NC Class A common share held by public stockholders and .18 Series C preferred stock convertible into UR common shares per NC Class A common shares held by the Mas family. Based on UR's closing stock price of $13. 437 on December 29, the last full trading day prior to the announcement. Previously, in March 2000, a management- led investor group comprised of NC's President and Chief Executive Kevin P. Fitzgerald and GE Corp planned to acquire NC.</t>
  </si>
  <si>
    <t>TravelNow.com Inc</t>
  </si>
  <si>
    <t>Hotel Reservations Network Inc</t>
  </si>
  <si>
    <t>Pvd hotel accomodation svcs</t>
  </si>
  <si>
    <t>US - Hotel Reservations Network Inc (HR), a majority- owned unit of USA Networks Inc, acquired all the outstanding common stock of TravelNow.com Inc (TN), a provider of Internet-based travel services through a website that provides online travel information and reservations to its customers on a worldwide basis, for $4. 16 in cash per share, or a total value of $45.231 mil. Earlier, HR completed its tender offer for TN by accepting 9.618 mil shares, or 87.75% of TN's common shares outstanding. The offer was conditional upon at least a majority of TN's shares being tendered.</t>
  </si>
  <si>
    <t>Cobra Electronics Corp</t>
  </si>
  <si>
    <t>Mnfr,whl commun,electn equip</t>
  </si>
  <si>
    <t>US - Cobra Electronics Corp (CE) withdrew its tender offer to acquire all the outstanding common stock of Lowrance Electronics Inc (LE), a manufacturer of sonars, via a tender offer for an amended $7.50 in cash per share, or a total value of $29.766 mil. Originally, CE offered $8.25 in cash per share. The offer was conditioned upon at least 63. 33% of LE's shares being tendered.</t>
  </si>
  <si>
    <t>Prime Response Inc</t>
  </si>
  <si>
    <t>Develop database software</t>
  </si>
  <si>
    <t>Chordiant Software Inc</t>
  </si>
  <si>
    <t>US - Chordiant Software Inc (CSI) acquired Prime Response Inc (PRI), a developer of database marketing application software, in a stock swap transaction valued at $32.997 mil. CSI offered . 6 common shares per PRI share. Based on CSI's closing stock price of $2.687 on January 5, the last full trading day prior to the announcement, each PRI share was valued at $1.612.</t>
  </si>
  <si>
    <t>ABIOMED Inc</t>
  </si>
  <si>
    <t>Mnfr,whl cardiac assist device</t>
  </si>
  <si>
    <t>US - ABIOMED Inc (AMI) withdrew an unsolicited, challenging offer to acquire all the outstanding common stock of Thermo Cardiosystems Inc (TCI), a manufacturer of heart monitoring systems, from Thermo Electron Corp'sThermedics Inc subsidiary, for a sweetened $11.50 in a choice of cash or common stock per share, or a total value of $466.752 mil. The aggregate amount of cash and common stock to be distributed was to remain the same as a previous offer in which AMI offered a revised minimum of $2.50 in cash and $9 in common stock per TCI share. Previously, AMI offered $1.5 in cash and $10 in common stock per share. Originally, AMI offered $1.5 in cash and $9 in common stock per share. Earlier, Thoratec Laboratories Inc agreed to merge with TCI.</t>
  </si>
  <si>
    <t>UPS</t>
  </si>
  <si>
    <t>Provide logistic,courier services</t>
  </si>
  <si>
    <t>US - United Parcel Service Inc (UPS) acquired Fritz Cos Inc (FCI), a provider of arrangement of freight, domestic freight forwarding, international freight forwarding and general warehousing and storage services, in a stock swap transaction valued at $451. 468 mil. UPS offered .2 class B common shares per FCI share. Based on UPS's closing stock price of $61 on January 9, the last full trading day prior to the announcement, each FCI share was valued at $12.20.</t>
  </si>
  <si>
    <t>US - Heartland Industrial Partners LP (HIP) raised its stake to 59.78% from 28.74%, by acquiring 27 mil common shares, in Collins &amp; Aikman Corp (CA), a manufacturer of floor and wall coverings, carpets, fabrics and yarns for automobiles, for $5 per share, or a total value of $135 mil, from Blackstone Capital Partners LP and Wasserstein Perella Partners LP, in a privately negotiated transaction. Concurrently, HIP acquired a 28.74% stake in CA, by acquiring 25 mil newly issued shares.</t>
  </si>
  <si>
    <t>Citadel Communications Corp</t>
  </si>
  <si>
    <t>Own,op radio stn</t>
  </si>
  <si>
    <t>FLCC Holdings Inc</t>
  </si>
  <si>
    <t>US - FLCC Holdings Inc, a unit of Forstmann Little &amp; Co, acquired all the outstanding common stock of Citadel Communications Corp, an owner and operator of radio stations, for $26 in cash per share, or a total value of $1. 995 bil, including the assumption of $1 bil in liabilities in a leveraged buyout transaction. On completion, the new entity will use the Citadel Communications Corp name.</t>
  </si>
  <si>
    <t>Ralston Purina Co</t>
  </si>
  <si>
    <t>Produce pet food,related prod</t>
  </si>
  <si>
    <t>Nestle SA</t>
  </si>
  <si>
    <t>Produce,whl gen food prod</t>
  </si>
  <si>
    <t>US - Nestle SA (NE) acquired all the outstanding common stock of Ralston Purina Co (RP), a manufacturer of pet foods, bakery products, and cereals, for $33.50 in cash per share, or a total value of $10.479 bil. Concurrently, RP amended its poison pill to exempt NE from all provisions of the rights agreement. In order to complete the acquisition, NE was ordered by the FTC to sell RP's Meow Mix &amp; Alley Cat Brands. Upon completion, NE merged its pet food business with RP and the new entity was renamed Nestle Purina PetCare Co.</t>
  </si>
  <si>
    <t>Rollins Truck Leasing Corp</t>
  </si>
  <si>
    <t>Pvd trucking,shipping svcs</t>
  </si>
  <si>
    <t>US - Penske Truck Leasing Co LP (PT), a joint venture between Penske Truck Leasing Corp and General Electric Credit Corp of Tennessee, acquired all the outstanding common stock of Rollins Truck Leasing Corp (RTL), a trucking and shipping company, for $13 in cash per share, or a total value of $764.455 mil. Earlier PT completed its tender offer for RTL by accepting 54.982 mil common shares or 94.8% of the total outstanding. The offer was conditioned upon at least a majority of RTL's shares being tendered.</t>
  </si>
  <si>
    <t>Xircom Inc</t>
  </si>
  <si>
    <t>Develop network access prods</t>
  </si>
  <si>
    <t>US - Intel Corp (IC) acquired the remaining 90% interest, which it did not already own, in Xircom Inc (XI), a provider of LAN design services, for $25 in cash per share, or a total value of $701.574 mil. Earlier IC completed its tender offer for XI by accepting 25.079 mil common shares, or about 90% of the total shares outstanding. The offer was conditioned upon at least a majority of XI's shares being tendered. The transaction included 3.583 mil common shares issuable upon exercise of options at a weighted average exercise price of $15.69 per share.</t>
  </si>
  <si>
    <t>Allaire Corp</t>
  </si>
  <si>
    <t>Macromedia Inc</t>
  </si>
  <si>
    <t>US - Macromedia Inc (MAC) acquired all the outstanding common stock of Allaire Corp (ALC), a developer and wholesaler of application development and server software, in a stock swap transaction valued at $335. 905 mil. MAC offered $3 in cash and 0.2 common shares per ALC share. Based on MAC's closing stock price of $41. 9375 on January 15, the last full trading day prior to the announcement, each ALC share was valued at $11.388. The transaction included 2.415 mil ALC common shares issuable upon exercise of options at a weighted average exercise price of $1.55 per share.</t>
  </si>
  <si>
    <t>First International Bancorp</t>
  </si>
  <si>
    <t>State bank holding co</t>
  </si>
  <si>
    <t>US - United Parcel Service Inc (UPS) acquired First International Bancorp (FIB), a state bank that specializes in providing credit, trade and depository services to small and medium size manufacturing companies located in the United States and in foreign "Big Emerging Markets" as defined by the U. S. Department of Commerce, in a stock swap transaction valued at an amended $61.481 mil. UPS offered .132 class B common shares per FIB share. Based on UPS' closing stock price of $56.34 on August 6, the last full trading day prior to the announcement of the amended terms, each FIB share was valued at $7.437. Originally, UPS, In January 2001, UPS offered .16 Class B common shares per FIB common share, or a total value of $77.96 mil.</t>
  </si>
  <si>
    <t>Leslie Fay Co Inc</t>
  </si>
  <si>
    <t>US - An investor group (IG) consisting of Three Cities Research Inc, Three Cities Fund II LP, and Three Cities Offshore II CV, acquired the remaining 31% stake, or 1.569 mil common shares, which it did not already own, in Leslie Fay Co Inc, a manufacturer of women's apparel, for a sweetened $5 in cash per share, or a total value of $10.51 mil in a leveraged buyout transaction. Originally, IG offered $3.50 in cash per share, or a total value of $5.961 mil.</t>
  </si>
  <si>
    <t>Peoples BancTrust,Selma,AL</t>
  </si>
  <si>
    <t>US - South Alabama Bancorp (SA), Mobile, withdrew an agreement to merge with Peoples BancTrust Co Inc (PB), Selma, Alabama, a commercial bank, in a merger-of-equals stock swap transaction valued at $60.829 mil. SA offered 1. 35 common shares per PB share. Based on SA's closing stock price of $8.75 on January 16, the last full trading day prior to the announcement, each PB share was valued at $11.813. Upon completion, SA was to own approximately 55% of the combined company, which was to retain the SA name. Originally, SA was rumored to be in negotiations to merge with PB.</t>
  </si>
  <si>
    <t>WebTrends Corp</t>
  </si>
  <si>
    <t>US - NetIQ Corp (NI) merged with Webtrends Corp (WB), a provider of Internet solutions, in a stock swap transaction valued at $1.031 bil. NI offered .48 common share per WB share. Based on NI's closing stock price of $75 on January 16, the last full trading day prior to the announcement, each WB share was valued at $36. Upon completion, NI common shareholders were to hold a 76% interest in the new company and WB shareholders the remaining 24%. The merged company was to operate under the NetIQ name.</t>
  </si>
  <si>
    <t>Casino Data Systems Inc</t>
  </si>
  <si>
    <t>Mnfr casino accounting systems</t>
  </si>
  <si>
    <t>Aristocrat Leisure Ltd</t>
  </si>
  <si>
    <t>Mnfr gaming machine</t>
  </si>
  <si>
    <t>US - Aristocrat Leisure Ltd (AL) acquired all the outstanding stock of Casino Data Systems Inc (CD), a manufacturer of acounting and tracking information systems for the casino industry, for $9.25 in cash per share, or a total value of $177.587 mil. The deal may be terminated by either company if it is not completed by September 30. That date may be extended, but not beyond Novemeber 30. In addition, CD may terminate the deal within 48 hours of February 16, if AL has not delievered written customary commitment letters from banks or other financial institutions to provide funds sufficient to pay the consideration.</t>
  </si>
  <si>
    <t>First Deposit Bancshares Inc</t>
  </si>
  <si>
    <t>Community First Banking Co</t>
  </si>
  <si>
    <t>US - Community First Banking Co (CFB), Carrolton, Georgia, a unit of Commerce Bancorp Inc, merged with First Deposit Bancshares Inc (FDB), Douglasville, Georgia, a savings and loan bank, in a stock swap transaction valued at $26.915 mil. CFB offered a choice of .945 shares per FDB share or $19.375 in cash per share. Based on CFB's closing stock price of $20.5 on January 17, the last full trading day prior to announcement, each FDB share was valued at $19.375. The transaction was accounted for as a pooling of interests. FDB shareholders were to have the option to receive either cash or CFB common shares, based on the aforementioned exchange ratio. Upon completion, the combined companies were to operate under the CFB name.</t>
  </si>
  <si>
    <t>Intercontinental Life Corp</t>
  </si>
  <si>
    <t>Financial Industries Corp</t>
  </si>
  <si>
    <t>US - Financial Industries Corp (FI) acquired the remaining 52% interest, or 4. 22 mil commons shares, which it did not already own, in InterContinental Life Corp (IC), a life insurance company, in a stock swap transaction valued at $48.602 mil. FI offered 1.1 common shares per IC share. Based on FI's closing stock price of $10.25 on January 17, the last full trading day prior to the announcement, each IC share was valued at $11.275.</t>
  </si>
  <si>
    <t>US - Ocean Energy Inc (OE) acquired all the outstanding common and convertible preferred shares of Texoil Inc (TI), an oil and gas exploration and production company, for $8.25 and $18.04 in cash per share respectively, or a total value of $125.368 mil, including the assumption of $15 mil in liabilities. Previously, OE completed its tender offer by accepting 6. 97 mil shares, or 93.7% of TI's common shares outstanding and 100% of its preferred shares outstanding. The offer was conditioned upon at least a majority of TI's common and preferred shares being tendered.</t>
  </si>
  <si>
    <t>Kaye Group Inc</t>
  </si>
  <si>
    <t>Hub International Ltd</t>
  </si>
  <si>
    <t>Pvd ins svcs;hldg co</t>
  </si>
  <si>
    <t>US - Hub Group International Ltd (HI) acquired all the oustanding common stock of Kaye Group Inc (KGI), an insurance company and brokerage firm, from Kaye International LP, for $14 in cash per common share, or total value of $125.913 mil. Previosly, the consideration consisted of $9.33 in cash and $4.67 in convertible debentures per KGI common share. The debentures were convertible into HI common shares at $11.247 per share.</t>
  </si>
  <si>
    <t>US - Sysco Corp (SC) acquired Guest Supply Inc (GSI), a manufacturer and wholesaler of personal care products, in a stock swap transaction valued at $189.214 mil. SC offered $26 in common stock per GSI share, subject to a collar agreement. Previuosly, BFMA Holding Corp withdrew its plans to launch an unsolicited tender offer to acquire the remaining 95.33% interest that it did not already own in GSI.</t>
  </si>
  <si>
    <t>MCSi Inc</t>
  </si>
  <si>
    <t>Other Computer Related Services</t>
  </si>
  <si>
    <t>Anthony W Liberati</t>
  </si>
  <si>
    <t>US - Anthony W Liberati, former MCSi Chairman and current director of its subsidiary, Zengine Inc, withdrew his plans to acquire all the outstanding common stock of MCSi Inc, a wholesaler of computers and office equipment, for $22 in cash per share, or a total value of $281.515 mil.</t>
  </si>
  <si>
    <t>Pontotoc Production Inc</t>
  </si>
  <si>
    <t>Ascent Energy Inc</t>
  </si>
  <si>
    <t>Oil,gas expl,prodn co</t>
  </si>
  <si>
    <t>US - Ascent Energy Inc (AE) acquired all the outstanding common stock of Pontotoc Production Inc, an oil and gas exploration and production company, for $11. 50 per share, or a total value of $60.558 mil. The consideration was to consist of $9 in cash and $2.50 in convertible stock per share, which will be convertible into 10% of the outstanding common stock of AE.</t>
  </si>
  <si>
    <t>Tuscarora Inc</t>
  </si>
  <si>
    <t>Mnfr plastic prod</t>
  </si>
  <si>
    <t>SCA Packaging International BV</t>
  </si>
  <si>
    <t>Mnfr hygiene prod</t>
  </si>
  <si>
    <t>US - SCA Packaging International BV (SC), a unit of Svenska Cellulosa AB, acquired Tuscarora Inc (TI), a manufacturer of custom interior protective packaging and material handling products and wholesales custom designed components for industrial and consumer products, for $21.5 in cash per share or a total value of $254.1 mil, including the assumption of $54 mil in liabilities.</t>
  </si>
  <si>
    <t>US - Charter One Financial Inc (COF), Cleveland, Ohio, acquired Alliance Bancorp (AB) , Chicago, Illinois, a savings and loan, in a stock swap transaction valued at $241.385 mil. COF offered $5. 25 in cash and .72 common shares per AB share. Based on COF's closing stock price of $26.937 on January 22, the last full trading day prior to the announcement, each AB share was valued at $24.64.</t>
  </si>
  <si>
    <t>Centennial Technologies Inc</t>
  </si>
  <si>
    <t>US - Solectron Corp (SC) acquired Centennial Technologies Inc (CT), a manufacturer of computer peripherals, in a stock swap transaction valued at $59.183 mil. SC offered .542 common shares per CT common share. Based on SC's closing stock price of $24.78 on April 27, the last full trading day prior to completion, each CT share was valued at $13.431.</t>
  </si>
  <si>
    <t>Netopia Inc</t>
  </si>
  <si>
    <t>Dvlp broadband Internet equip</t>
  </si>
  <si>
    <t>US - Proxim Inc (PI) withdrew its definitive agreement to acquire Netopia Inc (NI), a developer of Internet and ecommerce web platforms, in a stock swap transaction valued at $193. 623 mil. PI offered 0.3 common shares per NI share. Based on PI's closing stock price of $34.812 on January 22, the last full trading day prior to announcement, each NI share was valued at $10. 444.</t>
  </si>
  <si>
    <t>eSynch Corp</t>
  </si>
  <si>
    <t>Pvd streaming media svcs</t>
  </si>
  <si>
    <t>Streamedia Communications Inc</t>
  </si>
  <si>
    <t>US - Streamedia Communications Inc withdrew its signed a letter of intent to acquire all the outstanding common stock of eSynch Corp, a provider of streaming media services.</t>
  </si>
  <si>
    <t>US - BB&amp;T Corp, Winston- Salem, North Carolina (BBT), acquired F&amp;M National Corp, Winchester, Virginia (FM), a multi-bank holding company, in a stock swap transaction valued at $1.009 bil. BBT offered 1.09 common shares per FM share. Based on BBT's closing stock price of $37. 313 on January 23, the last full trading day prior to the announcement, each FM share was valued at $40.67. The transaction was to be accounted for as a pooling of interests.</t>
  </si>
  <si>
    <t>NextHealth Inc</t>
  </si>
  <si>
    <t>Pvd,dvlp alt healthcare svcs</t>
  </si>
  <si>
    <t>US - A management-led investor group, including CEO William T O'Donnell, Jr and director George L Ruff, acquired all the outstanding common stock of NextHealth Inc (NH), an owner and operator of addiction treatment healthcare centers, for an amended $5.10 in cash per share, or a total value of $73.115 mil, in a leveraged buyout transaction. Previously, the investor group offered a sweetened $5. 65 in cash per share, or a total value of $80.128 mil. Originally, the offer was for $5.45 in cash per share, or a total value of $77.127 mil.</t>
  </si>
  <si>
    <t>Virginia Capital Bancshares</t>
  </si>
  <si>
    <t>US - BB&amp;T Corp,Winston-Salem, North Carolina (BBT) agreed to acquire Virginia Capital Bancshares Inc (VCB), a savings and loan holding company, in a stock swap transaction valued at $175. 478 mil. BBT offered $18.50 in common stock per VCB share, subject to a collar agreement.</t>
  </si>
  <si>
    <t>Bargo Energy Co</t>
  </si>
  <si>
    <t>US - Bellwether Exploration Co (BE) acquired Bargo Energy Co (BA), a provider of oil and gas exploration and production services, in a stock swap transaction valued at $200.855 mil. BE offered $59.327 mil in cash and $80 mil in common stock, subject to a collar agreement. Upon completion, BE shareholders were to hold approximately 62% on the combined company and BA shareholders were to hold approximately 38%.</t>
  </si>
  <si>
    <t>Sodexho Marriott Services Inc</t>
  </si>
  <si>
    <t>Pvd food,facilities mgmt svcs</t>
  </si>
  <si>
    <t>Sodexho Alliance SA</t>
  </si>
  <si>
    <t>US - Sodexho Alliance (SA) acquired the remaining 52.66% interest, or 33.328 mil common shares, that it did not already own, in Sodexho Marriott Services Inc (SMS), a provider of food and facilities management services, for an amended $32 in cash per share, or a total value of $1.145 bil. Previously, SA completed its tender offer by accepting 29. 431 mil shares, or 46.5% of SMS's common shares outstanding. Upon completion, SMS changed its name to Sodexho Inc. Originally in January 2001, SA announced that it would acquire the shares for $27 in cash per share.</t>
  </si>
  <si>
    <t>US - Royal Bank of Canada (RBC) acquired all the outstanding stock of Centura Banks Inc, Rocky Mount, North Carolina (CBI), a bank holding company, in a stock swap transaction valued at $2. 32 bil. RBC offered 1.684 common shares per CBI share. Based on RBC's closing stock price of $34.4 on January 25, the last full trading day prior to the announcement, each CBI share was valued at $57.92. Upon completion, CBI was renamed RBC Centura Banks Inc.</t>
  </si>
  <si>
    <t>Command Systems Inc</t>
  </si>
  <si>
    <t>ICICI Infotech Inc</t>
  </si>
  <si>
    <t>Pvd IT services</t>
  </si>
  <si>
    <t>US - ICICI Infotech Inc (IC), a unit of ICICI Infotech Services Ltd, acquired all the outstanding common stock of Command Systems Inc (CS), a provider of information technology solutions and services, for $5 in cash per share, or a total value of $39.189 mil. Earlier IC completed its tender offer of CS by accepting 7.434 mil shares or 97.1% of CS's common shares outstanding. The offer was conditioned upon at least 60% of CS' shares being tendered.</t>
  </si>
  <si>
    <t>Garden.com Inc</t>
  </si>
  <si>
    <t>Own, op online retail network</t>
  </si>
  <si>
    <t>Walmart.com Inc</t>
  </si>
  <si>
    <t>US - Wal-Mart.com Inc acquired all the outstanding common stock of Garden.com Inc, an owner and operater of an online retail gardening store, for $4.4 mil.</t>
  </si>
  <si>
    <t>Heartport Inc</t>
  </si>
  <si>
    <t>Develop systems for surgeries</t>
  </si>
  <si>
    <t>US - Johnson &amp; Johnson (JJ) acquired Heartport Inc (HI), a developer, manufacturer and marketer of proprietary products designed to make cardiac surgery less invasive for patients, in a stock swap transaction valued at $81.177 mil. JJ offered .0307 common shares per HI share. Based on JJ's closing stock price of $94.45 on April 17, the last full trading day prior to the announcement of definitive terms, each HI share was valued at $2.90.</t>
  </si>
  <si>
    <t>Advantage Management Group Inc</t>
  </si>
  <si>
    <t>US - Advantage Management Group Inc acquired all the outstanding common shares of Kenan Transport Co, a provider of trucking services, for $35 in cash per common share, or a total value of $85.742 mil. Upon completion AM and KT were to subsidiaries of a new company to be named Kenan Advantage Group Inc.</t>
  </si>
  <si>
    <t>Perry County Financial Corp</t>
  </si>
  <si>
    <t>Jefferson County Bancshares</t>
  </si>
  <si>
    <t>US - Jefferson County Bancshares Inc acquired Perry County Financial Corp, a savings and loan institution, for $23.50 in cash per share, or a total value of $17.657 mil.</t>
  </si>
  <si>
    <t>TCI International Inc</t>
  </si>
  <si>
    <t>Mnfr radio broadcasting equip</t>
  </si>
  <si>
    <t>Dielectric Communications</t>
  </si>
  <si>
    <t>Mnfr,whl broadcasting equip</t>
  </si>
  <si>
    <t>US - Dielectric Communication, a unit of SPX Corp's General Signal Corp subsidiary, merged with TCI International Inc, a manufacturer of radio and television broadcasting equipment, for $11.25 mil in cash per share, or a total value of $43.244 mil.</t>
  </si>
  <si>
    <t>Agile Software Corp</t>
  </si>
  <si>
    <t>Dvlp PLM software</t>
  </si>
  <si>
    <t>Ariba Inc</t>
  </si>
  <si>
    <t>Software Reproducing</t>
  </si>
  <si>
    <t>US - Ariba Inc (AR) withdrew its definitive agreement to acquire Agile Software Corp (AS), a developer of business to business software, in a stock swap transaction valued at $2.776 bil. AR offered 1. 35 common shares per AS share. Based on AR's closing stock price of $40 on January 26, the last full trading day prior to the announcement, each AS share was valued at $54. Concurrent to AR's withdrawal, AS adopted a rights plan to safeguard itself from any potentially unwanted hostile takeover efforts.</t>
  </si>
  <si>
    <t>Dallas-Semiconductor Corp</t>
  </si>
  <si>
    <t>Maxim Integrated Products Inc</t>
  </si>
  <si>
    <t>US - Maxim Integrated Products Inc (MIP) acquired all of the outstanding common stock of Dallas-Semiconductor Corp (DS), a manufacturer of integrated circuits and semiconductor-based subsystems, in a stock swap transaction valued at $1.621 bil. MIP offered .6515 common shares per DS share. Based on MIP's closing stock price of $38.19 on April 10, the last full trading day prior to the announcement of the exact exchange ratio, each DS share was valued at $24.88. Originally, MIP offered 0. 6163 common shares per DS share, subject to a collar agreement which was subsequently breached. Based on MIP's closing stock price of $63.50 on January 26, the last full trading day prior to announcement, each DS share was valued at $39.135. The transaction was accounted for as a pooling of interests.</t>
  </si>
  <si>
    <t>Pulaski Financial Corp,MO</t>
  </si>
  <si>
    <t>US - Pulaski Financial Corp, St. Louis Missouri withdrew an unsolicited offer to acquire all the outstanding common stock of First Bancorp of Indiana Inc, Evansville, Indiana, a savings and loan holding company, for $16.125 per shareor a total value of $35.922 mil.</t>
  </si>
  <si>
    <t>Credit Management Solutions</t>
  </si>
  <si>
    <t>First American Corp</t>
  </si>
  <si>
    <t>Pvd re,related finl info svcs</t>
  </si>
  <si>
    <t>US - First American Financial Corp (FA) acquired all the outstanding stock of Credit Management Solutions Inc (CMS), a provider of credit automation software and services, in a stock swap transaction valued at $49.679 mil. FA offered .2841 shares per CMA share. Based on FA's closing stock price of $19.95 per share on May 30, the last full trading day prior to the announcement of the exact exchange ratio, each CMS share was valued at $5.668. Originally, FA offered .208 common shares per CMS share, subject to a collar agreement, which was subsequently breached. Based on FA's closing stock price of $32 per share on January 30, the last full trading day prior to the announcement of the exact exchange ratio, each CMS share was valued at $6. 656.</t>
  </si>
  <si>
    <t>Wisconsin Central Transport</t>
  </si>
  <si>
    <t>Own,op railroad system</t>
  </si>
  <si>
    <t>US - Canadian National Railway Co acquired all the outstanding common stock of Wisconsin Central Transportation Corp, an owner and operator of railroad systems, for $17.15 in cash per share, or a total value of $1.199 bil, including the assumption of $400 mil in liabilities.</t>
  </si>
  <si>
    <t>Lamar Capital Corp</t>
  </si>
  <si>
    <t>Hancock Holding Co</t>
  </si>
  <si>
    <t>US - Hancock Holding Co (HH), located in Gulfport, Mississippi, acquired all the outstanding common stock of Lamar Capital Corp (LC), a bank holding company, via a tender offer for a choice of $11.00 in cash or convertible preferred stock per share, or a total value of $47.379 mil. The number of LC shares exchanged into HH convertible preferred stock was limited to a maximum of 70% and a minimum of 51% of LC shares outstanding. The convertible preferred stock was to be convertible into common shares of HH stock at $45.00 per share and was to pay an annual yield of 8.0%.</t>
  </si>
  <si>
    <t>Wasatch Interactive Learning</t>
  </si>
  <si>
    <t>Plato Learning Inc</t>
  </si>
  <si>
    <t>Dvlp edu software</t>
  </si>
  <si>
    <t>US - Plato Learning Inc (PLI) acquired Wasatch Interactive Learning Corp (WIL), a developer of curriculum based educational software, in a stock swap transaction valued at $12.327 mil. PLI offered $1.3 in PLI stock per WIL share.</t>
  </si>
  <si>
    <t>Community Tr Finl Svcs Corp</t>
  </si>
  <si>
    <t>GB&amp;T Bancshares Inc,Georgia</t>
  </si>
  <si>
    <t>US - GB&amp;T Bancshares Inc, Gainesville, Georgia (GB), acquired Community Trust Financial Services Corp, Hiram, Georgia (CT), a commercial bank holding company, in a stock swap transaction valued at $42.582 mil. GB offered .786 common shares per CT share. Based on GB's closing stock price of $18.25 on February 1, the last full trading day prior to the announcement, each CT share was valued at $14.34. The transaction was accounted for as a pooling of interests.</t>
  </si>
  <si>
    <t>IVI Checkmate Corp</t>
  </si>
  <si>
    <t>Ingenico Fortronic(Ingenico)</t>
  </si>
  <si>
    <t>US - Ingenico Fortronic Ltd (IF), a unit of Ingenico SA, acquired the remaining 91% interest, that it did not already own, in IVI CheckMate Corp, a manufacturer and wholesaler of electronic payment systems for retailers, financial institutions, governments, and other businesses, for a sweetened $3.30 in cash per share or a total value of $58.123 mil. Originally, IF offered $3 in cash per share, or a total value of $54.063 mil.</t>
  </si>
  <si>
    <t>Phillips Petroleum Co Inc</t>
  </si>
  <si>
    <t>US - Phillips Petroleum Co Inc (PPC) acquired all the outstanding stock of Tosco Corp (TC), a provider of petroleum refining services, in a stock swap transaction valued at $9.388 bil, including the assumption of $2 bil in liabilities. PPC offered .8 common shares per TC share. Based on PPC's closing stock price of $58.13 on February 2, the last full trading day prior to the announcement, each TC share was valued at $46.50. The combined company's RM&amp;T headquarters will be located in Tempe, Arizona, with certain functions, including research and development, being located in Bartlesville. Concurrently, both PPC and TC amended their poison pills to exempt each other from all provisons of the rights agreement.</t>
  </si>
  <si>
    <t>Scott Technologies Inc</t>
  </si>
  <si>
    <t>Mnfr fire protection equipment</t>
  </si>
  <si>
    <t>US - Tyco International Ltd (TYC) acquired Scott Technologies Inc (STI), a manufacturer of firefighting apparatus, sprinkler and fire detection systems, and respiratory systems, in a stock swap transaction valued at $400.989 mil. TYC offered . 441 common shares per STI share. Under the terms of the agreement, the number of TYC shares to be issued were to based on the volume-weighted average price of TYC shares on the New York Stock Exchange for the five consecutive trading days ending on the fourth trading day immediately preceding the date of the stockholder vote.</t>
  </si>
  <si>
    <t>US - Patterson Energy Inc (PE) merged with UTI Energy Corp (UE), a provider of contract drilling services for oil and gas exploration and production companies, in a stock swap transaction valued at $1.408 bil. PE offered 1 common share per UE share. Based on PE's closing stock price of $36.00 on February 2, the last full trading day prior to announcement, each UE share was valued at $36.00. Upon completion, the new company was named Patterson-UTI Energy Inc.</t>
  </si>
  <si>
    <t>Morrison Management Specialist</t>
  </si>
  <si>
    <t>Own,op hospital cafeterias</t>
  </si>
  <si>
    <t>US - Compass Group PLC (CG) acquired all the outstanding common stock of Morrison Management Specialists Inc (MM), an owner and operator of hospital food cafeterias, for $40 in cash per share, or a total value of $572.874 mil. Earlier, CG completed its tender offer for MM by accepting 11.914 mil shares or 93.1% of MM's common shares outstanding. The offer was conditioned upon at least a majority of MM's shares being tendered on a fully- diluted basis.</t>
  </si>
  <si>
    <t>Uproar Inc</t>
  </si>
  <si>
    <t>Prvd online interactive games</t>
  </si>
  <si>
    <t>Flipside Inc</t>
  </si>
  <si>
    <t>Pvd ecommerce game svcs</t>
  </si>
  <si>
    <t>US - Flipside Inc (FI), a unit of Vivendi Universal, acquired all the outstanding common stock of Uproar Inc (UI), a provider of online interactive games, for $3 in cash per share, or a total value of $128.569 mil. Previously, FI completed its tender offer by accepting 42. 638 mil common shares, or about 97.95% on a fully- diluted basis.</t>
  </si>
  <si>
    <t>Labtec Inc</t>
  </si>
  <si>
    <t>Mnfr,whl computer peripherals</t>
  </si>
  <si>
    <t>Logitech International SA</t>
  </si>
  <si>
    <t>Manufactures, wholesales computer peripherals</t>
  </si>
  <si>
    <t>US - Logitech International SA (LG) acquired all the outstanding common stock of Labtec Inc (LI), a manufacturer and wholesaler of computer peripherals, for an estimated $128.179 mil, subject to a collar agreement. Earlier, LG completed its tender offer for LI by accepting 4.305 mil shares or 98.65% of LI's common shares outstanding. The consideration consisted of a combination of $11 in cash and $7 in LG's American depository receipts per share or .2644 ADR share per LI share and the assumption of $52.735 mil in liabilities. The exact fraction of an LG ADR share were based on LG's average trading price for the twenty trading days ending three trading days prior to the closing of the offer. Both LI and LG had the right to terminate the agreement if such average trading price falls below a predetermined threshold. The offer was conditioned upon at leat 66. 67% of the shares being tendered on a fully-diluted basis.</t>
  </si>
  <si>
    <t>Connecticut Bancshares Inc,CT</t>
  </si>
  <si>
    <t>US - Connecticut Bancshares Corp acquired all the outstanding stock of First Federal Savings and Loan Association, located in East Hartford, CT, a savings and loan, for $37.50 in cash per share, or a total value of $115.875 mil.</t>
  </si>
  <si>
    <t>Cumberland Mountain Bancshares</t>
  </si>
  <si>
    <t>Commercial Bancgroup Inc</t>
  </si>
  <si>
    <t>US - Commercial Bancgroup Inc agreed to acquire all the outstanding common stock of Cumberland Mountain Bancshares Inc, a bank holding company, for $14 in cash per share, or a total value of $9.52 mil.</t>
  </si>
  <si>
    <t>Putnam Investment Grade Tr II</t>
  </si>
  <si>
    <t>Putnam Investment Grade Munici</t>
  </si>
  <si>
    <t>US - Putnam Investment Grade Municipal Trust III merged with Putnam Investment Grade Municipal Trust II, a closed- end investment fund, for an undisclosed amount in common and preferred stock. On completion, the merged fund was renamed Putnam Municipal Bond Fund.</t>
  </si>
  <si>
    <t>Conectiv Inc</t>
  </si>
  <si>
    <t>US - Potomac Electric Power Co (PEP) merged with Conectiv Inc (CI), an electric and gas utility and holding company, to form Pepco Holdings Inc (PHI), in a stock swap transaction valued at $5.399 bil, including the assumption of $3.2 bil in liabilities. CI common shareholders received a choice of $25 in cash or 1.28205 PHI common shares per share and CI Class A common shareholders received a choice of $21.69 in cash or 1.11227 PHI common shares per share, both subject to a collar agreement, which was subsequently breached, and a proration whereby the consideration was 50% cash and 50% common stock. PEP common shareholders were to receive 1 PHI common share per share held. Upon completion, PEP shareholders were to own 67% of the new company, and CI shareholders were to hold the remaining 33% stake.</t>
  </si>
  <si>
    <t>Del Monte Foods Co</t>
  </si>
  <si>
    <t>Produce canned foods</t>
  </si>
  <si>
    <t>US - In February 2001, Del Monte Foods Co, a producer of canned foods, announced that it was seeking a buyer for the company.</t>
  </si>
  <si>
    <t>Factory Card Outlet Corp</t>
  </si>
  <si>
    <t>Own,operate card stores</t>
  </si>
  <si>
    <t>Factory Card Holdings Inc</t>
  </si>
  <si>
    <t>US - Factory Card Holdings Inc (FCH) planned to acquire an 85% interest in the bankrupt Factory Card Outlet Corp, an owner and operator of card stores, for an estimated $13 mil. Originally, in March 1999, Factory Card Outlet Corp disclosed that it was seeking a buyer for the company.</t>
  </si>
  <si>
    <t>Latin American Casinos Inc</t>
  </si>
  <si>
    <t>Pvd slot machine rental svcs</t>
  </si>
  <si>
    <t>Digital Convergence Corp</t>
  </si>
  <si>
    <t>Dvlp e-business software</t>
  </si>
  <si>
    <t>US - Digital Convergence Corp withdrew its plans to merge with Latin American Casinos Inc (LAC), an owner and operator of casinos. Upon completion, LAC was to cease operations and sell all assets of its existing business.</t>
  </si>
  <si>
    <t>Commercial Bank of New York</t>
  </si>
  <si>
    <t>US - North Fork Bancorp Inc, Melville, New York, acquired all the outstanding common stock of Commercial Bank of New York, New York, New York, for $32 in cash per share, or a total value of $169.587 mil.</t>
  </si>
  <si>
    <t>American Express Trav Rel Svcs</t>
  </si>
  <si>
    <t>US - American Express Travel Related Services (AE), a unit of American Express Co acquired all the outstanding common stock of SierraCities. com Inc (SC), a provider of online equipment financing services, for $5.68 per share, or a total value of $108.196 mil. Earlier, AE completed its tender offer for SC by accepting 17.912 mil shares, or 94.04% of SC's common shares outstanding. The offer was conditioned upon at least 66.67% of SC's shares being tendered.</t>
  </si>
  <si>
    <t>VISTA Information Solutions</t>
  </si>
  <si>
    <t>Pvd environmental info svcs</t>
  </si>
  <si>
    <t>US - Fidelity National Financial Inc (FNF) acquired a 77% interest, or approximately 19.775 mil common shares, of Vista Information Solutions Inc, a provider of environmental information services, in exchange for the contribution of FNF's real estate information, technology products and assets.</t>
  </si>
  <si>
    <t>VICORP Restaurants Inc</t>
  </si>
  <si>
    <t>US - An investor group, comprised of BancBoston Capital Inc, a unit of FleetBoston Financial Corp, Boston, MA and Goldner Hawn Johnson &amp; Morrison Inc, acquired all the outstanding stock of VICORP Restaurants Inc, an owner and operator of franchised restaurants, for $25.65 in cash per share, or a total value of $178.838 mil in a leveraged buyout transaction.</t>
  </si>
  <si>
    <t>US - Westfield America Trust (WAT) acquired the remaining 22.5%, or 16.48 mil common shares, which it did not already own, in Westfield America Inc (WAI), a real estate investment trust, for $16.25 in cash per share, or a total value of $1.051 bil, including the assumption of $453 mil in liabilities. Earlier, WAT completed its tender offer for WAI by accepting 13.651 mil shares or 96.1% of WAI's actual common shares outstanding.</t>
  </si>
  <si>
    <t>Great Lakes Aviation Ltd</t>
  </si>
  <si>
    <t>US - Tennenbaum &amp; Co withdrew its agreement to acquire the remaining 90.1% interest, or 7.789 mil common shares, which it did not already own, in Great Lakes Aviation Ltd, a passenger airline company, for $4 per share, or a total value of $31.487 mil.</t>
  </si>
  <si>
    <t>Mirant Corp</t>
  </si>
  <si>
    <t>US - The Southern Co (SC) completed the spinoff of its 80.3% interest, or 272 million common shares, in Mirant Corp (MC), an electric and gas utility, to its shareholders in a transaction valued at $9.656 bil. SC common shareholders received 0.4 MC common shares per SC share held. The shares were valued based on MC's closing stock price of $35.50 on March 30, the first full trading day on which the shares were distributed. Earlier, SC split off a 19.7% stake in MC in an initial public offering.</t>
  </si>
  <si>
    <t>New Era of Networks Inc</t>
  </si>
  <si>
    <t>US - Sybase Inc (SYBS) acquired all the outstanding common stock of New Era of Networks Inc (NEON), a provider of computer programming services, in a stock a stock swap transaction valued at $363. 503 mil. SYBS offered .3878 common shares per NEON share. Based on SYBS's closing stock price on February 16, the last full trading day prior to the announcement, each NEON share was valued at $9. 719. Earlier, SYBS completed its tender offer for NEON by accepting 28.809 mil shares, or 79.22% of NEON's common shares outstanding. The offer was conditioned upon at least a majority of NEON's shares being tendered.</t>
  </si>
  <si>
    <t>RGS Energy Group</t>
  </si>
  <si>
    <t>Elec utility hldg co</t>
  </si>
  <si>
    <t>US - Energy East Corp (EE) acquired all the outstanding common stock of RGS Energy Group Inc (RGS), an electric and gas utility, for an estimated $2.896 bil, including the assumption of $1 bil in liabilities. EE offered a choice of $39.50 in cash or 1.7626 EE common shares per RGS share. Based on EE's closing stock price on June 27, the last full trading day prior to the announcement of the exact exchange ratio, each RGS share was valued at $37.373. Originally, EE offered a choice of $39.50 in cash or common stock per RGS share, subject to a collar agreement which was subsequently breached. The transaction was also suject to proration so that 55% of the total consideration was to be paid in cash and 45% in EE common stock.</t>
  </si>
  <si>
    <t>US - An investor group (IG), led by Spring Industries Inc's (SI) Chief Executive Crandall Close Bowles and comprised of the Close family and Heartland Industrial Partners LP (HIP), acquired the remaining 59% interest, which the Close family did not already own, or 10.58 mil common shares, in SI, a manufacturer of finished fabrics, for a sweetened $46 in cash per share, or a total value of $874.877 mil, including the assumption of $372 mil in liabilites, in a leveraged buyout transaction. Originally, IG offered $44 in cash per share. Upon closing, the Close family was sold part of its holdings to HIP, resulting in a company 55% owned by the Close family and 45% owned by HIP.</t>
  </si>
  <si>
    <t>Blue Wave Systems Inc</t>
  </si>
  <si>
    <t>Mnfr,whl DSP computing equip</t>
  </si>
  <si>
    <t>US - Motorola Inc (MI) acquired all the outstanding stock of Blue Wave Systems Inc (BWS), a manufacturer of digital signal processing computing equipment, in a stock swap transaction valued at $120.04 mil. MI offered . 443 common shares per BWS share. Based on MI's closing stock price of $16.56, the last full trading day prior to the announcement of the exact exchange ratio, each BWS share was valued at $7. 336. Originally, MI offered . 3947 common shares per BWS share, subject to a collar agreement which was subsequently breached. Based on MI's closing stock price of $18.30 on February 20, the last full trading day prior to the announcement, each BWS share was originally valued at $7.223.</t>
  </si>
  <si>
    <t>Golden Isles Financial Hldgs</t>
  </si>
  <si>
    <t>ABC Bancorp,Moultrie,Georgia</t>
  </si>
  <si>
    <t>US - ABC Bancorp (ABC), Moultrie, Georgia, acquired all the outstanding shares of Golden Isles Financial Holdings Inc (GIF), St Simons Island, Georgia, a bank holding company, valued at $25.609 mil. ABC offered $4.1 in cash per share, or a total value of $10.108 mil and .5 mil common shares valued at $15.501 mil. The shares were valued based on ABC's closing stock price of $12.16 on July 20, the last full trading day prior to the announcement of the exact exchange ratio, each GIF share was valued at $10.18. Originally, ABC offered $4.13 in cash plus 1. 241 common shares per GIF share, subject to a collar agreement which was subsequently breached. Based on ABC's closing stock price of $11.875 on February 20, each GIF share was originally valued at $10.07.</t>
  </si>
  <si>
    <t>IMRglobal Corp</t>
  </si>
  <si>
    <t>Dvlp information tech svcs</t>
  </si>
  <si>
    <t>CGI Group Inc</t>
  </si>
  <si>
    <t>US - CGI Group Inc (CGI) acquired IMRGlobal Corp (IMR), a developer of information technology services, in a stock swap transaction valued at $431.529 mil. CGI offered 1.5974 Class A subordinate voting shares per IMR share. Based on CGI's closing stock price of $5.6928 on February 21, the last full trading day prior to the announcement, each IMR share was valued at $9.094.</t>
  </si>
  <si>
    <t>American Bancorporation Inc,WV</t>
  </si>
  <si>
    <t>US - WesBanco Inc, Wheeling, West Virginia (WB) acquired American Bancorp Inc, Wheeling, West Virginia (AB), a bank holding company, in a stock swap transaction valued at $74.017 mil. WB offered 1. 1 common shares per AB share. Based on WB's closing stock price of $21.5 on February 21, the last full trading day prior to announcement, each AB share was valued at $23.65.</t>
  </si>
  <si>
    <t>Efficient Networks Inc</t>
  </si>
  <si>
    <t>Mnfr DSL CPE equipment</t>
  </si>
  <si>
    <t>Siemens Info &amp; Commun Grp</t>
  </si>
  <si>
    <t>US - Siemens Information &amp; Communication Networks Group (SIC), a unit of Siemens AG, acquired the remaining 94.37% interest, or 62.313 mil common shares, which it did not already own, in Efficient Networks Inc (EN), a manufacturer of digital subscriber line customer premises equipment, for $23.5 in cash per share, or a total value of $1.464 bil. Earlier, SIC completed its tender offer to acquire the remaining 94.37% interest, or 62.313 mil common shares, in EN by accepting 54.834 mil shares or 93.96% of EN's common shares outstanding. The offer was conditioned upon at least a majority of EN's shares being tendered.</t>
  </si>
  <si>
    <t>Oshman's Sporting Goods Inc</t>
  </si>
  <si>
    <t>Ret and whl sporting goods</t>
  </si>
  <si>
    <t>US - Gart Sports Co (GS) acquired Oshman's Sporting Goods Inc (OSG), a retailer and wholesaler of sporting goods and apparel, in a stock swap transaction valued at $76.097 mil. GS offered $7 cash and .55 common shares per OSG share. Based of GS's closing stock price of $11 on February 21, the last full trading day prior to the announcement, each OSG share was valued at $6.05.</t>
  </si>
  <si>
    <t>Sunglass Hut International Inc</t>
  </si>
  <si>
    <t>Own,op sunglass stores</t>
  </si>
  <si>
    <t>US - Luxottica Group SpA (LG) acquired all the outstanding common stock of Sunglass Hut International Inc (SH), an owner and operator of sunglass and watch retail stores, for $11.50 in cash per share, or a total estimated value of $714.972 mil, including the assumption of an estimated $191 mil in liabilities. Earlier, LG completed its tender offer for SH by accepting 39.041 mil shares or 82.19% of SH's common shares outstanding. The offer was conditioned upon at least a majority of SH's shares being tendered on a fully diluted basis.</t>
  </si>
  <si>
    <t>ASI Solutions Inc</t>
  </si>
  <si>
    <t>Pvd employment svcs</t>
  </si>
  <si>
    <t>US - Aon Corp (AC) acquired ASI Solutions Inc (ASI), a provider of human resource consulting services, in a stock swap transaction valued at USD 112.019 mil. AC offered .425 common shares per ASI share, subject to a collar agreement which was subsequently breached. Based on AC's closing stock price of $33.72 on February 22, the last full trading day prior to the announcement, each ASI share was originally valued at $14.331.</t>
  </si>
  <si>
    <t>Clintrials Research Inc</t>
  </si>
  <si>
    <t>Inveresk Research Intl</t>
  </si>
  <si>
    <t>Contract scientific research</t>
  </si>
  <si>
    <t>US - Inveresk Research International (IRI) acquired all the outstanding common stock of Clintrials Research Inc (CRI), a provider of contract research services, for $6 in cash per share, or a total value of $112.271 mil. Earlier, IRI completed its tender offer for CRI, by accepting 17.720 mil shares or 96.29% of CRI's common shares outstanding. The offer was conditioned upon at least a majority of CRI's shares being tendered on a fully- diluted basis.</t>
  </si>
  <si>
    <t>Spieker Properties Inc</t>
  </si>
  <si>
    <t>US - Equity Office Properties Trust (EOP) acquiredSpieker Properties Inc (SP), a real estate investment trust, in a stock swap transaction valued at $7. 021 bil, including the assumption of $2.531 bil in liabilities and preferred stock. EOP offered $13.5 in cash and 1.49586 common shares per SP share. Based on EOP's closing stock price of $29.43 on February 22, the last full trading day prior to the announcement, each SP share was valued at $57.52. SP operating partnership unit holders will receive 1.94462 EOP operating partnership units or elect to first exchange the units for common stock on a one for one basis, and receive the proration of cash and stock.</t>
  </si>
  <si>
    <t>UnitedGlobalCom Inc</t>
  </si>
  <si>
    <t>Pvd cable tv svcs</t>
  </si>
  <si>
    <t>US - Liberty Media Group (LMG), completed its amended stake raise to 76% from 10.5% in UnitedGlobalCom Inc (UG), a provider of cable television services, by acquiring 75.596 mil UG common shares, for an indicated value of $2.768 bil. The consideration consisted of $200 mil in cash, $891.7 mil in an exchangeable loan, and $1.676 bil in notes. Previously in May, LMG agreed to acquire a 51% interest in UG in exchange for $543 mil cash and $.917 mil in an exchangeable loan. Originally in February, LMG agreed to raise its stake to 32% from 6. 6% in UG, by acquiring .71 mil Series E preferred shares, convertible into 38.6 mil Class A or Class B common shares at a price of $25.87 per share, for $1 bil in cash. Concurrently in February, LMG agreed to raise its stake to 42.5% from 32% in UG, by acquiring .29 mil Series E preferred shares, convertible into an additional 15.5 mil Class A or Class B common shares at a price of $25.87 per share, for $400 mil in cash. This transcation represented an amendment to a previous agreement, whereby LMG agreed to acquire 54.1 mil UGC Class B common shares in exchange for its interest in Telewest Communications PLC (TC).</t>
  </si>
  <si>
    <t>First American Health Concepts</t>
  </si>
  <si>
    <t>Healthcare membership program</t>
  </si>
  <si>
    <t>US - Luxottica Group SPA (LG) acquired all the outstanding common stock of First American Health Concepts Inc, a healthcare membership program, for $9.06 in cash per share, or a total value of $24.868 mil. LG was making the acquisition on behalf of its EyeMed Vision Care division.</t>
  </si>
  <si>
    <t>Fourth Shift Corp</t>
  </si>
  <si>
    <t>AremisSoft Corp</t>
  </si>
  <si>
    <t>US - AremisSoft Corp acquired all the outstanding common stock of Fourth Shift Corp, a software developer, for $3.70 in cash per share, or a total value of $40.026 mil.</t>
  </si>
  <si>
    <t>Black Hawk Gaming &amp; Dvlp Co</t>
  </si>
  <si>
    <t>Own,op casinos and hotels</t>
  </si>
  <si>
    <t>Jeffrey Jacobs</t>
  </si>
  <si>
    <t>US - CEO Jeffrey Jacobs withdrew plans to acquire the remaining 66% interest, that he did not already own, in Black Hawk Gaming &amp; Development Co Inc, an owner and operator of casinos and hotels, for $11 in cash per share, or a total vlaue of $33.174 mil cash, in a leveraged buyout transaction.</t>
  </si>
  <si>
    <t>Pacific Gulf Properties Inc</t>
  </si>
  <si>
    <t>FountainGlen Properties LP</t>
  </si>
  <si>
    <t>Re dvlp firm</t>
  </si>
  <si>
    <t>US - FountainGlen Properties LLC (FP), a unit of Prudential Insurance Co of America's Prudential Real Estate Investors subsidiary, merged with Pacific Gulf Properties Inc (PG), a real estate investment trust, for a sweetened $3.125 in cash per share, or a total value of $139.998 mil, including the assumption of $65 mil in liabilities. Originally, FP offered PG $3.00 in cash per share.</t>
  </si>
  <si>
    <t>First National Bancorp Inc,IL</t>
  </si>
  <si>
    <t>Bankmont Financial Corp</t>
  </si>
  <si>
    <t>US - Bankmont Financial Corp (BM), a unit of Bank of Montreal, acquired all the outstanding common stock of First National Bank Inc, Joliet, Illinois,(FNBJ) a bank holding company, for $72. 5 in cash or common stock per share, or a total value of $219.81 mil. Upon completion, FNBJ became a subsidiary of BM's Harris Bank subsidiary.</t>
  </si>
  <si>
    <t>Interwest Home Medical Inc</t>
  </si>
  <si>
    <t>Praxair Distribution Inc</t>
  </si>
  <si>
    <t>Whl industrial,specialty gases</t>
  </si>
  <si>
    <t>US - Praxair Distribution Inc, a unit of Praxair Inc, acquired all the outstanding common stock of Interwest Home Medical Inc, a manufacturer of medical and surgical supplies, for $8.92 in cash per share, or a total value of $46.437 mil, including the assumption of $4.96 mil in liabilities.</t>
  </si>
  <si>
    <t>James River Bankshares Inc,VA</t>
  </si>
  <si>
    <t>US - First Virginia Banks Inc, Falls Church, Virginia (FV), acquired James River Bankshares Inc (JR), Suffolk, Virginia, a bank holding company, in a stock swap transaction valued at $108. 835 mil. FV offered .51 common shares per JR share. Based on FV's closing stock price of $46.10 on March 2, the last full trading day prior to the announcement, each JR share was valued at $23.511.</t>
  </si>
  <si>
    <t>Mnfr semiconductor prod</t>
  </si>
  <si>
    <t>US - Vishay Intertechnology Inc (VI) withdrew its stock swap tender offer to acquire the remaining 19.57%, or 5. 846 mil common shares, that it did not already own, in Siliconix Inc (SI), a manufacturer of semiconductor products, for $226.339 mil. VI offered a sweetened 1.5 common shares per SI share, after not enough shares were tendered. Originally, VI offered $28.82 in cash per share, or a total value of $168.778 mil. Based on VI's closing stock price of $25.81 on May 24, the last full trading day prior to the announcement of the amended terms, each SI share was valued at $38.715. The offer had been conditional upon a majority of the publicly held shares being tendered.</t>
  </si>
  <si>
    <t>Extended Systems Inc</t>
  </si>
  <si>
    <t>Palm Inc</t>
  </si>
  <si>
    <t>Mnfr handheld computing prod</t>
  </si>
  <si>
    <t>US - Palm Inc (PI) withdrew its agreement to acquire Extended Systems Inc (ES) in a stock swap transaction valued at $266.054 mil. PI offered $22 in common stock per ES share, subject to a collar agreement.</t>
  </si>
  <si>
    <t>Four Leaf Management LLC</t>
  </si>
  <si>
    <t>US - Four Leaf Management LLC agreed to acquire all the outstanding common stock of J2 Communications, a provider of motion picture production and distribution services, for $3.13 mil.</t>
  </si>
  <si>
    <t>US - Shell Oil Co (SO), a unit of Royal Dutch Petroleum Co and Shell Transport &amp; Trading Co PLC's Royal Dutch/ Shell Group joint venture, withdrew its hostile tender offer to acquire all the outstanding common stock of Barrett Resources Corp (BRR), an oil and gas exploration and production company and provider of oil and gas field services, for a sweetened $60 in cash per share, or a total value of an estimated $2.438 bil, including the assumption of an estimated $400 mil in liabilities. Originally, SO offered $55 in cash per share, or a total value of an estimated $2.218 bil, including the assumption of an estimated $400 mil in liabilites. The offer was to be conditioned upon at least a majority of BRR shares being tendered on a fully- diluted basis.</t>
  </si>
  <si>
    <t>Eagle Point Software Corp</t>
  </si>
  <si>
    <t>Dvlp software applications</t>
  </si>
  <si>
    <t>JB Acquisitions LLC</t>
  </si>
  <si>
    <t>US - A management-led investor group, including JB Acquisitions LLC and John Biver, Eagle Point Software Corp (EP) co-founder and VP, acquired the remaining 73.2%, or 3.381 mil common shares, that he did not already own in EP, a provider of computer programming services, for $6. 40 per share, or a total value of $23.843 mil, in a leveraged buyout transaction.</t>
  </si>
  <si>
    <t>Barringer Technologies Inc</t>
  </si>
  <si>
    <t>Operate geochemical labs</t>
  </si>
  <si>
    <t>Smiths Group PLC</t>
  </si>
  <si>
    <t>Manufacture,wholesale safety system products</t>
  </si>
  <si>
    <t>US - Smiths Group PLC acquired all the outstanding common stock of Barringer Technologies Inc, a manufacturer of high sensitivity detection and identification equipment, for $11.05 in cash per share, or a total value of $81.667 mil.</t>
  </si>
  <si>
    <t>Public Svc Enterprise Grp Inc</t>
  </si>
  <si>
    <t>Electric,gas utility hldg co</t>
  </si>
  <si>
    <t>US - Public Service Enterprise Group Inc was rumored to be planning to acquire all the outstanding common stock of Cinergy Corp, an electric utility. The Current status of this deal is unknown.</t>
  </si>
  <si>
    <t>Prudential PLC</t>
  </si>
  <si>
    <t>US - Prudential PLC (PRU) withdrew its agreement to acquire all the outstanding common stock of American General Corp (AGC), an insurance holding company and provider of financial services, in a merger-of- equals stock swap transaction valued at $24.518 bil. PRU offered a choice of 3.6622 ordinary shares or 1.8311 American Depository receipts per AGC share. Based on PRU's closing stock price of $13. 143 on March 9, the last full trading day prior to the announcement, each AGC share was valued at $48.130. Upon completion, PRU and AGC shareholders were to own 50. 5% and 49.5% respectively of the combined company, which was to retain the PRU name. Previously, American International Group made an unsolicited challenging offer and subsequently definitively agreed to acquire AGC.</t>
  </si>
  <si>
    <t>Cambridge Technology Partners</t>
  </si>
  <si>
    <t>US - Novell Inc (NI) acquired Cambridge Technology Partners (Massachusetts) Inc (CTP), a developer of Internet-based e- business solutions, in a stock swap transaction valued at $256.305 mil. NI offered . 668 common shares per CTP share. Based on NI's closing stock price of $6.06 on March 9, the last full trading day prior to the announcement, each CTP share was valued at $4.05</t>
  </si>
  <si>
    <t>US - SPX Corp (SPX) acquired United Dominion Industries Ltd (UDI), a manufacturer of industrial products and equipment, in a stock swap transaction valued at $1.839 bil, including the assumption of $876 mil in liabilities. SPX offered .235 common shares per UDI share. Based on SPX's closing stock price on March 9, the last full trading day prior to the announcement, each UDI share was valued at $24.377. Previously, in March 2001, UDI announced that it was seeking a buyer for the company, after taking itself off the market in December of 2000.</t>
  </si>
  <si>
    <t>CIT Group Inc</t>
  </si>
  <si>
    <t>Pvd misc bus finance svcs</t>
  </si>
  <si>
    <t>US - Tyco International Ltd (TI) acquired all the outstanding common stock of CIT Group Inc (CIT), a provider of diversified financing services, in a stock swap transaction valued at an estimated $9.341 bil. TI offered .6907 common shares per CIT share for a 73% interest and an estimated $2.49 bil in cash to acquire the 27% stake in CIT owned by Dai Ichi Kangyo Bank Ltd. Based on TI's closing stock price of $50.70 on March 12, the last full trading day prior to the announcement, each CIT share was valued at $35.018.</t>
  </si>
  <si>
    <t>Towne Services Inc</t>
  </si>
  <si>
    <t>Private Business Inc</t>
  </si>
  <si>
    <t>US - Private Business Inc (PBI) acquired Towne Services Inc (TSI), a provider of data processing services. Terms were not disclosed. Upon completion, PBI was to own 64% of the combined company, while TSI was to own approximately 34%.</t>
  </si>
  <si>
    <t>VitalCom Inc</t>
  </si>
  <si>
    <t>Dvlp patient monitoring system</t>
  </si>
  <si>
    <t>Data Critical Corp</t>
  </si>
  <si>
    <t>Dvlp commun systems</t>
  </si>
  <si>
    <t>US - Data Critical Corp (DCC) acquired VitalCom Inc (VCI), a developer of wireless patient monitoring systems, in a stock swap transaction valued at $10.685 mil. DCC offered .62 common shares per VCI share. Based on DCC's closing stock price on March 12, the last full trading day prior to the announcement, each VCI share was valued at $1.318.</t>
  </si>
  <si>
    <t>Roy F Weston Inc</t>
  </si>
  <si>
    <t>Environmental consulting</t>
  </si>
  <si>
    <t>US - A management-led investor group, including Roy F. Weston Inc's (RW) CEO Mr. William L. Robertson and American Capital Strategies Ltd, acquired all the outstanding common stock of RW, a provider of consulting, engineering, and project management services, for $5. 02 per share, or a total value of $53.777 mil in a leveraged buyout transaction.</t>
  </si>
  <si>
    <t>Washington Mills Co</t>
  </si>
  <si>
    <t>Mnfr abrasive products</t>
  </si>
  <si>
    <t>US - Washington Mills Co acquired all the outstanding common stock in Exolon-ESK Co, a manufacturer and wholesaler of construction material, for $13.24 per share, or a total value of $13.749 mil.</t>
  </si>
  <si>
    <t>DM Acquisition Corp</t>
  </si>
  <si>
    <t>US - DM Acquisition Corp, controlled by chairman, president, and CEO Robert Stein Jr., withdrew its agreement to acquire all the outstanding common stock of Dairy Mart Convenience Stores, a majority-owned unit of DM Associates Ltd and an owner and operator of convenience stores and gasoline stations, for $4.50 in cash per common share, or a total value of $23.335 mil, in a leveraged buyout transaction.</t>
  </si>
  <si>
    <t>US - AmeriSource Health Corp (ASH) merged with Bergen Brunswig Corp (BB), a wholesaler of medical, video, computer, and audio equipment, in a merger of equals stock swap transaction valued at $4. 479 bil. ASH offered .37 common shares per BB share, plus the assumption of $2 bil in liabilities. Based on ASH's closing stock price of $48.48 on March 16, the last full trading day prior to the announcement, each BB share was valued at $17.94. Upon completion, the newly merged entity was named AmeriSource- Bergen.</t>
  </si>
  <si>
    <t>Midcoast Energy Resources Inc</t>
  </si>
  <si>
    <t>Enbridge Inc</t>
  </si>
  <si>
    <t>Own,op pipelines</t>
  </si>
  <si>
    <t>US - Enbridge Inc acquired all the outstanding common stock of Midcoast Energy Resources Inc, a provider of gas transmission and distribution services, for $27 in cash per share, or a total value of $596.378 mil, including the assumption of $250 mil in liabilities.</t>
  </si>
  <si>
    <t>In March 2001, SL Industries Inc, a manufacturer of metal working tools, announced that it was seeking a buyer for the company.</t>
  </si>
  <si>
    <t>US - Interpublic Group of Cos Inc (IGC) acquired True North Communications Inc (TCN) , an advertising agency, in a stock swap transaction valued at $2.133 bil. IGC offered 1. 14 common shares per TCN share. Based on IGC's closing stock price of $35.30 on March 16, the last full trading day prior to the announcement, each TCN share was valued at $40.242. The transaction was accounted for as a pooling of interests. Originally, in March 2001, TCN disclosed that it was seeking a buyer for the company. The transaction included 6.174 mil TCN common shares issuable upon exercise of options at a weighted average exercise price of $21. 92 per share.</t>
  </si>
  <si>
    <t>York Group Inc</t>
  </si>
  <si>
    <t>Mnfr metal,hardwood caskets</t>
  </si>
  <si>
    <t>Wilbert Inc</t>
  </si>
  <si>
    <t>US - Wilbert Inc (WI) signed a letter of intent to acquire the remaining 90.13% interest, or 8.058 mil common shares, plus convertibles, which it did not already own in York Group Inc (YG), a manufacturer of metal and hardwood caskets as well as casket components, for a sweetened $7.75 in cash per YG common share, or a total value of $62.862 mil. Originally, WI offered $6.50 in cash per YG common share, or a total value of $52.377 mil.</t>
  </si>
  <si>
    <t>Huntway Refining Co</t>
  </si>
  <si>
    <t>Own,op crude oil refineries</t>
  </si>
  <si>
    <t>Valero Energy Corp</t>
  </si>
  <si>
    <t>US - Valero Energy Corp acquired all the outstanding stock of Huntway Refining Co, an owner and operater of two crude oil refineries located in California, for an estimated $1.90 in cash per common share, or a total value of $111.58 mil, including the assumption of $49.491 mil in liabilities and options.</t>
  </si>
  <si>
    <t>Tab Products Co</t>
  </si>
  <si>
    <t>Mnfr document mgmt solutions</t>
  </si>
  <si>
    <t>US - An investor group (IG), including Hamilton Sorter Co Inc, a unit of HS Morgan Co, acquired the remaining 93.4% interest, or 4.825 mil common shares, which it does not already own, in TAB Products Co (TPC), a manufacturer of computers and office furniture, for a sweetened $5 in cash per share, or a total value of $24.149 mil. Originally, IG offered $4 in cash per share.</t>
  </si>
  <si>
    <t>Sequoia Software Corp</t>
  </si>
  <si>
    <t>Provide computer software svcs</t>
  </si>
  <si>
    <t>Citrix Systems Inc</t>
  </si>
  <si>
    <t>Pvd applications software svcs</t>
  </si>
  <si>
    <t>US - Citrix Systems Inc (CSI) acquired all the outstanding common stock of Sequoia Software Corp (SSC), a provider of e-business portal services, for $5.64 in cash per share, or a total value of $173.611 mil. Earlier, CSI completed its tender offer for SSC by accepting 29.72 mil shares, or 96.551%of SSC's shares outstanding.</t>
  </si>
  <si>
    <t>CUseeMe Networks Inc</t>
  </si>
  <si>
    <t>First Virtual Communications</t>
  </si>
  <si>
    <t>Dvlp Internet video software</t>
  </si>
  <si>
    <t>US - First Virtual Communications Inc (FV) merged with CUseeME Networks (CU), a developer of Internet software, in a stock swap transaction valued at $20.323 mil. FV offered 1.254 common shares per CU share. Based on FV's closing stock price of $1.281 on March 20, the last full trading day prior to the announcement, each CU share was valued at $1.606.</t>
  </si>
  <si>
    <t>Infonet Services Corp</t>
  </si>
  <si>
    <t>Develop telecommun software</t>
  </si>
  <si>
    <t>US - Infonet Services Corp (ISC), provider of data communications services, withdrew its search for a buyer. Originally, in March 2001, ISC announced that it was seeking a buyer for the company.</t>
  </si>
  <si>
    <t>Kent Electronics Corp</t>
  </si>
  <si>
    <t>US - Avnet Inc (AI) acquired Kent Electronics Corp (KE), a wholesaler of electronic components, in a stock swap transaction valued at $688. 617 mil. AI offered .87 common shares per KE share. Based on AI's closing stock price on March 21, the last full trading day prior to the announcement, each KE share was valued at $20.489. The transaction was accounted for as a pooling of interests.</t>
  </si>
  <si>
    <t>US - Excel Legacy Corp acquired the remaining 8.7% stake, or 1.158 mil common shares, which it did not already own, in Price Enterprises Inc (PEI), a real estate investment trust, to form a new company named Price Legacy Corp. Both companies were prohibited from soliciting outside offers as part of the agreement. Concurrently, PEI completed its self-tender offer to repurchase up to 1. 158 mil common shares, or 8. 3% of its common shares outstanding.</t>
  </si>
  <si>
    <t>HD Vest Inc</t>
  </si>
  <si>
    <t>US - Wells Fargo &amp; Co located in San Francisco, California, acquired HD Vest Inc, a provider of financing services, for $21.03 in cash per share, or a total value of $127.518 mil.</t>
  </si>
  <si>
    <t>Interland Inc</t>
  </si>
  <si>
    <t>Pvd Web hosting services</t>
  </si>
  <si>
    <t>US - Micron Electronics Inc (ME) acquired Interland Inc (II), a provider of a broad range of web and applications hosting and other related web- based business solutions specifically designed to meet the needs of small to medium- sized businesses, in a stock swap transaction valued at $177.588 mil. ME offered .861 common shares per II share. Based on ME's closing stock price of $3.44 on March 22, the last full trading day prior to the announcement, each II share was valued at $2.962. Upon completion, the newly combined entity was named Interland Inc.</t>
  </si>
  <si>
    <t>PJ America Inc</t>
  </si>
  <si>
    <t>Own,op pizza delivery rest</t>
  </si>
  <si>
    <t>US - A management-led investor group (IG), including President and CEO Douglas S. Stephens, Chairman of the Board Richard F. Sherman, and other board members and significant shareholders (IG), acquired the remaining 60% interest, or 2.954 mil common shares, which it did not already own in PJ America Inc (PJA), an owner and operator of pizza restaurants, for $8.75 in cash per share, or a total value of $22.698 mil. Earlier, IG completed its tender offer for PJA by accepting 2. 494 mil shares, or 57.68% of IG's common shares outstanding. Originally, IG offered $8 in cash per common share, or a total value of $20.753 mil. The offer was conditioned upon at least 90% of PJA shares being tendered. Upon completion of the tender offer, PJA was to acquire all untendered shares via a back- end merger for $8.75 per share.</t>
  </si>
  <si>
    <t>C-Cube Microsystems Inc</t>
  </si>
  <si>
    <t>US - LSI Logic Corp (LSI) acquired all the outstanding stock of C-Cube Microsystems Inc (CUBE), a manufacturer of semiconductors, via a stock swap tender offer valued at $865.573 mil. LSI offered .79 common shares per CUBE share. Based on LSI's closing stock price of $20.69 on March 23, the last full trading day prior to the announcement, each CUBE share was valued at $16.345.</t>
  </si>
  <si>
    <t>CSFBdirect</t>
  </si>
  <si>
    <t>US - Credit Suisse First Boston Inc (CSFB) acquired the remaining 18% stake, or 18.4 mil common shares outstanding, which it did not already own in CSFBdirect (CSD), a provider of integrated investment and merchant banking services for institutional, corporate, governmental and individual clients both domestically and internationally, for a sweetened $6 in cash per share or a total value of $110.4 mil. Originally, CSFB offered $4 in cash per share, or a total value of $73.6 mil. The offer was conditioned upon at least a majority of CSD's shares being tendered.</t>
  </si>
  <si>
    <t>US - SPX Corp (SPX) withdrew its definitive agreement to acquire VSI Holdings Inc (VSI) , an owner and operator of women's stores, in a stock swap transaction valued at $191.607 mil, including the assumption of $51 mil in liabilities. SPX offered 0. 043 shares per share for 55% of their VSI shares outstanding and $4.35 in cash per share for 45% of their VSI shares outstanding. Based on SPX's closing stock price of $92.95 on March 23, the last full trading day prior to announcement, each VSI share was valued at $4.156. Alternatively, SPX offered a choice of .043 common shares per VSI share.</t>
  </si>
  <si>
    <t>US - Johnson &amp; Johnson (JJ) acquired all the outstanding common stock of Alza Corp (AC) , a manufacturer of pharmaceuticals, in a stock swap transaction valued at $11.07 bil. JJ offered .49 common shares per AC share. Based on JJ's closing stock price of $85.38 on March 26, the last full trading day prior to the announcement, each AC share was valued at $41.836. The transaction was accounted for as a pooling of interests. Originally, JJ was rumored to be in negotiations to acquire AC.</t>
  </si>
  <si>
    <t>New York Community Bancorp Inc</t>
  </si>
  <si>
    <t>US - New York Community Bancorp Inc, Flushing, New York (NYC) merged with Richmond Financial Corp, Staten Island, New York, (RFC) a bank holding company, in a merger of equals stock swap transaction valued at $782. 045 mil. NYC offered .68 common shares, on a pre 3-for- 2 split basis, per RFC share. Based on NYC's closing stock price of $40.80 on March 26, the last full trading day prior to the announcement, each RFC share was valued at $27.744.</t>
  </si>
  <si>
    <t>Interact Commerce Corp</t>
  </si>
  <si>
    <t>US - Sage Group PLC (SG) acquired all the outstanding common stock of Interact Commerce Corp (CC), a software developer, for $12 in cash per share, or a total value of $268.672 mil. Earlier SG completed its tender offer by accepting 18. 978 mil shares, or 93.2% of CC's common shares outstanding. The offer was conditioned upon at least a majority of the shares being tendered on a fully-diluted basis.</t>
  </si>
  <si>
    <t>Community Financial,Olney,IL</t>
  </si>
  <si>
    <t>First Financial Corp</t>
  </si>
  <si>
    <t>US - First Financial Corp, Terre Haute, Indiana (FFC) acquired all the outstanding common stock of Community Financial Corp, Olney, Illinois, a bank holding company, for a sweetened $15. 14 in cash per common share, or a total value of $33.538. Originally, FFC offered $15 in cash per share, or a total value of $33.228 mil.</t>
  </si>
  <si>
    <t>Core Inc</t>
  </si>
  <si>
    <t>Fortis Inc</t>
  </si>
  <si>
    <t>US - Fortis Inc, a unit of Fortis AG, acquired all the outstanding common stock of Core Inc, a provider of employee absence management services to employers, third- party administrators and insurance carriers, for $4.92 in cash per share, or a total value of $45.207 mil.</t>
  </si>
  <si>
    <t>US - An investor group, comprised of certain preferred stock shareholders, acquired all the outstanding common stock of Essex Bancorp Inc, Virginia Beach, Virginia, a bank holding company, for $1.45 in cash per share, or a total value of $1.538 mil.</t>
  </si>
  <si>
    <t>Franchise Finance Corp of Amer</t>
  </si>
  <si>
    <t>US - General Electric Capital Corp, a unit of General Electric Co's General Electric Capital Services subsidiary, acquired all the outstanding common stock of Franchise Finance Corp of America, a real estate investment trust, for $25 in cash per share, or a total estimated value of $2.119 bil, including the assumption of $700 mil in liabilities.</t>
  </si>
  <si>
    <t>Hallwood Energy Corp</t>
  </si>
  <si>
    <t>Pure Resources II</t>
  </si>
  <si>
    <t>US - Pure Resources II (PR), a unit of Pure Resources Inc, acquired all the outstanding common stock and Series A cumulative preferred stock of Hallwood Energy Corp (HEC), an oil and gas exploration and production company, for a total value $268 mil, including the assumption of an undisclosed amount in liabilities. Earlier, PR completed its tender offer to acquire all the outstanding common stock and Series A cumulative preferred stock of Hallwood Energy Corp (HEC), an oil and gas exploration and production company, via a tender offer for $12.5 in cash per common share and $10. 84 in cash per preferred share, or a total value of $151.819 mil, by accepting 8. 3 mil common shares and 1.82 mil preferred shares. The offer was contigent upon at least a majority of HEC's common and preferred shares being tendered.</t>
  </si>
  <si>
    <t>First Coastal,Portland,Maine</t>
  </si>
  <si>
    <t>Norway Bancorp Inc,Norway,ME</t>
  </si>
  <si>
    <t>US - Norway Bancorp Inc acquired all the outstanding common stock of First Coastal Corp, a bank holding company, located in Westbrook, Maine, for $21 in cash per common share for a total value of $27.008 mil.</t>
  </si>
  <si>
    <t>General Semiconductor Inc</t>
  </si>
  <si>
    <t>Mnfr discrete semiconductors</t>
  </si>
  <si>
    <t>US - Vishay Intertechnology Inc (VI) acquired all the outstanding common stock of General Semiconductor Inc (GS) , a manufacturer and wholesaler of semiconductors, in a stock swap transaction valued at $890.419 mil, including the assumption of $229.4 mil in liabilities. VI offered a sweetened .563 common shares per 1 GS common share. Based on VI's closing stock price on July 31, the last full trading day prior to the announcement of the amended terms, each GS share was valued at $13.54. Originally, VI offered .5 common shares per 1 GS common share, or a total value of $485.742 mil.</t>
  </si>
  <si>
    <t>Kohlberg Investors IV LP</t>
  </si>
  <si>
    <t>US - Kohlberg Investors IV LP (KOH) acquired a 58% interest, on a fully-diluted basis, in Katy Industries Inc (KTI), a manufacturer and wholesaler of electric products and tools, by acquiring 0.7 mil preferred shares convertible into common shares on a 1 for 16. 67 basis at a price of $100 per share, for a total value of $70 mil. Concurrently, KOH withdrew its agreement to acquire up to 2.5 mil common shares, or a 29.8% stake, in KTI via a tender offer. Previously, KOH definitively agreed to acquire at least 0. 4 mil preferred shares convertible into common shares on a 1 for 12.5 basis at a price of $100 per share, for a total value estimated at $40 mil.</t>
  </si>
  <si>
    <t>Concord Assets Group Inc</t>
  </si>
  <si>
    <t>US - Concord Assets Group acquired the remaining 31.2% stake, or 1.338 mil common shares, which it does not already own, in Milestone Properties Inc, an owner and operator of commercial real estate, for $2.65 in cash per share, or a total value of $3. 706 mil.</t>
  </si>
  <si>
    <t>USA Detergents Inc</t>
  </si>
  <si>
    <t>Manufacture soap,detergent</t>
  </si>
  <si>
    <t>Church &amp; Dwight Co Inc</t>
  </si>
  <si>
    <t>Manufacturer and wholesaler, laundry,cleaning prod</t>
  </si>
  <si>
    <t>US - Church &amp; Dwight Co (CD) acquired the remaining 85% interest, or 12.533 mil common shares, which it did not already own, in USA Detergents Inc (USD), a manufacturer of soap and detergent, for $7 in cash per share, or a total value of $85.037 mil. Earlier, CD completed its tender offer for USD by accepting 11.319 mil common shares, 77.139% of USD's shares outstanding. The offer was conditioned upon at least 51% of UD's shares being tendered. Originally, CD was rumored to be in negotiations to acquire USD.</t>
  </si>
  <si>
    <t>US - American International Group (AIG) acquired American General Corp (AGC), an insurance company, in a stock swap transaction valued at $23.398 bil. AIG offered $46 in common stock per AGC share, subject to a collar agreement. The transaction was accounted for as a pooling of interests. Subsequently, Prudential PLC withdrew its agreement to acquire AGC.</t>
  </si>
  <si>
    <t>DTM Corp</t>
  </si>
  <si>
    <t>Mnfr special industry mach</t>
  </si>
  <si>
    <t>3D Systems Corp</t>
  </si>
  <si>
    <t>Develop 3D printing software</t>
  </si>
  <si>
    <t>US - 3-D Systems Corp (3DS) acquired all the outstanding common stock of DTM Corp (DTM) , a designer of prototyping and laser sintering technology, for $5.80 in cash per share, or a total value of $44.16 mil. Earlier, 3DS completed its tender offer for DTM by accepting 6.954 mil shares, or 87.31% of DTM's common shares outstanding. The offer was conditioned upon at least 67% of DTM's shares being tendered.</t>
  </si>
  <si>
    <t>Exigent International Inc</t>
  </si>
  <si>
    <t>Pvd comp system design</t>
  </si>
  <si>
    <t>US - Harris Corp acquired all the outstanding common stock of Exigent International Inc (EI), a provider of computer integrated system design and engineering services, via a tender offer for $3.55 in cash per share, or a total value of $22.939 mil. The offer was conditioned upon at least a majority of EI's shares being tendered.</t>
  </si>
  <si>
    <t>Wilshire Financial Services</t>
  </si>
  <si>
    <t>Pvd bkg,lending svcs</t>
  </si>
  <si>
    <t>Security National Servicing</t>
  </si>
  <si>
    <t>US - Security National Servicing Corp planned to launch a tender offer to acquire all the outstanding common stock of Wilshire Financial Services Group Inc, a provider of community banking services in southern California and specialty servicing and finance operations nationwide, for $2. 50 in cash per share, or a total value of $50.653 mil.</t>
  </si>
  <si>
    <t>US - Suiza Foods Corp (SFC) merged with Dean Foods Co (DFC), a producer of dairy products, in a stock swap transaction valued at $2.455 bil, including the assumption of $1 bil in liabilities. SFC offered $21 in cash and 0.429 shares per DFC share. Based on SFC's closing stock price of $46.44 on April 4, the last full trading day prior to announcement, each DFC share was valued at $40.92. Upon completion, the newly formed entity was named Dean Foods. SFC shareholders were to own 65% interest of the new company, with DFC shareholders taking the remaining 35%. Concurrently, SFC acquired the remaining 33. 8% stake, which it did not already own, in Suiza Dairy Corp. Previously, Dairy Holdings LP agreed to acquire 11 US diary plants from SFC.</t>
  </si>
  <si>
    <t>NBC Internet Inc</t>
  </si>
  <si>
    <t>US - National Broadcasting Co Inc, a unit of General Electric Co's RCA Corp subsidiary, acquired the remaining 61.4%, which it did not already own, in NBC Internet Inc, a provider of online information services, for $2.19 per share, of a total value of $97.426 mil.</t>
  </si>
  <si>
    <t>Americorp,Ventura,CA</t>
  </si>
  <si>
    <t>Mid-State Bk,Arroya Grande,CA</t>
  </si>
  <si>
    <t>US - Mid-State Bancshares, Arroya Grande, California, (MSB) acquired all the outstanding common stock of Americorp, Ventura, California (AC), a bank holding company, in a stock swap transaction valued at $64.142 mil. MSB offered $28. 75 in cash and common stock per AC share. The consideration was to consist of a maximum of 70% being paid in common stock with the remainder to be paid in cash.</t>
  </si>
  <si>
    <t>Ravenswood Winery Inc</t>
  </si>
  <si>
    <t>Produce, mkt and sell wines</t>
  </si>
  <si>
    <t>Constellation Brands Inc</t>
  </si>
  <si>
    <t>Produce,whl alcoholic beverage</t>
  </si>
  <si>
    <t>US - Constellation Brands Inc acquired all the outstanding stock of Ravenswood Winery Inc, a producer and seller of premium California wines, for $29.50 in cash per share, or a total value of $157.148 mil.</t>
  </si>
  <si>
    <t>US - Illinois Tool Works Inc (IT) acquired all the outstanding common stock of Foilmark Inc (FI), a manufacturer and wholesaler of metal foil, for $6.36 in cash per share, or a total value of $54.646 mil. Earlier, IT completed its tender for FI by accepting 7.94 mil shares, or 89.133% of FI's common shares outstanding. The offer was conditioned upon at least a majority of FI's shares being tendered on a fully-diluted basis.</t>
  </si>
  <si>
    <t>Robert Greenlee</t>
  </si>
  <si>
    <t>US - Former Chairman and CEO Robert Greenlee withdrew his plans to acquire the remaining 89% interest, or 4. 289 mil common shares, that he did not already own, in Black Hawk Gaming &amp; Development Co Inc, an owner and operator of casinos and hotels, for $12 per share, or a total vlaue of $47.721 mil, in a leveraged buyout transaction.</t>
  </si>
  <si>
    <t>McNaughton Apparel Group Inc</t>
  </si>
  <si>
    <t>Mnfr,wholesale womens clothes</t>
  </si>
  <si>
    <t>US - Jones Apparel Group Inc (JA) acquired all the outstanding common stock of McNaughton Apparel Group Inc (MA), a manufacturer and wholesaler of a broad line of brand name, moderately priced women's career and casual clothing, for $565.424 mil, including the assumption of $297 mil in liabilities. JA offered $10.50 in cash and . 282 common shares per MA common share, subject to a collar agreement. Based on JA's closing stock price of $35.95 on April 12, the last full trading day prior to the announcement, each MA share was valued at $20.64.</t>
  </si>
  <si>
    <t>EW Blanch Holdings Inc</t>
  </si>
  <si>
    <t>Reinsurance intermediary svcs</t>
  </si>
  <si>
    <t>Benfield Greig Group Ltd</t>
  </si>
  <si>
    <t>US - Benfield Greig Group PLC acquired all the outstanding common stock of EW Blanch Holdings Inc (EWB), a provider of reinsurance intermediary services, for $13.50 in cash per share, or a total value of $176.189 mil. Earlier, BG completed its tender offer for EWB by accepting 12.249 mil common shares, or 93.855% of EWB's shares outstanding. The offer was conditioned upon at least a majority of EWB's shares being tendered.</t>
  </si>
  <si>
    <t>US - Chairman and largest shareholder Mr. Ernest C Garcia II (ECG) withdrew his plans to acquire the remaining 44% stake, or 5.408 mil common shares, which he did not already own, in Ugly Duckling Corp (UDC), an owner and operator of used car dealerships, for $37.859 mil, in a leveraged buyout transaction. ECG offered $2 in cash and $5 in subordinated debentures per UDC share. Upon completion, chief executive officer Greg Sullivan was to recieve an option to purchase a 20% stake.</t>
  </si>
  <si>
    <t>US - First Union Corp, Charlotte, North Carolina (FC) , merged with Wachovia Corp (WC), Winston-Salem, North Carolina, a bank holding company, in a merger of equals stock swap transaction, valued at $13.132 bil. FC offered 2 common shares per WC share. Based on FC's closing stock price of $31.92 on April 12, the last full trading day prior to the announcement, each WC share was valued at $63.84. Upon completion, the combined company was to take the WC name. Subsequently, SunTrust Banks Inc withdrew an unsolicited challenging offer to acquire WC. Furthermore, WC planned to divest 10 branches to an undisclosed acquiror and FC planned to divest 28 branches to an undisclosed acquiror. The divestitures were planned to meet antitrust regulations.</t>
  </si>
  <si>
    <t>Ohio State Financial Services</t>
  </si>
  <si>
    <t>Advance Financial Bancorp</t>
  </si>
  <si>
    <t>US - Advance Financial Bancorp acquired all the outstanding common stock of Ohio State Financial Services Inc, a savings and loan institution, for $16 per share or a total value of $18. 703 mil.</t>
  </si>
  <si>
    <t>Mainspring Inc</t>
  </si>
  <si>
    <t>US - International Business Machines Corp acquired all the outstanding common stock of Mainspring Inc, a provider of business consulting services, for $4 in cash per share, or a total value of $83.68 mil.</t>
  </si>
  <si>
    <t>M&amp;F Worldwide Corp</t>
  </si>
  <si>
    <t>US - M &amp; F Worldwide Corp (MF) acquired 7.320 mil common shares, or a 83.5% interest, in Panavision Inc, a manufacturer of high- precision film camera systems, comprising cameras, lenses and accessories, for motion picture and television industries, from PX Holding, a unit of Mafco Holdings Inc; in exchange for $80 mil in cash and 1.5 mil common shares valued at $7.725 mil, for a total value of $87.725 mil. The shares were valued based on MF's closing stock price of $5.15 on April 18, the last full trading day prior to completion. Upon completion PX recieved 6.182 mil Series B Non-Cumulative Perpetual Participating Preferred Stock.</t>
  </si>
  <si>
    <t>Landmark Bancshares Inc,KS</t>
  </si>
  <si>
    <t>US - Landmark Bancshares Inc (LARK), Dodge City, Kansas, merged with MNB Bancshares Inc (MNBB), Manhattan, Kansas, a commercial bank holding company, to form Landmark Merger Co (LMC), in a stock swap transaction valued at $14.417 mil. MNBB common shareholders were to receive . 523 LMC common shares and LARK common shareholders were to receive 1 LMC common shares per share held. Based on LARK's closing stock price on April 19, the last full trading day prior to the announcement, each MNBB share was valued at $9.048. Upon completion, the combined company was to change its name from LMC to Landmark Bancshares Inc.</t>
  </si>
  <si>
    <t>Surgical and Medical Instrument Manufacturing</t>
  </si>
  <si>
    <t>US - Mr. Carl Icahn (CK) withdrew his plan to acquire the remaining 89.54%, which he did not already own, in VISX Inc (VX), a manufacturer of surgical instruments and systems used for laser vision correction, for $32 in cash per share, or a total value of $1.649 bil. Concurrently, CK was in a proxy fight for control of 5 VX board seats. In July, 2000, VX adopted a poison pill that prohibits any person from acquiring a 10% beneficial interest in the company. In April 2001, VX said its rights plan would permit an all-cash bid for the company at $32 per share or above.</t>
  </si>
  <si>
    <t>Alltrista Corp</t>
  </si>
  <si>
    <t>Mnfr,whl plastic,metal prod</t>
  </si>
  <si>
    <t>Marlin Partners II LP</t>
  </si>
  <si>
    <t>US - Marlin Partners II LP withdrew its letter of intent to acquire the remaining 90. 2% interest that it does not already own in Alltrista Corp, a manufacturer of glass containers, plastic products, zinc bars, zinc plates and zinc sheets, for $18 per share, or a total value of $103.172 mil. In March 1993, the company adopted a poison pill to protect itself from unwanted takeovers.</t>
  </si>
  <si>
    <t>US - In April 2001, Alltrista Corp, a manufacturer and wholesaler of plastic and metal products, announced that it was seeking a buyer for the company.</t>
  </si>
  <si>
    <t>USX-US Steel Group</t>
  </si>
  <si>
    <t>US - USX-Marathon Group (USXM) completed the spin off its USX-U.S. Steel Group (USXS) unit to its shareholders to form US Steel Corp (USSC) in a transaction valued at $2.453 bil, including a value transfer of $900 mil in corporate debt from USXM to USXS. USXS shareholders received 1 USSC common share for each share of USXS tracking stock held. The shares were valued based on USXS's closing stock price of $17.50 on January 2, the first full trading day on which the shares were distributed. Upon completion, USXM changed its name to Marathon Oil Co.</t>
  </si>
  <si>
    <t>US - General Dynamics Corp (GD) withdrew its tender offer to acquire all the outstanding common stock of Newport News Shipbuilding Inc (NNS), a manufacturer, overhauler, and provider of refueling services for nuclear-powered aircraft carriers and submarines for the US Navy, for $67.50 in cash per share, or a total value of $3.015 bil, including the assumption of an estimated $500 mil in liabilities. Upon completion, GD was to consummate a second- step merger in which all of the remaining NNS shareholders receive the same price paid in the tender offer. The offer was conditioned upon at least a majority of NNS shares being tendered. Subsequently, Northrop Grumman Corp planned to launch a challenging tender offer to acquire all the outstanding common stock of NNS for $67.50 per share, whereby 25% of the consideration was to be paid in cash and 75% was to be paid in common stock. GD withdrew its tender offer due to the government regulation issued by the Pentagon and Justice Department.</t>
  </si>
  <si>
    <t>Aurafin Corp</t>
  </si>
  <si>
    <t>Mnfr,whl gold jewelry</t>
  </si>
  <si>
    <t>US - Aurafin Corp acquired all the outstanding common stock of OroAmerica Inc, a manufacturer and wholesaler of gold and silver jewelry, for $14 per share, or a total value of $78.693 mil in cash.</t>
  </si>
  <si>
    <t>MedPlus Inc</t>
  </si>
  <si>
    <t>Quest Diagnostics Inc</t>
  </si>
  <si>
    <t>Pvd diagnostic testing svcs</t>
  </si>
  <si>
    <t>US - Quest Diagnostics Inc acquired the remaining 82% interest, or 6.669 mil common shares, which it did not already own, in MedPlus Inc, a provider of computer programming and systems integration services, for $2 in cash per share, or a total value of $18.084 mil.</t>
  </si>
  <si>
    <t>Proxicom Inc</t>
  </si>
  <si>
    <t>Pvd e-bus consulting,dvlp svc</t>
  </si>
  <si>
    <t>US - Compaq Computer Corp withdrew its tender offer to acquire all the outstanding common stock of Proxicom Inc (PI), a provider of computer integrated systems development services, for $5. 75 in cash per share, or a total value of $334.521 mil. The offer was conditioned upon at least a majority of PI's shares being tendered on a fully-diluted basis.</t>
  </si>
  <si>
    <t>Gameco Inc</t>
  </si>
  <si>
    <t>Own,op gaming,casino centers</t>
  </si>
  <si>
    <t>US - Gameco Inc (GI) acquired the remaining 66% interest, which it does not already own, in Black Hawk Gaming &amp; Development Co Inc (BH), an owner and operator of casinos and hotels, for $12 in cash per share, or a total value of $36.331 mil. GI was formed by BH chairman Jeffrey P. Jacobs to acquire BH.</t>
  </si>
  <si>
    <t>RFS Bancorp Inc,Revere,MA</t>
  </si>
  <si>
    <t>Danvers Bancorp Inc</t>
  </si>
  <si>
    <t>US - Danvers Bancorp, Danvers, Massachusetts acquired all the outstanding common stock of RFS Bancorp Inc, Revere, Massachusetts, a savings and loan bank holding company and a majority-owned unit of Revere Mutual Holding Co, for $22.75 in cash per share, or a total value of $20.776 mil.</t>
  </si>
  <si>
    <t>Southwestern Life Holdings Inc</t>
  </si>
  <si>
    <t>Swiss Re Life &amp; Health</t>
  </si>
  <si>
    <t>US - Swiss Reinsurance Life &amp; Health America Holding Co (SR), a unit of Swiss Reinsurance Co, acquired all the outstanding common stock of Southwestern Life Holdings Inc (SL), an insurance holding company, for $18.50 in cash per share, or a total value of $171.55 mil. Earlier, SR completed its tender offer for SL by accepting 9. 0318 mil shares, or 99.7% of SL's common shares outstanding. The offer was conditioned upon at least a majority of SL shares being tendered.</t>
  </si>
  <si>
    <t>WorldPages.com Inc</t>
  </si>
  <si>
    <t>Pvd Internet infrastructure sv</t>
  </si>
  <si>
    <t>TransWestern Publishing Co LLC</t>
  </si>
  <si>
    <t>Publish telephone directories</t>
  </si>
  <si>
    <t>US - TransWestern Publishing Co LLC acquired all the outstanding common stock of WorldPages.com Inc, a provider of integrated telecommunications services including local, long distance, Internet access, cellular and enhanced voice and data services, for $3 in cash per share, or a total value of $142.372 mil.</t>
  </si>
  <si>
    <t>Aurora Biosciences Corp</t>
  </si>
  <si>
    <t>Mnfr biological systems</t>
  </si>
  <si>
    <t>Vertex Pharmaceuticals Inc</t>
  </si>
  <si>
    <t>US - Vertex Pharmaceuticals Inc (VPI) acquired all the outstanding common stock of Aurora Biosciences Corp (ABC), a manufacturer of proprietary biological and drug discovery systems, in a stock swap transaction valued at $554.264 mil. VPI offered . 62 common shares per ABC share. Based on VPI's closing stock price of $39.25 on April 27, the last full trading day prior to the announcement, each ABC share was valued at $24.335.</t>
  </si>
  <si>
    <t>Marshall &amp; Ilsley Corp,WI</t>
  </si>
  <si>
    <t>US - Marshall &amp; Ilsley Corp, Milwaukee, Wisconsin acquired National City Bancorp, a bank holding company and provider of short-term business credit services, in a stock swap transaction valued at $267.68 mil. MI offered .53636 common shares per NC share. Based on MI's closing stock price of $58.90 on July 31, the last full trading day prior to the announcement of the exchange ratio, each NC share was valued at $31.592. Originally, MI offered $29.50 in common stock per NC common share, subject to a collar agreement which was subsequently breached.</t>
  </si>
  <si>
    <t>US - An investor group, including substantial shareholder Mr. Guy Naggar, acquired the remaining 71% interest, or 3.08 mil common shares, that it does not already own in Specialty Catalog Corp, an owner and operator of mail order houses, for $3.75 in cash per share, or a total value of $12.641 mil.</t>
  </si>
  <si>
    <t>Bank West Financial Corp,Grand</t>
  </si>
  <si>
    <t>US - Chemical Financial Corp, Midland, Michigan, acquired all the outstanding common stock of Bank West Financial Corp, Grand Rapids, Michigan, a bank holding company, for $11.5 in cash per share, or a total value of $30.398 mil.</t>
  </si>
  <si>
    <t>Morton's Restaurant Group Inc</t>
  </si>
  <si>
    <t>US - BFMA Holding Corp, a unit of Florescue Family Corp, withdrew an unsolicited tender offer to acquire 3.78 mil common shares, or the remaining 90.7% interest, which it did not already own, in Morton's Restaurant Group Inc, an owner and operator of restaurants, for $28.25 in cash per share, or a total value of $120.879 mil.</t>
  </si>
  <si>
    <t>Southside Bancshares Corp</t>
  </si>
  <si>
    <t>US - Allegient Bancorp Inc (ALLE), St Louis, Missouri, acquired all the outstanding common stock of Southside Bancshares Corp (SBCO), St Louis, Missouri, a commercial bank holding company, in a stock swap transaction valued at $123.735 mil. ALLE offered a choice of $14 in cash or 1. 39 ALLE common shares per SBCO common share. The transaction was subject to a pro ration whereby 50% of the total value was to be paid in cash and the remaining 50% was to be paid in common stock. The shares were valued based on ALLE's closing stock price of $10.45 on April 30, the last full trading day prior to the announcement.</t>
  </si>
  <si>
    <t>Pulte Homes Inc</t>
  </si>
  <si>
    <t>Constr residential homes</t>
  </si>
  <si>
    <t>US - Pulte Homes Inc (PHM) acquired Del Webb Corp (DWC), a developer of residential communities, in a stock swap transaction valued at an estimated $1.729 bil, including the assumption of $950 mil in liabilities. PHM offered .894 common shares per DWC share, subject to a collar agreement. Based on PHM's closing stock price on April 30, the last full trading day prior to the announcement, each DWC share was valued at $41.821.</t>
  </si>
  <si>
    <t>Charles E Smith Residential</t>
  </si>
  <si>
    <t>Archstone Communities Trust</t>
  </si>
  <si>
    <t>US - Archstone Communities Trust (ACT) acquired Charles E Smith Residential Realty Inc (CES), a real estate investment trust, in a stock swap transaction valued at $3. 215 bil, including the assumption of $1.4 bil in liabilities. ACT offered 1. 975 common shares per CES share. Based on ACT's closing stock price on March 3, the last full trading day prior to the announcement, each CES share was valued at $49.731. Upon completion, the new formed company was named Archstone-Smith.</t>
  </si>
  <si>
    <t>US - SouthTrust Corp (ST), Birmingham, Alabama, acquired Cenit Bancorp Inc (CB), Norfolk, Virginia, a savings and loan holding company, in a stock swap transaction valued at $130.541 mil. ST offered 1.14 mil common shares per CB share. Based on ST's closing stock price of $23.18 on May 3, the last full trading day prior to the announcement, each CB share was valued at $26.425.</t>
  </si>
  <si>
    <t>US - Valero Energy Corp (VEC) acquired all the outstanding common stock of Ultramar Diamond Shamrock Corp (UDS), a manufacturer and wholesaler of refined petroleum products, for an estimated $6.215 bil, including the assumption of an estimated $2.1 bil in liabilities. VEC offered a choice of $55 in cash or 1. 228 common shares per UDS share, whereby 50% of the consideration was to be paid in cash and 50% in common stock. Subsequently, VEC announced that it was seeking a buyer for 70 gas stations.</t>
  </si>
  <si>
    <t>BancWest Corp,Honolulu,HI</t>
  </si>
  <si>
    <t>BNP Paribas SA</t>
  </si>
  <si>
    <t>US - BNP Paribas SA acquired the remaining 55% interest in BancWest Corp, a bank holding company located in Honolulu, Hawaii, for $35 in cash per common share, or a total value of $2.48 bil.</t>
  </si>
  <si>
    <t>US - US Bancorp, Minneapolis, Minnesota (UB) acquired NOVA Corp (NC), a provider of financial electronic transactions services, in a stock swap transaction valued at $2.062 bil. UB offered a choice of $31.00 in cash or 1. 407 common shares per NC share, subject to the requirement that 60% of the total consideration was paid in UB common stock and 40% in cash.</t>
  </si>
  <si>
    <t>Dimension Data Holdings PLC</t>
  </si>
  <si>
    <t>US - Dimension Data Holdings PLC (DDH) acquired all the outstanding common stock of Proxicom Inc (PX), a provider of computer integrated systems development services, for $7.50 in cash per share, or a total value of $443.481 mil. Earlier; DDH completed its tender offer for PX by accepting 56.301 mil shares, or 90% of PX's common shares outstanding.</t>
  </si>
  <si>
    <t>Somnus Medical Technologies</t>
  </si>
  <si>
    <t>US - Gyrus Group PLC (GGI) acquired all the outstanding common stock of Somnus Medical Technologies Inc (SMT) , a manufacturer and wholesaler of medical equipment, for $3.11 in cash per share, or a total value of $54.282 mil. Earlier, GGI completed its tender offer to acquire all the outstanding common stock of SMT by accepting 16.159 mil shares, or 92.723% of SMT's shares outstanding. The offer was conditioned upon at least a majority of SM's shares being tendered on a fully diluted basis.</t>
  </si>
  <si>
    <t>Telemate Net Software Inc</t>
  </si>
  <si>
    <t>Pvd call accounting svcs</t>
  </si>
  <si>
    <t>Verso Technologies Inc</t>
  </si>
  <si>
    <t>Dvlp packet-based sys software</t>
  </si>
  <si>
    <t>US - Verso Technologies Inc (VTI) acquired Telemate Net Software Inc, a provider of call accounting services, in a stock swap transaction valued at $16.072 mil. VTI offered 2.62 common shares per TNS share. Based on VTI's closing stock price of $.65 on November 15, the last full trading day prior to the announcement of the exact exchange ratio, each TNS shares was valued at $1.703. Originally, VTI offered an estimated $30 mil in common stock subject to a collar agreement which was subsequently breached. Subsequently, VTI acquired NACT Telecommunications Inc, a wholesaler of telecommunications equipment and a provider of telecommunications services, from World Access Inc.</t>
  </si>
  <si>
    <t>US - Williams Cos Inc (WCI) acquired all the outstanding common stock of Barrett Resources Corp (BRC), an oil and gas exploration and production company in a two- tier transaction for $2.757 bil, including the assumption of $300 mil in liabilities. Earlier, WC completed its tender offer for BRC by accepting 16.731 mil common shares, or 43.53% of BRC's shares outstanding. WC offered $73 in cash per common share for half of the BRC shares and 1.767 common shares per BRC share for the remaining half. Based on WC's closing stock price of $39.28 on May 6, the last full trading day prior to the announcement of definitive terms, each BRC share was valued at $71.204. Previously, WC was rumored to be in negotiations to acquire all the outstanding common stock of BRC. Previously, Shell Oil Co withdrew its hostile tender offer to acquire all the outstanding common stock of BRC.</t>
  </si>
  <si>
    <t>US - A management-led investor group withdrew its challenging bid to acquire all of the outstanding common stock of ICO Inc, a provider of equipment reconditioning services, for $3 per share, or a total value of $68.061 mil, in a leveraged buyout transaction. Previously, Travis Street Partners offered $3.10 in cash per share, or a total value of $111.859 mil.</t>
  </si>
  <si>
    <t>US - Northrop Grumman Corp (NG) acquired all the outstanding stock of Newport News Shipbuilding Inc (NN), a manufacturer of and maintenance provider for aircraft carriers, in a stock swap transaction valued at $3. 057 bil, including the assumption of an estimated $500 mil in liabilities. Earlier, NG completed its unsolicited, challenging tender offer for NN by accepting 26.469 mil shares, or 74.779% of NN's outstanding shares. NG offered a choice of $67.50 in cash or NG common stock per share, subject to a collar agreement. The shares were valued based on NG's closing stock price of $92.50 on May 7, the last full trading day prior to announcement. The offer was conditioned upon at least a majority of NN's shares being tendered, the termination of the General Dynamics Corp's (GD) agreement to acquire NN and the redemption of NN's anti- takeover defense. Subsequently, GD withdrew its tender offer to acquire all the outstanding common stock of NN, upon which NG and NN reached a definitive agreement in the offer. In Nov. 2001, NN amended its poison pill to waive NG from all provisions of its rights agreement.</t>
  </si>
  <si>
    <t>Pierre Foods Inc</t>
  </si>
  <si>
    <t>US - A management-led investor group, comprised of PF Management Inc (PFM), acquired the remaining 37% interest, which it did not already own, in Pierre Foods Inc (PF), a producer and marketer of fully-cooked branded and private label microwaveable sandwiches for the domestic foodservice and home meal replacement ("HMR") markets, for a sweetened $2. 50 in cash, or a total value of $5.348 mil, in a leveraged buyout transaction. Originally, PFM offered $1.21 in cash, or a total value of $2.588 mil. In August 1997, PF adopted a poison pill to safeguard the interests of its shareholders against unwanted takeovers. PF Management Inc was recognized as a permitted holder under the rights plan. In March 2001, PM was rumored to be in negotiations to acquire PF.</t>
  </si>
  <si>
    <t>Terra Networks SA</t>
  </si>
  <si>
    <t>Pvd Internet access svcs</t>
  </si>
  <si>
    <t>US - Terra Lycos Inc was rumored to be in negotiations to acquire all the outstanding common stock of CNET Networks Inc, a provider of online technology information services. The Current status of this deal is unknown.</t>
  </si>
  <si>
    <t>US - Terra Lycos Inc was rumored to be in negotiations to acquire all the outstanding common stock of Earthlink Inc, an Internet Service Provider. The Current status of this deal is unknown.</t>
  </si>
  <si>
    <t>MeriStar Hospitality Corp</t>
  </si>
  <si>
    <t>Real estate invest trust</t>
  </si>
  <si>
    <t>US - Felcor Lodging Trust Inc (FL) withdrew its agreement to acquire all the oustanding common stock of Meristar Hospitality Corp (MH) , a real estate investment trust owning upscale hotels, in a stock swap transaction valued at $2.585 bil, including the assumption of $1.6 bil in liabilities. FL offered $4.60 in cash and . 784 common shares per MH share. Based on FL's closing stock price of $22.10 on May 9, the last full trading day prior to the announcement, each MH share was valued at $21.926. Upon completion, 36% of the new company was to be owned by MH shareholders.</t>
  </si>
  <si>
    <t>US Timberlands Company LP</t>
  </si>
  <si>
    <t>Own,operate timber tracts</t>
  </si>
  <si>
    <t>US - A management-led investor group completed its tender offer to acquire the remaining 88.007% interest, or 11.317 mil common shares, which it did not already own, in US Timberlands Co LP (UST), an owner and operator of timber tracts and wholesaler of logs and standing timber, for a sweetened $3.00 in cash per share, or a total value of 38.579 mil, by accepting 6. 91 mil shares, or 53.734% of UST's common shares outstanding, in a going private, leveraged buyout transaction. Previously, the group offered an amended $2. 75 in cash per share. Originally, the group offered $3.75 in cash in exchange for a 50% interest in US. Originally, the group planned to launch an unsolicited bid to acquire a 32% stake, or 4. 115 mil shares, for $31.892 mil. The original consideration was to consist of $7.75 in cash per share and an undisclosed amount in 9.625% seven-year senior subordinated notes.</t>
  </si>
  <si>
    <t>Ameritrade Holding Corp</t>
  </si>
  <si>
    <t>Pvd discount sec brokerage svc</t>
  </si>
  <si>
    <t>Canadian Imperial Bk Commerce</t>
  </si>
  <si>
    <t>US - Canadian Imperial Bank of Commerce, Calgary, Alberta was rumored to be planning to acquire all the outstanding common stock of Ameritrade Holding Corp, a provider of discount securities brokerage and related financial services. The Current status of this deal is unknown.</t>
  </si>
  <si>
    <t>Rosetta Inpharmatics Inc</t>
  </si>
  <si>
    <t>Pvd genomic research svcs</t>
  </si>
  <si>
    <t>US - Merck &amp; Co Inc (MC) acquired Rosetta Inpharmatics Inc (RI), a provider of genomic research services, in a stock swap transaction valued at $615.62 mil. MC offered .2352 common shares per RI common share. Based on MC's closing stock price of $76.52 on May 10, the last full trading day prior to the announcement, each RI share was valued at $17.998. The transaction was accounted for as a pooling of interests.</t>
  </si>
  <si>
    <t>Agency.com Ltd</t>
  </si>
  <si>
    <t>Pvd business svcs</t>
  </si>
  <si>
    <t>Seneca Investments LLC</t>
  </si>
  <si>
    <t>US - Seneca Investments LLC (SI) raised its stake to 65. 7% from 45.3% in AGENCY.COM Ltd (ACL), a provider of business services, by acquiring 7.862 mil common shares, from Mr. Kyle Shannon and Mr. Chan Suh, for $.94 in cash per share, plus up to $. 47 in cash per share in profit-related payments, or a total value of $11.086 mil, in a privately negotiated transaction. Concurrently, SI agreed to acquire the remaining 34.4%, or 13.22 mil common shares in ACL, for $3 in cash per share, or a total value of $39.659 mil, in a privately negotiated transaction.</t>
  </si>
  <si>
    <t>US - Seneca Investments LLC (SI) acquired the remaining 34.3% stake, or 13.219 mil common shares, that it did not already own in AGENCY.COM Ltd (ACL), a provider of business services, for a sweetened $3.35 in cash per share, or a total value of $53.793 mil. Originally, SI offered $3 in cash per share, or a total value of $45.29 mil. Concurrently, SI raised its stake to 65.7% from 45.3% in ACL, from Mr. Chan Suh and Mr. Kyle Shannon, for $.94 in cash per share and up to $.47 in cash per share in profit- related payments.</t>
  </si>
  <si>
    <t>Calton Inc</t>
  </si>
  <si>
    <t>Equilink Capital Partners</t>
  </si>
  <si>
    <t>US - Equilink Capital Partners withdrew its plans to launch a tender offer to acquire all the outstanding common stock of Calton Inc, a provider of operative building services, for $5.50 in cash per share, or a total value of $22.88 mil.</t>
  </si>
  <si>
    <t>Digital Island Inc</t>
  </si>
  <si>
    <t>Pvd e-business network svcs</t>
  </si>
  <si>
    <t>Cable &amp; Wireless PLC</t>
  </si>
  <si>
    <t>Pvd voice,data,IP svcs</t>
  </si>
  <si>
    <t>US - Cable &amp; Wireless PLC (CW) acquired all the outstanding common stock of Digital Island Inc (DI), a provider of a leading global e-business network and a suite of services for companies that are using the Internet for worldwide deployment of business- critical applications, for $3. 4 in cash per share, or a total value of $333.363 mil, including the assumption of $49 mil in liabilities. Earlier, CW completed its tender offer for DI by accepting 69.1 mil shares, or 84.1% of DI's common shares outstanding. The offer was conditioned upon at least a majority of DI's shares being tendered.</t>
  </si>
  <si>
    <t>US - Kerr-McGee Corp (KM) acquired HS Resources Inc (HS) , an oil and gas exploration and production company, for $1.722 bil, including the assumption of $450 mil in liabilities. KM offered a choice of $66 in cash or . 9404 common shares per HS share, subject to proration so that 70% of the total consideration was paid in cash and 30% was paid in common stock.</t>
  </si>
  <si>
    <t>Healthcare.com Corp</t>
  </si>
  <si>
    <t>Xcare Net Inc</t>
  </si>
  <si>
    <t>Prvd Internet health care srvs</t>
  </si>
  <si>
    <t>US - XCare.net Inc (XI) acquired all the outstanding common stock of Healthcare. com Corp (HC), a developer of computer integrated systems, in a stock swap transaction valued at $82.919 mil. XI offered .375 common shares per HC common share. Based on XI closing stock price of $7. 85 on May 11, the last full trading day prior to the announcement, each HC share was valued at $2.944.</t>
  </si>
  <si>
    <t>Gemstar-TV Guide Intl Inc</t>
  </si>
  <si>
    <t>Pvd TV guidance,ent svcs</t>
  </si>
  <si>
    <t>US - Gemstar-TV Guide International Inc (GTV) acquired all the outstanding shares of Skymall Inc (SI), a provider of in-flight concierge services, for $45. 789 mil. GTV offered $1.50 in cash and .03759 coommon shares per SI share. Based on GTV's closing stock price of $37.10 on May 11, the last full trading day prior to the announcement, each SI share was valued at $2.895.</t>
  </si>
  <si>
    <t>US - Emerson Radio Corp raised its stake to 50.1% from 47.78% in Sports Supply Group Inc, a wholesaler and retailer of sporting goods, by acquiring .207 mil common shares.</t>
  </si>
  <si>
    <t>US - SunTrust Banks Inc (ST), Atlanta, Georgia, withdrew its hostile, challenging offer to acquire Wachovia Corp (WC), Winston-Salem, North Carolina, in a stock swap transaction valued at $14.443 bil. ST offered 1.081 common shares per WC share. Based on ST's closing stock price of $64.81 on May 11, the last full trading day prior to the announcement, each WC share was valued at $70.06. Previously, ST made an unsolicited challenging offer for WC, but the offer was rejected. Previously, First Union Corp, Charlotte, North Carolina, agreed to merge with WC.</t>
  </si>
  <si>
    <t>Rare Medium Group Inc</t>
  </si>
  <si>
    <t>Motient Corp</t>
  </si>
  <si>
    <t>Pvd mobile data,Internet svcs</t>
  </si>
  <si>
    <t>US - Motient Corp (MC) withdrew a definitive agreement to acquire all the outstanding common stock and preferred stock of Rare Medium Group (RM), a provider of Internet consulting services, in a stock swap transaction valued at $217.44 mil, including the assumption of an estimated $34 mil in liabilities. MC offered .1 new convertible preferred share, per RM share. Each whole preferred share was convertible into 6.4 MC common shares. Based on MC's closing stock price of $1.42 on May 14, the last full trading day prior to the announcement, each RM share was valued at $.909. Moreover, MC was to offer $13 mil in cash and 9 mil common shares of XM Satellite Radio Holdings Inc (XM) valued at $111.69 mil for RM's preferred stock. The shares were valued based on XM's closing stock price of $12.41 on May 14, the last full trading day prior to the announcement. MC was to be the surviving corporation.</t>
  </si>
  <si>
    <t>Sawtek Inc</t>
  </si>
  <si>
    <t>Mnfr electr signal equip</t>
  </si>
  <si>
    <t>TriQuint Semiconductor Inc</t>
  </si>
  <si>
    <t>US - TriQuint Semiconductor Inc (TS) acquired all the outstanding common stock of Sawtek Inc (SI), a manufacturer of electronic signal processing components, in a stock swap transaction valued at $1.312 bil. TS offered 1.1507 common shares per SI share. Based on TS's closing stock price of $26.30 on May 14, the last full trading day prior to the announcement, each SI share was valued at $30.263. The transaction was accounted for as a pooling of interests.</t>
  </si>
  <si>
    <t>Trimedyne Inc</t>
  </si>
  <si>
    <t>Pvd research,dvlp svcs</t>
  </si>
  <si>
    <t>Emergent Group Inc</t>
  </si>
  <si>
    <t>Pvd laser equip rental svcs</t>
  </si>
  <si>
    <t>US - Emerent Group Inc withdrew its letter of intent to acquire Trimedyne Inc, a provider of research and development services and manufacturer of laser systems, fiber optics and medical devices. The terms of the merger were to be finalized after both parties completed their due diligence.</t>
  </si>
  <si>
    <t>Integrated Measurement Systems</t>
  </si>
  <si>
    <t>Dvlp engineering test software</t>
  </si>
  <si>
    <t>Credence Systems Corp</t>
  </si>
  <si>
    <t>Mnfr automatic test equip</t>
  </si>
  <si>
    <t>US - Credence Systems Corp (CSC) acquired all the outstanding common stock of Integrated Measurement Systems Inc (IMS), a manufacturer of engineering test software, in stock swap transaction valued at $191.25 mil. CSC offered .9 common shares per IMS share. Based on CSC's closing stock price of $23.37 on May 15, the last full trading day prior to the announcement, each IMS share was valued at $21.033. The transaction was accounted for as a pooling of interests.</t>
  </si>
  <si>
    <t>Lifschultz Industries Inc</t>
  </si>
  <si>
    <t>Mnfr,whl sci,indust instrument</t>
  </si>
  <si>
    <t>Saltwater Acquisition Corp</t>
  </si>
  <si>
    <t>US - Saltwater Acquisition Corp (SA), a unit of Danaher Corp, acquired all the outstanding common stock of Lifschultz Industries Inc (LI) , a manufacturer and wholesale of scientific and industrial instruments, for $22.80 in cash per share, or a total value of $36.379 mil, including the assumption of $7.426 mil in liabilities. Earlier, SA completed its tender offer for LI by accepting 1.03 mil shares, or 91.83% of LI's common shares outstanding. The offer was conditioned upon at least a majority of LI's shares being tendered on a fully-diluted basis. The transaction was to include LI's Har Scientific Inc unit, a manufacturer of scientific instruments.</t>
  </si>
  <si>
    <t>WSB Holding Co</t>
  </si>
  <si>
    <t>US - ESB Financial Corp, Ellwood City, Pennsylvania (ESB) acquired WSB Holding Co (WSB), a bank holding company, in a stock swap transaction valued at $6.318 mil. ESB offered a choice of $17.10 in cash or 1.414 common shares per WSB share, subject to the overall requirement that 49% of the total consideration was to be paid in cash and 51% in common stock. Based on ESB's closing stock price of $14.75 on May 15, the last full trading day prior to the announcement, each WSB share was valued at $20.86.</t>
  </si>
  <si>
    <t>Amtran Inc</t>
  </si>
  <si>
    <t>Own,op passenger airline co</t>
  </si>
  <si>
    <t>J George Mikelsons</t>
  </si>
  <si>
    <t>US - Chairman, founder and majority shareholder J George Mikelsons, withdrew its plan to acquire the remaining 28% interest, or 3.19 mil common shares, which he did not already own, in Amtran Inc, a provider of passeger airline services, for a sweetened $23 in cash per share, or a total value of $133.345 mil, in a leveraged buyout transaction. Previously, Mr. Mikelsons offered $21 per share, or a total value of $126.969 mil.</t>
  </si>
  <si>
    <t>Data Research Associates Inc</t>
  </si>
  <si>
    <t>Dvlp integrated computer sys</t>
  </si>
  <si>
    <t>SIRSI Corp</t>
  </si>
  <si>
    <t>US - SIRSI Corp (SC) acquired all the outstanding common stock of Data Research Associates Inc (DRA), a developer of integrated computer systems, for $11 in cash per share, or a total value of $49.882 mil. Previously, SC completed a tender offer by accepting 4. 406 mil common shares, or 97. 5% of the shares outstanding. The offer was subject to at least 75% of DRA's shares being tendered on a fully- diluted basis.</t>
  </si>
  <si>
    <t>Dresdner RCM Global Strategic</t>
  </si>
  <si>
    <t>RCM Strategic Global</t>
  </si>
  <si>
    <t>US - RCM Strategic Global Government Fund Inc merged with Dresdner RCM Global Strategic Income Fund (DSF), a closed-end investment fund, in a stock swap transaction. The transaction was completed following the comsummation of a tender offer by DSF for up to 50% of its outstanding shares.</t>
  </si>
  <si>
    <t>OrthAlliance Inc</t>
  </si>
  <si>
    <t>Orthodontic Centers of America</t>
  </si>
  <si>
    <t>Dvlp orthodontic practices</t>
  </si>
  <si>
    <t>US - Orthodontic Centers of America Inc (OCA) acquired all the outstanding common stock of OrthAlliance Inc (OAI), a provider of dental management services, in a stock swap transaction valued at an estimated $36.252 mil. OCA offered .10135 common shares per OAI share. Based on OCA's closing stock price of $29.50 on May 16, the last full trading day prior to the announcement, each OAI share was valued at $2.99. The exchange ratio was fixed based on the percentage of OAI's affiliated orthodontists, pedodontists and corporations that amended their employment and service agreements in accordance with the merger terms.</t>
  </si>
  <si>
    <t>Own,op hotels,restaurants,bars</t>
  </si>
  <si>
    <t>US - Bass PLC was rumored to be in negotiations to acquire all the outstanding common stock of Wyndham International Inc, an owner and operator of hotels. The Current status of this deal is unknown.</t>
  </si>
  <si>
    <t>Mnfr,design,dvlp telecom equip</t>
  </si>
  <si>
    <t>US - Alcatel SA withdrew its plans to acquire all the outstanding common stock of Lucent Technologies Inc, a manufacturer of telecommunications equipment and software.</t>
  </si>
  <si>
    <t>MP3.COM Inc</t>
  </si>
  <si>
    <t>Pvd online music distn svcs</t>
  </si>
  <si>
    <t>Vivendi Universal SA</t>
  </si>
  <si>
    <t>US - Vivendi Universal acquired all the outstanding common stock of MP3.com Inc, a provider of online music distribution services, for a choice of $5 in cash or .0904 American Depositary Shares (ADS) or a combination of both, for a total value of $353.325 mil, subject to proration so that the consideration was not to exceed a 50% payment in either cash or ADS shares. The consideration included payment for 2.5 mil MP3 shares to be issued as the result of a class action lawsuit settlement.</t>
  </si>
  <si>
    <t>BankFinancial Corp,Il</t>
  </si>
  <si>
    <t>US - BankFinancial Corp, Hazel Crest, Illinois, acquired all the oustanding common stock of Success Bancshares Inc, Lincolnshire, Illinois, a commercial bank, for $19 in cash per share, or a total value of $48.112 mil.</t>
  </si>
  <si>
    <t>US - A management-led investor group (IG), comprised of Quizno's Corp's President and CEO Richard E Schaden and Vice President and Secretary Richard F Schaden, acquired the remaining 32% stake, or .748 mil common shares, which they did not already own, in Quizno Corp (QZC), an owner and operater of fast food restaurants, for a sweetened $8.50 in cash per share, or a total value of $12.478 mil. Originally, IG offered $8 per share, or a total value of $11.441 mil. Concurrently, Fagan Capital Inc withdrew its plans to launch a tender offer to acquire a 32% stake or .748 mil common shares in QZ. Upon completion of the going private transaction, QZC was delisted from the OTC.</t>
  </si>
  <si>
    <t>C-bridge Internet Solutions</t>
  </si>
  <si>
    <t>Excelon Corp</t>
  </si>
  <si>
    <t>Pvd bus to bus svcs</t>
  </si>
  <si>
    <t>US - Excelon Corp(EC) merged with C-Bridge Internet Solutions Inc (CBI), a developer of ebusiness software, in a stock swap transaction valued at $83.891 mil. EC offered 1.2517 common shares per CBI share. Based on EC's closing stock price of $2.73 on May 22, the last full trading day prior to the announcment, each CBI share was valued at $3.417. Upon completion, the shareholders of EC and CBI were each to have 50% ownership in the new EC.</t>
  </si>
  <si>
    <t>Energy Search Inc</t>
  </si>
  <si>
    <t>EOG Resources Inc</t>
  </si>
  <si>
    <t>US - EOG Resources Inc acquired all the outstanding common stock of Energy Search Inc, an oil and gas exploration and production company, for $8.22 in cash per share, or a total value of $38.485 mil.</t>
  </si>
  <si>
    <t>Pride International Inc</t>
  </si>
  <si>
    <t>US - Pride International Inc (PDE) merged with Marine Drilling Cos (MRL), a provider of offshore oil and gas well drilling services, in a stock swap transaction valued at $1.97 bil. PDE offered 1 common share per MRL share. Based on PDE's closing stock price on May 23, the last full trading day prior to the announcement, each MRL share was valued at $32.65. Upon completion of the merger of equals transaction, MRL shareholders were to own a 44% stake in the combined company and PDE shareholders were to own the remaining 56% interest. The transaction was to be accounted for as a pooling of interests.</t>
  </si>
  <si>
    <t>Structural Dynamics Research</t>
  </si>
  <si>
    <t>Dvlp software,engineering svcs</t>
  </si>
  <si>
    <t>US - Electronic Data Systems Corp acquired all the outstanding common stock of Structural Dynamics Research Corp, a developer of software for collaborative product the development of mechanical products, for $25 in cash per share, or a total value of $983.539 mil.</t>
  </si>
  <si>
    <t>US - Electronic Data Systems Inc (EDS) acquired the remaining 14% stake, or 5.086 mil common shares, that it did not already own, in Unigraphics Solutions Inc (USI), a software developer, for a sweetened $32.50 in cash per share, or a total value of $208.527 mil. Earlier, EDS completed its tender offer for USI by accepting 5.024 mil common shares, or about 13.83% of USI's common shares outstanding. Originally, in May 2001, EDS announced offered $27 in cash per share, or a total value of $163.234 mil.</t>
  </si>
  <si>
    <t>PictureTel Corp</t>
  </si>
  <si>
    <t>Mnfr,whl audiovisual equip</t>
  </si>
  <si>
    <t>US - Polycom Inc (PI) acquired all the outstanding common stock of PictureTel Corp (PT), a manufacturer of telecommunications equipment, via a stock swap tender offer valued at $412.399 mil. PI offered $3.11 in cash and . 1177 PI comon shares per PT share. Based on PI's closing stock price of $28.15 on May 23, the last full trading day prior to the announcement, each PT share was vaued at $6. 423. Earlier, PI completed its tender offer for PT by accepting 48.59 mil shares, or 82.65% of PT's common shares outstanding. The offer was subject to at least a majority of PC's shares being tendered on a fully- diluted basis.</t>
  </si>
  <si>
    <t>Western Power &amp; Equipment Corp</t>
  </si>
  <si>
    <t>Whl constr equip,parts</t>
  </si>
  <si>
    <t>E Machinery Net Inc</t>
  </si>
  <si>
    <t>US - E Machinery.net Inc withdrew its plans to acquire all the outstanding stock of Wester Power &amp; Equipment Corp, a wholesaler of construction equipment, from American United Global Inc, for $9 mil. The consideration was to consist of $2 mil in cash and $7 mil in common stock.</t>
  </si>
  <si>
    <t>Matthews International Corp</t>
  </si>
  <si>
    <t>Manufacture,wholesales memorial products</t>
  </si>
  <si>
    <t>US - Matthews International Corp acquired all the outstanding common stock of York Group (YG), a manufacturer of coffins, for $11 in cash per share, or a total value of $98.93 mil. The consideration was to consist of $10 in cash per share and up to an additional $1 per share based on excess cash remaining on YG's balance sheet, as of October 31, 2001.</t>
  </si>
  <si>
    <t>US - Eimo OYJ (EO) acquired all the outstanding common stock of Triple S Plastics (TS), a manufacturer of thermoplastic moldings, in a stock swap transaction valued at $34.404 mil. EO offered 4. 5 common shares per TS share. Based on EO's closing stock price of $1.815 on May 24, the last full trading day prior to the announcement, each TS share was valued at $8.168. Upon completion, TS shareholders were to own 30. 9% of the fully-diluted shares of EO. Subsequently, EO was to apply for a listing of ADR's for the newly issued shares on the Nasdaq. Previously, EO withdrew it's original agreement to acquire TS.</t>
  </si>
  <si>
    <t>Divine Inc</t>
  </si>
  <si>
    <t>Pvd enterprise software svcs</t>
  </si>
  <si>
    <t>US - Divine Inc (DI) acquired RoweCom Inc (RC), a provider of subscript magazine services, in a stock swap transaction valued at $19.011 mil. DI offered .75 common shares per RC share. Based on DI's closing stock price on May 23, the last full trading day prior to the announcement, each RC share was valued at $1.523.</t>
  </si>
  <si>
    <t>Micro Therapeutics Inc</t>
  </si>
  <si>
    <t>US - Warburg Pincus Equity Partners LP acquired 50.3% interest, or 10.1 mil newly issued common shares, in Micro Therapeutics Inc, a manufacturer of medical devices, for an estimated $56 mil.</t>
  </si>
  <si>
    <t>Star Services Group Inc</t>
  </si>
  <si>
    <t>Pvd disposal services</t>
  </si>
  <si>
    <t>US - Allied Waste Industries Inc acquired all the outstanding common stock of Star Services Group Inc, a provider of waste disposal services, for $34 mil in cash and the assumption of an undisclosed amount in liabilities.</t>
  </si>
  <si>
    <t>Bacou SA</t>
  </si>
  <si>
    <t>Mnfr security equipment</t>
  </si>
  <si>
    <t>US - Bacou SA of France acquired the remaining 29% stake, or 5,212,750 common shares, in Bacou USA Inc, Smithfield, Rhode Island- based manufacturer of protective eye equipment, for $28.5 in cash per share, or a total value of $160.305 mil. Concurrently, Christian Dalloz SA also of France agreed to merge with Bacou SA, in a $440.94 mil cash and share transaction. Upon completion Bacou USA Inc was renamed Bacou-Daloz.</t>
  </si>
  <si>
    <t>US - Tyco International Inc (TI) withdrew its agreement to acquire all the outstanding common stock of CR Bard Inc (CR), a manufacturer and wholesaler of cardiovascular, urological, surgical and general health care products, in a stock swap transaction valued at $3. 201 bil, including the assumption of $80 mil in liabilities. TI offered $60 in common stock per CR share, subject to a collar agreement.</t>
  </si>
  <si>
    <t>MiniMed Inc</t>
  </si>
  <si>
    <t>Mnfr,whl microinfusion systems</t>
  </si>
  <si>
    <t>US - Medtronic Inc (MD) acquired all the outstanding common stock of MiniMed Inc (MI), a manufacturer and wholesaler of microinfusion systems and glucose monitoring systems, for $48 in cash per share, or a total value of $3.304 bil. Concurrently, MI amended its poison pill to exempt MD from all provisions of the rights agreement.</t>
  </si>
  <si>
    <t>Richton International Corp</t>
  </si>
  <si>
    <t>Whl irrigation sys</t>
  </si>
  <si>
    <t>Deere &amp; Co</t>
  </si>
  <si>
    <t>Mnfr,whl farm,construction equipment</t>
  </si>
  <si>
    <t>US - Deere &amp; Co (DC) acquired Richton International Corp (RI), a wholesaler of irrigation products and systems, for $173.956 mil, including the assumption of $45 mil in liabilities. DC offered .969 common shares per RI share for the first 51%, or 1.691 mil common shares, of the outstanding common stock of RI. Based on DC's closing stock price of $39.47 on October 3, the last full trading day prior to the announcement of the amended terms, each RI share was valued at $35.12. For the remaining 49%, or 1.625 mil common shares, DC offered $36. 13 in cash. Previously, the consideration was to consist of a choice of $36.16 in cash or .842 DC shares per RI share and the assumption of $45 mil in liabilities. A maximum of 49% of RI's shares were to be exchanged for cash.</t>
  </si>
  <si>
    <t>First Gaston Bank of North</t>
  </si>
  <si>
    <t>Catawba Valley Bancshares</t>
  </si>
  <si>
    <t>US - Catawba Valley Bancshares, Hickory, North Carolina (CVB) merged with First Gaston Bank of North Carolina, Gastonia, North Carolina (FGB), a commercial bank, in a merger of equals stock swap transaction valued at $21.308 mil. CVB offered . 8934 common shares per FGB share. Based on CVB's closing stock price of $14.50 on May 29, the last full trading day prior to the announcement, each FGB share was valued at $12.95 per share. Upon completion CVB changed its name to United Community Bancorp.</t>
  </si>
  <si>
    <t>Minntech Corp</t>
  </si>
  <si>
    <t>Cantel Medical Corp</t>
  </si>
  <si>
    <t>Mnfr,whl medical supplies</t>
  </si>
  <si>
    <t>US - Cantel Medical Corp (CMC) acquired all the outstanding common stock of Minntech Corp (MC), a wholesaler of medical devices including disinfection and reprocessing systems for renal dialysis, for $70.133 mil. The consideration consisted of $6.25 in cash and $4.25 in CMC common shares per MC share, subject to a collar agreement. Concurrently, MC amended its poison pill to declare CMC an exempt person under its rights plan.</t>
  </si>
  <si>
    <t>United Investors Realty Trust</t>
  </si>
  <si>
    <t>Equity One Inc</t>
  </si>
  <si>
    <t>US - Equity One Inc (EO) acquired United Investors Realty Trust (URT), a real estate investment trust, for $7.3 in cash or common stock per share, subject to a collar agreement, or a total value of $146.892 mil, including $82 mil in assumption of liabilities. The consideration was paid 50% in cash and 50% in common stock. Concurrently, URT amended its poison pill to exempt EO from all provisions of its rights agreement.</t>
  </si>
  <si>
    <t>Houghton Mifflin Co</t>
  </si>
  <si>
    <t>Publish books and software</t>
  </si>
  <si>
    <t>US - Vivendi Universal SA (VU) acquired all the outstanding common stock of Houghton Mifflin Co (HM), a publisher of books and software, for $60 in cash per common share, or a total value of $2.272 bil, including the assumption of $500 mil in liabilities. Earlier, VU completed its tender offer for HM by accepting 27.729 mil shares, or about 90% of HM's common stock outstanding. The offer was conditioned upon at least 66.667% of HM's shares being tendered. Originally, VU was rumored to be in negotiations to acquire all the outstanding common stock of HM.</t>
  </si>
  <si>
    <t>US - FBOP Corp acquired all the outstanding common stock of Bank Plus Corp, Los Angeles, California, a bank holding company, for $7.25 in cash per share, or a total value of $148.327 mil.</t>
  </si>
  <si>
    <t>Cobalt Group Inc</t>
  </si>
  <si>
    <t>Pvd Internet marketing svcs</t>
  </si>
  <si>
    <t>US - Warburg Pincus Equity Partners LP acquired the remaining 54% interest, or 10. 99 mil common shares, which it does not already own, in Cobalt Group Inc, a provider of Internet marketing services, for $3.50 in cash per share, or a total value of $41.949 mil.</t>
  </si>
  <si>
    <t>FrontLine Capital Group</t>
  </si>
  <si>
    <t>Pvd real estate mgmt svcs</t>
  </si>
  <si>
    <t>Regus Group PLC</t>
  </si>
  <si>
    <t>Own,operate business centers</t>
  </si>
  <si>
    <t>US - Regus PLC withdrew its plan to acquire Frontline Capital Group, a provider of real estate management services.</t>
  </si>
  <si>
    <t>United NewVentures</t>
  </si>
  <si>
    <t>US - United NewVentures (UN), a unit of United Airlines, acquired all the outstanding common stock of MyPoints.com Inc (MP), a provider of Internet-based marketing services, for $2.6 in cash per share, or a total value of $108.819 mil. Earlier, UN completed its tender offer for MP by accepting 36.51 mil shares, or 89.585% of MP's common shares outstanding. The offer was conditioned upon at least a majority of MP's shares being tendered.</t>
  </si>
  <si>
    <t>Tweeter Home Ent Group Inc</t>
  </si>
  <si>
    <t>Ret electronic prod</t>
  </si>
  <si>
    <t>US - Tweeter Home Entertainment (THE) acquired Sound Advice Inc (SAI), an owner and operator of consumer electronics stores, in a stock swap transaction valued at $174.079 mil, including the assumption of $30 mil in liabilities. THE offered 1 common share per SAI share, subject to a collar agreement. Based on THE's closing stock price on June 1, the last full trading day prior to the announcement, each SAI share was valued at $28.75.</t>
  </si>
  <si>
    <t>Columbia Financial of Kentucky</t>
  </si>
  <si>
    <t>US - Camco Financial Corp, Cambridge,Ohio (CF) acquired Columbia Financial of Kentucky Inc (CK), a bank holding company, in a stock swap transaction valued at $30.256 mil. CF offered .368 common shares and $6.90 in cash per CK share. Based on CF's closing stock price on June 1, the last full trading day prior to the announcement, each CK share was valued at $11.474.</t>
  </si>
  <si>
    <t>Harrington Financial Group Inc</t>
  </si>
  <si>
    <t>Hasten Bancshares</t>
  </si>
  <si>
    <t>US - Hasten Bancorp acquired all the outstanding common stock of Harrington Financal Group Inc, a bank holding company, for $12.492 per share, or a total value of $39.16 mil, in cash.</t>
  </si>
  <si>
    <t>US - An investor group, led by Mr. Lyle Weisman (LM), withdrew a challenging bid to acquire the remaining 88.2% interest, which it did not already own, in G&amp;L Realty Corp (GL), a real estate investment trust, for a sweetened $15.50 per common share, or a total value of $33.927 mil in. Originally, LM offered $15 per share, or a total value of $33.396 mil. Previously, an investor group, comprised of Mr. Daniel Gottlieb and Mr. Steven Lebowitz, made an offer to acquire GL for a sweetened $12 per share.</t>
  </si>
  <si>
    <t>Liberty Financial Cos Inc</t>
  </si>
  <si>
    <t>Liberty Mutual Insurance Co</t>
  </si>
  <si>
    <t>US - Liberty Mutual Insurance Co acquired the remaining 30% interest, or 14. 735 mil common shares, which it did not already own, in Liberty Financial Cos Inc (LF) , a provider of fund management services, for $33. 70 in cash per share, or a total value of $536.005 mil. In November 2000, LF announced it was seeking a buyer for the company.</t>
  </si>
  <si>
    <t>First Commonwealth Corp</t>
  </si>
  <si>
    <t>United Trust Group Inc</t>
  </si>
  <si>
    <t>US - United Trust Group Inc (UTG) acquired the remaining 19% stake, or 10.333 mil common shares, which it did not already own, in First Commonwealth Corp, an insurance company, for $250 in cash per share, or a total value of $2.583 mil. Upon completion, UTG was the surviving entity.</t>
  </si>
  <si>
    <t>Juno Online Services Inc</t>
  </si>
  <si>
    <t>Netzero Inc</t>
  </si>
  <si>
    <t>US - Netzero Inc (NZ) merged with Juno Online Services Inc (JO), an Internet Service Provider, to form United Online Inc (UOI), in a stock swap transaction valued at $69.242 mil. JO common shareholders received .357 UOI common shares and NZ common shareholders received . 2 UOI common shares per share held. Based on NZ's closing stock price of $.92 on June 6, the last full trading day prior to the announcement, each JO share was valued at $1.642. Upon completion of the transaction, NZ shareholders owned 61.5% of UOI and JO shareholders owned 38.5%.</t>
  </si>
  <si>
    <t>Network Six Inc</t>
  </si>
  <si>
    <t>Dvlp integrated sys software</t>
  </si>
  <si>
    <t>US - TRW Inc acquired Network Six Inc, a developer of integrated systems software, for $3.60 per share in cash, or a total value of $2.941 mil.</t>
  </si>
  <si>
    <t>Westport Resources Corp</t>
  </si>
  <si>
    <t>US - Westport Resources Corp (WSR) acquired all the outstanding common stock of Belco Oil &amp; Gas Corp (BOG), an oil and gas exploration and production company, in a stock swap transaction valued at $1.048 bil, including the assumption of $588 mil in liabilities. WSR offered . 4125 common shares per BOG share. Based on WSR's closing stock price of $24.53 on June 8, the last full trading day prior to the announcement, each BOG share was valued at $10.106.</t>
  </si>
  <si>
    <t>Banknorth Group Inc,ME</t>
  </si>
  <si>
    <t>Pvd banking,finl,ins svcs;</t>
  </si>
  <si>
    <t>US - Banknorth Group Inc (BKNG), Portland, Maine, acquired all the outstanding common stock of Andover Bancorp Inc (ABI), Andover, Massachusetts, a commercial bank holding company, in a stock swap transaction valued at $339.387 mil. BKNG offered 2.27 common shares per ABI share. Based on BKNG's closing stock price of $21.19 on June 8, the last full trading day prior to the announcement, each ABI share was valued at $48.10.</t>
  </si>
  <si>
    <t>MetroWest Bank</t>
  </si>
  <si>
    <t>US - Banknorth Group Inc acquired all the outstanding common stock of MetroWest Bank, a commercial bank, for $11.50 in cash per share, or a total value of $164.795 mil.</t>
  </si>
  <si>
    <t>Remedy Corp</t>
  </si>
  <si>
    <t>Pvd bus applications software</t>
  </si>
  <si>
    <t>US - Peregrine Systems Inc (PS) acquired all the outstanding common stock of Remedy Corp (RC), a developer of help-desk software, in a stock swap transaction valued at $1.218 bil. The consideration consisted of $9. 00 in cash and .9065 PS common shares per RC share. Based on PS's closing stock price of $28.81 on June 8, the last full trading day prior to the announcement, each RC share was valued at $35.116. Concurrently, RC amended its poison pill to exempt PS from all provisions of the rights agreement.</t>
  </si>
  <si>
    <t>SeraCare Inc</t>
  </si>
  <si>
    <t>Mnfr plasma diagnostic prod</t>
  </si>
  <si>
    <t>Probitas Pharma SA</t>
  </si>
  <si>
    <t>US - Probitas Pharma SA acquired Seracare Inc, a manufacturer of plasma based diagnostic test products, for $146.5 mil. The consideration consisted of $116.5 mil in cash and the assumption of $30 mil in liabilities. Concurrently, SC spun off its Seracare Life Sciences Inc unit, a manufacturer of plasma diagnostic products, to its shareholders.</t>
  </si>
  <si>
    <t>NetSpeak Corp</t>
  </si>
  <si>
    <t>Dvlp telephony solutions</t>
  </si>
  <si>
    <t>Adir Technologies</t>
  </si>
  <si>
    <t>US - Adir Technologies Inc, a unit of Net2Phone Inc, acquired all the outstanding common stock of NetSpeak Corp, a developer of telephony solutions for Internet Protocol networks, for between $3 and $3.10 in cash per share, or a total value of $48.163 mil, with the value based on the high price in the range.</t>
  </si>
  <si>
    <t>APO Health Inc</t>
  </si>
  <si>
    <t>Whl medical &amp; hospital equip</t>
  </si>
  <si>
    <t>InternetFinancialCorp.com Inc</t>
  </si>
  <si>
    <t>US - InternetFinancialCorp. com Inc (IFC) merged with APO Health Inc (APO), a wholesaler of medical, dental, and veterinary products. Upon completion of the reverse takeover transaction, IFC was renamed APO.</t>
  </si>
  <si>
    <t>AXYS Pharmaceuticals Inc</t>
  </si>
  <si>
    <t>Celera Genomics Corp</t>
  </si>
  <si>
    <t>Pvd genetic research,dvlp svcs</t>
  </si>
  <si>
    <t>US - Celera Genomics Group, a majority-owned unit of Applera Corp, acquired all the outstanding common stock of Axys Pharmaceuticals Inc (AP), a manufacturer of synthetic drugs, in a stock swap transaction valued at $166.077 mil. CG offered . 1355 common shares per AP share. Based on CG's closing stock price of $28.40 on November 15, the last full trading day prior to the announcement of the exact exchange ratio, each AP share was valued at $3.848. Originally, CG offered $4.65 in common stock per AP share, subject to a collar agreement which was subsequently breached.</t>
  </si>
  <si>
    <t>Microtest Inc</t>
  </si>
  <si>
    <t>Mnfr LAN monitoring devices</t>
  </si>
  <si>
    <t>Fluke Networks Inc</t>
  </si>
  <si>
    <t>US - Fluke Networks Inc (FN), a unit of Danaher Corp, acquired all the outstanding common stock of Microtest Inc (MI), a manufacturer of LAN monitoring devices, for $8.15 in cash per share, or a total value of $73.779 mil. Earlier, FN completed its tender offer for MI by accepting 7. 856 mil shares, or 91.5% of MI's common shares outstanding. The offer was conditioned upon at least a majority of MI's shares being tendered.</t>
  </si>
  <si>
    <t>Virginia Commonwealth Finl</t>
  </si>
  <si>
    <t>Virginia Financial Corp,Staunt</t>
  </si>
  <si>
    <t>US - Virginia Financial Corp, Staunton, Virginia (VF) merged with Virginia Commonwealth Financial Corp, Culpeper, Virginia (VCF), a commercial bank, in a stock swap transaction valued at $84.198 mil. VF offered 1.439 common shares per VCF share. Based on VF's closing stock price of $25 on June 11, the last full trading day prior to announcement, each VCF share was valued at $35.978. Upon completion, the combined company was named Virginia Financial Group Inc, and began trading on the Nasdaq National Market.</t>
  </si>
  <si>
    <t>Ciber Inc</t>
  </si>
  <si>
    <t>US - CIBER Inc (CI) acquired all the outstanding stock of Aris Corp (AC), a provider of IT solutions services, in a stock swap transaction valued at $27.436 mil. CI offered $1. 30 in cash and 0.1937 common shares per AC share. Based on CI's closing stock price of $5.80, the last full trading day prior to the amendment of the terms, each AC share was valued at $2.423. Originally, CI offered $1.30 in cash and . 22 common shares per AC share. Based on CI's closing stock price of $6.71 on June 13, the last full trading day prior to the announcement, each AC share was valued at $2.776.</t>
  </si>
  <si>
    <t>US - United Bankshares Inc (UB), Charleston, West Virginia, acquired Century Bancshares, Charleston, West Virginia, a savings institution that attracts deposits from individual and corporate customers and to originate loans secured by residential and commercial real estate, business assets, and other persoanl property, in a stock swap transaction valued at $61.756 mil. UB offered $3.43 in cash and .45 common shares per CB share. Based on UB's closing stock price of $24.6 on June 13, the last full trading day prior to the announcement, each CB share was valued at $14.5.</t>
  </si>
  <si>
    <t>Promistar Financial Corp</t>
  </si>
  <si>
    <t>US - FNB Corp, Hermitage, Pennsylvania (FNB) acquired all the outstanding common stock of Promistar Financial Corp, Johnstown, Pennsylvania (PF), a commercial bank holding company, in a stock swap transaction valued at $378.831 mil. FNB offered . 926 common shares per PF share. Based on FNB's closing stock price of $26.74 on June 13, the last full trading day prior to announcement, each PF share was valued at $24. 761. Upon completion, the combined company was to operate under the First National Bank of Pennsylvania name.</t>
  </si>
  <si>
    <t>PS Financial Inc,Chicago,IL</t>
  </si>
  <si>
    <t>PNA Holding Co</t>
  </si>
  <si>
    <t>US - PNA Holding Co acquired all the outstanding common stock of PS Financial Inc, a bank holding company that provides consumer loans and accepting deposits from the general public, for $14 cash per share or a total value of $18.07 mil.</t>
  </si>
  <si>
    <t>Ledger Capital Corp</t>
  </si>
  <si>
    <t>US - Anchor Bancorp Wisconsin Inc (AB), Madison Wisconsin, acquired all the outstanding common stock of Ledger Capital Corp (LC), a bank holding company, in a stock swap transaction valued at $42.44 mil. AB offered a choice of cash in an amount equal to 1.1 times LC's shares outstanding multiplied by the closing stock price of AB on the effective date or 1. 1 AB common shares per LC share, subject to the requirement that the total number of LC shares to be converted to cash cannot exceed 20% of the number of LC shares oustanding. Based on AB's closing stock price of $14.78 on June 15, the last full trading day prior to the announcement, each LC share was valued at $16.258.</t>
  </si>
  <si>
    <t>Avert Inc</t>
  </si>
  <si>
    <t>US - Automatic Data Processing Inc acquired all the outstanding common stock of Avert Inc, a developer of employment screening software, for $22 in cash per share, or a total value of $90.087 mil.</t>
  </si>
  <si>
    <t>Galileo International Inc</t>
  </si>
  <si>
    <t>Pvd travel reservation svcs</t>
  </si>
  <si>
    <t>US - Cendant Corp (CD) acquired all the outstanding common stock of Galileo International Inc (GI), a provider of air travel reservation services, in a stock swap transaction valued at $3.372 bil, including the assumption of an estimated $575 mil in liabilities. The consideration consisted of $4. 08 in cash and 1.328 common shares per GI share, subject to a collar agreement. Based on CD's closing stock price of $20.77 on August 23, the last full trading day prior to the announcement of the exchange ratio, each GI share was valued at $31.663. Originally, CD offered $33 per GI share. The consideration consisted of $6. 435 in cash and $24.565 in common stock per GI share, subject to a collar agreement which was subsequently breached. The cash portion was to account for a maximum of 19.5% of the total consideration, to be adjusted accordingly. Originally, in October 2000, GI announced that it was seeking a buyer for the company. Previously, CD was rumored to to be planning to acquire GI. On June 15, GI amended its poison pill to exempt CD from the provisions of its rights agreement.</t>
  </si>
  <si>
    <t>Purina Mills Inc</t>
  </si>
  <si>
    <t>Mnfr,whl animal nutrition prod</t>
  </si>
  <si>
    <t>US - Land O' Lakes Inc acquired all the outstanding common stock of Purina Mills Inc (PMI), a manufacturer and wholesaler of animal nutrition products, for $23 in cash per share, or a total value of $231.03 mil. Upon completion PMI will be merged with Land O' Lakes Farmland Feed LLC.</t>
  </si>
  <si>
    <t>CNB Finl Corp,Canajoharie,NY</t>
  </si>
  <si>
    <t>US - NBT Bancorp Inc, Norwich, New York, acquired all the outstanding common stock of CNB Financial Corp, Canajoharie, New York, a commercial bank holding company, in a stock swap transaction valued at $136. 768 mil. NBT offered 1.2 common shares per CNB share. Based on NBT's closing stock price of $15.25 on June 18, the last full trading day prior to the announcement, each CNB share was valued at $18.30.</t>
  </si>
  <si>
    <t>US - First Banks America Inc, Houston, Texas, a majority- owned unit of First banks Inc, Clayton, Missouri, acquired all the outstanding common stock of BYL Bancorp, Orange, California, for $18.50 in cash per common share, or a total value of $48.888 mil.</t>
  </si>
  <si>
    <t>US - Umpqua Holdings Corp (UH) agreed to acquire all the outstanding stock of Independent Financial Network Inc (IF), a bank holding company, in a stock swap transaction valued at $55.077 mil. UH offered .827 common shares per IF share. Based on UH's closing stock price of $12.05 on June 21, the last full trading day prior to the announcement, each IF share was valued at $9.97.</t>
  </si>
  <si>
    <t>Youbet.com Inc</t>
  </si>
  <si>
    <t>Pvd online gambling svcs</t>
  </si>
  <si>
    <t>TVG Network</t>
  </si>
  <si>
    <t>US - TVG Network, a unit of Gemstar-TV Guide International Inc, was granted the option to acquire a 51% interest in Youbet.com Inc, a provider of online gambling services.</t>
  </si>
  <si>
    <t>Datron Systems Inc</t>
  </si>
  <si>
    <t>Mnfr satellite commun prod</t>
  </si>
  <si>
    <t>US - Titan Corp (TC) acquired all the outstanding common stock of Datron Sytems Inc (DS), a manufacturer of satellite communications equipment, in a stock swap tender offer valued at $41. 573 mil. TC offered .819 common shares per DS share. Based on TC's closing stock price of $18.47 on September 27, the last full trading day prior to the announcement of the exact exchange ratio, each DS share was valued at $15.173. The offer was subject to at least a majority of DS' shares being tendered. Previously, L-3 Communications Holdings Inc made a challenging offer to acquire DS for $52 mil in cash. DS amended its poison pill to exempt TC from all provisons of its rights agreement. Upon completion, DS became a wholly-owned subsidiary of TC.</t>
  </si>
  <si>
    <t>US - Washington Mutual Inc, Seattle, Washington (WM) acquired Dime Bancorp Inc, New York, New York (DM), a savings and loan bank holding company, in a stock swap transaction valued at $5.204 bil. The consideration included $1.4 bil in cash and 92.3 mil WM common shares valued at $3.804 bil, subject to a collar agreement. The shares were valued based on WM's closing stock price of $38.9 on June 22, the last full trading day prior to the announcement.</t>
  </si>
  <si>
    <t>Barrick Gold Corp</t>
  </si>
  <si>
    <t>US - Barrick Gold Corp (BGC) merged with Homestake Mining Co (HM), a gold and silver mining company, in a stock swap transaction valued at $2. 295 bil. BGC offered .53 common shares per HM share. Based on BGC's closing stock price of $16.44 on June 22, the last full trading day prior to the announcement, each BGC share was valued at $8.71. The transaction was accounted for as a pooling of interests. The offer was conditioned upon approval from the Toronto Stock Exchange and New York Stock Exchange.</t>
  </si>
  <si>
    <t>SMC Corp</t>
  </si>
  <si>
    <t>Mnfr Class A motor coaches</t>
  </si>
  <si>
    <t>Monaco Coach Corp</t>
  </si>
  <si>
    <t>Mnfr recreational vehicle</t>
  </si>
  <si>
    <t>US - Monacho Coach Corp (MCC) acquired all the outstanding common stock of SMC Corp (SMC) , a manufacturer of class A motor coaches, for $3.70 in cash per share, or a total value of $36.259 mil, including the assumption of up to $15 mil in liabilities. Earlier, MCC completed its tender offer for SMC by accepting 5.458 mil shares, or 95% of SMC's common shares outstanding. The offer was conditioned upon at least 51% of SMC's shares being tendered.</t>
  </si>
  <si>
    <t>CANADA - Artisan Entertainment Inc was rumored to be in negotiations to acquire all the outstanding common stock of Lions Gate Entertainment Corp, a provider of motion picture production and distribution services. The Current status of this deal is unknown.</t>
  </si>
  <si>
    <t>US - Greater Bay Bancorp, located in Palo Alto, California, (GB) acquired SJNB Financial Corp, located in San Jose California (SJ) in a stock swap transaction valued at $174.46 mil. GB offered 1.82 common shares per SJ share, subject to a collar agreement. Based on GB's closing stock price of $23.30 on June 25, the last full trading day prior to the announcement, each SJ share was valued at $42.406.</t>
  </si>
  <si>
    <t>Vanguard Airlines Inc</t>
  </si>
  <si>
    <t>US - An investor group, comprised of JF Shea Co, Pegasus Aviation Inc and Hambrecht 1980 Revocable Trust, agreed to acquire an estimated 64.574% interest, or 37.5 mil newly issued common shares, in Vanguard Airlines Inc, a passenger airline, for $.20 per share, or a total value of $7.5 mil.</t>
  </si>
  <si>
    <t>Duck Head Apparel Co</t>
  </si>
  <si>
    <t>Mnfr men's pants</t>
  </si>
  <si>
    <t>US - Tropical Sportswear International Corp (TS) acquired all the outstanding common stock of Duck Head Apparel Co (DH), a manufacturer of men's trousers and slacks, $4.75 in cash per share, or a total value of $13.563 mil. Earlier, TS completed its tender offer for DH by accepting 2.7 mil shares, or 94.549% of DH's common shares outstanding. The offer was conditioned upon at least a majority of DH's shares being tendered, on a fully-diluted basis.</t>
  </si>
  <si>
    <t>Park Meridian Financial Corp</t>
  </si>
  <si>
    <t>US - Regions Financial Corp, Birmingham, Alabama (RFC) acquired Park Meridian Financial Corp (PMF), a provider of financing services, in a stock swap transaction valued at for a sweetened $49.467 mil. RFC offered an amended .5688 common shares per PMF share. Based on RFC's closing stock price of $28.91, on November 9, the last full trading day prior to the closing, each PMF share was valued at $16. 444. Originally, RFC offered 0.55 common shares per PMF share. Based on RFC's closing stock price of $31.33 on June 26, the last full trading day prior to announcement, each PMF share was valued at $17. 232.</t>
  </si>
  <si>
    <t>Source Capital Corp</t>
  </si>
  <si>
    <t>US - Sterling Financial Corp acquired all the outstanding stock of Source Capital Corp, an investment holding company, for $7.50 in common stock per share, or a total value of $70.96 mil, in a stock swap transaction.</t>
  </si>
  <si>
    <t>Borel Bank &amp; Trust Co,CA</t>
  </si>
  <si>
    <t>Boston Private Financial Hldg</t>
  </si>
  <si>
    <t>Bank,financial holding company</t>
  </si>
  <si>
    <t>US - Boston Private Financial Holdings Inc (BPF) acquired all the outstanding common stock of Borel Bank &amp; Trust Co (BBT), a commercial bank, in a stock swap transaction valued at $115. 083 mil. BPF offered 1.8966 common shares per BBT share. Based on BPF's closing stock price of $20.66 on June 27, the last full trading day prior to the announcement, each BBT share was valued at $39.184. The transaction was to be accounted for as a pooling of interests.</t>
  </si>
  <si>
    <t>CMI Corp</t>
  </si>
  <si>
    <t>Mnfr construction paving equip</t>
  </si>
  <si>
    <t>Terex Corp</t>
  </si>
  <si>
    <t>Manufacture,wholesale construction equipment</t>
  </si>
  <si>
    <t>US - Terex Corp acquired all the outstanding common stock of CMI Corp, a manufacturer of construction and paving equipment, in a stock swap transaction valued at $74.204 mil. TC offered .16 common shares per CMI share, subject to a maximum of 3.5 mil common shares being issued. Based on TC's closing stock price of $21.37 on June 27, the last full trading day prior to the announcement, each CMI share was valued at $3.419.</t>
  </si>
  <si>
    <t>UroCor Inc</t>
  </si>
  <si>
    <t>US - DIANON Systems Inc (DS) acquired all the outstanding common stock of UroCor Inc (UC), a provider of medical research services, in a stock swap transaction valued at $193.167 mil. DS offered . 3843 newly issued common shares per UC share. Based on DS' closing stock price of $45.26 on November 5, the last full trading day prior to the announcement of the exact exchange ratio, each UC share was valued at $17.393. Originally, DS offered .4064 newly issued shares per UC share, subject to a collar agreement which was subsequently breached. Based on DS' closing stock price of $40.00 on June 27, the last full trading day prior to the announcement, each UC share was originally valued at $16. 256.</t>
  </si>
  <si>
    <t>Cardiac Pathways Corp</t>
  </si>
  <si>
    <t>Mnfr invasive systems</t>
  </si>
  <si>
    <t>US - Boston Scientific Corp (BSC) acquired all the outstanding common stock of Cardiac Pathways Corp (CPC), a manufacturer of minimally invasive systems, for $5.267 in cash per share, or a total value of $77.74. Earlier, BSC completed its tender offer to by accepting 8.6 mil shares, or 95.5% of CPC's common shares outstanding. The offer was conditioned upon at least a majority of CPC's shares being tendered. Upon completion of the transaction, CPC was to continue operations as a unit of BSC.</t>
  </si>
  <si>
    <t>Community Bankshares Inc,VA</t>
  </si>
  <si>
    <t>US - SouthTrust Corp (SOTR), Birmingham, Alabama, acquired Community Bankshares Inc (CBIV), Richmond, Virginia, a bank holding company, in a stock swap transaction valued at an amended $115.29 mil. SOTR offered an amended 1. 5608 common shares per CBIV share. Originally, SOTR offered 1.5904 common shares per CBIV share, or a total value of $116.719. Based on SOTR's closing stock price of $26.2 on August 14, the last full trading day prior to the announcement of the amended terms, each CBIV share was valued at $40.893.</t>
  </si>
  <si>
    <t>Duramed Pharmaceuticals Inc</t>
  </si>
  <si>
    <t>Manufacture generic drug prod</t>
  </si>
  <si>
    <t>Barr Laboratories Inc</t>
  </si>
  <si>
    <t>US - Barr Laboratories Inc acquired all the outstanding common stock of Duramed Pharmaceuticals Inc, a manufacturer of generic drug products, in a stock swap transaction valued at $594. 441 mil. BLI offered .2562 common shares per DPI share. Based on BLI's closing stock price of $77.41 on June 28, the last full trading day prior to the announcement, each DPI share was valued at $18.303.</t>
  </si>
  <si>
    <t>HotJobs.com Ltd</t>
  </si>
  <si>
    <t>Prvde online recruitment srvcs</t>
  </si>
  <si>
    <t>US - TMP Worldwide Inc (TMP) withdrew its agreement to acquire all the outstanding common stock of Hotjobs.com Ltd (HJ), a provider of online employment recruiting services, in a stock swap transaction valued at $525. 999 mil. TMP offered .2195 common shares per HJ share. Based on TMP's closing stock price of $59.03 on June 28, the last full trading day prior to the announcment, each HJ share was valued at $12.957. The transaction was to be accounted for as a pooling of interests. Subsequently, Yahoo! Inc (YI) made an unsolicited challenging offer to acquire all the outstanding common stock of HJ.</t>
  </si>
  <si>
    <t>Pitt-Des Moines Inc</t>
  </si>
  <si>
    <t>Mnfr,design custom facilities</t>
  </si>
  <si>
    <t>US - Pitt-Des Moines Inc was in negotiations to divest the company to an undisclosed acquiror.</t>
  </si>
  <si>
    <t>Captec Net Lease Realty Inc</t>
  </si>
  <si>
    <t>Commercial Net Lease Rlty Inc</t>
  </si>
  <si>
    <t>US - Commercial Net Lease Realty Inc (COM) acquired all the outstanding common stock of Captec Net Lease Realty Inc (CAP), a real estate investment trust, in a stock swap transaction valued at an estimated $124.081 mil. The consideration consisted of $1. 27 in cash, .4575 COM common shares and .21034679 Series A non-voting preferred shares per CAP share, with the total consideration estimated at $13.05 per CAP share. Originally, in September 2000, CAP announced that it was seeking a buyer for the company.</t>
  </si>
  <si>
    <t>Earthgrains Co</t>
  </si>
  <si>
    <t>Mnfr,whl bread,baked goods</t>
  </si>
  <si>
    <t>US - Sara Lee Corp (SL) acquired all the oustanding common stock of Earthgrains Co (EG), a manufacturer and wholesaler of packaged fresh bread and baked goods and refrigerated dough products, for $40.25 in cash per share, or a total value $2.905 bil, including the assumption of $1.09 bil in liabilities. Earlier SL completed its tender offer for EG by accepting 40.2 mil common share, or about 93% of the company's common stock outstanding. The offer was conditioned upon at least a majority of EG's shares being tendered.</t>
  </si>
  <si>
    <t>IKOS Systems Inc</t>
  </si>
  <si>
    <t>Dvlp integrated systems</t>
  </si>
  <si>
    <t>US - Synopsys Inc (SI) withdrew its agreement to acquire all the outstanding common stock of IKOS Systems Inc (IKO), a developer of integrated hardware and software systems, in a stock swap transaction, valued at an estimated $179.7 mil. Concurrent to the merger agreement, IKO amended its poison pill to exempt SI from all provisions of the rights agreement. Subsequently, Mentor Graphics Corp launched a challenging unsolicited tender offer to acquire all the outstanding common stock of IKO.</t>
  </si>
  <si>
    <t>InSight Health Corp</t>
  </si>
  <si>
    <t>US - An investor group, comprised of JW Childs Associates LP and Halifax Group, acquired all the outstanding common stock of Insight Health Services Corp (IH), a provider of diagnostic imaging services, for $18 in cash per share, or a total value of $255.691 mil. Carlyle Group and its affiliates, General Electric CO and GE Fund, owned 67% of IH.</t>
  </si>
  <si>
    <t>US - L-3 Communications Holdings Inc withdrew an unsolicited challenging offer to acquire all the outstanding common stock of Datron Systems Inc (DS), a manufacturer of satellite communications systems, for $52 mil in cash. Previously, Titan Corp (TC) agreed to acquire DS for $43.973 mil. DS amended its poison pill to exempt TC from all provisions of its rights agreement.</t>
  </si>
  <si>
    <t>US - International Game Technology (IGT) acquired all the outstanding common stock of Anchor Gaming Inc (AGI), an owner and operator of casinos, in a stock swap transaction valued at $1.327 bil, including the assumption of $430 mil in liabilities. IGT offered 1 common share per AGI share, subject to a collar agreement. Based on IGT's closing stock price of $59.20 on July 6, the last full trading day prior to the announcement, each AGI share was valued at $59.20.</t>
  </si>
  <si>
    <t>Argosy Education Group Inc</t>
  </si>
  <si>
    <t>Provide education services</t>
  </si>
  <si>
    <t>Education Management Corp</t>
  </si>
  <si>
    <t>Pvd educ svcs</t>
  </si>
  <si>
    <t>US - Education Management Corp acquired all the outstanding stock of Argosy Education Group Inc, a provider of for-profit postgraduate education with a primary focus on doctorate level programs, for $12 per share, or a total value of $85.384 mil in cash.</t>
  </si>
  <si>
    <t>eShare Technologies Inc</t>
  </si>
  <si>
    <t>Pvd customer solutions svcs</t>
  </si>
  <si>
    <t>US - Divine Inc (DI) acquired all the outstanding common stock of Eshare Communications Inc (EC), a provider of electronic customer relationship management solutions, in a stock swap transaction valued at $69.13 mil. DI offered $3. 12 in common stock per EC share. Originally, DI offered 1.3 common shares per EC share, subject to a collar agreement which was subsequently breached. Based on DI's closing stock price of $1.50 on July 6, the last full trading day prior to the announcement, each EC share was originally valued at $1. 95.</t>
  </si>
  <si>
    <t>US - BB&amp;T Corp (BB), located in Winston-Salem, North Carolina, acquired all the outstanding common stock of Community First Banking Co (CF), a savings and loan institution, located in Carrolton, Georgia, in a stock swap transaction valued at $363.473 mil. BB offered . 98 common shares per CF share. Based on BB's closing stock price of $36.42 on July 9, the last full trading day prior to announcement, each CF share was valued at $35.69.</t>
  </si>
  <si>
    <t>Riverstone Networks Inc</t>
  </si>
  <si>
    <t>Pvd internet infrastructure</t>
  </si>
  <si>
    <t>US - Cabletron Systems Inc (CSI) completed the spinoff of its 92% interest, or 99.2 mil common shares on a fully- diluted basis, in Riverstone Networks Inc (RNI), a provider of Internet infrastructure solutions that enable service providers to deliver advanced applications and value-added services to their customers, to its shareholders in a transaction valued at $1.408 bil. CSI shareholders received .5131 RNI shares for every 1 CSI share held. The shares were valued based on RNI's closing stock price of $14.19 on August 6, the first full trading day on which the shares were distributed. In February 2001, RNI completed an intitial public offering of 10 mil common shares.</t>
  </si>
  <si>
    <t>Tremont Advisors Inc</t>
  </si>
  <si>
    <t>Oppenheimer Acquisition Corp</t>
  </si>
  <si>
    <t>Invest mgmt svc</t>
  </si>
  <si>
    <t>US - Oppenheimer Acquisition Corp acquired all the outstanding shares of Tremont Advisors Inc, a provider of investment management services, for $19 per share, or a total value of $145.13 mil, in cash.</t>
  </si>
  <si>
    <t>Amerada Hess Corp</t>
  </si>
  <si>
    <t>US - Amerada Hess Corp (AH) acquired all the outstanding common stock of Triton Energy Ltd (TE), an oil and natural gas exploration and production company, for $45 in cash per share, or a total value of $3.229 bil, including the assumption of an estimated $500 mil in liabilities. Earlier, AH completed its tender offer for TE by accepting 63.751 mil shares, or 99.89% of TE's shares outstanding. Hicks Muse Tate &amp; Furst agreed to sell its 38% stake in TE to AH. The offer was conditioned upon at least a majority of TE's shares being tendered.</t>
  </si>
  <si>
    <t>Craig Broadcast Systems Inc</t>
  </si>
  <si>
    <t>Own,operate radio stns</t>
  </si>
  <si>
    <t>CANADA - Craig Broadcast Systems Inc was rumored to be in negotiations to acquire all the outstanding common stock of Lions Gate Entertainment Corp, a provider of motion picture production and distribution services. The Current status of this deal is unknown.</t>
  </si>
  <si>
    <t>Expedia Inc</t>
  </si>
  <si>
    <t>Provide online travel services</t>
  </si>
  <si>
    <t>US - USA Networks Inc (USA) acquired a 65% interest, or 34.7 mil common shares, in Expedia Inc (EXP), a majority owned unit of Microsoft Corp (MC), and a provider of online travel services, in a stock swap transaction valued at $1.372 bil. USA offered $17.50 in common stock, .4229 new USA warrants, and .380232 new USA cumulative convertible preferred shares per EXP share, subject to a collar agreement. Based on the closing stock price of $8. 10 for USA's warrants (USAIW) on February 13, the first full trading day of the warrants, and the closing price of $48.95 for USA's cumulative convertible preferred stock (USAIP) on March 1, the first full trading day of the preferred shares, each EXP share was valued at $39.538. Originally, USA announced plans to acquire up to a 75% interest, or up to 40.275 mil shares in EXP. MC agreed to vote its 69. 22% stake in favor of the transaction.</t>
  </si>
  <si>
    <t>First Team Sports</t>
  </si>
  <si>
    <t>Mnfr,whl roller skates</t>
  </si>
  <si>
    <t>Gen-X Sports Inc</t>
  </si>
  <si>
    <t>Ret,design,whl sporting goods</t>
  </si>
  <si>
    <t>US - Gen-X Sports inc acquired all the outstanding common stock of First Team Sports Inc, a manufacturer and wholesaler of inline skates, for $1.76 in cash per common share, or a total value of $10.405 mil.</t>
  </si>
  <si>
    <t>Innes Street Financial Corp,NC</t>
  </si>
  <si>
    <t>Gaston Federal Bancorp Inc</t>
  </si>
  <si>
    <t>US - Gaston Federal Bancorp Inc, Gastonia, North Carolina, acquired all the outstanding common stock of Innes Street Financial Corp, Salisbury, North Carolina, a bank holding company, for $18.50 in cash per share, or a total value of $37.935 mil.</t>
  </si>
  <si>
    <t>Micrografx Inc</t>
  </si>
  <si>
    <t>US - Corel Corp (CC) agreed to acquire Micrografx Inc, a provider of graphics software development services, for an estimated $22.995 mil. CC offered $2.00 cash per share, subject to a collar agreement. If the second part of the collar agreement was to come into affect, CC would issue participation rights for the remaining one-half of the transaction value, which were to be paid exactly one year after the closing of the transaction in cash if CC's stock price is equal to or less than the price of closing. However, if CC's stock price was to be equal to or greater than the price at the closing of the transaction, CC would issue common stock equivalent to the then-current value of the remaining one-half tranaction value; including, on a per share basis, 18% of any increase of CC common stock in the 12 month period following the closing.</t>
  </si>
  <si>
    <t>Packard BioScience Co</t>
  </si>
  <si>
    <t>Mnfr drug discovery instr</t>
  </si>
  <si>
    <t>PerkinElmer Inc</t>
  </si>
  <si>
    <t>Mnfr research,medical equipment</t>
  </si>
  <si>
    <t>US - PerkinElmer Inc (PI) acquired all the outstanding common stock of Packard BioScience Inc (PB), a manufacturer and wholesaler of drug discovery and molecular biology instruments for the life sciences and nuclear power industries primarily focused on the rapidly growing areas of drug screening, functional genomics and proteomics, in a stock swap transaction valued at $623.065 mil, including the assumption of $36 mil in liabilities. PI offered .311 common shares per PB share. Based on PI closing stock price of $27.54 on July 13, the last full trading day prior to the announcement, each PB share was valued at $8.565.</t>
  </si>
  <si>
    <t>Peapod Inc(Koninklijke)</t>
  </si>
  <si>
    <t>US - Koninklijke Ahold NV (KA) acquired the remaining 42% stake, or 7.572 mil common shares, which it did not already own, in Peapod Inc (PI), a provider of online grocery services for $2.15 per share, or a total value of $16.698 mil. Earlier KA cpompleted its tender offer for PI by accepting 6. 065 mil common shares, or about 33.641% of PI's shares outstanding. Concurrently, PI amended its poison pill to exempt KA from all provisions of the rights agreement.</t>
  </si>
  <si>
    <t>SCI Systems Inc</t>
  </si>
  <si>
    <t>Mnfr electronic prod,computers</t>
  </si>
  <si>
    <t>US - Sanmina Corp (SNM) acquired all the outstanding common stock of SCI Systems Inc (SCI), a manufacturer of computer and communications systems, in a stock swap transaction valued at $6.336 bil, including the assumption of an estimated $1.5 bil in liabilities. SNM offered 1.36 common shares per SCI share. Based on SNM's closing stock price of $22.14 on July 13, the last full trading day prior to the announcement, each SCI share was valued at $30.11. Upon completion, SNM wsa to change its name to Sanmina-SCI Corp and SCI was to cease trading on the NYSE. Concurrently, SCI amended it poison pill to exempt SNM from all provisions of its right agreement.</t>
  </si>
  <si>
    <t>SouthBanc Shares,Anderson,SC</t>
  </si>
  <si>
    <t>National Commerce Financial</t>
  </si>
  <si>
    <t>US - National Commerce Financial Corp (NCF), Memphis, Tennesee, acquired all the outstanding common stock of Southbanc Shares Inc (SSI), Anderson, South Carolina, in a stock swap transaction valued at $124.835 mil. NCF offered a choice of $28 in cash or 1.1142 common shares or $14 in cash and .5571 common shares per SSI share, subject to proration so that 50% of the total consideration was to be paid in cash and 50% in common stock.</t>
  </si>
  <si>
    <t>Main Street Bancorp Inc,PA</t>
  </si>
  <si>
    <t>Sovereign Bancorp Inc</t>
  </si>
  <si>
    <t>US - Sovereign Bancorp Inc (SBI), Wyomissing, Pennsylvania acquired Main Street Bancorp, Reading, Pennsylvania, a commercial bank holding company, in a stock swap transaction valued at $171.058 mil. SBI offered a choice of $16.10 in cash or common stock per share, subject to a collar agreement. Only 30% of the total consideration was to paid in cash.</t>
  </si>
  <si>
    <t>American Bank of Connecticut</t>
  </si>
  <si>
    <t>American Financial Holdings</t>
  </si>
  <si>
    <t>US - American Financial Holdings Inc, New Britain, Connecticut (AF) acquired American Bank of Connecticut, Waterbury, Connecticut (AB), a savings and loan, in a stock swap transaction valued at $142.71 mil. AF offered a choice of $30 in cash or 1. 304 common shares or a combination of both per AB share whereby 50% of the total consideration was paid in cash and 50% in common stock.</t>
  </si>
  <si>
    <t>BOC Financial Corp,Landis,NC</t>
  </si>
  <si>
    <t>Bank of Davie,Mocksville,NC</t>
  </si>
  <si>
    <t>US - Bank of Davie (BOD), Mocksville, North Carolina acquired all the outstanding common stock of BOC Financial Corp (BOCF), a savings and loan, in Landis, North Carolina, in a stock swap transaction valued at $10.136 mil. BOD offered .92 common shares per BOCF share. Based on BOD's closing stock price of $13.05 on July 9, the last full trading day prior to the announcement, each BOCF share was valued at $12.006. Upon completion, BOD was renamed Bank of the Carolinas.</t>
  </si>
  <si>
    <t>US - Citadel Holding Corp (CHC) acquired Craig Corp (CC) , a investment holding company that owns and operates cineplexes, in a stock swap transaction valued at $6.37 mil. HCH offered 1. 17 class A common shares per CC share. Based on CHC's closing stock price of $1.60 on December 11, the last full trading day prior to the announcement of terms, each CC share was valued at $1.87</t>
  </si>
  <si>
    <t>US - GE Medical Systems, a unit of General Electric Co, acquired Data Critical Corp, a manufacturer, marketer and supporter of open personal information communications systems that provide individuals with mobile interactive access to highly complex and life-critical data, for $3.75 in cash per share, or a total value of $46.652 mil.</t>
  </si>
  <si>
    <t>Lifeminders Inc</t>
  </si>
  <si>
    <t>Pvd online marketing svcs</t>
  </si>
  <si>
    <t>Cross Media Marketing Corp</t>
  </si>
  <si>
    <t>US - Cross Media Marketing Corp (CMM) acquired LifeMinders Inc (LMI), a provider of online direct marketing services, in a stock swap transaction valued at an estimated $47.565 mil. CMM offered 1.29 common shares per LMI share, whereby LMI shareholders were to have a choice to recieve all cash, all stock, or a mix of cash and stock, subject to proration whereby the maximum cash consideration was no to exceed $24 mill. Based on CMM's closing stock price of $1.40 on August 20, the last full day of trading prior to the ammendment of the terms, each LMM share was valued at $1.806. The cash portion of the transaction was an estimated 33% and the stock portion was an estimated 67% of the total consideration. Originally, CMM offered 1.23 common shares per LMI share, or a total value of $64.384 mil, based on CMM's closing stock price of $1.99 on July 18, the last full day of trading prior to announcement. Concurrently, Encore Marketing Meeting International Inc withdrew its challenging bid to acquire all the outstanding common stock of LM.</t>
  </si>
  <si>
    <t>US - Citadel Holding Corp (CHC) acquired all the outstanding common stock of Reading Entertainment Inc (REI), a real estate development firm, in a stock swap transaction valued at $16.137 mil. CHC offered 1.25 class A common shares per REI share. Based on CHC's closing stock price of $1.60 on December 11, the last full trading day prior to announcement of the terms, each REI share was valued at $2.00. Upon completion, CHC changed its name to Reading International Inc and began to trade on the American stock exchange under the symbols RDI.A and RDI.B.</t>
  </si>
  <si>
    <t>Capitol Transamerica Corp</t>
  </si>
  <si>
    <t>Pvd property insurance svcs</t>
  </si>
  <si>
    <t>Alleghany Corp</t>
  </si>
  <si>
    <t>Pvd ppty,liability ins svcs</t>
  </si>
  <si>
    <t>US - Alleghany Corp acquired all the outstanding common stock of Capitol Transamerica Corp, a provider of property and casualty insurance services, for $16.50 in cash per share, or a total value of $182.157 mil.</t>
  </si>
  <si>
    <t>South Bay Holdings,Torrance,CA</t>
  </si>
  <si>
    <t>National Mercantile Bancorp</t>
  </si>
  <si>
    <t>US - National Mercantile Bancorp, Los Angeles, California acquired South Bay Holdings Inc, Torrance, California, for an estimated $10.325 in cash per share, or a total value of $29.1 mil.</t>
  </si>
  <si>
    <t>EA Engineering Science Tech</t>
  </si>
  <si>
    <t>Pvd consultingl services</t>
  </si>
  <si>
    <t>US - A management-led investor group, including EA Engineering Science and Technology Inc (EA) President and CEO Mr. Loren Jensen and Louis Berger Group, acquired all the outstanding common stock of EA, a provider of consulting services, specializing in energy, environment, health and safety, for $1.60 in cash per share, or a total value of $9. 391 mil, in a leveraged buyout transaction. Earlier, IG completed its tender offer to acquire EA by accepting 5. 375 mil shares, or 92% of EA's common stock outstanding. The offer was conditioned upon at least 90% of EA's shares being tendered.</t>
  </si>
  <si>
    <t>Montgomery Financial,Indiana</t>
  </si>
  <si>
    <t>Union Community Bancorp,IN</t>
  </si>
  <si>
    <t>US - Union Community Bancorp, Crawfordsville, Indiana, acquired Montgomery Financial Corp, Crawfordsville, Indiana, a savings and loan holding company, in a stock swap transaction valued at $18.51 mil. UC offered a choice of $15 in cash or 1.1244 common shares per MF share, subject to a proration so that 50% of the total consideration was to be paid in cash and 50% in common stock.Based on UC's closing stock price of $13.5 on July 23, the last full trading day prior to the announcement, each MF share was valued at $15.18.</t>
  </si>
  <si>
    <t>Conestoga Enterprises Inc</t>
  </si>
  <si>
    <t>NTELOS Inc</t>
  </si>
  <si>
    <t>US - NTELOS Inc (NT) withdrew its agreement to acquire all the outstanding common stock of Conestoga Enterprises Inc (CEI), a holding company and provider of telephone communication services, in a stock swap transaction valued at $396. 932 mil, including the assumption of $73 mil in liabilities. NT offered a choice of $40 in cash or common stock per CEI common share, subject to a collar agreement. The transaction was subject to a maximum of 58% of the total consideration to be paid in cash. Subsequently, D&amp;E Communications Inc completed its challenging offer to acquire CEI in a stock swap transaction. Subsequently, Lynch Interactive Corp withdrew its unsolicited challenging offer to acquire all the outstanding common shares of CEI.</t>
  </si>
  <si>
    <t>US - General Electric Capital Corp (GEC), a majority-owned unit of General Electric Co's General Electric Capital Services subsidiary, acquired all the outstanding common stock of Heller Financial Inc (HFI), a provider of business financial services, via a tender offer for $53.75 in cash per share, or a total value of $5.322 bil. Earlier, GEC completed its tender offer for HFI. The agreement was to include the 51.647% interest owned by Mizuho Holdings' Fuji America Holdings Inc subsidiary. The offer was conditioned upon at least a majority of HFI's shares being tendered.</t>
  </si>
  <si>
    <t>iXL Enterprises Inc</t>
  </si>
  <si>
    <t>Dvlp Internet based solutions</t>
  </si>
  <si>
    <t>Scient Corp</t>
  </si>
  <si>
    <t>US - Scient Corp (SCNT) merged with iXL Enterprises Inc (IXL), a developer of Internet solutions, to form a new co named Scient Inc (SCI) in a merger of equals stock swap transaction valued at $42.403 mil. IXL common shareholders received .25 SCI common shares and SCNT common shareholders received .31 SCI common shares per share held. Based on SCNT's closing stock price on July 31, the last full trading day prior to the announcement, each IXL share was valued at $.444.</t>
  </si>
  <si>
    <t>Mexican Restaurants Inc</t>
  </si>
  <si>
    <t>Wyndcrest Holdings LLC</t>
  </si>
  <si>
    <t>US - Wyndcrest Holdings LLC (WH) agreed to acquire all the outstanding common stock of Mexican Restaurants Inc (MRI), an owner and operater of franchise Mexican restaurants under trade names Casa Ole, Monterey's Tex-Mex Cafe, Monterey's Little Mexico, Tortuga Coastal Cantina and La Senorita, for $25.843 mil. The consideration was to consist of $4.50 per share payable in interest bearing notes, and $8.1 mil in the assumption of liabilities. WH also offered to acquire all outstanding warrants covering .856 mil common shares for $2.00 per share covered.</t>
  </si>
  <si>
    <t>Natl Bancshares Corp of TX,TX</t>
  </si>
  <si>
    <t>Intl Bancshares Corp,TX</t>
  </si>
  <si>
    <t>US - International Bancshares Corp (IB), Laredo, Texas, acquired all the outstanding common stock of National Bancshares Corp of Texas, Laredo, Texas (NB), a commercial bank holding company, for $24.75 in cash per share, or a total value of $97.554 mil. Earlier, IB completed its tender offer for NB by accepting 2.9 mil shares, or 76.91% of NB's common shares outstanding. The offer was conditioned upon at least 67% of NB's shares being tendered.</t>
  </si>
  <si>
    <t>US - Berkshire Hathaway Inc (BHI) acquired the entire share capital, or 11.318 mil common shares, in Xtra Corp (XC), a provider of transportation equipment rental and leasing services, for USD 55 in cash per share, or a total value of USD 583. 854 mil. Earlier, BHI completed its tender offer for XC by accepting 10.2 mil shares, or 97.264% of XC's common shares outstanding. The offer was conditioned upon at least 90% of XC's shares being tendered.</t>
  </si>
  <si>
    <t>Cooper Industries Inc</t>
  </si>
  <si>
    <t>Mnfr elec,lighting equip</t>
  </si>
  <si>
    <t>US - Danaher Corp (DC) withdrew its unsolicited bid to acquire all the outstanding common stock of Cooper Industries Inc (CI), a manufacturer of electrical and circuit protection products, including fittings, enclosures, plugs, receptacles, lighting fixtures, fuses, emergency lighting, fire detection systems and security products for use in residential, commercial and industrial construction, maintenance and repair applications, for an estimated $6.965 bil. The consideration was to consist of between $13.50 in cash and .712 DC common shares per every CI share and $14.50 in cash and .765 DC common shares per CI share, plus the assumption of up to $1.5 bil in liabilities, with the value based on the high end of the range. Based on DC's closing stock price of $56.59 on July 31, the last full trading day prior to the announcement, each CI share was valued at $57.79. Previously, in August 1997, CI adopted a poison pill takeover defense.</t>
  </si>
  <si>
    <t>Fargo Electronics Inc</t>
  </si>
  <si>
    <t>Design,mnfr,whl printer</t>
  </si>
  <si>
    <t>US - Zebra Technologies Corp withdrew its launched tender offer to acquire all the outstanding common stock of Fargo Electronics Inc (FE), a manufacturer and wholesaler of desktop systems and associated consumable supplies for the plastic card personalization and data encoding industry, for $7.25 in cash per share, or a total value of $105.112 mil, including the assumption of $18 mil in liabilities. The offer was conditioned upon at least a majority of FE's shares being tendered on a fully-diluted basis.</t>
  </si>
  <si>
    <t>National Home Centers Inc</t>
  </si>
  <si>
    <t>Op home products supply stores</t>
  </si>
  <si>
    <t>Dwain Neumann</t>
  </si>
  <si>
    <t>US - Dwain Neumann acquired the remaining 36.51% stake, or 2.607 mil common shares, he did not already own in National Home Centers Inc (NHC), an operator of home products supply stores, for a sweetened $1.40 in cash per share, or a total value of $3. 65 mil. Earlier, DN completed its tender offer for NHC by accepting 2.605 mil common shares, or 36.47% of NHC's common shares outstanding. Originally, Mr Neumann offered $1.20 in cash per share, or a total value of $3. 129 mil.</t>
  </si>
  <si>
    <t>Salem Community Bankshares Inc</t>
  </si>
  <si>
    <t>US - FNB Corp (FNB), Chirstianburg, Virginia, acquired Salem Community Bankshares Inc, Salem, Virginia, a commercial bank holding company, in a stock swap transaction valued at $39.402 mil. The consideration consisted of an estimated $13.5 mil in cash and 1.29 mil FNB common shares valued at $25.155 mil. The shares were valued based on FNB's closing stock price of $19.50 on January 24, the last full trading day prior to the announcement of the final terms. Originally, FNB offered a choice of $26.49 in cash or common stock or a combination of both per share, subject to a collar agreement. The cash portion of the consideration was to be no less than 20% nor more than 35% of the aggregate consideration.</t>
  </si>
  <si>
    <t>Tucker Anthony Sutro</t>
  </si>
  <si>
    <t>Pvd brokerage,investment svcs</t>
  </si>
  <si>
    <t>US - Royal Bank of Canada acquired Tucker Anthony Sutro (TAS), a provider of securities brokerage and trading services, investment banking, asset management and other investment advisory services, for $24 in cash per share or a total value of $651.907 mil. Previously, TAS was rumored to be in negotiations to divest the company to an undislcosed acquiror.</t>
  </si>
  <si>
    <t>GenRad Inc</t>
  </si>
  <si>
    <t>Mnfr electronic test systems</t>
  </si>
  <si>
    <t>US - Teradyne Inc (TI) acquired GenRad Inc (GI), a manufacturer of electronic test systems, in a stock swap transaction valued at $259. 732 mil, including the assumption of $85 mil in liabilities. TI offered .1733 shares per GI share. Based on TI's closing stock price of $35.1 on August 1, the last full trading day prior to announcement, each GI share was valued at $6.072.</t>
  </si>
  <si>
    <t>US - Tyco International Ltd (TI) acquired all the outstanding common stock of Sensormatic Electronics Corp (SEC), a provider of security systems services, via a stock swap tender offer valued at $2.203 bil, including the assumption of $116 mil in liabilities. Earlier TI completed its tender offer for SEC by accepting 83 mil shares or 86.48% of SEC's common shares outstanding. TI offered .5189 common shares per SEC share. Based on TI's closing stock price of $44.22 of September 25, the last full trading day prior to the announcement of the exact exchange ratio, each SEC share was valued at $11.69. The offer was conditioned upon at least a majority of SEC's shares being tendered. Originally, TI definitively agreed to launch a tender offer for $24 in common stock per share, subject to a collar agreement which was subsequently breached.</t>
  </si>
  <si>
    <t>Total Research Corp</t>
  </si>
  <si>
    <t>Pvd web mktg research svcs</t>
  </si>
  <si>
    <t>Harris Interactive Inc</t>
  </si>
  <si>
    <t>Pvd market research svcs</t>
  </si>
  <si>
    <t>US - Harris Interactive Inc (HI) acquired Total Research Corp (TR), a provider of market research services, in a stock swap transaction valued at $49.118 mil. HI offered 1.222 common shares per TR share. Based on HI's closing stock price of $2.7 on August 3, the last full trading day prior to the announcement, each TR share was valued at $3.299. Upon completion, HI was to own a 67.25% interest in the combined company and TR was to hold the remaining 32.75% stake.</t>
  </si>
  <si>
    <t>Global Airlines Corp</t>
  </si>
  <si>
    <t>Pvd air trans svcs</t>
  </si>
  <si>
    <t>US - Global Airlines Corp (GA) withdrew its unsolicited offer to acquire all the outstanding common stock of US Airways Group Inc (UA), a passenger airline, for a sweetended $10.049 bil, including the assumption of $8 bil in liabilities. GA offered $17 in Class B nonvoting shares and $13 in cash per share held. Originally, GA offered $17 in Class B nonvoting shares and $10 in cash per share held, or a total value of $9.847 bil, including the assumption of $8 bil in liabilities. UA rejected both the original and amended offers.</t>
  </si>
  <si>
    <t>Advance Auto Parts</t>
  </si>
  <si>
    <t>US - Advance Auto Parts (AA) acquired Discount Auto Parts Inc (DA), a retailer and wholesaler of automotive parts, in a stock swap transaction valued at an estimated $284.948 mil. AA offered $7.50 in cash and $9. 50 in new common stock per DA share. Concurrent to the merger agreement, DA amended its poison pill to exempt AA from all provisions of the rights agreement.</t>
  </si>
  <si>
    <t>Fine Air Services Inc</t>
  </si>
  <si>
    <t>Pvd air cargo services</t>
  </si>
  <si>
    <t>Leucadia International</t>
  </si>
  <si>
    <t>US - Leucadia International Corp, a unit of Leucadia National Corp, signed a letter of intent to acquire all the outstanding common stock of bankrupt Fine Air Services Inc, a provider of air cargo services.</t>
  </si>
  <si>
    <t>Thomson Legal &amp; Regulatory</t>
  </si>
  <si>
    <t>US - Thomson Legal &amp; Regulatory (TL), a unit of Thomson Corp, acquired all the outstanding common stock of NewsEdge Corp (NEC), a provider of online news services, via a tender offer for $2.3 in cash per share, or a total value of $42.995 mil. Earlier, TL completed its tender offer for NEC by accepting 17.688 mil shares, or 94.987% of NEC's common shares outstanding. The offer was conditioned upon at least a majority of NEC's shares being tendered.</t>
  </si>
  <si>
    <t>Children's Comprehensive Svcs</t>
  </si>
  <si>
    <t>Pvd education,treatment svcs</t>
  </si>
  <si>
    <t>Ameris Acquisition Inc</t>
  </si>
  <si>
    <t>US - Ameris Acquisition Inc (AAI), a unit of Kids Holdings Inc, acquired all the outstanding common stock of Children's Comprehensive Services Inc (CCS), a provider of education and treatment services, for $6 in cash per share, for a total value $44.116 mil. The transaction was to be contingent upon AAI's completion of necessary financing arrangements and the merger approval of CCS shareholders. Concurrent to the merger agreement, CCS amended its poison pill to exempt AAI from all provisions of the rights agreement.</t>
  </si>
  <si>
    <t>Gyrodyne Co Of America</t>
  </si>
  <si>
    <t>K Capital Partners LLC</t>
  </si>
  <si>
    <t>US - K Capital Partners LLC withdrew its plans to acquire all the outstanding common stock of Gyrodone Co of America Inc, an owner and operator of non residential real estate, for $19 per common share, or a total value of $21.576 mil.</t>
  </si>
  <si>
    <t>Cheap Tickets Inc</t>
  </si>
  <si>
    <t>US - Cendant Corp (CC) acquired all the outstanding common stock of Cheap Tickets Inc (CT), a travel agency, for $16.50 in cash per share, or a total value of $413.337 mil. Earlier, CC completed its tender offer for CT by accepting 21.845 mil shares, or 90% of CT's common shares outstanding. The offer was conditioned upon at least a majority of CT's shares being tendered on a fully diluted basis.</t>
  </si>
  <si>
    <t>Hartmarx Corp</t>
  </si>
  <si>
    <t>Mnfr,ret men's,women's apparel</t>
  </si>
  <si>
    <t>Lincoln Company LLC</t>
  </si>
  <si>
    <t>US - Lincoln Company LLC, an investor group comprised of Tom James Co and Robert A Abboud, withdrew its plans to acquire the remaining 95% interest, which it did not already own, or 28.546 mil common shares, in Hartmarx Corp (HC), a manufacturer and retailer of men's designer clothing, for $4.5 in cash per share, or a total value of $132.453 mil, via a tender offer. Previously, in December 1995, HC adopted a poison pill takeover defense.</t>
  </si>
  <si>
    <t>Hungry Minds Inc</t>
  </si>
  <si>
    <t>John Wiley &amp; Sons Inc</t>
  </si>
  <si>
    <t>Publish books,magazines</t>
  </si>
  <si>
    <t>US - John Wiley &amp; Sons (JW) acquired all the outstanding common stock of Hungry Minds Inc (HM), a publisher of computer, business, and self- help books designed to make learning accessible and fun, from International Data Group (IDG), for $6.09 in cash per share, or a total value of $182.344 mil, including the assumption of $92.5 mil in liabilities. Earlier, JW completed its tender for HM by accepting 98%, or 14.457 mil common shares, of HM's common shares outstanding. The offer was conditioned upon at least a majority of HM's shares being tendered on a fully diluted basis. Previously, in May 2001, IDG announced that it was seeking a buyer for its HM unit.</t>
  </si>
  <si>
    <t>US - A management-led investor group, comprised of Raytel Medical Corp (RMC) CEO Richard Bader, and former director Albert Henry, planned to acquire the remaining 89.13% interest, or 2.601 mil common shares, which it did not already own, in RMC, a provider of healthcare services, in a leveraged buyout transaction.</t>
  </si>
  <si>
    <t>CenturyLink Inc</t>
  </si>
  <si>
    <t>Pvd commun,Internet svcs</t>
  </si>
  <si>
    <t>US - Alltel Corp (AT) withdrew its unsolicited hostile bid to acquire CenturyTel Inc (CT), a provider of local exchange and wireless telecommunications services, in a stock swap transaction valued at $9.403 bil, including the assumption of $3.3 bil in liabilities. AT offered $43 in cash or .6934 common shares per CT share. The offer was subject to proration so that 50% was to be paid in cash and 50% was to be paid in AT common stock. Previously, on August 10 and July 26, CT rejected two undisclosed bids from AT which were never made public. Previously, in August 1996, CT adopted a poison pill takeover defense.</t>
  </si>
  <si>
    <t>Medialink Worldwide Inc</t>
  </si>
  <si>
    <t>Pvd news,media distn svcs</t>
  </si>
  <si>
    <t>United Business Media PLC</t>
  </si>
  <si>
    <t>Publishing co</t>
  </si>
  <si>
    <t>US - United Business Media PLC withdrew its unsolicited offer to acquire all the outstanding common stock of Medialink Worldwide Inc (MW), a provider of multi-media communications solutions services, for $5 in cash per share, or a total value of $29.236 mil. Concurrently, MW adopted a poison pill takeover defense to review the proposal.</t>
  </si>
  <si>
    <t>US - Devon Energy Corp (DE) acquired Mitchell Energy &amp; Development Corp (ME), an oil and gas exploration and production company, in a stock swap transaction valued at $3.486 bil, including the assumption of $400 mil in liabilities. DE offered $31 in cash and .585 common shares per ME share. Based on DE's closing stock price of $50.26 on August 13, the last full trading day prior to announcement, each ME share was valued at $60.402.</t>
  </si>
  <si>
    <t>Jefferies Group Inc</t>
  </si>
  <si>
    <t>Pvd investment banking svcs</t>
  </si>
  <si>
    <t>US - Charles Schwab Corp was rumored to be planning to acquire all the outstanding common stock of Jefferies Group Inc, an investment bank holding company. The Current status of this deal is unknown.</t>
  </si>
  <si>
    <t>Leeds Federal Bankshares Inc</t>
  </si>
  <si>
    <t>Northwest Bancorp,Warren,PA</t>
  </si>
  <si>
    <t>US - Northwest Bancorp Inc (NB), located in Warren, Pennsylvania, a majority- owned unit of Northwest Bancorp, located in Minnesota, acquired the remaining 29. 437% stake, or 1.377 mil common shares, which it did not already own, in Leeds Federal Bankshares Inc (LFB), Baltimore, Maryland, a federal savings bank holding company, for $32 in cash per share, or a total value of $42.957 mil.</t>
  </si>
  <si>
    <t>MCB Financial Corp,California</t>
  </si>
  <si>
    <t>Business Bancorp,California</t>
  </si>
  <si>
    <t>US - Business Bancorp (BB), San Bernardino, California, merged with MCB Financial Corp (MCB), Rafael, California, in a stock swap transaction valued at $30.366 mil. BB offered 1.176 common shares per MCB share. Based on BB's closing stock price of $14.75 on August 15, the last full trading day prior to the announcement, each MCB share was valued at $17.346. Upon completion, the combined entity operated out of San Rafael under the Business Bancorp name. Concurrently, MCB amended its poison pill to exempt BB from all provisions of the rights agreement</t>
  </si>
  <si>
    <t>Open Market Inc</t>
  </si>
  <si>
    <t>Dvlp software;pvd software svc</t>
  </si>
  <si>
    <t>US - Divine Inc (DI) acquired all the outstanding common stock of Open Market Inc, a developer of e- business application software, in exchange for an estimated 44.285 mil DI common shares valued at 54.027 mil. The shares were valued based on DI's closing stock price of $1.22 on August 15, the last full trading day prior to the announcement, each OM share was valued at $1.049. Concurrently, both OM and DI amended their respective poison pills to facilitate the merger agreement.</t>
  </si>
  <si>
    <t>Medjet Inc</t>
  </si>
  <si>
    <t>Pvd med tech research svcs</t>
  </si>
  <si>
    <t>US - Visx Inc (VI) withdrew its option to acquire the remaining 79.786% stake, or 4. 105 mil common shares, of Medjet Inc (MI), a manufacturer of surgical and medical supplies, for $2 in cash per share, or a total value of $8.03 mil in cash. Concurrently, VI acquired a 20.214% stake, or preferred shares convertible into 1.04 mil common shares, in MI.</t>
  </si>
  <si>
    <t>Arnold Industries Inc</t>
  </si>
  <si>
    <t>Trucking co;pvd warehouse svcs</t>
  </si>
  <si>
    <t>Roadway Corp</t>
  </si>
  <si>
    <t>US - Roadway Express Inc (RE) acquired all the outstanding common stock of Arnold Industries Inc (AI), a trucking company, for $21.75 in cash per share, or a total value of $553.682 mil. Upon completion, RE sold the logistics unit of AI back to AI Chief Executive E.H. Arnold.</t>
  </si>
  <si>
    <t>Linn-Benton Bank,Albany,Oregon</t>
  </si>
  <si>
    <t>US - Umpqua Holdings Corp (UH) acquired all the outstanding common stock of Linn-Benton Bank (LBB), Albany, Oregon, a bank, in a stock swap transaction valued at $20.156 mil. UH offer .944 common shares per LBB share for 60% of the outstanding shares, for a value of $11. 652 mil. The remaining 40% was to be paid for with $7. 569 mil in cash. Based on UH's closing stock price of $13.86 on August 20, the last full trading day prior to the announcement, each LBB share was valued at $13.08.</t>
  </si>
  <si>
    <t>Metro Information Services Inc</t>
  </si>
  <si>
    <t>Keane Inc</t>
  </si>
  <si>
    <t>US - Keane Inc (KEA) acquired Metro Information Services Inc (MIS), a provider of information technology consulting and custom software development services and solutions, in a stock swap transaction valued at $205.079 mil, including the assumption of $68 mil in liabilities. KEA offered 0.48 common shares per MIS share. Based on KEA's closing stock price of $18.46 on August 20, the last full trading day prior to the announcement, each MIS share was valued at $8.861.</t>
  </si>
  <si>
    <t>Spectra Physics Inc</t>
  </si>
  <si>
    <t>US - Thermo Electron Corp (TE) acquired the remaining 26.57% interest, or 4.839 mil common shares, which it did not already own, in Spectra Physics Inc (SP), a manufacturer of semiconductors, for an amended $17.50 in cash per share, or a total value of $70.921 mil. Earlier, TE completed an unsolicited tender offer to acquire SP by accepting 3.631 mil common shares or approximately 93.6% of the total outstanding. Originally, TE offered $20 in cash per share, or a total value of $82.885 mil. TE was to bring its total ownership to a 90% interest, then proceed to acquire the remaining 10% through a short- term merger.</t>
  </si>
  <si>
    <t>Homeservices Com Inc</t>
  </si>
  <si>
    <t>Pvd online real estate svcs</t>
  </si>
  <si>
    <t>US - MidAmerican Energy Holdings Co (ME) acquired the remaining 16.5% stake, or 1. 439 mil shares, which it did not already own in HomeServices.com Inc (HS), a real estate brokerage firm, for $17 in cash per share, or a total value of $32.941 mil. Earlier, ME completed its tender offer for HS by accepting 1.295 mil shares, or 90% of HS' common stock outstanding not already held by ME. The offer was conditioned upon at least 90% of all HS's shares being tendered and at least a majority of the total number of shares not already held by ME.</t>
  </si>
  <si>
    <t>Pacific Western National Bank</t>
  </si>
  <si>
    <t>US - First Community Bancorp Inc (FC), Rockford, IL acquired all the outstanding common stock of Pacific Western National Bank, Brea, CA (PW), a bank, for $37.15 in cash per share, or a total value of $32.581 mil. Upon completion, the First Professional Bank and First Community Bank of the Desert subsidiaries of FC, and be renamed Pacific Western Bank NA.</t>
  </si>
  <si>
    <t>Edison International Corp</t>
  </si>
  <si>
    <t>City Light &amp; Power Inc</t>
  </si>
  <si>
    <t>US - City Light &amp; Power Inc (CLP) was rumored to be in negotiations to acquire all the outstanding common stock of Edison International Corp (EIC), an electric utility holding company. The negotiations to acquire EIC were initiated in June 2001, which coincided with a $5.4 bil debt balance, originally issued by the company's Southern California Edison subsidiary. In November 1996, EIC adopted a poison pill takeover defense. The Current status of this deal is unknown.</t>
  </si>
  <si>
    <t>Headhunter.net Inc</t>
  </si>
  <si>
    <t>Pvd web-based employment svcs</t>
  </si>
  <si>
    <t>Career Holdings Inc</t>
  </si>
  <si>
    <t>US - Career Holdings Inc (CH), a unit of Tribune Co and Knight Ridder Inc's CareerBuilder Inc joint venture, acquired all the outstanding stock of Headhunter.net Inc (HHNT), a provider of web-based employment services, for $9. 25 in cash per common share, or a total value of $199.008 mil. Earlier, CH completed its tender offer for HHNT by accepting 20.423 mil shares, or 90% of HHNT's fully diluted shares outstanding. The offer was conditioned upon at least a majority of HHNT's shares being tendered. Concurrently, HHNT amended its poison pill to exempt CH from all provisions of the rights agreement.</t>
  </si>
  <si>
    <t>Prime Group Realty Trust</t>
  </si>
  <si>
    <t>US - An investor group, including Cadim Inc (CI), a unit of Province of Quebec's Caisse De Deopt Et Placement Du Quebec subsidiary, Prime Group Inc (PG) and management of Prime Group Realty Trust (PGR), withdrew plans to launch a tender offer for all the outstanding common stock of PGR, a real estate investment trust, for a sweetened $14.50 in cash per share, or a total value of $255.782 mil. Previously, the investor group offered $14 cash per share for a total value of $247.931. Upon completion, PG and CI were to both hold 49.5% stakes in PGR.</t>
  </si>
  <si>
    <t>Laser Vision Centers Inc</t>
  </si>
  <si>
    <t>Mnfr,lease optomology lasers</t>
  </si>
  <si>
    <t>TLC Laser Eye Centers</t>
  </si>
  <si>
    <t>Own,op eye laser surgery ctrs</t>
  </si>
  <si>
    <t>US - TLC Laser Eye Centers (TLC) merged with Laser Vision Centers Inc (LVCI), a manufacturer and leaser of ophthalmology laser equipment, in a stock swap transaction valued at $179.067 mil. TLC offered .95 shares per LVCI share. Based on TLC's closing stock price of $6.75 on August 26, the last full trading day prior to the announcement, each LVCI share was valued at $6.41. The transaction included a conditional agreement, which was to permit either company to exercise its right to terminate the merger if completion did not occur by May 10, 2002. Upon completion, the combined entity was to be named TLC Vision Corp, and was to become the largest provider of eye surgery In North America.</t>
  </si>
  <si>
    <t>Steelcase Inc</t>
  </si>
  <si>
    <t>Mnfr,whl office furniture</t>
  </si>
  <si>
    <t>US - Steelcase Inc acquired all the outstanding common stock of PolyVision Corp (PVC) , a manufacturer of flat display information panels used in transportation and industrial equipments such as auto display, aircraft instruments, test and medical equipment, and data collection devices, for an estimated $181.406 mil. The consideration was to consist of $2.25 in cash per common share, or a total value of $31.879 mil, an estimated $33 mil in cash for all of PVC's Series B, C and D convertible preferred shares and the assumption of an estimated $103 mil in liabilities.</t>
  </si>
  <si>
    <t>MountainBank Financial Corp</t>
  </si>
  <si>
    <t>US - MoutainBank Financial Corp (MB), located in Hendersonville, North Carolina, merged with First Western Bank (FW), a commercial bank located in Burnsville, North Carolina, in a stock swap transaction valued at $21.071 mil. MB offered .5 shares per FW share. Based on MB's closing stock price of $27.95 on August 27, the last full trading day prior to the announcement, each FW share was valued at $13.975.</t>
  </si>
  <si>
    <t>Westvaco Corp</t>
  </si>
  <si>
    <t>Mnfr pulp,paper and paperboard</t>
  </si>
  <si>
    <t>Mead Corp</t>
  </si>
  <si>
    <t>US - Mead Corp (MC) merged with Westvaco Corp (WC), a manufacturer of pulp, paper, and paperboard, to form MeadWestvaco Corp (MW) in a stock swap, merger of equals, transaction valued at $2.96 bil. WC common shareholders were to receive .97 MW common shares and MC common shareholders were to receive 1 MW common share per share held. Based on MC's closing stock price on August 28, the last full trading day prior to the announcement, each WC share was valued at $29.275. Concurrently, both MC and WC amended their poison pill's to render the rights inapplicable to the merger agreement.</t>
  </si>
  <si>
    <t>NetRadio Corp</t>
  </si>
  <si>
    <t>Pvd radio Internet services</t>
  </si>
  <si>
    <t>Advisory Board Inc</t>
  </si>
  <si>
    <t>Pvd sales training svcs</t>
  </si>
  <si>
    <t>US - Advisory Board Inc, a unit of Cumulus Media Inc, agreed to acquire a 60% interest in NetRadio Corp (NETR), a provider of radio and Internet services, for $1. 05 per NETR common share, for an estimated value of $1.411 mil. In connection with the transaction, Navarre Corp agreed to sell a promissory note representing $3.1 mil of outstanding indebtness owed to it by Netradio to the Selevan Group.</t>
  </si>
  <si>
    <t>US - An investor group, including K Capital Partners, planned to make a challenging offer to acquire all the outstanding common stock of Prime Group Realty Trust (PGR) , a real estate investment trust, for an estimated $14. 50 in cash per common share, or a total value of $256.925 mil. Previously, a management- led investment group, including Cadim Inc (CI), a unit of Province of Quebec's Caisse De Deopt Et Placement Du Quebec subsidiary, and Prime Group Inc (PG), planned to launch a tender offer for all the outstanding common stock of PGR, for $14 in cash per share, or a total value of $247.931 mil.</t>
  </si>
  <si>
    <t>PrimeSource Corp</t>
  </si>
  <si>
    <t>Whl printing,publishing equip</t>
  </si>
  <si>
    <t>Fuji Photo Film USA Inc</t>
  </si>
  <si>
    <t>Mnfr,whl printing presses</t>
  </si>
  <si>
    <t>US - Fuji Photo Film USA Inc (FPFU), a unit of Fuji Photo Film Co Ltd, acquired all the outstanding common stock of PrimeSource Corp (PSC), a wholesaler of printing and publishing equipment, for $10 in cash per share, or a total value of $64.525 mil. Earlier, FPFU completed its tender offer for PSC by accepting 5. 810 mil shares, or 91.39% of PSC's common shares outstanding. The offer was conditioned upon at least 80% of PSC's shares being tendered. Concurrently, PCS amended its posion pill to exempt FPFU from all provisions of its right agreement.</t>
  </si>
  <si>
    <t>US - Hudson River Bancorp Inc, Hudson, New York acquired all the outstanding common stock of Ambanc Holding Co Inc, a savings bank holding company, for $21. 50 in cash per share, or a total value of $100.417 mil.</t>
  </si>
  <si>
    <t>US - Hewlett-Packard Co (HP) acquired all the outstanding common stock of Compaq Computer Corp (CC), a manufacturer of personal computers, in a stock swap transaction valued at $25.263 bil. HP offered .6325 common shares per CC share. Based on HP's closing stock price of $23.21 on August 31, the last full trading day prior to the announcement, each CC share was valued at $14.68. Upon completion, HP shareholders held 64% of the combined company, while CC shareholders held the remaining 36% stake. Concurrently, both CC and HP adopted shareholder rights plans to protect the merger agreement from third party interference.</t>
  </si>
  <si>
    <t>Santa Fe International Corp</t>
  </si>
  <si>
    <t>Pvd oil drilling,constr svcs</t>
  </si>
  <si>
    <t>US - Santa Fe International Corp (SF) acquired Global Marine Inc (GM), a provider of offshore drilling and engineering services as well as oil and gas exploration and production services, in a stock swap merger of equals transaction valued at $4.044 bil, including the assumption of $900 mil in liabilities. SF offered .665 common shares per GM share. Based on SF's closing stock price of $25.30 on August 31, the last full trading day prior to the announcement, each GM share was valued at $16.825. Upon completion of the transaction, GM was to hold a 50.6% interest in the newly formed entity, while SF was to hold the remaining 49.4%. The New company was renamed GlobalSantaFe Corp. SF was 37% owned by Kuwait's Kuwait Petroleum Corp subsidiary.</t>
  </si>
  <si>
    <t>UNB Corp,Canton,Ohio</t>
  </si>
  <si>
    <t>US - UNB Corp, Canton, Ohio (UNB) merged with Bancfirst Ohio Corp, Zanesville, Ohio (BOC), a bank holding company with subsidiaries which perform commercial banking operations, mortgage banking, investment banking services and other related financial activities, in a stock swap merger of equals transaction valued at $219.6 mil. UNB offered 1.325 mil common shares per BOC share. Based on UNB's closing stock price of $18.50 on September 5, the last full trading day prior to the announcement, each BOC share was valued at $24.51. Upon completion of the reverse takeover, BOC shareholders were to own a 52% of the combined company and UNB was hold a 48% stake. Moreover, the new company was to be renamed Unizan Financial Corp.</t>
  </si>
  <si>
    <t>Dynamic Healthcare Technologie</t>
  </si>
  <si>
    <t>Dvlp computer turnkey systems</t>
  </si>
  <si>
    <t>US - Cerner Corp (CC) acquired all the outstanding common and preferred stock of Dynamic Healthcare Technologies Inc (DHT), a developer of computer turnkey systems, in a stock swap transaction valued at an estimated $23.542 mil. CC offered .0548 common shares per DHT share and an estimated $2.2 mil for all of DHT's preferred shares outstanding. Based on CC's closing stock price of $48.06 on September 5, the last full trading day prior to the announcement, each DHT share was valued at $2.634. Upon completion, DHT was renamed Cerner DHT Inc.</t>
  </si>
  <si>
    <t>Al Gonsoulin</t>
  </si>
  <si>
    <t>US - Investor Al Gonsoulin agreed to acquire a 52% interest in Petroleum Helicopters Inc, a provider of personnel transportation services and, to a lesser extent, parts and equipment, to, from, and among offshore platforms via helicopters for customers engaged in the oil and gas exploration, development, and production industry, for an estimated $30.4 mil.</t>
  </si>
  <si>
    <t>Potters Financial Corp</t>
  </si>
  <si>
    <t>US - United Community Financial Corp, Youngstown, Ohio acquired all the outstanding common stock of Potters Financial Corp, East Liverpool, Ohio, a unitary savings and loan holding company providing residential and commercial real estate loans, home equity lines of credit, and commercial and consumer loans, for $22 in cash per share, or a total value of $23.456 mil.</t>
  </si>
  <si>
    <t>US - Dominion Resources Inc (DR) acquired all the outstanding common stock of Louis Dreyfus Natural Gas Corp (LD), an oil and gas exploration and production company, in a stock swap transaction valued at $2.246 bil, including the assumption of $505 mil in liabilities. DR offered $20 in cash and . 3226 common shares per LD share. Based on DR's closing stock price of $62.63 on September 7, the last full trading day prior to the announcement, each LD share was valued at $40.204</t>
  </si>
  <si>
    <t>American Coin Merchandising</t>
  </si>
  <si>
    <t>Own,op amusement machines</t>
  </si>
  <si>
    <t>US - An investor group, comprised of Wellspring Capital Management LLC and Knightsbridge Holdings LLC, acquired all the outstanding common stock of American Coin Merchandising Inc, an owner and operator of coin-operated amusement devices, for $8.50 in cash per share, or a total value of $58.948 mil, and the assumption of an undisclosed amount in liabilities.</t>
  </si>
  <si>
    <t>Community Savings Bankshares</t>
  </si>
  <si>
    <t>BankAtlantic Bancorp,FL</t>
  </si>
  <si>
    <t>US - BankAtlantic Bancorp, Fort Lauderdale, Florida, acquired all the outstanding stock of Community Savings Bankshares Inc, North Palm Beach, Florida, a savings and loan holding company, for $19 in cash per share, or a total value of $171.201 mil.</t>
  </si>
  <si>
    <t>Luminent Inc</t>
  </si>
  <si>
    <t>Mnfr fiber-optic components</t>
  </si>
  <si>
    <t>MRV Communications Inc</t>
  </si>
  <si>
    <t>US - MRV Communications Inc (MRV) acquired all the outstanding common shares, which it did not already own, in Luminent Inc (LUM), a provider of fiber optic products, in a stock swap transaction valued at $15.082 mil. Based on MRV's closing stock price on October 5, the last full trading day prior to the announcement of the terms, each LUM share was valued at $1.256.</t>
  </si>
  <si>
    <t>RWE AG</t>
  </si>
  <si>
    <t>US - Rheinisch- Westfaelisches Elektrizitaetswerk AG (RWE) acquired all the outstanding common stock of American Water Works Co Inc (AW), a water utility, for $46 in cash per share, or a total value of $7.726 bil, including the assumption of $3.126 bil in liabilities. Originally in August 2001, RWE was rumored to be in negotiations to acquire AW. Concurrently, AW amended its poison pill to exempt RWE from all provisions of the rights agreement.</t>
  </si>
  <si>
    <t>Titanium Metals Corp</t>
  </si>
  <si>
    <t>Mnfr titanium,iron,steel prod</t>
  </si>
  <si>
    <t>US - Titanium Metals Corp (TM) withdrew its plans to acquire an 81.5% interest in NL Industries Inc (NL), a manufacturer of titanium dioxide pigments, from Valhi Inc, a unit of Contran Corp's Amalgamated Group Inc subsidiary, and Tremont Corp, for an estimated $943.405 mil. TM offered 2 common shares and the principal amount of $12 in TM debt securities per NL share. Based on TM's closing stock price of $5.69 on September 18, the last full trading day prior to announcement, each NL share was valued at $23.38.</t>
  </si>
  <si>
    <t>US - Titan Corp (TI) acquired BTG Inc (BTG) , a developer of system analysis software, in a stock swap transaction valued at $165. 586 mil, including the assumption of $32 mil in liabilities. TI offered 0. 43578 common shares and $2. 5365 in cash per BTG share. Based on TI's closing stock price of $25.70 on November 27, the last full trading day prior to the announcement of the final terms, each BTG share was valued at $17.321.</t>
  </si>
  <si>
    <t>Castle BancGroup Inc,IL</t>
  </si>
  <si>
    <t>First Natl of Nebraska Inc</t>
  </si>
  <si>
    <t>Pvd finl svcs,hldg co</t>
  </si>
  <si>
    <t>US - First National of Nebraska Inc, Omaha, Nebraska, acquired all the outstanding common stock of Castle Bancgroup Inc, a commercial bank holding company, for $18 in cash per share or a total value of $82.013 mil.</t>
  </si>
  <si>
    <t>IVC Industries Inc</t>
  </si>
  <si>
    <t>Mnfr vitamins</t>
  </si>
  <si>
    <t>Inverness Medical Innovations</t>
  </si>
  <si>
    <t>Mnfr health supplements</t>
  </si>
  <si>
    <t>US - Inverness Medical Innovations Inc (IMI), a unit of Inverness Medical Technology Inc (IMT), acquired all the outstanding common stock of IVC Industries Inc (IVC), a manufacturer of vitamin tablets, vitamin capsules, vitamin oils, herbal formulations and nutritional supplements, for $2.50 in cash per share, or a total value of $5.248 mil. Previously, IMI offered a choice of $2.50 in cash per share, restricted common stock, or combination of both. Concurrently, Johnson &amp; Johnson (JJ) agreed to acquire all the outstanding stock of the diabetes business of IMT. The deal was contigent upon the completion of JJ's acquisition of IMT.</t>
  </si>
  <si>
    <t>US - SBC Communications Inc (SBC) acquired the remaining 70.481 mil common shares, or 58% interest, which it did not already own, in Prodigy Communications Corp (PDG), an Internet Service Provider, for a sweetened $6.60 in cash per PDG common share, or a total value of $467.118 mil, by accepting 63.85 mil common shares, or about 52.8% of PDG's shares outstanding. Originally, SBC offered $5.45 per share, or a total value of $384.121 mil. The offer was conditioned upon at least a majority of the remaining shares outstanding of PDG being tendered. Prior to the offer, SBC held 50.448 mil operating partnership units convertible into common stock on a one-for-one basis. Carso Global Telecom and Telmax owned a combined 41.91 mil common shares.</t>
  </si>
  <si>
    <t>Illuminet Holdings Inc</t>
  </si>
  <si>
    <t>US - VeriSign Inc (VI) acquired all the outstanding common stock of Illuminet Holdings Inc (IH), a provider of telecommunications signalling services, in a stock swap transaction valued at $1.257 bil. VI offered .93 common shares per IH share. Based on VI's closing stock price of $38.30 on September 21, the last full trading day prior to the announcement, each IH share was valued at $35.619.</t>
  </si>
  <si>
    <t>Imatron Inc</t>
  </si>
  <si>
    <t>Mnfr diagnostic imaging device</t>
  </si>
  <si>
    <t>US - GE Medical Systems, a unit of General Electric Co (GE), acquired all the outstanding common stock of Imatron Inc (II), a manufacturer of diagnostic imaging devices, in a stock swap transaction valued at $202.698 mil. GE offered $1. 89 in GE common stock per II common share.</t>
  </si>
  <si>
    <t>Encore Marketing International</t>
  </si>
  <si>
    <t>Membership marketing services</t>
  </si>
  <si>
    <t>US - Encore Marketing International Inc (EM) withdrew its challenging offer to acquire the all the outstanding common stock of LifeMinders Inc (LM), a provider of online direct marketing services including personalized content and advertisements via e-mail to a community of members, for $61.51 mil. The consideration was to consist of an amended $1.262 cash and $1.049 in EM common stock per LM comon share. Previously, Cross Media Marketing Corp agreed to acquire all the outstanding common stock of LM. The original consideration was to consist of $1.086 cash and $1.225 in EM common stock per LM comon share.</t>
  </si>
  <si>
    <t>Aero Systems Engineering Inc</t>
  </si>
  <si>
    <t>Mnfr aircraft and auto parts</t>
  </si>
  <si>
    <t>Minnesota ASE LLC</t>
  </si>
  <si>
    <t>US - Minnesota ASE LLC acquired a 51% interest, or 2. 245 mil common stocks in Aero Systems Engineering Inc (ASE), a manufacturer of aircraft and automobile parts, for $0. 85 US per share, or a total value of $1.908 mil US . Previously, Saab Aerospace acquired 80% of ASE via the acquisition of ASE former Swedish 80% owner-Celsius.</t>
  </si>
  <si>
    <t>Autologic Information Intl Inc</t>
  </si>
  <si>
    <t>Agfa-Gevaert NV</t>
  </si>
  <si>
    <t>Mnfr,whl photo equipment</t>
  </si>
  <si>
    <t>US - Afga-Gevaert NV (AG) acquired all the outstanding common stock of Autologic Information International(AII) , a manufacturer of data processing equipment, via a tender offer for $7.127 in cash per share, or a total value of $41.775 mil. Earlier AG completed its tender offer by accepting 5.661 mil common shares, or about 97.8% of AII's shares outstanding. The offer was conditioned upon at least a majority of AII's shares being tendered.</t>
  </si>
  <si>
    <t>First Union RE Equity Mtg Inv</t>
  </si>
  <si>
    <t>Gotham Partners LP</t>
  </si>
  <si>
    <t>US - Gotham Partners LP (GP) withdrew its definitive agreement to acquire all the outstanding common stock of First Union Real Estate Equity &amp; Mortgage Investments (FU), a real estate investment trust, from First Union Corp for a twice amended, estimated $107.464 mil. FU shareholders had a choice between $2.33 in cash per share, or $1.98 in cash per share plus a pro-rata share of a note backed by real estate assets. Originally, GP offered $2.70 in cash per share, or a total value of $124.529 mil. Subesequently, GP offered $2. 55 in cash per share, or a total value of $119.308 mil. Upon completion, the combined entity was to be named Gotham Golf Corp.</t>
  </si>
  <si>
    <t>Orion Power Holdings Inc</t>
  </si>
  <si>
    <t>Pvd electric power svc</t>
  </si>
  <si>
    <t>Reliant Resources Inc</t>
  </si>
  <si>
    <t>Pvd electricity &amp; energy svcs</t>
  </si>
  <si>
    <t>US - Reliant Resources Inc acquired all the outstanding common stock of Orion Power Holdings Inc (OP), a provider of electric power generating services, for $26.80 in cash per OP common share, or a total value of $5,016 bil, including the assumption of $1.8 bil in liabilities.</t>
  </si>
  <si>
    <t>Genesis Microchip Inc</t>
  </si>
  <si>
    <t>US - Genesis Microchip Inc (GMI) acquired Sage Inc (SI), a manufacturer, designer, and marketer of high performance digital display processors, in a stock swap transaction valued at $237.568 mil. GMI offered .571 common shares per SI share. Based on GMI's closing stock price of $27.30 on September 27, the last full trading day prior to the announcement, each SI share was valued at $15.59. Concurrently, SI amended its poison pill to exempt GMI from all provisions of its rights agreement.</t>
  </si>
  <si>
    <t>NCH Corp</t>
  </si>
  <si>
    <t>Mnfr,whl maintenance products</t>
  </si>
  <si>
    <t>Irvin Levy</t>
  </si>
  <si>
    <t>US - An investor group (IG), comprised of Mr. Irvin Levy and Levy family members, acquired the remaining 43%, or 2.282 mil common shares, which it did not already own, in NCH Corp (NCH), a manufacturer and wholesaler of maintenance products, for a sweetened $52.50 per share, or a total value of $121.529 mil. Earlier, the IG completed its tender offer for NCH by accepting 2.391 mil common shares, or a cumulative 93.76% of NCH's common shares outstanding, on a fully-diluted basis. Originally, IG offered $47.50 per share, or a total value of $110.127 mil. The offer was conditioned upon at least 90% of NCH's shares being tendered. Upon completion, NCH was delisted from the New York Stock Exchange.</t>
  </si>
  <si>
    <t>FirstFed Amer Bancorp Inc,MA</t>
  </si>
  <si>
    <t>US - FirstFed America Bancorp Inc (FAB) acquired all the outstanding common stock of People's Bancshares Inc (FBI), a commercial bank holding company engaged principally in the business of attracting deposits from individuals, businesses and governmental entities, for $77.805 mil. FAB offered a choice of $22 in cash or 1. 2644 common shares per FBI share, subject to the requirement that 55% of the total consideration was to be paid in cash and 45% in common stock.</t>
  </si>
  <si>
    <t>Virata Corp</t>
  </si>
  <si>
    <t>GlobeSpan Inc</t>
  </si>
  <si>
    <t>Mnfr DSL integrated circuits</t>
  </si>
  <si>
    <t>US - GlobeSpan Inc (GSI) merged with Virata Corp (VC), a developer of integrated software, in a merger of equals stock swap transaction valued at $629.854 mil. GSI offered 1.02 shares per VC share. Based on GSI's closing stock price of $9.04 on September 28, the last full trading day prior to announcement, each VC share was valued at $9.22. Upon completion of the transaction, the combined company was 52. 5% owned by GSI shareholders and 47.5% owned by VC shareholders, and the new entity was named GlobeSpanVirata Inc. Concurrently, VC amended its poison pill to exempt GSI from all provisions of its rights agreement.</t>
  </si>
  <si>
    <t>MEMC Electronic Materials Inc</t>
  </si>
  <si>
    <t>Manufacture silicon wafers</t>
  </si>
  <si>
    <t>US- Texas Pacific Group Inc acquired a 71.8% interest in MEMC Electronic Materials Inc, a manufacturer of silicon wafers, from Degussa-Huels AG, a majority-owned unit of E. ON AG. Previously, in September 1999, Huels AG, a majority-owned unit of E.ON AG, announced that it was seeking a buyer for its 71.8% interest, or 49.37 mil common shares, in its majority-owned MEMC unit. This transaction was part of the Veba AG merger agreement with Viag AG.</t>
  </si>
  <si>
    <t>Peoples Financial Corp,Ohio</t>
  </si>
  <si>
    <t>National Bancshares Corp</t>
  </si>
  <si>
    <t>US - National Bancshares Corp, Orville, Ohio, merged with Peoples Financial Corp, Massilon, Ohio, a commercial bank , for $12.25 in cash per share, or a total value of $15.166 mil.</t>
  </si>
  <si>
    <t>First Community Financial Corp</t>
  </si>
  <si>
    <t>Capital Bank Corp,Raleigh,NC</t>
  </si>
  <si>
    <t>US - Capital Bank Corp (CB), located in Raleigh, North Carolina, acquired all the outstanding common stock of First Community Financial Corp (FC), a bank holding company located in Burlington, North Carolina, for $51.544 mil. The shareholders were given a choice of $16.20 in cash plus 1.30275 common shares per share, 2.6055 common shares per share, or $32.40 in cash per share. The shares were valued based on CB's closing stock price of $11.05 on October 4, the last full trading day prior to the announcement.</t>
  </si>
  <si>
    <t>Zengine Inc</t>
  </si>
  <si>
    <t>Pvd e-commerce svcs</t>
  </si>
  <si>
    <t>US - MCSi Inc (MC) acquired the remaining 41.5% stake, or 6.065 mil common shares, which it did not already own, in Zengine Inc (ZG), a provider of ecommerce services, in a stock swap transaction valued at $24.465 mil. MC offered .2259 common shares, per ZG share. Based on MC's closing stock price of $16.83 on October 4, the last full trading day prior to the announcement, each ZG share was valued at $3.80. Earlier, MC completed a tender offer for ZG by acquiring 5.875 mil common shares, or about 98.7% of ZG's shares outstanding.</t>
  </si>
  <si>
    <t>Ackerley Group Inc</t>
  </si>
  <si>
    <t>US - Clear Channel Communications Inc (CC) acquired Ackerley Group Inc (AG), a provider of out-of- home media services, in a stock swap transaction valued at $798.211 mil, including the assumption of $303 mil in liabilities. CC offered .35 common shares per AG share. Based on CC's closing stock price of $38.88 on October 5, the last full trading day prior to the announcement, each AG share was valued at $13.61.</t>
  </si>
  <si>
    <t>Blimpie International Inc</t>
  </si>
  <si>
    <t>US - An investor group, including Mr. Jeffrey Endervelt and Mr. Tony Conza, acquired all the outstanding common stock of Blimpie International Inc (BPI), an owner and operator of restaurants, for $2.80 in cash per share, or a total value of $25.813 mil. The transaction was to allow BPI to realize greater value as a private entity, while providing the investor group with an avenue for improving the company's branding. Upon completion of the going private transaction, BPI was to be delisted from the American Stock Exchange.</t>
  </si>
  <si>
    <t>AT&amp;T Wireless Services Inc</t>
  </si>
  <si>
    <t>Pvd celullar telecom svcs</t>
  </si>
  <si>
    <t>US - AT&amp;T Wireless Services Inc (ATT), a unit of AT&amp;T Corp, acquired the remaining 77% interest, or 139.371 mil common shares, which it did not already own, in TeleCorp PCS Inc (TCP), a provider of wireless telecommunications services, in a stock swap transaction valued at $4.785 bil, including the assumption of $2.1 bil in liabilities and $221 mil in preferred securities. ATT offered .9 common shares per TCP share. Based on ATT's closing stock price of $16.12 on October 5, the last full trading day prior to announcement, each TCP share was valued at $14. 508.</t>
  </si>
  <si>
    <t>Carnegie Financial Corp,PA</t>
  </si>
  <si>
    <t>Commercial bank,pvd finl svcs</t>
  </si>
  <si>
    <t>US - Fidelity Bancorp Inc, Pittsburgh, Pennsylvania (FBI) acquired all the outstanding common stock of Carnegie Financial Corp, Carnegie, Pennsylvania (CFC), a commercial bank and provider of financial services, for $3. 418 mil. FBI offered a choice of $14.75 in cash or common stock per CFC share. The transaction was subject to a proration whereby no less than 50.1% and no more than 55% of the outstanding common stock of CFC was to be exchanged for FBI common stock.</t>
  </si>
  <si>
    <t>TD Waterhouse Group Inc</t>
  </si>
  <si>
    <t>Pvd online brokerage svcs</t>
  </si>
  <si>
    <t>US - Toronto-Dominion Bank (TDB) acquired the remaining 11.2% stake, or 42.374 mil common shares , which it did not already own, in TD Waterhouse Group Inc (TDW), a provider of online broker services, for a sweetened $9. 50 in cash per share, or a total value of $402.556 mil. Earlier, TDB completed its tender offer for TDW by accepting 28.981 mil shares, or 68.39% of the remaining publicly held shares, bringing the total shares owned to 96.46%. Originally, TBD offered $9 in cash per share, or a total value of $381.369 mil. The offer was conditioned upon at least a majority of the remaining publicly held TDW shares outstanding being tendered.</t>
  </si>
  <si>
    <t>Liberty Digital Inc</t>
  </si>
  <si>
    <t>Pvd interactive TV svcs</t>
  </si>
  <si>
    <t>US - Liberty Media Corp (LM) acquired the remaining 10.37% interest, or 21.279 mil common shares, that it did not already own, in Liberty Digital Inc (LD), a provider of interactive TV services, in a stock swap transaction valued at $69.108 mil. LM offered .25 Series A common shares per LD Series A share. Based on LM's closing Series A stock price of $12.90 on October 10, the last full trading day prior to the announcement, each LD share was valued at $3.225.</t>
  </si>
  <si>
    <t>Liberty Satellite &amp; Tech Inc</t>
  </si>
  <si>
    <t>Pvd pay TV services</t>
  </si>
  <si>
    <t>US - Liberty Media Group withdrew its agreement to acquire the remaining 11% stake, or 8.277 mil common shares, which it did not already own in Liberty Satellite &amp; Technology Inc, a provider of cable TV services, in a stock swap transaction valued at $9.61 mil. LM offered .09 Series A common shares per LS common share. Based on LM's closing stock price of $12.9 on October 11, the last full trading day prior the announcement, each LS share was valued at $1.161.</t>
  </si>
  <si>
    <t>IIC Industries Inc</t>
  </si>
  <si>
    <t>Closed-end mgmt invt fund</t>
  </si>
  <si>
    <t>CP Holdings Ltd</t>
  </si>
  <si>
    <t>Commodity contracts brokerage Company</t>
  </si>
  <si>
    <t>Isle of Man</t>
  </si>
  <si>
    <t>US - CP Holdings Ltd launched a tender offer to acquire the remaining 20% stake, or 1.138 mil common shares, which it did not already own in IIC Industries Inc, a holding company as well as a provider of processing and storage services for agricultural products and, to a lesser extent, in the sales and service of vehicles and the warehousing and warrant business, for $10.50 in cash per share, or a total value of $11.956 mil.</t>
  </si>
  <si>
    <t>Lafayette Bancorp,Lafayette,IN</t>
  </si>
  <si>
    <t>First Merchants Corp</t>
  </si>
  <si>
    <t>US - First Merchants Corp (FM), located in Muncie, Indiana, merged with Lafayette Bancorp (LB), Lafayette, Indiana, a commercial bank holding company, in a stock swap transaction valued at $105. 666 mil. FM offered a choice of $30 in cash per share or 1. 11 common shares per LB share, whereby no more than $50.329 mil was to be paid in cash. There were allocations of stock to certain shareholders if the threshold was exceeded. Based on FM's closing stock price of $23.43 on October 12, the last full trading day prior to the announcement, each LB share was valued at $26.01.</t>
  </si>
  <si>
    <t>Motor Cargo Industries</t>
  </si>
  <si>
    <t>Overnite Transportation Co</t>
  </si>
  <si>
    <t>US - Overnite Holdings Inc (OH), a unit of Union Pacific Corp (UP), acquired all the outstanding common stock of Motor Cargo Industries (MC), a provider of trucking services, in a stock swap tender offer valued at $81.26 mil. Earlier, OH completed its tender offer for MC by accepting 6.709 mil shares, or 98.23% of MC's common stock outstanding. OH offered a choice of $12.10 in cash or .26 UP common shares per MC share. Based on UP's closing stock price of $47.21 on October 12, the last full trading day prior to the announcement, each MC share was valued at $12.2746.</t>
  </si>
  <si>
    <t>WellPoint Health Networks Inc</t>
  </si>
  <si>
    <t>US - WellPoint Health Networks Inc (WH) merged with Missouri Foundation's (MF) majority owned RightChoice Managed Care Inc (RM) subsidiary, an owner and operator of HMOs and PPOs, for $1.347 bil. WH offered a choice of $66 in cash or . 6161 common shares per RM common share, subject to the requirement that the cash portion of the consideration was not to exceed 30% of the total transaction value. MF held a 57% interest in RM prior to the transaction.</t>
  </si>
  <si>
    <t>Devx Energy Inc</t>
  </si>
  <si>
    <t>Comstock Resources Inc</t>
  </si>
  <si>
    <t>US - Comstock Resources Inc acquired all the outstanding common stock of Devx Energy Inc, an oil and gas producer, via a tender offer for $7.32 in cash per share, or a total value of $93.547 mil. Earlier, CR completed its tender offer for DE by accepting 12. 284 shares, or 97% of DE's common shares outstanding. The offer was conditioned upon at least a majority of DE's shares being tendered.</t>
  </si>
  <si>
    <t>Liquid Audio Inc</t>
  </si>
  <si>
    <t>US - Steel Partners II LP made an unsolicited bid to acquire the remaining 91.8% interest it did not previously own of Liquid Audio Inc, a developer of Internet software enabling the secure digital delivery and sale of recorded music over the Internet, for $3 in cash per share, or a total value of $62.755 mil.</t>
  </si>
  <si>
    <t>Quitman Bancorp Inc</t>
  </si>
  <si>
    <t>Colony Bankcorp,Fitzgerald,GA</t>
  </si>
  <si>
    <t>US - Colony Bankcorp Inc (CB) , located in Fitzgerald, Georgia, acquired Quitman Bancorp Inc (QI), a bank holding company, located in Quitman, Georgia, in a stock swap transaction valued at $6. 828 mil. CB offered $4.41 in cash and .683 shares per QI share. Based on CB's closing stock price of $13.25 on October 19, the last full trading day prior to the announcement, each QI share was valued at $13.46.</t>
  </si>
  <si>
    <t>Schuler Homes Inc</t>
  </si>
  <si>
    <t>Design,build,mkt homes</t>
  </si>
  <si>
    <t>US - DR Horton Inc (DR) acquired Schuler Homes Inc (SH), a designer, builder, and marketer of single family homes, in a stock swap transaction valued at $1.516 bil, including the assumption of $552 mil in liabilities. DR offered $4.09 in cash and . 487 common shares per SH share. Based on DR's closing stock price of $36.70, the last full trading day prior the announcement of the exact exchange ratio, each SH share was valued at $21.963. Originally, DR offered $4.09 in cash and .57 common shares per SH share, subject to a collar agreement which was subsequently breached. Based on DR's closing stock price of $21.10 on October 22, the last full trading day prior to announcement, each SH share was originally valued at $16.117. SH shareholders were to have the right to elect to receive the combination of cash and stock described above, or all cash or all stock, subject to proration in order to limit the total amount of cash consideration to be paid to an aggregate of $4.09 multiplied by total SH shares outstanding.</t>
  </si>
  <si>
    <t>American Realty Investors</t>
  </si>
  <si>
    <t>US - American Realty Investors (ARI), a majority- owned unit of Basic Capital Management Inc, terminated its tender offer to acquire the remaining 35.5% interest, or 3.066 mil common shares, which it did not already own, in Transcontinental Realty Investors Inc (TRI), a real estate investment trust, for $17.50 in cash per share, or a total value of $59.074 mil. TRI shareholders were to have the right to elect to recieve 1 series G preferred share convertible into 2.5 ARI common shares per share, in lieu of the cash consideration. Concurrently, ARI agreed to acquire the remaining 40.1% interest, which it did not already own, in Income Opportunity Realty Investors Inc (ORI). Upon completion of the transactions, TRI and ORI were to be delisted from their respective exchanges, and the companies were to continue operations as subsidiaries of ARI.</t>
  </si>
  <si>
    <t>PRI Automation Inc</t>
  </si>
  <si>
    <t>Dvlp automation sytems</t>
  </si>
  <si>
    <t>Brooks Automation Inc</t>
  </si>
  <si>
    <t>Pvd automation solutions</t>
  </si>
  <si>
    <t>US - Brooks Automation Inc (BRK) acquired PRI Automation Inc (PRI), a manufacturer and wholesaler of automation systems, in a stock swap transaction valued at $440. 691 mil. BRK offered 0.52 shares per PRI share. Based on BRK's closing stock price of $33.11 on October 23, the last full trading day prior to announcement, each PRI share was valued at $17.217. Upon completion, the combined company, which was renamed Brooks-PIR Automation Inc, was 61% owned by BRK shareholders and 39% owned by PRI shareholders. Concurrently, PRI amended its poison pill to exempt BRK from all provisions of its rights agreement.</t>
  </si>
  <si>
    <t>Vysis Inc(BP PLC)</t>
  </si>
  <si>
    <t>US - Abbott Laboratories (AL) acquired all the outstanding common stock of Vysis Inc (VI) , a manufacturer of diagnostic substances, and a majority-owned unit of BP PLC, for $30.50 in cash per share, or a total value of $364.788 mil. Earlier, AL completed the tender offer by accepting 10.193 mil shares, or 99.42% of VI's common shares outstanding. The offer was conditioned upon at least 51% of VI's shares being tendered.</t>
  </si>
  <si>
    <t>Ecometry Corp</t>
  </si>
  <si>
    <t>Pvd software solutions</t>
  </si>
  <si>
    <t>SG Merger Corp</t>
  </si>
  <si>
    <t>US - SG Merger Corp, a company owned by Willburn W. Smith, Chairman and Executive Vice President of Sales, and Allan J. Gardner, Chief Technology Officer and Director, acquired the remaining 65.144% interest, or 8.123 mil common shares, which it did not already own, in Ecometry Corp (EC), a provider of integrated software solutions, for $2.70 in cash per share, or a total value of $21.938 mil, in a leveraged buyout transaction. On completion, EC common stock ceased to be publicly traded on Nasdaq, and the combined entity was to keep the EC name. Subsequently, Citrus Merger Corp, a unit of Syngistix Inc, withdrew its agreement to acquire all the outstanding common stock of EC in a challenging bid, for $2.90 in cash per share.</t>
  </si>
  <si>
    <t>Produce oil,gas products</t>
  </si>
  <si>
    <t>3TEC Energy Corp</t>
  </si>
  <si>
    <t>Produce oil,gas</t>
  </si>
  <si>
    <t>US - 3TEC Energy Corp acquired the remaining 20% stake, or .269 mil common shares, which it did not already own, in Enex Resources Corp, an oil and gas trader, for $14 in cash per share, or a total value of $3.759 mil.</t>
  </si>
  <si>
    <t>Cabot Industrial Trust</t>
  </si>
  <si>
    <t>CalWest Industrial Ppty</t>
  </si>
  <si>
    <t>US - Calwest Industrial Properties LLC (CAL), a joint venture between California Public Employees Retirement Systems and RREEF America Income &amp; Growth REIT Inc, acquired all the outstanding common stock of Cabot Industrial Trust (CIT), a real estate investment trust, formed to expand the national industrial real estate business of Cabot Partners, for $24 in cash per share, or a total value of $1.928 bil, including the assumption of $925 mil in the assumption of liabilities and preferred stock. Earlier, CAL completed its tender offer for CIT by accepting 39.869 mil shares, or 97% of CIT's common shares outstanding. The offer was conditioned upon two-thirds of CIT's shares being tendered.</t>
  </si>
  <si>
    <t>FMC Technologies Inc</t>
  </si>
  <si>
    <t>Mnfr,whl industrial prod</t>
  </si>
  <si>
    <t>US - FMC Corp completed the spinoff of the remaining 83% interest, or 53.95 mil common shares, in FMC Technologies Inc, a manufacturer of machinery used in the oil and gas exploration and production industry, to its shareholders in a transaction valued at an estimated $741. 182 mil. FMC common shareholders were to receive 1.7 FMT shares per FMC share held. The shares were valued based on FMT's closing stock price of $16.45 on December 31st, the first full trading day on which the shares were distributed. Previously, in June 2001, the remaining 17% of FMT was sold in an initial public offering.</t>
  </si>
  <si>
    <t>net.Genesis Corp</t>
  </si>
  <si>
    <t>US - SPSS Inc (SP) acquired all the outstanding common stock of net.Genesis Corp (NG) , a developer of software for Internet systems management, in a transaction valued at $43.028 mil. SP offered .097 common shares per NG share. Based on SP's closing stock price of $18.87 on October 26, the last full trading day prior to the announcement, each SP shares was valued at $1.83.</t>
  </si>
  <si>
    <t>CrossWorlds Software Inc</t>
  </si>
  <si>
    <t>Dvlp ebusiness software</t>
  </si>
  <si>
    <t>US - International Business Machines Corp (IBM) acquired all the outstanding common stock of CrossWorlds Software Inc (CR), a developer of ebusiness software, for $4.65 in cashper share, or a total value of $126.101 mil.</t>
  </si>
  <si>
    <t>Income Opportunity Realty Inv</t>
  </si>
  <si>
    <t>Sutter Capital Management LLC</t>
  </si>
  <si>
    <t>US - Sutter Capital Management LLC (SCM) acquired the remaining 97.7% interest, or 1.479 mil outstanding common shares, which it did not already own, of Income Opportunity Realty Investors Inc (IOR), a real estate investment trust and majority- owned unit of American Realty Investors (ARI), for a sweetened $26 per share in 10 year 8% senior notes, or a total value of $37.851 mil. Originally, SCM offered $25 in 10 year 8% senior notes per IOR share. Previously ARI, a majority-owned unit of Basic Capital Management Inc, agreed to acquire the remaining 40.1% or .607 mil common shares, which it did not already own, in IOR.</t>
  </si>
  <si>
    <t>Vineyard National Bancorp</t>
  </si>
  <si>
    <t>US - Vineyard National Bank, located in Rancho Cucamonga, California, withdrew its agreement to acquire all the outstanding common stock of Life Financial Corp, a savings and loan holding company located in Riverside, California.</t>
  </si>
  <si>
    <t>NetSilicon Inc</t>
  </si>
  <si>
    <t>Mnfr networking silicon chips</t>
  </si>
  <si>
    <t>Digi International Inc</t>
  </si>
  <si>
    <t>US - Digi International Inc (DII) acquired NetSilicon Inc (NSI), a manufacturer of networking system-on-silicon line of semiconductor devices, and a majority-owned unit of Osicom Technology Inc, in a stock swap transaction valued at $50.316 mil. DII offered . 65 common shares per NSI share, whereby NSI shareholders were to have a choice to receive all cash, all stock, or a mix of cash and stock, subject to proration whereby the maximum cash consideration was not to exceed $15 mil. Based on DII's closing stock price of $5.50 on October 29, the last full trading day prior to the announcement, each NSI share was valued at $3.58. Shareholders who do not make an election were to receive stock. Shareholders electing to receive cash were to receive cash per share of NSI stock equal to the exchange ratio times the average per share closing price of DII common stock during a defined period ending shortly before the acquisition. If cash elections exceed $15 mil, all requests were to be prorated among the electing stockholders with the balance paid in stock.</t>
  </si>
  <si>
    <t>Odwalla Inc</t>
  </si>
  <si>
    <t>Wholesale fresh beverages</t>
  </si>
  <si>
    <t>US - Coca-Cola Co (CCC) acquired all the outstanding common stock of Odwalla Inc (OI), a wholesaler of fruit and vegetable beverages, for $15.25 in cash per share, or a total value of $180.693 mil. Earlier CCC completed a tender offer for OI by accepting 10.726 mil common shares, or 84.518% OI's common shares outstanding on fully-diluted basis. The offer was conditioned upon at least 90% of OI's shares being tendered on a fully- diluted basis. However, if more than 50% but fewer than 90% of such shares were tendered, CCC reserved the right, under certain circumstances, to reduce the number of shares subject to the offer to 49.9% of the outstanding shares and subsequently pursue a merger with OI. Previously, CC was rumored to be planning to acquire OI.</t>
  </si>
  <si>
    <t>Omega Healthcare Investors Inc</t>
  </si>
  <si>
    <t>Explorer Holdings LP</t>
  </si>
  <si>
    <t>US - Explorer Holdings LP raised its interest to 62% from 45% in Omega Healthcare Investors Inc, a real estate investment trust, by acquiring 3.4 mil common shares for an estimated $50 mil in a privately negotiated transaction.</t>
  </si>
  <si>
    <t>High Plains Corp</t>
  </si>
  <si>
    <t>Mnfr ethanol</t>
  </si>
  <si>
    <t>Abengoa SA</t>
  </si>
  <si>
    <t>Own,op biodiesel prodn plants</t>
  </si>
  <si>
    <t>US - Abengoa SA (ASA) acquired all the outstanding common stock of High Plains Corp (HPC), a producer of bioethanol products, for an estimated $5.63 in cash per share, or a total value of $114.321 mil, including the assumption of $15 mil in liabilities. Earlier, ASA completed its tender offer for HPC by accepting 15.493 mil common shares, or 94% of its total shares outstanding. The offer was conditioned upon at least 75% of HPC's shares being tenderd on a fully-diluted basis.</t>
  </si>
  <si>
    <t>US - A management-led investor group, comprised of Leapnet Inc's (LN) chairman Robert Figliulo and LN's executive vice president David Figliulo, acquired the remaining 85% interest or 4. 965 mil common shares, which they did not already own, in LN, an Internet development and marketing communications firm, for an amended $1.85 cash per share, or a total value of $10.01 mil, in a leveraged buyout transaction. Previously, the investor group completed its tender offer for LN by accepting 446. 836 mil common shares, or about 90% of LN's total shares outstanding. The offer was conditioned on at least 90% of LN's shares being tendered. Previously, the investor group offered $1.75 cash per share.</t>
  </si>
  <si>
    <t>Storage USA Inc</t>
  </si>
  <si>
    <t>US - Security Capital Group Inc (SCG) acquired the remaining 57.04% interest, or 15.622 mil common shares, which it did not already own, in Storage USA Inc, a real estate investment trust engaged in the business of managing, owning, acquiring and developing self-storage facilities, for a sweetened $42.70 in cash per share, or a total value of $1.644 bil, including the assumption of $945 mil in liabilities and preferred stock. The cash consideration included $.20 per share in lieu of a dividend for the portion of the current quarter at closing. Originally, SCG offered $42 in cash per share.</t>
  </si>
  <si>
    <t>Aquila Inc(Utilicorp United)</t>
  </si>
  <si>
    <t>Pvd wholesale energy assets</t>
  </si>
  <si>
    <t>US - UtiliCorp United Inc (UUI) acquired the remaining 20%stake, or 20.02 mil common shares, which it did not already own, in Aquila Inc (AQI), a provider of wholesale energy assets, in a stock swap transaction valued at $414.174 mil. UUI offered . 69 common shares per AQI share. Based on UUI's closing stock price of $30 on November 6, the last full trading day prior to the announcement, each AQI share was valued at $20.69. Earlier, UUI completed its tender offer for the remaining stake in AQI by accepting 15.2 mil shares, or 76% of AQI's common shares outstanding. The offer was conditioned upon at least a majority of AQI's shares being tendered. The transaction was accounted for as a pooling of interests. The transaction was representative of UUI's plans to realign the company's business focus, through the adoption and implementation of AQI's energy merchant strategy. Subsequently, UUI planned to change its name to Aquila Inc. Earlier, UUI withdrew its plans to spin off its AQI unit to its shareholders.</t>
  </si>
  <si>
    <t>Scientific Learning Corp</t>
  </si>
  <si>
    <t>Warburg Pincus LLC</t>
  </si>
  <si>
    <t>US - Warburg, Pincus raised its interest to 67.08% from 32.06% in Scientific Learning Corp (SLC), a developer of educational software, by acquiring 4 mil common shares for $1.25 per share, or a total value of $5 mil. The transaction was to provide SLC with capital infusion to be utilized in the development of educational products.</t>
  </si>
  <si>
    <t>US - BB&amp;T Corp, Winston- Salem, North Carolina (BBT) acquired Area Bancshares Corp, Owensboro, Kentucky (ABC), a bank holding company, in a stock swap transaction valued at $457.07 mil. BBT offered . 55 common shares per ABC share. Based on BBT's closing stock price of $34.01 on November 7, the last full trading day prior to announcement, each ABC share was valued at $18.706.</t>
  </si>
  <si>
    <t>MidAmerica Bancorp,Louisville</t>
  </si>
  <si>
    <t>US - BB&amp;T Corp, Winston- Salem, Norht Carolina (BBT) acquired MidAmerica Bancorp, Lousiville, Kentucky (MAB), a bank holding company, in a stock swap transaction valued at $366.012 mil. BBT offered $8.13 in cash and .7187 common shares per MAB share. Based on BBT's closing stock price of $34.01 on November 7, the last full trading day prior to the announcement, each MAB share was valued at $24.45.</t>
  </si>
  <si>
    <t>US - Dynegy Inc (DI) withdrew its agreement to merge with Enron Corp (EC), a holding company principally engaged in the transportation of natural gas through pipelines to markets throughout the United States, in a stock swap transaction valued at $8.176 bil. DI offered .2685 common shares per EC share. Based on DI's closing stock price of $36.50 on November 8, the last full trading day prior to the announcement, each EC share was valued at $9.80. Upon completion, DI was to hold a 64% interest and EC the remaining 36% stake in the combined company, which was to retain the DI name. Included in the transaction was an agreement, according to which DI could acquire EC's Northern Natural Gas (NNG) unit, in lieu of DI's withdrawal from the primary transaction. Concurrently, ChevronTexaco planned to invest up to $2.5 bil in DI, to retain its minority stake. Subsequently, DI acquired NNG, as a result of the withdrawal.</t>
  </si>
  <si>
    <t>RTW Inc</t>
  </si>
  <si>
    <t>Pvd employee benefits svcs</t>
  </si>
  <si>
    <t>American Physicians Capital</t>
  </si>
  <si>
    <t>Pvd med professional ins svcs</t>
  </si>
  <si>
    <t>US - American Physicians Capital Inc withdrew its agreement to acquire all the outstanding common stock of RTW Inc, a provider of employee benefit services, for $3.10 in cash per share, or a total value of 31.967 mil.</t>
  </si>
  <si>
    <t>Thermo Fibergen Inc</t>
  </si>
  <si>
    <t>Mnfr paper inds machinery</t>
  </si>
  <si>
    <t>Kadant Inc</t>
  </si>
  <si>
    <t>Mnfr,whl paper processing mach</t>
  </si>
  <si>
    <t>US - Kadant Inc (KC) acquired the remaining 1.1% interest which it did not already own, in Thermo Fibergen Inc, a manufacturer of paper industry machinery, for $12.75 per share, or a total value of $2.669 mil in cash.</t>
  </si>
  <si>
    <t>Washington Trust Bancorp,RI</t>
  </si>
  <si>
    <t>US - Washington Trust Bancorp Inc (WT) merged with First Financial Corp, Providence, RI, (FF) a bank holding company, in a stock swap transaction valued at $40.268 mil. WT offered $16 in cash and $.842 common shares per FF share. Based on WT's closing stock price of $20.40 on April 15, the last full trading day prior to the announcement of the exact exchange ratio, each FF share was valued at $33.177. Originally, WT offered $16 in common stock per FF share, subject to a collar agreement which was subsequently breached. Each FF share was originally valued at $32.</t>
  </si>
  <si>
    <t>US - TrustCo Bank Corp NY (TBC) withdrew its plans to acquire all the outstanding common stock of Troy Financial Corp (TROY)), Troy, New York, a bank holding company, for $28 in cash and common stock per share, or a total value of $290.673 mil. Subsequently, TBC withdrew its agreement to acquire a 9. 9% stake in TROY.</t>
  </si>
  <si>
    <t>ENCAD Inc</t>
  </si>
  <si>
    <t>US - Eastman Kodak Co (EK) acquired all the outstanding common stock of ENCAD Inc (EI) , a manufacturer of wide- format color inkjet printers, in a stock swap transaction valued at $24.364 mil. EK offered $2 in common stock per EI share. If EK's closing stock price during the ten trading days ending on and including the second trading day prior to the stockholder meeting was less than $27, EK was to have the option to pay the consideration in the form of $2 cash per share. Concurrently, EI announced that immediately prior to the closing of the acquisition agreement it would redeem all rights associated with its poison pill.</t>
  </si>
  <si>
    <t>Franklin Capital Corp</t>
  </si>
  <si>
    <t>Change Technology Partners Inc</t>
  </si>
  <si>
    <t>US - Change Technology Partners Inc (CTP) withdrew its definitive agreement to merge with Franklin Capital Corp (FCC), a title insurance company, in a stock swap transaction valued at $2.236 mil. CTP offered 40.985 common shares per FCC share. Based on CTP's closing stock price of $.05 on December 4, the last full trading day prior to the announcement of the terms, each FCC share was valued at $2.05. On completion, CTP stockholders were to own 80% of the combined company and FCC was to own the remaining 20%.</t>
  </si>
  <si>
    <t>Sun Community Bancorp Ltd</t>
  </si>
  <si>
    <t>Capitol Bancorp Ltd</t>
  </si>
  <si>
    <t>US - Capitol Bancorp Ltd (CBL), located in Lansing, Michigan, acquired the remaining 50%, or 3.118 mil common shares, which it did not already own, in Sun Community Bancorp Ltd (SCB), a bank holding company, in a stock swap transaction valued at $34.844 mil. CBL offered . 734 common shares per SCB share. Based on CBL's closing stock price of $14.38 on November 15, the last full trading day prior to the announcement, each SCB share was valued at $10.55. The transaction was representative of CBL's plans to strengthen its operations in the Southwestern United States, including an improvement in the flexibility of CBL's capital management capabilities.</t>
  </si>
  <si>
    <t>US - Ernest C Garcia II acquired the remaining 39.2% interest, or 4.792 mil common shares, that he did not already own, in Ugly Duckling Corp (UDC), an owner and operator of used car dealerships, for a sweetened $3.53 in cash per share, or a total value of $16.996 mil. Earlier, Mr. Garcia completed a tender offer for the remaining stake by accepting 3.81 mil common shares, 31. 04% of UDC's outstanding shares. Originally Mr. Garcia offered $2.51 in cash per share, or a total value of $12.042 mil. The offer was conditioned upon at least 90% of UDC's shares being tendered.</t>
  </si>
  <si>
    <t>Mnfr petro refined prod</t>
  </si>
  <si>
    <t>US - Phillips Petroleum Co (PPC) merged with Conoco Inc (CI), a manufacturer, wholesaler, and retailer of oil and natural gas products, to form ConocoPhillips (CP), in a merger of equals stock swap transaction, valued at $15.349 bil. CI common shareholders received .4677 CP common shares and PPC common shareholders received 1 CP common shares per share held. Based on PPC's closing stock price of $51.82 on November 16, 2001, the last full trading day prior to the announcement, each CI share was valued at $24.236. Upon completion, PPC shareholders owned 56.6% and CI shareholders the remaining 43. 4% of CP. Under the terms of the FTC order approving the merger, CP was required to sell a PPC refinery in Woods Cross, Utah, and a CI refinery in Commerce City, Colorado. CP also must divest some of its gasoline stations and other assets in Missouri, Illinois, New Mexico, Washington state and Texas. Previously, both PPC and CI waived the application of their shareholder rights plans in connection with the merger agreement. Subsequently, CP announced that it was seeking a buyer for its refinery assets.</t>
  </si>
  <si>
    <t>Civic Bancorp,Oakland,CA</t>
  </si>
  <si>
    <t>US - City National Corp (CNC) , Beverly Hills, California, acquired Civic BanCorp, Oakland, California (CBC), a commercial bank holding company, for $111.661 mil. CNC offered a choice of $20. 25 in cash or .4582 common shares or a combination of both per CBC share, subject to a collar agreement. The shares were valued based on CNC's closing stock price of $43.48 on November 16, the last full trading day prior to the announcement. The transaction was also subject to proration to ensure that between 47% and 53.5% of the total consideration was to be paid in CNC common stock. CNC was the parent of CivicBank of Commerce.</t>
  </si>
  <si>
    <t>Dal-Tile International Inc</t>
  </si>
  <si>
    <t>Mnfr ceramic floor,wall tiles</t>
  </si>
  <si>
    <t>Carpet and Rug Mills</t>
  </si>
  <si>
    <t>US - Mohawk Industries Inc (MI) acquired Dal-Tile International Inc (DT), a producer and distributer of a broad line of high-quality ceramic wall tile and floor products, in a stock swap transaction valued at $2.024 bil, including the assumption of $261.7 mil in liabilities. MI offered $11 in cash and . 2213 common shares per DT share. Based on MI's closing stock price of $65.90 on March 19, the last full trading day prior to the announcement of the exact exchange ratio, each DT share was valued at $25.583. Originally MI offered $11 in cash and .2414 common shares per DT share, subject to a collar agreement which was subsequently breached. Based on MI's closing stock price of $51.02 on November 16, the last full trading day prior to the announcement, each DT share was originally valued at $23.31.</t>
  </si>
  <si>
    <t>Genomica Corp</t>
  </si>
  <si>
    <t>Pvd research software</t>
  </si>
  <si>
    <t>US - Exelixis Inc (EI) acquired all the outstanding common stock of Genomica Corp (GC), a provider of software products and services that enable pharmaceutical and biotechnology researchers to accelerate the drug discovery and development process, in a stock swap transaction valued at $107.885 mil. EI offered . 28306 common shares per GC share. Earlier, EI completed its tender offer by accepting 23.026 mil shares, or about 93.986% of GC's shares outstanding on a fully diluted basis. Based on EI's closing stock price of $15.7 on December 24, each GC share was valued at $4.444. The offer was conditioned upon at least 50.1% of GC's shares being tendered on a fully diluted basis.</t>
  </si>
  <si>
    <t>MFN Financial Corp</t>
  </si>
  <si>
    <t>Pvd consumer finance svcs</t>
  </si>
  <si>
    <t>US - Consumer Portfolio Services Inc acquired all the outstanding common stock of MFN Financial Corp, a provider of consumer finance services, for $10 in cash per share, or a total value of $102.692 mil.</t>
  </si>
  <si>
    <t>NetBank Inc,Alpharetta,GA</t>
  </si>
  <si>
    <t>US - NetBank Inc, Alpharetta, Georgia (NTB) acquired Resource Bancshares Mortgage Group Inc, Columbia, South Carolina, (RBM), a mortgage bank, in a stock swap transaction valued at $154. 577 mil. NTB offered 1.1382 shares per RBM share. Based on NTB's closing stock price of $7.85 on Novemeber 16, the last full trading day prior to the announcement, each RBM share was valued at $8.93. Upon completion the combined company was to trade under the Netbank name and ticker symbol.</t>
  </si>
  <si>
    <t>US - CKE Restaurants Inc (CKE) acquired Santa Barbara Restaurant Group Inc (SBR), an owner and operator of restaurants, in a stock swap transaction valued at $72.387 mil. CKE offered $5 in common stock per SBR share. Originally, CKE offered .50 common shares per SBR share, subject to an amended collar agreement which was subsequently breached. Based on CKE's closing stock price of $7.85 on November 16, the last full trading day prior to the announcement, each SBR share was originally valued at $3.925.</t>
  </si>
  <si>
    <t>Vista Bancorp,Phillipsburg,NJ</t>
  </si>
  <si>
    <t>US - United National Bancorp, Bridgewater, New Jersey (UNB) definitively agreed to acquire all the outstanding common stock of Vista Bancorp, Phillipsburg, New Jersey (VBC), a commercial bank, in a stock swap transaction valued at $151.828 mil. The consideration was to consist of $37.6 mil in cash and 4. 656 mil common shares, valued at $113.502 mil, whereby the shareholders were to have a choice to receive all cash or all common stock, subject to proration if either cash or common stock were oversubscribed. The shares were valued based on UNB's closing stock price of $24.38 on November 19, the last full trading day prior to the announcement.</t>
  </si>
  <si>
    <t>Royal Caribbean Cruises Ltd</t>
  </si>
  <si>
    <t>Provide cruise ship services</t>
  </si>
  <si>
    <t>P&amp;O Princess Cruises PLC</t>
  </si>
  <si>
    <t>Own,op cruise ships</t>
  </si>
  <si>
    <t>US - P&amp;O Princess Cruises PLC (POP) withdrew its agreement to merge with Royal Caribbean Cruises Ltd (RCC), an owner and operator of cruise ships, in a merger of equals transaction valued at an estimated $2.958 bil. The value was based on 49.3% of the combined market capitalization value of approximately $6 bil. Upon completion, POP was to hold 50.7% and RCC was to hold 49. 3% of the equity value of the newly formed company. No shareholders in either company were to exchange or tender their shares in order to effect the combination. Each existing RCC share was to have an economic interest of 3.46386 existing POP shares. The newly formed company was to be renamed with POP and RCC each taking the new group name. Concurrently, POP welcomed Carnival Corp's pre- conditional proposal to merge with POP to create a dual- listed company. Previously, CC amended the terms of its hostile tender offer to acquire POP for an increased $5.54 bil.</t>
  </si>
  <si>
    <t>D&amp;E Communications Inc</t>
  </si>
  <si>
    <t>US - D&amp;E Communications Inc (DE) completed its challenging offer to acquire Conestoga Enterprises Inc (CEI), a provider of telecommunications services, in a stock swap transaction valued at $273.011 mil. DE offered a choice of $33 in cash, common stock or a combination thereof per CEI common share, subject to a collar agreement. The transaction was contingent upon the termination of CEI's merger agreement with NTELOS Inc. Previously, NTELOS Inc withdrew its agreement to acquire CEI in a stock swap transaction. Concurrently, CEI amended its poison pill to make it inapplicable to the merger agreement. Subsequently, Lynch Interactive Corp withdrew its unsolicited challenging offer to acquire all the outstanding common shares of CEI.</t>
  </si>
  <si>
    <t>Stardrive Solutions Inc</t>
  </si>
  <si>
    <t>Pvd digital rights mgmt svcs</t>
  </si>
  <si>
    <t>US - Chell Group Corp (CGC) agreed to acquire all the outstanding common stock of Stardive Solutions Inc, a provider of digital rights management services, for $1. 625 mil. The consideration was to consist of 2.5 mil common shares valued at $1. 625 mil and warrants to purchase an additional .25 mil common shares at an exercise price of $3 per share and .25 mil common shares at an exercise price of $10 per share, respectively. The shares were valued based on CGC's closing stock price of $.65 on November 20, the last full trading day prior to the announcement. The transaction was to be accounted for as a pooling of interests. The completion of the transaction was to be contingent upon CGC's approval for $6.5 mil in financing.</t>
  </si>
  <si>
    <t>Thane International Inc</t>
  </si>
  <si>
    <t>Pvd direct marketing svcs</t>
  </si>
  <si>
    <t>US - Reliant Interactive Media Corp (RIM) merged with Thane International Inc (TI), a provider of direct marketing services. TI offered .3049459 newly issued shares per RIM share. Upon completion, the combined enetity was to keep the TI name, and was to commence trading under THAN on the OTCBB, on May 24, 2002.</t>
  </si>
  <si>
    <t>Mnfr agricultural products</t>
  </si>
  <si>
    <t>US - Pharmacia Corp (PC) completed the spin off its 85% interest, or 219 mil common shares, in Monsanto Co (MC), a manufacturer of technology-based agricultural products, to its shareholders, in a transaction valued at $3.732 bil. PC shareholders received .170593 new MC shares, for every PC share held. The shares were valued based on MC's closing stock price of $17.01 on August 14, the fist full trading day prior on which the shares were distributed. Previously, PC split off a 15% stake in MC to investors in an intitial public offering.</t>
  </si>
  <si>
    <t>US - Synopsys Inc (SI) acquired all the outstanding stock of Avant! Corp (AC), a developer of software for the integrated circuit design automation market, in a stock swap transaction valued at $827.272 mil. SI offered .371 common shares per AC share. Based on SI's closing stock price of $55.03 on November 30, the last full trading day prior to the announcement, each AC share was valued at $20.42. In connection with the agreement, SI arranged to obtain an estimated $500 mil insurance policy with respect to a pending law suit brought against AC by Cadence Design Systems Inc.</t>
  </si>
  <si>
    <t>Aviron</t>
  </si>
  <si>
    <t>US - MedImmune Inc (MD) acquired all the outstanding common stock of Aviron (AV), a manufacturer and marketer of live virus vaccines, in a stock swap transaction valued at $1.665 bil. MD offered 1. 075 shares per AV share. Based on MD's closing stock price of $44.10 on November 30, the last full trading day prior to announcement, each AV share was valued at $47. 408. Earlier, MD completed its tender offer for AV by accepting 29.623 mil AV common shares, or 95.065% of AV's common shares outstanding.The offer was subject to at least a majority of AV's shares being tendered on a fully-diluted basis.</t>
  </si>
  <si>
    <t>Emons Transportation Group Inc</t>
  </si>
  <si>
    <t>Pvd freight transp svcs</t>
  </si>
  <si>
    <t>Genesee &amp; Wyoming Inc</t>
  </si>
  <si>
    <t>Line-Haul Railroads</t>
  </si>
  <si>
    <t>US - Genesee &amp; Wyoming Inc acquired all the outstanding common stock of Emons Transportation Group Inc, a provider of freight transportation services, for $2.50 in cash per share, or a total value of $ $29.718 mil, including the assumption of $10.9 mil in liabilities.</t>
  </si>
  <si>
    <t>Paragon Trade Brands Inc</t>
  </si>
  <si>
    <t>Manufacture diapers</t>
  </si>
  <si>
    <t>US - Tyco International Ltd acquired all the outstanding common stock of Paragon Trade Brands Inc, a manufacturer of diapers, from 97% majority owner Wellspring Capital Management LLC, for $43.5 in cash per share, or a total value of $662.063 mil, including the assumption of $85 mil in liabilities.</t>
  </si>
  <si>
    <t>Six Continents PLC</t>
  </si>
  <si>
    <t>US - Six Continents PLC withdrew its plans to acquire Starwood Hotels &amp; Resorts Worldwide Inc, a real estate investment trust and owner and operator of hotels.</t>
  </si>
  <si>
    <t>COR Therapeutics Inc</t>
  </si>
  <si>
    <t>US - Millennium Pharmaceuticals Inc (MP) acquired COR Therapeutics Inc (CT), a manufacturer of pharmaceuticals, in a stock swap transaction valued at $2. 417 bil. MP offered .9873 common shares per CT share. Based on MP's closing stock price of $35.45 on December 5, the last full trading day prior to the announcement, each CT share was valued at $35. Upon completion, the combined company was to be named Millennium Pharmaceuticals Inc.</t>
  </si>
  <si>
    <t>Management Network Group Inc</t>
  </si>
  <si>
    <t>Wipro Ltd</t>
  </si>
  <si>
    <t>US - Wipro Ltd agreed to acquire all the outstanding common stock of Management Network Group Inc, a provider of management consulting services, for $80 mil in cash.</t>
  </si>
  <si>
    <t>VidaMed Inc</t>
  </si>
  <si>
    <t>Dvlp medical treatment sys</t>
  </si>
  <si>
    <t>US - Medtronic Inc acquired VidaMed Inc, a developer and marketer of technologically and clinically advanced systems for urological conditions, by acquiring the remaining 28.84 mil common shares, or 80% of the company's common stock outstanding it did not already own, for $7.91 per share or a total value of $256.955 mil in cash.</t>
  </si>
  <si>
    <t>US - Mentor Graphics Corp acquired all the outstanding common stock of IKOS Systems Inc (IKO), a developer, marketer and supporter of hardware and software systems for the verification of integrated circuit design, for $11 in cash per common share, or a total value of $114.529 mil. Earlier, MG completed itd challenging unsolicited tender offer for IK by accepting 7.837 mil common shares, or 68% of IKO's common shares outstanding. The offer was conditioned upon at least a majority of IKO's shares being tendered which was subsequently waived. Previously, Synopsys Inc agreed to acquire all the outstanding common stock of IKO.</t>
  </si>
  <si>
    <t>Landmark Systems Corp</t>
  </si>
  <si>
    <t>Dvlp management software</t>
  </si>
  <si>
    <t>US - Allen Systems Group acquired all the outstanding common stock of Landmark Systems Corp, a developer of integrated software, for $4. 75 in cash per share, or a total value of $60.061 mil.</t>
  </si>
  <si>
    <t>Lynch Interactive Corp</t>
  </si>
  <si>
    <t>Pvd multimedia,telecommun svcs</t>
  </si>
  <si>
    <t>US - Lynch Interactive Corp withdrew its unsolicited challenging offer to acquire all the outstanding common stock of Conestoga Enterprises Inc, (CEI), a holding company and provider of telephone communication services, for $33 in cash per share, or a total value of $273.011 mil. Previously, D&amp;E Communications Inc completed its challenging offer to acquire CEI in a stock swap transaction. Subsequently, NTELOS Inc withdrew its agreement to acquire CEI in a stock swap transaction.</t>
  </si>
  <si>
    <t>US - Yahoo! Inc (YI) acquired all the outstanding common stock of Hotjobs.com Inc (HI), a provider of online recruitment services, in a stock swap transaction valued at $435.764 mil. YI offered $5.25 in cash and $5. 25 in common stock per HI share. Earlier, YI completed its tender offer for HI by accepting 33 mil shares, or 85% of HI's common shares outstanding. The offer was conditioned upon at least a majority of HI's shares being tendered. Previously, TMP Worldwide Inc withdrew its definitive agreement to acquire all the outstanding common stock of HI.</t>
  </si>
  <si>
    <t>Corporate Ppty Assoc 10</t>
  </si>
  <si>
    <t>Carey Institutional Properties</t>
  </si>
  <si>
    <t>US - Carey Institutional Properties (CIP), a unit of WP Carey &amp; Co, merged with Corporate Property Associates 10 Inc (CPA), a real estate investment trust, in a stock swap transaction. CIP offered .845 per CPA share, whereby CPA shareholders were to have a choice to receive all stock or a promissory note bearing an annual interest rate of 4%, in principal amount equal to the product of the number of CPA shares held and $11.23.</t>
  </si>
  <si>
    <t>US - General Electric Capital Corp (GECC), a majority-owned unit of General Electric Corp, acquired all the outstanding common stock of Security Capital Group Inc (SC), a provider of real estate research services, for $5.542 bil, including the assumption of $1.4 bil in liabilities. GECC offered $20.803 in cash and .23015373 Prologis Trust (PT) common shares per Class B share and $1,040.145 in cash and 11.50768650 PT common shares per Class A share. SC owned 29% of PT. The shares were valued based on PT's closing stock price of $22.62 on May 9, the last full trading day prior to the announcement.</t>
  </si>
  <si>
    <t>Conexant Systems Inc-Wireless</t>
  </si>
  <si>
    <t>Mnfr wireless telecomm product</t>
  </si>
  <si>
    <t>US - Conexant Systems Inc (CS) merged its wireless business (CWB) with Alpha Industries Inc (AI), a manufacturer of integrated circuits, to form Skyworks Solutions Inc (SS), in a Reverse Morris Trust stock swap transaction valued at $2.159 bil. AI common shareholders were to recieve 1 SS common share and CS common shareholders were to recieve .342 SS common shares per share held. Based on CS's closing stock price of $15.86 on December 14, the last full trading day prior to the announcement, each AI share was valued at $46.374. Upon completion, CS shareholders were to hold a 67% interest in SS, with AI shareholders holding the remaining 33% stake. Concurrently, AI acquired a semiconductor manufacturing plant located in Mexico, from CS.</t>
  </si>
  <si>
    <t>Equivest Finance</t>
  </si>
  <si>
    <t>US - Cendant Corp acquired all the outstanding common and preferred stock of Equivest Finance Inc, a provider of insurance brokerage services, for $99. 038 mil. The consideration consisted of $3 in cash per common share, valued at $85. 134 mil and $13 mil for all the outstanding preferred stock.</t>
  </si>
  <si>
    <t>US- Amgen Inc (AI) acquired all the outstanding common stock of Immunex Corp (IC), a manufacturer of immunological therapeutic products, in a stock swap transaction valued at $16.9 bil. AI offered $4. 50 in cash and .44 common shares per IC share. Based on AI's closing stock price of $56.03 on December 14, the last full trading day prior to the announcement, each IC share was valued at $29.153. Originally, AI was rumored to be in negotiations to acquire IC. Wyeth, formerly known as American Home Products Corp, a 41% minority shareholder of IC, owned 8% of the new company. Subsequently, Schering AG agreed to acquire the Leukine business of IC.</t>
  </si>
  <si>
    <t>Interlogix Inc</t>
  </si>
  <si>
    <t>Mnfr security prod</t>
  </si>
  <si>
    <t>GE Industrial Systems</t>
  </si>
  <si>
    <t>Mnfr electrical,industrial</t>
  </si>
  <si>
    <t>US - GE Industrial Systems (GEI), a unit of General Electric Co (GE), acquired all the outstanding common stock of majority-owned Interlogix Inc (IL), a manufacturer of wireless security communication systems, from Berwind Group Partners, for $1.013 bil. The consideration consisted of $19.43 in cash and $19.43 in GE common stock per IL common share, and the assumption of $205.5 mil in liabilities. Earlier; GEI completed its tender offer for IL by accepting 18.999 mil shares, or 95% of IL's common shares outstanding. The offer was conditioned upon at least a majority of IL's shares being tendered on a fully-diluted basis. Upon completion, IL changed its name to GE Interlogix Inc.</t>
  </si>
  <si>
    <t>Novametrix Medical Systems Inc</t>
  </si>
  <si>
    <t>Pvd cardio-pulmonary prods,svc</t>
  </si>
  <si>
    <t>US - Respironics Inc (RES) acquired Novametrix Medical Systems Inc (NM), a provider of non-invasive cardio- pulmonary monitors and sensors, and developmental care products and services to the critical care marketplace, in a stock swap transaction valued at $83.892 mil, including the assumption of $6 mil in liabilities. RES offered $8 in common stock per NM share, subject to a collar agreement.</t>
  </si>
  <si>
    <t>Prize Energy Corp</t>
  </si>
  <si>
    <t>US - Magnum Hunter Resources (MHR) acquired all the outstanding common stock of Prize Energy Corp (PEC), an oil exploration and production company, in a stock swap transaction valued at an estimated $366.241 mil. MHR offered $5.20 in cash and 2.5 common shares per PEC share. Based on MHR's closing stock price of $8.30 on December 17, the last full trading day prior to the announcement, each PEC share was valued at $25.95. The transaction was to provide the combined company with numerous synergies, including an estimated one trillion cubic feet of natural gas reserves, 1,000 onshore drilling locations and long- life reserves based on a reserve-to-production ratio in excess of 12 years. Upon completion, the new company retained Magnum Hunter Resources Inc name.</t>
  </si>
  <si>
    <t>Hawaiian Airlines Inc</t>
  </si>
  <si>
    <t>Aloha Airgroup Inc</t>
  </si>
  <si>
    <t>US - Aloha Airgroup Inc (AH) withdrew its agreement to merge with Airline Investors Partnership's (AI) majority owned Hawaiian Airlines Inc (HA) unit, a passenger airline. Upon completion, the newly formed public entity was to be named Aloha Holdings Inc. Upon completion, HA's public shareholders were to receive 52% of the newly formed company. In addition, HA's shareholders were to receive a 6 year 8% note with a face of value of $2 per share. AH was to own 28% and TurnWorks was to own the remaining 20% of the newly formed company.</t>
  </si>
  <si>
    <t>Independence Bank Kernersville</t>
  </si>
  <si>
    <t>Bank of North Carolina,NC</t>
  </si>
  <si>
    <t>US - Bank of North Carolina, Thomasvile, North Carolina (BNC) acquired all the outstanding common shares of Independence Bank, Kernersville, North Carolina (IBK), a commercial bank, for $5.755 mil. BNC offered a choice of $10.67 in cash or 1. 16 BNC common shares per IBK share. The deal was subject to a proration whereby approximately 40% of the total consideration was to be paid in BNC common stock.</t>
  </si>
  <si>
    <t>Datastream Systems Inc</t>
  </si>
  <si>
    <t>Dvlp asset mgmt software</t>
  </si>
  <si>
    <t>MRO Software Inc</t>
  </si>
  <si>
    <t>US - MRO Software Inc (MRO) withdrew its unsolicited offer to acquire all the outstanding common stock of Datastream Systems Inc (DSI), an Internet software developer, in a stock swap transaction valued at $122. 295 mil. MRO offered $1 in cash and $5 in MRO common stock per DSI share.</t>
  </si>
  <si>
    <t>McGrath RentCorp</t>
  </si>
  <si>
    <t>Pvd modular equip rental svcs</t>
  </si>
  <si>
    <t>US - Tyco International Ltd (TIL) withdrew its agreement to acquire McGrath RentCorp (MRC), a provider of sales, rental and leasing services of modular buildings, equipment and related accessories, in a stock swap transaction valued at $482. 867 mil. TIL offered a choice of $38 in cash or common stock per MRC share, subject to the limitation that no less than 50% and no more than 75% of the consideration will be in the form of stock.</t>
  </si>
  <si>
    <t>L90 Inc</t>
  </si>
  <si>
    <t>Provide online advertising</t>
  </si>
  <si>
    <t>eUniverse Inc</t>
  </si>
  <si>
    <t>Pvd web sites networking svcs</t>
  </si>
  <si>
    <t>US - eUniverse Inc withdrew its agreement to acquire all the outstanding common stock of L90 Inc, a provider of online advertising services, for $2 in cash per share, or a total value of $49.918 mil.</t>
  </si>
  <si>
    <t>Talarian Corp</t>
  </si>
  <si>
    <t>Pvd infrastructure software</t>
  </si>
  <si>
    <t>TIBCO Software Inc</t>
  </si>
  <si>
    <t>US - TIBCO Software Inc (TS), a unit of Reuters Holdings PLC, acquired all the outstanding common stock of Talarian Corp (TC), a provider of infrastructure software, for $109.635 mil. The consideration consisted of $2.65 in cash and $2.65 in TS common stock per TC share.</t>
  </si>
  <si>
    <t>Arguss Communications Inc</t>
  </si>
  <si>
    <t>Pvd constr svcs of commun sys</t>
  </si>
  <si>
    <t>US - Dycom Industries Inc (DI) acquired all the outstanding common stock of Arguss Communications Inc (AC) , a provider of construction, engineering, design, repair and expansion services for communications systems, cable television and data systems, in a stock swap valued at $149.244 mil, including the assumption of $65 mil in liabilities. DI offered .333 common shares per AC share. Earlier, DI completed its tender offer for AC by accepting 13.967 mil shares, or 94.3% of AC's common shares outstanding, on a fully-diluted basis. Based on DI's closing stock price of $17.30 on January 4, the last full trading day prior to the announcement, each AC share was valued at $5.761. Concurrently, AC amended its poison pill to exempt the offer from the application of the rights agreement. The offer was conditioned upon at least a majority of AC's shares being tendered.</t>
  </si>
  <si>
    <t>Matrix Pharmaceutical Inc</t>
  </si>
  <si>
    <t>US - Chiron Corp (CC) acquired all the outstanding common stock of Matrix Pharmaceutical Inc (MX), a manufacturer of pharmaceutical products, for $2.21 in cash per share, or a total value of $58.995 mil. Earlier, CC completed its tender offer for MX by accepting 23.1 mil shares, or 86% of MX's common shares outstanding, on a fully- diluted basis. The offer was conditioned upon at least a majority of MX's shares being tendered.</t>
  </si>
  <si>
    <t>Stearns &amp; Lehman Inc</t>
  </si>
  <si>
    <t>Mnf specialty food products</t>
  </si>
  <si>
    <t>Kerry Group PLC</t>
  </si>
  <si>
    <t>Produce,whl food flavorings</t>
  </si>
  <si>
    <t>US - Kerry Group PLC of Republic of Ireland acquired the entire share capital of Stearns &amp; Lehman Inc, a Mansfield-based manufacturer of soft drinks, for USD 26 mil in cash. Concurrently, KG acquired Aromont SA, producer of ingredients and liquid sauces for ready made meals, from Arofood International SA. Terms were not disclosed.</t>
  </si>
  <si>
    <t>Cypress Communications Inc</t>
  </si>
  <si>
    <t>US RealTel Inc</t>
  </si>
  <si>
    <t>Pvd telecomm rights lease svcs</t>
  </si>
  <si>
    <t>US - US RealTel Inc (USR) acquired all the outstanding common stock of Cypress Communications Inc (CCI), a provider of telecommunications services, for $3.50 in cash per share, or a total value of $28.019 mil. Earlier, USR completed its tender offer for CCI by accepting 9.592 mil shares, or 94% of CCI's commons shares outstanding on a fully diluted basis. The offer was conditioned upon at least 90% of CCI's shares being tendered. The transaction was to enable USR to provide premium communications services to small and medium- sized businesses, while delivering bundled and cost- efficient services to businesses in multi-tenant office buildings.</t>
  </si>
  <si>
    <t>Market America Inc</t>
  </si>
  <si>
    <t>Pvd onlinea advertising svcs</t>
  </si>
  <si>
    <t>US - A management led investor group, including Market America Inc's (MAR) President and Chief Executive Officer, James H. Ridinger, planned to launch a tender offer to acquire the remaining 23% stake or 4.467 mil shares, which it did not already own, in MAR, a provider of advertising services, for $8 per share, or a total value of $35.733 mil, in a leveraged buyout transaction. The offer was conditioned upon at least a majority of MAR's shares being tendered.</t>
  </si>
  <si>
    <t>Pulaski Bancorp Inc,NJ</t>
  </si>
  <si>
    <t>Kearny Financial Corp</t>
  </si>
  <si>
    <t>US - Kearny Financial Corp (KFC), a unit of Kearny Mutual Holding Co, agreed to acquire all the outstanding common stock of Pulaski Bancorp Inc (PBI), a bank holding company, for $32.90 in cash per share, or a total value of $64.424 mil. The transaction was to enable KFC to continue the expansion of its franchise, including expanded services and a larger network of branches and ATMs. Upon completion, PBI's operations were to be combined with KFC's Kearny Federal Savings Bank unit. Originally, in December 2001, KFC was rumored to be in negotiations to acquire PBI.</t>
  </si>
  <si>
    <t>US - In January 2002, Metro- Goldwyn-Mayer Inc, a producer and financer of motion pictures, announced that it was seeking a buyer for the company.</t>
  </si>
  <si>
    <t>Centra Software Inc</t>
  </si>
  <si>
    <t>Dvlp online training software</t>
  </si>
  <si>
    <t>SmartForce PLC</t>
  </si>
  <si>
    <t>US - SmartForce Public Ltd Co (SPL) withdrew its agreement to acquire Centra Software Inc (CSI), a developer of Internet software for eLearning and business collaboration, in a stock swap transaction valued at an estimated $277.027 mil. SPL offered .425 common shares per CSI share. Based on SPL's closing stock price of $24.2 on January 15, the last full trading day prior to the announcement, each CSI share was valued at $10.285.</t>
  </si>
  <si>
    <t>National Steel Corp(NKK Corp)</t>
  </si>
  <si>
    <t>Mnfr flat rolled steel prod</t>
  </si>
  <si>
    <t>United States Steel Corp</t>
  </si>
  <si>
    <t>Mnfr,wholesale steel products</t>
  </si>
  <si>
    <t>US - US Steel Corp (US) withdrew its plans to acquire the remaining 19.405 mil common shares or 47% stake, which it did not already own in National Steel Corp (NS), a manufacturer of flat rolled steel products, in a stock swap transaction valued at $29.539 mil. US offered a choice of warrants exercisable into US common stock at 150% of the average closing stock price, or .086 US common shares per share. Based on US' closing stock price of $17.7 on January 16, the last full trading day prior to announcement, each NS share was valued at $1.522. Previously, US was granted an option to acquire a majority shareholder NKK Corp's 53% interest in NS.</t>
  </si>
  <si>
    <t>US - US Steel Corp (US) withdrew its option to acquire to acquire 81.883 mil common shares, or a 53% interest in National Steel Corp (NS), a manufacturer of flat rolled steel products, from majority shareholder NKK Corp, in exchange for warrants exercisable at 150% of US' average closing stock price into 4 mil US common shares and the restructuring of a $100 mil loan into a $30 mil note convertible into 1 mil US common shares. The option was set to expire on June 15. Upon exercise of the option, US planned to acquire the remaining 47% stake in NS. Subsequently, US agreed to acquire the steelmaking &amp; finishing assets of NS.</t>
  </si>
  <si>
    <t>US - Western Multiplex Corp (WM) acquired Proxim Inc (PX), a manufacturer of wireless communication equipment, in a stock swap transaction valued at $252.762 mil. WM offered 1. 8896 shares per PX share. Based on WM's closing stock price of $4.20 on January 16, the last full trading day prior to the announcement, each PX share was valued at $7.936. Upon completion the new entity retained PX's name and symbol on NASDAQ. Subsequently, DMC Stratex Networks Inc made an unsolicited challenging offer to acquire WM in a stock swap transaction.</t>
  </si>
  <si>
    <t>AOL Time Warner Inc</t>
  </si>
  <si>
    <t>Pvd motion picture svcs</t>
  </si>
  <si>
    <t>US - AOL Time Warner Inc was rumored to be in negotiations to acquire all the outstanding common stock of Red Hat Inc, a developer of open source software. The Current status of this deal is unknown.</t>
  </si>
  <si>
    <t>Main Street Bankshares Inc,NC</t>
  </si>
  <si>
    <t>Yadkin Valley Bank &amp; Trust Co</t>
  </si>
  <si>
    <t>US - Yadkin Valley Bank And Trust Co acquired all the outstanding common stock of Main Street Bankshares, Statesville, North Carolina, a savings and loan bank. The consideration consisted of 1. 68 common shares per share, whereby shareholders were to have a choice to receive $18. 50 in cash per share, subject to a proration whereby 70% of the total consideration was to be paid in common stock and 30% in cash.</t>
  </si>
  <si>
    <t>Momentum Business Applications</t>
  </si>
  <si>
    <t>Dvlp research software</t>
  </si>
  <si>
    <t>US - PeopleSoft Inc exercised its option to aquire all the outstanding common stock of Momentum Business Applications, a developer of research software, for $90 mil in cash.</t>
  </si>
  <si>
    <t>US - A management-led investor group, including Jenny Craig Inc's (JC) CEO Sid Craig, ACI Capital Co, and DB Capital Partners Inc, a unit of Deutsche Bank AG, acquired all the outstanding common stock of JC, an owner and operator of weight management centers, in a leveraged buyout transaction, from Craig Enterprises Inc's SJF Enterprises Inc subsidiary, for $5.30 in cash per share, or a total value of $114.829 mil.</t>
  </si>
  <si>
    <t>Citrus Merger Corp(Syngistix)</t>
  </si>
  <si>
    <t>US - Citrus Merger Corp, a unit of Syngistix Inc, withdrew its agreement to acquire all the outstanding common stock of Ecometry Corp (EC), a provider of integrated software solutions, via a challenging bid, for $2.90 in cash per share, or a total value of $36.19 mil. Concurrently, SG Merger Corp acquired the remaining 65. 144% interest, or 8.123 mil common shares, which it did not already own, in EC, for $2.70 per share.</t>
  </si>
  <si>
    <t>Suburban Lodges of America Inc</t>
  </si>
  <si>
    <t>Own and operate hotels/motels</t>
  </si>
  <si>
    <t>InTown Suites Management Inc</t>
  </si>
  <si>
    <t>US - Intown Suites Management Inc (ISM) acquired all the outstanding common stock of Suburban Lodges of America Inc (SL), an owner and operator of extended stay lodging facilities, for $9.04 in cash per share, or a total value of $109.793 mil, in a going private transaction. Previously, SL amended its poison pill to exempt ISM from all provisions of the rights plan.</t>
  </si>
  <si>
    <t>Crossmann Communities Inc</t>
  </si>
  <si>
    <t>Beazer Homes USA Inc</t>
  </si>
  <si>
    <t>Design, build homes</t>
  </si>
  <si>
    <t>US - Beazer Homes USA Inc (BHU) acquired all the outstanding common stock of Crossmann Communities Inc (CCI), a constructor of residential buildings, in a stock swap transaction valued at $618.637 mil, including the assumption of $113.296 in liabilities. BHU offered $17. 60 in cash plus .3544 common shares per CCI share, subject to a collar agreement. Based on BHU's closing stock price of $81.5 on January 29, the last full trading day prior to the announcement, each CCI share was valued at $46.484.</t>
  </si>
  <si>
    <t>Ironbridge Acquisition Corp</t>
  </si>
  <si>
    <t>US - Ironbridge Acquisition Corp (IAC), a unit of Ironbridge Holding LLC, acquired all the outstanding common shares of Pitt-Des Moines Inc (PDI), a manufacturer and designer of custom engineered facilities, for $33.90 in cash per share, or a total value of $272.194 mil, in a going private transaction. Earlier IAC completed its tender offer for PDI by accepting 7.386 mil shares, or 97% of PD's common shares outstanding. The offer was conditioned upon 80% of PD's shares being tendered.</t>
  </si>
  <si>
    <t>Intimate Brands Inc(Limited)</t>
  </si>
  <si>
    <t>Own,op women's accessory store</t>
  </si>
  <si>
    <t>Limited Inc</t>
  </si>
  <si>
    <t>US - Limited Inc (LTD) acquired the remaining 16% stake, or 78.645 mil common shares, which it did not already own, in Intimate Brands Inc (IBI), an owner and operator of women's accessory stores, for $1.645 bil. LTD offered a sweetened 1.1 common shares per IBI share. Based on LTD's closing stock price of $17.93 on March 6, the last full trading day prior to the announcement of amended terms, each IBI was valued at $19. 723. Earlier LTD completed an tender offer to acquire the remaining stake by accepting 72.6 mil common shares, or 14. 77% of IBI's shares outstanding. Originally, LTD offered 1.046 common shares per IBI share. Based on LTD's closing stock price of $18.45 on February 1, the last full trading day prior to the announcement, each IBI share was valued at $19.299. The offer was conditioned upon at least 90% of IBI's shares being exchanged.</t>
  </si>
  <si>
    <t>Kinam Gold Corp</t>
  </si>
  <si>
    <t>US - Kinross Gold Corp (KG) acquired the remaining 1.32% stake, or 895 mil Series B convertible preferred shares, which it did not already own, in Kinam Gold Corp (KGC), a gold and silver mining company, for $16 in cash per share, or a total value of $14.314 mil. Earlier, KG completed its tender offer for KGC, by accepting .653 mil convertible preferred shares, or approximately 1% of KGC's common shares outstanding, on a fully- diluted basis. Each preferred share was convertible into 1. 4 common shares.</t>
  </si>
  <si>
    <t>Glyko Biomedical Ltd</t>
  </si>
  <si>
    <t>BioMarin Pharmaceutical Inc</t>
  </si>
  <si>
    <t>US - BioMarin Pharmaceutical Inc (BM) acquired Glyko Biomedical Ltd (GB), a manufacturer of carbohydrate analyzing products, in a stock swap transaction valued at $143.305 mil. BM offered 0. 331 common shares per GB share. Based on BM's closing stock price of $12.52 on February 6, the last full trading day prior to the announcement, each GB share was valued at $4.144. Concurrently, GB held a 22% stake in BM.</t>
  </si>
  <si>
    <t>US - In February 2002, Dillard's Inc was rumored to be seeking a buyer for the company.</t>
  </si>
  <si>
    <t>SHL Telemedicine Ltd</t>
  </si>
  <si>
    <t>Provide telemedicine services</t>
  </si>
  <si>
    <t>US - SHL Telemedicine Ltd (SHL) acquired all the outstanding common stock of Raytel Medical Corp (RM), a provider of cardiac monitoring medical services, for $10.25 in cash per share, or a total value of $50.363 mil, including the assumption of $20 mil in liabilities. Earlier, SHL completed its tender for RM by by accepting 2.303 mil common shares, or about 78.86% of RM's outstanding shares. The offer was conditioned upon at least a majority of RM's shares being tendered.</t>
  </si>
  <si>
    <t>Toymax International Inc</t>
  </si>
  <si>
    <t>Mnfr toys,electronic games</t>
  </si>
  <si>
    <t>JAKKS Pacific Inc</t>
  </si>
  <si>
    <t>Mnfr,whl toys,leisure prod</t>
  </si>
  <si>
    <t>US - JAKKS Pacific Inc (JPI) acquired all the outstanding common stock of Toymax International Inc, a manufacturer of toys and electronic games, for $56.333 mil. The consideration consisted of $3 in cash and $1.50 in common stock per share, subject to a collar agreement.</t>
  </si>
  <si>
    <t>Prestige Bancorp Inc,PA</t>
  </si>
  <si>
    <t>US - Northwest Bancorp Inc, Warren, Pennsylvania, a unit of Northwest Bancorp, Minnesota, acquired Prestige Bancorp Inc, Pleasant Hills, Pennsylvania, a bank holding company, for $13.75 in cash per share, or a total value of $14.66 mil.</t>
  </si>
  <si>
    <t>Deltek Systems Inc</t>
  </si>
  <si>
    <t>US - A management-led investor group, comprised of Deltek Systems Inc (DS) founder Donald deLaski and DS co-founder, Chairman and CEO Kenneth deLaski, acquired the remaining 50.13% interest, or 7.69 mil common shares, that it did not already own in DS, a developer and retailer of software products that provide project oriented businesses with tools to effectively manage and grow their operations, for $7.15 in cash per share, or a total value of $57.268 mil.</t>
  </si>
  <si>
    <t>FLAG Financial Corp</t>
  </si>
  <si>
    <t>Charter Financial Corp</t>
  </si>
  <si>
    <t>US - Charter Financial Corp planned to launch an unsolicited tender offer to acquire all the outstanding common stock of FLAG Financial Corp, LaGrange, Georgia, a bank holding company, for $11.60 in cash per share, or a total value of $93.209 mil.</t>
  </si>
  <si>
    <t>dick clark productions inc</t>
  </si>
  <si>
    <t>Produce television programs</t>
  </si>
  <si>
    <t>US - An investor group comprised of Mosaic Media Group Inc, Jules Haimovitz, and CDP Capital Communications, a unit of CDP Capital, acquired all the outstanding common shares of Dick Clark Productions Inc, a producer of television programs,programming, for $14. 50 in cash per share, or a total value of $150.366 mil, in a going private transaction.</t>
  </si>
  <si>
    <t>Oratec Interventions Inc</t>
  </si>
  <si>
    <t>Mnfr back surgery equipment</t>
  </si>
  <si>
    <t>Smith &amp; Nephew PLC</t>
  </si>
  <si>
    <t>US - Smith &amp; Nephew PLC (SN) acquired all the outstanding common stock of Oratec Interventions Inc (OI), a manufacturer of minimally invasive back surgery equipment, for $12.50 in cash per share, or a total value of $310.769 mil. Eariler, SN completed its tender offer for OI by accepting 22.9 mil shares, or 99% of OI's common shares outstanding. The offer was conditioned upon at least a majoriy of OI's shares being tendered. OI amended its shareholder rights plan to waive SN from all provisions of the rights agreement.</t>
  </si>
  <si>
    <t>NRG Energy Inc</t>
  </si>
  <si>
    <t>Xcel Energy Inc</t>
  </si>
  <si>
    <t>US - Xcel Energy Inc (XE) acquired the remaining 25.65% stake, or 54.689 mil common shares, which it did not already own in NRG Energy Inc (NRG), a provider of electric &amp; gas utility services, in a stock swap transaction valued at $672.556 mil. Earlier; XE completed its unsolicited tender offer for NRG, by accepting 42.990 mil shares, or 21.654% of NRG's common shares outstanding, equivalent to 84.41% of NRG's shares not owned by XE. XE offered a sweetened .5 common shares per NRG share. Based on XE's closing stock price of $25.72 on April 3, the last full trading day prior to the announcement of amended terms, each NRG share was valued at $12.86. Originally, XE offered .4846 shares per NRG share. Based on XE's closing stock price of $23.73 on February 14, the last full trading day prior to the announcement, each NRG share was valued at $11.50. The offer was conditioned upon at least 90% of the total NRG shares outstanding being tendered or 60% of NRG shares not owned by XE.</t>
  </si>
  <si>
    <t>ONI Systems Corp</t>
  </si>
  <si>
    <t>US - Ciena Corp (CC) merged with ONI Systems Corp (ONI), a manufacturer and wholesaler of communications equipment, in a stock swap transaction valued at $967.91 mil. CC offered .7104 common shares per ONI share. Based on CC's closing stock price of $8.73 on February 15, the last full trading day prior to the announcement, each ONI share was valued at $6.202. Upon completion, the newly formed entity was to take on CC's name, ONI shareholders were to hold a 24% stake, while CC shareholders were to hold a 76% interest, and Mr. Smith was to remain as President and CEO of the new company.</t>
  </si>
  <si>
    <t>Digene Corp</t>
  </si>
  <si>
    <t>Mnfr,whl diagnostic agents</t>
  </si>
  <si>
    <t>Cytyc Corp</t>
  </si>
  <si>
    <t>Mnfr diagnostic equip</t>
  </si>
  <si>
    <t>US - Cytyc Corp (CC) withdrew its unsolicited tender offer to acquire all the outstanding common stock of Digene Corp (DC), a manufacturer, developer and marketer of proprietary DNA and RNA tests for the detection, screening and monitoring of human diseases, in a stock swap transaction valued at $558.402 mil. The consideration was to consist of $4 in cash and 1.1969 common shares per DC share. Based on CC's closing stock price of $20.73 on February 15, the last full trading day prior to the announcement, each DC share was valued at $24.812. The offer was conditioned upon at least 90% of DC's shares being tendered.</t>
  </si>
  <si>
    <t>Part Comp</t>
  </si>
  <si>
    <t>US - American Realty Investors (ARI), a majority- owned unit of Basic Capital Management Inc, completed its tender offer to acquire the remaining 40.1%, or .577 mil common shares, that it did not already own, in Income Opportunity Realty Investors Inc (ORI), a real estate investment trust, for $19 cash per common share, or a total value of $10.963 mil, by accepting .265 mil shares, or 18.42% of ORI's common shares outstanding. Shareholders were to have a choice to receive all cash or exchange each share held for one share of ARL Series H preferred stock convertible into 2.25 ARL common stock. Concurrently, ARI agreed to acquire the remaining 35.5% interest that it did not already own, in Transcontinental Realty Investors Inc (TRI). Upon completion of the transactions, ORI and TRI were to be delisted from their respective exchanges, and the companies were to continue operations as subsidiaries of ARI.</t>
  </si>
  <si>
    <t>US - Sabre Holding Corp (SH) acquired the remaining 14.977 mil common shares, or 30% stake, which it did not already own, in Travelocity. com Inc (TV), a provider of online travel agency services, for a sweetened $28 in cash per share, or a total value of $447.158 mil, Earlier, SH completed its unsolicited tender offer for TV by accepting 14.38 mil common shares, bringing its total holding to 96% of TV's shares outstanding. The offer was conditioned upon a minimum of 90% of TV's total shares outstanding being tendered. Originally, SH offered $23 in cash per share, or a total value of $358.362 mil.</t>
  </si>
  <si>
    <t>OTG Software Inc</t>
  </si>
  <si>
    <t>Dvlp software, data storage</t>
  </si>
  <si>
    <t>US - Legato Systems Inc (LS) merged with OTG Software Inc (OTG), a developer of software and provider of data storage services, in a stock swap transaction valued at $393.302 mil. LS offered $2. 50 in cash and .6876 common shares per OTG share. Based on LS' closing stock price of $12.55 on February 20, the last full trading day prior to the announcement, each OTG share was valued at $11.13. Upon completion OTG shareholders owned 21% of LS.</t>
  </si>
  <si>
    <t>Osca Inc(Great Lakes Chem)</t>
  </si>
  <si>
    <t>Pvd specialized oil and gas</t>
  </si>
  <si>
    <t>US - BJ Services Co acquired all the outstanding common stock of OSCA Inc, a provider of specialized oil and gas well completion services and fluids, from its 53% owned parent, Great Lakes Chemical Corp, for $28 in cash per share, or a total value of $421.417 mil.</t>
  </si>
  <si>
    <t>Sevenson Environmental Svcs</t>
  </si>
  <si>
    <t>Construction site waste svcs</t>
  </si>
  <si>
    <t>SCC Contracting Inc</t>
  </si>
  <si>
    <t>US - SCC Contracting Inc acquired all the outstanding common stock of Sevenson Environmental Services, a provider of construction site waste management services, for $16 in cash per common share, or a total value of $169.88 mil, in a going private transaction.</t>
  </si>
  <si>
    <t>CarMax Group</t>
  </si>
  <si>
    <t>Own,operate car dealerships</t>
  </si>
  <si>
    <t>US - Circuit City Stores Inc (CCS) completed the spinoff a 64.014% interest, or 65.539 mil common shares, in CarMax Group (CMG), an owner and operator of car dealerships, to its shareholders in a transaction valued at an estimated $1.068 bil. CCS shareholders received .314 CMG shares per CCS share held. The shares were valued based on CMG's closing stock price of $16.30 on October 1, the first full trading day on which the shares were distributed. Upon completion, CMG changed its name to CarMax Inc. The transaction was to provide CCS and CMG with an avenue for focusing on the individual operational and financial objectives of their respective companies, without the constraints of membership within a shared corporate structure.</t>
  </si>
  <si>
    <t>Saba Software Inc</t>
  </si>
  <si>
    <t>US - In February 2002, Saba Software Inc, a provider of Internet based solutions, was rumored to be seeking a buyer for the company. IBM Corp and PeopleSoft Inc were named as potential buyers. The Current status of this deal is unknown.</t>
  </si>
  <si>
    <t>US - Northrop Grumman Corp (NG) merged with TRW Inc (TRW) , a manufacturer of advanced technology products, in a stock swap transaction valued at $6.678 bil. NG offered . 5357 shares per TRW share. Based on NG's closing stock price of $96.62 on December 10, the last full trading day prior to the announcement of the exact exchange ratio, each TRW share was valued at $51.76. Previously, NG offered a twice-sweetened $60 in common stock per TRW share, subject to a collar agreement, which was subsequently breached. Previously, in July 2002, NG launched an unsolicited, hostile tender offer to acquire all the outstanding common stock of TRW for a sweetened $53 in common stock per TRW share. Originally, in February 2002, NG offered $47 in common stock per TRW share. As a result of the definitive merger agreement announced on July 1, 2002, NG did not extend its tender offer for all the outstanding common stock of TRW, which expired on Friday June 28, 2002, and was not to accept any shares tendered. Subsequently, Goodrich Corp agreed to acquire TRW Aeronautical Systems, from TRW. Also, TRW disclosed intentions to spin off its automotive parts division to its shareholders.</t>
  </si>
  <si>
    <t>United Park City Mines Co</t>
  </si>
  <si>
    <t>Capital Growth Partners LLC</t>
  </si>
  <si>
    <t>US - Capital Group Partners LLC (CGP), a unit of Talisker Mountain Development Inc, withdrew its plans to launch an unconditional tender offer to acquire the remaining 44. 6% interest or 1.449 mil shares, which it did not already own, in United Park City Mines Co (UPC), a real estate development firm, for an estimated $25 in cash per share, or a total value of $37.118 mil. Previously, CGP agreed to acquire a 55.4% interest in UPC. Subsequently, CGP reinstated its offer to acquire the remaining 44.6% stake, which it did not already own, in UPC, for an amended price per share.</t>
  </si>
  <si>
    <t>US - Capital Growth Partners LLC (CGP), a unit of Talisker Mountain Developments Inc, withdrew its agreement to acquire 1.8 mil shares, or a 55.39% interest, in United Park City Mines Co (UPC), a real estate development firm, for $25.00 in cash per share, or a total value of $45 mil. Upon completion, CGP was to commence an unconditional tender offer to acquire the remaining 44.61% that it did not already own in UPC. Subsequently, in October 2002, CGP withdrew its agreement to commence a tender offer for the remaining 44.6% stake in UPC, but reinstated that offer in May 2003, for an amended price per share.</t>
  </si>
  <si>
    <t>Visionics Corp</t>
  </si>
  <si>
    <t>Mnfr fingerprt capture devices</t>
  </si>
  <si>
    <t>Identix Inc</t>
  </si>
  <si>
    <t>Mnfr,dvlp,whl sec devices</t>
  </si>
  <si>
    <t>US - Identix Inc (II) acquired all the outstanding common stock of Visionics Corp (VC), a manufacturer of biometric identification products based primarily on electro-optical imaging technologies, in a stock swap merger of equals transaction valued at $301.327 mil. II offered 1.3436 newly issued common shares per VC share. Based on II's closing stock price of $7.11 on February 21, the last full trading day prior to the announcement, each VC share was valued at $9.553. Upon completion, the new entity retained the Identix Inc name, and II was to own 52.4% of the new company, while VC was to own 47.6%.</t>
  </si>
  <si>
    <t>Cimarex Energy Co</t>
  </si>
  <si>
    <t>US - Cimarex Energy Co (CEC) acquired all the outstanding common stock of Key Production Co Inc (KPI), a provider of oil and gas exploration, development, acquisition, and production services, in a stock swap transaction valued at an estimated $220 mil. CEC offered 1 common share per KP share. Concurrently, Helmerich &amp; Payne Inc (HPI) completed the spin off of a 65.25% interest, or 26.591 mil common shares, in CEC, to its shareholders. Upon completion of both transactions, HPI shareholders owned 65.25%, and KPI shareholders owned the remaining 34.75%, in CEC.</t>
  </si>
  <si>
    <t>Kerman State Bank,Kerman,CA</t>
  </si>
  <si>
    <t>US - Westamerica Bancorp (WAB), San Rafael, California, acquired all the outstanding common stock of Kerman State Bank (KSB), Kerman, California, a savings and loan, in a stock swap transaction valued at $16.29 mil. WAB offered .2622 common shares per KSB share. Based on WAB's closing stock price of $41.42 on February 25, the last full trading day prior to announcement, each KSB share was valued at $10.86. The transaction was to be accounted for as a pooling of interests, and the transaction was to expand WAB's banking services into the Fresno area market.</t>
  </si>
  <si>
    <t>MDI Entertainment Inc</t>
  </si>
  <si>
    <t>Dvlp,mkt promos to lotteries</t>
  </si>
  <si>
    <t>Scientific Games Corp</t>
  </si>
  <si>
    <t>Pvd gaming solutions services</t>
  </si>
  <si>
    <t>US - Scientific Games Corp (SGC) withdrew its agreement to acquire the remaining 93. 66% interest, or 10.464 mil common shares, which it did not already own in MDI Entertainment Inc (MDI), a creator, marketer and implementor of entertainment- based promotions for North American lotteries, for $2.10 in common stock per share, or a total value of $25.59 mil. Upon completion, MDI was to operate as a wholly-owned subsidiary of SGC, and Mr. Steven Saferin was to remain as CEO and President of the unit.</t>
  </si>
  <si>
    <t>American Country Holdings Inc</t>
  </si>
  <si>
    <t>KFS Acquisition Corp</t>
  </si>
  <si>
    <t>US - KFS Acquisition Corp, a unit of Kingsway Financial Services Inc (KFS) acquired all the outstanding common stock of American Country Holdings Inc (ACH), a holding company with subsidiaries which underwrite and market commercial property and casualty insurance, for $28. 851 mil in cash. Earlier, KFS completed its tender offer for AC by accepting 9.159 mil common shares, .305 mil Series A convertible preferred shares, and .257 share purchase warrants. The consideration was to consist of $2.10 in cash per common share, $12 in cash per Class A convertible preferred share, and $.175 in cash per Class A warrant. The Class A convertible preferred shares were exercisable into an additional .305 mil common shares . The warrants were exercisable into an additional .814 mil common shares. The offer was conditioned upon 85% of AC's shares being tendered. Previously, KFS acquired a 6. 132% stake in ACH.</t>
  </si>
  <si>
    <t>Everest Acq(Koninklijke)</t>
  </si>
  <si>
    <t>US - Everest Acquisition Corp (EAC), a unit of Koninklijke KPN NV, withdrew its unsolicited tender offer to acquire the remaining 47. 2% stake, or 2.202 mil common shares, which it did not already own in Euroweb International Corp (EI), an Internet Service Provider, for a sweetened $3 in cash per share, or a total value of $10.08 mil. Originally, EAC offered $2.25 in cash per share, or a total value of $6. 854 mil. The offer was conditioned upon 90% of EI's share being tendered.</t>
  </si>
  <si>
    <t>Fusion Medical Technologies</t>
  </si>
  <si>
    <t>Mnfr wound closure products</t>
  </si>
  <si>
    <t>US - Baxter International Inc (BI) acquired all the outstanding common stock of Fusion Medical Technologies Inc (FMT), a manufacturer and marketer of proprietary surgical hemostatic sealant products, in a stock swap transaction valued at $148. 915 mil. BI offered $10 in common stock per FMT share.</t>
  </si>
  <si>
    <t>Hoenig Group Inc</t>
  </si>
  <si>
    <t>US - Investment Technology Group Inc (ITG) acquired all the outstanding common stock of Hoenig Group Inc (HGI), a securities brokerage firm, for an amended USD 11.58 per share, or a total value of USD 91.005 mil. Originally, ITG offered an estimated USD 12.59 mil in cash per share, or a total value of USD 98. 942 mil.</t>
  </si>
  <si>
    <t>Ipswich Bancshares,Ipswich,MA</t>
  </si>
  <si>
    <t>US - BankNorth Group Inc (BGI), Portland, Maine, acquired all the outstanding common stock of Ipswich Bancshares Inc, Ipswich, Massachusetts, a commercial bank holding company, in a stock swap transaction valued at $41.442 mil. BGI offered a choice of $20.50 in cash or common stock, subject to a proration whereby 49% of the total consideration was to be paid in cash and 51% in common stock.</t>
  </si>
  <si>
    <t>O2Wireless Solutions Inc</t>
  </si>
  <si>
    <t>Pvd integrated network svcs</t>
  </si>
  <si>
    <t>Baran Group Ltd</t>
  </si>
  <si>
    <t>US - Baran Group Ltd (BGL) acquired O2wireless Solutions Inc (O2W), a provider of integrated network services to the various sectors of the global wireless telecommunications industry, in a stock swap transaction valued at a twice amended $3. 935 mil. BGL offered .014919 ordinary shares per O2W share. Based on BGL's closing stock price of $8.67 on August 22, the last full trading day prior to the announcement of the amended terms, each O2W share was valued at $.129. Previously, BGL offered . 032135 ordinary shares per O2W share. Originally, BGL offered $.25 in cash and .061 ordinary shares per O2W share.</t>
  </si>
  <si>
    <t>WHG Bancshares Corp</t>
  </si>
  <si>
    <t>BCSB Bancorp Inc</t>
  </si>
  <si>
    <t>US - BCSB Bankcorp Inc (BCS) acquired all the outstanding common stock of WHG Bancshares Corp (WHG), a bank holding company, for $14.25 in cash per share, or a total value of $19.457 mil. Upon completion, WHG's Heritage Savings Bank FSB was merged into BSC's Baltimore County Savings Bank FSB subsidiary.</t>
  </si>
  <si>
    <t>DMC Stratex Networks Inc</t>
  </si>
  <si>
    <t>US - DMC Stratex Networks Inc (DMC) withdrew its unsolicited challenging offer to acquire all the outstanding common stock of Western Multiplex Corp (WMC), a manufacturer of broadband wireless systems, in a stock swap transaction valued at $175.382 mil. DMC offered . 5215 common shares per WMC share. Based on DMC's closing stock price of $5.48 on February 27, the last full trading day prior to the announcement, each WMC share was valued at $2.858. Previously, WMC agreed to acquire Proxim Inc in a merger of equals stock swap transaction.</t>
  </si>
  <si>
    <t>FTD.COM INC</t>
  </si>
  <si>
    <t>Pvd online floral,gift svcs</t>
  </si>
  <si>
    <t>IOS Brands Corp</t>
  </si>
  <si>
    <t>US - IOS Brands Corp (IOS) acquired the remaining 15%, or an estimated 7.29 mil common shares, which it did not already own, in FTD.COM INC (FTDC), a provider of online floral and gift services, and a majority- owned unit of IOS' Florists Transworld Delivery Inc (FTDI) subsidiary, in a stock swap transaction valued at $24.622 mil. IOS offered .26 FTD Inc (FTD) Class A common shares per FTDC shares. Based on FTD's closing stock price of $12.87 on June 28, its first full trading day, each FTDC share was valued at $3.346. The transaction provided IOS with an avenue for instituting a broad restructuring plan, which entailed the eventual merger of IOS, FTDC and FTDI into a single, publicly-traded, corporate entity. Moreover, the transaction benefited FTDC's shareholders through ownership in a new public company with increased liquidity, which was to be supported by IOS's stable operating cash flow. Upon completion of the reorganization, IOS changed the name of the new company to FTD.</t>
  </si>
  <si>
    <t>JP Realty Inc</t>
  </si>
  <si>
    <t>General Growth Properties Inc</t>
  </si>
  <si>
    <t>US - General Growth Properties Inc acquired all the outstanding common stock of JP Realty Inc, a real estate investment trust, for $26.10 in cash per share, or a total value of $1.001 bil, including the assumption of $576 mil in liabilities.</t>
  </si>
  <si>
    <t>Elantec Semiconductor Inc</t>
  </si>
  <si>
    <t>Mnfr analog integrated circuit</t>
  </si>
  <si>
    <t>Intersil Corp</t>
  </si>
  <si>
    <t>US - Intersil Corp (IS) acquired Elantec Semiconductor Inc (EL), a manufacturer of analog integrated circuits, in a stock swap transaction valued at $1.432 bil. IS offered 1. 24 shares and $8 in cash per EL share. Based on IS's closing stock price of $36.65 on March 8, the last full trading day prior to announcement, each EL share was valued at $53.446. Upon completion of the transaction, EL owned a 23% stake in IS.</t>
  </si>
  <si>
    <t>Hawker Pacific Aerospace</t>
  </si>
  <si>
    <t>Pvd repair svcs for aircraft</t>
  </si>
  <si>
    <t>Lufthansa Technik AG</t>
  </si>
  <si>
    <t>Mnfr aircraft engines</t>
  </si>
  <si>
    <t>US - Lufthansa Technik AG (LT), a unit of Deutsche Lufthansa AG, through its LHT Acquisition Corp subsidiary, acquired the remaining 25.6%, or 2.604 mil shares, that it did not already own, in Hawker Pacific Aerospace (HPA) , a provider of repair and overhaul services for aircraft, for $3.25 in cash per share, or a total value of $8.506 mil. Earlier, LT completed its tender offer for HTA by accepting 2.443 mil common shares, or about 93.926% of HPA's shares outstanding. The offer was conditioned upon at least 90% of HPA's shares being tendered.</t>
  </si>
  <si>
    <t>Wackenhut Corp</t>
  </si>
  <si>
    <t>Pvd security,staffing svcs</t>
  </si>
  <si>
    <t>Group 4 Falck A/S</t>
  </si>
  <si>
    <t>US - Group 4 Falck A/S acquired all the outstanding common stock of Wackenhut Corp (WHC), a provider of security, correctional, and flexible staffing services, for $33 per share, or a total value of $539.321 mil. Moreover, the transaction included WHC's 57% interest in Wackenhut Corrections Corp.</t>
  </si>
  <si>
    <t>Be Free Inc</t>
  </si>
  <si>
    <t>Pvd ecommerce mktg info svcs</t>
  </si>
  <si>
    <t>ValueClick Inc</t>
  </si>
  <si>
    <t>Pvd online advertising svcs</t>
  </si>
  <si>
    <t>US - Valueclick Inc (VLK) acquired all the outstanding common stock of Be Free Inc (BFR), a provider of online performance marketing solutions that enable electronic commerce merchants and internet portals to market their products and services to a broad clientele, in a stock swap transaction valued at $132.157 mil. VLK offered 0.65882 common shares per BFR share. Based on VLK's closing stock price of $2.96 on March 8, 2002, the last full trading day prior to the announcement, each BFR share was valued at $1.951. Upon completion, BFR shareholders were to hold a 45% stake in the combined company.</t>
  </si>
  <si>
    <t>Canaan Energy Corp</t>
  </si>
  <si>
    <t>US - Chesapeake Energy Corp (CH) acquired all the outstanding common stock of Canaan Energy Corp (CEC), an oil and gas exploration and production company, for a sweetened $18 in cash per share, or a total value of $133.98 mil, including the assumption of $42 mil in liabilities. Earlier, CH completed its tender offer for CEC, by accepting 4.5 mil shares or 84.5% of CEC's common shares outstanding. Originally, CEC offered $12 in cash per share, or a total value of $102.022 mil, including the assumption of an estimated $42 mil in liabilities. The offer was conditioned upon at least a majority of CEC's shares being tendered. Subsequently, CEC amended its poison pill to exempt CH from all provisions of the rights agreement.</t>
  </si>
  <si>
    <t>US - In March 2002, bankrupt Simon Transportation Services Inc, a provider of temperature-controlled transportation services for major shippers in the food industry, announced that it was seeking a buyer for the company.</t>
  </si>
  <si>
    <t>Konover Property Trust Inc</t>
  </si>
  <si>
    <t>US - An investor group (IG) comprised of Prometheus Southeast Retail Trust LLC (PSR) and Kimco Realty Corp (KRC), acquired the remaining 33% stake, or 10.479 mil common shares, that it did not already own, in Konover Property Trust (KPT), a real estate investment trust, for a three times sweetened $2.10 in cash per share, or a total value of $26.559 mil. Upon completion, KPT changed its name to Kimsouth Realty Inc and PSC held a 55% interest, with KRC owning the remaining 45% stake. Previously IG offered a twice sweetened $1. 95 in cash per share, or a total value of $24.662. Previously, IG offered a sweetened $1.90 in cash per share, or a total value of $24.029 mil. Originally, PSR made a stand alone offer to acquire KPT for $1.75 in cash per share, or a total value of $22.132 mil.</t>
  </si>
  <si>
    <t>Associated Materials Inc</t>
  </si>
  <si>
    <t>Mnfr steel,aluminum siding</t>
  </si>
  <si>
    <t>Harvest/AMI Holdings Inc</t>
  </si>
  <si>
    <t>US - Harvest/AMI Holdings Inc completed its tender offer to acquire all the outstanding common stock of Associated Materials Inc (AM), a manufacturer and wholesaler of vinyl siding and vinyl replacement windows, vinyl window extrusions, and cabinets, for $50 in cash per share, or a total value of $436.208 mil, including the assumption of $75 mil in 9 1/ 4 % senior subordinated notes, by accepting 6.493 mil shares, or about 95.857% of AM's shares outstanding. The offer was conditioned upon at least a majority of AM's shares being tendered. The offer was to be made through HAMI's newly formed Simon Acquisition Corp subsidiary.</t>
  </si>
  <si>
    <t>Esenjay Exploration Inc</t>
  </si>
  <si>
    <t>Oil and gas exploration</t>
  </si>
  <si>
    <t>Santos Ltd</t>
  </si>
  <si>
    <t>Oil,gas exploration,production company</t>
  </si>
  <si>
    <t>US - Santos Ltd (SL) acquired all the outstanding stock of Esenjay Exploration Inc (ESJ), an independent energy company engaged in the exploration for and development of natural gas and oil, for $2.84 in cash per share, or a total value of $55.196 mil. Earlier SL completed its tender offer for EE by accepting 17.8 mil common shares, or 92.3% of EE's shares outstanding. The offer was conditioned upon at least a majority of ESJ's shares being tendered.</t>
  </si>
  <si>
    <t>US - Alcoa Inc acquired Ivex Packaging Corp (IPC), a manufacturer of paper and plastic flexible packaging products, from Acadia Partners LP (AP), for $21.50 in cash per share, or a total value of $451.241 mil. The consideration included the assumption of an undisclosed amount in liabilities. As part of the transaction, IV distributed Packaging Dynamics common stock to its shareholders. Previously, in February 2002, AP announced it was seeking a buyer for its IPC unit.</t>
  </si>
  <si>
    <t>McAfee.com Corp</t>
  </si>
  <si>
    <t>Pvd PC management solutions</t>
  </si>
  <si>
    <t>US - Network Associates Inc (NA) acquired the remaining 25% stake, or 11.792 mil common shares, which it did not already own, in McAfee. com Corp (MC), a provider of PC management solutions services, in a stock swap transaction valued at $229. 521 mil. NA offered a sweetened $8.00 in cash and . 675 common shares per MC share. Based on NA's closing stock price of $11.01 on August 12, the last full trading day prior to the amendment date, each MC share was valued at $15.43. Previously, NA offered an amended .90 common shares per MC share. Previously, NA offered an amended .78 common shares per MC share. Originally, NA offered .675 common shares per share. Previously, NA completed its tender offer for MC by accepting 10.391 mil shares, or 97.03% of MC's common shares outstanding. The offer was conditioned upon at least 90% of MC's shares being tendered.</t>
  </si>
  <si>
    <t>Mechanical Dynamics Inc</t>
  </si>
  <si>
    <t>MSC Software Corp</t>
  </si>
  <si>
    <t>US - MSC Software Corp (MSC) acquired all the outstanding common stock of Mechanical Dynamics Inc (MD), a developer of software, for $18.85 in cash per share, or a total value of $127.579 mil. Earlier MSC completed its tender offer for MD by accepting 6.147 mil shares, or 99% of MD's shares outstanding. The offer was conditioned upon at least a majority of MD's shares being tendered.</t>
  </si>
  <si>
    <t>Meemic Holdings Inc</t>
  </si>
  <si>
    <t>ProAssurance Corp</t>
  </si>
  <si>
    <t>Pvd med liability ins services</t>
  </si>
  <si>
    <t>US - Proassurance Corp acquired the remaining 16. 059% interest or 1.073 mil common shares, which it did not already own, in Meemic Holdings Inc (MEM), an insurance company, via a tender offer, for $29.00 in cash per share, or a total value of $35.382 mil. Upon completion, MEM was delisted from the Nasdaq stock exchange and become a wholly owned subsidiary of PAC.</t>
  </si>
  <si>
    <t>USANA Health Sciences Inc</t>
  </si>
  <si>
    <t>Mnfr,whl nutritional prod</t>
  </si>
  <si>
    <t>Gull Holdings Ltd</t>
  </si>
  <si>
    <t>Mnfr nutritional products</t>
  </si>
  <si>
    <t>US - Gull Holdings Ltd, a wholly owned subsidiary of USANA's founder Dr.Myron Wentz, withdrew its plans to acquire the remaining 50.1% interest, which it did not already own, in Usana Health Sciences Inc (USANA), a manufacturer of nutritional products. Upon completion, USANA was to change its name to Innova Ventures Inc.</t>
  </si>
  <si>
    <t>Oplink Communications Inc</t>
  </si>
  <si>
    <t>Mnfr fiber optic prod</t>
  </si>
  <si>
    <t>Avanex Corp</t>
  </si>
  <si>
    <t>Mnfr,whl fiber optic prod</t>
  </si>
  <si>
    <t>US - Avanex Corp (AC) withdrew its agreement to merge with Oplink Communications Inc (OC), a manufacturer and wholesaler of fiber optic networking components and integrated optical modules, in a merger of equals stock swap transaction valued at $295. 474 mil. AC offered .405344 common shares per OC share. Based on AC's closing stock price of $4.33 on March 18, the last full trading day prior to the announcement, each OC share was valued at $1.755. Upon completion, OC was to be renamed AC, with OC shareholders holding 49% and AC shareholders holding 51% of the company.</t>
  </si>
  <si>
    <t>Collateral Therapeutics Inc</t>
  </si>
  <si>
    <t>Pvd coml research services</t>
  </si>
  <si>
    <t>Schering AG</t>
  </si>
  <si>
    <t>Mnfr tailored therapy pharm</t>
  </si>
  <si>
    <t>US - Schering AG (SH) acquired the remaining 88% interest, or 11.722 mil common shares, which it did not already own, in Collateral Therapeutics Inc (CL), a provider of commercial therapeutic research services for the discovery, development and commercialization of non- surgical gene therapy products, in a stock swap transaction valued at $140.91 mil. SH offered .1847 American depositary receipts (ADR) per CL share. Based on SH's closing ADR price of $60. 90 on March 19, the last full trading day prior to announcement, each CL share was valued at $11.25.</t>
  </si>
  <si>
    <t>Peoples Financial Corp Inc</t>
  </si>
  <si>
    <t>S&amp;T Bancorp Inc,Indiana,PA</t>
  </si>
  <si>
    <t>US - S&amp;T Bancorp acquired all the outstanding common stock of Peoples Financial Corp, a bank holding company, for $52.50 in cash per share, or a total value of $87.434 mil.</t>
  </si>
  <si>
    <t>Gulf West Banks Inc</t>
  </si>
  <si>
    <t>The South Financial Group Inc</t>
  </si>
  <si>
    <t>US - South Financial Group Inc (SI) acquired Gulf West Banks Inc (GW), a bank holding company, in a stock swap transaction valued at $118.131 mil. SI offered $13. 79 in cash or .6921 common shares per GW share, whereby approximately 70% of the consideration was to be paid in stock and 30% was to be paid in cash. Originally, SI offered a choice of $13.60 in cash or .695 common shares per share. Based on SI's closing stock price of $20.15 on August 29, the last full trading day prior to the announcement, each GW share was valued at $13.95.</t>
  </si>
  <si>
    <t>Instrumentarium Oyj</t>
  </si>
  <si>
    <t>Mnfr,whl medical equip,instru</t>
  </si>
  <si>
    <t>US - Instrumentarium Corp acquired all the outstanding common stock of Spacelabs Medical Inc, a manufacturer of patient monitoring equipment, for $14.25 in cash per share, or a total value of $139.924 mil.</t>
  </si>
  <si>
    <t>US - Rexam PLC was rumored to be planning to acquire all or parts of Crown Cork &amp; Seal Co, a manufacturer of steel and aluminum cans for food, beverage and other consumer products. The Current status of this deal is unknown.</t>
  </si>
  <si>
    <t>Pennzoil-Quaker State Co</t>
  </si>
  <si>
    <t>US - Shell Oil Co, a unit of Royal Dutch/Shell Group, acquired all the outstanding common stock of Pennzoil- Quaker State Co, a manufacturer of refined petroleum products, for $22 in cash per share, or a total value of $2.909 bil, including the assumption of $1.1 bil in liabilities.</t>
  </si>
  <si>
    <t>Vintage Petroleum Inc</t>
  </si>
  <si>
    <t>BP Capital Energy Equity Fund</t>
  </si>
  <si>
    <t>US - BP Capital Energy Equity Fund (BP) withdrew plans to acquire the remaining 91.6% interest, which it did not already own, in Vintage Petroleum Inc (VI), an oil and gas exploration and production company. Previously, BP acquired an 8. 4% stake in VI.</t>
  </si>
  <si>
    <t>RBC Centura Banks Inc</t>
  </si>
  <si>
    <t>US - RBC Centura Bank Inc, Rocky Mount, North Carolina, a unit of Royal Bank of Canada, acquired Eagle Bancshares Inc, Tucker, Georgia, a savings bank and a holding company, for $26 per share, or a total value of $154.172 mil.</t>
  </si>
  <si>
    <t>Liqui-Box Corp</t>
  </si>
  <si>
    <t>Mnfr flexible packaging prod</t>
  </si>
  <si>
    <t>Enhance Packaging Technologies</t>
  </si>
  <si>
    <t>Mnfr packaging products</t>
  </si>
  <si>
    <t>US - Enhance Packaging Technologies Inc, a unit of EI Du Pont De Nemours &amp; Co's Dupont Canada Inc subsidiary, acquired all the outstanding common stock of Liqui-Box Corp, a manufacturer and wholesaler of bag-in-box flexible packaging products and related filling equipment systems for the beverage, processed foods, dairy, detergent, wine and other specialty products industries, for $67 in cash per share, or a total value of $312.746 mil. Upon completion, the newly formed entity was renamed Liqui-Box.</t>
  </si>
  <si>
    <t>MedGrup Corp</t>
  </si>
  <si>
    <t>Pvd med coding,consulting svc</t>
  </si>
  <si>
    <t>PHNS</t>
  </si>
  <si>
    <t>US - Provider HealthNet Services Inc (PHS) acquired all the outstanding stock of MedGrup Inc, a provider of medical coding and consulting services, for $12.709 mil. The consideration consisted of $1.2537 in cash and $.8358 in PHS stock per share, for the 58.6% interest held by William and Margaret Cronin, and $2.2465 in cash per share for the remaining 41.4% stake.</t>
  </si>
  <si>
    <t>Crestline Capital Corp</t>
  </si>
  <si>
    <t>Barcelo Hotels &amp; Resorts</t>
  </si>
  <si>
    <t>US - Barcelo Hotels &amp; Resorts acquired all the outstanding common stock of Crestline Capital Corp (CC), an owner and operater of hotels, via a tender offer for $34 in cash per share, or a total value of $570.19 mil. The offer was conditioned upon at least a majority of CC's shares being tendered. On completion, the combined company was to be renamed Barcelo Crestline.</t>
  </si>
  <si>
    <t>Truetime Inc</t>
  </si>
  <si>
    <t>Develop time frequency prods</t>
  </si>
  <si>
    <t>Symmetricom Inc</t>
  </si>
  <si>
    <t>Mnfr synchronization sys</t>
  </si>
  <si>
    <t>US - Symmetricom Inc (SI) acquired all the outstanding common stock of TrueTime Inc, a developer, manufacturer and marketer of precision time and frequency products, in a stock swap transaction valued at $21.874 mil. The consideration consisted of $5 mil in cash and 2.6 mil SI common shares valued at $16. 874 mil. The shares were valued based on SI's closing stock price of $6.49 on March 27, the last full trading day prior to the announcement.</t>
  </si>
  <si>
    <t>Trendwest Resorts</t>
  </si>
  <si>
    <t>Mkt vacation ownership resorts</t>
  </si>
  <si>
    <t>US - Cendant Corp (CC) acquired all the outstanding common stock of Trendwest Resorts Inc (TR), a marketer, retailer and financer of vacation ownership interests, from 81% majority shareholder, JELD-WEN Inc (JW), in a stock swap transaction valued at $987.213 mil, including the assumption of $74 mil in liabilities. CC offered 1. 2973 common shares per TR share. Based on CC's closing stock price of $17.99 on April 30, the last full trading day prior to the announcement of the exact exchange ratio, each TR share was valued at $23.338. Originally, CC offered $24 in common stock per TR share, subject to a collar agreement which was subsequently breached. As part of the transaction, CC defintively agreed to acquire 90% of the outstanding shares of TR from JW and certain stockholders, and would acquire the remaining 10% of the shares directly from the public.</t>
  </si>
  <si>
    <t>Lone Star Steakhouse,Saloon</t>
  </si>
  <si>
    <t>US - Bruckmann, Rosser, Sherrill &amp; Co withdrew its letter of intent to acquire Lone Star Steakhouse &amp; Saloon Inc (LSS), an owner and operator of restaurants, for $20.50 per share, or a total value of $498.831 mil, in a leveraged buyout transaction. The transaction was withdrawn based on the failure of both parties to agree on definitive terms for completion. Subsequently, SSI planned to launch a Dutch auction self-tender for up to 4 mil common shares.</t>
  </si>
  <si>
    <t>Kroll Inc</t>
  </si>
  <si>
    <t>Pvd risk consulting svcs</t>
  </si>
  <si>
    <t>US - Kroll Inc (KI) acquired Ontrack Data International Inc (ODI), a provider of data software services, for $172. 072 mil. KI offered .6447 common shares for each ODI share. Based on KI's closing stock price of $24.05 on June 10, the last full trading day prior to the announcement of exact terms, each ODI share was valued at $15.50. Originally KI offered $12.50 in common stock per share, or a total value of $140.724 mil, subject to a collar agreement which was subsequently breached.</t>
  </si>
  <si>
    <t>Unilab Corp</t>
  </si>
  <si>
    <t>US - Quest Diagnostics Inc (QDI) acquired Unilab Corp (UC), an owner and operator of medical laboratories, in a stock swap tender offer valued at an amended $885.698 mil, including the assumption of $200 mil in liabilities. QDI offered a choice of $19. 10 in cash or .3424 common shares or a combination of both per UC share, whereby the aggregate amount of cash payable to UC stockholders was to be limited to 42% of the total consideration. Based on QDI's closing stock price of $55.79 on November 29, the last full trading day prior to the announcement of the amended terms, each UC share was valued at $19.10. The offer was subject to 50. 1% of UC's shares being tendered on a fully-diluted basis. Kelso &amp; Co agreed to tender its 42% stake in UC. Originally, QDI offered a choice of $26.99 in cash or . 326 common shares or a combination of both per UC share, whereby the aggregate amount of cash payable to UC stockholders was to be limited to 30% of the total consideration.</t>
  </si>
  <si>
    <t>CBCT Bancshares Inc</t>
  </si>
  <si>
    <t>Savings banks</t>
  </si>
  <si>
    <t>Bastrop Bancshares Inc</t>
  </si>
  <si>
    <t>US - Bastrop Bancshares Inc acquired all the outstanding common stock of CBCT Bancshares Inc, Smothville, Texas, a community-oriented savings bank, for $25.01 in cash per share, or a total value of $7.561 mil.</t>
  </si>
  <si>
    <t>Viant Corp</t>
  </si>
  <si>
    <t>Pvd Internet professional svcs</t>
  </si>
  <si>
    <t>US - Divine Inc (DI) acquired all the outstanding common stock of Viant Corp (VC), a provider of Internet professional services, for an amended $82.654 mil. The consideration consisted of $75.154 mil in cash plus $7.5 mil in DI Class A common stock. Originally, DI offered 3.977 Class A shares per VC share, or a total value of $98.167 mil, in a stock swap transaction.</t>
  </si>
  <si>
    <t>Massachusetts Fincorp Inc</t>
  </si>
  <si>
    <t>Abington Bancorp,Abington,MA</t>
  </si>
  <si>
    <t>US - Abington Bancorp Inc, Abington, Massachusetts (ABI), acquired all the outstanding common stock of Massachusetts Fincorp Inc, Boston, Massachusetts (MFI), a savings and loan, in a stock swap transaction valued at $16.704 mil. ABI offered a choice of $30 in cash or ABI common stock per MFI common share. MFI shareholders were to elect a choice of all cash or ABI common stock, subject to proration, which was to be based upon a fixed total consideration offered to MFI shareholders at 60% ABI common stock and 40% cash. The transaction included a stipulation that was to provide for the payment of future quarterly dividends to those MFI shareholders who were to elect ABI common shares in the agreement. The transaction was to be accounted for as a pooling of interests.</t>
  </si>
  <si>
    <t>Bancorp Connecticut Inc</t>
  </si>
  <si>
    <t>Savings,loans holding co</t>
  </si>
  <si>
    <t>US - Banknorth Group Inc, Portland, Maine, acquired all the outstanding common stock of Bancorp Connecticut Inc, Southington, Connecticut, a savings and loans holding company, for $28 in cash per share, or a total value of $158.534 mil.</t>
  </si>
  <si>
    <t>US - An investor group, comprised of JH Whitney &amp; Co and Golden Gate Capital, acquired all the outstanding common stock of Herbalife International Inc (HI), a wholesaler of vitamins, minerals, hair care products, cosmetics and weight control products, for $19.50 in cash per share, or a total value of $718.358 mil, in a leveraged buyout transaction. Mark Hughes Trust held 40.2% of HI's total outstanding common stock, 54.9% of its Class A common stock (voting) and 32.2% of its Class B common stock (non-voting).</t>
  </si>
  <si>
    <t>US - A management-led investor group, including Kelso &amp; Co (KC), acquired all the outstanding common stock of Nortek Inc, a manufacturer of air conditioning, building and wood products, for a sweetened $46 in cash per share, or a total value of $527.397 mil in a leveraged buyout transaction. Originally, the investor group offered $40 in cash per share, or a total value of $450.908 mil. Previously, the investor group was rumored to be planning to acquire KC.</t>
  </si>
  <si>
    <t>IFR Systems</t>
  </si>
  <si>
    <t>Mnfr electronic testing equip</t>
  </si>
  <si>
    <t>Aeroflex Inc</t>
  </si>
  <si>
    <t>Mnfr microelectronics;hldg co</t>
  </si>
  <si>
    <t>US - Aeroflex Inc (AFI) acquired all the outstanding common stock of IFR Systems Inc (IFR), a manufacturer of electronic testing equipment, for $1.35 in cash per share, or a total value of $59.992 mil, including the assumption of $48.8 mil in liabilities. Earlier, AFI completed its tender offer by accepting 7. 415 mil shares, or about 88. 835% of IFR's common stock outstanding, on a fully- diluted basis. The offer was conditioned upon at least 50. 1% of IFR's shares being tendered. The liabilities portion of AFI's consideration was approximately $35 mil less than the amount owed to IFR's banks.</t>
  </si>
  <si>
    <t>Stephan Co</t>
  </si>
  <si>
    <t>Mnfr,whl haircare prod</t>
  </si>
  <si>
    <t>US - A management-led investor group withdrew its plans to acquire all the outstanding common stock of Stephan Co, a manufacturer and wholesaler of haircare and personal care products, for $4.00 per share or a total value of $17.642 mil, in a going private leveraged buyout transaction.</t>
  </si>
  <si>
    <t>Partsbase Inc</t>
  </si>
  <si>
    <t>US - A management-led investor group, including PRT's Chief Executive Officer, and President, Mr. Robert Hammond, acquired the remaining 35.77% interest, or 4.828 mil common shares, which it did not already own, via a tender offer, in Partsbase Inc (PB), an Internet Service Provider, for a twice-sweetened $1.50 in cash per share, or a total value of $7.289 mil. Previously Mr. Hammond offered a sweetened $1.41 in cash per share, or a total value of $6.905 mil. Originally, Mr. Hammond offered $1.02 per common share, or a total value of $4. 945 mil, in a going private transaction. Subsequently, AirOperations.com withdrew its plans to launch a challenging tender offer to acquire all the outstanding common stock of PB. Subsequently, An investor group led by Harold Van Arnem withdrew its challenging tender offer to acquire all the outstanding common stock of PB.</t>
  </si>
  <si>
    <t>Integrated Telecom Express Inc</t>
  </si>
  <si>
    <t>Pvd circuit,software solutions</t>
  </si>
  <si>
    <t>US - In April 2002, Integrated Telecom Express Inc, a provider of integrated circuit and software solutions, announced that it was seeking a buyer for the company.</t>
  </si>
  <si>
    <t>Clare Inc</t>
  </si>
  <si>
    <t>Mnfr semiconductor switches</t>
  </si>
  <si>
    <t>IXYS Corp</t>
  </si>
  <si>
    <t>US - IXYS Corp (IX) acquired all the outstanding common stock of Clare Inc (CI), a manufacturer of semiconductor switches, via a stock swap tender offer for $55.589 mil. IX offered .49147 common shares per CI share. Based on IX's closing stock price on April 22, the last full trading day prior to the announcement, each CI share was valued at $5.583. The offer was conditioned upon at least a majority of CI's shares being tendered.</t>
  </si>
  <si>
    <t>Innoveda Inc</t>
  </si>
  <si>
    <t>US - Mentor Graphics Corp (MG) acquired all the outstanding common stock of Innoveda Inc (IN), a developer of circuit design software, for $3.95 in cash per share, or a total value of $174.983 mil, by accepting 39.517 mil shares, or about 80.67% of IN's common shares outstanding, on a fully-diluted basis. The offer was conditioned upon at least a majority of IN's shares being tendered, on a fully diluted basis.</t>
  </si>
  <si>
    <t>Airoperations.com</t>
  </si>
  <si>
    <t>US - Airoperations.com withdrew its challenging tender offer to acquire all the outstanding common stock of Partsbase Inc (PB), a provider of ecommerce retail services to the aviation industry, for $1.22 in cash per common share, or a total value of $17.085 mil, in a going private transaction. The offer was conditioned upon at least a majority of PB's shares being tendered. Previously, an investor group, including PB's CEO and president Robert Hammond, acquired the remaining 35.8% interest which it did not already own, in PB. Subsequently, an investor group led by Harold Van Arnem withdrew its challenging tender offer to acquire all the outstanding common stock of PB.</t>
  </si>
  <si>
    <t>Simplex Solutions Inc</t>
  </si>
  <si>
    <t>US - Cadence Design Systems Inc (CDS) acquired all the outstanding common stock of Simplex Solutions Inc (SSI), a provider of software services, in a stock swap transaction valued at $249. 515 mil. CDS offered .9245 common shares per SSI share. Based on CDS' closing stock price of $15.52 on June 25, the last full trading day prior to the announcement of the exact exchange ratio, each CDS share was valued at $14.35. Originally, CDS offered $18 in common stock per SS share, subject to a collar agreement, which was subsequently breached.</t>
  </si>
  <si>
    <t>Intelligent Controls Inc</t>
  </si>
  <si>
    <t>Mnfr,whl elec measurement sys</t>
  </si>
  <si>
    <t>Franklin Electric Co Inc</t>
  </si>
  <si>
    <t>Mnfr,whl fuel pumping systems</t>
  </si>
  <si>
    <t>US - Franklin Electric Co acquired all the outstanding common stock of Intelligent Controls Inc, a manufacturer and wholesaler of electronic measurement systems to petroleum and power utility industries, for $3.95 in cash per share, or a total value of $19.425 mil.</t>
  </si>
  <si>
    <t>Maynard Oil Co</t>
  </si>
  <si>
    <t>Plantation Petroleum Holdings</t>
  </si>
  <si>
    <t>Oil and gas holding co</t>
  </si>
  <si>
    <t>US - Plantation Petroleum Holdings LLC acquired all the outstanding common stock of Maynard Oil Co, and oil and gas exploration and production company, for $17 in cash per share, or a total value of $82.966 mil.</t>
  </si>
  <si>
    <t>Metro-County Bank of Virginia</t>
  </si>
  <si>
    <t>Southern Finl Bancorp Inc,VA</t>
  </si>
  <si>
    <t>US - Southern Financial Bancorp Inc acquired all the outstanding stock of Metro- County Bank of Virginia, a savings and loan bank, for a combination of $7.25 in cash and common stock per common share.</t>
  </si>
  <si>
    <t>US - American Realty Investors (AR), a majority- owned unit of Basic Capital Management Inc, terminated its plans to launch an unsolicited tender offer to acquire all the outstanding common stock and Series A Cummulative preferred stock of Prime Group Realty Trust (PG), a real estate investment trust, for $432. 774 mil. The consideration was to consist of $7.50 in cash plus .2 non-convertible AR preferred shares per PG common share, and $20 in cash per PG Series A cummulative preferred share. The offer was conditioned upon at least a majority of PG's shares being tendered.</t>
  </si>
  <si>
    <t>Community Financial Group,TN</t>
  </si>
  <si>
    <t>US - Synovus Financial Corp, Columbus, Georgia (SFC), acquired Community Financial Group Inc, Nashville, Tennessee (CFG), a commercial bank holding company, in a stock swap transaction valued at $89.427 mil. SFC offered $26 in common stock per CFG share, subject to a collar agreement.</t>
  </si>
  <si>
    <t>First National Bk,San Diego,CA</t>
  </si>
  <si>
    <t>US - First Community Bancorp Inc (FCB), located in Rancho Santa Fe, California, acquired all the outstanding common stock of First National Bank, located in San Diego, California (FNC), a commercial bank holding company, for $118.732 mil. FCB offered a choice of $10 in cash or .5008 common shares per FNB common share. Based on FCB's closing stock price of $26.85 on April 28, the last full trading day prior to the announcement, each FNC share was valued at $13.446. The deal was subject to proration whereby a minimum of 55% of the total consideration was to be paid in cash. Those shareholders electing to receive stock would receive 46% of their stock election in cash. Upon completion, FNC was merged into Rancho Santa Fe National Bank, a unit of FCB, and the combined entity was renamed after FNC.</t>
  </si>
  <si>
    <t>HNC Software Inc</t>
  </si>
  <si>
    <t>Develop neural network systems</t>
  </si>
  <si>
    <t>Fair Isaac &amp; Co Inc</t>
  </si>
  <si>
    <t>Pvd predictive modeling svcs</t>
  </si>
  <si>
    <t>US - Fair Isaac &amp; Co (FIC) merged with HNC Software Inc (HNC), a developer and wholesaler of neural network and advanced decision systems, in a stock swap transaction valued at $826.042 mil. FIC offered .346 newly issued common shares per HNC share. Based on FIC's closing stock price of $64.09 on April 26, the last full trading day prior to the announcement, each HNC share was valued at $22.18. Upon completion, the combined companies were to operate under the FIC name, with FIC shareholders holding a 65% interest and HNC shareholders holding the remaining 35% stake.</t>
  </si>
  <si>
    <t>Latshaw Enterprises Inc</t>
  </si>
  <si>
    <t>LatCo Inc</t>
  </si>
  <si>
    <t>US - LatCo Inc (LI), a company formed by the Latshaw family and Latshaw Interprises Inc (LE) management and directors, completed its unsolicited tender offer to acquire the remaining 27.248% stake, or . 108 mil common shares, which it did not already own, in LE, a manufacturer of plastic parts, mechanical controls and cable assemblies, for USD 0.55 per share in cash, or a total value of USD 5.964 mil, by acquiring .085 mil common shares, or about 21.32% of LE's shares outstanding.</t>
  </si>
  <si>
    <t>Pennichuck Corp</t>
  </si>
  <si>
    <t>Water utility,holding company</t>
  </si>
  <si>
    <t>US - Philadelphia Suburban Corp (PSC) terminated its agreement to acquire Pennichuck Corp (PC), a water utility holding company, in a stock swap transaction valued at $106.778 mil, including the assumption of $27 mil in liabilities. PSC offered $33 in common stock per PC share, subject to a collar agreement. Concurrently, PC amended its poison pill to exempt PSC from all provisions of the rights agreement.</t>
  </si>
  <si>
    <t>Trigon Healthcare Inc</t>
  </si>
  <si>
    <t>US - Anthem Inc (AI) acquired Trigon Healthcare Inc (THI), an owner and operator of an HMO, in a stock swap transaction valued at $3.981 bil. AI offered $30 in cash and 1.062 common shares per THI share, subject to a walk-away agreement. Based on AI's closing stock price of $70.70 on April 26, the last full trading day prior to the announcement, each THI share was valued at $105.083.</t>
  </si>
  <si>
    <t>Micro General Corp(Fidelity)</t>
  </si>
  <si>
    <t>Dvlp workflow software</t>
  </si>
  <si>
    <t>Fidelity Natl Info Solutions</t>
  </si>
  <si>
    <t>Pvd RE info svcs</t>
  </si>
  <si>
    <t>US - Fidelity National Information Solutions Inc (FNI), a majority-owned unit of Fidelity National Financial (FNF), acquired all the outstanding common stock of Micro General Corp (MGC), a developer of workflow software, in a stock swap transaction valued at $383. 791 mil. FNI offered .696 common shares per MGC share. Based on FNI's closing stock price of $23.92 on April 29, the last full trading day prior to the announcement, each MGC share was valued at $16.648. Upon completion, FNF's interest in FNI was to be diluted to an estimated 70%. Included among MGC's subsidiaries were Escrow.com, Illumina, and RealEC Technologies. The offer was conditioned upon least a majority of MGC's shares being tendered.</t>
  </si>
  <si>
    <t>Vicom Inc</t>
  </si>
  <si>
    <t>Mnfr,whl telecommun prods</t>
  </si>
  <si>
    <t>Amara Corp Inc</t>
  </si>
  <si>
    <t>US - Amara Group Inc (AGI) withdrew its plan to acquire the remaining 95.5% interest, or 10.286 mil common shares, which it did not already own, in Vicom Inc (VCI), a manufacturer and wholesaler of telecommunication products, for $3.75 per share, or a total value of $55.963 mil. The consideration was to consist of $1.25 in cash and a 7-year zero coupon bond with a value of $2.50 per VCI share. The transaction was to be contingent upon AGI's arrangement of financing as well as VCI shareholder approval.</t>
  </si>
  <si>
    <t>High Street Corp,Asheville,NC</t>
  </si>
  <si>
    <t>US - Capital Bank Corp (CBC), Raleigh, North Carolina, merged with High Street Corp (HSC), Asheville, North Carolina, a commercial bank holding company, in a stock swap transaction valued at $20.401 mil. CBC offered .747 common shares per HSC share, subject to a collar agreement. Based on CBC's closing stock price of $15.47 on April 30, the last full trading day prior to the announcement, each HS share was valued at $11.556.</t>
  </si>
  <si>
    <t>US - General Dynamics Corp (GD) acquired all the outstanding common stock of Advanced Technical Products Inc (ATP), a manufacturer of aerospace and defense products, for $33.50 in cash per share, or a total value of an estimated $250.984 mil, including the assumption of an estimated $36.2 mil in liabilities. Upon completion, ATP was to be combined with GD's Armament Systems unit, and the combined entity was to be named General Dynamics Armament and Technical Products.</t>
  </si>
  <si>
    <t>US - MeriStar Hotels &amp; Resorts Inc (MS) merged with Interstate Hotels Corp (IH), an owner and operater of hotels, to form a new company (NC), in a stock swap transaction valued at $78.677 mil. IH shareholders were to recieve 4.6 NC common shares per share held and MS shareholders were to recieve one NC share per share held. Based on MS' closing stock price of $1.21 on May 1, the last full trading day prior to the announcement, each IH share was valued at $5.566. Upon completion, the combined entity was to retain the IH name, and IH was to own a 62% interest in NC. Concurrently, Interstate and Meristar both amended their poison pills to exempt each other from all provisions of the rights agreements. Previously, Shaner Hotel Group Inc launched an unsolicited tender offer to raise its stake to 48.71% from 5.7%, by acquiring 2.465 mil outstanding class A common shares in IH.</t>
  </si>
  <si>
    <t>Level 3 Communications Inc</t>
  </si>
  <si>
    <t>US - Level 3 Communications Inc acquired all the outstanding common stock of Software Spectrum Inc (SSI), a wholesaler, marketer and reseller of software, for $37 in cash per share, or a total value of $130.005 mil. The offer was subject to the approval of at least 66.67% of SSI's shareholders.</t>
  </si>
  <si>
    <t>International Capital Partners</t>
  </si>
  <si>
    <t>US - International Capital Partners Inc withdrew its plans to raise its interest to 58.697% from 8.697% in MDI Entertainment Inc, a developer, marketer and implementer of entertainment- based promotions to North American lotteries, by acquiring 5.876 mil common shares, for $3.30 in cash per share, or a total value of $19.39 mil.</t>
  </si>
  <si>
    <t>Three Rivers Bancorp Inc,PA</t>
  </si>
  <si>
    <t>US - Sky Financial Group Inc (SFG) merged with Three Rivers Bancorp Inc, Monroeville, Pennsylvania, a commercial bank holding company, for $158.727. The consideration consisted of $38.987 mil in cash and 5.121 mil common shares valued at $119.740. SFC offered a choice of $18.27 in cash or . 8 SFG common shares per TRB common share. The deal was subject to a proration whereby 75% of TRB's common shares were to be exchanged for SFG common stock and the remaining 25% were to be exchanged for cash.</t>
  </si>
  <si>
    <t>US - Liberty Media Group (LM) withdrew its agreement to acquire the remaining 46.945 mil common shares or 84% interest, which it did not already own, in ACTV Inc (ACT) , a holding company with subsidiaries which develop, market and license individualized television programming and internet learning systems, via a tender offer for an amended $1.65 in cash and common stock per share, or a total value of $81.667 mil. The offer was conditioned upon at least a majority of ACT's shares being tendered. Originally, LM agreed to acquire the remaining 84% of ACT for $2 in cash and common stock per share for a total value of $93.891 mil. Subsequently, OpenTV Corp agreed to acquire all the outstanding common stock of ACT.</t>
  </si>
  <si>
    <t>Chase Industries Inc</t>
  </si>
  <si>
    <t>Manufacture brass products</t>
  </si>
  <si>
    <t>Olin Corp</t>
  </si>
  <si>
    <t>Mnfr chlor alkali products</t>
  </si>
  <si>
    <t>US - Olin Corp (OC) acquired all the outstanding common stock of Chase Industries Inc (CII), a manufacturer of brass products, in a stock swap transaction valued at $180.547 mil. OC offered .64 common shares per CII share. Based on OC's closing stock price of $18 on May 7, the last full trading day prior to the announcement, each CII share was valued at $11.52. Citicorp Venture Capital owned approximately 48% of CII's outstanding common shares prior to announcement.</t>
  </si>
  <si>
    <t>Aether Systems Inc</t>
  </si>
  <si>
    <t>US - International Business Machines Corp was rumored to be planning to acquire all the outstanding common stock of Aether Systems Inc, a provider of wireless data services, systems and software. The Current status of this deal is unknown.</t>
  </si>
  <si>
    <t>Dynacare Inc</t>
  </si>
  <si>
    <t>Pvd clinical lab svcs</t>
  </si>
  <si>
    <t>Laboratory Corp of America Hld</t>
  </si>
  <si>
    <t>Provides clinical trial services</t>
  </si>
  <si>
    <t>US - Laboratory Corp of America Holdings (LC) acquired all the outstanding common stock of Dynacare Inc (DC), a provider of clinical laboratory services, for $11. 50 in cash and .1164 LC common shares per DC share, or a total value of $483.834 mil, including the assumption of $205 mil in liabilities. Based on LC's closing stock price of $100.51 on May 8, the last full trading day prior to the announcement, each DC share was valued at $23.199. The deal was conditioned upon the acceptance of 66.67% of DC's shareholders.</t>
  </si>
  <si>
    <t>Lands' End Inc</t>
  </si>
  <si>
    <t>Ret apparel through catalogs</t>
  </si>
  <si>
    <t>US - Sears Roebuck &amp; Co (SR) acquired all the outstanding common stock of Lands' End (LE), a retailer of men's and women's apparel through mail order catalogs and the Internet, for $62 in cash per share, or a total value of $1. 933 bil, and the assumption of an undisclosed amount in liabilities. Earlier, SR completed its tender offer for LE by accepting 29.36 mil shares, or 98% of LE's common shares outstanding. The offer was conditioned upon at least 66.67% of LE's shares being tendered on a fully-diluted basis. Originally in May 2001, LE announced that it was seeking a buyer for the company.</t>
  </si>
  <si>
    <t>BEI Medical Systems Co</t>
  </si>
  <si>
    <t>Mnfr diagnostic &amp; therapeutic</t>
  </si>
  <si>
    <t>US - Boston Scientific Corp (BSC) acquired all the outstanding common stock of BEI Medical Systems Co Inc (BEI), a manufacturer of diagnostic &amp; therapeutic products, via a tender offer for $6.84 in cash per share, or a total value of $95.632 mil. Earlier, BSC completed its tender offer for BEI by accepting 9.427 mil shares, or 95.631% of BEI's common shares outstanding. The offer was conditioned upon at least a majority of BEI's shares being tendered.</t>
  </si>
  <si>
    <t>Marathon Bancorp</t>
  </si>
  <si>
    <t>US - First Community Bancorp Inc (FC), Rancho Santa Fe, California acquired Marathon Bancorp (MB), a commercial bank, in a stock swap transaction valued at $20.135 mil. FC offered $1.68 in cash and .1339 common shares per MB share, subject to a collar agreement. Based on FC's closing stock price of $25.10 on May 13, the last full trading day prior to the announcement, each MB share was valued at $5.04.</t>
  </si>
  <si>
    <t>Kayak Acquisition Corp</t>
  </si>
  <si>
    <t>US - Kayak Acquisition Corp, a group comprised of US Vision Inc President William Schwartz and shareholders George Norcross III and Joseph Roberts Jr, acquired the remaining 73.45% interest, or 5.713 mil common shares, which it did not already own, in US Vision Inc (USV), an owner and operator of optical goods stores, for $4.25 in cash per share, or a total value of $24.503 mil, in a going private transaction. Previously, in November 2001, Norcross Roberts Group withdrew plans to acquire the remaining 76% interest in USV.</t>
  </si>
  <si>
    <t>Boron LePore &amp; Associates Inc</t>
  </si>
  <si>
    <t>Provide business services</t>
  </si>
  <si>
    <t>US - Cardinal Health Inc (CH) acquired all the outstanding common stock of Boron LePore &amp; Associates Inc (BLA), a provider of integrated marketing, educational and sales services to the healthcare industry, for $16 in cash per share, or a total value of $202.799 mil. Previously, CH completed its tender offer for BLA by accepting 11.145 mil shares, or 95.2% of BLA's common shares outstanding. The offer was conditioned upon at least 50.1% of BLA's shares being tendered on a fully-diluted basis.</t>
  </si>
  <si>
    <t>Chiles Offshore Inc</t>
  </si>
  <si>
    <t>Pvd drilling oil and gas svcs</t>
  </si>
  <si>
    <t>US - ENSCO International Inc (ES) acquired all the outstanding common stock of Chiles Offshore Inc (CO), a provider of oil and gas drilling services, for $730. 998 mil, including the assumption of $140 mil in liabilities. ES offered .6575 common shares and $5.25 in cash per CO share. Based on ES' closing stock price of $35.36 on May 14, the last full trading day prior to the announcement, each CO share was valued at $28.5.</t>
  </si>
  <si>
    <t>Gerber Childrenswear(Gerber)</t>
  </si>
  <si>
    <t>Mnfr,ret children's wear</t>
  </si>
  <si>
    <t>Kellwood Co</t>
  </si>
  <si>
    <t>Mnfr men's,women's sportswear</t>
  </si>
  <si>
    <t>US - Kellwood Co (KC) acquired all the outstanding common stock of Gerber Childrenswear Inc (GC), a manufacturer and retailer of children's wear, from majority owner Citicorp Venture Capital Ltd, in a stock swap transaction valued at $135.726 mil. KC offered $3.42 in cash and $3.43 in common stock per GC share. Earlier, KC completed its tender offer by accepting 19. 116 mil shares, or 96.4% of GC's common shares outstanding. The offer was conditioned upon at least 70% of GC's shares being tendered.</t>
  </si>
  <si>
    <t>Factual Data Corp</t>
  </si>
  <si>
    <t>Pvd information services</t>
  </si>
  <si>
    <t>US - Fidelity National Information Solutions Inc (FN) , a majority-owned unit of Fidelity National Financial Inc, withdrew its agreement to acquire all the outstanding common stock of Factual Data Corp, a provider of information services to the mortgage and consumer lending industries, for $13. 75 in cash and FN common stock, or a total value of $87.651 mil. FN had the option to pay in either all cash or up to 50% in cash and the remainder in FN common stock.</t>
  </si>
  <si>
    <t>Liberty Bancorp,Avenel,NJ</t>
  </si>
  <si>
    <t>New Southern Bank,Macon,GA</t>
  </si>
  <si>
    <t>US - NSB Holding Corp (NSB) acquired all the outstanding common stock of Liberty Bancorp (LBC), Avenel, New Jersey, a bank holding company and a majority-owned unit of Liberty Bancorp MHC, for $26.50 in cash per share, or a total value of $89.41 mil. Upon completion of the going private transaction, LBC eliminated its mutual holding designation, and the company's operations were to merged into NSB's Northfield Savings Bank subsidiary.</t>
  </si>
  <si>
    <t>Mid Valley Bank, Red Bluff,CA</t>
  </si>
  <si>
    <t>Western Sierra Bancorp,CA</t>
  </si>
  <si>
    <t>US - Western Sierra Bancop (WSB), Cameron Park, California, withdrew its agreement to acquire all the outstanding common stock of Mid Valley Bank, Red Bluff, California, a commercial bank, in a stock swap transaction valued at $22.797 mil. The consideration was to consist of $8.4 mil in cash and $14. 397 mil in WSB common stock, subject to a collar agreement. MVB shareholders were to have the right to elect to recieve the consideration in cash, stock, or any combination thereof, subject to proration whereby $8.4 mil of the consideration was to be paid in cash.</t>
  </si>
  <si>
    <t>Video Network Communications</t>
  </si>
  <si>
    <t>Mnfr video commun equip</t>
  </si>
  <si>
    <t>Moneyline Telerate</t>
  </si>
  <si>
    <t>Pvd database info svcs</t>
  </si>
  <si>
    <t>US - Moneyline Telerate (MLT) , a majority-owned unit of Banc One Corp's One Equity Partners subsidiary, agreed to acquire a 51.404% interest, or 15 mil new common shares, on a fully-diluted basis, in Video Network Communications Inc (VNC), a manufacturer of video communication equipment, for $.60 in cash per share, or a total value of $15 mil. Moreover, as part of the transaction, MLT was to acquire warrants exercisable into an additional 11.25 mil VNC common shares at a price of $.60 per share. Concurrently, VNC agreed to acquire all the outstanding stock B2B Video Network Corp (BVN), a provider of IP multicast broadcast services, in a stock swap transaction; and, an investor group, including Dalewood Associates LP, Wheatley Partners and K.B. (CI) Nominees Ltd, agreed to acquire a 38.066% stake, or 18.5 mil new common shares, on a fully diluted basis, in VNC, in a privately negotiated transaction. The transactions were to culminate in a strategic alliance agreement, according to which VNC and BVN were to license software and network services in exchange for MTH's equipment distribution services.</t>
  </si>
  <si>
    <t>Spectrian Corp</t>
  </si>
  <si>
    <t>US - Remec Inc (REM) acquired all the outstanding common stock of Spectrian Corp (SPC), a manufacturer of broadcasting equipment, in a stock swap transaction valued at $39.371 mil. REM offered an amended 1 common share per SPC share. Based on REM's closing stock price $3.44 on October 29, the last full trading day prior the amendment of terms, each SPC share was valued at $3.44. Originally, in May 2002, REM offered a choice of $14 in cash, common stock or a combination thereof per REM share, subject to a collar agreement. Moreover, the transaction was subject to proration, whereby no more than $45 mil of the consideration offered was to be payable in cash. Upon completion, REM shareholders owned approximately 80%, and SPC sharedholders owned approximately 20%, of the combined company, on a fully- diluted basis. The transaction terms were amended based on extreme changes in market conditions since the original announcement date.</t>
  </si>
  <si>
    <t>US - Citigroup Inc (CI) acquired Golden State Bancorp Inc, San Francisco, California (GSB), a bank holding company, in a stock swap transaction valued at $5. 883 bil. CI offered $16.40 in cash and .5234 common shares per GSB share, whereby GSB shareholders were to have a choice to receive all cash, all stock, or any combination thereof, subject to proration. Based on CI's closing stock price of $45.85 on May 20, the last full trading day prior to the announcement, each GSB share was valued at $40.40.</t>
  </si>
  <si>
    <t>US - Carl Icahn (CI) withdrew his challenging unsolicited offer to acquire the remaining 93.15% interest or 3.9 mil common shares, which he did not already own, in Morton's Restaurant Group Inc (MR), an owner and operator of restaurants, for a thrice sweetened $17 in cash per share, or a total value of $69.981 mil. Previously, CI offered a twice sweetened $16 in cash per share. Subsequently, CI offered a sweetened $15 in cash per share, or a total value of $64.208 mil. Originally, CI offered $13.50 in cash per share for the remaining 93.15% interest in MR. Previously, Castle Harlan Inc agreed to acquire all the outstanding common stock of MR.</t>
  </si>
  <si>
    <t>Castle Harlan Inc</t>
  </si>
  <si>
    <t>US - Castle Harlan Inc (CHI) acquired all the outstanding common stock of Morton's Restaurant Group Inc (MR), an owner and operator of restaurants, for a thrice sweetened $17 in cash per share, or a total value of $71.054 mil. Previously, CHI offered $16 in cash per share, or a total value of $66.874 mil. Subsequently, CHI offered $13.50 in cash per share. Originally, CHI offered $12.60 in cash per share, or a total value of $52.664 mil. Consequently, Carl Icahn announced a challenging offer for all the oustanding stock of MR. Concurrently, MR amended its poison pill to exempt CHI from all provisions of the rights agreement.</t>
  </si>
  <si>
    <t>SurgiCare Inc</t>
  </si>
  <si>
    <t>Own,op surgical ctr</t>
  </si>
  <si>
    <t>US - Surgicare Inc, an owner and operator of surgical centers, was in negotiations to divest the company to an undisclosed acquiror.</t>
  </si>
  <si>
    <t>US - SymmetriCom Inc (SCI) acquired all the outstanding common stock of Datum Inc (DTI), a manufacturer and wholesaler of time and frequency products, in a stock swap transaction valued at $111.526 mil. SCI offered 2.7609 common shares per DTI share. Based on SCI's closing stock price of $6.10 on May 22, the last full trading day prior to announcement, each DTI share was valued at $16. 841. The exact exchange ratio was subject to certain adjustments based upon the total transaction fees determined upon completion of the merger.</t>
  </si>
  <si>
    <t>ComVest Ventures</t>
  </si>
  <si>
    <t>US - ComVest Ventures acquired an 84.8% interest, or 9.815 mil common shares, in Bio-Plexus Inc, a manufacturer of safety needles used in blood collection, from Appaloosa Management LP, for $5 mil.</t>
  </si>
  <si>
    <t>EEX Corp(ENSERCH Corp)</t>
  </si>
  <si>
    <t>Newfield Exploration Co</t>
  </si>
  <si>
    <t>US - Newfield Exploration Co (NE) acquired all the outstanding common stock of EEX Corp (EC), an oil and gas exploration and production company, from ENSERCH Corp, in a stock swap transaction valued at $620.918 mil, including the assumption of an estimated $360 mil in liabilities. NE offered . 05703 common shares per EC share, and 4.7 mil common shares for all the preferred stock of EC; whereby shareholders were to have a choice to receive all stock or units in a new trust. Based on NE's closing stock price of $36.63 on May 28, the last full trading day prior to the announcement, each EC share was valued at $2.089. Upon completion, EC changed its name to Newfield Exploration Gulf Coast Inc.</t>
  </si>
  <si>
    <t>First Banks America Inc,MO</t>
  </si>
  <si>
    <t>US - First Banks America Inc, Clayton, Missouri, planned to acquire the remaining 7.8% stake, or .811 mil common shares, which it did not already own, in First Banks America Inc, Houston,Texas (FBAH), a bank holding company, for an undisclosed amount in cash. Subsequently, in August 2002, FBAH planned to launch a self-tender offer to repurchase the remaining the remaining .802 mil common shares, or 6.24% of the company's common stock outstanding.</t>
  </si>
  <si>
    <t>SignalSoft Corp</t>
  </si>
  <si>
    <t>Openwave Systems Inc</t>
  </si>
  <si>
    <t>Dvlp communication software</t>
  </si>
  <si>
    <t>US - Openwave Systems Inc (OSI) acquired all the outstanding common stock of SignalSoft Corp (SSC), a developer of software, for $2. 26 in cash per share, or a total value of $58.807 mil. Earlier OSI completed its tender offer for SSC by accepting 24.5 mil shares, or 96.9% of SCC's common shares outstanding. The offer was conditioned upon at least 66. 7% of SSC's shares being tendered on a fully-diluted basis.</t>
  </si>
  <si>
    <t>Dave &amp; Busters Inc</t>
  </si>
  <si>
    <t>US - A management-led investor group (IG), comprised of Dave and Buster's Inc's senior executive management and Investcorp Bank EC, withdrew its a tender offer to acquire all the outstanding common stock of Dave and Buster's Inc (DB), an owner and operator of restaurants, for a sweetened $13.5 in cash per share, or a total value of $274.9 mil, including the assumption of an estimated $95.8 mil in liabilities. Originally, IG offered $12 in cash per share, or a total value of $256.287 mil, including the assumption of an estimated $95.8 mil in liabilities. The sweetened offer was conditioned upon at least 66.667% of DB's shares being tendered. Previously, the offer was conditioned upon at least 80% of DB's shares being tendered. Upon the expiration of the original tender offer all shares previously tendered were returned to the stockholders of DB who had validly tendered and not withdrawn their shares.</t>
  </si>
  <si>
    <t>Official Payments Corp</t>
  </si>
  <si>
    <t>Pvd electronic payment options</t>
  </si>
  <si>
    <t>Tier Technologies Inc</t>
  </si>
  <si>
    <t>Pvd electn payment solutions</t>
  </si>
  <si>
    <t>US - Tier Technologies Inc (TT) acquired all the outstanding common stock of Official Payments Corp (OP), a provider of electronic payment options services to the government, for $3 in cash per share, or a total value of $75.781 mil. Previously, TT completed its tender offer for OP by accepting 22.360 mil shares, or 97.5% of OP's common shares outstanding. The offer was condiitioned upon at least a majority of OP's shares being tendered on a fully-diluted basis.</t>
  </si>
  <si>
    <t>Cardinal Bankshares Corp,VA</t>
  </si>
  <si>
    <t>US - Mountainbank Financial Corp, Hendersonville, North Carolina withdrew from its agreement to acquire all the outstanding common stock of Cardinal Bankshares Corp, Floyd, Virginia, a banking holding company, in a stock swap transaction valued at $36.9 mil. The consideration was to consist of a combination of $36.9 mil in common stock and convertible preferred stock.</t>
  </si>
  <si>
    <t>USA Interactive</t>
  </si>
  <si>
    <t>US - InterActiveCorp, formerly known as USA Interactive (UI), acquired the remaining 38.811% stake, or 83.311 mil common shares, which it did not already own, in Expedia Inc (EI), a provider of online travel services for leisure and small businesses, in a stock swap transaction valued at a sweetened $3.636 bil. UI offered 1.93875 common shares per EI share held. Based on UI's closing stock price of $26.49 on March 18, the last full trading day prior to the announcement of the amended terms, each EI share was valued at $51.357 on a post- split basis. Previously, on March 10, 2003, EI recorded a 2-for-1 stock split. Previously, UI withdrew its unsolicited bid to acquire the remaining 22.973% stake in EI. UI had offered 2.6969 common shares per EI share. Concurrently, UI withdrew its plans to acquire the remaining 32% stake, which it did not already own, in Hotels.com. Moreover, UI acquired the remaining 32. 985% stake, which it did not already own, in Ticketmaster.</t>
  </si>
  <si>
    <t>Hotels.com</t>
  </si>
  <si>
    <t>US - USA Interactive (UI) withdrew its plans to make an unsolicited bid to acquire the remaining 32% stake, which it did not already own, in Hotels.com (HC), a provider of discount hotel accommodations services, in a stock swap transaction valued at $1.015 bil. UI offered 1. 8064 common shares per HC share. Based on UI's closing stock price of $28.5 on May 31, the last full trading day prior to the announcement, each HC share was valued at $51.482. Concurrently, UI planned to acquire the remaining 32.985% stake, which it did not already own, in Ticketmaster. Also, UI withdrew its plans to acquire the remaining 22.973% stake, which it did not already own, in Expedia Inc.</t>
  </si>
  <si>
    <t>Fortress Bancshares Inc,WI</t>
  </si>
  <si>
    <t>Merchants,Mnfr Bancorp Inc,WI</t>
  </si>
  <si>
    <t>US - Merchants &amp; Manufacturers Bancorp Inc, West Berlin, Wisconsin, acquired Fortress Bancshares Inc, Westby, Wisconsin, a commercial bank, in a stock swap transaction valued at $20.28 mil. The consideration consisted of a combination of $30 in cash and common stock per share; whereby 55% of the consideration was to be in stock and 45% in cash.</t>
  </si>
  <si>
    <t>Sothebys Holdings Inc</t>
  </si>
  <si>
    <t>Pvd auctioneering svcs</t>
  </si>
  <si>
    <t>US - In February 2003, Sotheby's Holdings Inc (SH) (SH), a provider of auctioning, real estate brokerage and credit services, withdrew its plans to seek a buyer for the company. Former Chairman Alfred Taubman (AT) held approximately a 21.6% stake, or 13.2 mil Class B common shares, in SH which represented 62.9% of the voting control. Originally in June 2002, SH and AT announced that they were seeking a buyer for the company or the sale of AT's stake.</t>
  </si>
  <si>
    <t>Tumbleweed Inc</t>
  </si>
  <si>
    <t>Owns and operates restaurants</t>
  </si>
  <si>
    <t>US - A management-led investor group, comprised of Mr. Gerald Mansbach, the company's largest shareholder, Mr. Terrace A Smith, the company's CEO, and Mr. David M Roth, the director withdrew plans to launch an unsolicited tender offer to acquire the remaining 53.8%, which they did not already own, in Tumbleweed Inc, an owner and operator of southwest mesquite grill &amp; bar franchise restaurants, for $1.75 in cash per share, or a total value of $5.652 mil, in a leveraged buyout transaction.</t>
  </si>
  <si>
    <t>Birner Dental Mngmt Svcs Inc</t>
  </si>
  <si>
    <t>Pvd dental mgmt svcs</t>
  </si>
  <si>
    <t>ADG Inc</t>
  </si>
  <si>
    <t>US - ADG Inc withdrew its unsolicited bid to acquire all the outstanding common stock of Birner Dental Management Services Inc, a provider of dental management services, for $12 per common share, or a total value of $20.033 mil.</t>
  </si>
  <si>
    <t>Zones Inc</t>
  </si>
  <si>
    <t>Whl info tech prod</t>
  </si>
  <si>
    <t>Firoz Lalji</t>
  </si>
  <si>
    <t>US - Firoz H. Lalji, Chariman and Chief Executive Officer of Zones Inc (ZI), raised his stake to 50.061% from 37.222% in ZI, an owner and operater of catalog and mail-order houses for microcomputer hardware, software, peripherals and accessories, by acquiring 1. 744 mil common shares in the open market and privately negotiated transaction.</t>
  </si>
  <si>
    <t>US - An investor group led by Harold Van Arnem withdrew its challenging tender offer to acquire all the outstanding common stock of Partsbase Inc (PB), a provider of ecommerce retail services to the aviation industry, for $1.30 in cash per common share, or a total value of $18.207 mil, in a going private transaction. Previously, an investor group, including PB's CEO and president Robert Hammond, acquired the remaining 35.8% interest which it did not already own, in PB. Subsequently, Airoperations. com withdrew its challenging tender offer to acquire all the outstanding common stock of PB.</t>
  </si>
  <si>
    <t>SilverStream Software Inc</t>
  </si>
  <si>
    <t>Pvd Web-service offerings</t>
  </si>
  <si>
    <t>US - Novell Inc (NI) acquired all the outstanding common stock of SilverStream Software Inc (SS), a provider of solutions for building, deploying and managing large scale Internet, e-commerce, business to business, enterprise portal and intranet applications, for $9 in cash per share, or a total value of $212.282 mil. Earlier, NI completed its tender offer for SS by accepting 23.369 mil shares, or 93% of SS' common shares outstanding. The offer was conditioned upon at least a majority of SS' shares being tendered on a fully-dilluted basis.</t>
  </si>
  <si>
    <t>SkillSoft Corp</t>
  </si>
  <si>
    <t>US - SmartForce PLC (SF) merged with SkillSoft Corp (SS), a provider of soft- skills training courses that are accessible by users through corporate intranets, in a stock swap transaction valued at $231.252 mil. SF offered 2.3674 common shares per SS share. Based on SF's closing stock price of $5.35 on June 7, the last full trading day prior to the announcement, each SS share was valued at $12.67. Upon completion, SF shareholders held 58% of the combined company while SS shareholders held the remaining 42%. Moreover, SF began doing business as SS while it began the process of legally changing its name to SS.</t>
  </si>
  <si>
    <t>Technisource Inc</t>
  </si>
  <si>
    <t>Pvd technical support svcs</t>
  </si>
  <si>
    <t>Intellimark Holdings Inc</t>
  </si>
  <si>
    <t>US - Intellimark Holdings Inc (IHI) acquired all the outstanding common stock of of Technisource Inc (TNI), a provider of technical support services, for $4 in cash per share, or a total value of $42.764 mil. Earlier, IHI completed its tender offer for TNI by accepting 10.03 mil shares, or 98.7% of TNI's common shares outstanding. The offer was conditioned upon at least 66.667% of TNI's shares being tendered.</t>
  </si>
  <si>
    <t>Hispanic Broadcasting Corp</t>
  </si>
  <si>
    <t>Own,op radio bdcstg stn</t>
  </si>
  <si>
    <t>Univision Communications Inc</t>
  </si>
  <si>
    <t>Own,op Spanish TV stations</t>
  </si>
  <si>
    <t>US - Univision Communications Inc (UVC) acquired Hispanic Broadcasting Corp (HBC), an owner and operator of Spanish- language radio broadcasting stations, in a stock swap transaction valued at $3.538 bil. UVC offered .85 Class A common shares per HBC share. Based on UVC's closing stock price of $37.7 on June 11, the last full trading day prior to announcement, each HBC share was valued at $32. 045. Upon completion, HBC shareholders where to hold approximately 26.5% of UVC. The US Justice Department agreed not to object to the acquisition, if UVC converts all of its capital stock of Entravision Communications Corp (ECC) into a new class of non-voting preferred stock, and if over the next six years, UVC sells enough of its ECC stock so that UVC's ownership does not exceed 15% at the end of three years and 10% at the end of six years.</t>
  </si>
  <si>
    <t>Vestcom International Inc</t>
  </si>
  <si>
    <t>Pvd document management svcs</t>
  </si>
  <si>
    <t>Cornerstone Equity Investors</t>
  </si>
  <si>
    <t>US - Cornerstone Equity Investors IV LP acquired all the outstanding common stock of Vestcom International Inc, a provider of document management services, for an estimated $77.086 mil, in a leveraged buyout transaction. The consideration consisted of $6.25 in cash per share and the assumption of an estimated $18.395 mil in liabilities.</t>
  </si>
  <si>
    <t>Medford Bancorp Inc,Medford,MA</t>
  </si>
  <si>
    <t>US - Citizens Financial Group Inc, a unit of Royal Bank of Scotland Group, acquired all the outstanding common stock of Medford Bancorp Inc (MBI), Medford, Massachusetts, a bank holding company, for $35 in cash per share, or a total value of $283.135 mil. Originally, in June 2002, MBI was rumored to be seeking a buyer for the company.</t>
  </si>
  <si>
    <t>Seabulk International Inc</t>
  </si>
  <si>
    <t>US - An investor group, comprised of Carlyle/ Riverstone Global Energy and Power Fund and DLJ Merchant Banking Partners III LP, a unit of the Donaldson Lufkin &amp; Jenrette subsidiary of CS First Boston Group Inc's (CSFB) Credit Suisse First Boston unit, CSFB was a unit of Credit Suisse Group, acquired a 54.19% interest, or 12.5 mil newly issued common shares, in Seabulk International Inc (SII), a provider of transportation services, for $8 per share, or a total value of $100 mil. Concurrently, the investor group raised its interest to 76.73% from 54.19%, by acquiring 5.2 mil common shares, in SII, from Loomis Sayles &amp; Co.</t>
  </si>
  <si>
    <t>Syncor International Corp</t>
  </si>
  <si>
    <t>Whl diagnostic imaging agents</t>
  </si>
  <si>
    <t>US - Cardinal Health Inc (CHI) acquired all the outstanding common stock of Syncor International Corp (SIC), a wholesaler of radiopharmaceuticals, in a stock swap transaction valued at an amended $998.162 mil, including the assumption of $202 mil in liabilities. CHI offered an amended .47 shares per SIC share. Based on CHI's closing stock price of $62.25 on December 3, the last full trading day prior to the amendment, each SIC share was valued at $29.26. Originally, in June 2002, CHI offered .52 shares per SIC share, including the assumption of $202 mil in liabilities.</t>
  </si>
  <si>
    <t>Fortress Group Inc</t>
  </si>
  <si>
    <t>US - Lennar Corp (LC) acquired 6.644 mil common shares, on a fully diluted basis, or a 73.131% majority interest, in Fortress Group Inc (FGI), a residential buildings construction company, from Prometheus Homebuilders LLC (PH) and Robert Short, for $41.142 mil in cash. The transaction included .0285 mil Class AAA convertible preferred shares at $.0598 mil per share, or a total of $17.034 mil, 5.938 mil warrants to purchase common shares at $3.64 per warrant, or a total value of $21.613 mil and .678 mil common shares at $3.68 per share, or a total value of $2. 496 mil. LC purchased .025 mil pfd shares, .225 mil common shares and 5.208 mil warrants from PH. LC acquired .0035 mil pfd shares, .453 mil common shares and .729 mil warrants from Short. Concurrently, LC planned to launch a tender offer to acquire the undisclosed remaining minority stake, which it did not already own in FGI.</t>
  </si>
  <si>
    <t>US - Lennar Corp (LC) acquired the remaining 2.441 mil common shares, or 26.869% interest on a fully diluted basis, which it did not already own, in Fortress Group Inc (FGI), a residential buildings construction company, for $3. 68 in cash per share, or a total value of $112.183 mil, including the assumption of $103.2 mil in liabilities. Earlier, LC completed its tender offer for FGI, by accepting 2.231 mil shares, or 91.4% of FGI's shares outstanding. Concurrently, LC acquired a 73.131% interest in FGI, from Prometheus Homebuilders LLC and Mr. Robert Short.</t>
  </si>
  <si>
    <t>Mississippi Valley Bancshares</t>
  </si>
  <si>
    <t>US - Marshall &amp; Ilsley Corp (MI), Milwaukee, Wisconsin, merged with Mississippi Valley Bancshares Inc (MVB), St Louis, Missouri, a commercial bank holding company, in a stock swap transaction valued at $507. 508 mil. MI offered $26.25 in cash and .8486 common shares on a post 2-for-1 stock split basis per MVB share, subject to a collar agreement. Based on MI's closing stock price of $30.475 on June 14, the last full trading day prior to the announcement, each MVB share was valued at $52.093.</t>
  </si>
  <si>
    <t>IBL Bancorp Inc,Plaquemine,LA</t>
  </si>
  <si>
    <t>Shay Investment Services Inc</t>
  </si>
  <si>
    <t>US - Shay Investment Services Inc acquired all the outstanding common stock of IBL Bancorp Inc, Plaquemine, Louisiana, a commercial bank holding company, for $24 in cash per share, or a total value of $5.303 mil, in a going private transaction.</t>
  </si>
  <si>
    <t>Pharmakinetics Laboratories</t>
  </si>
  <si>
    <t>Pvd pharma testing svcs</t>
  </si>
  <si>
    <t>Bioanalytical Systems Inc</t>
  </si>
  <si>
    <t>US - Bioanalytical Systems Inc (BSI) acquired all the outstanding common stock of Pharmakinetics Laboratories Inc (PLI), a provider of pharmaceutical testing services, in a stock swap transaction valued at 7.022 mil. Bioanalytical Systems Inc offered .083 shares per PLI share and a $5 mil promissory note. Based on BSI's closing stock price of $5.35 on June 20, the last full trading day prior to announcement, each PLI share was valued at $.44. Concurrently, BSI agreed to acquire LC Resources Inc. Subsequently, the parties modified the stock swap acquisition agreement to include the following adjustments: all shares of PLI common stock held by BSI were cancelled upon completion, BSI was given the right to terminate the agreement in the event that Class A convertible preferred shareholders exercised their conversion rights and finally, the right to terminate date was extended from December 31, to March 31.</t>
  </si>
  <si>
    <t>CNB Holdings Inc,Pulaski,VA</t>
  </si>
  <si>
    <t>US - MountainBank Financial Corp (MBF), Hendersonville, North Carolina, acquired all the outstanding common stock of CNB Holdings Inc, Pulaski, Virginia, a bank holding company, for an estimated $13. 8 mil in a combination of cash and MBF common stock.</t>
  </si>
  <si>
    <t>Donnelly Corp</t>
  </si>
  <si>
    <t>Mnfr glass auto parts</t>
  </si>
  <si>
    <t>US - Magna International Inc (MI), a majority-owned unit of Stronach Trust, acquired Donnelly Corp (DON), a manufacturer of rearview mirror systems, modular window systems, and handle products, in a stock swap transaction valued at $377. 111 mil, including the assumption of $95 mil in liabilities. MI offered .459 Class A subordinated voting shares per DON share held. The shares were valued based on MI's closing stock price of $56.38 on September 30, the last full trading day prior to the announcement of the exact exchange ratio, each DON share was valued $25. 878. Originally, MI offered $28 Class A subordinated shares per DON share held, subject to a collar agreement which was subsequently breached. Upon completion, DON was merged with MI's mirror division and renamed Magna Donnelly.</t>
  </si>
  <si>
    <t>Penn Virginia Corp</t>
  </si>
  <si>
    <t>US - BP Capital Energy Equity Fund LP withdrew its unsolicited bid to acquire the remaining 92.4% interest, or 8.244 mil common shares, which it did not already own, in Penn Virginia Corp, a crude oil and natural gas exploration, acquisition, development and production company, for $40 in cash per share, or a total value of $334.812 mil.</t>
  </si>
  <si>
    <t>Wink Communications Inc</t>
  </si>
  <si>
    <t>Dvlp tv broadcasting system</t>
  </si>
  <si>
    <t>Liberty Broadband Interactive</t>
  </si>
  <si>
    <t>US - Liberty Broadband Interactive Television Inc, a unit of Liberty Media Corp, acquired all the outstanding common stock of Wink Communications Inc, a developer of television broadcasting systems, for $3. 00 in cash per share, or a total value of $101.182 mil.</t>
  </si>
  <si>
    <t>Gateway American Bancshares</t>
  </si>
  <si>
    <t>PCB Bancorp Inc,Largo,Florida</t>
  </si>
  <si>
    <t>US - PCB Bancorp, Largo, Florida acquired all the outstanding common stock of Gateway American Bancshares Inc, Ft Lauderdale, Florida, a commercial bank, for an estimated $10 mil.</t>
  </si>
  <si>
    <t>Garan Inc</t>
  </si>
  <si>
    <t>Manufacture apparel</t>
  </si>
  <si>
    <t>US - Berkshire Hathaway Inc acquired Garan Inc (GI), a manufacturer of children's clothing, for $60 in cash per GI common share, or a total value of $270.575 mil.</t>
  </si>
  <si>
    <t>Paypal Inc</t>
  </si>
  <si>
    <t>Pvd Web-based payment svcs</t>
  </si>
  <si>
    <t>US - eBay Inc (EB) acquired all the outstanding common stock of PayPal Inc (PP), a provider of web based payment services, in a stock swap transaction valued at $1.486 bil. EB offered .39 common shares per PP share. Based on EB's closing stock price of $60.55 on July 5, the last full trading day prior to the announcement, each PP share was valued at $23.615.</t>
  </si>
  <si>
    <t>SureBeam Corp(Titan Corp)</t>
  </si>
  <si>
    <t>Pvd patented electronic system</t>
  </si>
  <si>
    <t>US - Titan Corp (TC) completed its spinoff of its 81.42% interest in SureBeam Corp (SC), a provider of patented and proprietary electronic irradiation systems and services for the food industry, to its shareholders in a transaction valued at $168.224 mil. TC shareholders received .6986 SC shares for every TC share held. The shares were valued based on SC's closing stock price of $3.09 on August 5, the first full trading day on which the shares were distributed. Previously, TC splitoff a 10.02% stake, or 6. 7 mil common shares, in its SC subsidiary through an initial public offering.</t>
  </si>
  <si>
    <t>Wackenhut Corrections Corp</t>
  </si>
  <si>
    <t>US - Group 4 Falck A/S (GFA) withdrew its search for a buyer of its 57% interest, or 12.063 mil commons shares, in Wackenhut Corrections Corp (WCC), an owner and operator of private correctional and detention facilities. Subsequently, in May 2003, the board of WCC authorized the repurchase of the 57% interest, from GFA. Previously, GFA also announced that it was seeking a buyer for its Wackenhut Resources Inc subsidiary. Originally, in July 2002, GFA announced that it was seeking a buyer for its 57% interest in WCC.</t>
  </si>
  <si>
    <t>Wyman Park Bancorp,MD</t>
  </si>
  <si>
    <t>Bradford Bank,Rodgers Forge,MD</t>
  </si>
  <si>
    <t>US - Bradford Bank, Rodgers Forge, Maryland, acquired all the outstanding common stock of Wyman Park Bancorp, Lutherville, Maryland, a commercial bank, for $14.55 per share, or a total value of $13.479 mil.</t>
  </si>
  <si>
    <t>US - VoiceStream Wireless Corp, a unit of Deutsche Telekom AG, was rumored to be in negotiations to acquire AT&amp;T Wireless Services Inc, a provider of cellular telecommunications services, from AT&amp;T Corp. The Current status of this deal is unknown.</t>
  </si>
  <si>
    <t>Houston Exploration Co</t>
  </si>
  <si>
    <t>US - In July 2002, THEC Holdings Corp, a unit of KeySpan Energy Corp's (KSE) Brooklyn Union Gas Co subsidiary (BUG), withdrew its plans of seeking a buyer for its 67% interest, or an estimated 20.434 mil common shares, in its majority-owned Houston Exploration Co unit, an oil and gas exploration and production company. Concurrently, North East Transmission Co Inc, a unit of BUG, announced that it was seeking a buyer for a 20% stake in its Iroquois gas transmission system; KeySpan Energy Development, a unit of KSE, announced that it was seeking a buyer for its KeySpan Energy Canada unit; and KSE announced that it was seeking a buyer for its KeySpan exploration and production unit.</t>
  </si>
  <si>
    <t>Celeritek Inc</t>
  </si>
  <si>
    <t>Anaren Microwave Inc</t>
  </si>
  <si>
    <t>US - Anaren Inc, formerly known as Anaren Microwave Inc, withdrew from its unsolicited offer to acquire the remaining 93.65% interest, or 11.455 mil common shares, which it did not already own in Celeritek Inc, a manufacturer of semiconductors, for $8.75 per share or a total value of $102.439 mil.</t>
  </si>
  <si>
    <t>Mnfr particle beam systems</t>
  </si>
  <si>
    <t>US - Veeco Instruments Inc (VI) withdrew its definitive agreement to acquire all the outstanding common stock of FEI Co (FEI), a manufacturer and wholesaler of products based on charged particle beam technology, in a stock swap transaction valued at $1. 128 bil. VI offered 1.355 common shares per FEI share. Based on VI's closing stock price of $22.49 on July 11, the last full trading day prior to the announcement, each FEI share was valued at $30.474. Upon completion, VI was to change its name to Veeco FEI Inc.</t>
  </si>
  <si>
    <t>Pharmacia Corp</t>
  </si>
  <si>
    <t>US - Pfizer Inc (PFI) acquired all the outstanding common stock of Pharmacia Corp (PHC), a manufacturer of pharmaceutical products, in a stock swap transaction valued at $59.515 bil. PFI offered 1. 4 common shares per PHC share. Based on PFI's closing stock price of $32.20 on July 12, 2002, the last full trading day prior to the announcement, each PHC share was valued at $45.08. Upon completion, PFI shareholders were to own 77% of the combined entity, while PHC shareholders were to hold the remaining 23%. Previously, in August 2002, PH completed the spinoff of its remaining 84% interest in Monsanto to its shareholders. Concurrently, PHC amended its poison pill to exempt PFI from all provisions of the rights agreement.</t>
  </si>
  <si>
    <t>Elution Technologies Inc</t>
  </si>
  <si>
    <t>Mnfr automotive electronics</t>
  </si>
  <si>
    <t>US - Nostalgia Motorcars Inc (NM) agreed to acquire Elution Technologies Inc (ET), a manufacturer of electronic components for the automotive industry. Upon completion, NM was to change it's name to ET.</t>
  </si>
  <si>
    <t>WFS Financial Inc</t>
  </si>
  <si>
    <t>US - Westcorp (WC) withdrew its plans to acquire the remaining 16% stake, which it did not already own in WFS Financial Inc (WF), a provider of automobile financing and personal credit services, in exchange for $149.326 mil. WC offered . 9204 shares per WF common share. Based on WC's closing stock price of $24.39 on July 16, the last full trading day prior to the announcement. Each WF share was valued at $22.449.</t>
  </si>
  <si>
    <t>Big Foot Financial Corp</t>
  </si>
  <si>
    <t>Midwest Banc Holdings Inc</t>
  </si>
  <si>
    <t>US - Midwest Banc Holdings Inc (MB) acquired all the outstanding common stock of Big Foot Financial Corp (BF), a bank holding company, in a stock swap transaction, valued at $33.583 mil. MB offered 1.104 common shares per BF share. Based on MB's closing stock price on July 19, the last full trading day prior to the announcement, each BF share was valued at $21.274.</t>
  </si>
  <si>
    <t>Finger Lakes Bancorp Inc</t>
  </si>
  <si>
    <t>First Niagara Financial Group</t>
  </si>
  <si>
    <t>US - First Niagara Financial Group Inc (FNF), Lockport, New York, definitively acquired all the outstanding common stock of Finger Lakes Bancorp Inc, Geneva, New York, a bank holding company, for $20 in cash and common stock per share, or a total value of $67.066 mil. 50% of the consideration was to be paid in cash and 50% was to be paid in FNF conversion stock. Concurrently, FNF adopted a Plan of Conversion to convert the Mutual Holding Co (MHC), which held approximately 62% of FNF's outstanding common stock, to a capital stock corporation. Upon consummation of the conversion, the MHC was to cease to exist and its FNF shares were to be cancelled. Existing FNF common shares held by public shareholders were to be exchanged for new shares of FNF pursuant to an exchange ratio that had yet to be determined.</t>
  </si>
  <si>
    <t>Bank of the Northwest,Portland</t>
  </si>
  <si>
    <t>Pacific Northwest Bancorp,WA</t>
  </si>
  <si>
    <t>US - Pacific Northwest Banorp (PNB), Harbor, Washington, launched a tender offer to acquire Bank of the Northwest (BNW), Portland, Oregon, a commercial bank, in a stock swap transaction valued at $58.822 mil. PNB offered a choice of $22.5 in cash or .82 common shares per BNW share. The deal was subject to a proration whereby approximately 35% was to be paid in cash and 65% was to be paid in PNB common stock. The consideration was to consist of $20.582 mil in cash and 1.393 PNB common shares valued at $38.24 mil. The shares where valued based on PNB's closing stock price of $27.45 on July 22, the last full trading day prior to the announcement.</t>
  </si>
  <si>
    <t>Centennial Bancorp,Portland,OR</t>
  </si>
  <si>
    <t>US - Umpqua Holdings Corp (UHC) acquired Centennial Bancorp, Portland Oregon (CB), a commercial bank holding company, in a stock swap transaction valued at $222. 246 mil. UHC offered a choice of $9.35 in cash per common share or .5343 UHC common shares per CB share, subject to proration whereby 65% of the consideration was to be paid in UHC common stock and the remaining 35% was to be paid in cash. Upon completion, CB was integrated into Umpqua Bank.</t>
  </si>
  <si>
    <t>ChemFirst Inc</t>
  </si>
  <si>
    <t>US - E I Du Pont De Nemours And Co, doing business as DuPont Co, acquired all the outstanding common stock of ChemFirst Inc, a manufacturer of industrial chemicals, for $29.20 in cash per share, or a total value of $428.732 mil.</t>
  </si>
  <si>
    <t>Franklin Financial Corp,TN</t>
  </si>
  <si>
    <t>US - Fifth Third Bancorp (FTB), Cincinnati, Ohio acquired all the outstanding common stock of Franklin Financial Corp (FFC), Franklin, Tennessee, a bank holding company, in a stock swap transaction valued at $256.509 mil. FTB offered a sweetened $31 in common stock per FFC share. Originally, in July 2002, FTB offered .4039 shares per FFC share, subject to a collar agreement. Based on FTB 's closing stock price of $60.88 on July 22, 2002 the last full trading day prior to announcement, each FFC share was valued at $24. 589. The transaction was to be accounted for as a pooling of interests.</t>
  </si>
  <si>
    <t>inSilicon Corp</t>
  </si>
  <si>
    <t>US - Synopsys Inc (SPI) acquired all the outstanding common stock of InSilicon Corp (ISC), a manufacturer of semiconductors, and a majority-owned unit of Phoenix Technologies Ltd, for $4.05 in cash per share, or a total value of $64.107 mil. Earlier, SPI completed its tender offer for ISC by accepting 15.385 mil shares, or 94.05% of ISC's common shares outstanding. The offer was conditioned upon at least a majority of ISC's shares being tendered.</t>
  </si>
  <si>
    <t>Samuel J Heyman</t>
  </si>
  <si>
    <t>US - Samuel J Heyman, chairman of International Specialty Products Inc (ISP), a manufacturer of chemicals used in manufacturing solvents, acquired the remaining 12.965 mil common shares, or 20% stake, which he did not already own, in ISP, for a sweetened $10.30 in cash per share, or a total value of $137.462 mil, in a leveraged buyout transaction. Originally, in July 2002, Mr. Heyman made an unsolitcited bid to acquire ISP for $10 in cash per share.</t>
  </si>
  <si>
    <t>Netro Corp</t>
  </si>
  <si>
    <t>US - Wyndcrest Holdings LLC (WH) withdrew its unsolicited offer to acquire all the outstanding common stock of Netro Corp, a provider of wireless access systems, for a twice sweetened $4.15 per common share, or a total value of $256.822 mil. Originally, WH offered $4.01 per common share for a total value of $247.797 mil. Subsequently, WH offered $4. 05 per common share.</t>
  </si>
  <si>
    <t>US - Valhi Inc (VL), a unit of Contran Corp's Amalgamated Group Inc subsidiary, acquired the remaining 19. 772%, or 1.27 mil common shares, which it did not already own, in Tremont Corp (TC), a manufacturer of drilling lubricants, for $26. 837 mil. VL offered 3.4 shares per TC share. Based on VL's closing stock price of $5.957 on 5 November 2002, the last full trading day prior to the amendment of transaction, each TC shares was valued at $20.254. Originally, VL offered between 2 shares and 2.5 shares per TC share.</t>
  </si>
  <si>
    <t>US - Mafco Holdings Inc agreed to acquire an 83.5% interest, or 7.323 mil common shares, in Panavision Inc, a manufacturer of camera systems, from M&amp;F Worldwide Corp, for $90.1 mil in cash and stock.</t>
  </si>
  <si>
    <t>Shelbourne Properties I Inc</t>
  </si>
  <si>
    <t>US - An investor group (IG), led by Mr. Carl Icahn, planned to launch a tender offer to acquire all the outstanding common stock of Shelbourne Properties I Inc (SPI), a real estate investment trust, for a twice sweetened $63.15 in cash per share, or a total value of $79.770 mil. Previously, the IG offered a sweetened $58.30 in cash per share, or a total value of $73.644 mil. Originally, in February 2002, the investor group offered $39.15 in cash per share, or a total value of $49.454 mil. This offer had been withdrawn later in February 2002. The offer was conditioned upon SPI removing its current poison pill program. Concurrently, IG planned to launch tender offers to acquire all the outstanding common stock of Shelbourne Properties II and Shelbourne Properties III, both real estate investment trusts.</t>
  </si>
  <si>
    <t>Shelbourne Properties II Inc</t>
  </si>
  <si>
    <t>US - An investor group (IG), led by Mr. Carl Icahn, planned to launch a tender offer to acquire all the outstanding common stock of Shelbourne Properties II (SPI) , a real estate investment trust, for a twice sweetened $73.85 in cash per share, or a total value of $91.42 mil. Previously, the IG offered a sweetened $68.20 in cash per share, or a total value of $84.426 mil. The offer was conditioned upon SPI removing its current poison pill program. Originally, in February 2002, the investor group offered $51.50 in cash per share, or a total value of $63.753 mil. Later, in February 2002, the offer was withdrawn. Concurrently, IG planned to launch tender offers to acquire all the outstanding common stock of Shelbourne Properties I Inc and Shelbourne Properties III, both real estate investment trusts.</t>
  </si>
  <si>
    <t>Shelbourne Properties III Inc</t>
  </si>
  <si>
    <t>US - An investor group (IG), led by Mr. Carl Icahn, planned to launch a tender offer to acquire all the outstanding common stock of Shelbourne Properties III (SPI), a real estate investment trust, for a twice sweetened $58.63 in cash per share, or a total value of $68.444 mil. Previously, the IG offered a sweetened $53.90 in cash per share, or a total value of $63.278 mil. Originally, in February 2002, the investor group offered $37.75 in cash per share, or a total value of $44.318 mil. Later, in February 2002, the offer was withdrawn. The offered was conditioned upon SPI removing its current poison pill program. Concurrently, IG planned to launch tender offers to acquire all the outstanding common stock of Shelbourne Properties I Inc and Shelbourne Properties II, both real estate investment trusts.</t>
  </si>
  <si>
    <t>JCC Holding Co</t>
  </si>
  <si>
    <t>Own,op hotels;holding co</t>
  </si>
  <si>
    <t>US - Harrah's Entertainment Inc acquired the remaining 37% stake, or 4.583 mil common shares, which it did not already own, in JCC Holding Corp, an owner and operator of hotels and a holding company, for $10.54 per share, or a total value of $49.591 mil, plus the assumption of an undisclosed amount in liabilities.</t>
  </si>
  <si>
    <t>VIB Corp,El Centro,California</t>
  </si>
  <si>
    <t>Rabobank</t>
  </si>
  <si>
    <t>Bank (non-US)</t>
  </si>
  <si>
    <t>US - Rabobank Nederland acquired all the outstanding common stock of VIB Corp (VIB) , a bank holding company, via a tender offer for $15.10 in cash per share, or a total value of $213.321 mil. The offer was conditioned upon at least 50.1% of VIB's shares being tendered.</t>
  </si>
  <si>
    <t>Omega Worldwide Inc</t>
  </si>
  <si>
    <t>Pvd asset mgt,advisory svcs</t>
  </si>
  <si>
    <t>Four Seasons Health Care Ltd</t>
  </si>
  <si>
    <t>Pvd nursing svcs</t>
  </si>
  <si>
    <t>US - Four Seasons Health Care Ltd (FSH) acquired all the outstanding common stock of Omega Worldwide Inc (OWI), a provider of asset management services, for $3. 32 in cash per share, for a total value of $119.029 mil, including the assumption of $77.982 mil in liabilties of OWI's Principal Healthcare Finance Ltd unit. Earlier, FSH completed its tender offer for OWI by accepting 11. 832 mil shares, or 94.44% of OWI's common shares outstanding. The offer was conditioned upon at least 90% of OWI's shares being tendered.</t>
  </si>
  <si>
    <t>Harland Finl Solutions Inc</t>
  </si>
  <si>
    <t>US - Harland Financial Solutions, a unit of John H Harland Co, acquired all the outstanding common stock of Interlinq Software Corp, a developer of information technology, for $6.25 in cash per share, or a total value of $33.552 mil.</t>
  </si>
  <si>
    <t>Nobel Learning Communities Inc</t>
  </si>
  <si>
    <t>Own,operate schools</t>
  </si>
  <si>
    <t>US - A management-led investor group, including Gryphon Partners LP and Cadigan Investment Partners, withdrew its definitive agreement to acquire all the outstanding common shares of Nobel Learning Communities Inc, a provider of education and school management services, in a leveraged buyout transaction, for $7.75 in cash per share, or a total value of $105.136 mil, including the assumption of an estimated $52 mil in liabilities.</t>
  </si>
  <si>
    <t>Valencia Bank &amp; Trust</t>
  </si>
  <si>
    <t>UnionBanCal Corp,CA</t>
  </si>
  <si>
    <t>US - UnionBanCal Corp(UBC), San Francisco, California, acquired Valencia Bank &amp; Trust(VBT), a commercial bank, in a stock swap transaction valued at $62 mil. The consideration consisted of $31 mil in cash and $31 mil in common stock, whereby the total consideration was prorated to be at least 45% in common stock.</t>
  </si>
  <si>
    <t>Exco Resources Inc</t>
  </si>
  <si>
    <t>Douglas H Miller</t>
  </si>
  <si>
    <t>US - Douglas H. Miller acquired the remaining 94. 439% interest, which he did not already own, in Exco Resources Inc, an oil and gas exploration and production company, via a tender offer, for a sweetened $18 in cash per common share, and between $18 and $18.525 in cash per convertible preferred share, or a total of $314.215 mil. Originally, Mr. Miller offered $17 mil in cash per common share and between $17 and $18.05 in cash per convertible preferred share, or a total estimated value of $213.238 mil. The convertible preferred shares were valued based on the higher value.</t>
  </si>
  <si>
    <t>Penn National Gaming Inc</t>
  </si>
  <si>
    <t>Own,op race tracks,casinos</t>
  </si>
  <si>
    <t>US - Penn National Gaming Inc (PN) acquired all the outstanding common stock of Hollywood Casino Corp (HC), an owner and operator of casino hotels, for $12.75 in cash per share, or a total value of $916.535 mil, including the assumption of $569 mil in liabilities. Previously, PN was rumored to be in negotiations to acquire HC. Originally, in March 2002, HC disclosed that it was seeking a buyer for the company.</t>
  </si>
  <si>
    <t>Warren Bancorp Inc</t>
  </si>
  <si>
    <t>US - Banknorth Group Inc(BNG) , Portland, Maine, acquired all the outstanding common shares of Warren Bancorp Inc(WB), a bank holding company, in a stock swap transaction valued at $125. 586 mil. BNG offered a choice of $15.75 in cash or common stock per WB share.</t>
  </si>
  <si>
    <t>US - A management-led investor group acquired the remaining 40% stake, which it did not already own, in Sandata Technologies Inc, a Port Washington-based software publisher, a unit of Sandata Acquisition Corp, for USD 1.50 in cash per share, or a total value of USD 1. 8225 mil, in a leveraged buyout transaction.</t>
  </si>
  <si>
    <t>US Laboratories Inc</t>
  </si>
  <si>
    <t>Bureau Veritas SA</t>
  </si>
  <si>
    <t>Pvd quality assessment svcs</t>
  </si>
  <si>
    <t>US - Bureau Veritas SA (BV) acquired all the outstanding common stock of US Laboratories Inc (USL), a provider of engineering services, for $14.50 cash per share, or a total of $75.179 mil. Earlier, BV completed its tender offer for USL by acquiring 5.082 mil common shares, or about 95.27% of the company's common stock outstanding. The offer was conditioned upon at least a majority of USL's shares being tendered on a fully diluted basis.</t>
  </si>
  <si>
    <t>Westwood Corp</t>
  </si>
  <si>
    <t>Mnfr telephone,telegraph equip</t>
  </si>
  <si>
    <t>US - L-3 Communications Holdings Inc acquired all the outstanding common stock of Westwood Corp (WWC), a manufacturer of telephone and telegraph equipment, for an estimated $22.005 mil. The consideration was to consist of $2.30 in cash per common share and the assumption of an undisclosed amount in liabilities. The transaction was to include WWC's MCII Electric Co and NMP Corp subsidiaries.</t>
  </si>
  <si>
    <t>DeWolfe Cos Inc</t>
  </si>
  <si>
    <t>NRT LLC</t>
  </si>
  <si>
    <t>Own,op real estate bkrg co</t>
  </si>
  <si>
    <t>US - NRT Inc (NI), a unit of Cendant Corp, acquired all the outstanding common stock of DeWolfe Cos Inc (DW), a real estate agency, for $19 in cash per share, or a total value of $133.026 mil. Earlier NI completed its tender offer by accepting 5. 658 mil common shares, or about 98.74% of DW's shares outstanding. The offer was conditioned upon at least 66. 67% of DW's shares being tendered.</t>
  </si>
  <si>
    <t>Tiffany &amp; Co</t>
  </si>
  <si>
    <t>Manufacture,wholesale jewelry</t>
  </si>
  <si>
    <t>US - Tiffany &amp; Co (TC) raised its interest to 56.5% from 44. 5%, in Little Switzerland Inc (LS), an owner and operator of jewelry stores, by acquiring 1.998 mil common shares, from LS Chairman Seymour Holtzman and certain of his affiliates, including Jewelcor Management Inc, for $2.40 in cash per share, or a total value of $4.796 mil. Concurrently, TC planned to launch a tender offer to acquire the remaining 43.5% stake, which it did not already own in LS.</t>
  </si>
  <si>
    <t>US - Tiffany &amp; Co (TC) acquired the remaining 43.5% stake, or 7.243 mil common shares, which it did not already own, in Little Switzerland Inc (LS), an owner and operator of jewelry stores, for $2.40 in cash per share, or a total value of $19.778 mil. Earlier, TC completed its tender for LS by accepting 6.91 mil shares, or about 41.5% of the company's common stock outstanding. The offer was conditioned upon at least 90% of LS' shares being tendered on a fully-diluted basis. Concurrently, TC raised its interest to 56.5% from 44.5% in LS.</t>
  </si>
  <si>
    <t>SpeedFam-IPEC Inc</t>
  </si>
  <si>
    <t>US - Novellus Systems Inc(NS) acquired all the outstanding common stock of SpeedFam-IPEC Inc(SFI), a manufacturer and wholesaler of planarization systems, in a stock swap transaction valued at $268. 899 mil including the assumption of $155 mil liabilities. NS offered .1818 shares per SFI share. Based on NS' closing stock price of $27.021 on August 9, the last full trading day prior to announcement, each SFI share was valued at $4.91. Upon completion, SFI became a new product group for NS.</t>
  </si>
  <si>
    <t>US - Dash Multi-Corp Inc acquired the remaining 29.9% interest, or .967 mil common shares, which it did not already own, in R-B Rubber Products Inc, a manufacturer and wholesaler of rubber products, for $2.8 in cash per share, or a total value of $2.967 mil.</t>
  </si>
  <si>
    <t>US - First Banks Inc, Clayton, Missouri acquired the remaining 6.24% stake, or .646 mil common shares, which it did not already own in First Banks America Inc, Houston, Texas, a bank holding company, for $40.54 in cash per share, or a total value of $26.174 mil.</t>
  </si>
  <si>
    <t>Herkimer Trust Corporation Inc</t>
  </si>
  <si>
    <t>Partners Trust Financial Group</t>
  </si>
  <si>
    <t>Pvd hldg svcs</t>
  </si>
  <si>
    <t>US - Partners Trust Financial Group Inc acquired all the outstanding common stock of Herkimer Trust Corp Inc, a bank holding company, for $64 mil in cash.</t>
  </si>
  <si>
    <t>CTB International Corp</t>
  </si>
  <si>
    <t>US - Berkshire Hathaway Inc acquired all the outstanding common stock of CTB International Corp, a manufacturer and wholesaler of farm machinery, for $12.75 in cash per share, or a total value of $178.684 mil, including the assumption of an estimated $40 mil in liabilities.</t>
  </si>
  <si>
    <t>Insurance Mgmt Solutions Group</t>
  </si>
  <si>
    <t>Bankers Insurance Group Inc</t>
  </si>
  <si>
    <t>US - Bankers Insurance Group Inc (BI), a unit of Bankers Financial Corp, withdrew its plans to launch a tender offer to acquire the remaining 31.982%, or 3.926 mil common shares, which it did not already own in its majority-owned subsidiary Insurance Management Solutions Group Inc, a provider of insurance policy and claims outsourcing services to the property and casualty insurance industry, for $3.08 in cash per share, or a total value of $12.093 mil. The offer was conditioned upon at least a majority of the shares not owned by BI being tendered.</t>
  </si>
  <si>
    <t>Pure Resources Inc</t>
  </si>
  <si>
    <t>Union Oil Co of California</t>
  </si>
  <si>
    <t>US - Union Oil Co of California (UOC), a unit of Unocal Corp (UC), acquired the remaining 35% stake, or 23.81 mil common shares, which it did not already own on a fully-diluted basis, in Pure Resources Inc (PRI), an oil and gas exploration and production company, in a stock swap transaction valued at $433.561 mil. Earlier, UOC completed its tender offer for the remaining 35% stake in PRI, by accepting 16.635 mil shares, or 97.5% of PRI's common shares outstanding. UOC offered a twice amended . 74 UC common shares per PRI share. Based on UC's closing stock price of $29.03 on October 8, the last full trading day prior to the second amendment date, each PRI share was valued at $22. 482. The offer was conditioned upon at least 25% of PR's remaining shares being tendered, giving UC a 90% interest. Previouly, UOC offered an amended .7 UC common shares per PRI share. Originally, UOC offered .6527 UC common shares per PRI share. UOC sweetened the terms of its offer after a Delaware court issued an injunction, which was based on certain disclosure matter regarding UOC's acquisition plans.</t>
  </si>
  <si>
    <t>Refac</t>
  </si>
  <si>
    <t>Pvd patent leasing svcs</t>
  </si>
  <si>
    <t>Palisade Concentrated Eq</t>
  </si>
  <si>
    <t>US - Palisade Concentrated Equity Partnership LP (PCE) acquired an 80% interest, or 3.037 mil common shares, in Refac (RF), a provider of patent leasing services, for $3.60 per common share, or a total estimated value of $10. 994 mil. The acquisition was made through a merger with an unnamed subsidiary of PCE. RF also received .2 new post- merger common shares per share held. The transaction did not include Refac Consumer Products Inc. Upon completion, all existing common shares of RF were cancelled and the newly formed entity operated under the RF name and traded under the REF ticker symbol on the American Stock Exchange. Originally, in March 2002, RF announced that it was seeking a buyer for the company.</t>
  </si>
  <si>
    <t>Vicinity Corp</t>
  </si>
  <si>
    <t>Pvd online enterprise loc svcs</t>
  </si>
  <si>
    <t>Mercanti Systems Inc(Moloco)</t>
  </si>
  <si>
    <t>US - Mercanti Systems Inc, a unit of Moloco LLC, withdrew its unsolicited offer to acquire the remaining 93.76% interest, or 23.04 mil common shares, which it did not already own, in Vicinity Corp (VC), a provider of online enterprise location services by unifing Web, wireless and speech inquiries in order to direct customers searching for a specific product or service to the nearest store, for $2.65 in cash per share, or a total of $75.746 mil. Subsequently, Microsoft definitively agreed to acquire VC.</t>
  </si>
  <si>
    <t>Student Loan Marketing Assn</t>
  </si>
  <si>
    <t>Provide federal student loans</t>
  </si>
  <si>
    <t>US - Student Loan Marketing Association, a unit of SLM Corp, had been rumored to be in negotiations to acquire all the outstanding common stock of Golden State Bancorp Inc, San Francisco, California, a bank holding company.</t>
  </si>
  <si>
    <t>US - Banknorth Group Inc(BG), Burlington, Vermont, acquired all the outstanding common stock of American Financial Holdings Inc(AF), New Britain, Connecticut, a savings and loan holding company, in a stock swap transaction valued at $746. 374 mil. BG offered a choice of $32 in cash or 1.22 common shares per AF share. Based on BG's closing stock price of $27.10 on August 21, the last full trading day prior to the announcement, each AF share was valued at $33.06.</t>
  </si>
  <si>
    <t>RHBT Financial Corp</t>
  </si>
  <si>
    <t>US - South Financial Group Inc(SF) acquired the remaining 78% interest, which it did not already own, in RHBT Financial Corp, a bank holding company, in exchange for .334 mil common shares valued at $6.69 mil. The shares were valued based on SF's closing stock price of $20.01 on August 21, the last full trading day prior to the announcement. The transaction was to include branches in York County South Carolina, including two in Rock Hill and one in Fort Mill.</t>
  </si>
  <si>
    <t>CNBC Bancorp,Worthington,Ohio</t>
  </si>
  <si>
    <t>US - First Merchants Corp(FM) , Muncie, Indiana, acquired all the outstanding common stock of CNBC Bancorp(CB), Worthington, Ohio, a bank holding company, in a stock swap transaction valued at $62.559 mil. FM offered a choice of $29.57 in cash or 1. 01 common shares per CB share, subject to a walkaway agreement.</t>
  </si>
  <si>
    <t>Admiralty Bancorp Inc,FL</t>
  </si>
  <si>
    <t>US - RBC Centura Banks Inc, Rocky Mount, North Carolina, a unit of Royal Bank of Canada, acquired all the outstanding common stock of Admiralty Bancorp Inc, Palm Beach Gardens, Florida, a bank holding company, for $26 in cash per share, or a total value of $149.825 mil.</t>
  </si>
  <si>
    <t>Mackenzie Investment Mgmt Inc</t>
  </si>
  <si>
    <t>Waddell &amp; Reed Financial Inc</t>
  </si>
  <si>
    <t>Pvd security brokerage svcs</t>
  </si>
  <si>
    <t>US - Waddell &amp; Reed Financial Inc acquired all the outstanding common stock of Mackenzie Investment Management Inc, a provider of management investment services and a majority owned unit of Mackenzie Financial Corp, a unit of the Investors Group Inc subsidiary of Power Corp of Canada'a Power Financial Corp unit, for an estimated $74 mil in cash.</t>
  </si>
  <si>
    <t>Plumtree Software Inc</t>
  </si>
  <si>
    <t>Dvlp entrp web software</t>
  </si>
  <si>
    <t>Sutter Holding Co Inc</t>
  </si>
  <si>
    <t>Pvd brkg svcs</t>
  </si>
  <si>
    <t>US - Sutter Holding Co Inc, a majority-owned unit of Sutter Opportunity Fund 2 LLC, withdrew its unsolicited offer to acquire all the outstanding common stock of Plumtree Software Inc, a provider of infrastructure software services, for $5 per share, or a total value of $147.166 mil. The consideration was to consist of $2 in cash and $3 in an 8% note per common share.</t>
  </si>
  <si>
    <t>Sandata Acquisition Corp</t>
  </si>
  <si>
    <t>US - Sandata Acquisition Corp, comprised of Sandata Technologies Inc's (STI) directors, acquired the remaining 30% stake, or .745 mil common shares, which it did not already own, in STI, a developer of software, for $1.91 in cash per share, or a total value of $1.571 mil, in a leveraged buyout transaction. Upon completion, STI became a private company.</t>
  </si>
  <si>
    <t>MetroBanCorp,Indianapolis,IN</t>
  </si>
  <si>
    <t>US - First Indiana Corp, Indianapolis, Indiana, acquired all the outstanding common stock of MetroBanCorp, Indianapolis, Indiana, a commercial bank and holding company, for $17.00 in cash per share, or a total value of $39.248 mil.</t>
  </si>
  <si>
    <t>CBES Bancorp Inc,Excelsior</t>
  </si>
  <si>
    <t>NASB Financial Inc</t>
  </si>
  <si>
    <t>US - NASB Financial Inc acquired all the outstanding common stock CBES Bancorp Inc, Excelsior Springs, Missouri, a commercial bank holding company, for $17.50 in cash per share, or a total value of $15.443 mil.</t>
  </si>
  <si>
    <t>Disc Graphics Inc</t>
  </si>
  <si>
    <t>Pvd packaging services</t>
  </si>
  <si>
    <t>US - A management-led investor group, including Disc Graphics Inc (DGI) CEO Donald Sinkin, and Main Street Resources, acquired all the outstanding common stock of DGI, a provider of specialty packaging services, for $1.82 in cash per share, or a total value of $10.088 mil, in a leveraged buyout transaction.</t>
  </si>
  <si>
    <t>Ostex International Inc</t>
  </si>
  <si>
    <t>Mnfr,rsch,dvlp diagnostic prod</t>
  </si>
  <si>
    <t>Inverness Med Innovations Inc</t>
  </si>
  <si>
    <t>Mnfr diagnostic pharm prod</t>
  </si>
  <si>
    <t>US - Inverness Medical Innovations Inc(IM) acquired Ostex International Inc(OI), a provider of medical diagnostic services, in a stock swap transaction valued at an amended $24.117 mil. IM offered .1241 common shares per OI share. Originally, IM offered .1494 shares per OI share. Based on IM's closing stock price of $15.10 on February 14, the last full trading day prior to announcement of the amended terms, each Ostex International Inc share was valued at $1.87. OI was to reserve approximately .42 mil shares for assumed options and warrants.</t>
  </si>
  <si>
    <t>West Essex Bancorp Inc</t>
  </si>
  <si>
    <t>US - Kearny Financial Corp, Kearny, New Jersey, acquired all the outstanding common stock of West Essex Bancorp Inc, Caldwell, New Jersey, a savings bank, for $35.10 in cash per share, or a total value of $175.272 mil.</t>
  </si>
  <si>
    <t>Oriole Homes Corp</t>
  </si>
  <si>
    <t>RE developer; home builder</t>
  </si>
  <si>
    <t>US - A management-led investor group, including chief executive officer Richard Levy and chief financial officer Mark Levy, acquired the remaining 61.2% interest, or 2.83 mil common shares, which it did not already own in Oriole Homes Corp(OH), a real estate development firm and home builder, for $4.90 in cash per share, or a total value of $14.107 mil, in a leveraged buyout transaction. Upon completion, OH was to merge with and into Levy Acquisition Co, a newly formed acquisition vehicle.</t>
  </si>
  <si>
    <t>SFSB Holding Co</t>
  </si>
  <si>
    <t>Laurel Capital Group Inc</t>
  </si>
  <si>
    <t>US - Laurel Capital Group acquired all the outstanding common stock of SFSB Holding Co, an investment bank, for $19.05 in cash per share, or a total value of $9.954 mil.</t>
  </si>
  <si>
    <t>Monarch Dental Corp</t>
  </si>
  <si>
    <t>Own,op dentists offices</t>
  </si>
  <si>
    <t>US - An investor group (IG), comprised of Bright Now Dental Inc, 180 Degree Group LLC and Gryphon Investors' Gryphon Advisors II LP unit, acquired all the outstanding common stock of Monarch Dental Corp (MDS), a provider of dental practice management services, for a sweetened $5. 75 in cash per share, or a total value of $12.758 mil. Originally, IG offered $5.00 in cash per share, or a total value of $11.045 mil. The transaction provided MDC with an avenue for remaining operational upon default of its lines of credit.</t>
  </si>
  <si>
    <t>US - An investor group (IG), comprised of Goldman Sachs Group Inc's GS Capital Partners 2000 LP and Whitehall Street Real Estate Fund 2001 subsidiaries and Starwood Capital Group's SOF IV US Holdings LLC subsidiary, acquiredl the outstanding common stock of National Golf Properties Inc (NG), a real estate investment trust specializing in the acquisition of golf courses. Concurrently, IG agreed to acquire American Golf Corp (AG). The two transactions were to have a combined value of $765.45 mil. The consideration was to consist of $12 in cash per NG common share for a total value of $157.45 mil, the assumption of $400 mil in NG liabilities and $98 mil in AG liabilities, and $110 mil in preferred stock.</t>
  </si>
  <si>
    <t>Empire Federal Bancorp Inc,MO</t>
  </si>
  <si>
    <t>US - Sterling Financial Corp (SFC), acquired all the outstanding common stock of Empire Federal Bancorp Inc (EFB), a bank holding company, in a stock swap transaction valued at $29.776 mil. SFC offered $19.25 in common stock per EFB share, subject to a collar agreement.</t>
  </si>
  <si>
    <t>WJ Communications Inc</t>
  </si>
  <si>
    <t>Mnfr RF integrated circuits</t>
  </si>
  <si>
    <t>US - Fox Paine &amp; Co LLC withdrew its agreement to acquire the remaining 34.5% stake, or 19.508 mil common shares, which it did not already own, in WJ Communications Inc, a manufacturer of broadband communications products for current and next generation fiber optic, broadband cable and wireless communications networks, for $1.10 in cash per share, or a total value of $21.459 mil.</t>
  </si>
  <si>
    <t>Bank of Coronado,Coronado,CA</t>
  </si>
  <si>
    <t>US - First Community Bancorp Inc (FC), Rancho Santa Fe, California, acquired all the outstanding common stock of Bank of Coronado, Coronado, California, a commercial bank, for $14.15 in cash per share, or a total value of $11.7 mil. Upon completion, BC was to be merged in to First National Bank, San Diego, California, a wholly owned subsidiary of FC.</t>
  </si>
  <si>
    <t>Acadiana Bancshares,Louisiana</t>
  </si>
  <si>
    <t>IBERIABANK Corp</t>
  </si>
  <si>
    <t>US - Iberiabank Corp (IC) acquired all the outstanding common stock of Acadiana Bancshares Inc (AB), Lafayette, Louisiana, a commercial bank, for $67.727 mil, subject to a collar agreement. The consideration consisted of $7.88 in cash per AB common share and $31. 50 in IC common stock per share, or a total value of $49.292 mil.</t>
  </si>
  <si>
    <t>Dole Food Co Inc</t>
  </si>
  <si>
    <t>Own,op fruit,vegetable farms</t>
  </si>
  <si>
    <t>0175</t>
  </si>
  <si>
    <t>David H Murdock</t>
  </si>
  <si>
    <t>US - David H Murdock, Chairman and CEO of Dole Food Co Inc (DFC), acquired the remaining 76% interest, or 42. 587 mil common shares, that he does not already own, in DFC, an owner and operator of fruit and vegetable farms and a producer of packaged foods and fresh cut flowers, for a sweetened $33.50 in cash per share, or a total of $1.464 bil, plus the assumption of an undisclosed amount in liabilities, in a leveraged buyout transaction. Originally, Mr. Murdock offered $29.50 in cash per share.</t>
  </si>
  <si>
    <t>US - Prometheus Assisted Living LLC (PAL) acquired the remaining 56.5% interest, or 9.86 mil common shares, which it did not already own, in ARV Assisted Living Inc (ARV), a provider of nursing care services, for a sweetened $3. 90 in cash per share, or a total value of $39.223 mil. Originally, PAL made an unsolicited bid to acquire the remaining shares of ARV for between $3.25 and $3.60 in cash per share, or a total value of $36.137 mil, with the value based on the high price in the range. Subsequently, in January 2003, Summerville Senior Living Inc, a unit of Apollo Real Estate Advisors LP's Apollo Real Estate Funds subsidiary, made an unsolicited challenging bid to acquire all the outstanding common stock of ARV.</t>
  </si>
  <si>
    <t>US - Keycorp, Cleveland, Ohio, acquired all the outstanding common stock of Union Bankshares Ltd, a commercial bank holding company, for $22.63 in cash per share, or a total value of $65.947 mil.</t>
  </si>
  <si>
    <t>United Financial Holdings Inc</t>
  </si>
  <si>
    <t>Bank,finl svcs holding company</t>
  </si>
  <si>
    <t>US - Synovus Financial Corp(SF), Columbus, Georgia, definitively agreed to acquire all the outstanding common stock of United Financial Holdings Inc(UF), a bank and financial services holding company, in a stock swap transaction valued at $84.793 mil. SF offered a choice of an amended $16.47 in cash or .8021 common shares per UF share. Originaly, SF offered a choice of $17.15 in cash or . 7101 common shares per UF share.</t>
  </si>
  <si>
    <t>US - OpenTV Corp (OTV) acquired all the outstanding common stock of ACTV Inc (ACTV), a multi-media company, in a stock swap transaction valued at $95.372 mil. OTV offered .7333 common shares per ACTV share. Based on OTV's closing stock price of $1.37 on June 30th, 2003, the last full trading day prior to the announcement of the exact exchange ratio, each ACTV share was valued at $1. 65. Originally, OTV offered $1.65 in common stock per ACTV share, subject to a collar agreement, which was subsequently breached. Concurrently, OTV agreed to acquire Wink Communications, a developer of interactive television broadcasting, from Liberty Media Corp's Liberty Broadband Interactive Television subsidiary. Previously, Liberty Media Corp withdrew its agreement to acquire the remaining 84% interest in ACTV.</t>
  </si>
  <si>
    <t>Interstate Natl Dealer Svcs</t>
  </si>
  <si>
    <t>Design svcs contracts</t>
  </si>
  <si>
    <t>CHL Holdings Corp</t>
  </si>
  <si>
    <t>US - CHL Holdings Corp, a company owned by Cindy Luby, the Chief Operating Officer of Interstate National Dealer Services Inc (IND), acquired the remaining 61.766% interest, or 2.437 mil common shares, which it did not already own, in IND, a designer of service contracts and warranties for new and used motor vehicles and recreational vehicles, for $6 in cash per share, or a total value of $15.905 mil, in a going private transaction.</t>
  </si>
  <si>
    <t>Commonwealth Bancorp,PA</t>
  </si>
  <si>
    <t>Pvd savings,loan svcs</t>
  </si>
  <si>
    <t>US - Citizens Financial Group Inc, Providence, Rhode Island, a unit of Royal Bank of Scotland Group, acquired all the outstanding common stock of Commonwealth Bancorp Inc, Norristown, Pennsylvania, a savings and loan holding company, for $46.50 in cash per share, or a total value of $495.281 mil.</t>
  </si>
  <si>
    <t>Equitable Bank,Wheaton,MD</t>
  </si>
  <si>
    <t>US - BB&amp;T Corp (BB), Winston- Salem, North Carolina, acquired all the outstanding common stock of Equitable Bank, Wheaton, Maryland, a bank holding company, in a stock swap transaction valued at $47.599 mil. BB offered 1 common share per EB share. Based on BB's closing stock price of $36.18 on September 26, the last full trading day prior to the announcement, each EB share was valued at $36.18.</t>
  </si>
  <si>
    <t>Cohesion Technologies Inc</t>
  </si>
  <si>
    <t>Mnfr proprietary surgical prod</t>
  </si>
  <si>
    <t>Angiotech Pharmaceuticals Inc</t>
  </si>
  <si>
    <t>US - Angiotech Pharmaceuticals Inc (API) acquired all the outstanding common stock of Cohesion Technologies Inc (CTI), a manufacturer of proprietary surgical products, for $4.05 in common stock per share, or a total value of $39.366 mil, subject to a collar agreement. The transaction included a 40% stake in CTI's Neucoll Inc unit.</t>
  </si>
  <si>
    <t>Goody's Family Clothing Inc</t>
  </si>
  <si>
    <t>US - An investor group withdrew plans to acquire all the outstanding common stock of Goody's Family Clothing Inc, an owner and operator of clothing stores, for between $6.50 and $7.50 in cash per share, or a total value of $252.491 mil, based on the high end of the consideration.</t>
  </si>
  <si>
    <t>Howell Corp</t>
  </si>
  <si>
    <t>US - Anadarko Petroleum Corp acquired all the outstanding common stock of Howell Corp (HC), an oil and gas exploration and production company, for $20.75 in cash per common share and $76.15 in cash per $3.50 convertible preferred share, or a total value of $267.58 mil, including the assumption of $65 mil in liabilities. Each HC preferred share was convertible into 3.67 common shares.</t>
  </si>
  <si>
    <t>BWAY Corp</t>
  </si>
  <si>
    <t>Manufacture steel containers</t>
  </si>
  <si>
    <t>US - Kelso &amp; Co (KC) acquired all the outstanding common stock of BWAY Corp, a manufacturer of steel containers, for an estimated $341.829 mil, in a leveraged buyout transaction. The consideration consisted of $20 in cash per share and the assumption of an estimated $155.782 mil in liabilities. Upon completion, Chairman and Chief Executive, Jean-Pierre Ergas and Vice Chairman, Warren Hayford, reinvested about 50% and 35%, respectively, of their equity holdings in the company. The transaction was conditioned upon KC obtaining certain financing.</t>
  </si>
  <si>
    <t>FloridaFirst Bancorp Inc,FL</t>
  </si>
  <si>
    <t>US - BB&amp;T Corp, Winston-Salem, North Carolina (BBT) withdrew its definitive agreement to acquire all the outstanding common stock of FloridaFirst Bancorp Inc, Lakeland, Florida (FF), a bank holding company, in a stock swap transaction valued at $138.939 mil. BBT offered a choice of .66 common shares, .363 common shares and $11. 25 in cash or $25 in cash per FF share held, subject to proration whereby the maximum amount of cash was not to exceed $11.25 per share outstanding. If the maximum cash amount was exceeded, some portion of the cash would be converted to stock, which could result in a per share value of less than $25.</t>
  </si>
  <si>
    <t>JDN Realty Corp</t>
  </si>
  <si>
    <t>US - Developers Diversified Realty Corp acquired all the outstanding common stock of JDN Realty Corp, a real estate investment trust, in a stock swap transaction valued at $1.021 bil, including the assumption of $584 mil in liabilities and $50 mil in preferred stock. DDR offered . 518 common shares per JDN share. Based on DDR's closing stock price of $21.44 on October 3, the last full trading day prior to the announcement, each JDN share was valued at $11.106.</t>
  </si>
  <si>
    <t>North State National Bank,CA</t>
  </si>
  <si>
    <t>TriCo Bancshares,Chico,CA</t>
  </si>
  <si>
    <t>US - TriCo Bancshares (TCB), Chico, California, acquired all the outstanding common stock of North State National Bank, Chico, California, a commercial bank, in a stock swap transaction valued at $31.624 mil. The consideration consisted of $13.09 mil in cash, .716 mil common shares valued at $17. 127 mil and options valued at $1.407 mil. The options were exercisable into an additional .08 mil new TCB common shares at an average exercise price of $6.22 per share. The shares were valued based on TCB's closing stock price of $23.92 on October 4, the last full trading day prior to the announcement.</t>
  </si>
  <si>
    <t>MTM Srl</t>
  </si>
  <si>
    <t>Mnfr,whl alternative gas sys</t>
  </si>
  <si>
    <t>US - MTM Srl was granted an option to merge with IMPCO Technologies Inc, a manufacturer and wholesaler of fuel management systems.</t>
  </si>
  <si>
    <t>Landair Corp</t>
  </si>
  <si>
    <t>US - A management-led investor group, comprised of Landair Corp (LAC) CEO Scott Niswonger and COO John Tweed, acquired the remaining 29% stake, or 1.68 mil common shares, which it did not already own, in LAC, a trucking company, for $13.00 in cash per share, or a total value of $19.692 mil. Earlier, the IG completed its tender offer for LAC by accepting 1. 494 mil common shares, in a going private, leveraged buyout transaction. The offer was conditioned upon at least 90% of LC's shares being tendered.</t>
  </si>
  <si>
    <t>Pharma Services Holding Inc</t>
  </si>
  <si>
    <t>Pvd contract research services</t>
  </si>
  <si>
    <t>US - Pharma Services Co (PSC), a company formed by Chairman Mr. Dennis Gillings and backed by One Equity Partners LLC, a unit of Bank One Corp, Temasek Holdings, Texas Pacific Group, Perseus-Soros BioPharmaceutical Fund and Mitsui &amp; Co, acquired all the outstanding common stock of of Quintiles Transnational Corp, a provider of contract research services, for a sweetened $14.50 in cash per share, or a total value of $1. 721 bil, in a going private leveraged buyout transaction. Originally in October 2002, PSC made an unsoliticed bid to acquire QTC for $11.25 in cash per share, or a total value of $1.332 bil.</t>
  </si>
  <si>
    <t>Progress Software Corp</t>
  </si>
  <si>
    <t>US - Progressive Software Corp (PSC) acquired all the outstanding common stock of eXcelon Corp, a provider of business-to-business services, for $3.19 in cash per share, or a total value of $24.492 mil. The transaction was to strengthen the Enterprise Services Bus (ESB) of PSC's Sonic Software unit, with the goal of providing an ideal software platform for all levels of standards-based integration.</t>
  </si>
  <si>
    <t>1st Constitution Bancorp</t>
  </si>
  <si>
    <t>Greater Community Bancorp</t>
  </si>
  <si>
    <t>US - Greater Community Bancorp, Totowa, New Jersey, made an unsolicited offer to acquire 1st Constitution Bancorp, Cranbury, New Jersey, a commercial bank, for $34 in cash and common stock per share, or a total value of $50.696 mil. The consideration was subject to a proration whereby 35% was to be paid in cash and 65% in common stock.</t>
  </si>
  <si>
    <t>JPMorgan Chase &amp; Co</t>
  </si>
  <si>
    <t>Bank One Corp,Chicago,IL</t>
  </si>
  <si>
    <t>US - Bank One Corp, Columbus, Ohio, was rumored to be in negotiations to acquire JP Morgan Chase &amp; Co, a bank holding company providing investment banking and advisory services. The Current status of this deal is unknown.</t>
  </si>
  <si>
    <t>Meridian Medical Technologies</t>
  </si>
  <si>
    <t>US - King Pharmaceuticals Inc acquired all the outstanding common stock of Meridian Medical Technologies Inc, a manufacturer of syringes and injectors, for $44.5 in cash per share, or a total value of $247.877 mil. The boards of both companies have granted approval.</t>
  </si>
  <si>
    <t>Stericycle Inc</t>
  </si>
  <si>
    <t>Pvd waste disposal mgmt svcs</t>
  </si>
  <si>
    <t>US - Stericycle Inc acquired all the outstanding common stock of Scherer Healthcare Inc, a manufacturer of pharmaceutical products, for $8.57 in cash per share, or a total value of $40.79 mil.</t>
  </si>
  <si>
    <t>Onvia.com Inc</t>
  </si>
  <si>
    <t>Pvd ecommerce information svcs</t>
  </si>
  <si>
    <t>DGR Enterprises Inc</t>
  </si>
  <si>
    <t>US - DGR Enterprises Inc (DGR) withdrew its plans to launch an unsolicited tender offer to acquire all the outstanding common stock of Onvia.com Inc (OCI), a provider of ecommerce information services for small businesses, for a sweetened $3.50 in cash per share, or a total value of $26.842 mil, in a leveraged buyout transaction. Originally, DGR offered $2.75 per share for a total value of $21.093 mil. The offer was conditioned upon at least 90% of OCI's common shares being tendered.</t>
  </si>
  <si>
    <t>US - Microsoft Corp (MS) acquired all the outstanding common stock of Vicinity Corp (VC), a provider of online enterprise location services, for $3.33 in cash per share, or a total value of $95.849 mil. Upon completion VC was to be merged into the MapPoint unit of MS. Previously Mercanti Systems Inc, a unit of Moloco LLC (ML) , made an unsolicited offer to acquire the remaining 93. 76%, or 23.04 mil common shares, which it did not already own, VC.</t>
  </si>
  <si>
    <t>Metropolitan Financial Corp,OH</t>
  </si>
  <si>
    <t>US - Sky Financial Group Inc, Bowling Green, Ohio (SFG), acquired all the outstanding common stock of Metropolitan Financial Corp, Highland Hills, Ohio (MFC), a savings and loan holding company, in a stock swap transaction valued at $79.087 mil. SFG offered a choice of $4.70 in cash or .2554 common shares or a combination thereof per MFC share, subject to proration, whereby no more than 70%, and no less than 55%, of MFC common stock was to be exchanged for SFG common stock. Based on SFG's closing stock price of $19.15 on October 23, the last full trading day prior to announcement, each MFC share was valued at $4.89.</t>
  </si>
  <si>
    <t>Paravant Inc</t>
  </si>
  <si>
    <t>Mnfr computers,process boards</t>
  </si>
  <si>
    <t>US - DRS Technologies Inc (DRS) acquired all the outstanding common stock of Paravant Inc (PI), a manufacturer, designer and wholesaler of rugged, portable computers, digital signal processing boards, DSP application specific integrated circuits ("ASIC"), telecommunications recording and storage systems, and signal process and communications interfaces for outdoor usage engineered to meet applications within aircraft support, fire control, communications, radar and signal intelligence, for $4.75 in cash per share, or a total value of $85.033 mil. Earlier, DRS completed its tender offer for PI by accepting 15.534 mil shares, or an estimated 85.8% of PI's common shares outstanding. The offer was conditioned upon at least a majority of PI's shares being tendered. Both boards of directors have unanimously approved the merger.</t>
  </si>
  <si>
    <t>Douglas M Kratz</t>
  </si>
  <si>
    <t>US - Douglas M Kratz planned to launch an unsolicited offer to acquire the remaining 90.1% interest, or 1.152 mil common shares, that he did not already own, in StateFed Financial Corp (SFC), a savings and loan holding company, for $12.50 per share, or a total value of $14.669 mil. The offer was conditioned upon 50.1% of the shares being tendered. Concurrently, Mr. Kratz acquired a 9.9% stake in SFC.</t>
  </si>
  <si>
    <t>Infinium Software Inc</t>
  </si>
  <si>
    <t>Develop,whl bus software</t>
  </si>
  <si>
    <t>SSI Equity Associates</t>
  </si>
  <si>
    <t>US - SSA Global Technologies Inc acquired all the outstanding common stock of Infinium Software Inc, a developer of enterprise software for mid-sized organizations, for $7.00 in cash per share, or a total value of $104.728 mil.</t>
  </si>
  <si>
    <t>Opta Food Ingredients Inc</t>
  </si>
  <si>
    <t>Mnfr,whl food prods,chemicals</t>
  </si>
  <si>
    <t>Stake Technology Ltd</t>
  </si>
  <si>
    <t>Mnfr pulp for paper,food inds</t>
  </si>
  <si>
    <t>US - Stake Technology Ltd completed its tender offer to acquire all the outstanding common stock of Opta Food Ingredients Inc (OFI), a manufacturer of food additive chemicals, for $2.50 in cash per share, or a total value of $27.521 mil, by accepting 10.081 mil shares, or 89.5% of OF's common shares outstanding. The offer was conditioned upon at least 50. 1% of OFI's shares being tendered.</t>
  </si>
  <si>
    <t>IRT Property Co</t>
  </si>
  <si>
    <t>US - Equity One Inc (EO), a unit of Popular Inc, acquired all the outstanding common stock of IRT Property Co, a real estate investment trust, in a stock swap transaction valued at $717.616 mil, including the assumption of $297 mil in liabilities. EO offered a choice of $12.15 in cash per share, or .9 share per IRT share or a combination of cash and common stock thereof. The transaction was also subject to proration whereby no more than 50% of the total consideration was to be paid in cash.</t>
  </si>
  <si>
    <t>CoVest Bancshares Inc,IL</t>
  </si>
  <si>
    <t>US - Midwest Banc Holdings Inc (MBH) withdrew its agreement to acquire all the outstanding common stock of CoVest Bancshares Inc, Des Plaines, Illinois (CVB), a commercial bank holding company, for $134.138 mil. MBH offered $10.25 in cash and .925 common shares per CVB common share. The consideration was subject to proration whereby the cash portion of the consideration was not to exceed 37.1% of the total and the stock portion was not to exceed 62. 9% of the total consideration. The shares were valued based on MBH's closing stock price of $18.77 on October 31, the last full trading day prior to the announcement.</t>
  </si>
  <si>
    <t>Avidyn Inc</t>
  </si>
  <si>
    <t>Pvd healthcare info svcs</t>
  </si>
  <si>
    <t>US - Fiserv Inc (FI) acquired all the outstanding common stock of Avidyn Inc, a provider of healthcare information services, in exchange for $10.5 mil of FI common stock.</t>
  </si>
  <si>
    <t>Ebenx Inc</t>
  </si>
  <si>
    <t>Prvd ecommerce bus solutions</t>
  </si>
  <si>
    <t>SHPS Inc</t>
  </si>
  <si>
    <t>Pvd outsourced care mgmt svcs</t>
  </si>
  <si>
    <t>US - SHPS Inc (SHPS), a unit of Welsh Carson Anderson &amp; Stowe, acquired all the outstanding common stock of eBenX Inc (EBX), a provider of ecommerce business solutions, for $4.85 in cash per share, or a total value of $106.139 mil. Upon completion of the going private transaction, EBX was merged into SHPS' operations, expanding the combined company's services to approximately 800 corporate customers.</t>
  </si>
  <si>
    <t>US - GE Power Systems(GPS), a unit of General Electric Co acquired all the outstanding common stock of Osmonics Inc (OI), a manufacturer of water purification equipment, for $278.18 mil, including the assumption of $21 mil in liabilities. GPS offered a choice between $17 in cash or common stock per OI share, subject to the requirement that the total cash consideration was not to exceed 55% of the total value.</t>
  </si>
  <si>
    <t>Calypso Wireless Inc</t>
  </si>
  <si>
    <t>Mnfr,dvlp broadband prod</t>
  </si>
  <si>
    <t>Kleer-Vu Industries Inc</t>
  </si>
  <si>
    <t>Mnfr photographic albums</t>
  </si>
  <si>
    <t>US - Kleer-Vu Industries Inc acquired all the outstanding stock of Calypso Wireless Inc, a manufacturer and developer of wireless broadband devices and technology.</t>
  </si>
  <si>
    <t>TROY Group Inc</t>
  </si>
  <si>
    <t>Mnfr printing mach,supplies</t>
  </si>
  <si>
    <t>Amara Group Inc</t>
  </si>
  <si>
    <t>US - Amara Group Inc made an unsolicited offer to acquire all the outstanding common stock of Troy Group Inc (TGI), a manufacturer of printing machines and supplies, for $2. 50 in cash per share, or a total value of $27.424 mil.</t>
  </si>
  <si>
    <t>Center Trust Inc</t>
  </si>
  <si>
    <t>US - Pan Pacific Retail Properties Inc (PPR) acquired Center Trust Inc (CTI), a real estate investment trust, in a stock swap transaction valued at $344.069 mil, including the assumption of $136 mil in liabilities. PPR offered .218 common shares per CTI share. Based on PPR's closing stock price of $34.24 on November 5, the last full trading day prior to announcement, each CTI share was valued at $7.464..</t>
  </si>
  <si>
    <t>US - Laboratory Corp of America Holdings acquired all the outstanding common stock of Dianon Systems Inc, a provider of pathology testing services, for $47.50 in cash per share, or a total value of $601.131 mil.</t>
  </si>
  <si>
    <t>Granite State Bankshares,NH</t>
  </si>
  <si>
    <t>US - Chittenden Corp, Burlington, Vermont (CC), definitively agreed to acquire all the outstanding common stock of Granite State Bankshares, Keene, New Hampshire (GSB), a bank holding company, in a stock swap transaction valued at $247.384 mil. CC offered a choice of $46 in cash or 1.64 common shares per GSB share, whereby 50% of the consideration was to be paid in cash and 50% in common stock. The common shares were valued based on CC's closing stock price of $26.85 on November 7, the last full trading day prior to the announcement.</t>
  </si>
  <si>
    <t>Prophet 21 Inc</t>
  </si>
  <si>
    <t>Dvlp,whl software applications</t>
  </si>
  <si>
    <t>US - An investor group, comprised of Thoma Cressey Equity Partners Inc and LLR Partners Inc, acquired all the outstanding common stock of Prophet 21 Inc, a developer and wholesaler of software applications, for $16.30 in cash per share, or a total value of $68.135 mil.</t>
  </si>
  <si>
    <t>CoorsTek Inc</t>
  </si>
  <si>
    <t>US - An management led investor group (IG), comprised of the Coors Family, acquired the remaining 73% interest, which it did not already own, in CoorsTek Inc (CT), a manufacturer of electronic components, for a sweetened $26 in cash per share, or a total value of $222.783 mil. Originally, IG launched an unsolicited offer to acquire CT fro $21 in cash per share, or a total value of $179.94 mil.</t>
  </si>
  <si>
    <t>H Power Corp</t>
  </si>
  <si>
    <t>Mnfr fuel cells,semiconductors</t>
  </si>
  <si>
    <t>Plug Power Inc</t>
  </si>
  <si>
    <t>Mnfr,whl fuel cell systems</t>
  </si>
  <si>
    <t>US - Plug Power Inc (PPI) acquired all the outstanding common stock of H Power Corp (HPC), a manufacturer of fuel cells and semiconductors, in a stock swap transaction valued at $45.36 mil. PPI offered .8305 common shares per HPC share, subject to a collar agreement. Based on PPI's closing stock price of $5.06 on March 20, the last full trading day prior to the announcement of the exact exchange ratio, each HPC share was valued at $4.20. Upon completion, HPC was to integrate its operations into PPI's headquarters, located in Latham, New York.</t>
  </si>
  <si>
    <t>Hunt Corp</t>
  </si>
  <si>
    <t>Mnfr,whl art,framing supplies</t>
  </si>
  <si>
    <t>Berwind Co LLC</t>
  </si>
  <si>
    <t>US - Berwind Co LLC (BWC) acquired all the outstanding common stock of Hunt Corp (HC) , a manufacturer and wholesaler of art/framing supplies and office products, for $12.50 in cash per share, or a total value of $115.227 mil. Earlier, BWC completed its tender offer for HC by accepting 8.4 mil commons shares, or 93.579% of HC's common shares outstanding. The offer was conditioned upon at least a majority of HC's shares being tendered.</t>
  </si>
  <si>
    <t>US - VerticalNet Inc, a provider of Internet services, announced that it was seeking a buyer for the company.</t>
  </si>
  <si>
    <t>Dewey Electronics Corp</t>
  </si>
  <si>
    <t>Manufacture electronic systems</t>
  </si>
  <si>
    <t>Asset Value Management Inc</t>
  </si>
  <si>
    <t>US - Asset Value Management Inc planned to launch an unsolicited tender offer, to acquire the remaining 89.82% interest, or 1.2 mil common shares, which it did not already own, in Dewey Electronics Corp, a manufacturer of electronic and electromechanical systems for the military, for $5 per share, or a total value of $6. 181 mil.</t>
  </si>
  <si>
    <t>Playtex Products Inc</t>
  </si>
  <si>
    <t>Mnfr,whl consumer prod</t>
  </si>
  <si>
    <t>US - In November 2002, Playtex Products Inc, a manufacturer of tampons, rubber gloves, baby products, feminine care products, rug and upholstery cleaners, and skin care products, announced that it was seeking a buyer for the company.</t>
  </si>
  <si>
    <t>Taubman Centers Inc</t>
  </si>
  <si>
    <t>US - Simon Property Group Inc (SPG) withdrew its launched hostile tender offer to acquire all the outstanding common stock and operating partnership units of Taubman Centers Inc (TCI), an owner and operator of shopping centers, for a sweetened $18 in cash per share, or a total value of $1. 536 bil. Originally, SPG offered $17.50 in cash per share, or a total value of $1. 454 bil. The offer was conditioned upon at least two thirds of TCI's shares being tendered by February 14.</t>
  </si>
  <si>
    <t>Cognizant Tech Solutions Corp</t>
  </si>
  <si>
    <t>US - IMS Health Inc completed the spin off its 56% interest or 11.279 mil common shares in Cognizant Technology Solutions Corp (CTSC), a provider of programming services, to its shareholders, for $704.716 mil. The shares were valued based on CTSC's closing stock price of $62.48 on February 6, the last full trading day prior to completion.</t>
  </si>
  <si>
    <t>US - HSBC Holdings PLC (HSBC) acquired all the outstanding common and preferred stock of Household International Inc (HII), a provider of financial services, in a stock swap transaction valued at $15.294 bil. HSBC offered a choice of .535 common shares or 2.675 ordinary shares per HII common share, as well as $1.1 bil in cash for HII's outstanding preferred stock. Based on HSBC's closing stock price of $56.05 on November 13, the last full trading day prior to the announcement, each HII share was valued at $29.99.</t>
  </si>
  <si>
    <t>OraPharma Inc</t>
  </si>
  <si>
    <t>US - Johnson &amp; Johnson acquired all the outstanding common stock of Orapharma Inc, a manufacturer of pharmaceutical products, for $7.41 in cash per share, or a total value of $103.81 mil.</t>
  </si>
  <si>
    <t>Bridge View Bancorp,NJ</t>
  </si>
  <si>
    <t>Interchange Finl Svcs,NJ</t>
  </si>
  <si>
    <t>US - Interchange Financial Services Corp (IFSC), Saddle Brook, New Jersey, acquired all the outstanding common stock of Bridge View Bancorp (BVB), Englewood Cliffs, New Jersey, a commercial bank holding company, for $87.331 mil. The consideration consisted of $33.528 mil in cash and 2.95 mil common shares valued at $53.803 mil. The shares were valued based on IFSC's closing stock price of $18.24 on November 15, the last full trading day prior to the announcement. BVB shareholders had a choice of cash, common stock, or a combination of cash and stock, subject to proration.</t>
  </si>
  <si>
    <t>Fisher Communications Inc</t>
  </si>
  <si>
    <t>Own,op radio,TV bdcstg stn</t>
  </si>
  <si>
    <t>US - Fisher Communications Inc (Fisher), a Seattle-based owner and operator of radio and television broadcasting stations, withdrawn its announcement that it was seeking a buyer for the company. Originally, in November 2002, Fisher announced that it was seeking a buyer for the company.</t>
  </si>
  <si>
    <t>US - Scientific Games Corp (SGC) acquired the remaining 69.618%, or 10.319 mil common shares, which it did not already own, in MDI Entertainment Inc (MDI), a lottery promotions firm, for $1.60 in cash per share or a total value of $13.318 mil. Earlier SGC completed its tender offer for MDI by accepting 8.686 mil shares, or 58.605% of MDI's common shares outstanding . The offer was conditioned upon at least 75% of MDI's shares being tendered. Concurrently, SGC planned to raise its stake to 32.261% from 6.021%, by acquiring 3.795 mil common shares, in MDI from MDI CEO, president, and founder Mr Steven M Saferin, in a privately negotiated transaction.</t>
  </si>
  <si>
    <t>First Community Bancshares,IN</t>
  </si>
  <si>
    <t>MainSource Finl Grp Inc</t>
  </si>
  <si>
    <t>US - MainSource Financial Group Inc, Greensburg, Indiana, acquired all the outstanding common stock of First Community Bancshares Inc, Bargersville, Indiana, a bank holding company, for $21 in cash per share, or a total value of $24.188 mil.</t>
  </si>
  <si>
    <t>Stillwater Mining Co</t>
  </si>
  <si>
    <t>Platinum mining company</t>
  </si>
  <si>
    <t>Norilsk Nickel</t>
  </si>
  <si>
    <t>Nonferrous Metal (Except Copper and Aluminum) Rolling, Drawing, and Extruding</t>
  </si>
  <si>
    <t>US - Norilsk Nickel (NN) acquired a 51.12% interest, or 45.5 mil new common shares, on a fully-diluted basis, in Stillwater Mining Co (SMC), a platinum mining company, for $340.9 mil. The consideration consisted of $100 mil in cash and .876 mil ounces of palladium valued at $240.9 mil. The palladium was valued based on the closing trading price per ounce of $275 on the London PM Fix, on November 19, the last full trading day prior to the announcement. The transaction was to be contingent upon a successful amendment to SMC's $250 mil credit facility. Concurrently, NN planned to launch a tender offer to raise its interest to 56% from 51.12%, on a fully- diluted basis, in SMC, by acquiring an additional 4.35 mil common shares.</t>
  </si>
  <si>
    <t>International Aircraft</t>
  </si>
  <si>
    <t>Jetscape Aviation Group Inc</t>
  </si>
  <si>
    <t>Diversified aviation hold co</t>
  </si>
  <si>
    <t>US - Jetscape Aviation Group Inc (JAG) acquired all the outstanding common stock of International Aircraft Investors, an investment company, for an estimated $1. 45 in cash per share, or a total value of $5.194 mil. In the event that the deal were to complete after December 31, JAG was to pay $1.10 in cash per share, or a total value of $3.94 mil.</t>
  </si>
  <si>
    <t>Synaptic Pharmaceutical Corp</t>
  </si>
  <si>
    <t>H Lundbeck A/S</t>
  </si>
  <si>
    <t>US - H Lundbeck A/S acquired all the outstanding common stock of Synaptic Pharmaceutical Corp, a manufacturer of pharmaceuticals and diagnostic products, for $6. 50 in cash per common share, or a total value of $121.822 mil.</t>
  </si>
  <si>
    <t>SBI &amp; Co</t>
  </si>
  <si>
    <t>Application Svcs Provider{ASP}</t>
  </si>
  <si>
    <t>US - SBI &amp; Co (SBI) acquired all the outstanding common stock of Razorfish Inc (RZI), a provider of computer integration systems services, for $1.70 in cash per share, or a total value of $18.251 mil. Earlier, SBI completed its tender offer for RZI by accepting 2.704 mil shares, or 52% of RZI's common shares outstanding. The offer was conditioned on at least a majority of RZI's shares being tendered.</t>
  </si>
  <si>
    <t>Frontstep Inc</t>
  </si>
  <si>
    <t>MAPICS Inc</t>
  </si>
  <si>
    <t>Develop ERM software</t>
  </si>
  <si>
    <t>US - MAPICS Inc (MI) acquired Frontstep Inc, an enterprise software developer, in a stock swap transaction valued at an estimated $50.06 mil. The consideration consisted of 4.2 mil MI common shares valued at $28. 56 mil and the assumption of up to $21.5 mil in liabilities. The shares were valued based on MI's closing stock price of $6.80 on November 22, the last full trading day prior to the announcement.</t>
  </si>
  <si>
    <t>Kentucky Bancshares Inc,KY</t>
  </si>
  <si>
    <t>US - Peoples Bancorp Inc(PB), Marietta, Ohio acquired all the outstanding common stock of Kentucky Bancshares Inc, Russell, Kentucky, a commercial bank holding company, for an estimated $31. 4 mil, subject to proration whereby half was to be paid in cash and half in PB common shares.</t>
  </si>
  <si>
    <t>Rawlings Sporting Goods Co</t>
  </si>
  <si>
    <t>Daniel Gilbert</t>
  </si>
  <si>
    <t>US - Mr. Daniel Gilbert (DG) withdrew his plans to launch a challenging tender offer to acquire the remaining 85.41% interest, or 6.909 mil common shares, which he did not already own in Rawlings Sporting Goods Co (RSG), a manufacturer of sporting goods, team equipment and uniforms, for a sweetened $8. 50 in cash per share, or a total value of $65.57 mil. Originally, DG offered $8 in cash per share, or a total value of $57.501 mil. This transaction would be contingent upon RSG' removal of its poison pill. Concurrently, K2 Inc aquired all the outstanding common stock of RSG in a stock swap transaction.</t>
  </si>
  <si>
    <t>Triangle Pharmaceuticals Inc</t>
  </si>
  <si>
    <t>Mnfr antiviral pharmaceuticals</t>
  </si>
  <si>
    <t>US - Gilead Sciences Inc (GS) acquired all the outstanding common stock of Triangle Pharmaceuticals Inc (TP), a manufacturer of antiviral pharmaceuticals, for $6.00 in cash per share, or a total value of $467.102 mil. Earlier, GS completed its tender offer for TP by accepting 75.1 mil shares, or 97.4% of TP's common shares outstanding. The offer was conditioned upon at least a majority of TP's shares being tendered.</t>
  </si>
  <si>
    <t>Hoovers Inc</t>
  </si>
  <si>
    <t>Pvd co info svcs</t>
  </si>
  <si>
    <t>Dun &amp; Bradstreet Corp</t>
  </si>
  <si>
    <t>US - Dun &amp; Bradstreet Corp acquired all the outstanding common stock of Hoovers Inc (HVI), a provider of company information services, for $7. 00 in cash per share, or a total value of $117.29 mil. Subsequently, an investor group, including Marathon Partners LP and Austin Ventures LP, planned to acquire all the outstanding common stock of HVI in a challenging bid, which was withdrawn.</t>
  </si>
  <si>
    <t>US - International Business Machines Corp acquired all the outstanding common stock of Rational Software Corp, a component-based software developer, for $10.50 in cash per share, or a total value of $2.092 bil.</t>
  </si>
  <si>
    <t>AmeriPath Inc</t>
  </si>
  <si>
    <t>Pvd lab pathology svcs</t>
  </si>
  <si>
    <t>Amy Acquisition Corp</t>
  </si>
  <si>
    <t>US - Amy Acquisition Corp, a unit of Welsh Carson Anderson &amp; Stowe, acquired the remaining 95.1% interest, or 29.157 mil common shares, which it did not already own, in AmeriPath Inc, a provider of lab pathology services, for $21.25 in cash per share, or a total value of $807.63 mil, including the assumption of $172 mil in liabilities, in a going private transaction.</t>
  </si>
  <si>
    <t>CRIIMI MAE Inc</t>
  </si>
  <si>
    <t>Orix Capital Markets LLC</t>
  </si>
  <si>
    <t>Pvd portfolio mgmt svcs</t>
  </si>
  <si>
    <t>US - Orix Capital Markets LLC (OCM), a unit of Orix USA Corp, withdrew its unsolicited bid to acquire all the outstanding common stock of CRIIMI MAE Inc (CMI), a real estate investment trust, for $11.50 in cash per share, or a total value of $170.271 mil. The bid was withdrawn because the proposal time had expired. Originally, the value of the common stock was to be determined based on a negotiated value of CMI's total assets. Concurrently, OCM offered an alternate proposal to acquire CBO REIT Inc, a real estate investment trust, provided that CMI rejected the original merger plans.</t>
  </si>
  <si>
    <t>CoSine Communications Inc</t>
  </si>
  <si>
    <t>Dvlp commun platform software</t>
  </si>
  <si>
    <t>US - Wyndcrest Holdings LLC (WCH) made a hostile bid to acquire all the outstanding common stock of Cosine Communications Inc, a developer of communications platform software, for a sweetened $9.50 in cash per share, or a total value of $220.248 mil. Originally, WCH made an unsolicited offer to acquire CCI for $9.11 in cash per share. This unsolicited bid was withdrawn.</t>
  </si>
  <si>
    <t>RCM Interests Inc</t>
  </si>
  <si>
    <t>Pvd horse training,racing svcs</t>
  </si>
  <si>
    <t>Graphco Technologies Inc</t>
  </si>
  <si>
    <t>Dvlp face recognition software</t>
  </si>
  <si>
    <t>US - Graphco Technologies Inc acquired all the outstanding stock of RCM Interests Inc, a provider of horse training and racing services, for a undisclosed amount in stock.</t>
  </si>
  <si>
    <t>Seminis Inc</t>
  </si>
  <si>
    <t>Mnfr,whl fruit seeds</t>
  </si>
  <si>
    <t>Savia SA de CV(Pulsar)</t>
  </si>
  <si>
    <t>US - Savia SA de CV (SAV), a majority-owned unit of Pulsar International SA de CV, acquired the remaining 24. 655% stake, or 15.8 mil common shares, which it did not already own, in Seminis Inc (SEM), a manufacturer and wholesaler of fruit seeds, for a sweetened $3.78 in cash per share, or a total value of $63.929 mil. Originally, in December 2002, SAV offered $3.40 in cash per share. Concurrently, an investor group, including Fox Paine &amp; Co LLC, definitively agreed to acquire a 75.8% interest, or 65.3 mil common shares, in SEM from SAV. As part of the transaction, SEM Class A and Class B common shares were to collapse into a single share class, and SAV was to exchange its SEM Class C convertible preferred stock for approximately 37.7 mil new SEM common shares, which was to dilute SEM's total common shares outstanding to an estimated 101.7 mil shares.</t>
  </si>
  <si>
    <t>US - An investor group, including Fox Paine &amp; Co LLC, acquired a 47.2% (74.9% before dilution) interest, or 48.01 mil common shares, on a fully diluted basis, in Seminis Inc (SEM), a manufacturer and wholesaler of fruit seeds, from Savia SA de CV (SAV), a majority-owned unit of Pulsar International SA de CV, for $3.40 in cash per share, or a total value of $163.23 mil. As part of the transaction, SEM Class A and Class B common shares were to collapse into a single share class, and SAV was to exchange its SEM Class C convertible preferred stock for 37.67 mil new SEM common shares, which was to dilute SEM's total common shares outstanding to an estimated 101.75 mil shares.</t>
  </si>
  <si>
    <t>ANFI Inc</t>
  </si>
  <si>
    <t>Pvd title insurance svcs</t>
  </si>
  <si>
    <t>US - Fidelity National Financial Inc (FNF) acquired the remaining 72% interest, or 6.859 mil common shares, which it did not already own in ANFI Inc, formerly known as American National Financial Inc (ANF), a provider of title insurance services, in a stock swap transaction valued at $131. 377 mil. FNF offered .454 common shares per ANF share. Based on FNF's closing stock price of $32.40 on December 13, the last full trading day prior to the announcement of the transaction, each ANF share was valued at $14.71.</t>
  </si>
  <si>
    <t>RDO Equipment Co</t>
  </si>
  <si>
    <t>Retail,whl agricultural equip</t>
  </si>
  <si>
    <t>RDO Holdings Co</t>
  </si>
  <si>
    <t>US - RDO Holdings Co completed its tender offer to acquire the remaining 33.18% stake, or 4.19 mil common shares, which it did not already own in RDO Equipment Co (RE), a retailer and wholesaler of agricultural equipment, for $6.01 in cash per share, or a total value of $25.451 mil, in a going private transaction, by accepting 3.882 mil shares, or 30.74% of RE's common shares outstanding. The offer was conditioned upon at least 90% of RE's shares being tendered.</t>
  </si>
  <si>
    <t>K2 Inc</t>
  </si>
  <si>
    <t>US - K2 Inc (K2) acquired all the outstanding stock of Rawlings Sporting Goods Co (RSG), a manufacturer of sporting goods, in a stock swap transaction valued at USD 76.662 mil. K2 offered 1. 08 common shares per RSG share. Based on K2's average closing stock price of $8.33 on March 25 , the last full trading day prior to the announcement of the exact exchange ratio, each RSG share was valued at $9.00. Originally, K2 offered .95 common shares per RSG share, subject to a collar agreement. Based on K2's closing stock price of $9.87 on December 13, the last full trading day prior to the announcement, each RSG share was originally valued at $9.38. Originally, K2 was rumored to be in negotiations to acquire RSG. Previously, Mr. Daniel Gilbert planned to launch a challenging tender offer to acquire the remaining 85.41% interest, or 6.909 mil common shares, which he did not already own in RSG.</t>
  </si>
  <si>
    <t>Fidelity Bancorp Inc,IL</t>
  </si>
  <si>
    <t>US - MAF Bancorp Inc, Clarendon Hills, Illinois (MAF), acquired all the outstanding common stock of Fidelity Bancorp Inc, Chicago, Illinois (FBI), a bank holding company, in a stock swap transaction valued at $98.902 mil. MAF offered .89 common shares per FBI share. Based on MAF's closing stock price of $34.83 on December 16, the last full trading day prior to announcement, each FBI share was valued at $31. 00. The transaction included a termination agreement, which provided that if the trading price of MAF common stock were to drop more than 17.5% after announcement, and the average MAF common stock price were to drop more than 17.5% compared to the value of a weighted index of financial institution holding company stocks, then FBI was to be permitted to terminate the transaction.</t>
  </si>
  <si>
    <t>Royal Appliance Manufacturing</t>
  </si>
  <si>
    <t>Mnfr,whl vacuum cleaners</t>
  </si>
  <si>
    <t>TechTronic Industries Co Ltd</t>
  </si>
  <si>
    <t>Mnfr power tools</t>
  </si>
  <si>
    <t>US - TechTronic Industries Co Ltd (TTI) acquired Royal Appliance Manufacturing Co (RA), a manufacturer and wholesaler of vacuum cleaners, via a tender offer, for $7. 37 cash per common share, or a total value of $94.464 mil. Upon completion, RA operated as wholly owned subsidiary of TTI.</t>
  </si>
  <si>
    <t>First Commerce Corp,NC</t>
  </si>
  <si>
    <t>US - Bank of Granite Corp, Granite Falls, North Carolina (BGC), acquired all the outstanding common stock of First Commerce Corp, Charlotte, North Carolina (FCC), a commercial bank and holding company, in a stock swap transaction valued at an estimated $21.1 mil. BGC offered a sweetened choice of $18.73 in cash, or $9.37 in cash and .5186 common shares or 1.038 common shares per FCC share, subject to proration, whereby the maximum cash consideration was not to exceed $9.562 mil, subject to a collar agreement. BGC amended its original offer based on the possible acquisitive intentions of an undisclosed financial institution. Originally, in December 2002, BGC offered a choice of $16.60 in cash, or . 658 BGC shs and $4.49 in cash, or .9022 BGC shs per FCC share, subject to proration, whereby the maximum cash consideration was not to exceed $4.585 mil, subject to a collar agreement.</t>
  </si>
  <si>
    <t>Bay State Bancorp</t>
  </si>
  <si>
    <t>US - Seacoast Financial Services Corp(SF) acquired Bay State Bancorp Inc(BS), Brookline, Massachusetts, a savings and loan holding company, in a stock swap transaction valued at $128.77 mil. SF offered a choice of $27 in cash or 1.257 shares per BS share.</t>
  </si>
  <si>
    <t>theNetDigest.com Inc</t>
  </si>
  <si>
    <t>iBX Group Inc</t>
  </si>
  <si>
    <t>Pvd b2b mgmt svcs</t>
  </si>
  <si>
    <t>US - IBX Group Inc acquired all the oustanding common stock of theNetDigest.com Inc, a provider of ecommerce information services. Terms were not disclosed.</t>
  </si>
  <si>
    <t>Ribapharm Inc</t>
  </si>
  <si>
    <t>US - ICN Pharmaceuticals Inc terminated its plan to spinoff its 80.067% interest, or 120.1 mil common shares, in its majority-owned Ribapharm Inc unit, a biopharmaceutical company, to its shareholders.</t>
  </si>
  <si>
    <t>Steelton Bancorp,Steelton,PA</t>
  </si>
  <si>
    <t>Sun Bancorp Inc,Selinsgrove,PA</t>
  </si>
  <si>
    <t>US - Sun Bancorp Inc (SUN), Selinsgrove, Pennsylvania, acquired all the outstanding common stock of Steelton Bancorp Inc (STE), Steelton, Pennsylvania, an investment bank, for $22.04 in cash per share, or a total value of $6. 972 mil.</t>
  </si>
  <si>
    <t>Inktomi Corp</t>
  </si>
  <si>
    <t>US - Yahoo! Inc acquired all the outstanding common stock of Inktomi Corp, a developer of software applications, for $1.65 in cash per share, or a total value of $249.116 mil.</t>
  </si>
  <si>
    <t>Sport Chalet Inc</t>
  </si>
  <si>
    <t>SC Option LLC</t>
  </si>
  <si>
    <t>US - SC Option LLC, which was backed by Sport Chalet Inc (SCI) management, was granted an option to acquire the remaining 66% interest, or 4.434 mil common shares in SCI, an owner and operator of sporting goods stores, in a leveraged buyout transaction.</t>
  </si>
  <si>
    <t>Panamerican Beverages Inc</t>
  </si>
  <si>
    <t>Produce,whl soft drinks</t>
  </si>
  <si>
    <t>Coca-Cola FEMSA SA CV</t>
  </si>
  <si>
    <t>US - Coca-Cola Femsa Sa de CV (CCF) acquired all the outstanding common stock, or 110.917 mil Class A shares and 8.66 mil Class B shares, of Panamerican Beverages Inc (PBI), a producer and wholesaler of softdrinks, for $22.00 in cash per Class A common share and $38.00 in cash per Class B common share, or a total value of $3.692 bil, including the assumption of $880 mil in liabilities. As part of the transaction, Coca-Cola Co, exchanged its PBI Class A, B and C shares for 304 mil unlisted CCF Series D shares. Upon completion, PBI continued operations under its Panamerican Beverages Inc name. Moreover, the operations of the combined company provided a soft drink production volume of an estimated 1.9 bil unit cases.</t>
  </si>
  <si>
    <t>Aegis Realty Inc</t>
  </si>
  <si>
    <t>Phillips Edison &amp; Co</t>
  </si>
  <si>
    <t>RE investment,dvlp,mgmt firm</t>
  </si>
  <si>
    <t>US - Phillips Edison Ltd acquired all the outstanding common stock of Aegis Realty Inc (ARI), a real estate investment trust, for $11.52 in cash per share, or a total value of $161.418 mil, including the assumption of $68.4 mil in liabilities. The transaction included ARI's entire portfolio of shopping center assets, encompassing 28 community shopping centers in 15 states, with over 3.1 mil square feet of gross leasable space.</t>
  </si>
  <si>
    <t>Scioto Downs Inc</t>
  </si>
  <si>
    <t>Own,op racetrack facility</t>
  </si>
  <si>
    <t>MTR Gaming Group Inc</t>
  </si>
  <si>
    <t>Own,op hotels,racetracks</t>
  </si>
  <si>
    <t>US - MTR Gaming Group Inc (MTR) acquired all the outstanding common stock of Scioto Downs Inc (SDI), an owner and operator of a race track facility, for $19.065 mil. MTR offered a choice of $32.00 in cash or $17.00 in cash plus profit-related payments paid out in 10 annual installments based on SDI's average EBITDA for a 3- year period before the fiscal year ending October 31, 2002, per SDI common share.</t>
  </si>
  <si>
    <t>Resonate Inc</t>
  </si>
  <si>
    <t>Pvd software for the Internet</t>
  </si>
  <si>
    <t>US - A management-led investor group, comprised of Resonate Inc's (RI) President and CEO Peter Watkins and CFO Richard Hornstein, withdrew its definitive agreement to acquire all the outstanding common stock of RI, a provider of software solutions for the Internet markets, for $1.83 in cash per share, or a total value of $50.409 mil, in a leveraged buyout transaction. Subsequently, GTG Acquisition Corp, a unit of Gores Technology Group, definitively agreed to acquire all the outstanding common stock of RI. Originally, in December 2002, the investor group offered $1. 79 in cash per share.</t>
  </si>
  <si>
    <t>First Federal Financial</t>
  </si>
  <si>
    <t>Classic Bancshares,Ashland,KY</t>
  </si>
  <si>
    <t>US - Classic Bancshares Inc, Ashland, Kentucky (CBI) merged with First Federal Financial Bancorp Inc (FBI), a bank holding company, in a stock swap transaction valued at $11.636 mil. CBI offered a choice of $24.00 in cash, or . 9797 common shares, or a combination of cash and CBI common shares, per FBI share, subject to proration, whereby 50% of the consideration was to be paid in cash, or $5.539 mil, and 50% of the consideration was to be issued in CBI common stock, or .226 mil common shares. Based on CBI's closing stock price of 25.00 on December 26, the last full trading day prior to announcement, each FBI share was valued at $24. 25.</t>
  </si>
  <si>
    <t>Marine Bancshares Inc,FL</t>
  </si>
  <si>
    <t>Old Florida Bankshares Inc,FL</t>
  </si>
  <si>
    <t>US - Old Florida Bankshares Inc, Fort Meyers, Florida (OFB), definitively agreed to merge with Marine Bancshares Inc, Naples, Florida (MBI), a savings and loan and holding company, for an estimated $9. 2 mil in OFB common stock. OFB offered .62 common shares per MBI share.</t>
  </si>
  <si>
    <t>New York Health Care Inc</t>
  </si>
  <si>
    <t>BioBalance Corp</t>
  </si>
  <si>
    <t>Dvlp,whl probiotic agents</t>
  </si>
  <si>
    <t>US - BioBalance Corp acquired all the outstanding common stock of New York Health Care Inc, a provider of home health care services.</t>
  </si>
  <si>
    <t>Southern Peru Copper Corp</t>
  </si>
  <si>
    <t>Americas Mining Corp</t>
  </si>
  <si>
    <t>US - Americas Mining Corp, a unit of Grupo Mexico SA de CV (GM), acquired a 54.4% interest, or 7.672 mil common shares, in Southern Peru Copper Corp, a copper mining company, from GM's Asarco LLC subsidiary. The transaction had been subject to regulatory approval.</t>
  </si>
  <si>
    <t>ProBusiness Services Inc</t>
  </si>
  <si>
    <t>US - Automatic Data Processing Inc acquired all the outstanding common stock of ProBusiness Services Inc, a provider of data processing services such as payroll processing, payroll tax filing, human resources and benefits administration, for $17.00 in cash per share, or a total value of $517.666 mil.</t>
  </si>
  <si>
    <t>Summerville Senior Living Inc</t>
  </si>
  <si>
    <t>US - Summerville Senior Living Inc, a unit of Apollo Real Estate Advisors LP's Apollo Real Estate Funds subsidiary, withdrew its unsolicited challenging bid to acquire all the outstanding common stock of ARV Assisted Living Inc, a provider of nursing care services, for $4.00 in cash per share, or a total value of $72.426 mil. Concurrently, Prometheus Assisted Living LLC (PAL) acquired the remaining 56.5% interest, or 9.86 mil common shares, which it did not already own, in ARV. Originally, in November 2002, PAL made an unsolicited offer to acquire ARV.</t>
  </si>
  <si>
    <t>Prab Inc</t>
  </si>
  <si>
    <t>Mnfr indl robots</t>
  </si>
  <si>
    <t>Stevens Equity Holdings</t>
  </si>
  <si>
    <t>US - Stevens Equity Holdings (SE), a unit of Stevens Financial Group LLC, withdrew its plans to acquire all the outstanding common stock of Prab Inc (PI), a manufacturer of industrial robots, for a twice sweetened $2.20 in cash per share, or a total value of $3.521 mil. Previously, SE offered a sweetened $1.7 cash per share, or a total value of $2.703 mil. Originally, SI planned to acquire PI for $1. 3 in cash per share, or a total value of $2.039 mil. Subsequently, a management- led investor group, including PI's CEO Gary A. Herder acquired all the oustanding common stock of PI, in a going private transaction. Furthermore, Inter-Source Acquisition withdrew its unsolicited tender offer to acquire all the outstanding stock of Prab Inc (PI), a manufacturer of industrial robots, for $2.25 per share, or a total value of $3.529 mil, in a challenging bid.</t>
  </si>
  <si>
    <t>Bionx Implants Inc</t>
  </si>
  <si>
    <t>US - Conmed Corp acquired all the outstanding common stock of Bionx Implants Inc, a manufacturer of polymer medical implants, for $4.35 in cash per share, or a total value of $48.075 mil.</t>
  </si>
  <si>
    <t>Numerical Technologies Inc</t>
  </si>
  <si>
    <t>US - Synopsys Inc (SI) acquired all the outstanding common stock of Numerical Technologies Inc (NT), a manufacturer of semiconductors, for $7 in cash per share, or a total value of $239.176 mil. Earlier, SI completed its tender offer for NT by accepting 31.043 mil shares, or 90.5% of NT's common shares outstanding. The offer was conditioned upon at least a majority of NT's shares being tendered, on a fully diluted basis.</t>
  </si>
  <si>
    <t>Register.com Inc</t>
  </si>
  <si>
    <t>Pvd Internet domain svcs</t>
  </si>
  <si>
    <t>RCM Acquisition Co LLC</t>
  </si>
  <si>
    <t>US - RCM Acquisition Co LLC withdrew its plans to launch an unsolicited tender offer to acquire the remaining 93. 89% interest, which it did not already own, in Register. com Inc (RC), a provider of Internet domain services, for $4.95 in cash per share, or a total value of $123.105 mil. The offer was conditioned upon at least a majority of RC's shares being tendered. Subsequently, IWB Acquisitions LLC, a unit of Zackfoot Investments LLC, withdrew its plans to acquire RC in an unsolicited challenging bid. Subsequently, RC completed a self-tender to acquire 17.91 mil of its common shares.</t>
  </si>
  <si>
    <t>US - An investor group, comprised of Simon Property Group Inc (SPG) and Westfield America Trust, withdrew its hostile tender offer to acquire all the outstanding common stock and operating partnership units of Taubman Centers Inc (TCI), an owner and operator of shopping centers, for a twice sweetened $20 in cash per share, or a total value of $1. 714 bil. Previously, SPG withdrew its launched hostile tender offer to acquire all the outstanding common stock and operating partnership units of TCI. The offer was conditioned upon at least two thirds of TCI's shares being tendered by February 14.</t>
  </si>
  <si>
    <t>Mackie Designs Inc</t>
  </si>
  <si>
    <t>Mnfr prof recording equipment</t>
  </si>
  <si>
    <t>Sun Capital Partners Inc</t>
  </si>
  <si>
    <t>US - Sun Capital Partners Inc acquired a 74% interest, or 14.4 mil common shares, in Mackie Designs Inc, a manufacturer of professional audio recording equipment, for an estimated $10 mil.</t>
  </si>
  <si>
    <t>Premier Bancorp Inc</t>
  </si>
  <si>
    <t>US - Fulton Financial Corp(FF) , Lancaster, Pennsylvania acquired Premier Bancorp Inc(PB), Doylestown, Pennsylvania, a bank holding company, in a stock swap transaction valued at $94.455 mil. FF offered 1.34 shares per PB share. Based on FF's closing stock price of $18.64 on January 15, the last full trading day prior to announcement, each PB share was valued at $24.98.</t>
  </si>
  <si>
    <t>3-Dimensional Pharmaceuticals</t>
  </si>
  <si>
    <t>US - Johnson &amp; Johnson acquired all the outstanding common stock of 3-Dimensional Pharmaceuticals Inc, a biotechnology company, for $5. 74 in cash per share, or a total value of $133.914 mil.</t>
  </si>
  <si>
    <t>Caminus Corp</t>
  </si>
  <si>
    <t>US - SunGard Data Systems Inc (SGDS) acquired all the outstanding common stock of Caminus Corp (CC), a software developer, for $9 in cash per share, or a total value of $153.518 mil. Earlier, SGDS completed its tender offer for CC by accepting 16.615 mil shares, or 97.41% of CC's common shares outstanding. The offer was conditioned upon at least a majority of CC's shares being tendered.</t>
  </si>
  <si>
    <t>US - BB&amp;T Corp (BBT), Winston-Salem, North Carolina, acquired First Virginia Banks Inc (FVB), Falls Church, Virginia , a commercial bank holding company, in a stock swap transaction valued at $3. 386 bil. BBT offered 1.26 shares per FVB share. Based on BBT's closing stock price of $37.37 on January 17, the last full trading day prior to announcement, each FVB share was valued at $47.086.</t>
  </si>
  <si>
    <t>Giga Information Group Inc</t>
  </si>
  <si>
    <t>Pvd e-Business consulting</t>
  </si>
  <si>
    <t>Forrester Research Inc</t>
  </si>
  <si>
    <t>Pvd tech,market research svcs</t>
  </si>
  <si>
    <t>US - Forrester Research Inc acquired all the outstanding common stock of Giga Information Group Inc (GIG), a provider of e-Business consulting services, via a tender offer for $4.75 in cash per share, or a total value of $61.461 mil. The transaction was expected to close at the end of February, or if a majority but less than 90% of GIG's outstanding shares are tendered, then during the second quarter of 2003 following a meeting of shareholders.</t>
  </si>
  <si>
    <t>Printcafe Software Inc</t>
  </si>
  <si>
    <t>Dvlp intergrated software</t>
  </si>
  <si>
    <t>Creo Inc</t>
  </si>
  <si>
    <t>Mnfr computer-to-plate sys</t>
  </si>
  <si>
    <t>US - Creo Inc (CI) withdrew its plans to acquire the remaining 45.494% interest, which it did not already own, in Printcafe Software Inc (PSI), a developer of intergrated software for the printing industry supply chain, for $1.30 in cash per share, or a total value of $6. 288 mil. Concurrently, CI raised its interest to 54. 506% from 30.336%, by acquiring 2.57 mil common shares, in PSI, from HarbourVest Fund VI and J&amp;W Seligman &amp; Co, in privately negotiated transactions. Subsquently, Electronics for Imaging made an unsolicited challenging bid to acquire all the outstanding common stock of PSI.</t>
  </si>
  <si>
    <t>US - Creo Inc (CI) raised its interest to 54.506% from 30.336%, by acquiring 2.57 mil common shares, in Printcafe Software Inc (PSI), a provider of comprehensive business-to-business electronic commerce solutions for the printing industry, for $1.30 in cash per share, or a total value of $3.341 mil, from HarbourVest Fund VI and J&amp;W Seligman &amp; Co, in privately negotiated transactions. Concurrently, CI planned to acquire the remaining 45.494% interest, which it did not already own, in PSI. Subsequently, Electronics for Imaging Inc made an unsolicited challenging bid to acquire all of the outstanding common stock of PSI.</t>
  </si>
  <si>
    <t>IWB Acquisitions LLC</t>
  </si>
  <si>
    <t>US - IWB Acquisitions LLC, a unit of Zackfoot Investments LLC, withdrew its plans to acquire Register.com Inc (RI), a provider of Internet domain services, in an unsolicited challenging bid for $5.55 in cash per common share, or a total value of $149.147 mil. Subsequently, RCM Acquisition Co withdrew its plans to launch an unsolicited tender offer to acquire RI. Subsequently, RI completed a self-tender to acquire 17.91 mil of its common shares.</t>
  </si>
  <si>
    <t>GTG Acquisition Corp</t>
  </si>
  <si>
    <t>US - GTG Acquisition Corp, a unit of Gores Technology Group, acquired all the outstanding common stock of Resonate Inc (RI), a provider of software solutions for the Internet market, for an estimated $1.94 in cash per share, or a total value of $53.468 mil. Previously, a management-led investor group, comprised of RI President and CEO Peter Watkins and CFO Richard Hornstein, withdrew its definitive agreement to acquire all the outstanding common stock of RI in a leveraged buyout transaction.</t>
  </si>
  <si>
    <t>First Georgia Holding Inc,GA</t>
  </si>
  <si>
    <t>United Community Banks Inc</t>
  </si>
  <si>
    <t>US - United Community Banks Inc, Blairsville, Georgia (UCB) acquired all the outstanding common stock of First Georgia Holding Inc, Brunswick, Georgia, a bank holding company, in a stock swap transaction valued at $42.119 mil. The consideration consisted of $12.8 mil in cash and 1.177 mil common shares valued at $29.319 mil. The shares were valued based on UCB's closing stock price of $24.91 on January 22, the last full trading day prior to the announcement.</t>
  </si>
  <si>
    <t>US - Electronics for Imaging Inc (EII) acquired all the outstanding common stock of Printcafe Software Inc (PSI), a developer of integrated software for the printing industry supply chain, for $2. 60 in cash per share, or a total value of $27.645 mil, in a challenging bid. Originally, EII made an unsolicited challenging offer to acquire PSI. Previously, Creo Inc planned to acquire the remaining 45.414% stake, which it did not already own, in PSI.</t>
  </si>
  <si>
    <t>Montana Mills Bread Co Inc</t>
  </si>
  <si>
    <t>Own and op bread stores</t>
  </si>
  <si>
    <t>Krispy Kreme Doughnuts Inc</t>
  </si>
  <si>
    <t>Ret,whl doughnuts</t>
  </si>
  <si>
    <t>US - Krispy Kreme Doughnuts Inc (KKD) merged with Montana Mills Bread Co Inc (MMB), an owner and operator of bread stores, in a stock swap transaction valued at $41.012 mil. KKD offered .15 common shares per MMB share, subject to a collar agreement. Based on KKD's closing stock price of $33.70 on January 23, the last full trading day prior to announcement, each MMB share was valued at $5.058.</t>
  </si>
  <si>
    <t>US - Inland Resources Inc (IRI), an oil and gas exploration and production company, completed its debt restructuring with creditors (CR) in a transaction valued $85.437 mil. CR received 22. 053 mil common shares valued at $15.437 mil and 1 mil Series F preferred shares convertible into additional common shares on a 1-for-100 basis, valued at $70 mil. The shares were valued based on IRI's closing stock price of $.70 on June 3, the first full trading day post- restructuring. Upon completion, CR held all the outstanding common stock of IRI.</t>
  </si>
  <si>
    <t>Plains Expl &amp; Prodn Co</t>
  </si>
  <si>
    <t>US - Plains Exploration &amp; Production Co (PEP) acquired all the outstanding common stock of 3TEC Energy Corp (TTE), an oil and gas exploration and production company, in a transaction valued at $314.134 mil. PEP offered $8.50 in cash and .85 common shares per TTE share, subject to a collar agreement. Based on PEP's closing stock price of $9.75 on January 31, 2003, the last full trading prior to the announcement , each TTE share was valued at $16.788. The transaction was to provide PEP with significant exploration potential in the Gulf Coast region of South Louisiana, based on the addition of new drilling locations. Upon completion, PEP shareholders were to own 60%, and TTE shareholders were to own 40%, of the combined company.</t>
  </si>
  <si>
    <t>Perry Ellis International Inc</t>
  </si>
  <si>
    <t>Mnfr,whl men,wome'n's apparel</t>
  </si>
  <si>
    <t>US - Perry Ellis International Inc (PEI) acquired all the outstanding common stock of Salant Corp (SC), a manufacturer and retailer of apparel in a transaction valued at $88.948 mil. PEI offered $5.35 in cash and .2056 PEI common shares per SC share. Based on PEI's closing stock price of $20.11 on June 13, the last full trading day prior to the announcement of the exact exchange ratio, each SC share was valued at $9.48. Originally, in February 2003, PEI agreed to acquire SC for an estimated $52 mil in cash and an estimated $39 mil in common stock, or a total value of $91 mil, whereby the stock consideration was subject to an adjustment based on PEI's average closing stock price for a 20 day trading period prior to a predetermined date.</t>
  </si>
  <si>
    <t>HTE Inc</t>
  </si>
  <si>
    <t>US - SunGard Data Systems Inc (SG) acquired all the outstanding common stock of HTE Inc (HTE), a provider of computer integrated services, for $7 in cash per share, or a total value of $121.791 mil. Earlier, SG completed its tender offer for HTE by accepting 15.2 mil shares, or 83.04% of HTE's common shares outstanding. The offer was conditioned upon at least a majority of HTE's shares being tendered.</t>
  </si>
  <si>
    <t>US - An investor group, comprised of Marathon Partners LP and Austin Ventures LP, withdrew its challenging bid to acquire all the outstanding common stock of Hoovers Inc (HVI), a provider of company information services, for $8 in cash per share, or a total value of $149.792 mil. Previously, in December 2002, Dun &amp; Bradstreet Corp agreed to acquire all the outstanding common stock of HVI.</t>
  </si>
  <si>
    <t>Security Financial Bancorp Inc</t>
  </si>
  <si>
    <t>Standard Bancshares Inc,IL</t>
  </si>
  <si>
    <t>US - Standard Bancshares Inc definitively agreed to acquire all the outstanding common stock of Security Financial Bancorp Inc, for $24 in cash per share, or a total value of $45.962 mil. The transaction was subject to regulatory approvals. When all acquisitions are completed, Standard Bank will have assets of approximately $1.4 bil and thirty-two full service banking centers located throughout the Chicago land area encompassing Cook, DuPage, Will, Grundy and the northwest Indiana counties of lake and Porter.</t>
  </si>
  <si>
    <t>US - Johnson &amp; Johnson (JNJ) acquired all the outstanding common stock of Scios Inc (SCI), a manufacturer of pharmaceuticals, for $45.00 in cash per share, or a total value of $2.32 bil. Originally, JNJ was rumored to be in negotiations to acquire SCI.</t>
  </si>
  <si>
    <t>Caliper Technologies Corp</t>
  </si>
  <si>
    <t>Mnfr laboratory semiconductors</t>
  </si>
  <si>
    <t>Little Bear Investments LLC</t>
  </si>
  <si>
    <t>US - Little Bear Investments LLC (LBI) planned to acquire all the outstanding common stock of Caliper Technologies Corp (CT), a manufacturer of laboratory semiconductors, for a sweetened $4.50 per share, or a total value of $114.877 mil. The consideration was also to consist of 1 unit of a newly created trust for every 5 CT shares. The trust was to be created to hold all of CT's current intellectual property along with a $5 mil cash infusion. Originally, LBI offered $4.15 per share, or a total value of $101.637 mil.</t>
  </si>
  <si>
    <t>Allen Telecom Inc</t>
  </si>
  <si>
    <t>Andrew Corp</t>
  </si>
  <si>
    <t>US - Andrew Corp (AC) acquired all the outstanding common stock of Allen Telecom Inc (AT), a manufacturer and wholesaler of communications equipment, in a stock swap transaction valued at $498. 644 mil. AC offered 1.775 common shares per AT share. Based on AC's closing stock price of $9.01 on February 17, the last full trading day prior to the announcement, each AT share was valued at $15.99. The transaction was subject to approval by shareholders of AC and AT, expiration of the applicable waiting period under the Hart- Scott-Rodino Act and other customary closing conditions. Upon completion, AC shareholders were to hold 64% of the company, while AT shareholders were to hold the remaining 36%.</t>
  </si>
  <si>
    <t>Pvd housing mgmt svcs</t>
  </si>
  <si>
    <t>CB Richard Ellis Inc</t>
  </si>
  <si>
    <t>US - CB Richard Ellis Inc (CBR) acquired all the outstanding common stock of Insignia Financial Group Inc (IFG), a provider of housing management services and a majority-owned unit of Apartment Investment &amp; Management Co, for a sweetened $11.156 in cash per share, or a total value of $429.667 mil, including the assumption of $155 mil in liabilities, in a going private transaction. Previously, in February 2003, CBR offered $11.00 in cash per share, or a total value of $425.492 mil, including the assumption of $155 mil in liabilities. Originally, CBR was rumored to be planning to acquire IFG.</t>
  </si>
  <si>
    <t>Reuters Group PLC</t>
  </si>
  <si>
    <t>Pvd online finl news svcs</t>
  </si>
  <si>
    <t>US - Reuters Group PLC (RGP) acquired the remaining 94% interest, or 30.468 mil common shares, which it did not already own, in Multex. com Inc (MCI), a provider of electronic publishing services, for $7.35 in cash per share, or a total value of $243.064 mil. Earlier, RGP completed its tender offer for MCI by accepting 29.554 mil common shares, or 97% of MCI's common shares outstanding. The offer was conditioned on at least a majority of MCI's shares being tendered.</t>
  </si>
  <si>
    <t>Foreign Currency Exchange Corp</t>
  </si>
  <si>
    <t>Pvd foreign exchange svcs</t>
  </si>
  <si>
    <t>First Rate Enterprises Ltd</t>
  </si>
  <si>
    <t>Provide foreign exchange svcs</t>
  </si>
  <si>
    <t>US - First Rate Enterprises Ltd, a unit of Bank of Ireland, acquired all the outstanding common stock of Foreign Currency Exchange Corp, a foreign currency exchange company, for $3.5 in cash per share, or a total value of $11.276 mil in cash. The offer was conditioned upon at least 80% of FC's shares being tendered.</t>
  </si>
  <si>
    <t>Merry Land Properties Inc</t>
  </si>
  <si>
    <t>US - Cornerstone Realty Income Trust Inc (CRI) merged with Merry Land Properties Inc (MLP), a real estate investment trust, a unit of Equity Residential Properties Trust, in a stock swap transaction valued at an estimated $130.822 mil, including the assumption of $94 mil in liabilities. CRI offered 1.818 common shares and .22 Series B convertible preferred shares for every MLP share. Based on CRI's closing stock price of $7.35 on February 18, the last full trading day prior to the announcement.</t>
  </si>
  <si>
    <t>US - Gart Sports Co (GSC) merged with Sports Authority Inc (SAI), an owner and operator of sporting goods stores, in a stock swap transaction valued at $189. 149 mil. GSC offered .37 common shares per SAI share. Based on GSC's closing stock price of $14.76 on February 18, the last full trading day prior to announcement, each SAI share was valued at $5. 461. Upon completion of the merger of equals transaction, the combined company was to retain the Sports Authority Inc name, while maintaining its headquarters in Englewood, Colorado. Moreover, the new company was to encompass a total of 385 retail stores located in 45 states and apply for listing on the New York Stock Exchange under the ticker symbol, TSA.</t>
  </si>
  <si>
    <t>Upbancorp Inc,Chicago,Illinois</t>
  </si>
  <si>
    <t>Coml bank,hldg co</t>
  </si>
  <si>
    <t>Bridgeview Bancorp,Oak Lawn,IL</t>
  </si>
  <si>
    <t>US - Bridgeview Bancorp Inc, Oaklawn, Illinois, agreed to acquire all outstanding common stock of Upbancorp Inc, Chicago, Illinois, a commercial bank holding company, for an estimated $67. 90 in cash per share, or a total value of $56.7 mil.</t>
  </si>
  <si>
    <t>Enzon Pharmaceuticals Inc</t>
  </si>
  <si>
    <t>NPS Pharmaceuticals Inc</t>
  </si>
  <si>
    <t>Biopharm company</t>
  </si>
  <si>
    <t>US - NPS Pharmaceuticals Inc (NPS) withdrew its agreement to merge with Enzon Pharmaceuticals Inc (ENZ), a biotechnology company, to form a new company (NC), in a stock swap transaction valued at $781.24 mil. ENZ common shareholders were to receive . 7264 common shares, and NPS common shareholders were to receive 1 NC common share per share held. Based on NPS' closing stock price of $24.34, on February 19, the last full trading day prior to the announcement, each ENZ share was valued at $17.68.</t>
  </si>
  <si>
    <t>Acorn Products Inc</t>
  </si>
  <si>
    <t>Mnfr,whl hand,edge tools</t>
  </si>
  <si>
    <t>Oaktree Capital Management LLC</t>
  </si>
  <si>
    <t>US - Oaktree Capital Management LLC, a unit of Oaktree Capital Management LLC, acquired the remaining 92.5% interest, or 5.918 mil common shares, which it did not already own, in Acorn Products Inc, a manufacturer and wholesaler of hand and edge tools, for $3.50 in cash per share, or a total value of $20.711 mil, in a going private transaction.</t>
  </si>
  <si>
    <t>Hammond I Inc</t>
  </si>
  <si>
    <t>US - Hammond I Inc merged with Partsbase Inc (PB), a provider ecommerce retail services to the aviation industry. On completion, the merged entity was named PB.</t>
  </si>
  <si>
    <t>Click Commerce Inc</t>
  </si>
  <si>
    <t>Develop B2B software</t>
  </si>
  <si>
    <t>Insight Venture Management</t>
  </si>
  <si>
    <t>US - Insight Venture Management LLC (IVM) withdrew its hostile bid to acquire the remaining 81.1% interest, or 6.521 mil common shares, which it did not already own, in Click Commerce Inc (CCI), a developer of B2B software, for an amended $3.55 in cash per share, or a total value of $28.038 mil, in a going private transaction. Previously, in March 2003, IVM offered between $3.55 and $3.80 in cash per share, or a total value of $30.381 mil, with the value based on the high price in the range, which subsequently was rejected by CCI's board. Originally, in February 2003, IVM planned to make an unsolicited bid to acquire the remaining interest, which it did not already own, in CCI.</t>
  </si>
  <si>
    <t>US - Devon Energy Corp (DEC) acquired all the outstanding common stock of Ocean Energy Inc (OEI), an oil and gas exploration and production company, in a stock swap transaction valued at $5.442 bil, including the assumption of $1.8 bil in liabilities. DEC offered .414 common shares per OEI share. Based on DEC's closing stock price of $48.23 on February 21, the last full trading day prior to announcement, each OEI share was valued at $19.97. Upon completion, OEI changed its name to Devon OEI Operating Inc and continued operations as a subsidiary of DEC. Moreover, the new company was to encompass total production capabilities of 650,000 barrels of oil equivalent (BOE), 2.4 bil cubic feet of natural gas and 250,000 barrels of oil and natural-gas liquids, per day, with additional exploration assets located off the coasts of Angola, Equatorial Guinea, the Ivory Coast and Nigeria.</t>
  </si>
  <si>
    <t>Oregon Trail Financial Corp</t>
  </si>
  <si>
    <t>FirstBank NW Corp,Clarkston,WA</t>
  </si>
  <si>
    <t>US - FirstBank NW Corp, Lewiston, Idaho (FBN) acquired all the outstanding common stock of Oregon Trail Financial Corp, Baker City, Oregon (OTF), a bank holding company, for $72.135 mil. FBN offered a choice of $22.00 in cash or 1.028 common shares per OTF share, subject to proration, whereby the maximum cash consideration was to not to exceed $36.5 mil and the maximum equity consideration was not to exceed 1.48 mil new FBN common shares, or an estimated 46% of FBN's common shares, on a fully diluted basis.</t>
  </si>
  <si>
    <t>Corvas International Inc</t>
  </si>
  <si>
    <t>Dendreon Corp</t>
  </si>
  <si>
    <t>Mnfr therapeutic vaccines</t>
  </si>
  <si>
    <t>US - Dendreon Corp (DC) definitively merged with Corvas International Inc (CI), a manufacturer of pharmaceuticals, in a stock swap transaction valued at $79.972 mil. DC offered 0.45 shares per CI share. Based on DC's closing stock price of $5.79 on February 24, the last full trading day prior to announcement, each CI share was valued at $2.606. Upon completion, DC shareholders were to own 68. 6%, and CI shareholders were to own 31.4%, of the combined company. The transaction was subject to approval by shareholders.</t>
  </si>
  <si>
    <t>Coast Dental Services Inc</t>
  </si>
  <si>
    <t>Own,op dental offices</t>
  </si>
  <si>
    <t>Great Expressions Dental Ctrs</t>
  </si>
  <si>
    <t>US - Great Expressions Dental Centers Inc (GED) withdrew its plans to launch a hostile tender offer to acquire all the outstanding common stock of Coast Dental Services Inc (CD), an owner and operator of dental offices, for a sweetened $7. 50 in cash per share, or a total value of $15.782 mil, in a going private transaction. Originally, GED offered $6.00 per share, or a total value of $12.547 mil, in an unsolicited bid. Previously, CD launched a self tender offer to acquire all the company's common stock outstanding, in a going private transaction.</t>
  </si>
  <si>
    <t>Baltek Corp</t>
  </si>
  <si>
    <t>Produce wood prods</t>
  </si>
  <si>
    <t>Alcan Inc</t>
  </si>
  <si>
    <t>Mnfr aluminum prod</t>
  </si>
  <si>
    <t>US - Alcan Inc acquired all the outstanding common stock of Baltek Corp (BC), a producer of wood products, for $15.17 in cash per share, or a total value of $36.262 mil. The transaction was subject to approval by BC shareholders.</t>
  </si>
  <si>
    <t>Hollingsworth Rothwell Roxford</t>
  </si>
  <si>
    <t>US - Hollingsworth Rothwell &amp; Roxford withdrew its plans to acquire all the outstanding common stock of Zapata Corp, a manufacturer of animal and marine oils and fats, and an oil drilling and coal mining company, for $45 in cash per share, or a total value of $108.062 mil.</t>
  </si>
  <si>
    <t>First Colonial Group Inc,PA</t>
  </si>
  <si>
    <t>Keystone Savings,Bethlehem,PA</t>
  </si>
  <si>
    <t>US - Keystone Savings Bank (KSB), Bethlehem, Pensylvania acquired all the outstanding common stock of First Colonial Group Inc (FCG), a bank holding company, in a stock swap transaction valued at $84.131 mil. KSB offered $37 in stock per FCG share. Upon completion, FCG was renamed Keystone Nazareth Bank and Trust Co.</t>
  </si>
  <si>
    <t>US - In March 2003, Paxson Communications Corp, an owner and operator of radio and TV stations, announced that it was seeking a buyer for itself.</t>
  </si>
  <si>
    <t>Computer Motion Inc</t>
  </si>
  <si>
    <t>Mnfr robotic surgical systems</t>
  </si>
  <si>
    <t>Intuitive Surgical Inc</t>
  </si>
  <si>
    <t>Manufacture surgical equipment</t>
  </si>
  <si>
    <t>US - Intuitive Surgical Inc (ISI) merged with Computer Motion Inc (CMI), a manufacturer of robotic surgical systems, in a stock swap transaction valued at $40.206 mil. ISI offered .52 common shares per CMI share, subject to a collar agreement. Based on ISI's closing stock price of $4.42 on March 6, the last full trading day prior to announcement, each CMI share was valued at $2.30. Upon completion, ISI shareholders held a 68% interest, and CMI shareholders the remaining 32%, of the combined company, which was headquartered in Sunnyvale, California.</t>
  </si>
  <si>
    <t>Sorrento Networks Corp</t>
  </si>
  <si>
    <t>US - Sorrento Networks Corp(SN), a manufacturer of optical networking systems, definitively agreed to a debt restructuring with bondholders who, upon completion, were to hold an 87.5% interest in the restructured SN. Existing shareholders were to retain a 7.5% stake in SN and were to receive non-transferable warrants to purchase an additional 5% of of SN's post- restructuring common stock. Furthermore, the SN was to reincorporate to Delaware and merge its operating and non- operating subsidiaries into the new Delaware corporation.</t>
  </si>
  <si>
    <t>First Bell Bancorp Inc</t>
  </si>
  <si>
    <t>US - Northwest Bancorp Inc, Warren, Pennsylvania, a majority-owned unit of Northwest Bancorp, Minnesota acquired all the outstanding common stock of First Bell Bancorp Inc, Wilmington, Delaware (FI), a savings and loan holding company, for $26. 25 in cash per share, or a total value of $127.862 mil. The transaction was subject to approval by FI shareholders and applicable regulatory authorities and other customary conditions.</t>
  </si>
  <si>
    <t>CIVCO Holding Inc</t>
  </si>
  <si>
    <t>Mnfr med instruments</t>
  </si>
  <si>
    <t>US - CIVCO Holding Inc (CH), a unit of KRG Capital Partners, acquired all the outstanding common stock of Colorado MEDTech Inc, a manufacturer of surgical and medical products, for an amended $4.75 per share, or a total value of $64.581 mil, in a going private transaction. Originally, CH offered between $4.50 and $5. 00 per share, or a total value of $68.26 mil, with the value based on the high price in the range. The transaction was subject to shareholder approval.</t>
  </si>
  <si>
    <t>US - Mercantile Bankshares Corp, Baltimore, Maryland (MB) , acquired all the outstanding common stock of F&amp;M Bancorp, Frederick, Maryland (FB), a bank holding company, for $504.337 mil. MB offered a choice of $46 in cash or 1.283 MD common shares or a combination of cash and shares per FB share. The transaction was subject to approval by regulatory authorities and FB shareholders.</t>
  </si>
  <si>
    <t>Pixelworks Inc</t>
  </si>
  <si>
    <t>US - Pixelworks Inc (PI) withdrew its definitive agreement to merge with Genesis Microchip Inc (GM), manufacturer of integrated circuits, in a stock swap transaction valued at $581. 331 mil, including the assumption of an estimated $10 mil in liabilities. PI offered 2.337 shares per GM share. Based on PI's closing stock price of $7.65 on March 14, the last full trading day prior to announcement, each GM share was valued at $17. 875. Upon completion, the merged entity was to be named Genesis Pixelworks. Upon completion of the reverse takeover transaction, PI shareholders were to own 37. 5% and GM shareholders were to own 62.5% of the combined company.</t>
  </si>
  <si>
    <t>Interlott Technologies Inc</t>
  </si>
  <si>
    <t>Mnfr,whl lottery vending mach</t>
  </si>
  <si>
    <t>GTECH Holdings Corp</t>
  </si>
  <si>
    <t>Pvd online lottery svcs</t>
  </si>
  <si>
    <t>US - GTECH Holdings Corp (GH) acquired all the outstanding common stock of Interlott Technologies Inc (IT), a manufacturer and wholesaler of lottery vending machines, for $82.831 mil including the assumption of an estimated $21 mil in liabilities. GH offered a choice of $9 in cash or common shares or combination of both, subject to proration, whereby the cash was to consist of 48.5%, and the equity consideration was to consist of 51.5%, of the total consideration. The transaction was subject to approval of IT shareholders.</t>
  </si>
  <si>
    <t>Noxso Corp</t>
  </si>
  <si>
    <t>US - An undisclosed investor group signed a letter of intent to acquire a 55.652% interest, or .632 mil common shares, in Noxso Corp, an investment holding company, for $.25 mil.</t>
  </si>
  <si>
    <t>Bedford Bancshares,Bedford,VA</t>
  </si>
  <si>
    <t>US - FNB Corp, Christianburg, Virginia (FNB), acquired all the outstanding common stock of Bedford Bancshares, Bedford, Virginia (BBB), a savings and loan, in a stock swap transaction valued at $50.234 mil. FNB offered $23. 81 in cash and common stock per BBB share, subject to a collar agreement.</t>
  </si>
  <si>
    <t>Dirk Inc</t>
  </si>
  <si>
    <t>US - Dirk Inc (DI), a company controlled by Troy Group Inc (TGI) CEO Mr. Patrick Dirk, withdrew its agreement to acquire the remaining 35% stake, or 3.73 mil common shares, which it did not already own in TGI, a manufacturer of printing machines and supplies, for a sweetened $3.06 in cash per share, or a total calue of $11.405 mil, in a going private transaction. Previously, DI offered a sweetened $2.76 in cash per share, or a total value of $10.287 mil. Originally, in March 2003, DI offered $2.70 in cash per share, or a total value of $10.063 mil. Subsequently, in May 2003, Westar Capital (WC), a unit of Westar Energy Inc, planned to acquire all the outstanding common stock of TGI, in a challenging bid.</t>
  </si>
  <si>
    <t>Evergreen Solar Inc</t>
  </si>
  <si>
    <t>Mnfr,whl solar power cells</t>
  </si>
  <si>
    <t>US - An investor group, including Perseus 2000 LLC, Nth Power Technologies, RockPort Capital Partners LP, CDP Capital, Massachussetts Renewable Energy Trust, Impax Asset Management Ltd, Zero Stage Capital Inc, Credit Suisse Asset Management, SAM Smart Energy AG, and Beacon Power Corp, acquired a 69. 683% interest, on a fully diluted basis, by acquiring 26.228 mil preferred shares convertible into common shares on a one-for-one basis, in Evergreen Solar Inc, a manufacturer of solar power products, for $1.12 in cash per preferred share, or a total value of $29.375 mil.</t>
  </si>
  <si>
    <t>Championship Auto Racing Teams</t>
  </si>
  <si>
    <t>Pvd racing events svcs</t>
  </si>
  <si>
    <t>US - Investor Bernie Ecclestone planned to acquire a 50% interest in Championship Auto Racing Teams Inc, an owner and operator of racing event.</t>
  </si>
  <si>
    <t>Graphic Packaging Intl Corp</t>
  </si>
  <si>
    <t>Mnfr,whl paperboard pkg</t>
  </si>
  <si>
    <t>US - Riverwood Holding Inc (RHI) merged with Graphic Packaging International Corp (GPI), a manufacturer and wholesaler of paperboard packaging products, in exchange for an estimated $430 mil in stock. Upon completion, RHI shareholders held 57.5%, and GPI shareholders held 42.5% of the combined company, Graphic Packaging Corp, which was headquartered in Atlanta, Georgia.</t>
  </si>
  <si>
    <t>InvestorsBancorp,Waukesha,WI</t>
  </si>
  <si>
    <t>US - A management-led investor group, including George Schonath, agreed to acquire the remaining 40% stake, or 0.398 mil common shares, which it did not already own in InvestorsBancorp, Waukesha, WI, a commercial bank holding company, for $14.20 per share, or a total value of $5.776 mil, in a leverage buyout transaction.</t>
  </si>
  <si>
    <t>US - Bankrupt NRG Energy Inc(NRG), an electric and gas utility, and a unit of Xcel Energy Inc, completed its debt restructuring with creditors(CR). On completion, CR held 100% interest in the restructures NRG.</t>
  </si>
  <si>
    <t>Whitman Education Group Inc</t>
  </si>
  <si>
    <t>Own,op educ schools</t>
  </si>
  <si>
    <t>US - Career Education Corp (CE) acquired all the outstanding common stock, or 14.206 mil common shares, in Whitman Education Group Inc (WE), an owner and operator of educational schools, for $308.391 mil in cash and common stock. The consideration consisted of $6 in cash and .138 common shares per WE share. Based on CE's closing stock price of $68.30, on June 30, the last full trading day prior to the announcement of the final terms, each WE share was valued at $15.43. The transaction was subject to the approval of WE's shareholders and regulatory authorities.</t>
  </si>
  <si>
    <t>Rialto Capital Partners LLC</t>
  </si>
  <si>
    <t>US - Rialto Capital Partners LLC planned to acquire all the outstanding common stock of Coast Dental Services Inc, an owner and operator of dental offices, for $6.25 in cash per share, or a total value of $13.076 mil.</t>
  </si>
  <si>
    <t>SR Telecom Inc</t>
  </si>
  <si>
    <t>Dvlp wireless access software</t>
  </si>
  <si>
    <t>US - SR Telecom Inc (SRT) acquired all the outstanding common stock of Netro Corp, a provider of wireless communication services, in exchange for an amended 41.5 mil common shares valued at $302.95 mil. The shares were valued based on SRT's closing stock price of $7.30 on May 9, the last full trading day prior to the amendment of the terms. Originally, SRT offered 41.5 mil American Depositary Shares.</t>
  </si>
  <si>
    <t>PMC Capital Inc</t>
  </si>
  <si>
    <t>Closed-end investment fund co</t>
  </si>
  <si>
    <t>US - PMC Commercial Trust Inc (PMCT) merged with PMC Capital Inc (PMCC), a closed- end investment fund company, in a stock swap transaction valued at $59.386 mil. PMCT offered .37 common shares per PMCC share. Based on PMCT's closing stock price of $13.54 on March 26, the last full trading day prior to announcement, each PMCC share was valued at $5.01. Upon completion, PMCT was the surviving entity.</t>
  </si>
  <si>
    <t>CSB Financial Corp,Teaneck,NJ</t>
  </si>
  <si>
    <t>US - Lakeland Bancorp Inc, Oak Ridge, New Jersey (LBI), acquired all the outstanding stock of CSB Financial Corp, Teaneck, New Jersey (CSB), a commercial bank holding company, in a stock swap transaction valued at $31.9 mil. LBI offered a choice of cash or common stock per CSB share, subject to the requirement that 50% of the consideration was to be paid in cash and 50% was to be paid in common stock, subject to a collar agreement.</t>
  </si>
  <si>
    <t>Carbon Energy Corp</t>
  </si>
  <si>
    <t>Crude petroleum,natural gas</t>
  </si>
  <si>
    <t>Evergreen Resources Inc</t>
  </si>
  <si>
    <t>US - Evergreen Resources Inc (ERI) acquired all the outstanding common stock of Carbon Energy Corp (CEC), an oil and gas exploration and production company, in a stock swap transaction valued at $80.476 mil. ERI offered . 275 common shares per CEC share. Based on ERI's closing stock price of $45.40 on March 28, the last full trading day prior to the announcement, each CEC share was valued at $12.485.</t>
  </si>
  <si>
    <t>Frontier Oil Corp</t>
  </si>
  <si>
    <t>Mnfr,whl crude oil,petro prod</t>
  </si>
  <si>
    <t>US - Frontier Oil Corp withdrew its offer to acquire all the outstanding common stock of Holly Corp, a manufacturer of petroleum products, for $28.96 in cash per share, or a total value of $477.426 mil.</t>
  </si>
  <si>
    <t>Mercator Software Inc</t>
  </si>
  <si>
    <t>Strategic Software Holdings</t>
  </si>
  <si>
    <t>US - Strategic Software Holdings terminated its unsolicited offer to acquire the remaining 95.16% interest, or 33.471 mil common shares, which it did not already own, in Mercator Software Inc, a developer of software, for $2. 17 in cash per share, or a total value of $77.382 mil</t>
  </si>
  <si>
    <t>Clayton Homes Inc</t>
  </si>
  <si>
    <t>Mnfr relocatable homes</t>
  </si>
  <si>
    <t>US - Berkshire Hathaway Inc acquired all the outstaning common stock of Clayton Homes Inc (CH), a manufacturer and retailer of mobile homes, for $12.5 in cash per share, or a total value of $1.711 bil. The transaction was subject to approval by CH shareholders. Subsequently, in July 2003, Cerberus Capital Management withdrew its plans to acquire all the outstanding common stock of CH in an unsolicited challenging bid.</t>
  </si>
  <si>
    <t>US - Liberty Media Corp (LMC) acquired the remaining 13% stake, or 6.379 mil common shares, which it did not already own, in Liberty Satellite &amp; Technology Inc (LST), a provider of pay television services, in a stock swap transaction valued at $20.437 mil. LMC offered a sweetened .275 Class A common shares per Class A or Class B LST share. Based on LMC's closing stock price of $11.65 on August 26, the last full trading day prior to the announcement of the sweetened terms, each LST share was valued at $3.204. Originally in April 2003, LMC planned to acquire the remaining 13% stake, which it did not already own in LST, in exchange for .2131 Class A common shares per Class A or Class B LST share.</t>
  </si>
  <si>
    <t>US - California Investment Fund LLC, a unit of Regions Financial Corp, Birmingham, Alabama's First Commercial Corp, Little Rock, Arkansas subsidiary, acquired all the outstanding common stock of National Service Industries Inc, a manufacturer of lighting equipment, for $10. 00 in cash per share, or a total value of $111.854 mil.</t>
  </si>
  <si>
    <t>TFC Enterprises Inc</t>
  </si>
  <si>
    <t>US - Consumer Portfolio Services Inc acquired all the outstanding common stock of TFC Enterprises Inc (TE), a provider of financing services, for $1.87 in cash per share, or a total value of $21.67 mil in cash. The transaction was subject to approval by TE shareholders.</t>
  </si>
  <si>
    <t>Concord EFS Inc</t>
  </si>
  <si>
    <t>Pvd funds transferring svcs</t>
  </si>
  <si>
    <t>US - First Data Corp (FDC) acquired Concord EFS Inc (CEF) , a provider of funds transferring services, in an amended stock swap transaction valued at $7.182 bil. FDC offered 0.365 common shares per CEF share. Based on FDC's closing stock price of $39.3 on December 12, the last full trading day prior to the amendment of terms, each CEF share was valued at $14.344. Originally, FDC offered 0.4 common shares per CEF share. Based on FDC's closing stock price of $34.68 on April 1, the last full trading day prior to announcement, each CEF share was originally valued at $13. 87. Upon completion, FDC shareholders were to own 81%, and CEF shareholders were to own 19%, of the combined company. Concurrently, FDC announced that it was seeking a buyer for its 64% interest in NYCE Corp.</t>
  </si>
  <si>
    <t>Pvd integrated info svcs</t>
  </si>
  <si>
    <t>US - Thomson Corp (TC) acquired all the outstanding common stock of Elite Information Group Inc (EIG), a developer of financial information systems and software, for $14.00 in cash per share, or a total value of $121.518 mil. Earlier, TC completed its tender offer for EIG by accepting 7.773 mil shares, or 98.8% of EIG's common shares outstanding. The offer was conditioned upon at least a majority of EIG's shares being tendered. Upon the tendering of 90% or more of EIG's shares, the merger agreement was adopted without a shareholder vote, according to Delaware State Law.</t>
  </si>
  <si>
    <t>The Sports Club Co Inc</t>
  </si>
  <si>
    <t>Own,op sports,fitness clubs</t>
  </si>
  <si>
    <t>US - A management-led investor group, including Kayne Anderson Capital Advisors LP, Millennium Partners, and Chief Executive Officers Rex A Licklider and D Michael Talla, planned to acquire all the outstanding common stock of Sports Club Co, an owner and operator of sports and fitness clubs, for $3 in cash per share, or a total value of $70.157 mil, in a leveraged buyout transaction.</t>
  </si>
  <si>
    <t>INRANGE Technologies Corp</t>
  </si>
  <si>
    <t>Mnfr svc,networking prod</t>
  </si>
  <si>
    <t>Computer Network Technology</t>
  </si>
  <si>
    <t>US - Computer Network Technology Corp (CNT), acquired the remaining 9% stake, or 7.392 mil common shares, which it did not already own, in INRANGE Technologies Corp (IRT), a manufacturer of service switching and network products, for $2.31 in cash per share, or a total value of $17.077 mil. Concurrently, CNT acquired a 91% interest, or 74.746 mil common shares in IT, from SPX Corp.</t>
  </si>
  <si>
    <t>US - Computer Network Technology Corp (CNT), acquired a 91% interest, or 74.746 mil common shares in INRANGE Technologies Corp (IRT), a manufacturer of service switching and network products, from SPX Corp, for $2.31in cash per share, or a total value of $172.663 mil. Concurrently, CNT acquired the remaining 9% stake, or 7. 392 mil common shares, which it did not already own, in IRT.</t>
  </si>
  <si>
    <t>Pacer Technology</t>
  </si>
  <si>
    <t>Mnfr,whl adhesives,sealants</t>
  </si>
  <si>
    <t>CYAN Investments LLC</t>
  </si>
  <si>
    <t>US - CYAN Investments LLC (CIL) acquired the remaining 74.34% interest, or 2.171 mil common shares, which it did not already own, in Pacer Technology, a manufacturer and wholesaler of adhesives and sealants, for a sweetened $6.95 in cash per share, or a total value of $16.969 mil, in a going private transaction. Originally, in April 2003, CIL offered $6.00 in cash per share, or a total value of $14.258 mil.</t>
  </si>
  <si>
    <t>US - Fiserv Inc acquired all the outstanding common stock of Insurance Management Solutions Group Inc (IM), a provider of property and casualty insurance services, a majority-owned unit of Bankers Financial Corp's Bankers Insurance Group Inc subsidiary, for an estimated $3.3 in cash per share or a total value of $40.511mil. The transaction was subject to approval by (IM) shareholders and other regulatory authorities.</t>
  </si>
  <si>
    <t>Ramsay Youth Services Inc</t>
  </si>
  <si>
    <t>Psychiatric Solutions Inc</t>
  </si>
  <si>
    <t>Own,op psychiatric hosp</t>
  </si>
  <si>
    <t>US - Psychiatric Solutions Inc(PS) acquired all the outstanding common stock of Ramsay Youth Services Inc, an owner and operator of psychiatric hospitals, for $5 in cash per share, or a total value of $77.916 mil, including the assumption of $19.9 mil in liabilities. The transaction was subject to the approval of stockholders of PS and regulatory authorities.</t>
  </si>
  <si>
    <t>Salix Pharmaceuticals Ltd</t>
  </si>
  <si>
    <t>Mnfr,whl specialty pharmaceuticals</t>
  </si>
  <si>
    <t>Axcan Pharma Inc</t>
  </si>
  <si>
    <t>US - Axcan Pharma Inc (AP) withdrew its unsolicited tender offer to acquire all the outstanding common stock of Salix Pharmaceuticals Ltd (SP), a manufacturer of gastroenterology pharmaceuticals, for a sweetened $10.50 in cash per share, or a total value of $235.74 mil. Originally, AP offered $8.75 in cash per share, or a total value of $194.174 mil. The offer was conditioned upon at least a majority of SP's shares being tendered on a fully diluted basis.</t>
  </si>
  <si>
    <t>US - USA Interactive (UI) acquired the remaining 32% stake, or 18.193 mil shares, which it did not already own, in Hotels.com (HC), a provider of discount hotel accommodations services, in a stock swap transaction valued at $1.237 bil. UI offered 2.4 common shares per HC share. Based on UI's closing stock price of $25.1 on April 9, the last full trading day prior to the announcement, each HC share was valued at $60.24. The transaction was subject to approval by regulatory authorities. Upon completion, UI changed its name to InterActiveCorp.</t>
  </si>
  <si>
    <t>ITXC Corp</t>
  </si>
  <si>
    <t>Pvd Internet tele svcs</t>
  </si>
  <si>
    <t>US - IDT Corp (IC) withdrew its plans to launch an unsolicited tender offer to acquire all the outstanding common stock of ITXC Corp (IT) , a provider of internet telephone services, in a stock swap transaction valued at $61.042 mil. IC offered $1. 40 in Class B common stock per IT share. Subsequently, pursuant to the terms of an agreement entered into with IT on May 1, 2003, IC was not to take any action to acquire the shares of IT for the next thirty days without IC's consent, and the parties were to enter into discussions.</t>
  </si>
  <si>
    <t>Skybridge Wireless Inc</t>
  </si>
  <si>
    <t>US - Entertainment Internet Inc merged with SkyBridge Wireless Inc, an Internet Service Provider {ISP}</t>
  </si>
  <si>
    <t>SYNAVANT Inc</t>
  </si>
  <si>
    <t>Cegedim SA</t>
  </si>
  <si>
    <t>US - Groupe Cegedim(GC) withdrew its launched tender offer to acquire all the outstanding common stock of SYNAVANT Inc (SI), a provider of information solutions services, for $2.30 in cash per share, or a total value of $36.062 mil. The offer was conditioned upon at least a majority of SI's shares being tendered, on a fully diluted basis. The transaction was subject to approval by regulatory authorities. Previously, CG terminated its agreement to acquire the Global Interactive Marketing Business of SI. Subsequently, Dendrite International Inc completed its launched unsolicited challenging tender offer to acquire SI.</t>
  </si>
  <si>
    <t>Aquent</t>
  </si>
  <si>
    <t>Pvd employment,staffing svcs</t>
  </si>
  <si>
    <t>US - Aquent LLC withdrew its plans to launch an unsolicited tender offer to acquire all the outstanding common stock, or 30.286 mil common shares, in Computer Horizons Corp (CH), a provider of computer consulting services, for $5 in cash per share, or a total value of $154.751 mil. The transaction was subject to the approval of CH's shareholders.</t>
  </si>
  <si>
    <t>Diacrin Inc</t>
  </si>
  <si>
    <t>Dvlp trans-plantable cells</t>
  </si>
  <si>
    <t>GenVec Inc</t>
  </si>
  <si>
    <t>US - GenVec Inc (GI) merged with Diacrin Inc (DI), a developer of trans-plantable cells, in a stock swap transaction valued at $40.361 mil. GI offered 1.529 common shares per DI share. Based on GI's closing stock price of $1.46 on April 14, the last full trading day prior to announcement, each DI share was valued at $2.233. The transaction was subject to approval by shareholders of each company. Upon completion, DI shareholders held a 54.5% and GI shareholders 45.5% of the merged entity.</t>
  </si>
  <si>
    <t>CPB Inc,Honolulu,Hawaii</t>
  </si>
  <si>
    <t>US - Central Pacific Financial Corp, Honolulu, Hawaii (CP) formerly known as CPB Inc, Honolulu, Hawaii (CPB), acquired all the outstanding common stock of CB Bancshares Inc, Honolulu, Hawaii (CBI), a commercial bank holding company, in a stock swap transaction valued at a sweetened $416.998 mil. CP offered $20 in cash and 2. 675 CP common share per share, subject to election, whereby CB shareholders were to have a choice to receive all cash or all common stock, with pro- rata allocation to apportion consideration among CB shareholders to extent the total elections for cash or stock differ from the aggregate amounts of cash and stock be paid by CP. Originally CPB offered $22.27 in cash and 2.4 common shares per CBI share held. Previously, CPB offered $19. 09 in cash and 1.7233 common shares per CBI share held. Originally, CPB offered $21. 00 in cash and 1.8956 common shares per CBI share. The shares were valued based on CP's closing stock price of $26.85 on April 22, the last full trading day prior to the announcement of the sweetened terms, each CBI share was valued at $91.82.</t>
  </si>
  <si>
    <t>US - An investor group, comprised of Ripplewood Holdings LLC, a unit of Onex Corp, and ZelnickMedia, acquired all the outstanding common stock of Lillian Vernon Corp, a direct-mail catalog company, for $7.25 in cash per share, or a total value of $60.653 mil. Upon completion, Ms. Lillian Vernon was to hold a 5% stake in the newly-private company.</t>
  </si>
  <si>
    <t>Monarch Services Inc</t>
  </si>
  <si>
    <t>Montgomery Advisors LLC</t>
  </si>
  <si>
    <t>US - Montgomery Advisors LLC agreed to acquire all the outstanding common stock of Monarch Services Inc, a publishing company, for $1.50 in cash per share, or a total value of $2.492 mil.</t>
  </si>
  <si>
    <t>Signal Technology Corp</t>
  </si>
  <si>
    <t>Mnfr and design mgmt prod</t>
  </si>
  <si>
    <t>US - Crane Co (CC) acquired all the outstanding common stock of Signal Technology Corp (STC), a manufacturer and designer of management products, for $13.25 in cash per share, or a total value of 142.483 mil. Earlier, CC completed its tender offer for STC by accepting 10.107 mil shares, or 94% of STC's common shares outstanding. The offer was conditioned upon at least a majority of STC's shares being tendered.</t>
  </si>
  <si>
    <t>Sylvan Inc</t>
  </si>
  <si>
    <t>Produce mushrooms,fruits</t>
  </si>
  <si>
    <t>0182</t>
  </si>
  <si>
    <t>US - A management-led investor group withdrew its unsolicited offer to acquire all the outstanding common stock of Sylvan Inc, a producer of mushrooms, fruits and vegetables, for $11 in cash per share, or a total value of $56.768 mil, in a leveraged buyout transaction.</t>
  </si>
  <si>
    <t>Port Financial Corp</t>
  </si>
  <si>
    <t>US - Citizens Financial Group Inc, Providence, Rhode Island, a unit of Royal Bank of Scotland Group PLC, acquired all the outstanding common stock of Port Financial Corp, Brighton, Massachusetts, a bank holding company, for $54. 00 in cash per share, or a total value of $309.696 mil.</t>
  </si>
  <si>
    <t>Verdugo Banking Co</t>
  </si>
  <si>
    <t>US - First Community Bancorp Inc, Rancho Santa Fe, California acquired all the oustanding stock of Verdugo Banking Co, Glendale, California (VB), for an estimated $34.9 mil. The transaction was subject to the approval of VB's shareholders and bank regulatory autorities.</t>
  </si>
  <si>
    <t>AlphaNet Solutions Inc</t>
  </si>
  <si>
    <t>Whl computer prods,svcs</t>
  </si>
  <si>
    <t>US - CIBER Inc (CI) acquired all the outstanding common stock of AlphaNet Solutions Inc, a wholesaler of computer products, for a choice of $4. 05 in cash or CI common stock per share or a total value of $27.893 mil, subject to proration whereby the maximun number of shares issued would be 0.75 mil.</t>
  </si>
  <si>
    <t>Dendrite International Inc</t>
  </si>
  <si>
    <t>Dvlp sales force mgmt software</t>
  </si>
  <si>
    <t>US - Dendrite International Inc (DI) acquired all the outstanding common stock of SYNAVANT Inc (SI), a provider of information solutions services, for a twice sweetened $3.22 in cash per share, or a total value of $51.36 mil. Earlier, DI completed its unsolicited challenging tender offer for SI by accepting 14.044 mil common shares, or 92.364% of SI's common shares outstanding. Originally, DI offered $2.50 in cash per share, or a total value of $39.346 mil, in a competing bid, and then a sweetened $2. 83 in cash per share, or a total value of $44.817 mil. The offer was conditioned upon at least 50.1% of SI's shares being tendered. Previously, Groupe Cegedim definitively agreed to acquire all the outstanding common stock of SI.</t>
  </si>
  <si>
    <t>Williams Energy Partners LP</t>
  </si>
  <si>
    <t>Pvd gas utility svcs</t>
  </si>
  <si>
    <t>US - An investor group, comprised of Madison Dearborn Partners LLC and Carlyle Riverstone Global Energy &amp; Power Fund II LP, a joint venture between Carlyle Group LP and Riverstone Holdings LLC, acquired a 54.6% interest in Williams Energy Partners LP (WEP), a provider of gas utility services, from Williams Cos Inc (WC), for an estimated $1.082 bil. The consideration consisted of $512 mil in cash and the assumption of up to $570 mil in liabilities. Originally, in February 2003, WC announced that it was seeking a buyer for its 54.6% interest in WEP. Concurrently, WC announced that it was seeking a buyer for its Texas gas pipeline.</t>
  </si>
  <si>
    <t>MCK Communications Inc</t>
  </si>
  <si>
    <t>Mnfr communication equip</t>
  </si>
  <si>
    <t>US - Verso Technologies Inc (VT) acquired all the outstanding common stock of MCK Communications Inc (MC), a manufacturer of communications equipment, for a sweetened estimated $56.084 mil. The consideration was to consist of an estimated 18.3 mil VT common shares valued at $27.084 mil and $29 mil in a cash dividend. The shares were valued based on VT's closing stock price of $1.48 on June 16, the last full trading day prior to the announcement of the amended terms. Originally, VT offered an estimated 20 mil common shares valued at $18.2 mil, based on VT's closing stock price of $.91 on April 21, the last full trading day prior to the announcement, and $29 mil in a cash dividend.</t>
  </si>
  <si>
    <t>Varsity Brands Inc</t>
  </si>
  <si>
    <t>US - An investor group comprised of the senior management of Varsity Brands Inc (VB) and Leonard Green &amp; Partners LP acquired all the outstanding common stock of VB, a manufacturer of sporting and athletic goods, for $6.57 in cash per share, or a total value of $136.757 mil, including the assumption of an estimated $70 mil in liabilities, in a leveraged buyout transaction. The transaction was conditioned on the successful completion of tender offer of VB's outstanding 10.5% senior notes due 2007. The transaction was subject to approval by VB shareholders and regulatory authorities.</t>
  </si>
  <si>
    <t>Hallwood Realty Partners LP</t>
  </si>
  <si>
    <t>High River LP</t>
  </si>
  <si>
    <t>Own,op apartments</t>
  </si>
  <si>
    <t>US - High River LP (HR), backed by investor Carl Icahn, withdrew its offer to acquire all the outstanding limited partner units of Hallwood Realty Partners LP (HRP), a real estate investment trust, for a sweetened $120 in cash per unit, or a total value of $191.274 mil. The offer was conditioned upon at least a majority of HRP's shares being tendered. Originally, HR offered $100 in cash per unit or a total value of $159. 395 mil. Concurrently, HRPT Properties Trust acquired all the oustanding stock of HRP.</t>
  </si>
  <si>
    <t>SpeechWorks International Inc</t>
  </si>
  <si>
    <t>Dvlp speech,imaging software</t>
  </si>
  <si>
    <t>US - ScanSoft Inc (SI), a majority-owned unit of Visioneer Inc (VI), acquired all the outstanding common stock of SpeechWorks International Inc, a developer of voice recognition software software and products, in a stock swap transaction valued at $166. 324 mil. SI offerred .86 common shares per VI share. Based on SI's closing stock price of $5.56 on April 23, the last full trading day prior to the announcement, each VI share was valued at $4.782.</t>
  </si>
  <si>
    <t>Ascent Media Group Inc</t>
  </si>
  <si>
    <t>US - Liberty Media Corp (LM) acquired the remaining 10% stake, or .488 mil common shares, which it did not already own, in Ascent Media Group Inc (AM), a provider of motion picture production services, in a stock swap transaction valued at $.593 mil. LM offered .1147 common shares per AM share. Based on LM's closing stock price of $10.55 on April 24, the last full trading day prior to the announcement, each AM share was valued at $1.213.</t>
  </si>
  <si>
    <t>Thousand Trails Inc</t>
  </si>
  <si>
    <t>Kohlberg &amp; Co LLC</t>
  </si>
  <si>
    <t>US - Kohlberg &amp; Co LP acquired all the outstanding common stock of Thousand Trails Inc, an owner and operator of campgrounds, for $14.50 in cash per share, or a total value of $114.588 mil, in a going private transaction.</t>
  </si>
  <si>
    <t>Gunhill Enterprises Inc</t>
  </si>
  <si>
    <t>US - Gunhill Enterprises Inc (GEI), a unit of Eastchester Enterprises Inc, withdrew from its definitive agreement to acquire the remaining 73. 9% interest, or 3.259 mil common shares, which it did not already own, in Stephan Co, a manufacturer of hair care products, for a sweetened $4.60 in cash per share, or a total value of $15.066 mil. Originally, GEI offered $3.25 in cash per share and a $4.074 mil 4.5% 42-month promissory note, which was payable based on a principal amount of $1.25 multiplied by the number of common shares not previously owned by GEI, or a total value of $14.669 mil.</t>
  </si>
  <si>
    <t>Sun Country Bank,Victorville</t>
  </si>
  <si>
    <t>America Bancshares Inc</t>
  </si>
  <si>
    <t>US - America Bancshares Inc, Victorville, California, acquired all the outstanding common stock of Sun Country Bank,Victorville, California, a commercial bank, for $12.50 in cash per share, or a total value of $24.904 mil, in a going private transaction.</t>
  </si>
  <si>
    <t>IGN Entertainment Inc</t>
  </si>
  <si>
    <t>Online media co</t>
  </si>
  <si>
    <t>Great Hill Partners LP</t>
  </si>
  <si>
    <t>US - Great Hill Partners LLC acquired all the outstanding common stock of IGN Entertainment Inc, an online media company, for $12 in cash per share, or a total value of $30.485 mil. The transaction was subject to approval by relevant authorities.</t>
  </si>
  <si>
    <t>Atlantic Data Services Inc</t>
  </si>
  <si>
    <t>US - A management-led investor group (IG), including Atlantic Data Services Inc's (ADS) chairman and CEO Robert W. Howe, President William H Gallagher, director Lee M Kennedy, and General Atlantic Partners LLC, acquired the remaining 35. 212%, or 4.625 mil common shares, of Atlantic Data Services Inc, a provider of information technology consulting services, for a sweetened $3.25 in cash per share, or a total value of $15.033 mil, in a going private transaction. Originally, IG planned to offer $3 in cash per share, or a total value of $13.876 mil.</t>
  </si>
  <si>
    <t>LendingTree Inc</t>
  </si>
  <si>
    <t>US - InterActive Corp, formerly known as USA Interactive (USAI), acquired all the outstanding common stock of LendingTree Inc (LTI) , a provider of Internet services, in a stock swap transaction valued at $729. 641 mil. USAI offered .6199 common shares per LTI share. Based on USAI's closing stock price of $34.96 on May 2, the last full trading day prior to announcement, each LTI share was valued at $21.67.</t>
  </si>
  <si>
    <t>US - Zoran Corp (ZC) acquired Oak Technology Inc (OTI), a manufacturer of semiconductors, in a stock swap transaction valued at $340.31 mil. ZC offered $1.78 in cash and .2323 common shares per OTI share. Based on ZC's closing stock price of $17.64 on May 2, the last full trading day prior to the announcement, each OTI share was valued at $5.878. Upon completion, ZC shareholders held a 66.6% interest in the combined company, while OTI shareholders would own the remaining 33.4%, on a fully diluted basis.</t>
  </si>
  <si>
    <t>Westerbeke Corp</t>
  </si>
  <si>
    <t>Mnfr marine engine prod</t>
  </si>
  <si>
    <t>Westerbeke Acquisition Corp</t>
  </si>
  <si>
    <t>US - Westerbeke Acquisition Corp (WA), a company wholly- owned by WC's President and Cheif Executive Officer, John H. Westerbeke, acquired the remaining 43.8% stake, or 0. 856 mil common shares, which it did not already own, in Westerbeke Corp (WC), a manufacturer of marine engine products, for a sweetened $3. 26 in cash per share, or a total value of $3.12 mil. Originally, WA offered $3 in cash per share, or a total value of $2.85 mil.</t>
  </si>
  <si>
    <t>GBC Bancorp,Los Angeles,CA</t>
  </si>
  <si>
    <t>Cathay Bancorp,Los Angeles,CA</t>
  </si>
  <si>
    <t>Comml bank hldg co</t>
  </si>
  <si>
    <t>US - Cathay Bancorp, Los Angeles, CA (CB) merged with GBC Bancorp, Los Angeles, CA, a bank holding company, for $450.355 mil. The consideration consisted of $162.4 mil in cash and 6.75 mil common shares, valued at $287.955 mil, or a proration whereby 36% was to be paid in cash and 64% was to be paid in CB common shares. The shares were valued based on CB's closing stock price of May 6, the last full trading day prior to the announcement. The transaction was subject to shareholders and regulatory approvals. Upon completion, the merged entity was renamed Cathay General Bancorp.</t>
  </si>
  <si>
    <t>Peoples Bankcorp Inc,NY</t>
  </si>
  <si>
    <t>US - Community Bank System Inc, DeWitt, NY (CB) definitively agreed to acquire all the outstanding common stock of Peoples Bankcorp Inc, Ogsdenburg, NY (PB), for $30 in cash per share, or a total value of $4. 003 mil. The transaction was subject to shareholders and other regulatory approvals. Upon completion, PB was to be merge into CB.</t>
  </si>
  <si>
    <t>CNL Hospitality Properties Inc</t>
  </si>
  <si>
    <t>US - CNL Hospitality Properties Inc, a unit of CNL Financial Group Inc, acquired all the outstanding common stock and outstanding partnership units of RFS Hotel Investors Inc (RFS), a real estate investment trust, for $12.35 in cash per share or unit, or an estimated total value of $687.957 mil, including the assumption of $304.6 mil in liabilities.</t>
  </si>
  <si>
    <t>Elevon Inc</t>
  </si>
  <si>
    <t>Dvlp accounting software</t>
  </si>
  <si>
    <t>US -SSA Global Technologies Inc acquired all the outstanding common stock of Elevon Inc (EI), a developer of accounting software, for $1.3 per share, or a total value of $20.25 mil. The transaction was subject to approval by majority of EI shareholders and other customary closing conditions.</t>
  </si>
  <si>
    <t>Westar Capital LLC</t>
  </si>
  <si>
    <t>US - Westar Capital (WC), a unit of Westar Energy Inc, withdrew its plans to acquire all the outstanding common stock of Troy Group Inc (TGI), a provider of enterprise output solutions services, and a majority-owned unit of Dirk Inc (DI), for a twice- sweetened $4.50 in cash per share, or a total value of $48.299 mil, in a challenging bid. Previously, WC offered a sweetened $4.00 in cash per share, or a total value of $42.878 mil. Originally, in May 2003, WC offered $3.50 per share, or a total value of $37.362 mil. Completion of the transaction was to be contingent upon the approval of a majority of TGI shareholders. Previously, in March 2003, DI, a company controlled by TGI CEO Mr. Patrick Dirk, agreed to acquire the remaining 35% stake, or 3.73 mil common shares, which it did not already own, in TGI, in a going private transaction.</t>
  </si>
  <si>
    <t>Dwyer Group Inc</t>
  </si>
  <si>
    <t>Pvd special fran svcs</t>
  </si>
  <si>
    <t>US - An investor group, led by Riverside Co and including management, acquired all the outstanding common shares of The Dwyer Group Inc (Dwyer), a provider of franchise operations services, for USD 6.75 in cash per share, or a total of USD 52.25 mil in cash, in a leveraged buyout transaction. Subsequently, an investor group led by TZP Capital Partners I LP agreed to acquire Dwyer in a secondary buyout transaction.</t>
  </si>
  <si>
    <t>Packaged Ice Inc</t>
  </si>
  <si>
    <t>Produce packaged ice</t>
  </si>
  <si>
    <t>US - An investor group comprised of Trimaran Capital Partners and Bear Stearns Merchant Banking, a unit of Bear Stearns Cos Inc, acquired all the outstanding common stock of Packaged Ice Inc (PI), a producer of packaged ice, for $3.62 in cash per share, or a total value of $75.605 mil. The transaction was subject to regulatory approval including clearance from Hart Scott Rodino Antitrust Improvements Act. Upon closing of the transaction, the PI's outstanding 9-3/4% senior notes and 10% Preferred shares were to be redeemed.</t>
  </si>
  <si>
    <t>Crown American Realty Trust</t>
  </si>
  <si>
    <t>PREIT</t>
  </si>
  <si>
    <t>US - Pennsylvania Real Estate Investment Trust (PRE) acquired all the outstanding common stock of Crown American Realty Trust (CAR), a real estate investment trust, in a stock swap transaction valued at $1.215 bil, including the assumption of $758.5 mil in liabilities. PRE offered $124 mil in preferred stock and .3589 common shares per CAR share. Based on PRE's closing stock price of $28 on May 13, the last full trading day prior to announcement, each CAR share was valued at $13.916. Upon completion, PRE held interests in 54 retail properties in 12 states, encompassing an estimated 33. 5 mil square feet.</t>
  </si>
  <si>
    <t>US - South Financial Group Inc, Greenville, South Carolina (SFG) acquired all the outstanding common stock of MountainBank Financial Corp, Hendersonville, North Carolina (MBF), a bank holding company, in a stock swap transaction valued at $129.598 mil. SFG offered 1.3 common shares per MBF share. Based on SFG's closing stock price on October 2, the last full trading day prior to the announcement of the exact exchange ratio, each MBF share was valued at $34.476. Originally, SFG offered 1.3 common shares per MBF share, subject to a collar agreement which subsequently was breached. Based on SFG's closing stock price of $25.19 on May 13, the last full trading day prior to the announcement, each MBF share was originally valued at $32. 75.</t>
  </si>
  <si>
    <t>WilTel Commun Group Inc</t>
  </si>
  <si>
    <t>US - Leucadia National Corp (LN) acquired the remaining 52.6% interest, or 26.3 mil common shares which it did not already own in WilTel Communications Group Inc (WC), a provider of fiber optic communications services, in a stock swap transaction valued at $418.839 mil. Earlier, LN completed its tender offer for WC by accepting 24.954 mil shares, or 94.5% of WC's common shares outstanding. LN offered 0.4242 common shares per WC share. Based on LN's closing stock price of $37.56 on August 11, the last full trading day prior to the announcement of terms, each WC share was valued at $15. 925. The offer was conditioned upon a majority of WC's shares being tendered. Originally, LN offered 0. 3565 shs com per WC share which it subsequently withdrew.</t>
  </si>
  <si>
    <t>Suburban Community Bank,PA</t>
  </si>
  <si>
    <t>Univest National Bank &amp; Trust</t>
  </si>
  <si>
    <t>US - Univest National Bank and Trust Co, a unit of Univest Corp of Pennsylvania, Soulderton, PA merged with Suburban Community Bank, for $20 in cash per share, or a total value of $20.807 mil. The transaction was subject to regulatory approvals.</t>
  </si>
  <si>
    <t>Superior Finl Corp,AR</t>
  </si>
  <si>
    <t>Arvest Bank Group Inc,AR</t>
  </si>
  <si>
    <t>US - Arvest Bank Group Inc, Bentonville, Arkansas, acquired all the outstanding common stock of Superior Financial Corp (SFC), Little Rock, Arkansas, for $23.75 in cash per share, or a total value of $210.181 mil, in a going private transaction. The transaction was subject to approval by SFC shareholders.</t>
  </si>
  <si>
    <t>Wolohan Lumber Co</t>
  </si>
  <si>
    <t>Ret lumber,bldg material</t>
  </si>
  <si>
    <t>US - A management-led investor group (IG), including CEO James Wolohan, COO John Sieggreen, senior VP Daniel Rogers and CFO Edward Dean, acquired the remaining 48.8% stake, or .997 mil common shares, which it did not already own, in Wolohan Lumber Co, a retailer of lumber and building materials, for a sweetened $25.75 in cash per share, or a total value of $30.068 mil, in a going private, leveraged buyout transaction. Originally, in May 2003, IG offered $21.75 in cash per share, or a total value of $24.83 mil.</t>
  </si>
  <si>
    <t>US - Wells Fargo &amp; Co(WF), San Francisco, California, acquired Pacific Northwest Bancorp(PNB), Harbor, Washington, a bank holding company, in a stock swap transaction valued at $622. 385 mil. WF offered .6965 common shares per PNB share. Based on WF's closing stock price of $48.39 on May 16, the last full trading day prior to the announcement, each PNB share was valued at $33.704. The transaction was approved by the boards of both companies and was subject to regulatory authorities.</t>
  </si>
  <si>
    <t>US - An investor group comprised of Quality King Distributors Inc and Mr. Ilia Lekach, terminated its plans to launch a tender offer to acquire all the outstanding common stock of Parlux Fragrances Inc (PF), a manufacturer and wholesaler of perfumes and beauty products, for $4 in cash per share, or a total value of $44.301 mil. The offer was conditioned upon at least a majority of PF's shares being tendered.</t>
  </si>
  <si>
    <t>Dover Investments Corp</t>
  </si>
  <si>
    <t>Leeward Capital Corp</t>
  </si>
  <si>
    <t>US - Leeward Capital Corp of Canada agreed to acquire the remaining 89.6% interest or 0. 918 mil common shares, which it did not already own in Dover Investment Corp, a San Francisco-based real estate investment firm, for USD 31per share or a total value of USD 28.462 mil.</t>
  </si>
  <si>
    <t>US - A management-led investor group, including Zones Inc's (ZI) Chief Executive Officer, Mr. Firoz Lalji, withdrew its plans to acquire the remaining 49.9% stake, or 6.738 mil common shares, which it did not already own, in ZI, an owner and operator of catalog and mail order houses, for $1 per share, or a total value of $6. 836 mil, in a leveraged buyout transaction. Previously, Mr. Lalji raised his interest to 50.061% from 37.222% in ZI.</t>
  </si>
  <si>
    <t>Elder-Beerman Stores Corp</t>
  </si>
  <si>
    <t>EB Acquisition Ltd</t>
  </si>
  <si>
    <t>US - EB Acquistion Ltd withdrew its plans to launch a tender offer to acquire all the outstanding common stock of Elder-Beerman Stores Corp (EB), an owner and operator of department stores, for $5. 50 in cash per share, or a total value of $65.665 mil. Subsequently, Wright Holdings Inc, a unit of Goldner Hawn Johnson &amp; Morrison Inc, withdrew its definitive agreement to acquire all the outstanding common stock of EB, in a challenging bid. Subsequently, Bon-Ton Stores Inc acquire all the outstanding common stock of EB in a challenging, hostile bid.</t>
  </si>
  <si>
    <t>US - MAF Bancorp Inc, Clarendon Hills, Illinois (MB) acquired all outstanding common stock of St Francis Capital Corp, Milwaukee, Wisconsin (SF), a bank holding company, in a stock swap transaction valued at $264.624 mil. MB offered .79 common shares per SF share. Based on MB's closing stock price of $33.63 on May 20, the last full trading day prior to announcement, each SF share was valued at $26. 568.</t>
  </si>
  <si>
    <t>US - Fidelity National Financial Inc (FF) acquired the remaining 34% stake, or 13.515 mil common shares, which it did not already own in Fidelity National Information Solutions Inc (FI) , a provider of real estate information services, in a stock swap transaction valued at $391.891 mil. FF offered . 644 common shares for each FI share on a pre-split basis. Based on FF's closing stock price of $36.65 on May 22, the last full trading day prior to the announcement, each FI share was valued $23. 603.</t>
  </si>
  <si>
    <t>NS&amp;L Bancorp Inc,Neosho,MO</t>
  </si>
  <si>
    <t>Savings,loan</t>
  </si>
  <si>
    <t>NS&amp;L Acquisition Corp</t>
  </si>
  <si>
    <t>US - NS&amp;L Acquisition Corp definitively agreed to acquire all the outstanding common stock of NS&amp;L Bancorp Inc, Neosho, Missouri, for $18 in cash per share, or a total value of $11.646 mil. The transaction was subject to the approval of regulatory authorities.</t>
  </si>
  <si>
    <t>TMBR/Sharp Drilling Inc</t>
  </si>
  <si>
    <t>Oil and gas well drilling</t>
  </si>
  <si>
    <t>Patterson-UTI Energy Inc</t>
  </si>
  <si>
    <t>US - Patterson-UTI Energy Inc (PU) definitively agreed to acquire the remaining 80% interest, or 4.363 mil common shares, which it did not already own, in TMBR/Sharp Drilling Inc (TD), an oil and gas well drilling company and a majority-owned unit of Tom Brown Inc, in a stock swap transaction valued at $92.077 mil. PU offered $9.09 in cash and .312 PU shares per TD share. Based on PU's closing stock price of $35.59 on May 23, the last full trading day prior to announcement, each TD share was valued at $20. 194. The transaction was subject to approval by TD shareholders and other customary closing conditions, including pre-notification under the Hart-Scott-Rodino Antitrust Improvements Act.</t>
  </si>
  <si>
    <t>CommerceSouth Inc,Eufaula,AL</t>
  </si>
  <si>
    <t>BancTrust Financial Group Inc</t>
  </si>
  <si>
    <t>US - BancTrust Financial Group Inc (BTF) acquired all the outstanding common stock of CommerceSouth Inc, Eufaula, Alabama (CSI), a bank holding company, in a stock swap transaction valued at $73.108 mil. BTF offered $12. 75 in cash and $12.75 in common stock per CSI share, subject to a collar agreement. The transaction was subject to approval of CSI and BTF shareholders.</t>
  </si>
  <si>
    <t>GREKA Energy Corp</t>
  </si>
  <si>
    <t>Randeep Grewal</t>
  </si>
  <si>
    <t>US - Investor CEO Randeep Grewal acquired the remaining 85.7% interest, or 4.243 mil common shares, which he did not already own, in Greka Energy Corp (GE), an oil and gas exploration and production company, for $6.25 in cash per share, or a total value of $27.956 mil, in a going private transaction. The transaction was subject to certain conditions, such as financing and approval by a mojority of the shareholders. Upon completion, GE was to be delisted from NASDAQ.</t>
  </si>
  <si>
    <t>High Country Financial Corp,NC</t>
  </si>
  <si>
    <t>US - Yadkin Valley Bank &amp; Trust Co, Elkin, North Carolina (YV) acquired all the outstanding common stock of High Country Financial Corp, Boone, North Carolina (HC), a bank holding company, in a stock swap transaction valued at an amended $35.378 mil. YV offered an amended choice of $24.02 in cash, or 1.335 YV common shares per share held, whereby 90% of the total consideration was payable in stock and 10% in cash. Originally, YV offered a choice of $24.30 in cash or 1.35 YV common shares per HC share.</t>
  </si>
  <si>
    <t>Valley Detroit Diesel Allison</t>
  </si>
  <si>
    <t>US - Valley Detroit Diesel Allison withdrew its plans to acquire Westerbeke Corp, a manufacturer of marine engine products and air-conditioning products, from unit of Weterbeke Acquisition Corp, for $3.45 in cash per share, or a total value of $13.994 mil, including the assumption of $7.1 mil in liabilities.</t>
  </si>
  <si>
    <t>Hometown America LLC</t>
  </si>
  <si>
    <t>Own,op community homes</t>
  </si>
  <si>
    <t>US - Hometown America LLC acquired all the outstanding common stock and common operating partnership units of Chateau Communities Inc (CC), a real estate investment trust primarily engaged in the development of manufactured home communities, for $29.25 in cash per share or unit, or a total value of $2.231 bil, including the assumption of an estimated $1. 2 bil in liabilities in a going private transaction. The transaction was subject to approval by shareholders and unitholders of CC.</t>
  </si>
  <si>
    <t>Miller Exploration Co</t>
  </si>
  <si>
    <t>Edge Petroleum Corp</t>
  </si>
  <si>
    <t>US - Edge Petroleum Corp (EP) acquired all the oustanding common stock of Miller Exploration Co (ME), an oil and gas exploration and production company, in a stock swap transaction valued at $21.445 mil. EP offered 1. 22342 common shares per ME share. Based on EP's closing stock price of $7.93 on December 3, the last full trading day prior to announcement of final terms, each ME share was valued at $9.698. Former ME stockholders now own an estimated 21% of the outstanding shares of EP common stock, with the remaining 79% continuing to be owned by EP's pre-merger stockholders.</t>
  </si>
  <si>
    <t>Cysive Inc</t>
  </si>
  <si>
    <t>Dvlp software solutions</t>
  </si>
  <si>
    <t>Snowbird Holdings Inc</t>
  </si>
  <si>
    <t>US - Snowbird Holdings Inc (SH) acquired the remaining 65% interest, or 18.499 mil common shares, which it did not already own, in Cysive Inc (CI), a provider of sofware solutions, for a sweetened $3.23 in cash per share, or a total value of $74.5 mil, in a going private transaction. Originally, in May 2003, SHI offered $3.22 in cash per share, or a total value of $74.248 mil. The transaction was subject to various conditions, including approval by Ci's shareholders and the availability to SH of financing for the proposed transaction on acceptable terms.</t>
  </si>
  <si>
    <t>Varsity Group Inc</t>
  </si>
  <si>
    <t>Pvd ecommerce ret svcs</t>
  </si>
  <si>
    <t>Age Research Inc</t>
  </si>
  <si>
    <t>US - Age Research Inc definitively agreed to acquire all the outstanding common stock of Varsity Group Inc, a provider of online textbook retail services. The transaction was subject to shareholder approval.</t>
  </si>
  <si>
    <t>JD Edwards &amp; Co</t>
  </si>
  <si>
    <t>US - PeopleSoft Inc (PSFT) acquired all the outstanding common stock of JD Edwards &amp; Co (JDEC), a developer of enterprise software, in a stock swap transaction valued at $1.776 bil. PSFT offered a sweetened choice of $14.33 in cash or $7.05 in cash and .43 common shares per JDEC share held, subject to proration, whereby no more than $863 mil in cash and 52.6 mil common shares were to be paid. Earlier, PSFT completed its tender offer for JDEC by accepting 110 mil common shares, or 90.6% of JDEC's common shares outstanding. The offer was conditioned upon at least a majority of JDEC's shares being tendered. Originally, PSFT offered .86 common shares per JDEC share, in a stock swap transaction. Subsequently, Oracle Corp launched an unsolicited tender offer to acquire all the outstanding common stock of PSFT.</t>
  </si>
  <si>
    <t>ICN Pharmaceuticals Inc</t>
  </si>
  <si>
    <t>Mnfr pharm,vaccines</t>
  </si>
  <si>
    <t>US - ICN Pharmaceuticals Inc (ICN) acquired the remaining 19.9% stake, or 29.85 mil common shares, which it did not already own, in Ribapharm Inc (RPI), a biotechnology company, for a sweetened $6. 25 in cash per share, or a total value of $187.273 mil. Earlier, ICN completed its hostile tender offer for RPI by accepting 20.729 mil shares, or 13.731% of RPI's common stock outstanding. Originally, ICN offered $5.60 in cash per share, or a total value of $167.238 mil in an unsolicited bid. The offer was conditioned upon at least 90% of RI's shares being tendered.</t>
  </si>
  <si>
    <t>Cobalt Corp</t>
  </si>
  <si>
    <t>US - WellPoint Health Networks Inc (WPH) acquired all the outstanding common stock of Cobalt Corp (CBC), an owner and operator of an HMO and a majority-owned unit of Wisconsin United for Health Foundation Inc, in a stock swap transaction valued at $901.546 mil. WPH offered $10.25 in cash and $10.25 in common stock per CBC share, subject to a collar agreement.</t>
  </si>
  <si>
    <t>Odd Job Stores Inc</t>
  </si>
  <si>
    <t>Own,op discount stores</t>
  </si>
  <si>
    <t>Amazing Savings Holding LLC</t>
  </si>
  <si>
    <t>Own,op close out retail stores</t>
  </si>
  <si>
    <t>US - Amazing Savings Holding LLC (AS) acquired a 96% interest in Odd Job Stores Inc (OJS), an owner and operator of discount stores, for $3.00 in cash per share, or a total value of $26.095 mil. Earlier, AS completed its tender offer for OJS by accepting 8.185 mil commons shares, or 90.332% of OJS' common shares outstanding. The transaction was conditioned upon at least 66. 6% of OJS's shares being tendered.</t>
  </si>
  <si>
    <t>HFL Corp</t>
  </si>
  <si>
    <t>US - HFL Corp withdrew its signed letter of intent to acquire all the outstanding common stock of Uni-Marts Inc (UM), an owner and operator of convenience store, for $2. 25 in cash per share, or a total value of $16.445 mil. The transaction was subject to various conditions, including that the UM board receive an opinion from a financial advisor that the cash price is fair from a financial point of view to the Uni-Mart stockholders.</t>
  </si>
  <si>
    <t>Handspring Inc</t>
  </si>
  <si>
    <t>Mnfr,whl,ret handheld computer</t>
  </si>
  <si>
    <t>US - Palm Inc (PI) merged with Handspring Inc (HSI), a manufacturer of handheld computers, in a stock swap transaction valued at $170. 988 mil. PI offered .09 common shares per HSI share. Based on PI's closing stock price on June 3, the last full trading day prior to the announcement, each HSI share was valued at $1.09. Upon completion, PI shareholders held 67.8%, and HSI shareholders held 32.2%, of the combined company, which changed its name and continued operations as palmOne Inc. Concurrently, PI completed the spinoff of its PalmSource subsidiary to its shareholders.</t>
  </si>
  <si>
    <t>Made2Manage Systems Inc</t>
  </si>
  <si>
    <t>Battery Ventures VI LP</t>
  </si>
  <si>
    <t>US - Battery Ventures VI LP, a unit of Battery Ventures, acquired all the outstanding common stock of Made2Manage Systems Inc, a developer of software, for $5.7 in cash per share, or a total value of $30.509 mil.</t>
  </si>
  <si>
    <t>North Amer Bk &amp; Trust Co,CT</t>
  </si>
  <si>
    <t>Webster Financial Corp</t>
  </si>
  <si>
    <t>US - Webster Financial Corp acquired all the outstanding common stock North American Bank &amp; Trust Co, for an estimated $30 mil in cash and common shares. The transaction was subject to approval by regulatory authorities.</t>
  </si>
  <si>
    <t>US - Oracle Corp (OC) acquired all the outstanding common stock of PeopleSoft Inc (PSFT), a developer of enterprise software, for a twice-sweetened $26.5 in cash per share, or a total value of $10.467 bil. Earlier, OC completed its tender offer for PSFT by accepting 388.679 mil shares or 97% of PSFT's common shares outstanding. Previously, in November 2004, OC launched an unsolicited hostile tender offer to acquire PSFT, for a sweetened $24 in cash per share, or a total value of 9.39 bil. Previously, in May 2004, OC offered an amended $21 in cash per share, or a total value of $8.122 bil. Previously, in February 2004, OC offered a twice-sweetened $26 in cash per share, or a total of $10.178 bil. Previously, in August 2003, OC offered a sweetened $19.50 in cash per share, or a total value of $7.47 bil, based on an increase in target shares outstanding. Previously, in June 2003, OC offered a sweetened $19.50 in cash per share, or a total value of $6. 173 bil. Originally, OC offered $16 in cash per share, or a total value of $5.124 bil. Previously, PSFT acquired all the outstanding common stock of JD Edwards &amp; Co, a developer of enterprise software, in a in a stock swap transaction.</t>
  </si>
  <si>
    <t>Grange National Banc Corp,PA</t>
  </si>
  <si>
    <t>US - Community Bank System Inc, DeWitt, New York (CBSI) acquired all the outstanding common stock of Grange National Banc Corp, Tunkhannock, Pennsylvania (GNB), a bank holding company, in a stock swap transaction valued at $82.209 mil. CBSI offered a choice of $42.50 in cash, 1.209 common shares or a combination of cash and common shares per GNB share, subject to proration, whereby at least 30% but no more than 45% of the consideration was to be paid in cash and no more than 70% was to be paid in NBC common stock. Based on CBSI's closing stock price of $37.92 on June 6, the last full trading day prior to announcement, each GNB share was valued at $45.845.</t>
  </si>
  <si>
    <t>Multilink Technology Corp</t>
  </si>
  <si>
    <t>Vitesse Semiconductor Corp</t>
  </si>
  <si>
    <t>US - Vitesse Semiconductor Corp (VSC) acquired all the outstanding common stock of Multilink Technology Corp (MT) , a manufacturer and wholesaler of semiconductors, in a stock swap transaction valued at $23.551 mil. VSC offered .5493 common shares per MT share. Based on VSC's closing stock price of $5.42 on June 6, the last full trading day prior to the announcement, each MT share was valued at $2.977.</t>
  </si>
  <si>
    <t>Veridian Corp</t>
  </si>
  <si>
    <t>Pvd tech,engineering svcs</t>
  </si>
  <si>
    <t>US - General Dynamics Corp acquired all the outstanding common stock of Veridian Corp, a provider of networks, databases and other information and intelligence solutions services, for $35 in cash per share, or a total value of $1.56 bil, including the assumption of $270 mil in liabilities.</t>
  </si>
  <si>
    <t>Atalanta/Sosnoff Capital Corp</t>
  </si>
  <si>
    <t>Investment bank holding co</t>
  </si>
  <si>
    <t>Martin Sosnoff</t>
  </si>
  <si>
    <t>US - Chairman and CEO of Atalanta/Sosnoff Capital Corp (ASC) Mr. Martin T Sosnoff acquired the remaining 20.87% stake, or an estimated 1.608 mil common shares, which he did not already own, in ASC, an investment bank holding company, for $13.95 in cash per share, or a total value of $23.482 mil, in a going private transaction.</t>
  </si>
  <si>
    <t>Vsource Inc</t>
  </si>
  <si>
    <t>Team America Inc</t>
  </si>
  <si>
    <t>US - Team America Inc (TA) terminated its definitive agreement to merge with VSource Inc (VS), a developer of Internet software, in a stock swap transaction valued at $68.098 mil. TA offered 3. 1 common shares per VS common share held, 1.172 shares per VS convertible preferred A-1 share held, 1.398 shares per VS convertible A-2 share held and 3,100 shares per VS convertible preferred A-4 share held. The shares were valued based on AT's closing stock price of $1.04 on June 11, the last full trading day prior to the announcement. Upon completion of the reverse takeover, AT shareholders were to hold a 20% stake and VS shareholders were to hold an 80% interest in the newly formed company, which was to be named VSource Corp.</t>
  </si>
  <si>
    <t>Cragar Industries Inc</t>
  </si>
  <si>
    <t>Mnfr,whl custom vehicle wheels</t>
  </si>
  <si>
    <t>Global Entertainment Corp</t>
  </si>
  <si>
    <t>Pvd ent, arena dvlp svcs</t>
  </si>
  <si>
    <t>US - Global Entertainment Corp (GE) acquired all the outstanding common stock of Cragar Industries Inc, a manufacturer and wholesaler of custom vehicle wheels, in exchange for GE stock.</t>
  </si>
  <si>
    <t>US - Sovereign Bancorp Inc, Philadelphia, Pennsylvania (SBI) acquired all the outstanding common stock of First Essex Bancorp Inc, Andover, Massachusetts (FEB), a bank holding company, in a stock swap transaction valued at $400.464 mil. SBI offered a choice of $48.00 in cash or 2.925 common shares or a combination of cash and common shares per FEB share, subject to the requirement that 50% of the consideration was payable in cash, and 50% was payable in SBI common stock. The shares were valued based on SBI's closing stock price of $16.42 on June 12, the last full trading day prior to the announcement.</t>
  </si>
  <si>
    <t>Clarus Corp</t>
  </si>
  <si>
    <t>Litemark Inc</t>
  </si>
  <si>
    <t>US - Litemark Inc acquired all the outstanding common stock of Clarus Corp , a provider of e-commerce services.</t>
  </si>
  <si>
    <t>Mid-Atlantic Realty Trust</t>
  </si>
  <si>
    <t>US - Kimco Realty Corp acquired all the outstanding common stock and partnership units of Mid-Atlantic Realty Trust (MA), a real estate investment trust, for $21.051 in cash per share or unit, or an estimated total value of $446.316 mil. The transaction was subject to MA approval and customary closing conditions.</t>
  </si>
  <si>
    <t>Central Valley Bancorp,Modesto</t>
  </si>
  <si>
    <t>Bank of Stockton,Stockton,CA</t>
  </si>
  <si>
    <t>US - Bank of Stockton, Stockton, California, a unit of 1867 Financial Corp, acquired all the outstanding common stock of Central Valley Bancorp (CV), a bank holding company for Modesto Commerce Bank, for $26.00 in cash per share, or a total value of $61.523 mil. The transaction was subject to approval by CV shareholders.</t>
  </si>
  <si>
    <t>Regency Centers Corp</t>
  </si>
  <si>
    <t>US - Security Capital Group Inc, a unit of the General Electric Capital Corp subsidiary of Deneral Electric Co's General Electric Capital Services unit, announced that it was seeking a buyer for Regency Centers Corp, a real estate investment trust.</t>
  </si>
  <si>
    <t>Biogen Inc</t>
  </si>
  <si>
    <t>IDEC Pharmaceuticals Corp</t>
  </si>
  <si>
    <t>US - IDEC Pharmaceuticals Corp (IDEC) merged with Biogen Inc (BGI), a manufacturer of pharmaceuticals, in a stock swap transaction valued at $6. 83 bil. IDEC offered 1.15 common shares per BGI share. Based on IDEC's closing stock price of $39.00 on June 19, the last full trading day prior to announcement, each BGI share was valued at $44. 85. Upon completion of the merger of equals transaction, IDEC shareholders held a 50. 5% interest and BGI shareholders held a 49.5% stake in the combined company, which changed its name to Biogen Idec Inc.</t>
  </si>
  <si>
    <t>Comshare Inc</t>
  </si>
  <si>
    <t>Geac Computer Corp Ltd</t>
  </si>
  <si>
    <t>US - Geac Computer Corp Ltd (GC), a majority-owned unit of Helix Investment Ltd (HI), acquired all the outstanding common stock of Comshare Inc (CI), a developer of application software, for $4. 60 in cash per share, or a total value of $50.787 mil. Previously GC completed its tender offer for HI by accepting 9.793 mil shares, or about 91.77% of CI's common shares outstanding. The offer was conditioned upon at least a majority or 90% of CI's shares being tendered. The transaction was subject to other customary closing conditions.</t>
  </si>
  <si>
    <t>US - Kroll Inc (KRI) acquired all the outstanding common stock of Factual Data Corp (FDC), a provider of information services, for $17. 50 per share, or a total value of $113.476 mil. KRI offered $14.00 in cash and $3. 50 in common stock per FDC share, subject to a collar agreement.</t>
  </si>
  <si>
    <t>JLM Industries Inc</t>
  </si>
  <si>
    <t>Mnfr,whl commodity chemicals</t>
  </si>
  <si>
    <t>US - A management-led investor group, including Mr. John Macdonald, a founder of JLM Industries Inc (JLMI) and Mr. Philip Sassower, a principal stockholder, planned to acquire the remaining 47% stake, or 4.546 mil common shares, which it did not already own, in JLMI, a manufacturer and wholesaler of commodity chemicals, for $1.40 in cash per share, or a total value of $6.762 mil, in a leveraged buyout transaction. The transaction was subject to the approval of regulatory authorities.</t>
  </si>
  <si>
    <t>US - Capital Growth Partners LLC (CGP), a unit of Talisker Mountain Developments Inc, acquired all the outstanding common stock of United Park City Mines Co (UPC), a real estate development firm, for $21.00 in cash per share, or a total value of $68.721 mil, in a going private transaction. Previously, in February, 2002, CGP agreed to acquire a 55.4% interest, or 1.8 mil common shares, in UPC; and, CGP agreed to acquire the remaining 44.6% stake, which it did not already own, in UPC. Subsequently, in October 2002, UPC withdrew its agreement to acquire UPC in two transactions.</t>
  </si>
  <si>
    <t>Wright Holdings Inc</t>
  </si>
  <si>
    <t>US - Wright Holdings Inc, a unit of Goldner Hawn Johnson &amp; Morrison Inc, withdrew its agreement to acquire all the outstanding common stock of Elder-Beerman Stores Corp (EB) , an owner and operator of department stores, via a tender offer, for $6.00 in cash per share, or a total value of $68.486 mil, in a going private transaction. The offer was conditioned upon at least 67% of EB's shares being tendered on a fully diluted basis. Previously, EB Acquistion Ltd planned to launch a tender offer to acquire all the outstanding common stock of EB. Subsequently, Bon-Ton Stores Inc acquired all the outstanding common stock of EB, for $81.07 mil in cash in a challenging, hostile bid.</t>
  </si>
  <si>
    <t>Acres Gaming Inc</t>
  </si>
  <si>
    <t>Dvlp electn casino systems</t>
  </si>
  <si>
    <t>US - International Game Technology acquired all the outstanding common stock of Acres Gaming Inc, a manufacturer of electronic casino systems, for $11.50 in cash per share, or a total value of $136.488 mil.</t>
  </si>
  <si>
    <t>Horizon Organic Holding Corp</t>
  </si>
  <si>
    <t>Produce organic dairy products</t>
  </si>
  <si>
    <t>Prod,whl milk,related products</t>
  </si>
  <si>
    <t>US - Dean Foods Co acquired the remaining 87.04% interest, or 8.99 mil common shares, which it did not already own, in Horizon Organic Holding Corp, a producer of organic dairy products, for $24 in cash per share, or a total value of $272.565 mil, including the assumption of $40 mil in liabilities. The transaction was subject to shareholder and antitrust approval.</t>
  </si>
  <si>
    <t>US - New York Community Bancorp Inc (NYB), Flushing, New York merged with Roslyn Bancorp Inc (RSLN), Jericho, New York, a savings and loan holding company, in a stock swap transaction valued at $1. 614 bil. NYB offered .75 common shares per RSLN share. Based on NYB's closing stock price of $27.10 on June 26, the last full trading day prior to announcement, each RSLN share was valued at $20. 325.</t>
  </si>
  <si>
    <t>Information Resources Inc</t>
  </si>
  <si>
    <t>Pvd database research svcs</t>
  </si>
  <si>
    <t>US - An investor group (IG), comprised of Ginkgo Corp, Tennenbaum Capital Partners LLC and Symphony Technology Group LLC, acquired all the outstanding common stock of Information Resources Inc (IRI), a provider of database research services, for $3.30 in cash per share, or a total value of $102.521. Earlier, IG completed its tender offer for IRI by accepting 27.513 shares, or 88.56% of IRI common shares outstanding and one contingent value right to receive 60% of the proceeds of an antitrust lawsuit against ACNielsen (now owned by VNU NV). The offer was conditioned upon at least a majority of IR's shares being tendered.The Dun &amp; Bradstreet Corp, and IMS International Inc, or a total estimated value of $99.438 mil. The offer was conditioned upon at least a majority of IRI's shares being tendered. Upon completion, IRI was to become a privately held company. Subsequently, Open Ratings Inc made an unsolicited challenging offer to acquire IRI.</t>
  </si>
  <si>
    <t>US - Unit Corp (UC) acquired all the outstanding common stock of PetroCorp Inc, an oil and gas exploration, for an estimated $190 mil. The consideration was to consist of $148.18 mil in cash and 2 mil UC common shares valued at $41.82 mil. The shares were valued based on UC's closing stock price of $20.91 on June 30, the last full trading day prior to the announcement.</t>
  </si>
  <si>
    <t>Nautica Enterprises Inc</t>
  </si>
  <si>
    <t>Manufacture men's apparel</t>
  </si>
  <si>
    <t>US - VF Corp acquired all the outstanding common stock of Nautica Enterprises Inc, a manufacturer of men's apparel, for $17.00 in cash per share, or a total value of $589.552 mil.</t>
  </si>
  <si>
    <t>ArvinMeritor Inc</t>
  </si>
  <si>
    <t>Mnf,whl cars,trucks,auto parts</t>
  </si>
  <si>
    <t>US - ArvinMeritor Inc (ARM) withdrew its hostile tender offer to acquire the remaining 99.27% interest, or 147.535 mil common shares, which it did not already own, in Dana Corp (DC), a manufacturer of motor vehicle products, for a sweetened $18 in cash per share, or a total value of $2.668 bil. Originally, ARM offered $15 in cash per share, or a total value of $2.217 bil. The offer was conditioned upon at least 66.7% of DC's shares being tendered.</t>
  </si>
  <si>
    <t>Kentucky First Bancorp Inc</t>
  </si>
  <si>
    <t>Savings,loan;holding co</t>
  </si>
  <si>
    <t>Bourbon Bancshares Inc,KY</t>
  </si>
  <si>
    <t>US - Kentucky Banchsares Inc, Paris, Kentucky, formerly known as Bourbon Bancshares Inc, acquired all the outstanding common stock of Kentucky First Bancorp Inc, Cynthiana, Kentucky, for $23. 25 in cash per share, or a total value of $22.419 mil.</t>
  </si>
  <si>
    <t>US - EMC Corp (EMC) acquired all the outstanding common stock of Legato Systems Inc (LSI), a developer of network software, in a stock swap transaction valued at $1.31 bil. EMC offered .9 common shares per LSI share. Based on EMC's closing stock price of $11.74 on July 7, the last full trading day prior to announcement, each LSI share was valued at $10.57.</t>
  </si>
  <si>
    <t>US - Yellow Corp (YC) acquired all the outstanding common stock of Roadway Corp (RWC), a trucking company, for a choice of $48.00 in cash or common stock per RWC share, or a total value of $965.549 mil, subject to proration whereby 50% of the consideration was to be paid in cash and 50% paid in YC common stock, subject to a collar agreement. Upon completion, the combined entity was to be named Yellow- Roadway Corp.</t>
  </si>
  <si>
    <t>First State Bancorp,CA</t>
  </si>
  <si>
    <t>US - Boston Private Financial Holdings Inc (BP) acquired all the outstanding common stock of First State Bancorp, Granada Hills, California (FS), in a stock swap transaction valued at $26.052 mil. BP offered $2.76 in cash and 0.656 shs com per FS share. Based on BP's closing stock price of $26.07 on February 16, thw last full trading day prior to the announcement of exact exchange ratio, each FS share was valued at $19.862. Originally, BP offered $2.76 in cash $15.62 common stock per FS common share, subject to a collar agreement, which was subsequently breached. The transaction was approved by regulatory authorities.</t>
  </si>
  <si>
    <t>Virage Inc</t>
  </si>
  <si>
    <t>Dvlp imaging,graphics software</t>
  </si>
  <si>
    <t>Autonomy Corp PLC</t>
  </si>
  <si>
    <t>Dvlp infrastructure software</t>
  </si>
  <si>
    <t>US - Autonomy Corp PLC acquired all the outstanding common stock of Virage Inc (VI), a developer of imaging and graphics software, for $1. 10 in cash per share, or a total value of $25.201 mil. The transaction was subject to customary closing conditions, including approval of VI's stockholder.</t>
  </si>
  <si>
    <t>Cerberus Capital Management LP</t>
  </si>
  <si>
    <t>US - Cerberus Capital Management withdrew its plans to acquire all the outstanding common stock of Clayton Homes Inc (CH), a manufacturer and retailer of mobile homes, in an unsolicited challenging bid. Previously, in April 2003, Berkshire Hathaway Inc definitively agreed to acquire all the outstanding common stock of CH for $12.5 in cash per share, or a total value of $1.711 bil.</t>
  </si>
  <si>
    <t>American Home Mtg Hldgs Inc</t>
  </si>
  <si>
    <t>Pvd mktg bkg svcs</t>
  </si>
  <si>
    <t>US - American Home Mortgage Holdings Inc (AHM) acquired all the outstanding common stock of Apex Mortgage Capital Inc (AMC), a real estate investment trust company, in a stock swap transaction valued at $183.83 mil. AHM offered .2576 common shares per AMC share. Based on AHM's closing stock price of $23.90 on December 2, the last full trading day prior to the announcement of the exact exchange ratio, each AMC share was valued at $6. 157. Originally, in July 2003, AHM offered $6.21 in common stock per AMC share, subject to a collar agreement which subsequently was breached. Upon completion, the combined company changed its name to American Home Mortgage Investment Corp.</t>
  </si>
  <si>
    <t>Edison Schools Inc</t>
  </si>
  <si>
    <t>Own,op public schools</t>
  </si>
  <si>
    <t>US - A management-led investor group (IG), including CEO Christopher Whittle, acquired all the outstanding common stock of Edison Schools Inc (ESI), a private owner and operator of public schools, for $1.76 in cash per Class A and Class B common share, or a total value of $170.739 mil, including the assumption of $70 mil in liabilities, in a leveraged buyout transaction. Originally, in May 2003, the IG was rumored to be planning to acquire ESI, in a going private transaction.</t>
  </si>
  <si>
    <t>US - Boise Cascade Corp (BCC) acquired all the outstanding common stock of Officemax Inc (OMI), an owner and operator of office supply stores, in a stock swap transaction valued at $1.366 bil. BCC offered . 3492 common shares per OMI share. Based on BCC's closing stock price of $30.20 on December 5, the last full trading day prior to the announcement of the exact exchange ratio, each OMI share was valued at $10.546. Originally, in July 2003, BCC offered $9.00 in a combination of cash and common stock per OMI share, subject to a collar agreement, whereby OMI shareholder had a choice to receive all cash or all common stock, subject to the condition that BCC would offer a minimum of 30% in cash and a maximum of 70% in common stock.</t>
  </si>
  <si>
    <t>Overture Services Inc</t>
  </si>
  <si>
    <t>US - Yahoo! Inc (YHI) acquired all the outstanding common stock of Overture Services Inc (OVS), a provider of Internet search engine services, in a stock swap transaction valued at $1. 599 bil. YHI offered $4.75 in cash and .6108 common shares per OVS share. Based on YHI's closing stock price of $32.19 on July 11, the last full trading day prior to announcement, each OVS share was valued at $24.41.</t>
  </si>
  <si>
    <t>Klamath First Bancorp,Oregon</t>
  </si>
  <si>
    <t>Svg,loan bk hldg co</t>
  </si>
  <si>
    <t>US - Sterling Financial Corp, Spokane, Washington (SF), acquired all the outstanding common stock of Klamath First Bancorp, Klamath Falls, Oregon (KF), a savings and loan bank holding company, in a stock swap transaction valued at $147.991 mil. SF offered 0.77 common shares per KF share. Based on SF's closing stock price of $26.55 on July 14, the last full trading day prior to the announcement, each KF share was valued at $20.444. The transaction was subject to regulatory and shareholder approvals.</t>
  </si>
  <si>
    <t>Alliance Bancorp of NE Inc,CT</t>
  </si>
  <si>
    <t>New Haven Savings Bank,CT</t>
  </si>
  <si>
    <t>US - New Haven Savings Bank, New Haven Connecticut (NHSB) merged with Alliance Bancorp of New England Inc, Toland, Connecticut (AB), a bank holding company, for $72.073 mil. NHSB offered a choice of $25 in cash or common shares per AB share, subject to proration, whereby at least 75% of the consideration was to be paid in stock of the newly-formed public holding company of NHSB. Concurrently, NHSB merged with Connecticut Bancshares Inc, Manchester, Connecticut, a bank holding company. Upon completion of the three-way merger NHSB converted from a mutually- owned to a public company and changed its name to NewAlliance Bancshares Inc. The transactions were subject to approval by regulatory authorities and customary closing conditions.</t>
  </si>
  <si>
    <t>US - New Haven Savings Bank, New Haven Connecticut (NHSB) merged with Connecticut Bancshares Inc, Manchester, Connecticut, a commercial bank holding company, for $52 in cash per share, or a total value of $616.884 mil. Concurrently, NHSB merged with Alliance Bancorp of New England Inc, Toland, Connecticut, a bank holding company. Upon completion of the three-way merger NHSB converted from a mutually- owned to a public company and changed its name to NewAlliance Bancshares Inc. The transaction was subject to approval by regulatory authorities and customary closing conditions and contingent on NHSB's conversion.</t>
  </si>
  <si>
    <t>GLB Bancorp Inc,Mentor,OH</t>
  </si>
  <si>
    <t>US - Sky Financial Group Inc, Bowling Green, Ohio (SF) acquired all the outstanding common stock of GLB Bancorp Inc, Mentor, Ohio (GLB), in a stock swap transaction valued at $39.702 mil. SF offered . 74 common shares per GLB share. Based on SF's closing stock price of $22.66 on July 15, the last full trading day prior to the announcement, each GLB share was valued at $16.768. The transaction was subject to customary closing conditions. The transaction included GLB's Great Lakes Bank unit. Subsequently, investor Jerome Osborne planned to acquire all the outstanding stock of GL, which was rejected by GLB Board. Furthermore, JO made an unsolicited challenging bid to acquire the remaining 90% interest which he did not already own in GLB.</t>
  </si>
  <si>
    <t>Timberline Software Corp</t>
  </si>
  <si>
    <t>Pvd software svcs</t>
  </si>
  <si>
    <t>US - Best Software Inc, a unit of Sage Group PLC, acquired all the outstanding common stock of Timberline Software Corp, a provider of software services, for $8.25 in cash per share, or a total value of $103.545 mil. The transaction was subject to approval by relevant authorities.</t>
  </si>
  <si>
    <t>Access Anytime Bancorp Inc,NM</t>
  </si>
  <si>
    <t>First National Bank Holding,AZ</t>
  </si>
  <si>
    <t>US - First National Bank Holding Co, Scottsdale, Arizona withdrew its agreement to acquire all the outstanding common stock of Access Anytime Bancorp Inc, Clovis, New Mexico, a savings and loan holding company, for $14.49 in cash per share, or a total value of $20.708 mil.</t>
  </si>
  <si>
    <t>US - Centex Corp (CC) completed the spinoff of its remaining 65% interest, or 11. 972 mil common shares, in Centex Construction Products Inc (CXP), a provider of residential and nonresidential building construction services, to its shareholders, in a transaction valued at $638. 147 mil. CC shareholders received 0.19 CXP common shares per CC share held. The shares were valued based on CXP's closing stock price of $53.50 on February 2, the first full trading day on which the shares were distributed. Upon completion, CXP changed its name to Eagle Materials Inc.</t>
  </si>
  <si>
    <t>Horizon Bank &amp; Trust Co</t>
  </si>
  <si>
    <t>South Shore Savings Bank</t>
  </si>
  <si>
    <t>US - South Shore Savings Bank (SS) acquired all the outstanding common stock of Horizon Bank &amp; Trust Co (HB), for $16.75 cash per share or a total value of $19.2 mil. The transaction was subject to regulatory approvals as well as approval by HB shareholders and SS corporators.</t>
  </si>
  <si>
    <t>Newhall Land &amp; Farming Co</t>
  </si>
  <si>
    <t>US - An investor group comprised of LNR Property Corp (LNR) and Lennar Corp (LEN) acquired all the outstanding partnership units of Newhall Land &amp; Farming Co (NL), a real estate development firm, for $40.5 in cash per unit, or a total value of $983.93 mil. The transaction was subject to approval by California Public Utilities Commission and other customary closing conditions. The investor group was to form a 50:50 joint venture between LNR and LEN to acquire NL. Concurrently, LEN acquired certain income-producing properties of NL.</t>
  </si>
  <si>
    <t>PracticeWorks Inc</t>
  </si>
  <si>
    <t>Dvlp practice mgmt software</t>
  </si>
  <si>
    <t>US - Eastman Kodak Co (EK) acquired all the outstanding common stock of PracticeWorks Inc (PRWK), a developer of practice management software for the dental industry, for $493.713 mil, including the assumption of an estimated $34 mil in liabilities. EK offered $21.50 in cash per common share and $7.33 per Series B convertible preferred share.</t>
  </si>
  <si>
    <t>ADS Acquisition Parent LLC</t>
  </si>
  <si>
    <t>US - ADS Acquisition Parent LLC merged with Atlantic Data Services Inc, a provider of information technology strategy consulting and systems integration services, for $3.25 in cash per share, or a total value of $31.642 mil, in a going private transaction.</t>
  </si>
  <si>
    <t>Neuberger Berman Inc</t>
  </si>
  <si>
    <t>US - Lehman Brothers Holdings Inc (LEH) acquired all the outstanding common stock of Neuberger Berman Inc (NBI), a provider of investment advisory services, in a stock swap transaction valued at $3. 071 bil. LEH offered $9.49 in cash and .4741 common shares per NBI share. Based on LEH's closing stock price of $70.35 on October 30, the last full trading day prior to the announcement of the exact exchange ratio, each NBI share was valued at $42.843. Originally, LEH offered $9.49 in cash and .496 common shares per NBI share, subject to a collar agreement which was subsequently breached. Based on LEH's closing stock of $64.50 on July 21, the last full trading day prior to the announcement, each NBI share was originally valued at $41.48.</t>
  </si>
  <si>
    <t>Royal Bank of Scotland Group</t>
  </si>
  <si>
    <t>US- Royal Bank of Scotland PLC was rumored to be planning to acquire all the outstanding common stock of Sovereign Bancorp Inc, Philadelphia,Pennsylvania. The Current status of this deal is unknown.</t>
  </si>
  <si>
    <t>Brio Software Inc</t>
  </si>
  <si>
    <t>Hyperion Solutions Corp</t>
  </si>
  <si>
    <t>Dvlp performance mgmt software</t>
  </si>
  <si>
    <t>US - Hyperion Solutions Corp (HSC) acquired all ths outstanding common stock of Brio Software Inc (BRI), a developer of Internet software, in a stock swap transaction valued at $141. 914 mil. HSC offered $.363 in cash and .109 common shares per BRI share. Based on HSC's closing stock price of $28.18 on July 22, the last full trading day prior to the announcement, each BRIO share was valued at $3.435.</t>
  </si>
  <si>
    <t>Pinnacor Inc</t>
  </si>
  <si>
    <t>Pvd ecommerce info svcs</t>
  </si>
  <si>
    <t>MarketWatch.com Inc</t>
  </si>
  <si>
    <t>US - MarketWatch.com Inc (MKTW) definitively agreed to acquire all the outstanding stock of Pinnacor Inc (PCOR), a provider of ecommerce information services, in a stock swap transaction valued at $104.838 mil. MKTW offered a choice of $2.42 in cash or . 2659 common shares per PCOR share, subject to proration. Based on MKTW's closing stock price of $9.10 on July 22, the last full trading day prior to the announcement, each PCOR share was valued at $2.42.</t>
  </si>
  <si>
    <t>US - A management-led investor group (IG), including Prab Inc's (PI) CEO Gary A. Herder acquired all the outstanding common stock of PI, a manufacturer of industrial robots, for a sweetened $2.4 in cash per share, or a total value of $3. 852 mil, in a going private leveraged buyout transaction. The transaction was subject to approval by relevant authorities. Previously, IG offered $2 in cash per share or a total value of $3.137 mil. Originally, Stevens Equity Holdings, a unit of Stevens Financial Group LLC, withdrew its plans to acquire all the outstanding common stock of PI. Subsequently, Inter-Source Acquisition also withdrew its plans to launch an unsolicited challenging tender offer to acquire all the outstanding common stock of PI.</t>
  </si>
  <si>
    <t>Simula Inc</t>
  </si>
  <si>
    <t>Mnfr aircraft safety equip</t>
  </si>
  <si>
    <t>Armor Holdings Inc</t>
  </si>
  <si>
    <t>Mnfr law enforcement equip</t>
  </si>
  <si>
    <t>US - Armor Holdings Inc (AMI) acquired all the outstanding common stock of Simula Inc (SMI), a manufacturer of military safety equipment, for an amended $3.21 in cash per share, or a total value of an estimated $111.373 mil, including the assumption of liabilities. Originally, in July 2003, AMI planned to acquire SMI for an estimated $110.5 mil in a combination of cash and common stock, including the assumption of an undisclosed amount in liabilities.</t>
  </si>
  <si>
    <t>IGEN International Inc</t>
  </si>
  <si>
    <t>Mnfr pharmaceutical prod</t>
  </si>
  <si>
    <t>US - Roche Holding AG (RH) acquired IGEN International Inc {IGEN}, a manufacturer of biological systems based on its proprietry ORIGEN technology, for $47.25 in cash per share, or a total value of $1.227 bil. Concurrently, IGEN completed the spin off of its BioVeris Corp subsidiary to shareholders.</t>
  </si>
  <si>
    <t>Westin Hotels LP</t>
  </si>
  <si>
    <t>Kalmia Investors LLC</t>
  </si>
  <si>
    <t>US - Kalmia Investor LLC completed its challenging tender offer to raise its interest to 67.04% from 8.1% in Westin Hotels LP (WH), an owner and operator of hotels by accepting .007 mil limited partnership units, or a 4.91% stake, for $550.00 per unit, or a total value of $3.662 mil. Previously, an investor group, comprised of Windy City Investment LLC, Madison Windy City Investment LLC, Madison Investment Partners 20 LLC, Madison Capital Group LLC, Harmony Group II LLC and Mr. Bryan Gordon, launched an unsolicited tender offer to acquire a 15% stake, or .02 mil limited partnership units, in WH. Subsequently, Starwood HoteIs &amp; Resorts Worldwide Inc planned to launch an unsolicited tender offer to acquire all the outstanding limited partnership units of WH, in a challenging bid,</t>
  </si>
  <si>
    <t>Barnes &amp; Noble Inc</t>
  </si>
  <si>
    <t>Own,operate bookstores</t>
  </si>
  <si>
    <t>US - Barnes &amp; Noble Inc raised its interest to 75% from a 38.1% stake, in barnesandnoble.com Inc, a provider of on-line book information services, by acquiring 17.708 mil common shares from Bertelsmann AG, for $164 mil in cash and notes. The transaction was subject to customary closing conditions.</t>
  </si>
  <si>
    <t>Bon-Ton Stores Inc</t>
  </si>
  <si>
    <t>US - Bon-Ton Stores Inc (BTS) acquired all the outstanding common stock of Elder-Beerman Stores Corp (EBC), an owner and operator of department stores, for a sweetened $8.00 in cash per share, or a total value of $97.831 mil. Earlier, BTS completed its tender offer for EBC by accepting 10. 893 mil shares, or 94% of EBC's common shares outstanding .Previously, in July 2003, BTS offered $7.00 in cash per share, or a total value of $85.124 mil, in a challenging bid. The offer was conditioned upon at least 67% of EBC's being tendered on a fully diluted basis. Previously, Wright Holdings Inc, a unit of Goldner Hawn Johnson &amp; Morrison Inc, definitively agreed to acquire all the outstanding common stock of EBC. Originally, EB Acquisition Ltd planned to launch a tender offer to acquire all the outstanding common stock of EBC.</t>
  </si>
  <si>
    <t>Celebrity Inc</t>
  </si>
  <si>
    <t>Whl artificial flowers</t>
  </si>
  <si>
    <t>KRG Capital Partners LLC</t>
  </si>
  <si>
    <t>US - KRG Capital Partners LLC acquired all the outstanding common stock of Celebrity Inc (CI), a wholesaler of artificial flowers, and a majority-owned unit of Sun Celebrity Holdings Inc, for $42 mil in cash. The transaction was subject to CI shareholders approval.</t>
  </si>
  <si>
    <t>Cmty Bancorp Inc,Hudson,MA</t>
  </si>
  <si>
    <t>US - Citizens Financial Group Inc, Providence, Rhode Island, a unit of Royal Bank of Scotland Group PLC, acquired all the outstanding common stock of Community Bancorp Inc, Hudson, Massachusetts, bank holding company for Community National Bank, for $19.75 in cash per share, or a total value of $116.904 mil.</t>
  </si>
  <si>
    <t>Community Bk,Pilot Mtn,NC</t>
  </si>
  <si>
    <t>Southern Community Finan Corp</t>
  </si>
  <si>
    <t>US - Southern Community Financial Corp, Winston-Salem, North Carolina (SC) acquired all the outstanding common stock of Community Bank, Pilot Mountain, North Carolina (CB), in a stock swap transaction valued at $88.305 mil. SC offered a sweetened choice of $53.05 in cash or 4.8714 SC common shares per share, or a combination of cash and common stock, subject to proration whereby the total consideration was payable in an estimated 6.4 mil common shares and $15.2 mil in cash. Originally, SC offered a choice of $48.65 in cash or 5 SC common shares per share, or a combination of cash and common stock, subject to proration whereby 20% of the total consideration would be cash and 80% of the total consideration would be in common stock. Based on SC's closing stock price of $11.41 on Jan 09, the last full trading day prior to the date of announcement of the sweetened terms, each CB share was valued at $55.58. The transaction was subject to requisite regulatory and shareholder approvals.</t>
  </si>
  <si>
    <t>Laser-Pacific Media Corp</t>
  </si>
  <si>
    <t>Pvd motion picture film svcs</t>
  </si>
  <si>
    <t>US - Eastman Kodak Co (EK) acquired all the outstanding common stock of Laser-Pacific Media Corp (LM), a provider of picture film services, for $30.504 mil. EK offered a choice of $4.22 in cash or common stock per share. The transaction was subject to SEC regulatory compliance, certain customary conditions and LM shareholders approvals.</t>
  </si>
  <si>
    <t>Ascential Software Corp</t>
  </si>
  <si>
    <t>Dvlp,whl database software</t>
  </si>
  <si>
    <t>US - Ascential Software Corp acquired all the outstanding common stock of Mercator Software Inc (MSI), a developer of software, for $3. 00 in cash per share, or a total value of $115.001 mil. Earlier, AS completed its tender offer for MSI by accepting 32.7 mil shares, or 92.9% of AS's common shares outstanding. The transaction was contingent upon at least 51% of MSI's shares being tendered.</t>
  </si>
  <si>
    <t>SangStat Medical Corp</t>
  </si>
  <si>
    <t>Mnfr,mkt pharmaceuticals</t>
  </si>
  <si>
    <t>US - Genzyme Corp (GC) completed its tender offer to acquire all the outstanding common stock of SangStat Medical Corp (SSM), a manufacturer and marketer of therapeutic products, for $22. 50 in cash per share, or a total value of $614.07 mil. Earlier, GC completed its tender offer by accepting 26 mil shares, or 98.25% of SSM's common shares outstanding. The offer was conditioned upon at least 51% of SSM's shares being tendered.</t>
  </si>
  <si>
    <t>CIMA Labs Inc</t>
  </si>
  <si>
    <t>AAIPharma Inc</t>
  </si>
  <si>
    <t>Pvd analytical pharm svcs</t>
  </si>
  <si>
    <t>US - aaiPharma Inc (AI) withdrew its agreement to merge with CIMA Labs Inc (CL), a manufacturer of pharmaceutical products, to form a new company (NC) in a stock swap transaction valued at $366.31 mil. CL common shareholders were to receive 1.366 NC common shares and AI common shareholders were to receive 1 NC common share per share held. Based on AI's closing stock price of $18.02 on August 4, the last full trading day prior to the announcement, each CL share was valued at $24.61. The transaction was subject to approval by shareholders as well as regulatory approvals and satisfaction of customary closing conditions. Upon completion, AI was to own 59. 4% of the combined company and CL was to 40.6% of NC. Subsequently, Cephalon Inc acquired the entire share capital of CL. Previously, an undisclosed acquiror with drew its unsolicited challenging offers to acquire all the outstanding common stock of CL.</t>
  </si>
  <si>
    <t>i3 Mobile Inc</t>
  </si>
  <si>
    <t>Pvd personalized info svcs</t>
  </si>
  <si>
    <t>Ace*Comm Corp</t>
  </si>
  <si>
    <t>Pvd OSS svcs</t>
  </si>
  <si>
    <t>US - Ace*Comm Corp (Ace) acquired all the outstanding common stock of i3 Mobile Inc (i3), a Stamford-based provider of personalized information services, in a stock swap transaction valued at USD 10.68. Ace offered 0. 1876 common shares per i3 share. Based on Ace's closing stock price of USD 2.83 on December 4, 2003, the last full trading day prior to the announcement, each i3 share was valued at USD 0.531.</t>
  </si>
  <si>
    <t>ResortQuest International</t>
  </si>
  <si>
    <t>Pvd vacation home rental svcs</t>
  </si>
  <si>
    <t>Gaylord Entertainment Co</t>
  </si>
  <si>
    <t>Pvd hospitality,ent svcs</t>
  </si>
  <si>
    <t>US - Gaylord Entertainment Co (GE) acquired ResortQuest International Co (RQ), a provider of vacation condominium and home rental services, in a stock swap transaction valued at $107. 582 mil. GE offered 0.275 common shares per RQ share. Based on GE's closing stock price of $20.11 on August 4, the last full trading day prior to the announcement, each RQ share was valued at $5.53. The transaction had been subject to the approval of regulatory authorities.</t>
  </si>
  <si>
    <t>iManage Inc</t>
  </si>
  <si>
    <t>Interwoven Inc</t>
  </si>
  <si>
    <t>Dvlp Internet-based software</t>
  </si>
  <si>
    <t>US - Interwoven Inc (IWI) merged with iManage Inc (IM), a developer of software, in a stock swap transaction valued at $167.133 mil. IWI offered $1.20 in cash and 2.094 common shares per IM share on a pre-split basis. Based on IWI's closing stock price of $2.40 on August 5, the last full trading day prior to the announcement, each IM share was valued at $6.226. The transaction was subject to shareholder approvals.</t>
  </si>
  <si>
    <t>Pittsburgh Finl Corp,PA</t>
  </si>
  <si>
    <t>US - First Commonwealth Financial Corp, Indiana, Pennsylvania (FCF) acquired all the outstanding common stock of Pittsburgh Financial Corp, Wexford, Pennsylvania (PF), a savings bank holding company, in a stock swap transaction valued at $30.784 mil. FCF offered a choice of $20.00 in cash or FCF common stock, subject to proration whereby 40% of the total consideration was to be paid in cash and 60% of the total consideration was to be paid in common stock. The transaction was subject to approval of PF shareholders.</t>
  </si>
  <si>
    <t>First Niagara Finl Group Inc</t>
  </si>
  <si>
    <t>US - First Niagara Financial Group Inc, Lockport, New York (FNF) acquired all the outstanding common stock of Troy Financial Corp, Troy, New York, (TFC) a bank holding company, in a stock swap transaction valued at $354.941 mil. FNF offered a choice of $35.50 in cash or common stock per TFC share, whereby TFC shareholders were elected to receive all cash, all common stock or a combination of cash and common stock, subject to proration whereby 43% of the consideration offered was paid in cash and 57% of the consideration offered was paid in common stock. The transaction was subject to TFC shareholder approval and other customary closing conditions.</t>
  </si>
  <si>
    <t>California Independent Bancorp</t>
  </si>
  <si>
    <t>US - Humboldt Bancorp, Eureka, California (HBC) acquired all the outstanding common stock of California Independent Bancorp, Yuba City, California (CIB), a commercial bank holding company, in a stock swap transaction valued at $90.717 mil. HBC offered $14.20 in cash and 1.3922 common shares per CIB share. Based on HBC's closing stock price of $17.82 on January 6, 2004, the last full trading day prior to the announcement of the exact exchange ratio, each CIB share was valued at $39.01. Originally, in August 2003, HBC offered a choice of $35. 50 in cash, common stock or a combination of cash and common stock, subject to proration, whereby 60% of the consideration was to be paid in common stock and 40% was to be paid in cash, subject to a collar agreement, which subsequently was breached.</t>
  </si>
  <si>
    <t>Jacksonville Bancorp,TX</t>
  </si>
  <si>
    <t>Franklin Bank Corp,Houston,TX</t>
  </si>
  <si>
    <t>US - Franklin Bank Corp, Houston, Texas acquired all the outstanding common shares of Jacksonville Bancorp Inc, Jacksonville, Texas,a bank holding company, for $37.50 in cash per share, or a total value of $73.351 mil. The transaction was subject to regulatory approvals and customary closing conditions.</t>
  </si>
  <si>
    <t>DMI Furniture Inc</t>
  </si>
  <si>
    <t>Mnfr furniture</t>
  </si>
  <si>
    <t>Flexsteel Industries Inc</t>
  </si>
  <si>
    <t>Mnfr upholstered furniture</t>
  </si>
  <si>
    <t>US - Flexsteel Industries Inc (FI) acquired all the outstanding common stock of DMI Furniture Inc (DF), a manufacturer and wholesaler of residential and commercial office furniture, for $3.30 in cash per share, or a total value of or a total value of $15.396 mil. Earlier, FI completed its tender offer for DF by accepting 3.969 mil shares or 91.7% of DF's common shares outstanding. The offer was conditioned upon at least a majority of FI's shares being tendered.</t>
  </si>
  <si>
    <t>CareScience Inc</t>
  </si>
  <si>
    <t>Quovadx Inc</t>
  </si>
  <si>
    <t>Dvlp end-to-end software</t>
  </si>
  <si>
    <t>US - Quovadx Inc (QI) acquired all the outstanding common stock of CareScience Inc (CSI), a developer of Internet software, in a transaction valued at $28.594 mil. QI offered $1.40 in cash and .182 QI common shares per CSI share. Based on QI's closing stock price of $3.80 on August 13th, the last full trading day prior to the announcement, each CSI share was valued at $2.092. Earlier, QI completed its tender offer for CSI by accepting 12. 9 mil common shares, or 97. 055% of CSI's common shares outstanding. The offer was conditioned on at least 80% of CSI's shares being tendered.</t>
  </si>
  <si>
    <t>Corporex Cos Inc</t>
  </si>
  <si>
    <t>US - Corporex Cos Inc planned to acquire all the outstanding common stock of First Union Real estate &amp; Mortgage Investment, a real estate invetment trust, a majority-owned unit of First Union Corp.</t>
  </si>
  <si>
    <t>Michael D Herman</t>
  </si>
  <si>
    <t>US - Investor Mr. Michael Herman acquired a 54% interest, or 1.997 mil common shares in Sunair Electronics Inc, a manufacturer of military communications equipment, and a majority- owned unit of Robert Uricho Jr Trust.</t>
  </si>
  <si>
    <t>US - DRS Technologies Inc (DRS) acquired all the outstanding common stock of Integrated Defense Technologies Inc (IDT), a manufacturer of defense related equipment, in a transaction valued at $373. 239 mil, including the assumption of an estimated $175 mil in liabilities. DRS offered a combination of $17. 50 in cash and common stock, subject to a collar agreement, which subsequently was breached.</t>
  </si>
  <si>
    <t>Open Wheel Racing Series LLC</t>
  </si>
  <si>
    <t>US - Open Wheel Racing Series LLC, an acquisition vehicle led by Mr. Gerald Forsythe, Mr. Kevin Kalkhoven, Mr. Paul Gentilozzi, Mr. Carl Russo and Motorock LLC, acquired the remaining 77.1% interest, or 11.378 mil common shares, which it did not already own, in Championship Auto Racing Teams Inc, a provider of sport events services, for $0. 5 in cash per share, or a total value of $5.674 mil.</t>
  </si>
  <si>
    <t>EXE Technologies Inc</t>
  </si>
  <si>
    <t>Pvd supply chain software svcs</t>
  </si>
  <si>
    <t>US - SSA Global Technologies Inc acquired all the outstanding common stock of EXE Technologies Inc, a provider of supply chain execution software solutions, for $7.1 in cash per share, or a total value of $48.999 mil. The transaction was subject to shareholder approval.</t>
  </si>
  <si>
    <t>Inter Source Acquisition Inc</t>
  </si>
  <si>
    <t>US - Inter-Source Acquisition withdrew its plans to launch an unsolicited challenging tender offer to acquire all the outstanding common stock of Prab Inc (PI), a manufacturer of industrial robots, for $2.25 per share, or a total value of $3.603 mil. Previously, a management- led investor group, including PI's CEO Gary A. Herder acquired all the oustanding common stock of PI, in a going private transaction. Originally, Stevens Equity Holdings (SE), a unit of Stevens Financial Group LLC, withdrew its plans to acquire all the outstanding common stock of PI, for a twice sweetened $2.20 in cash per share, or a total value of $3. 521 mil. Previously, SE offered a sweetened $1.7 in cash per share, or a total value of $2.703 mil. Originally, SI planned to acquire PI for $1.3 in cash per share, or a total value of $2.039 mil.</t>
  </si>
  <si>
    <t>US - Precision Castparts Corp (PCC) acquired all the outstanding common stock of SPS Technologies Inc (SPS), a manufacturer of high-strength fasteners and precision components, in a stock swap transaction valued at $586. 202 mil. PCC offered a choice of $43 in cash or 1.36 common shares per SPS share, subject to proration whereby 50% of the consideration was cash and 50% of the consideration was common stock. Based on PCC's closing stock price of $32.77 on August 15, the last full trading day prior to the announcement, each SPS share was valued $44.567. The transaction was subject to approval by regulatory authorities and 80% of SPS shareholders.</t>
  </si>
  <si>
    <t>US - Cephalon Inc (CP) acquired all the outstanding common stock of CIMA Labs Inc (CL), a manufacturer of pharmaceutical products, for a sweetened $34 in cash per share, or a total value of $511.008 mil. Originally, CP offered $26 in cash per share, or a total value of $392.027 mil. Previously, aaiPharma Inc withdrew its definitive agreement to merge with CL in a stock swap transaction. Subsequently, an undisclosed acquiror withdrew its unsolicited challenging offer to acquire CL.</t>
  </si>
  <si>
    <t>ECC International Corp</t>
  </si>
  <si>
    <t>Simulation training co</t>
  </si>
  <si>
    <t>Cubic Corp</t>
  </si>
  <si>
    <t>Pvd combat training sys svcs</t>
  </si>
  <si>
    <t>US - Cubic Corp (CC) completed its tender offer to acquire all the outstanding common stock of ECC International Corp (EI), a simulation training company, for $5.25 in cash per share, or a total value of $42.838 mil, by accepting 7.576 mil shares, or 95.87% of EI's common shares outstanding. The offer was conditioned upon at least a majority of EI's shares being tendered.</t>
  </si>
  <si>
    <t>PNC Finl Svcs Grp Inc</t>
  </si>
  <si>
    <t>US - PNC Financial Services Group Inc (PNC), Pittsburgh, Pennsylvania, acquired all the outstanding common stock of United National Bancorp, Bridgewater, New Jersey, a commercial bank holding company, for $637.872 mil. The consideration consisted of $320 mil in cash and 6.55 mil common shares valued at $317.872 mil. The shares were valued based on PNC's closing stock price of $48.53 on August 20, the last full trading day prior to the announcement.</t>
  </si>
  <si>
    <t>Resource Bankshares Corp,VA</t>
  </si>
  <si>
    <t>US - Fulton Financial Corp, Lancaster, Pennsylvania (FF), acquired all the outstanding common stock of Resource Bankshares Corp, Virginia Beach, Virginia (RB), bank holding company for Resource Bank, in a stock swap transaction valued at an amended $146.001 mil. FF offered 1.4667 common shares for every RB share held. Based on FF's closing stock price of $22.27 on March 31, the last full trading day prior to the announcement of the amended terms, each RB share was valued at $32.663. Originally, FF offered 2.2 common shares per RB share held. The transaction was subject to approval by bank regulatory authorities and RB shareholders.</t>
  </si>
  <si>
    <t>JNI Corp</t>
  </si>
  <si>
    <t>Dvlp fibre channel software</t>
  </si>
  <si>
    <t>US - Applied Micro Circuits Corp acquired all the outstanding common stock of JNI Corp, a developer of fibre channel software, for $7 in cash per share, or a total value of $193.876 mil. The transaction was subject to customary closing conditions.</t>
  </si>
  <si>
    <t>Progress Finl Corp,PA</t>
  </si>
  <si>
    <t>US - FleetBoston Financial Corp, Boston, Massachusetts (FBF), acquired all the outstanding common stock of Progress Financial Corp, Blue Bell, Pennsylvania (PFC), a savings and loan holding company, in a stock swap transaction valued at $231. 197 mil. FBF offered $30.80 in common stock per PFC share. Originally FBF offered .933 common shares per PFC share held, subject to a collar agreement, which subsequently was breached. Based on FBF's closing stock price of $29.72 on August 27, the last full trading day prior to the announcement, each PFC share originally was valued at $27. 74.</t>
  </si>
  <si>
    <t>US - In September 2003, Anadarko Petroleum Corp, an oil and gas exploration and production company, announced that it was seeking a buyer for the company.</t>
  </si>
  <si>
    <t>AdvancePCS</t>
  </si>
  <si>
    <t>Caremark Rx Inc</t>
  </si>
  <si>
    <t>US - Caremark RX Inc (CRX) merged with AdvancePCS (AP), a provider of pharmacy benefit management services, in a stock swap transaction valued at $5.548 bil. CRX offered 2.15 common shares per AP share. Based on CRX's closing stock price of $25.13 on August 29, the last full trading day prior to the announcement, each AP share was valued $54.03. The consideration was to consist of 90% in stock and 10% in cash. Upon completion, CRX shareholders were to hold approximately 58% interest in the combined company, and AP shareholders were to hold the remaining 42% stake. The transaction was subject to shareholder and regulatory approvals.</t>
  </si>
  <si>
    <t>MSB Financial Inc,Marshall,MI</t>
  </si>
  <si>
    <t>Monarch Community Bancorp Inc</t>
  </si>
  <si>
    <t>US - Monarch Community Bancorp Inc, Coldwater, Michigan (MBI), merged with MSB Financial Inc, Marshall, Michigan (MSB), a savings and loan holding company, in a transaction valued at $25.631 mil. MBI offered $15.04 in cash and $3.76 in common stock per MSB share, subject to a collar agreement. The transaction was subject to the approval of MSB shareholders.</t>
  </si>
  <si>
    <t>Omega Protein Corp</t>
  </si>
  <si>
    <t>Produce omega-3 fish oil</t>
  </si>
  <si>
    <t>US - An investor group, including Ferrari Investments, terminated its agreement to acquire all the outstanding common stock of Omega Protein Corp, a producer of omega-3 fish oil and specialty fish meal products, for $9.5 in cash per share, or a total value of $253.229 mil.</t>
  </si>
  <si>
    <t>Ross Systems Inc</t>
  </si>
  <si>
    <t>Chinadotcom Corp</t>
  </si>
  <si>
    <t>Pvd internet,online ent svcs</t>
  </si>
  <si>
    <t>US - chinadotcom Corp (CC) acquired Ross Systems Inc (RS) , a developer of business software, in a stock swap transaction valued at $66.227 mil. CC offered $5 in cash and $14 in CC common stock per RS share. The transaction was subject to regulatory approval and customary closing conditions.</t>
  </si>
  <si>
    <t>Lightspan Inc</t>
  </si>
  <si>
    <t>Pvd educational software</t>
  </si>
  <si>
    <t>US - Plato Learning Inc (PLI) acquired all the outstanding common stock of Lightspan Inc (LSI), a developer of educational software, in a stock swap transaction valued at $108.739 mil, subject to a collar agreement. PLI offered 1.33 common shares per LSI share. Based on PLI's closing stock price of $8.47 on September 8, the last full trading day prior to the announcement, each LI share was valued $11.265.</t>
  </si>
  <si>
    <t>US - First Midwest Bancorp Inc, Itasca, Illinois, acquired all the outstanding common stock of CoVest Bancshares Inc, Des Plaines, Illinois, for $27.45 in cash per share, or a total value of $129.4 mil. The transaction was subject to the approval of regulatory authorities and shareholders.</t>
  </si>
  <si>
    <t>SOS Staffing Services Inc</t>
  </si>
  <si>
    <t>Pvd specialized staffing svcs</t>
  </si>
  <si>
    <t>Hire Calling Holding Co</t>
  </si>
  <si>
    <t>US - Hire Calling Holding Co acquired all the outstanding common stock with SOS Staffing Services Inc (SOS), a provider of specialized staffing services, for $1.37 in cash per share, or a total value of $17.426 mil. Upon completion, SOS was to be delisted in the Nasdaq SmallCap Market Exchange.</t>
  </si>
  <si>
    <t>Skibo Financial Corp,PA</t>
  </si>
  <si>
    <t>Northwest Bancorp MHC,PA</t>
  </si>
  <si>
    <t>US - Northwest Bancorp MHC, Warren, Pennsylvania, acquired all the outstanding common stock of Skibo Financial Corp (SF), Carnegie, Pennsylvania, for $17.00 in cash per share, or a total value of $55.186 mil. The transaction was subject to SF shareholder approval and applicable regulatory authorities.</t>
  </si>
  <si>
    <t>Jerome Osborne</t>
  </si>
  <si>
    <t>US - Investor Jerome Osborne (JO) withdrew an unsolicited challenging bid to acquire the remaining 90% interest, or 2.113 mil common shares, which he did not already own, in GLB Bancorp Inc, Mentor, Ohio (GLB), bank holding company for Great Lakes Bank (GL), for an amended $20.2 in cash per share, or a total value of $43.165 mil. Previously, JO offered $21 in cash for a 51% interest in GLB. Previously, JO also planned to acquire all the outstanding stock of GL, which was rejected by GLB Board. Originally, Sky Financial Group Inc, Bowling Green, Ohio (SF) definitively agreed to acquire GLB in a stock swap transaction.</t>
  </si>
  <si>
    <t>US - Lockheed Martin Corp (LMC) withdrew its agreement to acquire all the outstanding common stock of Titan Corp (TC), a provider of computer integrated systems design services, for an amended $20.00 in cash per share, or a total value of $1. 881 bil. Originally, LMC offered $22.00 per TC share, subject to a collar agreement, in a stock swap transaction valued at $2.077 bil. LMC had offered TC shareholders a choice to receive all cash, all common stock, or a combination of both, subject to proration, whereby the cash and common stock consideration each were to comprise 50% of the total value. The transaction was subject to approval by TC shareholders, government regulatory interviews and other closing conditions.</t>
  </si>
  <si>
    <t>US - PremierWest Bancorp (PB) , Medford, Oregon acquired all the outstanding common stock with Mid Valley Bank, Red Bluff, California, in a stock swap transaction valued at $25.246 mil. The consideration was to consist of $9.811 mil in cash and 1. 715 mil PB common shares valued at $15.435. The share were valued based on PB's closing stock price of $9 on September 15, the last full tradingday prior to the announcement.</t>
  </si>
  <si>
    <t>Gradco Systems Inc</t>
  </si>
  <si>
    <t>Mnfr microprocessors equip</t>
  </si>
  <si>
    <t>Gradco Holdings LLC</t>
  </si>
  <si>
    <t>US - Gradco Holdings LLC, a special purpose acquisition vehicle formed by several employees and management of Gradco (Japan) Ltd and Gradco (USA) Inc, acquired the entire share capital of Gradco Systems Inc, a manufacturer of microprocessor equipment, for an estimated $10 per share, or a total value of $2.290 mil, in a leveraged buyout transaction.</t>
  </si>
  <si>
    <t>US - AXA Financial Inc, a unit of AXA SA, acquired all the outstanding common stock of MONY Group Inc, an insurance firm and provider of financial services, for $31 in cash, or a total value of $1.476 bil. The transaction was subject to regulatory approval.</t>
  </si>
  <si>
    <t>US - A management-led investor group, including President and CEO George Schonath, acquired the remaining 98.88% interest, or 0.979 mil common shares, which it did not already own, in Investorsbancorp Inc, Waukesha, Wisconsin, for $14. 2 in cash per share or a total value of $14.037 mil, in a leverage going private transaction.</t>
  </si>
  <si>
    <t>Warrantech Corp</t>
  </si>
  <si>
    <t>Pvd extended warranty svcs</t>
  </si>
  <si>
    <t>Joel San Antonio</t>
  </si>
  <si>
    <t>US - Chairman and CEO Joel San Antonio withdrew his unsolicited plan to acquire all the outstanding common stock of Warrantech Corp, a provider of extended warranty services, for $1.65 per share, or a total value of $26.25 mil.</t>
  </si>
  <si>
    <t>New Focus Inc</t>
  </si>
  <si>
    <t>Mnfr fiber optic,semicond prod</t>
  </si>
  <si>
    <t>Bookham Technology PLC</t>
  </si>
  <si>
    <t>US - Bookham Technology PLC (BT) acquired New Focus Inc (NF), a manufacturer of fiber optic products, in a stock swap transaction valued at $330.255 mil. BT offered $2. 19 in cash and 1.2015 ordinary shares per NF share. Based on BT's closing stock price of $2.309 on September 19, the last full trading day prior to the announcement, each NF share was valued at $4.964. The transaction was approved by the US Federal Trade Commission under the Hart-Scott-Rodino Act.</t>
  </si>
  <si>
    <t>Thistle Group Holdings Co,PA</t>
  </si>
  <si>
    <t>Citizens Bank of Pennsylvania</t>
  </si>
  <si>
    <t>US - Citizens Bank of Pennsylvania, a unit of the Citizens Bank of Philadelphia, Mississippi, subsidiary of FNB Corp, Asheboro, North Carolina's Citizens Holding Co unit, acquired all the outstanding common stock of Thistle Group Holdings Co, a savings and loan company, for $26 in cash per share, or a total value of $147.813. The transaction was subject to customary conditions, including shareholder and regulatory approval.</t>
  </si>
  <si>
    <t>United States Exploration Inc</t>
  </si>
  <si>
    <t>Oil and gas exploration; prodn</t>
  </si>
  <si>
    <t>DGL Acquisition Corp</t>
  </si>
  <si>
    <t>US - US Exploration Holdings Inc, formerly known as, DGL Acquisition Corp acquired all the outstanding common stock of United States Exploration Inc (US), an oil and gas exploration and production company, for $2.82 per share, or a total value of $53.274 mil in a leveraged buyout transaction. The transaction was subject to the approval of US shareholders and other customary conditions.</t>
  </si>
  <si>
    <t>Right Mgmt Consultants Inc</t>
  </si>
  <si>
    <t>Pvd HR consulting svcs</t>
  </si>
  <si>
    <t>US - A management-led investor group, comprised of Chairman and CEO Richard Pinola and Hellman &amp; Friedman LLC, withdrew its plans to acquire all the outstanding common stock of Right Management Consultants Inc (RMC), a provider of international career management and organizational consulting services, for $17 in cash per share, or a total value of $437.847 mil, in a going private, leveraged buyout transaction. Concurrently, Manpower Inc launched a tender offer to acquire all the outstanding common stock of RMC in a stock swap transaction, subject to a collar agreement, which subsequently completed in January 2004.</t>
  </si>
  <si>
    <t>Western Goldfields Inc</t>
  </si>
  <si>
    <t>Tandem Resources Ltd</t>
  </si>
  <si>
    <t>Gold,silver mining</t>
  </si>
  <si>
    <t>US - Tandem Resources Ltd (TL) terminated its letter of intent to acquire all the oustanding common stock of Western Goldfields Inc (WI), a gold mining company. Upon completion of the reverse takeover, the merged entity was to be named WI and was to own the entire share capital of TL.</t>
  </si>
  <si>
    <t>Caledonia Finl Corp,MI</t>
  </si>
  <si>
    <t>Coml bank holding co</t>
  </si>
  <si>
    <t>US - Chemical Financial Corp, Midland, Michigan, acquired all the outstanding common stock of Caledonia Financial Corp, Caledonia, Michigan (CA) , bank holding company for State Bank of Caledonia, for an estimated $39 in cash per share, or a total value of $55.3 mil. The transaction was subject to regulatory and CA shareholders approval and other customary conditions.</t>
  </si>
  <si>
    <t>US - UnionBanCal Corp, San Francisco Corp, California (UBC) acquired Business Bancorp, San Bernardino, California (BB), bank holding company for Business Bank of California, in a stock swap transaction valued at $126. 013 mil. UBC offered a choice of $28.57 in cash or common stock or a combination of both per BB share held, subject to a collar agreement. The transaction was also subject to proration whereby 45% to 100% of the total consideration was to be paid with UBC common stock. The transaction was subject to shareholder and regulatory approval.</t>
  </si>
  <si>
    <t>John Hancock Finl Svcs Inc</t>
  </si>
  <si>
    <t>Manulife Financial Corp</t>
  </si>
  <si>
    <t>US - Manulife Financial Corp (MFC) merged with John Hancock Financial Services Inc (JHF), an insurance company, in a stock swap transaction valued at $11.063 bil. MFC offered 1.1853 common shares per JHF share held. Based on MFC's closing stock price of $30.134 on September 26, the last full trading day prior to the announcement, each JHF share was valued at $35.718. The transaction was subject to customary closing conditions, including receipt of required regulatory and JHF shareholder approvals. Concurrently, the board of MFC authorized the repurchase of up to 3 bil Canadian dollars ($2.213 bil US) through a normal course issuer bid. Originally, MFC was rumored to be planning to merge with JHF.</t>
  </si>
  <si>
    <t>Good Guys Inc</t>
  </si>
  <si>
    <t>Own,op electn stores</t>
  </si>
  <si>
    <t>Ret software prods</t>
  </si>
  <si>
    <t>US - CompUSA Inc acquired all the outstanding stock of Good Guys Inc, an owner and operator of consumer entertainment electronics stores, for $2.05 in cash per share, or a total value of $55.364 mil.</t>
  </si>
  <si>
    <t>Safety Components Intl Inc</t>
  </si>
  <si>
    <t>Whl,mnfr auto airbag fabric</t>
  </si>
  <si>
    <t>US - Zapata Corp acquired a 53.7% interest, or 2.664 mil common shares, in Safety Components International Inc, a wholesaler and manufacturer of automotive airbag fabric and cushions and technical fabrics, for $11.59 cash per share, or a total value of 30. .875 mil.</t>
  </si>
  <si>
    <t>Garden Fresh Restaurant Corp</t>
  </si>
  <si>
    <t>Own,op restaurant chain</t>
  </si>
  <si>
    <t>US - An management-led investor group, including Fairmont Capital Inc and Centre Partners Management LLC, acquired all the outstanding common stock of Garden Fresh Restaurant Corp, an owner and operator of a restaurant chain, for $16.35 in cash per share, or a total value of $102.956 mil, in a leveraged buyout and going private transaction.</t>
  </si>
  <si>
    <t>OneSource Information Services</t>
  </si>
  <si>
    <t>Pvd web-based info svcs</t>
  </si>
  <si>
    <t>ValueAct Capital Partners LP</t>
  </si>
  <si>
    <t>US - ValueAct Capital Partners LP (VCP) withdrew its agreement to acquire the remaining 67% interest, or 7. 587 mil common shares, which it did not already own, in OneSource Information Services Inc (OIS), a provider of web-based information services, for an amended $8.40 in cash per share, or a total value of $69.909 mil. Previously, VCP made an unsolicited offer to acquire the remaining 67% interest, which it did not already own, in OIS, for $9. 50 in cash per share.</t>
  </si>
  <si>
    <t>Savient Pharmaceuticals Inc</t>
  </si>
  <si>
    <t>US - Teva Pharmaceutical Industries Ltd withdrew its plan to acquire all the outstanding common stock of Savient Pharmaceuticals Inc, a biotechnology company, for an undisclosed amount in cash and common stock. The transaction was subject to customary closing conditions.</t>
  </si>
  <si>
    <t>Atlantic Coast Airlines Hldg</t>
  </si>
  <si>
    <t>Passenger airline co</t>
  </si>
  <si>
    <t>US - Mesa Air Group Inc (MA) withdrew its unsolicited bid to acquire all the outstanding common stock of Atlantic Coast Airlines Holdings Inc (AC), a passenger airline company, in a stock swap transaction valued at $515.423 mil. MA offered .9 common share per AC share held. Based on MA's closing stock price of $12.55 on October 3, the last full trading day prior to the announcement, each AC share was valued at $11.295. The transaction was subject to regulatory approvals and customary closing conditions. Upon completion of the reverse takeover, AC was to hold a majority interest in MA.</t>
  </si>
  <si>
    <t>FTD Inc</t>
  </si>
  <si>
    <t>Green Equity Investors IV LP</t>
  </si>
  <si>
    <t>US - Green Equity Investors IV LP, a unit of Leonard Green &amp; Partners LP, definitively acquired all the outstanding common stock of FTD Inc, a provider of Internet and telephone marketing of flowers and specialty gift services, for $24.85 in cash per share, or a total value $423.859 mil. The transaction was subject to stockholder approvals, receipt of anti-trust clearance and the completion of financing.</t>
  </si>
  <si>
    <t>Concerto Software Inc</t>
  </si>
  <si>
    <t>Dvlp mgmt sys software</t>
  </si>
  <si>
    <t>Golden Gate Capital Inc</t>
  </si>
  <si>
    <t>US - Golden Gate Capital (GGC) acquired all the outstanding common stock of Concerto Software Inc (CSI), a customer interaction management development company, for $12 per share, or a total value of $140.855 mil. Upon completion, CSI was merged into GGC's Melita International Inc unit and the combined company retained the Concerto Software Inc name. The transaction was subject to regulatory and shareholders approval.</t>
  </si>
  <si>
    <t>US - Webster Financial Corp, Waterbury, Connecticut, (WFC) acquired FirstFed America Bancorp Inc, Swansea, Massachusetts (FAB), savings and loan and holding company for First Federal Savings Bank of America, in a stock swap transaction valued at $433.716 mil. WFC offered a choice of $24.5 in cash or 0. 5954 WFC shares or a combination of both per FAB share held, subject to proration whereby 60% of the total consideration was to be in stock and 40% in cash. The transaction was subject regulatory and FAB shareholders approvals.</t>
  </si>
  <si>
    <t>Cole National Corp</t>
  </si>
  <si>
    <t>Mnfr,retail optical prod</t>
  </si>
  <si>
    <t>US - Luxottica Group SpA (LG) of Italy acquired all the outstanding common stock of Cole National Corp (CN), a manufacturer and retailer of optical products, from HAL International NV (19%) (HI), for a thrice-sweetened $27.5 in cash, or a total value of $484.958 mil. Previously, LG offered a twice-sweetened $26 in cash per share, or a total value of $456.828 mil. Previously, LG offered $22.50 in cash per share. Originally, in October 2003, CN received an unsolicited bid for $19.65 in cash per share, or a total value of $343.197 mil. Subsequently, Moulin International Holdings Ltd withdrew its unsolicited offer to acquire all the outstanding common stock of CN. HI was a wholly-owned unit of HAL Trust NV's wholly- owned HAL Holdings NV subsidiary.</t>
  </si>
  <si>
    <t>US - Kinross Gold Corp (KG) acquired all the outstanding stock of Crown Resources Corp (CR), a gold and metal mining company and an oil and gas exploration and production, in a stock swap transaction valued at USD 78.424 mil. KG offered 0.2911 common shares per CR share. Based on KG's closing stock price of CAD 10. 07 (USD 7.557) on October 7, the last full trading day prior to the announcement, each CR share was valued at USD 2.2. The transaction was subject to the approval of regulatory authorities.</t>
  </si>
  <si>
    <t>Vixel Corp</t>
  </si>
  <si>
    <t>Mnfr communications devices</t>
  </si>
  <si>
    <t>Emulex Corp</t>
  </si>
  <si>
    <t>Mnfr network storage products</t>
  </si>
  <si>
    <t>US - Emulex Corp (EC) completed its tender offer to acquire all the outstanding common stock of Vixel Corp (VC), a manufacturer of communications devices, via a tender offer for $10 in cash per share, or a total value of $316.417 mil. Earlier, EC completed its tender offer for VC by accpeting 23.896 mil shares, or 98.37% of VC's common shares outstanding. The transaction was subject to regulatory approvals and certain closing conditions. The offer was conditioned at least a majority of VX's shares being tendered on a fully-diluted basis. On completion, VC was delisted from the Nasdaq.</t>
  </si>
  <si>
    <t>Central European Acquisition</t>
  </si>
  <si>
    <t>US - Central European Acquisition Corp signed a letter of intent to acquire all the outstanding common stock of Euroweb International Corp, an Internet Service Provider, for $2.84 per share, or a total value of $13.25 mil.</t>
  </si>
  <si>
    <t>Firepond Inc</t>
  </si>
  <si>
    <t>Jaguar Technology Holdings LLC</t>
  </si>
  <si>
    <t>US - Jaguar Technology Holdings LLC (JTH) acquired all the outstanding common stock of Firepond Inc (FP), a developer of interactive selling and eService software solutions, for $3.16 in cash per share, or a total value of $11.676 mil, Earlier, JTH completed its tender offer for FP by accepting 3.2 mil shares, or 84.47% of FP's common shares outstanding. The offer was conditioned upon at least 90% of FP's shares being tendered.</t>
  </si>
  <si>
    <t>Bunker Hill Bancorp Inc</t>
  </si>
  <si>
    <t>US - Bunker Hill Bancorp Inc, Neosho, Missouri acquired all the outstanding common stock of NS&amp;L Bancorp Inc, Neosho, Missouri, for $18 in cash per share, or a total value of $11.644 mil, in a going private transaction.</t>
  </si>
  <si>
    <t>Berger Holdings Ltd</t>
  </si>
  <si>
    <t>Provide investment services</t>
  </si>
  <si>
    <t>Euramax International Inc</t>
  </si>
  <si>
    <t>Mnfr,whl aluminum sheet</t>
  </si>
  <si>
    <t>US - Euramax International Inc acquired all the outstanding common stock of Berger Holdings Ltd (BH), a manufacturer and wholesaler of roof drainage products, for $3.90 in cash per share, or a total value of $26.655, by accepting 4.894 mil shares, or approximately 92.85% of BH's common shares outstanding. The offer was conditioned upon at least 80% of BH's shares being tendered.</t>
  </si>
  <si>
    <t>Documentum Inc</t>
  </si>
  <si>
    <t>US - EMC Corp (EMC) acquired all the outstanding common stock of Documentum Inc (DI), a developer of enterprise software, in a stock swap transaction valued at $1.953 bil. EMC offered 2.175 common shares per DI share. Based on EMC's closing stock price of $14.45 on October 13, the last full trading day prior to announcement, each DI share was valued at $31.429.</t>
  </si>
  <si>
    <t>Manufacturers Services Ltd</t>
  </si>
  <si>
    <t>US - Celestica Inc (CI) acquired all the outstanding common stock and Series A and B convertible preferred stock of Manufacturers Services Ltd (MSL), a manufacturer of electronic components and a majority-owned unit of DLJ Merchant Banking Inc, a unit of the Credit Suise First Boston USA Inc subsidiary of CS First Boston Group Inc's (CF) Credit Suisse First Boston unit, in a stock swap transaction valued at an estimated $362.023 mil. CF was a unit of Credit Suisse Group. CI offered .375 common shares per MSL share plus a choice of $52.50 in cash or . 375 common shares for each additional MSL common share as determined by the conversion factors of Series A and B preferred shares. Based on CI's closing stock price of $17.69 on October 14, the last full trading day prior to the announcement each MSL share was valued at $6.634. The transaction was subject to MSL shareholder's approval.</t>
  </si>
  <si>
    <t>Millennium Bank,Malvern,PA</t>
  </si>
  <si>
    <t>Harleysville National Corp,PA</t>
  </si>
  <si>
    <t>US - Harleysville National Corp, Harleysville, Pennsylvania (HNC), acquired Millennium Bank, Malvern, Pennsylvania (MB), a bank holding company, in a stock swap transaction valued at $58.96 mil, HNC offered a choice of $16 in cash or HNC shares, subject to proration whereby 60% of the total consideration would be in stock and 40% of the total consideration would be in cash. The transaction was also to include MB's wholly- owned subsidiary Cumberland Advisors Inc. The transaction was subject to regulatory and MB shareholders approvals.</t>
  </si>
  <si>
    <t>Pacific Crest Capital Inc</t>
  </si>
  <si>
    <t>US - Pacific Capital Bancorp, Santa Barbara, California, acquired all the outstanding common stock of Pacific Crest Capital Inc (PC), bank holding company for Pacific Crest Bank, for $26 in cash, or a total value of $137.093 mil. The transaction was subject to PC shareholder and regulatory approval.</t>
  </si>
  <si>
    <t>US - An investor group comprised of Kalmia Investor LLC, Merced Partners LP, Smithtown Bay LLC, Global Capital Management Inc, Mr. John Brandenborg and Mr. Michael Frey, made an unsolicited tender offer to raise its interest to 66.8% from a 12.8% stake in Westin Hotels LP (WH), an owner and operator of hotels, by acquiring 0.732 mil limited partnership units, or a 54% interest, for $550 per unit in cash, or a total value of $40.288 mil.</t>
  </si>
  <si>
    <t>Docent Inc</t>
  </si>
  <si>
    <t>click2learn.com inc</t>
  </si>
  <si>
    <t>Pvd online learning solutions</t>
  </si>
  <si>
    <t>US - Click2learn (C2) merged with Docent Inc (DI), a developer of enterprise-level software solutions, to form New Co (NC) named SumTotal Systems Inc in a stock swap merger of equals transaction valued at $61.851 mil. DI common shareholders received 0.7327 NC common shares and C2 common shareholders received 0.3188 NC per share held. Based on C2's closing stock price of $1.8 on October 17, the last full trading day prior to the announcement, each DI share was valued $4.137.</t>
  </si>
  <si>
    <t>US - Seacoast Financial Services Corp, New Bedford, Massachusetts (SF), acquired Abington Bancorp Inc, Abington, Massachusetts (AB), bank holding company for Abington Savings Bank, in a stock swap transaction valued at $142.774 mil. SF offered a choice of $34 in cash or 1. 4468 common shares or a combination of both per AB share held, subject to proration whereby 75% of the AB stock would be exchanged for SF stock. The transaction was subject to AB shareholders and regulatory approvals.</t>
  </si>
  <si>
    <t>BNW Bancorp Inc,Bellingham,WA</t>
  </si>
  <si>
    <t>Pacific Finl Corp,Aberdeen,WA</t>
  </si>
  <si>
    <t>Savings,loan bk</t>
  </si>
  <si>
    <t>US - Pacific Financial Corp, Aberdeen, Washington (PFC), merged with BNW Bancorp Inc, Bellingham, Washington (BNW), in a stock swap transaction. PFC offered 0.85 common shares per BNW share held. The transaction had been subject to regulatory approval.</t>
  </si>
  <si>
    <t>Brass Eagle Inc</t>
  </si>
  <si>
    <t>Mnfr,whl paintball prod</t>
  </si>
  <si>
    <t>US - K2 Inc (KI) acquired all the outstanding common stock of Brass Eagle Inc (BE), a manufacturer and wholesaler of paintball products, in a stock swap transaction valued at $82.516 mil. Earlier, KI completed its tender offer for BE by accepting 7.168 mil shares, or 95.7% of BE's common shares outstanding. KI offered 0.6036 common shares per BE share. Based on KI's closing stock price of $17.41 on October 21, the last full trading day prior to the announcement, each BE share was valued at $10.509. the offer was conditioned upon at least a majority of BE's shares being tendered. The transaction was subject to regulatory review and other customary conditions.</t>
  </si>
  <si>
    <t>Miltope Group Inc</t>
  </si>
  <si>
    <t>Mnfr computers,pheripherals</t>
  </si>
  <si>
    <t>Vision Tech Kinetics Inc</t>
  </si>
  <si>
    <t>US - Vision Technologies Kinetics Inc, a unit of Vision Technologies Systems Inc, acquired all the outstanding common stock of Miltope Group Inc (MG), a manufacturer of computers and peripherals, from Stenbeck Reassurance Com, for $5.78 per share, or a total value of $36.264 mil. The transaction was subject to customary regulatory approvals and other closing conditions, including the approval of a majority of MG's stockholders.</t>
  </si>
  <si>
    <t>NCO Portfolio Management Inc</t>
  </si>
  <si>
    <t>Pvd receivable purchasing svcs</t>
  </si>
  <si>
    <t>US - NCO Group Inc (NCOG) acquired the remaining 37% stake, or 5.023 mil common shares, which it did not already own, in NCO Portfolio Management Inc (NCP), a provider of receivable purchasing services, in a stock swap transaction valued at $40.718 mil. NCOG offered a sweetened 0.36187 shares per NCP share, subject to a collar agreement. Based on NCOG's closing stock price of $22.4 on December 12, the last full trading day prior to the amendment of terms, each NCP share was valued at $8.106. Originally, in October 2003, NCOG offered $7. 05 in common stock per NCOP share, subject to a collar agreement, in a stock swap transaction originally valued at $35.491 mil. The transaction was subject to customary terms and conditions.</t>
  </si>
  <si>
    <t>Rainbow Technologies Inc</t>
  </si>
  <si>
    <t>Dvlp computer security prod</t>
  </si>
  <si>
    <t>SafeNet Inc</t>
  </si>
  <si>
    <t>Dvlp info sec software</t>
  </si>
  <si>
    <t>US - SafeNet Inc (SNI) merged with Rainbow Technologies Inc (RTI), a developer of anti- piracy products and encryption technology, in a stock swap transaction valued at $481.346 mil. SNI offered . 374 common share per RTI share. Based on SNI's closing stock price of $42.95 on October 21, the last full trading day prior to the annoucement, each RTI share was valued at $16.06.</t>
  </si>
  <si>
    <t>US - BellSouth Corp had been rumored to be in negotiations to merge with AT&amp;T Corp, a telecommunications company.</t>
  </si>
  <si>
    <t>Open Ratings Inc</t>
  </si>
  <si>
    <t>Dvlp supply mgmt software</t>
  </si>
  <si>
    <t>US - Open Ratings Inc terminated its agreement to acquire all the outstanding common stock of Information Resources Inc (IRI), a provider of database research services, for $3.75 in cash per share, or a total value of $114.874 mil via a challenging offer. Previously, in July 2003, an investor group, comprised of Ginkgo Corp, Tennenbaum Capital Partners LLC and Symphony Technology Group LLC, launched a tender offer to acquire all the outstanding common stock of IRI.</t>
  </si>
  <si>
    <t>Bank of America Corp</t>
  </si>
  <si>
    <t>Provide banking,financial svcs</t>
  </si>
  <si>
    <t>US - Bank of America Corp (BOA), Charlotte, North Carolina, merged with FleetBoston Financial Corp (FBF), Boston, Massachusetts, a commercial bank holding company, in a stock swap transaction valued at $49.261 bil. BOA offered .5553 common shares per FBF share. Based on BOA's closing stock price of $81.86 on October 24, the last full trading day prior to the announcement, each FBF share was valued at $45.457.</t>
  </si>
  <si>
    <t>Mid Atlantic Med Svcs Inc</t>
  </si>
  <si>
    <t>Own,op HMO;holding co</t>
  </si>
  <si>
    <t>UnitedHealth Group Inc</t>
  </si>
  <si>
    <t>Provide HMO services</t>
  </si>
  <si>
    <t>US - UnitedHealth Group Inc (UHG) acquired all the outstanding common stock of Mid Atlantic Medical Services Inc (MAM), an owner and operator of an HMO and a holding company, in a stock swap transaction valued at $2. 869 bil. UHG offered $18 in cash and .82 common shares per MAM share. Based on UHG's closing stock price of $54.25 on October 24, the last full trading day prior to announcement, each MAM share was valued at $62.485.</t>
  </si>
  <si>
    <t>Newton Financial Corp,NJ</t>
  </si>
  <si>
    <t>US - Lakeland Bancorp, Oak Ridge, New Jersey (LB) acquired Newton Financial Corp, Newton, New Jersey (NF), in a stock swap transaction valued at $95.166 mil. LB offered a choice of 4.5 common shares or $72.08 in cash per NF share held, subject to proration whereby 25% of the total consideration was to be in cash. Based on LB's closing stock price of $15.55 on October 24, the last full trading day prior to the announcement. The transaction was subject to regulatory approval.</t>
  </si>
  <si>
    <t>On Technology Corp</t>
  </si>
  <si>
    <t>Dvlp network security software</t>
  </si>
  <si>
    <t>US - Symantec Corp acquired all the outstanding common stock of On Technology Corp (OT), a developer of network security software, for $4 in cash per share, or a total value of $101.11 mil. The transaction was subject to several conditions, including approval by OT shareholders, the expiration of applicable waiting periods under antitrust laws and other customary conditions.</t>
  </si>
  <si>
    <t>SCB Computer Technology Inc</t>
  </si>
  <si>
    <t>Pvd computer prog svcs</t>
  </si>
  <si>
    <t>US - Ciber Inc (CI) acquired all the outstanding common stock of SCB Computer Technology Inc (SC), a provider of computer programming services, for an amended $2.13 per share, or a total value of $55.976. Originally, CI offered $1.08 in cash and $1.07 in stock for every SC common share, or a total value of $56.52 mil. The transaction was subject to approval by SC and CI shareholders.</t>
  </si>
  <si>
    <t>US - Anthem Inc (ATI) merged with WellPoint Health Networks Inc (WPH), an owner and operator of an HMO, in a stock swap transaction valued at $16.442 bil. ATI offered $23.80 in cash and 1 common share per WPH share. Based on ATI's closing stock price of $77.26 on October 24, the last full trading day prior to announcement, each WPH share was valued at $101.06. On completion, the merged entity was named WellPoint Inc.</t>
  </si>
  <si>
    <t>Docuforce LLC</t>
  </si>
  <si>
    <t>US - Docuforce LLC (DF) definitively agreed to acquire all the outstanding stock of On-Site Sourcing Inc, a provider of digital imaging, document management, litigation reprographics services, for a sweetened $2. 87 in cash per share, or a total value of $16.466 mil, in a going private transaction. Originally, DF offered $2.75 per share, or a total value of $15.733 mil.</t>
  </si>
  <si>
    <t>Excelligence Learning Corp</t>
  </si>
  <si>
    <t>Dvlp,mnfr,ret educational prod</t>
  </si>
  <si>
    <t>Flow Systems Corp(Nurun Inc)</t>
  </si>
  <si>
    <t>US - Flow Systems Corp, a wholly-owned subsidiary of Mediagrif Interactive Technologies Inc, acquired Excelligence Learning Corp, a developer, manufacturer and retailer of educational products.</t>
  </si>
  <si>
    <t>Phazar Corp</t>
  </si>
  <si>
    <t>Mnfr,whl antennas</t>
  </si>
  <si>
    <t>YDI Wireless Inc</t>
  </si>
  <si>
    <t>Whl commun sys;dvlp software</t>
  </si>
  <si>
    <t>US - YDI Wireless Inc (YW) withdrew its agreement to acquire the remaining 78.5% interest, or 1.715 mil common shares, in Phazar Corp (PC), a manufacturer and wholesaler of antennas, in a stock swap transaction valued at $8.5 mil. YW offered 1.2 common shares per PC share. Based on YW's closing stock price of $3.95 on October 29, the last full trading day prior to the announcement, each PC share was valued at $4.74. The transaction was subject to PC stockholders approval and other closing conditions.</t>
  </si>
  <si>
    <t>US - An investor group, including Mr Thomas Kinkade, acquired all the outstanding common stock of Media Arts Group Inc, a manufacturer, marketer and branded retailing of art-based home decorative accessories and collectibles and gift products, for $4 in cash per share, or a total value of $54.096 mil. The transaction was subject to the approval of regulatory authorities.</t>
  </si>
  <si>
    <t>National Med Health Card Sys</t>
  </si>
  <si>
    <t>Ins agcy</t>
  </si>
  <si>
    <t>New Mountain Capital LLC</t>
  </si>
  <si>
    <t>US - New Mountain Capital LLC (NM) definitively agreed to acquire a 55% interest, or preferred shares convertible into 7 mil common shares, in National Medical Health Card Systems Inc, a provider comprehensive prescription benefit management services, for $80 mil. Concurrently, NM planned to launch a self tender offer.</t>
  </si>
  <si>
    <t>US - Teva Pharmaceutical Industries Ltd (TPI) acquired all the outstanding common stock of SICOR Inc (SI), a manufacturer of pharmaceuticals, in a transaction valued at $3.401 bil. TPI offered $16.50 in cash and .1906 American Depository Shares (ADS) per SI common share. Based on TPI's closing stock price of $57.71 on October 30, the last full trading day prior to the announcement, each SI share was valued at $27.50. Completion of the transaction was contingent upon SI shareholder approval.</t>
  </si>
  <si>
    <t>AG Services of America Inc</t>
  </si>
  <si>
    <t>Rabobank International USA</t>
  </si>
  <si>
    <t>US - Rabobank International USA, a unit of Rabobank Nederland, definitively agreed to acquire all the outstanding common stock of Ag Services of America Inc, a provider of crop input financing services, for $8.50 in cash per share, or a total value of $46.623 mil. The transaction was subject shareholder approval and the Dutch Central Bank.</t>
  </si>
  <si>
    <t>Intermagnetics General Corp</t>
  </si>
  <si>
    <t>Mnfr super conducting material</t>
  </si>
  <si>
    <t>US - Intermagnetics General Corp (IG) acquired all the outstanding common stock of Invivo Corp (IC), a manufacturer of medical equipment, via an unsolicited tender offer, for a sweetened $22 in cash per share, or a total value of $142.263 mil. Originally, IG offered $15 in cash and $4 in IG common stock per IC share held, for a total value of $124.353 mil. Earlier, IG completed its unsolicited tender offer of IC by accepting 5.696 mil shares, or 95.41% of IC's common shares outstanding. The offer was conditional on a majority of IC's shares being tendered.</t>
  </si>
  <si>
    <t>US - Provident Bankshares Corp, Baltimore, Maryland (PBC) merged with Southern Financial Bancorp, Warrenton, Virginia (SFB), in a stock swap transaction valued at $289.355 mil. PBC offered $11. 125 in cash and 1.0875 PBC common shares per SFB share. Based on PBC's closing stock price of $31.05 on October 31, 2003, the last full trading day prior to the announcement, each SFB share was valued at $44.892. The transaction was subject to regulatory and shareholder approvals.</t>
  </si>
  <si>
    <t>Teleglobe Intl Hldg Ltd</t>
  </si>
  <si>
    <t>US - Teleglobe International Holdings Ltd (TI) acquired all the outstanding common stock of ITXC (IC) Corp, a provider of Internet telephone services, in a stock swap transaction valued at $102.814 mil. TI offered . 25 common shares per IC share. Based on TI's closing stock price of $9.25 of June 1, the first full trading day, each IC share was valued at $2.313.</t>
  </si>
  <si>
    <t>Rogue Wave Software Inc</t>
  </si>
  <si>
    <t>US - Quovadx Inc (QI) acquired all the outstanding common stock of Rogue Wave Software Inc (RW), a provider of computer programming services, for $71.472 mil. QI offered $4.09 in cash and 0. 5292 common shares for every RW share. Earlier, QI completed its tender offer for RW by accepting 9.51 mil shares, or 93.07% of RW's common shares outstanding. Based on QI's closing stock price of $5.17 on November 3, 2003, each RW share was valued at $6.826.</t>
  </si>
  <si>
    <t>FNB Bancshares Inc,SC</t>
  </si>
  <si>
    <t>American Cmnty Bancshares Inc</t>
  </si>
  <si>
    <t>US - American Community Bancshares Inc, Monroe, North Carolina (ACB), acquired all the outstanding common stock of FNB Bancshares Inc, Gaffney, South Carolina (FNB), a bank holding company, in a stock swap transaction valued at $15.391 mil. ACB offered $20.50 per FNB share, subject to proration, whereby FNB shareholders had a choice to receive all cash, all common stock or a combination of cash and common stock, subject to a collar agreement.</t>
  </si>
  <si>
    <t>US - Barnes &amp; Noble Inc (BNI) acquired the remaining 25.2% stake, or 40.138 mil common shares, which it did not already own, in barnesandnoble.com inc, a provider of an on-line book retail market, for a sweetened $3.05 in cash per share, or a total value of $122.44 mil. Originally, BNI offered $2.50 in cash per share or a total value of $100.364 mil.</t>
  </si>
  <si>
    <t>Cotton States Life Insurance</t>
  </si>
  <si>
    <t>COUNTRY Insurance &amp; Financial</t>
  </si>
  <si>
    <t>Stock insurance company</t>
  </si>
  <si>
    <t>US - COUNTRY Insurance &amp; Financial Services, a unit of Illinois Agricultural Association's Illinois Agricultural Holding Co subsidiary, acquired all the outstanding common stock of Cotton States Life Insurance Co, for $20.25 cash per share, or a total value of $129.662 mil. The transaction was subject to certain regulatory approvals.</t>
  </si>
  <si>
    <t>Franklin Bancorp Inc,MI</t>
  </si>
  <si>
    <t>US - First Place Financial Corp, Warren, Ohio, (FP) acquired Franklin Bancorp Inc, Southfield, Michigan (FB), bank holding company for Franklin Bank N.A., in a stock swap transaction valued at $81.106 mil. FP offered a choice of $21 in cash or 1. 137 common shares or combination of both, subject to proration, whereby 50% of FB shares will be exchanged for FP common stock.</t>
  </si>
  <si>
    <t>Medstone International Inc</t>
  </si>
  <si>
    <t>Mnfr,whl lithotripters</t>
  </si>
  <si>
    <t>Prime Medical Services Inc</t>
  </si>
  <si>
    <t>Own,op med facilities</t>
  </si>
  <si>
    <t>US - Prime Medical Services Inc (PM) merged with Medstone International Inc (MI), a manufacturer and wholesaler of lithotripters, in a stock swap transaction valued at $18.026 mil. PM offered .9559 in common shares per MI share. Based on PM's closing stock price on November 10, the last full trading day prior to the announcement, each CB share was valued at $4.885.</t>
  </si>
  <si>
    <t>HPSC Inc</t>
  </si>
  <si>
    <t>Pvd medical equip fin svcs</t>
  </si>
  <si>
    <t>GE Healthcare Finl Svcs</t>
  </si>
  <si>
    <t>US - GE Healthcare Financial Services, a unit of the General Electric Capital Corp subsidiary of General Electric Co's {GE} General Electric Capital Services unit, acquired all the outstanding common stock of HPSC Inc, a provider of medical and dental equipment financing services, from Healthco International Inc, for $14.5 per share, or a total value of $72.351 mil. The transaction was subject to customary closing conditions as well as regulatory and shareholder approvals.</t>
  </si>
  <si>
    <t>Latitude Communications Inc</t>
  </si>
  <si>
    <t>Mnfr audio conferencing sys</t>
  </si>
  <si>
    <t>US - Cisco Systems Inc definitively acquired all the outstanding common stock of Latitude Communications Inc (LC), a provider of audio conferencing systems, for $3. 95 in cash per share, or a total value of $84.487 mil. The transaction was subject to LC stockholder approval, various standard closing conditions and regulatory approvals.</t>
  </si>
  <si>
    <t>First KS Finl,Osawatomie,KS</t>
  </si>
  <si>
    <t>Landmark Bancorp Inc</t>
  </si>
  <si>
    <t>US - Landmark Bancorp Inc, Manhattan, Kansas, acquired all the outstanding common stock of First Kansas Financial Corp, Osawatomie, Kansas, for $19.00 in cash per share, or a total value of $18.347 mil.</t>
  </si>
  <si>
    <t>Mnfr,whl auto airbag fabric</t>
  </si>
  <si>
    <t>US - Zapata Corp withdrew its plans to acquire the remaining 16.1% stake, or . 801 mil common shares, which it did not already own, in Safety Components International Inc, a manufacturer and wholesaler of automotive airbag fabric and cushions and technical fabrics, for $11.49 per share, or a total value of 11.51 mil.</t>
  </si>
  <si>
    <t>Snyder Associated Cos Inc</t>
  </si>
  <si>
    <t>US - Snyder Associated Cos Inc acquired all the outstanding common stock of Sylvan Inc (SI), a producer of mushrooms and fruits, for $12.25 in cash per share, or a total value of $64.083 mil, in a going private transaction. The transaction was subject to certain conditions including approval by a majority of SI shareholders and certain regulatory agencies.</t>
  </si>
  <si>
    <t>Travelers Ppty Casualty Corp</t>
  </si>
  <si>
    <t>US - St Paul Cos Inc (SPC) merged with Travelers Property Casualty Corp (TPC), a provider of property and casualty insurance services and a majority-owned unit of Citigroup, in a stock swap transaction valued at $16.136 bil. SPC offered .4334 common shares per TPC Class A or Class share. Based on SPC closing stock price of $36.77 on November 14, the last full trading day prior to announcement, each TPC share was valued at $15.936. Completion of the transaction was to be contingent upon the approval of both SPC and TPC shareholders. On completion of the merger of equals transaction, the combined company changed its name to St Paul Travelers Cos, and was headquartered in Saint Paul, Minnesota.</t>
  </si>
  <si>
    <t>Beta Oil &amp; Gas Inc</t>
  </si>
  <si>
    <t>Petrohawk Energy LLC</t>
  </si>
  <si>
    <t>US - Petrohawk Energy LLC acquired all the outstanding common stock and 10 mil warrants of Beta Oil &amp; Gas Inc, an oil and gas exploration and production, for $41.5 mil. The five-year common stock pruchase warrants was exercisable at a price of $1.65 per share. The transaction had been subject to the approval of regulatory authorities.</t>
  </si>
  <si>
    <t>Canaan Natl Bancorp Inc,CT</t>
  </si>
  <si>
    <t>Salisbury Bancorp Inc</t>
  </si>
  <si>
    <t>US - Salisbury Bancorp Inc, Lakeville, Connecticut (SB) acquired Canaan National Bancorp Inc, Canaan, Connecticut (CN), in a stock swap transaction valued at an estimated $15.5 mil. SB offered $31.2 in cash and 1. 3371 common shares per CN share held. Based on SB's closing stock price of $36.85 on November 17, the last full trading day prior to the announcement, each CN shared was valued at $80.47. The transaction was subject to regulatory approval.</t>
  </si>
  <si>
    <t>RMH Teleservices Inc</t>
  </si>
  <si>
    <t>All Other Business Support Services</t>
  </si>
  <si>
    <t>US - NCO Group Inc (NCO) acquired all the outstanding common stock of RMH Teleservices Inc (RMH), a provider of customer relations management services, in a stock swap transaction valued at an amended $72.434 mil. NCO offered .215 common shares per RMH share, subject to an amended collar agreement. Based on NCO's closing stock price of $23.98 on January 21, 2004, the last full trading day prior to the announcement of amended terms, each RMH share was valued at $5.16. Originally, in November 2003, NCO offered $5. 50 in common stock per RMH share, subject to a collar agreement, in a stock swap transaction valued at $77.427 mil. The transaction was subject to approval by RMH shareholders, regulatory review and the expiration of applicable waiting periods.</t>
  </si>
  <si>
    <t>Liberty Banshares Inc,IA</t>
  </si>
  <si>
    <t>US - Liberty Bancshares Inc, West Des Moines, Iowa, acquired all the outstanding common stock of StateFed Financial Corp, Clive, Iowa, for $13.47 in cash per share, or a total value of $17.649 mil, in a going private transaction.</t>
  </si>
  <si>
    <t>Pride Cos LP</t>
  </si>
  <si>
    <t>Own,op crude oil transport sys</t>
  </si>
  <si>
    <t>Pride Refining Co Inc</t>
  </si>
  <si>
    <t>Own,op crude petro pipelines</t>
  </si>
  <si>
    <t>US - Pride Refining Co Inc planned to acquire the remaining 48% stake, or 0.238 mil liminted partnership units, which it did not already own in Pride Cos LP, an owner and operator of crude oil transport system, for $90 in cash per unit, or a total value of $7.178 mil.</t>
  </si>
  <si>
    <t>SoundView Technology Group Inc</t>
  </si>
  <si>
    <t>US - Charles Schwab Corp (CS) acquired all the outstanding common stock of SoundView Technology Group Inc (SV), a provider of Internet investment banking and brokerage firm services, for $15.50 in cash per share, or a total value of $583.069 mil. Earlier, CS completed its tender offer by accepting 19. 501 mil shares, or 94.08% of SV's common shares outstanding.</t>
  </si>
  <si>
    <t>Loews Cineplex Entertainment</t>
  </si>
  <si>
    <t>Own,op theater chain</t>
  </si>
  <si>
    <t>US - Loews Cineplex Entertainment Corp, a joint venture between Onex Corp and Oaktree Capital Management LLC, withdrew its plans to merge with AMC Entertainment Inc, an owner and operator of movie theaters. Terms were not disclosed.</t>
  </si>
  <si>
    <t>US - National City Corp, Cleveland,Ohio (NCC) acquired Allegiant Bancorp,St. Louis, Missouri, (AB) a commercial bank holding company, in a stock swap transaction valued at $489.913 mil. NCC offered a choice of $27.25 in cash or .833 common shares per AB share.</t>
  </si>
  <si>
    <t>ElderTrust Realty Group</t>
  </si>
  <si>
    <t>Ventas Inc</t>
  </si>
  <si>
    <t>US - Ventas Inc acquired all the outstanding common stock of ElderTrust Realty Group, a real estate investment trust, for $12.5 in cash per share, or a total value of $101.641 mil. The transaction was subject to certain conditions and approval by the shareholders.</t>
  </si>
  <si>
    <t>Plains Resources Inc</t>
  </si>
  <si>
    <t>US - A management-led investor group, comprised of Plains Resources Inc's (PR) Chairman James C. Flores, CEO and President John T. Raymond and Vulcan Capital Management, acquired all the outstanding common stock of PR, an oil and gas exploration and production company, for a twice sweetened $17.25 in cash per share, or a total value of $409.493 mil. Previously, IG offered a sweetened $16.75 in cash per share or a total value of $438.902 mil in a leverage buyout going private transaction. Originally, IG offered $14.25 in cash per share, or a total value of $366.02 mil. Subsequently, an investor group comprised of Pershing Square LP and Leucadia National Corp launched an unsolicited challenging bid to acquire all the outstanding common stock of PR.</t>
  </si>
  <si>
    <t>Applied Molecular Evolution</t>
  </si>
  <si>
    <t>Eli Lilly &amp; Co</t>
  </si>
  <si>
    <t>US - Eli Lilly &amp; Co (ELC) acquired all the outstanding common stock of Applied Molecular Evolution Inc (AME), a provider of commercial physical research, in a stock swap transaction valued at $417.834 mil. ELC offered a choice of $18 in cash or in common stock per AME share, subject to proration, whereby 80% of the total consideration was to be paid in common stock and 20% was to be paid in cash.</t>
  </si>
  <si>
    <t>Chefs International Inc</t>
  </si>
  <si>
    <t>Own,op,franchise restaurants</t>
  </si>
  <si>
    <t>Lombardi Restaurant Group Inc</t>
  </si>
  <si>
    <t>US - Lombardi Restaurant Group Inc (LR) acquired the remaining 39%, or 1.531 mil common shares, it did not already own in, Chefs International Inc, an owner and operator and franchiser of restaurants, for a twice sweetened $3 in cash per common share, or a total value of $4.593 mil. Previously LR offered $2.50 in cash per common share and originally $1.75 in cash per share.</t>
  </si>
  <si>
    <t>Integrity Media Inc</t>
  </si>
  <si>
    <t>Pvd media prodn distn svcs</t>
  </si>
  <si>
    <t>US - A management-led investor group, comprised of Integrity Media Inc's (IM) CEO P. Michael Coleman (PM), agreed to acquire the remaining 42% stake, or 1.55 mil shares which it did not already own, in IM, a provider of media production distribution services, for a sweetened value of $6.5 in cash per share, or a total value of $8.375 mil, in a leveraged buyout going- private transaction. Originally, PM offered $6.25 in cash per share, or a total value of $7.988 mil.</t>
  </si>
  <si>
    <t>Joule Inc</t>
  </si>
  <si>
    <t>Own,op temporary help agcy</t>
  </si>
  <si>
    <t>Jac Acquisition Co Inc</t>
  </si>
  <si>
    <t>US - JAC Acquistion Co Inc (JAC) acquired all the outstanding common stock of Joule Inc (JI), an owner and operator of temporary help agency, for a twice sweetened $1.70 in cash per share, or a total value of $6.263 mil, in a going private transaction. Concurrently, JAC withdrew its launched tender offer to acquire all the outstanding common stock of JI for $1.52 in cash per share, or a total value of $5.6 mil. The offer had been conditioned upon 90% of JI's shares being tendered.</t>
  </si>
  <si>
    <t>Nashua City-New Hampshire</t>
  </si>
  <si>
    <t>City government</t>
  </si>
  <si>
    <t>US - The city of Nashua, New Hampshire (NH) planned to acquire all the outstanding common stock of Pennichuck Corp (PC), a water utility holding company, for $121 mil in cash.</t>
  </si>
  <si>
    <t>UniSource Energy Corp</t>
  </si>
  <si>
    <t>Electric utility;hldg co</t>
  </si>
  <si>
    <t>Saguaro Utility Group LP</t>
  </si>
  <si>
    <t>US - Saguaro Utility Group LP, an acquisition vehicle backed by Sage Mountain LLC, Kohlberg Kravis Roberts &amp; Co, JP Morgan Partners, a unit of JP Morgan Chase &amp; Co, and Wachovia Capital Partners, a unit of Wachovia Corp, Charlotte, North Carolina, withdrew its agreement to acquire all the outstanding common stock of UniSource Energy Corp, an electric utility holding company, for $25.25 per share, or a total value of $2.875 bil, including the assumption of an estimated $2 bil in liabilities.</t>
  </si>
  <si>
    <t>Foxborough Savings Bank,MA</t>
  </si>
  <si>
    <t>US - Banknorth Group Inc, Burlington, Vermont, acquired all the outstanding common stock of Foxborough Savings Bank, Foxborough, Massachusettes, for $89.6 mil in cash. The transaction was subject to shareholder and regulatory approvals and certain customary conditions.</t>
  </si>
  <si>
    <t>Staten Island Bancorp Inc,NY</t>
  </si>
  <si>
    <t>US - Independence Community Bank Corp (ICBC), Brooklyn, New York, merged with Staten Island Bancorp Inc (SIB), Staten Island, New York, a savings and loan holding company, in a stock swap transaction valued at $1.492 bil. ICBC offered a choice of cash or common stock per SIB share held, subject to a proration whereby no more than $369 mil in cash and an estimated 29 mil common shares valued at $1.123 bil were to be paid. The shares were valued based on ICBC's closing stock price of $38.74 on November 24, the last full trading day prior to the announcement. Concurrently, Lehman Brothers Holdings Inc planned to acquire the mortgage assets of SIB Mortgage Corp, a unit of SIB. Originally, in September 2003, SIB announced that it was seeking a buyer for the company.</t>
  </si>
  <si>
    <t>America First Real Estate</t>
  </si>
  <si>
    <t>America First Apartment Inv</t>
  </si>
  <si>
    <t>US - America First Apartment Investors LP (AFAI) merged with America First Real Estate Investment Partners LP (AFREIP), a real estate agency, in a stock swap transaction valued at $47.303 mil. AFAI offered .791 common shares and $.39 in cash per AFREIP share. Based on AFAI's closing stock price of November 25, the last full trading day prior to the announcement, each AFREIP share was valued at $6.37.</t>
  </si>
  <si>
    <t>Fotoball USA Inc</t>
  </si>
  <si>
    <t>US - K2 Inc (KI) acquired all the outstanding common stock of Fotoball USA Inc (FU) , a manufacturer of sporting goods, in a stock swap transaction valued at $17.156 mil. KI offered 0.2757 common shares per FU share. Based on KI's closing stock price of $15.7 on November 25, the last full trading day prior to the announcement, each FU share was valued at $4.328. Earlier, KI completed its tender offer for FU by accepting 3.207 mil shares, or 87.82% of FU's common shares outstanding. The offer was conditioned upon at least a majority of FU's shares being tendered. Upon completion, FU changed its name to K2 Licensing &amp; Promotions Inc.</t>
  </si>
  <si>
    <t>US - EXCO Resources Inc (EXCO) acquired all the outstanding common stock of North Coast Energy Inc (NC), an oil and gas exploration and production company, and a majority-owned unit of Netherlands state-owned Nuon's Nuon International BV subsidiary, for $10.75 in cash per share, or a total value of $166.384 mil, Earlier, EXCO completed its tender offer for NC by accepting 14.894 mil NC's common shares outstanding, or 95% of NC's common shares outstanding. The offer was conditioned upon a minimum of 90% of NC's shares being tendered. The transaction was approved by the shareholders.</t>
  </si>
  <si>
    <t>Harbor Natl Bk,Dana Pt,CA</t>
  </si>
  <si>
    <t>US - First Community Bancorp, Newport Beach, California, acquired all the outstanding common stock of Harbor National Bank (HN), for $35.5 mil in cash. The transaction was subject customary conditions and approval of HN shareholders and regulatory authorities</t>
  </si>
  <si>
    <t>Blockbuster Inc</t>
  </si>
  <si>
    <t>Own,operate video rental store</t>
  </si>
  <si>
    <t>US - An investor group, including Blackstone Group LP, a unit of MPS Group Inc, Quadrangle Group LLC and Thomas H. Lee Partners LP, a unit of Thomas H. Lee Co, was rumored to be planning to acquire an 80% interest, or 29.843 mil common shares, in Blockbuster Inc, an owner and operator of video rental stores, a majority-owned unit of Viacom Inc. The Current status of this deal is unknown.</t>
  </si>
  <si>
    <t>Coastal Bancorp Inc,Houston,TX</t>
  </si>
  <si>
    <t>US - Hibernia Corp, New Orleans, Louisiana merged with Coastal Bancorp Inc, Houston, Texas, for $41.50 in cash per share, or a total value of $232.89 mil.</t>
  </si>
  <si>
    <t>Hall Kinion &amp; Associates Inc</t>
  </si>
  <si>
    <t>Pvd specialized IT pro svcs</t>
  </si>
  <si>
    <t>Kforce Inc</t>
  </si>
  <si>
    <t>Pvd online staffing svcs</t>
  </si>
  <si>
    <t>US - Kforce Inc (KFI) acquired all the outstanding common stock of Hall Kinion &amp; Associates Inc (HKA), a provider of specialized information services, in a stock swap transaction valued at $55.26 mil. KFI offered an amended .45 common shares per HKA share, subject to a collar agreement. Based on KFI's closing stock price of $9.59 on April 5, 2004, the last full trading day prior to amendment of terms, each HKA share was valued at $4. 316. Originally, in December 2003, KFI offered .6 common shares per HKA share held, subject to a collar agreement, in a stock swap transaction valued at $64.266 mil. Based on KFI's closing stock price of $8.34 on December 1, the last full trading day prior to the announcement, each HKA share originally was valued at $5.004. The transaction was subject to shareholder approvals.</t>
  </si>
  <si>
    <t>Reeds Jewelers Inc</t>
  </si>
  <si>
    <t>Zimmer Family</t>
  </si>
  <si>
    <t>US - The Zimmer Family (ZF) acquired the remaining 12.5% stake, or 1.06 mil common shares, which it did not already own, in Reeds Jewelers Inc (RJ), an owner and operator of jewelry stores, via a tender offer, for a sweetened $2.05 in cash per share, or a total value of $2.193 mil, in a going private transaction. Originally, ZF offered $1.85 in cash per share, or a total value of $2.044 mil. The offer was conditioned upon at least 90% of RJ's shares being tendered.</t>
  </si>
  <si>
    <t>US - BB&amp;T Corp, Winston-Salem, North Carolina (BB) acquired Republic Bancshares Inc, St. Petersburg, Florida (RB), in a stock swap transaction valued at $436.675 mil. BB offered a choice of $31.79 in cash or 0.81 common shares per RB share. The aggregate cash available was limited to 40% of the transaction value. Based on BB's closing stock price of $39.66 on December 1, the last full trading day prior the announcement, each RB share was valued at $32. 125. The transaction was subject to regulatory and shareholder approval.</t>
  </si>
  <si>
    <t>Seitel Inc</t>
  </si>
  <si>
    <t>Pvd geoscientific surveys svcs</t>
  </si>
  <si>
    <t>US - In December 2003, bankrupt-Seitel Inc, a developer of seismic data bank, announced that it was seeking a buyer for itself, through an auction process. Berkshire Hathaway Inc was named potential bidder.</t>
  </si>
  <si>
    <t>PlanVista Corp</t>
  </si>
  <si>
    <t>ProxyMed Inc</t>
  </si>
  <si>
    <t>Pvd data processing svc</t>
  </si>
  <si>
    <t>US - ProxyMed Inc (PI) acquired all the outstanding common stock of PlanVista Corp (PC), an owner and operator of HMO, in a stock swap transaction valued at $52.812 mil. PI offered .0869 common shares per PC share. Based on PI's closing stock price of $16.01 on December 5, 2003, the last full trading day prior to the announcemnet, each PC share was valued at $1.391. The transaction was subject to approval by shareholders of both companies.</t>
  </si>
  <si>
    <t>CCBT Financial Cos,Yarmouth,MA</t>
  </si>
  <si>
    <t>US - Banknorth Group Inc (BNK), Portland, Maine, acquired CCBT Financial Cos Inc (CCBT), South Yarmouth, Massachusetts, the commercial bank holding company of Cape Cod Bank &amp; Trust Co, in a stock swap transaction valued at $303.834 mil. BNK offered 1.084 shares per CCBT share. Based on BNK's closing stock price of $32.77 on December 8, the last full trading day prior to announcement, each CCBT share was valued at $35. 523.</t>
  </si>
  <si>
    <t>Systems &amp; Computer Technology</t>
  </si>
  <si>
    <t>US - SunGard Data Systems Inc acquired all the outstanding common stock of Systems &amp; Computer Technology Corp (SCT) , a provider of information technology services, for USD 16.5 in cash per share, or a total value of USD 579.551 mil. The transaction was subject to the approval of SCT shareholders and other customary conditions, including the expiration of the waiting period under the Hart-Scott-Rodino Act.</t>
  </si>
  <si>
    <t>Manpower Inc</t>
  </si>
  <si>
    <t>Provide employment services</t>
  </si>
  <si>
    <t>US - Manpower Inc (MPI) acquired all the outstanding stock of Right Management Consultants Inc (RMC), a provider of human resource consulting services, in a stock swap transaction valued at $489.155 mil. MPI offered $18.75 in common stock per RMC share, subject to a collar agreement. Earlier, MPI completed its tender offer for RMC by accepting 20. 981 mil shares, or 91.93% of RMC's common shares outstanding. The offer was conditioned upon at least 90% of RMC's shares being tendered. Concurrently, a management-led investor group, comprised of Chairman and CEO Richard Pinola and Hellman &amp; Friedman LLC, withdrew its plans to acquire all the outstanding common stock of RMC, in a going private, leveraged buyout transaction.</t>
  </si>
  <si>
    <t>Patriot Bank Corp,Pottstown,PA</t>
  </si>
  <si>
    <t>US - Susquehanna Bancshares Inc, Lititz, Pennsylvania (SB) , acquired Patriot Bank Corp, Pottstown, Pennsylvania (PB), in a stock swap transaction valued at $210.916 mil. SB offered a choice of $30 in cash or 1.143 SB common shares or a combination of both per PB share, subject to proration whereby 20% of the total consideration was to be paid in cash and 80% in common stock. The transaction was subject to approval by PB and SB shareholders and regulatory authorities.</t>
  </si>
  <si>
    <t>Taft National Bank,Taft,CA</t>
  </si>
  <si>
    <t>United Security Bancshares,CA</t>
  </si>
  <si>
    <t>US - United Security Bancshares, Fresno, California (USB), acquired all the outstanding common stock of Taft National Bank, Taft, California (TNB), in a stock swap transaction valued at an estimated $6.536 mil. USB offered .909 common shares per TNB share, subject to a collar agreement. Based on TNB's closing stock price of $26.88 on December 10, the last full trading day prior to the announcement, each USB share was valued at $24.434. The transaction was subject to TNB shareholder approval.</t>
  </si>
  <si>
    <t>American Rice Inc</t>
  </si>
  <si>
    <t>Produce,whl rice</t>
  </si>
  <si>
    <t>SOS Cuetara USA Inc</t>
  </si>
  <si>
    <t>US - SOS Cuetara USA Inc, a unit of SOS Cuetara SA, acquired all the outstanding common stock of American Rice Inc, a producer and wholesaler of rice, for $8.31 in cash per share, or a total value of $20.310 mil. The transaction was subject to certain conditions, including approval by the holders of 75. 1% of the outstanding shares of common stock and other customary closing conditions.</t>
  </si>
  <si>
    <t>Baldwin Technology Co Inc</t>
  </si>
  <si>
    <t>Mnfr printing press mach</t>
  </si>
  <si>
    <t>Technotrans AG</t>
  </si>
  <si>
    <t>Pvd printing tech sys services</t>
  </si>
  <si>
    <t>US - Technotrans AG withdrew its signed letter of intent to acquire all the outstanding Class A and B common stock of Baldwin Technology Co Inc, a manufacturer of printing press machinery, for $2.5 in cash per share, or a total value of $37.954 mil. The transaction was subject to confirmatory due diligence, execution of definitive acquisition documentation, respective board approvals, financing by TA and other requirements and contingencies typical in a transaction of this nature.</t>
  </si>
  <si>
    <t>GA Financial Inc,Pittsburgh,PA</t>
  </si>
  <si>
    <t>US - First Commonwealth Financial Corp, Indiana, Pennsylvania (FCF), acquired GA Financial Inc, Pittsburgh, Pennsylvania (GA), bank holding company for Great American Federal, in a stock swap transaction valued at $186.044 mil. FCF offered a choice of $35 in cash or FCF common stock per GA share held, subject to proration, such that the cash consideration was 40% and the stock consideration was 60% of the total consideration. The transaction was subject to approval by regulatory authorities and GA shareholders.</t>
  </si>
  <si>
    <t>Dial Corp</t>
  </si>
  <si>
    <t>Mnfr,ret,whl,mkt consumer prod</t>
  </si>
  <si>
    <t>US - Henkel KGaA acquired all the outstanding common stock of Dial Corp (DC), a manufacturer, retailer and wholesaler of consumer products, for $28.75 in cash per share, or a total value of $2.914 bil. The transaction was subject to DC shareholders and customary regulatory approvals.</t>
  </si>
  <si>
    <t>Gulfterra Energy Partners LP</t>
  </si>
  <si>
    <t>Enterprise Products Partners</t>
  </si>
  <si>
    <t>US - Enterprise Products Partners LP (EPD) acquired the remaining 76.354% interest, which it did not already own, in GulfTerra Energy Partners LP (GTM), a provider of natural gas transmission and storage services, in a stock swap transaction valued at $1.838 bil. EPD offered 1.81 common shares per GTM share. Based on EPD's closing stock price of $22.80 on December 12, the last full trading day prior to the announcement, each GTM share was valued at $41.268. Previously, El Paso Corp (EP) acquired the remaining 9.9% stake, which it did not already own, in GulfTerra Energy Co LLC (GTE), a provider of natural gas transmission services, from Goldman Sachs &amp; Co, a unit of Goldman Sachs Group Inc, and EPD acquired a 50% interest in GTE from EP. Concurrently, EPD planned to acquire 9 natural gas processing plants, located in Texas, from EP and EPD definitively agreed to acquire the remaining 50% interest, which it did not already own, in GTE, a provider of natural gas transmission services, from EP.</t>
  </si>
  <si>
    <t>i-Stat Corp</t>
  </si>
  <si>
    <t>US - Abbott Laboratories (AL) acquired all the outstanding common stock of i-Stat Corp (IC), a manufacturer of medical equipment, which it did not already own, for $15. 35 in cash per share, or a total of value of $410.771 mil. Earlier, AL completed its tender offer for IC by accepting 26.668 mil shares, or 90.7% of IC's common shares outstanding, on a fully diluted basis. The offer was conditioned upon at least 13.8% of IC's shares being tendered. The transaction was subject to regulatory approvals and customary closing conditions.</t>
  </si>
  <si>
    <t>Trust Co of New Jersey,NJ</t>
  </si>
  <si>
    <t>US - North Fork Bancorp Inc, Melville, New York (NF) acquired all the outstanding common stock of Trust Co of New Jersey, Jersey City, New Jersey (TC), in a stock swap transaction valued at $736. 044 mil. NF offered 1 common share per TC share. Based on NF's closing stock price of $37.65 on December 15, the last full trading day prior to the announcement, each TC share was valued at $37.65. The transaction was approved by the shareholders and subject to regulatory approvals.</t>
  </si>
  <si>
    <t>Peoples First Inc,Oxford,PA</t>
  </si>
  <si>
    <t>US - National Penn Bancshares Inc, Boyertown, Pennsylvania (NP) acquired Peoples First Inc, Oxford, Pennsylvania (PF), in a stock swap transaction valued at $146.78 mil. NP offered a choice of $49.54 in cash or 1. 505 common shares or a combination of both, per PF share held, subject to proration whereby 30% of PF's stock was to be exchanged for cash. The transaction was subject to PF shareholders approval.</t>
  </si>
  <si>
    <t>Esperion Therapeutics Inc</t>
  </si>
  <si>
    <t>Mnfr,dvlp,market pharma</t>
  </si>
  <si>
    <t>US - Pfizer Inc acquired all the outstanding common stock of Esperion Therapeutics Inc (ET), a manufacturer of pharmaceuticals, for $35 in cash per share, or a total value of $1.281 bil. Earlier, PI completed its tender offer for ET by accepting 35.644 mil shares, or 96.11% of ET's common shares outstanding, on a fully-diluted basis. The offer was conditioned upon at least a majority of ETI's shares being tendered.</t>
  </si>
  <si>
    <t>Guaranty Financial Corp,VA</t>
  </si>
  <si>
    <t>Union Bankshares Corp,VA</t>
  </si>
  <si>
    <t>US - Union Bankshares Corp, Bowling Green, Virginia (UB), acquired Guaranty Financial Corp,Charlottesville, Viriginia (GF), in a stock swap transaction valued at $61.621 mil. UB offered a choice of $28 in cash, or 0. 842 common shares, or combination of both, subject to allocation, such that 60% of GF's stock would be exchanged for UB stock. Based on UB's closing stock price of $30.52 on December 18, the last full trading day prior to the announcement, each GF share was valued at $26.619. The transaction was subject to approval by GF shareholders and regulatory authorities.</t>
  </si>
  <si>
    <t>Lark Technologies Inc</t>
  </si>
  <si>
    <t>Genaissance Pharmaceuticals</t>
  </si>
  <si>
    <t>US - Genaissance Pharmaceuticals Inc (GP) acquired Lark Technologies Inc (LT), a biotechnology company, in a stock swap transaction valued at $21.442 mil. GP offered 1.81 mil common shares per LT share. Based on GP's closing stock price on December 18, the last full trading day prior to the announcement, each LT shares valued at $2.99.</t>
  </si>
  <si>
    <t>Summit America Television Inc</t>
  </si>
  <si>
    <t>Own,op radio,TV stn</t>
  </si>
  <si>
    <t>US - EW Scripps Co acquired a 50.5% interest, or 45 mil fully-diluted common shares in Summit America Television Inc, an owner of television, for $4.05 in cash per share, or a total value of $182.25 mil. The transaction was to include the five television stations and the 30% stake in Shop At Home.</t>
  </si>
  <si>
    <t>First Sentinel Bancorp Inc,NJ</t>
  </si>
  <si>
    <t>Provident Finl Svcs Inc</t>
  </si>
  <si>
    <t>US - Provident Financial Services Inc, Jersey City, New Jersey (PFS), acquired First Sentinel Bancorp, Woodbridge, New Jersey (FSB), in a stock swap transaction valued at $643.925 mil. PFS offered a choice of $22.25 cash, or 1.092 common shares, or a combination of both, subject to allocation, whereby 60% of FSB common stock was to be exchanged for PFS stock. The transaction was subject to stockholder and regulatory approvals.</t>
  </si>
  <si>
    <t>Pacific Union Bank,LA,CA</t>
  </si>
  <si>
    <t>Hanmi Financial Corp</t>
  </si>
  <si>
    <t>US - Hanmi Financial Corp, Los Angeles, California (HFC), acquired a 62% interest, or 6.624 mil common shares, in Pacific Union Bank, Los Angeles, California (PUB), a commercial bank, from Korea Exchange Bank (KEB), a majority-owned unit of Lone Star Fund, for an estimated $164.5 mil in cash. Concurrently, HFC acquired the remaining 38% stake, or 4. 05 mil common shares, which it did not already own, in PUB, in a stock swap transaction. Originally, in November 2003, KEB announced that it was seeking a buyer for its 62% interest in PUB.</t>
  </si>
  <si>
    <t>US - Hanmi Financial Corp, Los Angeles, California (HFC), acquired the remaining 38% stake, or 4.056 mil common shares, which it did not already own, in Pacific Union Bank, Los Angeles, California (PUB), a commercial bank, in a stock swap transaction valued at $134.518 mil. HFC offered 6.12 mil common shares, subject to a collar agreement. The shares were valued based on HFC's closing stock price of $21.98 on December 19, 2003, the last full trading day prior to the announcement. Concurrently, HFC acquired a 62% interest, or 6.624 mil common shares in PUB, from Korea Exchange Bank (KEB), a majority-owned unit of Lone Star Fund. Originally, in November 2003, KEB announced that it was seeking a buyer for its 62% interest in PUB.</t>
  </si>
  <si>
    <t>Rica Foods Inc</t>
  </si>
  <si>
    <t>Own,operate poultry farms</t>
  </si>
  <si>
    <t>Avicola Campesinos Inc</t>
  </si>
  <si>
    <t>Costa Rica</t>
  </si>
  <si>
    <t>US - Avicola Campesinos Inc, a unit of Tenedora GS SA, acquired a 77.2% interest, or 9.933 mil common shares in Rica Foods Inc, an owner and operator of poultry farms, from Mr. Calixto Chaves, Ms. Monica Chaves, Mr. Jose Pablo Chaves, and Comercial Angui, for an estimated $12.5 mil in cash.</t>
  </si>
  <si>
    <t>Duane Reade Inc</t>
  </si>
  <si>
    <t>Rex Corner Holdings LLC</t>
  </si>
  <si>
    <t>US - Rex Corner Holdings LLC (RC), a newly formed investor group, comprised of Oak Hill Capital Partners LP and the management of Duane Reade Inc (DR), acquired all the outstanding common stock of DR, an owner and operator of drug stores, for an amended $16.50 in cash per share, or a total value of $449.042 mil, in a leveraged buyout transaction. Originally, RC offered $17 in cash per share, or a total value of $466.861 mil.</t>
  </si>
  <si>
    <t>Nasdaq Stock Market Inc</t>
  </si>
  <si>
    <t>Pvd stock exchange,trading svc</t>
  </si>
  <si>
    <t>New York Stock Exchange</t>
  </si>
  <si>
    <t>National stock exchange</t>
  </si>
  <si>
    <t>US - New York Stock Exchange was rumored to merge with Nasdaq Stock Market Inc, an owner and operator of a stock exchange. The Current status of this deal is unknown.</t>
  </si>
  <si>
    <t>US - Partners Trust Financial Group Inc (PT) acquired BSB Bancorp Inc, Binghamton, New York (BSB), in a stock swap transaction valued at $344.689 mil. PT offered a choice of $36 in cash or common stock per BSB share, subject to proration whereby 60% of the total consideration was to paid in stock and 40% in cash. The transaction was contingent upon PT completing its conversion into a full capital stock corporation. The transaction was also subject to regulatory and stockholder approvals.</t>
  </si>
  <si>
    <t>BioReliance Corp</t>
  </si>
  <si>
    <t>Pvd biological research svcs</t>
  </si>
  <si>
    <t>US - Invitrogen Corp (IVC) acquired all the outstanding common stock of BioReliance Corp (BRC), a provider of nonclinical testing and contract manufacturing services, for $48 in cash per share, or a total value of $504.326 mil, including the assumption of $70.436 mil in liabilities. Earlier, IVC completed its tender offer for BRC by accepting 8.059 mil common shares, or 96.196% of BRC's common stock outstanding. The offer was conditioned upon at least 51% of BRC's shares being tendered, on a fully diluted basis.</t>
  </si>
  <si>
    <t>US - AES Corp (AES), an electric utility holding company, completed a debt restructuring transaction with creditors (CRs). On completion, CRs holds an undisclosed majority interest in the restructured AES along with the maturity extension of the loan facility until 2011.</t>
  </si>
  <si>
    <t>Boyd Bros Transportation Inc</t>
  </si>
  <si>
    <t>US - A management-led investor group, consisting of Boyd Bros Transportation Inc's (BBT) founder Dempsey Boyd, Gail B. Cooper, president and CEO, Frances S. Boyd, and Ginger B. Tibbs, operating as BBT Acquisition Corp (BBTA), acquired the remaining 28% stake, which it did not already own, in BBT, a trucking company, for a sweetened $9.18 per share, or a total value of $9.712 mil, in a leveraged buyout transaction. Originally, BBTA offered $7 in cash per share, or a total value of $7.102 mil.</t>
  </si>
  <si>
    <t>Gundle/SLT Environmental Inc</t>
  </si>
  <si>
    <t>Mnfr waste containment prods</t>
  </si>
  <si>
    <t>GEO Holdings Corp</t>
  </si>
  <si>
    <t>US - GEO Holdings Corp, an indirect subsidiary of Code Hennessy &amp; Simmons LLC (CHS), acquired all the outstanding common stock of Gundle/SLT Environmental Inc (GSE), a manufacturer of waste containment products, for $18. 50 per share, or a total value of $234.428 mil in cash, in a going private transaction. Upon completion, GSE would be wholly owned by CHS.</t>
  </si>
  <si>
    <t>Mnfr,whl commun equip,sys</t>
  </si>
  <si>
    <t>US - In January 2004, Kohlberg Kravis Roberts &amp; Co announced that it was seeking a buyer for its undisclosed remaining stake in Amphenol Corp, a manufacturer of connectors.</t>
  </si>
  <si>
    <t>Second Bancorp Inc,Warren,OH</t>
  </si>
  <si>
    <t>US - Sky Financial Group Inc, Bowling Green, Ohio (SF), acquired Second Bancorp Inc, Warren, Ohio (SB), in a stock swap transaction valued at $317.068 mil. SF offered 1.26 common shares per SB share held. Based on SF's closing stock price of $25.99 on January 7, the last full trading day prior to the announcement, each SB share was valued at $32.747. The transaction was subject to SB shareholders and regulatory approvals, including completion of customary closing conditions.</t>
  </si>
  <si>
    <t>Falmouth Bancorp Inc,MA</t>
  </si>
  <si>
    <t>US - Independent Bank Corp, Rockland, Massachusetts (IBC), acquired all the outstanding stock of Falmouth Bancorp Inc, Rockland, Massachusetts (FB), in a cash and stock transaction valued at $36.864 mil. IBC offered $38 in cash or 1.28 common shares, per FB share held, subject to allocation, whereby 50% of the outstanding FB stock would be exchanged for cash and the remaining 50% would be exchanged for IBC stock. The transaction was subject to FB shareholders and regulatory approvals.</t>
  </si>
  <si>
    <t>Atlantic Realty Trust</t>
  </si>
  <si>
    <t>US - First Union Real Estate Equity &amp; Mortgage Investment (FUR), a majority-owned unit of Wachovia Corp, Charlotte, North Carolina, withdrew its plans to acquire the remaining 92.5% interest, or 3.295 mil common shares, which it did not already own, in Atlantic Realty Trust (ART) , a real estate investment trust and a majority-owned unit of Ramco Gershenshon Properties Trust, for a sweetened $63.429 mil. FUR offered a choice of $19.25 in cash per share or .8 preferred shares per ART share. Originally, FUR offered $16.25 in cash or .65 preferred shares per ART share, or a total value of $53.536 mil. Subsequently, Kimco Realty Corp acquired all the outsanding stock of ART, via a challenging bid.</t>
  </si>
  <si>
    <t>First SecurityFed Finl Inc,Il</t>
  </si>
  <si>
    <t>MB Financial Inc</t>
  </si>
  <si>
    <t>US - MB Financial Inc, Chicago, Illinois (MBF), merged with First SecurityFed Financial Inc, Chicago, Illinois (FSF), in a stock swap transaction valued at $149.242 mil. MBF offered a choice of $35.25 in cash or common stock, subject to restructuring as an all cash transaction if the value of the stock consideration was less than 40% of the total consideration, and MBF elects not to increase the number of shares issuable in the transaction. The transaction was subject to shareholder and regulatory approvals.</t>
  </si>
  <si>
    <t>NeWave Inc</t>
  </si>
  <si>
    <t>Utah Clay Technology Inc</t>
  </si>
  <si>
    <t>Pvd comml physical research</t>
  </si>
  <si>
    <t>US - Utah Clay Technology Inc (UC) agreed to acquire all the outstanding stock of NeWave Inc, a provider of ecommerce retail services, for $0.245 mil. The consideration was to consist of 9.5 mil UC shares valued at $0.095 mil and the reduction of $0.15 mil in debt. The shares were valued based on UC's closing stock price of $0.01 on January 09, the last full trading day prior to the announcement. Upon completion, UC was to be named NeWave Inc.</t>
  </si>
  <si>
    <t>Optika Inc</t>
  </si>
  <si>
    <t>Dvlp entrp mgmt software</t>
  </si>
  <si>
    <t>Stellent Inc</t>
  </si>
  <si>
    <t>US - Stellent Inc (SI) acquired all the outstanding common stock of Optika Inc (OI), a developer of enterprise content management software, in a stock swap transaction valued at $62.057 mil. The consideration consisted of an aggregate $10 mil in cash and .44 SI common shares per OI share. Based on SI's closing stock price of $10.29 on January 9, the last full trading day prior to the announcement, each OI share was valued at $4.528. The transaction was subject to shareholders and regulatory approvals.</t>
  </si>
  <si>
    <t>TheraSense Inc</t>
  </si>
  <si>
    <t>Mnfr,whl glucose testing sys</t>
  </si>
  <si>
    <t>US - Abbott Laboratories acquired all the outstanding common stock of TheraSense Inc, a manufacturer and wholesaler of glucose testing systems, for $27 in cash per share, or a total value of $1. 243 bil.</t>
  </si>
  <si>
    <t>US - JP Morgan Chase &amp; Co (JPM) merged with Bank One Corp, Chicago, Illinois (BO), in a stock swap transaction valued at $58.577 bil. JPM offered 1.32 common shares per BO share held. Based on JPM's closing stock price of $38.9 on January 13, the last full trading day prior to the announcement, each BO share was valued at $51.348. The transaction was subject to shareholders and regulatory approvals. On completion, the merged entity retained JPM's name. Corporate headquarters was relocated to New York, while the retail financial services business was headquartered in Chicago.</t>
  </si>
  <si>
    <t>HCB Bancshares Inc,Camden,AR</t>
  </si>
  <si>
    <t>Rock Bancshares Inc,Camden,AR</t>
  </si>
  <si>
    <t>US- Rock Bancshares Inc, Camden, Arkansas, acquired all the outstanding common stock of HCB Bancshares Inc, Camden, Arkansas, a bank holding company, for $18.63 in cash per share, or a total value of $28.392 mil, in a going private transaction. The price per share was subject to an adjustment to $18.62 in cash per share if transaction was consummated before July 31, or $18.61 if consummated before June 30.</t>
  </si>
  <si>
    <t>Heritage Bancshares Inc,TX</t>
  </si>
  <si>
    <t>HGroup Acquisition Co</t>
  </si>
  <si>
    <t>US - HGroup Acquisition Co acquired all the outstanding common stock of Heritage Bancshares Inc, Terrell, Texas, a savings and loan, for $26.25 in cash per share, or a total value of $12.423 mil, in a going private transaction.</t>
  </si>
  <si>
    <t>Phosphate Resource Partners LP</t>
  </si>
  <si>
    <t>Phosphate mining</t>
  </si>
  <si>
    <t>US - IMC Global Inc (IMC) acquired the remaining 48.42% stake, or 50.115 mil common shares, which it did not already own in Phosphate Resources Partners LP (PR), a phosphate mining company, in a stock swap transaction valued at $110.653 mil. IMC offered .2 common shares per PR share held. The transaction was subject to regulatory approval and customary closing conditions.</t>
  </si>
  <si>
    <t>Whl pharm,medical supplies</t>
  </si>
  <si>
    <t>US - McKesson Corp acquired all the outstanding common stock of Moore Medical Corp (MMC), a wholesaler of pharmaceutical and surgical supplies, for $12 in cash per share, or a total value of $39.039 mil. Completion of the transaction was to be contingent upon MMC shareholder approval. Subsequently, SJ Strategic Investments LLC withdrew its unsolicited bid to acquire MMC. Furthermore, in February 2004, signed a letter of intent to merge with MMC, in a challenging bid.</t>
  </si>
  <si>
    <t>CNB Florida Bancshares Inc,FL</t>
  </si>
  <si>
    <t>US - South Financial Group Inc, Greenville, South Carolina (SF), acquired CNB Florida Bancshares Inc, Jacksonville, Florida (CF), in a stock swap transaction valued at $161.234 mil. SF offered .84 common shares per CF share. Based on SF's closing stock price of $28.7 on January 20, the last full trading day prior to the announcement, each CF share was valued at $24.108. The transaction was subject to regulatory and shareholder approval.</t>
  </si>
  <si>
    <t>SJ Strategic Investments LLC</t>
  </si>
  <si>
    <t>US - SJ Strategic Investments LLC (SSI) withdrew its unsolicited bid to acquire the remaining 90. 21% interest, which it did not already own, in Moore Medical Corp (MM), a wholesaler of pharmaceuticals and medical and surgical supplies, for $15 in cash per share, or a total value of $44.648 mil. Previously, McKesson Corp definitively agreed to acquire all the outstanding common stock of MM. Subsequently, Clinical Data Inc signed a letter of intent to acquire all the outstanding stock of MM in a challenging offer.</t>
  </si>
  <si>
    <t>Sequoia Interests Corp</t>
  </si>
  <si>
    <t>Sequoia Interests Inc</t>
  </si>
  <si>
    <t>US - Sequoia Interests Inc acquired an undisclosed majority interest in Argent Capital Corp, Nashville, Tennessee (AC). On completion, AC was to be renamed Sequoia Interests Corp.</t>
  </si>
  <si>
    <t>Great Lakes REIT Inc</t>
  </si>
  <si>
    <t>Aslan Realty Partners II LP</t>
  </si>
  <si>
    <t>US - Aslan Realty Partners II LP (AR), a unit of Transwestern Investment Co LLC, acquired all the outstanding common stock of Great Lakes REIT (GL), a real estate investment trust, for a sweetened $15.65 in cash per share, or a total value of $251.762 mil. Originally, AR offered $14.98 in cash per share, or a total value of $240.983 mil. Previously, LaSalle Investment Management, a unit of Jones Lang LaSalle, acquired the medical office buildings of GL and an investor group, comprised of Fortis Asset Management and University of Minnesota acquired the Minnesota assets of GL.</t>
  </si>
  <si>
    <t>US - International Bancshares Corp, Laredo, Texas (IBC), acquired all the outstanding common stock of Local Financial Corp, Oklahoma, Oklahoma (LFC), for $386.433 mil. IBC offered a choice of $22 in cash or common stock per LFC share, subject to allocation such that 25% of LFC stock be exchanged for IBC stock and 75% of LFC stock be exchanged for cash. The transaction was subject to approval by regulatory authorities and customary closing conditions.</t>
  </si>
  <si>
    <t>T-Netix Inc</t>
  </si>
  <si>
    <t>Pvd prison cell comm svcs</t>
  </si>
  <si>
    <t>TZ Holdings Inc</t>
  </si>
  <si>
    <t>US - HIG Capital LLC (HIG), through a newly-created acquisition vehicle, TZ Holdings Inc, acquired all the outstanding common stock of T Netix Inc (TN), a provider of communications services to the corrections industry, for $4.60 in cash per share, or a total value of $74.177 mil. Earlier, HIG completed its tender offer for TN by accepting 13.537 mil shares, or 89.9% of TN's common shares outstanding. The offer was conditioned upon at least a majority of TN's shares being tendered.</t>
  </si>
  <si>
    <t>Freemarkets Inc</t>
  </si>
  <si>
    <t>US - Ariba Inc (ARBA) acquired all the outstanding common stock of FreeMarkets Inc (FMKT), a provider of supply management solutions services, in a stock swap transaction valued at USD 488. 851 mil. ARBA offered USD 2 in cash and 2.25 ARBA common shares per share held. Based on ARBA's closing stock price of USD 3.7 on January 22, the last full trading day prior to the announcement, each FMKT share was valued at USD 10.325.</t>
  </si>
  <si>
    <t>Regions Financial Corp</t>
  </si>
  <si>
    <t>US - Regions Financial Corp (RF), Birmingham, Alabama, merged with Union Planters Corp (UPC), Memphis, Tennessee, a commercial bank holding company, to form New Co (NC) in a stock swap transaction valued at $5.846 bil. UPC common shareholders were to receive 1 NC common share and RF common shareholders were to receive 1.2346 NC common shares per share held. Based on RF's closing stock price of $37.75 on January 22, the last full trading day prior to announcement, each UPC share was valued at $30.577. The newly formed company retained the RF name and was headquartered in Birmingham, Alabama.</t>
  </si>
  <si>
    <t>US - Sovereign Bancorp Inc (SOV), Philadelphia, Pennsylvania, acquired all the outstanding common stock of Seacoast Financial Services Corp (SCFS), New Bedford, Massachusetts, a savings bank holding company, in a stock swap transaction valued at $932.083 mil. SOV offered $35 in cash or common stock per SCFS share held, subject to a collar agreement, whereby shareholders had a choice to receive all cash, all common stock or a combination of cash and common stock, subject to proration, whereby no more than 25% of the consideration was to be paid in cash and no more than 75% of the consideration was to be paid in common stock. Originally, SOV offered 1.461 common shares per SCFS share, subject to a collar agreement. Based on SOV's closing stock price of $24.18 on January 23, the last full trading day prior to announcement, each SCFS was valued at $35.327.</t>
  </si>
  <si>
    <t>Lawrence Weissberg Revocable</t>
  </si>
  <si>
    <t>Trusts</t>
  </si>
  <si>
    <t>US - Lawrence Weissberg Revocable Living Trust (LW) acquired the remaining 48. 563% stake, or 0.641 mil Class A and Class B common shares of Dover Investments Corp (DI), a real estate development firm, for a twice- sweetened $31.3 in cash per share, or a total value of $21.213 mil. Earlier, LW completed its tender offer for DI by accepting .491 mil shares or 37.33% of DI's common shares outstanding. Previously, LW offered a sweetened $30.5 in cash per share, or a total value of $20.702 mil, in a going private transaction. Originally, LW offered $24.5 in cash per share, or a total value of $16.445 mil. The transaction was conditioned upon at least 90% of DI shares being tendered.</t>
  </si>
  <si>
    <t>Hawthorne Financial Corp,CA</t>
  </si>
  <si>
    <t>Coml Capital Bancorp Inc,CA</t>
  </si>
  <si>
    <t>US - Commercial Capital Bancorp Inc, Irvine, California (CCB), acquired Hawthorne Financial Corp, El Segundo, California (HFC), in a stock swap transaction valued at $758.063 mil. CCB offered 1.45 common shares per HFC share held. Based on CCB's closing stock price of $30.5 on January 26, the last full trading day prior to the announcement, each HFC share was valued at $44.225. On completion of CCB's 4-for-3 stock split, the consideration offered was adjusted to 1.9333 CCS common shares per HFC share.</t>
  </si>
  <si>
    <t>Cargill Crop Nutrition</t>
  </si>
  <si>
    <t>Mnfr,whl phosphate fertilizers</t>
  </si>
  <si>
    <t>US - Cargill Crop Nutrition, a unit of Cargill Inc (CI), merged with IMC Global Inc (IMC), a manufacturer of phosphate fertilizers, to form Mosaic Co (MSC) in a stock swap transaction valued at $1.746 bil. IMC shareholders received 1 MSC common share per common share held, and 1 MSC convertible preferred share per IMC convertible preferred share held. The shares were valued based on MSC's closing stock price of $15.00 on October 26th, the first full trading day in which new company operated. Upon completion, CI shareholders held 66.5% and IMC shareholders held 33.5% of the outstanding common stock of MSC. To offset any dilution to CI's ownership from the conversion of MSC's preferred stock, CI also was to receive 5.459 mil MSC Class B common shares, which would be convertible into MSC common stock upon conversion of MSC's preferred stock.</t>
  </si>
  <si>
    <t>Green Valley Acquisition Co</t>
  </si>
  <si>
    <t>US - Green Valley Acquisition Co LLC merged with Uni-Marts Inc, an owner and operator of convenience stores, for $2.25 in cash per share, or a total value of $16.454 mil.</t>
  </si>
  <si>
    <t>Unizan Financial Corp,OH</t>
  </si>
  <si>
    <t>US - Huntington Bancshares Inc, Columbus, Ohio (HB), merged with Unizan Financial Corp, Canton, Ohio (UF), in a stock swap transaction valued at $577.195 mil. HB offered 1. 1424 common shares per UF share held. Based on HB's closing stock price of $23.1 on January 26, the last full trading day prior to the announcement, each UF share was valued at $26.389. The transaction had been subject to customary regulatory approvals, including UF shareholder approval.</t>
  </si>
  <si>
    <t>Sanchez Computer Assoc Inc</t>
  </si>
  <si>
    <t>US - Fidelity National Financial Inc (FN) acquired Sanchez Computer Associates Inc (SC), a developer of integrated software solutions and services for financial institutions, in a stock swap transaction valued at $182. 197 mil. FN offered a choice of $6.5 in cash or common stock, or combination of both per SC share, subject to proration, whereby, the cash consideration and the stock consideration were 50% each of the total consideration. The transaction was subject to customary closing conditions, shareholder approval and regulatory review.</t>
  </si>
  <si>
    <t>WorkFlow Management Inc</t>
  </si>
  <si>
    <t>Pvd commerical printing svcs</t>
  </si>
  <si>
    <t>US - An investor group (IG), comprised of Renaissance Group LLC and Perseus LLC, acquired all the outstanding common stock of Workflow Management Inc, a provider of commercial printing of documents and envelopes and graphic arts services, for a twice-sweetened $5.56 in cash per share, or a total value of $74.583 mil, in a going private transaction. Previously, IG offered a sweetened $5.375 in cash per share, or a total value of $72.319 mil. Originally, IG offered $4.87 in cash per share, or a total value of $65.499 mil. The transaction was subject to the approval or shareholders.</t>
  </si>
  <si>
    <t>Equity Oil Co</t>
  </si>
  <si>
    <t>Oil,gas expl,prodn;hldg co</t>
  </si>
  <si>
    <t>US - Whiting Petroleum Corp (WP) acquired Equity Oil Co (EO), an oil and gas exploration and production company, in a stock swap transaction valued at $44.517 mil, including the assumption of an estimated $29 mil in liabilities. WP offered .185 common shares per EO share. Based on WP's closing stock price of $19.24 on January 30, the last full trading day prior to the announcement, each EO share was valued at $3.559. On completion, WP and EO shareholders were to own approximately 88.4% and 11.6% of the combined company, respectively. Additionally, on completion, EO became a wholly-owned subsidiary of WP&gt; The transaction was subject to shareholder approval and other closing conditions.</t>
  </si>
  <si>
    <t>Caraco Pharmaceutical Labs Ltd</t>
  </si>
  <si>
    <t>Sun Pharmaceutical Inds Ltd</t>
  </si>
  <si>
    <t>Manufacture,wholesale pharmaceutical products</t>
  </si>
  <si>
    <t>US - Sun Pharmaceutical Industries Ltd (SP) raise its interest to 60% from 44%, by acquiring a 16% stake, or 3. 93 mil common shares in Caraco Pharmaceutical Laboratories Ltd (CP), a Detroit-based manufacturer of pharmaceuticals, for USD 9 per share, or a total estimated value of USD 42 mil.</t>
  </si>
  <si>
    <t>Cable Design Technologies Corp</t>
  </si>
  <si>
    <t>Mnfr transmission cables</t>
  </si>
  <si>
    <t>Belden Inc</t>
  </si>
  <si>
    <t>Mnfr wire,cable and cord prods</t>
  </si>
  <si>
    <t>US - Belden Inc (BI) merged with Cable Design Technologies Corp (CD), a manufacturer of electronic data transmission cables, in a stock swap transaction valued at $541.816 mil. BI offered .5 common shares per CD share. Based on BI's closing stock price of $19.90 on February 4, the last full trading day prior to the announcement, each CD share was valued at $9.95. Upon completion, the newly formed entity was named Belden CDT Inc (BCI), and was to execute a one-for-two reverse stock split. BI shareholders were to hold 55% and CD shareholders were to hold 45% in BCI.</t>
  </si>
  <si>
    <t>Lannett Co Inc</t>
  </si>
  <si>
    <t>Perrigo Co</t>
  </si>
  <si>
    <t>US - Perrigo Co acquired a 67. 71% interest or 13.582 mil common shares of Lannett Co, a manufacturer and wholesaler of prescription pharmaceuticals, for an estimated $14.56 in cash per share, or a total value of $197.8 mil.</t>
  </si>
  <si>
    <t>Novadigm Inc</t>
  </si>
  <si>
    <t>Pvd technology solutions svcs</t>
  </si>
  <si>
    <t>Hewlett Packard Co</t>
  </si>
  <si>
    <t>Mnfr,whl computer equipment</t>
  </si>
  <si>
    <t>US - Hewlett-Packard Co (HP) acquired the remaining 93.77% interest, or 17.91 mil common shares, which it did not already own in Novadigm Inc (ND), a provider of technology solutions services, for $6.1 in cash per share, or a total value of $114.942 mil. The transaction was subject to approval of ND's stockholders and the applicable Hart-Scott-Rodino anti-trust review. Concurrently, HP agreed to acquire Consera Software.</t>
  </si>
  <si>
    <t>Rainbow Rentals</t>
  </si>
  <si>
    <t>Pvd rental equip,leasing svcs</t>
  </si>
  <si>
    <t>Rent-A-Center Inc</t>
  </si>
  <si>
    <t>Provides electronic rental services</t>
  </si>
  <si>
    <t>US - Rent-A-Center Inc, a unit of EMI Group PLC, acquired all the outstanding common stock of Rainbow Rentals Inc, a provider of rental equipment and leasing services, for $16 in cash per share, or a total value of $98.891 mil. The transaction was subject to regulatory and shareholder approval and other customary closing conditions.</t>
  </si>
  <si>
    <t>US - SouthTrust Corp (ST), Birmingham, Alabama acquired FloridaFirst Bancorp Inc (FB), Lakeland, Florida, in a stock swap transaction valued at $154.242 mil. ST offered a choice of $27.12 in cash or common stock per FB share. The transaction was subject to shareholders and regulatory approvals. The transaction was to include FB's subsidiary, FloridaFirst Bank.</t>
  </si>
  <si>
    <t>US - An investor group led by Chairman and CEO James R. Tennant withdrew from definitive agreement to acquire all the outstanding common stock of Home Products International Inc, a manufacturer and wholesaler of houseware and home improvement products, for $1. 5 in cash per share, or a total value of $11.798 mil, in a going private, leveraged buyout transaction.</t>
  </si>
  <si>
    <t>NetScreen Technologies Inc</t>
  </si>
  <si>
    <t>Pvd network sec svcs</t>
  </si>
  <si>
    <t>Juniper Networks Inc</t>
  </si>
  <si>
    <t>Mnfr,whl internet management equip</t>
  </si>
  <si>
    <t>US - Juniper Networks Inc (JNI) acquired all the outstanding common stock of NetScreen Technologies Inc (NST), a provider of network security services, in a stock swap transaction valued at $4. 173 bil. JNI offered 1.404 common shares per NST share. Based on JNI's closing stock price of $29.47 on February 6, 2004, the last full trading day prior to the announcement, each NST share was valued at $41.38.</t>
  </si>
  <si>
    <t>Blue Rhino Corp</t>
  </si>
  <si>
    <t>Pvd grill cylinder exchanges</t>
  </si>
  <si>
    <t>Ferrellgas Partners LP</t>
  </si>
  <si>
    <t>Retail propane gas</t>
  </si>
  <si>
    <t>US - Ferrellgas Partners LP acquired all the oustanding common stock of Blue Rhino Corp (BR), a provider of grill cylinder exchanges services, from Ferrell Cos Inc, for $17 in cash per share, or a total value of $350.19 mil. The transaction was subject to regulatory, BR shareholders and Hart Scott Rodino Act approvals.</t>
  </si>
  <si>
    <t>Universal Guardian Holdings</t>
  </si>
  <si>
    <t>Pvd sec svcs</t>
  </si>
  <si>
    <t>Markland Technologies Inc</t>
  </si>
  <si>
    <t>Mnfr sec solutions</t>
  </si>
  <si>
    <t>US - Markland Technologies Inc (MT) withdrew its plann to merge with Universal Guardian Holdings Inc (UG), a developer of surveillance platform and integrated security software, in a stock swap transaction valued at $24.418 mil. MT oferred 1 common shares and $.62 convertible preferred stock per 2.7 UG shares. The shares were valued based on MT's closing stock price of $2.3 on February 9, the last full trading day prior to the announcement.</t>
  </si>
  <si>
    <t>ChipPAC Inc</t>
  </si>
  <si>
    <t>ST Assembly Test Services Ltd</t>
  </si>
  <si>
    <t>Mnfr semiconductor test equip</t>
  </si>
  <si>
    <t>US - ST Assembly Test Services Ltd (SA) merged with ChipPAC Inc (CI), a manufacturer of semiconductors, in a stock swap transaction valued at $1. 459 bil. SA offered .87 ADR shares per CI share. Based on SA's closing stock price of $13.34 on February 9, the last full trading day prior to announcement, each CI share was valued at $11.606. On completion, SA shareholders owned 54%, and CI shareholders owned 46% of the combined company which was named STATS ChipPAC Ltd. The deal was to include CI's Shanghai plant and factories in Malaysia and South Korea.</t>
  </si>
  <si>
    <t>Pvd ent,media,info svcs</t>
  </si>
  <si>
    <t>Provide cable TV services</t>
  </si>
  <si>
    <t>US - Comcast Corp (CMC) withdrew its plans to merge with Walt Disney Co (DIS) in an unsolicited, hostile stock swap transaction valued at $66.755 bil, including the assumption of $11.9 bil in liabilities. CMC offered .78 Class A common shares per DIS share. Based on CMC's closing stock price of $33.93 on February 10, the last full trading day prior to the announcement, each DIS share was valued at $26.465. Upon completion, CMC shareholders were to own 58%, and DIS shareholders were to own 42%, of the combined company.</t>
  </si>
  <si>
    <t>Nuevo Energy Co</t>
  </si>
  <si>
    <t>US - Plains Exploration &amp; Production Co (PEP) acquired all the outstanding common stock of Nuevo Energy Co (NEC) , an oil and gas exploration and production company, in a stock swap transaction valued at $866.837 mil, including the assumption of $234 mil in liabilities. PEP offered 1. 765 common shares per NEC share. Based on PEP's closing stock price of $15.89 on February 11, the last full trading day prior to the announcement, each NEC share was valued at $28.046. The transaction was subject to the approval of stockholders and regulatory authorities. Upon completion, PEP shareholders were to own 53% interest and NEC a 47% stake in the combined company.</t>
  </si>
  <si>
    <t>US - An investor group (IG), comprised of Pershing Square LP and Leucadia National Corp, withdrew its unsolicited challenging bid to acquire all the outstanding common stock of Plains Resources Inc (PR), an oil and gas exploration and production company, for a sweetened $481. 552 mil. IG offered $1.19 in cash and $17 in notes per PR share. Previously, IG offered $3 cash and $14.6 in note per PR share. Originally, a management led-investor group comprised of PR Chairman James C. Flores, CEO and President John T. Raymond and Vulcan Capital Management definitively agreed to acquire all the outstanding common stock of PR, in a going private transaction.</t>
  </si>
  <si>
    <t>US - DLJ Merchant Banking Partners III LP, a unit of the Credit Suisse First Boston USA Inc subsidiary of CS First Boston Group Inc's (CFBG) Credit Suisse First Boston unit, withdrew its agreement to acquire a 65% interest, or 19.44 mil common shares, in Trump Hotels &amp; Casino Resorts Inc, an owner and operator of hotels and casinos, for $400 mil in cash. CFBG was a unit of Credit Suisse Group. Upon completion, the company was to be renamed Trump International Corp.</t>
  </si>
  <si>
    <t>SunLink Health Systems Inc</t>
  </si>
  <si>
    <t>Attentus Healthcare Corp</t>
  </si>
  <si>
    <t>US - Attentus Healthcare Corp made an unsolocited bid to acquire all the outstanding common stock of SunLink Health Systems Inc, an owner and operator of hospitals, for $4 in cash per share, or a total value of $26.998 mil.</t>
  </si>
  <si>
    <t>Butler Manufacturing Co</t>
  </si>
  <si>
    <t>Mnfr prefabricated metal bldgs</t>
  </si>
  <si>
    <t>BlueScope Steel Ltd</t>
  </si>
  <si>
    <t>US - BlueScope Steel Ltd acquired all the outstanding common stock of Butler Manufacturing Co, a manufacturer of prefabricated metal buildings, for $22.5 in cash per share, or a total value of $142.62 mil. The transaction was approved by the regulatory authorities. Subsequently, Robertson-Ceco Corp, a unit of Hieco Cos LLC, made an unsolicited challenging bid to acquire all the outstanding common stock of BM.</t>
  </si>
  <si>
    <t>US - North Fork Bancorp Inc (NFB), Melville, New York, acquired GreenPoint Financial Corp (GPT), New York, New York, a bank holding company, in a stock swap transaction valued at $6.27 bil. NFB offered 1.0514 common shares per GPT share. Based on NFB's closing stock price of $43.75 on February 13, the last full trading day prior to the announcement, each GPT share was valued at $45.999. Originally, in February 2004, GPT was rumored to be seeking a buyer for the company.</t>
  </si>
  <si>
    <t>Cingular Wireless LLC</t>
  </si>
  <si>
    <t>US - Cingular Wireless (CWL), a joint venture between Bellsouth Corp and SBC Communications Inc, acquired all the outstanding common stock of AT&amp;T Wireless Services Inc (AWS), a provider of cellular telecommunications services, for $15 in cash per share, or a total value of $41.005 bil. The transaction included a 16% stake held by NTT DoCoMo Inc. Previously, CWL, Vodafone Plc and NTT DoCoMo Inc were rumored to be in negotiations to acquire AWS. Originally in January 2004, AWS announced it was seeking a buyer for the company.</t>
  </si>
  <si>
    <t>Community Bancorp of NJ,NJ</t>
  </si>
  <si>
    <t>Sun Bancorp Inc,Vineland,NJ</t>
  </si>
  <si>
    <t>Provides consumer and business banking services</t>
  </si>
  <si>
    <t>US - Sun Bancorp Inc, Vineland, New Jersey, acquire Community Bancorp of New Jersey, Freehold, New Jersey, in a stock swap transaction valued at $83.634 mil. SB offered 0.83 common shares per CB share held. Based on SB's closing stock price of $26.93 on February 16, the last full trading day prior to the announcement, each CB share was valued at $22.352. The transaction was subject to shareholder and regulatory approvals.</t>
  </si>
  <si>
    <t>Hillman Cos Inc</t>
  </si>
  <si>
    <t>CHS Capital LLC</t>
  </si>
  <si>
    <t>US - Code Hennessy &amp; Simmons LLC acquired all the outstanding common stock of Hillman Cos Inc (Hillman), a manufacturer of key making equipment and a majority owned unit of Allied Capital Corp, for an estimated $510 mil in cash in a going private leveraged buyout transaction. Subsequently, Oak Hill Capital Partners LP, including Hillman's management, acquired the entire share capital of Hillman in a secondary buyout transaction.</t>
  </si>
  <si>
    <t>US - National City Corp, Cleveland, Ohio (NCC) acquired Provident Financial Group Inc, Cincinnati, Ohio (PFG), a commercial bank holding company, in a stock swap transaction valued at $2. 088 bil. NCC offered 1.135 common shares per PFG share. Based on NCC's closing stock price of $35.39 on February 13, the last full trading day prior to announcement, each PFG share was valued at $40. 168.</t>
  </si>
  <si>
    <t>Creative Host Services Inc</t>
  </si>
  <si>
    <t>Own,operate food concessions</t>
  </si>
  <si>
    <t>Compass Group USA Invest LLP</t>
  </si>
  <si>
    <t>US - Compass Group USA Investments LLP (CG), a unit of Compass Group PLC, acquired all the outstanding common stock of Creative Host Services Inc (CHS), an owner and operator of food concessions, for $3.40 in cash per share, or a total value of $33.061 mil. Earlier, CG completed its tender offer for CHS by accepting 8. 637 mil shares, or 89.08% of CHS' common shares outstanding. The offer was conditioned upon at least 90% of CHS' shares being tendered. The transaction was subject to customary conditions.</t>
  </si>
  <si>
    <t>Johnson Outdoors Inc</t>
  </si>
  <si>
    <t>JO Acquisition Corp</t>
  </si>
  <si>
    <t>US - JO Acquisition Corp (JA) , a company formed by the family of CEO Helen P. Johnson-Leipold, withdrew its definitive agreement to acquire the remaining 44% stake, or 3.814 mil common shares, which it did not already own in Johnson Outdoors Inc, a manufacturer and wholesaler of outdoor recreational products, for a sweetened $20.10 in cash per share, or a total value of $89.870 mil, in a leveraged buyout transaction. Originally, JA offered $18 in cash per share, or a total value of $75.186 mil. The transaction was subject to customary closing conditions, shareholder and regulatory approval.</t>
  </si>
  <si>
    <t>Trover Solutions Inc</t>
  </si>
  <si>
    <t>Pvd subrogation recovery svcs</t>
  </si>
  <si>
    <t>TSI Holding Co Inc</t>
  </si>
  <si>
    <t>US - TSI Holdings Co Inc acquired all the outstanding common stock of Trover Solutions Inc, a provider of subrogation recovery services, for $7 in cash per share, or a total value of $60.443 mil. The transaction was subject to customary closing conditions and shareholder approval.</t>
  </si>
  <si>
    <t>Monolithic System Tech Inc</t>
  </si>
  <si>
    <t>Dvlp memory tech for semicon</t>
  </si>
  <si>
    <t>US - Synopsys Inc (SI) withdrew its tender offer to acquire Monolithic System Technology Inc (MS), a developer of innovative memory technologies for semiconductors, in a stock swap transaction valued at $437.144 mil. SI offered 6.25 in cash and $6.25 in common stock per MS share. The transaction was subject to regulatory approvals and certain conditions. Concurrently, SI acquired Accelerant Networks.</t>
  </si>
  <si>
    <t>NPTest Holding Corp</t>
  </si>
  <si>
    <t>Mnfr semiconductor sys</t>
  </si>
  <si>
    <t>US - Credence Systems Corp (CSC) acquired all the outstanding common stock of NPTest Holding Corp (NP), a manufacturer of semiconductor systems, in a stock swap transaction valued at $662.39 mil. CSC offered $5.75 in cash and .80 common shares per NP share. Based on CSC's closing stock price of $12.77 on February 20, the last full trading day prior to the announcement, each NP share was valued at $15.966.</t>
  </si>
  <si>
    <t>Oglebay Norton Co</t>
  </si>
  <si>
    <t>US - Oglebay Norton Co, a limestone mining company, completed its debt restructuring with bondholders.</t>
  </si>
  <si>
    <t>Trinity Learning Corp</t>
  </si>
  <si>
    <t>Dvlp educ software</t>
  </si>
  <si>
    <t>ProsoftTraining</t>
  </si>
  <si>
    <t>Pvd ICTcurriculum svcs</t>
  </si>
  <si>
    <t>US - ProsoftTraining (PT) withdrew from its agreement to merge with Trinity Learning Corp (TL), a developer of educational software, in a stock swap transaction valued at $22.232 mil. PT offered 1 common share per TL share. Based on PT's closing stock price of $0.69 on February 20, the last full trading day prior to the announcement, each TL share was valued at $0.69. The transaction was duly approved by the board of directors of TL and PT and was subject to regulatory and shareholder approval. Upon completion of the reverse takeover transaction, the shareholders of TL were to own a majority interest in the company and merged entity was to be renamed TL.</t>
  </si>
  <si>
    <t>Golden State Vintners Inc</t>
  </si>
  <si>
    <t>Produce beverages</t>
  </si>
  <si>
    <t>US - A management-led investor group (IG), including CEO Jeffrey B. O'Neill, withdrew its plans to acquire all the outstanding common stock of Golden State Vintners Inc (GS) , a producer of beverages, for a twice-sweetened $7.80 in cash per share, or a total value of $77.447 mil, in a going private leveraged buyout transaction. Previously, the IG offered a sweetened $7.25 in cash per share, or a total value of $71.937 mil. Originally, the IG offered $6.85 in cash per share, or a total value of $67.733 mil. Concurrently, Wine Group LLC acquired all the outstanding common stock of GS.</t>
  </si>
  <si>
    <t>Clinical Data Inc</t>
  </si>
  <si>
    <t>US - Clinical Data Inc (CDI) withdrew its signed letter of intent to merge with Moore Medical Corp (MMC), a wholesaler of pharmaceutical and surgical supplies, in a challenging stock swap transaction valued at $56.238 mil. CDI offered .698 common shares per MMC share. Based on CDI's closing stock price of $22.7 on February 23, the last full trading day prior to the announcement, each MMC share was valued at $15.845. The transaction was subject to all required approvals and completion of due diligence. Previously, McKesson Corp definitively agreed to acquire all the outstanding common stock of MMC. Subsequently, SJ Strategic Investments LLC withdrew its unsolicited offer to acquire the remaining 90.21% interest, which it did not already own, in MMC.</t>
  </si>
  <si>
    <t>Silver Acquisition Corp</t>
  </si>
  <si>
    <t>US - Silver Acquisition Corp, an acquisition vehicle formed by DLJ Merchant Banking Inc, a unit of Credit Suisse Group's Credit Suisse First Boston subsidiary, and Cypress Group LLC, withdrew its definitive merger agreement with Gold Banc Corp Inc, Leawood, Kansas, for $16. 6 in cash per share, or a total value of $667.895 mil. The transaction was subject to shareholder and regulatory approval.</t>
  </si>
  <si>
    <t>Investors First Fund Inc</t>
  </si>
  <si>
    <t>Cornerstone Strategic Value</t>
  </si>
  <si>
    <t>US - Cornerstone Strategic Value Fund Inc (CS) merged with Investors First Fund Inc, a closed-end investment fund, in a stock swap transaction. Concurrently, CS planned to merge withProgressive Return Fund Inc. The transactions were subject to shareholer approval.</t>
  </si>
  <si>
    <t>US - Jones Apparel Group Inc (JA) acquired all the outstanding common stock of Maxwell Shoe Co Inc (MSC) a manufacturer and wholesaler of casual and dress footwear, for a twice-sweetened $23.25 in cash per share or a total value 368.962 mil. Earlier, JA completed its tender offer for MSC by accepting 13.9 mil or 93.4% of MSC's common shares outstanding. Previously, JA launched an unsolicited hostile tender offer of a sweetened $22.5 in cash per share, or a total value of $352.741 mil. Originally, JA offered $20 in cash per share, or a total value $315.646. The offer was conditioned upon at least a majority of MSC's shares being tendered.</t>
  </si>
  <si>
    <t>Progressive Return Fund Inc</t>
  </si>
  <si>
    <t>US - Cornerstone Strategic Value Fund Inc (CS) planned to merge with Progressive Return Fund Inc, a closed-end investment fund, in a stock swap transaction. Concurrently, CS planned to merge with Investors First Fund Inc. The transactions were subject to shareholer approval.</t>
  </si>
  <si>
    <t>ILEX Oncology Inc</t>
  </si>
  <si>
    <t>Mnfr pharmaceutical for cancer</t>
  </si>
  <si>
    <t>US - Genzyme Corp (GC) acquired all the outstanding common stock of ILEX Oncology Inc (IO), a manufacturer of oncology-focused pharmaceuticals, in a stock swap transaction valued at $1. 05 bil. GC offered $26.00 in common stock per IO share held, subject to a collar agreement. The transaction was subject to clearance under the Hart-Scott-Rodino Antitrust Improvements Act and IO shareholder approval.</t>
  </si>
  <si>
    <t>Guilford Mills Inc</t>
  </si>
  <si>
    <t>Manufacture,whl fabrics</t>
  </si>
  <si>
    <t>US - Cerberus Capital Management LP (CCM) acquired all the outstanding common stock of Guilford Mills Inc (GMI), a manufacturer and wholesaler of fabrics, for $19 in cash per share, or a total value of $106.725 mil. Earlier, CCM completed its tender offer for GMI by accepting 5.162 mil shares, or 93.8% of GMI's common shares outstanding. The offer was conditioned upon at least a majority of GMI's shares being tendered.</t>
  </si>
  <si>
    <t>Landacorp Inc</t>
  </si>
  <si>
    <t>Pvd healthcare mgmt solutions</t>
  </si>
  <si>
    <t>SHPS Holdings Inc</t>
  </si>
  <si>
    <t>Provide employee benefit services</t>
  </si>
  <si>
    <t>US - SHPS Holdings Inc, a unit of Welsh Carson Anderson &amp; Stowe Co,merged with Landacorp Inc, a provider of healthcare management solutions, for an estimated $56 mil. The transaction was subject to regulatory approval as well as other customary conditions.</t>
  </si>
  <si>
    <t>St Landry Financial Corp,LA</t>
  </si>
  <si>
    <t>Teche Holding Co,New Iberia,LA</t>
  </si>
  <si>
    <t>US - Teche Holding Co, Franklin, Louisiana, acquired all the outstanding common stock of St Landry Financial Corp (SL), Opelousas, Louisiana, a savings and loan holding company for First Federal savings and Loan Association of Opelousas, for $27 in cash per share, or a total value of $9.774 mil. The transaction was subject to SL shareholders and regulatory approvals.</t>
  </si>
  <si>
    <t>North Bancorp,Gaylord,MI</t>
  </si>
  <si>
    <t>US - Independent Bank Corp, Ionia, Michigan (IB) merged with North Bancorp Inc, Gaylord, Michigan (NB), for $16 per share, or a total value of $8.528 mil in IB common stock. The transaction was subject to regulatory approvals and customary closing conditions. On completion, the merged entity was to be renamed IB.</t>
  </si>
  <si>
    <t>Own,op hotels,motels</t>
  </si>
  <si>
    <t>Blackstone Group LP</t>
  </si>
  <si>
    <t>Private eq,invest firm</t>
  </si>
  <si>
    <t>US - Blackstone Group LP acquired all the outstanding common stock of Extended Stay America Inc, an owner and operator of hotels and motels, for $19.625 per share, or a total value of $2.066 bil, in a going private transaction. The transaction was subject to shareholders approval and customary closing conditions.</t>
  </si>
  <si>
    <t>International Multifoods Corp</t>
  </si>
  <si>
    <t>Produce,whl bakery goods</t>
  </si>
  <si>
    <t>The JM Smucker Co</t>
  </si>
  <si>
    <t>Produce,wholesale jams,jellies</t>
  </si>
  <si>
    <t>US - JM Smucker Co (JS) acquired all the outstanding common stock of International Multifoods Corp (IM), a producer and wholesaler of bakery goods, in a stock swap transaction valued at $830. 341 mil, including the assumption of $340 mil in liabilities. JS offered $5 in cash and $20 in common stock per IM share. The common stock portion was to be payable in a combination of 20% in cash and 80% in JM common stock.</t>
  </si>
  <si>
    <t>Interpore International Inc</t>
  </si>
  <si>
    <t>Manufacture surgical prod</t>
  </si>
  <si>
    <t>US - Biomet Inc acquired all the outstanding common stock of Interpore International Inc, a manufacturer and wholesaler of innovative spinal surgery products, for $14.5 in cash per share, or a total value of $281.753 mil. The transaction was subject to the approval of regulatory authorities.</t>
  </si>
  <si>
    <t>Waypoint Financial Corp,PA</t>
  </si>
  <si>
    <t>US - Sovereign Bancorp Inc (SOV), Philadelphia, Pennsylvania, acquired Waypoint Financial Corp (WYPT) , Harrisburg, Pennsylvania, a savings and loan holding company, in a stock swap transaction valued at $989. 559 mil. SOV offered a choice of $28 in cash or 1.262 SOV common shares per share held, subject to proration, whereby 70% of the total consideration was to be paid in the common stock and 30% of the total consideration was to be paid in cash. The shares were valued based on SOV's closing stock price of $22.04 on March 8, the last full trading day prior to the announcement.</t>
  </si>
  <si>
    <t>American Mgmt Systems Inc</t>
  </si>
  <si>
    <t>US - CGI Group Inc (CGI) acquired all the outstanding common stock of American Management Systems Inc (AMS), a provider of information technology and consulting services, for $19.40 in cash per share, or a total value of $822.546 mil. Earlier, CGI completed its tender offer for AMS by accepting 40.5 mil shares, or 95.52% of AMS' common shares outstanding. The offer was conditioned upon at least a majority of AMS' shares being tendered. Concurrently, CACI International Inc (CAC) acquired the US Defense &amp; Intelligence Group unit of AMS. The transactions were subject to regulatory and customary closing conditions. CAC and CGI also had signed a strategic alliance agreement that was to facilitate the growth of their respective businesses and client bases.</t>
  </si>
  <si>
    <t>Alcide Corp</t>
  </si>
  <si>
    <t>Mnfr,whl antifungal compounds</t>
  </si>
  <si>
    <t>Ecolab Inc</t>
  </si>
  <si>
    <t>Mnfr water,hygiene,energy products</t>
  </si>
  <si>
    <t>US - Ecolab Inc (EI) acquired Alcide Corp (AC), a manufacturer and wholesaler of antifungal compounds, in a stock swap transaction valued at $58.434 mil. EI offered $21 in common stock per AC share held. The transaction was subject to regulatory and customary closing conditions.</t>
  </si>
  <si>
    <t>First Shares Bancorp Inc,IN</t>
  </si>
  <si>
    <t>US - Lincoln Bancorp, Plainfield, Indiana (LB), acquired First Shares Bancorp Inc, Greenwood, Indiana (FS), in a stock swap transaction valued at $38.53 mil. LB offered a choice of $14.8 in cash or 0.75 common shares per FS share, subject to proration whereby 50% of the total consideration was paid in LB common stock. The shares were valued based on LB's closing stock price of $21 on March 11, the last full trading day prior to the announcement.</t>
  </si>
  <si>
    <t>Xicor Inc</t>
  </si>
  <si>
    <t>US - Intersil Corp (IC) acquired all the outstanding common stock of Xicor Inc (XI) , a manufacturer of semicondutors, for $528.451 mil. IC offered a choice of $15.581 in cash or com or combination of both; subject to proration based on the cash and shares available in the merger. The shares were valued based on IC's closing stock price of $22.63 on March 12, the last full trading day prior to the announcement. The transaction was subject to customary regulatory approvals and XI shareholder vote.</t>
  </si>
  <si>
    <t>Commercial bank (for US)</t>
  </si>
  <si>
    <t>US - BancWest Corp, Honolulu, Hawaii, a unit of BNP Paribas SA, acquired all the outstanding common stock of Community First Bankshares Inc, Fargo, North Dakota, for $32.25 in cash per share, or a total value of $1.213 bil.</t>
  </si>
  <si>
    <t>US - Umpqua Holdings Corp (UH) acquired Humboldt Bancorp, Eureka, California (HB), in a stock swap transaction valued at $283. 956 mil. UH offered 1 common share per HB share held. Based on UH's closing stock price of $21.42 on March 12, the last full trading day prior to the announcement, each HB share was valued at $21.42. The transaction was subject to regulatory and shareholder approvals as well as other customary closing conditions.</t>
  </si>
  <si>
    <t>InVision Technologies Inc</t>
  </si>
  <si>
    <t>Mnfr explosives detection sys</t>
  </si>
  <si>
    <t>GE Infrastructure Inc</t>
  </si>
  <si>
    <t>Mnfr aviation,energy tech</t>
  </si>
  <si>
    <t>US - GE Infrastucture, a unit of General Electric Co, acquired all the outstanding common stock of InVision Technologies Inc (IT), a manufacturer of explosives detection system, for an estimated $50 in cash per share, or a total value of $1. 15 bil. The transaction was subject to customary closing conditions, regulatory and IT shareholder approval.</t>
  </si>
  <si>
    <t>Equitex Inc</t>
  </si>
  <si>
    <t>iGames Entertainment Inc</t>
  </si>
  <si>
    <t>Mnfr tech-based products</t>
  </si>
  <si>
    <t>US - iGames Entertainment Inc made an unsolicited bid to merge with Equitex Inc, a provider of mortage banking and consumer finance services, in a stock swap transaction.</t>
  </si>
  <si>
    <t>Provident Bancorp Inc,NY</t>
  </si>
  <si>
    <t>US - Provident Bancorp Inc, Montebello, New York (PB), acquired all the outstanding common stock of Warwick Community Bancorp Inc, Warwick, New York (WC), in a stock swap transaction valued at $152.972 mil. PB offered a choice of $32.61 in cash or common stock, subject to proration whereby 50% of the consideration was to consist of cash and 50% was to consist of common stock. Completion of the transaction was to be contingent upon PB and WC shareholder approval.</t>
  </si>
  <si>
    <t>Apogent Technologies Inc</t>
  </si>
  <si>
    <t>Mnfr,whl laboratory prod</t>
  </si>
  <si>
    <t>US - Fisher Scientific International Inc (FSH) merged with Apogent Technologies Inc (AOT), a manufacturer and wholesaler of laboratory products, in a stock swap transaction valued at $2.720 bil. FSH offered . 56 common shares per AOT share. Based on FSH's closing stock price of $52.32 on March 16, the last full trading day prior to announcement, each AOT share was valued at $29.299. On completion, FSH shareholders were to own approximately 57% of the combined company and AOT shareholders were to hold approximately 43%.</t>
  </si>
  <si>
    <t>Florida Banks Inc,FL</t>
  </si>
  <si>
    <t>US - South Financial Group Inc, Greenville, South Carolina (SFG), acquired Florida Banks Inc, Jacksonville, Florida (FB), in a stock swap transaction valued at $168.808 mil. SFG offered 0.77 common shares per FB share. Based on SFG's closing stock price of $29.55 on March 16, the last full trading day prior to the announcement, each FB share was valued at $22.754. The transaction was subject to regulatory and FB shareholder approvals.</t>
  </si>
  <si>
    <t>Wine Group LLC</t>
  </si>
  <si>
    <t>Produce wine,beverages</t>
  </si>
  <si>
    <t>US - Wine Group LLC (WG) acquired all the outstanding common stock of Golden State Vintners Inc (GS), a producer of beverages, for a twice- sweetened $8.25 in cash per share, or a total value of $111.224 mil, including the assumption of $29 mil in liabilities, in a going private transaction. Previously, WG offered a sweetened $7.75 in cash per share, or a total value of $76.694 mil. Originally, WG offered $7.25 in cash per share, or a total value of $71.937 mil. Previously, a management-led investor group, including CEO Jeffrey B. O, Neill, planned to acquire all the outstanding common stock of GS.</t>
  </si>
  <si>
    <t>WQN Inc</t>
  </si>
  <si>
    <t>Ntera Holdings Inc</t>
  </si>
  <si>
    <t>Pvd VoIP svcs</t>
  </si>
  <si>
    <t>US- WorldQuest Networks Inc (WorldQuest) withdrew its agreement to merge with Ntera Holdings Inc (Ntera), a Miami- based provider of voice-over- Internet-protocol services. Upon completion, Ntera will own 80% interest in WorldQuest.</t>
  </si>
  <si>
    <t>Madison Bancshares Inc,FL</t>
  </si>
  <si>
    <t>US - Whitney Holding Corp (WH) acquired Madison Bancshares Inc (MB), Palm Harbor, Florida, for $29.89 in cash or common stock per share, or a total value of $65.484 mil. The consideration was subject to proration whereby, no more than 65% of the total consideration was to be payable in common stock. The transaction was subject to MB shareholders approvals.</t>
  </si>
  <si>
    <t>Quaker City Bancorp,CA</t>
  </si>
  <si>
    <t>Popular Inc</t>
  </si>
  <si>
    <t>US - Popular Inc, Hato Rey, Puerto Rico merged with Quaker City, Whittier, California (QC), for $55 in cash per share, or a total value of $369.625 mil. The transaction was subject to customary closing conditions, regulatory and QC shareholder approval.</t>
  </si>
  <si>
    <t>Hastings Entertainment Inc</t>
  </si>
  <si>
    <t>Own,op multimedia ent stores</t>
  </si>
  <si>
    <t>686486 BC Ltd</t>
  </si>
  <si>
    <t>US - 686486 BC Ltd, a unit of Great Canadian Gaming Corp, agreed to acquire all the outstanding common stock of Hastings Entertainment Inc, an owner and operator of book stores. The transaction was subject to regulatory approvals. Terms were not disclosed.</t>
  </si>
  <si>
    <t>SSP Solutions Inc</t>
  </si>
  <si>
    <t>Saflink Corp</t>
  </si>
  <si>
    <t>Dvlp identity mgmt software</t>
  </si>
  <si>
    <t>US - SAFLINK Corp (SAF) acquired all the outstanding common stock of SSP Solutions Inc (SSP), a manufacturer of computer peripheral equipment, in a stock swap transactions valued at $54.888 mil. SAF offered 0.6 common share per SSP share. Based on SAF's closing stock price of $3.15 on March 19, the last full trading day prior to the announcement. Each SSP share was valued at $1.1.89. Upon completion, SSP was to own 49% and SAF to own 51% in the combined entity. The transaction was subject to the approval of regulatory authorities.</t>
  </si>
  <si>
    <t>US Oncology Inc</t>
  </si>
  <si>
    <t>Pvd cancer treatment svcs</t>
  </si>
  <si>
    <t>US - Welsh Carson Anderson &amp; Stowe Co acquired the remaining 85% interest, or 72. 493 mil common shares, which it did not already own in US Oncology Inc (UO), a provider of medical management services, for $15.05 in cash per share, or a total value of $1.139 bil, in a going private leveraged buyout transaction. The transaction was subject to approval by the majority of UO shareholders, expiration of the applicable waiting period under the Hart-Scott-Rodino Act and other customary conditions.</t>
  </si>
  <si>
    <t>DigitalThink Inc</t>
  </si>
  <si>
    <t>Convergys Corp</t>
  </si>
  <si>
    <t>Provide BPO services</t>
  </si>
  <si>
    <t>US - Convergys Corp acquired all the outstanding common stock of DigitalThink Inc, a provider of online learning solutions, for $2.40 in cash per share, or a total value of $127.261 mil.</t>
  </si>
  <si>
    <t>Knightspoint Group</t>
  </si>
  <si>
    <t>US - Knightspoint Group acquired CPI Corp, an operator of photography studios.</t>
  </si>
  <si>
    <t>Switchboard Inc</t>
  </si>
  <si>
    <t>US - InfoSpace Inc acquired all the outstanding common stock of Switchboard Inc, a developer of software and a majority-owned unit of ePresence Inc (EI), for $7.75 in cash per share, or a total of $159.957 mil. The transaction was subject to the approval of EI shareholders.</t>
  </si>
  <si>
    <t>US - Leonard Green &amp; Partners LP (LG) withdrew from its definitive agreement to merge with Hollywood Entertainment Corp (HE), an owner and operator of video rental stores, for an amended $10.25 in cash per share, or a total value of $674.731 mil. Originally, LG offered $14 in cash per share, or a total value of $920.952 mil, in a leveraged buyout transaction. The transaction was subject to shareholders approval, the Hart Scott Rodino Act, and customary closing conditions. Previously, Blockbuster Inc withdrew its unsolicited offer to acquire all the outstanding stock of HE. Subsequently, Movie Gallery Inc acquired all the outstanding common stock in HE.</t>
  </si>
  <si>
    <t>Metrocall Holdings Inc</t>
  </si>
  <si>
    <t>Arch Wireless Inc</t>
  </si>
  <si>
    <t>US - Arch Wireless Inc (AW) merged with Metrocall Holdings Inc (MH), a provider of local paging and other wireless networking services, to form a new company named USA Mobility Inc, in a stock swap merger of equals transaction valued at $355. 149 mil. MH common shareholders were to receive $75 in cash per share for MH's first 2 mil shares outstanding and 1.876 NC common shares per share for the remaining 4.03 mil MH shares and AW common shareholders were to receive 1 NC common share per share held. Based on AW's closing stock price of $23.96 on March 26, the last full trading day prior to the announcement, each MH share was valued at $54.92. The transaction was subject to approval by AW and MH shareholders.</t>
  </si>
  <si>
    <t>Millennium Chemicals Inc</t>
  </si>
  <si>
    <t>Mnfr industrial chem prod</t>
  </si>
  <si>
    <t>Lyondell Chemical Co</t>
  </si>
  <si>
    <t>Mnfr,whl performance chemi</t>
  </si>
  <si>
    <t>US - Lyondell Chemical Co (LYO) acquired all the outstanding common stock of Millennium Chemicals Inc (MCH) , a manufacturer of industrial chemical products, in a stock swap transaction valued at $2.546 bil, including the assumption of $1.3 bil in liabilities. LYO offered 1.05 shares per MCH share held, subject to a collar agreement. Based on LYO's closing stock price of $15.62 on March 26, the last full trading day prior to announcement, each MCH share was valued at $16.401.</t>
  </si>
  <si>
    <t>Tularik Inc</t>
  </si>
  <si>
    <t>US - Amgen Inc acquired the remaining 78.7% interest, or 52.735 mil common shares, which it did not already own, in Tularik Inc, a manufacturer of pharmaceuticals, for $25 in common stock per share, or a total value of $1.457 bil, in a stock swap transaction.</t>
  </si>
  <si>
    <t>US - WesBanco Inc, Wheeling, West Virginia (WB), acquired Western Ohio Financial Corp, Springfield, Ohio (WO), in a stock swap transaction valued at $66.439 mil. WB offered a choice of $35 in cash or 1.18 common shares per WO share, subject to proration, whereby 55% of WO common stock was to be exchanged for WB stock. The shares were valued based on WB's closing stock price of $30.35 on March 31, the last full trading day prior to the annoucenement. The transaction was subject to shareholders and regulatory banking authorities' approvals.</t>
  </si>
  <si>
    <t>US - First Niagara Financial Group Inc, Lockport, New York (FNF), acquired Hudson River Bancorp Inc, Hudson, New York, in a stock swap transaction valued at an estimated $620 mil. FNF offered a combination of cash and common stock, whereby shareholders were to retain the right to receive all cash, all common stock or a combination of cash and common stock. Upon completion, the combined company was to encompass a network of 110 banking centers in 24 counties throughout upstate New York. The transaction was subject to shareholder approval, bank regulatory authorities as well as other customary closing conditions.</t>
  </si>
  <si>
    <t>Minuteman International Inc</t>
  </si>
  <si>
    <t>Mnfr vacuums,cleaning prod</t>
  </si>
  <si>
    <t>Hako-Werke International GmbH</t>
  </si>
  <si>
    <t>Mnfr cleaning equip</t>
  </si>
  <si>
    <t>US - Hako-Werke International GmbH (HW), a unit of Hako Holding Gmbh &amp; Co KG, acquired the remaining 31.9% stake, or 1.142 mil common shares, which it did not already own, in Minuteman International Inc (MI), a manufacturer and wolesaler of vacuums and cleaning products, for a sweetened $13.75 in cash per share, or a total value of $15.703 mil, in a going private transaction. Originally,HW offered $12.85 in cash per share, or a total value of $14.676 mil. The offer was consotioned upon 90% of MI shares being tendered.</t>
  </si>
  <si>
    <t>Barra Inc</t>
  </si>
  <si>
    <t>Dvlp finl risk mgmt software</t>
  </si>
  <si>
    <t>Morgan Stanley</t>
  </si>
  <si>
    <t>Pvd invest banking svcs</t>
  </si>
  <si>
    <t>US - Morgan Stanley (MS) acquired all the outstanding common stock of Barra Inc (BRI), a developer of investment risk software, for $41.00 in cash per share, or a total value of $825.575 mil. Upon completion, BRI was to be merged into MS' Morgan Stanley Capital International Inc unit.</t>
  </si>
  <si>
    <t>Oxford Health Plans Inc</t>
  </si>
  <si>
    <t>Pvd health benefit plan svcs</t>
  </si>
  <si>
    <t>WellChoice Inc</t>
  </si>
  <si>
    <t>US - WellChoice Inc had been rumored to be in negotiations to acquire all the outstanding common stock of Oxford Health Plans Inc, a provider of health benefit plan services.</t>
  </si>
  <si>
    <t>US - Kerr-McGee Corp (KM) merged with Westport Resources Corp (WR), an oil and natural gas exploration and production company, in a stock swap transaction valued at $2.593 bil. KM offered .71 common shares per WR share. Based on KM's closing stock price of $51.51 on April 6, the last full trading day prior to the announcement, each WR share was valued at $36.57. Upon completion, the merged company retained the Kerr-McGee Corp name.</t>
  </si>
  <si>
    <t>Isco Inc</t>
  </si>
  <si>
    <t>Mnfr water treatment prod</t>
  </si>
  <si>
    <t>Teledyne Technologies Inc</t>
  </si>
  <si>
    <t>US - Teledyne Technologies Inc acquired all the outstanding common stock of Isco Inc, a manufacturer of water quality monitoring products, for $16.00 in cash per share, or a total value of $95.953 mil.</t>
  </si>
  <si>
    <t>Diamond Bancorp Inc,IL</t>
  </si>
  <si>
    <t>US - Diamond Bancorp Inc (DBI), Northbrook, Illinois, a unit of Northbrook Investments LLC, acquired the remaining 90.35% interest, which it did not already own, in North Bancshares Inc, Chicago, Illinois, a savings and loan holding company, for $22.75 in cash per share or a total value of $23.894 mil.</t>
  </si>
  <si>
    <t>TBA Entertainment Corp</t>
  </si>
  <si>
    <t>Own,op country club,restaurant</t>
  </si>
  <si>
    <t>US - An investor group, comprised of Mr. Irving Azoff, Mr. Robert Geddes and JHW Greentree Capital LP, a majority-owned unit of Whitney &amp; Co LLC, acquired all the outstanding common stock of TBA Entertainment Corp (TE), an owner and operator of country clubs and restaurants, for $6.15 mil in cash, in a going private, leveraged buyout transaction. The transaction was subject to TE shareholders approval.</t>
  </si>
  <si>
    <t>Mid-State Raceway Inc</t>
  </si>
  <si>
    <t>Own,op racetrack</t>
  </si>
  <si>
    <t>Raceway Ventures Inc</t>
  </si>
  <si>
    <t>US - Raceway Ventures LLC (RV) acquired a 50.2% interest, or .47 mil common shares, in Mid-State Raceway Inc (MS), an owner and operator of a race track, from Ms. Victoria Scott, for $6.5 mil. Concurrently, RV raised its interest to 80.2% from 50.2%, by acquiring warrants convertible to a 30% stake, or .268 mil common shares, in MS, from All Capital LLC, in a privately negotiated transaction.</t>
  </si>
  <si>
    <t>SciQuest Inc</t>
  </si>
  <si>
    <t>Pvd online scientific prods</t>
  </si>
  <si>
    <t>Trinity Ventures</t>
  </si>
  <si>
    <t>US - Trinity Ventures acquired all the outstanding common stock of SciQuest Inc, a provider of online scientific products, for $25. 25 mil in cash, in a going private transaction. The transaction was subject to a number of conditions, including clearance by the Securities and Exchange Commission, customary conditions, fiduciary change of recommendation rights, and break up fees.</t>
  </si>
  <si>
    <t>DutchFork Bancshares Inc,SC</t>
  </si>
  <si>
    <t>First Community Corp</t>
  </si>
  <si>
    <t>US - First Community Corp, Lexington, South Carolina (FC) , merged with DutchFork Bancshares Inc, Newberry, South Carolina (DF), bank holding company for Newberry Federal Savings Bank, in a stock swap transaction valued at $48.215 mil. FC offered a choice of $42.75 cash or 1. 78125 shs com or a combination of both per DF share, subject to allocation procedures intended to ensure that 60% of the DF common stock outstanding immediately before the completion of the transaction was to be converted into shares of FC common stock. Based on FC's closing stock price of $24 on April 12, the last full trading day prior to the announcement, each DB share was valued at $42.75. The transaction was subject to regulatory and shareholder approval.</t>
  </si>
  <si>
    <t>US - Pitney Bowes Inc acquired all the outstanding common stock of Group 1 Software Inc, a developer of software, for $23 in cash per share, or a total value of $417.058 mil. The transaction was subject to shareholder approval.</t>
  </si>
  <si>
    <t>Mnfr metal bldg prod</t>
  </si>
  <si>
    <t>US - Robertson-Ceco Corp (RCC), a unit of Hieco Cos LLC, withdrew its unsolicited challenging bid to acquire all the outstanding common stock of Butler Manufacturing Co (BM), a manufacturer of prefabricated metal buildings, for a sweetened $24.5 in cash or common stock per share, or a total value of $155.525 mil. Originally, RCC offered a choice of $23 in cash or common stock per share. Previously, BlueScope Steel Ltd agreed to acquire all the outstanding common stock BM.</t>
  </si>
  <si>
    <t>Tom Brown Inc</t>
  </si>
  <si>
    <t>Encana Corp</t>
  </si>
  <si>
    <t>Oil,gas exploration,prod co</t>
  </si>
  <si>
    <t>US - EnCana Corp (EC) acquired all the outstanding common stock of Tom Brown Inc (TBI), an oil and gas exploration and production company, for $48 in cash per share, or a total value of $2. 338 bil, including the assumption of an undisclosed amount in liabilities. Earlier, EC completed its tender offer for TBI by accepting 44.584 mil shares, or 97% of TBI's common shares out standing. The offer was conditioned upon at least 90% of TBI's shares being tendered.</t>
  </si>
  <si>
    <t>Moulin Intl Hldgs Ltd</t>
  </si>
  <si>
    <t>Mnfr optical frames</t>
  </si>
  <si>
    <t>US - Moulin International Holdings Ltd withdrew its unsolicited challenging offer to acquire all the outstanding common stock of Cole National Corp (CN), a manufacturer and retailer of optical products, for $25 in cash per share, or a total value of $448.418 mil. Previously, Luxottica Group SpA agreed to acquire all the outstanding common stock of CN for a sweetened all cash transaction. The transaction was subject to approval by CN shareholders and other customary conditions.</t>
  </si>
  <si>
    <t>HRPT Properties Trust</t>
  </si>
  <si>
    <t>US - HRPT Properties Trust acquired all the outstanding stock of Hallwood Realty Partners LP (HP), a real estate investment trust company, from Hallwood Group Inc's Hallwood Realty Corp subsidiary, for 136.7 in cash per Limited Partership unit, or a total value of $433.982 mil, including the assumption of $208 mil in liabilities. The transaction included 5.2 mil square feet of office and industrial building, mostly located in Atlanta, GA. Previously, High River LP, backed by investor Carl Icahn, withdrew it offer to acquire all the outstanding limited partner units of HP.</t>
  </si>
  <si>
    <t>Madison Bancshares Grp Ltd,PA</t>
  </si>
  <si>
    <t>Leesport Financial Corp,PA</t>
  </si>
  <si>
    <t>US - Leesport Financial Corp, Wyomissing, Pennsylvania (LF) , acquired Madison Bancshares Group Ltd (MB), in a stock swap transaction valued at $32.532 mil. LF offered 0. 6028 common shares per MB share. The shares were valued based on LF's closing stock price of $25.81 on April 15, the last full trading fay prior to the announcement.</t>
  </si>
  <si>
    <t>Panamsat Corp</t>
  </si>
  <si>
    <t>US - An investor group comprised of Kohlberg Kravis Roberts &amp; Co, Carlyle Group and Providence Equity Partners Inc, acquired all the outstanding common stock of PanAmSat Corp (PAS), a provider of satellite communication services and a 80.5%-owned unit of DirecTV Group Inc (DTV), for $23.50 in cash per share, or a total value of $4.282 bil, including the assumption of an estimated $750 mil in liabilities, in a going private transaction. Originally, in February 2004, DTV announced that it was seeking a buyer for its 80.5% interest, or 121.584 mil common shares, in PAS.</t>
  </si>
  <si>
    <t>US - Omega Financial Corp, State College, Pennsylvania, (OF) acquired Sun Bancorp Inc, Selnisgrove, Pennsylvania (SB), in a stock swap transaction valued at $176. 241 mil. OF offered a choice $23.25 in cash or 0.664 common shares per SB share, subject to proration whereby 80% of the consideration was to be payable in common stock and 20% in cash. Based on OF's closing stock price of $35.86 on April 19, the last full trading day prior to the announcement, each SB shared was valued at $23.811. The transaction was subject to shareholders and regulatroy approvals.</t>
  </si>
  <si>
    <t>Mnfr optical switches</t>
  </si>
  <si>
    <t>US - Zhone Technologies Inc (ZT) acquired all the outstanding common stock of Sorrento Networks Corp (SN), a manufacturer of optical networking systems, from Osicom Technologies Inc, in a stock swap transaction valued at $36.981 mil. ZT offered .9 shares per SN share. Based on ZT's closing stock price of $3.84 on April 21, the last full trading day prior to the announcement, each SN share was valued at $3.456.</t>
  </si>
  <si>
    <t>Loehmanns Holdings Inc</t>
  </si>
  <si>
    <t>Own,op clothing stores</t>
  </si>
  <si>
    <t>Crescent Capital Invest Inc</t>
  </si>
  <si>
    <t>US - Cresent Capital Investment Inc, a unit of First Islamic Investment Bank, acquired all the oustanding common stock of Loehmann's Holdings Inc, an owner and operator of clothing stores, for $23 in cash per share, or a total value of $178.127 mil, in a going private transaction. The transaction was subject to customary closing conditions, including approval of shareholders.</t>
  </si>
  <si>
    <t>US - UnitedHealth Group Inc (UG) merged with Oxford Health Plans Inc (OH), a provider of health benefit plan services, in a stock swap transaction valued at $4. 961 bil. UG offered $16.17 in cash and .636 UG common shares per OH share. Based on UG's closing stock price of $65.95 on April 23, the last full trading day prior to the announcement, each OH share was valued at $58.11. The transaction was subject to shareholder and regulatory approval.</t>
  </si>
  <si>
    <t>Vans Inc</t>
  </si>
  <si>
    <t>Mnfr,ret casual shoes</t>
  </si>
  <si>
    <t>US - VF Corp acquired all the outstanding common stock of Vans Inc, a manufacturer and retailer of casual shoes, for $20.55 in cash per share, or a total value of $391.274 mil.</t>
  </si>
  <si>
    <t>First Federal Capital Corp,WI</t>
  </si>
  <si>
    <t>US - Associated Banc-Corp, Green Bay, Wisconsin (ABC) acquired First Federal Capital Corp, La Crosse, Wisconsin (FFC), a savings &amp; loan holding company, in a stock swap transaction valued at $611.16 mil. ABC offered a choice of $26.79 in cash or . 635 shares or a combination of cash and common shares per FFC share, subject to proration whereby 10% of the consideration was to be payable in cash and 90% was to be payable in common stock. Based on ABC's closing stock price of $42.19 on April 27, the last full trading day prior to announcement, each FFC share was valued at $26. 791.</t>
  </si>
  <si>
    <t>MedSource Technologies Inc</t>
  </si>
  <si>
    <t>Uti Corp</t>
  </si>
  <si>
    <t>US - UTI Corp acquired all the outstanding common stock of MedSource Technologies Inc, a manufacturer of surgical instruments, for $7.10 in cash per share, or a total value of $230 mil, including the assumption of an estimated $24.312 mil in liabilities, in a going private transaction.</t>
  </si>
  <si>
    <t>Larscom Inc</t>
  </si>
  <si>
    <t>Mnfr network access equip</t>
  </si>
  <si>
    <t>Verilink Corp</t>
  </si>
  <si>
    <t>Mnfr integrated access prod</t>
  </si>
  <si>
    <t>US - Verilink Corp (VC) acquired all the outstanding common stock of Larscom Inc (LI), a manufacturer of high- speed network access equipment, and a unit of Axel Johnson AB's Axel Johnson Inc subsidiary, in a stock swap transaction valued at $26.285 mil. VC offered 1.166 common shares per LI share. Based on VC's closing stock price of $4.42 on April 28, the last full trading day prior to the announcement, each LI share was valued at $5.154. The transaction was subject to the approval of shareholders and regulatory authorities.</t>
  </si>
  <si>
    <t>Marimba Inc</t>
  </si>
  <si>
    <t>US - BMC Software Inc merged with Marimba Inc (MI), a software developer, for $8.25 in cash per share, or a total value of $238.358 mil. The transaction was subject to regulatory and MI shareholders' approval.</t>
  </si>
  <si>
    <t>infoUSA Inc</t>
  </si>
  <si>
    <t>Pvd mktg support svcs</t>
  </si>
  <si>
    <t>US - infoUSA Inc (INF) acquired all outstanding common stock of OneSource Information Services Inc (OSI) , a provider of web-based business and financial information services, for $8. 85 in cash, or a total value of $105.105 mil. Earlier, INF completed its tender offer for OSI by accepting 11.425 mil shares, or 98.08% of OSI's common shares outstanding. The offer was conditioned upon at least a majority of OSI's shares being tendered.</t>
  </si>
  <si>
    <t>Schuff International Inc</t>
  </si>
  <si>
    <t>Pvd steel construction svcs</t>
  </si>
  <si>
    <t>US - A management-led investor group (IG) including Chairman Mr. David Schuff and President &amp; CEO Mr. Scott Schuff, withdrew its tender offer to acquire the remaining 29% stake or 2.198 mil common shares, which it did not already own in Schuff International Inc, a provider of steel structure construction services, for a sweetened $2.3 in cash per share, or a total value of $4. 784 mil, in a leveraged buyout going private transaction. Originally, IG offered $2.17 in cash per share, or a total value of $4. 702 mil.</t>
  </si>
  <si>
    <t>Keystone Property Trust</t>
  </si>
  <si>
    <t>RE invest trust</t>
  </si>
  <si>
    <t>US - An investor group, including ProLogis Inc (PL) and Eaton Vance Management, a unit of Eaton Corp, acquired all the outstanding common stock of Keystone Property Trust (KP), a real estate investment trust, for $23.8 in cash per share, or a total value of $855.811 mil, in a leveraged buyout transaction. The transaction was subject to approval of a majority of KP shareholders. Concurrently, PL acquired the remaining assets of KP.</t>
  </si>
  <si>
    <t>US - Citizens Financial Group Inc, Providence, Rhode Island (CF), a unit of Royal Bank of Scotland Group PLC, acquired all the outstanding common stock of Charter One Financial Inc, Cleveland, Ohio, for $44.50 in cash per share, or a total value of $10.53 bil. The transaction was subject to regulatory approval.</t>
  </si>
  <si>
    <t>Pioneer Natural Resources Co</t>
  </si>
  <si>
    <t>US - Pioneer Natural Resources Co (PNR) acquired all the outstanding common stock of Evergreen Resources Inc (ER), a company engaged in oil and gas exploration and production, in a stock swap transaction valued at $1. 898 bil. PNR offered a choice of $39 in cash or 1.1635 common shares or a choice of $19 in cash and .58175 common shares, or a combination of cash and common stock per ER common share. Based on PNR's closing stock price of $33.52 on May 3, the last full trading day prior to the announcement, each PNR share was valued at $39.</t>
  </si>
  <si>
    <t>Slippery Rock Finl Corp,PA</t>
  </si>
  <si>
    <t>FNB Corp,Pittsburgh,PA</t>
  </si>
  <si>
    <t>US - FNB Corp, Hermitage, Pennsylvania (FNB), acquired Slippery Rock Financial Corp, Slippery Rock, Pennsylvania (SRF) in a stock swap transaction valued at $79.023 mil. FNB offered a choice of $28 in cash or 1.41 common shares per SRF share, subject to proration, whereby 15% of consideration offerered was to be paid in cash, and 85% of the consideration offered was to be paid in common stock. Based on FNB's closing stock price of $19.99 on May 5, the last full trading day prior to the announcement, each SR share was valued at $28.186. The transaction was subject to regulatory approvals.</t>
  </si>
  <si>
    <t>Natl Commerce Finl Corp,TN</t>
  </si>
  <si>
    <t>US - SunTrust Banks Inc (ST), Atlanta, Georgia, acquired National Commerce Financial Corp (NCF), Memphis, Tennessee, a commercial bank holding company, in a stock swap transaction valued at $7. 025 bil. ST offered $8.625 in cash and .3713 common shares per NCF share, subject to proration whereby 26% of the total consideration was to be paid in cash and 74% in common stock. Based on ST's closing stock price of $66.88 on May 7, the last full trading day prior to the announcement, each ST share was valued at $33.458.</t>
  </si>
  <si>
    <t>Horizon Medical Products Inc</t>
  </si>
  <si>
    <t>Mnfr,whl oncology prod</t>
  </si>
  <si>
    <t>Rita Medical Systems Inc</t>
  </si>
  <si>
    <t>Mnfr,whl tumor treatment prod</t>
  </si>
  <si>
    <t>US - RITA Medical Systems Inc (RM) merged with Horizon Medical Products Inc (HM), a manufacturer and wholesaler of oncology products for the treatment of cancer, in a stock swap transaction valued at $158.776 mil. RM offered . 421 common shares per HM share. Based on RM's closing stock price of $5.32, the last full trading day prior to the announcement, each HM share was valued at $2.24.The transaction was subject to shareholder approval and other customary closing conditions. Upon completion, RM was to own 47.5% and HM was to own 52.5% of the merged entity, which retained the name RITA Medical Systems Inc.</t>
  </si>
  <si>
    <t>FSF Finl Corp,Hutchinson,MN</t>
  </si>
  <si>
    <t>MidCountry Financial Corp</t>
  </si>
  <si>
    <t>Pvd finl svcs;hldg co</t>
  </si>
  <si>
    <t>US - MidCountry Financial Corp acquired all the outstanding common stock of FSF Financial Corp, a commercial bank and holding company, for $35 in cash per share, or a total value of $89.067 mil. The transaction was approved by the board and subject to regulatory approval.</t>
  </si>
  <si>
    <t>Chalone Wine Group Ltd</t>
  </si>
  <si>
    <t>Diageo PLC</t>
  </si>
  <si>
    <t>Produce, wholesale alcoholic beverages</t>
  </si>
  <si>
    <t>US - Diageo PLC(DP) acquired all the outstanding common stock of Chalone Wine Group Ltd (CW), a producer and wholesaler of wine, for $14. 25 in cash per share, or a total value of $192.088 mil. Subsequently, CW withdrew from its agreement to be acquired by Rothschild SA (RS) . Previously, RS agreed to acquire the remaining 54% interest, or 6.521 mil common shares, which it did not already own, in CW, for a sweetened $11.75 in cash per share. Originally, RS offered $9.25 in cash per CW share.</t>
  </si>
  <si>
    <t>Rothschild SA</t>
  </si>
  <si>
    <t>Produce,wholesale wine</t>
  </si>
  <si>
    <t>US - Rothschild SA (RS) withdrew from its agreement to acquire the remaining 54% interest, or 6.521 mil common shares, which it did not already own, in Chalone Wine Group Ltd (CW), a producer and wholesaler of wine, for a sweetened $11.75 in cash per share, or a total value of $92.373 mil. $9.25 in cash per share, or a total value of $71.44 mil, in a going private transaction. Upon completion, RS was to form a joint venture (JV) with Constellation Brands Inc (CB) and Huneeus Vintners (HV). Under the proposed JV, RS was to contribute most of CW assets and develop an estate in the Napa Valley while CB was to contribute the Oakville vineyard of its Franciscan Estates Inc unit, and HV was to contribute its Quintessa winery, vineyards and brand. The transactions were subject to execution of definitive agreements. Subsequently, Diageo Plc agreed to acquire all the outstanding common stock of CW.</t>
  </si>
  <si>
    <t>Chaparral Resources Inc</t>
  </si>
  <si>
    <t>Nelson Resources Ltd</t>
  </si>
  <si>
    <t>US - Nelson Resources Ltd acquired a 60% interest or 22. 926 mil common shares in Chaparral Resources Inc (CR), an oil and gas exploration and production company, from Central Asian Holdings NV (CA) , a unit of Kazkommertsbank, for $23.9 mil in note. The transaction included the purchase of warrants exercisable into additional 3. 077 mil new shares and a $4 mil of promissory note of CR payable to CA.</t>
  </si>
  <si>
    <t>Deluxe Corp</t>
  </si>
  <si>
    <t>Pvd printing, customization, personalization svcs</t>
  </si>
  <si>
    <t>US - Deluxe Corp (DEL) acquired all the outstanding common stock of New England Business Services Inc (NE), a publisher of business forms, for $44 in cash per share, or a total value of $625.445 mil. Earlier, DEL completed its tender offer for NE by accepting 98% of NE's common shares outstanding.</t>
  </si>
  <si>
    <t>Dune Energy Inc</t>
  </si>
  <si>
    <t>MKG ITERA</t>
  </si>
  <si>
    <t>Natural gas production company</t>
  </si>
  <si>
    <t>US - Itera Holding Ltd acquired a 78% interest in Dune Energy Inc, an oil and gas exploration and production company, for $12 mil.</t>
  </si>
  <si>
    <t>Marsh &amp; McLennan Cos Inc</t>
  </si>
  <si>
    <t>US - Marsh &amp; McLennan Cos Inc acquired all the outstanding common stock of Kroll Inc, a provider of independent and complementary risk consulting services, for $37 in cash per share, or a total value of $1. 899 bil. The transaction was approved by the shareholders and subject to the approval of regulatory authorities.</t>
  </si>
  <si>
    <t>ALARIS Medical Systems Inc</t>
  </si>
  <si>
    <t>Mnfr,whl intravenous products</t>
  </si>
  <si>
    <t>US - Cardinal Health Inc (CHI) acquired all the outstanding common stock of Alaris Medical Systems Inc (AM), a manufacturer and wholesaler of intravenous infusion therapy and patient monitoring instruments, for $22.35 in cash per share, or a total value of $1.744 bil. Earlier, CHI completed its tender offer for AM by accepting 71.91 mil shares, or 90.31% of AM's common shares outstanding. The offer was conditioned upon at least a majority of AM's shares being tendered. The transaction also included an agreement wherein CHI was to honor AM's contractual obligations in a medication safety project in partnership with McKesson Corp.</t>
  </si>
  <si>
    <t>Earl Scheib Inc</t>
  </si>
  <si>
    <t>Pvd auto painting,repair svcs</t>
  </si>
  <si>
    <t>Elden Holding Group LLC</t>
  </si>
  <si>
    <t>US - Elden Holding Group LLC withdrew from its letter of intent to acquire all the outstanding common stock of Earl Scheib Inc, a provider of automotive paint and body repair services, for an estimated $17 mil. The transaction was subject to due diligence and regulatory approval.</t>
  </si>
  <si>
    <t>Advanced Fibre Communications</t>
  </si>
  <si>
    <t>US - Tellabs Inc (TI) acquired Advanced Fibre Communications Inc (AFC), a manufacturer and wholesaler of telecommunication equipment, in a stock swap transaction valued at an amended $1.482 bil. TI offered $12 in cash and .504 common shares per AFC share. Based on TI's closing stock price of $9.25 on September 6, the last full trading day prior to announcement, each AFC share was valued at $16. 662. Originally TI offered $7 in cash and 1.55 common shares per AFC share, or a total value of $1.926 bil.</t>
  </si>
  <si>
    <t>FCCC Inc</t>
  </si>
  <si>
    <t>Wayfarer Financial Group Inc</t>
  </si>
  <si>
    <t>US - Wayfarer Financial Group Inc planned to launch a tender offer to acquire a 62% interest, or 0.882 mil common shares, in FCCC Inc, a provider of mortgage banking services, for $3.05 in cash per share, or a total value of $2.692 mil.</t>
  </si>
  <si>
    <t>Bk invest hldg co</t>
  </si>
  <si>
    <t>US - HSBC Holdings PLC was rumored to be planning to acquire all the outstanding stock of Washington Mutual Inc, Seattle, Washington, a bank holding company. The Current status of this deal is unknown.</t>
  </si>
  <si>
    <t>US - Forest Oil Corp (FO) acquired all the outstanding stock of Wiser Oil Co (WO), an oil and gas exploration and production company, for $10.60 in cash per share, or a total value of $170.801 mil. Earlier, FO completed its tender offer for WO by accepting 14.551 mil shares, or 94.06% of WO's common shares outstanding. The offer was conditioned upon at least a majority of WO's shares being tendered. The transaction was subject to regulatory approval and customary closing conditions.</t>
  </si>
  <si>
    <t>NeighborCare Inc</t>
  </si>
  <si>
    <t>US - Omnicare Inc (OI) acquired all the oustanding common stock of NeighborCare Inc (NCI), an owner and operator of geriatric care facilities, for $34.75 in cash per share, or a total value of $1.821 bil, including the assumption of approximately $245 mil in liabilities. Earlier OI completed its tender offer for NCI by accepting 42.898 mil shares, or 97.20% of NCI's common shares outstanding. Originally, OI launched an unsolicited hostile tender offer for NCI for $30 in cash per share. Subsequently, OI offered a sweetened $32 cash offer per share and a twice-sweetened $34.75 cash offer per share. The offer was conditioned upon at least 80% of NCI's shares being tendered.</t>
  </si>
  <si>
    <t>Valley Bank,Moreno Valley</t>
  </si>
  <si>
    <t>BBVA Bancomer Finl Hldg Inc</t>
  </si>
  <si>
    <t>US - BBVA Bancomer Financial Holdings Inc, a unit of Banco Bilbao Vizcaya Argentaria SA' majority-owned Grupo Financiero BBVA Bancomer subsidiary, acquired all the outstanding common stock of Valley Bank, Moreno Valley, California, for $5.48 in cash per share, or a total value of $13.486 mil. The transaction was subject to regulatory approval.</t>
  </si>
  <si>
    <t>US - Westcorp (WC), through its unit Western Financial Savings Bank, Irvine, California, acquired the remaining 16% stake, or 6.566 mil common shares, which it did not already own, in WFS Financial Inc (WF), a provider of automobile financing services, in a stock swap transaction valued at USD 310.461 mil. WC offered 1.11 common shares per WF share. Based on WC's closing stock price of USD 42. 6 on May 21, the last full trading day prior to the announcement, each WF share was valued at USD 47.286. The transaction was subject to other closing conditions, regulatory and shareholder approval.</t>
  </si>
  <si>
    <t>WTC Industries Inc</t>
  </si>
  <si>
    <t>Mnfr water purification prods</t>
  </si>
  <si>
    <t>Cuno Inc</t>
  </si>
  <si>
    <t>Mnfr filtration prod</t>
  </si>
  <si>
    <t>US - Cuno Inc (CI) merged with WTC Industries Inc (WI), a manufacturer of water filtration products, for $39. 87 in cash per share, or a total value of $109.045 mil. The transaction was duly approved by the board of directors of CI and WI and was subject to customary closing conditions, WI and regulatory approvals.</t>
  </si>
  <si>
    <t>Platinum Equity LLC</t>
  </si>
  <si>
    <t>US - Platinum Equity LLC (PE) acquired all the outstanding common stock of CompuCom Systems Inc (CS), a wholesaler of computer equipment, from Safeguard Scientifics Inc, for $4.60 in cash per share, or a total value of $248.866 mil, in a leveraged buyout transaction. Subsequently, IIM Acquisition Corp, a unit of Court Square Capital Partners, definitively agreed to acquire CS from PE, in a secondary buyout transaction.</t>
  </si>
  <si>
    <t>BHA Group Holdings Inc</t>
  </si>
  <si>
    <t>Mnfr pollution control equip</t>
  </si>
  <si>
    <t>GE Energy</t>
  </si>
  <si>
    <t>Manufacture power generators</t>
  </si>
  <si>
    <t>US - GE Energy, a unit of General Electric Co {GE), acquired all the outstanding common stock of BHA Group Holdings Inc, a manufacturer and retailer of replacement parts and accessories for industrial air pollution control equipment, for $38 in cash per share, or a total value of $274.628 mil. The transaction was subject to other customary closing conditions, shareholder and regulatory approval.</t>
  </si>
  <si>
    <t>ACLARA Biosciences Inc</t>
  </si>
  <si>
    <t>ViroLogic Inc</t>
  </si>
  <si>
    <t>Pvd disease treatment svcs</t>
  </si>
  <si>
    <t>US - ViroLogic Inc (VL) merged with ACLARA BioSciences Inc (AB), a manufacturer of microfluidics, in a stock swap transaction valued at 234.637 mil. VL offered 1.7 common shares and 1.7 contingent value rights (CVR) with a potential payment of up to a sweetened $.88 for each CVR, per AB share. Based on VL's closing stock price of $2.81 on May 31, the last full trading day prior to the announcement, each AB share was valued at $4.77. Originally, VL offered 1.7 common shares and 1.7 CVR's with a potential payment of up to $.50 per CVR, per AB share.</t>
  </si>
  <si>
    <t>General Mills Inc</t>
  </si>
  <si>
    <t>Produce,whl general food prod</t>
  </si>
  <si>
    <t>US - Nestle SA was rumored to be planning to acquire all the outstanding common stock of General Mills Inc, a manufacturer of breakfast cereal foods. The Current status of this deal is unknown.</t>
  </si>
  <si>
    <t>Mandalay Resort Group</t>
  </si>
  <si>
    <t>MGM Mirage Inc</t>
  </si>
  <si>
    <t>Own,op hotels,airlines</t>
  </si>
  <si>
    <t>US - MGM Mirage Inc (MGM), a 62.5%-owned unit of Tracinda Corp, acquired all the outstanding common stock of Mandalay Resort Group (MRG), an owner and operator of casino hotels, for a sweetened $71 in cash per share, or a total value of $7. 811 bil, including the assumption of $2.5 bil in liabilities. Originally, in June 2004, MGM made an unsolicited bid to acquire MRG for $68 in cash per share, or a total value of $7.885 bil, including the assumption of $2.8 bil in liabilities.</t>
  </si>
  <si>
    <t>Wayne Bancorp Inc,Wooster,OH</t>
  </si>
  <si>
    <t>US - National City Corp, Cleveland, Ohio acquired all the outstanding common stock of Wayne Bancorp Inc, Wooster, Ohio for $28.5 in cash per share, or a total value of $181.479 mil.</t>
  </si>
  <si>
    <t>Chesterfield Finl Corp,Chicago</t>
  </si>
  <si>
    <t>US - MAF Bancorp Inc, Clarendon Hills, Illinois (MB) acquired all the entire share capital of Chesterfield Financial Corp, Chicago, Illinois for USD 31.5 per share, or a total value of USD 128.453 mil. The consideration was to consist of 65% in cash and 35% in MF common stock. The transaction was subject to customary closing conditions, shareholder and regulatory approval.</t>
  </si>
  <si>
    <t>Bank of Astoria,OR</t>
  </si>
  <si>
    <t>Columbia Banking System Inc</t>
  </si>
  <si>
    <t>US - Columbia Banking System Inc, Tacoma, Washington (CB), acquired Bank of Astoria, Astoria, Oregon, in a stock swap transaction valued at $45.787 mil. The consideration was to consist of $18.2 mil in cash and 1. 278 mil CB common shares valued at $27.587 mil. The shares were valued based on CB's closing stock price of $21.59 on June 4, the last full trading day prior to the announcement. The transaction was subject to regulatory and shareholder approvals.</t>
  </si>
  <si>
    <t>First Years Inc</t>
  </si>
  <si>
    <t>Mnfr infant,toddler prod</t>
  </si>
  <si>
    <t>RC2 Corp</t>
  </si>
  <si>
    <t>Mnfr,whl games,toy products</t>
  </si>
  <si>
    <t>US - RC2 Corp (RC) acquired all the outstanding common stock of First Years Inc, a manufacturer of infant and toddler products, for $18.6 in cash per share, or a total value of $165.711 mil. The transaction was subject to certain closing conditions, including the approval of the company's shareholders. Concurrently, RC definitively agreed to acquire Playing Mantis.</t>
  </si>
  <si>
    <t>Prima Energy Corp</t>
  </si>
  <si>
    <t>Petro-Canada</t>
  </si>
  <si>
    <t>US - Petro-Canada (PC) acquired all the outstanding common stock of Prima Energy Corp (PE), an oil and gas exploration and production company, for $39.5 in cash per share, or a total value of $534.247 mil. Earlier, PC completed its tender offer for PE by accepting 12.121 mil shares, or 86.83% of PE's common shares outstanding. The offer was subject to regulatory approvals and conditioned upon at least 90% of PE shares being tendered.</t>
  </si>
  <si>
    <t>VLPS Lighting Services Intl</t>
  </si>
  <si>
    <t>Pvd lighting sys svcs</t>
  </si>
  <si>
    <t>Production Resource Group LLC</t>
  </si>
  <si>
    <t>Pvd theatrical prodn svcs</t>
  </si>
  <si>
    <t>US - Production Resource Group LLC acquired all the outstanding common stock of VLPS Lighting Services Intenational Inc (VL), a provider of lighting services, for $8.32 in cash, or a total value of $62.026 mil. The transaction was subject to regulatory review and VL shareholder approval.</t>
  </si>
  <si>
    <t>Atrix Laboratories Inc</t>
  </si>
  <si>
    <t>QLT Inc</t>
  </si>
  <si>
    <t>US - QLT Inc (QLT) merged with Atrix Laboratories Inc (AL), a provider of biological research services, in a stock swap transaction valued at $833.478 mil. QLT offered $14.61 in cash and 1 common share per AL share. Based on QLT's closing stock price of $21.02 on June 11, the last full trading day prior to the announcement, each AL share was valued at $35.63. Upon completion, AL shareholders owned an estimated 23% of the combined entity and QLT shareholders owned an estimated 77%.</t>
  </si>
  <si>
    <t>First Washington FinlCorp,NJ</t>
  </si>
  <si>
    <t>US - Fulton Financial Corp, Lancaster, Pennsylvania (FF), acquired First Washington FinancialCorp, Windsor, New Jersey (FW), bank holding company for First Washington State Bank, in a stock swap transaction valued at $123. 077 mil. FF offered 1.35 common shares per FW share, Based on FF's closing stock price of $20.22 on June 11, each FW share was valued at $27.297. The transaction was subject to regulatory approvals.</t>
  </si>
  <si>
    <t>Pennsylvania State Bkg Co,PA</t>
  </si>
  <si>
    <t>US - Sterling Financial Corp, Lancaster, Pennsylvania (SFC) , acquired all the outstanding common stock of Pennsylvania State Banking Co, Camp Hill, Pennsylvania (PSB) , in a stock swap transaction valued at $46.393 mil. SFC offered .83 common shares per PSB share, subject to a collar agreement. Based on SFC's closing stock price of 25.63 on June 10, 2004, the last full trading day prior to the announcement, each PSB share was valued at $21.273. Moreover, PSB sharedholers had a choice to receive all cash, all common stock or a combination of cash stock, subject to proration, whereby the value of the stock consideration was to be no less than 70%, and the value of the cash consideration was to be no more than 30%, of the total consideration offered.</t>
  </si>
  <si>
    <t>Healthtronics Surgical Svcs</t>
  </si>
  <si>
    <t>Mnfr urological equipment</t>
  </si>
  <si>
    <t>US - HealthTronics Surgical Services Inc (HS) merged with Prime Medical Services Inc (PM), an owner and operator of medical facilities that provide diagnostic imaging and lithotripsy services, in a stock swap transaction valued at $147.091 mil. HS offered 1 common share per PM share. Based on HS' closing stock price of June 11, the last full trading day prior to the announcement, each PM share was valued at $7.04. Upon completion of the reverse takeover transaction, the merged entity was to be renamed HealthTronics Inc (HT) and the shareholders of PM were to own a 62% interest in HT. The transaction was subject to regulatory approval, customary closing conditions and shareholder approval. The transaction was duly approved by the board of directors of both companies.</t>
  </si>
  <si>
    <t>Encino State Bank,CA</t>
  </si>
  <si>
    <t>US - Boston Private Financial Holdings Inc, Boston, Massachusetts, acquired all the outstanding common stock of Encino State Bank, Encino, California, for $25.25 in cash per share, or an estimated total value of $33.1 mil. The transaction was subject to regulatory approval.</t>
  </si>
  <si>
    <t>US - A management-led investor group, including CEO Daniel Fitzpatrick, VP Bobby R. Oliver Jr, James K. Fitzpatrick, Ezra H. Friedlander, and John C. Firth (IG), acquired the remaining 55.3% interest, or 5.184 mil common shares, in Quality Dining Inc, an owner and operator of restaurant franchises, for a sweetened $3.20 in cash per share, or a total value of $21.139 mil, in a going private leveraged buyout transaction. Originally, IG offereed $2.75 per share or a total value of $18.087 mil. The transaction was subject to the approval of board, shareholders and franchisors.</t>
  </si>
  <si>
    <t>Exult Inc</t>
  </si>
  <si>
    <t>Pvd HR outsourcing srvs</t>
  </si>
  <si>
    <t>Hewitt Associates LLC</t>
  </si>
  <si>
    <t>Pvd human consulting services</t>
  </si>
  <si>
    <t>US - Hewitt Associates Inc (HA) acquired all the outstanding common stock of Exult Inc (EI), a provider of HR outsourcing services, in a stock swap transaction valued at $788.341 mil. HA offered . 2 common shares per EI share. Based on HA's closing stock price of $31.48 on June 15, the last full trading day prior to the announcement, each EI share was valued at $6.296. Concurrently, the board of HA authorized the repurchase of up to $150 mil of the company's common stock outstanding.</t>
  </si>
  <si>
    <t>IMCO Recycling Inc</t>
  </si>
  <si>
    <t>Manufacture recycled aluminum</t>
  </si>
  <si>
    <t>US - IMCO Recycling Inc (IR) merged with Commonwealth Industries Inc (CI), a manufacturer of common alloy aluminum sheet, in a stock swap transaction valued at $181.196 mil. IR offered 0. 815 common shares per CI share. Based on IR's closing stock price of $13.43 on June 16, the last full trading day prior to the announcement, each CI share was valued at $10.945. On completion of the merger of equals transaction, IR and CI shareholders were to own 54% and 46% respectively, of the merged entity named Aleris International Inc. The transaction was subject to regulatory approval and customary closing condition.</t>
  </si>
  <si>
    <t>QRS Corp</t>
  </si>
  <si>
    <t>Pvd on-line database svcs</t>
  </si>
  <si>
    <t>JDA Software Group Inc</t>
  </si>
  <si>
    <t>US - JDA Software Group Inc (JS) withdrew its definitive agreement to acquire all the outstanding common stock of QRS Corp (QC), a provider of online database services, in a stock swap transaction valued at $98.568 mil. JS offered 0.5 common shares per QC share. Based on JS' closing stock price of $6.125 on Jun 16, the last full trading day prior to the announcement, each JS share was valued at $6.125. The transaction was subject to JS and QC stockholders and other regulatory approvals. Subsequently, an investor group comprised of Avling Partners LLC and Golder Rauner LLC made an unsolicited challenging bid to acquire all the outstanding common stock of QC. Moreover, QC also received an unsolicited challenging acquisition proposal from an undisclosed investment fund. Consequently, Inovis International Inc, a unit of Golden Gate Capital definitively agreed to acquire all the outstanding common stock of QC.</t>
  </si>
  <si>
    <t>BostonFed Bancorp Inc,MA</t>
  </si>
  <si>
    <t>Commercial bank;bank hldg co</t>
  </si>
  <si>
    <t>US - Banknorth Group Inc, Portland, Maine (BG), acquired BostonFed Bancorp Inc, Burlington, Massachusetts (BF), in a stock swap transaction valued at $195.169 mil. BG offered a choice of $6.12 in cash and 1. 055 common shares mix or an all stock consideration of 1. 241 common shares per BF share. Based on BG's closing stock price of $32.64 on June 18, the last full trading day prior to the announcement, each BF share was valued at $40.555. The transaction was subject to BF shareholder and regulatory approvals.</t>
  </si>
  <si>
    <t>Chelsea Property Group Inc</t>
  </si>
  <si>
    <t>US - Simon Property Group Inc (SPG) acquired all the outstanding common stock of Chelsea Property Group Inc (CPG), a real estate investment trust, for USD 4. 861 bil, including the assumption of USD 1.3 bil in liabilities. SPG offered USD 36 in cash, .2936 SPG common shares, and USD 15 in convertible preferred shares per CPG share. Based on SPG's closing stock price of USD 52. 30 on June 18, the last full trading day prior to the announcement, each CPG share was valued at USD 66.355.</t>
  </si>
  <si>
    <t>Galyan's Trading Co Inc</t>
  </si>
  <si>
    <t>Dick's Sporting Goods Inc</t>
  </si>
  <si>
    <t>US - Dick's Sporting Goods Inc (DS) acquired all the outstanding common stock of Galyan's Trading Co Inc (GT), an owner and operator of sporting goods stores and a majority owned-unit of Freeman Spogli &amp; Co, for $16. 75 in cash per share, or a total value of $355.342 mil, including the assumption of $57 mil in liabilities. Earlier, DS completed its tender offer for GT by accepting 17.894 mil shares, or about 95% of GT's common stock ouutstanding. The offer was conditioned upon at least a majority of GT's shares being tendered on a fully- diluted basis. The transaction was subject to regulatory approval.</t>
  </si>
  <si>
    <t>Wachovia Corp,Charlotte,NC</t>
  </si>
  <si>
    <t>Coml,ret bk;hldg co</t>
  </si>
  <si>
    <t>US - Wachovia Corp, Charlotte, North Carolina (WC), merged with SouthTrust Corp, Birmingham, Alabama (ST), in a stock swap transaction valued at $14.156 bil. WC offered 0.89 common shares per ST share. Based on WC's closing strock price of $47 on June 18, the last full trading day prior to the announcement, each ST share was valued at $41.83. The transaction was subject to regulatory and shareholder approvals.</t>
  </si>
  <si>
    <t>Edelbrock Corp</t>
  </si>
  <si>
    <t>US - A management-led investor group, including Chairman, President and CEO O. Victor Edelbrock Jr, acquired the remaining 48.91% stake, which it did not already own, in Edelbrock Corp, a manufacturer, designer, distributor and marketer of a wide range of high quality automotive performance products, for $16. 75 in cash per share, or a total value of $47.708 mil, in a leverage buyout transaction. The transaction was subject to the approval of regulatory authorities.</t>
  </si>
  <si>
    <t>Evertrust Financial Grp Inc,WA</t>
  </si>
  <si>
    <t>US - KeyCorp, Cleveland, Ohio acquired all the outstanding common stock of EverTrust Financial Group Inc, Everett, Washington, for $25. 6 in cash per share, or a total value of $194.484 mil. The transaction was subject to approval by regulatory authorities.</t>
  </si>
  <si>
    <t>Cuyamaca Bank NA,CA</t>
  </si>
  <si>
    <t>Community Bancorp Inc</t>
  </si>
  <si>
    <t>US - Community Bancorp Inc, Fallbrook, California (CB), acquired Cuyamana Bank NA, Santee, California (CN), in a stock swap transaction valed at $24.242 mil. CB offered a choice of $24.5 cash or 1. 0439 common shares per CN share, subject to a collar agreement. Based on CB's closing stock price of $25 on June 25, the last full trading day prior to the announcement, each CN share was valued at $26.098.</t>
  </si>
  <si>
    <t>Information Holdings Inc</t>
  </si>
  <si>
    <t>Pvd info prod,svcs</t>
  </si>
  <si>
    <t>US - Thomson Corp acquired all the outstanding common stock of Information Holdings Inc (IHI), a provider of information products and services to intellectual property and life science markets, for $28 in cash per share, or a total value of $592.077 mil. The transaction was subject to IHI shareholders and regulatory approvals.</t>
  </si>
  <si>
    <t>Catalyst International Inc</t>
  </si>
  <si>
    <t>Dvlp warehouse mgmt software</t>
  </si>
  <si>
    <t>ComVest Invest Partners II LLC</t>
  </si>
  <si>
    <t>US - ComVest Invesment Partners acquired all the outstanding common stock of Catalyst International Inc (CII), a developer of warehouse management software, for $2.5 in cash per share, or a total amount of $20.12 mil, in a going private transaction. The transaction was subject to customary closing conditions including CII shareholders approval.</t>
  </si>
  <si>
    <t>Inet Technologies Inc</t>
  </si>
  <si>
    <t>Dvlp communications software</t>
  </si>
  <si>
    <t>Tektronix Inc</t>
  </si>
  <si>
    <t>Mnfr industrial equip</t>
  </si>
  <si>
    <t>US - Tektronix Inc (TI) acquired Inet Technologies (IT), a developer of communications software, in a stock swap transaction valued at $498.735 mil, subject to a collar agreement. TI offered $6.25 in cash and $6.25 in common stock per IT share. The transaction was subject to customary closing conditions.</t>
  </si>
  <si>
    <t>Mariner Health Care Inc</t>
  </si>
  <si>
    <t>National Senior Care Inc</t>
  </si>
  <si>
    <t>Own,op long term care facility</t>
  </si>
  <si>
    <t>US - National Senior Care Inc acquired all the outstanding common stock in Mariner Health Care Inc, an owner and operator of nursing care facilities, for $30 in cash per share, or a total value of $1.013 bil, including the assumption of an estimated $385 mil in liabilities.</t>
  </si>
  <si>
    <t>Allaire Community Bank,NJ</t>
  </si>
  <si>
    <t>Monmouth Community Bancorp</t>
  </si>
  <si>
    <t>Single-bank holding company</t>
  </si>
  <si>
    <t>US - Monmouth Community Bancorp (MC) merged with Allaire Community Bank (AC), a commercial bank, in a stock swap transaction valued at $56.056 mil. AC common shareholders were to receive 1 MC common shares per share held, after a 6 for 5 stock split was to be effected on July 15. Based on MC's closing stock price of $28.50 on June 29, the last full trading day prior to announcement, each AC share was valued at $28.50 per share. MC changed its name to Central Jersey Bancorp.</t>
  </si>
  <si>
    <t>US - L-3 Communications Holdings Inc withdrew its unsolicited offer to acquire all the outstanding common stock of DRS Technologies Inc (DRS), a manufacturer of electronic signal processing and display systems, for $42 in cash per share, or a total value of $1.155 bil. Subsequently, the DRS board rejected the unsolicited proposal.</t>
  </si>
  <si>
    <t>Genus Inc</t>
  </si>
  <si>
    <t>Mnfr electrical mach</t>
  </si>
  <si>
    <t>Aixtron AG</t>
  </si>
  <si>
    <t>Mnfr deposition equipment</t>
  </si>
  <si>
    <t>US - Aixtron AG (AA) acquired all the outstanding common stock of Genus Inc (GI) , a manufacturer of electrical machineries, in a stock swap transaction valued at $165.886 mil. AA offered 0. 51 American Depository Receipts (ADR) per GI share. Based on AA's closing stock price of $7.076 on June 30, the last full trading day prior to the announcement, each GI share was valued at $3.609. Each AA ADR was equivalent to 1 AA ordinary share. The transaction was subject to approval of AA and GI shareholders, necessary regulatory clearance in the US and to other customary closing conditions.</t>
  </si>
  <si>
    <t>Inveresk Research Group Inc</t>
  </si>
  <si>
    <t>Pvd drug dvlp svcs</t>
  </si>
  <si>
    <t>Charles River Labs Intl Inc</t>
  </si>
  <si>
    <t>Pvd laboratory research svcs</t>
  </si>
  <si>
    <t>US - Charles River Laboratories International Inc (CR) acquired Inveresk Research Group Inc (IR), a provider of drug development services, in a stock swap transaction valued at $1.522 bil. CR offered .48 shares and $15.15 in cash per IR share. Based on CR's closing stock price of $48.87 on June 30, the last full trading day prior to announcement, each IR share was valued at $38. 608.</t>
  </si>
  <si>
    <t>SportsLine.com Inc</t>
  </si>
  <si>
    <t>Pvd sports info retrieval svcs</t>
  </si>
  <si>
    <t>US - Viacom Inc (VI) acquired the remaining 62% interest or 26.514 mil common shares, which it did not already own, in SportsLine. com Inc, a provider of branded, interactive information and programming services, for a sweetened $1. 75 per share, or a total value of $47.211. Originally, VI offered $1.5 in cash per share, or a total value of $40.89 mil.</t>
  </si>
  <si>
    <t>Del Laboratories Inc</t>
  </si>
  <si>
    <t>Mnfr,whl perfumes,drugs</t>
  </si>
  <si>
    <t>US - Kelso &amp; Co acquired all the outstanding common stock of Del Laboratories Inc, a manufacturer and wholesaler of perfumes, cosmetics and drugs, for $35 in cash per share, or a total value of $400.811 mil, including the assumption of $80 mil in liabilities. The transaction was subject to satisfaction of certain conditions, including approval of DL shareholders, receipt of necessary financing and other regulatory approvals. Originally, an investor group, comprised of Kelso &amp; Co and Church &amp; Dwight Co Inc, definitively agreed to acquire all the outstanding common stock of Del Laboratories Inc.</t>
  </si>
  <si>
    <t>Time Warner Inc</t>
  </si>
  <si>
    <t>Provide film,TV entertainment services</t>
  </si>
  <si>
    <t>US - Time Warner Inc was rumored to be in negotiations to acquire all the outstanding stock of Metro- Goldwyn-Mayer-Inc, a producer and financier of movies. The Current status of this deal is unknown.</t>
  </si>
  <si>
    <t>Mystic Financial Inc,MA</t>
  </si>
  <si>
    <t>Brookline Bancorp Inc</t>
  </si>
  <si>
    <t>US - Brookline Bancorp Inc, Brookline, Massachusetts (BB), acquired all the oustanding common stock of Mystic Financial Inc, Medford, Massachusetts (MF), in a stock swap transaction valued at $66.791 mil. BB offered a choice of $39 cash or 2.6786 common shares per MF share held, subject to proration such that the cash consideration was 40% and stock consideration was 60% of the total consideration.</t>
  </si>
  <si>
    <t>Bank of Amador,Jackson,CA</t>
  </si>
  <si>
    <t>American River Bankshares</t>
  </si>
  <si>
    <t>US - American River Bankshares, Sacramento, California (AR) acquired all the outstanding common stock of Bank of Amador, Jackson, California (BA), in a stock swap transaction valued at $32.222 mil. AR offered $6. 825 in cash and $12.675 in common stock per BA share held, subject to a collar agreement. The transaction was subject to regulatory and shareholder approvals.</t>
  </si>
  <si>
    <t>Secure Computing Corp</t>
  </si>
  <si>
    <t>Mnfr network sec devices</t>
  </si>
  <si>
    <t>CyberGuard Corp</t>
  </si>
  <si>
    <t>Dvlp,whl sec software</t>
  </si>
  <si>
    <t>US - CyberGuard Corp (CG) withdrew its plan to acquire all the outstanding stock of Secure Computing Corp (SC), a developer and wholesaler of Internet software products and services, in a stock swap transaction valued at $286. 214 mil. CG offered 1 common share per SC share. Based on CG's closing stock price of $7.8 on July 9, the last full trading day prior to the announcement, each SC share was valued at $6.37.</t>
  </si>
  <si>
    <t>MCI Inc</t>
  </si>
  <si>
    <t>US - Leucadia National Corp planned to acquire at least a 50% interest, or 157.428 mil common shares, in MCI Inc, a provider of telecommunication services.</t>
  </si>
  <si>
    <t>US - Bank of America Corp (BAC) acquired National Processing Inc (NP), a provider of data processing services, from its 83% owned parent, National City Corp, for $26.60 in cash per share, or a total value of $1.424 bil. Upon completion, NP's unit, National Processing Co LLC was to be combined with Bank of America Merchant Services and the new unit was to be headquartered in Louisville, Kentucky.</t>
  </si>
  <si>
    <t>US - An investor group (IG) led by Mr. Brian Fitzgerald withdrew its plans to acquire the remaining 14.78% stake, or 0.953 mil common shares, which it did not already own, in Security Capital Corp(SC), an insurance agency, for a thrice sweetened $10.60 per share, or a total value of $21.129 mil, in a going private transaction. Previously, IG offered a sweetened $9.50 and a twice sweetened $9.65 per share, respectively. Originally, IG offered $9.00 per share, or a total value of $14.604 mil. Subsequently, an investor group comprised of Messrs Robert J. Bossart, Jonathan R. Wagner, Richard T. Kurth and the senior management of CompManagement Inc withdrew its unsolicited offer to acquire SC. Subsequently, an investor group including MTN Capital Partners LLC withdrew unsolicited offer to acquire SC.</t>
  </si>
  <si>
    <t>Caesars Entertainment Inc</t>
  </si>
  <si>
    <t>US - Harrahs Entertainment Inc (HET) acquired Caesars Entertainment Inc (CZR), an owner and operator of casinos, in a stock swap transaction valued at $6.332 bil. HET offered a choice of cash or common stock per CZR share, whereby the aggregate consideration was to consist of $1.8 bil in cash and 66.3 mil common shares valued at $3.38 bil. The shares were valued based on HET's closing stock price of $50.98 on July 14, the last full trading day prior to announcement. Originally, in July 2004, HET was rumored to be planning to acquire CZR.</t>
  </si>
  <si>
    <t>Heritage Finl Hldg Co,AL</t>
  </si>
  <si>
    <t>US - Peoples Holding Co Inc, Tupelo, Mississippi (PH) acquired Heritage Financial Holding Co, Decatur, Alabama (HF), in stock swap transaction valued at $74.973 mil. PH offered a choice of $6.25 in cash or 0.2 common shares or a combination of 40% cash and 60% stock per HF share. Based on PH's closing stock price of $32.8 on July 14, the last full trading day prior to the announcement, each HF shares was valued at $6.56.</t>
  </si>
  <si>
    <t>Modem Media Inc</t>
  </si>
  <si>
    <t>Pvd Internet consulting svcs</t>
  </si>
  <si>
    <t>Digitas Inc</t>
  </si>
  <si>
    <t>Pvd professional svcs</t>
  </si>
  <si>
    <t>US - Digitas Inc (DI) merged with Modem Media Inc (MM), a provider of internet consulting services and a 85% owned unit of the TN Technologies subsidiary of Interpublic Group of Cos Inc's True North Communications Inc unit, in a stock swap transaction valued at $115.226 mil. DI offered 0. 70 common shares per MM share. Based on DI's closing stock price of July 14, the last full trading day prior to the announcement, each MM share was valued at $3.01. The transaction was subject to customary closing conditions, regulatory and shareholder approval.</t>
  </si>
  <si>
    <t>Own,op gas utilities,bus</t>
  </si>
  <si>
    <t>AGL Resources Inc</t>
  </si>
  <si>
    <t>US - AGL Resources Inc acquired all the oustanding common stock of NUI Corp (NC), an owner and operator of gas utilities and businesses, for $13.7 in cash per share, or a total value of $689.771 mil, including the assumption of $471 mil in liabilities. Originally, NC announced that it was seeking a buyer for the company.</t>
  </si>
  <si>
    <t>US - An investor group comprised of Avling Partners LLC and Golder Rauner LLC withdrew its unsolicited challenging bid to acquire all the outstanding common stock of QRS Corp (QC), a provider of online database services, for $6.75 in cash per share, or a total value of $107.589 mil. Subsequently, QC received an unsolicited challenging acquisition proposal from an undisclosed investment fund. Originally, JDA Software Group Inc definitively agreed to acquire QC in a stock swap transaction, which was subsequently withdrawn. Consequently, Inovis International Inc, a unit of Golden Gate Capital definitively agreed to acquire all the outstanding common stock of QC.</t>
  </si>
  <si>
    <t>Relm Wireless Corp</t>
  </si>
  <si>
    <t>Mnfr wireless commun equip</t>
  </si>
  <si>
    <t>Wireless Age Commun Inc</t>
  </si>
  <si>
    <t>US - Wireless Age Communications Inc (WA) withdrew its unsolicited hostile bid to acquire RELM Wireless Corp (RW), a manufacturer wireless communication equipment, in a stock swap transaction valued at $43.903 mil. WA offered 2 common shares per RW share. Based on WA's closing stock price of $1.57 on July 15, the last full trading day prior to the announcement of the transaction, each RW share was valued at $3.14</t>
  </si>
  <si>
    <t>Riggs Natl Corp,Washington,DC</t>
  </si>
  <si>
    <t>US - PNC Financial Services Group Inc, Pittsburgh, Pennsylvania (PNC) acquired all the outstanding common stock of Riggs National Corp, Washington, District of Columbia (RIG) in a stock swap transaction valued at an amended $670.228 mil. PNC offered $286 mil in cash and 6.4 mil common shares valued at $349.312 mil. The shares were valued based on PNC's closing stock price of $53.28 on February 9, the last trading day prior to amendment. Originally, PNC offered $24.25 in cash and common stock per RIG share, or a total value of $783.457 mil. Completion of the transaction was to be contingent upon RIG shareholder approval.</t>
  </si>
  <si>
    <t>The Wet Seal Inc</t>
  </si>
  <si>
    <t>Mnfr,retail women's clothing</t>
  </si>
  <si>
    <t>US - In July 2004, La Senza Corp announced that it was seeking a buyer for its 12. 18% stake, in Wet Seal Inc, a manufacturer and retailer of young women's clothing.</t>
  </si>
  <si>
    <t>First City Bank,CT</t>
  </si>
  <si>
    <t>US - Webster Financial Corp, Waterbury, Connecticut (WF), acquired First City Bank, New Britain, Connecticut (FC), in a stock swap transaction valued at $33.142 mil. WF offerd a choice of $27 in cash or .575 common shares per FC share subject to proration whereby the stock consideration was 60% and cash consideration was 40% of the total consideration. The shares were based on WF's closing stock price of $47.05 on July 16, the last full trading day prior to the announcement.</t>
  </si>
  <si>
    <t>Inovis International Inc</t>
  </si>
  <si>
    <t>US - Inovis International Inc, a unit of Golden Gate Capital Co, acquired all the outstanding common stock of QRS Corp (QC), a provider of online database services, for a sweetened $7 in cash per share, or a total value of $113.313 mil. Previously, QC received an unsolicited challenging bid to acquire all its outstanding common stock, from an undisclosed investment fund, for $6.5 in cash, or a total value of $104.819 mil. Earlier, an investor group comprised of Avling Partners LLC and Golder Rauner LLC also made an unsolicited challenging bid to acquire all the outstanding common stock of QC. Originally, JDA Software Group Inc definitively agreed to acquire QC in a stock swap transaction, which was subsequently withdrawn.</t>
  </si>
  <si>
    <t>Salient Systems Inc</t>
  </si>
  <si>
    <t>Pvd computer svcs</t>
  </si>
  <si>
    <t>Portec Rail Products Inc</t>
  </si>
  <si>
    <t>Mnfr,whl RR prod</t>
  </si>
  <si>
    <t>US - Portec Rail Products Inc acquired all the outstanding common stock of Salient Systems Inc, a provider of computer services, for an estimated $14 mil in cash and common shares and an undisclosed amount in profit- related payments. The transaction was subject to SS shareholders approval</t>
  </si>
  <si>
    <t>Texas Genco Holdings Inc</t>
  </si>
  <si>
    <t>US - An investor group, comprised of Blackstone Group LP, Hellman &amp; Friedman LLC, Kohlberg Kravis Roberts &amp; Co LP and Texas Pacific Group, acquired all the outstanding common stock of Texas Genco Holdings Inc (TGH), an electric utility and a majority-owned unit of CenterPoint Energy Inc (CPE), for $45.25 in cash per share, or a total value of $2.931 bil, in a going private transaction. Subsequently, in December 2004, TGH completed its self-tender offer to repurchase 15.236 mil common shares, or 19% of its common stock outstanding. Upon completion, CPE was the sole shareholder of TGH. Originally, in January 2004, CPE announced that it was seeking a buyer for its 81% interest in TGH.</t>
  </si>
  <si>
    <t>Marquee Holdings Inc</t>
  </si>
  <si>
    <t>US - Marquee Holdings Inc, an investment vehicle owned by JPMorgan Partners LLC (JPM), a unit of JP Morgan Chase &amp; Co and Apollo Management LP (AM), a unit of Apollo Advisors LP, acquired all the outstanding common stock of AMC Entertainment Inc (AMC), an owner and operator of movie theaters, for $19.5 in cash per share, including series A preferred shares convertible into an additional 41.885 common shares, or a total value of $1.892 bil, including the assumption of $349 mil in liabilities. JPM was to own 50.1% of AMC while AM was to re-invest a portion of its current equity in AMC for a 49.9% stake. The transaction was subject to customary closing conditions, regulatory approvals and completion of financing. Each convertible preferred share was convertible into 139.86 common shares.</t>
  </si>
  <si>
    <t>Riviana Foods Inc</t>
  </si>
  <si>
    <t>Produce rice,rice products</t>
  </si>
  <si>
    <t>Ebro Puleva SA</t>
  </si>
  <si>
    <t>Produce,whl sugar,rice</t>
  </si>
  <si>
    <t>US - Ebro Puleva SA (EP) acquired all the outstanding common stock of Riviana Foods Inc (RF), a producer of rica and rice products, for $25.75 in cash per share, or a total value of $383.166 mil. Earlier, EP completed its tender offer for RF by accepting 13.947 mil shares, or 91.7% of RF's common shares outstanding. The offer was conditioned upon at least 66.67% of RF's shares being tendered on a fully-diluted basis. The transaction was subject to regulatory approvals.</t>
  </si>
  <si>
    <t>Thackeray Corp</t>
  </si>
  <si>
    <t>Pvd real estate leasing svcs</t>
  </si>
  <si>
    <t>EST Orlando Ltd</t>
  </si>
  <si>
    <t>Pvd building management svcs</t>
  </si>
  <si>
    <t>US - EST Orlando Ltd acquired all the outstanding common stock of Thackeray Corp, a provider of real estate licensing services, for $6.25 mil.</t>
  </si>
  <si>
    <t>US - Mylan Laboratories Inc (MLI) withrew its definitive agreement to acquire all the outstanding common stock of King Pharmaceuticals Inc (KP), a manufacturer and wholesaler of pharmaceuticals, in a stock swap transaction valued at $4.027 bil. MLI offered .9 common shares per KP share. Based on MLI's closing stock price of $18.51 on July 23, the last full trading day prior to the announcement, each KP share was valued at $16.66. Upon completion, MLI shareholders were to own 56% of the new company and KP shareholders 44%.</t>
  </si>
  <si>
    <t>Silhouette Brands Inc</t>
  </si>
  <si>
    <t>Produce low-fat ice creams</t>
  </si>
  <si>
    <t>Dreyers Grand Ice Cream Hldg</t>
  </si>
  <si>
    <t>Prod,whl ice cream</t>
  </si>
  <si>
    <t>US - Dreyers Grand Ice Cream Holdings Inc, a majrity-owned unit of Nestle SA, acquired all the oustanding stock of Silhouette Brands Inc, a producer of low-fat ice creams, for $4.76 in cash per share and $6.56 in cash per preferred share, or a total value of $65.061 mil.</t>
  </si>
  <si>
    <t>US - Cooper Cos Inc (CC) acquired all the outstanding common stock of Ocular Sciences Inc (OS), a manufacturer and wholesaler of soft contact lenses, in a stock swap transaction valued at $1.178 bil. CC offered $22 in cash and 0.3879 common shares per OS share. Based on CC's closing stock price of $56.9 on July 27, the last full trading day prior to the announcement, each OS share was valued at $44.072.</t>
  </si>
  <si>
    <t>interWAVE Communications</t>
  </si>
  <si>
    <t>Mnfr,whl wireless networks</t>
  </si>
  <si>
    <t>Alvarion Ltd</t>
  </si>
  <si>
    <t>Pvd wireless broadband svcs</t>
  </si>
  <si>
    <t>US - Alvarion Ltd (AL) acquired all the outstanding common stock of interWAVE Communications International Ltd (iC), a manufacturer and wholesaler of scaleable wireless networks, for an amended $4.18 in cash per share, or a total value of $39.546 mil. Previously, AAL withdrew its definitive agreement to acquire iC for $5.75 in cash per share, or a total value of $54.317 mil.</t>
  </si>
  <si>
    <t>Cox Enterprises Inc</t>
  </si>
  <si>
    <t>Pvd media,automotive svcs</t>
  </si>
  <si>
    <t>US - Cox Enterprises Inc (CEI) acquired the remaining 37.8% stake, or 246.826 mil common shares, which it did not already own, in Cox Communications Inc (CCI), an owner and operator of TV and radio stations, for a sweetened $34.75 in cash per share, or a total value of $8. 39 bil. Earlier, CEI completed its tender offer, by accepting 189.685 mil common shares, or 30% of CCI's common stock outstanding, in a going private transaction. Originally, CEI offered $32 in cash per share, or a total value of $7.603 bil. The offer was conditioned upon at least a majority of the shares being tendered.</t>
  </si>
  <si>
    <t>First National Bankshares FL</t>
  </si>
  <si>
    <t>US - Fifth Third Bancorp, Cincinnati, Ohio (FT), acquired First National Bankshares of Florida Inc, Naples, Florida (FN) in a stock swap transaction valued at $1.635 bil. FT offered 0. 5065 common shares per FN share. Based on FT's closing stock price of $49.36 on July 30, the last full trading day prior to announcement, each FN share was valued at $25.</t>
  </si>
  <si>
    <t>First Federal Bancorp,OH</t>
  </si>
  <si>
    <t>US - Park National Corp, Newark, Ohio, acquired all the outstanding common stock of First Federal Bancorp, Zanesville, Ohio, for $13.25 in cash, or a total value of $46.13 mil.</t>
  </si>
  <si>
    <t>ComBanc Inc,Delphos,OH</t>
  </si>
  <si>
    <t>First Defiance Financial,OH</t>
  </si>
  <si>
    <t>US - First Defiance Financial Corp, Defiance, Ohio (FD), acquired ComBanc Inc, Delphos, Ohio (CI), in a stock swap transaction valued at $38.03 mil. FD offered a choice of $17.2 in cash or comomn stock per CI share, subject to proration of a 50% cash and 50% stock consideration mix.</t>
  </si>
  <si>
    <t>Eagle Supply Group Inc</t>
  </si>
  <si>
    <t>Whl roofing,siding materials</t>
  </si>
  <si>
    <t>Gulfside Supply Inc</t>
  </si>
  <si>
    <t>Whl roofing,metal prod</t>
  </si>
  <si>
    <t>US - Gulfside Supply Inc completed its tender offer to acquire all the outstanding common stock of Eagle Supply Group Inc (ESG), a wholesaler of roofing and masonry supplies and related products, for $2.20 in cash per share, or a total value of $23.284 mil, by accepting 9.564 mil shares, or 93.162% of ESG's common shares outstanding, in a going private transaction. The offer was conditioned upon at least a majority of ESG's shares being tendered.</t>
  </si>
  <si>
    <t>ERI Acquisition Corp</t>
  </si>
  <si>
    <t>US - ERI Acquisition Corp (EA) acquired the remaining 34% stake, or 0.618 mil common shares, that it did not already own in Elmer's Restaurants Inc (ER), an owner and operator of restaurants, for $7.50 in cash per share, or a total value of $5.676 mil. Earlier, EA completed its tender offer by accepting 0.559 mil shares, or a total of 99% of ER's common shares outstanding. The offer was conditioned upon at least 90% of all of ER's shares being tendered.</t>
  </si>
  <si>
    <t>Mississippi View Holding</t>
  </si>
  <si>
    <t>MIVI Acquisition Corp</t>
  </si>
  <si>
    <t>US - MIVI Acquisition Corp, Little Falls, Minnesota, acquired all the outstanding stock of MIssissippi View Holding Co, a bank holding company, for $25.75 in cash per share, or a total value of $18.978 mil. The transaction was subject to regulatory approvals and other customary conditions.</t>
  </si>
  <si>
    <t>CNL Income Fund Ltd</t>
  </si>
  <si>
    <t>US Restaurant Properties Inc</t>
  </si>
  <si>
    <t>US - US Restaurant Properties Inc (USR) merged with each of the 18 CNL Income Funds, a real estate investment trust, for an estimated $540 mil. The consideration was to consist of $450mil in cash and $90 mil in newly issued USR Series A convertible preferred stock. The agreement was to be carried out in a series of transactions whereby each of the 18 CNL Income Fund will merge with a separate USR subsidiary. The transaction was subject to approval by shareholders and securing of adequate financing. Concurrently, USR definitively agreed to merge with CNL Restaurant Properties Inc.</t>
  </si>
  <si>
    <t>Chronimed Inc</t>
  </si>
  <si>
    <t>Whl pharm</t>
  </si>
  <si>
    <t>MIM Corp</t>
  </si>
  <si>
    <t>Pvd online pharm svcs</t>
  </si>
  <si>
    <t>US - MIM Corp (MC) merged with Chronimed Inc (CI), a wholesaler of pharmaceuticals, in a stock swap transaction valued at $92.337 mil. MC offered an amended 1.12 shares per CI share. Based on MC's closing stock price of $6.35 on December 31, the last full trading day prior to the announcement of amended terms, each CI share was valued at $7.112. Upon completion, CI shareholders were to own 37% and MC shareholders were to own 63% of the merged entity to be named BioScrip Inc. The transaction was subject to regulatory approval. Originally, MC offered 1.025 shares per CI share.</t>
  </si>
  <si>
    <t>Primus Knowledge Solutions Inc</t>
  </si>
  <si>
    <t>Dvlp knowledge software</t>
  </si>
  <si>
    <t>Art Technology Group Inc</t>
  </si>
  <si>
    <t>Develop ecommerce software</t>
  </si>
  <si>
    <t>US - Art Technology Group Inc (ATG) acquired all the outstanding common stock of Primus Knowledge Solutions Inc (PK), a developer of knowledge software, in a stock swap transaction valued at an estimated $31.051 mil. ATG offered 1.4169 ommon shares per PK share held. Based on ATG's closing stock price of $0.89 on August 9, the last full trading day prior to the announcement, each PK share was valued at $1.26.</t>
  </si>
  <si>
    <t>PHSB Financial Corp,PA</t>
  </si>
  <si>
    <t>US - ESB Financial Corp, Ellwood City, Pennsylvania (EF) acquired PHSB Financial Corp, Beaver Falls, Pennsylvania, a bank holding co, in a stock swap transaction valued at $82.617 mil. ESB offered a choise of $27 in cash or common stock, subject to proration whereby 50% of PF's common stock was to be exchanged for each PF stock.</t>
  </si>
  <si>
    <t>Mnfr,whl oil,gas drilling prod</t>
  </si>
  <si>
    <t>US - National-Oilwell Inc (NOI) merged with Varco International Inc (VCI), a manufacturer and wholesaler of oil and gas drilling products, in a stock swap transaction valued at $2.57 bil. NOI offered .8363 common shares per VCI share. Based on NOI's closing stock price of $30.85 on August 11, the last full trading day prior to announcement, each VCI share was valued at $25.80. Upon completion, the combined company was to change its name and continue operations as National Oilwell Varco Inc. Moreover, NOI shareholders were to own 51%, and VCI shareholders were to own 49%, of the combined company.</t>
  </si>
  <si>
    <t>Province Healthcare Co</t>
  </si>
  <si>
    <t>Own,op med,surgical hospitals</t>
  </si>
  <si>
    <t>LifePoint Hospitals Inc</t>
  </si>
  <si>
    <t>US - LifePoint Hospitals Inc (LPH) merged with Province Healthcare Co (PHC), an owner and operator of medical and surgical hospitals, to form a new company named LifePoint Hospitals Inc, in a stock swap transaction valued at $1. 27 bil. PHC shareholders received $11.375 in cash and . 2917 new company common shares, subject to a collar agreement, and LPH shareholders received 1 new company common share per share held. Based on LPH's closing stock price of $44.53 on April 14, 2005, the last full trading day prior to the announcement of the exact exchange ratio, each PHC share was valued at $24.378. Originally, LPH offered $11. 375 in cash and .3447 common shares per PHC share, subject to a collar agreement which was subsequently breached. Based on LPH's closing stock price of $32.74 on August 13, 2004, the last full trading day prior the announcement, each PHC share was originally valued at $22.661. Completion of the transaction was to be contingent upon shareholder approval, as well as arrangement of financing.</t>
  </si>
  <si>
    <t>US - Blackstone Group LP acquired all the outstanding common stock of Prime Hospitality Corp, a owner, operator and franchiser of hotels and motels, for $12.25 in cash, or a total value of $570.174 mil, in a going private transaction. The transaction was subject to shareholder approval.</t>
  </si>
  <si>
    <t>AngioDynamics Inc</t>
  </si>
  <si>
    <t>Mnfr vascular devices</t>
  </si>
  <si>
    <t>US - E-Z-M Inc (EZM) completed the spinoff of its 82.5% interest, or 9.2 mil common shares, in AngioDynamics Inc (ADI), a manufacturer of minimally- invasive vascular devices, to its shareholders, in a transaction valued at an estimated $84.18 mil. EZM shareholders received .856 ADI common shares per EZM share held. The shares were valued based on ADI's closing stock price of $9.15 on October 29, 2004, the first full trading day on which the shares were distributed.</t>
  </si>
  <si>
    <t>DE Shaw Laminar Portfolios</t>
  </si>
  <si>
    <t>US - D E Shaw Laminar Portfolios LLC withdrew its plans to acquire all the outstanding common stock of Riviera Holdings Corp (RH), an owner and operator of hotels, for $12 in cash, or a total value of $47.029 mil.</t>
  </si>
  <si>
    <t>Rouse Co</t>
  </si>
  <si>
    <t>US - General Growth Properties Inc acquired all the outstanding common stock of Rouse Co (RC), a real estate investment trust, for $67.50 in cash per share, or a total value of $12.589 bil, including the assumption of $5.4 bil in liabilities. Completion of the transaction was subject to RC shareholder approval.</t>
  </si>
  <si>
    <t>Dvlp gaming software</t>
  </si>
  <si>
    <t>US - Viacom Inc was rumored to be planning to acquire all the outstanding stoacks of Midway Games Inc, a developer and a marketer of gaming software and a unit of WMS Industries Inc. The Current status of this deal is unknown.</t>
  </si>
  <si>
    <t>Artisan Components Inc</t>
  </si>
  <si>
    <t>ARM Holdings PLC</t>
  </si>
  <si>
    <t>US - ARM Holdings PLC (AH) acquired Artisan Components Inc (AC), a manufacturer of integrated circuits, in a stock swap transaction valued at $932.752 mil. AH offered $9.6 cash and 4.41 American Depositary Shares (ADS) per AC share. Based on AH's ADS closing stock price of $5.51 on August 20, the last full trading day prior to announcement, each AC share was valued at $33.899.</t>
  </si>
  <si>
    <t>Price Legacy Corp</t>
  </si>
  <si>
    <t>PL Retail LLC</t>
  </si>
  <si>
    <t>Own,op shopping ctr</t>
  </si>
  <si>
    <t>US - PL Legacy Corp, a joint venture between Kimco Realty Corp and an undisclosed joint venture partner, acquired all the outstanding common stock of Price Legacy Corp, a real estate investment trust, for $18.85 in cash per share, or a total value of $748.284 mil, upon the closing of the merger, provided that, if the closing of the merger occurs after Oct 01, 2004, the merger consideration will be increased by an amount equal to a prorated common dividend fron Oct 1, 2004 through the closing of the merger. The transaction was subject to shareholders approval and other customary closing conditions.</t>
  </si>
  <si>
    <t>GFSB Bancorp Inc,NM</t>
  </si>
  <si>
    <t>First Fed Banc of the SW,NM</t>
  </si>
  <si>
    <t>US - First Federal Banc of the Southwest Inc, Roswell, New Mexico (FF), merged with GFSB Bancorp, Gallop, New Mexico (GB), in a stock swap transaction valued at $22.293 mil. FF offered a choice of $20 in cash or common stock, per GB share, subject to allocation whereby 51% of GB stock be exchanged for FF stock.</t>
  </si>
  <si>
    <t>Redwood Empire Bancorp,CA</t>
  </si>
  <si>
    <t>US - Westamerica Bancorp, San Rafael, California (WB) acquired Redwood Empire Bancorp, Santa Rosa, California (RE), bank holding company for National Bank of the Redwoods, in a stock swap transaction valued at an estimated $148.321 mil. WB offered $11.49 in cash and $17.25 in common stock per RE share.</t>
  </si>
  <si>
    <t>Southern Security Life Ins Co</t>
  </si>
  <si>
    <t>SSLIC Holding Co</t>
  </si>
  <si>
    <t>US - SSLIC Holding Co (SH), a unit of Security National Financial Corp, acquired the remaining 23% stake, or 0.484 mil common shares, in Southern Security Life Insurance Co (SS), for $3.84 per share, or a total value of $1.859 mil. Upon completion, SH would cease to exist and the surviving entity will be SS. The transaction was subject to regulatory approval.</t>
  </si>
  <si>
    <t>Winton Financial Corp,Ohio</t>
  </si>
  <si>
    <t>US - WesBanco Inc, Wheeling, West Virginia (WI), acquired Winton Financial Corp, Cincinnati, Ohio (WF), in a stock swap transaction valued at $104.669 mil. WI offered a choice of $20.75 or 0.755 common share per WF share. The transaction was subject to proration whereby, 60% of WF's common stock was to be exchanged for WI's stock. Based on WI's closing stock price of August 24, the last full trading day prior to the announcement, each WF share was valued at $20.98. The transaction was subject to regulatory and WF shareholder approval.</t>
  </si>
  <si>
    <t>US - Toronto-Dominion Bank acquired a 51% interest, or 172.9 mil common shares in Banknorth Group Inc, Portland, Maine (BG), for $3.77 bil. TD offered $12.24 in cash and .2351 common shares per BG share, and, upon completion, TD was to issue .49 newly issued BG shares per BG share held. Based on TD's closing stock price of $34.17 on August 25, the last full trading day prior to terms being announced, each BG share was valued at $40. Originally, TD was rumored to be in negotiations to acquire a majority interest in BG.</t>
  </si>
  <si>
    <t>FNB Bankshares,ME</t>
  </si>
  <si>
    <t>First National Lincoln Corp,ME</t>
  </si>
  <si>
    <t>US - First National Lincoln Corp, Damariscotta, Maine (FN) acquired FNB Bankshares, Bar Harbor, Maine (FB), in a stock swap transaction valued at $78.12 mil. FN offered $42 in common stock per FB share, subject to a collar agreement.</t>
  </si>
  <si>
    <t>Variflex Inc</t>
  </si>
  <si>
    <t>Whl sporting goods</t>
  </si>
  <si>
    <t>Bravo Sports Inc</t>
  </si>
  <si>
    <t>US - Bravo Sports acquired all the outstanding common stock of Variflex Inc, a wholesaler of in-line skates, skateboards, bicycle and recreational safety helmets and athletic protective equipment, for $7.6 in cash per share, or a total value of $37.904 mil.</t>
  </si>
  <si>
    <t>LNR Property Corp</t>
  </si>
  <si>
    <t>Own,op real estate properties</t>
  </si>
  <si>
    <t>Riley Property Holdings LLC</t>
  </si>
  <si>
    <t>US - Riley Property Holdings LLC (RP), a unit of Cerberus Capital Management LP, acquired all the outstanding common stock of LNR Property Corp (LNR), a real estate investment and management company, for $63.1 in cash per share, or a total value of $2.273 bil in cash, in a going private transaction. Upon completion, LNR Chairman Stuart Miller and other management members agreed to acquire 20.4% and 4.6% stakes in RP, respectively.</t>
  </si>
  <si>
    <t>Parkvale Financial Corp</t>
  </si>
  <si>
    <t>US - Parkvale Financial Corp, Monroeville, Pennsylvania acquired all the outstanding common stock of Advance Financial Bancorp, Wellsburg, West Virginia, for $26 in cash or a total value of $36. 83 mil.</t>
  </si>
  <si>
    <t>eCOST Com Inc</t>
  </si>
  <si>
    <t>US - PC Mall Inc (PC) spun off its eCOST Com Inc unit (EC), a provider of ecommerce retail services, to its shareholders, in a transaction valued at $86.143 mil. PC common shareholders received an estimated 1.2 EC common share per PC share held.</t>
  </si>
  <si>
    <t>Heartland Bancshares Inc,IN</t>
  </si>
  <si>
    <t>Blue River Bancshares Inc,IN</t>
  </si>
  <si>
    <t>US - Blue River Bancshares Inc, Shelbyville, Indiana (BR) withdrew from its definitive agreement to merge with Heartland Bancshares Inc, Franklin, Indiana (HB), in a stock swap transaction valued at $20.097 mil. BR offered 2. 54 shares per HB share. Based on BR's closing stock price of $5.39 August 31, the last full trading day prior to the announcement, each HB share was valued at $13.691. Upon completion, the merged entity was to be named HB.</t>
  </si>
  <si>
    <t>Computer Access Technology</t>
  </si>
  <si>
    <t>Pvd commun verification sys</t>
  </si>
  <si>
    <t>LeCroy Corp</t>
  </si>
  <si>
    <t>US - Lecroy Corp acquired all the outstanding common stock of Computer Access Technology Corp, a provider of communication verification services, for $6 in cash per share, or a total value of $118.033 mil.</t>
  </si>
  <si>
    <t>Epoch Biosciences Inc</t>
  </si>
  <si>
    <t>Nanogen Inc</t>
  </si>
  <si>
    <t>Mnfr diagnostic sys,prod</t>
  </si>
  <si>
    <t>US - Nanogen Inc (NI) merged with Epoch Biosciences Inc (EB), a biotechnology company, in a stock swap transaction valued at $57.806 mil. NI offered $2 in stock per EB share, subject to a collar agreement. The transaction was subject to approval by shareholders.</t>
  </si>
  <si>
    <t>First Financial Bancorp,CA</t>
  </si>
  <si>
    <t>Placer Sierra Bancshares,CA</t>
  </si>
  <si>
    <t>US - Placer Sierra Bancshares, Sacramento, California, a majority-owned unit of California Community Financial Institutions Fund LP, acquired all the oustanding common stock of First Financial Bancorp, Lodi, California (FF), for $25.4 in cash per share, or a total value of $51.146 mil. The transaction was subject to approval by FF shareholders.</t>
  </si>
  <si>
    <t>Artesyn Technologies Inc</t>
  </si>
  <si>
    <t>US - Bel Fuse Inc (BF) withdrew its hostile proposal to acquire the remaining 94. 8% interest, or 37.162 mil common shares, which it did not already own, in Artesyn Technologies Inc (AT), a manufacturer of power conversion products, in a stock swap transaction valued at $493.291 mil. BF offered 0. 265 Class B non-voting common share per AT share. Based on BF Class B's closing stock price of $37.22 on September 8, the last full trading day prior to the announcement, each AT share was valued at $9.863. Subsequently, Emerson Electric Co agreed to acquire all the outstanding common stock of AT.</t>
  </si>
  <si>
    <t>InterCept Inc</t>
  </si>
  <si>
    <t>US - Fidelity National Financial Inc (FN) acquired all the outstanding common stock of InterCept Inc (II), a developer of financial institutions software, for $18.9 in cash or a total value of $407.082 mil. Previously, FN offered a choice of $18.90 in cash per share or a combination of cash and FN common shares subject to proration procedure. The transaction was duly approved by the board of directors of II and was subject to customary conditions, regulatory and shareholder approval.</t>
  </si>
  <si>
    <t>NetSolve Inc</t>
  </si>
  <si>
    <t>Pvd network mgt svcs</t>
  </si>
  <si>
    <t>US - Cisco Systems Inc acquired all the outstanding stock of NetSolve Inc, a provider of network management and security services, for $11 per share, or a total value of $136.724 mil. The transaction was subject to closing conditions, shareholder and regulatory approval.</t>
  </si>
  <si>
    <t>Neuberger Berman Real Estate</t>
  </si>
  <si>
    <t>US - An investor group (IG), comprised of Lola Brown Trust No 1B and Ernest Horejsi Trust No1B, completed its tender offer to increase its interest to 63.72% from 10%, by acquiring a 53.72% interest, or 2.46 mil common shares, in Neuberger Berman Real Estate Income Fund Inc (NB), a closed-ended investment fund, for a sweetened $24.49 in cash per share, or a total value of $60.245 mil. Originally, IG launched an unsolicited hostile tender offer to raise its stake to 49.86% from 10%, by acquiring a 39.86% stake, or 1.825 mil common shares in NB. Subsequently, NB launched a defensive self-tender offer to acquire up to 20.61% of its common stock outstanding.</t>
  </si>
  <si>
    <t>US - An investor group (IG), comprised of Messrs Jonathan R. Wagner, Ruchard T. Kurth, Robert J. Bossart and the senior management team of SC withdrew its unsolicited offer to acquire all the outstanding common stock, Class A common stock and zero coupon convertible preferred stock of Security Capital Corp (SC), an insurance agency, for a sweetened $10. 85 per share, or a total value of $69.989 mil. The transaction was subject to due diligence and shareholder approval. Originally, IG offered $10.50 per share, or a total value of $78.141 mil. Previously, an investor group led by Mr Brian Fitzgerlad withdrew its plans to acquire the remaining 14.78% stake which it did not already own in SC. Subsequently, an investor group, including MTN Capital Partners LLC, withdrew unsolicited offer to acquire SC.</t>
  </si>
  <si>
    <t>DigitalNet Holdings Inc</t>
  </si>
  <si>
    <t>Pvd IT svcs</t>
  </si>
  <si>
    <t>BAE Systems Inc</t>
  </si>
  <si>
    <t>Pvd electronic systems svcs</t>
  </si>
  <si>
    <t>US - BAE Systems North America Inc, a unit of BAE Systems PLC, acquired all the outstanding common stock of DigitalNet Holdings Inc, a provider of Information Technology services, for $30. 25 in cash per share, or a total value of $596.243 mil, including the assumption of $93.25 mil in liabilities. The transaction was duly approved by the board of directors of both companies and was subject to regulatory approval.</t>
  </si>
  <si>
    <t>Grey Global Group Inc</t>
  </si>
  <si>
    <t>Pvd advertising svcs</t>
  </si>
  <si>
    <t>US - WPP Group PLC (WPP) acquired all the outstanding common stock of Grey Global Group Inc (GG), an advertising company, in a stock swap transaction valued at $1.411 bil. WPP offered a choice of $1,005 cash or 21. 746 American Depository shares (ADR) of WPP per GG common and class B share, subject to proration that was designed to ensure that 50% of (GG) shares was to be exchanged for cash and 50% of GG shares was to be exchanged for ADR shares. The transaction was subject to customary closing conditions including regulatory approval. Originally, in July 2004, GG an advertising company, announced that it was seeking a buyer for its self via auction.</t>
  </si>
  <si>
    <t>LOC Acquisition Co</t>
  </si>
  <si>
    <t>Acq vehicle co</t>
  </si>
  <si>
    <t>US - LOC Acquisition Co, an acquisition vehicle formed by Sony Corp of America, a unit of Sony Corp, Comcast Corp, Texas Pacific Group Inc, Providence Equity Partners Inc and DLJ Merchant Banking Partners, a unit of the Credit Suisse First Boston USA Inc subsidiary of CS First Boston Group Inc's (CFBG) Credit Suisse First Boston unit, acquired all the outstanding common stock of Metro-Goldwyn-Mayer (MGM), a producer and financier of motion picture, for $12 in cash per share, or a total value of $2.851 bil. CFBG was a unit of Credit Suisse Group. Originally, the IG was rumored to be planning to acquire all the outstanding common stock of MGM.</t>
  </si>
  <si>
    <t>Rag Shops Inc</t>
  </si>
  <si>
    <t>US - Sun Capital Partners Inc (SC) acquired a 55.67% interest, or 2.671mil common shares in Rag Shops Inc (RS), an owner and operator of homefurnishing stores, for $4. 3 in cash per share, or a total value of $11.486 mil. Concurrently, SC agreed to launch a tender offer to acquire the remaining 44.33% stake, which it did not already own in RS.</t>
  </si>
  <si>
    <t>US - Sun Capital Partners Inc (SC) acquired the remaining 44.33% stake, or 2. 295 mil shares, which it did not already own, in Rag Shops Inc (RS), an owner and operator of homefurnishing stores, for $4.3 in cash, or a total value of $9.388 mil, in a going private transaction. Concurently, SC acquired a 55.67% interest in RS.</t>
  </si>
  <si>
    <t>American Medical Security Grp</t>
  </si>
  <si>
    <t>US - Pacificare Health Systems Inc acquired all the outstanding common stock of American Medical Security Group Inc (AM), an owner and operator of HMOs, from Cobalth Corp, a unit of WellPoint Health Networks Inc, for $32.75 in cash per share, or a total value of $506.694 mil. The transaction was subject to approvals of AM shareholders, as well as other customary closing conditions.</t>
  </si>
  <si>
    <t>Adv Neuromodulations Sys Inc</t>
  </si>
  <si>
    <t>Mnfr neuromodulation devices</t>
  </si>
  <si>
    <t>US - Advanced Neuromodulation Systems Inc (AN) withdrew its unsolicited bid to acquire the remaining 85.3% interest, or 26.239 mil common shares, which it did not already own, in Cyberonics Inc, a manufacturer of implantable medical equipment, for a combination of $22 in cash and AN common stock per share, or a total value of $492.827 mil.</t>
  </si>
  <si>
    <t>Braun Consulting Inc</t>
  </si>
  <si>
    <t>Fair Isaac Corp</t>
  </si>
  <si>
    <t>Pvd analytic consulting svcs</t>
  </si>
  <si>
    <t>US - Fair Isaac Corp acquired all the outstanding common stock of Braun Consulting Inc, a provider of computer consulting services, for $2.34 in cash per share, or a total value of $40.643 mil. The transaction was approved by the shareholders. Upon completion, the merged entity was to be named Fair Isaac Consulting Inc.</t>
  </si>
  <si>
    <t>Obie Media Corp</t>
  </si>
  <si>
    <t>US - Lamar Advertising Co (LA) acquired all the outstanding common stock of Obie Media Corp, an advertising agency, for $65. 667mil. The consideration was to consist of 1 mil LA Class A common shares valued at $42 mil and the assumption of $23 mil in liabilities. LA may elect to pay a portion of the purchase price in cash. The shares were valued based on LA's closing stock price of $42 on September 17, the last full trading day prior to the announcement. The transaction was subject to the approval of stockholders and regulatory authorities.</t>
  </si>
  <si>
    <t>Endocardial Solutions Inc</t>
  </si>
  <si>
    <t>Mnfr heart monitor equip</t>
  </si>
  <si>
    <t>US - St Jude Medical Inc acquired all the outstanding common stock of Endocardial Solutions Inc (ES), a manufacturer of heart monitor equipment, for $11.75 in cash per share or a total value of $279.647 mil. The transaction was subject to customary closing conditions, regulatory approvals and approval by ES shareholders.</t>
  </si>
  <si>
    <t>Onyx Acceptance Corp</t>
  </si>
  <si>
    <t>Special consumer finance co</t>
  </si>
  <si>
    <t>Capital One Financial Corp</t>
  </si>
  <si>
    <t>US - Capital One Financial Corp acquired all the outstanding common stock of Onyx Acceptance Corp, a specialized consumer finance company, for $28 in cash per share, or a total value of $198.859 mil.</t>
  </si>
  <si>
    <t>Interstate Bakeries Corp</t>
  </si>
  <si>
    <t>Produce bakery products</t>
  </si>
  <si>
    <t>Ripplewood Holdings LLC</t>
  </si>
  <si>
    <t>US - Ripplewood Holdings LLC, a private equity firm, acquired a 50% interest in a bankruptcy sale, in Interstate Bakeries Corp (IB), a producer of bakery products, for USD 130 mil.</t>
  </si>
  <si>
    <t>CompX International Inc</t>
  </si>
  <si>
    <t>Mnfr fabricated metal products</t>
  </si>
  <si>
    <t>US - NL Industries Inc (NL), a unit of Contran Corp, acquired a 68% interest, or 10.307 mil common shares, in CompX International Inc, a manufacturer precision ball bering drawer slides, ergonomic computer support systems, and medium-security mechanical locks, a unit of Valhi Inc subsidiary of Contran Corp's Amalgamated Group Inc unit, in exchange for $168.6 mil in NL's long- term note receivable from Kronos Worldwide Inc,</t>
  </si>
  <si>
    <t>Intelligroup Inc</t>
  </si>
  <si>
    <t>US - An investor group, comprised of SB Asia Infrastructure Fund LP and Venture Tech Solutions Pvt Ltd, definitively agreed to acquire a 50.3% interest, or 17.647 mil common shares, in Intelligroup Inc, a provider of a wide range of information technology services, for $.85 per share, or a total value of $15 mil. The transaction was subject to the approval of regulatory authorities.</t>
  </si>
  <si>
    <t>Persistence Software Inc</t>
  </si>
  <si>
    <t>Develop server software</t>
  </si>
  <si>
    <t>US - Progress Software Corp acquired all the outstanding common stock of Persistence Software Inc, a developer of transactional application server software, for $5.7 in cash per share, or a total value of $16.055 mil. The transacion was approved by the directors and subject to the approval of regulatory authorities.</t>
  </si>
  <si>
    <t>Orbitz Inc</t>
  </si>
  <si>
    <t>Online travel agency</t>
  </si>
  <si>
    <t>US - Cendant Corp (CD) acquired all the outstanding common stock of Orbitz Inc (OBI), a provider of online travel services, for $27.50 in cash per share, or a total value of $1.26 bil. The offer was conditioned upon at least a majority of OBI's shares being tendered. Originally, CC was rumored to be in negotiations to acquire all the outstanding common stock of OBI.</t>
  </si>
  <si>
    <t>Alico Inc</t>
  </si>
  <si>
    <t>Own,op animal,fruit farm</t>
  </si>
  <si>
    <t>National Land Partners LLC</t>
  </si>
  <si>
    <t>US - National Land Partners LLC plans to launch an unsolicited tender offer to acquire all the outstanding common stock of Alico Inc, an owner and operator of an animal and fruit farm, for $55.75 in cash per share, or a total value of $412.169 mil have been withdrawn.</t>
  </si>
  <si>
    <t>US - ValueAct Capital Partners LP terminated its agreement to acquire the remaining 93.7% interest which it did not already own in MSC.Software Corp, a developer of mechanical engineering software, for $9 in cash per share, or a total value of $256.683 mil, in a going private transaction.</t>
  </si>
  <si>
    <t>Summit Properties Inc</t>
  </si>
  <si>
    <t>US - Camden Property Trust (CP) acquired Summit Properties Inc (SP), a real estate investment trust, in a stock swap transaction valued at $1.011 bil. CP offered a a choice of $31.2 in cash or 0. 6687 common shares per SP share, subject to proration whereby the maximum cash consideration was $434.4 mil.</t>
  </si>
  <si>
    <t>DuPont Photomasks Inc</t>
  </si>
  <si>
    <t>Mnfr photomasks</t>
  </si>
  <si>
    <t>Toppan Printing Co Ltd</t>
  </si>
  <si>
    <t>Provide printing services</t>
  </si>
  <si>
    <t>US - Toppan Printing Co Ltd acquired all the outsanding common stock of DuPont Photomasks Inc (DP), a manufacturer of photomasks, for $27 in cash per share or a total value of $641.555 mil. The transaction was subject to DP shareholder and regulatory approvals. Upon completion, DP was to be named Toppan Photomasks Inc.</t>
  </si>
  <si>
    <t>Netegrity Inc</t>
  </si>
  <si>
    <t>Dvlp sec solutions software</t>
  </si>
  <si>
    <t>US - Computer Associates International Inc acquired all the outstanding common stock of Netegrity Inc, a developer security solutions software, for $10.75 in cash per share of a total value of $449.51 mil. The transaction was subject to customary regulatory approvals.</t>
  </si>
  <si>
    <t>SI Technologies Inc</t>
  </si>
  <si>
    <t>US - Vishay Intertechnology Inc acquired the entire share capital of SI Technologies Inc (SI), a manufacturer and wholesaler of high- performance industrial sensors, weighing and factory automation systems and related products, for USD 4 in cash per share, or a total value of USD 17.719 mil. The transaction had been subject to the approval of SI shareholders and regulatory authorities.</t>
  </si>
  <si>
    <t>Anthony &amp; Sylvan Pools Corp</t>
  </si>
  <si>
    <t>Pvd pool installation svcs</t>
  </si>
  <si>
    <t>US - A management-led investor group, comprised of Anthony &amp; Sylvan Pools Corp's (AP) CEO Stuart D. Neitus, Board Chairman Howard P. Wertman and Mr. Thomas B. Waldin, planned to acquire all the outstanding common stock of Anthony &amp; Sylvan Pools Corp, a provider of pool and spa installation services, for $5.5 in cash per share, or a total value of $29.381 mil, in a going private transaction.</t>
  </si>
  <si>
    <t>Arrow-Magnolia Intl Inc</t>
  </si>
  <si>
    <t>Arrow Acquisition LP</t>
  </si>
  <si>
    <t>US - Arrow Acquisition LP acquired all the outstanding common stock of Arrow- Magnolia International Inc (AMI), a manufacturer and wholesaler of specialty chemical products, for $1.6 per share, or a total value of $5.854 mil. Upon completion, the merged entity was to be named AMI. The transaction was approved by the board of directors and subject to the approval of regulatory authorities.</t>
  </si>
  <si>
    <t>Softwall Equipment Corp</t>
  </si>
  <si>
    <t>Mnfr mining equip</t>
  </si>
  <si>
    <t>British Standards Institution</t>
  </si>
  <si>
    <t>Own,op bus assn</t>
  </si>
  <si>
    <t>US - British Standards Institution Inc, a unit of British Standards Institution, acquired a 65% interest or 0. 102 mil common shares in Softwall Equipment Corp, a manufaturer of mining and excavation equipments.</t>
  </si>
  <si>
    <t>Lawrence Financial Holdings</t>
  </si>
  <si>
    <t>Pvd mortgage loan svcs</t>
  </si>
  <si>
    <t>Oak Hill Finl Inc,Jackson,OH</t>
  </si>
  <si>
    <t>US - Oak Hill Financial Inc (OH) merged with Lawrence Financial Holdings Inc (LF), a provider of mortgage and consumer loan services, for $15.981 mil. OH offered a choice of $23.75 in cash, common shares or a combination of both. The transaction was subject to proration whereby the shareholders of LF may elect to receive 48%-50% in cash or 50%-52% in common shares. The transaction was subject to customary closing conditions, due diligence, shareholder and regulatory approval.</t>
  </si>
  <si>
    <t>First Health Group Corp</t>
  </si>
  <si>
    <t>Coventry Health Care Inc</t>
  </si>
  <si>
    <t>US - Coventry Health Care Inc (CH) acquired all the outstanding common stock of First Health Group Corp (FH), an insurance agent and owner and operator of HMO, for $18. 697 per share or a total value of $1.745 bil. CH offered $9.75 in cash and 0. 1791 common shares per FH share. The shares were valued based on FH's closing stock price of $52.05 on October 13, the last full trading day prior to the announcement.</t>
  </si>
  <si>
    <t>NSD Bancorp Inc,Pittsburgh.PA</t>
  </si>
  <si>
    <t>US - FNB Corp, (FNB) Hermitage, Pennsylvania acquired NSD Bancorp Inc (NB), Pittsburgh, Pennsylvania, in a stock swap transaction valued at $159.888 mil. FNB offered 1.8 common shares per NB share. Based on FNB's closing stock price of $24.15, each NB share was valued at $43.47. The transaction was subject to regulatory approvals.</t>
  </si>
  <si>
    <t>Penn-America Group Inc</t>
  </si>
  <si>
    <t>United National Group Ltd</t>
  </si>
  <si>
    <t>US - United National Group Ltd (UNG) merged with Penn- America Group Inc (PAG), an insurance company, in a stock swap transaction valued at $233.123 mil. UNG offered $1. 50 in cash per PAG share and $13.875 in common stock. Concurrently, UNG merged with family-owned Penn Independent Corp. On completion of the three-way merger, the combined company was named United America Indemnity Ltd (UAI), and UNG shareholders were to hold a 75% interest and PAG shareholders were to hold a 25% stake in UAI.</t>
  </si>
  <si>
    <t>John Q Hammons Hotels Inc</t>
  </si>
  <si>
    <t>Barcelo Gestion Hotelera SL</t>
  </si>
  <si>
    <t>US - Barcelo Crestline Corp, a unit of Grupo Barcelo, withdrew from its plan to acquire all the outstanding Class A common stock of John Q. Hammons Hotels Inc, an owner and operator of hotel, for $13 in cash, or a total value of $79.473 mil.</t>
  </si>
  <si>
    <t>Peoples Cmnty Capital Corp,SC</t>
  </si>
  <si>
    <t>First Citizens Bk &amp; Tr Co Inc</t>
  </si>
  <si>
    <t>US - First Citizens Bank &amp; Trust Co Inc, Columbia, South Carolina, a unit of First Citizens Bancorp Inc, Columbia, South Carolina, merged with People's Community Capital Corp, for $30 in cash per share, or a total value of $122.375 mil.</t>
  </si>
  <si>
    <t>Own,op acute care hosp</t>
  </si>
  <si>
    <t>EGL Holding Co</t>
  </si>
  <si>
    <t>US - EGL Holding Co, an entity formed by Welsh Carson Anderson &amp; Stowe and Thoma Cressey Equity Partners, acquired all the outstanding common stock of Select Medical Corp, an owner and operator of acute care hospitals, for $18 in cash per share, or a total value of $1.994 bil, in a going private transaction.</t>
  </si>
  <si>
    <t>Robert Mondavi Corp</t>
  </si>
  <si>
    <t>Produce,whl fine wines</t>
  </si>
  <si>
    <t>US - Constellation Brands Inc (CBI) acquired all the outstanding common stock of Robert Modavi Corp (RMC), a producer and wholesaler of fine wines, for a sweetened $56.5 in cash per Class A common share and $65.82 in cash per Class B common share, which was equivalent to an average of $59.767 in cash per share, or a total value of $1.029 bil. Originally, CBI made an unsolicited bid to acquire all the outstanding common stock of RMC, for $53.00 in cash per Class A common share and $61. 75 in cash per Class B common share, which was equivalent to an average of $56.067 in cash per share, or a total value of $962.173 mil.</t>
  </si>
  <si>
    <t>Optometrics Corp</t>
  </si>
  <si>
    <t>Mnfr optical systems</t>
  </si>
  <si>
    <t>Dynasil Corp of America</t>
  </si>
  <si>
    <t>Mnfr photonic prod</t>
  </si>
  <si>
    <t>US - Dynasil Corp of America acquired Optometrics LLC, a manufacturer of optical systems.</t>
  </si>
  <si>
    <t>Boca Resorts Inc</t>
  </si>
  <si>
    <t>Own,op leisure resorts</t>
  </si>
  <si>
    <t>Blackstone RE Advisors LP</t>
  </si>
  <si>
    <t>US - Blackstone Real Estate Advisors LP, a unit of Blackstone Group, acquired all the outstanding common stock of Boca Resorts Inc, an owner and operator of leisure and recreational resorts, for $24 per share, or a total value of $1.031 bil, in a going private transaction. The transaction was subject to shareholder approval and customary closing conditions.</t>
  </si>
  <si>
    <t>Colonial Properties Trust Inc</t>
  </si>
  <si>
    <t>US - Colonial Properties Trust (CPT) acquired Cornerstone Realty Income Trust Inc (CRIT), a real estate investment trust, in a stock swap transaction valued at $613.141 mil. CPT offered . 2584 shares per CRIT share. Based on CPT's closing stock price of $42.16 on October 22, the last full trading day prior to announcement, each CRIT share was valued at $10. 89.</t>
  </si>
  <si>
    <t>Yosemite Bank,Mariposa,CA</t>
  </si>
  <si>
    <t>Premier Valley Bank,Fresno,CA</t>
  </si>
  <si>
    <t>US - Premier Valley Bank, Fresno, California acquired all the outstanding common stock of Yosemite Bank, Mariposa, California, for $32 in cash per share, or a total value of an estimated $28.83 mil.</t>
  </si>
  <si>
    <t>International Steel Group Inc</t>
  </si>
  <si>
    <t>Mnfr flat rolled steel</t>
  </si>
  <si>
    <t>Ispat International NV</t>
  </si>
  <si>
    <t>Mnfr steel;steel mill</t>
  </si>
  <si>
    <t>US - Ispat International NV (IPT), 77% majority-owned by the Mittal family, merged with International Steel Group Inc (ISG), a manufactuer of flat rolled steel, in a stock swap transaction valued at $3.796 bil. IPT offered 21.00 in cash plus .609 ordinary shares per ISG share, subject to a collar agreement. Based on IPT's closing stock price of $25.34 on October 22, 2004, each ISG share was valued at $36.43. Concurrently, IPT agreed to merge with LNM Holdings NV, a unit of Mittal family-owned LNM Group, to form a new entity named Mittal Steel Co NV.</t>
  </si>
  <si>
    <t>ATA Holdings Corp</t>
  </si>
  <si>
    <t>US - Bankrupt ATA Holdings Corp (ATA), an owner and operator of passenger airline, completed its debt restructuring with creditors (CR). On completion, CR's owned 100% of the restructured ATA.</t>
  </si>
  <si>
    <t>GameStop Corp</t>
  </si>
  <si>
    <t>Own,op video game stores</t>
  </si>
  <si>
    <t>US - Barnes &amp;Noble Inc (BN) completed the spinoff of its 53.09% interest, or 29.902 mil Class B common shares in GameStop Corp (GC), an owner and operator video game and software stores, to its shareholders, in a transaction valued at $717.64 mil. BN shareholders received 0.4248 GC Class B shares for every BN share held. The shares were valued based on GC's closing stock price of $24 on November 12, the first full trading day on which the shares were distributed.</t>
  </si>
  <si>
    <t>IGI Inc</t>
  </si>
  <si>
    <t>Mnfr encapsulation tech</t>
  </si>
  <si>
    <t>Senetek PLC</t>
  </si>
  <si>
    <t>US - Senetek PLC (SP) withdraw its letter of intent to acquire IGI Inc, a manufacturer of dermatological and consumer skin care products, in a stock swap transaction. The transaction was subject to due diligence. Upon completion, SP shareholders were to hold 60% of a newly formed holding company.</t>
  </si>
  <si>
    <t>Pointe Financial Corp,FL</t>
  </si>
  <si>
    <t>US - South Financial Group Inc, Greenville, South Carolina (SF), acquired Point Financial Corp, Boca Raton, Florida (PF), in a stock swap transaction valued at $103. 467 mil. The consideration was to consist of $24.493 mil in cash and 2.554 mil common shares valued at $79.174 mil. PF's shareholders may elect to receive a choice of cash, common shares or a combination of both. The shares were valued based on SF's closing stock price of $31 on October 26, the last full trading day prior to the announcement. The transaction was subject to due diligence, shareholder and regulatory approval.</t>
  </si>
  <si>
    <t>Prime/Mansur Invest Partners</t>
  </si>
  <si>
    <t>US - Prime/Mansur Investment Partners LLC, a joint venture between Mansur &amp; Co and Prime Group Inc, withdrew its definitive agreement to acquire all the outstanding common stock of Prime Group Realty Trust, a real estate investment trust company, for $6.70 cash per share, or a total value of $756.665 mil, including the assumption of $598 mil in liabilities. The transaction was approved by the board and subject to the approval of common shareholders and regulatory authorities.</t>
  </si>
  <si>
    <t>US - An investor group, including MTN Capital Partners LLC, withdrew its unsolicited offer to acquire all the outstanding common stock, Class A common stock and preferred stock of Security Capital Corp (SC), an insurance agency, for $11 in cash per share, or a total value of $79.109 mil. The transaction was subject to due diligence and shareholder approval. Previously, an investor group, including Mr Brian Fitzgerald withdrew its plans to acquire the remaining 14.78% stake which it did not already own in SC. Subsequently, an investor group, comprised of Messrs Robert J. Bossart, Jonathan R. Wagner, Richard T. Kurth and the management of CompManagement Inc, withdrew its agreement to acquire SC.</t>
  </si>
  <si>
    <t>Rippe &amp; Kingston Systems Inc</t>
  </si>
  <si>
    <t>Pvd accounting,audit svcs</t>
  </si>
  <si>
    <t>US - Rippe &amp; Kingston Systems Inc planned to make an unsolicited offer to acquire all the outstanding common stock of ASA International Ltd (AI), a developer of enterprise software, for $6 in cash, or a total value of $11.731 mil. Previously, AI received an unsolicited offer from an undisclosed acquirer.</t>
  </si>
  <si>
    <t>Storage Acquisition Co LLC</t>
  </si>
  <si>
    <t>US - Storage Acquisition Co LLC, completed its tender offer to acquire all the outstanding common stock of Home Products International Inc (HP), a manufacturer and wholesaler of houseware products, via a tender offer for $2.25 in cash per share, or a total value of $17.957 mil, in a going private transaction. The offer was conditioned upon at leat 80% of HP's shares being tendered. The transaction was subject to customary closing conditions.</t>
  </si>
  <si>
    <t>Kaneb Pipe Line Partners LP</t>
  </si>
  <si>
    <t>Valero LP</t>
  </si>
  <si>
    <t>Own,op crude oil pipeline</t>
  </si>
  <si>
    <t>US - Valero LP (VL), a majority-owned unit Valero Energy Corp, acquired all the outstanding common stock of Kaneb Pipe Line Partners LP (KP), an owner and operator of petroleum product pipelines, in a stock swap transaction valued at $1.744 bil. VL offered 1.0231 common units per KP unit. Based on VL's closing stock price of $60.19 on June 30, the last full trading day prior to the announcement, of the exact exchange ratio, each KP share was valued at $61.58. Originally, VL offered $61.5 in LP common units per KP common unit, subject to a collar agreement which was subsequently breached. Concurrently, VL acquired all the outstanding common stock of Kaneb Services LLC. The transactions were subject to approval of unit holders and customary regulatory authorities.</t>
  </si>
  <si>
    <t>Kaneb Services LLC</t>
  </si>
  <si>
    <t>Pvd industrial field svcs</t>
  </si>
  <si>
    <t>US - Valero LP (VL), a majority-owned unit Valero Energy Corp acquired all the outstanding common stock of Kaneb Services LLC (KS), a provider of industrial field services, for $43.31 in cash, or a total value of $515.699 mil. Concurrently, VL merged with Kaneb Pipe Line Partners LP, in a stock swap transaction. The transactions were subject to approval of VL unit holders, KS shareholders and customary regulatory authorities.</t>
  </si>
  <si>
    <t>Argosy Gaming Co</t>
  </si>
  <si>
    <t>Own,op riverboat casino</t>
  </si>
  <si>
    <t>US - Penn National Gaming Inc acquired all the outstanding common stock of Argosy Gaming Co (AG), an owner and operator of riverboat casinos and related entertainment facilities, for $47 in cash per share, or a total value of $2.213 bil, including the assumption of up to $805 mil in liabilities. The transaction was approved by AG's stockholders and regulatory authorities.</t>
  </si>
  <si>
    <t>Detwiler Mitchell &amp; Co</t>
  </si>
  <si>
    <t>Pvd asset mgmt svcs</t>
  </si>
  <si>
    <t>DMFG Acquisition Corp</t>
  </si>
  <si>
    <t>US - DMFG Acquisition Corp, a company formed for the purpose of making an acquisition, planned to acquire the remaining 35% stake, or 1.121 mil common shares which it did not already own in Detwiler Mitchell &amp; Co, a provider of asset management services, for $1.25 in cash per share. or a total value of $1.4 mil, in a going private transaction.</t>
  </si>
  <si>
    <t>Extendicare Health Svcs Inc</t>
  </si>
  <si>
    <t>Own,op senior care facilities</t>
  </si>
  <si>
    <t>US - Extendicare Health Services Inc, a unit of Extendicare Inc, acquired all the outstanding common stock of Assisted Living Concepts Inc, an owner and operator of assited living homes, for $18. 50 in cash per share, or a total value of $127.969 mil. The transaction was subject to customary closing conditions, regulatory and shareholder approval.</t>
  </si>
  <si>
    <t>MarketWatch Inc</t>
  </si>
  <si>
    <t>US - Viacom Inc withdrew its plans to acquire the remaining 77.7% interest, or 16.592 mil common shares, which it did not already own in Marketwatch Inc, a provider of online multimedia business news services.</t>
  </si>
  <si>
    <t>Sequoia Natl,San Francisco,CA</t>
  </si>
  <si>
    <t>First Natl Bank of Nrthn CA,CA</t>
  </si>
  <si>
    <t>US - First National Bank of Northern California, San Francisco, California, a unit of FNB Bancorp, San Francisco, California, agreed to acquire all the outstanding common stock of Sequoia National Bank, San Francisco, California, for an estimated $11.7 mil. The transaction was subject to shareholders and regulatory approvals.</t>
  </si>
  <si>
    <t>American Pacific Bank,OR</t>
  </si>
  <si>
    <t>Riverview Bancorp Inc</t>
  </si>
  <si>
    <t>Svgs,loan bk hldg co</t>
  </si>
  <si>
    <t>US - Riverview Bancorp Inc, Vancouver, Washington (RB) acquired all the outstanding stock of American Pacific Bank, Portland, Oregon, for $34.35 mil. RB offered $17.6 mil in cash and 0.789 mil common shares valued at $16. 758 mil. The shares were valued based on RB's closing stock price of $21.25 on November 8, the last full trading day prior to the announcement. The transaction was subject to shareholder and regulatory approval.</t>
  </si>
  <si>
    <t>Citizens First Financial Corp</t>
  </si>
  <si>
    <t>Savings,loan bk hldg co</t>
  </si>
  <si>
    <t>Main Street Trust Inc,Il</t>
  </si>
  <si>
    <t>US - Main Street Trust Inc, (MS) Champaign, Illinois, acquired Citizens First Financial Corp (CF), Blommington, Ohio, in a stock swap transaction valued at $58.254 mil. MS offered a choice of $35 in cash or 1. 105 MS common shares or a combination of both per CF share, subject to a proration whereby the maximum cash consideration and stock consideration was 50% each of the total consideration.</t>
  </si>
  <si>
    <t>US - Lacy Distribution Inc, a unit of LDI Ltd LLC, launched a tender offer to acquire the remaining 27.5% stake or 2.143 mil common shares, which it did not already own in FinishMaster Inc (FM), a wholesaler of automotive paint and coatings, for $13.25 per share, or a total value of $28.388 mil. The offer was conditioned upon at least 0.850 mil of FM's remaining shares being tendered.</t>
  </si>
  <si>
    <t>BT Group PLC</t>
  </si>
  <si>
    <t>US - BT Group PLC acquired all the outstanding common stock of Infonet Services Corp, a provider of network communication services, for $2.06 in cash per share, or a total value of $963.218 mil.</t>
  </si>
  <si>
    <t>Advanced Medical Optics Inc</t>
  </si>
  <si>
    <t>Mnfr,whl eyecare equip</t>
  </si>
  <si>
    <t>US - Advanced Medical Optics Inc (AM) acquired all the outstanding common stock of VISX Inc (VI), a manufacturer of surgical instruments and systems, in a stock swap transaction valued at $1.478 bil. AM offered $3.5 in cash and .552 AM common shares per VI share. Based on AM's closing stock price of $41.7 on November 8, the last full trading day prior to the announcement, each VI share was valued at $26.52. Upon completion, VI shareholders were to own a 58.5% and the remaining 41.5% by AM shareholders in the combined entity. Subsequently, the combined company was to be named AM.</t>
  </si>
  <si>
    <t>Wells Financial Corp</t>
  </si>
  <si>
    <t>Provides banking services</t>
  </si>
  <si>
    <t>Opportunity Partners LP</t>
  </si>
  <si>
    <t>Hedge fund firm</t>
  </si>
  <si>
    <t>US - Opportunity Partners LP (OP) withdrew its unsolicited offer to acquire the remaining 91.71% interest, or 1.065 mil common shares, which it did not already own, in Wells Financial Corp (WF), a savings and loan holding company, for a sweetened $35 in cash per share, or a total value of $38.759 mil. Previously, OP offered $33 in cash per share, or a total value of $38.564 mil. Originally, WF completed a Dutch auction self-tender for up to 0.150 common shares, or 12.92% of its common stock outstanding, with the intention of going private.</t>
  </si>
  <si>
    <t>Barneys New York Inc</t>
  </si>
  <si>
    <t>Own,op apparel stores</t>
  </si>
  <si>
    <t>US - Jones Apparel Group Inc (JA) acquired all the outstanding common stock of Barneys New York Inc (BN), an owner and operator of luxury branded apparel stores, for $19 in cash per share, or a total value of $286.279 mil. As part of the transaction, JA was to fund the repurchase of all of BN's outstanding Senior Secured Notes due 2008, with a face value of $106 mil, through a tender offer which was to be executed by BN. The transaction was approved by both company's board.</t>
  </si>
  <si>
    <t>US - Steel Partners II LP withdrew its unsolicited plans to acquire all the outstanding common stock of GenCorp Inc, a manufacturer of solid and liquid rocket propulsion systems, for $17 in cash per share, or a total value of $933.093 mil, in a going private transaction. The transaction was subject to the approval of regulatory authorities.</t>
  </si>
  <si>
    <t>US - Blockbuster Inc (BI) withdrew from its unsolicited challenging offer to acquire all the outstanding common stock of Hollywood Entertainment Corp (HE), an owner and operator of video rental stores, for a sweetened $14.50 in cash and $3 Class A common shares per share, or a total value of $962.706 mil. Originally, BI offered $11.50 in cash per share, or a total value of $759.874 mil. The transaction was subject to regulatory approval. Previously, Leonard Green &amp; Partners LP withdrew its definitive agreement to merge with HE. Subsequently, Movie Gallery Inc acquired all the outstanding common stock of HE.</t>
  </si>
  <si>
    <t>US - WR Grace &amp; Co (WRG), a Columbia-based manufacturer of chemical products, completed a debt restructuring transaction with creditors (CRs). CRs received cash, common shares and warrants convertible into common shares. On completion, CRs received 65.1% interest in restructured WRG. The book value of the existing debt that was exchanged under the terms of the offer was USD 2. 57 bil.</t>
  </si>
  <si>
    <t>Dow Jones &amp; Co Inc</t>
  </si>
  <si>
    <t>Pvd global bus,fin news svcs</t>
  </si>
  <si>
    <t>US - Dow Jones &amp; Co Inc acquired all the outstanding common stock of MarketWatch Inc (MW), a provider of online multimedia business news services, for $18 in cash per share, or a total value of $511.887 mil. The transaction was subject to regulatory and MW shareholders approvals.</t>
  </si>
  <si>
    <t>PX Holding Corp</t>
  </si>
  <si>
    <t>Pvd camera,lighting rental svc</t>
  </si>
  <si>
    <t>US - PX Holding Corp, a wholly-owned unit of MacAndrews &amp; Forbes Holdings Inc, acquired a 96.3% interest in Panavision Inc, a camera systems manufacturer.</t>
  </si>
  <si>
    <t>PennRock Finl Svcs Corp,PA</t>
  </si>
  <si>
    <t>Cmnty Banks Inc,Harrisburg,PA</t>
  </si>
  <si>
    <t>US - Community Banks Inc, Harrisburg, Pennsylvania (CB), merged with PennRock Financial Services Corp, Blue Ball, Pennsylvania (PF), in a stock swap transaction valued at $343.633 mil. CB offered 1. 4 common shares per PF share. Based on CB's closing stock price on November 15, the last full trading day prior to the announcement, each PF share was valued at $44.058. The transaction was subject to regulatory and shareholder approval.</t>
  </si>
  <si>
    <t>KMart Holding Corp</t>
  </si>
  <si>
    <t>US - Kmart Holding Corp (KMH) merged with Sears Roebuck &amp; Co (SRC), an owner and operator of department stores, to form Sears Holding Corp (SHC) in a stock swap transaction valued at $10.901 bil. SRC shareholders were to have a choice to receive $50 in cash or .5 new SHC common shares and KMH shareholders were to receive 1 new SHC common share per share held. Based on KMH's closing stock price of $101.22 on November 16, 2004, each SRC share was valued at $50.61. Upon completion, the combined company was to be headquartered in the Chicago, Illinois area. The transaction was to be subject to KMH shareholder approval.</t>
  </si>
  <si>
    <t>SMTEK International Inc</t>
  </si>
  <si>
    <t>Mnfr circuit boards</t>
  </si>
  <si>
    <t>US - CTS Corp (CC) acquired all the outstanding common stock of SMTEK International Inc, a manufacturer of circuit boards, for an estimated $14.3 in cash and CC common stock per share, or a total value of $44.719 mil. The transaction was subject to approval of SI shareholders.</t>
  </si>
  <si>
    <t>US - Mr Carl Icahn withdrew his unsolicited bid to acquire the remaining 90.2% interest, or 242.731 mil common shares, which he did not already own, in Mylan Laboratories Inc (MLI), a manufacturer and wholesaler of pharmaceuticals, for $20. 00 in cash per share, or a total value of $4.99 bil, in a going private transaction.</t>
  </si>
  <si>
    <t>Movie Gallery Inc</t>
  </si>
  <si>
    <t>Pvd video rental svcs</t>
  </si>
  <si>
    <t>US - Movie Gallery Inc (MGI) acquired all the outstanding common stock of Hollywood Entertainment Corp (HE), an owner and operator of video rental stores, for $13.25 in cash per share, or a total value $1.221 bil, including the assumption of $350 mil in liabilities. The transaction was subject to regulatory and shareholder approval. Originally, in November 2004, MGI made an unsolicited challenging offer to acquire all the outstanding common stock of HE. Previously, Leonard Green &amp; Partners LP withdrew from its definitive agreement to merge with HE. Subsequently, Blockbuster Inc made an unsolicited challenging offer to acquire HE.</t>
  </si>
  <si>
    <t>Starcraft Corp</t>
  </si>
  <si>
    <t>Mnfr luxury conversion vans</t>
  </si>
  <si>
    <t>Quantum Fuel Systems Tech Inc</t>
  </si>
  <si>
    <t>Energy company</t>
  </si>
  <si>
    <t>US - Quantum Fuel Systems Technologies Worldwide Inc (QF) acquired Starcraft Corp (SC), a manufacturer of second stage custom vehicles, in a stock swap transaction valued at $242.078 mil. QF offered 2.34 common shares per SC share. Based on QF's closing stock price of November 22, the last full trading day prior to the announcement, each SC share was valued at $26.442. The transaction was duly approved by the board of directors of both companies and was subject to customary closing conditions, regulatory and shareholder approval.</t>
  </si>
  <si>
    <t>Ionics Inc</t>
  </si>
  <si>
    <t>Mnfr water purification prod</t>
  </si>
  <si>
    <t>US - GE Infrastructure, a unit of General Electric Co acquired all the outstanding common stock of Ionics Inc, a manufacturer of water purification products, for $44.00 in cash per share, or a total value of $1.272 bil, including the assumption of $200 mil in liabilities</t>
  </si>
  <si>
    <t>Nassda Corp</t>
  </si>
  <si>
    <t>Dvlp analysis software</t>
  </si>
  <si>
    <t>US - Synopsys Inc acquired all the outstanding common stock of Nassda Corp, a developer of full-chip circuit simulation and analysis software, for $7 in cash per share, or a total value of $210.079 mil. The transaction was subject to the approval of shareholders and regulatory authorities.</t>
  </si>
  <si>
    <t>PhotoMedex Inc</t>
  </si>
  <si>
    <t>Mnfr,whl excimer laser sys</t>
  </si>
  <si>
    <t>US - PhotoMedex Inc (PM) merged with ProCyte Corp (PC), a manufacturer and wholesaler of skincare products, in a stock swap transaction valued at $26.571 mil. PM offered 0.6622 common share per PC share. Based on PM's closing stock price of $2.25 November 30, the last full trading day prior to the announcement, each PC share was valued at $1.49. The transaction was duly approved by the Board of Directors of both companies and was subject to customary closing conditions and shareholder approval.</t>
  </si>
  <si>
    <t>Shrewsbury Bancorp,NJ</t>
  </si>
  <si>
    <t>US - Valley National Bancorp, Wayne, New Jersey (VN), merged with Shrewsbury Bancorp, Shrewsbury, New Jersey (SB), in a stock swap transaction valued at $141. 518 mil. VN offered a choice of $48 in cash or common shares, or a combination of both, per SB share. The transaction was subject to proration whereby SB shareholders may elect to receive up to 40% in cash and 60% in common stock. VN will issue 4.8 mil common stock if all SB shareholders elect to receive common shares. The transaction was subject to SB shareholder and regulatory approval.</t>
  </si>
  <si>
    <t>I-Many Inc</t>
  </si>
  <si>
    <t>Dvlp contract mgmt software</t>
  </si>
  <si>
    <t>Selectica Inc</t>
  </si>
  <si>
    <t>US - Selectica Inc withdrew its definitive agreement to acquire all the outstanding common stock of I-Many inc, a provider of Internet based solutions, software, and related professional services, for $1.55 in cash per share, or a total value of $75.209 mil. The transaction was approve by the board of directors and was subject to the approval of regulatory authorities.</t>
  </si>
  <si>
    <t>US - An investor group comprised of Carl Zeiss AG (CZ) and EQT III Fund (EF) acquired all the outstanding common stock of SOLA International Inc, a manufacturer and wholesaler of opthalmic goods, for $28 in cash per share, or a total value of $1.208 bil, including the assumption of an estimated $285 mil in liabilities. CZ and EF were to form a new company which they will own equally. The transaction was subject to regulatory approvals.</t>
  </si>
  <si>
    <t>KNBT Bancorp Inc,Bethlehem,PA</t>
  </si>
  <si>
    <t>US - KNBT Bancorp Inc, Bethlehem, Pennsylvania (KB) acquired Northeast Pennsylvania Financial Corp, Hazleton, Pennsylvania (NP), in a stock swap transaction valued at $98.657 mil. KB offered a choice of $23 in cash or KB common shares. The transaction was subject to proration whereby 50% was to be paid in common stock. The transaction was subject to customary closing conditions, regulatory and NP shareholder approval.</t>
  </si>
  <si>
    <t>TippingPoint Technologies Inc</t>
  </si>
  <si>
    <t>Mnfr network defense sys</t>
  </si>
  <si>
    <t>US - 3Com Corp acquired all the outstanding common stock of TippingPoint Technologies Inc, a manufacturer of network defense systems, for $47 in cash per share, or a total value of $407.662 mil. The transaction was approved by regulatory authorities.</t>
  </si>
  <si>
    <t>US - Johnson &amp; Johnson Inc (JJ) withdrew its definitive agreement to acquire all the outstanding common stock of Guidant Corp (GC), a manufacturer of cardiovascular equipment, in a transaction valued at $23. 676 bil. JJ offered a sweetened $40.52 in cash and . 493 common shares per GC share. Based on JJ's closing stock price of $62.21 on January 12, the last full trading day prior to the amendment of terms, each GC share was valued at $71.19. Previously, JJ offered a sweetened $37.52 cash and . 493 common shares per GC share. Previously, JJ offered an amended 33.25 in cash and . 493 common shares per GC share. Originally, JJ offered $30.4 in cash and $45.6 in JJ common stock per GC share, subject to a collar agreement. The transaction was subject to regulatory and customary closing conditions. Originally, JJ was rumored to be in negotiations to acquire all the outstanding common stock of GC. Subsequently, Boston Scientific Corp made an unsolicited challenging offer to acquire GC.</t>
  </si>
  <si>
    <t>US - Sprint Corp (SC) merged with Nextel Communications Inc (NCC), a provider of wireless telecommunications services, to form Sprint Nextel (SN) in a stock swap transaction valued at $38.975 bil. NCC common shareholders were to receive $.50 in cash and 1.28 SN common shares, and SC shareholders were to receive 1 SN common share per SC share held. Based on SC's closing stock price of $25.10 on December 14, 2004, the last full trading day prior to the announcement, each NCC share was valued at $32.63. Upon completion of the merger of equals transaction, SC shareholders were to hold 50% and NCC shareholders were to hold 50% in the new company. Moreover, completion of the transaction was to be contingent upon shareholder approval. Originally, SC was rumored to be in negotiations to merge with NCC.</t>
  </si>
  <si>
    <t>Patina Oil &amp; Gas Corp</t>
  </si>
  <si>
    <t>Noble Energy Inc</t>
  </si>
  <si>
    <t>US - Noble Energy Inc (NE) acquired all the outstanding common stock of Patina Oil &amp; Gas Corp (PO), an oil and gas exploration, production and mining company, in a stock swap transaction valued at approximately $2.954 bil. NE offered a choice of $39.340 in cash or .6014 NE common shares, subject to proration whereby 62.4% of the consideration was payable in stock and 37.6% in cash; the per share consideration was subject to adjustment upwards or downwards so that each PO share receives consideration representing equal value. The adjustment was to reflect 37. 5126% of the difference between $59.18 and the price of NE shares during a specified period prior to closing. The final valuation was based on NE's closing stock price of $65.270 on May 13, the last day of trading prior to disclosure of final terms.The transaction was subject to regulatory and shareholder approvals.</t>
  </si>
  <si>
    <t>US - Symantec Corp (SMC) merged with Veritas Software Corp (VSC), a developer of software, in a stock swap transaction valued at $13.52 bil. SMC offered 1.124 common shares per VSC share. Based on SMC's closing stock price of $27.38 on December 15, 2004, the last full trading day prior to announcement, each VSC share was valued at $30.775. Upon completion, SMC shareholders were to own 60%, and VSC shareholders were to own 40%, of the combined company, which was to retain the corporate name Symantec Corp. Moreover, completion of the transaction was to be contingent upon the approval of shareholders of both companies.</t>
  </si>
  <si>
    <t>Dixon Ticonderoga Co</t>
  </si>
  <si>
    <t>Mnfr lead pencils,art supplies</t>
  </si>
  <si>
    <t>FILA SpA</t>
  </si>
  <si>
    <t>Manufacture pens, pencils, crayons</t>
  </si>
  <si>
    <t>US - Fabrica Italiana Lapis ed Affini SpA (FI) acquired all the outstanding common stock of Dixon Ticonderoga Co (DT), a manufacturer of pencils and art supplies, via a tender offer for $7 in cash per share, or a total value of $22.455 mil. Earlier, Fi completed its tender offer for DT by accepting 3.001 mil shares, or 93.55% of DT's common shares outstanding. The offer was conditioned upon at least 66.67% of DT's shares being tendered. The transaction was duly approved by the Board of Directors of both companies.</t>
  </si>
  <si>
    <t>New Commerce Bancorp,SC</t>
  </si>
  <si>
    <t>SCBT Finl Corp,Columbia,SC</t>
  </si>
  <si>
    <t>US - SCBT Financial Corp, Columbia, South Carolina acquired all the outstanding common stock of New Commerce Bancorp, Greenville, South Carolina, for $18 in cash per share, or a total value of $19.368 mil. The transaction was duly approved by the Board of Directors of both companies and was subject to shareholder and regulatory approval.</t>
  </si>
  <si>
    <t>Red Oak Bank,Morristown,NJ</t>
  </si>
  <si>
    <t>Center Bancorp Inc,Union,NJ</t>
  </si>
  <si>
    <t>US - Center Bancorp Inc, Union, New Jersey (CB), merged with Red Oak Bank, Morristown, New Jersey (RO), in a stock swap transaction valued at $13.399 mil. CB offered a choice of $12.06 in cash per share or 0.9227 common shares per RO share. The transaction was subject to proration whereby 50% was to be paid in cash and 50% was to be paid in common stock. Originally, CB offered $12.35 in cash per share or 0. 9449 common shares per RO share.</t>
  </si>
  <si>
    <t>Superior Consultant Holdings</t>
  </si>
  <si>
    <t>Administrative Management and General Management Consulting Services</t>
  </si>
  <si>
    <t>Affiliated Computer Svcs Inc</t>
  </si>
  <si>
    <t>Pvd data processing,tech svcs</t>
  </si>
  <si>
    <t>US - Affiliated Computer Services Inc (AC) acquired all the outstanding common stock of Superior Consultant Holdings Corp (SC), a provider of management consultant services, via a tender offer for $8.5 in cash per share, or a total value of $89.528 mil. Earlier, AC completed its tender offer for SC by accepting 10.463 mil shares, or 99% of SC's common shares outstanding.</t>
  </si>
  <si>
    <t>Woronoco Bancorp Inc,MA</t>
  </si>
  <si>
    <t>Berkshire Hills Bancorp Inc</t>
  </si>
  <si>
    <t>US - Berkshire Hills Bancorp, Pittsfield, Massachusetts (BH) acquired Woronoco Bancorp Inc, Westfiled, Massachusetts (WB), in a stock swap transaction valued at $146.964 mil. BH offered a choice of $36 in cash per share or 1 BH common stock per WB common stock. The transaction was subject to proration whereby 25% was to be paid in cash and 75% in common shares. The shares were valued based on BH's closing stock price of $37 on December 16, the last full trading day prior to the announcement. The transaction was subject to shareholder and regulatory approval.</t>
  </si>
  <si>
    <t>Kramont Realty Trust</t>
  </si>
  <si>
    <t>Centro Watt</t>
  </si>
  <si>
    <t>US - Centro Watt America REIT III LLC, a joint venture between Watt Commercial Properties and Centro Properties Group, merged with Kramont Realty Trust (KR), a real estate investment trust, for $23.50 in cash per share, or a total value of $571.136 mil. The transaction was duly approved by the Board of Trustees and shareholders of KR and was subject to customary closing conditions and due diligence.</t>
  </si>
  <si>
    <t>Norstan Inc</t>
  </si>
  <si>
    <t>Pvd commun solutions svcs</t>
  </si>
  <si>
    <t>Black Box Corp</t>
  </si>
  <si>
    <t>Pvd voice,data network svcs</t>
  </si>
  <si>
    <t>US - Black Box Corp (BBC) acquired all the outstanding common stock of Norstan Inc (NI), a provider of communication solutions, for $5.60 in cash per share, or a total value of $83.425 mil. Earlier, BBC completed its tender offer for NI by accepting 11.887 mil shares, or 86% of NI's common shares outstanding. The offer was conditioned upon at least a majority of NI's shares being tendered on a fully-diluted basis. The transaction was subject to customary conditions.</t>
  </si>
  <si>
    <t>Exelon Corp</t>
  </si>
  <si>
    <t>US - Exelon Corp (EXC) terminated its agreement to merge with Public Service Enterprise Group Inc (PSG), an electric utility holding company, in a stock swap transaction valued at $12.294 bil. EXC offered 1.225 common shares per PSG share. Based on EXC's closing stock price of $41.86 on December 17, 2004, the last full trading day prior to the announcement, each PSG share was valued at $51.279. Upon completion, EXC shareholders were to own 68%, and PSG shareholders were to own 32% of the combined company. Originally, EXC was rumored to be planning to acquire all the outstanding common stock of PSG.</t>
  </si>
  <si>
    <t>Valley Comrce Bancorp Ltd,AZ</t>
  </si>
  <si>
    <t>US - BOK Financial Corp, Tulsa, Oklahoma acquired all the outstanding common stock of Valley Commerce Bancorp, Phoenix, Arizona, for $32 mil in cash. The transaction was subject to shareholder and regulatory approval.</t>
  </si>
  <si>
    <t>Belmont Bancorp,Bridgeport,OH</t>
  </si>
  <si>
    <t>US - Sky Financial Group Inc, Bowling Green, Ohio (SF) acquired Belmont Bancorp, Bridgeport, Ohio (BB), in a stock swap transaction valued at $69.343 mil. SF offered a choice of $6.15 in cash, 0. 219 mil in common shares, or a combination of both. The transaction was subject to proration whereby 27.50% was to paid in cash and 72.50% was to be paid in common shares. Based on SF's closing stock price of December 21, the last full trading day prior to the announcement, each BB share was valued at $6.16. The transaction was subject to customary closing conditions, BB shareholders' and regulatory approval.</t>
  </si>
  <si>
    <t>META Group Inc</t>
  </si>
  <si>
    <t>Pvd comp industry analysis svc</t>
  </si>
  <si>
    <t>Gartner Inc</t>
  </si>
  <si>
    <t>Pvd IT research and analysis svcs</t>
  </si>
  <si>
    <t>US - Gartner Inc acquired all the outstanding common stock of META Group Inc, a provider of research, analysis and consulting services, for $10 in cash per share, or a total value of $165.793 mil. The transaction was approved by the board of directors and was subject to the approval of regulatory authorities.</t>
  </si>
  <si>
    <t>US - City Holding Co, Charleston, West Virginia (CH) acquired the entire share capital of Classic Bancshares Inc, Ashland, Kentucky (CB), in a stock swap transaction valued at USD 71.516 mil. CH offered USD 11.08 in cash and .9624 common shares per CB share. Based on CH's closing stock price of USD 36.8 on December 28, the last full trading day prior to the announcement, each CB share was valued at USD 46.496</t>
  </si>
  <si>
    <t>Illinois Commun,Bancorp,IL</t>
  </si>
  <si>
    <t>State commercial bank hldg co</t>
  </si>
  <si>
    <t>Centrue Financial Corp,IL</t>
  </si>
  <si>
    <t>US - Centrue Financial Corp, Kankakee, Illinois (CF) acquired Ilinois Community Bancorp, Effingham, Illinois (IC), in a stock swap transaction valued at $3.687 mil. CF offered a choice of $7.33 in cash, common shares or a combination of both. The transaction was subject to proration whereby 50% was to be paid in cash and 50% in common shares. The transaction was subject to IC and regulatory approval.</t>
  </si>
  <si>
    <t>Education Lending Group Inc</t>
  </si>
  <si>
    <t>Pvd financial loan svcs</t>
  </si>
  <si>
    <t>Sales Financing</t>
  </si>
  <si>
    <t>US - CIT Group Inc (CG) acquired all the outstanding common stock of Education Lending Group Inc (EL), a provider of financial loan services to students, parents and schools, for $19.05 in cash per share, or a total value of $404.407 mil. Earlier, CG completed its tender offer for EL by accepting 17.764 mil shares, or 98% of EL's common shares outstanding. The transaction was subject to regulatory approvals.</t>
  </si>
  <si>
    <t>Total Logistics Inc</t>
  </si>
  <si>
    <t>Pvd logistics svcs</t>
  </si>
  <si>
    <t>US - SuperValu Inc(SV) acquired all the outstanding common stock of Total Logistics Inc(TL), a provider of integrated third-party logistics services, for $28.5 in cash per share, or a total value of $153.668 mil. Earlier, SV completed its tender offer for TL by accepting 5.450 mil shares, or 98.5% of TL's common shares outstanding. The offer was conditioned upon at least 75% of TL's shares being tendered on a fully-diluted basis.</t>
  </si>
  <si>
    <t>Tut Systems Inc</t>
  </si>
  <si>
    <t>Mnfr broadband equip</t>
  </si>
  <si>
    <t>US - Tut Systems Inc (TS) withdrew its definitive agreement to acquire all the outstanding common stock of Cosine Communications Inc, a developer of communication platform software, in exchange for 6 mil common shares valued at $24.360 mil. The shares were valued based on TS' closing stock price of $4.06 on January 6, the last full trading day prior to the announcement. The transaction was subject to shareholder approval and customary closing conditions.</t>
  </si>
  <si>
    <t>Polaroid Holding Co</t>
  </si>
  <si>
    <t>Mnfr cameras</t>
  </si>
  <si>
    <t>Petters Group Worldwide</t>
  </si>
  <si>
    <t>Pvd bus mktg consulting svcs</t>
  </si>
  <si>
    <t>US - Petters Group Worldwide acquired all the outstanding common stock of Polaroid Holding Co, a manufacturer of instant and digital imaging cameras, and a 53%-owned unit of JP Morgan Chase &amp; Cos' One Equity Partners LLC subsidiary, for $12.08 in cash per share, or a total value of $422.269 mil. The transaction was subject to customary closing conditions, regulatory and shareholder approval.</t>
  </si>
  <si>
    <t>Vastera Inc</t>
  </si>
  <si>
    <t>Pvd web-based software svcs</t>
  </si>
  <si>
    <t>JPMorgan Chase Bank NA</t>
  </si>
  <si>
    <t>US - JPMorgan Chase Bank, a unit of JP Morgan Chase &amp; Co, acquired all the outstanding common stock of Vastera Inc, a provider of web-based software services, for $3 in cash per share, or a total value of $127.688 mil .</t>
  </si>
  <si>
    <t>US - Bankrupt Mirant Corp (MC) , an electric and gas utility company, completed its debt restructuring transaction with its creditors (CR), in a transaction valued at $7.047 bil. CRs received 282.120 mil new common shares, or 94.04% of the restructured MC, valued based on MC's closing stock price of $24.98 on January 11, the first full trading day post restructuring.</t>
  </si>
  <si>
    <t>Fox Entertainment Group Inc</t>
  </si>
  <si>
    <t>Own,op TV stations</t>
  </si>
  <si>
    <t>News Corp</t>
  </si>
  <si>
    <t>US - News Corp Inc (NC) acquired the remaining 23.53% stake, or 246.113 mil Class A common shares, which it did not already own, in Fox Entertainment Group Inc (FE), an owner and operator of TV stations, in a stock swap transaction valued at a sweetened $7.054 bil. NC offered 2.04 Class A common shares per FE Class A share. Based on NA's Class A closing stock price of $16.80 on March 2, the last full trading day prior to the amendment, each NC share was valued at $34.272. Originally, NC offered 1.9 Class A common shares per FE Class A share. The offer was conditioned upon at least 90% of FE's shares not yet owned being tendered.</t>
  </si>
  <si>
    <t>Western Wireless Corp</t>
  </si>
  <si>
    <t>US - ALLTEL Corp (ALL) acquired all the outstanding common stock of Western Wireless Corp (WWC), a provider of cellular mobile telephone services, in a stock swap transaction valued at $4.325 bil, plus the assumption of $1.5 bil in liabilities. ALL offered $9. 25 in cash plus .535 common shares per WWC share, whereby WWC shareholders were to have a choice to receive all cash or all common stock. Based on ALL's closing stock price of $56.12 on January 7, 2005, the last full trading day prior to announcement, each WWC share was valued at $39. 27. The completion of the transaction was to be contingent upon WWC shareholder approval. Moreover, the transaction was to boost ALL's wireless customer base in the Western United States by 1.4 mil customers.</t>
  </si>
  <si>
    <t>SVB Financial Services Inc,NJ</t>
  </si>
  <si>
    <t>US - Fulton Financial Corp, Lancaster, Pennsylvania (FF) acquired SVB Financial Services Inc, Sommerville, New Jersey (SF), in a stock swap transaction valued at $89.157 mil. FF offered a choice of $21 in cash or 0. 9519 common shares per SF share, whereby shareholders may elect to receive all in cash, common stock or a combination of both. The consideration was subject to proration where a minimum of 20% up to a maximum of 40% was to be paid in cash and the rest in common shares. Based on FF's closing stock price of $22.35 on January 10, the last full trading day prior to the announcment, each SF share was valued at $21.27. The transaction was subject to shareholder and regulatory approval.</t>
  </si>
  <si>
    <t>Verisity Ltd</t>
  </si>
  <si>
    <t>Dvlp tech,software prod</t>
  </si>
  <si>
    <t>US - Cadence Design Systems Inc acquired all the outstanding common stock of Verisity Ltd, a developer of proprietary technologies and software products, for $12 in cash per share, or a total value of $302.679 mil. The transaction was subject to shareholders and regulatory approval.</t>
  </si>
  <si>
    <t>Penn Engr &amp; Mnfr Corp</t>
  </si>
  <si>
    <t>Mnfr fasteners,DC motors</t>
  </si>
  <si>
    <t>PEM Holding Co</t>
  </si>
  <si>
    <t>US - PEM Holding Co acquired all the outstanding common stock and Class A common stock of Penn Engineering &amp; Manufacturing Corp, a manufacturer of fasteners and DC motors, for $18.25 in cash per share, or a total value of $333.162 mil. The transaction was duly approved by the Board of Directors of both companies and was subject to regulatory approval and customary closing conditions.</t>
  </si>
  <si>
    <t>McDATA Corp</t>
  </si>
  <si>
    <t>US - McDATA Corp (MCD) merged with Computer Network Technology Corp (CNT), a developer of software, in a stock swap transaction valued at $234.11 mil, including the assumption of $74 in liabilities. MCD offered 1.3 Class A common shares per CNT share. Based on MCD's closing stock price of $4.25 on January 14. 2005, the last full trading day prior to announcement, each CNT share was valued at $5.525. On completion, MCD shareholders were to own 76%, and CNT shareholders were to own 24%, of the combined company.</t>
  </si>
  <si>
    <t>FFLC Bancorp,Leesburg,FL</t>
  </si>
  <si>
    <t>US - Colonial BancGroup Inc, Montgomery, Alabama (CBC) acquired all the outstanding common stock of FFLC Bancorp Inc, Leesburg, Florida (FFL), in a stock swap transaction valued at $232.221 mil. CBC offered a choice of $42 in cash or 2 common shares per FFL, subject to proration, whereby the cash offered was to comprise no more than 35% of the total consideration.</t>
  </si>
  <si>
    <t>Impac Medical Systems Inc</t>
  </si>
  <si>
    <t>Elekta AB</t>
  </si>
  <si>
    <t>Mnfr,whl clinical solutions</t>
  </si>
  <si>
    <t>US - Elekta AB acquired all the outstanding common stock of IMPAC Medical Systems Inc, a developer of healthcare software, for $24 in cash per share, or a total value of $249.751 mil. The transaction was subject to approval by regulatory authorities and customary closing conditions.</t>
  </si>
  <si>
    <t>National Properties Corp</t>
  </si>
  <si>
    <t>Pvd coml ppty leasing svcs</t>
  </si>
  <si>
    <t>US - Commercial Net Lease Realty Inc (CN) acquired National Properties Corp (NP), a provider of commercial property leasing services, in a stock swap transaction valued at $31.209 mil. CN offered 4 common shares per NP share. Based on CN's closing stock price of $19.07 on January 17, the last full trading day prior to the announcement, each NP share was valued at $76.28. The transaction was subject to NP shareholder approval and customary closing conditions.</t>
  </si>
  <si>
    <t>Dvlp IPSec security software</t>
  </si>
  <si>
    <t>US - Trilogy Inc withdrew its unsolicited plans to acquire the remaining 96% interest or 31.488 mil common shares, which it did not already own in Selectica Inc, a developer of internet software, for $4 in cash per share, or a total value of $129.739 mil.</t>
  </si>
  <si>
    <t>Chester Valley Bancorp,PA</t>
  </si>
  <si>
    <t>Willow Grove Bancorp Inc,PA</t>
  </si>
  <si>
    <t>US - Willow Grove Bancorp Inc, Maple Glen, Pennsylvania (WG) definitively acquired all the outstanding stock of Chester Valley Bancorp, Downingtown Pennsylvania (CV), in a stock swap transaction valued at $151.528 mil. WG offered a choice of $27.9 in cash per share or 1.4823 common shares per CV share. The transaction was subject to the approval of regulatory authorities.</t>
  </si>
  <si>
    <t>Falcon Financial Investment</t>
  </si>
  <si>
    <t>iStar Financial Inc</t>
  </si>
  <si>
    <t>US - iStar Financial Inc (IF) acquired all the outstanding common stock of Falcon Financial Investment Trust (FFI), a real estate investment trust, for $7.50 in cash per share, or a total value of $119.767 mil. Earlier, IF completed its tender offer for FFI by accepting 15.969 mil shares, or 97.68% of FFI's common shares outstanding. The offer was conditioned upon at least a majority of FFI's shares being tendered.</t>
  </si>
  <si>
    <t>August Technology Corp</t>
  </si>
  <si>
    <t>Mnfr,design visual equip</t>
  </si>
  <si>
    <t>Nanometrics Inc</t>
  </si>
  <si>
    <t>Mnfr,whl metrology sys,equip</t>
  </si>
  <si>
    <t>US - Nanometrics Inc (NI) withdrew its agreement to merge with August Technology Corp (AT), a manufacturer and designer of automated visual inspection equipment, in a stock swap transaction valued at $154.049 mil. NI offered . 6401 common shares per AT share. Based on NI's closing stock price of $13.1 on January 20, the last full trading day prior to the announcement, each AT share was valued at $8.385. The transaction was subject to the approval of the board of directors and regulatory authorities. Upon completion, the merged entity was to be named August Nanometrics Inc. Subsequently, Rudolf Technologies Inc made an unsolicited challanging offer to acquire AT. Subsequently, KLA-Tencor Corp also made an unsolicited challanging offer to acquire AT.</t>
  </si>
  <si>
    <t>AlphaSmart Inc</t>
  </si>
  <si>
    <t>Renaissance Learning Inc</t>
  </si>
  <si>
    <t>US - Renaissance Learning Inc (RL) completed its merger with AlpahSmart Inc (AS), a developer of education software, for $55.536 mil. RL offered a choice of $3.75 in cash, or cash, stock or combination of cash and common stock per AS share, subject to proration whereby 45% of the consideration offered was to be payable in RL common stock and 55% was to be payable in cash. The transaction was approved by Securities and Exchange Commission.</t>
  </si>
  <si>
    <t>US - An investor group (IG) comprised of Formation Capital LLC, Appaloosa Management LP, Franklin Mutual Advisors LLC, and Northbrook NBV LLC, withdrew its unsolicited challenging offer to acquire the remaining 91.90% interest, or 99.335 mil common shares, which it did not already own in Beverly Enterprises Inc (BE), an owner and operator of healthcare facilities, for $12.90 in cash per share, or a total value of $1.512 bil. Originally, IG made an unsolicited offer to acquire the remaining 91.90% interest, or 99.335 mil common shares, which it did not already own in BG, which it subsequently withdrew after BG announced that it was seeking a buyer for the company, via an auction. Subsequently, North American Senior Care Inc withdrew its definitive agreement to acquire BE. Subsequently, Fillmore Strategic Investors LLC agreed to acquire BE.</t>
  </si>
  <si>
    <t>Commun Bank of Virginia,VA</t>
  </si>
  <si>
    <t>US - Mercantile Bankshares Corp, Baltimore, Maryland (MB) acquired Community Bank of Northern Virginia, Sterling, Virginia (CB), in a stock swap transaction valued at $213.093 mil. MB offered a choice of $20.375 in cash or 0.4005 MB common shares per CB common share. The transaction was subject to proration whereby 40% was to be paid in cash and the remaining 60% in common stock. The transaction was subject to shareholder and regulatory approval.</t>
  </si>
  <si>
    <t>Corio Inc</t>
  </si>
  <si>
    <t>US - International Business Machines Corp {IBM} acquired all the outstanding common stock of Corio Inc, a software developer, for $2.82 in cash per share, or a total value of $206.233 mil. The largest seller on the transaction was Lehman Brothers Venture Partners.</t>
  </si>
  <si>
    <t>US - Cimarex Energy Co (CEC) merged with Magnum Hunter Resources Inc (MHR), an oil and gas exploration and production company, in a stock swap transaction valued at $2.211 bil, including the assumption of $645 mil in liabilities. CEC offered $.17 in a cash dividend and .415 common shares per MHR share. Based on CEC's closing stock price of January 25, the last full trading day prior to the announcement, each MHR share was valued at $16.845. On completion, CEC shareholders were to own 53.6%, and MHR shareholders were to own 46. 4%, of the combined company. Moreover, completion of the transaction was to be contingent upon the approval of the shareholders of both companies.</t>
  </si>
  <si>
    <t>Rudolph Technologies Inc</t>
  </si>
  <si>
    <t>US - Rudolph Technologies Inc (RT) merged with August Technology Corp (AT), a manufacturer of automated defect detection systems, in a stock swap transaction valued at $198.292 mil. RT offered a choice of $10.5 in cash or 0.7625 common shares per AT share, subject to proration whereby the maximum cash consideration was $60 mil. Originally, RT offered $2.16 cash and 0.4955 common shares per AT share. Based on RT's closing stock price of $16.54 on January 26, the last full trading day prior to the announcement, each AT share was valued at $10.356. AT shareholders can elect to receive an all cash, stock or combination of both, subject to a $40 mil limit for cash consideration. Previously, Nanometrics Inc agreed to merge with AT, in a stock swap transaction which it has subsequently terminated. Subsequently, KLA-Tencor Corp withdrew its unsolicited challenging offer to acquire AT.</t>
  </si>
  <si>
    <t>Genencor International Inc</t>
  </si>
  <si>
    <t>Danisco A/S</t>
  </si>
  <si>
    <t>Mnfr ingredients,sweeteners</t>
  </si>
  <si>
    <t>US - Danisco A/S (DA) raised its interest to 84% from 42% by acquiring 25.058 mil common shares, or a 42% interest in Genencor International Inc (GI), a biotechnology company, from Eastman Chemical Co, for $487. 166 mil. DA offered $15 in cash per common share and $44 mil in cash for preferred shares. Concurrently, DA completed its tender offer to acquire the remaining 16% that it did not already own in GI.</t>
  </si>
  <si>
    <t>US - Danisco A/S (DA) acquired the remaining 16% stake, or 9.546 mil common shares, which it did not already own, in Genencor International Inc (GI), a biotechnology company, for $19.25 in cash per share, or a total value of $183.758 mil. Earlier, DA completed its tender offer by accepting 8. 671 mil shares, or 14.53% of GI's remaining shares outstanding. The offer was conditioned upon at least a majority of the GI's shares held by the public being tendered. Previously, DA raised its interest to 84% from 42% by acquiring 25.058 mil common shares, or a 42% interest in GI.</t>
  </si>
  <si>
    <t>Infor Global Solutions Inc</t>
  </si>
  <si>
    <t>US - Infor Global Solutions acquired all the outstanding common stock of MAPICS Inc (MI), a developer of Enterprise Resource Management software, for $12. 75 in cash per share, or a total value of $347.164 mil, in a going private transaction. The transaction was subject to the approval of MI shareholders and regulatory authorities.</t>
  </si>
  <si>
    <t>US - Procter &amp; Gamble Co (P&amp;G) acquired all the outstanding common stock of Gillette Co (GC), a manufacturer and wholesaler of shaving razors, blades and small appliances, in a stock swap transaction valued at $54.907 bil. P&amp;G offered .975 shares per GC share. Based on P&amp;G's closing stock price of $55.32 on Jan 27, the last full trading day prior to the announcement, each GC share was valued at $53.937. The transaction was subject to shareholders and regulatory approvals. Concurrently, the board of P&amp;G authorized the repurchase of up to $22 bil of the company's common stock outstanding in open market transactions.</t>
  </si>
  <si>
    <t>US - SBC Communications Inc (SBC) acquired AT&amp;T Corp (AC), an owner and operator of telecommunication systems, in a stock swap transaction valued at $14.733 bil. SBC offered .7794 common share per AC share. Based on SBC's closing stock price on January 28, the last full trading day prior to the announcement, each AC share was valued at $18.41. The transaction was subject to customary closing conditions, AC shareholder and other regulatory approvals. On completion, SBC changed its name to AT&amp;T Inc, and shareholders received a special dividend of $1.3 per share held. Originally, SBC was rumored to be in negotiations to acquire all the outstanding common stock of AC.</t>
  </si>
  <si>
    <t>Pulitzer Inc</t>
  </si>
  <si>
    <t>Lee Enterprises Inc</t>
  </si>
  <si>
    <t>US - Lee Enterprises Inc acquired all the outstanding common stock of Pulitzer Inc, a newspaper publisher, for $64 in cash per shares, or a total value of $1.433 bil.</t>
  </si>
  <si>
    <t>Meditech Pharmaceuticals Inc</t>
  </si>
  <si>
    <t>Halter Capital Corp</t>
  </si>
  <si>
    <t>US - Halter Capital Corporation acquired a 78% interest or 1.417 mil shares of common stock in Meditech Pharmaceuticals Inc, a Beijing-based provider of biomedical research services.</t>
  </si>
  <si>
    <t>US - An investor group, including JQH Acquisition LLC, acquired all the outstanding common stock of John Q Hammons Hotels Inc, an owner and operator of hotels, for $24 in cash per Class A share and partnership units, convertible into additional Class A common shares on a 1- for-1 basis, or a total value of $543.53 mil.</t>
  </si>
  <si>
    <t>KLA-Tencor Corp</t>
  </si>
  <si>
    <t>US - KLA-Tencor Corp withdrew its unsolicited challenging offer to acquire all the outstanding common stock of August Technology Corp (AT), a manufacturer, marketer and service automated visual inspection equipment, for $11.5 in cash per share, or a total value of $213.13 mil. Previously, Rudolf Technologies Inc made an unsolicited challenging offer to acquire AT. Originally, Nanometrics Inc agreed to merge with AT.</t>
  </si>
  <si>
    <t>Digital Impact Inc</t>
  </si>
  <si>
    <t>Pvd online mktg svcs</t>
  </si>
  <si>
    <t>US - infoUsa Inc withdrew from its unsolicited tender offer to acquire all the outstanding common stock of Digital Impact Inc (DI), a provider of online marketing services, for $2 in cash per share, or a total value of $73.018 mil. The offer was conditioned upon at least a majority of DI's shares being tendered. The transaction was subject to regulatory approval. Subsequently, Axciom Corp definitively agreed to acquire Digital Impact Inc.</t>
  </si>
  <si>
    <t>Copper Mountain Networks Inc</t>
  </si>
  <si>
    <t>Mnfr commun prod</t>
  </si>
  <si>
    <t>US - Tut Systems Inc (TU) acquired all the outstanding common stock of Copper Mountain Networks Inc (Copper Mountain), a manufacturer of communication products, in a stock swap transaction valued at $11.129 mil. TU offered 0. 3264 share per Copper Mountain share. Based on TU's closing stock price of $3.94 on February 10, the last full trading day prior to the announcement, each Copper Mountain share was valued at $1.286. The transaction was subject to shareholder approval and customary closing conditions.</t>
  </si>
  <si>
    <t>US - Qwest Communications International Inc (QC) withdrew its hostile challenging offer to acquire all the outstanding common stock of MCI Inc (MCI), a provider of telecommunications services, in a transaction valued at a thrice sweetened $9.743 bil. QC offered $16.00 in cash and $14 in common stock, subject to an amended collar agreement. Previously, in March 2005, QC made an unsolicited challenging offer to acquire MCI in a stock swap transaction valued at a twice sweetened $8.931 bil. QC offered $13.50 in cash and $14 in common stock. Previously, QC offered a sweetened $4.50 in cash and $15.50 in common stock per MCI share, subject to a collar agreement. Earlier, QC offered an amended $3.10 in cash and $15.50 in common stock per MCI share, subject to a collar agreement. Originally, QC offered $7.50 in cash and 3.735 QC common shares. The transaction was subject to regulatory approval. Originally, QC was rumored to be in negotiations to acquire MCI. Subsequently, Verizon Communications Inc (VC) agreed to acquire all the outstanding common stock of MCI, in a stock swap transaction. Previously, VC was rumored to be in negotiations to acquire MCI, in a challenging bid.</t>
  </si>
  <si>
    <t>Computer Software Innovations</t>
  </si>
  <si>
    <t>Dvlp fund acctg software</t>
  </si>
  <si>
    <t>Barron Partners LP</t>
  </si>
  <si>
    <t>US - Barron Partners LP acquired Series A convertible, non-voting preferred shares convertible into 7.218 mil common shares, or a 74.07% interest in Computer Software Innovations Inc , a developer of fund accounting software, for $5.042 mil.</t>
  </si>
  <si>
    <t>Verizon Communications Inc</t>
  </si>
  <si>
    <t>US - Verizon Communications Inc (VC) acquired MCI Inc (MCI), a provider of telecommunications services, in a stock swap transaction valued at a twice sweetened $8.496 bil. VC offered $5.60 in cash plus the greater of . 5743 VC common shares or a sufficient number of VC common shares to deliver $20. 40 of value. Based on VC's closing stock price of $35.80 on April 29, the last full trading day prior to terms being sweetened, each MCI share was valued at $26.16. Previously, VC offered a sweetened $2.75 in cash and . 4062 common shares per MCI share. Subsequently, VC agreed to acquire a 13.38% stake, or 43.448 mil common shares, in MCI from Mr Carlos Slim Helu. Previously, VC offered $1.50 in cash, .4062 common shares per MCI share, and the assumption of an estimated $4 bil in liabilities. The transaction was subject to regulatory approval. Originally, VC was rumored to be in negotiations to acquire MCI. Previously, Qwest Communications made a hostile challenging offer to acquire all the outsanding stock of MCI, in a challenging bid, which subsequently was withdrawn.</t>
  </si>
  <si>
    <t>AMX Corp</t>
  </si>
  <si>
    <t>Mnfr,dvlp,whl electn equip</t>
  </si>
  <si>
    <t>Duchossois Industries Inc</t>
  </si>
  <si>
    <t>Mnfr industrial door equip</t>
  </si>
  <si>
    <t>US - Duchossois Industries Inc acquired all the outstanding common stock of AMX Corp (AC), a manufacturer, developer and wholesaler of advanced electronic equipment and software, for $22.50 in cash per share, or a total value of $309.712 mil.Earlier, DI completed its tender offer for AC by accepting 10. 015 mil AC shares or 70.98% of AC's common shares outstanding. The offer was conditioned upon at least a majority of AC's shares being tendered on a fully-diluted basis.</t>
  </si>
  <si>
    <t>Circuit City Stores Inc</t>
  </si>
  <si>
    <t>Ret consumer electn</t>
  </si>
  <si>
    <t>Highfields Capital Mgmt LP</t>
  </si>
  <si>
    <t>Provides investment mgt svcs</t>
  </si>
  <si>
    <t>US - Highfields Capital Management LP made an unsolicited bid to acquire the remaining 93.2% interest, or 189.353 mil common shares, which it did not already own, in Circuit City Stores Inc, a retailer of consumer electronics, for $17.00 in cash per share, or a total value of $3.119 bil, in a going private transaction.</t>
  </si>
  <si>
    <t>Lincoln Natl Convertible Secs</t>
  </si>
  <si>
    <t>Delaware Dividend Income Fund</t>
  </si>
  <si>
    <t>US - Delaware Dividend Income Fund acquired all the outstanding common stock of Lincoln National Convertible Securities Fund Inc, a closed- end investment fund company.</t>
  </si>
  <si>
    <t>Lightstone Group LLC</t>
  </si>
  <si>
    <t>US - Prime Office Co LLC, an acquisition vehicle formed by Lighstone Group LLC, merged with Prime Group Realty Trust, a real estate investment trust, for $7.25 in cash per share, or a total value of $193.995 mil. The transaction was duly approved by the board of directors of both companies and was subject to customary closing conditions and shareholder approval.</t>
  </si>
  <si>
    <t>Eon Labs Inc</t>
  </si>
  <si>
    <t>US - Novartis AG (NA) acquired 60 mil common shares, 67.55% interest in Eon Labs Inc (EL), a manufacturer of pharmaceuticals, from its majority parent Santo Holding GmbH, for an estimated $1.7 bil in cash. Concurrently, NA agreed to launch a tender offer to acquire the remaining 32.5% stake, or 28. 823 mil common shares, which it did not already own in EL. Also, NA definitively agreed to acquire all the outstanding stock of Hexal AG.</t>
  </si>
  <si>
    <t>US - Novartis AG (NA) acquired the remaining 32.45% interest, or 30.422 mil common shares, which it did not already own, in Eon Labs Inc (EL), a manufacturer of pharmaceuticals, for $31 in cash per share, or a total value of $932.877 mil. Earlier, NA completed its tender offer by accepting 26. 199 mil shares, or 27.78% of EL's common stock outstanding. Concurrently, NA acquired a 67.55% interest in EL from its majority-parent Santo Holding AG (SH). The tender offer was not conditioned upon any minimum shares being tendered but was contingent on the contemporaneous or immediately subsequent purchase of SH shares. Concurrently, NA agreed to acquire all the outstanding stock of Hexal AG.</t>
  </si>
  <si>
    <t>US - Kelso &amp; Co acquired all the outstanding common stock of Insurance Auto Auctions Inc, a retailer of used motor vehicles and provider of automotive salvage and claims processing services, for $28. 25 in cash per share, or a total value of $356.104 mil. Concurrently, the merged entity was to be named Axle Inc. The transaction was subject to the approval of regulatory authorities.</t>
  </si>
  <si>
    <t>Accredo Health Inc</t>
  </si>
  <si>
    <t>Pvd contract pharm svcs</t>
  </si>
  <si>
    <t>Medco Health Solutions Inc</t>
  </si>
  <si>
    <t>US - Medco Health Solutions Inc (MH) acquired all the outstanding common stock of Accredo Health Inc (AH), a provider of specialized contract pharmacy services, in a transaction valued $2. 192 bil. MH offered $22 in cash and .49107 common shares per AH share. Based on MH's closing stock price of February 22, the last full trading day prior to the announcement, each AH share was valued at $43.327. The transaction was duly approved by the board of directors of both companies and was subject to shareholder approval and customary closing conditions.</t>
  </si>
  <si>
    <t>TiVo Inc</t>
  </si>
  <si>
    <t>US - Apple Computer Inc was rumored to be planning to acquire all the outstanding common stock of Tivo Inc, a provider of personal television services. The Current status of this deal is unknown.</t>
  </si>
  <si>
    <t>USA Technologies Inc</t>
  </si>
  <si>
    <t>Develop payment processing software</t>
  </si>
  <si>
    <t>Blackboard Inc</t>
  </si>
  <si>
    <t>US - Blackboard Inc acquired the entire share capital of USA Technologies Inc, a Malvern-based developer of software.</t>
  </si>
  <si>
    <t>Tarpon Coast Bancorp Inc,FL</t>
  </si>
  <si>
    <t>US - First Busey Corp, Urbana, Illinois (FB) acquired all the outstanding common stock of Tarpon Coast Bancorp Inc, Port Charlotte, Florida (TC), for $27 in cash and common stock per share, or a total value of $33.925 mil. The transaction was approved by TC shareholders and regulatory approval.</t>
  </si>
  <si>
    <t>USF Corp</t>
  </si>
  <si>
    <t>Yellow Roadway Corp</t>
  </si>
  <si>
    <t>US -Yellow Roadway Corp (YR) acquired USF Corp (UC), a provider of trucking services, for an amended USD 1.268 bil. YR offered USD 29.25 in cash and 0.31584 common shares per UC share. Originally, YR offered a choice of USD 45 in cash or 0.9024 common share per UC common share. The shares were valued based on YR's closing stock price of USD 49 on April 29, the last full trading day prior to the amendment of terms. The transaction was duly approved by the board of both companies and was subject to customary closing conditions, shareholder and regulatory approval. Originally, YR was rumored to be in negotiations to acquire all the outstanding common stock of UC.</t>
  </si>
  <si>
    <t>First Bancshares Inc,CA</t>
  </si>
  <si>
    <t>US - Pacific Capital Bancorp acquired all the outstanding common stock of First Bancshares Inc, for $48 in cash per share, or a total value of $55.92 mil.</t>
  </si>
  <si>
    <t>US - Federated Department Stores Inc (FD) merged with May Department Stores Co (MD), an owner and operator of department stores, in a stock swap transaction valued at $16.466 bil, including the assumption of an estimated $6 bil in liabilities. FD offered $17.75 in cash and . 3115 common shares per MD share. Based on FD's closing stock price of $56.79 on February 25, the last full trading day prior to announcement, each MD share was valued at $35.44.</t>
  </si>
  <si>
    <t>NCRIC Group Inc</t>
  </si>
  <si>
    <t>US - ProAssurance Corp (PC) acquired NCRIC Group Inc (NG), an insurance holding company, in a stock swap transaction valued at $70.462 mil, subject to a collar agreement. PA offered 0.25 shares per NG share. Based on PC's closing stock price of $40.41 on February 25, the last full trading day prior to announcement, each NG share was valued at $10.102. The transaction was approved by NG shareholders, and was subject to regulatory approvals.</t>
  </si>
  <si>
    <t>C&amp;S Wholesale Grocers Inc</t>
  </si>
  <si>
    <t>US - C&amp;S Wholesale Grocers Inc was rumored to be in negotiations to acquire all the outstanding common stock of Pathmark Stores Inc, an owner and operator of supermarkets. The Current status of this deal is unknown.</t>
  </si>
  <si>
    <t>Quinton Cardiology Systems Inc</t>
  </si>
  <si>
    <t>Mnfr,market cardiology equip</t>
  </si>
  <si>
    <t>US - Cardiac Science Inc (CS) merged with Quinton Cardiology Systems Inc (QC), a manufacturer of cardiology equipment, to form Cardiac Science Corp (CC), in a stock swap transaction valued at $223.614 mil. QC shareholders were to receive 0.77 CC common shares and CS shareholders were to receive 0.10 CC common shares per share held. Based on CS' closing stock price of February 25, the last full trading day prior to the announcement, each QC share was valued at $14.55. The transaction was duly approved by the board of the companies and was subject to customary closing conditions, regulatory and shareholder approval.</t>
  </si>
  <si>
    <t>Retek Inc</t>
  </si>
  <si>
    <t>SAP AG</t>
  </si>
  <si>
    <t>US - SAP AG (SAP) withdrew from its tender offer to acquire all the outstanding common stock of Retek Inc (RI) , a developer of software, for a sweetened $11 in cash per share, or a total value of $651.496 mil. Originally, SAP offered $8.50 in cash per share, or a total value of $499.892 mil. The transaction was duly approved by the Board of Directors of RI and was subject to regulatory approval and customary closing conditions. The offer was conditioned upon at least a majority of RI's shares being tendered. Subsequently, Oracle Corp (OC) definitively agreed to acquire the remaining 90.18% interest in RI, via a tender offer. Moreover, OC made a sweetened offer for RI.</t>
  </si>
  <si>
    <t>Blue Martini Software Inc</t>
  </si>
  <si>
    <t>Multi-Channel Holdings Inc</t>
  </si>
  <si>
    <t>Whl,ret software;holding co</t>
  </si>
  <si>
    <t>US - Multi-Channel Holdings Inc, a unit of Golden Gate Capital Portfolio Co,acquired all the outstanding common stock of Blue Martini Software Inc, a developer of e-business software, for $4 in cash per share, or a total value of $52.518 mil, in a going-private transaction. The transaction was approved by both board of directors and subject to the approval of regulatory authorities.</t>
  </si>
  <si>
    <t>US - Vishay Intertechnology Inc (VI) acquired the remaining 19.60% stake, or 5. 856 mil common shares which it did not already own in Siliconix Inc (SI), a manufacturer of semiconductor products, in a stock swap transaction valued at a sweetened $196.648 mil, by accepting 4.510 mil shares, or 15.10% of SI's remaining shares outstanding. VI offered 3.075 common shares per SI share. Originally, VI offered 2.64 common shares per SI share. Based on VI's closing stock price of April 20, the last full trading day prior to the announcement, each SI share was valued at $33.579. The transaction was conditioned upon at least a majority of SI's shares being tendered.</t>
  </si>
  <si>
    <t>Closure Medical Corp</t>
  </si>
  <si>
    <t>US - Johnson &amp; Johnson acquired all the outstanding common stock of CLOSURE Medical Corp (CM), a manufacturer of surgical and medical equipment, for $27 in cash per share, or a total value of $419.606 mil. The transaction was subject to shareholders' and regulatory approval.</t>
  </si>
  <si>
    <t>US - Capital One Financial Corp (CO) acquired Hibernia Corp, New Orleans, Louisiana (HC), in a stock swap transaction valued at an amended $4.861 bil. CO offered a choice of $13.95 in cash or 0.2055 common share per HC share, whereby shareholders may elect to receive cash or common shares. Originally, CO offered $15. 35 in cash and 0.2261 common share per HC share. Based on CO's closing stock price of March 4, the last full trading day prior to the announcement, each HC share was valued at $33.00. The transaction was duly approved by the board of both companies and was subject to HC shareholder and regulatory approval.</t>
  </si>
  <si>
    <t>Insight Communications Co Inc</t>
  </si>
  <si>
    <t>US - A management-led investor group (IG), including Insight Commnications Co Inc (IC) co- founders Sid Knafel and Michael Willner and The Carlyle Group, acquired the remaining 86% interest, or 53. 833 mil common shares, which it did not already own in IC, a provider of cable television services, for a sweetened $11.75 in cash per share, or a total value of $604.948 mil, in a leveraged buyout transaction. Originally, IG offered $10.70 in cash per share. The transaction was subject to regulatory and shareholder approval.</t>
  </si>
  <si>
    <t>Summit Financial Corp,SC</t>
  </si>
  <si>
    <t>First Citizens BancShares Inc</t>
  </si>
  <si>
    <t>US - First Citizens Bancorp Inc, Columbia, South Carolina (FC) merged with Summit Financial Corp, Greenville, South Carolina (SF), a bank holding company, for $22 mil in cash per share, or a total value of $110.208 mil. The transaction was approved by FC board of directors and was subject to the approval of SF shareholders and regulatory authorities.</t>
  </si>
  <si>
    <t>United Defense Industries Inc</t>
  </si>
  <si>
    <t>Mnfr tanks,tank components</t>
  </si>
  <si>
    <t>US - BAE Systems North America Inc, a unit of BAE Systems PLC, acquired all the outstanding common stock of United Defense Industries Inc, a manufacturer of combat vehicles, artillery and ammunitions, for $75 in cash per share, or a total value of $4.2 bil, including the assumption of $218 mil in liabilities. The transaction was subject to approval by shareholders and regulatory authorities.</t>
  </si>
  <si>
    <t>US - Oracle Corp(OC) acquired the remaining 90.18% interest, or 50.503 mil common shares of Retek Inc (RI), a software developer, for a sweetened $11.25 in cash per share or a total value $648.673 mil. Earliar OC completed its tender offer for RI to acquire the by acccepting 48 mil shares, or 85.71% of RI's common shares outstanding. Originally, OC offered $9 in cash per share, or a total value of $481.547 mil. The transaction was subject to regulatory approval. Previously, SAP AG withdrew from its tender offer to acquire RI which it subsequently sweetened.</t>
  </si>
  <si>
    <t>Great Lakes Chemical Corp</t>
  </si>
  <si>
    <t>Mnfr chem,pesticides</t>
  </si>
  <si>
    <t>Crompton Corp</t>
  </si>
  <si>
    <t>Mnfr,whl specialty chem</t>
  </si>
  <si>
    <t>US - Crompton Corp (CC) merged with Great Lakes Chemical Corp (GL), a manufacturer of industrial and agricultural chemicals and pesticides, in a stock swap transaction valued at $1. 55bil. CC offered 2.2232 common shares per GL share. Based on CC's closing stock price of $13.46 on March 8, the last full trading day prior to announcement, each GL share was valued at $29. 924. On completion of the merge of equals transaction, CC shareholders and GL shareholders were to own 51% and 49% of the merged entity named Chemtura Corp, respectively. The transaction was subject to regulatory and shareholder approvals and other customary conditions.</t>
  </si>
  <si>
    <t>Thomas Industries Inc</t>
  </si>
  <si>
    <t>Mnfr compressors,vacuum pumps</t>
  </si>
  <si>
    <t>Gardner Denver Inc</t>
  </si>
  <si>
    <t>Mnfr,whl compressors,blowers</t>
  </si>
  <si>
    <t>US - Gardner Denver Inc acquired all the outstanding common stock of Thomas Industries Inc, a manufacturer of compressors and vacuum pumps, for $40 in cash per share, or a total value of $714.625 mil. The transaction was duly approved by the board of both companies and was subject to customary closing conditions, regulatory and shareholder approval.</t>
  </si>
  <si>
    <t>NetCert Inc</t>
  </si>
  <si>
    <t>Pvd Internet transaction svcs</t>
  </si>
  <si>
    <t>Uncle B's Bakery Inc</t>
  </si>
  <si>
    <t>Produce bread,bakery prod</t>
  </si>
  <si>
    <t>US - Uncle B's Bakery Inc merged with NetCert Inc, a provider of Internet transaction services. On completion, the merged entity was named NetCert Inc.</t>
  </si>
  <si>
    <t>US - International Business Machines Corp acquired all the outstanding common stock of Ascential Software Corp (ASC), a developer of database software, for $18.50 in cash per share, or a total value of $1.12 bil. Completion of the transaction was to be contingent upon ASC shareholder approval.</t>
  </si>
  <si>
    <t>Medicore Inc</t>
  </si>
  <si>
    <t>Mnfr,whl lancets</t>
  </si>
  <si>
    <t>Dialysis Corp of America</t>
  </si>
  <si>
    <t>Pvd dialysis svcs</t>
  </si>
  <si>
    <t>US - Dialysis Corp of America (DC), a 57%-owned unit of Medicore Inc (MI), merged with MI, a wholesaler of medical supplies, in a stock swap transaction valued at $149.045 mil. DC offered 0. 68 common share per MI share. Based on DC's closing stock price of March 14, the last full trading day prior to the announcement, each MI share was valued at $19.536. The transaction was duly approved by the board of both companies and was subject to closing conditions, regulatory and shareholder approval.</t>
  </si>
  <si>
    <t>Pvd transp svcs</t>
  </si>
  <si>
    <t>SEACOR Holdings Inc</t>
  </si>
  <si>
    <t>Pvd offshore marine services</t>
  </si>
  <si>
    <t>US - SEACOR Holdings Inc (SH) merged with Seabulk International Inc (SI), a provider of marine support and transportation services, in a stock swap transaction valued at $997.396 mil, including the assumption of $471 mil in liabilities. SH offered $4 in cash and 0.2694 common share per SI share. Based on SH's closing stock price of $65.22 on March 15, the last full trading day prior to the announcement, each SI share was valued at $21.57. The transaction was duly approved by the board of both companies and was subject to customary closing conditions, shareholder and regulatory approval.</t>
  </si>
  <si>
    <t>Horizon PCS Inc</t>
  </si>
  <si>
    <t>iPCS Inc</t>
  </si>
  <si>
    <t>US - iPCS Inc (IPC) merged with Horizon PCS Inc (HPC), a provider of telecommunications services, in a reverse-takeover stock swap transaction valued at $217.035 mil plus the assumption of approximately $100 mil in liablities. IPCS offered .7725 common shares per HPC share. Based on IPC's closing stock price of $30.50 on March 16, the last full trading day prior to announcement, each HPC share was valued at $23.577. Upon completion, IPC shareholders were to own 57.5%, and HPC shareholders were to own 42. 5%, of the combined company. Apollo Management is the largest seller in HPC owning a roughtly 38% stake in the company. The transaction had been subject to customary regulatory review, approval by Sprint, approval by the stockholders of both companies, and other customary closing conditions.</t>
  </si>
  <si>
    <t>US - An investor group, including Kohlberg Kravis Roberts &amp; Co, Bain Capital Partners LLC, and Vornado Realty Trust, acquired Toys "R" Us Inc (TRU), an owner and operator of retail toy stores, for $26.75 per share, or a total value of $6.01 bil. Originally, in October 2004, TRU was rumored to be seeking a buyer for the company.</t>
  </si>
  <si>
    <t>CTI Molecular Imaging Inc</t>
  </si>
  <si>
    <t>Mnfr positron emission equip</t>
  </si>
  <si>
    <t>US - Siemens Medical Solutions USA Inc (SMS), a unit of Siemens AG, acquired all the outstanding common stock of CTI Molecular Imaging Inc (CTI), a manufacturer of positron emission tomography (PET) equipment and radiopharmaceuticals, for $20. 5 in cash per share, or a total value of $991.352 mil. Earlier, SMS completed its tender offer to acquire all the outstanding common stock of CTI by accepting 45.705 mil shares, or 96.92% of PET's common shares outstanding.</t>
  </si>
  <si>
    <t>Ask Jeeves Inc</t>
  </si>
  <si>
    <t>Pvd question/answr svcs on Web</t>
  </si>
  <si>
    <t>IAC/InterActiveCorp</t>
  </si>
  <si>
    <t>Provide ecommerce retail services</t>
  </si>
  <si>
    <t>US - IAC/InterActiveCorp (IAC) acquired Ask Jeeves Inc (AJ), a provider of question and answer services on the web, in a stock swap transaction valued at $1.965 bil. IAC offered 1.2668 shares per AJ share. Based on IAC's closing stock price of $22.29 on March 18, the last full trading day prior to announcement, each AJ share was valued at $28.237.</t>
  </si>
  <si>
    <t>Medicis Pharmaceutical Corp</t>
  </si>
  <si>
    <t>Mnfr dermatological prod</t>
  </si>
  <si>
    <t>US - Medicis Pharmaceutical Corp (MP), through its wholly- owned Masterpiece Acquisition Corp subsidiary, withdrew its definitive agreement to merge with Inamed Corp (IC), a manufacturer and wholesaler of medical equipment, in a stock swap transaction valued at $2.769 bil. MP offered $30 in cash per share and 1.4205 common shares per IC share. Based on MP's closing stock price of $31.68 on March 18, the last full trading day prior to the annoucement, each IC share was valued at $45.001. The transaction was subject to shareholder approval. Subsequently, Allergan Inc acquired all the outstanding stock of IC in a stock swap transaction valued at $3.412 bil.</t>
  </si>
  <si>
    <t>Mykrolis Corp</t>
  </si>
  <si>
    <t>Mnfr liquid delivery systems</t>
  </si>
  <si>
    <t>Entegris Inc</t>
  </si>
  <si>
    <t>Mnfr wafer carrier prod</t>
  </si>
  <si>
    <t>US - Entegris Inc (EI) merged with Mykrolis Corp (MC) , a manufacturer of liquid delivery systems, in a stock swap transaction valued at $604.288 mil. EI offered 1.39 common shares per MC common shares. Based on EI's closing stock price of $9.93 on March 18, the last full trading day prior to the announcement, each MC share was valued at $13.803. On completion of the merger of equals transaction, EI shareholders were to hold 56% and MC shareholders were to hold 44% in the combined company. Moreover, shareholders of both companies approved the transaction.</t>
  </si>
  <si>
    <t>US - Associated Banc-Corp, Green Bay, Wisconsin (AB) definitively acquired all the outstanding common stock of State Financial Services Corp, Milwaukee, Wisconsin (SF), in a stock swap transaction valued at $276.265 mil. AB offered 1.2 common shares per SF share. Based on AB's closing stock price of $31.85 on March 18, the last full trading day prior to the announcement, each SF share was valued at $38.22. The transaction was subject to the approval of state financial shareholders.</t>
  </si>
  <si>
    <t>US - Axciom Corp (AC) acquired all the outstanding common stock of Digital Impact Inc (DI), a provider of online marketing services, for $3.50 in cash per share, or a total value of $140.211 mil. Earlier. AC completed it tender offer for DI, by acquiring 28.104 mil, or 64. 72% of DI's common shares outstanding. The offer was conditioned upon at least 50. 10% of DI's shares being tendered. The transaction was subject to regulatory approval and customary closing conditions. Subsequently, infoUSA Inc withdrew from its unsolicited tender offer to acquire DI.</t>
  </si>
  <si>
    <t>Firstmark Corp</t>
  </si>
  <si>
    <t>Mnfr eletro-mechanical components</t>
  </si>
  <si>
    <t>FMK Investors LLC</t>
  </si>
  <si>
    <t>US - FMK Investors LLC withdrew its plans to launch a tender offer to acquire all the outstanding common stock of Firstmark Corp, a manufacturer of electro- mechanical components and subsystems for aircraft and missiles, for $1.32 in cash per share, or a total of $7. 211 mil.</t>
  </si>
  <si>
    <t>Gexa Corp</t>
  </si>
  <si>
    <t>US - FPL Group Inc (FG) acquired all the outstanding common stock of Gexa Corp (GC) , an electric utility company, in a stock swap transaction valued at $59.478 mil. FG offered for $6.88 common stock per GC share. The transaction was subject to the approval of shareholders and regulatory authorities.</t>
  </si>
  <si>
    <t>US - An investor group, comprised of Silver Lake Partners, Bain Capital Inc, Blackstone Group LP, Goldman Sachs Capital Partners LP, Kohlberg Kravis Roberts &amp; Co LP, Providence Equity Partners LLC and Texas Pacific Group Inc acquired SunGard Data Systems Inc (SDS) , a provider of information technology and a developer of software for the financial industry, for $36 in cash per share, or a total value of $10.965 bil, in a leveraged buyout going private transaction. The transaction had been subject to shareholder's approval and customary closing conditions. Originally, in March 2005, SDS announced that it was seeking a buyer for the company.</t>
  </si>
  <si>
    <t>TDC A/S</t>
  </si>
  <si>
    <t>US - TDC A/S of Denmark, raised its interest to 62.9% from 41.6% by acquiring a 21. 3% stake or 2.751 mil ordinary shares, in Hungarian Telephone &amp; Cable Corp, a provider of telecommunications services, from Ashmore Investment Management Ltd, for $80 mil US. The transaction was to include 12,000 preference shares, 2.5 mil warrants, and notes.</t>
  </si>
  <si>
    <t>Petrol Industries Inc</t>
  </si>
  <si>
    <t>Oil and gas expl,prodn</t>
  </si>
  <si>
    <t>SHWJ Oil &amp; Gas Inc</t>
  </si>
  <si>
    <t>US - SHWJ Oil and Gas Inc (SHWJ) raised its interest to 63% from 43.05% stake, by further acquiring a 19.95% stake, or .575 mil common shares, in Petrol Industries Inc, an oil and gas exploration and production company, from President Joseph M Rodano, for $.4 per share, or a total value of $. 23 mil, in a privately negotiated transactions. Concurrently, SHWJ acquired a 43.05% stake.</t>
  </si>
  <si>
    <t>PPOL Inc</t>
  </si>
  <si>
    <t>Foster Strategic Investment</t>
  </si>
  <si>
    <t>US - Foster Strategic Investment Partnership acquired a 58.62% interest, or 10.548 mil common shares in PPOl Inc (PI), an investment holding company, from Forval Corp (FC), for $8. 370 mil. Concurrently, FC acquired GateFor Inc.</t>
  </si>
  <si>
    <t>Technology Flavors &amp; Fragrance</t>
  </si>
  <si>
    <t>Mnfr flavors,fragrances</t>
  </si>
  <si>
    <t>FFG Industries Inc</t>
  </si>
  <si>
    <t>Mnfr flavor,fragrance</t>
  </si>
  <si>
    <t>US - FFG Industries Inc completed its tender offer to acquire all the outstanding common stock of Technology Flavors &amp; Fragrances Inc, a manufacturer of flavors and fragrances, for $1.55 in cash per share, or a total value of $20.788 mil, in a going private transaction. The offer was conditioned upon at least a majority 90% of TFF's shares being tendered on a fully-diluted basis. The transaction was subject to customary closing conditions.</t>
  </si>
  <si>
    <t>US - FFG Industries Inc (FFG) acquired acquire all the outstanding common stock of Technology Flavors &amp; Fragrances Inc (TF), a manufacturer of flavors and fragrances, for $1.55 in cash per share, or a total value of $20.788 mil, in a going private transaction. Earlier, FFG completed its tender offer to , by accepting 12. 299 mil shares or 95.83% of TF's common shares outstanding. The offer was conditioned upon at least a majority 90% of TFF's shares being tendered on a fully- diluted basis. The transaction was subject to customary closing conditions.</t>
  </si>
  <si>
    <t>Maxcor Financial Group Inc</t>
  </si>
  <si>
    <t>Finl holding co</t>
  </si>
  <si>
    <t>BGC Partners LP</t>
  </si>
  <si>
    <t>Securities bkrg firm</t>
  </si>
  <si>
    <t>US - BGC Partners LP merged with Maxcor Financial Group Inc (MF), a financial holding company, for $14 in cash per share, or a total value of $118.188 mil. The transaction was subject to the approval of regulatory authorities. Originally, in March 2005, MF disclosed that it was seeking a buyer for the company.</t>
  </si>
  <si>
    <t>Mission Resources Corp</t>
  </si>
  <si>
    <t>Petrohawk Energy Corp</t>
  </si>
  <si>
    <t>US - Petrohawk Energy Corp (PE) acquired Mission Resources Corp (MR), an oil and gas exploration and production company, in a stock swap transaction valued at $405.472 mil. PE offered a choice of $8.15 in cash or 0. 7718 mil common share per MR share. The transaction was subject to proration whereby 40% was to be paid in cash and 60% in common stock. The shares were valued based on PE's closing stock price of $11.53 on April 1, the last full trading day prior to the announcement. The transaction was duly approved by the board of both comapnies and was subject to customary closing conditions, regulatory and shareholder approval.</t>
  </si>
  <si>
    <t>ChevronTexaco Corp</t>
  </si>
  <si>
    <t>US - ChevronTexaco Corp (CTC) acquired all the outstanding common stock of Unocal Corp (UNC), an oil and gas exploration and production company, in a sweetened stock swap transaction value at $18. 718 bil, including the assumption of $1.6 bil in liabilities. CTC offered a choice of $69 in cash or 1.03 common shares per UNC share or a combination comprised of $27.60 in cash and .618 common shares per UNC share, subject to proration, whereby 60% of the consideration offered was to comprise common stock and 40% of the consideration was to comprise cash. Based on CTC's closing stock price of $56.36 on July 18, the last full trading day prior to the announcement of the amended terms, each UNC share was valued at $62.43. Originally, CTC offered a choice of $65 in cash or 1.03 common shares per share held. Originally, in March 2005, CTC was rumored to be in negotiations to acquire UNC. Concurrently, China state- owned China National Offshore Oil Corp withdrew from its unsolicited offer to acquire all the outstanding common stock of UNC.</t>
  </si>
  <si>
    <t>BioSource International Inc</t>
  </si>
  <si>
    <t>Dvlp diagnostic substances</t>
  </si>
  <si>
    <t>Bio-Rad Laboratories Inc</t>
  </si>
  <si>
    <t>Mnfr chem research prod</t>
  </si>
  <si>
    <t>US - Bio-Rad Laboratories Inc withdrew its unsolicited offer to acquire the remaining 95% interest, or 9. 243 mil common shares which it did not already own, in BioSource International Inc (BSI), a developer of diagnostic substances, for $8. 50 in cash per share, or a total value of $81.498 mil. Subsequently, Invitrogen Corp acquired all the outstanding common stock of BSI.</t>
  </si>
  <si>
    <t>Arizona Land Income Corp</t>
  </si>
  <si>
    <t>Patient Safety Technologies</t>
  </si>
  <si>
    <t>US - Patient Safety Technologies Inc withdrew its plans to launch an unsolicited tender offer to acquire a 55% interest, or 1. 018 mil common shares, in Arizona Land Income Corp, a real estate investment trust, for $0.55 in cash and $0.395 in common shares per share, or a total value of $4.581 mil.</t>
  </si>
  <si>
    <t>Concord Communications Inc</t>
  </si>
  <si>
    <t>US - Computer Associates International Inc acquired all the outstanding common stock of Concord Communications Inc, a developer of Internet software, for $17 in cash per share, or a total value of $332.158 mil. The transaction was subject to regulatory approval and customary closing conditions.</t>
  </si>
  <si>
    <t>Odyssey Invest Partners LLC</t>
  </si>
  <si>
    <t>US - Odyssey Investment Partners LLC acquired Neff Corp (NC), a provider of construction and industrial equipment rental services, for an estimated $240.5 mil in cash. Upon completion, NC management was to retain a minority stake and was to operate as a private company. The transaction was subject to customary closing condition, shareholder and regulatory approval.</t>
  </si>
  <si>
    <t>US - Goldner Hawn Johnson &amp; Morrison Inc (GHJ) withdrew from its agreement to acquire all the outstanding common stock of Shopko Stores Inc (SI), an owner and operator of variety stores, for a thrice sweetened $27 in cash per share, or a total value of $1.159 bil including the assumption of $330 mil in liabilities, in a going private transaction. Previously, GHJ offered a twice sweetened $25.50 in cash per share, or a total value of $1.110 bil, including the assumption of $330 mil in liabilities. Previously, GHJ offered a sweetened $25 in cash per share, or a total value of $1. 095 bil, including the assumption of $330 mil in liabilities. Originally, GHJ offered $24 in cash per share or a total value of $1.064 bil, including the assumption of $330 mil in liabilities. Subsequently, an investor group comprised of Sun Capital Partners Group IV Inc, Developers Diversified Realty Cop, Lubert-Adler Partners, Klaff Realty LP and Elliott Management Corp acquired all the outstanding common stock of SI.</t>
  </si>
  <si>
    <t>Mossimo Inc</t>
  </si>
  <si>
    <t>Mnfr men's clothing</t>
  </si>
  <si>
    <t>Mossimo Giannulli</t>
  </si>
  <si>
    <t>US - Investor Mr. Mossimo Giannulli withdrew its agreement to launch a tender offer to acquire the remaining 34.73% stake or 10. 273 mil common shares, which he did not already own, in Mossimo Inc, a manufacturer of men's clothing, for a sweetened $5 in cash per share, or a total value of $27.481 mil. Originally, Mr. Gianulli offered $4 in per share, or a total value of $22.015. The offer was conditioned upon at least majority of shares being tendered. The transaction was subject to customary closing conditions.</t>
  </si>
  <si>
    <t>Primus Inc</t>
  </si>
  <si>
    <t>Whl industrial supplies</t>
  </si>
  <si>
    <t>US - Primus Inc (PI), doing business as WinWholesale Inc, acquired the outstanding common stock of Noland Co (NC) , a wholesaler of plumbing and heating supplies, for $74 in cash per share, or a total value of $250.445. Earlier, PI completed its tender offer fpr NC by accepting 3.183 mil shares, or about 94.05% of NC common shares outstanding, in a going private transaction. The offer was conditioned upon at least 2/3 of NC's shares being tendered. The transaction was duly approved by the board of both companies and was subject to customary closing conditions, shareholder and regulatory approval. Upon completion, the new entity was to be named WinInvest Inc.</t>
  </si>
  <si>
    <t>Analysts International Corp</t>
  </si>
  <si>
    <t>Pvd info technology services</t>
  </si>
  <si>
    <t>US - Computer Horizons Corp(CHC) withdrew its definitive agreement to merge with Analysts International Corp(AIC), a provider of information technology services, in a stock swap transaction valued at $88.767 mil. CHC offered 1.15 common shares per AIC share. Based on CHC's closing stock price of $3.15 on April 12, the last full trading day prior to the announcement, each AIC share was valued at $3.623. Upon completion, CHC shareholders were to own 52% and AIC shareholders were to own 48% of the combined company.</t>
  </si>
  <si>
    <t>Exchange Bancshares Inc,OH</t>
  </si>
  <si>
    <t>Rurban Financial Corp</t>
  </si>
  <si>
    <t>US - Rurban Financial Corp, Defiance,Ohio (RF) merged with Exchange Bancshares Inc, Luckey,Ohio, in a stock swap transaction valued at $12.972 mil. RF offered a choice $22. 00 in cash or 1.555 common shares per EB shares. The transaction was subject to proration whereby 50% was to be paid in cash and the remaining 50% in common stock. The shares were valued based on RF's closing stock price of $14.22 on April 12, the last full trading day prior to the announcement. The transaction was subject to customary closing condition, shareholder and regulatory approval.</t>
  </si>
  <si>
    <t>Keith Cos Inc</t>
  </si>
  <si>
    <t>Stantec Inc</t>
  </si>
  <si>
    <t>Pvd design,consulting services</t>
  </si>
  <si>
    <t>US - Stantec Inc (SI) acquired all the outstanding common stock of Keith Group of Cos Inc (KC), a retailer of mobile homes and an owner and operator of mobile home parks and shopping centers, for $22 in cash per share, or a total value of $174.4 mil, whereby KC shareholders may elect to receive in cash, SI common stock or a combination of both. The transaction was subject to the approval of KC shareholders and regulatory approval.</t>
  </si>
  <si>
    <t>Rubicon Medical Corp</t>
  </si>
  <si>
    <t>Mnfr vascular med devices,prod</t>
  </si>
  <si>
    <t>US - Boston Scientific Corp (BS) acquired the remaining 42.293 mil common shares, or 59% interest, which it did not already own, in Rubicon Medical Corp (RMC), a manufacturer of interventional vascular medical devices and products, for $99.252 mil. BS offered $1.5 cash per share and up to $36.636 mil in profit-related payments.</t>
  </si>
  <si>
    <t>Brookstone Inc</t>
  </si>
  <si>
    <t>Own,op novelty stores</t>
  </si>
  <si>
    <t>OSIM Brookstone Holdings LP</t>
  </si>
  <si>
    <t>US - OSIM Brookstone Holdings LP (OB), a company formed by OSIM International Ltd, JW Childs Associates LP, Temasek Holdings (Pte) Ltd and the management of Brookstone Inc (BI), acquired all the outstanding common stock of BI, an owner and operator of novelty stores, for an amended $20 in cash per share, or a total value of $429.656 mil, in a leveraged buyout transaction. Originally, OB offered $20.50 in cash per share, or a total value of $417.772 mil. The transaction was duly approved by the board of BI and was subject to customary closing conditions, regulatory and shareholder approval.</t>
  </si>
  <si>
    <t>Neptune Society Inc</t>
  </si>
  <si>
    <t>Pvd cremation svcs</t>
  </si>
  <si>
    <t>BG Capital Group Ltd</t>
  </si>
  <si>
    <t>US - BG Capital Group Ltd of Bahamas acquired the remaining 84.35% interest, which it did not already own, in The Neptune Society Inc, a Plantation-based provider of funeral home and funeral services, from Service Corp International, in a leveraged buyout transaction.</t>
  </si>
  <si>
    <t>Rantoul First Bk,Rantoul,IL</t>
  </si>
  <si>
    <t>First BancTrust Corp,Paris,IL</t>
  </si>
  <si>
    <t>US - First BancTrust Corp, Paris,Illinois, acquired all the common outstanding stock of Rantoul First Bank SB, Rantoul,Illinois, for $22.10 in cash per share, or a total value of $4.22 mil. The transaction was subject to customary closing condition, shareholder and regulatory approval.</t>
  </si>
  <si>
    <t>US - GameStop Corp (GSC) acquired all the outstanding common stock of Electronics Boutique Holdings Corp (EBH), an owner and operator of computer stores, in a stock swap transaction valued at $1. 411 bil. GSC offered $38.15 in cash and .78795 class A common shares per EBH share. Based on GSC's closing stock price of $21.61 on April 15, the last full trading day prior to the announcement, each EBH share was valued at $55.18. The transaction was subject to GSC and EBH shareholder approval.</t>
  </si>
  <si>
    <t>US - Adobe Systems Inc (AS) acquired Macromedia Inc (MI), a developer of Internet software and ecommerce applications, in a stock swap transaction valued at $3.573 bil. AS offered 0.69 shares per MI share. Based on AS' closing stock price of April 15, the last full trading day prior to the announcement, each MI share was valued at $41.855. The transaction was duly approved by the board of both companies and was subject to customary closing conditions, shareholder and regulatory approval. Concurrently, the board of AS authorized the repurchase of up to $1 bil of the company's common stock outstanding..</t>
  </si>
  <si>
    <t>Manchester Technologies Inc</t>
  </si>
  <si>
    <t>Mnfr,whl display tech soln</t>
  </si>
  <si>
    <t>Caxton-Iseman Capital Inc</t>
  </si>
  <si>
    <t>US - Caxton-Iseman Capital Inc acquired all the outstanding stock of Manchester Technologies Inc (MT), a manufacturer and wholesaler of computer hardware, for $6.40 in cash per share, or a total value of $58.040 mil, in a going private transaction. The transaction was duly approved by the board of MI and was subject to customary closing conditions, regulatory and shareholder approval. On completion, MT was renamed Electrograph Technologies Corp.</t>
  </si>
  <si>
    <t>Orphan Medical Inc</t>
  </si>
  <si>
    <t>Jazz Pharmaceuticals Inc</t>
  </si>
  <si>
    <t>US - Jazz Pharmaceuticals Inc acquired all the outstanding common stock of Orphan Medical Inc, a manufacturer and wholesaler of pharmaceutical products, for $10.75 in cash per share, or a total value of $140.647 mil. The transaction was subject to approval of regulatory authorities.</t>
  </si>
  <si>
    <t>Transkaryotic Therapies Inc</t>
  </si>
  <si>
    <t>US - Shire Pharmaceuticals Group PLC acquired all the outstanding common stock of Transkaryotic Therapies Inc, a biotechnology company, for $37 in cash per share, or a total value of $1.383 bil. The transaction was subject to shareholder as well as certain regulatory approvals.</t>
  </si>
  <si>
    <t>Instinet Group Inc</t>
  </si>
  <si>
    <t>Own,op electn trading platform</t>
  </si>
  <si>
    <t>US - An investor group, comprised of Nasdaq Stock Market Inc (NAS) and Silver Lake Partners (SL), acquired all the outstanding common stock of Instinet Group Inc (INST), an owner and operator of electronic trading platforms and a majority- owned unit of Reuters Group PLC (RGP), for $1.878 bil in cash. Upon completion, SL was to own INST's Institutional Brokerage division and NAS was to own INST's ECN business. The completion of this transaction was to be contingent upon the acquisition of INST by NAS. Concurrently, Bank of New York Co Inc, New York, New York agreed to acquire Lynch Jones &amp; Ryan from INST.</t>
  </si>
  <si>
    <t>Rancho Bernardo Bk,CA</t>
  </si>
  <si>
    <t>US - Community Bancorp Inc, Fallbrook, California (CB) acquired Rancho Bernardo Community Bank, San Diego, California (RB), in a stock swap transaction valued at $27.850 mil. CB offered $10 mil in cash and 0.600 mil in common shares valued at $17. 850 mil. The transaction was subject to collar agreement and proration whereby the shareholders of RB may elect to receive cash, common shares or a combination of both. The shares were valued based on CB's closing stock price of $29.75 on April 21, the last full trading day prior to the announcement. The transaction was duly approved by the board of both companies and was subject to customary closing conditions, shareholder and regulatory approval.</t>
  </si>
  <si>
    <t>US - An investor group, comprised of Hellman &amp; Friedman LLC and JMI Equity Inc, acquired DoubleClick Inc (DI), a provider of global interactive marketing services, for $8.50 in cash per share, or a total value of $1.203 bil, in a going private transaction. The transaction was duly approved by the board of DI and was subject to customary closing conditions, regulatory and shareholder approval.</t>
  </si>
  <si>
    <t>North East Bancshares,PA</t>
  </si>
  <si>
    <t>FNB Bancorp Inc,Newtown,PA</t>
  </si>
  <si>
    <t>US - FNB Corp, Hermitage, Pennsylvania (FNB) acquired all the outstanding common stock of North East Bancshares Inc, North East, Pennsylvania, in exchange for $15.5 mil FNB common stock. The transaction was subject to the approval of shareholders and regulatory authorities.</t>
  </si>
  <si>
    <t>Premcor Inc</t>
  </si>
  <si>
    <t>Mnfr,whl petro prods</t>
  </si>
  <si>
    <t>US - Valero Energy Corp (VEC) acquired Premcor Inc (PRI), a manufacturer and wholesaler of petroleum products, in a stock swap transaction valued at $8.663 bil, including the assumption of $1.8 bil in liabilities. VEC offered a choice of $72.76 in cash, or . 99 in common shares or a combination of cash and stock per PRI share, subject to proration whereby 50% of the consideration was to be paid in cash and 50% was to paid in common shares. The shares were valued based on VE's closing stock price of $75.04 on April 22, the last full trading day prior to the announcement. The transaction was duly approved by the board of VE and PI was was subject to regulatory and shareholder approval.</t>
  </si>
  <si>
    <t>William Lyon Homes Inc</t>
  </si>
  <si>
    <t>General William Lyon</t>
  </si>
  <si>
    <t>US - CEO General William Lyon terminated his plan to acquire the remaining 28.1% stake, or 2.445 mil common shares, which it did not already own, in William Lyon Homes, a constructor of residential buildings, for $82 in cash per share, or a total value of $204.827 mil, in a going private transaction.</t>
  </si>
  <si>
    <t>PEC Solutions Inc</t>
  </si>
  <si>
    <t>Nortel Networks Inc</t>
  </si>
  <si>
    <t>Mnfr network solutions</t>
  </si>
  <si>
    <t>US - Nortel Networks Inc (NN) acquired all the outstanding common stock of PEC Solutions Inc (PS), a provider of Information Technology services to the US government, for $15.50 in cash per share, or a total value of $471.174 mil. Earlier, NN completed its tender offer by accepting 26.693 mil shares, or 84.73% of PS' common shares outstanding. The transaction was subject to customary closing conditions and regulatory approval. The transaction was conditioned upon at least 60% of PS shares being tendered.</t>
  </si>
  <si>
    <t>MK Resources Co</t>
  </si>
  <si>
    <t>US - Leucadia National Corp (LN) acquired the remaining 27.90% stake, or 10.527 mil common shares, which it did not already own in MK Resources Co (MR), a gold mining company, in a stock swap transaction valued at a sweetened $9.921 mil. LN offered 0.0317 common share per MR share held. Originally, LN offered 0.0266 common share per MR share held. Based on LN's closing stock price of $29.69 on May 2, the last full trading day prior to the ammendment of the terms, each MR share was valued at $0.941. Concurrently, Inmet Mining Corp agreed to acquire Minas La Cruces in Spain.</t>
  </si>
  <si>
    <t>First American Bank,CA</t>
  </si>
  <si>
    <t>US - First Community Bancorp Inc, Rancho Santa Fe, California acquired all the outstanding common stock of First American Bank, Rosemead, California, for an estimated $24.95 in cash per share, or a total value of $54.191 mil. The transaction had been subject to customary closing conditions, shareholder and regulatory approval.</t>
  </si>
  <si>
    <t>Worldwide Rest Concepts Inc</t>
  </si>
  <si>
    <t>Pacific Eq Partners Pty Ltd</t>
  </si>
  <si>
    <t>US - Pacific Equity Partners Pty Ltd acquired all the outstanding common stock of Worldwide Restaurant Concepts Inc, an investment holding company that operates restaurants, for $7 per share, or a total value of $212.342 mil, in a going private transaction. The transaction was subject to customary closing conditions, shareholder and regulatory approval.</t>
  </si>
  <si>
    <t>GlaxoSmithKline PLC</t>
  </si>
  <si>
    <t>US - GlaxoSmithKline PLC acquired all the outstanding common stock of Corixa Corp (CC),a biotechnology company, for $4.4 in cash per share, or a total value of $300.833 mil, including the assumption of an undisclosed amount in liabilities. The transaction was subject to the approval of CC stockholders and regulatory authorities.</t>
  </si>
  <si>
    <t>MDI Technologies Inc</t>
  </si>
  <si>
    <t>LGI Acquisition Inc</t>
  </si>
  <si>
    <t>US - LGI Acquisition Inc (LA) , a unit of Logibec Group Informatique Ltee, acquired all the outstanding common stock of MDI Technologies Inc (MT), a developer of clinical, reimbursement, financial and employee management software, for a sweetened $2.60 in cash per share, or a total value of $31.712 mil. Originally, LA offered $2.40 cash per share, or a total value of $29.232 mil.The offer was conditioned upon at least 50. 1% of MT's shares being tendered on a fully diluted basis. The transaction was subject to customary closing conditions.</t>
  </si>
  <si>
    <t>Metaphor Corp</t>
  </si>
  <si>
    <t>Pvd security guard svcs</t>
  </si>
  <si>
    <t>8 Holdings LLC</t>
  </si>
  <si>
    <t>US - 8 Holdings LLC acquired a 97.50% interest, or .497 mil shs com, in Metaphor Corp, a provider of security guard services.</t>
  </si>
  <si>
    <t>Neiman Marcus Group Inc</t>
  </si>
  <si>
    <t>US - An investor group, comprised of Texas Pacific Group and Warburg Pincus LLC acquired all the outstanding common stock of Neiman Marcus Group Inc (NMG), an owner and operator of specialty retail stores, for $100 in cash per Class A and Class B common share, or a total value of $5. 095 bil, in a going private transaction. Completion of the transaction was to be contingent upon NMG shareholder and regulatory approvals. Originally, in March 2005, NMG announced that it was seeking a buyer for the company.</t>
  </si>
  <si>
    <t>CFC International Inc</t>
  </si>
  <si>
    <t>Mnfr functional coatings</t>
  </si>
  <si>
    <t>Audax Group LP</t>
  </si>
  <si>
    <t>US - Audax Group LP withdrew its letter of intent to acquire all the outstanding stock of CFC International Inc, a manufacturer of chemically complex multi- layered functional coatings, for $109.4 mil. The transaction was subject to due diligence.</t>
  </si>
  <si>
    <t>Bone Care Intl Inc</t>
  </si>
  <si>
    <t>US - Genzyme Corp acquired all the outstanding common stock of Bone Care International Inc, a manufacturer of vitamin D hormone therapeutic products, for $33 in cash per share, or a total value of $713.554 mil. The transaction was duly approved by the board of both companies and was subject to regulatory and shareholder approval.</t>
  </si>
  <si>
    <t>PFS Bancorp Inc</t>
  </si>
  <si>
    <t>US - Peoples Community Bancorp Inc, West Chester, Ohio acquired all the outstanding common stock of PFS Bancorp Inc, for $23 in cash per share or a total of value of $34.672 mil. The transaction was subject to shareholders' and regulatory approval.</t>
  </si>
  <si>
    <t>Renal Care Group Inc</t>
  </si>
  <si>
    <t>Pvd nephrology dialysis svcs</t>
  </si>
  <si>
    <t>Fresenius Medical Care AG &amp; Co</t>
  </si>
  <si>
    <t>US - Fresenius Medical Care AG, a 51%-owned unit of Fresenius AG, acquired all the outstanding common stock of Renal Care Group Inc, a provider of nephrology dialysis services, for $48 in cash per share, or a total value of $4.01 bil, including the assumption of $500 mil in liabilities. The transaction had been subject to customary closing conditions and regulatory approval.</t>
  </si>
  <si>
    <t>SpectraSite Inc</t>
  </si>
  <si>
    <t>Operate wireless communic twr</t>
  </si>
  <si>
    <t>US - American Tower Corp (ATC) merged with SpectraSite Inc (SSI), an owner and operator of wireless communications towers, in a stock swap transaction valued at $3.131 bil. ATC offered 3. 575 Class A common shares per SSI share. Based on ATC closing stock price of $17.21 on May 3, 2005, the last full trading day prior to announcement, each SSI share was valued at $61.53. Completion of the transaction was to be contingent upon shareholder and regulatory approvals. Upon completion, AMT shareholders were to own 59%, and SSI shareholders were to own 41%, of the combined company, which was to encompass over 20,000 tower sites in the United States.</t>
  </si>
  <si>
    <t>Juno Lighting Inc</t>
  </si>
  <si>
    <t>Mnfr,whl track lighting prods</t>
  </si>
  <si>
    <t>Abrams Capital LLC</t>
  </si>
  <si>
    <t>US - Abrams Capital LLC made an unsolicited offer to acquire the remaining 82.7% interest, or 2.346 mil common shares which it did not already own in Juno Lighting Inc, a manufacturer and wholesaler of track lighting features, from Fremont Partners, for an estimated $40 per share, or a total value of $159.894 mil. The transaction was subject to due diligence.</t>
  </si>
  <si>
    <t>Duke Energy Corp</t>
  </si>
  <si>
    <t>Pvd elec delivery services</t>
  </si>
  <si>
    <t>US - Duke Energy Corp (DEC) merged with Cinergy Corp (CIC) and electric and gas utility holding company, in a stock swap transaction valued at USD 8.833 bil. DEC offered 1. 56 common shares per CIC share. Based on DEC's closing stock price of USD 29.36 on May 6, 2005, the last full trading day prior to announcement, each CIC share was valued at USD 45.80. On completion, DEC and CIC shareholders owned 76% and 24% of the merged entity, respectively. The transaction was subject to customary closing conditions, shareholders and regulatory approvals.</t>
  </si>
  <si>
    <t>Nuance Communications Inc</t>
  </si>
  <si>
    <t>US - ScanSoft Inc (SI) merged with Nuance Communications Inc (NC), a developer of voice interface software, in a stock swap transaction valued at $213. 973 mil. SI offered $2.20 in cash and 0.770 common share per NC share. Based on SI's closing stock price of $4.46 on May 6, the last full trading day prior to the announcement, each NC share was valued at $5.63.</t>
  </si>
  <si>
    <t>Blair Corp</t>
  </si>
  <si>
    <t>Loeb Partners Corp</t>
  </si>
  <si>
    <t>US - Loeb Partners Corp unsolicited offer to acquire the remaining 93.30% interest, or 7.196 mil common shares, which it did not already own in Blair Corp, a provider of ecommerce retail services, for $36 per share, or a total value of $280.139 mil, in a going private transaction has been withdrawn. The transaction was subject to due diligence.</t>
  </si>
  <si>
    <t>Oshkosh B Gosh Inc</t>
  </si>
  <si>
    <t>Mnfr children's clothing</t>
  </si>
  <si>
    <t>Carter's Inc</t>
  </si>
  <si>
    <t>Retail,whl children's clothing</t>
  </si>
  <si>
    <t>US - Carter's Inc acquired all the outstanding common stock of OshKosh B' Gosh Inc, a manufacturer of children's clothing, for $26 in cash per share, or a total value of $311.963 mil. The transaction was subject to other conditions and regulatory approval.</t>
  </si>
  <si>
    <t>United Financial Inc,NC</t>
  </si>
  <si>
    <t>US - FNB Corp, Asheboro, North Carolina (FC) acquired United Financial Inc, Graham, North Carolina (UF), in a stock swap transaction valued at $24.589 mil. FC offered a choice of $14.25 in cash, 0. 6828 common shares or a combination of both per UF share. The transaction was subject to proration whereby 65% was to be paid in common stock. The transaction was subject to customary closing conditions, regulatory and shareholder approval.</t>
  </si>
  <si>
    <t>Liberty Group Publishing Inc</t>
  </si>
  <si>
    <t>Fortress Investment Group LLC</t>
  </si>
  <si>
    <t>Global alternative asset mngr</t>
  </si>
  <si>
    <t>US - Fortress Investment Group LLC merged with Liberty Group Publishing Inc, a publishing company. Terms were not disclosed.</t>
  </si>
  <si>
    <t>Pvd discount sec brkg svc</t>
  </si>
  <si>
    <t>E Trade Financial Corp</t>
  </si>
  <si>
    <t>Pvd securities brkg svcs</t>
  </si>
  <si>
    <t>US - E-Trade Financial Corp withdrew its unsolicited offer for all the outstanding common stock of Ameritrade Holding Corp, a provider of retail discount securities brokerage services. Previously, in May 2005, E- Trade was rumored to be planning to acquire all the outstanding common stock of Ameritrade.</t>
  </si>
  <si>
    <t>Mnfr,whl surgical,med equip</t>
  </si>
  <si>
    <t>US - 3M Corp acquired all the outstanding common stock of Cuno Inc, a manufacturer of filtration products, for $72 in cash per share, or a total value of $1.404 bil, including the assumption of $60 mil in liabilities. The transaction was subject to shareholder approval.</t>
  </si>
  <si>
    <t>Infodata Systems Inc</t>
  </si>
  <si>
    <t>Dvlp content mgmt soln</t>
  </si>
  <si>
    <t>McDonald Bradley Inc</t>
  </si>
  <si>
    <t>US - McDonald Bradley Inc merged with Infodata Systems Inc, a developer of content management solutions, for $1. 15 in cash per share, or a total value of $6.117 mil. The transaction was subject to shareholder approval, customary closing conditions and due diligence.</t>
  </si>
  <si>
    <t>iPayment Inc</t>
  </si>
  <si>
    <t>Provide credit card services</t>
  </si>
  <si>
    <t>US - An investor group, comprised of iPayment Holdings Inc (IPH), a new company formed by iPayment Inc's (IP) CEO Mr. Gregory Daily and President Mr. Carl Grimstad, and iPayment MergerCo Inc, a unit of IPH, acquired all the outstanding common stock of IP, a provider of credit card data processing services, for a twice sweetened $43.50 in cash per share, or a total value of $800.027 mil, in a leveraged buyout and going private transaction. The transaction was subject to other customary closing conditions, regulatory and IP shareholders approvals. Previously, Mr. Daily offered a sweetened $40 in cash per share, or a total value $724. 648 mil. Originally, Mr. Daily offered $38 in cash per share or a total value of $696.023 mil.</t>
  </si>
  <si>
    <t>Overnite Corp</t>
  </si>
  <si>
    <t>US - United Parcel Service Inc acquired all the outstanding common stock of Overnite Corp, a trucking company, for $43.25 in cash per share, or a total value of $1.231 bil. Completion of the transaction was to be contingent upon shareholder and regulatory approvals.</t>
  </si>
  <si>
    <t>Vermont Teddy Bear Co Inc</t>
  </si>
  <si>
    <t>Mnfr dolls,stuffed toys</t>
  </si>
  <si>
    <t>Hibernation Holding Co Inc</t>
  </si>
  <si>
    <t>US - Hibernation Holding Co Inc, an acquisition vehicle formed by Mustang Group LLC, FreshTracks Capital and Vermont Teddy Bear Co Inc (VT) management definitively agreed to acquire all the outstanding stock of VT, a manufacturer of dolls and stuffed toys, for $6.50 in cash per share, or a total value of $42.182 mil, in a going private transaction. The transaction was subject to customary closing conditions, shareholders and regulatory approval.</t>
  </si>
  <si>
    <t>Metals USA Inc</t>
  </si>
  <si>
    <t>Mnfr processed steel,aluminum</t>
  </si>
  <si>
    <t>US - Apollo Management LP, a unit of Apollo Advisers LP, acquired all the outstanding common stock of Metals USA Inc, a manufacturer of processed steel, aluminum and specialty metals, for $22 in cash, or a total value of $458.669 mil. The transaction was subject to shareholders and regulatory approvals and other customary conditions.</t>
  </si>
  <si>
    <t>US - An investor group, comprised of Ripplewood Holdings LLC, RHJ International, GS Capital Partners LP, a unit of Goldman Sachs Group Inc's Goldman Sachs &amp; Co subsidiary and J Rothschild Group of Cos, withdrew from its definitive agreement to acquire all outstanding common stock of Maytag Corp (MT), a manufacturer of household applicances, for $14 in cash per share, or a total value of $2.091 bil, including the assumption of $975 mil in liabilities, in a going private transaction. The transaction was approved by the board of directors and was subject to shareholders' and regulatory approval and customary closing conditions. Subsequently, an investor group, comprised of Bain Capital Partners LLC, Blackstone Capital Partners IV LP and Haier America Trading LLC wiithdrew from its unsolicited offer to acquire all the outstanding common stock of MT. Subsequently, Whirlpool Corp made agreed to acquire MT which it has already twice- weetened</t>
  </si>
  <si>
    <t>Imperial Sugar Co</t>
  </si>
  <si>
    <t>Produce,wholesale sugar</t>
  </si>
  <si>
    <t>Schultze Asset Management LLC</t>
  </si>
  <si>
    <t>US - Schultze Asset Management LLC made an unsolicited offer to acquire the remaining 85.56% interest, or 9.025 mil common shares which it did not already own in Imperial Sugar Co, a producer of sugar, for $17 per share, or a total value of $166.287 mil. The transaction was subject to due diligence and customary closing conditions.</t>
  </si>
  <si>
    <t>PCB Holding Co,Tell City,IN</t>
  </si>
  <si>
    <t>US - German American Bancorp, Vicennes, Indiana (GA) acquired all the outstanding stock of PCB Holding Co, Tell Ctiy, Indiana (PC), a bank holding company, in a stock swap transaction valued at $6. 146 mil. GA offered $9 in cash and .7143 shares per PC share. Based on GA's closing stock price of $13.61 on May 23, the last full trading day prior to the announcement, each PC share was valued at $12.5. The transction was subject tothe approval of PC shareholders and regulatory authorities.</t>
  </si>
  <si>
    <t>Trinity Bank,Monroe,NC</t>
  </si>
  <si>
    <t>Citizens South Banking Corp,NC</t>
  </si>
  <si>
    <t>US - Citizens South Banking Corp, Gastonia, North Carolina (CS), acquired Trinity Bank, Monroe, North Carolina (TB), in a stock swap transaction valued at $33.543 mil. CS offered $18. 25 in cash, 1.3931 common shares or a combination both both, per TB share. The transaction was subject to proration whereby 50% was to be paid in cash and 50% in common stock. The shares were valued based on CS' closing stock price of $13.05 on May 24, the last full trading day prior to the announcement. The transaction was subject to customary closing conditions, shareholder and regulatory approval.</t>
  </si>
  <si>
    <t>Blue Industries Inc</t>
  </si>
  <si>
    <t>Homeskills Inc</t>
  </si>
  <si>
    <t>CANADA - Pegasus Wireless Corp merged with Blue Industries Inc, an investment company.</t>
  </si>
  <si>
    <t>First Capital Bancorp,GA</t>
  </si>
  <si>
    <t>US - FLAG Financial Corp (FF) acquired First Capital Bancorp, Norcross, Georgia (FC), in a stock swap transcation valued at $135. 966 mil, in a leveraged buyout transaction. FF offered 1.6 common shares per FC share. Based on FF's closing stock price of $15.76 on May 25, the last full trading day prior to the announcement, each FC share was valued at $25.216. The transaction was duly approved by the board of both companies and was subject to shareholder and regulatory approval.</t>
  </si>
  <si>
    <t>Fab Industries Inc</t>
  </si>
  <si>
    <t>Mnfr lace,warp knit fabrics</t>
  </si>
  <si>
    <t>SSJJJ Manufacturing LLC</t>
  </si>
  <si>
    <t>US - SSJJJ Manufacturing LLC definitively agreed to acquire all the outstanding common stock of Fab Industries Inc (FI), a manufacturer of lace and warp knit fabrics, for $3.15 in cash per share, or a total value of $16.427 mil. The transcation was duly approved by the board of FI.</t>
  </si>
  <si>
    <t>School Specialty Inc</t>
  </si>
  <si>
    <t>Whl,ret school supplies</t>
  </si>
  <si>
    <t>US - An investor group, comprised of Bain Capital Partners LP (BCP) and Thomas H Lee Partners LP (THL) terminated its agreement to acquire all the outstanding common stock of School Specialty Inc (SSI), a manufacturer and wholesaler of school supplies, for $1. 457 bil. The consideration was to consist of $49 in cash per share and the assumption of $101 mil in liabilities. The transaction was duly approved by the board of SSI and was subject to customary closing conditions, regulatory and shareholder approval. Upon completion, BCP was to hold a 60% interest in SSI and THL was to hold a 40% stake in SSI. Previously, in May 2005, BCP definitively agreed to acquire all the outstanding common stock of SSI.</t>
  </si>
  <si>
    <t>Saucony Inc</t>
  </si>
  <si>
    <t>Mnfr athletic footwear,apparel</t>
  </si>
  <si>
    <t>Stride Rite Corp</t>
  </si>
  <si>
    <t>Mnfr,whl footwear</t>
  </si>
  <si>
    <t>US - Stride Rite Corp acquired all the outstanding common stock of Saucony Inc (SI), a manufacturer of athletic footwear and apparel, for $23 in cash per share, or a total value of $170.396 mil. The transaction was duly approved by the board of SI and was subject to regulatory and 2/3 of SI shareholders' approval.</t>
  </si>
  <si>
    <t>Shopping com Ltd</t>
  </si>
  <si>
    <t>US - eBay Inc acquired all the outstanding common stock of Shopping.com Ltd, a provider of online shopping services, for $21 in cash per share, or a total value of $667.141 mil. The transaction was subject to regulatory and shareholder approval.</t>
  </si>
  <si>
    <t>Cruzan International Inc</t>
  </si>
  <si>
    <t>Produce,whl,ret wines,rum</t>
  </si>
  <si>
    <t>Vin &amp; Sprit AB</t>
  </si>
  <si>
    <t>Produce,whl wines,spirits</t>
  </si>
  <si>
    <t>US - Swedish state-owned V&amp;S Vin &amp; Spirit AB (VS) acquired a 67.75% interest, or 4.295 mil common shares, in Cruzan International Inc (CI), a producer, wholesaler and retailer of wines &amp; rhum, from CL Financial Ltd's 75% owned Angostura Ltd subsidiary, for $28.37 in cash per share, or a total value of $129.322 mil. The transaction was subject to regulatory approval and due diligence. Subsequently, Absolut Spirits Co Inc, a unit of VS, made an offer to acquire the remaining 32.25% stake in CI.</t>
  </si>
  <si>
    <t>US - Sun Microsystems Inc (SUNW) acquired all the outstanding common stock of Storage Technology Corp (STK), for $37 in cash per share, or a total value of $4.262 bil. The transaction was subject to Hart-Scott-Rodino act.</t>
  </si>
  <si>
    <t>US - L-3 Communications Holdings Inc (LLL) acquired all outstanding common stock of Titan Corp (TTN), a provider of computer integrated systems design services, for $23.10 in cash per share, or a total value of $2.766 bil, including the assumption of $680 mil in liabilities. Completion of the transaction was to be contingent upon TTN shareholder and regulatory approvals. On completion, the merged entity retained the name LLL. Originally, in May 2005, LLL was rumored to be in negotiations to acquire TTN.</t>
  </si>
  <si>
    <t>US - ValueAct Capital Partners LP (VC) withdrew its unsolicited offer to acquire the remaining 89.60% interest, or 76.833 mil common shares, which it did not already own in Acxiom Corp (AC), a provider of data processing services, for a sweetened $25 per share, or a total value of $2,274 bil. Originally, VC offered $23 per share, or a total value of $2,116 bil.</t>
  </si>
  <si>
    <t>Catellus Development Corp</t>
  </si>
  <si>
    <t>ProLogis</t>
  </si>
  <si>
    <t>US - ProLogis Inc (PLI) acquired Catellus Development Corp (CDC), a real estate development firm, in a stock swap transaction valued at $4. 852 bil. PLI offered a choice of $33.81 in cash or .822 common shares per CDC share, including the assumption of $1.3 bil in liabilities. Based on PLI's closing stock price of $41.37 on June 3, the last full trading day prior to announcement; each CDC share was valued at $34. 006. The offer was subject to proration whereby 65% of the consideration offered was to be paid in common stock and 35% in cash. Completion of the transaction was to be contingent upon regulatory and CDC and PLI shareholder approval.</t>
  </si>
  <si>
    <t>Providian Financial Corp</t>
  </si>
  <si>
    <t>Pvd business,financial svcs</t>
  </si>
  <si>
    <t>US - Washington Mutual Inc, Seattle, Washington (WMI) acquired all the outstanding common stock of Providian Financial Corp (PVC), a provider of business and financial services, in a stock swap transaction valued at $6.454 bil. WMI offered . 45 common shares per PVC share. Based on WMI's closing stock price of $41.57 on June 3, the last full trading day prior to announcement, each PVC share was valued at $18. 7065. The offer was subject to proration whereby 89% of the total consideration was to be paid in common stock and 11% was to be paid in cash. Completion of the transaction was to be contingent upon regulatory and PVC shareholder approval.</t>
  </si>
  <si>
    <t>Pure World Inc</t>
  </si>
  <si>
    <t>Mnfr,whl botanical extracts</t>
  </si>
  <si>
    <t>Naturex SA</t>
  </si>
  <si>
    <t>Produce,whl plant extracts</t>
  </si>
  <si>
    <t>US - Naturex SA (NS) acquired all the outstanding common stock of Pure World Inc (PW), a manufacturer and wholesaler of botanical products, for $4.30 in cash per share, or a total value of $34.993 mil. Earlier, NS completed its tender offer to by accepting 7.504 mil common shares, or 93.74% of PW's common shares outstanding. The offer was conditioned upon at least 51% of PW's shares being tendered. The transaction was duly approved by the board of both companies and was subject to customary closing conditions.</t>
  </si>
  <si>
    <t>US - In October 2005, Apria Healthcare Group Inc (AH), a provider of home healthcare services, announced that it terminated its search for a buyer for the company. Originally, in June 2005, AH announced that it was seeking a buyer for the company.</t>
  </si>
  <si>
    <t>Gables Residential Trust</t>
  </si>
  <si>
    <t>US - An investor group, including ING Clarion Partners LLC, a unit of ING Groep NV, acquired all the outstanding common stock of Gables Residential Trust (GRT) , a real estate investment trust, for USD 43.5 in cash per share, or a total value of USD 2.473 bil, including the assumption of USD 1.2 bil in liabilities. GRT shareholder approved the transaction.</t>
  </si>
  <si>
    <t>US - In June 2005, Security Capital Corp, an insurance agency, announced that it was seeking a buyer for a company.</t>
  </si>
  <si>
    <t>Boston Acoustics Inc</t>
  </si>
  <si>
    <t>Mnfr,whl audio systems</t>
  </si>
  <si>
    <t>D&amp;M Holdings Inc</t>
  </si>
  <si>
    <t>Whl audio,video equip</t>
  </si>
  <si>
    <t>US - D&amp;M Holdings Inc acquired all the outstanding common stock of Boston Acoustics Inc (BA), a manufacturer and wholesaler of high-performance audio systems, for $17.50 in cash per share, or a total value of $76.328 mil. The transaction was duly approved by the board of BA and was subject to customary closing conditions, regulatory and shareholder approval.</t>
  </si>
  <si>
    <t>Albemarle First Bk,VA</t>
  </si>
  <si>
    <t>Millennium Bankshares Corp,VA</t>
  </si>
  <si>
    <t>US - Millennium Bankshares Corp, Reston,Virginia (MB) withdrew its definitive agreement to acquire Albemarle First Bank, Charlottesville,Virginia (AF), in a stock swap transaction valued at $25.141 mil. MB offered a choice of $15.82 in cash or common stock per AF share, subject to a collar agreement.</t>
  </si>
  <si>
    <t>Niku Corp</t>
  </si>
  <si>
    <t>Dvlp portfolio mgmt software</t>
  </si>
  <si>
    <t>US - Computer Associates International Inc acquired all the outstanding common stock of Niku Corp(NC), a devloper of portfolio management software, for $21 in cash per share, or a total value of $350.251 mil. The transaction was subject regulatory and NC shareholder apporval.</t>
  </si>
  <si>
    <t>Pacific Liberty Bank,CA</t>
  </si>
  <si>
    <t>US - First Community Bancorp Inc, Rancho Santa Fe, California (FC) acquired Pacific Liberty Bank, Huntington Beach,California (PL), in a stock swap transaction valued at $41.27 mil. FC offered $38.15 in common stock per PL share, subject to a collar agreement. The transaction was subject to regulatory approval.</t>
  </si>
  <si>
    <t>US - RCM Acquisition Co LLC, a company formed by Barington Capital Group LP and Ramius Capital Group LLC, withdrew its unsolicited hostile offer to acquire the remaining 85. 1% interest, or 20.638 mil common shares, which it did not already own in Register. com Inc (RI), a provider of domain name registration services, for $7.10 in cash per share, or a total value of $151.672 mil. Subsequently, Vector Capital acquired all the outstanding common stock of RI, in a challenging bid.</t>
  </si>
  <si>
    <t>US - Bank of the West, San Francisco, California, a unit of BNP Paribas SA's BancWest Corp, Honolulu, Hawaii subsidiary, acquired the entire share capital of Commercial Federal Corp, Omaha, Nebraska, for USD 34 in cash per share, or a total value of USD 1.34 bil. The transaction was duly approved by the board of both companies and was subject to shareholder and regulatory approval.</t>
  </si>
  <si>
    <t>Vin Gupta &amp; Co LLC</t>
  </si>
  <si>
    <t>US - Vin Gupta &amp; Co LLC withdrew from its unsolicited offer to acquire the remaining 62% interest, or 33. 286 mil common shares which it did not already own in infoUSA Inc, a provider of information technology services, for $11.75 in cash per share, or a total value of $404.028 mil, in a going private transaction. The transaction was subject to customary closing conditions and regulatory approval.</t>
  </si>
  <si>
    <t>CNB Bancorp,Gloversville,NY</t>
  </si>
  <si>
    <t>US - NBT Bancorp Inc, Norwich, New York (NB) acquired CNB Bancorp Inc, Gloversville, New York (CB), in a stock swap transaction valued at $89.752 mil. NB offered $38 in cash or 1.64 NB common shares per CB share. The transaction was subject to proration whereby 45% was to be paid in cash and 55% in common stock. The transaction was duly approved by the board of both companies and was subject to shareholder and regulatory approval.</t>
  </si>
  <si>
    <t>Integrated Circuit Systems Inc</t>
  </si>
  <si>
    <t>US - Integrated Device Technology Inc (IDT) merged with Integrated Circuit Systems Inc (ICS), a manufacturer of integrated circuits, in a stock swap transaction valued at $1.678 bil. IDT offered $7.25 in cash and 1.3 common shares per ICS share. Based on IDT's closing stock price of $12.44 on June 14, 2005, the last full trading day prior to announcement, each ICS common share was valued at $23.42. Completion of the transaction was to be contingent upon shareholder and regulatory approval. Moreover, IDT shareholders were to own 54%, and ICS shareholders were to own 46%, of the combined company, which was to retain the Integrated Devices Technologies corporate name, with headquarters in San Diego, California.</t>
  </si>
  <si>
    <t>Pyramid Oil Co</t>
  </si>
  <si>
    <t>Michael Herman</t>
  </si>
  <si>
    <t>US - Mr Michael Herman acquired a 55.66% interest, or 1.388 mil common shares in Pyramid Oil Co, an oil and gas exploration and production company, for $2.50 per share, or a total value of $3.471 mil.</t>
  </si>
  <si>
    <t>LB Center Inc</t>
  </si>
  <si>
    <t>Mnfr exercise machines</t>
  </si>
  <si>
    <t>Berman Center Inc</t>
  </si>
  <si>
    <t>US - Berman Center LLC merged with LB Center, manufacturer of multi-station home gyms, exercise machines, weight benches, and specialty free weight equipment. Upon completion, the combined company was to be named Berman Center Inc.</t>
  </si>
  <si>
    <t>Vicuron Pharmaceuticals Inc</t>
  </si>
  <si>
    <t>US - Pfizer Inc acquired all the outstanding common stock of Vicuron Pharmaceuticals Inc, a biotechnology company, for $29.10 in cash per share, or a total value of $1.916 bil. The transaction was subject to customary closing conditions and regulatory approval.</t>
  </si>
  <si>
    <t>CRT Properties Inc</t>
  </si>
  <si>
    <t>DRA Advisors LLC</t>
  </si>
  <si>
    <t>US - DRA Advisors LLC acquired all the outstanding common stock of CRT Properties Inc, a real estate investment trust, for $27.80 in cash per share, or a total value of $901.028 mil. The transaction was subject to customary closing conditions, shareholder and regulatory approval.</t>
  </si>
  <si>
    <t>US - An investor group (IG), including Charles F. Dolan and James L. Dolan, withdrew its plans to acquire the remaining 77.3% interest, or 222.609 mil Class A common shares, which it did not already own, in Cablevision Systems Corp (CSC), an owner and operator of cable TV systems, for an estimated $33. 50 per share or a total value of $7.587 bil, in a leveraged- buyout transaction. The IG offered $21 in cash plus an estimated $12.50 in common stock of Rainbow Media Holdings (RMH), a newly- created CSC unit, per CSC common share. Upon completion of the going private transaction, CSC shareholders were to own 80%, and the IG was to own 20%, of RMH. Moreover, RMH was to encompass the following CSC operational assets: national cable networks (AMC, IFC, WE), fuse, regional sports networks, Madison Square Garden, the New York Knicks, the New York Rangers, Radio City Music Hall, News 12 and Clearview Cinemas.</t>
  </si>
  <si>
    <t>US - An investor group, comprised of Bain Capital Partners LLC, Blackstone Capital Partners IV LP, a unit of Blackstone Group LP and Haier America Trading LLC, a unit of Haier Group Co, withdrew from its unsolicited challenging offer to acquire all the outstanding common stock of Maytag Corp (MT), a manufacturer of appliances, for $16 in cash per share, or a total value of $1.275 bil. The transaction was subject to due diligence. Previously, an investor group, comprised of Ripplewood Holdings LLC, RHJ International, GS Capital Partners LP and J. Rothschild Group of Cos, withdrew from its definitive agreement to acquire all the outstanding common stock of MT. Subsequently, Whirlpool Corp made an unsolicited challenging offer to acquire MT.</t>
  </si>
  <si>
    <t>GSE Systems Inc</t>
  </si>
  <si>
    <t>US - GP Strategis Corp (GS) completed the spinoff of its 58% interest, or 5.22 mil common shares, in GSE Systems Inc (GI), a provider of computer integrated systems design services, in a transaction valued at $6.786 mil. GS common and Class B shareholders received 0. 283075 GI common share per GS common or Class B share held.</t>
  </si>
  <si>
    <t>Eastern American Natural Gas</t>
  </si>
  <si>
    <t>Ensource Energy Income Fund LP</t>
  </si>
  <si>
    <t>US - Ensource Energy Income Fund LP (EE) launched a tender offer to acquire all the outstanding common stock of Eastern American Natural Gas Trust (EA), an oil &amp; gas exploration and production company, for $5.9 mil in cash and 1 EE common share per EA share.</t>
  </si>
  <si>
    <t>China National Offshore Oil</t>
  </si>
  <si>
    <t>US - China state-owned China National Offshore Oil Corp (CN) withdrew its challenging offer to acquire all the outstanding common stock of Unocal Corp (UC), an oil and gas exploration and production company, for $67 in cash per share, or a total value of $18.472 bil. The transaction was subject to the approval of regulatory authorities. Originally, UC was rumored to be in planning to acquire all the outstanding common stock of UC. Concurrently, ChevronTexaco Corp agreed to acquire all the outstanding common stock of UC.</t>
  </si>
  <si>
    <t>Callaway Golf Co</t>
  </si>
  <si>
    <t>Mnfr golf clubs,equip</t>
  </si>
  <si>
    <t>Thomas H Lee Partners LP</t>
  </si>
  <si>
    <t>US - Thomas H Lee Partners LP, a unit of Thomas H Lee Co, was rumored to be in negotiations to acquire all the outstanding common stock of Callaway Golf Co, a manufacturer of golf clubs. The Current status of this deal is unknown.</t>
  </si>
  <si>
    <t>InKine Pharmaceutical Co</t>
  </si>
  <si>
    <t>US - Salix Pharmaceuticals Ltd (SP) acquired InKine Pharmaceutical Co Inc (PC), a biopharmaceutical company, in a stock swap transaction valued at $192.275 mil. SP offered .1737 common shares per PC share held. Based on SP's closing stock price of $20.89 pn September 29, the last full trading day prior to the announcement of the exact exchange ratio, each PC share was valued at $3.629. Originally, SP offered $3.55 in common stock per PC share, subject to a collar agreement. The transaction was approved by the regulatory authorities.</t>
  </si>
  <si>
    <t>SeeBeyond Technology Corp</t>
  </si>
  <si>
    <t>Pvd e-bus integration svcs</t>
  </si>
  <si>
    <t>US - Sun Microsystems Inc acquired all the outstanding common stock of SeeBeyond Technology Corp, a provider of e-business integration software, for $4.25 in cash per share, or a total value of $386.854 mil.</t>
  </si>
  <si>
    <t>US - IDT Corp completed its tender offer to acquire the remaining 59% interest, or 27. 678 mil common shares which it did not already own in Net2Phone Inc (NP), a provider of voice-enhanced Internet communication services, for a thrice sweetened USD 2.05 in cash per share, or a total value of USD 93.758 mil. Originally, IC offered a twice sweented USD 2 in cash per share, or a total value of $91.471 mil. The offer was conditioned upon at least 31% of NP's shares being tendered.</t>
  </si>
  <si>
    <t>1st State Bancorp Inc,NC</t>
  </si>
  <si>
    <t>US - Capital Bank Corp, Raleigh, North Carolina (CB) acquired 1st State Bancorp Inc (1S), Burlington,North Carolina, in a stock swap transaction valued at $107. 684 mil. CB offered a choice of $37.15 cash or common stock per 1S share, subject to a collar agreement and subject to proration whereby the maximum cash consideration was 35% of the total consideration.</t>
  </si>
  <si>
    <t>Mnfr elec distn prod</t>
  </si>
  <si>
    <t>US - Square D Co, a unit of Schneider Electric SA, acquired all the outstanding common stock of Juno Lighting Inc (JL), a manufacturer and wholesaler of track lighting products and a 75% owned unit of Fremont Partners, via a challenging offer for $44 in cash per share, or a total value of $417.935 mil, including the assumption of $200 mil in liabilities . The transaction was duly approved by the board of both companies and was subject to customary closing conditions, shareholder and regulatory approval. Previously, Abrams Capital LLC made an unsolicited offer to acquire the remaining 87.10% interest in JL.</t>
  </si>
  <si>
    <t>EFC Bancorp Inc,Elgin,Illinois</t>
  </si>
  <si>
    <t>US - MAF Bancorp Inc, Clarendon Hills, Illinois (MB) acquired EFC Bancorp Inc, Elgin, Illinois, (EB) in a stock swap transaction valued at $168.390 mil. MB offered a choice of $34.69 in cash or 0. 8082 common shares per EB share. The transaction was subject to proration whereby 40% was to be paid in cash and 60% in common shares. The shares were valued based on MB's closing stock price of $43.50 on June 29, the last full trading day prior to the announcement.</t>
  </si>
  <si>
    <t>MBNA Corp</t>
  </si>
  <si>
    <t>US - Bank of America Corp (BAC) acquired MBNA Corp(MBN), a commercial bank holding company, in a stock swap transaction valued at $35.81 bil. BAC offered $4.125 in cash and .5009 common shares per MBN share. Based on BAC's closing stock price of $46.91 on June 29, the last full trading day prior to the announcement, each MBN share was valued at $27.622. The transaction was subject to shareholder and regulatory approval.</t>
  </si>
  <si>
    <t>NorthWestern Corp</t>
  </si>
  <si>
    <t>Pvd electric,natural gas svcs</t>
  </si>
  <si>
    <t>Montana Public Power Inc</t>
  </si>
  <si>
    <t>Elec utility non-profit co</t>
  </si>
  <si>
    <t>US - Montana Public Power Inc withdrew its unsolicited offer to acquire all the outstanding common stock of Northwestern Corp (NC), an electric and gas utility company, for $32.5 in cash, or a total value of $2 bil in cash, including the assumption of $825 mil in liabilities. Concurrently, South dakota Power Co agreed to acquire the non-Montana assets of NC. Subsequently, Black Hills Power Inc withdrew its unsolicited offer to acquire NC.</t>
  </si>
  <si>
    <t>Tipperary Corp</t>
  </si>
  <si>
    <t>US - Santos Ltd (SL) acquired the remaining 45.50% stake, or 18.821 mil common shares, which it did not already own in Tipperary Corp (TP), an oil and gas exploration and production company, for a sweetened $7. 43 in cash per share, or a total value of $139.844 mil. Originally, SL offered $7.41 in cash per share, or a total value of $139.468 mil. Concurrently, SL acquired a 54.50% interest in TP and a 10% stake in Tipperary Oil &amp; Gas (Australia) Pty Ltd.</t>
  </si>
  <si>
    <t>US - Santos Ltd (SL) acquired a 54.50% interest, or 23.698 mil common shares in Tipperary Corp (TI), an oil and gas exploration and production company, from Slough Estates Plc's Slough Estates USA Inc subsidiary, for an amended $7.39 in cash per share, or a total value of $312.06 mil. Originally, SL offered $7.41 in cash per share, or a total value of $312.914 mil. Concurrently, SL agreed to acquire a 10% stake in Tipperary Oil &amp; Gas (Australia) Ltd. The transaction was duly approved by the board of TI. Concurrently, SL agreed to acquire the remaining 45.5% stake which it did not already own in TI.</t>
  </si>
  <si>
    <t>Aspect Communications Corp</t>
  </si>
  <si>
    <t>US - Concerto Software Inc, a unit of Golden Gate Capital, merged with Aspect Communications Corp, a software developer, for $11. 60 in cash per share, or a total value of $1.064 bil, in a going private transaction. The transaction was duly approved by the board of both companies and was subject to regulatory and shareholders' approval. Upon completion, the merged entity was to be renamed Aspect Software.</t>
  </si>
  <si>
    <t>Collegiate Pacific Inc</t>
  </si>
  <si>
    <t>Mnfr,whl sports equipment</t>
  </si>
  <si>
    <t>US - Collegiate Pacific Inc acquired a 53.2% interest in Sport Supply Group Inc, a wholesaler and retailer of sporting goods, for $32 mil in cash.</t>
  </si>
  <si>
    <t>Amegy Bancorp Inc,TX</t>
  </si>
  <si>
    <t>US - Zions Bancorp Inc, Salt Lake City, Utah (ZB), acquired Amegy Bancorp Inc, Houston, Texas (AB), in a stock swap transaction valued at $1.689 bil. ZB offered $8. 50 in cash and 0.2020 common share per AB share. AB shareholders may elect to receive cash or common shares. Based on ZB closing stock price of $73.36 on July 5, the last full trading day prior to the announcement, each AB share was valued at $23.319. The transaction was subject to shareholder and regulatory approval.</t>
  </si>
  <si>
    <t>US - UnitedHealth Group Inc (UnitedHealth) merged with PacifiCare Health Systems Inc (PacifiCare), a Cypress-based provider of hospital and medical plan services, in a stock swap transaction valued at USD 7.359 bil. UnitedHealth offered USD 21. 50 in cash and 1.10 common shares per PacifiCare share. Based on UnitedHealth's closing stock price of USD 53. 23 on 5 July 2005, the last full trading day prior to announcement, each PacifiCare common share was valued at USD 78.953.</t>
  </si>
  <si>
    <t>Paradyne Networks Inc</t>
  </si>
  <si>
    <t>Mnfr,whl broadband prod</t>
  </si>
  <si>
    <t>US - Zhone Technologies Inc (ZT) acquired Paradyne Networks Inc (PN), a manufacturer and wholesaler of broadband network access products, in a stock swap transaction valued at $178. 549 mil. ZT offerred 1.0972 common shares per PN share. Based on ZT's closing stock price of July 06, the last full trading day prior to the announcement, each PT share was valued at $3.577. The transaction was subject to customary closing condition, shareholder and regulatory approval. Upon completion, PN will own approximately 36.8% of the combined company</t>
  </si>
  <si>
    <t>Raytech Corp</t>
  </si>
  <si>
    <t>Mnfr,whl transmission prod</t>
  </si>
  <si>
    <t>Raytech Personal Injury Trust</t>
  </si>
  <si>
    <t>US - Raytech Corp Asbestos Personal Injury Trust (RC) planned to acquire the remaining 9.40% stake which it did not already own in Raytech Corp (RP), a manufacturer and wholesaler of transmission products, for $1.32 in cash per share, or a total value of $5.179 mil, in a going private transaction. Concurrently, RC planned to raise its stake to 90.60% from 82.86% in RP.</t>
  </si>
  <si>
    <t>Absolut Spirits Co Inc</t>
  </si>
  <si>
    <t>Produce,whl wine,spirits</t>
  </si>
  <si>
    <t>US - Absolut Spirits Co Inc, a unit of Swedish state-owned V&amp;S Vin &amp; Spirit AB (VS), acquired the remaining 32.25% stake, or 2.044 mil common shares in Cruzan International Inc (CI), a producer, wholesaler and retailer of wine and rum, for $28.37 in cash per share, or a total value of $57.986 mil. The transaction was subject to regulatory approval. Previously, VS acquired a 67. 75% interest in CI.</t>
  </si>
  <si>
    <t>Amer Re Hldg LP</t>
  </si>
  <si>
    <t>Own,op coml ppty</t>
  </si>
  <si>
    <t>US - American Real Estate Holdings LP, a unit of American Real Estate Partners LP, made an unsolicited offer to acquire the remaining 49. 9%, or 5.584 mil common shares, which it did not already own, in National Energy Group Inc, an oil &amp; gas exploration &amp; production company, for $3 in cash per share, or a total value of $16.752 mil. The transaction was subject to shareholders' approval.</t>
  </si>
  <si>
    <t>WPT Enterprises Inc</t>
  </si>
  <si>
    <t>Pvd TV program prodn svcs</t>
  </si>
  <si>
    <t>US - An investor group, including Doyle Brunson, withdrew its plans to launch an unsolicited tender offer to acquire all the outstanding common stock of WPT Enterprise Inc, a media and entertainment company, in a going private transaction for $700 mil in cash.</t>
  </si>
  <si>
    <t>US - VNU N.V. (VNU) withdrew its agreement to merge with IMS Health Inc (IMS), a provider of information solutions, in a stock swap transaction valued at $6.597 bil. VNU offered $11.25 in cash and .60415 common share per IMS share. Based on VNU's closing stock price of $27.87 on July 8, the last full trading day prior to announcement, each IMS share was valued at $28.08. The transaction was subject to regulatory approval. Concurrently, the board of VNU authorized the repurchase of up to $500 mil of the company's ordinary shares outstanding.</t>
  </si>
  <si>
    <t>US Unwired Inc</t>
  </si>
  <si>
    <t>US - Sprint Corp acquired all the outstanding common stock of US Unwired Inc, a provider of wireless telecommunications services, via a tender offer for $6.25 in cash per share, or a total value of $1.059 bil, including the assumption of $266 mil in liabilities, by accepting 95% of UU's common shares outstanding.</t>
  </si>
  <si>
    <t>D&amp;K Healthcare Resources Inc</t>
  </si>
  <si>
    <t>Whl pharmaceutical prod</t>
  </si>
  <si>
    <t>US - McKesson Corp (MK) acquired all the outstanding common stock of D&amp;K Healthcare Resources Inc (DK), a wholesaler of pharmaceutical products, for $14.50 in cash per share, or a total value of $212.236 mil. Earlier, MK completed its tender offer by accepting 13. 666 mil shares, or 95.8% of DK's common shares outstanding. The offer was conditioned upon at least 51% of DK's shares being tendered. The transaction was subject to regulatory approval and customary closing conditions.</t>
  </si>
  <si>
    <t>Helix Technology Corp</t>
  </si>
  <si>
    <t>Mnfr cryogenic equip</t>
  </si>
  <si>
    <t>Mnfr tool automation products</t>
  </si>
  <si>
    <t>US - Brooks Automation Inc (BA) acquired Helix Technology Corp (HT), a manufacturer of cryogenic equipment, in a stock swap transaction valued at $453. 702 mil. BA offered 1.11 common shares per HT share. Based on BA's closing stock price of $15.59 on July 8th, the last full trading day prior to the announcement, each HT share was valued at $17.305.</t>
  </si>
  <si>
    <t>Intelident Solutions Inc</t>
  </si>
  <si>
    <t>Own,op dental clinics</t>
  </si>
  <si>
    <t>US - Intelident Solutions Inc merged with Coast Dental Services Inc, an owner and operator of dental offices, for $8 per share, or a total value of $17.113 mil.</t>
  </si>
  <si>
    <t>TD Banknorth Inc,Portland,ME</t>
  </si>
  <si>
    <t>US - TD Banknorth Inc (TDB), located in Portland, ME, and a unit of Toronto-Dominion Bank, merged with Hudson United Bancorp(HUB), a bank holding company located in Mahwah, NJ, in a stock swap transaction valued at $1.915 bil. TDB offered $32.07 in cash and .7247 common share per HUB share. Based on TDB's closing stock price of $29.96 on July 11, the last full trading day prior to the announcement, each HUB share was valued at 42.782. The offer was subject to proration whereby 51% of the consideration offered was to be paid in common stock and 49% in cash. Completion of the transaction was to be contingent upon regulatory and TDB and HUB shareholder approval.</t>
  </si>
  <si>
    <t>Osteotech Inc</t>
  </si>
  <si>
    <t>Mnfr,whl biologic products</t>
  </si>
  <si>
    <t>Musculoskeletal Transplant</t>
  </si>
  <si>
    <t>Non-profit tissue bank</t>
  </si>
  <si>
    <t>US - Musculoskeletal Transplant Foundation withdrew from its unsolicited offer to acquire all the outstanding common stock of Osteotech Inc, a provider of bone tissue development services, for $6.25 in cash per share, or a total value of $109.164 mil.</t>
  </si>
  <si>
    <t>Bravo Foods Intl Corp</t>
  </si>
  <si>
    <t>Pvd brand dvlp svcs</t>
  </si>
  <si>
    <t>Coca-Cola Enterprises Inc</t>
  </si>
  <si>
    <t>Produce,whl soft drink prod</t>
  </si>
  <si>
    <t>US - Coca-Cola Enterprises Inc (CC) acquired options, warrants and securities convertible into 69 mil common shares to raise its interest to 50% from 27% in Bravo! Foods International Corp (BF), a producer and wholesaler of milk-based products, for $0.25 per share, or a total value of $17.250 mil. Concurrently, CC planned to acquire a 27% stake or 81 mil common shares in BF.</t>
  </si>
  <si>
    <t>Whirlpool Corp</t>
  </si>
  <si>
    <t>US - Whirlpool Corp (WC) acquired Maytag Corp (MC), a manufacturer of household appliances, in a stock swap transaction valued at a thrice-sweetened $2.654 bil, including the assumption of $977 mil in liabilities. WC offered $10.5 in cash and $10. 5 common stock per MC share, subject to a collar agreement. The transaction was subject to regulatory and MC shareholder approvals. Previously, WC made an unsolicited challenging offer of $20 in cash and common stock per share. Previously, WC offered $18 in cash and common stock per share. Originally, WC offered $17 in cash and common stock per share. The transaction was subject to due diligence. Previously, an investor group comprised of Ripplewood Holdings, RHJ Capital, GS Capital Partners and J Rothschild Group of Cos, definitively agreed to acquire MC, which eventually was withdrawn. Subsequently, an investor group comprised of Bain Capital Partners, Blackstone Group and Haier America Trading withdrew from its unsolicited offer to acquire MC.</t>
  </si>
  <si>
    <t>Intermix Media Inc</t>
  </si>
  <si>
    <t>US - News Corp Inc acquired all the outstanding common stock of Intermix Media Inc (IM), a provider of website networking services, for $12 in cash per share, or a total value of $588.88 mil. Subsequently, FreeMySpace LLC made an unsolicited plan to raise its interest to 55.66% from an 11.32% stake in IM.</t>
  </si>
  <si>
    <t>MGI PHARMA Inc</t>
  </si>
  <si>
    <t>US - MGI PHARMA Inc (MP) acquired Guilford Pharmaceuticals Inc (GP), a biopharmaceutical company, in a stock swap transaction valued at $272.104 mil. MP offered $1.125 cash and $2. 625 common stock per GP share, subject to a collar agreement and the assumption of $60 mil in liabilites. The transaction was subject to shareholders and regulatory approval and other customary closing conditions.</t>
  </si>
  <si>
    <t>Pvd specialty pharmacies,drug</t>
  </si>
  <si>
    <t>Express Scripts Inc</t>
  </si>
  <si>
    <t>US - Express Scripts Inc acquired all the outstanding common stock of Priority Healthcare Corp, an owner and operator of specialty pharmacy, for $28 in cash per share, or a total value of $1. 268 bil. The transaction was approved by the stockholders and regulatory authorities.</t>
  </si>
  <si>
    <t>BEI Technologies Inc</t>
  </si>
  <si>
    <t>Mnfr sensors,motors,actuator</t>
  </si>
  <si>
    <t>Schneider Electric SA</t>
  </si>
  <si>
    <t>Mnfr,whl elec power equipment</t>
  </si>
  <si>
    <t>US - Schneider Electric SA (SE) acquired all the outstanding stock of BEI Technologies Inc (BT), a manufacturer of sensors, motors, actuators and related products, for $35 in cash per share, or a total value of $532.916 mil. Earlier, SE completed its tender offer by accepting 14.052 mil shares, or 93.3% of BT's common shares outstanding. The transaction was subject to the approval of regulatory authorities.</t>
  </si>
  <si>
    <t>Sun Bancshares Inc,SC</t>
  </si>
  <si>
    <t>USW - SCBT Financial Corp, Columbia, South Carolina (SF) merged with Sun Bancshares Inc, Murrels Inlet, South Carolina (SB), in a stock swap transaction valued at $26.237 mil. SF offered $3.60 in cash and 0.465 shares per SB share held. Based on SF's closing stock price on July 21, the last full trading day prior to the announcement, each SB share was valued at $19.24. The transaction was duly approved by the board of both companies.</t>
  </si>
  <si>
    <t>Bootie Beer Corp</t>
  </si>
  <si>
    <t>Beer brewery</t>
  </si>
  <si>
    <t>Jane Butel Corp</t>
  </si>
  <si>
    <t>Own,op cooking school</t>
  </si>
  <si>
    <t>US - Jane Butel Corp merged with Bootie Beer Co, a producer and wholesaler of beer, in exchange for 52.5 mil common shares valued at $63 mil, in a reverse takeover transaction.</t>
  </si>
  <si>
    <t>US - Teva Pharmaceutical Industries Ltd (TP) acquired all the oustanding common stock of IVAX Corp (IC), a manufacturer and wholesaler of specialty chemicals and drugs, in a transaction valued at $7.367 bil. IC shareholders were offered a choice of .8471 TP American Depository Shares (ADR) or $26 in cash per IC common share, subject to a proration such that no more than one- half of such elections are for cash and no more than half are for ADRs. Based on TP's closing stock price of $31.16 on July 22nd, the last full day of trading prior to announcement, each IC share was valued at $26.196.</t>
  </si>
  <si>
    <t>US - Invitrogen Corp acquired all the outstanding common stock of BioSource International Inc (BSI), a developer of diagnostic substances, for $12.50 in cash per share, or a total value of $138.226 mil. The transaction was subject to regulatory approval and other customary closing conditions. Previously, Bio-Rad Laboratories Inc made an unsolicited offer to acquire the remaining 95% interest, or 9.243 mil common shares which it did not already own, in BSI.</t>
  </si>
  <si>
    <t>Vector Capital Corp</t>
  </si>
  <si>
    <t>US - Vector Capital withdrew from its definitive agreement to acquire all the outstanding stock of BroadVision Inc, a developer of interactive software, for $.84 cash per share, or a total value of $28.712 mil, in a going private transaction. The transaction was subject to customary closing conditions and shareholders approval.</t>
  </si>
  <si>
    <t>Columbia Bancorp Inc</t>
  </si>
  <si>
    <t>US - Fulton Financial Corp, Lancaster, Pennsylvania (FF) acquired Columbia Bancorp, Columbia, Maryland (CB), in a stock swap transaction valued at $311.076 mil. FF offered a choice of $42.48 in cash or 2. 325 common shares per CB share or a combination of both. The transaction was subject to proration whereby a minimum of 20% up to a maximum of 50% was to be paid in cash and the remaining in common stock. The transaction was subject to regulatory and shareholder approval.</t>
  </si>
  <si>
    <t>National Vision Inc</t>
  </si>
  <si>
    <t>Berkshire Partners LLC</t>
  </si>
  <si>
    <t>US - Berkshire Partners LLC (BP) acquired all the outstanding common stock of National Vision Inc (NV), an owner and operator of optical goods stores, for $7.25 in cash per share, or a total value of $43.098 mil. Earlier, BP completed its tender offer for NV by accepting 4. 863 mil shares, or 89% of NV's common shares outstanding, in a going private transaction. The offer was conditioned upon at least 51% of NV shares being tendered. Concurrently, NV agreed to acquire Consolidated Vision Group Inc (CV).</t>
  </si>
  <si>
    <t>First Natl Bancshares Inc,FL</t>
  </si>
  <si>
    <t>Commercial bank;hldg co</t>
  </si>
  <si>
    <t>US - Whitney Holding Corp, New Orleans, Louisiana (WH) acquired all the outstanding common stock of First National Bancshares Inc, Bradenton, Florida, for $119. 299 mil. WH offered $34.64 in cash or common stock subject to proration whereby, no more than 35% of the total consideration was to be payable in cash. The transaction was subject to due diligence, shareholder and regulatory approval.</t>
  </si>
  <si>
    <t>Monroe Title Insurance Corp</t>
  </si>
  <si>
    <t>Stewart Title Insurance Co</t>
  </si>
  <si>
    <t>Pvd title ins svcs</t>
  </si>
  <si>
    <t>US - Stewart Title Insurance Co, a unit of Stewart Title Guaranty Co's Stewart Information Services Corp subsidiary, acquired all the outstanding common stock of Monroe Title Insurance Corp, an insurance company, for an estimated $22.49 cash per share or total value of $26. 002 mil. The shareholders duly approved the transaction.</t>
  </si>
  <si>
    <t>US - Sybase Inc acquired all the outstanding common stock of Extended Systems Inc (ES), a developer of mobile enterprise software, for $4. 461 in cash per share, or a total value of $71.654. The transaction was subject to the approval of ES' stockholders and regulatory authorities.</t>
  </si>
  <si>
    <t>SS&amp;C Technologies Inc</t>
  </si>
  <si>
    <t>Dvlp invest,finl mgmt software</t>
  </si>
  <si>
    <t>Sunshine Acquisition Corp</t>
  </si>
  <si>
    <t>US - Sunshine Acquisition Corp, a company formed by Carlyle Group, acquired all the outstanding comon stock of SS&amp;C Technologies Inc (SS), a developer of investment and financial management software, for $37.25 in cash per share, or a total value of $947.149 mil. The transaction was duly approved by the board of SS and was subject to regulatory and shareholder approval.</t>
  </si>
  <si>
    <t>PRG Schultz International Inc</t>
  </si>
  <si>
    <t>Pvd recovery auditing svcs</t>
  </si>
  <si>
    <t>Cannell Capital Management</t>
  </si>
  <si>
    <t>US - Cannell Capital LLC withdrew its unsolicited offer to acquire the remaining 90.5% interest or 56.387 mil common shares which it did not already own in PRG Schultz International Inc, a provider of recovery auditing services, for $3.43 in cash per shares, or a total value of $193.407 mil.</t>
  </si>
  <si>
    <t>Long Island Financial Corp,NY</t>
  </si>
  <si>
    <t>Pvd coml bk hldg svcs</t>
  </si>
  <si>
    <t>US - New York Community Bancorp, Westbury, New York (NY), acquired Long Island Financial Corp. Islandia, New York (IF), in a stock swap transaction valued at $69.619 mil. NY offered 2.32 common shares per IF share. Based on NY's closing stock price of July 29, the last full trading day prior to the announcement, each IF share was valued at $42.595. The transaction was subject to regulatory and shareholder approval.</t>
  </si>
  <si>
    <t>Shurgard Storage Centers Inc</t>
  </si>
  <si>
    <t>US - Public Storage Inc (PS) merged with Shurgard Storage Centers Inc (SS), a real estate investment trust and self-storage operator in a stock swap transaction valued at a sweetened USD 3.263 bil. PS offered .82 common shares per SS share. Based on PS's closing stock price of USD 78. 36 on March 3, the last full trading day prior to the announcement of amendment of terms, each SS share was valued at USD 64.26. Originally, PS made a hostile plan to acquire SS in exchange for to offered .80 common shares per SS share, or a total value of USD 2.535 bil. The transaction had been subject to shareholders' and regulatory approvals.</t>
  </si>
  <si>
    <t>Reebok International Ltd</t>
  </si>
  <si>
    <t>adidas-Salomon AG</t>
  </si>
  <si>
    <t>Mnfr athletic footwear</t>
  </si>
  <si>
    <t>US - Adidas-Solomon AG (AS), a majority-owned unit of Adidas International Holding GmbH, acquired all of the outstanding common stock of Reebok International Ltd (RI), a manufacturer of athletic footwear and apparel, for $59 in cash per share, or a total value of $4.220 bil. The transaction was subject to shareholders and regulatory approvals. Originally, AS was rumuored to be planning to acquire RI.</t>
  </si>
  <si>
    <t>First Reserve Corp</t>
  </si>
  <si>
    <t>US - First Reserve acquired all the outstanding common stock of Chart Industries Inc, a manufacturer of process control instruments, for $65. 74 in cash per share, or a total value of $384.369 mil. The transaction was subject to customary closing conditions.</t>
  </si>
  <si>
    <t>E-Loan Inc</t>
  </si>
  <si>
    <t>Pvd online loan svcs</t>
  </si>
  <si>
    <t>US - Popular Inc, Hato Rey, Puerto Rico, acquired all the outstanding common stock of E- Loan Inc (EL), a provider of online consumer loans, offering mortgages, car loans, credit cards and small business loans services, for $4.25 in cash per EL common share, or a total value of $296.358 mil. The transaction was subject to customary closing conditions, regulatory, and shareholders approval.</t>
  </si>
  <si>
    <t>Epiphany Inc</t>
  </si>
  <si>
    <t>SSA Global Technologies Inc</t>
  </si>
  <si>
    <t>Dvlp ERP solutions software</t>
  </si>
  <si>
    <t>US - SSA Global Technologies Inc acquired all the outstanding common stock of Epiphany Inc (EI), a developer of Internet software, for $4.2 in cash per share, or a total value of $327.637 mil. The transaction was subject to the approval of EI's shareholders and regulatory authorities.</t>
  </si>
  <si>
    <t>Cedar Shopping Centers Inc</t>
  </si>
  <si>
    <t>US - Equity One Inc, a majority-owned unit of Popular Inc, Hato Rey, Puerto Rico, withdrew from its unsolicited offer to acquire all the outstanding common stock of Cedar Shopping Centers Inc, an owner and operator of shopping centers, for $17 in cash per share, or a total value of $380.208 mil. The transaction was subject to customary closing conditions.</t>
  </si>
  <si>
    <t>HSBC Finance Corp</t>
  </si>
  <si>
    <t>Pvd consumer fin svcs</t>
  </si>
  <si>
    <t>US - HSBC Finance Corp, a unit of HSBC Holdings PLC, acquired all the outstanding common stock of Metris Cos Inc (MC), a provider of credit card services, for $15 in cash per share, or a total value of $1.599 bil. The seller in the transaction was Thomas H Lee Partners who owned a 43% stake in MC. The transaction was subject to regulatory approval and was duly approved by the board of MC..</t>
  </si>
  <si>
    <t>Sabine Royalty Trust</t>
  </si>
  <si>
    <t>Sabine Production Partners LP</t>
  </si>
  <si>
    <t>US - Sabine Production Partners LP planned to acquire all the outstanding common stock of Sabine Royalty Trust, a trusts company.</t>
  </si>
  <si>
    <t>Pvd laboratory testing svcs</t>
  </si>
  <si>
    <t>US - Quest Diagnostic Inc acquired all the outstanding common stock of LabOne Inc (LI), an operator of medical laboratories, for $43.90 in cash per share, or a total value of $920.857 mil. The transaction was subject to customary closing conditions, regulatory and LI shareholders' approval.</t>
  </si>
  <si>
    <t>Occupational Health &amp;</t>
  </si>
  <si>
    <t>Concentra Operating Corp</t>
  </si>
  <si>
    <t>US - Concentra Operating Corp (CO), a unit of Welsh Carson Anderson &amp; Stowe Co's majority-owned Concentra Inc subsidiary, acquired all the outstanding common stock of Occupational Health + Rehabilitation Inc (OH), a provider of in-patient and out-patient rehabilitation services, for a sweetened estimated $48.80 mil. Originally, CO offered an estimated $48.60 mil. The transaction was duly approved by the board of both companies and was subject to OH shareholder approval and customary closing conditions.</t>
  </si>
  <si>
    <t>Progressive Bancorp Inc</t>
  </si>
  <si>
    <t>Pvd bank hldg svcs</t>
  </si>
  <si>
    <t>Hometown Community Bancorp Inc</t>
  </si>
  <si>
    <t>US - Hometown Community Bancorp Inc acquired the entire share capital of Progressive Bancorp Inc, a provider of bank holding services, for an estimated $100 per share or a total value of $14.9 mil. The transaction had been subject to shareholders and regulatory approvals.</t>
  </si>
  <si>
    <t>US - Vector Capital acquired all the outstanding common stock of Register.com Inc (RI) , a provider of Internet domain services, for $7.81 in cash per share, or a total value of $196.539 mil. The transaction was subject to shareholder and regulatory approval and other customary conditions, but was not subject to any financing contingencies. Previously, in June 2005, Register.com Inc announced it was seeking a buyer for the company. RCM Acquisitions LLC made an unsolicited offer for RI.</t>
  </si>
  <si>
    <t>Fastclick Inc</t>
  </si>
  <si>
    <t>Pvd online advtg svcs</t>
  </si>
  <si>
    <t>US - ValueClick Inc (VC) acquired all the outstanding common stock of Fastclick Inc (FI), a provider of online advertising services, in a stock swap transaction valued at $201.534 mil. Earlier, VC completed its tender offer by accepting 19.1 mil or 97.46% of FI's outstanding stock. VC offered 0.7928 common share per FI share held. Based on VC's closing stock price of $12.97 on August 9, the last full trading day prior to the announcement each FI share was valued at $10.283. The offer was conditioned upon at least 66.67% of FI's shares being tendered. The transaction was duly approved by the board of both companies and was subject to closing conditions and regulatory approval.</t>
  </si>
  <si>
    <t>North American Senior Care Inc</t>
  </si>
  <si>
    <t>US - North American Senior Care Inc (NA) withdrew its agreement to acquire all the outstanding common stock of Beverly Enterprises Inc (BV), an owner and operator of healthcare facilities, for a sweetened $13 in cash per share, or a total value of $1. 612 bil. Originally, NA offered $12.80 in cash per share, or a total value of $1. 612 bil. The transaction was subject to due diligence, shareholder and regulatory approval. Originally, in March 2005, BV announced that it was seeking a buyer for the company, via an auction. Previously, an investor group comprised of Formation Capital LLC, Appaloosa Management LP, Franklin Mutual Advisors LLC, and Northbrook NBV LLC, withdrew its unsolicited challenging offer to acquire the remaining 91.90% interest which it did not already own in BV. Subsequently, Fillmore Strategic Investors LLC agreed to acquire BV.</t>
  </si>
  <si>
    <t>NWB Financial Corp,Seattle,WA</t>
  </si>
  <si>
    <t>Pac Continental Corp</t>
  </si>
  <si>
    <t>US - Pacific Continental Corp, Eugene, Oregon (PC) acquired NWB Financial Corp, Seattle, Washington, in a stock swap transaction valued at an estimated $36.885 mil. The consideration was to consist of $14.50 mil in cash and 1.411 mil common shares valued at $22.385 mil. The transaction was subject to proration whereby shareholders may elect to receive up to 40% in cash and 60% in common stock. The shares were valued based on PC's closing stock price of $15.86 on August 16, the last full trading day prior to the announcement. The transaction was duly approved by the board of both companies and was subject to closing conditions, regulatory and shareholder approval.</t>
  </si>
  <si>
    <t>Town Bank,Westfield,NJ</t>
  </si>
  <si>
    <t>Two River Comnty Bk,Middletown</t>
  </si>
  <si>
    <t>US - Two River Community Bank, Middletown, New Jersey (TR) definitively agreed to merge with Town Bank, Westfield, New Jersey, (TB) to form a New Co, Community Partners Bancorp, in a stock swap transaction valued at $38.133 mil, subject to a collar agreement. TB shareholders were to receive 1.25 NC common shares and TR shareholders were to receive 1 NC common share per share held. Based on TR's closing stock price of 16.25 on August 16, the last full trading day prior to announcement, each TB share was valued at $20.313. The transaction was subject to regulatory approval.</t>
  </si>
  <si>
    <t>Brooktrout Inc</t>
  </si>
  <si>
    <t>Mnfr,whl electn commun prod</t>
  </si>
  <si>
    <t>EAS Group Inc</t>
  </si>
  <si>
    <t>US - EAS Group Inc acquired all the outstanding common stock of Brooktrout Inc, a manufacturer of electronic communication products, for $13.05 in cash per share, or a total value of $182.666 mil, in a going private transaction.</t>
  </si>
  <si>
    <t>Crown Media Holdings Inc</t>
  </si>
  <si>
    <t>US - In August 2005, Crown Media Holdings Inc, a provider of cable television services, and an 84.8% owned unit of Hallmark Cards Inc's Hallmark Entertainment Inc subsidiary, announced that it was seeking a buyer for the company.</t>
  </si>
  <si>
    <t>US - Secure Computing Corp (SC) acquired CyberGuard Corp (CG), a developer and wholesaler of security software, in a stock swap transaction valued at USD 289. 106 mil. SC offered USD 2.73 in cash and 0.50 common share per CG share. The shares were valued based on SC's closing stock price of USD 12.18 on August 17, the last full trading day prior to the announcement. The transaction was subject to closing conditions and shareholder approval. Concurrently, Warburg Pincus LLC (WP) agreed to acquire an undisclosed minority stake in SC. The transaction was contingent upon the completion of the acquisition of CG by SC.</t>
  </si>
  <si>
    <t>Parlex Corp</t>
  </si>
  <si>
    <t>Johnson Electric Holdings Ltd</t>
  </si>
  <si>
    <t>Manufacture micro motors</t>
  </si>
  <si>
    <t>US - Johnson Electric Holding Ltd acquired all the outstanding common stock of Parlex Corp (PLX), a designer and manufacturer of flexible interconnect products, for $6. 75 in cash per share, or a total value of $46.966 mil. Concurrently, Amphenol Corp agreed to acquire certain multilayer flexible circuit assets of Parlex Corp.</t>
  </si>
  <si>
    <t>Eyetech Pharmaceuticals Inc</t>
  </si>
  <si>
    <t>OSI Pharmaceuticals Inc</t>
  </si>
  <si>
    <t>Mnfr,dvlp,whl pharm</t>
  </si>
  <si>
    <t>US - OSI Pharmaceuticals Inc (OP) acquired all the outstanding common stock of Eyetech Pharmaceuticals Inc (EP), a biopharmaceutical company, for $982.368 mil. OP offered $15 in cash and 0. 12275 common share per EP share. The shares were valued based on OP's closing stock price of $40.77 on August 19, the last full trading day prior to the announcement. The transaction was subject to regulatory and shareholder approval.</t>
  </si>
  <si>
    <t>BEA Systems Inc</t>
  </si>
  <si>
    <t>US - BEA Systems Inc acquired all the outstanding common stock of Plumtree Software Inc, a developer of enterprise web applications software, for $5.50 in cash per share, or a total value of $205.681 mil. The transaction was subject to customary closing conditions, regulatory and shareholder approval.</t>
  </si>
  <si>
    <t>US - MainSource Financial Group Inc,Greensburg, Indiana acquired all the outstanding common stock of Union Community Bancorp, Crawfordsville, Indiana, for $27.33 per share, or a total value of $53.393 mil. The transaction was subject to shareholders and regulatory approval.</t>
  </si>
  <si>
    <t>York International Corp</t>
  </si>
  <si>
    <t>Mnfr,whl ventilation prod</t>
  </si>
  <si>
    <t>Johnson Controls Inc</t>
  </si>
  <si>
    <t>Mnfr industrial interior sys</t>
  </si>
  <si>
    <t>US - Johnson Controls Inc acquired all the outstanding common stock of York International Corp, a manufacturer and wholesaler of ventilation, heating and airconditioning products, for $56.50 per share, or a total value of $3.288 bil, including the assumption of $800 mil in liabilities. The transaction was duly approved by the board of both companies and was subject to customary closing conditions, regulatory and shareholder approval.</t>
  </si>
  <si>
    <t>Advantage Bank,Branchburg,NJ</t>
  </si>
  <si>
    <t>US - Sun Bancorp Inc, Vineland, New Jersey (SB) acquired Advantage Bank, Branchburg, New Jersey (AB), in a stock swap transaction valued at $33.858 mil. SB offered a choice of $19 in cash or 0.87 common share per AB share. The transaction was subject to proration whereby 50% was to be paid in cash and 50% in common shares. The transaction was subject to due diligence, regulatory and shareholder approval.</t>
  </si>
  <si>
    <t>US - Raycom Media Inc acquired all the outstanding common stock of Liberty Corp (LC), an owner and operator of television stations, for $47.35 in cash per share, or a total value of $986.999 mil, including the assumption of $110 mil in liabilities. The transaction was subject to the approval of LC shareholders and regulatory authorities. On completion, LC ceased trading on the New York Stock Exchange.</t>
  </si>
  <si>
    <t>Six Flags Inc</t>
  </si>
  <si>
    <t>Own,op regional amusement park</t>
  </si>
  <si>
    <t>US - In August 2005, Six Flags Inc, an owner and operator of amusement parks, including theme parks, water parks, and wildlife safari parks, announced that it was seeking a buyer for the company, via an auction.</t>
  </si>
  <si>
    <t>Action Performance Cos Inc</t>
  </si>
  <si>
    <t>Mnfr,whl licensed merchandise</t>
  </si>
  <si>
    <t>Motorsports Authentics Inc</t>
  </si>
  <si>
    <t>Mnfr,ret licensed merchandise</t>
  </si>
  <si>
    <t>US - Motorsports Authentics Inc, a joint venture between International Speedway Corp and Speedway Motorsports Inc, acquired all the outstanding common stock of Action Performance Cos Inc (AP), a manufacturer and wholesaler of licensed motorsports merchandise, for $13 in cash per share, or a total value of $249.025 mil. The transaction was approved by AP shareholders and was subject to the approval of regulatory authorities.</t>
  </si>
  <si>
    <t>IWO Holdings Inc</t>
  </si>
  <si>
    <t>Pvd telecommun,internet svcs</t>
  </si>
  <si>
    <t>US - Sprint Nextel Corp (SN) acquired all the outstanding common stock of IWO Holdings Corp (IW), a provider of wireless personal telecommunications services, for $42.50 in cash per share, or a total value of $420.5 mil, including the assumption of $208 mil in liabilities. The transaction had been subject to IW shareholders and regulatory approvals. Concurrently, SN agreed to acquire Gulf Coast Wireless LP.</t>
  </si>
  <si>
    <t>NDCHealth Corp</t>
  </si>
  <si>
    <t>US - An investor group comprised of Per-Se Technologies Inc (PST) and Wolters Kluwer NV (WK) acquired all the outstanding common stock of NDCHealth Corp (ND), a provider of computerized information and process transaction services, for $973.059 mil, including the assumption of $270 mil in liabilities. IG offered $13 in cash and $6.50 in PST common stock per ND share held. The transaction had been subject to customary closing conditions, regulatory and shareholder approval. On completion, WK acquired the pharmaceutical information management business of ND. Originally, in March 2005, ND announced that it was seeking a buyer for the company.</t>
  </si>
  <si>
    <t>PanAmSat Holding Corp</t>
  </si>
  <si>
    <t>Intelsat Ltd</t>
  </si>
  <si>
    <t>US - Intelsat Ltd acquired all the outstanding common stock of PanAmSat Holding Corp, a provider of satellite communication services, for $25 in cash per share, or a total value of $3.065 bil. The transaction had beeb approved by the board of both companies and was subject to customary closing conditions, regulatory and shareholder approval.</t>
  </si>
  <si>
    <t>First State Bancorp,NM</t>
  </si>
  <si>
    <t>US - First State Bancorp, Albuquerque, New Mexico (FB) acquired Access Anytime Bancorp, Albuquerque, New Mexico (AA), in a stock swap transaction valued at $32.073 mil. FB offered 0.791 shares per AA share. Based on FB's closing stock price of August 30, the last full trading day prior to the announcement, each AA share was valued at $17.869. The transaction was subject to shareholder and regulatory approval.</t>
  </si>
  <si>
    <t>Haggar Corp</t>
  </si>
  <si>
    <t>Mnfr,whl men,women's clothing</t>
  </si>
  <si>
    <t>US - An investor group, comprised of Infinity Associates LLC, Perseus LLC and Symphony Holdings Ltd, a 61.10% owned unit of Yue Yuen Industrial (Holdings) Ltd's Well Success Investment Ltd subsidiary, acquired all the outstanding common stock of Haggar Corp (HC), a manufacturer of men, women and children's clothing, for $29 in cash per share, or a total value of $212.646 mil, in a leveraged buyout transaction. The transaction was duly approved by the board of HC and was subject to regulatory and shareholder approval.</t>
  </si>
  <si>
    <t>US - Avicola Campesinos Inc, a unit of Tenedora GS SA, planned to launch a tender offer for the remaining 22.8% interest, or 2.931 mil common shares in Rica Foods Inc, an owner and operator of poultry farms, in exchange for undisclosed amount in cash.</t>
  </si>
  <si>
    <t>US - Novartis AG (NOV) acquired the remaining 57.8% interest, or 108.594 mil common shares, which it did not already own in Chiron Corp (CC), a biotechnology company, for a twice- sweetened USD 48 in cash per share, or a total value of USD 6.214 bil. Previously in October 2005, NOV offered USD 45 in cash per share, or a total value of USD 5.555 bil. Originally, in September 2005, NOV made an unsolicited offer to acquire the remaining 57.80% interest, or 108.594 mil common shares which it did not already own in CC for USD 40 in cash per share, or a total value of USD 4.444 bil.</t>
  </si>
  <si>
    <t>7-Eleven Inc</t>
  </si>
  <si>
    <t>IYG Holding Co</t>
  </si>
  <si>
    <t>US - IYG Holding Co (IH), a unit of Ito Yokado Co Ltd's 50.30% owned Seven-Eleven Japan Co Ltd, completed its tender offer to acquire the remaining 26.20% stake, or 30. 244 mil common shares plus 6. 743 mil options, which it did not already own in 7-Eleven Inc (EI), an owner and operator of convenience stores, for a sweetened $37.5 in cash per share or a total value of $1.301 bil. Originally, IH launched an unsolicited tender offer for EI and offered $32.50 in cash per share, or a total value of $1.117 bil. The offer was conditioned upon at least 16. 20% of EI remaining shares being tendered.</t>
  </si>
  <si>
    <t>Capital Automotive REIT</t>
  </si>
  <si>
    <t>US - DRA Advisors LLC (DA) acquired all the outstanding common stock of Capital Automotive REIT, a real estate investment trust, for $1.916 bil in a going private transaction. DA offered a choice of $38.75 in cash per share or one membership interest in a newly-created company. The transaction was subject to customary closing conditions, shareholder and regulatory approval .</t>
  </si>
  <si>
    <t>Airlie Opportunity Master Fund</t>
  </si>
  <si>
    <t>US - Airlie Opportunity Mortgage Fund Ltd acquired all the outstanding common stock of United Financial Mortgage Corp, Oak Brook, Illinois (UF), for $5.64 in cash per share, or a total value of $35.887 mil. The transaction was duly approved by the board of UF and was subject to customary closing conditions, shareholder and regulatory approval.</t>
  </si>
  <si>
    <t>Maxim Pharmaceuticals Inc</t>
  </si>
  <si>
    <t>Biological Product (Except Diagnostic) Manufacturing</t>
  </si>
  <si>
    <t>EpiCept Corp</t>
  </si>
  <si>
    <t>US - EpiCept Corp (EC) merged with Maxim Pharmaceuticals Inc (MP), a manufacturer of pharmaceuticals, in a stock swap transaction valued at $41.135 mil. EC offered 0. 203969 common shares per MP share. Based on EC closing stock price of $7.05 on January 6, its first full trading day, each MP share was valued at $1.438. The transaction was subject to customary closing conditions, including shareholder approval. Upon completion, the combined company was to be named EpiCept Corp. EC shareholders were to own approximately 72 percent of the combined company and MP shareholders were to own the remaining 28 percent.</t>
  </si>
  <si>
    <t>Nittany Financial Corp,PA</t>
  </si>
  <si>
    <t>US - National Penn Bancshares Inc, Boyertown, Pennsylvania (NP) acquired Nittany Financial Corp, State College, Pennsylvania (NF), in a stock swap transaction valued at $117.683 mil. NP offered a choice of $42.43 cash or 1. 975 shs com or combination of both per NF share, subject to a collar agreement and proration whereby the maximum cash consideration was 30% of the total consideration. The transaction was subject to regulatory and NF shareholder approvals</t>
  </si>
  <si>
    <t>Zeff Capital Partners LLC</t>
  </si>
  <si>
    <t>US - Zeff Capital Partners LLC, a unit of Zeff Holding Co LLC made an unsolicited offer to acquire all the outstanding stock of Bell Industries Inc, a manufacturer and wholesaler electronic and component products, for $2.55 in cash per share or a total value of $21.624 mil.</t>
  </si>
  <si>
    <t>US - Collegiate Pacific Inc (CP) terminated its agreement to acquire the remaining 46. 8% stake, or 4.173 mil shares, which it did not already own, in Sport Supply Group Inc (SS), a wholesaler and retailer of sporting goods, in a stock swap transaction valued at $28.865 mil. CP offered .56 common shares per SS share. Based on CP's closing stock price of $12.35 on September 7, the last full trading day prior to the announcement, each SS share was valued at $6.916. The transaction was subject to the approval of both CP and SS shareholders and certain other conditions.</t>
  </si>
  <si>
    <t>US - Opportunity Partners LP withdrew its plans to acquire all the outstanding common stock of Hector Communications Corp, a provider of telecommunications services, for $30.25 in cash per share, or a total value of $115.310 mil. The transaction was subject to due diligence and customary closing conditions.</t>
  </si>
  <si>
    <t>PalmSource Inc</t>
  </si>
  <si>
    <t>Mnfr handheld computer prod</t>
  </si>
  <si>
    <t>ACCESS Co Ltd</t>
  </si>
  <si>
    <t>US - Access Co Ltd acquired all the outstanding common stock of PalmSource Inc, a manufacturer of hand-held computers, for $18.50 in cash per share, or a total value of $318.958 mil. The transaction was duly approved by the board of both companies and was subject to regulatory and shareholder approval.</t>
  </si>
  <si>
    <t>AmNet Mortgage,San Diego,CA</t>
  </si>
  <si>
    <t>US - Wachovia Corp, Charlotte, North Carolina (WC) acquired all the outstanding stock of Amnet Mortgage Inc, San Diego, California (AM), for $10.30 in cash per share, or a total value of $82.688 mil. The transaction was duly approved by the board of AM and was subject to customary closing conditions, shareholder and regulatory approval.</t>
  </si>
  <si>
    <t>NorthStar Financial Corp,WA</t>
  </si>
  <si>
    <t>Frontier Finl Corp,Everett,WA</t>
  </si>
  <si>
    <t>US - Frontier Financial Corp, Everett, Washington (FF) definitively agreed to merge with NorthStar Financial Corp, Seattle, Washington (NF), in a stock swap transaction valued at $52.602 mil. FF offered 1.754 common shares per NF share. Based on FF's closing stock price of $29.99 on September 9, the last full trading day prior to the announcement. The transaction was subject to regulatory and shareholder approval.</t>
  </si>
  <si>
    <t>US - Oracle Corp (OC) acquired all the outstanding common stock of Siebel Systems Inc(SS), an Applications Services Provider {ASP}, for $10.66 in cash and common stock per share,or a total value of 5. 947 bil. The consideration was subject to proration of 70% in cash and 30% in common stock. The transaction was subject to regulatory approval.</t>
  </si>
  <si>
    <t>US - Wachovia Corp (WB) acquired the remaining 16% interest, or 6.574 mil shares, which it did not already own in WFS Financial Inc (WFS), a provider of auto financing services, in a stock swap transaction valued at $503. 788 mil. WB offered 1.4661 common shares per WFS share. Based on WB's closing stock price of $50.38 on September 9, the last full trading day prior to announcement, each WFS share was valued at $73. 862. Concurrently, WB agreed to merge with Westcorp.</t>
  </si>
  <si>
    <t>BayCorp Holdings Ltd</t>
  </si>
  <si>
    <t>Sloan Acquisition Corp</t>
  </si>
  <si>
    <t>US - Sloan Acquisition Corp (SA), a unit of Sloan Group Ltd, acquired all the outstanding common stock of BayCorp Holdings Ltd (BH), an electric holding company, offer for $14.19 in cash per share, or a total value of $8. 455 mil. Earlier, SA completed its tender offer for BH by accepting 0.499 mil common shares, or 87.39% of BH's common shares outstanding. The offer was conditioned upon at least 66. 67% of BH's shares being tendered. the transaction was subject to regulatory approval.</t>
  </si>
  <si>
    <t>Image Entertainment Inc</t>
  </si>
  <si>
    <t>Pvd home ent licensing svcs</t>
  </si>
  <si>
    <t>US - Lions Gate Entertainment Corp (LG) made an unsolicited offer to acquire the remaining 81.02% interest, or 17.219 mil common shares which it did not already own in Image Entertainment Inc (IE), a provider of DVD programming services, in a stock swap transaction valued at $79.443 mil. LG offered .42 shares per IE share. Based on LG's closing stock price of $10.34 on September 12, the last full trading day prior to announcement, each IE share was valued at $4.343. The transaction was subject to due diligence.</t>
  </si>
  <si>
    <t>US - Northwest Airlines Corp (NW), a provider of passenger airline transportation services, completed a debt restructuring with creditors (CR), in a transaction valued at $5.56 bil. On completion, CRs owned an 81.19% interest, or 255.789 mil new common shares, in the restructured NW. The shares were valued based on NW's closing stock price of $24.625 on May 18, the first full trading day on which the shares began trading on a "when issued" basis. The transaction was subject to regulatory approval.</t>
  </si>
  <si>
    <t>Imagistics International Inc</t>
  </si>
  <si>
    <t>Mnfr,whl copiers,fax mach</t>
  </si>
  <si>
    <t>Oce NV</t>
  </si>
  <si>
    <t>US - Oce NV (ON) acquired all the outstanding common stock of Imagistics International Inc (II), a manufacturer and wholesaler of copiers, printers and fax machines, for $42 in cash per share, or a total value of $754.452 mil, including the assumption of $68 mil in liabilities. Earlier, ON completed its tender offer for II by accepting 13.876 mil shares, or 89.74% of II's common shares outstanding. The offer was conditioned upon at least a majority of II's shares being tendered. The transaction was subject to customary conditions.</t>
  </si>
  <si>
    <t>US - An investor group, led by Blackstone Group and including Goldman Sachs Capital Partners and DLJ Merchant Banking Partners, acquired all the outstanding common stock of UICI, a provider of insurance services, for $37 in cash per share, or a total value of $1. 719 bil, in a leveraged buyout transaction. The transaction was subject to regulatory approvals, and conditioned upon the receipt of debt financing.</t>
  </si>
  <si>
    <t>Sumitomo Corp of America</t>
  </si>
  <si>
    <t>US - Sumitomo Corp of America, a unit of Sumitomo Corp, acquired TBC Corp (TC), a manufacturer and wholesaler of tires, for $35 in cash per share, or a total value of $831.108 mil. The transaction was duly approved by the board of TC and was subject to shareholder and regulatory approval.</t>
  </si>
  <si>
    <t>US - Hewlett-Packard Co (HP) acquired all the outstanding common stock of Peregrine Systems Inc (PS), a developer of enterprise service desk software, for $26.08 in cash per share, or a total value of $411.111 mil. The transaction was subject to PS shareholders' approval and other customary closing conditions. Concurrently, HP agreed to acquire ApplQ Inc.</t>
  </si>
  <si>
    <t>Spinnaker Exploration Co</t>
  </si>
  <si>
    <t>Norsk Hydro ASA</t>
  </si>
  <si>
    <t>Manufactures,wholesales aluminium products</t>
  </si>
  <si>
    <t>US - Norsk Hydro ASA acquired all the outstanding common stock of Spinnaker Exploration Co, a provider of oil and gas exploration and production services, for $65. 5 in cash per share, or a total value of $2.448 bil. The largest seller in the transaction was Warburg Pincus Ventures. The transaction was subject to customary conditions and regulatory approvals.</t>
  </si>
  <si>
    <t>CCC Information Services Group</t>
  </si>
  <si>
    <t>Investcorp International Inc</t>
  </si>
  <si>
    <t>US - Investcorp International Inc acquired all the outstanding common stock of CCC Information Services Group Inc, a provider of computer programming and data processing services, for $26. 50 per share, or a total value of $516.826 mil in cash.</t>
  </si>
  <si>
    <t>Engineered Support Systems Inc</t>
  </si>
  <si>
    <t>Mnfr military equip</t>
  </si>
  <si>
    <t>US - DRS Technologies Inc (DT) acquired all the outstanding common stock of Engineered Support Systems Inc (ES), a manufacturer of military equipment and electronics, for $43 per share or a total value of $1. 852 bil. DT offered $30.1 in cash and $12.9 common stock per ES share, subject to a collar agreement. The transaction was subject to customary regulatory approvals.</t>
  </si>
  <si>
    <t>FNB Financial Corp,PA</t>
  </si>
  <si>
    <t>Tower Bancorp Inc</t>
  </si>
  <si>
    <t>US - Tower Bancorp Inc (TB) acquired all the outstanding stock of FNB Financial Corp (FF), Pennsylvania, a commercial bank, in a stock swap transaction valued at $31.200 mil. FF shareholders wire offered a choice of . 8663 TB shares or $39 in cash per share, whereby each shareholders of FF wil have the right to receive shares and cash for the remaining portion of TB shares. Based on TB's closing stock price of $45 on September 20, the last full trading prior to the announcement, each FF share was valued at $31.200 mil. The transaction was subject to shareholders and customary regulatory approvals.</t>
  </si>
  <si>
    <t>James Azzar</t>
  </si>
  <si>
    <t>US - Mr James Azzar withdrew from his letter of intent to acquire the remaining 76.40% interest which he did not already own in Badger Paper Mills Inc (BP), a manufacturer of paper and packaging products, for $1.25 in cash per share, or a total value of $1.966 mil. The transaction was duly approved by the board of BP and was subject to shareholder approval.</t>
  </si>
  <si>
    <t>FreeMySpace LLC</t>
  </si>
  <si>
    <t>US - FreeMySpace LLC withdrew its unsolicited plans to raise its interest to 55.66% from an 11.32% stake, by offering to acquire up to one half of the total common stock outstanding, which it did not already own, in Intermix Media Inc (IM), a provider of website networking services, for $13. 5 in cash per share, or a total value of $210.926 mil. Originally, News Corp Inc definitively agreed to acquire all the outstanding common stock of IM.</t>
  </si>
  <si>
    <t>Apropos Tech Inc</t>
  </si>
  <si>
    <t>Syntellect Inc</t>
  </si>
  <si>
    <t>Pvd contact center solutions</t>
  </si>
  <si>
    <t>US - Syntellect Inc, a wholly-owned unit of Enghouse Systems Ltd, acquired all the outstanding common stock of Apropos Technology Inc (AT), a developer of communications management solutions software, for $2.76 in cash per share, or a total value of $50.886 mil. The transaction was subject to the vote of two- thirds of the outstanding AT shareholders.</t>
  </si>
  <si>
    <t>WL Ross &amp; Co LLC</t>
  </si>
  <si>
    <t>US - WL Ross &amp; Co LLC acquired 77.29% interest or 4. 162 mil in Safety Components International Inc, a manufacturer and wholesaler of auto airbag fabrics, for $51.2 mil, from Zapata Corp (ZC), in a leveraged buyout transaction. The transaction was subject to customary closing conditions, including ZC shareholders.</t>
  </si>
  <si>
    <t>New Valley Corp</t>
  </si>
  <si>
    <t>Vector Group Ltd</t>
  </si>
  <si>
    <t>Mnfr,whl cigarettes, RE</t>
  </si>
  <si>
    <t>US - Vector Group Ltd (VG), a majority-owned unit of Brooke Partners LP completed its tender offer to acquire the remaining 42.3% stake or 9.869 mil common shares, which it did not already own, in New Valley Corp (NV), a real estate development firm and holding company, in a stock swap transaction valued at a sweetened $106.430 mil. VG offered .54 common shares per NV share. Based on VG's closing stock price of $19.97 on November 15, the last full trading day prior to the announcement, each NV share was valued at $10.78. The offer was conditioned upon at least 90% of NV's shares being tendered. The transaction had been subject to customary closing conditions. Originally, VG launched a tender offer to acquire all the remaining 42. 3% stake or 9.869 mil common shares, which it did not already own, in NV, in a stock swap transaction valued at $88.903 mil. The offer was conditioned upon at least 90% of NV's shares being tendered.</t>
  </si>
  <si>
    <t>Party City Corp</t>
  </si>
  <si>
    <t>Own,op party supply stores</t>
  </si>
  <si>
    <t>AAH Holdings Corp</t>
  </si>
  <si>
    <t>US - AAH Holdings Corp, a holding company jointly controlled by Berkshire Partners LLC and Weston Presidio Capital, acquired all the outstanding common stock of Party City Corp, an owner and operator of party supply stores, for $17.50 in cash per share, or a total value of $373.586 mil, in a going private transaction. The transaction was subject to customary closing condition, shareholder and regulatory approval.</t>
  </si>
  <si>
    <t>WellPoint Inc</t>
  </si>
  <si>
    <t>US - WellPoint Inc (WP) acquired all the outstanding common stock of WellChoice Inc (WC), a provider of medical and health services, and a 61.8%-owned unit of New York state-owned New York Public Asset Fund, for $6.616 bil. The consideration was to consist of $38.25 in cash plus .5191 WP common shares for each WC common share. Based on WP's closing stock price of $75.09 on September 26, the last full day of trading prior to announcement, each WC share was valued at $77.229. The transaction was subject to shareholder and regulatory approval.</t>
  </si>
  <si>
    <t>Peoples Ohio Financial Corp,OH</t>
  </si>
  <si>
    <t>US - MainSource Financial Group Inc (MF) acquired Peoples Ohio Financial Corp, Troy, Ohio (PF), a bank holding company, in a stock swap transaction valued at $41.679 mil. MF offered a choice of $5.6 in cash or . 3068 common shares per PF share, whereby shareholders may elect to receive all in cash, common stock or a combination of both. The consideration was subject to proration whereby 75% will be received in common shares and the rest in cash. The transaction was subject to the approval of regulatory authorities.</t>
  </si>
  <si>
    <t>GE Healthcare</t>
  </si>
  <si>
    <t>Manufacture diagnostic imaging equipment</t>
  </si>
  <si>
    <t>US - GE Healthcare Ltd (GH), a unit of General Electric Co, acquired all the outstanding common stock of IDX Systems Corp (IDX), a provider of information technology for the healthcare industry, for $44 in cash per share, or a total value of $1.488 bil. The transaction was subject to shareholder and regulatory approval.</t>
  </si>
  <si>
    <t>Cavalry Bancorp Inc,Murfreesbo</t>
  </si>
  <si>
    <t>Pinnacle Financial Partners</t>
  </si>
  <si>
    <t>US - Pinnacle Financial Partners Inc, Nashville, Tennessee (PF), acquired Cavalry Bancorp Inc, Murfreesboro, Tennessee (CB), in a stock swap transaction valued at $178.059 mil. PF offered 0.95 shares per CB share. Based on PF's closing stock price of $25.15 on September 29, the last full trading day prior to the announcement, each CB share was valued at $23.893. The transaction was approved by the board of both companies and had been subject to customary closing conditions, shareholder and regulatory approval.</t>
  </si>
  <si>
    <t>Specialty Laboratories Inc</t>
  </si>
  <si>
    <t>Pvd lab tests svcs</t>
  </si>
  <si>
    <t>US - AmeriPath Inc, a unit of Welsh Carson Anderson &amp; Stowe Co's Amy Acquisition Corp subsidiary, acquired all the outstanding common stock of Specialty Laboratories Inc, a provider clinical laboratory tests services, for $13.25 per share, or a total value of $314.649 mil. The transaction was subject to regulatory approval and satisfaction of customary closing conditions.</t>
  </si>
  <si>
    <t>Bindview Development Corp</t>
  </si>
  <si>
    <t>US - Symantec Corp acquired all the outstanding common stock of Bindview Development Corp (BD), a developer of network management software, for $4 in cash per share, or a total value of $211.306 mil. The transaction was subject to customary closing conditions, regulatory and BD shareholders approval.</t>
  </si>
  <si>
    <t>Dex Media Inc</t>
  </si>
  <si>
    <t>Publish telephone directory</t>
  </si>
  <si>
    <t>RH Donnelley Corp</t>
  </si>
  <si>
    <t>Publish tele directories</t>
  </si>
  <si>
    <t>US - RH Donnelley Corp (RHD) acquired all the outstanding common stock of Dex Media Inc (DMI), a provider of telephone directory services, in a stock swap transaction valued at $4.262 bil. RHD offered $12.30 in cash plus . 24154 RHD common shares per DMI common share. Based on RHD's closing stock price of $63.26 on September 30, the last full day of trading prior to announcement, each DMI share was valued at $27. 580. Originally, in September 2005, RHD was rumored to be planning to acquire all the outstanding common stock of DMI. Concurrently, RHD planned to repurchase options convertible into 5.2 mil common shares, from Goldman Sachs Partners 2000, a unit of Goldman Sachs Group Inc, for an estimated $337 mil.</t>
  </si>
  <si>
    <t>US - An investor group, comprised of Brandywine Realty Trust (BR) and Prudential Real Estate Investors (PR), a unit of Prudential Financial Inc's Prudential Insurance Co of America subsidiary, acquired all the outstanding common stock of Prentiss Properties Trust (PP), a real estate investment trust, for $2.160 bil. BR offered $21.50 in cash and 0.69 common share per PP share. Based on BR's closing stock price of September 30, the last full trading day prior to the announcement, each PP share was valued at $42.952. PR was to invest $747.7 mil in cash, which was to be distributed directly to PP's shareholders as part of the merger consideration, and was to retain PP's property portfolio, which consisted of properties located in California, Colorado and District of Columbia. Concurrently, PR acquired the Chicago and Detroit portfolio assets of PP.</t>
  </si>
  <si>
    <t>US - An investor group (IG) comprised of Sun Capital Partners Group IV Inc, Developers Diversified Realty Cop, Lubert-Adler Partners, Klaff Realty LP and Elliott Management Corp acquired all the outstanding common stock of ShopKo Inc (SI), an owner and operator of variety stores, for a sweetened $29 in cash per share, or a total value of $904.997 mil, in a leveraged buyout transaction. Previously, IG offered $26.50 in cash per share, or a total value of $900.09 mil. The transaction had been subject to the approval by SI shareholders and regulatory authorities. Recently, Goldner Hawn Johnson &amp; Morrison Inc withdrew its agreement to acquire SI.</t>
  </si>
  <si>
    <t>Whitehall Jewellers Inc</t>
  </si>
  <si>
    <t>Own,op retail jewelry stores</t>
  </si>
  <si>
    <t>Prentice Capital Inc</t>
  </si>
  <si>
    <t>Own,operate medical practices</t>
  </si>
  <si>
    <t>US - Prentice Capital Management LP raised its stake to 76% from 25.7% interest, by acquiring a 50. 3% stake or 8.432 mil common shares through a $50 mil convertible note and warrants to acquire 2.792 mil common shares at an exercise price of $0.75 per share, in Whitehall Jewellers Inc (WJ), an owner and operator of jewelry stores, for $52.094 mil. The transaction was contingent on the shareholder approval of a 1-for-2 reverse stock split. Subsequently, Newcastle Partners LP made a unsolicited challenging offer to acquire the remaining 85. 54% interest, or 11.942 mil common shares in WJ for $15. 356 mil in cash.</t>
  </si>
  <si>
    <t>Fox &amp; Hound Restaurant Group</t>
  </si>
  <si>
    <t>Own,op ent rest</t>
  </si>
  <si>
    <t>Levine Leichtman Capital</t>
  </si>
  <si>
    <t>US - Levine Leichtman Capital Partners LP withdrew its plan to acquire all the outstanding common stock of Fox &amp; Hound Restaurant Group (FG), an owner and operator of theme restaurants, for $14. 00 in cash per share, or a total value of $147.594mil. The transaction was subject to due diligence, shareholders approval and customary closing conditions. Subsequently, F&amp;H acquisition corp acquired FG.</t>
  </si>
  <si>
    <t>US - Saba Software Inc (SS) acquired Centra Software Inc (CS), a developer of online training software, in a stock swap transaction valued at $57.693 mil. SS offered $0. 663 in cash and 0.354 common shares per CS share. Based on SS' closing stock price of October 4, the last full trading day prior to the announcement, each CS share was valued at $2.029. The transaction was duly approved by the board of both companies and was subject to customary closing conditions, regulatory approval. The shareholders approved the transction.</t>
  </si>
  <si>
    <t>CDP Capital Financing Inc</t>
  </si>
  <si>
    <t>US - CDP Capital Financing Inc, a unit of Canadian state- owned Caisse de Depot et Placement du Quebec, acquired CRIIMI MAE Inc (CM), a real estate investment trust, for $20 in cash per share, or a total value of $321.019 mil, in a leveraged buyout transaction. The transaction was duly approved by the board of CM and was subject to customary closing conditions and 66.67% of CM shareholders' approval.</t>
  </si>
  <si>
    <t>US - Sun Capital Partners Inc withdrew its definitive agreemnt to acquire all the outstanding common stock of Goody's Family Clothing Inc (GF), an owner and operator of family clothing stores, via tender offer for $8 in cash per share, or a total value of $273.192 mil, in a leveraged buyout transaction. The offer was conditioned upon at least 51% of GF's shares being tendered. The transaction was subject to customary closing conditions and regulatory approvals. Subsequently, an investor group comprised of GMM Capital LLC and Prentice Capital Management LP acquired all the outstanding common stock of GF.</t>
  </si>
  <si>
    <t>US- Lincoln National Corp (LN) merged with Jefferson-Pilot Corp (JP), an insurance holding company, in a stock swap transaction valued at $7. 667 bil. LN offered a choice of $55.96 in cash or 1.0906 common shares per JP share, subject to proration, whereby the cash offered was to equal $1.8 bil . On completion, the merged entity was renamed Lincoln Financial Group. The transaction was subject to regulatory approvals</t>
  </si>
  <si>
    <t>ev3 Inc</t>
  </si>
  <si>
    <t>Manufacture medical instrument</t>
  </si>
  <si>
    <t>US - ev3 Inc (EI) acquired the remaining 29.82% stake or 14.465 mil common shares, which it did not already own, in Micro Therapeutics Inc (MT) , a manufacturer and wholesaler of medical devices for the diagnosis and treatment of vascular disease, in a stock swap transaction valued at an amended $100.835 mil. EI offered 0.476 shares per MT shares. Based on EI's closing stock price of $13.51 on November 11, the last full trading day prior to the announcement of the amended terms, each MT share was valued at $6.435. The transaction was subject to due diligence and other customary closing conditions. Originally, EI offered $120. 904 mil, via a tender offer. EI offered 0.458 shares per MT share. Based on EI's closing stock price of October 06, the last full trading day prior to the announcement, each MT share was valued at $7.822. The offer was conditioned upon at least 66.67% of MT's shares being tendered.</t>
  </si>
  <si>
    <t>GF Acquisition Corp</t>
  </si>
  <si>
    <t>Blank check co</t>
  </si>
  <si>
    <t>US - GF Acquisition Corp, a new company formed by GMM Capital LLC and Prentice Capital Management LP for the purpose of making an acquisition, acquired all the outstanding common stock of Goody's Family Clothing Inc (GF), an owner and operator of family clothing stores, for a thrice-sweetened $9.60 in cash per share, or a total value of $330.039 mil, via a tender offer. Previously, IG offered a twice-sweetened $8. 85 in cash per share, or a total value of $303.476 mil, in a leveraged buyout transaction. Originally, IG offered $8.50 in cash per share, or a total value of $291.006 mil. Originally, Sun Capital Partners LP definitively agreed to acquire all the outstanding stock of GF, for $8 in cash per share, or a total value of $273.192 mil. The transaction was subject to due diligence.</t>
  </si>
  <si>
    <t>Neoforma Inc</t>
  </si>
  <si>
    <t>Global HealthCare Exchange LLC</t>
  </si>
  <si>
    <t>Develop medical software</t>
  </si>
  <si>
    <t>US - Global Healthcare Exchange LLC (GH) acquired all the outstanding common stock of Neoforma Inc (NI), a provider of business-to- business ecommerce services, for $10 in cash per share, or a total value of $203.126 mil, in a going private transaction. Originally, In January 2005, NI announced that it was seeking a buyer for the company. The transaction had been subject to the approval of University HealthSystem Consortium (UH) and VHA Inc (VH), which holds 10.3% and 41.6% in NI respectively, regulatory authorities and other customary closing conditions. On completion, UH and VH was to own a 2.9% and 11.6% stake in GH respectively.</t>
  </si>
  <si>
    <t>Overland Storage Inc</t>
  </si>
  <si>
    <t>Mnfr,wholesale storage devices</t>
  </si>
  <si>
    <t>Advanced Digital Infon Corp</t>
  </si>
  <si>
    <t>Mnfr data storage prod</t>
  </si>
  <si>
    <t>US - Advanced Digital Information Corp withdrew its plans to launch an unsolicited tender offer to acquire the remaining 12.881 mil common shares, or 90.72% interest, which it did not already own, in Overland Storage Inc, a manufacturer and wholesaler of support magnetic tape data storage drives, for $7.90 per share, or a total value of $104.66 mil.</t>
  </si>
  <si>
    <t>One Equity Partners LLC</t>
  </si>
  <si>
    <t>US - One Equity Partners LLC, a unit of JPMorgan Chase &amp; Co, withdrew its unsolicited offer to acquire all the outstanding common stock of Titan International Inc (TI), a manufacturer of steel wheels and rims, for $18 in cash per share, or a total value of $507.923 mil, in a leveraged buyout transaction. The transaction was subject to customary closing conditions, due diligence and TI's shareholders approval.</t>
  </si>
  <si>
    <t>Central Coast Bancorp,CA</t>
  </si>
  <si>
    <t>US - Cooperatieve Centrale Raiffeisen-Boerenleenbank BA {Rabobank} acquired all the outstanding common stock of Central Coast Bancorp (CC), a commercial bank holding company, located in Salinas, California, for $25 in cash per share, or a total value of $381.702 mil. The transaction was to include CC's Community Bank of Central California unit. The transaction was subject to regulatory and CC's shareholders approval.</t>
  </si>
  <si>
    <t>North Atlantic Value LLP</t>
  </si>
  <si>
    <t>Invest mgmt advisory services</t>
  </si>
  <si>
    <t>US - North Atlantic Value LLP, a unit of Jo Hambro Capital Management Groupm withdrew its unsolicited offer to acquire all the outstanding stock of SunLink Health Systems Inc, an owner and operator of hospitals, for $10.25 in cash per share, or a total value of $80.436 mil, in a leverage buyout transaction. The transaction was subject to customary closing conditions and due diligence .</t>
  </si>
  <si>
    <t>Occidental Petroleum Corp</t>
  </si>
  <si>
    <t>US - Occidental Petroleum Corp (OP) acquired Vintage Petroleum Inc (VP), an oil and gas exploration and production company, in a stock swap transaction valued at $3.567 bil. OP offered $20 in cash and 0.42 common share per VP share. Based on OP's closing stock price of October 12, the last full trading day prior to the announcement, each VP share was valued at $52.319. The transaction was subject to customary closing conditions, regulatory and shareholder approval.</t>
  </si>
  <si>
    <t>US - St Jude Medical Inc (SJ) acquired all the outstanding common stock of Advanced Neuromodulation Systems Inc (AN), a manufacturer of implantable neuromodulation products, for $61.25 in cash per share, or a total value of $1.362 bil. Earlier, SJ completed its tender offer to acquire all the outstanding common stock of by accepting 18.384 mil shares, or 91.50% of AN's common stock outstanding. The offer was conditioned upon at least a majority of AN's shares being tendered. The transaction was subject to regulatory approval and customary closing conditions.</t>
  </si>
  <si>
    <t>Bio-Logic Systems Corp</t>
  </si>
  <si>
    <t>Develop electrodiagnostic sys</t>
  </si>
  <si>
    <t>Natus Medical Inc</t>
  </si>
  <si>
    <t>Mnfr,whl med screening prod</t>
  </si>
  <si>
    <t>US - Natus Medical acquired all the oustanding common stock of Bio-Logic Systems Corp, a designer of computer based electrodiagnostic systems, for $8.77 per share, or a total value of $66.645 mil.</t>
  </si>
  <si>
    <t>General Motors Acceptance Corp</t>
  </si>
  <si>
    <t>US - In October 2005, General Motors Corp, announced that it was seeking a buyer for its an undisclosed minority interest in General Motors Acceptance Corp, a provider of financial services.</t>
  </si>
  <si>
    <t>Lancer Corp</t>
  </si>
  <si>
    <t>Mnfr beverage dispensing mach</t>
  </si>
  <si>
    <t>Hoshizaki America Inc</t>
  </si>
  <si>
    <t>Mnfr coml ice mach</t>
  </si>
  <si>
    <t>US - Hoshizaki America Inc, a unit of Hoshizaki Electric Co Ltd, definitively acquired all the outstanding common stock of Lancer Corp, a manufacturer of soft drink and other beverage dispensing systems, for $22 per share, or a total value of $215.574 mil in cash. The transaction was subject to regulatory approval. The transaction was duly approved by the shareholders.</t>
  </si>
  <si>
    <t>Steel Dynamics Inc</t>
  </si>
  <si>
    <t>Mnfr carbon steel prod</t>
  </si>
  <si>
    <t>US - Steel Dynamics Inc (SD) acquired all the outstanding common stock of Roanoke Electric Steel Corp (RES), a manufacturer of steel coils and sheets, for $240.646 mil. SD offered $9.75 in cash and . 4 shares of SD common stock per share of RES. Based on SD's closing stock price of $28.77 on October 17, the last full day of trading prior to announcement, each RES share was valued at $21. 258. The transaction was subject to shareholder and regulatory approval, including antitrust approval.</t>
  </si>
  <si>
    <t>Able Laboratories Inc</t>
  </si>
  <si>
    <t>Aurobindo Pharma USA Inc</t>
  </si>
  <si>
    <t>US - Aurobindo Pharma USA Inc (AP), a unit of Aurobindo Pharma Ltd terminated its agreement to acquire all the outstanding common stock of bankrupt Able Laboratories Inc (AL), a manufacturer of prescription pharmaceuticals, for $21.5 mil in cash, via an auction. The transaction was subject to regulatory approval and due diligence. Subsequently, Sun Pharmaceuticals Industries Ltd agreed to acquire all the outstanding common stock of AL, for $23.145 mil in cash, via an auction. Originally in August 2005, AP announced that it was seeking a buyer for the company.</t>
  </si>
  <si>
    <t>Community First Finl Corp,VA</t>
  </si>
  <si>
    <t>American National Bankshares</t>
  </si>
  <si>
    <t>US - American National Bankshares Inc (AN) acquired all the outstanding common stock of Community First Financial Corp, Lynchburgh, Virginia (CF), a commercial bank, for $31.969 mil in cash. AN offered a choice of $21 in cash or .9219 common shares per CF common share, $25.2 in cash or 1.1063 common shares per CF preferred share, subject to proration whereby cash consideration was limited to 50% of the total consideration. The transaction was subject to the approval of shareholders and regulatory authorities.</t>
  </si>
  <si>
    <t>Calnet Business Bank,CA</t>
  </si>
  <si>
    <t>US - Commercial Capital Bancorp Inc, Santa Ana, California (CC) acquired Calnet Business Bank, Sacramento, California (CB), in a stock swap transaction valued at $38.014 mil. CC offered 1.0730 shares per CB share. Based on CC's closing stock price of October 19, the last full trading day prior to the announcement, each CB share was valued at $17.565. The transaction was duly approved by the board of CB and was subject to customary closing conditions, regulatory approval. The transaction was duly approved by the shareholders.</t>
  </si>
  <si>
    <t>Captiva Software Corp</t>
  </si>
  <si>
    <t>Dvlp input mgmt software</t>
  </si>
  <si>
    <t>US - EMC Corp acquired all the outstanding common stock of Captiva Software Corp, a developer of input management software, for $22.25 in cash per share, or a total value of $331.847 mil. The transaction was subject to shareholder and regulatory approval.</t>
  </si>
  <si>
    <t>Amli Residential Ppty Trust</t>
  </si>
  <si>
    <t>Prime Property Fund LLC</t>
  </si>
  <si>
    <t>US - Prime Property Fund, a unit of Morgan Stanley's Morgan Stanley Real Estate Fund LP subsidiary, acquired all the outstanding common stock of AMLI Residential Properties Trust, a real estate investment trust, for $37.75 in cash per share, or a total value of $1.179 bil. The shareholders duly approved the transaction.</t>
  </si>
  <si>
    <t>Autobytel Inc</t>
  </si>
  <si>
    <t>US - In October 2005, Autobytel Inc, a provider of ecommerce information services, announced that its was seeking a buyer for the company.</t>
  </si>
  <si>
    <t>US - Sovereign Bancorp Inc, Philadelphia, Pennsylvania (SB), acquired all the outstanding common stock of Independence Community Bank Corp, Brooklyn, New York, for $42 in cash per share, or a total value of $3.657 bil. The transaction was subject regulatory approval. Shareholders approved the transaction. Concurrently, Santander Central Hispano SA acquired a 20% stake in SB.</t>
  </si>
  <si>
    <t>Nextel Partners Inc</t>
  </si>
  <si>
    <t>US - Sprint Nextel Corp acquired the remaining 68.7% interest, or 186.070 class A common shares which it did not already own, in Nextel Partners Inc (NP), a provider of wireless telecommunications services, for $28.50 per Class A share, or a total value of $7.591 bil, as a result of NP Class A shareholders' exercise of its put right, including the assumption of $1bil in liabilities. The transaction had been subject to regulatory approval, including review by the US Federal Communications Commission and the Department of Justice.</t>
  </si>
  <si>
    <t>AirNet Systems Inc</t>
  </si>
  <si>
    <t>US - AirNet Systems Inc (AS), a provider of air transportation services, terminated its Letter of Intent to acquire all the outstanding common stock of the company to an undisclosed acquiror, for $4.55 per share, or a total value of $46.284 mil, in a going private transactions. The transaction was subject to the approval of AS shareholders.</t>
  </si>
  <si>
    <t>HFS Bank,FSB,Hobart,Indiana</t>
  </si>
  <si>
    <t>US - MainSource Financial Group Inc, Greensburg, Indiana (MF) acquired HFS Bank, FSB, Hobart, Indiana, (HF) in a stock swap transaction valued at $35.875 mil. MF offered a choice of $19.35 in cash or common stock, subject to a collar agreement. The transaction had been subject to HF shareholder and regulatory approval.</t>
  </si>
  <si>
    <t>Newcastle Partners LP</t>
  </si>
  <si>
    <t>US - Newcastle Partners LP withdrew its unsolicited offer to acquire the remaining 85.54% interest, or 11.942 mil common shares, which it did not already own in Whitehall Jewellers Inc, an owner and operator of jewelry stores, for $1.10 in cash per share, or a total value of $15.356 mil, in a challenging bid. Previously, Prentice Capital Management LP acquired 85.35% interest, or 69.46 mil common shares through a $50 mil convertible note and warrants to acquire 2.792 mil common shares at an exercise price of $0.75 per share.</t>
  </si>
  <si>
    <t>NewGen Technologies Inc</t>
  </si>
  <si>
    <t>Mnfr,whl biofuels,petro</t>
  </si>
  <si>
    <t>Prolong International Corp</t>
  </si>
  <si>
    <t>Mnfr,whl lubricants</t>
  </si>
  <si>
    <t>US - Prolong International Corp (PI) signed a letter of intent to merge with NewGen Technologies Inc (NT), a manufacturer, wholesaler and retailer of fuel and petroleum and a holding company. Terms were not disclosed. Upon completion of the reverse takeover transaction, NT shareholders were to own 93.6% interest and PI shareholders were to own the remaining 6.4% stake in the combined entity. Subsequently, the merged entity was to be named NT.</t>
  </si>
  <si>
    <t>Patriot Holding Corp</t>
  </si>
  <si>
    <t>US - Patriot Holding Corp, a special purpose vehicle created by Goldner Hawn Johnson &amp; Morrison Inc, acquired all the outstanding common stock of Transport Corp of America Inc, a provider of truckload carriage and logistics services, for $10 in cash per share, or a total value of $67.975 mil, in a leveraged buyout transaction. The transaction was subject to regulatory and shareholders' approval and other customary closing conditions.</t>
  </si>
  <si>
    <t>Exobox Technologies Corp</t>
  </si>
  <si>
    <t>Dvlp risk mgmt software</t>
  </si>
  <si>
    <t>TMC Acquisition Corp</t>
  </si>
  <si>
    <t>US - TMC Acquisition Corp, a unit of Omnicare Inc's Neighborcare Inc subsidiary, merged with Jin Pin Inc , a developer of Internet security software. On completion of the reverse takeover transaction, JP was to own majority of the merged entity, known as Exobox Technologies Corp.</t>
  </si>
  <si>
    <t>US - Sun Pharmaceuticals Industries Ltd acquired all the outstanding common stock of bankrupt Able Laboratories Inc (AL), a manufacturer of prescription pharmaceuticals, for $23.145 mil in cash, via an auction. The transaction was approved by the bankruptcy court. Previously, Aurobindo Pharma USA Inc, a unit of Aurobindo Pharma Ltd agreed to acquire AL, for $21. 5 mil in cash. Originally in August 2005, AL announced that it was seeking a buyer for the company.</t>
  </si>
  <si>
    <t>Advanced Power Technology Inc</t>
  </si>
  <si>
    <t>US - Microsemi Corp (MC) acquired Advanced Power Technology Inc (AP), a manufacturer of semiconductors, in a stock swap transaction valued at $136.016 mil. Microsemi Corp offered $2 in cash and .435 MC shares per AP share. Based on MC's closing stock price of $22.88 on November 1, the last full trading day prior to announcement, each AP share was valued at was valued at $11.953. The transaction had been subject to AP shareholder customary regulatory approvals.</t>
  </si>
  <si>
    <t>Benthos Inc</t>
  </si>
  <si>
    <t>Mnfr oceanographic equip</t>
  </si>
  <si>
    <t>US - Teledyne Technologies Inc definitively agreed to acquire all the outstanding common stock of Benthos Inc, a manufacturer of oceanographic and underwater detection and electrical equipment, for $17.50 in cash per share,or a total value of $40.091 mil. The transaction was subject to customary closing condition and shareholder approval.</t>
  </si>
  <si>
    <t>Verity Inc</t>
  </si>
  <si>
    <t>Dvlp capital mgmt software</t>
  </si>
  <si>
    <t>US - Autonomy Corp PLC acquired all the outstanding common stock of Verity Inc, a developer of intellectual capital and business process management software, for $13. 5 in cash per share, or a total value of $532.682 mil. The transaction was subject to customary regulatory closing conditions.</t>
  </si>
  <si>
    <t>Pelican Financial Inc,MI</t>
  </si>
  <si>
    <t>Stark Bank Group Ltd</t>
  </si>
  <si>
    <t>US - Stark Bank Group Ltd merged with Pelican Financial Inc, located in Ann Arbor, Michigan, a bank holding company, for $6 cash per share, or a total value of $27.696 mil.</t>
  </si>
  <si>
    <t>Cap Rock Energy Corp</t>
  </si>
  <si>
    <t>Cap Rock Hldg Corp</t>
  </si>
  <si>
    <t>Electric utility co</t>
  </si>
  <si>
    <t>US - Cap Rock Holding Corp, a unit of Lindsay Goldberg &amp; Bessemer LP, acquired all the outstanding common stock of cap Rock Energy Corp, an electric utility company, for $21.75 in cash per share, or a total value of an estimated $163 mil, including the assumption of $127.063 mil in liabilities.</t>
  </si>
  <si>
    <t>Delta Petroleum Corp</t>
  </si>
  <si>
    <t>US - Delta Petroleum Corp (DP) merged with Castle Energy Corp (CE), an oil and gas exploration and production company, in a stock swap transaction valued at $156.884 mil. CE common shareholders were to receive 1.164 common shares for every 1 CE common shares per share held. Based on DP's closing stock price of November 7, the last full trading day prior to the announcement, each CE share was valued at $18.07. The transaction was subject to customary closing condition, shareholders and regulatory approval.</t>
  </si>
  <si>
    <t>Linens n Things Inc</t>
  </si>
  <si>
    <t>US - An investor group comprised of Apollo Management LP, a unit of Apollo Advisors LP, NRDC Real Estate Advisors LLC and Silver Point Capital Fund Investments LLC, acquired all the outstanding common stock of Linens N Things Inc (LNT), an owner and operator of retail linen stores, for $28 in cash per share, or total value of $1.290 bil, in a leveraged buyout transaction. Upon the closing of the merger, shares of Linens 'n Things common stock would no longer be listed on the NYSE. Originally, in September 2005, LNT announced that it was seeking a buyer for the company.</t>
  </si>
  <si>
    <t>US - Marshall &amp; Ilsley Corp (MI), Milwaukee, Wisconsin, merged with Gold Banc Corp Inc (GB), Leawood, Kansas, a bank holding company, in a stock swap transaction valued at $715.59 mil. MI offered $2. 78 in cash and $15.72 common stock per GB share. The transaction was subject to GB shareholders and regulatory approvals.</t>
  </si>
  <si>
    <t>La Quinta Corp</t>
  </si>
  <si>
    <t>US- Blackstone Group LP acquired all the outstanding common stock of, or 202.5 mil common shares in, La Quinta Corp, a real estate investment trust that owns hotels and franchises, for $11.25 in cash per paired share, or a total value of $2. 434 bil. The transaction was subject to customary closing conditions.</t>
  </si>
  <si>
    <t>Central Freight Lines Inc</t>
  </si>
  <si>
    <t>US - An investor group, including Mr Jerry Moyes and certain Moyes family trusts, planned to acquire the remaining 68.5% interest, or 12.510 mil common shares, which it did not already own, in Central Freight Lines Inc (CF), a provider of trucking services, for $2.25 in cash per share, or a total value of $28.784 mil. The transaction was subject to the approval of CF board of directors and stockholders and regulatory authorities.</t>
  </si>
  <si>
    <t>Pvd business outsourcing svcs</t>
  </si>
  <si>
    <t>US - PFSweb Inc (PI) acquired all the outstanding common stock of eCost Com Inc (EC), a provider of ecommerce retail services, in a stock swap transaction valued at $30.443 mil. PI offered 1 common share per EC share. Based on PI's closing stock price of $1.67 on November 9, the last full trading day prior to the announcement, each EC share was valued at $1.67. The transaction was subject to shareholders and regulatory approval and other customary closing conditions.</t>
  </si>
  <si>
    <t>SERENA Software Inc</t>
  </si>
  <si>
    <t>Silver Lake Management LLC</t>
  </si>
  <si>
    <t>US- Silver Lake Partners acquired all the outstanding common stock of, or 41.137 mil common shares in, Serena Software Inc, a maker of change-management software, for $24 in cash per share, or a total value of $1.206 bil, in a going private transaction. The transaction was subject to regulatory approvals</t>
  </si>
  <si>
    <t>Compex Technologies Inc</t>
  </si>
  <si>
    <t>Encore Medical Corp</t>
  </si>
  <si>
    <t>Mnfr orthopedic prod,supplies</t>
  </si>
  <si>
    <t>US - Encore Medical Corp (EMC) acquired Compex Technologies Inc (CTI), a manufacturer of electromedical equipment, in a stock swap transaction valued at $97.071 mil. EMC offered 1.40056 common shares per CTI share. Based on EMC's closing stock price of $5.14, on November 10, the last full trading day prior to announcement, each CTI share was valued at $7.201. Transaction was subject to CTI and EMC shareholder approval. Upon completion EMC shareholder were to own 73.5% and CTI shareholders was to hold 26.5% in the combined companies.</t>
  </si>
  <si>
    <t>Enterasys Networks Inc</t>
  </si>
  <si>
    <t>Mnfr ethernet, routers</t>
  </si>
  <si>
    <t>ENT Acquisition Corp</t>
  </si>
  <si>
    <t>US - ENT Acquisition Corp, a new company formed by Gores Technology Group LLC, backed by Tennenbaum Capital Partners LLC, acquired all the outstanding common stock of Enterasys Networks Inc, a manufacturer of ethernet, routers and switches, for $13. 92 in cash per share, or a total value of $382.999 mil, in a going private institutional buyout transaction. The transaction had been subject to customary closing conditions, regulatory and shareholder approvals.</t>
  </si>
  <si>
    <t>Koch Forest Products Inc</t>
  </si>
  <si>
    <t>US - Koch Forest Products Inc (KF), a unit of Koch Industries Inc, acquired all the outstanding common stock of Georgia-Pacific Corp (GP), a manufacturer and wholesaler of building materials, pulp and paper products, for $48 in cash per share, or a total value of $12.634 bil. Earlier, KF completed its tender offer for GP by acquiring 237. 794 mil shares, or 89.01% of GP's common shares outstanding, in a going private transaction. The transaction was duly approved by the board of both companies and was subject to regulatory approval and customary closing conditions.</t>
  </si>
  <si>
    <t>US - In November 2005, Computer Sciences Corp, a provider of information technology services, announced that it was seeking a buyer for the company. Lockheed Martin Corp and Hewlett-Packard Co were named potential bidders.</t>
  </si>
  <si>
    <t>US - Allergan Inc (AL), through its wholly-owned Banner Acquisition Inc subsidiary, acquired all the outstanding common stock of Inamed Corp (IC), in a stock swap transaction valued at $3. 412 bil. AL offered a choice of $84 in cash or 0.8498 common shares per IC share. Based on AL's closing stock price of $98.85 on Nov 14, the last full day of trading prior to announcement, each IC share was valued at $84. 0225. The consideration had been subject to proration whereby the maximum cash and aggregate common stock issuable shall be 45% and 55% of the total number of shares outstanding, respectively. The offer had been conditioned upon at least majority of IC's shares being tendered. The transaction had been subject to regulatory approval and other customary closing conditions. Earlier, AL completed its challenging tender offer IC by accepting 34.648 mil shares, or 93.86% of IC's common shares. Previously, Medicis Pharmaceutical Corp withdrew its definitive agreement to merge with IC in a stock swap transaction valued at $2.769 bil.</t>
  </si>
  <si>
    <t>US - Liberty Media Corp, a unit of Liberty Global Corp, planned to spinoff its Liberty Interactive unit, a provider of interactive media services, to its shareholders, through the issuance of tracking shares. The Liberty Interactive unit included the home shopping business of Liberty Media and stakes in IAC/InterActiveCorp and Expedia Inc.</t>
  </si>
  <si>
    <t>Learning Care Group Inc</t>
  </si>
  <si>
    <t>ABC Learning Centres Ltd</t>
  </si>
  <si>
    <t>Pvd child care,educ svcs</t>
  </si>
  <si>
    <t>US - ABC Learning Center Ltd acquired all the outstanding common stock of Learning Care Group Inc, a provider of child day care services, for $7.50 in cash per share, or a total value of $156.108 mil. The transaction was subject to customary closing condition, shareholder and regulatory approval.</t>
  </si>
  <si>
    <t>Intellisync Corp</t>
  </si>
  <si>
    <t>Dvlp synchronization software</t>
  </si>
  <si>
    <t>US - Nokia OYJ acquired all the outstanding common stock of Intellisync Corp, a developer of synchronization and mobile infrastructure software, for $5.25 in cash per share, or a total value of $469.327 mil. The shareholder has duly approved the transaction.</t>
  </si>
  <si>
    <t>SNB Bancshares Inc,TX</t>
  </si>
  <si>
    <t>Prosperity Bancshares Inc,TX</t>
  </si>
  <si>
    <t>US - Prosperity Bancshares Inc, Houston, Texas (PB), acquired all the outstanding common stock of SNB Bancshares Inc, Sugar Land, Texas (SB), in a stock swap transaction valued at $243. 555 mil. PB offered $7.50 in cash and 0.3577 common shares per Class A and B SB share. The shares were valued based on PB's closing stock price of $31.10 on November 15, the last full trading day prior to the announcement. The transaction was duly approved by the board of both companies and the shareholders and had been subject to customary closing conditions, regulatory and shareholder approval.</t>
  </si>
  <si>
    <t>Genworth Financial Inc</t>
  </si>
  <si>
    <t>Direct Life Insurance Carriers</t>
  </si>
  <si>
    <t>US - In November 2005, Genworth Financial Inc, a provider of life insurance, mortgage financing and investment services, announced that it was seeking a buyer for its 7% stake.</t>
  </si>
  <si>
    <t>J Jill Group Inc</t>
  </si>
  <si>
    <t>Ret women's apparel</t>
  </si>
  <si>
    <t>Liz Claiborne Inc</t>
  </si>
  <si>
    <t>US - Liz Claiborne Inc withdrew its unsolicited offer to acquire all the outstanding common stock of J Jill Group Inc, a retailer of women's apparel, accessories and footwear, for $18 in cash per share, or a total value of $377.515 mil.</t>
  </si>
  <si>
    <t>Scientific Atlanta Inc</t>
  </si>
  <si>
    <t>Mnfr cable TV,telecomm equip</t>
  </si>
  <si>
    <t>US- Cisco Systems Inc acquired all the outstanding common stock of Scientific Atlanta Inc, a manufacturer of cable television and telecommunications equipment, for $43 in cash per share, or a total value of $6.866 bil. The transaction was duly approved by the shareholders.</t>
  </si>
  <si>
    <t>Fillmore Capital Partners LLC</t>
  </si>
  <si>
    <t>US - Fillmore Strategic Investors LLC acquired all the outstanding common stock of Beverly Enterprises Inc (BE), an owner and operator of healthcare facilities, for $12.50 in cash per share, or a total value of $1.592 bil, in a going private leveraged buyout transaction. The transaction was duly approved by the board of BE. Previously, North American Senior Care Inc withdrew its agreement to acquire BE. Previously, an investor group, comprised of Formation Capital LLC, Appaloosa Management LP, Franklin Mutual Advisors LLC, and Northbrook NBV LLC, withdrew its unsolicited challenging offer to acquire the remaining 91.90% interest in BE.</t>
  </si>
  <si>
    <t>Mnfr,whl cosmetic surgery prod</t>
  </si>
  <si>
    <t>US - Mentor Corp (MC) withdrew its unsolicited bid to acquire Medicis Pharmaceutical Corp (MP), a manufacturer of pharmaceuticals, in a stock swap transaction valued at $2. 011 bil. MC offered 0.62 shares per MP share. Based on MC's closing stock price of $56.14 on November 18, the last full trading day prior to announcement, each MP share was valued at $34.807. The bid was rejected by MP's Board of Directors on November 20, 2005.</t>
  </si>
  <si>
    <t>Alamosa Holdings Inc</t>
  </si>
  <si>
    <t>US - Sprint Nextel Corp (SNC) acquired all the outstanding stock in Alamosa Holdings Inc (AHI), a provider of personal communications services, for $18.75 in cash per common share, or a total value of $4. 352 bil, including the assumption of $905 mil in liabilities. SNC offered $1378.69 in cash per Series B convertible preferred share.</t>
  </si>
  <si>
    <t>First Natl Bank of Newport,PA</t>
  </si>
  <si>
    <t>Orrstown Financial Svcs Inc</t>
  </si>
  <si>
    <t>Finl hldg co;pvd bank svcs</t>
  </si>
  <si>
    <t>US - Orrstown Financial Services Inc (OF) acquired all the outstanding common stock of First National Bank of Newport (FN), Newport, Pennsylvania, in a stock swap transaction valued at $33.475 mil. OF offered 1.75 common shares and $22 in cash per FN share. Based on OF's closing stock price of $35.25 on November 18, the last full trading day prior to the announcement, each Fn share was valued at $83.688. The transaction was subject to regulatory approvals.</t>
  </si>
  <si>
    <t>National RV Holdings Inc</t>
  </si>
  <si>
    <t>Mnfr motor homes</t>
  </si>
  <si>
    <t>US - An investor group, comprised of B. Riley &amp; Co, SACC Partners LP and Mr. Robert B. Lee, planned to acquire the remaining 85.12% interest, or 8.801 mil common shares, which they did not already own, in National RV Holdings Inc, a manufacturer of motor homes and a holding company, for $6.25 in cash per share, or a total value of $147.131 mil, including the assumption of $92 mil in liabilities. The transaction was subject to the approval of regulatory authorities.</t>
  </si>
  <si>
    <t>Black Hills Power Inc</t>
  </si>
  <si>
    <t>US - Black Hills Power Inc withdrew its unsolicited offer to acquire all the outstanding common stock of NorthWestern Corp (NW), an electric and gas utility company, for $35 per share, or a total value of $1.280 bil. The transaction was subject to regulatory approval. Previously, Montana Public Power Inc withdraw an unsolicited offer to acquire NW.</t>
  </si>
  <si>
    <t>Big Lake Finl Corp,FL</t>
  </si>
  <si>
    <t>Seacoast Bkg Corp of Florida</t>
  </si>
  <si>
    <t>US - Seacoast Banking Corp of Florida (SB), Stuart, Florida, merged with Big Lake Financial Corp (BL), Okeechobee, Florida, a bank holding company, in exchange for 1.775 mil SB common shares, valued at $43.044 mil. The shares were valued based on SB's closing stock price of $24.25 on November 21, the last full trading day prior to the announcement. The transaction was subject to Bl shareholders and regulatory approvals.</t>
  </si>
  <si>
    <t>General Maritime Corp</t>
  </si>
  <si>
    <t>Provide intl oil transp svcs</t>
  </si>
  <si>
    <t>FrontLine Ltd</t>
  </si>
  <si>
    <t>Pvd shipping svcs</t>
  </si>
  <si>
    <t>US - Frontline Ltd withdrew its unsolicited offer to acquire the remaining 90.1% interest or 34.849 mil common shares, which it did not already own in General Maritime Corp, a provider of international seaborne crude oil transportation services, for $39 in cash per share, or a total value of $1.364 bil.</t>
  </si>
  <si>
    <t>US - Kimco Realty Corp (KR) acquired all the outstanding common stock of Atlantic Realty Trust (AR), a real estate investment trust, and a majority owned unit of Ramco Gershenson Properties Trust, in a stock swap transaction valued at $63.622 mil, via a challenging bid. KR offered 0.568 share per AR share. Based on KR's closing stock price of $31.45 on November 30, the last full trading day prior to the announcement, each AR share was valued at $17.864. The transaction was subject to shareholder and customary closing condition. Originally, First Union Real Estate Equity &amp; Mortgage Investment planned to acquire the remaining 62.5% interest, which it did not already own, in AR.</t>
  </si>
  <si>
    <t>Foodarama Supermarkets Inc</t>
  </si>
  <si>
    <t>Saker Holdings Corp</t>
  </si>
  <si>
    <t>US - Saker Holdings Corp (SH) completed its tender offer to acquire the remaining 49% stake, which it did not already owned, in Foodarama Supermarkets Inc, an owner and operator of supermarkets, liquor stores and garden centers, for a sweetened $53 in cash per share, or a total value of $25.661 mil, in a going private transaction. Originally, SH offered $52 in cash per share, or a total value of $25.177 mil. The offer was conditioned upon at least a majority of the minority 49% shareholders tender their shares in the tender offer.</t>
  </si>
  <si>
    <t>Visual Networks</t>
  </si>
  <si>
    <t>Pvd network mgmt svcs</t>
  </si>
  <si>
    <t>Fluke Electronics Corp</t>
  </si>
  <si>
    <t>Mnfr electn connectors</t>
  </si>
  <si>
    <t>US - Fluke Electronics Corp, a unit of Danaher Corp's Fluke Corp subsidiary, definitively agreed to acquire all the outstanding common stock of Visual Networks Inc, a provider of network and application performance management solutions services, for $1.83 cash per share, or a total value of $64.755 mil. The transaction was subject to shareholders and regulatory approval and other customary closing conditions.</t>
  </si>
  <si>
    <t>TBR Acquisition Group LLC</t>
  </si>
  <si>
    <t>US - TBR Acquisition Group LLC withdrew its plan to acquire all the outstanding common stock of MTR Gaming Group Inc, an owner and operator of casino hotels and racetracks, for $9.5 in cash per share, or a total value of $263.331 mil. The transaction was subject to the approval of regulatory authorities.</t>
  </si>
  <si>
    <t>Provide Commerce Inc</t>
  </si>
  <si>
    <t>Pvd online e-commerce svcs</t>
  </si>
  <si>
    <t>US - Liberty Media Corp definitively acquired all the outstanding common stock of Provide Commerce Inc (PC), a provider of e-commerce retail services, for $33.75 in cash per share, or a total value of $462.559 mil. THe transaction was subject to regulatory and PC stockholders approval and other customary closing conditions.</t>
  </si>
  <si>
    <t>Ballston Spa Bancorp Inc,NY</t>
  </si>
  <si>
    <t>US - TrustCo Bank Corp, Schenectady, New York, withdrew its plans to launch a tender offer to acquire all the outstanding common stock of Ballston Spa Bancorp Inc, Ballston Spa, New York, for $45.50 per share, or a total value of $35.035 mil.</t>
  </si>
  <si>
    <t>Fresh Brands Inc</t>
  </si>
  <si>
    <t>Certified Grocers Midwest Inc</t>
  </si>
  <si>
    <t>Whl food prod</t>
  </si>
  <si>
    <t>US - Certified Grocers Midwest Inc definitively acquired all the outstansing common stock of Fresh Brands Inc, an owner and operator of supermarkets, for $7.05 mil in cash per share, or a total value of $34.770 mil. The transaction had been subject to customary closing condition and shareholder approval.</t>
  </si>
  <si>
    <t>US - Boston Scientific Corp (BS) acquired all the outstanding common stock of Guidant Corp (GC), a manufacturer of cardiovascular equipment, in a transaction valued at $27. 861 bil. BSC offered a sweetened $42 in cash and $38 in common stock per GC share, subject to a collar agreement. Previously, BS offered $36.5 in cash and $36.5 common stock per GC share. Previously, BS offered $36 in cash and $36 common stock per GC share. Subsequently, Abbott Laboratories agreed to acquire a 4.243% stake, or 56 mil common shares, in BS. Originally, Johnson &amp; Johnson Inc agreed to acquire all the outstanding common stock of GC.</t>
  </si>
  <si>
    <t>Coast Distribution System</t>
  </si>
  <si>
    <t>Whl recreational vehicle parts</t>
  </si>
  <si>
    <t>US - Bell Industries Inc withdrew its unsolicited offer to acquire all the outstanding common stock of Coast Distribution System, a wholesaler of replacement parts, supplies and accessories for recreational vehicles and boats, for a twice sweetened $8.1 in cash per share, or a total value of $37.757mil. Previously, BI offered $7.70 in cash per share, or a total value of $35.892 mil. Originally, BI offered $7.16 in cash per share, or a total value of $31.699 mil.</t>
  </si>
  <si>
    <t>CenterPoint Properties Trust</t>
  </si>
  <si>
    <t>CalEast Industrial Investors</t>
  </si>
  <si>
    <t>US - CalEast Industrial Investors LLC, a joint venture between California Public Employees Retirement System and Lasalle Investment Management, a unit of Jones Lang Lasalle Inc, acquired all the outstanding common stock of CenterPoint Properties Trust, a real estate investment trust, for $50 in cash per share, or a total value of $2.534 bil. The transaction was subject to shareholder and customary closing conditions.</t>
  </si>
  <si>
    <t>Wellspring Capital Mgmt LLC</t>
  </si>
  <si>
    <t>US - Wellspring Capital Management LLC (Wellspring) acquired the entire share capital of Dave &amp; Buster's Inc (Dave), an owner and operator of restaurant and entertainment complexes, for $18.05 in cash per share, or a total value of $256.692 mil. Subsequently, Oak Hill Capital Partners LP definitively agreed to acquire Dave, from Wellspring, in a secondary buyout transaction.</t>
  </si>
  <si>
    <t>JAMDAT Mobile Inc</t>
  </si>
  <si>
    <t>Dvlp wireless ent software</t>
  </si>
  <si>
    <t>US - Electronic Arts Inc acquired all the outstanding common stock of JAMDAT Mobile Inc, a developer of wireless entertainment software, for $27 in cash per share, or a total value of $692.868 mil. The sellers in the transaction included Apax Partners and Benchmark Capital. The transaction was duly approved by the board and shareholders of both companies, and received regulatory approvals and was subject to customary closing conditions,</t>
  </si>
  <si>
    <t>US - In December 2005, Zapata Corp announced that it was seeking a buyer for its 58% interest, or 14.514 mil shares in Omega Protein Corp, a manufacturer of Omega-3 oils.</t>
  </si>
  <si>
    <t>GoRemote Internet Comm Inc</t>
  </si>
  <si>
    <t>iPass Inc</t>
  </si>
  <si>
    <t>Pvd software entrp svcs</t>
  </si>
  <si>
    <t>US - iPass Inc acquired all the outstanding common stock of GoRemote Internet Communications Inc (GR), a developer of software for remote Internet and corporate secure remote access, for $1. 71 in cash per share, or a total value of $76.277. mil in cash. The transaction received customary closing conditions, regulatory and GR shareholders approval.</t>
  </si>
  <si>
    <t>ConocoPhillips Co</t>
  </si>
  <si>
    <t>US- ConocoPhillips (CP) acquired all the outstanding common stock of Burlington Resources (BR), an independent exploration and production company, in a stock swap transaction valued at $35.395 bil. CP offered $46.50 in cash and .7214 common shares per BR share. Based on CP's closing stock price on December 9, the last full day of training prior to the announcement, each BR share was valued at $91.999. The transaction was subject to shareholders and customary regulatory approval. Upon completion of the merger CP shareholders will hold 83% of the combined company.</t>
  </si>
  <si>
    <t>F&amp;H Acquisition Corp</t>
  </si>
  <si>
    <t>US - F&amp;H Acquisition Corp (FH) , a unit of Newcastle Partners LP and Steel Partners II LP, completed its tender offer for the remaining 91.7% interest, or 10.489 mil common shares, which it did not already own, in Fox &amp; Hound Restaurant Group (FHR), an owner and operator of entertainment restaurants, for a four-times sweetened $16.30 cash per share or a total value of $175.317 mil, by accepting 9. 803 mil shares, or about 85. 70% of FHR's common shares outstanding. Concurrently, FH offered a thrice sweetened $16 in cash per share, or a total value of $171.885 mil. Subsequently, FH offered a twice sweetened $15.75 in cash per share, or a total value of $168.674 mil. Previously, FH offered a sweetened $15.50 in cash per share, or a total value of $166.166 mil. Originally, FH offered $14.50 in cash per share, or a total value of $156.137 mil. Initially, FH offered $14.75 in cash per share, or a total value of $158.644 mil. The transaction was subject to regulatory approval. Previously, Levine Leichtman Capital Partners withdrew its plan to acquire FHR.</t>
  </si>
  <si>
    <t>Mnfr engine test equip</t>
  </si>
  <si>
    <t>Tonka Bay Equity Partners LLC</t>
  </si>
  <si>
    <t>US - Tonka Bay Equity Partners LLC (TB) acquired all the outstanding common stock of Aero Systems Engineering Inc, a manufacturer of engine test equipments, for $22.39 mil. TB offered $7.006 in cash per share, including up to $0.500 mil in profit-related payments.</t>
  </si>
  <si>
    <t>Anteon International Corp</t>
  </si>
  <si>
    <t>Pvd info tech sol svcs</t>
  </si>
  <si>
    <t>US- General Dynamics Corp (GD) acquired all the outstanding common stock of Anteon International Corp (AI) , a systems integration company, for $55.50 in cash per share, or a total value of $2.176 bil. The transaction was subject to customary regulatory approvals.</t>
  </si>
  <si>
    <t>Virbac Corp</t>
  </si>
  <si>
    <t>Mnfr animal health prod</t>
  </si>
  <si>
    <t>Virbac SA</t>
  </si>
  <si>
    <t>US - Virbac SA (VS) raised its interest to 97.2% from 60. 3% by acquiring a 36.9% stake, or 8.406 mil common shares, in Virbac Corp (VC), a manufacturer of animal health products, for a thrice sweetened $5.75 in cash per share, or a total value of $52.601 mil, via a tender offer for the remaining 39.7% stake in VC . The offer was conditioned upon at least 90% of VC shares being tendered. Previously, VC offered a twice sweetened $5.25 in cash per share, or a total value of $47.947 mil. Originally, VS offered $4.85 in cash per share, or a total value of $44.231 mil. Originally, VS offered $4.15 in cash per share, or a total value of $37.701 mil.</t>
  </si>
  <si>
    <t>Abgenix Inc</t>
  </si>
  <si>
    <t>US- Amgen (AM) acquired all of the outstanding common stock of Abgenix Inc (AB), a company specializing in the development and manufacture of human therapeutic antibodies, for $22.50 in cash per share, or a total value of $2.127 bil. The transaction was subject to regulatory approvals.</t>
  </si>
  <si>
    <t>Collegiate Funding Svcs LLC</t>
  </si>
  <si>
    <t>Pvd loan consolidation svcs</t>
  </si>
  <si>
    <t>US - JPMorgan Chase Bank, a unit of JPMorgan Chase &amp; Co, acquired all the outstanding common stock of Collegiate Funding Services LLC (CF), a provider of student loan consolidation services, for $20 in cash per share, or a total value of $687.826 mil in cash. Private equirty fund Lightyear fund LP, a unit of Lightyear Capital, agreed to vote its shares in favor of the transaction. The transaction was subject to regulatory and CF shareholders approvals.</t>
  </si>
  <si>
    <t>US - First Community Bancorp Inc, Rancho Santa Fe, California (FC) acquired Foothill Independent Bancorp, Glendora, California (FI), in a stock swap transaction valued at $239.19 mil. FC offered .4982 common shares for every FI share, subject to a collar agreement. Based on FC's closing stock price of $53.32 on December 14, the last full trading day prior to announcement, each FI share was valued at $26.564. The transaction was subject to regulatory apparoval.</t>
  </si>
  <si>
    <t>Main Street Banks Inc,GA</t>
  </si>
  <si>
    <t>US - BB&amp;T Corp (BB) acquired Main Street Banks Inc, Atlanta, Georgia (MS), in a stock swap transaction valued at $628.44 mil. BB offered 0. 6602 shares per MS share. Based on BB's closing stock price of $43.17 on December 14, the last full trading day prior to the announcement, each MS share was valued at $28.50. The transaction was duly approved by the board of both companies and the Federal Reserve Board and was subject to regulatory approval.</t>
  </si>
  <si>
    <t>Animas Corp</t>
  </si>
  <si>
    <t>Mnfr insulin pumps</t>
  </si>
  <si>
    <t>US - Johnson &amp; Johnson Inc acquired all the outstanding common stock of Animas Corp, a manufacturer of insulin pumps and related products, for $24.50 cash per share, or a total value of $547.801 mil.</t>
  </si>
  <si>
    <t>Constellation Energy Group Inc</t>
  </si>
  <si>
    <t>US - FPL Group Inc (FPL) withdrew its definitive agreement to merge with Constellation Energy Group Inc (CEG), an electric and gas utility company, to form Constellation Energy (CE) in a stock swap transaction valued at $11.298 bil. CEG shareholders were to receive 1.444 CE common shares and FPL shareholders were to receive 1 CE common shares per share held. Based on FPL's closing stock price of $42.95 on December 16, the last full trading day prior to the announcement, each CEG share was valued at $62.02. Upon completion, FPL shareholders were to own approximately 60% of CE, while CEG shareholderswere to own approximately 40% of CE. Originally, in December 2005, FPL was rumored to be in negotiations to merge with CEG.</t>
  </si>
  <si>
    <t>Ault Inc</t>
  </si>
  <si>
    <t>US - SL Industries Inc acquired Ault Inc (AU), a manufacturer of power conversion products, for $2. 90 in cash per share, or a total value of $14.20 mil, via a tender offer. The offer was conditioned upon at least a majority of AU's shares being tendered.The transaction was duly approved by the board of AU and was subject to customary closing conditions.</t>
  </si>
  <si>
    <t>Neon Systems Inc</t>
  </si>
  <si>
    <t>Dvlp integration software</t>
  </si>
  <si>
    <t>DataDirect Technologies Ltd</t>
  </si>
  <si>
    <t>Pvd data connectivity svcs</t>
  </si>
  <si>
    <t>US - DataDirect Technologies Ltd, a unit of Progress Software Corp, completed its tender offer to acquire all the outstanding common stock of Neon Systems Inc (NS), a developer of integrated software, for $6.20 in cash per share or a total value of $64.766 mil. The offer was conditioned upon at least 90% of NS shares being tendered.</t>
  </si>
  <si>
    <t>Pegasus Solutions Inc</t>
  </si>
  <si>
    <t>Pvd hotel reservation svcs</t>
  </si>
  <si>
    <t>406 Acquisition Corp</t>
  </si>
  <si>
    <t>US - 406 Acquisition Corp, a new company formed by Prides Capital Partners LLC, Tudor Investment Corp and Belfer Management for the purpose of making an acquisition, acquired all the outstanding common stock of Pegasus Solutions Inc (PS), a provider of hotel reservation services, for $9.50 in cash per share, or a total value of $234.788 mil, in a leveraged buyout transaction. The transaction was duly approved by the board of PS and was subject to regulatory and shareholder approval .</t>
  </si>
  <si>
    <t>Town &amp; Country Trust</t>
  </si>
  <si>
    <t>Magazine Acquisition GP LLC</t>
  </si>
  <si>
    <t>US - Magazine Acquisition GP LLC (MA), a joint venture investment vehicle backed by Morgan Stanley's Morgan Stanley Real Estate, Onex Corp's Onex Real Estate and Sawyer Realty Holdings LLC, acquired Town &amp; Country Trust (TC), a real estate investment trust, for a trice sweetened $46.55 per share, or a total value of $961.564 mil. Previously, MA offered a sweetened $40.20 per share, or a total value of $828.32 mil. Subsequently, MA offered a sweetened $39.60 per share, or a total value of $817.771 mil. Originally, MA offered $33.90 per share, or a total value of $697.89 mil. The transaction was duly approved by the board of TC and was subject to 2/3 shareholder approval and customary closing conditions. Subsequently, Oriole Partnership LLC, a joint venture between Essex Property Trust Inc and AEW Capital Management LP, planned to launch an unsolicited challenging offer to acquire all the outstanding common stock of TC, for $36 per share, or a total value of $632.981 mil. Subsequently, Berkshire Property Advisors LLC launched an unsolicited challenging offer to acquire all the share outstanding TC for $37 per share in cash or a total value of $762.928 mil.</t>
  </si>
  <si>
    <t>Mnfr,whl disc drives</t>
  </si>
  <si>
    <t>US - Seagate Technology (STX) acquired Maxtor Corp (MXO), a manufacturer of computer disk drives, in a stock swap transaction valued at $1.88 bil. STX offered 0.37 shares per MXO share held. Based on STX's closing stock price of $19.56 on December 19, the last full trading day prior to announcement, each MXO share was valued at $7.237.</t>
  </si>
  <si>
    <t>Atlantic Liberty Finl Corp</t>
  </si>
  <si>
    <t>Flushing Financial Corp</t>
  </si>
  <si>
    <t>US - Flushing Financial Corp (FF) acquired all the outstanding common stock of Atlantic Liberty Financial Corp, a bank holding company, for $41.302 mil. FF offered $24 in cash or common stock subject to proration whereby 65% of the consideration offered was to comprise of stock and 35% of the consideration was to comprise of common stock. Regulatory authorities approved the transaction. Shareholders duly approved the transaction.</t>
  </si>
  <si>
    <t>Legacy Bank,Harrisburg,PA</t>
  </si>
  <si>
    <t>US - FNB Corp, Hermitage, Pennsylvania acquired all the outstanding common stock of Legacy Bank, Harrisburg, Pennsylvania, for $74.6 mil. The consideration was to consist of $20.051 mil in cash and $54.549 mil FMB common stock. The transaction was subject to the apporval of shareholders and regulatory authorities.</t>
  </si>
  <si>
    <t>Micromuse Inc</t>
  </si>
  <si>
    <t>US - International Business Machines Corp {IBM} acquired all the outstanding common stock of Micromuse Inc, a software developer, for $10 in cash per share, or a total value of $862.983 mil. The transaction was subject to shareholder and regulatory approval.</t>
  </si>
  <si>
    <t>Arden Realty Inc</t>
  </si>
  <si>
    <t>GE Capital Real Estate</t>
  </si>
  <si>
    <t>Pvd real estate financing svcs</t>
  </si>
  <si>
    <t>US - GE Capital Real Estate, a unit of General Electric Co's GE Commercial Finance Inc subsidiary, merged with Arden Realty Inc (ARI), a real estate investment trust, for $45.25 in cash per common share, or a total value of $3. 079 bil. The transaction was subject to customary closing conditions and shareholder approval. Concurrently, Trizec Properties Inc agreed to acquire a real estate portfolio, comprised of 13 properties located in Southern California, from ARI, for an estimated $1.6 bil.</t>
  </si>
  <si>
    <t>Marquette National Corp</t>
  </si>
  <si>
    <t>Bank holding comapny</t>
  </si>
  <si>
    <t>US - Marquette National Corp acquired all the outstanding common stock of Hemlock Federal Financial Corp, Oak Forest, Illinois, a bank holding company, for $55.50 in cash per share, or a total value of $57.916 mil.The transaction was subject to shareholder and regulatory approval.</t>
  </si>
  <si>
    <t>US - An investor group, comprised of Texas Pacific Group, Bain Capital and Blackstone Group, withdrew its rumored agreement to acquire Affiliated Computer Services Inc, a provider of data processing services.</t>
  </si>
  <si>
    <t>BASF AG</t>
  </si>
  <si>
    <t>Mnfr chem prod</t>
  </si>
  <si>
    <t>US - BASF AG (BA) acquired all the outstanding common stock of Engelhard Corp (EC), a manufacturer and wholesaler of technology-based performance products, for a twice-sweetened $39 in cash per share, or a total value of $4.857 bil. Previously, BA offered a sweetened $38 in cash per EC common share. Originally, BA offered $37 in cash per share. The offer was conditioned upon at least majority of EC's shared being tendered. The transaction had been subject to regulatory approvals and customary closing conditions.</t>
  </si>
  <si>
    <t>Magellan Holdings Inc</t>
  </si>
  <si>
    <t>US - Magellan Holdings Inc, a unit of Infor Global Solutions, acquired all the outstanding common stock of Datastream Systems Inc, a developer of asset performance management software, for $10.26 in cash per share, or a total value of $214.718 mil. The transaction was subject to shareholder and regulatory approval.</t>
  </si>
  <si>
    <t>Onyx Software Corp</t>
  </si>
  <si>
    <t>Dvlp CRM software</t>
  </si>
  <si>
    <t>CDC Corp</t>
  </si>
  <si>
    <t>US - CDC Corp (CD) withdrew its challenging tender offer to acquire all the outstanding common stock of Onyx Software Corp (OS), a developer of customer relationship management software, for $5 in cash per share, or a total value of $96.429 mil US. The transaction was subject to regulatory approvals. Previously, M2M Holdings Inc definitively agreed to acquire all the outstanding stock of OS. Originally, in January 2006, CD was rumored to be planning to acquire all the outstanding stock of OS.</t>
  </si>
  <si>
    <t>Water Pik Technologies Inc</t>
  </si>
  <si>
    <t>Mnfr pool,heating equip</t>
  </si>
  <si>
    <t>Coast Acquisition Corp</t>
  </si>
  <si>
    <t>US - Coast Acquisition Corp, a new company formed by Carlyle Group and Zodiac SA, for the purpose of making an acquisition, acquired all the outstanding common stock of Water Pik Technologies Inc (WP), a manufacturer of swimming pool, water heating equipment and personal health products, for $27.75 in cash per share, or a total value of $372.33 mil in cash, in a leveraged buyout going private transaction. The transaction had been subject to closing customary conditions, WP shareholders and regulatory approvals.</t>
  </si>
  <si>
    <t>Quad-C Management Inc</t>
  </si>
  <si>
    <t>US - Quad-C Management Inc withdrew its definitively agreed to acquire all the outstanding common stock of CFC International Inc, a manufacturer of functional coatings, for $16.75 in cash per share, or a total value of $66.780 mil. The transaction was subject to shareholder and regulatory approval.</t>
  </si>
  <si>
    <t>China Media Networks Intl Inc</t>
  </si>
  <si>
    <t>OrthoSupply Management Inc</t>
  </si>
  <si>
    <t>Pvd onsite mgmt solutions</t>
  </si>
  <si>
    <t>US - OrthoSupply Management Inc merged with China Media Networks International Inc (CM), an owner and operator of television broadcasting stations. Upon completion of the reverse merger, the entity retained the name CM.</t>
  </si>
  <si>
    <t>Lottomatica Group SpA</t>
  </si>
  <si>
    <t>Provide lottery,gaming svcs</t>
  </si>
  <si>
    <t>US - Lottomatica SpA, a majority-owned unit of De Agostini SpA's Tyche SpA subsidiary, acquired all the outstanding common stock of GTECH Holdings Corp, a provider of online lottery services, for $35 in cash per share, or a total value of $4. 6 bil in cash. The transaction had been subject to regulatory approvals</t>
  </si>
  <si>
    <t>Hughes Supply Inc</t>
  </si>
  <si>
    <t>Whl constr material</t>
  </si>
  <si>
    <t>Home Depot Inc</t>
  </si>
  <si>
    <t>Retail home improvement products</t>
  </si>
  <si>
    <t>US- Home Depot acquired Hughes Supply Inc, a distributor of construction, repair and maintenance products, for$46.50 in cash per share, or a total value of $3.475 bil, including the assumption of $285 mil in liabilities. The transaction was subject to regulatory approvals.</t>
  </si>
  <si>
    <t>Viisage Technology Inc</t>
  </si>
  <si>
    <t>Pvd identification sys svcs</t>
  </si>
  <si>
    <t>US - Viisage Technology Inc (VT) merged with Identix Inc (IDNX), a developer of facial and skin biometric technologies, in a stock swap transaction valued at $794. 414 mil. VT offered 0.473 shares per IDNX share held. Based on VT's closing stock price of $17.69 on January 11, the last full trading day prior to announcement, each Identix Inc share was valued at $8.367. Upon completion, IDNX shareholders were to hold a 59% interest in the combined company and VT shareholders were to hold the remaining 41% stake.</t>
  </si>
  <si>
    <t>Premier Community Bankshares</t>
  </si>
  <si>
    <t>US - Premier Community Bankshares Inc, Winchester, Virginia (PC) acquired all the outstanding common stock of Albemarle First Bank, Charlottesville, Virginia , for $19.80 mil. PC offered $15.80 in cash or common stock subject to proration whereby, no more that 50% of the total consideration was to be payable in cash. The transaction had been subject to shareholder and regulatory approval.</t>
  </si>
  <si>
    <t>Burlington Coat Factory</t>
  </si>
  <si>
    <t>US - Bain Capital Inc acquired all the outstanding common stock of Burlington Coat Factory Warehouse Corp, an owner and operator of family clothing and accessories stores, $45.50 in cash per share, or a total value of $2.037 bil, in a leverage buyout transaction. Regulatory approval was duly approved. The transaction was subject to shareholders approval.</t>
  </si>
  <si>
    <t>Reliance Steel &amp; Aluminum Co</t>
  </si>
  <si>
    <t>Wholesale metal products</t>
  </si>
  <si>
    <t>US - Reliance Steel &amp; Aluminum Co (RS) merged with Earle M Jorgensen Co (EMJ), a wholesaler of steel and aluminum products, in a stock swap transaction valued at $682.55 mil. RS offered $6.5 in cash and $6.5 in common stock per EMJ share, subject to a collar agreement. The transaction was subject to regulatory approvals and customary closing conditions.</t>
  </si>
  <si>
    <t>US- Koninklijke Philips Electronics NV acquired all the outstanding common stock of Lifeline Systems Inc, a provider of personal emergency response services, for $47.75 in cash per share, or a total value of $738.819 mil.</t>
  </si>
  <si>
    <t>AB Acquisition LLC</t>
  </si>
  <si>
    <t>US - AB Acquisition LLC, a special purpose acquisition vehicle formed by SuperValu Inc (SVI), CVS Corp (CVS), and a consortium led by Cerberus Capital Management (CCM), acquired Albertson's Inc (AI), an owner and operator of supermarkets, for $17.544 bil, including the assumption of $6.1 bil in liabilities. The consideration consisted of $20.35 in cash and 0.182 SVI common shares per AI share. Based on SVI's closing stock price of $32.19 on January 19, the last full trading day prior to the announcement, each AI share was valued at $26.056. On completion, AI shareholders held 35% of the new SVI. SVI will acquire 1124 operating stores and the support operations for Acme Markets, Bristol Farms, Jewel- Osco, Shaw's and Star Markets. CVS would acquire the drugstore business and a distribution center located in California. The CCM-led consortium would retain 655 operating stores and the distribution centers and offices in AI's Dallas/Fort Worth division and in the Florida, North California, Rocky Mountain and Southwestern regions.</t>
  </si>
  <si>
    <t>Remington Oil &amp; Gas Corp</t>
  </si>
  <si>
    <t>Cal Dive International Inc</t>
  </si>
  <si>
    <t>Pvd marine contracting svcs</t>
  </si>
  <si>
    <t>US - Cal Dive International Inc (CD) acquired all the outstanding common stock of Remington Oil and Gas Corp, an oil and gas exploration and production company, for $1,331.631 mil. The consideration was to consist of $776.078 mil in cash and 12.532 mil CD common shares, valued at $555.553 mil. The shares were valued based on CD's closing stock price of $44.33 on January 20, the last full trading day prior to the announcement. The transaction had been subject to the approval of regulatory authorities.</t>
  </si>
  <si>
    <t>Sports Authority Inc SPV</t>
  </si>
  <si>
    <t>US - Sports Authority Inc SPV, a special purpose acquisition vehicle formed by Green Equity Investors IV LP, a unit of Leonard Green Partners LP, and other investors, acquired all the outstanding common stock of Sports Authority Inc, an owner and operator of sporting goods stores, for $37.25 in cash per share, or a total value of $1.021 bil in cash, including the assumption of an undisclosed amount in liabilities, in a going private leveraged buyout transaction. The transaction had been subjected to customary closing conditions, regulatory and shareholders approvals.</t>
  </si>
  <si>
    <t>Fulton Bancshares Corp ,pa</t>
  </si>
  <si>
    <t>Franklin Financial Services</t>
  </si>
  <si>
    <t>US - Franklin Financial Services Corp (FF) of Chambersburg, Pennsylvania, acquired all the outstanding common stock of Fulton Bancshares Corp (FB) of McConnellsburg, Pennsylvania, for $23.423 mil. FF was offered a choice of $48 in cash, or $47.53 in common stock, or a combination of cash and common stock per FB share. The transaction was duly approved by the shareholders. The transaction was subjected to regulatory approval.</t>
  </si>
  <si>
    <t>Pixar Inc</t>
  </si>
  <si>
    <t>Dvlp digital graphics</t>
  </si>
  <si>
    <t>US - Walt Disney Co (WD) acquired all the outstanding common stock of Pixar Inc (PXR), a developer of digital graphics motion pictures, in a stock swap transaction valued at $7.532 bil. WD offered 2.3 common shares per share of PXR common stock. Based on WD's closing stock price of $25.52 on January 23, the last full trading day prior announcement, each PXR share was valued at $58.696. Earlier, in January 2006, WD was rumored to be in negotiations to acquire all the outstanding common stock of PXR. Concurrently, the board of WD authorized the repurchase of up to 225 mil shares in open market transactions. The transaction was subject to regulatory approvals.</t>
  </si>
  <si>
    <t>ImClone Systems Inc</t>
  </si>
  <si>
    <t>US - ImClone Systems Inc (IC) , a biotechnology company withdrew its plans to search a buyer for the company. Originally, in January 2006, IC announced that it was seeking a buyer for the company.</t>
  </si>
  <si>
    <t>Northern Savings &amp; Loan Co,OH</t>
  </si>
  <si>
    <t>US - First Place Financial Corp, Warren, Ohio, (FP) acquired all the outstanding common stock of Northern Savings &amp; Loan Co, Elyria, Ohio, in a stock swap transaction valued at $72.219 mil. FP offered a choice of $29 in cash or $1.138 common shares or a combination of both, subject to proration whereby 80% of NS shares will be exchange for FP common stock. The shares were valued based on FP's closing stock of $25.85 on January 26, the last full trading day prior to the announcement. The transaction was subject to customary closing condition, shareholder and regulatory approval.</t>
  </si>
  <si>
    <t>Intrado Inc</t>
  </si>
  <si>
    <t>West Corp</t>
  </si>
  <si>
    <t>US - West Corp acquired all the outstanding common stock of Intrado Inc, a provider of telecommuinications solutions, for $26 in cash per share, or a total value of $511.587 mil.</t>
  </si>
  <si>
    <t>Simrad Yachting AS</t>
  </si>
  <si>
    <t>Mnfr,whl maritime equip</t>
  </si>
  <si>
    <t>US - Simrad Yachting AS, a unit of Altor Equity Partners AB, acquired all the outstanding common stock of Lowrance Electronics Inc (LE), a manufacturer and wholesaler of sonars, GPS products, digital mapping systems and related marine electronics, for $37 in cash per share, or a total value of $190.014 mil in cash, by accepting 4.911 mil common shares, or about 95.64% of LE's common stock outsanding. The offer was conditioned upon at least a majority of LE's shares being tendered. The transaction was subject to other customary closing conditions.</t>
  </si>
  <si>
    <t>Oriole Partnership LLC</t>
  </si>
  <si>
    <t>US - Oriole Partnership LLC (OP), a joint venture between Essex Property Trust Inc and AEW Capital Management LP, withdrew its unsolicited challenging offer to acquire all the outstanding common stock of Town &amp; Country Trust (TC), a real estate investment trust, for a twice- sweetened $40.15 per share, or a total value of $828.261 mil. Previously, OP offered a sweetened $38.50 per share. Earlier, OP offered $36 per share. The transaction was subject to due diligence. Subsequently, Berkshire Property Advisors LLC launched an unsolicited challenging offer to acquire all the share outstanding common stock of TC. Originally, an undisclosed joint venture company, backed by Morgan Stanley's Morgan Stanley Real Estate and Onex Corp's Onex Real Estate definitively agreed to acquire TC.</t>
  </si>
  <si>
    <t>Obsidian Enterprises Inc</t>
  </si>
  <si>
    <t>Black Rock Acquisition Corp</t>
  </si>
  <si>
    <t>US - Black Rock Acquisition Corp (BR), a special purpose holding company formed by several members of the mangement of Obsidian Enterprises Inc (OEI) for the purpose of taking the company private, planned to acquire the remaining 309,152 common shares, or a 9.9% stake, which it did not already own in OEI, a venture capital firm, for $1.85 in cash per share, or a total value of $. 572 mil, in a going private transaction. Concurrently, BR raised its interest from 77. 3% to 90.1% by acquiring 396, 591 common shares, or a 12. 75% stake, in OEI.</t>
  </si>
  <si>
    <t>US - Emerson Electric Co acquired all the outstanding common stock of Artesyn Technologies Inc (AT), a manufacturer of power conversion products, for $11 in cash per share, or a total value of $459.141 mil in cash. The transaction was subject to AT shareholder and regulatory approval. Previously, Bel Fuse Inc made a hostile proposal to acquire the remaining 94.8% interest, or 37.162 mil common shares, which it did not already own, in AT.</t>
  </si>
  <si>
    <t>Mid-Valley Bank,Woodburn,OR</t>
  </si>
  <si>
    <t>US - West Coast Bancorp, Lake Oswego, Oregon (WC) acquired all the outstanding common stock of Mid-Valley Bank, Woodburn, Oregon, for $21.66 mil. The consideration was to consist of $5 mil in cash and .608 mil WC common shares, valued at $16.66 mil. The shares were valued based on WC's closing stock price of $27.41 on January 31, the last full trading day prior to the announcement. The transaction was subject to the approval of regulatory authorities.</t>
  </si>
  <si>
    <t>Berkshire Property Advisors</t>
  </si>
  <si>
    <t>US - Berkshire Property Advisors LLC withdrew its challenging unsolicited offer to acquire all the share outstanding Town &amp; Country Trust (TCT), for $37 per share in cash or a total value of $762.928 mil. Subsequently, Oriole Partnership LLC, a joint venture between Essex Property Trust Inc and AEW Capital Management LP, planned to launch an unsolicited challenging offer to acquire all the outstanding common stock of TC, for $36 per share, or a total value of $632.981 mil. Originally, an undisclosed joint venture company, backed by Morgan Stanley's Morgan Stanley Real Estate and Onex Corp's Onex Real Estate definitively agreed to acquire TC, for $33.90 per share, or a total value of $697.89 mil</t>
  </si>
  <si>
    <t>Clover Leaf Financial Corp</t>
  </si>
  <si>
    <t>First Federal Finl Svcs Inc</t>
  </si>
  <si>
    <t>Pvd equip leasing svcs</t>
  </si>
  <si>
    <t>US - First Federal Services Inc merged with Clover Leaf Financial Corp, a commercial bank, for $43 per share, or a total value of $362.254 mil. The transaction was subject to shareholder approval.</t>
  </si>
  <si>
    <t>Duratek Inc</t>
  </si>
  <si>
    <t>Radioactive removal products</t>
  </si>
  <si>
    <t>EnergySolutions LLC</t>
  </si>
  <si>
    <t>US - EnergySolutions acquired all the outstanding common stock of Duratek Inc, a provider of waste treatment services, for $22 cash per share, or a total value of $326.834 mil, including the assumption of an undisclosed amount in liabilities. The transaction was subject to shareholder and regulatory approval.</t>
  </si>
  <si>
    <t>Talbots Inc</t>
  </si>
  <si>
    <t>US - Talbots Inc acquired J. Jill Group Inc, a retailer of women's apparel, for USD 24. 05 in cash per share or a total value of USD 516.803 mil.</t>
  </si>
  <si>
    <t>Lafarge North America</t>
  </si>
  <si>
    <t>Mnfr,whl cement,concrete prod</t>
  </si>
  <si>
    <t>Lafarge SA</t>
  </si>
  <si>
    <t>Manufacture, wholesale construction materials</t>
  </si>
  <si>
    <t>US - Lafarge SA (LF) acquired the remaining 50.2% interest or 35.836 mil shares, which it did not already own, in Lafarge North America Inc (LN), a manufacturer and wholesaler of aggregate concrete and concrete products, asphalt, cement and cementitious materials and gypsum wallboard, for a twice sweetened $85.5 in cash per share, or a total value of $2. 995 bil, by accepting 34.254 mil common shares, or about 47.13% LN's common stock outstanding. Previously, LF offered a sweetened $82 in cash per share, or a total value of 3.106 bil. Originally, LF offered $75 in cash per share, or a total value of $2.712 bil. The offer was conditioned upon at least 90% of LN's shares being tendered.</t>
  </si>
  <si>
    <t>Raindance Communications Inc</t>
  </si>
  <si>
    <t>Pvd Internet commun svcs</t>
  </si>
  <si>
    <t>US - West Corp acquired all the outstanding common stock of Raindance Communications Inc (RC), a provider of Internet communications services, for $2.7 in cash per share, or a total value of $157.142 mil. The transaction was subject to the approval of RC shareholders and regulatory authorities.</t>
  </si>
  <si>
    <t>SterlingSouth Bank &amp; Trust Co</t>
  </si>
  <si>
    <t>BNC Bancorp,High Point,NC</t>
  </si>
  <si>
    <t>US - c, Thomasville, North Carolina (BB) acquired all the outstanding common stock of SterlingSouth Bank &amp; Trust Co, Greensboro, North Carolina (SB), in a stock swap transaction valued at $29.175 mil. BB offered 1.211 common shares per SB share. Based on BB's closing stock price of $18.928 on February 3, the last full trading day prior to the announcement, each SB share was valued at $22.913.</t>
  </si>
  <si>
    <t>Segue Software Inc</t>
  </si>
  <si>
    <t>Borland Software Corp</t>
  </si>
  <si>
    <t>US - Borland Software Corp acquired all the outstanding common stock of Segue Software Inc, a developer of software, for $8.67 in cash per share, or a total value of $103.178 mil. The transaction was subject to the approval of regulatory authorities.</t>
  </si>
  <si>
    <t>US - Umpqua Holdings Corp (UH) acquired all the outstanding common stock of Western Sierra Bancorp, Cameron Park, California (WS), in a stock swap transaction valued at $340.343 mil. UH offered 1.61 common shares per WS share. Based on UH's closing stock price of $27.34 on February 6, the last full trading day prior to the announcement, each WS share was valued at $44.017. The transaction was subject to the approval of regulatory authorities.</t>
  </si>
  <si>
    <t>Sound Federal Bancorp Inc,NY</t>
  </si>
  <si>
    <t>Hudson City Bancorp Inc</t>
  </si>
  <si>
    <t>Savings bank;holding company</t>
  </si>
  <si>
    <t>US - Hudson City Bancorp Inc acquired all the outstanding common stock Sound Federal Bancorp Inc (SF), located in White Plains, New York, a commercial bank holding company, for $20.75 per share, or a total value of $265.864 mil in cash. The transaction was subject to SF's shareholders and regulatory approval.</t>
  </si>
  <si>
    <t>LBA Realty LLC</t>
  </si>
  <si>
    <t>US - LBA Realty LLC acquired all the outstanding common stock of Bedford Property Investors Inc, a real estate investment trust trust company, for $27.210 in cash per share, or a total value of $435.676 mil. The transaction had been subjected to the approval of regulatory authorities.</t>
  </si>
  <si>
    <t>Knape &amp; Vogt Manufacturing Co</t>
  </si>
  <si>
    <t>Mnfr,whl storage prod</t>
  </si>
  <si>
    <t>Wind Point Partners</t>
  </si>
  <si>
    <t>US - Wind Point Partners acquired all the outstanding common stock of Knape &amp; Vogt Manufacturing Co, a manufacturer and wholesaler of storage products, for $19 in cash per share, or a total value of $49.531 mil, in a leveraged buyout transaction. The transaction had been subject to shareholder approval.</t>
  </si>
  <si>
    <t>Cleveland Clinic Foundation</t>
  </si>
  <si>
    <t>Own,operates hospitals</t>
  </si>
  <si>
    <t>US - Cleveland Clinic Hospital Foundation, Cleveland, Ohio, acquired a 51% interest, or 239.197 mil common shares in Tenet Healthcare Corp, an owner and operator of hospitals.</t>
  </si>
  <si>
    <t>Xenogen Corp</t>
  </si>
  <si>
    <t>Caliper Life Sciences Inc</t>
  </si>
  <si>
    <t>Mnfr,whl lab analytical instr</t>
  </si>
  <si>
    <t>US - Caliper Life Sciences Inc (CL) acquired all the outstanding common stock of Xenogen Corp (XC), a biotechnology company, in a stock swap transaction valued at $61.005 mil. CL offered . 575 common shares per XC share and .223 warrants. Based on Cl's closing stock price on February 9, the last full trading day prior to the announcement, each XC share was valued at $3.019. The transaction had been subject to shareholder and regulatory approval.</t>
  </si>
  <si>
    <t>Resolve Staffing Inc</t>
  </si>
  <si>
    <t>Pvd outsourced staffing svcs</t>
  </si>
  <si>
    <t>Project Solvers</t>
  </si>
  <si>
    <t>US - Project Solvers merged with Resolve Staffing Inc, a provider of staffing services, Terms were not disclosed.</t>
  </si>
  <si>
    <t>Southwest Cmnty Bancorp,CA</t>
  </si>
  <si>
    <t>US - Placer Sierra Bancshares, Sacramento, California, a unit of California Community Financial Institutions Fund LP, merged with Southwest Community Bancorp, Encinitas, California, for $38.97 per share, or a total value of $177.449 mil. The transaction was duly approved by the shareholders and regulatory body.</t>
  </si>
  <si>
    <t>Taxi Holding Corp</t>
  </si>
  <si>
    <t>US - Taxi Holdings Corp, a unit of Wellspring Capital Management LLC, acquired all the outstanding common stock of Checkers Drive-In Restaurants Inc, an owner and operator of restaurants, for $15 in cash per share, or a total value of $171.959 mil in cash, and the assumption of an undisclosed amount in liabilities. The transaction had been subject to customary closing conditions, regulatory and shareholders approvals.</t>
  </si>
  <si>
    <t>WatchGuard Technologies Inc</t>
  </si>
  <si>
    <t>Dvlp Internet sec software</t>
  </si>
  <si>
    <t>US - Vector Capital withdrew its agreement to acquire the remaining 90.6% common shares and 4.357 mil options, which it did not already own, in WatchGuard Technologies Inc, a developer of Internet security software, for $5.10 per share, or a total value of $164.859 mil, in a leveraged buyout transaction.</t>
  </si>
  <si>
    <t>Coherent Inc</t>
  </si>
  <si>
    <t>Mnfr lasers,laser instr system</t>
  </si>
  <si>
    <t>US - Coherent Inc withdrew its agreement to acquire all the outstanding stock of Excel Technology Inc, a manufacturer and marketer of laser systems and electro- optical components products for USD 30 US in cash per common shares or a total value of USD 375.775 mil. The transaction was subject to regulatory approval.</t>
  </si>
  <si>
    <t>US - Blackstone Group LP acquired all the outstanding common stock of MeriStar Hospitality Corp, a real estate investment trust, for $10.45 in cash per share, or a total value of $1.846 bil, in a leveraged buyout transaction. The transaction was subject to customary closing conditions, regulatory and shareholders approvals.</t>
  </si>
  <si>
    <t>Intermedia Partners VII LP</t>
  </si>
  <si>
    <t>US - Intermedia Partners VII LP, a unit of Intermedia Partners LP, acquired all the outstanding common stock of Thomas Nelson Inc (Thomas), a publisher and wholesaler of Christian, inspirational and family-oriented books, for $29.85 in cash per common share and $29.85 in cash per B common share, or a total value of $499.372 mil, in a leveraged buyout transaction. Subsequently, Kohlberg Kravis Roberts &amp; Co LP acquired an undisclosed majority stake in Thomas in a leveraged buyout transaction.</t>
  </si>
  <si>
    <t>Pvd steel constr svcs</t>
  </si>
  <si>
    <t>Witherspoon Acquisition Corp</t>
  </si>
  <si>
    <t>US - Witherspoon Acquisition Corp, a unit of D E Shaw Laminar Porfolios LLC's Witherspoon Inc subsidiary, withdrew its tender offer to acquire all the outstanding common stock of Schuff International Inc (SI), a provider of structural steel erection services, for $8.5 in cash per share, or a total value of $63.265 mil. The offer was conditioned upon 90% of the SI's shares being tendered.</t>
  </si>
  <si>
    <t>United Heritage Corp</t>
  </si>
  <si>
    <t>Lothian Oil Inc</t>
  </si>
  <si>
    <t>US - Lothian Oil Inc (LO) agreed to acquire the remaining 41.68% stake, or 2. 687 mil common shares, which it did not already own, in United Heritage Corp (UH), an oil and gas exploration and production company. The transaction was subject to regulatory and shareholders' approvals. Upon completion, the merged entity was to retain the name of LO.</t>
  </si>
  <si>
    <t>ADE Corp</t>
  </si>
  <si>
    <t>Mnfr metrology,inspection sys</t>
  </si>
  <si>
    <t>US - KLA-Tencor Corp (KT) acquired ADE Corp (AC), a manufacturer of metrology and inspection systems, for $32. 50 per share for a total value of $506.986 mil. Originally, KT offered .64 common shares per AC share. The transaction had been subject to the approval of regulatory authorities.</t>
  </si>
  <si>
    <t>Packaging Dynamics Corp</t>
  </si>
  <si>
    <t>Mnfr packaging equip</t>
  </si>
  <si>
    <t>Thilmany LLC</t>
  </si>
  <si>
    <t>US - Thilmany LLC, a unit of Kohlberg &amp; Co LP, acquired all the outstanding common stock of Packaging Dynamics Corp (PD), a manufacturer of packaging equipment, for $14 in cash per share, or a total value of an estimated $275. 794 mil, including the assumption of $119.907 mil in liabilities. The transaction had been subjected to PD's shareholders and regulatory approval.</t>
  </si>
  <si>
    <t>JMG Exploration Inc</t>
  </si>
  <si>
    <t>Jed Oil Inc</t>
  </si>
  <si>
    <t>US - JED Oil Inc (JED) signed a letter of intent to acquire JMG Exploration Inc (JMG), an oil and gas exploration and production company, in a stock swap transaction valued at USD 42.273 mil US. JED offered .667 common shares per JMG share. Based on JED's closing stock price of USD 13. 02 on February 24, the last full trading day prior to the announcement, each JMG share was valued at USD 8.68. The transaction was subject to the approval of regulatory authorities.</t>
  </si>
  <si>
    <t>National Grid PLC</t>
  </si>
  <si>
    <t>Provide electricity,gas transmission,distribution services</t>
  </si>
  <si>
    <t>US - National Grid plc (NG) acquired all the outstanding common stock of Keyspan Corp (KC), a provider of natural gas distribution, electric and energy-related services, for $42 in cash per share, or a total value of $7.418 bil. The transaction was subject to customary closing conditions, shareholders and other regulatory approvals. Originally, in February 2006, KC announced that it was seeking a buyer for the company. Consolidated Edison Inc and NG were named potential bidders.</t>
  </si>
  <si>
    <t>Wilshire Enterprises Inc</t>
  </si>
  <si>
    <t>RE invest firm</t>
  </si>
  <si>
    <t>Mercury Real Estate Advisors</t>
  </si>
  <si>
    <t>Re invest firm</t>
  </si>
  <si>
    <t>US - Mercury Real Estate Advisors planned to acquire all the outstanding common stock of Wilshire Enterprises Inc, a real estate invement firm, for $8.5 in cash per share, or a total value of $68.908 mil. The transaction was subject to regulatory approvals and customary closing conditions.</t>
  </si>
  <si>
    <t>Trammell Crow Co</t>
  </si>
  <si>
    <t>Pvd ppty mgmt svcs</t>
  </si>
  <si>
    <t>Mosher Sullivan Dvlp Partners</t>
  </si>
  <si>
    <t>US - Mosher Sullivan Development Partners LLC planned to merge with Trammell Crow Co, a provider of property management, brokerage, infrastructure management, development and investment and retail services.</t>
  </si>
  <si>
    <t>MatrixOne Inc</t>
  </si>
  <si>
    <t>Dassault Systemes SA</t>
  </si>
  <si>
    <t>US - Dassault Systemes SA (DS) acquired all of the outstanding common stock of MatrixOne Inc (MO), a provider of collaborative product lifecycle management software and services, for $7. 25 in cash per share, or a total value of $378.81 mil. The transaction was subject to shareholder approval and other customary closing conditions.</t>
  </si>
  <si>
    <t>DTLL Inc</t>
  </si>
  <si>
    <t>US - An Investor Group comprised of Dual Cooper, Island Residences Club Inc, Richard Woods and their affiliates acquired a 70% interest in DTLL Inc, a manufacturer of prescription pharmaceuticals and dental equipments. Terms were not disclosed.</t>
  </si>
  <si>
    <t>US - United States Steel Corp was rumored to be planning to acquire all the outstanding common stock of AK Steel Holding Corp, a manufacturer of steel products. The Current status of this deal is unknown.</t>
  </si>
  <si>
    <t>iVillage Inc</t>
  </si>
  <si>
    <t>Pvd online networking svcs</t>
  </si>
  <si>
    <t>NBC Universal Inc</t>
  </si>
  <si>
    <t>US - NBC Universal Inc, a majority-owned unit of General Electric Co {GE}, acquired all the outstanding common stock of iVillage Inc, a provider of online networking services, for $8.5 in cash per common stock, or a total value of $663.203 mil. The transaction had been subject to regulatory and shareholder approvals.</t>
  </si>
  <si>
    <t>AT&amp;T Inc</t>
  </si>
  <si>
    <t>US - AT&amp;T Inc (AT&amp;T) acquired all the outstanding common stock of Bellsouth Corp (BC), a provider of wireless telecommunications services, in a stock swap transaction valued at $72.671 bil, including the assumption of $5.5 bil in Cingular Wireless liabilities. AT&amp;T offered 1. 325 shares per BC share. Based on AT&amp;T's closing stock price of $27.99 on March 3, the last full trading day prior to the announcement, each BC share was valued at $37.08675. The transaction was subject to customary closing conditions and shareholder and regulatory approvals. Originally, in October 2003, BC discontinued rumors that it was planning to merge with AT&amp;T. Concurrently, in March 2006, the board of AT&amp;T authorized the repurchase of up to 400 mil common shares, or about 10.31% of the company's common stock outstanding, in open market or privately negotiated transactions.</t>
  </si>
  <si>
    <t>American HomePatient Inc</t>
  </si>
  <si>
    <t>Highland Capital Management LP</t>
  </si>
  <si>
    <t>US - Highland Capital Management LP withdrew its plans to acquire all the outstanding stock of American HomePatient Inc, a provider of home health care services, for $3.40 per share in cash for a total value of $59.120 mil.</t>
  </si>
  <si>
    <t>CarrAmerica Realty Corp</t>
  </si>
  <si>
    <t>US - Blackstone Group LP acquired all the outstanding stock of CarrAmerica Realty Corp, a real estate investment trust , in a transaction valued at $2.942 bil. The consideration consisted of $44.75 in cash per common share and $25 in cash per Series E Redeemable Cumulative Preferred share. The transaction had been subject to shareholder approval and customary closing conditions.</t>
  </si>
  <si>
    <t>EM Acquisition Corp</t>
  </si>
  <si>
    <t>US - EM Acquisition Corp, a SPV formed by Providence Equity Partners LLC and Goldman Sachs Group Inc, acquired all the outstanding common stock of Education Management Corp, a provider of educational services, for $43 in cash per share, or a total value of $3.354 bil, in a leveraged buyout transaction. The transaction had been subject to customary closing conditions, shareholders and regulatory approvals.</t>
  </si>
  <si>
    <t>Longview Fibre Co</t>
  </si>
  <si>
    <t>Mnfr paper,paperboards</t>
  </si>
  <si>
    <t>US - An investor group, comprised of Obsidian Finance Group LLC and Campbell Group LLC, withdrew its plans to acquire all the outstanding common stock of Longview Fibre Co (LF), a manufacturer of paper, paperboards, containerboards, paper bags and corrugated shipping containers, for a sweetened $28.05 in cash per share, or a total value of $1.433 bil. Previously, the investor group offered $26 in cash per share, or a total value of $1. 328 bil, in a leveraged buyout transaction. The transaction was subject to regulatory approvals. Subsequently, Brookfield Asset Management Inc definitively agreed to launch a challenging tender offer to acquire all the outstanding common stock of LF.</t>
  </si>
  <si>
    <t>SourceCorp Inc</t>
  </si>
  <si>
    <t>Pvd bus outsourcing svcs</t>
  </si>
  <si>
    <t>US - Apollo Management LP, a unit of Apollo Advisors LP, acquired all the outstanding common stock of SourceCorp Inc, a provider of business process outsourcing services, for $25 in cash per share, or a total value of $393.289 mil, in a leveraged buyout transaction. The transaction was subject to shareholder approval.</t>
  </si>
  <si>
    <t>Lexar Media Inc</t>
  </si>
  <si>
    <t>Mnfr,whl flash memory cards</t>
  </si>
  <si>
    <t>Micron Technology Inc</t>
  </si>
  <si>
    <t>US - Micron Technology Inc (MT) merged with Lexar Media Inc (LM), a manufacturer and wholesaler of photographic equipment, in a stock swap transaction valued at a sweetened USD 889.649 mil. MT offered .5925 shares per LM share. Based on MT's closing stock price of USD 16.46 on June 2, the last full trading day prior to announcement of amendment of terms, each LM share was valued at USD 9.753. Originally, MT offered .563 shares per LM share. The transaction had been subject to shareholders and regulatory approvals. On completion, LM was to be delisted from the NASDAQ stock market.</t>
  </si>
  <si>
    <t>Tronox Inc</t>
  </si>
  <si>
    <t>Mnfr chemicals</t>
  </si>
  <si>
    <t>US - Kerr-McGee Corp (KMC) completed the spin off of Class B common shares of Tronox Inc (TI), a manufacturer of chemicals, to its shareholders in a transaction valued at USD 405. 601 mil. KMC shareholders received .20164 share for every 1 KMC shares held. The shares were valued based on TI''''s closing stock price of USD 17.72 on 30 March 2006, the first full trading day on which the shares were distributed.</t>
  </si>
  <si>
    <t>Artemis Intl Solutions Corp</t>
  </si>
  <si>
    <t>Pvd application mgmt svcs</t>
  </si>
  <si>
    <t>Versata Inc</t>
  </si>
  <si>
    <t>US - Versata Inc, a unit of Trilogy Inc acquired all the outstanding common stock of Artemis International Solutions Corp, a provider of application management and support services, from Proha Oyj, for $1.6 per share, or a total value of $32.983 mil, including $9 mil in preferred stock. The transaction had been subject to shareholder and regulatory approval.</t>
  </si>
  <si>
    <t>Tutogen Medical Inc</t>
  </si>
  <si>
    <t>Mnfr,whl biological implant</t>
  </si>
  <si>
    <t>Zimmer Holdings Inc</t>
  </si>
  <si>
    <t>Mnfr,whl orthopedic implants</t>
  </si>
  <si>
    <t>US - Zimmer Holdings Inc planned to merge with Tutogen Medical Inc, a manufacturer and wholesaler of sterile biological implant products made from human (allograft) and animal (xenograft) tissue.</t>
  </si>
  <si>
    <t>US - Capital One Financial Corp (CO) definitively agreed to acquire all the outstanding common stock of North Fork Bancorp Inc (NF), in a stock swap transaction valued at $15.133 bil. CO offfered a choice of cash or CO common stock valued at $11. 25 plus 0.2216 CO common shares per share held. Based on CO's closing stock price March 10, the last full day of trading prior to the announcement, each NF share was valued at $31.176. The transaction was subject to shareholder and regulatory approval.</t>
  </si>
  <si>
    <t>US- Watson Pharmaceuticals Inc (WP) acquired all the outstanding common stock of Andrx Corp (AX), a developer of pharmaceutical products, for $25 in cash per share, or a total value of $1.864 bil. The transaction had been subject to regulatory approvals.</t>
  </si>
  <si>
    <t>Aztar Corp</t>
  </si>
  <si>
    <t>US - Pinnacle Entertainment Inc (PE) withdrew its definitive agreement to acquire all the outstanding common stock of Aztar Corp (AC), an owner and operator of casinos, via a tender offer, for $1.84 bil, subject to a collar agreement. PE offered a thrice sweetened $45 in cash and $3 in common stock per share. Previously, PE offered a twice sweetened $45 in cash per share and a sweetened $43 in cash per share. Originally, PE offered $38 in cash per share. The transaction was subject to the approval of AC shareholders and regulatory approval. Previously, PE offered a twice sweetened $45 in cash per share. Previously, PE offered a sweetened $43 in cash per share, or a total value of $1.619. bil. Originally, PE offered $38 in cash per AC share. Subsequently, Colony Capital LLC planned to launch an challenging offer to acquire all the outstanding common stock of AC, and Ameristar Casinos Inc withdrew its plan to launch a challenging offer to acquire all the outstanding common stock of AC. Subsequently, Wimar Tahoe Corp planned to launch a challenging offer to acquire all the outstanding common stock of AZ.</t>
  </si>
  <si>
    <t>Lukoil Overseas Holding Ltd</t>
  </si>
  <si>
    <t>US - Lukoil Overseas Holding Ltd, a unit of OAO Lukoil Holdings AG (OL), acquired all the outstanding common stock of Chaparral Resources Inc, an oil gas exploration and production company, from OL's Nelson Resouorces Ltd subsidiary, for $5.8 cash per share, or a total value of $235.461 mil.</t>
  </si>
  <si>
    <t>FIM Holdings LLC</t>
  </si>
  <si>
    <t>US - FIM Holdings LLC, an investor group comprised of Cerberus Capital Management LP, private equity arm of Citigroup Inc, Aozora Bank Ltd and PNC Financial Services Group Inc, acquired a 51% interest, in General Motors Acceptance Corp, a provider of financial services, from General Motors Corp, for $7.853 bil in cash. The consideration was comprised of $7.853 bil in cash for the 51% equity interest and $500 mil in cash for .555 mil preferred LLC shares. The transaction has been subject to regulatory approvals.</t>
  </si>
  <si>
    <t>Knight Ridder Inc</t>
  </si>
  <si>
    <t>McClatchy Co</t>
  </si>
  <si>
    <t>US - McClatchy Co (MC) acquired Knight Ridder Inc (KR), a newspaper publisher, in a transaction valued at $4. 573 bil. MC offered $40 in cash plus .5118 Class A common shares per KR share. Based on MC's closing stock price of $53.24 on March 10, the last full day of trading prior to announcement, each KR share was valued at $67.25. The transaction was subject to customary closing conditions and KR shareholder approval. Originally, in November 2005, KR was rumored to be seeking a buyer for the company.</t>
  </si>
  <si>
    <t>TNS Inc</t>
  </si>
  <si>
    <t>US - A management-led investor group, including Chairman and Chief Executive Officer John J McDonnell Jr., withdrew its plans to launch a tender offer to acquire all the outstanding common stock of TNS Inc, a provider of network communications services, for $22 per share, or a total value of $530.886 mil.</t>
  </si>
  <si>
    <t>Bally Total Fitness Holding</t>
  </si>
  <si>
    <t>Own,op fitness ctrs</t>
  </si>
  <si>
    <t>US - Bally Total Fitness Holding Corp (BT), an owner and operator of fitness centers, withdrew its plans to search a buyer for the company, via an auction. Originally, in March 2006, BT announced that it was seeking a buyer for the company. Virgin Group was named potential bidder.</t>
  </si>
  <si>
    <t>Putnam Managed Hi Yield Trust</t>
  </si>
  <si>
    <t>Putnam High Yield Trust</t>
  </si>
  <si>
    <t>US - Putnam High Yield Trust merged with Putnam Managed High Yield Trust, a closed- end investment fund. The transaction had been subject to regulatory and shareholder approvals, and customary closing conditions.</t>
  </si>
  <si>
    <t>Suncoast Bancorp Inc,FL</t>
  </si>
  <si>
    <t>US - NBC Capital Corp, Starkville, Mississippi (NB) acquired all the outstanding common stock of SunCoast Bancorp Inc, Sarasota, Florida (SB), a bank holding company, for $35.5 mil. The consideration was to consist of $15.975 mil in cash and $19.525 mil in NB common stock. The transaction was approved by the board of directors and regulatory authorities. Upon completion, SB will changed its name to Cadence Bank.</t>
  </si>
  <si>
    <t>Black Diamond Capital Mgmt LLC</t>
  </si>
  <si>
    <t>US - Black Diamond Capital Management LLC acquired all the outstanding common stock of Bayou Steel Corp, a manufacturer of light structural and merchant bar products, for $75 per share, or a total value of $150 mil. The transaction was subject to the apporoval of regulatory authorities.</t>
  </si>
  <si>
    <t>US - General William Lyon (GW) acquired the remaining 53% interest plus options, which he did not already own, in William Lyon Homes (WL), a constructor of residential homes, for a twice-sweetened $109 in cash per share, or a total value of $499.509 mil. Earlier, GW completed his unsolicited tender offer to acquire the remaining 53% interest, which he did not already own by accepting 3. 723 mil shares, or 90.6% of WL's common shares outstanding. The offer was conditioned upon at least 90% of WL's shares being tendered. Previously, GW offered a sweetened $100 in cash per share, or a total value of $458.229 mil.</t>
  </si>
  <si>
    <t>Meredith Enterprises Inc</t>
  </si>
  <si>
    <t>Meredith Property Trust LLC</t>
  </si>
  <si>
    <t>US - Meredith Property Trust LLC planned to launch a tender offer to acquire .554 mil common shares, or the remaining 61% interest which it did not already own , in Meredith Enterprises Inc, a real estate investment trust company, for $15 in cash per share, or a total value of $8. 305 mil.</t>
  </si>
  <si>
    <t>Merchants Group Inc</t>
  </si>
  <si>
    <t>Merchants Mutual Ins Co</t>
  </si>
  <si>
    <t>Pvd insurance services</t>
  </si>
  <si>
    <t>US - Merchants Mutual Insurance Co planned to acquire the remaining 88% interest, or 1.888 mil common shares, which it did not already own, in Merchants Group Inc, a provider of property and casualty insurance services, for $29 in cash per share, or a total value of $54.861 mil.</t>
  </si>
  <si>
    <t>Vista Group Holdings LLC</t>
  </si>
  <si>
    <t>US - Vista Group Holdings LLC acquired all the outstanding common stock of Outlook Group Corp, a provider of commercial graphics printing, food packaging, and specialty printing services, for $13.5 in cash per share, or a total value of $47.043 mil. The transaction was subject to the approval of shareholders and regulatory authorities.</t>
  </si>
  <si>
    <t>SBS Technologies Inc</t>
  </si>
  <si>
    <t>Mnfr,whl computers,CPUs</t>
  </si>
  <si>
    <t>GE Fanuc Embedded Systems Inc</t>
  </si>
  <si>
    <t>US - GE Fanuc Embedded Systems Inc, a joint venture between GE Fanuc Automation North America Inc and Fanuc Ltd, acquired all the outstanding common stock of SBS Technologies Inc, a developer of software and computer products, for $16.50 in cash per share, or a total value of $269.693 mil.</t>
  </si>
  <si>
    <t>Erie Family Life Insurance Co</t>
  </si>
  <si>
    <t>Erie Indemnity Co</t>
  </si>
  <si>
    <t>US - Erie Indemnity Co acquired the remaining 24.9% stake, or 2.353 mil common shares, which it did not already own in Erie Family Life Insurance Co, for $32 in cash per share, or a total value of $75.298 mil, via a tender offer.</t>
  </si>
  <si>
    <t>US - In March 2006, Jones Apparel Group Inc, a manufacturer and wholesaler of women's apparel, was rumored to be seeking a buyer for the company. The Current status of this deal is unknown.</t>
  </si>
  <si>
    <t>Ridgestone Financial Services</t>
  </si>
  <si>
    <t>Pvd financial svcs;holding co</t>
  </si>
  <si>
    <t>US - An investor group, including Mr. Bruce Lammers, acquired all the outstanding common stock of Ridgestone Financial Services Inc, a provider of financial services and a holding company, for $14 in cash per share, or a total value of $12.146 mil. The transaction had been subject to the approval of regulatory authorities.</t>
  </si>
  <si>
    <t>TransMontaigne Inc</t>
  </si>
  <si>
    <t>Pvd oil,gas distn svcs</t>
  </si>
  <si>
    <t>US - Morgan Stanley (MS) acquired the remaining 88.82% interest, or 45.296 mil common shares plus options, which it did not already own in Transmontaigne Inc (TM), a provider of oil &amp; gas distribution services, for a thrice sweetened $11.35 in cash per share, or a total value of $511.455 mil. Previously, MS offered a twice sweetened $11 in cash per share, or a total value of $495.58 mil. Previously, MS offered a sweetened $10.50 in cash per share, or a total value of $465.44 mil. Originally MS offered $8.5 in cash per share, or a total value of $377.37 mil. The transaction was subject to due diligience review and regulatory approvals. Subsequently, Semgroup agreed to acquire all the outstanding common stock of TM for $9.75 in cash per share, or a total value of $523.143 mil.</t>
  </si>
  <si>
    <t>Morton Industrial Group Inc</t>
  </si>
  <si>
    <t>Mnfr metal,plastic prod</t>
  </si>
  <si>
    <t>MMC Precision Merger Corp</t>
  </si>
  <si>
    <t>US - MMC Precision Merger Corp, a special purpose acquisition vehicle formed by Brazos Private Equity Partners LLC, acquired all the outstanding common stock of Morton Industrial Group Inc, a manufacturer of fabricated metal products and a wholesaler of refrigeration and air conditioning equipment, from Three Cities Research Inc, for $10 in cash per share, or a total value of $54.9 mil, in a leveraged buyout recapitalization transaction.</t>
  </si>
  <si>
    <t>Progress Energy Inc</t>
  </si>
  <si>
    <t>Southern Co</t>
  </si>
  <si>
    <t>US - Southern Co Inc was rumored to be planning to acquire all the outstanding common stock of Progress Energy Inc, a provider of electric services. The Current status of this deal is unknown.</t>
  </si>
  <si>
    <t>SonomaWest Holdings Inc</t>
  </si>
  <si>
    <t>Real estate mgmt firm</t>
  </si>
  <si>
    <t>US - A management-led investor group, including SonomaWest Holdings Inc (SW) CEO Mr. Walker Stapleton and Stapleton Acquisition Co, withdrew its plans to launch a tender offer to acquire the remaining 56.4% interest, or 0.634 mil common shares plus options, which they did not already own in SW, a real estate development firm, for an amended $9.3 per share, or a total value of $6.192 mil, in a leveraged buyout transaction. Originally, SW offered $11.03 per share. The transaction was conditioned upon 90% of SW's shares being tendered.</t>
  </si>
  <si>
    <t>US - Alcatel SA (AS) merged with Lucent Technologies Inc (LT), a manufacturer, designer, and developer of telecommunications equipment, products, and software, in a stock swap merger of equals transaction, valued at $13. 591 bil. AS offered .1952 American depository share per LT share. Based on AS's closing stock price of $15.4 on March 31, the last full trading day prior to the announcement, each LT share was valued at $3.00608. Upon completion, AS and LT were to own 60% and 40% in the merged entity, respectively. The transaction was subject to regulatory and shareholders approvals.</t>
  </si>
  <si>
    <t>Spear &amp; Jackson Inc</t>
  </si>
  <si>
    <t>Mnfr screwdrivers</t>
  </si>
  <si>
    <t>United Pacific Industries Ltd</t>
  </si>
  <si>
    <t>Mnfr OEM electn,battery prod</t>
  </si>
  <si>
    <t>US - United Pacific Industries Ltd acquired a 62% interest, or 3.543 mil common shares, of Spear &amp; Jackson Inc, a manufacturer of screwdrivers, from Jacuzzi Brands Inc, for $1.4 per share, or a total value of $4. 96 mil. The transaction had been subject to customary closing conditions, regulatory and shareholder approval.</t>
  </si>
  <si>
    <t>James Monroe Bancorp Inc</t>
  </si>
  <si>
    <t>US - Mercantile Bankshares Corp (MB) acquired James Monroe Bancorp Inc, Baltimore, Maryland (JM), in a stock swap transaction valued at $160.071 mil. MB offered a choice of $23.5 in cash or . 6033 common share per JM share. Based on MB's closing stock price of $39 on March 24, the last full trading day prior to the announcement. The transaction was subject to the approval of regulatory authorities.</t>
  </si>
  <si>
    <t>Rubincon Ventures Inc</t>
  </si>
  <si>
    <t>Mining Metals and Minerals</t>
  </si>
  <si>
    <t>API Electronics Group Corp</t>
  </si>
  <si>
    <t>US - API Electronics Group Corp signed a Letter of Intent to merge with Rubincon Ventures Inc, a metals and minerals mining company. Upon completion, the merged entity was to be named, API Nanotronics Corp.</t>
  </si>
  <si>
    <t>SemGroup Corp</t>
  </si>
  <si>
    <t>Pvd oil,gas midstream svcs</t>
  </si>
  <si>
    <t>US - SEMGroup LP (SG) withdrew its definitive agreement to acquire all the outstanding common stock of TransMontaigne Inc (TM), a provider of oil and gas exploration, transportation, marketing, supply and distribution services, for a twice sweetened $11.25 in cash per share, or a total value of $598.674 mil. Previously, TM offered a sweetened $10.75 in cash per share, Originally, SG offered $9.75 in cash per share. The transaction was subject to regulatory approval. Previously, Morgan Stanley (MS) planned to launch an unsolicited offer to acquire the remaining 88.82% interest, or 44.035 mil common shares, it did not already own in TM for a sweetened $10.50 in cash per share, or a total value of $465.44 mil</t>
  </si>
  <si>
    <t>Capital Title Group Inc</t>
  </si>
  <si>
    <t>Pvd RE ins svcs</t>
  </si>
  <si>
    <t>LandAmerica Finl Grp Inc</t>
  </si>
  <si>
    <t>US - LandAmerica Financial Group Inc acquired all the common stock of Capital Title Group Inc, a provider of title insurance services, for an estimated $251 mil in cash and stock. The transaction had been subject to shareholder and regulatory approvals.</t>
  </si>
  <si>
    <t>US - Colony Capital LLC withdrew its plans to launch a challenging offer to acquire all the outstanding common stock of Aztar Corp (AC), an owner and operator of casinos, for $41 per share, or a total value of $1.559 bil, in a going private transaction. Originally, Pinnacle Entertainment Inc definitively agreed to acquire all the outstanding common stock of AC, via a tender offer. Subsequently, Ameristar Casinos Inc withdrew its plans to launch a challenging offer to acquire all the outstanding common stock of AC. Subsequently, Wimar Tahoe Corp (WT), doing business as Columbia Entertainment Corp planned to launch a challenging offer to acquire all the outstanding common stock of AZ.</t>
  </si>
  <si>
    <t>Agree Realty Corp</t>
  </si>
  <si>
    <t>Compson Holding Corp</t>
  </si>
  <si>
    <t>RE dvlp firm</t>
  </si>
  <si>
    <t>US - Compson Holding Corp (CH) withdrew its plans to acquire the remaining 96.9% stake, which it did not already own, in Agree Realty Corp (AR), a real estate investment trust, for a twice sweetened $38.75 in cash per share, or a total value of $298.640 mil. Previously, CH offered a sweetened $36 in cash per share. Originally, CH offered $34.50 in cash per AR share. The transaction was subject to customary closing conditions and due diligence completion.</t>
  </si>
  <si>
    <t>Alderwoods Group Inc</t>
  </si>
  <si>
    <t>Own,op funeral homes</t>
  </si>
  <si>
    <t>Pvd funeral,cemetery svcs</t>
  </si>
  <si>
    <t>US - Service Corp International acquired all the outstanding common stock of Alderwoods Group Inc, an owner and operator of funeral homes, for $20 in cash per share, or a total value of $809.379 mil. The transaction had been subject to regulatory approval. Shareholders duly approved the transaction.</t>
  </si>
  <si>
    <t>Ameristar Casinos Inc</t>
  </si>
  <si>
    <t>Own,operate casinos,hotels</t>
  </si>
  <si>
    <t>US - Ameristar Casinos Inc (AC) withdrew its unsolicited challenging offer to acquire all the outstanding common stock of Aztar Corp (AZ), an owner and operator of casinos, for a thrice sweetened $47 cash per share, or a total value of $1.797 bil. Previously, AC offered a twice sweetened $45 per share, or a total value of $1.721 bil. Previously, AC offered a sweetened $43 in cash per share. Originally, AC offered $42 in cash per AZ share. Moreover, Colony Capital LLC planned to launch a challenging offer to acquire all the outstanding stock of AC. Originally, Pinnacle Entertainment Inc definitively agreed to acquire all the outstanding common stock of AC, via a tender offer. Subsequently, Wimar Tahoe Corp (WT), doing business as Columbia Entertainment Corp planned to launch a challenging offer to acquire all the outstanding common stock of AZ.</t>
  </si>
  <si>
    <t>Inter-Tel Inc</t>
  </si>
  <si>
    <t>INTL Acquisition Corp</t>
  </si>
  <si>
    <t>US - INTL Acquisition Corp (IA), a special purpose finance vehicle formed by Steven Mihaylo and Vector Capital Corp, withdrew its plans acquire all the outstanding stock of Inter- Tel Inc, a manufacturer of telecommunications equipment, for a sweetend $23.25 in cash per IT common share, or a total value of $683.858 mil, in a leveraged buyout transaction. Originally, IA offered $22.5 in cash per IT common share, or a total value of $617.912 mil.</t>
  </si>
  <si>
    <t>Iconix Brand Group Inc</t>
  </si>
  <si>
    <t>Mnfr,whl footwear,handbags</t>
  </si>
  <si>
    <t>US - Iconix Brand Group Inc (IB) acquired all the outstanding common stock of Mossimo Inc (MI), a manufacturer of men's and boys clothing, for a total value of $101.313 mil. The consideration consisted of $4. 25 in cash and $3.25 in IB common stock per share, and up to $16 mil in profit- related payments. The transaction had been subject to the approval of regulatory authorities. Subsequently, Cherokee Inc withdrew its challenging bid to acquire MI.</t>
  </si>
  <si>
    <t>US - In April 2006, Computer Sciences Corp, a provider of information technology services, announced that it was seeking a buyer for the company.</t>
  </si>
  <si>
    <t>E Com Ventures Inc</t>
  </si>
  <si>
    <t>Rachmil Lekach</t>
  </si>
  <si>
    <t>US - Investor Mr. Rachmil Lekach planned to acquire all the outstanding common stock of E Com Ventures Inc, an owner and operator of retail fragrance chains, for $25 per share, or a total value of $77.122 mil in cash. The transaction was subject to due diligence completion.</t>
  </si>
  <si>
    <t>Port City Capital Bank, NC</t>
  </si>
  <si>
    <t>Crescent Finl Corp,Cary,NC</t>
  </si>
  <si>
    <t>US - Crescent Financial Corp (CF) acquired all the outstanding common stock of Port City Capital Bank (PC), for $33.553 mil. The consideration was to consist of $3.3 in cash per share, or a total value of $3.545 mil and the issuance of 2.113 mil CF common shares valued at $30.007 mil. CF offered 1. 9669 common stock per PC share. Based on CF's closing stock price of $14.2 on April 5, the last full trading day prior to the announcement, each PC share was valued at $27.93. The transaction was subject to the shareholders and regulatory approvals.</t>
  </si>
  <si>
    <t>RIV Acquisition Holdings Inc</t>
  </si>
  <si>
    <t>US - RIV Acquisition Holdings Inc (RIV) withdrew its plans to acquire all the outstanding common stock of Riviera Holdings Corp (RH), an owner and operator of hotels, for $17 in cash per share, or a total value of $216.2 mil. The transaction was subject to regulatory and shareholder approval. Subsequently, International Gaming &amp; Entertainment LLC, a special purpose vehicle formed by BT Enterprises LLC, planned to launch a challenging tender offer to acquire all the outstanding common stock of RH in a leveraged buyout transaction. Subsequently, an investor group, comprised of Ian Bruce Eichner and DE Shaw &amp; Co LP, planned to launch a challenging tender offer to acquire all the outstanding common stock of RH.</t>
  </si>
  <si>
    <t>Portal Software Inc</t>
  </si>
  <si>
    <t>Dvlp billing,Revenue Mgmt sol</t>
  </si>
  <si>
    <t>US - Oracle Corp acquired all the outstanding common stock of Portal Software Inc, a developer of Develop billing and Revenue Management solutions, for $4. 9 in cash per share, or a total value of $233.694 mil.</t>
  </si>
  <si>
    <t>Sybron Dental Specialties Inc</t>
  </si>
  <si>
    <t>Mnfr dental equipment,prod</t>
  </si>
  <si>
    <t>US - Danaher Corp completed its tender offer to acquire all the outstanding common stock of Sybron Dental Specialties Inc (SD), a manufacturer of dental, dental implant, and infection prevention products, for $47 in cash per share, or a total value of $2.191 bil, including the assumption of $200 mil in liabilities, by accepting 38.063 mil shares, or 94% of SD's common stock outstanding. The transaction had been subject to customary conditions, including tender of a majority of the outstanding shares into the offer, and the absence of a material adverse change with respect to SD.</t>
  </si>
  <si>
    <t>Wimar Tahoe Corp</t>
  </si>
  <si>
    <t>Ow,op hotels,casinos</t>
  </si>
  <si>
    <t>US - Wimar Tahoe Corp (WT), doing business as Columbia Entertainment Corp, and a unit of Columbia Sussex Corp, acquired all the outstanding common stock of Aztar Corp (AC), an owner and operator of casinos, for a twice sweetened $54.3996 in cash per share, or a total value of $2.089 bil. Previously, WT offered a sweetened $50 in cash per share, or a total value of $1.916 bil. Originally, WT offered $47 in cash per share, or a total value of $1.797 bil. The transaction was subject to regulatory approvals and customary closing conditions. Originally, Pinnacle Entertainment Corp definitively agreed to acquire all the outstanding common stock of AC. Subsequently, Colony Capital LLC planned to launch a challenging offer to acquire all the outstanding common stock of AC. Subsequently, Ameristar Casinos Inc withdrew its unsolicited challenging offer to acquire all the outstanding stock of AC.</t>
  </si>
  <si>
    <t>US - TD Banknorth Inc, a unit of Toronto-Dominion Bank acquired all the outstanding common stock of Interchange Financial Services Corp, a bank holding company, for $23 in cash per share, or a total value of $467.541 mil. The transaction had subject to customary closing conditions, shareholders and regulatory approvals.</t>
  </si>
  <si>
    <t>TIMCO Aviation Services</t>
  </si>
  <si>
    <t>TAS Holdings Inc</t>
  </si>
  <si>
    <t>US - TAS Holding Inc, a unit of LJH Ltd, definitively acquired the remaining 10.8% stake, which it did not already own, in TIMCO Aviation Services Inc, a wholesaler of aircraft parts, for $4 per share, or a total value of $10.007 mil.</t>
  </si>
  <si>
    <t>West Pointe Bancorp Inc</t>
  </si>
  <si>
    <t>Commerce Bancshares Inc</t>
  </si>
  <si>
    <t>US - Commerce Bancshares Inc, Kansas City, Missouri (CB) merged with West Pointe Bancorp Inc, Belleville, Illinois (WP) for $80.9 mil in cash and common shares. CB offered a choice of cash of common shares, subject to probation, whereby at least 75% of the total consideration was paid in common shares, and 25% in cash. The transaction had been subject to regulatory and shareholders approvals and customary closing conditions.</t>
  </si>
  <si>
    <t>RSV Bancorp Inc,Pittsburgh,PA</t>
  </si>
  <si>
    <t>US - Allegheny Valley Bancorp Inc acquired all the outstanding common stock of RSV Bancorp Inc, a savings and loan bank, for $29 in cash per share, or a total value of $16.22 mil in cash. The transaction had been subject to regulatory and shareholder approval.</t>
  </si>
  <si>
    <t>US - Opportunity Partners LP withdrew its plans to cquire the remaining 83.28% interest plus options, which it did not already own, in Gyrodyne Co of America Inc (GC), an owner and operator of non residential real estate, via a tender offer, for $48 in cash per GC common share, or a total value of $52.173 mil.</t>
  </si>
  <si>
    <t>Cherokee Inc</t>
  </si>
  <si>
    <t>Mnfr apparel, footwear</t>
  </si>
  <si>
    <t>US - Cherokee Inc (CI) withdrew its plans to acquire all the outstanding common stock of Mossimo Inc (MI), a manufacturer of men's and boys clothing, for $8 per share, or a total value of $136.987 mil. The consideration was to consist of $6 per share, or $95.398 mil in cash and $2.5 in CI common stock per share, or $39.749 mil. The transaction was subject to the customary closing conditions and regulatory approval. Previously, Iconix Brand Group Inc definitively agreed to acquire MI.</t>
  </si>
  <si>
    <t>Russell Corp</t>
  </si>
  <si>
    <t>Mnfr,whl athletic,knit apparel</t>
  </si>
  <si>
    <t>US - Berkshire Hathaway Inc acquired all the outstanding common stock of Russell Corp, a manufacturer and wholesaler of athletic uniforms and knit shirts and casualwear apparel, for $18 in cash per share or a total value of $600.615 mil. The transaction was subject to shareholders regulatory approval.</t>
  </si>
  <si>
    <t>Homestead Bank,Suwanee,GA</t>
  </si>
  <si>
    <t>Security Bank Corp,Macon.GA</t>
  </si>
  <si>
    <t>US - Security Bank Corp, Macon, Georgia, acquired all the outstanding stock of Homestead Bank, Suwanee, Georgia (HG), for an estimated $50 mil in cash and common stock. The transaction had been subject to customary closing conditions, HG shareholder and regulatory approvals.</t>
  </si>
  <si>
    <t>Keweenaw Land Association Ltd</t>
  </si>
  <si>
    <t>Own,op timberlands</t>
  </si>
  <si>
    <t>US - Opportunity Partners LP planned to launch a tender offer to acquire all the outstanding common stock of Keweenaw Land Associations Ltd, a real estate development firm, for $200 per share, or a total value of $128.546 mil.</t>
  </si>
  <si>
    <t>Marsh Supermarkets Inc</t>
  </si>
  <si>
    <t>US - Sun Capital Partners Inc acquired all the outstanding common stock of Marsh Supermarkets Inc (MS), an owner and operator of supermarkets and drugstores, for $11.125 per MS's common shares, or a total value of $87.993 mil in cash, in a leveraged buyout transaction. The transaction was subject to MS's shareholders and regulatory approvals and other customary closing conditions. Subsequently, an investor group comprised of Drawbridge Special Opportunities Advisors LLC and Cardinal Paragon Inc, a joint venture between Cardinal Capital Partners Inc and Paragon Group Inc, withdrew its plans to launch an unsolicited offer to acquire all the outstanding common stock of MS for $13. 625 cash per share, or a total value of $109.281 mil.</t>
  </si>
  <si>
    <t>US - PX Holding Corp (PX), a wholly-owned unit of MacAndrews &amp; Forbes Holdings Inc, acquired the remaining 3. 7% stake, or 1.457 mil ordinary shares, which it did not already own, in Panavision Inc, a camera systems manufacturer, for a sweetened $8.50 US per common share, or a total value of $12.385 mil. Originally, PX offered $8 per common share, or a total value of $11.657 mil.</t>
  </si>
  <si>
    <t>Ubiquitel Inc</t>
  </si>
  <si>
    <t>Pvd Sprint PCS commun svcs</t>
  </si>
  <si>
    <t>US - Sprint Nextel Corp (SN) acquired all the outstanding common stock of UbiquiTel Inc (UT), a provider of Sprint PCS services in midsize markets, for $10.35 in cash per share, or a total value of $1.033 bil. The transaction had been subject to regulatory approvals.</t>
  </si>
  <si>
    <t>ES&amp;L Bancorp Inc</t>
  </si>
  <si>
    <t>Cmnty bk</t>
  </si>
  <si>
    <t>US - Community Bank System Inc acquired all the outstanding common stock of ES&amp;L Bancorp Inc (ES), for $39 mil in cash. The transaction was subjected to ES shareholder and regulatory approvals.</t>
  </si>
  <si>
    <t>KCS Energy Inc</t>
  </si>
  <si>
    <t>Oil and gas expln,prodn</t>
  </si>
  <si>
    <t>US- Petrohawk Energy Corp (PE) merged with KCS Energy Inc (KC), an oil and gas company, in a stock swap transaction valued at $1.611 bil. PE offered $9 in cash and 1.65 common shares per KC share. Based on PE's closing stock price of $13.58 on April 20, the last full day of trading prior to the announcement, each KC share was valued at $31.407. On completion, the combined entity retained the name PE, and KC shareholders held 50% of the new entity. The transaction had been subject to shareholders approvals.</t>
  </si>
  <si>
    <t>US - eBay Inc (EI) was rumored to be planning to merge with Microsoft Corp, a developer and wholesaler of computer software. Concurrently, EI was rumored to be planning to merge with Yahoo! Inc. The Current status of this deal is unknown.</t>
  </si>
  <si>
    <t>US - eBay Inc (EI) was rumored to be planning to merge with Yahoo! Inc, an Internet Service Provider {ISP}. Concurrently, EI was rumored to be planning to merge with Microsoft Corp. The Current status of this deal is unknown.</t>
  </si>
  <si>
    <t>US - Washington Mutual Inc, Seattle, Washington acquired all the common stock of Commercial Capital Bancorp Inc, Irvine, California, for $16 in cash per share, or $951.4 mil in cash. The transaction had been subject to customary closing conditions, regulatory and shareholder approvals.</t>
  </si>
  <si>
    <t>Bridge Street Financial Inc</t>
  </si>
  <si>
    <t>Alliance Financial Corp,NY</t>
  </si>
  <si>
    <t>US - Alliance Financial Corp (AF) acquired all the outstanding common stock of Bridge Street Financial Inc (BS), a provider of financial services, for $55.266 mil. BS offered a choice of $23.06 in cash per BS common share, or 0.7547 AF share per BS common share or a combination of both, subject to proration whereby 25% of the total consideration was to be paid in cash, and 75% in common stock. The transaction had been subject to regulatory approvals and customary closing conditions.</t>
  </si>
  <si>
    <t>Manugistics Group Inc</t>
  </si>
  <si>
    <t>US - JDA Software Group Inc (JDA) acquired all the outstanding common stock of Manugistics Group Inc, a developer of supply chain software, for $2.5 in cash per share, or a total value of $215.052 mil. The transaction was subject to the approval of regulatory authorities. Concurrently, Thoma Cressey Equity Partners acquired preferred shares convertible to 4.3 mil common shares, or 14.77% stake, in JDA.</t>
  </si>
  <si>
    <t>US - Plains Exploration &amp; Production Co (PXP) withdrew its agreement to acquire Stone Energy Corp (SE), an oil and gas exploration and production company, in a stock swap transaction valued at $1.447 bil. PXP offered 1. 25 common shares per SE common share. Based on the PXP's closing stock price of $41.97 on April 21, the last full trading day prior to announcement, each SE share was valued at $52.463. Upon completion PXP shareholders were to hold 70% and SE shareholders were to hold 30% in the combined company.</t>
  </si>
  <si>
    <t>Home Building Bancorp Inc,IN</t>
  </si>
  <si>
    <t>US - First Bancorp of Indiana Inc, Evansville, Indiana, a unit of Huntington Bancshares Inc (HB), Columbus, Ohio, acquired all the outstanding common stock of Home Building Bancorp Inc, Washington, Indiana, a bank holding company, for $43.50 in cash or common shares per HB share, or a total value of $12.905 mil. The transaction had been subject to customary closing conditions, regulatory approval and HB shareholders approvals.</t>
  </si>
  <si>
    <t>NewMil Bancorp,New Milford,CT</t>
  </si>
  <si>
    <t>US - Webster Financial Corp (WFC), Waterbury, Connecticut acquired all the outstanding common stock of NewMil Bancorp (NB), New Milford, Connecticut, a bank holding company, in a stock swap transaction valued at $172. 592 mil. WFC offered NB shareholders $41 in common stock per share held, subject to a collar agreement whereby if the average closing stock price of Webster Financial Corp for a period of ten consecutive days ending on the third trading day prior to the Closing Date rose above $50.25, the exchange ratio was to be fixed at 0. 8159 shares, if the average stock price fell below $44.85, the exchange ratio was to be fixed at 0.9142 shares. The transaction had been subject to customary closing conditions, regulatory and shareholder approval.</t>
  </si>
  <si>
    <t>Babcock &amp; Brown Infrastructure</t>
  </si>
  <si>
    <t>Infrastructure fund</t>
  </si>
  <si>
    <t>US - Babcock &amp; Brown Infrastructure Group withdrew its agreement to acquire all the outstanding common stock of Northwestern Corp (NC), doing business as Northwestern Energy, an electric and gas utility company, for $2.052 bil. The consideration was to consist of $37 in cash per share and the assumption of $736 mil in liabilities. The transaction was subject to regulatory and shareholder approvals. Upon completion, NC was to be delisted from the stock exchange.</t>
  </si>
  <si>
    <t>Scientific Technologies Inc</t>
  </si>
  <si>
    <t>Omron Corp</t>
  </si>
  <si>
    <t>Mnfr,whl electronic mach,equip</t>
  </si>
  <si>
    <t>US - Omron Corp acquired all the outstanding common stock of Scientific Technologies Inc, a manufacturer of electrical and electronic industrial controls and components, for $94 mil in cash.</t>
  </si>
  <si>
    <t>Serologicals Corp</t>
  </si>
  <si>
    <t>Mnfr antibody-based prod</t>
  </si>
  <si>
    <t>US - Millipore Corp acquired all the outstanding common stock of Serologicals Corp, a manufacturer of antibody- based products, for $31.55 in cash per share, or a total value of $1.39 bil. The transaction had been subject to shareholders and regulatory approvals.</t>
  </si>
  <si>
    <t>Diagnostic Products Corp</t>
  </si>
  <si>
    <t>Mnfr test kits</t>
  </si>
  <si>
    <t>US - Siemens Medical Solutions Inc, a wholly owned unit of Siemens AG, acquired all the outstanding common stock of Diagnostic Products Corp (DPC), a manufacturer of test kits, for $58.5 in cash per share, or a total value of $1.767 bil. The transaction had been subject to the DPC shareholders' and regulatory approval, and other customary closing conditions.</t>
  </si>
  <si>
    <t>US - First Commonwealth Financial Corp (FC) acquired all the outstanding common stock of Laurel Capital Group Inc (LC), a bank holding company, in a stock swap transaction valued at $56.251 mil. FC offered a choice of $28.25 in cash per share or combination of cash and common stock per LC share, subject to proration whereby 70% of the consideration offered was to be payable in FC common stock and 30% was to be payable in cash. The transaction was approved by the Boards of Directors of FC and LC and had been subject to customary closing conditions and regulatory approval.</t>
  </si>
  <si>
    <t>Navigant International Inc</t>
  </si>
  <si>
    <t>Pvd travel mgmt svcs</t>
  </si>
  <si>
    <t>Carlson Wagonlit Travel BV</t>
  </si>
  <si>
    <t>US - Carlson Wagonlit Travel, a 50:50 joint venture between Accor and Carlson Cos Inc (CC), acquired all the outstanding common stock of Navigant International Inc, a provider of travel management services, for $16.5 in cash per share, or a total value of $298.02 mil. CC was a unit of Carlson Holdings Inc. The transaction had been subject to regulatory approval.</t>
  </si>
  <si>
    <t>AttachmateWRQ Corp</t>
  </si>
  <si>
    <t>Pvd terminal emulation svc</t>
  </si>
  <si>
    <t>US- AttachmateWRQ acquired all the outstanding common stock of NetIQ Corp, a developer of systems management software, for $12. 20 in cash per share, or a total value of $495.967 mil. The transaction was subject to customary closing conditions, shareholder approval, and regulatory approval.</t>
  </si>
  <si>
    <t>Back Yard Burgers Inc</t>
  </si>
  <si>
    <t>US - An investor group, comprised of Reid M. Zeising (RM), Cherokee Advisors LLC (CA) and BBAC LLC (BB), acquired the remaining 91.19% plus options, which they did not already own, in Back Yard Burgers Inc (BB), an owner and operator of restaurants, for a sweetened $6.5 in cash per share, or a total value of $33.872 mil. Originally, RM, CA &amp; BB offered $6.10 in cash per share, or a total value of $29.812 mil. The transaction had been subject to customary closing conditions, BB shareholders and regulatory approvals.</t>
  </si>
  <si>
    <t>Community Bancshares Inc</t>
  </si>
  <si>
    <t>Banc Corp,Birmingham,Alabama</t>
  </si>
  <si>
    <t>US - Banc Corp, Birmingham, Alabama (BC) merged with Community Bancshares Inc, Blountsville, Alabama (CB), in a stock swap transaction valued at $88.768 mil. BC offered 0.8974 common shares per CB share. Based on BC's closing stock price of $11.25 on April 28, the last full trading day prior to the announcement, each CB share was valued at $10.096. The transaction was subject to customary closing conditions, shareholders and regulatory approvals.</t>
  </si>
  <si>
    <t>ARAMARK Corp</t>
  </si>
  <si>
    <t>Pvd mgmt svc</t>
  </si>
  <si>
    <t>US - A management-led investor group, including ARAMARK Corp's CEO Joseph Neubauer, GS Capital Partners LP, Thomas H Lee Partners LP, JP Morgan Partners LLC and Warburg Pincus LLC acquired all the outstanding common stock of ARAMARK Corp, a provider of management services, for a sweetened $33. 80 in cash per share or a total value of $8.256 bil, in a leveraged buyout transaction. The transaction was subject to customary closing conditions, shareholder and regulatory approvals. Originally, the investor group offered $32 in cash per share, or a total value of $5.909 bil.</t>
  </si>
  <si>
    <t>US - Boeing Co acquired all the outstanding common stock of Aviall Inc, a provider of airport services, for $48 in cash per share, or a total value of $2.057 bil, including the assumption of $350 mil in liabilites. The transaction was subject to customary closing conditions and regulatory approval. Shareholders duly approved the transaction.</t>
  </si>
  <si>
    <t>Ceres Group Inc</t>
  </si>
  <si>
    <t>Great American Finl Res Inc</t>
  </si>
  <si>
    <t>US - Great American Financial Resources, a unit of American Financial Group Inc, acquired all the outstanding common stock of Ceres Group Inc, a provider of health and life insurance services, for $6.13 per share, or a total value of $204.829 mil.</t>
  </si>
  <si>
    <t>Warner Music Group Corp</t>
  </si>
  <si>
    <t>Provide recorded music svcs</t>
  </si>
  <si>
    <t>EMI Group PLC</t>
  </si>
  <si>
    <t>US - EMI Group PLC (EMI) withdrew its plans to launch an unsolicited tender offer to acquire all the outstanding common stock of Warner Music Group Corp (WM), a manufacturer and wholesaler of phonographic records and CDs, for a sweetened $31 per share, or a total value of $4. 759 bil. Previously, EMI offered $28.5 per WM share, or a total value of $4.372 bil. The transaction was rejected by WM. Subsequently, WM withdrew its plans to launch an unsolicited tender offer to acquire all the outstanding common shares of EMI.</t>
  </si>
  <si>
    <t>Mnfr,whl data storage soln's</t>
  </si>
  <si>
    <t>US - Quantum Corp (QC) acquired all the outstanding common stock of Advanced Digital Information Corp (AD), a manufacturer of hardware and software-based data storage products, for $773. 351 mil. QC offered a choice of $12.25 in cash or 3.461 QC share per AD share, in lieu of cash, subject to proration, whereby no more than 10% of the total consideration was to be paid in QC common stock. The transaction had been subject to customary closing conditions, regulatory and AD shareholders approvals.</t>
  </si>
  <si>
    <t>First Oak Brook Bancshares,IL</t>
  </si>
  <si>
    <t>US - MB Financial Inc, Chicago, Illinois (MB) merged with First Oak Brook Bancshares Inc, Oak Brook, Illinois, in a stock swap transaction valued at $370. 772 mil. The consideration consisted of an estimated $74 mil in cash and 8.4 mil common shares valued at $296. 772 mil. The shares were valued based on MB's closing stock price of $35.33 on May 1, the last full trading day prior to the announcement. Originally, MB offered a choice of $36.8 in cash or common stock, or a combination of both, subject to limitation and prorations whereby 80% of the total consideration was to be paid in common stock, and 20% in cash. The transaction had been subject to regulatory and shareholder approvals.</t>
  </si>
  <si>
    <t>Applied Films Corp</t>
  </si>
  <si>
    <t>Mnfr filming equips</t>
  </si>
  <si>
    <t>US - Applied Materials Inc acquired all the outstanding common stock of Applied Films Corp, a manufacturer of thin film deposition equipment, for $28.50 in cash per share, or a total value of $460.746 mil. The transaction was subject to customary closing conditions, shareholder approval, and regulatory approval.</t>
  </si>
  <si>
    <t>Mpower Holding Corp</t>
  </si>
  <si>
    <t>US TelePacific Corp</t>
  </si>
  <si>
    <t>US - Telepacific Communications Corp acquired all the outstanding common stock of Mpower Holding Corp, a provider of telecommunications services, for $1.92 in cash per share, or a total value of $197.917 mil. The transaction was subject to shareholder approval and other customary conditions including federal regulatory approval.</t>
  </si>
  <si>
    <t>Sportsmans Guide Inc</t>
  </si>
  <si>
    <t>Own,op mail order catalog</t>
  </si>
  <si>
    <t>VLP Corp</t>
  </si>
  <si>
    <t>Own,op catalog home prod</t>
  </si>
  <si>
    <t>US - VLP Corp, a unit of the Redcats USA LP subsidiary of PPR's Redcats unit, acquired all the outstanding common stock of Sportsmans Guide Inc (SG), an owner and operator of mail order catalog, for $31 in cash per share, or a total value of $264.790 mil. The transaction had been subject to SG's shareholder approval, customary closing conditions and regulatory approvals.</t>
  </si>
  <si>
    <t>Golden West Financial Corp,CA</t>
  </si>
  <si>
    <t>Savings,loans hldg co</t>
  </si>
  <si>
    <t>US - Wachovia Corp (WC) of Charlotte, North Carolina, acquired all the outstanding common stock of Golden West Financial Corp (GW) of Oakland, California, a savings and loan holding company, in a stock swap transaction valued at $25.501 bil. WC offered 1.051 common shares plus $18.65 in cash per common share for every GW share held. Based on WC's closing stock price of $59.39 on May 5, the last full day of trading prior to announcement, each GW share was valued at $81.07. The transaction was subject to shareholder and regulatory approvals. Originally, in May 2006, WC was rumored to be planning to acquire GW. Shareholders duly approved the transaction.</t>
  </si>
  <si>
    <t>Emmis Communications Corp</t>
  </si>
  <si>
    <t>ECC Acquisition Inc</t>
  </si>
  <si>
    <t>US - ECC Acquisition Inc, a new company formed by Emmis Communications Corp's (EC) CEO Mr. Jeffrey H. Smulyan, withdrew its plans to acquire all the outstanding common stock of EC, an owner and operator of radio and television broadcasting stations, for $15.25 in cash per share, or total value of $467.568 mil, in a leveraged buyout going private transaction. The transaction was subject to regulatory and EC shareholders approvals. Concurrently, Hearst-Argyle Television Inc agreed to acquire WKCF-TV, Orlando, Florida, from EC. Concurrently, Bonneville International Corp agreed to acquire the KKFR-FM radio station of EC.</t>
  </si>
  <si>
    <t>US - Thermo Electron Corp (TE) merged with Fisher Scientific International Inc (FS), a manufacturer and wholesaler of laboratory supplies, in a reverse stock swap transaction valued at $10.292 bil. TE offered 2 common shares per FS share. Based on TE's closing stock price of $39.45 on May 5, the last full trading day prior to the announcement, each TE share was valued at $78.90. On completion, the combined entity was to be named Thermo Fisher Scientific Inc.</t>
  </si>
  <si>
    <t>San Diego Cmnty Bk,California</t>
  </si>
  <si>
    <t>US - First Banks Inc, Clayton, Missouri acquired all the outstanding common stock of San Diego Community Bank, Chula Vista, California (SD), for $9 in cash per share, or a total value of $26.157 mil. The transaction had been subject to regulatory and SD shareholder approval.</t>
  </si>
  <si>
    <t>Corning Natural Gas Corp</t>
  </si>
  <si>
    <t>C&amp;T Enterprises Inc</t>
  </si>
  <si>
    <t>Pvd shared mgmt svcs</t>
  </si>
  <si>
    <t>US - C&amp;T Enterprises Inc (CE), a joint venture between Claverack Rural Electric Cooperative Inc and Tri- County Rural Electric Cooperative Inc, withdrew its plans to acquire all the outstanding common stock of Corning Natural Gas Corp (CN), a natural gas production and distribution company, for a sweetened $16.5 in cash per share, or a total value of $8. 364 mil. Previously, CE offered $13.71 in cash per share, or a total value of $6. 95 mil.</t>
  </si>
  <si>
    <t>RemedyTemp Inc</t>
  </si>
  <si>
    <t>Temporary Help Services</t>
  </si>
  <si>
    <t>Select Personnel Services</t>
  </si>
  <si>
    <t>Pvd employment solutions svcs</t>
  </si>
  <si>
    <t>US - Select Personnel Services acquired all the outstanding common stock of RemedyTemp Inc (RI), a provider of clerical and light industrial temporary staffing services, for $17 in cash per share, or a total value of $167.483 mil. The transaction was subjected to, customary closing conditions and regulatory approvals. The transaction was approved by RI shareholders.</t>
  </si>
  <si>
    <t>Brookdale Senior Living Inc</t>
  </si>
  <si>
    <t>Own,op senior living community</t>
  </si>
  <si>
    <t>US - Brookdale Senior Living Inc definitively agreed to acquire all the outstanding common stock of American Retirement Corp (AR), an owner and operator of senior living retirement centers, for $33 in cash per share, or a total value of $1.216 bil. The transaction was subjected to customary closing conditions, AR shareholders approval and regulatory approvals.</t>
  </si>
  <si>
    <t>US - Infor Global Solutions, a unit of Golden Gate Capital, acquired all the outstanding common stock of SSA Global Technologies Inc, a developer of ERP solutions software, for $19.50 in cash per share, or a total value of $1.533 bil. The transaction had been subject to customary closing conditions, regulatory and shareholder approval.</t>
  </si>
  <si>
    <t>Atmel Corp</t>
  </si>
  <si>
    <t>RDG Capital LLC</t>
  </si>
  <si>
    <t>US - RDG Capital LLC planned to launch a tender offer to acquire all the outstanding common stock of Atmel Corp, a manufacturer of semiconductors for $5.5 in cash and preferred stock per share, or a total value of $2. 677 bil. The transaction was subject to due diligence completion, transaction financing, negotiation of terms, and requisite board approval.</t>
  </si>
  <si>
    <t>BAE Systems PLC</t>
  </si>
  <si>
    <t>Mnfr civil,military aircraft</t>
  </si>
  <si>
    <t>US - BAE Systems Plc discontinued rumors that it was planning to acquire all the outstanding common stock of CACI International Inc, a provider of information technology services.</t>
  </si>
  <si>
    <t>US - First Community Bancorp Inc (FCB), Rancho Santa Fe, California, acquired all the outstanding common stock of Community Bancorp Inc (CB), Escondido, California, a bank holding company, in a stock swap transaction valued at $269.885 mil. FCB offered 0. 735 common shares per 1 CB share. Based on FCB's closing stock price of $56.56 on May 15, the last full trading day prior to announcement, each CB share was valued at $41. 572. The transaction was subject to customary conditions and shareholders approval.</t>
  </si>
  <si>
    <t>US - A management-led investor group, comprised of NCO Group Inc's (NG) CEO Michael J Barrist, and One Equity Partners II LP, a unit of JPMorgan Chase &amp; Co, acquired all the outstanding common stock of NG, a provider of business process outsourcing services, for $27. 5 in cash per share, or a total value of $910.346 mil, in a leveraged buyout transaction. The transaction was subject to regulatory approvals and customary closing conditions.</t>
  </si>
  <si>
    <t>Sands Regent</t>
  </si>
  <si>
    <t>Herbst Gaming Inc</t>
  </si>
  <si>
    <t>Own,op gaming mach,casino</t>
  </si>
  <si>
    <t>US - Herbst Gaming Co merged with Sands Regent, an owner and operator of casino hotels, for $15 in cash per share, or a total value of $114.480 mil. The transaction had been subject to regulatory approval. Shareholders duly approved the transaction.</t>
  </si>
  <si>
    <t>Integrated Alarm Svcs Grp Inc</t>
  </si>
  <si>
    <t>Pvd monitoring svcs</t>
  </si>
  <si>
    <t>Alarm Security Group LLC</t>
  </si>
  <si>
    <t>Pvd sec sys svcs</t>
  </si>
  <si>
    <t>US - Alarm Security Group LLC, a unit of Northwest Capital Appreciation Inc, planned to acquire all the outstanding common stock of Integrated Alarm Services Group Inc, a provider of monitoring, financing, and business support services to independent security alarm dealers serving the residential and commercial markets, for $3.6 cash per share, or a total value of $87.728 mil.</t>
  </si>
  <si>
    <t>Braveheart Holdings LP</t>
  </si>
  <si>
    <t>US - Braveheart Holdings LP, a unit of Westmont Hospitality Group Inc and the CDP Capital-Real Estate Advisory Inc subsidiary of Canadian state-owned Caisse de depot et placement du Quebec, acquired all the outstanding common stock of Boykin Lodging Co (BL), a real estate investment trust, for $11 in cash per share, or a total value of $195.955 mil. The transaction had been subject to customary closing conditions and BL shareholders approval. Concurrently, a management- led investor group, including BL CEO Mr. Robert W. Boykin, acquired the Pink Shell Beach Resort &amp; Spa, and the Banana Bay Resort &amp; Marina, from BL.</t>
  </si>
  <si>
    <t>Sixx Holdings Inc</t>
  </si>
  <si>
    <t>Bailey Acquisitions Inc</t>
  </si>
  <si>
    <t>US - Bailey Acquisitions Inc agreed to merge with Sixx Holdings Inc (SH), an owner and operator of restaurants, for $5.50 per share, or a total value of $7.172 mil. Upon completion, the merged entity was to retain the name SH.</t>
  </si>
  <si>
    <t>Aristotle Corp</t>
  </si>
  <si>
    <t>Mnfr health,medical educ aids</t>
  </si>
  <si>
    <t>Geneve Corp</t>
  </si>
  <si>
    <t>Mnfr ordnance,plastic prod</t>
  </si>
  <si>
    <t>US - Geneve Corp planned to acquire the remaining 7% stake, or 1.209 mil common shares and 1.1 mil Series I Preferred Stock, which it did not already own, in Aristotle Corp, a manufacturer of health and medical education aids, for $8.06 in cash per share and $8.25 per Series I Preferred Stock, or a total value of $22.438 mil. The transaction was subject to shareholders, special committee and regulatory approvals.</t>
  </si>
  <si>
    <t>BWC Finl Corp,Walnut Creek,CA</t>
  </si>
  <si>
    <t>First Republic Bank,California</t>
  </si>
  <si>
    <t>US - First Republic Bank, San Francisco, California (FR) acquired BWC Financial Corp (BF), a commercial bank holding company, in a stock swap transaction, valued at $176.806 mil. FR offered .97 common shares per BF share. Based on FR's closing stock price of 43.25 on May 19, the last full trading day prior to the announcement, each BF share was valued at $41.95. The transaction was subject to the approval of shareholders and regulatory authorities.</t>
  </si>
  <si>
    <t>JER Partners</t>
  </si>
  <si>
    <t>US - JER Partners, a unit of JE Roberts Cos, definitively acquired all the outstanding common stock of Jameson Inns Inc, a owner and operator of hotels, for $2.97 cash per share, or a total value of $373.873 mil, including the assumption of an estimated $190 mil in liabilities, in a leveraged buyout transaction. The transaction was subject to shareholder approval.</t>
  </si>
  <si>
    <t>Main Street Restaurant Group</t>
  </si>
  <si>
    <t>Main Street Acquisition Corp</t>
  </si>
  <si>
    <t>US - Main Street Acquisition Corp, a unit of Briad Group's Briad Main Street Inc, acquired all the outstanding common stock of Main Street Restaurant Group Inc (MS), an owner and operator of restaurants, via a tender offer for $6.4 in cash per share or a total value of $123.934 mil. The offer was conditioned upon at least 90% of MS's shares being tendered. The transaction was subjected to customary closing conditions.</t>
  </si>
  <si>
    <t>Assa Abloy AB</t>
  </si>
  <si>
    <t>Hardware Manufacturing</t>
  </si>
  <si>
    <t>US - Assa Abloy AB acquired all the outstanding common stock of Fargo Electronics Inc, a designer, manufacturer and wholesaler of printer, desktop systems and associated consumable supplies, for $25.50 in cash per share for a total value of $337.368 mil. The transaction had been subject to shareholder and regulatory approvals.</t>
  </si>
  <si>
    <t>NES Rentals Holdings Inc</t>
  </si>
  <si>
    <t>Diamond Castle Holdings LLC</t>
  </si>
  <si>
    <t>US - Diamond Castle Holdings LLC acquired all the outstanding common stock of NES Rentals Holdings Inc (NES) , a provider of equipment rental services, for $18.75 in cash per share, or a total value of $372.123 mil, in a leveraged buyout transaction. The transaction had been subject to customary closing conditions, regulatory and NES' shareholders approvals.</t>
  </si>
  <si>
    <t>Aames Investment Corp</t>
  </si>
  <si>
    <t>Mortgage lender</t>
  </si>
  <si>
    <t>Accredited Home Lenders Hldg</t>
  </si>
  <si>
    <t>Mtg co</t>
  </si>
  <si>
    <t>US - Accredited Home Lenders Holding Co (AH) acquired all the outstanding common stock of Aames Investment Corp (AI), a mortgage lender, in a stock swap transaction valued at $334.012 mil. AH offered an estimated $109 mil in cash and 0.07 common shares per AI share. Based on AH's closing stock price on May 24, the last full trading day prior to the announcement, each AI share was valued at $3.636. The transaction was approved by AH and AI boards of directors and was subject to shareholder and regulatory approval.</t>
  </si>
  <si>
    <t>US - Regions Financial Corp (RF) merged with AmSouth Bancorp, Birmingham, Alabama (AB), in a stock swap transaction valued at $10.021 bil. RF offered 0.7974 common shares per AB share. Based on RF's closing stock price of $35.53 on May 24, the last full trading day prior to the announcement, each AB share was valued at $28.332. On completion, the merged entity was to retain the name RF. The transaction was subject to shareholders and regulatory approvals.</t>
  </si>
  <si>
    <t>NWH Inc</t>
  </si>
  <si>
    <t>Own,op wireless cable systems</t>
  </si>
  <si>
    <t>Ingenix Inc</t>
  </si>
  <si>
    <t>US - Ingenix Inc, a unit of UnitedHealth Group Inc, acquired all the outstanding common stock of NWH Inc, an owner and operator of wireless cable systems and an investment holding company, for $18.24 in cash per share, or a total value of $53.584 mil. The transaction had been subject to the approval of shareholders and regulatory authorities.</t>
  </si>
  <si>
    <t>Energy Partners Ltd</t>
  </si>
  <si>
    <t>US - Energy Partners Ltd (EP) terminated its agreement to acquire all the outstanding common stock of Stone Energy Corp (SE), an oil and gas exploration and production company, for $2.004 bil, subject to collar agreement and proration whereby the maximum cash consideration was $720 mil. The consideration was to consist of $26 in cash per share, the assumption of $563 mil in liabilities and the issuance of 1.21 EP common share for every SE share. Based on EP's closing stock price of $21.56 on May 24, the last full trading day prior to announcement, each SE share was valued at $26.088. The transaction was subject to shareholders approval.</t>
  </si>
  <si>
    <t>Kinder Morgan Inc</t>
  </si>
  <si>
    <t>Knight Holdco LLC</t>
  </si>
  <si>
    <t>US - Knight Holdco LLC, a SPV formed by a management-led investor group, including Kinder Morgan Inc's (KM) CEO Richard D. Kinder, senior management and co-founder Bill Morgan, board members Fayez Sarofim and Mike Morgan, GS Capital Partners LP, a unit of Goldman Sachs Group Inc's Goldman Sachs &amp; Co subsidiary, American International Group Inc {AIG}, Carlyle Group LLC and Riverstone Holdings LLC acquired all the outstanding common stock of KM, an owner and operator of natural gas pipelines, for $107.50 in cash per share, or a total value of $21.61 bil, including the assumption of approximately $7 bil in liabilities, in a leveraged buyout transaction. Originally, the investor group offered $100 in cash per share.</t>
  </si>
  <si>
    <t>Beere Financial Equity Corp</t>
  </si>
  <si>
    <t>Beere Financial Group Inc</t>
  </si>
  <si>
    <t>US - Strategic Growth Ventures Inc acquired an undisclosed majority interest in Beere Financial Equity Corp.</t>
  </si>
  <si>
    <t>US - An investor group comprised of Drawbridge Special Opportunities Advisors LLC and Cardinal Paragon Inc, a joint venture between Cardinal Capital Partners Inc and Paragon Group Inc, withdrew its plans to launch an unsolicited offer to acquire all the outstanding common stock of Marsh Supermarkets Inc (MS), an owner and operator of grocery stores, for $13.625 cash per share, or a total value of $109.281 mil. Previously, Sun Capital Partners Inc definitively agreed to acquire all the outstanding common stock of MS.</t>
  </si>
  <si>
    <t>Pvd electric svcs</t>
  </si>
  <si>
    <t>US - Mirant Corp (MC) withdrew its plan to launch a hostile offer to acquire all the outstanding common stock of NRG Energy Inc (NE), an electric and gas utility company, in a stock swap transaction valued at $7.895 bil. MC offered a choice of 2. 25 common share or $57.5 in cash per NE share, subject to proration whereby the maximum cash consideration was $3.9 bil. Based on MC's closing stock price of $25.57 on May 29, the last full trading day prior to announcement, each NE share was valued at $57. 5325. The transaction was subject to due diligence and regulatory approvals.</t>
  </si>
  <si>
    <t>US - ADC Telecommunications Inc (AT) withdrew its agreement to acquire all the outstanding common stock of Andrew Corp (AC), a manufacturer and wholesaler of communications equipment, in a stock swap transaction valued at $2.042 bil. AT offered 0.57 common share per AC share. Based on AT 's closing stock price of $22.38 on May 30, the last full trading day prior to the announcement, each AC share was valued at $12.7566. The transaction was subject to customary closing conditions and regulatory approvals. Upon completion, AT and AD shareholders were to own a 56% and 44% stake of the combined company, respectively. Subsequently, CommScope Inc planned to launch a challenging offer to acquire all the outstanding common stock of AC.</t>
  </si>
  <si>
    <t>Royal Palm Bancorp Inc,Naples,</t>
  </si>
  <si>
    <t>Mercantile Bancorp Inc</t>
  </si>
  <si>
    <t>US - Mercantile Bancorp Inc, Quincy, Illinois, acquired all the outstanding stock of Royal Palm Bancorp Inc, Naples, Florida, for an estimated $44.4 mil in cash. The transaction had been subject to customary closing conditions, shareholder, and regulatory approvals.</t>
  </si>
  <si>
    <t>US - An investor group, comprised of Thomas H Lee Partners and Quadrangle Group LLC acquired all the outstanding common stock of West Corp (WC), a provider of call center services, for $48. 75 in cash per WC common share, or a total value of $3. 436 bil, in a leveraged buyout transaction. The transaction was subject to customary closing conditions and shareholder approval.</t>
  </si>
  <si>
    <t>GBC Bancorp Inc,Lawrenceville,</t>
  </si>
  <si>
    <t>US - First Charter Corp, Concord, North Carolina (FC) merged with GBC Bancorp Inc (GB), located in Lawrenceville, Georgia, a bank holding company, for $47. 74 in cash per share, or a total value of $97.325 mil. FC offered a choice of 1.989 common shares or $47.74 cash per GB share or a combination of both, subject to proration, whereby 70% of the total consideration was to be paid in common shares and 30% in cash. The transaction had been subject to shareholder and regulatory approvals.</t>
  </si>
  <si>
    <t>Vail Banks Inc,Vail,Colorado</t>
  </si>
  <si>
    <t>US - US Bancorp, located in Minneapolis, Minnesota, acquired all the outstanding common stock of Vail Banks Inc, located in Vail Colorado, a bank holding company, for $17 per share, or a total value of $98.57 mil. The transaction has been subject to customary closing conditions and regulatory approval.</t>
  </si>
  <si>
    <t>BriteSmile Inc</t>
  </si>
  <si>
    <t>Pvd teeth-whitening svcs</t>
  </si>
  <si>
    <t>Futuredontics Inc</t>
  </si>
  <si>
    <t>Provide dental referral services</t>
  </si>
  <si>
    <t>US - Futuredontics Inc (FI) planned to acquire all the outstanding common stock of BriteSmile Inc (BS), a provider of teeth-whitening services, for $2 in cash and $2 FI stock per share, or a total value of $42.611 mil. The transaction was rejected by BS's board of directors.</t>
  </si>
  <si>
    <t>US - Sterling Financial Corp (SF), Spokane, Washington, definitively merged with FirstBank NW Corp (FB), Clarkston, Washington, in a stock swap transaction valued at $166.184 mil. SF offered $2.55 cash plus 0.789 common shares per FB share. Based on SF's closing stock price of June 2, the last full trading day prior to the announcement, each FB share was valued at $27.159. The transaction had been subject to customary closing conditions, FB shareholders and regulatory approvals.</t>
  </si>
  <si>
    <t>Laserscope Inc</t>
  </si>
  <si>
    <t>Mnfr,whl med laser sys</t>
  </si>
  <si>
    <t>American Med Sys Holdings Inc</t>
  </si>
  <si>
    <t>US - American Medical Systems Holdings Inc, a majority-owned unit of Warburg Pincus LLC's Warburg Pincus Equity Partners LP subsidiary, completed its tender offer to acquire all the outstanding common stock of Laserscope Inc (LI), a manufacturer and wholesaler of medical laser systems and related energy devices, via a tender offer for $31 in cash per share, or a total value of $680.706 mil, by accepting 21.157 mil shares, or 94.53% of LI's common shares outstanding. The offer was conditioned upon at least a majority of LI's shares being tendered. The transaction was subjected to customary closing conditions and regulatory approvals.</t>
  </si>
  <si>
    <t>M2M Holdings Inc</t>
  </si>
  <si>
    <t>Pvd invest,hldg svcs</t>
  </si>
  <si>
    <t>US - M2M Holdings Inc, a jointly-owned unit of Battery Ventures VI LP and Thoma Cressey Equity Partners, acquired all the outstanding common stock of Onyx Software Corp (OS), a developer of customer relationship management (CRM) software, for $4.8 in cash per share, or a total value of $92.524 mil. The transaction was approved by OS shareholders and was subject to the approval of regulatory authorities. Subsequently, CDC Corp planned to launch a challenging tender offer to acquire all the outstanding stock of OS.</t>
  </si>
  <si>
    <t>Trizec Properties Inc</t>
  </si>
  <si>
    <t>US - An investor group, comprised of Brookfield Properties Corp (BP) and Blackstone Group LP (BG), acquired the remaining indirect 61.9% interest plus options, which it did not already own, in Trizec Properties Inc, a real estate investment trust, for $29.01 in cash per share, or a total value of $2.884 bil, in a leveraged buyout transaction. Concurrently, BP and BG acquired all the outstanding common stock of Trizec Canada Inc. The transactions were subject to customary closing conditions, regulatory and shareholders approvals.</t>
  </si>
  <si>
    <t>Ace Cash Express Inc</t>
  </si>
  <si>
    <t>Own,op check cashing stores</t>
  </si>
  <si>
    <t>US - A management-led investor group comprised of Ace Cash Express Inc's (AC) President and CEO Jay B. Shipowitz and JLL Partners Fund V LP, a unit of JLL Partners, acquired all the outstanding common stock of AC, an owner and operator of check cashing stores which provide check cashing and retail financial services, for $30 cash per share, or a total value of $431.335 mil, in a leveraged buyout transaction. The transaction was subject to shareholder and regulatory approval.</t>
  </si>
  <si>
    <t>Stratos International Inc</t>
  </si>
  <si>
    <t>Mnfr optical transceivers</t>
  </si>
  <si>
    <t>US - Steel Partners II LP withdrew its unsolicited offer to acquire the remaining 84.96% interest, which it did not already own, in Stratos International Inc (SI), a manufacturer of optical transceivers, for $7. 5 in cash per SI common share, or a total value of $93.278 mil, in a leveraged buyout transaction. The transaction was subject to customary closing conditions.</t>
  </si>
  <si>
    <t>JANA Partners LLC</t>
  </si>
  <si>
    <t>US - JANA Partners LLC withdrew its plans to acquire the remaining 87.7% interest, or 27.107 mil common shares, which it did not already own, in Houston Exploration Co, an oil and gas exploration and production company, for $62 in cash per share, or a total value of $1.618 bil. The transaction was subject to customary closing conditions.</t>
  </si>
  <si>
    <t>Maverick Tube Corp</t>
  </si>
  <si>
    <t>Mnfr steel tubular prod</t>
  </si>
  <si>
    <t>Tenaris SA</t>
  </si>
  <si>
    <t>Mnfr seamless steel pipe prod</t>
  </si>
  <si>
    <t>US - Tenaris SA, a unit of Grupo Techint 's Sidertubes SA subsidiary acquired all the outstanding common stock of Maverick Tube Corp, a producer of welded oil tubular goods for use in oil and natural gas wells, for $65 in cash per share, or a total value of $3.096 bil. The transaction was subject to shareholders and regulatory approval and other customary conditions.</t>
  </si>
  <si>
    <t>Pacific Energy Partners LP</t>
  </si>
  <si>
    <t>US - Plains All American Pipeline LP (PA) acquired the remaining 75.54% interest, or 29.692 mil common shares, which it did not already own, in Pacific Energy Partners LP (PE), for $1.208 bil. PA offered 0.77 new common shares per PE share. Based on PA's closing stock price of $46.1 on June 9, the last full trading day prior to announcement, each PE share was valued at $35.497. The transaction had been subject to customary closing conditions, shareholders and regulatory approvals. Concurrently, PA acquired a 24.46% stake, or 10.4 mil common shares, in PE.</t>
  </si>
  <si>
    <t>State Natl Bancshares Inc,TX</t>
  </si>
  <si>
    <t>Banco Bilbao Vizcaya</t>
  </si>
  <si>
    <t>US - Banco Bilbao Vizcaya Argentaria SA (BB) acquired all the outstanding common stock of State National Bancshares Inc located in Forth Worth, Texas, for $38.5 cash per share, or a total value of $481.703 mil. The transaction was subject to regulatory approval. Concurrently, BB definitively agreed to acquire Texas Regional Bancshares Inc in McAllen, Texas.</t>
  </si>
  <si>
    <t>Texas Regional Bancshares,TX</t>
  </si>
  <si>
    <t>US - Banco Bilbao Vizcaya Argentaria SA (BB) acquired all the outstanding common stock of Texas Regional Bancshares Inc, located in McAllen, Texas, for $38.9 in cash per share, or a total value of $2.155 bil. The transaction was subject to shareholder and regulatory approval. Concurrently, BB definitively agreed to acquire all the outstanding common stock of State National Bancshares Inc, located in Fort Worth, Texas.</t>
  </si>
  <si>
    <t>Signet Group PLC</t>
  </si>
  <si>
    <t>Own,op jewellery stores</t>
  </si>
  <si>
    <t>US - Signet Group PLC withdrew its plans to acquire all the outstanding common stock of Zale Corp, a retailer, owner and operator of jewelry stores.</t>
  </si>
  <si>
    <t>PF Acquisition of Florida LLC</t>
  </si>
  <si>
    <t>US - PF Acquisition of Florida LLC, a newly-formed company by Parlux Fragrances Inc's (PF) Chairman and CEO Mr. Ilia Lekach, withdrew its plans to acquire all the outstanding common stock of PF, a manufacturer and wholesaler of perfumes and beauty products, for $29 in cash per share, or a total value of $306.008 mil, in a leveraged buyout transaction. The transaction was subject to customary closing conditions, boards of directors and shareholders approval.</t>
  </si>
  <si>
    <t>Sedgwick CMS Holdings Inc</t>
  </si>
  <si>
    <t>Pvd claims admin svcs</t>
  </si>
  <si>
    <t>US - Sedgwick CMS Holdings Inc, a unit of Fidelity National Financial Inc, definitively acquired all the outstanding common stock of Security Capital Corp (SC), an investment holding company, for $191.5 mil. The transaction was subjected to customary closing conditions and regulatory approvals. The transaction was to include CompManagement Inc, a unit of SC.</t>
  </si>
  <si>
    <t>Bairnco Corp</t>
  </si>
  <si>
    <t>Mnfr laminates,adhesives</t>
  </si>
  <si>
    <t>BZ Acquisition Corp</t>
  </si>
  <si>
    <t>US - BZ Acquisition Corp (BZ) , a unit of WHX Corp, raised its interest to 88.9% from 15. 5%, by acquiring a 73.4% interest, or 6.91 mil common shares plus options, in Bairnco Corp (BC), a manufacturer of high- performance specialty laminates and adhesives, for a sweetened $13.5 in cash per share, or a total value of $89.113 mil, via a tender offer. Previously, BZ offered a sweetened $13.35 in cash per share. Originally, BZ offered $12 in cash per share, or a total value of $75.152 mil. The transaction, subjected to customary closing conditions and regulatory approval, was conditioned upon at least 90% of BC shares being tendered. Originally, BZ definitively agreed to acquire the remaining 84.5% interest, which it did not already own in BC.</t>
  </si>
  <si>
    <t>FCB Bancorp,Camarillo,CA</t>
  </si>
  <si>
    <t>US - National Mercantile Bancorp, Los Angeles, California (NM) merged with FCB Bancorp, Camarillo, California (FB), to form First California Financial Group Inc (FC), in a stock swap transaction valued at $27.209 mil. FB common shareholders were to receive 1.7904 FC common shares and NM shareholders were to receive 1 FC common shares per share held. Based on NM's closing stock price of $14.85 on June 14, the last full trading day prior to the announcement, each FB share was valued at $8.301. The transaction was subject to the approval of shareholders and regulatory authorities. Upon completion, NM shareholders and FB shareholders were to own 50. 5% interest and 49.5% stake in FC respectively.</t>
  </si>
  <si>
    <t>US - Koninklijke Philips Electronics NV acquired all the outstanding common stock of Intermagnetics General Corp, a manufacturer and wholesaler of superconducting magnets, for $27.5 in cash per share, or a total value of $1.18 bil. The regulatory bodies and shareholders approved the transaction.</t>
  </si>
  <si>
    <t>Venture Catalyst Inc</t>
  </si>
  <si>
    <t>Pvd gaming consulting svcs</t>
  </si>
  <si>
    <t>US - International Game Technology acquired all the outstanding common stock of Venture Catalyst Inc, a provider of business management consulting services, for $2.58 in cash per share, or a total value of $20.892 mil. The transaction had been subject to the approval of regulatory authorities.</t>
  </si>
  <si>
    <t>Altigen Communications Inc</t>
  </si>
  <si>
    <t>Ten Pine Advisors LLC</t>
  </si>
  <si>
    <t>US - Ten Pine Advisors LLC (TP) signed a Letter of Intent {LoI} to acquire Altigen Communications Inc, a manufacturer and wholesaler of server-based telecommunications systems, for a sweetened $2.03 per share, or a total value of $32.419 mil. Originally, TP offered $1.86 per share, or a total value of $28.033 mil.</t>
  </si>
  <si>
    <t>US - Illinois Tool Works acquired all the outstanding common stock of CFC International Inc, a manufacturer of chemically complex multi-layered functional coatings, for $16. 75 cash per share, or a total value of $68.869 mil. The transaction was subject to shareholder and regulatory approval.</t>
  </si>
  <si>
    <t>Liberty Partners LP</t>
  </si>
  <si>
    <t>US - Liberty Partners acquired all the outstanding common stock of Concorde Career Colleges Inc, a provider of career training services in allied health programs, for $19.8 cash per share, or a total value of $113.921 mil, in a leveraged buyout transaction. The transaction was subject to regulatory approval. The shareholders approved the transaction.</t>
  </si>
  <si>
    <t>Green Mountain Power Corp</t>
  </si>
  <si>
    <t>Northern New England Energy</t>
  </si>
  <si>
    <t>Gas exploration,prodn co</t>
  </si>
  <si>
    <t>US - Northern New England Energy Corp, a unit of Gaz Metropolitain &amp; Co LP, acquired all the outstanding common stock of Green Mountain Power Corp (GM), an electric utility, for $35 in cash per GM share, or a total value of $187.422 mil. The transaction had been subject to shareholder and regulatory approval.</t>
  </si>
  <si>
    <t>Qualmax Inc</t>
  </si>
  <si>
    <t>New World Brands Inc</t>
  </si>
  <si>
    <t>US - New World Brands Inc (NW) acquired all the outstanding common stock of Qualmax Inc (QI), an investment holding company engaged in the development and marketing of VoIP (Voice Over Internet Protocol) technology products and services, in exchange for 251. 724 mil NW common shares valued at $62.931 mil. The shares were valued based on NW's closing stock price of $0.25 on June 21, the last full trading day prior to the announcement. The transaction had been subject to closing conditions, including NW and QI shareholders approval. On completion QI were to own 86% of NW respectively.</t>
  </si>
  <si>
    <t>Farnsworth Bancorp Inc</t>
  </si>
  <si>
    <t>Sterling Banks Inc</t>
  </si>
  <si>
    <t>US - Sterling Bank New Jersey, Mount Laurel, New Jersey (SB) acquired all the outstanding common stock of Farnsworth Bancorp, Bordentown, New Jersey (FB) for $17.89 mil. SB offered $27.5 in cash or 2.25 common share or a combination of cash and common stock per FB share. The transaction was subject to an overall mix of 50% stock and 50% cash. The transaction was subject to the approval of shareholders and regulatory authorities. Upon completion, the merged entity was named SB.</t>
  </si>
  <si>
    <t>US - Anadarko Petroleum Corp (AP) acquired all the outstanding common stock of Kerr-McGee Corp, an oil and gas exploration and production company, via tender offer, for $70.5 in cash per share or a total value of $16.087 bil. The transaction had been subject to shareholder and regulatory approvals. Concurrently, AP agreed to launch a tender offer to acquire all the outstanding common stock of Western Gas Resources Inc.</t>
  </si>
  <si>
    <t>US - Anadarko Petroleum Corp (AP) acquired all the outstanding common stock of Western Gas Resources Inc, an oil and gas exploration and production company, for $61 in cash per common share, or a total value of $4.637 bil. The transaction was subject to shareholder and regulatory approvals. Concurrently, AP acquired all the outstanding common stock of Kerr-McGee Corp.</t>
  </si>
  <si>
    <t>AXCESS International Inc</t>
  </si>
  <si>
    <t>Dvlp RFID software</t>
  </si>
  <si>
    <t>Innovative Software Tech Inc</t>
  </si>
  <si>
    <t>US - Innovative Software Technologies Inc (IS) acquired all the outstanding stock of AXCESS International Inc, a developer of radio frequency identification software, in exchange for 11 mil IS common shares valued at $0.44 mil. The shares were valued based on IS' closing stock price of $0.04 on June 23, the last full trading day prior to the announcement.</t>
  </si>
  <si>
    <t>Fidelity National Title Group</t>
  </si>
  <si>
    <t>US - Fidelity National Financial Inc (FNF) completed the spin off of its 85.82% interest, or 188.442 mil common shares, in Fidelity National Title Group Inc (FNT) , to its shareholders in a transaction valued at $4.19 bil. FNF shareholders received 1.047732 FNT common shares per FNF common share held. The shares were valued based on FNT's closing stock price of $22.23 on October 24, the first full trading on which the shares were distributed. Concurrently, FNT acquired the specialty insurance business of FNF. FNF and Fidelity National Information Services Inc agreed to merge following the completion of the spin off of FNT, where FNT was to succeed the name FNF upon completion.</t>
  </si>
  <si>
    <t>Somera Communications Inc</t>
  </si>
  <si>
    <t>Whl commun equip</t>
  </si>
  <si>
    <t>Telmar Network Technology Inc</t>
  </si>
  <si>
    <t>Mnr,whl telecommun equipments</t>
  </si>
  <si>
    <t>US - Telmar Network Technology Inc, a unit of Lightyear Capital LLC 's Lightyear Fund LP subsidiary, acquired all the outstanding common stock of Somera Communications Inc, a provider of telecommunications carriers with a broad range of infrastructure equipment and related services, for $4.6 in cash per share, or a total value of $42.316 mil. The transaction had been subject to shareholders approval.</t>
  </si>
  <si>
    <t>Hector Acquisition Corp</t>
  </si>
  <si>
    <t>US - Hector Acquisition Corp merged with Hector Communications Corp, a provider of telecommunications services, for $36.4 in cash per share, or a total value of $155.385 mil. The transaction was subject to regulatory approvals and conditioned upon the completion of Alltel Corp's acquisition of Midwest Wireless Holdings LLC.</t>
  </si>
  <si>
    <t>US - Citizens Banking Corporation (CB) merged with Republic Bancorp Inc, Owosso, MI, (RB) a bank holding company, for $1.052 bil. The consideration was to consist of approximately $155 mil in cash and 33.2 mil common shares valued at $897.396 mil. The shares were valued based on CB's closing stock price of $27.03 on June 26, 2006, the last full trading day prior to the announcement. Upon completion, the new entity was to be called Citizens Republic Bancorp.</t>
  </si>
  <si>
    <t>Umbrella Holdings LLC</t>
  </si>
  <si>
    <t>US - Umbrella Holdings LLC, a SPV formed by Saban Capital Group Inc, Madison Dearborn Capital Partners (MDC), Providence Equity Partners LLC (PEP), Texas Pacific Group Inc (TPG) and Thomas H Lee &amp; Co (THL), acquired all the outstanding common stock of Univision Communications Inc (UC), an owner and operator of Spanish television stations, for a total value of $13.511 bil, via an auction. The consideration consisted of $36.25 in cash per share, or a total value of $12.111 bil, and the assumption of $1.4 bil in liabilities. The transaction had been subject to regulatory approvals. Originally, in February 2006, UC announced that it was seeking a buyer for itself. Grupo Televisa SA, Venevision, Bain Capital Partners LLC, Blackstone Management Associates LLC, Carlyle Investment Management LLC, Cascade Investment LLC, and Kohlberg Kravis Roberts &amp; Co LP, were the first group of potential bidders. Haim Saban, MDC, THL, PEP, and TPG, were the second group of potential bidders. Previously, News Corp, Time Warner Inc, and CBS Corp, were named potential bidders.</t>
  </si>
  <si>
    <t>Capital Partners Inc</t>
  </si>
  <si>
    <t>US - Capital Partners Inc withdrew its plans to launch an unsolicited tender offer to acquire all the outstanding common stock of Highwoods Properties Inc (HP), a real estate investment trust, for $36 per HP common share, or a total value of $4. 01 bil, including the assumption of $2 bil in liabilities, in a leveraged buyout transaction.</t>
  </si>
  <si>
    <t>Valley Bancorp</t>
  </si>
  <si>
    <t>Community Bancorp NV</t>
  </si>
  <si>
    <t>US - Community Bancorp NV (CB) acquired all the outstanding common stock of Valley Bancorp, a bank holding company, for an estimated $137 mil in cash and CB common shares, subject to a collar agreement. The transaction had been subject to customary closing conditions and shareholder and regulatory approvals.</t>
  </si>
  <si>
    <t>RSA Security Inc</t>
  </si>
  <si>
    <t>Dvlp enterprise sec software</t>
  </si>
  <si>
    <t>US - EMC Corp acquired all the outstanding common stock of RSA Security Inc, a developer and manufacturer of enterprise security software, online enterprise network and data security products, for $28 in cash per share, or a total value of $2.337 bil. The transaction was subjected to customary closing conditions and regulatory approval.</t>
  </si>
  <si>
    <t>UnionBancorp Inc,Ottawa,IL</t>
  </si>
  <si>
    <t>US - UnionBancorp Inc, Ottawa, Illinois (UO) acquired all the outstanding common stock of Centrue Financial Corp, Kankakee, Illinois (CF), a saving and loan company, in a stock swap merger of equals transaction valued at $54.02 mil. UO offered 1.2 common shares per CF share. Based on UO's closing stock price of $20.1 on June 29, the last full trading day prior to the announcement, each CF share was valued at $ 24.12. The transaction had been subject to regulatory approvals and customary closing conditions. On completion, the merged entity was to retain the name CF.</t>
  </si>
  <si>
    <t>Blackstone Capital Partners V</t>
  </si>
  <si>
    <t>US - Blackstone Capital Partners V LP, a unit of Blackstone Group LP, merged with Encore Medical Corp, a manufacturer of orthopedic products and supplies, for $6. 55 in cash per share, or a total value of $472.285 mil, in a leveraged buyout transaction. The transaction was subject to customary closing conditions, shareholders and regulatory approval.</t>
  </si>
  <si>
    <t>Michaels Stores Inc</t>
  </si>
  <si>
    <t>Own,op arts,crafts stores</t>
  </si>
  <si>
    <t>Michael's Stores SPV</t>
  </si>
  <si>
    <t>US - Michael's Stores SPV, an SPV formed by Bain Capital LLC and Blackstone Group LP, acquired all the outstanding common stock of bankrupt Michaels Stores Inc (MS), an owner and operator of arts and crafts retail stores, for $44 in cash per share, or a total value of $6.046 bil, via an auction in a leveraged buyout transaction. Upon completion, Bain Capital and Blackstone Group was to own equal shares in MS. Originally, in March 2006, MS announced that it was exploring strategic alternatives, including seeking a buyer for the company. The transaction was subject to regulatory and MS shareholder approval.</t>
  </si>
  <si>
    <t>Woodhead Industries Inc</t>
  </si>
  <si>
    <t>Mnfr network,electrical prod</t>
  </si>
  <si>
    <t>US - Molex Inc completed its tender offer to acquire all the outstanding common stock of Woodhead Industries Inc (WI), a manufacturer of network and electrical infrastructure products, for $19.25 in cash per share, or a total value of $238.82 mil. The transaction, subject to the approval of regulatory authorities, was conditioned upon at least 90% of WI's shares being tendered.</t>
  </si>
  <si>
    <t>Summit Bancshares Inc</t>
  </si>
  <si>
    <t>US - Cullen/Frost Bankers Inc (CF) merged with Summit Bancshares Inc, for an estimated $363.4 mil. The consideration consisted of an estimated $143.4 mil in cash and an estimated 3.84 mil common shares valued at $220 mil. The shares were valued based on CF's closing stock price of $57.3 on June30, the last full trading day prior to the announcement.</t>
  </si>
  <si>
    <t>Valassis Communications Inc</t>
  </si>
  <si>
    <t>US - Valassis Communications Inc (VC) acquired all the outstanding common stock of ADVO Inc (ADVO), a provider of direct mail advertising and marketing services, for $33 in cash per share, or a total value of $1.191 bil. Originally, VC offered $37 in cash per share, or a total value of $1.194 bil, including the assumption of $125 mil in liabilities, but terms were amended. The transaction had been subject to ADVO shareholders and regulatory approval and other customary conditions.</t>
  </si>
  <si>
    <t>CD &amp; L Inc</t>
  </si>
  <si>
    <t>Velocity Express Inc</t>
  </si>
  <si>
    <t>Provide courier svc</t>
  </si>
  <si>
    <t>US - Velocity Express Corp (VE) acquired the remaining 51% interest, which it did not already own, in CD &amp; L Inc, a provider of courier services, for $3 in cash per share, or a total value of $22.006 mil. Upon completion, the merged entity retained the name VE. The transaction was subject to shareholders approval.</t>
  </si>
  <si>
    <t>Duquesne Light Holdings</t>
  </si>
  <si>
    <t>Castor Holdings LLC</t>
  </si>
  <si>
    <t>US - Castor Holdings LLC, a special purpose finance co including Macquarie Infrastructure Partners, a unit of Macquarie Bank Ltd, Diversified Utility &amp; Energy Trusts, a majority-owned unit of AMP Ltd's AMP Life Ltd subsidiary, and Industry Funds Management Pty Ltd, acquired all the outstanding common stock of Duquesne Light Holdings Inc, an electric utility holding company, for $20 in cash per share, or a total value of $2. 829 bil, including the assumption of an estimated $1. 26 bil in liabilities. The transaction had been subject to regulatory approvals and customary closing conditions.</t>
  </si>
  <si>
    <t>Ramius Capital Group LLC</t>
  </si>
  <si>
    <t>US - Ramius Capital Group LLC withdraw its plans to launch a tender offer to acquire 22. 807 mil common shares, or 90% interest, which it did not already own, in Phoenix Technologies Ltd, a developer of systems and chip level software, for $5.05 in cash per share, or a total value of $118.121 mil.</t>
  </si>
  <si>
    <t>Peoples Energy Corp</t>
  </si>
  <si>
    <t>US - WPS Resources Corp (WR) acquired all the outstanding common stock of Peoples Energy Corp (PE), an electric and gas utility, in a stock swap transaction valued at $1. 589 bil. WR offered .825 shares per PE share. Based on WR's closing stock price of $50.17 on July 5, the last full trading day prior to announcement, each PE share was valued at $41.39. The transaction was subject to customary closing conditions and regulatory approvals. Upon completion, the merged entity was to be 57.6% and 43. 2% owned by WR and PE respectively. Upon completion, the merged entity was named Integrys Energy Inc.</t>
  </si>
  <si>
    <t>AmerUS Group Co</t>
  </si>
  <si>
    <t>Aviva PLC</t>
  </si>
  <si>
    <t>US - Aviva PLC (AP) acquired all the outstanding common stock, of AmerUS Group Co (AG) , an insurance company, for $69 in cash per share or a total value of $2.78 bil. The transaction was approved by regulatory authorities. AP was delisted from the New York Stock Exchange. Originally, in January 2006, AP discontinued rumors that it was planning to acquire all the outstanding common shares of AG.</t>
  </si>
  <si>
    <t>Primedex Health Systems Inc</t>
  </si>
  <si>
    <t>US - Primedex Health Systems Inc (PH) acquired all the outstanding common stock of Radiologix Inc (RI), an owner and operator of operate diagnostic imaging centers, for $3.59 in cash and common stock per share, or a total value of an estimated $213. 871 mil, including the assumption of an estimated $68.262 mil in liabilities. PH offered $1.84 cash per RI share, and 1 common stock per RI common share. The transaction had been subject to customary closing conditions and regulatory approvals. On completion, PH was named Radnet Inc.</t>
  </si>
  <si>
    <t>Cascade Natural Gas Corp</t>
  </si>
  <si>
    <t>MDU Resources Group Inc</t>
  </si>
  <si>
    <t>Electric,gas utilty company</t>
  </si>
  <si>
    <t>US - MDU Resources Group Inc acquired all the outstanding common stock of Cascade Natural Gas Corp (CN), a provider of natural gas transportation and distribution services, for an estimated $475 mil. The consideration was consisted of $26.5 in cash per share, or a total value of $304.259 mil and the assumption of $170.74 mil in liabilities. The transaction has been subjected to customary closing conditions, CN shareholder and regulatory approvals.</t>
  </si>
  <si>
    <t>Heritage Ppty Invest Trust Inc</t>
  </si>
  <si>
    <t>Centro Properties Group</t>
  </si>
  <si>
    <t>Real estate invest,dvlp trust</t>
  </si>
  <si>
    <t>US - Centro Properties Group acquired all the outstanding common stock of Heritage Property Investment Trust, a real estate investment trust, for $36.15 cash per share or a total value of $1.753 bil.</t>
  </si>
  <si>
    <t>Harbor Florida Bancshares Inc</t>
  </si>
  <si>
    <t>US - National City Corp (NC), Cleveland, Ohio acquired all the outstanding common stock of Harbor Florida Bancshares Inc (HF), Fort Pierce, Florida, for $45 in NC common share per HF share, or a total value of $1.111 bil. The transaction was subject to the approval of the shareholders and regulatory authorities.</t>
  </si>
  <si>
    <t>US - Kimco Realty Corp (KR) acquired all the outstanding common stock of Pan Pacific Retail Corp, a real estate investment trust, for USD 70 per share, or a total value of USD 3.954 bil, including the assumption of an estimated USD 1.1 bil in liabilities. KR offered USD 60 in cash per share and USD 10 in newly issued common stock. The transaction was subject to customary closing conditions and shareholder approval.</t>
  </si>
  <si>
    <t>Foot Locker Inc</t>
  </si>
  <si>
    <t>Ret athletic footwear,apparel</t>
  </si>
  <si>
    <t>US - In July 2006, Foot Locker Inc, a retailer of athletic footwear and apparel, announced that it was seeking a buyer for the company. Kohlberg Kravis Roberts &amp; Co was named as potential bidder.</t>
  </si>
  <si>
    <t>MortgageIT Holdings Inc</t>
  </si>
  <si>
    <t>Pvd mtg lending,ret svcs</t>
  </si>
  <si>
    <t>US - Deutsche Bank AG acquired all the outstanding common stock of MortgageIT Holdings Inc, a provider of mortgage lending services, for $14.75 in cash, or a total value of $429.036 mil. The transaction had been subject to regulatory approvals and customary closing conditions.</t>
  </si>
  <si>
    <t>Rover Acquisition Corp</t>
  </si>
  <si>
    <t>US - Rover Acquisition Corp, comprised of Green Equity Investors (GEI) and Texas Pacific Group Inc (TP), acquired all the outstanding common stock of Petco Animal Supplies Inc (PA), an owner and operator of pet stores, for $29 in cash per share or a total of $1.658 bil in a going private transaction. The transaction was subject to regulatory approval. The shareholders duly approved the transaction. The private equity houses of GEI and TP first bought PA in 2000 and floated the company less than two years later.</t>
  </si>
  <si>
    <t>Superior Galleries Inc</t>
  </si>
  <si>
    <t>Ret,whl rare coins</t>
  </si>
  <si>
    <t>DGSE Cos Inc</t>
  </si>
  <si>
    <t>Ret,whl jewelry,diamonds</t>
  </si>
  <si>
    <t>US - DGSE Cos Inc (DC), through its wholly owned DGSE Merger Corp unit, acquired all the outstanding common stock of Superior Galleries Inc (SG), a retailer and wholesaler of rare coins and fine collectibles, in exchange for an estimated 7. 368 mil DC common shares valued at $18.716 mil. The shares were valued based on DC's closing stock price of $2.54 on July 13, the last full trading day prior to announcement. The transaction had been subject to customary closing conditions. On completion of the reverse takeover transaction, SG shareholders were to own 60% of DC respectively.</t>
  </si>
  <si>
    <t>Texas United Bancshares,TX</t>
  </si>
  <si>
    <t>US - Prosperity Bancshares Inc (PB) in Houston, Texas merged with Texas United Bancshares Inc (TU) in La Grange, Texas, a bank holding company, in a stock swap transaction valued at $353. 235 mil. PB offered 1 common share per TU share. Based on PB's closing stock price of $32.24 on July 18, the last full trading day prior to the announcement, each TU share was valued at $32.24. The transaction had been subject to shareholder and regulatory approval.</t>
  </si>
  <si>
    <t>Mnfr,ret educational prod</t>
  </si>
  <si>
    <t>ELC Acquisition Corp</t>
  </si>
  <si>
    <t>US - ELC Acquisition Corp, a unit of Thoma Cressey Equity Partners' ELC Holding Corp subsidiary, acquired all the outstanding common stock of Excelligence Learning Corp, a manufacturer and retailer of educational products, from Mediagrif Interactive Technologies Inc's Flow System Corp subsidiary, for $13 in cash per share, or a total value of $125.408 mil, in a going private transaction. The transaction was subject to the approval of regulatory authorities.</t>
  </si>
  <si>
    <t>Niagara Corp</t>
  </si>
  <si>
    <t>Mnfr cold drawn steel bars</t>
  </si>
  <si>
    <t>KNIA Holdings Inc</t>
  </si>
  <si>
    <t>US - KNIA Holdings Inc acquired all the outstanding common stock of Niagara Corp, a manufacturer of cold drawn steel bars, for $16 in cash per share, or a total value of $131.824 mil. The transaction had been subject to customary closing conditions, shareholder and regulatory approval.</t>
  </si>
  <si>
    <t>DirecTV Group Inc</t>
  </si>
  <si>
    <t>Pvd digital TV svcs</t>
  </si>
  <si>
    <t>US - EchoStar Communications Corp was rumored to be planning to merge with DirecTV Group Inc, a provider of digital television entertainment, broadband satellite networks, and global video and data broadcasting services. The Current status of this deal is unknown.</t>
  </si>
  <si>
    <t>Newkirk Realty Trust Inc</t>
  </si>
  <si>
    <t>Lexington Corporate Ppty Trust</t>
  </si>
  <si>
    <t>US - Lexington Corporate Properties Trust (LC) acquired all the outstanding common stock of Newkirk Realty Trust Inc (NR), a real estate investment trust company, in a stock swap transaction valued at $396.8 mil. LC offered .8 common shares per NR share. Based on LC's closing stock price of $25.6 on July 24, the last full trading day prior to the announcement, each NR share was valued at $20.48. The transaction was subject to the approval of regulatory authorities. Upon completion, the merged entity was to be named Lexington Realty Trust (LR), Subsequently, NR shareholders were to own 46. 8% and LC shareholders were to own 53.2% interest in LR.</t>
  </si>
  <si>
    <t>Applica Inc</t>
  </si>
  <si>
    <t>Mnfr,whl elec appliances</t>
  </si>
  <si>
    <t>NACCO Industries Inc</t>
  </si>
  <si>
    <t>US - NACCO Industries Inc (NI) withdrew its tender offer to acquire all the outstanding common stock of Applica Inc (AI), a manufacturer and wholesaler of electrical appliances, for a fifth-time sweetened $8.05 in cash per share, or a total value of $364.211, including the assumption of $163 mil in liabilities. The transaction was subject to customary closing conditions. Previously, NI offered a fourth-time sweetened $7.9 in cash per share, or a total value of $360.461 mil. Previously, NI offered a thrice sweetened $7.75 in cash per share, or a total value of $356.712 mil. Previously, NI offered a twice sweetened $7.50 in cash per share, or a total value of $350.463 mil. Previously, NI offered a sweetened $7 in cash per share, or a total value of $337.966 mil. Previously, NI offered $6.50 in cash per share, or a total value of $325.468 mil. Originally, Hamilton Beach/ Proctor-Silex Inc, a unit of NI, definitively agreed to merge with AI. Subsequently, an investor group, planned to launch a tender offer to acquire AI.</t>
  </si>
  <si>
    <t>HCA Inc</t>
  </si>
  <si>
    <t>Hercules Acquisition Corp</t>
  </si>
  <si>
    <t>US - Hercules Acquisition Corp, an SPV formed by Bain Capital Inc, Kohlberg Kravis Roberts &amp; Co, Merrill Lynch Global Private Equity, a unit of Merrill Lynch &amp; Co Inc, and HCA Inc (HCA) founder Dr. Thomas F. Frist, acquired all the outstanding common stock of HCA, an owner and operator of general and acute care hospitals, for $51 in cash per share, or total value of $32.919 bil, including the assumption of approximately $11.7 billion in liabilities, in a leveraged buyout transaction. The transaction was subject to shareholder's approval and customary closing conditions. Originally, in July 2006, HCA announced that it was seeking a buyer for the company.</t>
  </si>
  <si>
    <t>Mercury Interactive Corp</t>
  </si>
  <si>
    <t>US - Hewlett-Packard Co completed its tender offer to acquire all the outstanding common stock of Mercury Interactive Corp, a developer of integrated performance management solutions software, for $52 in cash per share, or a total value of $4.51 bil. The transaction was subject to regulatory approvals and customary closing conditions.</t>
  </si>
  <si>
    <t>Ryan's Restaurant Group Inc</t>
  </si>
  <si>
    <t>Own,operates restaurants</t>
  </si>
  <si>
    <t>US - Buffets Inc (BI) acquired all the outstanding common stock of Ryan's Restaurant Group Inc, an owner and operator of restaurants, for $16.25 in cash per common share, or a total value of $703.431 mil, including the assumption of an undisclosed amount in liabilities. The transaction had been subject to shareholders, regulatory approvals and customary closing conditions.</t>
  </si>
  <si>
    <t>Francisco Partners LP</t>
  </si>
  <si>
    <t>US - Francisco Partners LP acquired all the outstanding common stock of WatchGuard Technologies Inc, a developer of comprehensive Internet security software, for $4.25 cash per share, or a total value of $149.495 mil in a going private transaction. The transaction had been subject to shareholder and regulatory approval.</t>
  </si>
  <si>
    <t>US - Blackstone Group LP discontinued rumors that it was planning to launch a challenging bid to acquire all the outstanding common stock of HCA Inc (HI), an owner and operator hospitals. Previously, an investor group comprised of Bain Capital, Kohlberg Kravis Roberts &amp; Co, Merrill Lynch Global Private Equity, a unit of Merrill Lynch &amp; Co Inc, and HCA Inc (HCA) founder Dr. Thomas F Frist, definitively agreed to acquire all the outstanding common stock of HI,</t>
  </si>
  <si>
    <t>Featherlite  Inc</t>
  </si>
  <si>
    <t>Mnfr alum trailers</t>
  </si>
  <si>
    <t>Universal Trailer Holdings</t>
  </si>
  <si>
    <t>US - Universal Trailer Holdings Corp, a unit of Dublin Clark &amp; Co, acquired all the outstanding common stock of Featherlite Inc (FI), a manufacturer of aluminum trailers, for $6.5 in cash per FI common share, or a total value of $100.991 mil, including the assumption of $29.1 mil in liabilities, in a leveraged buyout transaction. The transaction had been subject to customary closing conditions, shareholder and regulatory approvals. Concurrently, Featherlite Coaches Inc, a special purpose vehicle formed by FI's CEO and President Conrad Clement, EVP Tracy Clement and Bulk Resources Inc, definitively agreed to acquire the motorcoach division of FI.</t>
  </si>
  <si>
    <t>Fidelity Bankshares Inc,FL</t>
  </si>
  <si>
    <t>US - National City Corp, Cleveland, Ohio (NC) definitively agreed to acquire all the outstanding common stock of Fidelity Bankshares Inc, West Palm Beach, Florida (FB), a bank holding company, in a stock swap transaction valued at $1. 045 bil. NC offered a choice of 1.0977 shares per FB share, or $39.5 in cash per FB share, subject to proration, whereby 50% of the total consideration was to be paid in cash and 50% in common shares. Based on NC's closing stock price of $36.74 on July 26, the last full trading day prior to announcement, each FB share was valued at $40.32. The transaction was subject to regulatory and FB shareholder approval.</t>
  </si>
  <si>
    <t>Pocahontas Bancorp,AR</t>
  </si>
  <si>
    <t>US - IBERIABANK Corp, New Iberia, Louisiana (IC), acquired all the outstanding common stock of Pocahontas Bancorp Inc (PB), located in Jonesboro, Arkansas, in a stock swap transaction valued at $76.29 mil. IC offered 0. 2781 common shares per PB share. Based on IC's closing stock price on July 26, the last full trading day prior to the announcement, each IC share was valued at $16.436. The transaction had been subject to PB shareholders and regulatory approvals.</t>
  </si>
  <si>
    <t>MAI Systems Corp</t>
  </si>
  <si>
    <t>Mnfr mini,micro computers</t>
  </si>
  <si>
    <t>SoftBrands Inc</t>
  </si>
  <si>
    <t>Dvlps,whl entrp software</t>
  </si>
  <si>
    <t>US - SoftBrands Inc (SI) acquired all the outstanding common stock of MAI Systems Corp, a manufacturer of mini- and microcomputers, for $27 mil. The consideration consisted of $19.8 mil in cash, the assumption of $6.2 mil in liabilities and $1 mil in SI common shares. The transaction had been subject to customary closing conditions and shareholder approvals.</t>
  </si>
  <si>
    <t>Central National Bank,Lynchbur</t>
  </si>
  <si>
    <t>Blue Ridge Bank NA,Floyd,Va</t>
  </si>
  <si>
    <t>US - Blue Ridge Bank NA (BR), Floyd, Virginia, merged with Central National Bank, Lynchburg, Virginia. The merged entity was to be named Carter Bank &amp; Trust. Concurrently, BR merged with Mountain National Bank, Galax, Virginia; Community National Bank, South Boston Virginia; First National Exchange Bank, Roanoke, Virginia; Patrick Henry National Bank, Martinsville, Virginia; Patriot Bank, Fredericksburg, Virginia; Peoples National Bank, Danville, Virginia; and Shenandoah National Bank, Staunton, Virginia.</t>
  </si>
  <si>
    <t>Cmnty Natl Bank,South Boston,V</t>
  </si>
  <si>
    <t>US - Blue Ridge Bank NA (BR), Floyd, Virginia, definitively agreed to merge with Community National Bank, South Boston Virginia. The transaction was subject to customary closing conditions and regulatory approvals. Upon completion, the merged entity was to be named Carter Bank &amp; Trust. Concurrently, BR definitively agreed to merge with Mountain National Bank, Galax, Virginia; Central National Bank, Lynchburg, Virginia; First National Bank, Rocky Mount, Virginia; First National Exchange Bank, Roanoke, Virginia; Patrick Henry National Bank, Martinsville, Virginia; Patriot Bank, Fredericksburg, Virginia; Peoples National Bank, Danville, Virginia; and Shenandoah National Bank, Staunton, Virginia.</t>
  </si>
  <si>
    <t>First Natl Bank,Rocky Mount,VA</t>
  </si>
  <si>
    <t>US - Blue Ridge Bank NA (BR), Floyd, Virginia, merged with First National Bank, Rocky Mount, Virginia. The merged entity was to be named Carter Bank &amp; Trust. Concurrently, BR merged with Mountain National Bank, Galax, Virginia; Central National Bank, Lynchburg, Virginia; Community National Bank, South Boston Virginia; First National Exchange Bank, Roanoke, Virginia; Patrick Henry National Bank, Martinsville, Virginia; Patriot Bank, Fredericksburg, Virginia; Peoples National Bank, Danville, Virginia; and Shenandoah National Bank, Staunton, Virginia.</t>
  </si>
  <si>
    <t>Mountain National Bank,Galax,V</t>
  </si>
  <si>
    <t>US - Blue Ridge Bank NA (BR), Floyd, Virginia, merged with Mountain National Bank, Galax. The merged entity was to be named Carter Bank &amp; Trust. Concurrently, BR merged with Central National Bank, Lynchburg, Virginia; Community National Bank, South Boston Virginia; First National Bank, Rocky Mount, Virginia; First National Exchange Bank, Roanoke, Virginia; Patrick Henry National Bank, Martinsville, Virginia; Patriot Bank, Fredericksburg, Virginia; Peoples National Bank, Danville, Virginia; and Shenandoah National Bank, Staunton, Virginia.</t>
  </si>
  <si>
    <t>US - International Business Machines Corp {IBM Corp} acquired all the outstanding common stock of MRO Software Inc (MRO), a developer of asset management software, for $25.8 in cash per share, or a total value of $765.613 mil. The transaction had been subject to regulatory, MRO shareholder approvals, and customary closing conditions.</t>
  </si>
  <si>
    <t>Reckson Associates Realty Corp</t>
  </si>
  <si>
    <t>SL Green Realty Corp</t>
  </si>
  <si>
    <t>US - SL Green Realty Corp (SL) acquired all the outstanding common stock of Reckson Associates Realty Corp (RA), a real estate investment trust, for $43.313 per share, or a total value of $5.630 bil. SL offered $31. 68 in cash and 0.10387 common shares per RA share. The transaction was subject to regulatory, RA shareholders approval, and customary closing conditions. Concurrently, a management- led investor group, including Marathon Asset Management, agreed to acquire RA's Long Island assets, 13 properties in New York's Westchester County, 20 office properties and 3 parcels in New Jersey, and RA's Reckson New York Property Trust in Australia. Subsequently, an investor group, comprised of Mr. Harry Macklowe and Mr. Carl Icahn, planned to launch a challenging tender offer to acquire all the outstanding common stock of RA, for $49 in cash per share, or a total value of $4.104 bil.</t>
  </si>
  <si>
    <t>Opinion Research Corp</t>
  </si>
  <si>
    <t>Pvd comml market research svcs</t>
  </si>
  <si>
    <t>US - InfoUSA Inc acquired all the outstanding common stock of Opinion Research Corp, a provider of commercial market research services, for $12 in cash per share, or a total value of $75.966 mil.</t>
  </si>
  <si>
    <t>Republic Cos Group Inc</t>
  </si>
  <si>
    <t>Delek Capital Ltd</t>
  </si>
  <si>
    <t>US - Delek Capital Ltd, a unit of Delek Group Ltd, acquired all the outstanding stock of Republic Cos Group Inc (RC), an insurance agency, for $20.4 in cash per share, or a total value of $289.934 mil. The transaction had been subject to regulatory and RC shareholders approval, and customary closing conditions.</t>
  </si>
  <si>
    <t>Intl Gaming &amp; Ent LLC</t>
  </si>
  <si>
    <t>US - International Gaming &amp; Entertainment LLC, a special purpose vehicle formed by BT Enterprises LLC, withdrew its plans to launch a challenging tender offer to acquire all the outstanding common stock of Riviera Holdings Corp (RH), an owner and operator of hotels, for $20 per RH common share, or a total value of $254.066 mil. The transaction was subject to regulatory and shareholder approvals. Previously, Riv Acquisition Holdings Inc definitively agreed to acquire RH. Subsequently, an investor group, comprised of Ian Bruce Eichner and DE Shaw &amp; Co LP, planned to launch a challenging tender offer to acquire all the outstanding common stock of RH.</t>
  </si>
  <si>
    <t>CommScope Inc</t>
  </si>
  <si>
    <t>Manufacture coaxial cable</t>
  </si>
  <si>
    <t>US - CommScope Inc withdrew its plans to launch a challenging offer to acquire all the outstanding common stock of Andrew Corp (AC), a manufacturer and wholesaler of communication equipment, for $9.5 in cash per share, or total value of $1.703 bil, including the assumption of an estimated $186 mil in liabilities. The transaction was subject to customary closing conditions, and shareholder and regulatory approvals. Previously, ADC Telecommunications Inc definitively agreed to acquire all the outstanding common stock of AC.</t>
  </si>
  <si>
    <t>US - An investor group, led by Jeffrey Steiner, the Chairman and CEO of Fairchild Corp (FC), Philip Sassower and FA Holdings LLC, withdrew its plans to acquire all the outstanding common stock of FC, a manufacturer of aircraft and aircraft parts, for $2.73 in cash per share, or a total value of $68.882 mil, in a leveraged buyout transaction.</t>
  </si>
  <si>
    <t>EM Warburg Pincus &amp; Co Inc</t>
  </si>
  <si>
    <t>US - EM Warburg Pincus &amp; Co Inc was rumored to be planning to acquire all the outstanding common stock of HCA Inc, an owner and operator of general and acute care hospitals.</t>
  </si>
  <si>
    <t>Loudeye Corp</t>
  </si>
  <si>
    <t>Prvds audio and video ecoding</t>
  </si>
  <si>
    <t>US - Nokia Oyj acquired all the outstanding common stock of Loudeye Corp (LC), a provider of audio and video encoding services, for $4.5 in cash per share, or a total value of $126.904 mil. The transaction was subjected to customary closing conditions, LC shareholders and regulatory approvals.</t>
  </si>
  <si>
    <t>Brocade Commun Sys Inc</t>
  </si>
  <si>
    <t>Develop data commune software</t>
  </si>
  <si>
    <t>US - Brocade Communications Systems Inc (BC) merged with McDATA Corp (MC), a developer of enterprise software and storage systems, in a stock swap transaction valued at $808.542 mil. BC offered 0.75 common shares per MC share. Based on BC's closing stock price of $6.25 on August 4, the last full trading day prior to the announcement, each MC share was valued at $4.688. The transaction was subject to regulatory approvals.</t>
  </si>
  <si>
    <t>US - Rent-A-Center Inc acquired all the outstanding common stock of Rent-Way Inc (RW), an owner and operator of rental-purchase stores, for $10.65 in cash per share, or a total value of $324.079 mil including the assumption of undisclosed amount in liabilities. The transaction was subject to customary closing conditions, regulatory and RW's shareholder approval.</t>
  </si>
  <si>
    <t>Aleris International Inc</t>
  </si>
  <si>
    <t>Own,op aluminum recycling ctrs</t>
  </si>
  <si>
    <t>US - Texas Pacific Group Inc acquired all the outstanding common stock of Aleris International Inc, an owner and operator of aluminum recycling centers, for $3.307 bil. The consideration consisted of $52.5 in cash per share, or a total value of $1.639 bil and the assumption of $1.6 bil in liabilities. The transaction had been subject to customary closing conditions, including regulatory approvals.</t>
  </si>
  <si>
    <t>RR Donnelley &amp; Sons Co</t>
  </si>
  <si>
    <t>Pvd printing,publishing svcs</t>
  </si>
  <si>
    <t>US - In August 2006, RR Donnelly &amp; Sons Co, a provider of magazine printing services, announced that it was seeking a buyer for the company. An investor group including Madison Dearborn Partners LLP, Thomas H. Lee Partners LP and Carlyle Group, and another one including Blackstone Group LP and Texas Pacific Group, were named potential bidders.</t>
  </si>
  <si>
    <t>Universal Computer Systems Inc</t>
  </si>
  <si>
    <t>US - Universal Computer Systems Inc merged with Reynolds &amp; Reynolds Co (RR), a provider of integrated hardware, software and data communications systems, e- commerce services, consulting and training services, for $40 in cash per share, or a total value of $2.549 bil and including the assumption of an undisclosed amount in liabilitites. The transaction had been subject to customary closing conditions, shareholders and regulatory approvals. On completion, the merged entity was renamed RR.</t>
  </si>
  <si>
    <t>Saxon Capital Inc</t>
  </si>
  <si>
    <t>US - Morgan Stanley definitively acquired all the outstanding common stock of Saxon Capital Inc, a mortgage bank, for $14.1 in cash per share, or a total value of $706.155 mil. The transaction was subject to shareholder and regulatory approvals.</t>
  </si>
  <si>
    <t>Sizeler Property Investors Inc</t>
  </si>
  <si>
    <t>Revenue Properties Co Ltd</t>
  </si>
  <si>
    <t>Construct nonresidential bldgs</t>
  </si>
  <si>
    <t>US - Revenue Properties Co Ltd (RP), a unit of Morguard Corp, acquired the remaining 94.4% interest, or 20.253 mil common shares, which it did not already own, in Sizeler Property Investors Inc, a real estate investment trust, for $15.244 per share, or a total value of $308.731 mil. RP offered $15.1 in cash, and $0.144 cash dividend per share. The transaction had been subject to shareholders approval and customary closing conditions.</t>
  </si>
  <si>
    <t>FileNet Corp</t>
  </si>
  <si>
    <t>US - International Business Machines Corp {IBM Corp} acquired all the outstanding common stock of FileNet Corp, a developer of enterprise content management solutions software, for $35 in cash per share, or a total value of $1. 565 bil. The transaction was subject to shareholder and regulatory approvals, and customary closing conditions.</t>
  </si>
  <si>
    <t>US - RBC Centura Banks Inc (RC), Rocky Mount, North Carolina, a wholly owned unit of Royal Bank of Canada, acquired all the outstanding stock of FLAG Financial Corp (FF), a bank holding company, for $25.5 per share, or a total value of $459.6 mil. The transaction had been subject to customary closing conditions, FF shareholders and regulatory approvals.</t>
  </si>
  <si>
    <t>Mnfr drug screening prods</t>
  </si>
  <si>
    <t>US - Collegiate Pacific Inc definitively agreed to acquire the remaining 46.8% stake, or 4.173 mil common shares, which it did not already own, in Sport Supply Group Inc, a wholesaler and retailer of sporting goods, for $8.80 per share, or a total value of $ 36.724 mil.</t>
  </si>
  <si>
    <t>Zomax Inc</t>
  </si>
  <si>
    <t>ComVest Investment Partners</t>
  </si>
  <si>
    <t>US - ComVest Investment Partners acquired all the outstanding common stock of Zomax Inc, a developer of supply chain solutions software, for $2.09 in cash per share, or a total value of $69.892 mil, in a leveraged buyout transaction. The transaction was subject to the approval of regulatory authorities.</t>
  </si>
  <si>
    <t>Banta Corp</t>
  </si>
  <si>
    <t>Pvd printing,supply mgmt svcs</t>
  </si>
  <si>
    <t>Cenveo Inc</t>
  </si>
  <si>
    <t>Pvd print,visual commun svcs</t>
  </si>
  <si>
    <t>US - Cenveo Inc (CE) withdrew its plans to launch an unsolicited hostile tender offer to acquire all the outstanding common stock of Banta Corp, a printing and digital imaging solutions, for a sweetened $50 in cash per share, or a total value of $1.23 bil. The transaction was subject to regulatory and shareholders approval. Previously, CE offered a sweetened $47 in cash per share, or a total of $1.182 bil. Originally, CE offered $46 in cash per share, or a total value of $1.133 bil.</t>
  </si>
  <si>
    <t>Micro Linear Corp</t>
  </si>
  <si>
    <t>Sirenza Microdevices Inc</t>
  </si>
  <si>
    <t>Mnfr radio frequency component</t>
  </si>
  <si>
    <t>US - Sirenza Microdevices Inc (SM) acquired all the outstanding common stock of Micro Linear Corp (ML), a manufacturer of integrated circuits, in a stock swap transaction valued at $41.657 mil. SM offered 0.365 common shares per ML share. Based on SM's closing stock price of $8.72 on August 11, the last full trading day prior to the announcement, each ML share was valued at $3.183. The transaction was subject to customary closing conditions, ML shareholder and regulatory approvals.</t>
  </si>
  <si>
    <t>Tripath Imaging Inc</t>
  </si>
  <si>
    <t>Mnfr cancer detection prod</t>
  </si>
  <si>
    <t>US - Becton Dickinson &amp; Co {BD} acquired the remaining 93.5% interest, which it did not already own, in TriPath Imaging Inc (TI), a manufacturer of cancer detection products, for $9.25 in cash per share, or a total value of $387.551 mil. The transaction had been subject to due diligence completion, regulatory and TI's board approval.</t>
  </si>
  <si>
    <t>Pesticide and Other Agricultural Chemical Manufacturing</t>
  </si>
  <si>
    <t>US - Monsanto Co acquired all the outstanding common stock of Delta &amp; Pine Land Co, owner and operator of cotton planting seeds and soybean seeds farms, for $42 in cash per share, or a total value of $1.577 bil. The transaction had been subject to shareholder and regulatory approvals, and customary closing conditions.</t>
  </si>
  <si>
    <t>Optical Cable Corp</t>
  </si>
  <si>
    <t>Mnfr fiber optic cables</t>
  </si>
  <si>
    <t>Superior Essex Inc</t>
  </si>
  <si>
    <t>Mnfr,whl cable,wire prod</t>
  </si>
  <si>
    <t>US - Superior Essex Inc withdrew its plans to launch an unsolicited bid to acquire all the outstanding common stock of Optical Cable Corp, a manufacturer of fiber optic cables, for $6 in cash per share, or a total value of $36.303 mil.</t>
  </si>
  <si>
    <t>Mnfr home,coml bldg</t>
  </si>
  <si>
    <t>US - Clayton Homes Inc, a unit of Berkshire Hathaway Inc, acquired all the outstanding common stock of Southern Energy Homes Inc, a constructor of residential buildings, for $8.5 cash per share, or a total value of $115.002 mil. The transaction was subject to regulatory approval. The shareholders duly approved the transaction.</t>
  </si>
  <si>
    <t>US - Pilgrims Pride Corp (PP) completed its merger with Gold Kist Inc (GK), a producer and wholesaler of poultry, related products and fertilizers, for sweetened $21 in cash per share, or a total value of $1.216 bil, including the assumption of $144 mil in liabilities. The transaction was subject to shareholders and other regulatory approvals. Originally, PP offered $20 in cash per share, or a total value of $1.165 bil, including the assumption of $144 mil in liabilities.</t>
  </si>
  <si>
    <t>Harbor Global Co Ltd</t>
  </si>
  <si>
    <t>Isvias Trading Ltd</t>
  </si>
  <si>
    <t>Cyprus</t>
  </si>
  <si>
    <t>US - Isvias Trading Ltd of Cyprus, and a unit of OAO "Kit FInans Investitsionnyi Bank", acquired Harbor Global Co Ltd, an investment company, for $71 mil in cash. The transaction had been subject to certain conditions and exceptions. Harbor Global owns 100% of ZAO "Pioglobal Asset Management".</t>
  </si>
  <si>
    <t>Lone Star Funds</t>
  </si>
  <si>
    <t>US - Lone Star Funds (LS) acquired all the outstanding common stock of Lone Star Steakhouse &amp; Saloon Inc, an owner and operator of chain of restaurants, for a sweetened $27.35 in cash per share, or a total value of $$631.675 mil, in a leveraged buyout transaction. The transaction had been subject to shareholders approval and customary closing conditions. Originally, LS offered $27.1 in cash per share, or a total value of $626.35 mil.</t>
  </si>
  <si>
    <t>Glenborough Realty Trust Inc</t>
  </si>
  <si>
    <t>Morgan Stanley Real Estate</t>
  </si>
  <si>
    <t>US - Morgan Stanley Real Estate Fund LP (MSR),a unit of Morgan Stanley, acquired all the outstanding common stock of Glenborough Realty Trust Inc (GRT), a real estate investment trust, for $992.558 mil. The consideration was to consist of $26 in cash or units per GRT share, the assumption of an undisclosed amount in liabilities, and the redemption of GRT's Series A convertible preferred stock. The transaction was subject to regulatory and GRT shareholders approval and customary closing conditions.</t>
  </si>
  <si>
    <t>Case Pomeroy &amp; Co Inc</t>
  </si>
  <si>
    <t>Re agency</t>
  </si>
  <si>
    <t>CP Newco Inc</t>
  </si>
  <si>
    <t>US - CP Newco Inc (CN), a special purpose vehicle formed by Case Pomeroy &amp; Co Inc (CP) family shareholders, acquired the remaining 14% stake, or 0.04 mil common shares which it did not already own, in CP, a real estate investment firm, for a sweetened $1,855 in cash per share, or a total value of $73.46 mil, in open market transaction. The transaction had been subject to customary closing conditions, shareholders and regulatory approvals. Originally, CN offered $1,800 in cash per share, or a total value of $71.282 mil.</t>
  </si>
  <si>
    <t>Internet Sec Sys Inc</t>
  </si>
  <si>
    <t>US - International Business Machines Corp {IBM Corp} acquired all the outstanding common stock of Internet Security Systems Inc, a developer of Internet security software, for $28 in cash per share, or a total value of $1.303 bil. The transaction had been subject to customary closing conditions, regulatory and IS shareholder approvals.</t>
  </si>
  <si>
    <t>ATS Inc</t>
  </si>
  <si>
    <t>US - ATS Inc, a unit of Woodside Petroleum Ltd, terminated its unsolicited tender offer to acquire all the outstanding common stock of Energy Partners Ltd, an oil and gas exploration and production company, for $23 per share, or a total value of $937.685 mil.</t>
  </si>
  <si>
    <t>Western Refining Inc</t>
  </si>
  <si>
    <t>Produce,wholesale oil refined products</t>
  </si>
  <si>
    <t>US - Western Refining Inc acquired all the outstanding common stock of Giant Industries Inc (GI), a manufacturer and wholesaler of petroleum products, for an amended $77 in cash per share, or a total value of $1.135 bil, including the assumption of $275 in liabilities. Originally, WR offered $83 in cash per share, or a total value of $1.498 bil. The transaction had been subject to regulatory and GI shareholders approval, and customary closing conditions.</t>
  </si>
  <si>
    <t>InterVideo Inc</t>
  </si>
  <si>
    <t>Dvlp audio/video software</t>
  </si>
  <si>
    <t>Dvlp graphics software</t>
  </si>
  <si>
    <t>US - Corel Corp acquired all the outstanding common stock of InterVideo Inc, a developer of audio/video editing software, for $13 in cash per share, or a total value of $199.325 mil. The transaction had been subject to customary closing conditions, shareholder and regulatory approval.</t>
  </si>
  <si>
    <t>The Oilgear Co</t>
  </si>
  <si>
    <t>Mnfr,whl fluid power prod</t>
  </si>
  <si>
    <t>Mason Wells Buyout Fund II LP</t>
  </si>
  <si>
    <t>US - Mason Wells Buyout Fund II, a unit of Mason Wells Partners LLC, acquired all the outstanding common stock of Oilgear Co (OC), a manufacturer and wholesaler of fluid power products, for $15.25 in cash per OC common share, of a total value of $31.610 mil, in a leveraged buyout transaction. The transaction had been subject to OC shareholder approval and customary closing conditions.</t>
  </si>
  <si>
    <t>US - ValueAct Capital Partners LP acquired the remaining 61% interest, or 94. 86 mil common shares, which it did not already own, in Seitel Inc, a provider of geoscientific information and high-resolution, seismic surveys services, for $3.70 in cash per share or a total value of $590.201 mil, including the assumption of $239 mil in liabilities.</t>
  </si>
  <si>
    <t>Bancshares of Florida Inc,FL</t>
  </si>
  <si>
    <t>US - Bancshares of Florida Inc (BF), Naples, Florida, acquired all the outstanding common stock of Old Florida Bankshares Inc, Fort Meyers, Florida, a bank holding company, in a stock swap transaction valued at $74.338 mil. BF offered a choice of $38.5 cash per share or 1. 7915 common shares per share or a combination of cash and stock, subject to proration whereby the consideration was to comprised of 80% in common shares and 20% in cash. Shareholder and regulatory approval was duly approved.</t>
  </si>
  <si>
    <t>Rotonics Holding Corp</t>
  </si>
  <si>
    <t>US - Rotonics Holding Corp, a unit of Spell Capital Partners Fund III LP, merged with Rotonics Manufacturing Inc, a manufacturer of roto molded plastics, for $3 in cash per share, or a total value of $35.367 mil. The transaction had been subject to shareholder approval and customary closing conditions.</t>
  </si>
  <si>
    <t>US - Conestoga Bancorp Inc (CB) acquired all the outstanding common stock of PSB Bancorp Inc (PB), via a tender offer for an amended $16.72 in cash per share, or a total value of $92.529 mil. Originally, CB offered $17 in cash per share, or a total value of $93.969 mil. The transaction had been subject to regulatory and PB shareholders approvals.</t>
  </si>
  <si>
    <t>BNP Residential Properties Inc</t>
  </si>
  <si>
    <t>Babcock &amp; Brown Re Invest LLC</t>
  </si>
  <si>
    <t>US - Babcock &amp; Brown Real Estate Investments LLC, a unit of Babcock &amp; Brown Inc, acquired all the outstanding common stock of BNP Residential Properties Inc, a real estate investment trust, for $24 in cash per share, or a total value of $703.508 mil, including the assumption of $450 mil in liabilities.</t>
  </si>
  <si>
    <t>Glamis Gold Ltd</t>
  </si>
  <si>
    <t>Goldcorp Inc</t>
  </si>
  <si>
    <t>US - Goldcorp Inc (GI) merged with Glamis Gold Ltd (GG), a gold mining company, in a stock swap transaction valued at $8.670 bil. GG shareholders were to receive 1.69 GI common shares per GG share. Based on GI's closing stock price of $30.448 on August 30, 2006, the last full trading day prior to the announcement, each GG share was valued at $51.46. The transaction was subject to the approval of the board of directors and the approval vote of 66.67% of the GG shareholders. On completion, the company was ro retain the GI name. Current GI shareholders were to hold 60% of the new company and current GG shareholders were to hold 40%.</t>
  </si>
  <si>
    <t>Intergraph Corp</t>
  </si>
  <si>
    <t>Dvlp info mgmt software</t>
  </si>
  <si>
    <t>Cobalt Holding Co</t>
  </si>
  <si>
    <t>US - Cobalt Holding Co, a special purpose acquisition vehicle formed by Hellman &amp; Friedman LLC , Texas Pacific Group and JMI Equity, acquired all the outstanding common stock of Intergraph Corp, a developer of spatial information management (SIM) software for security, helping some of the world's largest government, military, and industrial organizations, for $44 in cash per share, or a total value of $1.331 bil, in a leveraged buyout transaction. Intergraph's Board of Directors has approved the merger agreement and has resolved to recommend that Intergraph's stockholders adopt the agreement. The transaction was subject to shareholder and regulatory approval.</t>
  </si>
  <si>
    <t>MacDermid Inc</t>
  </si>
  <si>
    <t>US - A management led- investor group (IG), comprised of MacDermid Inc (MD)'s Chairman and Chief Executive Daniel H. Leever, board member Mr Joseph Silvestri and Court Square Capital Partners Ltd, a unit of Citigroup, acquired all the outstanding common stock of MD, a manufacturer of proprietary chemical compounds, for a sweetened $35 in cash per share, or a total value of $1.145 bil. Originally, IG offered $32.5 in cash per share, or a total value of $1.031 bil, in a leveraged buyout transaction. The transaction was approved by the shareholders.</t>
  </si>
  <si>
    <t>US - An investor group comprised of Riley Investment Management LLC and Zeff Capital Partners LP terminated its plans to acquire all the outstanding common stock of NetManage Inc, a developer of networking software, for $5.25 cash per share, or a total value of $50.693 mil.</t>
  </si>
  <si>
    <t>Applied Imaging Corp</t>
  </si>
  <si>
    <t>Mnfr imaging analysis prod</t>
  </si>
  <si>
    <t>Genetix Group PLC</t>
  </si>
  <si>
    <t>Mnfr,whl automated instr</t>
  </si>
  <si>
    <t>US - Genetix Group Plc (GG) acquired all the outstanding common stock of Applied Imaging Corp, a manufacturer of imaging analysis products, for a twice sweetened $4.20 in cash per share, or a total value of $26.931mil. The transaction had been subject to shareholders approval. Previously, GG offered $3.80 in cash per share, or a total value of $24.454 mil. Originally, GG offered $3.06 in cash per share, or a total value of $17.932 mil.</t>
  </si>
  <si>
    <t>US - Robert Bosch GmbH (RB) discontinued its rumors to acquire all the outstanding common stock of Dana Corp, a manufacturer of motor vehicle parts. Concurrently, RB was rumored to be planning to acquire all the outstanding common stock of Delphi Corp. The Current status of this deal is unknown.</t>
  </si>
  <si>
    <t>Delphi Corp</t>
  </si>
  <si>
    <t>Mnfr,whl auto components</t>
  </si>
  <si>
    <t>US - In September 2006, bankrupt Delphi Corp (DC), a manufacturer and wholesaler of automotive components was rumored to be seeking a buyer for itself. Robert Bosch GmbH and Carl Icahn were named potential bidder. The Current status of this deal is unknown.</t>
  </si>
  <si>
    <t>Habasit AG</t>
  </si>
  <si>
    <t>Mnfr conveyor equip</t>
  </si>
  <si>
    <t>US - Habasit AG completed its tender offer to acquire all the outstanding common stock of Summa Industries (SI), a manufacturer of injection- molded and formed plastic optical components, for USD 15 in cash per share, or a total value of USD 86.309 mil, including the assumption of an estimated USD21 mil in a liabilities, by accepting 3. 585 mil shares, or about 92. 5% of SI's common stock outstanding. The transaction was subject to customary closing conditions and regulatory approvals. The offer was conditioned upon at least a majority of SI's shares being tendered. Upon completion, SI was to be named Habasit Holding USA Inc.</t>
  </si>
  <si>
    <t>Sentigen Holding Corp</t>
  </si>
  <si>
    <t>US - Invitrogen Corp acquired all the outstanding common stock of Sentigen Holding Corp, a provider of contract research and development services, for $3. 37 in cash per share, or a total value of $25.931 mil. The transaction had been subject to shareholder approval.</t>
  </si>
  <si>
    <t>International DisplayWorks Inc</t>
  </si>
  <si>
    <t>Mnfr LCD</t>
  </si>
  <si>
    <t>US - Flextronics International Ltd (FI) acquired all the outstanding common stock of International DisplayWorks Inc, a manufacturer of liquid crystal displays modules and assemblies, for an estimated $300 mil in FI common stock. The transaction was approved by the shareholders' and had been subject to regulatory approvals, and customary closing conditions.</t>
  </si>
  <si>
    <t>US - Illinois Tool Works Inc (ITW) completed its tender offer to acquire all the outstanding common stock of Click Commerce Inc (CC), a developer of business-to- business software, for $22.75 in cash per CC common share, or a total value of $295.187 mil. The transaction, which was conditioned upon at least majority of CC's outstanding common stock being tendered, was subject to customary closing conditions and regulatory approval.</t>
  </si>
  <si>
    <t>Stratex Networks Inc</t>
  </si>
  <si>
    <t>US - Harris Corp (HC) acquired a 56% interest in Stratex Networks Inc (SNI), a manufacturer of telecommunications products, for $365.7 mil. The consideration was to consist of $25 mil in cash and HC's Microwave Communications division, which was valued at $340.7 mil. Upon completion, SNI was to merged with the Microwave Communications division and the combined company was to be renamed Harris Stratex Networks Inc and was to be listed on the NASDAQ Global Market exchange.</t>
  </si>
  <si>
    <t>Veritas DGC Inc</t>
  </si>
  <si>
    <t>Pvd geophysical info svcs</t>
  </si>
  <si>
    <t>US - Cie Generale de Geophysique SA (CG) merged with Veritas DGC Inc (VD), a provider of integrated geophysical information services, for $3.306 bil. CG offered a choice of $75 cash per share or 2.2501 common shares per share, subject to proration whereby the 51% of the consideration was to comprise in common shares and 49% in cash. The transaction was subject to customary closing conditions, shareholders and regulatory approvals. On completion, the merged entity was named Compagnie Generale de Geophysique-Veritas {CGGVeritas}.</t>
  </si>
  <si>
    <t>BUCS Financial Corp</t>
  </si>
  <si>
    <t>US - Community Banks Inc, Harrisburg, PA acquired all the outstanding stock of BUCS Financial Corp, a bank holding company, for $24 in cash per share, or a total value of $22.584 mil in cash. The transaction had been subject to various conditions, shareholder and regulatory approvals.</t>
  </si>
  <si>
    <t>Embarcadero Technologies Inc</t>
  </si>
  <si>
    <t>Thoma Cressey Equity Partners</t>
  </si>
  <si>
    <t>US - Thoma Cressey Equity Partners (TC) acquired all the outstanding common stock of Embarcadero Technologies Inc (ET), a provider of software products, for an amended $7.2 in cash per share, or a total value of $186.198 mil. Originally, TC offered $8.38 in cash per share, or for a total value of $216.728 mil. The transaction was subject to shareholder and regulatory approvals. Previously, in December 2006, TC withdrew its plans to acquire all the outstanding common stock of ET.</t>
  </si>
  <si>
    <t>Provena Foods Inc</t>
  </si>
  <si>
    <t>Prod prepared meats and pasta</t>
  </si>
  <si>
    <t>Hormel Foods Corp</t>
  </si>
  <si>
    <t>Produce,whl meat,meat prod</t>
  </si>
  <si>
    <t>US - Hormel Foods Corp (HF) acquired all the outstanding common stock of Provena Foods Inc (PF), a manufacturer of sausages, prepared meats and pasta products, in a stock swap transaction valued at $16.643 mil, including the assumption of an estimated $6. 2 mil in a liabilities. HF offered 0.08 common shares per PF share. Based on HF's closing stock price of $36.4 on September 5, the last full trading day prior to the announcement, each PF share was valued at $2.912. The transaction had been subject to customary closing conditions and PF shareholder approvals.</t>
  </si>
  <si>
    <t>Bio-Lok International Inc</t>
  </si>
  <si>
    <t>Mnfr implant systems</t>
  </si>
  <si>
    <t>Tumbler Holdings Inc</t>
  </si>
  <si>
    <t>Mnfr dental prod,supplies</t>
  </si>
  <si>
    <t>US - Tumbler Holdings Inc, a unit of HealthpointCapital LLC acquired all the outstanding common stock of Bio-Lok International Inc (BL) , a manufacturer of implant systems, via a tender offer for $2.15 in cash per share, or a total value of $32.934 mil. The offer was conditioned upon at least a majority (or 50.01%) of BL's shares being tendered on a fully-diluted basis. The transaction had been subject to customary closing conditions.</t>
  </si>
  <si>
    <t>NS Group Inc</t>
  </si>
  <si>
    <t>Mnfr,whl specialty steel prods</t>
  </si>
  <si>
    <t>IPSCO Inc</t>
  </si>
  <si>
    <t>Mnfr,whl steel pipes,tubes</t>
  </si>
  <si>
    <t>US - IPSCO Inc acquired all the outstanding common stock of NS Group Inc, a manufacturer of specialty steel products, for $66 in cash per share, or a total value of $1.508 bil. The transaction was subject to regulatory and NS' shareholders approval, and customary closing conditions.</t>
  </si>
  <si>
    <t>Jones Media Networks Ltd</t>
  </si>
  <si>
    <t>US - Jones Media Networks Ltd acquired all the outstanding stock of TM Century Inc, a provider of music libraries, production libraries, comedy and commercials production services, for $4.8 per share, or a total value of $11.87 mil. The transaction had been subject to customary closing conditions.</t>
  </si>
  <si>
    <t>Metrologic Instruments</t>
  </si>
  <si>
    <t>Mnfr imaging,scanning solution</t>
  </si>
  <si>
    <t>US- An investor group, led by Francisco Partners LP, including Metrologic Instruments Inc (MTLG) CEO C Harry Knowles, and Elliot Associates LP, acquired all the outstanding common stock of MTLG, a retailer of data capture and collection hardware, optical solutions, and image processing software, for $18.50 in cash per share, or a total value of $439.587 mil, in a leveraged buyout transaction. The transaction had been subject to regulatory approvals and customary closing conditions.</t>
  </si>
  <si>
    <t>Vernon Bank Corp</t>
  </si>
  <si>
    <t>Oneida Financial Corp</t>
  </si>
  <si>
    <t>US - Oneida Financial Corp acquired all the outstanding common stock of Vernon Bank Corp, a commercial bank holding company, for $54 in cash per share, or a total value of $11.364 mil. The transction was subject to the approval of regulatory authorities.</t>
  </si>
  <si>
    <t>XO Holdings Inc</t>
  </si>
  <si>
    <t>Broadwing Communications</t>
  </si>
  <si>
    <t>US - Broadwing Communications, a unit of Cincinnati Bell Inc, was rumored to be planning to acquire all the outstanding common stock of XO Holdings Inc, a provider of telecommunication services. The Current status of this deal is unknown.</t>
  </si>
  <si>
    <t>US - In September 2006, RCN Corp, a provider of cable television services and an Internet Service Provider {ISP}, was rumored to be seeking a buyer for the company. The Current status of this deal is unknown.</t>
  </si>
  <si>
    <t>Windrose Med Ppty Trust</t>
  </si>
  <si>
    <t>Health Care REIT Inc</t>
  </si>
  <si>
    <t>US - Health Care REIT Inc (HC) acquired all the outstanding common stock of Windrose Medical Properties Trust (WM), a real estate investment trust, in a stock swap transaction valued at $806.863 mil, including the assumption of an estimated $426 in liabilities. HC offered 0.4509 common shares per WM share. Based on HC's closing stock price of $40.05 on September 12, the last full trading day prior to the announcement, each WM share was valued at $18.06. The transaction had been subject to WM shareholders approval and customary closing conditions.</t>
  </si>
  <si>
    <t>APN Holding Co</t>
  </si>
  <si>
    <t>US - APN Holding Co (AH), a unit of Harbinger Capital Partners Master Fund I Ltd and Harbinger Capital Partners Special Situations Fund LP, completed its challenging tender offer acquire the remaining 59.86% interest plus options, or 19. 936 mil common stock, which it did not already own, in Applica Inc (AI), a manufacturer and wholesaler of small household electric appliances, for a four times sweetened $8.25 in cash per share, or a total value of $155.714 mil. Originally, AH offered $6 in cash per share, or a total value of $111.013 mil. Previously, Hamilton Beach/Proctor-Silex Inc definitively agreed to merge with AI.</t>
  </si>
  <si>
    <t>Noir Acquisition Corp</t>
  </si>
  <si>
    <t>US - Noir Acquisition Corp merged with MPW Industrial Services Group Inc, a provider of industrial cleaning and related facilities support services, in a going private transaction.</t>
  </si>
  <si>
    <t>Vision Bancshares Inc</t>
  </si>
  <si>
    <t>US - Park National Corp (PN) merged with Vision Bancshares Inc (VB), in a stock swap transaction valued at USD 173. 48 mil. PN offered a choice of USD 25 in cash per share, or 0.2475 PN common share per VB share, subject to proration whereby 50% of the consideration was to be in PN common shares and 50% was to be in cash. Based on PN's closing stock price of USD 104.98 on 13 September 2006, the last full trading day prior to announcement, each VB share was valued at USD 25. 983.</t>
  </si>
  <si>
    <t>Witness Systems Inc</t>
  </si>
  <si>
    <t>Dvlp electr mgmt software</t>
  </si>
  <si>
    <t>NICE Systems Ltd</t>
  </si>
  <si>
    <t>Development business software</t>
  </si>
  <si>
    <t>US - Nice Systems Ltd was rumored to be planning to acquire all the outstanding common stock of Witness Systems Inc, a developer of electronic management software. The Current status of this deal is unknown.</t>
  </si>
  <si>
    <t>Schering-Plough Corp</t>
  </si>
  <si>
    <t>US - Schering-Plough Corp was rumored to be planning to merge with Bristol-Myers Squibb Co, a manufacturer of pharmaceuticals, medical devices, health products, surgical supplies and equipment, in vitro and in vitro diagnostic substances, toiletries, beauty aids, household products. The Current status of this deal is unknown.</t>
  </si>
  <si>
    <t>First Community Bank of GA</t>
  </si>
  <si>
    <t>Atlantic Southern Finl Group</t>
  </si>
  <si>
    <t>US - Atlantic Southern Financial Group Inc (AS) acquired all the outstanding common stock of First Community Bank of Georgia, Roberta, Georgia, in exchange for 0.549 mil common stock valued at $5.404 mil.. The shares were valued based on AS' closing stock price of $98.496 on September 14, the last full trading day prior to the announcement. The transaction had been subject to shareholders and regulatory approvals and customary closing conditions.</t>
  </si>
  <si>
    <t>Freescale Semiconductor Inc</t>
  </si>
  <si>
    <t>Firestone Holdings LLC</t>
  </si>
  <si>
    <t>US - Firestone Holdings LLC, an investment vehicle formed by Blackstone Group LP, Carlyle Group LLC, Permira Advisers Ltd, and Texas Pacific Group Inc for the purpose of making an acquisition, acquired all the outstanding common stock of Freescale Semiconductor Inc (FSL), a manufacturer of semiconductors, for $40 in cash per share, or a total value of $17.703 bil, in a leveraged buyout going private transaction. Originally, in September 2006, the investor group was rumored to be in negotiations to acquire FSL.</t>
  </si>
  <si>
    <t>Commonwealth Telephone Entrp</t>
  </si>
  <si>
    <t>Citizens Communications Co</t>
  </si>
  <si>
    <t>US - Citizens Communications Co (Citizens) acquired Commonwealth Telephone Enterprises Inc (Commonwealth) , a provider of telecommunications services, for USD 884.27 mil. Citizens offered 0.768 shares and USD 31.31 in cash per Commonwealth share. Based on Citizens's closing stock price of USD 13.55 on September 15, 2006, the last full trading day prior to announcement, each Commonwealth share was valued at USD 41.72.</t>
  </si>
  <si>
    <t>Northern Empire Bancshares,CA</t>
  </si>
  <si>
    <t>US - Sterling Financial Corp, Spokane, Washington (SF) acquired all the outstanding common stock of Northern Empire Bancshares, Santa Rosa, California (NE), a bank holding company, in a stock swap transaction valued at $334.291 mil. SF offered 0. 805 common shares and $2.71 in cash per NE share. Based on SF's closing stock price of $33.04 on September 15, the last full trading day prior to the announcement, each NE share was valued at $29.307. The transaction had been subject to customary closing conditions and regulatory and shareholder approvals. On completion, SF owned 83% and NE the remaining 17% of NE.</t>
  </si>
  <si>
    <t>General Motors Corp</t>
  </si>
  <si>
    <t>Mnfr motor vehicles</t>
  </si>
  <si>
    <t>US - Ford Motor Co was rumored to be in negotiations to merge with General Motors Corp, a manufacturer of motor vehicles. The Current status of this deal is unknown.</t>
  </si>
  <si>
    <t>Premium Standard Farms Inc</t>
  </si>
  <si>
    <t>Produce pork meat prod</t>
  </si>
  <si>
    <t>US - Smithfield Foods Inc (SF) acquired all the outstanding common stock of Premium Standard Farms Inc (PS), a producer of pork meat products, in a stock swap transaction valued at $793. 015 mil, including the assumption of $117 mil in liabilities. SF offered $1.25 cash and 0.678 common shares per PS share. Based on SF's closing stock price of $29.24 on September 15, the last full trading day prior to the announcement, each PS share was valued at $21.075. The transaction had been subject to PS' shareholders and regulatory approvals.</t>
  </si>
  <si>
    <t>Summit Bank Corp,Atlanta,GA</t>
  </si>
  <si>
    <t>UCBH Holdings Inc</t>
  </si>
  <si>
    <t>US - UCBH Holdings Inc, San Francisco, California (UH) acquired all the outstanding common stock of Summit Bank Corp, Atlanta, Georgia (SB), a bank holding company, in a stock swap transaction valued at $176.376 mil. UH offered a choice of $24.5 in cash or 1. 325 shares per SB share, or a combination of both, subject to proration, whereby 50% of the consideration was to be paid in cash and 50% in common stock. Based on UH's closing stock price on September 15, the last full trading day prior to the announcement, each SB share was valued at $24.73. The transaction had been approved by the boards of directors of UH and SB, and had been subject customary closing conditions, shareholder and regulatory approvals.</t>
  </si>
  <si>
    <t>US - Motorola Inc acquired all the outstanding common stock of Symbol Technologies Inc (ST), a manufacturer of code scanning equipment, for $15 in cash per share, or a total value of $3.88 bil. The transaction had been subject to regulatory approvals. Originally, in September 2006, ST announced that it was seeking a buyer for the company.</t>
  </si>
  <si>
    <t>Capital Crossing Bk,Boston,MA</t>
  </si>
  <si>
    <t>Lehman Brothers Bancorp Inc</t>
  </si>
  <si>
    <t>US - Lehman Brothers Bank FSB, a wholly-owned unit of Lehman Brothers Holdings Inc, definitively acquired all the outstanding common stock of Capital Crossing Bank, Boston, Massachusetts, for $30 in cash per share, or a total value of $321.306 mil. The transaction was subject to regulatory approvals and customary closing conditions.</t>
  </si>
  <si>
    <t>Centracore Properties Trust</t>
  </si>
  <si>
    <t>The GEO Group Inc</t>
  </si>
  <si>
    <t>US - Geo Group Inc acquired all the outstanding common stock of CentraCore Properties Trust, a real estate investment trust, for $32 in cash per share, or a total value of $353.653 mil, and the assumption of an undisclosed amount in liabilities. The transaction had been subject to CC shareholders and regulatory approval and customary closing conditions.</t>
  </si>
  <si>
    <t>US - First Busey Corp (FB), Urbana, Illinois, merged with Main Street Trust Inc (MS), Champaign, Illinois, in a stock swap merger of equals transaction valued at USD 351. 098 mil. FB offered 1.55 common shares per MS share. Based on FB's closing stock price of USD 21.89 on 19 September 2006, the last full trading day prior to the announcement, each MS share was valued at USD 33.93. The transaction had been subject to shareholders and regulatory approval and other customary closing conditions. On completion, the merged entity retained the name FB.</t>
  </si>
  <si>
    <t>Vitria Technology Inc</t>
  </si>
  <si>
    <t>Dvlp bus process software</t>
  </si>
  <si>
    <t>US - A management-led investor group, comprised of Vitria Technology Inc's CEO Dale Skeen and Mr. JoMei Chang, acquired the remaining 71% interest, or 25.331 mil common shares plus options, which they did not already own, in Vitria Technology Inc, a developer of business process application software, for $2.75 per share, or a total value of $68.201 mil, in a going private leveraged buyout transaction. The transaction had been subject to shareholder and regulatory approvals and other customary closing conditions.</t>
  </si>
  <si>
    <t>Talk America Holdings Inc</t>
  </si>
  <si>
    <t>Cavalier Telephone LLC</t>
  </si>
  <si>
    <t>US - Cavalier Telephone LLC acquired all the outstanding common stock of Talk America Holdings Inc (TA), a provider of telecommunications services, for $8.10 in cash per share, or a total value of $246.86 mil. The transaction had been subject to customary closing conditions, TA shareholders and regulatory approvals. Subsequently, Sun Capital Securities LLC agreed to terminate its challenging tender offer to acquire the remaining 86.1% interest, which it did not already own, in TA, for a total value of $256.33 mil.</t>
  </si>
  <si>
    <t>Warrior Energy Services Corp</t>
  </si>
  <si>
    <t>Pvd well drilling svcs</t>
  </si>
  <si>
    <t>Provide oilfield services</t>
  </si>
  <si>
    <t>US - Superior Energy Services Inc (SE) acquired all the outstanding common stock of Warrior Energy Services Corp (WE), a provider of direction well drilling, downhole surveying, and wireline services, for $437.898 mil. SE offered $14. 5 cash, and 0.452 common shares per WE share. Based on SE's closing stock price of $26.63 on September 21, the last full trading day prior to the announcement, each WE share was valued at $14.952. The transaction had been subject to customary closing conditions, WE shareholders and regulatory approvals.</t>
  </si>
  <si>
    <t>Educate Inc</t>
  </si>
  <si>
    <t>Pvd pre-K-12 educ svcs</t>
  </si>
  <si>
    <t>US - An management-led investor group, including Educate Inc's (EI) CEO R. Christopher Hoen-Saric, COO Peter J. Cohen, Educate Products President Christopher J. Paucek, Sterling Capital Partners, and Citigroup Private Equity, a unit of Citigroup Inc, acquired all the outstanding common stock of EI, a provider of pre-K-12 educational services, for $8 in cash per EI common share, or a total value of $327.2 mil, in a leveraged buyout transaction. The transaction had been subject to EI board and shareholders approval.</t>
  </si>
  <si>
    <t>Maritrans Inc</t>
  </si>
  <si>
    <t>Shipping company</t>
  </si>
  <si>
    <t>Overseas Shipholding Group Inc</t>
  </si>
  <si>
    <t>Pvd energy transp svcs</t>
  </si>
  <si>
    <t>US - Overseas Shipholding Group Inc, through its Marlin Acquisition Corp unit, acquired all the outstanding common stock of Maritrans Inc, a shipping company and an owner and operator of oil tankers, tugboats and oceangoing petroleum tank barges, for $37.5 in cash per share, or a total value of $457.69 mil. The transaction had been subject customary closing conditions, regulatory and shareholder approvals.</t>
  </si>
  <si>
    <t>Collins Industries Inc</t>
  </si>
  <si>
    <t>Mnfr specialty vehicles</t>
  </si>
  <si>
    <t>US - An investor group, comprised of Steel Partners II LP, a unit of Steel Partners LP, and American Industrial Partners, a unit of American Industrial Partners Management Co, acquired all the outstanding common stock of Collins Industries Inc (CI), a manufacturer of specialty vehicles including ambulances, Type "A" buses, terminal trucks and road construction equipment, for $12.5 in cash per share, or a total value of $82.813 mil, in a leveraged buyout transaction. The transaction had been subject to customary closing conditions, shareholder and regulatory approval. Originally, in June 2006, CI announced that it was seeking a buyer for the company.</t>
  </si>
  <si>
    <t>Nabi Biopharmaceuticals</t>
  </si>
  <si>
    <t>US - In September 2006, Nabi Biopharmaceuticals, was rumored to be seeking a buyer for the company.</t>
  </si>
  <si>
    <t>Sun Capital Securities LLC</t>
  </si>
  <si>
    <t>Pvd eq firm</t>
  </si>
  <si>
    <t>US - Sun Capital Securities LLC agreed to terminate itschallenging offer to acquire the remaining 86.1% interest or 26.240 mil common shares, which it did not already own in Talk America Holding Inc (TA), a provider of telecommunications services, for $9 in cash per share, or a total value of $256.33 mil. Previously, Cavalier Telephone LLC agreed to acquire all the outstanding common stock of TA valued at $246.859 mil.</t>
  </si>
  <si>
    <t>USA Truck Inc</t>
  </si>
  <si>
    <t>Liberate Technologies</t>
  </si>
  <si>
    <t>Dvlp commun,Internet software</t>
  </si>
  <si>
    <t>US - Liberate Technologies withdrew its plans to acquire all the outstanding common stock of USA Truck Inc, a trucking company, for $21 in cash per share, or a total value of $244.276 mil. The transaction was subject to customary closing conditions.</t>
  </si>
  <si>
    <t>US - An investor group, including Apollo Management LP and Texas Pacific Group Inc, acquired all the outstanding common stock of Harrah's Entertainment Inc (HE), an owner and operator of casinos and hotels, for twice sweetened $90 in cash per share, or a total value of $27.888 bil, including the assumption of an estimated $10.7 bil in liabilities, in a leveraged buyout transaction. The transaction was subjected to regulatory approvals and customary closing conditions. Previously, the investor group offered a sweetened $87 in cash per share, from an initial $81 in cash per share, or a total value of $15.4 bil. Originally, the investor group was rumored to be planning to acquire all the outstanding stock of HE.</t>
  </si>
  <si>
    <t>Utd Arab Em</t>
  </si>
  <si>
    <t>US - An investor group, comprised of Istithmar, Salford Georgia and Emergent Telecom Ventures SA, withdrew its agreement to acquire all the outstanding common stock of Metromedia International Group Inc, a provider of telecommunications, for $331 mil in cash, in a leveraged buyout transaction. The transaction was subject to due diligence.</t>
  </si>
  <si>
    <t>Myogen Inc</t>
  </si>
  <si>
    <t>US - Gilead Sciences Inc (GS) acquirde all the outstanding common stock of Myogen Inc (MI), a biopharmaceutical company, for $52.50 in cash per share, or a total value of $2.474 bil. Previously, GS completed its tender offer to acquire all the outstanding common stock of MI by accepting 40.072 mil shares, or 93.83% of MI's common shares outstanding. The offer had been conditioned upon at least a majority of MI's shares being tendered. The transaction had been subject to customary closing conditions and regulatory and shareholder approvals.</t>
  </si>
  <si>
    <t>Front Range Capital Corp</t>
  </si>
  <si>
    <t>US - First State Bancorp, Albuquerque, New Mexico, acquired all the outstanding common stock of Front Range Capital Corp, a bank holding company, for $72 mil in cash. The transaction had been subject to regulatory and shareholder approval.</t>
  </si>
  <si>
    <t>Global Signal Inc</t>
  </si>
  <si>
    <t>Own,op towers,commun sites</t>
  </si>
  <si>
    <t>Crown Castle International</t>
  </si>
  <si>
    <t>Pvd wireless transmission svcs</t>
  </si>
  <si>
    <t>US - Crown Castle International Corp (CCI) acquired Global Signal Inc (GSL), a provider of wireless communication tower leasing services, in a stock swap transaction valued a $5.793 bil, including the assumption of $1.8 bil in liabilities. CCI offered a choice of $55. 95 cash or 1.61 shs com per share held subject to proration whereby the total cash consideration was not to exceed $550 mil. Based on CCI's closing stock price of $34.78 on October 4, the last full trading day prior to the announcement, the stock portion valued each GSL share at $55.996. The transaction had been subject to customary closing conditions and shareholder and regulatory approvals.</t>
  </si>
  <si>
    <t>US - CEO Andrew Adams of National Health Investors Inc (NH) withdrew its plans to acquire all the outstanding common stock of NH, a real estate investment trust company, for $ 34 in cash per share, or a total value of $948.941 mil, in a leveraged buyout transaction. Previously Mr. Adams offered $33 in cash per shares, or a total value of $921.057 mil. Originally, Mr. Adams offered $30 in cash per share, or a total value of $833.354 mil</t>
  </si>
  <si>
    <t>NVIDIA Corp</t>
  </si>
  <si>
    <t>Mnfr,whl graphics processors</t>
  </si>
  <si>
    <t>US - Intel Corp was rumored to be planning to acquire all the outstanding common stock of NVIDIA Corp, a manufacturer and wholesaler of graphic processors. The Current status of this deal is unknown.</t>
  </si>
  <si>
    <t>Cornell Cos Inc</t>
  </si>
  <si>
    <t>Veritas Capital Partners LP</t>
  </si>
  <si>
    <t>US - Veritas Capital Partners LP definitively agreed to acquire all the outstanding common stock of Cornell Cos Inc, an owner and operator of correctional facilities, for $18.25 in cash per share, or a total value of $535.075 mil, including the assumption of an estimated $273.6 mil in liabilities, in a leveraged buyout transaction. The transaction was subject customary closing conditions, regulatory and shareholder approval. The offer was withdrawn upon shareholder rejection.</t>
  </si>
  <si>
    <t>Legacy Bank NA,Campbell,CA</t>
  </si>
  <si>
    <t>US - United Security Bancshares, Fresno, California (US) acquired all the outstanding common stock of Legacy Bank NA, Cambell, California, a commercial bank company, in exchange for $13 US common stock per share, or a total value of $22.71 mil. The transaction was subject to the approval of regulatory authorities.</t>
  </si>
  <si>
    <t>US - A management-led investor group, including Chairman Mr. Charles F. Dolan and CEO Mr. James L. Dolan, withdrew its definitive agreement to acquire the remaining 77.5% interest, or 232.102 mil common shares plus options, which they did not already own, in Cablevision Systems Corp, an owner and operator of cable television systems, for a twice sweetened $36.26 in cash per share, or a total value of $8.638 bil, in a leveraged buyout transaction. Previously, Chairman Mr. Charles F. Dolan and CEO Mr. James L. Dolan offered a sweetened $30 in cash per share, or a total value of $6. 756 bil, in a leveraged buyout transaction. Originally, Chairman Mr. Charles F. Dolan and CEO Mr. James L. Dolan offered $27 in cash per share, or a total value of $6.107 bil. The transaction was subject to customary closing conditions, regulatory and shareholders approval.</t>
  </si>
  <si>
    <t>CNS Inc</t>
  </si>
  <si>
    <t>Mnfr,whl consumer health prod</t>
  </si>
  <si>
    <t>US - GlaxoSmithKline PLC acquired all the outstanding common stock of CNS Inc, a manufacturer and wholesaler of consumer healthcare products, for $37.5 in cash per share, or a total value of $562.533 mil. The transaction had been subject to customary closing conditions, regulatory and CNS shareholders approval.</t>
  </si>
  <si>
    <t>Dot VN Inc</t>
  </si>
  <si>
    <t>Pvd Internet,telecom svcs</t>
  </si>
  <si>
    <t>Malers Acquisition Corp</t>
  </si>
  <si>
    <t>US - Malers Acquisition Corp merged with Dot VN Inc, a provider of Internet and telecommunication services.</t>
  </si>
  <si>
    <t>US - PNC Financial Services Group Inc (PNC) acquired all the outstanding common stock of Mercantile Bankshares Corp (MB), a provider of banking, investment and wealth management services, in a stock swap transaction valued at $5.982 bil. PNC offered 0. 4184 common shares and $16.45 in cash per common share for each MB share held. Based on PNC's closing stock price of $73.60 on October 6, the last full day of trading prior to announcement, each MB share was valued at $47.244. The transaction was subject to customary closing conditions and shareholder and regulatory approvals.</t>
  </si>
  <si>
    <t>Pvd Internet media svcs</t>
  </si>
  <si>
    <t>US - VNU NV (VNU) acquired the remaining 39.5% stake, or 14.097 mil common shares, which it did not already own, in NetRatings Inc (NR), a provider of Internet media and market research solutions services, for a sweetened $21 inc ash per share, or a total value of $377.534 mil. The transaction had been subject to customary closing conditions, regulatory and NR shareholders approval. Originally, VNU planned to acquire NR for $16 in cash per share, or a total value of $243.292 mil.</t>
  </si>
  <si>
    <t>Washington Federal Inc</t>
  </si>
  <si>
    <t>US - Washington Federal Inc merged with First Federal Banc of the Southwest Inc for $24.14 in cash per share, or a total value of $98.741 mil. The transaction had been subject to shareholder and regulatory approval.</t>
  </si>
  <si>
    <t>Jacuzzi Brands Inc</t>
  </si>
  <si>
    <t>Mnfr bath,plumbing fixtures</t>
  </si>
  <si>
    <t>US - Apollo Management LP, a unit of Apollo Advisors LP, acquired all the outstanding common stock of Jacuzzi Brands Inc, a manufacturer of bath and plumbing fixtures and products, for $12.5 in cash per share, or a total value of $1.24 bil, including the assumption of $260 mil in liabilities, in a leveraged buyout transaction. The transaction had been subject to customary closing conditions, regulatory and shareholders approval.</t>
  </si>
  <si>
    <t>Potomac Bank of Virginia</t>
  </si>
  <si>
    <t>US - Sandy Spring Bancorp Inc, Olney, Maryland (SS) merged with Potomac Bank of Virginia, Fairfax, Virginia (PB), for $91.504 mil. SS offered $21.75 in cash and . 6143 common shares per PB share. Based on SS' closing stock price of $36.29 on October 10, the last full trading day prior to the announcement, each PB share was valued at $44.04. The transaction had been subject to shareholders and regulatory approvals.</t>
  </si>
  <si>
    <t>FMS Financial Corp</t>
  </si>
  <si>
    <t>Beneficial Mutual Bancorp Inc</t>
  </si>
  <si>
    <t>US - Beneficial Mutual Bancorp (BM) acquired all the outstanding common stock of FMS Financial Corp, Burlington, New Jersey, a saving and loan holding company, for $11.9 in cash and $16.1 in BM common stock per share, or a total value of $183.153 mil. The consideration was to consist of $77.561 mil in cash and $104.935 mil in BM common stock. The transaction was subject to the approval of regulatory authorities.</t>
  </si>
  <si>
    <t>SITEL Corp</t>
  </si>
  <si>
    <t>Pvd outsourced svcs</t>
  </si>
  <si>
    <t>ClientLogic Corp</t>
  </si>
  <si>
    <t>Pvd process outsourcing svcs</t>
  </si>
  <si>
    <t>US - ClientLogic Corp, a unit of Onex Corp, merged with SITEL Corp, a provider of outsourced customer support services, for a sweetened $4.25 in cash per share, or a total of $317.422 mil. Previously, Cl offered $4.05 in cash per share, or a total value of $302.521 mil. The transaction had been subject to customary closing conditions, regulatory and shareholders approval. Upon completion, the merged entity retained the name CL. Subsequently, an investor group, including Gores Technology Group LLC and Calgary Group LLC planned to launch an unsolicited challenging offer to acquire all the outstanding common stock of SC, for $4.5 in cash per share, or a total value of $335.283 mi.</t>
  </si>
  <si>
    <t>VitalStream Holdings Inc</t>
  </si>
  <si>
    <t>Pvd audio,video streaming svcs</t>
  </si>
  <si>
    <t>Internap Network Services Corp</t>
  </si>
  <si>
    <t>US - Internap Services Corp (IS) acquired all the outstanding common stock of VitalStream Holdings Inc (VH), a provider of audio and video streaming services, in a stock swap transaction valued at $279.083 mil. IS offered .5132 common shares per VH share. Based on IS' closing stock price of $17.05 on October 11, the last full trading day prior to the announcement, each VH share was valued at $8.75. The transaction was subject to the approval of regulatory authorities.</t>
  </si>
  <si>
    <t>First Morris Bank &amp; Trust,Morr</t>
  </si>
  <si>
    <t>Provident Bank,Jersey City,NJ</t>
  </si>
  <si>
    <t>US - Provident Bank, Jersey City, New Jersey, a unit of Provident Financial Services Inc (PF), Jersey City, New Jersey, merged with First Morris Bank &amp; Trust, Morristown (FM), New Jersey, for an estimated $124.1 mil in cash and PF common shares, subject to proration whereby 50% of the total consideration was to be paid in cash and 50% in PF common shares. The transaction had been subject to customary closing conditions, FM shareholders and regulatory approvals.</t>
  </si>
  <si>
    <t>Oshkosh Truck Corp</t>
  </si>
  <si>
    <t>Mnfr heavy-duty trucks</t>
  </si>
  <si>
    <t>US - Oshkosh Truck Corp acquired all the outstanding common stock of JLG Industries Inc (JI), a manufacturer of mobile aerial work platforms and truck- mounted materials-handling equipment, for $28 in cash per share, or a total value of $3.252 bil, including the assumption of an estimated $200 mil in liabilities. The transaction was subject to customary closing conditions, JI shareholders and regulatory approvals.</t>
  </si>
  <si>
    <t>ICOS Corp</t>
  </si>
  <si>
    <t>US - Eli Lilly &amp; Co (EL) acquired all the outstanding common stock of ICOS Corp (IC) , a biotechnology company, for a sweetened $34 in cash per share, or a total value of $2.445 bil. The transaction had been subject to customary closing conditions, IC shareholders and regulatory approvals. Originally, EL offered $32 in cash per share, or a total value of $2.14 bil.</t>
  </si>
  <si>
    <t>Open Solutions Inc</t>
  </si>
  <si>
    <t>Dvlp banking software</t>
  </si>
  <si>
    <t>Harpoon Merger Corp</t>
  </si>
  <si>
    <t>US - Harpoon Merger Corp, an SPV formed by Carlyle Group LLC and Providence Equity Partners LLC, acquired all the outstanding common stock of Open Solutions Ltd (OS), a developer of banking software, via a tender offer for $38 in cash per share, or a total value of $866.686 mill, and the assumption of an undisclosed amount in liabilities, in a leveraged buyout transaction. The transaction had been subject to customary closing conditions and OS shareholders approval.</t>
  </si>
  <si>
    <t>Broadwing Corp</t>
  </si>
  <si>
    <t>Mnfr fiber-optic network sys</t>
  </si>
  <si>
    <t>US - Level 3 Communications Inc (LT) acquired all the outstanding common stock of Broadwing Corp (BC), a manufacturer of fiber-optic network systems, in a stock swap transaction valued at $1. 354 bil. LT offered $8.18 cash and 1.3411 common shares per BC share. Based on LT's closing stock price of $5.32 on October 16, the last full trading day prior to the announcement, each BC share was valued at $15.314. The transaction had been subject to customary closing conditions and regulatory and BC shareholder approvals.</t>
  </si>
  <si>
    <t>CBOT Holdings Inc</t>
  </si>
  <si>
    <t>Sec,commodity exchange</t>
  </si>
  <si>
    <t>Chicago Mercantile Exchange</t>
  </si>
  <si>
    <t>US - Chicago Mercantile Exchange Holdings Inc (CME) merged with CBOT Holdings Inc (BOT), a securities and commodities exchange, in a stock swap transaction valued at a twice sweetened $11.065 bil. CME offered 0.375 common shares per BOT share. Based on CME's closing stock price of $555.69 on July 5, the last full trading day prior to the amendment of terms, each BOT share was valued at $208.384. Originally, CME offered a sweetened 0.35 common shares per BOT share. The transaction had been subject to approval by regulators, shareholders of both companies, and customary closing conditions. On completion, the combined company was named CME Group Inc, and CME offered to launch a self-tender to repurchase up to 6.25 mil common shares or 12% of its common stock outstanding for a total value of $3.5 bil. Subsequently, IntercontinentalExchange Inc withdrew its plans to acquire all the outstanding common stock of BOT.</t>
  </si>
  <si>
    <t>Moscow CableCom Corp</t>
  </si>
  <si>
    <t>Renova Media Enterprises Ltd</t>
  </si>
  <si>
    <t>US - Renova Media, a unit of ZAO Renova, raised its interest to 81.1% from 43.2%, by acquiring a 37.9% stake in Moscow CableCom Corp, a manufacturer of electronic components. Terms were not disclosed.</t>
  </si>
  <si>
    <t>Pemstar Inc</t>
  </si>
  <si>
    <t>Benchmark Electronics Inc</t>
  </si>
  <si>
    <t>US - Benchmark Electronics Inc (BE) acquired all the outstanding common stock of Pemstar Inc (PI), a manufacturer of electronic components, in a stock swap transaction valued at $210. 147 mil. BE offered 0.16 common shares per PI share. Based on BE's closing stock price of $28.93 on October 16, the last full trading day prior to the announcement, each PI share was valued at $4.629. The transaction had been subject to customary closing conditions, PI shareholders and regulatory approvals.</t>
  </si>
  <si>
    <t>Tree Top Industries Inc</t>
  </si>
  <si>
    <t>Pvd waste mgmt,disposal svcs</t>
  </si>
  <si>
    <t>Grifco International Inc</t>
  </si>
  <si>
    <t>Mnfr oil,gas svcs equip</t>
  </si>
  <si>
    <t>US - Grifco International Inc agreed to acquire all the outstanding common stock of Tree Top Industries Inc, an investment company. The transaction was subject to shareholder approval.</t>
  </si>
  <si>
    <t>Vodavi Technology Inc</t>
  </si>
  <si>
    <t>Pvd bus telecom solutions svcs</t>
  </si>
  <si>
    <t>Vertical Communications Inc</t>
  </si>
  <si>
    <t>US - Vertical Communications Inc (VC) definitively acquired all the outstanding common stock of Vodavi Technology Inc (VT), a provider of business telecommunications solutions services, for $7.5 per share, or a total value of $31.263 mil. The transaction had been subject to VC and VT shareholders approval.</t>
  </si>
  <si>
    <t>Salton Inc</t>
  </si>
  <si>
    <t>Mnfr,whl elec housewares</t>
  </si>
  <si>
    <t>Harbinger Capital Partners</t>
  </si>
  <si>
    <t>US - Harbinger Capital Partners Master Fund I Ltd acquired the remaining 84.46% interest, or 12.149 mil common shares, which it did not already own, in Salton Inc, a manufacturer and wholesaler of electric housewares.</t>
  </si>
  <si>
    <t>Connetics Corp</t>
  </si>
  <si>
    <t>Mnfr,dvlp pharm</t>
  </si>
  <si>
    <t>Stiefel Laboratories Inc</t>
  </si>
  <si>
    <t>US - Stiefel Laboratories Inc acquired all the outstanding common stock of Connetics Corp, a manufacturer and developer of pharmaceuticals, for $17.5 in cash per share, or a total value of $634.017 mil. The transaction had been subject to customary closing conditions, regulatory and shareholders approval.</t>
  </si>
  <si>
    <t>Government Properties Trust</t>
  </si>
  <si>
    <t>Record Realty</t>
  </si>
  <si>
    <t>US - Record Realty, a unit of Allco Finance Group Ltd's Record Funds Management Ltd subsidiary, has acquired all the outstanding common stock of Government Properties Trust Inc (GP), a real estate investment trust, for $10.75 in cash per share, or a total value of $223.6 mil. The transaction was approved by GP shareholders.</t>
  </si>
  <si>
    <t>Indus International Inc</t>
  </si>
  <si>
    <t>MDSI Mobile Data Solutions Inc</t>
  </si>
  <si>
    <t>Pvd mobile mgmt solutions</t>
  </si>
  <si>
    <t>US - MDSI Mobile Data Solutions Inc, a unit of Vista Equity Partners LLC, acquired all the outstanding stock of Indus International Inc, a developer of Service Delivery Management {SDM} software, for $3.85 in cash per share, or a total value of $227.554 mil. The transaction had been subject to customary closing conditions, regulatory and shareholders approvals.</t>
  </si>
  <si>
    <t>MetaSolv  Inc</t>
  </si>
  <si>
    <t>US - Oracle Corp acquired all the outstanding common stock of MetaSolv Inc, a developer of customer relationship management software, for $4. 10 in cash per share, or a total value of $217.654 mil. The transaction had been subject to regulatory and shareholder approvals.</t>
  </si>
  <si>
    <t>St Joseph Capital Corp</t>
  </si>
  <si>
    <t>US - Old National Bancorp (ONB) acquired all the outstanding common shares of St Joseph Capital Corp (SJC), a commercial banking institution, for $40 per share in cash, or a total value of $77.625 mil. The transaction had been subject to customary closing conditions and shareholder and regulatory approvals.</t>
  </si>
  <si>
    <t>US - An investor group, including Gores Technology Group LLC and Calgary Group LLC withdrew its plans to launch an unsolicited challenging offer to acquire all the outstanding common stock of SITEL Corp (SC), a provider of outsourced customer support services, for $4.5 in cash per share, or a total value of $342.823 mil, in a leveraged buyout transaction. Previously, ClientLogic Corp, a unit of Onex Corp, merged with SC, for $4.05 in cash per share, or a total value of $302.521 mil.</t>
  </si>
  <si>
    <t>Universal Amer Finl Corp</t>
  </si>
  <si>
    <t>US - A management-led investor group, including Universal American Financial Corp's (UA) CEO Richard A Barasch, Capital Z Partners Ltd, a unit of Zurich Financial Services AG, Lee Equity Partners LLC, Perry Capital LLC and Welsh Carson Anderson &amp; Stowe X LP, a unit of Welsh Carson Anderson &amp; Stowe Co, withdrew its plan to acquire all the outstanding common stock of UA, a provider of life, health, and accident insurance services, for $18. 15 cash per share, or a total value of $1.107 bil, in a leveraged buyout transaction.</t>
  </si>
  <si>
    <t>Yankee Candle Co Inc</t>
  </si>
  <si>
    <t>Mnfr,whl,retail candles</t>
  </si>
  <si>
    <t>US - Madison Dearborn Partners LLC acquired all the outstanding common stock of Yankee Candle Co Inc (YC), a manufacturer, wholesaler and retailer of premium scented candles, for $34.75 in cash per share, or a total value of $1.724 bil, including the assumption of an estimated $318.489 mil in liabilities, in a leveraged buyout transaction. The transaction had been subject to customary closing conditions, regulatory and YC's shareholders approval.</t>
  </si>
  <si>
    <t>Kanbay International Inc</t>
  </si>
  <si>
    <t>Capgemini SA</t>
  </si>
  <si>
    <t>US - Capgemini SA acquired all the outstanding common stock of Kanbay International Inc, a provider of information technology services and solutions, for $29 in cash per share, or a total value of $1.162 bil. Shareholders and regulatory authorities approved the transaction.</t>
  </si>
  <si>
    <t>American Power Conversion</t>
  </si>
  <si>
    <t>Mnfr,whl power supplies</t>
  </si>
  <si>
    <t>US - Schneider Electric SA acquired all the outstanding common stock of American Power Conversion Corp, a manufacturer and wholesaler of power supplies, for $31 in cash per share, or a total value of $6.085 bil. The transaction had been subject to regulatory and shareholders' approval.</t>
  </si>
  <si>
    <t>Sirna Therapeutics Inc</t>
  </si>
  <si>
    <t>US - Merck &amp; Co Inc definitively acquired all the outstanding common stock of Sirna Therapeutics Inc, a biotechnology company, for $13 in cash per share, or a total value of $1.132 bil. The transaction was subject to customary closing conditions and regulatory and shareholder approvals.</t>
  </si>
  <si>
    <t>CB Richard Ellis Group Inc</t>
  </si>
  <si>
    <t>Real estate company</t>
  </si>
  <si>
    <t>US - CB Richard Ellis Group Inc acquired all the outstanding common stock of Trammell Crow Co, a provider of property management, brokerage, infrastructure management, development and investment and retail services, for $49.51 in cash per share, or a total value of $1.971 bil, including the assumption of an undisclosed amount in liabilities. The transaction had been subject to customary closing conditions, shareholders and regulatory approvals.</t>
  </si>
  <si>
    <t>Trustreet Properties Inc</t>
  </si>
  <si>
    <t>GE Capital Solutions Franchise</t>
  </si>
  <si>
    <t>US - GE Capital Solutions Franchise Finance, a unit of General Electric Co {GE}, acquired all the outstanding common stock of Trustreet Properties Inc, a real estate investment trust company, for $17.05 in cash per share or a total value of $1.151 bil, in a leveraged buyout transaction. The transaction had been subject to shareholders approval.</t>
  </si>
  <si>
    <t>US - RR Donnelley &amp; Sons Co (RR) acquired all the outstanding common stock of Banta Corp (BC), a provider of broad range of printing, digital imaging solutions, and supply-chain management services, for $52.5 in cash per share including a $16 in cash per share special dividend financed through debt to be assumed by RR, or a total value of $1.306 bil. The transaction was subject to regulatory and shareholders approval.</t>
  </si>
  <si>
    <t>American European Group Inc</t>
  </si>
  <si>
    <t>US - American European Group Inc acquired all the outstanding common stock of Merchants Group Inc, a provider of property and casualty insurance services, for $33 in cash per share, or a total value of $70.963 mil. The transaction was subject to customary closing conditions, shareholders and regulatory approvals. Subsequently, Merchants Mutual Insurance Co launched an challenging offer to acquire all the outstanding common stock of Merchant Group Inc.</t>
  </si>
  <si>
    <t>Business Bank Corp</t>
  </si>
  <si>
    <t>US - City National Corp (CN) acquired all the outstanding stock of Business Bank Corp, a bank holding company, for $161mil in cash and CN common stock. The transaction had been subject to customary closing conditions and regulatory and shareholder approvals.</t>
  </si>
  <si>
    <t>US - CVS Corp (CVS) merged with Caremark Rx Inc (CMX), a provider of prescription management services, in a stock swap transaction valued at $26.294 bil. CVS offered 1. 67 shares and a $7.5 special cash dividend per CMX share. Based on CVS's closing stock price of $31.32 on March 7, the last full trading day prior to the announcement of the amended terms, each CMX share was valued at $59.804. Previously CVS offered 1.67 shares and a $6 special cash dividend per CMX share. Subsequently, CVS offered 1. 67 shares and a $2 special cash dividend per CMX share. On completion, the combined entity was renamed CVS/ Caremark Corp, CVS shareholders owned 54.5% of the combined company, and CMX shareholders, the remaining 45.5%. The transaction had been subject to stockholder approvals from both companies as well as customary regulatory approvals, including US antitrust authorities. Subsequently, Express Scripts Inc withdrew its plans to launch an unsolicited challenging offer to acquire all the outstanding common stock of CMX.</t>
  </si>
  <si>
    <t>Clark Inc</t>
  </si>
  <si>
    <t>Pvd benefits consulting svcs</t>
  </si>
  <si>
    <t>US - AEGON NV completed its tender offer to acquire all the outstanding common stock plus options of Clark Inc (CI) , a provider of executive compensation and benefits consulting services, via a tender offer for a sweetened $17.21 in cash per share, or a total value of $257.185 mil, by accepting 14.544 mil shares, or 79.3% of CI's common shares outstanding. The offer was conditioned upon at least a majority of CI's shares being tendered. The transaction was subject to normal closing requirements.</t>
  </si>
  <si>
    <t>US - Smith &amp; Nephew PLC withdrew its plans to merge with Biomet Inc, a manufacturer of orthopedic reconstructive surgical implants.</t>
  </si>
  <si>
    <t>Dubilier &amp; Co</t>
  </si>
  <si>
    <t>US - Dubilier &amp; Co withdrew its Letter of Intent {LoI} to acquire all the outstanding common stock of CCA Industries Inc, a manufacturer and wholesaler of health and beauty aides, including oral healthcare products, skincare products, after-shave analgesic products for women, for $12 in cash per share, and $14.5 per class A preferred share, or a total value of $72.443 mil, in a leveraged buyout transaction. The transaction was subject to shareholder and regulatory approval.</t>
  </si>
  <si>
    <t>US - Cooperatieve Centrale Raiffeisen-Boerenleenbank BA {Rabobank} acquired all the outstanding common stock of Mid-State Bancshares (MS), Arroya Grande, California,a commercial bank holding company, for $37 in cash per share, or a total value of $815.077 mil. The transaction had been subject to customary closing conditions, MS shareholders and regulatory approvals.</t>
  </si>
  <si>
    <t>PennFed Finl Svcs Inc</t>
  </si>
  <si>
    <t>US - New York Community Bancorp Inc, Westbury, New York (NY) acquired all the outstanding common stock of PennFed Financial Services Inc (PF), a savings and loan holding company, in a stock swap transaction valued at $262.395 mil. NY offered 1. 222 shares per PF share. Based on NY's closing stock price of $16.07 on November 1, the last full trading day prior to announcement, each PF share was valued at $19. 638. The transaction had been subject to regulatory and PF shareholders approval.</t>
  </si>
  <si>
    <t>Reinhold Industries Inc</t>
  </si>
  <si>
    <t>Mnfr reinforced plastics</t>
  </si>
  <si>
    <t>The Jordan Co LP</t>
  </si>
  <si>
    <t>US - The Jordan Co LP (JC) acquired all the outstanding common stock of Reinhold Industries Inc (RI), a manufacturer of advanced custom composite components and sheet molding compounds, for $12.5 in cash per share, or a total value of $41.151 mil. The offer was conditioned upon at least a majority of JC's shares being tendered. Earlier, JC completed its tender offer to acquire all the outstanding common stock of RI by accepting 3.078 mil shares, or 93.5% of RI's common shares outstanding.</t>
  </si>
  <si>
    <t>US - Oracle Corp acquired all the outstanding common stock of Stellent Inc, a developer and wholesaler of software for the Internet, intranets and extranets, for $398.708 mil. Previously, Oracle Corp completed its tender offer to acquire all the outstanding common stock of Stellent Inc, via a tender offer for $13.5 in cash per share, by accepting 27.295 mil shares, or 92% of SI's common shares outstanding. The offer was not conditioned upon any minimum level of acceptance.</t>
  </si>
  <si>
    <t>First Federal Bancshares,IL</t>
  </si>
  <si>
    <t>Heartland Bancorp Inc</t>
  </si>
  <si>
    <t>US - Heartland Bancorp Inc acquired all the outstanding common stock of First Federal Bancshares Inc, Colchester, Illinois, a commercial bank holding company, for $23 in cash per share, or a total value of $30.202 mil. The transaction was subject to the approval of regulatory authorities.</t>
  </si>
  <si>
    <t>US - Southern Co was rumored to be in negotiations to merge with Progress Energy Inc, a provider of electric services. The Current status of this deal is unknown.</t>
  </si>
  <si>
    <t>Columbia Equity Trust Inc</t>
  </si>
  <si>
    <t>Special Situation Ppty Fund</t>
  </si>
  <si>
    <t>US - Special Situation Property Fund (SS), a unit of JPMorgan Chase &amp; Co's JP Morgan Fleming Asset Management subsidiary, acquired all the outstanding common stock of Columbia Equity Trust Inc (CE), a real estate investment trust, for a sweetened $19.5 in cash per share, or a total value of $483.335 mil, including the assumption of an estimated $213 mil in liabilities. Originally, SS offered $19 in cash per CE share. The transaction was approved by CE's Board of Directors, and had been subject to CE's shareholders approval and other customary closing conditions.</t>
  </si>
  <si>
    <t>Kos Pharmaceuticals Inc</t>
  </si>
  <si>
    <t>US - Abbott Laboratories (AL) acquired all the outstanding common stock of Kos Pharmaceuticals Inc (KP), a manufacturer of pharmaceuticals, for $78 in cash per KP common shares, or a total value of $4.146 bil. Earlier, AL completed its tender offer to acquire all the outstanding common stock of KP, by accepting 34.969 mil shares, or approximately 60.78% of KP's common stock outstanding. The transaction was conditioned upon at least a majority of KP's outstanding shares being tendered. The transaction had been subject to customary closing conditions and regulatory approval.</t>
  </si>
  <si>
    <t>Traffic.com Inc</t>
  </si>
  <si>
    <t>Pvd traffic info svcs</t>
  </si>
  <si>
    <t>NAVTEQ Corp</t>
  </si>
  <si>
    <t>Dvlp digital mapping software</t>
  </si>
  <si>
    <t>US - NAVTEQ Corp (NC) acquired all the outstanding common stock of Traffic.com Inc (TI), a provider of traffic information services, in a stock swap transaction valued at $186.418 mil. NC offered a choice of $8 in cash or 0.235 common shares per TI share, subject to proration whereby the total cash consideration was not to exceed $49 mil. The transaction had been subject to customary closing conditions and shareholder and regulatory approval.</t>
  </si>
  <si>
    <t>ElkCorp</t>
  </si>
  <si>
    <t>Mnfr asphalt roofing prod</t>
  </si>
  <si>
    <t>Building Materials Corp</t>
  </si>
  <si>
    <t>US - Building Materials Corp of America (BM), a unit of GAF Corp, acquired all the outstanding common stock of ElkCorp (EC), a manufacturer of asphalt roofing products, for a twice sweetened $43.5 cash per share, or a total value of $912.04 bil. Previously, BM offered a sweetened $40 cash per share, or a total value of $839.984 mil. The transaction was subject to regulatory approvals. Originally, BM offered $35 cash per share, or a total value of $737.048 mil. Subsequently, Carlyle Group LLC made a challenging bid to acquire EC.</t>
  </si>
  <si>
    <t>US - Renova Media Enterprises Ltd (RM), a unit of ZAO Renova, acquired the remaining 75.46% stake, or 11. 516 mil common shares plus options, which it did not already own, in Moscow CableCom Corp (MC), a manufacturer of electric components, for a twice sweetened $12.9 in cash per common share, and $39.409 in cash per Series A preferred share, or a total value of $151.94 mil. Each MC preferred share was convertible to 3.055 shares of MC common stock. The transaction had been subject to due diligence, shareholders approval, and customary closing conditions. Previously, RM offered $12 in cash per share. Originally, RM offered $10.8 in cash per share.</t>
  </si>
  <si>
    <t>OSI Restaurant Partners Inc</t>
  </si>
  <si>
    <t>Kangaroo Acquisition Inc</t>
  </si>
  <si>
    <t>US - Kanagroo Acquisition Inc, formed by Bain Capital Partners LLC, Catterton Partners, and OSI Restaurant Partners Inc (OR) founders Chris T. Sullivan, Robert D. Basham and J.Timothy Gannon, acquired all the outstanding common stock of OR, an owner and operator of restaurants, for a sweetened $41.15 in cash per share, or a total value of $3.387 bil, including the assumption of an estimated $185 mil in liabilities, in a leveraged buyout transaction. Originally, IG offered $40 in cash per share, or a total value of $3.30 bil, including the assumption of an estimated $185 mil in liabilities, in a leveraged buyout transaction. The transaction had been subject to customary closing conditions and regulatory approval.</t>
  </si>
  <si>
    <t>Per-Se Technologies Inc</t>
  </si>
  <si>
    <t>US - McKesson Corp acquired all the outstanding common stock of Per-Se Technologies Inc, a developer of health care industry software, for $28 in cash per share, or a total value of $1.382 bil. The transaction had been subject to regulatory approvals and customary closing conditions.</t>
  </si>
  <si>
    <t>PortalPlayer Inc</t>
  </si>
  <si>
    <t>Dvlp digital media software</t>
  </si>
  <si>
    <t>US - NVIDIA Corp acquired all the outstanding common stock of PortalPlayer Inc (PI), a developer of digital media software, for $13.5 in cash per PI common share, or a total value of $360.333 mil. The transaction had been subject to customary closing conditions and regulatory approval.</t>
  </si>
  <si>
    <t>US - A management-led investor group, including Mr. Jerry Moyes, acquired all the outstanding common stock of Swift Transportation Co Inc, a provider of trucking services, for a sweetened $31. 55 in cash per share, or a total value of $2.781 bil, including the assumption of $332 mil in liabilities. Originally, Mr. Moyes offered $29 in cash per share, or a total value of $2.242 bil, in a leveraged buyout transaction. The transaction has been subjected to due diligence, negotiation and execution of a definitive agreement, and receipt of necessary board, stockholder and regulatory approvals.</t>
  </si>
  <si>
    <t>United Financial Corp,MT</t>
  </si>
  <si>
    <t>US - US Bancorp (UB), Minneapolis, Minnesota acquired United Financial Corp (UF), Great Falls, Montana, a bank holding company, in a stock swap transaction valued at $70.494 mil, UB offered .6825 common share per UF share. Based on UB's closing stock price of $33.57 on November 3, the last full trading day prior to the announcement, each UF share was valued at $22.93. The transaction was subject to shareholder and regulatory approval.</t>
  </si>
  <si>
    <t>Essex Corp</t>
  </si>
  <si>
    <t>Pvd signal processing svcs</t>
  </si>
  <si>
    <t>US - Northrop Grumman Corp acquired all the outstanding common stock of Essex Corp, a provider of advanced optoelectronic imaging and signal processing services, for $24 in cash per share, or a total value of $563.065 mil. The transaction had been subject to customary closing conditions and regulatory approval.</t>
  </si>
  <si>
    <t>Tanox Inc</t>
  </si>
  <si>
    <t>US - Genentech Inc, a 55.3% owned unit of Roche Holding AG, acquired all the outstanding common stock of Tanox Inc, a biotechnology company specializing in the development of monoclonal antibodies, for $20 cash per share, or a total value of $921.557 mil. The transaction was subject to customary closing conditions and regulatory approval.</t>
  </si>
  <si>
    <t>Solexa Inc</t>
  </si>
  <si>
    <t>Illumina Inc</t>
  </si>
  <si>
    <t>Mnfr,whl science tools,systems</t>
  </si>
  <si>
    <t>US - Illumina Inc acquired all the outstanding common stock of Solexa Inc, a provider of biological research services, from Applied US - Illumina Inc acquired all the outstanding common stock of Solexa Inc, a provider of biological research services, from Applied Biosystems Group, a unit of Applera Corp, for $14 in common cash per share, for a total value of $538.513 mil, subject to a collar agreement. The transaction had been subject to customary closing conditions, shareholder and regulatory approvals.</t>
  </si>
  <si>
    <t>Eddie Bauer Holdings Inc</t>
  </si>
  <si>
    <t>Mnfr,ret outerwear,accessories</t>
  </si>
  <si>
    <t>Eddie B Holding Corp</t>
  </si>
  <si>
    <t>US - Eddie B Holding Corp, a special purpose vehicle formed by Sun Capital Partners Inc and Golden Gate Capital, withdrew its agreement to acquire all the outstanding common stock of Eddie Bauer Holdings Inc (EB), a manufacturer and retailer of outerwear and accessories, for $9.25 in cash per share, or a total value of $605.699 mil, including the assumption of an estimated $328 mil, in a leveraged buyout transaction. The transaction was subject to customary closing conditions, EB shareholders and regulatory approvals.</t>
  </si>
  <si>
    <t>Golf Galaxy Inc</t>
  </si>
  <si>
    <t>Own,op golf ret stores</t>
  </si>
  <si>
    <t>US - Dicks Sporting Goods Inc definitively acquired all the outstanding common stock of Golf Galaxy Inc, an owner and operator of golf specialty retail stores, for $18.82 mil in cash per share, or a total value of $221.393 mil. The transaction had been subject to shareholder and regulatory approval.</t>
  </si>
  <si>
    <t>US - Motorola Inc acquired all the outstanding common stock of Netopia Inc (NI), a developer of broadband Internet equipment, for $7 in cash per share, or a total value of $199.762 mil. The transaction had been subject to customary closing conditions and regulatory and shareholder approvals.</t>
  </si>
  <si>
    <t>US - An investor group, comprised of Ian Bruce Eichner and Dune Capital Management LP, withdrew its challenging tender offer to acquire all the outstanding common stock of Riviera Holdings Corp (RH), an owner and operator of hotels, for a sweetened $30 in cash per share, or a total value of $388.99 mil. The transaction was subject to due diligence, and regulatory and shareholder approvals. Previously, the investor group offered $21 in cash per share, or a total value of $267.501. Originally, Riv Acquisition Holdings Inc definitively agreed to acquire all the outstanding common stock of RH. Subsequently, International Gaming &amp; Entertainment LLC, a special purpose vehicle formed by BT Enterprises LLC, planned to launch a challenging tender offer to acquire all the outstanding common stock of RH, in a leveraged buyout transaction.</t>
  </si>
  <si>
    <t>Jakup a Dul Jacobsen</t>
  </si>
  <si>
    <t>US - Mr Jakup a Dul Jacobsen was rumored to be planning to acquire the remaining 90.2% interest in Pier 1 Imports Inc, a retailer of imported wicker furniture, home furnishings and specialty items and a majority-owned unit of Intermark Inc. The Current status of this deal is unknown.</t>
  </si>
  <si>
    <t>Timberland Co</t>
  </si>
  <si>
    <t>Mnfr footwear,apparel prod</t>
  </si>
  <si>
    <t>US - Timberland Co (TBL), a manufacturer of men's, women's, and children's clothing, footwear, and accessories, withdrew its search for a buyer for the company. Originally, in November 2006, TBL was rumored to be seeking a buyer for the company.</t>
  </si>
  <si>
    <t>Valley National Gases Inc</t>
  </si>
  <si>
    <t>Whl specialty gases</t>
  </si>
  <si>
    <t>US - Caxton-Iseman Capital Inc acquired Valley National Gases Inc (VN), a wholesaler of specialty gases, for $27 in cash per share, or a total value of $316.89 mil, including the assumption of an estimated $50.636 mil in liabilities, in a leveraged buyout transaction. The transaction had been subject to customary closing conditions, VN shareholders and regulatory approvals.</t>
  </si>
  <si>
    <t>Westborough Financial Services</t>
  </si>
  <si>
    <t>Hudson Savings Bank,Hudson,MA</t>
  </si>
  <si>
    <t>Chartered savings bk</t>
  </si>
  <si>
    <t>US - Hudson Savings Bank, Hudson, Massachusetts, a wholly-owned unit of Assabet Valley Bancorp Inc, Hudson, Massachusetts, merged with Westborough Financial Services Inc (WF), for $35 in cash per share, or a total value of $56.528 mil. The transaction had been subject to regulatory and shareholder approvals. Subsequently, Mr Marc J Bistricer terminated his plans to launch a challenging tender offer to acquire WF, for $40 in cash per share, or a total value of $64.359 mil.</t>
  </si>
  <si>
    <t>Embrex Inc</t>
  </si>
  <si>
    <t>Pfizer Animal Health</t>
  </si>
  <si>
    <t>US - Pfizer Animal Health, a unit of Pfizer Inc, acquired all the outstanding common stock of Embrex Inc, a biotechnology company focused on developing patented biological and mechanical products that improve bird health, reduce bird and production costs and provide other economic benefits to the poultry industry, for $17 in cash per share, or a total value of $150.397 mil. The transaction had been subject to shareholder, regulatory approval and customary closing conditions.</t>
  </si>
  <si>
    <t>US - Fortress Investment Group LLC acquired all the outstanding common stock of RailAmerica Inc, an owner and operator of freight railroads, for $16.35 in cash per share, or a total value of $677.667 mil, in a leveraged buyout transaction. The transaction was subject to customary closing conditions and regulatory and shareholder approvals.</t>
  </si>
  <si>
    <t>BT Triple Brown Capital Holdin</t>
  </si>
  <si>
    <t>US - BT Triple Brown Capital Holdings III Inc, a SPV formed by Bain Capital Partners LLC (BC) and Thomas H Lee Partners LP (TL), acquired all the outstanding common stock of Clear Channel Communications Inc (CCC), an owner and operator of radio and television broadcasting stations, for an amended $36 in cash per share, or a total value of $25.874 bil, including the assumption of approximately $8 bil in liabilities, in a leveraged buyout transaction. The transaction was subject to regulatory approval. Previously, the investor group offered a twice sweetened $39.2 in cash per share, or a total value of $27.472 bil. The revised offer was to include an additional per share consideration if the closing of the transaction occurs after December 31, 2007. Earlier, the investor group offered a sweetened $39 in cash per share, or a total value of $27.373 bil. Originally, the investor group offered $37.6 in cash per CCC share. Previously, in November 2006, CCC announced that it was seeking a buyer for the company. Providence Equity Partners LLC, Blackstone Group LP, Kohlberg Kravis Roberts &amp; Co, BC, Texas Pacific Group, and TL, were named as potential bidders. Originally, in October 2006, An investor group, comprised of Providence Equity Partners, Blackstone and KKR was rumored to be planning to acquire CCC.</t>
  </si>
  <si>
    <t>Conor Medsystems Inc</t>
  </si>
  <si>
    <t>Mnfr vascular medical devices</t>
  </si>
  <si>
    <t>US - Johnson &amp; Johnson Inc acquired the entire share capital of Conor Medsystems Inc, a manufacturer of vascular medical devices, for USD 33.50 in cash per share, or a total value of USD 1.459 bil. The transaction had been subject to regulatory and shareholder approvals, and customary closing conditions.</t>
  </si>
  <si>
    <t>Readers Digest Association Inc</t>
  </si>
  <si>
    <t>Publish,ret magazines,books</t>
  </si>
  <si>
    <t>US - An investor group led by Ripplewood Holdings LLC, and including J Rothschild Group of Cos, GoldenTree Asset Management LP, GSO Capital Partners LP, Merrill Lynch Capital Corp, a unit of Merrill Lynch &amp; Co Inc, and Magnetar Capital, acquired all the outstanding common stock of Reader's Digest Association Inc (RD), a publisher and retailer of magazines and books, for $17 in cash per share, or a total value of $2.391 bil, including the assumption of $776.3 mil in liabilities, in a leveraged buyout transaction. The transaction had been subject to customary closing conditions, RD shareholders and regulatory approvals.</t>
  </si>
  <si>
    <t>US - An investor group, comprised of Mr. Harry Macklowe and Mr. Carl Icahn, withdrew its plans to launch a challenging tender offer to acquire all the outstanding common stock of Reckson Associates Realty Corp (RA), a real estate investment trust, for $49 in cash per share, or a total value of $4. 139 bil. Previously, SL Green Realty Corp definitively agreed to acquire all the outstanding common stock of RA.</t>
  </si>
  <si>
    <t>OAO SeverStal</t>
  </si>
  <si>
    <t>US - OAO Severstal, a unit of OOO Kapital, was rumored to be in negotiations to acquire all the outstanding common stock of United States Steel Corp, a manufacturer of steel products. The Current status of this deal is unknown.</t>
  </si>
  <si>
    <t>US - Blackstone Group LP (BG), through its Blackstone Real Estate Partners LP unit, acquired all the outstanding common stock of Equity Office Properties Trust (EO), a real estate investment trust, for a twice-sweetened $55.50 in cash per share, or a total value of $40.657 bil, including the assumption of an estimated $16 bil in liabilities, in a leveraged buyout transaction. BG offered $50 in cash per 5.25% Series B preferred share and $25 in cash per 7.75% Series G preferred share. Originally, BG offered $48.5 per share and then a sweetened $54 per share. The transaction was approved by EO's Board of Trustees and was subject to customary closing conditions and EO's shareholders approval. Subsequently, an investor group, comprised of Vornado Realty Trust, Starwood Capital Group Global LLC and Walton Street Capital LLC, planned to launch a challenging offer to acquire all the outstanding common stock of EO.</t>
  </si>
  <si>
    <t>Copper,gold mining;hldg co</t>
  </si>
  <si>
    <t>US - Freeport-McMoran Copper &amp; Gold Inc (FM), acquired all the outstanding common stock of Phelps Dodge Corp (PD), a copper mining company, for $25.834 bil. FM offered $88 cash and .67 common shares per PD share. Based on FM's closing stock price on November 17 of $57.40, the last full trading day prior to the announcement, each PD share was valued at $38.458. The transaction was subject to shareholder and regulatory approvals, and customary closing conditions.</t>
  </si>
  <si>
    <t>ACM Muni Securities Inc Fund</t>
  </si>
  <si>
    <t>Closed-end invest fund</t>
  </si>
  <si>
    <t>Alliance National Municipal</t>
  </si>
  <si>
    <t>US - Alliance National Municipal Income Fund (AN) acquired all the oustanding stock of ACM Municipal Securities Income Fund Inc, a closed-end investment fund, in exchange for AN common shares. The transaction had been subject to shareholders approval.</t>
  </si>
  <si>
    <t>CoTherix Inc</t>
  </si>
  <si>
    <t>Actelion Pharmaceuticals Ltd</t>
  </si>
  <si>
    <t>US - Actelion Ltd (AL) acquired all the outstanding common stock of CoTherix Inc (CI), a manufacturer of prescription pharmaceuticals, for $13.50 in cash per share, or a total value of $417.595 mil. Earlier, AL completed its tender offer for CI by acquiring 27.875 mil common shares, or 97.1% of the share capital. The transaction was subject to regulatory approval and customary closing conditions. The offer was conditioned upon at least a majority of CI's shares being tendered.</t>
  </si>
  <si>
    <t>Hanover Direct Inc</t>
  </si>
  <si>
    <t>Chelsey Direct LLC</t>
  </si>
  <si>
    <t>US - Chelsey Direct LLC (CD) acquired the remaining 31% stake, or 6.952 mil common shares, which it did not already own, in Hanover Direct Inc (HD), a provider of mail order services, for $0.25 in cash per share or a total value of $1.738 mil. Previously, in May 2006, CD withdrew its plans to acquire the remaining 31% stake in HD.</t>
  </si>
  <si>
    <t>Netsmart Technologies Inc</t>
  </si>
  <si>
    <t>Netsmart Technologies Inc SPV</t>
  </si>
  <si>
    <t>US - Netsmart Technologies Inc SPV, a new company formed by Insight Venture Partners LLC and Bessemer Venture Partners LP, created for the purpose of making an acquisition, acquired all the outstanding common stock of Netsmart Technologies Inc, a developer of medical software and solutions for health and human services organizations, for $16.5 cash per share, or a total value of $117.486 mil, in a leveraged buyout transaction. The transaction had been subject to shareholder and regulatory approval and customary closing conditions.</t>
  </si>
  <si>
    <t>Oregon Steel Mills Inc</t>
  </si>
  <si>
    <t>Evraz Group SA</t>
  </si>
  <si>
    <t>Steel Foundries (Except Investment)</t>
  </si>
  <si>
    <t>US - Evraz Group SA (EG) acquired a 90.87% interest, or 32.784 mil common shares, in Oregon Steel Mills Inc (OS) , a manufacturer of steel products, for $63.25 in cash per share, or a total value of $2.088 bil. Originally, EG launched a tender offer to acquire all the outstanding common stock of OS, for $63. 25 in cash per share, or a total value of $2.28 bil. The offer had been conditioned upon at least majority of OS' shares being tendered. The transaction had been subject to customary closing conditions, OS shareholders and regulatory approvals.</t>
  </si>
  <si>
    <t>US - Toronto-Dominion Bank acquired the remaining 43% stake, or 98.182 mil common shares, which it did not already own, in TD Banknorth Inc, Portland, Maine, for $32. 33 in cash per share, or a total value of $3.232 bil. The transaction had been subject to shareholder and regulatory approvals.</t>
  </si>
  <si>
    <t>Verint Systems Inc</t>
  </si>
  <si>
    <t>Pvd analytic solutions svcs</t>
  </si>
  <si>
    <t>US - International Business Machines Corp {IBM Corp} was rumored to be planning to acquire all the outstanding common stock of Verint Systems Inc, a developer of analytic software. The Current status of this deal is unknown.</t>
  </si>
  <si>
    <t>US - In November 2006, Ameristar Casinos Inc, an owner and operator of casino hotels, was rumored to be seeking a buyer for the company. The Current status of this deal is unknown.</t>
  </si>
  <si>
    <t>Valley Bank Inc,Bristol,CO</t>
  </si>
  <si>
    <t>New England Bancshares Inc,CT</t>
  </si>
  <si>
    <t>US - New England Bancshares Inc, Enfiled, Connecticut (NE) , acquired all the outstanding common stock of First Valley Bancorp Inc, Bristol, Connecticut (FV), for $9 in cash and .8907 NE common shares per share, or a total value of $25.53 mil. The transaction was subject to the approval of FV shareholders and regulatory authorities.</t>
  </si>
  <si>
    <t>Inyx Inc</t>
  </si>
  <si>
    <t>US - A management-led investor group, comprised of Inyx Inc's (II) CEO Jack Kachkar and Mr. Steve Handley, acquired all the outstanding common stock of II, a manufacturer of prescription and over-the-counter pharmaceutical products, for $3.01 in cash per share, or a total value of $159.851 mil, in a leveraged buyout transaction. The transaction was subject to II shareholders approval.</t>
  </si>
  <si>
    <t>US - AngioDynamics Inc (AD) acquired all the outstanding common stock of Rita Medical Systems Inc (RM), a manufacturer and wholesaler of ablation technology products, in a stock swap transaction valued at $234. 189 mil, subject to a collar agreement. AD offered 0.1722 common shares per RM share. Based on AD's closing stock price of $22.01 of November 24, the last full trading day prior to the announcement, each RM share was valued at $4.70. The transaction had been subject to customary closing conditions, shareholders and regulatory approvals.</t>
  </si>
  <si>
    <t>National Home Health Care Corp</t>
  </si>
  <si>
    <t>US - An investor group, comprised of Angelo Gordon &amp; Co LP (AG) and Eureka Capital Partners LLC (EC), merges with National Home Health Care Corp (NH), a provider of home health care and staffing services, for a twice sweetened $12.75 in cash per share, or a total value of $73.302 mil. Previously, AG and EC offered a sweetened $12.5 in cash per share, or a total value of $71.856 mil. The transaction had been subject to NH shareholders and regulatory approvals. Originally, AG and EC offered $11.5 in cash per share, or a total value of $66.066 mil. Subsequently, Premier Home Health Care Services planned to acquire all the outstanding common stock of NH.</t>
  </si>
  <si>
    <t>US - Intuit Inc acquired all the outstanding common stock of Digital Insight Corp (DGIN) , a provider of Internet banking services, for $39 in cash per share, or a total value of $1.354 bil. The transaction had been subject to regulatory review, DGIN stockholder approval and other customary closing conditions.</t>
  </si>
  <si>
    <t>Marlton Technologies Inc</t>
  </si>
  <si>
    <t>Mnfr,ret exhibit fixtures</t>
  </si>
  <si>
    <t>Sparks Marketing Grp Inc</t>
  </si>
  <si>
    <t>US - Sparks Marketing Group Inc acquired an 83% interest, or 0.002 mil common shares, in Marlton Technologies Inc, a manufacturer and retailer of exhibit fixtures, for $8, 750 in cash per share, or a total value of $21.788 mil.</t>
  </si>
  <si>
    <t>Maurice R Greenberg</t>
  </si>
  <si>
    <t>US - Maurice R Greenberg was rumored to be in negotiations to acquire all the outstanding common stock of New York Times Co, a publishing company. The Current status of this deal is unknown.</t>
  </si>
  <si>
    <t>US - An investor group, comprised of Kohlberg Kravis Roberts &amp; Co and Texas Pacific Group Inc, discontinued rumors to be planning to acquire all the outstanding common stock of Home Depot Inc, an owner and operator of retail lumber, building material, home improvement, plumbing and electrical supplies and tools stores, in a leveraged buyout transaction.</t>
  </si>
  <si>
    <t>InfoLogix Inc</t>
  </si>
  <si>
    <t>US - InfoLogix Inc merged with New Age Translation Inc (NA), a provider of translation services. On completion, NA was renamed InfoLogix Inc.</t>
  </si>
  <si>
    <t>Mellon Financial,Pittsburgh,PA</t>
  </si>
  <si>
    <t>US - Bank of New York Co Inc, New York, New York (BN), merged with Mellon Financial Corp, Pittsburg, Pennsylvania (MF), a bank holding company, to form Bank of New York Mellon Corp (BM) in a stock swap transaction valued at $15.68 bil. MF common shareholders received 1 BM common share per MF share held, and BN common shareholders received 0.9434 BM common share per BN share held. Based on BN's closing stock price of $35.48 on December 1, the last full trading day prior to the announcement, each MF share was valued at $37.609. The transaction had been subject to shareholders and regulatory approvals.</t>
  </si>
  <si>
    <t>Agere Systems Inc</t>
  </si>
  <si>
    <t>Mnfr commun semiconductors</t>
  </si>
  <si>
    <t>US - LSI Logic Corp (LL) merged with Agere Systems Inc (AS), a manufacturer of communications semiconductors, including both optoelectronic components and integrated circuits, in a reverse takeover transaction valued at USD 3.825 bil, via a stock swap transaction. LL offered 2.16 common shares per AS shares. Based on LL's closing stock price on December 1, the last full trading day prior to the announcement, each AS share was valued at USD 22.81. On completion, the merged entity retained the name of LL. The transaction received shareholders and regulatory approval. Concurrently, LL authorized the repurchase of up to USD 500 mil of its common stock outstanding in open market transaction.</t>
  </si>
  <si>
    <t>Mac-Gray Corp</t>
  </si>
  <si>
    <t>Own,operate laundry facilities</t>
  </si>
  <si>
    <t>Coinmach Service Corp</t>
  </si>
  <si>
    <t>Pvd outsourced laundry svcs</t>
  </si>
  <si>
    <t>US - Coinmach Service Corp withdrew its plans to launch an unsolicited tender offer to acquire all the outstanding common stock of Mac-Gray Corp, an owner and operator of coin-operated laundries, for an estimated $13.75 in cash per share, or a total value of $187.537 mil.</t>
  </si>
  <si>
    <t>US - American Real Estate Partners LP (AR) terminated its plans to launch a challenging tender offer to acquire all the outstanding common stock of Reckson Associates Realty Corp (RA), a real estate investment trust, for $4.3 bil. The consideration was to consist of $1 bil in cash and $3.3 bil in AR preferred shares. Previously, SL Green Realty Corp definitively agreed to acquire all the outstanding common stock of RA.</t>
  </si>
  <si>
    <t>Fertitta Colony Partners LLC</t>
  </si>
  <si>
    <t>US - Fertitta Colony Partners LLC (FCP), an acquisition vehicle formed by Station Casinos Inc's (SCI) Chairman and CEO Frank J Fertitta and Colony Capital LLC, acquired the remaining 88.89% interest plus options, which it did not already own, in SCI, an owner and operator of hotels and casinos, for a sweetened $90 in cash per share, or a total value of $4.757 bil, in a leveraged buyout transaction. Originally, in December 2006 FCP offered $82 in cash per share or a total value of $4.384 bil. The transaction had been subject to shareholder and regulatory approval.</t>
  </si>
  <si>
    <t>Bandag Inc</t>
  </si>
  <si>
    <t>Mnfr,whl tread rubber</t>
  </si>
  <si>
    <t>Bridgestone Americas Holding</t>
  </si>
  <si>
    <t>Mnfr,whl tires,rubber products</t>
  </si>
  <si>
    <t>US - Bridgestone/Firestone Inc, a unit of Bridgestone Corp, acquired all the outstanding common stock of Bandag Inc, a manufacturer and wholesaler of tread rubbers, for $50.75 in cash per share, or a total value of $1.018 bil. The transaction had been subject to shareholder and regulatory approvals, as well as the satisfaction of other customary closing conditions.</t>
  </si>
  <si>
    <t>Direct General Corp</t>
  </si>
  <si>
    <t>Elara Holdings Inc</t>
  </si>
  <si>
    <t>US - Elara Holdings Inc, a unit of Texas Pacific Group Inc and Fremont Partners, acquired all the outstanding common stock of Direct General Corp, a provider of personal lines insurance and insurance related services, for $21.25 in cash per share, or a total value of $433.533 mil, including the assumption of an undisclosed amount in liabilities. The transaction had been subject to customary closing conditions, shareholders and regulatory approvals.</t>
  </si>
  <si>
    <t>DocuCorp International Inc</t>
  </si>
  <si>
    <t>Skywire Software LLC</t>
  </si>
  <si>
    <t>Dvlp web-based finl software</t>
  </si>
  <si>
    <t>US - Skywire Software, a unit of Hall Financial Group Ltd, acquired all the outstanding common stock of Docucorp International Inc (DI), a developer of solution portfolio of information software, application service provider hosting and professional services enabling companies to create, publish, manage and archive complex, high-volume, individualized information, for $10 in cash per share, or a total value of $128.049 mil. The transaction had been subject to customary closing conditions, shareholder and regulatory approval. Consequently, Ebix Inc launched a challenging tender offer to acquire all the outstanding common stock of DI.</t>
  </si>
  <si>
    <t>At Road Inc</t>
  </si>
  <si>
    <t>Dvlp MRM software</t>
  </si>
  <si>
    <t>Trimble Navigation Ltd</t>
  </si>
  <si>
    <t>Manufacture,wholesale navigation instruments</t>
  </si>
  <si>
    <t>US - Trimble Navigation Ltd (TN) acquired all the outstanding common stock of At Road Inc, a developer of Mobile Resource Management {MRM} software, for $494.091 mil. TN offered a choice of $7.50 in cash per share or $5 in cash per share and the remaining $2.50 per share in consideration would be a mixture of cash and/or TN stock to be determined at TN's sole discretion. The transaction had been subject to customary closing conditions and regulatory and shareholder approvals.</t>
  </si>
  <si>
    <t>US - United Air Lines Inc, a majority-owned unit of UAL Corp, discontinued its rumors to merge with Continental Airlines Inc, a provider of air transportation services.</t>
  </si>
  <si>
    <t>US - Penn National Gaming Inc (PN) withdrew its plans to launch an unsolicited challenging offer to acquire all the outstanding common stock of Harrah's Entertainment Inc (HE), an owner and operator of casinos and hotels, for $87 in cash per share, or a total value of $16.61 bil. The transaction was subject to regulatory and shareholders approval. Originally, an investor group, comprised of Apollo Management LP and Texas Pacific Group Inc, planned to acquire all the outstanding common stock of HE. Subsequently, PN was rumored to be planning to acquire all the outstanding common stock of HE.</t>
  </si>
  <si>
    <t>Sovereign Holdings Inc</t>
  </si>
  <si>
    <t>US - Sovereign Holdings Inc, a special purpose acquisition vehicle, formed by Silver Lake Partners (SL) and Texas Pacific Group Inc (TP) acquired all the outstanding common stock of Sabre Holdings Corp (SH), a provider of electronic travel information distribution services, for $32.75 in cash per share, or a total value of $4.987 bil, including the assumption of an estimated $550 mil in liabilities, in a leveraged buyout transaction. The transaction had been subject to customary closing conditions, shareholders and regulatory approvals. Originally, an investor group comprised of SL and TP was rumored to be planning to acquire SH.</t>
  </si>
  <si>
    <t>Valera Pharmaceuticals Inc</t>
  </si>
  <si>
    <t>Indevus Pharmaceuticals Inc</t>
  </si>
  <si>
    <t>US - Indevus Pharmaceuticals Inc (IP) acquired all the outstanding common stock of Valera Pharmaceuticals Inc (VP), a manufacturer of specialty pharmaceuticals, in a stock swap transaction valued at $177.002 mil. IP offered $7.75 in common shares and up to $3.50 in profit-related payments per VP share. The transaction had been subject to customary closing conditions and regulatory and shareholder approvals.</t>
  </si>
  <si>
    <t>Midwest Air Group Inc</t>
  </si>
  <si>
    <t>US - AirTran Holdings Inc (AT) withdrew its hostile tender offer to acquire all the outstanding common stock of Midwest Air Group Inc (MWA) , a passenger airline company, in a stock swap transaction valued at $325.053 mil. AT offered a four-time sweetened $10 in cash and 0.606 common shares per MWA shares. Based on AT's closing stock price of $10.32 on August 13, the last full trading day prior to the announcement of the amended terms, each MWA share valued at $16.254. Previously, AT offered a thrice sweetened $9.5 in cash and 0. 5842 common shares per MWA share. Previously, AT offered a twice sweetened $9 in cash and 0.5842 common shares per MWA share. Subsequently, AT offered a sweetened $12.6369 in cash per share. Originally, AT offered $11.25 in cash per share. The transaction was subject to customary due diligence, regulatory and shareholder approval. Subsequently, TPG Capital LP planned to launch a challenging tender offer to acquire all the outstanding common stock of MWA.</t>
  </si>
  <si>
    <t>CN Bancorp Inc</t>
  </si>
  <si>
    <t>US - Sandy Spring Bancorp Inc, Olney, Maryland (SS), acquired all the outstanding common stock of CN Bancorp Inc (CN), for total value of $44.224 mil in cash and common stock. SS offered a choice of $25 in cash or 0. 6657 common shares per CN share, subject to proration or a combination of both, whereby at least 50% of the total consideration was to comprise SS common stock. The transaction had been subject to regulatory approvals.</t>
  </si>
  <si>
    <t>Electronic Clearing House Inc</t>
  </si>
  <si>
    <t>Pvd credit card processing svc</t>
  </si>
  <si>
    <t>US - Intuit Inc terminated its agreement to acquire all the outstanding common stock of Electronic Clearing House Inc, a provider of electronic processing and financial services solutions, for $18. 75 in cash per share, or a total value of $140.743 mil. The transaction was subject to the approval of regulatory authorities.</t>
  </si>
  <si>
    <t>First Brandon Financial Corp</t>
  </si>
  <si>
    <t>New Hampshire Thrift,NH</t>
  </si>
  <si>
    <t>US - New Hampshire Thrift Bancshares Inc (NH), located in Newport, New Hampshire, acquired all the outstanding common stock of First Brandon Financial Corp, a provider of financial services, for an estimated $21.2 mil in cash and NH common stock. The transaction had been subject to shareholders and regulatory approvals.</t>
  </si>
  <si>
    <t>Realogy Corp</t>
  </si>
  <si>
    <t>US - Apollo Management LP, a unit of Apollo Advisors LP, definitively acquired all the outstanding common stock of Realogy Corp (RC), a real estate agency, for $30 in cash per share, or a total value of $9.367 bil, including the assumption of an estimated $2.35 bil, in a leveraged buyout transaction. The transaction was subject to customary closing conditions and RC shareholders and regulatory approvals.</t>
  </si>
  <si>
    <t>LVB Acquisition Inc</t>
  </si>
  <si>
    <t>Manufacture surgical products</t>
  </si>
  <si>
    <t>US - LVB Acquisition LLC (LA), a special purpose acquisition vehicle formed by Blackstone Group, Goldman Sachs Capital Partners, a unit of Golman Sachs Group Inc's Goldman Sachs &amp; Co subsidiary, Kohlberg Kravis Roberts &amp; Co, Texas Pacific Group Inc, and Dane A. Miller, one of Biomet Inc's (BI) founders, acquired an 82.85% interest, or 210.045 mil common shares in BI, a manufacturer of surgical and medical supplies, for a sweetened $46 in cash per share, or a total value of $9. 444 bil, in a leveraged buyout transaction, via a tender offer to acquire all of the outstanding common stock Originally, LA offered $44 in cash per share, or a total value of $10.87 bil. The transaction was subject to shareholders and regulatory approvals. The offer was conditioned upon at least 75% of BI's outstanding shares being tendered. Subsequently, LA agreed to acquire the remaining 17.15% stake which it did not already own in BI via tender offer.</t>
  </si>
  <si>
    <t>US - Express Scripts Inc (ES) withdrew its plans acquire all the outstanding common stock of Caremark Rx Inc (CR), a provider of prescription benefit management services, therapeutic pharmaceutical services, and associated disease management program services, in a stock swap transaction valued at $24.948 bil. ES offered 0.426 common share per CR share and $29.25 cash per share. Based on ES' closing stock price of $68.66 on December 15, the last full trading day prior to the announcement, each CR share was valued at $58.498. The transaction was subject to regulatory approval. Previously, CVS Corp definitively agreed to merge with CR.</t>
  </si>
  <si>
    <t>US - Carlyle Group LLC (CG) withdrew its offer to acquire all the outstanding common stock of ElkCorp (EC), a manufacturer of asphalt roofing products, for a twice sweetened $42 cash per share, or a total value of $1.038 bil, including the assumption of $173 mil in liabilities, in a leveraged buyout transaction via a challenging bid. The transaction was subject to shareholder and regulatory approval and customary closing conditions. Subsequently, CG offered a sweetened $40.5 cash per share, or a total value of $1. 028 bil, including the assumption of $173 mil in liabilities. Originally, CG offered $38 cash per share, or a total value of $976.081 mil, including the assumption of $173 mil in liabilities. Previously, Building Materials Corp of America, a unit of GAF Corp, planned to acquire all the outstanding common stock of EC.</t>
  </si>
  <si>
    <t>Farrel Corp</t>
  </si>
  <si>
    <t>US - An undisclosed investor group acquired all the outstanding common stock of Farrel Corp, a manufacturer, designer, and service machinery and associated equipment, for $18.426 mil. The consideration consisted of $2.75 per share, or a total value of $16.891 mil and up to $1.535 mil in profit-related payments. The transaction had been subject to the approval of regulatory authorities.</t>
  </si>
  <si>
    <t>Knova Software Inc</t>
  </si>
  <si>
    <t>US - M2M Holdings Inc, a jointly-owned unit of Battery Ventures VI LP and Thoma Cressey Equity Partners, acquired all the outstanding common stock of KNOVA Software Inc, a provider of software services, for $5 in cash per share, or a total value of $46.19 mil. The transaction had been subject to regulatory and shareholder approval.</t>
  </si>
  <si>
    <t>Manatron Inc</t>
  </si>
  <si>
    <t>Develop web-based software</t>
  </si>
  <si>
    <t>Constellation Software Inc</t>
  </si>
  <si>
    <t>Provide systems software development services</t>
  </si>
  <si>
    <t>US - Constellation Software Inc (CS) withdrew its plans to launch an unsolicited tender offer to acquire all the outstanding common stock of Manatron Inc (MI), a provider of software, hardware, and services for the state and local government, for a sweetened $10 per share, or a total value of $52.793 mil. The transaction was subject to due diligence completion, boards of directors and shareholders approval. Originally, CS offered $9 per MI share, or a total value of $47.253 mil.</t>
  </si>
  <si>
    <t>Redback Networks Inc</t>
  </si>
  <si>
    <t>Mnfr networking equip</t>
  </si>
  <si>
    <t>US - LM Ericsson Telefon AB acquired all the outstanding common stock of Redback Networks Inc, a manufacturer of broadband networking equipment, for $25 in cash per share, or a total value of $2.046 bil, via a tender offer. The transaction had been subject to customary closing conditions and regulatory approvals.</t>
  </si>
  <si>
    <t>US - Publicis Groupe SA (PG) completed its tender offer to acquire all the outstanding common stock of Digitas Inc (DI), a provider of technology business services, for $13.5 in cash per share, or a total value of $1.323 bil. Earlier, PG completed its tender offer by accepting 86.481 mil shares, or about 93.7% of DI's common shares outstanding. The offer was conditioned upon at least a majority of DI's shares being tendered.</t>
  </si>
  <si>
    <t>US - M &amp; F Worldwide Corp acquired all the outstanding common stock of John H Harland Co, a developer of software, for $52.75 in cash per share, or a total value of $1.422 bil. The transaction had been subject to shareholder approval. Regulatory approval was duly granted.</t>
  </si>
  <si>
    <t>Horizon Health Corp</t>
  </si>
  <si>
    <t>US - Psychiatric Solutions Inc acquired all the outstanding common stock of Horizon Health Corp (HH), a provider of medical and health services, for $20 in cash per share, or a total value of $418.552 mil, including the assumption of an estimated $105 mil in liabilities. The transaction had been subject to HH shareholders and regulatory approvals.</t>
  </si>
  <si>
    <t>Mnfr sec sys</t>
  </si>
  <si>
    <t>US - Protection One Inc (PO), a majority-owned unit of Quadrangle Group LLC, merged with Integrated Alarm Services Group Inc (IA), a provider of monitoring services, in a stock swap transaction valued at $84.804 mil. PO offered 0.29 share per IA share. Based on PO's closing stock price of $12 on December 19, the last full trading day prior to the announcement, each IA share was valued at $3.48. The transaction had been subject to IA shareholders and regulatory approvals. On completion, the merged entity retained the name PO, and IA and PO owned 28% and 72% of the merged entity, respectively.</t>
  </si>
  <si>
    <t>US - Huntington Bancshares Inc, Columbus, Ohio (HB) merged with Sky Financial Group Inc, Bowling Green, Ohio (SF), a commercial bank holding company, in a stock swap transaction valued at $3. 294 bil. HB offered $3.023 in cash and 1.098 shares per SF share. Based on HB's closing stock price of $24.77 on December 19, the last full trading day prior to announcement, each SF share was valued at $27.197. The transaction was approved by both companies' board of directors, and was subject to regulatory and shareholders approvals.</t>
  </si>
  <si>
    <t>Citizens Bancorp Inc,PA</t>
  </si>
  <si>
    <t>Citizens &amp; Northern Corp</t>
  </si>
  <si>
    <t>US - Citizens &amp; Northern Corp, (CN) Wellsboro, Pennsylvania merged with Citizens Bancorp Inc (CB), Coudersport, Pennsylvania, a bank holding company, in a stock swap transaction valued at $29.102 mil. CN offered a choice of $28.57 in cash or 1. 297 common shares per CB share, subject to proration whereby 50% of the total consideration was to be paid in cash, and the remaining 50% in common shares. The transaction had been subject to customary closing conditions and regulatory and CB shareholder approvals. On completion, the merged entity retained the name CN.</t>
  </si>
  <si>
    <t>National Health Realty Inc</t>
  </si>
  <si>
    <t>National HealthCare Corp</t>
  </si>
  <si>
    <t>Own,operate health care center</t>
  </si>
  <si>
    <t>US - National Healthcare Corp (NH) merged with National Health Realty Inc (NR), a real estate investment trust, in a stock swap transaction valued at $224.938 mil. NH offered $9 in cash and 1 preferred stock convertible to 0.242 common share, per NR share. Based on NH's closing stock price of $56.1 on December 20, the last full trading day prior to the announcement, each NR share was valued at $22.576. The transaction had been subject to regulatory and shareholder approval.</t>
  </si>
  <si>
    <t>Praecis Pharmaceuticals Inc</t>
  </si>
  <si>
    <t>US - GlaxoSmithKline PLC acquired an 85.95% interest, or 9.236 mil common shares, in Praecis Pharmaceuticals Inc (PP), a biopharmaceutical company, for $5 per share, or a total value of $46.181 mil, via a tender offer. Originally, GSK launched a tender offer to acquire all the outstanding common stock of PP. The offer was conditioned upon at least a majority of PP's shares being tendered. The transaction was subject to customary closing conditions. Concurrently, GSK planned to acquire the remaining 14.05% stake, or 1. 51 mil common shares, which it did not already own in PP.</t>
  </si>
  <si>
    <t>ADESA Inc</t>
  </si>
  <si>
    <t>Whl automobiles</t>
  </si>
  <si>
    <t>KAR Holdings II LLC</t>
  </si>
  <si>
    <t>US - KAR Holdings II LLC, a special purpose acquisition vehicle formed by Kelso &amp; Co , Goldman Sachs Capital Partners LP, a unit of Goldman Sachs Group Inc's Goldman Sachs &amp; Co subsidiary, ValueAct Capital Partners LP and Partheon Capital LLC, acquired all the outstanding common stock of Adesa Inc, a wholesaler of automobile and a provider of auctions and used vehicle dealer floor plan financing services, for $27.85 cash per share, or a total value of $2.556 bil, in a leveraged buyout transaction. The transaction was subject to shareholders and regulatory approval and customary closing conditions.</t>
  </si>
  <si>
    <t>Crested Corp</t>
  </si>
  <si>
    <t>Uranium,gold mining co</t>
  </si>
  <si>
    <t>US Energy Corp</t>
  </si>
  <si>
    <t>Oil,gas expl;gold mining co</t>
  </si>
  <si>
    <t>US - US Energy Corp (UE) acquired the remaining 29% stake, or 4.983 mil common shares, which it did not already own, in Crested Corp (CC), an uranium, gold, molybdenum mining company, in a stock swap transaction valued at $14.268 mil. UE offered 1 common share per 2 CC common shares. The shares were valued based on UE's closing stock price of $5.14 on December 25, the last full trading day prior to the announcement. The transaction had been subject to shareholders approval and customary closing conditions.</t>
  </si>
  <si>
    <t>Cadmus Communications Corp</t>
  </si>
  <si>
    <t>Pvd graphic commun svcs</t>
  </si>
  <si>
    <t>US - Cenveo Inc acquired all the outstanding common stock of Cadmus Communications Corp, a provider of graphic communications services, for $24.75 in cash per share, or a total value of $435.65 mil, including the assumption of an estimated $194.117 mil in liabilities. The transaction had been subject to customary closing conditions, shareholders and regulatory approvals.</t>
  </si>
  <si>
    <t>Carreker Corp</t>
  </si>
  <si>
    <t>Pvd integrated consulting svcs</t>
  </si>
  <si>
    <t>US - CheckFree Corp acquired all the outstanding common stock of Carreker Corp, a provider of integrated consulting services and software solutions, for $8.05 per share, or a total value of $211.458 mil. The transaction had been subject to regulatory and shareholder approvals and customary closing conditions.</t>
  </si>
  <si>
    <t>US - A management-led investor group, comprised of EGL Inc's (EI) Chairman and CEO Mr. James Crane, Centerbridge Partners LP and Woodbridge Co Ltd, withdrew its definitive agreement to acquire all the outstanding common stock of EI, a provider of transportation, supply chain management and information services, for a thrice sweetened $46.25 in cash per share, or a total value of $1.916 bil, in a leveraged buyout transaction. Previously, the investor group offered a twice sweetened $45 in cash per share, or a total value of $1. 863 bil, from a sweetened $38 in cash per share, or a total value of $1.663 bil. Originally, the investor group offered $36 in cash per share, or a total value of $1. 489 bil. The transaction was subject to customary closing conditions and regulatory and shareholder approvals. Subsequently, Apollo Management LP planned to acquire all the outstanding common stock of EI, in a leveraged buyout transaction.</t>
  </si>
  <si>
    <t>US - An investor group (IG), led by Golden Gate Capital and Appleseed's Inc, acquired the remaining 91.9% interest plus options, which they did not already own, in Blair Corp, a provider of ecommerce retail services, for a sweetened $42.5 in cash per share, or a total value of $152.243 mil, in a leveraged buyout transaction. Originally, IG offered $37.5 in cash per share, or a total value of $132.315 mil.</t>
  </si>
  <si>
    <t>Homestead Bancorp Inc,LA</t>
  </si>
  <si>
    <t>First Guaranty Bank,Hammond</t>
  </si>
  <si>
    <t>US - First Guaranty Bank, Hammond, Louisiana acquired all the outstanding common stock of Homestead Bancorp Inc, Ponchatoula, Louisiana, for $17.6 in cash per share, or a total value of $13.918 mil. The transaction was subject to the approval of regulatory authorities.</t>
  </si>
  <si>
    <t>IntraLase Corp</t>
  </si>
  <si>
    <t>Mnfr medical lasers</t>
  </si>
  <si>
    <t>US - Advanced Medical Optics Inc acquired IntraLase Corp (IC), a manufacturer of medical lasers, for $25 in cash per share, or a total value of $813.393 mil. The transaction had been subject to customary closing conditions, IC shareholders' and regulatory approvals.</t>
  </si>
  <si>
    <t>L Q Corp In</t>
  </si>
  <si>
    <t>Dvlp access control software</t>
  </si>
  <si>
    <t>Dynabazaar Inc</t>
  </si>
  <si>
    <t>Pvd Internet auction svcs</t>
  </si>
  <si>
    <t>US - Dynabazaar Inc (DI) mergedwith L Q Corp Inc (LQ), a developer of open architecture access control software, programmable controllers, readers, and identity cards, in a stock swap transaction valued at $3. 462 mil. DI offered 3.65 common shares per LQ share. Based on DI's closing stock price of $0.295 on January 4, the last full trading day prior to the announcement, Each LQ share was valued at $1.077. The transaction was subject to customary closing conditions and stockholders approval.</t>
  </si>
  <si>
    <t>Penn Laurel Financial Corp</t>
  </si>
  <si>
    <t>US - Northwest Bancorp Inc, Warren, Pennsylvania, acquired all the outstanding common stock of Penn Laurel Financial Corp, a bank holding company, for $31 in cash per share, or a total value of $33.201 mil. The transaction had been subject to shareholders and regulatory approval.</t>
  </si>
  <si>
    <t>US - Forest Oil Corp (FO) acquired all the outstanding common stock of Houston Exploration Co (HE), an oil and gas exploration and production company, for an estimated $1.560 bil, including the assumption of $100 mil in liabilities. FO offered 0.84 common share and $26.25 in cash per HE share. Based on FO's closing stock price of $31.22 on January 5, the last full trading day prior to the announcement, each HE share was valued at $52.475. The transaction had been subject to customary closing conditions and regulatory approvals.</t>
  </si>
  <si>
    <t>Essilor International SA</t>
  </si>
  <si>
    <t>Manufacture, wholesale ophthalmic products</t>
  </si>
  <si>
    <t>US - Essilor International SA was rumored to be planning to acquire all the outstanding common stock of Cooper Cos Inc, a manufacturer of contact lenses and solutions. The Current status of this deal is unknown.</t>
  </si>
  <si>
    <t>United Surgical Partners Intl</t>
  </si>
  <si>
    <t>Own,op surgery ctr,hosp</t>
  </si>
  <si>
    <t>UNCN Acquisition Corp</t>
  </si>
  <si>
    <t>US - UNCN Acquisition Corp, a unit of Welsh Carson Anderson &amp; Stowe, merged with United Surgical Partners International Inc, an owner and operator of surgery centers and private surgical hospitals, for $31.05 in cash per share, or a total value of $1.444 bil, including the assumption of an undisclosed amount in liabilities, in a leveraged buyout transaction. The transaction has been subjected to shareholder and regulatory approvals and customary closing conditions.</t>
  </si>
  <si>
    <t>US - Eastman Kodak Co was rumored to be planning to acquire all the outstanding common stock of Xerox Corp, a manufacturer of business machines. The Current status of this deal is unknown.</t>
  </si>
  <si>
    <t>Genstar Capital LLC</t>
  </si>
  <si>
    <t>US - Genstar Capital LLC acquired all the outstanding common stock of International Aluminum Corp, a manufacturer of metal doors, sash frames, glass product and aluminum extrusions, for $53 in cash per share, or a total value of $228.365 mil, in a leveraged buyout transaction.</t>
  </si>
  <si>
    <t>Kelly Capital LLC</t>
  </si>
  <si>
    <t>US - Kelly Capital planned to launch an unsolicited offer to acquire all the outstanding common stock of Mace Security International Inc, a manufacturer and wholesaler of defense sprays, personal alarms, whistles, and window and door locks alarms, for $3 per share, or a total value of $47.359 mil, in a leveraged buyout transaction.</t>
  </si>
  <si>
    <t>Premier Home Health Care Svcs</t>
  </si>
  <si>
    <t>Pvd home healthcare svcs</t>
  </si>
  <si>
    <t>US - Premier Home Health Care Services (PH) withdrew its plans to acquire all the outstanding common stock of National Health Care Corp (NH) , a provider of home health care services, for a sweetened $12.75 in cash per share, or a total value of $73.286 mil. Originally, PH offered $12 in cash per share, or a total value of $69.039 mil. The transaction was subject to due diligence. Previously, an investor group, comprised of Angelo Gordon &amp; Co LP and Eureka Capital Partners LLC, agreed to merge with NH.</t>
  </si>
  <si>
    <t>US - Wells Fargo &amp; Co, San Francisco, California (WF) acquired all the outstanding common stock of Placer Sierra Bancshares, Sacramento, California (PS), a bank holding company, in a stock swap transaction valued at $627.781 mil, subject to a collar agreement. WF offered . 779 common share per PS share. Based on WF's closing stock price of $35.50 on January 8, the last full trading day prior to the announcement, each PS share was valued at $27.655. The transaction had been subject to regulatory and PS shareholders approval.</t>
  </si>
  <si>
    <t>Bank of Richmond NA</t>
  </si>
  <si>
    <t>Gateway Financial Holdings Inc</t>
  </si>
  <si>
    <t>US - Gateway Financial Holdings Inc (GF) acquired all the outstanding common stock of Bank of Richmond NA, Richmond, Virginia, for an estimated $55.8 mil. The consideration consisted of an estimated $27.9 mil in cash and an estimated $27.9 mil in GF common stock. The transaction had been subject to regulatory and shareholder approvals.</t>
  </si>
  <si>
    <t>Champps Entertainment Inc</t>
  </si>
  <si>
    <t>Own, op dining restaurants</t>
  </si>
  <si>
    <t>Kinderhook Industries LLC</t>
  </si>
  <si>
    <t>US - Kinderhook Industries LLC withdrew its Letter of Intent {LoI} to acquire all the outstanding stock of Champps Entertainment Inc (CE) , an owner and operator of restaurants, for $75 mil in cash and the assumption of an undisclosed amount in liabilities. The transaction was subject to due diligence completion, shareholder and regulatory approvals. Subsequently, F&amp;H Acquisition Corp acquired all the outstanding common stock of CE.</t>
  </si>
  <si>
    <t>ZEVEX International Inc</t>
  </si>
  <si>
    <t>Moog Inc</t>
  </si>
  <si>
    <t>Manufacture motion control products</t>
  </si>
  <si>
    <t>US - Moog Inc acquired all the outstanding common stock of ZEVEX International Inc (ZI), a manufacturer and wholesaler of medical devices, for $13 in cash per share, or a total value of $81.097 mil. The transaction had been subject to regulatory and ZI shareholders approvals.</t>
  </si>
  <si>
    <t>J-M Manufacturing Co Inc</t>
  </si>
  <si>
    <t>Mnfr PVC pipes</t>
  </si>
  <si>
    <t>US - J-M Manufacturing Co Inc acquired all the outstanding common stock of PW Eagle Inc, a manufacturer and wholesaler of polyvinyl chloride (PVC) pipe and fittings, and polyethylene (PE) pipe and tubing products, for $33.5 in cash per share, or a total value of $462.447 mil. The transaction had been subject to shareholder and regulatory approval.</t>
  </si>
  <si>
    <t>USI Holdings Corp</t>
  </si>
  <si>
    <t>GS Capital Partners LP</t>
  </si>
  <si>
    <t>US - GS Capital Partners LP, a unit of Goldman Sachs Group Inc's Goldman Sachs &amp; Co subsidiary, acquired all the outstanding common stock of USI Holdings Corp, an insurance company, for USD 17 in cash per share, or a total value of USD 992.896 mil, in a leveraged buyout transaction. The transaction had been subject ot shareholder and regulatory approval.</t>
  </si>
  <si>
    <t>Genesis HealthCare Corp</t>
  </si>
  <si>
    <t>Pvd nursing care svcs</t>
  </si>
  <si>
    <t>FC-GEN Acquisition Holding LLC</t>
  </si>
  <si>
    <t>Provide skilled nursing svcs</t>
  </si>
  <si>
    <t>US - Formation Capital LLC and JER Partners, through their FC-GEN Acquisition Inc joint venture unit (FC), acquired all the outstanding common stock of Genesis Healthcare Corp (GH), a provider of nursing care services, for a four times sweetened $69.35 in cash per share, or a total value of $1. 917 bil, including the assumption of an estimated $475 mil in liabilities. The transaction was subject to shareholder and regulatory approvals, and other customary closing conditions. Previously, FC offered a thrice sweetened $68.15 in cash per share. Previously, FC offered a twice sweetened $65.25 in cash per share from a sweetened $64.25 in cash per share. Originally, FC offered $63 in cash per share, or a total value of $1.725 bil. Subsequently, Fillmore Capital Partners LLC withdrew its challenging tender offer to acquire all the outstanding common stock of GH.</t>
  </si>
  <si>
    <t>Interpool Inc</t>
  </si>
  <si>
    <t>Pvd cargo storage leasing svcs</t>
  </si>
  <si>
    <t>US - A management-led investor group, including Interpool Inc's (IP) CEO and Chairman Martin Tuchman, withdrew its plans to acquire an 81% interest plus options, or 26.261 mil common shares of IP, a provider of intermodal dry cargo containers and intermodal container chassis leasing services, for $24 in cash per share, or a total value of $593.346 mil, in a leveraged buyout transaction. Subsequently, an investor group, including Fortress Investment Group LLC, definitively agreed to acquire all the outstanding common stock of IP.</t>
  </si>
  <si>
    <t>Smith &amp; Wollensky Rntnt Grp</t>
  </si>
  <si>
    <t>Landry's Restaurants Inc</t>
  </si>
  <si>
    <t>Own,operate seafood restaurant</t>
  </si>
  <si>
    <t>US - Landry's Restaurant Inc (LR) withdrew its plans to launch an unsolicited tender offer to acquire all the outstanding common stock of Smith &amp; Wollensky Restaurant Group Inc (SW), an owner and operator of restaurants, for $9.75 in cash per share, or a total value of $89.707 mil. Subsequently, Patina Restaurant Group LLC definitively agreed to launch a challenging offer to acquire all the outstanding common stock of SW for $79. 463 mil. Originally, LP withdrew its offer to acquire SW for $7.5 in cash per share, or a total value of $66.730 mil.</t>
  </si>
  <si>
    <t>US - An investor group (IG), comprised of Vornado Realty Trust (VR), Starwood Capital Group Global LLC (SC), and Walton Street Capital LLC (WS) , withdrew its plans to launch a challenging offer to acquire all the outstanding common stock of Equity Office Properties Trust (EO), a real estate investment trust, for a sweetened $56 per share, or a total value of $25.05 bil. The offer was to comprise of $31 in cash and $25 in VR common stock for each EO share. Originally, offered $52 per share, whereby 60% was to be payable in cash and 40% in VR common stock. Previously, Cerberus Capital Management LP was rumored to be planning to launch a challenging offer to acquire EO, wherein VR, SC and WS were also named potential bidders. Originally, in November 2006, Blackstone Group LP definitively agreed to acquire EO.</t>
  </si>
  <si>
    <t>Mills Corp</t>
  </si>
  <si>
    <t>Brookfield Asset Mgmt Inc</t>
  </si>
  <si>
    <t>Provide asset management services</t>
  </si>
  <si>
    <t>US - Brookfield Asset Management Inc withdrew its agreement to acquire all the outstanding common stock of Mills Corp (MC), a real estate investment trust company, for $21 in cash per share, or a total value of $1. 189 bil, including the assumption of $7.5 bil in liabilities, in a leveraged buyout transaction. The transaction was subject to regulatory and shareholder approval. Subsequently, an investor group, comprised of Simon Property Group Inc and Farallon Capital Management LLC, planned to launch a challenging tender offer to acquire all the outstanding common stock of MC.</t>
  </si>
  <si>
    <t>Comprehensive Care Corp</t>
  </si>
  <si>
    <t>Hythiam Inc</t>
  </si>
  <si>
    <t>Pvd health mgmt svcs</t>
  </si>
  <si>
    <t>US - Hythiam Inc (HI) withdrew its agreement to acquire all the outstanding common stock of Comprehensive Care Corp, a provider of medical and health services, for an estimated $16.088 mil. The consideration was to consist of an estimated $9 mil in cash and 0.708 mil HI common shares valued at $7. 088 mil. The shares were valued based on HI's closing stock price of $10.01 on January 17, the last full trading day prior the announcement.</t>
  </si>
  <si>
    <t>North Bay Bancorp/CA</t>
  </si>
  <si>
    <t>Comml bk hldg co</t>
  </si>
  <si>
    <t>US - Umpqua Holdings Corp (UH) acquired all the outstanding common stock of North Bay Bancorp (NB), a commercial bank holding company, in a stock swap transaction valued at $155. 873 mil. UH offered 1.217 common shares per NB share. Based on UH's closing stock price of $28.77 on January 17, the last full trading day prior to the announcement, each NB share was valued at $35.01.</t>
  </si>
  <si>
    <t>EasyLink Services Corp</t>
  </si>
  <si>
    <t>Pvd electn mail svcs</t>
  </si>
  <si>
    <t>Internet Commerce Corp</t>
  </si>
  <si>
    <t>US - Internet Commerce Corp acquired all the outstanding common stock of Easylink Services Corp, a provider of email, fax, automated forms processing and transaction delivery and management services, for $5 per share, or a total value of $77.103 mil, including the assumption of $5 mil in liabilities.</t>
  </si>
  <si>
    <t>Merrill Merchants Bancshares</t>
  </si>
  <si>
    <t>US - Chittenden Corp (CC), Burlington, Vermont, definitively agreed to acquire all the outstanding common stock of Merrill Merchants Bancshares Inc, Bangor, Maine, for $31 in cash per share, or a total value of $111.184 mil. CC offered a choice of $31 in cash per share, or 1.02 common shares per share. The transaction was subject to customary closing conditions and regulatory approvals.</t>
  </si>
  <si>
    <t>Whittier Energy Corp</t>
  </si>
  <si>
    <t>Sterling Energy PLC</t>
  </si>
  <si>
    <t>US - Sterling Energy PLC acquired all the outstanding common stock of Whittier Energy Corp (WE), an oil and gas exploration and production company, for $11 per share, or a total value of $187.621 mil, including the assumption of $43 mil in liabilities. The transaction had been subject to regulatory and WE shareholders' approval.</t>
  </si>
  <si>
    <t>Analex Corp</t>
  </si>
  <si>
    <t>Qinetic North America Op LLC</t>
  </si>
  <si>
    <t>Pvd scientific research svcs</t>
  </si>
  <si>
    <t>US - QinetiQ North America Operations LLC, a unit of QinetiQ Group PLC, completed its tender offer to acquire all the outstanding common stock of Analex Corp (AC), a provider of information technology services for homeland security and defense- related projects, for $3.7 in cash per share, or a total value of $66.857 mil. The offer was conditioned upon at least a majority of AC's shares being tendered. The transaction had been subject to customary closing conditions and regulatory approval. The transaction was approved by AC's Board of Directors and the Special Committee of the Board.</t>
  </si>
  <si>
    <t>Putnam CA Investment Grade</t>
  </si>
  <si>
    <t>Mildred B Horejsi Trust</t>
  </si>
  <si>
    <t>US - Mildred B Horejsi Trust launched a tender offer to acquire the remaining 99.8% interest, which it did not already own, in Putnam California Investment Grade Municipal Trust, a closed-end investment fund company, for $14.16 in cash per share, or a total value of $63.985 mil.</t>
  </si>
  <si>
    <t>Ablest Inc</t>
  </si>
  <si>
    <t>Pvd temporary hiring svcs</t>
  </si>
  <si>
    <t>US - A management-led investor group, including Ablest Inc's (AI) Chairman of the Board Charles H. Heist III, President and CEO Kurt R. Moore, Burton Partnership LP and Burton Partnership (QP) LP, planned to launch an unsolicited offer to acquire all the outstanding common stock of AI, a provider of temporary, temp-to-hire, contract, contract-to-hire and direct hiring services, for $7.5 in cash per share, or a total value of $21.98 mil, in a leveraged buyout transaction.</t>
  </si>
  <si>
    <t>Commercial Bankshares Inc</t>
  </si>
  <si>
    <t>US - Colonial BancGroup Inc (CB), Montgomery, Alabama, acquired all the outstanding common stock of Commercial Bankshares Inc (CI), Miami, Florida, a bank holding company, in a stock swap transaction valued at $317.4 mil. CB offered an estimated $157.5 mil in cash and 6.5 mil common shares valued at $159.9 mil. The shares were valued based on CB's closing stock price of $24.6 on January 22, the last full trading day prior to the announcement. The transaction had been subject to regulatory and CI shareholders approvals.</t>
  </si>
  <si>
    <t>Civitas BankGroup Inc</t>
  </si>
  <si>
    <t>Greene County Bancshares Inc</t>
  </si>
  <si>
    <t>US - Greene County Bancshares Inc, Greeneville, Tennessee (GC), acquired all the outstanding common stock of Civitas BankGroup Inc (CB), a bank holding company, in a stock swap transaction valued at $167.357 mil. GC offered a choice of $10.25 in cash or 0. 267 common shares per CB share, subject to proration whereby no more than 70% of the total consideration was to be in common stock. The transaction had been subject to customary closing conditions, shareholders and regulatory approvals.</t>
  </si>
  <si>
    <t>Ebix Inc</t>
  </si>
  <si>
    <t>Develop insurance software</t>
  </si>
  <si>
    <t>US - Ebix Inc (EI) withdrew its plans to launch a challenging tender offer to acquire all the outstanding common stock of Docucorp International Inc (DI), a developer and marketer of solution portfolio of information software, application service provider hosting and professional services enabling companies to create, publish, manage and archive complex, high- volume, individualized information, for $140 mil. The consideration was to consist of a choice of $95 mil in cash or common stock, $45 mil in restricted common stock and warrants. Previously, Skywire Software acquired all the outstanding common stock DI.</t>
  </si>
  <si>
    <t>Business Objects SA</t>
  </si>
  <si>
    <t>FRANCE - Oracle Corp of the US was rumored to be planning to acquire Business Objects SA, a Levallois-Perret Cedex- based developer of business intelligence software. The Current status of this deal is unknown.</t>
  </si>
  <si>
    <t>US - United Bankshares Inc, Charleston (UB), West Virginia, acquired all the outstanding common stock of Premier Community Bankshares Inc (PC), Winchester, Virginia, in a stock swap transaction valued at $200. 695 mil. UB offered a choice of $34 in cash, or 0.93 shares per PC share, subject to proration whereby, a minimum of 50% and a maximum of 65% of the consideration was to be paid in common stock. The transaction had been subject to customary closing conditions, PC shareholders and regulatory approvals.</t>
  </si>
  <si>
    <t>Laureate Education Inc</t>
  </si>
  <si>
    <t>US - A management-led investor group (MG), including Laureate Education Inc's (LE) CEO Douglas L Becker, Kohlberg Kravis Roberts &amp; Co, Citigroup Private Equity, a unit of Citigroup Inc, SAC Capital Management LLC, SPG Partners LLC, Bregal Investments, Canadian state-owned Caisse de Depot &amp; Placement du Quebec, Sterling Capital Corp, a unit of Gabelli Equity Trust Inc, Makena Capital, Torreal SA, a unit of Nueva Compania de Inversiones SA, and Southern Cross Capital, completed its tender offer to acquire all the outstanding common stock of LE, an owner and operator of learning centers, for a sweetened $62 in cash per share, or a total value of $3.385 bil, in a leveraged buyout going private transaction. Originally, MG offered $60.50 in cash per share, or a total value of $3.366 bil. The offer was conditioned upon at least a majority of LE's shares being tendered. The transaction was subject to shareholder and regulatory approvals and customary closing conditions.</t>
  </si>
  <si>
    <t>Altiris Inc</t>
  </si>
  <si>
    <t>Dvlp,whl software</t>
  </si>
  <si>
    <t>US - Symantec Corp acquired all the outstanding common stock of Altiris Inc (AI), a developer and wholesaler of computer software, for $33 in cash per share, or a total value of $1.015 bil. The transaction had been subject to customary closing conditions, AI shareholders and regulatory approvals.</t>
  </si>
  <si>
    <t>Sanofi-Aventis SA</t>
  </si>
  <si>
    <t>US - Sanofi-Aventis SA discontinued rumors that it was planning to acquire all the outstanding common stock of Bristol-Myers Squibb Co, a manufacturer of pharmaceuticals.</t>
  </si>
  <si>
    <t>US - Merrill Lynch &amp; Co (ML) Inc acquired all the outstanding common stock of First Republic Bank, San Francisco, California (FR), in a stock swap transaction valued at $1.579 bil. ML offered a choice of $55 in cash or common stock per FR share, subject to proration whereby no more than 50% of the total consideration was to be in common stock. The transaction had been subject to shareholder and regulatory approvals.</t>
  </si>
  <si>
    <t>MDS Inc</t>
  </si>
  <si>
    <t>Pvd lab testing svcs</t>
  </si>
  <si>
    <t>US - MDS Inc (MI) acquired all the outstanding common stock of Molecular Devices Corp (MD), a manufacturer of bioanalytical measurement systems, for $35.50 in cash per share, or a total value of $626.224 mil. Earlier, MI completed its tender offer by accepting 15.32 mil shares, or 92.94% of MD's common shares outstanding. The transaction had been subject to customary closing conditions and regulatory approval.</t>
  </si>
  <si>
    <t>Synagro Technologies Inc</t>
  </si>
  <si>
    <t>US - Carlyle Group LLC, through its Synatech Holdings Inc unit, acquired all the outstanding common stock of Synagro Technologies Inc (ST), a provider of waste management services, for $5. 76 in cash per share, or a total value of $770.847 mil including the assumption of $310 mil in liabilities, in a leveraged buyout transaction. The transaction had been subject to customary closing conditions and ST shareholders and regulatory approval.</t>
  </si>
  <si>
    <t>Produce,whl branded food</t>
  </si>
  <si>
    <t>US - Altria Group Inc (AG) completed the spin off of its remaining 89.3% interest in Kraft Foods Inc (KFT), a food and beverage producer, to its shareholders in a transaction valued at $51.005 bil. AG common shareholders received 0.692024 KFT common shares per AG share held. The shares were valued based on KFT's closing stock price of $34.83 on January 30, the full trading day prior to the announcement.</t>
  </si>
  <si>
    <t>Levitt Corp</t>
  </si>
  <si>
    <t>Constr co</t>
  </si>
  <si>
    <t>BFC Financial Corp</t>
  </si>
  <si>
    <t>US - BFC Financial Corp (BF) withdrew its definitive agreement to merge with Levitt Corp (LC), a construction company, in a stock swap transaction valued at $285.811 mil. BF offered 2. 27 common shares per LC share. Based on BF's closing stock price of $6.35 on January 30, the last full trading day prior to the announcement, each LC share was valued at $14.415. The transaction was subject to customary closing conditions and shareholders approval.</t>
  </si>
  <si>
    <t>SunCom Wireless Holdings Inc</t>
  </si>
  <si>
    <t>US - SunCom Wireless Holdings Inc (SC), a provider of wireless communications services, completed its debt- for-equity offer with bondholders, in a transaction valued at $899.025 mil. Upon completion, bondholders owned 87.8% interest, or 51.997 mil new SC common shares, in exchange for the 98.3% outstanding 9-3/8% Senior Subordinated Notes due 2011 and 8-3/4% Senior Subordinated Notes due 2011 it previously held. The shares were valued based on SC's closing stock price of $1.729 on May 17, the first full trading day post restructuring, and were adjusted to $17.29 per share, to account for the 1-for-10 reverse stock split effected concurrent with consummation of the transaction. The transaction had been subject to regulatory and shareholders approval, and customary closing conditions, and was conditioned upon at least 91.25% of the total outstanding principal amount of the notes being tendered.</t>
  </si>
  <si>
    <t>US - Comverse Technology Inc, a developer of communication software, discontinued rumors that it was seeking a buyer for the company. Oracle, International Business Machines Corp, Hewlett- Packard Co, Amdocs Ltd, Permira, and Silver Lake Partners were rumored potential bidders. The Current status of this deal is unknown.</t>
  </si>
  <si>
    <t>ICNB Financial Corp</t>
  </si>
  <si>
    <t>Firstbank Corp,Alma,Michigan</t>
  </si>
  <si>
    <t>US - Firstbank Corp (FC), located in Alma, Michigan, acquired all the outstanding common stock of ICNB Financial Corp (IC), a provider of financial services, for $31.5 in cash per share, or a total value of $39.167 mil. FC offered a choice of $31.5 in cash, or 1. 047 common shares per IC share, or a combination of cash and common shares, subject to proration whereby no more than 50% of the total consideration was to be in common stock. The transaction was subject to customary closing conditions, shareholders and regulatory approvals.</t>
  </si>
  <si>
    <t>Herbalife Ltd</t>
  </si>
  <si>
    <t>Wholesale food supplements</t>
  </si>
  <si>
    <t>Whitney V LP</t>
  </si>
  <si>
    <t>US - Whitney V LP terminated its agreement to acquire the remaining 73% interest, or 52. 03 mil common shares, in Herbalife Ltd, a Los Angeles- based wholesaler of weight- management, nutritional supplements and personal care products, for USD 38 in cash per share, or a total value of USD 2.237 bil.</t>
  </si>
  <si>
    <t>US - An investor group, comprised of CCMP Capital Advisors LLC and GS Capital Partners LP, a unit of Goldman Sachs Group Inc's Goldman Sachs &amp; Co subsidiary, withdrew its definitive agreement to acquire all the outstanding common stock of Triad Hospitals Inc (TH), an owner and operator of hospitals and ambulatory surgery centers for $50.25 in cash per share, or a total value of $6.26 bil, including the assumption of $1.7 bil in liabilities, in a leveraged buyout transaction. The transaction was subject to customary closing conditions, TH shareholders and regulatory approvals. Subsequently, Community Health Systems Inc agreed to acquire all the outstanding common stock of TH.</t>
  </si>
  <si>
    <t>Capital Bancorp Inc,TN</t>
  </si>
  <si>
    <t>Renasant Corp</t>
  </si>
  <si>
    <t>US - Renasant Corp (RC) acquired the entire outstanding common stock of Capital Bancorp Inc, Nashville, Tennessee (CB), a commercial bank holding company, for $141.526 mil. RC offered a choice of $38 in cash, or 1.2306 RC common shares, or a combination of 40% cash and 60% common share, per CB share, subject to the overall limitation that the aggregate stock consideration be no more than 65% and no less than 60% of the total consideration received by CB shareholders.</t>
  </si>
  <si>
    <t>Hanover Compressor Co</t>
  </si>
  <si>
    <t>Pvd oil,gas field svcs</t>
  </si>
  <si>
    <t>Universal Compression Holdings</t>
  </si>
  <si>
    <t>US - Universal Compression Holdings Inc (UC) merged with Hanover Compressor Co (HC), a provider of equipment rental services, to form a new company, Exterran Holdings Inc (EH), in a stock swap merger of equals transaction valued at $2.074 bil. UC common shareholders were to receive 1 EH common shares and HC common shareholders were to receive 0.325 EH common shares per share held. Based on UC's closing stock price of $19.4 on February 2, the last full trading day prior to the announcement, each HC share was valued at $19.858. The transaction was subject to shareholders' and regulatory approval. Upon completion, HC and UC were to own 53% and 47% of EH, respectively.</t>
  </si>
  <si>
    <t>Investors Financial Svcs Corp</t>
  </si>
  <si>
    <t>State Street Corp</t>
  </si>
  <si>
    <t>US - State Street Corp (SS) acquired all the outstanding common stock of Investors Financial Services Corp (IF), a provider of financial services including global custody, multi currency fund accounting, fund administration, middle office outsourcing and trade operations management, in a stock swap transaction valued at $4.533 bil. SS offered 0. 906 common shares per IF share. Based on SS' closing stock price of $71.75 on February 3, the last full trading day prior to the announcement, each IF share was valued at $65.01. The transaction was subject to shareholder and regulatory approval.</t>
  </si>
  <si>
    <t>US - American Real Estate Partners LP withdrew its plan to acquire the remaining 87. 09% interest, or 59.272 mil common shares, in Lear Corp, a manufacturer and wholesaler of automotive interiors, for a sweetened $37.25 in cash per share, or a total value of $2.190 bil. Originally, AR offered $36 in cash per share, or a total value of $2.189 bil.</t>
  </si>
  <si>
    <t>US - Brookfield Asset Management Inc acquired all the outstanding common stock of Longview Fibre Co (LF), a manufacturer of paper, paperboards, containerboard, paper bags and corrugated shipping containers, for $24. 75 in cash per share, or a total value of $1.627 bil and the assumption of an undisclosed amount in liabilities, in a leveraged buyout transaction. Previously, an investor group, comprised of Obsidian Finance Group LLC and Campbell Group LLC, planned to acquire all the outstanding common stock of LF. The transaction had been subject to shareholders and regulatory approvals and customary closing conditions.</t>
  </si>
  <si>
    <t>US - An investor group (IG), comprised of Simon Property Group Inc and Farallon Capital Management LLC, acquired all the outstanding common stock of Mills Corp (MC), a real estate investment trust, for a sweetened $25.25 in cash per share, or a total value of $1. 429 bil. Earlier, IG completed its tender offer by accepting 48.936 mil shares, or 86.45% of MC's common stock outstanding. The offer was conditioned upon at least a majority of MC's shares being tendered. The transaction had been subject to customary closing conditions. Originally, IG offered $24 in cash per share, or a total value of $1.358 bil. Previously, Brookfield Asset Management Inc agreed to acquire all the outstanding common stock of MC.</t>
  </si>
  <si>
    <t>MGIC Investment Corp</t>
  </si>
  <si>
    <t>Pvd mtg ins svcs</t>
  </si>
  <si>
    <t>US - MGIC Investment Corp (MI), a majority-owned unit of Northwestern Mutual Life Insurance Co, withdrew its agreement to merge with Radian Group Inc (RG), a provider of mortgage guaranty insurance services, in a stock swap transaction valued at $4.97 bil. MI offered 0. 966 common shares per RG share. Based on MI's closing stock price of $62.93 on February 5, the last full trading day prior to announcement, each RG share was valued at $60.79. The transaction was subject to shareholders and regulatory approvals. Upon completion, the merged entity was to be named MGIC Radian Financial Group Inc.</t>
  </si>
  <si>
    <t>Aquila Inc</t>
  </si>
  <si>
    <t>Great Plains Energy Inc</t>
  </si>
  <si>
    <t>US - Great Plains Energy Inc (GP) acquired all the outstanding common stock of Aquila Inc (AI), an electric and gas utility, for USD 2. 724 bil, including the assumption of $1 bil in liabilities. GP offered $1.8 in cash and 0.086 common shares per AI share. Based on GP's closing stock price on February 6, the last full trading day prior to the announcement, each AI share was valued at $4.556. The transaction, which included Missouri Public Service Co and St Joseph Light &amp; Power, had been subject to customary closing conditions, shareholders and regulatory approvals. Concurrently, Black Hills Power Inc definitively agreed to acquire the utility properties, located in Colorado, Kansas, Nebraska, and Iowa, of AI.</t>
  </si>
  <si>
    <t>Caritor Inc</t>
  </si>
  <si>
    <t>US - Caritor Inc acquired all the outstanding common stock of Keane Inc, a provider of software consulting services, for $14. 30 in cash per share, or a total value of $853.171 mil. The transaction was subject to regulatory approval, shareholders approval and customary closing conditions.</t>
  </si>
  <si>
    <t>SpectraLink Corp</t>
  </si>
  <si>
    <t>Mnfr,whl wireless tele sys</t>
  </si>
  <si>
    <t>US - Polycom Inc completed its tender offer to acquire all the outstanding common stock of SpectraLink Corp, a manufacturer and wholesaler of wireless telephone systems, for $11.75 in cash per share, or a total value of $231.519 mil. The transaction had been subject to customary closing conditions and regulatory approvals.</t>
  </si>
  <si>
    <t>Wellco Enterprises Inc SPV</t>
  </si>
  <si>
    <t>US - Wellco Enterprises Inc SPV, a new company formed by Golden Gate Capital and Integrity Brands Fund LP, acquired all the outstanding common stock of Wellco Enterprises Inc, a manufacturer of combat boots, for $14 in cash per share, or a total value of $17.966 mil.</t>
  </si>
  <si>
    <t>Diablo Valley Bank,Alamo,CA</t>
  </si>
  <si>
    <t>Heritage Commerce Corp</t>
  </si>
  <si>
    <t>US - Heritage Commerce Corp (HC) merged with Diablo Valley Bank, Alamo, California, for $61.494 mil. The transaction consisted of an estimated $15 mil in cash and 1.732 mil HC common shares valued at $46.494 mil. The shares were valued based on HC's closing stock price of $26.83 on February 7, the last full trading day prior to the announcement. The transaction had been subject to shareholders and regulatory approvals and customary closing conditions.</t>
  </si>
  <si>
    <t>First Coastal Bancshares,El</t>
  </si>
  <si>
    <t>US - CVB Financial Corp, Ontario, California (CF) merged with First Coastal Bancshares, El Segundo, California (FC), a bank holding company, in a stock swap transaction valued at $25.736 mil. CF offered a choice of $276.73 in cash or common stock per FC share, subject to proration whereby no more than 50% of the total consideration was to be in common stock. The tranaction had been subject to shareholder and regulatory approval.</t>
  </si>
  <si>
    <t>Laidlaw International Inc</t>
  </si>
  <si>
    <t>Pvd school bus transp svcs</t>
  </si>
  <si>
    <t>FirstGroup PLC</t>
  </si>
  <si>
    <t>Pvd passenger transp svcs</t>
  </si>
  <si>
    <t>US - FirstGroup PLC acquired all the outstanding common stock of Laidlaw International Inc, a provider of school and inter-city bus transportation services, for $35.25 in cash per share, or a total value of $2.82 bil, including the assumption of $0.8 mil in liabilities. The transaction had been subject to shareholder and regulatory approvals and customary closing conditions.</t>
  </si>
  <si>
    <t>Mikron Infrared Inc</t>
  </si>
  <si>
    <t>Mnfr infrared thermometers</t>
  </si>
  <si>
    <t>Red Acquisition Corp</t>
  </si>
  <si>
    <t>US - Red Acquisition Corp, a unit of LumaSense Technologies Inc, acquired all the outstanding common stock of Mikron Infrared Inc, a manufacturer of handheld infrared thermometers, fixed infrared thermometers, high resolution thermal imaging products, black body calibration sources, and a variety of accessories and optional equipment, for $11.5 in cash per share, or a total value of $64.709 mil.</t>
  </si>
  <si>
    <t>Novelis Inc</t>
  </si>
  <si>
    <t>Mnfr,whl alum rolled prod</t>
  </si>
  <si>
    <t>AV Aluminum Inc</t>
  </si>
  <si>
    <t>US - AV Aluminum, an acquisition subsidiary of Hindalco Industries Inc, acquired all the outstanding common stock of Novelis Inc, a manufacturer and wholesaler of aluminum rolled products, for $44.93 in cash per share, or a total value of $5.789 bil, including the assumption of $2.4 bil in liabilities. The transaction has been subjected to customary closing conditions and regulatory approvals.</t>
  </si>
  <si>
    <t>Adeza Biomedical Corp</t>
  </si>
  <si>
    <t>Mnfr,whl diagnostic prods</t>
  </si>
  <si>
    <t>US - Cytyc Corp (CC) acquired all the outstanding common stock of Adeza Biomedical Corp (AB), a manufacturer and wholesaler of diagnostic products, for $24 in cash per share, or a total value of $445.936 mil. The offer had been conditioned upon at least a majority of AB's shares being tendered. The transaction had been subject to customary closing conditions and regulatory approval. Previously, CC completed its tender offer to acquire all the outstanding common stock of AB by accepting 16.817 mil shares, or 96.07% of AB's common stock outstanding.</t>
  </si>
  <si>
    <t>Hydril Co LP</t>
  </si>
  <si>
    <t>Mnfr oil,gas drilling equip</t>
  </si>
  <si>
    <t>US - Tenaris SA, a unit of Rocca &amp; Partners' San Faustin NV subsidiary, acquired all the outstanding common stock of Hydril Co LP, a manufacturer of oil and gas drilling equipment, for $97 in cash per share, or a total value of $2.212 bil. The transaction had been subject to customary closing conditions, shareholders and regulatory approvals.</t>
  </si>
  <si>
    <t>US - Verint Systems Inc (VRNT) acquired all the outstanding common stock of Witness Systems Inc (WITS), a provider of voice and data monitoring services for call centers, for $27.50 in cash per share, or a total value of $1.073 bil. The transaction was subject to regulatory and WITS shareholder approval.</t>
  </si>
  <si>
    <t>US - In February 2007, Alcoa Inc, a manufacturer and wholesaler of primary aluminum, fabricated aluminum, alumina, aluminum automotive wheels and aluminum foil and packaging products, a provider of mining, refining, smelting, fabricating and recycling services and a holding company, was rumored to be seeking a buyer for the company. BHP Billton and Rio Tinto Were named potential bidders. The Current status of this deal is unknown.</t>
  </si>
  <si>
    <t>Corillian Corp</t>
  </si>
  <si>
    <t>US - CheckFree Corp acquired all the outstanding common stock of Corillian Corp (CC), a developer of Internet software, for $5.15 in cash per share, or a total value of $244.61 mil. The transaction had been subject to customary closing conditions and regulatory and CC shareholder approvals.</t>
  </si>
  <si>
    <t>TALX Corp</t>
  </si>
  <si>
    <t>Pvd payroll svcs</t>
  </si>
  <si>
    <t>US - Equifax Inc (EI) acquired all the outstanding common stock of TALX Corp (TC) , a provider of human resource, automated employment and income verification, unemployment tax management and payroll- related services, in a stock swap transaction valued at $1. 411 bil, including the assumption of $191.5 mil in liabilities. EI offered a choice of 0.861 share per TC share, or $35.5 in cash per share, or a combination of stock and cash, subject to proration whereby 75% of the consideration was to paid in stock and 25% in cash. Based on EI's closing stock price of $41.69 on February 13, the last full trading day prior to the announcement, each TC share was valued at $35.895. The transaction had been subject to customary closing conditions, TC shareholders and regulatory approvals. Concurrently, EI authorized the repurchase of up to $400 mil of the company's common stock outstanding.</t>
  </si>
  <si>
    <t>US - SunTrust Banks Inc, Atlanta, Georgia was rumored to be planning to acquire all the outstanding common stock of Compass Bancshares Inc, Birmingham, Alabama, a commercial bank and a provider of financial services. The Current status of this deal is unknown.</t>
  </si>
  <si>
    <t>AMR Corp</t>
  </si>
  <si>
    <t>US - An investor group, comprised of Goldman Sachs Group Inc and British Airways PLC, was rumored to be planning to acquire all the outstanding common stock of AMR Corp, a passenger airline and a holding company. The Current status of this deal is unknown.</t>
  </si>
  <si>
    <t>US - Banco Bilbao Vizcaya Argentaria SA (BB) acquired all the outstanding common stock of Compass Bancshares Inc (CB), a commercial bank and a provider financial services, in a stock swap transaction valued at $9.871 bil. BB offered a choice of 2. 8 ordinary shares for every CB common share, or $71.82 in cash per share. Based on BB's closing stock price of $26. 229 on February 15, the last full trading day prior to the announcement, each CB share was valued at $73.441.</t>
  </si>
  <si>
    <t>Fieldstone Investment Corp</t>
  </si>
  <si>
    <t>Credit-Based Asset Servicing</t>
  </si>
  <si>
    <t>Pvd mtg-related svcs</t>
  </si>
  <si>
    <t>US - Credit-Based Asset Servicing &amp; Securitization LLC (CA), a joint venture between Radian Group Inc and MGIC Investment Corp, merged with Fieldstone Investment Corp, a real estate investment trust, for an amended $4 in cash per share, or a total value of $187.618 mil. The transaction had been subject to shareholders and regulatory approvals and customary closing conditions. Originally, CA offered $5.53 in cash per share, or a total value of $259.382 mil.</t>
  </si>
  <si>
    <t>US - GlaxoSmithKline PLC of the UK acquired the remaining 14.05% stake  or 1.51 mil common shares. which it did not already own, in Praecis Pharmaceuticals Inc, a Waltham-based manufacturer of biological products, for $5 per share, or a total value of $8.642 mil in cash. Earlier, GSK acquired an 89. 95% interest, or 9.236 mil common shares in PP, via a tender offer.</t>
  </si>
  <si>
    <t>Florida Rock Industries Inc</t>
  </si>
  <si>
    <t>US - Vulcan Materials Co (VM), through its Virignia Holdco Inc (VH) special purpose acquisition vehicle unit, acquired all the outstanding common stock of Florida Rock Industries Inc (FR), a manufacturer and wholesaler of ready-mixed concrete, for $4.659 bil. VM offered a choice of $0.63 common shares, or $67 in cash per FR share, subject to proration whereby 70% of the total consideration was to comprise in cash and 30% in VM common stock. Based on VM's closing stock price of $111.81 on February 16, the last full trading day prior to the announcement, each FR share was valued at $70.44. The transaction had bee subject to customary closing conditions, regulatory and shareholders approval. On completion, VM changed its name to Legacy Vulcan Corp, and VH retained the VM name.</t>
  </si>
  <si>
    <t>LESCO Inc</t>
  </si>
  <si>
    <t>Mnfr,whl lawn care prods</t>
  </si>
  <si>
    <t>US - Deere &amp; Co acquired all the outstanding common stock of LESCO Inc (LI), a manufacturer and wholesaler of lawn care products, for $14.50 in cash per share, or a total value of $134.471 mil. The transaction had been subject to customary closing conditions are regulatory and LI shareholder approvals.</t>
  </si>
  <si>
    <t>XM Satellite Radio Hldgs Inc</t>
  </si>
  <si>
    <t>Sirius Satellite Radio Inc</t>
  </si>
  <si>
    <t>US - Sirius Satellite Radio Inc (SS) merged with XM Satellite Radio Holdings Inc (XM), an owner and operator of radio broadcasting stations, in a stock swap merger of equals transaction valued at $6.226 bil, including the assumption of an estimated $1.6 bil in liabilities. SS offered 4.6 common shares per XM share. Based on SS' closing stock price of $3.7 on February 16, the last full trading day prior to the announcement of the terms, each XM share was valued at $17.02. The transaction was subject to customary closing conditions and regulatory approvals. On completion, SS and XM were to own 50% each of the merged entity. The merged entity was named Sirius XM Radio Inc. Originally, SS was rumored to be planning to acquire XM.</t>
  </si>
  <si>
    <t>KCPC Holdings Inc</t>
  </si>
  <si>
    <t>Special purpose acq co</t>
  </si>
  <si>
    <t>US - KCPC Holdings Inc, a special purpose acquisition vehicle formed by Kohlberg &amp; Company LLC, Lubert-Adler LP and Chrysalis Capital Partners LP, acquired all the outstanding common stock of Central Parking Corp (CP), a provider of automobile parking services, for $22.53 in cash per share, or a total value of $743.697 mil, in a leveraged buyout transaction. This transaction was subject to the approval of CP's shareholders, requisite regulatory approvals and customary closing conditions.</t>
  </si>
  <si>
    <t>New River Pharmaceuticals Inc</t>
  </si>
  <si>
    <t>Mnfr prescribed drugs</t>
  </si>
  <si>
    <t>Shire PLC</t>
  </si>
  <si>
    <t>US - Shire PLC (SP), through its undisclosed subsidiary, acquired all the outstanding common stock of New River Pharmaceuticals Inc (NR), a manufacturer of safer and improved versions of widely prescribed drugs, for $64 (32. 794 British pounds) in cash per share, or a total value of $2.42 bil (1.24 bil pounds) . SP received irrevocable undertakings to accept the offer with respect to 50.2% of the company's outstanding common stock. The transaction had been subject to SP shareholders and regulatory approvals.</t>
  </si>
  <si>
    <t>Smart &amp; Final Inc</t>
  </si>
  <si>
    <t>US - Apollo Management LP, a unit of Apollo Advisors LP, acquired all the outstanding common stock Smart &amp; Final Inc, an owner and operator of grocery store, and a unit of Casino Guichard-Perrachon SA's Casino USA Inc subsidiary, for $22 in cash per share, or a total value of $740.96 mil, in a leveraged buyout transaction. The transaction was subject to shareholders and regulatory approvals and customary closing conditions.</t>
  </si>
  <si>
    <t>TB Woods Corp</t>
  </si>
  <si>
    <t>Mnfr power transmission equip</t>
  </si>
  <si>
    <t>Altra Holdings Inc</t>
  </si>
  <si>
    <t>Mnfr power transmission prods</t>
  </si>
  <si>
    <t>US - Altra Holdings Inc acquired all the outstanding common stock of TB Woods Corp (TW), a manufacturer of controls, couplings, belts, drives, motors, pulleys, and power transmission equipment, for $24.8 in cash per share, or a total value of $102.417 mil. The transaction was conditioned upon 66 2/3% of TW's outstanding common shares being tendered.</t>
  </si>
  <si>
    <t>Wild Oats Markets Inc</t>
  </si>
  <si>
    <t>Own,op supermarket chain</t>
  </si>
  <si>
    <t>US - Whole Foods Market Inc (Whole) acquired the entire share capital of common shares of Wild Oats Markets Inc (WO), an owner and operator of natural and organic food supermarkets, for $18.5 in cash per share, or a total value of $586.752 mil, including the assumption of $106 mil in liabilities. Earlier, Whole completed its tender offer for WO by accepting 24.808 mil shares, or 84.1% of WOs common shares outstanding. The transaction had been subject to regulatory approval and customary closing conditions. The offer was conditioned upon at least a majority of WO's shares being tendered.</t>
  </si>
  <si>
    <t>Winston Hotels Inc</t>
  </si>
  <si>
    <t>Wilbur Acquisition Holding Co</t>
  </si>
  <si>
    <t>US - Wilbur Acquisition Holding Co LLC, a unit of Och Ziff Real Estate LP and Norge Churchill Inc, terminated its agreement to acquire all the outstanding common stock of Winston Hotels Inc, a real estate investment trust company, for $14.1 in cash per share, or a total value of $411.889 mil, in a going private transaction. The transaction was subject to the approval of shareholders and regulatory authorities. Subsequently, Inland American Real Estate Trust Inc planned to launch a challenging tender offer to acquire all the outstanding common stock of WH for $15 in cash per share, or a total value of $437.869 mil.</t>
  </si>
  <si>
    <t>Acorda Therapeutics Inc</t>
  </si>
  <si>
    <t>Third Point LLC</t>
  </si>
  <si>
    <t>US - Third Point LLC withdrew its plans to acquire the entire share capital of Acorda Therapeutics Inc, an Ardsley-based manufacturer of biological products, via an unsolicited offer.</t>
  </si>
  <si>
    <t>Applied Innovation Inc</t>
  </si>
  <si>
    <t>KEG Holdings Inc</t>
  </si>
  <si>
    <t>US - KEG Holdings Inc acquired Applied Innovation Inc (AI), a developer of network management software, for $3.45 in cash per share, or a total value of $52.67 mil. The transaction had been subject to customary closing conditions and AI shareholders approval.</t>
  </si>
  <si>
    <t>Catalina Marketing Corp</t>
  </si>
  <si>
    <t>Pvd mktg consulting svcs</t>
  </si>
  <si>
    <t>US - ValueAct Capital Partners LP (VA) withdrew its definitive agreement to acquire the remaining 84.5% interest plus options, or 45. 844 mil shares, which it did not already own, in Catalina Marketing Corp (CM), a provider of in-store electronic marketing and consulting services, for a sweetened $32.1 in cash per share, or a total value of $1. 516 bil. Subsequently, Hellman &amp; Friedman Capital Partners VI LP definitively agreed to acquire all the outstanding commons tock of CM. Previously, VA offered $32 in cash per CM share. Originally, in December 2006, CM announced that it was seeking a buyer for the company.</t>
  </si>
  <si>
    <t>US - American Financial Group Inc (AF) acquired the remaining 19% stake plus options, or 12.384 mil common shares, which it did not already own, in Great American Financial Resources Inc, an insurance company, for a sweetened $24.5 in cash per share, or a total value of $244.571 mil. The transaction had been subject to customary closing conditions and regulatory approvals. Originally, AF offered $23.5 in cash per share, or a total value of $232.186 mil.</t>
  </si>
  <si>
    <t>Jupitermedia Corp</t>
  </si>
  <si>
    <t>Pvd global real-time news svcs</t>
  </si>
  <si>
    <t>Getty Images Inc</t>
  </si>
  <si>
    <t>Pvd visual content svcs</t>
  </si>
  <si>
    <t>US - Getty Images Inc terminated its plans to acquire all the outstanding common stock of Jupitermedia Corp, a provider of global real-time news, information, research and media resources services, for $9.6 in cash per share, or a total value of $358.354 mil. The transaction was subject to the approval of shareholders.</t>
  </si>
  <si>
    <t>Landmark Natl Bk,Solana Beach</t>
  </si>
  <si>
    <t>1st Pacific Bk of CA,LaJolla,</t>
  </si>
  <si>
    <t>US - 1st Pacific Bank of California (FP), La Jolla, California, a unit of 1st Pacific Bancorp (FB), merged with Landmark National Bank (LN), Solana Beach, California, for $14.492 mil. FP offered a choice of $12.45 in cash or 0.778 FB common shares per LN share, subject to proration whereby 65% of the total consideration was to be paid in FB shares. The transaction had been subject to regulatory and shareholder approvals. On completion, the merged entity retained the name FP.</t>
  </si>
  <si>
    <t>New York Mortgage Trust</t>
  </si>
  <si>
    <t>US - In February 2007, New York Mortgage Trust, a real estate investment trust, announced that it was seeking a buyer for the company.</t>
  </si>
  <si>
    <t>SEMCO Energy Inc</t>
  </si>
  <si>
    <t>US - Cap Rock Holding Corp (CR), a unit of Lindsay Goldberg &amp; Bessemer LP, acquired all the outstanding common stock of Semco Energy Inc (SE), a provider of gas transmission services, for $8. 15 in cash per share or a total value of $878.478 mil, including the assumption of an estimated $515 mil in liabilities. CR offered $213. 07 in cash per 5% Series B Convertible Cumulative preferred share. The transaction was subject to customary closing conditions and regulatory and SE shareholder approvals. Originally, in July 2000, SE announced that it was seeking a buyer for the company.</t>
  </si>
  <si>
    <t>FNB Financial Services Corp,NC</t>
  </si>
  <si>
    <t>US - LSB Bancshares Inc, Lexington, North Carolina (LB) merged with FNB Financial Services Corp (FF), Greensboro, North Carolina, in a stock swap transaction valued at $127.482 mil. LB offered 1.07 common shares per FF share. Based on LB's closing stock price of $16.5 on February 23, the last full trading day prior to the announcement, each FF share was valued at $17.655. The transaction had been subject to shareholder and regulatory approvals and customary closing conditions. On completion, the merged entity was named NewBridge Bancorp.</t>
  </si>
  <si>
    <t>Refac Optical Group</t>
  </si>
  <si>
    <t>ROG Acquisition Inc</t>
  </si>
  <si>
    <t>US - ROG Acquisition Inc, a new company formed by Palisade Concentrated Equity Partnership LP, for the purpose of making an acquisition, acquired the remaining 10.3% stake, or 1. 831 mil common shares, which it did not already own, in Refac Optical Group, a provider of consulting services to intellectual property licensing industries, for $6 per common share, or a total value of $10.987 mil, in a going private transaction.</t>
  </si>
  <si>
    <t>Patina Restaurant Group LLC</t>
  </si>
  <si>
    <t>US - Patina Restaurant Group LLC (PR) acquired all the outstanding common stock of Smith &amp; Wollensky Restaurant Group In (SW), an owner and operator of restaurants, for a sweetened $11 in cash per share, or a total value of $94.497 mil. Originally, PR offered $9.25 in cash per share, or a total value of $79.463 mil. The transaction had been subject to SW shareholder and regulatory approvals and certain customary closing conditions. Previously, Landry's Restaurant Inc planned to launch a tender offer to acquire all the outstanding common stock of SW for $66.73 mil.</t>
  </si>
  <si>
    <t>TXU Corp</t>
  </si>
  <si>
    <t>Pvd elec,gas utility svcs</t>
  </si>
  <si>
    <t>TXU Corp SPV</t>
  </si>
  <si>
    <t>US - TXU Corp SPV, a new company formed by Kohlberg Kravis Roberts &amp; Co, Texas Pacific Group Inc, Goldman Sachs &amp; Co, a unit of Goldman Sachs Group Inc, Morgan Stanley, Citigroup Inc, and Lehman Brothers Holdings Inc, for the purpose of making an acquisition, acquired all the outstanding common stock of TXU Corp (TXU), an electric and gas utility, for $69.25 in cash per share, or a total value of $32.105 bil, in a leveraged buyout transaction. Originally, the consortium was rumored to be planning to acquire all the outstanding common stock of TXU. The transaction had been subject to regulatory approval. On completion, TXU was renamed Energy Future Holdings Corp.</t>
  </si>
  <si>
    <t>New Plan Excel Realty Trust</t>
  </si>
  <si>
    <t>Centro Retail Group</t>
  </si>
  <si>
    <t>US - Centro Retail Group completed its tender offer to acquire all the outstanding common stock of New Plan Excel Realty Trust Inc (NP), a real estate investment trust, for $33.15 in cash per share, or a total value of $3. 493 bil. The offer was conditioned upon at least a majority of NP's shares being tendered. The transaction had been subject to shareholder approvals and customary closing conditions.</t>
  </si>
  <si>
    <t>Great Atlantic &amp; Pacific Tea</t>
  </si>
  <si>
    <t>US - Great Atlantic &amp; Pacific Tea Co Inc (GA) merged with Pathmark Stores Inc (PS), an owner and operator of supermarkets, retail home centers and department stores, for a sweetened $687.721 mil. GA offered $9 in cash and 0. 12963 GA common shares per PS share held. Based on GA's closing stock price of $30.86 on February 2, the last full trading day prior to the announcement, each PS share were valued at $13.012. Originally, GA offered $12.5 in cash and common stock per share, or a total value of $657.433 mil. The transaction has been subjected to customary closing conditions and regulatory and shareholder approvals. Upon completion, GA was to own 86%, and PS the remaining 14%, of the merged entity.</t>
  </si>
  <si>
    <t>US - Oracle Corp (OC) completed its tender offer to acquire all the outstanding common stock of Hyperion Solutions Corp (HS), a developer of financial management and accounting software, for $52 in cash per share, or a total value of $3. 292 bil. Earlier, OC completed its tender offer by accepting 55.4 mil shares, or 82.34% of HS' common stock outstanding. The transaction had been subject to customary closing conditions. The offer was conditioned upon at least HS' shares being tendered.</t>
  </si>
  <si>
    <t>Steel Technologies Inc</t>
  </si>
  <si>
    <t>Mitsui &amp; Co(USA)Inc</t>
  </si>
  <si>
    <t>US - Mitsui &amp; Co (USA) Inc, a unit of Mitsui &amp; Co Ltd, acquired all the outstanding common stock of Steel Technologies Inc, a manufacturer of flat rolled steel, for $30 in cash per share, or a total value of $533.429 mil, including the assumption of $136 mil in liabilities. The transaction has been subjected to the approval of shareholders and regulatory authorities.</t>
  </si>
  <si>
    <t>US - Cegedim SA acquired all the outstanding common stock of Dendrite International Inc, a developer of sales and marketing software, for $16 in cash per share, or a total value of $724.397 mil. The transaction was subject to the approval of shareholders and regulatory authorities.</t>
  </si>
  <si>
    <t>Tupperware Brands Corp</t>
  </si>
  <si>
    <t>Sara Lee (Philippines) Inc</t>
  </si>
  <si>
    <t>Produce pkg meats,baked goods</t>
  </si>
  <si>
    <t>Philippines</t>
  </si>
  <si>
    <t>US - Sara Lee (Philippines) Inc merged with Tupperware Brands Corp, a manufacturer of plastic consumer products.</t>
  </si>
  <si>
    <t>US - An investor group, comprised of General Atlantic LLC and Francisco Partners LP, withdrew its agreement to acquire all the outstanding common stock of Aeroflex Inc (AI), a manufacturer of microelectronic products, for $13.5 in cash per share, or a total value of $994.15 mil, in a leveraged buyout transaction. The transaction was subject to AI shareholder approval and other customary conditions. Subsequently, Vertias Capital agreed to acquire all the outstanding common stock of AI.</t>
  </si>
  <si>
    <t>Bristol West Holdings Inc</t>
  </si>
  <si>
    <t>Pvd auto ins svcs</t>
  </si>
  <si>
    <t>Farmers Group Inc</t>
  </si>
  <si>
    <t>US - Farmers Group Inc, a wholly-owned unit of Zurich Financial Services AG, acquired all the outstanding common stock of Bristol West Holdings Inc (BW), a provider of automobile insurance services, for $22.5 in cash per share, or a total value of $688.073 mil. The transaction had been subject to regulatory and shareholders approval, and customary closing conditions. Concurrently, Farmers Exchanges agreed to acquire the insurance business of BW.</t>
  </si>
  <si>
    <t>Marc J Bistricer</t>
  </si>
  <si>
    <t>US - Mr Marc J Bistricer terminated his plans to launch a challenging tender offer to acquire all the outstanding common stock of Westborough Financial Services Inc (WF), for a sweetened $41 in cash per share, or a total value of $65.968 mil. Originally, Mr Bistricer offered $40 in cash per share, or a total value of $64.359 mil. Previously, Hudson Savings Bank, a unit of Assabet Valley Bancorp Inc, merged with WF, for $35 in cash per share, or a total value of $56.528 mil.</t>
  </si>
  <si>
    <t>Wstn Asset Mun Partners Fd II</t>
  </si>
  <si>
    <t>Wstn Asset Mun Partners Fd Inc</t>
  </si>
  <si>
    <t>US - Western Asset Municipal Partners Fund Inc (WA) merged with Western Asset Municipal Partners Fund II Inc (WM), a closed-end investment fund, in a stock swap transaction valued at $7.639 mil. WA offered 0.973323 common share per WM share. Based on WA's closing stock price of $13.11 on July 22, the last full trading day prior to the announcement, each WM share was valued at $1.272. The transaction had been subject to shareholders approval.</t>
  </si>
  <si>
    <t>US - An investor group, including Vector Capital Corp, acquired all the outstanding common stock of SafeNet Inc (SN), a provider of network security solutions, for $28. 75 in cash per share, or a total value of $792.006 mil, by accepting 17.939 mil shares, or 65.12% of SN's common shares outstanding, in a leveraged buyout transaction. The offer was conditioned upon at least a majority of SN's shares being tendered. The transaction was subject to customary closing conditions and regulatory approvals.</t>
  </si>
  <si>
    <t>K&amp;F Industries Holdings Inc</t>
  </si>
  <si>
    <t>Mnfr aircraft braking sys</t>
  </si>
  <si>
    <t>US - Meggitt PLC, through its wholly-owned Meggitt USA Inc subsidiary, acquired all the outstanding common stock of K&amp;F Industries Holdings Inc, a manufacturer of aircraft braking system, from Aurora Capital Group, for $27 in cash per share, or a total value of $1.802 bil, including the assumption of $700 mil in liabilities. The transaction had been subject to shareholder approval.</t>
  </si>
  <si>
    <t>US - An investor group, comprised of Tornante Co LLC and Madison Dearborn Partners LLC, acquired all the outstanding common stock of Topps Co Inc (TC), a manufacturer and wholesaler of candy and collectibles, for $9.75 in cash per share, or a total value of $386.39 mil, in a leveraged buyout transaction. The transaction was subject to shareholders and regulatory approvals and customary closing conditions. Subsequently, Upper Deck Co planned to acquire TC.</t>
  </si>
  <si>
    <t>City Savings Financial Corp</t>
  </si>
  <si>
    <t>LaPorte Savings Bank MHC</t>
  </si>
  <si>
    <t>Mutual hldg co</t>
  </si>
  <si>
    <t>US - LaPorte Savings Bank MHC (LS), a mutual holding company formed by LaPorte Savings Bank, La Porte, Indiana, definitively agreed to acquire all the outstanding common stock of City Savings Financial Corp (CS), a bank holding company, for $18.87 mil. LS offered a choice of $34 in cash or 3.4 shares per CS share, or a combination of cash and stock, subject to proration, whereby the consideration was to consist of 50% in stock and 50% in cash. The transaction was subject to regulatory and CS shareholder approvals. Upon completion, the merged entity was to renamed LaPorte Bancorp Inc, and was to be owned by LS (55%) and CS (45%) shareholders, respectively.</t>
  </si>
  <si>
    <t>Inland American RE Tr Inc</t>
  </si>
  <si>
    <t>US - Inland American Real Estate Trust Inc acquired all the outstanding common stock of Winston Hotels Inc (WH), a real estate investment trust, for $15 in cash per share, or a total value of $438.251 mil, via a tender offer. The transaction had been subject to customary closing conditions, due diligence completion and WH shareholder approval. Previously, Wilbur Acquisition Holding Co LLC, a unit of Och Ziff Real Estate LP and Norge Churchill Inc, withdrew its agreement to acquire all the outstanding common stock of WH for $14.1 in cash per share, or a total value of $411.889 mil.</t>
  </si>
  <si>
    <t>Strategic Hotels &amp; Resorts Inc</t>
  </si>
  <si>
    <t>US - An investor group, including Blackstone Group LP, Carlyle Group LLC, and Walton Street Capital LLC, was rumored to be acquiring all the outstanding common stock of Strategic Hotels &amp; Resorts Inc, a real estate investment trust, and a joint venture between Security Capital Group Inc, a unit of the General Electric Capital Corp subsidiary of General Electric Co's {GE}General Electric Capital Services unit, and Goldman Sachs &amp; Co, a unit of Goldman Sachs Group Inc, in a leveraged buyout transaction. The Current status of this deal is unknown.</t>
  </si>
  <si>
    <t>Sunterra Corp</t>
  </si>
  <si>
    <t>Diamond Resorts Corp</t>
  </si>
  <si>
    <t>Own,op resorts,hotels</t>
  </si>
  <si>
    <t>US - Diamond Resorts LLC (DR) acquired all the outstanding common stock of Sunterra Corp (SC), an owner and operator of timeshare resorts, for $16 in cash per share, or a total value of $694.522 mil, including the assumption of $375 mil in liabilities. The transaction was subject to customary closing conditions. Previously, DR completed a tender offer to acquire all the outstanding common stock of SC.</t>
  </si>
  <si>
    <t>Dollar General Corp</t>
  </si>
  <si>
    <t>Ret discount gen consumer prod</t>
  </si>
  <si>
    <t>Buck Acquisition Corp</t>
  </si>
  <si>
    <t>US - Buck Acquisition Corp, an SPV created by Kohlberg Kravis Roberts &amp; Co, GS Capital Partners and Citi Private Equity acquired all the outstanding common stock of Dollar General Corp (DG), a retailer of discount merchandises, for $22 in cash per share, or a total value of $7.334 bil, including the assumption of $380 mil in liabilities, in a leveraged buyout transaction. The transaction had been subject to DG shareholders and regulatory approval.</t>
  </si>
  <si>
    <t>US - UnitedHealth Group Inc acquired all the outstanding common stock of Sierra Health Services Inc (SH), a provider of managed health care services, for $43.50 in cash per share, or a total value of $2.425 bil. The transaction had been subject to SH shareholders and regulatory approval.</t>
  </si>
  <si>
    <t>Spirit Finance Corp</t>
  </si>
  <si>
    <t>Redford Holdco LLC</t>
  </si>
  <si>
    <t>US - Redford Holdco LLC, a unit of Macquarie Bank Ltd and Kaupthing Bank hf, agreed to acquire all the outstanding common stock, and 6.15 mil new common shares, of Spirit Finance Corp (SF), a real estate investment trust, for $3.551 bil, including the assumption of $1.9 bil in liabilities. IG offered $14.50 in cash per SF common share, and $12.99 in cash per SF newly issued common share. The transaction was subject to customary closing conditions and regulatory approvals.</t>
  </si>
  <si>
    <t>WCI Communities Inc</t>
  </si>
  <si>
    <t>Own,op leisure cmnty</t>
  </si>
  <si>
    <t>US - An investor group, including High River LP and Icahn Management LP, withdrew its plans to launch a tender offer to acquire all the outstanding common stock of WCI Communities Inc, a constructor and operator of leisure communities, for $22 in cash per share, or a total value of $923.419 mil. The transaction was subject to customary closing conditions.</t>
  </si>
  <si>
    <t>BabyUniverse Inc</t>
  </si>
  <si>
    <t>Pvd online retailing svcs</t>
  </si>
  <si>
    <t>eToys Direct Inc</t>
  </si>
  <si>
    <t>US - eToys Direct Inc (ET) merged with BabyUniverse Inc (BU), a provider of ecommerce retail services of toys and other youth-related products, for $276 mil common stock. The transaction had been subject to shareholders approvals. On completion, BU owned one third and ET owned two thirds of the shares of the combined company.</t>
  </si>
  <si>
    <t>Loring Ward International Ltd</t>
  </si>
  <si>
    <t>Pvd finl,life mgmt svcs</t>
  </si>
  <si>
    <t>Werba Reinhard Holdings Ltd</t>
  </si>
  <si>
    <t>US - Werba Reinhard Holdings Ltd (WR), a unit of Werba Reinhard Inc, acquired all the outstanding common stock of Loring Ward International Ltd (LW), a provider of financial and life management services, for an amended $11. 25 in cash per share, or a total value of $86.985 mil. Previously, WR withdrew its offer for a thrice-sweetened $18 in cash per share, or a total value of $138.922 mil. Originally, Alan Werba Acquisition Corp withdrew its plans to launch an unsolicited tender offer for LW, for a sweetened $13.757 in cash per share, or a total value of $106.175 mil. The offer was effected via a scheme of arrangement and had been subject to regulatory approval and due diligence completion. Previously, Friedman Fleischer &amp; Lowe LLC agreed to acquire all the outstanding common stock of LW.</t>
  </si>
  <si>
    <t>MapInfo Corp</t>
  </si>
  <si>
    <t>Dvlp software,data prod</t>
  </si>
  <si>
    <t>US - Pitney Bowes Inc completed its tender offer to acquire all the outstanding common stock of MapInfo Corp, a developer of software and data products, for $20.25 in cash per share, or a total value of $467.61 mil. The transaction had been subject to the approval of regulatory authorities.</t>
  </si>
  <si>
    <t>IntercontinentalExchange Inc</t>
  </si>
  <si>
    <t>Pvd commodity exchange svcs</t>
  </si>
  <si>
    <t>US - IntercontinentalExchange Inc (II) withdrew its plans to launch a challenging tender offer to acquire all the outstanding common stock of CBOT Holdings Inc (CH), a securities and commodity exchange company, in a stock swap transaction valued at a sweetened $11.260 bil. II offered a choice of 1.42 common shares per CH share or 1.42 in cash per CH share; subject to proration whereby the maximum cash consideration was $2.5 bil. Originally, II offered a 1.42 common shares per CH share. Based on II's closing stock price of $149.19 on June 11, the last full trading day prior to the amendment of terms, each CH share was valued at $211.85. The transaction was subject to due diligence completion and CH shareholders approval. Previously, Chicago Mercantile Exchange Holdings Inc definitively agreed to merge with CH.</t>
  </si>
  <si>
    <t>Consumer Lending</t>
  </si>
  <si>
    <t>US - An investor group, comprised of GE Capital Solutions, a unit of General Electric Co {GE}, and Blackstone Group LP, withdrew its agreement to acquire all the outstanding common stock of PHH Corp, a provider of mortgage and vehicle fleet management services, from Avis Budget Group Inc, for $31.50 in cash per share, or a total value of $1.728 bil. The transaction was subject to shareholder and regulatory approvals and customary closing conditions.</t>
  </si>
  <si>
    <t>WebEx Communications Inc</t>
  </si>
  <si>
    <t>Pvd web conferencing svcs</t>
  </si>
  <si>
    <t>US - Cisco Systems Inc (CSCO) completed its tender offer to acquire all of the outstanding common stock of Webex Communications Inc (WEBX), a provider of real time interactive multi-media communications services for websites, for $57 in cash per share, or a total value of $3. 091 bil. The transaction had been approved by the board of directors of each company and was subject to customary closing conditions and regualtory approvals.</t>
  </si>
  <si>
    <t>InfraSource Services Inc</t>
  </si>
  <si>
    <t>Pvd infrastructure constr svcs</t>
  </si>
  <si>
    <t>Quanta Services Inc</t>
  </si>
  <si>
    <t>Provide contracting services</t>
  </si>
  <si>
    <t>US - Quanta Services Inc (QS) acquired all the outstanding common stock of InfraSource Services Inc (IS), a provider of specialty contractor services for electric power, gas, and telecommunications intensive industries, in a stock swap transaction valued at $1.26 bil. QS offered 1. 223 common shares per IS share. Based on QS' closing stock price of $24.64 on March 16, the last full trading day prior to the announcement, each IS share was valued at $30.13. The transaction had been subject to shareholder and regulatory approval.</t>
  </si>
  <si>
    <t>Crowley Newco Corp</t>
  </si>
  <si>
    <t>US - Crowley Newco Corp launched a tender offer to acquire the remaining 34.8% stake in Crowley Maritime Corp (CM), a provider of provider of deep sea foreign and domestic transportation services, for $2990 in cash per share, or a total value of $93.491 mil. The offer was conditioned upon the tender of a majority of the outstanding shares of common stock held by CM's unaffiliated stockholders.</t>
  </si>
  <si>
    <t>Ceva Logistics BV</t>
  </si>
  <si>
    <t>Pvd logistics,freight svcs</t>
  </si>
  <si>
    <t>US - CEVA Group PLC (CG), a unit of Apollo Advisors LP's Apollo Management LP subsidiary, acquired all the outstanding common stock of EGL Inc (EG), a provider of freight forwarding services, for a thrice sweetened $47.5 in cash per share, or a total value of $2.245 bil. The transaction had been subject to customary closing conditions and due diligence completion. Previously, CG offered a twice sweetened $46 in cash per share, following the sweetened $43 in cash per share, or a total value of $2. 026 bil. Originally, CG offered $40 in cash per share, or a total value of $1.882 bil. Previously, a management- led investor group, comprised of EI's Chairman and CEO Mr. James Crane, Centerbridge Partners LP and Woodbridge Co Ltd, withdrew its definitive agreement to acquire all the outstanding common stock of EI.</t>
  </si>
  <si>
    <t>Bradford Bancorp Inc,Baltimore</t>
  </si>
  <si>
    <t>US - Bradford Bancorp Inc (BB), Baltimore, Maryland, withdrew its definitive agreement to acquire all the outstanding common stock of Patapsco Bancorp Inc (PB), Dundalk, Maryland, for $23 in cash per share, or a total value of $42.873 mil.</t>
  </si>
  <si>
    <t>CDRSVM Acquisition Co Inc</t>
  </si>
  <si>
    <t>US - CDRSVM Acquisition Co Inc, a special purpose vehicle formed by Clayton Dubilier &amp; Rice Inc acquired all the outstanding common stock of ServiceMaster Co (SC) , a provider of maintenance services, for $15.625 in cash per share, or a total value of $5.423 bil, including the assumption of $800 mil in liabilities, in a leveraged buyout transaction. The transaction had been subject to customary closing conditions, SC shareholders and regulatory approval. Originally, in November 2006, SC announced that it was seeking a buyer for the company.</t>
  </si>
  <si>
    <t>Stratos Global Corp</t>
  </si>
  <si>
    <t>CIP Canada Investment Inc</t>
  </si>
  <si>
    <t>Professional invest co</t>
  </si>
  <si>
    <t>US - CIP Canada Investment Inc (CC), a wholly owned subsidiary of Communications Investment Partners Ltd, acquired all the outstanding common stock of Stratos Global Corp (SG), a provider of wireless telecommunication services, for a sweetened $6. 561 in cash per share, or a total value of $623.164 mil, including the assumption of $347.615 mil in liabilities. Originally, CC offered $5.438 in cash per share, or a total value of $576 mil, including the assumption of $347.615 mil in liabilities. The transaction had been subject to customary closing conditions, SG shareholders and regulatory approvals.</t>
  </si>
  <si>
    <t>TODCO</t>
  </si>
  <si>
    <t>Pvd oil,gas drilling svcs</t>
  </si>
  <si>
    <t>Hercules Offshore Inc</t>
  </si>
  <si>
    <t>Pvd offshore drilling services</t>
  </si>
  <si>
    <t>US - Hercules Offshore Inc (HO) acquired all the outstanding common stock of TODCO (TO), a provider of oil and gas drilling services and a unit of Transocean Inc's Transocean Holdings Inc subsidiary, in a stock swap transaction valued at $2.434 bil. HO offered $16 in cash and 0.979 common share per TO share. Based on HO's closing stock price of $26.57 on March 16, the last full trading day prior to the announcement, each TO share was valued at $42.012. The transaction hade been subject to customary closing conditions and regulatory and shareholder approvals. On completion of the reverse takeover transaction, TO shareholders owned 64%, and HO shareholders the remaining 36%, of the combined company.</t>
  </si>
  <si>
    <t>General Medical and Surgical Hospitals</t>
  </si>
  <si>
    <t>US - Community Health Systems Inc acquired all the outstanding common stock of Triad Hospitals Inc (TH), an owner and operator of hospitals, for $54 in cash per share, or a total value of $6.611 bil, including the assumption of $1.7 bil in liabilities. The transaction had been subject to TH shareholders and regulatory approvals. Previously, an investor group, comprised of CCMP Capital Advisors LLC and GS Capital Partners LP, a unit of Goldman Sachs Group Inc's Goldman Sachs &amp; Co subsidiary, withdrew its agreement to acquire all the outstanding common stock of TH.</t>
  </si>
  <si>
    <t>US - An investor group (IG), comprised of Affiliated Computer Services Inc's (AC) founder and Chairman Mr. Darwin Deason and Cerberus Capital Management LP, withdrew its plans to launch a tender offer to acquire the remaining 97.85% interest plus options which they did not already own in AC, a provider of outsourcing solutions services, for a sweetened $62 in cash per share, or a total value of $8. 798 bil, including the assumption of $2.6 bil in liabilities, in a leveraged buyout transaction. Originally, IG offered $59.25 in cash per share, or a total value of $8.658 bil, including the assumption of $2.6 bil in liabilities. The transaction was subject to customary closing conditions, due diligence and regulatory approval.</t>
  </si>
  <si>
    <t>US - In March 2007, Archer Daniels Midland Co {ADM}, a producer of agricultural products, was rumored to be seeking a buyer for the company. The Current status of this deal is unknown.</t>
  </si>
  <si>
    <t>Claire's Stores Inc</t>
  </si>
  <si>
    <t>Own,op teen clothing stores</t>
  </si>
  <si>
    <t>US - Apollo Management LP, a unit of Apollo Advisors LP acquired Claire's Stores Inc (CS), an owner and operator of mall-based teen and pre- teen fashion accessories stores, for $33 in cash per share, or a total value of $3. 091 bil, in a leveraged buyout transaction. The transaction had been subject to customary closing conditions, CS shareholders and regulatory approval. Originally, in December 2006, CS disclosed that it was seeking a buyer for the company.</t>
  </si>
  <si>
    <t>Eschelon Telecom Inc</t>
  </si>
  <si>
    <t>Pvd commun svcs</t>
  </si>
  <si>
    <t>Integra Telecom Inc</t>
  </si>
  <si>
    <t>US - Integra Telecom Inc acquired all the outstanding common stock of Eschelon Telecom Inc, a provider of integrated communications services, for $30 in cash per share, or a total value of $704.967 mil, including the assumption of $144 mil in liabilities. The transaction had been subject to customary closing conditions, shareholders and regulatory approvals.</t>
  </si>
  <si>
    <t>Kronos Inc</t>
  </si>
  <si>
    <t>Dvlp labor mgmt software sys</t>
  </si>
  <si>
    <t>Hellman &amp; Friedman Capital</t>
  </si>
  <si>
    <t>US - Hellman &amp; Friedman Capital Partners IV LP, a unit of Hellman &amp; Friedman LLC, acquired all the outstanding common stock of Kronos Inc (KI), a developer of frontline labor management systems solutions software, for $55 in cash per share, or a total value of $1.793 bil, in a leveraged buyout transaction. The transaction was approved by KI's board of directors and was subject to the approval of regulatory authorities.</t>
  </si>
  <si>
    <t>US - Avery Dennison Corp acquired Paxar Corp (PC), a manufacturer of label systems, bar codes systems, labels, tags and related supplies and services, for $30.5 in cash per share, or a total value of $1.317 bil. The transaction had been subject to PC shareholders and regulatory approvals.</t>
  </si>
  <si>
    <t>Smithway Motor Xpress Corp</t>
  </si>
  <si>
    <t>Western Express Inc</t>
  </si>
  <si>
    <t>pvd trucking svcs</t>
  </si>
  <si>
    <t>US - Western Express Inc acquired all the outstanding common stock of Smithway Motor Xpress Corp (SM), a provider of trucking and heavy hauling carrier services, for $10.63 in cash per share, or a total value of $90 mil, including the assumption of an estimated $36.966 mil in liabilities. The transaction had been subject to customary closing conditions, SM shareholders and regulatory approvals.</t>
  </si>
  <si>
    <t>Vertrue Inc</t>
  </si>
  <si>
    <t>Pvd Internet mktg svcs</t>
  </si>
  <si>
    <t>US - A management-led investor group, including One Equity Partners LLC, Rho Capital Partners Inc and Brencourt Advisors LLC (BA), acquired all the outstanding common stock of Vertrue Inc (VE), a provider of Internet marketing services, for a sweetened $50 in cash per share, or a total value of $611.4 mil, in a leveraged buyout transaction. Previously, Oak Investment Partners was part of the investor group but dropped out and replaced by BA. The transaction had been subject to regulatory and shareholders approval, and customary closing conditions. Originally, in January 2007, VE announced that it was seeking a buyer for the company.</t>
  </si>
  <si>
    <t>US - Technitrol Inc (TI) withdrew its bid to acquire all the outstanding common stock of Bel Fuse Inc (BF), a manufacturer of electronic components, for a sweetened $43 in cash per share, or a total value of $516.523 mil. Originally, TI offered $40.3 in cash per BF share, or a total value of $480.563 mil.</t>
  </si>
  <si>
    <t>Biosite Inc</t>
  </si>
  <si>
    <t>Mnfr diagnostic,med equip</t>
  </si>
  <si>
    <t>Beckman Coulter Inc</t>
  </si>
  <si>
    <t>Mnfr laboratory instruments</t>
  </si>
  <si>
    <t>US - Beckman Coulter Inc (BC) terminated its tender offer to acquire all the outstanding common stock of Biosite Inc (BI), a manufacturer and wholesaler of diagnostic and medical equipment, for a sweetened USD 90 in cash per share, or a total value of USD 1.653 bil. The offer was conditioned upon at least a majority of BI's shares being tendered on a fully diluted basis. The transaction was subject to regulatory approval. Subsequently, Inverness Medical Innovations Inc planned to launch an unsolicited challenging tender offer to acquire the remaining 95.1% interest, or 15.191 mil common shares, in BI. Originally, BC offered $85 in cash per BI share.</t>
  </si>
  <si>
    <t>Monmouth Capital Corp</t>
  </si>
  <si>
    <t>Monmouth RE Invest Corp</t>
  </si>
  <si>
    <t>US - Monmouth Real Estate Investment Corp (MR) acquired all the outstanding common stock of Monmouth Capital Corp (MC), a real estate investment trust, in a stock swap transaction valued at $32.896 mil. MR offered 0.655 common share per MC share. Based on MR's closing stock price of $8.77 on March 23, the last full trading day prior to the announcement, each MC share was valued at $5.744. The transaction had been subject to customary closing conditions and MR and MC's shareholders approval. On completion, the merged retained the name MR.</t>
  </si>
  <si>
    <t>US - RIV Acquisition Holdings Inc (RIV) withdrew its plans to acquire all the outstanding common stock of Riviera Holdings Corp (RH), an owner and operator of hotels, for a sweetened $34 in cash per share, or a total value of $430.711 mil. The transaction was subject to regulatory and shareholder approval. Originally, RIV offered $27 cash per share, or a total value of $341.826 mil. Subsequently, an investor group, comprised of Ian Bruce Eichner and DE Shaw &amp; Co LP, planned to launch a challenging tender offer to acquire all the outstanding common stock of RH. Previously, International Gaming &amp; Entertainment LLC, a special purpose vehicle formed by BT Enterprises LLC, planned to launch a challenging tender offer to acquire all the outstanding common stock of RH in a leveraged buyout transaction.</t>
  </si>
  <si>
    <t>Milastar Corp</t>
  </si>
  <si>
    <t>Milastar Acquisition Corp</t>
  </si>
  <si>
    <t>US - Milastar Acquisition Corp, a wholly-owned unit of Easton Southpaw Inc, acquired all the outstanding common stock of Milastar Corp, a provider of metal heat treating services, for $2.7 in cash per share, or a total value of $7.352 mil.</t>
  </si>
  <si>
    <t>NBTY Inc</t>
  </si>
  <si>
    <t>Mnfr,whl nutrition supplements</t>
  </si>
  <si>
    <t>US - NBTY Inc, a manufacturer and wholesaler of nutrition supplements, discontinued rumors that it was seeking a buyer for the company.</t>
  </si>
  <si>
    <t>Mountain Bank Holding Co</t>
  </si>
  <si>
    <t>US - Columbia Banking System Inc, Tacoma, Washington (CB), acquired all the outstanding common stock of Mountain Bank Holding Co (MB), in a stock swap transaction valued at $58.073 mil. CB offered $11. 25 in cash and $13.75 worth of CB shares per MB share. The transaction had been subject to customary closing conditions, MB's shareholders and regulatory approvals. Concurrently, CB acquired all the outstanding common stock of Town Center Bancorp, Tacoma, Washington.</t>
  </si>
  <si>
    <t>Town Ctr Bancorp,Portland,OR</t>
  </si>
  <si>
    <t>US - Columbia Banking System Inc, Tacoma, Washington (CB) acquired all the outstanding common stock of Town Center Bancorp, Portland, Oregon (TC) , a bank holding company, in a stock swap transaction valued at $41.814 mil. CB offered $9.382 in cash and 0. 339 CB shares per TC share. Based on CB's closing stock price of $33.69 on March 27, the last full trading day prior to announcement, each TC share was valued at $20. 803. The transaction had been subject to customary closing conditions, TC's shareholders and regulatory approvals. Concurrently, CB acquired all the outstanding common stock of Mountain Bank Holding Co.</t>
  </si>
  <si>
    <t>BTP Acquisition Co LLC</t>
  </si>
  <si>
    <t>US - BTP Acquisition Co LLC, an investor group led by Mr. David Bergstein, withdrew its agreement to acquire all the outstanding common stock of Image Entertainment Inc (IE), a provider of home entertainment licensing, production and distribution services, for $4.40 in cash per share, or a total value of $122.518 mil, including the assumption of $24 mil in liabilities. The transaction was subject to customary closing conditions and regulatory and IE shareholder approvals.</t>
  </si>
  <si>
    <t>US - United States Steel Corp acquired all the outstanding common stock of Lone Star Technologies Inc (LS), a manufacturer of steel pipes and tubes, for $67.5 in cash per share, or a total value of $2.099 bil. The transaction was subject to customary closing conditions, LS shareholders and regulatory approvals.</t>
  </si>
  <si>
    <t>Battery Ventures LP</t>
  </si>
  <si>
    <t>US - Battery Ventures LP (BV) acquired all the outstanding common stock of Quovadx Inc, a developer of end-to-end software and total business infrastructure and integration solutions, for a sweetened $3.2 in cash per share, or a total value of $135.27 mil, in a leveraged buyout transaction. The transaction had been subject to QI shareholder approval and customary closing conditions. Originally, BV offered $3.15 in cash per share, or a total value of $133.156 mil.</t>
  </si>
  <si>
    <t>US - Kohlberg Kravis Roberts &amp; Co (KK) acquired all the outstanding common stock of First Data Corp (FD), a provider of electronic payment processing services, for $34 in cash per share, or a total value of $25.67 bil, in a leveraged buyout transaction. The transaction was subjected to regulatory and shareholders' approvals. Originally, KK was rumored to be planning to acquire all the outstanding common stock of FD.</t>
  </si>
  <si>
    <t>Global Imaging Systems Inc</t>
  </si>
  <si>
    <t>Whl,ret office imaging equip</t>
  </si>
  <si>
    <t>US - Xerox Corp (XC) acquired all the outstanding common stock of Global Imaging Systems Inc (GI), a wholesaler and retailer of office imaging equipment, for $29 in cash per share, or a total value of $1.472 bil. The transaction had been subject to regulatory approvals. Previously, XC completed its tender offer to acquire all the outstanding common stock of GI, for $29 in cash per share, or a total value of $1.472 bil, by accepting 45.6 mil shares, or 90.62% of GI's common stock outstanding.</t>
  </si>
  <si>
    <t>Sam Zell</t>
  </si>
  <si>
    <t>US - Investor Sam Zell (SZ) acquired the remaining 47.54% stake, which it did not already own, in Tribune Co (TC), a publisher of newspapers and an owner and operator of television and radio broadcasting stations, for $34 in cash per share, or a total value of $3.638 bil. Concurrently, SZ completed its tender offer to acquire a 52.46% interest, or 126 mil common shares, in TC.</t>
  </si>
  <si>
    <t>US - Investor Sam Zell completed its tender offer to acquire a 52.46% interest, or 126 mil common shares, in Tribune Co (TC), a publisher of newspapers and an owner and operator of television and radio broadcasting stations, for $34 in cash per share, or a total value of $4. 284 bil. The transaction had been subject to shareholder and regulatory approvals. Concurrently, SZ agreed to acquire the remaining 47.54% stake, which it did not already own, in TC. Originally, in September 2006, TC announced that it was seeking a buyer for the company. Mr. Andy Martin, Mr. Sam Zell, TFP Acquisition Corp and the Chandler family were named as potential bidders.</t>
  </si>
  <si>
    <t>Buckeye GP Holdings LP</t>
  </si>
  <si>
    <t>BGH GP Holdings LLC</t>
  </si>
  <si>
    <t>US - Buckeye GP Holdings LP SPV, a special acquisition vehicle formed by ArcLight Capital Partners LLC, Kelso &amp; Co and Lehman Brothers Holdings Inc, acquired a 62% interest in Buckeye GP Holdings LP, a provider of oil and gas transmission and distribution services. The transaction had been subject to customary closing conditions and regulatory approval.</t>
  </si>
  <si>
    <t>Koosharem Corp</t>
  </si>
  <si>
    <t>US - Koosharem Corp acquired all the outstanding common stock of Ablest Inc (AI), a provider of temporary, temp- to-hire, contract, contract- to-hire and direct hiring services, for $11 in cash per share, or a total value of $32.202 mil. The transaction had been subject to customary closing conditions, AI shareholders and regulatory approvals.</t>
  </si>
  <si>
    <t>BioVeris Corp</t>
  </si>
  <si>
    <t>Mnfr detection,measurement sys</t>
  </si>
  <si>
    <t>Roche Diagnostics Corp</t>
  </si>
  <si>
    <t>Mnfr diagnostic equip,prod</t>
  </si>
  <si>
    <t>US - Roche Diagnostics Corp, a unit of Roche Holding AG's F Hoffmann-La Roche Ltd subsidiary, acquired all the outstanding common stock of BioVeris Corp, a manufacturer of biological detection and measurement systems, for $21. 50 in cash per share, or a total value of $592.618 mil. The transaction had been subject to regulatory and shareholder approvals and customary closing conditions.</t>
  </si>
  <si>
    <t>US - Inverness Medical Innovations Inc (IM) acquired the remaining 95.1% interest plus options, or 19.588 mil common shares, which it did not already own, in Biosite Inc (BI), a manufacturer of diagnostic and medical equipment, for a sweetened $92.5 in cash per share, or a total value of $1.623 bil. The transaction was conditioned upon at least a majority of BI's common stock outstanding being tendered. Previously, IM completed its tender offer to acquire the remaining 95.1% interest plus options, or 19.588 mil common shares, which it did not already own, in BI, by accepting 15.76 mil shares, or 80.46% of BI's common stock outstanding. Originally, IM offered $90 in cash per share, or a total value of $1. 585 bil. The transaction had been subject to due diligence. Previously, Beckman Coulter Inc launched a tender offer to acquire all the outstanding common stock of BI.</t>
  </si>
  <si>
    <t>AVP Inc</t>
  </si>
  <si>
    <t>Own,op volleyball tours</t>
  </si>
  <si>
    <t>AVP Holdings Inc</t>
  </si>
  <si>
    <t>US - AVP Holdings Inc (AH) withdrew its agreement to merge with AVP Inc (AI), an owner and operator of professional beach volleyball tours, for $32.547 mil. On completion, AI was to be a wholly owned subsidiary of AH. The transaction was subject to customary closing conditions and stockholder approval.</t>
  </si>
  <si>
    <t>Ameriprise Financial Inc</t>
  </si>
  <si>
    <t>Pvd financial planning svcs</t>
  </si>
  <si>
    <t>US - Manulife Financial Corp was rumored to be planning to acquire all the outstanding common stock of Ameriprise Financial Inc, a provider of financial planning services. The Current status of this deal is unknown.</t>
  </si>
  <si>
    <t>Principal Financial Group Inc</t>
  </si>
  <si>
    <t>US - Manulife Financial Corp was rumored to be planning to acquire all the outstanding common stock of Principal Financial Group Inc, a provider of financial services. The Current status of this deal is unknown.</t>
  </si>
  <si>
    <t>US - Software AG (SA) acquire all the outstanding common stock of webMethods Inc (WI), a developer of integrated software, for $9.15 in cash per share, or a total value of $548.03 mil. The transaction had been subject to customary closing conditions and regulatory approval. Previously, SA completed its tender offer to acquire all the outstanding common stock of WI by accepting 53.108 mil shares or 77.93% of WI's common shares outstanding.</t>
  </si>
  <si>
    <t>World Air Holdings Inc</t>
  </si>
  <si>
    <t>Global Aero Logistics Inc</t>
  </si>
  <si>
    <t>US - Global Aero Logistics Inc acquired all the outstanding common stock of World Air Holdings Inc (WA), a provider of long-range passenger and air cargo transportation services, for $12.5 in cash per share, or a total value of $320.746 mil. The transaction had been subject to customary closing conditions, regulatory and WA's shareholder approvals.</t>
  </si>
  <si>
    <t>Stratagene Corp</t>
  </si>
  <si>
    <t>US - Agilent Technologies Inc acquired all the outstanding common stock of Stratagene Corp, a biotechnology company, for $10.94 in cash per share, or a total value of $252.31 mil. The transaction was subject to the approval of regulatory authorities.</t>
  </si>
  <si>
    <t>FermaVir Pharmaceuticals Inc</t>
  </si>
  <si>
    <t>Inhibitex Inc</t>
  </si>
  <si>
    <t>US - Inhibitex Inc (II) acquired all the outstanding common stock of FermaVir Pharmaceuticals Inc (FP), a biotechnology company, in a stock swap transaction valued at $19.039 mil. II offered . 55 common shares per FP share. Based on II's closing stock price of $1.66 on April 9, the last full trading day prior to the announcement, each FP share was valued at $. 913. The transaction was subject to customary closing conditions and regulatory and shareholder approvals. Upon completion, II shareholders were to own 73%, and FP shareholders the remaining 27%, of the combined company.</t>
  </si>
  <si>
    <t>US - Sterling Financial Corp, Spokane, Washington (SF), withdrew its definitive agreement to acquire all the outstanding common stock of North Valley Bancorp, Redding, California (NV), a bank holding company, in a stock swap transaction valued at $184.474. SF offered 0.7364 common share and $2.8 in cash per NV share. Based on SF's closing stock price of $30.33 on April 10, the last full trading day prior to the announcement, each NV share was valued at $25.14. The transaction was subject to customary closing conditions, NV shareholders and regulatory approvals.</t>
  </si>
  <si>
    <t>Cutter &amp; Buck Inc</t>
  </si>
  <si>
    <t>Mnfr,whl sportswear,outerwear</t>
  </si>
  <si>
    <t>New Wave Group AB</t>
  </si>
  <si>
    <t>Pvd brand dvlp,acquisition svc</t>
  </si>
  <si>
    <t>US - New Wave Group AB acquired all the outstanding common shares of Cutter &amp; Buck Inc, a manufacturer and wholesaler of sportswear, for $14.38 per share, or a total value of $156.917 mil.</t>
  </si>
  <si>
    <t>Greater Atlantic Financial Cor</t>
  </si>
  <si>
    <t>S&amp;L hldg co</t>
  </si>
  <si>
    <t>Summit Financial Group Inc,WV</t>
  </si>
  <si>
    <t>Pvd finl hldg svcs</t>
  </si>
  <si>
    <t>US - Summit Financial Group Inc (SF), Moorefield, West Virginia, withdrew its definitive agreement to acquire all the outstanding common stock of Greater Atlantic Financial Corp (GF), Reston, Virginia, a provider of savings, loan and holding services, in a stock swap transaction valued at $12.97 mil. SF offered 0.328625 common shares per GF share. Based on SF's closing stock price of $13.05, on June 9, the last full trading day prior to the announcement, each GF share was valued at $4.289. The transaction was subject to customary closing conditions, GF shareholder and regulatory approvals. Originally, SF withdrew its definitive agreement to acquire all the outstanding common stock of GF, for $4.6 in cash and common stock per share, or a total value of $13.908 mil, subject to a collar agreement.</t>
  </si>
  <si>
    <t>US - Evraz Group SA was rumored to be planning to acquire all the outstanding common stock of IPSCO Inc, a manufacturer of steel pipes and tubes. The Current status of this deal is unknown.</t>
  </si>
  <si>
    <t>Mobius Management Systems Inc</t>
  </si>
  <si>
    <t>Dvlp office software</t>
  </si>
  <si>
    <t>US - Allen Systems Group Inc (AS) acquired all the outstanding common stock of Mobius Management Systems Inc (MM), a developer of software to store, retrieve and present computer and non- computer generated documents such as text, images, video or audio recordings, customer statements, checks, external correspondence and remittance forms, for $10.05 in cash per share, or a total value of $214.867 mil. The transaction had been subject to customary closing conditions, MM shareholder and regulatory approvals. On completion, MM was to become a wholly owned subsidiary of AS.</t>
  </si>
  <si>
    <t>Randolph Bank &amp; Trust Co</t>
  </si>
  <si>
    <t>Bank of the Carolinas Corp</t>
  </si>
  <si>
    <t>US - Bank of the Carolinas Corp (BC) withdrew its definitive agreement to merge with Randolph Bank &amp; Trust Co (RB), located in Asheboro, North Carolina, in a stock swap transaction valued at $33.883 mil. BC offered 2.67 common shares per RB share. Based on BC's closing stock price of $13.5 on April 11, the last full trading day prior to the announcement, Each RB share was valued at $36.045. The transaction was subject to shareholders and regulatory approvals.</t>
  </si>
  <si>
    <t>Innkeepers USA Trust</t>
  </si>
  <si>
    <t>Apollo Investment Corp</t>
  </si>
  <si>
    <t>Close-end investment co</t>
  </si>
  <si>
    <t>US - Apollo Investment Corp acquired all the outstanding common stock of Innkeepers USA Trust (IU), a real estate investment trust, for $17.75 in cash per share, or a total value of $804.692 mil and the assumption of an undisclosed amount in liabilities. The transaction had been subject to customary closing conditions and IU shareholders approval.</t>
  </si>
  <si>
    <t>Point 360</t>
  </si>
  <si>
    <t>Teleproduction and Other Postproduction Services</t>
  </si>
  <si>
    <t>DG FastChannel Inc</t>
  </si>
  <si>
    <t>Pvd digital media advg svcs</t>
  </si>
  <si>
    <t>US - DG FastChannel Inc (DG) completed its tender offer to acquire Point 360 (PO), a provider of motion picture production services, in a stock swap transaction valued at $38.935 mil. DG offered 0. 2252 common shares per PO share. Based on DG's closing stock price of April 13, the last full trading day prior to the announcement, each PO shares was valued at $3.815.</t>
  </si>
  <si>
    <t>SLM Corp</t>
  </si>
  <si>
    <t>Pvd educ financing services</t>
  </si>
  <si>
    <t>US - An investor group led by JC Flowers &amp; Co LLC (JF), and including Friedman Fleischer &amp; Lowe LLC (FF), Bank of America Corp (BA), and JP Morgan Chase &amp; Co (JM), terminated its agreement to acquire all the outstanding common stock of SLM Corp (SC), a provider of student loan services, for $60 in cash per share, or a total value of $25.537 bil, in a leveraged buyout transaction. Upon completion, JF and FF were to own 50.2% and BA and JM were to own 24.9% each of SC. The transaction was subject to SC shareholders and regulatory approvals. Originally, in April 2007, SC was rumored to be seeking a buyer for the company. Blackstone Group was named potential bidder.</t>
  </si>
  <si>
    <t>Vonage Holdings Corp</t>
  </si>
  <si>
    <t>Pvd broadband telecom svcs</t>
  </si>
  <si>
    <t>US - Sprint Nextel Corp was rumored to be planning to acquire all the outstanding common stock of Vonage Holdings Corp, a provider of broadband telecommunications services. The Current status of this deal is unknown.</t>
  </si>
  <si>
    <t>US - Hellman &amp; Friedman Capital Partners VI LP, a unit of Hellman &amp; Friedman LLC, acquired all the outstanding common stock of Catalina Marketing Corp (CM), a provider of marketing consulting services, for $32. 5 in cash per share, or a total value of $1.697 bil, including the assumption of $136 mil in liabilities, in a leveraged buyout transaction. The transaction was approved by CM's board of directors and was subjected to regulatory approvals. Earlier, ValueAct Capital Partners LP withdrew its agreement to acquire all the outstanding common stock of CM.</t>
  </si>
  <si>
    <t>OMI Corp</t>
  </si>
  <si>
    <t>Own,op crude oil tankers</t>
  </si>
  <si>
    <t>US - An investor group comprised of Teekay Shipping Corp and Dampskibsselskabet Torm A/S, acquired all the outstanding common stock of OMI Corp (OC), an owner and operator of crude oil tankers, for $29.25 in cash per share, or a total value of $1.814 bil, via a tender offer. Earlier, the investor group completed its tender offer for OC, by accepting 49.8 mil shares, or 83.5% of OC's common shares outstanding. The transaction had been subject to approval of shareholders representing over 50% of OC's shares and regulatory approvals. Originally, in March 2007, OC announced that it was exploring strategic alternatives, which may include a search for a buyer for the company.</t>
  </si>
  <si>
    <t>Massachusetts Mutual Life Ins</t>
  </si>
  <si>
    <t>US - Massachusetts Mutual Life Insurance Co was rumored to be planning to acquire all the outstanding common stock of Jefferies Group Inc, an investment bank. The Current status of this deal is unknown.</t>
  </si>
  <si>
    <t>US - Veritas Capital (VC) acquired all the outstanding common stock of Aeroflex Inc (AI), a manufacturer of microelectronic products, for a sweetened $14.5 in cash per share, or a total value of $1. 068 bil, in a leveraged buyout transaction. The transaction had been subject to customary closing conditions. Previously, VC offered $14 in cash per share, for a 78.8% interest in AI, or a total value of $812.404 mil. Originally, an investor group, comprised of General Atlantic LLC and Francisco Partners LP, agreed to acquire all the outstanding common stock of AI for $13.5 in cash per share, or a total value of $994.15 mil.</t>
  </si>
  <si>
    <t>Genesco Inc</t>
  </si>
  <si>
    <t>US - Foot Locker Inc (FL) plan to acquire all the outstanding common stock of Genesco Inc (GI), a retailer and wholesaler of footwear, for a sweetened $51 in cash per share, or a total value of $1.16 bil. Previously, FL offered $46 in cash per share, or a total value of $1.046 bil. Originally, FL offered $46 in cash per share, or a total value of $1.046 bil and was rumored to be planning to acquire GI.</t>
  </si>
  <si>
    <t>US - An investor group, including Fortress Investment Group LLC, acquired all the outstanding common stock of Interpool Inc (IP), a provider of intermodal dry cargo containers and intermodal container chassis leasing services, for $27.1 in cash per share, or a total value of $846.621 mil. The transaction had been subject to the approval of stockholders and regulatory authorities. Previously, a management-led investor group, including IP's CEO and Chairman Martin Tuchman, withdrew its plans to acquire an 81% interest, or 23.1 mil common shares of IP.</t>
  </si>
  <si>
    <t>AstraZeneca PLC</t>
  </si>
  <si>
    <t>US - AstraZeneca PLC completed its tender offer to acquire all the outstanding common stock of MedImmune Inc (MI), a manufacturer of vaccines and a provider of research services, for $58 in cash per share, or a total value of $14.555 bil. The offer was conditioned upon at least a majority of MI's shares being rendered. The transaction had been subject to customary conditions and regulatory approval.</t>
  </si>
  <si>
    <t>OCPI</t>
  </si>
  <si>
    <t>Mnfr commun components</t>
  </si>
  <si>
    <t>US - Oplink Communications Inc (OC) acquired a 58.155% interest, or 66 mil common shares, in Optical Communication Products Inc, a manufacturer of communication components and sub-systems, for $98.878 mil. The consideration consisted of $84.15 mil in cash and the issuance of 0.857 mil common shares. The shares were valued based on OC's closing stock price of $17.18 on April 20, the last full trading day prior to the announcement. The transaction had been subject to customary closing conditions.</t>
  </si>
  <si>
    <t>Terayon Communication Sys Inc</t>
  </si>
  <si>
    <t>Mnfr,whl cable modem sys</t>
  </si>
  <si>
    <t>US - Motorola Inc acquired all the outstanding common stock of Terayon Communication Systems Inc (TC) , a manufacturer and wholesaler of cable modem systems, for $1.8 in cash per share, or a total value of $141.795 mil. The transaction had been subject to customary closing conditions, TC shareholders and regulatory approvals.</t>
  </si>
  <si>
    <t>Desert Community Bk,California</t>
  </si>
  <si>
    <t>East West Bancorp Inc</t>
  </si>
  <si>
    <t>US - East West Bancorp Inc, Pasadena, California acquired all the outstanding common stock of Desert Community Bank, Victorville, California (DC), for $24 per share, or a total value of $148.214 mil, subject to proration, whereby 55% of the consideration was to be paid in stock and the remainder in cash. The transaction was approved by the boards of directors of both banks, and was subject customary closing conditions, regulatory and DC shareholder approval.</t>
  </si>
  <si>
    <t>Highland Hospitality Corp</t>
  </si>
  <si>
    <t>JER Partners Acquisitions IV</t>
  </si>
  <si>
    <t>US - JER Partners Acquisition IV LLC, a unit of JE Roberts Cos' JER Partners subsidiary, acquired all the outstanding common stock of Highland Hospitality Corp, a real estate investment trust, for $19.5 in cash per share, or a total value of $1.458 bil, including the assumption of an estimated $260 mil in liabilities, in a leveraged buyout transaction. The transaction had been subject to customary closing conditions and regulatory and shareholder approvals.</t>
  </si>
  <si>
    <t>Myers Industries Inc</t>
  </si>
  <si>
    <t>Mnfr,whl polymer,rubber prod</t>
  </si>
  <si>
    <t>US - GS Capital Partners LP, a unit of Goldman Sachs &amp; Co, withdrew its agreement to acquire Myers Industries Inc (MI), a manufacturer and wholesaler of tire and car servicing equipment and supplies, for $22.5 in cash per share, or a total value of $1.073 bil, including the assumption of $276 mil in liabilities, in a leveraged buyout transaction. The transaction was subject to customary closing conditions, regulatory and MI shareholder approval.</t>
  </si>
  <si>
    <t>Symbion Inc</t>
  </si>
  <si>
    <t>Crestview Partners LP</t>
  </si>
  <si>
    <t>US - Crestview Partners LP acquired all the outstanding common stock of Symbion Inc (SI), an owner and operator of surgery centers, for $22. 35 in cash per share, or a total value of $494.737 mil, in a leveraged buyout transaction. The transaction had been subject to customary closing conditions, SI shareholders and regulatory approvals.</t>
  </si>
  <si>
    <t>Covansys Corp</t>
  </si>
  <si>
    <t>US - Computer Sciences Corp acquired all the outstanding common stock of Covansys Corp, a provider of computer programming and information technology services, for $34 in cash per share, or a total value of $1.413 bil. The transaction had been subject to customary conditions and shareholders approval.</t>
  </si>
  <si>
    <t>US - Fillmore Capital Partners LLC (FG) terminated its challenging tender offer to acquire all the outstanding common stock of Genesis HealthCare Corp (GH), a provider of nursing care services, for a four-time sweetened $69.25 in cash per share, or a total value of $1. 407 bil. Originally, FC offered $64.75 in cash per share, or a total value of $1. 314 bil. Previously, Formation Capital LLC and JER Partners, through their FC- GEN Acquisition Inc joint venture unit, acquired all the outstanding common stock of GH.</t>
  </si>
  <si>
    <t>Jarden Corp</t>
  </si>
  <si>
    <t>Whl consumer products</t>
  </si>
  <si>
    <t>US - Jarden Corp (JC) acquired all the outstanding common stock of K2 Inc (KI), a manufacturer and wholesaler of sporting goods, for $786. 541 mil. JC offered $10.85 in cash and 0.109 JC common share per KI share held. Based on JC's closing stock price of $43.1 on April 24, the last full trading day prior to the announcement, each KI share was valued at $15.548. The transaction was subject to customary closing conditions and regulatory and KI shareholder approvals.</t>
  </si>
  <si>
    <t>Pediatric Services of America</t>
  </si>
  <si>
    <t>Portfolio Logic LLC</t>
  </si>
  <si>
    <t>US - Portfolio Logic LLC acquired the remaining 85.1% interest, or 6.421 mil common shares, which it did not already own, in Pediatric Services of America Inc, a provider of comprehensive pediatric home health healthcare services, for $16. 25 in cash per share, or a total value of $104.348 mil. The transaction had been subject to shareholders and regulatory approvals.</t>
  </si>
  <si>
    <t>Castelle Inc</t>
  </si>
  <si>
    <t>Dvlp software,hardware prod</t>
  </si>
  <si>
    <t>Captaris Inc</t>
  </si>
  <si>
    <t>Dvlp bus automation software</t>
  </si>
  <si>
    <t>US - Captaris Inc (CP) acquired all the outstanding common stock of Castelle Inc (CI), a developer of software network faxing solutions and integrated hardware, for $4. 14 per CI share, or a total value of $16.746 mil. Originally, CP offered $3.95 in cash per CI share, or a total value of $15.978 mil. The transaction had been subject to customary closing conditions, CI shareholders and regulatory approvals.</t>
  </si>
  <si>
    <t>Harman Intl Industries Inc</t>
  </si>
  <si>
    <t>Mnfr,whl audio,video system products</t>
  </si>
  <si>
    <t>US - An investor group comprised of Kohlberg Kravis Roberts &amp; Co and GS Capital Partners LP, a unit of Goldman Sachs Group Inc's Goldman Sachs &amp; Co subsidiary, terminated its agreement to acquire all the outstanding common stock of Harman International Industries Inc (HI), a manufacturer and wholesaler of high quality, high fidelity audio and video system products and components, for $120 in cash per share, or a total value of $8.101 bil, in a leveraged buyout transaction. Harman shareholders were offered the right to exchange up to a 27% equity stake in the post- transaction corporation. The transaction was subject to HI shareholders and regulatory approval.</t>
  </si>
  <si>
    <t>Mitel Networks Corp</t>
  </si>
  <si>
    <t>Dvlp IP-based commun software</t>
  </si>
  <si>
    <t>US - Mitel Networks Corp and Francisco Partners acquired all the outstanding common stock of Inter-Tel Inc (IT), a manufacturer of business telephone systems, from Mr. Steven Mihaylo (19.22%) and other shareholders, for $25.6 in cash per share, or a total value of $717.085 mil. The transaction was subject to shareholder and regulatory approval. Subsequently, Vector Capital Corp withdrew its plans to launch a challenging offer to acquire all the outstanding common stock of IT.</t>
  </si>
  <si>
    <t>Arkona Inc</t>
  </si>
  <si>
    <t>Dvlp dealer mgmt software</t>
  </si>
  <si>
    <t>DealerTrack Holdings Inc</t>
  </si>
  <si>
    <t>Pvd dealer mgmt software,svcs</t>
  </si>
  <si>
    <t>US - DealerTrack Holdings Inc completed its tender offer to acquire all the outstanding common stock of Arkona Inc, a developer of web-based dealer management software solution, for $1.38 in cash per share, or a total value of $44.952 mil.</t>
  </si>
  <si>
    <t>Eagle Hosp Prop Trust Inc</t>
  </si>
  <si>
    <t>AP AIMCAP</t>
  </si>
  <si>
    <t>US - AP AIMCAP, a joint venture among Apollo Real Estate Investment Fund V LP, Aimbridge Hospitality LP and JF Capital Advisors LLC, acquired all the outstanding common stock of Eagle Hospitality Properties Trust Inc (EH), a real estate investment trust , for $13.35 in cash per share, or a total value of $317.042 mil. The transaction was approved by EH shareholders and had been subject to the customary closing conditions. Originally, in January 2007, EH disclosed that it was seeking a buyer for the company. Corporex Cos LLC was named as potential bidder.</t>
  </si>
  <si>
    <t>Enpath Medical Inc</t>
  </si>
  <si>
    <t>Mnfr med prods</t>
  </si>
  <si>
    <t>Greatbatch Inc</t>
  </si>
  <si>
    <t>Mnfr capacitors,med device</t>
  </si>
  <si>
    <t>US - Greatbatch Inc (GI) acquired all the outstanding common stock of Enpath Medical Inc (EM), a manufacturer of implantable medical devices, for $14.38 in cash per share, or a total value of $91.588 mil, and the assumption of an undisclosed amount in liabilities. Previously, GI completed its tender offer to acquire all the outstanding stock of EM, by accepting 5.79 mil shares, or 90.91% of EM's common stock outstanding. The transaction, which had been subject to customary closing conditions and regulatory approval, had been conditioned upon at least a majority of EM's common stock outstanding being tendered.</t>
  </si>
  <si>
    <t>Intl Sec Exchange Hldgs Inc</t>
  </si>
  <si>
    <t>Pvd equity options trading svc</t>
  </si>
  <si>
    <t>Eurex AG</t>
  </si>
  <si>
    <t>Pvd eq options trading svc</t>
  </si>
  <si>
    <t>US - Eurex AG, a joint venture between Deutsche Boerse AG and SWX Swiss Exchange, acquired all the outstanding common stock of International Securities Exchange Holdings Inc, a provider of equity options trading services, for $67.5 in cash per share, or a total value of $2.821 bil. The transaction was subjected to customary closing conditions, shareholder and regulatory approval.</t>
  </si>
  <si>
    <t>US - Susquehanna Bancshares Inc (SB), located in Lititz, Pennsylvania, acquired all the outstanding common shares of Community Banks Inc (CB), Harrisburg, Pennsylvania, in a stock swap transaction valued at $809.578 mil. SB offered a choice of $34 in cash or 1.48 SB commons shares per CB share, subject to proration whereby 90% of the total consideration was to be comprised of SB common stock and the remaining 10% in cash. The board of directors duly approved the transaction.</t>
  </si>
  <si>
    <t>US - News Corp acquired all the outstanding common stock of Dow Jones &amp; Co Inc, a provider of global business and financial news services, for $60 in cash or a combination of cash and common stock per share, or a total of $5.1 bil. The transaction had been subject to regulatory approvals.</t>
  </si>
  <si>
    <t>US - National City Corp, (NC) Cleveland, Ohio, acquired all the outstanding common stock of MAF Bancorp Inc (MB), Clarendon Hills, Illinois, a savings and loan holding company, in a stock swap transaction valued at $1.964 bil. NC offered 1.994 common shares per MB share. Based on NC's closing stock price of $36.55 on April 30, the last full trading day prior to the announcement, each MB share was valued at $56. The transaction had been subject to regulatory and MB shareholder approvals.</t>
  </si>
  <si>
    <t>US - Citigroup Inc acquired all the outstanding common stock of BISYS Group Inc (BG), a provider of data processing services, for $11. 85 in cash per share, or a total value of $1.436 bil. The transaction included BG's Fund Services and Alternative Investment Services Concurrently, JC Flowers &amp; Co LLC acquired the insurance services group and retirement business of BG, from Citi. The transactions had been subject to shareholders and regulatory authorities approvals.</t>
  </si>
  <si>
    <t>Mity Enterprises Inc</t>
  </si>
  <si>
    <t>Mnfr,whl coml furniture</t>
  </si>
  <si>
    <t>FP Merger Sub Inc</t>
  </si>
  <si>
    <t>US - FP Merger Sub Inc, a special purpose vehicle formed by Sorenson Capital Partners and Peterson Partners LP, acquired all the outstanding common stock of Mity Enterprises Inc (ME), a manufacturer and wholesaler of commercial furniture, for $21.5 in cash per share, or a total value of $71.631 mil, in a leveraged buyout transaction. The transaction had been subject to customary closing conditions, ME shareholders and regulatory approvals.</t>
  </si>
  <si>
    <t>CIMNET Inc</t>
  </si>
  <si>
    <t>Invensys Systems Inc</t>
  </si>
  <si>
    <t>Pvd online process soln</t>
  </si>
  <si>
    <t>US - Invensys Systems Inc, a unit of Invensys PLC, acquired all the outstanding common stock of CIMNET Inc, a developer of manufacturing information control software, for $2.43 in cash per share, or a total value of $18.016 mil, including the assumption of an undisclosed amount in liabilities. The transaction had been subject to shareholders approval and customary closing conditons.</t>
  </si>
  <si>
    <t>Energroup Technologies Corp</t>
  </si>
  <si>
    <t>Mnfr interfacing devices</t>
  </si>
  <si>
    <t>Halter Financial Group Inc</t>
  </si>
  <si>
    <t>Pvd advisory svcs</t>
  </si>
  <si>
    <t>US - Halter Financial Group Inc agreed to acquire an 83%, or 3.027 mil common shares, in Energroup Technologies Corp, a manufacturer interfacing devices, for $0. 35 mil.</t>
  </si>
  <si>
    <t>SSAB AB</t>
  </si>
  <si>
    <t>Manufacture steel sheet,plate</t>
  </si>
  <si>
    <t>US - Svenskt Stal AB {SSAB} acquired all the outstanding common stock of IPSCO Inc, a manufacturer and wholesaler of primary and secondary steel products, for $160 in cash per share, or a total value of $7.572 bil. The transaction was subject to regulatory approval, customary closing conditions, and the approval of 66.6% of the votes cast by shareholders.</t>
  </si>
  <si>
    <t>US - Wells Fargo &amp; Co (WF), San Francisco, California, acquired all the outstanding common stock of Greater Bay Bancorp (GB), Palo Alto, California, a bank holding company, in a stock swap transaction valued at an estimated $1.62 bil. The consideration was subject to a collar agreement whereby if WF's measurement price is between $32.175 and $39.325 during a 10 trading day period ending one day prior to the shareholders meeting, the exchange ratio will be determined by dividing $28.50 by the measurement price. If WF measurement price is equal to or less than $32.175, then the exchange ratio will be 0. 8858 per share. If WF measurement price is greater than or equal to $39.325, then the exchange ratio will be 0.7247 per share. The transaction was subject to customary closing conditions, GB shareholder and regulatory approvals.</t>
  </si>
  <si>
    <t>US - In May 2007, Westwood One Inc, a provider of programming content services, announced that it was seeking a buyer for the company. Citadel Broadcasting Corp was named potential bidder.</t>
  </si>
  <si>
    <t>US - Microsoft Corp discontinued rumors to be planning to acquire all the outstanding common stock of Yahoo! Inc, a provider of Internet search engine services.</t>
  </si>
  <si>
    <t>US - BAE Systems Inc, a unit of BAE Systems PLC, acquired all the outstanding common stock of Armor Holdings Inc (AH), a manufacturer of law enforcement equipment, from Kanders Florida Holdings Inc, for $88 in cash per share, or a total value of $4.328 bil, including the assumption of $388 mil in liabilities. The transaction had been subject to customary closing conditions, AH shareholders, and regulatory approvals.</t>
  </si>
  <si>
    <t>Ohio Casualty Corp</t>
  </si>
  <si>
    <t>Pvd casualty,life ins svcs</t>
  </si>
  <si>
    <t>US - Liberty Mutual Group Inc, a unit of Liberty Mutual Insurance Co, acquired all the outstanding common stock of Ohio Casualty Corp, a provider of casualty and life insurance services, for $44 in cash per share, or a total value of $2.74 bil. The transaction was approved by the shareholders and was subject to regulatory approvals and customary closing conditions.</t>
  </si>
  <si>
    <t>ArcelorMittal SA</t>
  </si>
  <si>
    <t>Mnfr,wholesale steel products,provide mining svcs</t>
  </si>
  <si>
    <t>US - Arcelor Mittal NV was rumored to be in negotiations to acquire all the outstanding common stock of AK Steel Holding Corp, a manufacturer of steel products. The Current status of this deal is unknown.</t>
  </si>
  <si>
    <t>Provides investment management services</t>
  </si>
  <si>
    <t>US - Fortress Investment Group LLC acquired all the outstanding common stock of Florida East Coast Industries Inc (FE), an investment holding company, for $62.5 in cash per share, or a total value of $2.24 bil. The transaction was subjected to customary closing conditions and regulatory and FE shareholder approvals.</t>
  </si>
  <si>
    <t>Sipex Corp</t>
  </si>
  <si>
    <t>EXAR Corp</t>
  </si>
  <si>
    <t>US - Exar Corp (EC) acquired all the outstanding common stock of Sipex Corp (SC), a manufacturer and wholesaler of semiconductors, and a unit of Suez SA's Suez-Tractebel SA subsidiary, in a stock swap transaction valued at $191.338 mil. EC offered 0. 6679 common share per SC share. Based on EC's closing stock price of $14 on May 7, the last full trading day prior to the announcement, each SC share was valued at $9.351. The transaction had been subject to customary closing conditions, shareholders and regulatory approvals.</t>
  </si>
  <si>
    <t>eCollege.com</t>
  </si>
  <si>
    <t>Pvd online educ svcs</t>
  </si>
  <si>
    <t>Pearson Education Inc</t>
  </si>
  <si>
    <t>Publish educational products</t>
  </si>
  <si>
    <t>US - Pearson Education Inc, a unit of Pearson PLC, acquired eCollege.com, a provider of online education services, for $22.45 in cash per share, or a total value of $518.29 mil. The transaction was subject to regulatory approval and customary closing conditions.</t>
  </si>
  <si>
    <t>First Albany Cos Inc</t>
  </si>
  <si>
    <t>MatlinPatterson FA Acquisition</t>
  </si>
  <si>
    <t>US - MatlinPatterson FA Acquisition LLC acquired a 67% interest, or 33.333 mil common shares, in First Albany Cos Inc (FA), a provider of investment banking services, for of $50 mil in cash. On completion, FA was named Broadpoint Securities Group.</t>
  </si>
  <si>
    <t>Inforte Corp</t>
  </si>
  <si>
    <t>Pvd tech consultancy svcs</t>
  </si>
  <si>
    <t>Business &amp; Decision SA</t>
  </si>
  <si>
    <t>US - Business &amp; Decision Group acquired all the outstanding common stock of Inforte Corp, a provider of technology consulting services, for $4.25 in cash per share, or a total value of $49.868 mil.</t>
  </si>
  <si>
    <t>US - United Pacific Industries Ltd (UP) acquired the remaining 38% stake, or 2. 18 mil common shares, which it did not already own in Spear &amp; Jackson Inc, a manufacturer of screwdrivers, for USD 1.96 in cash per share or a total value of USD 4.272 mil.</t>
  </si>
  <si>
    <t>US - Emerson Electric Co acquired all the outstanding common stock of Stratos International Inc (SI), a manufacturer of optical transceivers, for $8 in cash per share, or a total value of $115.964 mil. The transaction had been subjected to customary closing conditions, SI shareholders and regulatory approvals.</t>
  </si>
  <si>
    <t>Synergy Financial Group Inc</t>
  </si>
  <si>
    <t>Finl hldg co</t>
  </si>
  <si>
    <t>US - New York Community Bancorp, Westbury, New York (NY), acquired all the outstanding common stock of Synergy Financial Group Inc (SF), a financial holding company, in a stock swap transaction valued at $168. 372 mil. NY offered 0.8 common share per SF share. Based on NY's closing stock price of $17.73 on May 11, the last full trading day prior to the announcement, each SF share was valued at $14.184. The transaction was subject to SF shareholders and regulatory approvals.</t>
  </si>
  <si>
    <t>VIASYS Healthcare Inc</t>
  </si>
  <si>
    <t>US - Cardinal Health Inc (CH) acquired all the outstanding common stock of VIASYS Healthcare Inc (VH), a manufacturer of medical devices, via a tender offer for $42.75 in cash per share, or a total value of $1.605 bil, including the assumption of an undisclosed amount in liabilities. Earlier, CH completed its tender offer by accepting 29.3 mil shares, or 88.04% of VH common shares outstanding. The transaction was subject to regulatory approval and other customary closing conditions. The offer was conditioned upon at least majority of VH's shres being tendered.</t>
  </si>
  <si>
    <t>US - Oracle Corp acquired all the outstanding common stock of Agile Software Corp, a developer of product life cycle management (PLM) software, for $8.1 in cash per share, or a total value of $480.101 mil. The transaction had been subject to customary closing conditions, regulatory and shareholder approval.</t>
  </si>
  <si>
    <t>Factory Point Bancorp Inc</t>
  </si>
  <si>
    <t>US - Berkshire Hills Bancorp Inc, Pittsfield, Massachusetts (BH), acquired all the outstanding common stock of Factory Point Bancorp Inc (FP), for $19.5 in cash per share, or a total value of $79.092 mil. BH offered a choice of $19.5 in cash per FP common share or 0. 584 BH shares per FP common share. The transaction had been subject to both shareholders and regulatory approvals.</t>
  </si>
  <si>
    <t>US - Vector Capital Corp withdrew its plans to launch a challenging offer to acquire all the outstanding common stock of Inter-Tel Inc, a provider of telecommunication services, for $26.5 in cash per share, or a total value of $744.01 mil, in a leveraged buyout transaction. The transaction was subject to due diligence and other conditions. Recently, Mitel Networks Corp definitively agreed to acquire all the outstanding common stock of IT.</t>
  </si>
  <si>
    <t>Stamford Bank Corp,Stamford,NY</t>
  </si>
  <si>
    <t>Delaware Bancshares,Walton,NY</t>
  </si>
  <si>
    <t>US - Delaware Bancshares Inc, Walton, New York, acquired all the outstanding common stock of Stamford Bank Corp (SB), Stamford, New York, a bank holding company, for $50. 5 in cash per share, or a total value of $21.743 mil. The transaction had been subject to customary closing conditions, SB shareholders and regulatory approvals.</t>
  </si>
  <si>
    <t>US - An investor group, comprised of ValueAct Capital Partners LP (VC) and Silver Star Partners (SS), terminated its agreed to acquire all the outstanding common stock of Acxiom Corp (AC), a provider of Customer Data Integration (CDI) technology, data products, database services, IT outsourcing, consulting and analytics, and privacy leadership services, for $27. 1 in cash per share, or a total value of $2.965 bil, including the assumption of $756 mil in liabilities, in a leveraged buyout transaction. The transaction was subject to customary closing conditions, shareholders and regulatory approvals. Upon completion, VC and SS were to own 50:50 in AC.</t>
  </si>
  <si>
    <t>US - Warburg Pincus LLC acquired all the outstanding common stock of Bausch &amp; Lomb Inc (BL), a manufacturer of ophthalmic products, for $65 in cash per share, or a total value of $4.450 bil, including the assumption of $830 mil in liabilities, in a leveraged buyout transaction. The transaction was subject to customary closing conditions, BL shareholders and regulatory approvals. Subsequently, Advanced Medical Optics Inc withdrew its challenging tender offer to acquire all the outstanding common stock of BL.</t>
  </si>
  <si>
    <t>East Penn Financial Corp</t>
  </si>
  <si>
    <t>US - Harleysville National Corp (HN), Harleysville, Pennsylvania definitively acquired all the outstanding common stock of East Penn Financial Corp, Emmaus, Pennsylvania, a bank holding company, for an estimated $14. 5 per share, or a total value of $91.426 mil, subject to proration whereby $50.284 mil, or up to 60% of the total consideration, was to be paid in cash, and the remaining amount in HN common shares. The transaction had been subject to customary closing conditions and regulatory and shareholder approvals.</t>
  </si>
  <si>
    <t>Alliance Data Systems Corp</t>
  </si>
  <si>
    <t>Provide marketing services</t>
  </si>
  <si>
    <t>US - Blackstone Capital Partners V LP, a unit of Blackstone Group LP, terminated its agreement to acquire all the outstanding common stock of Alliance Data Systems Corp, a provider of payment processing, private label credit, billing, customer care, and loyalty and database marketing services, for $81.75 in cash per share, or a total value of $6.706 bil, in a leveraged buyout transaction. The transaction was subject to customary closing conditions and regulatory approval.</t>
  </si>
  <si>
    <t>TierOne Corp,Lincoln,Nebraska</t>
  </si>
  <si>
    <t>CapitalSource Inc</t>
  </si>
  <si>
    <t>Pvd lending,invest,mgmt svcs</t>
  </si>
  <si>
    <t>US - Capitalsource Inc (CI) withdrew its definitive agreement to acquire all the outstanding common stock of TierOne Corp (TC), Lincoln, Nebraska, a bank holding company, in a stock swap transaction valued at $637. 378 mil. CI offered $6.80 in cash and 0.675 common shares per TC share and either another 0.405 CI shares, $10. 20 in cash, or $10.20 worth of CI shares. Based on CI's closing stock price of May 16, the last full trading day prior to the announcement, each TC share was valued at $33.714. The transaction was subject to customary closing conditions, TC shareholders and regulatory approvals.</t>
  </si>
  <si>
    <t>24/7 Real Media Inc</t>
  </si>
  <si>
    <t>Pvd online advg svcs</t>
  </si>
  <si>
    <t>US - WPP Group PLC (WPP) competed its tender offer to acquire all the outstanding shares of 24/7 Real Media Inc (RM), a provider of Internet advertising services, for $11. 75 in cash per share, or a total value of $647.866 mil. The transaction had been subject to regulatory approvals and conditioned upon at least a majority of RM's common stock outstanding being tendered. Earlier, WPP completed tendered 47.687 mil shares or 93.51% of RM's common stock outstanding. Originally, WG was rumored to be in negotiations to acquire all the outstanding shares of RM.</t>
  </si>
  <si>
    <t>aQuantive Inc</t>
  </si>
  <si>
    <t>Pvd digital mktg svcs</t>
  </si>
  <si>
    <t>US - Microsoft Corp acquired all the outstanding common stock of aQuantive Inc, a provider of digital marketing services, for $66.5 in cash per share, or a total value of $6.333 bil. The transaction had been subject to customary closing conditions, shareholders and regulatory approvals.</t>
  </si>
  <si>
    <t>I/OMagic Corp</t>
  </si>
  <si>
    <t>Jiangxi Greatsource Display</t>
  </si>
  <si>
    <t>Mnfr liquid crystal display</t>
  </si>
  <si>
    <t>US - Jiangxi Greatsource Display Tech Co Ltd agreed to acquire a 70% interest or 21. 7 mil common shares, in I/ Omagic Corp, a developer of media communications equipment for $95 mil in cash. The transaction was subject to customary closing conditions and regulatory approvals.</t>
  </si>
  <si>
    <t>Iomed Inc</t>
  </si>
  <si>
    <t>ReAble Therapeutics Inc</t>
  </si>
  <si>
    <t>US - ReAble Therapeutics LLC, a unit of Blackstone Group LP's Blackstone Capital Partners V LP subsidiary, acquired all the outstanding common stock of Iomed Inc (II) , a manufacturer and wholesaler of pharmaceuticals, for $2.75 in cash per share, or a total value of $21.11 mil. The transaction had been subject to customary closing conditions and II shareholder approval.</t>
  </si>
  <si>
    <t>Own,op tv broadcasting station</t>
  </si>
  <si>
    <t>US - Originally, In May 2007, Lin Television withdrawn its plans to seek a buyer for the company.</t>
  </si>
  <si>
    <t>Atlantis Holdings LLC</t>
  </si>
  <si>
    <t>US - Atlantis Holdings LLC, a SPV created by TPG Capital LP and GS Capital Partners LP, a unit of Goldman Sachs Group Inc's Goldman Sachs &amp; Co subsidiary, acquired all the outstanding common stock of Alltel Corp (AC), a provider of telecommunication services, for $71.5 in cash per share, or a total value of $25.102 bil, in a leveraged buyout transaction. Originally, in March 2007, AC announced that it was seeking a buyer for the company. Blackstone Group LP, TPG Capital LP, Carlyle Group LLC, Kohlberg Kravis Roberts &amp; Co and Providence Equity Partners were named potential bidders.</t>
  </si>
  <si>
    <t>US - Hologic Inc (HI) acquired all the outstanding common stock of Cytyc Corp (CC), a designer, developer and manufacturer of women's health products, for $5.757 bil, in a stock swap reverse takeover transaction. HI offered $16.5 in cash and 0. 52 HI common shares per CC share. Based on HI's closing stock price of $57.61 on May 18, the last full trading day prior to the announcement, each CC share was valued at $46.457. The transaction was subjected to customary closing conditions, shareholders and regulatory approvals.</t>
  </si>
  <si>
    <t>US - BancTrust Financial Group Inc (BF) merged with Peoples BancTrust Co Inc (PB), Selma, Alabama, a commercial bank holding company, in a stock swap transaction valued at USD 151.154 mil, subject to a collar agreement. BF offered 0.9897 common share and USD 6.375 cash per PB share. The transaction had been subject to customary closing conditions, shareholders and regulatory approvals. On completion, the merged entity was renamed BF.</t>
  </si>
  <si>
    <t>Pioneer Cos Inc</t>
  </si>
  <si>
    <t>Mnfr chlorine prod</t>
  </si>
  <si>
    <t>US - Olin Corp acquired all the outstanding common stock of Pioneer Cos Inc (PC), a manufacturer of chlorine products, for $35 in cash per share, or a total value of $418.573 mil. The transaction was subjected to customary closing conditions and regulatory and PC shareholder approvals.</t>
  </si>
  <si>
    <t>US - Morgan Stanley Real Estate, a unit of Morgan Stanley, acquired all the outstanding common stock of Crescent Real Estate Equities Co (CR), a real estate investment trust company, for $22.8 in cash per share, for a total value of $6.433 bil, including the assumption of $3.1 bil in liabilities, and $440 mil in Series A and Series B preferred shares. The transaction had been subject to customary closing conditions and CR's shareholder approval.</t>
  </si>
  <si>
    <t>Oreo Acquisition Co LLC</t>
  </si>
  <si>
    <t>US - Oreo Acquisition Co LLC, a unit of Harbinger Capital Partners Master Fund I Ltd and Harbinger Partners Special Situations Fund LP, planned to launch a tender offer to raise its interest to 55% from 12% in Openwave Systems Inc, a developer of IP based communication infrastructure software and applications, by acquiring 40. 390 mil common shares, or a 43% stake, for $8.3 in cash per share, or a total value of $335.233 mil.</t>
  </si>
  <si>
    <t>Payless ShoeSource Inc</t>
  </si>
  <si>
    <t>Own,op shoe stores</t>
  </si>
  <si>
    <t>US - Payless ShoeSource Inc (PS) acquired all the outstanding common stock of Stride Rite Corp (SR), a manufacturer and wholesaler of footwear, for $20.5 in cash per share, or a total value of $789.212 mil, and the assumption of an undisclosed amount in liabilities. The transaction was approved by the boards of directors of both companies, and had been subject to customary closing conditions and regulatory approvals, as well as approval by SR shareholders. On completion, PS was renamed Collective Brands Inc.</t>
  </si>
  <si>
    <t>Spirit AeroSystems Holdings</t>
  </si>
  <si>
    <t>Mnfr,whl aircraft composites</t>
  </si>
  <si>
    <t>US - In May 2007, Onex Corp, announced that it was seeking a buyer for its Spirit AeroSystems Holdings Inc unit, a manufacturer of aircraft composites, fuselages, underwing components and wings. GKN PLC was named potential bidder.</t>
  </si>
  <si>
    <t>US - Advanced Medical Optics Inc withdrew its plans to acquire all the outstanding common stock of Bausch &amp; Lomb Inc (BL), a manufacturer of ophthalmic products, for $75 per share, or a total value of $4.22 bil. AM offered $40 in cash and $35 in common stock per BL share. The transaction was subject to regulatory, anti-trust and shareholders approvals, and customary closing conditions. Previously, Warburg Pincus LLC acquired all the outstanding common stock of BL.</t>
  </si>
  <si>
    <t>Upper Deck Co</t>
  </si>
  <si>
    <t>Mnfr sports,enter card</t>
  </si>
  <si>
    <t>US - Upper Deck Co withdrew its unsolicited challenging offer to acquire all the outstanding common stock of Topps Co Inc (TC), a manufacturer and wholesaler of candy and collectibles, for $10.75 per share, or a total value of $427.96 mil. Previously, an investor group, comprised of Tornante Co LLC and Madison Dearborn Partners LLC, agreed to acquire TC.</t>
  </si>
  <si>
    <t>PYR Energy Corp</t>
  </si>
  <si>
    <t>Samson Investment Co</t>
  </si>
  <si>
    <t>US - Samson Investment Co (SI) acquired the remaining 25% stake, or 8.366 mil common shares, which it did not already own, in PYR Energy Corp (PE), an oil and gas exploration and production company, for $1.3 in cash per share, or a total value of $10.875 mil. Earlier, SI completed its tender offer by accepting 6.276 mil shares, or 18.76%, of PE's common shares outstanding. Previously, SI acquired a 75% interest in PE.</t>
  </si>
  <si>
    <t>Cleveland-Cliffs Inc</t>
  </si>
  <si>
    <t>Iron ore mining co</t>
  </si>
  <si>
    <t>Cia Vale do Rio Doce SA</t>
  </si>
  <si>
    <t>Brazil</t>
  </si>
  <si>
    <t>US - Cia Vale do Rio Doce SA was rumored to be planning to acquire Cleveland-Cliffs Inc, a manufacturer and wholesaler of iron ore pellets. The Current status of this deal is unknown.</t>
  </si>
  <si>
    <t>Washington Group Intl Inc</t>
  </si>
  <si>
    <t>US - URS Corp (URS) acquired all the outstanding common stock of Washington Group International Inc (WGI), a construction company, in a stock swap transaction valued at $3.102 bil. URS offered $43.8 in cash and a sweetened 0.9 common share per WGI share, subject to proration whereby shareholders can elect to receive all cash, all stock or a combination of cash and stock. Based on URS' closing stock price of $60.1 on November 2, the last full trading day prior to the announcement of the amended terms, each WGI share was valued at $86.01. The transaction had been subject to regulatory and shareholders approval and customary closing conditions. On completion, the combined entity retained the URS name, and WGI shareholders were to own 35% of the new URS. Originally, URS offered $43.8 in cash and 0.772 common share per WGI share.</t>
  </si>
  <si>
    <t>Archstone-Smith Trust</t>
  </si>
  <si>
    <t>US - An investor group, led by Tishman Speyer Properties Inc and Lehman Brothers Private Equity, a unit of Lehman Brothers Holdings Inc, acquired all the outstanding common stock of Archstone- Smith Trust (AS), a real estate investment trust, for $60.75 in cash per share, or a total value of $15.249 bil, in a leveraged buyout transaction. The transaction had been subject to customary closing conditions, AS shareholders and regulatory approvals.</t>
  </si>
  <si>
    <t>Bioenvision Inc</t>
  </si>
  <si>
    <t>US - Genzyme Corp (GC) acquired all the outstanding common stock of Bioenvision Inc (BI), a biotechnology company focused on the acquisition, development and distribution of drugs to treat cancer, for $5.6 in cash per share, or a total value of $339.712 mil, including 2.25 mil preferred shares, valued at $25.2 mil. The transaction had been subject to customary closing conditions and regulatory approval. Earlier, GC completed its tender offer to acquire all the outstanding common stock of BI by accepting 6.888 mil shares, or about 12.52% of the company's common stock outstanding.</t>
  </si>
  <si>
    <t>Bradley Pharmaceuticals Inc</t>
  </si>
  <si>
    <t>US - An investor group, led by Mr. Daniel Glassman, President and CEO of Bradley Pharmaceuticals Inc (BP), withdrawn its plans to acquire the remaining 86.22% interest plus options, or 16. 484 mil common stock, which it did not already own, in BP, a manufacturer and wholesaler of pharmaceutical products, for $21.5 in cash per share, or a total value of $334.879 mil. Subsequently, Nycomed US Inc, a unit of Nycomed International Management GmbH, definitively agreed to merge with BP.</t>
  </si>
  <si>
    <t>CDW Corp</t>
  </si>
  <si>
    <t>Ret,whl computer prod</t>
  </si>
  <si>
    <t>US - Madison Dearborn Partners LLC definitively acquired all the outstanding common stock of CDW Corp, a retailer and wholesaler of computer products and related software, peripherals and accessories, for $87.75 in cash per share, or a total value of $7.311 bil, in a leveraged buyout transaction. The transaction was subjected to customary closing conditions, shareholders and regulatory approvals.</t>
  </si>
  <si>
    <t>CT Communications Inc</t>
  </si>
  <si>
    <t>Pvd integrated telecom svcs</t>
  </si>
  <si>
    <t>Windstream Corp</t>
  </si>
  <si>
    <t>US - Windstream Corp, a majority-owned unit of Alltel Holding Corp, acquired all the outstanding common stock of CT Communications Inc (CC), a provider of integrated telecommunication services, for $31.5 in cash per share, or a total value of $647.56 mil. The transaction had been subject to CC shareholders and regulatory approvals.</t>
  </si>
  <si>
    <t>US - An investor group, comprised of Thomas H Lee Partners LP and Fidelity National Financial Inc, acquired all the outstanding common stock of Ceridian Corp (CC), a provider of payroll, benefits administration, tax compliance, HR information systems and employee advisory programs services, from Pershing Square Capital Management LP (15%) and other shareholders, for $36 in cash per share, or a total value of $5.312 bil, in a leveraged buyout transaction. The transaction had been subject to customary closing conditions, CC shareholders and regulatory approvals.</t>
  </si>
  <si>
    <t>Jo-Ann Stores Inc</t>
  </si>
  <si>
    <t>Own,op fabric,drapery stores</t>
  </si>
  <si>
    <t>US - In May 2007, Jo-Ann Stores Inc, an owner and operator of fabric stores, was rumored to seeking a buyer for the company. The Current status of this deal is unknown.</t>
  </si>
  <si>
    <t>CKx Inc</t>
  </si>
  <si>
    <t>19X Inc</t>
  </si>
  <si>
    <t>US - A management-led investor group, operating under the 19X Inc name, comprised of CKX Inc's (CI) Chairman and CEO Mr. Robert F. X. Sillerman, 19 Entertainment Ltd's (EL) CEO Mr. Robert Fuller and other members of management, withdrew its agreement to acquire all the outstanding common stock of CI, a provider of motion picture production services, for an amended $12 in cash per share, or a total value of $1.165 bil, in a leveraged buyout transaction. The transaction was subject to customary closing conditions, regulatory and shareholders approval. EL was a wholly- owned unit of CI. Originally, 19X Inc offered $13.75 in cash per share, or a total value of $1.335 bil.</t>
  </si>
  <si>
    <t>AG Edwards Inc</t>
  </si>
  <si>
    <t>US - Wachovia Corp (WC) of North Charlotte, North Carolina, acquired all the outstanding common stock of AG Edwards Inc (AGE), a securities brokerage firm, in a stock swap transaction valued at $6.944 bil. WC offered $35.8 in cash and 0. 9844 common share per AGE share. Based on WC's closing stock price on May 30, the last full trading day prior to the announcement, each AGE share was valued at $89.5. The transaction was subjected to shareholder and regulatory approval.</t>
  </si>
  <si>
    <t>Everlast Worldwide Inc</t>
  </si>
  <si>
    <t>Mnfr,whl sports prod</t>
  </si>
  <si>
    <t>Hidary Group</t>
  </si>
  <si>
    <t>US - Hidary Group (HG) withdrew its hostile offer to acquire all the outstanding common stock of Everlast Worldwide Inc (EW), a manufacturer and wholesaler of sports products, for a sweetened $31.25 in cash per share, or a total value of $142.874 mil. The transaction was subject to customary closing conditions and shareholders approval. Originally, HG offered $26.5 in cash per share, or a total value of $120.385 mil. Subsequently, Brands Holdings Ltd acquired EW for $33 in cash per share, or a total value of $151.158 mil.</t>
  </si>
  <si>
    <t>Qiagen NV</t>
  </si>
  <si>
    <t>US - Qiagen NV (QN) acquired all the outstanding common stock of Digene Corp (DC), a manufacturer and developer of proprietary DNA and RNA tests for the detection, screening and monitoring of human diseases, in a transaction valued at $1.495 bil, via a tender offer. QN offered a choice of $61.25 in cash or 3. 545 common shares per DC common share, subject to proration whereby the total consideration was to consist of 55% cash and 45% QN stock. Based on QN's closing stock price of $17.28 on June 1, the last full trading day prior to the announcement, each DC share was valued at $61.258. The transaction had been subject to regulatory and shareholder approvals.</t>
  </si>
  <si>
    <t>Lone Star US Acquisitions LLC</t>
  </si>
  <si>
    <t>US - Lone Star US Acquisitions LLC (LS), a unit of Lone Star Opportunity Fund's Lone Star Fund V LP subsidiary, acquired all the outstanding common stock of Accredited Home Lenders Holding Co, a mortgage company, via a tender offer, for an amended $11.75 in cash per share, or a total value of $299.667 mil, in a leveraged buyout transaction. The transaction had been subject to customary closing conditions and regulatory approval. Originally, LS offered $15.10 in cash per share, or a total value of $385.544 mil.</t>
  </si>
  <si>
    <t>Avaya Inc</t>
  </si>
  <si>
    <t>Pvd Internet telephony svcs</t>
  </si>
  <si>
    <t>Sierra Merger Corp</t>
  </si>
  <si>
    <t>US - Sierra Merger Corp, a SPV created by Silver Lake Partners (SL) and TPG Capital LP, acquired all the outstanding common stock of Avaya Inc (AI), a provider of Internet telephony services, for $17.5 in cash per share, or a total value of $8.064 bil, in a leveraged buyout transaction. The transaction was subject to shareholder and regulatory approvals. Originally, in May 2007, AI announced that it was seeking a buyer for the company. Cisco Systems Inc, Nortel Networks Corp and SL were named potential bidders.</t>
  </si>
  <si>
    <t>US - Cadence Design Systems Inc, a developer of CAD software, was rumored to be seeking a buyer for the company. Kohlberg Kravis Roberts &amp; Co and Blackstone Group LP were named potential bidders. The Current status of this deal is unknown.</t>
  </si>
  <si>
    <t>Cholestech Corp</t>
  </si>
  <si>
    <t>Mnfr diagnostic testing kits</t>
  </si>
  <si>
    <t>US - Inverness Medical Innovations Inc (IM) acquired all the outstanding common stock of Cholestech Corp (CC), a manufacturer of diagnostic testing kits, in a stock swap transaction valued at $350. 491 mil. IM offered 0.43642 common share per CC share. Based on IM's closing stock price of $48.17 on June 1, the last full trading day prior to the announcement, each CC share was valued at $21.022. The transaction had been subject to customary closing conditions, CC shareholders and regulatory approvals.</t>
  </si>
  <si>
    <t>Cmnty Bk &amp; Tr Co,Wolfeboro,NH</t>
  </si>
  <si>
    <t>US - Chittenden Corp, Burlington, Vermont (CC), acquired all the outstanding common stock of Community Bank &amp; Trust Co, Wolfeboro, New Hampshire (CB), for $33. 37 in cash per share, or a total value of $120.672 mil. CC offered a choice of $33.37 in cash per share, or 1.293 common shares per CB Share. The transaction had been subject to CB shareholders and regulatory approvals.</t>
  </si>
  <si>
    <t>John Hancock Patriot Global</t>
  </si>
  <si>
    <t>John Hancock Patriot Premium</t>
  </si>
  <si>
    <t>US - John Hancock Patriot Premium Dividend Fund II (JP) acquired all the outstanding common stock of John Hancock Patriot Global Dividend Fund (JH), a closed-end investment fund company, in a stock swap transaction valued at $107. 574 mil. JP offered 1.124 common shares per JH share. Based on JP's closing stock price of $11.47 on June 1, the last full trading day prior to the announcement, each JH share was valued at $12.891.</t>
  </si>
  <si>
    <t>1-800 Contacts Inc</t>
  </si>
  <si>
    <t>Ret contact lenses</t>
  </si>
  <si>
    <t>Fenway Partners LLC</t>
  </si>
  <si>
    <t>US - Fenway Partners Inc acquired with 1-800 Contacts Inc, a retailer of replacement contact lenses, for $24.25 per share, or a total value of $343.434 mil. The transaction was subject to shareholders and regulatory approvals and other customary closing conditions.</t>
  </si>
  <si>
    <t>US - Flextronics International Ltd (FI) acquired all the outstanding common stock of Solectron Corp (SC), a manufacturer and wholesaler of electronic components, in a reverse takeover transaction valued at $3.675 bil, via a stock swap transaction. FI offered a choice of $3.89 in cash or 0.345 common shares per SC share, subject to proration whereby no more than 70% of the total consideration was to be in common stock. The transaction was subjected to customary closing conditions, shareholders and regulatory approvals.</t>
  </si>
  <si>
    <t>Wilsons The Leather Experts</t>
  </si>
  <si>
    <t>Ret leather goods</t>
  </si>
  <si>
    <t>US - An investor group, comprised of Goldner Hawn Johnson &amp; Morrison Inc, Peninsula Investment Partners LP, and Quaker Capital Management Corp, acquired preferred shares convertible into 30 mil common shares, or 76.52% interest, in Wilsons The Leather Experts Inc, a manufacturer and retailer of leather goods, for $1.5 cash per share, or a total value of $45 mil, in a leveraged buyout transaction. The transaction had been subject to customary closing conditions. The transaction included 15 mil share purchase warrants.</t>
  </si>
  <si>
    <t>US - Oplink Communications Inc acquired the remaining 41. 85% stake, or 47.645 mil common shares, in Optical Communication Products Inc {OCPI}, a manufacturer of fiber-optic communication components, for $1.65 in cash per share, or a total value of $78.614 mil. The transaction had been subject to OCPI shareholders approval.</t>
  </si>
  <si>
    <t>Futura Banc Corp</t>
  </si>
  <si>
    <t>First Citizens Banc Corp,OH</t>
  </si>
  <si>
    <t>US - First Citizens Banc Corp (FC), Sandusky, Ohio, acquired all the outstanding common stock of Futura Banc Corp (FB), a bank holding company, in a stock swap transaction valued at $64.249 mil. FC offered a choice of $23 in cash or 1.1726 common shares per FB share, subject to proration whereby 80% of the total consideration was paid in FC common shares. The transaction was subject to customary closing conditions, shareholders and regulatory approvals.</t>
  </si>
  <si>
    <t>Yardville National Bancorp,NJ</t>
  </si>
  <si>
    <t>US - PNC Financial Services Group Inc, Pittsburgh, Pennsylvania (PF), acquired all the outstanding common stock of Yardville National Bancorp, Hamilton, New Jersey (YN), a commercial bank holding company, in a stock swap transaction valued at $400.407 mil. PF offered $155. 174 mil in cash and 0.292 common share per YN share. Based on PF's closing stock price of June 6, the last full trading day prior to the announcement, each CB share was valued at $34.977. The transaction had been subject to customary closing conditions.</t>
  </si>
  <si>
    <t>US - AOL Time Warner Inc was rumored to be planning to acquire all the outstanding common stock of EW Scripps Co, an owner and operator of radio and television stations and a unit of Edward Scripps Trust. The Current status of this deal is unknown.</t>
  </si>
  <si>
    <t>Coffee Pacifica Inc</t>
  </si>
  <si>
    <t>Produce,whl green bean coffee</t>
  </si>
  <si>
    <t>US - Coffee Pacifica Inc withdrew its plan to acquire all the oustanding stock of Diedrich Coffee Inc, an owner and operator of coffee stores, via a tender offer.</t>
  </si>
  <si>
    <t>US - An investor group, comprised of Microsoft Corp and NBC Universal Inc, an 80% owned unit of General Electric Co {GE}, discontinued rumors that it was planning to acquire all the outstanding stock of Dow Jones &amp; Co Inc, a provider of global business and financial news services.</t>
  </si>
  <si>
    <t>Horizon Offshore Inc</t>
  </si>
  <si>
    <t>Pvd marine constr svcs</t>
  </si>
  <si>
    <t>Pvd offshore constr svcs</t>
  </si>
  <si>
    <t>US - Cal Dive International Inc (CD) merged with Horizon Offshore Inc (HO), a provider of marine construction services, in a stock swap transaction valued at $628. 287 mil. CD offered $9.25 in cash and .625 common share per HO share. Based on CD's closing stock price of $15.96 on June 8, the last full trading day prior to the announcement, each HO share was valued at $19.225. The transaction had been subject to customary closing conditions and regulatory and HO shareholder approvals. On completion, CD shareholders owned 80%, and HO shareholders the remaining 20%, of the combined entity.</t>
  </si>
  <si>
    <t>James River Group Inc</t>
  </si>
  <si>
    <t>The DE Shaw &amp; Co LP</t>
  </si>
  <si>
    <t>US - DE Shaw &amp; Co LP acquired all the outstanding common stock of James River Group Inc, an insurance holding company that owns and manages specialty property/casualty insurance companies, for $34. 5 in cash per share, or a total value of $569.866 mil. The transaction had been subject to shareholder and regulatory approval and customary closing conditions.</t>
  </si>
  <si>
    <t>VendingData Corp</t>
  </si>
  <si>
    <t>Mnfr,whl gaming prod</t>
  </si>
  <si>
    <t>Elixir Group Ltd</t>
  </si>
  <si>
    <t>US - Elixir Group Ltd, a unit of Melco International Development Ltd's Melco Technology Group Ltd wholly- owned subsidiary, acquired a 75% interest in VendingData Corp (VD), a manufacturer and wholesaler of gaming products. The transaction had been subect to shareholders approval, due diligence completion and other customary closing conditions. On completion, VD was renamed Elixir Gaming Technologies Inc.</t>
  </si>
  <si>
    <t>Cardinal State Bank</t>
  </si>
  <si>
    <t>Yadkin Valley Financial Corp</t>
  </si>
  <si>
    <t>US - Yadkin Valley Financial Corp (YV) acquired Cardinal State Bank, Durham, North Carolina (CS) for $39.839 mil. YV offered a choice of $17. 62 in cash or 0.918 in common share per CS share, subject to proration whereby 58% of the total consideration was to be paid in cash and 42% in common shares. The transaction had been subject to CS shareholder and regulatory approvals.</t>
  </si>
  <si>
    <t>US - An investor group, including Babcock &amp; Brown Ltd, acquired all the outstanding common stock of Coinmach Service Corp (CS), a provider of outsourced laundry services, for $13.55 in cash per share, or a total value of $713.197 mil and the assumption of an undisclosed amount in liabilities. The transaction had been subject to customary closing conditions and CS shareholder approval.</t>
  </si>
  <si>
    <t>PNG Acquisition Co Inc</t>
  </si>
  <si>
    <t>US - PNG Acquisition Co Inc, a special purpose acquisition vehicle formed by Fortress Investment Group LLC and Centerbridge Partners LP, terminated its definitive agreement to acquire all the outstanding common stock of Penn National Gaming Inc, an owner and operator of casinos and race tracks, for $67 in cash per share, or a total value of $8.894 bil, including the assumption of $2.8 bil in liabilities, in a leveraged buyout transaction. The transaction was subject to customary closing conditions, shareholders and regulatory approvals.</t>
  </si>
  <si>
    <t>Friendly Ice Cream Corp</t>
  </si>
  <si>
    <t>Freeze Operations Holding Corp</t>
  </si>
  <si>
    <t>Own,op ice cream restaurants</t>
  </si>
  <si>
    <t>US - Freeze Operations Holding Corp acquired all the outstanding common stock of Friendly Ice Cream Corp (FI), an owner and operator of restaurants, for $15.5 in cash per share, or a total value of $128.834 mil. The transaction had been subject to shareholder approval. Originally, in March 2007, FI announced that it was seeking a buyer for the company. Kessler Family LLC was named as potential bidder.</t>
  </si>
  <si>
    <t>American Technical Ceramics</t>
  </si>
  <si>
    <t>Mnfr ceramic capacitors</t>
  </si>
  <si>
    <t>AVX Corp</t>
  </si>
  <si>
    <t>Manufacture, wholesale electronic components</t>
  </si>
  <si>
    <t>US - AVX Corp, a majority- owned unit of Kyocera Corp, acquired all the outstanding common stock of American Technical Ceramics Corp (AT), a manufacturer of ceramic capacitors, for $24.75 in cash per share, or a total value of $236.916 mil. The transaction had been subject to customary closing conditions, AT shareholders and regulatory approvals.</t>
  </si>
  <si>
    <t>Authorize.Net Hldg Inc</t>
  </si>
  <si>
    <t>CyberSource Corp</t>
  </si>
  <si>
    <t>US - CyberSource Corp (CC) acquired all the outstanding common stock of Authorize.Net Holdings Inc (AN), a provider of transaction processing services, in a stock swap transaction valued at USD 567. 949 mil. CC offered USD 125 mil in cash and 1.161 common shares per AN share. Based on CC's closing stock price of $12.9 on June 15, the last full trading day prior to the announcement, each AN share was valued at USD 14.977. The transaction had been subject to shareholders and regulatory approvals.</t>
  </si>
  <si>
    <t>Finish Line Inc</t>
  </si>
  <si>
    <t>Retail athletic wear</t>
  </si>
  <si>
    <t>US - Finish Line Inc withdrew its agreement to acquire all the outstanding common stock of Genesco Inc (GI), a retailer and wholesaler of shoes, for $54. 5 in cash per share, or a total value of 1.254 bil. The transaction was subject to customary closing conditions and regulatory and GI shareholder approvals.</t>
  </si>
  <si>
    <t>Color Kinetics Inc</t>
  </si>
  <si>
    <t>Mnfr LED lighting prods</t>
  </si>
  <si>
    <t>US - Koninklijke Philips Eletronics NV acquired all the outstanding common stock of of Color Kinetics Inc (CK), a manufacturer of LED lighting products, for $34 in cash per share, or a total value of $815.383 mil. The transaction was subjected to regulatory approvals. Upon completion, CK was to be renamed Philips Solid-State Lighting Solutions.</t>
  </si>
  <si>
    <t>Regency Energy Partners LP</t>
  </si>
  <si>
    <t>GE Energy Financial Svcs Inc</t>
  </si>
  <si>
    <t>US - GE Energy Financial Services Inc, a unit of General Electric Co's GE Commercial Finance Inc subsidiary, acquired a 91% interest, or 26.005 mil common shares in Regency Energy Partners LP, an oil and gas exploration and production company, from HM Capital Partners LLC, for $603 mil.</t>
  </si>
  <si>
    <t>US - Marsh &amp; McLennan Cos Inc, a provider of insurance brokerage services, was rumored to be seeking a buyer for the company. Blackstone Group LP and Kohlberg Kravis Roberts &amp; Co were named potential bidders. The Current status of this deal is unknown.</t>
  </si>
  <si>
    <t>Nuveen Investments Inc</t>
  </si>
  <si>
    <t>Windy City Acquisition Corp</t>
  </si>
  <si>
    <t>US - Windy City Acquisition Corp, an SPV created by a consortium led by Madison Dearborn Partners LLC acquired all the outstanding common stock of Nuveen Investments Inc, a provider of investment management services, for USD 65 in cash per share, or a total value of USD 6.312 bil, including the assumption of USD 550 mil in liabilities, in a leveraged buyout transaction. The transaction was subjected to customary closing conditions.</t>
  </si>
  <si>
    <t>US - Luxottica Group SpA acquired all the outstanding common stock of Oakley Inc, a manufacturer, designer, and wholesaler of high- performance men and women's eyewear, for $29.3 in cash per share, or a total value of $2.087 bil. The transaction had been subject to regulatory and shareholders approval and customary closing conditions.</t>
  </si>
  <si>
    <t>XATA Corp</t>
  </si>
  <si>
    <t>Pvd fleet mgmt solutions svcs</t>
  </si>
  <si>
    <t>Trident Capital Inc</t>
  </si>
  <si>
    <t>US - Trident Capital raised its interest to 65.97% from 42%, by acquiring 1.567 mil convertible preferred shares and 0.470 mil warrants, or 23. 97% stake in XATA Corp, a provider of fleet management solutions services, for $6 mil.</t>
  </si>
  <si>
    <t>Whitehall Street Global Real</t>
  </si>
  <si>
    <t>US - Whitehall Street Global Real Estate LP 2007, a unit of Goldman Sachs Group Inc's Goldman Sachs &amp; Co subsidiary, merged with Equity Inns, a real estate investment trust, for $23 in cash per share, or a total value of $2.206 bil, including the assumption of $940 mil in liabilities. The transaction had been subject to shareholders approval and other customary closing conditions.</t>
  </si>
  <si>
    <t>Mountain Lake Acquisition Co</t>
  </si>
  <si>
    <t>US - Mountain Lake Acquisition Co (ML), acquired the remaining 72% interest plus options, or 9.268 mil Class A common shares, which it did not already own, in US Xpress Enterprises Inc (UX), a provider of trucking services, for a sweetened $20. 10 in cash per share, or a total value of $179.615 mil, in a leveraged buyout transaction. Earlier, ML completed its tender offer by accepting 8.130 mil shares, or 67.1% of UX's common stock outstanding. The transaction was conditioned upon at least 90% of the shares being tendered on a fully-diluted basis. The transaction had been subject to regulatory approvals. Originally, ML offered to acquire UX for $20 in cash per share, or a total value of $185.338 mil.</t>
  </si>
  <si>
    <t>Sentinel Omaha LLC</t>
  </si>
  <si>
    <t>US - Sentinel Omaha LLC, a unit of Sentinel Real Estate Corp, acquired all the outstanding common stock of America First Apartment Investors Inc (AF), a real estate investment trust, for $25.3 in cash per share, or a total value of $281.056 mil, and the assumption of an undisclosed amount in liabilities. The transaction was subject to customary closing conditions and AF shareholders approval.</t>
  </si>
  <si>
    <t>Christiana Bank &amp; Trust Co</t>
  </si>
  <si>
    <t>US - National Penn Bancshares Inc (NP) acquired all the outstanding common stock of Christiana Bank &amp; Trust Co (CB), for $56.221 mil. NP offered a choice of $37.69 in cash per share or 2. 176 shares per CB share, or a combination of both, subject to proration whereby 20% of the consideration was to consist of cash and 80% in stock. The transaction was subject to regulatory approval.</t>
  </si>
  <si>
    <t>US - Iberdrola SA acquired all the outstanding common stock of Energy East Corp (EE) , an electric utility company, for $28.5 in cash per share, or a total value of $4.52 bil. The transaction had been subject to customary closing conditions, EE shareholders and regulatory approval.</t>
  </si>
  <si>
    <t>Neon Communications Group Inc</t>
  </si>
  <si>
    <t>Pvd infrastructure,network svc</t>
  </si>
  <si>
    <t>US - RCN Corp acquired all the outstanding common stock of Neon Communications Group Inc (NC), a provider of Internet infrastructure and network services, for $5.25 in cash per share, or a total value of $264.135 mil. The transaction had been subject to customary closing conditions, NC shareholders and regulatory approvals.</t>
  </si>
  <si>
    <t>Professionals Direct Inc</t>
  </si>
  <si>
    <t>Hanover Ins Grp Inc</t>
  </si>
  <si>
    <t>US - Hanover Insurance Group Inc acquired all the outstanding common stock of Professionals Direct Inc (PD), an insurance holding company, for $23.2 mil. The transaction had been subject to customary closing conditions, PD shareholders and regulatory approvals.</t>
  </si>
  <si>
    <t>Ventana Medical Systems Inc</t>
  </si>
  <si>
    <t>US - Roche Holding AG (RH) of Switzerland acquired the entire share capital, or 37. 683 mil common shares of Ventana Medical Systems Inc (VM), a Tucson-based manufacturer and wholesaler of proprietary systems and surgical equipment, for a sweetened USD 89.5 in cash per share, or a total value of USD 3.665 bil. Originally, RH offered USD 75 in cash per VM share.</t>
  </si>
  <si>
    <t>Mnfr,whl polymers, pigments, polyurethane chemicals</t>
  </si>
  <si>
    <t>Basell NV</t>
  </si>
  <si>
    <t>Mnfr polypropylene prod</t>
  </si>
  <si>
    <t>US - Basell NV withdrew its definitive agreement to acquire all the outstanding common stock of Huntsman Corp (HC), a manufacturer and wholesaler of polymers, pigments, polyurethane base and performance chemicals, from HMP Equity Trust (58.6%), a unit of MatlinPatterson Global Opportunities Partners LLP and other shareholders, for $25.25 cash per share, or a total value of $5.618 bil. The transaction was subject to customary closing conditions and regulatory approval. Subsequently, Hexion Specialty Chemicals Inc, a unit of Apollo Advisors LP's Apollo Management LP subsidiary, planned to launch a challenger offer to acquire all the outstanding common stock of HC.</t>
  </si>
  <si>
    <t>Macy's Inc</t>
  </si>
  <si>
    <t>US - An investor group, comprised of Kohlberg Kravis Roberts &amp; Co {KKR} and Goldman Sachs Group Inc, was rumored to be in negotiations to acquire all the outstanding common stock of Macys Inc, an owner and operator of department stores, in a leveraged buyout transaction. The Current status of this deal is unknown.</t>
  </si>
  <si>
    <t>Web.com Inc</t>
  </si>
  <si>
    <t>Pvd hosting,consulting svcs</t>
  </si>
  <si>
    <t>Website Pros Inc</t>
  </si>
  <si>
    <t>US - Website Pros Inc (WP) acquired all the outstanding common stock of Web.com Inc (WI), a provider of hosting and consulting services, for $112.015 mil. WP offered a choice of $6.5233 in cash or . 6875 shares per WI share, subject to proration whereby the total cash to be paid shall equal $25 mil. The transaction was subject to customary closing conditions and regulatory and shareholder approvals.</t>
  </si>
  <si>
    <t>US - CommScope Inc acquired all the outstanding common stock of Andrew Corp, a manufacturer of equipment and solutions for the communications infrastructure market, for $15.00 per share or a total value of $2.612 bil. The consideration was to consist of $13.50 in cash and a choice of $1.50 in cash or common stock.</t>
  </si>
  <si>
    <t>People's United Financial Inc</t>
  </si>
  <si>
    <t>US - People's United Financial Inc (People's) acquired the entire share capital of Chittenden Corp (Chittenden), a bank holding company, for USD 1.695 bil. People's offered a choice of USD 37 in cash or common shares per Chittenden share, subject to proration whereby 55% of the total consideration was to be in cash and the remaining 45% in People's common shares. The transaction had been subject to customary closing conditions, Chittenden shareholders and regulatory approvals.</t>
  </si>
  <si>
    <t>eFunds Corp</t>
  </si>
  <si>
    <t>Pvd electn debit payment svcs</t>
  </si>
  <si>
    <t>Fidelity Natl Info Svcs Inc</t>
  </si>
  <si>
    <t>Pvd banking,payment processing svcs</t>
  </si>
  <si>
    <t>US - Fidelity National Information Services Inc, a majority-owned unit of Fidelity National Financial Inc, acquired all the outstanding common stock of eFunds Corp (EC), a provider of electronic debit payment services, for $36.5 in cash per share, or a total value of $1.79 bil. The transaction has been subjected to customary closing conditions, regulatory and EC shareholder approvals.</t>
  </si>
  <si>
    <t>Guitar Center Inc</t>
  </si>
  <si>
    <t>Ret musical instr</t>
  </si>
  <si>
    <t>Bain Capital Partners LLC</t>
  </si>
  <si>
    <t>US - Bain Capital Partners LLC acquired all the outstanding common stock of Guitar Center Inc (GC), a retailer of guitars, amplifiers percussion instruments, keyboard and pro- audio and recording equipments, for $63 in cash per share, or a total value of $1.94 bil, in a leveraged buyout transaction. The transaction had been subject to customary closing conditions and GC shareholders approval.</t>
  </si>
  <si>
    <t>Meridian Gold Inc</t>
  </si>
  <si>
    <t>Yamana Gold Inc</t>
  </si>
  <si>
    <t>US - Yamana Gold Inc (YG) acquired a 90% interest, or 91.038 mil common shares, of Meridian Gold Inc (MG), a gold mining company, for a twice-sweetened $6.989 in cash and 2.235 common shares per MG share, or a total value of $3.202 bil, via a tender offer to acquire all the outstanding common shares. The offer was conditioned upon at least 66.66% of MG's shares being tendered. Previously, YG offered a sweetened $6.495 in cash and 2.235 common shares per MG share. Previously, YG offered an amended $3.746 in cash and 2.235 common shares per MG share. Originally, YG offered $2.941 cash and 2.235 common shares per MG share. Concurrently, YG agreed to merge with Northern Orion Resources Inc.</t>
  </si>
  <si>
    <t>Rocket City Automotive Grp Inc</t>
  </si>
  <si>
    <t>US - In June 2007, Rocket City Automotive Group Inc, an investment holding company, announced that it was seeking a buyer for the company.</t>
  </si>
  <si>
    <t>ABX Air Inc</t>
  </si>
  <si>
    <t>Pvd air cargo svcs</t>
  </si>
  <si>
    <t>ASTAR Air Cargo Holdings LLC</t>
  </si>
  <si>
    <t>Pvd air courier svcs</t>
  </si>
  <si>
    <t>US - Astar Air Cargo Holdings LLC terminated its agreement to acquire all the outstanding common stock of ABX Air Inc (AA), a provider of cargo services, for $7.75 in cash per share, or a total value of $454.758 mil. The transaction was subject to due diligence completion, AA's shareholders' and regulatory approval.</t>
  </si>
  <si>
    <t>Brands Holdings Ltd</t>
  </si>
  <si>
    <t>Ret sporting goods</t>
  </si>
  <si>
    <t>US - Brands Holdings Ltd (BS), a unit of Sports World's Sports Direct International PLC majority-owned subsidiary, acquired all the outstanding common stock of Everlast Worldwide Inc (EW), a manufacturer and wholesaler of sports products, for a sweetened $33 in cash per share, or a total value of $151.158 mil. The transaction had been subject to customary closing conditions and shareholders approval. Originally, BS offered $30 in cash per share, or a total value of $136.956 mil. Previously, Hidary Group withdrew its agreement to acquire EW for $26.5 in cash per share, or a total value of $120.385 mil.</t>
  </si>
  <si>
    <t>Guideline Inc</t>
  </si>
  <si>
    <t>Provide consulting svcs</t>
  </si>
  <si>
    <t>US - InfoUSA Inc acquired an 89% interest or 20.053 mil common shares of Guideline Inc, a provider of consulting services, for $1.35 in cash per share, or a total value of $40.384 mil, including the assumption of an estimated $13.312 mil in liabilities. The offer was conditioned upon at least 59% of GI 's shares being tendered on a fully-diluted basis.</t>
  </si>
  <si>
    <t>Mnfr,retail thin film disks</t>
  </si>
  <si>
    <t>Western Digital Corp</t>
  </si>
  <si>
    <t>Mnfr hard drive,semiconductors</t>
  </si>
  <si>
    <t>US - Western Digital Corp acquired all the outstanding common stock of Komag Inc (KI) , a manufacturer and retailer of thin film disks, for $32. 25 in cash per share, or a total value of $985.366 mil. The offer was conditioned upon at least a majority of KI's shares being tendered. The transaction had been approved by the board of directors, and had been subject to the approval of regulatory authorities.</t>
  </si>
  <si>
    <t>NewWest Gold Corp</t>
  </si>
  <si>
    <t>Fronteer Development Group Inc</t>
  </si>
  <si>
    <t>Gold,copper mining co</t>
  </si>
  <si>
    <t>US - Fronteer Development Group Inc (FD) acquired all the outstanding common stock of NewWest Gold Corp (NG), a gold mining company, in a stock swap transaction valued at $175.513 mil, via a scheme of arrangement. FD offered 0. 26 common share per NG share. Based on FD's closing stock price of $11.474 on June 27, the last full trading day prior to the announcement, each NG share was valued at $2.983. The transaction had been subject to due diligence completion.</t>
  </si>
  <si>
    <t>BIW Ltd</t>
  </si>
  <si>
    <t>South Central CT Regional</t>
  </si>
  <si>
    <t>US - State-owned South Central Connecticut Regional Water Authority acquired all the outstanding common stock of BIW Ltd, a water utility, for $23.75 per share, or a total value of $39.771 mil. The transaction, which was to include 9,500 Birmingham Utilities (BU) customers in Ansonia, Derby and Seymour as well as the assets of BU's eastern division, was subject to regulatory and shareholder approvals.</t>
  </si>
  <si>
    <t>Dobson Communications Corp</t>
  </si>
  <si>
    <t>US - AT&amp;T Inc {AT&amp;T} acquired all the outstanding common stock of Dobson Communications Corp, a provider of telecommunications services, for $13 in cash per share, or a total value of $5.407 bil, including the assumption of an estimated $2.873 bil in liabilities. The transaction had been subject to regulatory approval.</t>
  </si>
  <si>
    <t>Fleurs De Vie Inc</t>
  </si>
  <si>
    <t>Pvd design svcs</t>
  </si>
  <si>
    <t>US - An investor group, including Huaqin Zhou, Xiaojin Wang amd Huakang Zhou, acquired a 77.54% interest, or 1.44 mil common shares, in Fleurs De Vie Inc, a Boerne- based provider of design services, from Harold Yount Jr. and Brenda Yount, for USD 0.564 mil.</t>
  </si>
  <si>
    <t>First Mutual Bancshares Inc</t>
  </si>
  <si>
    <t>Pvd bkg,holding svcs</t>
  </si>
  <si>
    <t>US - Washington Federal Inc (WF) acquired all the outstanding common stock of First Mutual Bancshares, Bellevue, Washington (FM) for an estimated $189.886 mil. WF offered a choice of $27.05 in cash or common share, or a combination of both, per FM share, subject to proration such that the total consideration was to consist of 50% cash and 50% common stock. The transaction had been subject to FM shareholder and regulatory approval.</t>
  </si>
  <si>
    <t>US - Carlyle Group LLC acquired all the outstanding common stock of Manor Care Inc, a provider of long-term care, hospice and home health services, for $67 in cash per share, or a total value of $6. 164 bil, in a leveraged buyout transaction. The transaction was subjected to shareholder and regulatory approval, and customary closing conditions.</t>
  </si>
  <si>
    <t>North Pittsburgh Systems Inc</t>
  </si>
  <si>
    <t>Consolidated Commun Hldg Inc</t>
  </si>
  <si>
    <t>US - Consolidated Communications Holdings Inc (CC) acquired all the outstanding common stock of North Pittsburgh Systems Inc (NP), a provider of telecommunications services, in a transaction valued at $375.125 mil. CC offered a choice of $25 in cash or 1. 106 CC common shares per NP share, subject to proration whereby no more than 80% of the total consideration was to be in cash. The transaction was subjected to customary closing conditions, NP shareholders and regulatory approvals.</t>
  </si>
  <si>
    <t>Option Care Inc</t>
  </si>
  <si>
    <t>Walgreen Co</t>
  </si>
  <si>
    <t>US - Walgreen Co (WC) acquired all the outstanding common stock of Option Care Inc (OC), a provider of home healthcare services, for $19. 5 cash per share, or a total value of $967.239 mil, including the assumption of $86 mil in liabilities, via a tender offer. Earlier, WC completed its tender offer for OC by accepting 31.151 mil shares, or 90.27% of OC's common shares outstanding. The transaction, had been subject to customary closing conditions, shareholders and regulatory approval, and was conditioned upon at last a majority of OC's shares being tendered.</t>
  </si>
  <si>
    <t>Reddy Ice Holdings Inc</t>
  </si>
  <si>
    <t>Mnfr,whl packaged ice</t>
  </si>
  <si>
    <t>GSO Capital Partners LP</t>
  </si>
  <si>
    <t>US - GSO Capital Partners LP withdrew its definitive agreement to acquire all the outstanding common stock of Reddy Ice Holdings Inc (RI), a manufacturer and wholesaler of packaged ice, for $31.25 in cash per RI share, or a total value of $689.4 mil. The transaction was subject to customary closing condition and shareholders approvals.</t>
  </si>
  <si>
    <t>Private equity, investment firm</t>
  </si>
  <si>
    <t>US - Blackstone Group LP acquired all the outstanding common stock of Hilton Hotels Corp, an owner and operator of hotel chains, for $47.50 in cash per share, or a total value of $20.168 bil. The transaction was subjected to shareholder and regulatory approval, as well as other customary closing conditions.</t>
  </si>
  <si>
    <t>Hexion Specialty Chemicals Inc</t>
  </si>
  <si>
    <t>US - Hexion Specialty Chemicals Inc (HS), a unit of Apollo Advisors LP's Apollo Management LP subsidiary, withdrew its definitive agreement to acquire all the outstanding common stock of Huntsman Corp (HC), a manufacturer and wholesaler of polymers, pigments, polyurethane base and performance chemicals, from HMP Equity Trust (58.9%), a unit of MatlinPatterson Global Opportunities Partners LLP and other shareholders, for a sweetened $28 in cash per share, or a total value of $6.239 bil, via a tender offer. Originally, HS offered $27.25 in cash per share, or a total value of $6.07 bil. The transaction was subject to customary closing conditions, regulatory and HC shareholders approvals. Previously, Basell NV definitively agreed to acquire all the outstanding common stock of HC.</t>
  </si>
  <si>
    <t>ACR Group Inc</t>
  </si>
  <si>
    <t>Whl heating,ventilating equip</t>
  </si>
  <si>
    <t>Watsco Inc</t>
  </si>
  <si>
    <t>Whl air conditioning equip</t>
  </si>
  <si>
    <t>US - Watsco Inc (WI) acquired all the outstanding common stock of ACR Group Inc (AG), a wholesaler of heating and ventilating equipment, for $6. 75 in cash per share, or a total value of $81.43 mil. Earlier, WI completed its tender offer for AG by accepting 7.872 mil shares, or 65.25% of AG's common stock outstanding. The transaction had been subject to customary closing conditions and regulatory approvals, and had been conditioned upon at least 66 2/3% of AG's common stock outstanding being tendered.</t>
  </si>
  <si>
    <t>US - F&amp;H Acquisition Corp, a joint venture partner between Newcastle Partners LP and Steel Partners II LP, a unit of Steel Partners LP, acquired all the outstanding common stock of Champps Entertainment Inc (CE), an owner and operator of casual dining restaurants, for $5.6 in cash per share, or a total value of $73.329 mil. The transaction had been subject to customary closing conditions, CE shareholders and regulatory approvals. Previously, Kinderhook Industries LLC withdrew its Letter of Intent {LoI} to acquire CE.</t>
  </si>
  <si>
    <t>US - In July 2007, Quest Diagnostics Inc, a provider of diagnostic testing services, was rumored to be seeking a buyer for the company. The Current status of this deal is unknown.</t>
  </si>
  <si>
    <t>CVC Capital Partners Ltd</t>
  </si>
  <si>
    <t>US - CVC Capital Partners Ltd acquired all the outstanding common stock of Samsonite Corp, a manufacturer of bags and suitcases, for $1.49 in cash per share, or a total value of $1.106 bil, including the assumption of an undisclosed amount in liabilities. The transaction had been subject to customary closing conditions.</t>
  </si>
  <si>
    <t>US - Marshall &amp; Ilsley Corp, Milwaukee, Wisconsin, acquired all the outstanding common stock of First Indiana Corp (FI), Indianapolis, Indiana, a bank holding company, for USD 32 in cash per share, or a total value of USD 541.807 mil. The transaction had been subject to customary closing conditions and regulatory and FI shareholder approvals.</t>
  </si>
  <si>
    <t>US - Carlyle Group LLC acquired all the outstanding common stock of Sequa Corp (SC), a manufacturer of aircraft engine components, for $175 in cash per share, or a total value of $2.007 bil, in a leveraged buyout transaction. The transaction was subject to customary closing conditions, SC shareholders and regulatory approvals.</t>
  </si>
  <si>
    <t>Gerdau Ameristeel Corp</t>
  </si>
  <si>
    <t>US - Gerdau Ameristeel Corp, a 67%-owned unit of Gerdau SA, acquired all the outstanding common stock of Chaparral Steel Corp (Chaparral), a manufacturer of structural steel and steel bar products, for USD 86 in cash per share, or a total value of USD 4.138 bil. The transaction was approved by Chaparral 's board of directors and was subject to customary closing conditions, regulatory and Chaparral's shareholder approvals.</t>
  </si>
  <si>
    <t>Harris NA,Chicago,Illinois</t>
  </si>
  <si>
    <t>Pvd investing,bkg,weath mgmt</t>
  </si>
  <si>
    <t>US - Harris NA, a unit of Bank of Montreal, Ontario, Canada's Harris Bankcorp Inc, Chicago, Illinois subsidiary, acquired all the outstanding common stock of Merchants &amp; Manufacturers Bancorp Inc, Brookfield, Wisconsin, for $37.30 in cash per share, or a total value of $137.279 mil. The transaction was approved by shareholders and regulatory authorities.</t>
  </si>
  <si>
    <t>SK Telecom Co Ltd</t>
  </si>
  <si>
    <t>US - SK Telecom Co Ltd discontinued rumors that it was in negotiations to acquire all the outstanding common stock of Sprint Nextel Corp, a provider of telecommunications and Internet services.</t>
  </si>
  <si>
    <t>Boston Communications Group</t>
  </si>
  <si>
    <t>Dvlp processing software</t>
  </si>
  <si>
    <t>Tea Party Acquisition Corp</t>
  </si>
  <si>
    <t>US - Tea Party Acquisition Corp, a wholly-owned unit of Megasoft Ltd, completed its tender offer to acquire all the outstanding common stock of Boston Communications Group Inc (BC), a developer of transaction processing solutions software, for $3.60 in cash per share, or a total value of $65.722 mil. The offer was conditioned upon an estimated 83% of BC's shares being tendered. The transaction was subject to regulatory approvals and other customary closing conditions.</t>
  </si>
  <si>
    <t>Eppendorf AG</t>
  </si>
  <si>
    <t>Mnfr,dvlp,whl lab prod</t>
  </si>
  <si>
    <t>US - Eppendorf AG acquired all the outstanding common stock of New Brunswick Scientific Co (NB), a manufacturer and wholesaler of scientific laboratory equipment and supplies, for $11.5 in cash per NB share, or a total value of $108.749 mil. The transaction was subject to customary closing conditions, NB shareholders and regulatory approvals.</t>
  </si>
  <si>
    <t>US - LVB Acquisition LLC (LA) , a special purpose acquisition vehicle formed by Blackstone Group, Goldman Sachs Capital Partners, a unit of Goldman Sachs Group Inc's Goldman Sachs &amp; Co subsidiary, Kohlberg Kravis Roberts &amp; Co, Texas Pacific Group Inc, and Dane A. Miller, one of Biomet Inc's (BI) founders, completed its tender offer to acquire the remaining 17.15% stake plus options, or 50.708 mil common shares which it did not already own in BI, a manufacturer of surgical and medical supplies, for $46 in cash per share or a total value of $2.046 bil. Previously, LA acquired an 82. 85% interest in BI via tender offer.</t>
  </si>
  <si>
    <t>Great Pee Dee Bancorp Inc,SC</t>
  </si>
  <si>
    <t>US - First Bancorp, Troy, North Carolina (FB) definitively agreed to acquire all the outstanding common stock of Great Pee Dee Bancorp Inc, Cheraw, South Carolina (GP), a bank holding company, in a stock swap transaction valued at $36.991 mil. FB offered 1.15 shares per GP share. Based on FB's closing stock price of $17.97 on July 11, the last full trading day prior to announcement, each GP share was valued at $20.666. The transaction was subject to regulatory and GP's shareholders approval.</t>
  </si>
  <si>
    <t>Energizer Holdings Inc</t>
  </si>
  <si>
    <t>Mnfr batteries,flashlights</t>
  </si>
  <si>
    <t>US - Energizer Holdings Inc acquired all the outstanding common stock of Playtex Products Inc (PP), a manufacturer and wholesaler of consumer and personal care products, for $18.3 in cash per share, or a total value of $1.208 bil and the assumption of an undisclosed amount in liabilities. The transaction was approved by the boards of directors of both companies and was subjected to customary closing conditions, including governmental and regulatory approvals as well as approval of the shareholders of PP.</t>
  </si>
  <si>
    <t>US - Starwood Capital Group Global LLC was rumored to be planning to acquire all the outstanding common stock of Mission West Properties Inc, a real estate investment trust. The Current status of this deal is unknown.</t>
  </si>
  <si>
    <t>IHOP Corp</t>
  </si>
  <si>
    <t>US - IHOP Corp (IC) acquired all the outstanding common stock of Applebees International Inc (AI), an owner and operator of franchise restaurants, for $25.5 in cash per share, or a total value of $1.932 bil. The transaction had been subject to customary closing conditions, AI shareholders and regulatory approvals. Originally, in February 2007, AI announced that it was seeking a buyer for the company.</t>
  </si>
  <si>
    <t>DJO Inc</t>
  </si>
  <si>
    <t>Mnfr,whl orthopedic prod</t>
  </si>
  <si>
    <t>US - ReAble Therapeutics LLC, a unit of Blackstone Group LP's Blackstone Capital Partners V LP subsidiary, acquired all the outstanding common stock of DJO Inc (DI), a manufacturer and wholesaler of orthopedic products, for $50.25 in cash per share, or a total value of $1.248 bil. The transaction had been subject to customary closing conditions, DI shareholders and regulatory approvals.</t>
  </si>
  <si>
    <t>Alfa Corp</t>
  </si>
  <si>
    <t>US - An investor group, comprised of Alfa Mutual Insurance Co, Alfa Mutual Fire Insurance Co and Alfa Mutual General Insurance Co, acquired the remaining 45.2% stake plus options, or 39.678 mil common shares which it did not already own in Alfa Corp, an insurance holding company, for a sweetened $22 in cash per share, or a total value of $890.415 mil. The transaction had been subject to customary closing conditions, regulatory and shareholders approval. Originally, the investor group offered $17.6 in cash per share or a total value of $658.044 mil.</t>
  </si>
  <si>
    <t>Keystone Automotive Inds Inc</t>
  </si>
  <si>
    <t>Whl auto parts,supplies</t>
  </si>
  <si>
    <t>LKQ Corp</t>
  </si>
  <si>
    <t>Wholesale recycled auto parts</t>
  </si>
  <si>
    <t>US - LKQ Corp acquired all the outstanding common stock of Keystone Automotive Industries Inc (KA), a wholesaler of automotive parts and supplies, for $48 in cash per share, or a total value of $806.987 mil. The transaction was subjected to customary closing conditions, KA shareholders and regulatory approvals.</t>
  </si>
  <si>
    <t>US - Basell NV acquired all the outstanding common stock of Lyondell Chemical Co, a manufacturer and wholesaler of intermediate chemicals and performance chemical products used in consumer goods, for $48 in cash per share, or a total of $12.362 bil, including the assumption of an undisclosed amount in liabilities. The transaction had been subject to shareholder and regulatory approval.</t>
  </si>
  <si>
    <t>CaucusCom Merger Corp</t>
  </si>
  <si>
    <t>Own,op tv and radio stations</t>
  </si>
  <si>
    <t>British Virgin</t>
  </si>
  <si>
    <t>US - CaucusCom Mergerco Corp (CM), a unit of CaucusCom Ventures LP (CV), acquired all the outstanding common stock of Metromedia International Group Inc (MI), an owner and operator of television and radio stations, for $1.80 in cash per share, or a total value of $185.661 mil. CV was a joint venture between Salford Georgia and Compound Capital Ltd. The transaction had been subject to customary closing conditions. Previously, CM completed its tender offer to acquire all the outstanding common stock of MI by accepting 80.162 mil shares, or 77.72% of MI's common shares outstanding. Subsequently, Fursa Alternative Strategies LLC withdrew its plans to launch a challenging tender offer to acquire the remaining 91.59% interest, which it did not already own, in MI.</t>
  </si>
  <si>
    <t>US - Plains Exploration &amp; Production Co (PE) acquired all the outstanding common stock of Pogo Producing Co (PP), an oil and gas exploration and production company, in a stock swap transaction valued at $3.547 bil. PE offered $24.88 in cash and .682 common shares per PP share, subject to proration whereby PP shareholders may elect to receive cash or stock. Based on PE's closing stock price of $51.19 on July 16, the last full trading day prior to the announcement, each PP share was valued at $59.792. The transaction was subject to customary closing conditions and shareholder approvals. Upon completion, PE shareholders held 66%, and PP shareholders the remaining 34%, of the combined company.</t>
  </si>
  <si>
    <t>US - M&amp;T Bank Corp, Buffalo, New York (MB) merged with Partners Trust Financial Group (PT), a bank holding company, in a stock swap transaction valued at $544. 924 mil. MB offered a choice of $12.5 in cash or common stock per PT share, subject to proration whereby no more than 50% of the total consideration was to be in common stock. The transaction had been subject to regulatory and shareholders approvals and other customary closing conditions.</t>
  </si>
  <si>
    <t>US - PNC Financial Services Group Inc (PF), Pittsburgh, Pennsylvania, acquired all the outstanding common stock of Sterling Financial Corp (SF), Lancaster, Pennsylvania, a bank holding company, in a stock swap transaction valued at $561.757 mil. PF offered $7.6 in cash and 0.1543 common share per SF share, subject to proration if either cash or stock is oversubscribed. Based on PF's closing stock price of $73.21 on July 18, the last full trading day prior to the announcement, each SF share was valued at $18.896. The transaction had been subject to customary closing conditions, SF shareholders and regulatory approvals.</t>
  </si>
  <si>
    <t>Williams Scotsman Int Inc</t>
  </si>
  <si>
    <t>Pvd mobile office leasing svcs</t>
  </si>
  <si>
    <t>Algeco SA</t>
  </si>
  <si>
    <t>Mnfr modular constr unit</t>
  </si>
  <si>
    <t>US - Algeco SA, a unit of TDR Capital LLP, acquired all the outstanding common stock of Williams Scotsman International Inc, a provider of single-wide mobile offices, section modulars, single and double-wide classrooms, sales offices and portable storage leasing services, for $28.25 in cash per share, or a total value of $1.269 bil. The transaction was subjected to customary closing conditions, shareholders and regulatory approval.</t>
  </si>
  <si>
    <t>US - WesBanco Inc (WI), Wheeling, West Virginia merged with Oak Hill Financial Inc (OF), Jackson, Ohio, a bank holding company, in a stock swap transaction valued at $209.276 mil. WI offered a choice of $38 in cash or 1.256 shares per OF share, subject to proration whereby 90% of the total consideration was paid in common stock and the remaining 10% in cash. The transaction had been subject to regulatory and shareholder approvals.</t>
  </si>
  <si>
    <t>Sistersville Bancorp Inc</t>
  </si>
  <si>
    <t>My Financial Co</t>
  </si>
  <si>
    <t>US - My Financial Co acquited the entire share capital of Sistersville Bancorp Inc, Sistersville, West Virginia, a bank holding company, for $29.15 in cash per share, or a total value of $11.485 mil. The transaction was subject to shareholders and regulatory approvals and other customary closing conditions.</t>
  </si>
  <si>
    <t>FoxHollow Technologies Inc</t>
  </si>
  <si>
    <t>US - ev3 Inc (EV) acquired all the outstanding common stock of FoxHollow Technologies Inc (FH), a manufacturer and wholesaler of medical devices, in a stock swap transaction valued at $780.635. EV offered a choice of $2.75 cash and 1.45 EV shares, or $25.92 in cash, or 1.62 EV shares per FH share. The shares were valued based on EV's closing stock price of $15.98 on July 20, the last full trading day prior to the announcement, each FH share was valued at $23.17. The transaction had been subject to the approval of regulatory authorities. On completion, FH shareholders were to own 41% and EV shareholders were to own 59% of the combined entity.</t>
  </si>
  <si>
    <t>Arrow International Inc</t>
  </si>
  <si>
    <t>Teleflex Inc</t>
  </si>
  <si>
    <t>Mnfr,whl surgical instruments</t>
  </si>
  <si>
    <t>US - Teleflex Inc acquired all the outstanding common stock of Arrow International Inc (AI), a manufacturer and wholesaler of medical equipments, for $45.5 in cash per AI share, or a total value of $2.119 bil. The transaction had been subject to customary closing conditions, AI shareholders and regulatory approvals.</t>
  </si>
  <si>
    <t>Cumulus Media Inc</t>
  </si>
  <si>
    <t>US - A management-led investor group, comprised of Cumulus Media Inc (CM) President and Chief Executive Officer Mr. Lewis Dickey, and Merrill Lynch Global Private Equity, a unit of Merrill Lynch &amp; Co Inc, withdrew its agreement to acquire all the outstanding common stock of CM, an owner and operator of radio stations, for $11.75 in cash per share, or a total value of $516.712 mil, in a leveraged buyout transaction. The transaction was subject to customary closing conditions and CM shareholder and regulatory approvals.</t>
  </si>
  <si>
    <t>Neoware Inc</t>
  </si>
  <si>
    <t>Dvlp client computing software</t>
  </si>
  <si>
    <t>US - Hewlett-Packard Co (HP) merged with Neoware Inc, a developer of thin client computing software, for $16. 25, or a total value of $332. 191 mil. The transaction had been subject to regulatory and shareholders approvals and other customary closing conditions. Concurrently, HP definitively agreed to acquire all the outstanding common stock of Opsware Inc.</t>
  </si>
  <si>
    <t>Opsware Inc</t>
  </si>
  <si>
    <t>Dvlp IT automation software</t>
  </si>
  <si>
    <t>US - Hewlett-Packard Co (HP) acquired all the outstanding common stock of Opsware Inc (OI), a developer of IT automation and utility computing software, for $14. 25 in cash per share, or a total value of $1.704 bil, via a tender offer. The offer was conditioned upon at least a majority of OI's shares being tendered. The transaction had been subject to regulatory approvals and other customary closing conditions. Concurrently, HP definitively agreed to merge with Neoware Inc.</t>
  </si>
  <si>
    <t>US - Cerberus Capital Management LP withdrew its agreement to acquire United Rentals Inc (UR), provider of equipment rental services, from Apollo Management LP (18%) and other shareholders, for a total value of $3.857 bil, in a leveraged buyout transaction. CC offered 34.5 in cash per share, the assumption of $2.6 bil in liabilities, $98.073 mil in options, $75.975 mil warrants, $223.281 mil in convertible subordinated notes, $146 mil convertible subordinated debentures, $414 mil convertible series C preferred stock, and $172.498 mil in convertible series D preferred stock. The transaction was subject to customary closing conditions, UR shareholders and regulatory approvals.</t>
  </si>
  <si>
    <t>GlobalSantaFe Corp</t>
  </si>
  <si>
    <t>Transocean Inc</t>
  </si>
  <si>
    <t>US - Transocean Inc (TI) merged with GlobalSantaFe Corp (GC), a provider of oil and gas drilling and construction services, to form new TI (NT) in a stock swap transaction valued at $17.299 bil. GC common shareholders received $22.46 in cash and 0.476 NT common shares and TI common shareholders received $33.03 in cash and 0.7 NT common shares per share held. Based on TI's closing stock price of $109.97 on July 20, the last full trading day prior to the announcement, each GC share was valued at $74.78. The transaction had been subject to shareholders and regulatory approvals, receipt of funds under committed financing and other customary closing conditions.</t>
  </si>
  <si>
    <t>PVF Capital Corp</t>
  </si>
  <si>
    <t>US - United Community Financial Corp, Youngstown, Ohio (UC), terminated its agreement to acquire all the outstanding common stock of PVF Capital Corp (PC), a bank holding company, for $148.401 mil. UC offered a choice of $18.5 in cash, 1.852 common shares, or a combination of $9.25 in cash and 0.926 common shares per PC share. The consideration was subject to proration whereby the maximum cash and aggregate common stock issuable shall be 50:50 of the total number of shares outstanding, respectively. The transaction was subject to regulatory, PC and UC's shareholder approvals.</t>
  </si>
  <si>
    <t>Republic Property Trust</t>
  </si>
  <si>
    <t>Liberty Property Trust</t>
  </si>
  <si>
    <t>US - Liberty Property Trust acquired all the outstanding common stock of Republic Property Trust, a real estate investment trust, for $14.70 in cash per share, or a total value of $383.482 mil, including the assumption of $415 mil in liabilities. The transaction was subject to shareholders approval and other customary closing conditions.</t>
  </si>
  <si>
    <t>Ryerson Inc</t>
  </si>
  <si>
    <t>Mnfr,whl stainless steel prod</t>
  </si>
  <si>
    <t>US - Platinum Equity LLC acquired all the outstanding common stock of Ryerson Inc (RI), a manufacturer of stainless steel products, for $34.5 in cash per share or a total value of $1.232 bil, in a leveraged buyout transaction. The transaction had been subject to customary closing conditions and RI shareholders approval.</t>
  </si>
  <si>
    <t>Dade Behring Holdings Inc</t>
  </si>
  <si>
    <t>Mnfr,whl diagnostic prod</t>
  </si>
  <si>
    <t>US - Siemens Medical Solutions Inc (SMS), a unit of Siemens AG, acquired all the outstanding common stock of Dade Behring Holdings Inc (DB), a manufacturer and wholesaler of clinical diagnostic products, for $77 in cash per share, or a total value of $7.131 bil. Earlier, SMS completed its tender offer for DB by accepting 75. 653 mil shares, or 92.08% of DB's common stock outstanding. The offer was conditioned upon at least a majority of DB's shares tendered. The transaction was approved by DB's board of directors and had been subject to regulatory approvals.</t>
  </si>
  <si>
    <t>PRA International</t>
  </si>
  <si>
    <t>Pvd clinical research svcs</t>
  </si>
  <si>
    <t>US - Genstar Capital LLC acquired the remaining 87.2% interest, or 21.294 mil common shares, plus 3.054 mil options, which it did not already own, in PRA International, a provider of clinical drug research and development services, for $30. 5 in cash per share, or a total value of $695.196 mil, in a leveraged buyout transaction. The transaction had been subject to customary closing conditions and regulatory approvals. Subsequently, KKR &amp; Co LP definitively agreed to acquire PRA, in a secondary buyout transaction.</t>
  </si>
  <si>
    <t>Boardwalk Bancorp Inc,Linwood</t>
  </si>
  <si>
    <t>Cape Savings Bank,Cape May</t>
  </si>
  <si>
    <t>US - Cape Savings Bank, Cape May Court House, New Jersey (CS) acquired all the outstanding common stock of Boardwalk Bancorp Inc, Linwood, New Jersey (BB), a bank holding company, in a transaction valued at $98.75 mil. CS offered a choice of $23 in cash, stock, or a combination of both, subject to proration whereby no more than 50% of the total consideration was to be in common stock. The transaction had been subject to customary closing conditions, BB shareholders and regulatory approvals.</t>
  </si>
  <si>
    <t>Virginia Finl Grp,Culpeper,VA</t>
  </si>
  <si>
    <t>US - Virginia Financial Group Inc, Culpeper, Virginia (VF), acquired all the outstanding common stock of FNB Corp, Christiansburg, Virginia (FC), a bank holding company, in a stock swap transaction valued at $239. 753 mil. VF offered 1.585 common shares per FC share. Based on VF's closing stock price of $20.29 on July 25, the last full trading day prior to the announcement, each FC share was valued at $32.16. The transaction had been subject to customary closing conditions, including VF and FC's shareholders and regulatory approvals.</t>
  </si>
  <si>
    <t>Limestone mining co</t>
  </si>
  <si>
    <t>US - An investor group, comprised of Harbinger Capital Partners Master Fund I Ltd and Harbinger Capital Partners Special Situations Fund LP, withdrew its unsolicited tender offer to acquire the remaining 81.86% interest plus options, or 12. 184 mil common shares, which it did not already own, in Oglebay Norton Co (ON), a limestone and other high- quality industrial minerals mining company, for $30.1 in cash per share, or a total value of $373.247 mil. The offer was conditioned upon at least a 51% of ON's shares being tendered. Originally, in July 2007, ON announced that it was seeking a buyer for the company. Subsequently, Carmeuse North America, a unit of LVI Holding Corp's Carmeuse SA subsidiary, acquired all the outstanding common stock of ON.</t>
  </si>
  <si>
    <t>Deb Shops Inc</t>
  </si>
  <si>
    <t>DSI Holdings LLC</t>
  </si>
  <si>
    <t>US - DSI Holdings LLC, a unit of Lee Equity Partners LLC, acquired all the outstanding common stock of Deb Shops Inc, an owner and operator of women's and men's specialty apparel retail stores, for $27.25 in cash per share, or a total value of $390.989 mil. The transaction had been subject to shareholder and regulatory approval.</t>
  </si>
  <si>
    <t>Kyphon Inc</t>
  </si>
  <si>
    <t>US - Medtronic Inc acquired all the outstanding common stock of Kyphon Inc, a manufacturer of medical devices, for $71 in cash per share, or a total value of $4. 066 bil. The transaction was subject to customary closing conditions, shareholder and regulatory approvals.</t>
  </si>
  <si>
    <t>US - Keycorp (KE) acquired all the outstanding common stock of USB Holding Co Inc (UH), Orangeburg, New York, a commercial bank holding company, in a stock swap transaction valued at $568.01 mil. KE offered $8.925 in cash and .455 common shares per UH share. Based on KE's closing stock price of $31.25 on July 26, the last full trading day prior to the announcement, each CB share was valued at $24.946. The transaction had been subject to regulatory and UH shareholder approvals.</t>
  </si>
  <si>
    <t>Crescent Capital VI LLC</t>
  </si>
  <si>
    <t>US - Crescent Capital VI LLC withdrew its plans to launch an unsolicited tender offer to acquire all the outstanding common stock of Cowlitz Bancorp (CB), located in Longview, Washington, for $15 per share, or a total value of $74.130 mil. The offer was conditioned upon at least a majority of CB shares being tendered.</t>
  </si>
  <si>
    <t>Rural Cellular Corp</t>
  </si>
  <si>
    <t>Verizon Wireless Inc</t>
  </si>
  <si>
    <t>US - Verizon Wireless Inc, a joint venture between Verizon Communications Inc and Vodafone Group PLC, acquired all the outstanding common stock of Rural Cellular Corp (RC), a provider of wireless communications services, for $45 in cash per share, or a total value of $733.211 mil, including the assumption of undisclosed amount in liabilities. The transaction had been subject to governmental, regulatory and RC shareholders approval. Originally, in May 2001, RC disclosed that it was seeking a buyer for the company.</t>
  </si>
  <si>
    <t>LyndonBank,Lyndonville,Vermont</t>
  </si>
  <si>
    <t>Community National Bank,Derby</t>
  </si>
  <si>
    <t>US - Community National Bank, Derby, Vermont, a unit of Community Bancorp Inc, Derby, Vermont, agreed to acquire all the outstanding common stock of LyndonBank, Lydonville, Vermont (LB), for $25.25 in cash per share, or a total value of $26.659 mil. The transaction was subject to customary closing conditions, LB shareholders' and regulatory approvals.</t>
  </si>
  <si>
    <t>Fursa Alternative Strategies</t>
  </si>
  <si>
    <t>US - Fursa Alternative Strategies LLC withdrew its plans to launch a challenging tender offer to acquire the remaining 91.59% interest, which it did not already own, in Metromedia International Group Inc (MI), a provider of telecommunications services, for $2.05 in cash per share, or a total value of $176.561 mil. The transaction was subject to due diligence completion. Previously, CaucusCom Mergerco Corp, a unit of CaucusCom Ventures LP agreed to merge with MI.</t>
  </si>
  <si>
    <t>Alliance All-Market Advantage</t>
  </si>
  <si>
    <t>AllianceBernstein Large Cap</t>
  </si>
  <si>
    <t>US - AllianceBernstein Large Cap Growth Fund Inc (AL) acquired all the outstanding common stock of Alliance All- Market Advantage Fund Inc (AA) , a closed-end investment fund, in exchange for AL Class A stock. The transaction was subject to AA shareholders' approval.</t>
  </si>
  <si>
    <t>US - Fiserv Inc acquired all the outstanding common stock of CheckFree Corp, a provider of electronic billing and payment services, for USD 48 in cash per share, or a total value of USD 4.29 bil. The transaction was subjected to shareholder and regulatory approval and customary closing conditions.</t>
  </si>
  <si>
    <t>Coast Financial Holdings Inc</t>
  </si>
  <si>
    <t>US - First Banks Inc, Clayton, Missouri acquired all the outstanding common stock of Coast Financial Holdings Inc, a bank holding company, for $3.4 in cash per share, or a total value of $22.131 mil. The transaction was subject to the approval of shareholders and regulatory authorities.</t>
  </si>
  <si>
    <t>CompuDyne Corpo</t>
  </si>
  <si>
    <t>US - An investor group, comprised of Gores Group LLC and Mr. Stuart Mackiernan, acquired all the outstanding common stock of CompuDyne Corp, a manufacturer of security and detention systems, for $7 in cash per share, or a total value of $59.41 mil, in a leveraged buyout transaction.</t>
  </si>
  <si>
    <t>HemoSense Inc</t>
  </si>
  <si>
    <t>Mnfr,dvlp,whl monitoring sys</t>
  </si>
  <si>
    <t>US - Inverness Medical Innovations Inc (IM) acquired all the outstanding common stock of HemoSense Inc (HI), a manufacturer, developer and wholesaler of blood coagulation monitoring systems, in a stock swap transaction valued at $179. 671 mil. IM offered 0.274192 common share per HI share. Based on IM's closing stock price of $46.15 on August 3, the last full trading day prior to the announcement, each HI share was valued at $12.654. The transaction had been subject to customary closing conditions, HI shareholders and regulatory approvals.</t>
  </si>
  <si>
    <t>Infocrossing Inc</t>
  </si>
  <si>
    <t>Pvd IT outsourcing svcs</t>
  </si>
  <si>
    <t>Wipro Technologies Inc</t>
  </si>
  <si>
    <t>US - Wipro Technologies Inc, a unit of Wipro Ltd, acquired all the outstanding common stock of Infocrossing Inc, a provider of information technology outsourcing services, for $18.7 in cash per share, or a total value of $558.992 mil, via a tender offer. The transaction had been subject to customary closing conditions and regulatory approvals.</t>
  </si>
  <si>
    <t>Isotis Inc</t>
  </si>
  <si>
    <t>Integra LifeSciences Hldg Corp</t>
  </si>
  <si>
    <t>Mnfr,whl medical devices,implants</t>
  </si>
  <si>
    <t>US - Integra LifeSciences Holdings Corp acquired all the outstanding common stock of Isotis Inc (II), a biotechnology company, for $7. 25 in cash per share, or a total value of $46.531 mil. The transaction was subject to II shareholders and regulatory approvals, and other customary closing conditions.</t>
  </si>
  <si>
    <t>Microtek Medical Holdings Inc</t>
  </si>
  <si>
    <t>US - Ecolab Inc acquired all the outstanding common stock of Microtek Medical Holdings Inc (MM), a manufacturer and wholesaler of infection control and proprietary products, for $6.3 in cash per share, or a total value of $287.006 mil. The transaction was approved by the Boards of Directors for both companies, and was subjected to customary closing conditions, regulatory and MM's shareholders approval.</t>
  </si>
  <si>
    <t>Aptimus Inc</t>
  </si>
  <si>
    <t>Pvd online marketing services</t>
  </si>
  <si>
    <t>Apollo Group Inc</t>
  </si>
  <si>
    <t>Pvd higher education svcs</t>
  </si>
  <si>
    <t>US - Apollo Group Inc acquired all the outstanding common stock of Aptimus Inc, a provider of online direct marketing services, for $6.25 in cash per share, or a total value of $46.973 mil. The transaction had been subject to customary closing conditions and shareholders approval.</t>
  </si>
  <si>
    <t>Digital Angel Corp</t>
  </si>
  <si>
    <t>US - Applied Digital Solutions Inc (AD) acquired the remaining 45% stake, or 20.037 mil common shares, which it did not already own, in Digital Angel Corp (DA), a developer of sensor and communication equipment, in a stock swap transaction valued at $30.856 mil. AD offered 1. 4 common shares per DA share. Based on AD's closing stock price of $1.1 on August 8, the last full trading day prior to the announcement, each DA share was valued at $1.54. The transaction had been subject to shareholders and regulatory approvals, and other customary closing conditions.</t>
  </si>
  <si>
    <t>TPG Capital LP</t>
  </si>
  <si>
    <t>US - TPG Capital LP (TC) acquired all the outstanding common stock of Midwest Air Group Inc (MA), a passenger airline, for a sweetened $17 in cash per share, or a total value of $444.338, in a leveraged buyout transaction, via a tender offer. Originally, TC offered $16 in cash per share, or a total value of $417.645 mil. Previously, AirTran Holdings launched a tender offer to acquire all the outstanding common stock of MA. The transaction had been subject to regulatory approvals.</t>
  </si>
  <si>
    <t>Gensym Corp</t>
  </si>
  <si>
    <t>Dvlp rule engine software</t>
  </si>
  <si>
    <t>US - Versata Inc, a unit of Trilogy Inc, acquired all the outstanding common stock of Gensym Corp (GC), a developer of rule engine software, for $2.35 in cash per share, or a total value of $19.606 mil. The transaction had been subject to customary closing conditions and GC shareholder approval.</t>
  </si>
  <si>
    <t>RF Micro Devices Inc</t>
  </si>
  <si>
    <t>Mnfr radio frequency circuits</t>
  </si>
  <si>
    <t>US - RF Micro Devices Inc (RM) acquired all the outstanding common stock of Sirenza Microdevices Inc (SM), a manufacturer of radio frequency components, in a stock swap transaction valued at $905.578 mil. RM offered $5.65 in cash and 1.785 common shares per SM share. Based on RM's closing stock price of $6.21 on August 10, the last full trading day prior to the announcement, each RM share was valued at $16.645. The transaction was subject to regulatory and shareholder approvals. Upon completion, RM shareholders were to own 67%, and SM shareholders the remaining 33%, of the combined entity.</t>
  </si>
  <si>
    <t>Sycamore Natl Bk,Cincinnati,OH</t>
  </si>
  <si>
    <t>LCNB Corp</t>
  </si>
  <si>
    <t>US - LCNB Corp (LC) acquired all the outstanding common stock of Sycamore National Bank (SN), Cincinnati, Ohio, in a stock swap transaction valued at an estimated $9.7 mil, subject to proration whereby 50% of the total consideration was paid in cash and the remaining 50% in LC common stock. The transaction had been subject to SN shareholder and regulatory approvals.</t>
  </si>
  <si>
    <t>US - Camden National Corp, Camden, Maine (CN) acquired all the outstanding common stock of Union Bankshares Co, Ellsworth, Maine (UB), a bank holding company, in a stock swap transaction valued at $74.47 mil. CN offered a choice of $68 in cash or 1. 911 common shares per UB share, subject to proration whereby no more than 60% of the total consideration was to be in common stock. The transaction had been subject to regulatory and shareholders' approvals.</t>
  </si>
  <si>
    <t>Lamson &amp; Sessions Co</t>
  </si>
  <si>
    <t>Mnfr,whl thermoplastic prod</t>
  </si>
  <si>
    <t>US - Thomas &amp; Betts Corp acquired all the outstanding common stock of Lamson &amp; Sessions Co, a manufacturer and wholesaler of electric thermoplastic products, for $27 in cash per share or a total value of $450.174 mil. The transaction had been subject to customary closing conditions and regulatory and shareholder approvals.</t>
  </si>
  <si>
    <t>US - Fifth Third Bancorp, Cincinnati, Ohio (FT) acquired all the outstanding common stock of First Charter Corp, Charlotte, North Carolina (FC), a bank holding company, in a stock swap transaction valued at $1.091 bil. FT offered a choice of $31 in cash or common shares per FC share, subject to proration whereby no more than 70% of the total consideration was to be in common stock. The transaction was subject to regulatory and FC shareholders approvals, and other customary closing conditions.</t>
  </si>
  <si>
    <t>RARE Hospitality Intl Inc</t>
  </si>
  <si>
    <t>Darden Restaurants Inc</t>
  </si>
  <si>
    <t>US - Darden Restaurants Inc (DR) acquired all the outstanding common stock of RARE Hospitality International Inc (RH), an owner, operator and franchisor of restaurants, for $38.15 in cash per share, or a total value of $1.227 bil. Previously, DR completed its tender offer by accepting 26.992 mil common shares, or 88.19% of RHs shares outstanding. The transaction had been approved by the boards of directors of both companies and had been subject to regulatory approval and customary closing conditions.</t>
  </si>
  <si>
    <t>CTG</t>
  </si>
  <si>
    <t>RCM Technologies Inc</t>
  </si>
  <si>
    <t>Pvd bus,tech solutions svcs</t>
  </si>
  <si>
    <t>US - RCM Technologies Inc (RT) withdrew its plans to launch an unsolicited offer to acquire the entire share capital of Computer Task Group Inc, a provider of information technology professional and consulting services, for $108.279 mil. The consideration was to consist of $2.625 in cash and $2.625 in RT common stock. The transaction was subject to shareholders and regulatory approvals and due diligence completion.</t>
  </si>
  <si>
    <t>US - In August 2007, Comverse Technology Inc was rumored to be seeking a buyer for its majority-owned Verint Systems Inc unit, a developer of analytic software. Nice Systems of Israel was rumored potential bidder. The Current status of this deal is unknown.</t>
  </si>
  <si>
    <t>E*TRADE Financial Corp</t>
  </si>
  <si>
    <t>TD AMERITRADE HOLDING CORP</t>
  </si>
  <si>
    <t>US - TD Ameritrade Inc discontinued rumors that it was planning to merge with E Trade Financial Corp, a provider of online securities brokerage services.</t>
  </si>
  <si>
    <t>CBRE Realty Finance Inc</t>
  </si>
  <si>
    <t>Arbor Realty Trust Inc</t>
  </si>
  <si>
    <t>US - Arbor Realty Trust Inc withdrew its plans to acquire the entire share capital of CBRE Realty Finance Inc, a Hartford-based real estate specialty finance company.</t>
  </si>
  <si>
    <t>Hearst-Argyle Television Inc</t>
  </si>
  <si>
    <t>Hearst Corp</t>
  </si>
  <si>
    <t>Publish newspapers,magazines</t>
  </si>
  <si>
    <t>US - Hearst Corp withdrew its tender offer to acquire the remaining 27% stake plus options, or 28.629 mil common shares, which it did not already own, in Hearts-Argyle Television Inc (HA), an owner and operator of television stations, for $23.5 in cash per share, or a total value of $602.574 mil. The offer was conditioned upon at least a majority of HA's shares being tendered.</t>
  </si>
  <si>
    <t>Carolina National Corp</t>
  </si>
  <si>
    <t>First National Bancshares Inc</t>
  </si>
  <si>
    <t>US - First National Bancshares Inc (FN) merged with Carolina National Corp (CN), a bank holding company, in a stock swap transaction valued at $56.874 mil. FN offered a choice of $21.65 in cash or 1.468 common shares, per CN share, subject to proration whereby the aggregate consideration was to consist of 70% stock and 30% cash. The transaction had been subject to customary closing conditions and regulatory and shareholder approvals.</t>
  </si>
  <si>
    <t>Cost-U-Less Inc</t>
  </si>
  <si>
    <t>Own,op stores</t>
  </si>
  <si>
    <t>North West Co Fund</t>
  </si>
  <si>
    <t>US - North West Co Fund acquired all the outstanding common stock of Cost-U-Less Inc, an owner and operator of mid-sized warehouse club- style stores, for $11.75 in cash per share, or a total value of $52.415 mil. The transaction had been subject to shareholder approval and other customary closing conditions.</t>
  </si>
  <si>
    <t>Mnfr,whl computer,mobile phone</t>
  </si>
  <si>
    <t>US - Acer Inc completed its a tender offer to acquire all the outstanding common stock of Gateway Inc, a manufacturer and wholesaler of personal, desktop, portable and convergence personal computers, for $1.9 in cash per share, or a total value of $716.768 mil. The transaction had been subject to customary closing conditions and regulatory approvals.</t>
  </si>
  <si>
    <t>PolyMedica Corp</t>
  </si>
  <si>
    <t>Mnfr,whl testing supplies</t>
  </si>
  <si>
    <t>US - Medco Health Solutions Inc acquired all the outstanding common stock of PolyMedica Corp (PC), a manufacturer and wholesaler of blood glucose testing supplies, for $53 in cash per share, or a total value of $1. 279 bil. The transaction was subject to customary closing conditions, PC shareholders and regulatory approvals.</t>
  </si>
  <si>
    <t>TSB Financial Corp,Charlotte,</t>
  </si>
  <si>
    <t>US - SCBT Financial Corp, Columbia, South Carolina (SF) merged with TSB Financial Corp, Charlotte, North Carolina (TF), a savings bank holding company, in a stock swap transaction valued at $42.58 mil. SF offered a choice of $35 in cash or common shares per TF share, subject to proration whereby no more than 85% of the total consideration was to be in common stock. The transaction had been subject to regulatory and TF shareholders approvals.</t>
  </si>
  <si>
    <t>Leap Wireless Intl Inc</t>
  </si>
  <si>
    <t>MetroPCS Communications Inc</t>
  </si>
  <si>
    <t>US - MetroPCS Communications Inc (MC) terminated its plans to merge with Leap Wireless International Inc (LW), a provider of wireless telecommunication services, in a stock swap transaction valued at $5.235 bil. MC offered 2.75 common shares per LW share. Based on MC's closing stock price of $27.29 on September 3, the last full trading day prior to the announcement, each LW share was valued at $75.05. The transaction was subject to customary closing conditions, shareholders and regulatory approval.</t>
  </si>
  <si>
    <t>Applix Inc</t>
  </si>
  <si>
    <t>Cognos Inc</t>
  </si>
  <si>
    <t>US - Cognos Inc (CI) acquired all the outstanding common stock of Applix Inc (AI), a developer of Internet software, for $17.87 in cash per share, or a total value of $341.085 mil. Previously, CI completed its tender offer by accepting 14.032 mil shares or 70% of AI's common shares outstanding. The transaction had been subject to regulatory approval and other customary closing conditions.</t>
  </si>
  <si>
    <t>Markwest Hydrocarbon Inc</t>
  </si>
  <si>
    <t>MarkWest Energy Partners LP</t>
  </si>
  <si>
    <t>Natural gas expl,production co</t>
  </si>
  <si>
    <t>US - MarkWest Energy Partners LP (ME) acquired all the outstanding common stock of Markwest Hydrocarbon Inc (MH), a gas utility company, in a stock swap transaction valued at $ 734.594 mil. ME offered a choice of 1.285 common shares and $20 in cash, or all in cash, or all in common shares per MH share. Based on ME's closing stock price of $32.07 September 4, the last full trading day prior to the announcement, each CB share was valued at $61.21. The transaction was subject to customary closing conditions, ME and MH shareholders and regulatory approvals.</t>
  </si>
  <si>
    <t>Alabama Natl BanCorp,AL</t>
  </si>
  <si>
    <t>US - RBC Centura Banks Inc, Rocky Mount, North Carolina (RC), a wholly-owned unit of Royal Bank of Canada, acquired all the outstanding common stock of Alabama National BanCorp, Birmingham, Alabama (AN), a bank holding company, in a transaction valued at $1.642 bil. RC offered a choice of $80 in cash, common shares, or a combination of both, subject to proration whereby no more than 50% of the total consideration was to be in cash. The transaction had been subject to regulatory and AN shareholders approvals, and other customary closing conditions.</t>
  </si>
  <si>
    <t>TransCommunity Financial Corp</t>
  </si>
  <si>
    <t>Community Bankers Acq Corp</t>
  </si>
  <si>
    <t>US - Community Bankers Acquisition Corp (CB) merged with TransCommunity Financial Corp (TF), a provider of bank holding services, in a stock swap transaction valued at $98.924 mil. CB offered 1.42 common shares per TF share. Based on CB's closing stock price of September 5, the last full trading day prior to the announcement, each TF share was valued at $10.536. The transaction had been subject to customary closing conditions, including shareholder and regulatory approval. On completion, the merged entity was renamed Community Bankers Trust Corp.</t>
  </si>
  <si>
    <t>American Stone Industries Inc</t>
  </si>
  <si>
    <t>Mnfr,whl stone prod</t>
  </si>
  <si>
    <t>Industrial Realty Group LLC</t>
  </si>
  <si>
    <t>US - Industrial Realty Group LLC acquired all the outstanding common stock of American Stone Industries Inc, a manufacturer and wholesaler of stone products, for $22 mil, including the assumption of an undisclosed amount in liabilities. The transaction was subject to due diligence.</t>
  </si>
  <si>
    <t>KMG America Corp</t>
  </si>
  <si>
    <t>US - Humana Inc acquired all the outstanding common stock of KMG America Corp (KA), an insurance holding company, for $6.2 in cash per share, or a total value of $137.741 mil. The transaction had been subject to customary closing conditions, KA shareholders and regulatory approvals.</t>
  </si>
  <si>
    <t>US - National Penn Bancshares Inc (NP), Boyertown, Pennsylvania merged with KNBT Bancorp Inc (KB), Bethlehem, Pennsylvania, in a stock swap transaction valued at $459.747 mil. NP offered 1.03 common share per KB share. Based on NP's closing stock price of $16.81 on September 6, the last full trading day prior to the announcement, each KB share was valued at $17.314. The transaction had been subject to regulatory and shareholder approvals. On completion, the merged entity was renamed NP, and was to be 65% owned by NP and 35% owned by KB.</t>
  </si>
  <si>
    <t>Great Lakes Bancorp, Buffalo,</t>
  </si>
  <si>
    <t>US - First Niagara Financial Group Inc, Lockport, New York (FN)  merged with Great Lakes Bancorp Inc, Buffalo, New York (GL), a bank holding company, in a transaction valued at $152.953 mil. FN offered a choice of $14 in cash or 0.993 common shares, or a combination of both, per GL share, subject to proration whereby no more than 50% of the total consideration was to be in common stock. The transaction approved by GL shareholders and regulatory authorities.</t>
  </si>
  <si>
    <t>United Retail Group Inc</t>
  </si>
  <si>
    <t>Mnfr,whl women's apparel</t>
  </si>
  <si>
    <t>Redcats USA LP</t>
  </si>
  <si>
    <t>All Other Miscellaneous Store Retailers (Except Tobacco Stores)</t>
  </si>
  <si>
    <t>US - Redcats USA LP, a unit of PPR SA's Redcats SA subsidiary, completed its tender offer to acquire all the outstanding common stock of United Retail Group Inc (UR), a manufacturer and wholesaler of women's apparel, for $13.7 in cash per share, or a total value of $197.824 mil, by accepting 12.048 mil shares, or 86.177% of UR's common shares outstanding. The transaction was subject to customary closing conditions.</t>
  </si>
  <si>
    <t>MidWestOne Financial Grp Inc</t>
  </si>
  <si>
    <t>ISB Financial Corp</t>
  </si>
  <si>
    <t>US - ISB Financial Corp (IF) merged with MidWestOne Financial Group Inc (MF), a commercial bank, in a stock swap transaction valued at $101.1 mil. IF offered 0.95 common shares per MF share. Based on IF's closing stock price of $27.5 on September 11, the last full trading day prior to the announcement, each MF share was valued at $26.125. On completion, the merged entity retained the name MF. The transaction had been subject to shareholders and regulatory approvals, and other customary closing conditions.</t>
  </si>
  <si>
    <t>Integra Bank Corp,Evansville</t>
  </si>
  <si>
    <t>US - Integra Bank Corp (IB), Evansville, Indiana, terminated its agreement to acquire all the outstanding common stock of Peoples Community Bancorp Inc (PC), West Chester, Ohio, a commercial bank holding company, in a stock swap transaction valued at $86.932 mil. IB offered $6.3 in cash and 0.6175 common share per PC share. Based on IB's closing stock price of $18.89 September 11, the last full trading day prior to the announcement, each PC share was valued at $17.965. The transaction was subject to customary closing conditions, PC shareholders, and regulatory approvals.</t>
  </si>
  <si>
    <t>EDO Corp</t>
  </si>
  <si>
    <t>Mnfr electn sys prod</t>
  </si>
  <si>
    <t>Mnfr fluid tech solutions</t>
  </si>
  <si>
    <t>US - ITT Corp, a unit of Starwood Hotels &amp; Resorts Worldwide Inc, definitively agreed to acquire all the outstanding common stock of EDO Corp (EC), a manufacturer of advanced electronic, mechanical systems and engineered materials, for $56 in cash per share, or a total value of $1.677 bil, including the assumption of an estimated $120 mil in liabilities. The transaction was subject to customary closing conditions, EC shareholders and regulatory approvals.</t>
  </si>
  <si>
    <t>T-Mobile USA Inc</t>
  </si>
  <si>
    <t>US - T-Mobile USA Inc, a unit of Deutsche Telekom AG, acquired all the outstanding common stock of SunCom Wireless Holdings Inc (SW), a provider of wireless telecommunications services, for $27 in cash per share, or a total value of $2.399 bil, including the assumption of $800 mil in liabilities. The transaction had been subject to customary closing conditions, regulatory and SW's shareholder approvals.</t>
  </si>
  <si>
    <t>Target Logistics Inc</t>
  </si>
  <si>
    <t>Mainfreight Ltd</t>
  </si>
  <si>
    <t>Provide chain logistics svcs</t>
  </si>
  <si>
    <t>New Zealand</t>
  </si>
  <si>
    <t>US - Mainfreight Ltd acquired all the outstanding common stock of Target Logistics Inc (TL), a provider of domestic and international freight shipping and logistics services, for $2.5 in cash per share, or a total value of $46.186 mil. The transaction had been subject to customary closing conditions and TL shareholders approval.</t>
  </si>
  <si>
    <t>Factory Card Outlet &amp; Party</t>
  </si>
  <si>
    <t>US - AAH Holdings Corp (AH), a holding company jointly controlled by Berkshire Partners LLC and Weston Presidio Capital, acquired all the outstanding common stock of Factory Card Outlet &amp; Party Corp (FC), an owner and operator of party supplies stores, for $16.5 in cash per share, or a total value of $52.517 mil. Previously, AH completed its tender offer by accepting 3. 183 mil shares, or about 94. 08% of FC's common stock outstanding. The transaction had been subject to customary closing conditions.</t>
  </si>
  <si>
    <t>First Intercontinental Bank,GA</t>
  </si>
  <si>
    <t>Center Financial Corp,LA,CA</t>
  </si>
  <si>
    <t>US - Center Financial Corp (CF) withdrew its definitive agreement to acquire all the outstanding common stock of First Intercontinental Bank, Doraville, Georgia, a chartered commercial bank company, for $65.2 mil. CF offered a choice of cash, or cash, stock or combination of cash and common stock, subject to proration whereby 60% of the consideration offered was to be payable in cash and 40% was to be payable in CF common stock. The transaction was subject to the approval of regulatory authorities.</t>
  </si>
  <si>
    <t>US - Sun Capital Securities LLC (SC) acquired all the outstanding common stock of Kellwood Co (KC), a manufacturer and wholesaler of men and women's sportswear apparel, for $21 in cash per share, or a total value of $543.741 mil. Earlier SC completed its tender offer for KC by accepting 15.8 mil shares, or 61.02% of KC's common shares outstanding, in a leveraged buyout transaction. The offer was conditioned upon at least a majority of KC's shares being tendered. The transaction had been subject to due diligence.</t>
  </si>
  <si>
    <t>Renovis Inc</t>
  </si>
  <si>
    <t>Evotec AG</t>
  </si>
  <si>
    <t>US - Evotec AG (EA) merged with Renovis Inc (RI), a manufacturer of prescription pharmaceuticals, in a stock swap transaction valued at $141.446 mil. EA offered 1. 0542 common shares per RI share. Based on AE's closing stock price of September 18, the last full trading day prior to the announcement, each RI share was valued at $4.702. The transaction was subject to customary closing conditions, RI shareholders, EA NASDAQ listing and regulatory approvals.</t>
  </si>
  <si>
    <t>Rockhill Holding Co</t>
  </si>
  <si>
    <t>US - Rockhill Holding acquired all the outstanding common stock of RTW Inc (RI), a provider of employee benefit services, for $12.45 in cash per share, or a total value of $66.269 mil. The transaction had been subject to customary closing conditions, RI shareholders and regulatory approvals.</t>
  </si>
  <si>
    <t>C-COR Inc</t>
  </si>
  <si>
    <t>Mnfr network transmission prod</t>
  </si>
  <si>
    <t>ARRIS Group Inc</t>
  </si>
  <si>
    <t>Mnfr communication equipments</t>
  </si>
  <si>
    <t>US - ARRIS Group Inc (AG) acquired all the outstanding common stock of C-COR Inc (CC) , a manufacturer of network transmission products including RF (radio frequency) amplifiers and fiber optic equipment, for $705.991 mil. AG offered a choice of $13.75 in cash or 0.9642 common shares per CC share, subject to a collar agreement. The consideration was subject to proration whereby the maximum cash and aggregate common stock issuable shall be 51% and 49% of the total number of shares outstanding, respectively. The transaction was approved by the Boards of Directors of both companies and was subject to shareholders and regulatory approval.</t>
  </si>
  <si>
    <t>Metal Management Inc</t>
  </si>
  <si>
    <t>Whl,collectsprocesses metals</t>
  </si>
  <si>
    <t>Sims Group Ltd</t>
  </si>
  <si>
    <t>Pvd recycling svcs</t>
  </si>
  <si>
    <t>US - Sims Group Ltd (SG) of Australia acquired the entire share capital of Metal Management Inc (MM), a Chicago-based wholesaler of scrap and waste materials, in a stock swap transaction valued at USD 1.515 bil. SG offered 2.05 shares in the form of American Depositary Receipts (ADRs) per MM share. On completion, the merged entity was to be named Sims Metal Management Ltd (SM), and SG and MM shareholders were to own 70% and 30% of SM, respectively.</t>
  </si>
  <si>
    <t>NTELOS Holdings Corp</t>
  </si>
  <si>
    <t>Quadrangle Capital Partners II</t>
  </si>
  <si>
    <t>US - Quadrangle Capital Partners II LP, a majority- owned unit of Quadrangle Group LLC, raised its interest to 57.39% from 29. 18%, by acquiring a 28.21% stake, or 11.853 mil common shares, in NTELOS Holdings Corp, a provider of integrated communications services, from Citigroup Venture Capital Equity Partners LP, a unit of Citi, in a privately negotiated transaction. The transaction was subject to regulatory approvals.</t>
  </si>
  <si>
    <t>YRC Worldwide Inc</t>
  </si>
  <si>
    <t>Pvd motor carrier transp svcs</t>
  </si>
  <si>
    <t>Deutsche Post AG</t>
  </si>
  <si>
    <t>Provide mail,financial services</t>
  </si>
  <si>
    <t>US - Deutsche Post AG was rumored to be planning to acquire all the outstanding common stock of YRC Worldwide Inc, a provider of motor carrier transportation services. The Current status of this deal is unknown.</t>
  </si>
  <si>
    <t>Washington Banking Co</t>
  </si>
  <si>
    <t>US - Frontier Financial Corp, Everett, Washington (FF), terminated its agreement to acquire the remaining 91.67% interest plus options, or 8. 94 mil shares, which it did not already own, in Washington Banking Co, Oak Harbor, Washington, a bank holding company, for $182.942 mil. The consideration was to consist of $42.9 mil in cash and 5.916 mil FF common shares, valued at $140.042 mil. The shares were valued based on FF's closing stock price of $23.67 on September 25, the last full trading day prior to the announcement. The transaction was subject to the approval of regulatory authorities and satisfaction of other customary closing conditions.</t>
  </si>
  <si>
    <t>Traffix Inc</t>
  </si>
  <si>
    <t>New Motion Inc</t>
  </si>
  <si>
    <t>Dvlp digital,mobile software</t>
  </si>
  <si>
    <t>US - New Motion Inc (NM) merged with Traffix Inc (TI), a provider of Internet marketing services, in a stock swap transaction valued at $174.894 mil. NM offered 0. 683 common shares per TI share. Based on NM's closing stock price of $15.5 on September 26, the last full trading day prior to the announcement, each TI share was valued at $10.59. The transaction had been subject to regulatory approval.</t>
  </si>
  <si>
    <t>US - An investor group comprised of Bain Capital LLC (BC) and Huawei Technologies Co (HT), withdrew its definitive agreement to acquire all the outstanding common stock of 3Com Corp (3C) , a manufacturer and wholesaler of networking systems, for $5.3 in cash per share, or a total value of $2. 162 bil, in a leveraged buyout transaction. The transaction was subject to customary closing conditions, regulatory and shareholders approval. Upon completion, BC and HT were to own 83.5% and 16.5% of 3C, respectively.</t>
  </si>
  <si>
    <t>Gourmet Herb Growers Inc</t>
  </si>
  <si>
    <t>Dvlp,whl 3D software,hardware</t>
  </si>
  <si>
    <t>Halter Financial Investments</t>
  </si>
  <si>
    <t>US - Halter Financial Investments LP acquired an 87. 5% interest, or 11.2 mil common shares, in Gourmet Herb Growers Inc, a developer and wholesaler of 3D software and hardware, for a total value of $0.4 mil.</t>
  </si>
  <si>
    <t>US - Nokia Oyj of Finland acquired all the outstanding common stock of NAVTEQ Corp, a developer of web-based digital mapping software, for USD 78 in cash per share, or a total value of USD 7.954 bil. The transaction was subjected to customary closing conditions including regulatory approval and NAVTEQ shareholders' approval.</t>
  </si>
  <si>
    <t>ViaCell Inc</t>
  </si>
  <si>
    <t>US - PerkinElmer Inc completed its tender offer to acquire all the outstanding common stock of ViaCell Inc (VI), a biotechnology company, for $7.25 in cash per share, or a total value of $301.329 mil. The offer was conditioned upon at least a majority of VI's shares being tendered. The transaction was subject to customary closing conditions and regulatory approvals.</t>
  </si>
  <si>
    <t>US - Toronto-Dominion Bank (TD) acquired all the outstanding common stock of Commerce Bancorp, Cherry Hills, New Jersey (CB), a bank holding company, in a stock swap transaction valued at $8.638 bil. TD offered $10. 5 in cash and 0.414 common share per CB share. Based on TD's closing stock price of $76.94 on October 1, the last full trading day prior to the announcement, each CB share was valued at $42.353. The transaction was subject to CB shareholders and regulatory approvals.</t>
  </si>
  <si>
    <t>Pavilion Bancorp Inc,Adrian,MI</t>
  </si>
  <si>
    <t>US - First Defiance Financial Corp, Defiance, Ohio (FD) acquired all the outstanding common stock of Pavilion Bancorp Inc, Adrian, Michigan (PB), a bank holding company, for $54.676 mil. FD offered $37.5 in cash and 1. 421 FD common shares per PB share held. The shares were valued based on FD's closing stock price of $25.83 on October 1, the last full trading day prior to the announcement. The transaction had been subject to regulatory and shareholders approvals and other customary closing conditions.</t>
  </si>
  <si>
    <t>Printronix Inc</t>
  </si>
  <si>
    <t>Mnfr,whl printers</t>
  </si>
  <si>
    <t>US - Vector Capital Corp acquired all the outstanding common stock of Printronix Inc (PI), a manufacturer and wholesaler of printers and networked printing systems, for $16 in cash per share, or a total value of $109.267 mil, in a leveraged buyout transaction. The transaction had been subject to PI shareholder approval. Concurrently, an investor group, led by Corona Investment Partners, acquired PI.</t>
  </si>
  <si>
    <t>Suntron Corp</t>
  </si>
  <si>
    <t>Mnfr,whl high-mix electn prod</t>
  </si>
  <si>
    <t>Thayer-Blum Funding II LLC</t>
  </si>
  <si>
    <t>Invest firm</t>
  </si>
  <si>
    <t>US - Thayer-Blum Funding II LLC, a joint venture between Thayer Capital Partners and Blum Capital Partners LP, through its SUNN Acquisition Corp subsidiary, acquired the remaining 9.87% stake, or 2. 726 mil common shares, which it did not already own, in Suntron Corp, a manufacturer and wholesaler of high-mix electronic products, for an estimated $3.135 mil.</t>
  </si>
  <si>
    <t>US - Systeme Anwendungen Produkte AG (SA) acquired an 87.18% interest, or 87.64 mil ordinary shares in Business Objects SA (BO), a developer of software, for $59.406 in cash per ordinary share, or a total value of $5.511 bil, via a tender offer for all the outstanding ordinary shares of BO. The offer was conditioned upon at least 50. 01% of the shares being tendered. The transaction had been subject to regulatory and shareholders' approvals. Originally, in September 2007, BO announced that it was rumored to be seeking a buyer for the company. On separate deals, SA raised its interest to 95.49% from 87.18%, by acquiring an 8.17% stake and pplanned to acquire the remaining 4.51% stake in BO.</t>
  </si>
  <si>
    <t>US - Systeme Anwendungen Produkte AG (SA) acquired the remaining 4.65% stake, or 4. 675 mil ordinary shares, which it did not already own, in Business Objects SA (BO), a developer of software, for $59.4 in cash per ordinary share, or a total value of $277.672 mil. On separate deals, SA acquired an 87.18% interest and raised its interest to 95.49% from 87. 18%, by acquiring an 8.17% in BO.</t>
  </si>
  <si>
    <t>OneSource Services Inc</t>
  </si>
  <si>
    <t>Pvd outsourced facilities svcs</t>
  </si>
  <si>
    <t>ABM Industries Inc</t>
  </si>
  <si>
    <t>Pvd facility management svcs</t>
  </si>
  <si>
    <t>US - ABM Industries Inc acquired all the outstanding common stock of OneSource Services Inc, a provider of outsourced facilities services, for USD 365 mil in cash.</t>
  </si>
  <si>
    <t>United Industrial Corp</t>
  </si>
  <si>
    <t>Mnfr defense sys</t>
  </si>
  <si>
    <t>US - Textron Inc completed its tender offer to acquire all the outstanding common stock of United Industrial Corp (UI), a manufacturer of defense systems, for $81 in cash per share, or a total value of $860.49 mil, via a tender offer. The offer was conditioned upon at least a majority of UI shares being tendered. The transaction had been subject to customary closing conditions and approvals.</t>
  </si>
  <si>
    <t>Neuberger Berman RE Sec Inc Fd</t>
  </si>
  <si>
    <t>Neuberger Berman Real Inc Fund</t>
  </si>
  <si>
    <t>US - Neuberger Berman Realty Income Fund Inc agreed to merge with Neuberger Berman Real Estate Securities Income Fund Inc, a closed-end investment fund. The transaction was subject to shareholder approval.</t>
  </si>
  <si>
    <t>Slade's Ferry Bancorp,MA</t>
  </si>
  <si>
    <t>US - Independent Bank Corp, Rockland, Massachusetts (IB), acquired all the outstanding common stock of Slades Ferry Bancorp, Somerset, Massachusetts (SF), a bank holding company, in a stock swap transaction valued at $103.726 mil. IB offered a combination of 0.818 common share and $25.5 in cash per SF share, subject to proration, whereby 75% of the consideration was to be paid in stock and 25% in cash. The transaction had been approved by the Boards of Directors of IB, and had been subject to regulatory and SF's shareholders approvals.</t>
  </si>
  <si>
    <t>US - Oracle Corp (OC) acquired all the outstanding common stock of BEA Systems Inc (BS), a developer of enterprise infrastructure software, for a sweetened $19. 375 in cash per share, or a total value of $8.056 bil. The transaction was approved by shareholder and regulatory authorities, and other customary closing conditions. Originally, OC withdrew its plans to acquire all the outstanding common stock of BS, for $17 in cash per share, or a total value of $7.195 bil.</t>
  </si>
  <si>
    <t>Carmeuse Lime &amp; Stone Inc</t>
  </si>
  <si>
    <t>US - Carmeuse North America, a unit of LVI Holding Corp's Carmeuse SA subsidiary, acquired all the outstanding common stock of Oglebay Norton Co (ON), a limestone mining company, for $36 in cash per share, or a total value of $520.3 mil. The transaction had been subject to customary closing conditions and regulatory and shareholders approvals. Previously, an investor group, comprised of Harbinger Capital Partners Master Fund I Ltd and Harbinger Capital Partners Special Situations Fund LP, withdrew its unsolicited tender offer to acquire the remaining 81.86% interest plus options, or 12. 184 mil common shares, which it did not already own, in ON.</t>
  </si>
  <si>
    <t>Biogen Idec Inc</t>
  </si>
  <si>
    <t>US - In October 2007, Biogen Idec Inc, a Weston-based manufacturer of biological products, announced that it was seeking a buyer for the company. Carl Icahn was named potential bidder and Merck &amp; Co Inc and Allergan PLC were rumored potential bidders.</t>
  </si>
  <si>
    <t>US - Danaher Corp (DC) acquired all the outstanding stock of Tektronix Inc (TI), a manufacturer and wholesaler of industrial equipments specializing in test, measurement, and monitoring solutions, for $38 in cash per share, or a total value of $2.956 bil. Earlier, DC completed its tender offer for TI by accepting 69.958 mil shares, or 80.6% of TI's common shares outstanding. The offer was conditioned upon at least a majority of TI's shares being tendered (on a fully diluted basis). The transaction had been subject to customary closing conditions and regulatory approval.</t>
  </si>
  <si>
    <t>Pinnacle Gas Resources Inc</t>
  </si>
  <si>
    <t>Quest Resource Corp</t>
  </si>
  <si>
    <t>US - Quest Resource Corp (QR) withdrew its agreement to merge with Pinnacle Gas Resources Inc (PG), an oil and gas exploration and production company, in a stock swap transaction valued at $109.414 mil. QR offered an amended 0.528 common share per PG share. Based on QR's closing stock price of $7.14 on February 5, the last full trading day prior to the amendment of terms, each PG share was valued at $3.77. Originally, QR offered 0.658 common share per PG share.</t>
  </si>
  <si>
    <t>SCPIE Holdings Inc</t>
  </si>
  <si>
    <t>Pvd surety,title ins svcs</t>
  </si>
  <si>
    <t>The Doctors Co</t>
  </si>
  <si>
    <t>Pvd med malpractice ins svcs</t>
  </si>
  <si>
    <t>US - Doctors Co acquired all the outstanding common stock of SCPIE Holdings Inc (SI), a provider of surety and title insurance services, for $28 in cash per share, or a total value of $294.091 mil. The transaction had been subject to customary closing conditions, SI shareholders and regulatory approvals.</t>
  </si>
  <si>
    <t>Midland Co</t>
  </si>
  <si>
    <t>Pvd specialty ins svcs</t>
  </si>
  <si>
    <t>US - Muenchener Ruckversicherungs- Gesellschaft AG definitively acquired all the outstanding common stock of Midland Co, an specialty insurance company, for $65 in cash per share, or a total value of $1. 325 bil. The transaction had been subject to shareholder and regulatory approvals and customary closing conditions.</t>
  </si>
  <si>
    <t>Radiation Therapy Services Inc</t>
  </si>
  <si>
    <t>Own,op radiation treatment ctr</t>
  </si>
  <si>
    <t>Vestar Capital Partners Inc</t>
  </si>
  <si>
    <t>US - Vestar Capital Partners acquired all the outstanding common stock of Radiation Therapy Services Inc (RT), an owner and operator of radiation treatment centers, for $32.5 in cash per share, or a total value of $799.635 mil, in a leveraged buyout transaction. The transaction was approved by RT Board of Directors of RT and shareholders.</t>
  </si>
  <si>
    <t>Saks Inc</t>
  </si>
  <si>
    <t>Iceland</t>
  </si>
  <si>
    <t>US - An investor group, comprised of Baugur Group hf and landmark Gulf Group, planned to acquire all the outstanding common stock of Saks Inc, an owner and operator of department stores.</t>
  </si>
  <si>
    <t>Goodman Global Inc</t>
  </si>
  <si>
    <t>Mnfr,whl air conditioning prod</t>
  </si>
  <si>
    <t>Hellman &amp; Friedman LLC</t>
  </si>
  <si>
    <t>US - Hellman &amp; Friedman LLC acquired all the outstanding common stock of Goodman Global Inc, a manufacturer and wholesaler of heating, ventilation, air conditioning, and related products, for $25.6 in cash per share, or a total value of $1.852 bil, in a leveraged buyout transaction. The transaction had been subject to customary closing conditions and regulatory approvals.</t>
  </si>
  <si>
    <t>Longfoot Communications Corp</t>
  </si>
  <si>
    <t>US - An investor group, led by Dr. Phillip Frost acquired a 51% interest, or 2.231 mil common shares, in Longfoot Communications Corp, an owner and operator of radio and low power television stations, for $.05 mil. The transaction had been subject to shareholders approvals.</t>
  </si>
  <si>
    <t>Waste Industries USA Inc</t>
  </si>
  <si>
    <t>US - A management-led investor group (IG), comprised of Waste Industries USA Inc's (WI) Chairman Lonnie C. Poole, CEO Jim W. Perry, Macquarie Infrastructure Partners, a unit of Macquarie Bank Ltd, and Goldman Sachs Group Inc, acquired the remaining 49% stake, which it did not already own, in WI, a provider of solid waste disposal services, for a sweetened $38 in cash per share, or a total value of $272.513 mil, in a leveraged buyout transaction. Originally, IG offered $36.75 in cash per share, or a total value of $263.511 mil. The transaction had been subject to customary closing conditions, WI shareholders and regulatory approvals.</t>
  </si>
  <si>
    <t>Total System Services Inc</t>
  </si>
  <si>
    <t>Pvd credit processing svcs</t>
  </si>
  <si>
    <t>US - Synovus Financial Corp (SF) completed the spinoff of its 80.6% interest, or 159. 180 mil common shares, in Total System Services Inc (TS) unit, a provider of credit card data processing services, to its shareholders, in a transaction valued at $4.457 bil. SF shareholders were to receive 0.49 TS share for every 1 SF share held. The shares were valued based on TS closing stock price of $28 on December 31, 2007, the first full trading day on which the shares were distributed.</t>
  </si>
  <si>
    <t>Visual Sciences Inc</t>
  </si>
  <si>
    <t>Dvlp outsourced e-bus software</t>
  </si>
  <si>
    <t>Omniture Inc</t>
  </si>
  <si>
    <t>Dvlp bus optimization software</t>
  </si>
  <si>
    <t>US - Omniture Inc (OI) acquired all the outstanding common stock of Visual Sciences Inc (VS), a developer of outsourced e- business software, in a stock swap transaction valued at $376.617 mil. OI offered $2. 39 in cash and .49 common share per VS share. Based on OI's closing stock price of $31.94 on October 24, the last full trading day prior to the announcement, each VS share was valued at $18.041. The transaction had been subject to customary closing conditions and regulatory and shareholder approvals. On completion, OI shareholders owned 86.3%, and VS shareholders the remaining 13. 7%, of the combined company.</t>
  </si>
  <si>
    <t>Puget Energy Inc</t>
  </si>
  <si>
    <t>Pvd elec,gas distn svcs</t>
  </si>
  <si>
    <t>Padua Holdings LLC</t>
  </si>
  <si>
    <t>US - Padua Holdings LLC (Padua), a new company formed by Macquarie Infrastructure Partners, Canada Pension Plan Investment Board, British Columbia Investment management Corp, Alberta Investment Management, Macquarie-FSS Infrastructure Trust and Macquarie Bank Ltd, acquired the remaining 90.35% interest, or 117.025 mil common shares, which it did not already own, in Puget Energy Inc (Puget), a Bellevue-based provider of electric and natural gas services, for USD 30 in cash per share, or a total value of USD 6.713 bil, including the assumption of USD 3.2 bil in liabilities. Concurrently, Padua acquired a 9.65% stake, or 12.5 mil new common shares, in Puget.</t>
  </si>
  <si>
    <t>BravoSolution SpA</t>
  </si>
  <si>
    <t>Develop supply mgmt software</t>
  </si>
  <si>
    <t>US - BravoSolution SpA, a unit of Italmobiliare SpA's 58.7%-owned Italcementi SpA subsidiary, through its BravoSolution USA Inc subsidiary, acquired all the outstanding common stock, of Verticalnet Inc (VI), a provider supply management solutions services, for $2.56 in cash per share, or a total value of $33.057 mil. The transaction had been subject to shareholder approval. On completion, VI was renamed BravoSolution US.</t>
  </si>
  <si>
    <t>US - Merrill Lynch &amp; Co Inc was rumored to be planning to acquire all the outstanding common stock of Wachovia Corp, Charlotte, North Carolina, a commercial and holding company. The Current status of this deal is unknown.</t>
  </si>
  <si>
    <t>Nycomed US Inc</t>
  </si>
  <si>
    <t>US - Nycomed US Inc, a unit of Nycomed International Management GmbH, merged with Bradley Pharmaceuticals Inc (BP), a manufacturer and wholesaler of pharmaceuticals, for $20 in cash per share, or a total value of $349.421 mil. The transaction was subjected to shareholders and regulatory approvals, and other customary closing conditions. Previously, an investor group, led by Mr. Daniel Glassman, President and CEO BP, planned to acquire the remaining 86.22% interest plus options, or 16. 484 mil common stock, which it did not already own, in BP.</t>
  </si>
  <si>
    <t>Commerce Group Inc</t>
  </si>
  <si>
    <t>Mapfre SA</t>
  </si>
  <si>
    <t>US - Corp MAPFRE Cia Internacional De Reaseguros SA, a 55.2% owned unit of of MAPFRE Mutualidad de Seguros A Prima Fija, acquired entire share capital of Commerce Group Inc, a Webster-based provider of personal and commercial property and casualty insurance services, for USD 36.7 in cash per share, or a total value of USD 2.317 bil. The transaction had been subject to regulatory approval.</t>
  </si>
  <si>
    <t>Cunningham Lindsey Group Inc</t>
  </si>
  <si>
    <t>Pvd ins adjusting svcs</t>
  </si>
  <si>
    <t>CANADA - Fairfax Financial Holdings Ltd (FF) acquired the remaining 5% stake, which it did not already own, in Cunningham Lindsey Group Inc (CL), a provider of insurance adjusting services, for 3.2 Canadian dollars ($3.331 US) in cash per share, or a total value of C$3.187 mil ($3.318 mil). Concurrently, Stone Point Capital LLC agreed to acquire a 51% interest in an undisclosed holding company that will own the operating business of CL, from FF.</t>
  </si>
  <si>
    <t>E-Z-EM Inc</t>
  </si>
  <si>
    <t>Mnfr med imaging prod</t>
  </si>
  <si>
    <t>Bracco Diagnostics Inc</t>
  </si>
  <si>
    <t>US - Bracco Diagnostics Inc, a unit of Bracco SpA, acquired all the outstanding common stock of E-Z-EM Inc (EI), a manufacturer of medical imaging products, for $21 in cash per share, or a total value of $230.508 mil. The transaction was subjected to customary closing conditions, EI shareholders' and regulatory approvals.</t>
  </si>
  <si>
    <t>Point Blank Solutions Inc</t>
  </si>
  <si>
    <t>Mnfr,whl bullet proof vests</t>
  </si>
  <si>
    <t>US - Steel Partners II LP, a unit of Steel Partners LP, withdrew its plan to acquire all the outstanding common stock of Point Blank Solutions Inc, a manufacturer and wholesaler of bullet proof vest, for $5.5 in cash per share, or total value of $283.148 mil, in a leveraged buyout transaction. The transaction was subject to customary closing conditions and regulatory approvals.</t>
  </si>
  <si>
    <t>US - Computer Sciences Corp acquired all the outstanding common stock of First Consulting Group Inc (FC), a provider of management consulting services, for $13 in cash per share, or a total value of $367.963 mil. The transaction had been subject to customary conditions and FC shareholders' approval.</t>
  </si>
  <si>
    <t>US - SunTrust Banks Inc, Atlanta, Georgia (SB) acquired all the outstanding common stock of GB&amp;T Bancshares Inc, Gainesville, Georgia (GB), in a stock swap transaction valued at $154. 744 mil. SB offered 0.156 common shares per GB share. Based on SB's closing stock price of $69.13 on November 1, the last full trading day prior to the announcement, each GB share was valued at $10.784. The transaction had been subject to GB shareholders and regulatory approvals.</t>
  </si>
  <si>
    <t>American Finl Realty Trust</t>
  </si>
  <si>
    <t>Gramercy Capital Corp</t>
  </si>
  <si>
    <t>US - Gramercy Capital Corp (GC) acquired all the outstanding common stock of American Financial Realty Trust (AF), a real estate investment trust, in a transaction valued at $1.094 bil. GC offered $5.5 in cash and 0.12096 common shares per AF share. Based on GC's closing stock price of $24.22 on November 2, the last full trading day prior to the announcement, each AF share was valued at $8.43. The transaction had been subject to customary closing conditions and shareholder approval.</t>
  </si>
  <si>
    <t>Contango Oil &amp; Gas Co</t>
  </si>
  <si>
    <t>US - In November 2007, Contango Oil &amp; Gas Co, an oil and gas exploration and production company, announced that it was seeking a buyer for the company.</t>
  </si>
  <si>
    <t>WebMD Health Corp</t>
  </si>
  <si>
    <t>Pvd health information svcs</t>
  </si>
  <si>
    <t>HLTH Corp</t>
  </si>
  <si>
    <t>Dvlp online health software</t>
  </si>
  <si>
    <t>US - HLTH Corp (HC) withdrew its plans to acquire the remaining 15.8% stake, or 9. 077 mil common shares, which it did not already own, in WebMD Health Corp (WH), a provider of online health information services, for $80. 599 mil. HC offered $6.89 in cash per share and 0.198 common shares for every common WH share. The shares were valued based on HC's closing stock price of $10.05 on February 20, the last full trading day prior to the announcement of terms. The transaction was subject to shareholder approval.</t>
  </si>
  <si>
    <t>Restoration Hardware Inc</t>
  </si>
  <si>
    <t>Own,op home furnishings stores</t>
  </si>
  <si>
    <t>Catterton Partners Corp</t>
  </si>
  <si>
    <t>US - Catterton Partners (CP) completed its tender offer to acquire all the outstanding common stock of Restoration Hardware Inc (RH), an owner and operator of home furnishings stores, for an amended $4.5 in cash per share, or a total value of $176.064 mil, in a leveraged buyout transaction. Originally, CP offered $6.7 in cash per share, or a total value of $266.765 mil. The transaction was approved by RH shareholders and regulatory authorities, and other customary closing conditions. Subsequently, Sears Holdings Corp withdrew its plans to launch a challenging tender offer to acquire the remaining 86.3% interest, which it did not already own, in RH.</t>
  </si>
  <si>
    <t>Resurgence Health Group Inc</t>
  </si>
  <si>
    <t>US - Resurgence Health Group Inc withdraw its unsolicited plans to acquire the outstanding common stock of SunLink Health Systems Inc, an owner and operator of hospitals, for $7.5 in cash per share, or a total value of $58.621 mil. The transaction was subject to customary closing conditions.</t>
  </si>
  <si>
    <t>US - FNB Corp, Hermitage, Pennsylvania (FC) acquired all the outstanding common stock of Omega Financial Corp, State College, Pennsylvania (OF), a commercial bank holding company, in a stock swap transaction valued at $393.192 mil. FC offered 2. 022 common shares per OF share. Based on FC's closing stock price of $15.4 on November 8, the last full trading day prior to the announcement, each OF share was valued at $31.139. The transaction was subject to shareholders and regulatory approvals, and other customary closing conditions.</t>
  </si>
  <si>
    <t>Venture LLC</t>
  </si>
  <si>
    <t>US - Venture LLC, a newly- formed management-led investor group, led by Trans World Entertainment Corp's (TW) CEO Mr. Robert Higgins and Riley Investment Management LLC, withdrew its Letter of Intent {LoI} to acquire all the outstanding common stock of TW, an owner and operator of media and entertainment retail stores, for $5 in cash per share, or a total value of $155.405 mil, in a leveraged buyout transaction. The transaction was subject to customary closing conditions. Subsequently, Sherwood Investments Overseas Ltd planned to launch a challenging offer to acquire the remaining 95.05% interest, which it did not already own, in TW.</t>
  </si>
  <si>
    <t>Cagles Inc</t>
  </si>
  <si>
    <t>Produce,whl chicken prod</t>
  </si>
  <si>
    <t>US - An investor group, comprised of James Douglas Cagle, President and CEO of Cagle's Inc (CI), his two sons, both VP of CI, and a limited liability company controlled by the Cagle family, withdrew its plan to acquire the remaining 36% stake, which they did not already own, in CI, a producer and wholesaler of fresh and frozen chicken products, for $9 in cash per share, or a total value of $15.112 mil, in a leveraged buyout transaction.</t>
  </si>
  <si>
    <t>Regeneration Technologies Inc</t>
  </si>
  <si>
    <t>Mnfr human donor tissue</t>
  </si>
  <si>
    <t>US - Regeneration Technologies Inc (RT) merged with Tutogen Medical Inc (TM), a manufacturer and wholesaler of sterile biological implant products made from human (allograft) and animal (xenograft) tissue, in a stock swap transaction valued at $282.29 mil. RT offered 1.22 common shares per TM sharew. Based on RT's closing stock price of $10.54 on November 12, the last full trading day prior to the announcement, each TM share was valued at $12.86. The transaction had been subject to shareholder and regulatory approval, and customary closing conditions. On completion, the merged entity was to be named RTI Biologics Inc.</t>
  </si>
  <si>
    <t>US - In November 2007, Biogen Idec Inc, a biotechnology company, announced that it was seeking a buyer for the company.</t>
  </si>
  <si>
    <t>Oritani Financial Corp</t>
  </si>
  <si>
    <t>US - Oritani Financial Corp (OF), Washington Township, New Jersey, withdrew its agreement to acquire all the outstanding common stock of Greater Community Bancorp (GC) , Totowa, New Jersey, a bank holding company, in a stock swap transaction valued at $187.263 mil. OF offered $21. 4 per GC share, subject to proration whereby 60% of the total consideration was to be in common stock and 40% in cash. The transaction was subject to customary closing conditions, shareholders and regulatory.</t>
  </si>
  <si>
    <t>Targa Resources Partners LP</t>
  </si>
  <si>
    <t>Pvd midstream natural gas svcs</t>
  </si>
  <si>
    <t>US - Targa Resources Partners LP planned to acquire all the outstanding common stock of MarkWest Energy Partners LP, a natural gas exploration and production company.</t>
  </si>
  <si>
    <t>Atlantic Coast Ent Hldg Inc</t>
  </si>
  <si>
    <t>ACE Hi Merger Corp</t>
  </si>
  <si>
    <t>US - ACE Hi Merger Corp, a unit of Icahn Enterprises LP, acquired the remaining 5.8% stake, which it did not already own, in Atlantic Coast Entertainment Holdings Inc, an investment holding company, for $21.19 in cash per share, or a total value of $12.25 mil.</t>
  </si>
  <si>
    <t>Coley Pharmaceutical Group Inc</t>
  </si>
  <si>
    <t>US - Pfizer Inc acquired all the outstanding common stock of Coley Pharmaceutical Group Inc (CP), a manufacturer of pharmaceutical products, for $8 in cash per share, or a total value of $226.983 mil. The transaction was subject to customary closing conditions. The offer was conditioned upon at least a majority of CP shares being tendered.</t>
  </si>
  <si>
    <t>US - AT&amp;T Inc was rumored to be planning to acquire all the outstanding common stock of EchoStar Communications Corp, a provider of pay-TV services. The Current status of this deal is unknown.</t>
  </si>
  <si>
    <t>Natrol Inc</t>
  </si>
  <si>
    <t>Mnfr dietary supplements</t>
  </si>
  <si>
    <t>Plethico Pharmaceuticals Ltd</t>
  </si>
  <si>
    <t>Mnfr pharm,healthcare prod</t>
  </si>
  <si>
    <t>US - Plethico Pharmaceuticals Ltd through its wholly-owned subsidiary, completed its tender offer to acquire all the outstanding common stock of Natrol Inc (NI), a manufacturer of dietary supplements, for $4.4 in cash per share, or a total value of $62.571 mil. The offer was conditioned upon at least a majority or 90% of NI's shares being tendered on a fully diluted basis. The transaction had been subject to customary closing conditions.</t>
  </si>
  <si>
    <t>Pharmion Corp</t>
  </si>
  <si>
    <t>Celgene Corp</t>
  </si>
  <si>
    <t>Manufacture,wholesale biopharmaceutical products</t>
  </si>
  <si>
    <t>US - Celgene Corp (CC) acquired all the outstanding common stock of Pharmion Corp (PC), a manufacturer of pharmaceutical products, in a stock swap transaction valued at $3.215 bil. CC offered a sweetened $25 in cash and 0. 8367 common shares per PC share. Based on CC's closing stock of $64.9 on November 16, the last full trading day prior to the announcement, each PC share was valued at $79.302. The transaction had been subject to board and regulatory approvals.</t>
  </si>
  <si>
    <t>Asset Capital Group Inc</t>
  </si>
  <si>
    <t>Highland Holdings Intl Inc</t>
  </si>
  <si>
    <t>Mineral mining</t>
  </si>
  <si>
    <t>US - Highland Holdings International Inc acquired an 80% interest in Asset Capital Group Inc, an investment firm.</t>
  </si>
  <si>
    <t>Quanex Corp</t>
  </si>
  <si>
    <t>Mnfr engineered steel prod</t>
  </si>
  <si>
    <t>Gerdau SA</t>
  </si>
  <si>
    <t>Production and commercialization of steel products</t>
  </si>
  <si>
    <t>US - Gerdau SA acquired all the outstanding common stock of Quanex Corp, a manufacturer of engineered steel products, for $39.2 in cash per share, or a total value of $1.749 bil, including the assumption of an undisclosed amount in liabilities. The transaction had been subject to customary closing conditions, regulatory and shareholder approvals, and the completion of the spin off of Quanex Building Products (QB). Concurrently, QC planned to spin off its QB unit to its shareholders.</t>
  </si>
  <si>
    <t>Rentech Inc</t>
  </si>
  <si>
    <t>Mnfr,whl fuels,fertilizers</t>
  </si>
  <si>
    <t>Sherwood Invest Overseas Ltd</t>
  </si>
  <si>
    <t>US - Sherwood Investments Overseas Ltd (SI), withdrew its plans to launch an unsolicited tender offer to acquire the remaining 97.14% interest, which it did not already own, in Rentech Inc, a manufacturer of fuels and chemicals products, for an amended $2.28 per share, or a total value of $361.586 mil. The transaction was subject to due diligence completion. Originally, SI offered $2.7 per share, or a total value of $428.194 mil.</t>
  </si>
  <si>
    <t>Sears Holdings Corp</t>
  </si>
  <si>
    <t>Own,operate retail dept stores</t>
  </si>
  <si>
    <t>US - Sears Holdings Corp (SH) terminated its plans to launch a challenging tender offer to acquire the remaining 86.3% interest plus options, or 37.524 mil common shares, which it did not already own, in Restoration Hardware Inc (RH), an owner and operator of home furnishings stores, for a sweetened $6.75 in cash per share, or a total value of $233.079 mil. Originally, SH offered $4 in cash per share, or a total value of $134.084 mil. Previously, Catterton Partners acquired all the outstanding common stock of RH.</t>
  </si>
  <si>
    <t>Genlyte Group Inc</t>
  </si>
  <si>
    <t>Mnfr,whl lighting fixtures</t>
  </si>
  <si>
    <t>Philips Holding USA Inc</t>
  </si>
  <si>
    <t>Mnfr,whl ent prod</t>
  </si>
  <si>
    <t>US - Philips Holding US Inc, a unit of Koninklijke Philips Electronics NV, completed its tender offer to acquire all the outstanding common stock of Genlyte Group Inc (GG), a manufacturer and wholesaler of lighting fixtures and controls, via a tender offer for $95.5 in cash per share, or a total value of $2.81 bil. The transaction was subject to customary closing conditions and regulatory approval.</t>
  </si>
  <si>
    <t>Harvard Bioscience Inc</t>
  </si>
  <si>
    <t>Mnfr,whl specialized products</t>
  </si>
  <si>
    <t>Skystone Advisors LLC</t>
  </si>
  <si>
    <t>US - Skystone Advisors LLC withdrew its unsolicited tender offer to acquire the remaining 84.6% interest plus options, or 29.441 mil common shares, which it did not already own, in Harvard Bioscience Inc, a manufacturer and wholesaler of products used in drug discovery research at pharmaceutical and biotechnology companies, for $5 in cash per share, or a total value of $135.25 mil.</t>
  </si>
  <si>
    <t>Solutia Inc</t>
  </si>
  <si>
    <t>Mnfr chem-based materials</t>
  </si>
  <si>
    <t>US - Solutia Inc (SI), a manufacturer of chemicals, completed its debt restructuring with creditors (CR) in a transaction valued at USD 718.461 mil. CR received 44.988 mil new common shares. The shares were valued based on SI's closing stock price of USD 15. 97 on February 29, the first full trading day post- restructuring. Upon completion, CR held a 74.04% interest in the restructured SI.</t>
  </si>
  <si>
    <t>US - Sherwood Investments Overseas Ltd withdrew its plans to launch a challenging offer to acquire the remaining 95.05% interest, which it did not already own, in Trans World Entertainment Corp (TW), an owner and operator of media and entertainment retail stores, for USD 7 per share, or a total value of USD 206.793 mil. The transaction was subject to due diligence completion. Previously, Venture LLC withdrew its Letter of Intent {LoI} to acquire all the outstanding common stock of TW, for $5 in cash per share, or a total value of $155.045 mil.</t>
  </si>
  <si>
    <t>US BioEnergy Corp</t>
  </si>
  <si>
    <t>Verasun Energy Corp</t>
  </si>
  <si>
    <t>Mnfr ethanol,renewable fuels</t>
  </si>
  <si>
    <t>US - VeraSun Energy Corp (VS) acquired all the outstanding common stock of US BioEnergy Corp (BE), a manufacturer of ethanol, in a stock swap transaction valued at $686.22 mil. VS offered 0.81 shares per common share of BE. Based on VS's closing stock price of $10.64 on November 28, the last full trading day prior to the announcement, each BE share was valued at $8.618. The transaction had been subject to shareholders and regulatory approval.</t>
  </si>
  <si>
    <t>PeopleSupport Inc</t>
  </si>
  <si>
    <t>US - An investor group (IG), comprised of IPVG Corp and American Orient Capital Partners Group, withdrew its plans to launch an unsolicited tender offer to acquire all the outstanding common stock of PeopleSupport Inc, a provider of business process outsourcing, or BPO services, for a sweetened $17 in cash per share, or a total value of $397.935 mil. Originally, IG offered $15 in cash per share, or a total value of $352.557 mil.</t>
  </si>
  <si>
    <t>Provides digital entertainment and media services</t>
  </si>
  <si>
    <t>US - Vivendi SA (VS) raised its interest to 52% from 42. 86%, by acquiring a 9.14% stake, or 62.945 new common shares, in Activision Inc (AI) , a developer and wholesaler of interactive software, for USD 27.5 per share, or a total value of USD 1.731 bil, in a privately negotiated transaction. Concurrently, VS definitively agreed to raise its interest to 55.7% from 52%, by acquiring a 3.7% stake, in AI. On a separate transaction, AI acquired Vivendi Universal Games Inc and planned to launch a self- tender to repurchase up to 146.5 mil common shares, or 21.27% of its common stock outstanding.</t>
  </si>
  <si>
    <t>Cohesant Technologies Inc</t>
  </si>
  <si>
    <t>Mnfr water distn sys</t>
  </si>
  <si>
    <t>Graco Inc</t>
  </si>
  <si>
    <t>Mnfr fluid handling equipment</t>
  </si>
  <si>
    <t>US - Graco Inc merged with Cohesant Technologies Inc (CT) , a manufacturer of water distribution systems, for $9. 55 in cash per share, or a total value of $32.574 mil. The transaction was subjected to customary closing conditions and CT shareholder approval. The transaction included GlasCraft Inc.</t>
  </si>
  <si>
    <t>Community First Bancorp Inc,KY</t>
  </si>
  <si>
    <t>Hancock Bancorp Inc,KY</t>
  </si>
  <si>
    <t>US - Hancock Bancorp Inc, located in Hawesville, Kentucky, acquired all the outstanding common stock of Community First Bancorp Inc, located in Madisonville, Kentucky, for $10.71 in cash per share, or a total value of $3.6 mil. The transaction had been subject to shareholder and regulatory approval.</t>
  </si>
  <si>
    <t>UAP Holding Corp</t>
  </si>
  <si>
    <t>Mnfr,whl chem,seed,fertilizers</t>
  </si>
  <si>
    <t>US - Agrium Inc (AI) acquired all the outstanding common stock of UAP Holding Corp (UH), a manufacturer and wholesaler of crop protection chemicals, seeds and fertilizers, for $39 in cash per share, or a total value of $2.624 bil, including the assumption of $487 mil in liabilities. Earlier, AI completed its tender offer for UH by accepting 52.17 mil shares, or 99.46% of UH's common shares outstanding. The offer was condition upon at least a majority of UH's shares being tendered. The transaction was subject to regulatory approval.</t>
  </si>
  <si>
    <t>Macrovision Corp</t>
  </si>
  <si>
    <t>Dvlp digital rights software</t>
  </si>
  <si>
    <t>US - Macrovision Corp (MC) acquired all the outstanding common stock of Gemstar-TV Guide International Inc (GT), a provider of television guidance and consumer entertainment services, in a stock swap transaction valued at $2.873 bil. MC offered a choice of 0.2548 common shares per GT share or $6.35 in cash per share, subject to proration. Based on MCs closing stock price of $25.99 on December 6, the last full trading day prior to the announcement, each GT share was valued at $6.622. The transaction had been subject to customary closing conditions and regulatory approval.</t>
  </si>
  <si>
    <t>Adams Respiratory Therapeutics</t>
  </si>
  <si>
    <t>Reckitt Benckiser Group PLC</t>
  </si>
  <si>
    <t>Manufactures, wholesales health, hygiene, household prod</t>
  </si>
  <si>
    <t>US - Reckitt Benckiser PLC (RB) acquired all the outstanding common stock of Adams Respiratory Therapeutics Inc (AR), a manufacturer of pharmaceuticals intended for final consumption, for $60 in cash per share, or a total value of $2.267 bil. Earlier, RB completed its tender offer for AR by accepting 34.624 mil shares, or 83.81% of AR's common shares outstanding. The transaction was subject to regulatory approval.</t>
  </si>
  <si>
    <t>Claymont Steel Holdings Inc</t>
  </si>
  <si>
    <t>Mnfr,whl steel plate</t>
  </si>
  <si>
    <t>US - Evraz Group SA acquired all the outstanding common stock, of Claymont Steel Holdings Inc, a manufacturer and wholesaler of steel plate, from HIG Capital LLC (42.6%) and other shareholders, via a tender offer, for $23.5 in cash per share, or a total value of $413.511 mil. The transaction was subject to customary condition and regulatory approval.</t>
  </si>
  <si>
    <t>Jaguar Acquisition Corp</t>
  </si>
  <si>
    <t>US - Jaguar Acquisition Corp, a new company formed by Eisai Co Ltd's Eisai Corp of North America subsidiary, for the purpose of making an acquisition, completed its tender offer to acquire all the outstanding common stock of MGI Pharma Inc (MP), a manufacturer of pharmaceuticals, via a tender offer for $41 in cash per share, or a total value of $3. 557 bil, in a leveraged buyout transaction. The offer was conditioned upon at least a majority of MP's shares being tendered. The transaction was approved by MP's Board of Directors and was subject to customary closing conditions and regulatory approvals.</t>
  </si>
  <si>
    <t>American Bank Note Holographic</t>
  </si>
  <si>
    <t>Pvd sec holograms svcs</t>
  </si>
  <si>
    <t>US - JDS Uniphase Corp (JU) acquired all the outstanding common stock of American Bank Note Holographics Inc (AB), a provider of security holograms services, in a stock swap transaction valued at USD 154.773 mil. JU offered $1 in cash and 0.4479 common shares per AB share. Based on JU's closing stock price of $13.94 of December 10, the last full trading day prior to the announcement, each AB share was valued at USD 7.244. The transaction had been subject to regulatory and AB shareholders approvals.</t>
  </si>
  <si>
    <t>STMicroelectronics NV</t>
  </si>
  <si>
    <t>US - STMicroelectronics NV (ST) acquired all the outstanding common stock of Genesis Microchip Inc (GM), a manufacturer and wholesaler of integrated circuits that process digital video and graphic images, for $8.65 in cash per share, or a total value of $324.13 mil. Earlier, ST completed its tender offer for GM by accepting 34. 6 mil shares, or 92.34% of GM's common shares outstanding. The transaction had been subject to customary closing conditions and regulatory approval.</t>
  </si>
  <si>
    <t>Rocket Software Inc</t>
  </si>
  <si>
    <t>US - Rocket Software Inc acquired all the outstanding common stock of NetManage Inc (NM), a provider of information technology services, for $7.2 per share, or a total value of $68.983 mil.</t>
  </si>
  <si>
    <t>Nextest Systems Corp</t>
  </si>
  <si>
    <t>US - Teradyne Inc acquired all the outstanding common stock of Nextest Systems Corp (NS), a manufacturer of automatic test equipment, for $20 in cash per share, or a total value of $387.942 mil. The transaction, which had been subject to regulatory and other customary closing conditions, had been conditioned upon at least a majority of NS' common stock outstanding being tendered.</t>
  </si>
  <si>
    <t>AMIS Holdings Inc</t>
  </si>
  <si>
    <t>ON Semiconductor Corp</t>
  </si>
  <si>
    <t>US - ON Semiconductor Corp (OS), a unit of TPG Capital LP, acquired all the outstanding common stock of AMIS Holdings Inc (AH), a manufacturer of semiconductor products, in a stock swap transaction valued at $906. 394 mil. OS offered 1.15 common shares per AH share. Based on OS's closing stock price of $8.82 on December 12, the last full trading day prior to the announcement, each AH share was valued at $10.143. On completion, OS was to 74% and AH was to own 26% of the combined entity. The transaction had been subject to customary closing conditions, shareholders and regulatory approval.</t>
  </si>
  <si>
    <t>MoneyGram International Inc</t>
  </si>
  <si>
    <t>Pvd money transfer svcs</t>
  </si>
  <si>
    <t>Euronet Worldwide Inc</t>
  </si>
  <si>
    <t>Provide financial transaction services</t>
  </si>
  <si>
    <t>US - Euronet Worldwide Inc (EW) withdrew its plans to acquire all the outstanding common stock of MoneyGram International Inc (MI), a provider of money transfer services, in a stock swap transaction valued at $1.666 bil. EW offered 0.6179 common share per MI share. Based on EW's closing stock price of $32.57 on December 12, the last full trading day prior to announcement, each MI share was valued at $20.125.</t>
  </si>
  <si>
    <t>BOE Finl Svcs of Virginia Inc</t>
  </si>
  <si>
    <t>US - Community Bankers Acquisition Corp (CB) merged with BOE Financial Services of Virginia Inc (BF), a bank holding company, in a stock swap transaction valued at $51.409 mil. CB offered 5.728 common shares per BF share. Based on CB's closing stock price of $7.41 on December 13, the last full trading day prior to the announcement, each BF share was valued at $42.443. The transaction had been subject to customary closing conditions, shareholders and regulatory approvals.</t>
  </si>
  <si>
    <t>Carrier Access Corp</t>
  </si>
  <si>
    <t>Mnfr broadband access equip</t>
  </si>
  <si>
    <t>Turin Networks Inc</t>
  </si>
  <si>
    <t>Dvlp Ethernet solutions</t>
  </si>
  <si>
    <t>US - Turin Networks Inc acquired all the outstanding common stock of Carrier Access Corp, a manufacturer of broadband digital access equipment, for $2.6 in cash per share, or a total value of $90.222 mil. The transaction had been subject to customary closing conditions and shareholder approval.</t>
  </si>
  <si>
    <t>Grant PrideCo Inc</t>
  </si>
  <si>
    <t>Mnfr,whl oil drilling mach</t>
  </si>
  <si>
    <t>National Oilwell Varco Inc</t>
  </si>
  <si>
    <t>Mnfr,whl gas drilling equip</t>
  </si>
  <si>
    <t>US - National Oilwell Varco Inc (NO) acquired all the outstanding common stock of Grant Prideco Inc (GP), a manufacturer and wholesaler of oil field drilling tools including tool joints, drill collars, heavyweight drill pipe, drill stem accessories, in a stock swap transaction valued at $7.513 bil. NO offered $23.2 in cash and 0. 4498 share per GP share. Based on NO's closing stock price of $77.37 on December 14, the last full trading day prior to the announcement, each CB share was valued at $58. On completion, NO and GP was to own 86% and 14% in the combined company respectively. The transaction had been subject to GP shareholder and regulatory approval.</t>
  </si>
  <si>
    <t>IBT Bancorp Inc,Pennsylvania</t>
  </si>
  <si>
    <t>US - S&amp;T Bancorp Inc (SB), Indiana, Pennsylvania, acquired all the outstanding common stock of IBT Bancorp Inc (IB), Irwin, Pennsylvania, a bank holding company, in a stock swap transaction valued at 184.604. SB offered a choice of $31 in cash or between 0.93 and 0.97 common share, per IB share, subject to proration whereby 55% of the aggregate consideration was to be paid in common stock and the remaining 45% in cash. The transaction had been subject to customary closing conditions and was approved by IB shareholders and regulatory authorities.</t>
  </si>
  <si>
    <t>Trane Inc</t>
  </si>
  <si>
    <t>Ingersoll-Rand Co Ltd</t>
  </si>
  <si>
    <t>Mnfr industrial mach,equip</t>
  </si>
  <si>
    <t>US - Ingersoll-Rand Co Ltd (IR) acquired all the outstanding common stock of Trane Inc (TI), a manufacturer of air- conditioning units, for $9. 751 bil, including the assumption of $150 mil in liabilities. IR offered $36.5 in cash per share and 0.23 common share for every common TI share. Based on IR's closing stock price of $49.18 on December 14, each TI share was valued at $11.311. The transaction had been subject to shareholder and regulatory approvals and customary closing conditions.</t>
  </si>
  <si>
    <t>Visicu Inc</t>
  </si>
  <si>
    <t>US - Koninklijke Philips Electronics NV acquired all the outstanding common stock of Visicu Inc (VI), a developer of software, for $12 in cash per share, or a total value of $431.365 mil. The transaction was subjected to customary closing conditions, VI shareholders and regulatory approval.</t>
  </si>
  <si>
    <t>US - Intuit Inc acquired all the outstanding common stock of Electronic Clearing House Inc (EC), a provider of credit card processing services, for $17 in cash per share, or a total value of $127.923 mil. The transaction was subjected to the approval of EC shareholders and regulatory authorities.</t>
  </si>
  <si>
    <t>US - Yamana Gold Inc (YG) acquired the remaining 10% stake plus options, or 10.942 mil common shares, which it did not already own, in Meridian Gold Inc (MG), a gold mining company, in a stock swap transaction valued at $357.584 mil. YG offered $6.999 in cash and 2.235 common shares per MG share. Based on YG's closing stock price of $11.939 on December 19, each MG share was valued at $33.683 mil. The transaction was effected via a scheme of arrangement.</t>
  </si>
  <si>
    <t>MTC Technologies Inc</t>
  </si>
  <si>
    <t>Pvd sys engineering svcs</t>
  </si>
  <si>
    <t>US - BAE Systems Inc, a unit of BAE Systems PLC, acquired all the outstanding common stock of MTC Technologies Inc, a provider of systems engineering, information technology, intelligence operations and program management services, for $24 in cash per share, or a total value of $364.088 mil. The transaction had been subject to customary closing conditions, regulatory and shareholder approvals.</t>
  </si>
  <si>
    <t>US - Koninklijke Philips Electronics NV (KP) acquired all the outstanding common stock of Respironics Inc (RI), a manufacturer and wholesaler of medical equipment used for the treatment of patients suffering from sleeping and respiratory disorders, for $66 in cash per share, or a total value of $5.349 bil. Earlier, KP completed its tender offer for RI by accepting 70 mil shares, or 86.37% of RI's common shares outstanding. The offer was conditioned upon at least a majority of RI's shares being tendered. The transaction had been subject to regulatory approval.</t>
  </si>
  <si>
    <t>US - Movie Gallery Inc (Movie Gallery), a provider of video rental services, completed its debt restructuring with creditors (CR), in a transaction valued at USD 161. 293 mil in returned equity. Upon completion, CR's held a 100% interest in the restructured Movie Gallery.</t>
  </si>
  <si>
    <t>Document Sciences Corp</t>
  </si>
  <si>
    <t>US - EMC Corp acquired all the outstanding common stock of Document Sciences Corp (DS) , a developer of content software, for $14.75 in cash per share, or a total value of $83.887 mil. The transaction had been subject to DS shareholders and regulatory approvals, and other customary closing conditions.</t>
  </si>
  <si>
    <t>Transmeridian Exploration Inc</t>
  </si>
  <si>
    <t>Trans Meridian Intl Inc</t>
  </si>
  <si>
    <t>US - Trans Meridian International Inc, a new company formed by Transmeridian Exploration Inc's (TE) CEO Lorrie T. Oliver, withdrew its definitive agreement to acquire all the outstanding common shares, of TE, an oil and gas exploration and production company, for $3 in cash per share, or a total value of $351.932 mil, via a tender offer, in a leveraged buyout transaction. The transaction was subject to shareholder approval. Originally, in November 2007, TE announced that it was seeking a buyer for the company.</t>
  </si>
  <si>
    <t>North Pointe Holdings Corp</t>
  </si>
  <si>
    <t>QBE Holdings Inc</t>
  </si>
  <si>
    <t>US - QBE Holdings Inc, a unit of QBE Insurance Group Ltd, acquired all the outstanding common stock of North Pointe Holdings Corp (NP), a provider of property and casualty insurance services, for $16 in cash per share, or a total value of $144.741 mil. The transaction had been subject to customary closing conditions, regulatory and NP's shareholders approvals.</t>
  </si>
  <si>
    <t>Burke-Parsons-Bowlby Corp</t>
  </si>
  <si>
    <t>Mnfr pressure treated wood</t>
  </si>
  <si>
    <t>Stella-Jones Inc</t>
  </si>
  <si>
    <t>Mnfr,whl treated wood,lumber</t>
  </si>
  <si>
    <t>US - Stella-Jones Inc (SJ) acquired all the outstanding common stock of Burke-Parsons- Bowlby Corp (BP), a manufacturer of pressure treated wood products, for a sweetened $47.78 in cash per share, or a total value of $76.132 mil, including the assumption of an estimated $34 mil and up to $3 mil in profit related payments. Originally SJ offered $47.78 in cash per share, or a total value of $33 mil. The transaction had been subject to the approval BP shareholders and customary conditions.</t>
  </si>
  <si>
    <t>US - An investor group led by JANA Partners LLC, and including Sandell Asset Management Corp, Spark Capital, and Investor Paul Gardi, discontinued rumors that it was planning to acquire the remaining interest, which they do not already own, in CNET Networks Inc, a provider of multi- media services.</t>
  </si>
  <si>
    <t>MFB Corp,Mishawaka,Indiana</t>
  </si>
  <si>
    <t>US - MutualFirst Financial Inc, Muncie, Indiana (MF) merged with MFB Corp, Mishawaka, Indiana (MC), a savings bank holding company, in a stock swap transaction valued at $57.168 mil. MF offered a choice of 2.59 common shares, $41 in cash, or a combination of both, per MC share, subject to proration whereby no more than 80% of the total value should be in common stock. The transaction had been subject to shareholders and regulatory approvals and other customary closing conditions.</t>
  </si>
  <si>
    <t>Shore Financial Corp,VA</t>
  </si>
  <si>
    <t>Hampton Roads Bankshares Inc</t>
  </si>
  <si>
    <t>US - Hampton Roads Bankshares Inc, Norfolk, Virginia (HR) acquired all the outstanding common stock of Shore Financial Corp, Onley, Virginia (SF), a bank holding company, in a stock swap transaction valued at $56.481 mil. HR offered a choice of $22 in cash, 1.8 common shares, or a combination of both, per SF share, subject to proration, whereby no more than 45% of the total consideration was to be in cash. The transaction had been subject to regulatory and shareholders approvals.</t>
  </si>
  <si>
    <t>AmCOMP Inc</t>
  </si>
  <si>
    <t>Employers Holdings Inc</t>
  </si>
  <si>
    <t>Pvd compensation ins svcs</t>
  </si>
  <si>
    <t>US - Employers Holdings Inc (EH) acquired all the outstanding common stock of AmCOMP Inc, an insurance holding company, for an amended $12.15 in cash per share, or a total value of $190.579 mil. The transaction was subjected to regulatory approvals and customary closing conditions. Originally, EH offered $12.5 in cash per share, or a total value of $195.969 mil.</t>
  </si>
  <si>
    <t>Monster Worldwide Inc</t>
  </si>
  <si>
    <t>US - News Corp was rumored to be planning to acquire all the outstanding common stock of Monster Worldwide Inc, a provider of online advertising and recruitment services. The Current status of this deal is unknown.</t>
  </si>
  <si>
    <t>Countrywide Financial Corp</t>
  </si>
  <si>
    <t>Mtg bk</t>
  </si>
  <si>
    <t>US - Bank of America Corp (BA) acquired all the outstanding common stock of Countrywide Financial Corp (CF), a mortgage bank, in a stock swap transaction valued at $4.144 bil. BA offered 0. 1822 common share per CF share. Based on BA's closing stock price of $39.3 on January 10, the last full trading day prior to the announcement, each CF share was valued at $7.16. The transaction was subjected to CF shareholders, customary and regulatory approval. Originally, BA was rumored to be planning to acquire all the outstanding stock of CF.</t>
  </si>
  <si>
    <t>Mnfr,whl rubber-tracked loader</t>
  </si>
  <si>
    <t>US - Terex Corp completed its tender offer to acquire all the outstanding common stock of ASV Inc (AI), a manufacturer and wholesaler of rubber-tracked loaders and traction products, from Caterpillar Inc, for $18 in cash per share, or a total value of $493.686 mil. The offer was conditioned upon at least majority of AI's shares being tendered. The transaction had been subject to customary closing conditions and regulatory approvals.</t>
  </si>
  <si>
    <t>Bright Horizons Family</t>
  </si>
  <si>
    <t>US - Bain Capital Partners LLC acquired all the outstanding common stock of Bright Horizons Family Solutions Inc, a provider of child care and educational services, for $48.25 in cash per share, or a total value of $1.323 bil, in a leveraged buyout transaction. The transaction had been subject to shareholders and regulatory approvals, and other customary closing conditions.</t>
  </si>
  <si>
    <t>AngloGold Ashanti Ltd</t>
  </si>
  <si>
    <t>US - AngloGold Ashanti Ltd (AA), a unit of Anglo American PLC, merged with Golden Cycle Gold Corp (GC), a gold and copper mining company, in a stock swap transaction valued at $131. 993 mil. AA offered an amended 0.3123 common shares per GC share. Based on GC's closing stock price of $43. 263 on May 28, the last full trading day prior to the amendment of terms, each GC share was valued at 13.511. The transaction was subject to regulatory approval. Originally, AA offered .29 common shares per GC share, or a total value of $151.907 mil.</t>
  </si>
  <si>
    <t>Axion Power International Inc</t>
  </si>
  <si>
    <t>Mnfr,whl energy storage prod</t>
  </si>
  <si>
    <t>Quercus Trust</t>
  </si>
  <si>
    <t>Trusts,invest co</t>
  </si>
  <si>
    <t>US - Quercus Trust acquired a 51.96% interest, or 8.571 mil common shares in Axion Power International Inc, a manufacturer and wholesaler of energy storage products, for $18 mil.</t>
  </si>
  <si>
    <t>Americo Life Inc</t>
  </si>
  <si>
    <t>Life insr holding co</t>
  </si>
  <si>
    <t>US - Americo Life Inc, a unit of Financial Holding Co, acquired all the outstanding common stock of Financial Industries Corp, an insurance holding company, for $7.25 in cash per share, or a total value of $74.41 mil. The transaction had been subject to customary closing conditions and regulatory approvals.</t>
  </si>
  <si>
    <t>Lifecore Biomedical Inc</t>
  </si>
  <si>
    <t>Mnfr dental implants prod</t>
  </si>
  <si>
    <t>US - EM Warburg Pincus &amp; Co Inc (EW) acquired all the outstanding common stock of Lifecore Biomedical Inc (LB), a manufacturer of dental implant systems, tissue regeneration products, and medical grade hyaluronan, via a tender offer for $17 in cash per share, or a total value of $237.665 mil. Earlier, EW completed its tender offer to acquire LB by accepting 12.77 mil common shares or about 94.71% of LB's common stock outstanding. The offer had been conditioned upon at least a majority of LB's shares being tendered. The transaction had been subject to regulatory approval and customary closing conditions.</t>
  </si>
  <si>
    <t>Thoma Cressey Bravo Inc</t>
  </si>
  <si>
    <t>US - Thoma Cressey Bravo acquired all the outstanding common stock of Manatron Inc (MI), a developer and marketer of web-based and client-server application property software products, for $12 in cash per share, or a total value of $65.83 mil, in a leveraged buyout transaction. The transaction was subject to customary closing conditions, MI shareholders and regulatory approvals.</t>
  </si>
  <si>
    <t>Pvd mortgage svcs</t>
  </si>
  <si>
    <t>US - A management-led investor group, comprised of Ocwen Financial Corp (OF) Chairman and CEO, Mr. William Erbey, Oaktree Capital Management LP and Angelo Gordon &amp; Co, terminated its plan to acquire all the outstanding common stock of OF, a provider of outsourcing services, for $7 in cash per share, or a total value of $438.448 mil, in a leveraged buyout transaction.</t>
  </si>
  <si>
    <t>VistaCare Inc</t>
  </si>
  <si>
    <t>Pvd hospice care svcs</t>
  </si>
  <si>
    <t>Odyssey HealthCare Inc</t>
  </si>
  <si>
    <t>US - Odyssey HealthCare Inc (OH) acquired all the outstanding common stock of VistaCare Inc (VI), a provider of hospice care services, for $8.6 per share, or a total value of $145.062 mil. Earlier, OH completed its tender offer for VI by accepting 14.212 mil shares, or 84.26% of VI's common shares outstanding. The transaction had been subject to customary closing conditions.</t>
  </si>
  <si>
    <t>Universal Electronics Inc</t>
  </si>
  <si>
    <t>Mnfr,whl wireless control prod</t>
  </si>
  <si>
    <t>US - Universal Electronics Inc withdrew its plans to launch an unsolicited tender offer to acquire all the outstanding common stock of Zilog Inc (ZI), a manufacturer of semiconductors, for $4.5 in cash per share, or a total value of $76.68 mil. The transaction was subject to customary closing conditions.</t>
  </si>
  <si>
    <t>US - International Business Machines Corp {IBM Corp} was rumored to be planning to acquire all the outstanding common stock of Advanced Micro Devices Inc, a manufacturer of microprocessors. The Current status of this deal is unknown.</t>
  </si>
  <si>
    <t>US - An investor group, comprised of Cadim Inc, a unit of Canadian state-owned Caisse de Depot et Placement du Quebec, and Williams Realty Advisors LLC, withdrew its plans to launch an unsolicited offer to acquire all the outstanding common stock of Post Properties Inc, a real estate investment trust, for an estimated $47 in cash per share, or a total value of $ 2.087 bil. The transaction was subject to due diligence.</t>
  </si>
  <si>
    <t>Bronco Drilling Co Inc</t>
  </si>
  <si>
    <t>Provide land drilling services</t>
  </si>
  <si>
    <t>Allis-Chalmers Energy Inc</t>
  </si>
  <si>
    <t>Pvd natural gas drilling svcs</t>
  </si>
  <si>
    <t>US - Allis-Chalmers Energy Inc (AC) withdrew its definitive agreement to acquire all the outstanding common stock of Bronco Drilling Co Inc (BD), a provider of oil and gas land drilling services, for a sweetened $489.254 mil. The consideration was to consist of $200 mil in cash and the issuance of 16.847 mil common shares, valued at $289.254 mil. The shares were valued based on ACs closing stock price of $17.17, on May 30, the last full trading day prior to the amendment of terms. The transaction was subject to shareholders and regulatory approvals, and other customary closing conditions. Originally, AC offered $280 mil in cash and an estimated $157.8 mil in common shares.</t>
  </si>
  <si>
    <t>Fertitta Holdings Inc</t>
  </si>
  <si>
    <t>US - Fertitta Holdings Inc (FH), a newly formed managemebt-led investor group, led by CEO Mr. Tilman J. Fertitta, terminated its agreement to acquire all the outstanding common stock of Landry's Restaurant Inc, an owner and operator of seafood restaurants, for a twice amended $13.50 in cash per share, or a total value of up to $217.978 mil. Previously, FH offered $21 in cash per share. Originally, FH offered $23.5 in cash per share. The transaction was subject to customary closing conditions and regulatory approval.</t>
  </si>
  <si>
    <t>Matria Healthcare Inc</t>
  </si>
  <si>
    <t>Pvd health enhancement svc</t>
  </si>
  <si>
    <t>US - Inverness Medical Innovations Inc (IM) acquired all the outstanding common stock of Matria Healthcare Inc (MH), a provider of health enhancement services, for $39 in cash and preferred shares, or a total value of $1.157 bil, including the assumption of an estimated $280 mil in liabilities. The transaction had been subject to customary closing conditions, MH shareholders and regulatory approvals.</t>
  </si>
  <si>
    <t>NYMEX Holdings Inc</t>
  </si>
  <si>
    <t>Pvd trading svcs</t>
  </si>
  <si>
    <t>CME Group Inc</t>
  </si>
  <si>
    <t>Pvd derivative exchange svcs</t>
  </si>
  <si>
    <t>US - CME Group Inc (CG) acquired all the outstanding common stock of NYMEX Holdings Inc (NH), a provider of physical commodities futures and options exchange offering futures and options trading services, in an amended stock swap transaction valued at $7.555 bil. CG offered a choice of 0. 2378 common share, or $81.16 in cash, or a combination of both, per NH share. Originally, CG offered $36 in cash and 0.1323 common shares per NH share. Based on CG's closing stock price of $342. 11 on August 21, the last full trading day prior to the announcement, each NH share was valued at $81.35. The transaction had been subject to approvals of the board of directors. Originally, in August 2007, NH disclosed that it was seeking a buyer for the company. New York Stock Exchange, CG and Deutsche Borse AG were named potential bidders.</t>
  </si>
  <si>
    <t>US - Neuberger Berman Realty Income Fund Inc merged with Neuberger Berman Real Estate Securities Income Fund Inc, a closed-end investment fund.</t>
  </si>
  <si>
    <t>CNX Gas Corp</t>
  </si>
  <si>
    <t>CONSOL Energy Inc</t>
  </si>
  <si>
    <t>US - CONSOL Energy Inc (CE) withdrew its plans to launch an unsolicited tender offer to acquire the remaining 18. 3% stake plus options, or 29. 114 mil common shares, which it did not already own, in CNX Gas Corp (CG), an oil and gas exploration and production company, in a stock swap transaction valued at $950.099 mil. CE offered 0. 442 common share per CG share. Based on CE's closing stock price of $76.16 on January 28, the last full trading day prior to the announcement, each CG share was valued at $33.663. The transaction, which was conditioned upon at least a majority of CG's common stock outstanding sought being tendered, was subject to customary closing conditions.</t>
  </si>
  <si>
    <t>Quadra Realty Trust Inc</t>
  </si>
  <si>
    <t>Hypo Real Estate Capital Corp</t>
  </si>
  <si>
    <t>US - Hypo Real Estate Capital Corp, a unit of Hypo Real Estate Holding AG's Hypo Real Estate Bank International AG subsidiary, acquired the remaining 65.3% interest or 16.798 mil common shares, which it did not already own, in Quadra Realty Trust Inc (QR), a real estate investment trust, via a tender offer for $10.651 in cash per share, or a total value of $178.912 mil. The offer was conditioned upon at least 55% of QR's shares being tendered. The transaction was subject to customary closing conditions and regulatory approvals.</t>
  </si>
  <si>
    <t>NuCO2 Inc</t>
  </si>
  <si>
    <t>Prod,whl inorganic products</t>
  </si>
  <si>
    <t>US - Aurora Capital Group acquired all the outstanding common stock of NuCO2 Inc (NI) , a manufacturer and wholesaler of industrial organics, for $30 in cash per share, or a total value of $444.8 mil, in a leveraged buyout transaction. The transaction had been subject to customary closing conditions, and had received NI shareholders' and regulatory approvals.</t>
  </si>
  <si>
    <t>Audible Inc</t>
  </si>
  <si>
    <t>Pvd online audio ret svcs</t>
  </si>
  <si>
    <t>US - Amazon.com Inc (AM) acquired an 88.08% interest in Audible Inc (AI), a provider of online audio retail services, for $11.5 in cash per share, or a total value of $247.25 mil. Earlier, AM completed its tender for AI, by accepting 20.5 mil shares, or about 78.81% of AI's common shares outstanding. The transaction had been subject to customary closing conditions and regulatory approvals.</t>
  </si>
  <si>
    <t>US - Koosharem Corp, doing business as Select Family of Staffing Cos, planned to launch an unsolicited tender offer to acquire the remaining 94.7% interest, or 23.585 mil common shares, which it did not already own, in Analysts International Corp, a provider of information technology services, for $1.75 in cash per share, or a total value of $41.274 mil.</t>
  </si>
  <si>
    <t>CSK Auto Inc</t>
  </si>
  <si>
    <t>Whl,ret auto,home supply prod</t>
  </si>
  <si>
    <t>US - O'Reilly Automotive Inc (OR) completed its tender offer to acquire all the outstanding common stock of CSK Auto Inc (CA), a wholesaler and retailer of automotive and home supply products, for a sweetened $12 per share, or a total value of $1.029 bil, including the assumption of an estimated $500 mil in liabilities, subject to a collar agreement. The consideration consisted of $1 in cash and $11 in common stock. Originally, OR offered $8 in cash per share, or a total value of $843.286 mil, including the assumption of an estimated $490 mil in liabilities. The transaction was subject to satisfactory completion of due diligence, OR and CA shareholders' approval and customary closing conditions.</t>
  </si>
  <si>
    <t>MAXjet Airways Inc</t>
  </si>
  <si>
    <t>Maxjet Airways Acquisition</t>
  </si>
  <si>
    <t>US - Maxjet Airways Acquisition Group LLC planned to acquire all the outstanding common stock of bankrupt MAXjet Airways Inc, a passenger airline.</t>
  </si>
  <si>
    <t>Transmeta Corp</t>
  </si>
  <si>
    <t>Mnfr semiconductor</t>
  </si>
  <si>
    <t>Riley Invest Mgmt LLC</t>
  </si>
  <si>
    <t>US - Riley Investment Management LLC withdrew its plans to an unsolicited tender offer to acquire the remaining 94.1% interest, or 12.021 mil common shares, which it did not already own, in Transmeta Corp, a manufacturer of semiconductors, for $15.5 in cash per share, or a total value of $175.338 mil.</t>
  </si>
  <si>
    <t>US - Microsoft Corp (MC) withdrew its unsolicited tender offer to acquire all the outstanding common stock of Yahoo! Inc (YI), a provider of Internet search engine services, for $43.712 bil. MC offered a choice of $31 in cash or 0.9509 common shares, subject to proration whereby 50% of the total consideration was to be paid in cash and 50% in common stock. The shares were valued based on MSFT's closing stock price of $32.60 on January 31, the last full trading day prior to the announcement. The transaction was subject to regulatory approvals.</t>
  </si>
  <si>
    <t>SigmaTel Inc</t>
  </si>
  <si>
    <t>US - Freescale Semiconductor Inc, a unit of Firestone Holdings LLC, acquired all the outstanding common stock of SigmaTel Inc, a manufacturer of semiconductors, for $3 in cash per share, or a total value of $108.080 mil. The transaction was subject to customary closing conditions, shareholders' and regulatory approvals.</t>
  </si>
  <si>
    <t>Overhill Farms Inc</t>
  </si>
  <si>
    <t>Prod frozen food prod</t>
  </si>
  <si>
    <t>Overhill Farms Inc SPV</t>
  </si>
  <si>
    <t>US - Overhill Farms Inc SPV, a new company formed by GESD Capital Partners and TreeCon Resources Inc (formerly Citicorp Venture Capital) for the purpose of making an acquisition, withdrew its plans to launch an unsolicited offer to acquire all the outstanding common stock of Overhill Farms Inc, a producer and wholesaler of frozen food products, for $4. 4 per share, or a total value of $71.612 mil, in a leveraged buyout transaction.</t>
  </si>
  <si>
    <t>Axcelis Technologies Inc</t>
  </si>
  <si>
    <t>US - An investor group, comprised of Sumitomo Heavy Industries Ltd and TPG Capital LP, withdrew its plans to launch an unsolicited offer to acquire all the outstanding common stock of Axcelis Technologies Inc, a manufacturer of ion implantation equipment, for a sweetened $6 in cash per share, or a total value of $613.502 mil. The transaction was subject to due diligence. Originally, the group offered for $5.20 in cash per share, or a total value of $531.702 mil.</t>
  </si>
  <si>
    <t>MEDRAD Inc</t>
  </si>
  <si>
    <t>US - Medrad Inc (MI), a unit of the Schering Berlin Inc subsidiary of Bayer AG's majority-owned Bayer Schering Pharma AG unit, acquired all the outstanding common stock of Possis Medical Inc (PM), a manufacturer of medical devices, for $19.5 in cash per share, or a total value of $359.351 mil. Earlier, MI completed its tender offer by accepting 15.667 mil shares, or 92.23% of PM's common shares outstanding. The transaction was subject to regulatory approvals and was conditioned upon at least 66. 67% of PM's common stock outstanding being tendered.</t>
  </si>
  <si>
    <t>GMH Communities Trust</t>
  </si>
  <si>
    <t>American Campus Comm Inc</t>
  </si>
  <si>
    <t>US - American Campus Communities Inc (AC) merged with GMH Communities Trust (GC), a real estate investment trust, in a transaction valued at $230. 272 mil. AC offered $3.36 cash and 0.076 common share per GC share. Based on AC's closing stock price of February 11, the last full trading day prior to the announcement, each GC share was valued at $2.173. The transaction, had been subject to customary closing conditions and GC shareholder approval, was contingent upon Balfour Beatty PLC (BB) acquiring the military housing division of GC.</t>
  </si>
  <si>
    <t>Independence Lead Mines Co</t>
  </si>
  <si>
    <t>Silver,lead,zinc mining co</t>
  </si>
  <si>
    <t>US - Hecla Mining Co (HM) acquired all the outstanding common stock of Independence Lead Mines Co, a silver lead and zinc mining company, in exchange for 6.937 mil common shares, valued at $66.802 mil. The shares were valued based on HM's closing stock price of $9.63 on February 12, the last full trading day prior to the announcement. The transaction had been subject to shareholders approval.</t>
  </si>
  <si>
    <t>Iron &amp; Glass Bancorp Inc</t>
  </si>
  <si>
    <t>US - FNB Corp, Hermitage, Pennsylvania (FC) acquired all the outstanding common stock of Iron &amp; Glass Bancorp Inc, Pittsburgh, Pennsylvania (IG), a bank holding company, in a transaction valued at $82.95 mil. FC offered a choice of $75 in cash or 5 common shares per IG share, subject to proration whereby no more than 45% of the total consideration was to be in cash. Based on FC's closing stock price of $14.92 on February 14, the last full trading day prior to the announcement, each IG share was valued at $74.6. The transaction had been subject to shareholders and regulatory approvals, and other customary closing conditions.</t>
  </si>
  <si>
    <t>Western Asset Emerging Mkts</t>
  </si>
  <si>
    <t>Western Asset Emerging Markets</t>
  </si>
  <si>
    <t>US - Western Asset Emerging Markets Floating Rate Fund Inc (WA) merged with Western Asset Emerging Markets Debt Fund Inc, a closed-end investment fund. The transaction had been subject to WA shareholders approval.</t>
  </si>
  <si>
    <t>Encysive Pharmaceuticals Inc</t>
  </si>
  <si>
    <t>US - Pfizer Inc (PI) acquired all the outstanding common stock of Encysive Pharmaceuticals Inc (EP), a biopharmaceutical company, for $2.35 in cash per share, or a total value of $186.371 mil. Earlier, PI completed its tender offer for EP by accepting 70.239 mil shares, or 88.57% of EPs common shares outstanding. The offer was conditioned upon at least a majority of EP's shares being tendered. The transaction was subjected to regulatory approval.</t>
  </si>
  <si>
    <t>Industrial Distn Group Inc</t>
  </si>
  <si>
    <t>Project Athena Holding Corp</t>
  </si>
  <si>
    <t>US - Project Athena Holding Corp, a unit of Platinum Equity LLC, withdrew its agreement to acquire all the outstanding common stock of Industrial Distribution Group Inc (ID), a wholesaler industrial maintenance, repair, operating, and production products, for a sweetened $11.8 in cash per share, or a total value of $117.65 mil. The transaction was subject to customary closing conditions and ID shareholders approval. Subsequently, LKCM Private Discipline Master Fund SPC, a unit of Luther King Capital Management Corp, completed its challenging tender offer to acquire the remaining 85. 1% interest, or 8.174 mil common shares, which it did not already own, in ID. Subsequently, WESCO International Inc withdrew its challenging offer to acquire all the outstanding common stock of ID.</t>
  </si>
  <si>
    <t>180 Connect Inc</t>
  </si>
  <si>
    <t>Creative Vistas Inc</t>
  </si>
  <si>
    <t>Pvd electn sec svcs</t>
  </si>
  <si>
    <t>US - Creative Vistas Inc (CV) withdrew its plans to launch an unsolicited offer to acquire the remaining 90% interest, or 24.706 mil of shares, which it did not already own, in 180 Connect Inc (CI), a provider of technical communications support services, for $3 in cash per share, or a total value of $74.118 mil. The consideration was subject to a proration whereby 50% was in cash and 50% was in common CV shares. Subsequently, DIRECTV Group Inc definitively agreed to acquire all the outstanding common stock of CI.</t>
  </si>
  <si>
    <t>ProCentury Corp</t>
  </si>
  <si>
    <t>Meadowbrook Ins Grp Inc</t>
  </si>
  <si>
    <t>US - Meadowbrook Insurance Group Inc (MI) merged with ProCentury Corp (PC), an insurance company, in a stock swap transaction valued at $271.94 mil. MI offered a choice of $20 in cash or MI common shares, per PC share held, subject to proration whereby the maximum cash portion was not to exceed 45% of the total consideration. The transaction had subject to customary closing conditions and regulatory and shareholder approvals. Upon completion, the merged entity was to retain the name MI.</t>
  </si>
  <si>
    <t>US - Reed Elsevier Group PLC of the UK, a joint venture between Reed Elsevier NV and Reed Elsevier PLC, merged with ChoicePoint Inc, a provider of technology, software, information and marketing services, for USD 50 in cash per share, or a total value of USD 3.790 bil. The transaction had been subject to shareholder and regulatory approvals.</t>
  </si>
  <si>
    <t>Furniture Brands International</t>
  </si>
  <si>
    <t>Mnfr,whl furniture</t>
  </si>
  <si>
    <t>US - Sun Capital Securities LLC planned to acquire the remaining 90.516% interest or 43.9 mil common shares, which it did not already own in Furniture Brands International Inc, a manufacturer and wholesaler of furniture, in a leveraged buyout transaction.</t>
  </si>
  <si>
    <t>SYS Technologies Inc</t>
  </si>
  <si>
    <t>Pvd info connectivity svcs</t>
  </si>
  <si>
    <t>Kratos Defense &amp; Security</t>
  </si>
  <si>
    <t>Pvd natl defense,sec services</t>
  </si>
  <si>
    <t>US - Kratos Defense &amp; Security Solutions Inc (KD) acquired all the outstanding common stock of SYS Technologies Inc (ST), a provider of information connectivity solutions services, in a stock swap transaction valued at $53.007 mil. KD offered 1.2582 common shares per ST share. Based in KD's closing stock price of $2.11, the last full trading day prior to the announcement, each ST share was valued at $2.655. The transaction was subject to customary closing conditions and shareholders approvals. Upon completion, the merged entity was to be renamed KD and KD and ST shareholders was to own 77% and 23% respectively.</t>
  </si>
  <si>
    <t>ESS Technology Inc</t>
  </si>
  <si>
    <t>Imperium Partners Group LLC</t>
  </si>
  <si>
    <t>Private eq,asset mgmt firm</t>
  </si>
  <si>
    <t>US - Imperium Partners Group LLC acquired all the outstanding common stock of ESS Technology Inc, a manufacturer of semiconductors, for $1.64 in cash per share, or a total value of $58.298 mil, in a leveraged buyout transaction. The transaction had been subject to shareholder approval and other customary closing conditions.</t>
  </si>
  <si>
    <t>Environmental Tectonics Corp</t>
  </si>
  <si>
    <t>Pvd aircrew training svcs</t>
  </si>
  <si>
    <t>Gerry Lenfest</t>
  </si>
  <si>
    <t>US - Board Member of Environmental Tectonics Corp's (ET) Mr. Gerry Lenfest, terminated its plans to acquire the remaining 51.3%, or 4.632 mil common shares, which he did not already own, in ET, a provider of aircrew training systems, public entertainment systems, process simulation systems (sterilization and environmental), clinical hyperbaric systems, environmental testing and simulation systems, and related products and services, in a leveraged buyout transaction.</t>
  </si>
  <si>
    <t>Take-Two Interactive Software</t>
  </si>
  <si>
    <t>Dvlp,wholesale gaming software</t>
  </si>
  <si>
    <t>US - Electronic Arts Inc withdrew its hostile tender offer to acquire Take-Two Interactive Software Inc (TI), a developer of gaming software, for $26 in cash per share, or a total value of $1. 941 bil. The transaction was subject to regulatory approvals. Originally, in March 2007, TI announced that it was seeking a buyer for the company.</t>
  </si>
  <si>
    <t>Asyst Technologies Inc</t>
  </si>
  <si>
    <t>Mnfr,whl automation sys</t>
  </si>
  <si>
    <t>US - An investor group, comprised of Gores Group LLC and Aquest Systems Corp, withdrew its plans to launch an unsolicited offer to acquire all the outstanding common stock of Asyst Technologies Inc, a manufacturer of industrial automation equipment, for $6 in cash per share, or a total value of $301.67 mil, in a leveraged buyout transaction. The transaction was subject to due diligence.</t>
  </si>
  <si>
    <t>Criticare Systems Inc</t>
  </si>
  <si>
    <t>Mnfr,whl monitoring instr</t>
  </si>
  <si>
    <t>Opto Circuits(India)Ltd</t>
  </si>
  <si>
    <t>Mnfr,whl med electronic prod</t>
  </si>
  <si>
    <t>US - Opto Circuits (India) Ltd completed its tender offer to acquire all the outstanding common stock of Criticare Systems Inc (CI), a manufacturer and wholesaler of portable vital signs and gas monitoring instruments and related non-invasive sensors, for $5.5 in cash per share, or a total value of $69.282 mil. The offer was conditioned upon at least a 65% of CI's shares being tendered. The transaction had been subject to customary closing conditions and regulatory approvals.</t>
  </si>
  <si>
    <t>US - Hellman &amp; Friedman LLC (Hellman) acquired all the outstanding common stock of Getty Images Inc (GI), a provider of visual content services, from Getty Investments LLC (15%) and other shareholders, for $34 in cash per share, or a total value of $2.037 bil, and the assumption of an undisclosed amount in liabilities, in a leveraged buyout transaction. The transaction had been subject to shareholder approval and other customary closing conditions. Originally, in January 2008, GI announced that it was seeking a buyer for the company. Subsequently, An investor group, led by Carlyle Group LP (Carlyle) and the management of Getty acquired Getty, from Hellman, in a secondary buyout transaction.</t>
  </si>
  <si>
    <t>CollaGenex Pharmaceuticals Inc</t>
  </si>
  <si>
    <t>Galderma Laboratories LP</t>
  </si>
  <si>
    <t>US - Galderma Laboratories LP (GL), a unit of Nestle SA and L'Oreal SA's Galderma Pharma SA joint venture, acquired all the outstanding common stock of CollaGenex Pharmaceuticals Inc (CG), a manufacturer of pharmaceutical products, for $16.6 in cash per common and preferred share, or a total value of $419.557 mil. Earlier, GL completed its tender offer for CG by accepting 21 mil shares, or 97.79% of CG's common shares outstanding. The offer was conditioned upon at least a majority of CG's shares being tendered. The transaction had been subject to customary closing conditions and regulatory approval.</t>
  </si>
  <si>
    <t>SXC Health Solutions Corp</t>
  </si>
  <si>
    <t>Pvd info tech solutions svcs</t>
  </si>
  <si>
    <t>US - SXC Health Solutions Corp (SH) acquired all the outstanding common stock of National Medical Card Systems Inc (NM), an insurance agency, in a stock swap transaction valued at $62.403 mil. SH offered $7.7 in cash and 0. 217 common shares per NM share. Based on SH's closing stock price of $15.95 on February 25, the last full trading day prior to the announcement, each NM share was valued at $3.461. The transaction had been subject to customary closing conditions.</t>
  </si>
  <si>
    <t>1st Independence Finl Grp,KY</t>
  </si>
  <si>
    <t>US - MainSource Financial Group Inc, Greensburg, Indiana (MF) acquired all the outstanding common stock of 1st Independence Financial Group Inc, Harrodsburg, Kentucky (FI), a bank holding company, for $36.949 mil. MF offered $5.475 in cash and 0. 881036 shares per FI share. Based on MF's closing stock price of $14.6 on February 26, the last full trading day prior to the announcement, each FI share was valued at $18.338. The transaction had been subject to regulatory and FI's shareholders approvals.</t>
  </si>
  <si>
    <t>US - Applera Corp (AC) completed the spin off of its Celera Genomics Corp (CC) unit, a provider identification and validation of diagnostic markers, to its shareholders, in a transaction valued $910.411 mil. AC common shareholders received 1 CC common share per AC share held. The shares were valued based in CCs closing stock price of $11.38 on July 1, the first full trading day on which the shares were distributed. On completion, CC was renamed Celera Corp.</t>
  </si>
  <si>
    <t>Diebold Inc</t>
  </si>
  <si>
    <t>Mnfr,whl automated teller mach</t>
  </si>
  <si>
    <t>US - United Technologies Corp withdrew its plans to launch an unsolicited offer to acquire all the outstanding common stock of Diebold Inc, a manufacturer and wholesaler of automated teller machines, for $40 in cash per share, or a total value of $2.632 bil.</t>
  </si>
  <si>
    <t>Optio Software Inc</t>
  </si>
  <si>
    <t>Bottomline Technologies Inc</t>
  </si>
  <si>
    <t>Dvlp payment,invoice software</t>
  </si>
  <si>
    <t>US - Bottomline Technologies Inc acquired Optio Software Inc (OS), a developer of data management software, for $1. 85 per share, or a total value of $45.803 mil. The transaction had been subject to OS shareholder approval, and other customary closing conditions.</t>
  </si>
  <si>
    <t>Cyberview Technology Inc</t>
  </si>
  <si>
    <t>US - International Game Technology acquired all the outstanding common stock of Cyberview Technology Inc, a developer of software suites, for $70 mil. The transaction had been subject to regulatory and shareholder approval, customary closing conditions and due diligence completion.</t>
  </si>
  <si>
    <t>Packeteer Inc</t>
  </si>
  <si>
    <t>Pvd networking solutions svcs</t>
  </si>
  <si>
    <t>Elliott Associates LP</t>
  </si>
  <si>
    <t>US - Elliott Associates LP, a unit of Elliot Management Corp, withdrew its unsolicited tender offer to acquire the remaining 90.24% interest plus options, or 33. 691 mil common shares, which it did not already own, in Packeteer Inc (PI), a provider of networking solutions software, for $5.5 in cash per share, or a total value of $182.781 mil. The transaction was subject to customary closing conditions.</t>
  </si>
  <si>
    <t>Fundtech Ltd</t>
  </si>
  <si>
    <t>Dvlp finl transaction software</t>
  </si>
  <si>
    <t>Clal Industries Ltd</t>
  </si>
  <si>
    <t>US - Clal Industries &amp; Investments Ltd, a 64% owned unit of IDB Holding Corp Ltd's 72% owned IDB Development Corp Ltd subsidiary, raised its interest to 57.9% from 42.9%, by acquiring a 15% stake or 2. 339 mil common shares, in Fundtech Ltd (FL), a developer of financial transaction software, for $12. 5 in cash per share, or a total value of $29.234 mil. The transaction, which was conditioned upon at least 5% of FL's common stock outstanding being tendered, had been subject to certain customary closing conditions.</t>
  </si>
  <si>
    <t>Atari Inc</t>
  </si>
  <si>
    <t>Dvlp video game software</t>
  </si>
  <si>
    <t>US - Infogrames Entertainment SA acquired the remaining 49% stake, or 6.604 mil common shares, which it did not already own, in Atari Inc, a developer of video game software, for $1.68 in cash per share, or a total value of $11.095 mil.</t>
  </si>
  <si>
    <t>US - Deutsche Telekom AG was rumored to be planning to acquire all the outstanding common stock of Sprint Nextel Corp, a provider of telecommunications and Internet services. The Current status of this deal is unknown.</t>
  </si>
  <si>
    <t>US - EMC Corp (EC) completed its tender offer to acquire all the outstanding common stock of Iomega Corp (IC), a manufacturer and wholesaler of portable data storage devices, for a twice sweetened $3.85 per share, or a total value of $212.837 mil, or 83.151% of IC's common shares outstanding. Subsequently, EC offered a sweetened $3.75 per share, or a total value of $207.36 mil. Originally, EC offered $3.25 per share or a total value of $178.936 mil. The transaction had been subject to customary closing conditions and regulatory approval.</t>
  </si>
  <si>
    <t>US - Eastern Bank Corp, Boston, Massachusetts, acquired all the outstanding common stock of MASSBank Corp (MC), Reading, Massachusetts, for $40 in cash per share, or a total value of $173.482 mil. The transaction had been subject to MC shareholders and regulatory approvals.</t>
  </si>
  <si>
    <t>Nationwide Finl Svcs Inc</t>
  </si>
  <si>
    <t>US - Nationwide Mutual Insurance Co (NM) acquired the remaining 33.46% stake plus options, or 50.854 mil Class A common shares, which it did not already own, in Nationwide Financial Services Inc, a provider of savings and retirement services, from Nationwide Corp, a unit of NM, for a sweetened $52.25 in cash per share, or a total value of $2.45 bil. Originally, NM offered $47.2 in cash per share, or a total value of $2.217 bil.</t>
  </si>
  <si>
    <t>River City Bank,VA</t>
  </si>
  <si>
    <t>Village Bk &amp; Tr Finl Corp</t>
  </si>
  <si>
    <t>US - Village Bank &amp; Trust Financial Corp, Midlothian, Virginia (VB), acquired all the outstanding common stock of River City Bank, Mechanicsville, Virginia (RC), in a stock swap transaction valued at $20.407 mil. FV offered a choice of $11 in cash or 1 common share per RC share. Based on VB's closing stock price of $11.29 on March 7, the last full day of trading prior to announcement, each RC share was valued at $11.29. The consideration had been subject to proration whereby the maximum cash and aggregate common stock issuable shall be 20% and 80% of the total number of shares outstanding, respectively. The transaction was approved by the Board of Directors of both companies, and had been subject to customary closing conditions, regulatory and shareholders approval.</t>
  </si>
  <si>
    <t>Sauer-Danfoss Inc</t>
  </si>
  <si>
    <t>Mnfr fluid power pumps,motors</t>
  </si>
  <si>
    <t>Danfoss A/S</t>
  </si>
  <si>
    <t>US - Danfoss A/S (DA) raised its interest to 55.89% from 38.54%, by acquiring a 17.35% stake, or 8.359 mil common shares in Sauer-Danfoss Inc (SD), a manufacturer of fluid power pumps and motors, from Sauer Holding GmbH (SH), for $493.047 mil, in a privately negotiated transaction. The transaction had been subject to customary closing conditions. Concurrently, DA was granted an option to raise its interest to 75.89% from 55.89%, by acquiring 9. 63 mil common shares, or 20% stake, in SD from SH.</t>
  </si>
  <si>
    <t>US - Groupe Danone SA discontinued rumors that it was planning to acquire all the outstanding common stock of Dean Foods Co, a producer and wholesaler of fresh milk products, refrigerated ready- to-serve fruit drinks and coffee, and related dairy products.</t>
  </si>
  <si>
    <t>National Atlantic Hldg Corp</t>
  </si>
  <si>
    <t>Pvd ins,hldg svcs</t>
  </si>
  <si>
    <t>Palisades Group</t>
  </si>
  <si>
    <t>US - Palisades Group acquired all the outstanding common stock of National Atlantic Holdings Corp (NA), a provider of insurance services, for $6.25 in cash per share, or a total value of $70.104 mil. The transaction has been subject to regulatory and NA shareholders' approval, and other closing conditions.</t>
  </si>
  <si>
    <t>ORBIT/FR Inc</t>
  </si>
  <si>
    <t>Mnfr,whl commun testing sys</t>
  </si>
  <si>
    <t>Satimo SA</t>
  </si>
  <si>
    <t>US - Satimo SA acquired a 61. 6% interest, or 3.7 mil common shares, in ORBIT/FR Inc, a manufacturer and wholesaler of communication testing systems, from Orbit- Alchut Technologies Ltd, for an estimated $17.2 mil. The transaction was subject to regulatory approval and other customary closing conditions.</t>
  </si>
  <si>
    <t>US - JPMorgan Chase &amp; Co (JC) acquired all the outstanding common stock of Bear Stearns Cos Inc (BC), a provider of investment banking services, in a stock swap transaction valued at $1.181 bil. JC offered a sweetened 0.21753 common shares for every common BS share. Based on JC's closing stock price of $45.97 on March 20, the last full trading day prior to the announcement of the sweetened terms, each BC share was valued at $10. The transaction was subject to shareholder approval and had been subject to regulatory approvals. Originally, JC offered 0.055 common shares for every common BS share, or a total value of $230.992 mil. Based on JC's closing stock price of $36.54 on March 14, the last full trading day prior to the announcement, each BC share was valued at $2.</t>
  </si>
  <si>
    <t>BladeLogic Inc</t>
  </si>
  <si>
    <t>Dvlp data ctr software</t>
  </si>
  <si>
    <t>US - BMC Software Inc completed its tender offer to acquire all the outstanding common stock of BladeLogic Inc (BI), a developer of data center software, for $28 in cash per share, or a total value of $882.035 mil. The transaction was subject to customary closing conditions and regulatory approvals.</t>
  </si>
  <si>
    <t>US - Vector Capital Corp withdrew its plans to acquire the remaining 89.8% interest plus options, or 26.062 mil common shares, which it did not already own, in Captaris Inc, a developer of business automation software, for $4. 75 in cash per share, or a total value of $115.288 mil, in a leveraged buyout transaction. The transaction was subject to due diligence completion, customary closing conditions and regulatory approvals.</t>
  </si>
  <si>
    <t>I-trax Inc</t>
  </si>
  <si>
    <t>Pvd custom healthcare svcs</t>
  </si>
  <si>
    <t>Putter Acquisition Sub Inc</t>
  </si>
  <si>
    <t>US - Putter Acquisition Sub Inc, a special purpose acquisition vehicle formed by Walgreen Co (WG), acquired all the outstanding common stock of I-Trax Inc, a provider of custom healthcare services, via a tender offer for $5.4 per share, or a total value of $259.332 mil, including the assumption of an estimated $18.3 mil in liabilities. The transaction had been subject to regulatory approval and customary closing conditions. Concurrently, WG planned to acquire Whole Health Management Inc.</t>
  </si>
  <si>
    <t>US - Valley National Bancorp (VN), located in Wayne, New Jersey, merged with Greater Community Bancorp (GC), located in Totowa, New Jersey, in a stock swap transaction valued at $167.022 mil. VN offered 0.95 common shares per GC share. Based on VN's closing stock price of $20.06 on March 18, the last full trading day prior to the announcement, each GC share was valued at $19.057. The transaction had been subject to customary closing conditions, GC shareholders and regulatory approvals.</t>
  </si>
  <si>
    <t>Spectrum Acquisition Holdings</t>
  </si>
  <si>
    <t>Western American Mining Co</t>
  </si>
  <si>
    <t>US - Western American Mining Inc acquired an undisclosed majority interest in Spectrum Acquisition Holdings Inc, an investment holding company.</t>
  </si>
  <si>
    <t>Synplicity Inc</t>
  </si>
  <si>
    <t>Dvlp IC design software</t>
  </si>
  <si>
    <t>US - Synopsys Inc acquired all the outstanding common stock of Synplicity Inc (SI), a developer of programmable gate array (FPGA) and IC design and verification software, for $8 in cash per share, or a total value of $226.717 mil. The transaction had been subject to customary closing conditions, regulatory and SI shareholder approval.</t>
  </si>
  <si>
    <t>Digimarc Corp</t>
  </si>
  <si>
    <t>Pvd digital solutions,svcs</t>
  </si>
  <si>
    <t>L-1 Identity Solutions Inc</t>
  </si>
  <si>
    <t>US - L-1 Identity Solutions Inc (LI) acquired all the outstanding common stock of Digimarc Corp (DC), a developer of digital software, for a sweetened $310 mil in cash, by accepting 21.893 mil shares, or 99.33% of DC's common shares outstanding. Earlier, LI completed its tender offer for DC by accepting 21.893 mil shares, or 99.33% of DC's common shares outstanding. Originally, LI offered $125 mil in LI stock, or a total value of an estimated $245 mil, including an estimated $120 mil in cash, subject to a collar agreement. The transaction, which has been approved by the directors of both parties, had been subject to customary closing conditions and regulatory approvals. Subsequently, Safran SA planned to launch an unsolicited challenging offer to acquire all the outstanding common stock of DC for $300 mil.</t>
  </si>
  <si>
    <t>Redux Holdings Inc</t>
  </si>
  <si>
    <t>Naturade Inc</t>
  </si>
  <si>
    <t>Mnfr,whl,ret health prod</t>
  </si>
  <si>
    <t>US - Naturade Inc (NI), a 92. 1% owned unit of Redux Holdings Inc (RH), signed a Memorandum of Understanding {MoU} to acquire all the outstanding common stock of RH, an investment holding company. NI effected a 1-for- 6 reverse stock split of its common stock outstanding.</t>
  </si>
  <si>
    <t>Hunt Gold Corp</t>
  </si>
  <si>
    <t>Fortress Financial Group Inc</t>
  </si>
  <si>
    <t>US - Fortress Financial Group Inc raised its interest to 52.96% from 48%, by acquiring a 4.96% stake, or 50 mil common shares, in Hunt Gold Corp, a gold mining company, for $1.25 per share, or a total value of $62.5 mil.</t>
  </si>
  <si>
    <t>US - Illinois Tool Works Inc acquired all the outstanding stock of Quipp Inc (QI), a manufacturer and wholesaler of material handling equipment, for $5.65 in cash per share, or a total value of $8.349 mil. The transaction was subject to customary closing conditions, QI shareholders and regulatory approvals.</t>
  </si>
  <si>
    <t>Pvd visual commun svcs</t>
  </si>
  <si>
    <t>TU Holdings Inc</t>
  </si>
  <si>
    <t>US - TU Holdings Inc, a unit of American Capital Strategies Ltd, withdrew its definitive agreement to acquire all the outstanding common stock of Merisel Inc, a provider of visual communications and brand imaging solutions and services and a 60%-owned unit of Stonington Partners Inc, for $5.75 in cash per share, or a total value of $46.218 mil. The transaction was subject to customary closing conditions, shareholder and regulatory approvals.</t>
  </si>
  <si>
    <t>Bayside Capital Inc</t>
  </si>
  <si>
    <t>US - Bayside Capital Inc, a unit of HIG Capital LLC acquired all the outstanding common stock of AirNet Systems Inc, a provider of air transportation services, for $2.81 in cash per share, or a total value of $28.605 mil. The transaction had been subject to customary closing conditions and regulatory approvals.</t>
  </si>
  <si>
    <t>Ansoft Corp</t>
  </si>
  <si>
    <t>ANSYS Inc</t>
  </si>
  <si>
    <t>Dvlp,whl engineering software</t>
  </si>
  <si>
    <t>US - ANSYS Inc (AI) acquired all the outstanding common stock of Ansoft Corp (AC), a developer of electronic design software, in a stock swap transaction valued at $858.43 mil. AI offered $16. 25 in cash and 0.431882 AI common shares per AC share. Based on AI's closing stock price of $37.92 on March 28, the last full trading day prior to the announcement, each AC share was valued at $32.627. The transaction was subject to customary closing conditions, regulatory and AC shareholders' approval. Upon completion, AC was to become a wholly-owned subsidiary of AI.</t>
  </si>
  <si>
    <t>Bentley Pharmaceuticals Inc</t>
  </si>
  <si>
    <t>US - Teva Pharmaceutical Industries Ltd (TP) acquired all the outstanding common stock of Bentley Pharmaceuticals Inc (BP), a manufacturer and wholesaler of generic and branded pharmaceuticals, for an amended $14.82 in cash per share, or a total value of $352.059 mil. Originally, TP offered $15.02 in cash per share, or a total value of $356.549 mil. The transaction was approved by the boards of directors of both companies, and has been subjected to customary closing conditions, including the completion of the spin-off of BP's drug delivery business, regulatory and shareholders approvals.</t>
  </si>
  <si>
    <t>Pvd online travel booking svcs</t>
  </si>
  <si>
    <t>Google Inc</t>
  </si>
  <si>
    <t>US - Google Inc was rumored to be planning to acquire Expedia Inc, a provider of online travel booking services.  The Current status of this deal is unknown.</t>
  </si>
  <si>
    <t>US - D E Shaw Laminar Portfolios LLC acquired an 84. 65% interest, or 129.521 mil common shares, in Foamex International Inc, a manufacturer and wholesaler of plastic foam products, for $84.188 mil.</t>
  </si>
  <si>
    <t>OC Financial Inc</t>
  </si>
  <si>
    <t>US - First Place Financial Corp (FP), Warren, Ohio, acquired all the outstanding common stock of OC Financial Inc (OF), a bank holding company, in a stock swap transaction valued at $7.535 mil. FP offered 0.9615 common share per OF share. Based on FP's closing stock price $13. 99 of April 1, the last full trading day prior to the announcement, each CB share was valued at $13.451. The transaction had been subject to customary closing conditions, OF shareholders and regulatory approvals.</t>
  </si>
  <si>
    <t>LKCM Private Discipline Master</t>
  </si>
  <si>
    <t>Investment fund</t>
  </si>
  <si>
    <t>US - LKCM Private Discipline Master Fund SPC, a unit of Luther King Capital Management Corp, completed its challenging offer to acquire the remaining 85.1% interest plus options, or 8. 789 mil common shares, which it did not already own, in Industrial Distribution Group Inc (ID), a wholesaler of industrial supplies, via a tender offer for a sweetened $12.1 in cash per share, or a total value of $106.35 mil. The transaction had been subject to due diligence completion. Previously, Project Athena Holding Corp, a unit of Platinum Equity LLC, withdrew its agreement to acquire all the outstanding common stock of ID. Subsequently, WESCO International Inc withdrew its challenging offer to acquire all the outstanding common stock of ID.</t>
  </si>
  <si>
    <t>LifeCell Corp</t>
  </si>
  <si>
    <t>Mnfr tissue preservation prod</t>
  </si>
  <si>
    <t>Mnfr,whl therapeutic beds</t>
  </si>
  <si>
    <t>US - Kinetic Concepts Inc (KCI) acquired all the outstanding common stock of LifeCell Corp (LC), a manufacturer and developer of commercialize tissue regeneration and cell preservation products, for $51 in cash per share, or a total value of $1.804 bil. Earlier, KCI completed its tender offer for LC by accepting 31.25 mil shares, or 91.42% of LC's common shares outstanding. The offer was conditioned upon at least a majority of LC's shares being tendered. The transaction was subjected to customary closing conditions and regulatory approvals.</t>
  </si>
  <si>
    <t>EP MedSys Inc</t>
  </si>
  <si>
    <t>Mnfr,dvlp med,hosp supplies</t>
  </si>
  <si>
    <t>US - St Jude Medical Inc (SJ) acquired all the outstanding common stock of EP MedSystems Inc (EP), a manufacturer, developer and marketer of medical and hospital supplies, for a total value of $93.416 mil. SJ offered a choice of $3 in cash or SJ common shares per EP share held, subject to pro-ration whereby the total consideration was to comprise of 40% of common stock and 60% in cash. The transaction had been subject to customary closing conditions, shareholders' and regulatory approval.</t>
  </si>
  <si>
    <t>Pomeroy IT Solutions Inc</t>
  </si>
  <si>
    <t>Hebron LLC</t>
  </si>
  <si>
    <t>US - Hebron LLC withdrew its definitive agreement to acquire the entire share capital of Pomeroy IT Solutions Inc (Pomeroy), a Hebron-based provider of information technology infrastructure solutions and services, for USD 6 in cash per share, or a total value of USD 56.119 mil. Previously, David B. Pomeroy II, planned to launch an unsolicited tender offer to acquire all the outstanding common stock of Pomeroy, for an amended USD 5.02 in cash per share or a total value of USD 46.982 mil. Originally, ComVest Investment Partners III LP and Charlesbank Equity Fund VI LP were part of the buyout group, which offered an amended USD 5.02, USD 6 and USD 7.05 in cash per share.</t>
  </si>
  <si>
    <t>Mahogany Acquisition Corp</t>
  </si>
  <si>
    <t>US - Mahogany Acquisition Corp, a new company formed by Takeda America Holdings Inc, a wholly-owned unit of Takeda Pharmaceutical Co Ltd, for the purpose of making an acquisition, completed its tender offer to acquire all the outstanding common stock of Millennium Pharmaceuticals Inc (MP), a biopharmaceutical company, for $25 in cash per share, or a total value of $8. 734 bil. The offer was conditioned upon at least majority of MP's shares being tendered. The transaction had been subject to regulatory approval.</t>
  </si>
  <si>
    <t>TouchStone Software Corp</t>
  </si>
  <si>
    <t>US - Phoenix Technologies Ltd acquired all the outstanding common stock of TouchStone Software Corp, a developer and marketer of system management software, for $1.48 in cash per share, or a total value of $17.841 mil. The transaction had been subject to customary closing conditions, shareholders and regulatory approvals.</t>
  </si>
  <si>
    <t>Simtek Corp</t>
  </si>
  <si>
    <t>Cypress Semiconductor Corp</t>
  </si>
  <si>
    <t>Mnfr,whl semiconductor</t>
  </si>
  <si>
    <t>US - Cypress Semiconductor Corp (CS) acquired the remaining 80.8% interest, or 13.354 mil common shares, which it did not already own, in Simtek Corp (SC), a manufacturer of semiconductors, for $2.2 in cash per share, or a total value of $29.38 mil, Originally, CS completed its unsolicited tender offer for SC by accepting 11.205 mil shares, or 83.91% of SC's common shares outstanding.</t>
  </si>
  <si>
    <t>Sorbent Technologies Corp</t>
  </si>
  <si>
    <t>Mnfr mercury sorbents</t>
  </si>
  <si>
    <t>Albemarle Corp</t>
  </si>
  <si>
    <t>Manufacture chemicals</t>
  </si>
  <si>
    <t>US - Albemarle Corp acquired all the outstanding common stock of Sorbent Technologies Corp, a manufacturer of mercury sorbents, for a sweetened $6 in cash per share, or a total value of $12.35 mil. The transaction had been subject to customary closing conditions and shareholder approval.</t>
  </si>
  <si>
    <t>Apax Partners Worldwide LLP</t>
  </si>
  <si>
    <t>US - Apax Partners Worldwide LLC acquired all the outstanding common stock of TriZetto Group Inc, a developer of web-based enterprise health and medical application software, for $22 in cash per share or a total value of $1.364 bil, in a leveraged buyout transaction. The transaction was approved by shareholders and regulatory authorities.</t>
  </si>
  <si>
    <t>US - Blockbuster Inc withdrew its plans to launch an unsolicited offer to acquire all the outstanding common stock of Circuit City Stores Inc (CC), a retailer of consumer electronics, for $8 in cash per share, or a total value of $1.348 bil. The transaction was subject to due diligence completion and customary closing conditions. Originally, in May 2007, CC announced that it was seeking a buyer for the company.</t>
  </si>
  <si>
    <t>Clayton Holdings Inc</t>
  </si>
  <si>
    <t>Greenfield Partners LLC</t>
  </si>
  <si>
    <t>US - Greenfield Partners LLC acquired all the outstanding common stock of Clayton Holdings Inc (CH), a provider of outsourcing services, for $6 per share, or a total value of $156.574 mil, including $23.8 mil in debt. The transaction, which had been approved by CH's board of directors, was subject to customary closing conditions, shareholder, and regulatory approvals.</t>
  </si>
  <si>
    <t>US - Delta Air Lines Inc (DA) merged with Northwest Airlines Corp (NA), a provider of airline transportation services, in a reverse takeover transaction valued at $2.958 bil. DA offered 1.25 common shares for every common NA share. Based on DA's closing stock price of $10.01 on April 11, the last full trading day prior to announcement, each NA share was valued at $12. 513. The transaction had been subject to shareholder and regulatory approvals.</t>
  </si>
  <si>
    <t>CryoCor Inc</t>
  </si>
  <si>
    <t>US - Boston Scientific Corp acquired all the outstanding common stock of CryoCor Inc (CC), a manufacturer of surgical equipment, for $1.35 in cash per share, or a total value of $17.188 mil. The board of CC had approved the transaction.</t>
  </si>
  <si>
    <t>WESCO International Inc</t>
  </si>
  <si>
    <t>Electrical Apparatus and Equipment, Wiring Supplies, and Related Equipment Merchant Wholesalers</t>
  </si>
  <si>
    <t>US - WESCO International Inc withdrew its plans to launch a challenging tender offer to acquire all the outstanding common stock of Industrial Distribution Group Inc (ID), a wholesaler of industrial supplies, for $11.75 in cash per share, or a total value of $117.14 mil. The transaction was subject to regulatory approvals. Previously, Project Athena Holding Corp, a unit of Platinum Equity LLC agreed to acquire all the outstanding common stock of ID. Subsequently, LKCM Private Discipline Master Fund SPC, a unit of Luther King Capital Management Corp, planned to launch a challenging tender offer to acquire the remaining 85.1% interest, or 8.174 mil common shares, which it did not already own, in ID.</t>
  </si>
  <si>
    <t>US - DIRECTV Group Inc acquired all the outstanding common stock of 180 Connect Inc (CI), a provider of installation services, for $1. 8 per share, or a total value of $42.75 mil. Previously, Creative Vistas Inc planned to launch an unsolicited offer to acquire the remaining 90% interest in CI.</t>
  </si>
  <si>
    <t>Basic Energy Services Inc</t>
  </si>
  <si>
    <t>Provide well site services</t>
  </si>
  <si>
    <t>Grey Wolf Inc</t>
  </si>
  <si>
    <t>US - Grey Wolf Inc (GW) withdrew its definitive agreement to merge with Basic Energy Services Inc (BE), a provider of well site services to form New GW (NG) in a stock swap transaction valued at $1.749 bil. BE common shareholders were to receive 0.9195 common shares and $6.7 in cash and GW common shareholders were to receive 0.25 common shares and $1.82 in cash per share held. Based on GW's closing stock price of $7.6 on April 18, the last full trading day prior to the announcement, each BE share was valued $34. 653. The transaction was subject to customary closing conditions, shareholders and regulatory approval. Upon completion, GW was to own 54% and BE was to own 46% of the new company.</t>
  </si>
  <si>
    <t>Blue Coat Systems Inc</t>
  </si>
  <si>
    <t>Mnfr,whl web sec hardware</t>
  </si>
  <si>
    <t>US - Blue Coat Systems Inc (BC) acquired all the outstanding common stock of Packeteer Inc (PI), a provider of networking solutions services, for $7.1 in cash per share, or a total value of $261.635 mil. Earlier, BC completed its tender offer for PI by accepting 29.694 mil shares, or 81.434% of PI's common shares outstanding. The offer was conditioned upon at least a majority of PI's shares being tendered. The transaction had been subject to customary closing conditions and regulatory approvals.</t>
  </si>
  <si>
    <t>Sirtris Pharmaceuticals Inc</t>
  </si>
  <si>
    <t>US - GlaxoSmithKline PLC acquired all the outstanding common stock of Sirtris Pharmaceuticals Inc (SP), a biopharmaceutical company, for $22.5 in cash per share, or a total value of $715.584 mil. The offer was conditioned upon at least a majority of SP's shares being tendered. The transaction had been subject to customary closing conditions and was approved by regulatory authorities.</t>
  </si>
  <si>
    <t>US - Liberty Mutual Group Inc, a unit of Liberty Mutual Insurance Co, acquired all the outstanding common stock of Safeco Corp (SC), a provider of insurance services, for $68.25 in cash per share, or a total value of $6.144 bil. The transaction was subjected to customary closing conditions, regulatory and SC shareholders' approval.</t>
  </si>
  <si>
    <t>US - Triarc Cos Inc (TC) acquired all the outstanding common stock of Wendy's International Inc (WI), an owner and operator of restaurants, from Trian Fund Management LP (9.8%) and other shareholders, in a stock swap transaction valued at $2.346 bil. TC offered 4. 25 Class A common shares per WI share. Based on TC's closing stock price of April 23, the last full trading day prior to the announcement, each WI share was valued at $26.775. The transaction, which was approved by the board of directors and shareholders of both companies, was subject to customary closing conditions and regulatory approvals. Originally, in June 2007, WI announced that it was seeking a buyer for the company.</t>
  </si>
  <si>
    <t>ExpressJet Holdings Inc</t>
  </si>
  <si>
    <t>Own,operate passenger airlines</t>
  </si>
  <si>
    <t>SkyWest Inc</t>
  </si>
  <si>
    <t>Provide passenger airline svcs</t>
  </si>
  <si>
    <t>US - SkyWest Inc withdrew its plans to launch an unsolicited tender offer to acquire all the outstanding common stock of ExpressJet Holdings Inc, an owner and operator of passenger airlines, and a 53.1% owned unit of Continental Airlines Inc, for $3.5 in cash per share, or a total value of $181.55 mil.</t>
  </si>
  <si>
    <t>Maguire Properties Inc</t>
  </si>
  <si>
    <t>Robert F Maguire III</t>
  </si>
  <si>
    <t>US - Mr Robert F Maguire III withdrew its plans to launch an unsolicited tender offer to raise its interest to 94. 16% from 19.16% by acquiring a 75% interest, or 35.389 mil common shares in Maguire Properties Inc (MP), a real estate investment trust, for $21 in cash per share, or a total value of $743.174 mil. The offer was conditioned upon at least 66.67% of MP's shares being tendered.</t>
  </si>
  <si>
    <t>Max &amp; Erma's Restaurants Inc</t>
  </si>
  <si>
    <t>G&amp;R Acquisition Inc</t>
  </si>
  <si>
    <t>US - G&amp;R Acquisition Inc acquired all the outstanding common stock of Max &amp; Erma's Restaurants Inc, an owner and operator of restaurants, for $4 in cash per share, or a total value of $10.216 mil.</t>
  </si>
  <si>
    <t>William Wrigley Jr Co</t>
  </si>
  <si>
    <t>Produce,whl chewing gum</t>
  </si>
  <si>
    <t>Mars Inc</t>
  </si>
  <si>
    <t>Produce food,drink prod</t>
  </si>
  <si>
    <t>US - Mars Inc acquired all the outstanding common stock of William Wrigley Jr Co, a producer and wholesaler of chewing gum, for $80 in cash per share, or a total value of $22.361 bil. The transaction, which has received board approval, had been subject to customary closing conditions, regulatory and shareholder approvals.</t>
  </si>
  <si>
    <t>Pyramid Breweries Inc</t>
  </si>
  <si>
    <t>Magic Hat Brewing Co</t>
  </si>
  <si>
    <t>US - Pyramid Breweries Inc, a special purpose acquisition vehicle of Magic Hat Brewing Co &amp; Performing Arts Center Inc, completed its tender offer to acquire all the outstanding common stock of Pyramid Breweries Inc (PB), a producer and wholesaler of beer, for $2.75 in cash per share, or a total value of $25.401 mil. The transaction had been subject to due diligence completion, customary closing conditions and was approved by regulatory authorities.</t>
  </si>
  <si>
    <t>Bois d'Arc Energy Inc</t>
  </si>
  <si>
    <t>US - Stone Energy Corp (SE) acquired all the outstanding common stock of Bois d'Arc Energy Inc (BA), an oil and gas exploration and production company, from Comstock Resources Inc (49%) and other shareholders, for $1.708 bil. SE offered $13.65 in cash and 0.165 common shares per BA share. Based on SE's closing stock price of $67.85 on April 29, the last full trading day prior to the announcement, each SE share was valued at $24.845. The transaction had been subject to customary closing conditions, shareholders and regulatory approvals. On completion, SE and BA were to own 72% and 28% of the merged entity.</t>
  </si>
  <si>
    <t>Esmark Inc</t>
  </si>
  <si>
    <t>Mnfr,whl steel prod</t>
  </si>
  <si>
    <t>Essar Steel Holdings Ltd</t>
  </si>
  <si>
    <t>Mauritius</t>
  </si>
  <si>
    <t>US - Essar Steel Holdings Ltd (ES), a wholly-owned unit of Essar Group's Essar Global Ltd majority-owned subsidiary, withdrew its plans to launch a tender offer to acquire all the outstanding common stock of Esmark Inc (EI), a manufacturer and wholesaler of steel products, from Franklin Mutual Adviser Inc (60.02%), a unit of Franklin Templeton Investments and other shareholders, for a sweetened $19 in cash per share, or a total value of $747.726 mil. Originally ES offered $17 in cash per share, or a total value of $669.018 mil. The transaction was approved by EI's board of directors and was subject to customary closing conditions and regulatory approval. Subsequently, OAO SeverStal definitively agreed to acquire all the outstanding common stock of EI.</t>
  </si>
  <si>
    <t>FTD Group Inc</t>
  </si>
  <si>
    <t>Pvd floral svcs,whl flowers</t>
  </si>
  <si>
    <t>United Online Inc</t>
  </si>
  <si>
    <t>Pvd internet subscription svcs</t>
  </si>
  <si>
    <t>US - United Online Inc (UO) acquired all the outstanding common stock of FTD Group Inc (FG), a provider of floral and specialty gift services, for $462.81 mil. UO offered a choice of $7.34 in cash, 0. 4087 common shares and $3.31 in senior secured notes or $10.15 in cash and 0.4087 common shares per share. Based on UO's closing stock price of $10.83 on April 29, the last full trading day prior to the announcement, each FG share was valued at $15.08. The transaction had been subject to customary closing conditions, FG shareholders and regulatory approvals.</t>
  </si>
  <si>
    <t>Time Warner Cable Inc</t>
  </si>
  <si>
    <t>US - Time Warner Inc (TW) completed its spin off of its remaining 85.2% interest, or 901 mil common shares in Time Warner Cable Inc (TC), a provider of cable television services, to its shareholders in a transaction valued at $34.569 bil, including $10. 855 bil in debt financing to fund the $10.27 one-time cash dividend. TC shareholders received 0.0836701 common share for every TW common share held. The shares were valued based on TW's ex- dividend closing stock price of $26.32 on March 27, the first full trading day on which the shares were distributed. The transaction was approved by regulatory authorities.</t>
  </si>
  <si>
    <t>Moldflow Corp</t>
  </si>
  <si>
    <t>US - Autodesk Inc (AI) acquired all the outstanding common stock of Moldflow Corp (MC), a plastics simulation software development company, via a tender offer for $22 in cash per share, or a total value of $276.917 mil. Earlier, AI completed its tender offer for MC by accepting 11.622 mil shares, or 87.86% of MC's common shares outstanding. The transaction had been subject to customary closing conditions including regulatory approvals.</t>
  </si>
  <si>
    <t>Micro Focus International PLC</t>
  </si>
  <si>
    <t>US - Micro Focus International PLC acquired all the outstanding common stock of NetManage Inc (NI), a developer of application software, for $7.2 in cash per share, or a total value of $73.406 mil. The transaction had been subject to customary closing conditions, NI shareholders and regulatory approvals.</t>
  </si>
  <si>
    <t>Maxim Crane Works Hldg Inc</t>
  </si>
  <si>
    <t>Pvd lift equip rental svcs</t>
  </si>
  <si>
    <t>Platinum Eq Capital Partners I</t>
  </si>
  <si>
    <t>US - Platinum Equity Capital Partners II LP, a unit of Platinum Equity LLC, acquired all the outstanding common stock of Maxim Crane Works Holdings Inc(MC), a provider of lift equipment rental and leasing services, for $42.5 in cash per share, or a total value of $425 mil, in a leveraged buyout transaction. The transaction had been subject to customary closing conditions, MC shareholders and regulatory approvals. Subsequently, Apollo Global Management LLC  definitively agreed to acquire MC, in a secondary buyout transaction.</t>
  </si>
  <si>
    <t>US - First Place Financial Corp (FP), Warren, Ohio, terminated its definitive agreement to acquire all the outstanding common shares of Camco Financial Corp (CF), Cambridge, Ohio, a savings and loan holding company, in a stock swap transaction valued at $97.287 mil. FP offered a choice of $13.58 in cash or 0.97 common share per CF share, subject to proration whereby 26.5% of the consideration was to comprised of cash and 73.5% in common shares. The transaction was subject to customary closing conditions, shareholders and regulatory approvals.</t>
  </si>
  <si>
    <t>The Children's Place Retail</t>
  </si>
  <si>
    <t>US - An investor group, comprised of Mr Ezra Dabah and Golden Gate Private Equity Inc, withdrew its plans to acquire all the outstanding common stock of Childrens Place Retail Stores Inc, an owner and operator of children's clothing stores, in a leveraged buyout transaction.</t>
  </si>
  <si>
    <t>Western Asset Zenix Income Fd</t>
  </si>
  <si>
    <t>Closed-end mgt investment co</t>
  </si>
  <si>
    <t>Western Asset High Inc Fd II</t>
  </si>
  <si>
    <t>Close-end investment fund</t>
  </si>
  <si>
    <t>US - Western Asset High Income Fund II Inc (WH) merged with Western Asset Zenix Income Fund Inc (WZ), a closed-end management investment company, in a stock swap transaction valued at $30.243 mil. WA offered 0. 22624 common shares per WZ share. Based on WH's closing stock price of $7.78 on September 23, the last full trading day prior to the announcement, each WZ share was valued at $1.76. The transaction was approved by WZ shareholders.</t>
  </si>
  <si>
    <t>Finmeccanica SpA</t>
  </si>
  <si>
    <t>Manufacture aviation control systems</t>
  </si>
  <si>
    <t>US - Finmeccanica SpA (FS) acquired all the outstanding common stock of DRS Technologies Inc (DT), a manufacturer of defense electronic equipment, for $81 in cash per share, or a total value of USD 5.136 bil, including the assumption of an estimated USD 1.2 bil in liabilities. The transaction had been approved by DT shareholders and had been subject to customary closing conditions and regulatory approvals. Originally, FS was rumored to be planning to acquire DT.</t>
  </si>
  <si>
    <t>Iomai Corp</t>
  </si>
  <si>
    <t>Mnfr vaccine,immune sys</t>
  </si>
  <si>
    <t>Intercell AG</t>
  </si>
  <si>
    <t>US - Intercell AG (IA) acquired all the outstanding common stock of Iomai Corp (IC), a manufacturer and developer of vaccines and immune system stimulants, for $6.6 per share, or a total value of $183.109 mil. The transaction had been subject to proration whereby 59% of the consideration comprised of cash and 41% in IA common shares. On completion, IC changed its name to Intercell USA Inc.</t>
  </si>
  <si>
    <t>Radyne Corp</t>
  </si>
  <si>
    <t>Mnfr,whl data commun equip</t>
  </si>
  <si>
    <t>Comtech Telecommun Corp</t>
  </si>
  <si>
    <t>Mnfr,whl commun components,sys</t>
  </si>
  <si>
    <t>US - Comtech Telecommunications Corp (CT) acquired all the outstanding common stock of Radyne Corp (RC), a manufacturer and wholesaler of data communications equipment, for $11.5 in cash per share, or a total value of $223.621 mil. Earlier, CT completed its tender offer for RC by accepting 17.36 mil shares, or 85.11% of RC's common shares outstanding. The transaction had been subject to customary closing conditions.</t>
  </si>
  <si>
    <t>US - Hewlett-Packard Co (HP) acquired all the outstanding common stock of Electronic Data Systems Corp (ED), a provider of information technology services, for $25 in cash per share, or a total value of $12.565 bil. The transaction, which has received board approval, had been subject to customary closing conditions, shareholder and regulatory approval. Originally, HP was rumored to be planning to acquire all the outstanding common stock of ED.</t>
  </si>
  <si>
    <t>Unity Acquisition Corp</t>
  </si>
  <si>
    <t>US - Unity Acquisition Corp (UA), a special purpose acquisition vehicle formed by Gull Holdings Ltd, withdrew its tender offer to acquire 8. 212 mil common shares, or the remaining 50.1% interest, which it did not already own, in USANA Health Sciences Inc (UH), a manufacturer and wholesaler of nutritional products, for a sweetened $28 in cash per share, or a total value of $229.947 mil. The offer was conditioned upon at least a majority of UH's shares being tendered. Originally, UA offered $26 in cash per UH common share.</t>
  </si>
  <si>
    <t>Indian Village Bancorp Inc,OH</t>
  </si>
  <si>
    <t>CSB Bancorp Inc,Millersburg,OH</t>
  </si>
  <si>
    <t>US - CSB Bancorp Inc, Millersburg, Ohio (CB) acquired all the outstanding common stock of Indian Village Bancorp Inc, Gnadenhutten, Ohio (IV), a bank holding company, for $7. 898 mil. CB offered $4.375 in cash and 0.7611 shares per IV share. Based on CB's closing stock price of $18 on May 13, the last full trading day prior to announcement, each IV share was valued at $18. 075. The transaction had been subject to customary closing conditions, regulatory and IV shareholders approval.</t>
  </si>
  <si>
    <t>Provide cable TV,advertising services</t>
  </si>
  <si>
    <t>US - CBS Corp (CBS) acquired all the outstanding common stock, of CNET Networks Inc (CN), a provider of multi- media services, for $11.5 in cash per share, or a total value of $1.808 bil. Earlier, CBS completed its tender offer for CN by accepting 117. 9 mil shares, or 70% of CHs common shares outstanding. The offer was conditioned upon at least a majority of CN's shares being tendered. The transaction was approved by the Board of Directors of CN and had been subject to regulatory approvals.</t>
  </si>
  <si>
    <t>Optium Corp</t>
  </si>
  <si>
    <t>Mnfr optical subsys</t>
  </si>
  <si>
    <t>Finisar Corp</t>
  </si>
  <si>
    <t>Mnfr fiber optic subsystems</t>
  </si>
  <si>
    <t>US - Finisar Corp (FC) merged with Optium Corp (OC), a manufacturer of high- performance optical subsystems, in a stock swap transaction valued at $215.31 mil. FC offered 6.262 common shares per OC share. Based on FC's closing stock price of $1.33 on May 15, the last full trading day prior to the announcement, each OC share was valued at $8.328. Upon completion, FC was to own 65% in the merged company, while OC was to own 35%. The transaction was subject to customary closing conditions, shareholder and regulatory approval.</t>
  </si>
  <si>
    <t>US - IXYS Corp acquired the entire share capital of ZiLOG Inc (Zilog), a San Jose-based manufacturer and wholesaler of semiconductors, for an amended USD 3.586 in cash per share, or a total value of USD 62.879 mil. Originally, IXYS offered USD 4.5 in cash and common stock per share, or a total value of USD 72. 985 mil.</t>
  </si>
  <si>
    <t>Severstal</t>
  </si>
  <si>
    <t>Manufacture iron,steel prod</t>
  </si>
  <si>
    <t>US - OAO SeverStal (OS) completed its challenging tender offer to acquire all the outstanding common stock of Esmark Inc (EI), a manufacturer and wholesaler of steel products, from Franklin Mutual Adviser Inc (60.02%), a unit of Franklin Templeton Investments and other shareholders, for a sweetened $19.25 in cash per share, or a total value of $ 760.504 mil. Originally, OS offered $17 in cash per share, or a total value of $671.614 mil. The transaction had been subject to customary closing conditions and regulatory approvals. Previously, Essar Steel Holdings Ltd, a wholly- owned unit of Essar Group's Essar Global Ltd majority- owned subsidiary, withdrew its plans to launch a tender offer to acquire all the outstanding common stock of EI.</t>
  </si>
  <si>
    <t>Pvd power generation services</t>
  </si>
  <si>
    <t>US - NRG Energy Inc (NR) withdrew its plan to launch an unsolicited tender offer to acquire all the outstanding common stock of Calpine Corp (CC), a provider of power generation services, in a stock swap transaction valued at $9.475 bil. NR offered .534 common shares per CC share. Based on NR's closing stock price of $42.15 on May 20, the last full trading day prior to the announcement, each CC share was valued at $22.508.</t>
  </si>
  <si>
    <t>Willow Financial Bancorp Inc</t>
  </si>
  <si>
    <t>US - Harleysville National Corp (HN), Harleysville, Pennsylvania, acquired all the outstanding common stock of Willow Financial Bancorp Inc (WF), Wayne, Pennsylvania, a commercial bank holding company, in a stock swap transaction valued at $162. 213 mil. HN offered 0.73 common share per FC share. Based on HN's closing stock price of $14.08 on May 20, the last full trading day prior to the announcement, each WF share was valued at $10.278. The transaction had been subject to customary closing conditions, shareholders and regulatory approvals. On completion, FC and WF owned an estimated 73% and 27% of the merged entity respectively.</t>
  </si>
  <si>
    <t>CBaySystems Holdings Ltd</t>
  </si>
  <si>
    <t>US - An investor group, comprised of SAC Private Capital Group LLC, a unit of SAC Capital Advisors LLC, and Lehman Brothers Holdings Inc, acquired a 57.8% interest, or 89.028 mil new ordinary shares, in CBaySystems Holdings Ltd (CH), business process outsourcing, document management, medical transcription and healthcare technologies services, for $123 mil. Concurrently, CH agreed to acquire a 69.5% interest in MedQuist Inc.</t>
  </si>
  <si>
    <t>Pvd med transcription svcs</t>
  </si>
  <si>
    <t>US - CBaySystems Holdings Ltd (CH) acquired a 69.5% interest, or 26.093 mil common shares, in MedQuist Inc, a provider of medical transcription services, from Koninklijke Philips Electronics NV, for $11 per share, or a total value of $287.023 mil. The transaction had been subject to customary closing conditions, regulatory and shareholder approvals. Concurrently, an investor group, comprised of SAC Private Capital Group LLC, a unit of SAC Capital Advisors LLC, and Lehman Brothers Holdings Inc, acquired a 57.8% interest in CH.</t>
  </si>
  <si>
    <t>Angelica Corp</t>
  </si>
  <si>
    <t>Pvd med linen supply svcs</t>
  </si>
  <si>
    <t>Clothesline Holdings Inc</t>
  </si>
  <si>
    <t>US - Clothesline Holdings Inc, a new company formed by Lehman Brothers Merchant Banking Partners IV LP for the purpose of making an acquisition, acquired all the outstanding common stock of Angelica Corp, a provider of medical linen supply services, for $22 in cash per share, or a total value of $209.713 mil. The transaction had been subject to customary closing conditions and regulatory and shareholder approvals.</t>
  </si>
  <si>
    <t>Pioneer Municipal &amp; Eq Inc Tr</t>
  </si>
  <si>
    <t>Pioneer Tax Free Income Fund</t>
  </si>
  <si>
    <t>US - Pioneer Tax Free Income Fund planned to merge with Pioneer Municipal &amp; Equity Income Trust (PM), a closed- end investment fund. The transaction was subject to PM shareholders approval.</t>
  </si>
  <si>
    <t>Chemtura Corp</t>
  </si>
  <si>
    <t>Chemtura Corp SPV</t>
  </si>
  <si>
    <t>US - Chemtura Corp SPV, a new company formed by Blackstone Group LP and Apollo Management LP for the purpose of making an acquisition, was rumored to be in negotiations to acquire all the outstanding common stock of Chemtura Corp, a manufacturer and wholesaler of specialty chemicals, in a leveraged buyout transaction. The Current status of this deal is unknown.</t>
  </si>
  <si>
    <t>Kosan Biosciences Inc</t>
  </si>
  <si>
    <t>US - Bristol-Myers Squibb Co (BM) completed its tender offer to acquire all the outstanding common stock of Kosan Biosciences Inc (KB), a provider of commercial research services, via a tender offer for $5.5 in cash per share, or a total value of $234.256 mil. The offer was conditioned upon at least a majority of KB shares being tendered. The transaction had been subject to customary closing conditions and was approved by BM and KB's board of directors.</t>
  </si>
  <si>
    <t>Learning Tree Intl Inc</t>
  </si>
  <si>
    <t>Provide computer educ services</t>
  </si>
  <si>
    <t>US - In May 2008, Learning Tree International Inc, a provider of advanced information technology education services, withdrew its announcement that it was seeking a buyer for the company.</t>
  </si>
  <si>
    <t>Service 1st Bancorp,CA</t>
  </si>
  <si>
    <t>Central Valley Community</t>
  </si>
  <si>
    <t>US - Central Valley Community Bancorp (CV), Clovis, California, merged with Service 1st Bancorp (S1), Stockton, California, a bank holding company, in a stock swap transaction valued at $23.402 mil. CV offered $2.5 in cash and 0.681818 common share per S1 share. Based on CVs closing stock price of 10. 29 on May 27, the last full trading day prior to the announcement, each CB share was valued at $9.516. The transaction had been subject to customary closing conditions, shareholders and regulatory approvals.</t>
  </si>
  <si>
    <t>Security Federal Bancorp Inc</t>
  </si>
  <si>
    <t>Capstone Bancshares Inc,AL</t>
  </si>
  <si>
    <t>US - Capstone Bancshares Inc definitively agreed to acquire all the outstanding common stock of Security Federal Bancorp Inc, Saint John, Indiana, a bank holding company. The transaction was subject to regulatory approvals.</t>
  </si>
  <si>
    <t>Sourcefire Inc</t>
  </si>
  <si>
    <t>Pvd cyber-sec solution svcs</t>
  </si>
  <si>
    <t>Barracuda Networks Inc</t>
  </si>
  <si>
    <t>Mnfr,whl sec solutions devices</t>
  </si>
  <si>
    <t>US - Barracuda Networks Inc (BN) planned to launch an unsolicited offer to acquire all the outstanding common stock of Sourcefire Inc (SF), a developer of real-time network security software, for a sweetened $8.25 in cash per share, or a total value of $226.014 mil. The transaction was subject to customary closing conditions. Originally, BN offered $7.50 in cash per SF common share.</t>
  </si>
  <si>
    <t>W-H Energy Services Inc</t>
  </si>
  <si>
    <t>Smith International Inc</t>
  </si>
  <si>
    <t>Manufacture oil drilling tools</t>
  </si>
  <si>
    <t>US - Smith International Inc (SI) acquired all the outstanding common stock of W- H Energy Services Inc (WE), a provider of specialized oilfield equipment rental, wireline logging and perforating services, in a stock swap transaction valued at $3.014 bil. Earlier, SI completed its tender offer for WE by accepting 27.923 mil shares, or 85.91% of WE's common shares outstanding. SI offered $56.10 in cash and 0. 48 common shares per WE share. Based on SI's closing stock price of $78.02 June 2, the last full trading day prior to the announcement, each WE share was valued at $93.55. The transaction had been subject to regulatory approval.</t>
  </si>
  <si>
    <t>Salesforce.com Inc</t>
  </si>
  <si>
    <t>Pvd software integrated svcs</t>
  </si>
  <si>
    <t>US - Google Inc was rumored to be planning to acquire SalesForce.com Inc, a developer of CRM software. The Current status of this deal is unknown.</t>
  </si>
  <si>
    <t>Tercica Inc</t>
  </si>
  <si>
    <t>Ipsen SA</t>
  </si>
  <si>
    <t>US - Ipsen SA (IS) acquired the remaining 74.7% interest plus options, or 43.478 mil common shares, which it did not already own, in Tercica Inc (TI), a manufacturer of pharmaceuticals, for $9 in cash pre share, or a total value of $360.126 mil. The transaction had been subject to customary closing conditions, regulatory approvals and was approved by TI's board of directors. Concurrently, IS agreed to acquire the Apokyn and US commercial operations of Vernalis PLC.</t>
  </si>
  <si>
    <t>Tornado Acquisition Corp</t>
  </si>
  <si>
    <t>US - Tornado Acquisition Corp, a special purpose acquisition vehicle formed by Sopra Group's Axway Inc subsidiary, acquired all the outstanding common stock of Tumbleweed Communications Corp, a developer of advanced messaging software, for $2.7 in cash per share, or a total value of $141.464 mil. The transaction had been subject to customary closing conditions and regulatory approvals.</t>
  </si>
  <si>
    <t>Hilb Rogal &amp; Hobbs Co</t>
  </si>
  <si>
    <t>Willis Group Holdings Ltd</t>
  </si>
  <si>
    <t>Pvd ins brkg svcs</t>
  </si>
  <si>
    <t>US - Willis Group Holdings Ltd acquired all the outstanding common stock of Hilb Rogal &amp; Hobbs Co, an insurance company, for $1.674 bil. WG offered $46 per share, subject to a collar agreement and to proration whereby 50% of the consideration was to be paid in stock and 50% in cash. The transaction was subject to regulatory and shareholder approvals and customary closing conditions.</t>
  </si>
  <si>
    <t>Cost Plus Inc</t>
  </si>
  <si>
    <t>Ret home furnishings</t>
  </si>
  <si>
    <t>US - Pier 1 Imports Inc (PI) withdrew its plans to acquire all the outstanding common stock of Cost Plus Inc (CP), a retailer of home furnishings, in a stock swap transaction valued at $88.395 mil. PI offered 0.6 common shares per CP share. Based on PI's closing stock price of June 6, the last full trading day prior to the announcement, each CP share was valued at $4.002.</t>
  </si>
  <si>
    <t>HireRight Inc</t>
  </si>
  <si>
    <t>Pvd employment screening svcs</t>
  </si>
  <si>
    <t>US Investigations Services Inc</t>
  </si>
  <si>
    <t>Pvd sec investigation svcs</t>
  </si>
  <si>
    <t>US - US Investigations Services Inc (UI), a unit of Welsh Carson Anderson &amp; Stowe Co, acquired all the outstanding common stock of HireRight Inc, a provider of employment background and drug screening services, for a twice sweetened $19.75 in cash per share, or a total value of $243.522 mil. The transaction had been subject to stockholder, regulatory approval and certain other customary closing conditions. Subsequently, UI offered a sweetened $18.75 in cash per share, or a total value of $232.061 mil. Originally, UI offered $15.6 in cash per share, or a total value of $195.958 mil.</t>
  </si>
  <si>
    <t>Third Wave Technologies Inc</t>
  </si>
  <si>
    <t>Mnf test kits prods</t>
  </si>
  <si>
    <t>US - Hologic Inc (HI) acquired all the outstanding common stock of Third Wave Technologies Inc (TW), a manufacturer of test kits, components and related products, for $11.25 in cash per share, or a total value of $538.336 mil. Earlier, HI completed its tender offer for TW by accepting 45.226 mil shares, or about 89.94% of TW common stock outstanding. The offer was conditioned upon at least a majority of TW's shares being tendered. The transaction had been subject to customary closing conditions and was approved by regulatory authorities.</t>
  </si>
  <si>
    <t>CAM Commerce Solutions Inc</t>
  </si>
  <si>
    <t>Dvlp retailing software</t>
  </si>
  <si>
    <t>US - Great Hill Partners LLC acquired all the outstanding common stock of CAM Commerce Solutions Inc (CC), a developer of retailing software, for $40.5 cash per share, or a total value of $179.521 mil, in a leveraged buyout transaction. The transaction had been subject to CC shareholders' and regulatory approval.</t>
  </si>
  <si>
    <t>Precision Drilling Trust</t>
  </si>
  <si>
    <t>US - Precision Drilling Trust (PD) acquired all the outstanding common stock of Grey Wolf Inc (GW), a provider of oil and gas land drilling services, for an amended $1.624 bil. PD offered $5 in cash and 0.1883 common share per GW share. Based on PD's closing stock price of $21.24 on August 22, the last full trading day prior to the announcement, each GW share was valued at $8.999. Previously, PD offered a twice sweetened $10 per share, or a total value of $1.822 bil. PD offered a choice of cash and units per GW share, subject to proration whereby the cash consideration was not to exceed 50% of the total purchase price. The transaction had been subject to due diligence completion, GW shareholder and regulatory approval. Subsequently, PD offered a sweetened $9.3 per share, or a total value of $1. 677 bil. Originally, PD offered $9 per share, or a total value of $1.624 bil.</t>
  </si>
  <si>
    <t>LS Cable Ltd</t>
  </si>
  <si>
    <t>Mnfr,whl optical cable</t>
  </si>
  <si>
    <t>US - LS Cable Ltd (LC) acquired all the outstanding common stock of Superior Essex Inc (SE), a manufacturer and wholesaler of cable, wire and electric insulation products, for $45 in cash per share, or a total value of $903.187 mil. Earlier, LC completed its tender offer for SE by accepting 18.719 mil shares, or 94.4% of SE's common shares outstanding. The offer was conditioned upon at least a majority of SE's shares being tendered. The transaction was approved by SE's board of directors and was subject to customary closing conditions and regulatory approval.</t>
  </si>
  <si>
    <t>Anheuser-Busch Cos Inc</t>
  </si>
  <si>
    <t>Produce,whl malt beverages</t>
  </si>
  <si>
    <t>InBev NV</t>
  </si>
  <si>
    <t>Produce,whl beers</t>
  </si>
  <si>
    <t>US - InBev NV (IB), a 52.96% owned unit of Stichting Interbrew SA, acquired all the outstanding common stock of Anheuser-Busch Cos Inc (AB) , a producer and wholesaler of malt beverages, for a sweetened $70 in cash per share, or a total value of $52.178 bil. Originally, IB offered $65 in cash per share, or a total value of $48.11 bil. On completion, IB was renamed Anheuser-Busch Inbev. The transaction had been approved by shareholders and regulatory authorities. Previously, in February 2007, IB was rumored to be planning to merge with AB.</t>
  </si>
  <si>
    <t>Mnfr,whl instr-based sys</t>
  </si>
  <si>
    <t>US - Invitrogen Corp (IC) acquired all the outstanding common stock of Applied Biosystems Group, a manufacturer and wholesaler of instrument-based systems, reagents, genomic products, from Applied Corp, in a stock swap transaction valued at $6. 683 bil. IC offered $38 per share, subject to proration, whereby 45% was to be paid in cash and 55% in common shares. The transaction had been subject to regulatory and shareholder approvals. On completion, the combined company was renamed Applied Biosystems Inc.</t>
  </si>
  <si>
    <t>Friedman Fleischer &amp; Lowe LLC</t>
  </si>
  <si>
    <t>US - Friedman Fleischer &amp; Lowe LLC (FF) withdrew its definitive agreement to acquire all the outstanding common stock of Loring Ward International Ltd (LW), a provider of financial and life management services, for a sweetened $17.35 in cash per share, or a total value of $137.292 mil, in a leveraged buyout transaction.. Originally, FF offered $16.5 in cash per share, or a total value of $130.719 mil. The transaction was to be effected via a scheme of arrangement, and was subject to customary closing conditions, regulatory and LW shareholder approvals. Subsequently, Alan Werba Acquisition Corp withdrew its plans to launch an unsolicited challenging tender offer to acquire all the outstanding common stock of LW.</t>
  </si>
  <si>
    <t>Greenfield Online Inc</t>
  </si>
  <si>
    <t>Pvd online mktg research svcs</t>
  </si>
  <si>
    <t>Quadrangle Group LLC</t>
  </si>
  <si>
    <t>US - Quadrangle Group LLC withdrew its agreement to acquire all the outstanding common stock of Greenfield Online Inc (GO), a provider of online marketing research services, via a tender offer for $15.5 in cash per share, or a total value of $425.627 mil, in a leveraged buyout transaction. The transaction was subject to customary closing conditions, GO shareholders' and regulatory approval.</t>
  </si>
  <si>
    <t>PFF Bancorp Inc,CA</t>
  </si>
  <si>
    <t>US - FBOP Corp, Oak Park, Illinois, withdrew its definitive agreement acquire all the outstanding common stock of PFF Bancorp Inc (PF), Rancho Cucamonga, California, a savings and loan holding company, for $1.35 in cash per share, or a total value of $30.544 mil. The transaction was subject to customary closing conditions, PF shareholders and regulatory approvals.</t>
  </si>
  <si>
    <t>NWJ Cos Inc</t>
  </si>
  <si>
    <t>US - NWJ Cos Inc withdrew its definitive agreement to acquire all the outstanding common stock of Wilshire Enterprises Inc (WE), an owner and operator of apartment buildings, for $3. 88 in cash per share, or a total value of $30.73 mil. The transaction was approved by WE shareholders, and was subject to customary closing conditions and regulatory approvals.</t>
  </si>
  <si>
    <t>US - Cadence Design Systems Inc withdrew its plans to launch an unsolicited offer to acquire all the outstanding common stock of Mentor Graphics Corp, a developer and wholesaler of support software, for $16 in cash per share, or a total value of $1.455 bil. The transaction was subject to customary closing conditions and regulatory approval.</t>
  </si>
  <si>
    <t>Motive Inc</t>
  </si>
  <si>
    <t>Alcatel Lucent SA</t>
  </si>
  <si>
    <t>Manufacture communication equipment</t>
  </si>
  <si>
    <t>US - Alcatel Lucent SA acquired all the outstanding common stock of Motive Inc (MI), a developer of Internet management software, for $2. 23 in cash per share, or a total value of $62.351 mil. The offer was conditioned upon 63.09% of MI's shares being tendered. The transaction had been subject to customary closing conditions and regulatory approvals.</t>
  </si>
  <si>
    <t>HNB Bancorp Inc,Halifax,PA</t>
  </si>
  <si>
    <t>First Perry Bancorp Inc</t>
  </si>
  <si>
    <t>US - First Perry Bancorp Inc (FP), located in Marysville, Pennsylvania, merged with HNB Bancorp Inc (HB), located in Halifax, Pennsylvania, to form Riverview Financial Corp (RF), in a stock swap transaction valued at $9.945 mil. HB common shareholders were to receive 2.52 RF common shares and FP common shareholders were to receive 2.435 RF common shares per share held. Based on FP's closing stock price of $30.75 on September12, the last full trading day prior to the announcement, each HB share was valued at $31.823. The transaction had been subject to shareholder and regulatory approvals.</t>
  </si>
  <si>
    <t>MEDecision Inc</t>
  </si>
  <si>
    <t>Dvlp health care mgmt software</t>
  </si>
  <si>
    <t>Health Care Service Corp</t>
  </si>
  <si>
    <t>Pvd health insurance services</t>
  </si>
  <si>
    <t>US - Health Care Service Corp acquired all the outstanding common stock of MEDecision Inc (MI), a developer of health care management software, for $7 in cash per share, or a total value of $115.12 mil. The transaction had been subject to customary closing conditions, regulatory and MI shareholder approvals.</t>
  </si>
  <si>
    <t>Hostopia.com Inc</t>
  </si>
  <si>
    <t>Pvd web hosting svcs</t>
  </si>
  <si>
    <t>US - Deluxe Corp acquired all the outstanding common stock of Hostopia.com Inc (HI), a provider of web hosting services, for $10.393 in cash per share, or a total value of $126.503 mil. The transaction had been subject to customary closing conditions and HI stockholders' approval.</t>
  </si>
  <si>
    <t>US - Blackstone Group LP acquired all the outstanding common stock of Apria Healthcare Group Inc (AH), a provider of home healthcare services, for $21 in cash per share, or a total value of $921.181 mil, in a leveraged buyout transaction. The transaction had been subject to customary closing conditions, shareholder and regulatory approval.</t>
  </si>
  <si>
    <t>Insightful Corp</t>
  </si>
  <si>
    <t>Dvlp analytic software</t>
  </si>
  <si>
    <t>Dvlp infrastructure,bus software</t>
  </si>
  <si>
    <t>US - TIBCO Software Inc acquired all the outstanding common stock of Insightful Corp, a developer of analytic and reporting software, for $1.87 in cash per share, or a total value of $24.579 mil. The transaction had been subject to customary closing conditions, stockholders and regulatory approvals.</t>
  </si>
  <si>
    <t>Superior Bancorp,Alabama</t>
  </si>
  <si>
    <t>Natcom Bancshares Inc</t>
  </si>
  <si>
    <t>US - National Bancshares Inc agreed to acquire all the outstanding common stock of Superior Bancorp, a bank holding company. Terms were not disclosed.</t>
  </si>
  <si>
    <t>LTX Corp</t>
  </si>
  <si>
    <t>US - LTX Corp (LC) merged with Credence Systems Corp (CS), a manufacturer of automatic test equipment, in a stock swap transaction valued at $176.645 mil. LC offered 0.6133 common shares per LC share. Based on LC's closing stock price of $2.81 on June 20, the last full trading day prior to the announcement, each LC share was valued at $1.723. The transaction had been subject to customary closing conditions and regulatory approval. On completion of the merger, LC and CS owned 50.02% and 49.98% respectively.</t>
  </si>
  <si>
    <t>Safran SA</t>
  </si>
  <si>
    <t>US - Safran SA withdrew its plans to launch an unsolicited challenging offer to acquire all the outstanding common stock of Digimarc Corp, a provider of digital watermarking solutions and services, for $300 mil in cash. The transaction was subject to due diligence, customary closing conditions and regulatory approvals. Previously, L-1 Identity Solutions Inc acquired all the outstanding common stock of DC, for an estimated $245 mil.</t>
  </si>
  <si>
    <t>Republic Services Inc</t>
  </si>
  <si>
    <t>US - Republic Services Inc (Republic) merged with Allied Waste Industries Inc (Allied), a Phoenix-based provider of waste collection services, in a stock swap transaction valued at USD 6.114 bil. Republic offered 0.45 common shares per Alliance share. Based on Republic's closing stock of USD 31.19 on 20 June 2008, the last full trading day prior to the announcement, each Alliance share was valued at USD 14.036. The transaction had been subject to customary closing conditions and was approved by both boards of directors. Originally, Republic was rumored to be planning to merge with Alliance.</t>
  </si>
  <si>
    <t>Barrier Therapeutics Inc</t>
  </si>
  <si>
    <t>US - Stiefel Laboratories Inc acquired all the outstanding common stock of Barrier Therapeutics Inc (BT), a manufacturer of pharmaceuticals, for $4.15 in cash per share, or a total value of $147.187 mil. The offer had been conditioned upon at least a majority of BT's shares being tendered. The transaction had been subject to customary closing conditions and regulatory approvals.</t>
  </si>
  <si>
    <t>Corn Products Intl Inc</t>
  </si>
  <si>
    <t>Produce processed corn prod</t>
  </si>
  <si>
    <t>Bunge Ltd</t>
  </si>
  <si>
    <t>Produce,whl agricultural prod</t>
  </si>
  <si>
    <t>US - Bunge Ltd withdrew its definitive agreement to acquire all the outstanding common stock of Corn Products International Inc, a producer large variety of food ingredients and industrial products, for $56 per share, or a total value of $4.706 bil, including the assumption of an estimated $414 mil in liabilities, subject to a collar agreement. The transaction was subject to customary closing conditions, shareholder and regulatory approval.</t>
  </si>
  <si>
    <t>Specialty Underwriters Inc</t>
  </si>
  <si>
    <t>Pvd coml,casualty ins svcs</t>
  </si>
  <si>
    <t>Hallmark Financial Svcs Inc</t>
  </si>
  <si>
    <t>US - Hallmark Financial Services Inc planned to launch an unsolicited tender offer to acquire the remaining 90.4% interest, or 13.286 mil shares, which it did not already own, in Specialty Underwriters' Alliance Inc (Specialty), a Chicago-based provider of commercial and casualty insurance services. Subsequently, Tower Group Inc (Tower) acquired the entire share capital of Specialty.</t>
  </si>
  <si>
    <t>Memry Corp</t>
  </si>
  <si>
    <t>Mnfr nickel-titanium prod</t>
  </si>
  <si>
    <t>SAES Getters SpA</t>
  </si>
  <si>
    <t>US - SAES Getters SpA, a 62. 11% owned unit of SGG Holding SpA, acquired all the outstanding common stock of Memry Corp, a manufacturer of nickel-titanium products, for $2.51 in cash per share, or a total value of $76.953 mil. The transaction, which was approved by both boards of directors, had been subject to customary closing conditions, regulatory and shareholder approvals.</t>
  </si>
  <si>
    <t>Stewart Enterprises Inc</t>
  </si>
  <si>
    <t>US - Service Corp International (SC) withdrew its plans to launch an unsolicited offer to acquire all the outstanding common stock of Stewart Enterprises Inc, an owner and operator of funeral homes and cemeteries, for a sweetened $11 in cash per share, or a total value of $1.029 bil. Originally, SC offered $9.5 in cash per share, or a total value of $887.252 mil.</t>
  </si>
  <si>
    <t>Community Bankshares Inc</t>
  </si>
  <si>
    <t>First Citizens Bank &amp; Tr of SC</t>
  </si>
  <si>
    <t>US - First Citizens Bank &amp; Trust Co Inc, Raleigh, North Carolina, a unit of First Citizens BancShares Inc, acquired all the outstanding common stock of Community Bankshares Inc (CB), for $21 in cash per share, or a total value of $96.053 mil. The transaction, which was approved by both boards of directors, had been subject to CB shareholder and regulatory approvals.</t>
  </si>
  <si>
    <t>Thales SA</t>
  </si>
  <si>
    <t>Mnfr,whl defense equipment</t>
  </si>
  <si>
    <t>US - Thales SA was rumored to be in negotiations to be planning to acquire all the outstanding common stock of DRS Technologies Inc, a manufacturer of defense electronic equipment. The Current status of this deal is unknown.</t>
  </si>
  <si>
    <t>Photon Dynamics Inc</t>
  </si>
  <si>
    <t>Mnfr quality control equip</t>
  </si>
  <si>
    <t>Orbotech Ltd</t>
  </si>
  <si>
    <t>Mnfr,wholesale optical systems</t>
  </si>
  <si>
    <t>US - Orbotech Ltd acquired all the outstanding common stock of Photon Dynamics Inc (PD), a manufacturer of quality control equipment, for $15.6 in cash per share, or a total value of $276.963 mil. The transaction had been subject to customary closing conditions and regulatory and shareholder approvals.</t>
  </si>
  <si>
    <t>Red Lion Hotels Corp</t>
  </si>
  <si>
    <t>Columbia Pac Opportunity Fund</t>
  </si>
  <si>
    <t>US - Columbia Pacific Opportunity Fund LP withdrawn its plans launch an unsolicited offer to acquire the remaining 87.31% interest plus options, or 16.802 mil common shares, which it did not already own, in Red Lion Hotels Corp, an owner and operator of hotels, for $9.5 in cash per share or a total value of $154.406 mil. The transaction was subject to diligence completion.</t>
  </si>
  <si>
    <t>Darwin Professional</t>
  </si>
  <si>
    <t>Pvd liability ins svcs</t>
  </si>
  <si>
    <t>Allied World Assur Co Hldgs</t>
  </si>
  <si>
    <t>US - Allied World Assurance Co Holdings Ltd acquired all the outstanding common stock of Darwin Professional Underwriters Inc, a provider of professional liability coverage services, from Alleghany Insurance Holdings LLC, a unit of Alleghany Corp, for $32 in cash per share, or a total value of $547.4 mil. The transaction had been subject to customary closing conditions, shareholder and regulatory approvals.</t>
  </si>
  <si>
    <t>MGL Asset Management LLC</t>
  </si>
  <si>
    <t>US - MGL Asset Management LLC planned to acquire Krispy Kreme Doughnuts Inc, a retailer and wholesaler of doughnuts, for USD 7.25 in cash per share, or a total value of USD 477.503 mil, in a leveraged buyout transaction. The Current status of this deal is unknown.</t>
  </si>
  <si>
    <t>MiddleBrook Pharma Inc</t>
  </si>
  <si>
    <t>Mnfr pharma</t>
  </si>
  <si>
    <t>Equity Group Investments LLC</t>
  </si>
  <si>
    <t>US - Equity Group Investments LLC acquired a 54. 11% interest, or 30.303 mil common shares in MiddleBrook Pharmaceuticals Inc (MP), a manufacturer of prescription pharmaceuticals, for $3.30 per share, or a total value of $100 mil. The transaction was subject shareholders approval and customary closing conditions. Concurrently, MP acquired the Keflex assets of Deerfield Management.</t>
  </si>
  <si>
    <t>Northstar Neuroscience Inc</t>
  </si>
  <si>
    <t>Dvlp,mnfr med device</t>
  </si>
  <si>
    <t>Tang Capital Partners LP</t>
  </si>
  <si>
    <t>US - Tang Capital Partners LP planned to acquire the remaining 82% interest plus options, or 22.351 mil common shares, which it did not already own, in Northstar Neuroscience Inc, a manufacturer and developer of medical device focused on cortical stimulation therapies, for $2.25 in cash per share, or a total value of $48.157 mil. The transaction was subject to customary closing conditions and regulatory approval.</t>
  </si>
  <si>
    <t>APP Pharmaceuticals Inc</t>
  </si>
  <si>
    <t>Fresenius SE</t>
  </si>
  <si>
    <t>US - Fresenius SE acquired all the outstanding common stock of APP Pharmaceuticals Inc, a manufacturer, wholesaler and developer of pharmaceutical products, for $23 in cash per share, or a total value of $5.628 bil, including the assumption of $940 mil in liabilities and up to $970 mil in contingent value rights (CVR). The transaction was approved by regulatory authorities and had been subject to customary closing conditions.</t>
  </si>
  <si>
    <t>SGX Pharmaceuticals Inc</t>
  </si>
  <si>
    <t>US - Eli Lilly &amp; Co acquired all the outstanding common stock of SGX Pharmaceuticals Inc (SP), a biotechnology company, for $3 in cash per share, or a total value of $63.354 mil. The transaction had been subject to customary closing conditions and regulatory and SP shareholder approvals.</t>
  </si>
  <si>
    <t>China Tel Group Inc</t>
  </si>
  <si>
    <t>Asia Special Situation Acq</t>
  </si>
  <si>
    <t>Cayman Islands</t>
  </si>
  <si>
    <t>US - Asia Special Situation Acquisition Corp withdrew its agreement to acquire a 60. 758% interest, or 46.667 mil common shares, in China Tel Group Inc, a provider of telecommunication services, for $2.25 per share, or a total value of $105 mil. The transaction was subject to due diligence, customary closing conditions and shareholder approval.</t>
  </si>
  <si>
    <t>GSI Group Inc</t>
  </si>
  <si>
    <t>Mnfr laser-based sys</t>
  </si>
  <si>
    <t>US - GSI Group Inc acquired all the outstanding common stock of Excel Technology Inc (ET), a manufacturer of laser systems and electro-optical components, via a tender offer for $32 in cash per share, or a total value of $358.795 mil, by accepting 8. 572 mil shares, or 72.04% of ET's common shares outstanding. The transaction had been subject to customary closing conditions and regulatory approvals.</t>
  </si>
  <si>
    <t>US - Dow Chemical Co (DC) acquired all the outstanding common stock of Rohm &amp; Haas Co (RH), a manufacturer of polymers and resins, for $78 in cash per share, or a total value of $15.513 bil. The transaction was approved by DC and RH's board of directors, and was subject to customary closing conditions, shareholder and regulatory approvals.</t>
  </si>
  <si>
    <t>Manufacture,wholesale specialty chemicals</t>
  </si>
  <si>
    <t>US - Ashland Inc (AI) merged with Hercules Inc (HI), a manufacturer and wholesaler of chemicals, in a transaction valued at $3.323 bil, including the assumption of an estimated $700 mil in liabilities. AI offered $18.6 in cash and 0.093 shares per HI share. Based on AI's closing stock price of $17.3 on November 12, the last full trading day prior to the announcement, each HI share was valued at $1.609. The transaction had been subject to regulatory and shareholders' approvals and other customary closing conditions.</t>
  </si>
  <si>
    <t>Pvd RE invest,mgmt svcs</t>
  </si>
  <si>
    <t>US - A management-led investor group including Mr. A.F. Petrocelli, terminated its plans to acquire the entire share capital of United Capital Corp, a provider of real estate investment and management services, for $23 per share, or a total value of $190.09 mil, in a leveraged buyout transaction.</t>
  </si>
  <si>
    <t>Chaparral Energy Inc</t>
  </si>
  <si>
    <t>US - Chaparral Energy Inc (CE) withdrew its definitive agreement to acquire all the outstanding common stock of Edge Petroleum Corp (EP), an oil and gas exploration and production company, in a stock swap transaction valued at $189.606 mil. CE offered 0. 2511 new CE common shares per EP share, and one 5.75% Series A Cumulative Convertible Perpetual Preferred Stock per EP 5.75% Series A Cumulative Convertible Perpetual Preferred Stock. The preferred shares were valued based on the intiial conversion price of $65.95 per CE share . Upon completion, CE and EP were to own 86% and 14% in the merged entity, respectively. The transaction was subject to customary closing conditions, EP shareholders and regulatory approvals.</t>
  </si>
  <si>
    <t>US - Waste Management Inc (WM) withdrew its plans to acquire all the outstanding common stock of Republic Services Inc (RS), a provider of solid waste collection, transfer, recycling and disposal services, for a sweetened $37 in cash per share, or a total value of $7. 016 bil. The transaction was subject to regulatory approval. Originally, WM offered $34 in cash per share, or a total value of $6.294 bil.</t>
  </si>
  <si>
    <t>Globe Bancorp Inc,Metairie,LA</t>
  </si>
  <si>
    <t>First Tr Corp,New Orleans,LA</t>
  </si>
  <si>
    <t>US - First Trust Corp acquired the entire share capital of Globe Bancorp Inc (GB), a Metairie-based bank holding company, for USD 21.1 per share, or a total value of USD 5.781 mil. The transaction included Globe Homestead Savings Bank.</t>
  </si>
  <si>
    <t>Lev Pharmaceuticals Inc</t>
  </si>
  <si>
    <t>ViroPharma Inc</t>
  </si>
  <si>
    <t>Mnfr,whl biopharmaceuticals</t>
  </si>
  <si>
    <t>US - ViroPharma Inc (VP) acquired all the outstanding common stock of Lev Pharmaceuticals Inc (LP), a manufacturer of pharmaceuticals, for $2.25 in cash and $0.50 common share per LP share, or a total value of $583.219 mil, including up to $142.329 mil in profit related payments, subject to a collar agreement. The transaction was subject to customary closing conditions and LP shareholder approval and was approved by VP and LP's board of directors.</t>
  </si>
  <si>
    <t>Aquest Systems Corp</t>
  </si>
  <si>
    <t>Mnfr automation equip</t>
  </si>
  <si>
    <t>US - Aquest Systems Corp withdrew its plans to launch an unsolicited offer to acquire all the outstanding common stock of Asyst Technologies Inc, a manufacturer of automated industrial products, for $6. 50 in cash per share, or a total value of $329.839 mil.</t>
  </si>
  <si>
    <t>Alpha Natural Resources Inc</t>
  </si>
  <si>
    <t>US - Cleveland-Cliffs Inc (CC) withdrew its definitive agreement to merge with Alpha Natural Resources Inc (AN), a coal mining company, in a stock swap transaction valued at $9.089 bil. CC offered $22. 23 in cash and 0.95 common shares for every common AN share. Based CCs closing stock price of 111.46 on July 15, the last full trading day prior to announcement, each AN share was valued at $7.444 bil. The transaction was subject to customary closing conditions, regulatory and shareholder approval. Upon completion, the merged entity was to be renamed Cliffs Natural Resources.</t>
  </si>
  <si>
    <t>Pvd info solutions svcs</t>
  </si>
  <si>
    <t>US - Convergys Corp (CC) acquired all the outstanding common stock of Intervoice Inc (IV), a provider of personalized, multi-channel automated information solutions services, for $8.25 in cash per share, or a total value of $322.625 mil. Earlier, CC completed its tender offer for IV by accepting 34.765 mil shares, or 89% of IV's common shares outstanding. The offer was conditioned upon at least 66. 67% of IV's shares being tendered. The transaction had been subject to customary closing conditions and regulatory approval.</t>
  </si>
  <si>
    <t>Catalyst Semiconductor Inc</t>
  </si>
  <si>
    <t>US - ON Semiconductor Corp (OS), a majority-owned unit of TPG Capital LP, acquired all the outstanding common stock of Catalyst Semiconductor Inc (CS), a manufacturer and wholesaler of semiconductors, in a stock swap transaction valued at $110.407 mil. OS offered 0. 706 common shares per CS share. Based on OS' closing stock price of $8.84 on July 16, the last full trading day prior to the announcement, each CS share was valued at $6.241. The transaction had been subject to customary closing conditions, CS shareholders and regulatory approvals.</t>
  </si>
  <si>
    <t>US - In July 2008, Southern Union Co, a gas utility company, discontinued rumors that it was seeking a buyer for the company.</t>
  </si>
  <si>
    <t>SunPower Corp</t>
  </si>
  <si>
    <t>Mnfr solar cells</t>
  </si>
  <si>
    <t>US - Cypress Semiconductor Corp (CS) completed the spin off its 52.77% interest, or 44.533 mil Class B common shares, in SunPower Corp (SC), a manufacturer of solar cells, to its shareholders, in a transaction valued at $2. 666 bil. CS shareholders received 0.27426764 SC common shares for every common share held. The shares were valued based on SC's closing stock price of $59.86 on September 29, the first full trading day on which the shares were distributed. The transaction had been subject to customary closing conditions.</t>
  </si>
  <si>
    <t>Barr Pharmaceuticals Inc</t>
  </si>
  <si>
    <t>US - Teva Pharmaceutical Industries Ltd (TP) acquired all the outstanding common stock of Barr Pharmaceuticals Inc (BP), a manufacturer, wholesaler and developer of generic and proprietary prescription pharmaceuticals, in a transaction valued at $8. 81 bil. TP offered 0.6272 common shares and $39.90 in cash per TP share. Based on TP's closing stock price of July 17, the last full trading day prior to the announcement, each BP share was valued at $65.647. The transaction was approved by TP and BP's board of directors and was subject to customary closing conditions and BP shareholder approval. Originally, TP was rumored to be planning to acquire all the outstanding stock of BP.</t>
  </si>
  <si>
    <t>Columbia Financial Corp</t>
  </si>
  <si>
    <t>CCFNB Bancorp Inc</t>
  </si>
  <si>
    <t>US - CCFNB Bancorp Inc (CB) merged with Columbia Financial Corp (CF), a bank holding company, in a stock swap merger of equals transaction valued at $22.566 mil. CB offered 0.72 common shares per CF share. Based on CB's closing stock price of $21.9 on July 17, the last full trading day prior to the announcement, each CF share was valued at $15.768. On completion, the merged entity retained the name CB.</t>
  </si>
  <si>
    <t>Bluegreen Corp</t>
  </si>
  <si>
    <t>Own,op,manages resorts</t>
  </si>
  <si>
    <t>US - Diamond Resorts LLC withdrew its Letter of Intent {LoI} to acquire the entire share capital of Bluegreen Corp, a Boca Raton-based owner and operator of resorts, for USD 15 per share, or a total value of USD 474.089 mil.</t>
  </si>
  <si>
    <t>Cmnty Bk of Orange NA,NY</t>
  </si>
  <si>
    <t>US - An investor group, led by Kenneth Torsoe, acquired all the outstanding common stock of Community Bank of Orange NA, Middletown, New York, a commercial bank, via a tender offer for $3.5 per share, or a total value of $2. 716 mil. The transaction was subject to customary closing conditions and regulatory approvals.</t>
  </si>
  <si>
    <t>Foundry Networks Inc</t>
  </si>
  <si>
    <t>Mnfr switches,routers</t>
  </si>
  <si>
    <t>US - Brocade Communications Systems Inc (BC) acquired all the outstanding common stock of Foundry Networks Inc (FN), a manufacturer of routers and switches, for an amended $16. 5 in cash per share, or a total value of $2.41 bil. Originally, BC offered $18.50 in cash and 0.0907 common shares per FN share, or a total value of $2.896 bil. The transaction had been subject to customary closing conditions, shareholder and regulatory approval.</t>
  </si>
  <si>
    <t>US - Roche Holding AG (RH) completed its tender offer to acquire the remaining 44.25% stake plus options, or 538. 157 mil common shares, which it did not already own, in Genentech Inc, a biotechnology company, for a twice sweetened $95 in cash per share, or a total value of $46.695 bil. Previously, RH launched a hostile tender offer for a sweetened $93 in cash per share, or a total value of $45.619 bil. Previously, RH offered an amended $86.5 in cash per share, or a total value of $42.46 bil. Originally, RH offered $89 in cash per share, or a total value of $43.655 bil. The transaction was approved and recommended by GI's board and had been subject to customary closing conditions, regulatory and shareholder approvals.</t>
  </si>
  <si>
    <t>Sterling Mining Co</t>
  </si>
  <si>
    <t>Silver mining co</t>
  </si>
  <si>
    <t>Minco Silver Corp</t>
  </si>
  <si>
    <t>US - Minco Silver Corp (MS) withdrew its agreement to acquire all the outstanding common stock of Sterling Mining Co (SM), a silver mining company, in a stock swap transaction valued at $62.153 mil. MS offered 0.51 common shares per SM share. Based on MS's closing stock price of $3.09 on July 21, the last full trading day prior to the announcement, each SM share was valued at $1.576. The transaction was subject to due diligence, SM shareholder and regulatory approvals. Upon completion MS was to own 61% and SM was to own 39% of the combined company.</t>
  </si>
  <si>
    <t>Philadelphia Consolidated Hold</t>
  </si>
  <si>
    <t>Tokio Marine Holdings Inc</t>
  </si>
  <si>
    <t>US - Tokio Marine Holdings Inc, through its Tokio Marine &amp; Nichido Fire Insurance Co Ltd subsidiary, acquired all the outstanding common stock of Philadelphia Consolidated Holdings Corp, a provider of property and casualty insurance services, for $61.5 in cash per share, or a total value of $4.692 bil. The transaction had been subject to regulatory approval.</t>
  </si>
  <si>
    <t>US - GE Healthcare Ltd (GE), a unit of General Electric Co, acquired all the outstanding common stock of Vital Signs Inc (VS), a manufacturer and wholesaler of medical products, for $74.50 in cash per share, or a total value of $1.007 bil. The transaction has been approved by GE and VS's boards of directors, and had been subject to VS shareholder and regulatory approvals.</t>
  </si>
  <si>
    <t>SkyTerra Communications Inc</t>
  </si>
  <si>
    <t>Pvd mobile commun svcs</t>
  </si>
  <si>
    <t>Harbinger Capital Partners LLC</t>
  </si>
  <si>
    <t>US - Harbinger Capital Partners, a unit of Harbert Management Corp, raised its interest to 71.6% from 48.43%, by acquiring a 23.17% stake, or 25 mil common shares, in SkyTerra Communications Inc, a provider of mobile digital voice and data communications services, from TerreStar Corp, for $0.01 per share, or a total value of $0.25 mil, in a privately negotiated transaction. The transaction was subject to regulatory approvals.</t>
  </si>
  <si>
    <t>EnergySouth Inc</t>
  </si>
  <si>
    <t>US - Sempra Energy Inc merged with EnergySouth Inc (EI), a provider of natural gas distribution and midstream services, for $61.5 in cash per share, or a total value of $512.932 mil. The transaction had been subject to customary closing conditions, EI shareholders and regulatory approvals.</t>
  </si>
  <si>
    <t>Meadow Valley Corp</t>
  </si>
  <si>
    <t>Pvd constr contractor svcs</t>
  </si>
  <si>
    <t>Insight Equity Holdings LLC</t>
  </si>
  <si>
    <t>US - Insight Equity I LP acquired all the outstanding common stock of Meadow Valley Corp, a provider of construction contractor services, for $11.25 in cash per share, or a total value of $60.148 mil, in a leveraged buyout transaction. The transaction had been subject to shareholders approval and other customary closing conditions.</t>
  </si>
  <si>
    <t>BASF SE</t>
  </si>
  <si>
    <t>Manufacture chemical products</t>
  </si>
  <si>
    <t>US - BASF SE was rumored to be planning to acquire all the outstanding common stock of WR Grace &amp; Co, a manufacturer of catalysts, chemical additives, engineered materials, chromatography columns and silica-based products. The Current status of this deal is unknown.</t>
  </si>
  <si>
    <t>US - Bristol-Myers Squibb Co (BS) withdrew its plans to launch a hostile tender offer to acquire the remaining 83% interest, or 81.443 mil common shares plus options, which it did not already own, in ImClone Systems Inc (IC), a biotechnology company, for a sweetened $62 in cash per share, or a total value of $4. 671 bil. Originally, BS offered $60 in cash per share, or a total value of $4.508 bil. Subsequently, Eli Lilly &amp; Co definitively agreed to acquire all the outstanding common stock of IC.</t>
  </si>
  <si>
    <t>US - Mr. Firoz Lalji acquired the remaining 46% stake, or 6.082 mil common shares, which it did not already own, in Zones Inc (ZI) , a wholesaler of information technology products, for an amended $7 in cash per share, or a total value of $42.571 mil, in a going private transaction. Originally, Mr. Firoz offered $8.65 in cash per share, or a total value of $52.606 mil. The transaction was approved by ZI's board of directors.</t>
  </si>
  <si>
    <t>Aegis BPO Services Ltd</t>
  </si>
  <si>
    <t>US - Aegis BPO Services Ltd, a majority-owned unit of Essar Group, through its subsidiary Essar Services (Mauritus), merged with PeopleSupport Inc (PS), a provider of business process outsourcing services, for $12. 25 in cash per share, or a total value of $264.293 mil. The transaction had been subject to customary closing conditions, PS shareholders and regulatory approvals.</t>
  </si>
  <si>
    <t>Endocare Inc</t>
  </si>
  <si>
    <t>Mnfr urological prod</t>
  </si>
  <si>
    <t>Healthtronics Inc</t>
  </si>
  <si>
    <t>US - HealthTronics Inc withdrew its plans to launch an unsolicited tender offer to acquire all the outstanding common stock of Endocare Inc, a manufacturer, developer and marketer of an array of temperature-based surgical devices, for $2.28 in cash per share, or a total value of $26.918 mil.</t>
  </si>
  <si>
    <t>US - JDA Software Group Inc withdrew its definitive agreement to acquire all the outstanding common stock of i2 Technologies Inc (i2), a developer of client/server- based decision support software products, for $14.86 in cash per share, or a total value of $326.928 mil. The transaction was subject to customary closing conditions, i2 shareholders and regulatory approvals.</t>
  </si>
  <si>
    <t>Longs Drug Stores Corp</t>
  </si>
  <si>
    <t>CVS Health Corp</t>
  </si>
  <si>
    <t>US - CVS Caremark Corp (CC) acquired all the outstanding common stock of Longs Drug Stores Corp (LD), an owner and operator of retail drug stores, for $71.5 in cash per share, or a total value of $2. 637 bil. Earlier, CC completed its tender offer for LD by accepting 28.317 mil common shares, or 79.12% of LD's common shares outstanding. The offer was conditioned upon at least 66. 67% of CB shares being tendered. The transaction had been subject to customary closing conditions and regulatory approval. Concurrently, Walgreen Co withdrew its plans to launch a challenging tender offer to acquire all the outstanding common stock of CB.</t>
  </si>
  <si>
    <t>Reis Inc</t>
  </si>
  <si>
    <t>Pvd online re info svcs</t>
  </si>
  <si>
    <t>CoStar Group Inc</t>
  </si>
  <si>
    <t>Pvd information marketing svcs</t>
  </si>
  <si>
    <t>US - CoStar Group Inc (CS) withdrew its plans to launch an unsolicited offer to acquire all the outstanding common stock of Reis Inc (RI), a provider of information retrieval services, for $8.75 in cash per share, or a total value of $96.933 mil. The transaction was subject to CS and RI's boards' approvals.</t>
  </si>
  <si>
    <t>Turbochef Technologies Inc</t>
  </si>
  <si>
    <t>Mnfr,whl advanced ovens</t>
  </si>
  <si>
    <t>The Middleby Corp</t>
  </si>
  <si>
    <t>Mnfr,whl commercial cooking machines</t>
  </si>
  <si>
    <t>US - Middleby Corp (MC) merged with Turbochef Technologies Inc (TT), a manufacturer and wholesaler of advanced ovens, for $198. 302 mil. MC offered $3.67 in cash and 0.0486 share per TT share. Based on MC's closing stock price of $57.6 on August 11, the last full trading day prior to announcement, each TT share was valued at $6.469. The transaction had been subject to regulatory and shareholders approvals, and other customary closing conditions.</t>
  </si>
  <si>
    <t>Bank of Tokyo-Mitsubishi UFJ</t>
  </si>
  <si>
    <t>US - Bank of Tokyo-Mitsubishi UFJ Ltd (BT), a unit of Mitsubishi UFJ Financial Group Inc, acquired the remaining 34.6% stake plus options, or 57.466 mil common shares, which it did not already own, in UnionBanCal Corp, a commercial bank holding company, for a sweetened $73.5 in cash per share, or a total value of $3. 707 bil, via a tender offer. Originally BT offered $63 in cash, or a total value of $3. 126 bil. The transaction was conditioned upon at least 90% of the shares being tendered.</t>
  </si>
  <si>
    <t>Heelys Inc</t>
  </si>
  <si>
    <t>Manufacture,whl athletic shoes</t>
  </si>
  <si>
    <t>Skechers USA Inc</t>
  </si>
  <si>
    <t>US - Skechers USA Inc withdrew its plans to launch a tender offer to acquire all the outstanding common stock of Heelys Inc, a manufacturer of athletic shoes, for USD 5. 25 in cash per share, or a total value of USD 143.45 mil. The transaction was subject to due diligence and customary closing conditions.</t>
  </si>
  <si>
    <t>Morgans Hotel Group Co</t>
  </si>
  <si>
    <t>Own,operate boutique hotels</t>
  </si>
  <si>
    <t>Zabeel Investments LLC</t>
  </si>
  <si>
    <t>US - Morgans Hotel Group Co (MH), an owner and operator of boutique hotels, was rumored to be seeking a buyer for the company. Zabeel Investments LLC and UAE-state owned Mubadala Development Co were named potential bidders. The Current status of this deal is unknown.</t>
  </si>
  <si>
    <t>US - Vishay Intertechnology Inc (VI) terminated its hostile tender offer to acquire all the outstanding common stock of International Rectifier Corp, a manufacturer of power management semiconductors, for a sweetened $23 in cash per share, or a total value of $1.682 bil. The transaction was subject to due diligence and customary closing conditions. Originally, VI offered $21.22 in cash per share, or a total value of $1.55 bil.</t>
  </si>
  <si>
    <t>Industrial Rubber Products Inc</t>
  </si>
  <si>
    <t>Mnfr,whl elastomeric materials</t>
  </si>
  <si>
    <t>US - Industrial Rubber Products Inc SPV, a special purpose acquisition vehicle formed by Lime Rock Partners and Thompson Street Capital Partners, merged with Industrial Rubber Products Inc, a manufacturer and wholesaler of elastomeric protective materials, for $16. 5 in cash per share, or a total value of $90.057 mil, in a leveraged buyout transaction. The transaction had been subject to customary closing conditions and shareholder approval.</t>
  </si>
  <si>
    <t>Interval Leisure Group Inc</t>
  </si>
  <si>
    <t>Pvd membership,leisure svcs</t>
  </si>
  <si>
    <t>US - IAC/InterActiveCorp (II) (IC), completed the spin off its Interval Leisure Group Inc (ILG) unit, a provider of membership services, to its shareholders, in a transaction valued at $888. 060 mil. IC shareholders received 0.2 HI share per IC share. The shares were valued based on ILG's closing stock price of $15.88 on August 21, the first full trading day on which the shares were distributed. Concurrently, II completed the spin off its HSN Inc, Ticketmaster and LendingTree Inc.</t>
  </si>
  <si>
    <t>US - King Pharmaceuticals Inc (KP) acquired all the outstanding common stock of Alpharma Inc, a manufacturer of pharmaceuticals, via a tender offer for a sweetened $37 in cash per share, or a total value of $1.565 bil. The transaction had been subject to regulatory approval. Originally, KP offered $33 in cash per share, or a total value of $1.392 bil. Concurrently, Actavis Elizabeth LLC acquired the Kadian product line of KP.</t>
  </si>
  <si>
    <t>Gold Reserve Inc</t>
  </si>
  <si>
    <t>Rusoro Mining Ltd</t>
  </si>
  <si>
    <t>US - Rusoro Mining Ltd (RM) withdrew its unsolicited tender offer to acquire all the outstanding common stock of Gold Reserve Inc (GR), a gold mining company, in a stock swap transaction valued at an amended $56.565 mil. RM offered 3 common shares per GR share. Based on RM's closing stock price of $.344 on December 12, the last full trading day prior to the amendment of terms, each GR share was valued at $1.032. Originally, GR offered 2 common shares per GR share.</t>
  </si>
  <si>
    <t>IKON Office Solutions Inc</t>
  </si>
  <si>
    <t>Whl document mgmt sys</t>
  </si>
  <si>
    <t>Ricoh Co Ltd</t>
  </si>
  <si>
    <t>Mnfr,whl copiers,fax machines</t>
  </si>
  <si>
    <t>US - Ricoh Co Ltd acquired all the outstanding common stock of IKON Office Solutions Inc, a wholesaler of document management systems, including copiers, printers and MFP technologies from leading manufacturers, for $17.25 in cash per share, or a total value of $1.664 bil. The transaction was approved by shareholders and was subjected to customary closing conditions and regulatory approval.</t>
  </si>
  <si>
    <t>Orange 21 Inc</t>
  </si>
  <si>
    <t>Mnfr,whl action sports prod</t>
  </si>
  <si>
    <t>Costa Brava Partnership III LP</t>
  </si>
  <si>
    <t>US - Costa Brava Partnership III LP terminated its plans to launch a tender offer to acquire the remaining 90.56% interest, or 7.4 mil common shares in Orange 21 Inc, an action sports products manufacturer, for $3.9 in cash per share, or a total value of $28.859 mil. The transaction was subject to due diligence completion and customary closing conditions.</t>
  </si>
  <si>
    <t>SI International Inc</t>
  </si>
  <si>
    <t>Serco Inc</t>
  </si>
  <si>
    <t>US - Serco Inc, a unit of Serco Group PLC, acquired all the outstanding common stock of SI International Inc (SI), a provider of information technology services, for $32 in cash per share, or a total value of $525.679 mil, including the assumption of $87.3 mil in liabilities. The transaction had been subject to customary closing conditions, SI shareholders and regulatory approvals.</t>
  </si>
  <si>
    <t>Ficaar Inc</t>
  </si>
  <si>
    <t>Belmont Partners LLC</t>
  </si>
  <si>
    <t>Pvd financial consulting svcs</t>
  </si>
  <si>
    <t>US - Belmont Partners LLC acquired a 51% interest, or 4, 101 common shares, in Ficaar Inc, a provider of telecommunications services, an 83.9% interest-owned by BluePoint Financial Group, for $0.06 mil.</t>
  </si>
  <si>
    <t>BlackRock Enhanced Eq Yield</t>
  </si>
  <si>
    <t>Closed-end mgmt invest co</t>
  </si>
  <si>
    <t>BlackRock Enhanced Capital</t>
  </si>
  <si>
    <t>US - BlackRock Enhanced Capital &amp; Income Fund Inc (BE) planned to acquire all the outstanding common stock of BlackRock Enhanced Equity Yield Fund Inc, a closed-end investment management company. Concurrently, BE planned to acquire all the outstanding common stock of BlackRock Enhanced Equity Yield &amp; Premium Fund Inc.</t>
  </si>
  <si>
    <t>BlackRock Enhcd Eq Yield &amp; Pre</t>
  </si>
  <si>
    <t>US - BlackRock Enhanced Capital &amp; Income Fund Inc (BE) planned to acquire all the outstanding common stock of BlackRock Enhanced Equity Yield &amp; Premium Fund Inc, a closed-end investment fund. Concurrently, BE planned to acquire all the outstanding common stock of BlackRock Enhanced Equity Yield Fund Inc.</t>
  </si>
  <si>
    <t>Crisp Acquisition Corp</t>
  </si>
  <si>
    <t>US - Crisp Acquisition Corp, a special purpose acquisition vehicle and a wholly-owned unit of Microsoft Corp, completed its tender offer to acquire all the outstanding common stock of Greenfield Online Inc (GO), a provider of online marketing research and survey research services, for $17.5 in cash per share, or a total value of $478.691 mil. The offer was conditioned upon at least a majority of GO's shares being tendered on a fully-diluted basis. The transaction had been subject to customary closing conditions, regulatory and stockholder approvals. Concurrently, ZM Capital LP planned to acquire the Internet survey solutions business of GO.</t>
  </si>
  <si>
    <t>Sciele Pharma Inc</t>
  </si>
  <si>
    <t>Mnfr,whl prescription drugs</t>
  </si>
  <si>
    <t>Shionogi &amp; Co Ltd</t>
  </si>
  <si>
    <t>US - Shionogi &amp; Co Ltd (SC) acquired all the outstanding common stock of Sciele Pharma Inc (SP), a manufacturer and wholesaler of prescription drugs, via a tender offer for $31 in cash per share, or a total value of $1.023 bil. Earlier, SC completed its tender offer for SP by accepting 27.135 mil shares, or 85.76% of SP's common shares outstanding. The transaction had been subject to regulatory approval.</t>
  </si>
  <si>
    <t>Eagle Test Systems Inc</t>
  </si>
  <si>
    <t>US - Teradyne Inc acquired all the outstanding common stock of Eagle Test Systems Inc (ET), a manufacturer of automated test equipment, for $15.65 in cash per share, or a total value of $363.053 mil. The transaction was approved by ET shareholders and has been subject to customary closing conditions and regulatory approval.</t>
  </si>
  <si>
    <t>Intl Shipholding Corp</t>
  </si>
  <si>
    <t>Pvd water transp svcs</t>
  </si>
  <si>
    <t>Projection LLC</t>
  </si>
  <si>
    <t>US - Projection LLC, a unit of Liberty Shipping Group LLC, withdrew its signed Letter of Intent {LoI} to acquire the remaining 94.95% interest, which it did not already own, in International Shipholding Corp, a provider of domestic and international maritime transportation services, for $25.75 in cash per share, or a total value of $180.572 mil. The transaction was subject to due diligence completion, customary closing conditions and regulatory approvals.</t>
  </si>
  <si>
    <t>US - First Merchants Corp (FM), Muncie, Indiana, acquired all the outstanding common stock of Lincoln Bancorp (LB), Plainfield, Indiana, for an estimated $83. 839 mil. FM offered a choice of an estimated $15.76 in cash or 0.7004 FM common shares per LB share. The transaction had been subject to customary closing conditions, shareholder and regulatory approvals.</t>
  </si>
  <si>
    <t>OpenText Corp</t>
  </si>
  <si>
    <t>Dvlp enterprise info mgmt software</t>
  </si>
  <si>
    <t>US - Open Text Corp acquired all the outstanding common stock of Captaris Inc, a developer of business automation software, for $4. 80 in cash per share, or a total value of $128.796 mil. The transaction had been subject to shareholders and regulatory approval, and other customary closing conditions.</t>
  </si>
  <si>
    <t>Seligman Select Municipal Fund</t>
  </si>
  <si>
    <t>National Municipal Class</t>
  </si>
  <si>
    <t>US - National Municipal Class acquired the entire share capital of Seligman Select MunicipalFund Inc, a New York- based financial vehicle.</t>
  </si>
  <si>
    <t>Nevada Chemicals Inc</t>
  </si>
  <si>
    <t>Mnfr,whl liquid sodium cyanide</t>
  </si>
  <si>
    <t>US - An investor group, comprised of Calypso Acquisition Corp and OCM Principal Opportunities Fund IV LP, a unit of Oaktree Capital Management LLC, completed its tender offer to acquire all the outstanding stock of Nevada Chemicals Inc (NC), a manufacturer and wholesaler of liquid cyanide, for $13.37 in cash per share, or a total value of $93.646 mil, by accepting 6.611 mil shares, or about 94.38% of NC's common shares outstanding.</t>
  </si>
  <si>
    <t>Freddie Mac</t>
  </si>
  <si>
    <t>Mtg sec fin co</t>
  </si>
  <si>
    <t>US Dept of the Treasury</t>
  </si>
  <si>
    <t>National agency</t>
  </si>
  <si>
    <t>US - United States Department of the Treasury (DT) acquired a 79.9% interest in Federal Home Loan Mortgage Corp {Freddie Mac}, provider of single-family and multifamily residential mortgages and mortgage- related securities, for $0. 00001 per common share, or a total value of $0.005 mil. Concurrently, DT acquired Federal National Mortgage Association {Fannie Mae}. Since Fannie Mae and Freddie Mac owned or guaranteed about half of the US mortgages and the mortgage market being in crisis, the US Government took action to ensure that the two companies stay solvent. They did this by extending credit limits, granting both corporations access to Federal Reserve low- interest loans and allowing DT to own common and preferred stock. In addition to the 79.9% interest, DT will receive senior preferred stock. DT will invest an initial US$1 bil in both Freddie Mac and Fannie Mae, and if needed, up to US$100 bil in each company. With the Government stepping in, investors are more confident in the mortgage market because the Government has made it clear that the mortgage market will not fall past a certain level.</t>
  </si>
  <si>
    <t>Fannie Mae</t>
  </si>
  <si>
    <t>Pvd loan svcs</t>
  </si>
  <si>
    <t>US - United States Department of the Treasury (DT) acquired 79.9% interest in Federal National Mortgage Association {Fannie Mae}, provider of home mortgage to families in America and loan services to lenders, for $0. 00001 per common share, or a total value of $0.008 mil. Concurrently, DT acquired Federal Home Loan Mortgage Corp {Freddie Mac}. Since Fannie Mae and Freddie Mac owned or guaranteed about half of the US mortgages and the mortgage market being in crisis, the US Government took action to ensure that the two companies stay solvent. They did this by extending credit limits, granting both corporations access to Federal Reserve low- interest loans and allowing DT to own common and preferred stock. In addition to the 79.9% interest, DT will receive senior preferred stock. DT will invest an initial US$1 bil in both Freddie Mac and Fannie Mae, and if needed, up to US$100 bil in each company. With the Government stepping in, investors are more confident in the mortgage market because the Government has made it clear that the mortgage market will not fall past a certain level.</t>
  </si>
  <si>
    <t>Tenedor Corp</t>
  </si>
  <si>
    <t>Mnfr,whl handling equip</t>
  </si>
  <si>
    <t>US - Tenedor Corp (TC), a wholly-owned unit of Manitou BF SA, acquired the remaining 86.25% interest plus options, or 11.556 mil common shares, which it did not already own, in Gehl Co (GC), a manufacturer and wholesaler of light construction equipment, for $30 in cash per share, or a total value of $340.04 mil. Earlier, TC completed its tender for GC by accepting 8.989 mil shares, or about 70.7% of GC's common shares outstanding. The offer was conditioned upon at least 66.67% of GC's shares being tendered on a fully-diluted basis. The transaction had been subject to customary closing conditions and was approved by regulatory authorities.</t>
  </si>
  <si>
    <t>Armchair Merger Sub Inc</t>
  </si>
  <si>
    <t>US - Armchair Merger Sub Inc, a special purpose acquisition vehicle and a wholly-owned unit of Altria Group Inc (AG), acquired all the outstanding common stock of UST Inc (UI), a manufacturer and wholesaler of tobacco and wine products, for $69.5 in cash per share, or a total value of $11.685 bil, including the assumption of an estimated $1.3 bil in liabilities. The transaction had been subject to UI shareholder and regulatory approvals. Concurrently, AG authorized the repurchase of up to $4 bil of the company's common stock outstanding.</t>
  </si>
  <si>
    <t>WW Oil &amp; Gas Inc</t>
  </si>
  <si>
    <t>Invest holding co</t>
  </si>
  <si>
    <t>PACO Oil &amp; Gas Inc</t>
  </si>
  <si>
    <t>Oil,gas expl &amp; prodn</t>
  </si>
  <si>
    <t>US - PACO Oil &amp; Gas Inc acquired all the outstanding common stock of WW Oil &amp; Gas Inc, an investment holding company and a unit of WW Energy Inc.</t>
  </si>
  <si>
    <t>Pharsight Corp</t>
  </si>
  <si>
    <t>Tripos LP</t>
  </si>
  <si>
    <t>US - Tripos LP, unit of Vector Capital Corp, acquired all the outstanding common stock of Pharsight Corp (PC), a developer of Internet-based data management and reporting platform, analysis, visualization and validation software, for $5.5 in cash per share, or a total value of $52.162 mil. The transaction had been subject to customary closing conditions, PC shareholders and was approved by regulatory authorities.</t>
  </si>
  <si>
    <t>US - Yadkin Valley Financial Corp (Yadkin) acquired the entire share capital of American Community Bancshares Inc (American), a Charlotte- based bank holding company, in a stock swap transaction valued at USD 98.563 mil. Yadkin offered a choice of USD 12.35 in cash or 0.8517 common share per American share, subject to proration whereby the maximum cash and aggregate common stock issuable shall be 19.5% and 80.5% of the total number of shares outstanding, respectively. Based on Yadkin's closing stock price of USD 16.99 on 9 September 2008, the last full day of trading prior to announcement, each American share was valued at USD 14.47. The transaction had been subject to customary closing conditions.</t>
  </si>
  <si>
    <t>Welltek Inc</t>
  </si>
  <si>
    <t>Provides health,fitness svcs</t>
  </si>
  <si>
    <t>Nashville Records Inc</t>
  </si>
  <si>
    <t>Pvd music prodn,distn svcs</t>
  </si>
  <si>
    <t>US - Nashville Records Inc, a unit of Neuroscience Therapy Corp, merged with Welltek Inc (WI), a manufacturer and provider of health products and services, in a reverse merger transaction. On completion, the merged entity was renamed WI.</t>
  </si>
  <si>
    <t>US - Walgreen Co withdrew its plans to launch a challenging unsolicited tender offer to acquire all the outstanding common stock of Longs Drug Stores Corp (LD) , an owner and operator of drug stores, for $75 in cash per share, or a total value of $2.785 bil. The transaction was subject to customary closing conditions and regulatory approval. Previously, CVS Caremark Corp launched a tender offer to acquire all the outstanding common stock of LD.</t>
  </si>
  <si>
    <t>Putnam Managed Municipal</t>
  </si>
  <si>
    <t>Putnam Tax-Free High Yield</t>
  </si>
  <si>
    <t>US - Putnam Tax-Free High Yield Fund withdrew its plans to merge with Putnam Managed Municipal Income Trust, a closed-end investment fund. The transaction was subject to shareholders and regulatory approvals.</t>
  </si>
  <si>
    <t>Putnam Muni Opportunities Trst</t>
  </si>
  <si>
    <t>Putnam Tax Exempt Income Fund</t>
  </si>
  <si>
    <t>US - Putnam Tax Exempt Income Fund withdrew its plans to merge with Putnam Municipal Opportunities Trust, a closed- end investment fund. The transaction was subject to shareholders and regulatory approvals.</t>
  </si>
  <si>
    <t>US - Bank of America Corp (BA) acquired all the outstanding common stock of Merrill Lynch &amp; Co Inc (ML), a provider of investment banking and wealth management advisory services, in a stock swap transaction valued at $48.766 bil. BA offered 0.86 common shares for every common ML share. Based on BA's closing stock price of $33.74 on September 12, the last full trading day prior to the announcement, each ML share was valued $29. The transaction had been subject to shareholder and regulatory approvals and was to include ML's 50% interest in BlackRock, which has $1.4 tril in assets under management. BA said it expects to achieve $7 bil in pretax expense savings, fully realized by 2012, and expects the deal to be accretive to earnings by 2010. Since mid- 2007, Merrill Lynch had tried to reduce its exposure to risky assets that deteriorated in value due to the credit crunch. John Thain who was brought on board following the ousting of Stan O'Neil in October 2007, arranged for capital infusions of more than $6 bil from investors including Temasek Holdings and orchestrated the sale of ML stake in Bloomberg LP. The deal is believed to change the US banking landscape.</t>
  </si>
  <si>
    <t>First Communications Inc</t>
  </si>
  <si>
    <t>Renaissance Acquisition Corp</t>
  </si>
  <si>
    <t>US - Renaissance Acquisition Corp (RA) withdrew its agreement to acquire all the outstanding common stock of First Communications Inc (FC), a provider of telecommunications services, for $169.55 mil$. The consideration was to consist of the issuance of an amended 14.46 mil RA common shares valued at $72.3 mil and up to $97.25 mil in profit related payments. The shares were valued based on RA's closing stock price of $5 on September 12, the last full trading day prior to the announcement. The transaction, which was approved by both boards of directors and FC's shareholders, had been subject to customary closing conditions, RA shareholder and regulatory approvals. Upon completion, the merged entity was to be renamed FC. Originally, RA offered 18.46 mil common shares valued at $92.3 mil and up to $97.25 mil in profit-related payments.</t>
  </si>
  <si>
    <t>Napster Inc</t>
  </si>
  <si>
    <t>US - Best Buy Co Inc (BB) acquired all the outstanding common stock of Napster Inc, a developer of digital media software that enable individuals to personalize and store music, photos, video and data onto recordable compact discs, or CDs, for $2.65 in cash per share, or a total value of $126.935 mil. Earlier, BB completed its tender offer for NI by accepting 39.301 mil shares, or 82.05% of NI's common shares outstanding.. Originally, in September 2006, NI announced that it was seeking a buyer for the company.</t>
  </si>
  <si>
    <t>US - United States Department of the Treasury acquired convertible preferred shares representing a 77.9% interest in American International Group Inc (AIG), an insurance company, for $0. 5 mil. As part of the transaction, the Federal Reserve issued AIG a $60 billion secured credit facility that will carry an interest rate of Libor plus 8. 5 percentage points. The loan is secured by AIG's assets, including its profitable insurance businesses, giving the Federal Reserve some protection if the financial markets continued to decline. If AIG rebounds, US taxpayers could stand to benefit through the government's equity stake. Similar to its backing of Bear Stearns in March 2008, the Federal Reserve used its legal authority granted in the Federal Reserve Act, which allows it to lend to nonbanks under "unusual and exigent" circumstances, in an effort to avert one of the largest corporate bankruptcies of all time. The transaction gives the US government control of a private insurer, which is a historic development since AIG is not directly regulated by the federal government.</t>
  </si>
  <si>
    <t>Datascope Corp</t>
  </si>
  <si>
    <t>Getinge AB</t>
  </si>
  <si>
    <t>Mnfr,whl medical equipment,systems</t>
  </si>
  <si>
    <t>US - Getinge AB completed its tender offer to acquire all the outstanding common stock of Datascope Corp (DC), a manufacturer and wholesaler of surgical and medical instruments, electromedical and electrotherapeutic apparatus and orthopedic, prosthetic and surgical appliances and supplies, for $53 in cash per share, or a total value of $863.095 mil. The offer was conditioned upon at least a majority of DC's shares being tendered. The transaction was approved by the Board of Directors of DC and had been subject to customary closing conditions and regulatory approvals.</t>
  </si>
  <si>
    <t>SanDisk Corp</t>
  </si>
  <si>
    <t>Mnfr,whl flash storage product</t>
  </si>
  <si>
    <t>US - Samsung Electronics Co Ltd (SE) withdrew its plans to launch an unsolicited offer to acquire all the outstanding common stock of SanDisk Corp (SD), a manufacturer and wholesaler of flash storage card products, for $26 in cash per share, or a total value of $5. 85 bil. Originally, SE was rumored to be planning to acquire SD. Subsequently, Toshiba Corp was rumored to be planning to launch an unsolicited challenging offer to acquire all the outstanding common stock of SD.</t>
  </si>
  <si>
    <t>US - Wachovia Corp discontinued rumors to be planning to merge with Morgan Stanley (MS), a provider of investment banking services. Concurrently, Mitsubishi UFJ Financial Group Inc signed a Letter of Intent {LoI} to acquire an estimated 20% stake in MS, and State-owned China Investment Corp was rumored to be planning to raise its interest to 58.9% from 9.9% in MS.</t>
  </si>
  <si>
    <t>US - In September 2008, Washington Mutual Inc, Seattle, Washington, a savings bank holding company, discontinued rumors that it was seeking a buyer for the company. Citigroup Inc, HSBC Holdings Plc, JPMorgan Chase &amp; Co, Wells Fargo &amp; Co, Federal Deposit Insurance Corp and Toronto-Dominion Bank were named as potential bidders.</t>
  </si>
  <si>
    <t>Centerplate Inc</t>
  </si>
  <si>
    <t>Pvd catering,concession svcs</t>
  </si>
  <si>
    <t>US - Kohlberg &amp; Co LP (KC) acquired all the outstanding common stock of Centerplate Inc, a provider of catering concessions, management and merchandiser services, for an amended USD 2.5 in cash per share or a total value of USD 52.455 mil, in a leveraged buyout transaction. The transaction had been subject to customary closing conditions and third-party approvals. Originally, KC offered USD 4 in cash per share, or a total value of USD 83.927 mil.</t>
  </si>
  <si>
    <t>US - MidAmerican Energy Holdings Co, a 75% owned unit of Berkshire Hathaway Inc, withdrew its definitive agreement to acquire all the outstanding common stock of Constellation Energy Group Inc (CE), an electric and gas utility company, for $26.50 in cash per share, or a total value of $4.727 bil. The transaction was subject to customary and regulatory approval. Subsequently, Electricite de France SA {EDF} withdrew its plans to launch a challenging offer to acquire the remaining 90.38% interest, or 161.184 mil common shares, which it did not already own in CE. On another deal, EDF definitively agreed to acquire a 50% interest in CE, and was granted an option to acquire the non-nuclear power generation assets of CE.</t>
  </si>
  <si>
    <t>China Investment Corp</t>
  </si>
  <si>
    <t>Sovereign Wealth Fund</t>
  </si>
  <si>
    <t>US - State-owned China Investment Corp was rumored to be planning to raise its interest to 58.9% from 9.9% in Morgan Stanley (MS), a provider of investment banking services. Concurrently, Mitsubishi UFJ Financial Group Inc signed a Letter of Intent {LoI} to acquire an estimated 20% stake in MS, and Wachovia Corp discontinued rumors to be planning to merge with MS. The Current status of this deal is unknown.</t>
  </si>
  <si>
    <t>Toshiba Corp</t>
  </si>
  <si>
    <t>Mnfr,whl digital,electn prod</t>
  </si>
  <si>
    <t>US - Toshiba Corp discontinued rumors that it was planning to launch an unsolicited challenging offer to acquire all the outstanding common stock of SanDisk Corp (SD), a manufacturer and wholesaler of flash storage card products. Previously, Samsung Electronics Co Ltd withdrew its plans to launch an unsolicited offer to acquire all the outstanding common stock of SD.</t>
  </si>
  <si>
    <t>EDF SA</t>
  </si>
  <si>
    <t>Electric Power Distribution</t>
  </si>
  <si>
    <t>US - French state-owned Electricite de France {EDF} withdrew its plans to launch a challenging offer to acquire the remaining 90.38% interest plus options, or 162. 26 mil common shares, which it did not already own, in Constellation Energy Group Inc (CE), an electric and gas utility company, for $35 per share, or a total value of $5. 65 bil. The transaction was subject to customary closing conditions and shareholder approval. Originally, EDF was rumored to be planning to acquire the remaining 90.38% interest in CE. Previously, MidAmerican Energy Holdings Co definitively agreed to acquire all the outstanding common stock of CE.</t>
  </si>
  <si>
    <t>Knowledge Learning Corp</t>
  </si>
  <si>
    <t>Pvd childhood educ svcs</t>
  </si>
  <si>
    <t>US - Knowledge Learning Corp (KL), a unit of Knowledge Universe Inc, withdrew its plans to launch an unsolicited tender offer to acquire the entire share capital of Nobel Learning Communities Inc, a West Chester-based owner and operator of schools, for an amended USD 13.5 in cash per share, or a total value of USD 145.821 mil. Originally, KL offered USD 17 in cash per share, or a total value of USD 185.482 mil.</t>
  </si>
  <si>
    <t>McAfee Inc</t>
  </si>
  <si>
    <t>US - McAfee Inc acquired all the outstanding common stock of Secure Computing Corp (SC), a manufacturer of network security devices, from Warburg Pincus and other shareholders, for $5.75 in cash per share, or a total value of $476.026 mil, including $84 mil in cash for SC's preferred stock. The transaction had been approved by SC shareholders, and had been subject to customary closing conditions and regulatory approvals.</t>
  </si>
  <si>
    <t>US - Hampton Roads Bankshares Inc, Norfolk, Virginia (HR), acquired all the outstanding common stock of Gateway Financial Holdings Inc (GF), a bank holding company, in a stock swap transaction valued at $86.773 mil. GF offered 0.67 share per HR share. Based on HR's closing stock price of $10.2 on September 23, the last full trading day prior to the announcement, each GF share was valued at $6.834. The transaction had been subject to customary closing conditions, including regulatory and stockholder approvals.</t>
  </si>
  <si>
    <t>Pharmacopeia Inc</t>
  </si>
  <si>
    <t>US - Ligand Pharmaceuticals Inc (LP) acquired all the outstanding common stock of Pharmacopeia Inc (PI), a biotechnology company, for $68.482 mil, subject to a collar agreement. The consideration consisted of $53.482 mil in LP common shares and $15 mil in contingent value rights. LP offered 0.58 common share for every PI share. Based on LP's closing stock price of $3.1 on September 23, the last full trading day prior to the announcement, each PI share was valued at $1.798. The transaction had been subject to customary closing conditions, shareholder and regulatory approvals.</t>
  </si>
  <si>
    <t>Primary Energy Recycling Corp</t>
  </si>
  <si>
    <t>Pvd energy recycling svcs</t>
  </si>
  <si>
    <t>US - In September 2008, Primary Energy Recycling Corp, an owner and operator of energy projects, announced that it was seeking a buyer for the company.</t>
  </si>
  <si>
    <t>Cherokee International Corp</t>
  </si>
  <si>
    <t>Mnfr power supplies</t>
  </si>
  <si>
    <t>Lineage Power Holdings Inc</t>
  </si>
  <si>
    <t>US - Lineage Power Holdings Inc, a unit of Gores Group LLC, acquired all the outstanding common stock of Cherokee International Corp, a manufacturer of power supplies, for $3.20 in cash per share, or a total value of $62.349 mil. The transaction had been subject to shareholder approval and was approved by regulatory authorities.</t>
  </si>
  <si>
    <t>American Community Bancorp,IN</t>
  </si>
  <si>
    <t>Savings,loan bank;holding co</t>
  </si>
  <si>
    <t>Elavon Inc</t>
  </si>
  <si>
    <t>Pvd credit card processing svcs</t>
  </si>
  <si>
    <t>US - Elavon Inc, a unit of US Bancorp, acquired an undisclosed majority interest in American Community Bancorp Inc, a savings and loan bank.</t>
  </si>
  <si>
    <t>Epicor Software Corp</t>
  </si>
  <si>
    <t>Dvlp entrp business software</t>
  </si>
  <si>
    <t>US - Elliott Associates LP (EA), a unit of Elliott Management Corp, withdrew its tender offer to acquire the remaining 89.8% interest, or 55.602 mil plus options, which it did not already own, in Epicor Software Corp, a developer of integrated enterprise resource planning, customer relationship management, supply chain management and professional services automation software solutions, for an amended $7. 5 in cash per share, or a total value of $417.013 mil. The transaction was subject to customary closing conditions. Originally, EA offered $9.5 in cash per share, or a total value of $511.906 mil.</t>
  </si>
  <si>
    <t>US - Microchip Technology Inc withdrew its plans to launch an unsolicited offer to acquire all the outstanding common stock of Atmel Corp (AC), a manufacturer and wholesaler of advanced semiconductors, for $5 in cash per share, or a total value of $2.249 bil. Concurrently, ON Semiconductor Corp withdrew its plans to acquire the nonvolatile memory and radio frequency (RF) and automotive businesses of AC. The transactions were subject to due diligence completion and regulatory approval.</t>
  </si>
  <si>
    <t>Ampex Corp</t>
  </si>
  <si>
    <t>Mnfr sound recording equip</t>
  </si>
  <si>
    <t>US - Ampex Corp (AC), a developer of visual technologies and a unit of the Ampex Group Inc subsidiary of Newhill Partners LP's Sherborne Group Inc unit, completed its debt restructuring transaction with creditors. On completion, Hillside Capital Inc owned 96% of the restructured AC.</t>
  </si>
  <si>
    <t>US - Wells Fargo &amp; Co, San Francisco, California (WF), acquired all the outstanding common stock of Wachovia Corp, Charlotte, North Carolina (WC), a commercial and retail bank, in a stock swap transaction valued at $15.113 bil. WF offered 0.1991 common shares per WC share. Based on WF's closing stock price of $35.16 on October 2, the last full trading day prior to the announcement, each WC share was valued at $7. The transaction included all of WC's business and obligations, including its preferred equity and indebtedness, and all its banking deposits, requiring no financial assistance from the Federal Deposit Insurance Corp (FDIC) or any other government agency. The transaction had been approved by the boards of both companies and regulatory authorities, and had been subject to the approval of WC shareholders. Subsequently, WF acquired the remaining 38% stake, which it did not already own, in Wachovia Securities LLC.</t>
  </si>
  <si>
    <t>US - Eli Lilly &amp; Co (EL) completed its challenging tender offer to acquire all the outstanding common stock of ImClone Systems Inc (IS), a biotechnology company, for $70 in cash per share, or a total value of $6.497 bil. The offer has been conditioned upon at least a majority of IS's shares being tendered. The transaction has been subject to customary closing conditions and regulatory approvals. Previously, Bristol-Myers Squibb Co withdrew its plans to launch a hostile tender offer to acquire the remaining 83% interest, which it did not already own in IS. Originally, EL was rumored to be planning to launch a challenging offer to acquire all the outstanding common stock of IS.</t>
  </si>
  <si>
    <t>Innotrac Corp</t>
  </si>
  <si>
    <t>GSI Commerce Inc</t>
  </si>
  <si>
    <t>Pvd e-commerce solution svcs</t>
  </si>
  <si>
    <t>US - GSI Commerce Inc (GC) withdrew its definitive agreement to acquire all the outstanding stock of Innotrac Corp (IC), a provider of e- commerce services, in a stock swap transaction valued at $45.469 mil, subject to a collar agreement. GS offered 0.1426 common shares and $1.7 in cash per IC share. Based on GC's closing stock price of $13.96 on October 3, the last full trading day prior to the announcement, each IC share was valued at $3.691. The transaction was subject to customary closing conditions and regulatory and IC shareholder approval.</t>
  </si>
  <si>
    <t>Spansion Inc</t>
  </si>
  <si>
    <t>Mnfr flash memory devices</t>
  </si>
  <si>
    <t>US - Toshiba Corp discontinued rumors that it was planning to acquire all the outstanding common stock of Spansion Inc, a manufacturer of flash memory devices.</t>
  </si>
  <si>
    <t>MetLife Inc</t>
  </si>
  <si>
    <t>Pvd insurance,financial svcs</t>
  </si>
  <si>
    <t>US - Metlife Inc was rumored to be planning to merge with Hartford Financial Services Group Inc, a provider of investment and insurance services. The Current status of this deal is unknown.</t>
  </si>
  <si>
    <t>US - Compson Holding Corp withdrew its plans to launch an unsolicited offer to acquire all the outstanding common stock of Agree Realty Corp, a real estate investment trust, for $27.50 per share, or a total value of $214.35 mil.</t>
  </si>
  <si>
    <t>Ashworth Inc</t>
  </si>
  <si>
    <t>Mnfr,whl sport apparel</t>
  </si>
  <si>
    <t>Taylor Made Golf Co Inc</t>
  </si>
  <si>
    <t>Mnfr,wholesale golf equipment</t>
  </si>
  <si>
    <t>US - Taylor Made Golf Co Inc (TM), a unit of adidas AG, acquired all the outstanding common stock of Ashworth Inc (AI), a manufacturer and wholesaler of sport apparel, for $1.9 in cash per share, or a total value of $74.319 mil, including the assumption of an estimated $46.3 mil in liabilities. Earlier, TM completed its tender offer by accepting 10.934 mil shares, or 74.14% of AI's shares outstanding. The offer was conditioned upon at least a majority of AI's shares being tendered. The transaction had been subject to customary closing conditions.</t>
  </si>
  <si>
    <t>Emageon Inc</t>
  </si>
  <si>
    <t>Health Systems Solutions Inc</t>
  </si>
  <si>
    <t>US - Health Systems Solutions Inc withdrew its definitive agreement to acquire all the outstanding common stock of Emageon Inc (EI), a provider of information technology services, for $2.85 in cash per share, or a total value of $61.195 mil. The transaction was subject to customary closing conditions and EI shareholder approval.</t>
  </si>
  <si>
    <t>Endologix Inc</t>
  </si>
  <si>
    <t>Mnfr,whl catheters</t>
  </si>
  <si>
    <t>US - Elliott Associates LP, a unit of Elliott Management Corp, withdrew its plans to launch an unsolicited offer to acquire the remaining 85. 49% interest, or 37.287 mil common shares, which it did not already own, in Endologix Inc, a manufacturer and wholesaler of catheters, stents and needles, for $2.25 in cash, or a total value of $83.932 mil. The transaction was subject to customary closing conditions.</t>
  </si>
  <si>
    <t>Banco Santander SA</t>
  </si>
  <si>
    <t>US - Banco Santander SA (BS) acquired the remaining 75.65% interest, or 501.364 mil common shares, which it did not already own, in Sovereign Bancorp Inc (SB), in a stock swap transaction valued at $1. 91 bil. BS offered 0.2924 American depositary shares for every common SB share. Based on BS's closing stock price of $13.03 on October 10, the last full trading day prior to the announcement, each SB share was valued at $3.81. The transaction had been approved by BS and SB shareholders and had beenl subject to customary closing conditions and regulatory approvals. Originally, in October 2006, SB was rumored to be seeking a buyer for the company. BS was named as potential bidder.</t>
  </si>
  <si>
    <t>Plaza Bank,Irvine,California</t>
  </si>
  <si>
    <t>Carpenter Comnty BancFund LP</t>
  </si>
  <si>
    <t>US - Carpenter Community BancFund LP definitively agreed to acquire an undisclosed majority interest in Plaza Bank, located in Irvine, California, for USD 15 mil.</t>
  </si>
  <si>
    <t>Zygo Corp</t>
  </si>
  <si>
    <t>US - Electro Scientific Industries Inc (ES) withdrew its agreement to acquire all the outstanding common stock of Zygo Corp (ZC), a manufacturer and wholesaler of optical systems and components, in a stock swap transaction valued at $174. 794 mil. ES offered 1.0233 shares per ZC share. Based on ES's closing stock price of $10.07 on October 15, the last full trading day prior to announcement, each ZC share was valued at $10.305. The transaction was approved by the board of directors of both companies, and was subject to customary closing conditions and regulatory approvals.</t>
  </si>
  <si>
    <t>Rubio's Restaurant Inc</t>
  </si>
  <si>
    <t>US - Kelly Capital withdrew its plans to launch unsolicited tender offer to acquire all the outstanding shares of Rubio's Restaurants Inc (Rubio's), an owner and operator of restaurants, for USD 5 per share, or a total value of USD 49.752 mil, in a leveraged buyout transaction. Subsequently, an investor group comprised of Alex Meruelo and Levine Leichtman Capital Partners IB LP withdrew its plans to launch an unsolicited challenging tender offer to acquire the entire share capital of Rubio's.</t>
  </si>
  <si>
    <t>US - Western Asset Emerging Markets Income Fund II Inc merged with Western Asset Emerging Markets Income Fund Inc (WE), a closed-end investment fund. On completion, the merged entity was to be renamed WE.</t>
  </si>
  <si>
    <t>US - Exelon Corp (Exelon) withdrew its unsolicited tender offer to acquire all the outstanding common stock of NRG Energy Inc (NRG), an electric and gas utility company, in a stock swap transaction valued at USD 7. 463 bil. Exelon offered a sweetened 0.545 common shares per NRG share. Based on Exelon's closing stock price of USD 51.56 on 01 July 2009, the last full trading day prior to the announcement, each NRG share was valued at $28.1. Previously, Exelon offered 0.485 common shares per NRG share, or a total value of USD 6.261 bil. The transaction was subject to due diligence and regulatory and shareholder approvals.</t>
  </si>
  <si>
    <t>Intraware Inc</t>
  </si>
  <si>
    <t>Dvlp online mgmt software</t>
  </si>
  <si>
    <t>Acresso Software Inc</t>
  </si>
  <si>
    <t>US - Acresso Software Inc acquired all the outstanding common stock of Intraware Inc (II), a developer of online management software, for $4 in cash per share, or a total value of $25.222 mil. The transaction had been subject to customary closing conditions and II shareholder approval. The board of directors of II approved the transaction.</t>
  </si>
  <si>
    <t>Pacific Sunwear of CA Inc</t>
  </si>
  <si>
    <t>Adrenalina Inc</t>
  </si>
  <si>
    <t>US - Adrenalina Inc (AI) withdrew its plans to launch an unsolicited offer to acquire all the outstanding common stock of Pacific Sunwear of California Inc, an owner and operator of retail apparel and accessory stores, for a sweetende $5 in cash and AI common stock per share, or a total value of $328.535 mil. The transaction was subject to customary closing conditions, due diligence completion and regulatory approvals. Originally, AI offered $4.5 in cash and AI common stock per share, or a total value of $295.681 mil.</t>
  </si>
  <si>
    <t>US - BGH GP Holdings LLC (BH) , a new company formed by ArcLight Capital Partners LLC, Kelso &amp; Co and Lehman Brothers Holdings Inc, for the purpose of making an acquisition, withdrew its launched tender offer to acquire the remaining, 38% stake, or 10.552 mil common units, which it did not already own, in Buckeye GP Holdings LP (BG), a provider of oil and gas distribution and transmission services, for a sweetened $17.5 in cash per unit, or a total value of $184.668 mil. The offer was conditioned upon at least 90% of BG's outstanding units being tendered. Originally, BH offered $17 in cash per unit, or a total value of $179.392 mil.</t>
  </si>
  <si>
    <t>US - In October 2008, MMC Norilsk Nickel OJSC announced that it was seeking a buyer for its 51.12% interest in its Stillwater Mining Co unit, a platinum mining company.</t>
  </si>
  <si>
    <t>US - PNC Financial Services Group Inc (PNC) acquired all the outstanding common stock of National City Corp (NCC), a bank holding company, from Corsair Capital LLC (7.8%) and other shareholders, in a stock swap transaction valued at $5.618 bil. PNC offered USD 384 mil in cash and 0. 0392 common shares per NCC share. Based on PNC's closing stock price of USD 56.88 on October 23, the last full trading day prior to the announcement, each NCC share was valued at USD 2.29. The transaction was approved by regulatory authorities and was still subject to customary closing conditions. Originally, in March 2008, NCC was rumored to be seeking a buyer for the company. Fifth Third Bancorp, PNC and Bank of Nova Scotia were named potential bidders.</t>
  </si>
  <si>
    <t>ThyssenKrupp AG</t>
  </si>
  <si>
    <t>Mnfr,whl steel,auto parts</t>
  </si>
  <si>
    <t>US - Thyssenkrupp AG discontinued rumors that it was planning to acquire all the outstanding common stock of AK Steel Holding Corp, a manufacturer of steel products.</t>
  </si>
  <si>
    <t>Embarq Corp</t>
  </si>
  <si>
    <t>Wired Telecommunications Carriers</t>
  </si>
  <si>
    <t>US - CenturyTel Inc (CenturyTel) acquired the entire share capital of Embarq Corp (Embarq), a provider of telecommunications services, in a stock swap transaction valued at USD 11.559 bil. CenturyTel offered 1.37 common shares per Embarq share, and the assumption of an estimated USD 5.8 bil in liabilities. Based on CenturyTel's closing stock price of 24 October 2008, the last full trading day prior to the announcement, each Embarq share was valued at USD 40.412. The transaction was subject to regulatory and shareholder approvals. On completion, the merged entity was named CenturyLink, and Embarq and CenturyTel shareholders were to own 66% and 34% of the merged entity, respectively. Originally, in October 2008, Embarq announced that it was seeking a buyer for the company.</t>
  </si>
  <si>
    <t>Goldman Sachs Group Inc</t>
  </si>
  <si>
    <t>US - Citigroup Inc was rumored to be planning to acquire all the outstanding common stock of Goldman Sachs Group Inc, a bank holding company. The Current status of this deal is unknown.</t>
  </si>
  <si>
    <t>Concord Camera Corp</t>
  </si>
  <si>
    <t>Mnfr,whl cameras,photo equip</t>
  </si>
  <si>
    <t>US - In October 2008, Concord Camera Corp, a manufacturer and wholesaler of cameras and photo equipment, announced that it was seeking a buyer for its company.</t>
  </si>
  <si>
    <t>SM&amp;A</t>
  </si>
  <si>
    <t>US - Odyssey Investment Partners LLC acquired all the outstanding common stock of SM&amp;A, a provider of systems engineering, program integration, information technology and integrated proposal management services, for $6.25 in cash per share, or a total value of $ 115.934 mil, in a leveraged buyout transaction. The transaction had been subject to customary closing conditions, SM&amp;A shareholders and regulatory approvals.</t>
  </si>
  <si>
    <t>White Electronic Designs Corp</t>
  </si>
  <si>
    <t>Brian Kahn</t>
  </si>
  <si>
    <t>US - Mr. Brian Kahn withdrew its plans to launch an unsolicited tender offer to acquire all the outstanding common stock of White Electronic Designs Corp, a manufacturer and wholesaler of modules and components, for $6.05 in cash per share, or a total value of $135.733 mil.</t>
  </si>
  <si>
    <t>Guidance Software Inc</t>
  </si>
  <si>
    <t>Dvlp digital info software</t>
  </si>
  <si>
    <t>AccessData Corp</t>
  </si>
  <si>
    <t>Dvlp electn recovery software</t>
  </si>
  <si>
    <t>US - AccessData Corp withdrew its plans to launch an unsolicited offer to acquire all the outstanding common stock of Guidance Software Inc, a developer of digital information software, for $4. 5 in cash and stock per share, or a total value of $104.207 mil. The transaction was subject to due diligence.</t>
  </si>
  <si>
    <t>LOUD Technologies Inc</t>
  </si>
  <si>
    <t>Mnfr,whl recording equip</t>
  </si>
  <si>
    <t>US - Sun Capital Partners Inc planned to acquire the remaining 23.8% stake, or 1. 156 mil common shares, which it did not already own in LOUD Technologies Inc, a manufacturer of professional audio recording equipment, for $1.45 in cash per share, or a total value of $1.677 mil.</t>
  </si>
  <si>
    <t>US - Microsoft Corp was had been rumored to be planning to acquire all the outstanding common stock of Yahoo! Inc, a provider of Internet search engine services.</t>
  </si>
  <si>
    <t>Centennial Communications Corp</t>
  </si>
  <si>
    <t>US - AT&amp;T Inc acquired the entire share capital of Centennial Communications Corp, a Wall-based provider of wireless telecommunications services, from Welsh Carson Anderson &amp; Stowe Co (22.3%) and other shareholders, for USD 8.5 in cash per share, or a total value of USD 946.56 mil. Subsequently, Verizon Wireless Inc definitively agreed to acquire certain wireless assets of Centennial.</t>
  </si>
  <si>
    <t>Fidelity National Financial</t>
  </si>
  <si>
    <t>Direct Title Insurance Carriers</t>
  </si>
  <si>
    <t>US - Fidelity National Financial Inc (FN) withdrew its definitive agreement to acquire all the outstanding common stock of LandAmerica Financial Group Inc (LF), a provider of title insurance policies and related services, in a stock swap transaction valued at $128.364 mil. FN offered 0.993 common share per LF share. Based on FNs closing stock price of November 6, the last full trading day prior to the announcement, each FN share was valued at $8.292. The transaction was subject to customary closing conditions, due diligence completion, LF shareholders and regulatory approvals.</t>
  </si>
  <si>
    <t>Benjamin Franklin Bancorp,MA</t>
  </si>
  <si>
    <t>US - Independent Bank Corp, Rockland, Massachusetts (IB), acquired all the outstanding common stock of Benjamin Franklin Bancorp Inc, Franklin, Massachusetts, a bank holding company, in a stock swap transaction valued at $124.829 mil. IB offered 0. 59 shares per BF share. Based on IB's closing stock price of $26.73 on November 7, the last full trading day prior to announcement, each BF share was valued at $15.771. The transaction had been subject to customary closing conditions, regulatory and shareholder approvals.</t>
  </si>
  <si>
    <t>Republic First Bancorp Inc</t>
  </si>
  <si>
    <t>Pennsylvania Commerce Bancorp</t>
  </si>
  <si>
    <t>US - Pennsylvania Commerce Bancorp Inc, Harrisburg, Pennsylvania, withdrew its definitive agreement to acquire all the outstanding common stock of Republic First Bancorp Inc, Philadelphia, Pennsylvania, a bank holding company, for $10 in common stock per share, or a total value of $113.191 mil, subject to a collar agreement. The transaction was subject to shareholders and regulatory approvals. Upon completion, the merged entity was to be named Metro Bancorp Inc.</t>
  </si>
  <si>
    <t>Charlotte Russe Holding Inc</t>
  </si>
  <si>
    <t>Ret apparel,accessories</t>
  </si>
  <si>
    <t>Charlotte Russe Hldg Inc SPV</t>
  </si>
  <si>
    <t>US - Charlotte Russe Holding Inc SPV, a special purpose acquisition vehicle formed by KarpReilly LLC and HIG Capital LLC, withdrew its plans to launch an unsolicited offer to acquire all the outstanding common stock of Charlotte Russe Holding Inc, a retailer of apparel and accessories, for $9.5 in cash per share, or a total value of $198.283 mil, in a leveraged buyout transaction. The transaction was subject to due diligence and other customary closing conditions.</t>
  </si>
  <si>
    <t>Eaton Vance National Municipal</t>
  </si>
  <si>
    <t>Eaton Vance Muni Income</t>
  </si>
  <si>
    <t>US - Eaton Vance Municipal Income Trust planned to merge with Eaton Vance National Municipal Income Trust, a closed-end investment fund.</t>
  </si>
  <si>
    <t>Novafora Inc</t>
  </si>
  <si>
    <t>US - Novafora Inc acquired all the outstanding common stock of Transmeta Corp (TC), a manufacturer of semiconductors, for $19.007 in cash per share, or a total value of $230.974 mil. The transaction had been subject to TC shareholder approval and customary closing conditions. Originally, in September 2008, TC announced that it was seeking a buyer for the company.</t>
  </si>
  <si>
    <t>Aspen Exploration Corp</t>
  </si>
  <si>
    <t>Royale Energy Inc</t>
  </si>
  <si>
    <t>US - Royale Energy Inc (RE) withdrew its plans to acquire a 55% interest, or 3.993 mil common shares, in Aspen Exploration Corp (AE), an oil and gas exploration and production company, in a stock swap transaction valued at $3.993 mil, via a tender offer. RE offered one common share per AE 2.75 shares. Based on RE's closing stock price of $2.75 on November 19, the last full trading day prior to the announcement, each AE share was valued at $1. The offer was conditioned upon at least 48% of AE's shares being tendered. The transaction was subject to regulatory approval.</t>
  </si>
  <si>
    <t>Digital Fusion Inc</t>
  </si>
  <si>
    <t>Pvd info tech,research svcs</t>
  </si>
  <si>
    <t>US - Kratos Defense &amp; Security Solutions Inc (KD) merged with Digital Fusion Inc (DF), a provider of information technology, research and engineering services, in a stock swap transaction valued at $27.962 mil. KD offered 1.7933 common shares per DF share. Based on KD's closing stock price of $1.36 on November 21, the last full trading day prior to the announcement, each DF share was valued at $2.439. The transaction had been subject to customary closing conditions, shareholders and regulatory approvals. On completion, KD and DF shareholders owned 80% and 20% respectively, of the merged entity.</t>
  </si>
  <si>
    <t>Omrix Biopharmaceuticals Inc</t>
  </si>
  <si>
    <t>US - Johnson &amp; Johnson Inc (JJ) acquired all the outstanding common stock of Omrix Biopharmaceuticals Inc (OB), a biopharmaceutical company, for $25 per share, or a total value of $434.695 mil. Earlier, JJ completed its tender offer by accepting 16.749 mil shares or 95.17% of OB's common shares outstanding. The offer was conditioned upon at least a majority of OB's shares being tendered. The transaction had been subject to customary closing conditions. Originally, in November 2008, JJ was rumored to be in planning to acquire OB.</t>
  </si>
  <si>
    <t>Tollgrade Communications Inc</t>
  </si>
  <si>
    <t>Bradford Capital Partners</t>
  </si>
  <si>
    <t>US - Bradford Capital Partners planned to acquire the remaining 88.3% interest, or 11.68 mil common shares, which it did not already own, in Tollgrade Communications Inc, a manufacturer of telecommunication equipment, for $6 per share, or a total value of $70.081 mil.</t>
  </si>
  <si>
    <t>US - Johnson &amp; Johnson completed its tender offer to acquire the entire share capital of Mentor Corp, a Santa Barbara-based manufacturer and wholesaler of cosmetic surgery products, for USD 31 in cash per share, or a total value of USD 1.061 bil. The offer was conditional upon at least a majority of Mentor's shares being tendered on a fully diluted basis. The transaction had been subject to customary closing conditions and regulatory approval.</t>
  </si>
  <si>
    <t>US - An investor group, including Mr. Jonathan Miller, was rumored to be planning to acquire all the outstanding common stock of Yahoo! Inc, a provider of Internet search engine services.  The Current status of this deal is unknown.</t>
  </si>
  <si>
    <t>Clear Choice Health Plans Inc</t>
  </si>
  <si>
    <t>Agate Resources Inc</t>
  </si>
  <si>
    <t>Pvd health insurance svcs</t>
  </si>
  <si>
    <t>US - Agate Resources Inc agreed to merge with Clear Choice Health Plans Inc, a provider of insurance services, in a stock swap transaction.</t>
  </si>
  <si>
    <t>Old Forge Bank,Old Forge,PA</t>
  </si>
  <si>
    <t>Penseco Financial Services</t>
  </si>
  <si>
    <t>US - Penseco Financial Services Corp (PF) merged with Old Forge Bank, a commercial bank, for an estimated $58 mil. PF offered a choice of an estimated $58 mil in cash or shares subject to proration whereby the maximum cash consideration was $17.4 mil. The transaction had been subject to regulatory and shareholder approvals.</t>
  </si>
  <si>
    <t>NYSE Euronext</t>
  </si>
  <si>
    <t>Pvd sec trading,brkg svcs</t>
  </si>
  <si>
    <t>Deutsche Boerse AG</t>
  </si>
  <si>
    <t>Provide stock exchange svcs</t>
  </si>
  <si>
    <t>US - Deutsche Boerse AG withdrew it plans to merge with NYSE Euronext Inc, a provider of securities trading and brokerage services.</t>
  </si>
  <si>
    <t>Service Bancorp Inc</t>
  </si>
  <si>
    <t>Bk holding co</t>
  </si>
  <si>
    <t>Middlesex Savings Bank</t>
  </si>
  <si>
    <t>US - Middlesex Savings Bank acquired all the outstanding common stock of Service Bancorp Inc (SB), a bank holding company, for $28 in cash per share, or a total value of $46.973 mil. The transaction was subject to regulatory and SB shareholder approval.</t>
  </si>
  <si>
    <t>Smith Investment Co</t>
  </si>
  <si>
    <t>AO Smith Corp</t>
  </si>
  <si>
    <t>Mnfr,wholesale electric motors</t>
  </si>
  <si>
    <t>US - AO Smith Corp (AO) acquired the entire share capital of Smith Investment Co (Smith), a Milwaukee-based manufacturer of motor vehicle parts, in a stock swap transaction valued at USD 301. 671 mil. AO offered 0.463 common shares and 2.396 Class A common shares per Smith share. Based on AO's closing stock price of USD 31.81 on 8 December 2008, the last full trading day prior to the announcement, each Smith share was valued at USD 90. 945. The transaction had been subject to shareholder approval.</t>
  </si>
  <si>
    <t>American Land Lease Inc</t>
  </si>
  <si>
    <t>Green Courte Partners LLC</t>
  </si>
  <si>
    <t>Private equity RE invest firm</t>
  </si>
  <si>
    <t>US - Green Courte Partners LLC completed its tender offer to acquire all the outstanding common stock of American Land Lease Inc (AL), a real estate investment trust, for USD 14.2 in cash per share, or a total value of USD 112.72 mil, in a leveraged buyout transaction, by accepting 7.442 mil shares, or 93.75% of AL's common shares outstanding. The transaction was subject to customary closing conditions and regulatory approvals, and was approved by AL shareholders.</t>
  </si>
  <si>
    <t>Immunotech Laboratories Inc</t>
  </si>
  <si>
    <t>International Tech Sys Inc</t>
  </si>
  <si>
    <t>US - International Technology Systems Inc (IT) merged with Immunotech Laboratories Inc (IL), a biotechnology company, in exchange for 40 mil new IT common shares valued at $12 mil, in a reverse takeover transaction. The shares were valued based on IT's closing stock price of $0.3 on December 11, the last full trading day prior to the announcement. On completion, IT was renamed as IL.</t>
  </si>
  <si>
    <t>Reliant Energy Inc</t>
  </si>
  <si>
    <t>Pvd elec,energy svcs</t>
  </si>
  <si>
    <t>US - Exelon Corp discontinued rumors that it was planning to acquire Reliant Energy Inc, a provider of electricity and energy services.</t>
  </si>
  <si>
    <t>American Bancorp of NJ Inc</t>
  </si>
  <si>
    <t>Investors Bancorp Inc,NJ</t>
  </si>
  <si>
    <t>US - Investors Bancorp Inc, Short Hills, New Jersey (IB), a 57.33% owned unit of Investors Bancorp MHC, acquired all the outstanding common stock of American Bancorp of New Jersey Inc, Bloomfield, New Jersey (AB), for USD 135.746 mil. IB offered a choice of USD 12.5 in cash or the issuance of 0. 9218 IB common shares per AB share, subject to proration whereby the value would be comprised of 65% common stock and 35% in cash. Originally, IB offered a proration whereby the value would be comprised of 70% common stock and 30% in cash.</t>
  </si>
  <si>
    <t>Canton Bancorp Inc,PA</t>
  </si>
  <si>
    <t>Chemung Financial,Elmira,NY</t>
  </si>
  <si>
    <t>US - Chemung Financial Corp, Elmira, New York, acquired the entire share capital of Canton Bancorp Inc (Canton), a Canton-based bank holding company, for USD 7.7 mil in cash.</t>
  </si>
  <si>
    <t>US - M&amp;T Bank Corp (MC), Buffalo, New York, acquired all the outstanding common stock of Provident Bankshares Corp (PB), Baltimore, Maryland, a bank holding company, in a stock swap transaction valued at USD 344. 24 mil. MC offered 0.171625 common share per PB share. Based on MCs closing stock price of USD 59.72 on 18 December 2008, the last full trading day prior to the announcement, each PB share was valued at USD 10.249.</t>
  </si>
  <si>
    <t>Fiduciary/Clymr Dyn Eq Fnd</t>
  </si>
  <si>
    <t>US - In December 2008, Fiduciary/Claymore Dynamic Equity Fund, a closed-end investment fund, announced that it was seeking a buyer for the company.</t>
  </si>
  <si>
    <t>Abigail Adams National Bancorp</t>
  </si>
  <si>
    <t>Premier Finl Bancorp,WV</t>
  </si>
  <si>
    <t>US - Premier Financial Bancorp Inc (PFBI) of Huntington, West Virginia, acquired the entire share capital of Abigail Adams National Bancorp Inc (AANB), a bank holding company, in a stock swap transaction valued at USD 10.769 mil. PFBI offered 0.4461 shares per AANB share. Based on PFBI's closing stock price of USD 6. 97 on 30 December 2008, the last full trading day prior to announcement, each AANB share was valued at USD 3.109.</t>
  </si>
  <si>
    <t>Endo Pharmaceuticals Holdings</t>
  </si>
  <si>
    <t>US - Endo Pharmaceuticals Holding Inc (EP) acquired all the outstanding common stock of Indevus Pharmaceuticals Inc (IP), a manufacturer, wholesaler, and developer of prescription pharmaceuticals, for $591.592 mil. The consideration consisted of $4. 5 in cash per share, or a total value of $348.99 mil, plus options, and up to $232. 66 mil in profit-related payments. Earlier, EP completed its tender offer for IP by accepting 61.359 mil shares or 79.12% of IP's common shares outstanding. The offer was conditioned upon at least 90% of IP's shares being tendered. The transaction had been subject to customary closing conditions and regulatory approvals.</t>
  </si>
  <si>
    <t>Thinkorswim Group Inc</t>
  </si>
  <si>
    <t>Pvd investor educ svcs</t>
  </si>
  <si>
    <t>US - TD Ameritrade Inc (TD) acquired the entire share capital of Thinkorswim Group Inc (Thinkorswim), a provider of investor education, brokerage and related financial services, in a transaction valued at USD 578. 883 mil. TD offered USD 3.34 in cash and 0.398 common shares per Thinkorswim share. Based on TD's closing stock price of USD 13.48 on January 7, 2009, the last full trading day prior to the announcement, each Thinkorswim share was valued at USD 8.705.</t>
  </si>
  <si>
    <t>US - Abbott Laboratories acquired all the outstanding common stock of Advanced Medical Optics Inc (AM), a manufacturer and wholesaler of eyecare equipment, via a tender offer for $22 in cash per share, or a total value of $1.378 bil. The transaction had been subject to customary closing conditions and regulatory approvals.</t>
  </si>
  <si>
    <t>Targanta Therapeutics Corp</t>
  </si>
  <si>
    <t>The Medicines Co</t>
  </si>
  <si>
    <t>US - Medicines Co acquired all the outstanding common stock of Targanta Therapeutics Corp, a biopharmaceutical company, for $2 in cash per share, or a total value of $137.494 mil, via a tender offer, including up to $95.497 mil in profit related payments, via a tender offer. The offer was conditioned upon at least a majority of TT's shares being tendered on a fully- diluted basis. The transaction had been subject to customary closing conditions and regulatory approvals.</t>
  </si>
  <si>
    <t>Apple Valley Bank &amp; Trust Co</t>
  </si>
  <si>
    <t>US - New England Bancshares Inc (NE) definitively acquired Apple Valley Bank &amp; Trust Co (AV), for USD 7.327 mil. NE offered a choice of USD 8.5 in cash per share or 1 NE common share per AV common share, subject to proration whereby 60% of the total consideration was to be paid in common shares and the remaining 40% in cash. The transaction was subject to due diligence, shareholder, and regulatory approvals.</t>
  </si>
  <si>
    <t>Hiland Partners LP</t>
  </si>
  <si>
    <t>Pvd natural gas gathering svcs</t>
  </si>
  <si>
    <t>Harold Hamm</t>
  </si>
  <si>
    <t>US - Harold Hamm (HH) acquired the entire share capital of Hiland Partners LP, a provider of natural gas gathering services, for a sweetened USD 10 in cash per share, or a total value of USD 62.823 mil. Previously, HH offered USD 7.75 in cash per share and originally, HH offered USD 9.5 in cash per share. The transaction had been subject to customary closing conditions. Concurrently, HH definitively agreed to acquire all the outstanding unit of Hiland Holdings GP LP.</t>
  </si>
  <si>
    <t>Hiland Holdings GP LP</t>
  </si>
  <si>
    <t>US - Harold Hamm (HH) acquired the entire share capital of Hiland Holdings GP LP, a provider of natural gas gathering services, for a sweetened USD 3.2 in cash per share, or a total value of USD 69.144 mil. Previously, HH offered USD an amended USD 2.4 in cash per share and originally, HH offered USD 3. 2 in cash per share. The transaction was subject to customary closing conditions. Concurrently, HH acquired all the outstanding unit of Hiland Partners LP.</t>
  </si>
  <si>
    <t>CF Industries Holdings Inc</t>
  </si>
  <si>
    <t>Mnfr,whl nitrogen fertilizer</t>
  </si>
  <si>
    <t>US - CF Industries Holdings Inc (CF) acquired an 85.6% interest, or 85.757 mil common shares, in Terra Industries Inc (Terra), a Sioux City-based manufacturer and wholesaler of nitrogenous fertilizers, agricultural pesticides and other chemicals, for USD 4.067 bil, via tender offer. CF offered USD 37.15 in cash and 0.0953 common shares per Terra share. Based on CF's closing stock price of USD 107.54 on 01 March 2010, the last full trading day prior to the announcement, each Terra share was valued at USD 47. 399. Originally, CF withdrew its hostile tender offer to acquire the entire share capital of Terra for a four- time sweetened USD 32 in cash and 0.1034 common shares per Terra share, or a total value of USD 4.542 bil. Previously, Yara International ASA withdrew its agreement to acquire the entire share capital of Terra.</t>
  </si>
  <si>
    <t>Sunair Services Corp</t>
  </si>
  <si>
    <t>Pvd pest control svcs</t>
  </si>
  <si>
    <t>Massey Services Inc</t>
  </si>
  <si>
    <t>Provide pest control services</t>
  </si>
  <si>
    <t>US - Massey Services Inc withdrew its plans to acquire all the outstanding common stock of Sunair Services Corp (SC), a provider of pest control and lawn care services, for $3 in cash per share, or a total value of $39.273 mil. The transaction was subject to due diligence completion, board and SC shareholders approvals.</t>
  </si>
  <si>
    <t>Forestar Group Inc</t>
  </si>
  <si>
    <t>Holland M Ware</t>
  </si>
  <si>
    <t>US - Mr. Holland M. Ware withdrew his plans to launch an unsolicited offer to acquire all the outstanding common stock of Forestar Group Inc, a real estate developer firm, for $15 in cash per share, or a total value of $535.502 mil.</t>
  </si>
  <si>
    <t>US - Autonomy Corp PLC acquired all the outstanding common stock of Interwoven Inc, a developer of Internet- based content management software, for $16.2 in cash per share, or a total value of $781.029 mil. The transaction had been subject to customary closing conditions, regulatory and shareholder approvals.</t>
  </si>
  <si>
    <t>Quiksilver Inc</t>
  </si>
  <si>
    <t>Mnfr,whl apparel,footwear</t>
  </si>
  <si>
    <t>Nike Inc</t>
  </si>
  <si>
    <t>Mnfr,whl,ret shoes,apparel</t>
  </si>
  <si>
    <t>US - Nike Inc was rumored to be planning to acquire all the outstanding common stock of Quiksilver Inc, a manufacturer and wholesaler of branded apparel, footwear, accessories, and related products. The Current status of this deal is unknown.</t>
  </si>
  <si>
    <t>Wyeth</t>
  </si>
  <si>
    <t>US - Pfizer Inc (Pfizer) acquired the entire share capital of Wyeth (Wyeth), a Madison-based manufacturer and wholesaler of pharmaceuticals, in a transaction valued at USD 67. 286 bil. Pfizer offered USD 33 in cash and 0.985 common share per WY share. Based on Pfizer's closing stock price of USD 17.45 on 23 January 2009, the last full trading day prior to the announcement, each Wyeth share was valued at USD 17.188. Originally, Pfizer was rumored to be planning to acquire all the outstanding common stock of Wyeth.</t>
  </si>
  <si>
    <t>Bookham Inc</t>
  </si>
  <si>
    <t>Mnfr,whl optical components</t>
  </si>
  <si>
    <t>US - Bookham Inc (Bookham) merged with Avanex Corp (Avanex), a manufacturer and wholesaler of fiber optic products, in a stock swap transaction valued at $33.663 mil. BI offered 5.426 common shares per AC share. Based on BI's closing stock price of $0.4 on January 26, the last full trading day prior to the announcement, each AC share was valued at $2.17. The transaction had been subject to customary closing conditions and shareholder approval. On completion, the merged entity was renamed Oclaro Inc.</t>
  </si>
  <si>
    <t>CV Therapeutics Inc</t>
  </si>
  <si>
    <t>Astellas Pharma Inc</t>
  </si>
  <si>
    <t>US - Astellas Pharma Inc withdrew its hostile tender offer to acquire all the outstanding common stock of CV Therapeutics Inc, a biopharmaceutical company, for $16 in cash per share, or a total value of $981.226 mil. Subsequently, Gilead Sciences Inc agreed to acquire all the outstanding common stock of CV.</t>
  </si>
  <si>
    <t>AutoNation Inc</t>
  </si>
  <si>
    <t>Own,op automobile dealerships</t>
  </si>
  <si>
    <t>ESL Investments Inc</t>
  </si>
  <si>
    <t>US - ESL Investments Inc definitively agreed to raise its interest to 95% from 45%, by acquiring a 50% interest, or 88.427 mil common shares, in AutoNation Inc, an owner and operator of auto retail dealership.</t>
  </si>
  <si>
    <t>RG Barry Corp</t>
  </si>
  <si>
    <t>Mnfr,wholesale,retail footwear</t>
  </si>
  <si>
    <t>Mill Road Capital LP</t>
  </si>
  <si>
    <t>US - Mill Road Capital LP withdrew its plans to launch an unsolicited tender offer to acquire the remaining 10. 056 mil common shares, or 95% interest, which it did not already own, in RG Barry Corp, a manufacturer and wholesaler of footwear and accessories, for $7.75 in cash per share, or a total value of $77.935 mil. The transaction was subject to due diligence completion.</t>
  </si>
  <si>
    <t>APAC Customer Services Inc</t>
  </si>
  <si>
    <t>Provide customer mgmt svcs</t>
  </si>
  <si>
    <t>Tresar Holdings LLC</t>
  </si>
  <si>
    <t>US - Tresar Holdings LLC withdrew its plans to acquire all the outstanding common stock of APAC Customer Services Inc, a provider of outsourced customer relationship management services, for $1.61 in cash per share, or a total value of $81.675 mil. The transaction was subject to customary closing conditions.</t>
  </si>
  <si>
    <t>P S D'Iberville LP</t>
  </si>
  <si>
    <t>US - P S D'Iberville LP withdrew its plans to acquire the remaining 92.4% interest, or 3.2 mil common shares, which it did not already own, in Abigail Adams National Bancorp Inc, a bank holding company, for $3.45 in cash per share, or a total value of $11.041 mil. The transaction was subject to due diligence and regulatory approval.</t>
  </si>
  <si>
    <t>Pharmanet Development Grp Inc</t>
  </si>
  <si>
    <t>JLL Partners Inc</t>
  </si>
  <si>
    <t>US - JLL Partners Inc completed its tender offer to acquire all the outstanding common stock of PharmaNet Development Group Inc (PD), a provider of clinical research and drug development services, for $5 in cash per share, or a total value of $97.617 mil, in a leveraged buyout transaction. The offer was conditioned upon at least a majority of PDs shares being tendered. The transaction had been subject to customary closing conditions and regulatory approvals.</t>
  </si>
  <si>
    <t>Ticketmaster Entertainment Inc</t>
  </si>
  <si>
    <t>Live Nation Inc</t>
  </si>
  <si>
    <t>Pvd live event management svcs</t>
  </si>
  <si>
    <t>US - Live Nation Inc (LN) merged with Ticketmaster Entertainment Inc (TM), a provider of e-commerce retail services, in a stock swap transaction valued at USD 1. 127 bil, in a merger of equals. LN offered a 1.474 common shares per TM share and assumed USD 355 mil in liabilities. Based on LN's closing stock price of USD 9. 16 on 22 January 2010, the last full trading day prior to the completion, each TM share was valued at USD 13. 502.</t>
  </si>
  <si>
    <t>SiRF Technology Holdings Inc</t>
  </si>
  <si>
    <t>CSR PLC</t>
  </si>
  <si>
    <t>Mnfr single-chip radio devices</t>
  </si>
  <si>
    <t>US - CSR PLC of the UK (CP) acquired all the outstanding common stock of SiRF Technology Holdings Inc (ST), a manufacturer and wholesaler of semiconductors, in a stock swap transaction valued $136mil. CP offered 0.741 ordinary shares per ST share. Based on CP's closing stock price of $2.769 on February 6, the last full trading day prior to the announcement, each ST share was valued at $2.052. The transaction had been subject to customary closing conditions, regulatory and shareholders approvals.</t>
  </si>
  <si>
    <t>AB&amp;T Financial Corp</t>
  </si>
  <si>
    <t>1st Financial Services Corp</t>
  </si>
  <si>
    <t>US - 1st Financial Services Corp (FS) withdrew its definitive agreement to merge with AB&amp;T Financial Corp (AF), a bank holding company, in a stock swap transaction valued at $17.308 mil. Based on FS closing stock price on February 16, the last full trading day prior to the announcement, each AF share was valued at $6.463. The transaction was subject to regulatory and shareholders approval.</t>
  </si>
  <si>
    <t>Full Value Partners LP</t>
  </si>
  <si>
    <t>US - Full Value Partners LP launched an unsolicited tender offer to acquire the remaining 6.454 mil common shares, or a 81.43% interest, which it did not already own, in Wilshire Enterprises Inc, a real estate investment firm, for $2 per share, or a total value of $12.909 mil.</t>
  </si>
  <si>
    <t>Hifn Inc</t>
  </si>
  <si>
    <t>US - EXAR Corp (EC) acquired all the outstanding common stock of Hifn Inc (HI), a manufacturer of semiconductors, via a tender offer for $4 in cash per share, or a total value of $58.971 mil. EC offered a choice of $4 in cash for every HI common share or 0. 3529 ordinary share and $1.6 in cash for every HI common share. Based on EC's closing stock price of $6.14 on February 20, the last full trading day prior to the announcement, each HI share was valued at $3.767. The offer had been conditioned upon at least a majority of HI's shares being tendered. The transaction had been approved by the board of directors, and had been subject to customary closing conditions.</t>
  </si>
  <si>
    <t>SouthFirst Bancshares Inc</t>
  </si>
  <si>
    <t>Palm Financial Inc</t>
  </si>
  <si>
    <t>US - Palm Financial Inc, a special purpose acquisition vehicle formed for the purpose of making an acquisition, withdrew its agreement to acquire all the outstanding common stock of SouthFirst Bancshares Inc, a bank holding company, for $12. 15 in cash per share or a total value of $$8.614 mil. The transaction was subject to customary closing conditions and regulatory and shareholder approvals.</t>
  </si>
  <si>
    <t>US - Biogen Idec Inc was rumored to be planning to acquire all the oustanding common stock of Acorda Therapeutics Inc, a biotechnology company. The Current status of this deal is unknown.</t>
  </si>
  <si>
    <t>Hampshire Group Ltd</t>
  </si>
  <si>
    <t>Mnfr,whl women's,men's apparel</t>
  </si>
  <si>
    <t>NAF Acquistion Corp</t>
  </si>
  <si>
    <t>US - NAF Acquisition Corp, a wholly-owned unit of NAF Holdings LLC, withdrew its tender offer to acquire the entire ordinary share capital of Hampshire Group Ltd (Hampshire), an Anderson- based manufacturer of sweaters, hosiery and legwear, for USD 5.55 in cash per share, or a total value of USD 30.354 mil. The transaction was conditioned upon a majority of Hampshire's shares being tendered. The transaction was approved by Hampshire's board of directors. Upon completion, Hampshire was to emerge as the surviving entity.</t>
  </si>
  <si>
    <t>US - Agrium Inc (AI) withdrew its challenging hostile offer to acquire all the outstanding common stock of CF Industries Holdings Inc (CI), a Deerfield-based manufacturer and wholesaler of fertilizers, in a stock swap transaction valued at USD 5.597 bil. AI offered a thrice sweetened USD 45 in cash and 1 common share per CI share. Based on AI's closing stock price of USD 51. 23 on 4 November 2009, the last full trading day prior to the amendment of terms, each CI share was valued at USD 96.23. Previously, AI offered a twice sweetened USD 40 cash plus 1 common share per CI share, a sweetened USD 35 in cash and 1 common share per CI share. Originally, AI offered USD 31.7 in cash and 1 common share per CI share. The transaction was conditioned upon CI withdrawing its bid for Terra Industries Inc (TI). Previously, CI launched a hostile tender offer to acquire all the outstanding common stock of TI.</t>
  </si>
  <si>
    <t>Kudelski SA</t>
  </si>
  <si>
    <t>Pvd security solutions svcs</t>
  </si>
  <si>
    <t>US - Kudelski SA acquired the remaining 67.84% interest plus options, or 95.244 mil class A common shares plus options, which it did not already own, in OpenTV Corp, a San Francisco-based provider of software solutions services, for a sweetened USD 1.55 in cash per share, or a total value of USD 146.888 mil. Earlier, Kudelski completed its tender offer for OpenTV by accepting 56.383 mil shares, or 59.59% of OpenTV's common shares outstanding. Originally Kudelski offered USD 1.35 in cash per share, or a total value of USD 127.731 mil.</t>
  </si>
  <si>
    <t>ICT Group Inc</t>
  </si>
  <si>
    <t>Pvd customer mgmt svcs</t>
  </si>
  <si>
    <t>US - Aegis BPO Services Ltd, a majority-owned unit of Essar Group, withdrew its plans to launch an unsolicited tender offer to acquire the entire share capital of ICT Group Inc (ICT) , a provider of information technology services, for USD 8 in cash per share, or a total value of USD 127.383 mil. The transaction was subject to due diligence, customary closing conditions and regulatory approvals.</t>
  </si>
  <si>
    <t>Compass Minerals Intl Inc</t>
  </si>
  <si>
    <t>Manufacture,whl salt minerals</t>
  </si>
  <si>
    <t>K+S AG</t>
  </si>
  <si>
    <t>US - K+S AG had been rumored to be planning to acquire all the outstanding common stock of Compass Minerals International Inc, a manufacturer of rock salt, sulfate of potash specialty fertilizer and magnesium chloride. Terms were not disclosed but, according to sources close to the situation, the deal was valued at an estimated $2.4 bil in cash.</t>
  </si>
  <si>
    <t>Magellan Midstream Hldg LP</t>
  </si>
  <si>
    <t>Pvd refined petro distn svc</t>
  </si>
  <si>
    <t>Magellan Midstream Partners LP</t>
  </si>
  <si>
    <t>US - Magellan Midstream Partners LP (MM) acquired the remaining 45.4% stake, which it did not already own in Magellan Midstream Holdings LP (MH), a provider of refined petroleum products distribution services, in a stock swap transaction valued at USD 533.382 mil. MP offered 0.6325 common share for every MH common share. Based on MM's closing stock price of USD 29.65 on March 2, the last full trading day prior to the announcement, each MH share was valued at USD 18.754. The transaction was approved by the board of directors, and was subject to customary closing conditions and shareholder approvals.</t>
  </si>
  <si>
    <t>Life Sciences Research Inc</t>
  </si>
  <si>
    <t>Lion Holdings Inc</t>
  </si>
  <si>
    <t>US - Lion Holdings Inc (Lion) acquired the entire share capital of Life Sciences Research Inc, a provider of research and development services, for a sweetened USD 8.5 in cash per share, or a total value of USD 113.467 mil. Previously, Lion offered USD 7.5 in cash per share.</t>
  </si>
  <si>
    <t>Gevity HR Inc</t>
  </si>
  <si>
    <t>Pvd human capital mgmt svcs</t>
  </si>
  <si>
    <t>TriNet Group Inc</t>
  </si>
  <si>
    <t>Pvd human resource svcs</t>
  </si>
  <si>
    <t>US - TriNet Group Inc acquired the entire share capital of Gevity HR Inc (GH), a Bradenton-based provider of human capital management solutions services, for USD 4 in cash per share, or a total value of USD 98.761 mil.</t>
  </si>
  <si>
    <t>US - Merck &amp; Co Inc (MC) acquired the entire share capital of Schering-Plough Corp (SP), a manufacturer and developer of pharmaceuticals, in a stock swap transaction valued at $38.615 bil. MC offered $10.5 in cash and 0. 5767 common shares per SP share. Based on MC's closing stock price of $22.74 on March 6, the last full trading day prior to the announcement, each SP share was valued at $23.614. The transaction had been subject to regulatory and shareholders approval. On completion, the merged entity retained the MC name.</t>
  </si>
  <si>
    <t>Collectors Universe Inc</t>
  </si>
  <si>
    <t>Provide authentication svcs</t>
  </si>
  <si>
    <t>US - In March 2009, Collectors Universe Inc, a provider of in-person, telephone and Internet auction services, announced that it was seeking a buyer for the company.</t>
  </si>
  <si>
    <t>US - Johnson &amp; Johnson was rumored to be planning to acquire all the outstanding common stock of Schering- Plough Corp, a manufacturer and wholesaler of pharmaceuticals. The Current status of this deal is unknown.</t>
  </si>
  <si>
    <t>Energy Inc</t>
  </si>
  <si>
    <t>US - Energy Inc (Energy) agreed to acquire the entire share capital of Corning Natural Gas Corp (Corning), a Corning-based provider of natural gas distribution services, for a sweetened USD 25 per share, or a total value of USD 26.361 mil. Originally, Energy West Inc, now a wholly-owned unit of Energy, planned to acquire all the entire share capital (0.891 mil common shares) of Corning, for USD 21.35 per share, or a total value of USD 17.526 mil.</t>
  </si>
  <si>
    <t>US - Gilead Sciences Inc acquired all the outstanding common stock of CV Therapeutics Inc (CV), a biopharmaceutical company, via a tender offer for $20 in cash per share, or a total value of $1.33 bil. The offer was conditioned upon at least a majority of CV's shares being tendered. Previously, Astellas Pharma Inc withdrew its hostile tender offer to acquire all the outstanding common stock of CV. The transaction was approved by CV board of directors.</t>
  </si>
  <si>
    <t>FLIR Systems Inc</t>
  </si>
  <si>
    <t>Mnfr,whl infrared imaging sys</t>
  </si>
  <si>
    <t>US - In March 2009, FLIR Systems Inc, a manufacturer of thermal imaging systems, discontinued rumors that it was seeking a buyer for the company.</t>
  </si>
  <si>
    <t>ING Clarion Global RE Income</t>
  </si>
  <si>
    <t>ING Clarion RE Income Fund</t>
  </si>
  <si>
    <t>US - ING Clarion Real Estate Income Fund (IR) merged with ING Clarion Global Real Estate Income Fund. The transaction was subject to IR's shareholders approval.</t>
  </si>
  <si>
    <t>ACM Managed Dollar Income Fund</t>
  </si>
  <si>
    <t>Closed-end mgmt invest fund</t>
  </si>
  <si>
    <t>AllianceBernstein Global High</t>
  </si>
  <si>
    <t>US - AllianceBernstein Global High Income Fund Inc acquired the entire share capital of ACM Managed Dollar Income Fund Inc, a closed-end management investment fund.</t>
  </si>
  <si>
    <t>Aetna Inc</t>
  </si>
  <si>
    <t>US - Aetna Inc was rumored to be in negotiations to acquire all the outstanding common stock of Humana Inc, an owner and operator of Health Maintenance Organizations {HMO}.  The Current status of this deal is unknown.</t>
  </si>
  <si>
    <t>Greenbrier Cos Inc</t>
  </si>
  <si>
    <t>Mnfr,whl railroad equipment</t>
  </si>
  <si>
    <t>American Railcar Inds Inc</t>
  </si>
  <si>
    <t>Mnfr,whl,repair rail car parts</t>
  </si>
  <si>
    <t>US - American Railcar Industries Inc was rumored to be planning to merge with Greenbrier Cos Inc, a manufacturer and wholesaler of railroad equipment. The Current status of this deal is unknown.</t>
  </si>
  <si>
    <t>Logility Inc</t>
  </si>
  <si>
    <t>American Software Inc</t>
  </si>
  <si>
    <t>Dvlp,whl supply chain software</t>
  </si>
  <si>
    <t>US - American Software Inc (American) completed its tender offer to acquire the remaining 1.543 mil common shares, or 12% stake, which it did not already own, in Logility Inc, an Atlanta- based developer of Internet software, for a sweetened USD 7.02 in cash per share, or a total value of USD 10.833 mil. Originally, American offered USD 5.1 in cash per share, or a total value of USD 7.87 mil.</t>
  </si>
  <si>
    <t>US - International Business Machines Corp {IBM Corp} discontinued rumors that it was planning to acquire all the outstanding common stock of Sun Microsystems Inc, a manufacturer of servers and storage equipment. Terms were not disclosed but, according to people familiar with the matter, the deal was valued at an estimated $6.5 bil.</t>
  </si>
  <si>
    <t>Cox Radio Inc</t>
  </si>
  <si>
    <t>US - Cox Enterprises Inc (Enterprise), through its wholly-owned Cox Media Group Inc unit, acquired the remaining 21.6% interest, or 17.168 Class A common shares, which it did not already own, in Cox Radio Inc (Radio), an owner and operator of radio broadcasting stations, for a sweetened USD 4.8 in cash per share, or a total value of USD 82.405 mil. Originally, Enterprise offered $3.80 in cash per share, or a total value of $65.237 mil. The offer was conditioned upon at least a majority of the minority of Radio's shares being tendered.</t>
  </si>
  <si>
    <t>US - Oracle Corp was rumored to be planning to acquire all the outstanding common stock of Red Hat Inc, a developer of open source software.  The Current status of this deal is unknown.</t>
  </si>
  <si>
    <t>US - GlaxoSmithKline PLC was rumored to be planning to acquire all the outstanding common stock of Allergan Inc, a manufacturer of eye care, neuromodulator, and skin care products.  The Current status of this deal is unknown.</t>
  </si>
  <si>
    <t>US - Hearst Corp (Hearst) completed its tender offer to acquire the remaining 18.01% stake, or 16.872 mil Class A common shares, which it did not already own, in Hearst- Argyle Television Inc (Hearst- Argyle), an owner and operator of television and radio stations, for a sweetened USD 4.5 in cash per share, or a total value of USD 75.924 mil, by accepting 13.763 mil, or 14.69% of Hearst-Argyle's entire share capital. Originally, Hearst offered USD 4 in cash per share, or a total value of USD 67.488 mil. The offer was conditioned upon at least a majority of Hearst-Argyle's Class A shares not held being tendered.</t>
  </si>
  <si>
    <t>BHP Billiton PLC</t>
  </si>
  <si>
    <t>Mnfr,whl metal,diamond prod</t>
  </si>
  <si>
    <t>US - BHP Billiton PLC was rumored to be planning to acquire the entire share capital of Pittsburgh-based Alcoa Inc, a manufacturer of aluminum products. The Current status of this deal is unknown.</t>
  </si>
  <si>
    <t>Harris Stratex Network Inc</t>
  </si>
  <si>
    <t>Dvlp wireless network solution</t>
  </si>
  <si>
    <t>US - Harris Corp (Harris) completed the spin off of its majority owned Harris Stratex Network Inc (Stratex) unit, a Morrisville-based developer of wireless network solutions, to its shareholders in a transaction valued at USD 170. 083 mil. Harris common shareholders are to receive 0. 2484 Stratex Class A common share per Harris share held. The shares were valued based on Stratex's closing stock price of USD 5.16 on May 27, 2009, the first full trading day, on which the shares were distributed. Originally, in December 2008, Harris announced that it was seeking a buyer for Stratex.</t>
  </si>
  <si>
    <t>Metavante Technologies Inc</t>
  </si>
  <si>
    <t>Pvd online payment svcs</t>
  </si>
  <si>
    <t>US - Fidelity National Information Services Inc (Fidelity) acquired the entire share capital of Metavante Technologies Inc (Metavante), a Milwaukee- based provider of online payment services, from Warburg Pincus LLC (24.8%) and other shareholders, in a stock swap transaction valued at USD 2.978 bil. Fidelity offered 1.35 common shares per Metavante share. Based on Fidelity's closing stock price of USD 18.2 on March 31, the last full trading day prior to the announcement, each Metavante share was valued at USD 24.57.</t>
  </si>
  <si>
    <t>TriStone Cmnty Bk,NC</t>
  </si>
  <si>
    <t>First Cmnty Bancshares Inc</t>
  </si>
  <si>
    <t>US - First Community Bancshares Inc (First) merged with TriStone Community Bank (TriStone), a Winston-Salem- based commercial bank, in a stock swap transaction valued at USD 8.311 mil. First offered 0.5262 common share for every TriStone common share held. Based on First's closing stock price of USD 10. 53 on 01 April 2009, the last full trading day prior to the announcement, each TriStone share was valued at USD 5.541.</t>
  </si>
  <si>
    <t>Cubist Pharmaceuticals Inc</t>
  </si>
  <si>
    <t>US - Novartis AG of Switzerland was rumored to be planning to acquire the entire share capital of Cubist Pharmaceuticals Inc, a Lexington-based biopharmaceutical company. Terms were not disclosed, but according to analyst estimates, the deal was valued at an estimated USD 1. 6 bil. The Current status of this deal is unknown.</t>
  </si>
  <si>
    <t>First Capital Bancorp</t>
  </si>
  <si>
    <t>Eastern Virginia Bankshares</t>
  </si>
  <si>
    <t>US - Eastern Virginia Bankshares Inc (Eastern) withdrew its agreement to merge with First Capital Bancorp Inc (First), a Glen Allen-based bank holding company, in a stock swap transaction valued at USD 25. 915 mil. Eastern offered 0.98 common share per First share. Based on Easterns closing stock price of USD 8.9 on April 2, the last full trading day prior to the announcement, each First share was valued at USD 8.722. The transaction was subject to regulatory and shareholder approvals.</t>
  </si>
  <si>
    <t>Legacy Reserves LP</t>
  </si>
  <si>
    <t>Apollo Management VII LP</t>
  </si>
  <si>
    <t>US - Apollo Management VII LP withdrew its plans to launch an unsolicited tender offer to acquire the entire share capital of Legacy Reserves LP, a Midland-based oil and gas exploration and production company, for USD 14 in cash per unit, or a total value of USD 435.041 mil, in a leveraged buyout transaction.</t>
  </si>
  <si>
    <t>Limco-Piedmont Inc</t>
  </si>
  <si>
    <t>Pvd MRO svcs</t>
  </si>
  <si>
    <t>TAT Technologies Ltd</t>
  </si>
  <si>
    <t>Manufacture,wholesale heat transfer equipments</t>
  </si>
  <si>
    <t>US - TAT Technologies Ltd (TAT) of Israel definitively acquired the remaining 38.2% stake, or 5.044 mil common shares, which it did not already own, in Limco- Piedmont Inc (Limco), a Tulsa- based provider of maintenance, repair and overhaul services, in a stock swap transaction valued at USD 12.939 mil. TAT offered 0.5 ordinary shares per Limco share. Based on TAT's closing stock price of April 2, the last full trading day prior to the announcement, each Limco share was valued at USD 2.565. The transaction, which was approved by TAT and Limco's boards of directors, was subject to Limco shareholders approval and customary closing conditions. On completion, Limco was to become a wholly-owned subsidiary of TAT.</t>
  </si>
  <si>
    <t>Transatlantic Holdings Inc</t>
  </si>
  <si>
    <t>Pvd ins,reinsurance svcs</t>
  </si>
  <si>
    <t>US - In April 2009, State- owned American International Group Inc {AIG} announced that it was seeking a buyer for its 59% interest, or 39. 155 mil common shares in Transatlantic Holdings Inc unit, a New York-based insurance company.</t>
  </si>
  <si>
    <t>SumTotal Systems Inc</t>
  </si>
  <si>
    <t>Dvlp learning mgmt software</t>
  </si>
  <si>
    <t>Vista Equity Partners Fund III</t>
  </si>
  <si>
    <t>US - Vista Equity Partners Fund III LP (Vista), a unit of Vista Equity Partners LLC, acquired the remaining 87.28% interest, or 27.566 mil common shares, which it did not already own, in SumTotal Systems Inc (SumTotal), a developer of e-learning, performance, and compensation management software, via a tender offer for a thrice sweetened USD 4.85 in cash per share, or a total value of USD 136.706 mil, in a leveraged buyout transaction. Previously, Vista offered a twice sweetened USD 4.75 in cash per share, or a total value of USD 130.94 mil, and USD 4.5 in cash per share, or a total value of USD 124.048 mil. Originally, Vista offered USD 3.25 in cash per share, or a total value of USD 89.59 mil. Subsequently, Accel-KKR LLC, a joint venture between Accel Partners and Kohlberg Kravis Roberts &amp; Co, withdrew its agreement to launch a challenging offer to acquire the entire share capital of SumTotal.</t>
  </si>
  <si>
    <t>US - In April 2009, Textron Inc, a Providence-based manufacturer of aircraft engines, was rumored to be seeking a buyer for the company. Lockheed Martin Corp and Raytheon Co were named potential bidders. The Current status of this deal is unknown.</t>
  </si>
  <si>
    <t>US - Pulte Homes Inc (Pulte) merged with Centex Corp (Centex), a Dallas-based constructor of residential buildings, in a stock swap transaction, valued at USD 3. 106 bil, including the assumption of USD 1.8 bil in liabilities. Pulte offered 0. 975 common shares per Centex share. Based on Pulte's closing stock price of USD 10. 77 on 07 April 2009, the last full trading day prior to the announcement, each Centex share was valued at USD 10. 501. On completion, Pulte shareholders were to own 68% and Centex shareholders were to own 32% of the merged company.</t>
  </si>
  <si>
    <t>Entrust Inc</t>
  </si>
  <si>
    <t>Thoma Bravo LLC</t>
  </si>
  <si>
    <t>US - Thoma Bravo LLC (Thoma) acquired the entire share capital of Entrust Inc, a Dallas-based developer of information and Internet security software, for a sweetened USD 2 in cash per share, or a total value of USD 123.872 mil, in a leveraged buyout transaction. Previously, Thoma offered USD 1.85 in cash per share, or a total value of USD 114.129 mil.</t>
  </si>
  <si>
    <t>Amylin Pharmaceuticals Inc</t>
  </si>
  <si>
    <t>US - Eli Lilly &amp; Co wasdiscontinued rumors to be planning to acquire the entire share capital of Amylin Pharmaceuticals Inc, a biopharmaceutical company.</t>
  </si>
  <si>
    <t>Florida Public Utilities Co</t>
  </si>
  <si>
    <t>Pvd elec utility,gas svcs</t>
  </si>
  <si>
    <t>Chesapeake Utilities Corp</t>
  </si>
  <si>
    <t>Pvd gas transmission services</t>
  </si>
  <si>
    <t>US - Chesapeake Utilities Corp (Chesapeake) merged with Florida Public Utilities Co (Florida), a West Palm Beach- based provider of electric utility and gas transmission services, in a stock swap transaction valued at USD 73. 447 mil. Chesapeake offered 0. 405 common shares per Florida share. Based on Chesapeakes closing stock price of USD 29. 65 on 17 April 2009, the last full trading day prior to the announcement, each CB share was valued at USD 12.008.</t>
  </si>
  <si>
    <t>The Hallwood Group Inc</t>
  </si>
  <si>
    <t>Hallwood Financial Ltd</t>
  </si>
  <si>
    <t>US - Hallwood Financial Ltd of the British Virgin Islands, a unit of Hallwood Trust, withdrew its plans to launch an unsolicited tender offer to acquire the remaining 34. 3% stake, or 0.523 mil common shares, which it did not already own, in Hallwood Group Inc, a Dallas-based manufacturer of textile products, for USD 12 in cash per share, or a total value of USD 6.278 mil.</t>
  </si>
  <si>
    <t>Pepsi Bottling Group Inc</t>
  </si>
  <si>
    <t>Produce,whl beverages</t>
  </si>
  <si>
    <t>US - PepsiCo Inc definitively acquired the remaining 66.9% interest plus options, or 169. 549 mil common shares, which it did not already own, in Pepsi Bottling Group Inc (Pepsi), a Somers-based producer and wholesaler of beverages, for USD 5.422 bil. PepsiCo offered a sweetened choice of USD 36.5 in cash or 0.6432 common shares per Pepsi share, subject to proration such that the aggregate consideration to be paid to Pepsi shareholders shall be 50% cash and 50% PepsiCo common stock. Previously, PepsiCo offered USD 14.75 in cash and 0.283 common shares per Pepsi share. Concurrently, PepsiCo definitively acquired the remaining 57%, or 73.17 mil common shares, which it did not already own, in PepsiAmericas Inc.</t>
  </si>
  <si>
    <t>PepsiAmericas Inc</t>
  </si>
  <si>
    <t>Produce,whl bottled drinks</t>
  </si>
  <si>
    <t>US - PepsiCo Inc (PepsiCo) definitively acquired the remaining 57% interest, or 73. 17 mil common shares, plus options, which it did not already own in PepsiAmericas Inc (Pepsi), a Minneapolis- based producer and wholesaler of bottled drinks for a sweetened USD 2.06 bil. PepsiCo offered a choice of USD 28.5 in cash or 0.5022 PepsiCo share per Pepsi share, subject to proration whereby 50% of the total consideration was to be paid in common shares and the remaining 50% in cash. Originally, PepsiCo offered USD 11.64 in cash and 0.223 common shares for every Pepsi share. Concurrently, PepsiCo definitively acquired the remaining 66.9% interest, or 141.549 mil common shares, which it did not already own in Pepsi Bottling Group Inc.</t>
  </si>
  <si>
    <t>US - Oracle Corp acquired the entire share capital of Sun Microsystems Inc, a Santa Clara-based manufacturer of servers and storage equipment, for USD 9.5 in cash per share, or a total value of USD 7.305 bil. The transaction was subject to regulatory and other customary approvals.</t>
  </si>
  <si>
    <t>Broadcom Corp</t>
  </si>
  <si>
    <t>US - Broadcom Corp withdrew its unsolicited tender offer to acquire the entire share capital of Emulex Corp, a Costa Mesa-based manufacturer of network storage products, for a sweetened USD 11 in cash per share, or a total value of USD 908.005 mil. Previously, Broadcom offered USD 9.25 in cash per share, or a total vale of USD 763. 549 mil.</t>
  </si>
  <si>
    <t>Highland Distressed Opportunti</t>
  </si>
  <si>
    <t>Highland Credit Strategies</t>
  </si>
  <si>
    <t>US - Highland Credit Strategies Fund merged with Highland Distressed Opportunities Inc, a Pawtucket-based closed-ended investment fund.</t>
  </si>
  <si>
    <t>Atlas Energy Resources LLC</t>
  </si>
  <si>
    <t>Atlas America Inc</t>
  </si>
  <si>
    <t>US - Atlas America Inc (Atlas America) acquired the remaining 52% interest, or 32. 958 mil Class B common shares, which it did not already own, in Atlas Energy Resources LLC (Atlas Energy), a Moon Township-based oil and gas exploration and production company, in a stock swap transaction valued at USD 474. 454 mil. Atlas America offered 1.16 common shares per Atlas Energy Class B share. Based on Atlas Americas closing stock price of USD 12.41 on 24 April 2009, the last full trading day prior to the announcement, each Atlas Energy share was valued at USD 14.396. Upon completion, Atlas America was renamed Atlas Energy Inc.</t>
  </si>
  <si>
    <t>CNB Financial Corp</t>
  </si>
  <si>
    <t>US - Berkshire Hills Bancorp Inc (Berkshire) withdrew its definitive agreement to merge with CNB Financial Corp (CNB), a Worcester-based bank holding company, in a stock swap transaction valued at USD 21.079 mil. Berkshire offered a sweetened 0.4292 common shares per CNB share. Based on Berkshire's closing stock price of USD 21.51 on 21 May 2009, the last full trading day prior to the amendment of terms, each CNB share was valued at USD 9.232. The transaction was approved by the Boards of Directors of both companies and was subject to CNB shareholder approval. Originally, Berkshire offered 0.3696 common shares per CNB share. Subsequently, United Financial Bancorp Inc agreed to acquire the entire share capital of CNB.</t>
  </si>
  <si>
    <t>TEPPCO Partners LP</t>
  </si>
  <si>
    <t>Whl petro prod</t>
  </si>
  <si>
    <t>US - Enterprise Products Partners LP (Enterprise) definitively acquired the entire share capital of TEPPCO Partners LP (TEPPCO), a Houston-based owner and operator of petroleum stations, in a stock swap transaction valued at USD 3. 283 bil. Enterprise offered a sweetened 1.24 shares per TEPPCO share. Based on Enterprise's closing stock price of USD 25.29 on 26 June 2009, the last full trading day prior to the amendment of the terms, each TEPPCO share was valued at USD 31.36. Previously, Enterprise offered USD 1 in cash and 1. 043 common shares per TEPPCO share. On completion, TEPPCO became a wholly-owned subsidiary of Enterprise.</t>
  </si>
  <si>
    <t>US - Tracinda Corp planned to raise its stake to 75% from 39.4% by acquiring a 35.6% stake, or 36.604 mil common shares, in Delta Petroleum Corp, a Denver-based oil and gas exploration company.</t>
  </si>
  <si>
    <t>US - Open Text Corp (Open) acquired the entire share capital of Vignette Corp (Vignette), an Austin-based developer of Internet relationship management (IRM) software, for USD 304.401 mil. Open offered USD 8 in cash and 0.1447 common shares per Vignette share. Based on Open's closing stock price of USD 32.5 on 5 May 2009, the last full trading day prior to the announcement, each Vignette share was valued at USD 12.703.</t>
  </si>
  <si>
    <t>Cornerstone Therapeutics Inc</t>
  </si>
  <si>
    <t>Chiesi Farmaceutici SpA</t>
  </si>
  <si>
    <t>Pvd research,dvlp services</t>
  </si>
  <si>
    <t>US - Chiesi Farmaceutica SpA acquired a 95.23% interest, or 11.903 mil common shares in Cornerstone Therapeutics Inc, a Lexinton-based manufacturer of pharmaceuticals, for USD 5.5 per share, or a total value of USD 65.465 mil.</t>
  </si>
  <si>
    <t>Nashua Corp</t>
  </si>
  <si>
    <t>Mnfr papers,imaging prod</t>
  </si>
  <si>
    <t>US - Cenveo Inc (Cenveo) acquired Nashua Corp (Nashua), a Nashua-based manufacturer of specialty papers and imaging products, for USD 38. 796 mil, subject to a collar agreement. Cenveo offered 1. 224 common shares and USD 0. 75 in cash per Nashua share. Based on Cenveo's closing stock price of USD 5.01 on 2009 May 6, the last full trading day prior to the announcement, each Nashua share was valued at USD 6.88.</t>
  </si>
  <si>
    <t>VNUS Medical Technologies Inc</t>
  </si>
  <si>
    <t>Covidien Ltd</t>
  </si>
  <si>
    <t>Mnfr,whl healthcare prod</t>
  </si>
  <si>
    <t>US - Covidien Ltd of Bermuda acquired the entire share capital of VNUS Medical Technologies Inc, a San Jose- based manufacturer of medical devices, via a tender offer, for USD 29 in cash per share, or a total value of USD 490. 237 mil. The transaction had been subject to regulatory approval and customary closing conditions.</t>
  </si>
  <si>
    <t>Catapult Communications Corp</t>
  </si>
  <si>
    <t>IXIA</t>
  </si>
  <si>
    <t>Manufacture performance analysis systems</t>
  </si>
  <si>
    <t>US - IXIA acquired the entire share capital of Catapult Communications Corp, a Mountain View-based developer of communications software, for USD 9.25 in cash per share, or a total value of USD 107.462 mil, via tender offer.</t>
  </si>
  <si>
    <t>US - Windstream Corp definitively acquired the entire share capital of D&amp;E Communications Inc, a Ephrata- based provider of telecommunications services, for USD 328.114 mil. The consideration was to consist of USD 5 in cash and 0.65 common shares per D&amp;E share and the assumption of an estimated USD 171 mil in liabilities. The shares were valued based on Windstream's closing stock price of USD 9. 05 on 8 May 2009, the last full trading day prior to the announcement.</t>
  </si>
  <si>
    <t>US - Google Inc was rumored to be planning to acquire the entire share capital of The New York Times Co, a New York- based publishing company. The Current status of this deal is unknown.</t>
  </si>
  <si>
    <t>Foundation Coal Holdings Inc</t>
  </si>
  <si>
    <t>Coal mining co</t>
  </si>
  <si>
    <t>US - Alpha Natural Resources Inc (Alpha Natural) acquired the entire share capital of Foundation Coal Holdings Inc (Foundation Coal), a Linthicum Heights-based coal mining company, to form New Co in a stock swap transaction valued at USD 1. 422 bil. Foundation Coal common shareholders were to receive 1.084 New Co common shares and Alpha Natural common shareholders were to receive 1 New Co common shares per share held. Based on Alpha Natural's closing stock price of 11 May 2009, the last full trading day prior to the announcement, each Foundation Coal share was valued at USD 31.284. Upon completion, Alpha Natural and Foundation Coal were to own 59% and 41% of New Co, respectively.</t>
  </si>
  <si>
    <t>United Financial Bancorp Inc</t>
  </si>
  <si>
    <t>US - United Financial Bancorp Inc (United) acquired the entire share capital of CNB Financial Corp (CNB), a Worcester-based bank holding company, in a stock swap transaction valued at USD 25. 620 mil. United offered a choice of a twice sweetened USD 10.75 in cash or common shares per CNB share, subject to proration whereby the total cash consideration shall not exceed 50% of the total consideration paid. Previously, United offered a choice of USD 10.25 in cash or common shares per CNB share. Originally, United offered a choice of USD 10 in cash or common shares per CNB share. Previously, Berkshire Hills Bancorp Inc withdrew its definitive agreement to merge with CNB.</t>
  </si>
  <si>
    <t>PetroAlgae Inc</t>
  </si>
  <si>
    <t>Pvd biofuel research,dvlp svcs</t>
  </si>
  <si>
    <t>PetroTech Holdings Corp</t>
  </si>
  <si>
    <t>US - PetroTech Holdings Corp agreed to acquire the remaining 4.2% stake, or 4. 386 mil common shares, which it did not already own in PetroAlgae Inc, a Melbourne- based provider of research and development services.</t>
  </si>
  <si>
    <t>Gap Inc</t>
  </si>
  <si>
    <t>Own,op retail outlet stores</t>
  </si>
  <si>
    <t>Fast Retailing Co Ltd</t>
  </si>
  <si>
    <t>Own,operate clothing stores</t>
  </si>
  <si>
    <t>US - Fast Retailing Co Ltd was rumored to be planning to acquire the entire share capital of Gap Inc, a San Francisco-based owner and operator of retail outlet stores.  The Current status of this deal is unknown.</t>
  </si>
  <si>
    <t>IDM Pharma Inc</t>
  </si>
  <si>
    <t>Takeda America Holdings Inc</t>
  </si>
  <si>
    <t>US - Takeda America Holdings Inc (Takeda America), a unit of Takeda Pharmaceutical Co Ltd of Japan, acquired an 86. 41% interest in IDM Pharma Inc (IDM), an Irvine-based biopharmaceutical company, via a tender offer, for USD 2. 64 in cash per share or a total value of USD 57.665 mil. Concurrently, Takeda America launched a mandatory tender offer to acquire the remaining 13.59% stake in IDM.</t>
  </si>
  <si>
    <t>Kona Grill Inc</t>
  </si>
  <si>
    <t>US - Mill Road Capital LP withdrew its plans to launch an unsolicited tender offer to acquire the remaining 90% interest or 5.868 mil common shares, which it did not already own, in Kona Grill Inc, a Scottsdale-based owner and operator of restaurants, for USD 4.6 in cash per share, or a total value of USD 26. 994 mil, in a leveraged buyout transaction.</t>
  </si>
  <si>
    <t>US - In May 2009, Regions Financial Corp, a Birmingham- based bank holding company, announced that it was seeking a buyer for the company. BB&amp;T Corp and JP Morgan Chase &amp; Co were named potential bidders.</t>
  </si>
  <si>
    <t>Lime Rock Management LP</t>
  </si>
  <si>
    <t>US - Lime Rock Partners LP (Lime) raise its interest to 56.96% from 28.46%, by acquiring a 28.5% stake, or 19.889 mil common shares, in Allis-Chalmers Energy Inc (Allis), a Houston-based provider of oil and natural gas drilling services, for USD 2.5 per share, or a total value of USD 49.723 mil. Concurrently, Lime acquired preferred stock convertible into a 28.46% stake, or 14. 202 mil common shares, in Allis.</t>
  </si>
  <si>
    <t>Data Domain Inc</t>
  </si>
  <si>
    <t>Mnfr deduplication storage sys</t>
  </si>
  <si>
    <t>NetApp Inc</t>
  </si>
  <si>
    <t>Mnfr,dvlp network storage</t>
  </si>
  <si>
    <t>US - NetApp Inc (NetApp) withdrew its definitive agreement to acquire the entire share capital of Data Domain Inc (Data), a Santa Clara-based manufacturer of deduplication storage systems, for a sweetened USD 30 in cash and NetApp common shares per share, or a total value of USD 2.107 bil, subject to a collar agreement. Originally, NetApp offered USD 25 in cash and NetApp common shares per Data share. The transaction was approved by Data's board of directors and was subject to customary closing conditions. Upon completion, NetApp will operate Data as a product line within its product operations organization. Concurrently, EMC Corp definitively agreed to acquire the entire share capital of Data.</t>
  </si>
  <si>
    <t>Cougar Biotechnology Inc</t>
  </si>
  <si>
    <t>US - Johnson &amp; Johnson, through its wholly-owned Kite Merger Sub Inc unit, acquired the entire share capital of Cougar Biotechnology Inc, a Los Angeles-based biotechnology company, via a tender offer, for USD 43 in cash per share, or a total value of USD 988.216 mil.</t>
  </si>
  <si>
    <t>Central Jersey Bancorp,NJ</t>
  </si>
  <si>
    <t>OceanFirst Financial Corp</t>
  </si>
  <si>
    <t>US - OceanFirst Financial Corp, Toms River, New Jersey (OceanFirst) withdrew its agreement to merge with Oakhurst-based Central Jersey Bancorp (Central), a bank holding company, in a stock swap transaction valued at USD 68.28 mil. OceanFirst offered 0.5 common share per Central share. Based on OceanFirsts closing stock price of USD 14.23 on 26 May 2009, the last full trading day prior to the announcement, each Central share was valued at USD 7.115.</t>
  </si>
  <si>
    <t>FiberNet Telecom Group Inc</t>
  </si>
  <si>
    <t>Zayo Group LLC</t>
  </si>
  <si>
    <t>Pvd bandwidth solution svcs</t>
  </si>
  <si>
    <t>US - Zayo Group LLC, a wholly- owned unit of Communications Infrastructure Investments, acquired the entire share capital of FiberNet Telecom Group Inc (FiberNet), a New York-based provider of telecommunications services, for USD 11.45 in cash per share, or a total value of USD 88.72 mil. On completion, Fibernet became a wholly- owned unit of Zayo. Subsequently, RCN Corp withdrew its challenging offer to acquire the entire share capital of FiberNet.</t>
  </si>
  <si>
    <t>CuraGen Corp</t>
  </si>
  <si>
    <t>Celldex Therapeutics Inc</t>
  </si>
  <si>
    <t>Mnfr biopharmaceuticals</t>
  </si>
  <si>
    <t>US - Celldex Therapeutics Inc acquired the entire share capital of CuraGen Corp, a Branford-based biopharmaceutical company, in a stock swap transaction, valued at an estimated USD 94. 5 mil, subject to a collar agreement.</t>
  </si>
  <si>
    <t>US - Elan Corp PLC of the UK discontinued rumors that it was planning to merge with Bristol-Myers Squibb Co, a New York-based manufacturer of pharmaceuticals and medical products.</t>
  </si>
  <si>
    <t>US - EMC Corp (EMC) acquired the entire share capital of Data Domain Inc (Data Domain), a Santa Clara-based manufacturer of deduplication storage systems, via a tender offer for a sweetened USD 33. 5 in cash per share, or a total value of USD 2.368 bil. Originally, EMC offered USD 30 in cash per share, or a total value of USD 2.107 bil. Previously, NetApp Inc withdrew its definitive agreement to acquire the entire share capital of Data Domain.</t>
  </si>
  <si>
    <t>etrials Worldwide Inc</t>
  </si>
  <si>
    <t>Dvlp eClinical software</t>
  </si>
  <si>
    <t>Merge Healthcare Inc</t>
  </si>
  <si>
    <t>US - Merge Healthcare Inc (Merge) acquired the entire share capital of etrials Worldwide Inc (etrials), a Morrisville-based developer of eClinical software, for USD 20.22 mil. Merge offered 0.3448 common share and USD 0. 8 in cash per etrials share. Based on Merge's closing stock price of USD 3.14 on 2009 May 29, the last full trading day prior to the announcement, each etrials share was valued at USD 1.883. Earlier, Merged completed its tender offer to acquire the entire share capital of etrials, by accepting 9.6 mil common shares, or 89.38% of etrials' common shares outstanding.</t>
  </si>
  <si>
    <t>NATCO Group Inc</t>
  </si>
  <si>
    <t>Mnfr,market oil prodn equip</t>
  </si>
  <si>
    <t>Cameron International Corp</t>
  </si>
  <si>
    <t>Mnfr,whl oil,gas field equip</t>
  </si>
  <si>
    <t>US - Cameron International Corp (Cameron) acquired the entire share capital of NATCO Group Inc (NATCO), a Houston- based manufacturer of oil field equipment and machinery, in a stock swap transaction valued at USD 770.68 mil. Cameron offered 1.185 common shares per NATCO share. Based on Cameron's closing stock price of USD 32.45 on 01 June 2009, the last full trading day prior to the announcement, each NATCO share was valued at USD 38.453.</t>
  </si>
  <si>
    <t>Quest Energy Partners LP</t>
  </si>
  <si>
    <t>US - Quest Resource Corp (Quest) acquired the remaining 43% stake, or 5.303 mil common shares, which it did not already own, in Quest Energy Partners LP (Quest Energy), an Oklahoma-based oil and gas exploration and production company, in a stock swap transaction valued at USD 8.965 mil. Quest Energy common shareholders were to receive 0.2859 PostRock Energy Corp (PostRock) common shares and Quest common shareholders were to receive 0.0575 PostRock common shares per share held. Based on Quest's closing stock price of USD 0. 34 on 22 June 2009, the last full trading day prior to the announcement, each Quest Energy share was valued at USD 1.591. Concurrently, Quest acquired the remaining 64% interest, which it did not already own, in Quest Midstream Partners LP, in a three-way merger transaction. On completion, the entities are to be owned by PostRock.</t>
  </si>
  <si>
    <t>General Dynamics Advanced</t>
  </si>
  <si>
    <t>Pvd mission solution svcs</t>
  </si>
  <si>
    <t>US - General Dynamics Advanced Information Systems, a unit of General Dynamics Corp, definitively acquired the entire share capital of Axsys Technologies Inc (Axsys) , a Rocky Hill-based manufacturer and wholesaler of precision optical and sub- systems, for USD 54 per share, or a total value of USD 639. 704 mil. Originally, in March 2009, Axsys was rumored to be seeking a buyer for the company.</t>
  </si>
  <si>
    <t>US - Intel Corp acquired the entire share capital of Wind River Systems Inc (Wind River) , an Alameda-based developer of optimization software, for USD 11.5 in cash per share, or a total value of USD 890. 287 mil. Earlier, Intel completed its tender offer for Wind River by accepting 68.166 mil shares, or 89% of Wind River's common shares outstanding.</t>
  </si>
  <si>
    <t>Capitol Acquisition Corp</t>
  </si>
  <si>
    <t>Pvd Special purpose acq svcs</t>
  </si>
  <si>
    <t>Two Harbors Investment Corp</t>
  </si>
  <si>
    <t>US - Two Harbors Investment Corp, a unit of Pine River Capital Management LP's PRCM Advisers LLC subsidiary, mergedwith Capitol Acquisition Corp, a special purpose acquisition company.</t>
  </si>
  <si>
    <t>US - Southern Energy Homes Inc, a unit of Berkshire Hathaway Inc's Clayton Homes Inc subsidiary, merged with Cavalier Homes Inc, an Addison-based manufacturer of mobile homes, for USD 2.75 in cash per share, or a total value of USD 48.396 mil.</t>
  </si>
  <si>
    <t>Beverly National Corp,MA</t>
  </si>
  <si>
    <t>Danvers Bancorp Inc,MA</t>
  </si>
  <si>
    <t>Stock savings holding bank</t>
  </si>
  <si>
    <t>US - Danvers Bancorp Inc (Danvers), Danvers, Massachusetts, merged with Beverly-based Beverly National Corp (Beverly), a bank holding company, in a stock swap transaction valued at USD 61.485 mil. Danvers offered 1.66 common shares per Beverly share. Based on Danver's closing stock price of USD 13.88 on 16 June 2009, the last full trading day prior to the announcement, each Beverly share was valued at USD 23.041.</t>
  </si>
  <si>
    <t>US - An investor group comprised of Harbinger Capital Partners Master Fund I LP, Global Opportunities Breakaway Ltd, and Harbinger Capital Partners Special Situations Fund LP acquired a 51.3% interest or 9.889 mil common shares in Zapata Corp, a Rochester-based investment holding company, from Malcolm I. Glazer Family LP and Avram A. Glazer, for USD 7.5 per share, or a total value of USD 74.166 mil.</t>
  </si>
  <si>
    <t>US - RCN Corp withdrew its plans to launch an unsolicited challenging offer to acquire the entire share capital of FiberNet Telecom Group Inc, a New York-based provider of telecommunications services, for USD 12.5 in cash per share, or a total value of USD 96.687 mil. Previously, Zayo Group LLC definitively agreed to acquire the entire share capital of FiberNet.</t>
  </si>
  <si>
    <t>US - WebMD Health Corp (WebMD) , an 82.466%-owned unit of HLTH Corp (HLTH), merged with HLTH, an Elmwood Park-based developer of online health software, in a stock swap transaction valued at USD 285. 42 mil. The consideration was prorated based on the 17.534% not owned by HLTH in WebMD. WebMD offered 0.4444 common shares per HLTH share. Based on WebMD's closing stock price of USD 28.21 on 17 June 2009, the last full trading day prior to the announcement, each HLTH share was valued at USD 12.537.</t>
  </si>
  <si>
    <t>Cooperative Bankshares Inc</t>
  </si>
  <si>
    <t>First Bank,Troy,North Carolina</t>
  </si>
  <si>
    <t>US - First Bank of Troy, a unit of First Bancorp, acquired Cooperative Bankshares Inc (Coop Bank), a Wilmington-based commercial bank. The transaction included all the deposits of Coop Bank.</t>
  </si>
  <si>
    <t>William H Sadlier Inc</t>
  </si>
  <si>
    <t>Publish educ material</t>
  </si>
  <si>
    <t>Cauldron Group Inc</t>
  </si>
  <si>
    <t>US - Cauldron Group Inc (Cauldron)acquired the entire share capital of William H. Sadlier Inc (William), a New York-based publisher of educational and catechetical material.</t>
  </si>
  <si>
    <t>US - Takeda America Holdings Inc (Takeda America), a unit of Takeda Pharmaceutical Co Ltd of Japan, acquired the remaining 13.59% stake of 3. 436 mil common shares, which it did nto already own, in IDM Pharma Inc (IDM), an Irvine-based biopharmaceutical company, for USD 2.64 in cash per share or a total value of USD 9.07 mil. Concurrently, Takeda America acquired an 86. 41% interest in IDM.</t>
  </si>
  <si>
    <t>Tower Group Inc</t>
  </si>
  <si>
    <t>Pvd property,casualty ins svcs</t>
  </si>
  <si>
    <t>US - Tower Group Inc (Tower) acquired the entire share capital of Specialty Underwriters Alliance Inc (Specialty), a Chicago-based provider of commercial property and casualty insurance services, in a stock swap transaction valued at USD 106.238 mil. Tower offered 0.28 common shares per Specialty share, subject to a collar agreement. Based on Tower's closing stock price of USD 24 on 19 June 2009, the last full trading day prior to the announcement, each Specialty share was valued at USD 6.72. Previously, Hallmark Financial Services Inc planned to launch an unsolicited tender offer to acquire the remaining 90.4% interest, or 13.286 mil shares, which it did not already own in Specialty.</t>
  </si>
  <si>
    <t>Monogram Biosciences Inc</t>
  </si>
  <si>
    <t>Mnfr diagnostic prod</t>
  </si>
  <si>
    <t>Mastiff Acquisition Corp</t>
  </si>
  <si>
    <t>US - Mastiff Acquisition Corp, a unit of Laboratory Corp of America Holdings, acquired the entire share capital of Monogram Biosciences Inc, a South San Francisco-based manufacturer of molecular diagnostic products, via a tender offer for USD 4.55 in cash per share, or a total value of USD 104.843 mil.</t>
  </si>
  <si>
    <t>Ubiquitech Software Corp</t>
  </si>
  <si>
    <t>Young Yuan</t>
  </si>
  <si>
    <t>US - Young Yuan acquired a 92. 8% interest, or 8.5 mil common shares, in Ubiquitech Software Corp, a Las Vegas- based developer of medical software.</t>
  </si>
  <si>
    <t>Tween Brands Inc</t>
  </si>
  <si>
    <t>Mnfr,ret girls apparel</t>
  </si>
  <si>
    <t>Dress Barn Inc</t>
  </si>
  <si>
    <t>Own,op women's apparel store</t>
  </si>
  <si>
    <t>US - Dress Barn Inc (Dress) acquired the entire share capital of Tween Brands Inc (Tween), a New Albany-based manufacturer and retailer of apparel and lifestyle products for teenage girls, in a stock swap transaction valued at USD 154.462 mil. Dress offered 0.47 common shares per Tween share. Based on Dresss closing stock price of USD 13.24 on 24 June 2009, the last full trading day prior to the announcement, each Tween share was valued at USD 6.223.</t>
  </si>
  <si>
    <t>First Advantage Corp</t>
  </si>
  <si>
    <t>Pvd risk mgmt solutions svcs</t>
  </si>
  <si>
    <t>US - First American Corp (American) acquired the remaining 20.135% stake, or 12.033 mil common shares, which it did not already own, in First Advantage Corp (Advantage), a Poway-based provider of risk management solutions services, in a stock swap transaction valued at USD 169.242 mil. American offered 0.5375 common shares per Advantage share. Based on American's closing stock price of USD 26.13 on 26 June 2009, the last full trading day prior to the announcement, each Advantage share was valued at USD 14.045.</t>
  </si>
  <si>
    <t>Pamrapo Bancorp Inc</t>
  </si>
  <si>
    <t>S&amp;L bk holding co</t>
  </si>
  <si>
    <t>BCB Bancorp Inc</t>
  </si>
  <si>
    <t>US - BCB Bancorp Inc (BCB) merged with Pamrapo Bancorp Inc (Pamrapo), a Bayonne- based savings and loan bank holding company, in a stock swap transaction valued at USD 46.888 mil. BCB offered 1 common share per Pamrapo share. Based on BCB's closing stock price of USD 9.5 on 29 June 2009, each Pamrapo share was valued at USD 9.5.</t>
  </si>
  <si>
    <t>FCStone Group Inc</t>
  </si>
  <si>
    <t>Pvd risk mgmt consulting svcs</t>
  </si>
  <si>
    <t>International Assets Hldg</t>
  </si>
  <si>
    <t>US - International Assets Holding Corp (International) acquired the entire share capital of FCStone Group Inc (FCStone), a Kansas City- based provider of risk management consulting and trade execution services, in a stock swap transaction valued at USD 129.688 mil. International offered 0.295 shares per FCStone share. Based on Internationals closing stock price of USD 15. 74 on 01 July 2009, the last full trading day prior to the announcement, each FCStone share was valued at USD 4.643.</t>
  </si>
  <si>
    <t>Woodbridge Holdings Corp</t>
  </si>
  <si>
    <t>US - BFC Financial Corp (BFC) definitively acquired the remaining 76.47% interest, or 12.902 mil Class A common shares, which it did not already own, in Woodbridge Holdings Corp (Woodbridge), a real estate investment firm, in a stock swap transaction valued at USD 17.908 mil. BFC offered 3.47 Class A common shares per Woodbridge Class A share. Based on BFC's closing stock price of USD 0.4 on 3 July 2009, the last full trading day prior to the announcement, each Woodbridge share was valued at USD 1.388. On completion, Woodbridge became a wholly-owned subsidiary of BFC.</t>
  </si>
  <si>
    <t>MSC Software Corp SPV</t>
  </si>
  <si>
    <t>US - MSC Software Corp SPV (MSC), a special purpose acquisition vehicle, formed by Symphony Technology Group LLC and Elliott Management Corp, for the purpose of making an acquisition, acquired the entire share capital of MSC Software Corp, a Santa Ana-based developer of simulation software, for a thrice sweetened USD 8.40 in cash per share, or a total value of USD 382.355 mil, in a leveraged buyout transaction. Previously, MSC offered a sweetened USD 8.15 in cash per share, or a total value of USD 371.549. Previously, MSC offered a sweetened USD 8 in cash per share, or a total value of USD 364.721. Originally, MSC offered USD 7.63 in cash per share, or a total value of USD 347.88 mil.</t>
  </si>
  <si>
    <t>iBasis Inc</t>
  </si>
  <si>
    <t>Provide telecomunication svcs</t>
  </si>
  <si>
    <t>US - Koninklijke KPN NV (Koninklijke) of Netherlands completed its tender offer to acquire the remaining 44% stake, or 32.302 mil common shares plus options, which it did not already own, in iBasis Inc, a Burlington- based provider of telecommunications services, for a twice sweetened USD 3 in cash per share, or a total value of USD 94.907 mil. Previously, Koninklijke offered a sweetened USD 2.25 in cash per share, or a total value of USD 70.545 mil. Originally, Koninklijke offered USD 1.55 in cash per share, or a total value of USD 48.607 mil.</t>
  </si>
  <si>
    <t>Netflix Inc</t>
  </si>
  <si>
    <t>Pvd online movie rental svcs</t>
  </si>
  <si>
    <t>US - Amazon.com Inc was rumored to be planning to acquire the entire share capital of Netflix Inc, a Los Gatos-based provider of online movie rental services. The Current status of this deal is unknown.</t>
  </si>
  <si>
    <t>Northstar Merger Sub Inc</t>
  </si>
  <si>
    <t>US - Northstar Merger Sub Inc (Northstar), a unit of Hisamitsu Pharmaceutical Co Inc's Hisamitsu US Inc subsidiary, acquired the remaining 95.02% interest plus options, or 27.767 mil common shares, which it did not already own, in Noven Pharmaceuticals Inc (Noven), a Miami-based specialty pharmaceutical manufacturing firm, for USD 16.5 in cash per share, or a total value of USD 399.58 mil. Earlier, Northstar completed its tender offer for Noven, by accepting 21.94 mil common shares, or 92.68% of Noven's common shares outstanding. The offer was conditioned upon at least 50.1% of Noven's shares being tendered on a fully diluted basis.</t>
  </si>
  <si>
    <t>Arabian Peninsula Group</t>
  </si>
  <si>
    <t>US - Arabian Peninsula Group of United Arab Emirates withdrew rumors in planning to acquire the entire share capital of Harman International Industries Inc, a Stamford-based manufacturer and wholesaler of audio and video system products, in a leveraged buyout transaction.</t>
  </si>
  <si>
    <t>Bankrate Inc</t>
  </si>
  <si>
    <t>Pvd online finl info svcs</t>
  </si>
  <si>
    <t>Ben Holdings Inc</t>
  </si>
  <si>
    <t>US - Ben Holdings Inc (Ben), a unit of Apax Partners Worldwide LLP of the UK, acquired the entire share capital of Bankrate Inc (Bankrate), a North Palm Beach-based provider of online financial information services, for USD 28.5 in cash per share, or a total value of USD 563.347 mil. Earlier, Ben completed its tender offer by accepting 5. 397 mil shares, or 28.74% of Bankrates common shares outstanding, in a leveraged buyout transaction. On completion, Bankrate became a wholly-owned unit of Ben.</t>
  </si>
  <si>
    <t>Green Planet Bioengineering Co</t>
  </si>
  <si>
    <t>One Holdings Corp</t>
  </si>
  <si>
    <t>US - One Holdings Corp (One), a unit of Abacus Global Investments Corp, acquired an 82% interest, or 12.783 mil common shares, in Green Planet Bioengineering Co Ltd, a Aventura-based biotechnology company, for USD 0.98 mil and 11.611 mil One common shares.</t>
  </si>
  <si>
    <t>US - Transcontinental Realty Investors Inc, a unit of Basic Capital Management Inc's American Realty Investors subsidiary, raised its interes to 85.31% from 24. 88%, by acquiring a 60.43% nterest or 2.519 mil common shares in Income Opportunity Realty Investors Inc, a Dallas-based real estate investment trust, from Syntek West Inc, for the assumption of USD 17.884 mil in liabilities.</t>
  </si>
  <si>
    <t>Medarex Inc</t>
  </si>
  <si>
    <t>US - Bristol-Myers Squibb Co (Bristol) acquired the entire share capital of Medarex Inc, a Princeton-based biopharmaceutical company, for USD 16 in cash per share, or a total value of USD 2.247 bil. The offer was conditioned upon at least a majority of Medarex's shares being tendered on a fully diluted basis. Earlier, Bristol completed its tender offer for Medarex by accepting 119.012 mil shares, or about 92.58% of Medarex's common shares outstanding.</t>
  </si>
  <si>
    <t>Global Holdings Inc</t>
  </si>
  <si>
    <t>Alpha1 Security Inc</t>
  </si>
  <si>
    <t>Pvd Internet-based sec svcs</t>
  </si>
  <si>
    <t>US - Alpha1 Security Inc agreed to acquire a 83% interest, or 15.126 mil common shares, in Global Holdings Inc, a East Brunswick-based provider of consulting services.</t>
  </si>
  <si>
    <t>US - First Niagara Financial Group Inc (First Niagara), located in Lockport, New York, definitively acquired the entire share capital of Harleysville National Corp (Harleysville), a Harleysville-based bank holding company, in a stock swap transaction valued at USD 239.874 mil. First Niagara offered 0.474 common shares per Harleysville share. Based on First Niagara's closing stock price of USD 11. 74 on 24 July 2009, each Harleysville share was valued at USD 5.565.</t>
  </si>
  <si>
    <t>Varian Inc</t>
  </si>
  <si>
    <t>Mnfr,whl scientific instr</t>
  </si>
  <si>
    <t>US - Agilent Technologies Inc acquired the entire share capital of Varian Inc, a Palo Alto-based manufacturer and wholesaler of scientific instruments, for USD 52 in cash per share, or a total value of USD 1.512 bil.</t>
  </si>
  <si>
    <t>US - International Business Machines Corp {IBM} acquired the entire share capital of SPSS Inc, a Chicago-based developer of predictive analytics software, for USD 50 in cash per share, or a total value of USD 950.571 mil. Concurrently, IBM acquired Ounce Labs Inc.</t>
  </si>
  <si>
    <t>Virgin Mobile USA Inc</t>
  </si>
  <si>
    <t>US - Sprint Nextel Corp (Sprint) definitively acquired the remaining 83. 431% interest, which it did not already own, in Virgin Mobile USA Inc (Virgin), a Warren-based provider of wireless communication services, from SK Telecom Co Ltd (15.3%) and other shareholders, in a stock swap transaction valued at USD 538. 957 mil, including the assumption of an estimated USD 205 mil in liabilities, subject to a collar agreement. Sprint offered 1.20879 common shares per Virgin share. Based on Sprint's closing stock price of 27 July 2009, the last full trading day prior to the announcement, each Virgin share was valued at USD 5.5. The transaction was subject to customary closing conditions, regulatory and Virgin's stockholder approvals. On completion, Virgin became a wholly-owned subsidiary of Sprint.</t>
  </si>
  <si>
    <t>OSG America LP</t>
  </si>
  <si>
    <t>Pvd petroleum transpo svcs</t>
  </si>
  <si>
    <t>US - Overseas Shipholding Group Inc (Overseas) completed its tender offer to acquire the remaining 46.68% stake, or 7.004 mil common units, which it did not already own, in OSG America LP (OSG), a Tampa-based provider of refined petroleum products transportation services, for a sweetened USD 10.25 in cash per unit, or a total value of USD 71.792 mil, by accepting 5.657 mil shares, or 37.7% of OSG's entire share capital. The offer was conditioned upon at least 4.003 mil units, or 80% of OSG's shares being tendered. Originally, Overseas offered USD 8 in cash per unit, or a total value of USD 56.033 mil.</t>
  </si>
  <si>
    <t>Clear Channel Outdoor Hldg Inc</t>
  </si>
  <si>
    <t>JCDecaux SA</t>
  </si>
  <si>
    <t>Provide outdoor advertising services</t>
  </si>
  <si>
    <t>US - JCDecaux SA of France, a 69.85%-owned unit of JCDecaux Holding SpA, was rumored to be planning to acquire the entire share capital of Clear Channel Outdoor Holdings Inc, a San Antonio-based provider of billboard and outdoor advertising services. The Current status of this deal is unknown.</t>
  </si>
  <si>
    <t>Patriot Capital Funding Inc</t>
  </si>
  <si>
    <t>Prospect Capital Corp</t>
  </si>
  <si>
    <t>US - Prospect Capital Corp (Prospect) acquired Patriot Capital Funding Inc (Patriot), a Westport-based closed-end investment fund, for USD 194. 302 mil. The consideration was to consist of USD 110.5 mil in cash and USD 83.802 mil in common stock. Prospect offered 0.3992 common share per Patriot share. Based on Prospect's closing stock price of USD 10.02 on 31 July 2009, the last full trading day prior to the announcement, each Patriot share was valued at USD 4.</t>
  </si>
  <si>
    <t>Repros Therapeutics Inc</t>
  </si>
  <si>
    <t>US - In August 2009, Repros Therapeutics Inc, a Woodlands- based manufacturer of pharmaceuticals, was rumored to be seeking a buyer for the company. The Current status of this deal is unknown.</t>
  </si>
  <si>
    <t>Trump Entertainment Resorts</t>
  </si>
  <si>
    <t>Own,op hotels,casinos</t>
  </si>
  <si>
    <t>US - An investor group, including Donald Trump and Beal Bank, terminated its plan to acquire the entire share capital of bankrupt Trump Entertainment Resorts (Trump Entertainment), an Atlantic City-based owner and operator of hotels and casinos, for USD 100 mil. The transaction was subject to bankruptcy court approval. Originally, in March 2007, Trump Entertainment announced that it was seeking a buyer for the company. Donald Trump was named potential bidder.</t>
  </si>
  <si>
    <t>Toll Brothers Inc</t>
  </si>
  <si>
    <t>Construct residential housing</t>
  </si>
  <si>
    <t>US - Toll Brothers Inc was rumored to be in negotiations to merge with Hovnanian Enterprises Inc, a Red Bank- based provider of home construction and financial services. The Current status of this deal is unknown.</t>
  </si>
  <si>
    <t>MTS Medication Technologies</t>
  </si>
  <si>
    <t>Mnfr,whl punch cards</t>
  </si>
  <si>
    <t>MedPak Holdings Inc</t>
  </si>
  <si>
    <t>US - MedPak Holdings Inc acquired the entire share capital of MTS Medication Technologies Inc (MTS), a St. Petersburg-based manufacturer and wholesaler of medication punch cards, for USD 5.75 in cash per share, or a total value of USD 38.355 mil, in a going private transaction. The transaction was approved by MTS's board of directors, and was subject to customary closing conditions and MTS's shareholder approval.</t>
  </si>
  <si>
    <t>US - Systeme Anwendungen Produkte AG {SAP AG} of Germany discontinued rumors that it was planning to acquire the entire share capital of TIBCO Software Inc, a Palo Alto-based developer of enterprise software.</t>
  </si>
  <si>
    <t>Pvd data warehousing svcs</t>
  </si>
  <si>
    <t>US - Systeme Anwendungen Produkte AG {SAP AG} of Germany is rumored to be planning to acquire the entire share capital of Teradata Corp, a Miamisburg- based provider of data warehousing services. The Current status of this deal is unknown.</t>
  </si>
  <si>
    <t>WesterN Sizzlin Corp</t>
  </si>
  <si>
    <t>Steak n Shake Co</t>
  </si>
  <si>
    <t>Own and franchise restaurants</t>
  </si>
  <si>
    <t>US - Steak n Shake Co merged with Western Sizzlin Corp, a Roanoke-based owner and operator of restaurants, for an estimated USD 22.959 mil.</t>
  </si>
  <si>
    <t>NCI Building Systems Inc</t>
  </si>
  <si>
    <t>Mnfr custom metal bldg sys</t>
  </si>
  <si>
    <t>Clayton Dubilier &amp; Rice Fund</t>
  </si>
  <si>
    <t>US - Clayton Dubilier &amp; Rice Fund VIII LP, a unit of Clayton Dubilier &amp; Rice Inc, acquired preferred shares convertible into an 84.24% interest, or 106.8 mil new common shares, in NCI Building Systems Inc, a Houston-based manufacturer of custom metal building systems, for USD 250 mil.</t>
  </si>
  <si>
    <t>Empire Resorts Inc</t>
  </si>
  <si>
    <t>Pvd gaming,resort mgmt svcs</t>
  </si>
  <si>
    <t>Kien Huta Realty III Ltd</t>
  </si>
  <si>
    <t>US - Kien Huat Realty III Ltd of Isle of Man, acquired a 50. 22% interest or 34.506 mil new common shares, in Empire Resorts Inc, a Monticello- based provider of gaming and resort management services, for USD 55 mil.</t>
  </si>
  <si>
    <t>Nutraceutical International</t>
  </si>
  <si>
    <t>Mnfr,whl nutritional supplements</t>
  </si>
  <si>
    <t>Ryan Drexler</t>
  </si>
  <si>
    <t>US - Ryan Drexler planned to acquire the remaining 96.88% interest plus options, or 10. 88 mil common shares, which it did not already own, in Nutraceutical International Corp, Park City-based manufacturer and wholesaler of nutritional supplements, for USD 10.75 in cash per share, or a total value of USD 115.573 mil.</t>
  </si>
  <si>
    <t>US - Geneve Corp acquired the remaining 15.68% stake, or 1. 904 mil common shares and 1. 081 mil Series I Preferred Stock (Series), which it did not already own, in Aristotle Corp, a Stamford-based manufacturer of health and medical education aids, for USD 5.5 in cash per share and USD 7 in cash per Series, or a total value of USD 18.044 mil.</t>
  </si>
  <si>
    <t>Advent International Corp</t>
  </si>
  <si>
    <t>US - Advent International Corp completed its tender offer to acquire the entire share capital of Charlotte Russe Holdings Inc (Charlotte) , a San Diego-based retailer of apparel and accessories, for USD 17.5 in cash per share, or a total value of USD 370.833 mil, in a leveraged buyout transaction. Originally, in March 2009, Charlotte announced that it was seeking a buyer for the company.</t>
  </si>
  <si>
    <t>Human Genome Sciences Inc</t>
  </si>
  <si>
    <t>Mnfr biopharmaceutical prod</t>
  </si>
  <si>
    <t>US - GlaxoSmithKline PLC of the UK had been rumored to be planning to acquire the entire share capital of Human Genome Sciences Inc, a Rockville-based biopharmaceutical company. Deal was updated to Discontinued Rumor due to lack of any activity.</t>
  </si>
  <si>
    <t>Curis Inc</t>
  </si>
  <si>
    <t>US - In August 2009, Curis Inc, a Cambridge-based biotechnology company, was rumored to be seeking a buyer for the company. The Current status of this deal is unknown.</t>
  </si>
  <si>
    <t>US - Baker Hughes Inc (Baker) acquired the entire share capital of BJ Services Co (BJ) , a Houston-based provider of pressure pumping and other oilfield services, for USD 5. 24 bil. Baker offered USD 2. 69 in cash and 0.40035 shares per BJ share. Based on Baker's closing stock price of USD 38.09 on 28 August 2009, the last full trading day prior to the announcement, each BJ share was valued at USD 17.939.</t>
  </si>
  <si>
    <t>Marvel Entertainment Inc</t>
  </si>
  <si>
    <t>Pvd ent licensing svcs</t>
  </si>
  <si>
    <t>US - Walt Disney Co (Walt) acquired the entire share capital of Marvel Entertainment Inc (Marvel), a New York-based provider of entertainment licensing services, for USD 3.958 bil. Walt offered USD 30 in cash and 0.745 common shares per Marvel share. Based on Walt's closing stock price of USD 26. 84 on 28 August 2009, the last full trading day prior to the announcement, each Marvel share was valued at USD 49.996.</t>
  </si>
  <si>
    <t>Sepracor Inc</t>
  </si>
  <si>
    <t>Aptiom Inc</t>
  </si>
  <si>
    <t>Mnfr,whl pharm prod,chem</t>
  </si>
  <si>
    <t>US - Aptiom Inc, a wholly- owned unit of Dainippon Sumitomo Pharma Co Ltd's (Dainippon) Dainippon Sumitomo Pharma America Holdings Inc subsidiary, acquired the entire share capital of Sepracor Inc (Sepracor), a Marlborough- based manufacturer and wholesaler of pharmaceuticals, from Wellington Management LLP (8.5%), FMR Corp (7.6%), Barclays Global Investors Ltd (5.6%) and other shareholders, for USD 23 in cash per share, or a total value of USD 2. 574 bil. Earlier, Aptiom completed its tender offer for Sepracor by acquiring 86. 793 mil shares, or 78.2% of Sepracor's common shares outstanding. Originally, Dainippon was rumored to be planning to acquire Sepracor.</t>
  </si>
  <si>
    <t>Facet Biotech Corp</t>
  </si>
  <si>
    <t>US - Biogen Idec Inc (Biogen) withdrew its tender offer to acquire the entire share capital of Facet Biotech Corp, a Redwood-based biotechnology company, for a sweetened USD 17.5 per share, or a total value of USD 429. 796 mil. Originally, Biogen offered USD 14.5 per share, or a total value of USD 356. 117 mil.</t>
  </si>
  <si>
    <t>Odyssey Re Holdings Corp</t>
  </si>
  <si>
    <t>Pvd ppty reinsurance svcs</t>
  </si>
  <si>
    <t>US - Fairfax Financial Holdings Ltd (Fairfax) of Canada, through a wholly- owned subsidiary, completed its tender offer to acquire the remaining 27.4% stake, or 16.015 mil common shares of Odyssey Re Holdings Corp (Odyssey), a Stamford-based provider of property reinsurance services, for a sweetened USD 65 in cash per share or a total value of USD 1.05 bil, by accepting 16.015 mil of Odyssey's common shares outstanding. Originally, Fairfax offered USD 60 in cash per share or a total value of USD 961.363 mil. On completion, Fairfax was to hold a 97.13% interest, or 42.435 mil shares, in Odyssey. Additionally, on completion, Fairfax was to exercise its right to apply for delisting of Odyssey shares from the New York Stock Exchange.</t>
  </si>
  <si>
    <t>Intellon Corp</t>
  </si>
  <si>
    <t>Atheros Communications Inc</t>
  </si>
  <si>
    <t>US - Atheros Communications Inc (Atheros) acquired the entire share capital of Intellon Corp (Intellon), an Orlando-based manufacturer and wholesaler of integrated circuits, in a stock swap transaction valued at USD 234. 567 mil. Atheros offered a choice of 0.267 shares per Intellon share or 0.135 shares and an estimated USD 3. 6 in cash per share or USD 7. 3 in cash per share. Based on Atheros's closing stock price of USD 27.98 on 07 September 2009, the last full trading day prior to the announcement, each Intellon share was valued at USD 7.471.</t>
  </si>
  <si>
    <t>Lexcom Inc</t>
  </si>
  <si>
    <t>US - Windstream Corp acquired the entire share capital of Lexcom Inc, a Lexington-based provider of long distance telephone and wireless communications services, for an estimated USD 141 mil in cash.</t>
  </si>
  <si>
    <t>Candela Corp</t>
  </si>
  <si>
    <t>Mnfr,whl laser devices</t>
  </si>
  <si>
    <t>Syneron Medical Ltd</t>
  </si>
  <si>
    <t>US - Syneron Medical Ltd (Syneron) of Israel acquired the entire share capital of Candela Corp, a Wayland-based manufacturer and wholesaler of medical and aesthetic laser devices, in a stock swap transaction valued at USD 64.894 mil. Syneron offered 0.2911 ordinary shares per Candela share. Based on Syneron's closing stock price of USD 9.74 on 08 September 2009, the last full trading day prior to the announcement, each Candela share was valued at USD 2.835.</t>
  </si>
  <si>
    <t>Kennedy Wilson Inc</t>
  </si>
  <si>
    <t>Prospect Acquisition Corp</t>
  </si>
  <si>
    <t>US - Prospect Acquisition Corp (Prospect) acquired the entire share capital of Kennedy-Wilson Inc, a Beverly Hills-based real estate investment firm, in exchange for 26 mil Prospect common shares valued at USD 254.54 mil and 4 mil restricted common shares. The shares were valued based on Prospect's closing stock price of USD 9.79 on 08 September 2009, the last full trading day prior to the announcement. On completion, Prospect was renamed Kennedy- Wilson Holdings Inc.</t>
  </si>
  <si>
    <t>Tilman J Fertitta</t>
  </si>
  <si>
    <t>US - Tilman J. Fertitta (Fertitta) acquired the remaining 44.9% stake, or 7. 248 mil common shares, which it did not already own, in Landry's Restaurants Inc, a Houston-based owner and operator of seafood restaurants, for a twice sweetened USD 24.5 in cash per share, or a total value of USD 177.576 mil. Previously, Fertitta offered a sweetened USD 24 in cash per share, or a total value of USD 173.952 mil. Originally, Fertitta offered USD 14.75 in cash per share, or a total value of USD 106. 908 mil.</t>
  </si>
  <si>
    <t>US - Deutsche Telekom AG of Germany acquired 74% stake of MetroPCS Communications Inc, a Dallas-based provider of wireless telecommunication services.</t>
  </si>
  <si>
    <t>US - Deutsche Telekom AG of Germany is rumored to be in negotiations to acquire the entire share capital of Sprint Nextel Corp, an Overland Park-based provider of telecommunications and Internet services. The Current status of this deal is unknown.</t>
  </si>
  <si>
    <t>Alon USA Energy Inc</t>
  </si>
  <si>
    <t>Petroleum Refineries</t>
  </si>
  <si>
    <t>Africa Israel Trade,Agencies</t>
  </si>
  <si>
    <t>US - African Israel Trade &amp; Agencies Ltd agreed to acquire the entire share capital of Alon USA Energy Inc, a Dallas-based owner and operator of crude oil and diesel pipelines and convenience stores, from Alon Israel Oil Co Ltd.</t>
  </si>
  <si>
    <t>US - Adobe Systems Inc acquired the entire share capital of Omniture Inc (Omniture), an Orem-based developer of online business optimization software for use, management and enhancement of online, offline and multi- channel business initiatives, for USD 21.5 in cash per share, or a total value of USD 1.738 bil. The transaction was conditioned upon at least majority of Omniture's shares being tendered.</t>
  </si>
  <si>
    <t>Parallel Petroleum Corp</t>
  </si>
  <si>
    <t>Apollo Global Management LLC</t>
  </si>
  <si>
    <t>US - Apollo Global Management LLC completed its tender offer to acquire 87.38% interest, or 36.391 mil common shares, in Parallel Petroleum Corp, a Midland- based oil and gas exploration and production company, for USD 3.15 in cash per share, or a total value of USD 114. 631 mil.</t>
  </si>
  <si>
    <t>Hi-Shear Technology Corp</t>
  </si>
  <si>
    <t>Mnfr power cartridges</t>
  </si>
  <si>
    <t>Chemring Group PLC</t>
  </si>
  <si>
    <t>Mnfr,whl countermeasures prod</t>
  </si>
  <si>
    <t>US - Chemring Group PLC of the UK acquired the entire share capital of Hi-Shear Technology Corp, a Torrance- based manufacturer of power cartridges, separation devices, electronic firing units and other special components, for USD 19.18 in cash per share, or a total value of USD 131.046 mil.</t>
  </si>
  <si>
    <t>JBS USA Holdings Inc</t>
  </si>
  <si>
    <t>Animal (Except Poultry) Slaughtering</t>
  </si>
  <si>
    <t>US - JBS USA Holdings Inc, a wholly-owned unit of JBS SA (JBS), acquired the remaining 36% stake, or 26.66 mil common shares, which it did not already own, in bankrupt Pilgrim's Pride Corp (Pilgrim's), a Pittsburg- based producer and wholesaler of poultry products. Concurrently, JBS USA acquired a 64% interest in Pilgrim's.</t>
  </si>
  <si>
    <t>US - JBS USA Holdings Inc, a wholly-owned unit of JBS SA (JBS), acquired a 64% interest, or 47.396 mil common shares, in bankrupt Pilgrim's Pride Corp (Pilgrim's), a Pittsburg- based producer and wholesaler of poultry products, for USD 800 mil in cash. Concurrently, JBS USA agreed to acquire the remaining 36% stake in Pilgrim's. Originally, in December 2008, Pilgrim's announced that it was seeking a buyer for the company. JBS was named potential bidder.</t>
  </si>
  <si>
    <t>Dell Inc</t>
  </si>
  <si>
    <t>Manufacture,wholesale computer</t>
  </si>
  <si>
    <t>US - Dell Inc (Dell) acquired the entire share capital of Perot Systems Corp (Perot), a Plano-based provider of information technology services, for USD 30 in cash per class Class A common share, or a total value of USD 3.628 bil. The offer was conditioned upon at least 66. 67% of Perot's shares being tendered. Earlier, Dell completed its tender offer by accepting 112.736 mil common shares or 93.23% of Perot's shares outstanding.</t>
  </si>
  <si>
    <t>THQ Inc</t>
  </si>
  <si>
    <t>US - Time Warner Inc was rumored to be planning to acquire the entire share capital of THQ Inc, an Agoura Hills-based developer of interactive entertainment software. The Current status of this deal is unknown.</t>
  </si>
  <si>
    <t>US - Microsoft Corp had been rumored to be planning to acquire the entire share capital of Electronic Arts Inc, a Redwood City-based developer of interactive software.</t>
  </si>
  <si>
    <t>SkyTerra Commun Inc SPV</t>
  </si>
  <si>
    <t>US - SkyTerra Communications Inc SPV, a special purpose acquisition vehicle formed by Harbinger Capital Partners Master Fund I Ltd and Harbinger Capital Partners Special Situations Fund LP, acquired the remaining 52% interest in voting shares, or 25.41 mil common shares, and 51% in non voting shares, or 30.5 mil common shares, which it did not already own, in SkyTerra Communications Inc, a Reston-based provider of mobile digital voice and data communications services, for USD 5 in cash per share, or a total value of USD 303.781 mil.</t>
  </si>
  <si>
    <t>American Community Properties</t>
  </si>
  <si>
    <t>FCP Fund I LP</t>
  </si>
  <si>
    <t>US - FCP Fund I LP acquired the entire share capital of American Community Properties Trust, a St. Charles-based real estate investment trust, for USD 7.75 in cash per share, or a total value of USD 40.532 mil, in a leveraged buyout transaction.</t>
  </si>
  <si>
    <t>Project Skyline Intermediate</t>
  </si>
  <si>
    <t>US - Project Skyline Intermediate Holding Co (Project), a unit of Platinum Equity LLC, acquired the entire share capital of Pomeroy IT Solutions Inc (Pomeroy), a Hebron-based provider of information technology services, for USD 6.5 in cash per share, or a total value of USD 60.761 mil, in a leveraged buyout transaction. Upon completion, Pomeroy was to become a wholly-owned unit of Project.</t>
  </si>
  <si>
    <t>US - Xerox Corp (Xerox) acquired the entire share capital of Affiliated Computer Services Inc (Affiliated Computer), a Dallas-based provider of data processing and information technology services, for USD 8.374 bil, including the assumption of USD 2 bil in liabilities. Xerox offered USD 18.6 in cash and 4.935 common shares per Affiliated Computer Class A and Class B share. Based on Xerox's closing stock price of USD 9. 02 on 25 September 2009, the last full trading day prior to the announcement, each Affiliated Computer share was valued at USD 63.114.</t>
  </si>
  <si>
    <t>Aspect Medical Systems Inc</t>
  </si>
  <si>
    <t>Mnfr brain monitoring equip</t>
  </si>
  <si>
    <t>Transformer Delaware Corp</t>
  </si>
  <si>
    <t>US - Transformer Delaware Corp (Transformer), a wholly- owned unit of Covidien PLC's US Surgical Corp subsidiary, acquired the entire share capital of Aspect Medical Systems Inc (Aspect), a Norwood-based manufacturer of brain monitoring equipment, for USD 12 in cash per share, or a total value of USD 209. 288 mil. Earlier, Transformer completed its tender offer by accepting 16.951 mil common shares or 97.19% of Aspect's share capital.</t>
  </si>
  <si>
    <t>Gander Mountain Co</t>
  </si>
  <si>
    <t>US - An investor group, comprised of Gratco LLC and Holiday Stationstores Inc, a unit of Holiday Cos Inc, acquired the remaining 83.19% interest, which they did not already own, in Gander Mountain Co, a Saint Paul- based owner and operator of sporting goods stores, for USD 5.15 in cash per share, or a total value of USD 104. 064 mil.</t>
  </si>
  <si>
    <t>GenTek Inc</t>
  </si>
  <si>
    <t>ASP GT Acquisition Corp</t>
  </si>
  <si>
    <t>US - ASP GT Acquisition Corp, a unit of American Securities LLC's ASP GT Holding Corp subsidiary, acquired a 94.27% interest, or 9.593 mil common shares, in GenTek Inc (GenTek) , a Parsippany-based manufacturer of industrial components, for USD 38 in cash per share or a total value of USD 408.783 mil, in a leveraged buyout transaction. The offer was conditioned upon at least a majority of GenTek's shares being tendered.</t>
  </si>
  <si>
    <t>Hoku Scientific Inc</t>
  </si>
  <si>
    <t>Mnfr hydrogen fuel cell prod</t>
  </si>
  <si>
    <t>Tianwei New Energy Hldg Co Ltd</t>
  </si>
  <si>
    <t>Mnfr silicon wafers</t>
  </si>
  <si>
    <t>US - Tianwei New Energy Holdings Co Ltd, a wholly- owned unit of Chinese state- owned Baoding Tianwei Group Co Ltd, acquired a 67.2% interest, or 43.379 mil newly- issued common shares, in Hoku Scientific Inc (Hoku), a Honolulu-based manufacturer of hydrogen fuel cell products, for USD 75.2 mil. Originally, in July 2009, Hoku announced that it was seeking a buyer for the company.</t>
  </si>
  <si>
    <t>Midas Inc</t>
  </si>
  <si>
    <t>Pvd automotive repair svcs</t>
  </si>
  <si>
    <t>Imperial Holdings Ltd</t>
  </si>
  <si>
    <t>Provide automobile rental services</t>
  </si>
  <si>
    <t>US - Imperial Holdings Ltd of Africa acquired a 56% interest, or 7.979 mil common shares in Midas Inc, an Itasca-based provider of automotive repair services. Terms were not disclosed.</t>
  </si>
  <si>
    <t>US - Massey Services Inc acquired the remaining 90.37% interest, or 11.83 mil shares, which it did not already own, in Sunair Services Corp, a Boca Raton-based provider of pest control services, for USD 2.75 in cash per share, or a total value of USD 32. 534 mil.</t>
  </si>
  <si>
    <t>Trimeris Inc</t>
  </si>
  <si>
    <t>Arigene Co Ltd</t>
  </si>
  <si>
    <t>Pvd ent svcs</t>
  </si>
  <si>
    <t>US - Arigene Co Ltd of South Korea withdrew its agreement to acquire the entire share capital of Trimeris Inc, a Morrisville-based biopharmaceutical company, via a tender offer for USD 3. 6 in cash per share, or a total value of USD 80.459 mil.</t>
  </si>
  <si>
    <t>US - In October 2009, Brocade Communications Systems Inc, a San Jose-based developer of storage area networking infrastructure solutions, was rumored to be seeking a buyer for the company. Hewlett- Packard Co, Oracle Corp, and Blackstone Group LP were named as potential bidders. The Current status of this deal is unknown.</t>
  </si>
  <si>
    <t>US - Emerson Electric Co acquired the entire share capital of Avocent Corp, a Huntsville-based manufacturer and wholesaler of hardware products and developer of software, via a tender offer for USD 25 in cash per share, or a total value of USD 1.109 bil.</t>
  </si>
  <si>
    <t>Sykes Enterprises Inc</t>
  </si>
  <si>
    <t>Pvd customer contact mgmt svcs</t>
  </si>
  <si>
    <t>US - Sykes Enterprises Inc (Sykes) acquired the entire share capital of ICT Group Inc (ICT), a Newtown-based provider of customer management and business process outsourcing (BPO) solutions and services, for a total value of USD 248.741 mil, subject to a collar agreement. Sykes offered USD 7.69 in cash and USD 7.69 in common shares per ICT share.</t>
  </si>
  <si>
    <t>Merix Corp</t>
  </si>
  <si>
    <t>Viasystems Group Inc</t>
  </si>
  <si>
    <t>US - Viasystems Group Inc (Viasystems) acquired the entire share capital of Merix Corp (Merix), a Beaverton- based manufacturer of printed circuit boards, for an estimated USD 35 mil in cash and an undisclosed amount in Viasystems common stock.</t>
  </si>
  <si>
    <t>Monterey Gourmet Foods Inc</t>
  </si>
  <si>
    <t>Produce,whl gourmet food prod</t>
  </si>
  <si>
    <t>Pulmuone Wildwood Inc</t>
  </si>
  <si>
    <t>Produce,whl soy foods</t>
  </si>
  <si>
    <t>US - Pulmuone Wildwood Inc, a unit of Pulmuone Holdings Co Ltd, completed its tender offer to acquire the entire share capital of Monterey Gourmet Foods Inc (Monterey), a Salinas-based producer and wholesaler of pasta and pasta sauces, for USD 2.7 in cash per share, or a total value of USD 45.311 mil. The offer was conditioned upon at least majority of Monterey's shares being tendered.</t>
  </si>
  <si>
    <t>American Superconductor Corp</t>
  </si>
  <si>
    <t>Mnfr electrical control sys</t>
  </si>
  <si>
    <t>ABB Ltd</t>
  </si>
  <si>
    <t>Mnfr,whl electronic equipment</t>
  </si>
  <si>
    <t>US - ABB Ltd of Switzerland is rumored to be in negotiations to acquire the entire share capital of American Superconductor Corp, a Devens-based manufacturer of electrical control systems. Deal was updated to Discontinued Rumor due to lack of any activity.</t>
  </si>
  <si>
    <t>I-Flow Corp</t>
  </si>
  <si>
    <t>Mnfr,whl drug delivery sys</t>
  </si>
  <si>
    <t>US - Kimberly-Clark Corp completed its tender to acquire the entire share capital of I-Flow Corp (I- Flow), a Lake Forest-based manufacturer of technically advanced, low-cost ambulatory drug delivery systems, for USD 12.65 in cash per share, or a total value of USD 315. 072 mil, by accepting 21.279 mil shares, or 87.02% of I- Flow's outstanding. Concurrently, Kimberly-Clark Corp agreed to acquire the remianing shares of I-Flow, through a subsequent tender offer.</t>
  </si>
  <si>
    <t>China Minsheng Banking Corp</t>
  </si>
  <si>
    <t>US - China Minsheng Banking Corp Ltd of China was rumored to be planning to raise its interest to 50% from 20%, by acquiring a further 30% stake, or 36.131 mil common shares, in UCBH Holdings Inc, a San Francisco-based bank holding company. The Current status of this deal is unknown.</t>
  </si>
  <si>
    <t>Patriot National Bancorp Inc</t>
  </si>
  <si>
    <t>PNBK Holdings LLC</t>
  </si>
  <si>
    <t>US - PNBK Holdings LLC acquired an 87.59% interest, or 33.6 mil new common shares, in Patriot National Bancorp Inc, a Stamford-based bank holding company, for USD 50 mil.</t>
  </si>
  <si>
    <t>Starent Networks Corp</t>
  </si>
  <si>
    <t>Mnfr infrastructure hardware</t>
  </si>
  <si>
    <t>US - Cisco Systems Inc acquired the entire share capital of Starent Networks Corp, a Tewksbury-based manufacturer of infrastructure hardware and a developer of software, for USD 35 in cash per share, or a total value of USD 2.777 bil.</t>
  </si>
  <si>
    <t>21st Century Holding Co</t>
  </si>
  <si>
    <t>Homeowners Choice Inc</t>
  </si>
  <si>
    <t>US - Homeowners Choice Inc (Homeowners) withdrew an unsolicited offer to acquire the entire share capital of 21st Century Holding Co (21st) , a Lauderdale Lakes-based insurance holding company, in a stock swap transaction valued at USD 40.675 mil. Homeowners offered USD 1 in cash and 0.5 common shares per 21st share. Based on Homeowners's closing stock price of USD 8.151 on 12 October 2009, the last full trading day prior to the announcement, each 21st share was valued at USD 5.076.</t>
  </si>
  <si>
    <t>United Refining Energy Corp</t>
  </si>
  <si>
    <t>Pvd blank check svcs</t>
  </si>
  <si>
    <t>US - Chaparral Energy Inc (Chaparral) withdrew its intention to merge with United Refining Energy Corp, a New York-based blank check company, for an estimated USD 1.8 bil in Chapparal common shares. Upon completion, the combined entity was to be renamed as Chaparral.</t>
  </si>
  <si>
    <t>Vion Pharmaceuticals Inc</t>
  </si>
  <si>
    <t>US - In October 2009, Vion Pharmaceuticals Inc, a New Haven-based biopharmaceutical company, announced that it was seeking a buyer for the company.</t>
  </si>
  <si>
    <t>US - An investor group comprised of Alex Meruelo and Levine Leichtman Capital Partners IV LP, a unit of Levine Leitchman Capital Partners Inc, withdrew its plans to launch an unsolicited challenging tender offer to acquire the entire share capital of Rubio's Restaurants Inc (Rubio's), a Carlsbad-based owner and operator of Mexican restaurants, for a sweetened USD 8.5 per share, or a total value of USD 85.298 mil. Originally, the investor group offered USD 8 per share, or a total value of USD 82. 93 mil. Previously, Kelly Capital wiithdrew its plans to launch an unsolicited tender offer to acquire the entire share capital of Rubio's.</t>
  </si>
  <si>
    <t>US - Google Inc was rumored to be planning to acquire the entire share capital of Akamai Technologies Inc, a Cambridge-based developer of Internet software. The Current status of this deal is unknown.</t>
  </si>
  <si>
    <t>Citizens First Corp</t>
  </si>
  <si>
    <t>Porter Bancorp Inc</t>
  </si>
  <si>
    <t>US - Porter Bancorp Inc (Porter) withdrew its unsolicited tender offer to acquire the entire share capital of Citizens First Corp (Citizens), a Bowling Green-based bank holding company, for a sweetened USD 18.531 mil. Porter offered a choice of USD 4.5 in cash and 0.2843 common shares per Citizens share or USD 9 in cash per share or 0.5686 common shares per Citizens share. Originally, Porter was granted an option to raise its stake to 19.7% from 3.9%, by acquiring a 15.8% stake, or 0.311 mil common shares, in Citizens.</t>
  </si>
  <si>
    <t>US - Amgen Inc was rumored to be planning to acquire the entire share capital of Savient Pharmaceuticals Inc, an East Brunswick-based pharmaceutical company. The Current status of this deal is unknown.</t>
  </si>
  <si>
    <t>San Joaquin Bancorp</t>
  </si>
  <si>
    <t>Citizens Bus Bnk,Ontario,CA</t>
  </si>
  <si>
    <t>US - Citizens Business Bank, Ontario, California, a unit of CVB Financial Corp, Ontario, California, acquired the entire share capital of bankrupt Bakersfield-based San Joaquin Bancorp.</t>
  </si>
  <si>
    <t>Allion Healthcare Inc</t>
  </si>
  <si>
    <t>Own,op pharmacies</t>
  </si>
  <si>
    <t>US - HIG Capital LLC definitively acquired the entire share capital of Allion Healthcare Inc, a Melville-based owner and operator of pharmacies, for USD 6.6 in cash per share, or a total value of USD 268.213 mil, including the assumption of USD 79 mil in liabilities, in a leveraged buyout transaction.</t>
  </si>
  <si>
    <t>US - Sprint Nextel Corp (Sprint) acquired the entire share capital of iPCS Inc, a Schaumburg-based provider of wireless communication services, for USD 24 in cash per share, or a total value of USD 814.179 mil, including the assumption of an estimated USD 405 mil in liabilities. Earlier, Sprint completed its tender offer for iPCS by accepting 12.292 mil shares, or 73.28% of iPCS's common shares outstanding. The offer was conditioned upon at least a majority of iCPS's shares being tendered on a fully- diluted basis.</t>
  </si>
  <si>
    <t>MPS Group Inc</t>
  </si>
  <si>
    <t>US - Adecco SA of Switzerland acquired the entire share capital of MPS Group Inc, a Jacksonville-based provider of staffing solutions and services, for USD 13.8 in cash per share, or a total value of USD 1.31 bil.</t>
  </si>
  <si>
    <t>Switch &amp; Data Facilities Co</t>
  </si>
  <si>
    <t>Pvd data ctr svcs</t>
  </si>
  <si>
    <t>Equinix Inc</t>
  </si>
  <si>
    <t>Provide data center services</t>
  </si>
  <si>
    <t>US - Equinix Inc (Equinix) acquired the entire share capital of Switch &amp; Data Facilities Co Inc (Switch), a Tampa-based provider of data center services, in a stock swap transaction valued at USD 687.575 mil. The consideration consisted of an estimated USD 134 mil in cash and the issuance of 5.5 mil Equinix common shares valued at USD 553.575 mil. The shares were valued based on Equinix' closing stock price of USD 100.65 on 30 April 2010, the last full trading day prior to the amendment of terms. Originally, Equinix offered a choice of USD 19.06 in cash or 0.19409 common shares per Switch share, subject to proration whereby the total consideration was to be paid 80% in Equinix common stock and 20% in cash.</t>
  </si>
  <si>
    <t>Mobile Presence Tech Inc</t>
  </si>
  <si>
    <t>Timothy Lightman</t>
  </si>
  <si>
    <t>US - Timothy Lightman, acquired Mobile Presence Technologies Inc, a New York- based software developer.</t>
  </si>
  <si>
    <t>Ares Capital Corp</t>
  </si>
  <si>
    <t>US - Ares Capital Corp (Ares) acquired the entire share capital of Allied Capital Corp (Allied), a Washington- based business development company, in a stock swap transaction valued at USD 621. 932 mil. Ares offered 0.325 common share per Allied share. Based on Ares' closing stock price of USD 10.69 on 23 October 2009, the last full trading day prior to the announcement, each Allied share was valued at USD 3.474. On completion, Ares and Allied shareholders owned 65% and 35% of the merged entity respectively. Subsequently, Prospect Capital Corp withdrew its plans to launch an unsolicited challenging offer to acquire the entire share capital of Ares.</t>
  </si>
  <si>
    <t>First Litchfield Financial,CT</t>
  </si>
  <si>
    <t>Union Savings Bank,Danbury</t>
  </si>
  <si>
    <t>Mutual savings bk</t>
  </si>
  <si>
    <t>US - Union Savings Bank, located in Danbury, Connecticut merged with First Litchfield Financial Corp, for USD 15 in cash per share, or a total value of USD 35. 353 mil.</t>
  </si>
  <si>
    <t>US - HIG Capital LLC acquired a 51% interest, or 8.151 mil common shares in a leveraged buyout, in Coachmen Industries Inc, an Elkhart- based manufacturer and wholesaler of system-built homes, for an estimated USD 20 mil.</t>
  </si>
  <si>
    <t>Sunrise Senior Living Inc</t>
  </si>
  <si>
    <t>US - Sunrise Senior Living Inc, a McLean-based owner and operator of senior care facilities, agreed to a debt restructuring with creditors.</t>
  </si>
  <si>
    <t>Adaptec Inc</t>
  </si>
  <si>
    <t>US - In October 2009, Adaptec Inc, a Milpitas-based manufacturer of computer storage devices, was rumored to be seeking a buyer for the company. The Current status of this deal is unknown.</t>
  </si>
  <si>
    <t>Mandalay Media Inc</t>
  </si>
  <si>
    <t>Pvd digital media svcs</t>
  </si>
  <si>
    <t>US - Mandalay Media Inc (Mandalay)withdrew its tender offer to acquire the entire share capital of WPT Enterprises Inc, a Los Angeles-based provider of television program production services, for USD 33.934 mil. Mandalay offered USD 1.21 in cash and 0.97 common share per WPT share. Based on Mandalay's closing stock price of USD 0.45 on 28 October 2009, the last full trading day prior to the announcement, each WPT common share was valued at USD 1.647.</t>
  </si>
  <si>
    <t>The Orchard Enterprises Inc</t>
  </si>
  <si>
    <t>Dimensional Associates LLC</t>
  </si>
  <si>
    <t>US - Dimensional Associates LLC, a unit of JDS Capital Management Inc, acquired the remaining 46% stake, or 2.942 mil common shares, which it did not already own, in The Orchard Enterprises Inc, a New York-based provider of online digital music distribution services, for USD 1.84 per share, or a total value of USD 5.414 mil, in a leveraged buyout transaction.</t>
  </si>
  <si>
    <t>US - Apollo Global Management LLC acquired the remaining 12. 62% stake, or 5.256 mil common shares, which it did not already own, in Parallel Petroleum Corp, a Midland- based oil and gas exploration and production company, for USD 3.15 per share, or a total value of USD 16.555 mil, via a tender offer.</t>
  </si>
  <si>
    <t>Encore Acquisition Co</t>
  </si>
  <si>
    <t>US - Denbury Resources Inc (Denbury) acquired the entire share capital of Encore Acquisition Co (Encore), a Fort Worth-based oil and gas exploration and production company, for a total value of USD 2.829 bil. Denbury offered USD 15 in cash and USD 35 common shares per Encore share.</t>
  </si>
  <si>
    <t>The Black &amp; Decker Corp</t>
  </si>
  <si>
    <t>Mnfr,whl household,hardware</t>
  </si>
  <si>
    <t>The Stanley Works</t>
  </si>
  <si>
    <t>US - The Stanley Works (Stanley) acquired the entire share capital of The Black &amp; Decker Corp (Black), a Towson- based manufacturer and wholesaler of power tools and accessories, hardware and home improvement products, and technology-based fastening systems, in a stock swap transaction valued at USD 3.47 bil. Stanley offered 1.275 common shares per Black share. Based on Stanley's closing stock price of USD 45. 23 on 30 October 2009, the last full trading day prior to the announcement, each Black share was valued at USD 57.668.</t>
  </si>
  <si>
    <t>Peet's Coffee &amp; Tea Inc</t>
  </si>
  <si>
    <t>US - Peet's Coffee &amp; Tea Inc (Peet's) withdrew its tender offer to acquire the entire share capital of Diedrich Coffee Inc (Diedrich), an Irvine-based producer and wholesaler of coffee, for a total value of USD 268.886 mil. Peet's offered a twice- sweetened USD 21.93 in cash and 0.321 common shares per Diedrich share. Based on Peet's closing stock price of USD 32.93 on 27 November 2008, the last full trading day prior to the amendment of the terms, each Diedrich common share was valued at USD 32.5. Previously, Peet's offered a sweetened USD 19.8 in cash and 0.321 common shares per Diedrich share, or a total value of USD 264.638 mil. Originally, Peet's offered USD 17.33 in cash and USD 8. 67 in Peet's common shares per Diedrich share, or a total value of USD 259.046 mil. Subsequently, Green Mountain Coffee Roasters Inc acquired the entire share capital of Diedrich.</t>
  </si>
  <si>
    <t>US - YRC Worldwide Inc (YW), an Overland Park-based provider of transportation services and a holding company, completed its debt restructuring with bondholders (BH) in a transaction valued at USD 719. 9 mil. BH received 37 mil new common shares valued at USD 26.788 mil and 4.346 mil class A preferred shares convertible into additional 957.337 mil common shares on a 220.28 per share basis valued at USD 693.112 mil. The shares were valued based on YW's closing stock price of USD 0.724 on January 4, the first full trading day post restructuring. On completion, BH held a 94% interest in the restructured YW. The book value of the existing debt that was exchanged under the terms of the offer was USD 470 mil.</t>
  </si>
  <si>
    <t>Burlington Northern Santa Fe</t>
  </si>
  <si>
    <t>Pvd railroad op svcs</t>
  </si>
  <si>
    <t>US - Berkshire Hathaway Inc (Berkshire) acquired the remaining 77.4% interest plus options, or 273.326 mil common shares, which it did not already own, in Burlington Northern Santa Fe Corp (Burlington), a Fort Worth-based provider of railroad operation services, for USD 100 in per share, or a total value of USD 36.724 bil, including the assumption of USD 10 bil in liabilities, subject to a collar agreement. Berkshire offered USD 100 in cash or common shares, per Burlington share, subject to proration such that the consideration will be comprised of 60% cash and 40% stock.</t>
  </si>
  <si>
    <t>First Keystone Financial Inc</t>
  </si>
  <si>
    <t>Bryn Mawr Bank Corp</t>
  </si>
  <si>
    <t>US - Bryn Mawr Bank Corp (Bryn) merged with First Keystone Financial Inc (First Keystone), a Media-based bank holding company, in a stock swap transaction valued at USD 32.75 mil. Bryn offered USD 2.06 in cash and 0.6973 common shares per First Keystone share. Based on Bryn's closing stock price of USD 16.3 on 02 November 2009, the last full trading day prior to the announcement, each First Keystone share was valued at USD 13.426.</t>
  </si>
  <si>
    <t>VCG Holding Corp</t>
  </si>
  <si>
    <t>Own,operate adult nightclubs</t>
  </si>
  <si>
    <t>Lowrie Management LLLP</t>
  </si>
  <si>
    <t>Own,op adult nightclubs</t>
  </si>
  <si>
    <t>US - Lowrie Management LLP acquired the entire share capital of VCG Holding Corp, a Lakewood-based owner and operator of adult nightclubs, for a sweetened USD 2.25 in cash per share, or a total value of USD 39.324 mil, in a going private transaction. Originally, Lowrie offered USD 2.1 in cash per share, or a total value of USD 36.703 mil.</t>
  </si>
  <si>
    <t>US - An investor group, comprised of TPG Capital LP (TPG) and Canada Pension Plan Investment Board of Canada, acquired the entire share capital of IMS Health Inc (IMS), a Norwalk-based provider of market intelligence services, for USD 22 in cash per share, or a total value of USD 4.038 bil, in a leveraged buyout transaction. Originally, in October 2009, IMS was rumored that it was seeking a buyer for the company. TPG, Silver Lake and BC Partners Ltd were named potential bidders.</t>
  </si>
  <si>
    <t>US - JDA Software Group Inc (JDA) definitively acquired the entire share capital of i2 Technologies Inc (i2), a Dallas-based developer of supply chain management software, for USD 414.883 mil. The consideration was to consist of an estimated USD 12.7 in cash and the issuance of 0.256 JDA shares per i2 share. The shares were valued based on JDA's closing stock price of USD 20.7 on 4 November 2009, the last full trading day prior to the announcement. On completion, i2 became a wholly-owned subsidiary of JDA.</t>
  </si>
  <si>
    <t>Colgate-Palmolive Co</t>
  </si>
  <si>
    <t>Mnfr,whl toilet preparations</t>
  </si>
  <si>
    <t>US - Reckitt Benckiser Group PLC of the UK, was rumored to be merge with Colgate- Palmolive, a New York-based manufacturer of toilet preparations. Concurrently, Reckitt Benckiser was rumored to be merge with SSL International PLC. The Current status of this deal is unknown.</t>
  </si>
  <si>
    <t>NUCRYST Pharmaceuticals Corp</t>
  </si>
  <si>
    <t>Westaim Corp</t>
  </si>
  <si>
    <t>US - Westaim Corp acquired the remaining 25% stake, or 4. 581 mil common shares, which it did not already own in NUCRYST Pharmaceuticals Corp (NUCRYST), a Wakefield-based developer and manufacturer of medical products. Concurrently, Smith &amp; Nephew PLC of UK, agreed to acquire assets of NUCRYST.</t>
  </si>
  <si>
    <t>US - Hewlett-Packard Co definitively acquired the entire share capital of 3Com Corp, a Marlborough-based manufacturer of converged voice and data networking products, for USD 7.9 in cash per share, or a total value of USD 3.183 bil.</t>
  </si>
  <si>
    <t>Churchill Downs Inc</t>
  </si>
  <si>
    <t>Pvd horse racetrack,casino gaming svcs</t>
  </si>
  <si>
    <t>US - Churchill Downs Inc acquired the entire share capital of Youbet.com Inc, a Woodland Hills-based provider of online event gambling services, in a stock swap transaction valued at USD 123. 193 mil. Churchill offered USD 0.97 in cash and 0.0598 common shares per Youbet common share. The shares were valued based on Churchill's closing stock price of USD 31. 19 on 10 November 2009, the last full trading day prior to the announcement, each Youbet share was valued at USD 1.865.</t>
  </si>
  <si>
    <t>US - Nokia Oyj of Finland was rumored to be planning to acquire the entire share capital of Palm Inc, a Sunnyvale-based manufacturer and wholesaler of palm-sized computing devices. The Current status of this deal is unknown.</t>
  </si>
  <si>
    <t>Silicon Storage Technology Inc</t>
  </si>
  <si>
    <t>Mnfr,whl memory components</t>
  </si>
  <si>
    <t>Technology Resource Hldgs Inc</t>
  </si>
  <si>
    <t>US - Technology Resource Holdings Inc withdrew its definitive agreement to acquire the entire share capital of Silicon Storage Technology Inc, a Sunnyvale- based manufacturer, wholesaler and marketer of memory and non-memory semiconductor components, for USD 2.1 in cash per share, or a total value of USD 201.294 mil.</t>
  </si>
  <si>
    <t>US - BFC Financial Corp raised its interest to 51.92% from 29.19%, by acquiring a 22.73% stake or 7.4 mil common shares, in Bluegreen Corp, a Boca Raton-based owner, operator and manger of resorts, from Central Florida Investments Inc, for an estimated USD 23 mil.</t>
  </si>
  <si>
    <t>Philadelphia Fund Inc</t>
  </si>
  <si>
    <t>WHG Large Cap Value Fund</t>
  </si>
  <si>
    <t>US - WHG Large Cap Value Fund merged with Philadelphia Fund Inc, a Boca Raton-based open- end investment fund.</t>
  </si>
  <si>
    <t>Semitool Inc</t>
  </si>
  <si>
    <t>Mnfr chem processing equip</t>
  </si>
  <si>
    <t>US - Applied Materials Inc (Applied) acquired the entire share capital of Semitool Inc (Semitool), a Kalispell-based manufacturer of wet chemical processing equipment, for USD 11 cash per share, or a total value of USD 360.112 mil. Earlier, Applied completed its tender offer for Semitool by accepting 31.223 mil shares, or 95.37% of Semitool 's common stock outstanding. The offer was conditioned upon at least 66.67% of Semitool's shares being tendered on a fully-diluted basis.</t>
  </si>
  <si>
    <t>US - Bankrupt General Growth Properties Inc (General), a Chicago-based real estate investment trust, completed it's debt restructuring with its creditors. The book value of the debt subject to the restructuring was USD 15 bil.</t>
  </si>
  <si>
    <t>US - Bankrupt General Growth Properties Inc (General), a Chicago-based real estate investment trust, completed it's debt restructuring with its creditors. The book value of the debt subject to the restructuring was US$10.25 billion.</t>
  </si>
  <si>
    <t>Green Mountain Coffee</t>
  </si>
  <si>
    <t>Produce,whl,ret roasted coffee</t>
  </si>
  <si>
    <t>US - Green Mountain Coffee Roasters Inc (Green Mountain) acquired the entire share capital of Diedrich Coffee Inc (Diedrich), an Irvine- based producer and wholesaler of coffee, for a twice- sweetened USD 35 in cash per share, or a total value of USD 290.047 mil. Previously, Green Mountain offered a sweetened USD 32 in cash per share, or a total value of USD 264.655 mil, for Diedrich. Originally, Green Mountain offered USD 30 in cash per share, or a total value of USD 247.726 mil, for Diedrich. Previously, Peet's Coffee &amp; Tea Inc withdrew its tender offer to acquire the entire share capital of Diedrich.</t>
  </si>
  <si>
    <t>Financial Federal Corp</t>
  </si>
  <si>
    <t>US - People's United Financial Inc (People's) acquired the entire share capital of Financial Federal Corp (Financial), a New York- based provider of industrial, commercial and professional equipment financing services, in a stock swap transaction valued at USD 721.066 mil. People's offered USD 11.27 in cash and 1 common share per Financial common share. The shares were valued based on People's closing stock price of USD 16.47 on 20 November 2009, the last full trading day prior to the announcement, each Financial share was valued at USD 27.74.</t>
  </si>
  <si>
    <t>FortuNet Inc</t>
  </si>
  <si>
    <t>Mnfr gaming equip</t>
  </si>
  <si>
    <t>The Yuri Itkis Gaming Trust of</t>
  </si>
  <si>
    <t>Invest tr</t>
  </si>
  <si>
    <t>US - The Yuri Itkis Gaming Trust of 1993 (Yuri) acquired the remaining 25.2% stake, or 2.786 mil common shares, which it did not already own, in FortuNet Inc, a Las Vegas- based manufacturer of gaming equipment, for a sweetened USD 2.25 in cash per share, or a total value of USD 6.268 mil. Earlier, Yuri completed its tender offer by accepting 2.016 mil shares, or 18.24% of Yuri's entire share capital. The offer was conditioned upon at least 90% of FortuNet's shares being tendered. Originally, Yuri offered USD 1.7 in cash per FortuNet share.</t>
  </si>
  <si>
    <t>Pacific Asia Petroleum Inc</t>
  </si>
  <si>
    <t>CAMAC Energy Holdings Ltd</t>
  </si>
  <si>
    <t>Nigeria</t>
  </si>
  <si>
    <t>US - CAMAC Energy Holdings Ltd of Nigeria, a unit of CAMAC International Corp's CAMAC Energy EP Ltd, acquired a 62.74% interest, or 26.656 mil common shares, in Pacific Asia Petroleum Inc, a Hartsdale-based oil and gas exploration and production company.</t>
  </si>
  <si>
    <t>Iowa Telecom Services Inc</t>
  </si>
  <si>
    <t>US - Windstream Corp (Windstream) acquired the entire share capital of Iowa Telecommunications Services Inc, doing business as Iowa Telecom, a Newton-based provider of telecommunications services, in a sweetened stock swap transaction valued at USD 1. 134 bil, including the assumption of an estimated USD 613 mil in liabilities. Windstream offered USD 7.9 in cash and 0.804 common share per Iowa Telecom share. Originally, Windstream offered USD 7.9 in cash and 0. 804 common share and the assumption of an estimated USD 598 mil in liabilities. Based on Windstream's closing stock price of USD 10.67 on 31 May 2010, the last full trading day prior to the announcement of amended terms, each Iowa Telecom share was valued at USD 16.479.</t>
  </si>
  <si>
    <t>A Schulman Inc</t>
  </si>
  <si>
    <t>Mnfr,whl engineered plastic compounds</t>
  </si>
  <si>
    <t>US - A Schulman Inc acquired the entire share capital of ICO Inc, a Houston-based manufacturer of specialty resins, for USD 188.325 mil. A Schulman offered USD 3.67 in cash and 0.184 common shares per ICO share. Based on A Schulman's closing stock price of 1 December 2009, the last full trading day prior to the announcement, each ICO share was valued at USD 6.691.</t>
  </si>
  <si>
    <t>International Royalty Corp</t>
  </si>
  <si>
    <t>Mineral royalty mining co</t>
  </si>
  <si>
    <t>Franco-Nevada Corp</t>
  </si>
  <si>
    <t>Gold mining,oil,gas expl co</t>
  </si>
  <si>
    <t>US - Franco-Nevada Corp (Franco) withdrew its unsolicited tender offer to acquire the entire share capital of International Royalty Corp (IRC), an Englewood-based provider of mineral royalty services, for a sweetened USD 6.75 in cash per share, or a total value of USD 639.191 mil. Originally, Franco offered IRC a USD 6.392 in cash per share, or a total value of USD 639.191 mil. Subsequently, Royal Gold Inc made a challenging offer to acquire IRC.</t>
  </si>
  <si>
    <t>BPW Acquisition Corp</t>
  </si>
  <si>
    <t>US - Talbots Inc (Talbots), a unit of AEON Co Ltd (AEON), acquired the entire share capital of BPW Acquisition Corp (BPW), a Stamford-based blank check company, in a stock swap transaction valued at USD 292.518 mil, subject to a collar agreement. Talbots offered 0.9853 common shares per BPW share. Based on Talbot's closing stock price of USD 7.21 on 07 December 2009, the last full trading day prior to the announcement, each BPW share was valued at USD 7.104. Concurrently, in December 2009, the board of Talbots agreed to repurchase up to 29. 9 mil common shares, or about 54.3% interest of the company's share capital, from AEON, for USD 491 mil.</t>
  </si>
  <si>
    <t>US - Francisco Partners LP acquired the entire share capital of QuadraMed Corp, a Reston-based provider of healthcare information technology services, for USD 8.5 per share in cash, or a total value of USD 70.888 mil, in a leveraged buyout transaction.</t>
  </si>
  <si>
    <t>Minatura Gold</t>
  </si>
  <si>
    <t>Gold,precious metals mining co</t>
  </si>
  <si>
    <t>Minatura International LLC</t>
  </si>
  <si>
    <t>Precious,base metal mining co</t>
  </si>
  <si>
    <t>US - Minatura International LLC definitively acquired a 72.11% interest, or 10.675 mil common shares, in Minatura Gold, a Westlake Village-based gold and precious metals mining company, for USD 3.8 mil in cash. The transaction included Colombian mining assets, concessions and 21 mining contracts.</t>
  </si>
  <si>
    <t>California Micro Devices Corp</t>
  </si>
  <si>
    <t>Mnfr,whl analog semiconductors</t>
  </si>
  <si>
    <t>US - ON Semiconductor Corp completed its tender offer to acquire the entire share capital of California Micro Devices Corp (California), a Milpitas-based manufacturers and wholesaler of specific analog and mixed signal semiconductor products, via a tender offer for USD 4.7 in cash per share, or a total value of USD 110.695 mil. The offer was conditioned upon at least a majority of California's shares being tendered.</t>
  </si>
  <si>
    <t>Highbury Financial Inc</t>
  </si>
  <si>
    <t>Invest mgmt hldg co</t>
  </si>
  <si>
    <t>Affiliated Managers Group Inc</t>
  </si>
  <si>
    <t>Pvd invest mgmt svcs;hldg co</t>
  </si>
  <si>
    <t>US - Affiliated Managers Group Inc (Affiliated) acquired the entire share capital of Highbury Financial Inc, a New York-based investment management holding company, in exchange for 1. 749 mil Affiliated common shares, valued at USD 113.555 mil. The share were valued based on Affiliated's closing stock price of USD 64.93 on 11 December 2009, the last full trading day prior to the announcement.</t>
  </si>
  <si>
    <t>XTO Energy Inc</t>
  </si>
  <si>
    <t>Exxon Mobil Corp</t>
  </si>
  <si>
    <t>Oil &amp; gas exploration and production company</t>
  </si>
  <si>
    <t>US - Exxon Mobil Corp (Exxon) acquired the entire share capital of XTO Energy Inc (XTO), a Fort Worth-based oil and gas exploration and production company, in a stock swap transaction valued at USD 40.298 bil, including the assumption of USD 10 bil in liabilities. Exxon offered 0.7098 common shares per XTO share. Based on Exxon's closing stock price of USD 72. 83 on 11 December 2009, the last full trading day prior to the announcement, each XTO share was valued at USD 51. 695.</t>
  </si>
  <si>
    <t>FGX International Holdings Ltd</t>
  </si>
  <si>
    <t>Mnfr,whl sunglasses</t>
  </si>
  <si>
    <t>US - Essilor International SA of France acquired the entire share capital of FGX International Holdings Ltd, a Smithfield-based manufacturer and wholesaler of non- prescription reading glasses and sunglasses, from Berggruen Holdings North America Ltd (32%) and other shareholders, for USD 19.75 in cash per share, or a total value of USD 558.26 mil, including the assumption of an estimated USD 100 mil in liabilities.</t>
  </si>
  <si>
    <t>Cedar Fair LP</t>
  </si>
  <si>
    <t>Own,operate amusement park</t>
  </si>
  <si>
    <t>US - Apollo Global Management LLC withdrew its definitive agreement to acquire the entire share capital of Cedar Fair LP (Cedar), a Sandusky- based owner and operator of amusement parks, for USD 11.5 in cash per unit, or a total value of USD 634.891 mil, in a leveraged buyout transaction. Originally, in March 2009, Cedar announced that it was seeking a buyer for its assets.</t>
  </si>
  <si>
    <t>Airvana Inc</t>
  </si>
  <si>
    <t>Mnfr infrastructure prod</t>
  </si>
  <si>
    <t>72 Mobile Holdings LLC</t>
  </si>
  <si>
    <t>US - 72 Mobile Holdings LLC, a special purpose acquisition vehicle, formed by ZelnickMedia, SAC Private Capital Group LLC, a unit of SAC Capital Advisors LLC, GSO Capital Partners LP, a unit of Blackstone Group LP, and Sankaty Advisors LLC, a unit of Bain Capital LLC, acquired the entire share capital of Airvana Inc, a Chelmsford- based manufacturer of network infrastructure products, for USD 7.65 in cash per share, or a total value of USD 538. 554 mil, in a leveraged buyout transaction.</t>
  </si>
  <si>
    <t>Royal Gold Inc</t>
  </si>
  <si>
    <t>Pvd mineral trading,mining svc</t>
  </si>
  <si>
    <t>US - Royal Gold Inc (Royal) acquired the entire share capital of International Royalty Corp (IRC), an Englewood-based provider of mineral royalty services, for USD 658.747 mil, via a scheme of arrangement. Royal offered a choice of USD 6.956 in cash or 0.1385 common share or a combination of thereof, subject to proration whereby the maximum cash consideration was USD 350 mil and the maximum common share consideration to be issued is 7.75 mil. Previously, Franco- Nevada Corp launched its unsolicited tender offer to acquire IRC.</t>
  </si>
  <si>
    <t>Javelin Pharmaceuticals Inc</t>
  </si>
  <si>
    <t>Myriad Pharmaceuticals Inc</t>
  </si>
  <si>
    <t>US - Myriad Pharmaceuticals Inc (Myriad) withdrew its definitive agreement to acquire the entire share capital of Javelin Pharmaceuticals Inc (Javelin), a Cambridge-based manufacturer of prescription pharmaceuticals, in a stock swap transaction valued at USD 95.988 mil. Myriad offered 0.282 common share per Javelin share. Based on Myriad's closing stock price of USD 5.33 on 17 December 2009, the last full trading day prior to the announcement, each Javelin share was valued at USD 1.503. Subsequently, Hospira Inc agreed to launch a challenging tender offer to acquire the entire share capital of Javelin.</t>
  </si>
  <si>
    <t>Chattem Inc</t>
  </si>
  <si>
    <t>US - Sanofi-Aventis SA of France acquired the entire share capital of Chattem Inc, a Chattanooga-based manufacturer and wholesaler of consumer healthcare products, toiletries and dietary supplements, for USD 93.5 in cash per share, or a total value of USD 1.781 bil.</t>
  </si>
  <si>
    <t>Fremont MI InsuraCorp Inc</t>
  </si>
  <si>
    <t>US - Steak n Shake Co withdrew its plans to launch an unsolicited tender offer to acquire the remaining 90. 1% interest, or 1.574 mil common shares, which it did not already own, in Fremont Michigan InsuraCorp Inc, an insurance holding company, for USD 24.5 in cash and Steak common shares, or a total value of USD 38.568 mil. The consideration was subject to proration whereby the maximum cash and aggregate common stock issuable shall be 50% and 50% of the total number of shares outstanding, respectively.</t>
  </si>
  <si>
    <t>Danfoss Acquisition Inc</t>
  </si>
  <si>
    <t>US - Danfoss Acquisition Inc of Denmark (Danfoss), a special purpose acquisition vehicle formed by Danfoss A/S, withdrawn its tender offer to acquire the remaining 24. 33% stake, or 11.774 mil common shares, which it did not already own, in Sauer- Danfoss Inc (Sauer-Danfoss), an Ames-based manufacturer of fluid power pumps and motors of highly engineered hydraulic systems and components, for a sweetened USD 13.25 cash per share, or a total value of USD 156.01 mil. The offer was conditioned upon at least a majority 24.33% stake of Sauer-Danfoss' shares being tendered. Originally, Danfoss offered USD 10.10 in cash per share or a total value of USD 118.921 mil.</t>
  </si>
  <si>
    <t>US - ArvinMeritor Inc, a Troy- based manufacturer and wholesaler of auto parts, planned to a debt restructuring transaction with creditors.</t>
  </si>
  <si>
    <t>Merrimac Inds Inc</t>
  </si>
  <si>
    <t>US - Crane Co (Crane) acquired the entire share capital of Merrimac Industries Inc (Merrimac), a West Caldwell-based manufacturer of microwave components, for USD 16 in cash per share, or a total value of USD 47.879 mil. Earlier, Crane completed its tender offer by accepting 2. 797 mil shares, or 93.46% of Merrimac's common shares outstanding.</t>
  </si>
  <si>
    <t>Mission Community Bancorp</t>
  </si>
  <si>
    <t>Carpenter Community BancFund-A</t>
  </si>
  <si>
    <t>US - Carpenter Fund Manager GP LLC definitively agreed to acquire a 69.32% interest, or 3.04 mil new units, in San Luis Obispo-based Mission Community Bancorp, for USD 5 in cash per unit, or a total value of USD 15.2 mil.</t>
  </si>
  <si>
    <t>AMICAS Inc</t>
  </si>
  <si>
    <t>US - Thoma Bravo LLC withdrew its definitive agreement to acquire the entire share capital of AMICAS Inc, a Boston-based provider of healthcare information management services, for USD 5.35 in cash per share, or a total value of USD 212.662 mil, in a leveraged buyout transaction. Previously, Merge Healthcare Inc completed its tender offer to acquire AMICAS.</t>
  </si>
  <si>
    <t>First Chester County Corp,PA</t>
  </si>
  <si>
    <t>US - Tower Bancorp Inc (Tower) acquired the entire share capital of West Chester-based First Chester County Corp (First), a bank holding company, in a stock swap transaction valued at USD 64. 393 mil. Tower offered 0.453 common shares per First share. Based on First's closing stock price of USD 22.55 on 25 December 2009, the last full trading day prior to the announcement, each Tower share was valued at USD 10. 215.</t>
  </si>
  <si>
    <t>Icahn Enterprises LP</t>
  </si>
  <si>
    <t>Diversified holding company</t>
  </si>
  <si>
    <t>US - Icahn Enterprises LP (Icahn) acquired a 54% interest in American Railcar Industries Inc, a St. Charles- based manufacturer, wholesaler, and repairer of rail car parts. Concurrently, Icahn acquired a 70% interest in Viskase Cos Inc.</t>
  </si>
  <si>
    <t>Viskase Cos Inc</t>
  </si>
  <si>
    <t>US - Icahn Enterprise LP (Icahn) acquired a 20.64 mil common shares, or 70% interest, in Viskase Cos Inc, a Darien-based manufactuter of cellulosic casing products. Concurrently, Icahn acquired a 54% interest in American Railcar Industries Inc.</t>
  </si>
  <si>
    <t>Quixote Corp</t>
  </si>
  <si>
    <t>Mnfr,whl highway crash cushion</t>
  </si>
  <si>
    <t>THP Merger Co</t>
  </si>
  <si>
    <t>US - THP Merger Co (THP), a wholly-owned unit of Trinity Industries Inc (Trinity), completed its tender offer to definitively acquire the entire share capital of Quixote Corp (Quixote), a Chicago-based manufacturer and wholesaler of highway crash cushions, for USD 6.38 in cash per share, or a total value of USD 59.55 mil, by accepting 8.155 mil shares, or 87.37% of Quixote's entire share capital. The offer was conditioned upon at least 60% of Quixote's shares being tendered. On completion, THP held a direct 91.71% interest in Quixote, which was to become a direct, wholly-owned subsidiary of Trinity; Trinity was to exercise its right to delist Quixote from the Nasdaq exchange.</t>
  </si>
  <si>
    <t>BioForm Medical Inc</t>
  </si>
  <si>
    <t>Mnfr med aesthetics prod</t>
  </si>
  <si>
    <t>Merz Pharma GmbH &amp; Co KGaA</t>
  </si>
  <si>
    <t>US - Merz Pharma GmbH &amp; Co KGaA (Merz) of Germany Inc completed its tender offer to acquire the entire share capital of BioForm Medical Inc (BioForm), a San Mateo- based manufacturer of medical aesthetics products, for USD 5.45 in cash per share, or a total value of USD 247.431 mil, by accepting 45.4 mil shares, or 97.66% of BioForm common shares outstanding. On completion, BioForm was to operate as an indirect wholly- owned subsidiary of Merz.</t>
  </si>
  <si>
    <t>Nokia Siemens Networks Oy</t>
  </si>
  <si>
    <t>US - Nokia Siemens Networks of Finland, a joint venture between Nokia Oyj and Siemens AG, had been rumored to be planning to acquire the entire share capital of CIENA Corp, a Linthicum-based manufacturer and wholesaler of fiber optic cable systems.</t>
  </si>
  <si>
    <t>Smart Holdings Inc</t>
  </si>
  <si>
    <t>US - Belmont Partners LLC acquired an 81.37% interest, or 7 mil common shares, in Smart Holdings Inc, a Washington-based provider of consulting services.</t>
  </si>
  <si>
    <t>CPEX Pharmaceuticals Inc</t>
  </si>
  <si>
    <t>Arcadia Capital Advisors LLC</t>
  </si>
  <si>
    <t>US - Arcadia Capital Advisors LLC withdrew its plans to launch an unsolicited offer to acquire the remaining 88% interest, or 2.238 mil common shares, in CPEX Pharmaceuticals Inc, an Exeter-based manufacturer of pharmaceuticals, for USD 14 per share, or a total value of USD 31.327 mil.</t>
  </si>
  <si>
    <t>CDC Software Corp</t>
  </si>
  <si>
    <t>US - CDC Software Corp (CDC) of Hong Kong withdrew its plans to launch an unsolicited tender offer to acquire the remaining 98.7% interest, or 29.816 mil common shares, which it did not already own, in Chordiant Software Inc, a Cupertino- based developer of customer relationship management software, for USD 3.46 in cash and CDC ordinary shares per share, or a total value of USD 104.06 mil.</t>
  </si>
  <si>
    <t>Oak Financial Corp,MI</t>
  </si>
  <si>
    <t>US - Chemical Financial Corp (CFC) merged with OAK Financial Corp (OFC), a Byron Center -based commercial bank, in a stock swap transaction valued at USD 101.151. CFC offered 1.306 common share per OFC share. The shares were valued based on CFC's closing stock price of USD 21. 94 on 06 January 2010, the last full trading day prior to the announcement.</t>
  </si>
  <si>
    <t>US - II-VI Inc (II) withdrew its plans to launch an unsolicited tender offer to acquire the entire share capital of Zygo Corp (Zygo), a Middlefield-based manufacturer and wholesaler of optical systems and components for USD 171.087 mil. II offered a choice of USD 10 in cash or common shares per Zygo share.</t>
  </si>
  <si>
    <t>K-Tron International Inc</t>
  </si>
  <si>
    <t>Mnfr lab,industrial scales</t>
  </si>
  <si>
    <t>Hillenbrand Inc</t>
  </si>
  <si>
    <t>Mnfr,whl funeral svc prod</t>
  </si>
  <si>
    <t>US - Hillenbrand Inc acquired the entire share capital of K- Tron International Inc, a Pitman-based manufacturer of laboratory and industrial scales, for USD 150 in cash per share, or a total value of USD 441.747 mil.</t>
  </si>
  <si>
    <t>Zareba Systems Inc</t>
  </si>
  <si>
    <t>Mnfr elecn perimeter fence</t>
  </si>
  <si>
    <t>Woodstream Corp</t>
  </si>
  <si>
    <t>Mnfr,whl rodent control prod</t>
  </si>
  <si>
    <t>US - Woodstream Corp merged with Zareba Systems Inc, a Minneapolis-based manufacturer of electronic perimeter fence and access control systems, for USD 9 in cash per share, or a total value of USD 22.937 mil.</t>
  </si>
  <si>
    <t>Bellmore Corp</t>
  </si>
  <si>
    <t>Walter Kostiuk</t>
  </si>
  <si>
    <t>US - Walter Kostiuk acquired an 84.39% interest, or 2 mil common shares, in Bellmore Corp, an Oakhurst-based manufacturer of pharmaceuticals, from majority shareholders Mark Gruberg and Bernard Gruberg, for USD 0.275 mil.</t>
  </si>
  <si>
    <t>Bare Escentuals Inc</t>
  </si>
  <si>
    <t>Mnfr,whl cosmetics</t>
  </si>
  <si>
    <t>Shiseido Co Ltd</t>
  </si>
  <si>
    <t>US - Shiseido Co Ltd (Shiseido) of Japan completed its tender offer to acquire a 86.9% interest, or 80.006 mil common shares, Bare Escentuals Inc (Bare), a San Francisco-based manufacturer and wholesaler of cosmetics, skin care and body care products, from Berkshire Partners LLC (16%) and other shareholders, for USD 18.2 in cash per share, or a total value of USD 1.456 bil. The offer was conditioned upon at least a majority of Bare's shares being tendered on a fully-diluted basis. Originally, Shiseido launched a tender offer to acquire the entire share capital of Bare.</t>
  </si>
  <si>
    <t>Brink's Home Security Holdings</t>
  </si>
  <si>
    <t>Tyco Intl</t>
  </si>
  <si>
    <t>Pvd security systems svcs</t>
  </si>
  <si>
    <t>US - Tyco International Ltd (Tyco) of Bermuda acquired the entire share capital of Brink's Home Security Holdings Inc (Brink's), an Irving-based provider of monitored security services, in a stock swap transaction valued at USD 1.973 bil. Tyco offered a choice of USD 42.5 in cash per share, subject to proration whereby the maximum cash consideration is 30% of the total merger consideration; or a combination of USD 12.75 in cash and a fraction of 1 Tyco share equal to USD 29.75, subject to a collar agreement, or any combination of choice. On completion, Brink's was to be merged with Tyco's ADT security business.</t>
  </si>
  <si>
    <t>US - Prospect Capital Corp (Prospect) withdrew its plans to launch an unsolicited challenging offer to acquire the entire share capital of Allied Capital Corp (Allied), a Washington-based business development company, in a stock swap transaction valued at a sweetened USD 903.459 mil. Prospect offered 0.4 common shares per Allied share. Based on Prospect's closing stock price of USD 12. 59 on 25 January 2010, the last full trading day prior to the amended of terms, each Allied share was valued at USD 5.036. Originally, Prospect offered 0.385 common shares per Allied Share. Previously, Ares Capital Corp acquired the entire share capital of Allied.</t>
  </si>
  <si>
    <t>Williams Pipeline Partners LP</t>
  </si>
  <si>
    <t>Williams Partners LP</t>
  </si>
  <si>
    <t>Pvd natural gas transp svcs</t>
  </si>
  <si>
    <t>US - Williams Partners LP (Williams Partners) merged with Williams Pipeline Partners LP (Williams Pipeline), a Tulsa-based provider of natural gas gathering, transportation, processing and treating services, in a stock swap transaction valued at USD 527. 909 mil. Williams Partners offered 0.7584 units per Williams Pipeline unit. Based on Williams Partners's closing stock price of USD 30. 79 on 18 January 2009, the last full trading day prior to the announcement, each Williams Pipeline unit was valued at 23.351. Originally, Williams Partners planned to launch a tender offer to acquire the entire share capital of Williams Pipeline.</t>
  </si>
  <si>
    <t>Health Fitness Corp</t>
  </si>
  <si>
    <t>Trustmark Mutual Holding Co</t>
  </si>
  <si>
    <t>US - Trustmark Mutual Holding Co acquired the entire share capital of Health Fitness Corp (Health), a Minneapolis- based provider of integrated health and fitness management services, via a tender offer for USD 8.78 in cash per share, or a total value of USD 93.587 mil.</t>
  </si>
  <si>
    <t>Assurance Group Direct Inc</t>
  </si>
  <si>
    <t>US - Assurance Group Direct Inc acquired a 50.01% interest, or 4.302 mil common shares, in Smart Holdings Inc, a Washington-based provider of consulting services, from Belmont Partners LLC.</t>
  </si>
  <si>
    <t>US - Lone Star Funds acquired the entire share capital of Lodgian Inc, an Atlanta-based owner and operator of full- service hotels, for an estimated USD 270 mil. The consideration consisted of USD 2.5 in cash per share, or a total value of USD 54.212 mil and the assumption of USD215.787 mil in liabilities.</t>
  </si>
  <si>
    <t>Steele Financial Corp</t>
  </si>
  <si>
    <t>US - Steele Financial Corp withdrew its agreement to acquire the entire share capital of East Texas Financial Services Inc, a Tyler-based savings and loan holding company, for USD 18 cash per share, or a total value of USD 0.021 mil.</t>
  </si>
  <si>
    <t>COMSYS IT Partners Inc</t>
  </si>
  <si>
    <t>US - Manpower Inc completed its tender offer to acquire the entire share capital of COMSYS IT Partners Inc (COMSYS), a Houston-based provider of information technology services, for a total value of USD 378.937 mil. Manpower offered a choice of USD 17.65 in cash or USD 17.65 in common stock, subject to proration whereby 50:50 of the consideration was to be paid in cash and common stock respectively. The offer was conditioned upon at least a majority of COMSYS's shares being tendered on a fully diluted basis.</t>
  </si>
  <si>
    <t>Home Diagnostics Inc</t>
  </si>
  <si>
    <t>Mnfr,whl diabetes mgmt sys</t>
  </si>
  <si>
    <t>Nipro Corp</t>
  </si>
  <si>
    <t>US - Nipro Corp of Japan (Nipro) acquired the entire share capital of Home Diagnostics Inc (Home), a Fort Lauderdale-based manufacturer and wholesaler of blood glucose monitoring systems and disposable supplies, for USD 11.5 in cash per share, or a total value of USD 211.04 mil. Earlier, Nipro completed its tender offer for Home by accepting 16.294 mil shares, or 96.27% of Home Diagnostics's entire share capital. The offer was conditioned upon at least a majority of Home shares being tendered.</t>
  </si>
  <si>
    <t>US - Microchip Technology Inc (Microchip) acquired the entire share capital of Silicon Storage Technology Inc (Silicon), a Sunnyvale- based manufacturer and wholesaler of flash memory and non-memory semiconductor components, for a twice sweetened USD 3.05 in cash per share, or a total value of USD 293.582 mil. Originally, Microchip offered USD 2.85 in cash per share.</t>
  </si>
  <si>
    <t>Airgas Inc</t>
  </si>
  <si>
    <t>Whl industrial,medical equip</t>
  </si>
  <si>
    <t>Air Products &amp; Chemicals Inc</t>
  </si>
  <si>
    <t>Manufacture,whl gases,chemical</t>
  </si>
  <si>
    <t>US - Air Products &amp; Chemicals Inc (Air Products) withdrew its unsolicited tender offer to acquire the entire share capital of Airgas Inc, a Radnor-based wholesaler of industrial, medical and specialty gases, welding equipment, accessories and industrial protective equipment, for a thrice sweetened USD 70 in cash per share, or a total value of USD 7.647 bil, including the assumption of USD 1.9 bil in liabilities. Previously, Air Products offered USD 65.5 in cash per share, or a total value of USD 7.278 bil. Previously, Air Products offered USD 63.5 in cash per share, or a total value of USD 7.308 bil. Originally, Air Products offered USD 60 in cash per share, or a total value of USD 7.021 bil.</t>
  </si>
  <si>
    <t>Allegheny Energy Inc</t>
  </si>
  <si>
    <t>US - FirstEnergy Corp acquired the entire share capital of Allegheny Energy Inc (Allegheny), a Greensburg- based electric utility company, in a stock swap transaction valued at USD 8. 503 bil, including the assumption of an estimated USD 3.8 mil in liabilities. FirstEnergy offered 0.667 common share per First Energy share. Based on FirstEnergy's closing stock price of USD 41. 46 on 10 February 2010, the last full trading day prior to the announcement, each Allegheny share was valued at USD 27.654.</t>
  </si>
  <si>
    <t>Yara International ASA</t>
  </si>
  <si>
    <t>Mnfr,whl fertilizers,chemicals</t>
  </si>
  <si>
    <t>US - Yara International ASA of Norway withdrew its definitive agreement to acquire the entire share capital of Terra Industries Inc (Terra), a Sioux City- based manufacturer and wholesaler of nitrogenous fertilizers, agricultural pesticides and other chemicals, for USD 41.1 in cash per share, or a total value of USD 4.105 bil. Subsequently, CF Industries Holdings Inc definitively agreed to acquire the entire share capital of Terra.</t>
  </si>
  <si>
    <t>United America Indemnity Ltd</t>
  </si>
  <si>
    <t>Global Indemnity PLC</t>
  </si>
  <si>
    <t>US - Global Indemnity PLC of Ireland acquired the entire share capital of United America Indemnity Ltd, a Bala Cynwyd-based insurance company.</t>
  </si>
  <si>
    <t>Rick's Cabaret Intl Inc</t>
  </si>
  <si>
    <t>Own,operate nightclubs</t>
  </si>
  <si>
    <t>US - Rick's Cabaret International Inc (Rick's) withdrew its Letter of Intent {LoI} to acquire the entire share capital of VCG Holding Corp (VCG), a Lakewood-based owner and operator of adult nightclubs, from Troy H. Lowrie (33.33%), in a stock swap transaction valued at USD 65.782 mil. Rick's offered USD 3.8 in common shares per VCG Holding Corp share, subject to a collar agreement. Concurrently, Rick's signed an LoI to acquire the entire share capital of Club Licensing Inc. The transaction was to include Schiek's Palace Royale.</t>
  </si>
  <si>
    <t>Foster Thomas Co</t>
  </si>
  <si>
    <t>Mnfr,whl industrial materials</t>
  </si>
  <si>
    <t>US - Foster Thomas Co (Foster) , a wholly-owned subsidiary of LB Foster Co, acquired the entire share capital of Portec Rail Products Inc (Portec), a Pittsburgh-based manufacturer and wholesaler of railroad products, via a tender offer for a sweetened USD 11.80 in cash per share or a tatl value of USD 113. 607 mil. Originally, Foster offered USD 11.71 in cash per share. The offer was conditioned upon at least 65% of Portec's shares being tendered.</t>
  </si>
  <si>
    <t>PECO II Inc</t>
  </si>
  <si>
    <t>Mnfr,whl telecommun sys,equip</t>
  </si>
  <si>
    <t>US - Lineage Power Holdings Inc, a unit of Gores Group LLC, acquired the entire share capital of PECO II Inc, a Galion-based manufacturer and wholesaler of telecommunications systems &amp; equipment, for USD 5.86 in cash, or a total value of USD 16.706 mil.</t>
  </si>
  <si>
    <t>Zenith National Insurance Corp</t>
  </si>
  <si>
    <t>US - Fairfax Financial Holdings Ltd of Canada acquired the remaining 91.65% interest, or 34.717 mil common shares, which it did not already own, in Zenith National Insurance Corp, a Woodland Hills-based insurance holding company, for USD 38 in cash per share, or a total value of USD 1.319 bil.</t>
  </si>
  <si>
    <t>US - Schlumberger Ltd acquired the entire share capital of Smith International Inc (Smith), a Houston-based manufacturer of oil drilling fluids, systems, tools, and related products, in a stock swap transaction valued at USD 11.04 bil. Schlumberger offered 0.6966 common shares per Smith share. Based on Schlumberger's closing stock price of USD 63. 9 on 19 February 2010, the last full trading day prior to the announcement, each Smith share was valued at USD 44.513. Originally, Schlumberger was rumored to be planning to acquire the entire share capital of Smith.</t>
  </si>
  <si>
    <t>US - Merge Healthcare Inc completed its tender offer to acquire the entire share capital of AMICAS Inc (AMICAS) , a Boston-based provider of imaging information technology services, for USD 6.05 in cash per share, or a total value of USD 243.619 mil. Previously, Thoma Bravo LLC withdrew its definitive agreement to acquire the entire share capital AMICAS.</t>
  </si>
  <si>
    <t>US - RR Donnelley &amp; Sons Co definitively acquired the entire share capital of Bowne &amp; Co Inc, a New York-based provider of financial, marketing, and business communications services, for USD 11.50 in cash per share, or a total value of USD 467. 123 mil.</t>
  </si>
  <si>
    <t>Southern Connecticut Bancorp</t>
  </si>
  <si>
    <t>Naugatuck Valley Finl Corp</t>
  </si>
  <si>
    <t>US - Naugatuck Valley Financial Corp (Naugatuck) terminated its agreement to acquire the entire share capital of Southern Connecticut Bancorp Inc, a New Haven-based bank holding company, for an ameded USD 6. 75 per share, or a total value of USD 18.197 mil. Originally, Naugatuck offered USD 7.25 per share, or a total value of USD 19.545 mil, subject to proration whereby 50% of the consideration was to be paid in cash and 50% was to paid in common stock.</t>
  </si>
  <si>
    <t>US - Thomas H Lee Partners LP, a unit of Thomas H Lee Co, withdrew its definitive agreemeent to acquire the entire share capital of CKE Restaurants Inc (CKE), a Carpinteria-based owner and operator of fast food restaurants, for USD 11.05 in cash per share, or a total value of USD 918.81 mil, including the assumption of an estimated USD 309 mil in liabilities, in a leveraged buyout transaction. Subsequently, Trian Fund Management LP was rumored to be planning to launch a challenging offer to acquire the entire share capital of CKE. Subsequently, Apollo Management LP planned to launch a challenging tender offer to acquire the entire share capital of CKE.</t>
  </si>
  <si>
    <t>WPCS International Inc</t>
  </si>
  <si>
    <t>Pvd commun,infrastructure svcs</t>
  </si>
  <si>
    <t>LCC International Inc</t>
  </si>
  <si>
    <t>US - LCC International Inc planned to acquire the entire share capital of WPCS International Inc, an Exton- based provider of communications and infrastructure services.</t>
  </si>
  <si>
    <t>US - Merck KGaA of Germany acquired the entire share capital of Millipore Corp (Millipore), a Billerica- based manufacturer and wholesaler of medical and analytical laboratory equipment, for USD 107 in cash per share, or a total value of USD 6.127 bil. Originally, in February 2010, Millipore was rumored to be seeking a buyer for the company. Thermo Fisher Scientific Inc, Danaher Corp, and General Electric Co were named potential bidders.</t>
  </si>
  <si>
    <t>US - Crown Media Holdings Inc (Crown Media), a Studio City- based provider of cable television services and a majority-owned unit of Hallmark Cards Inc, completed its debt restructuring with creditors (CRs) in a transaction valued at USD 948. 603 mil. CRs received 254,888 mil of common shares valued at USD 448.603 mil and USD 185 mil of convertible preferred stock at liquidation preference and USD 315 mil amount of new debt instruments with maturities of December 31, 2013. The shares were valued based on based on Crown Media's closing stock price of USD 1.76 on June 30, the first full trading day post- restructuring. The book value of the existing debt that was exchanged under the terms of the offer was USD 1.162 bil.</t>
  </si>
  <si>
    <t>Ruby Acquisition Inc</t>
  </si>
  <si>
    <t>US - Ruby Acquisition Inc (Ruby), a unit of Astellas Pharma Inc (Astellas) acquired the entire share capital of OSI Pharmaceuticals Inc (OSI), a Melville-based manufacturer, developer and wholesaler of pharmaceuticals, for a sweetened USD 57.5 in cash per share, or a total value of USD 4.031 bil, via a tender offer. Previously, Ruby offered USD 52 in cash per share. Earlier, Ruby completed its tender offer for Astellas by accepting 53. 43 mil shares, or 87.29% of Astellas common shares outstanding. The offer was conditioned upon at least a majority of OSI's shares being tendered on a fully- diluted basis.</t>
  </si>
  <si>
    <t>RiskMetrics Group Inc</t>
  </si>
  <si>
    <t>Pvd risk mgmt svcs</t>
  </si>
  <si>
    <t>MSCI Inc</t>
  </si>
  <si>
    <t>US - MSCI Inc (MSCI) acquired the entire share capital of RiskMetrics Group Inc (RiskMetrics), a New York- based provider of risk management, corporate governance, financial research and analysis services, for USD 1.543 bil. MSCI offered USD 16.35 in cash and 0.1802 common shares per RiskMetrics share. Based on MSCI's closing stock price of USD 29.98 on 26 February 2010, each RiskMetrics share was valued at USD 21.752. Originally, in January 2010, RiskMetrics was rumored to be seeking a buyer for the company. MSCI, Bloomberg LP, McGraw-Hills Cos and Thomson Reuters Corp were named potential bidders.</t>
  </si>
  <si>
    <t>Carlos Slim Helu</t>
  </si>
  <si>
    <t>US - Carlos Slim Helu of Mexico was rumored to be planning to acquire the remaining 93.64% interest, which it did not already own, in The New York Times Co, a New York-based publishing company. The Current status of this deal is unknown.</t>
  </si>
  <si>
    <t>US - Elliott Associates LP, a unit of Elliott Management Corp, withdrew its plan to launch an unsolicited tender offer to acquire the remaining 91.5% interest, or 336.199 mil common shares plus options, which it did not already own, in Novell Inc, a Waltham-based developer of enterprise operating systems software, for USD 5.75 in cash, or a total value of USD 1.884 bil. Subsequently, Longview Software Acquisition Corp acquired the entire share capital of Novell.</t>
  </si>
  <si>
    <t>Spark Networks Inc</t>
  </si>
  <si>
    <t>Provide online dating services</t>
  </si>
  <si>
    <t>Great Hill Equity Partners III</t>
  </si>
  <si>
    <t>US - Great Hill Equity Partners IIILP, a unit of Great Hill Partners LLC, withdrew its plans to acquire the entire share capital of Spark Networks Inc, a Beverly Hills-based provider of business support services, for USD 64.186 mil in cash.</t>
  </si>
  <si>
    <t>RadioShack Corp</t>
  </si>
  <si>
    <t>Retail electronic product</t>
  </si>
  <si>
    <t>US - In March 2010, RadioShack Corp, a Fort Worth- based retailer of electronic products, was rumored to be seeking a buyer for the company. Best Buy, Blackstone Group LP and Apollo Management LP were named potential bidders. The Current status of this deal is unknown.</t>
  </si>
  <si>
    <t>SouthWest Water Co</t>
  </si>
  <si>
    <t>Own,operate water,sewer system</t>
  </si>
  <si>
    <t>SW Merger Acquisition Corp</t>
  </si>
  <si>
    <t>Special purpose acq co (SPAC)</t>
  </si>
  <si>
    <t>US - SW Merger Sub Corp, a wholly-owned unit of SW Merger Acquisition Corp, acquired the entire share capital of SouthWest Water Co, a Los Angeles-based owner and operator of water supply and sewerage systems, for USD 11 in cash per share, or a total value of USD 275.282 mil.</t>
  </si>
  <si>
    <t>Liberty Acq Hldgs Corp</t>
  </si>
  <si>
    <t>PRISA</t>
  </si>
  <si>
    <t>US - Promotora de Informaciones SA {PRISA} of Spain acquired the entire share capital of Liberty Acquisition Holdings Corp (Liberty), a New York-based capital pool company, in a stock swap reverse takeover transaction valued at a sweetened USD 2.219 bil. PRISA offered USD 0.5 in cash, 1.5 new Prisa ordinary shares and 3 new convertible non-voting shares per Liberty share. Based on PRISA's closing stock price of USD 3. 03 on 3 August 2010, the last full trading day prior to the ammendment of terms, each Liberty share was valued at USD 17.159. Originally, PRISA offered 1.547154 new ordinary shares and 0.35759 new convertible non-voting shares per Liberty share.</t>
  </si>
  <si>
    <t>MedCath Corp</t>
  </si>
  <si>
    <t>US - In March 2010, MedCath Corp, a Charlotte-based provider of healthcare services, announced that it was seeking a buyer for the company.</t>
  </si>
  <si>
    <t>Develop speech,imaging software</t>
  </si>
  <si>
    <t>US - Google Inc was rumored to be planning to acquire the entire share capital of Nuance Communications Inc, a Burlington-based developer of speech and imaging software. The Current status of this deal is unknown.</t>
  </si>
  <si>
    <t>ABRY Partners LLC</t>
  </si>
  <si>
    <t>US - ABRY Partners LLC acquired the entire share capital of RCN Corp, a Herndon-based provider of cable television, bundled telephone and high speed Internet services, for USD 15 in cash per share, or a total value of USD 1.273 bil, including the assumption of USD 730 mil in liabilities, in a leveraged buyout transaction. Subsequently, TPG Capital LP definitively agreed to acquire RCN Corp.</t>
  </si>
  <si>
    <t>US - An investor group (IG), comprised of Fairholme Capital Management LLC and Pershing Square Capital Management, acquired a 53. 84%% interest, or 380 mil new common shares and warrants convertible into 60 mil new common shares, in bankrupt General Growth Properties Inc (General), a Chicago-based real estate investment trust, for USD 4.555 bil. Originally, IG agreed to acquire a 54.5% interest in General. Previously, Simon Property Group Inc withdrew its plans to launch an unsolicited offer to acquire the entire share capital of General. On a separate deal, Brookfield Asset Management Inc of Canada acquired a 30% stake in General.</t>
  </si>
  <si>
    <t>infoGroup Inc</t>
  </si>
  <si>
    <t>CCMP Capital Advisors LLC</t>
  </si>
  <si>
    <t>US - CCMP Capital Advisors LLC acquired the entire share capital of infoGroup Inc, an Omaha-based provider of marketing support services, from Vinod Gupta, for USD 8 in cash per share, or a total value of USD 463.229 mil, in a leveraged buyout transaction.</t>
  </si>
  <si>
    <t>US - Shiseido Co Ltd of Japan completed its tender offer to acquire the remaining 13.1% stake, or 16.533 mil common shares plus options, which it did not already own, in Bare Escentuals Inc, a San Francisco-based manufacturer and wholesaler of cosmetics, skin care, and body care products, for USD 18.2 in cash per share, or a total value of USD 284.354 mil.</t>
  </si>
  <si>
    <t>US - Abbott Laboratories acquired the entire share capital of Facet Biotech Corp (Facet), a Redwood City-based biotechnology company, for USD 27 in cash per share, or a total value of USD 718.761 mil. The offer was conditioned upon at least a majority of Facet's shares being tendered.</t>
  </si>
  <si>
    <t>Trian Fund Management LP</t>
  </si>
  <si>
    <t>US - Trian Fund Management LP withdrew its plans to launch a challenging offer to acquire the entire share capital of CKE Restaurants Inc, a Carpinteria-based owner and operator of fast food restaurants.</t>
  </si>
  <si>
    <t>Maine &amp; Maritimes Corp</t>
  </si>
  <si>
    <t>BHE Holdings Inc</t>
  </si>
  <si>
    <t>US - BHE Holdings Inc, a unit of Emera Inc, acquired the entire share capital of Maine &amp; Maritimes Corp, a Presque Isle-based electric utility company, for USD 45 in cash per share, or a total value of USD 75.744 mil.</t>
  </si>
  <si>
    <t>Pegasystems Inc</t>
  </si>
  <si>
    <t>US - Pegasystems Inc (Pegasystems) acquired the entire share capital of Chordiant Software Inc (Chordiant), a Cupertino- based developer of customer relationship management software, for USD 5 in cash per share, or a total value of USD 154.215 mil. Earlier, Pegasystems completed its tender offer for Chordiant by accepting 24.998 mil common shares, or 81.8% of the Chordiant's entire share capital.</t>
  </si>
  <si>
    <t>US - In March 2010, Benihana Inc, a Miami-based owner and operator of Japanese concept resturants, withdrew its announcement that it was seeking a buyer for the company. Russell Glass was named potential bidder.</t>
  </si>
  <si>
    <t>Care Investment Trust Inc</t>
  </si>
  <si>
    <t>Tiptree Financial Partners LP</t>
  </si>
  <si>
    <t>US - Tiptree Financial Partners LP acquired the entire share capital of Care Investment Trust Inc, a New York-based real estate investment trust, via a tender offer, for USD 9 in cash per share, or a total value of USD 180.763 mil.</t>
  </si>
  <si>
    <t>Tri-Valley Bk,San Ramon,CA</t>
  </si>
  <si>
    <t>Tri-Capital LLC</t>
  </si>
  <si>
    <t>US - Tri-Capital LLC withdrew its definitive agreement to acquire 90% interest, or 15. 851 mil newly issued common shares, of Tri-Valley Bank, a San Ramon-based commercial bank, for USD 0.379 mil per share, or a total value of USD 6 mil.</t>
  </si>
  <si>
    <t>Apax Partners LLP</t>
  </si>
  <si>
    <t>Financial Sponsor</t>
  </si>
  <si>
    <t>US - Apax Partners Worldwide LLP of the UK discontinued rumors that it was planning to acquire the entire share capital of Polycom Inc, a Pleasanton-based manufacturer and wholesaler of communications equipment. Terms were not disclosed but, according to sources close to the situation, the deal was valued at an estimated USD 3. 1 bil.</t>
  </si>
  <si>
    <t>Roma Financial Corp</t>
  </si>
  <si>
    <t>US - Roma Financial Corp acquired the entire share capital, or 5.843 mil common shares, of Sterling Banks Inc, a Mount Laurel-based bank holding company, for USD 2.52 in cash per share, or a total value of USD 14.725 mil.</t>
  </si>
  <si>
    <t>US - CONSOL Energy Inc acquired the remaining 16.7% stake, or 26.6 mil common shares plus options, which it did not already own, in CNX Gas Corp, a Canonsburg-based oil and gas exploration and production company, from T Rowe Price Associates Inc, a unit of T Rowe Price Group Inc, and other shareholders, via a tender offer, for USD 38.25 in cash per share, or a total value of USD 989.179 mil.</t>
  </si>
  <si>
    <t>Techwell Inc</t>
  </si>
  <si>
    <t>US - Intersil Corp (Intersil) acquired the entire share capital of Techwell Inc (Techwell), a San Jose-based manufacturer and wholesaler of semiconductors, for USD 18. 5 in cash per share, or a total value of USD 425.048 mil. Earlier, Intersil completed its tender offer for Techwell by accepting 20. 517 mil, or 94.73% of Techwell's common shares outstanding. The offer was conditioned upon at least 50% of Techwell's shares being tendered.</t>
  </si>
  <si>
    <t>Bancinsurance Corp</t>
  </si>
  <si>
    <t>US - An investor group (IG), comprised of John S. Sokol, Barbara K. Sokol, James K. Sokol, Carla A. Sokol, Daniel J. Clark, Joseph E. LoConti, Edward Feighan, Charles Hamm, Matthew D. Walter and Falcon Equity Partners LP, planned to acquire the remaining 25. 83% stake, or 1.344 mil common shares, which it did not already own, in Bancinsurance Corp, a Columbus-based insurance holding company, for a sweetened USD 8.5 in cash per share, or a total value of USD 11.429 mil. Originally, IG offered USD 6 in cash per share, or a total value of USD 8.068 mil.</t>
  </si>
  <si>
    <t>Willing Holding Inc</t>
  </si>
  <si>
    <t>Pvd call ctr svcs</t>
  </si>
  <si>
    <t>11i Solutions Inc</t>
  </si>
  <si>
    <t>Pvd wireless technology svcs</t>
  </si>
  <si>
    <t>US - 11i Solutions Inc, a unit of 11i Networks Inc, acquired an 89.92% interest, or 25 mil new Class A common shares, in Willing Holding Inc, a Boca Raton-based provider of call center services, from Thomas DiStefano for USD 0.225 mil and the assumption of an undisclosed amount in liabilities.</t>
  </si>
  <si>
    <t>US - Sun Capital Partners Inc was rumored to be planning to acquire an undisclosed majority interest in Zale Corp, an Irving-based owner and operator of jewelry stores, in a leveraged buyout transaction. The Current status of this deal is unknown.</t>
  </si>
  <si>
    <t>US - In March 2010, CKX Inc (CKX), a New York-based provider of motion picture production services, withdrew its plans to seek a buyer for the company. An investor group led by Simon Fuller and Robert F.X. Sillerman, and Apollo Management were named potential bidders. Gores Group LLC was named potential bidder. Originally, One Equity Partners LLC was rumored to be planning to acquire the entire share capital of CKX.</t>
  </si>
  <si>
    <t>US - Thoma Bravo LLC acquired the entire share capital of Plato Learning Inc, a Bloomington-based developer of educational software, for USD 5.6 in cash per share, or a total value of USD 136.702 mil, in a leveraged buyout transaction.</t>
  </si>
  <si>
    <t>US - Best Buy Co Inc was rumored to be planning to merge with RadioShack Corp, a Fort Worth-based retailer of electronic products. Terms were not disclosed, but according to sources familiar with the situation, the deal was valued at an estimated USD 3 bil. The Current status of this deal is unknown.</t>
  </si>
  <si>
    <t>Bell Microproducts Inc</t>
  </si>
  <si>
    <t>Whl computer components</t>
  </si>
  <si>
    <t>US - Avnet Inc definitively acquired the entire share capital of Bell Microproducts Inc, a San Jose-based wholesaler of computer components, for USD 7 in cash per share, or a total value of USD 568.409 mil, including the assumption of USD 342 mil in liabilities.</t>
  </si>
  <si>
    <t>Bway Holding Co</t>
  </si>
  <si>
    <t>US - Madison Dearborn Partners LLC acquired the entire share capital of BWAY Holdings Co, an Atlanta-based manufacturer of metal and plastic containers, for USD 20 in cash per share, or a total value of USD 986.873 mil, including the assumption of USD 467.772 mil in liabilities, in a leveraged buyout transaction.</t>
  </si>
  <si>
    <t>US - Microsemi Corp acquired the entire share capital of White Electronic Designs Corp (White), a Phoenix-based manufacturer and wholesaler of microelectronic circuits and components, via a tender offer for USD 7 in cash per share, or a total value of USD 166.584 mil. The offer was conditioned upon at least a majority of White's shares being tendered of a fully diluted basis.</t>
  </si>
  <si>
    <t>Northeast Bancorp</t>
  </si>
  <si>
    <t>FHB Formation LLC</t>
  </si>
  <si>
    <t>US - FHB Formation LLC merged with Northeast Bancorp, a Lewiston-based bank holding company, for USD 13.93 in cash per share, or a total value of USD 48.545 mil.</t>
  </si>
  <si>
    <t>North American Galvanizing</t>
  </si>
  <si>
    <t>Mnfr galvanizing,coatings prod</t>
  </si>
  <si>
    <t>AZZ Inc</t>
  </si>
  <si>
    <t>US - AZZ Inc acquired the entire share capital of North American Galvanizing &amp; Coating Inc (NAG), a Tulsa- based manufacturer of galvanizing and coatings products, via a tender offer for USD 7.5 in cash per share, or a total value of USD 128. 436 mil. Earlier, AZZ completed its tender offer for NAG by acquiring 13.657 mil common shares, or 77.75% interest in NAG.</t>
  </si>
  <si>
    <t>Arena Resources Inc</t>
  </si>
  <si>
    <t>SandRidge Energy Inc</t>
  </si>
  <si>
    <t>US - SandRidge Energy Inc (SandRidge) acquired the entire share capital of Arena Resources Inc (Arena), a Tulsa-based oil and gas exploration and production company, in a stock swap transaction valued at USD 1. 692 bil. SandRidge offered a sweetened USD 4.5 in cash and 4.7771 SandRidge common shares per Arena share. Based on SandRidge's closing stock price of USD 7.85 on 02 April 2010, the last full trading day prior to the announcement, each Arena share was valued at USD 40. Originally, SandRidge agreed to acquire the entire share capital of Arena for USD 2.5 in cash and 4.7771 SandRidge common share per Arena share.</t>
  </si>
  <si>
    <t>National Dentex Corp</t>
  </si>
  <si>
    <t>Own,op dental lab</t>
  </si>
  <si>
    <t>GDC Holdings Inc</t>
  </si>
  <si>
    <t>US - GDC Holdings Inc acquired the entire share capital of National Dentex Corp, a Natick-based owns and operates dental laboratories, for USD 17 per share in cash, or a total value of USD 103. 727 mil.</t>
  </si>
  <si>
    <t>Symyx Technologies Inc</t>
  </si>
  <si>
    <t>Dvlp scientific bus software</t>
  </si>
  <si>
    <t>Accelrys Inc</t>
  </si>
  <si>
    <t>Dvlp lifecycle mgmt software</t>
  </si>
  <si>
    <t>US - Accelrys Inc (Accelrys) merged with Symyx Technologies Inc (Symyx), a Santa Clara-based developer of scientific business intelligence software, in a stock swap merger of equals transaction valued at USD 175. 934 mil. Accelrys offered 0. 7802 common shares per Symyx share. Based on Accelrys' closing stock price of USD 6. 5 on 2 April 2010, the last full trading day prior to the announcement, each Symyx share was valued at USD 5.071. Upon completion, Accelrys will own 50.54% and Symyx 49. 46% of the combined company. Subsequently, Certara Corp withdrew its plans to acquire the entire share capital of Symyx.</t>
  </si>
  <si>
    <t>US- CF Industries Holdings Inc (CF) acquired the remaining 14.4% stake, or 14. 348 mil common shares, which it did not already own, in Terra Industries Inc (Terra), a Sioux City-based manufacturer and wholesaler of nitrogenous fertilizers, agricultural pesticides and other chemicals, for USD 659. 399 mil, via tender offer. CF offered USD 37.15 in cash and 0.0953 common share per Terra share. Based on CF's closing stock price of USD 92.41 on 02 April 2010, the last full trading day prior to the announcement, each Terra share was valued at USD 45. 957. On completion, Terra's shares were delisted from the New York Stock Exchange.</t>
  </si>
  <si>
    <t>eDiets.com Inc</t>
  </si>
  <si>
    <t>Pvd online diet info services</t>
  </si>
  <si>
    <t>US - eDiets.com Inc, a Fort Lauderdale-based provider of online diet information services, agreed to a debt restructuring transaction with creditors.</t>
  </si>
  <si>
    <t>Columbia Lake Acq Hldg Inc</t>
  </si>
  <si>
    <t>US - Columbia Lake Acquisition Holdings Inc, a unit of Apollo Management LP (Apollo), acquired the entire share capital of CKE Restaurants Inc (CKE), a Carpinteria-based owner and operator of fast food restaurants, via a tender offer for USD 12.55 in cash per share, or a total value of USD 702.431 mil, in a leveraged buyout transaction. Previously, Apollo was rumored to be planning to launch a challenging tender offer to acquire the entire share capital of CKE, Trian Fund Management LP was rumored to be planning to launch a challenging tender offer to acquire the entire share capital of CKE. Originally, Thomas H Lee Partners LP, a unit of Thomas H Lee Co, definitively agreed to acquire the entire share capital of CKE.</t>
  </si>
  <si>
    <t>Casey's General Stores Inc</t>
  </si>
  <si>
    <t>Alimentation Couche-Tard Inc</t>
  </si>
  <si>
    <t>US - Alimentation Couche-Tard Inc (Alimentation) of Canada withdrew its hostile tender offer to acquire the entire share capital of Casey's General Stores Inc (Casey's), an Ankeny-based owner and operator of grocery stores and gasoline service stations, for a twice sweetened USD 38. 5 in cash per share, or a total value of USD 1.977 bil. Previously, Alimentation offered a sweetened USD 36.75 in cash per share, or a total value of USD 1.882 bil. Originally, Alimentation offered USD 36 in cash per share, or a total value of USD 1.844 bil. Subsequently, 7-Eleven Inc planned to launch an unsolicited tender offer to acquire Casey's.</t>
  </si>
  <si>
    <t>Boots &amp; Coots Inc</t>
  </si>
  <si>
    <t>Mnfr pressure control valves</t>
  </si>
  <si>
    <t>US - Halliburton Co acquired the entire share capital of Boots &amp; Coots Inc (Boots), a Houston-based manufacturer of pressure control valves, for USD 3 per share, or a total value of USD 248.405 mil. Halliburton offered USD 1.73 in cash and USD 1.27 in common shares per Boots share.</t>
  </si>
  <si>
    <t>RRI Energy Inc</t>
  </si>
  <si>
    <t>Provide electricity services</t>
  </si>
  <si>
    <t>US - RRI Energy Inc (RRI), through its wholly-owned RRI Energy Holdings Inc, acquired the entire share capital of Mirant Corp, an Atlanta-based electric utility holding company, in a stock swap transaction valued at USD 1. 623 bil. RRI offered 2.835 common shares per Mirant share. Based on RRI's closing stock price of USD 3.95 on 09 April 2010, the last full trading day prior to the announcement, each Mirant share was valued at USD 11. 198. Upon completion, the merged entity was to be renamed GenOn Energy.</t>
  </si>
  <si>
    <t>DynCorp International LLC</t>
  </si>
  <si>
    <t>Pvd professional,support svcs</t>
  </si>
  <si>
    <t>US - Cerberus Capital Management LP acquired the entire share capital of DynCorp International Inc, a Falls Church-based provider of professional and support services, for USD 17.55 in cash per share, or a total value of USD 987.814 mil, in a leveraged buyout transaction.</t>
  </si>
  <si>
    <t>Discus Acquisition Corp</t>
  </si>
  <si>
    <t>Mnfr,whl injectable pharm</t>
  </si>
  <si>
    <t>US - Discus Acquisition Corp, a wholly-owned unit of Hospira Inc, acquired the entire share capital of Javelin Pharmaceuticals Inc (Javelin), a Cambridge-based manufacturer of prescription pharmaceuticals, via a challenging tender offer, for USD 2.2 in cash per share, or a total value of USD 141.610 mil. Previously, Myriad Pharmaceuticals Inc definitively agreed to acquire the entire share capital of Javelin.</t>
  </si>
  <si>
    <t>Own,op kidney dialysis ctrs</t>
  </si>
  <si>
    <t>US Renal Care Inc</t>
  </si>
  <si>
    <t>Own,operate dialysis centers</t>
  </si>
  <si>
    <t>US - US Renal Care Inc completed its tender offer to acquire the entire share capital of Dialysis Corp of America, a Linthicum-based owner and operator of kidney dialysis centers, for USD 11. 25 per share in cash, or a total value of USD 108.113 mil.</t>
  </si>
  <si>
    <t>Kensington Leasing Ltd</t>
  </si>
  <si>
    <t>Pvd leasing,rental services</t>
  </si>
  <si>
    <t>Merrimen Investments Inc</t>
  </si>
  <si>
    <t>US - Merrimen Investments Inc agreed to acquire 76.65% interest, or 24 mil new common shares, in Kensington Leasing Ltd, a Redlands-based provider of leasing and rental services, for USD 0.2 mil.</t>
  </si>
  <si>
    <t>Mariner Energy Inc</t>
  </si>
  <si>
    <t>US - Apache Corp merged with Mariner Energy Inc (Mariner), a Houston-based oil and gas exploration and production company, in a stock swap transaction valued at USD 3. 876 bil, including the assumption of USD 1.2 bil in liabilities. Apache offered a choice of 7.8 in cash and 0. 17043 common shares per Mariner share or cash or share per Mariner share or a combination thereof, subject to proration, whereby 70% of the consideration was to be paid in stock and 30% was to be paid in cash. Based on Apache's closing stock price of USD 108.06 on 14 April 2010, the last full trading day prior to the announcement, each Mariner share was valued at USD 26.217.</t>
  </si>
  <si>
    <t>City Bank,Lynnwood,Washington</t>
  </si>
  <si>
    <t>Whidbey Island Bk,WA</t>
  </si>
  <si>
    <t>US - Whidbey Island Bank, a unit of Washington Banking Co, acquired the entire share capital of Lynnwood-based City Bank.</t>
  </si>
  <si>
    <t>Phase Forward Inc</t>
  </si>
  <si>
    <t>US - Oracle Corp acquired the entire share capital of Phase Forward Inc, a Waltham-based developer of integrated data management software, for USD 17 in cash per share, or a total value of USD 715.597 mil.</t>
  </si>
  <si>
    <t>US - GEO Group Inc merged with Cornell Cos Inc, a Houston-based owner and operator of correctional facilities, in a stock swap transaction valued at USD 672. 902 mil, including the assumption of liabilies. GEO offered a choice of 1.3 common shares per Cornell share or cash. Based on GEO's closing stock price of USD 19. 16 on 16 April 2010, the last full trading day prior to the announcement, each Cornell share was valued at USD 24. 908.</t>
  </si>
  <si>
    <t>Union National Financial Corp</t>
  </si>
  <si>
    <t>Donegal Group Inc</t>
  </si>
  <si>
    <t>US - Donegal Group Inc (Donegal), a unit of Donegal Mutual Insurance Co, merged with Lancaster-based Union National Financial Corp (Union), a commercial bank holding company, for USD 22. 439 mil. Donegal offered USD 5.05 in cash and 0.2134 per Union share. Based on Donegal's closing stock price of USD 14.68 on 18 April 2010, the last full trading day prior to the announcement, each Union share was valued at USD 8.183.</t>
  </si>
  <si>
    <t>Visa Inc</t>
  </si>
  <si>
    <t>Pvd electronic payment svcs</t>
  </si>
  <si>
    <t>US - Visa Inc acquired the entire share capital of CyberSource Corp, a Mountain View-based provider of electronic payment processing services, for USD 26 in cash per share, or a total value of USD 1.964 bil.</t>
  </si>
  <si>
    <t>US - CenturyLink Inc (CenturyLink) acquired the entire share capital of Qwest Communications Inc (Qwest), a Denver-based provider of voice, Internet, data and video communications services, in a stock swap transaction valued at USD 22.276 bil, including the assumption of USD 11.8 bil in liabilities. CenturyLink offered 0.1664 common shares per Qwest share. Based on CenturyLink's closing stock price of USD 36. 2 on 21 April 2010, the last full trading day prior to the announcement, each Qwest share was valued at USD 6.024. On completion, CenturyLink shareholders were to hold a 50.5% interest in the new company, and Qwest the remaining 49.5%, respectively. Originally, in February 2010, Qwest was rumored to be seeking a buyer for the company.</t>
  </si>
  <si>
    <t>Richard S Rofe</t>
  </si>
  <si>
    <t>US - Mr. Richard S. Rofe withdrew its unsolicited tender offer to acquire the entire share capital of CPEX Pharmaceuticals Inc, an Exeter-based manufacturer of pharmaceuticals, for USD 16 in cash per share, or a total value of USD 40.656 mil.</t>
  </si>
  <si>
    <t>Dollar Thrifty Automotive Grp</t>
  </si>
  <si>
    <t>Hertz Global Holdings Inc</t>
  </si>
  <si>
    <t>Pvd car,equipment rental svcs</t>
  </si>
  <si>
    <t>US - Hertz Global Holdings Inc (Hertz) withdrew its definitive agreement to acquire the entire share capital of Dollar Thrifty Automotive Group Inc (Dollar), a Tulsa-based provider passenger car rental services, for a sweetened USD 1.536 bil. The consideration was to consist of USD 43.6 in cash and 0.6366 common shares per Dollar share. Based on Hertz's closing stock price of USD 10.05 on 10 September 2010, the last full trading day prior to the amendment of the terms, each Dollar share was valued at USD 49.998. Originally, Hertz offered USD 32.8 in cash and 0.6366 in common share per Dollar share, or a total value of USD 1. 257 bil. Upon completion, Hertz and Dollar shareholders were to own 94.5% and 5.5% of the merged entity respectively.</t>
  </si>
  <si>
    <t>JS Acquisition Inc</t>
  </si>
  <si>
    <t>US - JS Acquisition Inc withdrew its tender offer to acquire the entire share capital of Emmis Communications Corp, an Indianapolis-based owner and operator of radio stations, for USD 2.4 per share in cash, or a total value of USD 78. 404 mil.</t>
  </si>
  <si>
    <t>Infinite Freedom Foundation</t>
  </si>
  <si>
    <t>US - Infinite Freedom Foundation (Infinite) discontinued rumors that it was planning to acquire the entire share capital of Frontier Financial Corp (Frontier), an Everett-based bank holding company. Originally, in 26 April 2010, Infinite was rumored to be planning to acquire Frontier.</t>
  </si>
  <si>
    <t>Pvd sec alarm monitoring svcs</t>
  </si>
  <si>
    <t>GTCR LLC</t>
  </si>
  <si>
    <t>US - GTCR Golder Rauner LLC acquired the entire share capital of Protection One Inc (Protection), a Lawrence- based provider of security alarm monitoring services, from Quadrangle Group LLC (Quadrangle), via a tender offer for USD 15.5 in cash per share, or a total value of USD 395.736 mil, including the assumption of an undisclosed amount in liabilities, in a secondary buyout transaction. Originally, on April 2010, Quadrangle was rumored to be seeking a buyer for Protection. Previously, Quadrangle acquired Protection in a leveraged buyout transaction.</t>
  </si>
  <si>
    <t>Thomas Weisel Partners Group</t>
  </si>
  <si>
    <t>US - Stifel Financial Corp (Stifel) acquired the entire share capital of Thomas Weisel Partners Group Inc (Thomas), a San Francisco- based provider of investment banking services, in a stock swap transaction valued at USD 249.779 mil. Stifel offered 0.1364 common share per Thomas share. Based on Stifel's closing stock price of USD 55.74 on 23 April 2010, the last full trading day prior to the announcement, each Thomas share was valued at USD 7.603.</t>
  </si>
  <si>
    <t>Bank of Virginia,Midlothian,VA</t>
  </si>
  <si>
    <t>Cordia Bancorp Inc</t>
  </si>
  <si>
    <t>US - Cordia Bancorp Inc acquired a 52.35% interest, or 5 mil new common shares, in Bank of Virginia, located in Midlothian, Virginia, for USD 3 per share, or a total of USD 15 mil.</t>
  </si>
  <si>
    <t>US - Hewlett-Packard Co acquired the entire share capital of Palm Inc, a Sunnyvale-based manufacturer of handheld computing products, for USD 5.7 in cash per share, or a total value of USD 1.303 bil. Originally, Palm was rumored that it was seeking a buyer for the company. Lenovo Group Ltd of Hong Kong and HTC Corp of Taiwan were named potential bidders.</t>
  </si>
  <si>
    <t>ATS Medical Inc</t>
  </si>
  <si>
    <t>Mnfr,whl heart valves</t>
  </si>
  <si>
    <t>US - Medtronic Inc acquired the entire share capital of ATS Medical Inc, a Minneapolis-based manufacturer and wholesaler of heart valves, for USD 4 in cash per share, or a total value of USD 316.893 mil.</t>
  </si>
  <si>
    <t>SB Acquisition Co LLC</t>
  </si>
  <si>
    <t>US - SB Acquisition Co LLC (SB), a wholly-owned unit of Ford Financial Fund LP, acquired a 91.66% interest, or 225 mil common shares and 0.445 mil preferred shares convertible into 2.275 bil common shares, in Santa Barbara-based Pacific Capital Bancorp, a commercial bank holding company, for USD 500 mil, in a leveraged buyout transaction. SB offered USD 0. 2 per Pacific common share and USD 1,000 per Pacific convertible preferred share.</t>
  </si>
  <si>
    <t>US - UAL Corp merged with Continental Airlines Inc (Continental), a Houston- based provider of airline transportation services, in a stock swap transaction, valued at USD 3.689 bil. UAL offered 1.05 common shares per Continental share. Based on UAL's closing stock price of USD 21.598 on 30 April 2010, the last full trading day prior to the announcement, each Continental share was valued at USD 22.677. Originally, in April 2010, UAL was rumored to be planning to merge with Continental.</t>
  </si>
  <si>
    <t>Avis Budget Group Inc</t>
  </si>
  <si>
    <t>Pvd vehicle rental svc</t>
  </si>
  <si>
    <t>US - Avis Budget Group Inc (Avis) withdrew its plans to launch an unsolicited challenging offer to acquire the entire share capital of Dollar Thrifty Automotive Group Inc (Dollar Thrifty), a Tulsa-based provider of passenger car rental services, for USD 1.623 bil. Avis offered a twice sweetened USD 45.79 in cash and 0.6543 common shares per Dollar Thrifty share. Based on Avis's closing stock price of USD 10.92 on 27 July 2010, the last full trading day prior to the announcement, each Dollar Thrifty share was valued at USD 52.935. Previously, Avis offered a sweetened USD 40.75 in cash and 0.6543 common shares per Dollar Thrifty share, or a total value of USD 1.478 bil. Originally, Avis offered USD 39.25 in cash and 0.6543 common shares per Dollar Thrifty share, or a total value of USD 1.329 bil. Subsequently, Hertz Global Holdings Inc withdrew its plans to launch an unsolicited tender offer to acquire the entire share capital of Dollar.</t>
  </si>
  <si>
    <t>Interactive Data Corp</t>
  </si>
  <si>
    <t>Pvd finl market data svcs</t>
  </si>
  <si>
    <t>Interactive Data Corp SPV</t>
  </si>
  <si>
    <t>US - Interactive Data Corp SPV, a new company formed by Silver Lake and Warburg Pincus LLC acquired the entire share capital of Interactive Data Corp unit, a Bedford-based provider of financial market data services, from Financial Times Ltd, a unit of Pearson PLC and other undisclosed shareholders, for USD 33.86 in cash per share, or a total value of USD 3.33 bil, in a leveraged buyout transaction. Originally, in March 2010, Pearson, announced that it was seeking a buyer for its Interactive unit. McGraw Hills Cos, Apax Partners, Providence Equity Partners, TPG, Kohlberg Kravis Roberts &amp; Co and CVC, Advent International and Bain Capital, Hellman &amp; Friedman and Silver Lake Partners, were named potential bidders.</t>
  </si>
  <si>
    <t>US - Endo Pharmaceuticals Holdings Inc merged with HealthTronics Inc, an Austin- based manufacturer of medical devices, for USD 4.85 in cash per share or a total value of USD 216.145 mil, via tender offer.</t>
  </si>
  <si>
    <t>SenoRx Inc</t>
  </si>
  <si>
    <t>US - CR Bard Inc definitively merged with SenoRx Inc, an Irvine-based manufacturer and wholesaler of medical devices, for USD 11 in cash per share, or a total value of USD 192. 941 mil.</t>
  </si>
  <si>
    <t>Fidelity Natl Info Svcs SPV</t>
  </si>
  <si>
    <t>US - Fidelity National Information Services Inc SPV, a special purpose acquisition vehicle formed by an investor group, comprised of Blackstone Group LP, Thomas H Lee Partners LP and TPG Capital LP, discontinued its rumored plans to acquire the entire share capital of Fidelity National Information Services Inc, a Jacksonville- based provider of financial data processing services, in a leveraged buyout transaction. Terms were not disclosed but, according to people familiar with the transaction, the deal was valued at an estimated USD 10 bil.</t>
  </si>
  <si>
    <t>inVentiv Health Inc</t>
  </si>
  <si>
    <t>Pvd sales,mktg svcs</t>
  </si>
  <si>
    <t>US - Thomas H Lee Partners LP, a unit of Thomas H Lee Co, definitively acquired the entire share capital of inVentiv Health Inc, a Somerset-based provider of sales and marketing services, for USD 26 in cash per share, or a total value of USD 888. 556 mil, in a leveraged buyout transaction. Originally, in March 2010, inVentiv Health announced that it was seeking a buyer for the company. BC Partners, Genstar Capital, Thomas H. Lee Partners and Welsh, Carson, Anderson &amp; Stowe were named potential bidders.</t>
  </si>
  <si>
    <t>Stanley Inc</t>
  </si>
  <si>
    <t>Pvd sys integration svcs</t>
  </si>
  <si>
    <t>US - CGI Group Inc of Canada acquired the entire share capital of Stanley Inc, an Arlington-based provider of systems integration and professional services, via a tender offer for USD 37.5 in cash per share, or a total value of USD 940.054 mil. Earlier, CGI completed its tender offer for Stanley by accepting 22.557 mil common shares, or 93.679% of Stanley's share capital.</t>
  </si>
  <si>
    <t>Atlantic Bancgroup Inc</t>
  </si>
  <si>
    <t>Jacksonville Bancorp Inc,FL</t>
  </si>
  <si>
    <t>US - Jacksonville Bancorp Inc (Jacksonville) merged with Atlantic BancGroup Inc (Atlantic), a Jacksonville Beach-based commercial bank, in a stock swap transaction valued at amended USD 2.77 mil. Jacksonville offered USD 0.67 in cash and 0.2 common shares per Atlantic share. Originally, Jacksonville offered USD 0.65 in cash and 0.2 common shares per Atlantic share. Based on Jacksonville's closing stock price of USD 7.75 on 17 September 2010, the last full trading day prior to the amendment of terms, each Atlantic share was valued at USD 2.22. The transaction was to include Oceanside Bank.</t>
  </si>
  <si>
    <t>CPI International Inc</t>
  </si>
  <si>
    <t>Mnfr microwave,control equip</t>
  </si>
  <si>
    <t>US - Comtech Telecommunications Corp (Comtech) withdrew its definitive agreement to acquire the entire share capital of CPI International Inc (CPI), a Palo Alto-based manufacturer of microwave and radio frequency equipment, in a transaction valued at USD 272.767 mil, subject to a collar agreement. Comtech offered USD 9 in cash and 0. 2382 common shares per CPI share. Based on Comtech's closing stock price of USD USD 31.06 on 07 May 2010, the last full trading day prior to the announcement, each CPI share was valued at USD 7.398.</t>
  </si>
  <si>
    <t>Rock of Ages Corp</t>
  </si>
  <si>
    <t>Mnfr,ret granite memorials</t>
  </si>
  <si>
    <t>Swenson Granite Co LLC</t>
  </si>
  <si>
    <t>Quarry,cut,ret granite</t>
  </si>
  <si>
    <t>US - Swenson Granite Co LLC (Sweson) definitively acquired the entire share capital of Rock of Ages Corp, a Graniteville-based manufacturer and retailer of granite memorials, for a sweetened USD 5.25 in cash per share, or a total value of USD 24.554 mil. Originally, Sweson offered USD 4.38 in cash per share, or a total value of USD 20.485 mil.</t>
  </si>
  <si>
    <t>US - Mill Road Capital LP acquired the entire share capital of Rubio's Restaurants Inc, a Carlsbad- based owner and operator of Mexican restaurants, for USD 8.7 in cash per share or a total value of USD 87.306 mil.</t>
  </si>
  <si>
    <t>Sheffield Acquisition Corp</t>
  </si>
  <si>
    <t>Dvlp buss mgmt software</t>
  </si>
  <si>
    <t>US - Sheffield Acquisition Corp (Sheffield), a wholly- owned unit of Systeme Anwendungen Produkte AG {SAP AG}'s SAP America Inc subsidiary, acquired the entire share capital of Sybase Inc, a Dublin-based developer of enterprise and mobile software, for USD 65 in cash per share, or a total value of USD 5.959 bil. Earlier, Sheffield completed its tender offer for Sybase by accepting 80.93 mil shares, or 92.1% of Sybase's common shares outstanding. The offer was conditioned upon at least a majority of Sybase's shares being tendered on a fully diluted basis.</t>
  </si>
  <si>
    <t>Biosphere Medical Inc</t>
  </si>
  <si>
    <t>Mnfr medical devices</t>
  </si>
  <si>
    <t>Merit Medical Systems Inc</t>
  </si>
  <si>
    <t>US - Merit Medical Systems Inc acquired the entire share capital of Biosphere Medical Inc, a Rockland-based manufacturer and wholesaler of medical devices, for USD 4. 38 in cash per share, or a total value of USD 89.439 mil.</t>
  </si>
  <si>
    <t>First Resource Bank</t>
  </si>
  <si>
    <t>Continental Bank Holdings Inc</t>
  </si>
  <si>
    <t>US - Continental Bank Holdings Inc agreed to merge with First Resource Bank, for an estimated USD 8 mil.</t>
  </si>
  <si>
    <t>Double-Take Software Inc</t>
  </si>
  <si>
    <t>Dvlp data protection software</t>
  </si>
  <si>
    <t>Vision Solutions Inc</t>
  </si>
  <si>
    <t>Pvd data mgmt svcs</t>
  </si>
  <si>
    <t>US - Vision Solutions Inc, a unit of Thoma Cressey Bravo Inc, acquired the entire share capital of Double-Take Software Inc (Double-Take), a Southborough-based developer of data protection software, for USD 10.55 in cash per share, or a total value of USD 223.147 mil. Originally, in April 2010, Double-Take announced that it was seeking a buyer for the company.</t>
  </si>
  <si>
    <t>EF Johnson Technologies Inc</t>
  </si>
  <si>
    <t>Mnfr wireless commun prod</t>
  </si>
  <si>
    <t>FP-EF Holding Co Inc</t>
  </si>
  <si>
    <t>US - FP-EF Holding Co Inc (FP- EF), a unit of Francisco Partners LP, acquired the entire share capital of EF Johnson Technologies Inc, an Irving-based manufacturer of wireless communications products, for a sweetened USD 1.5 in cash per share, or a total value of USD 39.775 mil, in a leveraged buyout transaction. Originally, FP- EF offered USD 1.05 in cash per share or a total value of USD 27.843 mil.</t>
  </si>
  <si>
    <t>GLG Partners Inc</t>
  </si>
  <si>
    <t>Pvd investment management svcs</t>
  </si>
  <si>
    <t>Man Group PLC</t>
  </si>
  <si>
    <t>US - Man Group PLC (Man) of the UK acquired the entire share capital of GLG Partners Inc (GLG), a New York-based provider of investment management services, in a transaction valued at USD 1. 544 bil, via a tender offer. The consideration consisted of USD 4.5 in cash per share, or a total value of USD 1.021 bil, for the 60.2% interest, and Man offered 1.0856 ordinary shares for every GLG share, for the remaining 39. 8% stake held by Noam Gottesman, Pierre Lagrange, and Emmanuel Roman. Based on Man's closing stock price of USD 3.22 on 14 May 2010, the last full trading day prior to the announcement, each GLG share was valued at USD 3.496.</t>
  </si>
  <si>
    <t>Pactiv Corp</t>
  </si>
  <si>
    <t>Mnfr,whl food pkg prod</t>
  </si>
  <si>
    <t>US - Apollo Global Management LLC was rumored to be planning to acquire the entire share capital of Pactiv Corp, a Lake Forest- based manufacturer and wholesaler of food packaging products. The Current status of this deal is unknown.</t>
  </si>
  <si>
    <t>Universal Health Services Inc</t>
  </si>
  <si>
    <t>Own,operate hospitals,centers</t>
  </si>
  <si>
    <t>US - Universal Health Services Inc (UHS) acquired the entire share capital of Psychiatric Solutions Inc (PSI), a Franklin-based owner and operator of psychiatric hospitals, for USD 33.75 in cash per share, or a total value of USD 1.965 bil. Originally, on 16 April 2010, PSI is rumored to be seeking a buyer for the company. UHS was named as a potential bidder.</t>
  </si>
  <si>
    <t>Virtual Radiologic Corp</t>
  </si>
  <si>
    <t>Provide teleradiology services</t>
  </si>
  <si>
    <t>Viking Acquisition Corp</t>
  </si>
  <si>
    <t>US - Viking Acquisition Corp, a special purpose vehicle formed by Viking Holdings LLC, a unit of Providence Equity Partners LLC, acquired the entire share capital of Virtual Radiologic Corp, an Eden Prairie-based provider of teleradiology services, for USD 17.25 in cash per share, or a total value of USD 280.639 mil, in a leveraged buyout transaction.</t>
  </si>
  <si>
    <t>Gentiva Health Services Inc</t>
  </si>
  <si>
    <t>Pvd home healthcare services</t>
  </si>
  <si>
    <t>US - Gentiva Health Services Inc acquired the entire share capital of Odyssey Healthcare Inc, a Dallas-based provider of home healthcare services, for USD 27 in cash per share, or a total value of USD 923. 811 mil.</t>
  </si>
  <si>
    <t>US - Kearny Financial Corp, a unit of Kearny Mutual Holding Co, acquired the entire share capital of Oakhurst-based Central Jersey Bancorp, a bank holding company, for USD 7.5 in cash per share, or a total value of USD 69.427 mil.</t>
  </si>
  <si>
    <t>Woori Fin Hldgs Co Ltd</t>
  </si>
  <si>
    <t>US - Woori Finance Holdings Co Ltd (Woori) of South Korea withdrew its agreement to acquire a 51% interest, or 26. 113 mil common shares, in Hanmi Financial Corp (Hanmi), a Los Angeles-based bank holding company, for USD 240 mil. Originally, Woori was rumored to be planning to acquire a 51% interest, or 26. 113 mil common shares in Hanmi.</t>
  </si>
  <si>
    <t>COV Delaware Corp</t>
  </si>
  <si>
    <t>US - COV Delaware Corp (COV), a wholly-owned unit of Covidien Group Sarl subsidiary of Covidien PLC's Covidien International Finance SA unit, acquired the entire share capital of ev3 Inc (ev3), a Plymouth-based manufacturer and wholesaler of medical instruments, from Warburg Pincus Equity Partners LP (24%) and other shareholders, for USD 22.5 per share, or a total value of USD 2.692 bil. Earlier, COV completed its tender offer for ev3 by accepting 100.814 mil shares, or 87.68% of ev3's common shares outstanding. The offer was conditioned upon at least 90% of ev3's shares being tendered on a fully-diluted basis.</t>
  </si>
  <si>
    <t>Mediacom Communications Corp</t>
  </si>
  <si>
    <t>Jmc Communications LLC</t>
  </si>
  <si>
    <t>Miscellaneous Intermediation</t>
  </si>
  <si>
    <t>US - Jmc Communications LLC acquired the remaining 60.04% interest plus options, or 40. 902 mil Class A common shares and 1.815 mil options, which it did not already own, in Mediacom, a Middletown-based provider of cable television services, via a tender offer, for a sweetened USD 8.75 in cash per share, or a total value of USD 360.616 mil, in a leveraged buyout transaction. Originally, Rocco withdrew its plans to launch an unsolicited tender offer to acquire the remaining 60.04% interest in Mediacom, for USD 6 in cash per share, or a total value of USD 248.135 mil.</t>
  </si>
  <si>
    <t>US - In 1 June 2010, Blackstone Group LP was rumored to be planning to acquire the entire share capital of RadioShack Corp, a Fort Worth-based retailer of electronic products, via an auction, in a leveraged buyout transaction. The Current status of this deal is unknown.</t>
  </si>
  <si>
    <t>DivX Inc</t>
  </si>
  <si>
    <t>Sonic Solutions</t>
  </si>
  <si>
    <t>Develop digital media software</t>
  </si>
  <si>
    <t>US - Sonic Solutions LLC (Sonic), acquired the entire share capital of DivX Inc (DivX), a San Diego-based developer of Internet-based video content software, in a stock swap transaction valued at USD 323.323 mil. Sonic offered USD 3.75 in cash and 0.514 common share per DivX share. Based on Sonic's closing stock price of USD 9. 831 on 1 June 2010, the last full trading day prior to the announcement, each DivX share was valued at USD 9.831.</t>
  </si>
  <si>
    <t>CDI Corp</t>
  </si>
  <si>
    <t>Pvd professional staffing svcs</t>
  </si>
  <si>
    <t>US - CDI Corp withdrew its hostile plans to acquire the entire share capital of RCM Technologies Inc, a Pennsauken-based provider of business and technology solutions services, for USD 5. 2 in cash per share, or a total value of USD 67.596 mil.</t>
  </si>
  <si>
    <t>SonicWALL Inc</t>
  </si>
  <si>
    <t>PSM Merger Sub Inc</t>
  </si>
  <si>
    <t>US - PSM Merger Sub Inc, a wholly-owned unit of Thoma Bravo Fund IX LP's and Ontario Teachers Pension Plan's {OTPP} PSM Holdings 2 Inc subsidiary, merged with SonicWALL Inc, a San Jose- based developer of Internet security software, for USD 11. 5 in cash per share, or a total value of USD 633.642 mil.</t>
  </si>
  <si>
    <t>OMNI Energy Services Corp</t>
  </si>
  <si>
    <t>Provide oil,gas field expl svc</t>
  </si>
  <si>
    <t>US - Wellspring Capital Management LLC acquired the entire share capital of OMNI Energy Services Corp, a Carencro-based provider of oil and gas field exploration services, for USD 2.75 in cash per share, or a total value of USD 66.402 mil, in a leveraged buyout transaction.</t>
  </si>
  <si>
    <t>Talecris Biotherapeutics Hldg</t>
  </si>
  <si>
    <t>Grifols SA</t>
  </si>
  <si>
    <t>US - Grifols SA of Spain acquired the entire share capital of Talecris Biotherapeutics Holdings Corp (Talecris), a Research Triangle Park-based biopharmaceutical company, from Cerberus Capital Management LP and other undisclosed shareholders, for a sweetened USD 3.56 bil. Grifols offered USD 19 in cash and 0.6485 new non voting share per Talecris share. Previously, Grifols offered USD 19 in cash per share and the issuance of 0. 641 new non voting shares. Based on Grifols' closing stock price of USD 12.68 on 04 November 2010, the last full trading day prior to the announcement of the terms, each Talecris share was valued at USD 27.223. Originally, Grifols was rumored to be planning to acquire Talecris.</t>
  </si>
  <si>
    <t>Allscripts-Misys Healthcare</t>
  </si>
  <si>
    <t>US - Allscripts-Misys Healthcare Solutions Inc (Allscripts), a majority- owned unit Misys PLC (Misys), acquired the entire share capital of Eclipsys Corp, an Atlanta-based developer of clinical, revenue cycle and performance management software, in a stock swap transaction valued at USD 1. 305 bil. Allscripts offered 1. 2 common shares per Eclipsys share. Based on Allscripts's closing stock price of USD 18. 42 on 08 June 2010, the last full trading day prior to the announcement, each Eclipsys share was valued at USD 22. 104. Concurrently, Allscripts authorized the repurchase of up to 24.4 mil common shares, or about 16.69% of the company's share capital, and was granted an option to repurchase up to 5.3 mil common shares, or about 3.63% of the company's share capital from Misys.</t>
  </si>
  <si>
    <t>Rewards Network Inc</t>
  </si>
  <si>
    <t>Pvd loyalty,rewards services</t>
  </si>
  <si>
    <t>US - Equity Group Investments LLC definitively acquired the remaining 85.76% interest or 7.561 mil common shares, in Rewards Network Inc, a Chicago-based provider of loyalty and rewards services, for a sweetened USD 13.75 in cash per share, or a total value of USD 103.958 mil, via tender offer in a leveraged buyout transaction. On completion, Rewards Network will be delisted from the NASDAQ Stock Market. Originally, Equity Group offered USD 13.5 per share in cash, or a total value of USD 102.068 mil.</t>
  </si>
  <si>
    <t>Life Quotes Inc</t>
  </si>
  <si>
    <t>Pvd consumer info svcs</t>
  </si>
  <si>
    <t>LQ Acquisition Inc</t>
  </si>
  <si>
    <t>US - LQ Acquisition Inc acquired the remaining 69% interest, or 4.67 mil common shares, in Life Quotes Inc, a Darien-based provider of consumer information services, via a tender offer for USD 4 per share, or a total value of USD 18.68 mil. The offer was conditioned upon at least 90% of Insure's shares being tendered.</t>
  </si>
  <si>
    <t>PMA Capital Corp</t>
  </si>
  <si>
    <t>Old Republic Intl Corp</t>
  </si>
  <si>
    <t>US - Old Republic International Corp (Old) acquired the entire share capital of PMA Capital Corp (PMA), a Blue Bell-based insurance holding company, in a stock swap transaction valued at USD 229.028 mil, subject to a collar agreement. Old offered 0.55 common shares for every PMA common share. Based on Old's closing stock price of USD 12.91 on 9 Jun 2010, the last full trading day prior to the announcement, each PMA share was valued at USD 7.101.</t>
  </si>
  <si>
    <t>Virage Logic Corp</t>
  </si>
  <si>
    <t>US - Synopsys Inc acquired the entire share capital of Virage Logic Corp, a Fremont- based manufacturer of semiconductor intellectual property technology platforms, for USD 12 in cash per share, or a total value of USD 324. 89 mil.</t>
  </si>
  <si>
    <t>Buckeye Partners LP</t>
  </si>
  <si>
    <t>US - Buckeye Partners LP merged with Buckeye GP Holdings LP (Buckeye GP), a Breinigsville-based provider of oil and gas distribution services, in a stock swap transaction valued at USD 1. 139 bil. Buckeye Partners offered 0.705 common shares per Buckeye GP share. Based on Buckeye Partners's closing stock price of USD 58.17 on 10 June 2010, the last full trading day prior to the announcement, each Buckeye GP share was valued at USD 41.01. On completion, Buckeye GP's shares were delisted from the New York Stock Exchange.</t>
  </si>
  <si>
    <t>Medical Nutrition USA Inc</t>
  </si>
  <si>
    <t>Mnfr,whl medicinal prod</t>
  </si>
  <si>
    <t>Danone SA</t>
  </si>
  <si>
    <t>Produce,wholesale dairy products</t>
  </si>
  <si>
    <t>US - Danone SA of France acquired the entire share capital of Medical Nutrition USA Inc, an Englewood-based manufacturer and wholesaler of medicinal products, for USD 62 mil in cash.</t>
  </si>
  <si>
    <t>Mobius Subsidiary Corp</t>
  </si>
  <si>
    <t>US - Mobius Subsidiary Corp (Mobius), a unit of Nippon Telegraph &amp; Telephone Corp {NTT}'s majority-owned NTT Data Corp subsidiary, acquired the entire share capital of Intelligroup Inc (Intelligroup), a Princeton- based provider of information technology services, via a tender offer for USD 4.65 in cash per share, or a total value of USD 199.294 mil. The offer was conditioned upon at least a majority of Intelligroup's shares being tendered n a fully-diluted basis.</t>
  </si>
  <si>
    <t>Certara Corp</t>
  </si>
  <si>
    <t>US - Certara Corp (Certara) withdrew its plans to acquire the entire share capital of Symyx Technologies Inc (Symyx) , a Santa Clara-based developer of scientific business software, for a sweetened USD 5.75 per share, or a total value of USD 200. 053 mil. Originally, Certara offered USD 6.75 per share, or a total value of USD 234. 845 mil. Previously, Accelrys Inc merged with Symyx.</t>
  </si>
  <si>
    <t>Somanetics Corp</t>
  </si>
  <si>
    <t>Mnfr,whl med monitoring equip</t>
  </si>
  <si>
    <t>Mnfr medical instrument</t>
  </si>
  <si>
    <t>US - Covidien PLC of Ireland entired share capital of Somanetics Corp, a Troy-based manufacturer and wholesaler of medical monitoring equipment, for USD 25 in cash per share, or a total value of USD 298.735 mil.</t>
  </si>
  <si>
    <t>American Italian Pasta Co</t>
  </si>
  <si>
    <t>Produce,whl dry pasta</t>
  </si>
  <si>
    <t>US - Ralcorp Holdings Inc (Ralcorp) acquired the entire share capital of American Italian Pasta Co (American), a Kansas City-based producer and wholesaler of dry pasta, via a tender offer for USD 53 in cash per share, or a total value of USD 1.163 bil. The offer was conditioned upon at least a majority of American's shares being tendered. Concurrently, Ralcorp acquired JT Bakeries Inc and North American Baking Ltd.</t>
  </si>
  <si>
    <t>Valeant Pharmaceuticals Intl</t>
  </si>
  <si>
    <t>Manufacture,wholesale specialty pharm prod</t>
  </si>
  <si>
    <t>Biovail Corp</t>
  </si>
  <si>
    <t xml:space="preserve">US - Biovail Corp (Biovail) of Canada merged with Valeant Pharmaceuticals International Inc (Valeant), an Aliso Viejo- based manufacturer of specialty pharmaceutical products, in a stock swap transaction valued at USD 3. 717 bil. Biovail offered USD 16.77 in cash and 1.7809 common shares per Valeant share. On completion, Biovail issued 134.805 mil common shares, valued at USD 1.968 bil. The deal was valued based on Biovail's closing stock price of USD 14.6 on 18 June 2010, the last full trading day prior to the announcement. Each Valeant share was valued at USD 42.75. On completion, the merged entity was to be named Valeant. This transaction is structured as a tax inversion. </t>
  </si>
  <si>
    <t>Beo Bancorp,Heppner,Oregon</t>
  </si>
  <si>
    <t>US - Community Bancshares Inc withdrew its plans to acquire the entire share capital of Heppner-based BEO Bancorp.</t>
  </si>
  <si>
    <t>Alloy Inc</t>
  </si>
  <si>
    <t>Pvd media,marketing services</t>
  </si>
  <si>
    <t>US - An investor group led by ZelnickMedia Corp and including the senior management of Alloy Inc (Alloy), acquired the entire share capital of Alloy, a New York-based provider of media, marketing and online merchandising services, for USD 9.8 in cash per share, or a total value of USD 127.235 mil.</t>
  </si>
  <si>
    <t>Providence Equity Partners LLC</t>
  </si>
  <si>
    <t>US - Providence Equity Partners LLC was rumored to be planning to acquire the entire share capital of Hasbro Inc, a Pawtucket-based manufacturer of toys, games, and infant products. The Current status of this deal is unknown.</t>
  </si>
  <si>
    <t>JBS SA</t>
  </si>
  <si>
    <t>Beef Cattle Ranching and Farming</t>
  </si>
  <si>
    <t>US - JBS SA of Brazil was rumored to be planning to acquire the entire share capital of Smithfield Foods Inc, a producer and wholesaler of pork meat products. The Current status of this deal is unknown.</t>
  </si>
  <si>
    <t>Wainwright Bank &amp; Tr,Boston,MA</t>
  </si>
  <si>
    <t>US - Eastern Bank Corp, Boston, Massachusetts, acquired the entire share capital of Wainwright Bank &amp; Trust Co, a Boston-based provider of commercial banking services, for USD 19 in cash per share, or a total value of USD 139.472 mil.</t>
  </si>
  <si>
    <t>Abraxis BioScience Inc</t>
  </si>
  <si>
    <t>US - Celgene Corp acquired the entire share capital of Abraxis BioScience Inc (Abraxis), a Los Angeles- based biotechnology company, for a total value of USD 3. 578 bil. Celgene offered USD 58 in cash and 0.2617 common shares per Abraxis share, and USD 650 mil in contingent value rights. Based on Celgene's closing stock price of USD 53.24 on 29 June 2010, the last full trading day prior to the announcement, each Abraxis share was valued at USD 71.933. Originally, in April 2010, Abraxis was rumored to be seeking a buyer for the company.</t>
  </si>
  <si>
    <t>Argon ST Inc</t>
  </si>
  <si>
    <t>Mnfr defense commun sys</t>
  </si>
  <si>
    <t>US - Boeing Co acquired the entire share capital of Argon ST Inc (Argon), a Fairfax- based manufacturer of defense communication systems, for USD 34.5 in cash per share, or a total value of USD 750. 327 mil. Earlier, Boeing completed its tender offer for Argon by accepting 20.056 mil shares, or 92.22% of Argon's common shares outstanding. Originally, in January 2010, Argon was rumored to be seeking a buyer for the company. Boeing Co, BAE Systems PLC, Raytheon Co and L-3 Communications Holdings were named potential bidders.</t>
  </si>
  <si>
    <t>US - Sanofi-Aventis SA (Sanofi) of France was rumored to be planning to acquire the entire share capital of Allergan Inc, an Irvine-based manufacturer of eye care, neuromodulator and skin care products. Concurrently, Sanofi was rumored to be planning to acquire the entire share capital of Biogen Idec Inc. Terms were not disclosed, but according to sources close to the situation, the combined values are estimated at USD 10 bil. The Current status of this deal is unknown.</t>
  </si>
  <si>
    <t>US - Sanofi-Aventis SA (Sanofi) of France was rumored to be planning to acquire the entire share capital of Biogen Idec Inc, a Cambridge-based biotechnology company. Concurrently, Sanofi was rumored to be planning to acquire the entire share capital of Allergan Inc. Terms were not disclosed, but according to sources close to the situation, the combined values are estimated at USD 10 bil. The Current status of this deal is unknown.</t>
  </si>
  <si>
    <t>US - Doctors Co acquired the entire share capital of American Physicians Capital Inc, an East Lansing-based provider of medical professional insurance services, for USD 41.5 in cash per share, or a total value of USD 395.254 mil.</t>
  </si>
  <si>
    <t>First Franklin Corp</t>
  </si>
  <si>
    <t>Lenox Wealth Management Inc</t>
  </si>
  <si>
    <t>Provide wealth management svcs</t>
  </si>
  <si>
    <t>US - Lenox Wealth Management Inc planned to launch a tender offer to acquire the entire share capital of First Franklin Corp, a Cincinnati- based savings and loan holding company.</t>
  </si>
  <si>
    <t>Alps Merger Corp</t>
  </si>
  <si>
    <t>US - Alps Merger Corp (Alps), a special purpose acquisition vehicle formed by Aon Corp (Aon), merged with Hewitt Associates LLC (Hewitt), a Lincolnshire-based provider of human resource consulting and outsourcing services, for USD 4.804 bil. Alps offered USD 25.61 in cash and 0.6362 Aon common shares per Hewitt share. Based on Aon's closing stock price of USD 38.34 on 09 July 2010, the last full trading day prior to the announcement, each Hewitt share was valued at USD 50. 002.</t>
  </si>
  <si>
    <t>Micrus Endovascular Corp</t>
  </si>
  <si>
    <t>US - Johnson &amp; Johnson acquired the entire share capital of Micrus Endovascular Corp, a San Jose- based manufacturer and wholesaler of both implantable and disposable medical devices, for USD 23.4 in cash per share, or a total value of USD 432.219 mil.</t>
  </si>
  <si>
    <t>Playboy Enterprises Inc</t>
  </si>
  <si>
    <t>Icon Merger Sub Inc</t>
  </si>
  <si>
    <t>US - Icon Merger Sub Inc, a wholly-owned unit of Icon Acquisition Holdings LP acquired the remaining 66.23% interest, or 22.194 mil common shares, which he did not already own, in Playboy Enterprises Inc (Playboy), a provider of adult entertainment services, for a sweetened USD 6.15 per share, or a total value of USD 136. 493 mil, via a tender offer. Originally, Hugh Hefner offered USD 5.5 in cash per share. Subsequently, FriendFinder Networks Inc planned to launch a challenging offer to acquire the entire share capital of Playboy. Originally, In February 2009, Playboy Enterprises Inc, announced that it was seeking a buyer for the company. Virgin Group Ltd of the UK, and Iconix Brand Group Inc were named potential bidders.</t>
  </si>
  <si>
    <t>Tyco Electronics Minnesota Inc</t>
  </si>
  <si>
    <t>US - Tyco Electronics Minnesota Inc (Tyco), a wholly-owned unit of Tyco Electronics Ltd, acquired the entire share capital of ADC Telecommunications Inc (ADC), an Eden Prairie-based manufacturer and wholesaler of communications equipment, for USD 12.75 in cash per share, or a total value of USD 1.237 bil. Earlier, Tyco completed its tender offer for ADC. The transaction was conditioned upon at least 90% of the shares being tendered, on a fully-diluted basis.</t>
  </si>
  <si>
    <t>First Commerce Bancorp Inc</t>
  </si>
  <si>
    <t>Grandpoint Capital Inc</t>
  </si>
  <si>
    <t>Bank holding comapany</t>
  </si>
  <si>
    <t>US - Grandpoint Capital Inc acquired the entire share capital of First Commerce Bancorp Inc, an Encino-based bank holding company, for a sweetened USD 4.703 in cash per share, or a total value of USD 43.897 mil. Originally, Grandpoint offered USD 4.5 in cash per share, or a total value of USD 42.002 mil.</t>
  </si>
  <si>
    <t>Various Inc</t>
  </si>
  <si>
    <t>US - FriendFinder Networks Inc withdrew its plans to launch an unsolicited challenging offer to acquire the entire share capital of Playboy Enterprises Inc (Playboy), a Chicago-based provider of adult entertainment services, for USD 210 mil. Previously, Hugh Hefner planned to acquire remaining 31% stake, which it did not already own, in Playboy.</t>
  </si>
  <si>
    <t>LSB Corp,North Andover,MA</t>
  </si>
  <si>
    <t>US - People's United Financial Inc (People's) acquired the entire share capital of LSB Corp, a North Andover-based bank holding company, for USD 21 in cash per share, or a total value of USD 94.64 mil. Concurrently, People's acquired the entire share capital of Smithtown Bancorp Inc, Hauppage, New York.</t>
  </si>
  <si>
    <t>US - Carlyle Group LLC acquired the entire share capital of NBTY Inc, a Ronkonkoma-based manufacturer and wholesaler of nutritional supplements, for USD 55 in cash per share, or a total value of USD 3.64 bil, in a leveraged buyout transaction.</t>
  </si>
  <si>
    <t>NYMAGIC Inc</t>
  </si>
  <si>
    <t>ProSight Specialty Insurance</t>
  </si>
  <si>
    <t>US - ProSight Specialty Insurance Holdings Inc acquired the entire share capital of NYMAGIC Inc, a New York-based insurance holding company, for USD 25.75 in cash per share, or a total value of USD 218.862 mil.</t>
  </si>
  <si>
    <t>Smithtown Bancorp Inc,NY</t>
  </si>
  <si>
    <t>US - People's United Financial Inc (People's) acquired the entire share capital of Smithtown Bancorp Inc, a Hauppauge-based bank holding company, in a stock swap transaction valued at USD 60.153 mil. The consideration consisted of USD 30 mil in cash and the issuance of 2.14 mil People's common shares valued at USD 31.153 mil. The share were valued based on People's closing stock price of USD 14. 09 on 14 July 2010, the last full trading day prior to the announcement. Concurrently, People's acquired the entire share capital of LSB Corp, Andover, Massachusetts.</t>
  </si>
  <si>
    <t>ATC Technology Corp</t>
  </si>
  <si>
    <t>Pvd logistics,remnfg svcs</t>
  </si>
  <si>
    <t>GenCo Distribution System Inc</t>
  </si>
  <si>
    <t>Provide logistics services</t>
  </si>
  <si>
    <t>US - GENCO Distribution System merged with ATC Technology Corp, a Downers Grove-based provider of logistics and remanufacturing services, for USD 25 in cash per share, or a total value of USD 510.608 mil.</t>
  </si>
  <si>
    <t>JTH Tax Inc</t>
  </si>
  <si>
    <t>Pvd tax preparation svcs</t>
  </si>
  <si>
    <t>US - JTH Tax Inc, doing business as Liberty Tax Service, withdrew its plans to launch an unsolicited offer to merge with H&amp;R Block Inc, a Kansas City-based provider of tax and financial advisory services.</t>
  </si>
  <si>
    <t>Cypress Bioscience Inc</t>
  </si>
  <si>
    <t>Ramius Value &amp; Opportunity LLC</t>
  </si>
  <si>
    <t>Pvd invest advisory services</t>
  </si>
  <si>
    <t>US - Ramius Value &amp; Opportunity Advisors LLC (Ramius), a unit of Cowen Group Inc's Ramius LLC subsidiary, via an unsolicited tender offer acquired the remaining 90.1% interest, or 34.576 mil common shares, which it did not already own in, Cypress Bioscience Inc, a San Diego- based biotechnology company, for a thrice sweetended USD 6. 5 in cash per share, or a total value of USD 224.744 mil. Previously, Ramius offered a sweetened USD 5.5 in cash per share, or a total value of USD 190.168 mil. Previously, Ramius offered a sweetened USD 4.25 in cash per share, or a total value of USD 146.948 mil. Originally, Ramius offered USD 4 in cash per share, or a total value of USD 138.304 mil.</t>
  </si>
  <si>
    <t>Icahn Partners LP</t>
  </si>
  <si>
    <t>US - Icahn Partners LP withdrew its unsolicited tender offer to acquire the remaining 66.13% interest, or 78.105 mil common shares, which it did not already own, in Lions Gate Entertainment Corp, a Santa Monica-based provider of motion picture production, television programming, home entertainment, family entertainment, video-on- demand and music content services, for a sweetened USD 7.5 in cash per share, or a total value of USD 585.788 mil. Previously, Carl offered USD 6.5 in cash per share, or a total value of USD 507.683 mil.</t>
  </si>
  <si>
    <t>AmeriCredit Corp</t>
  </si>
  <si>
    <t>Pvd automotive financing svcs</t>
  </si>
  <si>
    <t>General Motors Co</t>
  </si>
  <si>
    <t>Mnfr,wholesale cars,trucks</t>
  </si>
  <si>
    <t>US - General Motors Co, a unit of state-owned United States Department of the Treasury's Vehicle Acquisitions Holdings LLC subsidiary, acquired the entire share capital of AmeriCredit Corp, a Fort Worth-based provider of automotive financing services, from Leucadia National Corp (25.02%), Fairholme Capital Management LLC (24.24%), Columbia Wanger Asset Management LP (7.5%), and other undisclosed shareholders, for USD 24.5 in cash per share, or a total value of USD 3.314 bil.</t>
  </si>
  <si>
    <t>Bluelinx Holdings Inc</t>
  </si>
  <si>
    <t>US - Cerberus Capital Management LP (Cerberus) withdrew its tender offer to acquire the remaining 44.61% stake, or 14.577 mil common shares, which it did not already own, in Bluelinx Holdings Inc, an Atlanta- based wholesaler of building products, for a sweetened USD 4 in cash per share, or a total value of USD 58.308 mil, in a leveraged buyout transaction. Originally, Cerberus offered USD 3.4 in cash per share, or a total value of USD 49.562 mil.</t>
  </si>
  <si>
    <t>Southern Copper Corp</t>
  </si>
  <si>
    <t>US - Americas Mining Corp (AMC), a wholly-owned subsidiary of Grupo Mexico SAB de CV, withdrew its plans to acquire the remaining 20% stake, or 170 mil common shares, which it did not already own, in Southern Copper Corp (SCC), a Phoenix- based copper mining company, for USD 5.508 bil. The value was based on the 16.6% stake SCC shareholders would receive in AMC. AMC will have a total market value of USD 33.1 billion which include USD 5.9 bil of ASARCO assets, a wholly subsidiary of AMC, and USD 27.2 billion of SCC assets based on SCC's closing stock price of USD 32.05 on July 22, 2010, one day prior to announcement.</t>
  </si>
  <si>
    <t>American Oil &amp; Gas Inc</t>
  </si>
  <si>
    <t>Hess Corp</t>
  </si>
  <si>
    <t>Manufacture petroleum products</t>
  </si>
  <si>
    <t>US - Hess Corp (Hess) merged with American Oil &amp; Gas Inc (American), a Denver-based oil and gas exploration and production company, in a stock swap transaction valued at USD 440.705 mil. Hess offered 0.1373 common shares per American share. Based on Hess' closing stock price of USD 52.78 on 26 July 2010, the last full trading day prior to the announcement, each American share was valued at USD 7.247.</t>
  </si>
  <si>
    <t>China PharmaHub Corp</t>
  </si>
  <si>
    <t>Mnfr,whl pharm,healthcare prod</t>
  </si>
  <si>
    <t>World Wide Relics Inc</t>
  </si>
  <si>
    <t>Mnfr,whl costume,accessories</t>
  </si>
  <si>
    <t>US - World Wide Relics Inc (WRLC) merged with China PharmaHub Corp, a Diamond Bar- based manufacturer and wholesaler of pharmaceutical and healthcare products, in exchange for 13.767 mil WRLC new common shares valued at USD 13.905 mil. The shares were valued based on WRLC's closing stock price of USD 1. 01 on 27 July 2010, the last full trading day prior to the announcement. On completion, the new entity retained the China PharmaHub Corp name.</t>
  </si>
  <si>
    <t>Health Grades Inc</t>
  </si>
  <si>
    <t>Pvd healthcare ratings svcs</t>
  </si>
  <si>
    <t>Mountain Merger Sub Corp</t>
  </si>
  <si>
    <t>US - Mountain Merger Sub Corp (Mountain), a unit of Vestar Capital Partners V LP's Mountain Acquisition Holdings LLC subsidiary acquired an 86% interest or 30.025 mil ordinary shares in Health Grades Inc (Health), a Golden- based provider of healthcare ratings services, via tender offer for USD 8.2 per share, or a total value of USD 246. 207. Originally, Mountain agreed to acquire the entire share capital of Health.</t>
  </si>
  <si>
    <t>Express Delaware Merger Co</t>
  </si>
  <si>
    <t>US - Express Delaware Merger Co, a special purpose acquisition vehicle formed by SkyWest Inc's wholly-owned Atlantic Southeast Airlines Inc unit, acquired the entire share capital of ExpressJet Holdings Inc, a Houston-based provider of passenger airline services, for USD 6.75 in cash per share, or a total value of USD 114.521 mil.</t>
  </si>
  <si>
    <t>Semco Instruments Inc</t>
  </si>
  <si>
    <t>Mnfr,whl precision sensors</t>
  </si>
  <si>
    <t>TransDigm Group Inc</t>
  </si>
  <si>
    <t>Mnfr,whl aircraft components</t>
  </si>
  <si>
    <t>US - TransDigm Group Inc acquired the entire share capital of Semco Instruments Inc, a Valencia-based manufacturer and wholesaler of precision sensors, specialty electrical molded cables and wiring harnesses and assemblies, for an estimated USD 73.5 mil in cash.</t>
  </si>
  <si>
    <t>Comm Bancorp Inc</t>
  </si>
  <si>
    <t>US - FNB Corp (FNB) merged with Clarks Summit-based Comm Bancorp Inc (Comm), in a stock swap transaction valued at USD 67.82 mil. FNB offered USD 10 in cash per share and 3.45 common share per Comm common share. Based on FNB's closing stock price of USD 8. 5 on 6 August 2010, the last full trading day prior to the announcement, each Comm share was valued at USD 39.363.</t>
  </si>
  <si>
    <t>Inergy Holdings LP</t>
  </si>
  <si>
    <t>Wholesale,retail propane gas</t>
  </si>
  <si>
    <t>Inergy LP</t>
  </si>
  <si>
    <t>US - Inergy LP (Inergy LP) merged with Inergy Holdings LP (Inergy Holdings), a Kansas City-based wholesaler and retailer of propane gas, in a stock swap transaction valued at USD 2.068 bil. Inergy LP offered 0.77 common shares per Inergy Holdings share. Based on Inergy LP's closing stock price of USD 43. 37, on 06 August 2010, the last full trading day prior to the announcement, each Inergy Holdings share was valued at USD 33.395. On 08 November 2010, Inergy Holdings was delisted from the New York Stock Exchange.</t>
  </si>
  <si>
    <t>Penwest Pharmaceuticals Co</t>
  </si>
  <si>
    <t>US - Endo Pharmaceuticals Holdings Inc acquired the entire share capital of Penwest Pharmaceuticals Co, a Patterson-based manufacturer of specialty pharmaceuticals, via a tender offer for USD 5 in cash per share, or a total value of USD 159.733 mil. The offer was conditioned upon at least a majority of Penwest's shares being tendered.</t>
  </si>
  <si>
    <t>Superior Well Services Inc</t>
  </si>
  <si>
    <t>Provide oil and gas services</t>
  </si>
  <si>
    <t>Diamond Acquisition Corp</t>
  </si>
  <si>
    <t>US - Diamond Acquisition Corp (Diamond), a new company formed by Nabors Industries Ltd, for the purpose of making an acquisition, acquired the entire share capital of Superior Well Services Inc, an Indiana- based provider of oil and gas services, via a tender offer, for USD 22.12 in cash per share, or a total value of USD 681.522 mil. Diamond received irrevocable undertakings to accept the offer with respect to 34% of the company's entire share capital.</t>
  </si>
  <si>
    <t>Seawell Ltd</t>
  </si>
  <si>
    <t>Oil,gas expl,prod,drilling co</t>
  </si>
  <si>
    <t>US - Seawell Ltd of the UK (Seawell), a unit of SeaDrill Ltd, merged with Allis- Chalmers Energy Inc (Allis), a Houston-based provider of oil and natural gas equipment and drilling services, for an estimated USD 890 mil. The consideration was to consist of USD 4.25 cash per share, or a total value of USD 307. 767 mil and the assumption of USD 582.233 mil in liabilities. Seawell offered a choice of 1.15 ordinary shares per Allis common share.</t>
  </si>
  <si>
    <t>Trubion Pharmaceuticals Inc</t>
  </si>
  <si>
    <t>Emergent BioSolutions Inc</t>
  </si>
  <si>
    <t>US - Emergent BioSolutions Inc (Emergent) acquired the entire share capital of Trubion Pharmaceuticals Inc (Trubion), a Seatlle-based biotechnology company, in a stock swap transaction valued at USD 130.177 mil. Emergent offered USD 18.98 in cash per share, 0.1641 common share for every Trubion common share and up to USD 38.7 mil in profit related payments. Based on 11 August 2010, the last full trading day prior to the announcement, each Trubion share was valued at USD 4.48.</t>
  </si>
  <si>
    <t>US - Blackstone Group LP withdrew its agreement to acquire the entire share capital of Dynegy Inc, a Houston-based electric utility company, for a sweetened USD 5 cash per share, or a total value of USD 602.999 mil, in a leveraged buyout transaction. Originally, Blackstone offered USD 4.5 in cash per share, or a total value of USD 542.699 mil. In a separate transaction, NRG Energy Inc definitively agreed to four natural gas- fired assets of Dynegy. The consummation of the merger transaction between Dynegy and Blackstone is contingent upon the closing of the Blackstone and NRG Energy transaction.</t>
  </si>
  <si>
    <t>Unica Corp</t>
  </si>
  <si>
    <t>Dvlp entrp mktg mgmt software</t>
  </si>
  <si>
    <t>US - International Business Machines Corp {IBM} acquired the entire share capital of Unica Corp, a Waltham-based developer of enterprise marketing management software, for USD 21 in cash per share, or a total value of USD 451. 76 mil.</t>
  </si>
  <si>
    <t>ICx Technologies Inc</t>
  </si>
  <si>
    <t>Mnfr,whl security products</t>
  </si>
  <si>
    <t>US - FLIR Systems Inc (FLIR) acquired the entire share capital of ICx Technologies Inc (ICx), an Arlington-based manufacturer and wholesaler of security products, for USD 7.55 in cash per share, or a total value of USD 263.734 mil. Earlier, FLIR completed its tender offer for ICx by accepting 32.684 mil shares, or 93.56% interest in ICx common shares outstanding. The offer was conditioned upon at least 62% of TI's shares being tendered.</t>
  </si>
  <si>
    <t>Prospect Medical Holdings Inc</t>
  </si>
  <si>
    <t>Pvd healthcare management svcs</t>
  </si>
  <si>
    <t>Ivy Merger Sub Corp</t>
  </si>
  <si>
    <t>US - Ivy Merger Sub Corp, a special purpose acquisition vehicle formed by Leonard Green &amp; Partners LP and a wholly-owned unit of Ivy Holdings Inc, acquired the entire share capital of Prospect Medical Holdings Inc, a Los Angeles-based provider of healthcare management services, for USD 362.47 mil, in a leveraged buyout transaction. The consideration consisted of USD 8.5 in cash per share, or a total of USD 177.384 mil, and the assumption of an estimated USD 158 mil in liabilities.</t>
  </si>
  <si>
    <t>Onex Corp</t>
  </si>
  <si>
    <t>US - Onex Corp of Canada acquired the remaining 75.1% interest, or 22.093 mil common shares, which it did not already own, in ResCare Inc, a Louisville-based provider of health and educational support services, via a tender offer for a sweetened USD 13.25 in cash per share, or a total value of USD 292.733 mil, in a leveraged buyout transaction. Originally, Onex offered USD 12.6 in cash per share, or a total value of USD 278.373 mil.</t>
  </si>
  <si>
    <t>3PAR Inc</t>
  </si>
  <si>
    <t>Mnfr info storage solutions</t>
  </si>
  <si>
    <t>US - Dell Inc (Dell) withdrew its agreement to acquire the entire share capital of 3PAR Inc (3PAR), a Fremont-based manufacturer of information storage solutions, via a tender offer, for a twice sweetened USD 27 in cash per share, or a total value of USD 1.872 bil. Previously, Dell offered a sweetened USD 24.3 in cash per share, or a total valued of USD 1.521 bil. Originally, Dell offered USD 18 in cash per share, or a total value of USD 1.127 bil. Subsequently, Hewlett-Packard Inc completed its challenging tender offer to acquire the entire share capital of 3PAR.</t>
  </si>
  <si>
    <t>US - Medtronic Inc acquired the entire share capital of Osteotech Inc, an Eatontown- based manufacturer and wholesaler of biologic products, for USD 6.5 in cash per share, or a total value of USD 117.825 mil.</t>
  </si>
  <si>
    <t>Reynolds Group Holdings Ltd</t>
  </si>
  <si>
    <t>Mnfr,whl packaging products</t>
  </si>
  <si>
    <t>US - Reynolds Group Holding Ltd, a unit of Rank Group Ltd, merged with Pactiv Corp, a Lake Forest-based manufacturer and wholesaler of food packaging products, for USD 33.25 in cash per share, or a total value of USD 4.517 bil. Originally, in May 2010, Pactiv was rumored to be seeking a buyer for the company and Georgia Pacific LLC, Rank Group and Koch Industries Inc were named potential bidders.</t>
  </si>
  <si>
    <t>Pharaoh Acquisition LLC</t>
  </si>
  <si>
    <t>US - Pharaoh Acquisition LLC, a special purpose acquisition vehicle formed by Marlin Equity Partners LLC (Marlin Equity), acquired the entire share capital of Phoenix Technologies Ltd (Phoenix), a Milpitas-based developer and wholesaler of systems software, for a twice sweetened USD 4.2 in cash per share, or a total value of USD 147.487 mil. Previously, Marlin Equity offered a sweetened USD 4.05 in cash per share, or a total value of USD 142.22 mil. Originally Marlin Equity offered USD 3. 85 in cash per share, or a total value of USD 135.197 mil. Concurrently, Gores Capital Partners III LP, a wholly-owned unit of The Gores Group LLC withdrew its plans to launch an unsolicited tender offer to acquire the entire share capital of Phoenix.</t>
  </si>
  <si>
    <t>Spectrum Brands Holdings Inc</t>
  </si>
  <si>
    <t>Harbinger Group Inc</t>
  </si>
  <si>
    <t>US - Harbinger Group Inc (Harbinger), a majority-owned unit of the Harbinger Capital Partners LLC (Harbinger Capital) wholly-owned subsidiary of Harbet Management Corp, definitively agreed to acquire a 54.4% interest, or 27.757 mil common shares, in Spectrum Brands Holdings Inc, a Madison-based manufacturer and wholesaler of batteries, from Harbinger Capital Partners Master Fund I Ltd, Harbinger Capital Partners Special Situations Fund LP, and Global Opportunities Breakaway Ltd, all wholly- owned units Harbinger Capital, in exchange for 119.9 mil Harbinger new ordinary shares.</t>
  </si>
  <si>
    <t>US - Arcellor Mittal NV of Luxembourg was rumored to be planning to acquire the entire share capital of United States Steel Corp, a Pittsburgh-based manufacturer and wholesaler of steel products. The Current status of this deal is unknown.</t>
  </si>
  <si>
    <t>Jefferson Acquisition Corp</t>
  </si>
  <si>
    <t>US - Jefferson Acquisition Corp, a wholly-owned unit of Intel Corp (Intel) merged with McAfee Inc (McAfee), a Santa Clara-based developer of network security software, for USD 48 in cash per share, or a total value of USD 7.828 bil. Upon completion, McAfee was to be owned by Intel.</t>
  </si>
  <si>
    <t>NewAlliance Bancshares Inc,CT</t>
  </si>
  <si>
    <t>US - First Niagara Financial Group Inc (First Niagara), Lockport, New York, merged with New Haven-based NewAlliance Bancshares Inc (NewAlliance), in a stock swap transaction valued at USD 1.447 bil. First Niagara offered a choice of 1.1 common shares, or USD 14.09 in cash or combination of both per NewAlliance shares, subject to proration whereby 86% of the total consideration was to be paid in common shares and the remaining 14% in cash. Based on First Niagara's closing stock price of USD 12.78 on 18 August 2010, the last full trading day prior to the announcement, each NewAlliance share was valued at USD 14.058.</t>
  </si>
  <si>
    <t>US - Hewlett-Packard Co (HP) completed its challenging tender offer to acquire the entire share capital of 3PAR Inc (3PAR), a Fremont-based manufacturer of information storage solutions, for a twice-sweetened USD 33 in cash per share, or a total value of USD 2.065 bil. Previously, HP offered USD 30 in cash per share or a total value of USD 1.878 bil. Originally, HP offered USD 24 in cash per share, or a total value of USD 1.502 bil. Subsequently, Dell Inc withdrew its agreement to acquire the entire share capital of 3PAR.</t>
  </si>
  <si>
    <t>Diamond Mgmt &amp; Tech</t>
  </si>
  <si>
    <t>Carbon Merger Subsidiary Inc</t>
  </si>
  <si>
    <t>US - Carbon Merger Subsidiary Inc, a special purpose acquisition vehicle formed by PricewaterhouseCoopers LLP {PwC}, acquired the entire share capital of Diamond Management &amp; Technology Consultants Inc, a Chicago- based provider of management consulting services, for USD 12.5 in cash per share, or a total value of USD 342.577 mil.</t>
  </si>
  <si>
    <t>California Oaks State Bk,CA</t>
  </si>
  <si>
    <t>California United Bk,Encino,CA</t>
  </si>
  <si>
    <t>US - California United Bank, Encino,California, (CUB) a unit of 1st Enterprise Bank, Los Angeles,California, acquired the entire share capital of California Oaks State Bank (California Oaks), a Thousan Oaks-based commercial bank, for a total USD 17.12 mil, subject to a collar agreement. CUB offered USD 11.458 cash per share or exchange ratio of 0.9278 CUB common share per California Oaks common share, subject to proration whereby 50% of the total consideration was to be paid in cash and the remaining 50% in common shares.</t>
  </si>
  <si>
    <t>Wesco Financial Corp</t>
  </si>
  <si>
    <t>Pvd furniture rental,ins svcs</t>
  </si>
  <si>
    <t>US - Berkshire Hathaway Inc (Berkshire) acquired the remaining 19.9% stake, or 1. 417 mil common shares, which it did not already own, in Wesco Financial Corp, a Pasadena-based provider of furniture rental, insurance and steel services, for an amended USD 385 in cash per share, or a total value of USD 545.437 mil. Originally, Berkshire offered USD 387.537 in cash per share.</t>
  </si>
  <si>
    <t>US - Manulife Financial Corp of Canada was rumored to be planning to acquire the entire share capital of Lincoln National Corp, a Radnor-based insurance company, The Current status of this deal is unknown.</t>
  </si>
  <si>
    <t>US - An investor group comprised of Riley Investment Partners LP, Riley Investment Management LLC, B Riley &amp; Co LLC, Bryant Riley, Lloyd I Miller III, Riley Investment Partners LP, and Telecom Global Inc, withdrew its unsolicited tender offer to acquire the entire share capital of WPCS International Inc, an Exton-based provider of communication and infrastructure services, for USD 3.5 in cash per share, or a total value of USD 24.343 mil.</t>
  </si>
  <si>
    <t>US - Sanofi-Aventis SA (Sanofi) of France completed its tender offer to acquire the entire share capital of Genzyme Corp (Genzyme), a Cambridge-based biotechnology company, for an estimated USD 23.899 bil. The consideration was to consist of a sweetened USD 74 in cash per share, or a total value of USD 20.163 bil, and up to USD 3.736 bil in contingent value rights. Originally, Sanofi launched a hostile tender offer to acquire the entire share capital of Genzyme for USD 69 in cash per share, or a total value of USD 18.828 bil.</t>
  </si>
  <si>
    <t>ADAM Inc</t>
  </si>
  <si>
    <t>Pvd consumer health info svcs</t>
  </si>
  <si>
    <t>US - Ebix Inc (Ebix) merged with ADAM Inc (ADAM), an Atlanta-based provider of online consumer health information services, in a stock swap transaction valued at USD 60.891 mil. Ebix offered 0.3122 common shares per ADAM share. Based on Ebix's closing stock price of USD 19.56 on 27 August 2010, the last full trading day prior to the announcement, each ADAM share was valued at USD 6.107.</t>
  </si>
  <si>
    <t>AuEx Ventures Inc</t>
  </si>
  <si>
    <t>Gold,silver,metals mining co</t>
  </si>
  <si>
    <t>Fronteer Gold Inc</t>
  </si>
  <si>
    <t>US - Fronteer Gold Inc (Fronteer) of Canada acquired the entire share capital of AuEx Ventures Inc (AuEx), a Reno-based gold, silver and metals mining company, in a stock swap transaction valued at USD 224.907 mil. Fronteer offered USD 0.623 in cash and 0.645 common share for every AuEx common share. Based on Fronteer's closing stock price of USD 7.918 on 27 August 2010, the last full trading day prior to the announcement, each AuEx share was valued at USD 5.73.</t>
  </si>
  <si>
    <t>Cogent Inc</t>
  </si>
  <si>
    <t>Dvlp fingerprint biometric sys</t>
  </si>
  <si>
    <t>US - 3M Co acquired the entire share capital of Cogent Inc, a Pasadena-based developer of fingerprint biometric identification systems, for USD 10.5 in cash per share, or a total value of USD 932.83 mil.</t>
  </si>
  <si>
    <t>American Physicians Svc Grp</t>
  </si>
  <si>
    <t>CA Bridge Corp</t>
  </si>
  <si>
    <t>US - CA Bridge Corp, a wholly- owned unit of ProAssurance Corp, acquired the entire share capital of American Physicians Service Group Inc, an Austin-based provider of medical professional liability insurance services, for USD 32.5 in cash per share, or a total value of USD 222.117 mil.</t>
  </si>
  <si>
    <t>Maryland Bankcorp Inc</t>
  </si>
  <si>
    <t>Old Line Bancshares Inc</t>
  </si>
  <si>
    <t>US - Old Line Bancshares Inc merged with Lexington Park- based Maryland Bankcorp Inc, for an estimated USD 20 mil in cash.</t>
  </si>
  <si>
    <t>Salary.com Inc</t>
  </si>
  <si>
    <t>Develop compensation software</t>
  </si>
  <si>
    <t>Kenexa Corp</t>
  </si>
  <si>
    <t>Dvlp recruitment solutions</t>
  </si>
  <si>
    <t>US - Kenexa Corp acquired the entire share capital of Salary.com Inc, a Needham- based developer of compensation software, via a tender offer for USD 4.07 in cash per share, or a total value of USD 92.109 mil. The offer was conditioned upon at least a majority of Salary. com's shares being tendered.</t>
  </si>
  <si>
    <t>Andean Resources Ltd</t>
  </si>
  <si>
    <t>Eldorado Gold Corp</t>
  </si>
  <si>
    <t>US - Eldorado Gold Corp (Eldorado) of Canada withdrew its plans to launch a hostile tender offer to acquire the entire share capital of Andean Resources Ltd (Andean), a Sydney-based gold mining company, in a stock swap transaction valued at USD 3. 225 bil. Eldorado offered 0. 31 new common shares per Andean share. Based on Eldorado's closing stock price of USD 19.187 on 1 September 2010, the last full trading day prior to the announcement, each Andean share was valued at USD 5.948. Concurrently, Goldcorp Inc agreed to launch a challenging tender offer to acquire Andean.</t>
  </si>
  <si>
    <t>Burger King Holdings Inc</t>
  </si>
  <si>
    <t>Blue Acquisition Sub Inc</t>
  </si>
  <si>
    <t>US - Blue Acquisition Sub Inc, a special purpose vehicle formed by 3G Special Situation Fund II LP, a unit of 3G Capital, acquired the entire share capital Burger King Holdings Inc (Burger King), a Miami-based owner and operator of fast food restaurants, from TPG Capital LP, Goldman Sachs Capital Partners and Bain Capital LLC, via a tender offer for USD 24 in cash per share, or a total value of USD 3.302 bil, in a leveraged buyout transaction. The offer was conditioned upon atleast 79. 1% of the shares being tendered. Originally, in August 2010, Burger King was rumored to be seeking a buyer for the company. 3i Group PLC was named potential bidder.</t>
  </si>
  <si>
    <t>PostRock Energy Corp</t>
  </si>
  <si>
    <t>White Deer Energy LP</t>
  </si>
  <si>
    <t>US - White Deer Energy LP acquired warrants convertible into 70.32% interest, or 19. 048 mil new common shares, in PostRock Energy Corp, an Oklahoma City-based oil and gas exploration and production company, for USD 3. 15 per share, or a total value of USD 60 mil, in a leveraged buyout transaction.</t>
  </si>
  <si>
    <t>US - Goldcorp Inc (Goldcorp) of Canada completed its challenging offer to acquire the entire share capital of Andean Resources Ltd (Andean), a gold mining company, in a stock swap transaction valued at USD 3.374 bil, via a scheme of arrangement. Goldcorp offered 0.14 common shares per Andean share. Based on Goldcorp's closing stock price of USD 44.442 on 2 September 2010, the last full trading day prior to the announcement, each Andean share was valued at USD 6.222. Alternatively, Goldcorp offered a choice of USD 5.957 in cash and common share per share, or a total value of USD 3.23 bil. Concurrently, Eldorado Gold Corp withdrew its plans to launch a hostile tender offer to acquire the entire share capital of Andean.</t>
  </si>
  <si>
    <t>Enterprise GP Holdings LP</t>
  </si>
  <si>
    <t>Provide gas energy services</t>
  </si>
  <si>
    <t>US - Enterprise Products Partners LP (EPP) merged with Enterprise GP Holdings LP (EGP), a Houston-based provider of gas energy services, in a stock swap transaction valued at USD 9 bil, which includes USD 853 mil of net debt held by EGP. EPP offered 1.5 unit per EGP unit. Based on EPP's closing stock price of USD 38.45 on 6 September 2010, the last full trading day prior to the announcement, each EGP share was valued at USD 57.675.</t>
  </si>
  <si>
    <t>ZymoGenetics Inc</t>
  </si>
  <si>
    <t>US - Bristol-Myers Squibb Co (Bristol) acquired the entire share capital of ZymoGenetics Inc (ZymoGenetics), a Seattle- based biotechnology company and a pharmaceutical manufacturing firm, from Novo Nordisk A/S (26.8%), Warburg Pincus LLC (10.9%), and other shareholders, via a tender offer, for USD 9.75 in cash per share, or a total value of USD 837.569 mil. Bristol received irrevocable undertakings to accept the offer with respect to 56% of ZymoGenetics' entire share capital.</t>
  </si>
  <si>
    <t>Microtune Inc</t>
  </si>
  <si>
    <t>Mnfr,whl radio frequency tuner</t>
  </si>
  <si>
    <t>Maple Acquisition Corp</t>
  </si>
  <si>
    <t>US - Maple Acquisition Corp, a wholly owned unit of Zoran Corp acquired the entire share capital of Microtune Inc, a Plano-based manufacturer and wholesaler of radio frequency tuner, for USD 2.92 in cash per share, or a total value of USD 158. 444 mil.</t>
  </si>
  <si>
    <t>Nicholas Karabots</t>
  </si>
  <si>
    <t>US - Nicholas Karabots withdrew its tender offer to acquire the remaining 40% stake, or 2.398 mil common shares, which it did not already own, in AMREP Corp, a Princeton-based real estate development firm, for USD 12 in cash per share, or a total value of USD 28.782 mil.</t>
  </si>
  <si>
    <t>US - 7-Eleven Inc (Seven), a unit of the IYG Holding Co subsidiary of Seven &amp; I Holdings Co Ltd's Seven- Eleven Japan Co Ltd unit, withdrew its plans to launch an unsolicited challenging tender offer to acquire the entire share capital of Casey's General Stores Inc (Casey's), an Ankeny-based owner and operator of grocery stores, for a sweetened USD 43 in cash per share, or a total value of USD 2.21bil. Previously, Seven offered USD 40 in cash per share, or a total value of USD 2.054 bil. Originally, Alimentation Couche-Tard Inc withdrew its hostile tender offer to acquire Casey's for USD 38.5 per share or a total value of USD 1.977 bil.</t>
  </si>
  <si>
    <t>Corinthian Colleges Inc</t>
  </si>
  <si>
    <t>Pvd post-secondary educ svcs</t>
  </si>
  <si>
    <t>Pershing Square Capital</t>
  </si>
  <si>
    <t>US - Pershing Square Capital Management LP was rumored to be planning to acquire the entire share capital of Corinthian Colleges Inc, a Santa Ana-based provider of post-secondary education services. The Current status of this deal is unknown.</t>
  </si>
  <si>
    <t>ArcSight Inc</t>
  </si>
  <si>
    <t>Dvlp security mgmt software</t>
  </si>
  <si>
    <t>US - Hewlett-Packard Co completed its tender offer to acquire the entire share capital of ArcSight Inc (ArcSight), a Cupertino-based developer of enterprise security and compliance management software, for USD 43.5 in cash per share, or a total value of USD 1.635 bil, by accepting 33.1 mil common shares, or 95.633% of ArcSight's share capital. Originally, in August 2010, ArcSight was rumored to be seeking a buyer for the company. Oracle Corp, Hewlett- Packard Co and IBM were named potential bidders.</t>
  </si>
  <si>
    <t>GTSI Corp</t>
  </si>
  <si>
    <t>Eyak Technology LLC</t>
  </si>
  <si>
    <t>US - Eyak Technology LLC withdrew its launch an unsolicited tender offer to acquire the entire share capital of GTSI Corp, Herndon- based provider of information technology services, for USD 7 in cash per share, or a total value of USD 67.044 mil.</t>
  </si>
  <si>
    <t>Otix Global Inc</t>
  </si>
  <si>
    <t>Mnfr digital hearing aids</t>
  </si>
  <si>
    <t>William Demant Holding AS</t>
  </si>
  <si>
    <t>Mnfr,wholesale hearing aid</t>
  </si>
  <si>
    <t>US - William Demant Holding AS of Denmark merged with Otix Global Inc (Otix), a Salt Lake City-based manufacturer of digital hearing aids, for a twice sweetened USD 11.01 in cash per share, or a total value of USD 65.684 mil. Recently, GN ReSound A/S planned to acquire the entire share capital of Otix. Previously, William offered a sweetened USD 10 in cash per share, or a total value of USD 60.043 mil. Originally, William William offered USD 8.6 in cash per share, or a total value of USD 52.225 mil.</t>
  </si>
  <si>
    <t>OI Corp</t>
  </si>
  <si>
    <t>Oyster Acquisition Corp</t>
  </si>
  <si>
    <t>US - Oyster Acquisition Corp, a wholly-owned unit of ITT Corp (ITT), acquired the entire share capital of OI Corp, doing business as OI Analytical (OI), a College Station-based manufacturer and wholesaler of analytical instruments, for USD 12 in cash, or a total value of USD 28.672 mil. Upon completion, OI was to become a subsidiary of ITT.</t>
  </si>
  <si>
    <t>Cellu Tissue Holdings Inc</t>
  </si>
  <si>
    <t>Manufacture tissue papers</t>
  </si>
  <si>
    <t>Sand Dollar Acquisition Corp</t>
  </si>
  <si>
    <t>Manufactures tissue papers</t>
  </si>
  <si>
    <t>US - Sand Dollar Acquisition Corp, a wholly-owned unit of Clearwater Paper Corp (Clearwater) merged with Cellu Tissue Holdings Inc (Cellu), an Alpharetta-based manufacturer of cellulose tissue papers, from Weston Presidio Capital and other shareholders, for USD 12 in cash per share, or a total value of USD 247.199 mil. On completion, Cellu was to become a wholly-owned unit of Clearwater.</t>
  </si>
  <si>
    <t>Occam Networks Inc</t>
  </si>
  <si>
    <t>Mnfr,whl broadband access prod</t>
  </si>
  <si>
    <t>Calix Inc</t>
  </si>
  <si>
    <t>US - Calix Inc definitively agreed to acquire the entire share capital of Occam Networks Inc (Occam), a Santa Barbara-based manufacturer of broadband access products, in a stock swap transaction valued at USD 186.933 mil. Calix offered USD 3.834 in cash and 0.293 common shares for every Occam share. Based on Calix's closing stock price of USD 13.3 on 15 September 2010, the last full trading day prior to the announcement, each Occam share was valued at USD 7.724.</t>
  </si>
  <si>
    <t>Discover Financial Services</t>
  </si>
  <si>
    <t>Pvd credit card,payment svcs</t>
  </si>
  <si>
    <t>US - Discover Financial Services acquired the entire share capital of Student Loan Corp, a Stamford-based provider of student loan services, from Citigroup Inc (80%), a wholly-owned unit of Citibank NA, and other shareholders, for USD 30 in cash per share, or a total value of USD 600 mil. The transaction included a USD 4. 2 bil in private student loan assets. SLM Corp agreed to acquire the USD 28 bil federal student loans and assets of Student Loan, US Department of Education agreed to acquire the USD 4.7 bil federal student loans of Student Loan, and Citigroup Inc agreed to acquire USD 8.7 bil federal and private student loan assets of Student Loan.</t>
  </si>
  <si>
    <t>Kenneth Cole Productions Inc</t>
  </si>
  <si>
    <t>Mnfr,whl,ret shoes,clothing</t>
  </si>
  <si>
    <t>US - Iconix Brand Group Inc discontinued rumors that it was planning to acquire Kenneth Cole Productions Inc, a New York-based manufacturer, wholesaler, and retailer of shoes and clothing.</t>
  </si>
  <si>
    <t>Internet Brands Inc</t>
  </si>
  <si>
    <t>Pvd Internet media services</t>
  </si>
  <si>
    <t>US - Hellman &amp; Friedman Capital Partners VI LP, a unit of Hellman &amp; Friedman LLC, acquired the entire share capital of Internet Brands Inc, an El Segundo- based provider of Internet media services, for USD 13.35 in cash per share, or a total value of USD 639.608 mil, in a leveraged buyout transaction.</t>
  </si>
  <si>
    <t>US - Safran SA of France acquired the entire share capital of L-1 Identity Solutions Inc (L-1), a Stamford-based provider of security systems services, for USD 12 in cash per share, or a total value of USD 1.13 bil. The transaction was contingent upon the completion of Bae Systems PLC's acquisition of SpecTal LLC, Advanced Concepts Inc and McClendon Corp. Originally, in March 2010, L- 1 announced that it was seeking a buyer for the company. Safran SA was named potential bidder.</t>
  </si>
  <si>
    <t>Netezza Corp</t>
  </si>
  <si>
    <t>Mnfr data warehouse appl</t>
  </si>
  <si>
    <t>Onyx Acquisition Corp</t>
  </si>
  <si>
    <t>US - Onyx Acquisition Corp, a wholly-owned unit of International Business Machines Corp {IBM}, merged with Netezza Corp (Netezza), a Marlborough-based manufacturer of data warehouse appliances, for USD 27 in cash per share, or a total value of USD 1.931 bil. Originally, In August 2009, IBM was rumored to be planning to acquire the entire share capital of Netezza.</t>
  </si>
  <si>
    <t>Nu Horizons Electronics Corp</t>
  </si>
  <si>
    <t>Wholesale semiconductors</t>
  </si>
  <si>
    <t>US - Arrow Electronics Inc definitively acquired the entire share capital of Nu Horizons Electronics Corp (Nu) , a Melville-based wholesaler of semiconductors, for USD 7 in cash per share, or a total value of USD 130.828 mil.</t>
  </si>
  <si>
    <t>RAE Systems Inc</t>
  </si>
  <si>
    <t>Mnfr multi-sensor monitors</t>
  </si>
  <si>
    <t>US - Battery Ventures withdrew its agreement to acquire the entire share capital of RAE Systems Inc, a San Jose-based manufacturer of atmospheric monitors, for USD 1.6 in cash per share, or a total value of USD 96.74 mil, in a leveraged buyout transaction.</t>
  </si>
  <si>
    <t>Penn Virginia GP Holdings LP</t>
  </si>
  <si>
    <t>Penn Virginia Resource</t>
  </si>
  <si>
    <t>Coal mining,natural gas co</t>
  </si>
  <si>
    <t>US - Penn Virginia Resource Partners LP (Penn Resource) merged with Penn Virginia GP Holdings LP (Penn GP), a Radnor-based coal mining company, in a stock swap transaction valued at USD 956. 559 mil. Penn Resource offered 0.98 unit per Penn GP unit. Based on Penn Resource's closing stock price of USD 24.98 on 20 September 2010, the last full trading day prior to the announcement, each Penn GP unit was valued at USD 24.48.</t>
  </si>
  <si>
    <t>Cadence Financial Corp</t>
  </si>
  <si>
    <t>Trustmark Corp,Jackson,MS</t>
  </si>
  <si>
    <t>US - Trustmark Corp (Trustmark) withdrew its agreement to merge with Cadence Financial Corp (Cadence), is a Starkville- based bank holding company, in a stock swap transaction valued at USD 24.28 mil. Trustmark offered 0.096993 common shares per Cadence share. Based on Trustmark's closing stock price of USD 21. 02 on 21 September 2010, the last full trading day prior to the announcement, each Cadence share was valued at USD 2.039.</t>
  </si>
  <si>
    <t>TESSCO Technologies Inc</t>
  </si>
  <si>
    <t>Whl wireless commun products</t>
  </si>
  <si>
    <t>Discovery Equity Partners LP</t>
  </si>
  <si>
    <t>US - Discovery Equity Partners LP, a majority-owned unit of Discovery Group Holding Co LLC, withdrew its unsolicited Letter of Intent {LoI} to acquire the remaining 86.2% interest, which it did not already own, in TESSCO Technologies Inc, a Hunt Valley-based wholesaler of wireless communication products, for USD 15.5 per share, or a total value of USD 100.73 mil.</t>
  </si>
  <si>
    <t>Southwest Airlines Co</t>
  </si>
  <si>
    <t>US - Southwest Airlines Co (Southwest) acquired the entire share capital of AirTran Holdings Inc (AirTran) , an Orlando-based provider of passenger airline services, in a stock swap transaction valued at USD 1.042 bil, subject to a collar agreement. Southwest offered USD 3.75 cash in cash and 0.321 common share per AirTran share. Based on Southwest's closing stock price of USD 12.28 on 24 September 2010, the last full trading day prior to the announcement, each AirTran share was valued at USD 7.692.</t>
  </si>
  <si>
    <t>US - Unilever PLC of the UK merged with Alberto-Culver Co, a Melrose Park-based manufacturer and wholesaler of health and beauty products, for USD 37.5 in cash per share, or a total value of USD 3.842 bil.</t>
  </si>
  <si>
    <t>Capital Gold Corp</t>
  </si>
  <si>
    <t>Timmins Gold Corp</t>
  </si>
  <si>
    <t>US - Timmins Gold Corp (Timmins) of Canada withdrew its plans to merge with Capital Gold Corp (Capital), a New York-based gold mining company, in a stock swap transaction valued at a sweetened USD 291.36 mil, in a reverse takeover transaction. Timmins offered 2.27 shares for every Capital share and USD 0.25 in cash per share. Based on Timmins' closing stock price of USD 1. 893 on 24 Sep 2010, the last full trading day prior to the announcement, each Capital share was valued at USD 4.297. Originally, Timmins offered 2.27 shares for every Capital share. Upon completion, Capital was to own 83.43% of the combined entity. Recently, Gammon Gold Inc definitively agreed to launch a challenging tender offer to merge with Capital.l.</t>
  </si>
  <si>
    <t>Dover Motorsports Inc</t>
  </si>
  <si>
    <t>Own,operate race tracks</t>
  </si>
  <si>
    <t>Dover Downs Gaming &amp; Entertain</t>
  </si>
  <si>
    <t>Own,operate race track,casinos</t>
  </si>
  <si>
    <t>US - Dover Downs Gaming &amp; Entertainment Inc withdrawn its agreement to merge with Dover Motorsports Inc, a Dover-based owner and operator of race tracks, in a stock swap transaction valued at USD 63.469 mil. Dover Downs Gaming &amp; Entertainment offer 0.501 common shares per Dover Motosports common share. Based on Dover Gaming &amp; Entertainment's closing stock price of USD 3.45 on 24 September 2010, the last full trading dat prior to the announcement, each Dover Motosports share was valued at USD 1.728.</t>
  </si>
  <si>
    <t>Produce, wholesale general food products</t>
  </si>
  <si>
    <t>US - Nestle SA of Switzerland was rumored to be planning to acquire the entire share capital of Green Coffee Mountain Roasters Inc, a Waterbury-based producer, wholesaler and retailer of roasted coffee. The Current status of this deal is unknown.</t>
  </si>
  <si>
    <t>Harvest Natural Resources Inc</t>
  </si>
  <si>
    <t>Oil, gas exploration, production co</t>
  </si>
  <si>
    <t>US - In September 2010, Harvest Natural Resources Inc, a Houston-based oil and gas exploration and production company, announced that it was seeking a buyer for the company. Terms were not disclosed, but according to sources familiar to the situation, the transaction was valued at an estimated USD 373 mil. Pluspetrol was named potential bidder.</t>
  </si>
  <si>
    <t>NightHawk Radiology Hldg Inc</t>
  </si>
  <si>
    <t>Provide radiology services</t>
  </si>
  <si>
    <t>US - Virtual Radiologic Corp acquired the entire share capital of Nighthawk Radiology Holdings Inc, a Coeur D'Alene-based provider of radiology services, for USD 6.5 in cash per share, or a total value of USD 157.437 mil.</t>
  </si>
  <si>
    <t>GN ReSound A/S</t>
  </si>
  <si>
    <t>Manufacture, wholesalr hearing instruments</t>
  </si>
  <si>
    <t>US - GN Resound A/S of Denmark, a majority-owned unit of GN Store Nord A/S, withdrew its plans to acquire the entire share capital of Otix Global Inc (Otix), a Salt Lake City-based manufacturer of digital hearing aids, for a sweetened USD 11 per common share, or a total value of USD 61.432 mil. Originally, GN Resournd offered an estimated USD 58 mil. Previously, William Demant Holding AS merged with Otix.</t>
  </si>
  <si>
    <t>Keithley Instr Inc</t>
  </si>
  <si>
    <t>Mnfr electrical test instr</t>
  </si>
  <si>
    <t>US - Danaher Corp acquired the entire share capital, of Keithley Instruments Inc, a Cleveland-based manufacturer of electrical test instruments and systems, for USD 21.6 in cash per share or a total value of USD 356.061 mil.</t>
  </si>
  <si>
    <t>Preferred Shareholders</t>
  </si>
  <si>
    <t>US - American International Group Inc (AIG), an insurance company, completed its debt restructuring transaction with Preferred Shareholders, who received 1.09 billion shares valued at USD 58.9 billion. The shares were valued based on AIG's closing stock price of USD 54 on Jan 14, 2011, the first full trading day post restructuring.</t>
  </si>
  <si>
    <t>Gammon Gold Inc</t>
  </si>
  <si>
    <t>Gold,silver mining company</t>
  </si>
  <si>
    <t>US - Gammon Gold Inc (Gammon) of Canada, acting as a white knight, completed its challenging tender offer to merge with Capital Gold Corp (Capital), a New York-based gold mining company, for a sweetened USD 304.409 mil. Gammon offered USD 1.09 in cash per share and 0.5209 Gammon common shares for every Capital share. Based on Gammon's closing stock price of USD 7.029 on 30 September 2010, the last full trading day prior to the announcement, each Capital share was valued at USD 4.75. Previously, Timmins Gold Corp planned to launch an unsolicited offer to merge with Capital. Originally, Gammon offered USD 0.79 in cash and 0.5209 Gammon common share for every Capital share.</t>
  </si>
  <si>
    <t>Dynamex Inc</t>
  </si>
  <si>
    <t>Greenbriar Equity Group LLC</t>
  </si>
  <si>
    <t>US - Greenbriar Equity Group withdrew its definitive agreement to acquire the entire share capital of Dynamex Inc, a Dallas-based provider of courier services, for a twice sweetened USD 25 in cash per share, or a total value of USD 243.837 mil, in a leveraged buyout transaction. Originally, Greebriar offered USD 21.25 in cash per share.</t>
  </si>
  <si>
    <t>Allied Healthcare Intl Inc</t>
  </si>
  <si>
    <t>Acromas Holdings Ltd</t>
  </si>
  <si>
    <t>US - Acromas Holdings Ltd of the UK was rumored to be planning to acquire the entire share capital of Allied Healthcare International Inc, a New York- based provider of health staffing services. Terms were not disclosed but according to sources close to the situation, the deal was valued at an estimated USD 102.726. The Current status of this deal is unknown.</t>
  </si>
  <si>
    <t>US - Kohlberg Kravis Roberts &amp; Co LP was rumored to be planning to launch an unsolicited tender offer to acquire the entire share capital of Sara Lee Corp, a Chicago-based producer and wholesaler of meats and baked goods, in a leveraged buyout transaction. Terms were not disclosed but, according to sources close to the situation, the deal was rumored to be valued at an estimated USD 12 bil. The Current status of this deal is unknown.</t>
  </si>
  <si>
    <t>US - Microsemi Corp acquired the entire share capital of Actel Corp, a Mountain View- based manufacturer and wholesaler of electronic components, via a tender offer, for USD 20.88 in cash per share, or a total value of USD 587.979 mil.</t>
  </si>
  <si>
    <t>Polymer Group Inc</t>
  </si>
  <si>
    <t>Mnfr,whl nonwoven fabrics</t>
  </si>
  <si>
    <t>Scorpio Merger Sub Corp</t>
  </si>
  <si>
    <t>US - Scorpio Merger Sub Corp (Scorpio), a wholly-owned unit of the Scorpio Acquisition Corp subsidiary of Blackstone Group LP's wholly-owned Blackstone Capital Partners V LP, merged with Polymer Group Inc (Polymer), a Charlotte-based manufacturer and wholesaler of nonwoven fabrics, and a majority-owned unit of MatlinPatterson Global Advisers LLC's (MatlinPatterson) MatlinPatterson Global Opportunities Partners LP subsidiary, for a sweetened USD 18.23 in cash per share, or a total value of USD 390. 917 mil. Previously, Scorpio offered USD 18.16 in cash per share, or a total value of USD 389.416 mil. Originally, In April 2010, MatlinPatterson was rumored to be seeking a buyer for its 63.4% interest in Polymer.</t>
  </si>
  <si>
    <t>F5 Networks Inc</t>
  </si>
  <si>
    <t>Dvlp Internet traffic software</t>
  </si>
  <si>
    <t>US - In October 2010, F5 Networks Inc, a Seattle-based developer of Internet traffic software, was rumored to be seeking a buyer for the company. International Business Machines, Dell Inc, Hewlett-Packard Co, Oracle Corp, Juniper Networks Inc, and Cisco Systems Inc were rumored potential bidders. The Current status of this deal is unknown.</t>
  </si>
  <si>
    <t>Irving Place Capital Inc</t>
  </si>
  <si>
    <t>US - Irving Place Capital Inc acquired the entire share capital of Thermadyne Holdings Corp, a St. Louis- based manufacturer and wholesaler of cutting and welding products, for USD 15 in cash per share, or a total value of USD 203.248 mil, in a leveraged buyout transaction.</t>
  </si>
  <si>
    <t>Community Bancorp,Houston,TX</t>
  </si>
  <si>
    <t>US - Community Bancorp LLC (Community), through a wholly- owned subsidiary, acquired the entire share capital of Cadence Financial Corp (Cadence), a Starkville-based bank holding company, for USD 2.5 in cash per share, or a total value of USD 29.773 mil. Upon completion, Cadence was to become a wholly-owned unit of Community. The transaction was to include Cadence's USD 44 mil preferred stock under the United States Department of Treasury's Capital Purchase Program.</t>
  </si>
  <si>
    <t>Henry Bros Electronics Inc</t>
  </si>
  <si>
    <t>Mnfr sec,commun devices</t>
  </si>
  <si>
    <t>US - Kratos Defense &amp; Security Solutions Inc (Kratos) acquired the entire share capital of Henry Bros. Electronics Inc, a Fair Lawn- based manufacturer of security and communications devices, for a sweetened USD 8.2 in cash per share, or a total value of USD 551.649 mil. Originally, Kratos offered for USD 7 in cash per share, or a total value of USD 44.389 mil.</t>
  </si>
  <si>
    <t>Lighting Science Group Corp</t>
  </si>
  <si>
    <t>Mnfr,whl lighting products</t>
  </si>
  <si>
    <t>LSGC Holdings LLC</t>
  </si>
  <si>
    <t>US - LSGC Holdings LLC, a unit of Pegasus Partners IV LP, raised its interest to 80% from 46.59%, by acquiring a 33.41% or 15.625 mil common shares, in Lighting Science Group Corp, a Dallas-based manufacturer and wholesaler of lighting products, for USD 1.6 per share, or a total value of USD 25 mil, in a leveraged buyout transaction.</t>
  </si>
  <si>
    <t>Monroe Bancorp,Bloomington,IN</t>
  </si>
  <si>
    <t>US - Old National Bancorp (ONB) merged with Monroe Bancorp (Monroe), a Bloomington-based bank holding company, in a stock swap transaction valued at USD 83.162 mil. ONB offered 1. 275 common shares per Monroe common share. The shares were valued based on ONB's closing stock price of USD 10.47 on 5 October 2010, the last full trading day prior to the announcement.</t>
  </si>
  <si>
    <t>T-3 Energy Services Inc</t>
  </si>
  <si>
    <t>Mnfr oilfield,pipeline equip</t>
  </si>
  <si>
    <t>Robbins &amp; Myers Inc</t>
  </si>
  <si>
    <t>Mnfr,whl engineered equip,sys</t>
  </si>
  <si>
    <t>US - Robbins &amp; Myers Inc (Robbins) acquired the entire share capital of T-3 Energy Services Inc (T-3), a Houston- based pressure and flow control equipment, in a stock swap transaction valued at USD 425.388 mil. Robbins offered USD 7.95 in cash and 0.894 new common shares per T- 3 share. Based on Robins's closing stock price of USD 26. 68 on 5 October 2010, the last full trading day prior to the announcement, each T-3 share was valued at USD 31. 802. On completion, Robbins and T-3 shareholders were to own 73% and 27% of the merged entity respectively.</t>
  </si>
  <si>
    <t>US - Microsoft Corp was rumored to be planning to acquire the entire share capital of Adobe Systems Inc, a San Jose-based developer of software. The Current status of this deal is unknown.</t>
  </si>
  <si>
    <t>US - In October 2010, BMC Software Inc, a Houston-based developer of enterprise management software, was rumored to be seeking a buyer for the company. The Current status of this deal is unknown. KKR &amp; Co, TPG Capital, and Bain Capital LLC, were rumored to be potential bidders. The Current status of this deal is unknown.</t>
  </si>
  <si>
    <t>Delcath Systems Inc</t>
  </si>
  <si>
    <t>US - Bristol-Myers Squibb Co was rumored to be planning to acquire Delcath Systems Inc, a New York-based manufacturer of cancer treatment systems. The Current status of this deal is unknown.</t>
  </si>
  <si>
    <t>ActivIdentity Inc</t>
  </si>
  <si>
    <t>Dvlp authentication software</t>
  </si>
  <si>
    <t>US - Assa Abloy AB of Sweden acquired the entire share capital of Actividentity Corp, a Fremont-based developer of authentication management services, for USD 3.25 in cash per share, or a total value of USD 153.619 mil.</t>
  </si>
  <si>
    <t>Biglari Holdings Inc</t>
  </si>
  <si>
    <t>US - Biglari Holdings Inc (Biglari) withdrew its unsolicited tender offer to acquire the remaining 90.1% interest, or 1.594 mil common shares, which it did not already own, in Fremont Michigan InsuraCorp Inc (Fremont), a Fremont-based insurance holding company, for a sweetened USD 31 in cash per share, or a total value of USD 49.401 mil. Originally, Biglari offered USD 29 in cash per share. Subsequently, Auto Club Insurance Association acquired the entire share capital of Fremont.</t>
  </si>
  <si>
    <t>Gymboree Corp</t>
  </si>
  <si>
    <t>US - Bain Capital LLC acquired the entire share capital of Gymboree Corp (Gymboree), a San Francisco- based owner and operator of clothing stores, for USD 65.4 in cash per share, or a total value of USD 1.806 bil, in a leveraged buyout transaction, via tender offer. Originally, In September 2010, Gymboree was rumored to be seeking a buyer for the company.</t>
  </si>
  <si>
    <t>US - Aixtron AG of Germany was rumored to be planning to acquire the entire share capital of Veeco Instruments Inc, a Plainview-based manufacturer and wholesaler of metrology and process equipments. The Current status of this deal is unknown.</t>
  </si>
  <si>
    <t>Avon Products Inc</t>
  </si>
  <si>
    <t>Manufacture, wholesale, retail beauty products</t>
  </si>
  <si>
    <t>Manufactures and wholesales cosmetics and dermatological products</t>
  </si>
  <si>
    <t>US - LOreal SA of France was rumored to be planning to acquire Avon Products Inc, a New York-based manufacturer, wholesaler and retailer of beauty products. Terms were not disclosed but, according to sources close to the situation, the deal was rumored to be valued at an estimated USD 18.874 bil in cash. The Current status of this deal is unknown.</t>
  </si>
  <si>
    <t>US - Pfizer Inc acquired the entire share capital of King Pharmaceuticals Inc, a Bristol-based manufacturer and wholesaler of pharmaceuticals, for USD 14. 25 in cash per share, or a total value of USD 3.566 bil, via a tender offer.</t>
  </si>
  <si>
    <t>Rome Bancorp Inc,Rome,NY</t>
  </si>
  <si>
    <t>US - Berkshire Hills Bancorp Inc (Berkshire) merged with Rome Bancorp Inc (Rome), a Rome-based bank holding company, in a stock swap transaction valued at USD 73. 266 mil. Berkshire offered USD 10.81 in cash and common shares, subject to proration whereby 30% of the consideration was to be paid in cash and 70% was to be paid in common shares. The shares were valued based on Berkshire's closing stock price of USD 18.78 on 11 October 2010, the last full trading day prior to the announcement.</t>
  </si>
  <si>
    <t>Ulticom Inc</t>
  </si>
  <si>
    <t>Dvlp telecommun software</t>
  </si>
  <si>
    <t>Utah Merger Corp</t>
  </si>
  <si>
    <t>US - Utah Merger Corp, a wholly-owned unit of Platinum Equity LLC's Utah Intermediate Holding Corp subsidiary merged with Ulticom Inc, a Mount Laurel- based telecommunication software development company, for USD 25.94 mil, in a leveraged buyout transaction. The consideration was to consist of USD 21.94 mil in cash, USD 1.4 mil in promissory note, and up to USD 2.6 mil in profit-related payments.</t>
  </si>
  <si>
    <t>Cheviot Merger Subsidiary Inc</t>
  </si>
  <si>
    <t>US - Cheviot Merger Subsidiary Inc, a wholly- owned unit of Cheviot Financial Corp, merged with First Franklin Corp, a Cincinnati-based savings and loan holding company, for USD 14.5 in cash per share, or a total value of USD 24.442 mil.</t>
  </si>
  <si>
    <t>US - Oracle Corp was rumored to be planning to acquire the entire share capital of EMC Corp, a Hopkinton-based manufacturer of storage platforms. The Current status of this deal is unknown.</t>
  </si>
  <si>
    <t>US - In October 2010, Yahoo! Inc, a Sunnyvale-based provider of Internet search engine services, was rumored to be seeking a buyer for the company. AOL Inc, Silver Lake Partners, News Corp, Blackstone Group LP, KKR, Alibaba Group, Hellman &amp; Friedman, Providence Equity Partners, Microsoft Corp, Google Inc, TPG Capital, Thomas H. Lee Partners, and Bain Capital LLC were named rumored potential bidders. The Current status of this deal is unknown.</t>
  </si>
  <si>
    <t>Fort Orange Financial Corp</t>
  </si>
  <si>
    <t>US - Chemung Financial Corp (Chemung) acquired the entire share capital of Fort Orange Financial Corp (Fort Orange), an Albany-based bank holding company, in a stock swap transaction valued at USD 27. 046 mil. Chemung offered 0. 3571 common share per Fort Orange share. Based on Chemung's closing stock price of USD 21.5 on 14 October 2010, the last full trading day prior to the announcement, each Fort Orange share was valued at USD 7.678. Alternatively, Chemung offered USD 7.5 in cash per share, or a total value of USD 26.421 mil.</t>
  </si>
  <si>
    <t>Hawk Corp</t>
  </si>
  <si>
    <t>Mnfr,whl friction materials</t>
  </si>
  <si>
    <t>US - Carlisle Cos Inc acquired the entire share capital of Hawk Corp, a Cleveland-based manufacturer and wholesaler of friction materials and motorsports components, via a tender offer for USD 50 in cash per share, or a total value of USD 417.939 mil. The offer was conditioned upon at least a majority of Hawk's shares being tendered. Originally, in July 2010, Hawk announced that it was seeking a buyer for the company.</t>
  </si>
  <si>
    <t>Seagate Technology PLC</t>
  </si>
  <si>
    <t>Mnfr,wholesale disc drives</t>
  </si>
  <si>
    <t>US - In October 2010, Seagate Technology Inc, a Scotts Valley-based manufacturer and wholesaler of disc drives, withdrew its plans to seek a buyer for or the company, in a going private transaction. Bain Capital LLC, Kohlberg Kravis Roberts &amp; Co LP, Silver Lake Partners and TPG Capital LP were named potential bidders.</t>
  </si>
  <si>
    <t>AGA Medical Holdings Inc</t>
  </si>
  <si>
    <t>Mnfr cardio medical devices</t>
  </si>
  <si>
    <t>Asteroid Subsidiary Corp</t>
  </si>
  <si>
    <t>US - Asteroid Subsidiary Corp (Asteroid), a special purpose acquisition vehicle formed by St Jude Medical Inc (St Jude), acquired the entire share capital of AGA Medical Holdings Inc (AGA), a Plymouth-based manufacturer of cardiovascular medical devices, for an amended USD 1. 3 bil including the assumption of an estimated USD 225 mil in liabilities. Asteroid offered USD 20.8 in cash and 0.54 St Jude common shares, subject to proration whereby 50% was paid in cash and 50% in St Jude common shares. On completion, AGA shares were delisted from the NASDAQ Stock Exchange. Originally, Asteroid offered USD 20.8 in cash per share, or a total value of USD 1.3 bil, including the assumption of an estimated USD 225 mil in liabilities.</t>
  </si>
  <si>
    <t>American Commercial Lines LLC</t>
  </si>
  <si>
    <t>Pvd marine transp svcs</t>
  </si>
  <si>
    <t>US - Platinum Equity LLC acquired the entire share capital of American Commercial Lines Inc, a Jacksonville-based provider of integrated marine transportation services, for USD 33 in cash per share, or a total value of USD 428.975 mil, in a leveraged buyout transaction.</t>
  </si>
  <si>
    <t>US - CbaySystems Holdings Ltd (CbaySystems) completed its tender offer to acquire the remaining 17.5% stake, or 6.7 mil common shares, which it did not already own, in MedQuist Inc (MedQuist),a Mount Laurel-based provider of medical transcription services, in a stock swap transaction valued at USD 340. 8 mil. CbaySystems offered 28. 4 mil common shares. The shares were valued based on CbaySystems' closing stock price of USD 12 on 27 January 2011, the last full trading day prior to the announcement. Concurrently, CbaySystems agreed to raise its stake to 82.5% from 69.5% in Medquist.</t>
  </si>
  <si>
    <t>NSTAR Inc</t>
  </si>
  <si>
    <t>US - Northeast Utilities (Northeast) acquired the entire share capital of NSTAR Inc (NSTAR), a Boston-based electric and natural gas utility company, in a stock swap merger of equals transaction valued at USD 4. 198 bil. Northeast offered 1. 312 common shares per NSTAR common shares. Based on Northeast's closing stock price of USD 30.7 on 15 October 2010, the last full trading day prior to the announcement, each NSTAR share was valued at USD 40. 278. On completion, the merger entity was named Northeast, and NSTAR was delisted in NYSE.</t>
  </si>
  <si>
    <t>Quicksilver Resources Inc</t>
  </si>
  <si>
    <t>US - An investor group, including Quicksilver Resources Inc (Quicksilver) Chief Executive Officer Glenn Darden and chairman Thomas Darden, withdrew its plan to acquire the remaining 72% interest, or 122.656 mil common shares, which it did not already own, in Quicksilver, a Fort Worth- based oil and gas exploration and production company, in a management buyout transaction.</t>
  </si>
  <si>
    <t>Cardiac Science Corp</t>
  </si>
  <si>
    <t>Mnfr,whl diagnostic equipment</t>
  </si>
  <si>
    <t>US - Opto Circuits (India) Ltd (Opto) of India acquired the entire share capital of Cardiac Science Corp (Cardiac) , a Bothell-based manufacturer and wholesaler of diagnostic and therapeutic cardiology products, via a tender offer, for USD 2.3 in cash per share, or a total value of USD 54.776 mil. Opto received irrevocable undertakings to accept the offer with respect to 60% of Cardiac's entire share capital.</t>
  </si>
  <si>
    <t>Madison National Bancorp Inc</t>
  </si>
  <si>
    <t>FNBNY Bancorp Inc</t>
  </si>
  <si>
    <t>US - FNBNY Bancorp Inc (FNBNY) , a wholly owned unit of Modern Capital Partners LP acquired the remaining 95.05% interest, or 3.5 mil common shares, which it did not already own, in Madison National Bancorp Inc (Madison) , a Hauppauge-based bank holding company, for USD 9.09 cash per share, or a total value of USD 31.813mil. Concurrently, FNBNY acquired a 4.95% stake, or 0.182 mil new common shares in Madison. The transaction included Madison National Bank.</t>
  </si>
  <si>
    <t>Comstock Mining Inc</t>
  </si>
  <si>
    <t>US - Comstock Mining Inc (TC), a Virginia City-based gold and silver mining company completed its debt restructuring with bondholders (BHs), who received 0.029 mil series A preferred shares convertible into 45.1 mil ordinary shares. The shares were valued based on TC's closing stock price of USD 2.5 on 22 Oct 2010, the first full trading day post restructuring. Upon completion, BHs held a 51.72% interest in the restructured TC. The book value of the existing debt that was exchanged under the terms of the offer was USD 29.4 mil.</t>
  </si>
  <si>
    <t>Gores Capital Partners III LP</t>
  </si>
  <si>
    <t>US - Gores Capital Partners III LP (Gores), a wholly- owned unit of The Gores Group LLC withdrew its plans to launch an unsolicited challenging tender offer to acquire the entire share capital of Phoenix Technologies Ltd (Phoenix), a Milpitas-based developer and wholesaler of systems software, for a sweetened USD 4.2 in cash per share, or a total value of USD 149.052 mil, in a leveraged buyout transaction. Originally, Gores offered USD 4.05 in cash per share, or a total value of USD 142.22 mil. Concurrently Marlin Equity Partners LLC definitively agreed to acquire the entire share capital of Phoenix.</t>
  </si>
  <si>
    <t>Clarient Inc</t>
  </si>
  <si>
    <t>Mnfr cellular imaging sys</t>
  </si>
  <si>
    <t>US - GE Healthcare Ltd, a wholly-owned unit of General Electric Co {GE}, acquired the entire share capital of Clarient Inc, a Aliso Viejo- based manufacturer of cellular imaging system, from Safeguard Scientifics Inc (34. 423%) and other undisclosed sellers, via a tender offer, for USD 5 in cash per share, or a total value of USD 470. 861 mil.</t>
  </si>
  <si>
    <t>US - In October 2010, Regis Corp, a Minneapolis-based owner and operator of hair salons, was rumored to be seeking a buyer for the company. Apollo Global Management, Clayton Dubilier &amp; Rice, and Cerberus Capital Management were rumored potential bidders. The Current status of this deal is unknown.</t>
  </si>
  <si>
    <t>US - Carlyle Group LLC acquired the entire share capital of CommScope Inc, a Hickory-based manufacturer of coaxial cable, for USD 31.5 in cash per share, or a total value of USD 3.02 bil, in a leveraged buyout transaction.</t>
  </si>
  <si>
    <t>Wilber Corp</t>
  </si>
  <si>
    <t>US - Community Bank System Inc acquired the entire share capital of Wilber Corp, an Oneonta-based commercial bank holding company, for USD 9.5 in cash and common shares per share, or a total value of USD 101.793 mil, subject to a collar agreement.</t>
  </si>
  <si>
    <t>Northern Trust Corp</t>
  </si>
  <si>
    <t>Bank investment holding company</t>
  </si>
  <si>
    <t>US - HSBC Holdings PLC of the UK was rumored to be planning to acquire the entire share capital of Northern Trust Corp, a Chicago-based commercial bank holding company. The Current status of this deal is unknown.</t>
  </si>
  <si>
    <t>First Ipswich Bancorp,MA</t>
  </si>
  <si>
    <t>US - Brookline Bancorp Inc acquired the entire share capital of First Ipswich Bancorp, a bank holding company, for USD 8.1 in cash per share, or a total value of USD 18.992 mil.</t>
  </si>
  <si>
    <t>BMP Sunstone Corp</t>
  </si>
  <si>
    <t>US - Sanofi-Aventis SA of France acquired the entire share capital of BMP Sunstone Corp, a Philadelphia-based manufacturer and wholesaler of pharmaceutical products, for USD 10 in cash per share, or a total value of USD 438. 684 mil.</t>
  </si>
  <si>
    <t>First Mercury Financial Corp</t>
  </si>
  <si>
    <t>US - Fairfax Financial Holdings Ltd merged with First Mercury Financial Corp, a Southfield-based insurance holding company, for USD 16.5 in cash per share, or a total value of USD 298.743 mil.</t>
  </si>
  <si>
    <t>Syniverse Technologies Inc</t>
  </si>
  <si>
    <t>US - Carlyle Group LLC acquired the entire share capital of Syniverse Holdings Inc, a Tampa-based provider of wireless voice and data services, for USD 31 in cash per share, or a total value of USD 2.213 bil, in a leveraged buyout transaction.</t>
  </si>
  <si>
    <t>US - CNA Financial Corp (CNA), a unit of Loews Corp, completed its tender offer to acquire the remaining 38% stake, or 16.859 common shares, which it did not already own, in CNA Surety Corp, a Chicago-based surety insurance company, for a sweetened USD 26.55 in cash per share or a total value of USD 447.618 mil, by accepting 15.088 mil shares, or 34.01% of CNA's common shares outstanding. Originally, CNA offered USD 22 in cash per share, or a total value of USD 370.908 mil.</t>
  </si>
  <si>
    <t>EXCO Resources Inc</t>
  </si>
  <si>
    <t>US - A management-led investor group (investor group), comprised of EXCO Resources Inc's (EXCO) Chief Executive Officer Douglas H. Miller, withdrew its plans to launch an unsolicited tender offer to acquire the entire share capital of EXCO, a Dallas-based oil and gas exploration and production company, for an amended USD 18.5 in cash per share, or a total value of USD 4.057 bil, in a leveraged buyout transaction. Originally, the investor group offered USD 20. 5 in cash per share, or a total value of USD 4.482 bil.</t>
  </si>
  <si>
    <t>Fortinet Inc</t>
  </si>
  <si>
    <t>Manufactures computer peripheral equip</t>
  </si>
  <si>
    <t>US - International Business Machines Corp was rumored to be planning to acquire Fortinet Inc, a Sunnyvale- based network security software development company. The Current status of this deal is unknown.</t>
  </si>
  <si>
    <t>Wilmington Trust Corp,DE</t>
  </si>
  <si>
    <t>US - M&amp;T Bank Corp (M&amp;T) acquired the entire share capital of Wilmington Trust Corp (Wilmington), a bank holding company, in a stock swap transaction valued at USD 682.526 mil, including the assumption of USD 330 mil in Wilmington TARP preferred stock. M&amp;T offered 0.051372 common share, per Wilmington share. Based on M&amp;T's closing stock price of USD 74.75 on 29 October 2010, the last full trading day prior to the announcement each Wilmington share was valued at USD 3.84. Originally, in October 2010, Wilmington was rumored to be seeking a buyer for the company and Bank of Montreal and Toronto-Dominion Bank were named potential bidders.</t>
  </si>
  <si>
    <t>Amsterdam Acquisition Sub Corp</t>
  </si>
  <si>
    <t>US - Amsterdam Acquisition Sub Corp, a wholly-owned unit of Oracle Corp merged with Art Technology Group Inc (Art) , a Cambridge-based developer of e-commerce software, for USD 6 in cash per share, or a total value of USD 992.051 mil.</t>
  </si>
  <si>
    <t>CFS Merger Sub Corp</t>
  </si>
  <si>
    <t>US - CFS Merger Sub Corp, a wholly-owned unit of ABRY Partners LLC's wholly-owned CFS Parent Corp subsidiary, merged with COMFORCE Corp, a Bethpage-based provider of staffing and consulting services, for USD 2.5 in cash per share, or a total value of USD 85.698 mil.</t>
  </si>
  <si>
    <t>TechTeam Global Inc</t>
  </si>
  <si>
    <t>Platinum Merger Sub Inc</t>
  </si>
  <si>
    <t>US - Platinum Merger Sub Inc, a wholly-owned unit of Stefanini International Holdings Ltd, completed its tender offer to acquire the entire share capital of TechTeam Global Inc, a Southfield-based provider of information technology outsourcing services, from Costa Brava Partnership III LP, Emancipation Capital LLC, and other undisclosed sellers, for USD 8.35 in cash per share, or a total value of USD 93.435 mil.</t>
  </si>
  <si>
    <t>North American Finl Hldgs Inc</t>
  </si>
  <si>
    <t>US - North American Financial Holdings Inc acquired a 84. 644% interest, or 71 mil new common shares, in Capital Bank Corp, a Raleigh-based commercial bank holding company, for USD 2.55 in cash per share, or a total value of USD 181.05 mil.</t>
  </si>
  <si>
    <t>Atlas Energy Inc</t>
  </si>
  <si>
    <t>Oil,gas expl,prodn,refinery co</t>
  </si>
  <si>
    <t>US - Chevron Corp acquired the entire share capital of Atlas Energy Inc (Atlas Energy), a Moon Township- based oil and gas exploration and production company, for USD 4.136 bil. The consideration consisted of USD 38.25 in cash per share, or a total value of USD 3.036 bil, and the assumption of an estimated USD 1.1 bil in liabilities. Concurrently, Atlas Pipeline Holdings LP acquired the upstream oil and gas assets of Atlas Energy, and Atlas Energy acquired a 49% interest in Laurel Mountain Midstream LLC. The three transactions were conditioned upon the completion of each deal.</t>
  </si>
  <si>
    <t>Arbinet Corp</t>
  </si>
  <si>
    <t>US - Primus Telecommunications Group Inc (Primus) acquired the entire share capital of Arbinet Corp, a Herndon-based provider of telecommunications services, for an estimated USD 28 mil in Primus common shares. Concurrently, in November 2010, Primus announced that it was seeking a buyer for its non-core European assets.</t>
  </si>
  <si>
    <t>Optelecom-NKF Inc</t>
  </si>
  <si>
    <t>TKH Group NV</t>
  </si>
  <si>
    <t>Manufacture special cables</t>
  </si>
  <si>
    <t>US - TKH Group NV of the Netherlands acquired the entire share capital of Optelecom-NKF Inc, a Germantown-based manufacturer and wholesaler of video surveillance products, for USD 2.45 in cash per share, or a total value of USD 9.071 mil.</t>
  </si>
  <si>
    <t>US - The government of the city of Nashua, through its wholly-owned subsidiary, merged with Pennichuck Corp, a Merrimack-based water utility and holding company, for USD 29 in cash per share, or a total value of USD 135. 207 mil.</t>
  </si>
  <si>
    <t>Bucyrus International Inc</t>
  </si>
  <si>
    <t>Mnfr,whl surface mining mach</t>
  </si>
  <si>
    <t>US - Caterpillar Inc acquired the entire share capital of Bucyrus International Inc (Bucyrus), a South Milwaukee- based manufacturer and wholesaler of surface mining machinery, hoists and cranes, aerospace systems and components, marine petroleum and steel industry products, for USD 92 in cash per share, or a total value of USD 7.453 bil, including an undisclosed amount in liabilities. The transaction included Bucyrus Colombia SAS. On completion, Bucyrus' shares were delisted from the Nasdaq Stock Exchange.</t>
  </si>
  <si>
    <t>Takeda Pharmaceutical Co Ltd</t>
  </si>
  <si>
    <t>US - Takeda Pharmaceutical Co Ltd of Japan was rumored to be planning to acquire the entire share capital of Genzyme Corp, a Cambridge- based biotechnology company. The Current status of this deal is unknown.</t>
  </si>
  <si>
    <t>Isilon Systems Inc</t>
  </si>
  <si>
    <t>Mnfr data storage system</t>
  </si>
  <si>
    <t>US - EMC Corp completed its tender offer to acquire the entire share capital of Isilon Systems Inc (Isilon), a Seattle-based manufacturer of data storage computer systems, for USD 33.85 in cash per share, or a total value of USD 2.248 bil. Originally, in October 2010, Isilon was rumored to be seeking a buyer for the company and Dell Inc and EMC Corp were named potential bidder.</t>
  </si>
  <si>
    <t>Ladish Co Inc</t>
  </si>
  <si>
    <t>Mnfr,whl metal components</t>
  </si>
  <si>
    <t>Allegheny Technologies Inc</t>
  </si>
  <si>
    <t>US - Allegheny Technologies Inc (Allegheny) acquired the entire share capital of Ladish Co Inc (Ladish), a Cudahy-based manufacturer and wholesaler of metal components, for USD 734.394 mil. Allegheny offered USD 24 in cash and 0.4556 common shares per Ladish share. Based on Allegheny's closing stock price of USD 49.94 on 16 November 2010, the last full trading day prior to the announcement, each Ladish share was valued at USD 46. 753.</t>
  </si>
  <si>
    <t>LTX-Credence Corp</t>
  </si>
  <si>
    <t>Mnfr automatic test equipments</t>
  </si>
  <si>
    <t>Verigy Ltd</t>
  </si>
  <si>
    <t>US - Verigy Ltd (Verigy) withdrew its definitive merger agreement with LTX- Credence Corp (LTX), a Milpitas-based manufacturer of automatic test equipment, in a stock swap transaction valued at USD 421.13 mil. Verigy offered 0.96 common shares per LTX share. Based on Verigy's closing stock price of USD 8.91 on 17 November 2010, the last full trading day prior to the announcement, each LTX share was valued at USD 8.554. Upon completion, LTX would own 56% and Verigy 44% of the combined company.</t>
  </si>
  <si>
    <t>Longview Software Acquisition</t>
  </si>
  <si>
    <t>US - Longview Software Acquisition Corp (Longview), a special purpose vehicle formed by Attachmate Corp, acquired the entire share capital of Novell Inc (Novell) , a Waltham-based developer of enterprise operating systems, for USD 6.1 in cash per share, or a total value of USD 2.207 bil. Previously, Elliott Associates LP withdrew its plan to launch an unsolicited tender offer to acquire the remaining 91. 5% interest, which it did not already own, in Novell.</t>
  </si>
  <si>
    <t>J Crew Group Inc</t>
  </si>
  <si>
    <t>Retail women's,men's apparel</t>
  </si>
  <si>
    <t>J Crew Group Inc SPV</t>
  </si>
  <si>
    <t>US - J Crew Group Inc SPV, a special purpose acquisition vehicle formed by TPG Capital LP and Leonard Green &amp; Partners LP, acquired the entire share capital of J Crew Group Inc, a New York- based retailer of women's and men's apparel, shoes and accessories, for USD 43.5 in cash per share, or a total value of USD 2.773 bil, in a leveraged buyout transaction.</t>
  </si>
  <si>
    <t>Del Monte Foods Co SPV</t>
  </si>
  <si>
    <t>US - Del Monte Foods Co SPV, a special purpose acquisition vehicle formed by Kohlberg Kravis Roberts &amp; Co LLP, Vestar Capital Partners, and Centerview Partners Holdings LLC, acquired the entire share capital of Del Monte Foods Co (Del Monte), a San Francisco-based producer of canned goods, for USD 19 in cash per share, or a total value of USD 5.157 bil, including the assumption of an estimated 1.3 bil in liabilities, in a leveraged buyout transaction. Originally in November 2010, Del Monte was rumored to be seeking a buyer for the company. Kohlberg Kravis Roberts &amp; Co and Apollo were named potential bidders.</t>
  </si>
  <si>
    <t>Veritas Capital Fund IV LP</t>
  </si>
  <si>
    <t>US - Veritas Capital Fund IV LP, a unit of Veritas Capital Partners LP, acquired the entire share capital of CPI International Inc, a Palo Alto-based manufacturer of microwave and control equipment, for USD 19.5 in cash per share, or a total value of USD 372.173 mil, in a leveraged buyout transaction.</t>
  </si>
  <si>
    <t>Baldor Electric Co</t>
  </si>
  <si>
    <t>Mnfr,whl elec motors,drives</t>
  </si>
  <si>
    <t>US - ABB Ltd (ABB) of Switzerland acquired the entire share capital of Baldor Electric Co (Baldor), a Fort Smith-based manufacturer and wholesaler of electric motors and drives, for USD 63.5 in cash per share, or a total value of USD 3.092 bil, via tender offer.  The offer was conditioned upon at least a 66.667% of Baldor's shares being tendered. Earlier, ABB completed the tender offer for the entire share capital of Baldor, by accepting 42. 415 mil shares or about 89. 93% Baldor's common shares outstanding. On completion, Baldor's common shares were delisted from the New York Stock Exchange.</t>
  </si>
  <si>
    <t>Mercer Insurance Group Inc</t>
  </si>
  <si>
    <t>Red Oak Acquisition Corp</t>
  </si>
  <si>
    <t>US - Red Oak Acquisition Corp, a special purpose acquisition vehicle formed by United Fire &amp; Casualty Co, merged with Pennington-based Mercer Insurance Group Inc, for USD 28.25 in cash per share, or a total value of USD 183.112 mil.</t>
  </si>
  <si>
    <t>Nicor Inc</t>
  </si>
  <si>
    <t>Natural gas utility company</t>
  </si>
  <si>
    <t>Integrys Energy Group Inc</t>
  </si>
  <si>
    <t>US - Integrys Energy Group Inc was rumored to be planning to acquire the entire share capital of Nicor Inc, a Naperville-based natural gas and utility company. The Current status of this deal is unknown.</t>
  </si>
  <si>
    <t>California Coastal Communities</t>
  </si>
  <si>
    <t>US - California Coastal Communities Inc (CC), an Irvine-based real estate development firm, completed its debt restructuring transaction with creditor (CR) . On completion, CRs were to hold 100% interest in the restructured CC. In October 2009, bankrupt CC announced that it was seeking a buyer for the company.</t>
  </si>
  <si>
    <t>US - AGL Resources Inc (AGL) merged with Nicor Inc (Nicor), a Naperville-based natural gas utility company, in a stock swap transaction valued at USD 2.382 bil. AGL offered USD 21.2 in cash and 0.8382 common shares per Nicor share. Based on AGLs closing stock price of USD 37.13 on 06 December 2010, the last full trading day prior to the announcement, each Nicor share was valued at USD 52. 322. Upon completion, AGL will own 67% and Nicor will own 33% of the combined company.</t>
  </si>
  <si>
    <t>Nara Bancorp Inc,LA,CA</t>
  </si>
  <si>
    <t>US - Nara Bancorp Inc (Nara) merged with Center Financial Corp (Center), a Los Angeles- based bank holding company, in a stock swap transaction valued at USD 285.59 mil. Nara offered 0.7804 common shares for every Center common share. Based on Nara's closing stock price of USD 9. 17 on 8 Dec 2010, the last full trading day prior to the announcement, each Center share was valued at USD 7.156. On completion, Nara owned 55% of the combined entity renamed BBCN Bancorp Inc.</t>
  </si>
  <si>
    <t>US - In December 2010, Charles River Laboratories International Inc, a Wilmington-based provider of laboratory research services, was rumored to be seeking a buyer for the company. The Current status of this deal is unknown.</t>
  </si>
  <si>
    <t>Uni-Select Inc</t>
  </si>
  <si>
    <t>Wholesale auto replacement parts</t>
  </si>
  <si>
    <t>US - Uni-Select Inc of Canada acquired the entire share capital of FinishMaster Inc, an Indianapolis-based wholesaler of automotive paint and coatings, from Lacy Distribution Inc, a unit of LDI Ltd LLC, for USD 210.663 mil. The consideration was to consist of USD 21 per share, or a total value of USD 165. 663 mil and the assumption of USD 45 mil in liabilities.</t>
  </si>
  <si>
    <t>US - Community Health Systems Inc (Community) withdrew its plans to launch an unsolicited tender offer to acquire the entire share capital of Tenet Healthcare Corp, a Dallas-based owner and operator of hospitals, from Cleveland Clinic Foundation and other shareholders, for a sweetened USD 7.25 in cash, or a total value of USD 3.849 bil. Originally, Community offered USD 5 in cash and USD 1 in Community common share per share.</t>
  </si>
  <si>
    <t>Compellent Technologies Inc</t>
  </si>
  <si>
    <t>Dvlp,whl storage software</t>
  </si>
  <si>
    <t>US - Dell Inc acquired the entire share capital of Compellent Technologies Inc (Compellent), an Eden Prairie- based developer and wholesaler of storage software, for USD 27.75 in cash per share, or a total value of USD 955.119 mil. Originally in October 2010, Compellent was rumored to be seeking a buyer for the company. Dell, HP, IBM, Oracle, NetApp, EMC and Cisco Systems Inc were named potential bidder.</t>
  </si>
  <si>
    <t>Dionex Corp</t>
  </si>
  <si>
    <t>Mnfr,whl chromatography sys</t>
  </si>
  <si>
    <t>Thermo Fisher Scientific Inc</t>
  </si>
  <si>
    <t>Mnfr analytical tech,equipment</t>
  </si>
  <si>
    <t>US - Thermo Fisher Scientific Inc completed its tender offer to acquire the entire share capital of Dionex Corp, a Sunnyvale-based manufacturer and wholesaler of chromatography systems, for USD 118.5 in cash per share, or a total value of USD 2.155 bil.</t>
  </si>
  <si>
    <t>TransForce Inc</t>
  </si>
  <si>
    <t>Provide transp,logistics svcs</t>
  </si>
  <si>
    <t>US - TransForce Inc of Canada acquired the entire share capital of Dynamex Inc, a Dallas-based provider of courier services, for USD 25 cash per share, or a total value of USD 246.474 mil. Originally, Transforce was rumored to be planning to acquire the entire share capital of Dynamex.</t>
  </si>
  <si>
    <t>Matrixx Initiatives Inc</t>
  </si>
  <si>
    <t>Wonder Holdings Inc</t>
  </si>
  <si>
    <t>US - HIG Capital LLC (HIG) acquired the entire share capital of Matrixx Initiatives Inc, a Phoenix- based manufacturer and wholesaler of pharmaceuticals products, for a sweetened USD 8.75 in cash per share, or a total value of USD 82.238 mil, via a tender offer, in a leveraged buyout transaction. Originally, HIG offered USD 8 in cash per share.</t>
  </si>
  <si>
    <t>Stanley Black &amp; Decker Inc</t>
  </si>
  <si>
    <t>Manufacture hardware products</t>
  </si>
  <si>
    <t>US - Stanley Black &amp; Decker acquired the entire share capital of InfoLogix Inc, a Hatboro-based provider of computer consulting services, from Hercules Technology Growth Capital Inc, for USD 4. 75 in cash per share, or a total value of USD 30.536 mil.</t>
  </si>
  <si>
    <t>North Penn Bancorp Inc</t>
  </si>
  <si>
    <t>Norwood Financial Corp</t>
  </si>
  <si>
    <t>US - Norwood Financial Corp (Norwood) merged with North Penn Bancorp Inc (North Penn), a Scranton-based bank holding company, in a stock swap transaction valued at USD 26.347 mil. Norwood offered a choice of 0.6829 shares per Norwood share or USD 19.12 per share, or a combination of stock and cash, subject to proration whereby 55% of the consideration was to paid in stock and 45% in cash. Based on Norwood's closing stock price of USD 28. 73 on 14 December, the last full trading day prior to the announcement, each North Penn share was valued at USD 19.62. On completion, North Penn merged with Wayne Bank.</t>
  </si>
  <si>
    <t>MidCarolina Financial Corp</t>
  </si>
  <si>
    <t>US - American National Bankshares Inc (American) merged with MidCarolina Financial Corp (MidCarolina) , a Burlington-based bank holding company, in a stock swap transaction valued at USD 39.028 mil. American offered 0.33 common shares per MidCarolina share. Based on American's closing stock price of USD 24 on 15 December 2010, the last full trading day prior to the announcement, each MidCarolina share was valued at USD 7.92.</t>
  </si>
  <si>
    <t>Citadel Broadcasting Corp</t>
  </si>
  <si>
    <t>US - Cumulus Media Inc (Cumulus) acquired the entire share capital of Citadel Broadcasting Corp (Citadel), a Las Vegas-based owner and operator of radio stations, for a sweetened USD 1.961 bil. Cumulus offered a choice of USD 37 in cash, 8.525 common shares, per Citadel share held, or a combination of cash and common shares. Originally, Cumulus offered USD 31 in cash per Citadel share.</t>
  </si>
  <si>
    <t>Bank of Montreal,Ontario,CA</t>
  </si>
  <si>
    <t>US - Bank of Montreal of Canada, acquired the entire share capital of Marshall &amp; Ilsley Corp (Marshall), a Milwaukee-based bank holding company, in a stock swap transaction valued at USD 4. 095 bil. Bank of Montreal offered 0.1257 common shares per Marshall share. Based on Bank of Montreal's closing stock price of USD 61.692 on 16 December 2010, the last full trading day prior to the announcement, each Marshall share was valued at USD 7.755. On completion, Marshall's shares were delisted from the New York Stock Exchange.</t>
  </si>
  <si>
    <t>US - JBS SA of Brazil was rumored to be planning to acquire the entire share capital of Sara Lee Corp, a Chicago-based producer and wholesaler of meats and baked goods. The Current status of this deal is unknown.</t>
  </si>
  <si>
    <t>American Surgical Holdings Inc</t>
  </si>
  <si>
    <t>Pvd surgical assistance svcs</t>
  </si>
  <si>
    <t>AH Holdings Inc</t>
  </si>
  <si>
    <t>US - AH Holdings Inc acquired the entire share capital of American Surgical Holdings Inc, a Houston-based provider of surgical assistance services, for USD 2.87 in cash per share, or a total value of USD 46.239 mil.</t>
  </si>
  <si>
    <t>Applied Signal Technology Inc</t>
  </si>
  <si>
    <t>Mnfr,whl signal equipment</t>
  </si>
  <si>
    <t>US - Raytheon Co acquired Applied Signal Technology Inc (Applied), a Sunnyvale-based manufacturer and wholesaler of signal reconnaissance equipment, via tender offer for USD 38 in cash per share, or a total value of USD 509. 054 mil. The offer was conditioned upon at least 76. 3% of Applied's shares being tendered. Originally, in October 2010, Applied was seeking a buyer for the company, and Raytheon, L-3 Communications Holdings Inc and Cobham Plc were named potential bidders.</t>
  </si>
  <si>
    <t>LaserCard Corp</t>
  </si>
  <si>
    <t>Mnfr optical memory cards</t>
  </si>
  <si>
    <t>ASSA ABLOY Inc</t>
  </si>
  <si>
    <t>Mnfr,whl mechanical locks</t>
  </si>
  <si>
    <t>US - ASSA ABLOY Inc, a wholly- owned unit of ASSA ABLOY AB, acquired the entire share capital of LaserCard Corp, a Mountain View-based manufacturer of optical memory cards, for USD 6.25 in cash per share, or a total value of USD 77.92 mil, via tender offer.</t>
  </si>
  <si>
    <t>Martek Biosciences Corp</t>
  </si>
  <si>
    <t>Mnfr,dvlp,whl medicinal chem</t>
  </si>
  <si>
    <t>Greenback Acquisition Corp</t>
  </si>
  <si>
    <t>US - Greenback Acquisition Corp, a special purpose acquisition vehicle formed by Royal DSM NV, acquired the entire share capital of Martek Biosciences Corp, a Columbia-based manufacturer, developer, and wholesaler of medicinal chemicals, via a tender offer for USD 31.5 in cash per share, or a total value of USD 1.055 bil.</t>
  </si>
  <si>
    <t>US - German American Bancorp Inc (GABC) merged with Evansville-based American Community Bancorp Inc (ACBI), in a stock swap transaction valued at USD 24.977 mil. GABC offered 0.725 common share per ACBI common share. The shares were valued based on GABC's closing stock price of USD 17.415 on 31 December 2010, the last full trading day prior to the announcement.</t>
  </si>
  <si>
    <t>Legacy Bancorp Inc</t>
  </si>
  <si>
    <t>US - Berkshire Hills Bancorp Inc (Berkshire) acquired the entire share capital of Pittsfield-based Legacy Bancorp Inc (Legacy) in a stock swap transaction valued at USD 114.915 mil. Berkshire offered USD 1.3 in cash and 0. 56385 common shares per Legacy share. Based on Berkshire's closing stock price of USD 21.28 on 21 December 2010, the last full trading day prior to the announcement, each Legacy share was valued at USD 13. 299. On completion, Legacy's shares were delisted from the Nasdaq Stock Exchange.</t>
  </si>
  <si>
    <t>Rovi Corp</t>
  </si>
  <si>
    <t>Lessors of Nonfinancial Intangible Assets</t>
  </si>
  <si>
    <t>US - Rovi Corp (Rovi) acquired the entire share capital of Sonic Solutions (Sonic), a Novato-based developer of digital media creation, management PC and CE software, for USD 741.761 mil, via a tender offer. The consideration consisted of USD 375.852 mil in cash and the issuance of 5.467 mil Rovi common shares valued at USD 315.785 mil. The shares were valued based on Rovi's closing stock price of USD 57. 76 on 21 December 2010, the last full trading day prior to the announcement. Rovi received irrevocable undertakings to accept the offer with respect to 90% of Sonic's entire share capital.</t>
  </si>
  <si>
    <t>US - Hancock Holding Co (Hancock) acquired the entire share capital of Whitney Holding Corp (Whitney), a New Orleans-based bank holding company, in a stock swap transaction valued at USD 1. 496 bil. Hancock offered 0. 418 common shares per Whitney share. Based on Hancocks closing stock price of USD 37. 04 on 21 December 2010, the last full trading day prior to the announcement, each Whitney share was valued at USD 15.483.</t>
  </si>
  <si>
    <t>Needle Holdings Inc</t>
  </si>
  <si>
    <t>US - Needle Holdings Inc, a wholly-owned unit of Leonard Green &amp; Partners LP, acquired the entire share capital of Jo-Ann Stores Inc, a Hudson- based owner and operator of fabric and drapery stores, for USD 61 in cash per share, or a total value of USD 1.664 bil, in a leveraged buyout transaction.</t>
  </si>
  <si>
    <t>Todd Shipyards Corp</t>
  </si>
  <si>
    <t>Provide ship building services</t>
  </si>
  <si>
    <t>Vigor Industrial LLC</t>
  </si>
  <si>
    <t>Manufacture ships,sea vessels</t>
  </si>
  <si>
    <t>US - Vigor Industrial LLC (Vigor) acquired the entire share capital of Todd Shipyards Corp (Todd), a Seattle-based provider of ship building services, for USD 22.27 in cash per share, or a total value of USD 128. 781 mil. Earlier, Vigor completed its tender offer of Todd, by accepting 5.121 mil shares, or 88% of Todd's common shares outstanding. The offer was conditioned upon at least a majority of Todd's shares being tendered.</t>
  </si>
  <si>
    <t>US - Broadcast International Inc, a Salt Lake City-based developer of internet software, completed its debt restructuring with creditors (CRs). The book value of the existing debt that was exchanged under the terms of the offer was USD 18.8 mil.</t>
  </si>
  <si>
    <t>United PanAm Financial Corp</t>
  </si>
  <si>
    <t>Pvd specialty finance services</t>
  </si>
  <si>
    <t>US - An investor group, comprised of United PanAm Financial Corp Chairman (United PanAm) Guillermo Bron and Pine Brook Road Partners LLC, merged with United PanAm, an Irvine-based provider of specialty finance services, for USD 7.05 in cash per share, or a total value of USD 111.056 mil, in a leveraged buyout transaction.</t>
  </si>
  <si>
    <t>Universal American Corp</t>
  </si>
  <si>
    <t>US - CVS Caremark Corp (CVS) acquired the entire share capital of Universal American Corp, a Rye Brook-based provider of insurance services, from Perry Capital Corp (9.24%) and other shareholders, for a sweetened USD 14 in cash per share, or a total value of USD 1.059 bil. Originally, CVS offered USD 13 in cash per share.</t>
  </si>
  <si>
    <t>Huntingdon REIT</t>
  </si>
  <si>
    <t>US - Huntingdon Real Estate Investment Trust (Huntingdon) of Canada withdrew its plans to launch an unsolicited offer to acquire the entire share capital of Fisher Communications Inc (Fisher), a Seattle-based owner and operator of radio and television broadcasting station, in a stock swap transaction valued at a choice of USD 222.053 mil. Huntingdon offered 3.58 units per Fisher common share. Based on Huntingdon's closing stock price of USD 7.059 on 31 December 2010, each Fisher share was valued at USD 25. 271. Subsequently, Huntingdon offered USD 217.215 mil. The consideration was to consist of USD 106.188 mil in cash and the issuance of 15.728 mil Huntingdon new units valued at USD 111.026 mil.</t>
  </si>
  <si>
    <t>FCB I Acquisition Corp</t>
  </si>
  <si>
    <t>US - FCB I Acquisition Corp, a special purpose vehicle formed by Footstar Inc's FCB I Holdings Inc unit, merged with CPEX Pharmaceuticals Inc, an Exeter-based manufacturer of pharmaceuticals, for USD 27.25 in cash per share, or a total value of USD 77.123 mil.</t>
  </si>
  <si>
    <t>T Merger Sub Inc</t>
  </si>
  <si>
    <t>US - T Merger Sub Inc, a special purpose acquisition vehicle formed by QUALCOMM Inc (QUALCOMM), acquired the entire share capital of Atheros Communications Inc (Atheros), a Santa Clara- based manufacturer of semiconductors, for USD 45 in cash per share, or a total value of USD 3.457 bil. On completion, Atheros was renamed Qualcomm Atheros Inc. Originally QC was rumored to be planning to acquire AC.</t>
  </si>
  <si>
    <t>Hawaiian Electric Industries</t>
  </si>
  <si>
    <t>Kuokoa Inc</t>
  </si>
  <si>
    <t>US - Kuokoa Inc was rumored to be planning to acquire the entire share capital of Hawaiian Electric Industries Inc {HEI}, a Honolulu-based electric utility company. The Current status of this deal is unknown.</t>
  </si>
  <si>
    <t>Standard Microsystems Corp</t>
  </si>
  <si>
    <t>Manufacture integrated circuit</t>
  </si>
  <si>
    <t>US - Standard Microsystems Corp (SMC) withdrew its agreement to acquire the entire share capital of Conexant Systems Inc, a Newport Beach-based manufacturer of semiconductors, for an estimated USD 284 mil in cash and SMC common stock, including up to an undisclosed amount in liabilities, subject to a collar agreement. Subsequently, Golden Gate Private Equity planned to launch a challenging tender offer to acquire Conexant.</t>
  </si>
  <si>
    <t>US - Duke Energy Corp (Duke) merged with Progress Energy Inc (Progress), a Raleigh- based electric and gas utility company, in a stock swap transaction valued at USD 25.818 bil, including the assumption of USD 12.2 bil in liabilities. Duke offered 2. 6125 ordinary shares per Progress share. Based on Duke's closing stock price of USD 17.79 on 7 January 2011, the last full trading day prior to the announcement, each Progress share was valued at USD 46.478. On completion, the merged entity was renamed Duke, Progress and Duke shareholders owned 37% and 63%, respectively, in the combined company. Originally, Duke was rumored to be planning to acquire the entire share capital of Progress.</t>
  </si>
  <si>
    <t>Sara Lee Corp SPV</t>
  </si>
  <si>
    <t>US - Sara Lee Corp SPV, an special purpose acquisition vehicle formed by Apollo Global Management LLC, C Dean Metropoulos, Bain Capital LLC and TPG Capital LLC, was rumored to be planning to acquire the entire share capital of Sara Lee Corp, a Chicago-based producer and wholesaler of meats and baked goods, in a leveraged buyout transaction. Terms were not disclosed but, according to sources close to the situation, the deal was rumored to be valued at an estimated USD 12.338 mil. The Current status of this deal is unknown.</t>
  </si>
  <si>
    <t>US - Vector Capital Corp (Vector) acquired the entire share capital of RAE Systems Inc, a San Jose-based manufacturer of multi-sensor monitors, for a four-time sweetened USD 2.25 in cash per share, or a total value of USD 133.889 mil, in a leverage buyout transaction. Previously, Vector offered a thrice sweetened of USD 2.05 in cash per share. Subsequently, Vector offered a twice sweetened of USD 2 in cash per share. Previously, Vector offered a sweetened USD 1.88 in cash per share. Originally, Vector offered a USD 1.75 in cash per share.</t>
  </si>
  <si>
    <t>Technology Research Corp</t>
  </si>
  <si>
    <t>Mnfr electrical safety devices</t>
  </si>
  <si>
    <t>Coleman Cable Inc</t>
  </si>
  <si>
    <t>Mnfr elec,electn wire,cable</t>
  </si>
  <si>
    <t>US - Coleman Cable Inc (Coleman) acquired the remaining 95.11% interest, or 6.297 mil common shares, which it did not already own, in Technology Research Corp, a Clearwater-based manufacturer and wholesaler of electrical safety and electronic control and measurement devices, for a sweetend USD 7.2 in cash per share, or a total value USD 45.341 mil. Previously, Coleman USD 5.5 in cash per share, or a total value of USD 34.635 mil, via an tender offer.</t>
  </si>
  <si>
    <t>US - People's United Financial Inc (People's United) acquired the entire share capital of Danvers Bancorp Inc (Danvers), a Danvers-based stock savings holding bank, via tender offer, for USD 23 in cash and People's United common share per share, or a total value of USD 497.731 mil. Alternatively, People's United offered 1.624 common shares and cash for every Danvers common share, or an alternative total value of USD 474.048. Based on People's United's closing stock price of USD 13.95 on 19 Jan 2011, the last full trading day prior to the announcement, each Danvers common share was valued at an alternative price of USD 22. 655 per share.</t>
  </si>
  <si>
    <t>Pre-Paid Legal Services Inc</t>
  </si>
  <si>
    <t>Provide legal services</t>
  </si>
  <si>
    <t>Legal Services</t>
  </si>
  <si>
    <t>US - Cerberus Capital Management LP was rumored to be planning to acquire the entire share capital of Pre- Paid Legal Services Inc, an Ada-based provider of legal services, in a leveraged buyout transaction. The Current status of this deal is unknown.</t>
  </si>
  <si>
    <t>NovaMed Inc</t>
  </si>
  <si>
    <t>Own,op ambulatory surgery ctr</t>
  </si>
  <si>
    <t>Surgery Partners Holdings LLC</t>
  </si>
  <si>
    <t>Own,op ambulatory surgical ctr</t>
  </si>
  <si>
    <t>US - Surgery Partners Holdings LLC, a wholly-owned unit of HIG Capital LLC, acquired the entire share capital of NovaMed Inc, a Chicago-based owner and operator of ambulatory surgery centers, for USD 13. 25 in cash per share, or a total value of USD 105.595 mil.</t>
  </si>
  <si>
    <t>SRA International Inc</t>
  </si>
  <si>
    <t>Pvd programming,consulting svc</t>
  </si>
  <si>
    <t>Serco Group PLC</t>
  </si>
  <si>
    <t>US - Serco Group PLC of the UK discontinued rumors that it was planning to acquire SRA International Inc, a Fairfax-based provider of technology and consulting services.</t>
  </si>
  <si>
    <t>Smurfit-Stone Container Corp</t>
  </si>
  <si>
    <t>Mnfr paper-based pkg prod</t>
  </si>
  <si>
    <t>Rock-Tenn Co</t>
  </si>
  <si>
    <t>US - Rock-Tenn Co acquired the entire share capital of Smurfit-Stone Container Corp (Smurfit), a Creve Coeur- based manufacturer of paper- based packaging products, for USD 4.509 bil. The consideration consisted of USD 17.5 in cash and 0.306 common share for every Smurfit common share and the assumption of USD 700 mil in liabilities. Based on Rock- Tenn's closing stock price of USD 57.18 on 21 January 2011, the last full trading day prior to the announcement, each Smurfit share was valued at USD 35.</t>
  </si>
  <si>
    <t>Genoptix Inc</t>
  </si>
  <si>
    <t>Pvd bone marrow testing svcs</t>
  </si>
  <si>
    <t>Novartis Finance SA</t>
  </si>
  <si>
    <t>US - Novartis Finance SA (Novartis) of Luxembourg, a unit of Novartis AG, acquired an 80.195% interest, or 14. 122 mil common shares, in Genoptix Inc (Genoptix), a Carlsbad-based provider of bone marrow testing services, for USD 25 in cash per share, or a total value of USD 353. 039 mil, via a tender offer. Concurrently, Novartis agreed to acquire the remaining 19. 805% stake, or 3.488 mil common shares which it did not already onw, in Genoptix. Originally, in December 2010, Genoptix was rumored to be seeking a buyer for the company.</t>
  </si>
  <si>
    <t>Abington Bancorp,Jenkintown,PA</t>
  </si>
  <si>
    <t>US - Susquehanna Bancshares Inc (Susquehanna) acquired the entire share capital of Abington Bancorp Inc (Abington), a Jenkintown- based bank holding company, in a stock swap transaction valued at USD 272.9 mil. Susquehanna offered 1.32 shares for every Abington common share. Based on Susquehanna's closing stock price of USD 9.88 on 25 Jan 2011, the last full trading day prior to the announcement, each Abington common share was valued at USD 13.042.</t>
  </si>
  <si>
    <t>AMB Property Corp</t>
  </si>
  <si>
    <t>RE investment,development firm</t>
  </si>
  <si>
    <t>US - AMB Property Corp (AMB) merged with ProLogis, Denver- based real estate investment trust, in a stock swap transaction valued at USD 8. 365 bil, via a merger of equals and reverse takeover transaction. AMB offered 0. 4464 new common share per ProLogis share. Based on AMB's closing stock price of USD 32.93 on 28 January 2011, the last full trading day prior to the announcement, each ProLogis share was valued at USD 14.7. On completion, the merged entity was named ProLogis Inc.</t>
  </si>
  <si>
    <t>Terremark Worldwide Inc</t>
  </si>
  <si>
    <t>Pvd IT infrastructure svcs</t>
  </si>
  <si>
    <t>Verizon Holdings Inc</t>
  </si>
  <si>
    <t>US - Verizon Holdings Inc, a wholly-owned unit of Verizon Communications Inc, acquired the entire share capital of Terremark Worldwide Inc (Terremark), a Miami-based provider of information technology infrastructure services, for USD 19 in cash per share, or a total value of USD 1.372 bil, via a tender offer. The offer was conditioned upon at least 50% of Terremark's shares being tendered.</t>
  </si>
  <si>
    <t>Massey Energy Co</t>
  </si>
  <si>
    <t>US - Alpha Natural Resources Inc (Alpha) acquired the entire share capital of Massey Energy Co (Massey), a Richmond-based coal mining company, in a stock swap transaction valued at USD 7. 165 bil. Alpha offered USD 10 in cash and 1.025 common share for every Massey share. Based on Alpha's closing stock price of USD 57.88 on 28 January 2011, the last full trading day prior to the announcement, each Massey share was valued at USD 69. 327. Originally, Massey was rumored to be seeking a buyer for the company. Alpha, ArcelorMittal SA, and Coal India Ltd were named potential bidders.</t>
  </si>
  <si>
    <t>MidOcean Partners LLP</t>
  </si>
  <si>
    <t>US - MidOcean Partners LP, a unit of Ripplewood Holdings LLC, acquired the entire share capital of Pre-Paid Legal Services Inc, an Ada- based provider of legal services, for USD 66.5 in cash per share, or a total value of USD 651.052 mil, in a leveraged buyout transaction.</t>
  </si>
  <si>
    <t>Answers Corp</t>
  </si>
  <si>
    <t>AFCV Holdings LLC</t>
  </si>
  <si>
    <t>US - AFCV Holdings LLC acquired the entire share capital of Answers Corp, a New York-based provider of Internet search engine services, for USD 10.5 in cash per share, or a total value of USD 110.923 mil.</t>
  </si>
  <si>
    <t>Silverleaf Resorts Inc</t>
  </si>
  <si>
    <t>Own,op time-share resorts</t>
  </si>
  <si>
    <t>SL Resort Holdings Inc</t>
  </si>
  <si>
    <t>US - SL Resort Holdings Inc, a wholly-owned unit of Cerberus Capital Management LP, merged with Silverleaf Resorts Inc, a Dallas-based owner and operator of time- share resorts, for USD 2.5 in cash per share, or a total value of USD 94.422 mil.</t>
  </si>
  <si>
    <t>US - Danaher Corp (Danaher) completed its tender offer to acquire the entire share capital of Beckman Coulter Inc (Beckman), a Brea-based manufacturer of laboratory instruments, for USD 83.5 in cash per share, or a total value of USD 5.782 bil. Originally, Beckman was rumored to be seeking a buyer for the company. Danaher Corp and Thermo Fisher Scientific Inc, Blackstone Group LP and Kohlberg Kravis Roberts &amp; Co were rumored to be potential bidders. On completion, Danaher was to apply for the delisting of Beckman from the New York Stock Exchange.</t>
  </si>
  <si>
    <t>Golden Gate Private Equity Inc</t>
  </si>
  <si>
    <t>US - Golden Gate Private Equity Inc (GG) acquired the entire share capital of Conexant Systems Inc (Conexant), a Newport Beach- based manufacturer of semiconductors, for an amended USD 2.4 cash per share, or a total value of USD 196.951 mil cash, in a challenging tender offer. Originally, GG offered USD 2. 45 cash per share or a total value of USD 201.055. Previously, Standard Microsystems Corp definitively agreed to acquire the entire share capital of Conexant.</t>
  </si>
  <si>
    <t>Pvd med equip rental svcs</t>
  </si>
  <si>
    <t>US - Universal Hospital Services Inc, a unit of the Bear Stearns Merchant Banking subsidiary of JPMorgan Chase &amp; Co's Bear Stearns Cos Inc unit, acquired the entire share capital of Emergent Group Inc (Emergent), a Sun valley-based provider of laser equipment rental services, via a tender offer for USD 8.46 in cash per share, or a total value of USD 58.841 mil. The offer was conditioned upon at least 65% of Emergent's shares being tendered.</t>
  </si>
  <si>
    <t>Endwave Corp</t>
  </si>
  <si>
    <t>Mnfr,whl RF subsystems</t>
  </si>
  <si>
    <t>GigOptix Inc</t>
  </si>
  <si>
    <t>US - GigOptix Inc acquired the entire share capital of Endwave Corp (Endwave), a San Jose-based manufacturer and wholesaler of RF subsystems, in an amended stock swap transaction valued at USD 21. 359 mil. GigOptix offered 0. 908 common share per Endwave share. Originally GigOptix offered 0.91 common share per Endwave share. Based on GigOptix's closing stock price of USD 2.4 on 16 June 2011, the last full trading day prior to the amendment of the terms, each Endwave share was valued at USD 2.179.</t>
  </si>
  <si>
    <t>Lanza Acquisition Co</t>
  </si>
  <si>
    <t>Pvd natl defense,sec svcs</t>
  </si>
  <si>
    <t>US - Lanza Acquisition Co, a wholly owned unit of Kratos Defense &amp; Security Solutions Inc completed its tender offer to acquire the entire share capital of Herley Industries Inc (Herley), a Lancaster-based manufacturer of microwave components, search and navigation equipment, radar systems and equipment and electronic connectors, for USD 19 in cash per share, or a total value of USD 279.252 mil. Originally, in September 2008, Herley announced that it was seeking a buyer for the company.</t>
  </si>
  <si>
    <t>Ensco PLC</t>
  </si>
  <si>
    <t>Oil,gas contract drilling</t>
  </si>
  <si>
    <t>US - Ensco PLC (Ensco) of the UK merged with Pride International Inc (Pride), a Houston-based provider of oil and gas well drilling services, for USD 7.306 bil. Ensco offered USD 15.6 in cash and 0.4778 new ordinary shares per Pride share. Based on Ensco's closing stock price of USD 54.41 on 4 February 2011, the last full trading day prior to the announcement, each Pride share was valued at USD 41. 597. On completion, Ensco and Pride owned 62% and 38% in the merged entity, respectively. Originally, in November 2010, Pride was rumored to be seeking a buyer for the company. Seadrill Ltd and Ensco were rumored bidders.</t>
  </si>
  <si>
    <t>RehabCare Group Inc</t>
  </si>
  <si>
    <t>Pvd physical rehab mgmt svcs</t>
  </si>
  <si>
    <t>Kindred Healthcare Inc</t>
  </si>
  <si>
    <t>US - Kindred Healthcare Inc (Kindred) merged with RehabCare Group Inc (RehabCare), a St. Louis- based provider of physical rehabilitation management services, for USD 35.175 per share, or a total value of USD 1.286 bil. The consideration consisted of USD 26 in cash and 0.471 Kindred common share for every RehabCare common share and the assumption of USD 400 mil in liabilities. Based on Kindred's closing stock price of USD 19.48 on 7 Feb 2011, the last full trading day prior to the announcement, the stock portion of each RehabCare common share was valued at USD 9.175.</t>
  </si>
  <si>
    <t>Retail Ventures Inc</t>
  </si>
  <si>
    <t>Own,op footwear ret stores</t>
  </si>
  <si>
    <t>DSW Inc</t>
  </si>
  <si>
    <t>Own,op shoe,handbag stores</t>
  </si>
  <si>
    <t>US - DSW Inc (DSW) merged with Retail Ventures Inc (RVI) , a Columbus-based owner and operator of shoe and handbag stores, in a stock swap reverse takeover transaction valued at USD 914.001 mil, including the assumption of USD 134 mil in liabilities. DSW offered 0.435 common share per RVI share. Based on DSW's closing stock price of USD 35.68 on 7 February 2011, each DSW share was valued at USD 15.521. On completion, DSW applied for the delisting of RVI from the New York stock exchange.</t>
  </si>
  <si>
    <t>US - Deutsche Boerse AG (Deutsche) of Germany withdrew its agreement to acquire the entire share capital of NYSE Euronext Inc (NYSE), a New York-based provider of securities and brokerage services, to form Alpha Beta Netherlands Holding NV (Alpha), in a stock swap transaction valued at USD 10.164 bil. NYSE common shareholders were to receive 0.47 Alpha common share and Deutsche common shareholders were to receive 1 Alpha common share per share held. Based on Deutsche's closing stock price of USD 82.782 on 14 February 2011, the last full trading day prior to the announcement, each NYSE share was valued at USD 38.908. Upon completion, Deutsche shareholders were to own 60% interest of Alpha and NYSE shareholders were to own the remaining 40%. Subsequently, an investor group, comprised of Nasdaq OMX Group Inc and Intercontinental Exchange Inc, withdrew its plans to launch an unsolicited challenging offer to acquire the entire share capital of NYSE.</t>
  </si>
  <si>
    <t>XETA Technologies Inc</t>
  </si>
  <si>
    <t>Mnfr voice,data commun sys</t>
  </si>
  <si>
    <t>Hera Corp</t>
  </si>
  <si>
    <t>Pvd data,voice commun svcs</t>
  </si>
  <si>
    <t>US - Hera Corp, a wholly- owned unit of PAETEC Holding Corp, acquired the entire share capital of XETA Technologies Inc, a Broken Arrow-based manufacturer of voice and data communication systems, for USD 5.5 in cash per share, or a total value of USD 58.846 mil.</t>
  </si>
  <si>
    <t>AML Communications Inc</t>
  </si>
  <si>
    <t>Mnfr radio frequency amplifier</t>
  </si>
  <si>
    <t>Anaren Inc</t>
  </si>
  <si>
    <t>US - Anaren Inc withdrew its agreement to merge with AML Communications Inc (AML), a Camarillo-based manufacturer of radio communication equipment, for USD 2.15 cash per share, or a total value of USD 26.085 mil. Subsequently, Microsemi Corp completed its challenging offer to acquire the entire share capital of AML.</t>
  </si>
  <si>
    <t>Emergency Medical Svcs Corp</t>
  </si>
  <si>
    <t>Pvd emergency med care svcs</t>
  </si>
  <si>
    <t>Clayton Dubilier &amp; Rice LLC</t>
  </si>
  <si>
    <t>US - Clayton, Dubilier &amp; Rice LLC (Clayton) acquired the entire share capital of Emergency Medical Services Corp (Emergency), a Greenwood Village-based provider of emergency medical care services, from Onex Partners LP and other undisclosed shareholders, via auction, for USD 64 in cash per share, or a total value of USD 2.823 bil, in a leveraged buyout transaction. On completion, Clayton was to apply for the delisting of Emergency shares from the New York Stock Exchange. Originally, in February 2011, Emergency was rumored to be seeking a buyer for the company. Bain Capital and Clayton Dubilier &amp; Rice were named potential bidders.</t>
  </si>
  <si>
    <t>Hughes Communications Inc</t>
  </si>
  <si>
    <t>Pvd broadband satellite svcs</t>
  </si>
  <si>
    <t>Broadband Acquisition Corp</t>
  </si>
  <si>
    <t>Pvd satellite cable svcs</t>
  </si>
  <si>
    <t>US - Broadband Acquisition Corp, a wholly-owned unit of EchoStar Corp, merged with Hughes Communications Inc (Hughes), a Germantown-based provider of broadband satellite network services, and a majority-owned unit of Apollo Management LP (Apollo), for USD 60.7 in cash per share, or a total value of USD 1.325 bil. Originally, In January 2011, Apollo was rumored to be seeking a buyer for Hughes.</t>
  </si>
  <si>
    <t>Five Mile Capital Partners LLC</t>
  </si>
  <si>
    <t>US - Five Mile Capital Partners LLC acquired the entire share capital of Prime Group Realty Trust, a Chicago- based real estate investment trust, from Lightstone Group LLC, for USD 0.625 mil.</t>
  </si>
  <si>
    <t>Alabama Aircraft Industries</t>
  </si>
  <si>
    <t>Mnanufacture aircraft,parts</t>
  </si>
  <si>
    <t>US - Alabama Aircraft Industries Inc, a Birmingham- based manufacturer of aircraft and parts, planned to a debt restructuring transaction with creditors.</t>
  </si>
  <si>
    <t>Family Dollar Stores Inc</t>
  </si>
  <si>
    <t>Own,operate discount retail stores</t>
  </si>
  <si>
    <t>Trian Group</t>
  </si>
  <si>
    <t>US - Trian Group withdrew its plans to launch an unsolicited offer to acquire the remaining 92.115% interest, or 116.42 mil common shares, in Family Dollar Stores Inc, a Charlotte-based owner and operator of discount retail stores, for an estimated USD 60 in cash per share, or a total value of USD 6.985 bil.</t>
  </si>
  <si>
    <t>US - Convergys Corp, a Cincinnati-based provider of business process outsourcing (BPO) services, discontinued rumors that it was seeking a buyer for the company. Amdocs Ltd, SAP AG and Oracle Corp were rumored potential bidders.</t>
  </si>
  <si>
    <t>LaBranche &amp; Co Inc</t>
  </si>
  <si>
    <t>Louisiana Merger Sub Inc</t>
  </si>
  <si>
    <t>US - Louisiana Merger Sub Inc, a wholly-owned unit of Cowen Group Inc (Cowen), merged with LaBranche &amp; Co Inc (LaBranche), a New York-based securities brokerage firm, in a stock swap transaction valued at USD 192.813 mil. Cowen offered 0.998 class A common share for every LaBranche common share. Based on Cowen's closing stock price of USD 4.72 on Feb 16, the last full trading day prior to the announcement, each LaBranche common share was valued at USD 4.711.</t>
  </si>
  <si>
    <t>American Apparel Inc</t>
  </si>
  <si>
    <t>Mnfr,whl fashion apparel</t>
  </si>
  <si>
    <t>US - American Apparel Inc, a Los Angeles-based manufacturer and wholesaler of fashion apparel, completed its debt restructuring transaction with creditors.</t>
  </si>
  <si>
    <t>Stapleton Acquisition Co</t>
  </si>
  <si>
    <t>US - Stapleton Acquisition Co (SAC) acquired the remaining 51.864% interest, or 0.649 mil common shares, which it did not already own, in SonomaWest Holdings Inc (SHI), a Sebastopol-based real estate management firm, via tender offer, for a sweetened USD 10.05 in cash per share, or a total value of USD 6.523 mil. The offer is conditional upon at least 90% of SHI shares being tendered. Originally, SAC offered USD 8. 9 in cash per SHI share.</t>
  </si>
  <si>
    <t>US 1 Industries Inc</t>
  </si>
  <si>
    <t>Pvd long haul trucking svcs</t>
  </si>
  <si>
    <t>Trucking Investments Co Inc</t>
  </si>
  <si>
    <t>US - Trucking Investments Co Inc acquired the entire share capital of US 1 Industries Inc, a Valparaiso-based provider of long haul trucking services, ofr USD 1. 43 cash per share, or a total value of USD 20.226 mil.</t>
  </si>
  <si>
    <t>US - CSR PLC (CSR) of the UK merged with Zoran Corp (Zoran) , a Sunnyvale-based manufacturer of programmable semiconductors for digital processing applications, for an amended USD 475.865 mil. CSR offered USD 6.26 in cash and 0.589 ordinary share per Zoran share. Based on CSR's closing stock price of USD 4. 98 on 16 June 2011, the last full trading day prior to the announcement, each Zoran share was valued at USD 2.933. Previously, CSR offered 1.85 ordinary shares per Zoran share.</t>
  </si>
  <si>
    <t>Magnolia Acquisition Corp</t>
  </si>
  <si>
    <t>US - Magnolia Acquisition Corp (Magnolia), a special purpose acquisition vehicle formed by Forest Laboratories Inc, acquired the entire share capital of Clinical Data Inc (Clinical), a Newton- based biotechnology company, for USD 30 in cash and USD 6 in profit related payments per share, or a total value of USD 1.2 bil. Earlier, Magnolia completed its tender offer for Clinical by accepting 27.868 mil shares, or 90.03% of Clinical's common shares outstanding. The offer was conditioned upon at least a 78.8% of Clinical's shares being tendered.</t>
  </si>
  <si>
    <t>US - Holly Corp (Holly) merged with Frontier Oil Corp (Frontier), a Houston-based manufacturer and wholesaler of crude oil and petroleum products, in a stock swap merger of equals transaction valued at USD 2.854 bil. Holly offered 0.481 new common shares per Frontier share. Based on Holly's closing stock price of USD 56. 11 on 21 February 2011, the last full trading day prior to the announcement, each Frontier share was valued at USD 26.995. On completion, the combined entity was renamed HollyFrontier Corp.</t>
  </si>
  <si>
    <t>US - Carl Icahn withdrew its plans to launch a tender offer to acquire the remaining 88.24% interest, or 96.775 mil common shares, which it did not already own, in Mentor Graphics Corp, a Wilsonville-based developer of electronic design automation systems, for USD 17 in cash per share, or a total value of USD 1.645 bil.</t>
  </si>
  <si>
    <t>Talon Merger Sub Inc</t>
  </si>
  <si>
    <t>US - Talon Merger Sub Inc, a unit of Golden Gate Capitals Talon Holdings Inc subsidiary, acquired the entire share capital of Tollgrade Communications Inc, a Cheswick-based network assurance software, for USD 10.10 in cash per share, or a total value of USD 131.365 mil, in a leveraged buyout transaction.</t>
  </si>
  <si>
    <t>American Eagle Energy Inc</t>
  </si>
  <si>
    <t>Natural resource mining co</t>
  </si>
  <si>
    <t>Eternal Energy Corp</t>
  </si>
  <si>
    <t>US - Eternal Energy Corp (Eternal) merged with American Eagle Energy Inc (American), a Montana-based natural resource company, in a stock swap transaction valued at USD 38.692 mil, in a reverse takeover transaction. Eternal offered 3.641 common shares per American share. Based on Eternal's closing stock price of USD 0.245 on 18 November 2011, the last full trading day prior to the announcement, each American share was valued at USD 0.892. On completion, the merged entity was named American Eagle Energy Corp, and Eternal and American shareholders owned 20.613% and 79.387% respectively.</t>
  </si>
  <si>
    <t>Piedmont Community Bank Group</t>
  </si>
  <si>
    <t>US - Piedmont Community Bank Holdings Inc (Piedmont) acquired a 65.988% interest, or 18.75 mil new common shares, in Crescent Financial Corp (Crescent), a Cary-based bank holding company, for USD 4 per share, or a total value of USD 75 mil. Concurrently, Piedmont definitively agreed to raise its interest to 88. 661% from 65.998% by acquiring a further 22.663% stake in Crescent, via tender offer.</t>
  </si>
  <si>
    <t>Duncan Energy Partners LP</t>
  </si>
  <si>
    <t>DEP Holdings LLC</t>
  </si>
  <si>
    <t>US - DEP Holdings LLC, a wholly-owned unit of Enterprise Products Partners LP (Enterprise) merged with Duncan Energy Partners LP (Duncan), a Houston-based provider of natural gas distribution services and a 58.7%-owned unit of Enterprise, in a stock swap transaction valued at USD 1. 045 bil. Enterprise offered a sweetened 1.01 units per Duncan unit. Originally, Enterprise offered 0.9545 unit per Duncan unit. Based on Enterprise's closing stock price of USD 43.39 on 28 April 2011, the last full trading day prior to the announcement, each Duncan unit was valued at USD 43.824.</t>
  </si>
  <si>
    <t>Exlservice Holdings Inc</t>
  </si>
  <si>
    <t>US - ExlService Holdings Inc, a New York-based provider of outsourcing services was rumored to be seeking a buyer for the company. L&amp;T Infotech was a rumored bidder. The Current status of this deal is unknown.</t>
  </si>
  <si>
    <t>Nationwide Health Properties</t>
  </si>
  <si>
    <t>US - Ventas Inc (Ventas) acquired Nationwide Health Properties Inc (NHP), a Newport Beach-based real estate investment trust, in a stock swap transaction valued at USD 5.793 bil. Ventas offered 0.7866 common share per every NHP share held. The shares were valued based on Ventas closing stock price of USD 57.19 on February 25, the last full trading day prior to the annoucement. On completion, Ventas shareholder owned 65% and NHP shareholders owned the remaining 35% in the combined company, and NHP shares were delisted from the New York Stock Exchange.</t>
  </si>
  <si>
    <t>Pulse Electronics Corp</t>
  </si>
  <si>
    <t>US - Bel Fuse Inc (Bel) withdrew its unsolicited plans to acquire the entire share capital of Pulse Electronics Corp (Pulse) , a Trevose-based manufacturer of electronic components, for USD 6 per share, or a total value of USD 248.970 mil. Originally, in December 2011, Bel was rumored to be acquiring Pulse.</t>
  </si>
  <si>
    <t>Whiskey Acquisition Corp</t>
  </si>
  <si>
    <t>US - Whiskey Acquisition Corp, a unit of Beecken Petty OKeefe &amp; Co's Valitas Health Services Inc subsidiary, merged with America Service Group Inc (America), a Brentwood-based provider of managed healthcare services, for USD 26 in cash per share, or a total value of USD 241. 695 mil. On completion. America will be delisted from NASDAQ.</t>
  </si>
  <si>
    <t>Global Defense Tech &amp; Sys Inc</t>
  </si>
  <si>
    <t>Pvd technology-based services</t>
  </si>
  <si>
    <t>Sentinel Acq Hldg Corp</t>
  </si>
  <si>
    <t>US - Sentinel Acquisition Holdings Inc, a wholly-owned unit of Ares Management LLC acquired the entire share capital of Global Defense Technology &amp; Systems Inc, a Mclean-based provider of technology-based services, for USD 24.5 in cash per share, or a total value of USD 221.81 mil, via a tender offer.</t>
  </si>
  <si>
    <t>Federal-Mogul Corp</t>
  </si>
  <si>
    <t>Manufacture,wholesale bearings,vehicle parts</t>
  </si>
  <si>
    <t>US - In March 2011, Icahn Enterprises Holdings LP, unit of Icahn Enterprise LP, was rumored to be seeking a buyer for its 76% interest, or 75. 167 mil common shares in, Federal-Mogul Corp, a Southfield-based manufacturer and wholesaler of engine bearings, bushings and washers, ball and roller bearings, pistons and chassis products. Apollo Global Management and Carlyle Group were rumored potential bidders. The Current status of this deal is unknown.</t>
  </si>
  <si>
    <t>NASDAQ OMX Group Inc</t>
  </si>
  <si>
    <t>Pvd exchange,trading services</t>
  </si>
  <si>
    <t>London Stock Exchange Grp PLC</t>
  </si>
  <si>
    <t>Provide stock exchange services</t>
  </si>
  <si>
    <t>US - London Stock Exchange Group PLC of the UK was rumored to be planning to acquire the entire share capital of The NASDAQ OMX Group Inc, a New York-based provider of stock exchange and trading services. The Current status of this deal is unknown.</t>
  </si>
  <si>
    <t>Tomotherapy Inc</t>
  </si>
  <si>
    <t>Mnfr,whl radiation therapy sys</t>
  </si>
  <si>
    <t>Jaguar Acquisition Inc</t>
  </si>
  <si>
    <t>Mnfr,whl radiosurgical devices</t>
  </si>
  <si>
    <t>US - Jaguar Acquisition Inc (Jaguar), a wholly-owned unit of Accuray Inc (Accuray), acquired the entire share capital of TomoTherapy Inc (TomoTherapy), a Madison- based manufacturer and wholesaler of radiation therapy systems, for USD 4.8 per share, or a total value of USD 274.135 mil. Jaguar offered USD 3.15 in cash and 0.165 Accuray common shares per TomoTherapy share. The shares were valued based on Accuray's closing stock price of USD 10.01 on 4 March 2011, the last full trading day prior to the announcement.</t>
  </si>
  <si>
    <t>Unum Group</t>
  </si>
  <si>
    <t>Sun Life Financial Inc</t>
  </si>
  <si>
    <t>Insurance advisory company</t>
  </si>
  <si>
    <t>US -Sun Life Financial Inc of Canada was rumored to be planning to acquire the entire share capital of Unum Group, a Chattanooga-based provider of insurance services. The Current status of this deal is unknown.</t>
  </si>
  <si>
    <t>Orange Community Bancorp</t>
  </si>
  <si>
    <t>US - Grandpoint Capital Inc (Grandpoint) merged with Orange Community Bancorp, for a sweetened USD 12.01 in cash per share, or a total value of USD 25.872 mil. Originally, Grandpoint offered USD 11.7 in cash per share, or a total value of USD 25.204 mil.</t>
  </si>
  <si>
    <t>Galaxy Dream Corp</t>
  </si>
  <si>
    <t>Manufacture,wholesale toys</t>
  </si>
  <si>
    <t>US - Galaxy Dream Corp of Japan, a wholly-owned unit of Tomy Co Ltd, completed its tender offer to acquire the entire share capital of RC2 Corp, an Oak Brook-based manufacturer and wholesaler of games and toy products, for USD 27.9 in cash per share, or a total value of USD 638.106 mil.</t>
  </si>
  <si>
    <t>US - An investor group comprised of Leonard Green &amp; Partners LP and members of Schiffer and Gold family, withdrew its plans to acquire the remaining 67% interest, or 46.95 mil common shares, which it did not already own in 99 Cents Only Stores (99 Cents), a City of Commerce- based owner and operator of variety stores, for USD 19.09 per share in cash, or a total value of USD 896.284 mil, in a leveraged buyout transaction. Subsequently, Apollo Global Management LLC discontinued its rumor it was planning to acquire the entire share capital of 99 Cents, in a leveraged buyout transaction, and an investor group, comprised of Ares Management LLC and Canada Pension Plan Investment Board, completed its challenging offer to acquire the entire share capital of 99 Cents.</t>
  </si>
  <si>
    <t>Lawson Software Inc</t>
  </si>
  <si>
    <t>Atlantis Merger Sub Inc</t>
  </si>
  <si>
    <t>US - Atlantis Merger Sub Inc, a wholly-owned unit of Golden Gate Capital's wholly-owned Atlantis Merger Sub Inc subsidiary, acquired the entire share capital of Lawson Software Inc (Lawson), a Saint Paul-based developer of enterprise planning software and solutions, for USD 11.25 in cash per share, or a total value of USD 1.899 bil, in a leveraged buyout transaction. Originally, in March 2011, Lawson was rumored to be seeking a buyer for the company. Hewlett- Packard Co, International Business Machines Corp, Microsoft Corp, Oracle Corp, SAP and Infor were rumored potential bidders.</t>
  </si>
  <si>
    <t>US - Hewlett-Packard Co discontinued rumors that it was to be planning to acquire the entire share capital of TIBCO Software Inc, a Palo Alto-based developer of enterprise software.</t>
  </si>
  <si>
    <t>K-Sea Transp Partners LP</t>
  </si>
  <si>
    <t>Pvd oil,gas marine transp svcs</t>
  </si>
  <si>
    <t>Kirby Corp</t>
  </si>
  <si>
    <t>Pvd inland transportation svcs</t>
  </si>
  <si>
    <t>US - Kirby Corp (Kirby) through an undisclosed subsidiary, merged with K-Sea Transportation Partners LP (K- Sea), an East Brunswick-based oil and gas marine transportation services provider, for USD 573.745 mil. The consideration consisted of USD 156.157 mil in cash, USD 4.075 cash and 0.0734 com per preferred units, USD 8.15 per general partners unit, and the assumption of USD 265 mil in liabilities. Kirby offered a choice of USD 8.15 in cash per share or USD 4. 075 in cash and 0.0734 Kirby common shares per share. On completion, K-Sea's shares were delisted from the New York Stock Exchange.</t>
  </si>
  <si>
    <t>Animal Health International</t>
  </si>
  <si>
    <t>Wholesale animal health prod</t>
  </si>
  <si>
    <t>Buffalo Acquisition Inc</t>
  </si>
  <si>
    <t>US - Buffalo Acquisition Inc, a wholly-owned unit of Lextron Inc, acquired the entire share capital of Animal Health International Inc (Animal Health), a Westlake-based wholesaler of animal health products, for USD 4.25 per share or a total value of USD 103.401 mil. On completion, Animal Health will be delisted in the NASDAQ Global Select Market stock exchange.</t>
  </si>
  <si>
    <t>Lubrizol Corp</t>
  </si>
  <si>
    <t>US - Berkshire Hathaway Inc acquired the entire share capital of Lubrizol Corp (Lubrizol), a Wickliffe-based manufacturer of industrial chemicals, for USD 135 cash per share, or a total value of USD 8.793 bil. On completion, Lubrizol shares were delisted from the New York Stock Exchange.</t>
  </si>
  <si>
    <t>Starbucks Corp</t>
  </si>
  <si>
    <t>Own,operate coffee shops</t>
  </si>
  <si>
    <t>US - Starbucks Corp was rumored to be planning to acquire Peet's Coffee &amp; Tea Inc, an Emeryville-based producer and wholesaler of coffee. The Current status of this deal is unknown.</t>
  </si>
  <si>
    <t>Theragenics Corp</t>
  </si>
  <si>
    <t>Eckert &amp; Ziegler Strahlen- und</t>
  </si>
  <si>
    <t>Mnfr isotope tech components</t>
  </si>
  <si>
    <t>US - Eckert &amp; Ziegler Strahlen- und Medizintechnik AG of Germany withdrew its tender offer for the remaining stake, which it did not already own, in Theragenics Corp, a Buford- based manufacturer of electrical signals measuring and testing instruments, from Juniper Investment Co LLC, for USD 74.009 mil in cash, via an unsolicited offer.</t>
  </si>
  <si>
    <t>Celera Corp</t>
  </si>
  <si>
    <t>Spark Acquisition Corp</t>
  </si>
  <si>
    <t>US - Spark Acquisition Corp, a wholly-owned unit of Quest Diagnostics Inc, completed its tender offer to acquire the entire share capital of Celera Corp, an Alameda-based provider of genetic research and development services, for USD 8 in cash per share, or a total value of USD 656.906 mil.</t>
  </si>
  <si>
    <t>SWS Group Inc</t>
  </si>
  <si>
    <t>Pvd invest,finl svcs</t>
  </si>
  <si>
    <t>Sterne Agee Group Inc</t>
  </si>
  <si>
    <t>US - Sterne Agee Group Inc (Sterne) withdreww its plans to launch a hostile tender offer to acquire the entire share capital of SWS Group Inc (SWS), a Dallas-based provider of investment management services, for a sweetened USD 7.5 in cash per share, or a total value of USD 244.113. Originally, Sterne offered USD 6.25 in cash per share.</t>
  </si>
  <si>
    <t>optionsXpress Holdings Inc</t>
  </si>
  <si>
    <t>US - Charles Schwab Corp (Schwab) acquired the entire share capital of optionsXpress Holdings Inc (optionsXpress), a Chicago- based provider of brokerage services, in a stock swap transaction valued at USD 1. 037 bil. Schwab offered 1.02 common shares per optionsXpress share. Based on Schwab's closing stock price of USD 17.56 on 18 March 2011, the last full trading day prior to the announcement, each optionsXpress share was valued at USD 17.911.</t>
  </si>
  <si>
    <t>TGC Industries Inc</t>
  </si>
  <si>
    <t>Pvd seismic data acq services</t>
  </si>
  <si>
    <t>6446 Acquisition Corp</t>
  </si>
  <si>
    <t>Pvd onshore seismic data svcs</t>
  </si>
  <si>
    <t>US - 6446 Acquisition Corp (6446), a wholly-owned unit of Dawson Geophysical Co (Dawson), withdrew its agreement to merge with TGC Industries Inc (TGC), a Plano- based provider of seismic data acquisition services, in a stock swap transaction valued at USD 153.588 mil. 6446 offered 0.188 Dawson common shares per TGC share. Based on Dawson's closing stock price of USD 42.54 on 18 March 2011, the last full trading day prior to the announcement, each TGC share was valued at USD 7.998.</t>
  </si>
  <si>
    <t>drugstore.com Inc</t>
  </si>
  <si>
    <t>Dover Subsidiary Inc</t>
  </si>
  <si>
    <t>US - Dover Subsidiary Inc, a wholly-owned unit of Walgreen Co, acquired the entire share capital of drugstore.com Inc, a Bellevue-based provider of ecommerce retail services, for USD 3.8 in cash per share, or a total value of USD 414. 164 mil.</t>
  </si>
  <si>
    <t>Encore Energy Partners LP</t>
  </si>
  <si>
    <t>Vanguard Natural Resources LLC</t>
  </si>
  <si>
    <t>US - Vanguard Natural Resources LLC (Vanguard) acquired the remaining 54% interest or 24.484 mil common shares, which it did not already own, in Encore Energy Partners LP (Encore), a Fort Worth-based oil and gas exploration and production company, from Encore Acquisition Co, a unit of Denbury Resources Inc, in a stock swap transaction valued at USD 537.128 mil. Vanguard offered an amended 0.75 common shares per Encore share. Based on Vanguard's closing stock price of USD 29. 28 on 8 July 2011, the last full trading day prior to the announcement, each Encore share was valued at USD 21. 938. Originally, Vanguard offered 0.72 common shares per Encore share.</t>
  </si>
  <si>
    <t>Gibraltar Acquisition Corp</t>
  </si>
  <si>
    <t>US - Gibraltar Acquisition Corp, a wholly-owned unit of eBay Inc, merged with GSI Commerce Inc, a King of Prussia-based provider of ecommerce solutions services, for USD 29.25 per share, or a total value of USD 2.404 bil.</t>
  </si>
  <si>
    <t>CreXus Investment Corp</t>
  </si>
  <si>
    <t>Starwood Property Trust Inc</t>
  </si>
  <si>
    <t>US - Starwood Property Trust Inc (Starwood) withdrew its plans to acquire the entire share capital of CreXus Investment Corp (CreXus), a New York-based real estate investment trust, in a stock swap transaction valued at USD 254.896. Starwood offered 0.61 common share per CreXus share. Based on Starwood's closing stock price of USD 23. 06 on 25 March 2011, the last full trading day prior to the announcement, each CreXus share was valued at USD 14. 067.</t>
  </si>
  <si>
    <t>Rural/Metro Corp</t>
  </si>
  <si>
    <t>Pvd medical transp svcs</t>
  </si>
  <si>
    <t>US - Warburg Pincus LLC acquired the entire share capital of Rural/Metro Corp, a Scottsdale-based provider of medical transportation services, for USD 17.25 in cash per share, or a total value of USD 437.753 mil, in a leveraged buyout transaction.</t>
  </si>
  <si>
    <t>Spectrum Control Inc</t>
  </si>
  <si>
    <t>Mnfr,whl electn control prod</t>
  </si>
  <si>
    <t>API Technologies Corp</t>
  </si>
  <si>
    <t>Manufacture semiconductor</t>
  </si>
  <si>
    <t>US - API Technologies Corp acquired the entire share capital of Spectrum Control Inc, a Fairview-based manufacturer and wholesaler of electronic control products, for USD 20 in cash per share or a total value of USD 262.374 mil.</t>
  </si>
  <si>
    <t>Big Lots Inc</t>
  </si>
  <si>
    <t>US -In March 2011, Big Lots Inc, a Columbus-based owner and operator of shopping centers, was rumored to be seeking a buyer for its company, via an auction. Investment groups of TPG Capital and Bain Capital, and of Leonard Green &amp; Partners and CVC Capital Partners were named as potential bidders.</t>
  </si>
  <si>
    <t>Manufacture, wholesale specialty pharm prod</t>
  </si>
  <si>
    <t>US - Valeant Pharmaceuticals International Inc withdrew its plans to launch an unsolicited tender offer to acquire the entire share capital of Cephalon Inc (Cephalon), a Frazer-based manufacturer and wholesaler of pharmaceuticals, for USD 73 in cash per share, or a total value of USD 5.602 bil. Subsequently, Teva Pharmaceutical Industries Ltd acquired the entire share capital of Cephalon, via a challenging offer.</t>
  </si>
  <si>
    <t>GS Financial Corp,Metairie,LA</t>
  </si>
  <si>
    <t>Home Bancorp Inc</t>
  </si>
  <si>
    <t>US - Home Bancorp Inc acquired the entire share capital of GS Financial Corp, a Metairie-based savings and loan holding company, for USD 21 in cash per share, or a total value of USD 26.301 mil.</t>
  </si>
  <si>
    <t>Community Capital Corp,SC</t>
  </si>
  <si>
    <t>Park Sterling Corp</t>
  </si>
  <si>
    <t>US - Park Sterling Corp (Park) merged with Community Capital Corp (Community), a Greenwood-based bank holding company, for USD 3.3 per share, or a total value of USD 33.136 mil. Park offered a choice of 3.3 in cash or 0. 6667 Park common shares, per common share, structured at 60% in Park common shares and 40% in cash.</t>
  </si>
  <si>
    <t>US - An investor group, comprised of Nasdaq OMX Group Inc (NASDAQ OMX) and IntercontinentalExchange Inc (IntercontinentalExchange), withdrew its plans to launch an unsolicited challenging offer to acquire the entire share capital of NYSE Euronext (NYSE), a New York- based provider of securities trading and brokerage services for a sweetened USD 11.514 bil. The consideration was to consist of USD 14.24 in cash per share, or a total value of USD 3.719 bil, USD 358.423 mil in cash, 0.4069 NASDAQ OMX common share, or a total value of USD 2.93 bil and 0.1436 IntercontinentalExchange common share or a total value of USD 4.495 bil per NYSE common share. The shares were valued based on NASDAQ OMX's closing stock price of USD 27. 57 and IntercontinentalExchange's closing stock price of USD 119.84 on 18 April 2011, the last full trading day prior to the announcement. Originally, investor group offered USD 11.110.518 bil. The consideration was to consist of USD 14.24 in cash or a total value of USD 3.719 bil, 0.4069 NASDAQ OMX common share, or a total value of USD 2.746 bil and 0.1436 IntercontinentalExchange common share or a total value of USD 4.634 bil per NYSE common share. The shares were valued based on NASDAQ OMX's closing stock price of USD 25. 84 and IntercontinentalExchange's closing stock price of USD 123.54 on 31 March 2011, the last full trading day prior to the announcement. Upon completion, IntercontinentalExchange was to own NYSE Euronext's futures businesses and NASDAQ OMX was to own NYSE Euronext stock exchanges in New York, Paris, Brussels, Amsterdam and Lisbon, and its U.S. options business. Originally, NASDAQ OMX and IntercontinentalExchange were rumored to be planning to launch a challenging offer to acquire the entire share capital of NYSE Euronext. Previously, Deutsche Boerse AG (Deutsche) of Germany withdrew its agreement to acquire the entire share capital of NYSE.</t>
  </si>
  <si>
    <t>US - Providence Equity Partners LLC acquired the entire share capital of SRA International Inc (SRA), a Fairfax-based provider of computer programming and consulting services, for USD 31.25 in cash per share, or a total value of USD 1.791 mil, in a leveraged buyout transaction. Prevously, SRA was rumored to be seeking a buyer for the company.</t>
  </si>
  <si>
    <t>Eagle Parent Inc</t>
  </si>
  <si>
    <t>US - Eagle Parent Inc (Eagle) acquired the entire share capital of Epicor Software Corp (Epicor), an Irvine- based developer of enterprise business software, for USD 12. 5 in cash per share, or a total value of USD 802.076 mil, in a leveraged buyout transaction. Earlier, Eagle completed its tender offer for Epicor by accepting 45. 026 mil shares, or 70.171% of Epicor's common shares outstanding. The offer was conditioned upon at least a majority of Epicor's shares being tendered. Concurrently, Apax LP acquired Activant Solutions Inc. Subsequently, KKR &amp; Co LP acquired Epicor in a secondary buyout transaction.</t>
  </si>
  <si>
    <t>LaBarge Inc</t>
  </si>
  <si>
    <t>Mnfr electronic devices</t>
  </si>
  <si>
    <t>Ducommun Inc</t>
  </si>
  <si>
    <t>Mnfr,whl aircraft parts</t>
  </si>
  <si>
    <t>US - Ducommun Inc acquired the entire share capital of LaBarge Inc (LaBarge), a St Louis-based manufacturer of electronic devices, for USD 19.25 per share and the assumption of USD 30 mil in liabilities, or a total value of USD 340.47 mil.</t>
  </si>
  <si>
    <t>McCormick &amp; Schmicks Seafood</t>
  </si>
  <si>
    <t>LSRI Holdings Inc</t>
  </si>
  <si>
    <t>US - LSRI Holdings Inc, a wholly owned unit of Landry's Restaurants Inc, withdrew its unsolicited tender offer to acquire the remaining 90.334% interest, which it did not already own, in McCormick &amp; Schmicks Seafood Restaurants Inc, a Portland-based owner and operator of seafood restaurants, for USD 9.25 cash per share, or a total value of USD 124.056 mil.</t>
  </si>
  <si>
    <t>Orion Merger Corp</t>
  </si>
  <si>
    <t>US - Orion Merger Corp, a wholly owned unit of Texas Instruments Inc merged with National Semiconductor Corp, a Santa Clara-based manufacturer of analog and mixed-signal semiconductors, for USD 25 in cash per share, or a total value of USD 6.36 bil.</t>
  </si>
  <si>
    <t>Tix Corp</t>
  </si>
  <si>
    <t>Pvd ent ticketing services</t>
  </si>
  <si>
    <t>Baker Street Capital Mgmt Svcs</t>
  </si>
  <si>
    <t>Pvd mgmt &amp; consultant svcs</t>
  </si>
  <si>
    <t>US - Baker Street Capital Mangement LLC planned to acquire the remaining 78.07% interest, or 19.406 mil common shares, which it did not already own, in Tix Corp, a Studio City-based provider of entertainment ticketing services, for USD 2.1 in cash per share, or a total value of USD 40.752 mil.</t>
  </si>
  <si>
    <t>Inspire Pharmaceuticals Inc</t>
  </si>
  <si>
    <t>Monarch Transaction Corp</t>
  </si>
  <si>
    <t>US - Monarch Transaction Corp, a wholly-owned unit of Merck &amp; Co Inc, acquired the entire share capital of Inspire Pharmaceuticals Inc, a Raleigh-based manufacturer and wholesaler of ophthalmic pharmaceutical products, for USD 5 in cash per share, or a total value of USD 416.396 mil.</t>
  </si>
  <si>
    <t>US - Microsemi Corp acquired the entire share capital of AML Communications Inc (AML), a Camarillo-based manufacturer of radio frequency amplifiers, for USD 2.5 in cash per share, or a total value of USD 30.72 mil. Previously, Anaren Inc withdrew its agreement to merge with AML.</t>
  </si>
  <si>
    <t>Intermountain Cmnty Bancorp</t>
  </si>
  <si>
    <t>US - An investor group, including Castle Creek Capital Fund IV (Castle), a unit of Castle Creek Capital LLC, and Stadium Capital Management LLC (Stadium), agreed to acquire an 6.33% interest, or 47.3 mil new common shares, in Intermountain Community Bancorp (Intermountain), a Sandpoint-based bank holding company, for USD 1 in cash per share, or a total value of USD 47.3 mil, in a leveraged buyout transaction. Upon completion, Castle was to own 9.9%, and Stadium 14. 9%, of Intermountain. Originally, in April 2011, the investor group offered USD 70 mil.</t>
  </si>
  <si>
    <t>Orchid Cellmark Inc</t>
  </si>
  <si>
    <t>Provide DNA testing services</t>
  </si>
  <si>
    <t>OCM Acquisition Corp</t>
  </si>
  <si>
    <t>US - OCM Acquisition Corp (OCM), a unit of Laboratory Corp of America Holdings, acquired the entire share capital of Orchid Cellmark Inc (Orchid), a Princeton- based provider of DNA testing services, for USD 2.8 in cash per share, or a total value of USD 83.978 mil. Earlier, OCM completed its tender offer for Orchid by accepting 25.966 mil or 86.575% of Orchid's common shares outstanding.</t>
  </si>
  <si>
    <t>Timberland Bancorp Inc,WA</t>
  </si>
  <si>
    <t>Mountain Iron Holdings LLC</t>
  </si>
  <si>
    <t>US - Mountain Iron holdings LLC acquired the entire share capital of Hoquiam-based Timberland Bancorp Inc. The transaction included First National Bank of Buhl.</t>
  </si>
  <si>
    <t>NIKA Merger Sub Inc</t>
  </si>
  <si>
    <t>US - NIKA Merger Sub Inc, a wholly-owned unit of Endo Pharmaceuticals Holdings Inc, acquired the entire share capital of American Medical Systems Holdings Inc, a Minnetonka-based manufacturer and wholesaler of medical devices, from Warburg Pincuse Equity Partners LP, a wholly- owned unit of Warburg Pincus LLC, for USD 2.704 bil. The consideration consisted of USD 30 in cash per share, or a total value of USD 2.392 bil, and the assumption of USD 312 mil in liabilities.</t>
  </si>
  <si>
    <t>Mela Sciences Inc</t>
  </si>
  <si>
    <t>US - In April 2011, Mela Sciences Inc, an Irvington- based manufacturer of medical equipment, announced that it was seeking a buyer for the company.</t>
  </si>
  <si>
    <t>Tasty Baking Co</t>
  </si>
  <si>
    <t>Produce,whl bakery prod</t>
  </si>
  <si>
    <t>Flowers Bakeries LLC</t>
  </si>
  <si>
    <t>US - Flowers Bakeries LLC (Flowers), a wholly-owned unit of Flowers Foods Inc, completed its tender offer to acquire the entire share capital of Tasty Baking Co (Tasty), a Philadelphia-based producer and wholesaler of pastries and bread, via tender offer, USD 4 in cash per share or a total value of USD 34.491 mil, including assumption in liabilities, by accepting 6.697 mil shares or 77.662 of Tasty common shares outstanding.</t>
  </si>
  <si>
    <t>Graham Packaging Co Inc</t>
  </si>
  <si>
    <t>Mnfr,whl plastic containers</t>
  </si>
  <si>
    <t>Silgan Holdings Inc</t>
  </si>
  <si>
    <t>US - Silgan Holdings Inc (Silgan) withdrew its definitive agreement to merge with Graham Packaging Co Inc (Graham), a York-based manufacturer and wholesaler of plastic containers, from Blackstone Capital Partners III Merchant Banking Fund LP, Blackstone Offshore Capital Partners III LP, Blackstone Family Investment Partnership III LP, Graham Family and other investors, for USD 1. 327 bil, including assumption of liabilities. Silgan offered USD 4.75 in cash and 0.402 Silgan common shares per Graham share. Based on Silgan's closing stock price of USD 36.83 mil on 12 April 2011, the last full trading day prior to the announcement. Subsequently, Reynolds Group Holdings Ltd planned to launched an unsolicited challenging tender offer to acquire entire share capital of Graham.</t>
  </si>
  <si>
    <t>Market Planning Solutions Inc</t>
  </si>
  <si>
    <t>Dvlp fuels pricing software</t>
  </si>
  <si>
    <t>Knowledge Support Systems Ltd</t>
  </si>
  <si>
    <t>Develop pricing software</t>
  </si>
  <si>
    <t>US - Knowledge Support Systems Ltd of the UK, a unit of Eurovestech PLC acquired the entire share capital of Market Planning Solutions Inc, a Tulsa-based developer of fuels pricing and network planning software.</t>
  </si>
  <si>
    <t>US - Chesapeake Energy Corp acquired the entire share capital of Bronco Drilling Co Inc, an Edmond-based provider of contract land drilling services, via a tender offer, for USD 11 in cash per share, or a total value of USD 316. 801 mil.</t>
  </si>
  <si>
    <t>Auto Club Ins Association</t>
  </si>
  <si>
    <t>Pvd ins,finl,RE svc</t>
  </si>
  <si>
    <t>US - Auto Club Insurance Association, a unit of Auto Club Group, acquired the entire share capital of Fremont Michigan InsuraCorp Inc (Fremont), an insurance holding company, from Biglari Holdings Inc(Biglari) (9.1%), Mitchell Partners LP and other shareholders, for USD 36.15 in cash per share, or a total value of USD 64.529 mil. Previously, Biglari withdrew its unsolicited tender offer to acquire remaining 90.1% interest in Fremont.</t>
  </si>
  <si>
    <t>Synthes Inc</t>
  </si>
  <si>
    <t>US - Johnson &amp; Johnson (Johnson) acquired the entire share capital of Synthes Inc (Synthes), a Solothurn-based manufacturer and wholesaler of medical devices, in an amended stock swap transaction valued at USD 20. 098 bil. Johnson offered USD 58.248 in cash and 1.717 common shares per Synthes share. Previously, Johnson offered USD 63.6 in cash and 0.9672 shares per Synthes common share, subject to a collar agreement, whereby if Johnson's closing stock price was less than USD 58.606, the exchange ratio would be fixed at 1.9672; if the closing stock price was greater than USD 67.429 the exchange ratio would be fixed at 1.7098. Based on Johnson's closing stock price of USD 64.45 on 23 June 2012, the last full trading day prior to the amendment of terms, each CB share was valued at USD 168. 909. Originally, in April 2011, Johnson was rumored to be planning to acquire Synthes.</t>
  </si>
  <si>
    <t>Bancorp Rhode Island Inc</t>
  </si>
  <si>
    <t>US - Brookline Bancorp Inc (Brookline) acquired the entire share capital of Bancorp Rhode Island Inc (Bancorp), a Providence-based bank holding company, in a stock swap transaction valued at USD 231.770 mil. Brookline offered a choice of 4.686 common shares or USD 48.25 in cash, or a combination of USD 121 mil in cash plus 11 mil Brookline common shares valued at USD 110.77 mil, per Bancorp share. The shares were valued based on Brookline's closing stock price of USD 10.07 on 19 April 2011, last full trading day prior to the announcement.</t>
  </si>
  <si>
    <t>DPL Inc</t>
  </si>
  <si>
    <t>US - AES Corp (AES) acquired the entire share capital of DPL Inc, a Dayton-based provider of electric and gas utility services, for USD 30 in cash per share, or a total value of USD 4.709 bil, including the assumption of USD 1.2 bil in liabilities.</t>
  </si>
  <si>
    <t>TradeStation Group Inc</t>
  </si>
  <si>
    <t>Felix 2011 Acquisition Sub Inc</t>
  </si>
  <si>
    <t>US - Felix 2011 Acquisition Sub Inc, a wholly-owned unit of Monex Group Inc of Japan acquired the entire share capital of TradeStation Group Inc, a Plantation-based provider of online securities brokerage services, for USD 9. 75 in cash per share or a total value of USD 391.172 mil.</t>
  </si>
  <si>
    <t>Smart Modular Technologies</t>
  </si>
  <si>
    <t>Mnfr,whl electronic subsystems</t>
  </si>
  <si>
    <t>Saleen Acquisition Inc</t>
  </si>
  <si>
    <t>US - Saleen Acquisition Inc of Cayman Islands, a special purpose vehicle formed by Silver Lake Partners and Silver Lake Sumeru and a wholly owned unit of Saleen Holdings Inc, acquired the entire share capital of SMART Modular Technologies (WWH) Inc, a Newark-based manufacturer and wholesaler of memory modules, for USD 9. 25 cash per share or a total value of USD 587.207 mil, in a leveraged buyout transaction.</t>
  </si>
  <si>
    <t>LoopNet Inc</t>
  </si>
  <si>
    <t>Pvd online coml RE info svcs</t>
  </si>
  <si>
    <t>Lonestar Acquisition Sub Inc</t>
  </si>
  <si>
    <t>US - Lonestar Acquisition Sub Inc, a special purpose acquisition vehicle formed by CoStar Group Inc (CoStar), acquired the entire share capital of LoopNet Inc, a San Francisco-based provider of online commercial real estate information services, for USD 16.5 in cash and 0.03702 CoStar common shares per share, or a total value of USD 827.612 mil. Based on CoStar's closing stock price of USD 60.25 on 26 April 2011, the last full trading day prior to the announcement, each LoopNet share was valued at USD 18.730.</t>
  </si>
  <si>
    <t>SAVVIS Inc</t>
  </si>
  <si>
    <t>Pvd information technology svc</t>
  </si>
  <si>
    <t>US - CenturyLink Inc acquired the entire share capital of SAVVIS Inc, a Town &amp; Country- based provider of information technology services, from Welsh Carson Anderson &amp; Stowe Co (23%) and other shareholders, for USD 3.065 bil, including the assumption of USD 700 mil in liabilities. CenturyLink offered USD 30 in cash and USD 10 in common shares per SAVVIS share, subject to collar agreement. On completion, SAVVIS' shares were delisted from the NASDAQ Stock Exchange.</t>
  </si>
  <si>
    <t>Vital Images Inc</t>
  </si>
  <si>
    <t>Dvlp data imaging software</t>
  </si>
  <si>
    <t>Toshiba Medical Systems Corp</t>
  </si>
  <si>
    <t>US - Toshiba Medical Systems Corp of Japan, a unit of Toshiba Corp, completed its tender offer to acquire the entire share capital of Vital Images Inc (Vital), Minnetonka-based developer of visualization and analysis software, via a tender offer, for USD 18.75 in cash per share, or a total value of USD 262.917 mil, by accepting 14.022 mil shares, or 90% of Vital's common shares outstanding.</t>
  </si>
  <si>
    <t>US - Exelon Corp (Exelon) merged with Constellation Energy Group Inc (Constellation), a Baltimore- based electric and gas utility company, in a stock swap transaction valued at USD 7.84 bil. Exelon offered 0.93 common shares per Constellation share. Based on Exelon's closing stock price of USD 41.49 on 27 April 2011, the last full trading day prior to the announcement, each Constellation share was valued at USD 38.586. On completion Exelon and Constellation shareholders owned 78% and 22% in the merged entity, respectively and was renamed Exelon. Originally, in October 2010, Constellation was rumored to be seeking a buyer for the company. MidAmerican Energy Holdings Co and EDF were named potential bidders.</t>
  </si>
  <si>
    <t>State Bancorp Inc,NY</t>
  </si>
  <si>
    <t>US - Valley National Bancorp (Valley) merged with New Hyde Park-based State Bancorp Inc (State), in a stock swap transaction valued at USD 236. 452 mil. Valley offered 1 common shares per State share. Based on Valley's closing stock price of USD 14.19 on 27 April 2011, the last full trading day prior to the announcement, each State share was valued at USD 14.19.</t>
  </si>
  <si>
    <t>Manufacture solar cells</t>
  </si>
  <si>
    <t>Total Gas &amp; Power USA(SAS)</t>
  </si>
  <si>
    <t>US - Total Gas &amp; Power USA (SAS) (Total), a wholly-owned unit of Total SA, completed its tender offer to acquire a 56.45% interest, or 30.221 mil class A common shares and 25.22 mil class B common shares, in SunPower Corp (SunPower), a San Jose-based manufacturer of solar cells, for USD 23.25 in cash per share, or a total value of USD 1.289 bil. The offer was conditioned upon at least 50% of SunPower's shares being tendered. Previously, Total agreed to acquire a 60% interest, or 33.518 mil class A common shares and 25.22 mil class B common shares, in SunPower, via a tender offer.</t>
  </si>
  <si>
    <t>US - YRC Worldwide Inc (YRC), an Overland Park-based provider of motor carrier transport services, completed its debt restructuring with creditors (CR). On completion, CRs were to hold Series B Convertible Preferred Stock convertible into approximately 72.5% of the restructured YRC and USD 140 mil amount of YRCs new 10% Series A Convertible Senior Secured Notes due 2015 that are convertible into additional shares of New Common Stock of the restructured YRC against Credit Agreement Claims, YRC's other debt were converted into the new common stock, the ABS Facility is paid fully and Pension Note would be amended to extend the maturity until March 31, 2015. The book value of the existing debt that was exchanged under the terms of the offer was USD 1.582 bil.</t>
  </si>
  <si>
    <t>US - Teva Pharmaceutical Industries Ltd of Israel acquired the entire share capital of Cephalon Inc (Cephalon), a Frazer based manufacturer and wholesaler of pharmaceuticals, for USD 81.5 in cash per share, or a total value of USD 6.311 bil, via a challenging offer. Previously, Valeant Pharmaceuticals International Inc withdrew its plans to launch an unsolicited tender offer to acquire the entire share capital of Cephalon.</t>
  </si>
  <si>
    <t>International Coal Group Inc</t>
  </si>
  <si>
    <t>Atlas Acquisition Corp</t>
  </si>
  <si>
    <t>US - Atlas Acquisition Corp (Atlas), a wholly-owned unit of Arch Coal Inc, acquired the entire share capital of International Coal Group Inc (Coal), a Scott Depot-based coal mining company, for USD 14.6 in cash per share, or a total value of USD 3.473 bil. Earlier, Atlas completed its tender offer for Coal by accepting 187.951 mil common shares, or 92.21% of Coal's shares outstanding. On completion, Atlas was to apply for the delisting of Coal shares from the New York Stock Exchange.</t>
  </si>
  <si>
    <t>Volcom Inc</t>
  </si>
  <si>
    <t>Mnfr,whl,ret clothing products</t>
  </si>
  <si>
    <t>PPR SA</t>
  </si>
  <si>
    <t>Retail home appl,luxury goods</t>
  </si>
  <si>
    <t>US - PPR SA of France acquired the entire share capital of Volcom Inc, a Costa Mesa-based manufacturer, wholesaler and retailer of men and women's clothing accessories and related products, for USD 24.5 in cash per share, or a total value of USD 607.832 mil. Earlier PPR completed its tender offer for Volcom by accepting 21.379 mil shares, or 87.52% of Volcom's common shares outstanding. The offer was conditioned upon at least a majority Volcom's shares being tendered on a fully- diluted basis.</t>
  </si>
  <si>
    <t>Kendle International Inc</t>
  </si>
  <si>
    <t>INC Research LLC</t>
  </si>
  <si>
    <t>US - INC Research LLC, a wholly-owned unit of Avista Capital Holdings LP and Teachers Private Capital (Teachers), acquired the entire share capital of Kendle International Inc, a Cincinnati-based provider of clinical research services, for USD 15.25 in cash per share, or a total value of USD 228.925 mil. Teachers was a wholly-owned unit of Ontario Teachers Pension Plan {OTPP}.</t>
  </si>
  <si>
    <t>ConAgra Foods Inc</t>
  </si>
  <si>
    <t>Produce,whl,retail food prod</t>
  </si>
  <si>
    <t>US - ConAgra Foods Inc (ConAgra) withdrew its plans to launch an unsolicited tender offer to acquire the entire share capital of Ralcorp Holdings Inc (Ralcorp) , a St Louis-based producer and wholesaler of cereal and snacks, for a sweetened USD 94 in cash per share, or a total value of USD 7.688 bil, including the assumption of USD 2.5 bil in liabilities. Previously, ConAgra offered USD 86 in cash per share, or a total value of USD 7.228 bil, including the assumption of USD 2.5 bil in liabilities. Originally, ConAgra was rumored to be planning to launch an unsolicited offer to acquire Ralcorp.</t>
  </si>
  <si>
    <t>Varian Semiconductor Equip</t>
  </si>
  <si>
    <t>Barcelona Acquisition Corp</t>
  </si>
  <si>
    <t>Mnfr,whl circuit fabrication</t>
  </si>
  <si>
    <t>US - Barcelona Acquisition Corp, a wholly-owned unit of Applied Materials Inc, merged with Varian Semiconductor Equipment Inc, a Gloucester- based manufacturer and wholesaler of semiconductor processing equipment, for USD 63 in cash per share, or a total value of USD 4.715 bil.</t>
  </si>
  <si>
    <t>Green Bankshares,Greenville,TN</t>
  </si>
  <si>
    <t>US - North American Financial Holdings Inc (North) acquired a 90.1% interest, or 11.883 mil common shares, in Green Bankshares Inc (Green), a Greenville-based bank holding company, in exchange for North new stock valued at USD 217.2 mil. The transaction was to include the merger of North and Green's subsidiaries, GreenBank and Capital Bank National Association.</t>
  </si>
  <si>
    <t>US - NRG Energy Inc, a Princeton-based electric and gas utility company, agreed to a debt restructuring with creditors. The book value of the existing debt that was to be exchanged under the terms of the offer was USD 3.9 bil.</t>
  </si>
  <si>
    <t>Access Industries Inc</t>
  </si>
  <si>
    <t>US - Access Industries Inc acquired the entire share capital of Warner Music Group Corp (Warner), a New York- based provider of recorded music services, from Thomas H Lee Partners LP, Bain Capital Partners LLC, Edgar Bronfman Jr. and other shareholders, for USD 8.25 in cash per share and the assumption of USD2 bil in liabilities, or a total value of USD 3.305 bil. Originally, in January 2011, Warner was rumored to be seeking a buyer for the company. Bertelsmann AG, Platinum Equity, Yucaipa Cos, Sony Music, BMG Music Publishing, Access Industries, Gores Group, and Live Nation Entertainment Inc were named to be potential bidders.</t>
  </si>
  <si>
    <t>US - Hertz Global Holdings Inc (Hertz) withdrew its plans to launch an unsolicited challenging tender offer to acquire the entire share capital of Dollar Thrifty Automotive Group Inc (Dollar Thrifty), a Tulsa-based provider of passenger car rental services, for USD 2.083 bil. The consideration was to consist of USD 57.6 cash per common share or a total value of USD 1.666 bil and 0.8546 Hertz common share per Dollar Thrifty share, or a total value of USD 416.58 mil. The shares were valued based on Hertz closing stock price of USD 16.85 on May 6, the last full trading day prior to the announcement. Concurrently, Hertz announced that it was seeking a buyer for its Advantage Rent-A-Car unit. Previously, Avis Budget Group Inc withdrew its plans to launch an unsolicited tender offer to acquire the entire share capital of Dollar.</t>
  </si>
  <si>
    <t>US - Apollo Global Management LLC (Apollo) merged with CKx Inc (CKx), a New York-based provider of motion picture production services, via tender offer, for USD 5.5 in cash per share, or a total value of USD 509.374 mil, in a leveraged buyout transaction. On completion, Apollo was to apply for the delisting of CKx shares from the Nasdaq Stock Exchange.</t>
  </si>
  <si>
    <t>US - American Electric Power Co Inc was rumored to be planning to merge with Entergy Corp, a New Orleans- based electric and gas utility company. The Current status of this deal is unknown.</t>
  </si>
  <si>
    <t>Integral Systems Inc</t>
  </si>
  <si>
    <t>Pvd satellite ground sys svcs</t>
  </si>
  <si>
    <t>US - Kratos Defense &amp; Security Solutions Inc (Kratos), through its wholly- owned subsidiary, acquired Integral Systems Inc (Integral), a Columbia-based provider of satellite ground systems software services, in a stock swap transaction valued at USD 224.889 mil. Kratos offered USD 5 in cash per share and 0.588 common share per Integral share. Based on Kratos' closing stock price of USD 13.01 on 11 May 2011, the last full trading day prior to the announcement, each Integral share was valued at USD 12.65.</t>
  </si>
  <si>
    <t>Orthovita Inc</t>
  </si>
  <si>
    <t>Mnfr orthopedic biomaterials</t>
  </si>
  <si>
    <t>Owl Acquisition Corp</t>
  </si>
  <si>
    <t>US - Owl Acquisition Corp, a wholly-owned unit of Stryker Corp, acquired the entire share capital of Orthovita Inc, a Malvern-based manufacturer of orthopedic biomaterials products, for USD 3.85 in cash per share and the assumption of USD 12 mil in liabilities, or a total value of USD 312.381 mil, via tender offer.</t>
  </si>
  <si>
    <t>US - TPG Capital LP acquired the entire share capital of PRIMEDIA Inc, a Norcross- based publishing company, from KKR Associates LP, a unit of Kohlberg Kravis Roberts &amp; Co LP (KKR) and KKR GP 1996 LLC, a unit of KKR, for USD 7.1 in cash per share, or a total value of USD 316. 432 mil, in a leveraged buyout transaction.</t>
  </si>
  <si>
    <t>5To1 Holding Corp</t>
  </si>
  <si>
    <t>Pvd online advg platform svcs</t>
  </si>
  <si>
    <t>Mariner Acquisition Corp</t>
  </si>
  <si>
    <t>US - Mariner Acquisition Corp, a wholly-owned unit of Yahoo Inc, merged with 5to1 Holding Corp, a Santa Monica-based provider of online advertising platform services, for USD 28 mil in cash.</t>
  </si>
  <si>
    <t>Leeds Equity Partners LLC</t>
  </si>
  <si>
    <t>US - Leeds Equity Partners LLC acquired the entire share capital of Nobel Learning Communities Inc (Nobel), a West Chester-based owner and operator of schools, for USD 11.75 in cash per share or a total value of USD 127.742 mil, in a leveraged buyout transaction. Subsequently, Investcorp Bank BSC acquired Nobel, in a secondary buyout transaction.</t>
  </si>
  <si>
    <t>US - Liberty Media Corp withdrew its plans to acquire a 70% interest, or 42.173 mil common shares, in Barnes &amp; Noble Inc (Barnes), a New York-based owner and operator of bookstores, for USD 17 in cash per share, or a total value of 716.948 mil. Originally in August 2010, Barnes announced that it was seeking a buyer for the company. Leonard Riggio, Borders Group Inc and Ronald W Burkle were named potential bidders.</t>
  </si>
  <si>
    <t>FPIC Insurance Group Inc</t>
  </si>
  <si>
    <t>Fountain Acquisition Corp</t>
  </si>
  <si>
    <t>US - Fountain Acquisition Corp, a wholly-owned unit of The Doctors Co acquired the entire share capital of FPIC Insurance Group Inc, a Jacksonville-based provider of insurance services, for USD 42 in cash per share or a total value of USD 347.736 mil.</t>
  </si>
  <si>
    <t>PHC Inc</t>
  </si>
  <si>
    <t>Own,op psychiatric hospital</t>
  </si>
  <si>
    <t>Acadia Healthcare Co Inc</t>
  </si>
  <si>
    <t>US - Acadia Healthcare Co Inc, a unit of Waud Capital Partners LLC, merged with PHC Inc, a Peabody-based owner and operator of psychiatric hospitals. On completion, the merged entity was named Pioneer Behavioral Health.</t>
  </si>
  <si>
    <t>California Pizza Kitchen Inc</t>
  </si>
  <si>
    <t>Own,operate pizzeria rest</t>
  </si>
  <si>
    <t>US - Golden Gate Capital (Golden) acquired the entire share capital of California Pizza Kitchen Inc (CPK), a Los Angeles-based owner and operator of pizzeria restaurants, from Bruckmann Rosser Sherrill &amp; Co LLC (Bruckmann), for USD 18.5 in cash per share, or a total value of USD 468.734 mil, in a leveraged buyout transaction. Earlier, Golden completed its tender offer for 21.586 mil shares, or 87. 8% interest of CPK common shares outstanding. Originally, in 10 April 2010 Bruckmann announced that it was seeking buyer for CPK unit, and American Securities Capital Partners was named potential bidder.</t>
  </si>
  <si>
    <t>Advanced Analogic Tech Inc</t>
  </si>
  <si>
    <t>Mnfr,whl power semiconductors</t>
  </si>
  <si>
    <t>Skyworks Solutions Inc</t>
  </si>
  <si>
    <t>Mnfr,whl signal semiconductors</t>
  </si>
  <si>
    <t>US - Skyworks Solutions Inc (Skyworks) acquired the entire share capital of Advanced Analogic Technologies Inc (Advanced), a Sta. Clara-based manufacturer and wholesaler of power management semiconductors, for USD 5.8 in cash per share, or a total value of USD 248.413 mil. Originally, Skyworks offered USD 6.022 per share, or a total value of USD 268.626 mil.</t>
  </si>
  <si>
    <t>SeaChange International Inc</t>
  </si>
  <si>
    <t>Develop digital video software</t>
  </si>
  <si>
    <t>US - ARRIS Group Inc was rumored to be planning to acquire SeaChange International Inc, an Acton- based developer of digital video software. The Current status of this deal is unknown.</t>
  </si>
  <si>
    <t>US - Shire Plc of Ireland was rumored to be planning to acquire the entire share capital of Cubist Pharmaceuticals Inc, a Lexington-based biopharmaceutical company. The Current status of this deal is unknown.</t>
  </si>
  <si>
    <t>Cntrl Vermont Public Svc Corp</t>
  </si>
  <si>
    <t>Cedar Acquisition Sub Inc</t>
  </si>
  <si>
    <t>US - Cedar Acquisition Sub Inc, a wholly-owned unit of Fortis Inc, withdrew its definitive agreement to acquire the entire share capital of Central Vermont Public Service Corp, a Rutland-based electric utility company, for USD 35.1 in cash per share, or a total value of USD 470.269 mil and the assumption of an estimated USD 230 mil in liabilities. Subsequently, New England Energy Corp planned to launch an unsolicited challenging offer to acquire Central Vermont.</t>
  </si>
  <si>
    <t>Herald National Bank</t>
  </si>
  <si>
    <t>BankUnited Inc</t>
  </si>
  <si>
    <t>National bank holding company</t>
  </si>
  <si>
    <t>US - BankUnited Inc merged with Herald National Bank (Herald), a New York-based commercial bank, in a stock swap transaction valued at USD 70.276 mil. BankUnited offered USD 1.35 in cash and 0.099 BankUnited common share for every Herald common and preferred share. Based on BankUnited's closing stock price of USD 28.36 on 31 May 2011, the last full trading day prior to the announcement, each Herald share was valued at USD 4.158.</t>
  </si>
  <si>
    <t>Horizon Lines Inc</t>
  </si>
  <si>
    <t>Pvd ocean transp,logistic svcs</t>
  </si>
  <si>
    <t>US - Horizon Lines Inc (HL), a Charlotte-based provider of ocean transport and logistic services, agreed to a debt restructuring transaction with Creditors (CRs). Upon completion, CRs were to hold a 56% interest in restructured HL. The book value of the existing debt that will be exchanged under the terms of the offer is USD 330 mil.</t>
  </si>
  <si>
    <t>Stream Global Services Inc</t>
  </si>
  <si>
    <t>Pvd bus processing svcs</t>
  </si>
  <si>
    <t>Trillium Capital LLC</t>
  </si>
  <si>
    <t>US - Trillium Capital LLC withdrew its plans to launch an unsolicited tender to acquire the remaining 95.361% interest, or 76.638 mil common shares, which it did not already own, in Stream Global Services Inc, a Wellesley-based provider of business process outsourcing services, for a total value of USD 556 mil. The consideration was consisted of USD 4.65 in cash per share, or a total value of USD 356. 366 mil and the assumption of USD 200 mil in liabilities.</t>
  </si>
  <si>
    <t>RMG Capital Corp</t>
  </si>
  <si>
    <t>Opus Bank,Irvine,California</t>
  </si>
  <si>
    <t>US - Opus Bank merged with RMG Capital Corp, a Fullerton- based bank holding company, for USD 50 mil in cash.</t>
  </si>
  <si>
    <t>US - International Paper Co (International Paper) completed its tender offer to acquire the entire share capital of Temple-Inland Inc (Temple), an Austin-based manufacturer of packaging and forest products, for a sweetened USD 32 in cash per share, or a total value of USD 3.582 bil. On completion, Temple shares were delisted from the New York Stock Exchange. Originally, International Paper launched a hostile tender offer to acquire the entire share capital of Temple for USD 30. 6 in cash per share, or a total value of USD 3.43 bil.</t>
  </si>
  <si>
    <t>Compagnie Financiere Richemont</t>
  </si>
  <si>
    <t>Mnfr,whl jewellery,watches</t>
  </si>
  <si>
    <t>US - Compagnie Financiere Richemont SA of Switzerland was rumored to be planning to acquire the entire share capital of Tiffany &amp; Co, a New York-based manufacturer and wholesaler of jewelry. The Current status of this deal is unknown.</t>
  </si>
  <si>
    <t>Allied World Assurance Co Hldg</t>
  </si>
  <si>
    <t>US - Allied World Assurance Co Holdings AG (Allied) of Switzerland withdrew its definitive agreement to merge with Transatlantic Holdings Inc (Transatlantic), a New York-based provider of insurance and reinsurance services, in a stock swap transaction valued at USD 3. 193 bil. Allied offered 0.88 new ordinary share for every Transatlantic common share. Based on Allied's closing stock price of USD 58.07 on 10 June 2011, the last full trading day prior to the announcement, each Transatlantic share was valued at USD 51.102. Upon completion, Transatlantic was to hold a 58% interest in the merged company, and the merged entity was to be renamed TransAllied Group Holdings AG. Subsequently, Validus Holdings Ltd of Bermuda launched a hostile challenging tender offer to merge with Transatlantic. Additionally, National Indemnity Co planned to launch an unsolicited challenging offer to acquire the entire share capital of Transatlantic.</t>
  </si>
  <si>
    <t>EMS Technologies Inc</t>
  </si>
  <si>
    <t>US - Honeywell International Inc completed its tender offer to acquire the entire share capital of EMS Technologies Inc (EMS), a Norcross-based provider of wireless telecommunications services, for USD 33 in cash per share, or a total value of USD 522.355 mil. The offer was conditioned upon at least a majority of EMS' shares being tendered on a fully- diluted basis. Originally, in May 2011, EMS was rumored to be seeking a buyer for the company.</t>
  </si>
  <si>
    <t>Gerber Scientific Inc</t>
  </si>
  <si>
    <t>Pvd software dvlp svcs</t>
  </si>
  <si>
    <t>US - Vector Capital Corp acquired the entire share capital of Gerber Scientific Inc, a Windsor-based provider of software development services, for USD 11 cash and an undisclosed amount in profit-related payments, or a total value of USD 276.539 mil.</t>
  </si>
  <si>
    <t>US - MacAndrews &amp; Forbes Holdings Inc (MacAndrews), through its undisclosed wholly-owned subsidiary, acquired the remaining 57. 274% interest, or 11.073 mil common shares, which it did not already own, in M&amp;F Worldwide Corp (M&amp;F), a New York-based holding company, for a sweetened USD 25 in cash per share, or a total value of USD 276.832 mil. Originally, MacAndrews offered USD 24 in cash per share, or a total value of USD 265.758 mil. On completion, M&amp;F had ceased to trade in NYSE.</t>
  </si>
  <si>
    <t>The Timberland Co</t>
  </si>
  <si>
    <t>VF Enterprises Inc</t>
  </si>
  <si>
    <t>US - VF Enterprises Inc, a wholly owned unit of VF Corp merged with The Timberland Co, a Stratham-based manufacturer of footwear and apparel products, for a USD 43 in cash per share or a total value of USD 2.181 bil.</t>
  </si>
  <si>
    <t>Express-1 Expedited Solutions</t>
  </si>
  <si>
    <t>Pvd expedited transp svcs</t>
  </si>
  <si>
    <t>US - A financial sponsor consortium investor group, led by Jacobs Private Equity LLC and including other minority shareholders, acquired Series A Convertible Perpetual Preferred shares and warrants convertible into an undisclosed majority interest, in Express-1 Expedited Solutions Inc, a Buchanan-based provider of expedited transportation services, for USD 1.75 in cash per share, or a total value of USD 150.5 mil, in a leveraged buyout transaction.</t>
  </si>
  <si>
    <t>US - Reynolds Group Holdings Ltd (Reynolds) of New Zealand, a wholly-owned unit of Rank Group Ltd (Rank), merged with Graham Packaging Co Inc (Graham), a New York-based manufacturer and wholesaler of plastic containers, for a sweetened USD 25.5 in cash per share or a total value of USD 1.729 bil, including assumption of liabilities. Previously, Reynolds planned to launch an unsolicited tender offer to acquire the entire share capital of Graham, for USD 25 in cash per share or a total value of USD 1.642 bil. Originally, Rank was rumored to be planning to launch an unsolicited tender offer to acquire the entire share capital of Graham. Subsequently, Silgan Holdings Inc withdrew its challenging definitive agreement to merge with Graham.</t>
  </si>
  <si>
    <t>US - FNB Corp (FNB) acquired the entire share capital of Parkvale Financial Corp (Parkvale), a Monroeville- based bank holding company, in a stock swap transaction, valued at USD 126.945 mil. FNB offered 2.178 common shares per Parkvale share. Based on FNB's closing stock price of USD 10.44 on 14 June 2011, the last full trading day prior to the announcement, each Parkvale share was valued at USD 22.738.</t>
  </si>
  <si>
    <t>C&amp;D Technologies Inc</t>
  </si>
  <si>
    <t>Manufacture power systems</t>
  </si>
  <si>
    <t>Angelo Gordon &amp; Co LP</t>
  </si>
  <si>
    <t>US - Angelo Gordon &amp; Co LP (Angelo) acquired the remaining 35% stake, or 5.319 mil common shares, which it did not already own, in C&amp;D Technologies Inc (C&amp;D), a Blue Bell-based manufacturer of power systems, for a sweetened USD 9.75 in cash per share, or a total value of USD 51.858 mil, in a leveraged buyout transaction. On completion, C&amp;D shares were delisted from the New York Stock Exchange. Originally, Angelo offered USD 9.5 in cash, or a total value USD 50.529 mil.</t>
  </si>
  <si>
    <t>MediaMind Technologies Inc</t>
  </si>
  <si>
    <t>Pvd online campaign mgt svcs</t>
  </si>
  <si>
    <t>US - DG FastChannel Inc (DG) acquired the entire share capital of MediaMind Technologies Inc (MediaMind), a New York-based provider of online campaign management solutions services, for USD 22 in cash per share, or a total value of USD 497.862 mil. Earlier, DG completed its tender offer for MediaMind by accepting 18.169 mil shares, or 95.51% of MediaMind's common shares outstanding.</t>
  </si>
  <si>
    <t>Energy Transfer Equity LP</t>
  </si>
  <si>
    <t>Pvd natural gas transp,distn</t>
  </si>
  <si>
    <t>US - Energy Transfer Equity LP (Energy) acquired the entire share capital of Southern Union Co (Southern), a Houston-based gas utility company, for a twice sweetened USD 5.561 bil. Energy offered a twice sweetened choice of USD 44.25 in cash or 1 common unit, per Southern shares, subject to proration whereby 60% of the aggregate consideration was to consist of cash and the common unit component can fluctuate between 40% and 50%. The transaction included a 50% indirect interest in Citrus Corp, which owns the Florida Gas Transmission pipeline system. Previously, Energy offered a sweetened USD 40 in cash or 0.903 common units. Originally, Energy offered 0.77 new series B unit and the assumption of USD 3.7 bil in liabilities. Southern Union would cease to be a publicly traded company and its common stock will stop trading on the NYSE.)Subsequently, The Williams Cos Inc withdrew its plans to launch an unsolicited tender offer to acquire the entire share capital of Southern.</t>
  </si>
  <si>
    <t>Multiband Corp</t>
  </si>
  <si>
    <t>Pvd telecommun system op svcs</t>
  </si>
  <si>
    <t>US - Multiband Corp withdrew its Letter of Intent {LoI} to acquire the entire share capital of WPCS International Inc (WPCS), an Exton-based provider of wireless communications and infrastructure services, for USD 3.2 in cash per share, or a total value of USD 22.255 mil.</t>
  </si>
  <si>
    <t>BJ's Wholesale Club Inc</t>
  </si>
  <si>
    <t>Own,op misc merchandise store</t>
  </si>
  <si>
    <t>BJ's Wholesale Club Inc SPV</t>
  </si>
  <si>
    <t>US - BJ's Wholesale Club Inc SPV, a special acquisition purpose vehicle formed by Leonard Green &amp; Partners LP (Leonard Green) and CVC Capital Partners Ltd, acquired the remaining 90.5% interest or 49.483 mil ordinary shares, which it did not already own, in BJ's Wholesale Club Inc (BJ's Wholesale), a Westborough- based owner and operator of miscellaneous merchandise stores, for USD 51.25 in cash per share, or a total value of USD 2.554 bil, in a leveraged buyout transaction. Originally, in November 2010, BJ's Wholesale, was rumored to be seeking a buyer for the company. Leonard Green and Apollo Management LP were named potential bidders.</t>
  </si>
  <si>
    <t>US - Susquehanna Bancshares Inc (Susquehanna) acquired the entire share capital of Tower Bancorp Inc (Tower), a Harrisburg-based bank holding company, for USD 343.72 mil. Susquehanna offered a choice of 3.47 common shares or USD 28 in cash pero Tower share. Based on Susquehanna's closing stock price of USD 8. 26 on 17 June 2011, the last full trading day prior to the announcement, each Tower share was valued at USD 28. 659.</t>
  </si>
  <si>
    <t>US - Eastman Chemical Co acquired the entire share capital and convertible preferred shares of Sterling Chemicals Inc, a Houston- based manufacturer of industrial organic chemicals, for USD 2.5 in cash per share, or a total value of USD 100. 06 mil in cash.</t>
  </si>
  <si>
    <t>US - North New England Energy Corp, a majority-owned unit of Valener Inc, acquired the entire share capital of Central Vermont Public Service Corp (Central Vermont) , a Rutland-based electric utility company, for USD 35. 25 in cash per share, or a total value of USD 476.873 mil. Previously, Cedar Acquisition Sub Inc, a wholly- owned unit of Fortis Inc, agreed to acquire the entire share capital of Central Vermont.</t>
  </si>
  <si>
    <t>SeraCare Life Sciences Inc</t>
  </si>
  <si>
    <t>MSMB Capital Management LLC</t>
  </si>
  <si>
    <t>US - MSMB Capital Management LLC withdrew its plans to launch an unsolicited tender offer to acquire the entire share capital of SeraCare Life Sciences Inc (SeraCare), a Milford-based biotechnology company, for USD 4.25 per share or a total value of USD 81.951 mil. Subsequently, Linden LLC acquired the entire share capital of SeraCare.</t>
  </si>
  <si>
    <t>US - The Williams Cos Inc (Williams) withdrew its plans to launch an unsolicited tender offer to acquire the entire share capital of Southern Union Co (Southern), a Houston-based gas utility company, for a sweetened USD 44 in cash per share, or a total value of USD 5.52 bil. Originally, Williams offered USD 39 in cash per share, or a total value of USD 4.863 bil. Previously, Energy Transfer Equity LP acquired the entire share capital of Southern.</t>
  </si>
  <si>
    <t>Cab Merger Sub Inc</t>
  </si>
  <si>
    <t>Pvd med group practice svcs</t>
  </si>
  <si>
    <t>US - Cab Merger Sub Inc (Cab), a wholly-owned unit of Metropolitan Health Networks Inc, merged with Continucare Corp (Continucare), a Miami- based provider of medical services, for USD 414.281 mil. Cab offered USD 6.25 in cash and 0.0414 common share per Continucare share. Based on Metropolitan's closing stock price of USD 4.88 on 24 June 2011, the last full trading day prior to the announcement, each Continucare share was valued at USD 6.452. On completion, Continucare was to own a 6.1% stake in Metropolitan.</t>
  </si>
  <si>
    <t>Servidyne Inc</t>
  </si>
  <si>
    <t>Pvd energy management svcs</t>
  </si>
  <si>
    <t>Scientific Conservation Inc</t>
  </si>
  <si>
    <t>Dvlp energy mgmt software</t>
  </si>
  <si>
    <t>US - Scientific Conservation Inc acquirede the entire share capital of Servidyne Inc, an Atlanta-based provider of energy efficiency management services, for USD 3.5 in cash per share, or a total value of USD 12.865 mil. Upon completion, the combined entity was to be renamed SCIenergy Inc.</t>
  </si>
  <si>
    <t>S1 Corp</t>
  </si>
  <si>
    <t>US - S1 Corp (S1) withdrew its definitive agreement to merge with Fundtech Ltd (Fundtech), a New Jersey- based developer of financial transaction processing software, from IDB Development Corp Ltd's (IDB Development) Clal Industries &amp; Investments Ltd subsidiary, in a stock swap transaction valued at USD 340.133 mil. S1 offered 2.72 new common shares per Fundtech share. Based on S1's closing stock price of USD 7.54 on 24 June 2011, the last full trading day prior to the announcement of the terms, each Fundtech share was valued at USD 20. 509. Upon completion, the merged entity was to be renamed Fundtech. IDB Development was a unit of IDB Holding Corp Ltd. Originally, ACI Worldwide Inc (ACI) acquired the entire share capital of S1. Subsequently, GTCR LLC acquired the entire share capital of Fundtech via challenging offer.</t>
  </si>
  <si>
    <t>Desert Commercial Bank</t>
  </si>
  <si>
    <t>First Foundation Bank</t>
  </si>
  <si>
    <t>US - First Foundation Bank, a wholly-owned unit of First Foundation Inc (First), merged with Palm Desert-based Desert Commercial Bank, for USD 20.05 mil. The consideration consisted of USD 16 mil in First common stock and up to USD 4.05 mil in profit-related payments.</t>
  </si>
  <si>
    <t>Bulldog Acquisition Sub Inc</t>
  </si>
  <si>
    <t>US - Bulldog Acquisition Sub Inc, a wholly-owned unit of Bulldog Super Holdco Inc's (Bulldog Super Holdco) Bulldog Holdings Inc subsidiary, acquired the entire share capital of Blackboard Inc (Blackboard), a Washington-based developer of enterprise software, for USD 45 in cash per share, or a total value of USD 1.755 bil, including the assumption of USD 130 mil in liabilities, in a leveraged buyout transaction. Bulldog Super Holdco was a majority-owned unit of Providence Equity Partners LLC (Providence Equity). Originally, in June 2011, Blackboard was rumored to be seeking a buyer for the company. Providence Equity, Hellman &amp; Friedman LLC, Carlyle Group LP and KKR &amp; Co were named bidders. Blackboard was to be delisted in the Nasdaq Stock Exchange.</t>
  </si>
  <si>
    <t>Ameron International Corp</t>
  </si>
  <si>
    <t>Mnfr engineered products</t>
  </si>
  <si>
    <t>US - National Oilwell Varco Inc acquired the entire share capital of Ameron International Corp, a Pasadena-based manufacturer and wholesaler of highly- engineered products and materials, for USD 85 in cash per share, or a total value of USD 777.673 mil.</t>
  </si>
  <si>
    <t>IVD Acquisition Corp</t>
  </si>
  <si>
    <t>US - IVD Acquisition Corp (IVD), a wholly-owned unit of TPG Capital LP's IVD Holdings Inc, completed its tender offer to acquire an 87.559% or 61.55 mil common shares of Immucor Inc (Immucor), a Norcross-based manufacturer and wholesaler of reagents, for USD 27 in cash per share, or a total value of USD 1.687 bil. Originally, IVD definitively agreed to acquire the entire share capital of Immucor for USD 27 in cash per share, or a total value of USD 1.924 bil, via a tender offer. The offer was conditioned upon at least 84% of shares being tendered.</t>
  </si>
  <si>
    <t>US - Blackstone Group LP was rumored to be planning to acquire the entire share capital of Kinetic Concepts Inc, a San Antonio-based manufacturer of therapeutic hospital beds and medical equipment, in a leveraged buyout transaction. Terms were not disclosed but, according to people familiar with the transaction, the deal was valued at an estimated USD 5 bil. The Current status of this deal is unknown.</t>
  </si>
  <si>
    <t>US - One Equity Partners LLC, a unit of JPMorgan Chase &amp; Co, acquired the entire share capital of APAC Customer Services Inc, a Bannockburn- based provider of customer care, telephone-based sales, marketing and customer management services and related web-based services, for USD 8.55 in cash per share, or a total value of USD 485.191 mil, in a leveraged buyout transaction.</t>
  </si>
  <si>
    <t>American Atlantic Co</t>
  </si>
  <si>
    <t>Pvd marine construction svcs</t>
  </si>
  <si>
    <t>Weeks Marine Inc</t>
  </si>
  <si>
    <t>US - Weeks Marine Inc (Weeks) acquired the entire share capital of American Atlantic Co, a King of Prussia-based provider of marine construction services, for a sweetened USD 33 mil. Originally, Weeks offered USD 30 mil.</t>
  </si>
  <si>
    <t>Arch Chemicals Inc</t>
  </si>
  <si>
    <t>Manufacture specialty chemical</t>
  </si>
  <si>
    <t>Lonza Group Ltd</t>
  </si>
  <si>
    <t>US - Lonza Group Ltd of Switzerland completed its tender offer to acquire the entire share capital of Arch Chemicals Inc (Arch), a Norwalk-based manufacturer of specialty chemical, for USD 47.2 in cash per share, or total value of USD 1.103 bil. The offer was conditioned upon at least 66.66% of shares being tendered.</t>
  </si>
  <si>
    <t>Radiant Systems Inc</t>
  </si>
  <si>
    <t>Ranger Acquisition Corp</t>
  </si>
  <si>
    <t>US - Ranger Acquisition Corp, a wholly-owned unit of NCR Corp, completed its tender offer to acquire the entire share capital of Radiant Systems Inc (Radiant), an Alpharetta-based developer of management software, for USD 28 in cash per share, or a total value of USD 1.193 bil. The offer was conditioned upon at least a majority of Radiant System's shares being tendered.</t>
  </si>
  <si>
    <t>Conmed Healthcare Mgmt Inc</t>
  </si>
  <si>
    <t>Pvd correctional HMO svcs</t>
  </si>
  <si>
    <t>Ayelet Investments LLC</t>
  </si>
  <si>
    <t>US -Ayelet Investments LLC withdrew its definitive agreement to acquire the entire share capital of Conmed Healthcare Management Inc (Conmed), a Hanover-based provider of healthcare services, for USD 3.85 cash per share or a total value of USD 49.458 mil. Originally, In May 2011, Conmed announced that it was seeking a buyer for the company.</t>
  </si>
  <si>
    <t>Validus Holdings Ltd</t>
  </si>
  <si>
    <t>Pvd ins,reinsurance services</t>
  </si>
  <si>
    <t>US - Validus Holdings Ltd (Validus) of Bermuda withdrew its hostile challenging tender offer to merge with Transatlantic Holdings Inc (Transatlantic), a New York- based provider of insurance and reinsurance services, in a reverse takeover transaction valued at USD 2. 997 bil. Validus offered 1. 5564 common shares per Transatlantic share. Based on Validus' closing stock price of USD 30.62 on 11 July 2011, the last full trading day prior to the announcement each Transatlantic share was valued at USD 47.657. Upon completion, Validus and Transatlantic were to own a 98.93% and 1.07% interest in the merged entity, respectively. Originally, Allied World Assurance Co Holdings AG of Switzerland withdrew its definitive agreement to merge with Transatlantic. Previously, National Indemnity Co withdrew its plans to launch an unsolicited challenging offer to acquire the entire share capital Transatlantic. Aditionally, Alleghany Corp agreed to acquire the entire share capital of Transatlantic.</t>
  </si>
  <si>
    <t>Chiron Holdings Inc</t>
  </si>
  <si>
    <t>US - Chiron Holdings Inc (Chiron), a new company formed by Apax Partners Worldwide LLP, Canada Pension Plan Investment Board and Canadian state-owned Public Sector Pension Investment Board, for the purpose of making an acquisition, acquired the entire share capital of Kinetic Concepts Inc, a San Antonio-based manufacturer and wholesaler of therapeutic beds, from James R. Leininger (11%) and other undisclosed shareholders, for USD 68.5 in cash per share, or a total value of USD 5.139 bil, in a leveraged buyout transaction.</t>
  </si>
  <si>
    <t>US - BHP Billiton PLC of the UK, a unit of BHP Billiton Ltd completed its tender offer to acquire the entire share capital of Petrohawk Energy Corp, a Houston-based oil and gas exploration and production company, for USD 38.75 in cash per share, or a total value of USD 11.776 bil.</t>
  </si>
  <si>
    <t>US - Icahn Enterprises LP (Icahn) withdrew its plans to launch a hostile offer to acquire the remaining 90.6% interest, or 120.801 mil common shares, which it did not already own, in The Clorox Co, an Oakland-based manufacturer and wholesaler of consumer products, for an amended USD 78 in cash per share or a total value of USD 9.423 bil. Previously, Icahn offered a sweetened USD 80 in cash per share, or a total value of USD 9.664 bil. Originally, Icahn offered USD 76.5 in cash per share, or a total value of USD 9.241 bil.</t>
  </si>
  <si>
    <t>Allos Therapeutics Inc</t>
  </si>
  <si>
    <t>AMAG Pharmaceuticals Inc</t>
  </si>
  <si>
    <t>Specialty pharmaceutical company</t>
  </si>
  <si>
    <t>US - AMAG Pharmaceuticals Inc (AMAG) withdrew its definitive merger agreement with Allos Therapeutics Inc (Allos), a Westminster-based biopharmaceutical company, in a stock swap transaction valued at USD 258.226 mil. AMAG offered 0.1282 new common shares per Allos share. Based on AMAG's closing stock price of USD 19.07 on 19 April 2011, the last full trading day prior to the announcement, each Allos share was valued at USD 2.445.</t>
  </si>
  <si>
    <t>Icagen Inc</t>
  </si>
  <si>
    <t>US - Pfizer Inc completed its tender offer to acquire the remaining 89% interest, or 6. 674 mil common shares, which it did not already own, in Icagen Inc (Icagen), a Durham- based manufacturer of prescription pharmaceuticals, for USD 6 in cash per share, or a total value of USD 40. 094 mil, by accepting 4.617 mil shares, or 69.18% of Icagen common shares outstanding. The offer was conditioned upon at least majority of Icagen's shares being tendered on a fully- diluted basis. On completion, Icagen was to be delisted in the NASDAQ stock exchange.</t>
  </si>
  <si>
    <t>InterDigital Inc PA</t>
  </si>
  <si>
    <t>Mnfr wireless radio systems</t>
  </si>
  <si>
    <t>US - Interdigital Inc PA, a King of Prussia-based manufacturer of wireless radio systems, was rumored to be seeking a buyer for the company. Google Inc was rumored potential bidder. The Current status of this deal is unknown.</t>
  </si>
  <si>
    <t>Nalco Holding Co</t>
  </si>
  <si>
    <t>Provide water treatment svcs</t>
  </si>
  <si>
    <t>US - Ecolab Inc merged with Nalco Holding Co (Nalco), a Naperville-based provider of integrated water treatment and process improvement services, chemicals and equipment programs, in a stock swap transaction valued at USD 8.112 bil, including the assumption of USD 2.7 bil in liabilities. Ecolab offered a choice of 0.7005 common share or USD 38.8 in cash per Nalco share, subject to proration whereby 70% of the aggregate consideration was comprised of common shares and the remaining 30% in cash. Based on Ecolab's closing stock price of USD 55. 39 on 19 July 2011, the last full trading day prior to the announcement, each Nalco share was valued at USD 38. 801.</t>
  </si>
  <si>
    <t>SFN Group Inc</t>
  </si>
  <si>
    <t>Randstad Holding NV</t>
  </si>
  <si>
    <t>Provide recruitment services</t>
  </si>
  <si>
    <t>US - Randstad Holding NV of the Netherlands acquired the entire share capital of SFN Group Inc, a Fort Lauderdale- based provider of temporary staffing services, for USD 14 in cash per share, or a total value of USD 734.207 mil. The offer was conditioned upon at least 50% of SFN Group's shares being tendered.</t>
  </si>
  <si>
    <t>US - Express Scripts Inc (Express) merged with Medco Health Solutions Inc (Medco), a Franklin Lakes-based wholesaler and retailer of pharmaceuticals, in a stock swap transaction valued at USD 29.37 bil. Express offered USD 28.8 in cash per share and 0.81 common shares per Medco share. Based on Express' closing stock price of USD 52.54 on 20 July 2011, the last full trading day prior to the announcement, each Medco share was valued at USD 71.357. On completion, the new company was named Express Scripts Holding Co (Express Scripts) and Express and Medco owned 59% and 41% in Express Scripts, respectively.</t>
  </si>
  <si>
    <t>Bridgepoint Education Inc</t>
  </si>
  <si>
    <t>Own,operate college,university</t>
  </si>
  <si>
    <t>US - In July 2011, Warburg Pincus Private Equity VIII LP, a unit of Warburg Pincus LLC's Warburg Pincus Ventures Inc subsidiary, announced that it was seeking a buyer for its 66.06% interest, or 34.589 mil common shares, in its Bridgepoint Education Inc unit, a San Diego-based owner and operator of colleges and universities.</t>
  </si>
  <si>
    <t>ACI Worldwide Inc</t>
  </si>
  <si>
    <t>Dvlp electn payment software</t>
  </si>
  <si>
    <t>US - ACI Worldwide Inc (ACI) acquired the entire share capital of S1 Corp, a Nocross- based developer of financial software solutions, for a sweetened USD 534.277. ACI offered a sweetened USD 6.2 in cash and 0.1064 share per S1 share. Based on S1's closing stock price of USD 35. 7 on 25 July 2011, the last full trading day prior to the announcement, the share portion of the price per share was valued at USD 3.798. Originally, ACI offered a choice of USD 9.5 in cash or common shares per S1 share, subject to proration whereby 40% of the aggregate consideration was to be paid in common stock and the remaining 60% in cash. On completion, ACI and S1 shareholders received 85% and 15% of the merged entity respectively. Previously, S1 withdrew its definitive agreement to merge with Fundtech Ltd</t>
  </si>
  <si>
    <t>Alliance Bankshares Corp,VA</t>
  </si>
  <si>
    <t>Eagle Bancorp Inc,Bethesda,MD</t>
  </si>
  <si>
    <t>US - Eagle Bancorp Inc (Eagle) withdrew its definitive agreement to merge with Chantily-based Alliance Bankshares Corp (Alliance), in a stock swap transaction valued at USD 31.23 mil. Eagle offered 0.4317 common shares per Alliance share. Based on Eagle's closing stock price of USD 14.16 on 26 July 2011, the last full trading day prior to the announcement, each Alliance share was valued at USD 6.113.</t>
  </si>
  <si>
    <t>Saga Group Ltd</t>
  </si>
  <si>
    <t>Provide insurance,tour svcs</t>
  </si>
  <si>
    <t>US - Saga Group Ltd of the UK, a wholly-owned unit of The Automobile Association Ltd subsidiary of CVC Capital Partners Ltd and Permira Advisers LLP, merged with Allied Healthcare International Inc, a New York- based provider of healthcare staffing services, for USD 3. 9 in cash per share, or a total value of USD 175.729 mil.</t>
  </si>
  <si>
    <t>US -In November 2011, E*Trade Financial Corp (E*Trade), a New York-based provider of securities brokerage services, withdrew its plans of seeking a buyer for the company. Originally, E*Trade was rumored to be seeking a buyer for the company.</t>
  </si>
  <si>
    <t>PAETEC Holding Corp</t>
  </si>
  <si>
    <t>US - Windstream Corp (Windstream) acquired the entire share capital of PAETEC Holding Corp (PAETEC), a Fairport-based provider of telecommunications services, in exchange for 0.46 common share per PAETEC share, or a total value of USD 2.228 bil, including the assumption of USD 1.4 bil in liabilities. Based on Windstream's closing stock price of USD 12.2 on 29 July 2011, the last full trading day prior to the announcement, each PAETEC share was valued at USD 5.617. On completion, PAETEC owned 13% of the combined entity and had applied for the delisting of shares from the NASDAQ Global Select Market Stock Exchange.</t>
  </si>
  <si>
    <t>US - MSMB Capital Management LLC withdrew its unsolicited offer to acquire AMAG Pharmaceuticals Inc, a Lexington-based biopharmaceutical company, for USD 18 in cash per share, or a total value of USD 380. 879 mil.</t>
  </si>
  <si>
    <t>Fresh Start Private Hldgs Inc</t>
  </si>
  <si>
    <t>8000 Inc</t>
  </si>
  <si>
    <t>US - 8000 Inc agreed to acquire an undisclosed majority interest in Fresh Start Private Holdings Inc, a Carson City-based gold and silver mining company.</t>
  </si>
  <si>
    <t>Global Traffic Network Inc</t>
  </si>
  <si>
    <t>Provide traffic,news reports</t>
  </si>
  <si>
    <t>GTCR Gridlock Acquisition Sub</t>
  </si>
  <si>
    <t>US - GTCR Gridlock Acquisition Sub Inc, a wholly- owned unit of GTCR LLC, acquired the entire share capital of Global Traffic Network Inc, a New York-based provider of traffic and news reports, for USD 14 in cash per share, or a total value of USD 276.877 mil, via tender offer.</t>
  </si>
  <si>
    <t>Emdeon Inc</t>
  </si>
  <si>
    <t>Develop payment mgmt software</t>
  </si>
  <si>
    <t>Blackstone Capital Partners VI</t>
  </si>
  <si>
    <t>US - Blackstone Capital Partners VI LP, a wholly- owned unit of Blackstone Group LP (Blackstone), acquired the entire share capital of Emdeon Inc (Emdeon) , a Nashville-based developer of revenue and payment cycle management software, for USD 19 in cash per share, or a total value of USD 2.201 bil, in a leveraged buyout tranasction. On completion, Emdeon was to be delisted from the New York stock exchange. Originally, in July 2011, Blackstone was rumored to be planning to acquire the entire share capital of Emdeon.</t>
  </si>
  <si>
    <t>Kao Corp</t>
  </si>
  <si>
    <t>Mnfr,whl soap,polishes,chem</t>
  </si>
  <si>
    <t>US - Kao Corp of Japan was rumored to be planning to acquire the entire share capital of The Clorox Co, an Oakland-based manufacturer and wholesaler of consumer products. The Current status of this deal is unknown.</t>
  </si>
  <si>
    <t>UniTek Global Services Inc</t>
  </si>
  <si>
    <t>Pvd constr,technical services</t>
  </si>
  <si>
    <t>US - UniTek Global Services Inc withdrew its plans to launch an unsolicited tender offer to acquire the entire share capital of Multiband Corp, a New Hope-based provider of telecommunication system operation systems, for USD 4.5 per share or a total value of USD 54.261 mil.</t>
  </si>
  <si>
    <t>National Indemnity Co</t>
  </si>
  <si>
    <t>US - National Indemnity Co, a unit of Berkshire Hathaway Inc, withdrew its plan to launch an unsolicited challenging offer to acquire the entire share capital of Transatlantic Holdings Inc (Transatlantic), a New York- based provider of insurance and reinsurance services, for USD 52 per share, or a total value of USD 3.249 bil. Previously, Allied World Assurance Co Holdings AG withdrew its definitive agreement to merge with Transatlantic. Subsequently, Validus Holdings Ltd launched a hostile challenging tender offer to merge with Transatlantic. Additionally, - Alleghany Corp definitively agreed to acquire the entire share capital of Transatlantic</t>
  </si>
  <si>
    <t>Motorola Mobility Holdings Inc</t>
  </si>
  <si>
    <t>Mnfr,whl communication prod</t>
  </si>
  <si>
    <t>US - Google Inc acquired the entire share capital of Motorola Mobility Holdings Inc, a Libertyville-based manufacturer and wholesaler of integrated communication products, for USD 40 in cash per share, or a total value of USD 12.45 bil.</t>
  </si>
  <si>
    <t>Openlane Inc</t>
  </si>
  <si>
    <t>US - ADESA Inc, a wholly- owned unit of KAR Holdings II LLC's wholly-owned KAR Auction Services Inc subsidiary, acquired the entire share capital of Openlane Inc, a Redwood City- based provider of online vehicle auction services, for USD 210 mil in cash.</t>
  </si>
  <si>
    <t>Kinetic Concepts Inc SPV</t>
  </si>
  <si>
    <t>US - Kinetic Concepts Inc SPV, a special purpose acquisition vehicle formed by Avista Capital Partners LP and Bain Capital LLC, was rumored to be planning to acquire the entire share capital of Kinetic Concepts Inc, a San Antonio-based manufacturer and wholesaler of therapeutic hospital beds and medical equipment, in a leveraged buyout transaction. The Current status of this deal is unknown.</t>
  </si>
  <si>
    <t>Raphael Acquisition Corp</t>
  </si>
  <si>
    <t>US - Raphael Acquisition Corp, a wholly-owned unit of Permira Advisers LLP's majority-owned Raphael Holding Co subsidiary, acquired the entire share capital of Renaissance Learning Inc (Renaissance), a Wisconsin Rapids-based developer of educational and learning software, for USD 14. 85 in cash per share, or a total value of USD 436.135 mil, in a leveraged buyout transaction. On completion, Renaissance was delisted in the Nasdaq National Market exchange. Concurrently, Plato Learning Inc, a unit of Thoma Bravo LLC withdrew its agreement to acquire the entire share capital of Renaissance. Subsequently, Hellman &amp; Friedman LLC acquired an undisclosed majority interest in Renaissance Learning Inc, in a secondary buyout transaction.</t>
  </si>
  <si>
    <t>MarketAxess Holdings Inc</t>
  </si>
  <si>
    <t>Pvd online bond trading svcs</t>
  </si>
  <si>
    <t>US - In August 2011, MarketAxess Holdings Inc, a New York-based provider of online bond trading services, was rumored to be seeking a buyer for the entire share capital of the company. Terms were not disclosed, but according to people familiar with the transaction, the deal was valued at an estimated USD 1.5 bil. The Current status of this deal is unknown.</t>
  </si>
  <si>
    <t>US - In August 2011, SCANA Corp, a Cayce-based electric and gas utility company, was rumored to be seeking a buyer for the company. The Current status of this deal is unknown.</t>
  </si>
  <si>
    <t>US - Apollo Global Management LLC discontinued rumors it was planning to acquire the entire share capital of 99 Cents Only Stores (99 Cents), a City of Commerce-based owner and operator of variety stores, in a leveraged buyout transaction. Previously, An investor group comprised of Leonard Green &amp; Partners LP and members of Schiffer and Gold family, planned to acquire the remaining 67% interest, or 46.95 mil common shares, which it did not already own in 99 Cents, in a leveraged buyout transaction.</t>
  </si>
  <si>
    <t>PharMerica Corp</t>
  </si>
  <si>
    <t>Own,operate pharmacies</t>
  </si>
  <si>
    <t>US - Omnicare Inc withdrew its hostile tender offer to acquire the entire share capital of PharMerica Corp, a Louisville-based owner and operator of institutional and hospital pharmacies, for USD 15 in cash per share, or a total value of USD 440.796 mil.</t>
  </si>
  <si>
    <t>Iron Mining Group Inc</t>
  </si>
  <si>
    <t>Iron ore mining company</t>
  </si>
  <si>
    <t>US - Iron Mining Group Inc, a New York-based an iron ore mining company, planned to a debt restructuring transaction with Creditors.</t>
  </si>
  <si>
    <t>Dvlp education tech software</t>
  </si>
  <si>
    <t>US - Plato Learning Inc (Plato), a unit of Thoma Bravo LLC withdrew its definitive agreement to acquire the entire share capital of Renaissance Learning Inc, a Wisconsin Rapids-based developer of educational software, for a sweetened USD 16.01 in cash per share, or a total value of USD 470.196 mil, via an unsolicited offer. Originally, Plato offered USD 15.50 in cash per share, or a total value of USD 455.530 mil. Previously, Raphael Acquisition Corp, a unit of Permira Advisers LLP's Raphael Holding Co subsidiary, acquired the entire share capital of Renaissance Learning Inc.</t>
  </si>
  <si>
    <t>Venoco Inc</t>
  </si>
  <si>
    <t>US - A management-led investor group, including Timothy Marquez, acquired the remaining 49.68% stake, which it did not already own, in Venoco Inc, a Denver-based oil and gas exploration and production company, for USD 12.5 in cash per share, or a total value of USD 384.647 mil, in a leveraged buyout transaction.</t>
  </si>
  <si>
    <t>Beach Business Bank,CA</t>
  </si>
  <si>
    <t>First PacTrust Bancorp Inc</t>
  </si>
  <si>
    <t>US - First PacTrust Bancorp (First) acquired the entire share capital of a Manhattan Beach-based Beach Business Bank, for USD 36.818 mil. First offered USD 9.12 cash per share or a total value of USD 36.818 mil or USD 4.61 cash per share or a total value of USD 18.611 and the issuance of 1.362 mil First common shares valued at CAD 16.467 mil. Based on First's closing stock price of USD 12. 09 on 30 August 2011, the last full trading day prior to the announcement.</t>
  </si>
  <si>
    <t>Penn Millers Holding Corp</t>
  </si>
  <si>
    <t>US - ACE Ltd of Bermuda acquired the entire share capital of Wilkes-Barre-based Penn Millers Holding Corp, for USD 20.5 in cash per share, or a total value of USD 104.797 mil.</t>
  </si>
  <si>
    <t>Walter Energy Inc</t>
  </si>
  <si>
    <t>US - In September 2011, Walter Energy Inc, a Tampa- based coal mining company was rumored to be seeking a buyer for the company. Anglo American PLC and BHP Billiton Ltd were named rumored bidders. The Current status of this deal is unknown.</t>
  </si>
  <si>
    <t>US - PerkinElmer Inc acquired the entire share capital of Caliper Life Sciences Inc, a Hopkinton-based manufacturer and wholesaler of laboratory analytical instrument, for USD 10.5 in cash per share, or a total value of USD 611. 615 mil.</t>
  </si>
  <si>
    <t>Global Industries Ltd</t>
  </si>
  <si>
    <t>Pvd oil,gas engineering svcs</t>
  </si>
  <si>
    <t>Apollon Merger Sub B Inc</t>
  </si>
  <si>
    <t>US - Apollon Merger Sub B Inc, a wholly-owned unit of Technip SA, merged with Global Industries Ltd, a Carlyss-based provider of oil and gas engineering services, for USD 8 in cash per share, or a total value of USD 1. 051bil, including the assumption of USD 136 mil in liabilities.</t>
  </si>
  <si>
    <t>NetLogic Microsystems</t>
  </si>
  <si>
    <t>Mnfr semiconductor processors</t>
  </si>
  <si>
    <t>I&amp;N Acquisition Corp</t>
  </si>
  <si>
    <t>US - I&amp;N Acquisition Corp, a wholly-owned unit of Broadcom Corp, merged with NetLogic Microsystems Inc, a Santa Clara-based manufacturer of semiconductor processors, for USD 50 in cash per share, or a total value of USD 3.696 bil.</t>
  </si>
  <si>
    <t>Oaktree Capital Management LP</t>
  </si>
  <si>
    <t>US - Oaktree Capital Management LP, a unit of Oaktree Capital Group LLC, through its undisclosed funds, withdrew its plans to launch a hostile tender offer to acquire the remaining 95.1% interest, or 25.866 mil common shares, which it did not already own, in JAKKS Pacific Inc, a Walnut-based manufacturer and wholesaler of toys, leisure, writing and electronic products, for USD 20 in cash per share, or a total value of USD 517.863 mil, in a leveraged buyout transaction.</t>
  </si>
  <si>
    <t>Stellar Business Bank</t>
  </si>
  <si>
    <t>AltaPacific Bancorp</t>
  </si>
  <si>
    <t>US - AltaPacific Bancorp (AltaPacific) merged with Covina-based Stellar Business Bank (Stellar), in a stock swap transaction valued at USD 17.441 mil. AltaPacific offered 0.8443 common shares per Stellar share. Based on AltaPacific's closing stock price of USD 9 on 13 September 2011, the last full trading day prior to the announcement, each Stellar share was valued at USD 7.599.</t>
  </si>
  <si>
    <t>CHS Inc</t>
  </si>
  <si>
    <t>Produce,wholesale grains,flour</t>
  </si>
  <si>
    <t>Hamilton Farm Bureau Coop Inc</t>
  </si>
  <si>
    <t>US - Hamilton Farm Bureau Co- Operative Inc merged with CHS Inc, an Inver Grove Heights- based producer and wholesaler of grains and flours.</t>
  </si>
  <si>
    <t>GTCR Fund X/A LP</t>
  </si>
  <si>
    <t>US - GTCR Fund X/A LP, a wholly-owned unit of GTCR LLC acquired the entire share capital of Fundtech Ltd, a Jersey City-based developer of financial transaction software, from Clal Industries &amp; Investments Ltd (57.9%), a majority-owned unit of IDB Development Corp Ltd, and other shareholders, for USD 23.33 in cash per share, or a total value of USD 382.433 mil, in a leveraged buyout transaction. Previously, S1 Corp withdrew its definitive agreement to merge with Fundtech.</t>
  </si>
  <si>
    <t>St Joe Co</t>
  </si>
  <si>
    <t>Fairholme Funds Inc</t>
  </si>
  <si>
    <t>US - Fairholme Funds Inc, a wholly-owned unit of Fairholme Capital Management LLC, agreed to raise its interest to 50% from 30%, by acquiring a further 20% stake, or 24.555 mil common shares, in St. Joe Co, a Jacksonville- based real estate development firm.</t>
  </si>
  <si>
    <t>Goodrich Corp</t>
  </si>
  <si>
    <t>Mnfr,whl aircraft parts,equip</t>
  </si>
  <si>
    <t>US - United Technologies Corp (United Technologies) acquired the entire share capital of Goodrich Corp (Goodrich), a Charlotte-based manufacturer and wholesaler of aircrafts parts and equipment, for USD 127.5 in cash per share, or a total value of USD 16.183 bil. Originally, United Technologies was rumored to be planning to acquire the entire share capital of Goodrich.</t>
  </si>
  <si>
    <t>American Medical Alert Corp</t>
  </si>
  <si>
    <t>Tunstall Healthcare Group Ltd</t>
  </si>
  <si>
    <t>Mnfr,whl wireless devices</t>
  </si>
  <si>
    <t>US - Tunstall Healthcare Group Ltd of the UK, a unit of Charterhouse Capital Partners LP's Tunstall Group Ltd subsidiary, acquired the entire share capital of American Medical Alert Corp, a Long Island City-based wholesaler of monitors and medical alert devices, for USD 8.55 in cash per share, or a total value of USD 82. 211 mil.</t>
  </si>
  <si>
    <t>Harleysville Group Inc</t>
  </si>
  <si>
    <t>US - Nationwide Mutual Insurance (Nationwide Mutual) acquired the entire share capital of Harleysville Group Inc, an insurance company, from Harleysville Mutual Insurance Co (Harleysville Mutual) (53.5%) and other undisclosed shareholders, for USD 60 in cash per share, or a total value of USD 1.684 bil. On completion, Nationwide Mutual was merged with Harleysville Mutual, and Harleysville Mutual was delisted from the NASDAQ Stock Exchange. Originally, Nationwide Mutual was rumored to be planning to acquire Harleysville Mutual.</t>
  </si>
  <si>
    <t>Pharm Product Dvlp Inc SPV</t>
  </si>
  <si>
    <t>US - Pharmaceutical Product Development Inc SPV, a special purpose acquisition vehicle formed by, The Carlyle Group LLC (Carlyle) and Hellman &amp; Friedman LLC, acquired the entire share capital of Pharmaceutical Product Development Inc (PPDI) , a Wilmington-based provider of research and development services, for USD 33.25 in cash per share, or a total value of USD 3.871 bil, in a leveraged buyout transaction. Originally, in August 2011, Carlyle was rumored to be planning to acquire the entire share capital of PPDI.</t>
  </si>
  <si>
    <t>A C Moore Arts &amp; Crafts Inc</t>
  </si>
  <si>
    <t>Retail crafts,art products</t>
  </si>
  <si>
    <t>SBAR'S Inc</t>
  </si>
  <si>
    <t>Whl art,craft products</t>
  </si>
  <si>
    <t>US - SBAR'S Inc completed its tender offer to acquire the entire share capital of AC Moore Arts &amp; Crafts Inc (AC Moore), a Berlin-based retailer of crafts and arts products, for USD 1.6 in cash per share, or a total value of USD 40.842 mil. Originally, in February 2011, AC Moore announced that it was seeking a buyer for the company. The offer was conditioned upon at least 70.7% of shares being tendered. On completion, AC Moore was delisted in the NASDAQ stock exchange.</t>
  </si>
  <si>
    <t>Craftmade International Inc</t>
  </si>
  <si>
    <t>Mnfr,whl ceiling fans</t>
  </si>
  <si>
    <t>Litex Industries Ltd</t>
  </si>
  <si>
    <t>US - Litex Industries Ltd raised its interest to 94. 666% from 14.487%, by acquiring a further 80.179% interest, or 4.574 mil common shares, in Craftmade International Inc, a Coppel- based manufacturer and wholesaler of ceiling fans, for USD 4.25 in cash per share, or a total value of USD 19.439 mil, via a tender offer.</t>
  </si>
  <si>
    <t>Southwall Technologies Inc</t>
  </si>
  <si>
    <t>Manufacture thin-film coatings</t>
  </si>
  <si>
    <t>Backbone Acquisition Sub Inc</t>
  </si>
  <si>
    <t>US - Backbone Acquisition Sub Inc (Backbone), a wholly- owned unit of Solutia Inc, acquired the entire share capital of Southwall Technologies Inc (Southwall), Palo Alto-based manufacturer of thin-film coatings, for USD 13.6 in cash per share, or a total value of USD 79. 114 mil. Earlier, Backbone completed its tender offer for Southwall , by accepting 7.14 mil common shares, or 95. 16% of Southwall's common shares outstanding.</t>
  </si>
  <si>
    <t>Complete Production Svcs Inc</t>
  </si>
  <si>
    <t>Provide oil,gas field services</t>
  </si>
  <si>
    <t>US - Superior Energy Services Inc (Superior) acquired the entire share capital of Complete Production Services Inc (Complete), a Houston- based provider of oil and gas field services, for USD 2.672 bil. Superior offered USD 7 in cash and 0.945 common share per Complete share. Based on Superior's closing stock price of USD 27.41 on 7 October 2011, the last full trading day prior to the announcement, each Complete share was valued at USD 32. 902.</t>
  </si>
  <si>
    <t>Bigband Networks Inc</t>
  </si>
  <si>
    <t>Dvlp digital video networking</t>
  </si>
  <si>
    <t>Amsterdam Acquisition Sub Inc</t>
  </si>
  <si>
    <t>US - Amsterdam Acquisition Sub Inc, a wholly-owned unit of ARRIS Group Inc, acquired a 95.028% interest, or 67.104 mil shares in Bigband Networks Inc, a Redwood City- based developer of digital video networking solutions software, via tender offer, for USD 2.24 in cash per share, or a total value of USD 152.891 mil. The offer was conditioned upon at least 90% of shares being tendered.</t>
  </si>
  <si>
    <t>US - An investor group, comprised of Canada Pension Plan Investment Board and Ares Management LLC (Ares), acquired the entire share capital of 99 Cents Only Store (99 Cents), a City of Commerce-based owner and operator of variety stores, for USD 22 in cash per share, or a total value of USD 1.552 bil, in a leveraged buyout transaction, via a challenging offer. Originally, Ares was rumored to be planning to launch a challenging offer to acquire the entire share capital of 99 Cents. Previously, An investor group comprised of Leonard Green &amp; Partners LP and members of Schiffer and Gold family, withdrew its plans to acquire the remaining 67% interest, or 46. 95 mil common shares, which it did not already own, in 99 Cents, in a leveraged buyout transaction.</t>
  </si>
  <si>
    <t>El Paso Corp</t>
  </si>
  <si>
    <t>US - Kinder Morgan Inc (Kinder) acquired the entire share capital of El Paso Corp, a Houston-based provider of gas transmission services, for USD 24.002 bil in cash including the assumption of 3. 841 billion in debt from El Paso Pipeline Partners LP. Kinder offered a choice of USD 25.91 in cash and 0.64 warrants, or USD 14.65 in cash, 0.419 Kinder common share and 0.64 warrants, or 0. 964 Kinder common shares and 0.64 warrants for every El Paso common share.</t>
  </si>
  <si>
    <t>Anadys Pharmaceuticals Inc</t>
  </si>
  <si>
    <t>Bryce Acquisition Corp</t>
  </si>
  <si>
    <t>US - Bryce Acquisition Corp, a wholly-owned unit of Roche Holding AG's wholly-owned Hoffman-La Roche Inc, merged with Anadys Pharmaceuticals Inc, a San Diego-based biopharmaceutical company, for USD 3.7 in cash per share, or a total value of USD 219. 53 mil, via a tender offer.</t>
  </si>
  <si>
    <t>Brigham Exploration Co</t>
  </si>
  <si>
    <t>Statoil ASA</t>
  </si>
  <si>
    <t>US - Statoil ASA (Statoil) of Norway acquired the entire share capital of Brigham Exploration Co, an Austin- based oil and gas exploration and production company, for USD 36.5 in cash per share, or a total value of USD 4.407 bil, via squeee out. Statoil received irrevocable undertakings to accept the offer with respect to 2.5% of the company's ordinary share capital.</t>
  </si>
  <si>
    <t>Vertro Inc</t>
  </si>
  <si>
    <t>Inuvo Inc</t>
  </si>
  <si>
    <t>US - Inuvo Inc (Inuvo) acquired the entire share capital of Vertro Inc (Vertro) , a New York-based developer of internet software, in a reverse takeover transaction valued at USD 19.23 mil. Inuvo offered 1.546 common share per Vertro share. The shares were valued based on Inuvo's closing stock price of USD 1.75 on 14 October 2011, the last full trading day prior to the announcement, each Vertro share was valued at USD 2.706. Upon completion, Vertro will own 91.331% in Inuvo.</t>
  </si>
  <si>
    <t>Produce,whl chicken products</t>
  </si>
  <si>
    <t>US - Cagles Inc, an Atlanta- based producer and wholesaler of chicken products, completed a debt restructuring transaction with Creditors.</t>
  </si>
  <si>
    <t>Oshkosh Corp</t>
  </si>
  <si>
    <t>US - Navistar International Corp was rumored to be planning to merge with Oshkosh Corp, an Oshkosh- based manufacturer of specialized heavy-duty trucks and proprietary parts as well as specialty fire apparatus. The Current status of this deal is unknown.</t>
  </si>
  <si>
    <t>Adolor Corp</t>
  </si>
  <si>
    <t>FRD Acquisition Corp</t>
  </si>
  <si>
    <t>US - FRD Acquisition Corp, a wholly-owned unit of Cubist Pharmaceuticals Inc, completed its tender offer to acquire the entire share capital of Adolor Corp, an Exton-based biopharmaceutical company, for USD 4.25 in cash per share, or a total value of an estimated USD 412. 531mil, including up to USD 209.09 mil in profit-related payments, by accepting 36.091 mil shares, or 73.27% of Adolor's common shares outstanding.</t>
  </si>
  <si>
    <t>CoreLogic Inc</t>
  </si>
  <si>
    <t>Pvd title ins,settlement svcs</t>
  </si>
  <si>
    <t>US - First American Financial Corp withdrew its plans to acquire the remaining 89% interest, or 94.707 mil common shares, which it did not already own, in CoreLogic Inc, a Santa Ana-based provider of ecommerce information services. Originally, in August 2011, CoreLogic announced that it was seeking a buyer for the company.</t>
  </si>
  <si>
    <t>HealthSpring Inc</t>
  </si>
  <si>
    <t>Own,operate HMO</t>
  </si>
  <si>
    <t>Citrine Magnolia Corp</t>
  </si>
  <si>
    <t>US - Citrine Magnolia Corp, a wholly-owned unit of CIGNA Corp, acquired the entire share capital of Healthspring Inc, a Nashville-based owner and operator of health maintenance organization, for USD 55 in cash per share, or a total value of USD 3.735 bil.</t>
  </si>
  <si>
    <t>KP Capital LLC</t>
  </si>
  <si>
    <t>US - KP Capital LLC terminated its unsolicited tender offer to acquire the entire share capital of Mac- Gray Corp, a Waltham-based owner and operator of card- and coin-operated laundry facilities, for USD 17.5 in cash per share, or a total value of USD 265.899 mil, in a leveraged buyout transaction.</t>
  </si>
  <si>
    <t>RightNow Technologies Inc</t>
  </si>
  <si>
    <t>Dvlp eCommerce software</t>
  </si>
  <si>
    <t>Rhea Acquisition Corp</t>
  </si>
  <si>
    <t>US - Rhea Acquisition Corp, a wholly-owned unit of Oracle Corp's wholly-owned OC Acquisition LLC subsidiary, merged with RightNow Technologies Inc, a Bozeman- based eCommerce software development company, for USD 43 in cash per share, or a total value of USD 1.838 bil.</t>
  </si>
  <si>
    <t>Own,op crude oil,natural gas pipelines</t>
  </si>
  <si>
    <t>US - Plains All American Pipeline LP withdrew its plans to launch an unsolicited tender offer to acquire the entire share capital of SemGroup Corp, a Tulsa-based provider of midstream services, for USD 24 in cash per share, or a total value of USD 1.001 bil.</t>
  </si>
  <si>
    <t>MF Global Holdings Ltd</t>
  </si>
  <si>
    <t>US - In October 2011, bankrupt MF Global Ltd (MF), a New York-based provider of securities brokerage services, announced that it was seeking a buyer for the company. JC Flowers &amp; Co, Goldman Sachs, State Street Corp, Barclays PLC, Macquarie Group Ltd, Seaport Group, and BOC International (China) Ltd were named as potential bidders. Originally, MF was rumored to be seeking a buyer for the company. The Current status of this deal is unknown.</t>
  </si>
  <si>
    <t>Reliance Industries Ltd</t>
  </si>
  <si>
    <t>US - Reliance Industries Ltd discontinued rumors that it was planning to acquire the entire share capital of Valero Energy Corp, a San Antonio-based manufacturer and wholesaler of petroleum related products. Terms were not disclosed but, according to people familiar with the transaction, the deal was valued at an estimated USD 27 bil.</t>
  </si>
  <si>
    <t>Interclick Inc</t>
  </si>
  <si>
    <t>Pvd advertising platform svcs</t>
  </si>
  <si>
    <t>Innsbruck Acquisition Corp</t>
  </si>
  <si>
    <t>US - Innsbruck Acquisition Corp, a wholly-owned unit of Yahoo! Inc, merged with Interclick Inc, a New York- based provider of advertising platform services, for USD 9 in cash per share, or a total value of USD 222.423 mil, via a tender offer.</t>
  </si>
  <si>
    <t>INX Inc</t>
  </si>
  <si>
    <t>Pvd data ctr solutions svcs</t>
  </si>
  <si>
    <t>Presidio Networked Solutions</t>
  </si>
  <si>
    <t>Provide info tech services</t>
  </si>
  <si>
    <t>US - Presidio Networked Solutions Inc acquired the entire share capital of INX Inc, a Houston-based provider of data center solutions services, for USD 8.75 per share or a total value of USD 85.004 mil. On completion, INX will be delisted in the NASDAQ stock exchange.</t>
  </si>
  <si>
    <t>Sonesta Intl Hotels Corp</t>
  </si>
  <si>
    <t>Own,op hotels,resorts,cruises</t>
  </si>
  <si>
    <t>Sonesta Acquisition Corp</t>
  </si>
  <si>
    <t>US - Sonesta Acquisition Corp (Sonesta) acquired the entire share capital of Sonesta International Hotels Corp, a Boston-based owner and operator of hotels, resorts and cruises, for USD 31 in cash per share, or a total value of USD 114.645 mil. Concurrently, Hospitality Properties Trust acquired the Royal Sonesta Hotel Boston, from Sonesta. On completion, Sonesta changed its name to Sonesta International Hotels Corp.</t>
  </si>
  <si>
    <t>Kentucky First Federal Bancorp</t>
  </si>
  <si>
    <t>US - Kentucky First Federal Bancorp (Kentucky) merged with Danville-based CKF Bancorp Inc, for USD 9.5 in cash per share, or a total value of USD 13.923 mil, subject to a collar agreement. Kentucky offered a choice of USD 9.5 in cash per share or 1.267 Kentucky common share per share or USD 5.569 mil in cash or USD 7.129 mil in Kentucky common shares.</t>
  </si>
  <si>
    <t>American Dental Partners Inc</t>
  </si>
  <si>
    <t>Pvd dental practice svcs</t>
  </si>
  <si>
    <t>JLL Crown Merger Sub LLC</t>
  </si>
  <si>
    <t>US - JLL Crown Merger Sub LLC, a special purpose acquisition vehicle formed by JLL Crown Holdings LLC, a unit of JLL Partners Inc, merged with American Dental Partners Inc (ADPI), a Wakefield-based provider of dental practice management services, for USD 19 in cash per share, or a total value of USD 393.716 mil, including the assumption of USD 81 mil in liabilities, in a leveraged buyout transaction. Upon completion, the merged entity was to be renamed ADPI.</t>
  </si>
  <si>
    <t>Force Protection Inc</t>
  </si>
  <si>
    <t>Manufacture motor vehicles</t>
  </si>
  <si>
    <t>US - General Dynamics Corp (General) acquired the entire share capital of Force Protection Inc (Force), a Summerville-based manufacturer of motor vehicles, for USD 5.52 in cash per share, or a total value of USD 387.961 mil. Earlier, General completed its tender offer for Force by accepting 57.1 mil shares, or 72.77% of Force's common shares outstanding.</t>
  </si>
  <si>
    <t>Tekelec</t>
  </si>
  <si>
    <t>Mnfr,whl network mgmt equip</t>
  </si>
  <si>
    <t>Titan Private Acquisition Corp</t>
  </si>
  <si>
    <t>US - Titan Private Acquisition Corp, a wholly- owned unit of Siris Capital Group LLC's Titan Private Holdings I LLC (Titan) subsidiary acquired the entire share capital of Tekelec, a Morrisville-based manufacturer and wholesaler of network management equipments, for USD 11 in cash per share, or a total value of USD 761.804 mil. Upon completion, Tekelec was to become a wholly-owned unit of Titan.</t>
  </si>
  <si>
    <t>MSA Co Inc</t>
  </si>
  <si>
    <t>US - MSA Co Inc, a unit of Landry's Restaurants Inc launched a tender offer to acquire the entire share capital of McCormick &amp; Schmick's Seafood Restaurants Inc (McCormick), a Portland- based owner and operator of seafood restaurants, for USD 8.75 in cash per share, or a total value of USD 130.371 mil. The offer was conditioned upon at least a majority of McCormick shares being tendered.</t>
  </si>
  <si>
    <t>Pinnacle Data Systems Inc</t>
  </si>
  <si>
    <t>Pvd OEM tech,engineering svcs</t>
  </si>
  <si>
    <t>Avnet Integrated Resources Ltd</t>
  </si>
  <si>
    <t>Pvd reverse logistics services</t>
  </si>
  <si>
    <t>US - Avnet Inc definitively merged with Pinnacle Data Systems Inc, a Groveport- based provider of original equipment manufacturer (OEM) technology and engineering services, for USD 2.5 in cash per share, or a total value of USD 20.235 mil.</t>
  </si>
  <si>
    <t>Own,op,manage resorts</t>
  </si>
  <si>
    <t>US - BFC Financial Corp (BFC) acquired the remaining 48. 044% stake, or 15.649 mil common shares which it did not already own, in Bluegreen Corp, a Boca Raton-based owner and operator of resorts, for a sweetened USD 10 in cash per share, or a total value of USD 157.202 mil. Originally, BFC offered 8 Class A new common shares for every Bluegreen share.</t>
  </si>
  <si>
    <t>Hampshire First Bank</t>
  </si>
  <si>
    <t>NBT Bank NA</t>
  </si>
  <si>
    <t>US - NBT Bank NA, a unit of NBT Bancorp Inc (NBT Bancorp) merged with Manchester-based Hampshire First Bank (Hampshire), in a stock swap transaction valued at USD 45. 314 mil. NBT Bancorp offered 0.7019 per Hampshire common share and USD 15 in cash per share, or a total value of USD 15.75 mil, subject to proration whereby 65% of the consideration was to be paid in stock and 35% in cash.</t>
  </si>
  <si>
    <t>Valpey-Fisher Corp</t>
  </si>
  <si>
    <t>Mnfr,whl frequency devices</t>
  </si>
  <si>
    <t>US - CTS Corp, through its wholly-owned VF Acquisition Corp unit, merged with Valpey- Fisher Corp, a Hopkinton- based manufacturer and wholesaler of frequency control devices, for USD 4.15 in cash per share or a total value of USD 19.47 mil. On completion, Valpey-Fisher became a wholly-owned unit of CTS and was delisted in the NASDAQ Stock Exchange.</t>
  </si>
  <si>
    <t>Pharmasset Inc</t>
  </si>
  <si>
    <t>Royal Merger Sub II Inc</t>
  </si>
  <si>
    <t>US - Royal Merger Sub II Inc, a wholly-owned unit of Gilead Sciences Inc, completed its tender offer to acquire the entire share capital of Pharmasset Inc, a Princeton- based manufacturer of pharmaceutical products, for USD 137 in cash per share, or a total value of USD 10.996 bil. The offer was conditioned upon at least a majority of Pharmasset's shares being tendered.</t>
  </si>
  <si>
    <t>US - Alleghany Corp (Alleghany) acquired the entire share capital of Transatlantic Holdings Inc (Transatlantic), a New York- based provider of insurance and reinsurance services, in a stock swap reverse takeover transaction valued at USD 3. 686 bil, via a challenging offer. Alleghany offered USD 14.22 in cash and 0.145 common share per Transatlantic share. Based on Alleghany's closing stock price of USD 314.26 on 18 November 2011, the last full trading day prior to the announcement, each Transatlantic share was valued at USD 45.568. Previously, National Indemnity Co, a unit of Berkshire Hathaway Inc, withdrew its plans to launch an unsolicited challenging offer to acquire the entire share capital of Transatlantic. Subsequently, Validus Holdings Ltd withdrew its hostile challenging tender offer to merge with Transatlantic.</t>
  </si>
  <si>
    <t>Cross Border Resources Inc</t>
  </si>
  <si>
    <t>American Standard Energy Corp</t>
  </si>
  <si>
    <t>US - American Standard Energy Corp terminated its Letter of Intent to acquire the entire share capital of Cross Border Resources Inc, a San Antonio- based oil and gas exploration and production company.</t>
  </si>
  <si>
    <t>Lexon Technologies Inc</t>
  </si>
  <si>
    <t>Mnfr recycled toner cartridges</t>
  </si>
  <si>
    <t>Liveplex Co Ltd</t>
  </si>
  <si>
    <t>Mnfr,whl camping tents</t>
  </si>
  <si>
    <t>US - Liveplex Co Ltd merged with Lexon Technologies Inc (Lexon), a La Mirada-based manufacturer of recycled toner cartridges, for a total value of USD 2.5 mil.On completion, Lexon will be renamed to Social Planet Inc.</t>
  </si>
  <si>
    <t>Commercial Metals Co</t>
  </si>
  <si>
    <t>Mnfr,whl,recycle steel prod</t>
  </si>
  <si>
    <t>US - Icahn Enterprises LP withdrew its hostile tender offer to acquire the remaining 90.03% or 104.004 mil shares, which it did not already own in Commercial Metals Co, an Irving-based manufacturer and wholesaler of steel and metal products, for USD 15 cash per share or a total value of USD 1.560 bil. The offer was conditioned upon at least 40. 1% of the shares being tendered.</t>
  </si>
  <si>
    <t>US - AMR Corp (AMR), a Dallas- based passenger airline and holding company, completed a debt restructuring transaction with creditors (CRs). CRs received new common stock and convertible preferred stock in exchange for existing debt. On completion, CRs held 72% interest in the newly formed American Airlines Group Inc. The book value of the existing debt that was exchanged under the terms of the offers was USD 21.677 bil.</t>
  </si>
  <si>
    <t>Magma Design Automation Inc</t>
  </si>
  <si>
    <t>US - Synopsys Inc definitively agreed to acquire the entire share capital of Magma Design Automation Inc, a San Jose- based developer of electronic design automation (EDA) software, for USD 7.35 in cash per share, or a total value of USD 620.744 mil.</t>
  </si>
  <si>
    <t>SuccessFactors Inc</t>
  </si>
  <si>
    <t>SAP America Inc</t>
  </si>
  <si>
    <t>US - SAP America Inc, a wholly-owned unit of Systeme Anwendungen Produkte AG {SAP AG}, completed its tender offer to acquire the entire share capital of SuccessFactors Inc (SuccessFactors), a San Mateo- based developer of business software, for USD 40 in cash per share, or a total value of USD 3.659 bil. The transaction was conditioned upon at least a majority of SuccessFactors' shares being tendered.</t>
  </si>
  <si>
    <t>Retail women's apparel</t>
  </si>
  <si>
    <t>US - Sycamore Partners LLC (Sycamore) completed a tender offer to acquire the remaining 90.1% interest, or 63.712 mil common shares, which it did not already own, in Talbots Inc, a Hingham- based retailer of women's apparel, via a tender offer, for an amended USD 2.75 in cash per share, or a total value of USD 175.208 mil. Previously, Sycamore offered USD 3.05 in cash per share, or a total value of USD 194. 322 mil and originally, Sycamore offered USD 3 in cash per share, or a total value of USD 191.136 mil, in a leveraged buyout transaction.</t>
  </si>
  <si>
    <t>DemandTec Inc</t>
  </si>
  <si>
    <t>Dvlp consumer mgmt software</t>
  </si>
  <si>
    <t>Cudgee Acquisition Corp</t>
  </si>
  <si>
    <t>US - Cudgee Acquisition Corp, a wholly-owned subsidiary of International Business Machines Corp {IBM}, acquired the entire share capital of DemandTec Inc, a San Mateo- based developer of consumer management software, for USD 13.2 in cash per share, or a total value of USD 439.374 mil.</t>
  </si>
  <si>
    <t>Blue Coat Systems Inc SPV</t>
  </si>
  <si>
    <t>US - Blue Coat Systems Inc SPV, a special purpose acquisition vehicle formed by Thoma Bravo LLC and Teachers Private Capital of Canada, a unit of Ontario Teachers Pension Plan {OTPP}, acquired the entire share capital of Blue Coat Systems Inc (Blue Coat), a Sunnyvale-based manufacturer and wholesaler of web-based security hardware appliance, for USD 25.81 in cash per share, or a total value of USD 1.238 bil, in a leveraged buyout transaction. Subsequently, Bain Capital LLC acquired Blue Coat, in a secondary buyout transaction.</t>
  </si>
  <si>
    <t>US - Prosperity Bancshares Inc (Prosperity) acquired the entire share capital of East Texas Financial Services Inc, a Tyler-based bank holding company, in a stock swap transaction valued a USD 2. 045 mil. The shares were valued based on Prosperity's closing stock price of USD 38. 51 on 08 December 2011, the last full trading day prior to the announcement. The transaction included First Federal Bank Texas.</t>
  </si>
  <si>
    <t>Premier Coml Bancorp,CA</t>
  </si>
  <si>
    <t>US - California United Bank (CU) acquired the entire share capital of Premier Commercial Bancorp, an Anaheim-based commercial bank holding company, in exchange for 3.721 mil CU common shares, valued at USD 38.145 mil. The shares were valued based on CU's closing stock price of USD 10.25 on 07 December 2011, the last full trading day prior to the announcement.</t>
  </si>
  <si>
    <t>Martin Marietta Materials Inc</t>
  </si>
  <si>
    <t>Mineral mining company</t>
  </si>
  <si>
    <t>US - Martin Marietta Materials Inc (Martin) withdrew its hostile tender offer to acquire the entire share capital of Vulcan Materials Co (Vulcan), a Birmingham-based manufacturer and wholesaler of construction materials, in a stock swap and reverse takeover transaction valued at USD 4.741 bil. Martin offered 0.5 share per Vulcan share. Based on Martin's closing stock price of USD 73. 37 on 9 December 2011, the last full trading day prior to the announcement, each Vulcan share was valued at USD 36.685. Upon completion, Vulcan were to own 58.575% of the combined company which will be headquartered in Raleigh, North Carolina and maintain a presence in Birmingham, Alabama.</t>
  </si>
  <si>
    <t>US - Verizon Communications Inc was rumored to be planning to acquire the entire share capital of Netflix Inc, a Los Gatos- based provider of online movie rental services. The Current status of this deal is unknown.</t>
  </si>
  <si>
    <t>Synovis LIfe technologies Inc</t>
  </si>
  <si>
    <t>US - Baxter International Inc acquired the entire share capital of Synovis Life Technologies Inc, a Saint Paul-based manufacturer and wholesaler of medical devices, for USD 28 in cash per share, or a total value of USD 323. 265 mil.</t>
  </si>
  <si>
    <t>US - Lam Research Corp (Lam) merged with Novellus Systems Inc (Novellus), a San Jose- based manufacturer of advanced process equipment, in a stock swap transaction valued at USD 3.088 bil. Lam offered 1.125 common shares per Novellus share. Based on Lam's closing stock price of USD 40.18 on 13 December 2011, the last full trading day prior to the announcement, each Novellus share was valued at USD 45.203. Concurrently, Lam authorized the repurchase of up to USD 1. 6 bil of its entire share capital. On completion, Lam will own 59% of Novellus.</t>
  </si>
  <si>
    <t>SonoSite Inc</t>
  </si>
  <si>
    <t>Mnfr,whl portable ultrasound</t>
  </si>
  <si>
    <t>Fujifilm Holdings Corp</t>
  </si>
  <si>
    <t>Mnfr,whl imaging prod</t>
  </si>
  <si>
    <t>US - Fujifilm Holdings Corp (Fujifilm), through its subsidiary, acquired the entire share capital of SonoSite Inc, a Bothell-based manufacturer and wholesaler of portable ultrasound, for USD 54 in cash per share, or a total value of USD 796.155 mil. Earlier, Fujifilm completed its tender offer for SonoSite by accepting 13. 748 mil shares, or 98.633% of SonoSites common shares outstanding. The offer was conditioned upon at least a majority of TI's shares being tendered.</t>
  </si>
  <si>
    <t>US - Delta Petroleum Corp (DPC), a Denver-based oil and gas exploration and production company, completed its debt restructuring transaction with Creditors (CRs). Unsecured creditors received new common stock. On completion, CRs held an undisclosed majority interest in restructured DPC. The book value of the existing debt that was exchanged under the terms of the offer was USD 3. 344 bil.</t>
  </si>
  <si>
    <t>ISTA Pharmaceuticals Inc</t>
  </si>
  <si>
    <t>Mnfr ophthalmic pharm prod</t>
  </si>
  <si>
    <t>US - Valeant Pharmaceuticals International Inc (Valeant) of Canada withdrew its plans to launch a hostile offer to acquire the entire share capital of ISTA Pharmaceuticals Inc, an Irvine-based manufacturer of ophthalmic pharmaceutical products, for an amended USD 7.5 in cash per share, or a total value of USD 333.729 mil, including the assumption of USD 13 mil in liabilities. Previously, Valeant offered USD 6.5 in cash per share, or a total value of USD 292.228 mil, including the assumption of USD 13 mil in liabilities.</t>
  </si>
  <si>
    <t>Landry's Inc</t>
  </si>
  <si>
    <t>US - Landry's Restaurants Inc completed its tender offer to acquire Morton's Restaurant Group Inc (Morton), a Chicago- based owner and operator of restaurants, by accepting 92. 046%, or 15.583 mil common shares, for USD 6.9 in cash per share, or a total value of USD 107.522 mil. Originally, in March 2011, Morton, announced that it was seeking a buyer for the company. The offer was conditioned upon at least a majority of Morton's shares being tendered.</t>
  </si>
  <si>
    <t>RSC Holdings Inc</t>
  </si>
  <si>
    <t>US - United Rentals Inc (United) acquired the entire share capital of RSC Holdings Inc (RSC), a Scottsdale-based provider of equipment rental and support services, from Oak Hill Capital Partners LP (33.5%) and other shareholders, for USD 1.93 bil. United offered USD 10.8 in cash and 0.2783 common share per RSC share. Based on United's closing stock price of USD 26.04 on 15 December 2011, the last full trading day prior to the announcement, each RS share was valued at USD 18.047. Concurrently, the board of United authorized the repurchase of up to USD 200 mil of the company's common stock outstanding.</t>
  </si>
  <si>
    <t>Winn-Dixie Stores Inc</t>
  </si>
  <si>
    <t>Own,op retail grocery stores</t>
  </si>
  <si>
    <t>Bi-Lo LLC</t>
  </si>
  <si>
    <t>US - Bi-Lo LLC, a unit of Lone Star Funds, acquired the entire share capital of Winn- Dixie Stores Inc (Winn), a Jacksonville-based owner and operator of retail grocery stores, for USD 9.5 in cash per share, or a total value of USD 534.153 mil. On completion, Winn was delisted from NASDAQ Stock Exchange.</t>
  </si>
  <si>
    <t>CommerceFirst Bancorp Inc</t>
  </si>
  <si>
    <t>US - Sandy Spring Bancorp Inc (Sandy) acquired the entire share capital of CommerceFirst Bancorp Inc (CommerceFirst), an Annapolis- based bank holding company, in a stock swap transaction valued at USD 25.961 mil. Sandy offered a choice of USD 13.6 in cash or 0.8043 common share per CommerceFirst, subject to proration whereby the 50% of the consideration was to comprised of cash and the remaining in common shares. Based on Sandys closing stock price of USD 17. 73 on 19 December 2012, the last full trading day prior to the announcement, each Sandy share was valued at USD 14.26.</t>
  </si>
  <si>
    <t>Peoples Bancorp Inc,Easley,SC</t>
  </si>
  <si>
    <t>US - SCBT Financial Corp (SCBT) merged with Easley- based Peoples Bancorp Inc (PB) , in a stock swap transaction valued at USD 27.359 mil. SCBT offered 0.141 share for every PB common share. Based on SCBT's closing stock price of USD 27.25 on 19 December 2011, the last full trading day prior to the announcement, each PB common share was valued at USD 3.85.</t>
  </si>
  <si>
    <t>Delphi Financial Group Inc</t>
  </si>
  <si>
    <t>Tokio Marine &amp; Nichido Fire</t>
  </si>
  <si>
    <t>US - Tokio Marine &amp; Nichido Fire Insurance Co Ltd of Japan, a wholly-owned unit of Tokio Marine Holdings Inc, acquired the entire share capital of Delphi Financial Group Inc, a Philadelphia- based insurance company, for USD 43.875 per A common share and USD 52.875 per B common share, or a total value of USD 2.648 bil. On completion, Delphis Class A common shares were delisted from the New York Stock Exchange.</t>
  </si>
  <si>
    <t>WCA Waste Corp</t>
  </si>
  <si>
    <t>Cod Merger Co Inc</t>
  </si>
  <si>
    <t>US - Cod Merger Co, a wholly owned unit of Macquarie Infrastructure Partners II US LP and Macquarie Infrastructure Partners II International LP, acquired the entire share capital of WCA Waste Corp (WCA), a Houston-based provider of waste management and disposal services for USD 6.5 in cash per share, or a total value of USD 154.115 mil. On completion, WCA was delisted in the NASDAQ stock exchange.</t>
  </si>
  <si>
    <t>First Star Bancorp Inc,PA</t>
  </si>
  <si>
    <t>ESSA Bancorp Inc</t>
  </si>
  <si>
    <t>US - ESSA Bancorp Inc (ESSA) merged with First Star Bancorp Inc (First), a Bethlehem-based bank holding company, for USD 13.255 mil, subject to a collar agreement. ESSA offered a choice of USD 11.2 in cash or common shares per First share, subject to proration whereby 50% of the consideration was to comprised of cash and the remaining in common shares. On completion, the merged entity was renamed ESSA.</t>
  </si>
  <si>
    <t>RAM Energy Resources Inc</t>
  </si>
  <si>
    <t>US - An investor group, comprised of Halcon Resources LLC, EnCap Investments LP, Liberty Energy Holdings LLC, a unit of Liberty Mutual Holdings Co Inc, and Mansefeldt Investment Corp, acquired a 73.63% or 220 mil new common shares , 183 mil convertible promissory notes and 110 mil warrants, in RAM Energy Resources Inc (RAM Energy), a Tulsa-based oil and gas exploration and production company, for USD 550 mil. The consideration was to consist of USD 1.25 per share and USD 275 mil in convertible promissory notes. Upon completion, RAM Energy was to be renamed Halcon Resources Corp.</t>
  </si>
  <si>
    <t>Perfumania Holdings Inc</t>
  </si>
  <si>
    <t>Wholesale perfumes,fragrances</t>
  </si>
  <si>
    <t>US - Perfumania Holdings Inc (Parfumania), through its wholly-owned PFI Merger Corp subsidiary, merged with Parlux Fragrances Inc (Parlux) , a Fort Lauderdale-based manufacturer and wholesaler of perfumes and beauty products, in a stock swap transaction valued at USD 216. 553 mil, in a reverse takeover transaction. Parfumania offered 0.53333 common shares per Parlux share. Based on Parfumania's closing stock price of USD 19. 55 on 22 December 2011, the last full trading day prior to the announcement, each Parlux share was valued at USD 10.427. Alternatively, Parfumania offered a choice of USD 4 in cash per share and 0.2 Parfumania common shares, or a total value of USD 164.762 mil. The consideration was subject to a maximum of USD 61.895 mil in cash and 5.919 mil common shares. On completion, Parlux was delisted in the NASDAQ stock exchange.</t>
  </si>
  <si>
    <t>Cogdell Spencer Inc</t>
  </si>
  <si>
    <t>US - Ventas Inc acquired the entire share capital of Cogdell Spencer Inc, a Charlotte-based real estate investment trust, for USD 4. 25 in cash per share, or a total value of USD 217.269 mil and the assumption of an undisclosed amount in liabilities. The transaction included 72 high quality medical office buildings.</t>
  </si>
  <si>
    <t>US - Bristol-Myers Squibb Co acquired the entire share capital of Inhibitex Inc, an Alpharetta-based biopharmaceutical company, for USD 26 in cash per share, or a total value of USD 2.524 bil. The offer was conditioned upon at least a majority of Inhibitex's shares being tendered.</t>
  </si>
  <si>
    <t>US - In December 2011, WebMD Health Corp, a New York-based provider of health information services, discontinued rumors that it was seeking a buyer for the company. Kohlberg Kravis Roberts &amp; Co LP and Providence Equity Partners were named as bidders.</t>
  </si>
  <si>
    <t>Proxim Wireless Corp</t>
  </si>
  <si>
    <t>SRA OSS Inc</t>
  </si>
  <si>
    <t>Pvd system developing svcs</t>
  </si>
  <si>
    <t>US - SRA OSS Inc, a wholly- owned subsidiary of SRA Holdings Inc, acquired an undisclosed majority interest in Proxim Wireless Corp, a Milpitas-based provider of telecommunications services. Concurently, SRA OSS Inc acquired an undisclosed majority stake in nSolutions Inc.</t>
  </si>
  <si>
    <t>US - In January 2012, a Miami Lakes-based BankUnited Inc, was rumored to be seeking a buyer for the company. Terms were not disclosed but, according to analyst estimates, the deal value was valued at an estimated USD 2. 9 bil. PNC Financial Services Group Inc, BB&amp;T Corp, and Toronto-Dominion Bank were named as potential bidders. The Current status of this deal is unknown.</t>
  </si>
  <si>
    <t>Georgia Gulf Corp</t>
  </si>
  <si>
    <t>Westlake Chemical Corp</t>
  </si>
  <si>
    <t>Mnfr,whl petrochemicals,plastics</t>
  </si>
  <si>
    <t>US - Westlake Chemical Corp (Westlake) terminated its plans to launch an unsolicited tender offer to acquire the remaining 95.2% interest, or 32.593 mil common shares, which it did not already own, in Georgia Gulf Corp, an Atlanta-based manufacturer and wholesaler of chemical and building products, for a sweetened USD 35 in cash per share, or a total value of USD 1.141 bil. Originally, Westlake offered USD 30 in cash per share.</t>
  </si>
  <si>
    <t>Trailer Bridge Inc</t>
  </si>
  <si>
    <t>Deep Sea Freight Transportation</t>
  </si>
  <si>
    <t>US - Trailer Bridge Inc (TB), a Jacksonville-based provider of logistics services, completed its debt restructuring transaction with creditors (CRs). On completion, CRs will hold a 91% interest in restructured TB and also received $65 mil new debt instrument. The book value of the existing debt that was exchanged under the terms of the offer was USD 110.27 mil.</t>
  </si>
  <si>
    <t>Convio Inc</t>
  </si>
  <si>
    <t>Blackbaud Inc</t>
  </si>
  <si>
    <t>Develop fund raising software</t>
  </si>
  <si>
    <t>US - Blackbaud Inc (Blackbaud) acquired the entire share capital of Convio Inc (Convio) , an Austin-based developer of internet software, for USD 16 in cash per share, or a total value of USD 329.931 mil. Earlier, Blackbaud completed its tender offer for Convio by accepting 17.25 mil shares, or 93.9% of Convio's common shares outstanding. On completion, Convio was delisted from NASDAQ.</t>
  </si>
  <si>
    <t>Gotham Bank of New York,NY</t>
  </si>
  <si>
    <t>Provident New York Bancorp,NY</t>
  </si>
  <si>
    <t>US - Provident New York Bancorp, through its subsidiary, acquired New York- based Gotham Bank, a bank holding company, for an estimated USD 40.5 mil in cash.</t>
  </si>
  <si>
    <t>California Community Bank,CA</t>
  </si>
  <si>
    <t>Regents Bank,La Jolla,CA</t>
  </si>
  <si>
    <t>US - Regents Bank, La Jolla, California, a wholly-owned unit of Grandpoint Capital Inc, acquired the entire share capital of California Community Bank, an Escondido- based commercial bank, for an USD 14.167 in cash per share of a total value of USD 29. 569 mil.</t>
  </si>
  <si>
    <t>US - Eastman Kodak Co (Kodak), a Rochester-based manufactures and wholesales still and video cameras, completed a debt restructuring transaction with Creditors (CRs), who received 32.109 mil common shares valued at USD 622.917 mil. The shares were valued based on Kodak's closing stock price of USD 19.4 on 19 September 2013, the first full trading day post restructuring. On completion, unsecured creditors received 77% of new common shares in restructuring Kodak. The book value of the existing debt that was exchanged under the terms of the offer was USD 6. 75 bil.</t>
  </si>
  <si>
    <t>US - Roche Holding AG (Roche) of Switzerland withdrew its unsolicited hostile tender offer to acquire the entire share capital of Illumina Inc, a San Diego-based manufacturer and marketer of life science tools and integrated systems, for a sweetened USD 51 in cash per share, or a total value of USD 7.841 bil. Originally Roche offered USD 44.5 in cash per share, or a total value of USD 6.733 bil. The offer was conditioned upon at least a majority of Illumina's shares being tendered.</t>
  </si>
  <si>
    <t>Micromet Inc</t>
  </si>
  <si>
    <t>Armstrong Acquisition Corp</t>
  </si>
  <si>
    <t>US - Armstrong Acquisition Corp, a wholly-owned unit of Amgen Inc, completed its tender offer to acquire the entire share capital of Micromet Inc, a Rockville- based biopharmaceutical company, via tender offer, for USD 11 in cash per share, or a total value of USD 1.146 bil. The offer was conditioned upon at least majority of the shares being tendered. On completion, Micromet was delisted in the NASDAQ Stock Exchange.</t>
  </si>
  <si>
    <t>VIST Financial Corp</t>
  </si>
  <si>
    <t>Tompkins Financial Corp</t>
  </si>
  <si>
    <t>US - Tompkins Financial Corp (Tompkins) merged with VIST Financial Corp (VIST), a Wyomissing-based provider of financial services, in a stock swap transaction valued at USD 86.926 mil. Tompkins offered 0.313 common shares per VIST share. Based on Tompkins' closing stock price of USD 41.01 on 25 January 2012, the last full trading day prior to the announcement, each VIST share was valued at USD 12.824.</t>
  </si>
  <si>
    <t>Mnfr chemical based materials</t>
  </si>
  <si>
    <t>US - Eastman Chemical Co (Eastman) acquired the entire share capital of Solutia Inc (Solutia), a St Louis-based manufacturer of chemical based materials, in a transaction valued at USD 3. 423 bil. Eastman offered USD 22 in cash and 0.12 common share per Solutia share. Based on Eastman's closing stock price of USD 47.12 on 26 January 2012, the last full trading day prior to the announcement, each Solutia share was valued at USD 5.654.</t>
  </si>
  <si>
    <t>The PEP Boys-Manny Moe &amp; Jack</t>
  </si>
  <si>
    <t>Ret auto parts,accessories</t>
  </si>
  <si>
    <t>Auto Acquisition Co LLC</t>
  </si>
  <si>
    <t>US - Auto Acquisition Co LLC, a special purpose acquisition vehicle formed by The Gores Group LLC, terminated its agreement to acquire the entire share capital of The Pep Boys-Manny Moe &amp; Jack Inc (PBY), a Philadelphia-based retailer of automotive parts and accessories, for USD 15 in cash per share, or a total value of USD 803.117 mil, in a leveraged buyout transaction. Originally, in January 2011, PBY was rumored to be seeking a buyer for the company and Leonard Green &amp; Partners LP, Bain Capital LLC and TPG Capital were named potential bidders.</t>
  </si>
  <si>
    <t>US - ABB Ltd of Switzerland acquired the entire share capital of Thomas &amp; Betts Corp (Thomas), a Memphis- based manufacturer and wholesaler of electrical components, for USD 72 in cash per share, or a total value of USD 3.901 bil. On completion, Thomas was delisted from the New York Stock Exchange.</t>
  </si>
  <si>
    <t>Forum Mobile Israel Ltd</t>
  </si>
  <si>
    <t>Pvd network,bus support svcs</t>
  </si>
  <si>
    <t>US - Forum Mobile Israel Ltd, a unit of Quantum Telecom Inc (Quantum), was granted an option to acquire the remaining 49% stake in Zebra Technologies Corp, a Lincolnshire-based manufacturer and wholesaler of bar code label and receipt printers, card printers, RFID smart label printer/encoders, supplies label design/ integration software, and thermal printer connectivity and networking solutions, in exchange for undisclosed Quantum common shares.</t>
  </si>
  <si>
    <t>US - Forum Mobile Israel Ltd, a unit of Quantum Telecom Inc (Quantum), agreed to acquire a 51% interest in Zebra Technologies Corp, a Lincolnshire-based manufacturer and wholesaler of bar code label and receipt printers, card printers, RFID smart label printer/encoders, supplies label design/ integration software, and thermal printer connectivity and networking solutions, in exchange for undisclosed Quantum common shares.</t>
  </si>
  <si>
    <t>Swank Inc</t>
  </si>
  <si>
    <t>Mnfr leather, jewelry prod</t>
  </si>
  <si>
    <t>Randa Accessories</t>
  </si>
  <si>
    <t>Mnfr,whl men's accessories</t>
  </si>
  <si>
    <t>US - Randa Accessories Leather Goods LLC acquired the entire share capital of Swank Inc, a New York-based manufacturer of leather and jewelry products, for USD 10 per share, or a total value of USD 55.762 mil. On completion, Swank was delisted from NASDAQ.</t>
  </si>
  <si>
    <t>Fred Merger Sub Inc</t>
  </si>
  <si>
    <t>US - Fred Merger Sub Inc, a wholly-owned unit of Fidelity National Financial Inc, acquired a 80.296% interest, or 17.639 mil common shares, in O'Charley's Inc (O'Charley's), a Nashville- based owner and operator of restaurants, for USD 9.85 in cash per share or a total value of USD 195.891 mil. The offer was conditioned upon at least majority of the shares being tendered. Upon completion, O'Charley's was delisted in the NASDAQ Stock Exchange.</t>
  </si>
  <si>
    <t>SureWest Communications Inc</t>
  </si>
  <si>
    <t>US - Consolidated Communications Holdings acquired the entire share capital of SureWest Communications Inc, a Roseville-based provider of telecommunication services, for USD 23 in cash per share, or a total value of USD 324. 086 mil, subject to a collar agreement. This transaction is Tax-Exempt under IRC s386.</t>
  </si>
  <si>
    <t>Taleo Corp</t>
  </si>
  <si>
    <t>Dvlp talent mgmt platform</t>
  </si>
  <si>
    <t>US - Oracle Corp acquired the entire share capital of Taleo Corp, a Dublin-based developer of talent management platform, for USD 46 in cash per share, or a total value of USD 1.909 bil.</t>
  </si>
  <si>
    <t>BNS Holding Inc</t>
  </si>
  <si>
    <t>Steel Excel Inc</t>
  </si>
  <si>
    <t>Provide oil,gas services</t>
  </si>
  <si>
    <t>US - Steel Excel Inc acquired the entire share capital of BNS Holding Inc, a Riverside- based holding company, from Steel Partners Holdings LP.</t>
  </si>
  <si>
    <t>Linden LLC</t>
  </si>
  <si>
    <t>US - Linden LLC (Linden) acquired the entire share capital of SeraCare Life Sciences Inc (SeraCare), a Milford-based biotechnology company, for USD 4 in cash per share, or a total value of USD 80.8 mil, in a leveraged buyout transaction. Previously, MSMB Capital Management LLC withdrew its plans to launch an unsolicited tender offer to acquire the entire share capital of SeraCare. Originally, In August 2011, SeraCare announced that it was seeking a buyer for the company. On completion, SeraCare had become a wholly- owned unit of Linden.</t>
  </si>
  <si>
    <t>Advance America Cash Advance</t>
  </si>
  <si>
    <t>Pvd payday cash advance svcs</t>
  </si>
  <si>
    <t>Grupo Elektra SA de CV</t>
  </si>
  <si>
    <t>US - Grupo Elektra SA de CV of Mexico acquired the entire share capital of Advance America Cash Advance Centers Inc, a Spartanburg-based provider of payday cash advance services, for USD 10. 5 in cash per share or a total value of USD 655.577 mil.</t>
  </si>
  <si>
    <t>CVR Energy Inc</t>
  </si>
  <si>
    <t>US - Icahn Partners LP (Icahn) raised its interest to 81. 07% from 14.536%, by acquiring a 66.534% interest, or 57.601 mil common shares, in CVR Energy Inc (CVR), a Sugar Land-based provider of petroleum refining services, for USD 30 cash per share or a total value of USD 1.728 bil. The offer was conditioned upon at least 35. 76% of CVR shares being tendered. Originally, Icahn launched a hostile tender offer to acquire the remaining 73.989 mil common shares or 85.47% interest, which it did not already own in CVR.</t>
  </si>
  <si>
    <t>ATS Corp</t>
  </si>
  <si>
    <t>Pvd info tech,consulting svcs</t>
  </si>
  <si>
    <t>Salient Federal Solutions Inc</t>
  </si>
  <si>
    <t>Pvd info tech,engineering svcs</t>
  </si>
  <si>
    <t>US - Salient Federal Solutions Inc completed its tender offer to acquire the entire share capital of ATS Corp (ATSC), a McLean-based provider of information technology and consulting services, for USD 3.20 in cash per share, or a total value of USD 73.513 mil. The offer was conditioned upon at least a 75% of ATSC's shares being tendered on a fully- diluted basis. On completion, ATSC shares were delisted from the NYSE AMEX.</t>
  </si>
  <si>
    <t>CH Energy Group Inc</t>
  </si>
  <si>
    <t>Cascade Acquisition Sub Inc</t>
  </si>
  <si>
    <t>US - Cascade Acquisition Sub Inc, a wholly-owned unit of Fortis Inc, acquired the entire share capital of CH Energy Group Inc, a Poughkeepsie-based electric utility company, for USD 65 in cash per share, or a total value of USD 1.469 bil, including the assumption of USD 500 mil in liabilities.</t>
  </si>
  <si>
    <t>Prestige Brands Holdings Inc</t>
  </si>
  <si>
    <t>Mnfr,whl over-the-counter drug</t>
  </si>
  <si>
    <t>Genomma Lab Internacional</t>
  </si>
  <si>
    <t>Manufacture, wholesale pharmaceutical products</t>
  </si>
  <si>
    <t>US - Genomma Lab Internacional SAB de CV of Mexico withdrawn its planned to acquire the entire share capital of Prestige Brands Holdings Inc, an Irvington- based manufacturer and wholesaler of over-the counter drugs, for USD 16.6 per share, or a total value of USD 837.192 mil.</t>
  </si>
  <si>
    <t>Onvia Inc</t>
  </si>
  <si>
    <t>Symphony Technology Group LLC</t>
  </si>
  <si>
    <t>US - Symphony Technology Group LLC {STG} acquired the entire share capital of Onvia Inc, a Seattle-based provider of ecommerce information services, for USD 4.25 in cash per share, or a total value of USD 36.083 mil, in a leveraged buyout transaction.</t>
  </si>
  <si>
    <t>KCP Holdco Inc</t>
  </si>
  <si>
    <t>US - KCP Holdco Inc, a special purpose acquisition vehicle formed by a management-led investor group, including Kenneth Cole Productions Inc's (KCP) Chairman and CCO Kenneth Cole, acquired the remaining 53% interest, or 9.608 mil common shares, which it did not already own, in KCP, a New York-based manufacturer, wholesaler and retailer of shoes and clothing apparel, for a sweetened USD 15.25 in cash per share or a total value of USD 146.524 mil, in a leveraged buyout transaction. Originally, investor group offered USD 15 in cash per share, or a total value of USD 144.121 mil.</t>
  </si>
  <si>
    <t>Premier Service Bank,Riverside</t>
  </si>
  <si>
    <t>First CA Finl Grp Inc</t>
  </si>
  <si>
    <t>US - First California Financial Group Inc (First) withdrew its definitive agreement to merge with Riverside-based Premier Service Bank (Premier), in a stock swap transaction valued at USD 1.987 mil. First offered an amended, 0.2328 common share per Premier share. Based on First's closing stock price of USD 6. 77, on 9 July 2012, the last full trading day prior to the announcement, each First share was valued at USD 1.576. Originally, in February 2012, First offered 0.3784 common share per Premier share.</t>
  </si>
  <si>
    <t>Archipelago Learning Inc</t>
  </si>
  <si>
    <t>Pvd online educational svcs</t>
  </si>
  <si>
    <t>Project Cayman Merger Corp</t>
  </si>
  <si>
    <t>US - Project Cayman Merger Corp, a wholly-owned unit of Thoma Bravo LLC's Plato Learning Inc (Plato) subsidiary, acquired the entire share capital of Archipelago Learning Inc (Archipelago), a Dallas-based provider of online educational services, for USD 11.1 in cash per share, or a total value of USD 292.326 mil. On completion, Archipelago was delisted from NASDAQ.</t>
  </si>
  <si>
    <t>Encore Bancshares Inc</t>
  </si>
  <si>
    <t>Cadence Bancorp</t>
  </si>
  <si>
    <t>US - Cadence Bancorp LLC definitively acquired the entire share capital of Encore Bancshares Inc, a Houston-based bank holding company, for USD 20.62 in cash per share, or a total value of USD 245.748 mil.</t>
  </si>
  <si>
    <t>Transcend Services Inc</t>
  </si>
  <si>
    <t>Pvd clinical documentation svc</t>
  </si>
  <si>
    <t>Townsend Merger Corp</t>
  </si>
  <si>
    <t>US - Townsend Merger Corp (Townsend), a wholly-owned unit of Nuance Communications Inc, acquired the entire share capital of Transcend Services Inc (Transcend), an Atlanta-based provider of transcription and clinical documentation services, for USD 29.5 in cash per share, or a total value of USD 333. 243 mil. Earlier, Townsend completed its tender offer for Transcend by accepting 10. 445 mil shares, or 90.35% of Transcend's common shares outstanding. The offer was conditioned upon at least majority of Transcend's shares being tendered.</t>
  </si>
  <si>
    <t>New Frontier Media Inc</t>
  </si>
  <si>
    <t>Longkloof Ltd</t>
  </si>
  <si>
    <t>Jersey</t>
  </si>
  <si>
    <t>US - Longkloof Ltd of Jersey (Longkloof) withdrew its plans to launch a hostile tender offer to acquire the remaining 85% interest or 13. 762 mil common shares, which it did not already own, in New Frontier Media Inc (New), a Boulder-based provider of adult entertainment services, for USD 1.75 cash per share or a total value of USD 24. 083 mil. Originally, Longkloof offered USD 1.35 in cash per share or a total value of USD 18.578 mil. Subsequently, Manwin Holding SARL of Luxembourg withdrew its plans launch an unsolicited tender offer to acquire the entire share capital of New and US - LFP Broadcasting LLC (LFP), through its wholly-owned subsidiary Flynt Broadcast Inc, acquired the entire outstanding common stock of New.</t>
  </si>
  <si>
    <t>Quest Software Inc</t>
  </si>
  <si>
    <t>Dvlp entrp sys mgmt software</t>
  </si>
  <si>
    <t>US - An investor group, comprised of Insight Venture Partners LLC (Insight) and Vector Capital Corp, withdrew its definitive agreement to merge with Quest Software Inc, an Aliso Viejo-based developer of enterprise systems management software, for a twice sweetened USD 27. 5 in cash per share, or a total value of USD 2.456 bil, in a leveraged buyout transaction. Previously, Insight offered USD 25.75 in cash per share, or a total value of USD 2.282 bil. Originally, Insight offered USD 23 in cash per share, or a total value of USD 2.01 bil.</t>
  </si>
  <si>
    <t>North Central Bancshares,IA</t>
  </si>
  <si>
    <t>Great Western Bancorp Inc</t>
  </si>
  <si>
    <t>Commercial Banking</t>
  </si>
  <si>
    <t>US - Great Western Bancorp Inc, a subsidiary of National Australia Bank Ltd, acquired the entire share capital of North Central Bancshares Inc, a Fort Dodge-based bank holding company, for USD 30. 58 in cash per share or a total value of USD 41.499 mil.</t>
  </si>
  <si>
    <t>MUFG Americas</t>
  </si>
  <si>
    <t>US - UnionBanCal Corp, San Francisco, California, a unit of Mitsubishi UFJ Financial Group Inc's Bank of Tokyo- Mitsubishi UFJ Ltd subsidiary, acquired the entire share capital of Santa Barbara- based Pacific Capital Bancorp (Pacific), from SB Acquisition Co LLC, a unit of Ford Financial Fund LP, for USD 46 in cash per share, or a total value of USD 1.515 bil. On completion, Pacific shares were delisted from the NASDAQ Stock Exchange.</t>
  </si>
  <si>
    <t>ZOLL Medical Corp</t>
  </si>
  <si>
    <t>Asahi Kasei Corp</t>
  </si>
  <si>
    <t>US - Asahi Kasei Corp (Asahi) of Japan completed its tender offer to acquire the entire share capital of ZOLL Medical Corp (ZOLL), a Chelmsford- based manufacturer and wholesaler of medical equipment, for USD 93 in cash per share, or a total value of USD 2.2 bil. On completion, Asahi exercised its rights to compulsorily acquire all remaining shares not tendered pursuant to the offer and was delisted form the stock exchange.</t>
  </si>
  <si>
    <t>Flatbush Federal Bancorp Inc</t>
  </si>
  <si>
    <t>Northfield Bancorp Inc,Avenel,</t>
  </si>
  <si>
    <t>US - Northfield Bancorp Inc (Northfield) merged with Flatbush Federal Bancorp Inc (Flatbush), a Brooklyn-based commercial bank, and a majority-owned unit of Flatbush Federal Bancorp MHC, in a stock swap transaction valued at USD 18.206 mil. Northfield offered 0.4748 mil common shares per Flatbush share. Based on Northfield's closing stock price of USD 14. 01 on 12 March 2012, the last full trading day prior to the announcement, each Flatbush share was valued at USD 6.652 per share. On completion, Flatbush was delisted on OTCBB.</t>
  </si>
  <si>
    <t>Great Wolf Resorts Inc</t>
  </si>
  <si>
    <t>Own,op indoor waterpark resort</t>
  </si>
  <si>
    <t>K-9 Acquisition Inc</t>
  </si>
  <si>
    <t>US - K-9 Acquisition Inc (K-9) , a wholly owned unit of K-9 Holdings Inc (K-9 Investors LP) subsidiary of Apollo Global Management LLC's wholly owned Apollo Management VII LP unit, completed its tender offer to acquire the entire share capital of Great Wolf Resort Inc (Great), a Madison-based owner and operator of indoor waterpark resorts, for a thrice sweetened USD 7.85 in cash per share, or a total value of USD 258.33 mil. The offer was conditioned upon at least a majority of Great's shares being tendered. Previously K-9 offered a twice sweetened USD 7 in cash per Great share, and formerly, a sweetened USD 6.75 in cash per Great share. Originally, K-9 offered USD 5 in cash per share or a total value of USD 164.541 mil. On completion, Great was delisted from NASDAQ.</t>
  </si>
  <si>
    <t>Penson Worldwide Inc</t>
  </si>
  <si>
    <t>Provide clearing services</t>
  </si>
  <si>
    <t>US - Penson Worldwide Inc (Penson), a Dallas-based provider of clearing services, withdrew its debt restructuring transaction with Bondholders. Upon completion, BHs were to hold a 9.9% interest in the restructured Penson. The book value of the transaction that will be exchanged under the terms of the offer is USD 21 mil. Concurrently, Penson agreed to a debt restructuring transaction with BHs to exchange 8% Notes and 12.5% Notes in a debt for debt exchange offer.</t>
  </si>
  <si>
    <t>AboveNet Inc</t>
  </si>
  <si>
    <t>Pvd bandwidth connectivity svc</t>
  </si>
  <si>
    <t>US - Zayo Group LLC, a majority-owned unit of Communications Infrastructure Investment LLC's Zayo Group Holdings Inc majority-owned subsidiary, acquired the entire share capital of AboveNet Inc, a White Plains- based provider of bandwidth connectivity services, for USD 84 in cash per share, or a total value of USD 2.21 bil.</t>
  </si>
  <si>
    <t>Adams Golf Inc</t>
  </si>
  <si>
    <t>Manufacture,whl golf clubs</t>
  </si>
  <si>
    <t>US - Taylor Made Golf Co Inc, a unit of adidas AG acquired the entire share capital of Adams Golf Inc (Adams), a Plano-based manufacturer and wholesaler of golf clubs, for USD 10.8 in cash per share, or a total value of USD 90. 737 mil. Originally, in January 2012, Adams announced that it was seeking a buyer for the company.</t>
  </si>
  <si>
    <t>Flanders Corp</t>
  </si>
  <si>
    <t>Mndr air filtration products</t>
  </si>
  <si>
    <t>US - Insight Equity Holdings LLC acquired the entire share capital of Flanders Corp, a Washington-based manufacturer of air filtration products, for USD 4.4 in cash per share, or a total value of USD 122. 245 mil, in a leveraged buyout transaction. On completion, Flanders was delisted from the OTC.</t>
  </si>
  <si>
    <t>Abercrombie &amp; Fitch Co</t>
  </si>
  <si>
    <t>US - In March 2014, Abercrombie &amp; Fitch Co, a New Albany-based men's clothing retailer, discontinued the rumors that it was seeking a buyer for the company.</t>
  </si>
  <si>
    <t>Manwin Holding SARL</t>
  </si>
  <si>
    <t>Pvd online adult entertainment</t>
  </si>
  <si>
    <t>US - Manwin Holding SARL of Luxembourg withdrew its plans launch an unsolicited tender offer to acquire the entire share capital of New Frontier Media Inc (New Frontier), a Boulder-based provider of adult themed and general motion picture entertainment services, for USD 1.5 in cash per share, or a total balue of USD 24.286 mil. Previously, Longkloof Ltd of Jersey (Longkloof) withdrew its plans to launch a hostile tender offer to acquire the remaining 85% interest or 13. 762 mil common shares, which it did not already own, in New Frontier. Subsequently, LFP Broadcasting LLC, through its wholly-owned subsidiary Flynt Broadcast Inc, acquired the entire outstanding common stock of New Frontier.</t>
  </si>
  <si>
    <t>Comverge Inc</t>
  </si>
  <si>
    <t>Pvd meter,energy data svcs</t>
  </si>
  <si>
    <t>Peak Merger Corp</t>
  </si>
  <si>
    <t>Pvd investment svcs</t>
  </si>
  <si>
    <t>US - Peak Merger Corp (Peak), a wholly-owned unit of HIG Capital LLC, acquired the entire share capital of Comverge Inc (Comverge), a Norcross-based provider of meter and energy data services, for USD 1.75 in cash per share, or a total value of USD 48.217 mil, in a leveraged buyout transaction. Earlier, Peak completed the tender offer by accepting 17. 973 mil shares, or about 65. 231% of Comverge's common stock outstanding. The offer was conditioned upon at least majority of Comverge's shares being tendered.</t>
  </si>
  <si>
    <t>Mnfr opthalmic goods,products</t>
  </si>
  <si>
    <t>US - Bausch &amp; Lomb Inc, a wholly-owned unit of Warburg Pincus LLC, acquired the entire share capital of ISTA Pharmaceuticals Inc, an Irvine-based manufacturer of ophthalmic pharmaceutical products, for USD 9.1 in cash per share, or a total value of USD 420.593 mil.</t>
  </si>
  <si>
    <t>Opnext Inc</t>
  </si>
  <si>
    <t>Manufacture fiber optic cables</t>
  </si>
  <si>
    <t>Oclaro Inc</t>
  </si>
  <si>
    <t>US - Oclaro Inc (OC) merged with Opnext Inc (OP), a Fremont-based manufacturer of fiber optic cables, and a joint venture between Hitachi Ltd and Clarity Group, a joint venture between Marubeni Corp and Clarity Partners LP, in a stock swap transaction valued at USD 171. 813 mil. OC offered 0.42 common shares per OP share. Based on OC's closing stock price of USD 4.53 on 23 March 2012, the last full trading day prior to the announcement, each OP share was valued at USD 1.903. This transaction is Tax-Exempt under IRC s386.</t>
  </si>
  <si>
    <t>US - Horizon Lines Inc (HL), a Charlotte-based provider of ocean transportation and logistics services, completed its debt restructuring transaction with creditors (CRs). On completion, CRs held a 90% interest in the restructured HL. The book value of the existing debt that was exchanged under the terms of the offer was USD 592.8 mil.</t>
  </si>
  <si>
    <t>NDB Energy Inc</t>
  </si>
  <si>
    <t>US - NDB Energy Inc (NDB) agreed to acquire the entire share capital of Armada Oil Inc, a Las Vegas-based oil and gas exploration and production company, in exchange for 8.87 mil NDB new common shares, valued at USD 12.682 mil. The shares were valued based on NDB's closing stock price of USD 1.45 on 23 March 2012, the last full trading day prior to the announcement.</t>
  </si>
  <si>
    <t>Capital Bank Financial Corp</t>
  </si>
  <si>
    <t>US - Capital Bank Financial Corp (Capital) acquired the entire share capital of Southern Community Financial Corp (SCF), a Winston-Salem- based bank holding company, for a sweetened USD 3.11 in cash per share, or a total value of USD 52.332 mil. Originally, Capital offered a choice between USD 2.875 in cash per share, or a total value of USD 48.378 mil, or 0. 131 Capital stock for each SCF common share held, or a combination of stock and cash, subject to proration whereby 40% of the consideration was to be paid in cash and 60% in stock.</t>
  </si>
  <si>
    <t>JetBlue Airways Corp</t>
  </si>
  <si>
    <t>Pvd air transportation service</t>
  </si>
  <si>
    <t>US - Deutsche Lufthansa AG had been rumored to be rumored to be seeking a buyer for its undisclosed stake in JetBlue Airways Corp, a Forests Hills-based provider of air transportation services.</t>
  </si>
  <si>
    <t>US - An investor group, comprised of undisclosed private equity firms was rumored to be planning to acquire the entire share capital of Liz Claiborne Inc, a New York-based manufacturer and wholesaler of men and women's clothing. Terms were not disclosed, but according to the people familiar with the matter, the deal was valued at USD 2 bil. KKR &amp; Co and Warburg Pincus LLC were named potential bidders. The Current status of this deal is unknown.</t>
  </si>
  <si>
    <t>Pinnacle Airlines Corp</t>
  </si>
  <si>
    <t>Pvd passenger air transp svcs</t>
  </si>
  <si>
    <t>US - Pinnacle Airlines Corp (Pinnacle), a Memphis-based provider of passenger air transportation services, completed its debt restructuring transaction with creditors in a transaction valued at USD 397. 2 mil. The enterprise value was derived based on worth of equity and net debt of restructured Pinnacle. The book value of the existing debt that was exchanged under the terms of the offer was USD 1.42 bil. Pinnacle will move forward as a wholly- owned subsidiary of Atlanta- based Delta Air Lines Inc.</t>
  </si>
  <si>
    <t>US - Coty US Inc, a majority- owned unit of Donata Holding SE, withdrew its plans to launch an unsolicited tender offer to acquire the entire share capital of Avon Products Inc (Avon), a New York-based manufacturer, wholesaler and retailer of beauty products, for a sweetened USD 24.75 in cash per share, or a total value of USD 10.666 bil. Previously, Coty offered USD 23.25 in cash per share, or a total value of USD 10.02 bil. Originally, in November 2011, Avon announced that it was seeking a buyer of the company. Upon completion, the merged entity was to be renamed Avon Coty.</t>
  </si>
  <si>
    <t>DDi Corp</t>
  </si>
  <si>
    <t>US - Viasystems Group Inc, a majority-owned unit of HM Capital Partners LLC, acquired the entire share capital of DDi Corp, an Anaheim-based manufacturer of printed circuit boards, for USD 13 in cash per share, or a total value of USD 266.193 mil.</t>
  </si>
  <si>
    <t>KSL Capital Partners LLC</t>
  </si>
  <si>
    <t>US - KSL Capital Partners LLC (KSL) withdrew its plans to launch an unsolicited tender offer to acquire the entire share capital of Great Wolf Resorts Inc, a Madison-based owner and operator of indoor waterpark resorts, for a sweetened USD 7.25 cash per share, or a total of USD 238. 585 mil, in a leveraged buyout transaction. Previously, KSL offered USD 6. 25 in cash per share, or a total value of USD 205.676 mil.</t>
  </si>
  <si>
    <t>Spectrum Pharmaceuticals Inc</t>
  </si>
  <si>
    <t>US - Spectrum Pharmaceuticals Inc completed its tender offer to acquire the entire share capital of Allos Therapeutics Inc (Allos), a Westminster-based biopharmaceutical company, for USD 206.43 mil. The consideration was to consist of USD 1.82 in cash per common share and up to USD 0. 11 in profit related payments per common share, or total value of USD 194.664 in cash and up to USD 11.765 mil in profit related payments, by accepting 96.26 mil, or 89. 997% on Allo'; common shares outstanding. The offer was conditioned upon at least a majority of Allos shares being tendered.</t>
  </si>
  <si>
    <t>Carrollton Bancorp</t>
  </si>
  <si>
    <t>Jefferson Bancorp Inc,</t>
  </si>
  <si>
    <t>US - Jefferson Bancorp Inc merged with Carrollton Bancorp, a Columbia-based bank holding company, from Financial Services Partners Fund I LLC and a unit of Hovde Private Equity Advisors LLC, for an estimated USD 25 mil in cash and shares.</t>
  </si>
  <si>
    <t>Sustainable Environmental Tech</t>
  </si>
  <si>
    <t>Pvd envi engineering svcs</t>
  </si>
  <si>
    <t>Cancen Oil Canada Inc</t>
  </si>
  <si>
    <t>Pvd oil waste disposal svcs</t>
  </si>
  <si>
    <t>US - Cancen Oil Canada Inc (Cancen) agreed to acquire the entire share capital of Sustainable Environmental Technologies Corp, an Upland- based provider of engineering and construction services. Cancen offered a choice between USD 34.4 mil in cash or a combination of undisclosed cash and Cancen common share.  The transaction was to include ProWater LLC.</t>
  </si>
  <si>
    <t>American Perspectove Bank,CA</t>
  </si>
  <si>
    <t>Umpqua Bank,Roseburg,Oregon</t>
  </si>
  <si>
    <t>US - Umpqua Bank, a unit of Umpqua Holdings Corp withdrew its definitive agreement to acquire the entire share capital of San Luis Obispo- based American Perspective Bank (APB), for USD 10 in cash per share, or a total value of USD 43.709 mil. Subsequently, Pacific Western Bank, a wholly-owned unit of PacWest Bancorp definitively agreed to acquire the entire share capital of APB.</t>
  </si>
  <si>
    <t>eResearchTechnology Inc</t>
  </si>
  <si>
    <t>Pvd clinical software services</t>
  </si>
  <si>
    <t>US - Genstar Capital LLC acquired eResearchTechnology Inc, a Philadelphia-based provider of clinical software services, for USD 8 in cash per share or a total value of USD 393.933 mil, in a leveraged buyout transaction.</t>
  </si>
  <si>
    <t>X-Rite Inc</t>
  </si>
  <si>
    <t>Mnfr color measurement equip</t>
  </si>
  <si>
    <t>US - Danaher Corp (Danaher), through its wholly-owned Termessos Acquisition Corp subsidiary, acquired the entire share capital of X- Rite Inc, a Grand Rapids- based manufacturer and developer of color measurement hardware, software and equipment, for USD 5.55 in cash per share, or a total value of USD 632. 23 mil, including the assumption of USD 146.067 mil in liabilities. Earlier, Danaher completed its tender offer for X-Rite by accepting 83.029 mil shares, or 96.22% of X-Rite's common shares outstanding. The offer was conditioned upon at least 54. 079% of -Rite's shares being tendered.</t>
  </si>
  <si>
    <t>Richmont Holdings Inc</t>
  </si>
  <si>
    <t>US - Richmont Holdings Inc was rumored to be planning to acquire Avon Products Inc, a New York-based manufacturer, wholesaler and retailer of beauty products. The Current status of this deal is unknown.</t>
  </si>
  <si>
    <t>Travelzoo Inc</t>
  </si>
  <si>
    <t>US - In April 2012, Travelzoo Inc, a New York-based provider of online advertising services, was rumored to be seeking a buyer for the company. Amazon and Google Inc were rumored potential bidders. The Current status of this deal is unknown.</t>
  </si>
  <si>
    <t>US - Reddy Ice Holdings Inc (RTH), a Dallas-based manufacturer and wholesaler of packaged ice, completed its debt restructuring transaction with creditors (CRs) including Centerbridge Partners LP. CRs received new common shares and cash. On completion, CRs will hold a majority interest in restructured RTH. The book value of the existing debt that was exchanged under the terms of the offer was USD 471.5 mil.</t>
  </si>
  <si>
    <t>Dreams Inc</t>
  </si>
  <si>
    <t>Own,op sport memorabilia store</t>
  </si>
  <si>
    <t>Fanatics Inc</t>
  </si>
  <si>
    <t>US - Fanatics Inc, a wholly owned unit of GSI Commerce Inc acquired the entire share capital of Dreams Inc, a Plantation-based owner and operator of sports memorabilia stores, for USD 179.086 mil. The consideration was to consist of USD 3.45 cash per share or a total value of USD 154.086 mil and the assumption of USD 25 mil.</t>
  </si>
  <si>
    <t>The Edelman Financial Group</t>
  </si>
  <si>
    <t>Lee Equity Partners LLC</t>
  </si>
  <si>
    <t>US - Lee Equity Partners LLC acquired the entire share of capital of The Edelman Financial Group Inc, a Houston-based provider of wealth management services, for USD 8.85 mil cash per share or a total value of USD 29.138 mil, in a leveraged buyout transaction.</t>
  </si>
  <si>
    <t>Monster Offers</t>
  </si>
  <si>
    <t>Dvlp social media software</t>
  </si>
  <si>
    <t>Iconosys Inc</t>
  </si>
  <si>
    <t>Dvlp mobile application</t>
  </si>
  <si>
    <t>US - Iconosys Inc signed a Letter of Intent {LoI} to merge with Monster Offers, a Bonsall-based developer of social media and marketing software, in a reverse takeover transaction. On completion, the merged entity was to be renamed Iconosys Inc.</t>
  </si>
  <si>
    <t>Mnfr audio tech prods</t>
  </si>
  <si>
    <t>DTS Inc</t>
  </si>
  <si>
    <t>Manufactures entertainment technologies</t>
  </si>
  <si>
    <t>US - DTS Inc (DTS) acquired the entire share capital of SRS Labs Inc, a Santa Ana- based manufacturer of licenses proprietary audio technologies, for USD 148.269 mil. DTS offered a choice of USD 9.5 in cash or 0.31127 common share per SRS Labs share, subject to proration whereby 50% of the consideration was to be paid in cash and the remaining in common stock. This transaction is Tax-Exempt under IRC s386.</t>
  </si>
  <si>
    <t>Catalyst Health Solutions Inc</t>
  </si>
  <si>
    <t>US - SXC Health Solutions Corp (SXC Health) acquired the entire share capital of Catalyst Health Solutions Inc (Catalyst), a Rockville-based provider of pharmacy benefit management services, in a stock swap transaction valued at USD 4.086 bil. SXC Health offered USD 28 in cash and 0. 6606 common shares per Catalyst share. Based on SXC Health's closing stock price of USD 80.337 on 17 April 2012, the last full trading day prior to the announcement, each Catalyst share was valued at USD 80.337. On completion, Catalyst owned 35% in SXC Health. This transaction is Tax-Exempt under IRC s386.</t>
  </si>
  <si>
    <t>Knology Inc</t>
  </si>
  <si>
    <t>Pvd commun,entertainment svcs</t>
  </si>
  <si>
    <t>WIDEOPEN WEST LLC</t>
  </si>
  <si>
    <t>US - WOW!, a wholly-owned unit of Avista Capital Holdings LP, to acquired the entire share capital of Knology Inc (Knology), a West Point-based provider of communication and entertainment services, for USD 19.75 in cash, or a total value of USD 750.283 mil. Originally, in February 2012, Knology was rumored to be seeking a buyer for the company. WOW! was rumored bidder.</t>
  </si>
  <si>
    <t>US - GlaxoSmithKline PLC (GSK) of the UK acquired the entire share capital of Human Genome Sciences Inc (HSG), a Rockville-based manufacturer of biopharmaceutical products, for a sweetened USD 14.25 in cash per share, or a total value of USD 2.91 bil. Originally, GlaxoSmithKline offered USD 13 in cash per share, or a total value of USD 2.661 bil. Earlier, GSK completed its tender offer for HGS by accepting 167.763 mil shares, or 84.31% of HGS' common shares outstanding. The offer was conditioned upon at least a majority of HSG's shares being tendered.</t>
  </si>
  <si>
    <t>Accelr8 Technology Corp</t>
  </si>
  <si>
    <t>Mnfr instrumentation platforms</t>
  </si>
  <si>
    <t>Abeja Ventures LLC</t>
  </si>
  <si>
    <t>US - Abeja Ventures LLC acquired a 71.605% interest, or 14 mil new common shares and 14 mil warrants convertible into common shares, in Accelr8 Technology Corp, a Denver-based manufacturer of instrumentation platform, for USD 1.03 in cash per new share, or a total value of USD 14.42 mil, in a leveraged buyout transaction.</t>
  </si>
  <si>
    <t>Ardea Biosciences Inc</t>
  </si>
  <si>
    <t>US - AstraZeneca PLC of the UK merged with Ardea Biosciences Inc, a San Diego- based biotechnology company, for USD 32 in cash per share or a total value of USD 1.245 bil.</t>
  </si>
  <si>
    <t>Galena Biopharma Inc</t>
  </si>
  <si>
    <t>Tang Capital Management LLC</t>
  </si>
  <si>
    <t>US - Tang Capital Management LLC acquired the entire share capital of Galena Biopharma Inc, a Worcester-based biopharmaceutical company.</t>
  </si>
  <si>
    <t>GeoResources Inc</t>
  </si>
  <si>
    <t>Halcon Resources Corp</t>
  </si>
  <si>
    <t>US - Halcon Resources Corp (Halcon), through an undisclosed wholly-owned subsidiary, acquired the entire share capital of GeoResources Inc, a Houston- based oil and gas exploration and production company, in a stock swap transaction valued at USD 1.049 bil. Halcon offered USD 20 in cash and 1. 932 common shares per GeoResources share. Based on Halcon's closing stock price of USD 10.68 on 23 April 2012, the last full trading day prior to the announcement, each GeoResources share was valued at USD 40.634. This transaction is Tax-Exempt under IRC s386.</t>
  </si>
  <si>
    <t>Books-A-Million Inc</t>
  </si>
  <si>
    <t>Own,op book stores</t>
  </si>
  <si>
    <t>US - A management-led investor group, comprised of Books-A-Million Inc's (Books) Executive Chairman Clyde Anderson and undisclosed members of the Anderson Family planned to acquire the remaining 47% interest, or 7. 517 mil common shares, which it did not already own, in Books, a Birmingham-based owner and operator of book stores, for USD 3.05 in cash per share, or a total value of USD 22.927 mil, in a leveraged buyout transaction.</t>
  </si>
  <si>
    <t>Central Bancorp Inc,MA</t>
  </si>
  <si>
    <t>US - Independent Bank Corp (Independent Bank) acquired the entire share capital of Somerville-based Central Bancorp Inc, in a stock swap transaction valued at USD 54. 8 mil. Independent Bank offered USD 32 in cash per share, or a total value of USD 21.644 mil, and an estimated USD 33.156 mil in Independent Bank common shares.</t>
  </si>
  <si>
    <t>Gen-Probe Inc</t>
  </si>
  <si>
    <t>Mnfr,whl diagnostic instrument</t>
  </si>
  <si>
    <t>US - Hologic Inc acquired the entire share capital of Gen- Probe Inc (Gen-Probe), a San Diego-based manufacturer and wholesaler of diagnostic instruments, for USD 82.75 in cash per share, or a total value of USD 3.919 bil. Originally, in May 2011, Gen- Probe was rumored to be seeking a buyer for the company, via auction. Thermo Fisher Scientific Inc, Novartis AG and Life Technologies Corp were named potential bidders. On completion, Gen-Probe was delisted in Nasdaq.</t>
  </si>
  <si>
    <t>PLX Technology Inc</t>
  </si>
  <si>
    <t>US - Integrated Device Technology Inc (Integrated Device), through its wholly- owned Pinewood Acquisition Corp unit, withdrew its definitive agreement to acquire the entire share capital of PLX Technology Inc (PLX Technology), a Sunnyvale- based manufacturer and wholesaler of semiconductors, in a stock swap transaction valued at USD 326.025 mil, via tender offer. Integrated Device offered USD 3.5 in cash per share and 0.525 common shares per PLX Technology share. Based on Integrated Device's closing stock price of USD 6.67 on 27 April 2012, the last full trading day prior to the announcement, each PLX Technology share was valued USD 7.002. The offer was conditioned upon at least 90% of shares being tendered. Concurrently, Integrated Device acquired Fox Electronics. This transaction is Tax-Exempt under IRC s386.</t>
  </si>
  <si>
    <t>Sunoco Inc</t>
  </si>
  <si>
    <t>Mnfr,whl petroleum products</t>
  </si>
  <si>
    <t>Energy Transfer Partners LP</t>
  </si>
  <si>
    <t>US - Energy Transfer Partners LP (Energy Transfer), through its wholly-owned unit Sam Acquisition Corp, merged with Sunoco Inc (Sunoco), a Philadelphia-based manufacturer and wholesaler of petroleum products, in a stock swap transaction valued at USD 5.261 bil. Energy Transfer offered a choice of USD 50 in cash or 1.0490 common units or a combination of USD 25 in cash per share and 0.5245 common unit, subject to proration whereby 50% of the consideration was to be paid in units and the remaining 50% in cash. Based on Energy Transfer's closing stock price of USD 47.92 on 27 April 2012, the last full trading day prior to the announcement, each Sunoco share was valued at USD 50. 268. This transaction is Tax- Exempt under IRC s386.</t>
  </si>
  <si>
    <t>Collective Brands Inc</t>
  </si>
  <si>
    <t>Collective Brands Inc SPV</t>
  </si>
  <si>
    <t>US - Collective Brands Inc SPV, a special purpose acquisition vehicle formed by Wolverine World Wide Inc, Blum Capital Partners LP and Golden Gate Capital, acquired Collective Brands Inc (Collective), a Topeka-based owner and operator of shoe stores, for USD 21.75 in cash per share or a total value of USD 1.321 bil, including the assumption of an undisclosed amount in liabilities, in a leveraged buyout transaction. Originally, Collective was rumored to be seeking a buyer for the company. E-Land Inc was rumored to be a potential bidder.</t>
  </si>
  <si>
    <t>EasyLink Services Intl Corp</t>
  </si>
  <si>
    <t>Pvd electronic messaging svcs</t>
  </si>
  <si>
    <t>US - Open Text Corp of Canada acquired the entire share capital of EasyLink Services International Corp, a Norcross-based provider of electronic messaging services, for USD 7.25 in cash per share, or a total value of USD 250.622 mil, and the assumption of an undisclosed amount in liabilities.</t>
  </si>
  <si>
    <t>Louis Dreyfus Commodities LLC</t>
  </si>
  <si>
    <t>Wholesale commodities</t>
  </si>
  <si>
    <t>US - Louis Dreyfus Commodities LLC (Louis), a unit of Louis Dreyfus SAS, acquired the entire share capital of Imperial Sugar Co (Imperial), a Sugar Land- based producer and wholesaler of sugar and sweetener products, for USD 6.35 in cash per share, or a total value of USD 77.591 mil, and the assumption of an undisclosed amount in liabilities. Earlier, Louis completed its tender offer for Imperial by accepting 8. 78 mil shares, or 71.85% of Imperial's common shares outstanding. The offer was conditioned upon at least 66. 667% of shares being tendered.</t>
  </si>
  <si>
    <t>PF Chang's China Bistro Inc</t>
  </si>
  <si>
    <t>Centerbridge Partners LP</t>
  </si>
  <si>
    <t>US - Centerbridge Partners LP acquired the entire share capital of PF Chang's China Bistro Inc (PF Chang's), a Scottsdale-based owner and operator of restaurants, for USD 51.5 in cash per share, or a total value of USD 1.104 bil, in a leveraged buyout transaction. Earlier, Centerbridge Partner completed its tender offer by accepting 17.82 mil shares, or 83.92% of PF Chang's common shares outstanding. The offer was conditioned upon at least 83% of PF Chang's shares being tendered.</t>
  </si>
  <si>
    <t>Ascena Retail Group Inc</t>
  </si>
  <si>
    <t>Women's Clothing Stores</t>
  </si>
  <si>
    <t>US - Ascena Retail Group Inc (Ascena) acquired the entire share capital of Charming Shoppes Inc (Charming), a Bensalem-based owner and operator of women's specialty apparel stores, for USD 7.35 cash per share, or a total value of USD 880.378 mil. Earlier, Ascena completed its tender offer for Charming by accepting 95.743 mil shares, or 82.09% of Charming's common shares outstanding . The offer was conditioned upon at least 80% of Charming's shares being tendered.</t>
  </si>
  <si>
    <t>US - Microchip Technology Inc acquired the entire share capital of Standard Microsystems Corp (SMC), a Hauppauge-based manufacturer of metal-oxide-semiconductor/ very-large-scale-integrated circuits, for USD 37 in cash per share, or a total value of USD 870.582 mil. On completion, SMC was delisted in Nasdaq.</t>
  </si>
  <si>
    <t>WashingtonFirst Bankshare Inc</t>
  </si>
  <si>
    <t>US - WashingtonFirst Bankshare Inc (WashingtonFirst) acquired the entire share capital of Alliance Bankshares Corp (Alliance), a Chantilly-based bank holding company, for USD 5.3 in cash per share, or a total value of USD 27.083 mil. WashingtonFirst offered a choice of 0.4435 WashingtonFirst common shares per Alliance share.</t>
  </si>
  <si>
    <t>Kensey Nash Corp</t>
  </si>
  <si>
    <t>Mnfr resorbable med implants</t>
  </si>
  <si>
    <t>Koninklijke DSM NV</t>
  </si>
  <si>
    <t>Mnfr,whl chemical preparations</t>
  </si>
  <si>
    <t>US - Koninklijke DSM NV of Netherlands, through its indirect wholly-owned unit Biomedical Acquisition Corp, acquired the entire share capital of Kensey Nash Corp (Kensey), an Exton-based manufacturer of resorbable medical implants, via tender offer, for USD 38.5 in cash per share or a total value of USD 359.851 mil. The offer was conditioned upon at least majority of Kensey's shares being tendered.</t>
  </si>
  <si>
    <t>DigitalGlobe Inc</t>
  </si>
  <si>
    <t>Provides satellite based sensing and imaging</t>
  </si>
  <si>
    <t>GeoEye Inc</t>
  </si>
  <si>
    <t>Provide satellite imagery svcs</t>
  </si>
  <si>
    <t>US - GeoEye Inc (GeoEye) withdrew its plans to launch an unsolicited tender offer to acquire the entire share capital of DigitalGlobe Inc (DigitalGlobe), a Longmont- based provider of satellite based earth sensing and imaging services, for USD 792. 288 mil. GeoEye offered USD 8. 5 in cash and 0.3537 common share per DigitalGlobe share. Based on GeoEye's closing stock price of USD 24.03 on 03 May 2012, the last full trading day prior to the announcement, each DigitalGlobe share was valued USD 16.999.</t>
  </si>
  <si>
    <t>UNICOM Systems Inc</t>
  </si>
  <si>
    <t>US - UNICOM Systems Inc, a unit of UNICOM Global, through its wholly-owned unit UNICOM Sub One Inc, acquired the entire share capital of GTSI Corp (GTSI), a Herndon- based provider of information technology services, via tender offer, for USD 7.75 in cash per share, or a total value of USD 75.236 mil. The offer was conditioned upon at least majority of GTSI shares being tendered.</t>
  </si>
  <si>
    <t>PacWest Bancorp</t>
  </si>
  <si>
    <t>US - PacWest Bancorp (PacWest) acquired the entire share capital of First California Financial Group Inc (First California), a Westlake Village-based bank holding company, for a sweetened USD 8 in PacWest common share per First California share, or a total value of USD 234.076 mil. Originally, PacWest offered USD 7.25 per share. This transaction is Tax- Exempt under IRC s386.</t>
  </si>
  <si>
    <t>Bed Bath &amp; Beyond Inc</t>
  </si>
  <si>
    <t>Own,op home furnishing stores</t>
  </si>
  <si>
    <t>US - Bed Bath &amp; Beyond Inc (Bed) acquired the entire share capital of Cost Plus Inc (Cost), an Oakland-based retailer of home furnishings, for USD 22 in cash per share, or a total value of USD 543. 807 mil, via tender offer. Earlier, Bed completed its tender offer for Cost by accepting 20.824 mil shares, or 92.59% of Cost's common shares outstanding. The offer was conditioned upon at least 90% of Cost Plus' shares being tendered.</t>
  </si>
  <si>
    <t>Covington Investments LLC</t>
  </si>
  <si>
    <t>US - Covington Investments LLC withdrew its unsolicited plans to acquire the entire share capital of Advocat Inc, a Brentwood-based provider of nursing health care services, for USD 8.5 in cash per share, or a total value of USD 51. 134 mil.</t>
  </si>
  <si>
    <t>US - Park Sterling Corp (Park) acquired the entire share capital of Gastonia-based Citizens South Banking Corp (Citizens), for USD 7 in cash per share, or a total value of USD 119.169 mil, subject to proration whereby 30% of the consideration was to consist of cash and the remaining 70% in common shares. Alternatively, Park offered 1.4799 common shares per Citizens share, valued at USD 113.381 mil. Based on Park's closing stock price of USD 4.5 on 11 May 2012, the last full trading day prior to the announcement, each Citizens share was valued at USD 6.66.</t>
  </si>
  <si>
    <t>Golfsmith Intl Hldg Inc</t>
  </si>
  <si>
    <t>Retail golf,tennis equipment</t>
  </si>
  <si>
    <t>Golf Town Income Fund</t>
  </si>
  <si>
    <t>Retail golf merchandise</t>
  </si>
  <si>
    <t>US - Golf Town Income Fund of Canada, a unit of OMERS Capital Partners, acquired the entire share capital of Golfsmith International Holdings Inc (Golfsmith), an Austin-based retailer of golf and tennis equipment, apparel, accessories, and other sporting goods, from Atlantic Equity Partners III LP, a unit of First Atlantic Capital Ltd, and other shareholders, for USD 6.1 in cash per share, or a total value of USD 104.879 mil. Originally, in March 2012, Golfsmith announced that it was seeking a buyer for the company. On completion, the combined business will operate under the name Golfsmith International.</t>
  </si>
  <si>
    <t>TII Network Technologies Inc</t>
  </si>
  <si>
    <t>Mnfr,whl network equipments</t>
  </si>
  <si>
    <t>Kelta Inc</t>
  </si>
  <si>
    <t>Mnfr network equipments</t>
  </si>
  <si>
    <t>US - Kelta Inc definitively acquired the entire share capital of TII Network Technologies Inc, an Edgewood- based manufacturer of wholesaler of network equipments, for USD 2.15 in cash per share, or a total value of USD 32.362 mil.</t>
  </si>
  <si>
    <t>Winnebago Industries Inc</t>
  </si>
  <si>
    <t>Manufacture recreational vehicles</t>
  </si>
  <si>
    <t>North Street Capital LP</t>
  </si>
  <si>
    <t>US - North Street Capital LP withdrew its plan to acquire the entire share capital of Winnebago Industries Inc, a Forest City-based manufacturer of motor homes, for USD 11 in cash per share, or a total value of USD 321. 521 mil, in a leveraged buyout transaction, via an unsolicited tender offer.</t>
  </si>
  <si>
    <t>US - SAP America Inc, a unit of Systeme Anwendungen Produkte AG of Germany, acquired the entire share capital of Ariba Inc, a Sunnyvale-based provider of ecommerce services, for USD 45 in cash per share or a total value of USD 4.52 bil. On completion, Ariba was delisted in NASDAQ.</t>
  </si>
  <si>
    <t>Angelo Gordon &amp; Co</t>
  </si>
  <si>
    <t>US - Angelo Gordon &amp; Co acquired the entire share capital of Benihana Inc (BI), a Miami-based owner and operator of restaurants, for USD 16.3 in cash per share, of a total value of USD 292. 16 mil, in a leveraged buyout transaction. Originally, in May 2012, BI announced that it was seeking a buyer for the company.</t>
  </si>
  <si>
    <t>US - In May 2012, Icahn Partners LP announce that it was seeking a buyer for its 80% interest in CVR Energy Inc, a Sugar Land-based provider of petroleum refining services and wholesaler of high value transportation fuels. Valero Energy Corp, Western Refining Inc, HollyFrontier Corp , Tesoro Corp, Marathon Petroleum Corp and ConocoPhilips Co were named potential bidders.</t>
  </si>
  <si>
    <t>Alternative Energy &amp; Envi Inc</t>
  </si>
  <si>
    <t>Peter Coker</t>
  </si>
  <si>
    <t>US - Peter Coker agreed to acquire an 81.3% interest in Alternative Energy &amp; Environmental Solutions Inc, a Newton-based biotechnology company, from Scott Williams &amp; David Callan for a nominal consideration of USD 495.</t>
  </si>
  <si>
    <t>Digital Generation Inc</t>
  </si>
  <si>
    <t>US In May 2012, Digital Generation Inc, an Irving- based provider of digital media advertising services, was rumored to be seeking a buyer for the company. Hellman &amp; Friedman, Thoma Bravo, Extreme Reach backed by Providence Equity Partners, TA Associates and Bain Capital were named potential bidders. The Current status of this deal is unknown.</t>
  </si>
  <si>
    <t>US - Trustmark Corp (Trustmark) merged with BancTrust Financial Group Inc (BancTrust), a Mobile-based bank holding company, in a stock swap transaction, valued at USD 55.386. Trustmark offered 0.125 common shares per BancTrust share. Based on Trustmark's closing stock price of USD 24. 66 on 25 May 2012, the last full trading day prior to the announcement, each BancTrust share was valued at USD 3.083. Originally, in March 2012, BancTrust disclosed that it was seeking a buyer for the company.</t>
  </si>
  <si>
    <t>Interline Brands Inc</t>
  </si>
  <si>
    <t>Plumbing and Heating Equipment and Supplies (Hydronics) Merchant Wholesalers</t>
  </si>
  <si>
    <t>Isabelle Acquisition Sub Inc</t>
  </si>
  <si>
    <t>US - Isabelle Acquisition Sub Inc, a unit of Isabelle Holding Co Inc and a special purpose acquisition vehicle formed by GS Capital Partners LP and P2 Capital Partners, acquired the entire share capital of Interline Brands Inc, a Jacksonville-based wholesaler of specialty maintenance repair and operations (MRO) products, for USD 25.5 in cash per share, or a total value of USD 836.094 mil, and the assumption of an undisclosed amount in liabilities, in a leveraged buyout transaction.</t>
  </si>
  <si>
    <t>US - Teledyne Technologies Inc acquired the entire share capital of LeCroy Corp, a Chestnut Ridge-based manufacturer and wholesaler of measuring devices, for USD 14.3 in cash per share, or a total value of USD 240.574 mil.</t>
  </si>
  <si>
    <t>US Gold Canadian Acquisition</t>
  </si>
  <si>
    <t>Mineral ppty acq,expl,dvlp</t>
  </si>
  <si>
    <t>US Gold Alberta ULC</t>
  </si>
  <si>
    <t>Mineral ppty expl,dvlp</t>
  </si>
  <si>
    <t>US - US Gold Alberta ULC of Canada acquired all the outstanding exchangeable shares of US Gold Canadian Acquisition Corp, a Lakewood- based company engaged in mineral property acquisition, exploration, and development, from McEwen Mining Inc.</t>
  </si>
  <si>
    <t>Beacon Fed Bancorp Inc,NY</t>
  </si>
  <si>
    <t>US - Berkshire Hills Bancorp Inc (Berkshire Hills) merged with Beacon Federal Bancorp (Beacon), a Syracuse-based bank holding company, in a stock swap transaction valued at USD 134.744 mil. Berkshire Hills offered 0.92 common shares for every Beacon share subject to proration whereby the consideration was to consist of 50% USD 63.537 mil in cash and 50% USD 63.537 mil in common shares. The shares were valued based on Beacon Hills' closing stock price of May 29, the last full trading day prior to the announcement. This transaction is Tax-Exempt under IRC s386.</t>
  </si>
  <si>
    <t>US - United Financial Bancorp Inc (UFB) completed its challenging tender offer to acquire the entire share capital of Enfield-based New England Bancshares Inc (NEB), in a stock swap transaction valued at USD 82.688 mil. UFB offered 0.9575 share for every NEB share. Based on UFB's closing stock price of USD 14.87 on 30 May 2012, the last full trading day prior to the announcement, each NEB common share was valued at USD 14.238.</t>
  </si>
  <si>
    <t>Hughes Telematics Inc</t>
  </si>
  <si>
    <t>Mnfr vehicle automotive tech</t>
  </si>
  <si>
    <t>US - Verizon Communications Inc acquired the entire share capital of Hughes Telematics Inc (Hughes), an Atlanta- based manufacturer of vehicle automotive technologies, from Apollo Global Management LLC, for USD 12 in cash per share, or a total value of USD 603. 937 mil. On completion, Hughes was delisted on the OTC Bulletin Board.</t>
  </si>
  <si>
    <t>Credo Petroleum Corp</t>
  </si>
  <si>
    <t>US - Forestar Group Inc acquired the entire share capital of Credo Petroleum Corp, a Denver-based oil and gas exploration and production company, for USD 14.5 in cash per share, or a total value of USD 146.687 mil.</t>
  </si>
  <si>
    <t>First Trust Bank,Charlotte,NC</t>
  </si>
  <si>
    <t>US - BNC Bancorp (BNC) merged with Charlotte-based First Trust Bank (First Trust), in a stock swap transaction valued at USD 33.868 mil. BNC offered a choice of 0.98 common shares or USD 7.25 in cash per First Trust share, subject to proration whereby 70% of the consideration was to be paid in BNC common shares and 30% in cash. Based on BNC's closing stock price of USD 7.81 on 1 June 2012, the last full trading day prior to the announcement, each BNC share was valued at USD 7.654.</t>
  </si>
  <si>
    <t>MEDTOX Scientific Inc</t>
  </si>
  <si>
    <t>Mnfr,whl lab test kits</t>
  </si>
  <si>
    <t>US - Laboratory Corporation of America Holdings acquired the entire share capital of MEDTOX Scientific Inc, a Saint Paul-based manufaturer and wholesaler of laboratory testing kits, for USD 27 in cash per share or a total value of USD 242.194 mil.</t>
  </si>
  <si>
    <t>Western Reserve Bancorp Inc</t>
  </si>
  <si>
    <t>Westfield Bancorp Inc</t>
  </si>
  <si>
    <t>US - Westfield Bancorp Inc merged with Medina-based Western Reserve Bancorp Inc, for USD 29 in cash per share, or a total value of USD 17. 033 mil.</t>
  </si>
  <si>
    <t>SRI/Surgical Express Inc</t>
  </si>
  <si>
    <t>Mnfr,whl surgical textiles</t>
  </si>
  <si>
    <t>Synergy Health PLC</t>
  </si>
  <si>
    <t>Pvd healthcare support svcs</t>
  </si>
  <si>
    <t>US - Synergy Health PLC (Synergy) of the UK, completed its tender offer to acquire the entire share capital of SRI/Surgical Express Inc (SRI), a Tampa- based manufacturer and wholesaler of surgical textiles, via tender offer, for USD 3.7 in cash per share, or a total value of USD 38.5 mil, including the assumption of an estimated USD 14.44 mil in liabilities, by accepting 5.369 mil shares, or 82.513% of SRI's entire share capital.</t>
  </si>
  <si>
    <t>Chesapeake Midstream Partners</t>
  </si>
  <si>
    <t>Global Infrastructure Partners</t>
  </si>
  <si>
    <t>US - Global Infrastructure Partners LLC (GIP), a joint venture between Credit Suisse Group AG and GE Infrastructure Inc, a unit of General Electric Co {GE}, raised its interest to 69.4% from 23.3%, by acquiring a further 46.1% stake, or 36. 373 mil common units, in Chesapeake Midstream Partners LP (CHKM), an Oklahoma City- based provider of natural gas gathering systems services, from Chesapeake Energy Corp (Chesapeake), for USD 2 bil in cash, in a leveraged buyout transaction. Concurrently, GIP agreed to acquire Chesapeake Midstream Development LP, and CHKM agreed to acquire certain Mid- Continent gathering and processing assets of Chesapeake. Originally, in June 2012, GIP was rumored to be planning to acquire CHKM.</t>
  </si>
  <si>
    <t>IntegraMed America Inc</t>
  </si>
  <si>
    <t>SCP-325 Holding Corp</t>
  </si>
  <si>
    <t>US - SCP-325 Holding Corp, a special acquisition vehicle formed by Sagard Capital Partners LP, a unit of Power Corp of Canada, through SCP- 325 Merger Sub Inc, acquired the entire share capital of IntegraMed America Inc, a Purchase-based provider of specialty healthcare services, for USD 14.05 in cash per share, or a total value of USD 168.413 mil, in a leveraged buyout transaction.</t>
  </si>
  <si>
    <t>Micronetics Inc</t>
  </si>
  <si>
    <t>Mnfr microwave,RF components</t>
  </si>
  <si>
    <t>Mercury Computer Systems Inc</t>
  </si>
  <si>
    <t>Mnfr,whl computer systems</t>
  </si>
  <si>
    <t>US - Mercury Computer Systems Inc, through its wholly-owned Wildcat Merger Sub Inc unit, acquired the entire share capital of Micronetics Inc, a Hudson-based manufacturer of microwave and radio frequency (RF) components and integrated subassemblies, for USD 14.8 in cash per share, or a total value of USD 71.75 mil. On completion, Micronetics was delisted from the NASDAQ Capital Market.</t>
  </si>
  <si>
    <t>Ramtron International Corp</t>
  </si>
  <si>
    <t>Mnfr,wholesale semiconductor</t>
  </si>
  <si>
    <t>US - Cypress Semiconductor Corp (Cypress) acquired the entire share capital of Ramtron International Corp (RI), a Colorado Springs- based manufacturer and wholesaler of semiconductor, for a thrice sweetened USD 3. 1 in cash per share, or a total value of USD 110.102 mil. Earlier, Cypress completed the tender offer by accepting 23.291 mil shares, or 72.049% of RI's common shares outstanding. Subsequently, Cypress offered a twice sweetened USD 2.88 in cash per share. Previously, Cypress offered a sweetened USD 2.68 in cash per share. Originally, Cypress offered USD 2.48 in cash per share. On completion, RI common shares were to be delisted from the NASDAQ Stock Exchange.</t>
  </si>
  <si>
    <t>Good Times Restaurants Inc</t>
  </si>
  <si>
    <t>Own,op,franchise restaurant</t>
  </si>
  <si>
    <t>Small Island Investments Ltd</t>
  </si>
  <si>
    <t>US - Small Island Investments Ltd agreed to raise its interest to 85.511%, from 50. 742%, by acquiring a further 34.769%, or 0.474 mil series C preferred shares convertible into 2 common shares, in Good Times Restaurants Inc, Golden-based owner, operator, and franchiser of restaurants, for USD 4.22 in cash per share, or a total value of USD 2 mil.</t>
  </si>
  <si>
    <t>US - In June 2012, HMP Equity Trust, a unit of MatlinPatterson Global Advisers LLC's MatlinPatterson Global Opportunities Partners LP subsidiary, was rumored to be seeking a buyer for its Huntsman Corp unit, a Salt Lake-based manufacturer and wholesaler of polymers, pigments, polyurethane base and performance chemicals. KKR &amp; Co, Bain Capital, Advent International and Warburg Pincus are named rumored bidders. The Current status of this deal is unknown.</t>
  </si>
  <si>
    <t>US - Diamond Resorts Corp withdrew its plan to acquire the entire share capital of Bluegreen Corp, a Boca Raton- based owner, operator, and manager of resorts and residential vacation resorts, and a wholly-owned unit of BFC Financial Corp, for USD 6. 25 in cash per share, or a total value of USD 196.84 mil in cash.</t>
  </si>
  <si>
    <t>US - Energy Transfer Equity LP (ETE) plans to merge its Southern Union Co unit with Energy Transfer ParntersLP's (ETP) Sunoco Co (Sunoco) subsidiary, a Philadelphia- based manufacturer and wholesaler of petroleum and petrochemicals products, to form a joint venture company to be named ETP Holdco Corp (Holdco). Upon completion, ETE and ETP were to own a 60% interest and 40% stake in Holdco, respectively. The transaction is contingent upon the completion of ETP and Sunoco merger.</t>
  </si>
  <si>
    <t>Network Equip Technologies Inc</t>
  </si>
  <si>
    <t>Mnfr wide area networking prod</t>
  </si>
  <si>
    <t>Sonus Networks Inc</t>
  </si>
  <si>
    <t>Pvd VoIP solutions</t>
  </si>
  <si>
    <t>US - Sonus Networks Inc (Sonus), through its Navy Acquisition Subsidiary Inc unit, acquired the entire share capital of Network Equipment Technologies Inc (NET), a Fremont-based manufacturer of wide area networking products and equipments, for USD 1.35 in cash per share, or a total value of USD 41.292 mil. On completion, NET became a wholly-owned unit of Sonus.</t>
  </si>
  <si>
    <t>Genesis HealthCare LLC</t>
  </si>
  <si>
    <t>US - Genesis HealthCare LLC, a unit of Health Care REIT Inc's FC-Gen Acquisition Holding LLC subsidiary, merged with Sun Healthcare Group Inc, an Irvine-based provider of long-term healthcare services, for USD 8.5 in cash per share, or a total value of USD 214.815 mil, including the assumption of liabilities.</t>
  </si>
  <si>
    <t>American Blue Ribbon Holdings</t>
  </si>
  <si>
    <t>US - American Blue Ribbon Holdings Inc (ABRH), a 55:45 joint venture between Fidelity National Financial Inc and Newport Global Advisors LP, a unit of Providence Equity Partners LLC, completed its tender offer to acquire the entire share capital of J Alexander's Corp (JAC), a Nashville-based owner and operator of restaurants, for a twice sweetened USD 14.5 in cash per share, or a total value of USD 92.456, by accepting 5.329 mil shares, or 88.87% of JACs common shares outstanding. Previously, ABRH offered USD 13 in cash per share for every JAC share. Originally, ABRH offered a choice of USD 12 in cash per share, or USD 3 in cash and 1 ABRH stock for every JAC share. On completion, JAC was to be merged with ABRH LLC, and JAC was to own 49.9% stake in ABRH, and JAC was to be delisted on NASDAQ.</t>
  </si>
  <si>
    <t>US - Bristol-Myers Squibb Co (Bristol-Myers) acquired the entire share capital of Amylin Pharmaceuticals Inc (Amylin), a San Diego-based biopharmaceutical company, for USD 31 in cash per share, or a total value of USD 6.748 bil, including the assumption of USD 1.7 bil in liabilities. Earlier, Bristol-Myers completed its tender offer for Amylin by accepting 140. 55 mil shares, or 86.31% of Amylin's common shares outstanding. The offer was conditioned upon at least a majority of Amylin's shares being tendered. Originally in March 2012, Bristol-Myers was rumored to be planning to launch an unsolicited tender offer to merge with Amylin. Concurrently, AstraZeneca PLC of the UK planned to acquire an undisclosed minority stake in Amylin. On completion, Amylin was delisted in Nasdaq.</t>
  </si>
  <si>
    <t>Linde AG</t>
  </si>
  <si>
    <t>Mnfr,whl industrial gases</t>
  </si>
  <si>
    <t>US - Linde AG of Germany acquired the entire share capital of Lincare Holdings Inc (Lincare), a Clearwater- based provider of oxygen treatment services, for USD 41.5 in cash per share, or a total value of USD 3.584 bil. Earlier, Linde completed its tender offer for Lincare by accepting 73.441 mil shares, or 85.01% of Lincare's common shares outstanding. The offer was conditioned upon at least a majority of Lincare's shares being tendered. Originally, In June 2012, Lincare was rumored to be seeking a buyer for the company, and Linde AG and Air Liquide SA were named potential bidders.</t>
  </si>
  <si>
    <t>Brightpoint Inc</t>
  </si>
  <si>
    <t>Whl mobile handset,accessories</t>
  </si>
  <si>
    <t>Ingram Micro Inc</t>
  </si>
  <si>
    <t>Wholesale computer software products</t>
  </si>
  <si>
    <t>US - Ingram Micro Inc acquired the entire share capital of Brightpoint Inc, an Indianapolis-based wholesaler of wholesales wireless devices, mobile handsets, phones and related accessories, for USD 9 in cash per share, or a total value of USD 811.868 mil, including the assumption of USD 190 mil in liabilities. On completion, BrightPoint was delisted from the NASDAQ Stock Exchange.</t>
  </si>
  <si>
    <t>US - Dell Inc acquired the entire share capital of Quest Software Inc, an Aliso Viejo- based developer of enterprise systems management software, for USD 28 in cash per share, or a total value of USD 2.531 bil. Originally, Dell was rumored to be planning to acquire the entire share capital of Quest Software.</t>
  </si>
  <si>
    <t>Christopher &amp; Banks Corp</t>
  </si>
  <si>
    <t>Own,op women's retail stores</t>
  </si>
  <si>
    <t>Aria Partners GP LLC</t>
  </si>
  <si>
    <t>US - Aria Partners GP LLC planned to launch an unsolicited tender offer to acquire 96% interest, or 35. 226 mil common shares, which it did not already own, in Christopher &amp; Banks Corp, a Plymouth-based owner and operator of women's retail stores, for USD 1.75 per share, or a total value of USD 61.645 mil.</t>
  </si>
  <si>
    <t>MModal Inc</t>
  </si>
  <si>
    <t>Dvlp speech solution software</t>
  </si>
  <si>
    <t>US - One Equity Partners LLC, a wholly-owned unit of JP Morgan Chase &amp; Co, via its affiliate Legend Acquisition Sub Inc, acquired all the entire share capital of MModal Inc (MModal), a Franklin-based developer of speech solution software, via a tender offer, from a unit of SAC Capital Advisors LLC's SAC Private Capital Group LLC (31%) subsidiary and other undisclosed shareholders, for USD 14 in cash per share, or a total value of USD 816.387 mil, in a leveraged buyout transaction. Earlier, OEP completed its tender offer for MModal by accepting 46. 489 mil shares, or 81.649% of MModal's common shares outstanding. The offer was conditioned upon at least a majority of MModal's shares being tendered.</t>
  </si>
  <si>
    <t>LaCrosse Footwear Inc</t>
  </si>
  <si>
    <t>Mnfr,whl footwear,apparel</t>
  </si>
  <si>
    <t>ABC-Mart Inc</t>
  </si>
  <si>
    <t>Ret,whl shoes</t>
  </si>
  <si>
    <t>US - ABC-Mart Inc of Japan merged with LaCrosse Footwear Inc (LaCrosse), a Portland- based manufacturer and wholesaler of footwear and apparel, via tender offer for USD 20 in cash per share, or a total value of USD 136.5821 mil. The offer was conditioned upon at least a majority of LaCrosse's shares being tendered.</t>
  </si>
  <si>
    <t>Amerigroup Corp</t>
  </si>
  <si>
    <t>Pvd managed healthcare svcs</t>
  </si>
  <si>
    <t>US - WellPoint Inc acquired the entire share capital of Amerigroup Corp, a Virginia Beach-based provider of managed healthcare services, for USD 92 in cash per share, or a total value of USD 4.851 bil.</t>
  </si>
  <si>
    <t>FX Alliance Inc</t>
  </si>
  <si>
    <t>Pvd electronic FX trading svcs</t>
  </si>
  <si>
    <t>Thomson Reuters Corp</t>
  </si>
  <si>
    <t>Provide integrated information services</t>
  </si>
  <si>
    <t>US - Thomson Reuters Corp, a majority-owned unit of Woodbridge Co Ltd, through its CB Transaction Corp subsidiary, acquired the entire share capital of FX Alliance Inc (FX), a New York- based provider of electronic foreign exchange trading solutions services, from Mention Technology Crossover Ventures and Phil Weisberg, for USD 22 in cash per share, or a total value of USD 627. 465 mil, via tender offer. The offer was conditioned upon at least a majority of FX's shares being tendered.</t>
  </si>
  <si>
    <t>Presidential Life Corp</t>
  </si>
  <si>
    <t>Athene Annuity &amp; Life</t>
  </si>
  <si>
    <t>US - Athene Annuity &amp; Life Assurance Co (AA), a wholly- owned unit of Athene Holding Ltd acquired the entire share capital of Presidential Life Corp (PL), a Nyack-based insurance holding company, for USD 14 in cash per share, or a total value of USD 414. 284 mil. On completion, PL became a wholly-owned unit of AA.</t>
  </si>
  <si>
    <t>Correct Care Solutions LLC</t>
  </si>
  <si>
    <t>Pvd healthcare services</t>
  </si>
  <si>
    <t>US - Correct Care Solutions LLC (CCS) acquired the entire share capital of Conmed Healthcare Management Inc (CHM), a Hanover-based provider of correctional healthcare services, via a tender offer for USD 3.95 in cash per share, or a total value of USD 59.029 mil. The offer was conditioned upon at least 90% of CHM's shares being tendered. On completion, CHM shares were to be delisted in the OTC and NYSE Amex exchange.</t>
  </si>
  <si>
    <t>MakeMusic Inc</t>
  </si>
  <si>
    <t>Dvlp music technology software</t>
  </si>
  <si>
    <t>LaunchEquity Partners LLC</t>
  </si>
  <si>
    <t>US - LaunchEquity Partners LLC (LEAP) completed its tender offer to acquire the remaining 72.225% interest, or 3.544 mil common shares, which it did not already own, in MakeMusic Inc, an Eden Prairie-based developer of music technology software, for a sweetened USD 4.85 in cash per share, or a total value of USD 17.188 mil, by accepting 3.544 mil shares, or 72.225% of MakeMusic Inc's common shares outstanding, in a leveraged buyout transaction. Originally, LEAP offered for USD 13.5 mil.</t>
  </si>
  <si>
    <t>Par Pharmaceutical Cos Inc</t>
  </si>
  <si>
    <t>US - TPG Capital LP acquired the entire share capital of Par Pharmaceutical Cos Inc (Par), a Woodcliff Lake-based manufacturer and wholesaler of pharmaceuticals, for USD 50 in cash per share or a total value of USD 1.886 bil, in a leveraged buyout transaction. Originally in September 2007, Par was rumored to be seeking a buyer for the company. Ranbaxy Laboratories Ltd, Wockhardt Ltd, and Sun Pharmaceutical Industries Ltd were rumored potential bidders.</t>
  </si>
  <si>
    <t>US - Bankrupt Syms Corp (Syms) , a Secaucus-based retailer of designer-labeled clothing, completed its debt restructuring with creditors, for USD 2.49 in cash per share, or a total value of USD 24.9 mil. On completion, Syms changed its name to Trinity Place Holdings Inc. Originally, in May 2011, Syms announced that it was seeking a buyer for the company.</t>
  </si>
  <si>
    <t>OCZ Technology Group Inc</t>
  </si>
  <si>
    <t>US - In July 2012, Seagate Technology LLC was rumored to be planning to acquire the entire share capital of OCZ Technology Group Inc, a San Jose-based manufacturer and wholesaler of memory storage devices and computer component. Deal was updated to Discontinued Rumor due to lack of activity.</t>
  </si>
  <si>
    <t>GenOn Energy Inc</t>
  </si>
  <si>
    <t>US - NRG Energy Inc (NRG), through its Plus Merger Corp wholly owned subsidiary, merged with GenOn Energy Inc (GenOn), a Houston-based provider of electricity services, in a stock swap transaction valued at USD 1. 696 bil. NRG offered 0.1216 common shares per GenOn share. Based on NRG's closing stock price of USD 18.05 on 20 July 2012, the last full trading day prior to the announcement, each GenOn share was valued at USD 2.195. This transaction is Tax-Exempt under IRC s386.</t>
  </si>
  <si>
    <t>US - DigitalGlobe Inc (DigitalGlobe), through its 20/20 Acquisition Sub Inc wholly owned subsidiary, merged with GeoEye Inc, (GeoEye) a Herndon-based provider of geospatial satellite and aerial imagery, location information and image processing products and services, in a stock swap transaction valued at USD 466. 601 mil. DigitalGlobe offered a choice of USD 20.27 in cash per share or USD 4.1 in cash and 1.137 common shares, or 1. 425 common shares per GeoEye share, subject to proration whereby the maximum consideration reflects the ratio of 1.137 common shares and USD 4.1 per share in cash. Upon completion the merged entity was to be renamed DigitalGlobe, and DigitalGlobe and GeoEye Inc shareholders were to own 64% and 36% of the merged entity, respectively. This transaction is Tax-Exempt under IRC s386.</t>
  </si>
  <si>
    <t>US - An investor group, including Johann A Benckiser SE of Austria, a unit of Donata Holdings SE's Parentes Holding SE subsidiary, and BDT Capital Partners LLC, acquired the entire share capital of Peet's Coffee &amp; Tea Inc, a Berkeley-based producer and wholesaler of whole bean coffee and tea, for USD 73.5 in cash per share, or a total value of USD 1.017 bil.</t>
  </si>
  <si>
    <t>Pvd short line,railroad svcs</t>
  </si>
  <si>
    <t>US - Genesee &amp; Wyoming Inc acquired the entire share capital of RailAmerica Inc, a Jacksonville-based provider of short line and regional freight railroad services, for USD 27.5 in cash per share, or a total value of USD 1.386 bil.</t>
  </si>
  <si>
    <t>AuthenTec Inc</t>
  </si>
  <si>
    <t>Apple Inc</t>
  </si>
  <si>
    <t>US - Apple Inc, through its wholly-owned Bryce Acquisition Corp subsidiary, acquired the entire share capital of AuthenTec Inc (AI), a Melbourne-based manufacturer of semiconductors, for USD 8 in cash per share, or a total value of USD 392.865 mil. Upon completion, AI became a wholly-owned subsidiary of Apple.</t>
  </si>
  <si>
    <t>Osage Bancshares Inc</t>
  </si>
  <si>
    <t>Federal bank</t>
  </si>
  <si>
    <t>American Bancorp Inc</t>
  </si>
  <si>
    <t>US - American Bancorp Inc definitively agreed to acquire the entire share capital of Pawhuska-based Osage Bancshares Inc, for USD 11.1 in cash per share, or a total value of USD 29.338 mil.</t>
  </si>
  <si>
    <t>The Shaw Group Inc</t>
  </si>
  <si>
    <t>Mnfr pipe fittings,systems</t>
  </si>
  <si>
    <t>Chicago Bridge &amp; Iron Co NV</t>
  </si>
  <si>
    <t>US - Chicago Bridge &amp; Iron Co NV (Chicago) of the Netherlands acquired the entire share capital of The Shaw Group Inc (Shaw), a Baton Rouge-based manufacturer of industrial pipe fittings and systems, for USD 3.189 bil. Chicago offered USD 41 in cash and 0. 129 ordinary shares per Shaw share. Based on Chicago's closing stock price of USD 40. 7 on 27 July 2012, the last full trading day prior to the announcement, each Shaw share was valued at USD 46.243. On completion, Shaw was delisted in NYSE.</t>
  </si>
  <si>
    <t>US - In July 2012, Laboratory Corp of America Holdings, a Burlington-based provider of diagnostic laboratory services, was rumored to be seeking a buyer for the company. TPG Capital LP, Bain Capital LLC, Blackstone Group LP, Kohlberg Kravis Roberts &amp; Co LP, and Madison Dearborn Partners LLC were rumored to be potential bidders. The Current status of this deal is unknown.</t>
  </si>
  <si>
    <t>US - White Deer Energy LP, a unit of White Deer Management LLC, raised its stake to 53. 829% from 14.082%, by acquiring further 39.747% stake, in PostRock Energy Corp, an Oklahoma City-based oil and gas exploration and production company, for USD 1. 95 per share, or a total value of USD 12 mil. The transaction was to include 3. 077 mil in convertible warrants.</t>
  </si>
  <si>
    <t>Community Financial,Stauton,VA</t>
  </si>
  <si>
    <t>US - City Holding Co, Charleston,West Virginia (City) acquired Community Financial Corp,Stauton, Virginia (Community), a Stauton-based bank holding company, in a stock swap transaction valued at USD 24. 972 mil. City offered 0.1753 common shares per Community share. Based on City's closing stock price of USD 32. 66 on 1 August 2012, the last full trading day prior to the announcement, each Community share was valued at USD 5.725. On completion, Community was delisted from the NASDAQ Stock Exchange.</t>
  </si>
  <si>
    <t>Higher One Holdings Inc</t>
  </si>
  <si>
    <t>Provide payment services</t>
  </si>
  <si>
    <t>US - In August 2012, Higher One Holdings Inc was rumored to be seeking a buyer for the company. The Current status of this deal is unknown.</t>
  </si>
  <si>
    <t>Richard Schulze</t>
  </si>
  <si>
    <t>US - Richard Schulze (Schulze) , withdrew its plans to launch an unsolicited tender offer to acquire the remaining 79.857% interest, or 273.221 mil common shares, which it did not already own, in Best Buy Co (Best Buy), a Richfield-based owner and operator of retail stores, for USD 26 in cash per share, or a total value of USD 7.104 bil. Originally, in June 2012, Schulze announced that it was seeking a buyer for its 20.143% stake in Best Buy.</t>
  </si>
  <si>
    <t>Knight Capital Group Inc</t>
  </si>
  <si>
    <t>US - An investor group, comprised of Jefferies Group Inc, Blackstone Group LP, GETCO LLC, Stephens Investments Holdings LLC, Stifel Financial Corp, and TD Ameritrade Inc, acquired a 73. 084% interest, or 0.4 mil preferred shares convertible into 666.667 common shares, in Knight Capital Group Inc, a Jersey City-based provider of brokerage services, for USD 400 mil in cash.</t>
  </si>
  <si>
    <t>US Home Systems Inc</t>
  </si>
  <si>
    <t>Pvd home prod installation svc</t>
  </si>
  <si>
    <t>US - Home Depot Inc acquired the entire share capital of US Home Systems Inc, an Irving-based provider of specialty home improvement products installation services, for USD 12.5 in cash per share, or a total value of USD 97.434 mil.</t>
  </si>
  <si>
    <t>Savannah Bancorp,Savannah,GA</t>
  </si>
  <si>
    <t>US - Columbia-based SCBT Financial Corp (SCBT) merged with Savannah Bancorp Inc (Savannah), in a stock swap transaction valued at USD 67. 051 mil. SCBT offered 0.2503 shares for every Savannah share. Based on SCBT's closing stock price of USD 37. 21 on 7 August 2012, the last full trading day prior to the announcement, each Savannah share was valued at USD 9.314.</t>
  </si>
  <si>
    <t>US - National Oilwell Varco Inc acquired the entire share capital of Robbins &amp; Myers Inc, a Dayton-based manufacturer and wholesaler of engineered equipment and systems, from MHM &amp; Co Ltd (10%) and other shareholders (90%), for USD 60 in cash per share, or a total value of USD 2.555 bil.</t>
  </si>
  <si>
    <t>Pvd communication system svcs</t>
  </si>
  <si>
    <t>US - Verint Systems Inc (Verint), a majority-owned unit of Comverse Technology Inc (Comverse), through its wholly-owned subsidiary, acquired the entire share capital of Comverse, a New York-based provider of communication system services, in a stock swap transaction valued at USD 805.725 mil. Verint offered 27.5 mil new common shares and USD 25 mil in Verint common shares. The shares were valued based on Verint's closing stock price of USD 28.39 on 10 August 2012, the last full trading day prior to the announcement. The transaction was conditioned upon the consummation of Comverse's spin-off of its Comverse Inc unit. On completion, Comverse shares were delisted from the NASDAQ Stock Exchange. This transaction is Tax-Exempt under IRC s386.</t>
  </si>
  <si>
    <t>Tokyo Electron Ltd</t>
  </si>
  <si>
    <t>US - Tokyo Electron Ltd of Japan, through its wholly- owned RB Merger Corp unit, completed its tender offer to acquire the entire share capital of FSI International Inc (FSI), a Chaska-based wholesaler of surface conditioning equipment, for USD 6.2 in cash per share, or a total value of USD 218.609 mil, by accepting 35.26 mill common shares, or 89.652% of FSI's common stock outstanding. The offer was conditioned upon at least a majority of FSI's shares being tendered.</t>
  </si>
  <si>
    <t>Pervasive Software Inc</t>
  </si>
  <si>
    <t>Actian Corp</t>
  </si>
  <si>
    <t>Develop data management software</t>
  </si>
  <si>
    <t>US - Actian Corp (Actian) acquired the entire share capital of Pervasive Software Inc, an Austin-based developer of data management software, for a sweetened USD 9 in cash per share, or a total value of USD 155.402 mil. Originally, Actian offered USD 8.5 in cash per share, or a total value of USD 147.238 mil</t>
  </si>
  <si>
    <t>Physicians Formula Holdings</t>
  </si>
  <si>
    <t>Mnfr,whl cosmetic products</t>
  </si>
  <si>
    <t>Swander Pace Capital LLC</t>
  </si>
  <si>
    <t>US - Swander Pace Capital LLC withdrew its agreement to acquire the entire share capital of Physicians Formula Holdings Inc, an Azusa-based manufacturer and wholesaler of cosmetic products, for USD 4.25 in cash per share, or a total value of USD 58.278 mil, in a leveraged buyout transaction.</t>
  </si>
  <si>
    <t>US - In August 2012, Electronic Arts Inc, a Redwood City-based developer and wholesaler of interactive software, was rumored to be seeking a buyer for the company. Kohlberg Kravis Roberts &amp; Co LP and Providence Equity Partners LLC were rumored to be potential bidders. The Current status of this deal is unknown.</t>
  </si>
  <si>
    <t>ATP Oil &amp; Gas Corp</t>
  </si>
  <si>
    <t>US - ATP Oil &amp; Gas Corp, a Houston-based oil and gas exploration and production company, planned to a debt restructuring transaction with creditors. The book value of the existing debt that will be exchanged under the terms of the offer is USD 1.901 bil.</t>
  </si>
  <si>
    <t>Aventine Renewable Energy</t>
  </si>
  <si>
    <t>Manufacture,whl ethanol</t>
  </si>
  <si>
    <t>US - Aventine Renewable Energy Holdings Inc (AREH), a Dallas-based manufacturer and wholesaler of ethanol, completed its debt restructuring transaction with Creditors (CRs) in a transaction valued at USD 196. 767 mil. CRs received 2.186 mil new common shares valued at USD 196.767 mil. The shares were valued based on AREHs closing stock price of USD 90 on 26 September 2012, the first full trading day post restructuring. On completion, CRs held a 92. 897% interest in the restructured AREH. The book value of the existing debt that was exchanged under the terms of the offer was USD 132 mil.</t>
  </si>
  <si>
    <t>Sirius XM Radio Inc</t>
  </si>
  <si>
    <t>Liberty Interactive Corp</t>
  </si>
  <si>
    <t>US - Liberty Interactive Corp raised its stake to 50.7% from 48%, by acquiring 2.7% stake, or 50 mil common shares, in Sirius XM Radio Inc, a New York-based owner and operator of radio stations for USD 3.145 per share, or a total value of USD 157.25 mil.</t>
  </si>
  <si>
    <t>Western Liberty Bancorp,NV</t>
  </si>
  <si>
    <t>Western Alliance Bancorp,NV</t>
  </si>
  <si>
    <t>US - Western Alliance Bancorp (Western Alliance) acquired the entire share capital of a Las Vegas-based Western Liberty Bancorp (Western Liberty), in a stock swap transaction valued at USD 54. 951 mil. Western Alliance offered 0.4341 common share per Western Liberty. Based on Western Alliance's closing stock price of USD 9.4 on 16 August 2012, the last full trading day prior to the announcement, each Western Liberty share was valued at USD 4.081. Alternatively, Western Alliance offered USD 4.02 in cash per share, or a total value of USD 54.135 mil.</t>
  </si>
  <si>
    <t>US - Aetna Inc (Aetna) acquired the entire share capital of Coventry Health Care Inc (Coventry), a Bethesda-based provider of managed healthcare services, for USD 5.695 bil. Aetna offered USD 27.3 in cash and 0.3885 common shares per Coventry share. Based on Aetna's closing stock price of USD 38.04 on 17 August 2012, the last full trading day prior to the announcement, each Coventry share was valued at USD 42.079.</t>
  </si>
  <si>
    <t>SuperMedia Inc</t>
  </si>
  <si>
    <t>Pvd multi-platform advg svcs</t>
  </si>
  <si>
    <t>Dex One Corp</t>
  </si>
  <si>
    <t>Pvd business marketing svcs</t>
  </si>
  <si>
    <t>US - Dex One Corp (DO), through its wholly-owned subsidiary, merged with SuperMedia Inc (SM), a DFW Airport-based provider of multi-platform advertising services, to form Dex Media (DM) in a stock swap transaction valued at USD 42. 606 mil. SM common shareholders received 0.4386 DM common shares and DO common shareholders received 0.2 DM common shares per share held. Based on DOs closing stock price of USD 1. 24 on 20 August 2012, the last full trading day prior to the announcement, each SM share was valued at USD 2.719. On completion, DO and SM shareholders owned 60% and 40% of DM, respectively.</t>
  </si>
  <si>
    <t>Private Bank of California</t>
  </si>
  <si>
    <t>Community bank</t>
  </si>
  <si>
    <t>US - Beach Business Bank (Beach), a wholly-owned unit of First PacTrust Bancorp Inc (FPTB), merged with Los Angeles-based The Private Bank of California, for an estimated USD 50 mil. The consideration was to consist of USD 24.75 mil and the issuance of 2.083 mil FPTB common shares valued at USD 25.25 mil. The shares were valued based on FPTB's closing stock price of USD 12. 12 on 21 August 2012, the last full trading day prior to the announcement. On completion, Beach was renamed The Private Bank of California.</t>
  </si>
  <si>
    <t>US - Health Care REIT Inc acquired the entire share capital of Sunrise Senior Living Inc, a Mclean-based owner and operator of senior care facilities, for USD 14.5 in cash per share, or a total value of USD 897.466 mil.</t>
  </si>
  <si>
    <t>Deltek Inc</t>
  </si>
  <si>
    <t>US - Thoma Bravo LLC acquired the entire capital of Deltek Inc (Deltek), a Herndon-based developer of enterprise applications software, from New Mountain Capital LLC (New Mountain) (59.5%) and other shareholders (40.5%), for USD 13 in cash per share, or a total value of USD 915.969 mil in cash, in a secondary buyout transaction. On completion, Deltek shares were delisted from the NASDAQ Stock Exchange. Originally, in July 2012, Deltek was rumored to be seeking a buyer for the company, via auction. Hellman &amp; Friedman LLC &amp; Bain Capital LLC were named as potential bidders. Previously, New Mountain acquired a 75% interest in Deltek, in a leveraged buyout transaction.</t>
  </si>
  <si>
    <t>US - Hertz Global Holdings Inc (Hertz) acquired the entire share capital of Dollar Thrifty Automotive Group Inc (Dollar Thrifty), a Tulsa-based provider of passenger car rental services, for USD 87.5 in cash per share or a total value of USD 2.568 bil. Earlier, Hertz completed its tender offer for Dollar Thrifty, by accepting 99.6% of Dollar Thrifty's common shares outstanding. The offer was conditioned upon at least a majority of Hertz's common shares being tendered. On completion, Dollar Thrifty common shares was delisted from the New York Stock Exchange.</t>
  </si>
  <si>
    <t>US - M&amp;T Bank Corp (M&amp;T), through its wholly-owned Wilmington Trust Corp unit, acquired the entire share capital of Paramus-based Hudson City Bancorp Inc (Hudson), in a stock swap transaction valued at USD 3. 811 bil. M&amp;T offered 0.08403 common share per Hudson share, subject to proration whereby 60% of the consideration was to be paid in common stock and 40% in cash. Based on M&amp;T's closing stock price of USD 85.87 on 24 August 2012, the last full trading day prior to the announcement, each Hudson share was valued at USD 7.216. This transaction is Tax-Exempt under IRC s386.</t>
  </si>
  <si>
    <t>US - International Business Machines Corp {IBM} acquired the entire share capital of Kenexa Corp, a Wayne-based developer of recruitment solutions services, for USD 46 in cash per share, or a total value of USD 1.348 bil. On completion, Kenexa shares were delisted from the New York Stock Exchange.</t>
  </si>
  <si>
    <t>TPC Group Inc</t>
  </si>
  <si>
    <t>TPC Group Inc SPV</t>
  </si>
  <si>
    <t>US - TPC Group Inc SPV (SPV), a special purpose acquisition vehicle created by First Reserve Corp (FR) and SK Capital Partners LP, acquired the entire share capital of TPC Group Inc (TPC), a Houston-based manufacturer of chemical products, for a sweetened USD 45 in cash per share, or a total value of USD 705.791 mil. Previously, SPV offered USD 40 in cash per share, or a total value of USD 627.405 mil. Originally, in August 2012, FR was rumored to be in negotiations to acquire TPC. Subsequently, Innospec Inc withdrew its plans to launch a challenging offer to acquire the entire share capital of TPC.</t>
  </si>
  <si>
    <t>SeaBright Holdings Inc</t>
  </si>
  <si>
    <t>Enstar Group Ltd</t>
  </si>
  <si>
    <t>US - Enstar Group Ltd of Bermuda, through its wholly owned AML Acquisition Corp unit, acquired the entire share capital of SeaBright Holdings Inc, a Seattle-based insurance company, for USD 11. 11 in cash per share, or a total value of USD 251.403 mil.</t>
  </si>
  <si>
    <t>NTS Realty Holdings LP</t>
  </si>
  <si>
    <t>US - An investor group comprised of JD Nichols and Brian Lavin, withdrew its agreement to acquire the remaining 38.22%, which it did not already own in NTS Realty Holdings LP (NTS), a Louisville-based real estate development firm, for a sweetened USD 7.5 in cash per NTS common share, or a total value of USD 31.721 mil. Originally, the investor group offered USD 5.25 in cash per share, or a total value of USD 22.204 mil.</t>
  </si>
  <si>
    <t>US - AMR Corp (AMR) merged with US Airways Group Inc (US Airways), a Tempe-based passenger airline company, to form a new company named American Airlines Group Inc (American Airlines), in a stock swap transaction valued at USD 3.08 bil. AMR offered 1 common share per US Airways held. On completion, AMR and US Airways held 72% and 28% in American Airlines, respectively. Originally, in January 2012, AMR was rumored to be seeking a buyer for the company. Delta Air Lines Inc, UAG, TPG Capital, and International Consolidated Airlines Group SA were named rumored bidders. This transaction is Tax-Exempt under IRC s386.</t>
  </si>
  <si>
    <t>US - Valeant Pharmaceuticals International Inc (Valeant) acquired the entire share capital of Medicis Pharmaceutical Corp (Medicis), a Scottsdale-based manufacturer of dermatological products, for USD 44 in cash per share, or a total value of 3.074 bil. Originally, in August 2011, Valeant was rumored to be planning to acquire the entire share capital of Medicis. On completion, Medicis was delisted in NYSE.</t>
  </si>
  <si>
    <t>US - Wells Fargo &amp; Co had been rumored to be planning to acquire the entire share capital of Discover Financial Services, a Riverwoods-based banking and payment services company.</t>
  </si>
  <si>
    <t>American Realty Capital Tr Inc</t>
  </si>
  <si>
    <t>Own,operate real estate ppty</t>
  </si>
  <si>
    <t>Realty Income Corp</t>
  </si>
  <si>
    <t>US - Realty Income Corp (Realty) acquired the entire share capital of American Realty Capital Trust Inc (American Realty), a New York- based owner and operator of real estate properties, in a stock swap transaction valued at a sweetened USD 3.038 bil. The consideration was to consist of USD 0.35 in cash per share, 0.2874 Realty ordinary shares per American Realty share held, and the assumption of USD 1.1 bil in liabilities. Based on Realty's closing stock price of USD 41.33 on 4 January 2013, the last full trading day prior to the amendment, each American Realty share was valued at USD 12.228. Originally, Realty offered 0. 2874 shares per American Realty share including the assumption of USD 1.1 bil in liabilities. On completion, the merged entity traded in the New York Stock Exchange under the symbol O.</t>
  </si>
  <si>
    <t>US - In September 2012, Merge Healthcare Inc, a Chicago- based developer of healthcare software, withdrew its announcement to seek a buyer for the company. Thoma Bravo LLC, Thomas H. Lee Partners LP and Francisco Partners were named potential bidders.</t>
  </si>
  <si>
    <t>KSW Inc</t>
  </si>
  <si>
    <t>Whl air conditioning sys,equip</t>
  </si>
  <si>
    <t>Related Cos LP</t>
  </si>
  <si>
    <t>US - Related Cos LP, through its Kool Acquisition Corp unit, acquired a 62.05% interest in KSW Inc (KSW), a Long Island City-based wholesaler of heating, ventilating and air conditioning systems and equipment, for USD 5 in cash per share, or a total value of USD 19.813 mil via its tender offer to acquire the entire share capital of KSW . The offer was conditioned upon at least 50% of KSW's shares being tendered.</t>
  </si>
  <si>
    <t>WSB Holdings Inc</t>
  </si>
  <si>
    <t>US - Old Line Bancshares Inc (Old) acquired the entire share capital of WSB Holdings Inc (WSB), a Bowie-based savings and loan bank, in a stock swap transaction valued at USD 49.097 mil. USD 48.947 mil. Old offered a choice of 0.5608 shares per WSG shares or USD 6.09 in cash per shares, subject to to proration, where by cash consideration is USD 17 mil. Based on Old's closing stock price of USD 10.95 on September 7, the last full trading day prior to the announcement, each WSB share was valued at USD 6.141.</t>
  </si>
  <si>
    <t>Mediware Information Systems</t>
  </si>
  <si>
    <t>Pvd clinical information svcs</t>
  </si>
  <si>
    <t>US - Thoma Bravo LLC, through its Project Ruby Merger Corp unit, acquired the entire share capital of Mediware Information Systems Inc (Mediware), a Lenexa-based provider of clinical information services, for USD 22 in cash per share, or a total value of USD 200.791, in a leveraged buyout transaction. On completion, Mediware was delisted in the NASDAQ stock exchange.</t>
  </si>
  <si>
    <t>Citizens Republic Bancorp Inc</t>
  </si>
  <si>
    <t>US - FirstMerit Corp (FirstMerit) acquired the entire share capital of Citizens Republic Bancorp Inc (Citizens Republic), a Flint- based bank holding company, in a stock swap transaction valued at USD 952.27 mil. FirstMerit offered 1.37 common shares per Citizens Republic share. Based on FirstMerit's closing stock of USD 17.16 on 12 September 2012, the last full trading day prior to the announcement, each Citizens Republic share was valued at USD 23.509. Upon completion, Citizens Republic was to be delisted from the NASDAQ Stock Exchange. This transaction is Tax-Exempt under IRC s386.</t>
  </si>
  <si>
    <t>US - In September 2012, Staples Inc, a Framingham- based retailer of office supplies, was rumored to be seeking a buyer the company. Bain Capital was named potential bidder. The Current status of this deal is unknown.</t>
  </si>
  <si>
    <t>Complete Genomics Inc</t>
  </si>
  <si>
    <t>BGI</t>
  </si>
  <si>
    <t>US - Beijing Genomics Institute {BGI} of China, through its wholly-owned Beta Acquisition Corp unit, completed its tender offer to acquire the entire share capital of Complete Genomics Inc (Complete), a Mountain View-based biotechnology company, for USD 3.15 in cash per share, or a total value of USD 108.024 mil. The offer was conditioned upon at least majority of Complete's shares being tendered. Subsequently, Illumina Inc withdrew its unsolicited challenging offer to acquire Complete for USD 113.813 mil in cash.</t>
  </si>
  <si>
    <t>IRIS International Inc</t>
  </si>
  <si>
    <t>US - Danaher Corp completed its tender offer to acquire the entire share capital of IRIS International Inc (IRIS), a Chatsworth-based manufacturer of in vitro diagnostic and other medical imaging systems, for USD 19.5 in cash per share, or a total value of USD 370.992 mil. The offer was conditioned upon at least a majority of IRIS' shares being tendered. On completion, IRIS will become a part of Beckman Coulter Inc.</t>
  </si>
  <si>
    <t>Duty &amp; Service LLC</t>
  </si>
  <si>
    <t>US - Duty &amp; Service LLC, a new company formed by David Collins, CEO of Learning Tree International Inc, and his wife Mary Collins, for the purpose of making an acquisition, withdrew its plans to launch a tender offer to acquire the remaining 68.158% interest, or 8.98 mil common shares, which it did not already own, in Learning Tree International Inc, a Reston- based provider of computer education services, for USD 5. 25 in cash per share, or a total value of USD 47.145 mil, in a leveraged buyout transaction. The offer was conditioned upon at least a majority of Learning's shares being tendered.</t>
  </si>
  <si>
    <t>ProPhase Labs Inc</t>
  </si>
  <si>
    <t>Mnfr,whl healthcare pharm</t>
  </si>
  <si>
    <t>US - Matrixx Initiatives Inc (Matrixx) withdrew its plans to launch an unsolicited tender offer to acquire the entire share capital of ProPhase Labs Inc, a Doylestown-based manufacturer and wholesaler of healthcare pharmaceuticals, for a sweetened USD 1.6 in cash per share or a total value of USD 23.738 mil. Originally, Matrixx offered USD 1.4 in cash per share.</t>
  </si>
  <si>
    <t>Patriot State Bank,NC</t>
  </si>
  <si>
    <t>CapStone Bank,Raleigh,NC</t>
  </si>
  <si>
    <t>US - CapStone Bank (CapStone) merged with Patriot State Bank (Patriot), a Fuquay- Varina-based commercial bank, for a choice of USD 11.384 mil in cash or an exchange rate of 0.8 CapStone stock for every Patriot common share in a stock swap transaction or CapStone stock and cash for every Patriot common share.</t>
  </si>
  <si>
    <t>ECB Bancorp Inc,Engelhard,NC</t>
  </si>
  <si>
    <t>Crescent Financial Bancshares</t>
  </si>
  <si>
    <t>US - Crescent Financial Bancshares Inc (Crescent), a unit of the Piedmont Community Bank Group Inc subsidiary of State Bank Financial Corps State Bank &amp; Trust Co, merged with ECB Bancorp Inc (ECB), an Engelhard-based bank holding company, in a stock swap transaction valued at USD 53. 425 mil. Crescent offered 3. 55 common shares per ECB share. Based on Crescent's closing stock price of USD 5. 28 on 24 September 2012, the last full trading day prior to the announcement, each ECB share was valued at USD 18. 744.</t>
  </si>
  <si>
    <t>Union Drilling Inc</t>
  </si>
  <si>
    <t>Pvd contract land drilling svc</t>
  </si>
  <si>
    <t>Sidewinder Drilling Inc</t>
  </si>
  <si>
    <t>Pvd land drilling services</t>
  </si>
  <si>
    <t>US - Sidewinder Drilling Inc (Sidewinder), a unit of Avista Capital Holdings LP, through its Fastball Acquisition Inc subsidiary, acquired the entire share capital of Union Drilling Inc (Union), a Fort Worth-based provider of contract land drilling services, for USD 6. 5 in cash per share, or a total value of USD 139.352 mil. Earlier, Sidewinder completed its tender offer for Union by accepting 16.406 mil shares, or 76.67% of Union's common share outstanding. The offer was conditioned upon at least 67. 2% of Union shares being tendered. On completion, Union was delisted in NASDAQ.</t>
  </si>
  <si>
    <t>US - A management-led investor group (IG) , comprised of American Greetings Corp's (American) CEO Zev Weiss, Chairman, Morry Weiss, and President and COO Jeffrey Weiss acquired the remaining 92.05% interest, or 30.947 mil Class A common shares and 0.172 mil Class B common shares, which it did not already own, in American, a Cleveland-based publisher of greeting cards gift wrappers, party goods, candles, stationery, calendars, educational products, ornaments and electronic greeting cards, for a thrice sweetened USD 19 cash per share, or a total value of USD 591.245 mil. Previously, IG offered USD 18. 2 in cash and USD 0.15 cash dividend, or a total value of USD 571.018 mil, including undisclosed amount in liabilities, via tender offer, in a leveraged buyout transaction. Previously, IG offered a sweetened USD 17.5 in cash per share, or a total value of USD 554.568 mil. Originally, IG offered USD 17. 18 in cash per share, or a total value of USD 534.61 mil. Upon completion, American was to be delisted in the New York Stock Exchange.</t>
  </si>
  <si>
    <t>First Investors Financial Svcs</t>
  </si>
  <si>
    <t>Pvd automobile financing svcs</t>
  </si>
  <si>
    <t>FIFS Holdings Corp</t>
  </si>
  <si>
    <t>US - FIFS Holdings Corp, a unit of Aquiline Capital Partners LLC, acquired the entire share capital of First Investors Financial Services Group Inc, a Houston-based provider of automobile financing services, for USD 13.87 in cash per share, or a total value of USD 81.989 mil.</t>
  </si>
  <si>
    <t>US - Columbia Banking System Inc (CBS) acquired the entire share capital of Lake Oswego- based West Coast Bancorp (West), for an estimated USD 505.96 mil. CBS offered a choice of cash or common shares or a combination of both cash and common shares, subject to proration whereby the consideration was paid a fixed amount of USD 264.5 mil in cash and a fixed amount of 12.81 mil common shares, valued at USD 241.46 mil. The shares were valued based on CBS' closing stock price of USD 18.85 on 25 September 2012, the last full trading day prior to the announcement. This transaction is Tax- Exempt under IRC s386.</t>
  </si>
  <si>
    <t>Markwins International Corp</t>
  </si>
  <si>
    <t>US - Markwins International Corp acquired the entire share capital of Physicians Formula Holdings Inc, an Azusa-based manufacturer and wholesaler of cosmetic products, for USD 4.9 in cash per share, or a total value of USD 67.192 mil.</t>
  </si>
  <si>
    <t>Sealy Corp</t>
  </si>
  <si>
    <t>Mnfr,whl mattresses,foundation</t>
  </si>
  <si>
    <t>Tempur-Pedic International Inc</t>
  </si>
  <si>
    <t>Mnfr,whl mattresses</t>
  </si>
  <si>
    <t>US - Tempur-Pedic International Inc acquired the entire share capital of Sealy Corp, a Trinity-based manufacturer and wholesaler of mattresses and foundation, for USD 2.2 in cash per share, or a total value of USD 1.3 bil, including the assumption of USD 1.07 bil in liabilities.</t>
  </si>
  <si>
    <t>Versant Corp</t>
  </si>
  <si>
    <t>Dvlp database mgmt software</t>
  </si>
  <si>
    <t>US - UNICOM Systems Inc, a unit of UNICOM Global, through its wholly-owned unit UNICOM Sub Four Inc, terminated its definitive agreement to acquire the entire share capital of Versant Corp (Versant), a Redwood-based developer of database management software, for USD 11.5 in cash per share, or a total value of USD 31.359 mil. Upon completion, Versant was to be delisted in the NASDAQ Stock exchange.</t>
  </si>
  <si>
    <t>Allscripts Healthcare Sol Inc</t>
  </si>
  <si>
    <t>Develop clinical software</t>
  </si>
  <si>
    <t>US - In September 2012, Allscripts Healthcare Solutions Inc, a Chicago- based developer of clinical software, was rumored to be seeking a buyer for itself. Carlyle Group LP, Blackstone Group LP and TPG Capital LLP were rumored potential bidders. The Current status of this deal is unknown.</t>
  </si>
  <si>
    <t>Ceradyne Inc</t>
  </si>
  <si>
    <t>Mnfr,whl advanced ceramic prod</t>
  </si>
  <si>
    <t>US - 3M Co (3M), through its wholly-owned subsidiary Cyborg Acquisition Corp, acquired the entire share capital of Ceradyne Inc (Ceradyne), a Costa Mesa- based manufacturer and wholesaler of advanced ceramic products, for USD 35 in cash per share, or a total value USD 851.981 mil. Earlier, 3M completed its tender offer to Ceradyne by accepting 21.093 mil shares, or 87.161% of Ceradyne's outstanding stock.</t>
  </si>
  <si>
    <t>US - Sprint Nextel Corp was rumored to be planning to acquire the entire share capital of MetroPCS Communications Inc, a Dallas- based provider of wireless telecommunications services. Terms were not disclosed but, according to sources close to the situation, the deal was valued at an estimated USD 8 bil. The Current status of this deal is unknown. This transaction is Tax-Exempt under IRC s386.</t>
  </si>
  <si>
    <t>US - NBT Bancorp Inc (NBT) merged with Alliance Financial Corp (Alliance), a Syracuse-based bank holding company, in a stock swap transaction valued at USD 230. 790 mil. NBT offered 2.1779 common share per Alliance share. Based on NBT's closing stock price of USD 22.15 on 5 October 2012, the last full trading day prior to the announcement, each Alliance share was valued at USD 48.24. This transaction is Tax- Exempt under IRC s386.</t>
  </si>
  <si>
    <t>Innospec Inc</t>
  </si>
  <si>
    <t>US - Innospec Inc withdrew its plans to launch a challenging offer to acquire the entire share capital of TPC Group Inc (TPC), a Houston-based manufacturer of chemical products, for a sweetened USD 47.5 in cash per share, or a total value of USD 744.984 mil. Originally, Innospec offered USD 46 in cash per share, or a total value of USD 721.468 mil. Previously, TPC Group Inc SPV, a special purpose acquisition vehicle created by First Reserve Corp and SK Capital Partners LP, acquired the entire share capital of TPC.</t>
  </si>
  <si>
    <t>Icahn Enterprises Holdings LP</t>
  </si>
  <si>
    <t>US - Icahn Enterprises Holdings LP, a unit of Icahn Enterprises LP withdrew its plans to launch an unsolicited tender offer to acquire the remaining 90% interest, or 82.484 mil common shares, which it did not already own, in Oshkosh Corp, an Oshkosh-based manufacturer of heavy-duty trucks, for USD 32.5 in cash per share, or a total value of USD 2.689 bil.</t>
  </si>
  <si>
    <t>LFP Broadcasting LLC</t>
  </si>
  <si>
    <t>US - LFP Broadcasting LLC (LFP), through its wholly- owned subsidiary Flynt Broadcast Inc, acquired the entire outstanding common stock of New Frontier Media Inc (New), a Boulder-based provider of adult entertainment services, for an amended USD 2.02 and up to USD 0.04 contingent payment in cash per share, or an estimated total value of USD 33.352 mil. Previously, LFP offered USD 2.02 in cash and up to USD 0.06 contingent payment in cash per share, or an estimated total value of USD 33.676 mil. Earlier, LFP completed its tender offer for New by accepting 14.364 mil shares, or 88.72% of News common shares outstanding. The offer was conditioned upon at least a majority of New's shares being tendered. On completion, New shares had ceased trading in NASDAQ. Previously, US - Longkloof Ltd of Jersey (Longkloof) withdrew its plans to launch a hostile tender offer to acquire the remaining 85% interest or 13.762 mil common shares, which it did not already own, in New and Manwin Holding SARL of Luxembourg withdrew its plans launch an unsolicited tender offer to acquire the entire share capital of New.</t>
  </si>
  <si>
    <t>SoftBank Corp</t>
  </si>
  <si>
    <t>US - SoftBank Corp (Softbank) of Japan, through an undisclosed wholly-owned subsidiary, acquired a 78% interest, or 2.343 bil common shares, in Sprint Nextel Corp (Sprint), an Overland Park- based provider of telecommunications and Internet services, for USD 21. 64 bil, to form a new entity named Sprint Corp. The consideration consisted of a sweetened choice between USD 7.65 in cash or one share of Sprint Corp stock, subject to proration whereby cash consideration was not to exceed USD 16.64 bil, and USD 5 bil in capital infusion. Originally, Softbank agreed to acquire a 70% interest in Sprint by offering USD 7.3 in cash or one share of Sprint Corp stock, subject to proration whereby cash consideration was not to exceed USD 12.14 bil, and USD 8 bil in capital infusion. Subsequently, DISH Network Corp (DISH), through its DISH SBS Corp subsidiary, withdrew its plans to launch an unsolicited challenging tender offer to acquire the entire share capital of Sprint. Additionally, Sprint acquired the remaining 49. 554% stake, which it did not already own, in Clearwire Corp (Clearwire). Originally, SoftBank was rumored to be planning to acquire an undisclosed majority interest in Sprint. On completion, Sprint Corp listed in the New York Stock Exchange under the symbol, S. This transaction is Tax-Exempt under IRC s386.</t>
  </si>
  <si>
    <t>US - UM Holdings Ltd, through its CYB Merger Corp wholly- owned unit, acquired the remaining 50.5% interest, which it did not already own, in CYBEX International Inc (CYBEX), a Medway-based manufacturer of fitness equipment products, for USD 2. 55 in cash per share, or a total value of USD 22.646 mil. Upon completion, CYBEX was to be delisted in the NASDAQ stock exchange.</t>
  </si>
  <si>
    <t>Cymer Inc</t>
  </si>
  <si>
    <t>Mnfr,wholesale laser systems</t>
  </si>
  <si>
    <t>ASML Holding NV</t>
  </si>
  <si>
    <t>Semiconductor Machinery Manufacturing</t>
  </si>
  <si>
    <t>US - ASML Holding NV of the Netherlands (ASML) acquired the entire share capital of Cymer Inc (Cymer), a San Diego-based manufacturer and wholesaler of laser systems, in a stock swap transaction valued at USD 2.614 bil. ASML offered USD 20 in cash and 1. 1502 ordinary shares per Cymer share. Based on ASML's closing stock price of USD 54. 12 on 16 October 2012, the last full trading day prior to the announcement, each Cymer share was valued at USD 82.249. On completion, Cymer was delisted from the Nasdaq stock exchange. This transaction is Tax-Exempt under IRC s386.</t>
  </si>
  <si>
    <t>US - Orchard Supply Hardware Stores Corp, a San Jose-based owner and operators of home improvement centers, planned to a debt restructuring transaction with Creditors (CRs). The book value of the existing debt that will be exchanged under the terms of the offer is USD 230 mil.</t>
  </si>
  <si>
    <t>Satcon Technology Corp</t>
  </si>
  <si>
    <t>Mnfr power conversion products</t>
  </si>
  <si>
    <t>US - Satcon Technology Corp, a Boston-based manufacturer of power conversion, planned a debt restructuring transaction with creditors.</t>
  </si>
  <si>
    <t>Clearwire Corp</t>
  </si>
  <si>
    <t>Provide wireless internet svcs</t>
  </si>
  <si>
    <t>US - Sprint Nextel Corp raised its interest to 54.34% from 48.338%, by acquiring a further 6.002% stake, or 30. 923 mil Class A common shares and 2.728 mil Class B common shares, in Clearwire Corp, a Bellevue-based provides wireless high-speed internet services, for USD 2 in cash per Class A common share and USD 13.984 in cash per Class B common share, or a total value of USD 100 mil, from Eagle River Holdings LLC.</t>
  </si>
  <si>
    <t>US - In October 2012, Juniper Networks Inc, a Sunnyvale- based manufacturer of internet infrastructure management equipment and related products, discontinued rumors that it was seeking a buyer for the company. EMC Corp was rumored potential bidder.</t>
  </si>
  <si>
    <t>Luzerne National Bank Corp</t>
  </si>
  <si>
    <t>Penns Woods Bancorp Inc,PA</t>
  </si>
  <si>
    <t>US - Penns Woods Bancorp Inc (PW) acquired the entire share capital of Luzerne- based Luzerne National Bank Corp (LN), in a stock swap transaction valued at USD 46. 675 mil. PW offered a choice of 1.5534 common shares or USD 61.68 in cash per share or a combination of cash or common share. The shares were valued based on PW's closing stock price of USD 44.26 on 17 October 2012, the last full trading day prior to the announcement, each LN common share was valued at USD 68. 753.</t>
  </si>
  <si>
    <t>Ancestry.com Inc</t>
  </si>
  <si>
    <t>Global Generations Intl Inc</t>
  </si>
  <si>
    <t>US - An investor group, comprised of Global Generations International Inc, a unit of Permira Advisers LLP of the UK, and including Ancestry.com Inc's (Ancestry. com) management, acquired the entire share capital of Ancestry.com, a Provo-based provider of information retrieval services, from Spectrum Equity Investors LP (Spectrum), for USD 32 in cash per share, or a total value of USD 1.499 bil, in a secondary leveraged buyout transaction. Previously, Spectrum acquired an undisclosed majority interest in Ancestry.com, in a secondary buyout transaction. Originally, in June 2012, Spectrum was rumored to be seeking a buyer for its Ancestry.com unit. Permira Advisers LLP, Providence Equity Partners Inc and TPG Capital LP were named rumored bidders.</t>
  </si>
  <si>
    <t>Annapolis Bancorp Inc</t>
  </si>
  <si>
    <t>US - FNB Corp (FNB) merged with Annapolis Bancorp Inc (Annapolis), an Annapolis- based commercial bank holding company, in a stock swap transaction valued at USD 48. 073 mil. Annapolis common shareholders were to receive 1.143 FNB common shares. Based on FNB's closing stock price of USD 10.58 on October 19, the last full trading day prior to the announcement, each Annapolis share was valued at USD 12.093. Upon completion, BankAnnapolis was to merge into FNB Bank.</t>
  </si>
  <si>
    <t>Toyota Industries Corp</t>
  </si>
  <si>
    <t>Mnfr,whl textile mach,auto</t>
  </si>
  <si>
    <t>US - Toyota Industries Corp of Japan completed its tender offer to acquire the entire share capital of Cascade Corp (Cascade), a Fairview-based manufacturer of material handling equipment, for USD 65 in cash per share, or a total value of USD 760.218 mil. The offer was conditioned upon at least a majority of Cascade's shares being tendered on a fully- diluted basis.</t>
  </si>
  <si>
    <t>Evergreen Group Ventures LLC</t>
  </si>
  <si>
    <t>US - Evergreen Group Ventures LLC withdrew its definitive agreement to acquire the entire share capital of Heelys Inc, a Carrollton- based manufacturer and wholesaler of athletic shoes, for USD 13.9 mil in cash, plus the assumption of an undisclosed amount in liabilities, in a leveraged buyout transaction.</t>
  </si>
  <si>
    <t>PolyOne Corp</t>
  </si>
  <si>
    <t>Mnfr,whl polymer products</t>
  </si>
  <si>
    <t>US - PolyOne Corp (PolyOne) acquired the entire share capital of Spartech Corp (Spartech), a Clayton-based manufacturer and wholesaler of thermoplastic materials and polymeric compounds, in a stock swap transaction valued at USD 389.712 mil, including the assumption of USD 142 mil in liabilities. PolyOne offered 2.67 in cash per share and 0.3167 common shares per Spartech share. Based on PolyOne's closing stock price of USD 16.84 on 23 October 2012, the last full trading day prior to the announcement, each Spartech was valued at USD 8.003. This transaction is Tax-Exempt under IRC s386.</t>
  </si>
  <si>
    <t>US - General Electric Co (GE) was rumored to be planning to acquire the entire share capital of Paramus-based Hudson City Bancorp Inc. The Current status of this deal is unknown.</t>
  </si>
  <si>
    <t>US - McKesson Corp acquired the entire share capital of PSS World Medical Inc, a Jacksonville-based wholesaler of medical equipment, supplies and pharmaceuticals, for USD 29 in cash per share, or a total value of USD 1.459 bil and the assumption of an undisclosed amount in liabilities.</t>
  </si>
  <si>
    <t>MOD-PAC Corp</t>
  </si>
  <si>
    <t>Mnfr paperboard products</t>
  </si>
  <si>
    <t>Rosalia Capital LLC</t>
  </si>
  <si>
    <t>US - Rosalia Capital LLC, a special purpose acquisition vehicle formed by MOD-PAC Corp's (MPC) Director, President and CEO Daniel Keane and Chairman of the Board Kevin Keane (management) acquired the remaining 75. 39% interest, or 2.144 mil common shares and 0.275 mil common B shares, which it did not already own, in MPC, a Buffalo-based manufacturer of paperboard packaging products, for a twicw sweetened USD 9. 25 per share, or a total value of USD 24.421 mil, in a management buyout transaction. Previously, MPC a sweetened USD 8.4 per share, or a total value of USD 22.365 mil, in a management buyout transaction. Originally, the management offered USD 7.2 per share or a total value of USD 17.418 mil.</t>
  </si>
  <si>
    <t>OPNET Technologies Inc</t>
  </si>
  <si>
    <t>Pvd network mgmt software svcs</t>
  </si>
  <si>
    <t>Riverbed Technology Inc</t>
  </si>
  <si>
    <t>Mnfr steelhead,cloud products</t>
  </si>
  <si>
    <t>US - Riverbed Technology Inc (Riverbed) completed its tender offer to acquire the entire share capital of OPNET Technologies Inc (OPNET), a Bethesda-based developer of network management software, for USD 36.55 in cash and 0. 2774 Riverbed common share per OPNET share, or a total value of USD 1.016 bil. Based on Riverbed's closing stock price of USD 22.62 on 26 October 2012, the last full trading day prior to the announcement, each OPNET share was valued at USD 6.275. The offer was conditioned upon at least a majority of Riverbed's shares being tendered.</t>
  </si>
  <si>
    <t>Pearl Merger Sub Corp</t>
  </si>
  <si>
    <t>US - Pearl Merger Sub Corp, a wholly owned unit of SKBHC Holdings LLC's Starbuck Bancshares Inc subsidiary, merged with an Oregon-based PremierWest Bancorp, for USD 1.65 cash per share or a total value of USD 16.557 mil. On completion, PremierWest was delisted on NASDAQ.</t>
  </si>
  <si>
    <t>Schiff Nutrition Intl Inc</t>
  </si>
  <si>
    <t>Bayer HealthCare LLC</t>
  </si>
  <si>
    <t>US - Bayer Healthcare LLC, a majority-owned unit of Bayer AG's majority-owned Bayer Healthcare AG subsidiary, withdrew its agreement to merge with Schiff Nutrition International Inc, a Salt Lake City-based manufacturer and wholesaler of pharmaceuticals, for USD 34 in cash per share, or a total value of USD 1.062 bil. Subsequently, Reckitt Benckiser Group PLC of UK completed its challenging tender offer to acquire the entire share capital of Schiff Nutrition International Inc.</t>
  </si>
  <si>
    <t>Mnfr,whl men's,women's apparel</t>
  </si>
  <si>
    <t>PVH Corp</t>
  </si>
  <si>
    <t>Manufacture, wholesale apparel, footwear</t>
  </si>
  <si>
    <t>US - PVH Corp (PVH) acquired the entire share capital of Warnaco Group Inc (Warnaco), a New York-based manufacturer and wholesaler of men and women's intimate apparel, for USD 2.796 bil. PVH offered USD 51.75 in cash and 0.1822 common share per Warnaco share. Based on PVH's closing stock price of USD 91.5 on 30 October 2012, the last full trading day prior to the announcement, each Warnaco share was valued at USD 68.42.</t>
  </si>
  <si>
    <t>RedPrairie Corp</t>
  </si>
  <si>
    <t>Dvlp logistics mgmt software</t>
  </si>
  <si>
    <t>US - RedPrairie Corp, a unit of Francisco Partners Management LLC, acquired the entire share capital of JDA Software Group Inc (JDA), a Scottsdale-based developer of enterprise software, for USD 45 in cash per share, or a total value of USD 1.935 bil. Earlier, RedPrairie completed its tender offer to acquire by accepting 39.516 mil shares, or 92% of JDA's common shares outstanding. The offer was conditioned upon at least 79% of JDA's shares being tendered on a fully-diluted basis. Originally, in October 2012, JDA was rumored to be seeking a buyer for the company. On completion, JDA shares were delisted in NASDAQ Global Market.</t>
  </si>
  <si>
    <t>Williams Controls Inc</t>
  </si>
  <si>
    <t>US - Curtiss-Wright Corp acquired the entire common share capital of Williams Controls Inc (WC), a Portland- based manufacturer of motor vehicle parts, from Dolphin Direct Equity Partners LP, a unit of Dolphin Offshore Partners LP, and other shareholders, via a tender offer for USD 15.42 in cash per share, or a total value of USD 119.334 mil.</t>
  </si>
  <si>
    <t>Advance Auto Parts Inc</t>
  </si>
  <si>
    <t>US - In November 2012, Advance Auto Parts Inc, a Roanoke-based owner and operator of auto supply store, was rumored to be seeking a buyer for the company. The Current status of this deal is unknown.</t>
  </si>
  <si>
    <t>KBW Inc</t>
  </si>
  <si>
    <t>US - Stifel Financial Corp (Stifel) merged with KBW Inc (KBW), a New York-based investment bank, for USD 10 in cash and USD 7.5 in Stifel common share per KBW share, or a total value of USD 606. 268 mil. This transaction is Tax-Exempt under IRC s386.</t>
  </si>
  <si>
    <t>Metro Health Networks Inc</t>
  </si>
  <si>
    <t>US - Humana Inc (Humana) acquired the entire share capital of Metropolitan Health Networks Inc, a Boca Raton-based provider of medical group practice services, for USD 11.25 in cash per share, or a total value of USD 533.679 mil and the assumption of an undisclosed amount in liabilities. Concurrently, Humana acquired Certify Data Systems Inc and an undisclosed majority interest in MCCI Group Holdings LLC.</t>
  </si>
  <si>
    <t>Mnfr processor architectures</t>
  </si>
  <si>
    <t>Imagination Tech Grp PLC</t>
  </si>
  <si>
    <t>Manufacture multimedia products</t>
  </si>
  <si>
    <t>US - Imagination Technologies Group PLC (Imagination) of the UK definitively acquired the entire share capital of MIPS Technologies Inc (MIPS), a Sunnyvale-based manufacturer of processor architectures, for a twice sweetened USD 100 mil in cash. Previously, Imagination offered sweetened USD 80 mil in cash. Originally, Imagination offered USD 60 mil in cash. Originally, in April 2012, MIPS was rumored to be seeking a buyer for the company. Subsequently, CEVA Inc made an unsolicited challenging offer to acquire MIPS for USD 75 mil in cash. On completion, MIPS was delisted in the NASDAQ Stock Exchange.</t>
  </si>
  <si>
    <t>Bonal International Inc</t>
  </si>
  <si>
    <t>Mnfr,whl welding equipment</t>
  </si>
  <si>
    <t>DePierre Mgmt &amp; Mnfr LLP</t>
  </si>
  <si>
    <t>US - DePierre Management &amp; Manufacturing LLC withdrew its Letter of Intent {LoI} to merge with Bonal International Inc, a Royal Oak-based manufacturer and wholesaler of welding equipment.</t>
  </si>
  <si>
    <t>Mnfr toys,games,infant product</t>
  </si>
  <si>
    <t>US - Walt Disney Co was rumored to be planning to acquire the entire share capital of Hasbro Inc, Pawtucket-based manufacturer of games, toys and infant products. The Current status of this deal is unknown.</t>
  </si>
  <si>
    <t>DUSA Pharmaceuticals Inc</t>
  </si>
  <si>
    <t>US - Sun Pharmaceutical Industries Ltd (Sun) of India, through an undisclosed wholly-owned subsidiary, acquired the entire share capital of DUSA Pharmaceuticals Inc (DUSA), a Wilmington-based biopharmaceutical company, for USD 8 in cash per share, or a total value of USD 212. 472 mil. The offer was conditioned upon at least a majority of DUSA's shares being tendered. Earlier, Sun completed its tender offer for DUSA by accepting 20.947 mil shares, or 83.78% of DUSA's common shares outstanding. On completion, DUSA was delisted in The Nasdaq Global Market.</t>
  </si>
  <si>
    <t>US - Hallwood Financial Ltd, a unit of Hallwood Trust, acquired the remaining 34.33% interest, or 0.523 mil common shares, which it did not already own, in The Hallwood Group Inc, a Dallas-based holding company, for a sweetened USD 12.39 in cash per share, or a total value of USD 6.48 mil. Originally, Hallwood Financial Ltd, a unit of Hallwood Trust, acquired the remaining 34.33% interest, or 0.523 mil common shares, which it did not already own, in The Hallwood Group Inc, for USD 10 cash per share, or a total value of USD 5.236 mil.</t>
  </si>
  <si>
    <t>KAYAK Software Corp</t>
  </si>
  <si>
    <t>Pvd online travel info svc</t>
  </si>
  <si>
    <t>The Priceline Group Inc</t>
  </si>
  <si>
    <t>Provider of travel and restaurant reservation and related services</t>
  </si>
  <si>
    <t>US - Priceline.com Inc acquired the entire Class A and Class B share capital of Kayak Software Corp, a Norwalk-based provider of online travel information services, for USD 40 per share, or a total value of USD 1.806 bil. Priceline.com Inc offered a choice between cash or common stock, subject to proration whereby the consideration was to consist of one-third cash and two- thirds in Priceline stock, subject to a collar agreement. This transaction is Tax- Exempt under IRC s386.</t>
  </si>
  <si>
    <t>US - Statoil ASA of Norway was rumored to be planning to acquire the entire share capital of Whiting Petroleum Corp, a Denver-based oil and gas exploration and production company. The Current status of this deal is unknown.</t>
  </si>
  <si>
    <t>US - Precision Castparts Corp, through its wholly-owned ELIT Acquisition Sub Corp unit, acquired a 90.4% interest or 158.232 mil shares in Titanium Metals Corp (Titanium), a Dallas- based manufacturer of titanium, iron and steel castings and forgings metal products, from Contran Corp (29.5%) and other shareholders (70.5%), for USD 16.5 in cash per share, or a total value of USD 2.61 bil via tender offer. The offer was conditioned upon at least majority of shares being tendered.</t>
  </si>
  <si>
    <t>Annaly Capital Management Inc</t>
  </si>
  <si>
    <t>US - Annaly Capital Management Inc (AM) completed its tender offer to acquire the remaining 87.57% interest, or 67.103 mil common shares, which it did not already own, in CreXus Investment Corp (CreXus), a New York-based real estate investment trust, for a sweetened USD 13 in cash and USD 0.052 cash dividend per share, or a total value of USD 875.825 mil. Originally, AM offered USD 12.5 in cash per share, or a total value of USD 838. 784 mil. The offer was conditioned upon at least 51% of CreXus' shares being tendered.</t>
  </si>
  <si>
    <t>US - Leucadia National Corp (Leucadia) acquired the remaining 71.4% interest, or 145.031 mil common shares, which it did not already own, in, Jefferies Group Inc (Jefferies), a New York-based provider of investment banking services, in a stock swap valued at USD 2.561 bil. Leucadia offered 0.81 common share per Jefferies share. Based on Leucadia's closing stock price of USD 21.8 on 9 November 2012, the last full trading day prior to the announcement, each Jefferies share was valued at USD 17. 658. This transaction is Tax- Exempt under IRC s386.</t>
  </si>
  <si>
    <t>US - Overseas Shipholding Group Inc (OSG), a New York- based provider of energy transportation services, completed its debt restructuring transaction with creditors (CRs). CRs received cash, debt or reinstated loan along with stock. On completion, CRs held an undisclosed interest in the restructured OSG. The book value of the existing debt that was exchanged under the terms of the offer was USD 2.67 bil.</t>
  </si>
  <si>
    <t>Teavana Holdings Inc</t>
  </si>
  <si>
    <t>Ret teawares,tea-related prod</t>
  </si>
  <si>
    <t>US - Starbucks Corp merged with Teavana Holdings Inc, an Atlanta-based retailer of teawares and tea-related products, for USD 15.5 cash per share or a total value of USD 617.547 mil.</t>
  </si>
  <si>
    <t>US - Reckitt Benckiser Group PLC (Reckitt) of the UK acquired the entire share capital of Schiff Nutrition International Inc (Schiff), a Salt Lake City-based manufacturer and wholesaler of pharmaceuticals, for USD 42 in cash per share, or a total value of USD 1.318 bil. The offer was conditioned upon at least a majority of Schiff's shares being tendered. Earlier, Reckitt completed its tender offer for Schiff by accepting 28. 745 mil shares, or 98.118% of Schiff's common shares outstanding. On completion, Schiff shares were delisted from the New York Stock Exchange. Previously, Bayer Healthcare LLC withdrew its agreement to merge with Schiff.</t>
  </si>
  <si>
    <t>VIVUS Inc</t>
  </si>
  <si>
    <t>US - In November 2012, Vivus Inc, a Mountain View-based biopharmaceutical company, was rumored to be seeking a buyer for the company.</t>
  </si>
  <si>
    <t>White River Capital Inc</t>
  </si>
  <si>
    <t>Coastal Credit Merger Sub Inc</t>
  </si>
  <si>
    <t>US - Coastal Credit Merger Sub Inc, a wholly-owned unit of Parthenon Capital Partners' Coastal Credit Holdings Inc (Coastal Credit) subsidiary, acquired the entire share capital of White River Capital Inc (White River), a Rancho Santa Fe- based provider of automobile financing services, for USD 21.93 in cash per share or a total value of USD 77.738 mil. The transaction was to include Coastal Credit LLC. On completion, White River became a wholly-owned subsidiary of Coastal Credit and was delisted from the NYSE MKT.</t>
  </si>
  <si>
    <t>US - Illumina Inc withdrew its plan to launch an unsolicited tender offer to acquire the entire share capital of Complete Genomics Inc (Complete), a Mountain View-based biotechnology company, for USD 3.3 in cash per share, or a total value of USD 113.813 mil. Subsequently, Beijing Genomics Institute {BGI} of China acquired Complete.</t>
  </si>
  <si>
    <t>Outdoor Channel Holdings Inc</t>
  </si>
  <si>
    <t>InterMedia Outdoors Holdings</t>
  </si>
  <si>
    <t>Media holding company</t>
  </si>
  <si>
    <t>US - InterMedia Outdoors Holdings Inc (IO), a unit of InterMedia Partners LP's InterMedia Partners VII LP subsidiary, withdrew its definitive agreement to merge with Outdoor Channel Holdings Inc (OC), a Temecula-based provider of cable TV services, for a sweetened USD 9.15 per share, or a total value of USD 237.379 mil. Originally IO offered USD 8 in cash per share, or a total value of USD 207.545 mil. Alternatively, IO offered 1stock per OC share. Upon completion, the merged entity was to be named InterMedia Outdoors Holdings Inc. Subsequently, Kroenke Sports &amp; Entertainment LLC completed its challenging tender offer to acquire the entire share capital of IO. This transaction is Tax-Exempt under IRC s386.</t>
  </si>
  <si>
    <t>BioMimetic Therapeutics Inc</t>
  </si>
  <si>
    <t>Biotech company</t>
  </si>
  <si>
    <t>Wright Medical Group Inc</t>
  </si>
  <si>
    <t>Surgical Appliance and Supplies Manufacturing</t>
  </si>
  <si>
    <t>US - Wright Medical Group Inc (Wright), a unit of Warburg Pincus LLC's Warburg Pincus Equity Partners LP subsidiary, merged with BioMimetic Therapeutics Inc (BTI), a Franklin-based biotechnology company, for an estimated USD 369.681 mil. Wright offered USD 1.5 cash, 0.2482 common shares, and USD 6.5 in Contingent Value Right per BTI share. Based on Wright's closing stock price of USD 20. 01 on 16 November 2012, last full trading day prior to the announcement, each BTI share was valued at USD 12.966. This transaction is Tax- Exempt under IRC s386.</t>
  </si>
  <si>
    <t>MEMSIC Inc</t>
  </si>
  <si>
    <t>Mnfr semiconductor system</t>
  </si>
  <si>
    <t>IDG-Accel China Growth Fund</t>
  </si>
  <si>
    <t>US - IDG-Accel China Growth Fund II LP (IDG) of Hong Kong acquired the remaining 80. 474% interest, or 19.474 mil commons shares, in MEMSIC Inc (MEMSIC), an Andover-based manufacturer of semiconductor sensor and system products, for a sweetened USD 4.225 in cash per share, or a total value of USD 82.279 mil in cash, in a leveraged buyout transaction. On completion, MEMSIC common shares will be delisted in the NASDAQ Stock Exchange. Originally, IDG offered USD 4 in cash per share.</t>
  </si>
  <si>
    <t>CEVA Inc</t>
  </si>
  <si>
    <t>Provide DSP licensing services</t>
  </si>
  <si>
    <t>US - CEVA Inc withdrew its challenging unsolicited tender offer to acquire the entire share capital of MIPS Technologies Inc (MIPS), a Sunnyvale-based manufacturer of processor architectures and cores for digital home, networking and mobile applications for a sweetened USD 90 mil. Originally CEVA offered USD 75 mil in cash. Previously, Imagination Technologies Group PLC of the UK acquired the entire share capital of MIPS.</t>
  </si>
  <si>
    <t>US - Actian Corp acquired the entire share capital of Versant Corp, a Redwood City- based developer of database management software, for USD 13 in cash per share, or a total value of USD 36.1 mil. On completion, Versant was delisted in the NASDAQ Stock Exchange.</t>
  </si>
  <si>
    <t>KIT digital Inc</t>
  </si>
  <si>
    <t>Pvd IP-based video services</t>
  </si>
  <si>
    <t>Kaleil Isaza Tuzman</t>
  </si>
  <si>
    <t>US - Kaleil Isaza Tuzman, backed by two undisclosed private equity firms, planned to launch a tender offer to acquire the entire share capital of KIT Digital Inc (KIT), a New York-based provider of IP-based video services, for a twice amended USD 1 per share, or a total value of USD 57.097 mil. Previously, Mr. Tuzman offered an estimated amended USD 1.7 per share, or a total value of USD 97.065 mil. Previously, Mr. Tuzman offered USD 3.75 per share or a total value of USD 214.115 mil. Originally, in June 2012, KIT announced that it was seeking a buyer for the company.</t>
  </si>
  <si>
    <t>US - ConAgra Foods Inc acquired the entire share capital of Ralcorp Holdings Inc, a St. Louis-based producer and wholesaler of cereals and snacks, for USD 90 in cash per share, or a total value of USD 4.981 bil and the assumption of an undisclosed amount in liabilities.</t>
  </si>
  <si>
    <t>GETCO Holding Co LLC</t>
  </si>
  <si>
    <t>US - GETCO Holding Co LLC (GETCO) acquired the remaining 41.974%, or 154 mil common shares, which it did not already own, in Knight Capital Group Inc (Knight), a Jersey City-based provider of brokerage services, for a sweetened USD 3.75 in cash per share, or a total value of USD 577.5 mil. Alternatively, GETCO offered 1 new common share of New Co per Knight share. Originally, GETCO offered USD 3.5 in cash per share. This transaction is Tax-Exempt under IRC s386.</t>
  </si>
  <si>
    <t>Virtu Financial LLC</t>
  </si>
  <si>
    <t>Pvd electn market trading svcs</t>
  </si>
  <si>
    <t>US - Virtu Financial LLC discontinued rumors that it was planning to acquire Knight Capital Group Inc, a Jersey City-based provider of brokerage services. Terms were not disclosed but, according to sources close to the situation, the deal was valued at an estimated USD 1 bil. The Current status of this deal is unknown. Deal was updated to Discontinued Rumor due to lack of any activity.</t>
  </si>
  <si>
    <t>Mid-Wisconsin Financial Svcs</t>
  </si>
  <si>
    <t>Nicolet Bankshares Inc</t>
  </si>
  <si>
    <t>US - Nicolet Bankshares Inc (Nicolet) acquired the entire share capital of Medford- based Mid-Wisconsin Financial Services Inc (MWF), in a stock swap transaction valued at USD 10.191 mil. Upon completion, Nicolet and MWF were to own 84% and 16% of the merged entity, respectively.</t>
  </si>
  <si>
    <t>US - Danfoss AS (Danfoss) of Denmark acquired the remaining 24.44% stake, or 11. 845 mil common shares, which it did not already own, in Sauer-Danfoss Inc (Sauer), an Ames-based manufacturer of fluid power pumps and motors, for a sweetened USD 58.5 in cash per share, or a total value of USD 692.91 mil. Originally, Danfoss offered USD 49 in cash per share, or a total value of USD 580.386 mil. Earlier, Danfoss completed its tender offer for Sauer by accepting 9.864 mil shares, or 20.36% of Sauer's common shares outstanding. The offer was conditioned upon at least a majority of the remaining 24. 44% stake of Sauer being tendered.</t>
  </si>
  <si>
    <t>Aldila Inc</t>
  </si>
  <si>
    <t>Mnfr,whl golf club shafts</t>
  </si>
  <si>
    <t>Mitsubishi Rayon America Inc</t>
  </si>
  <si>
    <t>US - Mitsubishi Rayon America Inc, a unit of Mitsubishi Chemical Holdings Corp's Mitsubishi Rayon Co Ltd subsidiary merged with Aldila Inc, a Poway-based manufacturer and wholesaler of graphite golf club shafts, for USD 4 in cash per share, or a total value of USD 21. 552 mil.</t>
  </si>
  <si>
    <t>Young Innovations Inc</t>
  </si>
  <si>
    <t>Mnfr,whl dental equipment</t>
  </si>
  <si>
    <t>US - Linden LLC acquired the entire share capital of Young Innovations Inc (Young), an Earth City-based manufacturer and wholesaler of dental equipment, for USD 39.5 in cash per share, or a total value of USD 315.116 mil, in a leveraged buyout transaction. On completion, Young was delisted in NASDAQ Stock Market LLC.</t>
  </si>
  <si>
    <t>McMoRan Exploration Co</t>
  </si>
  <si>
    <t>Copper,gold mining;holding co</t>
  </si>
  <si>
    <t>US - Freeport-McMoRan Copper &amp; Gold Inc (Freeport-McMoRan) acquired the remaining 64% interest, or 103.604 mil common shares, which it did not already own, in McMoRan Exploration Co (McMoRan Exploration), a New Orleans- based oil and gas exploration and production company, for USD 2.1 bil. Freeport-McMoRan offered USD 14.75 in cash and 1.15 units of a royalty trust per McMoRan Exploration share. Concurrently, Freeport- McMoRan acquired the entire share capital of Plains Exploration &amp; Production Co. The transaction included 31. 505% in McMoRan Exploration.</t>
  </si>
  <si>
    <t>US - Freeport-McMoRan Copper &amp; Gold Inc (Freeport-McMoRan) acquired the entire share capital of Plains Exploration &amp; Production Co (Plains Exploration), a Houston-based oil and gas exploration and production company, in a stock swap transaction valued at USD 6.45 bil. The consideration was to consist of USD 25 in cash and the issuance of 0.653 mil Freeport-McMoRan common shares. Based on Freeport- McMoRans closing stock price of USD 38.28 on 04 December 2012, the last full trading day prior to the announcement, each Plains Exploration was valued at USD 50.001. Concurrently, Freeport- McMoRan definitively agreed to acquire the remaining 57. 412% interest, which it did not already own, in McMoRan Exploration Co. This transaction is Tax-Exempt under IRC s386.</t>
  </si>
  <si>
    <t>Chocolate Candy Creations Inc</t>
  </si>
  <si>
    <t>Mnfr,whl chocolate,candy,cake</t>
  </si>
  <si>
    <t>Energy Innovative Products Inc</t>
  </si>
  <si>
    <t>Automatic Environmental Control Manufacturing For Residential, Commercial, and Appliance Use</t>
  </si>
  <si>
    <t>US - Energy Innovative Products Inc signed a Letter of Intent {LoI} to merge with Chocolate Candy Creations Inc, a Port Washington-based manufacturer and wholesaler of chocolate, candy, and cake products, in a reverse merger transaction.</t>
  </si>
  <si>
    <t>Epoch Holding Corp</t>
  </si>
  <si>
    <t>US - Toronto-Dominion Bank of Canada acquired the entire share capital of Epoch Holding Corp, a New York- based provider of investment advisory services, for USD 28 in cash per share, or a total value of USD 669.711 mil.</t>
  </si>
  <si>
    <t>Intermec Inc</t>
  </si>
  <si>
    <t>Mnfr,whl data collection sys</t>
  </si>
  <si>
    <t>US - Honeywell International Inc acquired the entire share capital of Intermec Inc, an Everett-based manufacturer and wholesaler of automated data collection systems, mobile computing systems, integrated manufacturing systems, body welding systems, assembly systems, and precision grinding, and abrasive, for USD 10 in cash per share, or a total value of USD 603.446 mil, including the assumption of an undisclosed amount in liabilities.</t>
  </si>
  <si>
    <t>Sequential Brands Group Inc</t>
  </si>
  <si>
    <t>Mnf,whl contemporary apparel</t>
  </si>
  <si>
    <t>US - Sequential Brands Group Inc merged with Heelys Inc, a Carrollton-based manufacturer and wholesaler of shoes and other athletic wear, for USD 2.25 cash per share, or a total value of USD 62.035 mil.</t>
  </si>
  <si>
    <t>Somaxon Pharmaceuticals Inc</t>
  </si>
  <si>
    <t>Pernix Therapeutics Holdings</t>
  </si>
  <si>
    <t>US - Pernix Therapeutics Holdings Inc (Pernix) acquired the entire share capital of Somaxon Pharmaceuticals Inc, a San Diego-based manufacturer of pharmaceuticals, in exchange for USD 25 mil of Pernix common shares.</t>
  </si>
  <si>
    <t>US - An investor group, including Siris Capital Group LLC, acquired the entire share capital of TNS Inc (TNS) , a Reston-based provider of data communications services, for USD 21 in cash per share, or a total value of USD 521. 457 mil, in a leveraged buyout transaction. On completion, TNS common shares were delisted in the New York Stock Exchange.</t>
  </si>
  <si>
    <t>US - Sprint Nextel Corp (Sprint) acquired the remaining 49.554% stake, or 725.956 mil Class A and Class B common shares, which it did not already own, in Clearwire Corp (Clearwire), a Bellevue- based provider of wireless high-speed internet services, for a thrice sweetened USD 5 in cash per Class A and Class B common share, or a total value of USD 3.33 bil. Earlier, Sprint offered a sweetened USD 3.4 per Class A and Class B common share, or a total value of USD 2.468 bil. Previously, Sprint offered a sweetened USD 2.97 per Class A and Class B common share, or a total value of USD 2.156 bil. Originally, Sprint offered USD 2.9 per Class A and Class B common share, or a total value of USD 2.105 bil. Concurrently, SoftBank Corp of Japan acquired a 70% interest in Sprint Nextel Corp (Sprint). The transaction was contingent upon completion of the concurrent transaction. Originally, in December 2012, Sprint was rumored to be planning to acquire the remaining 49.554% stake in Clearwire. Subsequently, DISH Network Corp withdrew its plans to launch a challenging unsolicited tender offer to acquire the entire share capital of Clearwire.</t>
  </si>
  <si>
    <t>Caribou Coffee Co Inc</t>
  </si>
  <si>
    <t>Own,operate coffee stores</t>
  </si>
  <si>
    <t>US - An investor group, comprised of JAB Beech Inc (Beech), a majority-owned unit of Joh A Benckiser GmbH, and Pine Tree Merger Sub Inc, a wholly-owned unit of Beech, completed its tender offer for the entire share capital of Caribou Coffee Co Inc (Coffee), a Minneapolis-based owner and operator of coffee stores, for USD 16 in cash per share or a total value of USD 338.356 mil. The offer was conditioned upon at least a majority of Coffee shares being tendered. Originally, in August 2011, Caribou Holding Co Ltd announced that it was seeking a buyer for its 28.8% stake or 5.973 mil common shares in Coffee.</t>
  </si>
  <si>
    <t>Elliott Management Corp</t>
  </si>
  <si>
    <t>US - Elliot Management Corp withdrew its plans to launch an unsolicited tender offer to acquire the remaining 92% interest or 196.185 mil common shares, which it did not already own in Compuware Corp, a Detroit-based developer of application software, for USD 11 per share or a total value of USD 2.192 bil.</t>
  </si>
  <si>
    <t>Geokinetics Inc</t>
  </si>
  <si>
    <t>Pvd geophysical svcs</t>
  </si>
  <si>
    <t>US - Geokinetics Inc (GI), a Houston-based provider of geophysical services, completed its debt restructuring transaction with creditors (CRs). On completion, CRs received an undisclosed majority interest in restructured GI. The book value of the existing debt that was exchanged under the terms of the offer was USD 350 mil.</t>
  </si>
  <si>
    <t>Arbitron Inc</t>
  </si>
  <si>
    <t>Pvd media,mktg research svcs</t>
  </si>
  <si>
    <t>Nielsen Holdings NV</t>
  </si>
  <si>
    <t>Pvd info,measurement svcs</t>
  </si>
  <si>
    <t>US - Nielsen Holdings NV, a majority-owned unit of Valcon Acquisition Holding (Luxembourg) Sarl, definitively acquired the entire share capital of Arbitron Inc, a provider of media and marketing research services, for USD 48 in cash per share, or a total value of USD 1.288 bil.</t>
  </si>
  <si>
    <t>US - American Railcar Industries Inc (American), a unit of Icahn Enterprises LP, withdrew its plans to acquire the remaining 90.01% interest, or 24.432 mil common shares, which it did not already own, in Greenbrier Cos Inc, a Lake Oswego-based manufacturer and wholesaler of railroad equipment and related devices, for a sweetened USD 22 in cash per share, or a total value of USD 537.511 mil. Originally, American offered USD 20 in cash per share.</t>
  </si>
  <si>
    <t>PST Capital Group Ltd</t>
  </si>
  <si>
    <t>US - PST Capital Group Ltd of the UK, planned to launch a tender offer to acquire the entire share capital of Rocky Mountain Chocolate Factory Inc, a Durango-based producer of chocolate and other confectionery products, for USD 13.5 in cash per share, or a total value of USD 82. 915 mil in cash, in a leveraged buyout transaction.</t>
  </si>
  <si>
    <t>Michael Baker Corp</t>
  </si>
  <si>
    <t>KS International LLC</t>
  </si>
  <si>
    <t>Provide mission critical svcs</t>
  </si>
  <si>
    <t>US - KS International LLC, a unit of DC Capital Partners LLC, planned to launch a tender offer to acquire the entire share capital of Michael Baker Corp, a Moon Township-based provider of engineering and consulting services, for USD 24.25 in cash per share, or a total value of USD 233.932 mil in cash, in a leveraged buyout transaction.</t>
  </si>
  <si>
    <t>Space Investors LLC</t>
  </si>
  <si>
    <t>US - Space Investors LLC, a unit of Clearlake Capital Group LP agreed to acquire the entire share capital of bankrupt THQ Inc, a Agoura Hills-based developer of entertainment software, for an estimated USD 60 mil. The consideration was to consist of USD 50 mil and USD 10 mil in notes.</t>
  </si>
  <si>
    <t>Visalia Community Bank,CA</t>
  </si>
  <si>
    <t>Cntrl Valley Cmnty Bk,Fresno</t>
  </si>
  <si>
    <t>US - Central Valley Community Bank, a unit of Central Valley Community Bancshares (CVCB), merged with Visalia- based Visalia Community Bank (Visalia), for USD 21.268 mil. The consideration was to consist of USD 11.05 mil cash plus 1.263 mil CVCB common shares valued at USD 10.218 mil. The shares were valued based on CVCB's closing stock price of USd 8.09 on 18 December 2012, the last full trading day prior to the announcement. Upon completion, Visalia was to be renamed Central Valley Community Bank.</t>
  </si>
  <si>
    <t>Eloqua Inc</t>
  </si>
  <si>
    <t>US - Oracle Corp acquired the entire share capital of Eloqua Inc, a Vienna-based developer of software, for USD 23.5 in cash per share, or a total value of USD 966. 992 mil. On completion, Eloqua shares were delisted from the NASDAQ Stock Exchange.</t>
  </si>
  <si>
    <t>US - Roche Holding AG of Switzerland discontinued its rumors to be planning to acquire Illumina Inc, a San Diego-based manufacturer and marketer of life science tools and integrated systems.</t>
  </si>
  <si>
    <t>US - Intercontinental Exchange Inc (Intercontinental) acquired the entire share capital of NYSE Euronext (NYSE), a New York-based provider of securities trading and brokerage services, to form Intercontinental Exchange Group Inc (ICE) in a stock swap transaction valued at USD 8.052 bil. NYSE shareholders received 1 ICE common share and Intercontinental common shareholders received 1 ICE common share per share held. Intercontinental offered a choice of USD 33.12 in cash or 0.2581 common shares or a combination of USD 11.27 in cash and 0.1703 common shares per NYSE share, subject to proration whereby the maximum cash consideration was to comprised of an estimated USD 2.7 bil and a maximum aggregate number of common shares was to comprised of an estimated 42.5 mil. On completion, ICE was listed in the New York Stock Exchange under the ticker ICE. This transaction is Tax-Exempt under IRC s386.</t>
  </si>
  <si>
    <t>Westway Group Inc</t>
  </si>
  <si>
    <t>Pvd bulk liquid storage svcs</t>
  </si>
  <si>
    <t>EQT Infrastructure II GP BV</t>
  </si>
  <si>
    <t>US - EQT Infrastructure II of the Netherlands, a unit of EQT Partners BV, acquired the entire share capital of Westway Group Inc (Westway), a New Orleans-based provider of bulk liquid storage and related value-added services, via tender offer for USD 6.70 in cash per share, or a total value of USD 189.104 mil, in a leverage buyout transaction. The offer was conditioned upon at least a majority of Westway's shares being tendered. On completion, Westway shares were delisted from the NASDAQ Stock Exchange.</t>
  </si>
  <si>
    <t>US - Pinnacle Entertainment Inc acquired the entire share capital of Ameristar Casinos Inc, a Las Vegas-based owner and operator of casinos and hotels, for USD 26.5 in cash per share, or a total value of USD 904.445 mil.</t>
  </si>
  <si>
    <t>FirstCity Financial Corp</t>
  </si>
  <si>
    <t>Varde Partners Inc</t>
  </si>
  <si>
    <t>US - Varde Partners Inc acquired the entire share capital of FirstCity Financial Corp, a Waco-based provider of financing services, for USD 10 in cash per share, or a total value USD 106.963 mil.</t>
  </si>
  <si>
    <t>Roebling Financial Corp Inc</t>
  </si>
  <si>
    <t>TF Financial Corp,Newtown,PA</t>
  </si>
  <si>
    <t>US - TF Financial Corp (TF) merged with Roebling Financial Corp Inc, a Roebling-based bank holding company, for USD 7.252 mil in cash and issuance of 0.304 mil TF common shares valued at USD 7.252 mil. The shares were valued based on TF's closing stock price of USD 23. 852 on December 27, the last full trading day prior to the announcement.</t>
  </si>
  <si>
    <t>Duff &amp; Phelps Corp</t>
  </si>
  <si>
    <t>Pvd finl advisory,invest svcs</t>
  </si>
  <si>
    <t>Duff &amp; Phelps Corp SPV</t>
  </si>
  <si>
    <t>US - Duff &amp; Phelps Corp SPV, a special purpose acquisition vehicle created by The Carlyle Group LP, Stone Point Capital LLC, Pictet &amp; Cie and LCF Rothschild Group of Switzerland, acquired the entire share capital of Duff &amp; Phelps Corp, a New York- based provider of financial advisory and investment services, for USD 15.55 in cash per share, or a total value of USD 660.365 mil, in a leveraged buyout transaction.</t>
  </si>
  <si>
    <t>US - Tiptree Financial Partners LP acquired the remaining 9.2% stake, or 94. 022 mil common shares, in Care Investment Trust Inc (Care), a New York-based real estate investment trust. On completion, Care was renamed Tiptree Financial Inc.</t>
  </si>
  <si>
    <t>Bassline Productions Inc</t>
  </si>
  <si>
    <t>Stage development company</t>
  </si>
  <si>
    <t>Taanen LP</t>
  </si>
  <si>
    <t>Travel agency company</t>
  </si>
  <si>
    <t>US - Taanen LP acquired a 79. 999% interest, or 20 mil common shares in Bassline Productions Inc, a Sacramento- based stage development company, for USD 52.999 mil.</t>
  </si>
  <si>
    <t>Zipcar Inc</t>
  </si>
  <si>
    <t>Provide auto sharing services</t>
  </si>
  <si>
    <t>US - Avis Budget Group Inc, through its Millennium Acquisition Sub Inc wholly- owned subsidiary, acquired the entire share capital of Zipcar Inc, a Cambridge-based provider of auto sharing services, for USD 12.25 in cash per share, or a total value of USD 512.467 mil.</t>
  </si>
  <si>
    <t>AllDigital Holdings Inc</t>
  </si>
  <si>
    <t>Ret automotive accessories</t>
  </si>
  <si>
    <t>Alta Acquisition Corp</t>
  </si>
  <si>
    <t>US - Alta Acquisition Corp, a wholly-owned unit of Broadcast International Inc (Broadcast), withdrew its agreement to merge with AllDigital Holdings Inc, an Irvine-based retailer of automotive accessories, in exchange for Broadcast common shares.</t>
  </si>
  <si>
    <t>EnergySolutions Inc</t>
  </si>
  <si>
    <t>Pvd nuclear disposal svcs</t>
  </si>
  <si>
    <t>Energy Capital Partners II LLC</t>
  </si>
  <si>
    <t>US - Energy Capital Partners II LLC (Energy Capital), a unit of Energy Capital Partners, through its wholly- owned subsidiary, acquired the entire share capital of EnergySolutions Inc, a Salt Lake City-based provider of nuclear disposal services, for a sweetened USD 4.15 in cash per share or a total value of USD 374.593 mil, in a leveraged buyout transaction. Originally Energy Capital offered USD 3. 75 in cash per share, or a total value of USD 338.487 mil.</t>
  </si>
  <si>
    <t>Epocrates Inc</t>
  </si>
  <si>
    <t>Pvd med info retrieval svcs</t>
  </si>
  <si>
    <t>athenahealth Inc</t>
  </si>
  <si>
    <t>Dvlp healthcare mgmt software</t>
  </si>
  <si>
    <t>US - athenahealth Inc acquired the entire share capital of Epocrates Inc, a San Mateo-based provider of medical information retrieval services, for USD 11.75 in cash per share, or a total value of USD 301.85 mil.</t>
  </si>
  <si>
    <t>DISH Network Corp</t>
  </si>
  <si>
    <t>US - DISH Network Corp (DISH) withdrew its unsolicited challenging tender offer to acquire the entire share capital of Clearwire Corp, a Bellevue-based provider of wireless high-speed internet services, from Sprint Nextel Corp (Sprint), for a sweetened USD 4.4 in cash per Class A and Class B common share, or a total value of USD 6.446 bil. The offer was conditioned upon at least 25% of Clearwire's shares being tendered. Originally, DISH offered USD 3.33 in cash per Class A and Class B common share, or a total value of USD 4.834 bil. Previously, Sprint definitively agreed to acquire the remaining 49.554% stake, which it did not already own, in Clearwire.</t>
  </si>
  <si>
    <t>Greektown Superholdings Inc</t>
  </si>
  <si>
    <t>Athens Acquisition LLC</t>
  </si>
  <si>
    <t>US - Athens Acquisition LLC, a unit of Rock Ventures LLC's Rock Gaming LLC, agreed to acquire an undisclosed majority interest in Greektown Superholdings Inc, a Detroit-based owner and operator of casinos.</t>
  </si>
  <si>
    <t>********</t>
  </si>
  <si>
    <t>K-Swiss Inc</t>
  </si>
  <si>
    <t>Mnfr,whl athletic footwear</t>
  </si>
  <si>
    <t>Eland World Ltd</t>
  </si>
  <si>
    <t>US - Eland World Ltd of South Korea acquired the entire share capital of K-Swiss Inc, a Westlake Village-based manufacturer and wholesaler of athletic footwear, for USD 4.75 in cash per share, or a total value of USD 169.136 mil.</t>
  </si>
  <si>
    <t>Liberty Bank,Middletown,CT</t>
  </si>
  <si>
    <t>Chartered mutual savings bank</t>
  </si>
  <si>
    <t>US - Liberty Bank acquired the entire share capital of New Haven-based Southern Connecticut Bancorp Inc, for USD 3.76 in cash per share, or a total value of USD 10. 567 mil.</t>
  </si>
  <si>
    <t>SeaCube Container Leasing Ltd</t>
  </si>
  <si>
    <t>Pvd container leasing svcs</t>
  </si>
  <si>
    <t>Ontario Teachers' Pension Plan</t>
  </si>
  <si>
    <t>Pvd pension fund management svcs</t>
  </si>
  <si>
    <t>US - Ontario Teachers' Pension Plan of Canada acquired the entire share capital of SeaCube Container Leasing Ltd, a Park Ridge- based provider of container leasing services, for USD 23 in cash per share, or a total value of USD 466.632 mil.</t>
  </si>
  <si>
    <t>MAP Pharmaceuticals Inc</t>
  </si>
  <si>
    <t>US - Allergan Inc acquired the entire share capital of MAP Pharmaceuticals Inc (MAP), a Mountain View-based manufacturer of pharmaceuticals, for USD 25 in cash per share, or a total value of USD 944.023 mil. Earlier, Allergan completed its tender offer for MAP by accepting 30.5 mil shares, or 86.43% of MAP's common shares outstanding. The offer was conditioned upon at least a majority of MAP's shares being tendered. On completion, MAP was delisted in NASDAQ.</t>
  </si>
  <si>
    <t>First National Bank,Shelby,NC</t>
  </si>
  <si>
    <t>Bank of the Ozarks Inc</t>
  </si>
  <si>
    <t>US - Bank of the Ozarks Inc (Bank of the Ozarks) acquired the entire share capital of Shelby-based First National Bank, for a sweetened estimated USD 68.5 mil Originally, Bank of the Ozarks offered an estimated USD 67.8 mil. This transaction is Tax-Exempt under IRC s386.</t>
  </si>
  <si>
    <t>Copano Energy LLC</t>
  </si>
  <si>
    <t>Pvd midstream energy svcs</t>
  </si>
  <si>
    <t>US - Kinder Morgan Energy Partners LP (Kinder) acquired the entire share capital of Copano Energy LLC (Copano), a Houston-based provider of midstream energy services, in a stock swap transaction valued at an estimated USD 5. 423 bil. Kinder offered 0. 4563 share for every CPNO share and assumed USD 1.77 bil in liabilities. Based on Kinder's closing stock price of USD 89.67 on 28 January 2013, the last full trading day prior to the announcement, each Copano share was valued at USD 40.916 per share. Upon completion, Kinder will own 100% of Eagle Ford Gathering. This transaction is Tax- Exempt under IRC s386.</t>
  </si>
  <si>
    <t>Somerset Hills Bancorp</t>
  </si>
  <si>
    <t>US - Lakeland Bancorp Inc (Lakeland) acquired the entire share capital of Somerset Hills Bancorp (Somerset), a Bernardsville- based bank holding company, in a stock swap transaction valued at USD 65.945 mil. Lakeland offered a choice of USD 12 in cash or 1.1962 common shares per Somerset share, subject to proration whereby 90% of the aggregate consideration was to comprise of common shares and the remaining 10% in cash.</t>
  </si>
  <si>
    <t>BioClinica Inc</t>
  </si>
  <si>
    <t>Pvd clinical trial mgmt svcs</t>
  </si>
  <si>
    <t>JLL Partners Fund VI LP</t>
  </si>
  <si>
    <t>US - JLL Partners Fund VI LP, a unit of JLL Partners Inc (JLL), through its wholly- owned subsidiary, acquired the entire share capital of BioClinica Inc (Bio), a Newtown-based provider of integrated, technology- enhanced clinical trial management services, for USD 7.25 in cash per share, or a total value of USD 118.18 mil, by accepting 13.913 mil shares, or 88.7% of Bio's common shares outstanding, in a leveraged buyout transaction. The offer was conditioned upon at least a majority of Bio's shares being tendered. Concurrently, JLL definitively agreed to acquire CoreLab Partners Inc. On completion, Bio was delisted in NASDAQ.</t>
  </si>
  <si>
    <t>Virginia Commerce Bancorp Inc</t>
  </si>
  <si>
    <t>US - United Bankshares Inc (United) acquired the entire share capital of Virginia Commerce Bancorp Inc (Virginia), an Arlington- based bank holding company, in a stock swap transaction valued at USD 442.089 mil. United offered 0.5442 common share for each Virginia share held. Based on United's closing stock price of USD 25. 83 on 29 January 2013, the last full trading day prior to the announcement, each Virginia share was valued at USD 14.057. In January 2013, Virginia was rumored to be seeking a buyer for the company. This transaction is Tax-Exempt under IRC s386.</t>
  </si>
  <si>
    <t>Online Resources Corp</t>
  </si>
  <si>
    <t>Pvd web,phone-based finl svcs</t>
  </si>
  <si>
    <t>US - ACI Worldwide Inc acquired the entire share capital of Online Resources Corp (OLC), a Chantilly-based provider of web and phone- based financial services, electronic payments and marketing services, via a tender offer for USD 3.85 per share or an estimated total value of USD 126.6 mil. The offer was conditioned upon at least a majority of OLC's shares being tendered.</t>
  </si>
  <si>
    <t>US - Scientific Games Corp acquired the entire share capital of WMS Industries Inc, a Waukegan-based manufacturer and wholesaler of games, video and mechanical reel-spinning gaming machines, and video lottery terminals, for USD 1. 504 bil. The consideration consisted of USD 26 in cash per share, or a total value of 1.419 bil, and the assumption of USD 85 mil in liabilities.</t>
  </si>
  <si>
    <t>CSP Inc</t>
  </si>
  <si>
    <t>North &amp; Webster LLC</t>
  </si>
  <si>
    <t>US - North &amp; Webster LLC (North) withdrew its plans to launch a tender offer to acquire the remaining 96% interest, or 3.1 common shares, of CSP Inc, a Billerica-based provider of market information technology integration solutions and services, for a sweetened USD 7 in cash per share, or a total value of USD 23.167 mil. Originally, North offered USD 5.5 in cash per share, or a total value of USD 18.203 mil.</t>
  </si>
  <si>
    <t>Otelco Inc</t>
  </si>
  <si>
    <t>US - Otelco Inc (Otelco), a Oneonta-based provider of telecommunications services, completed its debt restructuring transaction with creditors (CRs). On completion, the maturity date of senior credit facility has been extended till April 2016 and CRs received Class A representing 7.5% and USD 20 mil in cash and senior subordinated note holders received Class B common stock representing 92.5% interest in reorganized Otelco. The book value of the existing debt that was exchanged under the terms of the offer was USD 271 mil.</t>
  </si>
  <si>
    <t>Acme Packet Inc</t>
  </si>
  <si>
    <t>Mnfr computer commun equip</t>
  </si>
  <si>
    <t>US - Oracle Corp, through its OC Acquisition LLC wholly- owned subsidiary, acquired the entire share capital of Acme Packet Inc (Acme), a Bedford-based manufacturer of computer communications equipment, for USD 29.25 in cash per share or a total value of USD 2.02 bil. On completion, Acme common shares were delisted in the NASDAQ stock exchange.</t>
  </si>
  <si>
    <t>US - A management-led investor group (IG) comprised of Dell Inc (Dell) CEO Michael Dell (Mr. Dell), through Denali Acquiror Inc's Denali Intermediate Inc unit, and Silver Lake Partners, a unit of Silver Lake Management LLC, acquired the remaining 86% interest or 1. 494 bil common shares and 42 mil restricted common shares, which Mr. Dell did not already own, in Dell, a Round Rock-based manufacturer and wholesaler of computers, for a twice sweetened USD 13.88 in cash per common share and restricted common share, or a total value of 21.522 bil, in a management buyout transaction. Additionally, IG offered a sweetened USD 13.75 cash per common share and restricted common share, or a total of USD 21.317 bil. Previously, IG offered USD 13. 65 in cash per common share and restricted common share, or a total of USD 20.472 bil. Originally, IG was rumored to be in negotiations to acquire Dell. Subsequently, Icahn Enterprises LP withdrew its challenging offer to raise its stake to 10% from 4.605%, by acquiring a further 5.4% stake, or 93.725 mil common shares, which it did not already own, in Dell. Subsequently, Boulder Acquisition Corp withdrew its plans to launch a challenging offer to acquire the entire share capital of Dell. On completion, Dell common shares were delisted in the NASDAQ Stock Market.</t>
  </si>
  <si>
    <t>Virgin Media Inc</t>
  </si>
  <si>
    <t>Liberty Global Inc</t>
  </si>
  <si>
    <t>Own,operate cable TV stations</t>
  </si>
  <si>
    <t>US - Liberty Global Inc (Liberty) acquired the entire share capital of Virgin Media Inc (Virgin), a New York- based provider of wireless telecommunication services, for USD 16.381 bil, in a stock swap transaction. Liberty offered USD 17.5 in cash per share, 0.2582 Liberty Series A common shares and 0.1928 Liberty Series C common shares for each Virgin share. The shares were valued based on Liberty's common A closing stock price of USD 69.46 and Liberty's common C closing stock price of USD 64.5 on 4 February 2012, the last trading day prior to the suspension of trading. This transaction is structured as a tax inversion. This transaction is Tax-Exempt under IRC s386.</t>
  </si>
  <si>
    <t>Metals USA Holdings Corp</t>
  </si>
  <si>
    <t>Wholesale processed metals</t>
  </si>
  <si>
    <t>US - Reliance Steel &amp; Aluminum Steel Co acquired the entire share capital of Metals USA Holdings Corp, a Fort Lauderdale-based wholesaler of processed metal products, from Apollo Global Management LLC, for USD 20.65 in cash per share, or a total value of USD 770.845 mil.</t>
  </si>
  <si>
    <t>Ark Restaurants Corp</t>
  </si>
  <si>
    <t>US - Landry's Inc withdrew its unsolicited plans to acquire the entire share capital of Ark Restaurants Corp, a New York-based owner and operator of restaurants and bars, for USD 22 in cash per share or USD 71.387 mil.</t>
  </si>
  <si>
    <t>US - Renasant Corp (Renasant) acquired the entire share capital of First M&amp;F Corp (M&amp;F), a Kosciusko-based bank holding company, in a stock swap transaction valued at USD 115.168 mil. Renasant offered 0.6425 common share per M&amp;F share. Based on Renasant's closing stock price of USD 19.44 on 06 February 2013, the last full trading day prior to the announcement, each M&amp;F share was valued at USD 12.49. This transaction is Tax-Exempt under IRC s386.</t>
  </si>
  <si>
    <t>The Carlyle Group LP</t>
  </si>
  <si>
    <t>US - The Carlyle Group LP was rumored to be in negotiations to acquire the entire share capital of NASDAQ OMX Group Inc, a New York-based provider of stock exchange and trading services, in a leveraged buyout transaction. Terms were not disclosed but according to people close to the transaction, it had a rumored value of USD 7 bil. The Current status of this deal is unknown.</t>
  </si>
  <si>
    <t>Sumner Bank &amp; Trust</t>
  </si>
  <si>
    <t>HopFed Bancorp Inc</t>
  </si>
  <si>
    <t>US - HopFed Bancorp Inc withdrew its definitive agreement to acquire the entire share capital of Sumner Bank &amp; Trust, a Gallatin-based commercial bank, for USD 10.04 in cash per share, or a total value of USD 12.703 mil.</t>
  </si>
  <si>
    <t>Artio Global Investors Inc</t>
  </si>
  <si>
    <t>Aberdeen Asset Management PLC</t>
  </si>
  <si>
    <t>Investment Advice</t>
  </si>
  <si>
    <t>US - Aberdeen Asset Management PLC of the UK, acquired the entire share capital of Artio Global Investors Inc, a New York- based provider of asset and investment management services, for USD 2.75 in cash per share, or a total value of USD 165.025 mil.</t>
  </si>
  <si>
    <t>HJ Heinz Co</t>
  </si>
  <si>
    <t>Produce processed food</t>
  </si>
  <si>
    <t>HJ Heinz Co SPV</t>
  </si>
  <si>
    <t>US - HJ Heinz Co SPV  formed by Berkshire Hathaway Inc (Berkshire) and 3G Capital Partners Ltd (3G), acquired the entire share capital of HJ Heinz Co (HJ), a Pittsburgh-based producer of processed food, for USD 72.5 in cash per share, or a total value of USD 23.479 bil including the assumption of an undisclosed amount in liabilities, in a leveraged buyout transaction. On completion, Berkshire and 3G were to owned 50% interest each in HJ.</t>
  </si>
  <si>
    <t>US - Chiesi Farmaceutici SpA (Chiesi) of Italy acquired the remaining 40.308% stake or 10.658 mil common shares, which it did not already own, in Cornerstone Therapeutics Inc, a Cary-based manufacturer and wholesaler of pharmaceutical products, for a sweetened USD 9.5 in cash per share, or a total value of USD 112.235 mil. Originally, Chiesi offered USD 6.7 in cash per share, or a total value of an estimated USD 76.711 mil.</t>
  </si>
  <si>
    <t>NetSpend Holdings Inc</t>
  </si>
  <si>
    <t>Provide debit card services</t>
  </si>
  <si>
    <t>Pvd credit processing services</t>
  </si>
  <si>
    <t>US - Total System Services Inc acquired the entire share capital of NetSpend Holdings Inc, an Austin-based provider of debit card services, for USD 16 in cash per share, or a total value of USD 1.233 bil.</t>
  </si>
  <si>
    <t>US - FNB Corp (FNB) acquired the entire share capital of PVF Capital Corp (PVF), a Solon-based bank holding company, in a stock swap transaction valued at USD 108. 793 mil. FNB offered 0.3405 common share per PVF share. Based on FNB's closing stock price of USD 12.04 on 15 February 2013, the last full trading day prior to the announcement, each PVF share was valued at USD 4.1. This transaction is Tax-Exempt under IRC s386.</t>
  </si>
  <si>
    <t>First Financial Holdings Inc</t>
  </si>
  <si>
    <t>US - SCBT Financial Corp (SCBT) merged with First Financial Holdings Inc (First) , a Charleston-based bank holding company, in a stock swap transaction valued at USD 302.357 mil. SCBT offered 0.4237 shares per FFH share. Based on SCBT's closing stock price of USD 43.18 on 19 February 2013, the last full trading day prior to the announcement, each FFH share was valued at USD 18.295. On completion, the merged entity retained the name of First. This transaction is Tax- Exempt under IRC s386.</t>
  </si>
  <si>
    <t>Joy Global Inc</t>
  </si>
  <si>
    <t>Mnfr,whl mining machinery</t>
  </si>
  <si>
    <t>Atlas Copco AB</t>
  </si>
  <si>
    <t>Mnfr,whl air compressor equip</t>
  </si>
  <si>
    <t>US - Atlas Copco AB of Sweden discontinued rumors that it was planning to acquire the entire share capital of Joy Global Inc, a Milwaukee-based manufacturer and wholesaler of surface mining machinery.</t>
  </si>
  <si>
    <t>Retail office products</t>
  </si>
  <si>
    <t>US - Office Depot Inc (Office Depot) acquired the entire share capital of OfficeMax Inc (OfficeMax), a Naperville- based retailer of office products, in a stock swap transaction valued at USD 1. 181 bil. Office Depot offered 2.69 new common shares per OfficeMax share. Based on Office Depot's closing stock price of USD 5.02 on 19 February 2013, the last full trading day prior to the announcement, each OfficeMax was valued at USD 13.504. Originally, Office Depot was rumored to be planning to merge with OfficeMax. This transaction is Tax-Exempt under IRC s386.</t>
  </si>
  <si>
    <t>Berry Petroleum Co</t>
  </si>
  <si>
    <t>LinnCo LLC</t>
  </si>
  <si>
    <t>US - LinnCo LLC (LinnCo), a unit of LINN Energy LLC, acquired the entire share capital of Berry Petroleum Co (Berry), a Denver-based oil and gas exploration and production company, in a reverse takeover transaction valued at a estimated sweetened USD 3.055 bil, including the assumption of an undisclosed amount in liabilities. LinnCo offered 1. 68 shares per Berry share. Based on LinnCo's closing stock price of USD 33.21 on 01 November 2013 the last full trading day prior to the amendments of the terms, each Berry share was valued at USD 55.793. Originally, LinnCo offered 1.25 shares per Berry share. This transaction is Tax-Exempt under IRC s386.</t>
  </si>
  <si>
    <t>Own,op assisted living centers</t>
  </si>
  <si>
    <t>US - TPG Capital LP acquired the entire share capital of Assisted Living Concepts Inc, a Menomonee Falls-based owner and operator of assisted living centers, for USD 12 in cash per Class A common share, and USD 12.9 in cash per Class B common share, or a total value of USD 278.859 mil, in a leveraged buyout transaction.</t>
  </si>
  <si>
    <t>Atlantic Coast Financial Corp</t>
  </si>
  <si>
    <t>Bond Street Holdings Inc</t>
  </si>
  <si>
    <t>US - Bond Street Holdings Inc withdrew its definitive agreement to merge with Atlantic Coast Financial Corp, a Waycross-based bank holding company, for USD 5 in cash per share, or a total value of USD 13.145 mil.</t>
  </si>
  <si>
    <t>CommonWealth REIT</t>
  </si>
  <si>
    <t>US - An investor group (IG), comprised of Corvex Management LP and Related Fund Management LLC, a wholly- owned unit of Related Cos LP, withdrew its plans to launch an unsolicited offer to acquire the remaining 90.2% interest, or 75.591 mil common shares, which it did not already own, in CommonWealth REIT, a Newton- based real estate investment trust, for an amended USD 24. 5 per share, or a total value of USD 1.852 bil. Originally, IG offered USD 27 per share, or a total value of USD 2.041 bil.</t>
  </si>
  <si>
    <t>Kroenke Sports &amp; Entertainment</t>
  </si>
  <si>
    <t>Own,operate sports teams</t>
  </si>
  <si>
    <t>US - Kroenke Sports &amp; Entertainment LLC (Kroenke) acquired the entire share capital of Outdoor Channel Holdings Inc (Outdoor), a Temecula-based provider of cable TV services, for a twice sweetened USD 10.25 in cash per share, or a total value of USD 265.916 mil, via tender offer. Previously, Kroenke offered a sweetened USD 9.35 per share, or a total value of USD 242.568. Originally, Kroenke offered USD 8.75 in cash per share, or a total value of USD 227. 002 mil. Previously, InterMedia Outdoors Holdings LLC, a unit of InterMedia Partners LP's InterMedia Partners VII LP subsidiary, withdrew its definitive agreement to merge with Outdoor.</t>
  </si>
  <si>
    <t>Ferro Corp</t>
  </si>
  <si>
    <t>Manufacture, wholesale performance materials</t>
  </si>
  <si>
    <t>US - A Schulman Inc withdrew its plans to launch an unsolicited offer to acquire the entire share capital of Ferro Corp, a Mayfield Heights-based manufacturer and wholesaler of performance materials, for USD 3.25 in cash and USD 3.25 in common stock, or a total value of USD 562.5 mil, including the assumption of an undisclosed amount in liabilities.</t>
  </si>
  <si>
    <t>Newport Bancorp Inc,RI</t>
  </si>
  <si>
    <t>SI Financial Group Inc</t>
  </si>
  <si>
    <t>US - SI Financial Group Inc (SI Financial) merged with Newport Bancorp Inc (Newport), a Newport-based bank holding company, in a stock swap transaction valued at USD 64. 069. SI Financial offered a choice of 1.5129 common shares or USD 17.55 in cash per Newport share. Based on SI Financial's closing stock price of USD 11.65 on March 4, the last full trading day prior to the announcement, each SI Financial share was valued at USD 17.625.</t>
  </si>
  <si>
    <t>Asset Acceptance Capital Corp</t>
  </si>
  <si>
    <t>Pvd debt recovering services</t>
  </si>
  <si>
    <t>Encore Capital Group Inc</t>
  </si>
  <si>
    <t>Provide debt management,recovery services</t>
  </si>
  <si>
    <t>US - Encore Capital Group Inc (Encore) acquired the entire share capital of Asset Acceptance Capital Corp, a Warren-based provider of charged-off consumer debt recovering services, for USD 6.50 per share, or a total value of USD 200.006 mil. Alternatively, Encore offered USD 200.006 in Encore common shares or a combination of USD 150.004 mil and USD 50. 002 mil in Encore common shares.</t>
  </si>
  <si>
    <t>San Diego Trust Bank</t>
  </si>
  <si>
    <t>Pacific Premier Bancorp Inc</t>
  </si>
  <si>
    <t>US - Pacific Premier Bancorp Inc (PPBI) acquired the entire share capital of San Diego Bank Trust (SDBT) for USD 29.719 mil. PPBI offered a choice of 1.114 PPBI common share or USD 13.41 in cash, or a combination of cash and common share, per SBDT share, subject to a collar agreement, whereby if PPBI's closing stock price was between USD 10.83 and USD 13.24, the exchange ratio was to be fixed at 0.557 PPBI common share per SDBK share, and subject to proration whereby 50% of the consideration was to consist of Pacific Premier Bancorp Inc common shares and the remaining 50% in cash. The shares were valued based on PPBI's closing stock price of USD 12.4 on 5 March 2013, the last full trading day prior to the announcement.</t>
  </si>
  <si>
    <t>Hot Topic Inc</t>
  </si>
  <si>
    <t>US - Sycamore Partners LLC acquired the entire share capital of Hot Topic Inc, a City of Industry-based owner and operator of clothing and accessories stores, for USD 14 in cash per share, or a total value of USD 625.01 mil, in a leveraged buyout transaction.</t>
  </si>
  <si>
    <t>KKR &amp; Co LP</t>
  </si>
  <si>
    <t>US - KKR &amp; Co LP acquired the entire share capital of Gardner Denver Inc (Gardner), a Wayne-based manufacturer and wholesaler of compressors, blowers and pumps, for USD 76 in cash per share, or a total value of USD 3.749 bil, including the undisclosed amount in liabilities, in a leveraged buyout transaction. On completion, Gardner common shares were delisted in the New York Stock Exchange. Originally, in October 2012, Gardner announced that it was seeking a buyer for the company. TPG Capital, Onex Corp, KKR &amp; Co, Blackstone Group LP, Bain Capital LLC, and SPX Corp were named potential bidders.</t>
  </si>
  <si>
    <t>Union Bancorp Inc</t>
  </si>
  <si>
    <t>Riverview Financial Corp</t>
  </si>
  <si>
    <t>US - Riverview Financial Corp (Riverview) merged with Union Bancorp Inc (Union), a Pottsville-based bank holding company, to form a new company in a stock swap transaction valued at USD 83. 576 mil. Union common shareholders were to receive 1.95 new company common shares and Riverview common shareholders were to receive 1 new company common shares per share held. Based on Riverview's closing stock price of USD 10.35 on 7 March 2013, the last full trading day prior to the announcement, each Union share was valued at USD 20.183. The transaction included the merger of Riverview Bank and Union Bank and Trust Co. On completion, Riverview owned 64% interest and Union owned 36% stake in the new company.</t>
  </si>
  <si>
    <t>MISCOR Group Ltd</t>
  </si>
  <si>
    <t>Pvd repair,remanufacture svcs</t>
  </si>
  <si>
    <t>Integrated Electrical Services</t>
  </si>
  <si>
    <t>Pvd electric contracting svcs</t>
  </si>
  <si>
    <t>US - Integrated Electrical Services Inc (Integrated) acquired the entire share capital of MISCOR Group Ltd (MISCOR), a Massillon-based provider of repair and remanufacture services, for an amended USD 1.48 in cash per share, or a total value of USD 17.443 mil. Alternatively, Integrated offered of 0.3118 common shares per MISCOR share. Originally, Integrated) offered a choice of USD 1.57 in cash per share or 18.504 mil in common shares.</t>
  </si>
  <si>
    <t>EDAC Technologies Corp</t>
  </si>
  <si>
    <t>Mnfr precision components</t>
  </si>
  <si>
    <t>GB Aero Engine LLC</t>
  </si>
  <si>
    <t>US - GB Aero Engine LLC, a wholly-owned unit of Greenbriar Equity Group LLC, acquired the entire share capital of EDAC Technologies Corp (EDAC), a Farmington- based manufacturer of precision components, via a launched tender offer, for USD 17.75 in cash per share, or a total value of USD 94. 385 mil. The offer was conditioned upon at least 50% of EDAC's shares being tendered. Subsequently, MidOcean Partners LLP, a unit of Ripplewood Holdings LLC, through undisclosed affiliates, withdrew its plans to launch a challenging offer to acquire the entire share capital of EDAC.</t>
  </si>
  <si>
    <t>Commander Acquisition Corp</t>
  </si>
  <si>
    <t>Mnfr,whl aesthetic med devices</t>
  </si>
  <si>
    <t>US - Commander Acquisition Corp, a wholly-owned unit of Cynosure Inc (Cynosure), merged with Palomar Medical Technologies Inc (Palomar), a Burlington-based manufacturer and wholesaler lasers, delivery systems and related disposable products, for an estimated USD 10.383 per share, or a total value of USD 208.117 mil. The consideration consisted of USD 6.825 in cash and 0.2819 in Cynosure common shares per share valued at USD 71.053 mil. The shares were valued based on Cynosure's closing stock price of USD 12.62 on March 15, the last full trading day prior to the announcement. On completion, Cynosure and Palomar owned 77% and 23%, respectively, of the merged entity. This transaction is Tax-Exempt under IRC s386.</t>
  </si>
  <si>
    <t>QAR Industries Inc</t>
  </si>
  <si>
    <t>Mnfr antennas</t>
  </si>
  <si>
    <t>US - QAR Industries Inc withdrawn the entire share capital of Phazar Corp, a Mineral Wells-based manufacturer and wholesaler of antennas, for USD 1.25 in cash per share, or a total value of USD 2.906 mil.</t>
  </si>
  <si>
    <t>Obagi Medical Products Inc</t>
  </si>
  <si>
    <t>Mnfr,whl skin care sys,prod</t>
  </si>
  <si>
    <t>US - Valeant Pharmaceuticals International Inc of Canada, acquired the entire share capital of Obagi Medical Products Inc (Obagi), a Long Beach-based manufacturer and wholesaler of skin care systems and products, via a tender offer for a sweetened USD 24 in cash per share, or a total value of USD 437.474 mil. The offer was conditioned upon at least a majority of Obagi's shares being tendered on a fully- diluted basis. Originally, Valeant offered USD 19.75 in cash per share, or a total value of USD 354.818 mil. Previously Merz Pharma GmbH &amp; Co KGaA of Germany withdrew its plans to launch an unsolicited challenging offer to acquire Obagi.</t>
  </si>
  <si>
    <t>Boulder Acquisition Corp</t>
  </si>
  <si>
    <t>US - Boulder Acquisition Corp (Boulder), a special purpose acquisition vehicle formed by Blackstone Management Associates VI LLC a unit of Blackstone Group LP, Francisco Partners III LP, a unit of Francisco Partners Management LLC, and Insight Venture Management LLC, withdrew its plans to launch a challenging offer to acquire the entire share capital of Dell Inc, a Round Rock-based manufacturer and wholesaler of computers, for USD 14.25 in cash per share or a total value of USD 25. 113 bil, in a leveraged buyout transaction. Alternatively, Boulder offered an undisclosed amount in shares. Previously, in February 2013, a management- led investor group (IG) comprised of Dell CEO Michael Dell (Mr. Dell), through Denali Acquiror Inc's Denali Intermediate Inc unit, and Silver Lake Partners, a unit of Silver Lake Management LLC, acquired remaining 86% interest or 1.494 bil common shares, which Mr. Dell did not already own, in Dell.</t>
  </si>
  <si>
    <t>Enterprise Bancorp Inc</t>
  </si>
  <si>
    <t>1st United Bancorp,Boca Raton</t>
  </si>
  <si>
    <t>US - 1st United Bancorp Inc, a unit of Wells Fargo &amp; Co's Wachovia Corp subsidiary, merged with Enterprise Bancorp Inc, a North Palm Beach-based bank holding company, for an estimated USD 45 mil. The consideration was to consist of USD 6 mil in cash and USD 39 mil in other considerations. The transaction included the acquisition of Enterprise Bank. This transaction is Tax- Exempt under IRC s386.</t>
  </si>
  <si>
    <t>FC Banc Corp,Bucyrus,Ohio</t>
  </si>
  <si>
    <t>US - CNB Financial Corp (CNB) acquired FC Banc Corp (FC), a Bucyrus-based bank holding company, offer a choice between USD 30 in cash per share, or a total value of USD 23.648 mil, or 1.754 CNB common shares valued at USD 23.74 mil. FC common shareholders were to receive 1.754 CNB common shares per share held. Based on CNB's closing stock price of USD 17. 17 on March 25, the last full trading day prior to the announcement, each FC share was valued at USD 30.116.</t>
  </si>
  <si>
    <t>US - MidOcean Partners LLP, a unit of Ripplewood Holdings LLC, through undisclosed affiliates, withdrew its plans to launch a challenging offer to acquire the entire share capital of EDAC Technologies Corp (EDAC), a Farmington-based manufacturer of precision components, tooling equipment and gauges, for USD 18.25 in cash per share, or a total value of USD 97.043 mil, in a leveraged buyout transaction. Previously, GB Aero Engine LLC, a wholly-owned unit of Greenbriar Equity Group LLC, acquired the entire share capital of EDAC.</t>
  </si>
  <si>
    <t>GMX Resources Inc</t>
  </si>
  <si>
    <t>US - GMX Resources Inc (GMX), a Oklahoma-based oil and gas exploration and production company, completed a debt restructuring transaction with Bondholders (BHs). BHs including Senior Secured Notes holders received approximately USD 338 mil of equity in exchange for debt and general unsecured claims received cash worth USD 1.5 mil. On completion, Senior Secured Notes holders held an entire share capital in the restructured GMX. The book value of the existing debt that was exchanged under the terms of the offer was USD 514 mil.</t>
  </si>
  <si>
    <t>US - Merz Pharma GmbH &amp; Co KGaA of Germany withdrew its plans to launch an unsolicited challenging offer to acquire the entire share capital of Obagi Medical Products Inc (Obagi), a Long Beach-based manufacturer and wholesaler of skin care systems and products, for USD 22 in cash per share, or a total value of USD 399.487 mil. Previously, Valeant Pharmaceuticals International Inc acquired the entire share capital of Obagi.</t>
  </si>
  <si>
    <t>Central Financial Corp</t>
  </si>
  <si>
    <t>US - New Hampshire Thrift Bancshares Inc (Thrift) merged with Central Financial Corp (Central), a Randolph- based bank holding company, for USD 14.389 mil in a stock swap transaction. Thrift offered 8.699 common shares per Central share. Based on Thrift's closing stock price of USD 13.21 on 02 April 2013, the last full trading day prior to the announcement, each Central share was valued at USD 114.914. On completion, Central was delisted from the OTC stock exchange.</t>
  </si>
  <si>
    <t>Magnetek Inc</t>
  </si>
  <si>
    <t>Mnfr, whl digital power products</t>
  </si>
  <si>
    <t>US - An investment group comprised of Blott Asset Management LLC and Talanta Investment Group LLC, planned to launch a tender offer to acquire the entire share capital of Magnetek Inc (Magnetek), a Menomonee Falls- based manufacturer of digital power and motion control systems, for an estimated USD 15 per share, or a total value of USD 48.143 mil.</t>
  </si>
  <si>
    <t>GAIN Capital Holdings Inc</t>
  </si>
  <si>
    <t>Pvd online trading services</t>
  </si>
  <si>
    <t>FXCM Inc</t>
  </si>
  <si>
    <t>Pvd online forex trading svcs</t>
  </si>
  <si>
    <t>US - FXCM Inc (FXCM) withdrew its plans to merge with GAIN Capital Holdings Inc (GAIN), a Bedminster-based online provider of retail foreign exchange trading and related services, in a stock swap transaction valued at USD 184. 69 mil. FXCM offered a choice of 0.3996 common shares per GAIN share or USD 50 mil cash. Based on FXCM's closing stock price of USD 13.01 on April 5, the last full trading day prior to the announcement, each CB share was valued at USD 5.199.</t>
  </si>
  <si>
    <t>Lufkin Industries Inc</t>
  </si>
  <si>
    <t>Mnfr,whl oilfield machines</t>
  </si>
  <si>
    <t>US - General Electric Co {GE} acquired the entire share capital of Lufkin Industries Inc, a manufacturer and wholesaler of oilfield machines, for USD 88.5 in cash per share, or a total a value of USD 3.067 bil.</t>
  </si>
  <si>
    <t>Nuveen Mun High Inc Opp Fd 2</t>
  </si>
  <si>
    <t>Nuveen Muni High Income Fd</t>
  </si>
  <si>
    <t>US - Nuveen Municipal High Income Opportunity Fund (Nuveen) acquired the entire share capital of Nuveen Municipal High Income Opportunity Fund 2 (Nuveen 2), a Chicago-based closed-end investment fund, in a stock swap transaction, valued at USD 219.561 mil. Nuveen offered 0.970554 per Nuveen 2 share held. Based on Nuveen's closing stock price of USD 12. 17 on 12 July 2013, the last full trading day prior to the announcement.</t>
  </si>
  <si>
    <t>Sinclair Broadcast Group Inc</t>
  </si>
  <si>
    <t>Own,operate TV stations</t>
  </si>
  <si>
    <t>US - Sinclair Broadcast Group Inc acquired the entire share capital of Fisher Communications Inc (Fisher Communications), a Seattle- based owner and operator of radio and television broadcasting stations, for USD 41 in cash per share, or a total value of USD 365.095 mil. Originally, in January 2013, Fisher Communications announced that it was seeking a buyer for the company.</t>
  </si>
  <si>
    <t>Vintage Capital Management LLC</t>
  </si>
  <si>
    <t>US - Vintage Capital Management withdrew its plans to launch an unsolicited tender offer to acquire the remaining 87.2% interest, or 11.481 mil common shares, which it did not own in Anaren Inc, an East Syracuse- based manufacturer, designer and wholesaler of microwave components, for USD 23 in cash per share, or a total value of USD 272.269 mil, in a leveraged buyout transaction. Subsequently, Veritas Capital Partners LP acquired the entire share capital of Anaren.</t>
  </si>
  <si>
    <t>Archon Corp</t>
  </si>
  <si>
    <t>Own,op coin-operated mach</t>
  </si>
  <si>
    <t>Esplanade Capital LLC</t>
  </si>
  <si>
    <t>US - Esplanade Capital LLC planned to launch a tender offer to acquire the entire share capital of Archon Corp (Archon), a Las Vegas-based owner and operator of coin- operated machine, for a thrice sweetened USD 21.65 in per share, or a total value of USD 125.417 mil. Previously, Esplanade Capital LLC planned to launch a tender offer to acquire the entire share capital of Archon Corp for a twice sweetened USD 19.25 in cash per share or a total value of USD 111.515 mil. Formerly, Esplanade Capital LLC planned to launch a tender offer to acquire the entire share capital of Archon Corp, for a sweetened USD 18.5 in cash per share or a total value of USD 107.169 mil. Originally, Esplanade Capital LLC planned to launch a tender offer to acquire the entire share capital of Archon Corp (Archon),for USD 17.5 in cash per share or a total value of USD 101.377 mil.</t>
  </si>
  <si>
    <t>Life Technologies Corp</t>
  </si>
  <si>
    <t>US - Thermo Fisher Scientific Inc (Thermo Fisher) acquired the entire share capital of Life Technologies Corp (Life), a Carlsbad-based biotechnology company, for USD 15.501 bil. The consideration consisted of a sweetened USD 76.131 in cash per share or a total value of USD 12.972 bil, and the assumption of USD 2.2 bil in liabilities. Previously, Thermo Fisher offered USD 76 in cash per share, and the assumption of USD 2.2 bil in liabilities. Originally, In January 2013, Life was rumored to be seeking a buyer for the company. Thermo Fisher, KKR &amp; Co LP, Blackstone Group LP, Bain Capital LLC, TPG Capital LP, Roche Holding AG, Hellman &amp; Friedman LLC, Danaher Corp, Carlyle Group LP and Temasek Holdings were named potential bidders.</t>
  </si>
  <si>
    <t>National Finl Partners Corp</t>
  </si>
  <si>
    <t>US - Madison Dearborn Partners LLC, through its Patriot Intermediate Holdings B Corp subsidiary, acquired the entire share capital of National Financial Partners Corp (National), a New York- based provider insurance brokerage services, for USD 25.35 in cash per share, or a total value of USD 1.016 bil, in a leveraged buyout transaction. Originally, in March 2013, National announced that it was seeking a buyer for the company. Subsequently, Stone Point Capital LLC agreed to acquire an undisclosed majority stake in National, in a secondary buyout transaction.</t>
  </si>
  <si>
    <t>US - DISH Network Corp (DISH), through its DISH SBS Corp subsidiary, withdrew its plans to launch an unsolicited challenging tender offer to acquire the entire share capital of Sprint Nextel Corp (Sprint), an Overland Park-based provider of telecommunication and internet services, for USD 21.079 bil. The transaction was to consist of USD 4.76 in cash and 0.05953 DISH shares per Sprint share. The shares were valued based on DISH's closing stock price of USD 37.63 on 12 April 2013, the last full trading day prior to the announcement. Previously, SoftBank Corp of Japan acquired a 78% interest, or 2.103 bil common shares, in Sprint.</t>
  </si>
  <si>
    <t>AdCare Health Systems Inc</t>
  </si>
  <si>
    <t>Brogdon Family LLC</t>
  </si>
  <si>
    <t>US - Brogdon Family LLC (BFL) withdrew its plans to launch a tender offer to raise its interest to 55% from 11.7%, by acquiring a 43.3% stake, or 6.347 mil common shares, in AdCare Health Systems Inc (AdCare), a Roswell-based owner and operator of nursing homes, for USD 8 in cash per share, or a total value of USD 50.777 mil. Concurrently, BFL planned to launch a tender offer to raise its interest to 63% from 55%, by acquiring an 8% stake, or 1. 173 mil common shares, in AdCare.</t>
  </si>
  <si>
    <t>US - TransDigm Group Inc acquired the entire share capital of Aerosonic Corp, a Clearwater-based manufacturer of precision flight products, via a tender offer for USD 7. 75 in cash per share, or a total value of USD 31.518 mil. The offer was conditioned upon at least a majority of Aerosonic Corp's shares being tendered.</t>
  </si>
  <si>
    <t>Met-Pro Corp</t>
  </si>
  <si>
    <t>US - CECO Environmental Corp (CECO) acquired the entire share capital of Met-Pro Corp, a Harleysville-based manufacturer of pollution control, fluid handling and purification equipment, for USD 227.115 mil. CECO offered a choice of 1.352 common shares or USD 13.75 in cash, subject to proration whereby approximately 53% of the Met- Pro Corp common shares will be exchanged for cash and 47% for CECO common shares. The shares were valued based on CECO's closing stock price of USD 11.12 on 21 April 2013, the last full trading day prior to the announcement. On completion, Met-Pro delisted from the New York Stock Exchange. This transaction is Tax-Exempt under IRC s386.</t>
  </si>
  <si>
    <t>Power-One Inc</t>
  </si>
  <si>
    <t>US - ABB Ltd of Switzerland acquired the entire share capital of Power-One Inc, a Camarillo-based manufacturer and wholesaler of power conversion products and inverters, for USD 6.35 per share, or a total value of 1. 112 bil.</t>
  </si>
  <si>
    <t>Buckeye Technologies Inc</t>
  </si>
  <si>
    <t>Mnfr,whl cellulose pulps</t>
  </si>
  <si>
    <t>Georgia-Pacific LLC</t>
  </si>
  <si>
    <t>Manufactures,wholesales building prod</t>
  </si>
  <si>
    <t>US - Georgia-Pacific LLC, a unit of Koch Industries Inc's Koch Forest Products Inc subsidiary, through its GP Cellulose Group LLC wholly owned subsidiary, merged with Buckeye Technologies Inc (Buckeye), a Memphis-based manufacturer and wholesaler of specialty cellulose pulps, for USD 37.5 in cash per share, or a total value of USD 1.504 bil. The offer was conditioned upon at least 75% of shares being tendered. Originally, Georgia-Pacific definitively agreed to acquire the entire share capital of Buckeye via tender offer.</t>
  </si>
  <si>
    <t>MPG Office Trust Inc</t>
  </si>
  <si>
    <t>Brookfield Office Pptys Inc</t>
  </si>
  <si>
    <t>Own,operate office properties</t>
  </si>
  <si>
    <t>US - Brookfield Office Properties Inc of Canada, a unit of Brookfield Asset Management Inc, completed its tender offer to acquire the entire share capital of MPG Office Trust Inc (MPG), a Los Angeles-based real estate investment trust, via tender offer for USD 3.15 in cash per share or a total value of USD 181.195 mil. The offer was conditioned upon at least a majority of MPG's shares being tendered. The transaction was to include its Los Angeles office assets.</t>
  </si>
  <si>
    <t>Conceptus Inc</t>
  </si>
  <si>
    <t>Mnfr,whl birth control devices</t>
  </si>
  <si>
    <t>Evelyn Acquisition Co</t>
  </si>
  <si>
    <t>US - Evelyn Acquisition Co, a special purpose acquisition vehicle formed by Bayer HealthCare LLC, a majority- owned unit of Bayer AG's Bayer Healthcare AG subsidiary, completed its tender offer to acquire the entire share capital of Conceptus Inc (Conceptus), a Mountain View-based manufacturer and wholesaler of permanent birth control devices, for USD 31 in cash per share or a total value of USD 1.063 bil. The offer was conditioned upon at least a majority of Conceptus' shares being tendered.</t>
  </si>
  <si>
    <t>Avista Capital Holdings LP</t>
  </si>
  <si>
    <t>US - Avista Capital Holdings LP, through an undisclosed subsidiary, completed its tender offer to acquire the entire common stock outstanding of Telular Corp (Telular), a Chicago-based manufacturer of wireless products, for USD 12.61 in cash per share, or a total value of USD 246.694 mil, including the assumption of USD 18.5 mil in existing liabilities, in a leveraged buyout transaction.</t>
  </si>
  <si>
    <t>Crimson Exploration Inc</t>
  </si>
  <si>
    <t>US - Contango Oil &amp; Gas Co (Contango) merged with Crimson Exploration Inc (Crimson), a Houston-based oil and gas exploration and production company, in a stock swap transaction valued at USD 146.99 mil. Contango offered 0.08288 common shares per Crimson share. The shares were valued based on Contango's closing stock price of USD 38.5 on 29 April 2013, the last full trading day prior to the announcement. This transaction is Tax- Exempt under IRC s386.</t>
  </si>
  <si>
    <t>Goldman Sachs &amp; Co</t>
  </si>
  <si>
    <t>US - Goldman Sachs &amp; Co, a majority-owned unit of Goldman Sachs Group Inc, through its undisclosed affiliate, withdrew its definitive agreement to merge with Ebix Inc (Ebix), an Atlanta-based developer of application software, for USD 20 in cash per share and the assumption of undisclosed amount in liabilities, for a total of USD 774.773 mil. Upon completion, Ebix shares will be delisted from the NASDAQ.</t>
  </si>
  <si>
    <t>Resaca Exploitation Inc</t>
  </si>
  <si>
    <t>US - Legacy Reserves LP agreed to acquire the entire share capital of Resaca Exploitation Inc, a Houston- based exploration and production company, for USD 72 mil in cash.</t>
  </si>
  <si>
    <t>Commerce National Bank,Newport</t>
  </si>
  <si>
    <t>US - Sterling Financial Corp definitively acquired the entire share capital of Newport Beach-based Commerce National Bank, for USD 15.1 in cash per share, or a total value of USD 40.175 mil.</t>
  </si>
  <si>
    <t>BMC Software Inc SPV</t>
  </si>
  <si>
    <t>US - BMC Software Inc SPV, a special purpose acquisition vehicle created by Bain Capital LLC, Golden Gate Capital, GIC Special Investments Pte Ltd, a unit of state-owned Government of Singapore Investment Corp Pte Ltd, and Insight Venture Partners LLC, acquired the entire share capital of BMC Software Inc (BMC), a Houston- based developer of enterprise software, for USD 46.25 in cash per share, or a total value of USD 6.71 bil, in a leveraged buyout transaction. Originally, in October 2012, BMC was rumored to be seeking a buyer for the company. KKR &amp; Co LP, TPG Capital LP, Golden Gate Capital and Bain Capital LLC were rumored to be potential bidders.</t>
  </si>
  <si>
    <t>Crestwood Midstream Partners</t>
  </si>
  <si>
    <t>Provide gas processing svcs</t>
  </si>
  <si>
    <t>Inergy Midstream LP</t>
  </si>
  <si>
    <t>Pvd gas storage,transp svcs</t>
  </si>
  <si>
    <t>US - Inergy Midstream LP (Inergy), a majority-owned unit of Inergy LP, acquired the entire share capital of Crestwood Midstream Partners LP (Crestwood), a Houston- based provider of gas processing services, in a stock swap reverse takeover transaction valued at USD 1.6 bil. The consideration consisted of USD 25 mil in cash and 1.07 Inergy common LP units per Crestwood unit. Based on Inergy's closing stock price of USD 24.55 on 03 May 2013, the last full trading day prior to the announcement, each Crestwood unit was valued at USD 26.269.</t>
  </si>
  <si>
    <t>BBX Capital Corp</t>
  </si>
  <si>
    <t>US - BFC Financial Corp (BFC) withdrew its agreement to acquire the remaining 47% stake, or 7.337 mil common shares, which it did not own in BBX Capital Corp (BBX), a Fort Lauderdale-based asset management, real estate investment and specialty finance company, in a stock swap transaction valued at an estimated USD 85.021 mil. BFC offered 5.39 common shares per BBX share. Based on BFC's closing stock price of USD 2. 15 on May 6, the last full trading day prior to the announcement, each BBX share was valued at USD 11.589.</t>
  </si>
  <si>
    <t>Pioneer Southwest Energy Ptnrs</t>
  </si>
  <si>
    <t>US - Pioneer Natural Resources Co (Natural) acquired the remaining 47.58% stake or 16.993 mil common LP units, which it did not already own, in Pioneer Southwest Energy Partners LP (Southwest), an Irving-based oil and gas exploration and production company, in a stock swap transaction valued at a sweetened USD 693.832 mil. Natural offered 0.2325 common shares per Southwest unit. Based on Natural's closing stock price of USD 175.62 on 9 August 2013, the last full trading day prior to the announcement, each Southwest share was valued at USD 40.832. Originally, Natural offered 0.2234 common share per Southwestern unit.</t>
  </si>
  <si>
    <t>ICU Medical Inc</t>
  </si>
  <si>
    <t>Mnfr,whl disposable med sys</t>
  </si>
  <si>
    <t>US - In May 2013, ICU Medical Inc, a San Clemente-based manufacturer and wholesaler of disposable medical systems, discontinued rumors to be seeking a buyer for the company. According to sources familiar with the matter, the deal could be worth more than USD 1 bil. CareFusion Corp was a named as a rumored bidder.</t>
  </si>
  <si>
    <t>Market Leader Inc</t>
  </si>
  <si>
    <t>Pvd online RE marketing svcs</t>
  </si>
  <si>
    <t>Trulia Inc</t>
  </si>
  <si>
    <t>US - Trulia Inc (Trulia) acquired the entire share capital of Market Leader Inc (Market), a Kirkland-based provider of online real estate marketing services, for USD 6 in cash and 0.1553 Trulia common share per Market share, or a total value of USD 340.323 mil. Based on Trulia's closing stock price of USD 34.34 on 07 May 2013, the last full trading day prior to the announcement, each Market share was valued at USD 5.333. Upon completion, Market was to become a wholly-owned unit of Trulia.</t>
  </si>
  <si>
    <t>Warner Chilcott PLC</t>
  </si>
  <si>
    <t>Mnfr,whl pharmaceutical drugs</t>
  </si>
  <si>
    <t>Actavis Inc</t>
  </si>
  <si>
    <t>US - Actavis Inc (Actavis) acquired the entire share capital of Warner Chilcott PLC (Warner), a Rockaway- based manufacturer and wholesaler of pharmaceutical drugs, in a stock swap transaction valued at USD 5. 096 bil, via a scheme of arrangement. Actavis offered 0.16 common share per Warner share. Based on Actavis' closing stock price of USD 125.5 on 17 May 2013, the last full trading day prior to the announcement, each Warner share was valued at USD 20.08. This transaction is structured as a tax inversion.</t>
  </si>
  <si>
    <t>Juniper Investment Co LLC</t>
  </si>
  <si>
    <t>US - Juniper Investment Co LLC (Juniper) acquired the entire common stock outstanding of Theragenics Corp, a Buford-based manufacturer and wholesaler of surgical products, for an amended USD 2.2 in cash per share, or a total value of USD 68.336 mil. Previously, Juniper offered a sweetened USD 2.3 in cash. Originally, Juniper offered USD 2.1 in cash per share.</t>
  </si>
  <si>
    <t>True Religion Apparel Inc</t>
  </si>
  <si>
    <t>Mnfr,dstn apparel products</t>
  </si>
  <si>
    <t>TowerBrook Capital Partners LP</t>
  </si>
  <si>
    <t>US - TowerBrook Capital Partners LP definitively acquired the entire share capital of True Religion Apparel Inc (True Religion), a Vernon-based manufacturer and distributor of apparel, for USD 32 in cash per share, or a total value of USD 821. 274 mil, in a leveraged buyout transaction. Originally, in October 2012, True Religion was rumored to be seeking a buyer for the company.</t>
  </si>
  <si>
    <t>CFS Bancorp Inc</t>
  </si>
  <si>
    <t>US - First Merchants Corp (First) acquired the entire share capital of CFS Bancorp Inc (CFS), a Munster-based bank holding company, in a stock swap transaction valued at USD 114.292 mil. First offered 0.65 common shares per CFS share. Based on First's closing stock price of USD 16.135 on 10 May 2013, the last full trading day prior to the announcement, each CFS share was valued at USD 10.488. This transaction is Tax-Exempt under IRC s386.</t>
  </si>
  <si>
    <t>Mayflower Bancorp Inc</t>
  </si>
  <si>
    <t>US - Independent Bank Corp (Independent) acquired the entire share capital of Mayflower Bancorp Inc (Mayflower), a Middleboro- based bank holding company, in a stock swap transaction valued at USD 37.486 mil. Independent offered 0.565 common shares per Mayflower share. Based on Independent's closing stock price of USD 32. 03 on 13 May 2013, the last full trading day prior to the announcement, each Mayflower share was valued at USD 18. 097.</t>
  </si>
  <si>
    <t>Amkor Technology Inc</t>
  </si>
  <si>
    <t>US - Amkor Technology Inc (Amkor) manufacturer of semiconductors, agreed to its debt restructuring with Bondholders (BHs). BHs will receive USD 15 mil in cash and 82.658 mil common shares. Upon completion, BHs were to hold a 53.951% interest in the restructured Amkor. The book value of the existing debt that will be exchanged under the terms of the offer is USD 250 mil.</t>
  </si>
  <si>
    <t>Prod,whl frozen food products</t>
  </si>
  <si>
    <t>Bellisio Foods Inc</t>
  </si>
  <si>
    <t>Produce,whl frozen food prod</t>
  </si>
  <si>
    <t>US - Bellisio Foods Inc, a unit of Centre Partners merged with Overhill Farms Inc, a Vernon-based manufacturer and wholesaler of food products, and a unit of TreeCon Resources Inc, for USD 5 in cash per share or a total of USD 80.882.</t>
  </si>
  <si>
    <t>Centerline Holding Co</t>
  </si>
  <si>
    <t>Pvd RE finl,ast mgmt svcs</t>
  </si>
  <si>
    <t>Hunt Capital Partners LLC</t>
  </si>
  <si>
    <t>US - Hunt Capital Partners LLC, a unit of Hunt Cos Inc, acquired Centerline Holding Co, a New York-based provider of real estate financial and asset management services, for USD 39.89 per share, or a total value of USD 97.507 mil.</t>
  </si>
  <si>
    <t>Meade Instruments Corp</t>
  </si>
  <si>
    <t>Mnfr,whl optical products</t>
  </si>
  <si>
    <t>JOC North America LLC</t>
  </si>
  <si>
    <t>Mnfr,whl optical instruments</t>
  </si>
  <si>
    <t>US - JOC North America LLC, a wholly-owned unit of Jinghua Optics &amp; Electronics Co Ltd, withdrew its agreement to acquire the entire share capital of Meade Instruments Corp, Irvine-based manufacturer and wholesaler of optical products, for USD 3.45 in cash per share, or a total value of USD 4.504 mil. Previously, MIT Capital Inc withdrew its unsolicited tender offer to acquire the entire share capital of Meade, and Sunny Optics Inc acquired the entire share capital of Meade.</t>
  </si>
  <si>
    <t>SoundBite Communications Inc</t>
  </si>
  <si>
    <t>Pvd customer management svcs</t>
  </si>
  <si>
    <t>Genesys Telecom Labs Inc</t>
  </si>
  <si>
    <t>Develop contact center software</t>
  </si>
  <si>
    <t>US - Genesys Telecommunications Laboratories Inc acquired the entire share capital of SoundBite Communications Inc (SoundBite), a Bedford-based provider of customer management services, for USD 5 in cash per share, or a total value of USD 90.786 mil, via a tender offer. The offer was conditioned upon at least a majority of SoundBites shares being tendered.</t>
  </si>
  <si>
    <t>Websense Inc</t>
  </si>
  <si>
    <t>Dvlp info security software</t>
  </si>
  <si>
    <t>Vista Equity Partners LLC</t>
  </si>
  <si>
    <t>US - Vista Equity Partners LLC (Vista Equity) acquired the entire share capital of Websense Inc (Websense), a San Diego-based developer of information security software, for USD 24.75 in cash per share, or a total value of USD 921.27 mil, , in a leveraged buyout transaction. Earlier, Vista Equity completed its tender offer for Websense by accepting 29. 113 mil shares, or 79.439% of Websense's common shares outstanding. The offer was conditioned upon at least a minimum of Websense's shares being tendered. Originally, in March 2011, Websense was rumored to be seeking a buyer for the company.</t>
  </si>
  <si>
    <t>Goodman Networks Inc</t>
  </si>
  <si>
    <t>Pvd telecom network svcs</t>
  </si>
  <si>
    <t>US - Goodman Networks Inc acquired the entire share capital of Multiband Corp, a Minnetonka-based provider of telecommunication system operating services, for USD 3. 25 in cash per share, or a total value of USD 73.588 mil.</t>
  </si>
  <si>
    <t>rue21 inc</t>
  </si>
  <si>
    <t>Retail apparel</t>
  </si>
  <si>
    <t>Apax Partners LP</t>
  </si>
  <si>
    <t>US - Apax Partners LP, a wholly-owned unit of Apax Partners Worldwide LLP acquired the entire share capital of rue21 inc, a Warrendale-based retailer of apparel, from SKM Equity Fund II LP and other undisclosed shareholders, for USD 42 in cash per share, or a total value of USD 1.032 bil, in a leveraged buyout transaction.</t>
  </si>
  <si>
    <t>CapLease Inc</t>
  </si>
  <si>
    <t>American Rlty Capital Ppty Inc</t>
  </si>
  <si>
    <t>US - American Realty Capital Properties Inc acquired the entire share capital of CapLease Inc, a New York- based real estate investment trust, for USD 8.5 in cash per common share and USD 25 per preferred share, or a total value of USD 917.015 mil.</t>
  </si>
  <si>
    <t>Lender Processing Services Inc</t>
  </si>
  <si>
    <t>Pvd mtg,loan processing svcs</t>
  </si>
  <si>
    <t>US - Fidelity National Financial Inc (Fidelity National) acquired the entire share capital of Lender Processing Services Inc (Lender Processing), a Jacksonville-based provider of mortgage and loan processing services, for a twice sweetened USD 3.207 bil, subject to a collar agreement. The consideration consisted of USD 2.387 bil in cash and 0.28742 common shares per Lender Processing share valued at USD 792.183 mil. The shares were valued based on Fidelity Nationals closing stock price of USD 32. 45 on 01 January 2014, the last full trading day prior to the twice amendment of the terms. Subsequently, Fidelity National offered a sweetened USD 2.898 bil. Fidelity National offered USD 2.433 bil in cash and 0.20197 common shares per Lender Processing share valued at USD 464.547 mil. The shares were valued based on Fidelity National 's closing stock price of USD 27.08 on 24 October 2013, the last full trading day prior to the amendment of the terms, each LPS share was valued at USD 32.684. Previously, Fidelity National offered USD 22.303 in cash and 0.42948 common shares per Lender Processing share. Originally, Fidelity National offered 0.65224 common shares and USD 16.625 in cash per Lender Processing share. Originally, in May 2013, Fidelity National was rumored to be planning to acquire the entire share capital of Lender Processing.</t>
  </si>
  <si>
    <t>NV Energy Inc</t>
  </si>
  <si>
    <t>Electric utility hldg co</t>
  </si>
  <si>
    <t>US - MidAmerican Energy Holdings Co, a 75%-owned unit of Berkshire Hathaway Inc acquired the entire share capital of NV Energy Inc, a Reno-based electric utility holding company, for USD 23. 75 in cash per share or a total of USD 5.594 bil.</t>
  </si>
  <si>
    <t>Shuanghui Intl Hldg Ltd</t>
  </si>
  <si>
    <t>Produce processed meat</t>
  </si>
  <si>
    <t>US - Shuanghui International Holdings Ltd of China merged with Smithfield Foods Inc (Smithfield), a producer and wholesaler of pork meat products, for USD 34 in cash per share, or a total value of USD 4.752 bil, including the assumption of an undisclosed amount in liabilities. On completion, Smithfield shares were delisted from the New York Stock Exchange. Originally, in May 2013, Smithfield was rumored to be seeking a buyer for the company. Charoen Pokphand Foods PCL and JBS SA were named potential bidders. The transaction was to include Smithfields 37% stake in Campofrio of Spain.</t>
  </si>
  <si>
    <t>US - Service Corp International acquired the entire share capital of Stewart Enterprises Inc (Stewart), a Jefferson-based owner and operator of funeral homes and cemeteries, for USD 13.25 in cash per share, or a total of USD 1.159 bil. On completion, Stewart common shares were delisted in the NASDAQ Stock Market.</t>
  </si>
  <si>
    <t>US - BNC Bancorp acquired the entire share capital of Asheboro-based Randolph Bank &amp; Trust Co, for USD 10 in cash per share, or a total value of USD 10.447 mil, subject to collar agreement</t>
  </si>
  <si>
    <t>US - Mid-America Apartment Communities Inc (Mid-America) merged with Colonial Properties Trust Inc (Colonial), a Birmingham- based real estate investment trust, in a stock swap transaction valued at USD 2. 178 bil. Mid-America offered 0.36 new common shares per Colonial share. Based on Mid- America's closing stock price of USD 67.97 on 31 May 2013, the last full trading day prior to the announcement, each Colonial share was valued at USD 24.469.</t>
  </si>
  <si>
    <t>ExactTarget Inc</t>
  </si>
  <si>
    <t>Develop digital mktg software</t>
  </si>
  <si>
    <t>US - Salesforce.com Inc (Salesforce.com) completed its tender offer to acquire the entire share capital of ExactTarget Inc (ExactTarget), an Indianapolis-based developer of digital marketing software, for USD 33.75 in cash per share or a total value of USD 2.641 bil. The offer was conditioned upon at least 50% of ExactTarget's shares being tendered. On completion, ExactTarget became a wholly- owned subsidiary of Salesforce.com.</t>
  </si>
  <si>
    <t>Hilltop Cmnty Bancorp Inc</t>
  </si>
  <si>
    <t>Haven Bancorp,Westbury,NY</t>
  </si>
  <si>
    <t>US - Haven Bancorp Inc, a wholly-owned unit of New York Community Bancorp Inc, agreed to acquire entire share capital of Summit-based Hilltop Community Bancorp Inc, for USD 9.42 in cash per share, or a total value of USD 26.907 mil.</t>
  </si>
  <si>
    <t>New Young Bdcstg Hldg Co Inc</t>
  </si>
  <si>
    <t>Media General Inc</t>
  </si>
  <si>
    <t>US - Media General Inc (Media) acquired the entire share capital of New Young Broadcasting Holding Co Inc (New Young), a New York-based owner and operator of television stations, in a stock swap reverse takeover transaction valued at USD 603. 46 mil. The consideration consisted of the issuance of 60.2 mil Media new ordinary shares and the assumption of USD 164 mil in liabilities. The shares were valued based on Media's closing stock price of USD 7.3 on 05 June 2013, the last full trading day prior to the announcement. On completion, New Young was renamed Media General Inc.</t>
  </si>
  <si>
    <t>RL Polk &amp; Co</t>
  </si>
  <si>
    <t>Pvd automotive info svcs</t>
  </si>
  <si>
    <t>IHS Inc</t>
  </si>
  <si>
    <t>Provide technical information services</t>
  </si>
  <si>
    <t>US - IHS Inc definitively acquired the entire share capital of RL Polk &amp; Co (RL), a Southfield-based provider of online automotive information and marketing solutions, for USD 1.4 bil. Originally, in March 2013, was rumored to be seeking a buyer for the company.</t>
  </si>
  <si>
    <t>Exide Technologies</t>
  </si>
  <si>
    <t>Mnfr,whl lead acid batteries</t>
  </si>
  <si>
    <t>US - Exide Technologies (Exide), a Milton-based manufacturer and wholesaler of lead acid batteries, completed a debt restructuring transaction with Creditors (CRs). CRs received new second lien convertible debt that would be convertible into 80% of the equity and rolled the balance of their DIP loans into a new exit term loan, holders of the Senior Secured Notes received 15% of the common share in the reorganized Exide. The book value of the existing debt that was exchanged under the terms of the offer was USD 1. 1 bil.</t>
  </si>
  <si>
    <t>StellarOne Corp</t>
  </si>
  <si>
    <t>Union First Market Bankshares</t>
  </si>
  <si>
    <t>US - Union First Market Bankshares Corp (Union First) acquired the entire share capital of StellarOne Corp (StellarOne), a Charlottesville-based bank holding company, in a stock swap transaction, valued at USD 442.844 mil. Union First offered 0.9739 share per StellarOne share held. based on Union First's closing stock price of USD 20.02 on 7 June2013, the last full trading day prior to the announcement, each StellarOne share was valued at USD 19. 497. This transaction is Tax- Exempt under IRC s386.</t>
  </si>
  <si>
    <t>US - A management-led investor group, including David Murdock, acquired the remaining 60.43% interest, or 54.32 mil common shares and 1. 269 mil restricted common shares, which it did not already own, in Dole Food Co Inc, Westlake Village-based owner and operator of fruit and vegetable farm, for a sweetened USD 13.5 in cash per share, or a total value of USD 760.401 mil. Originally, the management- led investor group planned to launch an unsolicited tender offer for the remaining 60. 275% interest, or 53.969 mil common shares, for USD 12 in cash per share, or a total value of USD 652.57 mil. On completion, Dole was delisted from New York Stock Exchange.</t>
  </si>
  <si>
    <t>Apollo Tyres Ltd</t>
  </si>
  <si>
    <t>Manufacture,wholesale tires</t>
  </si>
  <si>
    <t>US - Apollo Tyre Ltd (Apollo) of India, through an undisclosed subsidiary, withdrew its definitive agreement to acquire the entire share capital of Cooper Tire &amp; Rubber Co, a Findlay-based manufacturer and wholesaler of tires and tubes, for USD 35 in cash per share, or a total value of USD 2.243 bil. Upon completion, Cooper shares were to be delisted from the New York Stock Exchange. Originally, Apollo was rumored to be planning to acquire an undisclosed majority interest in Cooper.</t>
  </si>
  <si>
    <t>US - Gannett Co Inc acquired the entire share capital of Belo Corp, a Dallas-based owner and operator of television stations, for USD 13.75 in cash per share, or a total value of USD 2.142 bil, including the assumption of USD 715 mil in liabilities. On completion, Belo common shares wee delisted in the New York Stock Exchange.</t>
  </si>
  <si>
    <t>US - Strategic Hotels &amp; Resorts Inc, a Chicago-based real estate investment trust, was rumored to be seeking a buyer for the company. The Current status of this deal is unknown.</t>
  </si>
  <si>
    <t>US - FNB Corp (FNB) acquired the entire share capital of a Baltimore-based BCSB Bancorp Inc (BCSB), in a stock swap transaction valued at USD 78. 788 mil. FNB offered 2.08 common shares per BCSB share held. Based on FNB's closing stock price of USD 11.43 on 13 June 2013, the last full trading day prior to the announcement, each BCSB share was valued at USD 23.774.</t>
  </si>
  <si>
    <t>Wilton Bank,Wilton,CT</t>
  </si>
  <si>
    <t>Bank of New Canaan</t>
  </si>
  <si>
    <t>US - BNC Financial Group Inc merged with Wilton Bank, a commercial bank and holding company, for USD 13.5 in cash per share or a total value of USD 5.603 mil.</t>
  </si>
  <si>
    <t>MIT Capital Inc</t>
  </si>
  <si>
    <t>Mnfr,whl laser,optics products</t>
  </si>
  <si>
    <t>US - MIT Capital Inc (MIT) withdrew its challenging unsolicited tender offer to acquire the entire share capital of Meade Instruments Corp (Meade), an Irvine-based manufacturer and wholesaler of optical products, for USD 3.65 in cash per share, or a total value of USD 4.765 mil. Originally, JOC North America LLC withdrew its agreement to acquire the entire share capital of Meade. Subsequently, Sunny Optics Inc acquired the entire share capital of Meade.</t>
  </si>
  <si>
    <t>Pvd money payment services</t>
  </si>
  <si>
    <t>US - In June 2013, Thomas H Lee Partners LP, a unit of Thomas H Lee Co, was rumored to be seeking a buyer for its MoneyGram International Inc unit, a Dallas-based provider of money payment services. GTCR LLC, Bain Capital LLC, Carlyle Group LP, TPG Capital, and Western Union Co were rumored to be potential bidders.</t>
  </si>
  <si>
    <t>KIT digital Inc SPV</t>
  </si>
  <si>
    <t>US - KIT digital Inc SPV, a special purpose acquisition vehicle formed by a consortium of Altamont Capital Partners LLC and White Dove Group, planned to launch a challenging offer to acquire the entire share capital of bankrupt KIT digital Inc, a New York-based provider of IP-based video solutions services, in a leveraged buyout transaction, for USD 42.5 mil.</t>
  </si>
  <si>
    <t>Grupo Iusacell SA de CV</t>
  </si>
  <si>
    <t>US - Grupo Iusacell SA de CV of , a unit of Grupo Televicentro SA de CVs Grupo Televisa SAB subsidiary, planned to launch a challenging offer to acquire the entire share capital of bankrupt KIT digital Inc, a New York-based provider of IP- based video solutions services, for USD 45 mil.</t>
  </si>
  <si>
    <t>Keynote Systems Inc</t>
  </si>
  <si>
    <t>Pvd internet testing services</t>
  </si>
  <si>
    <t>US - Thoma Bravo LLC acquired the entire share capital of Keynote Systems Inc, a San Mateo-based provider of internet testing services, for USD 20 in cash per share, or a total value of USD 382. 56 mil, in a leveraged buyout transaction.</t>
  </si>
  <si>
    <t>sTec Inc</t>
  </si>
  <si>
    <t>Mnfr solid-state drives,device</t>
  </si>
  <si>
    <t>HGST Inc</t>
  </si>
  <si>
    <t>Manufacture solid state drives</t>
  </si>
  <si>
    <t>US - HGST Inc, a unit of Western Digital Corp's Viviti Technologies Ltd subsidiary, acquired the entire share capital of sTec Inc, a Santa Ana-based manufacturer of solid-state drives and custom memory devices, for USD 6.85 in cash per share or a total value of USD 320.801 mil.</t>
  </si>
  <si>
    <t>Vanguard Health Systems Inc</t>
  </si>
  <si>
    <t>Own,op hospitals,facilities</t>
  </si>
  <si>
    <t>US - Tenet Healthcare Corp acquired the entire share capital of Vanguard Health Systems Inc, a Nashville- based owner and operator of hospitals and healthcare facilities, for USD 4.204 bil. The consideration was to consist of USD 21 in cash per share or a total value of 1. 635 bil and the assumption of USD 2.5 bil in liabilities.</t>
  </si>
  <si>
    <t>Formation Capital LLC</t>
  </si>
  <si>
    <t>Pvd investment management services</t>
  </si>
  <si>
    <t>US - Formation Capital LLC acquired the entire share capital of National Health Investors Inc, a Murfreesboro- based real estate investment trust.</t>
  </si>
  <si>
    <t>Peoples Financial Services</t>
  </si>
  <si>
    <t>US - Peoples Financial Services Corp (Peoples) merged with Penseco Financial Services Corp (Penseco), a Scranton-based bank holding company, in a stock swap transaction valued at USD 155. 907 mil. Peoples offered 1. 364 common shares per Penseco common share. Based on Peoples closing stock price of USD 34.9 on 26 June 2013, the last full trading day prior to the announcement, each Penseco was valued at USD 47.59. On completion, the merged entity was to be renamed as Peoples Security Bank &amp; Trust Co. This transaction is Tax-Exempt under IRC s386.</t>
  </si>
  <si>
    <t>Onyx Pharmaceuticals Inc</t>
  </si>
  <si>
    <t>Mnfr,whl cancer treatment prod</t>
  </si>
  <si>
    <t>US - Amgen Inc completed the tender offer to acquire the entire share capital of Onyx Pharmaceuticals Inc (Onyx), a San Francisco-based manufacturer of cancer treatment products, for a sweetened USD 125 in cash per share, or a total value of USD 9.693 bil. Originally, Amgen offered USD 120 in cash per share, or a total value of USD 9.297 bil. Originally, in November 2011, Onyx was rumored to be seeking a buyer for the company. Amgen, Pfizer Inc, and Novartis AG were rumored potential bidders. The offer was conditioned upon at least a majority of Onyx's share being tendered.</t>
  </si>
  <si>
    <t>NorCal Community Bancorp</t>
  </si>
  <si>
    <t>Bank of Marin Bancorp</t>
  </si>
  <si>
    <t>US - Bank of Marin Bancorp (BMRC) acquired the entire share capital of Alameda- based NorCal Community Bancorp (NCLC), for USD 32. 757 mil. BMRC offered a choice of 0.07716 common share per NCLC share, USD 3. 01 in cash per share, or combination, subject to proration whereby 51% and 49% of the consideration was to consist of common shares and cash, respectively, subject to collar agreement. The shares were valued based on BMRC's closing stock price of USD 40 on 28 June 2013, the last full trading day prior to the announcement.</t>
  </si>
  <si>
    <t>Steinway Musical Instr Inc</t>
  </si>
  <si>
    <t>Mnfr,whl musical instruments</t>
  </si>
  <si>
    <t>US - Kohlberg &amp; Co LLC, through an undisclosed affiliate, withdrew its tender offer to acquire the entire share capital of Steinway Musical Instruments Inc (Steinway), a Waltham- based manufacturer and wholesaler of musical instruments, for an estimated USD 35 in cash per share, or a total value of USD 444.308 mil, in a leveraged buyout transaction. The offer was conditioned upon at least a majority of Steinways shares being tendered.</t>
  </si>
  <si>
    <t>Harris Teeter Supermarkets Inc</t>
  </si>
  <si>
    <t>US - Kroger Co merged with Harris Teeter Supermarkets Inc (Harris), a Matthews- based owner and operator of supermarkets, for USD 49.38 in cash per share or a total value of USD 2.544 bil, including the assumption of USD 100 mil in liabilities. Originally, In February 2013, Harris was rumored to be seeking a buyer for the company. On completion, Harris common shares were delisted in the New York Stock Exchange.</t>
  </si>
  <si>
    <t>Alexion Pharmaceuticals Inc</t>
  </si>
  <si>
    <t>Mnfr biopharmaceutical product</t>
  </si>
  <si>
    <t>US - Roche Holding AG of Switzerland was rumored to be planning to acquire the entire share capital of Alexion Pharmaceuticals Inc, a Cheshire-based manufacturer of biopharmaceutical products. The Current status of this deal is unknown.</t>
  </si>
  <si>
    <t>US - AT&amp;T Inc acquired the entire share capital of Leap Wireless International Inc, a San Diego-based provider of wireless telecommunication services, for USD 15 in cash and non-transferable contingent value right per share, or a total value of USD 1.19 bil. Originally, in September 2009, Leap was rumored to be seeking a buyer for the company. America Movil SAB de CV of Mexico, MetroPCS Communications Inc, AT&amp;T and Verizon Wireless Inc were rumored to be potential bidders.</t>
  </si>
  <si>
    <t>Frozen Food Express Industries</t>
  </si>
  <si>
    <t>Duff Brothers Capital Corp</t>
  </si>
  <si>
    <t>US - Duff Brothers Capital Corp acquired the remaining 94.195% interest, or 1.05 mil common shares, which it did not own in Frozen Food Express Industries Inc (Frozen Food), a Dallas-based provider of trucking services, via a tender offer, for USD 2.1 in cash per share, or a total value of USD 35.784 mil. The offer was conditioned upon at least 66.6% of Frozen Food's shares being tendered</t>
  </si>
  <si>
    <t>Taylor Capital Group Inc</t>
  </si>
  <si>
    <t>Pvd coml bkg svcs,hldg co</t>
  </si>
  <si>
    <t>US - MB Financial Inc (MB) acquired the entire share capital of Taylor Capital Group Inc (Taylor), a Rosemont-based bank holding and investment company, in a stock swap transaction valued at an estimated USD 649.951 mil. The consideration consisted of USD 4.08 cash per share, and 0.64318 MB common share per Taylor share valued at USD 22.198. Based on MB's closing stock price of USD 28.17 on 12 July 2013, the last full trading day prior to the announcement, each Taylor share was valued at USD 18.118. This transaction is Tax-Exempt under IRC s386.</t>
  </si>
  <si>
    <t>Sunny Optics Inc</t>
  </si>
  <si>
    <t>US - Sunny Optics Inc, a unit of Ningbo Sunny Electronic Co Ltd, completed its challenging offer to acquire the entire share capital of Meade Instruments Corp (Meade) , Irvine-based manufacturer and wholesaler of optical products, for USD 4.21 in cash per share, or a total value of USD 5.497 mil. Originally, JOC North America LLC withdrew its agreement to acquire the entire share capital of Meade. Previously, MIT Capital withdrew its challenging offer to acquire Meade.</t>
  </si>
  <si>
    <t>SHFL entertainment Inc</t>
  </si>
  <si>
    <t>Bally Technologies Inc</t>
  </si>
  <si>
    <t>US - Bally Technologies Inc acquired the entire share capital of SHFL entertainment Inc, a Las Vegas-based manufacturer of automatic card shufflers, slot machines, electronic table systems and roulette chip sorters, for USD 23.25 in cash per share, or a total value of USD 1.337 bil, including the assumption of an undisclosed amount in liabilities.</t>
  </si>
  <si>
    <t>InfuSystem Holdings Inc</t>
  </si>
  <si>
    <t>Mnfr,wholesale infusion pumps</t>
  </si>
  <si>
    <t>US - An investor group comprising of Meson Capital Partners LP and Ryan Morris agreed to acquire the entire share capital of InfuSystem Holdings Inc, a Madison Heights-based manufacturer and wholesaler of medical supplies and equipment, for USD 2 cash per share, or a total value of USD 43.605 mil.</t>
  </si>
  <si>
    <t>US - PacWest Bancorp (PacWest) merged with CapitalSource Inc, a Chevy Chase-based provider of commercial lending, investment and asset management services, in a stock swap reverse takeover transaction valued at USD 2. 281 bil. PacWest offered USD 2.47 in cash and 0.2837 PacWest share for every CapitalSource share. Based on PacWest's closing stock price of USD 32.32 on 19 July 2013, the last full trading day prior to the announcement, each CapitalSource was valued at USD 11.639 per share. On completion, the merged entity was to retain the name of PacWest and CapitalSource was to own 60.794% of PacWest. Originally in January 2011, CapitalSource was rumored to be seeking a buyer for the company. This transaction is Tax-Exempt under IRC s386.</t>
  </si>
  <si>
    <t>US - Spartan Stores Inc (Spartan) acquired the entire share capital of Nash Finch Co (Nash Finch), a Minneapolis-based wholesaler and retailer of supermarket food products, in a stock swap transaction valued at USD 317.633 mil. Spartan offered 1.2 common shares for each Nash Finch share held. Based on Spartan's closing stock price of USD 21.2 in 19 July 2013, the last full trading day prior to the announcement, each Nash Finch share was valued at USD 25.44. On completion, the merged entity was renamed SpartanNash Co. This transaction is Tax-Exempt under IRC s386.</t>
  </si>
  <si>
    <t>US - Cisco Systems Inc acquired the entire share capital of Sourcefire Inc, a Columbia-based provider of cyber-security solution services, for USD 76 in cash per share, or a total value of USD 2.597 bil. On completion, Sourcefire Inc's shares were delisted from the NASDAQ stock market.</t>
  </si>
  <si>
    <t>United Commerce Bancorp</t>
  </si>
  <si>
    <t>US - German American Bancorp (German) merged with United Commerce Bancorp (United), a Bloomington-based commercial bank in a stock swap transaction valued at for USD 18.371 mil. German offered USD 1.75 in cash per share and 0.6667 common share per United share. Based on Germans closing stock price of USD 25.92 on 22 July 2013, the last full trading day prior to the announcement, each United share was valued at USD 17.281.</t>
  </si>
  <si>
    <t>Maidenform Brands Inc</t>
  </si>
  <si>
    <t>Mnfr,whl womens lingerie</t>
  </si>
  <si>
    <t>Hanesbrands Inc</t>
  </si>
  <si>
    <t>Mnfr,whl,ret branded apparel</t>
  </si>
  <si>
    <t>US - HanesBrands Inc acquired the entire share capital of Maidenform Brands Inc, an Iselin-based manufacturer and wholesaler of women's lingerie, for USD 23.5 in cash per share, or a total value of USD 543.268 mil.</t>
  </si>
  <si>
    <t>ALCO Stores Inc</t>
  </si>
  <si>
    <t>Own,operate discount stores</t>
  </si>
  <si>
    <t>Argonne Capital Group LLC</t>
  </si>
  <si>
    <t>US - Argonne Capital Group LLC withdrawn its definitive agreement to acquire the entire share capital of ALCO Stores Inc, an Abilene-based owner and operator of discount stores, for USD 14 cash per share, or a total value of USD 46.143 mil, in a leveraged buyout transaction.</t>
  </si>
  <si>
    <t>US - Publicis Groupe SA (Publicis) of France withdrew its definitive agreement to merge with Omnicom Group Inc (Omnicom), a New York-based provider of advertising, marketing and corporate communications services, to form a new company called Publicis Omnicom Group (Publicis Omnicom), in a stock swap merger of equals transaction valued at USD 16. 695 bil. Omnicom shareholders were to receive 0.813 Publicis Omnicom new share and USD 2 special dividend and Publicis shareholders were to receive 1 Publicis Omnicom new share and USD 1. 329 special dividend per share held. Based on Publicis' closing stock price of USD 78.818 on 26 July 2013, the last full trading day prior to the announcement, each Omnicom share was valued at USD 64.079. Upon completion, the merged entity's operational head offices will be located in Paris and New York, and will be listed in the New York Stock Exchange and Euronext Paris. This transaction is structured as a tax inversion. Originally, Publicis was rumored to be planning to merge with Omnicom. This transaction is Tax-Exempt under IRC s386.</t>
  </si>
  <si>
    <t>Integrated Mission Solutions</t>
  </si>
  <si>
    <t>Pvd business support services</t>
  </si>
  <si>
    <t>US - International Mission Solutions LLC, a unit of DC Capital Partners LLC, acquired the entire share capital of Michael Baker Corp (Michael Baker), a Moon Township-based provider of engineering services, for USD 40.5 in cash per share, or a total value of USD 391.54 mil, by accepting 8.265 mil common shares, or 85.489% of Michael Baker's entire share capita. The offer was conditioned upon at least 51% of Michael Baker's shares being tendered.</t>
  </si>
  <si>
    <t>Hudson's Bay Co</t>
  </si>
  <si>
    <t>US - Hudsons Bay Co of Canada acquired the entire share capital of Saks Inc (Saks), a New York-based owner and operator of department stores, for USD 16 in cash per share, or a total value of USD 2. 505 bil. Originally, in May 2013, Saks was rumored to be seeking a buyer for the company. KKR, Neiman Marcus and Qatar Investment Authority were named potential bidders.</t>
  </si>
  <si>
    <t>Health Management Assoc Inc</t>
  </si>
  <si>
    <t>US - Community Health Systems Inc (Community Health) acquired the entire share capital of Health Management Associates Inc (Health Management), Naples-based owner and operator of acute care hospitals, for USD 7.548 bil, including the assumption of USD 3.7 bil in liabilities. Community Health offered USD 10.5 in cash, 0.06942 common shares and up to USD 1 in contingent value rights per Health Management share. The shares were valued based on Community Health's closing stock price of USD 47.23 mil on 29 July 2013, the last full trading day prior to the announcement. In June 2013, Health Management was rumored to be seeking a buyer for the company. HCA Holdings Inc and LifePoint Hospitals Inc were named potential bidders. On completion, Health Management common shares were delisted in the New York Stock Exchange.</t>
  </si>
  <si>
    <t>Optimer Pharmaceuticals Inc</t>
  </si>
  <si>
    <t>US - Cubist Pharmaceuticals Inc (Cubist) acquired the entire share capital of Optimer Pharmaceuticals Inc (Optimer), a Jersey-based biopharmaceutical company, for 10.75 in cash and up to USD 5 per share in contingent value rights, or a total value of USD 775.504 mil. Concurrently, Cubist definitively agreed to acquire the entire share capital of Trius Therapeutics Inc. Originally, in February 2013, Optimer was rumored to be seeking a buyer for the company. AstraZeneca PLC, Astellas Pharma Inc, GlaxoSmithKline PLC and Cubist were named potential bidders. On completion, Optimer common shares was delisted in the NASDAQ Stock Exchange.</t>
  </si>
  <si>
    <t>Trius Therapeutics Inc</t>
  </si>
  <si>
    <t>US - Cubist Pharmaceuticals Inc (Cubist) acquired the entire share capital of Trius Therapeutics Inc (Trius), a San Diego-based biopharmaceutical company, for USD 786.579 mil.  The consideration was to consist of USD 13.5 in cash per share and up to USD 95.744 mil in profit-related payments. On completion, Trius common shares was delisted in the NASDAQ Stock Exchange. Concurrently, Cubist agreed to acquire the entire share capital of Optimer Pharmaceuticals Inc.</t>
  </si>
  <si>
    <t>US - An investor group, including Land &amp; Buildings Investment Management LLC, withdrew its plans to launch an unsolicited tender offer to acquire the entire share capital of BRE Properties Inc (BRE), a San Francisco-based real estate investment trust, for USD 60 per share, or a total value of USD 4.631 bil. Subsequently, Essex Property Trust Inc merged with BRE, via a challenging offer.</t>
  </si>
  <si>
    <t>George Soros</t>
  </si>
  <si>
    <t>US - George Soros was rumored to be planning to acquire an undisclosed majority interest in Herbalife Ltd, a Los Angeles-based wholesaler of weight-management, nutritional supplements and personal care products intended to support a healthy lifestyle. The Current status of this deal is unknown.</t>
  </si>
  <si>
    <t>Charter Communications Inc</t>
  </si>
  <si>
    <t>Pvd cable TV,Internet services</t>
  </si>
  <si>
    <t>Pvd cable TV,broadband svcs</t>
  </si>
  <si>
    <t>US - Cox Communications Inc, a unit of Cox Enterprises Inc, was rumored to be planning to merge with Inc, a Stamford- based provider of cable television and Internet services. The Current status of this deal is unknown.</t>
  </si>
  <si>
    <t>Paulson &amp; Co Inc</t>
  </si>
  <si>
    <t>US - Paulson &amp; Co Inc acquired the entire share capital of Steinway Musical Instruments Inc (Steinway Musical), a Waltham-based manufacturer and wholesaler of musical instruments, via tender a tender offer, for USD 40 in cash per share, or a total value of USD 513.395 mil. On completion, Steinway Musical common shares was delisted in the New York Stock Exchange.</t>
  </si>
  <si>
    <t>Nelson Peltz</t>
  </si>
  <si>
    <t>US - Nelson Peltz was rumored to be planning to acquire an undisclosed majority interest in El du Pont de Nemours &amp; Co(DuPont}, a Wilmington- based manufacturer of chemicals and electronic products. Terms of the deal were not disclosed but, according to sources close to the situation, the deal was valued at an USD 1.3 bil. The Current status of this deal is unknown.</t>
  </si>
  <si>
    <t>Mercantile Bank Corp</t>
  </si>
  <si>
    <t>US - Grand Rapids-based Mercantile Bank Corp (Mercantile) merged with Alma- based Firstbank Corp (Firstbank) in a stock swap transaction valued at USD 167. 668 mil. Mercantile offered 1 common share and USD 2 in cash per Firstbank share. Based on Mercantile's closing stock price of USD 18.77 on 14 August 2013, the last full trading day prior to the announcement, each Firstbank share was valued at USD 18.77. On completion, the merged entity was to operate under the name Mercantile. This transaction is Tax-Exempt under IRC s386.</t>
  </si>
  <si>
    <t>Volterra Semiconductor Corp</t>
  </si>
  <si>
    <t>US - Maxim Integrated Products Inc acquired the entire share capital of Volterra Semiconductor Corp (Volterra), a Fremont-based manufacturer and wholesaler of analog and mixed-signal power management semiconductors, via a tender offer, for USD 23 in cash per share, or a total value of USD 602.719 mil. The offer was conditioned upon at least a majority of Volterra's shares being tendered. On completion, Volterra common shares was delisted in the NASDAQ Global Select Market.</t>
  </si>
  <si>
    <t>WP Stewart &amp; Co Ltd</t>
  </si>
  <si>
    <t>AllianceBernstein Holding LP</t>
  </si>
  <si>
    <t>US - AllianceBernstein Holding LP, a unit of AXA SA's AXA Financial Inc subsidiary, definitively agreed to acquire the entire share capital of WP Stewart &amp; Co Ltd, a New York-based provider of investment management services, for USD 12 in cash per share, or a total value of USD 80.308 mil, including USD 20.077 mil in contingent value right.</t>
  </si>
  <si>
    <t>National Technical Systems Inc</t>
  </si>
  <si>
    <t>Pvd prod design,testing svcs</t>
  </si>
  <si>
    <t>US - Aurora Capital Group acquired the entire share capital of National Technical Systems Inc, a Calabasas- based provider of product design consulting and testing services, for USD 23 in cash per share, or a total value of USD 275.807 mil, in a leveraged buyout transaction. On completion, National common shares will be delisted in the NASDAQ Stock Market.</t>
  </si>
  <si>
    <t>GlobeComm Systems Inc</t>
  </si>
  <si>
    <t>Wasserstein &amp; Co LP</t>
  </si>
  <si>
    <t>US - Wasserstein &amp; Co LP acquired the entire share capital of GlobeComm Systems Inc, a Hauppauge-based provider of satellite communications services, for USD 14.15 in cash per share, or a total value of USD 338. 647 mil, in a leveraged buyout transaction. On completion GlobeComm common shares are delisted in the NASDAQ Stock Exchange.</t>
  </si>
  <si>
    <t>TMS International Corp</t>
  </si>
  <si>
    <t>Pvd outsourced industrial svcs</t>
  </si>
  <si>
    <t>The Pritzker Organization LLC</t>
  </si>
  <si>
    <t>US - The Pritzker Organization LLC acquired the entire share capital of TMS International Corp (TMS), a Glassport-based provider of outsourced industrial services, for USD 17.5 in cash per share, or a total value of USD 692.297 ml, including the assumption of an undisclosed amount in liabilities. On completion, TMS common shares were delisted in the New York Stock Exchange.</t>
  </si>
  <si>
    <t>Hi-Tech Pharmacal Co Inc</t>
  </si>
  <si>
    <t>Akorn Inc</t>
  </si>
  <si>
    <t>US - Akorn Inc, through an undisclosed subsidiary, acquired the entire share capital of Hi-Tech Pharmacal Co Inc, an Amityville-based manufacturer of pharmaceutical products, for USD 43.5 in cash per share or a total value of USD 601.989 mil.</t>
  </si>
  <si>
    <t>ACS Merger Corp</t>
  </si>
  <si>
    <t>US -ACS Merger Corp, a wholly owned unit of American CyberSystems Inc acquired the entire share capital of Analysts International Corp, a Minneapolis-based provider of information technology services, for USD 6.45 cash per share or a total value of USD 33.392 mil.</t>
  </si>
  <si>
    <t>First Citizens Bank &amp; Trust Co</t>
  </si>
  <si>
    <t>US - First Citizens Bank &amp; Trust Co, a wholly-owned unit of First Citizens Bancshares Inc merged with Hendersonville-based 1st Financial Services Corp, for USD 10 mil in cash. The consideration was to consist of USD 2 mil cash for all outstanding common shares and USD 8 mil cash for all outstanding cumulative preferred shares A. The acquisition was to include Mountain 1st Bank &amp; Trust Co.</t>
  </si>
  <si>
    <t>F&amp;M Bancorporation Inc</t>
  </si>
  <si>
    <t>Prosperity Bancshares Inc</t>
  </si>
  <si>
    <t>US - Prosperity Bancshares Inc (Prosperity) merged with F&amp;M Bancorporation Inc, a Tulsa-based bank holding company, for USD 243.872 mil. The consideration consisted of the issuance of 3.298 mil Prosperity common shares, valued at USD 196.872 mil, and USD 47 mil in cash. The shares were valued based on Prosperity's closing stock price of USD 59.69 on 28 August 2013, the last full trading day prior to the announcement.</t>
  </si>
  <si>
    <t>Ellie Mae Inc</t>
  </si>
  <si>
    <t>Dvlp mortgage mgmt software</t>
  </si>
  <si>
    <t>US - In September 2013, Ellie Mae Inc, a Pleasanton-based developer of mortgage management software, was rumored to be seeking a buyer for the company. The Current status of this deal is unknown.</t>
  </si>
  <si>
    <t>St Joseph Bancorp Inc,MO</t>
  </si>
  <si>
    <t>FSC Bancshares Inc</t>
  </si>
  <si>
    <t>US - FSC Bancshares Inc agreed to acquire the entire share capital of St Joseph Bancorp Inc, a St Joseph- based bank holding company. Terms were not disclosed.</t>
  </si>
  <si>
    <t>Rochester Medical Corp</t>
  </si>
  <si>
    <t>Mnfr disposable catheters</t>
  </si>
  <si>
    <t>US - CR Bard Inc acquired the entire share capital of Rochester Medical Corp (Rochester), a Stewartville- based manufacturer of disposable catheters, for USD 20 in cash per share or a total value of USD 262.673 mil. On completion, Rochester common shares were delisted in the NASDAQ Stock Market LLC.</t>
  </si>
  <si>
    <t>Astex Pharmaceuticals Inc</t>
  </si>
  <si>
    <t>Otsuka Holdings Co Ltd</t>
  </si>
  <si>
    <t>US - Otsuka Holdings Co Ltd (Otsuka) of Japan, through its Autumn Acquisition Corp subsidiary, acquired the entire share capital of Astex Pharmaceuticals Inc (Astex), a Dublin-based manufacturer of pharmaceuticals, for USD 8. 5 in cash per share, or a total value of USD 886.863 mil. Earlier, Otsuka completed its tender offer by accepting 49.774 mil shares, or 52.426% of Astex's entire share capital. The offer was conditioned upon at least a majority of Astex's shares being tendered.</t>
  </si>
  <si>
    <t>AB SKF</t>
  </si>
  <si>
    <t>Mnfr,wholesale roller bearings</t>
  </si>
  <si>
    <t>US - AB SKF (AB) of Sweden, through its Dublin Acquisition Sub Inc unit, acquired the entire share capital of Kaydon Corp (Kaydon), an Ann Arbor-based manufacturer of bearing systems, for USD 35.5 in cash per share, or a total value of USD 1.243 bil, including the assumption of USD 95 mil in liabilities. Earlier, AB completed the tender offer for Kaydon by accepting 25. 464 mil shares, or about 79. 065% of Kaydon's common stock outstanding. The offer was conditioned upon at least a majority of Kaydon's shares being tendered. On completion, Kaydon common shares will be delisted in the New York Stock Exchange.</t>
  </si>
  <si>
    <t>Thomas Properties Group Inc</t>
  </si>
  <si>
    <t>Parkway Properties Inc</t>
  </si>
  <si>
    <t>US - Parkway Properties Inc (PP) merged with Thomas Properties Group Inc (TP), a Los Angeles-based owner and operator of real estate properties, in a stock swap transaction valued at an estimated USD 1.119 bil, including the assumption of USD 725 mil in liabilities. PP offered 0.3822 common share per TP share and TP convertible unit. Based on PP's closing stock price of USD 16.37 on 04 September 2013, the last full trading day prior to the announcement, each TP share was valued at USD 6.257. Concurrently, Brandywine Realty Trust agreed to acquire the One and Two Commerce Square office buildings of TP.</t>
  </si>
  <si>
    <t>Eldorado Resorts LLC</t>
  </si>
  <si>
    <t>US - Eldorado Resorts Inc (ERI) merged with MTR Gaming Group Inc (MTR), a Chester- based owner and operator of casino hotels and racetracks, to form a new company (NC), valued at USD 35.735 mil. MTR shareholders were to receive a sweetened USD 6.05 in cash and NC common share per share held. On completion, the merged entity was to be named Eldorado Resorts Inc (ER), and ERI and MTR shareholders were to own 55% and 45% of ER, respectively. Previously, ERI offered USD 5.15 in cash. This transaction is Tax- Exempt under IRC s386.</t>
  </si>
  <si>
    <t>Koch Industries Inc</t>
  </si>
  <si>
    <t>US - Koch Industries Inc acquired the entire share capital of Molex Inc (Molex), a Lisle-based manufacturer of electronic components, for USD 38.5 in cash per share, or a total value of USD 7.068 bil. On completion, Molex common shares will be delisted in the NASDAQ Global Markets and London Stock Exchange.</t>
  </si>
  <si>
    <t>Tower Financial Corporation</t>
  </si>
  <si>
    <t>Old National Bancorp</t>
  </si>
  <si>
    <t>US - Old National Bancorp (ONB) acquired the entire share capital of Tower Financial Corp (TFC), a Fort Wayne-based bank holding company, in a stock swap transaction valued at USD 109. 183 mil. ONB offered 1.2 common shares and USD 6.75 in cash per TFC common share. Based on ONB's closing stock price of USD 13.77 on 09 September 2013, the last full trading day prior to the announcement, each TFC share was valued at USD 23.374. This transaction is Tax- Exempt under IRC s386.</t>
  </si>
  <si>
    <t>US - Umpqua Holdings Corp (Umpqua) merged with Sterling Financial Corp (Sterling), a Spokane-based bank holding company, in a stock swap transaction valued at USD 1. 973 bil. Umpqua offered USD 2. 18 in cash and 1.671 new Umpqua common shares per Sterling share. Based on Umpqua's closing stock price of USD 17.19 on September 10, the last full trading day prior to the announcement, each Sterling share was valued at USD 30.904. Originally, Umpqua was rumored to be in negotiations to acquire the entire share capital of Sterling. This transaction is Tax-Exempt under IRC s386.</t>
  </si>
  <si>
    <t>US - Mill Road Capital LP (Mill), through its undisclosed subsidiary, acquired the entire share capital of RG Barry Corp (RG), a Pickerington-based manufacturer and retailer of footwear, for an amended USD 19 in cash per share, or a total value of USD 216.958 mil, via tender offer, in a leveraged buyout transaction. Originally, Mill offered USD 20 in cash per share or a total value of USD 228.656 mil. On completion, RG became a subsidiary of Mill.</t>
  </si>
  <si>
    <t>Boise Inc</t>
  </si>
  <si>
    <t>Mnfr packaging products,papers</t>
  </si>
  <si>
    <t>Packaging Corp of America</t>
  </si>
  <si>
    <t>US - Packaging Corp of America acquired the entire share capital of Boise Inc, a Boise-based manufacturer of packaging products and papers, for USD 12.55 in cash per share, or a total value of USD 1.984 bil, including the assumption of USD 714 mil in liabilities, via a tender offer.</t>
  </si>
  <si>
    <t>MetroCorp Bancshares Inc</t>
  </si>
  <si>
    <t>US - East West Bancorp (East West) Inc acquired the entire share capital of MetroCorp Bancshares Inc, a Houston- based bank holding company, for USD 14.60 per share, or a total value of USD 274.308 mil, subject to proration where by 66.667% is to paid in East West common shares and 33.333% in cash. This transaction is Tax-Exempt under IRC s386.</t>
  </si>
  <si>
    <t>Transcept Pharmaceuticals Inc</t>
  </si>
  <si>
    <t>Retrophin Inc</t>
  </si>
  <si>
    <t>US - Retrophin Inc withdrew its plans to acquire the entire share capital of Transcept Pharmaceuticals Inc, a Pt Richmond-based manufacturer specialty pharmaceuticals, for USD 4 in cash per share, or a total value of USD 75.040 mil.</t>
  </si>
  <si>
    <t>NewStar Financial Inc</t>
  </si>
  <si>
    <t>US - In September 2013, NewStar Financial Inc, a Boston-based provider of financing services, was rumored to be seeking a buyer for the company. The Current status of this deal is unknown.</t>
  </si>
  <si>
    <t>Verenium Corp</t>
  </si>
  <si>
    <t>Mnfr,whl cellulosic ethanol</t>
  </si>
  <si>
    <t>BASF Corp</t>
  </si>
  <si>
    <t>Manufacture chemicals,coatings</t>
  </si>
  <si>
    <t>US - BASF Corp (BASF), a unit of BASF AG, acquired the entire share capital of Verenium Corp (Verenium), a San Diego-based manufacturer and wholesaler of cellulosic ethanol, USD 4 in cash per share, or a total value of USD 52.416 mil, via tender offer. Earlier, BAS completed its tender offer for Verenium by accepting 11.337 mil shares, or 76.712% of BASFs common shares outstanding. The offer was conditioned upon at least 51% of Verenium Corp's shares being tendered.</t>
  </si>
  <si>
    <t>Greenway Medical Tech Inc</t>
  </si>
  <si>
    <t>US - Vista Equity Partners LLC (Vista Equity) acquired the entire share capital of Greenway Medical Technologies Inc (Greenway), a Carrollton- based developer of medical software, for USD 20.35 in cash per share or a total value of USD 643.948 mil, by accepting 27.289 mil shares, or 91.533% of Greenway''s common shares outstanding, in a leveraged buyout transaction. The offer was conditioned upon at least 74% of Greenway''s shares being tendered. On completion, Greenway was delisted in the New York Stock Exchange.</t>
  </si>
  <si>
    <t>Official Payments Holdings Inc</t>
  </si>
  <si>
    <t>Pvd electn payment services</t>
  </si>
  <si>
    <t>US - ACI Worldwide Inc acquired the entire share capital of Official Payments Holdings Inc, a Norcross- based provider of electronic payment services, via a tender offer for USD 8.35 in cash per share, or a total value of USD 147.268 mil.</t>
  </si>
  <si>
    <t>Eastern Insurance Hldgs Inc</t>
  </si>
  <si>
    <t>US - ProAssurance Corp (PC), through its newly formed subsidiary, merged with Lancaster-based Eastern Insurance Holdings Inc (EIH), for USD 24.5 in cash per share, or a total value of USD 205.212 mil.</t>
  </si>
  <si>
    <t>Home Federal Bancorp Inc,ID</t>
  </si>
  <si>
    <t>Banner Corp</t>
  </si>
  <si>
    <t>US - Banner Corp withdrew its agreement to acquire the entire share capital of Nampa- based Home Federal Bancorp Inc, for an estimated USD 197 mil. This transaction is Tax- Exempt under IRC s386.</t>
  </si>
  <si>
    <t>American Industrial Partners</t>
  </si>
  <si>
    <t>US - American Industrial Partners LP, a unit of American Industrial Partners Management Co Inc, acquired the entire share capital of Flow International Corp, a Kent-based manufacturer of industrial waterjets, for USD 4.05 in cash per share, or a total value of USD 198.198 mil, in a leveraged buyout transaction.</t>
  </si>
  <si>
    <t>MAKO Surgical Corp</t>
  </si>
  <si>
    <t>US - Stryker Corp acquired the entire share capital of MAKO Surgical Corp, a Ft. Lauderdale-based manufacturer and wholesaler of medical devices, for USD 30 in cash per share, or a total value of USD 1.484 bil.</t>
  </si>
  <si>
    <t>Knight Transportation Inc</t>
  </si>
  <si>
    <t>Pvd truckload carrier services</t>
  </si>
  <si>
    <t>US - Knight Transportation Inc withdrew its unsolicited plans to acquire the remaining 92.129% interest, or 9.714 mil common shares, which it did not already own, in USA Truck Inc, a Van Buren- based provider of trucking services, for USD 9 in cash per share, or a total value of USD 87.427 mil.</t>
  </si>
  <si>
    <t>Zoltek Cos Inc</t>
  </si>
  <si>
    <t>Mnfr,whl carbon,graphite prod</t>
  </si>
  <si>
    <t>Toray Industries Inc</t>
  </si>
  <si>
    <t>Manufacture, wholesale textile</t>
  </si>
  <si>
    <t>US - Toray Industries Inc of Japan, through its TZ Acquisition Corp subsidiary acquired the entire share capital of Zoltek Cos Inc, a St Louis-based manufacturer and wholesaler of carbon and graphite products, for USD 16. 75 in cash per share, or a total value of USD 589.704 mil. Originally, in April 2013, Zoltek Cos Inc announced that it was seeking a buyer for the company.</t>
  </si>
  <si>
    <t>The Active Network Inc</t>
  </si>
  <si>
    <t>Dvlp event management software</t>
  </si>
  <si>
    <t>US - Vista Equity Partners LLC (Vista) acquired the entire share capital of The Active Network Inc (Active), a San Diego-based developer of event management software, via a tender offer for USD 14. 5 in cash per share, or a total value of USD 977.251 mil, in a leveraged buyout transaction. Earlier, Vista completed its tender offer by accepting 56.74 mil shares, or about 90.983% of Active common stock outstanding. On completion, Active common shares were delisted in the New York Stock Exchange.</t>
  </si>
  <si>
    <t>International Minerals Corp</t>
  </si>
  <si>
    <t>Hochschild Mining PLC</t>
  </si>
  <si>
    <t>US - Hochschild Mining PLC of the UK, acquired the remaining 96.807% interest or 113.881 mil common shares, which it did not already own, in International Minerals Corp (International), a Scottsdale-based gold and silver mining company, for USD 2.38 in cash per share, or a total value of USD 271. 036 mil, via scheme of arrangement. Concurrently, International agreed to spinoff its Peruvian assets to its shareholders. The transaction was to include the remaining 40% stake, which it did not own, in Pallancata silver mine and the Inmaculada gold-silver development project. Upon completion, International will be delisted from the Toronto Stock Exchange (TSX) and the SIX Swiss Exchange.</t>
  </si>
  <si>
    <t>Investors Capital Holdings Ltd</t>
  </si>
  <si>
    <t>RCS Capital Corp</t>
  </si>
  <si>
    <t>Pvd broker-dealer services</t>
  </si>
  <si>
    <t>US - RCS Capital acquired the entire share capital of Investors Capital Holdings Ltd, a ICH-based provider of financial planning services, for USD 7.35 per share, or a total value of USD 52.161 mil.</t>
  </si>
  <si>
    <t>The Men's Wearhouse Inc</t>
  </si>
  <si>
    <t>Jos A Bank Clothiers Inc</t>
  </si>
  <si>
    <t>Own,op men's clothing stores</t>
  </si>
  <si>
    <t>US - Joseph A Bank Clothiers Inc (Jos), a unit of JAB Acquisition Corp, withdrew its unsolicited plans to acquire the entire share capital of Men's Wearhouse Inc (Men's), a Houston-based owner and operator of men's apparel store, for USD 48 in cash per share, or a total value of USD 2.317 bil. Subsequently, Men's acquired the entire share capital of Jos.</t>
  </si>
  <si>
    <t>Patriot Coal Corp</t>
  </si>
  <si>
    <t>US - Patriot Coal Corp, a St Louis-based coal mining company, agreed to a debt restructuring transaction with Creditors. The book value of the existing debt that will be exchanged under the terms of the offer is USD 3.124 bil.</t>
  </si>
  <si>
    <t>US - Huntington Bancshares Inc (Huntington) acquired the entire share capital of Camco Financial Corp (Camco), a Cambridge-based savings and loan holding company, in a stock swap transaction valued at USD 94.367 mil. Huntington offered a choice of USD 6 in cash or 0.7264 common share per Camco share, subject to proration whereby 80% of the consideration was in common shares and the remaining 20% in cash.</t>
  </si>
  <si>
    <t>PVR Partners LP</t>
  </si>
  <si>
    <t>Pvd gas gathering services</t>
  </si>
  <si>
    <t>US - Regency Energy Partners LP (Regency) acquired the entire share capital of PVR Partners LP (PVR), a Radnor- based owner and operator of natural gas midstream pipelines, in a reverse takeover transaction valued at USD 5.507 bil. The consideration consisted of USD 0.262 in cash per PVR share, the assumption of USD 1.8 bil in liabilities, and USD 3.673 bil in Regency common shares. Regency offered 1.02 common shares per PVR share. Based on PVR's closing stock price of USD 27. 83 on 9 October 2013, the last full trading day prior to the announcement, each PVR share was valued at USD 28. 649. On completion, PVR common shares are delisted in the New York Stock Exchange.</t>
  </si>
  <si>
    <t>Coldwater Creek Inc</t>
  </si>
  <si>
    <t>Ret women's clothing</t>
  </si>
  <si>
    <t>US - Coldwater Creek Inc, a Sandpoint-based retailer of womens apparel, footwear, jewelry, gift items and soft home accessories, terminated its search for buyer for the company.</t>
  </si>
  <si>
    <t>US - In October 2013, Emulex Corp, a Costa Mesa-based manufacturer of network storage products, was rumored to be seeking buyer for the company. Francisco Partners LP, Thoma Bravo LLC and Thomas H Lee Partners LP were named rumored bidders. The Current status of this deal is unknown.</t>
  </si>
  <si>
    <t>CSC ServiceWorks Inc</t>
  </si>
  <si>
    <t>US - CSC ServiceWorks Inc, a unit of Pamplona Capital Management LLP, acquired the entire share capital of Mac- Gray Corp (Mac-Gray), a Waltham-based owner and operator of card- and coin- operated laundry facilities, for USD 21.25 in cash per share, or a total value of USD 335.662 mil. On completion, Mac-Gray common shares were delisted in the New York Stock Exchange.</t>
  </si>
  <si>
    <t>US WorldMeds LLC</t>
  </si>
  <si>
    <t>US - US WorldMeds LLC, through its Sloan Holdings CV subsidiary, withdrew its agreement to acquire the entire share capital of bankrupt Savient Pharmaceuticals Inc (Savient), an East Brunswick-based manufacturer of pharmaceuticals, for an estimated USD 55 mil. Originally, In October 2010, bankrupt Savient announced that it was seeking a buyer for the company. Sloan Holdings CV was named potential bidder. Sunsequently, Crealta Pharmaceuticals LLC, a majority owned unit of GTCR LLC, acquired the entire share capital of bankrupt Savient.</t>
  </si>
  <si>
    <t>734 Agriculture LLC</t>
  </si>
  <si>
    <t>US - 734 Agriculture LLC acquired 51% interest in Alico Inc, a Fort Myers-based owner and operator of animal and fruit farm, for USD 37 cash per share or total value of USD 137.827 mil. Originally in January 2013, Alico announced that it was seeking a buyer for the company.</t>
  </si>
  <si>
    <t>Crosstex Energy Inc</t>
  </si>
  <si>
    <t>Pvd gas gathering svcs</t>
  </si>
  <si>
    <t>Devon Holdings</t>
  </si>
  <si>
    <t>US - Devon Holdings, a unit of Devon Energy Corp, acquired the entire share capital of Crosstex Energy Inc, a Dallas-based provider of gas gathering services, for USD 1.535 bil. The consideration consisted of USD 2 in cash per share, or a total value of USD 95.447 mil and USD 1.44 bil in assets. The transaction was carried out as a combination of Devon Energy Corp and Crosstex Energy Inc's midstream assets to form two publicly traded businesses. On completion the two publicly traded businesses were renamed as EnLink Midstream Partners LP and EnLink Midstream LLC. This transaction is Tax- Exempt under IRC s386.</t>
  </si>
  <si>
    <t>Heritage Oaks Bancorp</t>
  </si>
  <si>
    <t>US - Heritage Oaks Bancorp (Heritage) acquired the entire share capital of Mission Community Bancorp (Mission), a San Luis Obispo- based bank holding company, in a stock swap transaction valued at a sweetened USD 65. 320. Heritage offered 0.8614 common share and USD 0.19 in cash per share for each Mission share plus USD 8 mil in cash. The shares were valued based on Heritage's closing stock price of USD 7. 38 on 06 January 2014.</t>
  </si>
  <si>
    <t>NTS Inc</t>
  </si>
  <si>
    <t>Tower Three Partners LLC</t>
  </si>
  <si>
    <t>US - Tower Three Partners LLC acquired the entire share capital of NTS Inc, a Lubbock- based provider of telecommunications services, for USD 2 in cash per share, or a total value of USD 82. 928 mil, in a leveraged buyout transaction.</t>
  </si>
  <si>
    <t>US - Microsemi Corp acquired the entire share capital of Symmetricom Inc (Symmetricom), a San Jose-based manufacturer, designer and marketer of synchronized systems, via tender offer for USD 7.18 in cash per share or a total value of USD 309.123 mil. The offer was conditioned upon at least a majority of Symmetricom's shares being tendered.</t>
  </si>
  <si>
    <t>Marlin Equity Partners LLC</t>
  </si>
  <si>
    <t>US - Marlin Equity Partners LLC, through its Blackhawk Merger Sub Inc wholly-owned subsidiary, acquired the entire share capital of Tellabs Inc (Tellabs), a Naperville-based manufacturer of voice and data transport and network access systems, for USD 2.45 in cash per common share and restricted common share, or a total value of USD 890.751 mil, via tender offer, in a leveraged buyout transaction. The offer was conditioned upon at least majority of Tellabs' shares being tendered.</t>
  </si>
  <si>
    <t>Alaska Pacific Bancshares Inc</t>
  </si>
  <si>
    <t>Northrim Bancorp Inc</t>
  </si>
  <si>
    <t>US - Northrim Bancorp Inc (Northrim) acquired the entire share capital of Alaska Pacific Bancshares Inc, a Juneau-based bank holding company, in a stock swap transaction valued at USD 13. 635 mil. The consideration was to consist of USD 6.418 mil in cash and the issuance of 0.305 mil Northrim common shares valued at USD 7.217 mil. The shares were valued based on Northrim's closing stock price of USD 23.69 mil on 21 October 2013, the last full trading day prior to the announcement.</t>
  </si>
  <si>
    <t>PAA Natural Gas Storage LP</t>
  </si>
  <si>
    <t>US - Plains All American Pipeline LP (PAA) acquired the remaining 38.113% interest, or 33.003 mil common LP units, which it did not already own, in PAA Natural Gas Storage LP (PNG), a Houston-based owner and operator of oil storage terminals, for USD 761.482 mil. PAA offered 0.445 common LP unit per PNG LP unit. Based on PAA's closing stock price of USD 51.85 on 21 October 2013, the last full trading day prior to the announcement, each PNG LP unit was valued at USD 23.073. This transaction is Tax- Exempt under IRC s386.</t>
  </si>
  <si>
    <t>Cole Real Estate Investments</t>
  </si>
  <si>
    <t>US - American Realty Capital Properties Inc (American Realty) acquired the entire share capital of Cole Real Estate Investments Inc (Cole), a Phoenix-based real estate investment trust, in a reverse takeover transaction valued at USD 6.953 bil. American Realty offered a choice of 1.0929 new common shares or USD 13.82 in cash per Cole common and restricted share. Based on American Realty's closing stock price of 13.35 on 22 October 2013, the last full trading day prior to the announcement, each Cole share was valued at USD 14.59. The transaction was contingent upon closing of American Realty's merger with CapLease Inc and American Realty Capital Trust IV Inc.</t>
  </si>
  <si>
    <t>Cascade Bancorp,Bend,OR</t>
  </si>
  <si>
    <t>US - Cascade Bancorp merged with Nampa-based Home Federal Bancorp Inc, for USD 265.682 mil. The consideration was to consist of USD 120.8 mil and the issuance of 24.309 mil Cascade common shares valued at USD 144.882 mil. The shares were valued based on Cascade's closing stock price of USD 5.96 on 22 October 2013, the last full trading day prior to the announcement. This transaction is Tax- Exempt under IRC s386.</t>
  </si>
  <si>
    <t>Heritage Financial Corp</t>
  </si>
  <si>
    <t>US - Heritage Financial Corp (Heritage) merged with Washington Banking Co (Washington), an Oak Harbor- based bank holding company, in a stock swap transaction valued at USD 262.388 mil. Heritage offered 2.75 in cash and 0.89 Heritage common shares per Washington share. Based on Heritage's closing stock price of USD 15.85 on October 22, the last full trading day prior to the announcement, each Washington share was valued at USD 16. 857. This transaction is Tax- Exempt under IRC s386.</t>
  </si>
  <si>
    <t>Consolidated Graphics Inc</t>
  </si>
  <si>
    <t>US - RR Donnelley &amp; Sons Co (RR) acquired the entire share capital of Consolidated Graphics Inc, a Houston-based provider of commercial printing services, for USD 34. 44 in cash and 1.651 RR common shares per share, or a total value of USD 622.809 mil, including the assumption of undisclosed amount in liabilities.</t>
  </si>
  <si>
    <t>Imperial Holdings Inc</t>
  </si>
  <si>
    <t>Provide specialty financial services</t>
  </si>
  <si>
    <t>Majestic Opco LLC</t>
  </si>
  <si>
    <t>US - Majestic Opco LLC acquired Imperial Holdings Inc, a Boca Raton-based provider of specialty financial services, for USD 12 mil.</t>
  </si>
  <si>
    <t>Blyth Inc</t>
  </si>
  <si>
    <t>Mnfr,whl home fragrance products</t>
  </si>
  <si>
    <t>CVSL Inc</t>
  </si>
  <si>
    <t>Own,operate direct selling establishments</t>
  </si>
  <si>
    <t>US - CVSL Inc (CVSL) withdrew its plans to launch an unsolicited tender offer to acquire the entire share capital of Blyth Inc (Blyth), a Greenwich-based manufacturer and wholesaler of home fragrance products, for USD 16.75 in cash per share or a total value of USD 268.21 mil. Alternatively, CVSL offered USD 16.75 in CVSL common shares per share. Originally, in October 2013, CVSL was rumored to be planning to acquire the entire share capital of Blyth.</t>
  </si>
  <si>
    <t>NewBridge Bancorp</t>
  </si>
  <si>
    <t>US - Newbridge Bancorp (Newbridge) acquired the entire share capital of Raleigh-based Capstone Bank (Capstone), in a stock swap transaction, valued at USD 60. 22 mil. Newbridge offered 2. 25 common shares for each Capstone share held. Based on Newbridge's closing stock price of USD 7.46 on 31 October 2013, the last full trading day prior to the announcement, each Capstone share was valued at USD 16. 785.</t>
  </si>
  <si>
    <t>US - Veritas Capital Fund IV LP, a unit of Veritas Capital Partners LP, acquired the entire share capital of Anaren Inc, an East Syracuse- based manufacturer of microwave components, for USD 28 in cash per share, or a total value of USD 382.147 mil, in a leveraged buyout transaction. Previously, Vintage Capital Management withdrew its plans to launch an unsolicited tender offer to acquire the remaining 87. 2% interest, which it did not already own, in Anaren.</t>
  </si>
  <si>
    <t>Chatham Lodging Trust</t>
  </si>
  <si>
    <t>BlueMountain Capital Mgmt LLC</t>
  </si>
  <si>
    <t>US - BlueMountain Capital Management LLC withdrew its plans to launch an unsolicited tender offer to acquire the entire share capital of Chatham Lodging Trust, a Palm Beach-based real estate investment trust, for USD 21.5 per share, or a total value of USD 484.998 mil.</t>
  </si>
  <si>
    <t>Independence Bk,Newport Beach</t>
  </si>
  <si>
    <t>US - Independence Bank acquired the entire share capital of Riverside-based Premier Service Bank, for USD 6.85 per share, or a total value of USD 8.638 mil, subject to proration whereby 55% of the aggregate consideration was to consist of cash and the remaining 45% in common stock.</t>
  </si>
  <si>
    <t>Britton &amp; Koontz Capital Corp</t>
  </si>
  <si>
    <t>US - Home Bancorp Inc acquired the entire share capital of Britton &amp; Koontz Capital Corp, a Natchez-based bank holding company, for USD 16.14 in cash per share or a total value of USD 34.515 mil.</t>
  </si>
  <si>
    <t>Mindspeed Technologies Inc</t>
  </si>
  <si>
    <t>Mnfr,whl networking solutions</t>
  </si>
  <si>
    <t>MACOM Technology Solutions Hol</t>
  </si>
  <si>
    <t>Mnfr semiconductor technologies</t>
  </si>
  <si>
    <t>US - M/A-Com Technology Solutions Holdings Inc acquired the entire share capital of Mindspeed Technologies Inc (Mindspeed), a Newport Beach-based manufacturer and wholesaler of networking solutions, via a tender offer, for USD 5.05 in cash per share, or a total value of USD 219.121 mil, by accepting 30.773 mil shares, or 70.922% of the company's common stock outstanding. On completion, Mindspeed cease to be traded on the NASDAQ Global Market.</t>
  </si>
  <si>
    <t>Zosano Inc</t>
  </si>
  <si>
    <t>ZP Holdings Inc</t>
  </si>
  <si>
    <t>US - ZP Holdings Inc agreed to acquire a 99.9% interest in Zosano Inc, a Fremont- based manufacturer and wholesaler of pharmaceutcals, for USD 0.36 in cash per share, or a total value of USD 0.365 mil.</t>
  </si>
  <si>
    <t>Santarus Inc</t>
  </si>
  <si>
    <t>US - Salix Pharmaceuticals Ltd (Salix) acquired the acquire the entire share capital of Santarus Inc (Santarus), a San Diego-based biopharmaceutical company, for USD 32 in cash per share, or a total value of USD 2.677 bil. Earlier, Salix completed its tender offer by accepting 54.559 mil or 90% of Santarus common shares outstanding. On completion, Santarus common shares were delisted in the NASDAQ Global Market.</t>
  </si>
  <si>
    <t>Costa Inc</t>
  </si>
  <si>
    <t>Manufacture sports sunglasses</t>
  </si>
  <si>
    <t>US - Essilor International SA of France, acquired the entire share capital of Costa Inc, a Lincoln-based manufacturer of sports sunglasses, for USD 21.5 in cash per share or a total value of USD 302.649 mil.</t>
  </si>
  <si>
    <t>US - Shire PLC of Ireland completed its tender offer to acquire the entire share capital of ViroPharma Inc, an Exton-based manufacturer and wholesaler of biopharmaceuticals, for USD 50 in cash per share or a total value of USD 4.211 bil. The offer was conditioned upon at least a majority of ViroPharma's shares being tendered.</t>
  </si>
  <si>
    <t>Fairholme Capital Mgmt LLC</t>
  </si>
  <si>
    <t>US - Fairholme Capital Management LLC (Fairholme) planned to acquire the entire share capital of Federal National Mortgage Association {Fannie Mae}, a Washington- based provider of home mortgage and loans services. Concurrently, Fairholme planned to acquire Federal National Mortgage Association {Fannie Mae}.</t>
  </si>
  <si>
    <t>Sterling Capital Ltd</t>
  </si>
  <si>
    <t>US - Sterling Capital Ltd, through its affiliate, acquired the entire share capital of Innotrac Corp (Innotrac), a Duluth-based provider of e-commerce services, via tender offer, for USD 8.2 in cash per share, or a total value of USD 110. 003 mil. The offer was conditioned upon at least a majority of Innotracs shares being tendered. Originally, in November 2014, Innotrac planned to divest the company to an undisclosed acquiror.</t>
  </si>
  <si>
    <t>Rockville Financial Inc</t>
  </si>
  <si>
    <t>US - Rockville Financial Inc (Rockville) merged with United Financial Bancorp Inc (United), a West Springfield- based bank holding company, in a stock swap reverse takeover transaction valued at USD 370.296 mil. Rockville offered 1.3472 common shares per United share. Based on Rockville's closing stock price of USD 13.62 on 14 November 2013, the last full trading day prior to the announcement, each United share was valued at USD 18. 349. This transaction is Tax- Exempt under IRC s386.</t>
  </si>
  <si>
    <t>Summit Financial Services</t>
  </si>
  <si>
    <t>US - RCS Capital Corp merged with Summit Financial Services Group Inc, a Boca Raton-based securities brokerage firm, for USD 49 mil. The consideration consisted of USD 39.2 mil cash and USD 9.8 mil in common shares.</t>
  </si>
  <si>
    <t>Patheon Inc</t>
  </si>
  <si>
    <t>DSM Pharmaceutical Products</t>
  </si>
  <si>
    <t>Mnfr,whl prescription pharm</t>
  </si>
  <si>
    <t>US - DSM Pharmaceutical Products, a unit of Koninklijke DSM NV, acquired the entire share capital of Patheon Inc (Patheon), a Durham-based manufacturer of pharmaceutical products, from JLL Partners Fund V LP, a majority-owned unit of JLL Partners Inc, for USD 9.32 in cash per share or a total value of USD 1.394 bil, via scheme of arrangement. On completion, Patheon was delisted in the Toronto Stock Exchange.</t>
  </si>
  <si>
    <t>Coastal Energy Co</t>
  </si>
  <si>
    <t>Cia Espanola de Petroleos SAU</t>
  </si>
  <si>
    <t>US - Cia Espanola de Petroleos SA {CEPSA} of Spain, a majority-owned unit of United Arab Emirates state- owned International Petroleum Investment Co {IPIC}, through an undisclosed subsidiary, acquired the entire share capital of Coastal Energy Co (Coastal), a Houston-based oil and gas exploration and production company, for USD 18.156 in cash per share, or a total value of USD 2.167 bil, including the assumption of USD 48.734 mil in liabilities. Originally, in September 2013, an investor group, comprised of CEPSA of Spain and Jynwel Capital Ltd of Hong Kong, was rumored to be planning to acquire the entire share capital of Coastal.</t>
  </si>
  <si>
    <t>US - Nielsen Holdings NV (Nielsen) completed its tender offer to acquire the entire share capital of Harris Interactive Inc (Harris), a Rochester-based provider of market research and consulting services, for a sweetened USD 2.04 in cash per share, or a total value of USD 121.137 mil, by accepting 46.32 mil shares, or 79.452% of Harris' common stock outstanding. The offer was conditioned upon at least a majority of Harris' shares being tendered. Originally, Nielsen offered USD 2 in cash per share, or a total value of USD 118.805 mil.</t>
  </si>
  <si>
    <t>US - The Men's Wearhouse Inc (Men's Wearhouse) acquired the entire share capital of Jos A Bank Clothiers Inc (Jos) , a Hamstead-based owner and operator of men's clothing store, for a thrice sweetened USD 65 in cash per share, or a total value of USD 1.819 bil, via a tender offer. Earlier, Men's Wearhouse completed its tender offer for Jos, by accepting 23.611 mil shares, or 84.359% of Jos common shares outstanding. The offer was conditioned upon at least a majority of Jos shares being tendered. Additionally, Mens Wearhouse offered a twice sweetened USD 63.5 in cash per share. Previously, Men's Wearhouse offered a sweetened USD 57.5 per share. Originally, Men's Wearhouse offered USD 55 in cash per share. Previously, Jos withdrew its unsolicited plans to acquire the entire share capital of Men's Wearhouse. On completion, Jos common shares were delisted in the NASDAQ Global Market.</t>
  </si>
  <si>
    <t>Hyde Park Acquisition Corp II</t>
  </si>
  <si>
    <t>Blank check company</t>
  </si>
  <si>
    <t>Santa Maria Energy Holdings</t>
  </si>
  <si>
    <t>US - Santa Maria Energy Holdings LLC withdrew its agreement to acquire the entire share capital of Hyde Park Acquisition Corp II, a New York-based blank check company.</t>
  </si>
  <si>
    <t>Food Technology Service Inc</t>
  </si>
  <si>
    <t>Own,op food treatment facility</t>
  </si>
  <si>
    <t>Provide sterilization services</t>
  </si>
  <si>
    <t>US - Sterigenics International Inc, a unit of GTCR LLC, acquired the entire share capital of Food Technology Service, Plant City-based owner and operator of food treatment facility, for USD 7.23 in cash per share, or a total value of USD 20.512.</t>
  </si>
  <si>
    <t>Essex Property Trust Inc</t>
  </si>
  <si>
    <t>US - Essex Property Trust Inc (Essex Property) merged with BRE Properties Inc (BRE Properties), a Palo Alto- based real estate investment trust, for USD 4.489 bil. Essex Property offered USD 12. 33 in cash and 0.2971 common shares per BRE Properties share. Based on Essex Property's closing stock price of USD 153.98 on December 8, the last full trading day prior to the announcement, each BRE Properties share was valued at USD 58.077. On completion, Essex Property and BRE Properties were to hold 63% and 37% in the combined entity, respectively. Originally, Essex Property was rumored to be planning to acquire the entire share capital of BRE Properties. Previously, an investor group, including Land &amp; Buildings Investment Management LLC, withdrew its plans to launch a tender offer to acquire the entire share capital of BRE.</t>
  </si>
  <si>
    <t>Connecticut River Bancorp Inc</t>
  </si>
  <si>
    <t>Mascoma Mutual Financial</t>
  </si>
  <si>
    <t>US - Mascoma Mutual Financial Services Corp acquired the entire share capital of Connecticut River Bancorp Inc, a Charlestown-based bank holding company, for USD 26.7 mil.</t>
  </si>
  <si>
    <t>Eagle Bulk Shipping Inc</t>
  </si>
  <si>
    <t>US - Eagle Bulk Shipping Inc (Eagle Bulk), a New York- based provider of shipping services, completed a debt restructuring transaction with Creditors (CRs) including Bank of America, Canyon Capital Advisors and Oaktree Capital Management in a transaction valued at USD 2. 619 bil. CRs received 16.575 mil new common shares valued at USD 2.619 bil. The shares were valued based on Eagle Bulk's closing stock price of USD 15.8 on October 16, 2014, the first full trading day post restructuring. On completion, CRs held a 99.5% interest in the restructured Eagle Bulk. The book value of the existing debt that was exchanged under the terms of the offer was USD 1.2 bil.</t>
  </si>
  <si>
    <t>Dakota Plains Holdings Inc</t>
  </si>
  <si>
    <t>Pvd oil,gas transp services</t>
  </si>
  <si>
    <t>US - Dakota Plains Holdings Inc (Dakota Plains), a Wayzata-based provider of oil and gas transportation services, agreed to a debt restructuring transaction with Bondholders. Upon completion, BHs were to hold an undisclosed interest in the restructured Dakota Plains. The book value of the existing debt that will be exchanged under the terms of the offer is USD 26.538 mil.</t>
  </si>
  <si>
    <t>Scripps Networks Interactive</t>
  </si>
  <si>
    <t>Discovery Communications Inc</t>
  </si>
  <si>
    <t>US - Discovery Communications Inc discontinued rumors that it was planning to acquire the entire share capital of Scripps Networks Interactive Inc, a Knoxville-based owner and operator of television stations.</t>
  </si>
  <si>
    <t>UNS Energy Corp</t>
  </si>
  <si>
    <t>Pvd electric,gas disn svcs</t>
  </si>
  <si>
    <t>US - Fortis Inc (Fortis) of Canada acquired the entire share capital of UNS Energy Corp, a Tucson-based provider of electric services, for a sweetened USD 60.25 in cash per share, or a total value of USD 4.515 bil, including the assumption of USD 2 bil in liabilities. Originally, Fortis offered USD 60.25 in cash per share, or a total value of USD 4.315 bil, including the assumption of USD 1.8 bil in liabilities. On completion, UNS common shares were delisted in the New York Stock Exchange.</t>
  </si>
  <si>
    <t>Performance Technologies Inc</t>
  </si>
  <si>
    <t>Mnfr telecommun prod</t>
  </si>
  <si>
    <t>US - Sonus Networks Inc acquired the entire share captial of Performance Technologies Inc, a Rochester- based manufacturer and developer of packet-based telecommunications and networking products, for USD 3.75 per in cash per share, or a total value of USD 44. 214 mil.</t>
  </si>
  <si>
    <t>T-Mobile US Inc</t>
  </si>
  <si>
    <t>Wireless Telecommunications Carriers (Except Satellite)</t>
  </si>
  <si>
    <t>Sprint Communications Inc</t>
  </si>
  <si>
    <t>Provide telecommunications svcs</t>
  </si>
  <si>
    <t>US - Sprint Communications Inc, a unit of Softbank Corp, discontinuted rumor to acquire the entire share capital of T-Mobile US Inc, a Bellevue-based provider of wireless telecommunications services, from Deutsche Telekom AG. Terms of the transaction were not disclosed, but according to people familiar with the transaction, the deal was valued at USD 50 bil. Dish Network Corp was named potential bidder.</t>
  </si>
  <si>
    <t>KKR Financial Holdings LLC</t>
  </si>
  <si>
    <t>US - KKR &amp; Co LP (KKR) acquired the entire share capital of KKR Financial Holdings LLC (KKR Financial), a San Francisco-based provider of financial services, in a stock swap transaction valued at USD 2. 609 bil. KKR offered 0.51 share for every KKR Financial share held. Based on KKR's closing stock price of USD 24. 98 on 13 December 2013, the last full trading day prior to the announcement, each KKR Financial share was valued at USD 12.74. This transaction is Tax-Exempt under IRC s386.</t>
  </si>
  <si>
    <t>LSI Corp</t>
  </si>
  <si>
    <t>Avago Technologies Ltd</t>
  </si>
  <si>
    <t>Mnfr,whl optoelectronics</t>
  </si>
  <si>
    <t>US - Avago Technologies Ltd acquired the entire share capital of LSI Corp (LSI(, a San Jose-based manufacturer of integrated circuits, for USD 11.15 in cash per share, or a total value of USD 6.686 bil. On completion, LSI common shares were delisted in the NASDAQ Stock Market.</t>
  </si>
  <si>
    <t>NuPathe Inc</t>
  </si>
  <si>
    <t>Endo Health Solutions Inc</t>
  </si>
  <si>
    <t>US - Endo Health Solutions Incwithdrew its agreement to acquire the entire share capital of NuPathe Inc, a Conshohocken-based manufacturer of pharmaceuticals, via a tender offer, for USD 188.044 mil. The consideration of the transaction was to consist of USD 2.85 in cash per share, and up to USD 98.723 mil in profit-related payments. The offer was conditioned upon at least 51% of NuPathe Inc's shares being tendered. Subsequently, Teva Pharmaceutical Industries Ltd of Israel planned to launch an unsolicited challenging offer to acquire the entire share capital of NuPathe Inc, for USD 213.116 mil.</t>
  </si>
  <si>
    <t>Solta Medical Inc</t>
  </si>
  <si>
    <t>US - Valeant Pharmaceuticals International Inc (Valeant) acquired the entire share capital of Solta Medical Inc (Solta), a Hayward-based manufacturer and wholesaler of aesthetic medical devices, for USD 2.92 in cash per share, or a total value of USD 240.57 mil. The offer was conditioned upon at least majority of Solta's shares being tendered on a diluted basis. Earlier, Valeant completed its tender offer for Solta by accepting 68.82 mil, or 85.237% of Solta's common shares outstanding.</t>
  </si>
  <si>
    <t>MediaNews Group Inc</t>
  </si>
  <si>
    <t>Hldg co;publishing co</t>
  </si>
  <si>
    <t>21st Century Media Newspaper</t>
  </si>
  <si>
    <t>US - MediaNews Group Inc merged with 21st Century Media Newspaper LLC, a Yardley-based newspaper and periodical publisher.</t>
  </si>
  <si>
    <t>Syntroleum Corp</t>
  </si>
  <si>
    <t>Pvd synthetic fuels prodn svcs</t>
  </si>
  <si>
    <t>Renewable Energy Group Inc</t>
  </si>
  <si>
    <t>Petrochemical Manufacturing</t>
  </si>
  <si>
    <t>US - Renewable Energy Group Inc, through it swholly-owned subsidiary REG Synthetic Fuels LLC, acquired Syntroleum Corp , a Tulsa- based provider of synthetic fuel production services in a stock swap transaction, in exchange for 3.796 mil common shares valued at USD 40.277 mil. The shares were valued based on Renewable Energy Group Inc's closing stock price of USD 10.61 on 16 December 2013, the last full trading day prior to the announcement.</t>
  </si>
  <si>
    <t>Nicholas Financial Inc</t>
  </si>
  <si>
    <t>Pvd special finance svcs</t>
  </si>
  <si>
    <t>US - Prospect Capital Corp agreed to withdrew its agreement to acquire the entire share capital of Nicholas Financial Inc, a Clearwater-based provider of specialized consumer finance services, for USD 16 in cash per share or a total of USD 195.260 mil, in a leveraged buyout transaction.</t>
  </si>
  <si>
    <t>South Street Financial Corp</t>
  </si>
  <si>
    <t>US - BNC Bancorp (BNC) merged with South Street Financial Corp (South Street), an Albemarle-based commercial bank in exchange for 2.051 mil BNC's common shares valued at USD 31.701 mil. The shares were valued based on BNC's closing stock price of USD 15.46 on December 17, the last full trading day prior to the announcement date. South Street was offered a choice of USD 8.85 cash per share. Concurrently, BNC agreed to merge with Community First Financial Group Inc. This transaction is Tax-Exempt under IRC s386.</t>
  </si>
  <si>
    <t>Harland Clarke Holdings Corp</t>
  </si>
  <si>
    <t>Mnfr,whl checks</t>
  </si>
  <si>
    <t>US - Harland Clarke Holdings Corp (Harland), a unit of MacAndrews &amp; Forbes Holdings Inc's M&amp;F Worldwide Corp subsidiary, acquired the entire share capital of Valassis Communications Inc (Valassis), a Livonia-based provider of marketing services, for USD 34.04 in cash per share, or a total value of USD 1.410 bil. Earlier, Harland completed its tender offer for Valassis by accepting 25.83 mil shares, or 67.001% of Valassis' common shares outstanding. The offer was conditioned upon at least a majority of Valassis' shares being tendered. On completion, Valassis common shares was delisted in the New York Stock Exchange.</t>
  </si>
  <si>
    <t>The Jones Group Inc</t>
  </si>
  <si>
    <t>US - Sycamore Partners LLC acquired the entire share capital of The Jones Group Inc (Jones Group), a New York- based manufacturer and wholesaler of apparel, for USD 15 in cash per share, or a total value of USD 1.195 bil, including the assumption of an undisclosed amount in liabilities, in a leveraged buyout transaction. On completion, Jones Group common shares were delisted in the New York Stock exchange. Previously, in August 2013, Jones Group announced that it was seeking a buyer for the company. Originally in July 2013, Jones Group was rumored to be seeking a buyer for the company. Sherson Group, KKR &amp; Co LP, and Sycamore Partners were named rumored potential bidders.</t>
  </si>
  <si>
    <t>Arden Group Inc</t>
  </si>
  <si>
    <t>US - TPG Capital LP acquired the entire share capital of Arden Group Inc, a Compton- based owner and operator of supermarkets, for USD 126.5 in cash per share, or a total value of USD 392.17 mil, in a leveraged buyout transaction.</t>
  </si>
  <si>
    <t>Southwire Co LLC</t>
  </si>
  <si>
    <t>Mnfr,whl wire,cable products</t>
  </si>
  <si>
    <t>US - Southwire Co Inc (Southwire) acquired the entire share capital of Coleman Cable Inc (Coleman), a Waukegan-based manufacturer of electrical and electronic wire and cable products, for USD 26.25 in cash per share, or a total value of USD 795. 776 mil, including the assumption of USD 294 mil in liabilities, via a tender offer. Earlier, Southwire completed the tender offer for Coleman by accepting 17. 006 mil shares, or about 92. 86% interest of Colemans common stock outstanding. The offer was conditioned upon at majority of Colemans shares being tendered. On completion, Coleman common shares were delisted in the NASDAQ Global Market. Originally, in October 2013, was rumored to be seeking a buyer for the company.</t>
  </si>
  <si>
    <t>Responsys Inc</t>
  </si>
  <si>
    <t>Dvlp email mktg software</t>
  </si>
  <si>
    <t>US - Oracle Corp (Oracle) acquired the entire share capital of Responsys Inc (Responsys), a San Bruno- based developer of email marketing software, for USD 27 in cash per share, or a total value of USD 1.6 bil. Earlier, Oracle completed its tender offer by accepting 41. 588 mil shares, or 80.917% of Responsys common shares outstanding. The offer was conditioned upon at least a majority of Responsys' shares being tendered. On completion Responsys common shares were delisted in the NASDAQ Stock Market LLC.</t>
  </si>
  <si>
    <t>Dynamics Research Corp</t>
  </si>
  <si>
    <t>Pvd technology management svcs</t>
  </si>
  <si>
    <t>Engility Holdings Inc</t>
  </si>
  <si>
    <t>Pvd government consulting svcs</t>
  </si>
  <si>
    <t>US -Engility Holdings Inc acquired the entire share capital of Dynamics Research Corp, a Andover-based provider of technology management services , for USD 11.50 in (cash) per share, or a total estimated value of USD 120.921 mil.</t>
  </si>
  <si>
    <t>MediStem Inc</t>
  </si>
  <si>
    <t>Intrexon Corp</t>
  </si>
  <si>
    <t>Manufacture biological products</t>
  </si>
  <si>
    <t>US - Intrexon Corp (Intrexon) acquired the entire share capital of MediStem Inc (MediStem), a San Diego-based biotechnology company, in a stock swap transaction valued at USD 16.283 mil. The consideration was to consist of USD 0.27 in cash per share and USD 10.999 mil in common shares.</t>
  </si>
  <si>
    <t>US - YRC Worldwide Inc (YRC Worldwide), a Overland Park- based provider of motor carrier transportation services, completed to a debt restructuring transaction with Bondholders (BHs). BHs received common stock along with the addition payment in cash in exchange of outstanding debt. On completion, BHs held an undisclosed interest in the restructured YRC Worldwide. The book value of the existing debt that was exchanged under the terms of the offer was USD 300 mil.</t>
  </si>
  <si>
    <t>Tufco Technologies Inc</t>
  </si>
  <si>
    <t>Mnfr converted paper prod</t>
  </si>
  <si>
    <t>Tufco Holdings LLC</t>
  </si>
  <si>
    <t>All Other Converted Paper Product Manufacturing</t>
  </si>
  <si>
    <t>US - Tufco Holdings LLC, a unit of Griffin Holdings LLC, through its Packers Acquisition Sub Inc, acquired a 84.41% interest in Tufco Technologies Inc, a Green Bay- based manufacturer of converted paper products, via a tender offer for USD 6.07 in cash per share, or a total value of USD 22.089 mil.</t>
  </si>
  <si>
    <t>Chen Guangbiao</t>
  </si>
  <si>
    <t>US - Chen Guangbiao of China had been rumored to be planning to acquire the entire share capital of The New York Times Co, a publishing company.</t>
  </si>
  <si>
    <t>US - Stryker Corp definitively acquired the entire share capital of Patient Safety Technologies Inc, an Irvine-based provider of research and development services, for USD 114.091 mil. The consideration consisted of USD 22 in cash per common share, USD 100 in cash per Series A preferred share, and USD 296 in cash per Series B preferred share.</t>
  </si>
  <si>
    <t>Sirius XM Holdings Inc</t>
  </si>
  <si>
    <t>Radio Stations</t>
  </si>
  <si>
    <t>US - Liberty Media Corp (Liberty Media) withdrew its plan to acquire the remaining 47% stake, or 2.883 bil common shares, which it did not already owned, in Sirius XM Radio Inc (Sirius XM), a New York-based owner and operator of radio stations, for USD 11.014 bil. Liberty Media offered 0.0253 common C shares per Sirius XM share. Based on Liberty Medias closing stock price of USD 144.44 on 02 January 2014, the last full trading day prior to the announcement , each Sirius XM share was valued at USD 3.654.</t>
  </si>
  <si>
    <t>US - Teva Pharmaceutical Industries Ltd (Teva) of Israel completed its unsolicited challenging offer to acquire the entire share capital of NuPathe Inc, a Conshohocken-based manufacturer of pharmaceuticals, for USD 213. 116 mil, by accepting 28.179 mil ordinary shares, or 89. 911% of Tevas entire share capital. The consideration was to consist of USD 3.65 in cash per share, or a total value of USD 114.393 mil, and up to USD 98.723 mil in profit-related payments. . The offer was conditioned upon at least a majority of Tevas shares being tendered. Subsequently, Endo Health Solutions Inc definitively agreed to acquire the entire share capital of NuPathe Inc, for via a tender offer, for USD 188.044 mil.</t>
  </si>
  <si>
    <t>Pacer International Inc</t>
  </si>
  <si>
    <t>XPO Logistics Inc</t>
  </si>
  <si>
    <t>US - XPO Logistics Inc (XPO Logistics) acquired the entire share capital of Pacer International Inc (Pacer), a Dublin-based provider of logistic services, for USD 9 per share, or a total value of USD 318.059 mil. The consideration was to consist of USD 6 in cash and USD 3 in XPO common shares per share, subject to a collar agreement, if the volume weighted average price of XPO Logistics common stock during this period is above $32.94 per share, the stock portion of the consideration will be fixed at 0.0911 shares of XPO Logistics common stock for each share of Pacer, and if it is below $23.12 per share, the stock portion of the consideration will be fixed at 0.1298 shares of XPO Logistics common stock for each share of Pacer.</t>
  </si>
  <si>
    <t>US - Elliott Management Corp (Elliott) withdrew its plans launch an unsolicited offer to acquire the remaining 89. 46% interest, or 144.851 mil common shares, which it did not already own, in Riverbed Technology Inc (Riverbed), a San Francisco-based manufacturer of steelhead and cloud products, for a sweetened USD 21 in cash per share, or a total value of USD 3.042 bil. Originally, Elliott offered USD 19 in cash per share, or a total value of USD 2.752 bil. Subsequently, Thoma Bravo LLC and Teachers' Private Capital, a unit of Ontario' Teachers Pension Plan, acquired Riverbed, via a challenging offer.</t>
  </si>
  <si>
    <t>United Bancorp Inc</t>
  </si>
  <si>
    <t>US - Old National Bancorp (Old National) acquired the entire share capital of Ann Arbor-based United Bancorp Inc (United), in a transaction valued at USD 168. 404 mil. Old National offered USD 2.66 in cash and 0.7 common share for every United common shares. Based on Old National's closing stock price of USD 15.12 on 7 January 2014, the last full trading day prior to the announcement, each United share was valued at USD 13. 244. This transaction is Tax- Exempt under IRC s386.</t>
  </si>
  <si>
    <t>Fred's Inc</t>
  </si>
  <si>
    <t>Own,op gen merchandise stores</t>
  </si>
  <si>
    <t>US - In January 2014, Freds Inc, a Memphis-based owner and operator of discount general merchandise stores and pharmacies, announced that it was seeking a buyer for the company. Sycamore Partners LLC was rumored to be a bidder.</t>
  </si>
  <si>
    <t>Mnfr coated,painted metals</t>
  </si>
  <si>
    <t>Zink Acquisition Holdings Inc</t>
  </si>
  <si>
    <t>Iron and Steel Mills</t>
  </si>
  <si>
    <t>US - Zink Acquisition Holdings Inc acquired the entire share capital of Material Sciences Corp, an Elk Grove-based manufacturer of coated and painted metals, for USD 12.75 in cash per share, or a total value of USD 135.953 mil.</t>
  </si>
  <si>
    <t>American Pacific Corp</t>
  </si>
  <si>
    <t>US - HIG Capital LLC acquired the entire share capital of American Pacific Corp, Las Vegas-based manufacturer of specialty chemicals, for USD 46.5 in cash per share, or a total value of USD 388.432 mil, by accepting 5.771 mil shares, or 72.158% of American Pacific Corp's common stock outstanding, in a leveraged buyout transaction.</t>
  </si>
  <si>
    <t>GSE Holding Inc</t>
  </si>
  <si>
    <t>Mnfr geosynthetic products</t>
  </si>
  <si>
    <t>US - In January 2014, GSE Holding Inc, a Houston-based manufactures and wholesales geosynthetic containment solutions, announced that it was seeking a buyer for the company.</t>
  </si>
  <si>
    <t>Hilltop Holdings Inc</t>
  </si>
  <si>
    <t>Insurance,investment hldg co</t>
  </si>
  <si>
    <t>US - Hilltop Holdings Inc (Hilltop) acquired the remaining 69.192% interest, or 22.843 mil common shares, which it did not already own, in SWS Group Inc (SWS), a Dallas-based provider of investment and financial services, for a sweetened USD 172.89 mil. Hilltop offered USD 1.94 in cash and 0.2496 in Hilltop share per SWS share. Based on Hilltop's closing stock price of USD 22. 55 on 28 March 2014, the last full trading day prior to the amendment of term, each SWS was valued at USD 7.568. Originally, Hilltop offered USD 159.904 mil. Subsequently, Esposito Global LLC planned to acquire the entire share capital of SWS for USD 8 per share or a total value of USD 264.54 mil in cash. This transaction is Tax-Exempt under IRC s386.</t>
  </si>
  <si>
    <t>Beam Inc</t>
  </si>
  <si>
    <t>Produce,whl liquor,spirits</t>
  </si>
  <si>
    <t>Suntory Holdings Ltd</t>
  </si>
  <si>
    <t>Produce,wholesale malt beverage</t>
  </si>
  <si>
    <t>US - Suntory Holdings Ltd of Japan, a majority-owned unit of Kotobuki Realty Co Ltd, acquired the entire share capital of Beam Inc (Beam), a Deerfield-based producer and wholesaler of liquor and spirits, for USD 83.5 in cash per share, or a total value of USD 13.933 bil. On completion, Beam was renamed Beam Suntory Inc and Beam common shares were delisted in the New York Stock Exchange</t>
  </si>
  <si>
    <t>US - Iberiabank Corp (IBKC) merged with Teche Holding Co (Teche) , a New Iberia-based bank holding company, in a stock swap transaction valued at USD 148.886 mil. IBKC offered 1.162 common shares per Teche share. Based on the closing stock price of IBKC of USD 62.1 on 10 January 2014, the last full trading day prior to the announcement, each Teche share was valued at USD 72.16. This transaction is Tax-Exempt under IRC s386.</t>
  </si>
  <si>
    <t>US - Charter Communications Inc (Charter) withdrew its plans to launch an unsolicited tender offer to acquire Time Warner Cable Inc (Time Warner), a New York- based provider of cable TV services, for USD 132.5 per share, or a total value of USD 38.05 bil. The consideration was to consist of USD 83 in cash and USD 49. 5 in Charter common shares per Time Warner common share. Originally, in June 2013, Charter was rumored be planning to merge with Time Warner. Cox Communications Inc and Comcast Corp were named potential bidders. Susbequently, Comcast Corp withdrew its definitive agreement to acquire the entire share capital of Time, via a challenging offer.</t>
  </si>
  <si>
    <t>Community National Bank</t>
  </si>
  <si>
    <t>TriSummit Bank</t>
  </si>
  <si>
    <t>US - TriSummit Bank acquired the entire share capital of Morristown-based Community National Bank of the Lakeway Area, for USD 5.35 in cash per share, or a total value of USD 9.397 mil.</t>
  </si>
  <si>
    <t>CEC Entertainment Inc</t>
  </si>
  <si>
    <t>Own,op rest,ent center</t>
  </si>
  <si>
    <t>US - Apollo Global Management LLC (Apollo), through its subsidiary, acquired the entire share capital of CEC Entertainment Inc (CEC), an Irving-based owner and operator of restaurants and entertainment center, via tender offer, for USD 54 mil in cash per share or a total value of USD 947.769 mil, in a leveraged buyout transaction. The offer was conditioned upon at least 50% of CECs shares being tendered. On completion, CEC became a wholly-owned subsidiary of Apollo.</t>
  </si>
  <si>
    <t>ConnectOne Bancorp Inc</t>
  </si>
  <si>
    <t>Pvd coml, consumer bkg svcs</t>
  </si>
  <si>
    <t>US - Center Bancorp Inc merged with ConnectOne Bancorp Inc, an Englewood Cliffs-based provider of commercial and consumer banking services, in a stock swap transaction valued at USD 242.097 mil. Center Bancorp Inc offered 2.6 common shares per ConnectOne share. Based on Center Bancorp's closing stock price of USD 17.54 in 17/JAN/2014, the last full trading day prior to the announcement, each ConnectOne share was valued at USD 45.604. This transaction is Tax-Exempt under IRC s386.</t>
  </si>
  <si>
    <t>Midwest Bancshares Inc,OH</t>
  </si>
  <si>
    <t>US - Peoples Bancorp Inc (People's) acquired the entire share capital of Midwest Bancshares Inc, a Wellston-based bank holding company, for USD 12.6 mil in cash and an undisclosed People's common shares.</t>
  </si>
  <si>
    <t>US - TriCo Bancshares (TriCo) acquired the entire share capital of Redding-based North Valley Bancorp (North Valley), in a stock swap transaction, valued at USD 168.261 mil. TriCo offered 0. 9433 share per North Valley common share. Based on TriCo's closing stock price of USD 27.66 on 17 January 2013, the last full trading day prior to the announcement, each North Valley share was valued at USD 26.092. This transaction is Tax-Exempt under IRC s386.</t>
  </si>
  <si>
    <t>Jefferson Bancshares Inc</t>
  </si>
  <si>
    <t>Hometrust Bancshares Inc</t>
  </si>
  <si>
    <t>US - HomeTrust Bancshares Inc (HomeTrust) acquired the entire share capital of Morristown-based Jefferson Bancshares Inc, for USD 8 per share, or a total value of USD 52.762 mil. The consideration consisted of USD 4 in cash and USD 4 in common share per share, subject to collar agreement. The shares were valued based on HomeTrust's closing stock price of USD 15.85 on 22 January 2013, the last full trading day prior to the announcement.</t>
  </si>
  <si>
    <t>VantageSouth Bancshares Inc</t>
  </si>
  <si>
    <t>Yadkin Financial Corp</t>
  </si>
  <si>
    <t>US - Yadkin Financial Corp (Yadkin) acquired the entire share capital of VantageSouth BancShares Inc (VantageSouth), a Raleigh-based bank holding company, in a stock swap transaction valued at USD 247. 036 mil. Yadkin offered 0.313 common share for every VantageSouth share. The shares were valued based on Yadkin's closing stock price of USD 17.31 on 24 January 2014, the last full trading day prior to the announcement. Originally, VantageSouth was rumored to be planning to merge with Yadkin. This transaction is Tax-Exempt under IRC s386.</t>
  </si>
  <si>
    <t>US - Martin Marietta Materials Inc (Martin) acquired the entire share capital of Texas Industries Inc (Texas), a Dallas-based manufacturer and wholesaler of construction and steel products, in a stock swap transaction valued at USD 2. 059 bil. Martin offered 0.7 common shares per Texas share. Based on Martins closing stock price of USD 102.78 on 27 January 2014, the last full trading day prior to the announcement, each Texas share was valued at USD 71. 946. On completion, Martin owned 69% and Texas the remaining 31% of the combined company; and Texas common shares were delisted on the New York Stock Exchange. Originally, in December 2013, Texas was rumored to be seeking a buyer for the company. Martin Marietta Materials was named rumored potential bidder. This transaction is Tax-Exempt under IRC s386.</t>
  </si>
  <si>
    <t>Dassault Systemes Americas</t>
  </si>
  <si>
    <t>Dvlp 3D design software</t>
  </si>
  <si>
    <t>US - Dassault Systemes Americas Corp (Dassault), a unit of Dassault Systemes SA, acquired the entire share capital of Accelrys Inc (Accelrys), a San Diego-based developer of lifecycle management software, for USD 12.5 in cash per share, or a total value of USD 727.538 mil. Earlier, Dassault completed its tender offer for Accelrys, by accepting 44. 834 mil common shares, or 80. 475% of Accelrys entire share capital. The offer was conditioned upon at least a majority of Accelrys' shares being tendered.</t>
  </si>
  <si>
    <t>ArthroCare Corp</t>
  </si>
  <si>
    <t>Mnfr,whl surgical,med prod</t>
  </si>
  <si>
    <t>US - Smith &amp; Nephew PLC of UK acquired the entire share capital of ArthroCare Corp, an Austin-based manufacturer and wholesaler of surgical and medical products, for USD 48.25 in cash per common share, restricted common share and performance stock share or a total value of USD 1.74 bil.</t>
  </si>
  <si>
    <t>ATMI Inc</t>
  </si>
  <si>
    <t>Mnfr materials packaging prod</t>
  </si>
  <si>
    <t>US - Entegris Inc acquired the entire share capital of ATMI Inc (ATMI), a Danbury- based manufacturer of materials and materials packaging products, for USD 34 in cash per share, or a total value of USD 1.106 bil. Previously, Pall Corp acquired the LifeSciences business of ATMI. On completion, the shares of ATMI Inc were delisted on the NASDAQ stock exchange.</t>
  </si>
  <si>
    <t>National Interstate Corp</t>
  </si>
  <si>
    <t>Ppty,casualty ins co</t>
  </si>
  <si>
    <t>Great American Insurance Group</t>
  </si>
  <si>
    <t>US - Great American Insurance Group (Great American), a unit of American Financial Group Inc, withdrew its unsolicited tender offer to acquire the remaining 48.3% stake or 9.521 mil shares of National Interstate Corp, a Richfield-based property and casualty insurance company, for a sweetened USD 30 cash per share, or a total value of USD 290.05 mil. Originally, Great American offered USD 28 in cash per share, or a total value of USD 269.972 mil.</t>
  </si>
  <si>
    <t>Aaron's Inc</t>
  </si>
  <si>
    <t>Pvd lease,ret appliance svcs</t>
  </si>
  <si>
    <t>US - Vintage Capital Management LLC withdrew its plans to launch an unsolicited tender offer to acquire the remaining 90.459% interest, which it did not own, in Aaron's Inc, an Atlanta-based provider of sales and lease ownership and specialty retailing services, for USD 30.5 in cash per share, or a total value of USD 2.128 bil, in a leveraged buyout transaction. The offer was conditioned upon at least majority of Aaron's shares being tendered.</t>
  </si>
  <si>
    <t>Mountain West Financial Corp</t>
  </si>
  <si>
    <t>First Interstate BancSystem In</t>
  </si>
  <si>
    <t>US - First Interstate Bancsystem Inc (First Interstate) acquired the entire share capital of Mountain West Financial Corp, a Helena-based commercial bank, for USD 70.415 mil. First Interstate offered a choice between USD 7.125 in cash and 0.2552 Class A First Interstate common share per share, or entirely cash, or entirely Class A common share. The shares were valued based on First Interstate's closing stock price of USD 24.77 on 7 February 2013, the last full trading day prior to the announcement.</t>
  </si>
  <si>
    <t>Supertex Inc</t>
  </si>
  <si>
    <t>US - Microchip Technology Inc acquired the entire share capital of Supertex Inc, a Sunnyvale-based manufacturer of semiconductor devices, for USD 33 in cash per share or a total value of USD 377.084 mil.</t>
  </si>
  <si>
    <t>Cadence Pharmaceuticals Inc</t>
  </si>
  <si>
    <t>Mnfr biopharmaceutical products</t>
  </si>
  <si>
    <t>Mallinckrodt PLC</t>
  </si>
  <si>
    <t>US - Mallinckrodt PLC (Mallinckrodt) of Ireland acquired the entire share capital of Cadence Pharmaceuticals Inc (Cadence), a San Diego-based manufacturer of biopharmaceutical products, for USD 14 in cash per share, or a total value of USD 1.341 bil, via a tender offer. Earlier, Mallinckrodt completed its tender offer to acquire the entire share capital of Cadence, by accepting 78.396 mil or 87.9% of Candence common stock outstanding. The offer was conditioned upon at least a majority of Cadence's shares being tendered. On completion, Cadence common shares were to be delisted in NASDAQ.</t>
  </si>
  <si>
    <t>Amcol International Corp</t>
  </si>
  <si>
    <t>Mnfr specialty minerals,chem</t>
  </si>
  <si>
    <t>Imerys SA</t>
  </si>
  <si>
    <t>Iron Ore Mining</t>
  </si>
  <si>
    <t>US - Imerys SA (Imerys) of France, withdrew its definitive agreement to acquire the entire share capital of Amcol International Corp (Amcol), a Hoffman Estates-based manufacturer of specialty minerals, for a twice sweetened USD 45.25 in cash per share, or a total value of USD 1.470 bil, via tender offer. The offer was conditional upon at least a majority of Amcol's shares being tendered. Subsequently, Minerals Technologies Inc acquired the entire share capital of Amcol. Previously, Imerys offered USD 42.75 in cash per share. Originally, Imerys offered USD 41 in cash per share.</t>
  </si>
  <si>
    <t>LCA-Vision Inc</t>
  </si>
  <si>
    <t>Own,op laser surgery centers</t>
  </si>
  <si>
    <t>US - Photomedex Inc acquired the entire share capital of LCA-Vision Inc, a Cincinnati- based owner and operator of laser surgery centers, for USD 5.37 in cash per share or a total value of USD 103.36 mil.</t>
  </si>
  <si>
    <t>US - Comcast Corp (Comcast) withdrew its definitive agreement to acquire the entire share capital of Time Warner Cable Inc (Time), a New York-based provider of cable TV services, in a stock swap transaction valued at USD 46.15 bil, via a challenging offer. Comcast offered 2.875 common shares per Time share. Based on Comcast's closing stock price of USD 55.24 on 12 February 2014, the last full trading day prior to the announcement, each Time share was valued at USD 158.815. Upon completion, Comcast and Time were to hold 77% and 23% in the merged entity, respectively. Previously, Charter Communications Inc withdrew its plans to launch an unsolicited tender offer to acquire the entire share capital of Time. This transaction is Tax-Exempt under IRC s386.</t>
  </si>
  <si>
    <t>Minerals Technologies Inc</t>
  </si>
  <si>
    <t>Mnfr specialty mineral prod</t>
  </si>
  <si>
    <t>US - Minerals Technologies Inc (Minerals) acquired the entire share capital of Amcol International Corp (Amcol), a Hoffman Estates-based manufacturer and wholesaler of specialty minerals and chemicals, for a thrice sweetened USD 45.75 in cash per share, or a total value of USD 1.487 bil, via a tender offer. Earlier, Minerals completed the tender offer for Amcol by accepting 28.487 mil shares, or 87.65% of Amcol common shares outstanding. Previously, Minerals offered a twice sweetened USD 45 in cash per share. Formerly, Minerals offered a sweetened USD 42.5 in cash per share. Originally, Minerals offered USD 42 in cash per share. The offer was conditioned upon at least a majority of Amcol's shares being tendered. Subsequently, Imerys SA withdrew its definitive agreement to acquire the entire share capital of Amcol. On completion, Amcol common shares were delisted in the New York Stock Exchange.</t>
  </si>
  <si>
    <t>Tesla Motors Inc</t>
  </si>
  <si>
    <t>Mnfr electric vehicles</t>
  </si>
  <si>
    <t>US - In February 2014, Apple Inc was rumored to be planning to acquire the entire share capital of Tesla Motors Inc, a Palo Alto-based manufacturer of electric vehicles. The Current status of this deal is unknown.</t>
  </si>
  <si>
    <t>Chindex International Inc</t>
  </si>
  <si>
    <t>Whl med equip,healthcare prod</t>
  </si>
  <si>
    <t>US - An investor group, including TPG Capital LP, Shanghai Fosun Pharmaceutical (Shanghai Fosun) Co Ltd of China, and Chindex International Inc's CEO, Ms. Roberta Lipson, acquired the entire share capital of Chindex International Inc, based in Maryland, is a wholesaler of medical equipment, instrumentation and other healthcare products, for a sweetened USD 24 in cash per share, or a total value of USD 442.96 mil. Originally, Shanghai Fosun offered for USD 19.50 in cash per share or a total value of USD 361.767 mil.</t>
  </si>
  <si>
    <t>Forest Laboratories Inc</t>
  </si>
  <si>
    <t>Actavis PLC</t>
  </si>
  <si>
    <t>US - Actavis PLC (Actavis) acquired the entire share capital of Forest Laboratories Inc (Forest), a New York-based manufacturer and wholesaler of prescription pharmaceuticals, in a reverse takeover transaction valued at USD 25. 44 bil. Actavis offered a choice of 0.4723 common shares, or a combination of USD 25.04 in cash and 0.3306 common shares, or USD 86.81 in cash per Forrest share. Based on Actavis' closing stock price of USD 191.88 on 17 February 2014, the last full trading day prior to the announcement, each Forest share was valued at USD 90. 625. This transaction is structured as a tax inversion. This transaction is Tax- Exempt under IRC s386.</t>
  </si>
  <si>
    <t>Esposito Global LLC</t>
  </si>
  <si>
    <t>US - Esposito Global LLC withdrew its plans to launch an unsolicited tender offer to acquire the entire share capital of SWS Group Inc, a Dallas-based provider of investment fund and financial services, for USD 8 per share, or a total value of USD 264. 54 mil in cash. Previously, Hilltop Holdings Inc planned to acquire the remaining 69. 192% interest, or 22.843 mil common shares, which it did not already own in SWS for USD 159.904 mil.</t>
  </si>
  <si>
    <t>Blackhawk Network Holdings Inc</t>
  </si>
  <si>
    <t>Pvd prepaid card,payment svcs;hldg co</t>
  </si>
  <si>
    <t>US - Safeway Inc (Safeway) completed the spin off of its 72.8% interest, or 37.839 mil common shares, in Blackhawk Network Holdings Inc (Blackhawk), a Pleasanton- based provider of prepaid card and payment services, to its shareholders in a transaction valued at USD 914. 94 mil. Safeway shareholders received 0.164 Blackhawk Class B common stock for every one Safeway common share held. The shares were valued based on Blackhawk's closing stock price of USD 24. 18 on 14 April 2014, the first full trading day on which the shares were distributed. Concurrently, AB Acquisition LLC definitively agreed to acquire the entire share capital of Safeway, and announced that it was seeking a buyer for its Property Development Centers LLC unit, and 49% interest in Casa Ley SA de CV.</t>
  </si>
  <si>
    <t>Signet Jewelers Ltd</t>
  </si>
  <si>
    <t>US - Signet Jewelers Ltd of Bermuda acquired the entire share capital of Zale Corp, an Irving-based owner and operator of jewelry stores, for USD 21 in cash per share, or a total value of USD 726. 227 mil.</t>
  </si>
  <si>
    <t>US - Brookdale Senior Living Inc (Brookdale) acquired the entire share capital of Emeritus Corp (Emeritus), a Seattle-based owner and operated of assisted living communities, in a stock swap transaction, valued at USD 1. 444 bil. Brookdale offered 0. 95 common share per Emeritus share held. Based on Brookdale's closing stock price of USD 29.91 on 19 February 2013, the last full trading day prior to the announcement, each Emeritus share was valued at USD 28. 415. This transaction is Tax- Exempt under IRC s386.</t>
  </si>
  <si>
    <t>US - Nokia Oyj was rumored to be planning to acquire Juniper Networks Inc, a Sunnyvale-based manufacturer and wholesaler of internet management equipments. The Current status of this deal is unknown.</t>
  </si>
  <si>
    <t>G Asset Management</t>
  </si>
  <si>
    <t>Provide asset management svcs</t>
  </si>
  <si>
    <t>US - G Asset Management planned to acquire a 51% interest in Barnes &amp; Noble, a New York-based owner and operator of bookstores, for USD 22 per share, or a total value of USD 671.792 mil.</t>
  </si>
  <si>
    <t>US - RF Micro Devices Inc (RF) merged with TriQuint Semiconductor Inc (TQ), a Hillsboro-based manufacturer of radio frequency equipment, to form a New Co (NC) in a stock swap transaction valued at USD 1.705 bil. TQ shareholders were to receive 0.419 NC common shares and RF shareholders were to receive 0.25 NC common shares per share held. Based on RF's closing stock price of USD 5. 81 on 21 February 2014, the last full trading day prior to the announcement, each TQ share was valued at USD 9.731. RF and TQ were to own 50% each, of the merged entity. The merged entity was named Qorvo Inc. This transaction is Tax-Exempt under IRC s386.</t>
  </si>
  <si>
    <t>NTS Merger Parent LLC</t>
  </si>
  <si>
    <t>Other Financial Vehicles</t>
  </si>
  <si>
    <t>US - NTS Merger Parent LLC (NTS Merger), a special purpose acquisition vehicle formed by JD Nichols, and Brian F Lavin, acquired the remaining 38.281% stake or 4. 247 mil limited partnership units, which it did not own, in NTS Realty Holdings LP (NTS), a Louisville, real estate investment trust, for an amended USD 8.68 in cash per share or a total value of USD 36.867 mil. Originally, NTS Merger offered USD 7.5 in cash per unit or a total value of USD 31.855 mil and USD 7.401 mil. On completion, NTS was delisted in NYSE MKT.</t>
  </si>
  <si>
    <t>EVOQ Properties Inc</t>
  </si>
  <si>
    <t>US - An investor group, comprised of Atlas Capital Group LLC, Square Mile Capital Management LLC and USAA Real Estate Co, acquired the entire share capital of EVOQ Properties Inc (EVOQ), a Los Angeles-based real estate development firm, for an estimated USD 366.356 mil. The consideration consisted of USD 12.96 per share or a total value of USD 228.237 mil plus the assumption of USD 129.163 mil in liabilities. Originally in February 2014, EVOQ announced that it was seeking a buyer for the company.</t>
  </si>
  <si>
    <t>Bank of Commerce,Charlotte,NC</t>
  </si>
  <si>
    <t>US - Hometrust Bancshares Inc acquired the entire share capital of Bank of Commerce, a Charlotte-based commercial bank, for USD 6.25 in cash per share or a total value of USD 10.1 mil.</t>
  </si>
  <si>
    <t>Centrix Bank &amp; Trust</t>
  </si>
  <si>
    <t>US - Eastern Bank Corp acquired the entire share capital of Bedford-based Centrix Bank &amp; Trust, for USD 41 in cash per share, or a total value of USD 115.561 mil.</t>
  </si>
  <si>
    <t>US - AB Acquisition LLC, a special purpose acquisition vehicle created by Cerberus Capital Management LP (Cerberus), Kimco Realty Corp, Klaff Realty LP, Lubert- Adler Partners Real Estate Funds, and Schottenstein Stores Corp, acquired the entire share capital of Safeway Inc (Safeway), a Pleasanton-based owner and operator of grocery stores, for USD 32.5 in cash per share, or a total value of USD 8.454 bil, including USD 886.655 mil in contingent value right, in a leveraged buyout transaction. Concurrently, Safeway completed the spin off its 72. 2% interest, or 37.8 mil shares, in its Blackhawk Network Holdings Inc unit, and announced that it was seeking a buyer for its Property Development Centers LLC unit, and 49% interest in Casa Ley SA de CV. Originally, in February 2014, Safeway was rumored to be seeking a buyer for the company. Cerberus was named potential bidder. On completion, Safeway common shares were delisted from the New York Stock Exchange.</t>
  </si>
  <si>
    <t>NII Holdings Inc</t>
  </si>
  <si>
    <t>US - NII Holdings Inc (NII Holding), a Reston-based provider of wireless telecommunication services, completed a debt restructuring transaction with Creditors (CRs). CRs including, holders of USD 800 mil in 10% senior unsecured notes issued by subsidiary NII Capital Corp (NII Capital) due 15 Aug, 2016, and USD 500 mil in 8.875% senior unsecured NII Capital notes due 15 Dec, 2019, would receive 25.43% of new shares. Holders of USD 1.45 bil in 7. 625% senior unsecured NII Capital notes due April 1, 2021, would receive 11.06% of new shares. Finally, holders of USD 700 mil in 7.875% senior unsecured notes issued by subsidiary NII International Telecom SCA (NII International notes) and due Aug. 15, 2019, and USD 900 mil in 11.375% senior unsecured NII International notes due Aug. 15, 2019, would receive the remaining 63.51% of shares. On completion, CRs received a entire share capital in the restructured NII Holding. The book value of the existing debt that was exchanged under the terms of the offer was USD 4.4 bil.</t>
  </si>
  <si>
    <t>Northwestern Bancorp Inc</t>
  </si>
  <si>
    <t>US - Chemical Financial Corp acquired the entire share capital of Northwestern Bancorp Inc, a Traverse City- based bank holding company, for USD 120 mil in cash.</t>
  </si>
  <si>
    <t>EPL Oil &amp; Gas Inc</t>
  </si>
  <si>
    <t>Energy XXI(Bermuda)Ltd</t>
  </si>
  <si>
    <t>US - Energy XXI (Bermuda) Ltd (Energy) of Bermuda, acquired the entire share capital of EPL Oil &amp; Gas Inc (EPL), a Houston-based oil and gas exploration and production company, in for a sweetened estimated USD 2.302 bil. The consideration consisted of USD 1.02 bil in cash, the assumption of USD 805 mil in liabilities and the issuance of 23 mil Energy ordinary shares valued at USD 477.48 mil. The shares were valued based on Energy's closing stock price of USD 20.76 on 2 June 2014, the last full trading day prior to the announcement. On completion, Energy and EPL were to hold 77% and 23% in the merged entity, respectively. Originally, Energy offered a choice 1.669 ordinary shares per EPL share or USD 39 in cash per share or a combination of USD 25.35 in cash per share and 0.584 ordinary shares per EPL share.</t>
  </si>
  <si>
    <t>Draw Another Circle LLC</t>
  </si>
  <si>
    <t>Prerecorded Tape, Compact Disc, and Record Stores</t>
  </si>
  <si>
    <t>US - Draw Another Circle LLC acquired the entire share capital of Hastings Entertainment Inc, an Amarillo-based owner and operator of multimedia entertainment retail stores and bookstores, for USD 3 in cash per share, or a total value of USD 24.430 mil. On completion, Hastings Entertainment Inc became a subsidiary of Draw Another Circle LLC and was delisted from NASDAQ.</t>
  </si>
  <si>
    <t>Pvd digital imaging svcs</t>
  </si>
  <si>
    <t>US - Matthews International Corp (MIC) acquired the entire share capital of Schawk Inc (SI), a Des Plaines-based provider of digital imaging services, for USD 11.8 in cash and 0.206 MIC common share per SI share, or a total value of USD 539. 781mil. The shares were valued based on MIC's closing stock price of USD 39.84 on 14 March 2014, the last full trading day prior to the announcement, each SI share was valued at USD 20. This transaction is Tax-Exempt under IRC s386.</t>
  </si>
  <si>
    <t>Colonial Virginia Bank</t>
  </si>
  <si>
    <t>Xenith Bankshares Inc</t>
  </si>
  <si>
    <t>US - Xenith Bankshares Inc (Xenith Bankshares) acquired the entire share capital of Gloucester-based Colonial Virginia Bank (CV), in a stock swap transaction valued at USD 9.691 mil. Xenith Bankshares offered 2.65 common shares per CV share. Based on Xenith Bankshares' closing stock price of USD 5. 95 on 20 March 2014, the last full trading day prior to the announcement, each CV stock was valued at USD 15.768.</t>
  </si>
  <si>
    <t>LIN Media LLC</t>
  </si>
  <si>
    <t>US - Media General Inc (Media General) acquired the entire share capital of LIN Media LLC, a Providence-based owner and operator of television stations, for an amended USD 1.537 bil in cash. Media General offered a choice of USD 25.97 cash or 1.4714 Media General common shares per LIN share, subject to proration whereby the maximum cash consideration was USD 763 mil. Originally, Media General offered a choice of USD 27.82 in cash or 1.5672 Media General common shares per LIN share. On completion, the merged entity was renamed Media General and to be listed under the symbol of MEG. This transaction is Tax- Exempt under IRC s386.</t>
  </si>
  <si>
    <t>Global Geophysical Svcs Inc</t>
  </si>
  <si>
    <t>Pvd geographical mapping svcs</t>
  </si>
  <si>
    <t>US - Global Geophysical Services Inc (GGS), a Missouri City-based provider of geographical mapping services, completed its debt restructuring transaction with Creditors. CRs received pro rata share of between 11. 95% and 32.71% new common stock and warrants to purchase their pro rata share of up to 10% of the new common stock . Upon Completion, CRs held an undisclosed interest in the restructured GGS. The book value of the existing debt that was exchanged under the terms of the offer was USD 342.923 mil.</t>
  </si>
  <si>
    <t>DirecTV Inc</t>
  </si>
  <si>
    <t>US - Dish Network Corp was rumored to be planning to acquire the entire share capital of DirecTV Inc, an El Segundo-based provider of cable television services. The Current status of this deal is unknown.</t>
  </si>
  <si>
    <t>Apex Restaurant Management Inc</t>
  </si>
  <si>
    <t>Limited-Service Restaurants</t>
  </si>
  <si>
    <t>US - Apex Restaurant Management Inc acquired the entire share capital of Morgan's Foods Inc, a Cleveland-based owner and operator of franchise restaurants, for USD 5 in cash per share, or a total value of USD 20.241 mil.</t>
  </si>
  <si>
    <t>Genco Shipping &amp; Trading Ltd</t>
  </si>
  <si>
    <t>Pvd deep sea transp svcs</t>
  </si>
  <si>
    <t>US - Genco Shipping &amp; Trading Ltd (Genco), a New York-based provider of transportation services for steel products, completed a debt restructuring transaction with Creditors. CRs including credit facility claims received new equity, senior credit facilities received an extension to maturity until August 2019, Convertible bondholders received 8.4% of new equity and General unsecured claims received 6% of new equity and warrants. On completion, CRs held an 81. 1% interest in the restructured Genco. The book value of the existing debt that was exchanged under the terms of the offer was USD 1. 480 bil.</t>
  </si>
  <si>
    <t>DFC Global Corp</t>
  </si>
  <si>
    <t>Pvd diversified financial svcs</t>
  </si>
  <si>
    <t>US - Lone Star Funds, through its LSF8 Sterling Parent LLC subsidiary, acquired the entire share capital of DFC Global Corp, a Berwyn-based provider of diversified financial services, for USD 9. 5 in cash per share or a total value of USD 366.466 mil, in a leveraged buyout transaction.</t>
  </si>
  <si>
    <t>Questcor Pharmaceuticals Inc</t>
  </si>
  <si>
    <t>US - Mallinckrodt PLC (Mallinckrodt) of Ireland, acquired the entire share capital of Questcor Pharmaceuticals Inc (Questcor) , an Anaheim-based manufacturer and wholesaler of prescription pharmaceuticals, for USD 5. 592 bil. Mallinckrodt offered USD 30 in cash and 0.897 Mallinckrodt ordinary share per Questcor share. Based on Mallinckrodt's closing stock price of USD 62.52 on 4 April 2014, the last full trading day prior to the announcement, each Questcor share was valued at USD 86.08. On completion, Questcor common shares were delisted in the NASDAQ Stock Market. This transaction is structured as a tax inversion.</t>
  </si>
  <si>
    <t>Vocus Inc</t>
  </si>
  <si>
    <t>Dvlp marketing software</t>
  </si>
  <si>
    <t>US - GTCR LLC (GTCR), through its GTCR Valor Merger Sub Inc subsidiary, definitively acquired the entire share capital of Vocus Inc (Vocus), a Beltsville-based developer of marketing software, via a tender offer for USD 18 in cash per share and USD 77.3 in cash per Series A convertible preferred share, or a total value of USD 479. 291 mil. Originally, in March 2014, Vocus was rumored to be seeking a buyer for the company. ConstantContact, Web. com Group Inc and GTCR were named potential bidders.</t>
  </si>
  <si>
    <t>OBA Financial Services Inc</t>
  </si>
  <si>
    <t>US - FNB Corp merged with OBA Financial Services Inc (OBA), a Germantown-based bank holding company, in a stock swap transaction, valued at USD 98.73 mil. FNB Corp offered 1.781 common shares per OBA share held. Based on FNB Corp's closing stock price of USD 13.38 on 7 April 2014, the last full trading day prior to the announcement, each OBA share was valued at USD 23.83.</t>
  </si>
  <si>
    <t>Loral Space &amp; Commun Inc</t>
  </si>
  <si>
    <t>US - Ontario Teacher's Pension Plan was rumored to be planning to acquire the entire share capital of Loral Space &amp; Communications Inc, a New York-based manufacturer of satellites and components. Terms were not disclosed but, according to sources close to the situation, the deal was valued at an estimated USD 7 bil, including the assumption of liabilities. The Current status of this deal is unknown.</t>
  </si>
  <si>
    <t>AMETEK Inc</t>
  </si>
  <si>
    <t>Manufacture,wholesale electronic instruments</t>
  </si>
  <si>
    <t>US - AMETEK Inc acquired the entire share capital of Zygo Corp, a Middlefield-based manufacturer and wholesaler of optical systems, for USD 19.25 mil in cash per share, or a total value of USD 372. 813 mil.</t>
  </si>
  <si>
    <t>Fedfirst Financial Corp</t>
  </si>
  <si>
    <t>CB Financial Services Inc</t>
  </si>
  <si>
    <t>US - CB Financial Services Inc acquired the entire share capital of FedFirst Financial Corp, a Monessen-based savings and loan bank holding company, in a stock swap transaction valued at USD 53. 424 mil. CB Financial Services Inc offered 1.159 shares per FedFirst Financial Corp share. Based on CB Financial Services Inc's closing stock price of USD 19. 75 on 11 April 2014, the last full trading day prior to the announcement, the shares were valued at USD 22.89.</t>
  </si>
  <si>
    <t>US - In April 2014, CONMED Corp, an Utica-based manufacturer of advanced electrosurgical systems and ECG electrodes was rumored to be seeking a buyer for the company.</t>
  </si>
  <si>
    <t>US - Barrick Gold Corp discontinued rumors that it was planning to merge with Newmont Mining Corp, a Greenwood Village-based gold mining company.</t>
  </si>
  <si>
    <t>US - An investor group comprised of Valeant Pharmaceuticals International Inc (Valeant), through its wholly-owned AGMS Inc subsidiary, and Pershing Square Capital Management LP, withdrew its hostile tender offer to acquire the remaining 90.29% interest, or 268.678 mil common shares, which it did not already own, in Allergan Inc (Allergan), an Irvine-based manufacturer of eye care and skin care pharmaceutical products, in a stock swap transaction valued at USD 57.759 bil. Valeant offered a twice sweetened USD 72 in cash, 0.83 common shares and USD 25 in Contingent Value Rights per Allergan share. Based on Valeant's closing stock price of USD 129.22 on 29 May 2014, the last full trading day prior the announcement of the sweetened terms, each Allergan share was valued at USD 204.253. Upon completion, Allergan and Valeant were to own 43% and 57% in the merged entity, respectively. Previously, Valeant offered a sweetened USD 58.3 in cash, 0. 83 common shares and USD 25 in Contingent Value Right per Allergan share. Originally, Valeant offered USD 48.3 in cash and 0.83 common shares per Allergan share. Subsequently, Actavis PLC, acting as white knight, acquired the entire share capital of Allergan.</t>
  </si>
  <si>
    <t>Cbeyond Inc</t>
  </si>
  <si>
    <t>Pvd info tech,commun svcs</t>
  </si>
  <si>
    <t>Birch Communications Inc</t>
  </si>
  <si>
    <t>US - Birch Communications Inc, a unit of KKR &amp; Co LP's Kohlberg Kravis Roberts &amp; Co LP acquired the entire share capital of Cbeyond Inc, an Atlanta-based provider of information technology and communications services, for USD 10 in cash per share, or a total value of USD 308.581 mil.</t>
  </si>
  <si>
    <t>First Financial Svc Corp,KY</t>
  </si>
  <si>
    <t>US - Community Bank Shares Of Indiana Inc, New Albany, Indiana acquired the entire share capital of First Financial Service Corp, an Elizabethtown-based bank holding company, in a stock swap transaction valued at USD 17.084 mil. Community Bank Shares offered 0.153 shares per First Financial Service Corp share. Based on Community Bank Shares' closing stock price of USD 22. 71 on 21 April 2014, the last full trading day prior to the announcement, each First Financial Service Corp share was valued at USD 3.475.</t>
  </si>
  <si>
    <t>Integrated Memory Logic Ltd</t>
  </si>
  <si>
    <t>Mnfr,whl LCD prod</t>
  </si>
  <si>
    <t>US - Exar Corp acquired an 87. 230% interest or 68.319 mil common shares of Integrated Memory Logic Ltd (Integrated Memory), a San Jose-based semiconductor company, via tender offer to acquire the entire share capital of Integrated Memory, for USD 3. 006 in cash per share, or a total value of USD 205.367 mil. The offer was conditioned upon at least 70% of Integrated Memory being tendered.</t>
  </si>
  <si>
    <t>Furiex Pharmaceuticals Inc</t>
  </si>
  <si>
    <t>US - Forest Laboratories Inc, a unit of Actavis PLC, acquired the entire share capital of Furiex Pharmaceuticals Inc (Furiex Pharmaceuticals), a Morrisville-based manufacturer of pharmaceuticals, USD 1.436 bil. The consideration consisted of USD 95 in cash per share, USD 30 in contingent value rights per share and USD 319.29 mil in profit-related payments. Originally, in February 2014, Furiex Pharmaceuticals Inc was rumored to be seeking a buyer for the company.</t>
  </si>
  <si>
    <t>NorthStar Realty Finance Corp</t>
  </si>
  <si>
    <t>US - American Realty Capital Properties Inc discontinued rumors that it was planning to acquire the entire share capital of NorthStar Realty Finance Corp, a New York- based real estate investment trust firm.</t>
  </si>
  <si>
    <t>Susser Holdings Corp</t>
  </si>
  <si>
    <t>Own,operate conveniece stores</t>
  </si>
  <si>
    <t>US - Energy Transfer Partners LP (Energy Transfer) acquired the entire share capital of Susser Holdings Corp (Susser), a Corpus Christi-based owner and operator of convenience stores and gasoline service stations, in a stock swap transaction valued at USD 1. 787 bil. Energy Transfer offered a choice of 1.4506 common units, USD 80.25 or a combination of cash and common units, subject to proration whereby cash paid and common units issued will each represent 50% of the aggregate merger consideration. On completion, Energy Transfer and Susser, were to own 50.2% and 49.8% in the merged entity, respectively. This transaction is Tax-Exempt under IRC s386.</t>
  </si>
  <si>
    <t>OmniAmerican Bancorp Inc</t>
  </si>
  <si>
    <t>Southside Bancshares,Tyler,TX</t>
  </si>
  <si>
    <t>US - Southside Bancshares Inc acquired the entire share capital of OmniAmerican Bancorp Inc, a Fort Worth- based bank holding company, in a stock swap transaction valued at USD 310.258 mil. Southside Bancshares offered 0.4459 shares and USD 13.125 per OmniAmerican Bancorp share. Based on Southside Bancorps closing stock price of USD 30.46, the last full trading day prior to the announcement, each OmniAmerican Bancorp share was valued at USD 26.707. This transaction is Tax- Exempt under IRC s386.</t>
  </si>
  <si>
    <t>Orbital Sciences Corp</t>
  </si>
  <si>
    <t>Mnfr space satellite products</t>
  </si>
  <si>
    <t>Alliant Techsystems Inc</t>
  </si>
  <si>
    <t>Mnfr,whl defense prod</t>
  </si>
  <si>
    <t>US - Alliant Techsystems Inc (Alliant) merged with Orbital Sciences Corp (Orbital), a Dulles-based manufacturer of space and ground infrastructure systems and satellite access products, in a stock swap transaction valued at USD 3.779 bil. Alliant offered 0.449 common shares per Orbital share. Based on Alliant's closing stock price of USD 138.82 on 28 April 2014, the last full trading day prior to the announcement, each Orbital share was valued at USD 62.33. On completion, Alliant and Orbital were to own 53.8% and 46.2% in the merged entity, respectively. Alliant was renamed Orbital ATK Inc. Concurrently, Alliant completed the spinoff of its Sporting Group to its shareholders. This transaction is Tax-Exempt under IRC s386.</t>
  </si>
  <si>
    <t>Pepco Holdings Inc</t>
  </si>
  <si>
    <t>US - Exelon Corp merged with Pepco Holdings Inc (Pepco Holdings), a Washington-based provider of distribution, transmission, and default supply of electricity and delivery and supply of natural gas, for USD 27.25 in cash per share or a total value of USD 6.829 bil. On completion, Pepco Holdings' common stock will be delisted in the New York Stock Exchange.</t>
  </si>
  <si>
    <t>Atlantic Power Corp</t>
  </si>
  <si>
    <t>US - In May 2014, Atlantic Power Corp (Atlantic), a Boston-based electric utility company, announced that it was seeking a buyer for the company. Originally, in May 2014, Atlantic was rumored to be seeking a buyer for the company.</t>
  </si>
  <si>
    <t>SP Bancorp Inc</t>
  </si>
  <si>
    <t>Green Bancorp Inc</t>
  </si>
  <si>
    <t>US - Green Bancorp Inc acquired the entire share capital of SP Bancorp Inc, a Plano-based bank holding company, for USD 29.55 mil in cash per share, or a total value of USD 49.185 mil.</t>
  </si>
  <si>
    <t>Sabine Oil &amp; Gas LLC</t>
  </si>
  <si>
    <t>US - Sabine Oil &amp; Gas LLC (Sabine), a joint venuture unit between First Reserve Corp and Nabors Industries Ltd, acquired the entire share capital of Forest Oil Corp (Forest), a Denver-based oil and gas exploration and production company. On completion, Sabine and Forest were to own 73.5% and 26.5% in the merged entity, respectively. The merged entity was renamed Sabine Oil &amp; Gas Corp. This transaction is Tax-Exempt under IRC s386.</t>
  </si>
  <si>
    <t>Chelsea Therapeutics Intl Ltd</t>
  </si>
  <si>
    <t>US - H Lundbeck A/S of Denmark (Lundbeck), a majority-owned unit of Lundbeckfonden, through its Charlie Acquisition Corp subsidiary, acquired the entire share capital of Chelsea Therapeutics International Ltd (Chelsea), a Charlotte-based biopharmaceutical company, for USD 6.44 in cash per share, or a total value of 647.649 mil, including up to a further USD 118.404 mil in profit-related payments. Earlier, Lundbeck completed its tender offer for Chelsea by accepting 49.437 mil shares, or about 62.529% interest of Chelsea's common stock outstanding. The offer was conditioned upon at least majority of Chelsea's shares being tendered. On completion, Chelsea common shares were delisted on the NASDAQ Capital Market.</t>
  </si>
  <si>
    <t>US - Valley National Bancorp (VNB) merged with Boca Raton- based 1st United Bancorp Inc (1st), from Wachovia Corp, a unit of Wells Fargo &amp; Co, in a stock swap transaction valued at USD 305.485 mil. VNB offered 0.89 share per 1st share. Based on VNB's closing stock price of USD 9. 76 on 07 May 2014, the last full trading day prior to the announcement, each 1st share was valued at USD 8.686. This transaction is Tax-Exempt under IRC s386.</t>
  </si>
  <si>
    <t>Pinnacle Foods Inc</t>
  </si>
  <si>
    <t>Produce,whl packaged food prod</t>
  </si>
  <si>
    <t>Hillshire Brands Co</t>
  </si>
  <si>
    <t>US - Hillshire Brands Co (Hillshire) withdrew its agreement to acquire the entire share capital of Pinnacle Foods Inc (Pinnacle), a Parsippany-based producer and wholesaler of packaged food products, from Blackstone Group LP, in a stock swap transaction valued at USD 4.284 bil. Hillshire offered USD 18 in cash and 0. 5 common shares per Pinnacle share. Based on Hillshires closing stock price of USD 36. 95 on 9 May 2014, the last full trading day prior to the announcement, each Pinnacle share was valued at USD 36. 475. Concurrently, Pilgrim's Pride Corp withdrew its plans to launch an unsolicited tender offer to acquire Hillshire and Tyson Foods Inc acquired Hillshire, via a challenging tender offer. This transaction is Tax- Exempt under IRC s386.</t>
  </si>
  <si>
    <t>Structural Steel and Precast Concrete Contractors</t>
  </si>
  <si>
    <t>HC2 Holdings Inc</t>
  </si>
  <si>
    <t>US - HC2 Holdings Inc acquired 59.48% interest, or 2.5 mil common shares in Schuff International Inc, a Phoenix-based provider of steel construction services, from SAS Ventures Ltd, for USD 31.5 in cash per share, or a total of USD 78.75 mil.</t>
  </si>
  <si>
    <t>Digital Cinema Destinations</t>
  </si>
  <si>
    <t>Pvd digital entertainment svcs</t>
  </si>
  <si>
    <t>Carmike Cinemas Inc</t>
  </si>
  <si>
    <t>Pvd movie theater services</t>
  </si>
  <si>
    <t>US - Carmike Cinemas Inc (Carmike) acquired the entire share capital of Digital Cinema Destinations Corp (Digital), a Westfield-based provider of digital entertainment services, in a stock swap transaction valued at USD 42.696mil. Carmike offered a sweetened 0.177 common shares per Digital share. Based on Carmike's closing stock price of USD 34. 15 on 14 August 2014, the last full trading day prior to the amendment of the terms, each Community stock was valued at USD 6.027. Originally, Carmike offered 0. 178 common shares per Digital share. Based on Carmike's closing stock price of USD 32. 33 on 14 May 2014, the last full trading day prior to the announcement, each Community stock was valued at USD 5.739.</t>
  </si>
  <si>
    <t>US - Kindred Healthcare Inc (Kindred) acquired the entire share capital of Gentiva Health Services Inc (Gentiva), an Atlanta-based provider of home healthcare services, for a four time sweetened USD 721. 103 mil. The consideration was consisted of USD 14.5 in cash and 0.257 common share per Gentiva share. Subsequently, Kindred offered a thrice sweetened USD 17.25 per share or a total value of USD 635.514 mil. Earlier, Kindred offered a twice sweetened USD 16 cash per share or a total value of USD 589.462 mil. Previously, Kindred offered a sweetened USD 14.50 per share or a total value of USD 534.2 mil. Originally, Kindred offered USD 7 in cash and USD 7 in common share per Gentiva share.</t>
  </si>
  <si>
    <t>Sphere 3D Inc</t>
  </si>
  <si>
    <t>Dvlp cloud technology software</t>
  </si>
  <si>
    <t>US - Sphere 3D Inc (Sphere 3D) of Canada acquired the entire share capital of Overland Storage Inc (Overland), a San Diego-based manufacturer and wholesaler of storage devices, in a stock swap transaction valued at USD 81.892 mil. Sphere 3D offered 0.511 common share per Overland share. Based on Sphere 3D's closing stock price of USD 8.698 on 14 May 2014, the last full trading day prior to the announcement, each Overland share was valued at USD 4.445.</t>
  </si>
  <si>
    <t>Rackspace Hosting Inc</t>
  </si>
  <si>
    <t>Provide web hosting services</t>
  </si>
  <si>
    <t>US - In May 2014, Rackspace Hosting Inc, a San Antonio- based provider of web hosting and managed date and network services, discontinued the rumor that it was seeking a buyer for the entire share capital of the company. CenturyLink was rumored to be a potential bidder.</t>
  </si>
  <si>
    <t>US - AT&amp;T Inc (AT&amp;T) acquired the entire share capital of DirecTV Inc (DirecTV), an El Segundo-based provider of cable television services, in a stock swap transaction valued at USD 48.082 bil. AT&amp;T offered USD 28.5 cash and USD 66.5 in AT&amp;T common shares for every DirecTV common share, each DirecTV share is valued at USD 95. On completion, DirectTV common shares were delisted from theNASDAQ Stock Market. Originally, AT&amp;T was rumored to be planning to acquire the entire share capital of DirecTV. This transaction is Tax-Exempt under IRC s386.</t>
  </si>
  <si>
    <t>Aeroflex Holding Corp</t>
  </si>
  <si>
    <t>Manufacture microelectronics</t>
  </si>
  <si>
    <t>Cobham PLC</t>
  </si>
  <si>
    <t>Mnfr,whl aircraft parts,mach</t>
  </si>
  <si>
    <t>US - Cobham PLC (Cobham) of the UK acquired the entire share capital of Aeroflex Holding Corp (Aeroflex), a Plainview-based manufacturer of radio frequency and microwave integrated circuits, components and systems, for USD 10.5 in cash per share, or a total value of USD 1.435 bil, including the assumption of USD 540 mil in liabilities.</t>
  </si>
  <si>
    <t>Valley Community Bank</t>
  </si>
  <si>
    <t>FNB Bancorp</t>
  </si>
  <si>
    <t>US FNB Bancorp (FNB) agreed to acquire the entire share capital of Pleasanton-based Valley Community Bank (Valley Community), in a stock swap transaction valued at USD 5. 94. mil. FNB offered 0.1135 common share per Valley Community share. Based on FNBs closing stock price of USD 29.25 on 21 May 2014, the last full trading day prior to the announcement, each Valley Community share was valued at USD 3.32.</t>
  </si>
  <si>
    <t>Poultry Processing</t>
  </si>
  <si>
    <t>US - Pilgrim's Pride Corp (Pilgrim's), a unit of JBS SA's JBS USA Holdings Inc subsidiary, withdrew its plans to launch an unsolicited tender offer to acquire the entire share capital of Hillshire Brands Co (Hillshire), a Chicago- based producer and wholesaler of packaged meat, baked goods, frozen foods, coffee and other grocery goods, for a sweetened USD 55 in cash per share, or a total value of USD 6.746 bil. Previously, Pilgrim's offered USD 45 in cash per share. The transaction was contingent upon the termination of the acquisition of Pinnacle Foods Inc by Hillshire. Subsequently, Tyson Foods Inc acquired the entire share capital of Hillshire, via a challenging tender offer.</t>
  </si>
  <si>
    <t>MKTG Inc</t>
  </si>
  <si>
    <t>Pvd mktg program svcs</t>
  </si>
  <si>
    <t>Aegis Lifestyle Inc</t>
  </si>
  <si>
    <t>Advertising Material Distribution Services</t>
  </si>
  <si>
    <t>US - Aegis Lifestyle Inc, a unit of Dentsu Aegis Network Ltd, acquired the entire share capital of MKTG Inc, a New York-based marketing agency, for USD 2.8 per share, or a total value of USD 45. 271 mil in cash. The transaction included the acquisition of Series D preferred stock convertible into 5.319 mil common shares.</t>
  </si>
  <si>
    <t>PetroLogistics LP</t>
  </si>
  <si>
    <t>Manufacture propylene</t>
  </si>
  <si>
    <t>Flint Hills Resources LLC</t>
  </si>
  <si>
    <t>Manufacture fuel products</t>
  </si>
  <si>
    <t>US - Flint Hills Resources LLC (Flint Hills), a unit of Koch Industries LLC, acquired the remaining 26.845% stake, or 37.371 mil common units, which it did not already own, in PetroLogistics LP (PetroLogistics), a Houston- based manufacturer of propylene, for USD 14 in cash per share, or a total value of USD 523.197 mil. Concurrently, Flint Hills acquired a 73.155% interest, or 101.842 mil common units, in PetroLogistics.</t>
  </si>
  <si>
    <t>US - Flint Hills Resources LLC (Flint Hills), a unit of Koch Industries LLC, acquired a 73.155% interest, or 101. 842 mil common units, in PetroLogistics LP (PetroLogistics), a Houston- based manufacturer of propylene, from Lindsay Goldberg LLC (50.061%), York Capital Management LLC (12. 515%), David Lumpkins (5.689%) and Nathan Ticatch (4.890%), for USD 12 in cash per share, or a total value of USD 1.222 bil. Concurrently, PetroLogistics acquired the remaining 26.845% stake, or 37.371 mil common units, which it did not already own, in PetroLogistics, for USD 14 in cash per share.</t>
  </si>
  <si>
    <t>US - Tyson Foods Inc (Tyson) acquired the entire share capital of Hillshire Brands Co (Hillshire), a Chicago- based producer and wholesaler of packaged meat, baked goods, frozen foods, coffee and other grocery goods, for a sweetened USD 63 in cash per share or a total value of USD 7.727 bil. Earlier, Tyson completed its tender offer for Hillshire, by accepting 86.987 mil or about 70.924% interest of Hillshire's common stock outstanding. The offer was conditioned upon at least 66.666% of Hillshire's shares being tendered. On completion, Hillshire's common shares were delisted in the New York Stock Exchange and the Chicago Stock Exchange. Originally, Tyson offered USD 50 in cash per share. The transaction is contingent upon the termination of the acquisition of Pinnacle Foods Inc by Hillshire. Previously, Pilgrim's Pride Corp withdrew its plan to launch an unsolicited tender offer for the entire share capital of Hillshire.</t>
  </si>
  <si>
    <t>Virginia Co Bank,Newport News</t>
  </si>
  <si>
    <t>US - Eastern Virginia Bankshares Inc (Eastern Virginia) merged with Newport News-based Virginia Co Bank (Virginia Co), for USD 9.583 mil in cash. Eastern Virginia offered a choice of USD 6.25 in cash per share or 0.926 common share per Virginia Co share, subject to proration whereby the maximum cash consideration was 25% of the total consideration. Based on Eastern Virginia's closing stock price of USD 6.62 on 28 May 2014, the last full trading day prior to the announcement, each Virginia Co share was valued at USD 6. 13.</t>
  </si>
  <si>
    <t>American Realty Capital</t>
  </si>
  <si>
    <t>Lessors Of Other Real Estate Property</t>
  </si>
  <si>
    <t>US - Ventas Inc (Ventas) acquired the entire share capital of American Realty Capital Healthcare Trust Inc (American Realty), a New York- based real estate investment trust, for USD 1.918 bil in cash. Ventas offered a choice of USD 11.33 in cash per share or 0.1688 common shares per American Realty share. Concurrently, Ventas planned to acquire 19 Canadian senior living communities of Holiday Retirement Corp.</t>
  </si>
  <si>
    <t>LSB Financial Corp</t>
  </si>
  <si>
    <t>US - Old National Bancorp acquired the entire share capital of LSB Financial Corp, a Lafayette-based bank holding company, from LSB Industries Inc, in a stock swap transaction valued at USD 65.939. The consideration consisted of USD Old National Bancorp offered USD 10.63 in cash per share or total value of USD 16.664 and 3.557 mil Old National common shares valued at USD 48.729. Old National offered 2.269 common shares per LSB Financial Corp share. Based on Old National's closing stock price of USD 13.7 on 2 June 2014, the last full trading day prior to the announcement, each LSB Financial Corp share is valued at USD 31.085.</t>
  </si>
  <si>
    <t>The Dai-ichi Life Insurance</t>
  </si>
  <si>
    <t>US - The Dai-ichi Life Insurance Co Ltd (Dai-ichi) of Japan acquired the entire share capital of Protective Life Corp (Protective), a Birmingham-based insurance holding company, for USD 70 in cash per share, or a total value of USD 5.708 bil. Originally, Dai-ichi was rumored to be planning to acquire the entire share capital of Protective.</t>
  </si>
  <si>
    <t>US - National Penn Bancshares Inc (National Penn) merged with TF Financial Corp (TF Financial), a Newtown-based provider of holding services, in a stock swap transaction valued at USD 138.848 mil. National Penn offered a choice of 4.22 common shares per TF Financial share or USD 42 in cash per share, subject to proration procedures to preserve a 40% cash and 60% common shares. Based on National Penn's closing stock price of USD 10.44 on 3 June 2014, the last full trading day prior to the announcement, each TF Financial share was valued at USD 44.057. This transaction is Tax-Exempt under IRC s386.</t>
  </si>
  <si>
    <t>Central Garden &amp; Pet Co</t>
  </si>
  <si>
    <t>Mnfr,whl pet,lawn,garden prod</t>
  </si>
  <si>
    <t>US - Harbinger Group Inc (Harbinger), a unit of Harbinger Capital Partners LLC, through its wholly-owned subsidiary, planned to launch an unsolicited tender offer to acquire the remaining 95. 625% or 48.239 mil common shares, which it did not own, in Central Garden &amp; Pet Co (Central), a Walnut Creek- based supplier of pet and lawn products, for USD 10 in cash per share or a total value of USD 482.39 mil. Concurrently, Harbinger planned to acquire the pet segment of Central.</t>
  </si>
  <si>
    <t>Hittite Microwave Corp</t>
  </si>
  <si>
    <t>Analog Devices Inc</t>
  </si>
  <si>
    <t>US - Analog Devices Inc (Analog) acquired the entire share capital of Hittite Microwave Corp (Hittite), a Chelmsford-based manufacturer of integrated circuits, modules and subsystems, for USD 78 in cash per share or a total value of USD 2.448 bil, via tender offer. Earlier, Analog completed its tender offer offer for Hittite by accepting 23.292 mil, or 74. 245% of Hittite's common shares outstanding. The offer was conditioned upon at least a majority of Hittite's shares being tendered. On completion, Hittite common shares were delisted in the NASDAQ Global Select Market.</t>
  </si>
  <si>
    <t>Idenix Pharmaceuticals Inc</t>
  </si>
  <si>
    <t>Manufacture, wholesale pharmaceuticals</t>
  </si>
  <si>
    <t>US - Merck &amp; Co Inc (Merck) acquired the entire share capital of Idenix Pharmaceuticals Inc (Idenix), a Cambridge-based biopharmaceutical company, for USD 24.5 in cash per share, or a total value of USD 3.828 bil. Earlier, Merck completed its tender offer for Idenix by accepting 131. 694 mil shares, or 87.305% of Idenix's common shares outstanding. The offer was conditioned upon at least a majority of Idenix's shares being tendered. On completion, Idenix common shares were delisted in the NASDAQ Stock Market.</t>
  </si>
  <si>
    <t>Virginia Heritage Bank</t>
  </si>
  <si>
    <t>US - Eagle Bancorp Inc (Eagle) merged with Tysons Corner- based Virginia Heritage Bank (Virginia), in a stock swap transaction valued at USD 181. 947 mil. Eagle offered USD 7. 5 in cash and 0.6531 Eagle share for every Virginia share. Based on Eagle's closing stock price of USD 32. 92 on 6 June 2014, the last full trading day prior to the announcement, each Virginia share was valued at USD 29. The transaction was subject to a collar agreement.</t>
  </si>
  <si>
    <t>First Citizens Bancshares Inc</t>
  </si>
  <si>
    <t>US - First Citizens BankShares Inc acquired the entire share capital of First Citizens Bancorporation Inc, a Colombia-based bank holding company.</t>
  </si>
  <si>
    <t>ViryaNet Ltd</t>
  </si>
  <si>
    <t>Verisae Inc</t>
  </si>
  <si>
    <t>US - Verisae Inc, a unit of Marlin Equity Partners LLC acquired the entire share capital of ViryaNet Ltd, a Westborough-based developer of software solutions, for USD 18.825 mil in cash.</t>
  </si>
  <si>
    <t>Express Inc</t>
  </si>
  <si>
    <t>Ret women,men apparel</t>
  </si>
  <si>
    <t>US - Sycamore Partners LLC withdrew its plans to acquire the entire share capital of Express Inc, a Columbus-based retailer of women's and men's specialty apparel and accessories in a leveraged buyout transaction.</t>
  </si>
  <si>
    <t>Limelight Networks Inc</t>
  </si>
  <si>
    <t>Pvd web content mgmt services</t>
  </si>
  <si>
    <t>Tuition Build Inc</t>
  </si>
  <si>
    <t>US - Tuition Build Inc withdrew its plans to launch an unsolicited tender offer to acquire the entire share capital of Limelight Networks Inc, a Tempe-based provider of web content management services, for USD 6.55 in cash per share or a total value of USD 645.04 mil.</t>
  </si>
  <si>
    <t>OpenTable Inc</t>
  </si>
  <si>
    <t>Pvd online reservation svcs</t>
  </si>
  <si>
    <t>US - Priceline Group Inc (Priceline) acquired acquire the entire share capital of OpenTable Inc (OpenTable), a San Francisco-based provider of electronic restaurant reservation services, for USD 103 in cash per share or a total value of USD 2.555 bil, via tender offer. Earlier, Priceline completed the tender offer for OpenTable by accepting 16.08 mil, or 68. 373% interest of OpenTable common shares outstanding. On completion OpenTable common shares were delisted in NASDAQ Global Market.</t>
  </si>
  <si>
    <t>Access Midstream Partners LP</t>
  </si>
  <si>
    <t>US - The Williams Cos Inc (Williams) raised its interest to 50% from 23.11% by acquiring a 26.89% stake, or 55.1 mil subordinated limited partnership units in Access Midstream Partners LP, an Oklahoma City-based provider of natural gas gathering systems services, from General Infrastructure Partners Fund I LP, a wholly- owned unit of the Global Infrastructure Partners LLC (GIP) joint venture of Credit Suisse Group AG and GE Infrastructure Inc. GE Infrastructure was a wholly- owned subsidiary of General Electric Co {GE}. Concurrently, Williams agreed to acquire the remaining 50% interest, which it did not already own, in Access Midstream Partners GP LLC. The two transactions were to have a combined value of USD 5.995 bil in cash. This transaction is Tax-Exempt under IRC s386.</t>
  </si>
  <si>
    <t>US - Access Midstream Partners LP (Access Midstream) , a 50%-owned unit of The Williams Cos Inc (Williams Cos), merged with Williams Partners LP (Williams Partners), a Tulsa-based provider of natural gas transportation services and a 66%-owned unit of Williams Co, in a reverse takeover stock swap transaction valued at an amended USD 8.015 bil, whereby the value was prorated at 34%, based on the 66% interest held by Williams Co's in Williams Partners. Access Midstream offered 0. 86672 common shares and USD 1. 02 in common shares per Williams Partners share. Based on Access Midstream's closing stock price of USD 60. 83 on 24 October 2014, the last full trading day prior to the amendment, each Williams Partners share was valued at USD 53.743. Originally, Access Midstream offered a choice of 0.85 common shares and USD 0.81 in cash or USD 0.81 in common shares per Williams Partners share. Based on Access Midstream's closing stock price of USD 65.36 on 13 June 2014, the last full trading day prior to the announcement, each Williams Partners share was valued at USD 56.366. On completion, the merged entity was named Williams Partners LP. The transaction had been conditioned upon the completion of Williams Cos' acquisition of 50% interest in Access Midstream.</t>
  </si>
  <si>
    <t>Fusion-io Inc</t>
  </si>
  <si>
    <t>Mnfr,whl enterprise storage</t>
  </si>
  <si>
    <t>US - SanDisk Corp (SanDisk) merged with Fusion-io Inc (Fusion), a Salt Lake City- based manufacturer and wholesaler of enterprise storage class memory platform and solutions, for USD 11.25 in cash per share or a total value of USD 1.29 bil. Earlier, SanDisk completed its tender offer for Fusion by accepting 66.902 mil, or 61.95% of Fusion's common shares outstanding. The offer had been conditioned upon at least majority of Fusion's shares being tendered.</t>
  </si>
  <si>
    <t>US - In June 2014, Nuance Communications Inc, a Burlington-based developer of speech and imaging software, was rumored to be seeking a buyer for the entire share capital of the company. Samsung Electronics Co Ltd of South Korea was named potential bidder. The Current status of this deal is unknown.</t>
  </si>
  <si>
    <t>tw telecom inc</t>
  </si>
  <si>
    <t>US - Level 3 Communications Inc (Level 3) acquired the entire share capital of tw telecom inc (tw), a Littleton- based provider of managed network services, in a stock swap transaction valued at USD 7.262 bil, including the assumption of USD 1.6 bil in liabilities. Level 3 offered USD 10 in cash and 0.7 common shares per tw share. Based on Level 3's closing stock price of USD 44.09 on 13 June 2014, the last full trading day prior to the announcement, each tw share was valued at USD 40.863. Originally, in June 2014, Level 3 was rumored to be planning to acquire tw. This transaction is Tax-Exempt under IRC s386.</t>
  </si>
  <si>
    <t>Measurement Specialties Inc</t>
  </si>
  <si>
    <t>Mnfr,whl electronic sensors</t>
  </si>
  <si>
    <t>TE Connectivity Ltd</t>
  </si>
  <si>
    <t>US - TE Connectivity Ltd of Switzerland acquired the entire share capital of Measurement Specialties Inc (Measurement), a Hampton- based manufacturer and wholesaler of electronic sensors, for USD 86 in cash per share, or a total value of USD 1.481 bil. On completion, Measurement common shares were delisted in the NASDAQ Global Market.</t>
  </si>
  <si>
    <t>Targa Resources Corp</t>
  </si>
  <si>
    <t>Provide natural gas transmission services</t>
  </si>
  <si>
    <t>US - Energy Transfer Equity LP discontinued the rumor that it was planning to acquire the entire share capital of Targa Resources Corp, a Houston-based provider of natural gas transmission services. Terms were not disclosed, but according to source close to the transaction, the deal had as estimated value of USD 15 bil.</t>
  </si>
  <si>
    <t>Lab-Volt Systems Inc</t>
  </si>
  <si>
    <t>Manufacture electronic equipment</t>
  </si>
  <si>
    <t>Festo Didactic &amp; GmbH &amp; Co KG</t>
  </si>
  <si>
    <t>Other Technical and Trade Schools</t>
  </si>
  <si>
    <t>US - Festo Didactic &amp; GmbH &amp; Co KG of Germany, a unit of Festo AG &amp; Co KG, acquired the entire share capital of Lab-Volt Systems Inc, a Farmingdale-based manufacturer of electronic equipment, for an estimated USD 20 mil.</t>
  </si>
  <si>
    <t>US - Wisconsin Energy Corp (Wisconsin) definitively acquired the entire share capital of Integrys Energy Group Inc (Integrys), a Chicago-based electric and gas utility company, in a stock swap transaction at USD 9.047 bil, including the assumption of USD 3.3 bil in liabilities. Wisconsin offered USD 18.58 in cash and 1.128 common shares per Integrys share. Based on Wisconsin's closing stock price of USD 46.89 on 20 June 2014, the last full trading day prior to the announcement, each Integrys share was valued at USD 71.472. On completion, Wisconsin and Integrys shareholders were to own 72% and 28% of the combined entity named WEC Energy Group Inc, respectively. This transaction is Tax-Exempt under IRC s386.</t>
  </si>
  <si>
    <t>MICROS Systems Inc</t>
  </si>
  <si>
    <t>Provide application services</t>
  </si>
  <si>
    <t>US - Oracle Corp (Oracle) acquired the entire share capital of MICROS Systems Inc (MICROS), a Columbia-based provider of application services, for USD 68 in cash per share or a total value of USD 5.328 bil. Earlier, Oracle completed its tender offer for MICROS by accepting 62.093 mil common shares or about 82.99% MICROS common stock outstanding. The offer was conditioned upon at least majority of MICROS' shares being tendered. On completion, MICROS common shares were delisted in NASDAQ. Originally, In June 2014, Oracle was rumored to be planning to acquire MICROS.</t>
  </si>
  <si>
    <t>US - Avago Technologies Ltd (Avago) acquired the entire share capital of PLX Technology Inc (PLX), a Sunnyvale-based manufacturer and wholesaler of semiconductors, from Potomac Capital Partners II LP and Discovery Group I LLC, for USD 6.50 in cash per share or a total value of USD 308.771 mil. Earlier, Avago completed its tender offer for PLX by accepting 40.993 mil shares, or 89.312% of PLX common shares outstanding. The offer was conditioned upon at least a majority of PLX's shares being tendered. On completion, PLX common shares were delisted in the NASDAQ Stock Market.</t>
  </si>
  <si>
    <t>Tortoise N American Energy</t>
  </si>
  <si>
    <t>Tortoise Energy Infrastructure</t>
  </si>
  <si>
    <t>US - Tortoise Energy Infrastructure Corp (Tortoise Energy Infrastructure) acquired the entire share capital of Tortoise North American Energy Corp, a Leawood-based closed-end investment fund. Concurrently, Tortoise Energy Infrastructure acquired Tortoise Energy Capital Corp.</t>
  </si>
  <si>
    <t>Tortoise Energy Capital Corp</t>
  </si>
  <si>
    <t>US - Tortoise Energy Infrastructure Corp (Tortoise Energy Infrastructure) acquired the entire share capital of Tortoise Energy Capital Corp, a Leawood-based closed-end investment fund. Concurrently, Tortoise Energy Infrastructure acquired Tortoise North American Energy Corp.</t>
  </si>
  <si>
    <t>WaterFurnace Renewable Energy</t>
  </si>
  <si>
    <t>Mnfr,whl heating,cooling systems</t>
  </si>
  <si>
    <t>NIBE Industrier AB</t>
  </si>
  <si>
    <t>Mnfr,whl heating equipment</t>
  </si>
  <si>
    <t>US - NIBE Industrier AB of Sweden acquired the entire share capital of WaterFurnace Renewable Energy Inc, a Fort Wayne-based manufacturer and wholesaler of heating and cooling systems, for USD 28. 455 in cash per share, or a total value of USD 351.781 mil, via a scheme of arrangement.</t>
  </si>
  <si>
    <t>Georgia-Carolina Bancshares</t>
  </si>
  <si>
    <t>State Bank Financial Corp</t>
  </si>
  <si>
    <t>US - State Bank Financial Corp (State) acquired the entire share capital of Augusta-based Georgia- Carolina Bancshares Inc (GCB), in a stock swap transaction valued at USD 89.926 mil. State offered USD 8.85 in cash and 0.964 State common share per GCB share. Based on State's closing stock price of USD 16.76 on 23 June 2014, the last full trading day prior to the announcement, each GCB share was valued at USD 25.007.</t>
  </si>
  <si>
    <t>Medical Action Industries Inc</t>
  </si>
  <si>
    <t>Mnfr,whl surgical supplies</t>
  </si>
  <si>
    <t>Owens &amp; Minor Inc</t>
  </si>
  <si>
    <t>Whl med,surgical supplies</t>
  </si>
  <si>
    <t>US - Owens &amp; Minor Inc, through its wholly-owned Mongoose Merger Sub Inc subsidiary, acquired the entire share capital of Medical Action Technologies Inc, a Brentwood-based manufacturer and wholesaler of disposable surgical supplies, for USD 13.8 in cash per share, or a total value of USD 226.217 mil.</t>
  </si>
  <si>
    <t>Auxilium Pharmaceuticals Inc</t>
  </si>
  <si>
    <t>US - QLT Inc (QLT) of Canada, through its undisclosed subsidiary, withdrew its definitive agreement to merge with Auxilium Pharmaceuticals Inc (Auxilium), a Chesterbrook-based biopharmaceutical company, in a reverse takeover transaction valued at USD 851. 299 mil. QLT offered 3.136 common shares per Auxilium share. Based on QLT's closing stock price of USD 5.4 on 25 June 2014, the last full trading day prior to the announcement, each Auxilium share was valued at USD 16. 934. Upon completion, QLT and Auxilium shareholder were to own 24.477% and 75.523% in the combined entity. The transaction is structured as a tax inversion. Subsequently, Endo International PLC acquired the entire share capital of Auxilium, via a challenging offer.</t>
  </si>
  <si>
    <t>Lamar Advertising REIT Co</t>
  </si>
  <si>
    <t>US - Lamar Advertising REIT Co (REIT), a unit of Lamar Advertising Co (Lamar), merged with Lamar, a Baton Rouge-based provider of outdoor advertising services. On completion, REIT was renamed Lamar Advertising Co.</t>
  </si>
  <si>
    <t>Enventis Corp</t>
  </si>
  <si>
    <t>US - Consolidated Communications Holdings Inc (Consolidated) acquired the entire share capital of Enventis Corp (Enventis), a Mankato-based provider of telecommunications services, in a stock swap transaction valued at USD 225.915 mil. Consolidated offered 0.7402 common share per Enventis share. Based on Consolidated's closing stock price of USD 22.29 on 27 June 2014, the last full trading day prior to the announcement, each Enventis share was valued at USD 16.499. This transaction is Tax-Exempt under IRC s386.</t>
  </si>
  <si>
    <t>Metalico Inc</t>
  </si>
  <si>
    <t>Wholesale scrap metals</t>
  </si>
  <si>
    <t>US - Metalico Inc (Metalico), a New Jersey-based wholesaler of ferrous and non-ferrous scrap metal, completed its debt restructuring transaction with Bondholders (BHs). BHs received common shares and convertible notes. On completion, BHs held an undisclosed interest in the restructured Metalico. The book value of the existing debt that was exchanged under the terms of the offer was USD 23.4 mil.</t>
  </si>
  <si>
    <t>PACCAR Inc</t>
  </si>
  <si>
    <t>Mnfr trucks,mining machinery</t>
  </si>
  <si>
    <t>Volkswagen AG</t>
  </si>
  <si>
    <t>Automobile Manufacturing</t>
  </si>
  <si>
    <t>US - Volkswagen AG of Germany, a unit of Porsche Automobil Holding SE, discontinued rumors that it was planning to launch a tender offer to acquire the entire share capital of PACCAR Inc, a Bellevue-based manufacturer of trucks and amphibious vehicles, mining machinery, winches, and railroad equipment.</t>
  </si>
  <si>
    <t>Shutterfly Inc</t>
  </si>
  <si>
    <t>Pvd digital photo product,svcs</t>
  </si>
  <si>
    <t>US - In July 2014, Shutterfly Inc, a Redwood City-based provider of digital personalized photo products, was rumored to be seeking a buyer for the company. Thomas H. Lee Partners LP, Silver Lake Partners LP, Bain Capital LLC, Warburg Pincus LLC and Hellman &amp; Friedman were rumored bidders. The Current status of this deal is unknown.</t>
  </si>
  <si>
    <t>Vitacost.com Inc</t>
  </si>
  <si>
    <t>US - Kroger Cp (Kroger) acquired the entire share capital of Vitacost.com Inc (Vita), a Boca Raton-based provider of online retailing and direct marketing services, for USD 8 in cash per share, or a total value of USD 277. 36 mil. Earlier, Kroger completed the tender offer for Vita by accepting 29.842 mil shares or87.633% of Vita's common stock outstanding. The offer was conditioned upon at least a majority of Vita's shares being tendered.</t>
  </si>
  <si>
    <t>FNBM Financial Corp</t>
  </si>
  <si>
    <t>Other Depository Credit Intermediation</t>
  </si>
  <si>
    <t>GNB Financial Services Inc</t>
  </si>
  <si>
    <t>US - GNB Financial Services Inc (GNB) merged with FNBM Financial Corp (FNBM), a Minersville-based bank holding company. The consideration was to consist of a choice of USD 276.57 cash or 4.7684 shares of GNB common stock.</t>
  </si>
  <si>
    <t>Great Lakes Finl Resources Inc</t>
  </si>
  <si>
    <t>US - First Midwest Bancorp Inc (First Midwest) acquired the entire share capital of Great Lakes Financial Resources Inc (Great Lakes), a Blue Island-based bank holding company, in a stock swap transaction, valued at USD 59.992 mil. First Midwest offered USD 112.5 in cash and 15.737 common shares per share held. Based on First Midwest's closing stock price of USD 17.43 on 7 July 2014, the last full trading day prior to the announcement, each Great Lakes share was valued at USD 386.796.</t>
  </si>
  <si>
    <t>AmREIT Inc</t>
  </si>
  <si>
    <t>US - Regency Centers Corp withdrew its unsolicited offer to acquire the remaining 95.745% interest, or 18.837 mil common shares, which it did not already own, in AmREIT Inc, (AmREIT) a Houston-based real estate investment trust, for USD 414. 423 mil. Regency offered a choice of USD 22 in cash or cash and Regency share or Regency shares per AI share. Subsequently, DENS acquired the entire share capital of AmREIT.</t>
  </si>
  <si>
    <t>Transmontaigne Partners LP</t>
  </si>
  <si>
    <t>Pvd terminaling,pipeline svcs</t>
  </si>
  <si>
    <t>NGL Energy Partners LP</t>
  </si>
  <si>
    <t>Wholesale,retail propane</t>
  </si>
  <si>
    <t>US - NGL Energy Partners LP (NGL Energy) withdrew its plans to launch an unsolicited offer to acquire the remaining 83.124% interest, or 13.403 mil common shares, which it did not already own, in Transmontaigne Partners LP (Transmontaigne), a Denver- based provider of terminal and pipeline services, in a stock swap transaction valued at USD 584.254 mil. NGL Energy offered 1 share for every Transmontaigne share held. The shares were valued based on the NGL Energy's closing stock price of USD 43. 59 on 9 July 2014, the last full trading day prior to the announcement.</t>
  </si>
  <si>
    <t>Lorillard Inc</t>
  </si>
  <si>
    <t>Produce,wholesale cigarettes</t>
  </si>
  <si>
    <t>Reynolds American Inc</t>
  </si>
  <si>
    <t>Produce cigarettes,tobacco</t>
  </si>
  <si>
    <t>US - Reynolds American Inc (Reynolds) acquire the entire share capital of Lorillard Inc (Lorillard), a Greensboro- based producer and wholesaler of cigarettes, for USD 24.971 bil. Reynolds offered USD 50. 50 in cash and 0.2909 in common share per Lorillard. Based on Reynolds' closing stock price of USD 63.18 on 14 July 2014, the last full trading day prior to the announcement, each Lorillard share was valued at USD 68. 879. Concurrently, Imperial Tobacco Group PLC acquired brands and other assets of Reynolds and certain assets of Lorillard Inc. Additionally, British American Tobacco PLC acquired undisclosed minority stake in Reynolds.</t>
  </si>
  <si>
    <t>Kodiak Oil &amp; Gas Corp</t>
  </si>
  <si>
    <t>US - Whiting Petroleum Corp (Whiting) acquired the entire share capital of Kodiak Oil &amp; Gas Corp (Kodiak), a Denver- based oil and gas exploration and production company, in a stock swap transaction valued at USD 3.752 bil. Whiting offered 0.177 common shares per Kodiak share. Based on Whiting's closing stock price on 11 July 2014, the last full trading day prior to the announcement, each Kodiak share was valued at USD 13. 902. On completion, Whiting shareholders would own 71% interest in the merged entity.</t>
  </si>
  <si>
    <t>AECOM Technology Corp</t>
  </si>
  <si>
    <t>Pvd technical,management svcs</t>
  </si>
  <si>
    <t>US - AECOM Technology Corp (AECOM) acquired the entire share capital of URS Corp (URS), a San Francisco-based provider of engineering and construction services, for USD 3.884 bil. AECOM offered a choice of USD 33 in cash and 0.734 AECOM common shares per URS share held, or cash, or common shares, subject to proration. Based on AECOM's closing stock price of USD 31. 76 on 11 July 2014, the last full trading day prior to the announcement, each URS share was valued at USD 56.312. On completion, AECOM and URS shareholders owned 66.217% and 33.783% in the merged entity, respectively. This transaction is Tax-Exempt under IRC s386.</t>
  </si>
  <si>
    <t>Franklin Financial Corp</t>
  </si>
  <si>
    <t>TowneBank,Portsmouth,Virginia</t>
  </si>
  <si>
    <t>US - TowneBank (TowneBank) acquired the entire share capital of Franklin Financial Corp (Franklin), a Glen Allen- based bank holding company, in a stock swap transaction valued at USD 282.152 mil. TowneBank offered 1.40 common shares per Franklin share. Based on TowneBank's closing stock price of USD 16.46 on 14 July 2014, the last full trading day prior to the announcement, each Franklin share was valued at USD 23. 044. This transaction is Tax- Exempt under IRC s386.</t>
  </si>
  <si>
    <t>Rockwood Holdings Inc</t>
  </si>
  <si>
    <t>US - Albemarle Corp (Albermarle) acquired the entire share capital of Rockwood Holdings Inc (Rockwood), a Princeton-based manufacturer of specialty chemicals, additives and advanced materials, for USD 6. 328 bil. Albemarle offered USD 50.65 in cash and 0.4803 common shares per Rockwood share. The shares were valued based on Albemarle's closing stock price of USD 72.62 on 14 Jul 2014, the last full trading day prior to the announcement, each Rockwood share was valued at USD 34. 879. On completion, Albermarle and Rockwood owned 70% and 30% in the combined entity, respectively. Rockwood common shares were delisted in the New York Stock Exchange.</t>
  </si>
  <si>
    <t>ZipRealty Inc</t>
  </si>
  <si>
    <t>Pvd real estate brokerage svcs</t>
  </si>
  <si>
    <t>Realogy Holdings Corp</t>
  </si>
  <si>
    <t>Provide RE franchising,brokerage svcs</t>
  </si>
  <si>
    <t>US - Realogy Holdings Corp, through its Realogy Group LLC wholly-owned subsidiary, acquired the entire share capital of ZipRealty Inc (ZipRealty), an Emeryville- based provides residential real estate brokerage services, for USD 6.75 in cash per share, or a total value of USD 166.608 mil. Earlier, Realogy completed its tender offer for Ziprealty by accepting 17.576 mil shares, or 80.505% of ZipRealty's common shares outstanding. The offer was conditioned upon at least majority of ZipRealty's shares being tendered. On completion, ZipRealty common shares were delisted on the NASDAQ Global Market.</t>
  </si>
  <si>
    <t>GTECH SpA</t>
  </si>
  <si>
    <t>Other Gambling Industries</t>
  </si>
  <si>
    <t>US - GTECH SpA (GTECH) of Italy, a majority owned unit of B&amp;D Holding Di Marco Drago E C Sapa's De Agostini SpA subsidiary acquired the entire share capital of International Game Technology (International Game), a Las Vegas-based manufacturer of casino gaming equipment, to form a NewCo, for an amended USD 6.156 bil, including the assumption of USD 1.75 bil in liabilities. International Game's shareholders received USD 14.34 in cash per share and 0.1819 New Co ordinary shares per share. GTECH shareholders received 1 New Co ordinary share per share held. Based on GTECH's closing stock price of USD 19. 231 on 01 April 2015, the last full trading day prior to the announcement of amended terms, each International Game share was valued at USD 17.838. On completion, GTECH and International Game were to own 80% and 20% in the NewCo named IGT PLC, respectively. This transaction is structured as a tax inversion. Previously, International Game's shareholders were to receive USD 13.69 in cash per share and 0.1819 New Co ordinary shares per share. GTECH shareholders were to receive 1 New Co ordinary share per share held. Based on GTECH's closing stock price of USD 25.024 on 15 July 2014, the last full trading day prior to the announcement, each International Game share was valued at USD 18.242. Originally, in June 2014, International Game was rumored to be seeking a buyer for the company.</t>
  </si>
  <si>
    <t>21st Century Fox Inc</t>
  </si>
  <si>
    <t>US - 21st Century Fox Inc (21st Century) withdrew its unsolicited offer to acquire the entire share capital of Time Warner Inc (Time Warner), a New York-based provider of firm and television entertainment services, in a stock swap transaction valued at USD 77.658 bil. 21st Century offered 32.42 in cash and 1.531 in Class A common shares per Time Warner share. Based on 21st Century's closing stock price of USD 35. 19 on 15 Jul 2014, the last full trading day prior to the announcement, each Time Warner share was valued at USD 86.296. Originally, in July 2014, 21st Century was rumored to be planning to acquire the entire share capital of Time Warner.</t>
  </si>
  <si>
    <t>Design Within Reach Inc</t>
  </si>
  <si>
    <t>Mnfr,whl,ret furniture</t>
  </si>
  <si>
    <t>Herman Miller Inc</t>
  </si>
  <si>
    <t>Mnfr,whl,ret office furniture</t>
  </si>
  <si>
    <t>US - Herman Miller Inc acquired an 84% interest, or 0.502 mil common shares, in Design Within Reach Inc, a Stamford-based retailer and designer of residential and commercial products, for an estimated USD 154 mil in cash.</t>
  </si>
  <si>
    <t>Santa Clara Valley Bank NA,CA</t>
  </si>
  <si>
    <t>Sierra Bancorp,Porterville,CA</t>
  </si>
  <si>
    <t>US - Sierra Bancorp acquired the entire share capital of Santa Paula-based Santa Clara Valley Bank NA, for an estimated USD 15.3 mil in cash.</t>
  </si>
  <si>
    <t>Gas Natural Inc</t>
  </si>
  <si>
    <t>Algonquin Power &amp; Utilities</t>
  </si>
  <si>
    <t>US - Algonquin Power &amp; Utilities Corp withdrew its plans to acquire the entire share capital of Gas Natural Inc, a Great Falls-based provider of natural gas distribution services, for USD 13 per share or a total value of USD 136.338 mil, via an unsolicited offer. Originally, In July 2014, Gas Natural Inc was rumored to be seeking a buyer for the company.</t>
  </si>
  <si>
    <t>Madison Bancorp Inc</t>
  </si>
  <si>
    <t>Codorus Valley Bancorp Inc</t>
  </si>
  <si>
    <t>US - Codorus Valley Bancorp Inc acquired the entire share capital of Madison Bancorp Inc, a Baltimore-based bank holding company, for USD 22.9 in cash per share, or a total value of USD 14.278 mil.</t>
  </si>
  <si>
    <t>US - Columbia Banking System Inc (Columbia) acquired the entire share capital of Intermountain Community Bancorp (Intermountain), a Sandpoint-based bank holding company, for USD 52.140 mil, in a stock swap transaction. Columbia offered USD 2.293 in cash and 0.6426 common shares per Intermountain share. The shares were valued based on Columbia's closing stock price of USD 24.79 on 22 July 2014. the last full trading day prior to the announcement, each Intermountain share was valued at USD 15.93. On completion, Columbia will be the surviving company. This transaction is Tax-Exempt under IRC s386.</t>
  </si>
  <si>
    <t>QR Energy LP</t>
  </si>
  <si>
    <t>BreitBurn Energy Partners LP</t>
  </si>
  <si>
    <t>US - BreitBurn Energy Partners LP (BreitBurn) acquired the entire share capital of QR Energy LP (QR), a Houston-based oil and gas exploration and production company, in a stock swap transaction valued at USD 1. 459 bil. BreitBurn offered 0. 9856 common units per QR unit. Based on BreitBurn's closing stock price of USD 22.81 on 23 July 2014, the last full trading day prior to the announcement, each QR unit was valued at USD 22.81 per share. This transaction is Tax-Exempt under IRC s386.</t>
  </si>
  <si>
    <t>Dollar Tree Inc</t>
  </si>
  <si>
    <t>US - Dollar Tree Inc (Dollar Tree), acting as white knight, acquired the entire share capital of Family Dollar Stores Inc (Family Dollar), a Charlotte-based owner and operator of discount retail stores, for USD 74.5 per share, or a total value of USD 8.528 bil. Dollar Tree offered USD 59.6 in cash and USD 14.9 common shares per Family Dollar share. Concurrently, Family Dollar announced that it was seeking a buyer for its 330 stores. Subsequently, Dollar General Corp withdrew its hostile challenging tender offer to acquire the entire share capital of Family Dollar. Originally, in June 2014 Family Dollar was rumored to be seeking a buyer for the company.</t>
  </si>
  <si>
    <t>Zillow Inc</t>
  </si>
  <si>
    <t>US - Zillow Inc (Zillow) acquired the entire share capital of Trulia Inc (Trulia) , a San Francisco-based provider of online real estate search process services, in a stock swap transaction valued at USD 2. 779 bil. Zillow offered 0.444 common share per Trulia share. Based on Zillow's closing stock price of USD 158.86 on 25 July 2014, the last full trading day prior to the announcement, each Trulia share was valued at USD 70. 534. On completion, Zillow and Trulia received 67% and 33% in the merged entity named Zillow Group Inc, respectively. Originally, in July 2014, Zillow was rumored to be planning to acquire the entire share capital of Trulia. This transaction is Tax-Exempt under IRC s386.</t>
  </si>
  <si>
    <t>GFI Group Inc</t>
  </si>
  <si>
    <t>US - CME Group Inc (CME) withdrew its agreement to acquire the entire share capital of GFI Group Inc (GFI) , a New York-based provider of brokerage services, in a stock swap transaction for a sweetened USD 662.016 mil. Originally, CME offered GFI USD 4.55 in cash per share plus CME offered Class A common shares per GFI share. Concurrently, A management- led investor group, including GFI Group Inc's Executive Chairman Michael Gooch, CEO Colin Heffron and Managing Director Nick Brown, definitively agreed to acquire the wholesale brokerage &amp; clearing business of GFI. Subsequently, BGC Partners Inc acquired the remaining 86.5%, which it did not already own, in GFI. This transaction is Tax-Exempt under IRC s386.</t>
  </si>
  <si>
    <t>Journal Communications Inc</t>
  </si>
  <si>
    <t>Media company</t>
  </si>
  <si>
    <t>US - E.W. Scripps Co (Scripps) merged with Journal Communications Inc (Journal), a Milwaukee-based media company, in a stock swap transaction, valued at USD 529.416 mil. Scripps offered 0.5176 common share per Class A and Class B Journal share held. Based on Scripps'' closing stock price of USD 20. 09 on 29 July 2014, the last full trading day prior to the announcement, each Class A and Class B Journal share was valued at USD 10.399. Concurrently, Journal Media Group Inc (Journal Media), a wholly-owned unit of Journal, merged with the newspaper business of Scripps, and Journal spun off its Journal Media unit, to its shareholders.</t>
  </si>
  <si>
    <t>Intervest Bancshares Corp</t>
  </si>
  <si>
    <t>US - Bank of the Ozarks Inc (Ozarks) acquired the entire share capital of Intervest Bancshares Corp (Intervest), a New York-based bank holding company, for an estimated USD 228.5 mil worth of common stock. The transaction included Intervest National Bank, a wholly-owned subsidiary of Intervest. This transaction is Tax-Exempt under IRC s386.</t>
  </si>
  <si>
    <t>Iliad SA</t>
  </si>
  <si>
    <t>US - Iliad SA (Iliad) of France withdrew its plans to launch an unsolicited tender offer to acquire the remaining 43.4% stake or 350. 309 mil, which it did not already own, in T-Mobile US Inc (T-Mobile), a Bellevue- based provider of wireless telecommunications services, for USD 40.5 in cash per share, or a total value of USD 14.288 bil. Concurrently, Iliad withdrew its plans to launch an unsolicited tender offer to acquire 56.6% interest or 456.856 mil common shares in T-Mobile. Originally, in July 2014, Iliad was rumored to be planning to acquire T-Mobile.</t>
  </si>
  <si>
    <t>US - Iliad SA (Iliad) of France withdrew its plans to launch an unsolicited tender offer to acquire 56.6% interest or 456.856 mil common shares, in T-Mobile US Inc (T-Mobile), a Bellevue- based provider of wireless telecommunications services, from T-Mobile International AG, a unit of Deutsche Telekom AG, for USD 33 in cash per share, or a total value of USD 15.076 bil. Concurrently, Iliad withdrew its plans to launch an unsolicited tender offer to acquire the remaining 43.4% stake, or 350.309 mil, which it did not already own, in T- Mobile. Originally, in July 2014, Iliad was rumored to be planning to acquire T-Mobile.</t>
  </si>
  <si>
    <t>US - Scientific Games Corp acquired the entire share capital of Bally Technologies Inc, a Las Vegas-based developer of gaming software, for USD 83.3 in cash per share, or a total value of USD 5.134 bil, including the assumption of USD 1.8 bil in liabilities.</t>
  </si>
  <si>
    <t>NB&amp;T Financial Group Inc</t>
  </si>
  <si>
    <t>US - Peoples Bancorp Inc (Peoples) merged with NB&amp;T Financial Group Inc (NB&amp;T), a Wilmington-based bank holding company, in a stock swap transaction valued at USD 101. 685 mil. Peoples offered USD 7.75 in cash and 0.9319 common shares per NB&amp;T share. Based on Peoples' closing stock price of USD 23.5 on 01 August 2014, the last full trading day prior to the announcement, each NB&amp;T share was valued at USD 29.65. This transaction is Tax-Exempt under IRC s386.</t>
  </si>
  <si>
    <t>Pike Corp</t>
  </si>
  <si>
    <t>Pvd electric construction svcs</t>
  </si>
  <si>
    <t>US - An investor group, comprised of Court Square Capital Partners and Pike Corp's (Pike) Chairman and Chief Executive Officer J. Eric Pike, acquired the entire share capital of Pike, a Mount Airy-based provider of electric construction services, for USD 12 in cash per share, or a total value of USD 384.909 mil, in a leveraged buyout transaction.</t>
  </si>
  <si>
    <t>Symmetry Medical Inc</t>
  </si>
  <si>
    <t>Tecomet Inc</t>
  </si>
  <si>
    <t>US - Tecomet Inc, majority- owned unit of Genstar Capital LLC, acquired the entire share capital of Symmetry Medical Inc (SMI), a Warsaw- based manufacturer and wholesaler of orthopedic implants, for UDS 7.5 in cash per share, or a total value of USD 281.607 mil. Concurrently, SMI planned to spin off its Symmetry Surgical Inc unit, to its shareholders. This transaction is Tax-Exempt under IRC s386.</t>
  </si>
  <si>
    <t>Peoples Federal Bancshares Inc</t>
  </si>
  <si>
    <t>US - Independent Bank Corp (Independent) acquired the entire share capital of Peoples Federal Bancshares Inc (Peoples), a Brighton- based bank holding company, in a stock swap transaction valued at USD 132.254 mil. Independent offered a choice of USD 21 in cash or 0.5523 common share, subject to proration whereby 60% of the Peoples common shares will be exchanged for common shares and 40% for cash. The transaction was to include Peoples Federal Savings Bank. This transaction is Tax- Exempt under IRC s386.</t>
  </si>
  <si>
    <t>Siuslaw Financial Group Inc</t>
  </si>
  <si>
    <t>US - Banner Corp (Banner) acquired the entire share capital of Siuslaw Financial Group Inc (Siuslaw), a Florence-based bank holding company, in a stock swap transaction valued at USD 60. 043. Banner offered USD 1.416 in cash and 0.322 common shares per Siuslaw share. Based on Banner's closing stock price of USD 39.65 on 6 August 2014, the last full trading day prior to the announcement, each Siuslaw share was valued at USD 14.02.</t>
  </si>
  <si>
    <t>El Paso Pipeline Partners LP</t>
  </si>
  <si>
    <t>Pipeline Transportation Of Natural Gas</t>
  </si>
  <si>
    <t>US - Kinder Morgan Inc (KMI) acquired the remaining 57.82% interest, or 136.347 mil common units, which it did not already own, in El Paso Pipelines LP (EPB), a Houston- based provider of gas transmission services, in a stock swap transaction valued at USD 5.286 bil. KMI offered a choice of USD 4.65 in cash and 0.9451 common shares or cash or per common shares per EPB unit, subject to proration. Based on KMI's closing stock price of USD 36. 12 on 8 August 2014, the last full trading day prior to the announcement, each EPB share was valued at USD 38.787. Concurrently, KMI acquired Kinder Morgan Management LLC and the remaining 92% interest in Kinder Morgan Energy Partners LP.</t>
  </si>
  <si>
    <t>US - Kinder Morgan Inc (KMI) acquired the remaining 88. 308% interest or 407.726 mil units, which it did not already own, in Kinder Morgan Energy Partners LP (KMP), a Houston-based owner and operator of natural gas pipelines, in a stock swap transaction valued at USD 36. 689 bil. KMI offered a choice of USD 10.77 in cash and 2. 1931 common shares or cash or common shares per KMP common unit, Class B unit and i-unit, subject to proration. Based on KMI's closing stock price of USD 36.12 on 8 August 2014, the last full trading day prior to the announcement, each KMP unit was valued at USD 89.985. Concurrently, KMI acquired Kinder Morgan Management LLC and remaining 57.82% interest in El Paso Pipelines LP. This transaction is Tax-Exempt under IRC s386.</t>
  </si>
  <si>
    <t>Kinder Morgan Management LLC</t>
  </si>
  <si>
    <t>Own,op prod pipeline system</t>
  </si>
  <si>
    <t>US - Kinder Morgan Inc (KMI) acquired the entire share capital of Kinder Morgan Management LLC (KMR), a Houston-based owner and operator of product pipeline system, in a stock swap transaction valued at USD 10. 251 bil, whereby the value was prorated based on the 87% interest not held by KMI. KMI offered 2.4849 common shares per KMR share. Based on KMI's closing stock price of USD 36. 12 on 8 August 2014, the last full trading day prior to the announcement, each KMR share was valued at USD 89.755. Concurrently, KMI acquired the remaining 57.82% interest in El Paso Pipelines LP and remaining 92% interest in Kinder Morgan Energy Partners LP.</t>
  </si>
  <si>
    <t>US - An investor group, comprised of Sucocitrico Cutrale Ltda of Brazil, and Grupo Safra SA of Brazil, acquired the entire share capital of Chiquita Brands International Inc (Chiquita), a Charlotte-based producer and wholesaler of fruits and vegetables, for a twice sweetened USD 14.5 in cash per share, or a total value of USD 681.035 mil. Earlier, the investor group completed its unsolicited tender offer for Chiquita by accepting 39. 791 mil shares, or 84.72% of Chiquita's common shares outstanding. Previously, investor group offered a sweetened USD 14 in cash per share. Originally, investor group offered USD 13 in cash per share.</t>
  </si>
  <si>
    <t>Fortegra Financial Corp</t>
  </si>
  <si>
    <t>Tiptree Financial Inc</t>
  </si>
  <si>
    <t>US - Tiptree Financial Inc, a unit of Tiptree Financial Partners LP, acquired the entire share capital of Fortegra Financial Corp (Fortegra), a Jacksonville- based insurance services company, for USD 10 in cash per share, or a total value of USD 212.046 mil. On completion, Fortegra was delisted in the New York Stock Exchange.</t>
  </si>
  <si>
    <t>STR Holdings Inc</t>
  </si>
  <si>
    <t>Mnfr solar encapsulants</t>
  </si>
  <si>
    <t>Zhen Fa New Energy(US)Co Ltd</t>
  </si>
  <si>
    <t>Semiconductor and Related Device Manufacturing</t>
  </si>
  <si>
    <t>US - Zhen Fa New Energy (US) Co Ltd, a unit of Zhenfa New Energy Co Ltd of China, acquired 51% interest, or 27. 632 mil common shares, in STR Holdings Inc, an East Windsor- based manufacturer of solar encapsulant, for USD 0.784 in cash per share, or a total value of USD 21.664 mil.</t>
  </si>
  <si>
    <t>OmniVision Technologies Inc</t>
  </si>
  <si>
    <t>Mnfr,whl digital imaging tech</t>
  </si>
  <si>
    <t>US - An investor group comprised of Hua Capital Management Co Ltd (Hua), CITIC Capital Holdings Ltd, and Goldstone Investment Co Ltd, a unit of CITIC Securities Co Ltd, acquired the entire share capital of OmniVision Technologies Inc (OmniVision), a Santa Clara- based manufacturer and wholesaler of semiconductor image-sensor devices, for USD 29.75 in cash per share or a total value of USD 1.772 bil, in a leveraged buyout transaction. Originally, Hua and Chinese state-owned Shanghai Pudong Science &amp; Technology Investment Co Ltd, offered USD 29 in cash per share, via unsolicited tender offer. The offer was conditioned upon at least a majority of OmniVision's shares being tendered.</t>
  </si>
  <si>
    <t>Own,op discount retail stores</t>
  </si>
  <si>
    <t>US - Dollar General Corp (Dollar General) withdrew its hostile challenging tender offer to acquire the entire share capital of Family Dollar Stores Inc (Family Dollar), a Charlotte-based owner and operator of discount retail stores, for a sweetened USD 80 in cash per share, or a total value of USD 9.165 bil. Previously, Dollar General offered USD 78. 50 in cash per share or a total value of USD 8.991 bil. The offer was conditioned upon at least a majority of Family Dollar's shares being tendered. Previously, Dollar Tree Inc, acting as white knight, acquired the entire share capital of Family Dollar.</t>
  </si>
  <si>
    <t>SWK Holdings Corp</t>
  </si>
  <si>
    <t>Develop eRM software</t>
  </si>
  <si>
    <t>Carlson Capital LP</t>
  </si>
  <si>
    <t>Pvd management svcs</t>
  </si>
  <si>
    <t>US - Carlson Capital LP agreed to raise its interest to 69% from 32.93%, by acquiring a 36.07% stake, or 55.908 mil new common shares in SWK Holdings Corp, a Sunnyvale-based developer of enterprise relationship management software, for USD 1.37 per share, or a total value of USD 76.59 mil.</t>
  </si>
  <si>
    <t>Skilled Healthcare Group Inc</t>
  </si>
  <si>
    <t>Own,operate nursing facilities</t>
  </si>
  <si>
    <t>US - Genesis HealthCare LLC, a unit of FC-GEN Acquisition Holding LLC, ultimately-owned by Health Care REIT Inc, acquired the entire share capital of Skilled Healthcare Group Inc, a Foothill Ranch- based owner and operator of skilled nursing facilities, assisted living facilities, rehabilitation therapy business, hospice business, and home health care businesses, for an estimated USD 264.845 mil.</t>
  </si>
  <si>
    <t>GSI Technology Inc</t>
  </si>
  <si>
    <t>Plastics Material and Resin Manufacturing</t>
  </si>
  <si>
    <t>US - GigOptix Inc (GI) withdrew its unsolicited offer to acquire the entire share capital of GSI Technology Inc, a Sunnyvale- based manufacturer and wholesaler of semiconductors, for USD 2 in cash, USD 1.33 in GI common share, and USD 3. 17 in cash dividends per share, or a total value of USD 162.791 mil.</t>
  </si>
  <si>
    <t>US - Allergan Inc was rumored to be in negotiations to acquire the entire share capital of Salix Pharmaceuticals Ltd, a Raleigh-based manufacturer of specialty pharmaceuticals. The Current status of this deal is unknown.</t>
  </si>
  <si>
    <t>Infineon Technologies AG</t>
  </si>
  <si>
    <t>US - Infineon Technologies AG of Germany acquired the entire share capital of International Rectifier Corp (International Rectifier), an El Segundo-based manufacturer and wholesaler of power management semiconductors, for USD 40 in cash per share, or a total value of USD 2.866 bil. On completion, International Rectifier common shares were delisted in the New York Stock Exchange.</t>
  </si>
  <si>
    <t>US - HC2 Holdings Inc completed its unsolicited tender offer to acquire the remaining 30%, or 1.156 mil common shares, which it did not already own, in Schuff International Inc (Schuff), a Phoenix-based provider of steel construction services, for USD 31.5 in cash per share, or a total value of USD 36.429 mil. The offer was conditioned upon at least 90% of Schuff's shares being tendered.</t>
  </si>
  <si>
    <t>NeuStar Inc</t>
  </si>
  <si>
    <t>Provides real-time information services</t>
  </si>
  <si>
    <t>US - In December 2016, NeuStar Inc, a Sterling-based provider of clearing house and directory services to the global communications and Internet industry, discontinued the rumors that it was seeking a buyer for the company.</t>
  </si>
  <si>
    <t>Peregrine Semiconductor Corp</t>
  </si>
  <si>
    <t>Murata Electronics</t>
  </si>
  <si>
    <t>US - Murata Electronics North America Inc, a wholly owned subsidiary of Murata Manufacturing Co Ltd, acquired the entire share capital of Peregrine Semiconductor Corp, a San Diego-based manufacturer of radio-frequency and mixed- signal semiconductors, for USD 12.5 cash per share, or a total value of USD 465.476 mil.</t>
  </si>
  <si>
    <t>InterMune Inc</t>
  </si>
  <si>
    <t>US - Roche Holdings AG (Roche) of Switzerland acquired the entire share capital of Intermune Inc (Intermune), a Brisbane-based biotechnology company, for USD 74 in cash per share, or a total value of USD 8.315 bil, via a tender offer. Earlier, Roche completed the tender offer for Itermune by accepting 96. 363 mil shares or about 88. 967% of the common stock outstanding. On completion Itermune common shares were delisted in the NASDAQ Stock Market. The offer was conditioned upon at least a majority of Intermune's shares being tendered. Originally, in March 2014, Intermune was rumored to be seeking a buyer for the company. Sanofi SA, Roche, GlaxoSmithKline PLC and Actelion Ltd were named as rumored bidders.</t>
  </si>
  <si>
    <t>MainStreet BankShares Inc</t>
  </si>
  <si>
    <t>US - American National Bankshares Inc (American National), acquired the entire share capital of MainStreet BankShares Inc (MainStreet), a Martinsville- based bank holding company, in a stock swap transaction valued at USD 24.073 mil. American National offered 0. 482 common shares and USD 3. 46 in cash per MainStreet common shares. Based on American National's closing stock price of USD 21.97 on 22 August 2014, the last full trading day prior to the announcement, each MainStreet share was valued at USD 10. 590.</t>
  </si>
  <si>
    <t>US - Education Management Corp (EMC), a Pittsburgh- based post-secondary services provider, completed a debt restructuring transaction with Creditors (CRs). CRs received USD 400 mil of new two first lien senior secured term loans due July 2, 2020, convertible preferred stock, and warrants for common stock in exchange for all outstanding Senior Cash Pay/ PIK Notes due 2018 and Senior PIK Toggle Notes due 2018. On completion, CRs held a undisclosed interest in the restructured EMC. The book value of the existing debt that was exchanged under the terms of the offer was USD 1. 5 bil.</t>
  </si>
  <si>
    <t>Phoenix Bancorp</t>
  </si>
  <si>
    <t>US - Mid Penn Bancorp Inc (Mid Penn) acquired the entire share capital of Phoenix Bancorp Inc (Phoenix), a Minersville-based bank holding company, for USD 12. 536 mil. Mid Penn offered a choice of USD 51.6 in cash per share or 3.167 common shares per Phoenix share, subject to an aggregate proration of 80% common shares and 20% cash. Based on Mid Penn's closing stock price of USD 16 on 26 August 2014, the last full trading day prior to the announcement, each Phoenix share was valued at USD 50.672.</t>
  </si>
  <si>
    <t>Monomoy Capital Partners II LP</t>
  </si>
  <si>
    <t>US - Monomoy Capital Partners II LP, a unit of Monomoy Capital Partners LLC, acquired the entire share capital of Cobra Electronics Corp, a Chicago-based manufacturer and wholesaler of two-way mobile communications and mobile navigation products, via a tender offer for USD 4.3 in cash per share, or a total value of USD 28.442 mil, in a leveraged buyout transaction. The offer was conditional upon at least a majority of shares being tendered.</t>
  </si>
  <si>
    <t>US - In August 2014, Deutsche Telekom AG was rumored to be seeking a buyer for its 67% interest in T-Mobile US Inc unit, a Bellevue-based provider of wireless telecommunications services, and a unit of T-Mobile International AG. Terms of the transaction were not disclosed but according to people familiar with the transaction, the deal was valued at an estimated USD 35 per share or a total estimated value of USD 18,928. 039 bil. The Current status of this deal is unknown.</t>
  </si>
  <si>
    <t>US - Thoma Bravo LLC (Thoma) acquired the entire share capital of Compuware Corp (Compuware), a Detroit-based developer of application software, from Elliott Management Corp (9.5%) and other shareholders, for an amended USD 10.75 in cash per share, or a total value of USD 2.395 bil in a leveraged buyout transaction. Previously, Thoma offered USD 10.92 in cash per share, or a total value of USD 2.435 bil. The transaction has been contingent upon the completion of the spinoff of Covisint Corp. Originally, in February 2013, Compuware was rumored to be seeking a buyer for the company. Blackstone Group LP, Thoma, Golden Gate Capital Corp, Apax Partners LLP, Hellman &amp; Friedman LLC, and BMC Software Inc were named potential bidders.</t>
  </si>
  <si>
    <t>Endeavour International Corp</t>
  </si>
  <si>
    <t>US - Endeavour International Corp, a Houston-based an oil and gas exploration and production company, agreed to a debt restructuring transaction with Creditors (CRs). CRs received notes and common shares which includes USD 262.5 mil of new 9.75% notes to the holders of 12% first priority notes, USD 237. 5 mil of new 3.5% convertible preferred shares to the holders 12% first priority notes and 12% second priority notes, common shares to the holders of 12% second priority notes, 7.5% convertible bonds, 6.5% convertible notes and 5.5% convertible notes. The book value of the existing debt that will be exchanged under the terms of the offer is USD 1.272 bil.</t>
  </si>
  <si>
    <t>Harry &amp; David Holdings Inc</t>
  </si>
  <si>
    <t>Ret,produce premium gifts</t>
  </si>
  <si>
    <t>1-800-Flowers.com Inc</t>
  </si>
  <si>
    <t>Flower, Nursery Stock, and Florists' Supplies Merchant Wholesalers</t>
  </si>
  <si>
    <t>US - 1-800-Flowers.Com Inc definitively acquired the entire share capital of Harry &amp; David Holdings Inc, a Medford-based retailer of gift baskets, fruits and other gourmet gift products, for USD 142.5 mil in cash.</t>
  </si>
  <si>
    <t>XRS Corp</t>
  </si>
  <si>
    <t>Computer Facilities Management Services</t>
  </si>
  <si>
    <t>Omnitracs LLC</t>
  </si>
  <si>
    <t>US - Omnitracs LLC, a unit of Vista Equity Partners LLC, acquired the entire share capital of XRS Corp, a San Diego-based provider of fleet management solutions services, for USD 5.6 in cash per common and preferred share, or a total value of USD 175. 385 mil.</t>
  </si>
  <si>
    <t>American Bk Hldg Inc</t>
  </si>
  <si>
    <t>Congressional Bancshares Inc</t>
  </si>
  <si>
    <t>US - Congressional Bancshares Inc definitively agreed to acquire the entire share capital of American Bank Holdings Inc (American Bank), a Bethesda-based bank holding company. Terms were not disclosed. Concurrently, American Bank planned to spin off its certain assets to its shareholders.</t>
  </si>
  <si>
    <t>Bolt Technology Corp</t>
  </si>
  <si>
    <t>Mnfr,whl geophysical equip</t>
  </si>
  <si>
    <t>US - Teledyne Technologies Inc acquired the entire share capital of Bolt Technology Corp, a Norwalk-based developer, manufacturer and wholesaler of seismic marine data acquisition equipments and underwater remotely operated robotic vehicles, for USD 22 per share in cash or a total value of USD 191. 239 mil.</t>
  </si>
  <si>
    <t>Annies Inc</t>
  </si>
  <si>
    <t>Produce natural,organic food</t>
  </si>
  <si>
    <t>US - General Mills Inc acquired the entire share capital of Annie's Inc, a Berkeley-based producer of natural and organic foods, via a tender offer, for USD 46 in cash per share, or a total value of USD 816.046 mil. The offer was conditioned upon at least a majority of Annie's Inc shares being tendered.</t>
  </si>
  <si>
    <t>US - BB&amp;T Corp (BB&amp;T) acquired the entire share capital of Bank of Kentucky Financial Corp (BKFC), a Crestview Hills-based bank holding company, in a stock swap transaction valued at an estimated USD 367.762 mil. BB&amp;T offered 1.0126 shares and USD 9.4 cash per BKFC common share. Based on BB&amp;T's closing stock price of USD 37. 58 on 05 September 2014, the last full trading day prior to the announcement, each BKFC share was valued at USD 47.454. This transaction is Tax-Exempt under IRC s386.</t>
  </si>
  <si>
    <t>Multimedia Games Holding Co</t>
  </si>
  <si>
    <t>Provide gaming systems</t>
  </si>
  <si>
    <t>Global Cash Access Hldg Inc</t>
  </si>
  <si>
    <t>Pvd cash access,finl mgmt svcs</t>
  </si>
  <si>
    <t>US - Global Cash Access Holdings Inc acquired the entire share capital of Multimedia Games Holding Co Inc, an Austin-based manufacturer of gaming systems, for USD 36.50 mil in cash per share or a total value of USD 1.159 bil.</t>
  </si>
  <si>
    <t>BGC Partners Inc</t>
  </si>
  <si>
    <t>Provide securities brokerage services</t>
  </si>
  <si>
    <t>US - BGC Partners Inc (BGC) acquired the remaining 86.5%, which it did not already own, or 109.549 mil shares, in GFI Group Inc (GFI), a New York- based provider of brokerage services, for a thrice sweetened USD 6.1 in cash per share or a total value of USD 673.067 mil. Earlier, BGC completed its tender offer for GFI by accepting 54.6 mil shares, together with the 17. 1 mil shares held, represents 56.3% of GFI's common shares outstanding. The offer was conditioned upon at least majority of shares, including shares held by BGC, being tendered. Previously, BGC offered a twice sweetened USD 5.6 in cash per share; a sweetened USD 5.45 in cash per share. Originally, BGC offered USD 5.25 in cash per share. Subsequently, CME Group Inc withdrew its agreement to acquire the entire share capital of GFI.</t>
  </si>
  <si>
    <t>Colonial Finl Svcs Inc</t>
  </si>
  <si>
    <t>Cape Bancorp Inc</t>
  </si>
  <si>
    <t>US - Cape Bancorp Inc (Cape) acquired the entire share capital of Colonial Financial Services Inc (Colonial), a Vineland-based bank holding company, for USD 56.447 mil. Cape offered a choice of USD 14.5 in cash per share or 1. 42 Cape common shares per Colonial common share.</t>
  </si>
  <si>
    <t>Conversant Inc</t>
  </si>
  <si>
    <t>US - Alliance Data Systems Corp (Alliance) acquired the entire share capital of Conversant Inc (Conversant), a Westlake Village-based provider of online advertising services, for USD 2.287 bil. Alliance offered a choice of 0.07037 common share and USD 18.62 in cash; or cash, or common share, per Conversant share held, subject to collar agreement. Based on Alliance's closing stock price of USD 259.21 on 10 September 2014, the last full trading day prior to the announcement, each Conversant share was valued at USD 35. On completion, Alliance and Conversant shareholders were to receive 93% and 7% in the merged entity, respectively. This transaction is Tax- Exempt under IRC s386.</t>
  </si>
  <si>
    <t>Taminco Corp</t>
  </si>
  <si>
    <t>Manufacture specialty chemical products</t>
  </si>
  <si>
    <t>US - Eastman Chemical Co acquired the entire share capital of Taminco Corp, an Allentown-based manufacturer of specialty chemical products, from Apollo Investment Fund VII LP, a unit of Apollo Global Investment LLC, for USD 26 in cash per share, or a total value of USD 2.73 bil, including the assumption of USD 1 bil in liabilities.</t>
  </si>
  <si>
    <t>US - Hewlett Packard Co was rumored to be planning to acquire entire share capital of Teradata Corp, a Dayton- based provider of horizontal and industry analytical applications portfolio services. The Current status of this deal is unknown.</t>
  </si>
  <si>
    <t>VMware Inc</t>
  </si>
  <si>
    <t>Dvlp virtualization software</t>
  </si>
  <si>
    <t>US - In September 2014, EMC Corp was rumored to be seeking a buyer for its 79. 747% interest, or 43 mil class A common shares, and 300 mil class B common shares, in VMware Inc, a Palo Alto- based developer of virtualization software. Hewlett-Packard Co was named potential bidder. The Current status of this deal is unknown.</t>
  </si>
  <si>
    <t>Alere Inc</t>
  </si>
  <si>
    <t>Mnfr diagnostic pharm products</t>
  </si>
  <si>
    <t>US - An investor group, comprised of Ron Zwanziger, Jerome F. McAleer, and David Scott withdrew its plans to launch an unsolicited offer for the remaining 95.32% interest, or 79.158 mil shares, which it did not already own, in Alere Inc, a Waltham-based manufacturer of diagnostic pharmaceutical products, for USD 46 in cash per share, or a total value of USD 3.737 bil.</t>
  </si>
  <si>
    <t>TRW Automotive Holdings Corp</t>
  </si>
  <si>
    <t>ZF Friedrichshafen AG</t>
  </si>
  <si>
    <t>Manufacture,wholesale motor vehicle transmissions</t>
  </si>
  <si>
    <t>US - ZF Friedrichshafen AG (ZF Friedrichshafen) of Germany, a unit of Zeppelin- Stiftung GmbH, acquired the entire share capital of TRW Automotive Holdings Corp (TRW) , a Livonia-based manufacturer and wholesaler of motor vehicle parts and accessories, for USD 105.6 in cash per common share, restricted common share, performance stock unit and convertible notes, or a total value of USD 12.494 bil. On completion, TRW common shares were delisted from the New York Stock Exchange. Originally, in July 2014, ZF Friedrichshafen was rumored to be planning to acquire TRW.</t>
  </si>
  <si>
    <t>Endo International PLC</t>
  </si>
  <si>
    <t>US - Endo International PLC (Endo) acquired the entire share capital of Auxilium Pharmaceuticals Inc (Auxilium) , a Chesterbrook-based biopharmaceutical company, in a stock swap transaction sweetened valued at USD 1.839 bil, including undisclosed amount in liabilities. Endo offered a choice of 0.488 common shares or USD 33.25 in cash or USD 16.625 in cash and 0.244 ordinary shares per Auxilium share, subject to proration that cash consideration will not exceed 50% of the total equity value and the equity consideration will not exceed 75% of the total equity value. Based on Endo's closing stock price of USD 71 on 8 October 2014, the last full trading day prior to the announcement, each Auxilium share was valued at USD 34.648. This transaction is structured as a tax inversion. Originally, Endo offered USD 28.1 in cash and Endo ordinary shares, or a total value of USD 1.415 bil, via a challenging offer. Previously, QLT Inc withdrew its agreement to acquire the entire share capital of Auxilium.On completion, Auxilium was delisted in NASDAQ Global Select Market.</t>
  </si>
  <si>
    <t>Glimcher Realty Trust</t>
  </si>
  <si>
    <t>Washington Prime Group Inc</t>
  </si>
  <si>
    <t>Lessors Of Nonresidential Buildings (Except Miniwarehouses)</t>
  </si>
  <si>
    <t>US - Washington Prime Group Inc (Washington) acquired the entire share capital of Glimcher Realty Trust (Glimcher), a Columbus-based real estate investment trust, for an estimated USD 4.305 bil, including assumption of liabilities. Washington offered USD 10.4 cash per share and 0.1989 per Glimcher share. Based on Washington's closing stock price of USD 18. 46 on 15 September 2014, the last full trading day prior to the announcement, each Glimcher share was valued at USD 14.072. The transaction was contingent upon the consummation of Simon Property Group definitively agreed to acquire Jersey Gardens in Elizabeth, New Jersey and University Park Village in Fort Worth, Texas from Glimcher. On completion, the combined company was renamed as WP Glimcher and will continue to trade on the New York Stock Exchange.</t>
  </si>
  <si>
    <t>Dresser-Rand Group Inc</t>
  </si>
  <si>
    <t>Mnfr,whl turbines,compressors</t>
  </si>
  <si>
    <t>Sulzer AG</t>
  </si>
  <si>
    <t>Mnfr,whl industrial mach,equip</t>
  </si>
  <si>
    <t>US - Sulzer AG discontinued rumors that it was planning to merge with Dresser-Rand Group Inc, a Houston-based manufacturer and wholesaler of turbines and compressors.</t>
  </si>
  <si>
    <t>Concur Technologies Inc</t>
  </si>
  <si>
    <t>Develop expense mgmt software</t>
  </si>
  <si>
    <t>US - SAP America Inc, a unit of SAP SE (SAP), acquired the entire share capital of Concur Technologies Inc (Concur), a Bellevue-based developer of expense management software, for USD 129 per share, or a total value of USD 9.081 bil. Originally, in September 2014, Concur was rumored to be seeking a buyer for the company. Oracle Corp and SAP were named potential buyers.</t>
  </si>
  <si>
    <t>Alacer Gold Corp</t>
  </si>
  <si>
    <t>Gold,mineral mining company</t>
  </si>
  <si>
    <t>OceanaGold Corp</t>
  </si>
  <si>
    <t>Gold Ore Mining</t>
  </si>
  <si>
    <t>US - OceanaGold Corp of Australia was rumored to be planning to acquire the entire share capital of Alacer Gold Corp, an Englewood-based gold mining company. The Current status of this deal is unknown.</t>
  </si>
  <si>
    <t>Siemens AG</t>
  </si>
  <si>
    <t>Manufacture,wholesale telecommunications equipment</t>
  </si>
  <si>
    <t>US - Siemens AG (Siemens) of Germany acquired the entire share capital of Dresser-Rand Group Inc (Dresser-Rand), a Houston-based manufacturer and wholesaler of turbines and compressors, for an estimated USD 86.3 in cash per share, or a total value of USD 6.687 bil. Originally, Siemens was rumored to be planning to acquire the entire share capital of Dresser-Rand.</t>
  </si>
  <si>
    <t>Sigma-Aldrich Corp</t>
  </si>
  <si>
    <t>US - Merck KGaA of Germany acquired the entire share capital of Sigma-Aldrich Corp (Sigma), a St Louis-based manufacturer and wholesaler of biochemical and organic chemicals, for USD 140 in cash per share or a total share value of USD 16.946 bil. On completion, Sigma common shares were delisted in the NASDAQ Stock Market.</t>
  </si>
  <si>
    <t>TTM Technologies Inc</t>
  </si>
  <si>
    <t>US - TTM Technologies Inc (TTM) acquired the entire share capital of Viasystems Group Inc (Viasystems), a St. Louis-based manufacturer of circuit boards and electro- mechanical solutions, from HM Partners LLC, for USD 344.963 mil. TTM offered USD 11.33 in cash per share and 0.706 common shares per Viasystems share. The shares were valued based on TTM's closing stock price of USD 7.27 on 19 September 2014, the last full trading day prior to the announcement, each Viasystems share was valued at USD 16. 463.</t>
  </si>
  <si>
    <t>US - Yara International ASA of Norway, withdrew its plans to acquire the entire share capital of CF Industries Holdings Inc, a Deerfield- based manufacturer and wholesaler of nitrogen fertilizer products.</t>
  </si>
  <si>
    <t>IRELAND - Pfizer Inc of the US was rumored to be planning to acquire the entire share capital of Actavis PLC, a Dublin-based manufacturer and wholesaler of pharmaceutical products. The Current status of this deal is unknown.</t>
  </si>
  <si>
    <t>US - Actavis PLC of Ireland discontinued rumors that it was planning to acquire the entire share capital of Salix Pharmaceuticals Ltd, a Raleigh-based manufacturer and wholesaler of specialty prescription pharmaceuticals.</t>
  </si>
  <si>
    <t>Snow Summit Ski Corp</t>
  </si>
  <si>
    <t>Own,op ski lodges</t>
  </si>
  <si>
    <t>Mammoth Mountain Ski Area LLC</t>
  </si>
  <si>
    <t>Own,op ski resort</t>
  </si>
  <si>
    <t>US - Mammoth Mountain Ski Area LLC acquired the entire share capital of Snow Summit Ski Corp, a Big Bear Lake- based owner and operator of ski lodges, for USD 38 mil, via auction. The transaction included Bear Mountain Inc. Originally, in June 2013, Summit Ski Corp announced that it was seeking a buyer for the company.</t>
  </si>
  <si>
    <t>CMS Bancorp Inc</t>
  </si>
  <si>
    <t>Putnam County Savings Bank,Bre</t>
  </si>
  <si>
    <t>US - Putnam County Savings Bank definitively agreed to acquire the entire share capital of CMS Bancorp Inc, a White Plains-based bank holding company, for USD 13. 25 per share, or a total value of USD 24.682 mil. The transaction was to include the acquisition of CMS Bank.</t>
  </si>
  <si>
    <t>LipoScience Inc</t>
  </si>
  <si>
    <t>Mnfr diagnostic equipment</t>
  </si>
  <si>
    <t>US - Laboratory Corp of America Holdings acquired the entire share capital of LipoScience Inc, a Raleigh- based manufacturer of nuclear magnetic resonance diagnostic equipment, for USD 5.25 in cash per share or a total value of USD 81.724 mil.</t>
  </si>
  <si>
    <t>Mechanics Bank of Richmond</t>
  </si>
  <si>
    <t>Ford Financial Fund II LP</t>
  </si>
  <si>
    <t>US - Ford Financial Fund II LP acquired 0.013 mil common shares, or 65% interest, in Richmond-based Mechanics Bank of Richmond (Mechanics), for USD 0.027 mil in cash per share, or a total value of USD 348.816 mil, via a tender offer, in a leveraged buyout transaction. The offer was conditioned upon at least 51% of Mechanics shares being tendered on a fully-diluted basis.</t>
  </si>
  <si>
    <t>Simplicity Bancorp Inc</t>
  </si>
  <si>
    <t>Homestreet Inc</t>
  </si>
  <si>
    <t>Financial services co</t>
  </si>
  <si>
    <t>US - HomeStreet Inc (HomeStreet) merged with Simplicity Bancorp Inc (Simplicity), a Covina-based provider of savings and loan services in a stock swap transaction valued at USD 131. 548 mil. HomeStreet offered 1 common share for every Simplicity share held. Based on HomeStreet's closing stock price of USD 17.76 on 26 September 2014, the last full trading day prior to the announcement each Simplicity share was valued at USD 17.76. This transaction is Tax- Exempt under IRC s386.</t>
  </si>
  <si>
    <t>DreamWorks Animation SKG Inc</t>
  </si>
  <si>
    <t>Pvd animated films distn svcs</t>
  </si>
  <si>
    <t>US - Softbank Corp of Japan was rumored to be planning to acquire the entire share capital of DreamWorks Animation SKG Inc, a Glendale- based provider of computer generated animated films production and distribution services. Terms were not disclosed but, according to people familiar with the transaction, the deal was valued at an estimated USD 3. 400 bil. The Current status of this deal is unknown.</t>
  </si>
  <si>
    <t>Ambit Biosciences Corp</t>
  </si>
  <si>
    <t>Charge Acquisition Corp</t>
  </si>
  <si>
    <t>US - Charge Acquisition Corp (Charge), a unit of Daiichi Sankyo Co Ltd, acquired the entire share capital of Ambit Biosciences Corp (Ambit), a San Diego-based biotechnology company, for USD 351.003 mil. The consideration was to consist of USD 15 in cash per share and up to USD 81.001 mil in profit-related payments. Earlier, Charge completed its tender offer to acquire the entire share capital of Ambit, by accepting 15.674 mil, or 87. 079% of Ambit's common shares outstanding. The offer was conditioned upon at least 50% of Ambit Biosciences Corps shares being tendered.</t>
  </si>
  <si>
    <t>Athlon Energy Inc</t>
  </si>
  <si>
    <t>US - Encana Corp (Encana) of Canada completed its tender offer to acquire the entire share capital of Athlon Energy Inc (Athlon), a Fort Worth-based oil &amp; gas production and exploration company, for USD 58.5 in cash per share or a total value of USD 6.843 bil, including the assumption of USD 1.15 bil in liabilities. The offer was conditioned upon at least majority of Athlon's shares being tendered.</t>
  </si>
  <si>
    <t>Einstein Noah Rest Group Inc</t>
  </si>
  <si>
    <t>Own,op coffee bars</t>
  </si>
  <si>
    <t>US - An investor group, comprised of Jab Beech Inc, a unit of Johann A Benckiser SE, and BDT Capital Partners LLC, a unit of BDT &amp; Co LLC (Investor Group), acquired the entire share capital of Einstein Noah Restaurant Group Inc (ENRG), a Lakewood- based owner and operator of coffee shops, for USD 20.25 in cash per share, or a total value of USD 376.006 mil, via a tender offer. Earlier, Investor Group completed its tender offer for ENRG by accepting 16.498 mil or 87. 079% of ENRGs common shares outstanding. The offer was conditioned upon at least a majority of ENRG shares being tendered on a fully diluted basis. On completion, ENRG shares were delisted in NASDAQ.</t>
  </si>
  <si>
    <t>US - Vista Equity Partners LLC (Vista) acquired the entire share capital of TIBCO Software Inc (TIBCO), a Palo Alto-based developer of infrastructure and business intelligence software, for USD 24 in cash per share or a total of USD 4.036 bil, including liabilities, in a leveraged buyout transaction. Originally, in August 2014, TIBCO was rumored to be seeking a buyer for the company. Vista and Thoma Bravo LLC were named rumored bidders.</t>
  </si>
  <si>
    <t>Move Inc</t>
  </si>
  <si>
    <t>Pvd online RE info svcs</t>
  </si>
  <si>
    <t>US - News Corp (News) acquired the entire share capital of Move Inc (Move), a Campbell-based provider of online real estate information services, via agreed offer, for USD 21 in cash per share, or a total value of USD 899.222 mil. Concurrently, REA Group Ltd, a 61.6% owned unit of News, acquired a 20% stake in Move.</t>
  </si>
  <si>
    <t>Oiltanking Partners LP</t>
  </si>
  <si>
    <t>Pvd oil,gas storage,terminals services</t>
  </si>
  <si>
    <t>US - Enterprise Products Partners LP (Enterprise) acquired the remaining 34. 079% stake, or 23.329 mil common LP units, in Oiltanking Partners LP (Oiltanking), a Houston-based provider of oil and gas storage and terminal transportation services, in a stock swap transaction, valued at an amended USD 1.39 bil. Enterprise offered an amended 1.3 for every Oiltanking LP unit. Based on Enterprise's closing stock price of USD 37.73 on 11 November 2014, the last full trading day prior to the amendment of terms, each Oiltanking common LP unit was valued at USD 49.049. Concurrently, Enterprise acquired a 65.921% interest, or 15.9 mil common LP units and 38.9 mil subordinated LP units, in Oiltanking. Originally, Enterprise offered 1.23 common shares. This transaction is Tax- Exempt under IRC s386.</t>
  </si>
  <si>
    <t>US - Enterprise Products Partners LP (Enterprise) acquired a 65.921% interest, or 15.9 mil common LP units and 38.9 mil subordinated LP units, in Oiltanking Partners LP (Oiltanking ), a Houston- based provider of oil and gas storage and terminal transportation services, from Oiltanking Holding Americas Inc, a unit of Marquard &amp; Bahls AG's Oiltanking GmbH subsidiary, for USD 4.647 bil. The consideration consisted of USD 2.21 bil in cash, and the issuance of 54.807 mil common shares, valued at USD 2.209 mil, and the assumption of USD 228 mil in liabilities. The shares were valued based on Enterprise's closing stock price of USD 40.3 on 30 September 2014, the last full trading day prior to the announcement. Concurrently, Enterprise planned to acquire the remaining 34.079% stake, which it did not already own, in Oiltanking.</t>
  </si>
  <si>
    <t>RealD Inc</t>
  </si>
  <si>
    <t>Mnfr motion picture systems</t>
  </si>
  <si>
    <t>Starboard Value LP</t>
  </si>
  <si>
    <t>US - Starboard Value LP withdrew its plans to launch an unsolicited offer to acquire the remaining 90.097% interest, or 45.034 mil common shares, which it did not already own, in RealD Inc, a Beverly Hills-based manufacturer of digital 3D motion picture systems, for USD 12 in cash per share, or a total value of USD 540.413 mil.</t>
  </si>
  <si>
    <t>Apco Oil &amp; Gas Intl Inc</t>
  </si>
  <si>
    <t>Pluspetrol Exploracion y</t>
  </si>
  <si>
    <t>US - Pluspetrol Exploracion Y Explotacion SA of Argentina, a unit of Pluspetrol Energy SA of Argentina, acquired the entire share capital of Apco Oil &amp; Gas International Inc (Apco), a Tulsa-based oil and gas exploration and production company, from WPX Energy Inc, for USD 14.50 in cash per share, or a total value of USD 426.898 mil. On completion, Apco was delisted from NASDAQ Global Select Market.</t>
  </si>
  <si>
    <t>Bank Reale,Pasco,Washington</t>
  </si>
  <si>
    <t>US - BEO Bancorp acquired the entire share capital of Heppner-based Bank Reale, for cash and common shares. Terms were not disclosed.</t>
  </si>
  <si>
    <t>CareFusion Corp</t>
  </si>
  <si>
    <t>US - Becton Dickinson &amp; Co (Becton Dickinson) acquired the entire share capital of CareFusion Corp (CareFusion), a San Diego-based manufacturer of medical devices, for USD 12 bil. Becton Dickinson offered USD 49 in cash and 0.0777 Becton Dickinson common share per CareFusion share. Based on Becton Dickinson's closing stock price of USD 115.84 on 03 October 2014, the last full trading day prior to the announcement, each CareFusion share was valued at USD 58. 001. On completion, Becton Dickinson shareholders was to own approximately 92% and CareFusion shareholders was to own approximately 8% of the combined company and common shares were delisted from the New York Stock Exchange.</t>
  </si>
  <si>
    <t>Durata Therapeutics Inc</t>
  </si>
  <si>
    <t>US - Actavis PLC of Ireland acquired the entire share capital of Durata Therapeutics Inc (Durata), a Morristown-based pharmaceutical company, for USD 799.822 mil, via tender offer, by accepting 21.358 mil or 79.7% interest in Durata's common shares outstanding. The consideration consisted of USD 23 in cash and USD 5 in contingent value rights per share. The offer was conditioned upon at least 50% of Durata's common shares being tendered. On completion, Durata common shares were to be delisted in the NASDAQ.</t>
  </si>
  <si>
    <t>Dawson Geophysical Co</t>
  </si>
  <si>
    <t>US - TGC Industries Inc (TGC) merged with Dawson Geophysical Co (Dawson), a Midland-based provider of seismic data acquisition services, in a stock swap transaction, valued at USD 16. 134 mil, in a reverse takeover transaction. TGC offered 1.765 common shares for every Dawson share held. Based on TGC's closing stock price of USD 1.113 on 8 October 2014, the last full trading day prior to the announcement, each Dawson share was valued at USD 1.965. Upon completion, Dawson shareholders were to own 51. 515% in TGC and TGC was to be named Dawson Geophysical Co. This transaction is Tax- Exempt under IRC s386.</t>
  </si>
  <si>
    <t>US - In October 2014, Southwest Gas Corp, a Las Vegas-based gas utility company, was rumored to be seeking a buyer for the company. The Current status of this deal is unknown.</t>
  </si>
  <si>
    <t>Canadian Pacific Railway Ltd</t>
  </si>
  <si>
    <t>Pvd local railway transp svcs</t>
  </si>
  <si>
    <t>US - Canadian Pacific Railway Ltd of Canada discontinued rumors that it was planning to merge with CSX Corp, a Jacksonville-based provider of rail transportation services.</t>
  </si>
  <si>
    <t>Atlas Energy LP</t>
  </si>
  <si>
    <t>US - Targa Resources Corp (Targa) acquired the entire share capital of Atlas Energy LP, a Pittsburgh-based provider of natural gas transmission services, from Atlas Energy Inc, ultimately owned by Chevron Corp, for USD 1.869 bil. The consideration consisted of USD 610 mil in cash and the issuance of 10.35 mil Targa common shares valued at USD 1. 259 bil. The shares were valued based on Targa''s closing stock price of USD 121.65 on 10 October 2014, the last full trading day prior to the announcement. The transaction had been contingent upon the consummation of Targa Resources Partners LP acquisition of Atlas Pipeline Partners LP (Atlas Pipeline) and the spinoff of the non- midstream assets of Atlas Pipeline. This transaction is Tax-Exempt under IRC s386.</t>
  </si>
  <si>
    <t>Atlas Pipeline Partners LP</t>
  </si>
  <si>
    <t>US - Targa Resources Partners LP (Targa) acquired Atlas Pipeline Partners LP (Atlas), a Pittsburgh-based owner and operator of natural gas processing facilities, in a stock swap transaction valued at USD 4.978 bil, including the assumption of USD 1.8 bil in liabilities. Targa offered USD 1.26 in cash and 0.5846 common shares per Targa share. Based on Targa''s closing stock price of USD 63.98 on 10 October 2014, the last full trading day prior to the announcement, each Pinnacle share was valued at USD 38.66. On completion, Targa and Atlas owned 66% interest and 34% stake in the merged entity, respectively. The transaction was a condition to the completion of the Targa Resources Corp acquisition of Atlas Energy LP and the spinoff of the non midstream assets of Atlas.</t>
  </si>
  <si>
    <t>NutriSystem Inc</t>
  </si>
  <si>
    <t>Pvd weight mgmt svcs</t>
  </si>
  <si>
    <t>US - In October 2014, Clinton Group Inc proposed to NutriSystem Inc, a Horsham- based provider of weight management services, to seek a buyer for the company.</t>
  </si>
  <si>
    <t>Greater Sacramento Bancorp</t>
  </si>
  <si>
    <t>AmericanWest Bank NA</t>
  </si>
  <si>
    <t>US - AmericanWest Bank NA, a unit of SKBHC Holdings LLC, acquired the entire share capital of Greater Sacramento Bancorp, a Sacramento-based bank holding company, for USD 22.05 in cash per share, or a total value of USD 59.272 mil.</t>
  </si>
  <si>
    <t>Penford Corp</t>
  </si>
  <si>
    <t>Produce specialty ingredients</t>
  </si>
  <si>
    <t>Ingredion Inc</t>
  </si>
  <si>
    <t>Produce processed corn products</t>
  </si>
  <si>
    <t>US - Ingredion Inc acquired the entire share capital of Penford Corp, a Centennial- based developer, producer, and wholesaler of specialty natural-based ingredients systems, for an estimated USD 19 in cash per share or a total value of an estimated USD 250.546 mil.</t>
  </si>
  <si>
    <t>First America Holdings Corp</t>
  </si>
  <si>
    <t>HCBF Holding Co Inc</t>
  </si>
  <si>
    <t>US - HCBF Holding Co Inc acquired the entire share capital of First America Holdings Corp, a Bradenton- based bank holding company.</t>
  </si>
  <si>
    <t>Mead Johnson Nutrition Co</t>
  </si>
  <si>
    <t>Produce,whl nutrition products</t>
  </si>
  <si>
    <t>US - Danone SA of France was rumored to be planning to acquire the entire share capital of Mead Johnson Nutrition Co, a Glenview- based producer and wholesaler of nutritional products. The Current status of this deal is unknown.</t>
  </si>
  <si>
    <t>Cleco Corp</t>
  </si>
  <si>
    <t>Utility holding company</t>
  </si>
  <si>
    <t>US - An investor group, comprised of Macquarie Infrastructure &amp; Real Assets of Australia, unit of Macquarie Group Ltd, British Columbia Investment Management Corp of Canada, John Hancock Financial Services Inc, a unit of Manulife Financial Corp, and other undisclosed investors, acquired the entire share capital of Cleco Corp (Cleco), a Pineville-based utility holding company, for USD 55. 37 in cash per share, or a total estimated value of USD 4.643 bil, including USD 1.3 bil in liabilities. Originally, in June 2014, Cleco was rumored to be seeking a buyer for the entire share capital of the company. Borealis Infrastructure Inc was named potential bidder. Iberdrola SA was named rumored bidder.</t>
  </si>
  <si>
    <t>US - An investor group, led by Fortistar LLC (Fortistar), acquired the entire share capital of Primary Energy Recycling Corp (PERC), an Oak Brook-based provider of waste energy recycling services, for USD 5.4 in cash per share, or a total value of USD 247. 063 mil, via a scheme of arrangement. On completion, PERC common shares were delisted from Toronto Stock Exchange. Originally, in August 2014, Fortistar was rumored to be planning to acquire the entire share capital of PERC.</t>
  </si>
  <si>
    <t>ShoreTel Inc</t>
  </si>
  <si>
    <t>Mnfr,dvlp telecommun equip</t>
  </si>
  <si>
    <t>Develops IP-based communications software</t>
  </si>
  <si>
    <t>US - Mitel Networks Corp (Mitel) of Canada withdrew its plans to launch an unsolicited offer to acquire the entire share capital of ShoreTel Inc, a Sunnyvale- based manufacturer and developer of IP unified communications systems software, for a sweetened USD 8.5 in cash per share or a total value of USD 554.614 mil. Originally, Mitel offered USD 8.1 in cash per share.</t>
  </si>
  <si>
    <t>Vitamin Shoppe Inc</t>
  </si>
  <si>
    <t>Retail nutritional prod</t>
  </si>
  <si>
    <t>US - In October 2014, Vitamin Shoppe Inc, a North Bergen- based retailer of nutritional products, was rumored to be seeking a buyer for the entire share capital of the company. The Current status of this deal is unknown.</t>
  </si>
  <si>
    <t>Amtech Systems Inc</t>
  </si>
  <si>
    <t>Mnfr,whl silicon wafers</t>
  </si>
  <si>
    <t>US - Amtech Systems Inc (Amtech) acquired the entire share capital of BTU International Inc (BTU), a North Billerica-based designer, manufacturer, and wholesaler of thermal processing equipment and related process controls, in a stock swap transaction valued at USD 32.197 mil. Amtech offered 0.3291 common shares per BTU share. Based on Amtech's closing stock price of USD 10.13 on 21 October 2014, the last full trading day prior to the announcement, each BTU share was valued at USD 3.33.</t>
  </si>
  <si>
    <t>Full House Resorts Inc</t>
  </si>
  <si>
    <t>US - In October 2014, Full House Resorts Inc, a Las Vegas-based owner and operator of casinos, announced that it was seeking a buyer for the company.</t>
  </si>
  <si>
    <t>US - Pacific Premier Bancorp Inc (Pacific) acquired the entire share capital of Newport Beach-based Independence Bank (Independence), in a stock swap transaction valued at USD 66.297 mil. Pacific offered a choice of USD 13.75 in cash or 0.926 Pacific shares per Independence share, or a combination of cash and common shares, subject to a collar agreement and proration whereby 90% of the aggregate consideration was to comprise of common shares and the remaining 10% in cash. On completion, Pacific and Independence shareholders were to own receive 79.6% and 20.4% of the merged entity, respectively.</t>
  </si>
  <si>
    <t>Digital River Inc</t>
  </si>
  <si>
    <t>Provide e-commerce services</t>
  </si>
  <si>
    <t>US - An investor group, including Siris Capital Group LLC, acquired the entire share capital of Digital River Inc, a Minnetonka-based provider of e-commerce services, for USD 26 in cash per share or a total value of USD 831.567 mil.</t>
  </si>
  <si>
    <t>Regal Entertainment Group</t>
  </si>
  <si>
    <t>Own,op multi-screen theaters</t>
  </si>
  <si>
    <t>US - In October 2014, Regal Entertainment Group, a Knoxville-based Knoxville owns and operates multi- screen theaters, withdrew seeking a buyer for the company.</t>
  </si>
  <si>
    <t>Tornier NV</t>
  </si>
  <si>
    <t>US - Tornier NV (Tornier) of the Netherlands merged with Wright Medical Group Inc (Wright Medical), an Arlington-based manufacturer of medical orthopedic devices, in a reverse takeover transaction valued at USD 1. 251 bil. Tornier offered 1. 0309 ordinary shares for every Wright Medical common share held. Based on Tornier's closing stock price of USD 23.59 on 24 October 2014, the last full trading day prior to the announcement, each Wright Medical share was valued at USD 24.319. On completion, Wright Medical and Tornier shareholders owned 51.847% and 48.153% in the merged entity named Wright Medical Group NV, respectively. This transaction is structured as a tax inversion.</t>
  </si>
  <si>
    <t>US - WesBanco Inc (WesBanco) acquired the entire share capital of ESB Financial Corp (ESB), an Ellwood-based bank holding company, in a stock swap transaction valued at USD 340.850 mil. The consideration consisted of USD 1.76 in cash per share or a total value of USD 31.262 mil, and 0.502 common shares per ESB share. Based on WesBanco's closing stock price of USD 34.72 on 28 October 2014, the last full trading day prior to the announcement, each ESB share was valued at USD 19.189. This transaction is Tax- Exempt under IRC s386.</t>
  </si>
  <si>
    <t>PDI Inc</t>
  </si>
  <si>
    <t>Other Services Related To Advertising</t>
  </si>
  <si>
    <t>Digirad Corp</t>
  </si>
  <si>
    <t>Mnfr,whl medical imaging prod</t>
  </si>
  <si>
    <t>US - Digirad Corp planned to launch an unsolicited offer to acquire the entire share capital of PDI Inc, a Parsippany-based provider of healthcare sales and marketing services, for an undisclosed amount in cash and Digirad common shares.</t>
  </si>
  <si>
    <t>Integrity Bancshares Inc</t>
  </si>
  <si>
    <t>US - S&amp;T Bancorp Inc (S&amp;T) acquired the entire share capital of Alpharetta-based Integrity Bancshares Inc (Integrity), in a stock swap transaction, valued at USD 140.075 mil. S&amp;T offered a choice of 2.0627 common shares or USD 52.5 in cash per Integrity share held. Based on S&amp;T''s closing stock price of USD 26.99 on 29 October 2014, the last full trading day prior to the announcement, each Integrity share was valued at USD 55. 672.</t>
  </si>
  <si>
    <t>Vibra Bank</t>
  </si>
  <si>
    <t>Pacific Commerce Bank</t>
  </si>
  <si>
    <t>US - Pacific Commerce Bank (Pacific) acquired the share capital of Chula Vista-based Vibra Bank in a stock swap transaction valued at USD 17. 269 mil. The consideration consisted of USD 5.75 mil in cash and the issuance of 1. 989 mil Pacific common shares valued at USD 11.519 mil. The shares were valued based on Pacific's closing stock price of USD 5.79 on 7 April 2015, the last full trading day prior to the announcement of the terms.</t>
  </si>
  <si>
    <t>EDENS</t>
  </si>
  <si>
    <t>US - EDENS acquired the entire share capital of AmREIT Inc (AmREIT), a Houston-based real estate investment trust, for USD 26. 55 in cash per share or a total value of USD 522.639 mil. In October 2014, AmREIT was rumored to be seeking a buyer for the company. Edens and Weingarten Realty Investors were rumored potential bidders. Previously, Regency Centers Corp withdrew its unsolicited offer to acquire the remaining 95.745% interest, or 18.837 mil common shares, which it did not already own, in AmREIT</t>
  </si>
  <si>
    <t>Aviv REIT Inc</t>
  </si>
  <si>
    <t>US - Omega Healthcare Investors Inc (Omega) acquired the entire share capital of Aviv REIT Inc (Aviv), a Chicago-based real estate investment trust, in a stock swap transaction valued at USD 1.755 bil. Omega offered 0.9 common share per Aviv share. Based on Omega's closing stock price of USD 38. 85 on 30 October 2014, the last full trading day prior to the announcement, each Aviv share was valued at 34. 965. On completion, Omega and Aviv owned 72% and 28%in the merged entity, respectively.</t>
  </si>
  <si>
    <t>RealPage Inc</t>
  </si>
  <si>
    <t>Dvlp property mgmt software</t>
  </si>
  <si>
    <t>US - Vista Equity Partners LLC was rumored to be planning to acquire the entire share capital of RealPage Inc, a Carrollton- based developer of property management software. The Current status of this deal is unknown.</t>
  </si>
  <si>
    <t>US - Laboratory Corporation of America Holdings (LabCorp) acquired the entire share capital of Covance Inc (Covance), a Princeton-based provider of medical research services, for USD 6.17 bil. LabCorp offered USD 75.76 in cash and 0.2686 common shares per Covance share. Based on LabCorp's closing stock price of USD 109.29 on 31 October 2014, the last full trading day prior to the announcement, each Covance share was valued at USD 105.115. On coompletion, Covance common shares were delisted from the New York Stock Exchange.</t>
  </si>
  <si>
    <t>US - Chemical Financial Corp (Chemical) acquired the entire share capital of Monarch Community Bancorp Inc (Monarch), a Coldwater-based bank holding company, in a stock swap transaction valued at USD 25.274 mil. Chemical offered 0.098 common share per Monarch share. Based on Chemicals closing stock price of USD 29.78 on 31 October 2014, the last full trading day prior to the announcement, each CB share was valued at USD 2.924.</t>
  </si>
  <si>
    <t>Sapient Corp</t>
  </si>
  <si>
    <t>Pvd business integration svcs</t>
  </si>
  <si>
    <t>US - Publicis Groupe SA of France (Publicis) acquired the entire share capital of Sapient Corp (Sapient), a Boston-based provider of business, marketing and technology integration services, for USD 25 in cash per share, or a total value of USD 3.691 bil. The offer was conditioned upon at least majority of Sapient's shares being tendered. Earlier, Publicis completed its tender offer for Sapient by accepting 121.955 mil shares, or about 86.575% of Sapients common stock outstanding. Originally, Publicis was rumored to be planning to acquire Sapient.</t>
  </si>
  <si>
    <t>Elecsys Corp</t>
  </si>
  <si>
    <t>Mnfr electn semiconductors</t>
  </si>
  <si>
    <t>Lindsay Corp</t>
  </si>
  <si>
    <t>Mnfr,whl agricultural equipment</t>
  </si>
  <si>
    <t>US - Lindsay Corp acquired the entire share capital of Elecsys Corp, a Olathe-based manufacturer and wholesaler of wireless remote monitoring and telemetry products, for USD 17.5 in cash per share or a total value of USD 70.202 mil.</t>
  </si>
  <si>
    <t>Hampden Bancorp Inc,MA</t>
  </si>
  <si>
    <t>US - Berkshire Hills Bancorp Inc (Berkshire) acquired the entire share capital of Hampden Bancorp Inc (Hampden), a Springfield-based bank holding company, in a stock swap transaction valued at USD 119.057 mil. Berkshire offered 0.81 common shares per Hampden share. Based on Berkshire's closing stock price of USD 25.78 on 31 October 2014, the last full trading day prior to the announcement, each Hampden share was valued at USD 20. 882. This transaction is Tax- Exempt under IRC s386.</t>
  </si>
  <si>
    <t>World Energy Solutions Inc</t>
  </si>
  <si>
    <t>Provide energy management svcs</t>
  </si>
  <si>
    <t>EnerNOC Inc</t>
  </si>
  <si>
    <t>Dvlp energy intelligence software</t>
  </si>
  <si>
    <t>US - EnerNOC Inc acquired the entire share capital of World Energy Solutions Inc (World Energy), a Worcester-based provider of energy management services, via a tender offer for USD 5.5 in cash per share or a total value of USD 69. 946 mil. The offer was conditioned upon at least a majority of World Energys shares being tendered.</t>
  </si>
  <si>
    <t>Hudson Valley Holding Corp,NY</t>
  </si>
  <si>
    <t>Sterling Bancorp</t>
  </si>
  <si>
    <t>US - Sterling Bancorp (Sterling) merged with Hudson Valley Holding Corp (Hudson), a Yonkers-based bank holding company, in a stock swap transaction valued at USD 538. 272 mil. Sterling offered 1. 92 shares per Hudson share. Based on Sterling's closing stock price of USD 13.99 on 04 November 2014, the last full trading day prior to the announcement, each Hudson share was valued at USD 26. 861. This transaction is Tax- Exempt under IRC s386.</t>
  </si>
  <si>
    <t>Vaporin Inc</t>
  </si>
  <si>
    <t>All Other Miscellaneous Manufacturing</t>
  </si>
  <si>
    <t>Vapor Corp</t>
  </si>
  <si>
    <t>Cigarette Manufacturing</t>
  </si>
  <si>
    <t>US - Vapor Corp (Vapor) merged with Vaporin Inc (Vaporin), a Miami-based manufacturer of vaporizers and eliquids, in a stock swap transaction, valued at USD 61. 6 mil. Vapor offered 0.07735 common share per Vaporin share held and up to USD 25 mil in profit-related payments. Based on Vapor''s closing stock price of USD 2. 71 on 6 November 2014, the last full trading day prior to the transaction, each Vaporin share was valued at USD 0.21. Upon completion, Vapor and Vaporin shareholders were to own 55% and 45% in the combined entity, respectively.</t>
  </si>
  <si>
    <t>Bay Coml Bk,Walnut Creek,CA</t>
  </si>
  <si>
    <t>US - Bay Commercial Bank (Bay) acquired the remaining stake, which it did not already own, in Pleasanton-based Valley Community Bank, for a total USD 5.688 mil, in a stock swap transaction. Bay offered USD 4.15 in common shares per 1 Valley Community Bank common shares.</t>
  </si>
  <si>
    <t>US - Hasbro Inc discontinued rumors that it was planning to acquire the entire share capital of DreamWorks Animation SKG Inc, a Glendale- based provider of computer generated animated films production and distribution services.</t>
  </si>
  <si>
    <t>US - BB&amp;T Corp (BB&amp;T) acquired the entire share capital of the Lititz-based Susquehanna Bancshares Inc (Susquehanna), in a stock swap transaction valued at an estimated USD 2.492 bil. BB&amp;T offered 0.253 shares and USD 4.05 cash per Susquehanna common share. Based on BB&amp;T's closing stock price of USD 38. 33 on 11 November 2014, the last full trading day prior to the announcement, each Susquehanna share was valued at USD 13.747. This transaction is Tax-Exempt under IRC s386.</t>
  </si>
  <si>
    <t>US - Halliburton Co (Halliburton) withdrew its agreement to acquire the entire share capital of Baker Hughes Inc (Baker), a Houston- based manufacturer of oil and natural gas machinery, in a stock swap transaction, valued at USD 35.274 bil. Halliburton offered USD 19 in cash and 1.12 common shares per Baker share. Based on Halliburton's closing stock price of USD 55.08 on 14 November 2014, the last full trading day prior the announcement, each Baker share was valued at USD 80.69. Upon completion, Baker and Halliburton were to own 36% and 64% in the merged entity, respectively. Originally, in November 2014, Halliburton was rumored to be planning to acquire Baker. This transaction is Tax-Exempt under IRC s386.</t>
  </si>
  <si>
    <t>US - Sequential Brands Group Inc was rumored to be planning to acquire the entire share capital of Perry Ellis International Inc, a Miami-based manufacturer and wholesaler of men's and women's apparel, accessories, and fragrances. The Current status of this deal is unknown.</t>
  </si>
  <si>
    <t>US - Actavis PLC (Actavis), acting as white knight, acquired the acquire the entire share capital of Allergan Inc (Allergan), an Irvine-based manufacturer of eye care, neuromodulator and skin care pharmaceutical products, for USD 68.445 bil, via a challenging offer. Actavis offered USD 129.22 in cash and 0.3683 ordinary shares per Allergan share. Based on Actavis' closing stock price of USD 243.77 on 14 November, the last full trading day prior to the announcement, each Allergan share was valued at USD 219. On completion, Allergan common shares were delisted in the New York Stock Exchange. Previously, Valeant Pharmaceuticals International Inc (Valeant), through its wholly-owned AGMS Inc subsidiary, and Pershing Square Capital Management LP, withdrew its hostile tender offer to acquire the remaining 90.29% interest in Allergan. Originally, Actavis was rumored to be planning to acquire the entire share capital of Allergan.</t>
  </si>
  <si>
    <t>ChyronHego Corp</t>
  </si>
  <si>
    <t>Vector Capital Management LP</t>
  </si>
  <si>
    <t>US - Vector Capital Corp acquired the entire share capital of ChyronHego Corporation, a Melville-based provider of graphics services, from MWW Group Inc, a unit of Interpublic Group of Cos Inc''s Golin Harris International subsidiary, for USD 2.82 in cash per share or a total value of USD 118.669 mil, in a leveraged buyout transaction.</t>
  </si>
  <si>
    <t>Valley Financial,Roanoke,VA</t>
  </si>
  <si>
    <t>US - BNC Bancorp (BNC) acquired the entire share capital of Valley Financial Corp (Valley), a Roanoke- based bank holding company, in a stock swap transaction valued at USD 101.278 mil, subject to collar agreement. BNC offered USD 20 common shares per Valley share. This transaction is Tax-Exempt under IRC s386.</t>
  </si>
  <si>
    <t>Capital Pacific Bancorp</t>
  </si>
  <si>
    <t>US - Pacific Continental Corp (Pacific) merged with Portland based Capital Pacific Bancorp (Capital), for USD 40.971 mil. Pacific offered a choice of USD 16 in cash or 1.132 common share per Capital share or a combination of cash and common shares, subject to proration whereby consideration will be 40% in cash and 60% in common shares.</t>
  </si>
  <si>
    <t>Koch Optics Inc</t>
  </si>
  <si>
    <t>Telephone Apparatus Manufacturing</t>
  </si>
  <si>
    <t>US - Koch Optics Inc, a unit of Koch Industries Inc, acquired the entire share capital of Oplink Communications Inc (Oplink), a Fremont-based manufacturer of fiber optic networking components, via a tender offer for USD 24.25 in cash per share, or a total value of USD 428.153 mil. The offer was conditioned upon at least majority of Oplink's shares being tendered.</t>
  </si>
  <si>
    <t>US - Walter Energy Inc (Walter Energy), a Tampa- based provider of coal mining services, agreed to a debt restructuring transaction with Bondholders (BHs). BHs will receive common shares in exchange for the outstanding debt. Upon completion, BHs were to hold an undisclosed majority interest in the restructured Walter Energy. The book value of the existing debt that will be exchanged under the terms of the offer is USD 3.2 bil.</t>
  </si>
  <si>
    <t>Mnfr,whl flash memory devices</t>
  </si>
  <si>
    <t>US - Cypress Semiconductor Corp (Cypress) acquired the entire share capital of Spansion Inc (Spansion), a Sunnyvale-based manufacturer and wholesaler of flash memory devices, in a reverse takeover transaction valued at USD 1.685 bil. Cypress offered 2.457 common shares per Spansion share. Based on Cypress' common stock price of USD 10.6 on 28 November 2014, the last full trading day prior to the announcement, each Spansion share was valued at USD 26.044. On completion, Cypress ans Spansionreceived 50% interest each in the merged entity. This transaction is Tax- Exempt under IRC s386.</t>
  </si>
  <si>
    <t>Avanir Pharmaceuticals Inc</t>
  </si>
  <si>
    <t>Otsuka America Inc</t>
  </si>
  <si>
    <t>US - Otsuka America Inc (OAI), a wholly owned unit of Otsuka Holdings Ltd's Otsuka Pharmaceutical Co Ltd subsidiary, acquired the entire share capital of Avanir Pharmaceuticals Inc (Avanir), an Aliso Viejo- based biopharmaceutical company, for USD 17 in cash per share or a total value of USD 3.428 bil. Earlier, OAI completed its tender offer for Avanir by accepting 121. 815 mil shares or 62.95% of Avanirs common shares outstanding. The offer was conditioned upon at least a majority of Avanir's shares being tendered. On completion, Avanir was delisted in NASDAQ.</t>
  </si>
  <si>
    <t>Carbonite Inc</t>
  </si>
  <si>
    <t>Online data-backup company</t>
  </si>
  <si>
    <t>j2 Global Inc</t>
  </si>
  <si>
    <t>Pvd outsourced messaging svcs</t>
  </si>
  <si>
    <t>US - j2 Global Inc withdrew its plan to launch an unsolicited tender offer to acquire the entire share capital of Carbonite Inc, a Boston-based provider of data data backup and recovery services, for USD 15 in cash per shares, or a total value of USD 418.717 mil.</t>
  </si>
  <si>
    <t>NextEra Energy Inc</t>
  </si>
  <si>
    <t>US - NextEra Energy Inc (NextEra) withdrew its definitive agreement to merge with Hawaiian Electric Industries Inc (Hawaiian), a Honolulu-based provider of electric utility and banking services for USD 4.301 bil. The consideration was to consist of 0.2413 NextEra common shares per Hawaiian share and the assumption of USD 1.7 bil in liabilities. Based on NextEra's closing stock price of USD 105.11 on 02 December 2014, the last full trading day prior to the announcement, each Hawaiian share was valued at USD 25. 363. Concurrently, Hawaiian planned to spin off its ASB Hawaii Inc unit to its shareholders. Previously, MidAmerican Energy Services LLC was rumored to be planning to acquire Hawaiian. This transaction is Tax- Exempt under IRC s386.</t>
  </si>
  <si>
    <t>Actuate Corp</t>
  </si>
  <si>
    <t>US - OpenText Corp of Canada acquired the entire share capital of Actuate Corp, a San Mateo-based developer of enterprise software, for USD 6.6 in cash per share, or a total value of USD 317.294 mil, via a tender offer. The offer was conditioned upon at least a majority of Actuate Corp's shares being tendered. Earlier, OpenText completed the tender offer to acquire the entire share capital of Actuate, by accepting 39.385 mil shares, or about 84.873% of the company's common stock outstanding.</t>
  </si>
  <si>
    <t>US - Merck &amp; Co (Merck) acquired the entire share capital of Cubist Pharmaceuticals Inc (Cubist), a Lexington-based biopharmaceutical company, for USD 102 in cash per share or a total value of USD 9.348 bil, including the assumption USD 1.1 bil in liabilities, via tender offer. The offer was conditioned upon at least majority of Cubist's shares being tendered. Earlier, Merck completed the tender offer to acquire Cubist by accepting 58.04 mil shares or about 76.072% of the common stock outstanding. On completion, Cubist common shares were delisted in the NASDAQ Stock Market. Originally, in December 2014, Merck was rumored to be planning to acquire the entire share capital of Cubist.</t>
  </si>
  <si>
    <t>Heritage Financial Group Inc</t>
  </si>
  <si>
    <t>US - Renasant Corp (Renasant) acquired the entire share capital of Heritage Financial Group Inc (Heritage), an Albany-based bank holding company, in a stock swap transaction valued at USD 253. 369 mil. Renasant offered 0. 9266 common shares per Heritage share. Based on Renasant's closing stock price of USD 29.76 on 09 December 2014, the last full trading day prior to the announcement, each Heritage share was valued at USD 27. 576. This transaction is Tax- Exempt under IRC s386.</t>
  </si>
  <si>
    <t>Citizens National Bancorp Inc,</t>
  </si>
  <si>
    <t>ESB Bancorp Inc,Easthampton,MA</t>
  </si>
  <si>
    <t>US - ESB Bancorp Inc acquired the entire share capital of Putnam-based Citizens National Bancorp Inc, for USD 67.50 in cash per share or a total value of USD 51.27 mil.</t>
  </si>
  <si>
    <t>Cover-All Technologies Inc</t>
  </si>
  <si>
    <t>Majesco Software Inc</t>
  </si>
  <si>
    <t>Dvlp insurance software</t>
  </si>
  <si>
    <t>US - Majesco Software Inc, a unit of Mastek Ltd, merged with Cover-All Technologies Inc, a Morristown-based developer of software, in a stock swap transaction.</t>
  </si>
  <si>
    <t>PetSmart Inc SPV</t>
  </si>
  <si>
    <t>US - PetSmart Inc SPV, a special purpose acquisition vehicle formed by BC Partners Ltd of the UK, StepStone Group LLC, Caisse de Depot &amp; Placement du Quebec of Canada and Longview Asset Management LLC, for the purpose of making an acquisition, acquired the entire share capital of PetSmart Inc (PetSmart), a Phoenix-based owner and operator of specialty pet retail store, for USD 83 in cash per common share, restricted common share and performance stock unit, or a total value of USD 8.441 bil, in a leverage buyout transaction. Originally, in August 2014, PetSmart was rumored to be seeking a buyer for the company. Kohlberg Kravis Roberts &amp; Co LP, Apax Partners, Bain Capital, Clayton Dubilier &amp; Rice LLC, Apollo Global Management LLC, BC Partners Ltd and Carlyle were named rumored bidders. On completion, PetSmart common shares were delisted from NASDAQ Stock Market.</t>
  </si>
  <si>
    <t>Community National Bank,NY</t>
  </si>
  <si>
    <t>Bridge Bancorp Inc</t>
  </si>
  <si>
    <t>US - Bridge Bancorp Inc (Bridge) acquired the entire share capital of Melville- based Community National Bank (Community), in a stock swap transaction valued at USD 133. 64 mil. Bridge offered 0.79 common share per Community share held. Based on Bridge's closing stock price of USD 25. 35 on 12 Decmber 2014, the last full trading day prior to the announcement, each Community share was valued at USD 20.027.</t>
  </si>
  <si>
    <t>LNB Bancorp Inc</t>
  </si>
  <si>
    <t>Northwest Bancshares Inc</t>
  </si>
  <si>
    <t>US - Northwest Bancshares Inc (Northwest) acquired the entire share capital of LNB Bancorp Inc (LNB), a Lorain- based bank holding company, for USD 183.731 mil. Northwest offered a choice of 18.70 in cash or 1.461 Northwest common shares per LNB share, subject to proration whereby the aggregate consideration consisted of 50% in cash and 50% in common shares. Originally, in November 2014, LNB was rumored to be seeking a buyer for the company. This transaction is Tax-Exempt under IRC s386.</t>
  </si>
  <si>
    <t>MicroFinancial Inc</t>
  </si>
  <si>
    <t>Pvd specialized comm finance</t>
  </si>
  <si>
    <t>US - Fortress Investment Group LLC, through its affiliated funds acquired the entire share capital of MicroFinancial Inc (MicroFinancial), a Waltham- based provider of specialized commercial financing services, for USD 10.2 in cash per share, or a total value of USD 150.023 mil, via a tender offer. The offer was conditioned upon at least a majority of MicroFinancial's shares being tendered.</t>
  </si>
  <si>
    <t>Riverbed Technology Inc SPV</t>
  </si>
  <si>
    <t>US - Riverbed Technology Inc SPV, a special purpose vehicle formed by Thoma Bravo LLC and Teachers' Private Capital, a unit of Ontario' Teachers Pension Plan, acquired the entire share capital of Riverbed Technology Inc (Riverbed), a San Francisco-based manufacturer of steelhead and cloud products, from Elliot Management Corp and other shareholders, for USD 21 in cash per share, or a total value of USD 3.307 bil, in a leveraged buyout transaction. Previously, Elliott withdrew its plans to launch an unsolicited offer to acquire the remaining 89.46% interest, or 144.851 mil common shares, which it did not already own, in Riverbed.</t>
  </si>
  <si>
    <t>Volcano Corp</t>
  </si>
  <si>
    <t>Mnfr catheters,guidewires</t>
  </si>
  <si>
    <t>Koninklijke Philips NV</t>
  </si>
  <si>
    <t>US - Koninklijke Philips Electronics NV (Philips) acquired the entire share capital of Volcano Corp (Volcano), a San Diego-based manufacturer of intravascular ultrasound catheters and functional measurement guidewires, for USD 18 in cash per common share and restricted common share, or a total value of USD 947.583 mil, via a tender offer. Earlier, Philips completed its tender offer for Volcano by accepting 49.221 mil shares, or 95.37% of Volcano's common shares outstanding. The offer was conditioned upon at least 50% of Volcanos shares being tendered. On completion, Volcano common shares were delisted in the NASDAQ Stock Exchange. Originally, In September 2014, Volcano announced that it was seeking a buyer for the company.</t>
  </si>
  <si>
    <t>Pantry Inc</t>
  </si>
  <si>
    <t>US - Alimentation Couche-Tard Inc of Canada acquired the entire share capital of Pantry Inc (Pantry), a Cary- based owner and operator of convenience stores, for USD 36.75 in cash per share or a total value of USD 857.783 mil. In December 2014, Pantry was rumored to be seeking a buyer for the company.</t>
  </si>
  <si>
    <t>Caesars Acquisition Co</t>
  </si>
  <si>
    <t>Pvd casino ent svcs</t>
  </si>
  <si>
    <t>Caesars Entertainment Corp</t>
  </si>
  <si>
    <t>Casino Hotels</t>
  </si>
  <si>
    <t>US - Caesars Entertainment Corp (Caesars), a unit of Hamlet Holdings LLC definitively agreed to acquire the entire share capital of Caesars Acquisition Co (Caesars Acquisition), a Las Vegas- based provider of casino entertainment services, in a stock swap transaction valued at USD 2.045 bil. Caesars offered a sweetened 1.625 common shares per Caesars Acquisition share. Based on Caesars' closing stock price of USD 9.20 on 17 February 2017, the last full trading day prior to the amendment of terms, each Caesars Acquisition share was valued at USD 14.95. Previously, Caesars offered 0.664 common shares per Caesars Acquisition share. Upon completion, Caesars and Caesars Acquisition shareholder were to own 62% and 38% in the combined entity. Originally, Caesars was rumored to be planning to acquire Caesars Acquisition. This transaction is Tax- Exempt under IRC s386.</t>
  </si>
  <si>
    <t>Peerless Systems Corp</t>
  </si>
  <si>
    <t>Develop imaging,networking software</t>
  </si>
  <si>
    <t>Mobius Acquisition LLC</t>
  </si>
  <si>
    <t>US - Mobius Acquisition LLC, a unit of LCV Capital Management LLC, acquired the entire share capital of Peerless Systems Corp (Peerless), a Stamford-based developer of imaging and networking software, via a tender offer for USD 7 in cash per share, or a total value of USD 20.546 mil. The offer had been conditioned upon at least a majority of Peerless shares being tendered.</t>
  </si>
  <si>
    <t>Uroplasty Inc</t>
  </si>
  <si>
    <t>Vision-Sciences Inc</t>
  </si>
  <si>
    <t>Mnfr,whl endoscopy prod</t>
  </si>
  <si>
    <t>US - Vision-Sciences Inc (Vision)merged with Uroplasty Inc (Uroplasty), a Minnetonka- based manufacturer and wholesaler of surgical products, in a reverse takeover transaction valued at USD 82.736 mil. Vision offered 3.6631 shares per Uroplasty share. Based on Vision's closing stock price USD 1.01 on 19 December 2014, the last full trading day prior to the announcement, each Uroplasty share is valued at USD 3.7. On completion, the merged entity was to be named Cogentix Medical Inc, and Vision and Uroplasty shareholders were to own 37.5% and 62.5% of the merged entity, respectively.</t>
  </si>
  <si>
    <t>BNB Bancorp Inc</t>
  </si>
  <si>
    <t>US - LCNB Corp definitively acquired the entire share capital of BNB Bancorp Inc, a Brookville-based bank holding company, for an estimated USD 12.6 mil.</t>
  </si>
  <si>
    <t>JPS Industries Inc</t>
  </si>
  <si>
    <t>Mnfr laminated glass products</t>
  </si>
  <si>
    <t>Handy &amp; Harman Ltd</t>
  </si>
  <si>
    <t>Mnfr,whl metal wire,cable prod</t>
  </si>
  <si>
    <t>US - Handy &amp; Harman Ltd (Handy &amp; Harman), a unit of Steel Partners Holdings LP, acquired the remaining 61% interest, or 5.816 mil shares, which it did not already own, in JPS Industries Inc (JPS), a Greenville-based manufacturer of laminated glass products, for USD 11 in cash per share, or a total value of USD 63.975 mil. Previously, Handy &amp; Harman launched an unsolicited offer to acquire the remaining 61% interest, which it did not already own, in JPS for USD 10 in cash per share.</t>
  </si>
  <si>
    <t>Fosun International Ltd</t>
  </si>
  <si>
    <t>US -Fosun International Ltd of China acquired the entire share capital of Meadowbrook Insurance Group Inc, a Southfield-based insurance company, for USD 8.65 per share, or a total value of USD 433.310 mil in cash.</t>
  </si>
  <si>
    <t>State Investors Bancorp Inc</t>
  </si>
  <si>
    <t>First NBC Bank Holding Co</t>
  </si>
  <si>
    <t>US - First NBC Bank Holding Co acquired the entire share capital of Metairie-based State Investors Bancorp Inc, for USD 21.51 in cash per share, or a total value of USD 49.645 mil.</t>
  </si>
  <si>
    <t>Pacific Ethanol Inc</t>
  </si>
  <si>
    <t>Mnfr,whl,low carbon fuel</t>
  </si>
  <si>
    <t>US - Pacific Ethanol Inc (Pacific) acquired the entire share capital of Aventine Renewable Energy Holdings Inc (Aventine), a Pekin-based manufacturer and wholesaler of ethanol, in a stock swap transaction valued at USD 190. 159 mil. Pacific offered 1.25 common shares per Aventine share held. Based on Pacifics closing stock price of USD 10. 71on 30 December 2014, the last full trading day prior to the announcement, each Pan share was valued at USD 13. 388. Upon completion, Pacific and Aventine shareholders were to own 58% and 42% of the merged entity, respectively.</t>
  </si>
  <si>
    <t>US - Yahoo! Inc was rumored to be planning to acquire the entire share capital of Scripps Networks Interactive Inc, a Knoxville-based owner and operator of television stations. The Current status of this deal is unknown.</t>
  </si>
  <si>
    <t>Uranerz Energy Corp</t>
  </si>
  <si>
    <t>Energy Fuels Inc</t>
  </si>
  <si>
    <t>Uranium,vanadium mining co</t>
  </si>
  <si>
    <t>US - Energy Fuels Inc (EFI) of Canada acquired the entire share capital of Uranerz Energy Corp (UEC), a Casper- based uranium mining company, in a reverse takeover transaction valued at USD 151. 869 mil. EFI offered 0.255 common share per UEC common share. Based on EFI's closing stock price of USD 6.216 on 02 January 2015, the last full trading day prior to the announcement. On completion, EFI and UEC shareholders were to own 45% and 55%, of EFI, respectively.</t>
  </si>
  <si>
    <t>US - In January 2015, Dick's Sporting Goods Inc, a Coraopolis-based owner and operatof of sporting goods stores, was rumored to be seeking a buyer for the company. The Current status of this deal is unknown.</t>
  </si>
  <si>
    <t>DCB Financial Corp</t>
  </si>
  <si>
    <t>Guaranty Bancshares Inc</t>
  </si>
  <si>
    <t>US - Guaranty Bancshares Inc acquired the entire share capital of DCB Financial Corp, a Lewis Center-based bank holding company.</t>
  </si>
  <si>
    <t>Mnfr,whl steel pipe,chemicals</t>
  </si>
  <si>
    <t>US - Synalloy Corp (Synalloy) withdrew its plans to launch an unsolicited offer to acquire the entire share capital of Eastern Co (EC), a Naugatuck-based manufacturer of hardware products, in a stock swap transaction valued at USD 118.883 mil. Synalloy offered USD 6.69 in cash and 0.731 Synalloy share per EC share. Based on Synalloy's closing stock price of USD 16. 98 on 08 January 2015, the last full trading day prior to the announcement, each EC share was valued at USD 19. 102.</t>
  </si>
  <si>
    <t>US - Shire PLC (Shire) of Ireland acquired the entire share capital of NPS Pharmaceuticals Inc (NPS), a Bedminster-based biopharmaceutical company, for USD 46 in cash per share, or a total value of USD 5.139 bil, via tender offer. The offer had been conditioned upon at least majority of the NPS' shares being tendered. Earlier, Shire completed the tender offer to acquire NPS by accepting 88.869 mil shares or about 81.7% of the common stock outstanding. Originally, Shire was rumored to be planning to acquire the entire share capital of NPS.</t>
  </si>
  <si>
    <t>Foundation Medicine Inc</t>
  </si>
  <si>
    <t>Own,op cancer diagnostics co</t>
  </si>
  <si>
    <t>US - Roche Holding AG (Roche) of Switzerland raised its interest to 61.736% from 14. 981%, by acquiring a 46.755% stake, or 15.604 mil common shares, in Foundation Medicine Inc (FMI), a Cambridge-based owner and operator of diagnostic imaging center, for USD 50 per share in cash, or a total of USD 780.214 mil, via a tender offer. Concurrently, Roche definitively agreed to acquire 14.981% stake, or 5 mil new common shares in FMI.</t>
  </si>
  <si>
    <t>MWI Veterinary Supply Inc</t>
  </si>
  <si>
    <t>Whl animal health products</t>
  </si>
  <si>
    <t>AmerisourceBergen Corp</t>
  </si>
  <si>
    <t>Whl drugs,pharmaceuticals</t>
  </si>
  <si>
    <t>US - AmerisourceBergen Corp, through its Roscoe Acquisition Corp subsidiary, acquired entire share capital of MWI Veterinary Supply Inc (MWI), a Boise-based wholesaler of animal health products, for USD 190 in cash per share or a total value of USD 2.456 bil, via tender offer. The offer was conditioned upon at least majority of MWI's shares being tendered. Earlier, AC completed its tender offer for MWI by accepting 10.096 mil shares, or about 78.187% of the company's common stock outstanding. On completion, MWI common shares were delisted on the NASDAQ Global Select Market.</t>
  </si>
  <si>
    <t>Manhattan Bancorp</t>
  </si>
  <si>
    <t>US - Plaza Bank (Plaza) acquired  the entire share capital of Manhattan Bancorp (Manhattan), an El Segundo- based bank holding company, in a stock swap transaction valued at USD 53.057 mil. Plaza offered USD 5.59 in cash and 1.2 Plaza shares per Manhattan share, subject to a proration whereby the aggregate consideration was to consist of 40.734% in cash and 59.266% in common shares. Based on Plaza's closing stock price of USD 2.95 on 30 December 2014, the last full trading day prior to the announcement, each Manhattan share was valued at USD 3.539.</t>
  </si>
  <si>
    <t>Courier Corp</t>
  </si>
  <si>
    <t>Quad/Graphics Inc</t>
  </si>
  <si>
    <t>US - Quad/Graphics Corp (QG) withdrew its agreement to acquire the entire share capital of Courier Corp (Courier), a North Chelmsford- based publishing company, for USD 20.5 in cash per share, or a total value of USD 240. 212 mil, subject to proration. QG offered a choice of 0. 9301 common shared per Courier share held. This transaction is Tax-Exempt under IRC s386.</t>
  </si>
  <si>
    <t>Medytox Solutions Inc</t>
  </si>
  <si>
    <t>Pvd medically managed services</t>
  </si>
  <si>
    <t>CollabRx Inc</t>
  </si>
  <si>
    <t>US - CollabRx Inc merged with Medytox Solutions Inc, a West Palm Beach-based provider of medically managed services. On completion, the merged entity was named Rennova Health Inc.</t>
  </si>
  <si>
    <t>US - Royal Bank of Canada (Royal Bank) acquired the entire share capital of City National Corp (CNC), a Los Angeles-based bank holding company, in a stock swap transaction valued at an estimated USD 5.394 bil. Royal Bank offered a choice of USD 47.25 in cash and 0. 7489 common shares or common shares or cash , subject to proration. Based on Royal Bank's closing stock price of USD 62.133 on 21 January 2015, the last full trading day prior to the announcement, each CNC share was valued at USD 93.781. This transaction is Tax-Exempt under IRC s386.</t>
  </si>
  <si>
    <t>US - Energy Transfer Partners LP (Energy) merged with Regency Energy Partners LP (Regency), a Dallas-based provider of gas gathering services, in a stock swap transaction valued at USD 18. 448 bil, including the assumption of USD 6.8 bil in liabilities. Energy offered USD 0.32 in cash and 0.4066 Energy common units. Based on Energy's closing stock price of USD 65.34 on 23 January 2015, the last full trading day prior to the announcement, each Regency share is valued at USD 26.887. On completion, Regency was delisted from the New York Stock Exchange.</t>
  </si>
  <si>
    <t>MeadWestvaco Corp</t>
  </si>
  <si>
    <t>US - MeadWestvaco Corp (MeadWestvaco) acquired the entire share capital of Rock- Tenn Co (Rock-Tenn), a Norcross-based manufacturer of packaging products, to form WestRock Co (WestRock), in a stock swap transaction valued at USD 8.143 bil. Rock- Tenn Co common shareholders received 1 WestRock common share and MeadWestvaco common shareholders received 0.78 WestRock common shares per share held, subject to proration. Based on MeadWestvaco's closing stock price of USD 45.04 on 23 January 2015, the last full trading day prior to the announcement, each Rock-Tenn share was valued at USD 57. 744. On completion, MeadWestvaco and Rock-Tenn owned 50.1% and 49.9% in the WestRock, respectively. This transaction is Tax-Exempt under IRC s386.</t>
  </si>
  <si>
    <t>Farmers National Banc Corp</t>
  </si>
  <si>
    <t>US - Farmers National Banc Corp (Farmers) acquired the entire share capital of National Bancshares Corp (National Bancshares), an Orrville-based bank holding company, for USD 32.15 in cash per share or a total value of USD 71.533 mil, subject to proration whereby 80% of the Farmers common share will be exchanged for National Bancshares common shares and 20% for cash, in a stock swap transaction. Alternatively, Farmers offered 4.034 common shares per National Bancshares.</t>
  </si>
  <si>
    <t>Silicon Image Inc</t>
  </si>
  <si>
    <t>Lattice Semiconductor Corp</t>
  </si>
  <si>
    <t>US - Lattice Semiconductor Corp (Lattice) acquired the entire share capital of Silicon Image Inc (SII), a Sunnyvale-based manufacturer of semiconductors and related device, for USD 7.3 in cash per share, or a total value of USD 576.017 mil. Earlier, Lattice completed its tender for SII by accepting 64.379 mil shares, or about 81.6% of SII's common stock outstanding. Originally, in January 2015, SII was rumored to be seeking a buyer for the company. On completion, SII shares were delisted on NASDAQ.</t>
  </si>
  <si>
    <t>Books-A-Million Inc SPV</t>
  </si>
  <si>
    <t>US - Books-A-Million Inc SPV (Books SPV), a special purpose acquisition vehicle formed by Clyde B. Anderson and undisclosed members of the Anderson Family, acquired the 42% remaining stake, which it did not already own, in Books-A-Million Inc(Books), a Birmingham-based book retailer, for a sweetened USD 3.25 in cash per share or a total value of USD 20.463 mil, via an unsolicited offer. Originally, Books SPV planned to acquire the 42% remaining stake in Books, for USD 2.75 in cash per share or a total value of USD 17.315 mil.</t>
  </si>
  <si>
    <t>Advent Software Inc</t>
  </si>
  <si>
    <t>Dvlp software prod,svcs</t>
  </si>
  <si>
    <t>SS&amp;C Technologies Holdings Inc</t>
  </si>
  <si>
    <t>Dvlp mission-critical software</t>
  </si>
  <si>
    <t>US - SS&amp;C Technologies Holdings Inc (SS&amp;C) acquired the entire share capital of Advent Software Inc (Advent), a San Francisco-based developer of software, for USD 44.25 in cash per share, or a total value of USD 2.434 bil. Originally, SS&amp;C was rumored to be planning to acquire the entire share capital of Advent.</t>
  </si>
  <si>
    <t>Sputnik Enterprises Inc</t>
  </si>
  <si>
    <t>Ludvik Holdings Inc</t>
  </si>
  <si>
    <t>US - Ludvik Holdings Inc definitively agreed to acquire the entire share capital of Sputnik Enterprises Inc, a Sausalito- based wireless telecommunications carrier. Upon completion, Sputnik Enterprises Inc will cease to exist.</t>
  </si>
  <si>
    <t>Entropic Communications Inc</t>
  </si>
  <si>
    <t>MaxLinear Inc</t>
  </si>
  <si>
    <t>US - MaxLinear Inc (MaxLinear) acquired acquire the entire share capital of Entropic Communications Inc (Entropic), a San Diego-based manufacturer of semiconductors, in a stock swap transaction, valued at USD 273.943 mil. MaxLinear offered 0.22 common shares and USD 1.2 in cash per Entropic Class A and Class B share held. Based on MaxLinear's closing stock price of USD 8.24 on 2 February 2015, the last full trading day prior to the announcement, each Entropic share was valued at USD 3.013. This transaction is Tax- Exempt under IRC s386.</t>
  </si>
  <si>
    <t>Community Southern Holdings</t>
  </si>
  <si>
    <t>Sunshine Bancorp Inc</t>
  </si>
  <si>
    <t>Savings Institutions</t>
  </si>
  <si>
    <t>US - Sunshine Bancorp Inc acquired the entire share capital of Community Southern Holdings Inc, a Lakeland- based bank holding company, for USD 11.66 in cash per share, or a total value of USD 29.389 mil.</t>
  </si>
  <si>
    <t>US - RR Donnelley &amp; Sons Co (RR Donnelley) acquired the entire share capital of Courier Corp (Courier), a North Chelmsford-based publishing company, for USD 267.654 mil, subject to proration. RR Donnelley offered a choice of USD 23 in cash or 1.3756 common share for every Courier share held. Based on RR Donnelley''s closing stock price of USD 16. 72 on 4 February 2015, the last full trading day prior to the announcement, each Courier share was valued at USD 23. This transaction is Tax-Exempt under IRC s386.</t>
  </si>
  <si>
    <t>E2open Inc</t>
  </si>
  <si>
    <t>Insight Venture Partners LLC</t>
  </si>
  <si>
    <t>US - Insight Venture Partners LLC (Insight), through an affiliate, acquired the entire share capital of E2open Inc (E2open), a Forester City-based developer of cloud-based solutions, via a tender offer, for USD 8.60 in cash per share, or a total value of USD 252.133 mil, in a leveraged buyout transaction. Earlier, Insight completed its tender offer for Volcano by accepting 24. 395 mil shares or 83.210% of E2open's common shares outstanding. The offer was conditional upon at least a majority of E2open's shares being tendered. Earlier, Insight completed. On completion, E2open will be delisted from NASDAQ. Originally, in January 2015, E2open was rumored to be seeking a buyer for the company.</t>
  </si>
  <si>
    <t>Hospira Inc</t>
  </si>
  <si>
    <t>US - Pfizer Inc acquired the entire share capital of Hospira Inc (Hospira), a Lake Forest-based manufacturer and wholesaler of pharmaceuticals, for USD 90 cash per share or a total value of USD 15.820 bil. On completion, Hospira common shares were to be delisted from the New York Stock Exchange.</t>
  </si>
  <si>
    <t>CTPartners Executive Search</t>
  </si>
  <si>
    <t>DHR International Inc</t>
  </si>
  <si>
    <t>Executive Search Services</t>
  </si>
  <si>
    <t>US - DHR International Inc, a unit of EPS Solutions Corp, planned to acquire the entire share capital of CTPartners Executive Search Inc, a New York-based provider of executive search services, for USD 7 per share or a total value of USD 50.822 mil, via an unsolicited offer.</t>
  </si>
  <si>
    <t>Exelis Inc</t>
  </si>
  <si>
    <t>Other Communications Equipment Manufacturing</t>
  </si>
  <si>
    <t>US - Harris Corp (Harris) acquired the entire share capital of Exelis Inc (Exelis) , a Mclean-based manufacturer of command, control, communications, computers, intelligence, surveillance, and reconnaissance related products, for USD 4.561 bil. Harris offered USD 16.625 in cash and 0.1025 common shares per Exelis share. Based on Harris' closing stock price of USD 69.49 on 05 February 2015, the full trading day prior to the announcement, each Exelis share was valued at USD 23.75.</t>
  </si>
  <si>
    <t>US - Vector Capital Corp acquired the entire share capital of Saba Software Inc, a Redwood Shores-based developer of management software, for USD 9 in cash per share, or a total value of USD 268.071 mil, in a leveraged buyout transaction.</t>
  </si>
  <si>
    <t>Orbitz Worldwide Inc</t>
  </si>
  <si>
    <t>Pvd online travel info svcs</t>
  </si>
  <si>
    <t>US - Expedia Inc acquired the entire share capital of Orbitz Worlwide Inc (Orbitz), a Chicago-based provider of online travel information services, for USD 12 in cash per share or a total value of USD 1.334 bil. Originally, in January 2015, Orbitz was rumored to be seeking a buyer for the company. TPG, Vista Equity Partners, TA Associates, Technology Crossover Ventures, Warburg Pincus, the Carlyle Group, One Equity Partners and Goldman Sachs Capital Partners were named rumored bidders.</t>
  </si>
  <si>
    <t>Sec First Bk,Fresno,California</t>
  </si>
  <si>
    <t>SunPac Financial Inc</t>
  </si>
  <si>
    <t>US - SunPac Financial Inc, a unit of SunPac LLC withdrew its agreement to acquire the entire share capital of Fresno-based Security First Bank.</t>
  </si>
  <si>
    <t>Horizon Bancorp,IN</t>
  </si>
  <si>
    <t>US - Horizon Bancorp (Horizon) acquired the entire share capital of Auburn-based Peoples Bancorp (Peoples), in a stock swap transaction valued at USD 73.099 mil. Horizon offered USD 9.75 in cash and 0.95 common shares per Peoples share. The shares were valued based on Horizon's closing stock price of USD 23.02 on 18 February 2015, the last full trading day prior to the announcement, each Horizon share was valued at USD 31.619.</t>
  </si>
  <si>
    <t>US - Valeant Pharmaceuticals International Inc (Valeant Pharmaceuticals) acquired the entire share capital of Salix Pharmaceuticals Ltd (Salix Pharmaceuticals), a Raleigh- based manufacturer and wholesaler of specialty prescription pharmaceuticals, for a sweetened USD 173 in cash per share and restricted common share, or a total value of USD 14.468 bil, via tender offer. Originally, Valeant Pharmaceuticals offered USD 158 in cash per share, or a total value of USD 10.394 bil; and in January 2015, Salix Pharmaceuticals was rumored to be seeking a buyer for the entire share capital of the company. Valeant Pharmaceuticals, Endo International Plc, and Shire PLC were named potential bidders. Subsequently, Endo International PLC launched an unsolicited challenging offer to acquire the entire share capital of Salix.</t>
  </si>
  <si>
    <t>Home Loan Servicing Solutions</t>
  </si>
  <si>
    <t>New Residential Invest Corp</t>
  </si>
  <si>
    <t>US - New Residential Investment Corp (New Residential), a unit of Newcastle Investment Corp, ultimately owned by Fortress Investment Group LLC, acquired the entire share capital of Home Loan Servicing Solutions Ltd (Home Loan), an Atlanta-based provider of mortgage services, for an amended USD 17.08 in cash per share, or an estimated total value of USD 1.213 bil. The consideration consisted of USD 780.741 mil in cash and the issuance of 28.287 mil shares, valued at USD 432.225 mil. The shares were valued based on New Residential's closing stock price of USD 15.28 on 03 April 2015, the last full trading prior to the announcement. Originally, New Residential agreed to merge with Home Loan for USD 18.25 in cash per share, or a total of USD 1.296 bil.</t>
  </si>
  <si>
    <t>US - 21st Century Fox Inc was rumored to be planning to acquire the entire share capital of Discovery Communications Inc, a Silver Spring-based provider of cable television services. The Current status of this deal is unknown.</t>
  </si>
  <si>
    <t>Globe Specialty Metals Inc</t>
  </si>
  <si>
    <t>Mnfr silicon metal,alloys</t>
  </si>
  <si>
    <t>Grupo Ferroatlantica SA</t>
  </si>
  <si>
    <t>Mnfr iron,steel</t>
  </si>
  <si>
    <t>US - Grupo Ferroatlantica SA (Ferroatlantica) of Spain, a wholly-owned unit of Grupo Villar Mir SAU, merged with Globe Specialty Metals Inc (Globe Specialty), a Miami- based manufacturer of silicon metal and silicon-based specialty alloys, in a stock swap transaction valued at an estimated USD 1.333 bil, based on the value of the combined company. On completion, Ferroatlantica and Globe Specialty shareholders owned 57% and 43% in the merged entity respectively. This transaction is structured as a tax inversion. This transaction is Tax-Exempt under IRC s386.</t>
  </si>
  <si>
    <t>PTC Therapeutics Inc</t>
  </si>
  <si>
    <t>US - In February 2015, PTC Therapeutics Inc, a South Plainfield-based biopharmaceutical company, was rumored to be seeking a buyer for the entire share capital of the companyShire Plc and BioMarin Pharmaceutical Inc were named rumored potential bidders. The Current status of this deal is unknown.</t>
  </si>
  <si>
    <t>Polypore International Inc</t>
  </si>
  <si>
    <t>Mnfr,whl polymer-based prod</t>
  </si>
  <si>
    <t>All Other Basic Organic Chemical Manufacturing</t>
  </si>
  <si>
    <t>US - Asahi Kasei Corp of Japan, through its US subsidiary, acquired the entire share capital of Polypore International Inc (Polypore), a Charlotte-based manufacturer and wholesaler of specialized polymer-based membranes, from Warburg Pincus LLC's EM Warburg Pincus &amp; Co Inc subsidiary, for USD 60.5 in cash per share or a total value of USD 1.77 bil. The transaction is contingent on the consummation of 3M Co's acquisition of the separations media business from Polypore., and the two transactions were to have a combined value of USD 2.77 bil.</t>
  </si>
  <si>
    <t>US - Community Bank System Inc (Community) acquired the entire share capital of Oneida-based Oneida Financial Corp (Oneida), for USD 142. 274 mil. Community offered a choice of USD 20 in cash per share or 0.5635 Community common shares per Oneida common share. Based on the Community's closing stock price of USD 35.45 on 23 February 2015, the last full trading day prior to the announcement, each Oneida share was valued at USD 19. 976. This transaction is Tax- Exempt under IRC s386.</t>
  </si>
  <si>
    <t>Emerald Merger Sub Inc</t>
  </si>
  <si>
    <t>US - Emerald Merger Sub Inc (Emerald), a unit of Avago Technologies Wireless(USA) Manufacturing Inc, ultimately owned by Avago Technologies Ltd (Avago), acquired the entire share capital of Emulex Corp (Emulex), a Costa Mesa-based manufacturer of computer storage devices, for USD 8 in cash per share or a total value of USD 575.299 mil, via tender offer. The offer was conditioned upon at least a majority of the outstanding shares of Emulex common stock being tendered. Previously, Avago completed the tender offer for Emulex by accepting 60.494 mil shares or about 60.58% interest of the common stock outstanding. On completion, Emerald will merge into Emulex, with Emulex surviving as an indirect wholly owned subsidiary of Avago.</t>
  </si>
  <si>
    <t>Colonial American Bank,Middlet</t>
  </si>
  <si>
    <t>OceanFirst Bk,Toms River,NJ</t>
  </si>
  <si>
    <t>US - OceanFirst Bank (Ocean), a unit of OceanFirst Financial Corp (OceanFirst) acquired the entire share capital of Colonial American Bank (Colonial), a Middletown- based commercial bank, for USD 10.953 mil. Ocean offered 0.3736 OceanFirst shares per Colonial share. Based on OceanFirst's closing stock price of USD 16.86 on 24 February 2015, the last full trading day prior to the announcement, each Colonial share was valued at USD 6.299.</t>
  </si>
  <si>
    <t>SFXE Acquisition LLC</t>
  </si>
  <si>
    <t>US - SFXE Acquisition LLC, a unit of Sillerman Investment Co III LLC, withdrew its definitive agreement to acquire the remaining 62.5% interest, which it did not own, in SFX Entertainment Inc(SFX), a New York-based provider of recreation services, from Clear Channel Communications Inc, owned by Clear Channel Capital I LLC, for a sweetened USD 5.21 in cash per share or a total value of USD 330.499 mil. Originally, Robert FX Sillerman planned to acquire the remaining interest which it did not own in SFX for USD 4.75 in cash per share.</t>
  </si>
  <si>
    <t>Town Sports Int Holdings Inc</t>
  </si>
  <si>
    <t>Own,op membership sports clubs</t>
  </si>
  <si>
    <t>US - In February 2015, Town Sports International Holdings Inc, a New York-based owner and operator of membership sports club, announced that it was seeking a buyer for the company.</t>
  </si>
  <si>
    <t>UIL Holdings Corp</t>
  </si>
  <si>
    <t>Elect utility hldg co</t>
  </si>
  <si>
    <t>Iberdrola USA Inc</t>
  </si>
  <si>
    <t>Pvd electricity,gas distn svcs</t>
  </si>
  <si>
    <t>US - Iberdrola USA Inc (Iberdrola), a unit of Iberdrola SA, merged with UIL Holdings Corp (UIL), a New Haven-based electric utility holding company, for USD 52. 75 per share, or a total value of USD 2.983 bil, to create a newly listed US publicly-traded company named Avangrid Inc (Avangrid). The consideration consisted of USD 10.5 in cash per share and USD 2.389 bil in Avangrid shares. On completion, Iberdrola and UIL shareholders owned 81.5% interest and 18.5% stake of Avangrid, respectively and UIL ceased to exist and its shares were delisted from the NYSE.   This transaction is Tax-Exempt under IRC s386.</t>
  </si>
  <si>
    <t>US - In February 2015, Penn Virginia Corp, a Radnor-based oil and gas exploration and production company, was rumored to be seeking a buyer for the entire share capital of the company. BP PLC was named potential bidder. The Current status of this deal is unknown.</t>
  </si>
  <si>
    <t>Aruba Networks Inc</t>
  </si>
  <si>
    <t>Mnfr wireless LAN equip</t>
  </si>
  <si>
    <t>US - Hewlett Packard Co (Hewlett) acquired the entire share capital of Aruba Networks Inc (Aruba), a Sunnyvale-based manufacturer of wireless LAN equipments, for USD 24.67 in cash per share, or a total value of USD 2.973 bil. Originally, in February 2015, Hewlett was rumored to be planning to acquire the entire share capital of Aruba.</t>
  </si>
  <si>
    <t>Community Financial Shares Inc</t>
  </si>
  <si>
    <t>Wintrust Financial Corp</t>
  </si>
  <si>
    <t>US - Wintrust Financial Corp (Wintrust) acquired the entire share capital of Community Financial Shares Inc, a Glen Ellyn-based commercial bank, in a stock swap transaction valued at an estimated USD 42.374 mil. The consideration consisted of USD 21.187 mil in cash and USD 21.187 mil in Wintrust common shares.</t>
  </si>
  <si>
    <t>Mavenir Systems Inc</t>
  </si>
  <si>
    <t>US - Mitel Networks Corp (Mitel) of Canada acquired the entire share capital of Mavenir Systems Inc (Mavenir) , a Richardson-based provider of wireless telecommunication services, for USD 556.844 mil. Mitel offered a choice of USD 11.08 in cash and 0.675 common share, or USD 17.55 in cash, or 1.832 common share, per Mavenir share held, subject to proration. Based on Mitel's closing stock price of USD 10.16 on 27 February 2015, the last full trading day prior to the announcement, each Mavenir share was valued at USD 17. 938. The offer was conditioned upon at least a majority of Mavenir's shares being tendered.</t>
  </si>
  <si>
    <t>Howard Bancorp Inc</t>
  </si>
  <si>
    <t>US - Howard Bancorp Inc (Howard) acquired the entire share capital of Patapsco Bancorp Inc (Patapsco), a Dundalk-based bank holding company, in a stock swap transaction valued at USD 10. 052 mil. Howard offered USD 5. 09 per Patapsco share, subject to proration whereby 80% of the Patapsco common shares will be exchanged for Howard common shares and 20% for cash.</t>
  </si>
  <si>
    <t>US - Oaktree Capital Management LP, a unit of Oaktree Capital Group LLC acquired the remaining 31. 333% stake, or 5.476 mil common shares, which it did not already own, in Pulse Electronics Corp, a San Diego- based manufacturer of electronic components, for USD 1.5 in cash per share, or a total value of USD 8.213 mil, in a leveraged buyout transaction.</t>
  </si>
  <si>
    <t>Square 1 Financial Inc</t>
  </si>
  <si>
    <t>US - PacWest Bancorp (PB) acquired the entire share capital of Square 1 Financial Inc (SFI), a Durham-based provider of commercial banking services, in a stock swap transaction valued at USD 814.529 mil. PB offered 0. 5997 common share per SFI share. Based on PB''s closing stock price of USD 45.835 on 27 February 2015, the last full trading day prior to the announcement, each SFI share was valued at USD 27.487. This transaction is Tax- Exempt under IRC s386.</t>
  </si>
  <si>
    <t>Freescale Semiconductor Ltd</t>
  </si>
  <si>
    <t>NXP Semiconductors NV</t>
  </si>
  <si>
    <t>US - NXP Semiconductors NV (NXP Semiconductors) merged with Freescale Semiconductor Ltd (Freescale Semiconductor), an Austin-based manufacturer of semiconductors, in a stock swap transaction valued at USD 11.224 bil. NXP Semiconductors offered USD 6. 25 in cash and 0.3521 NXP Semiconductors common share per Freescale Semiconductor share. Based on NXP Semiconductors' closing stock price of USD 84.895 on 27 February 2015, the last full trading day prior to the announcement, each Freescale Semiconductor share was valued at USD 36.142. On completion, Freescale Semiconductor shareholders owned approximately 32% stake in the combined entity. Originally, in February 2015, Freescale Semiconductor was rumored to be seeking a buyer for the company. NXP Semiconductors was rumored to be a potential bidder.</t>
  </si>
  <si>
    <t>Alliance Bancorp Inc of PA</t>
  </si>
  <si>
    <t>WSFS Financial Corp</t>
  </si>
  <si>
    <t>US - WSFS Financial Corp (WSFS) acquired the entire share capital of Broomall- based Alliance Bancorp Inc of Pennsylvania (Alliance), for USD 95.25 mil, subject to proration. WSFS offered a choice of 0.28955 common share, or USD 22 in cash, for every Alliance share held. Based on WSFS' closing stock price of USD 78.57 on 2 March 2015, the last full trading day prior to the announcement, each Alliance share was valued at USD 22.75.</t>
  </si>
  <si>
    <t>Pharmacyclics Inc</t>
  </si>
  <si>
    <t>AbbVie Inc</t>
  </si>
  <si>
    <t>Manufacture,whl pharmaceuticals</t>
  </si>
  <si>
    <t>US - AbbVie Inc (AbbVie) completed its tender offer to acquire the entire share capital of Pharmacyclics Inc (Pharmacyclics), a Sunnyvale- based manufacturer of pharmaceuticals, for USD 261. 25 per share, or a total value of USD 20.774 bil. AbbVie offered a choice of cash and common share or cash or common share per Pharmacyclics share, subject to proration whereby consideration was to be 58% in cash and 42% in common shares. The transaction included  Pharmacyclics'' Imbruvica assets and was conditioned upon at least majority of the shares were tendered. Originally, in February 2015, Pharmacyclics was rumored to be seeking a buyer for the company. Johnson &amp; Johnson and Novartis AG were named potential bidders. This transaction is Tax-Exempt under IRC s386.</t>
  </si>
  <si>
    <t>Medbox Inc</t>
  </si>
  <si>
    <t>Mnfr medical dispensing equipment</t>
  </si>
  <si>
    <t>Lizada Capital LLC</t>
  </si>
  <si>
    <t>US - Lizada Capital LLC agreed to acquire a 22.160 mil common shares or 75% interest in Medbox Inc, a West Hollywood-based manufacturer of medicine dispensing systems, for a total USD 15 mil.</t>
  </si>
  <si>
    <t>US - In March 2015, Whiting Petroleum Corp, a Denver- based oil and gas exploration and production company, was rumored to be seeking a buyer for the company. The Current status of this deal is unknown.</t>
  </si>
  <si>
    <t>Bridge Capital Holdings</t>
  </si>
  <si>
    <t>US Western Alliance Bancorp (Western) acquired the entire share capital of Bridge Capital Holdings (Bridge), a San Jose-based bank holding company, in a stock swap transaction, for USD 421.606 mil. The consideration consisted of USD 2.39 in cash per share, the issuance of 0. 8145 Western common share per Bridge share and an undisclosed amount in Western restricted common shares and options. Based on Westerns closing stock price of USD 29. 02 on 06 March 2015, the last full trading day prior to the announcement, each Bridge share was valued at USD 26. 027. This transaction is Tax- Exempt under IRC s386.</t>
  </si>
  <si>
    <t>Macerich Co</t>
  </si>
  <si>
    <t>US - Simon Property Group Inc (Simon) withdrew its plan to launch an unsolicited tender offer to acquire Macerich Co (Macerich), a Santa Monica- based real estate investment trust, in a stock swap transaction, for a sweetened USD 21.534 bil. Simon offered USD 95.5 in cash and common shares per Macerich share whereby cash paid and common shares issued was to each represent 50% of the aggregate merger consideration and assumption of USD 6.4 bil in liabilities. Originally, Simon offered USD 91 in cash and common shares per Macerich share. Originally, in March 2015, Simon was rumored to be planning to acquire the entire share capital of Macerich.</t>
  </si>
  <si>
    <t>RTI International Metals Inc</t>
  </si>
  <si>
    <t>Mnfr titanium mill,metal prod</t>
  </si>
  <si>
    <t>Arconic Inc</t>
  </si>
  <si>
    <t>US - Alcoa Inc (Alcoa) acquired the entire share capital of RTI International Metals Inc (RTI), a Pittsburgh-based manufacturer of titanium mill and metal product, in a stock swap transaction valued at USD 1. 268 bil. Alcoa offered 2.8315 RTI per share. Based on Alcoa's closing stock price of USD 14.48 on 6 March 2015, the last full trading day prior to the announcement, each RTI's share was valued at USD 41. This transaction is Tax-Exempt under IRC s386.</t>
  </si>
  <si>
    <t>US - Endo International PLC (Endo) withdrew its planned unsolicited challenging offer to acquire the entire share capital of Salix Pharmaceuticals Ltd (Salix), a Raleigh-based manufacturer and wholesaler of specialty prescription pharmaceuticals, in a stock swap transaction valued at USD 14.635 bil. Endo offered 45 in cash per share and 1.4607 ocommson shares per Salix share. Based on Endo's closing stock price of USD 89 on 10 March 2015, the last full trading day prior to the announcement, each share was valued at USD 175.002. Upon completion, Endo and Salix shareholders were to own 60% and 40% in the merged entity, respectively. Previously, Valeant Pharmaceuticals International Inc definitively agreed to acquire the entire share capital of Salix. Originally, Endo was rumored to be planning to acquire Salix.</t>
  </si>
  <si>
    <t>Integrated Silicon Solution</t>
  </si>
  <si>
    <t>US - Integrated Silicon Solution Inc SPV, (ISS SPV) a special purpose acquisition vehicle created by SummitView Capital, eTown MemTek Ltd, Hua Capital Management Co Ltd, and Huaqing Jiye Investment Management Co Ltd, acquired the entire share capital of Integrated Silicon Solution Inc (ISS), a Milpitas-based manufacturer and wholesaler of integrated circuits, for a fourth sweetened USD 23 in cash per share, or a total value of USD 813.422 mil, in a leveraged buyout transaction. Additionally, ISS SPV offered a thrice sweetened USD 22 in cash per share. Previously, ISS SPV offered a twice sweetened USD 21 and a sweetened USD 20 in cash per share. Originally, ISS SPV offered USD 19.25 in cash per share. Subsequently, Cypress Semiconductor Corp withdrew its plans to acquire the entire share capital of ISS.</t>
  </si>
  <si>
    <t>Manufacture,wholesale cars,trucks</t>
  </si>
  <si>
    <t>Fiat Chrysler Automobiles NV</t>
  </si>
  <si>
    <t>US - Fiat Chrysler Automobiles NV of the UK was rumored to be planning to merge with General Motors Co, a Detroit-based manufacturer and wholesaler of cars and trucks. The current status of this deal is unknown.</t>
  </si>
  <si>
    <t>Life Time Fitness Inc</t>
  </si>
  <si>
    <t>Own,op physical fitness centers</t>
  </si>
  <si>
    <t>Life Time Fitness Inc SPV</t>
  </si>
  <si>
    <t>US - Life Time Fitness Inc SPV, a special purpose acquisition vehicle formed by TPG Capital LP, Leonard Green &amp; Partners LP, and LNK Partners LLC, acquired the entire share capital of Life Time Fitness Inc (Life Time), a Chanhassen-based provider of physical fitness services, for USD 72.1 in cash per share or a total value of USD 2.815 bil, in a leveraged buyout transaction. Originally, in March 2015, Life Time was rumored to be seeking a buyer for the company. Upon completion, Life Time will be delisted from the New York Stock Exchange.</t>
  </si>
  <si>
    <t>US - Microsemi Corp definitively acquired the entire share capital of Vitesse Semiconductor Corp (Vitresse), a Camarillo-based manufacturer and wholesaler of semiconductors, for USD 5. 38 in cash per share, or a total value of USD 365.431 mil, via a tender offer. The offer was conditioned upon at least a majority of Vitresse''s shares being tendered.</t>
  </si>
  <si>
    <t>Kofax Ltd</t>
  </si>
  <si>
    <t>Custom Computer Programming Services</t>
  </si>
  <si>
    <t>Lexmark International Inc</t>
  </si>
  <si>
    <t>Manufacture,wholesale printers</t>
  </si>
  <si>
    <t>US - Lexmark International Inc acquired the entire share capital of Kofax Ltd, an Irvine-based provider of process application development and deployment services, for USD 11 in cash per share, or a total value of USD 1.049 bil.</t>
  </si>
  <si>
    <t>Kraft Foods Group Inc</t>
  </si>
  <si>
    <t>Produce,whl package food prod</t>
  </si>
  <si>
    <t>US - HJ Heinz Co (Heinz), jointly owned by Berkshire Hathaway Inc and 3G Capital Partners Ltd (3G Capital), merged with Kraft Foods Group Inc (Kraft), a Northfield- based producer and wholesaler of packaged food products, in a stock swap transaction valued at USD 46.106 bil. Heinz offered USD 36.331 bil in shares, based on Kraft's market capitalization on the last full trading day prior to the announcement, and USD 9.775 bil in cash dividends. On completion, the merged entity was named The Kraft Heinz Co and Heinz and Kraft shareholders owned 51% and 49%, respectively. Originally, in March 2015, 3G Capital was rumored to be planning to acquire the entire share capital of Kraft. This transaction is Tax-Exempt under IRC s386.</t>
  </si>
  <si>
    <t>Synergy Pharmaceuticals Inc</t>
  </si>
  <si>
    <t>US - In March 2015, Synergy Pharmaceuticals Inc, a New York-based biopharmaceuticals company, was rumored to be seeking a buyer for the company. The Current status of this deal is unknown.</t>
  </si>
  <si>
    <t>US - Shire PLC of Ireland, was rumored to be planning to acquire the entire share capital of BioMarin Pharmaceutical Inc, a San Rafael-based manufacturer of biopharmaceutical products. Terms were not disclosed but, according to sources close to the situation, the deal was valued at an estimated USD 65 bil.  The Current status of this deal is unknown.</t>
  </si>
  <si>
    <t>Auspex Pharmaceuticals Inc</t>
  </si>
  <si>
    <t>US - Teva Pharmaceutical Industries Ltd of Israel, acquired the entire share capital of Auspex Pharmaceuticals Inc (Auspex), a La Jolla-based biopharmaceutical company, for USD 101 in cash per share or a total value of USD 3.394 bil, via tender offer. The offer was conditioned upon at least a majority of Auspex''''''''s shares being tendered. On completion, Auspex common shares were delisted from the NASDAQ Global Market.</t>
  </si>
  <si>
    <t>Catamaran Corp</t>
  </si>
  <si>
    <t>Pvd pharmacy benefits mgmt svcs</t>
  </si>
  <si>
    <t>US - UnitedHealth Group Inc, through its OptumRx, acquired the entire share capital of Catamaran Corp, a Schaumburg- based provider of pharmacy benefits management services, for USD 61.5 in cash per share or a total value of USD 12.828 bil. On completion, Catamaran common shares were delisted from the NASDAQ and the Toronto Stock Exchange.</t>
  </si>
  <si>
    <t>Cellular Dynamics Intl Inc</t>
  </si>
  <si>
    <t>FUJIFILM Holdings Corp</t>
  </si>
  <si>
    <t>Photographic Film, Paper, Plate, and Chemical Manufacturing</t>
  </si>
  <si>
    <t>US - Fujifilm Holdings Corp (Fujifilm) of Japan, acquired the entire share capital of Cellular Dynamics International Inc (Cellular), a Madison-based biotechnology company, for USD 16.5 in cash per share or a total value of USD 276.882 mil. Earlier, Fujifilm completed its tender offer for Cellular by accepting 14.409 mil shares, or 91.118% of Cellulars common shares outstanding. The offer was conditioned upon at least a majority of Cellular's shares being tendered.</t>
  </si>
  <si>
    <t>Hyperion Therapeutics Inc</t>
  </si>
  <si>
    <t>Horizon Pharma PLC</t>
  </si>
  <si>
    <t>US - Horizon Pharma Plc of Ireland (Horizon), acquired the entire share capital of Hyperion Therapeutics Inc (Hyperion), a San Francisco- based biopharmaceutical company, for USD 46 in cash per share or a total value of USD 1.012 bil, via a tender offer. Earlier, Horizon completed its tender offer for Hyperion by accepting 18. 522 mil common shares, or 88. 73% of Hyperion's common shares outstanding. The offer was conditioned upon at least 50% of Hyperion's shares being tendered. On completion Hyperion common shares were delisted from the NASDAQ Stock Market.</t>
  </si>
  <si>
    <t>Norcraft Cos Inc</t>
  </si>
  <si>
    <t>Mnfr kitchen,bathroom cabinet</t>
  </si>
  <si>
    <t>Fortune Brands Home &amp; Sec Inc</t>
  </si>
  <si>
    <t>Mnfr home,security products</t>
  </si>
  <si>
    <t>US - Fortune Brands Home &amp; Security Inc (Fortune) acquired the entire share capital of Norcraft Cos Inc (Norcraft), an Eagan-based manufacturer of wood kitchen cabinets and countertops, for USD 25.50 per share or a total of USD 441.445 mil, via tender offer. The offer was conditioned upon at least majority of the shares being tendered. Earlier, Fortune completed the tender offer for Norcraft by accepting 14. 799 mil shares, or about 78% interest of the common stock outstanding. On completion, Norcraft common shares were delisted from the New York Stock Exchange.</t>
  </si>
  <si>
    <t>Everyware Global Inc</t>
  </si>
  <si>
    <t>Whl tabletop,food products</t>
  </si>
  <si>
    <t>US - Everyware Global Inc (EG) , a Lancaster-based wholesaler of tabletop and food preparation products, complete its debt restructuring transaction with Bondholders (BHs). On completion, BHs held a 96% interest in the restructured EG. The book value of the existing debt that was exchanged under the terms of the offer was USD 260 mil.</t>
  </si>
  <si>
    <t>QEP Midstream Partners LP</t>
  </si>
  <si>
    <t>Natural Gas Distribution</t>
  </si>
  <si>
    <t>Tesoro Logistics LP</t>
  </si>
  <si>
    <t>US - Tesoro Logistics LP (Tesoro) acquired the remaining 43.111% interest, which it did not already own, or 23.042 mil common LP units, in QEP Midstream Partners LP (QEP), a San Antonio-based natural gas transmission and distribution company, in a stock swap transaction valued at USD 381.739 mil. Tesoro offered 0.3088 common LP unit per QEP unit. Based on Tesoro's closing stock price of USD 53.65 on 02 April 2015, the last full trading day prior to the announcement, each QEP unit is valued at USD 16.567. This transaction is Tax-Exempt under IRC s386.</t>
  </si>
  <si>
    <t>Informatica Corp</t>
  </si>
  <si>
    <t>Pvd data integration software</t>
  </si>
  <si>
    <t>Informatica Corp SPV</t>
  </si>
  <si>
    <t>US - Informatica Corp SPV, a special purpose acquisition vehicle formed by Permira Advisers LLP of the UK and Canada Pension Plan Investment Board acquired the entire share capital of Informatica Corp (Informatica) , a Redwood City-based provider of data integration software and services, for USD 48.75 in cash per share, or a total value of USD 5.173 bil, in a leveraged buyout transaction. Originally, in January 2015, Informatica was rumored to be seeking a buyer for the entire share capital of the company. Thoma Bravo LLC and Ontario Teachers' Pension Plan were named potential bidders.</t>
  </si>
  <si>
    <t>OneBeacon Insurance Group Ltd</t>
  </si>
  <si>
    <t>US - In April 2015, OneBeacon Insurance Group Ltd, a Minnetonka-based insurance agency, discontinued rumors that it seeking a buyer for the entire share capital of the company.</t>
  </si>
  <si>
    <t>Zep Inc</t>
  </si>
  <si>
    <t>Mnfr,whl cleaning products</t>
  </si>
  <si>
    <t>US - New Mountain Capital LLC acquired the entire share capital of Zep Inc, an Atlanta-based manufacturer and wholesaler of commercial cleaning products, for USD 20. 05 in cash per share, or a total value of USD 470.562 mil, in a leveraged buyout transaction.</t>
  </si>
  <si>
    <t>Baltic Trading Ltd</t>
  </si>
  <si>
    <t>Provide shipping services</t>
  </si>
  <si>
    <t>US - Genco Shipping &amp; Trading Ltd(Genco) merged with Baltic Trading Ltd (Baltic), a New York-based provider of deep sea freight transportation services, in a stock swap transaction, valued at USD 93. 685. Genco offered 0.216 common shares per Baltic share. The shares were valued based on Genco's closing stock price of USD 7.4 on 06 April 2015, the last full trading day prior to the announcement, each Baltic share was valued at USD 1.598.</t>
  </si>
  <si>
    <t>Excel Trust Inc</t>
  </si>
  <si>
    <t>Blackstone Ppty Partners LP</t>
  </si>
  <si>
    <t>US - Blackstone Property Partners LP (Blackstone Property), a wholly owned unit of Blackstone Mortgage Trust Inc acquired the entire share capital of Excel Trust Inc, a New York-based real estate investment trust, for USD 15.85 in cash per share or a total value of 1.006 bil. On completion, Excel common shares were delisted from New York Stock Exchange. Concurrently, Blackstone agreed to acquire commercial mortgage loan portfolio of GE Capital Real Estate, the US equity assets of GE Capital Real Estate, the European equity real estate assets of BREP Europe IV and first mortgage loans in Mexico and Australia. Well Fargo &amp; Co agreed to agreed to acquire the first mortgage commercial real estate loans in the United States, UK and Canada of GE Capital. General Electric Co authorized the repurchase of up to USD 50 bil of the company's entire share capital.</t>
  </si>
  <si>
    <t>Dover Saddlery Inc</t>
  </si>
  <si>
    <t>Ret equestrian prod</t>
  </si>
  <si>
    <t>Webster Capital Management LLC</t>
  </si>
  <si>
    <t>US - Webster Capital Management LLC acquired the entire share capital of Dover Saddlery Inc, a Littleton- based provider of equestrian products specialty retailing and marketing services, for USD 8.50 per share or a total value of USD 48.204 mil, in a leveraged buyout transaction.</t>
  </si>
  <si>
    <t>Fairmount Bancorp Inc</t>
  </si>
  <si>
    <t>US - Hamilton Bancorp Inc acquired the entire share capital of Fairmount Bancorp Inc, a Baltimore-based bank holding company, for USD 30 cash per share or a total value of an estimated USD 15. 145 mil.</t>
  </si>
  <si>
    <t>LRR Energy LP</t>
  </si>
  <si>
    <t>US - Vanguard Natural Resources LLC (Vanguard) acquired the entire share capital of LRR Energy LP (LRR) , a Houston-based operator, acquirer, and developer of producing oil and natural gas properties, in a stock swap transaction valued at USD 503. 247 mil, including the assumption of USD 288 mil in liabilities. Vanguard offered 0.55 common shares per LRR share. Based on Vanguard's closing stock price of USD 13. 94 on 17 April 2015, the last full trading day prior to the announcement, each LRR share was valued at USD 7.667. Concurrently, Vanguard agreed to acquire LRE GP LLC. This transaction is Tax-Exempt under IRC s386.</t>
  </si>
  <si>
    <t>Mylan NV</t>
  </si>
  <si>
    <t>US - Teva Pharmaceutical Industries Ltd of Israel (Teva) withdrew its plans to launch an unsolicited tender offer to acquire the entire share capital of Mylan NV (Mylan) a Canonsburg-based manufacturer and wholesaler of pharmaceuticals, for USD 82 per share or a total value of USD 43.003 bil, whereby 50% of the total consideration was to be paid in cash and the remaining 50% in common shares. Previously, Mylan planned to acquire the entire share capital of Perrigo Co PLC. Originally, in April 2015, Teva was rumored to be planning to acquire Mylan.</t>
  </si>
  <si>
    <t>Associated Estates Realty Corp</t>
  </si>
  <si>
    <t>US - Brookfield Asset Management Inc of Canada, acquired the entire share capital of Associated Estates Realty Corp, a Richmond Heights-based real estate investment trust, for USD 28. 75 in cash per share or a total value of USD 1.671 bil and the assumption of undisclosed liabilities.</t>
  </si>
  <si>
    <t>Palmetto Bancshares Inc</t>
  </si>
  <si>
    <t>US - United Community Banks Inc (United) merged with Greenville-based Palmetto Bancshares Inc (Palmetto), for USD 246.681. United offered a choice of USD 19.25 in cash per share, 0.97 common shares per Palmetto common share, or a combination of USD 74.004 mil in cash and USD 162.014 in United common shares. The shares were valued based on United's closing stock price of USD 18.62, on 21 April 2015, the last full trading day prior to the announcement. This transaction is Tax- Exempt under IRC s386.</t>
  </si>
  <si>
    <t>Procera Networks Inc</t>
  </si>
  <si>
    <t>Pvd network management svcs</t>
  </si>
  <si>
    <t>US - Francisco Partners Management LLC acquired the entire share capital of Procera Networks Inc (Procera) , a Fremont-based provider of network management services, via a tender offer for USD 11. 5 in cash per share, or a total value of USD 239.066 mil, in a leveraged buyout transaction. The offer was conditional upon at least majority of Procera shares being tendered on a fully- diluted basis.</t>
  </si>
  <si>
    <t>LookSmart Ltd</t>
  </si>
  <si>
    <t>Internet Service Providers</t>
  </si>
  <si>
    <t>Pyxis Tankers Inc</t>
  </si>
  <si>
    <t>Inland Water Freight Transportation</t>
  </si>
  <si>
    <t>US - Pyxis Tankers Inc (Pyxis) , through its Maritime Technologies Corp subsidiary, acquired the entire share capital of LookSmart Ltd, a San Francisco-based provider of online advertising and technology services, for USD 4 mil in Pyxis shares.</t>
  </si>
  <si>
    <t>Ridley Inc</t>
  </si>
  <si>
    <t>Alltech Inc</t>
  </si>
  <si>
    <t>Produce animal feeds</t>
  </si>
  <si>
    <t>US - Alltech Inc acquired the entire share capital of Ridley Inc, a Mankato-based manufacturer of pharmaceutical preparation, from Fairfax Financial Holdings Ltd, for USD 33.550 per share or a total value of USD 429.105 mil.</t>
  </si>
  <si>
    <t>Focus Business Bank,San Jose</t>
  </si>
  <si>
    <t>US - Heritage Commerce Corp (Heritage) acquired the entire share capital of San Jose-based Focus Business Bank (Focus), in a stock swap transaciton valued at USD 49. 263 mil. Heritage offered 1. 8235 shares per Focus share. Based on Heritage's closing stock price of USD 9 on 22 April 2015, the last full trading day prior to the announcement, each Focus share was valued at USD 16. 412.</t>
  </si>
  <si>
    <t>iGATE Corp</t>
  </si>
  <si>
    <t>Pvd IT,outsourcing svcs</t>
  </si>
  <si>
    <t>US - Cap Gemini SAof France (Capgemini) acquired the entire share capital of iGATE Corp (iGate), a Bridgewater- based provider of information technology and offshore outsourcing services, for USD 48 per share or a total value of USD 3.933 bil. Originally, Capgemini was rumored to be planning to acquire a 54% interest in iGate. On completion iGate common shares were delisted form the NASDAQ Global Select Market.</t>
  </si>
  <si>
    <t>Velocity Portfolio Group Inc</t>
  </si>
  <si>
    <t>All Other Nondepository Credit Intermediation</t>
  </si>
  <si>
    <t>Velocity Acquisition Corp</t>
  </si>
  <si>
    <t>US - Velocity Acquisition Corp withdrew its tender offer to acquire the entire share capital of Velocity Portfolio Group Inc, a Wall- based provider of portfolio management services, for USD 1.4 per share or a total of USD 1.348 mil. The offer was conditioned upon at least of Velocity Portfolio's shares being tendered.</t>
  </si>
  <si>
    <t>GrafTech International Ltd</t>
  </si>
  <si>
    <t>Mnfr carbon,graphite prod</t>
  </si>
  <si>
    <t>US - Brookfield Asset Management Inc of Canada, completed its  unsolicited tender offer to acquire the remaining 78.1% interest or 106.854 mil common shares, which it did not already own, in GrafTech International Ltd (GrafTech), a Parma-based manufacturer of carbon and natural graphite products, for USD 5.05 per share or a total value of USD 539.614 mil. The offer was conditioned upon at least 15% of GrafTechs shares being tendered.</t>
  </si>
  <si>
    <t>MCG Capital Corp</t>
  </si>
  <si>
    <t>Pvd commercial finance svcs</t>
  </si>
  <si>
    <t>US - An investor group, comprised of PennantPark Floating Rate Capital Ltd (PFR) and PennantPark Investment Advisers LLC, acquired the entire share capital of MCG Capital Corp (MCG), an Arlington-based provider of commercial financing services, in a stock swap transaction, valued at USD 164.952 mil. The investor group offered 0. 32 third party PFR common shares and USD 0.306 in cash per MCG share. Subsequently, HC2 Holdings Inc withdrew its plans to acquire the entire share capital of MCG, via unsolicited challenging offer.</t>
  </si>
  <si>
    <t>US - In June 2016, Salesforce. com Inc, a San Francisco- based software publisher, discontinued rumors that it was seeking a buyer for the company. Microsoft Corp was named potential bidder.</t>
  </si>
  <si>
    <t>Audience Inc</t>
  </si>
  <si>
    <t>Mnfr digital signal processors</t>
  </si>
  <si>
    <t>Knowles Corp</t>
  </si>
  <si>
    <t>Audio and Video Equipment Manufacturing</t>
  </si>
  <si>
    <t>US - Knowles Corp (Knowles) acquired the entire share capital of Audience Inc (Audience), a Mountain View- based manufacturer of digital signal processors, for a total USD 110.691 mil, via tender offer. Knowles offered USD 2.5 cash and 0.107 common shares per Audience share. The shares were valued based on Knowles'' closing stock price of USD 19.93 on 29 April 2015, the last full trading day prior to the announcement, each Audience share was valued at USD 4.633.</t>
  </si>
  <si>
    <t>Cyan Inc</t>
  </si>
  <si>
    <t>US - CIENA Corp (CIENA) acquired the entire share capital of Cyan Inc (Cyan), a Petaluma-based developer of prepackaged software, in a stock swap transaction, valued at USD 307.992 mil, subject to proration. CIENA offered 0.224 common share for every Cyan share held. Based on CIENA's closing stock price of USD 21.29 1 May 2015, the last full trading day prior to the announcement, each Cyna share was valued at USD 4.769. This transaction is Tax-Exempt under IRC s386.</t>
  </si>
  <si>
    <t>US - HC2 Holdings Inc (HC2) withdrew its plans to acquire the entire share capital of MCG Capital Corp (MCG), an Arlington-based investment advisor, for a total USD 185. 373 mil, in a stock swap transaction, via unsolicited challenging offer. HC2 offered a choice of USD 0.226 in cash per share and 0.434 common shares per MCG common share or USD 0.226 in cash per share and USD 147.219 mil in convertible preferred shares. The shares were valued based on HC2's closing stock price of USD 11 on 01 May 2015, the full trading day prior to the announcement. Previously, An investor group, comprised of PennantPark Floating Rate Capital Ltd and PennantPark Investment Advisers LLC, acquired the entire share capital of MCG.</t>
  </si>
  <si>
    <t>PMFG Inc</t>
  </si>
  <si>
    <t>US - CECO Environmental Corp (CECO) acquired the entire share capital of PMFG Inc (PMFG), a Dallas-based manufacturer of industrial air filtration equipments and systems, in a stock swap transaction valued at USD 161. 344 mil. CECO offered a choice of 0.6456 share or USD 6.85 in cash per PMFG share, subject to a collar agreement. Based on CECO's closing stock price of USD 11.79 on 01 May 2015, the last full trading day prior to the announcement, each PMFG share was valued at USD 7.612. This transaction is Tax-Exempt under IRC s386.</t>
  </si>
  <si>
    <t>Borderfree Inc</t>
  </si>
  <si>
    <t>US - Pitney Bowes Inc (Pitney) acquired the entire share capital of Borderfree Inc (Borderfree), a New York- based provider of ecommerce information technology services, for USD 14 in cash per share, or a total value of USD 476.506 mil, via a tender offer. Earlier, Pitney completed its tender offer for Borderfree by accepting 30.776 mil, or 95.974% of Borderfree's common shares outstanding. The offer was conditional upon at least a majority of Borderfree's shares being tendered.</t>
  </si>
  <si>
    <t>Crestwood Equity Partners LP</t>
  </si>
  <si>
    <t>US - Crestwood Equity Partners LP (Crestwood Equity) acquired the remaining 96. 199% interest, or 181.197 mil common units, which it did not already own, in Crestwood Midstream Partners LP (Crestwood Midstream), a Houston-based natural gas manufacturing and processing company, in a stock swap transaction valued at USD 3. 398 bil. Crestwood Equity offered 2.75 common shares per Crestwood Midstream share. Based on Crestwood Equity's closing stock price of USD 6. 82 on 05 May 2015, the last full trading day prior to the announcement, each Crestwood Midstream share was valued at USD 18.755. This transaction is Tax-Exempt under IRC s386.</t>
  </si>
  <si>
    <t>Quality Distribution Inc</t>
  </si>
  <si>
    <t>General Freight Trucking, Long-Distance, Truckload</t>
  </si>
  <si>
    <t>US - Apax Partners LP, a unit of Apax Partners Worldwide LLP, acquired the entire share capital of Quality Distribution Inc, a Tampa- based provider of tank truck carrier services, for USD 16 in cash per share, or a total value of USD 451.991 mil plus the assumption of undisclosed liabilities, in a leveraged buyout transaction.</t>
  </si>
  <si>
    <t>Synageva BioPharma Corp</t>
  </si>
  <si>
    <t>US - Alexion Pharmaceuticals Inc (Alexion) acquired the entire share capital of Synageva Biopharma Corp (Synageva), a Lexington-based biopharmaceutical company, for USD 8.394 bil, via tender offer. Alexion offered USD 115 in cash and 0.6581 common share per Synageva share. The shares were valued based on Alexion's closing stock price of USD 168.55 on 5 May 2015, the last full trading day prior to the announcement, each Synageva share was valued at USD 225.923. The offer was conditioned upon at least majority Synageva's shares being tendered. On completion, Synageva common shares were delisted from the NASDAQ Global Market. This transaction is Tax-Exempt under IRC s386.</t>
  </si>
  <si>
    <t>Micrel Inc</t>
  </si>
  <si>
    <t>US - Microchip Technology Inc acquired the entire share capital of Micrel Inc, a San Jose-based manufacturer and wholesaler of integrated circuits, USD 837.078 mil, subject to proration. Microchip offered a choice of USD 14 in cash, or common share. This transaction is Tax-Exempt under IRC s386.</t>
  </si>
  <si>
    <t>Yelp Inc</t>
  </si>
  <si>
    <t>Pvd online business,consumer review platform svcs</t>
  </si>
  <si>
    <t>US - In May 2015, Yelp Inc, a San Francisco-based provider of online business and consumer review platform services, was  discontinued rumors that it was seeking a buyer for the company.</t>
  </si>
  <si>
    <t>Rocket Fuel Inc</t>
  </si>
  <si>
    <t>Pvd digital advg tech services</t>
  </si>
  <si>
    <t>Gravity4 Inc</t>
  </si>
  <si>
    <t>US - Gravity4 Inc planned to acquire the entire share capital of Rocket Fuel Inc, a Redwood-based provider of digital advertising technology services, for USD 350 mil in cash, via unsolicited offer.</t>
  </si>
  <si>
    <t>Rosetta Resources Inc</t>
  </si>
  <si>
    <t>Oil,gas exploration prodn co</t>
  </si>
  <si>
    <t>US - Noble Energy Inc (Noble) acquired the entire share capital of Rosetta Resources Inc (Rosetta), a Houston- based oil and natural gas company, in a stock swap transaction valued at USD 3. 817 bil, including assumption of USD 1.8 bil in liabilities. Noble offered 0.542 shares per Rosetta share. Based on Noble's closing stock price of USD 49.12 on 8 May 2015, the last full trading day prior announcement, each Rosetta share was valued at USD 26.623. This transaction is Tax-Exempt under IRC s386.</t>
  </si>
  <si>
    <t>Trade Street Residential Inc</t>
  </si>
  <si>
    <t>Independence Realty Trust</t>
  </si>
  <si>
    <t>US - Independence Realty Trust Inc (IRT) acquired the entire share capital of Trade Street Residential Inc, an Aventura-based real estate investment trust, for USD 3.8 in cash and 0.4108 new IRT common share per share, or a total value of USD 269.464 mil. The shares were valued based on IRT's closing stock price of USD 8.57 on 08 May 2015, the last full trading day prior to the announcement.</t>
  </si>
  <si>
    <t>AOL Inc</t>
  </si>
  <si>
    <t>Pvd online content,advertising svcs</t>
  </si>
  <si>
    <t>US - Verizon Communications Inc, through its wholly-owned subsidiary, acquired the entire share capital of AOL Inc (AOL), a New York-based provider of online content and advertising services, for an estimated USD 50 in cash per share or a total value of USD 4.074 bil, via tender offer. The offer was conditioned upon at least majority of AOL''s shares being tendered. Originally, Verizon was rumored to be planning to acquire the entire share capital of AOL. On completion, AOL common shares were delisted from NYSE.</t>
  </si>
  <si>
    <t>US - Cypress Semiconductor Corp (Cypress) withdrew its plans to acquire the entire share capital of Integrated Silicon Solution Inc (ISSI), a Milpitas-based manufacturer and wholesaler of integrated circuits, for a four times sweetened USD 22.6 in cash per share, or a total; value of USD 773.703 mil, via unsolicited offer. Previously, Cypress offered USD 22.25 in cash per share. Originally, Cypress offered USD 21.25 in cash per share. Previously, Cypress offered USD 20.25 in cash per share. Originally, Cypress offered USD 19.75 cash per share. Subsequently, Integrated Silicon Solution Inc SPV acquired the entire share capital of ISSI.</t>
  </si>
  <si>
    <t>US - Danaher Corp (Danaher) acquired the entire share capital of Pall Corp (Pall), a Port Washington-based manufacturer of fine filters and other filter clarification and separation equipment, for USD 127.2 in cash per share or a total of USD 13.7 bil, including an undisclosed assumed liabilities. Concurrently, Danaher planned to spin off its science &amp; technology growth unit, to its shareholders. Originally, in May 2015, Pall was rumored to be seeking a buyer for the company. Danaher and Thermo Fisher Scientific Inc were rumoured potential buyers. This transaction is Tax- Exempt under IRC s386.</t>
  </si>
  <si>
    <t>US - The Williams Cos Inc (Williams Co) withdrew its agreement to acquire the remaining 41.128% stake or 247.031 mil common units, which it did not already own, in Williams Partners LP (Williams Partners), a Tulsa- based provider of natural gas transportation services, in a stock swap transaction valued at USD 13.8 bil. Williams Co offered 1.115 common unit per Williams Partners unit. Based on Williams Co's closing stock price of USD 50.1 on 12 May 2015, the last full trading day prior to the amendment, each Williams Partners unit was valued at USD 55.862. Subsequently, Energy Transfer Equity LP (Energy Transfer) withdrew its agreement to merge with Williams Cos.</t>
  </si>
  <si>
    <t>US - Avago Technologies Ltd was rumored to be planning to acquire the entire share capital of Maxim Integrated Products Inc, a San Jose- based manufacturer and wholesaler of linear and mixed-signal integrated circuits. Analog Devices Inc was named potential bidder. The Current status of this deal is unknown.</t>
  </si>
  <si>
    <t>Xilinx Inc</t>
  </si>
  <si>
    <t>Manufacture,whl semiconductors</t>
  </si>
  <si>
    <t>US - Avago Technologies Ltd discontinued rumors that it was planning to acquire the entire share capital of Xilinx Inc, a San Jose-based manufacturer and wholesaler of programmable logic semiconductors and interface equipment system.</t>
  </si>
  <si>
    <t>ANN Inc</t>
  </si>
  <si>
    <t>Women'S Clothing Stores</t>
  </si>
  <si>
    <t>US - Ascena Retail Group Inc (Ascena) acquired the entire share capital of ANN Inc (ANN) , a New York-based retailer of women''s apparel, shoes and accessories, for USD 2. 162 bil. Ascena offered USD 37.34 in cash and 0.68 common shares per ANN share. The shares were valued based on Ascena''s closing stock price of USD 14.21 on 15 May 2015, the last full trading day prior to the announcement. Each ANN share was valued at USD 47.003. On completion, ANN was delisted from NYSE. Originally, in August 2015, ANN was rumored to be seeking a buyer for the company.</t>
  </si>
  <si>
    <t>Altice SA</t>
  </si>
  <si>
    <t>US - Altice SA of Luxembourg was rumored to be planning to acquire the entire share capital of Time Warner Cable Inc, a New York-based provider of cable TV services. The Current status of this deal is unknown.</t>
  </si>
  <si>
    <t>Eagle Rock Energy Partners LP</t>
  </si>
  <si>
    <t>US - Vanguard Natural Resources LLC (Vanguard), through its subsidiary, merged with Eagle Rock Energy Partners LP (Eagle Rock), a Houston-based oil and gas exploration and production company, for USD 591.143 mil, in a stock swap transaction. The consideration consisted of USD 451.143 mil in Vanguard common units and the assumption of USD 140 mil in liabilities. Vanguard offered 0.185 common units per Eagle Rock common unit. The shares were valued based Vanguard's closing stock price of USD 15. 94 on 20 May 2015, the last full trading day prior to the announcement. This transaction is Tax-Exempt under IRC s386.</t>
  </si>
  <si>
    <t>US - CVS Health Corp (CVS) acquired the entire share capital of Omnicare Inc (Omnicare), a Cincinnati- based provider of pharmaceutical services, for USD 98 in cash per common share and restricted stock unit, or a total value of USD 14.077 bil, including the assumption of USD 2.3 bil in liabilities. In April 2015, Omnicare was rumored to be seeking a buyer for the company. CVS named as potential bidder.</t>
  </si>
  <si>
    <t>Frisch's Restaurants Inc</t>
  </si>
  <si>
    <t>NRD Partners I LP</t>
  </si>
  <si>
    <t>US - NRD Partners I LP, a unit of NRD Capital Management LLC, through an affiliate, acquired the entire share capital of Frisch's Restaurants Inc (FRI) , a Cincinnati-based owner and operator of restaurants, for USD 34 in cash per share, or a total value of USD 174. 474 mil. On completion, FRI was delisted in NYSE.</t>
  </si>
  <si>
    <t>Syntel Inc</t>
  </si>
  <si>
    <t>Genpact Ltd</t>
  </si>
  <si>
    <t>US - Genpact Ltd discontinued rumors that it was planning to acquire the entire share capital of Syntel Inc, a Troy- based provider of information technology and business process outsourcing services.</t>
  </si>
  <si>
    <t>US - Charter Communications Inc merged with Time Warner Cable Inc (Time Warner), a New York-based provider of cable TV services, for USD 55. 638 bil. Charter offered a choice of USD 115 in cash and 0.4562 new Charter common shares or USD 100 in cash and 0.5409 new Charter common shares per Time Warner share, whereby Liberty Broadband Corp (Liberty) received shares only. Based on Charter's closing stock price of USD 175.33 on May 25, the last full trading day prior to the announcement, each Time Warner share was valued at USD 194.986. Originally, Charter was rumored to be planning to acquire the entire share capital of Time Warner. The transaction had been conditioned on completion of the Charter acquisition of Bright House Networks LLC. Concurrently, Liberty acquired an undisclosed minority stake in Charter. On completion, Time Warner, Liberty and Advance/ Newhouse owned 44%, 20% and 14%, in New Charter, respectively. This transaction is Tax-Exempt under IRC s386.</t>
  </si>
  <si>
    <t>Meru Networks Inc</t>
  </si>
  <si>
    <t>Mnfr enterprise wireless LAN equip</t>
  </si>
  <si>
    <t>US - Fortinet Inc acquired the entire share capital of Meru Networks Inc, a Sunnyvale-based manufacturer of enterprise wireless LAN equipment, for USD 1.63 in cash per share, or a total value of USD 39.624 mil.</t>
  </si>
  <si>
    <t>Rally Software Dvlp Corp</t>
  </si>
  <si>
    <t>Dvlp lifecycle mngt software</t>
  </si>
  <si>
    <t>CA Inc</t>
  </si>
  <si>
    <t>Dvlp info tech mgmt software</t>
  </si>
  <si>
    <t>US - CA Inc acquired the entire share capital of Rally Software Development Corp (Rally), a Boulder-based provider of Agile development software and services, via a tender offer for USD 19.50 in cash per share, or a total value of USD 513.775 mil. The offer was conditional upon at least a majority of Rally's shares being tendered.</t>
  </si>
  <si>
    <t>US - Avago Technologies Ltd (Avago) acquired the entire share capital of Broadcom Corp (Broadcom), an Irvine- based manufacturer of semiconductors, in a stock swap transaction valued at USD 37.849 bil, via a scheme of arrangement. Avago offered a choice of 0.4378 common share or 0.4378 restricted share or USD 27.25 in cash and 0.2189 common share or USD 27.25 in cash and 0.2189 restricted share or USD 54.5 in cash per common share A and B, subject to proration. The shares were valued based on Avago's closing stock price of USD 141.49 on 27 May 2015, the last full trading day prior to announcement. On completion, the merged entity was renamed Broadcom Ltd. Originally, in May 2015, Avago was rumored to be in negotiations to acquire the entire share capital of Broadcom.  This transaction is Tax-Exempt under IRC s386.</t>
  </si>
  <si>
    <t>Heartland Financial USA Inc</t>
  </si>
  <si>
    <t>US- Heartland Financial USA Inc acquired the entire share capital of Fresno-based Premier Valley Bank, for USD 7.73 per share, or a total value of USD 97.344 mil, subject to proration whereby 70% of the aggregate consideration to consist of common shares and the remaining 30% in cash.</t>
  </si>
  <si>
    <t>Rosetta Stone Inc</t>
  </si>
  <si>
    <t>Dvlp language software</t>
  </si>
  <si>
    <t>RDG Capital Fund Management LP</t>
  </si>
  <si>
    <t>US - RDG Capital Fund Management LP planned to acquire the entire share capital of Rosetta Stone Inc, an Arlington-based software publisher, via an unsolicited offer. Terms were not disclosed.</t>
  </si>
  <si>
    <t>Altera Corp</t>
  </si>
  <si>
    <t>US - Intel Corp (Intel) acquired the entire share capital of Altera Corp (Altera), a San Jose-based manufacturer of semiconductors, for USD 54 in cash per share or a total value of USD 16.299 bil. On completion, Altera was renamed Programmable Solutions Group unit of Intel. Originally, in March 2015, Intel was rumored to be planning to acquire the entire share capital of Altera.</t>
  </si>
  <si>
    <t>OM Group Inc</t>
  </si>
  <si>
    <t>US - Apollo Global Management LLC (Apollo) acquired the entire share capital of OM Group Inc (Platform Specialty Products Corp), a Cleveland- based manufacturer and wholesaler of industrial materials and equipment, for USD 34 in cash per share, or a total value of USD 1.033 bil, in a leveraged buyout transaction. Concurrently, Platform Specialty Products Corp acquired the electronic chemical and photomasks businesses of OM from Apollo.</t>
  </si>
  <si>
    <t>Synchronoss Technologies Inc</t>
  </si>
  <si>
    <t>Dvlp transaction mgmt software</t>
  </si>
  <si>
    <t>US - In June 2015, Synchronoss Technologies Inc, a Bridgewater-based developer of transaction management and content transfer and synchronization software platforms, discontinued rumors that it was seeking a buyer for the entire share capital of the company.</t>
  </si>
  <si>
    <t>OPKO Health Inc</t>
  </si>
  <si>
    <t>US - OPKO Health Inc (OPKO) acquired the entire share capital of Bio-Reference Laboratories Inc (Bio- Reference), an Elmwood Park- based provider of clinical laboratory testing services, in a stock swap transaction valued at USD 1.trading day prior to the announcement, each Bio-Reference share was valued at USD 52.58.471 bil. OPKO offered 2.75 common shares per Bio-Reference share. Based on OPKO's closing stock price of USD 19. 12 on 03 June 2015, the last full This transaction is Tax- Exempt under IRC s386.</t>
  </si>
  <si>
    <t>US - T-Mobile US Inc, a unit of T-Mobile International AG, discontinued rumors that it was planning to acquire the entire share capital of DISH Network Corp, an Englewood- based provider of pay-TV equipment rental and other hardware related services.</t>
  </si>
  <si>
    <t>US - GigOptix Inc withdrew its plans to launch an unsolicited tender offer to acquire the entire share capital of GSI Technology Inc, a Sunnyvale-based manufacturer of semiconductors and related device, for USD 6.5 in cash, common share, and cash dividend, per share, or a total value of USD 161.739 mil.</t>
  </si>
  <si>
    <t>US - Liberty Bank acquired the entire share capital of Naugatuck Valley Financial Corp, a Naugatuck-based bank holding company, for USD 11 in cash per share, or a total value of USD 77.773 mil.</t>
  </si>
  <si>
    <t>US - Tokio Marine &amp; Nichido Fire Insurance Co Ltd of Japan, a unit of Tokio Marine Holdings Inc, acquired the entire share capital of a Houston-based HCC Insurance Holdings Inc, for USD 78 in cash per share or a total value of USD 7.541 bil.</t>
  </si>
  <si>
    <t>Niska Gas Storage Partners LLC</t>
  </si>
  <si>
    <t>Own,op natural gas storage</t>
  </si>
  <si>
    <t>Brookfield Infrastructure</t>
  </si>
  <si>
    <t>US - Brookfield Infrastructure Partners LP of Canada acquired the entire share capital of Niska Gas Storage Partners LLC, a Texas- based owner and operator of natural gas storage assets, from Niska Sponsor Holdings Cooperatief UA and other shareholders, for USD 4.225 in cash per share, or a total value of USD 160.502 mil.</t>
  </si>
  <si>
    <t>Ryland Group Inc</t>
  </si>
  <si>
    <t>US - Standard Pacific Corp (Standard) merged with Ryland Group Inc (Ryland), a Westlake Village-based construction company, in a stock swap transaction valued at USD 2.011 bil. Standard offered 5.0955 common shares per Ryland common share. Based on Standard's closing stock price of USD 8.36 on 12 Jun 2015, the last full trading prior to the announcement, each Ryland share was valued at USD 42. 598. On completion, Standard and Ryland will own 59% and 41% of the combined company, respectively. This transaction is Tax-Exempt under IRC s386.</t>
  </si>
  <si>
    <t>US - UnitedHealth Group Inc discontinued rumors that it planned to acquire Aetna Inc, a Hartford-based direct health and medical insurance carrier. The terms of the transaction were not disclosed, but according to sources close to the transaction, the value was estimated at USD 40 bil.</t>
  </si>
  <si>
    <t>DealerTrack Technologies Inc</t>
  </si>
  <si>
    <t>Provide dealer management software services</t>
  </si>
  <si>
    <t>Cox Automotive Inc</t>
  </si>
  <si>
    <t>Automobile and Other Motor Vehicle Merchant Wholesalers</t>
  </si>
  <si>
    <t>US - Cox Automotive Inc, a unit of Cox Enterprises Inc, completed its tender offer to acquire the entire share capital of DealerTrack Technologies Inc (DealerTrack) , a Lake Success-based provider of dealer management software and data solutions services, for USD 63.25 in cash per share or a total value of USD 3.569 bil. The offer had been conditioned upon at least majority of DealerTrack being tendered.</t>
  </si>
  <si>
    <t>KYTHERA Biopharmaceuticals Inc</t>
  </si>
  <si>
    <t>US - Allergan Inc (Allergan), a unit of Actavis PLC, acquired the entire share capital of KYTHERA Biopharmaceuticals Inc, a Westlake Village-based manufacturer of pharmaceuticals, for an amended USD 75 in cash per share, or a total of USD 2. 128 bil. Originally, Allergan offered USD 75 per share or a total of USD 2.128 bil, whereby 80% paid in cash and 20% paid in new Allergan shares.</t>
  </si>
  <si>
    <t>Louisiana Bancorp Inc</t>
  </si>
  <si>
    <t>US - Home Bancorp Inc acquired the entire share capital of Louisiana Bancorp Inc, a Metairie-based bank holding company, for USD 24. 25 in cash per share or a total value of USD 74.548 mil.</t>
  </si>
  <si>
    <t>US - Handy &amp; Harman Ltd (HHL), a unit of Steel Partners Holdings LP, acquired the entire share capital of SL Industries Inc (SL), a Mount Laurel-based manufacturer and wholesaler of power electronics, power motion and power protection equipment, for a sweetened USD 40 in cash per share, or a total value of USD 225.352 mil in cash. Previously, HHL offered USD 35.5 in cash per share, or a total value of USD 139. 657 mil in cash. Orinally, HHL offered USD 45 in cash. The offer was conditioned upon at least a majority of SL's shares being tendered.</t>
  </si>
  <si>
    <t>Direct Health and Medical Insurance Carriers</t>
  </si>
  <si>
    <t>US - Anthem Inc (Anthem) withdrew its agreement to merge with Cigna Corp (Cigna), a Bloomfield-based provider of healthcare insurance services, for a sweetened USD 188 per share or a total value of USD 49.383 bil. The consideration was to consist of USD 103.4 in cash and USD 84.6 in Anthem's newly issued shares per each Cigna share, whereby cash consideration is equal to 55% and 45% is in common shares. Originally, Anthem offered USD 184 per share, or a total value of USD 48.324 bil, subject to proration where by cash consideration is equal 68.6% and 31.4% is in common shares, via unsolicited offer. Upon completion, Anthem and Cigna shareholders were to receive 67% and 33% in the merged entity, respectively. Originally, Anthem was rumored to be planning to acquire the entire share capital of Cigna. This transaction is Tax-Exempt under IRC s386.</t>
  </si>
  <si>
    <t>First Mountain Bank,CA</t>
  </si>
  <si>
    <t>PBB Bancorp</t>
  </si>
  <si>
    <t>US - PBB Bancorp (PBB) merged with Big Bear Lake-based First Mountain Bank (First), for a total USD 13.38 mil, in a stock swap transaction. PBB offered USD 1.05 in cash and 1 common share per First share. The shares were valued based on PBB's closing stock price of USD 7.5 on 19 June 2015, the last full trading day prior to the announcement. Each First share was valued at USD 8.55.</t>
  </si>
  <si>
    <t>Home Properties Inc</t>
  </si>
  <si>
    <t>US - Lone Star Funds (Lone) acquired the entire share capital of Home Properties Inc (Home), a Rochester-based real estate investment trust, for USD 75.23 in cash per common share and USD 75.23 in cash per restricted common share or a total USD 4.422 bil, in a leveraged buyout transaction. Originally, in April 2015, Lone was rumored to be planning to acquire Home. Concurrently, UDR Inc acquired 6 undisclosed community portfolio of Home.</t>
  </si>
  <si>
    <t>Martha Stewart Living</t>
  </si>
  <si>
    <t>US - Sequential Brands Group Inc (Sequential) acquired the entire share capital of Martha Stewart Living Omnimedia Inc (Martha Stewart) , a New York-based periodical publisher, for USD 6.15 per share or a total value of USD 360.907 mil, subject to proration whereby 50% of the aggregate consideration to consist of common shares and the remaining 50% in cash. Originally Sequential was rumored to be planning to acquire the entire share capital of Martha Stewart.</t>
  </si>
  <si>
    <t>Sutron Corp</t>
  </si>
  <si>
    <t>Mnfr envi control sys</t>
  </si>
  <si>
    <t>US - Hach Co (Hach), a unit of Danaher Corp, through an undisclosed affiliate, acquired the entire share capital of Sutron Corp (Sutron), a Sterling-based manufacturer real-time data collection and control products, systems and applications software, for USD 8.50 in cash per share, or a total value of USD 44. 199 mil. Earlier, Hach completed its tender offer for Sutron by accepting 4.642 mil common shares, or 91.299% of Sutron's entire share capital. The offer was conditional upon at least 66. 667% of Sutron's shares being tendered.</t>
  </si>
  <si>
    <t>US - Energy Transfer Equity LP (Energy Transfer), through its Energy Transfer Corp LP subsidiary, withdrew its agreement to merge with The Williams Cos Inc (Williams Cos), a Tulsa-based natural gas distributor, in a stock swap reverse takeover transaction valued at USD 36. 905 bil, including the assumption of USD 4.193 bil in liabilities. Energy Transfer offered a choice of USD 8 in cash and 1.5274 Energy Transfer units or 1. 8716 Energy Transfer units per Williams Cos share. Based on Energy Transfer's closing stock price of USD 23.24 on 25 September 2015, the last full trading day prior to the amendment of terms, each Williams Cos share was valued at USD 43.497. Upon completion, Energy Transfer and Williams Cos shareholders were to own 47.6% and 52.4% of the merged entity, respectively. Previously, Energy Transfer offered 0. 9358 unit per Williams Cos share. This transaction is Tax-Exempt under IRC s386.</t>
  </si>
  <si>
    <t>Solis-Tek Inc</t>
  </si>
  <si>
    <t>Power, Distribution, and Specialty Transformer Manufacturing</t>
  </si>
  <si>
    <t>CJA Acquisition Corp</t>
  </si>
  <si>
    <t>US - CJA Acquisition Corp, a unit of Cinjet Inc, acquired the entire share capital of Solis-Tek Inc, a Carson-based manufacturer of power, distribution and specialty transformers.</t>
  </si>
  <si>
    <t>Tri State 1st Bank Inc</t>
  </si>
  <si>
    <t>US - Farmers National Banc Corp (Farmers) acquired the entire share capital of Tri State 1st Bank Inc (Tri State) , an East Liverpool-based central bank, for USD 15.314 mil in cash. Farmers offered a choice of USD 14.2 in cash per share or 1.747 common shares per Tri State share, subject to proration whereby 75% of the aggregate consideration was to comprise of common shares and the remaining 25% in cash.</t>
  </si>
  <si>
    <t>Zoetis Inc</t>
  </si>
  <si>
    <t>US - Valeant Pharmaceuticals International Inc was rumored to be planning to acquire the entire share capital of Zoetis Inc, a Florham Park- based manufactures animal pharmaceuticals and vaccines. The Current status of this deal is unknown.</t>
  </si>
  <si>
    <t>FNBPA Bancorp Inc</t>
  </si>
  <si>
    <t>Juniata Valley Financial Corp</t>
  </si>
  <si>
    <t>US - Juniata Valley Financial Corp (Juniata) acquired the entire share capital of Port Allegany-based FNBPA Bancorp Inc (FNBPA), in a stock swap transaction valued at USD 13. 353 mil. Juniata offered a choice of 2.7813 Juniata shares or USD 50.34 in cash for every FNBPA share. Based on Juniata's closing stock price of USD 18.3 on 18 June 2015, the last full trading day prior to the announcement, each FNBPA share was valued at USD 50.898.</t>
  </si>
  <si>
    <t>Ameriana Bancorp</t>
  </si>
  <si>
    <t>US - First Merchants Corp (FMC) acquired the entire share capital of Ameriana Bancorp (ABC), a New Castle- based bank holding company, in a stock swap transaction valued at USD 69.587 mil. FMC offered 0.9037 shares per ABC share. Based on FMC's closing stock price of USD 25.13 in 26 June 2015, the last full trading day prior to the announcement, each FMC share was valued at USD 22.710.</t>
  </si>
  <si>
    <t>Amyris Inc</t>
  </si>
  <si>
    <t>Mnfr industrial organical chem</t>
  </si>
  <si>
    <t>US - Amyris Inc (AIN), a Emeryville-based biotechnology company , complete its debt restructuring transaction with Creditors (CRs). On completion, CRs held an undisclosed interest in the restructured AIN. The book value of the existing debt that was exchanged under the terms of the offer was USD 138 mil.</t>
  </si>
  <si>
    <t>Towers Watson &amp; Co</t>
  </si>
  <si>
    <t>Willis Group Holdings PLC</t>
  </si>
  <si>
    <t>US - Willis Group Holdings PLC (Willis) of the UK merged with Towers Watson &amp; Co (Towers), a Arlington-based provider of management consulting services, in a stock swap transaction valued at USD 8.353 bil, via merger of equals. Willis offered 2. 6490 new ordinary shares per Towers share. Based on Willis' closing stock price of USD 45.4 on 29 June 2015, the last full trading day prior to the announcement, each Pinnacle share was valued at USD 120.265. This transaction is structured as a tax inversion. On completion, Willis and Towers Watson shareholders were to own 50.1% and 49.9% of the merged entity, renamed Willis Towers Watson, respectively.</t>
  </si>
  <si>
    <t>US - ACE Ltd (ACE) of Switzerland acquired the entire share capital of Chubb Corp (Chubb), a Warren-based provider of property and casualty insurance services, for a total USD 28.534 bil. Ace offered 62.93 in cash and 0.6019 ordinary share per Chubb share. Based on ACE's closing stock price of USD 101.68 on 30 June 2015, the last full trading day prior to the announcement, each Chubb share was valued at USD 124.131. On completion, ACE and Chubb shareholders owned 70% and 30% of the merged entity, respectively and Ace was renamed as Chubb Ltd and will be listed on the New York Stock Exchange under the symbol "CB".</t>
  </si>
  <si>
    <t>Gramercy Property Trust Inc</t>
  </si>
  <si>
    <t>Chambers Street Properties</t>
  </si>
  <si>
    <t>US - Chambers Street Properties (Chambers) merged with Gramercy Property Trust Inc (Gramercy), a New York- based real estate investment trust, in a stock swap transaction valued at USD 1. 457 bil, via merger of equals. Chambers offered 3.19 common shares per Gramercy share. Based on Chambers' closing stock price of USD 7.95 on 30 June 2015, the last full trading day prior to the announcement, each Gramercy share was valued at USD 25. 359. On, completion the merged entity was renamed Gramercy Property Trust Inc and Chambers common shares were delisted in New York Stock Exchange.</t>
  </si>
  <si>
    <t>Xoom Corp</t>
  </si>
  <si>
    <t>Financial Transactions Processing, Reserve, and Clearinghouse Activities</t>
  </si>
  <si>
    <t>US - PayPal Inc, a unit of eBay Inc, acquired the entire share capital of Xoom Corp, a San Francisco-based provider of money transfer services, for USD 25 in cash per share, or a total value of USD 1.054 bil.</t>
  </si>
  <si>
    <t>Health Net Inc</t>
  </si>
  <si>
    <t>Pvd medical plans svcs</t>
  </si>
  <si>
    <t>Centene Corp</t>
  </si>
  <si>
    <t>Pvd managed care program svcs</t>
  </si>
  <si>
    <t>US - Centene Corp (Centene) acquired the entire share capital of in Health Net Inc (Health), a Woodland Hills- based provider of medical and health plan services, in a stock swap transaction, for a total of USD 6.15 bil. Centene offered USD 28.25 in cash and 0.622 per Health share. Based on Centene's closing stock price of USD 80. 9 on 01 July 2015, the last full trading day prior to the announcement, each Health share was valued at USD 78.57. On completion, Centene and Health shareholders owned 71% and 29% of the merged entity respectively. This transaction is Tax-Exempt under IRC s386.</t>
  </si>
  <si>
    <t>US - Aetna Inc (Aetna) withdrew its agreement to merge with Humana Inc (Humana) , a Louisville-based provider of healthcare services, for a total value of USD 34.58 bil. Aetna offered USD 125 in cash and 0.8375 common share per Humana share. Based on Aetna's closing stock price of USD 125.51 on 02 July 2015, the last full trading day prior to the announcement, each Humana share was valued at USD 230.115. Upon completion, Aetna shareholders were to own approximately 74% and Humana shareholders were to own 26% of the combined entity. Originally, in May 2015, Humana announced that it was seeking a buyer for the company. Aetna and Cigna Corp were named rumored bidders. Concurrently, Molina Healthcare Inc withdrew its agreement to acquire the certain medicare advantage assets of Aetna and Humana. This transaction is Tax- Exempt under IRC s386.</t>
  </si>
  <si>
    <t>Depomed Inc</t>
  </si>
  <si>
    <t>US - Horizon Pharma PLC (Horizon) of Ireland, withdrew its hostile tender offer to acquire the entire share capital of Depomed Inc (Depomed), a Newark-based manufacturer and wholesaler of specialty pharmaceutical products, in a stock swap transaction, for a sweetened USD 33 Horizon ordinary share per share or a total value of USD 2.144 bil. Originally, Horizon offered USD 29.25 per share. The offer was conditioned upon at least a majority of Depomed's shares being tendered. Upon completion, Horizon and Depomed were to own 75% and 25% in the combined company, respectively. This transaction is structured as a tax inversion.</t>
  </si>
  <si>
    <t>Internap Corp</t>
  </si>
  <si>
    <t>Pvd internet infrastructure svcs</t>
  </si>
  <si>
    <t>US - In July 2015, Internap Corp, an Atlanta-based provider of Internet infrastructure services, announced that it was seeking a buyer for its entire share capital of the company.</t>
  </si>
  <si>
    <t>Coast Distribution System Inc</t>
  </si>
  <si>
    <t>US - LKQ Corp (LKQ) acquired the entire share capital of Coast Distribution System Inc (CDSI), a Morgan Hill-based wholesaler of recreational vehicle parts and accessories, via a tender offer for USD 5. 5 in cash per share, or a total value of USD 28.67mi, via a tender offer. Earlier, LKQ completed its tender offer for CDSI.The offer was conditioned upon atl least majority of CDSI shares being tendered.</t>
  </si>
  <si>
    <t>MPLX LP</t>
  </si>
  <si>
    <t>Own,operate cude oil pipelines</t>
  </si>
  <si>
    <t>US - MPLX LP (MPLX), a unit of Marathon Petroleum Corp, merged with MarkWest Energy Partners LP (Markwest), a Denver-based producer of crude petroleum and natural gas, in a stock swap transaction valued at a twice sweetened USD 22.296 bil, including the assumption of USD 4.2 bil in liabilities. MPLX offered a twice sweetened USD 6.2 in cash USD 1.09 new MPLX unit per Markwest unit and common A and 1 new MPLX per common B. Based on MPLX's closing stock price of USD 69.05 on 10 July 2015, each Markwest share was valued at USD 81.465. Previously, MPLX offered a sweetened 5.21 in cash, USD 1. 09 new MPLX unit per Markwest unit and common A and USD 1 new MPLX per common B. Originally, MPLX offered 3.37 in cash, USD 1.09 new MPLX unit per Markwest unit and common A and USD 1 new MPLX per common B. On completion, Markwest common shares were delisted from the New York Stock Exchange. This transaction is Tax-Exempt under IRC s386.</t>
  </si>
  <si>
    <t>Tsinghua Unigroup Ltd</t>
  </si>
  <si>
    <t>US - Tsinghua Unigroup Ltd of China, a unit of Tsinghua Holdings Co Ltd, was rumored to be planning to acquire the entire share capital of Micron Technology Inc, a Boise-based manufacturer and wholesaler of semiconductors. Terms were not disclosed but, according to people familiar with the transaction, the deal was valued at an estimated USD 23 bil. The Current status of this deal is unknown.</t>
  </si>
  <si>
    <t>Remy International Inc</t>
  </si>
  <si>
    <t>US - BorgWarner Inc acquired the entire share capital of Remy International Inc, a Pendleton-based manufacturer and wholesaler of automotive engine parts, from Fidelity National Financial Ventures LLC, owned by Fidelity National Financial Inc, for USD 29.5 in cash per share or a total value of USD 954.764 mil.</t>
  </si>
  <si>
    <t>Unilens Vision Inc</t>
  </si>
  <si>
    <t>Mnfr,whl contact lenses</t>
  </si>
  <si>
    <t>US - Valeant Pharmaceuticals International Inc definitively agreed to acquire the entire share capital of Unilens Vision Inc, a Largo-based manufacturer and wholesaler of contact lenses, for USD 12.75 cash per share, or a total value of USD 28.456 mil, including the assumption of USD 5 mil in liabilities</t>
  </si>
  <si>
    <t>Receptos Inc</t>
  </si>
  <si>
    <t>US - Celgene Corp merged with Receptos Inc (Receptos), a San Diego-based biopharmaceutical company, for USD 232 in cash per share, or a total value of USD 7. 731 bil, via a tender offer. The offer was conditioned upon at least a majority of Receptos' shares being tendered. Originally, in June 2015, Receptos was rumored to be seeking a buyer for the company. AstraZeneca PLC, Teva Pharmaceutical Industries Ltd, and Gilead Sciences Inc were named rumored bidders.</t>
  </si>
  <si>
    <t>OCI Resources LP</t>
  </si>
  <si>
    <t>Trona ore mining co</t>
  </si>
  <si>
    <t>Park Holding AS</t>
  </si>
  <si>
    <t>US - Park Holding AS of Turkey (Park), a unit of Ciner Enerji ve Madencilik Sanayi Ticaret AS, definitively acquired a 73% interest, or 7.169 mil common LP units, in OCI Resources LP, an Atlanta-based provider of trona ore mining and soda ash production services, from OCI Wyoming Holding Co, a unit of OCI Chemical Corp, ultimately owned by OCI Co Ltd. Concurrently, Park  acquired OCI Resource Partners LLC. The two transactions were to have a combined value of USD 429 mil.</t>
  </si>
  <si>
    <t>Vivint Solar Inc</t>
  </si>
  <si>
    <t>SunEdison Inc</t>
  </si>
  <si>
    <t>Manufacture, wholesale photovoltaic energy systems</t>
  </si>
  <si>
    <t>US - SunEdison Inc (SunEdison) withdrew its agreement to acquire the entire share capital of Vivint Solar Inc (Vivint), a Lehi-based provider of solar energy electricity services, from 313 Acquisition LLC, a unit of Blackstone Capital Partners VI LP, ultimately owned by Blackstone Group LP, and other shareholders, for an amended USD 1.757 bil. SunEdison offered USD 7.89 in cash, USD 4.06 in common shares and USD 3.3 in convertible notes per Vivint common share. Originally, SunEdison offered USD 9.89 in cash, USD 3.31 in common shares, and USD 3.3 in convertible notes per Vivint common share.</t>
  </si>
  <si>
    <t>Thoratec Corp</t>
  </si>
  <si>
    <t>US - St. Jude Medical Inc acquired the entire share capital of Thoratec Corp, a Pleasonton-based manufacturer of irradiation apparatuses, for USD 63.5 in cash per share, or a total value of USD 3.52 bil.</t>
  </si>
  <si>
    <t>ROI Acquisition Corp II</t>
  </si>
  <si>
    <t>Ascend Telecom Holdings Ltd</t>
  </si>
  <si>
    <t>Blank Check Company</t>
  </si>
  <si>
    <t>US - Ascend Telecom Holdings Ltd (Ascend Telecom) of Cayman Islands, withdrew its agreement to acquire the entire share capital of ROI Acquisition Corp II, a New York-based blank check company. Upon completion, Ascend Telecom will be listed in Nasdaq.</t>
  </si>
  <si>
    <t>StanCorp Financial Group Inc</t>
  </si>
  <si>
    <t>Pvd insurance,asset mgmt svcs</t>
  </si>
  <si>
    <t>Meiji Yasuda Life Insurance Co</t>
  </si>
  <si>
    <t>Pvd life insurance services</t>
  </si>
  <si>
    <t>US - Meiji Yasuda Life Insurance Co (Meiji Yasuda) of Japan acquired the entire share capital of StanCorp Financial Group Inc (StanCorp) , a Portland-based provider of insurance and investment management services, for USD 115 in cash per share, or a total value of USD 4.961 bil. Originally, Meiji Yasuda was rumored to be planning to acquire the entire share capital of StanCorp.</t>
  </si>
  <si>
    <t>Columbus McKinnon Corp</t>
  </si>
  <si>
    <t>Mnfr,whl hoists,cranes</t>
  </si>
  <si>
    <t>US - Columbus McKinnon Corp acquired the entire share capital of Magnetek Inc (Magnetek), a Menomonee Falls- based manufacturer and wholesaler of digital power and motion control systems, for USD 50 per share or a total value of USD 182.057 mil, via a tender offer. The offer was conditional on at least a majority of the outstanding shares of Magnetek being tendered.</t>
  </si>
  <si>
    <t>Sutter Cmnty Bk,Yuba,CA</t>
  </si>
  <si>
    <t>Suncrest Bk,Visalia,California</t>
  </si>
  <si>
    <t>US - Suncrest Bank (Suncrest) acquired the entire share capital of Yuba-based Sutter Community Bank (Sutter), for USD 9.365 mil, in a stock swap transaction. Suncrest offered 1.2 common shares per Sutter share. Based on Suncrest closing stock price of USD 8.2 on 24 July 2015, the last full trading day prior to the announcement, each Sutter share was valued at USD 9.84.</t>
  </si>
  <si>
    <t>Solvay SA</t>
  </si>
  <si>
    <t>Manufacture,wholesale chemicals</t>
  </si>
  <si>
    <t>US - Solvay SA of Belgium merged with Cytec Industries Inc, a Woodland Park-based manufacturer and wholesaler of chemical products, for USD 75.25 in cash per share, or a total value of USD 5.516 bil.</t>
  </si>
  <si>
    <t>HollyFrontier Corp</t>
  </si>
  <si>
    <t>Tesoro Corp</t>
  </si>
  <si>
    <t>US - Tesoro Corp discontinued rumors that it was in negotiations to acquire the entire share capital of HollyFrontier Corp, a Dallas- based manufacturer and wholesaler of petroleum products.</t>
  </si>
  <si>
    <t>Baxalta Inc</t>
  </si>
  <si>
    <t>US - Shire PLC (Shire) of the Republic of Ireland acquired the entire share capital of Baxalta Inc (Baxalta), a Deerfield-based manufacturer of pharmaceuticals, from Baxter International Inc, in a stock swap transaction valued at USD 30.952 bil. Shire offered a sweetened USD 18 in cash and 0.1482 American Depositary Share (ADS) per Baxalta share. Based on Shire ADR's closing stock price of USD 186 on 08 January 2016, the last full trading day prior to amendment of the terms, each Baxalta share was valued at USD 45.565. On completion, Shire and Baxalta shareholders received 66% and 34% in the merged entity, respectively, and Baxalta was delisted in FTSE. Originally, Shire offered 0.1687 ADS per Baxalta share. This transaction is Tax-Exempt under IRC s386.</t>
  </si>
  <si>
    <t>Metro Bancorp Inc,Harrisburg</t>
  </si>
  <si>
    <t>US - FNB Corp, Hermitage, Pennsylvania (FNB) acquired the entire share capital of Metro Bancorp Inc (MBI), a Harrisburg-based bank holding companny, in a stock swap transaction valued at USD 463. 534 mil. FNB offered 2.373 common shares per MBI share. Based on FNB's closing stock price of USD 13.79, each MBI share was valued at USD 32. 724. On completion, MBI's shares were delisted in the NASDAQ Stock Exchange. This transaction is Tax-Exempt under IRC s386.</t>
  </si>
  <si>
    <t>IPC Healthcare Inc</t>
  </si>
  <si>
    <t>Team Health Holdings Inc</t>
  </si>
  <si>
    <t>US - Team Health Holdings Inc acquired the entire share capital of IPC Healthcare Inc, a North Hollywood-based provider of hospital medicine and related facility-based services, for USD 80.25 in cash per share or a total value of USD 1.456 bil.</t>
  </si>
  <si>
    <t>Tecumseh Products Co</t>
  </si>
  <si>
    <t>Mnfr hermetic compressors</t>
  </si>
  <si>
    <t>MA Industrial JV LLC</t>
  </si>
  <si>
    <t>US - MA Industrial JV LLC, jointly owned by Mueller Industries Inc and Atlas Holdings LLC, acquired the entire share capital of Tecumseh Products Co (Tecumseh), an Ann Arbor- based manufacturer of hermetic compressors, for USD 5 in cash per share, or a total value of USD 92.815 mil, including the assumption of an undisclosed amount in liabilities, via a tender offer. Originally, in January 2013, Tecumseh announced that it was seeking a buyer for the company.</t>
  </si>
  <si>
    <t>Coca-Cola European Partners</t>
  </si>
  <si>
    <t>Soft Drink Manufacturing</t>
  </si>
  <si>
    <t>US - Coca-Cola European Partners Ltd (CCEP) of the UK merged with Coca-Cola Enterprises Inc (CCE), an Atlanta-based producer and wholesaler of bottled and canned soft drink and non- alcoholic beverages, in a stock swap transaction valued at USD 11.875 bil. CCEP offered USD 14.5 in cash per share and USD 8.554 bil in CCEP shares. This transaction is structured as a tax inversion. Concurrently, CCEP merged with Coca-Cola Erfrischungsgetraenke AG (CCEAE) and Coca-Cola Iberian Partners SA (CCIP), in a four- way merger. On completion, CCE, CCIP, and CCEA shareholders owned 48%, 32%, and 18% of the merged entity, respectively, which was named as Coca-Cola European Partners PLC. Originally, in July 2015, CCE was rumored to be planning to merge with CCIP and CCEA.</t>
  </si>
  <si>
    <t>Ikanos Communications Inc</t>
  </si>
  <si>
    <t>Mnfr,dvlp chipsets</t>
  </si>
  <si>
    <t>Qualcomm Atheros Inc</t>
  </si>
  <si>
    <t>US - Qualcomm Atheros Inc, a unit of Qualcomm Inc, acquired the entire share capital of Ikanos Communications Inc (Ikanos), a Fremont-based manufacturer of telephone apparatuses, via a tender offer, for USD 2.75 in cash per share, or a total value of USD 46.978 mil. The offer was conditioned upon at least a majority of Ikanos' shares being tendered.</t>
  </si>
  <si>
    <t>US - International Business Machines Corp acquired the entire share capital of Merge Healthcare Inc, a Chicago- based developer of healthcare software, for USD 7.13 in cash per share or a total value of USD 725.62 mil.</t>
  </si>
  <si>
    <t>Shenandoah Telecommun Co</t>
  </si>
  <si>
    <t>US - Shenandoah Telecommunications Co acquired the entire share capital of NTELOS Holdings Corp (NTELOS), a Waynesboro- based wireless telecommunications carrier, for USD 9.25 in cash per share, or an estimated total of USD 636.67 mil, including the assumption of USD 431 mil in liabilities. Concurrently, Sprint Corp acquired the spectrum assets of NTELOS.</t>
  </si>
  <si>
    <t>US - Berkshire Hathaway Inc (Berkshire Hathaway) acquired the remaining 96.945% interest, or 133.297 mil common shares, which it did not already own, in Precision Castparts Corp (Precision Castparts), a Portland-based iron foundry operator, for USD 235 in cash per share, or a total value of USD 31.595 bil. On completion, Precision Castparts became a wholly- owned subsidiary of Berkshire Hathaway. Originally, Berkshire Hathaway was rumored to be planning to acquire the entire share capital of Precision Castparts.</t>
  </si>
  <si>
    <t>Rentech Nitrogen Partners LP</t>
  </si>
  <si>
    <t>Mnfr nitrogen fertilizer</t>
  </si>
  <si>
    <t>CVR Partners LP</t>
  </si>
  <si>
    <t>Mnf,whl nitrogen fertilizer</t>
  </si>
  <si>
    <t>US - CVR Partners LP (CVR), a unit of Coffeyville Resources LLC, acquired the entire share capital of Rentech Nitrogen Partners LP (RNP), a Los Angeles-based manufacturer of nitrogen fertilizer, from Rentech Inc, in a stock swap transaction valued at estimated USD 839. 631 mil. CVR offered 1.04 shares and USD 2.57 in cash per share, and the assumption of up to USD 307 mil in liabilities. Based on CVR's closing stock price of 10.69 on 07 August 2015, each RNP share was valued at USD 11. 118.</t>
  </si>
  <si>
    <t>Yodlee Inc</t>
  </si>
  <si>
    <t>Envestnet Inc</t>
  </si>
  <si>
    <t>Pvd wealth management svcs</t>
  </si>
  <si>
    <t>US - Envestnet Inc (Envestnet) acquired the entire share capital of Yodlee Inc (Yoolee) , a Redwood City-based developer of web-based financial software and applications platform, for a total USD 647.604 mil. Envestnet offered USD 11.51 cash and 1.889 common share for every Yodlee share held. Based on Envestnet's closing stock price of USD 44.07 on 7 August 2015, the last full trading day prior to the announcement, each Yodlee share was valued at USD 19. 835.</t>
  </si>
  <si>
    <t>Symetra Financial Corp</t>
  </si>
  <si>
    <t>Sumitomo Life Insurance Co</t>
  </si>
  <si>
    <t>US - Sumitomo Life Insurance Co of Japan acquired the entire share capital of Symetra Financial Corp (Symetra), a Bellevue-based provider of life insurance services, for USD 32.5 in cash per share or a total value of USD 3.792 bil. Originally, in August 2015, Symetra was rumored to be seeking a buyer for the entire share capital of the company.</t>
  </si>
  <si>
    <t>Konecranes Abp</t>
  </si>
  <si>
    <t>Mnfr,whl industrial cranes</t>
  </si>
  <si>
    <t>US - Konecranes Abp (Konecranes) of Finland, withdrew its agreement to acquire Terex Corp (Terex), a Westport-based manufacturer and wholesaler of construction equipments, in a stock swap transaction valued at USD 2.762 bil via merger of equals. Konecranes offered 0.80 ordinary share per Terex share. Based on Konecranes' closing stock price of USD 30. 866 on 10 August 2015, the last full trading day prior to the announcement, each Terex share was valued at USD 24.693. This transaction is structured as a tax inversion. Upon completion, the combined entity was to be named Konecranes Terex Plc (KTP), and Konecranes and Terex shareholders were to own 40% and 60% of KTP, respectively. Subsequently, Zoomlion Heavy Industry Science &amp; Technology Co Ltd (Zoomlion) of China intended to launch a tender offer to acquire the entire share capital of Terex, via unsolicited offer.</t>
  </si>
  <si>
    <t>Planar Systems Inc</t>
  </si>
  <si>
    <t>Mnfr,whl display,digital signage</t>
  </si>
  <si>
    <t>Leyard Optoelectronic Co Ltd</t>
  </si>
  <si>
    <t>Mnfr,whl LED prod</t>
  </si>
  <si>
    <t>US - Leyard Optoelectronic Co Ltd, through its undisclosed US subsidiary, acquired the entire share capital of Planar Systems Inc, a Beaverton-based manufacturer and wholesaler of display and digital signage, for USD 6.58 per share or a total value of USD 149.724 mil.</t>
  </si>
  <si>
    <t>Southcoast Financial Corp,SC</t>
  </si>
  <si>
    <t>US - BNC Bancorp, High Point, North Carolina (BNC) acquired the entire share capital of Southcoast Financial Corp (SFC), a Mt. Pleasant-based bank holding company, in a stock swap transaction valued at USD 94.835 mil. BNC offered USD 13.35 common share per SFC share.</t>
  </si>
  <si>
    <t>US - BB&amp;T Corp (BB&amp;T) acquired the entire share capital of National Penn Bancshares Inc (National Penn) , an Allentown-based bank holding company, for USD 1. 823 bil. BB&amp;T offered a choice of USD 13 in cash, or 0.3206 common share per National Penn share, or a combination of cash and common shares, subject to proration whereby consideration will be 70% in BB&amp;T common stock and 30% in cash. This transaction is Tax- Exempt under IRC s386.</t>
  </si>
  <si>
    <t>Zulily Inc</t>
  </si>
  <si>
    <t>Ret women,kids apparel</t>
  </si>
  <si>
    <t>US - Liberty Interactive Corp (Liberty Interactive) completed its tender offer to acquire the entire share capital of Zulily Inc (Zulily) , a Seattle-based retailer of apparel, shoes, toys, and decor, for USD 2.421 bil. Liberty Interactive offered USD 9.375 in cash and 0.3098 new class A tracking shares per Zulily common share A and Zulily common share B. Based on Liberty Interactive's closing stock price of USD 30. 26 in 16 August 2015, the last full trading day prior to the announcement, each Zulily share was valued at USD 18.75. This transaction is Tax-Exempt under IRC s386.</t>
  </si>
  <si>
    <t>Dot Hill Systems Corp</t>
  </si>
  <si>
    <t>US - Seagate Technology PLC, through its wholly-owned indirect subsidiary, acquired the entire share capital of Dot Hill Systems Corp, a Carlsbad-based manufacturer of computer storage devices, for a USD 9.75 in cash per share, or a total of USD 624. 702 mil, via tender offer.</t>
  </si>
  <si>
    <t>Mnfr,whl, building products</t>
  </si>
  <si>
    <t>US - United Technologies Corp was rumored to be in negotiations to acquire the entire share capital of Nortek Inc, a Providence- based manufacturer of commercial building products. The Current status of this deal is unknown.</t>
  </si>
  <si>
    <t>US - Southern Co merged with AGL Resources Inc, an Atlanta- based provider of natural gas distribution services, for USD 66 in cash per share or a total value of USD 7.944 bil in cash.</t>
  </si>
  <si>
    <t>Belk Inc</t>
  </si>
  <si>
    <t>US - Sycamore Partners LLC (Sycamore) acquired the entire share capital of Belk Inc (Belk), a Charlotte-based owner and operator of departments stores, for USD 68 in cash per share, or a total value of USD 2.679 bil in cash, in a leveraged buyout transaction. Originally, in April 2015, Belk was rumored to be seeking a buyer for the company. Sycamore, Macy's Inc, Bon-Ton Stores Inc, and Nordstrom Inc were rumored potential bidders.</t>
  </si>
  <si>
    <t>Attilio F Petrocelli</t>
  </si>
  <si>
    <t>Miscellaneous Financial Investment Activities</t>
  </si>
  <si>
    <t>US - Attilio F Petrocelli agreed to acquire the remaining stake, which it did not already own, in United Capital Corp, a Great Neck- based real estate investment firm, for USD 32 in cash per share or a total value of USD 11.24 mil.</t>
  </si>
  <si>
    <t>US - Schlumberger Ltd (Schlumberger) merged with Cameron International Corp (Cameron), a Houston-based manufacturer of oil and gas field machinery and equipment, for a total USD 12.766 bil, in a stock swap transaction. Schlumberger offered USD 14. 44 in cash and 0.716 new ordinary shares for every Cameron share. Based on Schlumberger's closing stock price of USD 72.52 on 25 August 2015, each Cameron share was valued at USD 66. 364. On completion, Schlumberger and Cameron shareholders owned 90% and 10% of the merged entity, respectively.</t>
  </si>
  <si>
    <t>Hopewell Valley Community Bank</t>
  </si>
  <si>
    <t>US - Northfield Bancorp Inc (Northfield) acquired the entire share capital of Pennington-based Hopewell Valley Community Bank (Hopewell), for USD 52.763 mil, subject to proration. Northfield offered a choice of USD 14.5 in cash or 0.9592 common share per Honeywell share held.  This transaction is Tax-Exempt under IRC s386.</t>
  </si>
  <si>
    <t>ARIAD Pharmaceuticals Inc</t>
  </si>
  <si>
    <t>US - Baxalta Inc, a unit of Baxter International Inc, was rumored to be planning to acquire the entire share capital of ARIAD Pharmaceuticals Inc, a Cambridge-based pharmaceutical company. The Current status of this deal is unknown.</t>
  </si>
  <si>
    <t>Ashford Hospitality Prime Inc</t>
  </si>
  <si>
    <t>US - In April 2016, Ashford Hospitality Prime Inc, a Dallas-based real estate investment trust, withdraw its announcement that it was seeking a buyer for the company.</t>
  </si>
  <si>
    <t>US - The Carlyle Group LP acquired the entire share capital of Blyth Inc (Blyth), a Greenwich-based manufacturer and wholesaler of home fragrance products, via a tender offer for USD 6 in cash per share, or a total value of USD 96.83 mil, in a leveraged buyout transaction. The offer was conditioned upon majority of Blyth's common shares being tendered.</t>
  </si>
  <si>
    <t>Fuel Systems Solutions Inc</t>
  </si>
  <si>
    <t>Mnfr,whl alternative fuel sys</t>
  </si>
  <si>
    <t>Westport Innovations Inc</t>
  </si>
  <si>
    <t>Mnfr, whhl alternate-fuel engines</t>
  </si>
  <si>
    <t>US - Westport Innovations Inc of Canada (WPRT) merged with Fuel Systems Solutions Inc (FSYS), a New York-based manufacturer and wholesaler of alternative fuel components and systems, for a total USD 93.209 mil, in a stock swap transaction. WPRT offered 2.4755 common shares per FSYS share. The shares were valued based on WPRT's closing stock price of USD 2. 081 on 24 May 2016, the last full trading day prior to the announcement. Originally, WPRT offered 2.129 common shares per FSYS share. On completion, WPRT and FSYS owned 64% and 36%, respectively, of the merged entity. This transaction is Tax-Exempt under IRC s386.</t>
  </si>
  <si>
    <t>Synergetics USA Inc</t>
  </si>
  <si>
    <t>Mnfr electn surgical equipment</t>
  </si>
  <si>
    <t>US - Valeant Pharmaceuticals International Inc acquired the entire share capital of Synergetics USA Inc, an O'Fallon-based manufacturer of electronic surgical equipment, for USD 195.695 mil, via tender offer. The consideration consisted of USD 6.5 in cash per share or a total value of USD 170.122 and up to USD 25.573 in profit-related payments. The offer was conditioned upon at least majority of shares being tendered.</t>
  </si>
  <si>
    <t>Alteva Inc</t>
  </si>
  <si>
    <t>Momentum Telecom Inc</t>
  </si>
  <si>
    <t>US - Momentum Telecom Inc acquired the entire share capital of Alteva Inc, a Warwick-based wired telecommunications carrier, for USD 4.7 per share, or a total of USD 28.203 mil.</t>
  </si>
  <si>
    <t>Eureka Financial Corp</t>
  </si>
  <si>
    <t>Banking holding company</t>
  </si>
  <si>
    <t>NexTier Inc</t>
  </si>
  <si>
    <t>US - NexTier Inc acquired the entire share capital of Eureka Financial Corp, a Pittsburgh-based bank holding company, for USD 28.5 in cash per share or a total value of USD 35.298 mil.</t>
  </si>
  <si>
    <t>Millennial Media Inc</t>
  </si>
  <si>
    <t>Dvlp mobile advg software</t>
  </si>
  <si>
    <t>US - AOL Inc (AOL), a unit of Verizon Communications Inc, completed its tender offer to acquire entire share capital of Millennial Media Inc (Millennial), a Baltimore- based developer of mobile advertising software, for USD 1.75 in cash per share, or a total value of USD 247.98 mil. The offer was conditioned upon at least a majority of Millennial's shares being tendered. Originally, in June 2015, AOL was rumored to be planning to acquire Millennial.</t>
  </si>
  <si>
    <t>Pericom Semiconductor Corp</t>
  </si>
  <si>
    <t>US - Diodes Inc (Diodes) acquired the entire share capital of Pericom Semiconductor Corp (Pericom), a Milpitas-based manufacturer and wholesaler of integrated circuits, for a sweetened USD 17.75 in cash per share, or a total value of USD 396.418 mil. Previously, Diodes offered USD 17 in cash. Subsequently, Montage Technology Group Ltd planned to launch an unsolicited challenging offer to acquire Pericom.</t>
  </si>
  <si>
    <t>TECO Energy Inc</t>
  </si>
  <si>
    <t>Emera Inc</t>
  </si>
  <si>
    <t>US - Emera Inc of Canada (Emera) acquired the entire share capital of TECO Energy Inc (TECO), a Tampa-based electric, gas utility and coal mining company, for USD 27.55 in cash per share, or a total value of USD 10.380 bil, including the assumption of USD 3.9 bil in liabilities. On completion, TECO became a wholly-owned subsidiary of Emera. Originally, in July 2015, TECO announced that it was seeking a buyer for the company.</t>
  </si>
  <si>
    <t>Baylake Corp</t>
  </si>
  <si>
    <t>Pvd gen bkg,trust svcs</t>
  </si>
  <si>
    <t>US - Nicolet Bankshares Inc (Nicolet) merged with Baylake Corp (Baylake), a Sturgeon Bay-based provider of general banking and trust services, for a total USD 141.489 mil, in a stock swap transaction. Nicolet offered 0.4517 common share per Baylake share. Based on Nicolet's closing stock price of USD 33.25 on 07 September 2015, the last full trading day prior to the announcement, each Baylake share was valued at USD 15. 019. This transaction is Tax- Exempt under IRC s386.</t>
  </si>
  <si>
    <t>Meredith Corp</t>
  </si>
  <si>
    <t>US - Media General Inc (Media) withdrew its definitive agreement to acquire the entire share capital of Meredith Corp (Meredith), a Des Moines-based publishing company, to form Meredith Media General (New Co), for USD 2.344 bil. Meredith common and common B shareholders were to receive USD 34.57 in cash and 1.5214 New Co shares and Media common shareholders were to receive 1 New Co share per Meredith share. Based on Media's closing stock price of USD 11.15 on 04 September 2015, the last full trading day prior to the announcement, each Meredith share was valued at USD 51.534. This transaction is Tax-Exempt under IRC s386.</t>
  </si>
  <si>
    <t>Radius Health Inc</t>
  </si>
  <si>
    <t>US - Shire PLC of Republic of Ireland was rumored to be planning to acquire the entire share capital of Radius Health Inc, a Cambridge-based biopharmaceutical company. The Current status of this deal is unknown.</t>
  </si>
  <si>
    <t>Blackstone RE Partners VIII LP</t>
  </si>
  <si>
    <t>US - Blackstone Real Estate Partners VIII LP, a unit of Blackstone Group LP acquired the entire share capital of Strategic Hotels &amp; Resorts Inc (SHRI), a Chicago-based real estate investment trust, for USD 14.25 in cash per share, or a total value of USD 6 bil, including the assumption of USD 2.074 bil in liabilities, in a leveraged buyout transaction. The transaction included membership units owned by SHRI in Strategic Hotels Funding LLC. On completion, SHRI common shares were delisted in the New York Stock Exchange. Originally, in July 2015, SHRI was rumored to be seeking a buyer for the company.</t>
  </si>
  <si>
    <t>Con-way Inc</t>
  </si>
  <si>
    <t>US - XPO Logistics Inc (XPO) acquired the entire share capital of Con-Way Inc (CWI), an Ann Arbor-based provider of freight transportation and logistics services, for USD 47.6 in cash per share, or a total value of USD 3.016 bil, including the assumption of USD 290 mil in liabilities. Earlier, XPO completed its tender offer for CWI by accepting 46.15 mil common shares, or about 80.637% of CWI's common shares outstanding. On completion, CWI became a wholly-owned subsidiary of XPO.</t>
  </si>
  <si>
    <t>Envivio Inc</t>
  </si>
  <si>
    <t>Own,operate radio,TV stations</t>
  </si>
  <si>
    <t>US - Telefonaktiebolaget LMEricsson of Sweden acquired the entire share capital of Envivio Inc, a South San Francisco-based manufacturer of wireless communications equipment, for USD 4.1 in cash per share, or a total value of USD 122.078 mil, via a tender offer.</t>
  </si>
  <si>
    <t>Premiere Global Services Inc</t>
  </si>
  <si>
    <t>Pvd collaboration software, svcs</t>
  </si>
  <si>
    <t>Siris Capital Group LLC</t>
  </si>
  <si>
    <t>US - Siris Capital Group LLC, through funds, acquired the entire share capital of Premiere Global Services Inc, an Atlanta-based provider of collaboration software and services, for USD 14 in cash per share, or a total value of USD 655.108 mil, in a leveraged buyout transaction.</t>
  </si>
  <si>
    <t>Solera Holdings Inc</t>
  </si>
  <si>
    <t>Summertime Holding Corp</t>
  </si>
  <si>
    <t>US - Summertime Holding Corp, a unit of Vista Equity Partners LLC, merged with Solera Holdings Inc (Solera), a Westlake-based provider of computer programming and data processing services, for USD 55.85 in cash per shares or a total value of USD 3.764 bil in cash, in a leveraged buyout transaction. Originally, in September 2015, Solera was rumored to be seeking a buyer for the company. Thoma Bravo LLC and Vista Equity Partners were rumored potential bidders. Subsequently, IHS Inc was rumored to be planning to launch a challenging offer to acquire the entire share capital of Solera.</t>
  </si>
  <si>
    <t>Sirona Dental Systems Inc</t>
  </si>
  <si>
    <t>Manufacture,wholesale dental equipments</t>
  </si>
  <si>
    <t>US - DENTSPLY International Inc (DII) merged with Sirona Dental Systems Inc (SDS), a Long Island City-based manufacturer and wholesaler of dental equipments, in a stock swap transaction valued at USD 5.484 bil, via a merger of equals. DII offered 1.8142 common shares per SDS share. Based on DII's closing stock price of USD 53.62 on 14 September 2015, the last full trading day prior to the announcement, each SDS common share was valued at USD 92. 277. On completion, DII and SDS shareholders owned 58% and 42% of the merged entity named DENTSPLY SIRONA, respectively. This transaction is Tax-Exempt under IRC s386.</t>
  </si>
  <si>
    <t>Starz</t>
  </si>
  <si>
    <t>AMC Networks Inc</t>
  </si>
  <si>
    <t>Provide cable,pay TV services</t>
  </si>
  <si>
    <t>US - AMC Networks Inc was rumored to be planning to acquire the entire share capital of Starz, an Englewood-based provider of cable television services. The Current status of this deal is unknown.</t>
  </si>
  <si>
    <t>Adept Technology Inc</t>
  </si>
  <si>
    <t>Mnfr,dvlp automation products</t>
  </si>
  <si>
    <t>Relay and Industrial Control Manufacturing</t>
  </si>
  <si>
    <t>US - Omron Corp of Japan acquired the entire share capital of Adept Technology Inc, a Pleasanton-based manufacturer and developer of automation products, for USD 13 in cash per share, a total value of USD 199.307 mil, via a tender offer.</t>
  </si>
  <si>
    <t>TICC Capital Corp</t>
  </si>
  <si>
    <t>Pvds business development svcs</t>
  </si>
  <si>
    <t>TPG Specialty Lending Inc</t>
  </si>
  <si>
    <t>Business development company</t>
  </si>
  <si>
    <t>US - TPG Specialty Lending Inc (TPG) planned to acquire the entire share capital of TICC Capital Corp (TICC), a Greenwich-based business development company, in a stock swap transaction, valued at a sweetened USD 464. 307 mil, via unsolicited offer. TPG offered USD 7.74 in common shares for every TICC share held. Originally, TPG planned to acquire TICC for USD 449.91 mil.</t>
  </si>
  <si>
    <t>Alliance HealthCare Svcs Inc</t>
  </si>
  <si>
    <t>Fujian Thai Hot Invest Co Ltd</t>
  </si>
  <si>
    <t>US - Fujian Thai Hot Investment Co Ltd of China acquired a 51.513% interest, or 5.538 mil common shares in Alliance HealthCare Services Inc, a Newport Beach-based provider of outpatient diagnostic imaging services, for USD 18.5 in cash per share, or a total of USD 102. 452 mil.</t>
  </si>
  <si>
    <t>US - An investor group, comprised of Altice NV (Altice), a majority owned unit of Next Alt SARL, Canada Pension Plan Investment Board (CPPIB), and BC Partners Ltd (BC), acquired the entire share capital of Cablevision Systems Corp (Cablevision Systems), a Bethpage-based provider of cable television services, for USD 34.9 in cash per share, or a total value of USD 9.946 bil. Originally, Altice, CCPIB, and BC was rumored to be planning to acquire the entire share capital of Cablevision Systems.</t>
  </si>
  <si>
    <t>Pan Pacific Bank,Fremont,CA</t>
  </si>
  <si>
    <t>California Bank of Commerce</t>
  </si>
  <si>
    <t>US - California Bank of Commerce (CBC), acquired the entire share capital of Fremont-based Pan Pacific Bank (PPB), for an estimated USD 24.3 mil, whereby 90% of the aggregate consideration comprised of common shares and the remaining 10% in cash. On completion, CBC and PPB owned 79% and 21%, respectively, of the merged entity.</t>
  </si>
  <si>
    <t>ZS Pharma Inc</t>
  </si>
  <si>
    <t>US - Actelion Pharmaceuticals Ltd (Actelion) of Switzerland withdrew its plans to acquire the entire share capital of ZS Pharma Inc (ZS), a Coppell- based biopharmaceutical company. Originally, Actelion was rumored to be planning to acquire the entire share capital of ZS. The terms of the transaction were not disclosed, but according to sources close to the transaction, the value was estimated at USD 2.5 bil. Subsequently, AstraZeneca PLC acquired the entire share capital of ZS Pharma Inc.</t>
  </si>
  <si>
    <t>Dialog Semiconductor PLC</t>
  </si>
  <si>
    <t>US - Dialog Semiconductor PLC (Dialog) of the UK withdrew its agreement to acquire the entire share capital of Atmel Corp (Atmel), a San Jose- based manufacturer and wholesaler of semiconductors, for a total USD 4.388 bil, in a stock swap transaction. Dialog offered USD 4.65 in cash and 0.112 Dialog ordinary shares per Atmel share. Based on the Dialog closing stock price of USD 51. 407 on 18 September 2015, the last full trading day prior to the announcement, each Atmel share was valued at USD 10.408. Originally, In June 2015, Atmel was rumored to be seeking a buyer for entire share capital of the company. China Electronics Corp was named as rumored bidder. Subsequently, Cypress Semiconductor Corp was rumored to be planning to launch a challenging offer to acquire the entire share capital of Atmel.</t>
  </si>
  <si>
    <t>US - IHS Inc was withdrew its plans to launch a challenging offer to acquire the entire share capital of Solera Holdings Inc, a Westlake- based provider of computer programming and data processing services. Subsequently, Vista Equity Partners LLC merged with Solera.</t>
  </si>
  <si>
    <t>US - Cypress Semiconductor Corp discontinued the rumors that it planned to launch a challenging offer to acquire the entire share capital of Atmel Corp (Atmel), a San Jose-based manufacturer and wholesaler of semiconductors. Subsequently, Dialog Semiconductor PLC agreed to acquire the entire share capital of Atmel.</t>
  </si>
  <si>
    <t>Orange County Business Bank</t>
  </si>
  <si>
    <t>US - Homestreet Inc definitively acquired the entire share capital of Orange County Business Bank, an Irvine-based commercial bank, for USD 11.7 in cash per share, or a total value of USD 55.278 mil. This transaction is Tax-Exempt under IRC s386.</t>
  </si>
  <si>
    <t>Phoenix Cos Inc</t>
  </si>
  <si>
    <t>Nassau Reinsurance Group</t>
  </si>
  <si>
    <t>US - Nassau Reinsurance Group Holdings LP, a unit of Golden Gate Capital, acquired the entire share capital of Phoenix Cos Inc, a Hartford- based provider of life insurance services, for USD 37.5 in cash per share, or a total value of USD 217.5 mil.</t>
  </si>
  <si>
    <t>Rentrak Corp</t>
  </si>
  <si>
    <t>Dvlp web-based software</t>
  </si>
  <si>
    <t>comScore Inc</t>
  </si>
  <si>
    <t>Pvd online research services</t>
  </si>
  <si>
    <t>US - comScore Inc (CI) merged with Rentrak Corp (RC), a Portland-based provider of consumer viewership information services, in a stock swap transaction valued at USD 813.244 mil. CI offered 1.15 common shares per RC share. Based on CI's closing stock price of USD 43. 15 on 28 September 2015, the last full trading day prior to the announcement, each RC share was valued at USD 49. 623. On completion, CI and RC shareholders were to own 66. 5% and 33.% of the merged entity, respectively. This transaction is Tax-Exempt under IRC s386.</t>
  </si>
  <si>
    <t>Montage Technology Group Ltd</t>
  </si>
  <si>
    <t>US - Montage Technology Group Ltd of China withdrew its plans to launch an unsolicited challenging offer to acquire the entire share capital of Pericom Semiconductor Corp (Pericom), a Milpitas-based manufacturer and wholesaler of integrated circuits, for USD 18.5 in cash per share, or a total value of USD 413.813 mil. Subsequently, Diodes Inc acquired the entire share capital of Pericom.</t>
  </si>
  <si>
    <t>US - Park Sterling Corp (Park) acquired the entire share capital of First Capital Bancorp Inc (First), a Glen Allen-based bank holding company, in a stock swap transaction valued at USD 71. 831 mil. Park offered a choice of USD 5.54 in cash or 0.775 common shares per First share, subject to proration whereby 70% of the aggregate consideration was to comprise of common shares and the remaining 30% in cash.</t>
  </si>
  <si>
    <t>Jacksonville Bancorp Inc</t>
  </si>
  <si>
    <t>Ameris Bancorp</t>
  </si>
  <si>
    <t>US - Ameris Bancorp (ABC) acquired the entire share capital of Jacksonville Bancorp Inc (JBI), a Jacksonville-based bank holding company, for USD 58. 872 mil, whereby 75% of the aggregate consideration was to comprised of common shares and the remaining 25% in cash. ABC offered a choice of 0. 5861 shares or USD 16.50 in cash per JBI share.</t>
  </si>
  <si>
    <t>Security California Bancorp</t>
  </si>
  <si>
    <t>US - Pacific Premier Bancorp Inc (Pacific Premier) acquired the entire share capital of Security California Bancorp (Security California), a Riverside- based bank holding company, in a stock swap transaction valued at USD 118.931 mil. Pacific Premier offered 0.963 common shares per Security California share and USD 0. 766 mil in cash. Based on Pacific Premier's closing stock price of USD 20.32 on 30 September 2015, the last full trading day prior to the announcement, each Security California share was valued at USD 19.566. On completion, Pacific Premier and Security California owned 78.7% and 21. 3% in the merged entity, respectively. This transaction is Tax-Exempt under IRC s386.</t>
  </si>
  <si>
    <t>Cmnty Bk of S Florida Inc</t>
  </si>
  <si>
    <t>CenterState Banks Inc</t>
  </si>
  <si>
    <t>US - Center State Banks Inc (Center) acquired  the entire share capital of Community Bank of South Florida Inc (Community), a Homestead- based commercial bank, for a total USD 66.874 mil, in a stock swap transaction. Center offered a choice of USD 13.31 in cash per share, or a total value of USD 66. 237 mil. Center offered 0. 9148 common shares for every Community common share. Based on Center's closing stock price of USD 14.69 on 02 October 2015, the last full trading day prior to the announcement, each Community was valued at USD 13.438. This transaction is Tax- Exempt under IRC s386.</t>
  </si>
  <si>
    <t>US - Skyworks Solutions Inc (Skyworks) withdrew its definitive agreement to acquire the entire share capital of PMC-Sierra Inc (PMC), a Sunnyvale-based manufacturer and wholesaler of semiconductors, for a sweetened USD 11.6 in cash per share, or a total value of USD 2.325 bil. Originally, Skyworks definitively agreed to acquire the entire share capital of PMC for USD 10.5 in cash per share, or a total value of 2.094 bil. Subsequently, Microsemi Corp acquired the entire share capital of PMC.</t>
  </si>
  <si>
    <t>EnerSys Inc</t>
  </si>
  <si>
    <t>Whl,mnfr industrial batteries</t>
  </si>
  <si>
    <t>US - Johnson Controls Inc was rumored to be planning to acquire the entire share capital of EnerSys Inc, a Reading-based wholesaler and manufacturer of industrial batteries such as chargers, power equipment and battery accessories The terms of the transaction were not disclosed, but according to sources close to the transaction, the value was estimated at USD 3 bil. The Current status of this deal is unknown.</t>
  </si>
  <si>
    <t>Journal Media Group Inc</t>
  </si>
  <si>
    <t>US - Gannett Co Inc acquired the entire share capital of Journal Media Group Inc, a Milwaukee-based provider of print and digital publishing services, from Journal Communications Inc and EW Scripps Co, for USD 12 in cash per share, or a total value of USD 292.89 mil.</t>
  </si>
  <si>
    <t>Chemours Co</t>
  </si>
  <si>
    <t>Mnfr performance chemicals</t>
  </si>
  <si>
    <t>US - Apollo Global Management LLC was rumored to be planning to acquire the entire share capital of Chemours Co, a Wilmington- based manufacturer of specialty chemicals. The Current status of this deal is unknown.</t>
  </si>
  <si>
    <t>BioMed Realty Trust Inc</t>
  </si>
  <si>
    <t>US - Blackstone Real Estate Partners VIII LP, a unit of Blackstone Group LP, acquired the entire share capital or 203.568 mil common shares of BioMed Realty Trust Inc (Biomed), a San Diego-based real estate investment trust, for USD 23.75 in cash per share or a total value of USD 4.835 bil, in a leveraged buyout transaction. Originally, in September 2015, Biomed was rumored to be seeking a buyer for the company. Blackstone Group LLP was named as potential bidder.</t>
  </si>
  <si>
    <t>UTi Worldwide Inc</t>
  </si>
  <si>
    <t>Provide transportation services</t>
  </si>
  <si>
    <t>DSV A/S</t>
  </si>
  <si>
    <t>Pvd transp,logistics services</t>
  </si>
  <si>
    <t>US - DSV A/S of Denmark acquired the entire share capital of UTi Worldwide Inc, a Long Beach-based provider of transportation services, for USD 7.1 in cash per share, and USD 1,125.71 in cash per Class A preferred share, or a total value of USD 970.767 mil.</t>
  </si>
  <si>
    <t>US - Dell Inc (Dell) merged with of EMC Corp (EMC), a Hopkinton-based provider of storage platforms development services, for USD 66 bil. Dell offered USD 24.05 in cash and 0.111 VMware Inc tracking shares per EMC share. Based on VMware's closing stock price of USD 78.65 on 9 October 2015, the last full trading day prior to the announcement, each EMC share was valued at USD 32.78. The merged entity was renamed as Dell Technologies. Originally, in September 2014, EMC was rumored to be seeking a buyer for the company. Hewlett- Packard Co, Dell Inc and Silver Lake were named rumored bidders.</t>
  </si>
  <si>
    <t>Fraternity Cmnty Bancorp Inc</t>
  </si>
  <si>
    <t>US - Hamilton Bancorp Inc acquired the entire share capital of Fraternity Community Bancorp Inc, a Baltimore-based bank holding company, for USD 19.25 in cash per shares, or a total value of USD 26.888 mil.</t>
  </si>
  <si>
    <t>US - Yadkin Financial Corp (Yadkin) merged with Greensboro-based NewBridge Bancorp (NewBridge), in a stock swap transaction valued at USD 449.415 mil. Yadkin offered 0.5 common shares per NewBride class A and class B share. Based on Yadkin's closing stock price of USD 22. 79 on 12 October 2015, the last full trading day prior to the announcement, each NewBridge share was valued at USD 11.395. Upon completion, an new entity will be formed under the name Yadkin Financial Corporation. This transaction is Tax-Exempt under IRC s386.</t>
  </si>
  <si>
    <t>Wausau Paper Corp</t>
  </si>
  <si>
    <t>Mnfr,whl fine printing paper</t>
  </si>
  <si>
    <t>Svenska Cellulosa AB SCA</t>
  </si>
  <si>
    <t>Mnfr,whl hygiene products</t>
  </si>
  <si>
    <t>US - Svenska Cellulosa AB SCA of Sweden acquired the entire share capital of Wausau Paper Corp, a Mosinee-based manufacturer and wholesaler of towel and tissue products, for USD 10.25 in cash per share or a total value of USD 514.476 mil.</t>
  </si>
  <si>
    <t>County Commerce Bank,Ventura</t>
  </si>
  <si>
    <t>US - Citizens Business Bank, a unit of CVB Financial Corp (CVB), acquired the entire share capital of Ventura- based County Commerce Bank, for an estimated USD 41.25 mil. The consideration consisted of USD 20.625 mil in cash and USD 20.625 mil in third party CVB common shares, subject to a collar agreement. This transaction is Tax-Exempt under IRC s386.</t>
  </si>
  <si>
    <t>US - Analog Devices Inc was rumored to be planning to merge with Maxim Integrated Products Inc, a San Jose- based manufacturer and wholesaler of linear and mixed-signal integrated circuits. The Current status of this deal is unknown.</t>
  </si>
  <si>
    <t>Campus Crest Communities Inc</t>
  </si>
  <si>
    <t>Harrison Street Re Capital LLC</t>
  </si>
  <si>
    <t>US - Harrison Street Real Estate Capital LLC merged with Campus Crest Communities Inc (Campus Crest), a Charlotte-based real estate investment trust, for an estimated USD 7.03 in cash per share, or a total of USD 455.238 mil. The deal value was conditioned on completion of the sale of Campus Crest's ownership interest in its evo Montreal joint venture before October 30, 2015.</t>
  </si>
  <si>
    <t>US - Microsemi Corp (Microsemi) acquired the entire share capital of PMC- Sierra Inc (PMC), a Sunnyvale- based manufacturer of semiconductors, for USD 2.42 bil, via challenging tender offer. Microsemi offered a twice sweetened USD 9.22 in cash and 0.0771 common share per PMC share. Earlier, Microsemi completed the tender offer for PMC by accepting 167.068 mil common shares, or about 85.381% of PMC's common stock outstanding. Based on Microsemi's closing stock price of USD 36.78 on 29 October 2015, the last full trading day prior to the amendment of terms, each PMC share was valued at USD 12. 056. The transaction was conditioned upon majority of PMC common shares being tendered. Previously, Microsemi offered a sweetened USD 9.04 in cash and 0.0771 common share per PMC share. Originally, Microsemi offered USD 8.75 in cash and 0.074 common share per PMC share. On completion, Microsemi owned 85% and PMC owned 15% of the combined entity. Previously, Skyworks Solutions Inc withdrew its definitive agreement to acquire PMC.</t>
  </si>
  <si>
    <t>Community First Bank, Somerset</t>
  </si>
  <si>
    <t>Regal Bk,Livingston,New Jersey</t>
  </si>
  <si>
    <t>US - Regal Bank mergeed with Somerset-based Community First Bank, in a stock swap transaction valued at USD 9.7 mil. Regal offered USD 8.73 mil in stock and USD 0.97 mil in cash.</t>
  </si>
  <si>
    <t>AmSurg Corp</t>
  </si>
  <si>
    <t>Pvd ambulatory surgery svcs</t>
  </si>
  <si>
    <t>US - AmSurg Corp (AmSurg) withdrew its plans to launch a hostile offer to acquire the entire share capital of Team Health Holdings Inc (Team Health), a Knoxville- based provider of outsourced physician staffing and administrative services, in a stock swap transaction, valued at a sweetened USD 5. 633 bil. AmSurg offered 0.768 common share and USD 15.49 in cash for each Team Health share. Originally AmSurg offered 0.768 common share and USD 11.49 in cash for each Team Health share. Based on AmSurg's closing stock price of USD 78.09 on 19 October 2015, the last full trading day prior to the announcement, each Team Health share was valued at USD 75.463.</t>
  </si>
  <si>
    <t>US - Lam Research Corp (Lam) withdrew its agreement to acquire the entire share capital of KLA-Tencor Corp, a Milpitas-based manufacturer of optical instruments and lenses, in a stock swap transaction valued at USD 10. 763 bil. Lam offered 0.5 and USD 32.00 divided by the volume weighted average price of Lam common stock over a five trading day period ending (VWAP). Based on Lam's VWAP of USD 67.844 and its closing stock price of USD 70. 03 on 20 October 2015, the last full trading day prior to the announcement, each Lam share was valued at USD 68. 046. Lam offered a choice of USD 32 in cash and 0.5 Lam common shares or USD 32.00 and 0.5 times the five day volume weighted average price of Lam common stock. This transaction is Tax-Exempt under IRC s386.</t>
  </si>
  <si>
    <t>US - Western Digital Corp (Western Digital) acquired the entire share capital of SanDisk Corp (SanDisk), a Milpitas-based manufacturer and wholesaler of flash storage products, for an amended USD 16.124 bil. Western Digital offered an amended USD 67.50 in cash and 0.2387 of Western Digital common share per SanDisk share. On completion, SanDisk common shares were delisted from NASDAQ Stock Market LLC. Previously, Western Digital offered USD 85.10 in cash and 0.0176 Western Digital common share. Originally, in October 2015, SanDisk was rumored to be seeking a buyer for the company. Western Digital and Micron Technology Inc were named potential bidders.</t>
  </si>
  <si>
    <t>SolarWinds Inc</t>
  </si>
  <si>
    <t>SolarWinds Inc SPV</t>
  </si>
  <si>
    <t>US - SolarWinds Inc SPV, a special purpose acquisition vehicle created by Silver Lake Partners, a unit of Silver Lake Management LLC, and Thoma Bravo LL,C acquired the entire share capital of SolarWinds Inc (SI), an Austin-based developer of network management software, for USD 60.1 in cash per share, or a total value of USD 4.474 bil, in a leveraged buyout transaction. With the closing of the transaction, SolarWinds common stock has ceased trading on the New York Stock Exchange under the symbol SWI. Originally, in October 2015, SI announced that it was seeking a buyer for the company.</t>
  </si>
  <si>
    <t>SmartPros Ltd</t>
  </si>
  <si>
    <t>Pvd professional educ svcs</t>
  </si>
  <si>
    <t>Professional and Management Development Training</t>
  </si>
  <si>
    <t>US - Kaplan Inc, a unit of Graham Holdings Co, merged with SmartPros Ltd, a Hawthorne-based provider of professional and management development training services, for USD 3.57 per share or a total value of USD 16.426 mil.</t>
  </si>
  <si>
    <t>Edgewater Technology Inc</t>
  </si>
  <si>
    <t>Pvd bus,info tech consulting svcs</t>
  </si>
  <si>
    <t>Ameri Holdings Inc</t>
  </si>
  <si>
    <t>US - Ameri Holdings Inc planned to launch an unsolicited offer to acquire the entire share capital of Edgewater Technology Inc, a Wakefield-based provider of business and information technology consulting services, for USD 8.50 in cash per share or a total value of USD 117.253 mil.</t>
  </si>
  <si>
    <t>VBI Vaccines Inc</t>
  </si>
  <si>
    <t>SciVac Therapeutics Inc</t>
  </si>
  <si>
    <t>US - SciVac Therapeutics Inc(SciVac) of Israel merged with VBI Vaccines Inc, a Cambridge-based manufacturer of biological products, for a total USD 83.864 mil, in a stock swap transaction. The share were valued based on SciVac's closing stock price of  USD 0.175 on 23 October 2015, the last full trading day prior to the announcement. On completion, SciVac was renamed VBI Vaccines Inc.</t>
  </si>
  <si>
    <t>Northern Tier Energy LP</t>
  </si>
  <si>
    <t>US - Western Refining Inc (Western) acquired the remaining 61.6% interest or 57.211 mil common shares, which it did not already own, in Northern Tier Energy LP (Northern), a Ridgefield- based crude petroleum and natural gas company, for an amended USD 1.491 bil. Western offered a choice of USD 15 and 0.2986 Western share or USD 26.06 in cash or 0.7036 Western share per Northern share, subject to proration. Based on Western's closing stock price of USD 37. 04 on 18 December 2015, the last full trading day prior to the announcement of amended terms, each share was valued at USD 26.06. Originally, Western offered USD 17.5 in cash and 0.2266 per Northern share via an unsolicited offer.</t>
  </si>
  <si>
    <t>Bridgestone Ret Op LLC</t>
  </si>
  <si>
    <t>General Automotive Repair</t>
  </si>
  <si>
    <t>US - Bridgestone Retail Operations LLC, (Bridgestone Retail) a unit of Bridgestone Americas Holding Inc, withdrew its agreement to merge with The PEP Boys-Manny Moe &amp; Jack Inc (Pep Boys), a Philadelphia-based retailer of automotive parts and accessories, via a tender offer for a twice sweetened USD 17 in cash per share or a total value of USD 929.797 mil. Previously, Bridgestone Retail offer a sweetened USD 15.5 in cash per share. Originally, Bridgestome offered USD 15 in cash per share. The offer was conditioned upon at least majority of Pep Boys shares being tendered. Upon completion, Pep Boys common shares were to be delisted from the New York Stock Exchange. Subsequently, Icahn Enterprises LP definitively agreed to acquire the remaining 87.878% interest, which it did not already own, in Pep Boys. Originally, in May 2015, Pep Boys was rumored to be seeking a buyer for the company. Golden Gate Capital and Gamco Investors Inc were named potential bidders.</t>
  </si>
  <si>
    <t>Piedmont Natural Gas Co Inc</t>
  </si>
  <si>
    <t>US - Duke Energy Corp acquired the entire share capital of Piedmont Natural Gas Co Inc, a Charlotte-based natural gas distributor, for USD 60 in cash per share or a total value of USD 6.595 bil, including the assumption of USD 1.8 bil in liabilities.</t>
  </si>
  <si>
    <t>River Valley Bancorp</t>
  </si>
  <si>
    <t>US - German American Bancorp Inc (German) acquired the entire share capital of River Valley Bancorp (River), a Madison-based bank holding company, in a stock swap transaction valued at USD 86. 669 mil. German offered 0.770 common shares and USD 0.99 in cash per River share. Based on German's closing stock price of USD 31.92 in 23 October 2015, the last full trading day prior to the announcement, each River share was valued at USD 34. 478.</t>
  </si>
  <si>
    <t>TriVascular Technologies Inc</t>
  </si>
  <si>
    <t>US - Endologix Inc (Endologix) acquired the entire share capital of TriVascular Technologies Inc (TriVascular) , a Santa Rosa-based manufacturer and wholesaler of medical devices, for an estimated USD 185.311 mil. The consideration consisted USD 0.34 in cash and 0.631 Endologix common share per TriVascular share. The shares were valued based on Endologix's closing stock price of USD 13.81 in 23 October 2015, the last full trading day prior to the announcement. On completion, the merged entity was renamed Endologix. This transaction is Tax-Exempt under IRC s386.</t>
  </si>
  <si>
    <t>Walgreens Boots Alliance Inc</t>
  </si>
  <si>
    <t>Pharmacies and Drug Stores</t>
  </si>
  <si>
    <t>US - Walgreens Boots Alliance Inc (WBA) withdrew its agreement to acquire the entire share capital of Rite Aid Corp (Rite Aid), a Camp Hill-based owner and operator of drug stores, for an estimated amended USD 7 per share, or a total value of USD 15.024 bil, including the assumption of USD 7.496 bil in liabilities. Previously, WBA offered USD 9 in cash per share, or a total value of an estimated USD 17.2 bil, including the assumption of USD 7.496 bil in liabilities. Originally, WBA was rumored to be in negotiations to acquire Rite Aid.</t>
  </si>
  <si>
    <t>Diamond Foods Inc</t>
  </si>
  <si>
    <t>Produce,wholesale nuts</t>
  </si>
  <si>
    <t>Snyder's-Lance Inc</t>
  </si>
  <si>
    <t>Produce,wholesale snack foods</t>
  </si>
  <si>
    <t>US - Snyder's-Lance Inc (Snyder) acquired the entire share capital of Diamond Foods Inc (Diamond), a Stockton-based producer and wholesaler of culinary, snack, in-shell and ingredient nuts, in a stock swap transaction, for an estimated USD 1.955 bil, including assumption of liabilities, from Oaktree Capital Management LP. Snyder offered USD 12.5 in cash per share, 0.775 common shares and USD 0.64 dividends per Diamond share. Based on Snyder's closing stock price of USD 36.08 on 27 October 2015, the last full trading day prior to the announcement, each Diamond share was valued USD 40.462. On completion, Diamond shareholders were to own 26% of the combined entity. Originally, Kellogg Co was rumored to be planning to acquire the entire share capital of Diamond. This transaction is Tax-Exempt under IRC s386.</t>
  </si>
  <si>
    <t>US - New York Community Bancorp Inc (New York) withdrew its definitive agreement to merge with Lake Success-based Astoria Financial Corp (Astoria), in a stock swap transaction valued at USD 1.981 bil. New York offered USD 0.5 in cash and 1 common share per Astoria share. Based on New York's closing stock price of USD 19.16 on 28 October 2015, each Astoria share was valued at USD 19.66. Upon completion, New York will hold 82% and Astoria will hold 18% of the combined entity. Originally, In October 2015, Astoria was rumored to be seeking a buyer for the entire share capital of the company. This transaction is Tax-Exempt under IRC s386.</t>
  </si>
  <si>
    <t>Avalon Correctional Services</t>
  </si>
  <si>
    <t>Pvd facilities support svcs</t>
  </si>
  <si>
    <t>Pvd correctional svcs</t>
  </si>
  <si>
    <t>US - Corrections Corp of America, a unit of CCA Prison Realty Trust, acquired Avalon Correctional Services Inc, an Oklahoma City-based provider of facilities support services, for a total USD 165 mil. The consideration was consisted of USD 157.50 mil in cash and up to USD 7.50 mil in profit related payments.</t>
  </si>
  <si>
    <t>US - KeyCorp,Cleveland,Ohio (KeyCorp) merged with First Niagara Financial Group Inc (First Niagara), a Buffalo- based commercial bank, in a stock swap transaction, for a total of USD 4.044 bil. KeyCorp offered USD 2.3 in cash and 0.68 Keycorp's share per First Niagara share. Based on KeyCorp's closing stock price of USD 13.38 on 29 October 2015, the last full trading day prior to the announcement, each First Niagara share was valued at USD 11.398. Originally, in September 2015, First Niagara was rumored to be seeking a buyer for the entire share capital of the company. This transaction is Tax-Exempt under IRC s386.</t>
  </si>
  <si>
    <t>Constant Contact Inc</t>
  </si>
  <si>
    <t>Endurance Intl Group Inc</t>
  </si>
  <si>
    <t>Pvd online application svcs</t>
  </si>
  <si>
    <t>US - Endurance International Group Inc, a unit of Endurance International Group Holdings Inc, acquired the entire share capital of Constant Contact Inc (Constant), a Waltham-based provider of direct mail advertising services, for USD 32 cash per share or a total value of USD 1.112 bil. On completion, Constant common shares will be delisted from the NASDAQ Global Select Market.</t>
  </si>
  <si>
    <t>Dyax Corp</t>
  </si>
  <si>
    <t>US - Shire PLC (Shire) of Ireland acquired the entire share capital of Dyax Corp (Dyax), a Burlington-based provider of biotechnology firm, for USD 37.3 in cash and USD 4 in contingent value right per Dyax share, or a total value of USD 6.557 bil. Originally, in June 2015, Shire was rumored to be planning to acquire Dyax.</t>
  </si>
  <si>
    <t>Furmanite Corp</t>
  </si>
  <si>
    <t>Pvd specialty industrial svcs</t>
  </si>
  <si>
    <t>US - Team Inc (Team) acquired the entire share capital of Furmanite Corp (Furmanite), a Houston-based provider of specialty trade contractor services, in a stock swap transaction valued at USD 285. 876 mil. Team offered 0.215 common share per Furmanite share. Based on Team's closing stock price of USD 35 on 30 October 2015, the last full trading day prior to the announcement, each Furmanite share was valued at USD 7.525. Team and Furmanite shareholders received 73% and 27% respectively. This transaction is Tax-Exempt under IRC s386.</t>
  </si>
  <si>
    <t>Hutchinson Technology Inc</t>
  </si>
  <si>
    <t>Mnfr suspension assemblies</t>
  </si>
  <si>
    <t>TDK Corp</t>
  </si>
  <si>
    <t>Other Electronic Component Manufacturing</t>
  </si>
  <si>
    <t>US - TDK Corp (TDK) of Japan acquired the remaining stake, which it did not already own, in Hutchinson Technology Inc, a Hutchinson-based manufacturer of electronic components, for a total USD 134.16 mil. TDK offered USD 3. 62 in cash per share and up to USD 12.745 in profit- related payments.</t>
  </si>
  <si>
    <t>MedAssets Inc</t>
  </si>
  <si>
    <t>Pamplona Capital Management</t>
  </si>
  <si>
    <t>US - Pamplona Capital Management LLP of the UK acquired the entire share capital of MedAssets Inc, an Alpharetta-based healthcare software developer, for USD 31.35 in cash per share or a total value of USD 1.939 bil, in a leveraged buyout transaction.</t>
  </si>
  <si>
    <t>US - Targa Resources Corp (TRC) acquired the remaining 91.176% interest, or 168.529 mil common units, which it did not already own, in Targa Resources Partners LP (TRP), a Houston-based provider of midstream natural gas and NGL services, in a stock swap transaction valued at USD 6. 082 bil. TRC offered 0.62 common shares per TRP unit. Based on TRC's closing stock price of USD 58.21 on 02 November 2015, the last full trading day prior to the announcement, each TRP share was valued at USD 36.090.</t>
  </si>
  <si>
    <t>HomeAway Inc</t>
  </si>
  <si>
    <t>Internet Publishing and Broadcasting and Web Search Portals</t>
  </si>
  <si>
    <t>US - Expedia Inc (Expedia) acquired the entire share capital of HomeAway Inc (HomeAway), an Austin-based provider of online vacation rentals marketing services, in a stock swap transaction valued at USD 3.793 bil, via tender offer. Expedia offered USD 10.15 in cash and 0.2065 common shares per HomeAway share. Based on Expedia's closing stock price of USD 136.39 on 03 November 2015, the last full trading day prior to the announcement, each HomeAway share is valued at USD 38.15. Earlier, Expedia completed the tender offer for HomeAway by accepting 62.068 mil shares, or 65.534% of HomeAway's common shares outstanding. On completion, HoeAway common shares were delisted from the NASDAQ Global Market. This transaction is Tax-Exempt under IRC s386.</t>
  </si>
  <si>
    <t>US - AstraZeneca PLC (AstraZeneca) of the UK acquired the entire share capital of ZS Pharma Inc (ZS), a San Mateo-based biopharmaceutical company, for USD 90 in cash per share or a total value of USD 2.691 bil, via challenging tender offer. Earlier, AstraZeneca completed the tender offer for ZS by accepting 21.949 mil shares, or about 86.861% of ZS common stock outstanding. The offer was conditioned upon majority of ZS Pharma's common shares being tendered. Subsequently, Actelion Pharmaceuticals Ltd withdraw its plans to acquire the entire share capital of ZS Pharma.</t>
  </si>
  <si>
    <t>Grayson Bankshares Inc</t>
  </si>
  <si>
    <t>US - Cardinal Bankshares Corp, Floyd,Virginia (Cardinal) merged with a Virginia-based Grayson Bankshares Inc (Grayson), to form Parkway Acquisition Corp (Parkway) in a stock swap transaction valued at USD 10.934 mil via a reverse takeover transaction. Cardinal common shareholders were to receive 1.3 Parkway common shares and Grayson common shareholders were to receive 1.76 Parkway common shares per share held. Based on Cardinal closing stock price of USD 8.77 on 6 November 2015, the last full trading day prior to the announcement, each Grayson share was valued at USD 6.193. Upon completion Cardinal and Grayson were to own 40% and 60% in Parkway respectively.</t>
  </si>
  <si>
    <t>US - Weyerhaeuser Co (Weyerhaeuser) merged with Plum Creek Timber Co Inc (Plum Creek), a Seattle-based owner and owner timberlands, in a stock swap transaction valued at USD 8.462 bil. Weyerhaeuser offered 1.6 common shares per Plum Creek share. Based on Weyerhaeuser's closing stock price of USD 30.4 on 06 November 2015, the last full trading day prior to the announcement, each Plum Creek share was valued at USD 48.64. On completion, Weyerhaeuser and Plum Creek shareholders were to own 65% and 35% in the merged entity was renamed Weyerhaeuser, respectively.</t>
  </si>
  <si>
    <t>C1 Financial Inc</t>
  </si>
  <si>
    <t>US - Bank of the Ozarks Inc (Ozarks) acquired the entire share capital of C1 Financial Inc (C1), a St. Petersburg- based commercial bank, in a stock swap transaction, valued at an estimated USD 402.524 mil. Ozarks offered 0. 471 common share for every C1 share held. Based on the Ozarks's closing stock price of USD 53.05 on 6 November 2015, the last full trading day prior to the announcement, each C1 share was valued at USD 25. This transaction is Tax-Exempt under IRC s386.</t>
  </si>
  <si>
    <t>Fidelity &amp; Guaranty Life</t>
  </si>
  <si>
    <t>Anbang Insurance Group Co Ltd</t>
  </si>
  <si>
    <t>US - Anbang Insurance Group Co Ltd of China withdrew its plans to acquire the entire share capital of Fidelity &amp; Guaranty Life (Fidelity), a Des Moines-based insurance holding company, from Harbinger Group Inc (Harbinger), ultimately owned by Harbinger Capital Partners LLC, for USD 26.8 in cash per share or a total value of USD 1.578 bil. Originally, in April 2015, Harbinger announced that it was seeking a buyer for its 80.07% interest in Fidelity.</t>
  </si>
  <si>
    <t>Ocata Therapeutics Inc</t>
  </si>
  <si>
    <t>US - Astellas Pharma Inc of Japan, through its Laurel Acquisition Inc subsidiary, acquired the entire share capital of Ocata Therapeutics Inc (Ocata), a Marlborough- based biotechnology company, for USD 8.5 in cash per share or a total value of USD 362. 69 mil, via tender offer. The offer was conditional upon at least a majority of Ocata's shares being tendered.</t>
  </si>
  <si>
    <t>Rizvi Traverse Management LLC</t>
  </si>
  <si>
    <t>US - Rizvi Traverse Management LLC acquired the entire share capital of RealD Inc, a Beverly Hills-based manufacturer of digital 3D motion picture systems, for USD 11 in cash per share, or a total value of USD 560.141 mil, in a leveraged buyout transaction.</t>
  </si>
  <si>
    <t>TAL International Group Inc</t>
  </si>
  <si>
    <t>Triton Container Intl Ltd</t>
  </si>
  <si>
    <t>Pvd container leasing services</t>
  </si>
  <si>
    <t>US - Triton Container International Ltd (Triton) of Bermuda, jointly owned by Vestar Capital Partners Inc and Warburg Pincus LLC, merged with TAL International Group Inc (TAL), a New York- based provider of container leasing services. On completion, Triton and TAL International combined under a newly-formed holding company, Triton International Ltd. Triton and TAL owned 55% and 45% in the combined company, respectively. This transaction is Tax-Exempt under IRC s386.</t>
  </si>
  <si>
    <t>US - Anadarko Petroleum Corp was rumored to be planning to acquire the entire share capital of Apache Corp, a Houston-based an oil and gas exploration and production company. The Current status of this deal is unknown.</t>
  </si>
  <si>
    <t>TFC Holding Co</t>
  </si>
  <si>
    <t>RBB Bancorp</t>
  </si>
  <si>
    <t>US - RBB Bancorp acquired the entire share capital of TFC Holding Co, an Alhambra-based bank holding company, for an estimated USD 15 in cash per share or a total value of an estimated USD 83.325 mil.</t>
  </si>
  <si>
    <t>Angie's List Inc</t>
  </si>
  <si>
    <t>Provide online reviews svcs</t>
  </si>
  <si>
    <t>US - IAC/InterActiveCorp withdrew its plans to launch an unsolicited offer to acquire the entire share capital of Angie's List Inc, an Indianapolis-based provider of online review services, for USD 9.75 in cash per share, or a total value of USD 512.021 mil.</t>
  </si>
  <si>
    <t>Roundy's Inc</t>
  </si>
  <si>
    <t>Supermarkets and Other Grocery (Except Convenience) Stores</t>
  </si>
  <si>
    <t>US - Kroger Co (Kroger) acquired the entire share capital of Roundy's Inc, a Milwaukee-based supermarket operator, for USD 3.60 in cash per share of a total of USD 177.8 mil, by accepting 33.144 mil common shares, or 67.109% of the company's common stock outstanding. The offer was conditioned upon the majority of Kroger's share being tendered.</t>
  </si>
  <si>
    <t>NI Bancshares Corp,IL</t>
  </si>
  <si>
    <t>US - First Midwest Bancorp (First Midwest) Inc acquired the entire share capital of NI Bancshares Corp (NI), a Sycamore-based bank holding company, in a stock swap transaction, valued at USD 105.511 mil. First Midwest offered USD 13.17 in cash and 2.8858 First Midwest common shares per NI share. Based on First Midwest closing stock price of USD 19.04 on 11 November 2015, the last full trading day prior to the announcement, each NI share was valued at USD 54.946. This transaction is Tax- Exempt under IRC s386.</t>
  </si>
  <si>
    <t>Clayton Williams Energy Inc</t>
  </si>
  <si>
    <t>Concho Resources Inc</t>
  </si>
  <si>
    <t>US - Concho Resources Inc was rumored to be planning to acquire the entire share capital of Clayton Williams Energy Inc, a Midland-based oil and gas exploration and production company. The Current status of this deal is unknown.</t>
  </si>
  <si>
    <t>High Point Bank Corp</t>
  </si>
  <si>
    <t>US - BNC Bancorp (BNC) acquired the entire share capital of High Point-based High Point Bank Corp (High Point), in a stock swap transaction, valued at USD 141.263 mil, subject to proration and collar agreement. BNC offered a choice of USD 300 in cash or 11.7818 common shares for every High Point share held. Based on BNC's closing stock price of USD 25.45 on 13 November 2015, the last full trading day prior to the announcement, each High Point share was valued at USD 300. This transaction is Tax- Exempt under IRC s386.</t>
  </si>
  <si>
    <t>Own,operate hotels,resorts</t>
  </si>
  <si>
    <t>US - Marriott International Inc (Marriott) acquired the entire share capital of Starwood Hotels &amp; Resorts Worldwide Inc (Starwood), a Stamford-based real investment trust, in a sweetened stock swap transaction valued at USD 13. 568 bil. Marriott offered USD 21 in cash and 0.8 common share per Starwood common share. Based on Marriott's closing stock price of USD 73. 16 on 18 March 2016, the last full trading day prior to the amendments of the terms, each Starwood was valued at USD 79. 528. Previously, Marriott offered USD 2 in cash and 0. 92 common share per Starwood common share. Originally, Starwood was rumored to be seeking a buyer for the company. InterContinental Hotels Group Plc, Wyndham Worldwide Corp, and Hyatt Hotels Corp were named rumored potential bidders. Subsequently, an investor group, led by Anbang Insurance Group Co Ltd, including JC Flowers &amp; Co LLC and Primavera Capital Management Ltd, withdrew its plans to acquire the entire share capital of Starwood, via unsolicited offer. This transaction is Tax-Exempt under IRC s386.</t>
  </si>
  <si>
    <t>B Riley Capital Mgmt, LLC</t>
  </si>
  <si>
    <t>US - B Riley Capital Management LLC (B Riley Capital), a unit of B. Riley Financial Inc, acquired the remaining 92.107% interest, or 13.649 mil shares, which it did not already own, in United Online Inc, a Woodland Hills-based Internet service provider, for an amended USD 11 in cash per share, or a total value of USD 150.136 mil. Originally, B Riley Capital offered USD 12.5 in cash per share, or a total value of USD 170.817 mil.</t>
  </si>
  <si>
    <t>Air Liquide SA</t>
  </si>
  <si>
    <t>Manufacture,wholesale industrial gases</t>
  </si>
  <si>
    <t>US - Air Liquide SA of France acquired the entire share capital of Airgas Inc (Airgas) , a Radnor-based wholesaler of industrial and medical equipment, for USD 143 in cash per share, or a total value of USD 10.629 bil. On completion, Airgas common shares were delisted form the New York Stock Exchange.</t>
  </si>
  <si>
    <t>US - Canadian Pacific Railway Ltd (Canadian Pacific) of Canada, withdrew its plans to launch a hostile offer to acquire the entire share capital of Norfolk Southern Corp (Norfolk Southern), a Norfolk-based provider of railroad transportation services, in a stock swap transaction valued at an amended USD 27.544 bil. Canadian Pacific offered USD 32.86 in cash, 0.451 Canadian Pacific share and 0.451 contingent value right per Norfolk Southern share. Based on Canadian Pacific's closing stock price of USD 130.394 on 7 December 2015, the last full trading day prior to the amendment of terms, each Norfolk Southern share was valued at USD 91.668. Previously, Canadian Pacific offered USD 94.618 per share, comprised of USD 46.72 in cash and 0.348 Canadian Pacific share per Norfolk Southern share. Originally, Canadian Pacific was rumored to be planning to acquire Norfolk Southern.</t>
  </si>
  <si>
    <t>Fairchild Semiconductor Intl</t>
  </si>
  <si>
    <t>US - ON Semiconductor Corp (ON) merged with Fairchild Semiconductor International Inc (Fairchild), a South Portland-based manufacturer of semiconductors, for USD 20 in cash per common share or a total value of USD 2.27 bil in cash, via tender offer. On completion, Fairchild's common shares were delisted in NASDAQ. Earlier, ON completed its tender offer for Fairchild by accepting 87. 980 mil, or 76.6% of Fairchild's common shares outstanding. Originally, in October 2015, Fairchild was rumored to be seeking a buyer for the entire share capital of the company. ON Semiconductor Corp and Infineon Technologies AG were rumored to be potential bidders. Subsequently, Fairchild Semiconductor International Inc SPV withdrew its plans to launch a challenging unsolicited offer to acquire Fairchild.</t>
  </si>
  <si>
    <t>KaloBios Pharmaceuticals Inc</t>
  </si>
  <si>
    <t>Mnfr antibody therapeutics</t>
  </si>
  <si>
    <t>US - An investor group, comprised of Martin Shkreli and other undisclosed investors, acquired an undisclosed majority interest in KaloBios Pharmaceuticals Inc, a South San Francisco- based manufacturer of pharmaceutical preparation, for an estimated USD 3 mil.</t>
  </si>
  <si>
    <t>Box Inc</t>
  </si>
  <si>
    <t>US - Apple Inc was rumored to be planning to acquire Box Inc, a Los Altos-based software publisher. The Current status of this deal is unknown.</t>
  </si>
  <si>
    <t>Breeze-Eastern Corp</t>
  </si>
  <si>
    <t>US - TransDigm Group Inc acquired the entire share capital of Breeze-Eastern Corp, a Whippany-based manufacturer and wholesaler of specialty fastener products, rescue hoist and cargo hook systems, for USD 19.61 in cash per share, or a total value of USD 205.875 mil.</t>
  </si>
  <si>
    <t>Liberator Medical Holdings Inc</t>
  </si>
  <si>
    <t>Mnfr, whl med supplies</t>
  </si>
  <si>
    <t>US - CR Bard Inc acquired the entire share capital of Liberator Medical Holdings Inc, a Stuart-based manufacturer and wholesaler of medical supplies, for USD 3.35 in cash per share or a total value of USD 182.047 mil. On completion, Liberator common shares were delisted from the  NYSE MKT.</t>
  </si>
  <si>
    <t>BBCN Bancorp Inc</t>
  </si>
  <si>
    <t>US - Hanmi Financial Corp (Hanmi) withdrew its unsolicited plans to merge with BBCN Bancorp Inc (BBCN), a Los Angeles-based bank holding company, for a total USD 1.589 bil, in a reverse takeover stock swap transaction, via a tender offer. Hanmi offered 0.7331 common shares per BBCN share. Based on the Hanmi's closing stock price of USD 27.25 on 20 November 2015, the last full trading prior to the announcement, each BBCN share was valued at USD 19.977.</t>
  </si>
  <si>
    <t>CommunityOne Bancorp</t>
  </si>
  <si>
    <t>US - Capital Bank Financial Corp (Capital) acquired the entire share capital of CommunityOne Bancorp (CommunityOne), a Charlotte- based bank holding company, in a stock swap transaction valued at USD 351.28 mil. Capital offered a choice of USD 14.25 in cash or 0.43 Capital shares per CommunityOne share, subject to proration whereby 85% of the aggregate consideration was to comprise of common shares and the remaining 15% in cash. This transaction is Tax-Exempt under IRC s386.</t>
  </si>
  <si>
    <t>TeleCommunication Systems Inc</t>
  </si>
  <si>
    <t>Dvlp wireless commun software</t>
  </si>
  <si>
    <t>US - Comtech Telecommunications Corp acquired the entire share capital of TeleCommunication Systems Inc (TCS), an Annapolis-based developer of wireless communications software, for USD 5 in cash per share, or a total value of USD 329.669 mil. The offer was conditioned upon at least a majority of TCS shares being tendered.</t>
  </si>
  <si>
    <t>Allergan PLC</t>
  </si>
  <si>
    <t>US - Pfizer Inc (Pfizer) withdrew its definitive agreement to merge with Allergan PLC (Allergan), a Parsippany-based manufacturer and wholesaler of pharmaceutical products, in a stock swap transaction, for a total USD 145.785 bil. Pfizer offered 11.3 Pfizer common shares per Allergan common share. This transaction is structured as a tax inversion. Upon completion, Allergan and Pfizer will be renamed to Pfizer PLC and listed at the New York Stock Exchange trade under the "PFE" ticker. The transaction was a condition to the completion of the Teva Pharmaceuticals Ltd's acquisition of Allergan's Generic Drug Business. Originally, in October 2015, Pfizer was rumored to be planning to acquire Allergan. This transaction is Tax- Exempt under IRC s386.</t>
  </si>
  <si>
    <t>Boulder Brands Inc</t>
  </si>
  <si>
    <t>Wholesale dairy products</t>
  </si>
  <si>
    <t>Frozen Specialty Food Manufacturing</t>
  </si>
  <si>
    <t>US - Pinnacle Foods Inc (Pinnacle) acquired the entire share capital of Boulder Brands Inc (Boulder), a Boulder-based dairy product merchant wholesaler, for USD 11 in cash per share, or a total value of USD 962.511 mil including the assumption of USD 265 mil in liabilities. Earlier, Pinnacle completed its tender offer for Boulder by accepting 59.367 mil common shares, or about 96. 158% of Boulder's common stock outstanding.</t>
  </si>
  <si>
    <t>Cheviot Financial Corp</t>
  </si>
  <si>
    <t>US - MainSource Financial Group Inc (MainSource) acquired the entire share capital of Cheviot Financial Corp (Cheviot), a Cheviot- based provider of financing services, in a stock swap transaction valued at USD 112. 279 mil. MainSource offered a choice of 0.6916 common shares or USD 15 in cash per share, subject to proration whereby 50% of Cheviot shares being exchanged for common stock and 50% for cash. The shares were valued based on MainSource's closing stock price of USD of 23.52 on 23 November 2015, the last full trading day prior to the announcement. This transaction is Tax-Exempt under IRC s386.</t>
  </si>
  <si>
    <t>National Holdings Corp</t>
  </si>
  <si>
    <t>CB Pharma Acquisition Corp</t>
  </si>
  <si>
    <t>US - CB Pharma Acquisition Corp (CB) withdrew its plans to launch an unsolicited offer to acquire the entire share capital of National Holdings Corp (National Holdings), a New York-based provider of financial services, in a stock swap transaction, valued at USD 43. 562 mil. CB offered a choice of USD 3.5 in common share or USD 3.25 in cash per National Holdings share held.</t>
  </si>
  <si>
    <t>HF Financial Corp</t>
  </si>
  <si>
    <t>US - Great Western Bancorp Inc (Great), a unit of National Australia Bank Ltd, merged with Falls-based HF Financial Corp(HF), in a stock swap transaction valued at USD 139.488 mil. Great offered a choice of USD 19.15 in cash or 0.65 Great common shares per HF share. This transaction is Tax-Exempt under IRC s386.</t>
  </si>
  <si>
    <t>Beijing E-Town Dragon</t>
  </si>
  <si>
    <t>US - Beijing E-Town Dragon Semiconductor Industry Investment Center(LP) of China, a wholly-owned unit of Beijing E-town International Investment &amp; Development Co Ltd, acquired the entire share capital of Mattson Technology Inc, a Fremont- based manufacturer of semiconductors, for USD 3.8 in cash per share, or a total value of USD 298.561 mil, in a leveraged buyout transaction.</t>
  </si>
  <si>
    <t>American Residential Ppty Inc</t>
  </si>
  <si>
    <t>American Homes 4 Rent</t>
  </si>
  <si>
    <t>US - American Homes 4 Rent (AMH) merged with American Residential Properties Inc (ARPI), a Scottsdale-based real estate investment company, for USD 1.435 bil. AMH offered 1.135 common shares A per ARPI share, and the assumption of USD 800 mil in liabilities. The shares were valued based on AMH's closing stock price of USD 16. 75 on 02 December 2015, the last full trading day prior to the announcement. On completion, ARPI was delisted from New York Stock Exchange.</t>
  </si>
  <si>
    <t>Steel Partners Holdings LP</t>
  </si>
  <si>
    <t>US - Steel Partners Holdings LP, through its WebFinanical Holdings Corp (WebFinancial) acquired the remaining 5.221 mil common shares or  19.7% stake, which it did not already own, in CoSine Communications Inc, a Los Gatos-based manufacturer of plastics packaging films and sheets, for USD 4.4 in WebFinancial common stock per share, or a total value of USD 23.345 mil.</t>
  </si>
  <si>
    <t>US - First Busey Corp (First) merged with St. Louis-based Pulaski Financial Corp(Pulaski), in a stock swap transaction valued at USD 217.666 mil. First offered 0.79 common shares per Pulaski share. Based on First's closing stock price of USD 22.1 on 02 December, 2015, the last full trading day prior to the announcement, each Pulaski share was valued at USD 17.459. This transaction is Tax-Exempt under IRC s386.</t>
  </si>
  <si>
    <t>Relypsa Inc</t>
  </si>
  <si>
    <t>US - Merck &amp; Co Inc was rumored to be planning to acquire the entire share capital of Relypsa Inc, a Redwood City-based pharmaceutical company. The Current status of this deal is unknown.</t>
  </si>
  <si>
    <t>Keurig Green Mountain Inc</t>
  </si>
  <si>
    <t>Coffee and Tea Manufacturing</t>
  </si>
  <si>
    <t>US - An investor group, led by Acorn Holdings BV, a unit of JAB Forest BV, Mondelez International Inc, and BDT Capital Partners LLC, a unit of BDT &amp; Co LLC definitively acquired the entire share capital of Keurig Green Mountain Inc (KGM), a Waterbury-based producer, wholesaler and retailer of coffee and tea products, from Coca-Cola Co, for USD 92 in cash per share, or a total USD 13.878 bil. On completion, KGM common shares were delisted from the NASDAQ Global Select Market.</t>
  </si>
  <si>
    <t>US - Icahn Enterprises LP (Icahn) acquired the remaining 87.878% interest, or 47.551 mil shares, which it did not already own, in The PEP Boys-Manny Moe &amp; Jack Inc (Pep Boys), a Philadelphia-based retailer of automotive parts and accessories, for a thrice sweetened USD 18.5 in cash per share, or a total value of USD 894.039 mil, via tender offer. Previously, Icahn offered a twice sweetened USD 18.1 in cash per share and a sweetened USD 16.5 in cash per share. Originally, Icahn offered USD 15.5 in cash per share. Subsequently, Bridgestone Retail Operations LLC withdrew its agreement to merge with Pep Boys. On completion Pep Boys common shares were delisted from the New York Stock Exchange.</t>
  </si>
  <si>
    <t>Wilshire Bancorp Inc</t>
  </si>
  <si>
    <t>US - BBCN Bancorp Inc (BBCN) merged with Los Angeles-based Wilshire Bancorp Inc (Wilshire), in a stock swap transaction valued at USD 1. 028 bil, via a merger of equals. BBCN offered 0.7034 common share per Wilshire share. Based on BBCN's closing stock price of USD 18. 48 on 04 December 2015, the last full trading day prior to the announcement, each Wilshire share was valued at USD 12.999. On completion, BBCN and Wilshire shareholders owned 59% and 41% of the merged entity, respectively.  This transaction is Tax-Exempt under IRC s386.</t>
  </si>
  <si>
    <t>Fox Chase Bancorp Inc</t>
  </si>
  <si>
    <t>Univest Corp of Pennsylvania</t>
  </si>
  <si>
    <t>US - Univest Corp of Pennsylvania (Univest) acquired the entire share capital of Fox Chase Bancorp Inc (Fox Chase), a Hatboro- based bank holding company, for USD 251.992 mil, subject to proration. Univest offered a choice of USD 21 in cash, 0. 9731 common shares, or a combination of cash and common share, for every Fox Chase share held. This transaction is Tax-Exempt under IRC s386.</t>
  </si>
  <si>
    <t>Manufacture saw chains,bars</t>
  </si>
  <si>
    <t>Blount International Inc SPV</t>
  </si>
  <si>
    <t>US - Blount International Inc SPV, a special purpose acquisition vehicle formed by American Securities LLC and P2 Capital Partners LLC, acquired the entire share capital of Blount International Inc, a Portland- based manufacturer and wholesaler of replacement parts, equipment and accessories, for USD 10 in cash per share, or a total value of USD 482.517 mil, in a leveraged buyout transaction.</t>
  </si>
  <si>
    <t>LoJack Corp</t>
  </si>
  <si>
    <t>Mnfr motor recovery devices</t>
  </si>
  <si>
    <t>CalAmp Corp</t>
  </si>
  <si>
    <t>US - CalAmp Corp (CalAmp) acquired the entire share capital of LoJack Corp (LoJack), a Canton-based manufacturer of communications equipment, for a sweetened USD 6.45 in cash per share or a total value of USD 129.251 mil. Earlier, CalAmp completed its tender offer for LoJack, by accepting 16.148 mil shares, or 83.703% of LoJack's common shares outstanding. Originally, CalAmp planned to launch an unsolicited tender offer to acquire the entire share capital of LoJack, for USD 5.5 in cash per share or a total value of USD 109.186 mil. On completion, LoJack's common shares were delisted in NASDAQ Global Market.</t>
  </si>
  <si>
    <t>US - The Dow Chemical Co (Dow Chemical) merged with EI du Pont de Nemours &amp; Co (DuPont), a Wilmington-based manufacturer of plastics materials, to form DowDuPont Inc (DowDuPont), in a stock swap transaction valued at USD 62.141 bil, via a merger of equals. DuPont common shareholders received 1.282 DowDuPont common shares and Dow Chemical common shareholders received 1 DowDuPont common share per share held. Based on Dow Chemical's closing stock price of USD 54.91 on 10 December 2015, the last full trading day prior to the announcement, each DuPont share was valued at USD 70. 395. On completion, the merged entity was named as DowDuPont. Originally, in December 2015, Dow Chemical was rumored to be planning to merge with DuPont. This transaction is Tax-Exempt under IRC s386.</t>
  </si>
  <si>
    <t>Destination Maternity Corp</t>
  </si>
  <si>
    <t>Orchestra Premaman SA</t>
  </si>
  <si>
    <t>Children'S and Infants' Clothing Stores</t>
  </si>
  <si>
    <t>US - Orchestra Premaman SA (Orchestra) of France, a majority-owned unit of Yeled Invest SA, withdrew its plans to launch a hostile offer to acquire the remaining 86.7% interest, or 12.015 mil common stock, which it did not already own, in Destination Maternity Corp (Destination), a Moorestown- based manufacturer of apparels, for a sweetened USD 3.995 per share, or a total value of USD 48.006 mil (EUR 43.594 mil). Orchestra offered  USD 2.6664 in cash (EUR 2.38) and 0.0596 in ordinary shares for every Destination common stock. The shares were valued based on Orchestra's closing stock price of USD 22.301 (EUR 19. 906) on February 5, the last full trading day prior to the disclosure of the revised terms. Originally, Orchestra offered USD 1.8035  (EUR 1. 637) in cash and 0.0665 in ordinary shares for every Destination common stock, or a total value of USD 40.999 mil (EUR 37.231 mil).</t>
  </si>
  <si>
    <t>Newell Rubbermaid Inc</t>
  </si>
  <si>
    <t>Mnfr,whl consumer,coml prod</t>
  </si>
  <si>
    <t>US - Newell Rubbermaid Inc (NRI) merged with Jarden Corp (Jarden), a Boca Raton-based wholesaler of consumer products, in a stock swap transaction valued at USD 15. 435 bil. NRI offered USD 21 in cash and 0.862 NRI share per Jarden share. Based on NRI's closing stock price of USD 45.28 on 11 December 2015, the last full trading day prior to the announcement, each Jarden share was valued at USD 60.031. On completion, NRI and Jarden shareholders owned 55% and 45% of the merged entity named Newell Brands Inc, respectively. Originally, NRI was rumored to be planning to acquire Jarden.  This transaction is Tax-Exempt under IRC s386.</t>
  </si>
  <si>
    <t>Heartland Payment Systems Inc</t>
  </si>
  <si>
    <t>Global Payments Inc</t>
  </si>
  <si>
    <t>Pvd electn processing svcs</t>
  </si>
  <si>
    <t>US - Global Payments Inc (Global) acquired the entire share capital of Heartland Payment Systems Inc (Heartland), a Princeton- based provider of payment processing services, for USD 3.709 bil. Global offered USD 53.28 in cash and 0.6687 common shares per Heartland share. Based on Global's closing stock price of USD 70. 33 on 14 December 2015, each Heartland share was valued at USD 100.31. On completion, Global and Heartland shareholders were to receive 84% and 16% in the merged entity, to be renamed Global, respectively. This transaction is Tax-Exempt under IRC s386.</t>
  </si>
  <si>
    <t>Inland Real Estate Corp</t>
  </si>
  <si>
    <t>US - DRA Advisors LLC (DRA) acquired the entire share capital of Inland Real Estate Corp (Inland), an Oak Brook- real estate investment trust, for USD 10.6 in cash per share, or a total value of USD 1.066 bil. On completion, Inland common shares were delisted in the New York Stock Exchange and renamed as IRC Retail Centers Inc.</t>
  </si>
  <si>
    <t>Hill International Inc</t>
  </si>
  <si>
    <t>Pvd project management svcs</t>
  </si>
  <si>
    <t>DC Capital Partners LLC</t>
  </si>
  <si>
    <t>US - DC Capital Partners LLC withdrew its plans to acquire the entire share capital of Hill International Inc, a Marlton-based provider of engineering services, for USD 4.75 in cash per share or a total value of USD 244.908 mil, in a leveraged buyout transaction.</t>
  </si>
  <si>
    <t>Alimera Sciences Inc</t>
  </si>
  <si>
    <t>US - In December 2015, Alimera Sciences Inc, an Alpharetta-based manufacturer of pharmaceuticals, was rumored to be seeking a buyer for the entire share of the company. The Current status of this deal is unknown.</t>
  </si>
  <si>
    <t>ProAmerica Bank</t>
  </si>
  <si>
    <t>US - Pacific Commerce Bank acquired the entire share capital of ProAmerica Bank, a Los Angeles-based commercial bank, for USD 10.5 per share or a total value of USD 29. 778 mil, subject to proration whereby 50% of the aggregate consideration consisted of common shares and the remaining 50% in cash.</t>
  </si>
  <si>
    <t>Monarch Financial Holdings Inc</t>
  </si>
  <si>
    <t>US - Portsmouth-based TowneBank merged with Chesapeake-based Monarch Financial Holdings Inc (Monarch), in a stock swap transaction valued at USD 220. 212 mil. TowneBank offered 0. 883 common shares per Monarch share. Based on TowneBank's closing stock price of USD 21. 03 on December 16, the last full trading day prior to the announcement, each Monarch share was valued at USD 18.57. This transaction is Tax- Exempt under IRC s386.</t>
  </si>
  <si>
    <t>China Petroleum &amp; Chem Corp</t>
  </si>
  <si>
    <t>US - China Petroleum &amp; Chemical Corp of China, a unit of the Chinese state- owned China Petrochemical Corp, was rumored to be planning to acquire the entire share capital of Anadarko Petroleum Corp, a The Woodlands-based oil and gas exploration and production company.  The Current status of this deal is unknown.</t>
  </si>
  <si>
    <t>Avesis Inc</t>
  </si>
  <si>
    <t>Pvd ancilliary benefits svcs</t>
  </si>
  <si>
    <t>US - Guardian Life Insurance Co of America definitively agreed to acquire the entire share capital of Avesis Inc (Avesis), a Phoenix-based provider of ancilliary benefits services, for USD 162.272 mil. The consideration was to consist of USD 16.3 in cash per share and up to USD 38.092 mil in profit-related payments. Concurrently, Avesis planned to spin off its AbsoluteCARE Inc unit,  to its shareholders.</t>
  </si>
  <si>
    <t>Fairchild Semiconductor SPV</t>
  </si>
  <si>
    <t>US - Fairchild Semiconductor International Inc SPV, a special purpose acquisition vehicle formed by Hua Capital Management Co Ltd and China Resources Microelectronics Ltd, withdrew its plans to launch a challenging unsolicited offer to acquire the entire share capital of Fairchild Semiconductor International Inc (Fairchild), a San Jose-based manufacturer of semiconductors, for UUSD 21.7 in cash per share, or a total value of USD 2.474 bil. Subsequently, ON Semiconductor Corp merged with Fairchild.</t>
  </si>
  <si>
    <t>United Amer Svgs,Pittsburgh,PA</t>
  </si>
  <si>
    <t>Emclaire Financial Corp</t>
  </si>
  <si>
    <t>US - Emclaire Financial Corp acquired the entire share capital of Pittsburgh-based United American Savings Bank, for USD 42.67 in cash per share or a total of USD 13. 208 mil.</t>
  </si>
  <si>
    <t>US - OceanFirst Financial Corp (OceanFirst) acquired the entire share capital of Cape Bancorp Inc (Cape Bancorp), a Cape May Court House-based bank holding company, in a stock swap transaction valued at USD 200. 481 mil. OceanFirst offered 2. 25 in cash and 0.6375 common share per Cape Bancorp common share. Based on OceanFirst's closing stock price of USD 19. 67 on 4 January 2016, the last full trading day prior to the announcement, each Cape Bancorp share was valued at USD 14.79. This transaction is Tax-Exempt under IRC s386.</t>
  </si>
  <si>
    <t>Congaree Bancshares Inc</t>
  </si>
  <si>
    <t>US - Carolina Financial Corp (CFC) acquired the entire share capital of Congaree Bancshares Inc (CBI), a Cayce- based bank holding company, for an estimated USD 16.31 mil, whereby the aggregate consideration was comprised of 60% common shares and the remaining 40% in cash. CFC offered a choice of 0.4806 shares or USD 8.10 in cash per CBI share.</t>
  </si>
  <si>
    <t>Affymetrix Inc</t>
  </si>
  <si>
    <t>US - Thermo Fisher Scientific Inc acquired the entire share capital of Affymetrix Inc (AI) , a Santa Clara-based manufacturer and wholesaler of electromedical and electrotherapeutic equipment, for USD 14 in cash per share, or a total value of USD 1.152 bil. Subsequently, Origin Technologies Corp LLC withdrew its plans to launch an unsolicited challenging offer to acquire the entire share capital of AI. On completion, AI was delisted on The NASDAQ Global Select Market.</t>
  </si>
  <si>
    <t>US - Microchip Technology Inc (Microchip) acquired the entire share capital of Atmel Corp (Atmel), a San Jose- based manufacturer of semiconductors and related device, for USD 7 in cash and USD 1.15 common share, per Atmel share, for a total value of USD 3.434 bil. Subsequently, Dialog Semiconductor PLC withdrew its agreement to acquire the entire share capital of Atmel. Originally, Microchip was rumored to be planning to launch a challenging offer to acquire Atmel.</t>
  </si>
  <si>
    <t>Pan American Bank,Los Angeles,</t>
  </si>
  <si>
    <t>Beneficial State Bank</t>
  </si>
  <si>
    <t>US - Beneficial State Bank, a unit of Beneficial State Bancorp, acquired the entire share capital of Los-Angeles- based Pan American Bank. Terms of the deal were not disclosed.</t>
  </si>
  <si>
    <t>US - In January 2016, Progress Software Corp, a Bedford-based developer of business application software, was rumored to be seeking a buyer for the company.  The Current status of this deal is unknown.</t>
  </si>
  <si>
    <t>Synutra International Inc</t>
  </si>
  <si>
    <t>Produce,whl dairy prod</t>
  </si>
  <si>
    <t>US - A management-led investor group (Investor Group), comprised of Synutra International Inc's (Synutra) Chairman and CEO Liang Zhang, and Beams Power Investment Ltd, completed an unsolicited tender offer to acquire the remaining 37.05% interest, or 21.189 mil common shares, which it did not already own, in Synutra, a Rockville-based producer and wholesaler of dairy products, for USD 6.050 in cash per share or a total value of USD 128.191 mil, in a leveraged buyout transaction. Originally, the Investor Group offered USD 5. 91 in cash per share, or a total value of USD 125.225 mil. On completion, Synutra was delisted from NASDAQ.</t>
  </si>
  <si>
    <t>Rouse Properties Inc</t>
  </si>
  <si>
    <t>US - Brookfield Asset Management Inc (Brookfield) of Canada acquired the remaining 66.6% interest or 38.643 mil common shares, which it did not already own, in Rouse Properties Inc, a New York-based real estate investment trust, for a sweetened USD 18.25 in cash per share or a total value of USD 711.711 mil. Originally, Brookfield offered USD 17 in cash per share or a total value of USD 659.03 mil.</t>
  </si>
  <si>
    <t>Waste Connections Inc</t>
  </si>
  <si>
    <t>Provide solid waste services</t>
  </si>
  <si>
    <t>Progressive Waste Solutions</t>
  </si>
  <si>
    <t>US - Progressive Waste Solutions Ltd (Progressive) acquired the entire share capital of Waste Connections Inc (Waste Connections), a Woodlands-based provider of solid waste services, in a stock swap reverse takeover transaction, valued at USD 5. 932 bil. Progressive offered 2.077 common shares per Waste Connections share. Based on Progressive's closing stock price of USD 33.82 on 18 January 2016, the last full trading day prior to the announcement, each Waste Connections share was valued at USD 48.455. This transaction is structured as a tax inversion. On completion, Progressive and Waste Connections were to be renamed Waste Connections Inc, and Waste Connections US Inc. Originally, in January 2016, Progressive was rumored to be seeking a buyer for the entire share capital of the company.</t>
  </si>
  <si>
    <t>US - In January 2016, The Medicines Co, a Parsipanny- based manufacturer of pharmaceutical products, was rumored to be seeking a buyer for the entire share capital of the company. The Current status of this deal is unknown.</t>
  </si>
  <si>
    <t>Synaptics Inc</t>
  </si>
  <si>
    <t>Develop interface solutions</t>
  </si>
  <si>
    <t>US - An undisclosed investor group was rumored to be planning to acquire the entire share capital of Synaptics Inc, a San Jose- based developer of user interface solutions. Terms were not disclosed but according to the people familiar with the transaction, the dal was valued at an estimated USD 4 bil. The Current status of this deal is unknown.</t>
  </si>
  <si>
    <t>Tyco International PLC</t>
  </si>
  <si>
    <t>Security Systems Services (Except Locksmiths)</t>
  </si>
  <si>
    <t>US - Tyco International PLC (Tyco) of Ireland, merged with Johnson Controls Inc (Johnson), a Milwaukee-based manufacturer of industrial interior systems, in a reverse takeover transaction valued at USD 22.659 bil. Tyco offered a choice of USD 34.88 in cash or 1 NewCo ordinary share per Johnson share, subject to proration whereby an aggregate of approximately USD 3.9 bil cash is paid in the merger. On completion, the merged entity was named Johnson Controls International PLC, where Johnson and Tyco shareholders owned 56% and 44%, respectively. This transaction was structured as a tax inversion. Originally, in January 2016, Tyco was rumored to be planning to acquire Johnson. This transaction is Tax-Exempt under IRC s386.</t>
  </si>
  <si>
    <t>US - Huntington Bancshares Inc (Huntington) acquired the entire share capital of FirstMerit Corp (FirstMerit), an Akron-based bank holding company, in a stock swap transaction valued at USD 3. 338 bil. Huntington offered USD 5 in cash and 1.72 common share per FirstMerit common share. Based on Huntington's closing stock price of USD 8. 8 on 25 January 2016, the last full trading day prior to the announcement, each FirstMerit share was valued at USD 20.136. This transaction is Tax-Exempt under IRC s386.</t>
  </si>
  <si>
    <t>Talmer Bancorp Inc</t>
  </si>
  <si>
    <t>US - Chemical Financial Corp (Chemical) acquired the entire share capital of Talmer Bancorp Inc (Talmer), a Troy-based bank holding company, in a stock swap transaction valued at USD 1. 097 bil. Chemical offered USD 1.61 in cash and 0.4726 common shares per Talmer share. Based on Chemicals closing stock price of USD 29. 7 mil, each Talmer share was valued at USD 15.643. On completion, Chemical and Talmer shareholders were to receive 55% and 45%, respectively. This transaction is Tax-Exempt under IRC s386.</t>
  </si>
  <si>
    <t>Zoomlion Heavy Ind Sci &amp; Tech</t>
  </si>
  <si>
    <t>US - Zoomlion Heavy Industry Science &amp; Technology Co Ltd (Zoomlion) of China withdrew its unsolicited tender offer to acquire the entire share capital of Terex Corp (Terex), a Westport-based manufacturer and wholesaler of construction equipments, for a sweetened USD 31 in cash per share, or a total value of USD 3.364 bil. Previously, Zoomlion offered USD 30 in cash per share. Subsequently, Konecranes Abp (Konecranes) withdrew its agreement to acquire Terex, in a stock swap transaction valued at USD 2.762 bil, via merger of equals.</t>
  </si>
  <si>
    <t>Avenue Financial Holdings Inc</t>
  </si>
  <si>
    <t>US - Pinnacle Financial Partners Inc (Pinnacle) acquired the entire share capital of Avenue Financial Holdings Inc (Avenue), a Nashville-based single-bank holding company, for USD 206. 775 mil. Pinnacle offered USD 2 in cash plus 0.36 common shares per Avenue share. Based on Pinnacle's closing stock price of USD 50.09 on 27 January 2016, each Avenue share was valued at USD 20. 032. This transaction is Tax- Exempt under IRC s386.</t>
  </si>
  <si>
    <t>US - Brookfield Asset Management Inc of Canada was rumored to be planning to acquire the entire share capital of General Growth Properties Inc, a Chicago- based real estate investment trust.  The Current status of this deal is unknown.</t>
  </si>
  <si>
    <t>Axiall Corp</t>
  </si>
  <si>
    <t>Mnfr,whl specialty chem,bldg prod</t>
  </si>
  <si>
    <t>US - Westlake Chemical Corp (Westlake) acquired the entire share capital of Axiall Corp (Axiall), an Atlanta-based manufacturer and wholesaler of specialty chemicals and building products, for an amended USD 33 in cash per share, or a total value of  USD 2.329 bil in cash. Previously, Westlake offered a sweetened USD 14 in cash and 0.1967 common share per Axiall common share. Originally, Westlake offered USD 11 in cash and 0.1967 common share per Axiall common share.</t>
  </si>
  <si>
    <t>US - Abbott Laboratories (Abbott) definitively agreed to acquire the entire share capital of Alere Inc, a Waltham-based manufacturer of in-vitro diagnostic substances, for an amended USD 51 in cash per share or a total of USD 5.092 bil in cash. Originally Abbott offered USD 56 in cash per share or a total of USD USD 5. 003 bil. The transaction was subject to regulatory approvals.</t>
  </si>
  <si>
    <t>US - In February 2016, Barracuda Networks Inc, a Campbell-based manufacturer of computer storage devices, was rumored to be seeking a buyer for its entire share capital.  The Current status of this deal is unknown.</t>
  </si>
  <si>
    <t>Questar Corp</t>
  </si>
  <si>
    <t>US - Dominion Resources Inc acquired the entire share capital of Questar Corp, a Salt Lake City-based producer of crude petroleum and natural gas, for USD 25 in cash per share or a total of USD 4.380 bil.</t>
  </si>
  <si>
    <t>Pacific Biosciences of CA Inc</t>
  </si>
  <si>
    <t>Mnfr gene sequencing sys</t>
  </si>
  <si>
    <t>US - Roche Holding AG of Switzerland was rumored to be planning to acquire the entire share capital of Pacific Biosciences of California Inc, a Menlo Park- based manufacturer of gene sequencing systems. The Current status of this deal is unknown.</t>
  </si>
  <si>
    <t>Cascade Microtech Inc</t>
  </si>
  <si>
    <t>Mnfr,whl measuring equipments</t>
  </si>
  <si>
    <t>FormFactor Inc</t>
  </si>
  <si>
    <t>Mnfr, whl semiconductors</t>
  </si>
  <si>
    <t>US - FormFactor Inc (FormFactor) acquired the entire share capital of Cascade Microtech Inc (Cascade), a Beaverton-based manufacturer and wholesaler of measuring equipments, for an estimated USD 348.383 mil. FormFactor offered 0.6534 common shares and USD 16 cash per Cascade share. Based on FormFactor's closing stock price of USD 7.85 in 03 February 2016, the last full trading day prior to the announcement, each share was valued at USD 21.129.</t>
  </si>
  <si>
    <t>US - Mattel Inc was rumored to be planning to merge with Hasbro Inc, a Pawtucket-based manufacturer of games, toys and infant products including puzzles, preschool, boys' action and girls' toys, dolls, plush products and infant products. The Current status of this deal is unknown.</t>
  </si>
  <si>
    <t>Multi-Fineline Electronix Inc</t>
  </si>
  <si>
    <t>Mnfr,whl printed circuits</t>
  </si>
  <si>
    <t>Suzhou Dongshan Precision Mnfr</t>
  </si>
  <si>
    <t>Mnfr,whl sheet metal prod</t>
  </si>
  <si>
    <t>US - Suzhou Dongshan Precision Manufacturing Co Ltd (Suzhou) of China acquired the entire share capital of  Multi-Fineline Electronix Inc, an Irvine- based manufacturer and wholesaler of printed circuits, from WBL Corp Ltd, owned by UE Centennial Venture Pte Ltd, for USD 23. 95 in cash per share, or a total value of USD 621.542 mil.</t>
  </si>
  <si>
    <t>ITC Holdings Corp</t>
  </si>
  <si>
    <t>US - Fortis Inc (Fortis) of Canada, acquired the entire share capital ITC Holdings Corp (ITC), a Novi-based electric utility company, for USD 7.002 bil. Fortis offered USD 22.57 in cash and 0.752 common shares per ITC share. Based on Fortis' closing stock price of USD 29.716 on 08 February, 2016, the last full trading day prior to the announcement, each ITC common share was valued at USD 44. 916. On completion, Fortis and ITC shareholders owned 73% and 27% of the combined company, respectively. Originally, in November 2015, ITC was rumored to be seeking a buyer for the company. Borealis Infrastructure Management Inc and Fortis were named potential bidders. Concurrently, GIC Pte Ltd definitively agreed to acquire a 19.9% stake in ITC.</t>
  </si>
  <si>
    <t>Apollo Education Group Inc</t>
  </si>
  <si>
    <t>Colleges, Universities, and Professional Schools</t>
  </si>
  <si>
    <t>AP VIII Queso Holding LP</t>
  </si>
  <si>
    <t>US - AP VIII Queso Holding LP (AP VIII Queso), a special purpose acquisition company formed by Apollo Investment Fund VII LP, a unit of Apollo Global Management LLC, Vistria Group LLC and Najafi Cos, definitively acquired the entire share capital of Apollo Education Group Inc (Apollo Education), a Phoenix- based provider of higher education services, for a sweetened USD 10 in cash per class A and B share or a total value of USD 1.086 bil, in a leverage buyout transaction. Previously, AP VIII Queso offered USD 9.5 in cash per class A and B share or a total value of USD 1.032 bil. Originally, in January 2016, Apollo Education announced that it was seeking a buyer for the company.</t>
  </si>
  <si>
    <t>US - In February 2016, Pernix Therapeutics Holdings Inc, a Morristown-based manufacturer and wholesaler of pharmaceuticals, was rumored to be seeking a buyer for the entire share capital of the company. The Current status of this deal is unknown.</t>
  </si>
  <si>
    <t>Liberty Utilities Co</t>
  </si>
  <si>
    <t>Electric, water utility company</t>
  </si>
  <si>
    <t>US - Liberty Utilities Co, a unit of Algonquin Power &amp; Utilities Corp, acquired the entire share capital of Empire District Electric Co, a Joplin-based electric power distributor, for USD 1.489 bil in cash.</t>
  </si>
  <si>
    <t>US - Hampton Roads Bankshares Inc (Hampton) acquired the entire share capital of Richmond-based Xenith Bankshares Inc (Xenith), in a stock swap transaction valued at USD 101.727 mil. Hampton offered 4.4 common shares per Xenith share held. Based on Hampton's closing stock price of USD 1.78 on 9 February 2016, the last full trading day prior to the announcement, each Xenith share was valued at USD 7.832. This transaction is Tax-Exempt under IRC s386.</t>
  </si>
  <si>
    <t>Intercept Pharmaceuticals Inc</t>
  </si>
  <si>
    <t>US - In February 2016, Intercept Pharmaceuticals Inc, a New York-based manufacturer of therapeutic products, was rumored to be planning to be seeking a buyer for the company. The Current status of this deal is unknown.</t>
  </si>
  <si>
    <t>Pandora Media Inc</t>
  </si>
  <si>
    <t>Own,op Internet radio station</t>
  </si>
  <si>
    <t>US - In February 2016, Pandora Media Inc, an Oakland- based owner and operator of Internet radio stations, was rumored to be seeking a buyer for the entire share capital of the company. Liberty Media Corp was rumored to be a potential bidder. The terms of the transaction were not disclosed, but according to sources close to the transaction, the value was estimated at USD 3.4 bil. The Current status of this deal is unknown.</t>
  </si>
  <si>
    <t>Diligent Corp</t>
  </si>
  <si>
    <t>US - Insight Venture Partners LLC acquired the entire share capital of Diligent Corp, a New York-based developer of board management software, for USD 4.9 in cash per share and USD 5.505 in cash per preferred share, or a total value of USD 628.808 mil, in a leveraged buyout transaction.</t>
  </si>
  <si>
    <t>The ADT Corp</t>
  </si>
  <si>
    <t>US - Apollo Global Management LLC (Apollo) acquired the entire share capital of The ADT Corp (ADT), a Boca Raton- based provider of investigation services, for USD 42 in cash per share, or a total of USD 6.943 bil, in a leveraged buyout transaction. Originally, Apollo was rumored to be planning to acquire the entire share capital of ADT.</t>
  </si>
  <si>
    <t>Harmony Bk,Jackson,New Jersey</t>
  </si>
  <si>
    <t>US - Lakeland Bancorp Inc (Lakeland) acquired the entire share capital of Harmony Bank (Harmony), a New Jersey-based commercial bank, for a total USD 30.494 mil, in a stock swap transaction. Lake land offered 1.25 common share per Harmony share. Based on Lakeland's closing stock price of USD 10.11 on 16 February 2016, the last full trading day prior to the announcement, each Harmony share was valued at USD 12. 638.  This transaction is Tax- Exempt under IRC s386.</t>
  </si>
  <si>
    <t>Tianjin Tianhai Invest Co Ltd</t>
  </si>
  <si>
    <t>US - Tianjin Tianhai Investment Co Ltd of China acquired the entire share capital of Ingram Micro Inc, an Irvine-based wholesaler of computer software and hardware products, for USD 38. 9 in cash per share or a total value of USD 6.067 bil.</t>
  </si>
  <si>
    <t>SciClone Pharmaceuticals Inc</t>
  </si>
  <si>
    <t>Mnfr pharmaceutical preparations</t>
  </si>
  <si>
    <t>US - An investor group, comprised ofGL Capital Management GP Ltd, Jade Park Investments Ltd, Bank of China Group Investment Ltd, a unit of the Chinese state- owned Bank of China Ltd, and ABG Management Ltd withdrew its plans to acquire the remaining 88.989% interest, which it did not already own, in SciClone Pharmaceuticals Inc, a Foster City-based manufacturer of pharmaceuticals.</t>
  </si>
  <si>
    <t>US - Honeywell International Inc (Honeywell) withdrew its plans to launch an unsolicited offer to acquire the entire share capital of United Technologies Corp (United Technologies), a Farmington-based manufacturer and wholesaler of aerospace systems products, in a stock swap transaction valued at USD 89.166 bil. Honeywell offered USD 42.63 in cash and 0.614 common shares per United Technologies share. Based on Honeywell's closing stock price of USD 104.19 on 25 February 2016, the last full trading day prior to the announcement, each United Technologies share was valued at USD 106.603. Originally, Honeywell was rumored to be planning to acquire the entire share capital of United Technologies.</t>
  </si>
  <si>
    <t>Lexington B&amp;L Finl Corp</t>
  </si>
  <si>
    <t>US - NASB Financial Inc acquired the entire share capital of Lexington B&amp;L Financial Corp, a Lexington- based bank holding company, for USD 29.35 in cash per share, or a total value of USD 21.29 mil.</t>
  </si>
  <si>
    <t>Newport Corp</t>
  </si>
  <si>
    <t>Manufacture laboratory,measurement equipments</t>
  </si>
  <si>
    <t>US - MKS Instruments Inc acquired the entire share capital of Newport Corp, an Irvine-based manufacturer of machinery, for USD 23 in cash per share, or a total of USD 888.44 mil.</t>
  </si>
  <si>
    <t>PowerSecure International Inc</t>
  </si>
  <si>
    <t>Mnfr power sys,switchgear prod</t>
  </si>
  <si>
    <t>US - Southern Co acquired the entire share capital of PowerSecure International Inc, a Wake Forest-based manufacturer of power systems and switchgear products, for USD 18.75 in cash per share or a total value of USD 421. 942 mil.</t>
  </si>
  <si>
    <t>Apollo Residential Mortgage</t>
  </si>
  <si>
    <t>Apollo Coml RE Fin Inc</t>
  </si>
  <si>
    <t>US - Apollo Commercial Real Estate Finance Inc (ARI) merged with with Apollo Residential Mortgage Inc (AMT) , a New York-based real estate investment trust in a stock swap transaction valued at an estimated amended USD 442.088 mil. ARI offered an amended USD 6.86 in cash and 0.417571 common share per AMT share.  Based on ARI's closing stock price of USD 16. 81 on 23 August 2016, the last full trading day prior to the amendment of term, each AMT share was valued at USD 13.789. Originally, ARI offered an estimated USD 7.53 in cash and 0.417 common share per AMT share.</t>
  </si>
  <si>
    <t>US - JF Lehman &amp; Co acquired the entire share capital of API Technologies Corp, an Orlando-based designer and manufacturer of RF/microwave, microelectronics, and security technologies for USD 2 in cash per share, or a total value of USD 111.7 mil, in a leveraged buyout transaction.</t>
  </si>
  <si>
    <t>Federal-Mogul Holdings Corp</t>
  </si>
  <si>
    <t>Motor Vehicle Body Manufacturing</t>
  </si>
  <si>
    <t>US - Icahn Enterprises Holdings LP (Icahn Enterprises), a unit of Icahn Enterprises LP, completed its tender offer for the remaining 18.014% stake or 30. 45 mil common shares, which it did not already own, in Federal-Mogul Holdings Corp (Federal-Mogul), a Southfield- based manufactures and wholesales vehicle and industrial products, for a twice sweetened USD 10 in cash per share, or a total value of USD 304.505 mil. Earlier, Icahn Enterprises completed its tender offer for Federal-Mogul by accepting 17.616 mil shares, or 10.421% of Federal-Mogul's common shares outstanding. Previously, Icahn Enterprises offered a sweetened USD 9.25 in cash per share. Originally, Icahn Enterprises offered USD 7 in cash per share.</t>
  </si>
  <si>
    <t>US - Canadian Pacific Railway Ltd of Canada was rumored to be planning to acquire the entire share capital of CSX Corp, a Jacksonville-based railroad operator. Terms were not disclosed but, according to people familiar with the transaction, the deal was valued at an estimated USD 20 bil. The Current status of this deal is unknown.</t>
  </si>
  <si>
    <t>US - CCL Industries Inc of Canada acquired the entire share capital of Checkpoint Systems Inc, a Thorofare- based manufacturer and wholesaler of surveillance systems products, for USD 10. 15 in cash per common, restricted, and performance share, or a total value of USD 431.557 mil.</t>
  </si>
  <si>
    <t>JAVELIN Mortgage Invstmnt Corp</t>
  </si>
  <si>
    <t>ARMOUR Residential REIT Inc</t>
  </si>
  <si>
    <t>Real estate invetment trust</t>
  </si>
  <si>
    <t>US - ARMOUR Residential REIT Inc acquired the entire share capital of JAVELIN Mortgage Investment Corp (JAVELIN), a Vero Beach-based real estate investment trust for USD 7.18 in cash per share, or a total value of USD 85.203 mil. The offer was conditioned upon at least a majority of JAVELIN's shares being tendered.</t>
  </si>
  <si>
    <t>AMC Entertainment Holdings Inc</t>
  </si>
  <si>
    <t>Motion Picture Theaters (Except Drive-Ins)</t>
  </si>
  <si>
    <t>US - AMC Entertainment Holdings Inc (AMC) acquired the entire share capital of Carmike Cinemas Inc (Carmike), a Columbus-based provider of movie theatre services, for USD 827.153 mil. AMC offered a sweetened USD 33.06 in cash per share or 1.0819 AMC common share per Carmike common share, subject to proration whereby 70% of the total consideration was to be paid in cash and the remaining 30% in common shares. Previously, AMC offered USD 30 in cash per share. Originally, in March 2015, Carmike was rumored to be seeking a buyer for the company.</t>
  </si>
  <si>
    <t>Tumi Holdings Inc</t>
  </si>
  <si>
    <t>Personal Leather Good (Except Women'S Handbag and Purse) Manufacturing</t>
  </si>
  <si>
    <t>Samsonite International SA</t>
  </si>
  <si>
    <t>Luggage Manufacturing</t>
  </si>
  <si>
    <t>US - Samsonite International SA of Hong Kong acquired the entire share capital of Tumi Holdings Inc, a South Plainfield-based manufacturer of personal leather goods, for USD 26.75 in cash per share, or a total value of USD 1.809 bil.</t>
  </si>
  <si>
    <t>US - BASF SE of Germany was rumored to be planning to launch a challenging offer to acquire the entire share capital of EI du Pont de Nemours &amp; Co{DuPont}, a Wilmington-based manufacturer of chemical andelectronic products. Subsequently, The Dow Chemical Co definitively agreed to merge with DuPont. The Current status of this deal is unknown.</t>
  </si>
  <si>
    <t>US - Wells Fargo &amp; Co discontinued the rumors that it planned to acquire the entire share capital of American Express Co, a New York-based provider of credit and financial services.</t>
  </si>
  <si>
    <t>US - Great American Insurance Group (GMI), a unit of American Financial Group Inc, acquired the remaining 48. 749% stake, or 9.702 mil common shares, which it did not already own, in National Interstate Corp, a Richfield- based direct property and casualty insurance carrier, for a sweetened USD 32 mil, or a total value of  USD 311. 548 mil. Originally, GMI offered USD 30 in cash per share.</t>
  </si>
  <si>
    <t>US - Hallmark Cards Inc acquired the remaining 9.70% stake or 34.889 mil common shares, which it did not already own, in Crown Media Holdings Inc, a Studio City- based provider of cable television services, for USD 5.05 in cash per share, or a total value of USD 176.187 mil.</t>
  </si>
  <si>
    <t>US - Norwood Financial Corp (NFC) acquired the entire share capital of Delaware Bancshares Inc (DBI), a Walton-based bank holding company, in a stock swap transaction valued at USD 15. 437 mil, whereby the aggregate consideration was to be comprised of 75% common shares and the remaining 25% in cash. NFC offered a choice of USD 16.68 in cash, 0.6221 shares, or a combination of cash and common shares, per DBI share.</t>
  </si>
  <si>
    <t>1st Century Bancshares Inc</t>
  </si>
  <si>
    <t>Midland Financial Co</t>
  </si>
  <si>
    <t>US - Midland Financial Co acquired the entire share capital of 1st Century Bancshares Inc, a Los Angeles- based bank holding company, for USD 11.22 in cash per share, or a total value of USD 115.98 mil.</t>
  </si>
  <si>
    <t>LaPorte Bancorp Inc,Laporte,IN</t>
  </si>
  <si>
    <t>US - Horizon Bancorp (Horizon) acquired the entire share capital of Laporte-based LaPorte Bancorp Inc (LaPorte), from LaPorte Savings Bank MHC, for USD 102.526 mil. Horizon offered a choice of USD 17.5 in cash, 0.629 common shares per LaPorte share, or a combination of cash and shares that consists of 65% common shares and 35% cash.</t>
  </si>
  <si>
    <t>Marvell Technology Group Ltd</t>
  </si>
  <si>
    <t>US - Avago Technologies Ltd discontinued the rumors that it planned to acquire the entire share capital of Marvell Technology Group Ltd, a Santa Clara-based manufacturer of semiconductors and related device.</t>
  </si>
  <si>
    <t>GCS Holdings Inc</t>
  </si>
  <si>
    <t>Mnfr, Whl Semiconductor and Related Device</t>
  </si>
  <si>
    <t>Xiamen Sanan Integrated</t>
  </si>
  <si>
    <t>US - Xiamen Sanan Integrated Circuit Co Ltd of China, a unit of San'an Optoelectronics Co Ltd, withdrew its agreement to acquire 100% interest or 57. 984 mil ordinary shares in GCS Holdings Inc, a Missoula- based manufacturer and wholesaler of semiconductors and related device, for a total USD 226 mil.</t>
  </si>
  <si>
    <t>Acacia Research Corp</t>
  </si>
  <si>
    <t>Provides licensing services</t>
  </si>
  <si>
    <t>US - An investor group, comprised of ARC Acquisition Co LLC and Uniloc Luxembourg SA of Luxembourg, withdrew its plans to acquire the entire share capital of Acacia Research Corp, a Newport Beach-based provider of patent licensing services, for USD 3.72 in cash per share, or a total value of USD 188.739 mil, via an unsolicited offer.</t>
  </si>
  <si>
    <t>Fresh Market Inc</t>
  </si>
  <si>
    <t>US - Apollo Global Management LLC (Apollo) acquired the entire share capital of Fresh Market Inc (Fresh), a Greensboro-based owner and operator of grocery stores, for USD 28.5 in cash per share or a total value of USD 1.341 bil in cash, in a leveraged buyout transaction. The deal was carried out via tender offer. The offer was conditioned upon at least 50% of Fresh's shares being tendered. Earlier, Apollo completed its tender offer to acquire the entire share capital of Fresh by accepting 32.104 mi, or 68.234% of Fresh's common shares outstanding. Originally, in October 2015, Fresh was rumored to be seeking a buyer for the entire share capital of the company.</t>
  </si>
  <si>
    <t>US - An investor group, led by Anbang Insurance Group Co Ltd of China, including JC Flowers &amp; Co LLC and Primavera Capital Management Ltd of China, withdrew its plans to acquire the entire share capital of Starwood Hotels &amp; Resorts Worldwide Inc (Starwood), a Stamford- based owner and operator of hotels, for a twice sweetened USD 82.75 in cash per share, or a total value of 13.972 bil, via an unsolicited offer. Previously, the investor group offered a sweetened USD 78 in cash per share. Originally, the investor group offered USD 76 in cash per share. Previously, Marriott International Inc definitively agreed to merge with Starwood.</t>
  </si>
  <si>
    <t>US - Apollo Global Management LLC was rumored to be planning to acquire the entire share capital of Ferro Corp, a Mayfield Heights- based manufacturer and wholesaler of performance materials, in a leveraged buyout transaction. The Current status of this deal is unknown.</t>
  </si>
  <si>
    <t>Rofin-Sinar Technologies Inc</t>
  </si>
  <si>
    <t>US - Coherent Inc acquired the entire share capital of Rofin-Sinar Technologies Inc, a Plymouth-based manufacturer and wholesaler of industrial lasers, for USD 32.5 in cash per share or a total value of USD 929.699 mil.</t>
  </si>
  <si>
    <t>Columbia Pipeline Group Inc</t>
  </si>
  <si>
    <t>TransCanada Corp</t>
  </si>
  <si>
    <t>US - TransCanada Corp (TransCanda) of Canada acquired the entire share capital of Columbia Pipeline Group Inc (Columbia), a Houston-based provider of natural gas pipeline transmission services, for USD 25.5 in cash per share, or a total value of USD 12. 996 bil, including the assumption of USD 2.8 bil in liabilities. Originally, TransCanada was rumored be in negotiations to acquire the entire share capital of Columbia.</t>
  </si>
  <si>
    <t>Origin Technologies Corp LLC</t>
  </si>
  <si>
    <t>US - Origin Technologies Corp (Origin), a special purpose acquisition vehicle created by Wei Zhou, Glenn McGall, Janet Warrington, and Vern Norviel, withdrew its plans to launch an unsolicited challenging offer to acquire the entire share capital of Affymetrix Inc (AI), a Santa Clara-based manufacturer and wholesaler of electromedical and electrotherapeutic equipment, for a sweetened USD 17 in cash per share or a total of USD 1.405 bil. Originally, Origin offered USD 16.1 in cash per share, or a total value of USD 1.33 bil. Subsequently, Thermo Fisher Scientific Inc planned to acquire the entire share capital of AI.</t>
  </si>
  <si>
    <t>Callidus Software Inc</t>
  </si>
  <si>
    <t>Develop sales management software</t>
  </si>
  <si>
    <t>US - Google Inc, a unit of Alphabet Inc, was rumored to be planning to acquire the entire share capital of Callidus Software Inc, a Dublin-based sales performance management software developer. The Current status of this deal is unknown.</t>
  </si>
  <si>
    <t>First Trust High Income Long</t>
  </si>
  <si>
    <t>First Trust Act Div Income</t>
  </si>
  <si>
    <t>US - First Trust Active DividendIncome Fund merged with First Trust High Income Long/Short Fund, a Wheaton- based financial vehicle.</t>
  </si>
  <si>
    <t>Sector 5 Inc</t>
  </si>
  <si>
    <t>Electronic Computer Manufacturing</t>
  </si>
  <si>
    <t>Kirkland Holding Co Inc</t>
  </si>
  <si>
    <t>US - Kirkland Holding Co Inc acquired a 75% interest or 15 mil common shares, in Sector 5 Inc, an Alexandria,-based manufacturer of electronic computers, for a total USD 0. 4 mil.</t>
  </si>
  <si>
    <t>Xactly Corp</t>
  </si>
  <si>
    <t>US - Google Inc, a unit of Alphabet Inc, was rumored to be planning to acquire the entire share capital of Xactly Corp, a San Jose-based sales compensation management software developer. The Current status of this deal is unknown.</t>
  </si>
  <si>
    <t>US - Sherwin-Williams Co acquired the entire share capital of Valspar Corp, a Minneapolis-based manufacturer of paint coatings, for USD 113 in cash per share, or a total of USD 9.309 bil. On completion, Valspar Corp will delist from the stock exhange.</t>
  </si>
  <si>
    <t>Illini Corp,Springfield,IL</t>
  </si>
  <si>
    <t>US - Hometown Community Bancorp Inc planned to merge with Illini Corp, a Springfield-based bank holding company. Subsequently, Illini Corp agreed to merge with United Community Bancorp Inc.</t>
  </si>
  <si>
    <t>First Marblehead Corp</t>
  </si>
  <si>
    <t>Pvd loan outsourcing services</t>
  </si>
  <si>
    <t>FP Resources USA Inc</t>
  </si>
  <si>
    <t>US - FP Resources USA Inc, a unit of Lobster Point Properties Ltd, acquired the remaining 9.938 mil common shares, or 85.1% interest, which it did not already own, in First Marblehead Corp, a Boston-based provider of loan outsourcing services, for USD 5.05 in cash per share or a total of USD 50.189 mil.</t>
  </si>
  <si>
    <t>VirtualScopics Inc</t>
  </si>
  <si>
    <t>Mnfr med diagnostic solutions</t>
  </si>
  <si>
    <t>BioTelemetry Inc</t>
  </si>
  <si>
    <t>US - BioTelemetry Inc acquired the entire share capital of VirtualScopics Inc (VirtualScopics), a Rochester- based manufacturer of clinical trial imaging solutions, for USD 4.05 in cash per share, USD 336.30 in cash per Series A and B convertible preferred share, and USD 920 in cash per Series C-1 convertible preferred share, or a total value of USD 16.079 mil, via a tender offer. The offer was conditional upon at least a majority of the outstanding shares and Series C-1 convertible preferred share of VirtualScopics being tendered.</t>
  </si>
  <si>
    <t>US - Eagle Bulk Shipping Inc (Eagle Bulk), a New York- based owner and operator of dry bulk vessels, providing global transportation services, completed its recapitalization plan with Bondholders (BHs). BHs received common shares in exchange for outstanding debt. On completion, BHs held a 75% interest in the restructured Eagle Bulk. The book value of the existing debt that was exchanged under the terms of the offer was USD 256 mil.</t>
  </si>
  <si>
    <t>Xerium Technologies Inc</t>
  </si>
  <si>
    <t>Mnfr,whl textile prod</t>
  </si>
  <si>
    <t>US - In April 2016, Xerium SA, ultimately owned by Altium Capital Ltd, announced that it was seeking a buyer for the remaining stake, which it did not already own, in its Xerium Technologies Inc unit, a Raleigh-based textile and fabric finishing mill operator.</t>
  </si>
  <si>
    <t>Chicopee Bancorp Inc</t>
  </si>
  <si>
    <t>Westfield Financial Inc</t>
  </si>
  <si>
    <t>US - Westfield Financial Inc (Westfield) merged with Chicopee Bancorp Inc (Chicopee), a Chicopee-based bank holding company, in a stock swap transaction valued at USD 110.756 mil. Westfield offered 2.425 common shares per Chicopee share.  Based on Westfield's closing stock price of USD 8.46  on 01 April 2016, the last full trading day prior to the announcement, each Chicopee share was valued at USD 20. 516. On completion, Westfield and Chicopee will 51% and 49% respectively and the new entity was to be renamed Western New England Bancorp Inc. This transaction is Tax- Exempt under IRC s386.</t>
  </si>
  <si>
    <t>Ruckus Wireless Inc</t>
  </si>
  <si>
    <t>Other Computer Peripheral Equipment Manufacturing</t>
  </si>
  <si>
    <t>US - Brocade Communications Systems Inc (Brocade) acquired the entire share capital of Ruckus Wireless Inc (Ruckus), a Sunnyvale- based manufacturer and wholesaler of smart Wi-Fi products and smart wireless LAN (WLAN) systems, in a stock swap transaction valued at USD 1.414 bil. Brocade offered USD 6.45 cash and 0. 75 common shares per Ruckus share. Based on Brocade's closing stock price of USD 10. 64 on 01 April 2016, the last full trading day prior to the announcement, each Ruckus share was valued at USD 14.43. Earlier, Brocade completed its tender offer for  Ruckus, by accepting 53.714 mil shares, or 59.641% of Ruckus' common shares outstanding. The offer was conditional upon at least majority of Ruckus shares being tendered. On completion, Ruckus' common shares were delisted from New York Stock Exchange.</t>
  </si>
  <si>
    <t>Virgin America Inc</t>
  </si>
  <si>
    <t>Scheduled Passenger Air Transportation</t>
  </si>
  <si>
    <t>Alaska Air Group Inc</t>
  </si>
  <si>
    <t>Provide air transp services</t>
  </si>
  <si>
    <t>US - Alaska Air Group Inc (Alaska) acquired the entire share capital of Virgin America Inc (Virgin), a Burlingame-based provider of low-fare airline and aviation scheduled transportation services, for USD 57 in cash per share, or a total value of USD 4.207 bil in cash, including USD 1.589 bil in capitalized leases. Originally, in March 2016 Virgin was rumored to be seeking a buyer for the entire share capital of the company. JetBlue and Alaska Air were named rumored potential bidders.</t>
  </si>
  <si>
    <t>Raptor Pharmaceutical Corp</t>
  </si>
  <si>
    <t>US - In April 2016, Raptor Pharmaceutical Corp, a Novato- based manufacturer of pharmaceutical preparation, was rumored to be seeking a buyer for the entire share capital of the company.</t>
  </si>
  <si>
    <t>Alliance Fiber Optic Products</t>
  </si>
  <si>
    <t>US - Corning Inc (Corning) acquired the entire share capital of Alliance Fiber Optic Products Inc (Alliance), a Sunnyvale-based manufacturer of semiconductors, fiber optic components, and integrated modules, for USD 18.5 in cash per share, or a total value of 297.169 mil. Earlier, Corning completed its tender offer for Alliance, by accepting 12.3 mil shares, or 77.890% of Alliance's common shares outstanding. The offer was conditioned upon at least majority of Alliance's shares being tendered. On completion, Alliance's shares were delisted from the Nasdaq Stock Market.</t>
  </si>
  <si>
    <t>Fifth Street Finance Corp</t>
  </si>
  <si>
    <t>Pvd fnancing svcs</t>
  </si>
  <si>
    <t>US - Fifth Street Finance Corp (FSC), a Greenwich-based provides financing services to private equity firms, completed its debt restructuring transaction with Creditors (CRs). CRs received common shares and debt. On completion, CRs held an undisclosed interest in the restructured FSC. The book value of the existing debt that was exchanged under the terms of the offer was USD 165.363 mil.</t>
  </si>
  <si>
    <t>Hatteras Financial Corp</t>
  </si>
  <si>
    <t>US - Annaly Capital Management Inc (Annaly) acquired the entire share capital of Hatteras Financial Corp (Hatteras), a Winston Salem-based real estate investment trust, in a stock swap transaction valued at USD 1.498 bil, via tender offer. Annaly offered a choice of 1.5226 comon shares, USD 15.85 in cash or USD 5. 55 in cash and 0.9894 common shares per Hatteras share, subject to proration whereby aggregate consideration will consist of 65% stock and 35% in cash. Based on Annaly's closing stock price of USD 10. 41 on 08 April 2016, the last full trading day prior to the announcement, each Hatteras share was valued at USD 15.85. The offer was conditioned upon at least 66.667% of Hatteras' shares being tendered. On completion, Hatteras common shares were delisted from the New York Stock Exchange.</t>
  </si>
  <si>
    <t>SUN Parent Inc</t>
  </si>
  <si>
    <t>US - SUN Parent Inc (SUN), a special purpose acquisition vehicle formed by Libin Sun, Liang Xu, Haiping Zhou, Zhibin Lin, Junping Chen, Libin Yang, and Nauman A. Aly withdrew its plans to launch an unsolicited offer to acquire the remaining 94.973% interest, or 128.567 mil common shares, which it did not already own, in Integrated Device Technology Inc, a San Jose-based manufacturer and wholesaler of semiconductor products, for USD 32 in cash per share or a total value of USD 4.176 bil.</t>
  </si>
  <si>
    <t>Catalent Inc</t>
  </si>
  <si>
    <t>Lonza Group AG</t>
  </si>
  <si>
    <t>US - Lonza Group AG of Switzerland was rumored to be planning to acquire the entire share capital of Catalent Inc, a Somerset- based manufacturer of pharmaceuticals. The Current status of this deal is unknown.</t>
  </si>
  <si>
    <t>Peabody Energy Corp</t>
  </si>
  <si>
    <t>US - Peabody Energy Corp (Peabody), a St. Louis-based Provider of coal mining services, completed a debt restructuring transaction with Creditors (CRs), in a transaction valued at USD 2. 752 bil. CRs received 100,982, 246 common shares in exchange of outstanding debt. Shares were valued based on Peabody's closing stock price of USD 27.25 as on 04 April 2017, the first full trading day post restructuring. On completion, CRs held 22.44% interest in the restructured Peabody. The book value of the existing debt that was exchanged under the terms of the offer was USD 8.8 bil. Originally, in August 2015, Peabody was rumored to be planning a debt restructuring transaction.</t>
  </si>
  <si>
    <t>US - Mitel Networks Corp (Mitel) of Canada withdrew its definitive agreement to acquire the entire share capital of Polycom Inc (Polycom), a San Jose-based manufacturer and wholesaler communication equipment, from Elliott Management Corp (6.6%) and other shareholders (93. 4%), in a reverse takeover transaction valued at USD 1. 619 bil. Mitel offered USD 3. 12 in cash and 1.31 common shares per Polycom share. Based on Mitel's closing stock price of USD 7.85 on 14 April 2016, the last full trading day prior to the announcement, each Polycom share was valued at USD 13. 404. Upon completion, Mitel and Polycom shareholders were to own 40% and 60% in the combined entity, respectively. Originally, in April 2016, Mitel was rumored to be planning to merge with Polycom.</t>
  </si>
  <si>
    <t>Cvent Inc</t>
  </si>
  <si>
    <t>US - Vista Equity Partners LLC acquired the entire share capital of Cvent Inc, a Tysons Corner-based developer of event management software, for USD 36 in cash per share, or a total value of USD 1.624 bil, in a leveraged buyout transaction.</t>
  </si>
  <si>
    <t>Ninestar Holdings Co Ltd</t>
  </si>
  <si>
    <t>US - Ninestar Holdings Co Ltd of China, formed by Apex Technology Co Ltd and PAG Asia Capital, a unit of Pacific Alliance Group Ltd and Legend Capital Co Ltd, a unit of Legend Holdings Corp, acquired the entire share capital of Lexmark International Inc (Lexmark), a Lexington-based manufacturer and provider of printing and imaging products, software, solutions and services, for USD 40.5 in cash per share, or a total valuie of USD 2.745 bil in cash, in a leveraged buyout transaction. Originally, in January 2016, Lexmark was rumored to be seeking a buyer for its hardware &amp; software assets.</t>
  </si>
  <si>
    <t>Hansen Medical Inc</t>
  </si>
  <si>
    <t>Mnfr med robotics</t>
  </si>
  <si>
    <t>Auris Surgical Robotics Inc</t>
  </si>
  <si>
    <t>US - Auris Surgical Robotics Inc merged with Hansen Medical Inc, a Mountain View- based manufacturer of medical robotics, for USD 4 in cash per share, or a total value of USD 80.057 mil.</t>
  </si>
  <si>
    <t>Treasure State Bank</t>
  </si>
  <si>
    <t>US - Glacier Bancorp Inc, Kalispell, Montana acquired the entire share capital of Treasure State Bank, a Missoula-based savings institution, for an estimated USD 12.9 mil.</t>
  </si>
  <si>
    <t>Tribune Publishing Co</t>
  </si>
  <si>
    <t>US - Gannett Co Inc (Gannett) withdrew its plans to acquire the entire share capital of Tribune Publishing Co (Tribune), a Chicago-based provider of multiplatform media and marketing solutions, for a sweetened USD 15 in cash per share plus the assumption of USD 385 mil in liabilities, for a total USD 859.865 mil, via an unsolicited offer. Originally, Gannett offered USD 12.25 per share.</t>
  </si>
  <si>
    <t>US - In April 2016, Comerica Inc, a Dallas-based commercial bank, announced that it was seeking a buyer for the entire share capital of the company.</t>
  </si>
  <si>
    <t>First Clover Leaf Finl Corp</t>
  </si>
  <si>
    <t>First Mid-Illinois Bancshares</t>
  </si>
  <si>
    <t>US - First Mid-Illinois Bancshares Inc (First Mid- Illinois) acquired the entire share capital of Edwardsville- based First Clover Leaf Financial Corp (First Clover Leaf), for USD 90.166 mil. First Mid-Illinois offered a choice of USD 12.87 in cash or 0.495 common share for every First Clover Leaf share held.</t>
  </si>
  <si>
    <t>Indiana Business Bancorp</t>
  </si>
  <si>
    <t>Lizton Financial Corp</t>
  </si>
  <si>
    <t>US - Lizton Financial Corp acquired the entire share capital of Indiana-based Indiana Business Bancorp, for USD 7.25 in cash per share, or a total value of USD 11. 861 mil.</t>
  </si>
  <si>
    <t>Foundation Bancorp Inc,WA</t>
  </si>
  <si>
    <t>US - Pacific Continental Corp (PCC) acquired the entire share capital of Bellevue- based Foundation Bancorp Inc (Foundation), in a stock swap transaction, valued at USD 5. 978 mil. PCC offered a choice of 0.7911 common share or USD 12.5 in cash or a combination for every Foundation share held. Based on PCC's closing stock price of USD 16.32 on 25 April 2016, the last full trading day prior to the announcement, each Foundation share was valued at USD 12. 911. This transaction is Tax- Exempt under IRC s386.</t>
  </si>
  <si>
    <t>Regent Bancorp Inc</t>
  </si>
  <si>
    <t>Stonegate Bnk,F Lauderdale,Fl</t>
  </si>
  <si>
    <t>US - Stonegate Bank (Stone) acquired the entire share capital of Regent Bancorp Inc (Regent), a Davie-based bank holding company, in a stock swap transaction valued at an estimated USD 39.988 mil. Stone offered 0.2893 common share per Regent share held. Based on Stonegate's closing stock price of USD 31.17 on 25 April, 2016, the last full trading day prior to the announcement, each Regent share was valued at USD 9.017.</t>
  </si>
  <si>
    <t>Prime Pac Finl Svcs Inc</t>
  </si>
  <si>
    <t>US - Cascade Bancorp (Cascade) acquired the entire share capital of Prime Pacific Financial Services Inc (Prime) , a Lynwood-based bank holding company, in a stock swap transaction valued at USD USD 2.276 mil. Cascade offered 0.3050 common shares per Prime share. Based on Cascade's closing stock price of USD 5.87 on 25 April 2016, the last full trading day prior to the announcement, each Prime share was valued at USD 1.79.</t>
  </si>
  <si>
    <t>ExamWorks Group Inc</t>
  </si>
  <si>
    <t>Pvd medical examination svcs</t>
  </si>
  <si>
    <t>US - Leonard Green &amp; Partners LP, through an undisclosed affiliate, acquired the entire share capital of ExamWorks Group Inc, an Atlanta-based provider of independent medical examinations, peer, and bill reviews, and other related services, for USD 35.05 in cash per share, or a total value of USD 1.520 bil, in a leveraged buyout transaction.</t>
  </si>
  <si>
    <t>California Republic Bancorp</t>
  </si>
  <si>
    <t>US - Mechanics Bank of Richmond, a unit of Ford Financial Fund II LP, acquired the entire share capital of Irvine-based California Republic Bancorp, for 37.19 in cash per share, or a total USD USD 323.943 mil.</t>
  </si>
  <si>
    <t>Own,operate pawnshops</t>
  </si>
  <si>
    <t>First Cash Finl Services Inc</t>
  </si>
  <si>
    <t>Own, operate pawnshops</t>
  </si>
  <si>
    <t>US - First Cash Financial Services Inc (First Cash) merged with Cash America International Inc (Cash America), a Fort Worth-based owner and operator of pawnshops, in a stock swap transaction valued at USD 1. 001 bil. First Cash offered 0. 84 common share per Cash America share. Based on First Cash's closing stock price of USD 48.69 on 27 April 2016, the last full trading day prior to the announcement, each Cash America share was valued at USD 40.9. On completion, First Cash and Cash America shareholders were to receive 58% and 42% in the merged entity, respectively. This transaction is Tax-Exempt under IRC s386.</t>
  </si>
  <si>
    <t>NBCUniversal Media LLC</t>
  </si>
  <si>
    <t>Own,op television broadcasting stations</t>
  </si>
  <si>
    <t>US - NBCUniversal Media LLC, a wholly-owned unit of Comcast Corp, acquired the entire share capital of DreamWorks Animation SKG Inc (DreamWorks), a Glendale- based provider of computer generated animated films production and distribution services, for USD 41 in cash per share, or a total value of USD 3.597 bil. Originally, in April 2016, Comcast was rumored to be planning to acquire the entire share capital of DreamWorks.</t>
  </si>
  <si>
    <t>Medivation Inc</t>
  </si>
  <si>
    <t>Sanofi SA</t>
  </si>
  <si>
    <t>Manufactures, wholesales pharmaceuticals</t>
  </si>
  <si>
    <t>US - Sanofi SA (Sanofi) of France withdrew its plans to launch a hostile tender offer to acquire the entire share capital of Medivation Inc (Medivation), a San Francisco- based manufacturer of pharmaceutical preparation, for a sweetened USD 58 in cash per share and USD 3 in contingent value right, for a total value of USD 10.372 bil in cash, via an unsolicited offer. Previously, Sanofi offered USD 52.50 in cash per share. Originally, Sanofi was rumored to be planning to acquire the entire share capital of Medivation. Subsequently, Pfizer Inc, acting as a white knight, merged with Medivation, via challenging tender offer.</t>
  </si>
  <si>
    <t>Fortress Biotech Inc</t>
  </si>
  <si>
    <t>US - Fortress Biotech Inc (Fortress), through a wholly owned subsidiary, withdrew agreement to acquire the entire share capital of National Holdings Corp (NHLD), a New York-based provider of securities brokerage and investment advice, for USD 3. 25 in cash per share, or a total value of USD 40.43 mil, via a tender offer. Fortress completed its tender offer by accepting 6,748,868 shares or 54% of NHLC's common shares outstanding.</t>
  </si>
  <si>
    <t>US - Abbott Laboratories (Abbott) acquired the entire share capital of St. Jude Medical Inc (St. Jude), a Saint Paul-based manufacturer and wholesaler of medical devices, for USD 24.733 bil. Abbott offered USD 46.75 in cash per share and 0.8708 common share per each ST. Jude share. Based on Abbott's closing stock price of USD 43. 83 on 27 April 2016, the last full trading day prior to the announcement, each St. Jude common share was valued at USD 84.917. Originally, in August 2015, Abbott was rumored to be planning to acquire the entire share capital of St. Jude. This transaction is Tax-Exempt under IRC s386.</t>
  </si>
  <si>
    <t>Textura Corp</t>
  </si>
  <si>
    <t>Dvlp construction software</t>
  </si>
  <si>
    <t>US - Oracle Corp (Oracle) acquired the entire share capital of Textura Corp (Textura), a Deerfield-based developer of construction software, for USD 26 in cash per share, or a total value of USD 701.882 mil, via tender offer. Earlier, Oracle completed its tender offer for Textura by accepting 24. 541 mil, or 93.69% of Textura's common shares outstanding. The transaction was conditioned up to at least 66.67% Textura's shares being tendered. Upon completion, Textura common shares will be delisted from New York Stock Exchange.</t>
  </si>
  <si>
    <t>Cousins Properties Inc</t>
  </si>
  <si>
    <t>US - Cousins Properties Inc (Cousins) merged with Parkway Properties Inc (Parkway), an Orlando-based real estate investment firm, from TPG Capital LP and other undisclosed sellers, in a stock swap transaction valued at USD 1.961 bil. Cousins offered 1.63 common shares per Parkway share. Based on Cousin's closing stock price on 28 April 2016, the last full trading date prior to the announcement, each Parkway share was valued at USD 17.457. On completion, Cousin and Parkway was to own 52% and 48% of the merged entity, respectively. Concurrently, Cousins agreed to spin-off its Houston assets to its shareholders.</t>
  </si>
  <si>
    <t>Sierra Vista Bank</t>
  </si>
  <si>
    <t>US - Central Valley Community Bancorp (Central) merged with Folsom-based Sierra Vista Bank (Sierra), in a stock swap transaction valued at USD 7.594 mil, whereby the aggregate consideration was to be comprised of 58% common shares and 42% cash. Central offered a choice of 0.4333 Central common shares or USD 5.20 in cash or a combination of USD 2.18 in cash and 0. 2513 Central shares per Sierra share. Based on Central's closing stock price of USD 12.07 on 28 April 2016, the last full trading day prior to the announcement, each Sierra share was valued at USD 5.230.</t>
  </si>
  <si>
    <t>US - Rovi Corp (Rovi) acquired the entire share capital of TiVo Inc(TiVo), a San Jose-based provider of subscription programming services, in a stock swap transaction valued at USD 1. 356 bil, subject to collar agreement. Rovi offered USD 2. 75 in cash and USD 7.95 in common shares. Originally, Rovi was rumored to be planning to acquire TiVo. This transaction is Tax- Exempt under IRC s386.</t>
  </si>
  <si>
    <t>Reading International Inc</t>
  </si>
  <si>
    <t>Own,op cinemas,live theatres</t>
  </si>
  <si>
    <t>Patton Vision LLC</t>
  </si>
  <si>
    <t>Office Administrative Services</t>
  </si>
  <si>
    <t>US - Patton Vision LLC (Patton) planned to acquire the entire share capital of Reading International Inc (Reading International), a Commerce-based motion picture theater operator, for a sweetened USD 18.50 cash per share or a total of USD 435. 948 mil. Originally, Patton offered USD 17 cash per share or a total of USD 400.741 mil, via an unsolicited offer.</t>
  </si>
  <si>
    <t>Opower Inc</t>
  </si>
  <si>
    <t>US - Oracle Corp acquired Opower Inc (Opower), an Arlington-developer of enterprise software, for USD 10.30 cash per share, or for a total value of USD 573.538 mil, via tender offer. The offer was conditional upon at least majority of Opower's shares being tendered.</t>
  </si>
  <si>
    <t>Symmetry Surgical Inc</t>
  </si>
  <si>
    <t>RoundTable Healthcare Partners</t>
  </si>
  <si>
    <t>US - RoundTable Healthcare Partners LP acquired the entire share capital of Symmetry Surgical Inc, an Antioch-based manufacturer of surgical appliance and supplies, for USD 13.10 per share in cash or a total value of USD 127.108 mil, in a leveraged buyout transaction.</t>
  </si>
  <si>
    <t>IMS Health Holdings Inc</t>
  </si>
  <si>
    <t>Quintiles Transnational</t>
  </si>
  <si>
    <t>Pvd pharm research,dvlp svcs</t>
  </si>
  <si>
    <t>US - Quintiles Transnational Holdings Inc (Quintiles) merged with IMS Health Holdings Inc (IMS), a Danbury- based provider of global information and technology services, in a stock swap transaction valued at USD 8. 858 bil, via merger of equals. Quintiles offered 0.384 common shares per IMS share. Based on Quintiles' closing stock price of USD 69.1 on 02 May 2016, the last full trading prior to the announcement, each share was valued at USD 26.534. On completion, the merged entity was renamed as Quintiles IMS Holdings Inc, whereby Quintiles and IMS were to own 48.6% and 51.4% interest, respectively. This transaction is Tax-Exempt under IRC s386.</t>
  </si>
  <si>
    <t>Your Community Bankshares Inc</t>
  </si>
  <si>
    <t>US - WesBanco Inc (WBI) merged with Your Community Bankshares Inc (YCI), a New Albany-based bank holding company, in a stock swap transaction valued at an estimated USD 212.936 mil. WBI offered USD 7.70 in cash and 0.964 common share per YCI share, valued at USD 170. 948 mil. Based on WBI's closing stock price of USD 32. 52 on 02 May 2016, the last full trading day prior to the announcement, each YCI share was valued at USD 39.049. This transaction is Tax- Exempt under IRC s386.</t>
  </si>
  <si>
    <t>Badger Meter Inc</t>
  </si>
  <si>
    <t>US - In May 2016, Badger Meter Inc, a Milwaukee-based manufacturer of measuring, displaying and controlling variables instruments and related products, was rumored to be seeking a buyer for the entire share capital of the company, via auction. The Current status of this deal is unknown.</t>
  </si>
  <si>
    <t>Lake Sunapee Bank Group</t>
  </si>
  <si>
    <t>Bar Harbor Bankshares,ME</t>
  </si>
  <si>
    <t>US - Bar Harbor Bankshares, BarHarbor,Maine acquired the entire share capital of Newport-based Lake Sunapee Bank Group (LSBG), in a stock swap transaction valued at USD 143.925 mil. BHB offered 0.497 common share for every LSBG share held. Based on BHB's closing stock price of USD 34.55 on 4 May 2016, the last full trading day prior to the announcement, each LSBG share was valued at USD 17.171. This transaction is Tax-Exempt under IRC s386.</t>
  </si>
  <si>
    <t>Colony Capital Inc</t>
  </si>
  <si>
    <t>NorthStar Asset Mgmt Grp Inc</t>
  </si>
  <si>
    <t>US - NorthStar Asset Management Group Inc (NorthStar Asset) merged with Colony Capital Inc (Colony Capital), a Los Angeles-based real estate investment trust, in a stock swap transaction valued USD 2.053 bil, via a three way merger. NorthStar Asset offered 1.4663 common shares per Colony Capital share. Based on NorthStar Asset's closing stock price of USD 12.31 on 02 June 2016, the last full trading day prior to the announcement, each Colony Capital common share is valued at USD 18.05. Concurrently, NorthStar Asset merged with NorthStar Realty Finance Corp (NorthStar Realty). Upon completion, NorthStar Asset, Colony Capital and NorthStar Realty were to have a 32.85%, 33.25% and 33.90% in the merged entity, to be renamed Colony NorthStar Inc, respectively.</t>
  </si>
  <si>
    <t>US - NorthStar Asset Management Group Inc (NorthStar Asset) merged with NorthStar Realty Finance Corp (NorthStar Realty) a New York- based real estate investment trust in a stock swap transaction valued USD 2.443 bil, via a three way merger. NorthStar Asset offered 1. 0996 common shares per NorthStar Realty share. Based on NorthStar Assets closing stock price of USD 12.31 on 02 June 2016, the last full trading day prior to the announcement, each NorthStar Realty common share was valued at USD 13.536 Concurrently, NorthStar Asset merged with Colony Capital Inc (Colony Capital). Upon completion, NorthStar Asset, Colony Capital and NorthStar Realty were to have a 32.85%, 33.25% and 33.90% in the merged entity, to be renamed Colony NorthStar Inc, respectively.</t>
  </si>
  <si>
    <t>US - In May 2016, Ferro Corp, a Mayfield Heights-based manufacturer of coatings, was rumored to be seeking a buyer for the entire share capital of the company. Terms were not disclosed but, according to sources close to the situation, the deal was valued at an estimated USD 1. 15 bil. The Current status of this deal is unknown.</t>
  </si>
  <si>
    <t>US - KaloBios Pharmaceuticals Inc (KaloBios), a Brisbane - based manufacturer of human antibody therapeutics, completed a debt restructuring transaction with Creditors (CRs). CRs received common shares in exchange for outstanding debt. On completion, CRs held an undisclosed interest in the restructured KaloBios. The book value of the existing debt that will be exchanged under the terms of the offer is USD 14.295 mil.</t>
  </si>
  <si>
    <t>JAB Beech Inc</t>
  </si>
  <si>
    <t>US - JAB Beech Inc, a unit of Johann A Benckiser SE, acquired the entire share capital of Krispy Kreme Doughnuts Inc (Krispy Kreme), a Winston-Salem-based retailer and wholesaler of doughnuts, for USD 21 per share in cash, or a total value of USD 1.309 bil. On completion, Krispy Kreme common shares were to be delisted from the New York Stock Exchange.</t>
  </si>
  <si>
    <t>SBEEG Holdings LLC</t>
  </si>
  <si>
    <t>Hotels (Except Casino Hotels) and Motels</t>
  </si>
  <si>
    <t>US - SBEEG Holdings LLC acquired the entire share capital of Morgans Hotel Group Co (Morgans), a New York-based hotel operator, for USD 2.25 in cash per share or a total value of USD 78.22 mil. Originally, in June 2013, Morgan's announced that it was seeking a buyer for the company.</t>
  </si>
  <si>
    <t>US - In May 2016, RXI Pharmaceuticals Corp, a Portland-based manufacturer of pharmaceutical preparation, announced that it was seeking a buyer for the entire share capital of the company.</t>
  </si>
  <si>
    <t>Marketo Inc</t>
  </si>
  <si>
    <t>US - In May 2016, Marketo Inc, a San Mateo-based software publisher, was rumored to be seeking a buyer for the entire share capital of the company.</t>
  </si>
  <si>
    <t>Anacor Pharmaceuticals Inc</t>
  </si>
  <si>
    <t>US - Pfizer Inc (Pfizer) acquired the entire share capital of Anacor Pharmaceuticals Inc (Anacor), a Palo Alto-based biopharmaceutical company, for USD 99.25 in cash per share, or a total value of USD 5.541 bil. Earlier, Pfizer completed its tender offer for Anacor by accepting 35.006 mil shares, or 77.143% of Anacor's common shares outstanding. The offer was conditional upon at least the majority of Anacor's shares being tendered. On completion, Anacor common shares were delisted from the NASDAQ Stock Market.</t>
  </si>
  <si>
    <t>Memorial Resource Dvlp Corp</t>
  </si>
  <si>
    <t>Range Resources Corp</t>
  </si>
  <si>
    <t>US - Range Resources Corp (Range) merged with Memorial Resource Development Corp (Memorial), a Houston-based natural gas and oil company, from MRD Holdco LLC, in a stock swap transaction valued at USD 4.351 bil., including the assumption of USD 1.1 bil Range offered 0.375 new common shares per Memorial share. Based on Range's closing stock price of USD 42. 01 on 13 May 2016, the last full trading day prior to the announcement, each Memorial share was valued at USD 15. 754 per share. On completion, Memorial's common shares were delisted from NASDAQ. This transaction is Tax-Exempt under IRC s386.</t>
  </si>
  <si>
    <t>The Andersons Inc</t>
  </si>
  <si>
    <t>Whl turf,ornamental plant</t>
  </si>
  <si>
    <t>US - HC2 Holdings Inc withdrew its plans to launch an unsolicited tender offer to acquire the entire share capital of The Andersons Inc, a Maumee-based grain and field bean merchant wholesaler, for USD 37 in cash per share, or a total value of USD 1.044 bil.</t>
  </si>
  <si>
    <t>US - Occidental Petroleum Corp was rumored to be planning to acquire the entire share capital of Apache Corp, a Houston-based producer of crude petroleum and natural gas. The terms of the transaction were not disclosed, but according to sources close to the transaction, the value was estimated at USD 25 bil. The Current status of this deal is unknown.</t>
  </si>
  <si>
    <t>US - Halcon Resources Corp (HRC), a Houston-based oil and gas exploration and production company, agreed a debt restructuring transaction with Creditors (CRs), in a transaction valued at USD 937.440 mil. CRs received 86.400 mil common shares in exchange for existing outstanding debt. On completion, CRs held a 96% interest in the restructured HRC. The shares were valued based on HRC's closing stock price of USD 10.85 on 12 September 2016, the first full trading day post restructuring. The book value of the existing debt that was exchanged under the terms of the offer was USD 1.8 bil.</t>
  </si>
  <si>
    <t>inContact Inc</t>
  </si>
  <si>
    <t>Provide call center services</t>
  </si>
  <si>
    <t>US - NICE Systems Ltd  (NICE) of Israel acquired the entire share capital of inContact Inc, a Sandy-based provider of call center solutions services, for USD 14 in cash per share, or a total value of USD 887.723 mil in cash.</t>
  </si>
  <si>
    <t>US - Bayer AG (Bayer) of Germany, definitively agreed to merge with Monsanto Co (Monsanto), a St Louis-based manufacturer and wholesaler of agricultural products, for a thrice sweetened USD 128 in cash per share, or a total value of USD 56.598 bil, via tender offer. Previously, Bayer offered a twice sweetened USD 127.5 in cash per share. Previously, Bayer offered USD 125 in cash per share. Previously, Bayer offered USD 122 in cash per share. Originally, in May 2016, Bayer was rumored to be planning to acquire the entire share capital of Monsanto.</t>
  </si>
  <si>
    <t>US - First Citizens Bank &amp; Trust Co Inc, a unit of First Citizens BancShares Inc, acquired the entire share capital of Midlothian-based Cordia Bancorp Inc, for USD 5. 15 in cash per share, or a total value of USD 27.799 mil.</t>
  </si>
  <si>
    <t>American Capital Ltd</t>
  </si>
  <si>
    <t>US - Ares Capital Corp (Ares) acquired the entire share capital of American Capital Ltd (AC), a Bethesda-based private equity firm, in a stock swap transaction valued at USD 3.154 bil. Ares offered USD 6.41 in cash and 0.483 common shares for each SC share. Based on Ares' closing stock price of USD 15. 19 on 20 May 2016, the last full trading day prior to the announcement. The transaction was conditioned upon the completion of the acquisition of American Capital Mortgage Management LLC by American Capital Agency Corp. Originally, in November 2015, AC was rumoured to be seeking for buyer.</t>
  </si>
  <si>
    <t>Xura Inc</t>
  </si>
  <si>
    <t>US - Siris Capital Group LLC merged with Xura Inc (Xura), a Wakefield-based provider of cloud-based and in-network services enablement and monetization software services, for USD 25 in cash per share or a total value of USD 625.574 mil, in a leveraged buyout transaction. On completion, Xura common shares were delisted in NASDAQ.</t>
  </si>
  <si>
    <t>C-III Capital Partners LLC</t>
  </si>
  <si>
    <t>Provide real estate investment services</t>
  </si>
  <si>
    <t>US - C-III Capital Partners LLC, a unit of Island Capital Group LLC, acquired the entire share capital of Resource America Inc, a Philadelphia-based provider of financial investment services, for USD 9.78 in cash per share, or at total value of USD 223.315 mil.</t>
  </si>
  <si>
    <t>XenoPort Inc</t>
  </si>
  <si>
    <t>Arbor Pharmaceuticals LLC</t>
  </si>
  <si>
    <t>US - Arbor Pharmaceuticals LLC acquired the entire share capital of XenoPort Inc (Xenoport), a Santa Clara- based biopharmaceutical company, for USD 7.03 in cash per share, or a total value of USD 448.228 mil, via a tender offer. The offer was conditional upon 50% of Xenoport's shares being tendered.</t>
  </si>
  <si>
    <t>Covisint Corp</t>
  </si>
  <si>
    <t>US - Vector Capital Corp withdrew its plans to launch an unsolicited tender offer to acquire the entire share capital of Covisint Corp, a Detroit-based ecommerce information services, in a leveraged buyout transaction. Subsequently, OpenText Corp definitively agreed to merge with Covisint Corp.</t>
  </si>
  <si>
    <t>United Community Bancorp Inc</t>
  </si>
  <si>
    <t>US - United Community Bancorp Inc, Chatham, Illinois merged with Illini Corp, a Springfield-based bank holding company. Previously, Illini Corp agreed to merge with Hometown Community Bancorp.</t>
  </si>
  <si>
    <t>US - An investor group, comprised of Takeda Pharmaceutical Co Ltd and TPG Capital LP was rumored to be planning to acquired the entire share capital Valeant Pharmaceuticals International Inc, a Bridgewater-based manufacturer and wholesaler of specialty pharmaceutical products.  The Current status of this deal is unknown.</t>
  </si>
  <si>
    <t>US - Thermo Fisher Scientific Inc acquired the entire share capital of  FEI Co, a Hillsboro-based manufacturer of charged particle beam systems, transmission electron microscopes, scanning electron microscopes, for USD 107.50 in cash per share, or a total value of USD 4.426 bil in cash.</t>
  </si>
  <si>
    <t>US - Hercules Offshore Inc (Hercules), a Houston-based provider of offshore contract drilling, liftboat and inland barge services, planned a debt restructuring transaction with Bondholders (BHs). BHs were to receive cash and common shares. Upon completion, BHs were to hold undisclosed interest in the restructured Hercules. The book value of the existing debt that will be exchanged under the terms of the offer is USD 450 mil.</t>
  </si>
  <si>
    <t>Celator Pharmaceuticals Inc</t>
  </si>
  <si>
    <t>Jazz Pharmaceuticals PLC</t>
  </si>
  <si>
    <t>US - Jazz Pharmaceuticals PLC (Jazz) merged with Celator Pharmaceuticals Inc (Celator), an Ewing-based clinical- stage biopharmaceutical company, for USD 30.25 in cash per share, or a total USD 1.448 bil, via tender offer. Earlier, Jazz completed its tender offer for Celator by accepting 36. 516 mil common shares or 81. 13% of Celator's common shares outstanding. The offer was conditional upon at least a majority of Celator's shares being tendered.</t>
  </si>
  <si>
    <t>Electro Rent Corp</t>
  </si>
  <si>
    <t>Pvd electn equip leasing svcs</t>
  </si>
  <si>
    <t>US - Platinum Equity LLC (Platinum) acquired the entire share capital of Electro Rent Corp, a Van Nuys- based provider of electronic equipment leasing services, for a sweetened USD 15.5 in cash per share or a total value of 375.029 mil, in a leveraged buyout transaction. Originally, Platinum offered USD 13.12 in cash per share or a total value of USD 317. 444 mil.</t>
  </si>
  <si>
    <t>Westar Energy Inc</t>
  </si>
  <si>
    <t>US - Westar Energy Inc (Westar) definitively agreed to merge with Great Plains Energy Inc (GPE), a Kansas City-based electric power distributor, in formation of a new company (NewCo) in a stock swap transaction valued at an amended USD 6.853 bil. GPE common shareholders were to receive 0.5981 NewCo shares and Westar were to receive 1 NewCo share per share held. Based on Westar's closing stock price of USD 53. 13 on 7 July 2017, the last full trading day prior to the amendment of terms, each GPE share was valued  at USD 31. 777. Previously, GPE offered USD 51 in cash and USD 9 common shares per Westar common share, restricted common shares and performance share. Upon completion, GPE and Westar were to own 47.5% and 52.5%, respectively in NewCo. Originally, in March 2016, Westar was rumored to be seeking a buyer for the entire share capital of the company.</t>
  </si>
  <si>
    <t>United Flexible Inc</t>
  </si>
  <si>
    <t>Industrial Process Furnace and Oven Manufacturing</t>
  </si>
  <si>
    <t>US - United Flexible Inc, a unit of Arlington Capital Partners LP, definitively agreed to merge with Kreisler Manufacturing Corp, an Elmwood Park-based manufacturer of precision metal components and assemblies, for USD 18 in cash per share, or a total USD 33.992 mil.</t>
  </si>
  <si>
    <t>US - Vista Equity Partners LLC acquired the entire share capital of Marketo Inc, a San Mateo-based developer of internet software, for USD 35. 25 in cash per share, or a total value of USD 1.652 bil, in a leveraged buyout transaction.</t>
  </si>
  <si>
    <t>Rose Rock Midstream LP</t>
  </si>
  <si>
    <t>Own,op crude oil pipelines</t>
  </si>
  <si>
    <t>US - SemGroup Corp (SemGroup) acquired the remaining 44% stake or 16.286 mil common LP units, which it did not already own, in Rose Rock Midstream LP (Rose), a Tulsa- based provider of pipeline transportation services of crude oil, in a stock swap transaction valued at USD 390. 892 mil. SemGroup offered 0. 8136 common shares A per Rose common LP unit. Based on SemGroup's closing stock price of USD 29.5 on 27 May 2016, the last full trading day prior to the announcement, each Rose unit was valued at USD 24.001.</t>
  </si>
  <si>
    <t>Pvd e-procurement services</t>
  </si>
  <si>
    <t>Accel-KKR LLC</t>
  </si>
  <si>
    <t>US - Accel-KKR LLC, jointly owned by Kohlberg Kravis Roberts &amp; CoLP and Accel Partners, acquired the remaining 95.134% interest, which it did not already own, in SciQuest Inc, a Morrisville-based software publisher, from Trinity Ventures, for USD 489.508 mil in cash, in a leveraged buyout transaction.</t>
  </si>
  <si>
    <t>Demandware Inc</t>
  </si>
  <si>
    <t>US - Salesforce.com Inc (Salesforce) acquired the entire share capital of Demandware Inc (Demandware), a Burlington-based provider and developer of web-based e- commerce platform, for USD 75 in cash per share, or a total value of USD 2.989 bil, via tender offer.  The offer was conditional on at least 50% of Demandware's shares being tendered.</t>
  </si>
  <si>
    <t>First Century Bankshares Inc</t>
  </si>
  <si>
    <t>US - Summit Financial Group Inc (Summit) acquired the entire share capital of First Century Bankshares Inc (First Century), a Bluefield-based bank holding company, for USD 42.82 mil, whereby the aggregate consideration was to be comprised of 65% in stock and 35% in cash. Summit offered a choice of USD 22.50 in cash per share or 1.2433 Summit shares per First Century share.</t>
  </si>
  <si>
    <t>Polonia Bancorp Inc</t>
  </si>
  <si>
    <t>Prudential Bancorp Inc</t>
  </si>
  <si>
    <t>US - Prudential Bancorp Inc (Prudential), a unit of Prudential Mutual Holding Co, acquired the entire share capital of Polania Bancorp Inc (Polania), a Huntingdon Valley-based commercial bank, for a sweetened USD 41.1960 mil, in a stock swap transaction. The consideration consisted of USD 20.598 mil in cash and the issuance of 2.498 mil Prudential common shares, valued at USD 20.598 mil. The shares were valued based on Prudential's closing stock price of USD 16.49 on 21 December 2016, the last full trading day prior to the amendment of terms. Originally, Prudential offered a choice of USD 11.28 in cash or 0.7591 common share per Polania share.</t>
  </si>
  <si>
    <t>Qlik Technologies Inc</t>
  </si>
  <si>
    <t>US - Thoma Bravo LLC acquired the entire share capital of Qlik Technologies Inc, a Radnor-based developer of business intelligence solutions, for USD 30.50 in cash per share, or a total value of USD 2.943 bil, in a leveraged buyout transaction.</t>
  </si>
  <si>
    <t>Lotte Chemical Corp</t>
  </si>
  <si>
    <t>Manufacture petrochemical products</t>
  </si>
  <si>
    <t>US - Lotte Chemical Corp (Lotte) of South Korea, acting as a white knight, withdrew its plans to launch a tender offer to acquire the entire share capital of Axiall Corp (Axiall), an Atlanta-based manufacturer and wholesaler of specialty chemicals and building products, via unsolicited offer. The terms of the transaction were not disclosed, but according to sources close to the transaction, the value was estimated at USD 1.76 bil. Previously, Lotte planned to launch a tender offer to acquire the entire share capital of Axiall. Concurrently, Westlake Chemical Corp definitively agreed to acquire the entire share capital of Axiall.</t>
  </si>
  <si>
    <t>Talen Energy Corp</t>
  </si>
  <si>
    <t>Riverstone Holdings LLC</t>
  </si>
  <si>
    <t>US - Riverstone Holdings LLC acquired the remaining 65% interest or 83.55 mil common shares, which it did not already own, in Talen Energy Corp, an Allentown-based electric power distributor, for USD 14 in cash per share or a total USD 1.17 bil, in a leveraged buyout transaction.</t>
  </si>
  <si>
    <t>US - In June 2016, F5 Networks Inc, a Seattle-based software publisher, was rumored to be seeking a buyer for the entire share capital of the company.</t>
  </si>
  <si>
    <t>LDR Holding Corp</t>
  </si>
  <si>
    <t>Dvlp,markets medical devices</t>
  </si>
  <si>
    <t>Zimmer Biomet Holdings Inc</t>
  </si>
  <si>
    <t>US - Zimmer Biomet Holdings Inc (Zimmer) acquired the entire share capital of LDR Holding Corp, an Austin-based developer of medical devices, for USD 37 in cash per share or a total value of USD 1.106 bil, via a tender offer.</t>
  </si>
  <si>
    <t>Weisman Group LLC</t>
  </si>
  <si>
    <t>US - Weisman Group LLC (Weisman) planned to launch an unsolicited offer to acquire the remaining 95.238% interest, or 26.963 mil common shares and 2.891 mil Series B convertible preferred shares, which it did not already own, in Ashford Hospitality Prime Inc (Ashford), a Dallas-based real estate investment trust, for a sweetened USD 23.65 in cash per share, or a total value of USD 709.942 mil. Originally, Weisman offered USD 20.25 in cash per common share.</t>
  </si>
  <si>
    <t>Delta National Bancorp</t>
  </si>
  <si>
    <t>Farmers &amp; Merchants Bancorp</t>
  </si>
  <si>
    <t>US - Farmers &amp; Merchants Bancorp (Farmers &amp; Merchants) merged with Delta National Bancorp (Delta National), a Manteca-based bank holding company, in a stock swap transaction valued at USD 7. 003 mil. Farmers &amp; Merchants offered 0.031748 common shares per Delta National share. Based on Farmers &amp; Merchants' closing stock price of USD 580 on 08 June 2016, the last full trading day prior to the announcement, each Delta National share was valued at USD 18.414.</t>
  </si>
  <si>
    <t>WP Glimcher Inc</t>
  </si>
  <si>
    <t>Kite Realty Group Trust</t>
  </si>
  <si>
    <t>US - Kite Realty Group Trust discontinued the rumors that it planned to acquire the entire share capital of WP Glimcher Inc, a Columbus- based real estate investment trust.</t>
  </si>
  <si>
    <t>LinkedIn Corp</t>
  </si>
  <si>
    <t>US - Microsoft Corp (Microsoft) acquired the entire share capital of LinkedIn Corp (LinkedIn), a Mountain View-based provider of online networking services, for USD 196 in cash per share, or a total value of USD 26.639 bil. Originally, in April 2016, Microsoft was rumored to be planning to acquire LinkedIn.</t>
  </si>
  <si>
    <t>Wynn Resorts Ltd</t>
  </si>
  <si>
    <t>Own,op hotel,casino resort</t>
  </si>
  <si>
    <t>Las Vegas Sands Corp</t>
  </si>
  <si>
    <t>US - Las Vegas Sands Corp was rumored to be in negotiations to merge with Wynn Resorts Ltd, a Las Vegas-based owner and operator of luxury hotels and destination casino resorts.</t>
  </si>
  <si>
    <t>Aegerion Pharmaceuticals Inc</t>
  </si>
  <si>
    <t>US - QLT Inc of Canada (QLT) merged with Aegerion Pharmaceuticals Inc (Aegerion) , a Cambridge-based biopharmaceutical company, in a stock swap transaction valued at USD 43.267 mil. QLT offered 1.0256 shares per Aegerion share. Based on QLT's closing stock price of USD 1.43 on 14 June 2016, the last full trading day prior to the announcement, each Aegerion share was valued at USD 1.467. On completion, QLT was to be renamed Novelion Therapeutics Inc (Novelion). QLT and Aegerion were to own 67% and 33% in Novelion, respectively.</t>
  </si>
  <si>
    <t>Envision Healthcare Hldg Inc</t>
  </si>
  <si>
    <t>Offices Of Physicians (Except Mental Health Specialists)</t>
  </si>
  <si>
    <t>US - AmSurg Corp (AmSurg) merged with Envision Healthcare Holdings Inc (Envision), a Greenwood Village-based physician's office operator, in a reverse takeover transaction valued at total USD 5.11 bil. AmSurg offered 0.334 common shares per Envision share. Based on Amsurg's closing stock price of USD 78.48 on 14 June 2016, the last full trading prior to the announcement, each Envision share was valued at USD 26.212. On completion, AmSurg and Envision shareholders owned 47% and 53%, respectively, in the merged entity to be renamed Envision Healthcare Corp., and common shares were listed in the New York Stock Exchange. Originally, in June 2016, Envision was rumored to be planning to merge with AmSurg. This transaction is Tax-Exempt under IRC s386.</t>
  </si>
  <si>
    <t>Patriot National Inc</t>
  </si>
  <si>
    <t>Insurance Agencies and Brokerages</t>
  </si>
  <si>
    <t>US - Ebix Inc (Ebix) planned to acquire the entire share capital of Patriot National Inc (Patriot), a Fort Lauderdale-based insurance agency, for USD 9.50 per share, or a total value of USD 254.896 mil, via an unsolicited offer.</t>
  </si>
  <si>
    <t>Cavium Inc</t>
  </si>
  <si>
    <t>US - Cavium Inc (Cavium) acquired the entire share capital of QLogic Corp (QLogic), an Aliso Viejo- based manufacturer and wholesaler of data, server, and storage networking infrastructure solutions, for USD 1.353 bil. Earlier, Cavium completed its tender offer for QLogic, by accepting 64.881 mil shares or 77.415% of Cavium's common shares outstanding. The consideration consisted of USD 11 in cash and the issuance of 0.098 Cavium share per QLogic common share held, valued at USD 394.652 mil. The shares were valued based on Cavium's closing stock price of USD 46.24 on 14 June 2016, the last full trading day prior to the announcement. On completion, QLogic's common shares were delisted in NASDAQ Global Market.</t>
  </si>
  <si>
    <t>Capital Directions Inc</t>
  </si>
  <si>
    <t>Commerical Ntnl Financial /MI</t>
  </si>
  <si>
    <t>US - Commercial National Financial Corp (CNFC) merged with Capital Directions Inc (Capital), a Mason-based bank holding company, in a stock swap transaction valued at an estimated USD 14.03 mil, subject to proration whereby the aggregate consideration was to be consisted of 50% cash and 50% common shares.</t>
  </si>
  <si>
    <t>Elizabeth Arden Inc</t>
  </si>
  <si>
    <t>US - Revlon Inc, a unit of Revlon Group Inc, acquired the entire share capital of Elizabeth Arden Inc, a Pembroke Pines-based manufacturer and wholesaler of perfumes and cosmetics, for USD 14 in cash per shares, or a total of USD 419.29 mil.</t>
  </si>
  <si>
    <t>American Science &amp; Engineering</t>
  </si>
  <si>
    <t>Manufacture x-ray equipment</t>
  </si>
  <si>
    <t>OSI Systems Inc</t>
  </si>
  <si>
    <t>Mnfr,whl optoelectn devices</t>
  </si>
  <si>
    <t>US - OSI Systems Inc acquired the entire share capital of American Science &amp; Engineering Inc, a Billerica- based designer and manufacturer of specialized electronic systems and components, for USD 37 in cash per share, or a total of USD 270.30 mil.</t>
  </si>
  <si>
    <t>Carolina Bank Holdings Inc,NC</t>
  </si>
  <si>
    <t>US - First Bancorp, Troy, North Carolina (FB) merged with Carolina Bank Holdings Inc (CBH), a Greensboro-based commercial bank, for a total USD 196.823 mil, in a stock swap transaction. FB offered a choice of USD 20 per share in cash, or 1.002 FB common shares per CBH common share, or a combination of USD 20 per share in cash and 1.002 FB common shares per CBH common share, subject to proration whereby the aggregate consideration consisted of 75% in common shares and 25% in cash. Based on the FB closing stock price of USD 18.99 on 20 June 2016, the last full trading day prior to the announcement, each CBH share was valued at USD 39.028.</t>
  </si>
  <si>
    <t>SolarCity Corp</t>
  </si>
  <si>
    <t>US - Tesla Motors Inc (Tesla) acquired the entire share capital of SolarCity Corp (SolarCity), a San Mateo- based provider of solar energy installation services, in a stock swap transaction valued at an estimated USD 2. 59 bil. Tesla offered an amended 0.11 common share for every SolarCity share held. Based on Tesla's closing stock price of USD 234.79 on 29 July 2016, the last full trading day prior to the announcement, each SolarCity share was valued at USD 25. 827. Previously, Tesla offered 0.131 common share for every SolarCity share held. This transaction is Tax- Exempt under IRC s386.</t>
  </si>
  <si>
    <t>Full Circle Capital Corp</t>
  </si>
  <si>
    <t>Great Elm Capital Corp</t>
  </si>
  <si>
    <t>US - Great Elm Capital Corp (GECC), jointly owned by Mast Capital Management LLC and Great Elm Capital Group Inc, merged with Full Circle Capital Corp, a Greenwich- based management investment company, for an estimated USD 81 mil. On completion, the merged entity was named Great Elm Capital Corp and will be listed in NASDAQ.</t>
  </si>
  <si>
    <t>Skullcandy Inc</t>
  </si>
  <si>
    <t>Mnfr,whl headphones,earbuds</t>
  </si>
  <si>
    <t>Incipio Technologies Inc</t>
  </si>
  <si>
    <t>Mnfr,whl device accessories</t>
  </si>
  <si>
    <t>US - Incipio Technologies Inc withdrew its plans to acquire the entire share capital of Skullcandy Inc, a Park City- based manufacturer of audio and video equipment, for USD 187.948 mil in cash. Concurrently, Mill Road Capital Management LLC acquired 2.805 mil common shares, or 90.2% remaining interest, which it did not already own, in Skullcandy, for USD 156.221 mil, via an unsolicited offer.</t>
  </si>
  <si>
    <t>Heartware International Inc</t>
  </si>
  <si>
    <t>Mnfr,whl heart pumps</t>
  </si>
  <si>
    <t>Medtronic PLC</t>
  </si>
  <si>
    <t>Navigational, Measuring, Electromedical, and Control Instruments Manufacturing</t>
  </si>
  <si>
    <t>US - Medtronic PLC (Medtronic) of Ireland, acquired the entire share capital of Heartware International Inc (Heartware), a Framingham- based manufacturer and wholesaler of miniaturized implantable heart pumps, for USD 58 in cash per share, or a total value of USD 1.023 bil, via a tender offer. Earlier, Medtronic completed its tender offer for Heartware by accepting 14.952 mil, or 85.15% of Heartware's common shares outstanding. The offer was conditioned upon at least majority of Heartware's shares being tendered.</t>
  </si>
  <si>
    <t>ReachLocal Inc</t>
  </si>
  <si>
    <t>US - Gannett Co Inc merged with ReachLocal Inc, a Woodland Hills-based provider of digital services, for USD 4.6 in cash per share, or a total of USD 138.447 mil, via tender offer.</t>
  </si>
  <si>
    <t>Mill Road Capital Mgmt LLC</t>
  </si>
  <si>
    <t>US - Mill Road Capital Management LLC acquired 25. 822 mil common shares, or 90. 2% remaining interest , which it did not already own, in Skullcandy Inc, a Park City- based manufacturer and wholesaler of headphones and earbuds, for USD 6.05 in cash per share, for a total USD 156.221 mil, via an unsolicited offer. Concurrently, Incipio Technologies Inc withdrew its plans to acquire the entire share capital of Skullcandy Inc, a Park City-based manufacturer of audio and video equipment, for USD 187. 948 mil in cash.</t>
  </si>
  <si>
    <t>US - People's United Financial Inc (People) acquired the entire share capital of Suffolk Bancorp (Suffolk), a Riverhead-based commercial bank, in a stock swap transaction, for a total USD 397.981 mil. People offered 2.225 common shares per Suffolk share. Based on People's closing stock price of USD 15.08 on 26 July 2016, the last full trading day prior to the announcement, each Suffolk share was valued at USD 33.553.  This transaction is Tax-Exempt under IRC s386.</t>
  </si>
  <si>
    <t>American Independence Corp</t>
  </si>
  <si>
    <t>Independence Holding Co</t>
  </si>
  <si>
    <t>US - Independence Holding Co acquired the remaining 8.566% stake or 0.695 mil common shares, which it did not already own, in American Independence Corp, a New York- based insurance company, for USD 24.740 in cash per share or a total USD 17.204 mil.</t>
  </si>
  <si>
    <t>Diamond Resorts International</t>
  </si>
  <si>
    <t>Own,op hotels,resorts</t>
  </si>
  <si>
    <t>US - Apollo Global Management LLC (Apollo) merged with Diamond Resorts International Inc (Diamond Resorts), a Las Vegas-based owner and operator of hotels and resorts, for USD 30.25 in cash per share, or a total value of USD 2.224 bil, in a leveraged buyout transaction, via tender offer. Earlier, Apollo completed its tender offer for Diamond Resorts by accepting 56.675 mil, or 81. 26% of Diamond Resorts common shares outstanding. The offer was conditioned upon at least majority of Diamond Resorts shares being tendered. On completion, Diamond Resorts was delisted from the New York Stock Exchange.</t>
  </si>
  <si>
    <t>Easterly Acquisition Corp</t>
  </si>
  <si>
    <t>Sungevity Inc</t>
  </si>
  <si>
    <t>Pvd solar panel installation</t>
  </si>
  <si>
    <t>US - Sungevity Inc definitively agreed to acquire the entire share capital of Easterly Acquisition Corp, a Beverly- based blank check company.</t>
  </si>
  <si>
    <t>PrivateBancorp Inc</t>
  </si>
  <si>
    <t>US - Canadian Imperial Bank of Commerce of Canada (CIBC) acquired the entire share capital of PrivateBancorp Inc (PrivateBancorp), a Chicago- based bank holding company, for a twice sweetened USD 5. 899 bil, in a stock swap transaction. The consideration consisted of USD 27.20 in cash and 0.418 CIBC common share per PrivateBancorp share. The shares were valued based on CIBC's closing stock price of USD 109.14 on 03 May 2017, the last full trading day prior to the amendment of terms. The transaction was to include the acquisition of PrivateBank. Previously, CIBC offered a sweetened USD 24.20 in cash per PrivateBancorp share. Originally, CIBC offered USD 18.80 in cash and 0.368 CIBC common share per PrivateBancorp share. This transaction is Tax-Exempt under IRC s386.</t>
  </si>
  <si>
    <t>Hershey Co</t>
  </si>
  <si>
    <t>Produce chocolate,sugar confectionery prod</t>
  </si>
  <si>
    <t>Mondelez International Inc</t>
  </si>
  <si>
    <t>US - Mondelez International Inc (Mondelez) withdrew its plans to launch an unsolicited offer to acquire the entire share capital of Hershey Co (Hershey), a Hershey-based producer of chocolate and sugar confectionery products, for USD 107 in cash and common shares per Hershey share, or a total value of USD 23.038 bil. Originally, Mondelez was rumoured to be planning to acquire the entire share capital of Hershey.</t>
  </si>
  <si>
    <t>US - Blackboard Inc, a unit of Providence Equity Partners LLC, through an affiliate, acquired the entire share capital of Higher One Holdings Inc (HOH), a New Haven-based provider of technology and payment services, for USD 5.15 in cash per share, or a total value USD 257.967 mil, via a tender offer. The offer was conditional upon at least majority of HOH's shares being tendered.</t>
  </si>
  <si>
    <t>Royal Hawaiian Orchards LP</t>
  </si>
  <si>
    <t>Own,op macadamia nut farms</t>
  </si>
  <si>
    <t>0179</t>
  </si>
  <si>
    <t>Crescent River Agriculture LLC</t>
  </si>
  <si>
    <t>US - Crescent River Agriculture LLC, a unit of Crescent River LLC, acquired the entire share capital of Royal Hawaiian Orchards LP, a Hilo-based owner and operator of macadamia nut farms, for a total USD 0.224 mil.</t>
  </si>
  <si>
    <t>US - Lions Gate Entertainment Corp (Lions) acquired the entire share capital of Starz, a Englewood-based media and entertainment company, for USD 3.229 bil. Lions offered USD 18 in cash and 0.6784 Lions common share per Starz Series A share and USD 7.26 in cash and 0.6321 Lions common share per Starz Series B common share. The shares were valued based on Lions closing stock price of USD 20. 94 on 29 June 2016, the last full trading day prior to the announcement, each Starz Series A common share was valued at USD 32.206 and each Starz Series B common share was valued at USD 20.496. The transaction was structured as a tax inversion. Originally, in October 2015, Lion was rumored to be planning to acquire the entire share capital of Starz.</t>
  </si>
  <si>
    <t>MidAmerican Energy Services</t>
  </si>
  <si>
    <t>US - MidAmerican Energy Services LLC, a unit of Berkshire Hathaway Energy Co, was rumored to be planning to acquire the entire share capital of Hawaiian Electric Industries Inc (HEI), a Honolulu-based provider of electric utility and banking services. Previously, NextEra Energy withdrew its definitive agreement to acquire HEI.</t>
  </si>
  <si>
    <t>Nevada Corp</t>
  </si>
  <si>
    <t>Turbine and Turbine Generator Set Units Manufacturing</t>
  </si>
  <si>
    <t>US - Nevada Corp (Nevada) of the UK, a unit of Melrose Industries PLC, merged with with Nortek Inc (Nortek), a Providence-based manufacturer of commercial building products, for USD 86 in cash per share, or a total value of USD 1.399 bil, from Ares Management LLC and other shareholders, via a tender offer. Earlier, Nevada completed its tender offer for Nortek by accepting 14. 860 mil, or 92.83% of Nortek's common shares outstanding. The offer was conditioned upon at least 50% of Nortek's shares being tendered.</t>
  </si>
  <si>
    <t>The WhiteWave Foods Co</t>
  </si>
  <si>
    <t>Dry, Condensed, and Evaporated Dairy Product Manufacturing</t>
  </si>
  <si>
    <t>US - Danone SA (Danone) of France, merged with The WhiteWave Foods Co (WhiteWave) , a Denver-based  producer and wholesaler of dairy and food products, for USD 56.25 in cash per common share and restricted common share or a total value of USD 10.356 bil in cash. On completion, WhiteWave's common shares were delisted from the New York Stock Exchange. The transaction was conditioned upon the sale of Danone's Stonyfield Farm Inc unit. Originally, in July 2016, Danone was rumored to be planning to acquire the entire share capital of WhiteWave.</t>
  </si>
  <si>
    <t>Imperva Inc</t>
  </si>
  <si>
    <t>Develop data security software</t>
  </si>
  <si>
    <t>US - In July 2016, Imperva Inc, a Foster City-based software publisher, was rumored to be seeking a buyer for the entire share capital of the company.</t>
  </si>
  <si>
    <t>US - Siris Capital Group LLC acquired entire share capital of Polycom Inc (Polycom), a San Jose-based manufacturer and wholesaler of communications equipment, for USD 12.5 in cash per share or a total value of USD 1.697 bil, in a leveraged buyout transaction. On completion, Polycom common shares were to be delisted in the NASDAQ.</t>
  </si>
  <si>
    <t>Sagent Pharmaceuticals Inc</t>
  </si>
  <si>
    <t>Nichi-iko Pharmaceutical</t>
  </si>
  <si>
    <t>US - Nichi-iko Pharmaceutical CoLtd of Japan completed its tender offer to acquire the entire share capital of Sagent Pharmaceuticals Inc (Sagent), a Schaumburg-based manufacturer of pharmaceutical preparation, from Vivo Ventures and other shareholders, for USD 21.75 in cash per share or a total value of USD 722.873. The offer was conditioned on at least a majority of Sagent's shares being tendered. Originally, in January 2016, Sagent was rumored to be seeking a buyer for the entire share capital of the company.</t>
  </si>
  <si>
    <t>US - Xerox Corp was rumored to be planning to acquire the entire share capital of RR Donnelley &amp; Sons Co, a Chicago-based provider of printing services. The Current status of this deal is unknown.</t>
  </si>
  <si>
    <t>Imprivata Inc</t>
  </si>
  <si>
    <t>US - Thoma Bravo LLC merged with Imprivata Inc, a Lexington-based developer of access management software, for USD 19.25 in cash per share or a total value of USD 487.6 mil, in a leveraged buyout transaction.</t>
  </si>
  <si>
    <t>Ocean Shore Holding Co</t>
  </si>
  <si>
    <t>Comml bank invest holding co</t>
  </si>
  <si>
    <t>US - OceanFirst Financial Corp (OceanFirst) merged with Ocean Shore Holding Co (Ocean Shore), an Ocean City-based provider of financial investment services, from OC Financial MHC, for a total USD 148.128 mil, in a stock swap transaction. The consideration was to consist of USD 4.35 in cash per share and 0.9667 OceanFirst common shares per Ocean Shore common share. Based on the OceanFirst closing stock price of USD 18.74 on 12 July 2016, the last full trading prior to the announcement, each Ocean Shore shares is valued at USD 22.466. This transaction is Tax-Exempt under IRC s386.</t>
  </si>
  <si>
    <t>Chicos FAS Inc</t>
  </si>
  <si>
    <t>Barington Capital Group LP</t>
  </si>
  <si>
    <t>US - Barington Capital Group LP, a unit of Barington Cos Equity Partners LP, acquired the entire share capital of Chico's FAS Inc (Chico), a Fort Myers-based women's clothing retailer. Originally, Chico was rumored to be seeking a buyer for the company.</t>
  </si>
  <si>
    <t>Golden Enterprises Inc</t>
  </si>
  <si>
    <t>Mnfr potato chips</t>
  </si>
  <si>
    <t>Utz Quality Foods Inc</t>
  </si>
  <si>
    <t>Produce,whl snack prod</t>
  </si>
  <si>
    <t>US - Utz Quality Foods Inc acquired the entire share capital of Golden Enterprises Inc, a Birmingham-based manufacturer of snack products, for USD 12.00 per share or a total of USD 135. 50 mil in cash.</t>
  </si>
  <si>
    <t>Korea Equity Fund Inc</t>
  </si>
  <si>
    <t>JPMorgan China Region Fund Inc</t>
  </si>
  <si>
    <t>US - JPMorgan China Region Fund Inc was rumored to be planning to acquire the entire share capital of Korea Equity Fund Inc, a New York- based financial vehicle. The Current status of this deal is unknown.</t>
  </si>
  <si>
    <t>Birmingham Bloomfield Bancshar</t>
  </si>
  <si>
    <t>Arbor Bancorp Inc</t>
  </si>
  <si>
    <t>US - Arbor Bancorp Inc acquired the entire share capital of Birmingham Bloomfield Bancshares Inc, a Birmingham-based commercial bank, for USD 16.50 in cash per share, or a total value of USD 30.107 mil.</t>
  </si>
  <si>
    <t>Galenica AG</t>
  </si>
  <si>
    <t>US - Galenica AG (Galenica) of Switzerland acquired the entire share capital of Relypsa Inc (Relypsa), a Redwood City-based clinical- stage biopharmaceutical company, for USD 32 in cash per share, or a total value of USD 1.499 bil, via a tender offer. Earlier, Galenica completed its tender offer for by accepting 38.674 mil or 86.251% of Relypsas common shares outstanding. The offer was conditioned upon at least majority of Relypsa's common shares being tendered.</t>
  </si>
  <si>
    <t>Komatsu America Corp</t>
  </si>
  <si>
    <t>US - Komatsu America Corp, a unit of Komatsu Ltd, acquired the entire share capital of Joy Global Inc, a Milwaukee- based manufacturer and wholesaler of surface mining machinery for USD 28.3 in cash per share, or a total value of USD 2.778 bil.</t>
  </si>
  <si>
    <t>US - FNB Corp (FNB) merged with Yadkin Financial Corp (Yadkin), an Elkin-based bank holding company, in a stock swap transaction valued at USD 1.450 bil. FNB offered 2. 16 common shares per Yadkin share, from Lightyear Capital LLC and other shareholders. Based on FNB's closing stock price of USD 13.20 on 20 July 2016, the last full trading day prior to the announcement, each Yadkin share was valued at USD 28.512. On completion, FNB and Yadkin were to own 65% interest and 35% stake, respectively in the merged entity. Originally, in May 2016, Yadkin was rumored to be seeking a buyer for the company. Yadkin was named as rumored potential bidder. This transaction is Tax- Exempt under IRC s386.</t>
  </si>
  <si>
    <t>Silver Run Acquisition Corp</t>
  </si>
  <si>
    <t>US - Riverstone Holdings LLC agreed to acquire an 56.645% interest, or  81.005 mil new common shares, in Silver Run Acquisition Corp, a Houston- based blank check company, for USD 10 in cash per share, or a total value of USD 810 mil, in a leveraged buyout transaction.</t>
  </si>
  <si>
    <t>Outerwall Inc</t>
  </si>
  <si>
    <t>Pvd automated retail services</t>
  </si>
  <si>
    <t>US - Apollo Global Management LLC (Apollo) acquired the entire share capital of Outerwall Inc (Outerwall), a Bellevue-based provider of automated retail solutions, for USD 52 in cash per share, or a total value of USD 897. 243 mil, in a leveraged buyout transaction, via a tender offer. Earlier, Apollo completed its tender offer for Nortek by accepting 11. 935 mil, or 69.17% Outerwall common shares outstanding. The offer was conditional upon more than 50% of Outerwall's shares being tendered. Upon completion, Outerwall common shares will be delisted from NASDAQ Stock Market.</t>
  </si>
  <si>
    <t>Linear Technology Corp</t>
  </si>
  <si>
    <t>US - Analog Devices Inc (Analog) acquired the entire share capital of Linear Technology Corp (Linear), a Milpitas-based manufacturer and wholesaler of high performance linear integrated circuits, for a total USD 14. 376 bil. The consideration consisted of USD 46 in cash per share plus 0.2321 Analog common shares valued at USD 3. 359 bil. The shares were valued based on Analog's closing stock price of USD 60. 53 on 25 July 2016, the last full trading day prior to the announcement. On completion, Linear common shares were delisted from the NASDAQ Global Select Market.</t>
  </si>
  <si>
    <t>Epiq Systems Inc</t>
  </si>
  <si>
    <t>Pvd software programming svcs</t>
  </si>
  <si>
    <t>Epiq Systems Inc SPV</t>
  </si>
  <si>
    <t>US - Epiq Systems Inc SPV of Canada, a special purpose acquisition vehicle formed by OMERS Private Equity Inc and Harvest Parnets LP, acquired the remaining stake, which it did not already own, in Epiq Systems Inc, a Kansas City- based developer and proprietor of software products, for USD 16.50 cash per share, or a total value of USD 625.698 mil in cash, in a leveraged buyout transaction. Originally, in February 2016, Epiq Systems Inc was seeking a buyer for the Company.</t>
  </si>
  <si>
    <t>US - BFC Financial Corp (BFC) acquired the remaining 18. 774% stake, or 3.078 mil class A common shares, which it did not already own, in BBX Capital Corp (BBX), a Fort Lauderdale-based bank holding company, for USD 20 in cash per share, or a total value of USD 61.557 mil. BFC offered a choice of USD 20 in cash per share or 5.4 BFC class A shares per class A BBX share, or a total value of USD 47.202 mil. The shares were valued based on BFC's closing stock price of USD 2. 84 on 27 July 2016, the last full trading day prior to the announcement.</t>
  </si>
  <si>
    <t>NetSuite Inc</t>
  </si>
  <si>
    <t>Dvlp ERP,CRM software</t>
  </si>
  <si>
    <t>US - Oracle Corp (Oracle) acquired the entire share capital of NetSuite Inc (NetSuite), a San Mateo-based provider of cloud-based financials or enterprise resource planning (ERP) and omnichannel commerce software suites, for USD 109 in cash per share or a total value of USD 8.89 bil, via tender offer. Earlier, Oracle completed its tender offer for NetSuite by accepting 62. 331 mil or 76.39% of NetSuite's common shares outstanding. The offer was conditioned upon at least a majority of NetSuite's shares being tendered. On completion, Netsuite's common shares were delisted from New York Stock Exchange.</t>
  </si>
  <si>
    <t>Emergent Capital Inc</t>
  </si>
  <si>
    <t>US - In August 2016, Majestic Opco LLC announced that it was seeking a buyer for the remaining stake, which it did not already own, in its Emergent Capital Inc unit, a Boca Raton-based provider of financial investment services.</t>
  </si>
  <si>
    <t>Fleetmatics Group PLC</t>
  </si>
  <si>
    <t>Dvlp fleet mgmt software</t>
  </si>
  <si>
    <t>Verizon Bus Intl Hldg BV</t>
  </si>
  <si>
    <t>US - Verizon Business International Holdings BV of Netherlands, a unit of Verizon Communications Inc, acquired the entire share capital of Fleetmatics Group PLC, a Waltham-based developer of fleet management software, for USD 60 in cash per share or a total USD 2. 369 bil, via scheme of arrangement.</t>
  </si>
  <si>
    <t>Sizmek Inc</t>
  </si>
  <si>
    <t>US - Vector Capital Corp (Vector) acquired the entire share capital of Sizmek Inc, an Austin-based provider of online advertising services, for USD 3.90 in cash per share, or a USD 113.646 mil in cash, in a leveraged buyout transaction, via a tender offer.</t>
  </si>
  <si>
    <t>Mattress Firm Holding Corp</t>
  </si>
  <si>
    <t>Furniture Stores</t>
  </si>
  <si>
    <t>Steinhoff Intl Hldg NV</t>
  </si>
  <si>
    <t>Upholstered Household Furniture Manufacturing</t>
  </si>
  <si>
    <t>US - Steinhoff International Holdings NV (Steinhoff) of South Africa acquired the entire share capital of Mattress Firm Holding Corp (Mattress), a Houston-based retailer of specialty mattresses, for USD 64 in cash per share, or a total value of USD 2.42 bil, via tender offer. Earlier, Steinhoff completed its tender offer for Mattress by accepting 25.105 mil, or 67. 36% of Mattress' common shares outstanding. The offer was conditioned upon at least a majority of Mattress' shares being tendered. On completion, Mattress' common shares were delisted from NASDAQ Global Select Market.</t>
  </si>
  <si>
    <t>EverBank Financial Corp</t>
  </si>
  <si>
    <t>Teachers Insurance &amp; Annuity</t>
  </si>
  <si>
    <t>US - Teachers Insurance &amp; Annuity Association merged with Jacksonville-based EverBank Financial Corp (Everbank), for USD 19.5 in cash per share or a total value of USD 2.492 bil. Originally, in August 2016, TIAA was rumored to be planning to acquire the entire share capital of Everbank.</t>
  </si>
  <si>
    <t>Merlin Global Acquisition Inc</t>
  </si>
  <si>
    <t>US - Merlin Global Acquisition Inc, special purpose vehicle formed by Randstad North America Inc, a unit of Randstad Holding NV, completed a tender offer to acquire the entire share capital of Monster Worldwide Inc, a New York-based provider of human resources and executive search consulting services, for USD 3.4 in cash per share or total value of USD 405.348 mil. The offer was conditioned upon at least majority of Monster Worldwide's shares being tendered. On completion, Monster Worldwide was to delist in the New York Stock Exchange.</t>
  </si>
  <si>
    <t>Press Ganey Holdings Inc</t>
  </si>
  <si>
    <t>Process, Physical Distribution, and Logistics Consulting Services</t>
  </si>
  <si>
    <t>EQT VII Ltd</t>
  </si>
  <si>
    <t>US - EQT VII Ltd of the UK, a unit of EQT Partners BV's EQT Partners AB subsidiary, acquired the entire share capital of Press Ganey Holdings Inc, a Wakefield- based provider of consulting services, from Vestar Capital Partners Inc, for USD 40.50 in cash per share, or a total value of USD 2.16 bil, in a leveraged buyout transaction.</t>
  </si>
  <si>
    <t>Manufacture,wholesale commercial cleaning products</t>
  </si>
  <si>
    <t>US - Katy Industries Inc (Katy), a St. Louis-based manufacturer and wholesales commercial cleaning products, completed its debt restructuring transaction with Creditors (CRs). CRs received common shares in exchange for outstanding debt. On completion, CRs held an undisclosed interest in the restructured Katy. The book value of the existing debt that was exchanged under the terms of the offer was USD 72. 5 mil.</t>
  </si>
  <si>
    <t>Silicon Graphics International</t>
  </si>
  <si>
    <t>Mnfr,whl server,storage prod</t>
  </si>
  <si>
    <t>Hewlett Packard Enterprise Co</t>
  </si>
  <si>
    <t>US - Hewlett Packard Enterprise Co merged with Silicon Graphics International Corp, a Milpitas-based manufacturer of electronic computers, for USD 7.75 in cash per share, or a total value of USD 300. 335 mil.</t>
  </si>
  <si>
    <t>US - Mid-America Apartment Communities Inc (MAA) merged with Post Properties Inc (PPS) , an Atlanta-based real estate investment trust, for a total USD 3.884 bil, in a stock swap transaction. MAA offered 0.71 common shares per PPS common share. Based on MAA's closing stock price of USD 102.15 on 12 August 2016, the last full trading day prior to the announcement, each PPS share was valued at USD 72.527. On completion, MAA and PPS were to own 67.7% interest and 32.3% stake in the merged entity, respectively, and PPS shares will cease trading on the New York Stock Exchange. Originally, in August 2016, PPS was rumored to be planning to acquire the entire share capital of MAA.</t>
  </si>
  <si>
    <t>Providence &amp; Worcester RR Co</t>
  </si>
  <si>
    <t>US - Genesee &amp; Wyoming Inc (Genesse) acquired the entire share capital of Providence &amp; Worcester Railroad Co, a Worcester-based owns and operates railroads, for USD 25 in cash per share, or a total value of USD 122.283 mil.</t>
  </si>
  <si>
    <t>G&amp;K Services Inc</t>
  </si>
  <si>
    <t>Industrial Launderers</t>
  </si>
  <si>
    <t>US - Cintas Corp merged with G&amp;K Services Inc, a Minnetonka-based provider of uniform rental and washing services, for USD 97.50 in cash per share, or a total value of USD 1.96 bil.</t>
  </si>
  <si>
    <t>Nantong Fujitsu Microelectns</t>
  </si>
  <si>
    <t>US - Nantong FujitsuMicroelectronics Co Ltd of China discontinued the rumors that it planned to acquire the entire share capital of Amkor Technology Inc, a Tempe-based manufacturer of semiconductors and related device.</t>
  </si>
  <si>
    <t>SunEdison Semiconductor Ltd</t>
  </si>
  <si>
    <t>Globalwafers Co Ltd</t>
  </si>
  <si>
    <t>US - Globalwafers Co Ltd (Globalwafers) of Taiwan, a unit of Sino-American Silicon Products Inc, acquired the entire share capital of SunEdison Semiconductor Ltd, a St. Peters-based manufacturer of semiconductors and related device, from SunEdison Inc, for USD 12 in cash per share or a total of  USD 508.432 mil, via a scheme of arrangement.</t>
  </si>
  <si>
    <t>US - United Bankshares Inc (UBSI) merged with Cardinal Financial Corp (CFNL), a Mclean-based bank holding company, in a stock swap transaction valued at USD 909. 51 mil. UBSI offered 0.71 common shares per CFNL common share. Based on UBSI's closing stock price of USD 38. 91 on 17 August 2016, the last full trading day prior to the announcement, each CFNL share was valued at USD 27.626.  This transaction is Tax-Exempt under IRC s386. On completion of the merger, CFNL shares were to be delisted from NASDAQ.</t>
  </si>
  <si>
    <t>E Acquisition Corp</t>
  </si>
  <si>
    <t>US - E Acquisition Corp planned to acquire the remaining stake, which it did not already own, in Emmis Communications Corp, an Indianapolis-based radio network, for USD 49.938 mil in cash.</t>
  </si>
  <si>
    <t>US - Thermo Fisher Scientific Inc was rumored to be planning to acquire the entire share capital of Illumina Inc, a San Diego- based manufacturer of analytical laboratory instruments. The terms of the transaction were not disclosed, but according to sources close to the transaction, the value was estimated at USD 30 bil. The Current status of this deal is unknown.</t>
  </si>
  <si>
    <t>CIFC Corp</t>
  </si>
  <si>
    <t>FAB Partners LP</t>
  </si>
  <si>
    <t>US - FAB Partners LP of Jersey merged with CIFC Corp, a New York-based private debt manager, for USD 11.36 in cash per share, or a total value of USD 283.381 mil.</t>
  </si>
  <si>
    <t>CST Brands Inc</t>
  </si>
  <si>
    <t>Gasoline Stations With Convenience Stores</t>
  </si>
  <si>
    <t>US - Alimentation Couche-Tard Inc (Alimentation Couche-Tard) of Canada merged with CST Brands Inc (CST), a San Antonio-based retailer of petroleum-related products, for USD 48.53 in cash per share, or a total value of USD 3.688 bil in cash. Concurrently, Parkland Fuel Corp of Canada, acquired the certain assets of CST. Previously, in June 2016, an investor group, comprised of Alimentation Couche-Tard and Seven &amp; i Holdings Co Ltd was rumored to be planning to acquire the entire share capital of CST.</t>
  </si>
  <si>
    <t>US - Pfizer Inc (Pfizer), acting as white knight, merged with Medivation Inc (Medivation), a San Francisco- based manufacturer of pharmaceutical preparation, for USD 81.50 in cash per share, or a total value of USD 14.118 bil, via challenging tender offer. Earlier, Pfizer completed its tender offer for Nortek by accepting 115.574 mil, or 69. 65% of Medivation's common shares outstanding. The offer was conditioned upon at least a majority of Medivation's shares being tendered. On completion, Medivation's common shares were delisted from NASDAQ. Originally, in March 2016, Pfizer Inc was rumored to be planning to acquire the entire share capital of Medivation Inc. Previously, Sanofi SA of France withdrew its plans to launch an unsolicited offer to acquire the entire share capital of Medivation Inc.</t>
  </si>
  <si>
    <t>US - In August 2016, ProPhase Labs Inc, a Doylestown-based manufacturer of pharmaceutical preparation, announced that it was seeking a buyer for its core assets.</t>
  </si>
  <si>
    <t>Commercial Bancshares Inc,OH</t>
  </si>
  <si>
    <t>Coml bk co</t>
  </si>
  <si>
    <t>US - First Defiance Financial Corp (First Defiance) acquired the entire share capital of Commercial Bancshares Inc (Commercial), an Upper Sandusky-based commercial bank, for a total USD 63.052 mil, in a stock swap transaction. First Defiance offered a choice of USD 51 in cash per share or USD 52.628 First Defiance common share per Commercial common share, subject to proration whereby the 80% total consideration was to be paid in common share and 20% in cash. The shares were valued based on First Defiance's closing stock price of USD 44.57 on 22 August 2016, the last full trading day prior to the announcement, each Commercial share was valued at USD 52. 628.</t>
  </si>
  <si>
    <t>US - In August 2016, PharMerica Corp, a Louisville- based drug store operator, was rumored to be seeking a buyer for the the entire share capital of the company.</t>
  </si>
  <si>
    <t>AEP Industries Inc</t>
  </si>
  <si>
    <t>Mnfr polyethylene plastic film</t>
  </si>
  <si>
    <t>Berry Plastics Group Inc</t>
  </si>
  <si>
    <t>US - Berry Plastics Group Inc (Berry) acquired the entire share capital of AEP Industries Inc (AEP), a Montvale-based manufacturer of plastics films and products, for USD 566.451 mil. Berry offered USD 110 in cash per share or 2.5011 Berry common share per AEP common share, subject to proration whereby 50% of the total consideration was paid in cash and the remaining 50% in common shares. On completion, Berry and AEP were to own 95% interest and 5% stake, respectively in the merged entity. This transaction is Tax-Exempt under IRC s386.</t>
  </si>
  <si>
    <t>Rackspace Hosting Inc SPV</t>
  </si>
  <si>
    <t>US - Rackspace Hosting Inc SPV, a special purpose acquisition vehicle formed by Apollo Global Management LLC (Apollo) and Searchlight Capital Partners LP, acquired the entire share capital of Rackspace Hosting Inc (Rackspace), a San Antonio- based provider of web hosting and managed data and network services, for USD 32 in cash per share, or a total value of USD 4.026 bil, in a leveraged buyout transaction. Previously, in August 2016, Apollo was rumored to be planning to acquire the entire share capital of Rackspace.</t>
  </si>
  <si>
    <t>Standard Financial Corp</t>
  </si>
  <si>
    <t>US - Standard Financial Corp (SFC) merged with Allegheny Valley Bancorp Inc (AVBI), a Pittsburgh-based provider of checking, savings, safe deposit, mortgage, money market, IRA, loans, debit/ check card, telephone banking, online banking and business banking services, in a stock swap transaction valued at USD 144.556 mil. SFC offered 2.083 common shares per AVBI common share. Based on SFC's closing stock price of USD 25. 25 on 26 August 2016, the last full trading day prior to the announcement, each AVBI share was valued at USD 52.596.</t>
  </si>
  <si>
    <t>US - In August 2016, Peabody Energy Corp, a St. Louis- based provider of support services for coal mining, was rumored to be seeking a buyer for its Australian metallurgical coal assets.</t>
  </si>
  <si>
    <t>USMD Holdings Inc</t>
  </si>
  <si>
    <t>WellMed Medical Management Inc</t>
  </si>
  <si>
    <t>US - WellMed Medical Management Inc, a unit of Collaborative Care Holdings LLC, acquired the entire share capital of USMD Holdings Inc, an Irving-based provider of ambulatory health care services, for an estimated USD 22.34 cash per share or a total value of USD 254.357 mil.</t>
  </si>
  <si>
    <t>Interactive Intelligence Group</t>
  </si>
  <si>
    <t>Pvd bus commun software dvlp svcs</t>
  </si>
  <si>
    <t>US - Genesys Telecommunications Laboratories Inc, a unit of Permira Advisers LLP, ultimately owned by Permira Holdings Ltd, acquired the entire share capital of Interactive Intelligence Group Inc (Interactive Intelligence), an Indianapolis-based business communications software developer, for USD 60.50 in cash per share, or a total value of USD 1.374 bil. Originally, in July 2016, Interactive Intelligence was rumored to be seeking a buyer for the company.</t>
  </si>
  <si>
    <t>Accuride Corp</t>
  </si>
  <si>
    <t>Mnfr,whl vehicle components</t>
  </si>
  <si>
    <t>US - Crestview Partners LP acquired the entire share capital of Accuride Corp, an Evansville-based manufacturer and wholesaler of automotive parts of engine parts, from Cetus Capital LLC(17%) and other shareholders, for USD 2. 58 in cash or a total value of USD 124.475 mil, in a leveraged buyout transaction.</t>
  </si>
  <si>
    <t>LyondellBasell Industries NV</t>
  </si>
  <si>
    <t>US - In September 2016, LyondellBasell Industries NV, a Houston-based manufacturer of plastics materials, was rumored to be seeking a buyer for the entire share capital of the company. Saudi Aramco was rumored to be a potential bidder.</t>
  </si>
  <si>
    <t>US - Suncrest Bank,Visalia, California acquired the entire share capital of Security First Bank, a Fresno- based commercial bank, for a total USD 18.1 mil, in a stock swap transaction. Suncrest offered USD 10 in cash per share or 1.21212 Suncrest common shares per Security common share, subject to proration whereby 50% of the total consideration was to be paid in cash and the remaining 50% in common shares.</t>
  </si>
  <si>
    <t>Siebert Financial Corp</t>
  </si>
  <si>
    <t>Security brokers</t>
  </si>
  <si>
    <t>Kennedy Cabot Acquisition LLC</t>
  </si>
  <si>
    <t>US - Kennedy Cabot Acquisition LLC definitively agreed to acquire 19.310 mil common shares or 87.4 % interest in Siebert Financial Corp, a New York-based investment bank, for USD 1.20 in cash per share, or a total value of USD 23.172 mil, via a tender offer.</t>
  </si>
  <si>
    <t>Cepheid Inc</t>
  </si>
  <si>
    <t>Mnfr bio testing equip</t>
  </si>
  <si>
    <t>US - Danaher Corp, merged with Cepheid Inc, a Sunnyvale- based manufacturer and marketer of micro fluidic systems, for USD 53 in cash per share, or a total value of USD 3.954 bil.</t>
  </si>
  <si>
    <t>Spectra Energy Corp</t>
  </si>
  <si>
    <t>US - Enbridge Inc (Enbridge) of Canada, merged with Spectra Energy Corp (Spectra), a Houston-based provider of natural gas transmission, storage, distribution, gathering and processing services, in a stock swap transaction valued at USD 28. 287 bil. Enbridge offered 0. 984 common shares per Spectra share. Based on Enbridge's closing stock price of USD 40. 917 on 2 September 2016, the last full trading day prior to the announcement, each Spectra share was valued at USD 40.315. This transaction was structured as a tax inversion. On completion, Enbridge and Spectra were to own 57% and 43% of the new entity respectively, and Spectra was to be delisted from the NYSE. The combined company will be named Enbridge Inc. This transaction is Tax-Exempt under IRC s386.</t>
  </si>
  <si>
    <t>Cogentix Medical Inc</t>
  </si>
  <si>
    <t>Accelmed Growth Partners LLP</t>
  </si>
  <si>
    <t>US - Accelmed Growth Partners LLP agreed to acquire 16.129 mil common shares, or a 61. 69% interest in Cogentix Medical Inc, a Minnetonka- based manufacturer of surgical appliance and supplies, for USD 1.55 in cash per share, or a total USD 25 mil, in a leveraged buyout transaction.</t>
  </si>
  <si>
    <t>Apigee Corp</t>
  </si>
  <si>
    <t>US - Google Inc, a unit of Alphabet Inc, acquired the entire share capital of Apigee Corp, a San Jose-based provider and developer of API (application programming interfaces) products and technology, for USD 17.40 in cash per share, or a total value of USD 624.326 mil.</t>
  </si>
  <si>
    <t>Lpath Inc</t>
  </si>
  <si>
    <t>APOLLO ENDOSURGERY US INC</t>
  </si>
  <si>
    <t>Pvd medical svcs</t>
  </si>
  <si>
    <t>US - Apollo Endosurgery Inc (Apollo) merged with Lpath Inc (Lpath), a San Diego- based manufacturer of biological products. Upon completion, Apollo was to become a wholly-owned subsidiary of Lpath.</t>
  </si>
  <si>
    <t>Ohio Legacy Corp</t>
  </si>
  <si>
    <t>US - United Community Financial Corp (UCFC) acquired the entire share capital of Ohio Legacy Corp (Ohio), a North Canton-based commercial bank, for a total USD 35.485 mil. UCFC offered a choice of USD 18 in cash per share or 2.736 UCFC common share per Ohio share, or a combination of USD 18 in cash per share and 2.736 UCFC common share per Ohio share.</t>
  </si>
  <si>
    <t>US - Enterprise Products Partners LP (Enterprise) withdrew its plans to acquire the remaining stake, which it did not already own, in The Williams Cos Inc (Williams), a Tulsa-based natural gas distributor. Originally, in August 2016, Enterprise was rumored to be planning to acquire Williams.</t>
  </si>
  <si>
    <t>US - Horizon Pharma PLC of Republic of Ireland, acquired the entire share capital of Raptor Pharmaceutical Corp (Raptor), a Novato-based manufacturer of pharmaceutical preparation, for USD 9 in cash per share, or a total value of USD 774. 454 mil, via tender offer. The offer was conditional upon at least a majority of Raptor's shares being tendered.</t>
  </si>
  <si>
    <t>Renesas Electronics Corp</t>
  </si>
  <si>
    <t>US - Renesas Electronics Corp of Japan (Renesas), a unit of the Japanese state-owned Innovation Network Corp, acquired the entire share capital of Intersil Corp, a Milpitas-based manufacturer of high performance analog semiconductors, for USD 22.50 in cash per share, or a total value of USD 3.261 bil.</t>
  </si>
  <si>
    <t>Vitae Pharmaceuticals Inc</t>
  </si>
  <si>
    <t>US - Allergan PLC acquired the entire share capital of Vitae Pharmaceuticals Inc (Vitae), a Fort Washington- based manufacturer of pharmaceutical preparation, for USD 21 in cash per share, or a total value of USD 629. 714 mil, via tender offer. The offer was conditioned upon at least a majority of Vitae's shares being tendered.</t>
  </si>
  <si>
    <t>US - In September 2016, Depomed Inc, a Newark-based manufacturer and wholesaler of specialty pharmaceutical products, was rumored to be seeking a buyer for the entire share capital of the company.</t>
  </si>
  <si>
    <t>Infoblox Inc</t>
  </si>
  <si>
    <t>US - Vista Equity Partners LLC (Vista) acquired the entire share capital of Infoblox Inc (Infobloox), a California-based provider of data processing and hosting services, for USD 26.50 in cash per share, or a total value of USD 1.526 bil, in a leveraged buyout transaction. Earlier, Vista completed its tender offer for Infoblox by accepting 43.826 mil, or 78. 002% of Infoblox's common shares outstanding. The offer was conditioned upon at least majority of Infoblox shares being tendered. Originally, in August 2016, Infoblox was rumored to be seeking a buyer for the company. On completion, Infoblox common shares were delisted from New York Stock Exchange.</t>
  </si>
  <si>
    <t>Eldorado Resorts Inc</t>
  </si>
  <si>
    <t>US - Eldorado Resorts Inc (Eldorado) merged with Isle of Capri Casinos Inc (Isle), a St Louis-based provider of recreation services, for a total USD 969.875 mil. Eldorado offered a choice of USD 23 in cash per Isle share or 1.638 Eldorado common shares per Isle share, subject to proration whereby 58% of the total consideration was to be paid in cash and the remaining 42% in common shares. Based on Eldorado's closing stock price of USD 14.25 on 16 September 2016, the last full trading day prior to the announcement, each Isle share was valued at USD 23.342. Upon completion, Eldorado and Isle were to own 62% interest and 38% stake, respectively in the merged entity. This transaction is Tax-Exempt under IRC s386.</t>
  </si>
  <si>
    <t>Tessera Technologies Inc</t>
  </si>
  <si>
    <t>US - Tessera Technologies Inc acquired the entire share capital of DTS Inc, a Calabasas-based manufacturer of branded entertainment technologies, for USD 42.50 in cash per share, or a total USD 800.381 mil in cash.</t>
  </si>
  <si>
    <t>Tobira Therapeutics Inc</t>
  </si>
  <si>
    <t>US - Allergan PLC (Allergan) acquired the entire share capital of Tobira Therapeutics Inc (Tobira), a South San Francisco-based manufacturer of pharmaceutical preparation, for an estimated total USD 1. 525 bil, via tender offer. The consideration consisted of USD 28.35 in cash per share and up to USD 938.05 mil in profit-related payments. Earlier, Allergan completed its tender offer for Tobira by accepting 18. 821 mil, or 92.801% of Tobira's common shares outstanding. The offer was conditioned upon at least majority of Tobira's shares being tendered.</t>
  </si>
  <si>
    <t>AH Belo Corp</t>
  </si>
  <si>
    <t>US - Gannett Co Inc was rumored to be planning to acquire the entire share capital of AH Belo Corp, a Dallas-based newspaper publisher.</t>
  </si>
  <si>
    <t>Valley Commerce Bancorp,CA</t>
  </si>
  <si>
    <t>US - CVB Financial Corp (CVB) acquired the entire share capital of Valley Commerce Bancorp, a Visalia,-based bank holding company, in a stock swap transaction valued at USD 56.231 mil. The consideration was to consist of USD 23.4 mil in cash and the issuance of 1.943 mil CVB common shares valued at USD 32.831 mil. The shares were valued based on CVB's closing stock price of USD 16.9 on 21 September 2016, the last full trading day prior to the announcement.</t>
  </si>
  <si>
    <t>Vanda Pharmaceuticals Inc</t>
  </si>
  <si>
    <t>US - In September 2016, Vanda Pharmaceuticals Inc, a Washington-based manufacturer of pharmaceutical preparation, was rumored to be seeking a buyer for the entire share capital of the company.</t>
  </si>
  <si>
    <t>Own,op leisure communities</t>
  </si>
  <si>
    <t>US - Lennar Corp (Lennar) merged with WCI Communities Inc (WCI), a Bonita Springs- based constructor of master- planned communities, for a total USD 618.954 mil, in a stock swap transaction. Lennar offered a choice of USD 11.75 in cash per share and 11.75 in Lennar common shares per WCI share or USD 23.50 in cash per share. This transaction is Tax-Exempt under IRC s386.</t>
  </si>
  <si>
    <t>Twitter Inc</t>
  </si>
  <si>
    <t>US - In September 2016, Twitter Inc, a San Francisco- based provider of social networking and micro-blogging services, was rumored to be seeking a buyer for the  the company. Google Inc, Walt Disney Co and Salesforce Inc were rumored bidders.</t>
  </si>
  <si>
    <t>Lanxess AG</t>
  </si>
  <si>
    <t>Mnfr,whl chemicals;hldg co</t>
  </si>
  <si>
    <t>US - Lanxess AG of Germany acquired the entire share capital of Chemtura Corp, a Middlebury-based manufacturer of plastics materials, for USD 33.5 in cash per share, or a total value of USD 2.11 bil. On completion, Chemtura common shares were to be delisted in the New York Stock Exchange.</t>
  </si>
  <si>
    <t>BATS Global Markets Inc</t>
  </si>
  <si>
    <t>Securities and Commodity Exchanges</t>
  </si>
  <si>
    <t>CBOE Holdings Inc</t>
  </si>
  <si>
    <t>Pvd securities exchange svcs</t>
  </si>
  <si>
    <t>US - CBOE Holdings Inc (CBOE) acquired the entire  share capital of BATS Global Markets Inc (BATS), a Lenexa- based provider of electronic stock trading services, for a total USD 3.047 bil, in a stock swap transaction. CBOE offered a choice of USD 10 in cash and 0.3201 CBOE common shares per BATS share, USD 32. 503 in cash per share or USD 32.503 in CBOE common shares. Based on CBOE's closing stock price of USD 70.30 on 23 September 2016, each BATS share was valued at USD 22. 503. On completion, CBOE and BATS were to own 72% and 28%, respectively in the merged entity. Originally, in September 2016, CBOE was rumored to be planning to acquire BATS. This transaction is Tax-Exempt under IRC s386.</t>
  </si>
  <si>
    <t>Columbia Pipeline Partners LP</t>
  </si>
  <si>
    <t>US - Columbia Pipeline Group Inc (CPGI), a unit of TransCanada Corp, acquired the entire share capital of Columbia Pipeline Partners LP, a Houston-based  owner and operator of natural gas transportation pipelines and related energy infrastructure assets, from NiSource Inc, for an amended USD 17 in cash per share of a total value of USD 915.339 mil. Originally, CPGI offered USD 15.75 in cash per share.</t>
  </si>
  <si>
    <t>EndoChoice Holdings Inc</t>
  </si>
  <si>
    <t>US - Boston Scientific Corp (Boston Scientific) acquires the entire share capital of EndoChoice Holdings Inc (EndoChoice), an Alpharetta- based manufacturer of surgical appliance and supplies, for USD 8 in cash per share or a total value of USD 203.146 mil, by accepting 24.676 mil or 97.176% of EndoChoice's common shares outstanding. The offer was conditioned upon at least a majority of EndoChoice's was being tendered.</t>
  </si>
  <si>
    <t>Cheniere Energy Partners LP</t>
  </si>
  <si>
    <t>Cheniere Energy Inc</t>
  </si>
  <si>
    <t>Pvd natural gas distribution services</t>
  </si>
  <si>
    <t>US - Cheniere Energy Inc (Cheniere) withdrew its plans to launch an unsolicited offer to acquire the remaining 46.108 mil common shares or 19.9% stake, which it did not already own, in Cheniere Energy Partners LP Holdings LLC (Cheniere Holding), a Houston-based natural gas distributor, in a stock swap transaction valued at USD 1.01 bil. Cheniere offered 0.5049 shares per Cheniere Holding common share. Based on Cheniere's closing stock price of USD 43.37 on September 29, the last full trading day prior to the announcement, each Cheniere Holding share was valued at USD 21.898.</t>
  </si>
  <si>
    <t>Cabelas Inc</t>
  </si>
  <si>
    <t>Own,op outdoor sports store</t>
  </si>
  <si>
    <t>Bass Pro Group LLC</t>
  </si>
  <si>
    <t>Mnfr,whl,ret sports equip</t>
  </si>
  <si>
    <t>US - Bass Pro Group LLC definitively agreed to acquire the entire share capital of Cabelas Inc (Cabelas), a Sidney-based owner and operator of specialty outdoor sports stores, for an amended USD 61. 50 in cash per share, or a total USD 4.211 bil in cash. Previously, Bass Pro Group LLC offered USD 65.50 in cash per share, or a total USD 4. 484 bil. Originally, in November 2015, Cabelas was rumored to be seeking a buyer for its entire share capital. KKR &amp; Co LP, Hellman &amp; Friedman LLC, TPG Capital, and Goldman Sachs were named potential bidders.</t>
  </si>
  <si>
    <t>US - First Commonwealth Financial Corp (FCFC) merged with DCB Financial Corp (DCB_, a Lewis Center-based commercial bank, from Guaranty Bancshares Inc, for a total USD 107 mil, in a stock swap transaction. FCFC offered USD 14.5 in cash per share of 1.427 FCFC common share per DCB common share, subject to proration whereby 80% of the total consideration was paid in common shares and 20% in cash. Based on FCFC's closing stock price of USD 10.09 on 30 September 2016, the last full trading day prior to the announcement, each DCB shares was valued at USD 14.398. This transaction is Tax- Exempt under IRC s386.</t>
  </si>
  <si>
    <t>US - Dynegy Inc (Dynegy), a Houston-based an electric utility company, completed a debt restructuring transaction with Creditors (CRs). CRs received 8.034% new unsecured senior notes due 2024, cash and warrants with a 7-year tenor in exchange for outstanding debt. On completion, CRs held an undisclosed interest in the restructured Dynegy. The book value of the existing debt that was exchanged under the terms of the offer was USD 825 mil.</t>
  </si>
  <si>
    <t>Janus Capital Group Inc</t>
  </si>
  <si>
    <t>Pvd invest management services</t>
  </si>
  <si>
    <t>Henderson Group PLC</t>
  </si>
  <si>
    <t>US - Henderson Group PLC (Henderson) of the UK, merged with Janus Capital Group Inc (Janus), a Denver-based investment advisor, from The Dai-ichi Life Insurance Co Ltd and other shareholders, in a stock swap transaction valued at USD 3.782 bil. Henderson offered 4.719 common shares per Janus common share. Based on Henderson's closing stock price of USD 3.011 on 30 September 2016, the last full trading day prior to the announcement, each Janus share was valued at USD 14. 209. On completion, Henderson and Janus were to own 57% interest and 43% stake, respectively in the merged entity and was to be renamed Janus Henderson Global Investors PLC. This transaction is Tax-Exempt under IRC s386.</t>
  </si>
  <si>
    <t>Georgetown Bancorp Inc</t>
  </si>
  <si>
    <t>Salem Five Bancorp</t>
  </si>
  <si>
    <t>Offices Of Bank Holding Companies</t>
  </si>
  <si>
    <t>US - Salem Five Bancorp acquired Georgetown Bancorp Inc, a Georgetown, Massachusetts-based commercial bank, for USD 49.2 mil in cash.</t>
  </si>
  <si>
    <t>US - Kroger Co was rumored to be planning to acquire the entire share capital of Whole Foods Market Inc (Whole Foods) , an Austin-based owner and operator of natural and organic food supermarkets. The terms of the transaction were not disclosed, but according to sources close to the transaction, the value was estimated at USD 13 bil.</t>
  </si>
  <si>
    <t>US - First Reserve Corp merged with Gas Natural Inc, a Mentor-based provider of natural gas distribution services, for USD 13.10 in cash per share, or a total value of USD 137.757 mil, in a leveraged buyout transaction.</t>
  </si>
  <si>
    <t>Glacier Water Services Inc</t>
  </si>
  <si>
    <t>Own,op water vending machines</t>
  </si>
  <si>
    <t>Primo Water Corp</t>
  </si>
  <si>
    <t>Mnfr,whl water dispensers</t>
  </si>
  <si>
    <t>US - Primo Water Corp acquired the entire share capital of Glacier Water Services Inc, a Vista-based manufacturer of automatic vending machines, for an estimated total of USD 263 mil. The consideration was to consist of USD 50 mil in cash, USD 36 mil in Primo common shares, and the assumption of USD 177 mil in liabilities.</t>
  </si>
  <si>
    <t>Delek US Holdings Inc</t>
  </si>
  <si>
    <t>Mnfr,whl petro refined product</t>
  </si>
  <si>
    <t>US - Delek US Holdings Inc (Delek), a unit of Delek Group Ltd, acquired the remaining 37.900 mil shares or 52.9% interest  for the which it did not already own, in Alon USA Energy Inc (Alon), a Dallas-based petroleum refinery operator, from Alon Israel Oil Co Ltd, for a sweetened USD 459.781 mil, in a stock swap transaction. Delek offered 0.504 common share per Alon share. Based on Delek's closing stock price of USD 24.07 on 30 December, the last full trading day prior to the announcement, each Alon share was valued at USD 8.276. Originally, Delek planned to launch a tender offer to acquire the remaining 36.920 mil shares or 51.7% interest for the which it did not already own, in Alon, via an unsolicited offer. This transaction is Tax-Exempt under IRC s386.</t>
  </si>
  <si>
    <t>Tableau Software Inc</t>
  </si>
  <si>
    <t>Develops prepackaged software</t>
  </si>
  <si>
    <t>US - In October 2016, Tableau Software Inc, a Seattle-based developer of prepackaged software, was rumored to be seeking a buyer for the company. Salesforce.com Inc was rumored potential bidder.</t>
  </si>
  <si>
    <t>US - Stone Energy Corp (Stone) , a Lafayette-based an oil and gas exploration and production company, completed its debt restructuring transaction with Creditors (CRs). CRs received common shares, cash and new 7.5% second lien notes due 2022 in exchange for outstanding debt. On completion, CRs held 95% interest in the restructured Stone. The book value of the existing debt that was exchanged under the terms of the offer was USD 1.2 bil.</t>
  </si>
  <si>
    <t>Everyday Health Inc</t>
  </si>
  <si>
    <t>Ziff Davis LLC</t>
  </si>
  <si>
    <t>Provide digital media services</t>
  </si>
  <si>
    <t>US - Ziff Davis LLC, a unit of j2 Global Inc, merged with Everyday Health Inc (Everyday) , a New York-based provider of online health information services, for USD 10.50 in cash per share, or a total value of USD 355.07 mil, via tender offer. The offer was conditioned upon at least 50% of Everyday's shares being tendered. Originally, on October 2016, Everyday Health Inc was rumored to be seeking a buyer for the company.</t>
  </si>
  <si>
    <t>British American Tobacco PLC</t>
  </si>
  <si>
    <t>Produce,whl cigarettes,tobacco</t>
  </si>
  <si>
    <t>US - British American Tobacco PLC (BATS) of the UK, acquired the remaining 57. 776% interest, or 823.56 mil common shares, which it did not already own, in Reynolds American Inc (Reynolds), a Winston Salem-based producer of cigarettes and other tobacco products, in a sweetened stock swap transaction valued at USD 49. 054 bil, via tender offer. BATS offered a sweetened USD 29.44 in cash and 0.526 ordinary share per Reynolds common share. Based on BATS' closing stock price of USD 57. 24 on 16 January 2017, the last full trading day prior to the amendment of terms, each Reynolds share was valued at USD 59.548. The offer was conditioned upon at least majority of Reynolds shares being tendered. Originally, BATS offered USD 24.13 in cash and 0.55 ordinary share per Reynolds common share. On completion, Reynolds delisted from the New York stock exchange.</t>
  </si>
  <si>
    <t>IBEX Global Solutions Plc</t>
  </si>
  <si>
    <t>Pvd contact centre svcs,bpo</t>
  </si>
  <si>
    <t>Resource Grp Intl Ltd</t>
  </si>
  <si>
    <t>Pvd capital,strategic svcs</t>
  </si>
  <si>
    <t>US - Resource Group International Ltd (Resource), through its unit, India Bidco Ltd, agreed to acquire the remaining 11.450 mil common shares or 28.95% stake, which it did not already own, in IBEX Global Solutions Plc, a Washington,Dc-based provider of telephone answering services, for USD 1.37 in cash per share, or a total of USD 15.687 mil.</t>
  </si>
  <si>
    <t>US - AT&amp;T Inc (AT&amp;T) definitively agreed to acquire the entire share capital of Time Warner Inc (Time Warner), a New York- based producer of motion pictures and videos, for USD 107.5 per share or a total value of USD 85.408 bil, in a stock swap transaction, subject to a collar agreement. The consideration was to consist of USD 53.75 in cash and USD 53.75 in common stock. Originally, AT&amp;T was rumored to be planning to acquire Time Warner.  This transaction is Tax-Exempt under IRC s386.</t>
  </si>
  <si>
    <t>B/E Aerospace Inc</t>
  </si>
  <si>
    <t>Aircraft Engine and Engine Parts Manufacturing</t>
  </si>
  <si>
    <t>Rockwell Collins Inc</t>
  </si>
  <si>
    <t>Manufactures aviation electronics products</t>
  </si>
  <si>
    <t>US - Rockwell Collins Inc (Rockwell) acquired the entire share capital of B/E Aerospace Inc (B/E), a Wellington-based manufacturer and wholesaler of aircraft components, for a total USD 8. 201 bil, subject to a collar agreement. The consideration consisted of USD 34.10 in cash per share, USD 27.90 in Rockwell common shares and the assumption of USD 1.9 bil in liabilities. On completion, Rockwell and B/E were to own 80% and 20% respectively, in the merged entity. Additionally, B/E 's common shares were to be delisted from NASDAQ. Originally, in May 2014, B/E announced that it was seeking a buyer for the company. This transaction is Tax-Exempt under IRC s386.</t>
  </si>
  <si>
    <t>China Oceanwide Hldg Grp Co</t>
  </si>
  <si>
    <t>US - China Oceanwide Holdings Group Co Ltd of China, a unit of Oceanwide Group Co Ltd, definitively agreed to acquire the entire share capital of Genworth Financial Inc, a Richmond-based provider of life insurance, mortgage financing and investment services, from General Electric Co, for an estimated USD 5.43 in cash per share, or a total value of USD USD 2.706 bil.</t>
  </si>
  <si>
    <t>JP Energy Partners LP</t>
  </si>
  <si>
    <t>Liquefied Petroleum Gas (Bottled Gas) Dealers</t>
  </si>
  <si>
    <t>American Midstream Partners LP</t>
  </si>
  <si>
    <t>Pvd gas prod,distn svcs</t>
  </si>
  <si>
    <t>US - American Midstream Partners LP (American) acquired the entire share capital of JP Energy Partners LP (JP), an Irving-based liquefied petroleum gas dealer, from CB Capital Partners Inc, for a total USD 159.977 mil, in a stock swap transaction. American offered 0.5571 common shares per JP. Based on American's closing stock price of USD 14.95, on 21 October 2016, tyhe last full trading day prior to the announcement, each JP share was valued at USD 8.634. This transaction is Tax- Exempt under IRC s386.</t>
  </si>
  <si>
    <t>US - Community Bank System Inc (Community) definitively acquired the entire share capital of Merchants Bancshares Inc (Merchants), a South Burlington-based commercial bank, for a total USD 314.875 mil, in a stock swap transaction. Community offered a choice of 0.963 common shares per Merchants share, or USD 40 in cash per share or a combination of 0. 6741 Community share per Merchants share and USD 12 in cash per share. The shares were valued based on Community's closing stock price of USD 47.5 on 21 October 2016, the last full trading day prior to the announcement.  This transaction is Tax-Exempt under IRC s386.</t>
  </si>
  <si>
    <t>Middleburg Financial Corp</t>
  </si>
  <si>
    <t>Bank hldng co</t>
  </si>
  <si>
    <t>Access National Corp</t>
  </si>
  <si>
    <t>US - Access National Corp (Access) merged with Middleburg Financial Corp (Middleburg), a Middleburg- based commercial bank, for a total USD 246.149 mil, in a stock swap transaction. Access offered 1.3314 common shares per Middleburg common share. Based on Access' closing stock price of USD 26. 61 on 21 October 2016, the last full trading day prior to the announcement, each Middleburg share was valued at USD 35.429. On completion, Access and Middleburg were to own 53.5% and 46.5%, respectively in the merged entity, which was to be named Access National Corp. This transaction is Tax-Exempt under IRC s386.</t>
  </si>
  <si>
    <t>PennTex Midstream Partners LP</t>
  </si>
  <si>
    <t>US - Energy Transfer Partners LP, acquired a 65.453% interest or 26.302 mil common shares in PennTex Midstream Partners LP, a Houston-based provider of natural gas transmission services, for an estimated USD 640 mil, subject to proration whereby 50% of the total consideration was to be paid in cash and the remaining 50% in common shares, in a stock swap transaction.</t>
  </si>
  <si>
    <t>Trans Energy Inc</t>
  </si>
  <si>
    <t>EQT Corp</t>
  </si>
  <si>
    <t>Provide gas exploration, production, distribution services</t>
  </si>
  <si>
    <t>US - EQT Corp (EQT) definitively agreed to acquire the entire share capital of Trans Energy Inc (Trans Energy), a St Marys- based oil and gas exploration and production company, for USD 3.58 in cash per share or a total value of USD 59.74 mil, via tender offer. The offer was conditioned upon at least a majority of Trans Energy. Concurrently, EQT definitively agreed to acquire Marcellus Shale Pure Play.</t>
  </si>
  <si>
    <t>Qualcomm Inc</t>
  </si>
  <si>
    <t>US - Qualcomm Inc (Qualcomm) launched a tender offer to acquire the entire share capital of NXP Semiconductors NV (NXP), a San Jose-based manufacturer of semiconductors, for USD 110 in cash per share or a total value of USD 38.777 bil. The offer was conditioned upon at least 95% of NXP's shares being tendered. Originally, in September 2016, Qualcomm was rumored to be planning to acquire the entire share capital of NXP.</t>
  </si>
  <si>
    <t>GE Oil &amp; Gas</t>
  </si>
  <si>
    <t>Oil and Gas Field Machinery and Equipment Manufacturing</t>
  </si>
  <si>
    <t>US - GE Oil &amp; Gas of the UK, a unit of General Electric Co's (GE) GE Infrastructure Inc subsidiary, merged with Baker Hughes Inc (Baker), a Houston-based manufacturer of oil and gas machinery, in a stock swap transaction valued at USD 32.394 bil. GE offered USD 24.996 bil in shares, based on Baker's market capitalization on the last full trading day prior to the announcement, and USD 17.5 in cash dividend per Baker's common share. On completion, GE and Baker shareholders owned 62.5% and 37.5% in the merged entity, respectively, and Baker's common shares were delisted in the New York Stock Exchange. Originally, in October 2016, GE was rumored to be planning to merge with Baker. This transaction is Tax-Exempt under IRC s386.</t>
  </si>
  <si>
    <t>Founders Bancorp Inc</t>
  </si>
  <si>
    <t>US - Heartland Financial USA Inc merged with Founders Bancorp Inc, an Oklahoma City- based savings institution, for an estimated USD 29.1 mil, in a stock swap transaction. The consideration consisted of an estimated USD 8.73 mil in cash plus 0.931 mil common shares for USD 21.87 price per share, valued at USD 20. 37 mil common shares.</t>
  </si>
  <si>
    <t>US - CenturyLink Inc (CenturyLink) definitively agreed to merge with Level 3 Communications Inc (Level 3), a Broomfield-based provider of telecommunications services, for USD 25.136 bil, in a stock swap transaction. CenturyLink offered USD 26.5 in cash per share and 1.429 CenturyLink common shares per Level 3 share. The shares were valued based on CenturyLink's closing stock price of USD 30.39 on 28 October 2016, the last full trading day prior to the announcement. Originally, in October 2016, CenturyLink was rumored to be planning to acquire Level 3.  This transaction is Tax-Exempt under IRC s386.</t>
  </si>
  <si>
    <t>Performance Sports Group Ltd</t>
  </si>
  <si>
    <t>Sporting and Athletic Goods Manufacturing</t>
  </si>
  <si>
    <t>Performance Sports Grp Ltd SPV</t>
  </si>
  <si>
    <t>US - Performance Sports Group Ltd SPV, a special purpose acquisition vehicle formed by Fairfax Financial Holdings Ltd and Sagard Capital Partners LP, acquired the entire share capital of the bankrupt Performance Sports Group Ltd, an Exeter-based manufacturer of sporting and athletic goods, for a total USD 575 mil.</t>
  </si>
  <si>
    <t>SunCoke Energy Partners LP</t>
  </si>
  <si>
    <t>Manufacture coke</t>
  </si>
  <si>
    <t>SunCoke Energy Inc</t>
  </si>
  <si>
    <t>US - SunCoke Energy Inc (SXC) planned to acquire the remaining 45.003% stake, which it did not already own, in SunCoke Energy Partners LP (SXCP), a Lisle-based manufacturer of coke used in blast production of steel, in a stock swap transaction valued at total USD 369.238 mil. SXC offered 1.65 common shares per SXCP common share. Based on SXC's closing stock price of USD 10.76 on 28 October 2016, the last full trading day prior to the announcement, each SXCP share ware valued at USD 17.75.</t>
  </si>
  <si>
    <t>US - Blackstone Group LP acquired the entire share capital of Team Health Holdings Inc, a Knoxville- based provider of healthcare services, for USD 43.50 in cash per share, or USD 3.313 bil in cash, in a leveraged buyout transaction. Originally, in October 2016, Team Health was rumored to be seeking a buyer for the entire share capital of the company. Blackstone was named bidder.</t>
  </si>
  <si>
    <t>Broadcom Ltd</t>
  </si>
  <si>
    <t>US - Broadcom Ltd (Broadcom) definitively agreed to merge with Brocade Communications Systems Inc (Brocade Communications), a San Jose- based provider of storage area networking infrastructure solutions, and manufacturer of fabric switches and storage devices, for USD 12.75 in cash per share, or a total value of USD 5.536 bil. Originally, in November 2016, Brocade was rumored to be seeking a buyer for the company. Broadcom was named potential bidder. Concurrently, Extreme Networks Inc agreed to acquire the data center switching, routing &amp; analytics business of Brocade Communications.</t>
  </si>
  <si>
    <t>Inteliquent Inc</t>
  </si>
  <si>
    <t>Onvoy Inc</t>
  </si>
  <si>
    <t>US - Onvoy Inc, a unit of GTCR LLC, acquired the entire share capital of Inteliquent Inc, a Chicago-based wired telecommunications carrier, for USD 23.00 in cash per share, or a total value of USD 791.704 mil in cash.</t>
  </si>
  <si>
    <t>Canyon Bridge Cap Partners</t>
  </si>
  <si>
    <t>US - Canyon Bridge Capital Partners LLC withdrew its definitive agreement to merge with Lattice Semiconductor Corp, a Portland-based manufacturer and wholesaler of semiconductor components, for USD 8.3 in cash per share, or a total value of USD 1. 037 bil in cash, in a leveraged buyout transaction.</t>
  </si>
  <si>
    <t>Metaldyne Performance Group</t>
  </si>
  <si>
    <t>All Other Motor Vehicle Parts Manufacturing</t>
  </si>
  <si>
    <t>Amer Axle &amp; Mnfg Hldg Inc</t>
  </si>
  <si>
    <t>Mnfr,whl driveline systems</t>
  </si>
  <si>
    <t>US - American Axle &amp; Manufacturing Holdings Inc (American Axle), a unit of Blackstone Group LP, merged with Metaldyne Performance Group Inc (Metaldyne), a Southfield-based manufacturer of metal-formed components, from ASP MD Investco LP, ultimately owned by American Securities LLC, for a total USD 1.512 bil. American Axle offered USD 13.5 in cash and 0.5 in common share per Metaldyne share. The shares were valued based on American Axle's closing stock price of USD 16.61 on 02 November 2016, the last full trading prior to the announcement, each share was valued at USD 21. 805. On completion, American Axle and Metaldyne shareholders were to own 70% and 30% of the merged entity respectively.</t>
  </si>
  <si>
    <t>US - Skyworks Solutions Inc was rumored to be planning to acquire the entire share capital of Microsemi Corp, an Aliso Viejo-based manufacturer and wholesaler of semiconductors.</t>
  </si>
  <si>
    <t>First Menasha Bancshares Inc</t>
  </si>
  <si>
    <t>US - Nicolet Bankshares Inc (Nicolet) merged with First Menasha Bancshares Inc, a Neenah-based bank holding company, for a total USD 77. 23 mil, in a stock swap transaction. Nicolet offered USD 131.5 in cash, 3.411 in common share, or a combination of cash and common shares, subject to proration whereby 25% of the total consideration was to be paid in cash and the remaining 75% in common shares or 40% of the total consideration was to be paid in cash and the remaining 60% in common shares. The shares were valued based on Nicolet's closing stock price of USD 38.09 on 3 November 2016, the last full trading day of the announcement. This transaction is Tax-Exempt under IRC s386.</t>
  </si>
  <si>
    <t>Blue Nile Inc</t>
  </si>
  <si>
    <t>Blue Nile Inc SPV</t>
  </si>
  <si>
    <t>US - Blue Nile Inc SPV, a special purpose acquisition vehicle formed by Bain Capital LLC and Bow Street LLC, acquired the entire share capital of Blue Nile Inc, a Seattle-based provider of online retailing services, for USD 40.75 in cash per share or a total value of USD 478.856 mil, in a leveraged buyout transaction.</t>
  </si>
  <si>
    <t>Datalink Corp</t>
  </si>
  <si>
    <t>Pvd data center svcs</t>
  </si>
  <si>
    <t>Insight Enterprises Inc</t>
  </si>
  <si>
    <t>US - Insight Enterprises Inc acquired the entire share capital of Datalink Corp, an Eden Prairie-based provider of computer systems design services, for USD 11.25 in cash per share, or a total of USD 267.883 mil in cash.</t>
  </si>
  <si>
    <t>EarthLink Holdings Corp</t>
  </si>
  <si>
    <t>Windstream Holdings Inc</t>
  </si>
  <si>
    <t>US - Windstream Holdings Inc (Windstream) merged with EarthLink Holdings Corp (EarthLink), an Atlanta-based internet service provider, for an estimated USD 624.773 mil, in a stock swap transaction. Windstream offered 0.818 common shares per EarthLink share. The shares were valued based on the closing stock price of Windstream of USD 7.24 on November 4, 2016, the last full trading day prior to the announcement. On completion, Windstream and EarthLink shareholders were to own 51% interest and 49% stake in the merged entity, respectively. This transaction is Tax- Exempt under IRC s386.</t>
  </si>
  <si>
    <t>Greer Bancshares Inc</t>
  </si>
  <si>
    <t>US - Carolina Financial Corp (Carolina Financial) acquired the entire share capital of Greer Bancshares Inc (Greer Bancshares), a Greer-based commercial bank, for a total USD 44.337 mil, in a stock swap transaction, subject to proration whereby 10% of the total consideration was to be paid in cash and the remaining 90% in common shares. Carolina Financial offered 0.782 common shares per Greer Bancshares' common share, based on Carolina Financial closing stock price of USD 22.8 on 7 November, 2016, the last full trading day prior to the announcement, each of ADGE share was valued at USD 17.83.</t>
  </si>
  <si>
    <t>T Bancshares Inc</t>
  </si>
  <si>
    <t>T Acquisition Inc</t>
  </si>
  <si>
    <t>US - T Acquisition Inc acquired the entire share capital, or 4.052 mil common shares in T Bancshares Inc, a Dallas-based commercial bank, for USD 10 in cash per share, or a total USD 40.517 mil.</t>
  </si>
  <si>
    <t>TubeMogul Inc</t>
  </si>
  <si>
    <t>US - Adobe Systems Inc (Adobe) merged with TubeMogul Inc (TubeMogul), an Emeryville- based enterprise software, for USD 14 in cash per share or a total value of USD 611. 284 mil. Earlier, Adobe completed its tender offer for TubeMogul by accepting 30. 414 mil shares, or 75.87% of TubeMogul's common shares outstanding. The offer was conditioned upon at least majority of TubeMogul's shares being tendered. On completion, TubeMogul's shares were delisted from the Nasdaq Global Select Market.</t>
  </si>
  <si>
    <t>US - Belden Inc withdrew its tender offer to acquire the entire share capital of Digi International Inc, a Minnetonka-based manufacturer of communications equipment, for USD 13.82 in cash per share, or total value of USD 368.249 mil in cash, via an unsolicited offer. The offer was conditioned upon at least majority of Digi's shares being tendered.</t>
  </si>
  <si>
    <t>US - Regency Centers Corp (Regency) merged with Equity One Inc (Equity), a New York- based real estate investment trust, from Gazit-Globe Ltd, a unit of Norstar Holdings Inc, and other shareholders, in a stock swap transaction valued at USD 4.485 bil. Regency offered 0.45 common shares per Equity common share. Based on Regency's closing stock price of USD 68. 64 on 11 November 2016, the last full trading day prior to the announcement, each Equity share was valued at USD 30.888. On completion, Regency and Equity were to own 62% and 38%, respectively in the merged entity. This transaction is Tax-Exempt under IRC s386.</t>
  </si>
  <si>
    <t>US - Samsung Electronics Co Ltd of South Korea, merged with Harman International Industries Inc (Human International), a Stamford- based manufacturer and wholesaler of audio and video system products and components, for USD 112 in cash per share, or a total value of USD 8.041 bil. On completion, Human International was delisted from New York Exchange.</t>
  </si>
  <si>
    <t>US - International Shipholding Corp (International Shipholding), a New Orleans-based provider of domestic and international maritime transportation services, completed a debt restructuring transaction with Creditors. CRs received common shares and cash in exchange for outstanding debt. On completion, CRs held an undisclosed interest in the restructured International Shipholding. The book value of the existing debt that was exchanged under the terms of the offer was USD 226.8 mil.</t>
  </si>
  <si>
    <t>US - Siemens AG (Siemens) of Germany merged with Mentor Graphics Corp (Mentor), a Wilsonville-based provider and developer of electronic design automation systems, for USD 37.25 in cash per share or a total value of USD 4.315 bil. Originally, in October 2016, Mentor was rumored to be seeking a buyer for the company. Siemens was named potential bidder.</t>
  </si>
  <si>
    <t>SciClone Pharms Inc SPV</t>
  </si>
  <si>
    <t>US - SciClone Pharmaceuticals Inc SPV of China, jointly owned by GL Capital Management GP Ltd, Bank of China Group Investment Ltd, CDH Investments, Ascendent Capital Partners ILP, and Beijing Boying Technology Co Ltd definitively agreed to acquire the remaining 90.7% interest, which it did not already own, in SciClone Pharmaceuticals Inc, a Foster City-based manufacturer of pharmaceutical preparation, for USD 11.18 in cash per share, or a total USD 540.305 mil.</t>
  </si>
  <si>
    <t>TFB Bancorp Inc</t>
  </si>
  <si>
    <t>US - Glacier Bancorp Inc (Glacier) acquired the entire share capital of TFB Bancorp Inc, an Yuma-based commercial bank, for an aggregate total of USD 62.4 mil in cash and Glacier common shares.</t>
  </si>
  <si>
    <t>Republic Airways Holdings Inc</t>
  </si>
  <si>
    <t>Passenger airline hldg co</t>
  </si>
  <si>
    <t>US - Republic Airways Holdings Inc (Republic Airways), an Indianapolis- based passenger airline holding company, completed a debt restructuring transaction with Creditors consisting of American Airlines Inc, Delta Air Lines Inc, and United Airlines Inc (collectively, the CRs). CRs received common shares and cash in exchange for outstanding debt. On completion, CRs held an undisclosed interest in the restructured Republic Airways. The book value of the existing debt that was exchanged under the terms of the offer was USD 173.5 mil.</t>
  </si>
  <si>
    <t>US - First Interstate BancSystem Inc (First Interstate) merged with Cascade Bancorp (Cascade), a Bend-based commercial bank, for a total USD 587.109 mil, in a stock swap transaction. First Interstate offered 0. 14864 common shares per Cascade's common share, based on First Interstate closing stock price of USD 38.30 on 16 November, 2016, the last full trading day prior to the announcement, each of Cascade shares were valued at USD 5. 693 or a total of USD 434.156 mil plus USD 1.91 cash per share for a total of USD 145. 661.  This transaction is Tax- Exempt under IRC s386.</t>
  </si>
  <si>
    <t>Wellcare Health Plans Inc</t>
  </si>
  <si>
    <t>Provide managed care services</t>
  </si>
  <si>
    <t>US - Wellcare Health Plans Inc merged with Universal American Corp, a White Plains- based provider of health insurance and managed care products and services, for USD 10 in cash per share, or a total USD 600.091 mil.</t>
  </si>
  <si>
    <t>US - Tesoro Corp (Tesoro) acquired the entire share capital of Western Refining Inc (WNR), an El Paso-based manufacturer and wholesaler of oil refined products, for a total USD 4.044 bil, in a stock swap transaction. Tesoro offered a choice of USD 37.3  in cash per share or 0.435 Tesoro common share per WNR common share, subject to proration whereby the 90% total consideration was to be paid in common share and 10% in cash. The shares were valued based on Tesoro's closing stock price of USD 85. 74 on 16 November 2016, the last full trading day prior to the announcement of the transaction, each WNR shares were valued at USD 37.297. On completion, Tesoro was renamed Andeavor. This transaction is Tax-Exempt under IRC s386.</t>
  </si>
  <si>
    <t>LifeLock Inc</t>
  </si>
  <si>
    <t>Dvlp identity theft protection software</t>
  </si>
  <si>
    <t>US - Symantec Corp acquired the entire share capital of LifeLock Inc, a Tempe-based developer of Internet-based identity theft protection software, for USD 24 in cash per share, or a total value of USD 2.45 bil. Originally, in November 2016, LifeLock Inc was rumored to be seeking a buyer for the company.</t>
  </si>
  <si>
    <t>US - MACOM Technology Solutions Holdings Inc (MACOM) , merged with Applied Micro Circuits Corp (AppliedMicro), a Santa Clara-based manufacturer, designer, and developer of silicon integrated circuits, embedded processors and storage components, in a stock swap transaction valued at USD 761. 258 mil, via tender offer. MACOM offered 3.25 in cash and 0.1089 MACOM common share per AppliedMicro share. Based on MACOM's closing stock price of USD 46.95 on 18 November 2016, the last full trading day prior to the announcement, each AppliedMicro was valued at USD 5.113. The offer was conditioned upon at least a majority of AppliedMicro's shares being tendered.  This transaction is Tax-Exempt under IRC s386.</t>
  </si>
  <si>
    <t>Sunoco Logistics Partners LP</t>
  </si>
  <si>
    <t>Own,op refined oil pipelines</t>
  </si>
  <si>
    <t>US - Sunoco Logistics Partners LP (Sunoco Logistics) , merged with Energy Transfer Partners LP (Energy Transfer), a Dallas-based provider of natural gas midstream and intrastate transportation and storage services, in a stock swap reverse takeover transaction valued at USD 21. 319 bil. Sunoco Logistics offered 1.5 common shares per Energy Transfer share, based on Sunoco Logistics' closing stock price of USD 26.19 on 18 November 2016, the last full trading day prior to the announcement, each Energy Transfer share was valued at USD 39.285. This transaction is Tax-Exempt under IRC s386. The combined entity will be named after Energy Transfer.</t>
  </si>
  <si>
    <t>Headwaters Inc</t>
  </si>
  <si>
    <t>Boral Ltd</t>
  </si>
  <si>
    <t>Mnfr,whl bldg,constr materials</t>
  </si>
  <si>
    <t>US - Boral Ltd of Australia acquired the entire share capital of Headwaters Inc, a South Jordan-based manufacturer of building products, for USD 24.25 in cash per share, or a total value of USD 1.798 bil.</t>
  </si>
  <si>
    <t>Time Inc</t>
  </si>
  <si>
    <t>Periodical Publishers</t>
  </si>
  <si>
    <t>US - An investor group, comprised of Edgar Bronfman Jr, Ynon Kreiz and Len Blavatnik, was rumored to be planning to acquire the entire share capital of Time Inc, a New York-based periodical publisher. The terms of the transaction were not disclosed, but according to sources close to the transaction, the value was estimated at USD 1.78 bil.</t>
  </si>
  <si>
    <t>WGL Holdings Inc</t>
  </si>
  <si>
    <t>Utility holding co</t>
  </si>
  <si>
    <t>US - Iberdrola SA of Spain was rumored to be planning to acquire the entire share capital of WGL Holdings Inc, a Washington-based natural gas distributor.</t>
  </si>
  <si>
    <t>CLARCOR Inc</t>
  </si>
  <si>
    <t>Mnf,whl mobile filtration prod</t>
  </si>
  <si>
    <t>US - Parker Hannifin Corp merged with CLARCOR Inc, a Franklin-based manufacturer and wholesaler of mobile, industrial and environmental filtration products, and consumer and industrial packaging products, for USD 83 in cash per share, or a total value of USD 4.094 bil in cash.</t>
  </si>
  <si>
    <t>Vascular Solutions Inc</t>
  </si>
  <si>
    <t>Mnfr vascular sealing device</t>
  </si>
  <si>
    <t>US - Teleflex Inc definitively acquire the entire share capital of Vascular Solutions Inc, a Minneapolis-based manufacturer of vascular sealing devices, for USD 56 in cash per share, or a total value of USD 1.009 bil in cash.</t>
  </si>
  <si>
    <t>FairPoint Communications Inc</t>
  </si>
  <si>
    <t>US - Consolidated Communications Holdings Inc (CCHI), merged with FairPoint Communications Inc (FCI), a Charlotte-based provider of communications services, in a stock swap transaction, for a total USD 570.309 mil. CCHI offered .73 shares per FCI share. Based on CCHI's closing stock price of USD 28. 38 on 02 December 2016, the last full trading day prior to the announcement, each FCI share was valued at USD 20. 717. Upon closing, CCHI and FCI were to own 71.3% and 28. 7%, respectively. Originally, FCI was rumored to be seeking a buyer for its entire share capital. Frontier Communications Corp, CenturyLink Inc and Windstream Holdings Inc were named as rumored bidders. This transaction is Tax- Exempt under IRC s386.</t>
  </si>
  <si>
    <t>IntraLinks Holdings Inc</t>
  </si>
  <si>
    <t>US - Synchronoss Technologies Inc, acquired the entire share capital of IntraLinks Holdings Inc, a New York- based developer of content management software, for USD 13 in cash per share, or a total value of USD 768.285 mil in cash.</t>
  </si>
  <si>
    <t>OCI Partners LP</t>
  </si>
  <si>
    <t>Mnfr methanol, ammonia</t>
  </si>
  <si>
    <t>OCI NV</t>
  </si>
  <si>
    <t>Mnfr nitrogen fertilizers</t>
  </si>
  <si>
    <t>US - OCI NV of Netherlands withdrew its plan to acquire the remaining 20.12% stake, or 17.504 mil common shares, which it did not already own, in OCI Partners LP, a Nederland-based manufacturer of methanol and ammonia, in a stock swap transaction valued at USD 135.893 mil. OCI NV offered 0.52 common shares per OCI Partners LP share. Based on OCI NV's closing stock price of USD 14.93 on 5 December 2016, the last full trading day prior to the announcement, each OCI Partners LP share was valued at USD 7.764.</t>
  </si>
  <si>
    <t>Black Knight Financial Svcs</t>
  </si>
  <si>
    <t>US - Fidelity National Financial Inc (FNF) agreed to spin off Black Knight Financial Services Inc (BKFS), a Jacksonville-based provider of data processing and hosting services, to its shareholders, for a total USD 3.132 bil. FNF shareholders were to receive .305551 common shares of BKFS for every FNF share held. The shares were valued based on BKFS's closing stock price of USD 37.60 on 06 December 2016, the first full trading day on a when-issued basis.</t>
  </si>
  <si>
    <t>US - Steel Partners Holdings LP acquired the remaining stake, which it did not already own, in Steel Excel Inc, a White Plains-based provider of support services for oil and gas operations, for a total USD 46.752 mil. Upon completion, Steel Excel was to delist from the OTC Market.</t>
  </si>
  <si>
    <t>All Other Metal Ore Mining</t>
  </si>
  <si>
    <t>Sibanye Gold Ltd</t>
  </si>
  <si>
    <t>US - Sibanye Gold Ltd of South Africa, merged with Stillwater Mining Co, a Billings-based mining company, for USD 18 cash per share or a total value of USD 2.18 bil.</t>
  </si>
  <si>
    <t>Lionbridge Technologies Inc</t>
  </si>
  <si>
    <t>Dvlp translation software</t>
  </si>
  <si>
    <t>US - HIG Capital LLC merged with Lionbridge Technologies Inc, a Waltham-based provider of computer related services for USD 5.75 in cash per share, or a total of USD 353. 644 mil, in a leveraged buyout transaction.</t>
  </si>
  <si>
    <t>Southern National Bancorp of</t>
  </si>
  <si>
    <t>US - Southern National Bancorp of Virginia Inc (SONA) merged with Eastern Virginia Bankshares Inc (EVB), a Tappahannock-based commercial bank, in a stock swap mergers of equals transaction valued at USD 129.259 mil. Sona offered 0.6313 common shares per EVB common share. Based on SONA's closing stock price of USD 15.61 on 12 December 2016, the last full trading day prior to the announcement, each EVB share was valued at USD 9.855. This transaction is Tax-Exempt under IRC s386.</t>
  </si>
  <si>
    <t>US - Pacific Premier Bancorp Inc (PPB) merged with Heritage Oaks Bancorp (HOB), a Paso Robles-based commercial bank, in a stock swap transaction valued at USD 404.296 mil. PPB offered 0.3471 common shares per HOB common shares. Based on PPB's closing stock price of USD 33. 65 on 12 December 2016, the last full trading day prior to the announcement, each HOB share was valued at USD 11.68. This transaction is Tax- Exempt under IRC s386.</t>
  </si>
  <si>
    <t>Medical Laboratories</t>
  </si>
  <si>
    <t>Tahoe Investment Group Co Ltd</t>
  </si>
  <si>
    <t>US - Fujian Thai Hot Investment Co Ltd (Fujian Thai Hot) of China agreed to acquire the remaining stake, which it did not already own, in Alliance HealthCare Services Inc, a Newport Beach- based medical laboratory operator, for a sweetened USD 13.250 in cash per share or a total of USD 69.068 mil in cash. Previously Fujian Thai Hot offered USD 9.60 in cash per share or a total of USD 50.042 in cash in a privately negotiated transaction. Originally in September 2014, Alliance was rumored to be seeking a buyer for its company.</t>
  </si>
  <si>
    <t>Neustar Inc SPV</t>
  </si>
  <si>
    <t>US - Neustar Inc SPV, a special purpose acquisition vehicle formed by Golden Gate Private Equity Inc and GIC Special Investments Pte Ltd, a unit of Singaporean state- owned GIC Pte Ltd, merged with NeuStar Inc (Neustar), a Sterling-based provider of real-time information services and analytics, for USD 33.5 in cash per share or a total value of USD 1.843 bil, in a leveraged buyout transaction. On completion, Neustar's common shares were delisted from the New York Stock Exchange.</t>
  </si>
  <si>
    <t>Southwest Bancorp Inc,OK</t>
  </si>
  <si>
    <t>Simmons First Natl Corp</t>
  </si>
  <si>
    <t>US - Simmons First National Corp (Simmons) definitively agreed to merge with Southwest Bancorp Inc (Southwest), a Stillwater- based provider of commercial and deposit services, for USD 5.11 in cash per share, or a total USD 567.651 mil, in a stock swap transaction. Simmons offered .3903 common shares per Southwest share. Based on Simmons' closing stock price of USD 64.75 on 13 December 2016, the last full trading day prior to the announcement, each Southwest share was valued at USD 25. 272. This transaction is Tax- Exempt under IRC s386.</t>
  </si>
  <si>
    <t>First ULB Corp</t>
  </si>
  <si>
    <t>Thrift hldg co</t>
  </si>
  <si>
    <t>US - Bay Commercial Bank (Bay) acquired the entire share capital of First ULB Corp (First ULB), an Oakland-based savings institution, for a total USD 37.423 mil. Bay offered USD 13.50 in cash per share and 0.9733 Bay common share per First ULB common share. Based on Bay's closing stock price of USD 13.40 on 13 December 2016, the last full trading day prior to the announcement, each First ULB share was valued at USD 13. 042. On completion, Bay is to be named as United Business Bank.</t>
  </si>
  <si>
    <t>Hometown Bancorp Inc</t>
  </si>
  <si>
    <t>Wallkill Valley Federal Svgs</t>
  </si>
  <si>
    <t>US - Wallkill Valley Federal Savings &amp; Loan definitively agreed to merge with Hometown Bancorp Inc, a Walden-based provider of commercial banking services, for USD 3. 01 in cash per share, or a total value of USD 7.004 mil.</t>
  </si>
  <si>
    <t>US - Fairfax Financial Holdings Ltd of Canada (Fairfax), acquired the entire share capital of Allied World Assurance Co Holdings AG (Allied), a New York-based direct life insurance carrier, in a stock swap transaction valued at USD 6.108 bil. Fairfax offered a sweetened USD 23 in cash per share and 0.099 common share per Allied share. Based on Fairfax's closing stock price of USD 463.772 on 9 March 2017, the last full trading day prior to the announcement, each Allied share was valued at USD 69. 031. Earlier, Fairfax completed its tender offer for Allied by accepting 84. 184 mil, or 96.77%of Allied's common shares outstanding. The offer was conditioned upon at least 90% of shares being tendered. Originally, Fairfax offered USD 5 in cash per share and 0.099 common share per Allied share.</t>
  </si>
  <si>
    <t>Calamos Asset Management Inc</t>
  </si>
  <si>
    <t>US - An investor group, comprised of John Calamos and John Koudounis completed its tender offer for the remaining 81.6% interest or 16.264 mil common shares, which it did not already own, in Calamos Asset Management Inc (Calamos), a Naperville- based intermediator, for USD 8.25 in cash per share, or a total USD 138.218 mil, via tender offer. Earlier the investor group completed its tender offer for Calamos by accepting 3.777 mil shares or 18.4% of Calamos common shares outstanding. The offer was conditioned upon at least a majority of Calamos shares being tendered.</t>
  </si>
  <si>
    <t>FCB Bancorp</t>
  </si>
  <si>
    <t>Bank (US) holding company</t>
  </si>
  <si>
    <t>US - MainSource Financial Group Inc (MFG) merged with FCB Bancorp Inc (FCB), a Louisville-based commercial bank, in a stock swap transaction valued at USD 53. 59 mil. MFG offered USD 7 per FCB common share valued at USD 12.91 mil and 1.403 mil MFG common shares valued at USD 40.68 mi. Based on MFG's closing stock price of USD 32. 65 on 16 December 2016, the last full trading day prior to the announcement, each FCB share were valued at USD 33.1.</t>
  </si>
  <si>
    <t xml:space="preserve">US - Orchestra Premaman SA of France (Orchestra), a unit of Yeled Invest SA, withdrew its definitive agreement to merge with Destination Maternity Corp, a Moorestown-based manufacturer of apparels, in exchange for 7.217 mil Orchestra common shares valued at USD 98.806 mil. The shares were valued based on Orchestra's closing stock price of USD 13.69 on 19 Dec 2016, the last full trading day prior to the announcement. </t>
  </si>
  <si>
    <t>Omtool Ltd</t>
  </si>
  <si>
    <t>Upland Software Inc</t>
  </si>
  <si>
    <t>US - Upland Software Inc acquired the entire share capital of Omtool Ltd, an Andover-based developer and wholesaler of email and fax- based messaging software, for USD 19.2 mil in cash.</t>
  </si>
  <si>
    <t>InvenSense Inc</t>
  </si>
  <si>
    <t>Dvlp motion sensing software</t>
  </si>
  <si>
    <t>US - TDK Corp (TDK) of Japan, acquired the entire share capital, or 102.619 mil common shares, of InvenSense Inc (InvenSense), a San Jose- based developer of motion sensing solutions software, for USD 13 in cash per share, or a total value of USD 1.358 bil in cash. Originally, in December 2016, TDK discontinued the rumors that it planned to acquire the entire share capital of InvenSense.</t>
  </si>
  <si>
    <t>Cinedigm Corp</t>
  </si>
  <si>
    <t>Pvd digital cinema,mktg svcs</t>
  </si>
  <si>
    <t>US - Cinedigm Corp (Cinedigm), a New York-based a digital cinema services, software and content marketing and distribution company, completed a debt restructuring transaction with Bondholders (BHs). BHs received common shares in exchange for outstanding debt. On completion, BHs held an undisclosed interest in the restructured Cinedigm. The book value of the existing debt that was exchanged under the terms of the offer was USD 3.429 mil.</t>
  </si>
  <si>
    <t>Tangoe Inc</t>
  </si>
  <si>
    <t>Pvd commun mgmt software svcs</t>
  </si>
  <si>
    <t>Marlin Management Company LLC</t>
  </si>
  <si>
    <t>US - Marlin Management Company LLC (Marlin) acquired the entire share capital of Tangoe Inc (Tangoe) , an Orange-based software publisher, for an amended USD 6.50 in cash per share, or a total of USD 229.685 mil in cash. The offer was conditioned upon at least 51% of shares being tendered pursuant to the offer. Originally, Marlin offered USD 7 in cash per share. Subsequently, Tangoe Inc SPV, jointly owned by Clearlake Capital Group LP and Vector Capital Management LP, intended to launch a tender offer to acquire the remaining stake, which it did not already own, in Tangoe.</t>
  </si>
  <si>
    <t>Request</t>
  </si>
  <si>
    <t>Hits</t>
  </si>
  <si>
    <t>Request Description</t>
  </si>
  <si>
    <t>0</t>
  </si>
  <si>
    <t>-</t>
  </si>
  <si>
    <t>DATABASES: Domestic Mergers, 1979-Present (MA, OMA)</t>
  </si>
  <si>
    <t>1</t>
  </si>
  <si>
    <t>Date Announced: 01/01/1990 to 01/01/2017 (Custom) (Calendar)</t>
  </si>
  <si>
    <t>2</t>
  </si>
  <si>
    <t>50923</t>
  </si>
  <si>
    <t>Target Public Status : P</t>
  </si>
  <si>
    <t>3</t>
  </si>
  <si>
    <t>16360</t>
  </si>
  <si>
    <t>Form of the Deal : A, AM, AR, M</t>
  </si>
  <si>
    <t>4</t>
  </si>
  <si>
    <t>11678</t>
  </si>
  <si>
    <t>Target Share Price 1 Day Prior to Announcement ($): 1 to &lt;=
HI</t>
  </si>
  <si>
    <t>5</t>
  </si>
  <si>
    <t/>
  </si>
  <si>
    <t>Custom Report: M&amp;A-Fred (Columnar) - Save As:
C:\SDC\4.0.4.0\Platinum\USR\FredM&amp;A_2.xlsx</t>
  </si>
  <si>
    <t>Billing Ref # : 2184775</t>
  </si>
  <si>
    <t>Capture File  : cornmapc.2184775</t>
  </si>
  <si>
    <t xml:space="preserve">Session Name  : </t>
  </si>
</sst>
</file>

<file path=xl/styles.xml><?xml version="1.0" encoding="utf-8"?>
<styleSheet xmlns="http://schemas.openxmlformats.org/spreadsheetml/2006/main" xmlns:mc="http://schemas.openxmlformats.org/markup-compatibility/2006" xmlns:x14ac="http://schemas.microsoft.com/office/spreadsheetml/2009/9/ac" mc:Ignorable="x14ac">
  <numFmts count="10">
    <numFmt numFmtId="164" formatCode="mm/dd/yy"/>
    <numFmt numFmtId="165" formatCode="################"/>
    <numFmt numFmtId="166" formatCode="################.0"/>
    <numFmt numFmtId="167" formatCode="################.00"/>
    <numFmt numFmtId="168" formatCode="################.000"/>
    <numFmt numFmtId="169" formatCode="#,###,###,###,###,###.0"/>
    <numFmt numFmtId="170" formatCode="################.0000"/>
    <numFmt numFmtId="171" formatCode="#,###,###,###,###,###.00"/>
    <numFmt numFmtId="172" formatCode="################.00000"/>
    <numFmt numFmtId="173" formatCode="#,###,###,###,###,###.000"/>
  </numFmts>
  <fonts count="2" x14ac:knownFonts="1">
    <font>
      <sz val="10"/>
      <name val="Arial"/>
    </font>
    <font>
      <b/>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17">
    <xf numFmtId="0" fontId="0" fillId="0" borderId="0" xfId="0" applyProtection="1"/>
    <xf numFmtId="0" fontId="1" fillId="0" borderId="0" xfId="0" applyFont="1" applyProtection="1"/>
    <xf numFmtId="0" fontId="0" fillId="0" borderId="0" xfId="0" applyAlignment="1" applyProtection="1">
      <alignment vertical="top" wrapText="1"/>
    </xf>
    <xf numFmtId="164" fontId="0" fillId="0" borderId="0" xfId="0" applyNumberFormat="1" applyAlignment="1" applyProtection="1">
      <alignment vertical="top" wrapText="1"/>
    </xf>
    <xf numFmtId="165" fontId="0" fillId="0" borderId="0" xfId="0" applyNumberFormat="1" applyAlignment="1" applyProtection="1">
      <alignment vertical="top" wrapText="1"/>
    </xf>
    <xf numFmtId="166" fontId="0" fillId="0" borderId="0" xfId="0" applyNumberFormat="1" applyAlignment="1" applyProtection="1">
      <alignment vertical="top" wrapText="1"/>
    </xf>
    <xf numFmtId="167" fontId="0" fillId="0" borderId="0" xfId="0" applyNumberFormat="1" applyAlignment="1" applyProtection="1">
      <alignment vertical="top" wrapText="1"/>
    </xf>
    <xf numFmtId="168" fontId="0" fillId="0" borderId="0" xfId="0" applyNumberFormat="1" applyAlignment="1" applyProtection="1">
      <alignment vertical="top" wrapText="1"/>
    </xf>
    <xf numFmtId="169" fontId="0" fillId="0" borderId="0" xfId="0" applyNumberFormat="1" applyAlignment="1" applyProtection="1">
      <alignment vertical="top" wrapText="1"/>
    </xf>
    <xf numFmtId="170" fontId="0" fillId="0" borderId="0" xfId="0" applyNumberFormat="1" applyAlignment="1" applyProtection="1">
      <alignment vertical="top" wrapText="1"/>
    </xf>
    <xf numFmtId="171" fontId="0" fillId="0" borderId="0" xfId="0" applyNumberFormat="1" applyAlignment="1" applyProtection="1">
      <alignment vertical="top" wrapText="1"/>
    </xf>
    <xf numFmtId="172" fontId="0" fillId="0" borderId="0" xfId="0" applyNumberFormat="1" applyAlignment="1" applyProtection="1">
      <alignment vertical="top" wrapText="1"/>
    </xf>
    <xf numFmtId="173" fontId="0" fillId="0" borderId="0" xfId="0" applyNumberFormat="1" applyAlignment="1" applyProtection="1">
      <alignment vertical="top" wrapText="1"/>
    </xf>
    <xf numFmtId="1" fontId="0" fillId="0" borderId="0" xfId="0" applyNumberFormat="1" applyAlignment="1" applyProtection="1">
      <alignment vertical="top" wrapText="1"/>
    </xf>
    <xf numFmtId="0" fontId="0" fillId="0" borderId="0" xfId="0" applyAlignment="1" applyProtection="1">
      <alignment horizontal="left" vertical="top" wrapText="1"/>
    </xf>
    <xf numFmtId="1" fontId="0" fillId="0" borderId="0" xfId="0" applyNumberFormat="1" applyAlignment="1" applyProtection="1">
      <alignment horizontal="left" vertical="top" wrapText="1"/>
    </xf>
    <xf numFmtId="165" fontId="0" fillId="0" borderId="0" xfId="0" applyNumberFormat="1" applyAlignment="1" applyProtection="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1680"/>
  <sheetViews>
    <sheetView tabSelected="1" topLeftCell="A10564" workbookViewId="0">
      <selection sqref="A1:XFD1"/>
    </sheetView>
  </sheetViews>
  <sheetFormatPr baseColWidth="10" defaultColWidth="9.1640625" defaultRowHeight="13" x14ac:dyDescent="0.15"/>
  <cols>
    <col min="1" max="1" width="12.6640625" customWidth="1"/>
    <col min="2" max="2" width="12.83203125" customWidth="1"/>
    <col min="3" max="3" width="19.33203125" customWidth="1"/>
    <col min="4" max="4" width="37.1640625" customWidth="1"/>
    <col min="5" max="5" width="79.33203125" customWidth="1"/>
    <col min="6" max="6" width="10.5" customWidth="1"/>
    <col min="7" max="7" width="50.1640625" customWidth="1"/>
    <col min="8" max="8" width="16.33203125" customWidth="1"/>
    <col min="9" max="9" width="37.83203125" customWidth="1"/>
    <col min="10" max="10" width="96.33203125" customWidth="1"/>
    <col min="11" max="11" width="50.1640625" customWidth="1"/>
    <col min="12" max="12" width="18.5" customWidth="1"/>
    <col min="13" max="13" width="20.5" customWidth="1"/>
    <col min="14" max="14" width="15" customWidth="1"/>
    <col min="15" max="15" width="12.6640625" customWidth="1"/>
    <col min="16" max="16" width="38.83203125" customWidth="1"/>
    <col min="17" max="17" width="10.33203125" customWidth="1"/>
    <col min="18" max="18" width="13.33203125" customWidth="1"/>
    <col min="19" max="19" width="15.1640625" customWidth="1"/>
    <col min="20" max="20" width="14.5" customWidth="1"/>
    <col min="21" max="21" width="14.6640625" customWidth="1"/>
    <col min="22" max="22" width="14" customWidth="1"/>
    <col min="23" max="24" width="18" customWidth="1"/>
    <col min="25" max="26" width="13.83203125" customWidth="1"/>
    <col min="27" max="27" width="13.33203125" customWidth="1"/>
    <col min="28" max="28" width="13.83203125" customWidth="1"/>
    <col min="29" max="29" width="16.83203125" customWidth="1"/>
    <col min="30" max="30" width="12.5" customWidth="1"/>
  </cols>
  <sheetData>
    <row r="1" spans="1:29" ht="78" x14ac:dyDescent="0.15">
      <c r="A1" s="2" t="s">
        <v>1</v>
      </c>
      <c r="B1" s="2" t="s">
        <v>2</v>
      </c>
      <c r="C1" s="2" t="s">
        <v>3</v>
      </c>
      <c r="D1" s="2" t="s">
        <v>4</v>
      </c>
      <c r="E1" s="2" t="s">
        <v>5</v>
      </c>
      <c r="F1" s="2" t="s">
        <v>6</v>
      </c>
      <c r="G1" s="2" t="s">
        <v>7</v>
      </c>
      <c r="H1" s="2" t="s">
        <v>8</v>
      </c>
      <c r="I1" s="2" t="s">
        <v>9</v>
      </c>
      <c r="J1" s="2" t="s">
        <v>10</v>
      </c>
      <c r="K1" s="2" t="s">
        <v>11</v>
      </c>
      <c r="L1" s="2" t="s">
        <v>12</v>
      </c>
      <c r="M1" s="2" t="s">
        <v>13</v>
      </c>
      <c r="N1" s="2" t="s">
        <v>14</v>
      </c>
      <c r="O1" s="2" t="s">
        <v>15</v>
      </c>
      <c r="P1" s="2" t="s">
        <v>16</v>
      </c>
      <c r="Q1" s="2" t="s">
        <v>17</v>
      </c>
      <c r="R1" s="2" t="s">
        <v>18</v>
      </c>
      <c r="S1" s="2" t="s">
        <v>19</v>
      </c>
      <c r="T1" s="2" t="s">
        <v>20</v>
      </c>
      <c r="U1" s="2" t="s">
        <v>21</v>
      </c>
      <c r="V1" s="2" t="s">
        <v>22</v>
      </c>
      <c r="W1" s="2" t="s">
        <v>23</v>
      </c>
      <c r="X1" s="2" t="s">
        <v>24</v>
      </c>
      <c r="Y1" s="2" t="s">
        <v>25</v>
      </c>
      <c r="Z1" s="2" t="s">
        <v>26</v>
      </c>
      <c r="AA1" s="2" t="s">
        <v>27</v>
      </c>
      <c r="AB1" s="2" t="s">
        <v>28</v>
      </c>
      <c r="AC1" s="2" t="s">
        <v>29</v>
      </c>
    </row>
    <row r="2" spans="1:29" ht="143" x14ac:dyDescent="0.15">
      <c r="A2" s="3">
        <f>DATE(1990,1,3)</f>
        <v>32876</v>
      </c>
      <c r="B2" s="2"/>
      <c r="C2" s="2" t="s">
        <v>30</v>
      </c>
      <c r="D2" s="2" t="s">
        <v>31</v>
      </c>
      <c r="E2" s="2" t="s">
        <v>32</v>
      </c>
      <c r="F2" s="4">
        <v>6035</v>
      </c>
      <c r="G2" s="2" t="s">
        <v>33</v>
      </c>
      <c r="H2" s="2" t="s">
        <v>34</v>
      </c>
      <c r="I2" s="2" t="s">
        <v>35</v>
      </c>
      <c r="J2" s="2" t="s">
        <v>36</v>
      </c>
      <c r="K2" s="2" t="s">
        <v>37</v>
      </c>
      <c r="L2" s="2" t="s">
        <v>34</v>
      </c>
      <c r="M2" s="2"/>
      <c r="N2" s="5">
        <v>30.5</v>
      </c>
      <c r="O2" s="5">
        <v>30.5</v>
      </c>
      <c r="P2" s="2" t="s">
        <v>38</v>
      </c>
      <c r="Q2" s="2"/>
      <c r="R2" s="6">
        <v>38.130000000000003</v>
      </c>
      <c r="S2" s="5">
        <v>3.4</v>
      </c>
      <c r="T2" s="7">
        <v>5.4089999999999998</v>
      </c>
      <c r="U2" s="5">
        <v>23.6</v>
      </c>
      <c r="V2" s="6">
        <v>2.85</v>
      </c>
      <c r="W2" s="4">
        <v>28</v>
      </c>
      <c r="X2" s="4">
        <v>28</v>
      </c>
      <c r="Y2" s="4">
        <v>30</v>
      </c>
      <c r="Z2" s="6">
        <v>28.75</v>
      </c>
      <c r="AA2" s="6">
        <v>1.1599999999999999</v>
      </c>
      <c r="AB2" s="7">
        <v>104.309</v>
      </c>
      <c r="AC2" s="2"/>
    </row>
    <row r="3" spans="1:29" ht="52" x14ac:dyDescent="0.15">
      <c r="A3" s="3">
        <f>DATE(1990,1,3)</f>
        <v>32876</v>
      </c>
      <c r="B3" s="2"/>
      <c r="C3" s="2" t="s">
        <v>39</v>
      </c>
      <c r="D3" s="2" t="s">
        <v>40</v>
      </c>
      <c r="E3" s="2" t="s">
        <v>41</v>
      </c>
      <c r="F3" s="4">
        <v>7822</v>
      </c>
      <c r="G3" s="2" t="s">
        <v>42</v>
      </c>
      <c r="H3" s="2" t="s">
        <v>34</v>
      </c>
      <c r="I3" s="2" t="s">
        <v>43</v>
      </c>
      <c r="J3" s="2" t="s">
        <v>44</v>
      </c>
      <c r="K3" s="2" t="s">
        <v>45</v>
      </c>
      <c r="L3" s="2" t="s">
        <v>34</v>
      </c>
      <c r="M3" s="2"/>
      <c r="N3" s="4">
        <v>184</v>
      </c>
      <c r="O3" s="6">
        <v>184.25</v>
      </c>
      <c r="P3" s="2" t="s">
        <v>46</v>
      </c>
      <c r="Q3" s="2"/>
      <c r="R3" s="2"/>
      <c r="S3" s="5">
        <v>11.5</v>
      </c>
      <c r="T3" s="5">
        <v>309.8</v>
      </c>
      <c r="U3" s="5">
        <v>30.9</v>
      </c>
      <c r="V3" s="6">
        <v>0.09</v>
      </c>
      <c r="W3" s="6">
        <v>57.75</v>
      </c>
      <c r="X3" s="7">
        <v>59.625</v>
      </c>
      <c r="Y3" s="7">
        <v>62.125</v>
      </c>
      <c r="Z3" s="4">
        <v>63</v>
      </c>
      <c r="AA3" s="6">
        <v>116.19</v>
      </c>
      <c r="AB3" s="2" t="s">
        <v>47</v>
      </c>
      <c r="AC3" s="8">
        <v>1077.8</v>
      </c>
    </row>
    <row r="4" spans="1:29" ht="156" x14ac:dyDescent="0.15">
      <c r="A4" s="3">
        <f>DATE(1990,1,3)</f>
        <v>32876</v>
      </c>
      <c r="B4" s="2"/>
      <c r="C4" s="2" t="s">
        <v>30</v>
      </c>
      <c r="D4" s="2" t="s">
        <v>48</v>
      </c>
      <c r="E4" s="2" t="s">
        <v>49</v>
      </c>
      <c r="F4" s="4">
        <v>3577</v>
      </c>
      <c r="G4" s="2" t="s">
        <v>50</v>
      </c>
      <c r="H4" s="2" t="s">
        <v>34</v>
      </c>
      <c r="I4" s="2" t="s">
        <v>51</v>
      </c>
      <c r="J4" s="2" t="s">
        <v>52</v>
      </c>
      <c r="K4" s="2" t="s">
        <v>53</v>
      </c>
      <c r="L4" s="2" t="s">
        <v>54</v>
      </c>
      <c r="M4" s="2"/>
      <c r="N4" s="2"/>
      <c r="O4" s="2"/>
      <c r="P4" s="2" t="s">
        <v>55</v>
      </c>
      <c r="Q4" s="2"/>
      <c r="R4" s="6">
        <v>7.25</v>
      </c>
      <c r="S4" s="5">
        <v>3.1</v>
      </c>
      <c r="T4" s="7">
        <v>5.766</v>
      </c>
      <c r="U4" s="5">
        <v>4.5999999999999996</v>
      </c>
      <c r="V4" s="6">
        <v>0.26</v>
      </c>
      <c r="W4" s="6">
        <v>5.25</v>
      </c>
      <c r="X4" s="6">
        <v>5.25</v>
      </c>
      <c r="Y4" s="6">
        <v>6.25</v>
      </c>
      <c r="Z4" s="5">
        <v>6.5</v>
      </c>
      <c r="AA4" s="6">
        <v>11.1</v>
      </c>
      <c r="AB4" s="7">
        <v>39.889000000000003</v>
      </c>
      <c r="AC4" s="2"/>
    </row>
    <row r="5" spans="1:29" ht="156" x14ac:dyDescent="0.15">
      <c r="A5" s="3">
        <f>DATE(1990,1,3)</f>
        <v>32876</v>
      </c>
      <c r="B5" s="2"/>
      <c r="C5" s="2" t="s">
        <v>56</v>
      </c>
      <c r="D5" s="2" t="s">
        <v>57</v>
      </c>
      <c r="E5" s="2" t="s">
        <v>58</v>
      </c>
      <c r="F5" s="4">
        <v>4512</v>
      </c>
      <c r="G5" s="2" t="s">
        <v>59</v>
      </c>
      <c r="H5" s="2" t="s">
        <v>34</v>
      </c>
      <c r="I5" s="2" t="s">
        <v>51</v>
      </c>
      <c r="J5" s="2" t="s">
        <v>52</v>
      </c>
      <c r="K5" s="2" t="s">
        <v>53</v>
      </c>
      <c r="L5" s="2" t="s">
        <v>34</v>
      </c>
      <c r="M5" s="2"/>
      <c r="N5" s="2"/>
      <c r="O5" s="2"/>
      <c r="P5" s="2" t="s">
        <v>60</v>
      </c>
      <c r="Q5" s="2"/>
      <c r="R5" s="2"/>
      <c r="S5" s="5">
        <v>324.2</v>
      </c>
      <c r="T5" s="7">
        <v>981.52800000000002</v>
      </c>
      <c r="U5" s="5">
        <v>17.899999999999999</v>
      </c>
      <c r="V5" s="6">
        <v>3.74</v>
      </c>
      <c r="W5" s="6">
        <v>181.75</v>
      </c>
      <c r="X5" s="5">
        <v>164.5</v>
      </c>
      <c r="Y5" s="6">
        <v>210.75</v>
      </c>
      <c r="Z5" s="6">
        <v>219.25</v>
      </c>
      <c r="AA5" s="2"/>
      <c r="AB5" s="2" t="s">
        <v>47</v>
      </c>
      <c r="AC5" s="2"/>
    </row>
    <row r="6" spans="1:29" ht="156" x14ac:dyDescent="0.15">
      <c r="A6" s="3">
        <f>DATE(1990,1,8)</f>
        <v>32881</v>
      </c>
      <c r="B6" s="2"/>
      <c r="C6" s="2" t="s">
        <v>30</v>
      </c>
      <c r="D6" s="2" t="s">
        <v>61</v>
      </c>
      <c r="E6" s="2" t="s">
        <v>62</v>
      </c>
      <c r="F6" s="4">
        <v>4813</v>
      </c>
      <c r="G6" s="2" t="s">
        <v>63</v>
      </c>
      <c r="H6" s="2" t="s">
        <v>34</v>
      </c>
      <c r="I6" s="2" t="s">
        <v>64</v>
      </c>
      <c r="J6" s="2" t="s">
        <v>65</v>
      </c>
      <c r="K6" s="2" t="s">
        <v>63</v>
      </c>
      <c r="L6" s="2" t="s">
        <v>34</v>
      </c>
      <c r="M6" s="2"/>
      <c r="N6" s="7">
        <v>21.625</v>
      </c>
      <c r="O6" s="7">
        <v>21.375</v>
      </c>
      <c r="P6" s="2" t="s">
        <v>66</v>
      </c>
      <c r="Q6" s="2"/>
      <c r="R6" s="2"/>
      <c r="S6" s="5">
        <v>-22.7</v>
      </c>
      <c r="T6" s="7">
        <v>18.372</v>
      </c>
      <c r="U6" s="5">
        <v>-28.4</v>
      </c>
      <c r="V6" s="6">
        <v>-10.45</v>
      </c>
      <c r="W6" s="7">
        <v>1.4379999999999999</v>
      </c>
      <c r="X6" s="7">
        <v>1.5629999999999999</v>
      </c>
      <c r="Y6" s="7">
        <v>2.4380000000000002</v>
      </c>
      <c r="Z6" s="4">
        <v>2</v>
      </c>
      <c r="AA6" s="6">
        <v>13.7</v>
      </c>
      <c r="AB6" s="2" t="s">
        <v>47</v>
      </c>
      <c r="AC6" s="2"/>
    </row>
    <row r="7" spans="1:29" ht="104" x14ac:dyDescent="0.15">
      <c r="A7" s="3">
        <f>DATE(1990,1,8)</f>
        <v>32881</v>
      </c>
      <c r="B7" s="2"/>
      <c r="C7" s="2" t="s">
        <v>30</v>
      </c>
      <c r="D7" s="2" t="s">
        <v>67</v>
      </c>
      <c r="E7" s="2" t="s">
        <v>36</v>
      </c>
      <c r="F7" s="4">
        <v>6021</v>
      </c>
      <c r="G7" s="2" t="s">
        <v>37</v>
      </c>
      <c r="H7" s="2" t="s">
        <v>34</v>
      </c>
      <c r="I7" s="2" t="s">
        <v>68</v>
      </c>
      <c r="J7" s="2" t="s">
        <v>69</v>
      </c>
      <c r="K7" s="2" t="s">
        <v>37</v>
      </c>
      <c r="L7" s="2" t="s">
        <v>34</v>
      </c>
      <c r="M7" s="2"/>
      <c r="N7" s="5">
        <v>43.5</v>
      </c>
      <c r="O7" s="7">
        <v>43.125</v>
      </c>
      <c r="P7" s="2" t="s">
        <v>70</v>
      </c>
      <c r="Q7" s="2"/>
      <c r="R7" s="6">
        <v>36</v>
      </c>
      <c r="S7" s="5">
        <v>159.5</v>
      </c>
      <c r="T7" s="7">
        <v>233.251</v>
      </c>
      <c r="U7" s="5">
        <v>24.1</v>
      </c>
      <c r="V7" s="6">
        <v>2.5099999999999998</v>
      </c>
      <c r="W7" s="6">
        <v>23.25</v>
      </c>
      <c r="X7" s="5">
        <v>23.5</v>
      </c>
      <c r="Y7" s="7">
        <v>22.625</v>
      </c>
      <c r="Z7" s="7">
        <v>23.625</v>
      </c>
      <c r="AA7" s="6">
        <v>58.34</v>
      </c>
      <c r="AB7" s="7">
        <v>40.139000000000003</v>
      </c>
      <c r="AC7" s="2"/>
    </row>
    <row r="8" spans="1:29" ht="65" x14ac:dyDescent="0.15">
      <c r="A8" s="3">
        <f>DATE(1990,1,8)</f>
        <v>32881</v>
      </c>
      <c r="B8" s="2"/>
      <c r="C8" s="2" t="s">
        <v>30</v>
      </c>
      <c r="D8" s="2" t="s">
        <v>71</v>
      </c>
      <c r="E8" s="2" t="s">
        <v>72</v>
      </c>
      <c r="F8" s="4">
        <v>5995</v>
      </c>
      <c r="G8" s="2" t="s">
        <v>73</v>
      </c>
      <c r="H8" s="2" t="s">
        <v>34</v>
      </c>
      <c r="I8" s="2" t="s">
        <v>74</v>
      </c>
      <c r="J8" s="2" t="s">
        <v>75</v>
      </c>
      <c r="K8" s="2" t="s">
        <v>76</v>
      </c>
      <c r="L8" s="2" t="s">
        <v>34</v>
      </c>
      <c r="M8" s="2"/>
      <c r="N8" s="6">
        <v>8.25</v>
      </c>
      <c r="O8" s="7">
        <v>8.125</v>
      </c>
      <c r="P8" s="2" t="s">
        <v>77</v>
      </c>
      <c r="Q8" s="2"/>
      <c r="R8" s="6">
        <v>12.25</v>
      </c>
      <c r="S8" s="5">
        <v>6.5</v>
      </c>
      <c r="T8" s="7">
        <v>12.353</v>
      </c>
      <c r="U8" s="5">
        <v>5.2</v>
      </c>
      <c r="V8" s="6">
        <v>0.5</v>
      </c>
      <c r="W8" s="7">
        <v>9.125</v>
      </c>
      <c r="X8" s="7">
        <v>9.625</v>
      </c>
      <c r="Y8" s="7">
        <v>10.625</v>
      </c>
      <c r="Z8" s="7">
        <v>11.125</v>
      </c>
      <c r="AA8" s="6">
        <v>7.1</v>
      </c>
      <c r="AB8" s="7">
        <v>9.891</v>
      </c>
      <c r="AC8" s="6">
        <v>8.19</v>
      </c>
    </row>
    <row r="9" spans="1:29" ht="156" x14ac:dyDescent="0.15">
      <c r="A9" s="3">
        <f>DATE(1990,1,12)</f>
        <v>32885</v>
      </c>
      <c r="B9" s="2"/>
      <c r="C9" s="2" t="s">
        <v>30</v>
      </c>
      <c r="D9" s="2" t="s">
        <v>78</v>
      </c>
      <c r="E9" s="2" t="s">
        <v>36</v>
      </c>
      <c r="F9" s="4">
        <v>6036</v>
      </c>
      <c r="G9" s="2" t="s">
        <v>33</v>
      </c>
      <c r="H9" s="2" t="s">
        <v>34</v>
      </c>
      <c r="I9" s="2" t="s">
        <v>79</v>
      </c>
      <c r="J9" s="2" t="s">
        <v>80</v>
      </c>
      <c r="K9" s="2" t="s">
        <v>53</v>
      </c>
      <c r="L9" s="2" t="s">
        <v>34</v>
      </c>
      <c r="M9" s="2"/>
      <c r="N9" s="2"/>
      <c r="O9" s="2"/>
      <c r="P9" s="2" t="s">
        <v>81</v>
      </c>
      <c r="Q9" s="2"/>
      <c r="R9" s="6">
        <v>16</v>
      </c>
      <c r="S9" s="5">
        <v>4</v>
      </c>
      <c r="T9" s="6">
        <v>7.22</v>
      </c>
      <c r="U9" s="5">
        <v>16.8</v>
      </c>
      <c r="V9" s="6">
        <v>2.79</v>
      </c>
      <c r="W9" s="6">
        <v>9.75</v>
      </c>
      <c r="X9" s="6">
        <v>9.75</v>
      </c>
      <c r="Y9" s="5">
        <v>9.5</v>
      </c>
      <c r="Z9" s="5">
        <v>9.5</v>
      </c>
      <c r="AA9" s="6">
        <v>1.4</v>
      </c>
      <c r="AB9" s="7">
        <v>53.024999999999999</v>
      </c>
      <c r="AC9" s="2"/>
    </row>
    <row r="10" spans="1:29" ht="143" x14ac:dyDescent="0.15">
      <c r="A10" s="3">
        <f>DATE(1990,1,12)</f>
        <v>32885</v>
      </c>
      <c r="B10" s="2"/>
      <c r="C10" s="2" t="s">
        <v>82</v>
      </c>
      <c r="D10" s="2" t="s">
        <v>83</v>
      </c>
      <c r="E10" s="2" t="s">
        <v>84</v>
      </c>
      <c r="F10" s="4">
        <v>3577</v>
      </c>
      <c r="G10" s="2" t="s">
        <v>50</v>
      </c>
      <c r="H10" s="2" t="s">
        <v>34</v>
      </c>
      <c r="I10" s="2" t="s">
        <v>51</v>
      </c>
      <c r="J10" s="2" t="s">
        <v>52</v>
      </c>
      <c r="K10" s="2" t="s">
        <v>53</v>
      </c>
      <c r="L10" s="2" t="s">
        <v>34</v>
      </c>
      <c r="M10" s="2"/>
      <c r="N10" s="2"/>
      <c r="O10" s="2"/>
      <c r="P10" s="2" t="s">
        <v>85</v>
      </c>
      <c r="Q10" s="2"/>
      <c r="R10" s="2"/>
      <c r="S10" s="5">
        <v>-48.3</v>
      </c>
      <c r="T10" s="2"/>
      <c r="U10" s="5">
        <v>12</v>
      </c>
      <c r="V10" s="2"/>
      <c r="W10" s="6">
        <v>4.75</v>
      </c>
      <c r="X10" s="7">
        <v>4.125</v>
      </c>
      <c r="Y10" s="6">
        <v>4.25</v>
      </c>
      <c r="Z10" s="4">
        <v>4</v>
      </c>
      <c r="AA10" s="2"/>
      <c r="AB10" s="2" t="s">
        <v>86</v>
      </c>
      <c r="AC10" s="2"/>
    </row>
    <row r="11" spans="1:29" ht="91" x14ac:dyDescent="0.15">
      <c r="A11" s="3">
        <f>DATE(1990,1,12)</f>
        <v>32885</v>
      </c>
      <c r="B11" s="2"/>
      <c r="C11" s="2" t="s">
        <v>87</v>
      </c>
      <c r="D11" s="2" t="s">
        <v>88</v>
      </c>
      <c r="E11" s="2" t="s">
        <v>36</v>
      </c>
      <c r="F11" s="4">
        <v>6035</v>
      </c>
      <c r="G11" s="2" t="s">
        <v>33</v>
      </c>
      <c r="H11" s="2" t="s">
        <v>34</v>
      </c>
      <c r="I11" s="2" t="s">
        <v>89</v>
      </c>
      <c r="J11" s="2" t="s">
        <v>36</v>
      </c>
      <c r="K11" s="2" t="s">
        <v>37</v>
      </c>
      <c r="L11" s="2" t="s">
        <v>34</v>
      </c>
      <c r="M11" s="2"/>
      <c r="N11" s="5">
        <v>16.5</v>
      </c>
      <c r="O11" s="5">
        <v>16.5</v>
      </c>
      <c r="P11" s="2" t="s">
        <v>90</v>
      </c>
      <c r="Q11" s="2"/>
      <c r="R11" s="2"/>
      <c r="S11" s="5">
        <v>0.7</v>
      </c>
      <c r="T11" s="7">
        <v>2.7690000000000001</v>
      </c>
      <c r="U11" s="5">
        <v>21.3</v>
      </c>
      <c r="V11" s="6">
        <v>0.27</v>
      </c>
      <c r="W11" s="7">
        <v>8.875</v>
      </c>
      <c r="X11" s="6">
        <v>10.25</v>
      </c>
      <c r="Y11" s="7">
        <v>9.875</v>
      </c>
      <c r="Z11" s="7">
        <v>9.875</v>
      </c>
      <c r="AA11" s="2"/>
      <c r="AB11" s="2" t="s">
        <v>47</v>
      </c>
      <c r="AC11" s="2"/>
    </row>
    <row r="12" spans="1:29" ht="143" x14ac:dyDescent="0.15">
      <c r="A12" s="3">
        <f>DATE(1990,1,15)</f>
        <v>32888</v>
      </c>
      <c r="B12" s="2"/>
      <c r="C12" s="2" t="s">
        <v>30</v>
      </c>
      <c r="D12" s="2" t="s">
        <v>91</v>
      </c>
      <c r="E12" s="2" t="s">
        <v>92</v>
      </c>
      <c r="F12" s="4">
        <v>6798</v>
      </c>
      <c r="G12" s="2" t="s">
        <v>53</v>
      </c>
      <c r="H12" s="2" t="s">
        <v>34</v>
      </c>
      <c r="I12" s="2" t="s">
        <v>93</v>
      </c>
      <c r="J12" s="2" t="s">
        <v>80</v>
      </c>
      <c r="K12" s="2" t="s">
        <v>53</v>
      </c>
      <c r="L12" s="2" t="s">
        <v>34</v>
      </c>
      <c r="M12" s="2"/>
      <c r="N12" s="2"/>
      <c r="O12" s="2"/>
      <c r="P12" s="2" t="s">
        <v>94</v>
      </c>
      <c r="Q12" s="2"/>
      <c r="R12" s="6">
        <v>10.25</v>
      </c>
      <c r="S12" s="5">
        <v>-0.7</v>
      </c>
      <c r="T12" s="7">
        <v>-0.58799999999999997</v>
      </c>
      <c r="U12" s="5">
        <v>11.7</v>
      </c>
      <c r="V12" s="6">
        <v>-0.33</v>
      </c>
      <c r="W12" s="7">
        <v>6.875</v>
      </c>
      <c r="X12" s="7">
        <v>7.0629999999999997</v>
      </c>
      <c r="Y12" s="7">
        <v>7.0629999999999997</v>
      </c>
      <c r="Z12" s="5">
        <v>8.5</v>
      </c>
      <c r="AA12" s="6">
        <v>2</v>
      </c>
      <c r="AB12" s="2" t="s">
        <v>86</v>
      </c>
      <c r="AC12" s="2"/>
    </row>
    <row r="13" spans="1:29" ht="156" x14ac:dyDescent="0.15">
      <c r="A13" s="3">
        <f>DATE(1990,1,16)</f>
        <v>32889</v>
      </c>
      <c r="B13" s="3">
        <f>DATE(1990,3,23)</f>
        <v>32955</v>
      </c>
      <c r="C13" s="2" t="s">
        <v>95</v>
      </c>
      <c r="D13" s="2" t="s">
        <v>96</v>
      </c>
      <c r="E13" s="2" t="s">
        <v>97</v>
      </c>
      <c r="F13" s="4">
        <v>2821</v>
      </c>
      <c r="G13" s="2" t="s">
        <v>98</v>
      </c>
      <c r="H13" s="2" t="s">
        <v>34</v>
      </c>
      <c r="I13" s="2" t="s">
        <v>51</v>
      </c>
      <c r="J13" s="2" t="s">
        <v>52</v>
      </c>
      <c r="K13" s="2" t="s">
        <v>53</v>
      </c>
      <c r="L13" s="2" t="s">
        <v>99</v>
      </c>
      <c r="M13" s="2"/>
      <c r="N13" s="2"/>
      <c r="O13" s="2"/>
      <c r="P13" s="2" t="s">
        <v>100</v>
      </c>
      <c r="Q13" s="6">
        <v>100</v>
      </c>
      <c r="R13" s="6">
        <v>27</v>
      </c>
      <c r="S13" s="5">
        <v>164.5</v>
      </c>
      <c r="T13" s="5">
        <v>237</v>
      </c>
      <c r="U13" s="5">
        <v>11.6</v>
      </c>
      <c r="V13" s="9">
        <v>4.4132999999999996</v>
      </c>
      <c r="W13" s="7">
        <v>21.125</v>
      </c>
      <c r="X13" s="4">
        <v>22</v>
      </c>
      <c r="Y13" s="6">
        <v>23.25</v>
      </c>
      <c r="Z13" s="7">
        <v>22.875</v>
      </c>
      <c r="AA13" s="6">
        <v>32.49</v>
      </c>
      <c r="AB13" s="7">
        <v>5.3010000000000002</v>
      </c>
      <c r="AC13" s="2"/>
    </row>
    <row r="14" spans="1:29" ht="104" x14ac:dyDescent="0.15">
      <c r="A14" s="3">
        <f>DATE(1990,1,16)</f>
        <v>32889</v>
      </c>
      <c r="B14" s="3">
        <f>DATE(1990,8,31)</f>
        <v>33116</v>
      </c>
      <c r="C14" s="2" t="s">
        <v>95</v>
      </c>
      <c r="D14" s="2" t="s">
        <v>101</v>
      </c>
      <c r="E14" s="2" t="s">
        <v>102</v>
      </c>
      <c r="F14" s="4">
        <v>5012</v>
      </c>
      <c r="G14" s="2" t="s">
        <v>76</v>
      </c>
      <c r="H14" s="2" t="s">
        <v>34</v>
      </c>
      <c r="I14" s="2" t="s">
        <v>103</v>
      </c>
      <c r="J14" s="2" t="s">
        <v>104</v>
      </c>
      <c r="K14" s="2" t="s">
        <v>105</v>
      </c>
      <c r="L14" s="2" t="s">
        <v>99</v>
      </c>
      <c r="M14" s="2"/>
      <c r="N14" s="2"/>
      <c r="O14" s="2"/>
      <c r="P14" s="2" t="s">
        <v>106</v>
      </c>
      <c r="Q14" s="6">
        <v>52.14</v>
      </c>
      <c r="R14" s="6">
        <v>8.5</v>
      </c>
      <c r="S14" s="5">
        <v>-42.4</v>
      </c>
      <c r="T14" s="7">
        <v>-62.453000000000003</v>
      </c>
      <c r="U14" s="5">
        <v>3.4</v>
      </c>
      <c r="V14" s="6">
        <v>-0.87</v>
      </c>
      <c r="W14" s="6">
        <v>5.25</v>
      </c>
      <c r="X14" s="7">
        <v>5.125</v>
      </c>
      <c r="Y14" s="7">
        <v>6.125</v>
      </c>
      <c r="Z14" s="7">
        <v>6.125</v>
      </c>
      <c r="AA14" s="6">
        <v>48.58</v>
      </c>
      <c r="AB14" s="2" t="s">
        <v>86</v>
      </c>
      <c r="AC14" s="10">
        <v>1691.39</v>
      </c>
    </row>
    <row r="15" spans="1:29" ht="117" x14ac:dyDescent="0.15">
      <c r="A15" s="3">
        <f>DATE(1990,1,17)</f>
        <v>32890</v>
      </c>
      <c r="B15" s="2"/>
      <c r="C15" s="2" t="s">
        <v>56</v>
      </c>
      <c r="D15" s="2" t="s">
        <v>107</v>
      </c>
      <c r="E15" s="2" t="s">
        <v>108</v>
      </c>
      <c r="F15" s="4">
        <v>6552</v>
      </c>
      <c r="G15" s="2" t="s">
        <v>109</v>
      </c>
      <c r="H15" s="2" t="s">
        <v>34</v>
      </c>
      <c r="I15" s="2" t="s">
        <v>110</v>
      </c>
      <c r="J15" s="2" t="s">
        <v>111</v>
      </c>
      <c r="K15" s="2" t="s">
        <v>112</v>
      </c>
      <c r="L15" s="2" t="s">
        <v>34</v>
      </c>
      <c r="M15" s="2"/>
      <c r="N15" s="7">
        <v>5.625</v>
      </c>
      <c r="O15" s="7">
        <v>5.625</v>
      </c>
      <c r="P15" s="2" t="s">
        <v>113</v>
      </c>
      <c r="Q15" s="2"/>
      <c r="R15" s="2"/>
      <c r="S15" s="5">
        <v>0.5</v>
      </c>
      <c r="T15" s="7">
        <v>1.1890000000000001</v>
      </c>
      <c r="U15" s="5">
        <v>5.4</v>
      </c>
      <c r="V15" s="6">
        <v>-0.14000000000000001</v>
      </c>
      <c r="W15" s="7">
        <v>4.875</v>
      </c>
      <c r="X15" s="6">
        <v>4.75</v>
      </c>
      <c r="Y15" s="7">
        <v>4.875</v>
      </c>
      <c r="Z15" s="7">
        <v>4.875</v>
      </c>
      <c r="AA15" s="2"/>
      <c r="AB15" s="2" t="s">
        <v>47</v>
      </c>
      <c r="AC15" s="6">
        <v>6.92</v>
      </c>
    </row>
    <row r="16" spans="1:29" ht="65" x14ac:dyDescent="0.15">
      <c r="A16" s="3">
        <f>DATE(1990,1,17)</f>
        <v>32890</v>
      </c>
      <c r="B16" s="2"/>
      <c r="C16" s="2" t="s">
        <v>30</v>
      </c>
      <c r="D16" s="2" t="s">
        <v>114</v>
      </c>
      <c r="E16" s="2" t="s">
        <v>115</v>
      </c>
      <c r="F16" s="4">
        <v>4953</v>
      </c>
      <c r="G16" s="2" t="s">
        <v>116</v>
      </c>
      <c r="H16" s="2" t="s">
        <v>34</v>
      </c>
      <c r="I16" s="2" t="s">
        <v>117</v>
      </c>
      <c r="J16" s="2" t="s">
        <v>118</v>
      </c>
      <c r="K16" s="2" t="s">
        <v>105</v>
      </c>
      <c r="L16" s="2" t="s">
        <v>34</v>
      </c>
      <c r="M16" s="2"/>
      <c r="N16" s="7">
        <v>8.125</v>
      </c>
      <c r="O16" s="4">
        <v>8</v>
      </c>
      <c r="P16" s="2" t="s">
        <v>119</v>
      </c>
      <c r="Q16" s="2"/>
      <c r="R16" s="2"/>
      <c r="S16" s="5">
        <v>2.6</v>
      </c>
      <c r="T16" s="2"/>
      <c r="U16" s="5">
        <v>11.5</v>
      </c>
      <c r="V16" s="2"/>
      <c r="W16" s="7">
        <v>14.375</v>
      </c>
      <c r="X16" s="4">
        <v>14</v>
      </c>
      <c r="Y16" s="6">
        <v>15.75</v>
      </c>
      <c r="Z16" s="6">
        <v>15.75</v>
      </c>
      <c r="AA16" s="2"/>
      <c r="AB16" s="2" t="s">
        <v>47</v>
      </c>
      <c r="AC16" s="2"/>
    </row>
    <row r="17" spans="1:29" ht="143" x14ac:dyDescent="0.15">
      <c r="A17" s="3">
        <f>DATE(1990,1,17)</f>
        <v>32890</v>
      </c>
      <c r="B17" s="3">
        <f>DATE(1990,11,5)</f>
        <v>33182</v>
      </c>
      <c r="C17" s="2" t="s">
        <v>95</v>
      </c>
      <c r="D17" s="2" t="s">
        <v>120</v>
      </c>
      <c r="E17" s="2" t="s">
        <v>36</v>
      </c>
      <c r="F17" s="4">
        <v>6022</v>
      </c>
      <c r="G17" s="2" t="s">
        <v>37</v>
      </c>
      <c r="H17" s="2" t="s">
        <v>34</v>
      </c>
      <c r="I17" s="2" t="s">
        <v>121</v>
      </c>
      <c r="J17" s="2" t="s">
        <v>36</v>
      </c>
      <c r="K17" s="2" t="s">
        <v>37</v>
      </c>
      <c r="L17" s="2" t="s">
        <v>34</v>
      </c>
      <c r="M17" s="2"/>
      <c r="N17" s="2"/>
      <c r="O17" s="2"/>
      <c r="P17" s="2" t="s">
        <v>122</v>
      </c>
      <c r="Q17" s="6">
        <v>100</v>
      </c>
      <c r="R17" s="6">
        <v>16.5</v>
      </c>
      <c r="S17" s="5">
        <v>12.4</v>
      </c>
      <c r="T17" s="7">
        <v>22.135000000000002</v>
      </c>
      <c r="U17" s="5">
        <v>12.1</v>
      </c>
      <c r="V17" s="6">
        <v>1.7</v>
      </c>
      <c r="W17" s="7">
        <v>14.875</v>
      </c>
      <c r="X17" s="4">
        <v>15</v>
      </c>
      <c r="Y17" s="7">
        <v>15.375</v>
      </c>
      <c r="Z17" s="5">
        <v>15.5</v>
      </c>
      <c r="AA17" s="6">
        <v>6.93</v>
      </c>
      <c r="AB17" s="7">
        <v>68.221999999999994</v>
      </c>
      <c r="AC17" s="2"/>
    </row>
    <row r="18" spans="1:29" ht="65" x14ac:dyDescent="0.15">
      <c r="A18" s="3">
        <f>DATE(1990,1,18)</f>
        <v>32891</v>
      </c>
      <c r="B18" s="3">
        <f>DATE(1990,4,11)</f>
        <v>32974</v>
      </c>
      <c r="C18" s="2" t="s">
        <v>95</v>
      </c>
      <c r="D18" s="2" t="s">
        <v>123</v>
      </c>
      <c r="E18" s="2" t="s">
        <v>124</v>
      </c>
      <c r="F18" s="4">
        <v>6311</v>
      </c>
      <c r="G18" s="2" t="s">
        <v>125</v>
      </c>
      <c r="H18" s="2" t="s">
        <v>34</v>
      </c>
      <c r="I18" s="2" t="s">
        <v>126</v>
      </c>
      <c r="J18" s="2" t="s">
        <v>124</v>
      </c>
      <c r="K18" s="2" t="s">
        <v>125</v>
      </c>
      <c r="L18" s="2" t="s">
        <v>34</v>
      </c>
      <c r="M18" s="2"/>
      <c r="N18" s="2"/>
      <c r="O18" s="2"/>
      <c r="P18" s="2" t="s">
        <v>127</v>
      </c>
      <c r="Q18" s="6">
        <v>100</v>
      </c>
      <c r="R18" s="6">
        <v>10</v>
      </c>
      <c r="S18" s="5">
        <v>4</v>
      </c>
      <c r="T18" s="5">
        <v>5.9</v>
      </c>
      <c r="U18" s="5">
        <v>7.1</v>
      </c>
      <c r="V18" s="6">
        <v>0.95</v>
      </c>
      <c r="W18" s="4">
        <v>8</v>
      </c>
      <c r="X18" s="6">
        <v>7.75</v>
      </c>
      <c r="Y18" s="4">
        <v>8</v>
      </c>
      <c r="Z18" s="5">
        <v>9.5</v>
      </c>
      <c r="AA18" s="6">
        <v>4.3</v>
      </c>
      <c r="AB18" s="7">
        <v>6.8390000000000004</v>
      </c>
      <c r="AC18" s="2"/>
    </row>
    <row r="19" spans="1:29" ht="169" x14ac:dyDescent="0.15">
      <c r="A19" s="3">
        <f>DATE(1990,1,18)</f>
        <v>32891</v>
      </c>
      <c r="B19" s="3">
        <f>DATE(1990,7,31)</f>
        <v>33085</v>
      </c>
      <c r="C19" s="2" t="s">
        <v>95</v>
      </c>
      <c r="D19" s="2" t="s">
        <v>128</v>
      </c>
      <c r="E19" s="2" t="s">
        <v>129</v>
      </c>
      <c r="F19" s="4">
        <v>2834</v>
      </c>
      <c r="G19" s="2" t="s">
        <v>130</v>
      </c>
      <c r="H19" s="2" t="s">
        <v>34</v>
      </c>
      <c r="I19" s="2" t="s">
        <v>131</v>
      </c>
      <c r="J19" s="2" t="s">
        <v>132</v>
      </c>
      <c r="K19" s="2" t="s">
        <v>98</v>
      </c>
      <c r="L19" s="2" t="s">
        <v>133</v>
      </c>
      <c r="M19" s="2"/>
      <c r="N19" s="2"/>
      <c r="O19" s="2"/>
      <c r="P19" s="2" t="s">
        <v>134</v>
      </c>
      <c r="Q19" s="6">
        <v>67.989999999999995</v>
      </c>
      <c r="R19" s="6">
        <v>78</v>
      </c>
      <c r="S19" s="5">
        <v>86.5</v>
      </c>
      <c r="T19" s="7">
        <v>218.727</v>
      </c>
      <c r="U19" s="5">
        <v>6.4</v>
      </c>
      <c r="V19" s="7">
        <v>1.335</v>
      </c>
      <c r="W19" s="7">
        <v>47.625</v>
      </c>
      <c r="X19" s="6">
        <v>49.25</v>
      </c>
      <c r="Y19" s="6">
        <v>49.25</v>
      </c>
      <c r="Z19" s="6">
        <v>62.75</v>
      </c>
      <c r="AA19" s="6">
        <v>67.11</v>
      </c>
      <c r="AB19" s="7">
        <v>37.24</v>
      </c>
      <c r="AC19" s="8">
        <v>4650</v>
      </c>
    </row>
    <row r="20" spans="1:29" ht="91" x14ac:dyDescent="0.15">
      <c r="A20" s="3">
        <f>DATE(1990,1,18)</f>
        <v>32891</v>
      </c>
      <c r="B20" s="2"/>
      <c r="C20" s="2" t="s">
        <v>30</v>
      </c>
      <c r="D20" s="2" t="s">
        <v>135</v>
      </c>
      <c r="E20" s="2" t="s">
        <v>136</v>
      </c>
      <c r="F20" s="4">
        <v>3699</v>
      </c>
      <c r="G20" s="2" t="s">
        <v>137</v>
      </c>
      <c r="H20" s="2" t="s">
        <v>34</v>
      </c>
      <c r="I20" s="2" t="s">
        <v>138</v>
      </c>
      <c r="J20" s="2" t="s">
        <v>139</v>
      </c>
      <c r="K20" s="2" t="s">
        <v>53</v>
      </c>
      <c r="L20" s="2" t="s">
        <v>139</v>
      </c>
      <c r="M20" s="2"/>
      <c r="N20" s="2"/>
      <c r="O20" s="2"/>
      <c r="P20" s="2" t="s">
        <v>140</v>
      </c>
      <c r="Q20" s="2"/>
      <c r="R20" s="2"/>
      <c r="S20" s="2"/>
      <c r="T20" s="2"/>
      <c r="U20" s="2"/>
      <c r="V20" s="2"/>
      <c r="W20" s="6">
        <v>3.75</v>
      </c>
      <c r="X20" s="7">
        <v>3.875</v>
      </c>
      <c r="Y20" s="6">
        <v>4.25</v>
      </c>
      <c r="Z20" s="6">
        <v>5.75</v>
      </c>
      <c r="AA20" s="2"/>
      <c r="AB20" s="2" t="s">
        <v>47</v>
      </c>
      <c r="AC20" s="2"/>
    </row>
    <row r="21" spans="1:29" ht="143" x14ac:dyDescent="0.15">
      <c r="A21" s="3">
        <f>DATE(1990,1,19)</f>
        <v>32892</v>
      </c>
      <c r="B21" s="2"/>
      <c r="C21" s="2" t="s">
        <v>141</v>
      </c>
      <c r="D21" s="2" t="s">
        <v>142</v>
      </c>
      <c r="E21" s="2" t="s">
        <v>36</v>
      </c>
      <c r="F21" s="4">
        <v>6036</v>
      </c>
      <c r="G21" s="2" t="s">
        <v>33</v>
      </c>
      <c r="H21" s="2" t="s">
        <v>34</v>
      </c>
      <c r="I21" s="2" t="s">
        <v>143</v>
      </c>
      <c r="J21" s="2" t="s">
        <v>144</v>
      </c>
      <c r="K21" s="2" t="s">
        <v>53</v>
      </c>
      <c r="L21" s="2" t="s">
        <v>139</v>
      </c>
      <c r="M21" s="2"/>
      <c r="N21" s="2"/>
      <c r="O21" s="2"/>
      <c r="P21" s="2" t="s">
        <v>145</v>
      </c>
      <c r="Q21" s="2"/>
      <c r="R21" s="2"/>
      <c r="S21" s="5">
        <v>0.9</v>
      </c>
      <c r="T21" s="2"/>
      <c r="U21" s="5">
        <v>14.7</v>
      </c>
      <c r="V21" s="2"/>
      <c r="W21" s="4">
        <v>14</v>
      </c>
      <c r="X21" s="6">
        <v>13.75</v>
      </c>
      <c r="Y21" s="5">
        <v>13.5</v>
      </c>
      <c r="Z21" s="5">
        <v>13.5</v>
      </c>
      <c r="AA21" s="2"/>
      <c r="AB21" s="2" t="s">
        <v>47</v>
      </c>
      <c r="AC21" s="2"/>
    </row>
    <row r="22" spans="1:29" ht="156" x14ac:dyDescent="0.15">
      <c r="A22" s="3">
        <f>DATE(1990,1,19)</f>
        <v>32892</v>
      </c>
      <c r="B22" s="2"/>
      <c r="C22" s="2" t="s">
        <v>82</v>
      </c>
      <c r="D22" s="2" t="s">
        <v>146</v>
      </c>
      <c r="E22" s="2" t="s">
        <v>147</v>
      </c>
      <c r="F22" s="4">
        <v>2911</v>
      </c>
      <c r="G22" s="2" t="s">
        <v>148</v>
      </c>
      <c r="H22" s="2" t="s">
        <v>34</v>
      </c>
      <c r="I22" s="2" t="s">
        <v>149</v>
      </c>
      <c r="J22" s="2" t="s">
        <v>150</v>
      </c>
      <c r="K22" s="2" t="s">
        <v>53</v>
      </c>
      <c r="L22" s="2" t="s">
        <v>151</v>
      </c>
      <c r="M22" s="2"/>
      <c r="N22" s="2"/>
      <c r="O22" s="2"/>
      <c r="P22" s="2" t="s">
        <v>152</v>
      </c>
      <c r="Q22" s="2"/>
      <c r="R22" s="2"/>
      <c r="S22" s="5">
        <v>-30.5</v>
      </c>
      <c r="T22" s="7">
        <v>10.127000000000001</v>
      </c>
      <c r="U22" s="5">
        <v>3.1</v>
      </c>
      <c r="V22" s="7">
        <v>-1.415</v>
      </c>
      <c r="W22" s="7">
        <v>14.125</v>
      </c>
      <c r="X22" s="7">
        <v>14.625</v>
      </c>
      <c r="Y22" s="5">
        <v>14.5</v>
      </c>
      <c r="Z22" s="7">
        <v>15.375</v>
      </c>
      <c r="AA22" s="6">
        <v>14</v>
      </c>
      <c r="AB22" s="2" t="s">
        <v>86</v>
      </c>
      <c r="AC22" s="2"/>
    </row>
    <row r="23" spans="1:29" ht="39" x14ac:dyDescent="0.15">
      <c r="A23" s="3">
        <f>DATE(1990,1,22)</f>
        <v>32895</v>
      </c>
      <c r="B23" s="2"/>
      <c r="C23" s="2" t="s">
        <v>39</v>
      </c>
      <c r="D23" s="2" t="s">
        <v>153</v>
      </c>
      <c r="E23" s="2" t="s">
        <v>36</v>
      </c>
      <c r="F23" s="4">
        <v>6021</v>
      </c>
      <c r="G23" s="2" t="s">
        <v>37</v>
      </c>
      <c r="H23" s="2" t="s">
        <v>34</v>
      </c>
      <c r="I23" s="2" t="s">
        <v>154</v>
      </c>
      <c r="J23" s="2" t="s">
        <v>36</v>
      </c>
      <c r="K23" s="2" t="s">
        <v>37</v>
      </c>
      <c r="L23" s="2" t="s">
        <v>34</v>
      </c>
      <c r="M23" s="2"/>
      <c r="N23" s="2"/>
      <c r="O23" s="2"/>
      <c r="P23" s="2" t="s">
        <v>155</v>
      </c>
      <c r="Q23" s="2"/>
      <c r="R23" s="2"/>
      <c r="S23" s="5">
        <v>-151.9</v>
      </c>
      <c r="T23" s="7">
        <v>-0.497</v>
      </c>
      <c r="U23" s="5">
        <v>36.6</v>
      </c>
      <c r="V23" s="6">
        <v>-3.89</v>
      </c>
      <c r="W23" s="6">
        <v>41.75</v>
      </c>
      <c r="X23" s="4">
        <v>44</v>
      </c>
      <c r="Y23" s="7">
        <v>44.625</v>
      </c>
      <c r="Z23" s="7">
        <v>44.875</v>
      </c>
      <c r="AA23" s="6">
        <v>62.41</v>
      </c>
      <c r="AB23" s="2" t="s">
        <v>86</v>
      </c>
      <c r="AC23" s="2"/>
    </row>
    <row r="24" spans="1:29" ht="143" x14ac:dyDescent="0.15">
      <c r="A24" s="3">
        <f>DATE(1990,1,24)</f>
        <v>32897</v>
      </c>
      <c r="B24" s="2"/>
      <c r="C24" s="2" t="s">
        <v>30</v>
      </c>
      <c r="D24" s="2" t="s">
        <v>96</v>
      </c>
      <c r="E24" s="2" t="s">
        <v>97</v>
      </c>
      <c r="F24" s="4">
        <v>2821</v>
      </c>
      <c r="G24" s="2" t="s">
        <v>98</v>
      </c>
      <c r="H24" s="2" t="s">
        <v>34</v>
      </c>
      <c r="I24" s="2" t="s">
        <v>138</v>
      </c>
      <c r="J24" s="2" t="s">
        <v>139</v>
      </c>
      <c r="K24" s="2" t="s">
        <v>53</v>
      </c>
      <c r="L24" s="2" t="s">
        <v>139</v>
      </c>
      <c r="M24" s="2"/>
      <c r="N24" s="2"/>
      <c r="O24" s="2"/>
      <c r="P24" s="2" t="s">
        <v>156</v>
      </c>
      <c r="Q24" s="2"/>
      <c r="R24" s="2"/>
      <c r="S24" s="5">
        <v>164.5</v>
      </c>
      <c r="T24" s="5">
        <v>237</v>
      </c>
      <c r="U24" s="5">
        <v>11.6</v>
      </c>
      <c r="V24" s="9">
        <v>4.4132999999999996</v>
      </c>
      <c r="W24" s="7">
        <v>25.125</v>
      </c>
      <c r="X24" s="7">
        <v>25.375</v>
      </c>
      <c r="Y24" s="4">
        <v>25</v>
      </c>
      <c r="Z24" s="6">
        <v>25.25</v>
      </c>
      <c r="AA24" s="2"/>
      <c r="AB24" s="2" t="s">
        <v>47</v>
      </c>
      <c r="AC24" s="2"/>
    </row>
    <row r="25" spans="1:29" ht="117" x14ac:dyDescent="0.15">
      <c r="A25" s="3">
        <f>DATE(1990,1,24)</f>
        <v>32897</v>
      </c>
      <c r="B25" s="3">
        <f>DATE(1991,1,24)</f>
        <v>33262</v>
      </c>
      <c r="C25" s="2" t="s">
        <v>95</v>
      </c>
      <c r="D25" s="2" t="s">
        <v>157</v>
      </c>
      <c r="E25" s="2" t="s">
        <v>36</v>
      </c>
      <c r="F25" s="4">
        <v>6035</v>
      </c>
      <c r="G25" s="2" t="s">
        <v>33</v>
      </c>
      <c r="H25" s="2" t="s">
        <v>34</v>
      </c>
      <c r="I25" s="2" t="s">
        <v>158</v>
      </c>
      <c r="J25" s="2" t="s">
        <v>159</v>
      </c>
      <c r="K25" s="2" t="s">
        <v>37</v>
      </c>
      <c r="L25" s="2" t="s">
        <v>34</v>
      </c>
      <c r="M25" s="2"/>
      <c r="N25" s="6">
        <v>37.75</v>
      </c>
      <c r="O25" s="4">
        <v>38</v>
      </c>
      <c r="P25" s="2" t="s">
        <v>160</v>
      </c>
      <c r="Q25" s="6">
        <v>100</v>
      </c>
      <c r="R25" s="6">
        <v>10.63</v>
      </c>
      <c r="S25" s="5">
        <v>1.1000000000000001</v>
      </c>
      <c r="T25" s="7">
        <v>6.077</v>
      </c>
      <c r="U25" s="5">
        <v>8.9</v>
      </c>
      <c r="V25" s="6">
        <v>0.83</v>
      </c>
      <c r="W25" s="7">
        <v>7.1879999999999997</v>
      </c>
      <c r="X25" s="7">
        <v>7.875</v>
      </c>
      <c r="Y25" s="4">
        <v>9</v>
      </c>
      <c r="Z25" s="6">
        <v>9.25</v>
      </c>
      <c r="AA25" s="6">
        <v>2.67</v>
      </c>
      <c r="AB25" s="7">
        <v>388.29500000000002</v>
      </c>
      <c r="AC25" s="2"/>
    </row>
    <row r="26" spans="1:29" ht="130" x14ac:dyDescent="0.15">
      <c r="A26" s="3">
        <f>DATE(1990,1,24)</f>
        <v>32897</v>
      </c>
      <c r="B26" s="3">
        <f>DATE(1990,7,31)</f>
        <v>33085</v>
      </c>
      <c r="C26" s="2" t="s">
        <v>95</v>
      </c>
      <c r="D26" s="2" t="s">
        <v>161</v>
      </c>
      <c r="E26" s="2" t="s">
        <v>162</v>
      </c>
      <c r="F26" s="4">
        <v>3312</v>
      </c>
      <c r="G26" s="2" t="s">
        <v>163</v>
      </c>
      <c r="H26" s="2" t="s">
        <v>34</v>
      </c>
      <c r="I26" s="2" t="s">
        <v>164</v>
      </c>
      <c r="J26" s="2" t="s">
        <v>165</v>
      </c>
      <c r="K26" s="2" t="s">
        <v>166</v>
      </c>
      <c r="L26" s="2" t="s">
        <v>133</v>
      </c>
      <c r="M26" s="2"/>
      <c r="N26" s="2"/>
      <c r="O26" s="2"/>
      <c r="P26" s="2" t="s">
        <v>167</v>
      </c>
      <c r="Q26" s="6">
        <v>44.36</v>
      </c>
      <c r="R26" s="6">
        <v>17</v>
      </c>
      <c r="S26" s="5">
        <v>17.600000000000001</v>
      </c>
      <c r="T26" s="7">
        <v>42.359000000000002</v>
      </c>
      <c r="U26" s="5">
        <v>11.4</v>
      </c>
      <c r="V26" s="6">
        <v>1.85</v>
      </c>
      <c r="W26" s="4">
        <v>12</v>
      </c>
      <c r="X26" s="5">
        <v>11.5</v>
      </c>
      <c r="Y26" s="5">
        <v>11.5</v>
      </c>
      <c r="Z26" s="6">
        <v>15.75</v>
      </c>
      <c r="AA26" s="6">
        <v>10.35</v>
      </c>
      <c r="AB26" s="7">
        <v>5.1639999999999997</v>
      </c>
      <c r="AC26" s="10">
        <v>1926.99</v>
      </c>
    </row>
    <row r="27" spans="1:29" ht="104" x14ac:dyDescent="0.15">
      <c r="A27" s="3">
        <f>DATE(1990,1,25)</f>
        <v>32898</v>
      </c>
      <c r="B27" s="2"/>
      <c r="C27" s="2" t="s">
        <v>56</v>
      </c>
      <c r="D27" s="2" t="s">
        <v>168</v>
      </c>
      <c r="E27" s="2" t="s">
        <v>169</v>
      </c>
      <c r="F27" s="4">
        <v>6311</v>
      </c>
      <c r="G27" s="2" t="s">
        <v>125</v>
      </c>
      <c r="H27" s="2" t="s">
        <v>34</v>
      </c>
      <c r="I27" s="2" t="s">
        <v>51</v>
      </c>
      <c r="J27" s="2" t="s">
        <v>52</v>
      </c>
      <c r="K27" s="2" t="s">
        <v>53</v>
      </c>
      <c r="L27" s="2" t="s">
        <v>34</v>
      </c>
      <c r="M27" s="2"/>
      <c r="N27" s="2"/>
      <c r="O27" s="2"/>
      <c r="P27" s="2" t="s">
        <v>170</v>
      </c>
      <c r="Q27" s="2"/>
      <c r="R27" s="2"/>
      <c r="S27" s="5">
        <v>-831.4</v>
      </c>
      <c r="T27" s="2"/>
      <c r="U27" s="5">
        <v>1.7</v>
      </c>
      <c r="V27" s="6">
        <v>-10.33</v>
      </c>
      <c r="W27" s="6">
        <v>6.75</v>
      </c>
      <c r="X27" s="5">
        <v>3.5</v>
      </c>
      <c r="Y27" s="7">
        <v>3.625</v>
      </c>
      <c r="Z27" s="7">
        <v>3.625</v>
      </c>
      <c r="AA27" s="2"/>
      <c r="AB27" s="2" t="s">
        <v>47</v>
      </c>
      <c r="AC27" s="2"/>
    </row>
    <row r="28" spans="1:29" ht="26" x14ac:dyDescent="0.15">
      <c r="A28" s="3">
        <f>DATE(1990,1,25)</f>
        <v>32898</v>
      </c>
      <c r="B28" s="3">
        <f>DATE(1990,1,31)</f>
        <v>32904</v>
      </c>
      <c r="C28" s="2" t="s">
        <v>95</v>
      </c>
      <c r="D28" s="2" t="s">
        <v>171</v>
      </c>
      <c r="E28" s="2" t="s">
        <v>172</v>
      </c>
      <c r="F28" s="4">
        <v>4213</v>
      </c>
      <c r="G28" s="2" t="s">
        <v>173</v>
      </c>
      <c r="H28" s="2" t="s">
        <v>34</v>
      </c>
      <c r="I28" s="2" t="s">
        <v>174</v>
      </c>
      <c r="J28" s="2" t="s">
        <v>52</v>
      </c>
      <c r="K28" s="2" t="s">
        <v>53</v>
      </c>
      <c r="L28" s="2" t="s">
        <v>34</v>
      </c>
      <c r="M28" s="2"/>
      <c r="N28" s="2"/>
      <c r="O28" s="2"/>
      <c r="P28" s="2" t="s">
        <v>175</v>
      </c>
      <c r="Q28" s="6">
        <v>100</v>
      </c>
      <c r="R28" s="2"/>
      <c r="S28" s="2"/>
      <c r="T28" s="2"/>
      <c r="U28" s="2"/>
      <c r="V28" s="2"/>
      <c r="W28" s="7">
        <v>19.125</v>
      </c>
      <c r="X28" s="7">
        <v>19.125</v>
      </c>
      <c r="Y28" s="7">
        <v>19.125</v>
      </c>
      <c r="Z28" s="7">
        <v>19.125</v>
      </c>
      <c r="AA28" s="2"/>
      <c r="AB28" s="2" t="s">
        <v>47</v>
      </c>
      <c r="AC28" s="2"/>
    </row>
    <row r="29" spans="1:29" ht="65" x14ac:dyDescent="0.15">
      <c r="A29" s="3">
        <f>DATE(1990,1,26)</f>
        <v>32899</v>
      </c>
      <c r="B29" s="2"/>
      <c r="C29" s="2" t="s">
        <v>141</v>
      </c>
      <c r="D29" s="2" t="s">
        <v>176</v>
      </c>
      <c r="E29" s="2" t="s">
        <v>177</v>
      </c>
      <c r="F29" s="4">
        <v>1381</v>
      </c>
      <c r="G29" s="2" t="s">
        <v>148</v>
      </c>
      <c r="H29" s="2" t="s">
        <v>34</v>
      </c>
      <c r="I29" s="2" t="s">
        <v>143</v>
      </c>
      <c r="J29" s="2" t="s">
        <v>144</v>
      </c>
      <c r="K29" s="2" t="s">
        <v>53</v>
      </c>
      <c r="L29" s="2" t="s">
        <v>139</v>
      </c>
      <c r="M29" s="2"/>
      <c r="N29" s="2"/>
      <c r="O29" s="2"/>
      <c r="P29" s="2" t="s">
        <v>178</v>
      </c>
      <c r="Q29" s="2"/>
      <c r="R29" s="2"/>
      <c r="S29" s="5">
        <v>-0.6</v>
      </c>
      <c r="T29" s="7">
        <v>25.675000000000001</v>
      </c>
      <c r="U29" s="5">
        <v>1.1000000000000001</v>
      </c>
      <c r="V29" s="6">
        <v>-0.06</v>
      </c>
      <c r="W29" s="7">
        <v>2.125</v>
      </c>
      <c r="X29" s="7">
        <v>1.875</v>
      </c>
      <c r="Y29" s="4">
        <v>2</v>
      </c>
      <c r="Z29" s="6">
        <v>2.25</v>
      </c>
      <c r="AA29" s="2"/>
      <c r="AB29" s="2" t="s">
        <v>47</v>
      </c>
      <c r="AC29" s="2"/>
    </row>
    <row r="30" spans="1:29" ht="143" x14ac:dyDescent="0.15">
      <c r="A30" s="3">
        <f>DATE(1990,1,26)</f>
        <v>32899</v>
      </c>
      <c r="B30" s="2"/>
      <c r="C30" s="2" t="s">
        <v>30</v>
      </c>
      <c r="D30" s="2" t="s">
        <v>179</v>
      </c>
      <c r="E30" s="2" t="s">
        <v>32</v>
      </c>
      <c r="F30" s="4">
        <v>6035</v>
      </c>
      <c r="G30" s="2" t="s">
        <v>33</v>
      </c>
      <c r="H30" s="2" t="s">
        <v>34</v>
      </c>
      <c r="I30" s="2" t="s">
        <v>180</v>
      </c>
      <c r="J30" s="2" t="s">
        <v>36</v>
      </c>
      <c r="K30" s="2" t="s">
        <v>33</v>
      </c>
      <c r="L30" s="2" t="s">
        <v>34</v>
      </c>
      <c r="M30" s="2"/>
      <c r="N30" s="2"/>
      <c r="O30" s="2"/>
      <c r="P30" s="2" t="s">
        <v>181</v>
      </c>
      <c r="Q30" s="2"/>
      <c r="R30" s="2"/>
      <c r="S30" s="5">
        <v>-191.7</v>
      </c>
      <c r="T30" s="6">
        <v>-152.25</v>
      </c>
      <c r="U30" s="5">
        <v>43.2</v>
      </c>
      <c r="V30" s="6">
        <v>-16.850000000000001</v>
      </c>
      <c r="W30" s="7">
        <v>2.875</v>
      </c>
      <c r="X30" s="4">
        <v>3</v>
      </c>
      <c r="Y30" s="6">
        <v>3.25</v>
      </c>
      <c r="Z30" s="6">
        <v>3.25</v>
      </c>
      <c r="AA30" s="2"/>
      <c r="AB30" s="2" t="s">
        <v>86</v>
      </c>
      <c r="AC30" s="2"/>
    </row>
    <row r="31" spans="1:29" ht="130" x14ac:dyDescent="0.15">
      <c r="A31" s="3">
        <f>DATE(1990,1,26)</f>
        <v>32899</v>
      </c>
      <c r="B31" s="2"/>
      <c r="C31" s="2" t="s">
        <v>30</v>
      </c>
      <c r="D31" s="2" t="s">
        <v>168</v>
      </c>
      <c r="E31" s="2" t="s">
        <v>169</v>
      </c>
      <c r="F31" s="4">
        <v>6311</v>
      </c>
      <c r="G31" s="2" t="s">
        <v>125</v>
      </c>
      <c r="H31" s="2" t="s">
        <v>34</v>
      </c>
      <c r="I31" s="2" t="s">
        <v>182</v>
      </c>
      <c r="J31" s="2" t="s">
        <v>80</v>
      </c>
      <c r="K31" s="2" t="s">
        <v>137</v>
      </c>
      <c r="L31" s="2" t="s">
        <v>34</v>
      </c>
      <c r="M31" s="2"/>
      <c r="N31" s="2"/>
      <c r="O31" s="2"/>
      <c r="P31" s="2" t="s">
        <v>183</v>
      </c>
      <c r="Q31" s="2"/>
      <c r="R31" s="6">
        <v>6</v>
      </c>
      <c r="S31" s="5">
        <v>-831.4</v>
      </c>
      <c r="T31" s="2"/>
      <c r="U31" s="5">
        <v>1.7</v>
      </c>
      <c r="V31" s="6">
        <v>-10.33</v>
      </c>
      <c r="W31" s="6">
        <v>9.75</v>
      </c>
      <c r="X31" s="7">
        <v>9.375</v>
      </c>
      <c r="Y31" s="7">
        <v>8.875</v>
      </c>
      <c r="Z31" s="5">
        <v>8.5</v>
      </c>
      <c r="AA31" s="6">
        <v>84.93</v>
      </c>
      <c r="AB31" s="7">
        <v>6.8940000000000001</v>
      </c>
      <c r="AC31" s="2"/>
    </row>
    <row r="32" spans="1:29" ht="78" x14ac:dyDescent="0.15">
      <c r="A32" s="3">
        <f>DATE(1990,1,26)</f>
        <v>32899</v>
      </c>
      <c r="B32" s="2"/>
      <c r="C32" s="2" t="s">
        <v>30</v>
      </c>
      <c r="D32" s="2" t="s">
        <v>184</v>
      </c>
      <c r="E32" s="2" t="s">
        <v>185</v>
      </c>
      <c r="F32" s="4">
        <v>2752</v>
      </c>
      <c r="G32" s="2" t="s">
        <v>186</v>
      </c>
      <c r="H32" s="2" t="s">
        <v>34</v>
      </c>
      <c r="I32" s="2" t="s">
        <v>187</v>
      </c>
      <c r="J32" s="2" t="s">
        <v>52</v>
      </c>
      <c r="K32" s="2" t="s">
        <v>53</v>
      </c>
      <c r="L32" s="2" t="s">
        <v>34</v>
      </c>
      <c r="M32" s="2"/>
      <c r="N32" s="2"/>
      <c r="O32" s="2"/>
      <c r="P32" s="2" t="s">
        <v>188</v>
      </c>
      <c r="Q32" s="2"/>
      <c r="R32" s="2"/>
      <c r="S32" s="5">
        <v>-20</v>
      </c>
      <c r="T32" s="2"/>
      <c r="U32" s="2"/>
      <c r="V32" s="2"/>
      <c r="W32" s="6">
        <v>1.75</v>
      </c>
      <c r="X32" s="6">
        <v>1.75</v>
      </c>
      <c r="Y32" s="6">
        <v>1.75</v>
      </c>
      <c r="Z32" s="6">
        <v>1.75</v>
      </c>
      <c r="AA32" s="2"/>
      <c r="AB32" s="2" t="s">
        <v>86</v>
      </c>
      <c r="AC32" s="2"/>
    </row>
    <row r="33" spans="1:29" ht="104" x14ac:dyDescent="0.15">
      <c r="A33" s="3">
        <f>DATE(1990,1,29)</f>
        <v>32902</v>
      </c>
      <c r="B33" s="2"/>
      <c r="C33" s="2" t="s">
        <v>189</v>
      </c>
      <c r="D33" s="2" t="s">
        <v>190</v>
      </c>
      <c r="E33" s="2" t="s">
        <v>191</v>
      </c>
      <c r="F33" s="4">
        <v>3312</v>
      </c>
      <c r="G33" s="2" t="s">
        <v>163</v>
      </c>
      <c r="H33" s="2" t="s">
        <v>34</v>
      </c>
      <c r="I33" s="2" t="s">
        <v>143</v>
      </c>
      <c r="J33" s="2" t="s">
        <v>144</v>
      </c>
      <c r="K33" s="2" t="s">
        <v>53</v>
      </c>
      <c r="L33" s="2" t="s">
        <v>139</v>
      </c>
      <c r="M33" s="2"/>
      <c r="N33" s="2"/>
      <c r="O33" s="2"/>
      <c r="P33" s="2" t="s">
        <v>192</v>
      </c>
      <c r="Q33" s="2"/>
      <c r="R33" s="2"/>
      <c r="S33" s="5">
        <v>21.4</v>
      </c>
      <c r="T33" s="2"/>
      <c r="U33" s="5">
        <v>32.299999999999997</v>
      </c>
      <c r="V33" s="2"/>
      <c r="W33" s="4">
        <v>17</v>
      </c>
      <c r="X33" s="7">
        <v>17.625</v>
      </c>
      <c r="Y33" s="7">
        <v>15.625</v>
      </c>
      <c r="Z33" s="7">
        <v>14.875</v>
      </c>
      <c r="AA33" s="2"/>
      <c r="AB33" s="2" t="s">
        <v>86</v>
      </c>
      <c r="AC33" s="2"/>
    </row>
    <row r="34" spans="1:29" ht="91" x14ac:dyDescent="0.15">
      <c r="A34" s="3">
        <f>DATE(1990,1,30)</f>
        <v>32903</v>
      </c>
      <c r="B34" s="2"/>
      <c r="C34" s="2" t="s">
        <v>87</v>
      </c>
      <c r="D34" s="2" t="s">
        <v>193</v>
      </c>
      <c r="E34" s="2" t="s">
        <v>194</v>
      </c>
      <c r="F34" s="4">
        <v>3432</v>
      </c>
      <c r="G34" s="2" t="s">
        <v>163</v>
      </c>
      <c r="H34" s="2" t="s">
        <v>34</v>
      </c>
      <c r="I34" s="2" t="s">
        <v>51</v>
      </c>
      <c r="J34" s="2" t="s">
        <v>52</v>
      </c>
      <c r="K34" s="2" t="s">
        <v>53</v>
      </c>
      <c r="L34" s="2" t="s">
        <v>34</v>
      </c>
      <c r="M34" s="2"/>
      <c r="N34" s="2"/>
      <c r="O34" s="2"/>
      <c r="P34" s="2" t="s">
        <v>195</v>
      </c>
      <c r="Q34" s="2"/>
      <c r="R34" s="2"/>
      <c r="S34" s="5">
        <v>630.79999999999995</v>
      </c>
      <c r="T34" s="8">
        <v>1609.5</v>
      </c>
      <c r="U34" s="5">
        <v>14.5</v>
      </c>
      <c r="V34" s="9">
        <v>3.0665</v>
      </c>
      <c r="W34" s="4">
        <v>66</v>
      </c>
      <c r="X34" s="6">
        <v>64.75</v>
      </c>
      <c r="Y34" s="4">
        <v>66</v>
      </c>
      <c r="Z34" s="7">
        <v>67.125</v>
      </c>
      <c r="AA34" s="2"/>
      <c r="AB34" s="2" t="s">
        <v>47</v>
      </c>
      <c r="AC34" s="2"/>
    </row>
    <row r="35" spans="1:29" ht="78" x14ac:dyDescent="0.15">
      <c r="A35" s="3">
        <f>DATE(1990,1,30)</f>
        <v>32903</v>
      </c>
      <c r="B35" s="2"/>
      <c r="C35" s="2" t="s">
        <v>141</v>
      </c>
      <c r="D35" s="2" t="s">
        <v>196</v>
      </c>
      <c r="E35" s="2" t="s">
        <v>197</v>
      </c>
      <c r="F35" s="4">
        <v>3577</v>
      </c>
      <c r="G35" s="2" t="s">
        <v>50</v>
      </c>
      <c r="H35" s="2" t="s">
        <v>34</v>
      </c>
      <c r="I35" s="2" t="s">
        <v>143</v>
      </c>
      <c r="J35" s="2" t="s">
        <v>144</v>
      </c>
      <c r="K35" s="2" t="s">
        <v>53</v>
      </c>
      <c r="L35" s="2" t="s">
        <v>139</v>
      </c>
      <c r="M35" s="2"/>
      <c r="N35" s="2"/>
      <c r="O35" s="2"/>
      <c r="P35" s="2" t="s">
        <v>198</v>
      </c>
      <c r="Q35" s="2"/>
      <c r="R35" s="2"/>
      <c r="S35" s="5">
        <v>-35.200000000000003</v>
      </c>
      <c r="T35" s="2"/>
      <c r="U35" s="5">
        <v>9.6</v>
      </c>
      <c r="V35" s="2"/>
      <c r="W35" s="7">
        <v>7.125</v>
      </c>
      <c r="X35" s="5">
        <v>6.5</v>
      </c>
      <c r="Y35" s="5">
        <v>6.5</v>
      </c>
      <c r="Z35" s="6">
        <v>6.75</v>
      </c>
      <c r="AA35" s="2"/>
      <c r="AB35" s="2" t="s">
        <v>86</v>
      </c>
      <c r="AC35" s="2"/>
    </row>
    <row r="36" spans="1:29" ht="156" x14ac:dyDescent="0.15">
      <c r="A36" s="3">
        <f>DATE(1990,1,30)</f>
        <v>32903</v>
      </c>
      <c r="B36" s="3">
        <f>DATE(1990,5,3)</f>
        <v>32996</v>
      </c>
      <c r="C36" s="2" t="s">
        <v>95</v>
      </c>
      <c r="D36" s="2" t="s">
        <v>199</v>
      </c>
      <c r="E36" s="2" t="s">
        <v>200</v>
      </c>
      <c r="F36" s="4">
        <v>5051</v>
      </c>
      <c r="G36" s="2" t="s">
        <v>76</v>
      </c>
      <c r="H36" s="2" t="s">
        <v>34</v>
      </c>
      <c r="I36" s="2" t="s">
        <v>51</v>
      </c>
      <c r="J36" s="2" t="s">
        <v>52</v>
      </c>
      <c r="K36" s="2" t="s">
        <v>53</v>
      </c>
      <c r="L36" s="2" t="s">
        <v>34</v>
      </c>
      <c r="M36" s="2"/>
      <c r="N36" s="2"/>
      <c r="O36" s="2"/>
      <c r="P36" s="2" t="s">
        <v>201</v>
      </c>
      <c r="Q36" s="6">
        <v>100</v>
      </c>
      <c r="R36" s="6">
        <v>41.5</v>
      </c>
      <c r="S36" s="5">
        <v>16.899999999999999</v>
      </c>
      <c r="T36" s="6">
        <v>36.130000000000003</v>
      </c>
      <c r="U36" s="5">
        <v>25</v>
      </c>
      <c r="V36" s="6">
        <v>2.65</v>
      </c>
      <c r="W36" s="7">
        <v>31.125</v>
      </c>
      <c r="X36" s="5">
        <v>30.5</v>
      </c>
      <c r="Y36" s="4">
        <v>40</v>
      </c>
      <c r="Z36" s="7">
        <v>40.125</v>
      </c>
      <c r="AA36" s="6">
        <v>6.34</v>
      </c>
      <c r="AB36" s="7">
        <v>12.577999999999999</v>
      </c>
      <c r="AC36" s="2"/>
    </row>
    <row r="37" spans="1:29" ht="117" x14ac:dyDescent="0.15">
      <c r="A37" s="3">
        <f>DATE(1990,1,31)</f>
        <v>32904</v>
      </c>
      <c r="B37" s="3">
        <f>DATE(1990,12,31)</f>
        <v>33238</v>
      </c>
      <c r="C37" s="2" t="s">
        <v>95</v>
      </c>
      <c r="D37" s="2" t="s">
        <v>202</v>
      </c>
      <c r="E37" s="2" t="s">
        <v>203</v>
      </c>
      <c r="F37" s="4">
        <v>6036</v>
      </c>
      <c r="G37" s="2" t="s">
        <v>33</v>
      </c>
      <c r="H37" s="2" t="s">
        <v>34</v>
      </c>
      <c r="I37" s="2" t="s">
        <v>204</v>
      </c>
      <c r="J37" s="2" t="s">
        <v>36</v>
      </c>
      <c r="K37" s="2" t="s">
        <v>37</v>
      </c>
      <c r="L37" s="2" t="s">
        <v>34</v>
      </c>
      <c r="M37" s="7">
        <v>304.94400000000002</v>
      </c>
      <c r="N37" s="5">
        <v>19.5</v>
      </c>
      <c r="O37" s="7">
        <v>20.375</v>
      </c>
      <c r="P37" s="2" t="s">
        <v>205</v>
      </c>
      <c r="Q37" s="6">
        <v>100</v>
      </c>
      <c r="R37" s="6">
        <v>17</v>
      </c>
      <c r="S37" s="5">
        <v>1.4</v>
      </c>
      <c r="T37" s="7">
        <v>2.0430000000000001</v>
      </c>
      <c r="U37" s="5">
        <v>14.9</v>
      </c>
      <c r="V37" s="6">
        <v>1.1599999999999999</v>
      </c>
      <c r="W37" s="5">
        <v>9.5</v>
      </c>
      <c r="X37" s="4">
        <v>11</v>
      </c>
      <c r="Y37" s="5">
        <v>11.5</v>
      </c>
      <c r="Z37" s="4">
        <v>11</v>
      </c>
      <c r="AA37" s="6">
        <v>1.1499999999999999</v>
      </c>
      <c r="AB37" s="7">
        <v>55.863999999999997</v>
      </c>
      <c r="AC37" s="2"/>
    </row>
    <row r="38" spans="1:29" ht="104" x14ac:dyDescent="0.15">
      <c r="A38" s="3">
        <f>DATE(1990,2,2)</f>
        <v>32906</v>
      </c>
      <c r="B38" s="3">
        <f>DATE(1990,4,1)</f>
        <v>32964</v>
      </c>
      <c r="C38" s="2" t="s">
        <v>95</v>
      </c>
      <c r="D38" s="2" t="s">
        <v>206</v>
      </c>
      <c r="E38" s="2" t="s">
        <v>207</v>
      </c>
      <c r="F38" s="4">
        <v>3674</v>
      </c>
      <c r="G38" s="2" t="s">
        <v>137</v>
      </c>
      <c r="H38" s="2" t="s">
        <v>34</v>
      </c>
      <c r="I38" s="2" t="s">
        <v>208</v>
      </c>
      <c r="J38" s="2" t="s">
        <v>209</v>
      </c>
      <c r="K38" s="2" t="s">
        <v>137</v>
      </c>
      <c r="L38" s="2" t="s">
        <v>210</v>
      </c>
      <c r="M38" s="2"/>
      <c r="N38" s="2"/>
      <c r="O38" s="2"/>
      <c r="P38" s="2" t="s">
        <v>211</v>
      </c>
      <c r="Q38" s="6">
        <v>17.38</v>
      </c>
      <c r="R38" s="6">
        <v>1.88</v>
      </c>
      <c r="S38" s="5">
        <v>-0.6</v>
      </c>
      <c r="T38" s="7">
        <v>0.20399999999999999</v>
      </c>
      <c r="U38" s="5">
        <v>1.1000000000000001</v>
      </c>
      <c r="V38" s="6">
        <v>-0.14000000000000001</v>
      </c>
      <c r="W38" s="7">
        <v>1.625</v>
      </c>
      <c r="X38" s="5">
        <v>1.5</v>
      </c>
      <c r="Y38" s="7">
        <v>1.625</v>
      </c>
      <c r="Z38" s="6">
        <v>1.75</v>
      </c>
      <c r="AA38" s="6">
        <v>5.75</v>
      </c>
      <c r="AB38" s="7">
        <v>575.97900000000004</v>
      </c>
      <c r="AC38" s="2"/>
    </row>
    <row r="39" spans="1:29" ht="143" x14ac:dyDescent="0.15">
      <c r="A39" s="3">
        <f>DATE(1990,2,2)</f>
        <v>32906</v>
      </c>
      <c r="B39" s="3">
        <f>DATE(1990,9,7)</f>
        <v>33123</v>
      </c>
      <c r="C39" s="2" t="s">
        <v>95</v>
      </c>
      <c r="D39" s="2" t="s">
        <v>212</v>
      </c>
      <c r="E39" s="2" t="s">
        <v>129</v>
      </c>
      <c r="F39" s="4">
        <v>2836</v>
      </c>
      <c r="G39" s="2" t="s">
        <v>130</v>
      </c>
      <c r="H39" s="2" t="s">
        <v>34</v>
      </c>
      <c r="I39" s="2" t="s">
        <v>213</v>
      </c>
      <c r="J39" s="2" t="s">
        <v>214</v>
      </c>
      <c r="K39" s="2" t="s">
        <v>130</v>
      </c>
      <c r="L39" s="2" t="s">
        <v>215</v>
      </c>
      <c r="M39" s="2"/>
      <c r="N39" s="2"/>
      <c r="O39" s="2"/>
      <c r="P39" s="2" t="s">
        <v>216</v>
      </c>
      <c r="Q39" s="6">
        <v>60.28</v>
      </c>
      <c r="R39" s="6">
        <v>36</v>
      </c>
      <c r="S39" s="5">
        <v>44</v>
      </c>
      <c r="T39" s="7">
        <v>99.698999999999998</v>
      </c>
      <c r="U39" s="5">
        <v>5.6</v>
      </c>
      <c r="V39" s="6">
        <v>0.51</v>
      </c>
      <c r="W39" s="7">
        <v>21.625</v>
      </c>
      <c r="X39" s="6">
        <v>21.75</v>
      </c>
      <c r="Y39" s="7">
        <v>29.875</v>
      </c>
      <c r="Z39" s="7">
        <v>28.125</v>
      </c>
      <c r="AA39" s="6">
        <v>106.96</v>
      </c>
      <c r="AB39" s="7">
        <v>54.183999999999997</v>
      </c>
      <c r="AC39" s="8">
        <v>8190</v>
      </c>
    </row>
    <row r="40" spans="1:29" ht="156" x14ac:dyDescent="0.15">
      <c r="A40" s="3">
        <f>DATE(1990,2,2)</f>
        <v>32906</v>
      </c>
      <c r="B40" s="2"/>
      <c r="C40" s="2" t="s">
        <v>82</v>
      </c>
      <c r="D40" s="2" t="s">
        <v>217</v>
      </c>
      <c r="E40" s="2" t="s">
        <v>218</v>
      </c>
      <c r="F40" s="4">
        <v>3721</v>
      </c>
      <c r="G40" s="2" t="s">
        <v>219</v>
      </c>
      <c r="H40" s="2" t="s">
        <v>34</v>
      </c>
      <c r="I40" s="2" t="s">
        <v>51</v>
      </c>
      <c r="J40" s="2" t="s">
        <v>52</v>
      </c>
      <c r="K40" s="2" t="s">
        <v>53</v>
      </c>
      <c r="L40" s="2" t="s">
        <v>34</v>
      </c>
      <c r="M40" s="2"/>
      <c r="N40" s="2"/>
      <c r="O40" s="2"/>
      <c r="P40" s="2" t="s">
        <v>220</v>
      </c>
      <c r="Q40" s="2"/>
      <c r="R40" s="2"/>
      <c r="S40" s="5">
        <v>2</v>
      </c>
      <c r="T40" s="5">
        <v>421</v>
      </c>
      <c r="U40" s="5">
        <v>32.6</v>
      </c>
      <c r="V40" s="6">
        <v>0.03</v>
      </c>
      <c r="W40" s="5">
        <v>36.5</v>
      </c>
      <c r="X40" s="6">
        <v>38.25</v>
      </c>
      <c r="Y40" s="7">
        <v>38.875</v>
      </c>
      <c r="Z40" s="7">
        <v>38.125</v>
      </c>
      <c r="AA40" s="6">
        <v>59.5</v>
      </c>
      <c r="AB40" s="2" t="s">
        <v>47</v>
      </c>
      <c r="AC40" s="2"/>
    </row>
    <row r="41" spans="1:29" ht="130" x14ac:dyDescent="0.15">
      <c r="A41" s="3">
        <f>DATE(1990,2,5)</f>
        <v>32909</v>
      </c>
      <c r="B41" s="2"/>
      <c r="C41" s="2" t="s">
        <v>82</v>
      </c>
      <c r="D41" s="2" t="s">
        <v>221</v>
      </c>
      <c r="E41" s="2" t="s">
        <v>222</v>
      </c>
      <c r="F41" s="4">
        <v>7379</v>
      </c>
      <c r="G41" s="2" t="s">
        <v>223</v>
      </c>
      <c r="H41" s="2" t="s">
        <v>34</v>
      </c>
      <c r="I41" s="2" t="s">
        <v>224</v>
      </c>
      <c r="J41" s="2" t="s">
        <v>225</v>
      </c>
      <c r="K41" s="2" t="s">
        <v>226</v>
      </c>
      <c r="L41" s="2" t="s">
        <v>34</v>
      </c>
      <c r="M41" s="2"/>
      <c r="N41" s="7">
        <v>4.125</v>
      </c>
      <c r="O41" s="4">
        <v>4</v>
      </c>
      <c r="P41" s="2" t="s">
        <v>227</v>
      </c>
      <c r="Q41" s="2"/>
      <c r="R41" s="2"/>
      <c r="S41" s="5">
        <v>9.8000000000000007</v>
      </c>
      <c r="T41" s="7">
        <v>159.96199999999999</v>
      </c>
      <c r="U41" s="5">
        <v>-2.1</v>
      </c>
      <c r="V41" s="6">
        <v>0.2</v>
      </c>
      <c r="W41" s="5">
        <v>3.5</v>
      </c>
      <c r="X41" s="7">
        <v>3.875</v>
      </c>
      <c r="Y41" s="4">
        <v>4</v>
      </c>
      <c r="Z41" s="6">
        <v>4.25</v>
      </c>
      <c r="AA41" s="6">
        <v>36</v>
      </c>
      <c r="AB41" s="2" t="s">
        <v>47</v>
      </c>
      <c r="AC41" s="6">
        <v>229.84</v>
      </c>
    </row>
    <row r="42" spans="1:29" ht="91" x14ac:dyDescent="0.15">
      <c r="A42" s="3">
        <f>DATE(1990,2,5)</f>
        <v>32909</v>
      </c>
      <c r="B42" s="2"/>
      <c r="C42" s="2" t="s">
        <v>87</v>
      </c>
      <c r="D42" s="2" t="s">
        <v>228</v>
      </c>
      <c r="E42" s="2" t="s">
        <v>229</v>
      </c>
      <c r="F42" s="4">
        <v>5812</v>
      </c>
      <c r="G42" s="2" t="s">
        <v>230</v>
      </c>
      <c r="H42" s="2" t="s">
        <v>34</v>
      </c>
      <c r="I42" s="2" t="s">
        <v>51</v>
      </c>
      <c r="J42" s="2" t="s">
        <v>52</v>
      </c>
      <c r="K42" s="2" t="s">
        <v>53</v>
      </c>
      <c r="L42" s="2" t="s">
        <v>34</v>
      </c>
      <c r="M42" s="2"/>
      <c r="N42" s="2"/>
      <c r="O42" s="2"/>
      <c r="P42" s="2" t="s">
        <v>231</v>
      </c>
      <c r="Q42" s="2"/>
      <c r="R42" s="6">
        <v>2.5</v>
      </c>
      <c r="S42" s="5">
        <v>-0.9</v>
      </c>
      <c r="T42" s="2"/>
      <c r="U42" s="5">
        <v>1</v>
      </c>
      <c r="V42" s="2"/>
      <c r="W42" s="9">
        <v>1.4375</v>
      </c>
      <c r="X42" s="5">
        <v>1.5</v>
      </c>
      <c r="Y42" s="9">
        <v>1.8125</v>
      </c>
      <c r="Z42" s="9">
        <v>1.8125</v>
      </c>
      <c r="AA42" s="6">
        <v>6.04</v>
      </c>
      <c r="AB42" s="2" t="s">
        <v>86</v>
      </c>
      <c r="AC42" s="2"/>
    </row>
    <row r="43" spans="1:29" ht="117" x14ac:dyDescent="0.15">
      <c r="A43" s="3">
        <f>DATE(1990,2,7)</f>
        <v>32911</v>
      </c>
      <c r="B43" s="2"/>
      <c r="C43" s="2" t="s">
        <v>30</v>
      </c>
      <c r="D43" s="2" t="s">
        <v>232</v>
      </c>
      <c r="E43" s="2" t="s">
        <v>36</v>
      </c>
      <c r="F43" s="4">
        <v>6035</v>
      </c>
      <c r="G43" s="2" t="s">
        <v>33</v>
      </c>
      <c r="H43" s="2" t="s">
        <v>34</v>
      </c>
      <c r="I43" s="2" t="s">
        <v>233</v>
      </c>
      <c r="J43" s="2" t="s">
        <v>36</v>
      </c>
      <c r="K43" s="2" t="s">
        <v>37</v>
      </c>
      <c r="L43" s="2" t="s">
        <v>34</v>
      </c>
      <c r="M43" s="2"/>
      <c r="N43" s="6">
        <v>7.75</v>
      </c>
      <c r="O43" s="6">
        <v>7.25</v>
      </c>
      <c r="P43" s="2" t="s">
        <v>234</v>
      </c>
      <c r="Q43" s="2"/>
      <c r="R43" s="6">
        <v>24.75</v>
      </c>
      <c r="S43" s="5">
        <v>3.5</v>
      </c>
      <c r="T43" s="7">
        <v>8.6240000000000006</v>
      </c>
      <c r="U43" s="5">
        <v>29.3</v>
      </c>
      <c r="V43" s="6">
        <v>1.25</v>
      </c>
      <c r="W43" s="7">
        <v>15.875</v>
      </c>
      <c r="X43" s="4">
        <v>17</v>
      </c>
      <c r="Y43" s="4">
        <v>17</v>
      </c>
      <c r="Z43" s="7">
        <v>20.125</v>
      </c>
      <c r="AA43" s="6">
        <v>2.8</v>
      </c>
      <c r="AB43" s="7">
        <v>95.986999999999995</v>
      </c>
      <c r="AC43" s="2"/>
    </row>
    <row r="44" spans="1:29" ht="143" x14ac:dyDescent="0.15">
      <c r="A44" s="3">
        <f>DATE(1990,2,7)</f>
        <v>32911</v>
      </c>
      <c r="B44" s="2"/>
      <c r="C44" s="2" t="s">
        <v>82</v>
      </c>
      <c r="D44" s="2" t="s">
        <v>235</v>
      </c>
      <c r="E44" s="2" t="s">
        <v>236</v>
      </c>
      <c r="F44" s="4">
        <v>3253</v>
      </c>
      <c r="G44" s="2" t="s">
        <v>237</v>
      </c>
      <c r="H44" s="2" t="s">
        <v>34</v>
      </c>
      <c r="I44" s="2" t="s">
        <v>238</v>
      </c>
      <c r="J44" s="2" t="s">
        <v>239</v>
      </c>
      <c r="K44" s="2" t="s">
        <v>237</v>
      </c>
      <c r="L44" s="2" t="s">
        <v>133</v>
      </c>
      <c r="M44" s="2"/>
      <c r="N44" s="2"/>
      <c r="O44" s="2"/>
      <c r="P44" s="2" t="s">
        <v>240</v>
      </c>
      <c r="Q44" s="2"/>
      <c r="R44" s="2"/>
      <c r="S44" s="5">
        <v>9.5</v>
      </c>
      <c r="T44" s="7">
        <v>23.927</v>
      </c>
      <c r="U44" s="5">
        <v>6.2</v>
      </c>
      <c r="V44" s="6">
        <v>1.06</v>
      </c>
      <c r="W44" s="7">
        <v>12.875</v>
      </c>
      <c r="X44" s="6">
        <v>14.25</v>
      </c>
      <c r="Y44" s="6">
        <v>13.75</v>
      </c>
      <c r="Z44" s="6">
        <v>16.75</v>
      </c>
      <c r="AA44" s="6">
        <v>8.09</v>
      </c>
      <c r="AB44" s="2" t="s">
        <v>47</v>
      </c>
      <c r="AC44" s="2"/>
    </row>
    <row r="45" spans="1:29" ht="130" x14ac:dyDescent="0.15">
      <c r="A45" s="3">
        <f>DATE(1990,2,8)</f>
        <v>32912</v>
      </c>
      <c r="B45" s="2"/>
      <c r="C45" s="2" t="s">
        <v>56</v>
      </c>
      <c r="D45" s="2" t="s">
        <v>241</v>
      </c>
      <c r="E45" s="2" t="s">
        <v>242</v>
      </c>
      <c r="F45" s="4">
        <v>3446</v>
      </c>
      <c r="G45" s="2" t="s">
        <v>163</v>
      </c>
      <c r="H45" s="2" t="s">
        <v>34</v>
      </c>
      <c r="I45" s="2" t="s">
        <v>243</v>
      </c>
      <c r="J45" s="2" t="s">
        <v>244</v>
      </c>
      <c r="K45" s="2" t="s">
        <v>53</v>
      </c>
      <c r="L45" s="2" t="s">
        <v>34</v>
      </c>
      <c r="M45" s="2"/>
      <c r="N45" s="2"/>
      <c r="O45" s="2"/>
      <c r="P45" s="2" t="s">
        <v>245</v>
      </c>
      <c r="Q45" s="2"/>
      <c r="R45" s="2"/>
      <c r="S45" s="5">
        <v>11.4</v>
      </c>
      <c r="T45" s="7">
        <v>85.272000000000006</v>
      </c>
      <c r="U45" s="5">
        <v>3.8</v>
      </c>
      <c r="V45" s="9">
        <v>0.1075</v>
      </c>
      <c r="W45" s="7">
        <v>25.875</v>
      </c>
      <c r="X45" s="4">
        <v>25</v>
      </c>
      <c r="Y45" s="4">
        <v>26</v>
      </c>
      <c r="Z45" s="7">
        <v>26.125</v>
      </c>
      <c r="AA45" s="6">
        <v>26.21</v>
      </c>
      <c r="AB45" s="2" t="s">
        <v>47</v>
      </c>
      <c r="AC45" s="2"/>
    </row>
    <row r="46" spans="1:29" ht="104" x14ac:dyDescent="0.15">
      <c r="A46" s="3">
        <f>DATE(1990,2,9)</f>
        <v>32913</v>
      </c>
      <c r="B46" s="2"/>
      <c r="C46" s="2" t="s">
        <v>87</v>
      </c>
      <c r="D46" s="2" t="s">
        <v>246</v>
      </c>
      <c r="E46" s="2" t="s">
        <v>247</v>
      </c>
      <c r="F46" s="4">
        <v>7359</v>
      </c>
      <c r="G46" s="2" t="s">
        <v>223</v>
      </c>
      <c r="H46" s="2" t="s">
        <v>34</v>
      </c>
      <c r="I46" s="2" t="s">
        <v>248</v>
      </c>
      <c r="J46" s="2" t="s">
        <v>249</v>
      </c>
      <c r="K46" s="2" t="s">
        <v>250</v>
      </c>
      <c r="L46" s="2" t="s">
        <v>34</v>
      </c>
      <c r="M46" s="2"/>
      <c r="N46" s="6">
        <v>20.75</v>
      </c>
      <c r="O46" s="6">
        <v>20.75</v>
      </c>
      <c r="P46" s="2" t="s">
        <v>251</v>
      </c>
      <c r="Q46" s="2"/>
      <c r="R46" s="6">
        <v>6.25</v>
      </c>
      <c r="S46" s="5">
        <v>1.8</v>
      </c>
      <c r="T46" s="2"/>
      <c r="U46" s="5">
        <v>6.9</v>
      </c>
      <c r="V46" s="6">
        <v>0.16</v>
      </c>
      <c r="W46" s="5">
        <v>4.5</v>
      </c>
      <c r="X46" s="7">
        <v>4.6879999999999997</v>
      </c>
      <c r="Y46" s="5">
        <v>4.5</v>
      </c>
      <c r="Z46" s="5">
        <v>4.5</v>
      </c>
      <c r="AA46" s="6">
        <v>8.32</v>
      </c>
      <c r="AB46" s="2" t="s">
        <v>47</v>
      </c>
      <c r="AC46" s="6">
        <v>64.16</v>
      </c>
    </row>
    <row r="47" spans="1:29" ht="117" x14ac:dyDescent="0.15">
      <c r="A47" s="3">
        <f>DATE(1990,2,9)</f>
        <v>32913</v>
      </c>
      <c r="B47" s="2"/>
      <c r="C47" s="2" t="s">
        <v>141</v>
      </c>
      <c r="D47" s="2" t="s">
        <v>252</v>
      </c>
      <c r="E47" s="2" t="s">
        <v>32</v>
      </c>
      <c r="F47" s="4">
        <v>6035</v>
      </c>
      <c r="G47" s="2" t="s">
        <v>33</v>
      </c>
      <c r="H47" s="2" t="s">
        <v>34</v>
      </c>
      <c r="I47" s="2" t="s">
        <v>143</v>
      </c>
      <c r="J47" s="2" t="s">
        <v>144</v>
      </c>
      <c r="K47" s="2" t="s">
        <v>53</v>
      </c>
      <c r="L47" s="2" t="s">
        <v>139</v>
      </c>
      <c r="M47" s="2"/>
      <c r="N47" s="2"/>
      <c r="O47" s="2"/>
      <c r="P47" s="2" t="s">
        <v>253</v>
      </c>
      <c r="Q47" s="2"/>
      <c r="R47" s="2"/>
      <c r="S47" s="2"/>
      <c r="T47" s="2"/>
      <c r="U47" s="2"/>
      <c r="V47" s="2"/>
      <c r="W47" s="4">
        <v>2</v>
      </c>
      <c r="X47" s="6">
        <v>2.25</v>
      </c>
      <c r="Y47" s="4">
        <v>2</v>
      </c>
      <c r="Z47" s="6">
        <v>2.25</v>
      </c>
      <c r="AA47" s="2"/>
      <c r="AB47" s="2" t="s">
        <v>47</v>
      </c>
      <c r="AC47" s="2"/>
    </row>
    <row r="48" spans="1:29" ht="52" x14ac:dyDescent="0.15">
      <c r="A48" s="3">
        <f>DATE(1990,2,9)</f>
        <v>32913</v>
      </c>
      <c r="B48" s="3">
        <f>DATE(1991,9,11)</f>
        <v>33492</v>
      </c>
      <c r="C48" s="2" t="s">
        <v>95</v>
      </c>
      <c r="D48" s="2" t="s">
        <v>254</v>
      </c>
      <c r="E48" s="2" t="s">
        <v>229</v>
      </c>
      <c r="F48" s="4">
        <v>5812</v>
      </c>
      <c r="G48" s="2" t="s">
        <v>230</v>
      </c>
      <c r="H48" s="2" t="s">
        <v>34</v>
      </c>
      <c r="I48" s="2" t="s">
        <v>255</v>
      </c>
      <c r="J48" s="2" t="s">
        <v>256</v>
      </c>
      <c r="K48" s="2" t="s">
        <v>98</v>
      </c>
      <c r="L48" s="2" t="s">
        <v>34</v>
      </c>
      <c r="M48" s="2"/>
      <c r="N48" s="6">
        <v>30.75</v>
      </c>
      <c r="O48" s="7">
        <v>30.125</v>
      </c>
      <c r="P48" s="2" t="s">
        <v>257</v>
      </c>
      <c r="Q48" s="6">
        <v>18.2</v>
      </c>
      <c r="R48" s="6">
        <v>3.25</v>
      </c>
      <c r="S48" s="5">
        <v>-0.4</v>
      </c>
      <c r="T48" s="7">
        <v>5.867</v>
      </c>
      <c r="U48" s="5">
        <v>2.9</v>
      </c>
      <c r="V48" s="6">
        <v>-0.05</v>
      </c>
      <c r="W48" s="7">
        <v>2.0630000000000002</v>
      </c>
      <c r="X48" s="5">
        <v>2.5</v>
      </c>
      <c r="Y48" s="7">
        <v>3.125</v>
      </c>
      <c r="Z48" s="7">
        <v>3.125</v>
      </c>
      <c r="AA48" s="6">
        <v>8.5399999999999991</v>
      </c>
      <c r="AB48" s="7">
        <v>13.961</v>
      </c>
      <c r="AC48" s="5">
        <v>108.7</v>
      </c>
    </row>
    <row r="49" spans="1:29" ht="104" x14ac:dyDescent="0.15">
      <c r="A49" s="3">
        <f>DATE(1990,2,9)</f>
        <v>32913</v>
      </c>
      <c r="B49" s="2"/>
      <c r="C49" s="2" t="s">
        <v>87</v>
      </c>
      <c r="D49" s="2" t="s">
        <v>168</v>
      </c>
      <c r="E49" s="2" t="s">
        <v>169</v>
      </c>
      <c r="F49" s="4">
        <v>6311</v>
      </c>
      <c r="G49" s="2" t="s">
        <v>125</v>
      </c>
      <c r="H49" s="2" t="s">
        <v>34</v>
      </c>
      <c r="I49" s="2" t="s">
        <v>51</v>
      </c>
      <c r="J49" s="2" t="s">
        <v>52</v>
      </c>
      <c r="K49" s="2" t="s">
        <v>53</v>
      </c>
      <c r="L49" s="2" t="s">
        <v>34</v>
      </c>
      <c r="M49" s="2"/>
      <c r="N49" s="2"/>
      <c r="O49" s="2"/>
      <c r="P49" s="2" t="s">
        <v>258</v>
      </c>
      <c r="Q49" s="2"/>
      <c r="R49" s="2"/>
      <c r="S49" s="5">
        <v>-831.4</v>
      </c>
      <c r="T49" s="2"/>
      <c r="U49" s="5">
        <v>1.7</v>
      </c>
      <c r="V49" s="6">
        <v>-10.33</v>
      </c>
      <c r="W49" s="6">
        <v>2.75</v>
      </c>
      <c r="X49" s="6">
        <v>3.25</v>
      </c>
      <c r="Y49" s="6">
        <v>3.25</v>
      </c>
      <c r="Z49" s="7">
        <v>3.375</v>
      </c>
      <c r="AA49" s="2"/>
      <c r="AB49" s="2" t="s">
        <v>47</v>
      </c>
      <c r="AC49" s="2"/>
    </row>
    <row r="50" spans="1:29" ht="117" x14ac:dyDescent="0.15">
      <c r="A50" s="3">
        <f>DATE(1990,2,12)</f>
        <v>32916</v>
      </c>
      <c r="B50" s="2"/>
      <c r="C50" s="2" t="s">
        <v>141</v>
      </c>
      <c r="D50" s="2" t="s">
        <v>259</v>
      </c>
      <c r="E50" s="2" t="s">
        <v>260</v>
      </c>
      <c r="F50" s="4">
        <v>2879</v>
      </c>
      <c r="G50" s="2" t="s">
        <v>98</v>
      </c>
      <c r="H50" s="2" t="s">
        <v>34</v>
      </c>
      <c r="I50" s="2" t="s">
        <v>143</v>
      </c>
      <c r="J50" s="2" t="s">
        <v>144</v>
      </c>
      <c r="K50" s="2" t="s">
        <v>53</v>
      </c>
      <c r="L50" s="2" t="s">
        <v>139</v>
      </c>
      <c r="M50" s="2"/>
      <c r="N50" s="2"/>
      <c r="O50" s="2"/>
      <c r="P50" s="2" t="s">
        <v>261</v>
      </c>
      <c r="Q50" s="2"/>
      <c r="R50" s="2"/>
      <c r="S50" s="5">
        <v>-7</v>
      </c>
      <c r="T50" s="2"/>
      <c r="U50" s="5">
        <v>0.9</v>
      </c>
      <c r="V50" s="2"/>
      <c r="W50" s="7">
        <v>3.625</v>
      </c>
      <c r="X50" s="7">
        <v>3.375</v>
      </c>
      <c r="Y50" s="4">
        <v>2</v>
      </c>
      <c r="Z50" s="4">
        <v>2</v>
      </c>
      <c r="AA50" s="2"/>
      <c r="AB50" s="2" t="s">
        <v>86</v>
      </c>
      <c r="AC50" s="2"/>
    </row>
    <row r="51" spans="1:29" ht="156" x14ac:dyDescent="0.15">
      <c r="A51" s="3">
        <f>DATE(1990,2,12)</f>
        <v>32916</v>
      </c>
      <c r="B51" s="2"/>
      <c r="C51" s="2" t="s">
        <v>30</v>
      </c>
      <c r="D51" s="2" t="s">
        <v>262</v>
      </c>
      <c r="E51" s="2" t="s">
        <v>263</v>
      </c>
      <c r="F51" s="4">
        <v>6022</v>
      </c>
      <c r="G51" s="2" t="s">
        <v>37</v>
      </c>
      <c r="H51" s="2" t="s">
        <v>34</v>
      </c>
      <c r="I51" s="2" t="s">
        <v>264</v>
      </c>
      <c r="J51" s="2" t="s">
        <v>265</v>
      </c>
      <c r="K51" s="2" t="s">
        <v>37</v>
      </c>
      <c r="L51" s="2" t="s">
        <v>34</v>
      </c>
      <c r="M51" s="2"/>
      <c r="N51" s="6">
        <v>8.75</v>
      </c>
      <c r="O51" s="6">
        <v>8.75</v>
      </c>
      <c r="P51" s="2" t="s">
        <v>266</v>
      </c>
      <c r="Q51" s="2"/>
      <c r="R51" s="6">
        <v>4.87</v>
      </c>
      <c r="S51" s="5">
        <v>5.2</v>
      </c>
      <c r="T51" s="2"/>
      <c r="U51" s="5">
        <v>13.9</v>
      </c>
      <c r="V51" s="2"/>
      <c r="W51" s="5">
        <v>4.5</v>
      </c>
      <c r="X51" s="7">
        <v>4.625</v>
      </c>
      <c r="Y51" s="7">
        <v>4.625</v>
      </c>
      <c r="Z51" s="6">
        <v>4.75</v>
      </c>
      <c r="AA51" s="6">
        <v>6</v>
      </c>
      <c r="AB51" s="2" t="s">
        <v>86</v>
      </c>
      <c r="AC51" s="2"/>
    </row>
    <row r="52" spans="1:29" ht="156" x14ac:dyDescent="0.15">
      <c r="A52" s="3">
        <f>DATE(1990,2,12)</f>
        <v>32916</v>
      </c>
      <c r="B52" s="2"/>
      <c r="C52" s="2" t="s">
        <v>39</v>
      </c>
      <c r="D52" s="2" t="s">
        <v>267</v>
      </c>
      <c r="E52" s="2" t="s">
        <v>268</v>
      </c>
      <c r="F52" s="4">
        <v>7011</v>
      </c>
      <c r="G52" s="2" t="s">
        <v>269</v>
      </c>
      <c r="H52" s="2" t="s">
        <v>34</v>
      </c>
      <c r="I52" s="2" t="s">
        <v>51</v>
      </c>
      <c r="J52" s="2" t="s">
        <v>52</v>
      </c>
      <c r="K52" s="2" t="s">
        <v>53</v>
      </c>
      <c r="L52" s="2" t="s">
        <v>34</v>
      </c>
      <c r="M52" s="2"/>
      <c r="N52" s="2"/>
      <c r="O52" s="2"/>
      <c r="P52" s="2" t="s">
        <v>270</v>
      </c>
      <c r="Q52" s="2"/>
      <c r="R52" s="2"/>
      <c r="S52" s="5">
        <v>110.1</v>
      </c>
      <c r="T52" s="5">
        <v>268.60000000000002</v>
      </c>
      <c r="U52" s="5">
        <v>4.5999999999999996</v>
      </c>
      <c r="V52" s="9">
        <v>0.5675</v>
      </c>
      <c r="W52" s="7">
        <v>62.375</v>
      </c>
      <c r="X52" s="5">
        <v>65.5</v>
      </c>
      <c r="Y52" s="4">
        <v>72</v>
      </c>
      <c r="Z52" s="7">
        <v>72.375</v>
      </c>
      <c r="AA52" s="2"/>
      <c r="AB52" s="2" t="s">
        <v>47</v>
      </c>
      <c r="AC52" s="2"/>
    </row>
    <row r="53" spans="1:29" ht="156" x14ac:dyDescent="0.15">
      <c r="A53" s="3">
        <f>DATE(1990,2,12)</f>
        <v>32916</v>
      </c>
      <c r="B53" s="2"/>
      <c r="C53" s="2" t="s">
        <v>30</v>
      </c>
      <c r="D53" s="2" t="s">
        <v>31</v>
      </c>
      <c r="E53" s="2" t="s">
        <v>32</v>
      </c>
      <c r="F53" s="4">
        <v>6035</v>
      </c>
      <c r="G53" s="2" t="s">
        <v>33</v>
      </c>
      <c r="H53" s="2" t="s">
        <v>34</v>
      </c>
      <c r="I53" s="2" t="s">
        <v>271</v>
      </c>
      <c r="J53" s="2" t="s">
        <v>32</v>
      </c>
      <c r="K53" s="2" t="s">
        <v>33</v>
      </c>
      <c r="L53" s="2" t="s">
        <v>34</v>
      </c>
      <c r="M53" s="7">
        <v>68.316999999999993</v>
      </c>
      <c r="N53" s="4">
        <v>23</v>
      </c>
      <c r="O53" s="7">
        <v>21.875</v>
      </c>
      <c r="P53" s="2" t="s">
        <v>272</v>
      </c>
      <c r="Q53" s="2"/>
      <c r="R53" s="6">
        <v>40</v>
      </c>
      <c r="S53" s="5">
        <v>3.4</v>
      </c>
      <c r="T53" s="7">
        <v>5.4089999999999998</v>
      </c>
      <c r="U53" s="5">
        <v>33.700000000000003</v>
      </c>
      <c r="V53" s="6">
        <v>2.85</v>
      </c>
      <c r="W53" s="6">
        <v>29.75</v>
      </c>
      <c r="X53" s="4">
        <v>32</v>
      </c>
      <c r="Y53" s="4">
        <v>34</v>
      </c>
      <c r="Z53" s="7">
        <v>33.125</v>
      </c>
      <c r="AA53" s="6">
        <v>1.1599999999999999</v>
      </c>
      <c r="AB53" s="7">
        <v>100.822</v>
      </c>
      <c r="AC53" s="2"/>
    </row>
    <row r="54" spans="1:29" ht="143" x14ac:dyDescent="0.15">
      <c r="A54" s="3">
        <f>DATE(1990,2,12)</f>
        <v>32916</v>
      </c>
      <c r="B54" s="2"/>
      <c r="C54" s="2" t="s">
        <v>30</v>
      </c>
      <c r="D54" s="2" t="s">
        <v>273</v>
      </c>
      <c r="E54" s="2" t="s">
        <v>274</v>
      </c>
      <c r="F54" s="4">
        <v>7822</v>
      </c>
      <c r="G54" s="2" t="s">
        <v>42</v>
      </c>
      <c r="H54" s="2" t="s">
        <v>34</v>
      </c>
      <c r="I54" s="2" t="s">
        <v>138</v>
      </c>
      <c r="J54" s="2" t="s">
        <v>139</v>
      </c>
      <c r="K54" s="2" t="s">
        <v>53</v>
      </c>
      <c r="L54" s="2" t="s">
        <v>139</v>
      </c>
      <c r="M54" s="2"/>
      <c r="N54" s="2"/>
      <c r="O54" s="2"/>
      <c r="P54" s="2" t="s">
        <v>275</v>
      </c>
      <c r="Q54" s="2"/>
      <c r="R54" s="2"/>
      <c r="S54" s="5">
        <v>-114.9</v>
      </c>
      <c r="T54" s="7">
        <v>81.774000000000001</v>
      </c>
      <c r="U54" s="5">
        <v>-1.6</v>
      </c>
      <c r="V54" s="6">
        <v>-3.06</v>
      </c>
      <c r="W54" s="6">
        <v>5.75</v>
      </c>
      <c r="X54" s="4">
        <v>6</v>
      </c>
      <c r="Y54" s="4">
        <v>6</v>
      </c>
      <c r="Z54" s="6">
        <v>5.75</v>
      </c>
      <c r="AA54" s="2"/>
      <c r="AB54" s="2" t="s">
        <v>86</v>
      </c>
      <c r="AC54" s="2"/>
    </row>
    <row r="55" spans="1:29" ht="104" x14ac:dyDescent="0.15">
      <c r="A55" s="3">
        <f>DATE(1990,2,13)</f>
        <v>32917</v>
      </c>
      <c r="B55" s="3">
        <f>DATE(1995,10,25)</f>
        <v>34997</v>
      </c>
      <c r="C55" s="2" t="s">
        <v>95</v>
      </c>
      <c r="D55" s="2" t="s">
        <v>276</v>
      </c>
      <c r="E55" s="2" t="s">
        <v>277</v>
      </c>
      <c r="F55" s="4">
        <v>1041</v>
      </c>
      <c r="G55" s="2" t="s">
        <v>166</v>
      </c>
      <c r="H55" s="2" t="s">
        <v>34</v>
      </c>
      <c r="I55" s="2" t="s">
        <v>278</v>
      </c>
      <c r="J55" s="2" t="s">
        <v>52</v>
      </c>
      <c r="K55" s="2" t="s">
        <v>53</v>
      </c>
      <c r="L55" s="2" t="s">
        <v>34</v>
      </c>
      <c r="M55" s="2"/>
      <c r="N55" s="2"/>
      <c r="O55" s="2"/>
      <c r="P55" s="2" t="s">
        <v>279</v>
      </c>
      <c r="Q55" s="6">
        <v>81</v>
      </c>
      <c r="R55" s="6">
        <v>13.46</v>
      </c>
      <c r="S55" s="5">
        <v>3.6</v>
      </c>
      <c r="T55" s="2"/>
      <c r="U55" s="2"/>
      <c r="V55" s="2"/>
      <c r="W55" s="6">
        <v>13.75</v>
      </c>
      <c r="X55" s="4">
        <v>13</v>
      </c>
      <c r="Y55" s="4">
        <v>13</v>
      </c>
      <c r="Z55" s="4">
        <v>13</v>
      </c>
      <c r="AA55" s="6">
        <v>18.21</v>
      </c>
      <c r="AB55" s="7">
        <v>54.558999999999997</v>
      </c>
      <c r="AC55" s="2"/>
    </row>
    <row r="56" spans="1:29" ht="117" x14ac:dyDescent="0.15">
      <c r="A56" s="3">
        <f>DATE(1990,2,13)</f>
        <v>32917</v>
      </c>
      <c r="B56" s="2"/>
      <c r="C56" s="2" t="s">
        <v>30</v>
      </c>
      <c r="D56" s="2" t="s">
        <v>280</v>
      </c>
      <c r="E56" s="2" t="s">
        <v>281</v>
      </c>
      <c r="F56" s="4">
        <v>2621</v>
      </c>
      <c r="G56" s="2" t="s">
        <v>282</v>
      </c>
      <c r="H56" s="2" t="s">
        <v>34</v>
      </c>
      <c r="I56" s="2" t="s">
        <v>138</v>
      </c>
      <c r="J56" s="2" t="s">
        <v>139</v>
      </c>
      <c r="K56" s="2" t="s">
        <v>53</v>
      </c>
      <c r="L56" s="2" t="s">
        <v>139</v>
      </c>
      <c r="M56" s="2"/>
      <c r="N56" s="2"/>
      <c r="O56" s="2"/>
      <c r="P56" s="2" t="s">
        <v>283</v>
      </c>
      <c r="Q56" s="2"/>
      <c r="R56" s="2"/>
      <c r="S56" s="5">
        <v>321.10000000000002</v>
      </c>
      <c r="T56" s="5">
        <v>842.8</v>
      </c>
      <c r="U56" s="5">
        <v>32.6</v>
      </c>
      <c r="V56" s="6">
        <v>5.78</v>
      </c>
      <c r="W56" s="7">
        <v>39.375</v>
      </c>
      <c r="X56" s="4">
        <v>40</v>
      </c>
      <c r="Y56" s="6">
        <v>42.75</v>
      </c>
      <c r="Z56" s="7">
        <v>62.875</v>
      </c>
      <c r="AA56" s="2"/>
      <c r="AB56" s="2" t="s">
        <v>47</v>
      </c>
      <c r="AC56" s="2"/>
    </row>
    <row r="57" spans="1:29" ht="130" x14ac:dyDescent="0.15">
      <c r="A57" s="3">
        <f>DATE(1990,2,14)</f>
        <v>32918</v>
      </c>
      <c r="B57" s="2"/>
      <c r="C57" s="2" t="s">
        <v>141</v>
      </c>
      <c r="D57" s="2" t="s">
        <v>284</v>
      </c>
      <c r="E57" s="2" t="s">
        <v>285</v>
      </c>
      <c r="F57" s="4">
        <v>2851</v>
      </c>
      <c r="G57" s="2" t="s">
        <v>98</v>
      </c>
      <c r="H57" s="2" t="s">
        <v>34</v>
      </c>
      <c r="I57" s="2" t="s">
        <v>143</v>
      </c>
      <c r="J57" s="2" t="s">
        <v>144</v>
      </c>
      <c r="K57" s="2" t="s">
        <v>53</v>
      </c>
      <c r="L57" s="2" t="s">
        <v>139</v>
      </c>
      <c r="M57" s="2"/>
      <c r="N57" s="2"/>
      <c r="O57" s="2"/>
      <c r="P57" s="2" t="s">
        <v>286</v>
      </c>
      <c r="Q57" s="2"/>
      <c r="R57" s="2"/>
      <c r="S57" s="5">
        <v>-8.6999999999999993</v>
      </c>
      <c r="T57" s="2"/>
      <c r="U57" s="2"/>
      <c r="V57" s="2"/>
      <c r="W57" s="6">
        <v>39.25</v>
      </c>
      <c r="X57" s="5">
        <v>39.5</v>
      </c>
      <c r="Y57" s="7">
        <v>42.625</v>
      </c>
      <c r="Z57" s="7">
        <v>47.375</v>
      </c>
      <c r="AA57" s="2"/>
      <c r="AB57" s="2" t="s">
        <v>86</v>
      </c>
      <c r="AC57" s="2"/>
    </row>
    <row r="58" spans="1:29" ht="156" x14ac:dyDescent="0.15">
      <c r="A58" s="3">
        <f>DATE(1990,2,15)</f>
        <v>32919</v>
      </c>
      <c r="B58" s="3">
        <f>DATE(1990,5,10)</f>
        <v>33003</v>
      </c>
      <c r="C58" s="2" t="s">
        <v>95</v>
      </c>
      <c r="D58" s="2" t="s">
        <v>287</v>
      </c>
      <c r="E58" s="2" t="s">
        <v>177</v>
      </c>
      <c r="F58" s="4">
        <v>1311</v>
      </c>
      <c r="G58" s="2" t="s">
        <v>148</v>
      </c>
      <c r="H58" s="2" t="s">
        <v>34</v>
      </c>
      <c r="I58" s="2" t="s">
        <v>288</v>
      </c>
      <c r="J58" s="2" t="s">
        <v>177</v>
      </c>
      <c r="K58" s="2" t="s">
        <v>148</v>
      </c>
      <c r="L58" s="2" t="s">
        <v>34</v>
      </c>
      <c r="M58" s="2"/>
      <c r="N58" s="6">
        <v>0.75</v>
      </c>
      <c r="O58" s="6">
        <v>0.75</v>
      </c>
      <c r="P58" s="2" t="s">
        <v>289</v>
      </c>
      <c r="Q58" s="6">
        <v>100</v>
      </c>
      <c r="R58" s="2"/>
      <c r="S58" s="5">
        <v>20.7</v>
      </c>
      <c r="T58" s="6">
        <v>40.56</v>
      </c>
      <c r="U58" s="5">
        <v>7.5</v>
      </c>
      <c r="V58" s="6">
        <v>1</v>
      </c>
      <c r="W58" s="6">
        <v>4.75</v>
      </c>
      <c r="X58" s="7">
        <v>4.875</v>
      </c>
      <c r="Y58" s="7">
        <v>4.375</v>
      </c>
      <c r="Z58" s="6">
        <v>4.75</v>
      </c>
      <c r="AA58" s="6">
        <v>1.43</v>
      </c>
      <c r="AB58" s="7">
        <v>1.907</v>
      </c>
      <c r="AC58" s="2"/>
    </row>
    <row r="59" spans="1:29" ht="104" x14ac:dyDescent="0.15">
      <c r="A59" s="3">
        <f>DATE(1990,2,16)</f>
        <v>32920</v>
      </c>
      <c r="B59" s="3">
        <f>DATE(1990,8,31)</f>
        <v>33116</v>
      </c>
      <c r="C59" s="2" t="s">
        <v>95</v>
      </c>
      <c r="D59" s="2" t="s">
        <v>290</v>
      </c>
      <c r="E59" s="2" t="s">
        <v>291</v>
      </c>
      <c r="F59" s="4">
        <v>4725</v>
      </c>
      <c r="G59" s="2" t="s">
        <v>173</v>
      </c>
      <c r="H59" s="2" t="s">
        <v>34</v>
      </c>
      <c r="I59" s="2" t="s">
        <v>292</v>
      </c>
      <c r="J59" s="2" t="s">
        <v>52</v>
      </c>
      <c r="K59" s="2" t="s">
        <v>53</v>
      </c>
      <c r="L59" s="2" t="s">
        <v>34</v>
      </c>
      <c r="M59" s="2"/>
      <c r="N59" s="2"/>
      <c r="O59" s="2"/>
      <c r="P59" s="2" t="s">
        <v>293</v>
      </c>
      <c r="Q59" s="6">
        <v>50</v>
      </c>
      <c r="R59" s="6">
        <v>6.5</v>
      </c>
      <c r="S59" s="5">
        <v>-0.9</v>
      </c>
      <c r="T59" s="7">
        <v>-0.55200000000000005</v>
      </c>
      <c r="U59" s="5">
        <v>3.6</v>
      </c>
      <c r="V59" s="6">
        <v>-0.28000000000000003</v>
      </c>
      <c r="W59" s="7">
        <v>4.375</v>
      </c>
      <c r="X59" s="7">
        <v>4.375</v>
      </c>
      <c r="Y59" s="6">
        <v>5.25</v>
      </c>
      <c r="Z59" s="6">
        <v>5.25</v>
      </c>
      <c r="AA59" s="6">
        <v>3.29</v>
      </c>
      <c r="AB59" s="2" t="s">
        <v>86</v>
      </c>
      <c r="AC59" s="2"/>
    </row>
    <row r="60" spans="1:29" ht="143" x14ac:dyDescent="0.15">
      <c r="A60" s="3">
        <f>DATE(1990,2,16)</f>
        <v>32920</v>
      </c>
      <c r="B60" s="2"/>
      <c r="C60" s="2" t="s">
        <v>30</v>
      </c>
      <c r="D60" s="2" t="s">
        <v>294</v>
      </c>
      <c r="E60" s="2" t="s">
        <v>36</v>
      </c>
      <c r="F60" s="4">
        <v>6021</v>
      </c>
      <c r="G60" s="2" t="s">
        <v>37</v>
      </c>
      <c r="H60" s="2" t="s">
        <v>34</v>
      </c>
      <c r="I60" s="2" t="s">
        <v>295</v>
      </c>
      <c r="J60" s="2" t="s">
        <v>296</v>
      </c>
      <c r="K60" s="2" t="s">
        <v>37</v>
      </c>
      <c r="L60" s="2" t="s">
        <v>34</v>
      </c>
      <c r="M60" s="2"/>
      <c r="N60" s="2"/>
      <c r="O60" s="2"/>
      <c r="P60" s="2" t="s">
        <v>297</v>
      </c>
      <c r="Q60" s="2"/>
      <c r="R60" s="6">
        <v>22.5</v>
      </c>
      <c r="S60" s="5">
        <v>5.2</v>
      </c>
      <c r="T60" s="7">
        <v>13.759</v>
      </c>
      <c r="U60" s="5">
        <v>21.6</v>
      </c>
      <c r="V60" s="6">
        <v>0.74</v>
      </c>
      <c r="W60" s="5">
        <v>14.5</v>
      </c>
      <c r="X60" s="5">
        <v>14.5</v>
      </c>
      <c r="Y60" s="6">
        <v>15.75</v>
      </c>
      <c r="Z60" s="7">
        <v>18.375</v>
      </c>
      <c r="AA60" s="6">
        <v>6.62</v>
      </c>
      <c r="AB60" s="7">
        <v>92.281999999999996</v>
      </c>
      <c r="AC60" s="2"/>
    </row>
    <row r="61" spans="1:29" ht="104" x14ac:dyDescent="0.15">
      <c r="A61" s="3">
        <f>DATE(1990,2,16)</f>
        <v>32920</v>
      </c>
      <c r="B61" s="3">
        <f>DATE(1990,5,24)</f>
        <v>33017</v>
      </c>
      <c r="C61" s="2" t="s">
        <v>95</v>
      </c>
      <c r="D61" s="2" t="s">
        <v>298</v>
      </c>
      <c r="E61" s="2" t="s">
        <v>299</v>
      </c>
      <c r="F61" s="4">
        <v>3532</v>
      </c>
      <c r="G61" s="2" t="s">
        <v>300</v>
      </c>
      <c r="H61" s="2" t="s">
        <v>34</v>
      </c>
      <c r="I61" s="2" t="s">
        <v>301</v>
      </c>
      <c r="J61" s="2" t="s">
        <v>302</v>
      </c>
      <c r="K61" s="2" t="s">
        <v>53</v>
      </c>
      <c r="L61" s="2" t="s">
        <v>303</v>
      </c>
      <c r="M61" s="2"/>
      <c r="N61" s="2"/>
      <c r="O61" s="2"/>
      <c r="P61" s="2" t="s">
        <v>304</v>
      </c>
      <c r="Q61" s="6">
        <v>49.54</v>
      </c>
      <c r="R61" s="6">
        <v>8.8800000000000008</v>
      </c>
      <c r="S61" s="5">
        <v>3.1</v>
      </c>
      <c r="T61" s="7">
        <v>4.5380000000000003</v>
      </c>
      <c r="U61" s="5">
        <v>3.2</v>
      </c>
      <c r="V61" s="6">
        <v>0.64</v>
      </c>
      <c r="W61" s="7">
        <v>7.875</v>
      </c>
      <c r="X61" s="7">
        <v>7.375</v>
      </c>
      <c r="Y61" s="7">
        <v>8.375</v>
      </c>
      <c r="Z61" s="7">
        <v>8.375</v>
      </c>
      <c r="AA61" s="6">
        <v>4.8600000000000003</v>
      </c>
      <c r="AB61" s="7">
        <v>11.098000000000001</v>
      </c>
      <c r="AC61" s="2"/>
    </row>
    <row r="62" spans="1:29" ht="130" x14ac:dyDescent="0.15">
      <c r="A62" s="3">
        <f>DATE(1990,2,16)</f>
        <v>32920</v>
      </c>
      <c r="B62" s="2"/>
      <c r="C62" s="2" t="s">
        <v>30</v>
      </c>
      <c r="D62" s="2" t="s">
        <v>305</v>
      </c>
      <c r="E62" s="2" t="s">
        <v>306</v>
      </c>
      <c r="F62" s="4">
        <v>7822</v>
      </c>
      <c r="G62" s="2" t="s">
        <v>42</v>
      </c>
      <c r="H62" s="2" t="s">
        <v>34</v>
      </c>
      <c r="I62" s="2" t="s">
        <v>138</v>
      </c>
      <c r="J62" s="2" t="s">
        <v>139</v>
      </c>
      <c r="K62" s="2" t="s">
        <v>53</v>
      </c>
      <c r="L62" s="2" t="s">
        <v>139</v>
      </c>
      <c r="M62" s="2"/>
      <c r="N62" s="2"/>
      <c r="O62" s="2"/>
      <c r="P62" s="2" t="s">
        <v>307</v>
      </c>
      <c r="Q62" s="2"/>
      <c r="R62" s="2"/>
      <c r="S62" s="5">
        <v>13.9</v>
      </c>
      <c r="T62" s="7">
        <v>347.863</v>
      </c>
      <c r="U62" s="5">
        <v>9.1999999999999993</v>
      </c>
      <c r="V62" s="6">
        <v>0.79</v>
      </c>
      <c r="W62" s="7">
        <v>17.625</v>
      </c>
      <c r="X62" s="6">
        <v>21.75</v>
      </c>
      <c r="Y62" s="5">
        <v>22.5</v>
      </c>
      <c r="Z62" s="5">
        <v>22.5</v>
      </c>
      <c r="AA62" s="2"/>
      <c r="AB62" s="2" t="s">
        <v>47</v>
      </c>
      <c r="AC62" s="2"/>
    </row>
    <row r="63" spans="1:29" ht="143" x14ac:dyDescent="0.15">
      <c r="A63" s="3">
        <f>DATE(1990,2,20)</f>
        <v>32924</v>
      </c>
      <c r="B63" s="2"/>
      <c r="C63" s="2" t="s">
        <v>30</v>
      </c>
      <c r="D63" s="2" t="s">
        <v>308</v>
      </c>
      <c r="E63" s="2" t="s">
        <v>309</v>
      </c>
      <c r="F63" s="4">
        <v>3563</v>
      </c>
      <c r="G63" s="2" t="s">
        <v>300</v>
      </c>
      <c r="H63" s="2" t="s">
        <v>34</v>
      </c>
      <c r="I63" s="2" t="s">
        <v>310</v>
      </c>
      <c r="J63" s="2" t="s">
        <v>311</v>
      </c>
      <c r="K63" s="2" t="s">
        <v>300</v>
      </c>
      <c r="L63" s="2" t="s">
        <v>34</v>
      </c>
      <c r="M63" s="2"/>
      <c r="N63" s="2"/>
      <c r="O63" s="2"/>
      <c r="P63" s="2" t="s">
        <v>312</v>
      </c>
      <c r="Q63" s="2"/>
      <c r="R63" s="6">
        <v>45</v>
      </c>
      <c r="S63" s="5">
        <v>9.6</v>
      </c>
      <c r="T63" s="7">
        <v>22.222999999999999</v>
      </c>
      <c r="U63" s="5">
        <v>27.8</v>
      </c>
      <c r="V63" s="9">
        <v>3.1696</v>
      </c>
      <c r="W63" s="4">
        <v>33</v>
      </c>
      <c r="X63" s="4">
        <v>33</v>
      </c>
      <c r="Y63" s="6">
        <v>43.75</v>
      </c>
      <c r="Z63" s="6">
        <v>44.25</v>
      </c>
      <c r="AA63" s="6">
        <v>2.94</v>
      </c>
      <c r="AB63" s="7">
        <v>9.08</v>
      </c>
      <c r="AC63" s="6">
        <v>4.84</v>
      </c>
    </row>
    <row r="64" spans="1:29" ht="117" x14ac:dyDescent="0.15">
      <c r="A64" s="3">
        <f>DATE(1990,2,20)</f>
        <v>32924</v>
      </c>
      <c r="B64" s="3">
        <f>DATE(1990,6,8)</f>
        <v>33032</v>
      </c>
      <c r="C64" s="2" t="s">
        <v>95</v>
      </c>
      <c r="D64" s="2" t="s">
        <v>313</v>
      </c>
      <c r="E64" s="2" t="s">
        <v>314</v>
      </c>
      <c r="F64" s="4">
        <v>3423</v>
      </c>
      <c r="G64" s="2" t="s">
        <v>163</v>
      </c>
      <c r="H64" s="2" t="s">
        <v>34</v>
      </c>
      <c r="I64" s="2" t="s">
        <v>315</v>
      </c>
      <c r="J64" s="2" t="s">
        <v>316</v>
      </c>
      <c r="K64" s="2" t="s">
        <v>226</v>
      </c>
      <c r="L64" s="2" t="s">
        <v>34</v>
      </c>
      <c r="M64" s="7">
        <v>337.41300000000001</v>
      </c>
      <c r="N64" s="7">
        <v>14.875</v>
      </c>
      <c r="O64" s="7">
        <v>14.875</v>
      </c>
      <c r="P64" s="2" t="s">
        <v>317</v>
      </c>
      <c r="Q64" s="6">
        <v>100</v>
      </c>
      <c r="R64" s="6">
        <v>6.31</v>
      </c>
      <c r="S64" s="5">
        <v>-19.399999999999999</v>
      </c>
      <c r="T64" s="7">
        <v>0.30199999999999999</v>
      </c>
      <c r="U64" s="5">
        <v>2.2999999999999998</v>
      </c>
      <c r="V64" s="6">
        <v>-1.39</v>
      </c>
      <c r="W64" s="7">
        <v>5.875</v>
      </c>
      <c r="X64" s="7">
        <v>5.625</v>
      </c>
      <c r="Y64" s="7">
        <v>5.625</v>
      </c>
      <c r="Z64" s="7">
        <v>5.625</v>
      </c>
      <c r="AA64" s="6">
        <v>13.98</v>
      </c>
      <c r="AB64" s="2" t="s">
        <v>86</v>
      </c>
      <c r="AC64" s="6">
        <v>4.75</v>
      </c>
    </row>
    <row r="65" spans="1:29" ht="156" x14ac:dyDescent="0.15">
      <c r="A65" s="3">
        <f>DATE(1990,2,20)</f>
        <v>32924</v>
      </c>
      <c r="B65" s="3">
        <f>DATE(1990,3,26)</f>
        <v>32958</v>
      </c>
      <c r="C65" s="2" t="s">
        <v>95</v>
      </c>
      <c r="D65" s="2" t="s">
        <v>318</v>
      </c>
      <c r="E65" s="2" t="s">
        <v>319</v>
      </c>
      <c r="F65" s="4">
        <v>1041</v>
      </c>
      <c r="G65" s="2" t="s">
        <v>166</v>
      </c>
      <c r="H65" s="2" t="s">
        <v>34</v>
      </c>
      <c r="I65" s="2" t="s">
        <v>320</v>
      </c>
      <c r="J65" s="2" t="s">
        <v>321</v>
      </c>
      <c r="K65" s="2" t="s">
        <v>166</v>
      </c>
      <c r="L65" s="2" t="s">
        <v>322</v>
      </c>
      <c r="M65" s="2"/>
      <c r="N65" s="2"/>
      <c r="O65" s="2"/>
      <c r="P65" s="2" t="s">
        <v>323</v>
      </c>
      <c r="Q65" s="6">
        <v>100</v>
      </c>
      <c r="R65" s="6">
        <v>17</v>
      </c>
      <c r="S65" s="5">
        <v>12.8</v>
      </c>
      <c r="T65" s="7">
        <v>24.734000000000002</v>
      </c>
      <c r="U65" s="5">
        <v>3.9</v>
      </c>
      <c r="V65" s="6">
        <v>0.31</v>
      </c>
      <c r="W65" s="7">
        <v>14.125</v>
      </c>
      <c r="X65" s="5">
        <v>13.5</v>
      </c>
      <c r="Y65" s="5">
        <v>13.5</v>
      </c>
      <c r="Z65" s="5">
        <v>13.5</v>
      </c>
      <c r="AA65" s="6">
        <v>41.46</v>
      </c>
      <c r="AB65" s="7">
        <v>59.292000000000002</v>
      </c>
      <c r="AC65" s="5">
        <v>870.9</v>
      </c>
    </row>
    <row r="66" spans="1:29" ht="78" x14ac:dyDescent="0.15">
      <c r="A66" s="3">
        <f>DATE(1990,2,20)</f>
        <v>32924</v>
      </c>
      <c r="B66" s="3">
        <f>DATE(1990,8,29)</f>
        <v>33114</v>
      </c>
      <c r="C66" s="2" t="s">
        <v>95</v>
      </c>
      <c r="D66" s="2" t="s">
        <v>324</v>
      </c>
      <c r="E66" s="2" t="s">
        <v>325</v>
      </c>
      <c r="F66" s="4">
        <v>3144</v>
      </c>
      <c r="G66" s="2" t="s">
        <v>326</v>
      </c>
      <c r="H66" s="2" t="s">
        <v>34</v>
      </c>
      <c r="I66" s="2" t="s">
        <v>327</v>
      </c>
      <c r="J66" s="2" t="s">
        <v>52</v>
      </c>
      <c r="K66" s="2" t="s">
        <v>53</v>
      </c>
      <c r="L66" s="2" t="s">
        <v>34</v>
      </c>
      <c r="M66" s="2"/>
      <c r="N66" s="2"/>
      <c r="O66" s="2"/>
      <c r="P66" s="2" t="s">
        <v>328</v>
      </c>
      <c r="Q66" s="6">
        <v>100</v>
      </c>
      <c r="R66" s="6">
        <v>14.08</v>
      </c>
      <c r="S66" s="5">
        <v>0.4</v>
      </c>
      <c r="T66" s="7">
        <v>-0.17499999999999999</v>
      </c>
      <c r="U66" s="5">
        <v>12.6</v>
      </c>
      <c r="V66" s="6">
        <v>0.38</v>
      </c>
      <c r="W66" s="7">
        <v>8.9380000000000006</v>
      </c>
      <c r="X66" s="4">
        <v>9</v>
      </c>
      <c r="Y66" s="4">
        <v>13</v>
      </c>
      <c r="Z66" s="6">
        <v>12.75</v>
      </c>
      <c r="AA66" s="6">
        <v>1.02</v>
      </c>
      <c r="AB66" s="2" t="s">
        <v>86</v>
      </c>
      <c r="AC66" s="2"/>
    </row>
    <row r="67" spans="1:29" ht="78" x14ac:dyDescent="0.15">
      <c r="A67" s="3">
        <f>DATE(1990,2,21)</f>
        <v>32925</v>
      </c>
      <c r="B67" s="2"/>
      <c r="C67" s="2" t="s">
        <v>189</v>
      </c>
      <c r="D67" s="2" t="s">
        <v>329</v>
      </c>
      <c r="E67" s="2" t="s">
        <v>330</v>
      </c>
      <c r="F67" s="4">
        <v>2835</v>
      </c>
      <c r="G67" s="2" t="s">
        <v>130</v>
      </c>
      <c r="H67" s="2" t="s">
        <v>34</v>
      </c>
      <c r="I67" s="2" t="s">
        <v>143</v>
      </c>
      <c r="J67" s="2" t="s">
        <v>144</v>
      </c>
      <c r="K67" s="2" t="s">
        <v>53</v>
      </c>
      <c r="L67" s="2" t="s">
        <v>139</v>
      </c>
      <c r="M67" s="2"/>
      <c r="N67" s="2"/>
      <c r="O67" s="2"/>
      <c r="P67" s="2" t="s">
        <v>331</v>
      </c>
      <c r="Q67" s="2"/>
      <c r="R67" s="2"/>
      <c r="S67" s="5">
        <v>0.4</v>
      </c>
      <c r="T67" s="2"/>
      <c r="U67" s="5">
        <v>1.8</v>
      </c>
      <c r="V67" s="2"/>
      <c r="W67" s="5">
        <v>3.5</v>
      </c>
      <c r="X67" s="5">
        <v>3.5</v>
      </c>
      <c r="Y67" s="7">
        <v>4.375</v>
      </c>
      <c r="Z67" s="7">
        <v>4.375</v>
      </c>
      <c r="AA67" s="2"/>
      <c r="AB67" s="2" t="s">
        <v>47</v>
      </c>
      <c r="AC67" s="2"/>
    </row>
    <row r="68" spans="1:29" ht="104" x14ac:dyDescent="0.15">
      <c r="A68" s="3">
        <f>DATE(1990,2,26)</f>
        <v>32930</v>
      </c>
      <c r="B68" s="2"/>
      <c r="C68" s="2" t="s">
        <v>30</v>
      </c>
      <c r="D68" s="2" t="s">
        <v>332</v>
      </c>
      <c r="E68" s="2" t="s">
        <v>333</v>
      </c>
      <c r="F68" s="4">
        <v>4213</v>
      </c>
      <c r="G68" s="2" t="s">
        <v>173</v>
      </c>
      <c r="H68" s="2" t="s">
        <v>34</v>
      </c>
      <c r="I68" s="2" t="s">
        <v>334</v>
      </c>
      <c r="J68" s="2" t="s">
        <v>335</v>
      </c>
      <c r="K68" s="2" t="s">
        <v>173</v>
      </c>
      <c r="L68" s="2" t="s">
        <v>34</v>
      </c>
      <c r="M68" s="2"/>
      <c r="N68" s="2"/>
      <c r="O68" s="2"/>
      <c r="P68" s="2" t="s">
        <v>336</v>
      </c>
      <c r="Q68" s="2"/>
      <c r="R68" s="6">
        <v>15</v>
      </c>
      <c r="S68" s="5">
        <v>-5.5</v>
      </c>
      <c r="T68" s="7">
        <v>22.937999999999999</v>
      </c>
      <c r="U68" s="5">
        <v>8.4</v>
      </c>
      <c r="V68" s="6">
        <v>-1.3</v>
      </c>
      <c r="W68" s="6">
        <v>9.75</v>
      </c>
      <c r="X68" s="5">
        <v>9.5</v>
      </c>
      <c r="Y68" s="6">
        <v>9.75</v>
      </c>
      <c r="Z68" s="5">
        <v>11.5</v>
      </c>
      <c r="AA68" s="6">
        <v>4.91</v>
      </c>
      <c r="AB68" s="7">
        <v>54.076000000000001</v>
      </c>
      <c r="AC68" s="2"/>
    </row>
    <row r="69" spans="1:29" ht="117" x14ac:dyDescent="0.15">
      <c r="A69" s="3">
        <f>DATE(1990,2,26)</f>
        <v>32930</v>
      </c>
      <c r="B69" s="3">
        <f>DATE(1990,5,22)</f>
        <v>33015</v>
      </c>
      <c r="C69" s="2" t="s">
        <v>95</v>
      </c>
      <c r="D69" s="2" t="s">
        <v>337</v>
      </c>
      <c r="E69" s="2" t="s">
        <v>338</v>
      </c>
      <c r="F69" s="4">
        <v>5045</v>
      </c>
      <c r="G69" s="2" t="s">
        <v>76</v>
      </c>
      <c r="H69" s="2" t="s">
        <v>34</v>
      </c>
      <c r="I69" s="2" t="s">
        <v>339</v>
      </c>
      <c r="J69" s="2" t="s">
        <v>340</v>
      </c>
      <c r="K69" s="2" t="s">
        <v>341</v>
      </c>
      <c r="L69" s="2" t="s">
        <v>34</v>
      </c>
      <c r="M69" s="2"/>
      <c r="N69" s="2"/>
      <c r="O69" s="2"/>
      <c r="P69" s="2" t="s">
        <v>342</v>
      </c>
      <c r="Q69" s="6">
        <v>100</v>
      </c>
      <c r="R69" s="6">
        <v>16.93</v>
      </c>
      <c r="S69" s="5">
        <v>7.1</v>
      </c>
      <c r="T69" s="7">
        <v>18.074000000000002</v>
      </c>
      <c r="U69" s="5">
        <v>11.1</v>
      </c>
      <c r="V69" s="6">
        <v>1.7</v>
      </c>
      <c r="W69" s="5">
        <v>14.5</v>
      </c>
      <c r="X69" s="5">
        <v>14.5</v>
      </c>
      <c r="Y69" s="7">
        <v>15.375</v>
      </c>
      <c r="Z69" s="7">
        <v>15.375</v>
      </c>
      <c r="AA69" s="6">
        <v>5.9</v>
      </c>
      <c r="AB69" s="7">
        <v>6.0810000000000004</v>
      </c>
      <c r="AC69" s="6">
        <v>37.409999999999997</v>
      </c>
    </row>
    <row r="70" spans="1:29" ht="104" x14ac:dyDescent="0.15">
      <c r="A70" s="3">
        <f>DATE(1990,2,26)</f>
        <v>32930</v>
      </c>
      <c r="B70" s="3">
        <f>DATE(1990,12,3)</f>
        <v>33210</v>
      </c>
      <c r="C70" s="2" t="s">
        <v>95</v>
      </c>
      <c r="D70" s="2" t="s">
        <v>343</v>
      </c>
      <c r="E70" s="2" t="s">
        <v>344</v>
      </c>
      <c r="F70" s="4">
        <v>6035</v>
      </c>
      <c r="G70" s="2" t="s">
        <v>33</v>
      </c>
      <c r="H70" s="2" t="s">
        <v>34</v>
      </c>
      <c r="I70" s="2" t="s">
        <v>345</v>
      </c>
      <c r="J70" s="2" t="s">
        <v>36</v>
      </c>
      <c r="K70" s="2" t="s">
        <v>37</v>
      </c>
      <c r="L70" s="2" t="s">
        <v>34</v>
      </c>
      <c r="M70" s="2"/>
      <c r="N70" s="4">
        <v>49</v>
      </c>
      <c r="O70" s="6">
        <v>49.75</v>
      </c>
      <c r="P70" s="2" t="s">
        <v>346</v>
      </c>
      <c r="Q70" s="6">
        <v>100</v>
      </c>
      <c r="R70" s="6">
        <v>21.25</v>
      </c>
      <c r="S70" s="5">
        <v>1</v>
      </c>
      <c r="T70" s="7">
        <v>1.7869999999999999</v>
      </c>
      <c r="U70" s="5">
        <v>18.3</v>
      </c>
      <c r="V70" s="6">
        <v>1.17</v>
      </c>
      <c r="W70" s="7">
        <v>15.375</v>
      </c>
      <c r="X70" s="7">
        <v>15.125</v>
      </c>
      <c r="Y70" s="5">
        <v>16.5</v>
      </c>
      <c r="Z70" s="4">
        <v>18</v>
      </c>
      <c r="AA70" s="2"/>
      <c r="AB70" s="7">
        <v>77.673000000000002</v>
      </c>
      <c r="AC70" s="2"/>
    </row>
    <row r="71" spans="1:29" ht="91" x14ac:dyDescent="0.15">
      <c r="A71" s="3">
        <f>DATE(1990,2,26)</f>
        <v>32930</v>
      </c>
      <c r="B71" s="2"/>
      <c r="C71" s="2" t="s">
        <v>82</v>
      </c>
      <c r="D71" s="2" t="s">
        <v>347</v>
      </c>
      <c r="E71" s="2" t="s">
        <v>348</v>
      </c>
      <c r="F71" s="4">
        <v>7359</v>
      </c>
      <c r="G71" s="2" t="s">
        <v>223</v>
      </c>
      <c r="H71" s="2" t="s">
        <v>34</v>
      </c>
      <c r="I71" s="2" t="s">
        <v>138</v>
      </c>
      <c r="J71" s="2" t="s">
        <v>139</v>
      </c>
      <c r="K71" s="2" t="s">
        <v>53</v>
      </c>
      <c r="L71" s="2" t="s">
        <v>139</v>
      </c>
      <c r="M71" s="2"/>
      <c r="N71" s="2"/>
      <c r="O71" s="2"/>
      <c r="P71" s="2" t="s">
        <v>349</v>
      </c>
      <c r="Q71" s="2"/>
      <c r="R71" s="2"/>
      <c r="S71" s="5">
        <v>12.6</v>
      </c>
      <c r="T71" s="7">
        <v>69.429000000000002</v>
      </c>
      <c r="U71" s="5">
        <v>10.7</v>
      </c>
      <c r="V71" s="6">
        <v>0.62</v>
      </c>
      <c r="W71" s="6">
        <v>24.75</v>
      </c>
      <c r="X71" s="6">
        <v>24.75</v>
      </c>
      <c r="Y71" s="4">
        <v>30</v>
      </c>
      <c r="Z71" s="5">
        <v>31.5</v>
      </c>
      <c r="AA71" s="6">
        <v>6.35</v>
      </c>
      <c r="AB71" s="2" t="s">
        <v>47</v>
      </c>
      <c r="AC71" s="2"/>
    </row>
    <row r="72" spans="1:29" ht="78" x14ac:dyDescent="0.15">
      <c r="A72" s="3">
        <f>DATE(1990,2,26)</f>
        <v>32930</v>
      </c>
      <c r="B72" s="2"/>
      <c r="C72" s="2" t="s">
        <v>39</v>
      </c>
      <c r="D72" s="2" t="s">
        <v>347</v>
      </c>
      <c r="E72" s="2" t="s">
        <v>348</v>
      </c>
      <c r="F72" s="4">
        <v>7359</v>
      </c>
      <c r="G72" s="2" t="s">
        <v>223</v>
      </c>
      <c r="H72" s="2" t="s">
        <v>34</v>
      </c>
      <c r="I72" s="2" t="s">
        <v>350</v>
      </c>
      <c r="J72" s="2" t="s">
        <v>351</v>
      </c>
      <c r="K72" s="2" t="s">
        <v>137</v>
      </c>
      <c r="L72" s="2" t="s">
        <v>34</v>
      </c>
      <c r="M72" s="2"/>
      <c r="N72" s="6">
        <v>61.25</v>
      </c>
      <c r="O72" s="4">
        <v>62</v>
      </c>
      <c r="P72" s="2" t="s">
        <v>352</v>
      </c>
      <c r="Q72" s="2"/>
      <c r="R72" s="2"/>
      <c r="S72" s="5">
        <v>12.6</v>
      </c>
      <c r="T72" s="7">
        <v>69.429000000000002</v>
      </c>
      <c r="U72" s="5">
        <v>10.7</v>
      </c>
      <c r="V72" s="6">
        <v>0.62</v>
      </c>
      <c r="W72" s="6">
        <v>24.75</v>
      </c>
      <c r="X72" s="6">
        <v>24.75</v>
      </c>
      <c r="Y72" s="4">
        <v>30</v>
      </c>
      <c r="Z72" s="5">
        <v>31.5</v>
      </c>
      <c r="AA72" s="2"/>
      <c r="AB72" s="2" t="s">
        <v>47</v>
      </c>
      <c r="AC72" s="8">
        <v>17545</v>
      </c>
    </row>
    <row r="73" spans="1:29" ht="65" x14ac:dyDescent="0.15">
      <c r="A73" s="3">
        <f>DATE(1990,2,28)</f>
        <v>32932</v>
      </c>
      <c r="B73" s="2"/>
      <c r="C73" s="2" t="s">
        <v>87</v>
      </c>
      <c r="D73" s="2" t="s">
        <v>353</v>
      </c>
      <c r="E73" s="2" t="s">
        <v>354</v>
      </c>
      <c r="F73" s="4">
        <v>3571</v>
      </c>
      <c r="G73" s="2" t="s">
        <v>50</v>
      </c>
      <c r="H73" s="2" t="s">
        <v>34</v>
      </c>
      <c r="I73" s="2" t="s">
        <v>138</v>
      </c>
      <c r="J73" s="2" t="s">
        <v>139</v>
      </c>
      <c r="K73" s="2" t="s">
        <v>53</v>
      </c>
      <c r="L73" s="2" t="s">
        <v>139</v>
      </c>
      <c r="M73" s="2"/>
      <c r="N73" s="2"/>
      <c r="O73" s="2"/>
      <c r="P73" s="2" t="s">
        <v>355</v>
      </c>
      <c r="Q73" s="2"/>
      <c r="R73" s="2"/>
      <c r="S73" s="5">
        <v>875.8</v>
      </c>
      <c r="T73" s="2"/>
      <c r="U73" s="5">
        <v>68.3</v>
      </c>
      <c r="V73" s="2"/>
      <c r="W73" s="7">
        <v>72.875</v>
      </c>
      <c r="X73" s="4">
        <v>72</v>
      </c>
      <c r="Y73" s="4">
        <v>78</v>
      </c>
      <c r="Z73" s="5">
        <v>74.5</v>
      </c>
      <c r="AA73" s="2"/>
      <c r="AB73" s="2" t="s">
        <v>47</v>
      </c>
      <c r="AC73" s="2"/>
    </row>
    <row r="74" spans="1:29" ht="65" x14ac:dyDescent="0.15">
      <c r="A74" s="3">
        <f>DATE(1990,3,1)</f>
        <v>32933</v>
      </c>
      <c r="B74" s="2"/>
      <c r="C74" s="2" t="s">
        <v>189</v>
      </c>
      <c r="D74" s="2" t="s">
        <v>356</v>
      </c>
      <c r="E74" s="2" t="s">
        <v>357</v>
      </c>
      <c r="F74" s="4">
        <v>2844</v>
      </c>
      <c r="G74" s="2" t="s">
        <v>358</v>
      </c>
      <c r="H74" s="2" t="s">
        <v>34</v>
      </c>
      <c r="I74" s="2" t="s">
        <v>143</v>
      </c>
      <c r="J74" s="2" t="s">
        <v>144</v>
      </c>
      <c r="K74" s="2" t="s">
        <v>53</v>
      </c>
      <c r="L74" s="2" t="s">
        <v>139</v>
      </c>
      <c r="M74" s="2"/>
      <c r="N74" s="2"/>
      <c r="O74" s="2"/>
      <c r="P74" s="2" t="s">
        <v>359</v>
      </c>
      <c r="Q74" s="2"/>
      <c r="R74" s="2"/>
      <c r="S74" s="5">
        <v>-0.8</v>
      </c>
      <c r="T74" s="2"/>
      <c r="U74" s="5">
        <v>1.9</v>
      </c>
      <c r="V74" s="2"/>
      <c r="W74" s="7">
        <v>5.2030000000000003</v>
      </c>
      <c r="X74" s="7">
        <v>5.375</v>
      </c>
      <c r="Y74" s="7">
        <v>5.359</v>
      </c>
      <c r="Z74" s="7">
        <v>5.7030000000000003</v>
      </c>
      <c r="AA74" s="2"/>
      <c r="AB74" s="2" t="s">
        <v>86</v>
      </c>
      <c r="AC74" s="2"/>
    </row>
    <row r="75" spans="1:29" ht="78" x14ac:dyDescent="0.15">
      <c r="A75" s="3">
        <f>DATE(1990,3,2)</f>
        <v>32934</v>
      </c>
      <c r="B75" s="2"/>
      <c r="C75" s="2" t="s">
        <v>30</v>
      </c>
      <c r="D75" s="2" t="s">
        <v>360</v>
      </c>
      <c r="E75" s="2" t="s">
        <v>361</v>
      </c>
      <c r="F75" s="4">
        <v>3651</v>
      </c>
      <c r="G75" s="2" t="s">
        <v>137</v>
      </c>
      <c r="H75" s="2" t="s">
        <v>34</v>
      </c>
      <c r="I75" s="2" t="s">
        <v>362</v>
      </c>
      <c r="J75" s="2" t="s">
        <v>363</v>
      </c>
      <c r="K75" s="2" t="s">
        <v>364</v>
      </c>
      <c r="L75" s="2" t="s">
        <v>34</v>
      </c>
      <c r="M75" s="2"/>
      <c r="N75" s="2"/>
      <c r="O75" s="2"/>
      <c r="P75" s="2" t="s">
        <v>365</v>
      </c>
      <c r="Q75" s="2"/>
      <c r="R75" s="2"/>
      <c r="S75" s="5">
        <v>-1.5</v>
      </c>
      <c r="T75" s="2"/>
      <c r="U75" s="5">
        <v>19.8</v>
      </c>
      <c r="V75" s="2"/>
      <c r="W75" s="6">
        <v>1.75</v>
      </c>
      <c r="X75" s="7">
        <v>2.375</v>
      </c>
      <c r="Y75" s="11">
        <v>2.40625</v>
      </c>
      <c r="Z75" s="5">
        <v>2.5</v>
      </c>
      <c r="AA75" s="2"/>
      <c r="AB75" s="2" t="s">
        <v>86</v>
      </c>
      <c r="AC75" s="2"/>
    </row>
    <row r="76" spans="1:29" ht="143" x14ac:dyDescent="0.15">
      <c r="A76" s="3">
        <f>DATE(1990,3,2)</f>
        <v>32934</v>
      </c>
      <c r="B76" s="3">
        <f>DATE(1990,8,10)</f>
        <v>33095</v>
      </c>
      <c r="C76" s="2" t="s">
        <v>95</v>
      </c>
      <c r="D76" s="2" t="s">
        <v>366</v>
      </c>
      <c r="E76" s="2" t="s">
        <v>367</v>
      </c>
      <c r="F76" s="4">
        <v>6211</v>
      </c>
      <c r="G76" s="2" t="s">
        <v>53</v>
      </c>
      <c r="H76" s="2" t="s">
        <v>34</v>
      </c>
      <c r="I76" s="2" t="s">
        <v>368</v>
      </c>
      <c r="J76" s="2" t="s">
        <v>369</v>
      </c>
      <c r="K76" s="2" t="s">
        <v>370</v>
      </c>
      <c r="L76" s="2" t="s">
        <v>34</v>
      </c>
      <c r="M76" s="2"/>
      <c r="N76" s="7">
        <v>29.375</v>
      </c>
      <c r="O76" s="5">
        <v>27.5</v>
      </c>
      <c r="P76" s="2" t="s">
        <v>371</v>
      </c>
      <c r="Q76" s="6">
        <v>31.57</v>
      </c>
      <c r="R76" s="6">
        <v>12.9</v>
      </c>
      <c r="S76" s="5">
        <v>-633</v>
      </c>
      <c r="T76" s="5">
        <v>-302</v>
      </c>
      <c r="U76" s="5">
        <v>14.9</v>
      </c>
      <c r="V76" s="6">
        <v>-7.56</v>
      </c>
      <c r="W76" s="7">
        <v>10.875</v>
      </c>
      <c r="X76" s="4">
        <v>13</v>
      </c>
      <c r="Y76" s="5">
        <v>12.5</v>
      </c>
      <c r="Z76" s="7">
        <v>11.875</v>
      </c>
      <c r="AA76" s="6">
        <v>88.41</v>
      </c>
      <c r="AB76" s="2" t="s">
        <v>86</v>
      </c>
      <c r="AC76" s="8">
        <v>7452</v>
      </c>
    </row>
    <row r="77" spans="1:29" ht="143" x14ac:dyDescent="0.15">
      <c r="A77" s="3">
        <f>DATE(1990,3,2)</f>
        <v>32934</v>
      </c>
      <c r="B77" s="3">
        <f>DATE(1990,5,31)</f>
        <v>33024</v>
      </c>
      <c r="C77" s="2" t="s">
        <v>95</v>
      </c>
      <c r="D77" s="2" t="s">
        <v>372</v>
      </c>
      <c r="E77" s="2" t="s">
        <v>373</v>
      </c>
      <c r="F77" s="4">
        <v>7374</v>
      </c>
      <c r="G77" s="2" t="s">
        <v>223</v>
      </c>
      <c r="H77" s="2" t="s">
        <v>34</v>
      </c>
      <c r="I77" s="2" t="s">
        <v>374</v>
      </c>
      <c r="J77" s="2" t="s">
        <v>375</v>
      </c>
      <c r="K77" s="2" t="s">
        <v>63</v>
      </c>
      <c r="L77" s="2" t="s">
        <v>34</v>
      </c>
      <c r="M77" s="12">
        <v>2221.4949999999999</v>
      </c>
      <c r="N77" s="4">
        <v>33</v>
      </c>
      <c r="O77" s="7">
        <v>30.875</v>
      </c>
      <c r="P77" s="2" t="s">
        <v>376</v>
      </c>
      <c r="Q77" s="6">
        <v>100</v>
      </c>
      <c r="R77" s="6">
        <v>42.73</v>
      </c>
      <c r="S77" s="5">
        <v>18.899999999999999</v>
      </c>
      <c r="T77" s="7">
        <v>43.304000000000002</v>
      </c>
      <c r="U77" s="5">
        <v>7</v>
      </c>
      <c r="V77" s="6">
        <v>1.68</v>
      </c>
      <c r="W77" s="6">
        <v>30.25</v>
      </c>
      <c r="X77" s="5">
        <v>30.5</v>
      </c>
      <c r="Y77" s="6">
        <v>30.25</v>
      </c>
      <c r="Z77" s="7">
        <v>38.125</v>
      </c>
      <c r="AA77" s="6">
        <v>10.73</v>
      </c>
      <c r="AB77" s="7">
        <v>15.276999999999999</v>
      </c>
      <c r="AC77" s="6">
        <v>29.08</v>
      </c>
    </row>
    <row r="78" spans="1:29" ht="156" x14ac:dyDescent="0.15">
      <c r="A78" s="3">
        <f>DATE(1990,3,5)</f>
        <v>32937</v>
      </c>
      <c r="B78" s="2"/>
      <c r="C78" s="2" t="s">
        <v>141</v>
      </c>
      <c r="D78" s="2" t="s">
        <v>377</v>
      </c>
      <c r="E78" s="2" t="s">
        <v>378</v>
      </c>
      <c r="F78" s="4">
        <v>2511</v>
      </c>
      <c r="G78" s="2" t="s">
        <v>250</v>
      </c>
      <c r="H78" s="2" t="s">
        <v>34</v>
      </c>
      <c r="I78" s="2" t="s">
        <v>143</v>
      </c>
      <c r="J78" s="2" t="s">
        <v>144</v>
      </c>
      <c r="K78" s="2" t="s">
        <v>53</v>
      </c>
      <c r="L78" s="2" t="s">
        <v>139</v>
      </c>
      <c r="M78" s="2"/>
      <c r="N78" s="2"/>
      <c r="O78" s="2"/>
      <c r="P78" s="2" t="s">
        <v>379</v>
      </c>
      <c r="Q78" s="2"/>
      <c r="R78" s="2"/>
      <c r="S78" s="5">
        <v>166.9</v>
      </c>
      <c r="T78" s="2"/>
      <c r="U78" s="2"/>
      <c r="V78" s="2"/>
      <c r="W78" s="6">
        <v>35.25</v>
      </c>
      <c r="X78" s="6">
        <v>35.75</v>
      </c>
      <c r="Y78" s="7">
        <v>36.125</v>
      </c>
      <c r="Z78" s="7">
        <v>36.375</v>
      </c>
      <c r="AA78" s="6">
        <v>41.53</v>
      </c>
      <c r="AB78" s="2" t="s">
        <v>47</v>
      </c>
      <c r="AC78" s="2"/>
    </row>
    <row r="79" spans="1:29" ht="143" x14ac:dyDescent="0.15">
      <c r="A79" s="3">
        <f>DATE(1990,3,6)</f>
        <v>32938</v>
      </c>
      <c r="B79" s="3">
        <f>DATE(1990,11,1)</f>
        <v>33178</v>
      </c>
      <c r="C79" s="2" t="s">
        <v>95</v>
      </c>
      <c r="D79" s="2" t="s">
        <v>380</v>
      </c>
      <c r="E79" s="2" t="s">
        <v>381</v>
      </c>
      <c r="F79" s="4">
        <v>7812</v>
      </c>
      <c r="G79" s="2" t="s">
        <v>42</v>
      </c>
      <c r="H79" s="2" t="s">
        <v>34</v>
      </c>
      <c r="I79" s="2" t="s">
        <v>382</v>
      </c>
      <c r="J79" s="2" t="s">
        <v>383</v>
      </c>
      <c r="K79" s="2" t="s">
        <v>42</v>
      </c>
      <c r="L79" s="2" t="s">
        <v>34</v>
      </c>
      <c r="M79" s="7">
        <v>238.988</v>
      </c>
      <c r="N79" s="6">
        <v>4.25</v>
      </c>
      <c r="O79" s="6">
        <v>4.75</v>
      </c>
      <c r="P79" s="2" t="s">
        <v>384</v>
      </c>
      <c r="Q79" s="6">
        <v>100</v>
      </c>
      <c r="R79" s="6">
        <v>21.5</v>
      </c>
      <c r="S79" s="5">
        <v>-37.200000000000003</v>
      </c>
      <c r="T79" s="7">
        <v>522.79499999999996</v>
      </c>
      <c r="U79" s="5">
        <v>6.3</v>
      </c>
      <c r="V79" s="6">
        <v>-0.77</v>
      </c>
      <c r="W79" s="7">
        <v>17.125</v>
      </c>
      <c r="X79" s="7">
        <v>16.875</v>
      </c>
      <c r="Y79" s="6">
        <v>16.75</v>
      </c>
      <c r="Z79" s="7">
        <v>18.125</v>
      </c>
      <c r="AA79" s="6">
        <v>50.97</v>
      </c>
      <c r="AB79" s="7">
        <v>31.675000000000001</v>
      </c>
      <c r="AC79" s="6">
        <v>6.63</v>
      </c>
    </row>
    <row r="80" spans="1:29" ht="91" x14ac:dyDescent="0.15">
      <c r="A80" s="3">
        <f>DATE(1990,3,6)</f>
        <v>32938</v>
      </c>
      <c r="B80" s="2"/>
      <c r="C80" s="2" t="s">
        <v>189</v>
      </c>
      <c r="D80" s="2" t="s">
        <v>385</v>
      </c>
      <c r="E80" s="2" t="s">
        <v>386</v>
      </c>
      <c r="F80" s="4">
        <v>6726</v>
      </c>
      <c r="G80" s="2" t="s">
        <v>53</v>
      </c>
      <c r="H80" s="2" t="s">
        <v>34</v>
      </c>
      <c r="I80" s="2" t="s">
        <v>143</v>
      </c>
      <c r="J80" s="2" t="s">
        <v>144</v>
      </c>
      <c r="K80" s="2" t="s">
        <v>53</v>
      </c>
      <c r="L80" s="2" t="s">
        <v>139</v>
      </c>
      <c r="M80" s="2"/>
      <c r="N80" s="2"/>
      <c r="O80" s="2"/>
      <c r="P80" s="2" t="s">
        <v>387</v>
      </c>
      <c r="Q80" s="2"/>
      <c r="R80" s="2"/>
      <c r="S80" s="5">
        <v>0.7</v>
      </c>
      <c r="T80" s="2"/>
      <c r="U80" s="5">
        <v>10.8</v>
      </c>
      <c r="V80" s="6">
        <v>0.35</v>
      </c>
      <c r="W80" s="7">
        <v>9.375</v>
      </c>
      <c r="X80" s="5">
        <v>9.5</v>
      </c>
      <c r="Y80" s="4">
        <v>10</v>
      </c>
      <c r="Z80" s="6">
        <v>9.75</v>
      </c>
      <c r="AA80" s="2"/>
      <c r="AB80" s="2" t="s">
        <v>47</v>
      </c>
      <c r="AC80" s="2"/>
    </row>
    <row r="81" spans="1:29" ht="143" x14ac:dyDescent="0.15">
      <c r="A81" s="3">
        <f>DATE(1990,3,8)</f>
        <v>32940</v>
      </c>
      <c r="B81" s="3">
        <f>DATE(1990,12,31)</f>
        <v>33238</v>
      </c>
      <c r="C81" s="2" t="s">
        <v>95</v>
      </c>
      <c r="D81" s="2" t="s">
        <v>388</v>
      </c>
      <c r="E81" s="2" t="s">
        <v>389</v>
      </c>
      <c r="F81" s="4">
        <v>6035</v>
      </c>
      <c r="G81" s="2" t="s">
        <v>33</v>
      </c>
      <c r="H81" s="2" t="s">
        <v>34</v>
      </c>
      <c r="I81" s="2" t="s">
        <v>390</v>
      </c>
      <c r="J81" s="2" t="s">
        <v>159</v>
      </c>
      <c r="K81" s="2" t="s">
        <v>37</v>
      </c>
      <c r="L81" s="2" t="s">
        <v>34</v>
      </c>
      <c r="M81" s="7">
        <v>804.077</v>
      </c>
      <c r="N81" s="5">
        <v>18.5</v>
      </c>
      <c r="O81" s="5">
        <v>18.5</v>
      </c>
      <c r="P81" s="2" t="s">
        <v>391</v>
      </c>
      <c r="Q81" s="6">
        <v>95.44</v>
      </c>
      <c r="R81" s="6">
        <v>23.5</v>
      </c>
      <c r="S81" s="5">
        <v>1.9</v>
      </c>
      <c r="T81" s="6">
        <v>2.96</v>
      </c>
      <c r="U81" s="5">
        <v>15.9</v>
      </c>
      <c r="V81" s="6">
        <v>1.28</v>
      </c>
      <c r="W81" s="7">
        <v>12.375</v>
      </c>
      <c r="X81" s="5">
        <v>12.5</v>
      </c>
      <c r="Y81" s="4">
        <v>17</v>
      </c>
      <c r="Z81" s="6">
        <v>17.25</v>
      </c>
      <c r="AA81" s="6">
        <v>1.46</v>
      </c>
      <c r="AB81" s="7">
        <v>67.308000000000007</v>
      </c>
      <c r="AC81" s="2"/>
    </row>
    <row r="82" spans="1:29" ht="78" x14ac:dyDescent="0.15">
      <c r="A82" s="3">
        <f>DATE(1990,3,9)</f>
        <v>32941</v>
      </c>
      <c r="B82" s="2"/>
      <c r="C82" s="2" t="s">
        <v>141</v>
      </c>
      <c r="D82" s="2" t="s">
        <v>392</v>
      </c>
      <c r="E82" s="2" t="s">
        <v>393</v>
      </c>
      <c r="F82" s="4">
        <v>3694</v>
      </c>
      <c r="G82" s="2" t="s">
        <v>137</v>
      </c>
      <c r="H82" s="2" t="s">
        <v>34</v>
      </c>
      <c r="I82" s="2" t="s">
        <v>143</v>
      </c>
      <c r="J82" s="2" t="s">
        <v>144</v>
      </c>
      <c r="K82" s="2" t="s">
        <v>53</v>
      </c>
      <c r="L82" s="2" t="s">
        <v>139</v>
      </c>
      <c r="M82" s="2"/>
      <c r="N82" s="2"/>
      <c r="O82" s="2"/>
      <c r="P82" s="2" t="s">
        <v>394</v>
      </c>
      <c r="Q82" s="2"/>
      <c r="R82" s="2"/>
      <c r="S82" s="5">
        <v>-2.8</v>
      </c>
      <c r="T82" s="2"/>
      <c r="U82" s="5">
        <v>9.6</v>
      </c>
      <c r="V82" s="2"/>
      <c r="W82" s="7">
        <v>5.375</v>
      </c>
      <c r="X82" s="7">
        <v>5.5629999999999997</v>
      </c>
      <c r="Y82" s="7">
        <v>6.375</v>
      </c>
      <c r="Z82" s="7">
        <v>6.125</v>
      </c>
      <c r="AA82" s="2"/>
      <c r="AB82" s="2" t="s">
        <v>86</v>
      </c>
      <c r="AC82" s="2"/>
    </row>
    <row r="83" spans="1:29" ht="156" x14ac:dyDescent="0.15">
      <c r="A83" s="3">
        <f>DATE(1990,3,9)</f>
        <v>32941</v>
      </c>
      <c r="B83" s="3">
        <f>DATE(1990,10,24)</f>
        <v>33170</v>
      </c>
      <c r="C83" s="2" t="s">
        <v>95</v>
      </c>
      <c r="D83" s="2" t="s">
        <v>395</v>
      </c>
      <c r="E83" s="2" t="s">
        <v>396</v>
      </c>
      <c r="F83" s="4">
        <v>2721</v>
      </c>
      <c r="G83" s="2" t="s">
        <v>186</v>
      </c>
      <c r="H83" s="2" t="s">
        <v>34</v>
      </c>
      <c r="I83" s="2" t="s">
        <v>397</v>
      </c>
      <c r="J83" s="2" t="s">
        <v>398</v>
      </c>
      <c r="K83" s="2" t="s">
        <v>42</v>
      </c>
      <c r="L83" s="2" t="s">
        <v>34</v>
      </c>
      <c r="M83" s="2"/>
      <c r="N83" s="4">
        <v>3</v>
      </c>
      <c r="O83" s="4">
        <v>3</v>
      </c>
      <c r="P83" s="2" t="s">
        <v>399</v>
      </c>
      <c r="Q83" s="6">
        <v>100</v>
      </c>
      <c r="R83" s="6">
        <v>3</v>
      </c>
      <c r="S83" s="5">
        <v>-1.5</v>
      </c>
      <c r="T83" s="7">
        <v>-1.0980000000000001</v>
      </c>
      <c r="U83" s="5">
        <v>1.9</v>
      </c>
      <c r="V83" s="6">
        <v>-0.99</v>
      </c>
      <c r="W83" s="7">
        <v>2.875</v>
      </c>
      <c r="X83" s="5">
        <v>3.5</v>
      </c>
      <c r="Y83" s="7">
        <v>3.125</v>
      </c>
      <c r="Z83" s="7">
        <v>3.125</v>
      </c>
      <c r="AA83" s="6">
        <v>1.56</v>
      </c>
      <c r="AB83" s="2" t="s">
        <v>86</v>
      </c>
      <c r="AC83" s="2"/>
    </row>
    <row r="84" spans="1:29" ht="52" x14ac:dyDescent="0.15">
      <c r="A84" s="3">
        <f>DATE(1990,3,12)</f>
        <v>32944</v>
      </c>
      <c r="B84" s="2"/>
      <c r="C84" s="2" t="s">
        <v>30</v>
      </c>
      <c r="D84" s="2" t="s">
        <v>400</v>
      </c>
      <c r="E84" s="2" t="s">
        <v>401</v>
      </c>
      <c r="F84" s="4">
        <v>1623</v>
      </c>
      <c r="G84" s="2" t="s">
        <v>341</v>
      </c>
      <c r="H84" s="2" t="s">
        <v>34</v>
      </c>
      <c r="I84" s="2" t="s">
        <v>402</v>
      </c>
      <c r="J84" s="2" t="s">
        <v>403</v>
      </c>
      <c r="K84" s="2" t="s">
        <v>341</v>
      </c>
      <c r="L84" s="2" t="s">
        <v>34</v>
      </c>
      <c r="M84" s="2"/>
      <c r="N84" s="5">
        <v>6.5</v>
      </c>
      <c r="O84" s="6">
        <v>6.25</v>
      </c>
      <c r="P84" s="2" t="s">
        <v>404</v>
      </c>
      <c r="Q84" s="2"/>
      <c r="R84" s="2"/>
      <c r="S84" s="5">
        <v>1.5</v>
      </c>
      <c r="T84" s="7">
        <v>4.8639999999999999</v>
      </c>
      <c r="U84" s="5">
        <v>8.9</v>
      </c>
      <c r="V84" s="6">
        <v>0.15</v>
      </c>
      <c r="W84" s="7">
        <v>3.375</v>
      </c>
      <c r="X84" s="7">
        <v>3.0630000000000002</v>
      </c>
      <c r="Y84" s="7">
        <v>3.0630000000000002</v>
      </c>
      <c r="Z84" s="6">
        <v>3.75</v>
      </c>
      <c r="AA84" s="6">
        <v>0.32</v>
      </c>
      <c r="AB84" s="2" t="s">
        <v>47</v>
      </c>
      <c r="AC84" s="6">
        <v>12.95</v>
      </c>
    </row>
    <row r="85" spans="1:29" ht="156" x14ac:dyDescent="0.15">
      <c r="A85" s="3">
        <f>DATE(1990,3,13)</f>
        <v>32945</v>
      </c>
      <c r="B85" s="3">
        <f>DATE(1990,3,16)</f>
        <v>32948</v>
      </c>
      <c r="C85" s="2" t="s">
        <v>95</v>
      </c>
      <c r="D85" s="2" t="s">
        <v>405</v>
      </c>
      <c r="E85" s="2" t="s">
        <v>406</v>
      </c>
      <c r="F85" s="4">
        <v>3499</v>
      </c>
      <c r="G85" s="2" t="s">
        <v>163</v>
      </c>
      <c r="H85" s="2" t="s">
        <v>34</v>
      </c>
      <c r="I85" s="2" t="s">
        <v>407</v>
      </c>
      <c r="J85" s="2" t="s">
        <v>408</v>
      </c>
      <c r="K85" s="2" t="s">
        <v>53</v>
      </c>
      <c r="L85" s="2" t="s">
        <v>34</v>
      </c>
      <c r="M85" s="2"/>
      <c r="N85" s="2"/>
      <c r="O85" s="2"/>
      <c r="P85" s="2" t="s">
        <v>409</v>
      </c>
      <c r="Q85" s="2"/>
      <c r="R85" s="2"/>
      <c r="S85" s="5">
        <v>-1.7</v>
      </c>
      <c r="T85" s="2"/>
      <c r="U85" s="5">
        <v>2</v>
      </c>
      <c r="V85" s="2"/>
      <c r="W85" s="4">
        <v>2</v>
      </c>
      <c r="X85" s="7">
        <v>2.0630000000000002</v>
      </c>
      <c r="Y85" s="4">
        <v>2</v>
      </c>
      <c r="Z85" s="7">
        <v>2.3130000000000002</v>
      </c>
      <c r="AA85" s="2"/>
      <c r="AB85" s="2" t="s">
        <v>86</v>
      </c>
      <c r="AC85" s="2"/>
    </row>
    <row r="86" spans="1:29" ht="78" x14ac:dyDescent="0.15">
      <c r="A86" s="3">
        <f>DATE(1990,3,14)</f>
        <v>32946</v>
      </c>
      <c r="B86" s="2"/>
      <c r="C86" s="2" t="s">
        <v>30</v>
      </c>
      <c r="D86" s="2" t="s">
        <v>410</v>
      </c>
      <c r="E86" s="2" t="s">
        <v>203</v>
      </c>
      <c r="F86" s="4">
        <v>6036</v>
      </c>
      <c r="G86" s="2" t="s">
        <v>33</v>
      </c>
      <c r="H86" s="2" t="s">
        <v>34</v>
      </c>
      <c r="I86" s="2" t="s">
        <v>411</v>
      </c>
      <c r="J86" s="2" t="s">
        <v>389</v>
      </c>
      <c r="K86" s="2" t="s">
        <v>33</v>
      </c>
      <c r="L86" s="2" t="s">
        <v>34</v>
      </c>
      <c r="M86" s="2"/>
      <c r="N86" s="2"/>
      <c r="O86" s="2"/>
      <c r="P86" s="2" t="s">
        <v>412</v>
      </c>
      <c r="Q86" s="2"/>
      <c r="R86" s="6">
        <v>1</v>
      </c>
      <c r="S86" s="5">
        <v>-2.6</v>
      </c>
      <c r="T86" s="7">
        <v>-3.4279999999999999</v>
      </c>
      <c r="U86" s="5">
        <v>1.5</v>
      </c>
      <c r="V86" s="6">
        <v>-1.1100000000000001</v>
      </c>
      <c r="W86" s="6">
        <v>1.25</v>
      </c>
      <c r="X86" s="6">
        <v>1.25</v>
      </c>
      <c r="Y86" s="6">
        <v>1.25</v>
      </c>
      <c r="Z86" s="6">
        <v>1.25</v>
      </c>
      <c r="AA86" s="6">
        <v>2.34</v>
      </c>
      <c r="AB86" s="2" t="s">
        <v>86</v>
      </c>
      <c r="AC86" s="2"/>
    </row>
    <row r="87" spans="1:29" ht="52" x14ac:dyDescent="0.15">
      <c r="A87" s="3">
        <f>DATE(1990,3,15)</f>
        <v>32947</v>
      </c>
      <c r="B87" s="2"/>
      <c r="C87" s="2" t="s">
        <v>30</v>
      </c>
      <c r="D87" s="2" t="s">
        <v>413</v>
      </c>
      <c r="E87" s="2" t="s">
        <v>414</v>
      </c>
      <c r="F87" s="4">
        <v>8299</v>
      </c>
      <c r="G87" s="2" t="s">
        <v>415</v>
      </c>
      <c r="H87" s="2" t="s">
        <v>34</v>
      </c>
      <c r="I87" s="2" t="s">
        <v>416</v>
      </c>
      <c r="J87" s="2" t="s">
        <v>417</v>
      </c>
      <c r="K87" s="2" t="s">
        <v>186</v>
      </c>
      <c r="L87" s="2" t="s">
        <v>34</v>
      </c>
      <c r="M87" s="2"/>
      <c r="N87" s="2"/>
      <c r="O87" s="2"/>
      <c r="P87" s="2" t="s">
        <v>418</v>
      </c>
      <c r="Q87" s="2"/>
      <c r="R87" s="2"/>
      <c r="S87" s="5">
        <v>13.7</v>
      </c>
      <c r="T87" s="7">
        <v>36.796999999999997</v>
      </c>
      <c r="U87" s="5">
        <v>7.9</v>
      </c>
      <c r="V87" s="6">
        <v>0.63</v>
      </c>
      <c r="W87" s="6">
        <v>16.13</v>
      </c>
      <c r="X87" s="6">
        <v>15.75</v>
      </c>
      <c r="Y87" s="2"/>
      <c r="Z87" s="2"/>
      <c r="AA87" s="2"/>
      <c r="AB87" s="2" t="s">
        <v>47</v>
      </c>
      <c r="AC87" s="2"/>
    </row>
    <row r="88" spans="1:29" ht="65" x14ac:dyDescent="0.15">
      <c r="A88" s="3">
        <f>DATE(1990,3,15)</f>
        <v>32947</v>
      </c>
      <c r="B88" s="2"/>
      <c r="C88" s="2" t="s">
        <v>30</v>
      </c>
      <c r="D88" s="2" t="s">
        <v>419</v>
      </c>
      <c r="E88" s="2" t="s">
        <v>420</v>
      </c>
      <c r="F88" s="4">
        <v>4812</v>
      </c>
      <c r="G88" s="2" t="s">
        <v>63</v>
      </c>
      <c r="H88" s="2" t="s">
        <v>34</v>
      </c>
      <c r="I88" s="2" t="s">
        <v>138</v>
      </c>
      <c r="J88" s="2" t="s">
        <v>139</v>
      </c>
      <c r="K88" s="2" t="s">
        <v>53</v>
      </c>
      <c r="L88" s="2" t="s">
        <v>139</v>
      </c>
      <c r="M88" s="2"/>
      <c r="N88" s="2"/>
      <c r="O88" s="2"/>
      <c r="P88" s="2" t="s">
        <v>421</v>
      </c>
      <c r="Q88" s="2"/>
      <c r="R88" s="2"/>
      <c r="S88" s="5">
        <v>-7.1</v>
      </c>
      <c r="T88" s="7">
        <v>17.800999999999998</v>
      </c>
      <c r="U88" s="5">
        <v>1.3</v>
      </c>
      <c r="V88" s="6">
        <v>-0.46</v>
      </c>
      <c r="W88" s="7">
        <v>3.125</v>
      </c>
      <c r="X88" s="7">
        <v>3.375</v>
      </c>
      <c r="Y88" s="7">
        <v>3.625</v>
      </c>
      <c r="Z88" s="4">
        <v>4</v>
      </c>
      <c r="AA88" s="2"/>
      <c r="AB88" s="2" t="s">
        <v>47</v>
      </c>
      <c r="AC88" s="2"/>
    </row>
    <row r="89" spans="1:29" ht="104" x14ac:dyDescent="0.15">
      <c r="A89" s="3">
        <f>DATE(1990,3,15)</f>
        <v>32947</v>
      </c>
      <c r="B89" s="3">
        <f>DATE(1990,3,15)</f>
        <v>32947</v>
      </c>
      <c r="C89" s="2" t="s">
        <v>95</v>
      </c>
      <c r="D89" s="2" t="s">
        <v>422</v>
      </c>
      <c r="E89" s="2" t="s">
        <v>423</v>
      </c>
      <c r="F89" s="4">
        <v>1531</v>
      </c>
      <c r="G89" s="2" t="s">
        <v>341</v>
      </c>
      <c r="H89" s="2" t="s">
        <v>34</v>
      </c>
      <c r="I89" s="2" t="s">
        <v>424</v>
      </c>
      <c r="J89" s="2" t="s">
        <v>425</v>
      </c>
      <c r="K89" s="2" t="s">
        <v>426</v>
      </c>
      <c r="L89" s="2" t="s">
        <v>34</v>
      </c>
      <c r="M89" s="2"/>
      <c r="N89" s="7">
        <v>6.875</v>
      </c>
      <c r="O89" s="6">
        <v>6.75</v>
      </c>
      <c r="P89" s="2" t="s">
        <v>427</v>
      </c>
      <c r="Q89" s="2"/>
      <c r="R89" s="2"/>
      <c r="S89" s="5">
        <v>-2.8</v>
      </c>
      <c r="T89" s="7">
        <v>-1.6080000000000001</v>
      </c>
      <c r="U89" s="5">
        <v>0.3</v>
      </c>
      <c r="V89" s="6">
        <v>-1.06</v>
      </c>
      <c r="W89" s="7">
        <v>2.625</v>
      </c>
      <c r="X89" s="7">
        <v>2.875</v>
      </c>
      <c r="Y89" s="6">
        <v>2.75</v>
      </c>
      <c r="Z89" s="7">
        <v>2.625</v>
      </c>
      <c r="AA89" s="6">
        <v>10</v>
      </c>
      <c r="AB89" s="2" t="s">
        <v>86</v>
      </c>
      <c r="AC89" s="6">
        <v>3.37</v>
      </c>
    </row>
    <row r="90" spans="1:29" ht="117" x14ac:dyDescent="0.15">
      <c r="A90" s="3">
        <f>DATE(1990,3,15)</f>
        <v>32947</v>
      </c>
      <c r="B90" s="3">
        <f>DATE(1990,10,5)</f>
        <v>33151</v>
      </c>
      <c r="C90" s="2" t="s">
        <v>95</v>
      </c>
      <c r="D90" s="2" t="s">
        <v>428</v>
      </c>
      <c r="E90" s="2" t="s">
        <v>429</v>
      </c>
      <c r="F90" s="4">
        <v>3559</v>
      </c>
      <c r="G90" s="2" t="s">
        <v>300</v>
      </c>
      <c r="H90" s="2" t="s">
        <v>34</v>
      </c>
      <c r="I90" s="2" t="s">
        <v>149</v>
      </c>
      <c r="J90" s="2" t="s">
        <v>150</v>
      </c>
      <c r="K90" s="2" t="s">
        <v>53</v>
      </c>
      <c r="L90" s="2" t="s">
        <v>151</v>
      </c>
      <c r="M90" s="2"/>
      <c r="N90" s="2"/>
      <c r="O90" s="2"/>
      <c r="P90" s="2" t="s">
        <v>430</v>
      </c>
      <c r="Q90" s="6">
        <v>70</v>
      </c>
      <c r="R90" s="6">
        <v>5.75</v>
      </c>
      <c r="S90" s="5">
        <v>1.4</v>
      </c>
      <c r="T90" s="7">
        <v>3.8530000000000002</v>
      </c>
      <c r="U90" s="5">
        <v>3.6</v>
      </c>
      <c r="V90" s="6">
        <v>0.69</v>
      </c>
      <c r="W90" s="4">
        <v>4</v>
      </c>
      <c r="X90" s="4">
        <v>4</v>
      </c>
      <c r="Y90" s="6">
        <v>4.75</v>
      </c>
      <c r="Z90" s="6">
        <v>4.75</v>
      </c>
      <c r="AA90" s="6">
        <v>3.5</v>
      </c>
      <c r="AB90" s="7">
        <v>7.02</v>
      </c>
      <c r="AC90" s="2"/>
    </row>
    <row r="91" spans="1:29" ht="143" x14ac:dyDescent="0.15">
      <c r="A91" s="3">
        <f>DATE(1990,3,16)</f>
        <v>32948</v>
      </c>
      <c r="B91" s="3">
        <f>DATE(1990,6,19)</f>
        <v>33043</v>
      </c>
      <c r="C91" s="2" t="s">
        <v>95</v>
      </c>
      <c r="D91" s="2" t="s">
        <v>431</v>
      </c>
      <c r="E91" s="2" t="s">
        <v>432</v>
      </c>
      <c r="F91" s="4">
        <v>3841</v>
      </c>
      <c r="G91" s="2" t="s">
        <v>226</v>
      </c>
      <c r="H91" s="2" t="s">
        <v>34</v>
      </c>
      <c r="I91" s="2" t="s">
        <v>433</v>
      </c>
      <c r="J91" s="2" t="s">
        <v>434</v>
      </c>
      <c r="K91" s="2" t="s">
        <v>226</v>
      </c>
      <c r="L91" s="2" t="s">
        <v>435</v>
      </c>
      <c r="M91" s="2"/>
      <c r="N91" s="2"/>
      <c r="O91" s="2"/>
      <c r="P91" s="2" t="s">
        <v>436</v>
      </c>
      <c r="Q91" s="6">
        <v>100</v>
      </c>
      <c r="R91" s="6">
        <v>37</v>
      </c>
      <c r="S91" s="5">
        <v>9.8000000000000007</v>
      </c>
      <c r="T91" s="7">
        <v>26.393000000000001</v>
      </c>
      <c r="U91" s="5">
        <v>17.600000000000001</v>
      </c>
      <c r="V91" s="6">
        <v>1.49</v>
      </c>
      <c r="W91" s="6">
        <v>18.25</v>
      </c>
      <c r="X91" s="6">
        <v>21.25</v>
      </c>
      <c r="Y91" s="6">
        <v>36.25</v>
      </c>
      <c r="Z91" s="6">
        <v>34.75</v>
      </c>
      <c r="AA91" s="6">
        <v>6.55</v>
      </c>
      <c r="AB91" s="7">
        <v>15.138</v>
      </c>
      <c r="AC91" s="5">
        <v>336.5</v>
      </c>
    </row>
    <row r="92" spans="1:29" ht="143" x14ac:dyDescent="0.15">
      <c r="A92" s="3">
        <f>DATE(1990,3,16)</f>
        <v>32948</v>
      </c>
      <c r="B92" s="3">
        <f>DATE(1990,11,7)</f>
        <v>33184</v>
      </c>
      <c r="C92" s="2" t="s">
        <v>95</v>
      </c>
      <c r="D92" s="2" t="s">
        <v>437</v>
      </c>
      <c r="E92" s="2" t="s">
        <v>438</v>
      </c>
      <c r="F92" s="4">
        <v>4911</v>
      </c>
      <c r="G92" s="2" t="s">
        <v>439</v>
      </c>
      <c r="H92" s="2" t="s">
        <v>34</v>
      </c>
      <c r="I92" s="2" t="s">
        <v>440</v>
      </c>
      <c r="J92" s="2" t="s">
        <v>441</v>
      </c>
      <c r="K92" s="2" t="s">
        <v>439</v>
      </c>
      <c r="L92" s="2" t="s">
        <v>34</v>
      </c>
      <c r="M92" s="7">
        <v>458.57499999999999</v>
      </c>
      <c r="N92" s="7">
        <v>20.875</v>
      </c>
      <c r="O92" s="6">
        <v>20.75</v>
      </c>
      <c r="P92" s="2" t="s">
        <v>442</v>
      </c>
      <c r="Q92" s="6">
        <v>100</v>
      </c>
      <c r="R92" s="6">
        <v>23.87</v>
      </c>
      <c r="S92" s="5">
        <v>42.5</v>
      </c>
      <c r="T92" s="7">
        <v>136.018</v>
      </c>
      <c r="U92" s="5">
        <v>16</v>
      </c>
      <c r="V92" s="6">
        <v>1.9</v>
      </c>
      <c r="W92" s="7">
        <v>20.375</v>
      </c>
      <c r="X92" s="6">
        <v>20.25</v>
      </c>
      <c r="Y92" s="6">
        <v>21.75</v>
      </c>
      <c r="Z92" s="5">
        <v>21.5</v>
      </c>
      <c r="AA92" s="6">
        <v>21.62</v>
      </c>
      <c r="AB92" s="7">
        <v>11.407</v>
      </c>
      <c r="AC92" s="6">
        <v>2.75</v>
      </c>
    </row>
    <row r="93" spans="1:29" ht="65" x14ac:dyDescent="0.15">
      <c r="A93" s="3">
        <f>DATE(1990,3,16)</f>
        <v>32948</v>
      </c>
      <c r="B93" s="2"/>
      <c r="C93" s="2" t="s">
        <v>30</v>
      </c>
      <c r="D93" s="2" t="s">
        <v>443</v>
      </c>
      <c r="E93" s="2" t="s">
        <v>444</v>
      </c>
      <c r="F93" s="4">
        <v>3291</v>
      </c>
      <c r="G93" s="2" t="s">
        <v>237</v>
      </c>
      <c r="H93" s="2" t="s">
        <v>34</v>
      </c>
      <c r="I93" s="2" t="s">
        <v>445</v>
      </c>
      <c r="J93" s="2" t="s">
        <v>446</v>
      </c>
      <c r="K93" s="2" t="s">
        <v>447</v>
      </c>
      <c r="L93" s="2" t="s">
        <v>303</v>
      </c>
      <c r="M93" s="2"/>
      <c r="N93" s="2"/>
      <c r="O93" s="2"/>
      <c r="P93" s="2" t="s">
        <v>448</v>
      </c>
      <c r="Q93" s="2"/>
      <c r="R93" s="6">
        <v>75</v>
      </c>
      <c r="S93" s="5">
        <v>85.8</v>
      </c>
      <c r="T93" s="5">
        <v>197.8</v>
      </c>
      <c r="U93" s="5">
        <v>29.8</v>
      </c>
      <c r="V93" s="6">
        <v>4.0999999999999996</v>
      </c>
      <c r="W93" s="7">
        <v>54.875</v>
      </c>
      <c r="X93" s="6">
        <v>58.25</v>
      </c>
      <c r="Y93" s="7">
        <v>74.875</v>
      </c>
      <c r="Z93" s="6">
        <v>74.75</v>
      </c>
      <c r="AA93" s="6">
        <v>19.82</v>
      </c>
      <c r="AB93" s="7">
        <v>11.696</v>
      </c>
      <c r="AC93" s="2"/>
    </row>
    <row r="94" spans="1:29" ht="91" x14ac:dyDescent="0.15">
      <c r="A94" s="3">
        <f>DATE(1990,3,16)</f>
        <v>32948</v>
      </c>
      <c r="B94" s="3">
        <f>DATE(1991,1,29)</f>
        <v>33267</v>
      </c>
      <c r="C94" s="2" t="s">
        <v>95</v>
      </c>
      <c r="D94" s="2" t="s">
        <v>449</v>
      </c>
      <c r="E94" s="2" t="s">
        <v>36</v>
      </c>
      <c r="F94" s="4">
        <v>6021</v>
      </c>
      <c r="G94" s="2" t="s">
        <v>37</v>
      </c>
      <c r="H94" s="2" t="s">
        <v>34</v>
      </c>
      <c r="I94" s="2" t="s">
        <v>450</v>
      </c>
      <c r="J94" s="2" t="s">
        <v>36</v>
      </c>
      <c r="K94" s="2" t="s">
        <v>37</v>
      </c>
      <c r="L94" s="2" t="s">
        <v>34</v>
      </c>
      <c r="M94" s="2"/>
      <c r="N94" s="4">
        <v>20</v>
      </c>
      <c r="O94" s="7">
        <v>19.625</v>
      </c>
      <c r="P94" s="2" t="s">
        <v>451</v>
      </c>
      <c r="Q94" s="6">
        <v>100</v>
      </c>
      <c r="R94" s="6">
        <v>19</v>
      </c>
      <c r="S94" s="5">
        <v>3.8</v>
      </c>
      <c r="T94" s="7">
        <v>5.274</v>
      </c>
      <c r="U94" s="5">
        <v>19.5</v>
      </c>
      <c r="V94" s="6">
        <v>1.77</v>
      </c>
      <c r="W94" s="6">
        <v>14.25</v>
      </c>
      <c r="X94" s="4">
        <v>14</v>
      </c>
      <c r="Y94" s="4">
        <v>14</v>
      </c>
      <c r="Z94" s="4">
        <v>19</v>
      </c>
      <c r="AA94" s="6">
        <v>2.15</v>
      </c>
      <c r="AB94" s="7">
        <v>65.881</v>
      </c>
      <c r="AC94" s="2"/>
    </row>
    <row r="95" spans="1:29" ht="169" x14ac:dyDescent="0.15">
      <c r="A95" s="3">
        <f>DATE(1990,3,19)</f>
        <v>32951</v>
      </c>
      <c r="B95" s="2"/>
      <c r="C95" s="2" t="s">
        <v>30</v>
      </c>
      <c r="D95" s="2" t="s">
        <v>332</v>
      </c>
      <c r="E95" s="2" t="s">
        <v>333</v>
      </c>
      <c r="F95" s="4">
        <v>4213</v>
      </c>
      <c r="G95" s="2" t="s">
        <v>173</v>
      </c>
      <c r="H95" s="2" t="s">
        <v>34</v>
      </c>
      <c r="I95" s="2" t="s">
        <v>452</v>
      </c>
      <c r="J95" s="2" t="s">
        <v>453</v>
      </c>
      <c r="K95" s="2" t="s">
        <v>454</v>
      </c>
      <c r="L95" s="2" t="s">
        <v>455</v>
      </c>
      <c r="M95" s="2"/>
      <c r="N95" s="2"/>
      <c r="O95" s="2"/>
      <c r="P95" s="2" t="s">
        <v>456</v>
      </c>
      <c r="Q95" s="2"/>
      <c r="R95" s="2"/>
      <c r="S95" s="5">
        <v>-5.5</v>
      </c>
      <c r="T95" s="7">
        <v>22.937999999999999</v>
      </c>
      <c r="U95" s="5">
        <v>8.4</v>
      </c>
      <c r="V95" s="6">
        <v>-1.3</v>
      </c>
      <c r="W95" s="6">
        <v>9.75</v>
      </c>
      <c r="X95" s="5">
        <v>9.5</v>
      </c>
      <c r="Y95" s="6">
        <v>9.75</v>
      </c>
      <c r="Z95" s="5">
        <v>11.5</v>
      </c>
      <c r="AA95" s="6">
        <v>4.91</v>
      </c>
      <c r="AB95" s="2" t="s">
        <v>47</v>
      </c>
      <c r="AC95" s="2"/>
    </row>
    <row r="96" spans="1:29" ht="143" x14ac:dyDescent="0.15">
      <c r="A96" s="3">
        <f>DATE(1990,3,19)</f>
        <v>32951</v>
      </c>
      <c r="B96" s="3">
        <f>DATE(1990,6,19)</f>
        <v>33043</v>
      </c>
      <c r="C96" s="2" t="s">
        <v>95</v>
      </c>
      <c r="D96" s="2" t="s">
        <v>457</v>
      </c>
      <c r="E96" s="2" t="s">
        <v>458</v>
      </c>
      <c r="F96" s="4">
        <v>2514</v>
      </c>
      <c r="G96" s="2" t="s">
        <v>250</v>
      </c>
      <c r="H96" s="2" t="s">
        <v>34</v>
      </c>
      <c r="I96" s="2" t="s">
        <v>459</v>
      </c>
      <c r="J96" s="2" t="s">
        <v>460</v>
      </c>
      <c r="K96" s="2" t="s">
        <v>250</v>
      </c>
      <c r="L96" s="2" t="s">
        <v>34</v>
      </c>
      <c r="M96" s="2"/>
      <c r="N96" s="5">
        <v>30.5</v>
      </c>
      <c r="O96" s="7">
        <v>31.375</v>
      </c>
      <c r="P96" s="2" t="s">
        <v>461</v>
      </c>
      <c r="Q96" s="6">
        <v>100</v>
      </c>
      <c r="R96" s="6">
        <v>2.5</v>
      </c>
      <c r="S96" s="5">
        <v>-1.9</v>
      </c>
      <c r="T96" s="7">
        <v>0.108</v>
      </c>
      <c r="U96" s="5">
        <v>1.5</v>
      </c>
      <c r="V96" s="6">
        <v>-1.44</v>
      </c>
      <c r="W96" s="5">
        <v>2.5</v>
      </c>
      <c r="X96" s="7">
        <v>2.625</v>
      </c>
      <c r="Y96" s="7">
        <v>2.625</v>
      </c>
      <c r="Z96" s="5">
        <v>2.5</v>
      </c>
      <c r="AA96" s="6">
        <v>4.55</v>
      </c>
      <c r="AB96" s="2" t="s">
        <v>86</v>
      </c>
      <c r="AC96" s="6">
        <v>2.93</v>
      </c>
    </row>
    <row r="97" spans="1:29" ht="156" x14ac:dyDescent="0.15">
      <c r="A97" s="3">
        <f>DATE(1990,3,19)</f>
        <v>32951</v>
      </c>
      <c r="B97" s="3">
        <f>DATE(1990,5,11)</f>
        <v>33004</v>
      </c>
      <c r="C97" s="2" t="s">
        <v>95</v>
      </c>
      <c r="D97" s="2" t="s">
        <v>462</v>
      </c>
      <c r="E97" s="2" t="s">
        <v>463</v>
      </c>
      <c r="F97" s="4">
        <v>3678</v>
      </c>
      <c r="G97" s="2" t="s">
        <v>137</v>
      </c>
      <c r="H97" s="2" t="s">
        <v>34</v>
      </c>
      <c r="I97" s="2" t="s">
        <v>51</v>
      </c>
      <c r="J97" s="2" t="s">
        <v>52</v>
      </c>
      <c r="K97" s="2" t="s">
        <v>53</v>
      </c>
      <c r="L97" s="2" t="s">
        <v>34</v>
      </c>
      <c r="M97" s="2"/>
      <c r="N97" s="2"/>
      <c r="O97" s="2"/>
      <c r="P97" s="2" t="s">
        <v>464</v>
      </c>
      <c r="Q97" s="6">
        <v>100</v>
      </c>
      <c r="R97" s="6">
        <v>25</v>
      </c>
      <c r="S97" s="5">
        <v>27.9</v>
      </c>
      <c r="T97" s="7">
        <v>131.34200000000001</v>
      </c>
      <c r="U97" s="5">
        <v>6</v>
      </c>
      <c r="V97" s="6">
        <v>3.68</v>
      </c>
      <c r="W97" s="6">
        <v>18.25</v>
      </c>
      <c r="X97" s="5">
        <v>19.5</v>
      </c>
      <c r="Y97" s="6">
        <v>22.25</v>
      </c>
      <c r="Z97" s="6">
        <v>21.75</v>
      </c>
      <c r="AA97" s="6">
        <v>7.31</v>
      </c>
      <c r="AB97" s="7">
        <v>7.5430000000000001</v>
      </c>
      <c r="AC97" s="2"/>
    </row>
    <row r="98" spans="1:29" ht="78" x14ac:dyDescent="0.15">
      <c r="A98" s="3">
        <f>DATE(1990,3,19)</f>
        <v>32951</v>
      </c>
      <c r="B98" s="2"/>
      <c r="C98" s="2" t="s">
        <v>30</v>
      </c>
      <c r="D98" s="2" t="s">
        <v>465</v>
      </c>
      <c r="E98" s="2" t="s">
        <v>389</v>
      </c>
      <c r="F98" s="4">
        <v>6036</v>
      </c>
      <c r="G98" s="2" t="s">
        <v>33</v>
      </c>
      <c r="H98" s="2" t="s">
        <v>34</v>
      </c>
      <c r="I98" s="2" t="s">
        <v>466</v>
      </c>
      <c r="J98" s="2" t="s">
        <v>36</v>
      </c>
      <c r="K98" s="2" t="s">
        <v>37</v>
      </c>
      <c r="L98" s="2" t="s">
        <v>34</v>
      </c>
      <c r="M98" s="2"/>
      <c r="N98" s="2"/>
      <c r="O98" s="2"/>
      <c r="P98" s="2" t="s">
        <v>467</v>
      </c>
      <c r="Q98" s="2"/>
      <c r="R98" s="2"/>
      <c r="S98" s="5">
        <v>-18</v>
      </c>
      <c r="T98" s="7">
        <v>-15.048999999999999</v>
      </c>
      <c r="U98" s="5">
        <v>0</v>
      </c>
      <c r="V98" s="6">
        <v>-8.0500000000000007</v>
      </c>
      <c r="W98" s="6">
        <v>1.25</v>
      </c>
      <c r="X98" s="7">
        <v>1.625</v>
      </c>
      <c r="Y98" s="6">
        <v>1.25</v>
      </c>
      <c r="Z98" s="5">
        <v>1.5</v>
      </c>
      <c r="AA98" s="2"/>
      <c r="AB98" s="2" t="s">
        <v>86</v>
      </c>
      <c r="AC98" s="2"/>
    </row>
    <row r="99" spans="1:29" ht="156" x14ac:dyDescent="0.15">
      <c r="A99" s="3">
        <f>DATE(1990,3,19)</f>
        <v>32951</v>
      </c>
      <c r="B99" s="2"/>
      <c r="C99" s="2" t="s">
        <v>30</v>
      </c>
      <c r="D99" s="2" t="s">
        <v>57</v>
      </c>
      <c r="E99" s="2" t="s">
        <v>58</v>
      </c>
      <c r="F99" s="4">
        <v>4512</v>
      </c>
      <c r="G99" s="2" t="s">
        <v>59</v>
      </c>
      <c r="H99" s="2" t="s">
        <v>34</v>
      </c>
      <c r="I99" s="2" t="s">
        <v>468</v>
      </c>
      <c r="J99" s="2" t="s">
        <v>52</v>
      </c>
      <c r="K99" s="2" t="s">
        <v>53</v>
      </c>
      <c r="L99" s="2" t="s">
        <v>34</v>
      </c>
      <c r="M99" s="2"/>
      <c r="N99" s="2"/>
      <c r="O99" s="2"/>
      <c r="P99" s="2" t="s">
        <v>469</v>
      </c>
      <c r="Q99" s="2"/>
      <c r="R99" s="6">
        <v>201</v>
      </c>
      <c r="S99" s="5">
        <v>324.2</v>
      </c>
      <c r="T99" s="7">
        <v>981.52800000000002</v>
      </c>
      <c r="U99" s="5">
        <v>17.899999999999999</v>
      </c>
      <c r="V99" s="6">
        <v>3.74</v>
      </c>
      <c r="W99" s="6">
        <v>181.75</v>
      </c>
      <c r="X99" s="5">
        <v>164.5</v>
      </c>
      <c r="Y99" s="6">
        <v>210.75</v>
      </c>
      <c r="Z99" s="6">
        <v>219.25</v>
      </c>
      <c r="AA99" s="6">
        <v>22.6</v>
      </c>
      <c r="AB99" s="7">
        <v>38.744999999999997</v>
      </c>
      <c r="AC99" s="2"/>
    </row>
    <row r="100" spans="1:29" ht="78" x14ac:dyDescent="0.15">
      <c r="A100" s="3">
        <f>DATE(1990,3,20)</f>
        <v>32952</v>
      </c>
      <c r="B100" s="2"/>
      <c r="C100" s="2" t="s">
        <v>141</v>
      </c>
      <c r="D100" s="2" t="s">
        <v>470</v>
      </c>
      <c r="E100" s="2" t="s">
        <v>471</v>
      </c>
      <c r="F100" s="4">
        <v>3231</v>
      </c>
      <c r="G100" s="2" t="s">
        <v>237</v>
      </c>
      <c r="H100" s="2" t="s">
        <v>34</v>
      </c>
      <c r="I100" s="2" t="s">
        <v>143</v>
      </c>
      <c r="J100" s="2" t="s">
        <v>144</v>
      </c>
      <c r="K100" s="2" t="s">
        <v>53</v>
      </c>
      <c r="L100" s="2" t="s">
        <v>139</v>
      </c>
      <c r="M100" s="2"/>
      <c r="N100" s="2"/>
      <c r="O100" s="2"/>
      <c r="P100" s="2" t="s">
        <v>472</v>
      </c>
      <c r="Q100" s="2"/>
      <c r="R100" s="2"/>
      <c r="S100" s="5">
        <v>2.5</v>
      </c>
      <c r="T100" s="7">
        <v>4.6710000000000003</v>
      </c>
      <c r="U100" s="5">
        <v>10.7</v>
      </c>
      <c r="V100" s="6">
        <v>1.53</v>
      </c>
      <c r="W100" s="6">
        <v>11.75</v>
      </c>
      <c r="X100" s="7">
        <v>12.625</v>
      </c>
      <c r="Y100" s="6">
        <v>15.25</v>
      </c>
      <c r="Z100" s="7">
        <v>16.125</v>
      </c>
      <c r="AA100" s="2"/>
      <c r="AB100" s="2" t="s">
        <v>47</v>
      </c>
      <c r="AC100" s="2"/>
    </row>
    <row r="101" spans="1:29" ht="52" x14ac:dyDescent="0.15">
      <c r="A101" s="3">
        <f>DATE(1990,3,22)</f>
        <v>32954</v>
      </c>
      <c r="B101" s="2"/>
      <c r="C101" s="2" t="s">
        <v>189</v>
      </c>
      <c r="D101" s="2" t="s">
        <v>473</v>
      </c>
      <c r="E101" s="2" t="s">
        <v>474</v>
      </c>
      <c r="F101" s="4">
        <v>2836</v>
      </c>
      <c r="G101" s="2" t="s">
        <v>130</v>
      </c>
      <c r="H101" s="2" t="s">
        <v>34</v>
      </c>
      <c r="I101" s="2" t="s">
        <v>143</v>
      </c>
      <c r="J101" s="2" t="s">
        <v>144</v>
      </c>
      <c r="K101" s="2" t="s">
        <v>53</v>
      </c>
      <c r="L101" s="2" t="s">
        <v>139</v>
      </c>
      <c r="M101" s="2"/>
      <c r="N101" s="2"/>
      <c r="O101" s="2"/>
      <c r="P101" s="2" t="s">
        <v>475</v>
      </c>
      <c r="Q101" s="2"/>
      <c r="R101" s="2"/>
      <c r="S101" s="5">
        <v>-13.4</v>
      </c>
      <c r="T101" s="2"/>
      <c r="U101" s="5">
        <v>2.2000000000000002</v>
      </c>
      <c r="V101" s="2"/>
      <c r="W101" s="4">
        <v>4</v>
      </c>
      <c r="X101" s="6">
        <v>3.75</v>
      </c>
      <c r="Y101" s="6">
        <v>3.75</v>
      </c>
      <c r="Z101" s="4">
        <v>1</v>
      </c>
      <c r="AA101" s="6">
        <v>15.58</v>
      </c>
      <c r="AB101" s="2" t="s">
        <v>86</v>
      </c>
      <c r="AC101" s="2"/>
    </row>
    <row r="102" spans="1:29" ht="143" x14ac:dyDescent="0.15">
      <c r="A102" s="3">
        <f>DATE(1990,3,22)</f>
        <v>32954</v>
      </c>
      <c r="B102" s="3">
        <f>DATE(1990,9,24)</f>
        <v>33140</v>
      </c>
      <c r="C102" s="2" t="s">
        <v>95</v>
      </c>
      <c r="D102" s="2" t="s">
        <v>476</v>
      </c>
      <c r="E102" s="2" t="s">
        <v>477</v>
      </c>
      <c r="F102" s="4">
        <v>2833</v>
      </c>
      <c r="G102" s="2" t="s">
        <v>130</v>
      </c>
      <c r="H102" s="2" t="s">
        <v>34</v>
      </c>
      <c r="I102" s="2" t="s">
        <v>478</v>
      </c>
      <c r="J102" s="2" t="s">
        <v>479</v>
      </c>
      <c r="K102" s="2" t="s">
        <v>53</v>
      </c>
      <c r="L102" s="2" t="s">
        <v>34</v>
      </c>
      <c r="M102" s="6">
        <v>0.23</v>
      </c>
      <c r="N102" s="7">
        <v>0.156</v>
      </c>
      <c r="O102" s="7">
        <v>0.156</v>
      </c>
      <c r="P102" s="2" t="s">
        <v>480</v>
      </c>
      <c r="Q102" s="6">
        <v>31.05</v>
      </c>
      <c r="R102" s="6">
        <v>0.73</v>
      </c>
      <c r="S102" s="5">
        <v>1</v>
      </c>
      <c r="T102" s="7">
        <v>-1.0820000000000001</v>
      </c>
      <c r="U102" s="5">
        <v>0.1</v>
      </c>
      <c r="V102" s="6">
        <v>-0.12</v>
      </c>
      <c r="W102" s="7">
        <v>1.4379999999999999</v>
      </c>
      <c r="X102" s="7">
        <v>1.2809999999999999</v>
      </c>
      <c r="Y102" s="7">
        <v>0.96899999999999997</v>
      </c>
      <c r="Z102" s="7">
        <v>0.93799999999999994</v>
      </c>
      <c r="AA102" s="6">
        <v>8.76</v>
      </c>
      <c r="AB102" s="2" t="s">
        <v>86</v>
      </c>
      <c r="AC102" s="2"/>
    </row>
    <row r="103" spans="1:29" ht="65" x14ac:dyDescent="0.15">
      <c r="A103" s="3">
        <f>DATE(1990,3,23)</f>
        <v>32955</v>
      </c>
      <c r="B103" s="2"/>
      <c r="C103" s="2" t="s">
        <v>39</v>
      </c>
      <c r="D103" s="2" t="s">
        <v>481</v>
      </c>
      <c r="E103" s="2" t="s">
        <v>36</v>
      </c>
      <c r="F103" s="4">
        <v>6021</v>
      </c>
      <c r="G103" s="2" t="s">
        <v>37</v>
      </c>
      <c r="H103" s="2" t="s">
        <v>34</v>
      </c>
      <c r="I103" s="2" t="s">
        <v>482</v>
      </c>
      <c r="J103" s="2" t="s">
        <v>483</v>
      </c>
      <c r="K103" s="2" t="s">
        <v>53</v>
      </c>
      <c r="L103" s="2" t="s">
        <v>34</v>
      </c>
      <c r="M103" s="2"/>
      <c r="N103" s="7">
        <v>27.125</v>
      </c>
      <c r="O103" s="4">
        <v>27</v>
      </c>
      <c r="P103" s="2" t="s">
        <v>484</v>
      </c>
      <c r="Q103" s="2"/>
      <c r="R103" s="2"/>
      <c r="S103" s="5">
        <v>-482.2</v>
      </c>
      <c r="T103" s="5">
        <v>-244.9</v>
      </c>
      <c r="U103" s="5">
        <v>11.3</v>
      </c>
      <c r="V103" s="9">
        <v>-2.7633000000000001</v>
      </c>
      <c r="W103" s="7">
        <v>25.625</v>
      </c>
      <c r="X103" s="7">
        <v>24.125</v>
      </c>
      <c r="Y103" s="4">
        <v>25</v>
      </c>
      <c r="Z103" s="7">
        <v>24.375</v>
      </c>
      <c r="AA103" s="2"/>
      <c r="AB103" s="2" t="s">
        <v>86</v>
      </c>
      <c r="AC103" s="5">
        <v>285.60000000000002</v>
      </c>
    </row>
    <row r="104" spans="1:29" ht="78" x14ac:dyDescent="0.15">
      <c r="A104" s="3">
        <f>DATE(1990,3,23)</f>
        <v>32955</v>
      </c>
      <c r="B104" s="2"/>
      <c r="C104" s="2" t="s">
        <v>87</v>
      </c>
      <c r="D104" s="2" t="s">
        <v>485</v>
      </c>
      <c r="E104" s="2" t="s">
        <v>486</v>
      </c>
      <c r="F104" s="4">
        <v>3593</v>
      </c>
      <c r="G104" s="2" t="s">
        <v>300</v>
      </c>
      <c r="H104" s="2" t="s">
        <v>34</v>
      </c>
      <c r="I104" s="2" t="s">
        <v>138</v>
      </c>
      <c r="J104" s="2" t="s">
        <v>139</v>
      </c>
      <c r="K104" s="2" t="s">
        <v>53</v>
      </c>
      <c r="L104" s="2" t="s">
        <v>139</v>
      </c>
      <c r="M104" s="2"/>
      <c r="N104" s="2"/>
      <c r="O104" s="2"/>
      <c r="P104" s="2" t="s">
        <v>487</v>
      </c>
      <c r="Q104" s="2"/>
      <c r="R104" s="2"/>
      <c r="S104" s="5">
        <v>22.2</v>
      </c>
      <c r="T104" s="7">
        <v>39.485999999999997</v>
      </c>
      <c r="U104" s="5">
        <v>6.7</v>
      </c>
      <c r="V104" s="9">
        <v>0.55630000000000002</v>
      </c>
      <c r="W104" s="6">
        <v>51.75</v>
      </c>
      <c r="X104" s="5">
        <v>58.5</v>
      </c>
      <c r="Y104" s="5">
        <v>58.5</v>
      </c>
      <c r="Z104" s="4">
        <v>61</v>
      </c>
      <c r="AA104" s="2"/>
      <c r="AB104" s="2" t="s">
        <v>47</v>
      </c>
      <c r="AC104" s="2"/>
    </row>
    <row r="105" spans="1:29" ht="169" x14ac:dyDescent="0.15">
      <c r="A105" s="3">
        <f>DATE(1990,3,23)</f>
        <v>32955</v>
      </c>
      <c r="B105" s="3">
        <f>DATE(1991,6,28)</f>
        <v>33417</v>
      </c>
      <c r="C105" s="2" t="s">
        <v>95</v>
      </c>
      <c r="D105" s="2" t="s">
        <v>488</v>
      </c>
      <c r="E105" s="2" t="s">
        <v>36</v>
      </c>
      <c r="F105" s="4">
        <v>6022</v>
      </c>
      <c r="G105" s="2" t="s">
        <v>37</v>
      </c>
      <c r="H105" s="2" t="s">
        <v>34</v>
      </c>
      <c r="I105" s="2" t="s">
        <v>489</v>
      </c>
      <c r="J105" s="2" t="s">
        <v>490</v>
      </c>
      <c r="K105" s="2" t="s">
        <v>37</v>
      </c>
      <c r="L105" s="2" t="s">
        <v>34</v>
      </c>
      <c r="M105" s="2"/>
      <c r="N105" s="5">
        <v>13.5</v>
      </c>
      <c r="O105" s="6">
        <v>13.25</v>
      </c>
      <c r="P105" s="2" t="s">
        <v>491</v>
      </c>
      <c r="Q105" s="6">
        <v>100</v>
      </c>
      <c r="R105" s="6">
        <v>15.5</v>
      </c>
      <c r="S105" s="5">
        <v>-6.1</v>
      </c>
      <c r="T105" s="7">
        <v>-4.4349999999999996</v>
      </c>
      <c r="U105" s="5">
        <v>18</v>
      </c>
      <c r="V105" s="6">
        <v>-0.6</v>
      </c>
      <c r="W105" s="6">
        <v>9.25</v>
      </c>
      <c r="X105" s="6">
        <v>12.75</v>
      </c>
      <c r="Y105" s="7">
        <v>13.625</v>
      </c>
      <c r="Z105" s="7">
        <v>13.625</v>
      </c>
      <c r="AA105" s="6">
        <v>4</v>
      </c>
      <c r="AB105" s="2" t="s">
        <v>86</v>
      </c>
      <c r="AC105" s="2"/>
    </row>
    <row r="106" spans="1:29" ht="52" x14ac:dyDescent="0.15">
      <c r="A106" s="3">
        <f>DATE(1990,3,23)</f>
        <v>32955</v>
      </c>
      <c r="B106" s="2"/>
      <c r="C106" s="2" t="s">
        <v>189</v>
      </c>
      <c r="D106" s="2" t="s">
        <v>492</v>
      </c>
      <c r="E106" s="2" t="s">
        <v>263</v>
      </c>
      <c r="F106" s="4">
        <v>6022</v>
      </c>
      <c r="G106" s="2" t="s">
        <v>37</v>
      </c>
      <c r="H106" s="2" t="s">
        <v>34</v>
      </c>
      <c r="I106" s="2" t="s">
        <v>143</v>
      </c>
      <c r="J106" s="2" t="s">
        <v>144</v>
      </c>
      <c r="K106" s="2" t="s">
        <v>53</v>
      </c>
      <c r="L106" s="2" t="s">
        <v>139</v>
      </c>
      <c r="M106" s="2"/>
      <c r="N106" s="2"/>
      <c r="O106" s="2"/>
      <c r="P106" s="2" t="s">
        <v>493</v>
      </c>
      <c r="Q106" s="2"/>
      <c r="R106" s="2"/>
      <c r="S106" s="2"/>
      <c r="T106" s="2"/>
      <c r="U106" s="2"/>
      <c r="V106" s="2"/>
      <c r="W106" s="5">
        <v>9.5</v>
      </c>
      <c r="X106" s="5">
        <v>10.5</v>
      </c>
      <c r="Y106" s="6">
        <v>11.25</v>
      </c>
      <c r="Z106" s="6">
        <v>11.25</v>
      </c>
      <c r="AA106" s="2"/>
      <c r="AB106" s="2" t="s">
        <v>47</v>
      </c>
      <c r="AC106" s="2"/>
    </row>
    <row r="107" spans="1:29" ht="91" x14ac:dyDescent="0.15">
      <c r="A107" s="3">
        <f>DATE(1990,3,23)</f>
        <v>32955</v>
      </c>
      <c r="B107" s="3">
        <f>DATE(1990,4,27)</f>
        <v>32990</v>
      </c>
      <c r="C107" s="2" t="s">
        <v>95</v>
      </c>
      <c r="D107" s="2" t="s">
        <v>494</v>
      </c>
      <c r="E107" s="2" t="s">
        <v>495</v>
      </c>
      <c r="F107" s="4">
        <v>3596</v>
      </c>
      <c r="G107" s="2" t="s">
        <v>300</v>
      </c>
      <c r="H107" s="2" t="s">
        <v>34</v>
      </c>
      <c r="I107" s="2" t="s">
        <v>496</v>
      </c>
      <c r="J107" s="2" t="s">
        <v>497</v>
      </c>
      <c r="K107" s="2" t="s">
        <v>226</v>
      </c>
      <c r="L107" s="2" t="s">
        <v>303</v>
      </c>
      <c r="M107" s="2"/>
      <c r="N107" s="2"/>
      <c r="O107" s="2"/>
      <c r="P107" s="2" t="s">
        <v>498</v>
      </c>
      <c r="Q107" s="6">
        <v>100</v>
      </c>
      <c r="R107" s="6">
        <v>11.5</v>
      </c>
      <c r="S107" s="5">
        <v>2.7</v>
      </c>
      <c r="T107" s="7">
        <v>7.9939999999999998</v>
      </c>
      <c r="U107" s="5">
        <v>2.4</v>
      </c>
      <c r="V107" s="6">
        <v>1.04</v>
      </c>
      <c r="W107" s="7">
        <v>10.375</v>
      </c>
      <c r="X107" s="7">
        <v>10.875</v>
      </c>
      <c r="Y107" s="6">
        <v>11.75</v>
      </c>
      <c r="Z107" s="7">
        <v>11.625</v>
      </c>
      <c r="AA107" s="6">
        <v>3.03</v>
      </c>
      <c r="AB107" s="7">
        <v>8.4930000000000003</v>
      </c>
      <c r="AC107" s="2"/>
    </row>
    <row r="108" spans="1:29" ht="104" x14ac:dyDescent="0.15">
      <c r="A108" s="3">
        <f>DATE(1990,3,26)</f>
        <v>32958</v>
      </c>
      <c r="B108" s="2"/>
      <c r="C108" s="2" t="s">
        <v>30</v>
      </c>
      <c r="D108" s="2" t="s">
        <v>499</v>
      </c>
      <c r="E108" s="2" t="s">
        <v>500</v>
      </c>
      <c r="F108" s="4">
        <v>3721</v>
      </c>
      <c r="G108" s="2" t="s">
        <v>219</v>
      </c>
      <c r="H108" s="2" t="s">
        <v>34</v>
      </c>
      <c r="I108" s="2" t="s">
        <v>501</v>
      </c>
      <c r="J108" s="2" t="s">
        <v>502</v>
      </c>
      <c r="K108" s="2" t="s">
        <v>53</v>
      </c>
      <c r="L108" s="2" t="s">
        <v>34</v>
      </c>
      <c r="M108" s="2"/>
      <c r="N108" s="2"/>
      <c r="O108" s="2"/>
      <c r="P108" s="2" t="s">
        <v>503</v>
      </c>
      <c r="Q108" s="2"/>
      <c r="R108" s="6">
        <v>20</v>
      </c>
      <c r="S108" s="5">
        <v>0.8</v>
      </c>
      <c r="T108" s="7">
        <v>3.0649999999999999</v>
      </c>
      <c r="U108" s="5">
        <v>7.1</v>
      </c>
      <c r="V108" s="6">
        <v>0.12</v>
      </c>
      <c r="W108" s="7">
        <v>15.375</v>
      </c>
      <c r="X108" s="6">
        <v>14.75</v>
      </c>
      <c r="Y108" s="5">
        <v>17.5</v>
      </c>
      <c r="Z108" s="6">
        <v>16.75</v>
      </c>
      <c r="AA108" s="6">
        <v>3.45</v>
      </c>
      <c r="AB108" s="2" t="s">
        <v>86</v>
      </c>
      <c r="AC108" s="2"/>
    </row>
    <row r="109" spans="1:29" ht="143" x14ac:dyDescent="0.15">
      <c r="A109" s="3">
        <f>DATE(1990,3,27)</f>
        <v>32959</v>
      </c>
      <c r="B109" s="3">
        <f>DATE(1990,7,18)</f>
        <v>33072</v>
      </c>
      <c r="C109" s="2" t="s">
        <v>95</v>
      </c>
      <c r="D109" s="2" t="s">
        <v>504</v>
      </c>
      <c r="E109" s="2" t="s">
        <v>505</v>
      </c>
      <c r="F109" s="4">
        <v>3452</v>
      </c>
      <c r="G109" s="2" t="s">
        <v>163</v>
      </c>
      <c r="H109" s="2" t="s">
        <v>34</v>
      </c>
      <c r="I109" s="2" t="s">
        <v>506</v>
      </c>
      <c r="J109" s="2" t="s">
        <v>507</v>
      </c>
      <c r="K109" s="2" t="s">
        <v>300</v>
      </c>
      <c r="L109" s="2" t="s">
        <v>34</v>
      </c>
      <c r="M109" s="2"/>
      <c r="N109" s="7">
        <v>49.625</v>
      </c>
      <c r="O109" s="4">
        <v>50</v>
      </c>
      <c r="P109" s="2" t="s">
        <v>508</v>
      </c>
      <c r="Q109" s="6">
        <v>100</v>
      </c>
      <c r="R109" s="6">
        <v>18.5</v>
      </c>
      <c r="S109" s="5">
        <v>-2.9</v>
      </c>
      <c r="T109" s="7">
        <v>4.8819999999999997</v>
      </c>
      <c r="U109" s="5">
        <v>16.899999999999999</v>
      </c>
      <c r="V109" s="6">
        <v>-1.29</v>
      </c>
      <c r="W109" s="7">
        <v>14.688000000000001</v>
      </c>
      <c r="X109" s="7">
        <v>14.813000000000001</v>
      </c>
      <c r="Y109" s="4">
        <v>17</v>
      </c>
      <c r="Z109" s="4">
        <v>17</v>
      </c>
      <c r="AA109" s="6">
        <v>2.27</v>
      </c>
      <c r="AB109" s="7">
        <v>25.056999999999999</v>
      </c>
      <c r="AC109" s="6">
        <v>30.88</v>
      </c>
    </row>
    <row r="110" spans="1:29" ht="130" x14ac:dyDescent="0.15">
      <c r="A110" s="3">
        <f>DATE(1990,3,27)</f>
        <v>32959</v>
      </c>
      <c r="B110" s="3">
        <f>DATE(1990,8,21)</f>
        <v>33106</v>
      </c>
      <c r="C110" s="2" t="s">
        <v>95</v>
      </c>
      <c r="D110" s="2" t="s">
        <v>509</v>
      </c>
      <c r="E110" s="2" t="s">
        <v>510</v>
      </c>
      <c r="F110" s="4">
        <v>3431</v>
      </c>
      <c r="G110" s="2" t="s">
        <v>163</v>
      </c>
      <c r="H110" s="2" t="s">
        <v>34</v>
      </c>
      <c r="I110" s="2" t="s">
        <v>511</v>
      </c>
      <c r="J110" s="2" t="s">
        <v>512</v>
      </c>
      <c r="K110" s="2" t="s">
        <v>105</v>
      </c>
      <c r="L110" s="2" t="s">
        <v>303</v>
      </c>
      <c r="M110" s="2"/>
      <c r="N110" s="2"/>
      <c r="O110" s="2"/>
      <c r="P110" s="2" t="s">
        <v>513</v>
      </c>
      <c r="Q110" s="6">
        <v>100</v>
      </c>
      <c r="R110" s="6">
        <v>17.3</v>
      </c>
      <c r="S110" s="5">
        <v>12.4</v>
      </c>
      <c r="T110" s="7">
        <v>52.401000000000003</v>
      </c>
      <c r="U110" s="5">
        <v>12.6</v>
      </c>
      <c r="V110" s="6">
        <v>1.1499999999999999</v>
      </c>
      <c r="W110" s="6">
        <v>11.75</v>
      </c>
      <c r="X110" s="5">
        <v>13.5</v>
      </c>
      <c r="Y110" s="6">
        <v>14.75</v>
      </c>
      <c r="Z110" s="4">
        <v>14</v>
      </c>
      <c r="AA110" s="6">
        <v>10.83</v>
      </c>
      <c r="AB110" s="7">
        <v>11.541</v>
      </c>
      <c r="AC110" s="2"/>
    </row>
    <row r="111" spans="1:29" ht="156" x14ac:dyDescent="0.15">
      <c r="A111" s="3">
        <f>DATE(1990,3,28)</f>
        <v>32960</v>
      </c>
      <c r="B111" s="2"/>
      <c r="C111" s="2" t="s">
        <v>30</v>
      </c>
      <c r="D111" s="2" t="s">
        <v>514</v>
      </c>
      <c r="E111" s="2" t="s">
        <v>515</v>
      </c>
      <c r="F111" s="4">
        <v>6311</v>
      </c>
      <c r="G111" s="2" t="s">
        <v>125</v>
      </c>
      <c r="H111" s="2" t="s">
        <v>34</v>
      </c>
      <c r="I111" s="2" t="s">
        <v>516</v>
      </c>
      <c r="J111" s="2" t="s">
        <v>515</v>
      </c>
      <c r="K111" s="2" t="s">
        <v>125</v>
      </c>
      <c r="L111" s="2" t="s">
        <v>34</v>
      </c>
      <c r="M111" s="12">
        <v>2547.0030000000002</v>
      </c>
      <c r="N111" s="5">
        <v>46.5</v>
      </c>
      <c r="O111" s="5">
        <v>45.5</v>
      </c>
      <c r="P111" s="2" t="s">
        <v>517</v>
      </c>
      <c r="Q111" s="2"/>
      <c r="R111" s="6">
        <v>50</v>
      </c>
      <c r="S111" s="5">
        <v>464</v>
      </c>
      <c r="T111" s="2"/>
      <c r="U111" s="5">
        <v>9.5</v>
      </c>
      <c r="V111" s="6">
        <v>0.94</v>
      </c>
      <c r="W111" s="6">
        <v>31.75</v>
      </c>
      <c r="X111" s="7">
        <v>31.375</v>
      </c>
      <c r="Y111" s="4">
        <v>32</v>
      </c>
      <c r="Z111" s="7">
        <v>40.125</v>
      </c>
      <c r="AA111" s="6">
        <v>119.53</v>
      </c>
      <c r="AB111" s="7">
        <v>24.401</v>
      </c>
      <c r="AC111" s="6">
        <v>7.44</v>
      </c>
    </row>
    <row r="112" spans="1:29" ht="117" x14ac:dyDescent="0.15">
      <c r="A112" s="3">
        <f>DATE(1990,3,28)</f>
        <v>32960</v>
      </c>
      <c r="B112" s="2"/>
      <c r="C112" s="2" t="s">
        <v>30</v>
      </c>
      <c r="D112" s="2" t="s">
        <v>518</v>
      </c>
      <c r="E112" s="2" t="s">
        <v>519</v>
      </c>
      <c r="F112" s="4">
        <v>6552</v>
      </c>
      <c r="G112" s="2" t="s">
        <v>109</v>
      </c>
      <c r="H112" s="2" t="s">
        <v>34</v>
      </c>
      <c r="I112" s="2" t="s">
        <v>138</v>
      </c>
      <c r="J112" s="2" t="s">
        <v>139</v>
      </c>
      <c r="K112" s="2" t="s">
        <v>53</v>
      </c>
      <c r="L112" s="2" t="s">
        <v>139</v>
      </c>
      <c r="M112" s="2"/>
      <c r="N112" s="2"/>
      <c r="O112" s="2"/>
      <c r="P112" s="2" t="s">
        <v>520</v>
      </c>
      <c r="Q112" s="2"/>
      <c r="R112" s="2"/>
      <c r="S112" s="5">
        <v>21.5</v>
      </c>
      <c r="T112" s="2"/>
      <c r="U112" s="5">
        <v>24.4</v>
      </c>
      <c r="V112" s="2"/>
      <c r="W112" s="7">
        <v>3.875</v>
      </c>
      <c r="X112" s="7">
        <v>3.875</v>
      </c>
      <c r="Y112" s="6">
        <v>4.25</v>
      </c>
      <c r="Z112" s="6">
        <v>4.75</v>
      </c>
      <c r="AA112" s="2"/>
      <c r="AB112" s="2" t="s">
        <v>47</v>
      </c>
      <c r="AC112" s="2"/>
    </row>
    <row r="113" spans="1:29" ht="169" x14ac:dyDescent="0.15">
      <c r="A113" s="3">
        <f>DATE(1990,4,2)</f>
        <v>32965</v>
      </c>
      <c r="B113" s="3">
        <f>DATE(1990,11,19)</f>
        <v>33196</v>
      </c>
      <c r="C113" s="2" t="s">
        <v>95</v>
      </c>
      <c r="D113" s="2" t="s">
        <v>521</v>
      </c>
      <c r="E113" s="2" t="s">
        <v>32</v>
      </c>
      <c r="F113" s="4">
        <v>6036</v>
      </c>
      <c r="G113" s="2" t="s">
        <v>33</v>
      </c>
      <c r="H113" s="2" t="s">
        <v>34</v>
      </c>
      <c r="I113" s="2" t="s">
        <v>522</v>
      </c>
      <c r="J113" s="2" t="s">
        <v>523</v>
      </c>
      <c r="K113" s="2" t="s">
        <v>33</v>
      </c>
      <c r="L113" s="2" t="s">
        <v>34</v>
      </c>
      <c r="M113" s="2"/>
      <c r="N113" s="2"/>
      <c r="O113" s="2"/>
      <c r="P113" s="2" t="s">
        <v>524</v>
      </c>
      <c r="Q113" s="6">
        <v>100</v>
      </c>
      <c r="R113" s="6">
        <v>24</v>
      </c>
      <c r="S113" s="5">
        <v>17.100000000000001</v>
      </c>
      <c r="T113" s="7">
        <v>28.393999999999998</v>
      </c>
      <c r="U113" s="5">
        <v>20.100000000000001</v>
      </c>
      <c r="V113" s="6">
        <v>1.42</v>
      </c>
      <c r="W113" s="7">
        <v>14.625</v>
      </c>
      <c r="X113" s="7">
        <v>18.875</v>
      </c>
      <c r="Y113" s="7">
        <v>18.875</v>
      </c>
      <c r="Z113" s="7">
        <v>19.625</v>
      </c>
      <c r="AA113" s="6">
        <v>12.03</v>
      </c>
      <c r="AB113" s="7">
        <v>55.258000000000003</v>
      </c>
      <c r="AC113" s="2"/>
    </row>
    <row r="114" spans="1:29" ht="130" x14ac:dyDescent="0.15">
      <c r="A114" s="3">
        <f>DATE(1990,4,2)</f>
        <v>32965</v>
      </c>
      <c r="B114" s="3">
        <f>DATE(1991,7,3)</f>
        <v>33422</v>
      </c>
      <c r="C114" s="2" t="s">
        <v>95</v>
      </c>
      <c r="D114" s="2" t="s">
        <v>525</v>
      </c>
      <c r="E114" s="2" t="s">
        <v>36</v>
      </c>
      <c r="F114" s="4">
        <v>6022</v>
      </c>
      <c r="G114" s="2" t="s">
        <v>37</v>
      </c>
      <c r="H114" s="2" t="s">
        <v>34</v>
      </c>
      <c r="I114" s="2" t="s">
        <v>526</v>
      </c>
      <c r="J114" s="2" t="s">
        <v>159</v>
      </c>
      <c r="K114" s="2" t="s">
        <v>37</v>
      </c>
      <c r="L114" s="2" t="s">
        <v>34</v>
      </c>
      <c r="M114" s="2"/>
      <c r="N114" s="5">
        <v>46.5</v>
      </c>
      <c r="O114" s="7">
        <v>46.125</v>
      </c>
      <c r="P114" s="2" t="s">
        <v>527</v>
      </c>
      <c r="Q114" s="6">
        <v>100</v>
      </c>
      <c r="R114" s="6">
        <v>17.04</v>
      </c>
      <c r="S114" s="5">
        <v>2.9</v>
      </c>
      <c r="T114" s="2"/>
      <c r="U114" s="5">
        <v>9.8000000000000007</v>
      </c>
      <c r="V114" s="2"/>
      <c r="W114" s="6">
        <v>12.75</v>
      </c>
      <c r="X114" s="6">
        <v>13.75</v>
      </c>
      <c r="Y114" s="6">
        <v>13.75</v>
      </c>
      <c r="Z114" s="5">
        <v>15.5</v>
      </c>
      <c r="AA114" s="6">
        <v>1.75</v>
      </c>
      <c r="AB114" s="7">
        <v>40.454999999999998</v>
      </c>
      <c r="AC114" s="2"/>
    </row>
    <row r="115" spans="1:29" ht="52" x14ac:dyDescent="0.15">
      <c r="A115" s="3">
        <f>DATE(1990,4,2)</f>
        <v>32965</v>
      </c>
      <c r="B115" s="2"/>
      <c r="C115" s="2" t="s">
        <v>141</v>
      </c>
      <c r="D115" s="2" t="s">
        <v>528</v>
      </c>
      <c r="E115" s="2" t="s">
        <v>529</v>
      </c>
      <c r="F115" s="4">
        <v>4833</v>
      </c>
      <c r="G115" s="2" t="s">
        <v>45</v>
      </c>
      <c r="H115" s="2" t="s">
        <v>34</v>
      </c>
      <c r="I115" s="2" t="s">
        <v>143</v>
      </c>
      <c r="J115" s="2" t="s">
        <v>144</v>
      </c>
      <c r="K115" s="2" t="s">
        <v>53</v>
      </c>
      <c r="L115" s="2" t="s">
        <v>139</v>
      </c>
      <c r="M115" s="2"/>
      <c r="N115" s="2"/>
      <c r="O115" s="2"/>
      <c r="P115" s="2" t="s">
        <v>530</v>
      </c>
      <c r="Q115" s="2"/>
      <c r="R115" s="2"/>
      <c r="S115" s="5">
        <v>-0.6</v>
      </c>
      <c r="T115" s="2"/>
      <c r="U115" s="5">
        <v>1.6</v>
      </c>
      <c r="V115" s="2"/>
      <c r="W115" s="6">
        <v>20.25</v>
      </c>
      <c r="X115" s="6">
        <v>20.25</v>
      </c>
      <c r="Y115" s="6">
        <v>21.25</v>
      </c>
      <c r="Z115" s="7">
        <v>20.875</v>
      </c>
      <c r="AA115" s="2"/>
      <c r="AB115" s="2" t="s">
        <v>47</v>
      </c>
      <c r="AC115" s="2"/>
    </row>
    <row r="116" spans="1:29" ht="130" x14ac:dyDescent="0.15">
      <c r="A116" s="3">
        <f>DATE(1990,4,2)</f>
        <v>32965</v>
      </c>
      <c r="B116" s="2"/>
      <c r="C116" s="2" t="s">
        <v>30</v>
      </c>
      <c r="D116" s="2" t="s">
        <v>57</v>
      </c>
      <c r="E116" s="2" t="s">
        <v>58</v>
      </c>
      <c r="F116" s="4">
        <v>4512</v>
      </c>
      <c r="G116" s="2" t="s">
        <v>59</v>
      </c>
      <c r="H116" s="2" t="s">
        <v>34</v>
      </c>
      <c r="I116" s="2" t="s">
        <v>149</v>
      </c>
      <c r="J116" s="2" t="s">
        <v>150</v>
      </c>
      <c r="K116" s="2" t="s">
        <v>53</v>
      </c>
      <c r="L116" s="2" t="s">
        <v>151</v>
      </c>
      <c r="M116" s="2"/>
      <c r="N116" s="2"/>
      <c r="O116" s="2"/>
      <c r="P116" s="2" t="s">
        <v>531</v>
      </c>
      <c r="Q116" s="2"/>
      <c r="R116" s="6">
        <v>220</v>
      </c>
      <c r="S116" s="5">
        <v>324.2</v>
      </c>
      <c r="T116" s="7">
        <v>981.52800000000002</v>
      </c>
      <c r="U116" s="5">
        <v>17.899999999999999</v>
      </c>
      <c r="V116" s="6">
        <v>3.74</v>
      </c>
      <c r="W116" s="6">
        <v>181.75</v>
      </c>
      <c r="X116" s="5">
        <v>164.5</v>
      </c>
      <c r="Y116" s="6">
        <v>210.75</v>
      </c>
      <c r="Z116" s="6">
        <v>219.25</v>
      </c>
      <c r="AA116" s="6">
        <v>22.6</v>
      </c>
      <c r="AB116" s="7">
        <v>42.317999999999998</v>
      </c>
      <c r="AC116" s="2"/>
    </row>
    <row r="117" spans="1:29" ht="117" x14ac:dyDescent="0.15">
      <c r="A117" s="3">
        <f>DATE(1990,4,2)</f>
        <v>32965</v>
      </c>
      <c r="B117" s="3">
        <f>DATE(1990,9,7)</f>
        <v>33123</v>
      </c>
      <c r="C117" s="2" t="s">
        <v>95</v>
      </c>
      <c r="D117" s="2" t="s">
        <v>532</v>
      </c>
      <c r="E117" s="2" t="s">
        <v>533</v>
      </c>
      <c r="F117" s="4">
        <v>3821</v>
      </c>
      <c r="G117" s="2" t="s">
        <v>226</v>
      </c>
      <c r="H117" s="2" t="s">
        <v>34</v>
      </c>
      <c r="I117" s="2" t="s">
        <v>534</v>
      </c>
      <c r="J117" s="2" t="s">
        <v>535</v>
      </c>
      <c r="K117" s="2" t="s">
        <v>116</v>
      </c>
      <c r="L117" s="2" t="s">
        <v>34</v>
      </c>
      <c r="M117" s="2"/>
      <c r="N117" s="6">
        <v>34.25</v>
      </c>
      <c r="O117" s="7">
        <v>34.875</v>
      </c>
      <c r="P117" s="2" t="s">
        <v>536</v>
      </c>
      <c r="Q117" s="6">
        <v>33</v>
      </c>
      <c r="R117" s="2"/>
      <c r="S117" s="5">
        <v>58.5</v>
      </c>
      <c r="T117" s="6">
        <v>135.57</v>
      </c>
      <c r="U117" s="5">
        <v>3.6</v>
      </c>
      <c r="V117" s="7">
        <v>0.375</v>
      </c>
      <c r="W117" s="4">
        <v>34</v>
      </c>
      <c r="X117" s="5">
        <v>33.5</v>
      </c>
      <c r="Y117" s="4">
        <v>35</v>
      </c>
      <c r="Z117" s="6">
        <v>35.75</v>
      </c>
      <c r="AA117" s="6">
        <v>40.6</v>
      </c>
      <c r="AB117" s="7">
        <v>19.984999999999999</v>
      </c>
      <c r="AC117" s="6">
        <v>106.84</v>
      </c>
    </row>
    <row r="118" spans="1:29" ht="117" x14ac:dyDescent="0.15">
      <c r="A118" s="3">
        <f>DATE(1990,4,3)</f>
        <v>32966</v>
      </c>
      <c r="B118" s="3">
        <f>DATE(1990,9,7)</f>
        <v>33123</v>
      </c>
      <c r="C118" s="2" t="s">
        <v>95</v>
      </c>
      <c r="D118" s="2" t="s">
        <v>537</v>
      </c>
      <c r="E118" s="2" t="s">
        <v>538</v>
      </c>
      <c r="F118" s="4">
        <v>8731</v>
      </c>
      <c r="G118" s="2" t="s">
        <v>223</v>
      </c>
      <c r="H118" s="2" t="s">
        <v>34</v>
      </c>
      <c r="I118" s="2" t="s">
        <v>539</v>
      </c>
      <c r="J118" s="2" t="s">
        <v>540</v>
      </c>
      <c r="K118" s="2" t="s">
        <v>130</v>
      </c>
      <c r="L118" s="2" t="s">
        <v>34</v>
      </c>
      <c r="M118" s="7">
        <v>51.505000000000003</v>
      </c>
      <c r="N118" s="7">
        <v>5.375</v>
      </c>
      <c r="O118" s="6">
        <v>5.75</v>
      </c>
      <c r="P118" s="2" t="s">
        <v>541</v>
      </c>
      <c r="Q118" s="6">
        <v>100</v>
      </c>
      <c r="R118" s="6">
        <v>6.19</v>
      </c>
      <c r="S118" s="5">
        <v>0.3</v>
      </c>
      <c r="T118" s="2"/>
      <c r="U118" s="5">
        <v>2.1</v>
      </c>
      <c r="V118" s="2"/>
      <c r="W118" s="7">
        <v>4.125</v>
      </c>
      <c r="X118" s="7">
        <v>4.375</v>
      </c>
      <c r="Y118" s="7">
        <v>4.875</v>
      </c>
      <c r="Z118" s="6">
        <v>4.75</v>
      </c>
      <c r="AA118" s="6">
        <v>6.29</v>
      </c>
      <c r="AB118" s="7">
        <v>77.966999999999999</v>
      </c>
      <c r="AC118" s="2"/>
    </row>
    <row r="119" spans="1:29" ht="143" x14ac:dyDescent="0.15">
      <c r="A119" s="3">
        <f>DATE(1990,4,4)</f>
        <v>32967</v>
      </c>
      <c r="B119" s="2"/>
      <c r="C119" s="2" t="s">
        <v>30</v>
      </c>
      <c r="D119" s="2" t="s">
        <v>542</v>
      </c>
      <c r="E119" s="2" t="s">
        <v>543</v>
      </c>
      <c r="F119" s="4">
        <v>8051</v>
      </c>
      <c r="G119" s="2" t="s">
        <v>454</v>
      </c>
      <c r="H119" s="2" t="s">
        <v>34</v>
      </c>
      <c r="I119" s="2" t="s">
        <v>544</v>
      </c>
      <c r="J119" s="2" t="s">
        <v>545</v>
      </c>
      <c r="K119" s="2" t="s">
        <v>454</v>
      </c>
      <c r="L119" s="2" t="s">
        <v>34</v>
      </c>
      <c r="M119" s="2"/>
      <c r="N119" s="2"/>
      <c r="O119" s="2"/>
      <c r="P119" s="2" t="s">
        <v>546</v>
      </c>
      <c r="Q119" s="2"/>
      <c r="R119" s="2"/>
      <c r="S119" s="5">
        <v>0.7</v>
      </c>
      <c r="T119" s="7">
        <v>6.6879999999999997</v>
      </c>
      <c r="U119" s="5">
        <v>1.7</v>
      </c>
      <c r="V119" s="6">
        <v>0.04</v>
      </c>
      <c r="W119" s="5">
        <v>5.5</v>
      </c>
      <c r="X119" s="7">
        <v>5.625</v>
      </c>
      <c r="Y119" s="5">
        <v>5.5</v>
      </c>
      <c r="Z119" s="7">
        <v>5.625</v>
      </c>
      <c r="AA119" s="6">
        <v>16.88</v>
      </c>
      <c r="AB119" s="2" t="s">
        <v>47</v>
      </c>
      <c r="AC119" s="2"/>
    </row>
    <row r="120" spans="1:29" ht="78" x14ac:dyDescent="0.15">
      <c r="A120" s="3">
        <f>DATE(1990,4,6)</f>
        <v>32969</v>
      </c>
      <c r="B120" s="2"/>
      <c r="C120" s="2" t="s">
        <v>141</v>
      </c>
      <c r="D120" s="2" t="s">
        <v>547</v>
      </c>
      <c r="E120" s="2" t="s">
        <v>32</v>
      </c>
      <c r="F120" s="4">
        <v>6036</v>
      </c>
      <c r="G120" s="2" t="s">
        <v>33</v>
      </c>
      <c r="H120" s="2" t="s">
        <v>34</v>
      </c>
      <c r="I120" s="2" t="s">
        <v>143</v>
      </c>
      <c r="J120" s="2" t="s">
        <v>144</v>
      </c>
      <c r="K120" s="2" t="s">
        <v>53</v>
      </c>
      <c r="L120" s="2" t="s">
        <v>139</v>
      </c>
      <c r="M120" s="2"/>
      <c r="N120" s="2"/>
      <c r="O120" s="2"/>
      <c r="P120" s="2" t="s">
        <v>548</v>
      </c>
      <c r="Q120" s="2"/>
      <c r="R120" s="2"/>
      <c r="S120" s="2"/>
      <c r="T120" s="2"/>
      <c r="U120" s="2"/>
      <c r="V120" s="2"/>
      <c r="W120" s="7">
        <v>8.1880000000000006</v>
      </c>
      <c r="X120" s="7">
        <v>8.1880000000000006</v>
      </c>
      <c r="Y120" s="6">
        <v>8.25</v>
      </c>
      <c r="Z120" s="5">
        <v>8.5</v>
      </c>
      <c r="AA120" s="6">
        <v>1.5</v>
      </c>
      <c r="AB120" s="2" t="s">
        <v>47</v>
      </c>
      <c r="AC120" s="2"/>
    </row>
    <row r="121" spans="1:29" ht="156" x14ac:dyDescent="0.15">
      <c r="A121" s="3">
        <f>DATE(1990,4,6)</f>
        <v>32969</v>
      </c>
      <c r="B121" s="2"/>
      <c r="C121" s="2" t="s">
        <v>30</v>
      </c>
      <c r="D121" s="2" t="s">
        <v>549</v>
      </c>
      <c r="E121" s="2" t="s">
        <v>550</v>
      </c>
      <c r="F121" s="4">
        <v>7372</v>
      </c>
      <c r="G121" s="2" t="s">
        <v>551</v>
      </c>
      <c r="H121" s="2" t="s">
        <v>34</v>
      </c>
      <c r="I121" s="2" t="s">
        <v>552</v>
      </c>
      <c r="J121" s="2" t="s">
        <v>553</v>
      </c>
      <c r="K121" s="2" t="s">
        <v>551</v>
      </c>
      <c r="L121" s="2" t="s">
        <v>34</v>
      </c>
      <c r="M121" s="12">
        <v>1382.7929999999999</v>
      </c>
      <c r="N121" s="6">
        <v>34.25</v>
      </c>
      <c r="O121" s="6">
        <v>34.25</v>
      </c>
      <c r="P121" s="2" t="s">
        <v>554</v>
      </c>
      <c r="Q121" s="2"/>
      <c r="R121" s="6">
        <v>43.18</v>
      </c>
      <c r="S121" s="5">
        <v>48.5</v>
      </c>
      <c r="T121" s="7">
        <v>86.394999999999996</v>
      </c>
      <c r="U121" s="5">
        <v>0.9</v>
      </c>
      <c r="V121" s="9">
        <v>0.1825</v>
      </c>
      <c r="W121" s="7">
        <v>41.875</v>
      </c>
      <c r="X121" s="7">
        <v>42.875</v>
      </c>
      <c r="Y121" s="6">
        <v>38.75</v>
      </c>
      <c r="Z121" s="4">
        <v>40</v>
      </c>
      <c r="AA121" s="6">
        <v>34.92</v>
      </c>
      <c r="AB121" s="7">
        <v>158.51499999999999</v>
      </c>
      <c r="AC121" s="6">
        <v>274.98</v>
      </c>
    </row>
    <row r="122" spans="1:29" ht="143" x14ac:dyDescent="0.15">
      <c r="A122" s="3">
        <f>DATE(1990,4,9)</f>
        <v>32972</v>
      </c>
      <c r="B122" s="2"/>
      <c r="C122" s="2" t="s">
        <v>30</v>
      </c>
      <c r="D122" s="2" t="s">
        <v>555</v>
      </c>
      <c r="E122" s="2" t="s">
        <v>556</v>
      </c>
      <c r="F122" s="4">
        <v>4522</v>
      </c>
      <c r="G122" s="2" t="s">
        <v>59</v>
      </c>
      <c r="H122" s="2" t="s">
        <v>34</v>
      </c>
      <c r="I122" s="2" t="s">
        <v>557</v>
      </c>
      <c r="J122" s="2" t="s">
        <v>80</v>
      </c>
      <c r="K122" s="2" t="s">
        <v>53</v>
      </c>
      <c r="L122" s="2" t="s">
        <v>34</v>
      </c>
      <c r="M122" s="2"/>
      <c r="N122" s="2"/>
      <c r="O122" s="2"/>
      <c r="P122" s="2" t="s">
        <v>558</v>
      </c>
      <c r="Q122" s="2"/>
      <c r="R122" s="2"/>
      <c r="S122" s="5">
        <v>-5.3</v>
      </c>
      <c r="T122" s="2"/>
      <c r="U122" s="5">
        <v>4.5999999999999996</v>
      </c>
      <c r="V122" s="2"/>
      <c r="W122" s="6">
        <v>6.75</v>
      </c>
      <c r="X122" s="7">
        <v>8.125</v>
      </c>
      <c r="Y122" s="6">
        <v>9.75</v>
      </c>
      <c r="Z122" s="6">
        <v>8.75</v>
      </c>
      <c r="AA122" s="2"/>
      <c r="AB122" s="2" t="s">
        <v>86</v>
      </c>
      <c r="AC122" s="2"/>
    </row>
    <row r="123" spans="1:29" ht="91" x14ac:dyDescent="0.15">
      <c r="A123" s="3">
        <f>DATE(1990,4,9)</f>
        <v>32972</v>
      </c>
      <c r="B123" s="3">
        <f>DATE(1990,8,14)</f>
        <v>33099</v>
      </c>
      <c r="C123" s="2" t="s">
        <v>95</v>
      </c>
      <c r="D123" s="2" t="s">
        <v>64</v>
      </c>
      <c r="E123" s="2" t="s">
        <v>65</v>
      </c>
      <c r="F123" s="4">
        <v>4813</v>
      </c>
      <c r="G123" s="2" t="s">
        <v>63</v>
      </c>
      <c r="H123" s="2" t="s">
        <v>34</v>
      </c>
      <c r="I123" s="2" t="s">
        <v>559</v>
      </c>
      <c r="J123" s="2" t="s">
        <v>560</v>
      </c>
      <c r="K123" s="2" t="s">
        <v>63</v>
      </c>
      <c r="L123" s="2" t="s">
        <v>34</v>
      </c>
      <c r="M123" s="2"/>
      <c r="N123" s="6">
        <v>35.75</v>
      </c>
      <c r="O123" s="5">
        <v>36.5</v>
      </c>
      <c r="P123" s="2" t="s">
        <v>561</v>
      </c>
      <c r="Q123" s="6">
        <v>100</v>
      </c>
      <c r="R123" s="6">
        <v>42</v>
      </c>
      <c r="S123" s="5">
        <v>35.799999999999997</v>
      </c>
      <c r="T123" s="7">
        <v>122.151</v>
      </c>
      <c r="U123" s="5">
        <v>7.8</v>
      </c>
      <c r="V123" s="6">
        <v>1.23</v>
      </c>
      <c r="W123" s="7">
        <v>22.375</v>
      </c>
      <c r="X123" s="7">
        <v>21.875</v>
      </c>
      <c r="Y123" s="7">
        <v>38.125</v>
      </c>
      <c r="Z123" s="4">
        <v>38</v>
      </c>
      <c r="AA123" s="6">
        <v>28.56</v>
      </c>
      <c r="AB123" s="7">
        <v>20.434999999999999</v>
      </c>
      <c r="AC123" s="5">
        <v>197</v>
      </c>
    </row>
    <row r="124" spans="1:29" ht="143" x14ac:dyDescent="0.15">
      <c r="A124" s="3">
        <f>DATE(1990,4,9)</f>
        <v>32972</v>
      </c>
      <c r="B124" s="3">
        <f>DATE(1990,11,28)</f>
        <v>33205</v>
      </c>
      <c r="C124" s="2" t="s">
        <v>95</v>
      </c>
      <c r="D124" s="2" t="s">
        <v>562</v>
      </c>
      <c r="E124" s="2" t="s">
        <v>563</v>
      </c>
      <c r="F124" s="4">
        <v>3841</v>
      </c>
      <c r="G124" s="2" t="s">
        <v>226</v>
      </c>
      <c r="H124" s="2" t="s">
        <v>34</v>
      </c>
      <c r="I124" s="2" t="s">
        <v>564</v>
      </c>
      <c r="J124" s="2" t="s">
        <v>565</v>
      </c>
      <c r="K124" s="2" t="s">
        <v>226</v>
      </c>
      <c r="L124" s="2" t="s">
        <v>34</v>
      </c>
      <c r="M124" s="2"/>
      <c r="N124" s="6">
        <v>8.75</v>
      </c>
      <c r="O124" s="6">
        <v>9.25</v>
      </c>
      <c r="P124" s="2" t="s">
        <v>566</v>
      </c>
      <c r="Q124" s="6">
        <v>100</v>
      </c>
      <c r="R124" s="6">
        <v>11.89</v>
      </c>
      <c r="S124" s="2"/>
      <c r="T124" s="2"/>
      <c r="U124" s="2"/>
      <c r="V124" s="2"/>
      <c r="W124" s="6">
        <v>10.75</v>
      </c>
      <c r="X124" s="6">
        <v>10.75</v>
      </c>
      <c r="Y124" s="6">
        <v>8.75</v>
      </c>
      <c r="Z124" s="6">
        <v>9.25</v>
      </c>
      <c r="AA124" s="6">
        <v>3.37</v>
      </c>
      <c r="AB124" s="2" t="s">
        <v>47</v>
      </c>
      <c r="AC124" s="2"/>
    </row>
    <row r="125" spans="1:29" ht="117" x14ac:dyDescent="0.15">
      <c r="A125" s="3">
        <f>DATE(1990,4,10)</f>
        <v>32973</v>
      </c>
      <c r="B125" s="3">
        <f>DATE(1990,7,12)</f>
        <v>33066</v>
      </c>
      <c r="C125" s="2" t="s">
        <v>95</v>
      </c>
      <c r="D125" s="2" t="s">
        <v>567</v>
      </c>
      <c r="E125" s="2" t="s">
        <v>568</v>
      </c>
      <c r="F125" s="4">
        <v>3679</v>
      </c>
      <c r="G125" s="2" t="s">
        <v>137</v>
      </c>
      <c r="H125" s="2" t="s">
        <v>34</v>
      </c>
      <c r="I125" s="2" t="s">
        <v>569</v>
      </c>
      <c r="J125" s="2" t="s">
        <v>570</v>
      </c>
      <c r="K125" s="2" t="s">
        <v>551</v>
      </c>
      <c r="L125" s="2" t="s">
        <v>34</v>
      </c>
      <c r="M125" s="2"/>
      <c r="N125" s="7">
        <v>24.875</v>
      </c>
      <c r="O125" s="7">
        <v>24.625</v>
      </c>
      <c r="P125" s="2" t="s">
        <v>571</v>
      </c>
      <c r="Q125" s="6">
        <v>100</v>
      </c>
      <c r="R125" s="6">
        <v>7.13</v>
      </c>
      <c r="S125" s="5">
        <v>-1.3</v>
      </c>
      <c r="T125" s="2"/>
      <c r="U125" s="5">
        <v>2.2999999999999998</v>
      </c>
      <c r="V125" s="2"/>
      <c r="W125" s="7">
        <v>2.8130000000000002</v>
      </c>
      <c r="X125" s="6">
        <v>3.25</v>
      </c>
      <c r="Y125" s="6">
        <v>6.25</v>
      </c>
      <c r="Z125" s="7">
        <v>6.375</v>
      </c>
      <c r="AA125" s="6">
        <v>3.04</v>
      </c>
      <c r="AB125" s="2" t="s">
        <v>86</v>
      </c>
      <c r="AC125" s="6">
        <v>62.67</v>
      </c>
    </row>
    <row r="126" spans="1:29" ht="65" x14ac:dyDescent="0.15">
      <c r="A126" s="3">
        <f>DATE(1990,4,10)</f>
        <v>32973</v>
      </c>
      <c r="B126" s="2"/>
      <c r="C126" s="2" t="s">
        <v>82</v>
      </c>
      <c r="D126" s="2" t="s">
        <v>572</v>
      </c>
      <c r="E126" s="2" t="s">
        <v>573</v>
      </c>
      <c r="F126" s="4">
        <v>7359</v>
      </c>
      <c r="G126" s="2" t="s">
        <v>223</v>
      </c>
      <c r="H126" s="2" t="s">
        <v>34</v>
      </c>
      <c r="I126" s="2" t="s">
        <v>51</v>
      </c>
      <c r="J126" s="2" t="s">
        <v>52</v>
      </c>
      <c r="K126" s="2" t="s">
        <v>53</v>
      </c>
      <c r="L126" s="2" t="s">
        <v>34</v>
      </c>
      <c r="M126" s="2"/>
      <c r="N126" s="2"/>
      <c r="O126" s="2"/>
      <c r="P126" s="2" t="s">
        <v>574</v>
      </c>
      <c r="Q126" s="2"/>
      <c r="R126" s="2"/>
      <c r="S126" s="2"/>
      <c r="T126" s="2"/>
      <c r="U126" s="2"/>
      <c r="V126" s="2"/>
      <c r="W126" s="7">
        <v>1.8129999999999999</v>
      </c>
      <c r="X126" s="5">
        <v>1.5</v>
      </c>
      <c r="Y126" s="6">
        <v>1.75</v>
      </c>
      <c r="Z126" s="6">
        <v>1.75</v>
      </c>
      <c r="AA126" s="2"/>
      <c r="AB126" s="2" t="s">
        <v>47</v>
      </c>
      <c r="AC126" s="2"/>
    </row>
    <row r="127" spans="1:29" ht="91" x14ac:dyDescent="0.15">
      <c r="A127" s="3">
        <f>DATE(1990,4,10)</f>
        <v>32973</v>
      </c>
      <c r="B127" s="2"/>
      <c r="C127" s="2" t="s">
        <v>30</v>
      </c>
      <c r="D127" s="2" t="s">
        <v>575</v>
      </c>
      <c r="E127" s="2" t="s">
        <v>576</v>
      </c>
      <c r="F127" s="4">
        <v>2035</v>
      </c>
      <c r="G127" s="2" t="s">
        <v>577</v>
      </c>
      <c r="H127" s="2" t="s">
        <v>34</v>
      </c>
      <c r="I127" s="2" t="s">
        <v>578</v>
      </c>
      <c r="J127" s="2" t="s">
        <v>579</v>
      </c>
      <c r="K127" s="2" t="s">
        <v>237</v>
      </c>
      <c r="L127" s="2" t="s">
        <v>34</v>
      </c>
      <c r="M127" s="2"/>
      <c r="N127" s="7">
        <v>24.875</v>
      </c>
      <c r="O127" s="7">
        <v>24.875</v>
      </c>
      <c r="P127" s="2" t="s">
        <v>580</v>
      </c>
      <c r="Q127" s="2"/>
      <c r="R127" s="2"/>
      <c r="S127" s="5">
        <v>21.9</v>
      </c>
      <c r="T127" s="7">
        <v>60.738</v>
      </c>
      <c r="U127" s="5">
        <v>2.9</v>
      </c>
      <c r="V127" s="9">
        <v>0.45250000000000001</v>
      </c>
      <c r="W127" s="6">
        <v>19.75</v>
      </c>
      <c r="X127" s="7">
        <v>19.875</v>
      </c>
      <c r="Y127" s="4">
        <v>23</v>
      </c>
      <c r="Z127" s="5">
        <v>22.5</v>
      </c>
      <c r="AA127" s="6">
        <v>11.8</v>
      </c>
      <c r="AB127" s="2" t="s">
        <v>47</v>
      </c>
      <c r="AC127" s="2"/>
    </row>
    <row r="128" spans="1:29" ht="52" x14ac:dyDescent="0.15">
      <c r="A128" s="3">
        <f>DATE(1990,4,11)</f>
        <v>32974</v>
      </c>
      <c r="B128" s="3">
        <f>DATE(1990,6,29)</f>
        <v>33053</v>
      </c>
      <c r="C128" s="2" t="s">
        <v>95</v>
      </c>
      <c r="D128" s="2" t="s">
        <v>581</v>
      </c>
      <c r="E128" s="2" t="s">
        <v>582</v>
      </c>
      <c r="F128" s="4">
        <v>3577</v>
      </c>
      <c r="G128" s="2" t="s">
        <v>50</v>
      </c>
      <c r="H128" s="2" t="s">
        <v>34</v>
      </c>
      <c r="I128" s="2" t="s">
        <v>583</v>
      </c>
      <c r="J128" s="2" t="s">
        <v>584</v>
      </c>
      <c r="K128" s="2" t="s">
        <v>137</v>
      </c>
      <c r="L128" s="2" t="s">
        <v>34</v>
      </c>
      <c r="M128" s="2"/>
      <c r="N128" s="6">
        <v>3.75</v>
      </c>
      <c r="O128" s="5">
        <v>3.5</v>
      </c>
      <c r="P128" s="2" t="s">
        <v>585</v>
      </c>
      <c r="Q128" s="6">
        <v>100</v>
      </c>
      <c r="R128" s="2"/>
      <c r="S128" s="2"/>
      <c r="T128" s="2"/>
      <c r="U128" s="2"/>
      <c r="V128" s="2"/>
      <c r="W128" s="4">
        <v>5</v>
      </c>
      <c r="X128" s="4">
        <v>5</v>
      </c>
      <c r="Y128" s="4">
        <v>5</v>
      </c>
      <c r="Z128" s="4">
        <v>5</v>
      </c>
      <c r="AA128" s="2"/>
      <c r="AB128" s="2" t="s">
        <v>47</v>
      </c>
      <c r="AC128" s="2"/>
    </row>
    <row r="129" spans="1:29" ht="169" x14ac:dyDescent="0.15">
      <c r="A129" s="3">
        <f>DATE(1990,4,12)</f>
        <v>32975</v>
      </c>
      <c r="B129" s="3">
        <f>DATE(1990,6,30)</f>
        <v>33054</v>
      </c>
      <c r="C129" s="2" t="s">
        <v>95</v>
      </c>
      <c r="D129" s="2" t="s">
        <v>586</v>
      </c>
      <c r="E129" s="2" t="s">
        <v>587</v>
      </c>
      <c r="F129" s="4">
        <v>8748</v>
      </c>
      <c r="G129" s="2" t="s">
        <v>223</v>
      </c>
      <c r="H129" s="2" t="s">
        <v>34</v>
      </c>
      <c r="I129" s="2" t="s">
        <v>588</v>
      </c>
      <c r="J129" s="2" t="s">
        <v>589</v>
      </c>
      <c r="K129" s="2" t="s">
        <v>116</v>
      </c>
      <c r="L129" s="2" t="s">
        <v>34</v>
      </c>
      <c r="M129" s="2"/>
      <c r="N129" s="2"/>
      <c r="O129" s="2"/>
      <c r="P129" s="2" t="s">
        <v>590</v>
      </c>
      <c r="Q129" s="6">
        <v>100</v>
      </c>
      <c r="R129" s="6">
        <v>8.25</v>
      </c>
      <c r="S129" s="5">
        <v>-20</v>
      </c>
      <c r="T129" s="7">
        <v>-11.677</v>
      </c>
      <c r="U129" s="5">
        <v>1.4</v>
      </c>
      <c r="V129" s="6">
        <v>-2.08</v>
      </c>
      <c r="W129" s="7">
        <v>4.375</v>
      </c>
      <c r="X129" s="4">
        <v>8</v>
      </c>
      <c r="Y129" s="4">
        <v>8</v>
      </c>
      <c r="Z129" s="4">
        <v>8</v>
      </c>
      <c r="AA129" s="6">
        <v>9.6999999999999993</v>
      </c>
      <c r="AB129" s="2" t="s">
        <v>86</v>
      </c>
      <c r="AC129" s="2"/>
    </row>
    <row r="130" spans="1:29" ht="130" x14ac:dyDescent="0.15">
      <c r="A130" s="3">
        <f>DATE(1990,4,13)</f>
        <v>32976</v>
      </c>
      <c r="B130" s="2"/>
      <c r="C130" s="2" t="s">
        <v>82</v>
      </c>
      <c r="D130" s="2" t="s">
        <v>591</v>
      </c>
      <c r="E130" s="2" t="s">
        <v>592</v>
      </c>
      <c r="F130" s="4">
        <v>5199</v>
      </c>
      <c r="G130" s="2" t="s">
        <v>593</v>
      </c>
      <c r="H130" s="2" t="s">
        <v>34</v>
      </c>
      <c r="I130" s="2" t="s">
        <v>594</v>
      </c>
      <c r="J130" s="2" t="s">
        <v>595</v>
      </c>
      <c r="K130" s="2" t="s">
        <v>53</v>
      </c>
      <c r="L130" s="2" t="s">
        <v>34</v>
      </c>
      <c r="M130" s="2"/>
      <c r="N130" s="2"/>
      <c r="O130" s="2"/>
      <c r="P130" s="2" t="s">
        <v>596</v>
      </c>
      <c r="Q130" s="2"/>
      <c r="R130" s="2"/>
      <c r="S130" s="5">
        <v>30.9</v>
      </c>
      <c r="T130" s="7">
        <v>66.902000000000001</v>
      </c>
      <c r="U130" s="5">
        <v>6.1</v>
      </c>
      <c r="V130" s="6">
        <v>0.87</v>
      </c>
      <c r="W130" s="7">
        <v>13.125</v>
      </c>
      <c r="X130" s="7">
        <v>14.125</v>
      </c>
      <c r="Y130" s="7">
        <v>14.125</v>
      </c>
      <c r="Z130" s="4">
        <v>14</v>
      </c>
      <c r="AA130" s="2"/>
      <c r="AB130" s="2" t="s">
        <v>47</v>
      </c>
      <c r="AC130" s="2"/>
    </row>
    <row r="131" spans="1:29" ht="91" x14ac:dyDescent="0.15">
      <c r="A131" s="3">
        <f>DATE(1990,4,16)</f>
        <v>32979</v>
      </c>
      <c r="B131" s="3">
        <f>DATE(1990,5,21)</f>
        <v>33014</v>
      </c>
      <c r="C131" s="2" t="s">
        <v>95</v>
      </c>
      <c r="D131" s="2" t="s">
        <v>597</v>
      </c>
      <c r="E131" s="2" t="s">
        <v>598</v>
      </c>
      <c r="F131" s="4">
        <v>3577</v>
      </c>
      <c r="G131" s="2" t="s">
        <v>50</v>
      </c>
      <c r="H131" s="2" t="s">
        <v>34</v>
      </c>
      <c r="I131" s="2" t="s">
        <v>599</v>
      </c>
      <c r="J131" s="2" t="s">
        <v>52</v>
      </c>
      <c r="K131" s="2" t="s">
        <v>53</v>
      </c>
      <c r="L131" s="2" t="s">
        <v>99</v>
      </c>
      <c r="M131" s="2"/>
      <c r="N131" s="2"/>
      <c r="O131" s="2"/>
      <c r="P131" s="2" t="s">
        <v>600</v>
      </c>
      <c r="Q131" s="6">
        <v>100</v>
      </c>
      <c r="R131" s="6">
        <v>10</v>
      </c>
      <c r="S131" s="5">
        <v>3.8</v>
      </c>
      <c r="T131" s="7">
        <v>15.331</v>
      </c>
      <c r="U131" s="5">
        <v>9.5</v>
      </c>
      <c r="V131" s="6">
        <v>0.19</v>
      </c>
      <c r="W131" s="5">
        <v>6.5</v>
      </c>
      <c r="X131" s="7">
        <v>6.375</v>
      </c>
      <c r="Y131" s="7">
        <v>9.625</v>
      </c>
      <c r="Z131" s="7">
        <v>9.625</v>
      </c>
      <c r="AA131" s="6">
        <v>16</v>
      </c>
      <c r="AB131" s="7">
        <v>68.08</v>
      </c>
      <c r="AC131" s="2"/>
    </row>
    <row r="132" spans="1:29" ht="130" x14ac:dyDescent="0.15">
      <c r="A132" s="3">
        <f>DATE(1990,4,16)</f>
        <v>32979</v>
      </c>
      <c r="B132" s="3">
        <f>DATE(1991,1,1)</f>
        <v>33239</v>
      </c>
      <c r="C132" s="2" t="s">
        <v>95</v>
      </c>
      <c r="D132" s="2" t="s">
        <v>601</v>
      </c>
      <c r="E132" s="2" t="s">
        <v>602</v>
      </c>
      <c r="F132" s="4">
        <v>6035</v>
      </c>
      <c r="G132" s="2" t="s">
        <v>33</v>
      </c>
      <c r="H132" s="2" t="s">
        <v>34</v>
      </c>
      <c r="I132" s="2" t="s">
        <v>603</v>
      </c>
      <c r="J132" s="2" t="s">
        <v>36</v>
      </c>
      <c r="K132" s="2" t="s">
        <v>37</v>
      </c>
      <c r="L132" s="2" t="s">
        <v>34</v>
      </c>
      <c r="M132" s="2"/>
      <c r="N132" s="5">
        <v>46.5</v>
      </c>
      <c r="O132" s="5">
        <v>46.5</v>
      </c>
      <c r="P132" s="2" t="s">
        <v>604</v>
      </c>
      <c r="Q132" s="6">
        <v>100</v>
      </c>
      <c r="R132" s="6">
        <v>42.35</v>
      </c>
      <c r="S132" s="5">
        <v>0.6</v>
      </c>
      <c r="T132" s="7">
        <v>0.99199999999999999</v>
      </c>
      <c r="U132" s="5">
        <v>20</v>
      </c>
      <c r="V132" s="6">
        <v>2.4500000000000002</v>
      </c>
      <c r="W132" s="4">
        <v>21</v>
      </c>
      <c r="X132" s="5">
        <v>21.5</v>
      </c>
      <c r="Y132" s="5">
        <v>21.5</v>
      </c>
      <c r="Z132" s="5">
        <v>21.5</v>
      </c>
      <c r="AA132" s="6">
        <v>0.25</v>
      </c>
      <c r="AB132" s="2" t="s">
        <v>86</v>
      </c>
      <c r="AC132" s="2"/>
    </row>
    <row r="133" spans="1:29" ht="156" x14ac:dyDescent="0.15">
      <c r="A133" s="3">
        <f>DATE(1990,4,16)</f>
        <v>32979</v>
      </c>
      <c r="B133" s="3">
        <f>DATE(1990,11,27)</f>
        <v>33204</v>
      </c>
      <c r="C133" s="2" t="s">
        <v>95</v>
      </c>
      <c r="D133" s="2" t="s">
        <v>555</v>
      </c>
      <c r="E133" s="2" t="s">
        <v>556</v>
      </c>
      <c r="F133" s="4">
        <v>4522</v>
      </c>
      <c r="G133" s="2" t="s">
        <v>59</v>
      </c>
      <c r="H133" s="2" t="s">
        <v>34</v>
      </c>
      <c r="I133" s="2" t="s">
        <v>605</v>
      </c>
      <c r="J133" s="2" t="s">
        <v>302</v>
      </c>
      <c r="K133" s="2" t="s">
        <v>53</v>
      </c>
      <c r="L133" s="2" t="s">
        <v>34</v>
      </c>
      <c r="M133" s="2"/>
      <c r="N133" s="2"/>
      <c r="O133" s="2"/>
      <c r="P133" s="2" t="s">
        <v>606</v>
      </c>
      <c r="Q133" s="2"/>
      <c r="R133" s="6">
        <v>3</v>
      </c>
      <c r="S133" s="5">
        <v>-5.3</v>
      </c>
      <c r="T133" s="2"/>
      <c r="U133" s="5">
        <v>4.5999999999999996</v>
      </c>
      <c r="V133" s="2"/>
      <c r="W133" s="6">
        <v>6.75</v>
      </c>
      <c r="X133" s="7">
        <v>8.125</v>
      </c>
      <c r="Y133" s="6">
        <v>9.75</v>
      </c>
      <c r="Z133" s="6">
        <v>8.75</v>
      </c>
      <c r="AA133" s="6">
        <v>9.26</v>
      </c>
      <c r="AB133" s="2" t="s">
        <v>86</v>
      </c>
      <c r="AC133" s="2"/>
    </row>
    <row r="134" spans="1:29" ht="91" x14ac:dyDescent="0.15">
      <c r="A134" s="3">
        <f>DATE(1990,4,16)</f>
        <v>32979</v>
      </c>
      <c r="B134" s="2"/>
      <c r="C134" s="2" t="s">
        <v>189</v>
      </c>
      <c r="D134" s="2" t="s">
        <v>607</v>
      </c>
      <c r="E134" s="2" t="s">
        <v>36</v>
      </c>
      <c r="F134" s="4">
        <v>6712</v>
      </c>
      <c r="G134" s="2" t="s">
        <v>37</v>
      </c>
      <c r="H134" s="2" t="s">
        <v>34</v>
      </c>
      <c r="I134" s="2" t="s">
        <v>143</v>
      </c>
      <c r="J134" s="2" t="s">
        <v>144</v>
      </c>
      <c r="K134" s="2" t="s">
        <v>53</v>
      </c>
      <c r="L134" s="2" t="s">
        <v>139</v>
      </c>
      <c r="M134" s="2"/>
      <c r="N134" s="2"/>
      <c r="O134" s="2"/>
      <c r="P134" s="2" t="s">
        <v>608</v>
      </c>
      <c r="Q134" s="2"/>
      <c r="R134" s="2"/>
      <c r="S134" s="2"/>
      <c r="T134" s="2"/>
      <c r="U134" s="5">
        <v>15.7</v>
      </c>
      <c r="V134" s="2"/>
      <c r="W134" s="4">
        <v>7</v>
      </c>
      <c r="X134" s="4">
        <v>7</v>
      </c>
      <c r="Y134" s="4">
        <v>7</v>
      </c>
      <c r="Z134" s="4">
        <v>7</v>
      </c>
      <c r="AA134" s="6">
        <v>0.2</v>
      </c>
      <c r="AB134" s="2" t="s">
        <v>47</v>
      </c>
      <c r="AC134" s="2"/>
    </row>
    <row r="135" spans="1:29" ht="39" x14ac:dyDescent="0.15">
      <c r="A135" s="3">
        <f>DATE(1990,4,16)</f>
        <v>32979</v>
      </c>
      <c r="B135" s="2"/>
      <c r="C135" s="2" t="s">
        <v>141</v>
      </c>
      <c r="D135" s="2" t="s">
        <v>609</v>
      </c>
      <c r="E135" s="2" t="s">
        <v>389</v>
      </c>
      <c r="F135" s="4">
        <v>6036</v>
      </c>
      <c r="G135" s="2" t="s">
        <v>33</v>
      </c>
      <c r="H135" s="2" t="s">
        <v>34</v>
      </c>
      <c r="I135" s="2" t="s">
        <v>143</v>
      </c>
      <c r="J135" s="2" t="s">
        <v>144</v>
      </c>
      <c r="K135" s="2" t="s">
        <v>53</v>
      </c>
      <c r="L135" s="2" t="s">
        <v>139</v>
      </c>
      <c r="M135" s="2"/>
      <c r="N135" s="2"/>
      <c r="O135" s="2"/>
      <c r="P135" s="2" t="s">
        <v>610</v>
      </c>
      <c r="Q135" s="2"/>
      <c r="R135" s="2"/>
      <c r="S135" s="5">
        <v>2</v>
      </c>
      <c r="T135" s="5">
        <v>3.7</v>
      </c>
      <c r="U135" s="5">
        <v>8.1999999999999993</v>
      </c>
      <c r="V135" s="6">
        <v>1.05</v>
      </c>
      <c r="W135" s="6">
        <v>6.25</v>
      </c>
      <c r="X135" s="4">
        <v>6</v>
      </c>
      <c r="Y135" s="4">
        <v>6</v>
      </c>
      <c r="Z135" s="4">
        <v>6</v>
      </c>
      <c r="AA135" s="2"/>
      <c r="AB135" s="2" t="s">
        <v>47</v>
      </c>
      <c r="AC135" s="2"/>
    </row>
    <row r="136" spans="1:29" ht="104" x14ac:dyDescent="0.15">
      <c r="A136" s="3">
        <f>DATE(1990,4,17)</f>
        <v>32980</v>
      </c>
      <c r="B136" s="3">
        <f>DATE(1990,7,20)</f>
        <v>33074</v>
      </c>
      <c r="C136" s="2" t="s">
        <v>95</v>
      </c>
      <c r="D136" s="2" t="s">
        <v>611</v>
      </c>
      <c r="E136" s="2" t="s">
        <v>612</v>
      </c>
      <c r="F136" s="4">
        <v>1311</v>
      </c>
      <c r="G136" s="2" t="s">
        <v>148</v>
      </c>
      <c r="H136" s="2" t="s">
        <v>34</v>
      </c>
      <c r="I136" s="2" t="s">
        <v>613</v>
      </c>
      <c r="J136" s="2" t="s">
        <v>177</v>
      </c>
      <c r="K136" s="2" t="s">
        <v>148</v>
      </c>
      <c r="L136" s="2" t="s">
        <v>34</v>
      </c>
      <c r="M136" s="2"/>
      <c r="N136" s="2"/>
      <c r="O136" s="2"/>
      <c r="P136" s="2" t="s">
        <v>614</v>
      </c>
      <c r="Q136" s="6">
        <v>100</v>
      </c>
      <c r="R136" s="6">
        <v>13.2</v>
      </c>
      <c r="S136" s="5">
        <v>-1.1000000000000001</v>
      </c>
      <c r="T136" s="7">
        <v>7.7750000000000004</v>
      </c>
      <c r="U136" s="5">
        <v>9.1</v>
      </c>
      <c r="V136" s="6">
        <v>-0.47</v>
      </c>
      <c r="W136" s="5">
        <v>9.5</v>
      </c>
      <c r="X136" s="6">
        <v>9.25</v>
      </c>
      <c r="Y136" s="6">
        <v>9.75</v>
      </c>
      <c r="Z136" s="7">
        <v>12.125</v>
      </c>
      <c r="AA136" s="6">
        <v>2.23</v>
      </c>
      <c r="AB136" s="7">
        <v>51.308</v>
      </c>
      <c r="AC136" s="2"/>
    </row>
    <row r="137" spans="1:29" ht="65" x14ac:dyDescent="0.15">
      <c r="A137" s="3">
        <f>DATE(1990,4,17)</f>
        <v>32980</v>
      </c>
      <c r="B137" s="2"/>
      <c r="C137" s="2" t="s">
        <v>189</v>
      </c>
      <c r="D137" s="2" t="s">
        <v>615</v>
      </c>
      <c r="E137" s="2" t="s">
        <v>32</v>
      </c>
      <c r="F137" s="4">
        <v>6035</v>
      </c>
      <c r="G137" s="2" t="s">
        <v>33</v>
      </c>
      <c r="H137" s="2" t="s">
        <v>34</v>
      </c>
      <c r="I137" s="2" t="s">
        <v>143</v>
      </c>
      <c r="J137" s="2" t="s">
        <v>144</v>
      </c>
      <c r="K137" s="2" t="s">
        <v>53</v>
      </c>
      <c r="L137" s="2" t="s">
        <v>139</v>
      </c>
      <c r="M137" s="2"/>
      <c r="N137" s="2"/>
      <c r="O137" s="2"/>
      <c r="P137" s="2" t="s">
        <v>616</v>
      </c>
      <c r="Q137" s="2"/>
      <c r="R137" s="2"/>
      <c r="S137" s="5">
        <v>-263.39999999999998</v>
      </c>
      <c r="T137" s="2"/>
      <c r="U137" s="5">
        <v>15.6</v>
      </c>
      <c r="V137" s="6">
        <v>-11</v>
      </c>
      <c r="W137" s="6">
        <v>4.25</v>
      </c>
      <c r="X137" s="6">
        <v>3.75</v>
      </c>
      <c r="Y137" s="7">
        <v>4.625</v>
      </c>
      <c r="Z137" s="4">
        <v>4</v>
      </c>
      <c r="AA137" s="2"/>
      <c r="AB137" s="2" t="s">
        <v>86</v>
      </c>
      <c r="AC137" s="2"/>
    </row>
    <row r="138" spans="1:29" ht="65" x14ac:dyDescent="0.15">
      <c r="A138" s="3">
        <f>DATE(1990,4,17)</f>
        <v>32980</v>
      </c>
      <c r="B138" s="3">
        <f>DATE(1991,5,1)</f>
        <v>33359</v>
      </c>
      <c r="C138" s="2" t="s">
        <v>95</v>
      </c>
      <c r="D138" s="2" t="s">
        <v>617</v>
      </c>
      <c r="E138" s="2" t="s">
        <v>36</v>
      </c>
      <c r="F138" s="4">
        <v>6021</v>
      </c>
      <c r="G138" s="2" t="s">
        <v>37</v>
      </c>
      <c r="H138" s="2" t="s">
        <v>34</v>
      </c>
      <c r="I138" s="2" t="s">
        <v>618</v>
      </c>
      <c r="J138" s="2" t="s">
        <v>36</v>
      </c>
      <c r="K138" s="2" t="s">
        <v>37</v>
      </c>
      <c r="L138" s="2" t="s">
        <v>34</v>
      </c>
      <c r="M138" s="2"/>
      <c r="N138" s="5">
        <v>13.5</v>
      </c>
      <c r="O138" s="5">
        <v>13.5</v>
      </c>
      <c r="P138" s="2" t="s">
        <v>619</v>
      </c>
      <c r="Q138" s="6">
        <v>100</v>
      </c>
      <c r="R138" s="6">
        <v>60.06</v>
      </c>
      <c r="S138" s="5">
        <v>2.8</v>
      </c>
      <c r="T138" s="7">
        <v>4.3010000000000002</v>
      </c>
      <c r="U138" s="5">
        <v>41.9</v>
      </c>
      <c r="V138" s="6">
        <v>4.62</v>
      </c>
      <c r="W138" s="4">
        <v>34</v>
      </c>
      <c r="X138" s="4">
        <v>36</v>
      </c>
      <c r="Y138" s="4">
        <v>50</v>
      </c>
      <c r="Z138" s="4">
        <v>47</v>
      </c>
      <c r="AA138" s="6">
        <v>0.6</v>
      </c>
      <c r="AB138" s="7">
        <v>74.007000000000005</v>
      </c>
      <c r="AC138" s="2"/>
    </row>
    <row r="139" spans="1:29" ht="104" x14ac:dyDescent="0.15">
      <c r="A139" s="3">
        <f>DATE(1990,4,18)</f>
        <v>32981</v>
      </c>
      <c r="B139" s="3">
        <f>DATE(1990,8,31)</f>
        <v>33116</v>
      </c>
      <c r="C139" s="2" t="s">
        <v>95</v>
      </c>
      <c r="D139" s="2" t="s">
        <v>620</v>
      </c>
      <c r="E139" s="2" t="s">
        <v>621</v>
      </c>
      <c r="F139" s="2" t="s">
        <v>622</v>
      </c>
      <c r="G139" s="2" t="s">
        <v>426</v>
      </c>
      <c r="H139" s="2" t="s">
        <v>34</v>
      </c>
      <c r="I139" s="2" t="s">
        <v>51</v>
      </c>
      <c r="J139" s="2" t="s">
        <v>52</v>
      </c>
      <c r="K139" s="2" t="s">
        <v>53</v>
      </c>
      <c r="L139" s="2" t="s">
        <v>34</v>
      </c>
      <c r="M139" s="2"/>
      <c r="N139" s="2"/>
      <c r="O139" s="2"/>
      <c r="P139" s="2" t="s">
        <v>623</v>
      </c>
      <c r="Q139" s="6">
        <v>72</v>
      </c>
      <c r="R139" s="6">
        <v>1</v>
      </c>
      <c r="S139" s="5">
        <v>-6.1</v>
      </c>
      <c r="T139" s="2"/>
      <c r="U139" s="5">
        <v>0.5</v>
      </c>
      <c r="V139" s="6">
        <v>-1.36</v>
      </c>
      <c r="W139" s="6">
        <v>5.25</v>
      </c>
      <c r="X139" s="7">
        <v>6.375</v>
      </c>
      <c r="Y139" s="7">
        <v>6.125</v>
      </c>
      <c r="Z139" s="4">
        <v>6</v>
      </c>
      <c r="AA139" s="6">
        <v>0.43</v>
      </c>
      <c r="AB139" s="2" t="s">
        <v>47</v>
      </c>
      <c r="AC139" s="2"/>
    </row>
    <row r="140" spans="1:29" ht="130" x14ac:dyDescent="0.15">
      <c r="A140" s="3">
        <f>DATE(1990,4,19)</f>
        <v>32982</v>
      </c>
      <c r="B140" s="2"/>
      <c r="C140" s="2" t="s">
        <v>30</v>
      </c>
      <c r="D140" s="2" t="s">
        <v>624</v>
      </c>
      <c r="E140" s="2" t="s">
        <v>32</v>
      </c>
      <c r="F140" s="4">
        <v>6035</v>
      </c>
      <c r="G140" s="2" t="s">
        <v>33</v>
      </c>
      <c r="H140" s="2" t="s">
        <v>34</v>
      </c>
      <c r="I140" s="2" t="s">
        <v>625</v>
      </c>
      <c r="J140" s="2" t="s">
        <v>36</v>
      </c>
      <c r="K140" s="2" t="s">
        <v>37</v>
      </c>
      <c r="L140" s="2" t="s">
        <v>34</v>
      </c>
      <c r="M140" s="2"/>
      <c r="N140" s="6">
        <v>10.25</v>
      </c>
      <c r="O140" s="6">
        <v>10.25</v>
      </c>
      <c r="P140" s="2" t="s">
        <v>626</v>
      </c>
      <c r="Q140" s="2"/>
      <c r="R140" s="2"/>
      <c r="S140" s="5">
        <v>-7.7</v>
      </c>
      <c r="T140" s="2"/>
      <c r="U140" s="5">
        <v>10.3</v>
      </c>
      <c r="V140" s="2"/>
      <c r="W140" s="6">
        <v>4.25</v>
      </c>
      <c r="X140" s="4">
        <v>4</v>
      </c>
      <c r="Y140" s="6">
        <v>5.25</v>
      </c>
      <c r="Z140" s="6">
        <v>5.25</v>
      </c>
      <c r="AA140" s="2"/>
      <c r="AB140" s="2" t="s">
        <v>86</v>
      </c>
      <c r="AC140" s="2"/>
    </row>
    <row r="141" spans="1:29" ht="130" x14ac:dyDescent="0.15">
      <c r="A141" s="3">
        <f>DATE(1990,4,20)</f>
        <v>32983</v>
      </c>
      <c r="B141" s="3">
        <f>DATE(1990,6,29)</f>
        <v>33053</v>
      </c>
      <c r="C141" s="2" t="s">
        <v>95</v>
      </c>
      <c r="D141" s="2" t="s">
        <v>627</v>
      </c>
      <c r="E141" s="2" t="s">
        <v>628</v>
      </c>
      <c r="F141" s="4">
        <v>3841</v>
      </c>
      <c r="G141" s="2" t="s">
        <v>226</v>
      </c>
      <c r="H141" s="2" t="s">
        <v>34</v>
      </c>
      <c r="I141" s="2" t="s">
        <v>629</v>
      </c>
      <c r="J141" s="2" t="s">
        <v>630</v>
      </c>
      <c r="K141" s="2" t="s">
        <v>130</v>
      </c>
      <c r="L141" s="2" t="s">
        <v>34</v>
      </c>
      <c r="M141" s="12">
        <v>27409.837</v>
      </c>
      <c r="N141" s="6">
        <v>52.75</v>
      </c>
      <c r="O141" s="7">
        <v>52.125</v>
      </c>
      <c r="P141" s="2" t="s">
        <v>631</v>
      </c>
      <c r="Q141" s="6">
        <v>100</v>
      </c>
      <c r="R141" s="6">
        <v>19.25</v>
      </c>
      <c r="S141" s="5">
        <v>4.5</v>
      </c>
      <c r="T141" s="7">
        <v>7.2249999999999996</v>
      </c>
      <c r="U141" s="5">
        <v>3.5</v>
      </c>
      <c r="V141" s="7">
        <v>0.47199999999999998</v>
      </c>
      <c r="W141" s="7">
        <v>12.875</v>
      </c>
      <c r="X141" s="7">
        <v>12.875</v>
      </c>
      <c r="Y141" s="7">
        <v>12.875</v>
      </c>
      <c r="Z141" s="7">
        <v>17.625</v>
      </c>
      <c r="AA141" s="6">
        <v>9.64</v>
      </c>
      <c r="AB141" s="7">
        <v>32.6</v>
      </c>
      <c r="AC141" s="8">
        <v>2282</v>
      </c>
    </row>
    <row r="142" spans="1:29" ht="78" x14ac:dyDescent="0.15">
      <c r="A142" s="3">
        <f>DATE(1990,4,20)</f>
        <v>32983</v>
      </c>
      <c r="B142" s="2"/>
      <c r="C142" s="2" t="s">
        <v>141</v>
      </c>
      <c r="D142" s="2" t="s">
        <v>632</v>
      </c>
      <c r="E142" s="2" t="s">
        <v>36</v>
      </c>
      <c r="F142" s="4">
        <v>6211</v>
      </c>
      <c r="G142" s="2" t="s">
        <v>53</v>
      </c>
      <c r="H142" s="2" t="s">
        <v>34</v>
      </c>
      <c r="I142" s="2" t="s">
        <v>143</v>
      </c>
      <c r="J142" s="2" t="s">
        <v>144</v>
      </c>
      <c r="K142" s="2" t="s">
        <v>53</v>
      </c>
      <c r="L142" s="2" t="s">
        <v>139</v>
      </c>
      <c r="M142" s="2"/>
      <c r="N142" s="2"/>
      <c r="O142" s="2"/>
      <c r="P142" s="2" t="s">
        <v>633</v>
      </c>
      <c r="Q142" s="2"/>
      <c r="R142" s="2"/>
      <c r="S142" s="5">
        <v>0.5</v>
      </c>
      <c r="T142" s="2"/>
      <c r="U142" s="5">
        <v>7.3</v>
      </c>
      <c r="V142" s="2"/>
      <c r="W142" s="5">
        <v>4.5</v>
      </c>
      <c r="X142" s="7">
        <v>4.125</v>
      </c>
      <c r="Y142" s="7">
        <v>4.125</v>
      </c>
      <c r="Z142" s="5">
        <v>4.5</v>
      </c>
      <c r="AA142" s="2"/>
      <c r="AB142" s="2" t="s">
        <v>47</v>
      </c>
      <c r="AC142" s="2"/>
    </row>
    <row r="143" spans="1:29" ht="78" x14ac:dyDescent="0.15">
      <c r="A143" s="3">
        <f>DATE(1990,4,24)</f>
        <v>32987</v>
      </c>
      <c r="B143" s="3">
        <f>DATE(1990,9,17)</f>
        <v>33133</v>
      </c>
      <c r="C143" s="2" t="s">
        <v>95</v>
      </c>
      <c r="D143" s="2" t="s">
        <v>634</v>
      </c>
      <c r="E143" s="2" t="s">
        <v>635</v>
      </c>
      <c r="F143" s="4">
        <v>3829</v>
      </c>
      <c r="G143" s="2" t="s">
        <v>226</v>
      </c>
      <c r="H143" s="2" t="s">
        <v>34</v>
      </c>
      <c r="I143" s="2" t="s">
        <v>636</v>
      </c>
      <c r="J143" s="2" t="s">
        <v>637</v>
      </c>
      <c r="K143" s="2" t="s">
        <v>226</v>
      </c>
      <c r="L143" s="2" t="s">
        <v>34</v>
      </c>
      <c r="M143" s="2"/>
      <c r="N143" s="7">
        <v>14.375</v>
      </c>
      <c r="O143" s="6">
        <v>14.25</v>
      </c>
      <c r="P143" s="2" t="s">
        <v>638</v>
      </c>
      <c r="Q143" s="6">
        <v>96.36</v>
      </c>
      <c r="R143" s="6">
        <v>20</v>
      </c>
      <c r="S143" s="5">
        <v>-3.9</v>
      </c>
      <c r="T143" s="6">
        <v>3.89</v>
      </c>
      <c r="U143" s="5">
        <v>11.7</v>
      </c>
      <c r="V143" s="6">
        <v>-0.73</v>
      </c>
      <c r="W143" s="6">
        <v>13.25</v>
      </c>
      <c r="X143" s="6">
        <v>14.25</v>
      </c>
      <c r="Y143" s="6">
        <v>18.75</v>
      </c>
      <c r="Z143" s="4">
        <v>19</v>
      </c>
      <c r="AA143" s="6">
        <v>5.44</v>
      </c>
      <c r="AB143" s="2" t="s">
        <v>86</v>
      </c>
      <c r="AC143" s="6">
        <v>85.52</v>
      </c>
    </row>
    <row r="144" spans="1:29" ht="104" x14ac:dyDescent="0.15">
      <c r="A144" s="3">
        <f>DATE(1990,4,24)</f>
        <v>32987</v>
      </c>
      <c r="B144" s="2"/>
      <c r="C144" s="2" t="s">
        <v>87</v>
      </c>
      <c r="D144" s="2" t="s">
        <v>639</v>
      </c>
      <c r="E144" s="2" t="s">
        <v>36</v>
      </c>
      <c r="F144" s="4">
        <v>6022</v>
      </c>
      <c r="G144" s="2" t="s">
        <v>37</v>
      </c>
      <c r="H144" s="2" t="s">
        <v>34</v>
      </c>
      <c r="I144" s="2" t="s">
        <v>640</v>
      </c>
      <c r="J144" s="2" t="s">
        <v>36</v>
      </c>
      <c r="K144" s="2" t="s">
        <v>37</v>
      </c>
      <c r="L144" s="2" t="s">
        <v>34</v>
      </c>
      <c r="M144" s="2"/>
      <c r="N144" s="5">
        <v>34.5</v>
      </c>
      <c r="O144" s="4">
        <v>35</v>
      </c>
      <c r="P144" s="2" t="s">
        <v>641</v>
      </c>
      <c r="Q144" s="2"/>
      <c r="R144" s="2"/>
      <c r="S144" s="5">
        <v>1.9</v>
      </c>
      <c r="T144" s="2"/>
      <c r="U144" s="2"/>
      <c r="V144" s="2"/>
      <c r="W144" s="4">
        <v>16</v>
      </c>
      <c r="X144" s="5">
        <v>15.5</v>
      </c>
      <c r="Y144" s="4">
        <v>15</v>
      </c>
      <c r="Z144" s="4">
        <v>18</v>
      </c>
      <c r="AA144" s="6">
        <v>1.24</v>
      </c>
      <c r="AB144" s="2" t="s">
        <v>47</v>
      </c>
      <c r="AC144" s="2"/>
    </row>
    <row r="145" spans="1:29" ht="91" x14ac:dyDescent="0.15">
      <c r="A145" s="3">
        <f>DATE(1990,4,24)</f>
        <v>32987</v>
      </c>
      <c r="B145" s="3">
        <f>DATE(1990,8,17)</f>
        <v>33102</v>
      </c>
      <c r="C145" s="2" t="s">
        <v>95</v>
      </c>
      <c r="D145" s="2" t="s">
        <v>642</v>
      </c>
      <c r="E145" s="2" t="s">
        <v>643</v>
      </c>
      <c r="F145" s="4">
        <v>5023</v>
      </c>
      <c r="G145" s="2" t="s">
        <v>76</v>
      </c>
      <c r="H145" s="2" t="s">
        <v>34</v>
      </c>
      <c r="I145" s="2" t="s">
        <v>644</v>
      </c>
      <c r="J145" s="2" t="s">
        <v>645</v>
      </c>
      <c r="K145" s="2" t="s">
        <v>53</v>
      </c>
      <c r="L145" s="2" t="s">
        <v>34</v>
      </c>
      <c r="M145" s="2"/>
      <c r="N145" s="2"/>
      <c r="O145" s="2"/>
      <c r="P145" s="2" t="s">
        <v>646</v>
      </c>
      <c r="Q145" s="6">
        <v>58.77</v>
      </c>
      <c r="R145" s="6">
        <v>4.75</v>
      </c>
      <c r="S145" s="5">
        <v>-0.4</v>
      </c>
      <c r="T145" s="7">
        <v>0.161</v>
      </c>
      <c r="U145" s="5">
        <v>5.8</v>
      </c>
      <c r="V145" s="6">
        <v>-0.56999999999999995</v>
      </c>
      <c r="W145" s="6">
        <v>2.75</v>
      </c>
      <c r="X145" s="4">
        <v>3</v>
      </c>
      <c r="Y145" s="6">
        <v>4.25</v>
      </c>
      <c r="Z145" s="6">
        <v>4.25</v>
      </c>
      <c r="AA145" s="6">
        <v>0.7</v>
      </c>
      <c r="AB145" s="2" t="s">
        <v>86</v>
      </c>
      <c r="AC145" s="2"/>
    </row>
    <row r="146" spans="1:29" ht="65" x14ac:dyDescent="0.15">
      <c r="A146" s="3">
        <f>DATE(1990,4,25)</f>
        <v>32988</v>
      </c>
      <c r="B146" s="3">
        <f>DATE(1990,9,18)</f>
        <v>33134</v>
      </c>
      <c r="C146" s="2" t="s">
        <v>95</v>
      </c>
      <c r="D146" s="2" t="s">
        <v>443</v>
      </c>
      <c r="E146" s="2" t="s">
        <v>444</v>
      </c>
      <c r="F146" s="4">
        <v>3291</v>
      </c>
      <c r="G146" s="2" t="s">
        <v>237</v>
      </c>
      <c r="H146" s="2" t="s">
        <v>34</v>
      </c>
      <c r="I146" s="2" t="s">
        <v>647</v>
      </c>
      <c r="J146" s="2" t="s">
        <v>648</v>
      </c>
      <c r="K146" s="2" t="s">
        <v>237</v>
      </c>
      <c r="L146" s="2" t="s">
        <v>133</v>
      </c>
      <c r="M146" s="2"/>
      <c r="N146" s="2"/>
      <c r="O146" s="2"/>
      <c r="P146" s="2" t="s">
        <v>649</v>
      </c>
      <c r="Q146" s="6">
        <v>100</v>
      </c>
      <c r="R146" s="6">
        <v>90</v>
      </c>
      <c r="S146" s="5">
        <v>85.8</v>
      </c>
      <c r="T146" s="5">
        <v>197.8</v>
      </c>
      <c r="U146" s="5">
        <v>29.8</v>
      </c>
      <c r="V146" s="6">
        <v>4.0999999999999996</v>
      </c>
      <c r="W146" s="7">
        <v>54.875</v>
      </c>
      <c r="X146" s="6">
        <v>58.25</v>
      </c>
      <c r="Y146" s="7">
        <v>74.875</v>
      </c>
      <c r="Z146" s="6">
        <v>74.75</v>
      </c>
      <c r="AA146" s="6">
        <v>18.63</v>
      </c>
      <c r="AB146" s="7">
        <v>13.773</v>
      </c>
      <c r="AC146" s="8">
        <v>8552</v>
      </c>
    </row>
    <row r="147" spans="1:29" ht="104" x14ac:dyDescent="0.15">
      <c r="A147" s="3">
        <f>DATE(1990,4,26)</f>
        <v>32989</v>
      </c>
      <c r="B147" s="3">
        <f>DATE(1990,4,26)</f>
        <v>32989</v>
      </c>
      <c r="C147" s="2" t="s">
        <v>95</v>
      </c>
      <c r="D147" s="2" t="s">
        <v>650</v>
      </c>
      <c r="E147" s="2" t="s">
        <v>651</v>
      </c>
      <c r="F147" s="4">
        <v>6733</v>
      </c>
      <c r="G147" s="2" t="s">
        <v>53</v>
      </c>
      <c r="H147" s="2" t="s">
        <v>34</v>
      </c>
      <c r="I147" s="2" t="s">
        <v>652</v>
      </c>
      <c r="J147" s="2" t="s">
        <v>653</v>
      </c>
      <c r="K147" s="2" t="s">
        <v>53</v>
      </c>
      <c r="L147" s="2" t="s">
        <v>34</v>
      </c>
      <c r="M147" s="2"/>
      <c r="N147" s="2"/>
      <c r="O147" s="2"/>
      <c r="P147" s="2" t="s">
        <v>654</v>
      </c>
      <c r="Q147" s="6">
        <v>100</v>
      </c>
      <c r="R147" s="2"/>
      <c r="S147" s="2"/>
      <c r="T147" s="2"/>
      <c r="U147" s="2"/>
      <c r="V147" s="2"/>
      <c r="W147" s="6">
        <v>9.9700000000000006</v>
      </c>
      <c r="X147" s="6">
        <v>9.94</v>
      </c>
      <c r="Y147" s="6">
        <v>9.92</v>
      </c>
      <c r="Z147" s="6">
        <v>9.92</v>
      </c>
      <c r="AA147" s="2"/>
      <c r="AB147" s="2" t="s">
        <v>47</v>
      </c>
      <c r="AC147" s="2"/>
    </row>
    <row r="148" spans="1:29" ht="91" x14ac:dyDescent="0.15">
      <c r="A148" s="3">
        <f>DATE(1990,4,26)</f>
        <v>32989</v>
      </c>
      <c r="B148" s="2"/>
      <c r="C148" s="2" t="s">
        <v>87</v>
      </c>
      <c r="D148" s="2" t="s">
        <v>655</v>
      </c>
      <c r="E148" s="2" t="s">
        <v>159</v>
      </c>
      <c r="F148" s="4">
        <v>6035</v>
      </c>
      <c r="G148" s="2" t="s">
        <v>33</v>
      </c>
      <c r="H148" s="2" t="s">
        <v>34</v>
      </c>
      <c r="I148" s="2" t="s">
        <v>51</v>
      </c>
      <c r="J148" s="2" t="s">
        <v>52</v>
      </c>
      <c r="K148" s="2" t="s">
        <v>53</v>
      </c>
      <c r="L148" s="2" t="s">
        <v>34</v>
      </c>
      <c r="M148" s="2"/>
      <c r="N148" s="2"/>
      <c r="O148" s="2"/>
      <c r="P148" s="2" t="s">
        <v>656</v>
      </c>
      <c r="Q148" s="2"/>
      <c r="R148" s="2"/>
      <c r="S148" s="5">
        <v>3.4</v>
      </c>
      <c r="T148" s="2"/>
      <c r="U148" s="5">
        <v>19</v>
      </c>
      <c r="V148" s="2"/>
      <c r="W148" s="4">
        <v>11</v>
      </c>
      <c r="X148" s="7">
        <v>11.375</v>
      </c>
      <c r="Y148" s="7">
        <v>11.875</v>
      </c>
      <c r="Z148" s="7">
        <v>11.625</v>
      </c>
      <c r="AA148" s="6">
        <v>3.3</v>
      </c>
      <c r="AB148" s="2" t="s">
        <v>47</v>
      </c>
      <c r="AC148" s="2"/>
    </row>
    <row r="149" spans="1:29" ht="104" x14ac:dyDescent="0.15">
      <c r="A149" s="3">
        <f>DATE(1990,4,26)</f>
        <v>32989</v>
      </c>
      <c r="B149" s="3">
        <f>DATE(1990,9,19)</f>
        <v>33135</v>
      </c>
      <c r="C149" s="2" t="s">
        <v>95</v>
      </c>
      <c r="D149" s="2" t="s">
        <v>657</v>
      </c>
      <c r="E149" s="2" t="s">
        <v>658</v>
      </c>
      <c r="F149" s="4">
        <v>7372</v>
      </c>
      <c r="G149" s="2" t="s">
        <v>551</v>
      </c>
      <c r="H149" s="2" t="s">
        <v>34</v>
      </c>
      <c r="I149" s="2" t="s">
        <v>659</v>
      </c>
      <c r="J149" s="2" t="s">
        <v>660</v>
      </c>
      <c r="K149" s="2" t="s">
        <v>137</v>
      </c>
      <c r="L149" s="2" t="s">
        <v>34</v>
      </c>
      <c r="M149" s="2"/>
      <c r="N149" s="2"/>
      <c r="O149" s="2"/>
      <c r="P149" s="2" t="s">
        <v>661</v>
      </c>
      <c r="Q149" s="6">
        <v>100</v>
      </c>
      <c r="R149" s="6">
        <v>16.2</v>
      </c>
      <c r="S149" s="5">
        <v>3.8</v>
      </c>
      <c r="T149" s="7">
        <v>5.5730000000000004</v>
      </c>
      <c r="U149" s="5">
        <v>5.8</v>
      </c>
      <c r="V149" s="6">
        <v>0.11</v>
      </c>
      <c r="W149" s="7">
        <v>8.875</v>
      </c>
      <c r="X149" s="6">
        <v>9.25</v>
      </c>
      <c r="Y149" s="4">
        <v>14</v>
      </c>
      <c r="Z149" s="7">
        <v>13.875</v>
      </c>
      <c r="AA149" s="6">
        <v>4.05</v>
      </c>
      <c r="AB149" s="7">
        <v>17.244</v>
      </c>
      <c r="AC149" s="2"/>
    </row>
    <row r="150" spans="1:29" ht="117" x14ac:dyDescent="0.15">
      <c r="A150" s="3">
        <f>DATE(1990,4,27)</f>
        <v>32990</v>
      </c>
      <c r="B150" s="2"/>
      <c r="C150" s="2" t="s">
        <v>30</v>
      </c>
      <c r="D150" s="2" t="s">
        <v>662</v>
      </c>
      <c r="E150" s="2" t="s">
        <v>663</v>
      </c>
      <c r="F150" s="4">
        <v>2099</v>
      </c>
      <c r="G150" s="2" t="s">
        <v>577</v>
      </c>
      <c r="H150" s="2" t="s">
        <v>34</v>
      </c>
      <c r="I150" s="2" t="s">
        <v>664</v>
      </c>
      <c r="J150" s="2" t="s">
        <v>665</v>
      </c>
      <c r="K150" s="2" t="s">
        <v>577</v>
      </c>
      <c r="L150" s="2" t="s">
        <v>34</v>
      </c>
      <c r="M150" s="2"/>
      <c r="N150" s="6">
        <v>9.25</v>
      </c>
      <c r="O150" s="7">
        <v>9.125</v>
      </c>
      <c r="P150" s="2" t="s">
        <v>666</v>
      </c>
      <c r="Q150" s="2"/>
      <c r="R150" s="2"/>
      <c r="S150" s="5">
        <v>-1.4</v>
      </c>
      <c r="T150" s="2"/>
      <c r="U150" s="5">
        <v>4.5999999999999996</v>
      </c>
      <c r="V150" s="2"/>
      <c r="W150" s="6">
        <v>2.25</v>
      </c>
      <c r="X150" s="6">
        <v>2.25</v>
      </c>
      <c r="Y150" s="6">
        <v>2.25</v>
      </c>
      <c r="Z150" s="7">
        <v>2.375</v>
      </c>
      <c r="AA150" s="6">
        <v>1.77</v>
      </c>
      <c r="AB150" s="2" t="s">
        <v>86</v>
      </c>
      <c r="AC150" s="5">
        <v>6.8</v>
      </c>
    </row>
    <row r="151" spans="1:29" ht="143" x14ac:dyDescent="0.15">
      <c r="A151" s="3">
        <f t="shared" ref="A151:A161" si="0">DATE(1990,4,30)</f>
        <v>32993</v>
      </c>
      <c r="B151" s="2"/>
      <c r="C151" s="2" t="s">
        <v>30</v>
      </c>
      <c r="D151" s="2" t="s">
        <v>667</v>
      </c>
      <c r="E151" s="2" t="s">
        <v>36</v>
      </c>
      <c r="F151" s="4">
        <v>6022</v>
      </c>
      <c r="G151" s="2" t="s">
        <v>37</v>
      </c>
      <c r="H151" s="2" t="s">
        <v>34</v>
      </c>
      <c r="I151" s="2" t="s">
        <v>668</v>
      </c>
      <c r="J151" s="2" t="s">
        <v>36</v>
      </c>
      <c r="K151" s="2" t="s">
        <v>37</v>
      </c>
      <c r="L151" s="2" t="s">
        <v>34</v>
      </c>
      <c r="M151" s="2"/>
      <c r="N151" s="2"/>
      <c r="O151" s="2"/>
      <c r="P151" s="2" t="s">
        <v>669</v>
      </c>
      <c r="Q151" s="2"/>
      <c r="R151" s="6">
        <v>17</v>
      </c>
      <c r="S151" s="5">
        <v>17.399999999999999</v>
      </c>
      <c r="T151" s="7">
        <v>32.429000000000002</v>
      </c>
      <c r="U151" s="5">
        <v>18.899999999999999</v>
      </c>
      <c r="V151" s="6">
        <v>1.29</v>
      </c>
      <c r="W151" s="7">
        <v>10.625</v>
      </c>
      <c r="X151" s="6">
        <v>11.75</v>
      </c>
      <c r="Y151" s="4">
        <v>15</v>
      </c>
      <c r="Z151" s="4">
        <v>15</v>
      </c>
      <c r="AA151" s="6">
        <v>12.75</v>
      </c>
      <c r="AB151" s="7">
        <v>131.44999999999999</v>
      </c>
      <c r="AC151" s="2"/>
    </row>
    <row r="152" spans="1:29" ht="130" x14ac:dyDescent="0.15">
      <c r="A152" s="3">
        <f t="shared" si="0"/>
        <v>32993</v>
      </c>
      <c r="B152" s="3">
        <f>DATE(1991,3,18)</f>
        <v>33315</v>
      </c>
      <c r="C152" s="2" t="s">
        <v>95</v>
      </c>
      <c r="D152" s="2" t="s">
        <v>670</v>
      </c>
      <c r="E152" s="2" t="s">
        <v>344</v>
      </c>
      <c r="F152" s="4">
        <v>6036</v>
      </c>
      <c r="G152" s="2" t="s">
        <v>33</v>
      </c>
      <c r="H152" s="2" t="s">
        <v>34</v>
      </c>
      <c r="I152" s="2" t="s">
        <v>671</v>
      </c>
      <c r="J152" s="2" t="s">
        <v>672</v>
      </c>
      <c r="K152" s="2" t="s">
        <v>37</v>
      </c>
      <c r="L152" s="2" t="s">
        <v>34</v>
      </c>
      <c r="M152" s="2"/>
      <c r="N152" s="6">
        <v>12.75</v>
      </c>
      <c r="O152" s="5">
        <v>12.5</v>
      </c>
      <c r="P152" s="2" t="s">
        <v>673</v>
      </c>
      <c r="Q152" s="6">
        <v>100</v>
      </c>
      <c r="R152" s="6">
        <v>17.23</v>
      </c>
      <c r="S152" s="2"/>
      <c r="T152" s="2"/>
      <c r="U152" s="5">
        <v>18.7</v>
      </c>
      <c r="V152" s="2"/>
      <c r="W152" s="5">
        <v>16.5</v>
      </c>
      <c r="X152" s="4">
        <v>15</v>
      </c>
      <c r="Y152" s="5">
        <v>16.5</v>
      </c>
      <c r="Z152" s="7">
        <v>16.375</v>
      </c>
      <c r="AA152" s="6">
        <v>1.74</v>
      </c>
      <c r="AB152" s="2" t="s">
        <v>47</v>
      </c>
      <c r="AC152" s="2"/>
    </row>
    <row r="153" spans="1:29" ht="39" x14ac:dyDescent="0.15">
      <c r="A153" s="3">
        <f t="shared" si="0"/>
        <v>32993</v>
      </c>
      <c r="B153" s="2"/>
      <c r="C153" s="2" t="s">
        <v>56</v>
      </c>
      <c r="D153" s="2" t="s">
        <v>74</v>
      </c>
      <c r="E153" s="2" t="s">
        <v>75</v>
      </c>
      <c r="F153" s="4">
        <v>5048</v>
      </c>
      <c r="G153" s="2" t="s">
        <v>76</v>
      </c>
      <c r="H153" s="2" t="s">
        <v>34</v>
      </c>
      <c r="I153" s="2" t="s">
        <v>149</v>
      </c>
      <c r="J153" s="2" t="s">
        <v>150</v>
      </c>
      <c r="K153" s="2" t="s">
        <v>53</v>
      </c>
      <c r="L153" s="2" t="s">
        <v>151</v>
      </c>
      <c r="M153" s="2"/>
      <c r="N153" s="2"/>
      <c r="O153" s="2"/>
      <c r="P153" s="2" t="s">
        <v>674</v>
      </c>
      <c r="Q153" s="2"/>
      <c r="R153" s="2"/>
      <c r="S153" s="5">
        <v>-4.9000000000000004</v>
      </c>
      <c r="T153" s="7">
        <v>5.915</v>
      </c>
      <c r="U153" s="5">
        <v>7.8</v>
      </c>
      <c r="V153" s="6">
        <v>-0.97</v>
      </c>
      <c r="W153" s="4">
        <v>8</v>
      </c>
      <c r="X153" s="7">
        <v>7.625</v>
      </c>
      <c r="Y153" s="7">
        <v>7.625</v>
      </c>
      <c r="Z153" s="7">
        <v>7.625</v>
      </c>
      <c r="AA153" s="2"/>
      <c r="AB153" s="2" t="s">
        <v>86</v>
      </c>
      <c r="AC153" s="2"/>
    </row>
    <row r="154" spans="1:29" ht="143" x14ac:dyDescent="0.15">
      <c r="A154" s="3">
        <f t="shared" si="0"/>
        <v>32993</v>
      </c>
      <c r="B154" s="2"/>
      <c r="C154" s="2" t="s">
        <v>30</v>
      </c>
      <c r="D154" s="2" t="s">
        <v>675</v>
      </c>
      <c r="E154" s="2" t="s">
        <v>676</v>
      </c>
      <c r="F154" s="4">
        <v>2899</v>
      </c>
      <c r="G154" s="2" t="s">
        <v>98</v>
      </c>
      <c r="H154" s="2" t="s">
        <v>34</v>
      </c>
      <c r="I154" s="2" t="s">
        <v>677</v>
      </c>
      <c r="J154" s="2" t="s">
        <v>678</v>
      </c>
      <c r="K154" s="2" t="s">
        <v>53</v>
      </c>
      <c r="L154" s="2" t="s">
        <v>34</v>
      </c>
      <c r="M154" s="2"/>
      <c r="N154" s="2"/>
      <c r="O154" s="2"/>
      <c r="P154" s="2" t="s">
        <v>679</v>
      </c>
      <c r="Q154" s="2"/>
      <c r="R154" s="6">
        <v>6</v>
      </c>
      <c r="S154" s="5">
        <v>3.7</v>
      </c>
      <c r="T154" s="2"/>
      <c r="U154" s="5">
        <v>3.4</v>
      </c>
      <c r="V154" s="2"/>
      <c r="W154" s="7">
        <v>4.875</v>
      </c>
      <c r="X154" s="4">
        <v>5</v>
      </c>
      <c r="Y154" s="7">
        <v>5.875</v>
      </c>
      <c r="Z154" s="7">
        <v>5.625</v>
      </c>
      <c r="AA154" s="6">
        <v>3.54</v>
      </c>
      <c r="AB154" s="7">
        <v>22.885999999999999</v>
      </c>
      <c r="AC154" s="2"/>
    </row>
    <row r="155" spans="1:29" ht="143" x14ac:dyDescent="0.15">
      <c r="A155" s="3">
        <f t="shared" si="0"/>
        <v>32993</v>
      </c>
      <c r="B155" s="2"/>
      <c r="C155" s="2" t="s">
        <v>30</v>
      </c>
      <c r="D155" s="2" t="s">
        <v>680</v>
      </c>
      <c r="E155" s="2" t="s">
        <v>681</v>
      </c>
      <c r="F155" s="4">
        <v>3679</v>
      </c>
      <c r="G155" s="2" t="s">
        <v>137</v>
      </c>
      <c r="H155" s="2" t="s">
        <v>34</v>
      </c>
      <c r="I155" s="2" t="s">
        <v>682</v>
      </c>
      <c r="J155" s="2" t="s">
        <v>683</v>
      </c>
      <c r="K155" s="2" t="s">
        <v>226</v>
      </c>
      <c r="L155" s="2" t="s">
        <v>34</v>
      </c>
      <c r="M155" s="2"/>
      <c r="N155" s="2"/>
      <c r="O155" s="2"/>
      <c r="P155" s="2" t="s">
        <v>684</v>
      </c>
      <c r="Q155" s="2"/>
      <c r="R155" s="6">
        <v>15</v>
      </c>
      <c r="S155" s="5">
        <v>-18.899999999999999</v>
      </c>
      <c r="T155" s="7">
        <v>16.268999999999998</v>
      </c>
      <c r="U155" s="5">
        <v>5.3</v>
      </c>
      <c r="V155" s="6">
        <v>-1.78</v>
      </c>
      <c r="W155" s="6">
        <v>11.25</v>
      </c>
      <c r="X155" s="4">
        <v>12</v>
      </c>
      <c r="Y155" s="4">
        <v>12</v>
      </c>
      <c r="Z155" s="6">
        <v>12.25</v>
      </c>
      <c r="AA155" s="6">
        <v>10.7</v>
      </c>
      <c r="AB155" s="7">
        <v>31.361000000000001</v>
      </c>
      <c r="AC155" s="2"/>
    </row>
    <row r="156" spans="1:29" ht="65" x14ac:dyDescent="0.15">
      <c r="A156" s="3">
        <f t="shared" si="0"/>
        <v>32993</v>
      </c>
      <c r="B156" s="2"/>
      <c r="C156" s="2" t="s">
        <v>141</v>
      </c>
      <c r="D156" s="2" t="s">
        <v>685</v>
      </c>
      <c r="E156" s="2" t="s">
        <v>686</v>
      </c>
      <c r="F156" s="4">
        <v>3556</v>
      </c>
      <c r="G156" s="2" t="s">
        <v>300</v>
      </c>
      <c r="H156" s="2" t="s">
        <v>34</v>
      </c>
      <c r="I156" s="2" t="s">
        <v>143</v>
      </c>
      <c r="J156" s="2" t="s">
        <v>144</v>
      </c>
      <c r="K156" s="2" t="s">
        <v>53</v>
      </c>
      <c r="L156" s="2" t="s">
        <v>139</v>
      </c>
      <c r="M156" s="2"/>
      <c r="N156" s="2"/>
      <c r="O156" s="2"/>
      <c r="P156" s="2" t="s">
        <v>687</v>
      </c>
      <c r="Q156" s="2"/>
      <c r="R156" s="2"/>
      <c r="S156" s="5">
        <v>0.6</v>
      </c>
      <c r="T156" s="2"/>
      <c r="U156" s="5">
        <v>4.5999999999999996</v>
      </c>
      <c r="V156" s="2"/>
      <c r="W156" s="6">
        <v>5.25</v>
      </c>
      <c r="X156" s="4">
        <v>5</v>
      </c>
      <c r="Y156" s="4">
        <v>5</v>
      </c>
      <c r="Z156" s="6">
        <v>4.75</v>
      </c>
      <c r="AA156" s="2"/>
      <c r="AB156" s="2" t="s">
        <v>47</v>
      </c>
      <c r="AC156" s="2"/>
    </row>
    <row r="157" spans="1:29" ht="143" x14ac:dyDescent="0.15">
      <c r="A157" s="3">
        <f t="shared" si="0"/>
        <v>32993</v>
      </c>
      <c r="B157" s="3">
        <f>DATE(1991,4,12)</f>
        <v>33340</v>
      </c>
      <c r="C157" s="2" t="s">
        <v>95</v>
      </c>
      <c r="D157" s="2" t="s">
        <v>688</v>
      </c>
      <c r="E157" s="2" t="s">
        <v>689</v>
      </c>
      <c r="F157" s="4">
        <v>8351</v>
      </c>
      <c r="G157" s="2" t="s">
        <v>690</v>
      </c>
      <c r="H157" s="2" t="s">
        <v>34</v>
      </c>
      <c r="I157" s="2" t="s">
        <v>691</v>
      </c>
      <c r="J157" s="2" t="s">
        <v>692</v>
      </c>
      <c r="K157" s="2" t="s">
        <v>690</v>
      </c>
      <c r="L157" s="2" t="s">
        <v>34</v>
      </c>
      <c r="M157" s="2"/>
      <c r="N157" s="7">
        <v>3.125</v>
      </c>
      <c r="O157" s="4">
        <v>3</v>
      </c>
      <c r="P157" s="2" t="s">
        <v>693</v>
      </c>
      <c r="Q157" s="6">
        <v>100</v>
      </c>
      <c r="R157" s="6">
        <v>1.32</v>
      </c>
      <c r="S157" s="5">
        <v>-2.5</v>
      </c>
      <c r="T157" s="7">
        <v>-1.8069999999999999</v>
      </c>
      <c r="U157" s="5">
        <v>-0.5</v>
      </c>
      <c r="V157" s="6">
        <v>-1.51</v>
      </c>
      <c r="W157" s="5">
        <v>1.5</v>
      </c>
      <c r="X157" s="5">
        <v>1.5</v>
      </c>
      <c r="Y157" s="6">
        <v>1.25</v>
      </c>
      <c r="Z157" s="6">
        <v>1.25</v>
      </c>
      <c r="AA157" s="6">
        <v>3.18</v>
      </c>
      <c r="AB157" s="2" t="s">
        <v>86</v>
      </c>
      <c r="AC157" s="2"/>
    </row>
    <row r="158" spans="1:29" ht="39" x14ac:dyDescent="0.15">
      <c r="A158" s="3">
        <f t="shared" si="0"/>
        <v>32993</v>
      </c>
      <c r="B158" s="2"/>
      <c r="C158" s="2" t="s">
        <v>189</v>
      </c>
      <c r="D158" s="2" t="s">
        <v>694</v>
      </c>
      <c r="E158" s="2" t="s">
        <v>695</v>
      </c>
      <c r="F158" s="4">
        <v>3585</v>
      </c>
      <c r="G158" s="2" t="s">
        <v>300</v>
      </c>
      <c r="H158" s="2" t="s">
        <v>34</v>
      </c>
      <c r="I158" s="2" t="s">
        <v>143</v>
      </c>
      <c r="J158" s="2" t="s">
        <v>144</v>
      </c>
      <c r="K158" s="2" t="s">
        <v>53</v>
      </c>
      <c r="L158" s="2" t="s">
        <v>139</v>
      </c>
      <c r="M158" s="2"/>
      <c r="N158" s="2"/>
      <c r="O158" s="2"/>
      <c r="P158" s="2" t="s">
        <v>696</v>
      </c>
      <c r="Q158" s="2"/>
      <c r="R158" s="2"/>
      <c r="S158" s="2"/>
      <c r="T158" s="2"/>
      <c r="U158" s="2"/>
      <c r="V158" s="2"/>
      <c r="W158" s="6">
        <v>4.25</v>
      </c>
      <c r="X158" s="7">
        <v>4.625</v>
      </c>
      <c r="Y158" s="6">
        <v>4.75</v>
      </c>
      <c r="Z158" s="6">
        <v>4.75</v>
      </c>
      <c r="AA158" s="2"/>
      <c r="AB158" s="2" t="s">
        <v>47</v>
      </c>
      <c r="AC158" s="2"/>
    </row>
    <row r="159" spans="1:29" ht="143" x14ac:dyDescent="0.15">
      <c r="A159" s="3">
        <f t="shared" si="0"/>
        <v>32993</v>
      </c>
      <c r="B159" s="2"/>
      <c r="C159" s="2" t="s">
        <v>87</v>
      </c>
      <c r="D159" s="2" t="s">
        <v>697</v>
      </c>
      <c r="E159" s="2" t="s">
        <v>698</v>
      </c>
      <c r="F159" s="4">
        <v>5945</v>
      </c>
      <c r="G159" s="2" t="s">
        <v>73</v>
      </c>
      <c r="H159" s="2" t="s">
        <v>34</v>
      </c>
      <c r="I159" s="2" t="s">
        <v>699</v>
      </c>
      <c r="J159" s="2" t="s">
        <v>302</v>
      </c>
      <c r="K159" s="2" t="s">
        <v>53</v>
      </c>
      <c r="L159" s="2" t="s">
        <v>34</v>
      </c>
      <c r="M159" s="2"/>
      <c r="N159" s="2"/>
      <c r="O159" s="2"/>
      <c r="P159" s="2" t="s">
        <v>700</v>
      </c>
      <c r="Q159" s="2"/>
      <c r="R159" s="2"/>
      <c r="S159" s="5">
        <v>-8.6999999999999993</v>
      </c>
      <c r="T159" s="7">
        <v>-8.0239999999999991</v>
      </c>
      <c r="U159" s="5">
        <v>-2</v>
      </c>
      <c r="V159" s="6">
        <v>-3.33</v>
      </c>
      <c r="W159" s="6">
        <v>1.75</v>
      </c>
      <c r="X159" s="7">
        <v>1.8129999999999999</v>
      </c>
      <c r="Y159" s="6">
        <v>1.75</v>
      </c>
      <c r="Z159" s="6">
        <v>1.75</v>
      </c>
      <c r="AA159" s="2"/>
      <c r="AB159" s="2" t="s">
        <v>86</v>
      </c>
      <c r="AC159" s="2"/>
    </row>
    <row r="160" spans="1:29" ht="130" x14ac:dyDescent="0.15">
      <c r="A160" s="3">
        <f t="shared" si="0"/>
        <v>32993</v>
      </c>
      <c r="B160" s="2"/>
      <c r="C160" s="2" t="s">
        <v>141</v>
      </c>
      <c r="D160" s="2" t="s">
        <v>701</v>
      </c>
      <c r="E160" s="2" t="s">
        <v>177</v>
      </c>
      <c r="F160" s="4">
        <v>1311</v>
      </c>
      <c r="G160" s="2" t="s">
        <v>148</v>
      </c>
      <c r="H160" s="2" t="s">
        <v>34</v>
      </c>
      <c r="I160" s="2" t="s">
        <v>143</v>
      </c>
      <c r="J160" s="2" t="s">
        <v>144</v>
      </c>
      <c r="K160" s="2" t="s">
        <v>53</v>
      </c>
      <c r="L160" s="2" t="s">
        <v>139</v>
      </c>
      <c r="M160" s="2"/>
      <c r="N160" s="2"/>
      <c r="O160" s="2"/>
      <c r="P160" s="2" t="s">
        <v>702</v>
      </c>
      <c r="Q160" s="2"/>
      <c r="R160" s="6">
        <v>26.74</v>
      </c>
      <c r="S160" s="5">
        <v>172.6</v>
      </c>
      <c r="T160" s="7">
        <v>265.42099999999999</v>
      </c>
      <c r="U160" s="5">
        <v>3.3</v>
      </c>
      <c r="V160" s="6">
        <v>1.49</v>
      </c>
      <c r="W160" s="6">
        <v>18.25</v>
      </c>
      <c r="X160" s="4">
        <v>18</v>
      </c>
      <c r="Y160" s="5">
        <v>20.5</v>
      </c>
      <c r="Z160" s="5">
        <v>20.5</v>
      </c>
      <c r="AA160" s="6">
        <v>84.11</v>
      </c>
      <c r="AB160" s="7">
        <v>27.015000000000001</v>
      </c>
      <c r="AC160" s="2"/>
    </row>
    <row r="161" spans="1:29" ht="52" x14ac:dyDescent="0.15">
      <c r="A161" s="3">
        <f t="shared" si="0"/>
        <v>32993</v>
      </c>
      <c r="B161" s="3">
        <f>DATE(1990,6,6)</f>
        <v>33030</v>
      </c>
      <c r="C161" s="2" t="s">
        <v>95</v>
      </c>
      <c r="D161" s="2" t="s">
        <v>703</v>
      </c>
      <c r="E161" s="2" t="s">
        <v>704</v>
      </c>
      <c r="F161" s="4">
        <v>3944</v>
      </c>
      <c r="G161" s="2" t="s">
        <v>112</v>
      </c>
      <c r="H161" s="2" t="s">
        <v>34</v>
      </c>
      <c r="I161" s="2" t="s">
        <v>149</v>
      </c>
      <c r="J161" s="2" t="s">
        <v>150</v>
      </c>
      <c r="K161" s="2" t="s">
        <v>53</v>
      </c>
      <c r="L161" s="2" t="s">
        <v>151</v>
      </c>
      <c r="M161" s="2"/>
      <c r="N161" s="2"/>
      <c r="O161" s="2"/>
      <c r="P161" s="2" t="s">
        <v>705</v>
      </c>
      <c r="Q161" s="6">
        <v>13.15</v>
      </c>
      <c r="R161" s="6">
        <v>8.33</v>
      </c>
      <c r="S161" s="5">
        <v>5.8</v>
      </c>
      <c r="T161" s="7">
        <v>11.739000000000001</v>
      </c>
      <c r="U161" s="5">
        <v>3.7</v>
      </c>
      <c r="V161" s="6">
        <v>0.7</v>
      </c>
      <c r="W161" s="6">
        <v>9.25</v>
      </c>
      <c r="X161" s="7">
        <v>9.125</v>
      </c>
      <c r="Y161" s="6">
        <v>9.25</v>
      </c>
      <c r="Z161" s="5">
        <v>9.5</v>
      </c>
      <c r="AA161" s="6">
        <v>9.1300000000000008</v>
      </c>
      <c r="AB161" s="7">
        <v>10.153</v>
      </c>
      <c r="AC161" s="2"/>
    </row>
    <row r="162" spans="1:29" ht="104" x14ac:dyDescent="0.15">
      <c r="A162" s="3">
        <f>DATE(1990,5,1)</f>
        <v>32994</v>
      </c>
      <c r="B162" s="2"/>
      <c r="C162" s="2" t="s">
        <v>30</v>
      </c>
      <c r="D162" s="2" t="s">
        <v>706</v>
      </c>
      <c r="E162" s="2" t="s">
        <v>707</v>
      </c>
      <c r="F162" s="4">
        <v>2341</v>
      </c>
      <c r="G162" s="2" t="s">
        <v>708</v>
      </c>
      <c r="H162" s="2" t="s">
        <v>34</v>
      </c>
      <c r="I162" s="2" t="s">
        <v>149</v>
      </c>
      <c r="J162" s="2" t="s">
        <v>150</v>
      </c>
      <c r="K162" s="2" t="s">
        <v>53</v>
      </c>
      <c r="L162" s="2" t="s">
        <v>151</v>
      </c>
      <c r="M162" s="2"/>
      <c r="N162" s="2"/>
      <c r="O162" s="2"/>
      <c r="P162" s="2" t="s">
        <v>709</v>
      </c>
      <c r="Q162" s="2"/>
      <c r="R162" s="6">
        <v>2</v>
      </c>
      <c r="S162" s="5">
        <v>-15</v>
      </c>
      <c r="T162" s="7">
        <v>-0.59799999999999998</v>
      </c>
      <c r="U162" s="5">
        <v>0</v>
      </c>
      <c r="V162" s="6">
        <v>-3.07</v>
      </c>
      <c r="W162" s="5">
        <v>1.5</v>
      </c>
      <c r="X162" s="7">
        <v>1.875</v>
      </c>
      <c r="Y162" s="4">
        <v>2</v>
      </c>
      <c r="Z162" s="7">
        <v>2.125</v>
      </c>
      <c r="AA162" s="6">
        <v>4.8899999999999997</v>
      </c>
      <c r="AB162" s="2" t="s">
        <v>86</v>
      </c>
      <c r="AC162" s="2"/>
    </row>
    <row r="163" spans="1:29" ht="143" x14ac:dyDescent="0.15">
      <c r="A163" s="3">
        <f>DATE(1990,5,2)</f>
        <v>32995</v>
      </c>
      <c r="B163" s="2"/>
      <c r="C163" s="2" t="s">
        <v>141</v>
      </c>
      <c r="D163" s="2" t="s">
        <v>514</v>
      </c>
      <c r="E163" s="2" t="s">
        <v>515</v>
      </c>
      <c r="F163" s="4">
        <v>6311</v>
      </c>
      <c r="G163" s="2" t="s">
        <v>125</v>
      </c>
      <c r="H163" s="2" t="s">
        <v>34</v>
      </c>
      <c r="I163" s="2" t="s">
        <v>143</v>
      </c>
      <c r="J163" s="2" t="s">
        <v>144</v>
      </c>
      <c r="K163" s="2" t="s">
        <v>53</v>
      </c>
      <c r="L163" s="2" t="s">
        <v>139</v>
      </c>
      <c r="M163" s="2"/>
      <c r="N163" s="2"/>
      <c r="O163" s="2"/>
      <c r="P163" s="2" t="s">
        <v>710</v>
      </c>
      <c r="Q163" s="2"/>
      <c r="R163" s="2"/>
      <c r="S163" s="5">
        <v>464</v>
      </c>
      <c r="T163" s="2"/>
      <c r="U163" s="5">
        <v>9.5</v>
      </c>
      <c r="V163" s="6">
        <v>0.94</v>
      </c>
      <c r="W163" s="7">
        <v>37.875</v>
      </c>
      <c r="X163" s="7">
        <v>40.125</v>
      </c>
      <c r="Y163" s="7">
        <v>47.625</v>
      </c>
      <c r="Z163" s="6">
        <v>47.75</v>
      </c>
      <c r="AA163" s="2"/>
      <c r="AB163" s="2" t="s">
        <v>47</v>
      </c>
      <c r="AC163" s="2"/>
    </row>
    <row r="164" spans="1:29" ht="39" x14ac:dyDescent="0.15">
      <c r="A164" s="3">
        <f>DATE(1990,5,2)</f>
        <v>32995</v>
      </c>
      <c r="B164" s="2"/>
      <c r="C164" s="2" t="s">
        <v>30</v>
      </c>
      <c r="D164" s="2" t="s">
        <v>711</v>
      </c>
      <c r="E164" s="2" t="s">
        <v>712</v>
      </c>
      <c r="F164" s="4">
        <v>3821</v>
      </c>
      <c r="G164" s="2" t="s">
        <v>226</v>
      </c>
      <c r="H164" s="2" t="s">
        <v>34</v>
      </c>
      <c r="I164" s="2" t="s">
        <v>278</v>
      </c>
      <c r="J164" s="2" t="s">
        <v>52</v>
      </c>
      <c r="K164" s="2" t="s">
        <v>53</v>
      </c>
      <c r="L164" s="2" t="s">
        <v>34</v>
      </c>
      <c r="M164" s="2"/>
      <c r="N164" s="2"/>
      <c r="O164" s="2"/>
      <c r="P164" s="2" t="s">
        <v>713</v>
      </c>
      <c r="Q164" s="2"/>
      <c r="R164" s="2"/>
      <c r="S164" s="5">
        <v>38.5</v>
      </c>
      <c r="T164" s="2"/>
      <c r="U164" s="2"/>
      <c r="V164" s="2"/>
      <c r="W164" s="7">
        <v>21.875</v>
      </c>
      <c r="X164" s="7">
        <v>21.875</v>
      </c>
      <c r="Y164" s="7">
        <v>21.875</v>
      </c>
      <c r="Z164" s="7">
        <v>21.875</v>
      </c>
      <c r="AA164" s="2"/>
      <c r="AB164" s="2" t="s">
        <v>47</v>
      </c>
      <c r="AC164" s="2"/>
    </row>
    <row r="165" spans="1:29" ht="143" x14ac:dyDescent="0.15">
      <c r="A165" s="3">
        <f>DATE(1990,5,3)</f>
        <v>32996</v>
      </c>
      <c r="B165" s="2"/>
      <c r="C165" s="2" t="s">
        <v>82</v>
      </c>
      <c r="D165" s="2" t="s">
        <v>714</v>
      </c>
      <c r="E165" s="2" t="s">
        <v>715</v>
      </c>
      <c r="F165" s="4">
        <v>5047</v>
      </c>
      <c r="G165" s="2" t="s">
        <v>76</v>
      </c>
      <c r="H165" s="2" t="s">
        <v>34</v>
      </c>
      <c r="I165" s="2" t="s">
        <v>716</v>
      </c>
      <c r="J165" s="2" t="s">
        <v>717</v>
      </c>
      <c r="K165" s="2" t="s">
        <v>53</v>
      </c>
      <c r="L165" s="2" t="s">
        <v>34</v>
      </c>
      <c r="M165" s="2"/>
      <c r="N165" s="2"/>
      <c r="O165" s="2"/>
      <c r="P165" s="2" t="s">
        <v>718</v>
      </c>
      <c r="Q165" s="2"/>
      <c r="R165" s="2"/>
      <c r="S165" s="5">
        <v>-21.9</v>
      </c>
      <c r="T165" s="7">
        <v>26.965</v>
      </c>
      <c r="U165" s="5">
        <v>16.2</v>
      </c>
      <c r="V165" s="6">
        <v>-2.84</v>
      </c>
      <c r="W165" s="4">
        <v>14</v>
      </c>
      <c r="X165" s="6">
        <v>13.75</v>
      </c>
      <c r="Y165" s="7">
        <v>14.625</v>
      </c>
      <c r="Z165" s="5">
        <v>15.5</v>
      </c>
      <c r="AA165" s="6">
        <v>7.73</v>
      </c>
      <c r="AB165" s="2" t="s">
        <v>47</v>
      </c>
      <c r="AC165" s="2"/>
    </row>
    <row r="166" spans="1:29" ht="78" x14ac:dyDescent="0.15">
      <c r="A166" s="3">
        <f>DATE(1990,5,7)</f>
        <v>33000</v>
      </c>
      <c r="B166" s="2"/>
      <c r="C166" s="2" t="s">
        <v>30</v>
      </c>
      <c r="D166" s="2" t="s">
        <v>719</v>
      </c>
      <c r="E166" s="2" t="s">
        <v>720</v>
      </c>
      <c r="F166" s="4">
        <v>3714</v>
      </c>
      <c r="G166" s="2" t="s">
        <v>105</v>
      </c>
      <c r="H166" s="2" t="s">
        <v>34</v>
      </c>
      <c r="I166" s="2" t="s">
        <v>721</v>
      </c>
      <c r="J166" s="2" t="s">
        <v>722</v>
      </c>
      <c r="K166" s="2" t="s">
        <v>73</v>
      </c>
      <c r="L166" s="2" t="s">
        <v>34</v>
      </c>
      <c r="M166" s="2"/>
      <c r="N166" s="2"/>
      <c r="O166" s="2"/>
      <c r="P166" s="2" t="s">
        <v>723</v>
      </c>
      <c r="Q166" s="2"/>
      <c r="R166" s="2"/>
      <c r="S166" s="2"/>
      <c r="T166" s="2"/>
      <c r="U166" s="2"/>
      <c r="V166" s="2"/>
      <c r="W166" s="7">
        <v>3.375</v>
      </c>
      <c r="X166" s="5">
        <v>3.5</v>
      </c>
      <c r="Y166" s="7">
        <v>3.4380000000000002</v>
      </c>
      <c r="Z166" s="7">
        <v>3.4380000000000002</v>
      </c>
      <c r="AA166" s="2"/>
      <c r="AB166" s="2" t="s">
        <v>47</v>
      </c>
      <c r="AC166" s="2"/>
    </row>
    <row r="167" spans="1:29" ht="91" x14ac:dyDescent="0.15">
      <c r="A167" s="3">
        <f>DATE(1990,5,8)</f>
        <v>33001</v>
      </c>
      <c r="B167" s="2"/>
      <c r="C167" s="2" t="s">
        <v>141</v>
      </c>
      <c r="D167" s="2" t="s">
        <v>724</v>
      </c>
      <c r="E167" s="2" t="s">
        <v>725</v>
      </c>
      <c r="F167" s="4">
        <v>6321</v>
      </c>
      <c r="G167" s="2" t="s">
        <v>125</v>
      </c>
      <c r="H167" s="2" t="s">
        <v>34</v>
      </c>
      <c r="I167" s="2" t="s">
        <v>143</v>
      </c>
      <c r="J167" s="2" t="s">
        <v>144</v>
      </c>
      <c r="K167" s="2" t="s">
        <v>53</v>
      </c>
      <c r="L167" s="2" t="s">
        <v>139</v>
      </c>
      <c r="M167" s="2"/>
      <c r="N167" s="2"/>
      <c r="O167" s="2"/>
      <c r="P167" s="2" t="s">
        <v>726</v>
      </c>
      <c r="Q167" s="2"/>
      <c r="R167" s="2"/>
      <c r="S167" s="5">
        <v>5.6</v>
      </c>
      <c r="T167" s="2"/>
      <c r="U167" s="5">
        <v>6</v>
      </c>
      <c r="V167" s="6">
        <v>0.84</v>
      </c>
      <c r="W167" s="4">
        <v>8</v>
      </c>
      <c r="X167" s="6">
        <v>7.75</v>
      </c>
      <c r="Y167" s="7">
        <v>6.375</v>
      </c>
      <c r="Z167" s="7">
        <v>6.125</v>
      </c>
      <c r="AA167" s="2"/>
      <c r="AB167" s="2" t="s">
        <v>47</v>
      </c>
      <c r="AC167" s="2"/>
    </row>
    <row r="168" spans="1:29" ht="52" x14ac:dyDescent="0.15">
      <c r="A168" s="3">
        <f>DATE(1990,5,8)</f>
        <v>33001</v>
      </c>
      <c r="B168" s="2"/>
      <c r="C168" s="2" t="s">
        <v>141</v>
      </c>
      <c r="D168" s="2" t="s">
        <v>727</v>
      </c>
      <c r="E168" s="2" t="s">
        <v>728</v>
      </c>
      <c r="F168" s="4">
        <v>3812</v>
      </c>
      <c r="G168" s="2" t="s">
        <v>226</v>
      </c>
      <c r="H168" s="2" t="s">
        <v>34</v>
      </c>
      <c r="I168" s="2" t="s">
        <v>143</v>
      </c>
      <c r="J168" s="2" t="s">
        <v>144</v>
      </c>
      <c r="K168" s="2" t="s">
        <v>53</v>
      </c>
      <c r="L168" s="2" t="s">
        <v>139</v>
      </c>
      <c r="M168" s="2"/>
      <c r="N168" s="2"/>
      <c r="O168" s="2"/>
      <c r="P168" s="2" t="s">
        <v>729</v>
      </c>
      <c r="Q168" s="2"/>
      <c r="R168" s="2"/>
      <c r="S168" s="5">
        <v>2.6</v>
      </c>
      <c r="T168" s="2"/>
      <c r="U168" s="2"/>
      <c r="V168" s="2"/>
      <c r="W168" s="6">
        <v>8.75</v>
      </c>
      <c r="X168" s="6">
        <v>10.75</v>
      </c>
      <c r="Y168" s="4">
        <v>11</v>
      </c>
      <c r="Z168" s="6">
        <v>11.75</v>
      </c>
      <c r="AA168" s="2"/>
      <c r="AB168" s="2" t="s">
        <v>47</v>
      </c>
      <c r="AC168" s="2"/>
    </row>
    <row r="169" spans="1:29" ht="143" x14ac:dyDescent="0.15">
      <c r="A169" s="3">
        <f>DATE(1990,5,8)</f>
        <v>33001</v>
      </c>
      <c r="B169" s="3">
        <f>DATE(1990,10,30)</f>
        <v>33176</v>
      </c>
      <c r="C169" s="2" t="s">
        <v>95</v>
      </c>
      <c r="D169" s="2" t="s">
        <v>730</v>
      </c>
      <c r="E169" s="2" t="s">
        <v>731</v>
      </c>
      <c r="F169" s="4">
        <v>7349</v>
      </c>
      <c r="G169" s="2" t="s">
        <v>223</v>
      </c>
      <c r="H169" s="2" t="s">
        <v>34</v>
      </c>
      <c r="I169" s="2" t="s">
        <v>732</v>
      </c>
      <c r="J169" s="2" t="s">
        <v>733</v>
      </c>
      <c r="K169" s="2" t="s">
        <v>223</v>
      </c>
      <c r="L169" s="2" t="s">
        <v>734</v>
      </c>
      <c r="M169" s="2"/>
      <c r="N169" s="2"/>
      <c r="O169" s="2"/>
      <c r="P169" s="2" t="s">
        <v>735</v>
      </c>
      <c r="Q169" s="6">
        <v>33.520000000000003</v>
      </c>
      <c r="R169" s="6">
        <v>12</v>
      </c>
      <c r="S169" s="5">
        <v>4.0999999999999996</v>
      </c>
      <c r="T169" s="7">
        <v>27.286000000000001</v>
      </c>
      <c r="U169" s="5">
        <v>6.5</v>
      </c>
      <c r="V169" s="6">
        <v>0.57999999999999996</v>
      </c>
      <c r="W169" s="5">
        <v>7.5</v>
      </c>
      <c r="X169" s="6">
        <v>7.75</v>
      </c>
      <c r="Y169" s="5">
        <v>10.5</v>
      </c>
      <c r="Z169" s="7">
        <v>10.375</v>
      </c>
      <c r="AA169" s="6">
        <v>3.84</v>
      </c>
      <c r="AB169" s="7">
        <v>9.8759999999999994</v>
      </c>
      <c r="AC169" s="6">
        <v>259.73</v>
      </c>
    </row>
    <row r="170" spans="1:29" ht="104" x14ac:dyDescent="0.15">
      <c r="A170" s="3">
        <f>DATE(1990,5,9)</f>
        <v>33002</v>
      </c>
      <c r="B170" s="2"/>
      <c r="C170" s="2" t="s">
        <v>30</v>
      </c>
      <c r="D170" s="2" t="s">
        <v>736</v>
      </c>
      <c r="E170" s="2" t="s">
        <v>36</v>
      </c>
      <c r="F170" s="4">
        <v>6021</v>
      </c>
      <c r="G170" s="2" t="s">
        <v>37</v>
      </c>
      <c r="H170" s="2" t="s">
        <v>34</v>
      </c>
      <c r="I170" s="2" t="s">
        <v>737</v>
      </c>
      <c r="J170" s="2" t="s">
        <v>738</v>
      </c>
      <c r="K170" s="2" t="s">
        <v>300</v>
      </c>
      <c r="L170" s="2" t="s">
        <v>739</v>
      </c>
      <c r="M170" s="2"/>
      <c r="N170" s="2"/>
      <c r="O170" s="2"/>
      <c r="P170" s="2" t="s">
        <v>740</v>
      </c>
      <c r="Q170" s="2"/>
      <c r="R170" s="6">
        <v>20</v>
      </c>
      <c r="S170" s="5">
        <v>2.6</v>
      </c>
      <c r="T170" s="2"/>
      <c r="U170" s="5">
        <v>8.5</v>
      </c>
      <c r="V170" s="2"/>
      <c r="W170" s="11">
        <v>8.2524300000000004</v>
      </c>
      <c r="X170" s="6">
        <v>10.25</v>
      </c>
      <c r="Y170" s="4">
        <v>11</v>
      </c>
      <c r="Z170" s="6">
        <v>10.25</v>
      </c>
      <c r="AA170" s="6">
        <v>1.93</v>
      </c>
      <c r="AB170" s="7">
        <v>61.59</v>
      </c>
      <c r="AC170" s="2"/>
    </row>
    <row r="171" spans="1:29" ht="91" x14ac:dyDescent="0.15">
      <c r="A171" s="3">
        <f>DATE(1990,5,9)</f>
        <v>33002</v>
      </c>
      <c r="B171" s="2"/>
      <c r="C171" s="2" t="s">
        <v>30</v>
      </c>
      <c r="D171" s="2" t="s">
        <v>741</v>
      </c>
      <c r="E171" s="2" t="s">
        <v>32</v>
      </c>
      <c r="F171" s="4">
        <v>6035</v>
      </c>
      <c r="G171" s="2" t="s">
        <v>33</v>
      </c>
      <c r="H171" s="2" t="s">
        <v>34</v>
      </c>
      <c r="I171" s="2" t="s">
        <v>742</v>
      </c>
      <c r="J171" s="2" t="s">
        <v>389</v>
      </c>
      <c r="K171" s="2" t="s">
        <v>33</v>
      </c>
      <c r="L171" s="2" t="s">
        <v>34</v>
      </c>
      <c r="M171" s="2"/>
      <c r="N171" s="2"/>
      <c r="O171" s="2"/>
      <c r="P171" s="2" t="s">
        <v>743</v>
      </c>
      <c r="Q171" s="2"/>
      <c r="R171" s="6">
        <v>10.75</v>
      </c>
      <c r="S171" s="5">
        <v>0.6</v>
      </c>
      <c r="T171" s="7">
        <v>1.1180000000000001</v>
      </c>
      <c r="U171" s="5">
        <v>15</v>
      </c>
      <c r="V171" s="6">
        <v>0.25</v>
      </c>
      <c r="W171" s="7">
        <v>6.625</v>
      </c>
      <c r="X171" s="6">
        <v>6.75</v>
      </c>
      <c r="Y171" s="4">
        <v>8</v>
      </c>
      <c r="Z171" s="6">
        <v>8.25</v>
      </c>
      <c r="AA171" s="6">
        <v>2.37</v>
      </c>
      <c r="AB171" s="7">
        <v>249.58</v>
      </c>
      <c r="AC171" s="2"/>
    </row>
    <row r="172" spans="1:29" ht="65" x14ac:dyDescent="0.15">
      <c r="A172" s="3">
        <f>DATE(1990,5,10)</f>
        <v>33003</v>
      </c>
      <c r="B172" s="2"/>
      <c r="C172" s="2" t="s">
        <v>87</v>
      </c>
      <c r="D172" s="2" t="s">
        <v>744</v>
      </c>
      <c r="E172" s="2" t="s">
        <v>124</v>
      </c>
      <c r="F172" s="4">
        <v>6331</v>
      </c>
      <c r="G172" s="2" t="s">
        <v>125</v>
      </c>
      <c r="H172" s="2" t="s">
        <v>34</v>
      </c>
      <c r="I172" s="2" t="s">
        <v>745</v>
      </c>
      <c r="J172" s="2" t="s">
        <v>746</v>
      </c>
      <c r="K172" s="2" t="s">
        <v>125</v>
      </c>
      <c r="L172" s="2" t="s">
        <v>34</v>
      </c>
      <c r="M172" s="2"/>
      <c r="N172" s="7">
        <v>13.125</v>
      </c>
      <c r="O172" s="5">
        <v>13.5</v>
      </c>
      <c r="P172" s="2" t="s">
        <v>747</v>
      </c>
      <c r="Q172" s="2"/>
      <c r="R172" s="2"/>
      <c r="S172" s="5">
        <v>5.9</v>
      </c>
      <c r="T172" s="2"/>
      <c r="U172" s="5">
        <v>4.7</v>
      </c>
      <c r="V172" s="2"/>
      <c r="W172" s="7">
        <v>5.625</v>
      </c>
      <c r="X172" s="7">
        <v>5.625</v>
      </c>
      <c r="Y172" s="5">
        <v>6.5</v>
      </c>
      <c r="Z172" s="4">
        <v>6</v>
      </c>
      <c r="AA172" s="2"/>
      <c r="AB172" s="2" t="s">
        <v>47</v>
      </c>
      <c r="AC172" s="2"/>
    </row>
    <row r="173" spans="1:29" ht="52" x14ac:dyDescent="0.15">
      <c r="A173" s="3">
        <f>DATE(1990,5,10)</f>
        <v>33003</v>
      </c>
      <c r="B173" s="2"/>
      <c r="C173" s="2" t="s">
        <v>87</v>
      </c>
      <c r="D173" s="2" t="s">
        <v>748</v>
      </c>
      <c r="E173" s="2" t="s">
        <v>749</v>
      </c>
      <c r="F173" s="4">
        <v>3569</v>
      </c>
      <c r="G173" s="2" t="s">
        <v>300</v>
      </c>
      <c r="H173" s="2" t="s">
        <v>34</v>
      </c>
      <c r="I173" s="2" t="s">
        <v>138</v>
      </c>
      <c r="J173" s="2" t="s">
        <v>139</v>
      </c>
      <c r="K173" s="2" t="s">
        <v>53</v>
      </c>
      <c r="L173" s="2" t="s">
        <v>139</v>
      </c>
      <c r="M173" s="2"/>
      <c r="N173" s="2"/>
      <c r="O173" s="2"/>
      <c r="P173" s="2" t="s">
        <v>750</v>
      </c>
      <c r="Q173" s="2"/>
      <c r="R173" s="2"/>
      <c r="S173" s="5">
        <v>2.5</v>
      </c>
      <c r="T173" s="7">
        <v>8.7690000000000001</v>
      </c>
      <c r="U173" s="5">
        <v>1.7</v>
      </c>
      <c r="V173" s="9">
        <v>0.2049</v>
      </c>
      <c r="W173" s="7">
        <v>4.1879999999999997</v>
      </c>
      <c r="X173" s="7">
        <v>4.125</v>
      </c>
      <c r="Y173" s="6">
        <v>4.25</v>
      </c>
      <c r="Z173" s="7">
        <v>4.375</v>
      </c>
      <c r="AA173" s="2"/>
      <c r="AB173" s="2" t="s">
        <v>47</v>
      </c>
      <c r="AC173" s="2"/>
    </row>
    <row r="174" spans="1:29" ht="156" x14ac:dyDescent="0.15">
      <c r="A174" s="3">
        <f>DATE(1990,5,11)</f>
        <v>33004</v>
      </c>
      <c r="B174" s="3">
        <f>DATE(1990,8,30)</f>
        <v>33115</v>
      </c>
      <c r="C174" s="2" t="s">
        <v>95</v>
      </c>
      <c r="D174" s="2" t="s">
        <v>751</v>
      </c>
      <c r="E174" s="2" t="s">
        <v>177</v>
      </c>
      <c r="F174" s="4">
        <v>1311</v>
      </c>
      <c r="G174" s="2" t="s">
        <v>148</v>
      </c>
      <c r="H174" s="2" t="s">
        <v>34</v>
      </c>
      <c r="I174" s="2" t="s">
        <v>752</v>
      </c>
      <c r="J174" s="2" t="s">
        <v>177</v>
      </c>
      <c r="K174" s="2" t="s">
        <v>148</v>
      </c>
      <c r="L174" s="2" t="s">
        <v>34</v>
      </c>
      <c r="M174" s="7">
        <v>108.79600000000001</v>
      </c>
      <c r="N174" s="7">
        <v>3.625</v>
      </c>
      <c r="O174" s="7">
        <v>3.625</v>
      </c>
      <c r="P174" s="2" t="s">
        <v>753</v>
      </c>
      <c r="Q174" s="6">
        <v>100</v>
      </c>
      <c r="R174" s="6">
        <v>6.65</v>
      </c>
      <c r="S174" s="5">
        <v>-1.3</v>
      </c>
      <c r="T174" s="2"/>
      <c r="U174" s="5">
        <v>1.7</v>
      </c>
      <c r="V174" s="2"/>
      <c r="W174" s="7">
        <v>4.875</v>
      </c>
      <c r="X174" s="7">
        <v>5.375</v>
      </c>
      <c r="Y174" s="7">
        <v>5.625</v>
      </c>
      <c r="Z174" s="6">
        <v>5.75</v>
      </c>
      <c r="AA174" s="6">
        <v>6.64</v>
      </c>
      <c r="AB174" s="2" t="s">
        <v>86</v>
      </c>
      <c r="AC174" s="6">
        <v>15.29</v>
      </c>
    </row>
    <row r="175" spans="1:29" ht="143" x14ac:dyDescent="0.15">
      <c r="A175" s="3">
        <f>DATE(1990,5,11)</f>
        <v>33004</v>
      </c>
      <c r="B175" s="2"/>
      <c r="C175" s="2" t="s">
        <v>30</v>
      </c>
      <c r="D175" s="2" t="s">
        <v>754</v>
      </c>
      <c r="E175" s="2" t="s">
        <v>755</v>
      </c>
      <c r="F175" s="4">
        <v>5331</v>
      </c>
      <c r="G175" s="2" t="s">
        <v>756</v>
      </c>
      <c r="H175" s="2" t="s">
        <v>34</v>
      </c>
      <c r="I175" s="2" t="s">
        <v>757</v>
      </c>
      <c r="J175" s="2" t="s">
        <v>52</v>
      </c>
      <c r="K175" s="2" t="s">
        <v>53</v>
      </c>
      <c r="L175" s="2" t="s">
        <v>34</v>
      </c>
      <c r="M175" s="2"/>
      <c r="N175" s="2"/>
      <c r="O175" s="2"/>
      <c r="P175" s="2" t="s">
        <v>758</v>
      </c>
      <c r="Q175" s="2"/>
      <c r="R175" s="6">
        <v>17</v>
      </c>
      <c r="S175" s="2"/>
      <c r="T175" s="2"/>
      <c r="U175" s="2"/>
      <c r="V175" s="2"/>
      <c r="W175" s="6">
        <v>8.75</v>
      </c>
      <c r="X175" s="4">
        <v>10</v>
      </c>
      <c r="Y175" s="7">
        <v>10.125</v>
      </c>
      <c r="Z175" s="7">
        <v>10.125</v>
      </c>
      <c r="AA175" s="6">
        <v>1.43</v>
      </c>
      <c r="AB175" s="2" t="s">
        <v>47</v>
      </c>
      <c r="AC175" s="2"/>
    </row>
    <row r="176" spans="1:29" ht="91" x14ac:dyDescent="0.15">
      <c r="A176" s="3">
        <f>DATE(1990,5,11)</f>
        <v>33004</v>
      </c>
      <c r="B176" s="2"/>
      <c r="C176" s="2" t="s">
        <v>87</v>
      </c>
      <c r="D176" s="2" t="s">
        <v>759</v>
      </c>
      <c r="E176" s="2" t="s">
        <v>760</v>
      </c>
      <c r="F176" s="4">
        <v>3571</v>
      </c>
      <c r="G176" s="2" t="s">
        <v>50</v>
      </c>
      <c r="H176" s="2" t="s">
        <v>34</v>
      </c>
      <c r="I176" s="2" t="s">
        <v>149</v>
      </c>
      <c r="J176" s="2" t="s">
        <v>150</v>
      </c>
      <c r="K176" s="2" t="s">
        <v>53</v>
      </c>
      <c r="L176" s="2" t="s">
        <v>151</v>
      </c>
      <c r="M176" s="2"/>
      <c r="N176" s="2"/>
      <c r="O176" s="2"/>
      <c r="P176" s="2" t="s">
        <v>761</v>
      </c>
      <c r="Q176" s="2"/>
      <c r="R176" s="2"/>
      <c r="S176" s="5">
        <v>0.1</v>
      </c>
      <c r="T176" s="7">
        <v>11.784000000000001</v>
      </c>
      <c r="U176" s="5">
        <v>9.1</v>
      </c>
      <c r="V176" s="6">
        <v>0.01</v>
      </c>
      <c r="W176" s="5">
        <v>5.5</v>
      </c>
      <c r="X176" s="7">
        <v>6.375</v>
      </c>
      <c r="Y176" s="4">
        <v>7</v>
      </c>
      <c r="Z176" s="4">
        <v>7</v>
      </c>
      <c r="AA176" s="6">
        <v>9.49</v>
      </c>
      <c r="AB176" s="2" t="s">
        <v>47</v>
      </c>
      <c r="AC176" s="2"/>
    </row>
    <row r="177" spans="1:29" ht="78" x14ac:dyDescent="0.15">
      <c r="A177" s="3">
        <f>DATE(1990,5,14)</f>
        <v>33007</v>
      </c>
      <c r="B177" s="2"/>
      <c r="C177" s="2" t="s">
        <v>30</v>
      </c>
      <c r="D177" s="2" t="s">
        <v>514</v>
      </c>
      <c r="E177" s="2" t="s">
        <v>515</v>
      </c>
      <c r="F177" s="4">
        <v>6311</v>
      </c>
      <c r="G177" s="2" t="s">
        <v>125</v>
      </c>
      <c r="H177" s="2" t="s">
        <v>34</v>
      </c>
      <c r="I177" s="2" t="s">
        <v>762</v>
      </c>
      <c r="J177" s="2" t="s">
        <v>124</v>
      </c>
      <c r="K177" s="2" t="s">
        <v>125</v>
      </c>
      <c r="L177" s="2" t="s">
        <v>133</v>
      </c>
      <c r="M177" s="2"/>
      <c r="N177" s="2"/>
      <c r="O177" s="2"/>
      <c r="P177" s="2" t="s">
        <v>763</v>
      </c>
      <c r="Q177" s="2"/>
      <c r="R177" s="2"/>
      <c r="S177" s="5">
        <v>464</v>
      </c>
      <c r="T177" s="2"/>
      <c r="U177" s="5">
        <v>9.5</v>
      </c>
      <c r="V177" s="6">
        <v>0.94</v>
      </c>
      <c r="W177" s="7">
        <v>37.875</v>
      </c>
      <c r="X177" s="7">
        <v>40.125</v>
      </c>
      <c r="Y177" s="7">
        <v>47.625</v>
      </c>
      <c r="Z177" s="6">
        <v>47.75</v>
      </c>
      <c r="AA177" s="6">
        <v>119.19</v>
      </c>
      <c r="AB177" s="2" t="s">
        <v>47</v>
      </c>
      <c r="AC177" s="2"/>
    </row>
    <row r="178" spans="1:29" ht="65" x14ac:dyDescent="0.15">
      <c r="A178" s="3">
        <f>DATE(1990,5,15)</f>
        <v>33008</v>
      </c>
      <c r="B178" s="2"/>
      <c r="C178" s="2" t="s">
        <v>141</v>
      </c>
      <c r="D178" s="2" t="s">
        <v>764</v>
      </c>
      <c r="E178" s="2" t="s">
        <v>765</v>
      </c>
      <c r="F178" s="4">
        <v>1382</v>
      </c>
      <c r="G178" s="2" t="s">
        <v>148</v>
      </c>
      <c r="H178" s="2" t="s">
        <v>34</v>
      </c>
      <c r="I178" s="2" t="s">
        <v>143</v>
      </c>
      <c r="J178" s="2" t="s">
        <v>144</v>
      </c>
      <c r="K178" s="2" t="s">
        <v>53</v>
      </c>
      <c r="L178" s="2" t="s">
        <v>139</v>
      </c>
      <c r="M178" s="2"/>
      <c r="N178" s="2"/>
      <c r="O178" s="2"/>
      <c r="P178" s="2" t="s">
        <v>766</v>
      </c>
      <c r="Q178" s="2"/>
      <c r="R178" s="2"/>
      <c r="S178" s="5">
        <v>4.9000000000000004</v>
      </c>
      <c r="T178" s="2"/>
      <c r="U178" s="5">
        <v>2.2999999999999998</v>
      </c>
      <c r="V178" s="2"/>
      <c r="W178" s="7">
        <v>6.125</v>
      </c>
      <c r="X178" s="7">
        <v>6.375</v>
      </c>
      <c r="Y178" s="7">
        <v>6.375</v>
      </c>
      <c r="Z178" s="7">
        <v>6.125</v>
      </c>
      <c r="AA178" s="2"/>
      <c r="AB178" s="2" t="s">
        <v>47</v>
      </c>
      <c r="AC178" s="2"/>
    </row>
    <row r="179" spans="1:29" ht="130" x14ac:dyDescent="0.15">
      <c r="A179" s="3">
        <f>DATE(1990,5,16)</f>
        <v>33009</v>
      </c>
      <c r="B179" s="3">
        <f>DATE(1990,9,21)</f>
        <v>33137</v>
      </c>
      <c r="C179" s="2" t="s">
        <v>95</v>
      </c>
      <c r="D179" s="2" t="s">
        <v>767</v>
      </c>
      <c r="E179" s="2" t="s">
        <v>768</v>
      </c>
      <c r="F179" s="4">
        <v>3841</v>
      </c>
      <c r="G179" s="2" t="s">
        <v>226</v>
      </c>
      <c r="H179" s="2" t="s">
        <v>34</v>
      </c>
      <c r="I179" s="2" t="s">
        <v>769</v>
      </c>
      <c r="J179" s="2" t="s">
        <v>770</v>
      </c>
      <c r="K179" s="2" t="s">
        <v>226</v>
      </c>
      <c r="L179" s="2" t="s">
        <v>34</v>
      </c>
      <c r="M179" s="12">
        <v>1782.3510000000001</v>
      </c>
      <c r="N179" s="6">
        <v>72.25</v>
      </c>
      <c r="O179" s="4">
        <v>72</v>
      </c>
      <c r="P179" s="2" t="s">
        <v>771</v>
      </c>
      <c r="Q179" s="6">
        <v>94.5</v>
      </c>
      <c r="R179" s="6">
        <v>23.14</v>
      </c>
      <c r="S179" s="5">
        <v>4.3</v>
      </c>
      <c r="T179" s="7">
        <v>7.9290000000000003</v>
      </c>
      <c r="U179" s="5">
        <v>3.6</v>
      </c>
      <c r="V179" s="6">
        <v>0.56000000000000005</v>
      </c>
      <c r="W179" s="6">
        <v>15.75</v>
      </c>
      <c r="X179" s="7">
        <v>16.625</v>
      </c>
      <c r="Y179" s="4">
        <v>20</v>
      </c>
      <c r="Z179" s="6">
        <v>19.75</v>
      </c>
      <c r="AA179" s="6">
        <v>7.61</v>
      </c>
      <c r="AB179" s="7">
        <v>24.091000000000001</v>
      </c>
      <c r="AC179" s="6">
        <v>51.59</v>
      </c>
    </row>
    <row r="180" spans="1:29" ht="39" x14ac:dyDescent="0.15">
      <c r="A180" s="3">
        <f>DATE(1990,5,16)</f>
        <v>33009</v>
      </c>
      <c r="B180" s="2"/>
      <c r="C180" s="2" t="s">
        <v>189</v>
      </c>
      <c r="D180" s="2" t="s">
        <v>772</v>
      </c>
      <c r="E180" s="2" t="s">
        <v>773</v>
      </c>
      <c r="F180" s="4">
        <v>5211</v>
      </c>
      <c r="G180" s="2" t="s">
        <v>73</v>
      </c>
      <c r="H180" s="2" t="s">
        <v>34</v>
      </c>
      <c r="I180" s="2" t="s">
        <v>143</v>
      </c>
      <c r="J180" s="2" t="s">
        <v>144</v>
      </c>
      <c r="K180" s="2" t="s">
        <v>53</v>
      </c>
      <c r="L180" s="2" t="s">
        <v>139</v>
      </c>
      <c r="M180" s="2"/>
      <c r="N180" s="2"/>
      <c r="O180" s="2"/>
      <c r="P180" s="2" t="s">
        <v>774</v>
      </c>
      <c r="Q180" s="2"/>
      <c r="R180" s="2"/>
      <c r="S180" s="5">
        <v>-39</v>
      </c>
      <c r="T180" s="2"/>
      <c r="U180" s="5">
        <v>-0.3</v>
      </c>
      <c r="V180" s="2"/>
      <c r="W180" s="7">
        <v>10.875</v>
      </c>
      <c r="X180" s="7">
        <v>10.375</v>
      </c>
      <c r="Y180" s="7">
        <v>10.875</v>
      </c>
      <c r="Z180" s="6">
        <v>10.75</v>
      </c>
      <c r="AA180" s="2"/>
      <c r="AB180" s="2" t="s">
        <v>47</v>
      </c>
      <c r="AC180" s="2"/>
    </row>
    <row r="181" spans="1:29" ht="78" x14ac:dyDescent="0.15">
      <c r="A181" s="3">
        <f>DATE(1990,5,16)</f>
        <v>33009</v>
      </c>
      <c r="B181" s="3">
        <f>DATE(1992,2,20)</f>
        <v>33654</v>
      </c>
      <c r="C181" s="2" t="s">
        <v>95</v>
      </c>
      <c r="D181" s="2" t="s">
        <v>775</v>
      </c>
      <c r="E181" s="2" t="s">
        <v>776</v>
      </c>
      <c r="F181" s="4">
        <v>8071</v>
      </c>
      <c r="G181" s="2" t="s">
        <v>454</v>
      </c>
      <c r="H181" s="2" t="s">
        <v>34</v>
      </c>
      <c r="I181" s="2" t="s">
        <v>777</v>
      </c>
      <c r="J181" s="2" t="s">
        <v>778</v>
      </c>
      <c r="K181" s="2" t="s">
        <v>454</v>
      </c>
      <c r="L181" s="2" t="s">
        <v>34</v>
      </c>
      <c r="M181" s="2"/>
      <c r="N181" s="2"/>
      <c r="O181" s="2"/>
      <c r="P181" s="2" t="s">
        <v>779</v>
      </c>
      <c r="Q181" s="6">
        <v>7.4</v>
      </c>
      <c r="R181" s="6">
        <v>11</v>
      </c>
      <c r="S181" s="2"/>
      <c r="T181" s="2"/>
      <c r="U181" s="5">
        <v>1</v>
      </c>
      <c r="V181" s="2"/>
      <c r="W181" s="7">
        <v>4.5629999999999997</v>
      </c>
      <c r="X181" s="7">
        <v>4.6879999999999997</v>
      </c>
      <c r="Y181" s="4">
        <v>6</v>
      </c>
      <c r="Z181" s="4">
        <v>6</v>
      </c>
      <c r="AA181" s="6">
        <v>36.869999999999997</v>
      </c>
      <c r="AB181" s="2" t="s">
        <v>47</v>
      </c>
      <c r="AC181" s="2"/>
    </row>
    <row r="182" spans="1:29" ht="117" x14ac:dyDescent="0.15">
      <c r="A182" s="3">
        <f>DATE(1990,5,17)</f>
        <v>33010</v>
      </c>
      <c r="B182" s="3">
        <f>DATE(1990,9,27)</f>
        <v>33143</v>
      </c>
      <c r="C182" s="2" t="s">
        <v>95</v>
      </c>
      <c r="D182" s="2" t="s">
        <v>780</v>
      </c>
      <c r="E182" s="2" t="s">
        <v>781</v>
      </c>
      <c r="F182" s="4">
        <v>7372</v>
      </c>
      <c r="G182" s="2" t="s">
        <v>551</v>
      </c>
      <c r="H182" s="2" t="s">
        <v>34</v>
      </c>
      <c r="I182" s="2" t="s">
        <v>782</v>
      </c>
      <c r="J182" s="2" t="s">
        <v>783</v>
      </c>
      <c r="K182" s="2" t="s">
        <v>173</v>
      </c>
      <c r="L182" s="2" t="s">
        <v>34</v>
      </c>
      <c r="M182" s="2"/>
      <c r="N182" s="7">
        <v>46.875</v>
      </c>
      <c r="O182" s="7">
        <v>46.125</v>
      </c>
      <c r="P182" s="2" t="s">
        <v>784</v>
      </c>
      <c r="Q182" s="6">
        <v>12.94</v>
      </c>
      <c r="R182" s="6">
        <v>15.85</v>
      </c>
      <c r="S182" s="5">
        <v>6.9</v>
      </c>
      <c r="T182" s="2"/>
      <c r="U182" s="2"/>
      <c r="V182" s="2"/>
      <c r="W182" s="6">
        <v>11.25</v>
      </c>
      <c r="X182" s="6">
        <v>12.75</v>
      </c>
      <c r="Y182" s="7">
        <v>14.625</v>
      </c>
      <c r="Z182" s="7">
        <v>14.625</v>
      </c>
      <c r="AA182" s="6">
        <v>19.04</v>
      </c>
      <c r="AB182" s="7">
        <v>45.832999999999998</v>
      </c>
      <c r="AC182" s="5">
        <v>106.1</v>
      </c>
    </row>
    <row r="183" spans="1:29" ht="78" x14ac:dyDescent="0.15">
      <c r="A183" s="3">
        <f>DATE(1990,5,18)</f>
        <v>33011</v>
      </c>
      <c r="B183" s="3">
        <f>DATE(1991,6,28)</f>
        <v>33417</v>
      </c>
      <c r="C183" s="2" t="s">
        <v>95</v>
      </c>
      <c r="D183" s="2" t="s">
        <v>785</v>
      </c>
      <c r="E183" s="2" t="s">
        <v>786</v>
      </c>
      <c r="F183" s="4">
        <v>5122</v>
      </c>
      <c r="G183" s="2" t="s">
        <v>593</v>
      </c>
      <c r="H183" s="2" t="s">
        <v>34</v>
      </c>
      <c r="I183" s="2" t="s">
        <v>787</v>
      </c>
      <c r="J183" s="2" t="s">
        <v>788</v>
      </c>
      <c r="K183" s="2" t="s">
        <v>73</v>
      </c>
      <c r="L183" s="2" t="s">
        <v>34</v>
      </c>
      <c r="M183" s="2"/>
      <c r="N183" s="2"/>
      <c r="O183" s="2"/>
      <c r="P183" s="2" t="s">
        <v>789</v>
      </c>
      <c r="Q183" s="6">
        <v>33.299999999999997</v>
      </c>
      <c r="R183" s="6">
        <v>2.4300000000000002</v>
      </c>
      <c r="S183" s="5">
        <v>407</v>
      </c>
      <c r="T183" s="2"/>
      <c r="U183" s="5">
        <v>13.2</v>
      </c>
      <c r="V183" s="2"/>
      <c r="W183" s="7">
        <v>1.875</v>
      </c>
      <c r="X183" s="7">
        <v>2.125</v>
      </c>
      <c r="Y183" s="7">
        <v>2.125</v>
      </c>
      <c r="Z183" s="7">
        <v>2.125</v>
      </c>
      <c r="AA183" s="6">
        <v>2.36</v>
      </c>
      <c r="AB183" s="7">
        <v>1.7230000000000001</v>
      </c>
      <c r="AC183" s="2"/>
    </row>
    <row r="184" spans="1:29" ht="52" x14ac:dyDescent="0.15">
      <c r="A184" s="3">
        <f>DATE(1990,5,21)</f>
        <v>33014</v>
      </c>
      <c r="B184" s="2"/>
      <c r="C184" s="2" t="s">
        <v>189</v>
      </c>
      <c r="D184" s="2" t="s">
        <v>790</v>
      </c>
      <c r="E184" s="2" t="s">
        <v>791</v>
      </c>
      <c r="F184" s="4">
        <v>7819</v>
      </c>
      <c r="G184" s="2" t="s">
        <v>42</v>
      </c>
      <c r="H184" s="2" t="s">
        <v>34</v>
      </c>
      <c r="I184" s="2" t="s">
        <v>143</v>
      </c>
      <c r="J184" s="2" t="s">
        <v>144</v>
      </c>
      <c r="K184" s="2" t="s">
        <v>53</v>
      </c>
      <c r="L184" s="2" t="s">
        <v>139</v>
      </c>
      <c r="M184" s="2"/>
      <c r="N184" s="2"/>
      <c r="O184" s="2"/>
      <c r="P184" s="2" t="s">
        <v>792</v>
      </c>
      <c r="Q184" s="2"/>
      <c r="R184" s="2"/>
      <c r="S184" s="5">
        <v>2.9</v>
      </c>
      <c r="T184" s="2"/>
      <c r="U184" s="2"/>
      <c r="V184" s="2"/>
      <c r="W184" s="9">
        <v>3.8125</v>
      </c>
      <c r="X184" s="9">
        <v>3.8125</v>
      </c>
      <c r="Y184" s="9">
        <v>3.8125</v>
      </c>
      <c r="Z184" s="9">
        <v>3.8125</v>
      </c>
      <c r="AA184" s="2"/>
      <c r="AB184" s="2" t="s">
        <v>47</v>
      </c>
      <c r="AC184" s="2"/>
    </row>
    <row r="185" spans="1:29" ht="65" x14ac:dyDescent="0.15">
      <c r="A185" s="3">
        <f>DATE(1990,5,21)</f>
        <v>33014</v>
      </c>
      <c r="B185" s="2"/>
      <c r="C185" s="2" t="s">
        <v>87</v>
      </c>
      <c r="D185" s="2" t="s">
        <v>793</v>
      </c>
      <c r="E185" s="2" t="s">
        <v>794</v>
      </c>
      <c r="F185" s="4">
        <v>6794</v>
      </c>
      <c r="G185" s="2" t="s">
        <v>53</v>
      </c>
      <c r="H185" s="2" t="s">
        <v>34</v>
      </c>
      <c r="I185" s="2" t="s">
        <v>138</v>
      </c>
      <c r="J185" s="2" t="s">
        <v>139</v>
      </c>
      <c r="K185" s="2" t="s">
        <v>53</v>
      </c>
      <c r="L185" s="2" t="s">
        <v>139</v>
      </c>
      <c r="M185" s="2"/>
      <c r="N185" s="2"/>
      <c r="O185" s="2"/>
      <c r="P185" s="2" t="s">
        <v>795</v>
      </c>
      <c r="Q185" s="2"/>
      <c r="R185" s="2"/>
      <c r="S185" s="5">
        <v>0</v>
      </c>
      <c r="T185" s="7">
        <v>0.97599999999999998</v>
      </c>
      <c r="U185" s="5">
        <v>4.0999999999999996</v>
      </c>
      <c r="V185" s="6">
        <v>-0.01</v>
      </c>
      <c r="W185" s="4">
        <v>16</v>
      </c>
      <c r="X185" s="6">
        <v>16.75</v>
      </c>
      <c r="Y185" s="5">
        <v>18.5</v>
      </c>
      <c r="Z185" s="5">
        <v>18.5</v>
      </c>
      <c r="AA185" s="2"/>
      <c r="AB185" s="2" t="s">
        <v>86</v>
      </c>
      <c r="AC185" s="2"/>
    </row>
    <row r="186" spans="1:29" ht="156" x14ac:dyDescent="0.15">
      <c r="A186" s="3">
        <f>DATE(1990,5,21)</f>
        <v>33014</v>
      </c>
      <c r="B186" s="3">
        <f>DATE(1990,12,4)</f>
        <v>33211</v>
      </c>
      <c r="C186" s="2" t="s">
        <v>95</v>
      </c>
      <c r="D186" s="2" t="s">
        <v>796</v>
      </c>
      <c r="E186" s="2" t="s">
        <v>797</v>
      </c>
      <c r="F186" s="4">
        <v>4924</v>
      </c>
      <c r="G186" s="2" t="s">
        <v>439</v>
      </c>
      <c r="H186" s="2" t="s">
        <v>34</v>
      </c>
      <c r="I186" s="2" t="s">
        <v>798</v>
      </c>
      <c r="J186" s="2" t="s">
        <v>799</v>
      </c>
      <c r="K186" s="2" t="s">
        <v>439</v>
      </c>
      <c r="L186" s="2" t="s">
        <v>34</v>
      </c>
      <c r="M186" s="2"/>
      <c r="N186" s="6">
        <v>36.75</v>
      </c>
      <c r="O186" s="5">
        <v>36.5</v>
      </c>
      <c r="P186" s="2" t="s">
        <v>800</v>
      </c>
      <c r="Q186" s="6">
        <v>100</v>
      </c>
      <c r="R186" s="6">
        <v>17.399999999999999</v>
      </c>
      <c r="S186" s="5">
        <v>7.8</v>
      </c>
      <c r="T186" s="7">
        <v>31.905000000000001</v>
      </c>
      <c r="U186" s="5">
        <v>9.6</v>
      </c>
      <c r="V186" s="6">
        <v>1.36</v>
      </c>
      <c r="W186" s="7">
        <v>16.875</v>
      </c>
      <c r="X186" s="7">
        <v>17.125</v>
      </c>
      <c r="Y186" s="6">
        <v>20.25</v>
      </c>
      <c r="Z186" s="7">
        <v>20.375</v>
      </c>
      <c r="AA186" s="6">
        <v>5.35</v>
      </c>
      <c r="AB186" s="7">
        <v>7.9240000000000004</v>
      </c>
      <c r="AC186" s="2"/>
    </row>
    <row r="187" spans="1:29" ht="156" x14ac:dyDescent="0.15">
      <c r="A187" s="3">
        <f>DATE(1990,5,21)</f>
        <v>33014</v>
      </c>
      <c r="B187" s="2"/>
      <c r="C187" s="2" t="s">
        <v>189</v>
      </c>
      <c r="D187" s="2" t="s">
        <v>591</v>
      </c>
      <c r="E187" s="2" t="s">
        <v>592</v>
      </c>
      <c r="F187" s="4">
        <v>5199</v>
      </c>
      <c r="G187" s="2" t="s">
        <v>593</v>
      </c>
      <c r="H187" s="2" t="s">
        <v>34</v>
      </c>
      <c r="I187" s="2" t="s">
        <v>143</v>
      </c>
      <c r="J187" s="2" t="s">
        <v>144</v>
      </c>
      <c r="K187" s="2" t="s">
        <v>53</v>
      </c>
      <c r="L187" s="2" t="s">
        <v>139</v>
      </c>
      <c r="M187" s="2"/>
      <c r="N187" s="2"/>
      <c r="O187" s="2"/>
      <c r="P187" s="2" t="s">
        <v>801</v>
      </c>
      <c r="Q187" s="2"/>
      <c r="R187" s="2"/>
      <c r="S187" s="5">
        <v>30.9</v>
      </c>
      <c r="T187" s="7">
        <v>66.902000000000001</v>
      </c>
      <c r="U187" s="5">
        <v>6.1</v>
      </c>
      <c r="V187" s="6">
        <v>0.87</v>
      </c>
      <c r="W187" s="7">
        <v>13.125</v>
      </c>
      <c r="X187" s="7">
        <v>13.875</v>
      </c>
      <c r="Y187" s="7">
        <v>12.625</v>
      </c>
      <c r="Z187" s="7">
        <v>12.625</v>
      </c>
      <c r="AA187" s="2"/>
      <c r="AB187" s="2" t="s">
        <v>47</v>
      </c>
      <c r="AC187" s="2"/>
    </row>
    <row r="188" spans="1:29" ht="143" x14ac:dyDescent="0.15">
      <c r="A188" s="3">
        <f>DATE(1990,5,21)</f>
        <v>33014</v>
      </c>
      <c r="B188" s="2"/>
      <c r="C188" s="2" t="s">
        <v>30</v>
      </c>
      <c r="D188" s="2" t="s">
        <v>802</v>
      </c>
      <c r="E188" s="2" t="s">
        <v>389</v>
      </c>
      <c r="F188" s="4">
        <v>6035</v>
      </c>
      <c r="G188" s="2" t="s">
        <v>33</v>
      </c>
      <c r="H188" s="2" t="s">
        <v>34</v>
      </c>
      <c r="I188" s="2" t="s">
        <v>51</v>
      </c>
      <c r="J188" s="2" t="s">
        <v>52</v>
      </c>
      <c r="K188" s="2" t="s">
        <v>53</v>
      </c>
      <c r="L188" s="2" t="s">
        <v>34</v>
      </c>
      <c r="M188" s="2"/>
      <c r="N188" s="2"/>
      <c r="O188" s="2"/>
      <c r="P188" s="2" t="s">
        <v>803</v>
      </c>
      <c r="Q188" s="2"/>
      <c r="R188" s="6">
        <v>10</v>
      </c>
      <c r="S188" s="5">
        <v>20.2</v>
      </c>
      <c r="T188" s="7">
        <v>25.716999999999999</v>
      </c>
      <c r="U188" s="5">
        <v>34.5</v>
      </c>
      <c r="V188" s="6">
        <v>2.08</v>
      </c>
      <c r="W188" s="4">
        <v>5</v>
      </c>
      <c r="X188" s="5">
        <v>4.5</v>
      </c>
      <c r="Y188" s="6">
        <v>4.75</v>
      </c>
      <c r="Z188" s="5">
        <v>5.5</v>
      </c>
      <c r="AA188" s="6">
        <v>10</v>
      </c>
      <c r="AB188" s="7">
        <v>21.227</v>
      </c>
      <c r="AC188" s="2"/>
    </row>
    <row r="189" spans="1:29" ht="104" x14ac:dyDescent="0.15">
      <c r="A189" s="3">
        <f>DATE(1990,5,23)</f>
        <v>33016</v>
      </c>
      <c r="B189" s="3">
        <f>DATE(1990,5,23)</f>
        <v>33016</v>
      </c>
      <c r="C189" s="2" t="s">
        <v>95</v>
      </c>
      <c r="D189" s="2" t="s">
        <v>804</v>
      </c>
      <c r="E189" s="2" t="s">
        <v>177</v>
      </c>
      <c r="F189" s="4">
        <v>1311</v>
      </c>
      <c r="G189" s="2" t="s">
        <v>148</v>
      </c>
      <c r="H189" s="2" t="s">
        <v>34</v>
      </c>
      <c r="I189" s="2" t="s">
        <v>805</v>
      </c>
      <c r="J189" s="2" t="s">
        <v>177</v>
      </c>
      <c r="K189" s="2" t="s">
        <v>148</v>
      </c>
      <c r="L189" s="2" t="s">
        <v>34</v>
      </c>
      <c r="M189" s="2"/>
      <c r="N189" s="2"/>
      <c r="O189" s="2"/>
      <c r="P189" s="2" t="s">
        <v>806</v>
      </c>
      <c r="Q189" s="6">
        <v>0.15</v>
      </c>
      <c r="R189" s="6">
        <v>33.5</v>
      </c>
      <c r="S189" s="5">
        <v>15.4</v>
      </c>
      <c r="T189" s="2"/>
      <c r="U189" s="5">
        <v>12</v>
      </c>
      <c r="V189" s="2"/>
      <c r="W189" s="6">
        <v>31.75</v>
      </c>
      <c r="X189" s="6">
        <v>32.25</v>
      </c>
      <c r="Y189" s="7">
        <v>32.125</v>
      </c>
      <c r="Z189" s="6">
        <v>32.25</v>
      </c>
      <c r="AA189" s="6">
        <v>26.27</v>
      </c>
      <c r="AB189" s="7">
        <v>137.92500000000001</v>
      </c>
      <c r="AC189" s="2"/>
    </row>
    <row r="190" spans="1:29" ht="104" x14ac:dyDescent="0.15">
      <c r="A190" s="3">
        <f>DATE(1990,5,24)</f>
        <v>33017</v>
      </c>
      <c r="B190" s="3">
        <f>DATE(1990,8,21)</f>
        <v>33106</v>
      </c>
      <c r="C190" s="2" t="s">
        <v>95</v>
      </c>
      <c r="D190" s="2" t="s">
        <v>807</v>
      </c>
      <c r="E190" s="2" t="s">
        <v>808</v>
      </c>
      <c r="F190" s="4">
        <v>7374</v>
      </c>
      <c r="G190" s="2" t="s">
        <v>223</v>
      </c>
      <c r="H190" s="2" t="s">
        <v>34</v>
      </c>
      <c r="I190" s="2" t="s">
        <v>368</v>
      </c>
      <c r="J190" s="2" t="s">
        <v>369</v>
      </c>
      <c r="K190" s="2" t="s">
        <v>370</v>
      </c>
      <c r="L190" s="2" t="s">
        <v>34</v>
      </c>
      <c r="M190" s="12">
        <v>1236.5650000000001</v>
      </c>
      <c r="N190" s="4">
        <v>30</v>
      </c>
      <c r="O190" s="7">
        <v>29.375</v>
      </c>
      <c r="P190" s="2" t="s">
        <v>809</v>
      </c>
      <c r="Q190" s="6">
        <v>100</v>
      </c>
      <c r="R190" s="6">
        <v>19.489999999999998</v>
      </c>
      <c r="S190" s="5">
        <v>-0.5</v>
      </c>
      <c r="T190" s="7">
        <v>0.78300000000000003</v>
      </c>
      <c r="U190" s="5">
        <v>4.3</v>
      </c>
      <c r="V190" s="6">
        <v>-0.19</v>
      </c>
      <c r="W190" s="6">
        <v>11.25</v>
      </c>
      <c r="X190" s="4">
        <v>11</v>
      </c>
      <c r="Y190" s="6">
        <v>11.25</v>
      </c>
      <c r="Z190" s="4">
        <v>18</v>
      </c>
      <c r="AA190" s="6">
        <v>2.8</v>
      </c>
      <c r="AB190" s="2" t="s">
        <v>86</v>
      </c>
      <c r="AC190" s="8">
        <v>7452</v>
      </c>
    </row>
    <row r="191" spans="1:29" ht="143" x14ac:dyDescent="0.15">
      <c r="A191" s="3">
        <f>DATE(1990,5,25)</f>
        <v>33018</v>
      </c>
      <c r="B191" s="3">
        <f>DATE(1990,10,16)</f>
        <v>33162</v>
      </c>
      <c r="C191" s="2" t="s">
        <v>95</v>
      </c>
      <c r="D191" s="2" t="s">
        <v>810</v>
      </c>
      <c r="E191" s="2" t="s">
        <v>811</v>
      </c>
      <c r="F191" s="4">
        <v>2678</v>
      </c>
      <c r="G191" s="2" t="s">
        <v>282</v>
      </c>
      <c r="H191" s="2" t="s">
        <v>34</v>
      </c>
      <c r="I191" s="2" t="s">
        <v>812</v>
      </c>
      <c r="J191" s="2" t="s">
        <v>813</v>
      </c>
      <c r="K191" s="2" t="s">
        <v>282</v>
      </c>
      <c r="L191" s="2" t="s">
        <v>34</v>
      </c>
      <c r="M191" s="8">
        <v>1105</v>
      </c>
      <c r="N191" s="6">
        <v>26.25</v>
      </c>
      <c r="O191" s="6">
        <v>26.25</v>
      </c>
      <c r="P191" s="2" t="s">
        <v>814</v>
      </c>
      <c r="Q191" s="6">
        <v>100</v>
      </c>
      <c r="R191" s="6">
        <v>31.92</v>
      </c>
      <c r="S191" s="5">
        <v>29.4</v>
      </c>
      <c r="T191" s="7">
        <v>76.722999999999999</v>
      </c>
      <c r="U191" s="5">
        <v>17.2</v>
      </c>
      <c r="V191" s="6">
        <v>1.84</v>
      </c>
      <c r="W191" s="6">
        <v>18.75</v>
      </c>
      <c r="X191" s="4">
        <v>19</v>
      </c>
      <c r="Y191" s="7">
        <v>27.375</v>
      </c>
      <c r="Z191" s="7">
        <v>27.375</v>
      </c>
      <c r="AA191" s="6">
        <v>15.59</v>
      </c>
      <c r="AB191" s="7">
        <v>13.446999999999999</v>
      </c>
      <c r="AC191" s="2"/>
    </row>
    <row r="192" spans="1:29" ht="91" x14ac:dyDescent="0.15">
      <c r="A192" s="3">
        <f>DATE(1990,5,25)</f>
        <v>33018</v>
      </c>
      <c r="B192" s="3">
        <f>DATE(1990,5,26)</f>
        <v>33019</v>
      </c>
      <c r="C192" s="2" t="s">
        <v>95</v>
      </c>
      <c r="D192" s="2" t="s">
        <v>815</v>
      </c>
      <c r="E192" s="2" t="s">
        <v>816</v>
      </c>
      <c r="F192" s="4">
        <v>3679</v>
      </c>
      <c r="G192" s="2" t="s">
        <v>137</v>
      </c>
      <c r="H192" s="2" t="s">
        <v>34</v>
      </c>
      <c r="I192" s="2" t="s">
        <v>817</v>
      </c>
      <c r="J192" s="2" t="s">
        <v>818</v>
      </c>
      <c r="K192" s="2" t="s">
        <v>50</v>
      </c>
      <c r="L192" s="2" t="s">
        <v>303</v>
      </c>
      <c r="M192" s="2"/>
      <c r="N192" s="2"/>
      <c r="O192" s="2"/>
      <c r="P192" s="2" t="s">
        <v>819</v>
      </c>
      <c r="Q192" s="2"/>
      <c r="R192" s="2"/>
      <c r="S192" s="5">
        <v>0.9</v>
      </c>
      <c r="T192" s="7">
        <v>1.5569999999999999</v>
      </c>
      <c r="U192" s="5">
        <v>1.3</v>
      </c>
      <c r="V192" s="6">
        <v>0.28000000000000003</v>
      </c>
      <c r="W192" s="7">
        <v>3.3130000000000002</v>
      </c>
      <c r="X192" s="7">
        <v>3.3130000000000002</v>
      </c>
      <c r="Y192" s="7">
        <v>3.4380000000000002</v>
      </c>
      <c r="Z192" s="7">
        <v>3.4380000000000002</v>
      </c>
      <c r="AA192" s="2"/>
      <c r="AB192" s="2" t="s">
        <v>47</v>
      </c>
      <c r="AC192" s="2"/>
    </row>
    <row r="193" spans="1:29" ht="78" x14ac:dyDescent="0.15">
      <c r="A193" s="3">
        <f>DATE(1990,5,29)</f>
        <v>33022</v>
      </c>
      <c r="B193" s="2"/>
      <c r="C193" s="2" t="s">
        <v>141</v>
      </c>
      <c r="D193" s="2" t="s">
        <v>820</v>
      </c>
      <c r="E193" s="2" t="s">
        <v>821</v>
      </c>
      <c r="F193" s="4">
        <v>7349</v>
      </c>
      <c r="G193" s="2" t="s">
        <v>223</v>
      </c>
      <c r="H193" s="2" t="s">
        <v>34</v>
      </c>
      <c r="I193" s="2" t="s">
        <v>143</v>
      </c>
      <c r="J193" s="2" t="s">
        <v>144</v>
      </c>
      <c r="K193" s="2" t="s">
        <v>53</v>
      </c>
      <c r="L193" s="2" t="s">
        <v>139</v>
      </c>
      <c r="M193" s="2"/>
      <c r="N193" s="2"/>
      <c r="O193" s="2"/>
      <c r="P193" s="2" t="s">
        <v>822</v>
      </c>
      <c r="Q193" s="2"/>
      <c r="R193" s="2"/>
      <c r="S193" s="5">
        <v>1.2</v>
      </c>
      <c r="T193" s="7">
        <v>2.859</v>
      </c>
      <c r="U193" s="5">
        <v>3.6</v>
      </c>
      <c r="V193" s="6">
        <v>0.52</v>
      </c>
      <c r="W193" s="6">
        <v>4.25</v>
      </c>
      <c r="X193" s="5">
        <v>4.5</v>
      </c>
      <c r="Y193" s="5">
        <v>4.5</v>
      </c>
      <c r="Z193" s="7">
        <v>4.625</v>
      </c>
      <c r="AA193" s="2"/>
      <c r="AB193" s="2" t="s">
        <v>47</v>
      </c>
      <c r="AC193" s="2"/>
    </row>
    <row r="194" spans="1:29" ht="65" x14ac:dyDescent="0.15">
      <c r="A194" s="3">
        <f>DATE(1990,5,30)</f>
        <v>33023</v>
      </c>
      <c r="B194" s="2"/>
      <c r="C194" s="2" t="s">
        <v>30</v>
      </c>
      <c r="D194" s="2" t="s">
        <v>823</v>
      </c>
      <c r="E194" s="2" t="s">
        <v>36</v>
      </c>
      <c r="F194" s="4">
        <v>6036</v>
      </c>
      <c r="G194" s="2" t="s">
        <v>33</v>
      </c>
      <c r="H194" s="2" t="s">
        <v>34</v>
      </c>
      <c r="I194" s="2" t="s">
        <v>138</v>
      </c>
      <c r="J194" s="2" t="s">
        <v>139</v>
      </c>
      <c r="K194" s="2" t="s">
        <v>53</v>
      </c>
      <c r="L194" s="2" t="s">
        <v>139</v>
      </c>
      <c r="M194" s="2"/>
      <c r="N194" s="2"/>
      <c r="O194" s="2"/>
      <c r="P194" s="2" t="s">
        <v>824</v>
      </c>
      <c r="Q194" s="2"/>
      <c r="R194" s="2"/>
      <c r="S194" s="5">
        <v>21.1</v>
      </c>
      <c r="T194" s="7">
        <v>39.869</v>
      </c>
      <c r="U194" s="5">
        <v>55.2</v>
      </c>
      <c r="V194" s="6">
        <v>4.5999999999999996</v>
      </c>
      <c r="W194" s="6">
        <v>36.75</v>
      </c>
      <c r="X194" s="7">
        <v>36.625</v>
      </c>
      <c r="Y194" s="7">
        <v>36.375</v>
      </c>
      <c r="Z194" s="6">
        <v>37.25</v>
      </c>
      <c r="AA194" s="2"/>
      <c r="AB194" s="2" t="s">
        <v>47</v>
      </c>
      <c r="AC194" s="2"/>
    </row>
    <row r="195" spans="1:29" ht="78" x14ac:dyDescent="0.15">
      <c r="A195" s="3">
        <f>DATE(1990,5,30)</f>
        <v>33023</v>
      </c>
      <c r="B195" s="2"/>
      <c r="C195" s="2" t="s">
        <v>30</v>
      </c>
      <c r="D195" s="2" t="s">
        <v>825</v>
      </c>
      <c r="E195" s="2" t="s">
        <v>826</v>
      </c>
      <c r="F195" s="4">
        <v>6022</v>
      </c>
      <c r="G195" s="2" t="s">
        <v>37</v>
      </c>
      <c r="H195" s="2" t="s">
        <v>34</v>
      </c>
      <c r="I195" s="2" t="s">
        <v>138</v>
      </c>
      <c r="J195" s="2" t="s">
        <v>139</v>
      </c>
      <c r="K195" s="2" t="s">
        <v>53</v>
      </c>
      <c r="L195" s="2" t="s">
        <v>139</v>
      </c>
      <c r="M195" s="2"/>
      <c r="N195" s="2"/>
      <c r="O195" s="2"/>
      <c r="P195" s="2" t="s">
        <v>827</v>
      </c>
      <c r="Q195" s="2"/>
      <c r="R195" s="6">
        <v>12.3</v>
      </c>
      <c r="S195" s="5">
        <v>1.8</v>
      </c>
      <c r="T195" s="2"/>
      <c r="U195" s="5">
        <v>8.1999999999999993</v>
      </c>
      <c r="V195" s="2"/>
      <c r="W195" s="6">
        <v>7.75</v>
      </c>
      <c r="X195" s="6">
        <v>7.75</v>
      </c>
      <c r="Y195" s="6">
        <v>7.75</v>
      </c>
      <c r="Z195" s="6">
        <v>7.75</v>
      </c>
      <c r="AA195" s="2"/>
      <c r="AB195" s="7">
        <v>30.033999999999999</v>
      </c>
      <c r="AC195" s="2"/>
    </row>
    <row r="196" spans="1:29" ht="156" x14ac:dyDescent="0.15">
      <c r="A196" s="3">
        <f>DATE(1990,5,30)</f>
        <v>33023</v>
      </c>
      <c r="B196" s="3">
        <f>DATE(1990,8,16)</f>
        <v>33101</v>
      </c>
      <c r="C196" s="2" t="s">
        <v>95</v>
      </c>
      <c r="D196" s="2" t="s">
        <v>828</v>
      </c>
      <c r="E196" s="2" t="s">
        <v>829</v>
      </c>
      <c r="F196" s="4">
        <v>1711</v>
      </c>
      <c r="G196" s="2" t="s">
        <v>341</v>
      </c>
      <c r="H196" s="2" t="s">
        <v>34</v>
      </c>
      <c r="I196" s="2" t="s">
        <v>830</v>
      </c>
      <c r="J196" s="2" t="s">
        <v>831</v>
      </c>
      <c r="K196" s="2" t="s">
        <v>125</v>
      </c>
      <c r="L196" s="2" t="s">
        <v>34</v>
      </c>
      <c r="M196" s="2"/>
      <c r="N196" s="7">
        <v>101.125</v>
      </c>
      <c r="O196" s="5">
        <v>101.5</v>
      </c>
      <c r="P196" s="2" t="s">
        <v>832</v>
      </c>
      <c r="Q196" s="6">
        <v>100</v>
      </c>
      <c r="R196" s="6">
        <v>11</v>
      </c>
      <c r="S196" s="5">
        <v>-53.8</v>
      </c>
      <c r="T196" s="7">
        <v>-22.297000000000001</v>
      </c>
      <c r="U196" s="5">
        <v>11.4</v>
      </c>
      <c r="V196" s="6">
        <v>-13.74</v>
      </c>
      <c r="W196" s="7">
        <v>22.125</v>
      </c>
      <c r="X196" s="6">
        <v>22.25</v>
      </c>
      <c r="Y196" s="6">
        <v>25.25</v>
      </c>
      <c r="Z196" s="5">
        <v>26.5</v>
      </c>
      <c r="AA196" s="6">
        <v>3.67</v>
      </c>
      <c r="AB196" s="2" t="s">
        <v>86</v>
      </c>
      <c r="AC196" s="6">
        <v>168.16</v>
      </c>
    </row>
    <row r="197" spans="1:29" ht="78" x14ac:dyDescent="0.15">
      <c r="A197" s="3">
        <f>DATE(1990,5,30)</f>
        <v>33023</v>
      </c>
      <c r="B197" s="3">
        <f>DATE(1990,10,15)</f>
        <v>33161</v>
      </c>
      <c r="C197" s="2" t="s">
        <v>95</v>
      </c>
      <c r="D197" s="2" t="s">
        <v>833</v>
      </c>
      <c r="E197" s="2" t="s">
        <v>834</v>
      </c>
      <c r="F197" s="4">
        <v>3944</v>
      </c>
      <c r="G197" s="2" t="s">
        <v>112</v>
      </c>
      <c r="H197" s="2" t="s">
        <v>34</v>
      </c>
      <c r="I197" s="2" t="s">
        <v>835</v>
      </c>
      <c r="J197" s="2" t="s">
        <v>836</v>
      </c>
      <c r="K197" s="2" t="s">
        <v>112</v>
      </c>
      <c r="L197" s="2" t="s">
        <v>34</v>
      </c>
      <c r="M197" s="2"/>
      <c r="N197" s="7">
        <v>24.625</v>
      </c>
      <c r="O197" s="7">
        <v>27.375</v>
      </c>
      <c r="P197" s="2" t="s">
        <v>837</v>
      </c>
      <c r="Q197" s="6">
        <v>25.84</v>
      </c>
      <c r="R197" s="6">
        <v>1.25</v>
      </c>
      <c r="S197" s="5">
        <v>-1.7</v>
      </c>
      <c r="T197" s="7">
        <v>2.863</v>
      </c>
      <c r="U197" s="5">
        <v>24</v>
      </c>
      <c r="V197" s="6">
        <v>-0.24</v>
      </c>
      <c r="W197" s="7">
        <v>1.1879999999999999</v>
      </c>
      <c r="X197" s="4">
        <v>1</v>
      </c>
      <c r="Y197" s="4">
        <v>1</v>
      </c>
      <c r="Z197" s="6">
        <v>1.75</v>
      </c>
      <c r="AA197" s="6">
        <v>5.1100000000000003</v>
      </c>
      <c r="AB197" s="7">
        <v>10.896000000000001</v>
      </c>
      <c r="AC197" s="6">
        <v>12.98</v>
      </c>
    </row>
    <row r="198" spans="1:29" ht="26" x14ac:dyDescent="0.15">
      <c r="A198" s="3">
        <f>DATE(1990,6,1)</f>
        <v>33025</v>
      </c>
      <c r="B198" s="3">
        <f>DATE(1990,6,1)</f>
        <v>33025</v>
      </c>
      <c r="C198" s="2" t="s">
        <v>95</v>
      </c>
      <c r="D198" s="2" t="s">
        <v>838</v>
      </c>
      <c r="E198" s="2" t="s">
        <v>839</v>
      </c>
      <c r="F198" s="4">
        <v>2834</v>
      </c>
      <c r="G198" s="2" t="s">
        <v>130</v>
      </c>
      <c r="H198" s="2" t="s">
        <v>34</v>
      </c>
      <c r="I198" s="2" t="s">
        <v>840</v>
      </c>
      <c r="J198" s="2" t="s">
        <v>841</v>
      </c>
      <c r="K198" s="2" t="s">
        <v>137</v>
      </c>
      <c r="L198" s="2" t="s">
        <v>34</v>
      </c>
      <c r="M198" s="2"/>
      <c r="N198" s="4">
        <v>13</v>
      </c>
      <c r="O198" s="7">
        <v>12.875</v>
      </c>
      <c r="P198" s="2" t="s">
        <v>842</v>
      </c>
      <c r="Q198" s="6">
        <v>100</v>
      </c>
      <c r="R198" s="2"/>
      <c r="S198" s="5">
        <v>-11.5</v>
      </c>
      <c r="T198" s="7">
        <v>-13.044</v>
      </c>
      <c r="U198" s="5">
        <v>0.9</v>
      </c>
      <c r="V198" s="6">
        <v>-1.59</v>
      </c>
      <c r="W198" s="7">
        <v>11.125</v>
      </c>
      <c r="X198" s="7">
        <v>10.875</v>
      </c>
      <c r="Y198" s="6">
        <v>10.75</v>
      </c>
      <c r="Z198" s="7">
        <v>10.125</v>
      </c>
      <c r="AA198" s="2"/>
      <c r="AB198" s="2" t="s">
        <v>86</v>
      </c>
      <c r="AC198" s="6">
        <v>3.01</v>
      </c>
    </row>
    <row r="199" spans="1:29" ht="91" x14ac:dyDescent="0.15">
      <c r="A199" s="3">
        <f>DATE(1990,6,1)</f>
        <v>33025</v>
      </c>
      <c r="B199" s="2"/>
      <c r="C199" s="2" t="s">
        <v>30</v>
      </c>
      <c r="D199" s="2" t="s">
        <v>843</v>
      </c>
      <c r="E199" s="2" t="s">
        <v>844</v>
      </c>
      <c r="F199" s="4">
        <v>6552</v>
      </c>
      <c r="G199" s="2" t="s">
        <v>109</v>
      </c>
      <c r="H199" s="2" t="s">
        <v>34</v>
      </c>
      <c r="I199" s="2" t="s">
        <v>845</v>
      </c>
      <c r="J199" s="2" t="s">
        <v>846</v>
      </c>
      <c r="K199" s="2" t="s">
        <v>577</v>
      </c>
      <c r="L199" s="2" t="s">
        <v>34</v>
      </c>
      <c r="M199" s="2"/>
      <c r="N199" s="2"/>
      <c r="O199" s="2"/>
      <c r="P199" s="2" t="s">
        <v>847</v>
      </c>
      <c r="Q199" s="2"/>
      <c r="R199" s="2"/>
      <c r="S199" s="5">
        <v>-2.2999999999999998</v>
      </c>
      <c r="T199" s="7">
        <v>-1.431</v>
      </c>
      <c r="U199" s="5">
        <v>9.8000000000000007</v>
      </c>
      <c r="V199" s="9">
        <v>-0.33029999999999998</v>
      </c>
      <c r="W199" s="7">
        <v>7.375</v>
      </c>
      <c r="X199" s="7">
        <v>7.5629999999999997</v>
      </c>
      <c r="Y199" s="7">
        <v>7.625</v>
      </c>
      <c r="Z199" s="7">
        <v>7.625</v>
      </c>
      <c r="AA199" s="6">
        <v>6.62</v>
      </c>
      <c r="AB199" s="2" t="s">
        <v>86</v>
      </c>
      <c r="AC199" s="2"/>
    </row>
    <row r="200" spans="1:29" ht="91" x14ac:dyDescent="0.15">
      <c r="A200" s="3">
        <f>DATE(1990,6,4)</f>
        <v>33028</v>
      </c>
      <c r="B200" s="2"/>
      <c r="C200" s="2" t="s">
        <v>30</v>
      </c>
      <c r="D200" s="2" t="s">
        <v>848</v>
      </c>
      <c r="E200" s="2" t="s">
        <v>849</v>
      </c>
      <c r="F200" s="4">
        <v>7373</v>
      </c>
      <c r="G200" s="2" t="s">
        <v>223</v>
      </c>
      <c r="H200" s="2" t="s">
        <v>34</v>
      </c>
      <c r="I200" s="2" t="s">
        <v>850</v>
      </c>
      <c r="J200" s="2" t="s">
        <v>851</v>
      </c>
      <c r="K200" s="2" t="s">
        <v>551</v>
      </c>
      <c r="L200" s="2" t="s">
        <v>34</v>
      </c>
      <c r="M200" s="2"/>
      <c r="N200" s="6">
        <v>2.25</v>
      </c>
      <c r="O200" s="6">
        <v>2.25</v>
      </c>
      <c r="P200" s="2" t="s">
        <v>852</v>
      </c>
      <c r="Q200" s="2"/>
      <c r="R200" s="2"/>
      <c r="S200" s="5">
        <v>-0.5</v>
      </c>
      <c r="T200" s="2"/>
      <c r="U200" s="5">
        <v>1</v>
      </c>
      <c r="V200" s="2"/>
      <c r="W200" s="4">
        <v>2</v>
      </c>
      <c r="X200" s="4">
        <v>2</v>
      </c>
      <c r="Y200" s="4">
        <v>2</v>
      </c>
      <c r="Z200" s="4">
        <v>2</v>
      </c>
      <c r="AA200" s="2"/>
      <c r="AB200" s="2" t="s">
        <v>86</v>
      </c>
      <c r="AC200" s="2"/>
    </row>
    <row r="201" spans="1:29" ht="143" x14ac:dyDescent="0.15">
      <c r="A201" s="3">
        <f>DATE(1990,6,4)</f>
        <v>33028</v>
      </c>
      <c r="B201" s="3">
        <f>DATE(1990,10,8)</f>
        <v>33154</v>
      </c>
      <c r="C201" s="2" t="s">
        <v>95</v>
      </c>
      <c r="D201" s="2" t="s">
        <v>853</v>
      </c>
      <c r="E201" s="2" t="s">
        <v>854</v>
      </c>
      <c r="F201" s="4">
        <v>6411</v>
      </c>
      <c r="G201" s="2" t="s">
        <v>125</v>
      </c>
      <c r="H201" s="2" t="s">
        <v>34</v>
      </c>
      <c r="I201" s="2" t="s">
        <v>855</v>
      </c>
      <c r="J201" s="2" t="s">
        <v>856</v>
      </c>
      <c r="K201" s="2" t="s">
        <v>125</v>
      </c>
      <c r="L201" s="2" t="s">
        <v>303</v>
      </c>
      <c r="M201" s="2"/>
      <c r="N201" s="2"/>
      <c r="O201" s="2"/>
      <c r="P201" s="2" t="s">
        <v>857</v>
      </c>
      <c r="Q201" s="6">
        <v>100</v>
      </c>
      <c r="R201" s="6">
        <v>41.11</v>
      </c>
      <c r="S201" s="5">
        <v>36</v>
      </c>
      <c r="T201" s="7">
        <v>76.885999999999996</v>
      </c>
      <c r="U201" s="5">
        <v>14.3</v>
      </c>
      <c r="V201" s="6">
        <v>2.1</v>
      </c>
      <c r="W201" s="6">
        <v>33.25</v>
      </c>
      <c r="X201" s="5">
        <v>36.5</v>
      </c>
      <c r="Y201" s="6">
        <v>34.25</v>
      </c>
      <c r="Z201" s="6">
        <v>33.25</v>
      </c>
      <c r="AA201" s="6">
        <v>20.350000000000001</v>
      </c>
      <c r="AB201" s="7">
        <v>7.6219999999999999</v>
      </c>
      <c r="AC201" s="2"/>
    </row>
    <row r="202" spans="1:29" ht="117" x14ac:dyDescent="0.15">
      <c r="A202" s="3">
        <f>DATE(1990,6,4)</f>
        <v>33028</v>
      </c>
      <c r="B202" s="3">
        <f>DATE(1990,6,4)</f>
        <v>33028</v>
      </c>
      <c r="C202" s="2" t="s">
        <v>95</v>
      </c>
      <c r="D202" s="2" t="s">
        <v>858</v>
      </c>
      <c r="E202" s="2" t="s">
        <v>859</v>
      </c>
      <c r="F202" s="4">
        <v>5399</v>
      </c>
      <c r="G202" s="2" t="s">
        <v>756</v>
      </c>
      <c r="H202" s="2" t="s">
        <v>34</v>
      </c>
      <c r="I202" s="2" t="s">
        <v>149</v>
      </c>
      <c r="J202" s="2" t="s">
        <v>150</v>
      </c>
      <c r="K202" s="2" t="s">
        <v>53</v>
      </c>
      <c r="L202" s="2" t="s">
        <v>151</v>
      </c>
      <c r="M202" s="2"/>
      <c r="N202" s="2"/>
      <c r="O202" s="2"/>
      <c r="P202" s="2" t="s">
        <v>860</v>
      </c>
      <c r="Q202" s="6">
        <v>5.86</v>
      </c>
      <c r="R202" s="6">
        <v>3.53</v>
      </c>
      <c r="S202" s="5">
        <v>-0.8</v>
      </c>
      <c r="T202" s="2"/>
      <c r="U202" s="5">
        <v>1.7</v>
      </c>
      <c r="V202" s="2"/>
      <c r="W202" s="7">
        <v>1.625</v>
      </c>
      <c r="X202" s="7">
        <v>1.4379999999999999</v>
      </c>
      <c r="Y202" s="7">
        <v>1.375</v>
      </c>
      <c r="Z202" s="7">
        <v>1.375</v>
      </c>
      <c r="AA202" s="6">
        <v>7.03</v>
      </c>
      <c r="AB202" s="2" t="s">
        <v>86</v>
      </c>
      <c r="AC202" s="2"/>
    </row>
    <row r="203" spans="1:29" ht="156" x14ac:dyDescent="0.15">
      <c r="A203" s="3">
        <f>DATE(1990,6,5)</f>
        <v>33029</v>
      </c>
      <c r="B203" s="3">
        <f>DATE(1990,8,22)</f>
        <v>33107</v>
      </c>
      <c r="C203" s="2" t="s">
        <v>95</v>
      </c>
      <c r="D203" s="2" t="s">
        <v>861</v>
      </c>
      <c r="E203" s="2" t="s">
        <v>862</v>
      </c>
      <c r="F203" s="4">
        <v>3634</v>
      </c>
      <c r="G203" s="2" t="s">
        <v>137</v>
      </c>
      <c r="H203" s="2" t="s">
        <v>34</v>
      </c>
      <c r="I203" s="2" t="s">
        <v>863</v>
      </c>
      <c r="J203" s="2" t="s">
        <v>864</v>
      </c>
      <c r="K203" s="2" t="s">
        <v>300</v>
      </c>
      <c r="L203" s="2" t="s">
        <v>303</v>
      </c>
      <c r="M203" s="2"/>
      <c r="N203" s="2"/>
      <c r="O203" s="2"/>
      <c r="P203" s="2" t="s">
        <v>865</v>
      </c>
      <c r="Q203" s="6">
        <v>100</v>
      </c>
      <c r="R203" s="6">
        <v>18.5</v>
      </c>
      <c r="S203" s="5">
        <v>-12.7</v>
      </c>
      <c r="T203" s="7">
        <v>42.381</v>
      </c>
      <c r="U203" s="5">
        <v>7.9</v>
      </c>
      <c r="V203" s="6">
        <v>-0.45</v>
      </c>
      <c r="W203" s="7">
        <v>20.875</v>
      </c>
      <c r="X203" s="4">
        <v>20</v>
      </c>
      <c r="Y203" s="7">
        <v>24.625</v>
      </c>
      <c r="Z203" s="7">
        <v>24.625</v>
      </c>
      <c r="AA203" s="6">
        <v>28.6</v>
      </c>
      <c r="AB203" s="7">
        <v>36.651000000000003</v>
      </c>
      <c r="AC203" s="2"/>
    </row>
    <row r="204" spans="1:29" ht="39" x14ac:dyDescent="0.15">
      <c r="A204" s="3">
        <f>DATE(1990,6,6)</f>
        <v>33030</v>
      </c>
      <c r="B204" s="2"/>
      <c r="C204" s="2" t="s">
        <v>30</v>
      </c>
      <c r="D204" s="2" t="s">
        <v>866</v>
      </c>
      <c r="E204" s="2" t="s">
        <v>867</v>
      </c>
      <c r="F204" s="4">
        <v>7373</v>
      </c>
      <c r="G204" s="2" t="s">
        <v>223</v>
      </c>
      <c r="H204" s="2" t="s">
        <v>34</v>
      </c>
      <c r="I204" s="2" t="s">
        <v>868</v>
      </c>
      <c r="J204" s="2" t="s">
        <v>869</v>
      </c>
      <c r="K204" s="2" t="s">
        <v>53</v>
      </c>
      <c r="L204" s="2" t="s">
        <v>34</v>
      </c>
      <c r="M204" s="2"/>
      <c r="N204" s="5">
        <v>17.5</v>
      </c>
      <c r="O204" s="7">
        <v>17.875</v>
      </c>
      <c r="P204" s="2" t="s">
        <v>870</v>
      </c>
      <c r="Q204" s="2"/>
      <c r="R204" s="6">
        <v>4</v>
      </c>
      <c r="S204" s="5">
        <v>0.9</v>
      </c>
      <c r="T204" s="2"/>
      <c r="U204" s="5">
        <v>2.4</v>
      </c>
      <c r="V204" s="6">
        <v>0.26</v>
      </c>
      <c r="W204" s="7">
        <v>2.625</v>
      </c>
      <c r="X204" s="5">
        <v>2.5</v>
      </c>
      <c r="Y204" s="4">
        <v>3</v>
      </c>
      <c r="Z204" s="7">
        <v>3.375</v>
      </c>
      <c r="AA204" s="6">
        <v>3.5</v>
      </c>
      <c r="AB204" s="7">
        <v>8.3490000000000002</v>
      </c>
      <c r="AC204" s="2"/>
    </row>
    <row r="205" spans="1:29" ht="65" x14ac:dyDescent="0.15">
      <c r="A205" s="3">
        <f>DATE(1990,6,8)</f>
        <v>33032</v>
      </c>
      <c r="B205" s="2"/>
      <c r="C205" s="2" t="s">
        <v>189</v>
      </c>
      <c r="D205" s="2" t="s">
        <v>871</v>
      </c>
      <c r="E205" s="2" t="s">
        <v>872</v>
      </c>
      <c r="F205" s="4">
        <v>3821</v>
      </c>
      <c r="G205" s="2" t="s">
        <v>226</v>
      </c>
      <c r="H205" s="2" t="s">
        <v>34</v>
      </c>
      <c r="I205" s="2" t="s">
        <v>143</v>
      </c>
      <c r="J205" s="2" t="s">
        <v>144</v>
      </c>
      <c r="K205" s="2" t="s">
        <v>53</v>
      </c>
      <c r="L205" s="2" t="s">
        <v>139</v>
      </c>
      <c r="M205" s="2"/>
      <c r="N205" s="2"/>
      <c r="O205" s="2"/>
      <c r="P205" s="2" t="s">
        <v>873</v>
      </c>
      <c r="Q205" s="2"/>
      <c r="R205" s="2"/>
      <c r="S205" s="5">
        <v>-24.2</v>
      </c>
      <c r="T205" s="7">
        <v>84.745000000000005</v>
      </c>
      <c r="U205" s="5">
        <v>14.1</v>
      </c>
      <c r="V205" s="6">
        <v>-0.56000000000000005</v>
      </c>
      <c r="W205" s="4">
        <v>24</v>
      </c>
      <c r="X205" s="5">
        <v>24.5</v>
      </c>
      <c r="Y205" s="5">
        <v>24.5</v>
      </c>
      <c r="Z205" s="7">
        <v>24.875</v>
      </c>
      <c r="AA205" s="2"/>
      <c r="AB205" s="2" t="s">
        <v>47</v>
      </c>
      <c r="AC205" s="2"/>
    </row>
    <row r="206" spans="1:29" ht="39" x14ac:dyDescent="0.15">
      <c r="A206" s="3">
        <f>DATE(1990,6,11)</f>
        <v>33035</v>
      </c>
      <c r="B206" s="2"/>
      <c r="C206" s="2" t="s">
        <v>30</v>
      </c>
      <c r="D206" s="2" t="s">
        <v>31</v>
      </c>
      <c r="E206" s="2" t="s">
        <v>32</v>
      </c>
      <c r="F206" s="4">
        <v>6035</v>
      </c>
      <c r="G206" s="2" t="s">
        <v>33</v>
      </c>
      <c r="H206" s="2" t="s">
        <v>34</v>
      </c>
      <c r="I206" s="2" t="s">
        <v>138</v>
      </c>
      <c r="J206" s="2" t="s">
        <v>139</v>
      </c>
      <c r="K206" s="2" t="s">
        <v>53</v>
      </c>
      <c r="L206" s="2" t="s">
        <v>139</v>
      </c>
      <c r="M206" s="2"/>
      <c r="N206" s="2"/>
      <c r="O206" s="2"/>
      <c r="P206" s="2" t="s">
        <v>874</v>
      </c>
      <c r="Q206" s="2"/>
      <c r="R206" s="2"/>
      <c r="S206" s="5">
        <v>3.4</v>
      </c>
      <c r="T206" s="7">
        <v>5.4089999999999998</v>
      </c>
      <c r="U206" s="5">
        <v>23.6</v>
      </c>
      <c r="V206" s="6">
        <v>2.85</v>
      </c>
      <c r="W206" s="6">
        <v>29.75</v>
      </c>
      <c r="X206" s="4">
        <v>31</v>
      </c>
      <c r="Y206" s="5">
        <v>32.5</v>
      </c>
      <c r="Z206" s="4">
        <v>32</v>
      </c>
      <c r="AA206" s="2"/>
      <c r="AB206" s="2" t="s">
        <v>47</v>
      </c>
      <c r="AC206" s="2"/>
    </row>
    <row r="207" spans="1:29" ht="39" x14ac:dyDescent="0.15">
      <c r="A207" s="3">
        <f>DATE(1990,6,12)</f>
        <v>33036</v>
      </c>
      <c r="B207" s="3">
        <f>DATE(1990,8,31)</f>
        <v>33116</v>
      </c>
      <c r="C207" s="2" t="s">
        <v>95</v>
      </c>
      <c r="D207" s="2" t="s">
        <v>875</v>
      </c>
      <c r="E207" s="2" t="s">
        <v>876</v>
      </c>
      <c r="F207" s="4">
        <v>5621</v>
      </c>
      <c r="G207" s="2" t="s">
        <v>756</v>
      </c>
      <c r="H207" s="2" t="s">
        <v>34</v>
      </c>
      <c r="I207" s="2" t="s">
        <v>877</v>
      </c>
      <c r="J207" s="2" t="s">
        <v>878</v>
      </c>
      <c r="K207" s="2" t="s">
        <v>756</v>
      </c>
      <c r="L207" s="2" t="s">
        <v>34</v>
      </c>
      <c r="M207" s="2"/>
      <c r="N207" s="6">
        <v>3.25</v>
      </c>
      <c r="O207" s="6">
        <v>3.25</v>
      </c>
      <c r="P207" s="2" t="s">
        <v>879</v>
      </c>
      <c r="Q207" s="6">
        <v>100</v>
      </c>
      <c r="R207" s="2"/>
      <c r="S207" s="5">
        <v>-30.3</v>
      </c>
      <c r="T207" s="2"/>
      <c r="U207" s="5">
        <v>2.2999999999999998</v>
      </c>
      <c r="V207" s="2"/>
      <c r="W207" s="4">
        <v>1</v>
      </c>
      <c r="X207" s="6">
        <v>1.25</v>
      </c>
      <c r="Y207" s="4">
        <v>2</v>
      </c>
      <c r="Z207" s="6">
        <v>1.25</v>
      </c>
      <c r="AA207" s="6">
        <v>7.6</v>
      </c>
      <c r="AB207" s="2" t="s">
        <v>86</v>
      </c>
      <c r="AC207" s="2"/>
    </row>
    <row r="208" spans="1:29" ht="130" x14ac:dyDescent="0.15">
      <c r="A208" s="3">
        <f>DATE(1990,6,12)</f>
        <v>33036</v>
      </c>
      <c r="B208" s="2"/>
      <c r="C208" s="2" t="s">
        <v>30</v>
      </c>
      <c r="D208" s="2" t="s">
        <v>880</v>
      </c>
      <c r="E208" s="2" t="s">
        <v>881</v>
      </c>
      <c r="F208" s="4">
        <v>3531</v>
      </c>
      <c r="G208" s="2" t="s">
        <v>300</v>
      </c>
      <c r="H208" s="2" t="s">
        <v>34</v>
      </c>
      <c r="I208" s="2" t="s">
        <v>51</v>
      </c>
      <c r="J208" s="2" t="s">
        <v>52</v>
      </c>
      <c r="K208" s="2" t="s">
        <v>53</v>
      </c>
      <c r="L208" s="2" t="s">
        <v>34</v>
      </c>
      <c r="M208" s="2"/>
      <c r="N208" s="2"/>
      <c r="O208" s="2"/>
      <c r="P208" s="2" t="s">
        <v>882</v>
      </c>
      <c r="Q208" s="2"/>
      <c r="R208" s="6">
        <v>4</v>
      </c>
      <c r="S208" s="5">
        <v>4.3</v>
      </c>
      <c r="T208" s="7">
        <v>7.7060000000000004</v>
      </c>
      <c r="U208" s="5">
        <v>1.9</v>
      </c>
      <c r="V208" s="6">
        <v>0.64</v>
      </c>
      <c r="W208" s="6">
        <v>2.75</v>
      </c>
      <c r="X208" s="6">
        <v>2.75</v>
      </c>
      <c r="Y208" s="6">
        <v>2.75</v>
      </c>
      <c r="Z208" s="6">
        <v>2.75</v>
      </c>
      <c r="AA208" s="6">
        <v>6.35</v>
      </c>
      <c r="AB208" s="7">
        <v>7.7030000000000003</v>
      </c>
      <c r="AC208" s="2"/>
    </row>
    <row r="209" spans="1:29" ht="104" x14ac:dyDescent="0.15">
      <c r="A209" s="3">
        <f>DATE(1990,6,14)</f>
        <v>33038</v>
      </c>
      <c r="B209" s="2"/>
      <c r="C209" s="2" t="s">
        <v>30</v>
      </c>
      <c r="D209" s="2" t="s">
        <v>883</v>
      </c>
      <c r="E209" s="2" t="s">
        <v>515</v>
      </c>
      <c r="F209" s="4">
        <v>6331</v>
      </c>
      <c r="G209" s="2" t="s">
        <v>125</v>
      </c>
      <c r="H209" s="2" t="s">
        <v>34</v>
      </c>
      <c r="I209" s="2" t="s">
        <v>884</v>
      </c>
      <c r="J209" s="2" t="s">
        <v>124</v>
      </c>
      <c r="K209" s="2" t="s">
        <v>125</v>
      </c>
      <c r="L209" s="2" t="s">
        <v>885</v>
      </c>
      <c r="M209" s="2"/>
      <c r="N209" s="2"/>
      <c r="O209" s="2"/>
      <c r="P209" s="2" t="s">
        <v>886</v>
      </c>
      <c r="Q209" s="2"/>
      <c r="R209" s="6">
        <v>32</v>
      </c>
      <c r="S209" s="5">
        <v>-3.6</v>
      </c>
      <c r="T209" s="2"/>
      <c r="U209" s="5">
        <v>5.5</v>
      </c>
      <c r="V209" s="6">
        <v>-0.1</v>
      </c>
      <c r="W209" s="4">
        <v>34</v>
      </c>
      <c r="X209" s="5">
        <v>34.5</v>
      </c>
      <c r="Y209" s="7">
        <v>38.125</v>
      </c>
      <c r="Z209" s="6">
        <v>36.25</v>
      </c>
      <c r="AA209" s="6">
        <v>12.03</v>
      </c>
      <c r="AB209" s="2" t="s">
        <v>86</v>
      </c>
      <c r="AC209" s="6">
        <v>277.05</v>
      </c>
    </row>
    <row r="210" spans="1:29" ht="156" x14ac:dyDescent="0.15">
      <c r="A210" s="3">
        <f>DATE(1990,6,15)</f>
        <v>33039</v>
      </c>
      <c r="B210" s="3">
        <f>DATE(1991,4,1)</f>
        <v>33329</v>
      </c>
      <c r="C210" s="2" t="s">
        <v>95</v>
      </c>
      <c r="D210" s="2" t="s">
        <v>887</v>
      </c>
      <c r="E210" s="2" t="s">
        <v>36</v>
      </c>
      <c r="F210" s="4">
        <v>6021</v>
      </c>
      <c r="G210" s="2" t="s">
        <v>37</v>
      </c>
      <c r="H210" s="2" t="s">
        <v>34</v>
      </c>
      <c r="I210" s="2" t="s">
        <v>888</v>
      </c>
      <c r="J210" s="2" t="s">
        <v>672</v>
      </c>
      <c r="K210" s="2" t="s">
        <v>37</v>
      </c>
      <c r="L210" s="2" t="s">
        <v>34</v>
      </c>
      <c r="M210" s="2"/>
      <c r="N210" s="5">
        <v>23.5</v>
      </c>
      <c r="O210" s="4">
        <v>23</v>
      </c>
      <c r="P210" s="2" t="s">
        <v>889</v>
      </c>
      <c r="Q210" s="6">
        <v>100</v>
      </c>
      <c r="R210" s="6">
        <v>40.78</v>
      </c>
      <c r="S210" s="5">
        <v>1.2</v>
      </c>
      <c r="T210" s="2"/>
      <c r="U210" s="5">
        <v>33.9</v>
      </c>
      <c r="V210" s="2"/>
      <c r="W210" s="4">
        <v>42</v>
      </c>
      <c r="X210" s="4">
        <v>43</v>
      </c>
      <c r="Y210" s="4">
        <v>43</v>
      </c>
      <c r="Z210" s="4">
        <v>43</v>
      </c>
      <c r="AA210" s="6">
        <v>0.48</v>
      </c>
      <c r="AB210" s="7">
        <v>110.82899999999999</v>
      </c>
      <c r="AC210" s="2"/>
    </row>
    <row r="211" spans="1:29" ht="91" x14ac:dyDescent="0.15">
      <c r="A211" s="3">
        <f>DATE(1990,6,19)</f>
        <v>33043</v>
      </c>
      <c r="B211" s="2"/>
      <c r="C211" s="2" t="s">
        <v>87</v>
      </c>
      <c r="D211" s="2" t="s">
        <v>308</v>
      </c>
      <c r="E211" s="2" t="s">
        <v>309</v>
      </c>
      <c r="F211" s="4">
        <v>3563</v>
      </c>
      <c r="G211" s="2" t="s">
        <v>300</v>
      </c>
      <c r="H211" s="2" t="s">
        <v>34</v>
      </c>
      <c r="I211" s="2" t="s">
        <v>138</v>
      </c>
      <c r="J211" s="2" t="s">
        <v>139</v>
      </c>
      <c r="K211" s="2" t="s">
        <v>53</v>
      </c>
      <c r="L211" s="2" t="s">
        <v>139</v>
      </c>
      <c r="M211" s="2"/>
      <c r="N211" s="2"/>
      <c r="O211" s="2"/>
      <c r="P211" s="2" t="s">
        <v>890</v>
      </c>
      <c r="Q211" s="2"/>
      <c r="R211" s="2"/>
      <c r="S211" s="5">
        <v>9.6</v>
      </c>
      <c r="T211" s="7">
        <v>22.222999999999999</v>
      </c>
      <c r="U211" s="5">
        <v>27.8</v>
      </c>
      <c r="V211" s="9">
        <v>3.1696</v>
      </c>
      <c r="W211" s="6">
        <v>39.25</v>
      </c>
      <c r="X211" s="6">
        <v>39.25</v>
      </c>
      <c r="Y211" s="6">
        <v>39.75</v>
      </c>
      <c r="Z211" s="4">
        <v>42</v>
      </c>
      <c r="AA211" s="6">
        <v>2.94</v>
      </c>
      <c r="AB211" s="2" t="s">
        <v>47</v>
      </c>
      <c r="AC211" s="2"/>
    </row>
    <row r="212" spans="1:29" ht="156" x14ac:dyDescent="0.15">
      <c r="A212" s="3">
        <f>DATE(1990,6,21)</f>
        <v>33045</v>
      </c>
      <c r="B212" s="3">
        <f>DATE(1990,12,28)</f>
        <v>33235</v>
      </c>
      <c r="C212" s="2" t="s">
        <v>95</v>
      </c>
      <c r="D212" s="2" t="s">
        <v>891</v>
      </c>
      <c r="E212" s="2" t="s">
        <v>892</v>
      </c>
      <c r="F212" s="4">
        <v>7323</v>
      </c>
      <c r="G212" s="2" t="s">
        <v>223</v>
      </c>
      <c r="H212" s="2" t="s">
        <v>34</v>
      </c>
      <c r="I212" s="2" t="s">
        <v>893</v>
      </c>
      <c r="J212" s="2" t="s">
        <v>894</v>
      </c>
      <c r="K212" s="2" t="s">
        <v>223</v>
      </c>
      <c r="L212" s="2" t="s">
        <v>34</v>
      </c>
      <c r="M212" s="12">
        <v>1021.794</v>
      </c>
      <c r="N212" s="5">
        <v>19.5</v>
      </c>
      <c r="O212" s="7">
        <v>19.875</v>
      </c>
      <c r="P212" s="2" t="s">
        <v>895</v>
      </c>
      <c r="Q212" s="6">
        <v>100</v>
      </c>
      <c r="R212" s="6">
        <v>63.33</v>
      </c>
      <c r="S212" s="5">
        <v>28.5</v>
      </c>
      <c r="T212" s="2"/>
      <c r="U212" s="5">
        <v>8.6999999999999993</v>
      </c>
      <c r="V212" s="6">
        <v>2.57</v>
      </c>
      <c r="W212" s="5">
        <v>40.5</v>
      </c>
      <c r="X212" s="7">
        <v>43.125</v>
      </c>
      <c r="Y212" s="5">
        <v>52.5</v>
      </c>
      <c r="Z212" s="6">
        <v>52.75</v>
      </c>
      <c r="AA212" s="6">
        <v>11.02</v>
      </c>
      <c r="AB212" s="2" t="s">
        <v>47</v>
      </c>
      <c r="AC212" s="6">
        <v>14.46</v>
      </c>
    </row>
    <row r="213" spans="1:29" ht="130" x14ac:dyDescent="0.15">
      <c r="A213" s="3">
        <f>DATE(1990,6,22)</f>
        <v>33046</v>
      </c>
      <c r="B213" s="2"/>
      <c r="C213" s="2" t="s">
        <v>141</v>
      </c>
      <c r="D213" s="2" t="s">
        <v>896</v>
      </c>
      <c r="E213" s="2" t="s">
        <v>897</v>
      </c>
      <c r="F213" s="4">
        <v>2673</v>
      </c>
      <c r="G213" s="2" t="s">
        <v>282</v>
      </c>
      <c r="H213" s="2" t="s">
        <v>34</v>
      </c>
      <c r="I213" s="2" t="s">
        <v>143</v>
      </c>
      <c r="J213" s="2" t="s">
        <v>144</v>
      </c>
      <c r="K213" s="2" t="s">
        <v>53</v>
      </c>
      <c r="L213" s="2" t="s">
        <v>139</v>
      </c>
      <c r="M213" s="2"/>
      <c r="N213" s="2"/>
      <c r="O213" s="2"/>
      <c r="P213" s="2" t="s">
        <v>898</v>
      </c>
      <c r="Q213" s="2"/>
      <c r="R213" s="2"/>
      <c r="S213" s="5">
        <v>56.2</v>
      </c>
      <c r="T213" s="7">
        <v>185.85300000000001</v>
      </c>
      <c r="U213" s="5">
        <v>9.1</v>
      </c>
      <c r="V213" s="7">
        <v>1.395</v>
      </c>
      <c r="W213" s="6">
        <v>23.25</v>
      </c>
      <c r="X213" s="7">
        <v>23.625</v>
      </c>
      <c r="Y213" s="7">
        <v>28.375</v>
      </c>
      <c r="Z213" s="6">
        <v>28.25</v>
      </c>
      <c r="AA213" s="2"/>
      <c r="AB213" s="2" t="s">
        <v>47</v>
      </c>
      <c r="AC213" s="2"/>
    </row>
    <row r="214" spans="1:29" ht="104" x14ac:dyDescent="0.15">
      <c r="A214" s="3">
        <f>DATE(1990,6,22)</f>
        <v>33046</v>
      </c>
      <c r="B214" s="3">
        <f>DATE(1990,6,22)</f>
        <v>33046</v>
      </c>
      <c r="C214" s="2" t="s">
        <v>95</v>
      </c>
      <c r="D214" s="2" t="s">
        <v>899</v>
      </c>
      <c r="E214" s="2" t="s">
        <v>900</v>
      </c>
      <c r="F214" s="4">
        <v>1499</v>
      </c>
      <c r="G214" s="2" t="s">
        <v>166</v>
      </c>
      <c r="H214" s="2" t="s">
        <v>34</v>
      </c>
      <c r="I214" s="2" t="s">
        <v>901</v>
      </c>
      <c r="J214" s="2" t="s">
        <v>900</v>
      </c>
      <c r="K214" s="2" t="s">
        <v>166</v>
      </c>
      <c r="L214" s="2" t="s">
        <v>902</v>
      </c>
      <c r="M214" s="2"/>
      <c r="N214" s="2"/>
      <c r="O214" s="2"/>
      <c r="P214" s="2" t="s">
        <v>903</v>
      </c>
      <c r="Q214" s="6">
        <v>50.99</v>
      </c>
      <c r="R214" s="2"/>
      <c r="S214" s="5">
        <v>-0.6</v>
      </c>
      <c r="T214" s="7">
        <v>1.4750000000000001</v>
      </c>
      <c r="U214" s="5">
        <v>1.4</v>
      </c>
      <c r="V214" s="6">
        <v>-0.1</v>
      </c>
      <c r="W214" s="6">
        <v>1.75</v>
      </c>
      <c r="X214" s="7">
        <v>1.8129999999999999</v>
      </c>
      <c r="Y214" s="7">
        <v>1.8129999999999999</v>
      </c>
      <c r="Z214" s="7">
        <v>1.8129999999999999</v>
      </c>
      <c r="AA214" s="6">
        <v>11.77</v>
      </c>
      <c r="AB214" s="7">
        <v>31.152999999999999</v>
      </c>
      <c r="AC214" s="2"/>
    </row>
    <row r="215" spans="1:29" ht="117" x14ac:dyDescent="0.15">
      <c r="A215" s="3">
        <f>DATE(1990,6,25)</f>
        <v>33049</v>
      </c>
      <c r="B215" s="3">
        <f>DATE(1990,9,5)</f>
        <v>33121</v>
      </c>
      <c r="C215" s="2" t="s">
        <v>95</v>
      </c>
      <c r="D215" s="2" t="s">
        <v>904</v>
      </c>
      <c r="E215" s="2" t="s">
        <v>905</v>
      </c>
      <c r="F215" s="4">
        <v>3823</v>
      </c>
      <c r="G215" s="2" t="s">
        <v>226</v>
      </c>
      <c r="H215" s="2" t="s">
        <v>34</v>
      </c>
      <c r="I215" s="2" t="s">
        <v>906</v>
      </c>
      <c r="J215" s="2" t="s">
        <v>907</v>
      </c>
      <c r="K215" s="2" t="s">
        <v>226</v>
      </c>
      <c r="L215" s="2" t="s">
        <v>34</v>
      </c>
      <c r="M215" s="2"/>
      <c r="N215" s="2"/>
      <c r="O215" s="2"/>
      <c r="P215" s="2" t="s">
        <v>908</v>
      </c>
      <c r="Q215" s="6">
        <v>100</v>
      </c>
      <c r="R215" s="6">
        <v>52</v>
      </c>
      <c r="S215" s="5">
        <v>-11.3</v>
      </c>
      <c r="T215" s="6">
        <v>19.41</v>
      </c>
      <c r="U215" s="5">
        <v>14.7</v>
      </c>
      <c r="V215" s="6">
        <v>-0.91</v>
      </c>
      <c r="W215" s="7">
        <v>24.375</v>
      </c>
      <c r="X215" s="5">
        <v>28.5</v>
      </c>
      <c r="Y215" s="4">
        <v>30</v>
      </c>
      <c r="Z215" s="7">
        <v>32.375</v>
      </c>
      <c r="AA215" s="6">
        <v>12.62</v>
      </c>
      <c r="AB215" s="2" t="s">
        <v>86</v>
      </c>
      <c r="AC215" s="2"/>
    </row>
    <row r="216" spans="1:29" ht="78" x14ac:dyDescent="0.15">
      <c r="A216" s="3">
        <f>DATE(1990,6,25)</f>
        <v>33049</v>
      </c>
      <c r="B216" s="2"/>
      <c r="C216" s="2" t="s">
        <v>82</v>
      </c>
      <c r="D216" s="2" t="s">
        <v>909</v>
      </c>
      <c r="E216" s="2" t="s">
        <v>386</v>
      </c>
      <c r="F216" s="4">
        <v>6726</v>
      </c>
      <c r="G216" s="2" t="s">
        <v>53</v>
      </c>
      <c r="H216" s="2" t="s">
        <v>34</v>
      </c>
      <c r="I216" s="2" t="s">
        <v>51</v>
      </c>
      <c r="J216" s="2" t="s">
        <v>52</v>
      </c>
      <c r="K216" s="2" t="s">
        <v>53</v>
      </c>
      <c r="L216" s="2" t="s">
        <v>34</v>
      </c>
      <c r="M216" s="2"/>
      <c r="N216" s="2"/>
      <c r="O216" s="2"/>
      <c r="P216" s="2" t="s">
        <v>910</v>
      </c>
      <c r="Q216" s="2"/>
      <c r="R216" s="2"/>
      <c r="S216" s="2"/>
      <c r="T216" s="2"/>
      <c r="U216" s="2"/>
      <c r="V216" s="2"/>
      <c r="W216" s="7">
        <v>9.875</v>
      </c>
      <c r="X216" s="7">
        <v>9.625</v>
      </c>
      <c r="Y216" s="6">
        <v>9.75</v>
      </c>
      <c r="Z216" s="4">
        <v>10</v>
      </c>
      <c r="AA216" s="6">
        <v>1.03</v>
      </c>
      <c r="AB216" s="2" t="s">
        <v>47</v>
      </c>
      <c r="AC216" s="2"/>
    </row>
    <row r="217" spans="1:29" ht="156" x14ac:dyDescent="0.15">
      <c r="A217" s="3">
        <f>DATE(1990,6,25)</f>
        <v>33049</v>
      </c>
      <c r="B217" s="3">
        <f>DATE(1990,8,31)</f>
        <v>33116</v>
      </c>
      <c r="C217" s="2" t="s">
        <v>95</v>
      </c>
      <c r="D217" s="2" t="s">
        <v>911</v>
      </c>
      <c r="E217" s="2" t="s">
        <v>912</v>
      </c>
      <c r="F217" s="4">
        <v>7359</v>
      </c>
      <c r="G217" s="2" t="s">
        <v>223</v>
      </c>
      <c r="H217" s="2" t="s">
        <v>34</v>
      </c>
      <c r="I217" s="2" t="s">
        <v>830</v>
      </c>
      <c r="J217" s="2" t="s">
        <v>831</v>
      </c>
      <c r="K217" s="2" t="s">
        <v>125</v>
      </c>
      <c r="L217" s="2" t="s">
        <v>34</v>
      </c>
      <c r="M217" s="2"/>
      <c r="N217" s="7">
        <v>96.625</v>
      </c>
      <c r="O217" s="4">
        <v>94</v>
      </c>
      <c r="P217" s="2" t="s">
        <v>913</v>
      </c>
      <c r="Q217" s="6">
        <v>100</v>
      </c>
      <c r="R217" s="6">
        <v>32.5</v>
      </c>
      <c r="S217" s="5">
        <v>80.7</v>
      </c>
      <c r="T217" s="7">
        <v>228.434</v>
      </c>
      <c r="U217" s="5">
        <v>11.2</v>
      </c>
      <c r="V217" s="6">
        <v>2.0499999999999998</v>
      </c>
      <c r="W217" s="7">
        <v>27.875</v>
      </c>
      <c r="X217" s="7">
        <v>27.625</v>
      </c>
      <c r="Y217" s="7">
        <v>27.125</v>
      </c>
      <c r="Z217" s="4">
        <v>31</v>
      </c>
      <c r="AA217" s="6">
        <v>34.24</v>
      </c>
      <c r="AB217" s="7">
        <v>27.28</v>
      </c>
      <c r="AC217" s="6">
        <v>168.16</v>
      </c>
    </row>
    <row r="218" spans="1:29" ht="65" x14ac:dyDescent="0.15">
      <c r="A218" s="3">
        <f>DATE(1990,6,25)</f>
        <v>33049</v>
      </c>
      <c r="B218" s="2"/>
      <c r="C218" s="2" t="s">
        <v>141</v>
      </c>
      <c r="D218" s="2" t="s">
        <v>914</v>
      </c>
      <c r="E218" s="2" t="s">
        <v>915</v>
      </c>
      <c r="F218" s="4">
        <v>3479</v>
      </c>
      <c r="G218" s="2" t="s">
        <v>163</v>
      </c>
      <c r="H218" s="2" t="s">
        <v>34</v>
      </c>
      <c r="I218" s="2" t="s">
        <v>143</v>
      </c>
      <c r="J218" s="2" t="s">
        <v>144</v>
      </c>
      <c r="K218" s="2" t="s">
        <v>53</v>
      </c>
      <c r="L218" s="2" t="s">
        <v>139</v>
      </c>
      <c r="M218" s="2"/>
      <c r="N218" s="2"/>
      <c r="O218" s="2"/>
      <c r="P218" s="2" t="s">
        <v>916</v>
      </c>
      <c r="Q218" s="2"/>
      <c r="R218" s="2"/>
      <c r="S218" s="5">
        <v>-30.4</v>
      </c>
      <c r="T218" s="7">
        <v>10.679</v>
      </c>
      <c r="U218" s="5">
        <v>2.2999999999999998</v>
      </c>
      <c r="V218" s="9">
        <v>-2.7097000000000002</v>
      </c>
      <c r="W218" s="6">
        <v>10.25</v>
      </c>
      <c r="X218" s="7">
        <v>10.375</v>
      </c>
      <c r="Y218" s="6">
        <v>13.75</v>
      </c>
      <c r="Z218" s="6">
        <v>14.25</v>
      </c>
      <c r="AA218" s="6">
        <v>4.9000000000000004</v>
      </c>
      <c r="AB218" s="2" t="s">
        <v>47</v>
      </c>
      <c r="AC218" s="2"/>
    </row>
    <row r="219" spans="1:29" ht="78" x14ac:dyDescent="0.15">
      <c r="A219" s="3">
        <f>DATE(1990,6,25)</f>
        <v>33049</v>
      </c>
      <c r="B219" s="2"/>
      <c r="C219" s="2" t="s">
        <v>30</v>
      </c>
      <c r="D219" s="2" t="s">
        <v>917</v>
      </c>
      <c r="E219" s="2" t="s">
        <v>918</v>
      </c>
      <c r="F219" s="4">
        <v>3827</v>
      </c>
      <c r="G219" s="2" t="s">
        <v>226</v>
      </c>
      <c r="H219" s="2" t="s">
        <v>34</v>
      </c>
      <c r="I219" s="2" t="s">
        <v>919</v>
      </c>
      <c r="J219" s="2" t="s">
        <v>920</v>
      </c>
      <c r="K219" s="2" t="s">
        <v>921</v>
      </c>
      <c r="L219" s="2" t="s">
        <v>34</v>
      </c>
      <c r="M219" s="2"/>
      <c r="N219" s="2"/>
      <c r="O219" s="2"/>
      <c r="P219" s="2" t="s">
        <v>922</v>
      </c>
      <c r="Q219" s="2"/>
      <c r="R219" s="2"/>
      <c r="S219" s="5">
        <v>0</v>
      </c>
      <c r="T219" s="2"/>
      <c r="U219" s="5">
        <v>2</v>
      </c>
      <c r="V219" s="2"/>
      <c r="W219" s="6">
        <v>1.25</v>
      </c>
      <c r="X219" s="7">
        <v>1.1879999999999999</v>
      </c>
      <c r="Y219" s="7">
        <v>1.0940000000000001</v>
      </c>
      <c r="Z219" s="4">
        <v>1</v>
      </c>
      <c r="AA219" s="2"/>
      <c r="AB219" s="2" t="s">
        <v>47</v>
      </c>
      <c r="AC219" s="2"/>
    </row>
    <row r="220" spans="1:29" ht="52" x14ac:dyDescent="0.15">
      <c r="A220" s="3">
        <f>DATE(1990,6,26)</f>
        <v>33050</v>
      </c>
      <c r="B220" s="3">
        <f>DATE(1990,6,26)</f>
        <v>33050</v>
      </c>
      <c r="C220" s="2" t="s">
        <v>95</v>
      </c>
      <c r="D220" s="2" t="s">
        <v>923</v>
      </c>
      <c r="E220" s="2" t="s">
        <v>924</v>
      </c>
      <c r="F220" s="4">
        <v>7373</v>
      </c>
      <c r="G220" s="2" t="s">
        <v>223</v>
      </c>
      <c r="H220" s="2" t="s">
        <v>34</v>
      </c>
      <c r="I220" s="2" t="s">
        <v>925</v>
      </c>
      <c r="J220" s="2" t="s">
        <v>302</v>
      </c>
      <c r="K220" s="2" t="s">
        <v>53</v>
      </c>
      <c r="L220" s="2" t="s">
        <v>926</v>
      </c>
      <c r="M220" s="2"/>
      <c r="N220" s="2"/>
      <c r="O220" s="2"/>
      <c r="P220" s="2" t="s">
        <v>927</v>
      </c>
      <c r="Q220" s="6">
        <v>52.4</v>
      </c>
      <c r="R220" s="6">
        <v>4</v>
      </c>
      <c r="S220" s="5">
        <v>-1.7</v>
      </c>
      <c r="T220" s="2"/>
      <c r="U220" s="5">
        <v>0.1</v>
      </c>
      <c r="V220" s="2"/>
      <c r="W220" s="5">
        <v>2.5</v>
      </c>
      <c r="X220" s="7">
        <v>2.125</v>
      </c>
      <c r="Y220" s="6">
        <v>2.25</v>
      </c>
      <c r="Z220" s="4">
        <v>2</v>
      </c>
      <c r="AA220" s="6">
        <v>9.74</v>
      </c>
      <c r="AB220" s="2" t="s">
        <v>86</v>
      </c>
      <c r="AC220" s="2"/>
    </row>
    <row r="221" spans="1:29" ht="52" x14ac:dyDescent="0.15">
      <c r="A221" s="3">
        <f>DATE(1990,6,26)</f>
        <v>33050</v>
      </c>
      <c r="B221" s="2"/>
      <c r="C221" s="2" t="s">
        <v>56</v>
      </c>
      <c r="D221" s="2" t="s">
        <v>759</v>
      </c>
      <c r="E221" s="2" t="s">
        <v>760</v>
      </c>
      <c r="F221" s="4">
        <v>3571</v>
      </c>
      <c r="G221" s="2" t="s">
        <v>50</v>
      </c>
      <c r="H221" s="2" t="s">
        <v>34</v>
      </c>
      <c r="I221" s="2" t="s">
        <v>928</v>
      </c>
      <c r="J221" s="2" t="s">
        <v>302</v>
      </c>
      <c r="K221" s="2" t="s">
        <v>53</v>
      </c>
      <c r="L221" s="2" t="s">
        <v>34</v>
      </c>
      <c r="M221" s="2"/>
      <c r="N221" s="2"/>
      <c r="O221" s="2"/>
      <c r="P221" s="2" t="s">
        <v>929</v>
      </c>
      <c r="Q221" s="2"/>
      <c r="R221" s="2"/>
      <c r="S221" s="5">
        <v>0.1</v>
      </c>
      <c r="T221" s="7">
        <v>11.784000000000001</v>
      </c>
      <c r="U221" s="5">
        <v>9.1</v>
      </c>
      <c r="V221" s="6">
        <v>0.01</v>
      </c>
      <c r="W221" s="6">
        <v>5.25</v>
      </c>
      <c r="X221" s="7">
        <v>6.125</v>
      </c>
      <c r="Y221" s="4">
        <v>6</v>
      </c>
      <c r="Z221" s="7">
        <v>6.375</v>
      </c>
      <c r="AA221" s="6">
        <v>9.49</v>
      </c>
      <c r="AB221" s="2" t="s">
        <v>47</v>
      </c>
      <c r="AC221" s="2"/>
    </row>
    <row r="222" spans="1:29" ht="52" x14ac:dyDescent="0.15">
      <c r="A222" s="3">
        <f>DATE(1990,6,27)</f>
        <v>33051</v>
      </c>
      <c r="B222" s="2"/>
      <c r="C222" s="2" t="s">
        <v>189</v>
      </c>
      <c r="D222" s="2" t="s">
        <v>930</v>
      </c>
      <c r="E222" s="2" t="s">
        <v>36</v>
      </c>
      <c r="F222" s="4">
        <v>6036</v>
      </c>
      <c r="G222" s="2" t="s">
        <v>33</v>
      </c>
      <c r="H222" s="2" t="s">
        <v>34</v>
      </c>
      <c r="I222" s="2" t="s">
        <v>143</v>
      </c>
      <c r="J222" s="2" t="s">
        <v>144</v>
      </c>
      <c r="K222" s="2" t="s">
        <v>53</v>
      </c>
      <c r="L222" s="2" t="s">
        <v>139</v>
      </c>
      <c r="M222" s="2"/>
      <c r="N222" s="2"/>
      <c r="O222" s="2"/>
      <c r="P222" s="2" t="s">
        <v>931</v>
      </c>
      <c r="Q222" s="2"/>
      <c r="R222" s="2"/>
      <c r="S222" s="5">
        <v>4.2</v>
      </c>
      <c r="T222" s="2"/>
      <c r="U222" s="5">
        <v>24.4</v>
      </c>
      <c r="V222" s="2"/>
      <c r="W222" s="6">
        <v>10.75</v>
      </c>
      <c r="X222" s="5">
        <v>10.5</v>
      </c>
      <c r="Y222" s="6">
        <v>10.25</v>
      </c>
      <c r="Z222" s="5">
        <v>10.5</v>
      </c>
      <c r="AA222" s="2"/>
      <c r="AB222" s="2" t="s">
        <v>47</v>
      </c>
      <c r="AC222" s="2"/>
    </row>
    <row r="223" spans="1:29" ht="78" x14ac:dyDescent="0.15">
      <c r="A223" s="3">
        <f>DATE(1990,6,27)</f>
        <v>33051</v>
      </c>
      <c r="B223" s="2"/>
      <c r="C223" s="2" t="s">
        <v>30</v>
      </c>
      <c r="D223" s="2" t="s">
        <v>932</v>
      </c>
      <c r="E223" s="2" t="s">
        <v>203</v>
      </c>
      <c r="F223" s="4">
        <v>6036</v>
      </c>
      <c r="G223" s="2" t="s">
        <v>33</v>
      </c>
      <c r="H223" s="2" t="s">
        <v>34</v>
      </c>
      <c r="I223" s="2" t="s">
        <v>933</v>
      </c>
      <c r="J223" s="2" t="s">
        <v>36</v>
      </c>
      <c r="K223" s="2" t="s">
        <v>37</v>
      </c>
      <c r="L223" s="2" t="s">
        <v>34</v>
      </c>
      <c r="M223" s="2"/>
      <c r="N223" s="5">
        <v>17.5</v>
      </c>
      <c r="O223" s="4">
        <v>18</v>
      </c>
      <c r="P223" s="2" t="s">
        <v>934</v>
      </c>
      <c r="Q223" s="2"/>
      <c r="R223" s="6">
        <v>15.48</v>
      </c>
      <c r="S223" s="5">
        <v>1.8</v>
      </c>
      <c r="T223" s="2"/>
      <c r="U223" s="5">
        <v>15.6</v>
      </c>
      <c r="V223" s="2"/>
      <c r="W223" s="6">
        <v>8.25</v>
      </c>
      <c r="X223" s="6">
        <v>8.75</v>
      </c>
      <c r="Y223" s="4">
        <v>12</v>
      </c>
      <c r="Z223" s="6">
        <v>12.25</v>
      </c>
      <c r="AA223" s="6">
        <v>1.1599999999999999</v>
      </c>
      <c r="AB223" s="7">
        <v>8.3219999999999992</v>
      </c>
      <c r="AC223" s="2"/>
    </row>
    <row r="224" spans="1:29" ht="117" x14ac:dyDescent="0.15">
      <c r="A224" s="3">
        <f>DATE(1990,6,28)</f>
        <v>33052</v>
      </c>
      <c r="B224" s="3">
        <f>DATE(1990,9,7)</f>
        <v>33123</v>
      </c>
      <c r="C224" s="2" t="s">
        <v>95</v>
      </c>
      <c r="D224" s="2" t="s">
        <v>935</v>
      </c>
      <c r="E224" s="2" t="s">
        <v>936</v>
      </c>
      <c r="F224" s="4">
        <v>3571</v>
      </c>
      <c r="G224" s="2" t="s">
        <v>50</v>
      </c>
      <c r="H224" s="2" t="s">
        <v>34</v>
      </c>
      <c r="I224" s="2" t="s">
        <v>937</v>
      </c>
      <c r="J224" s="2" t="s">
        <v>938</v>
      </c>
      <c r="K224" s="2" t="s">
        <v>50</v>
      </c>
      <c r="L224" s="2" t="s">
        <v>210</v>
      </c>
      <c r="M224" s="2"/>
      <c r="N224" s="2"/>
      <c r="O224" s="2"/>
      <c r="P224" s="2" t="s">
        <v>939</v>
      </c>
      <c r="Q224" s="6">
        <v>100</v>
      </c>
      <c r="R224" s="6">
        <v>8.35</v>
      </c>
      <c r="S224" s="5">
        <v>-5</v>
      </c>
      <c r="T224" s="7">
        <v>-11.683999999999999</v>
      </c>
      <c r="U224" s="5">
        <v>9.3000000000000007</v>
      </c>
      <c r="V224" s="6">
        <v>-0.43</v>
      </c>
      <c r="W224" s="6">
        <v>5.75</v>
      </c>
      <c r="X224" s="7">
        <v>7.375</v>
      </c>
      <c r="Y224" s="7">
        <v>7.625</v>
      </c>
      <c r="Z224" s="5">
        <v>7.5</v>
      </c>
      <c r="AA224" s="6">
        <v>10.84</v>
      </c>
      <c r="AB224" s="2" t="s">
        <v>86</v>
      </c>
      <c r="AC224" s="2"/>
    </row>
    <row r="225" spans="1:29" ht="143" x14ac:dyDescent="0.15">
      <c r="A225" s="3">
        <f>DATE(1990,6,28)</f>
        <v>33052</v>
      </c>
      <c r="B225" s="3">
        <f>DATE(1991,3,22)</f>
        <v>33319</v>
      </c>
      <c r="C225" s="2" t="s">
        <v>95</v>
      </c>
      <c r="D225" s="2" t="s">
        <v>259</v>
      </c>
      <c r="E225" s="2" t="s">
        <v>260</v>
      </c>
      <c r="F225" s="4">
        <v>2879</v>
      </c>
      <c r="G225" s="2" t="s">
        <v>98</v>
      </c>
      <c r="H225" s="2" t="s">
        <v>34</v>
      </c>
      <c r="I225" s="2" t="s">
        <v>149</v>
      </c>
      <c r="J225" s="2" t="s">
        <v>150</v>
      </c>
      <c r="K225" s="2" t="s">
        <v>53</v>
      </c>
      <c r="L225" s="2" t="s">
        <v>151</v>
      </c>
      <c r="M225" s="2"/>
      <c r="N225" s="2"/>
      <c r="O225" s="2"/>
      <c r="P225" s="2" t="s">
        <v>940</v>
      </c>
      <c r="Q225" s="6">
        <v>60.89</v>
      </c>
      <c r="R225" s="6">
        <v>4.88</v>
      </c>
      <c r="S225" s="5">
        <v>-8.1999999999999993</v>
      </c>
      <c r="T225" s="2"/>
      <c r="U225" s="5">
        <v>0.5</v>
      </c>
      <c r="V225" s="2"/>
      <c r="W225" s="6">
        <v>2.25</v>
      </c>
      <c r="X225" s="5">
        <v>2.5</v>
      </c>
      <c r="Y225" s="7">
        <v>2.375</v>
      </c>
      <c r="Z225" s="7">
        <v>2.625</v>
      </c>
      <c r="AA225" s="6">
        <v>17.399999999999999</v>
      </c>
      <c r="AB225" s="2" t="s">
        <v>86</v>
      </c>
      <c r="AC225" s="2"/>
    </row>
    <row r="226" spans="1:29" ht="78" x14ac:dyDescent="0.15">
      <c r="A226" s="3">
        <f>DATE(1990,6,29)</f>
        <v>33053</v>
      </c>
      <c r="B226" s="2"/>
      <c r="C226" s="2" t="s">
        <v>30</v>
      </c>
      <c r="D226" s="2" t="s">
        <v>691</v>
      </c>
      <c r="E226" s="2" t="s">
        <v>692</v>
      </c>
      <c r="F226" s="4">
        <v>8351</v>
      </c>
      <c r="G226" s="2" t="s">
        <v>690</v>
      </c>
      <c r="H226" s="2" t="s">
        <v>34</v>
      </c>
      <c r="I226" s="2" t="s">
        <v>278</v>
      </c>
      <c r="J226" s="2" t="s">
        <v>52</v>
      </c>
      <c r="K226" s="2" t="s">
        <v>53</v>
      </c>
      <c r="L226" s="2" t="s">
        <v>34</v>
      </c>
      <c r="M226" s="2"/>
      <c r="N226" s="2"/>
      <c r="O226" s="2"/>
      <c r="P226" s="2" t="s">
        <v>941</v>
      </c>
      <c r="Q226" s="2"/>
      <c r="R226" s="2"/>
      <c r="S226" s="5">
        <v>-0.1</v>
      </c>
      <c r="T226" s="2"/>
      <c r="U226" s="5">
        <v>1.2</v>
      </c>
      <c r="V226" s="2"/>
      <c r="W226" s="4">
        <v>3</v>
      </c>
      <c r="X226" s="4">
        <v>3</v>
      </c>
      <c r="Y226" s="4">
        <v>3</v>
      </c>
      <c r="Z226" s="4">
        <v>3</v>
      </c>
      <c r="AA226" s="2"/>
      <c r="AB226" s="2" t="s">
        <v>86</v>
      </c>
      <c r="AC226" s="2"/>
    </row>
    <row r="227" spans="1:29" ht="117" x14ac:dyDescent="0.15">
      <c r="A227" s="3">
        <f>DATE(1990,6,29)</f>
        <v>33053</v>
      </c>
      <c r="B227" s="3">
        <f>DATE(1990,8,20)</f>
        <v>33105</v>
      </c>
      <c r="C227" s="2" t="s">
        <v>95</v>
      </c>
      <c r="D227" s="2" t="s">
        <v>942</v>
      </c>
      <c r="E227" s="2" t="s">
        <v>943</v>
      </c>
      <c r="F227" s="4">
        <v>5072</v>
      </c>
      <c r="G227" s="2" t="s">
        <v>76</v>
      </c>
      <c r="H227" s="2" t="s">
        <v>34</v>
      </c>
      <c r="I227" s="2" t="s">
        <v>278</v>
      </c>
      <c r="J227" s="2" t="s">
        <v>52</v>
      </c>
      <c r="K227" s="2" t="s">
        <v>53</v>
      </c>
      <c r="L227" s="2" t="s">
        <v>34</v>
      </c>
      <c r="M227" s="2"/>
      <c r="N227" s="2"/>
      <c r="O227" s="2"/>
      <c r="P227" s="2" t="s">
        <v>944</v>
      </c>
      <c r="Q227" s="6">
        <v>58</v>
      </c>
      <c r="R227" s="2"/>
      <c r="S227" s="5">
        <v>3.1</v>
      </c>
      <c r="T227" s="7">
        <v>6.5309999999999997</v>
      </c>
      <c r="U227" s="5">
        <v>1.9</v>
      </c>
      <c r="V227" s="6">
        <v>0.75</v>
      </c>
      <c r="W227" s="5">
        <v>9.5</v>
      </c>
      <c r="X227" s="6">
        <v>11.25</v>
      </c>
      <c r="Y227" s="4">
        <v>11</v>
      </c>
      <c r="Z227" s="6">
        <v>11.25</v>
      </c>
      <c r="AA227" s="2"/>
      <c r="AB227" s="7">
        <v>4.931</v>
      </c>
      <c r="AC227" s="2"/>
    </row>
    <row r="228" spans="1:29" ht="156" x14ac:dyDescent="0.15">
      <c r="A228" s="3">
        <f>DATE(1990,6,29)</f>
        <v>33053</v>
      </c>
      <c r="B228" s="3">
        <f>DATE(1991,1,8)</f>
        <v>33246</v>
      </c>
      <c r="C228" s="2" t="s">
        <v>95</v>
      </c>
      <c r="D228" s="2" t="s">
        <v>945</v>
      </c>
      <c r="E228" s="2" t="s">
        <v>946</v>
      </c>
      <c r="F228" s="4">
        <v>3586</v>
      </c>
      <c r="G228" s="2" t="s">
        <v>300</v>
      </c>
      <c r="H228" s="2" t="s">
        <v>34</v>
      </c>
      <c r="I228" s="2" t="s">
        <v>947</v>
      </c>
      <c r="J228" s="2" t="s">
        <v>948</v>
      </c>
      <c r="K228" s="2" t="s">
        <v>219</v>
      </c>
      <c r="L228" s="2" t="s">
        <v>34</v>
      </c>
      <c r="M228" s="2"/>
      <c r="N228" s="5">
        <v>35.5</v>
      </c>
      <c r="O228" s="7">
        <v>34.875</v>
      </c>
      <c r="P228" s="2" t="s">
        <v>949</v>
      </c>
      <c r="Q228" s="6">
        <v>85.14</v>
      </c>
      <c r="R228" s="6">
        <v>28</v>
      </c>
      <c r="S228" s="5">
        <v>8.6</v>
      </c>
      <c r="T228" s="7">
        <v>15.249000000000001</v>
      </c>
      <c r="U228" s="5">
        <v>9</v>
      </c>
      <c r="V228" s="6">
        <v>1.52</v>
      </c>
      <c r="W228" s="7">
        <v>19.125</v>
      </c>
      <c r="X228" s="4">
        <v>23</v>
      </c>
      <c r="Y228" s="7">
        <v>22.875</v>
      </c>
      <c r="Z228" s="5">
        <v>25.5</v>
      </c>
      <c r="AA228" s="6">
        <v>5.36</v>
      </c>
      <c r="AB228" s="7">
        <v>15.077999999999999</v>
      </c>
      <c r="AC228" s="6">
        <v>17.97</v>
      </c>
    </row>
    <row r="229" spans="1:29" ht="169" x14ac:dyDescent="0.15">
      <c r="A229" s="3">
        <f>DATE(1990,7,2)</f>
        <v>33056</v>
      </c>
      <c r="B229" s="3">
        <f>DATE(1990,8,22)</f>
        <v>33107</v>
      </c>
      <c r="C229" s="2" t="s">
        <v>95</v>
      </c>
      <c r="D229" s="2" t="s">
        <v>950</v>
      </c>
      <c r="E229" s="2" t="s">
        <v>951</v>
      </c>
      <c r="F229" s="4">
        <v>3812</v>
      </c>
      <c r="G229" s="2" t="s">
        <v>226</v>
      </c>
      <c r="H229" s="2" t="s">
        <v>34</v>
      </c>
      <c r="I229" s="2" t="s">
        <v>952</v>
      </c>
      <c r="J229" s="2" t="s">
        <v>244</v>
      </c>
      <c r="K229" s="2" t="s">
        <v>53</v>
      </c>
      <c r="L229" s="2" t="s">
        <v>34</v>
      </c>
      <c r="M229" s="2"/>
      <c r="N229" s="2"/>
      <c r="O229" s="2"/>
      <c r="P229" s="2" t="s">
        <v>953</v>
      </c>
      <c r="Q229" s="6">
        <v>95.5</v>
      </c>
      <c r="R229" s="6">
        <v>44.5</v>
      </c>
      <c r="S229" s="5">
        <v>88.4</v>
      </c>
      <c r="T229" s="7">
        <v>264.61099999999999</v>
      </c>
      <c r="U229" s="5">
        <v>17.600000000000001</v>
      </c>
      <c r="V229" s="6">
        <v>3.03</v>
      </c>
      <c r="W229" s="5">
        <v>37.5</v>
      </c>
      <c r="X229" s="6">
        <v>35.75</v>
      </c>
      <c r="Y229" s="6">
        <v>36.25</v>
      </c>
      <c r="Z229" s="7">
        <v>45.125</v>
      </c>
      <c r="AA229" s="6">
        <v>27.61</v>
      </c>
      <c r="AB229" s="7">
        <v>7.6689999999999996</v>
      </c>
      <c r="AC229" s="2"/>
    </row>
    <row r="230" spans="1:29" ht="156" x14ac:dyDescent="0.15">
      <c r="A230" s="3">
        <f>DATE(1990,7,2)</f>
        <v>33056</v>
      </c>
      <c r="B230" s="3">
        <f>DATE(1990,10,26)</f>
        <v>33172</v>
      </c>
      <c r="C230" s="2" t="s">
        <v>95</v>
      </c>
      <c r="D230" s="2" t="s">
        <v>954</v>
      </c>
      <c r="E230" s="2" t="s">
        <v>955</v>
      </c>
      <c r="F230" s="4">
        <v>5944</v>
      </c>
      <c r="G230" s="2" t="s">
        <v>73</v>
      </c>
      <c r="H230" s="2" t="s">
        <v>34</v>
      </c>
      <c r="I230" s="2" t="s">
        <v>956</v>
      </c>
      <c r="J230" s="2" t="s">
        <v>955</v>
      </c>
      <c r="K230" s="2" t="s">
        <v>73</v>
      </c>
      <c r="L230" s="2" t="s">
        <v>303</v>
      </c>
      <c r="M230" s="2"/>
      <c r="N230" s="2"/>
      <c r="O230" s="2"/>
      <c r="P230" s="2" t="s">
        <v>957</v>
      </c>
      <c r="Q230" s="6">
        <v>100</v>
      </c>
      <c r="R230" s="6">
        <v>17</v>
      </c>
      <c r="S230" s="5">
        <v>-5</v>
      </c>
      <c r="T230" s="7">
        <v>35.595999999999997</v>
      </c>
      <c r="U230" s="5">
        <v>3.4</v>
      </c>
      <c r="V230" s="6">
        <v>-0.39</v>
      </c>
      <c r="W230" s="7">
        <v>13.125</v>
      </c>
      <c r="X230" s="7">
        <v>13.875</v>
      </c>
      <c r="Y230" s="7">
        <v>15.875</v>
      </c>
      <c r="Z230" s="7">
        <v>15.875</v>
      </c>
      <c r="AA230" s="6">
        <v>12.45</v>
      </c>
      <c r="AB230" s="7">
        <v>22.265000000000001</v>
      </c>
      <c r="AC230" s="6">
        <v>180.51</v>
      </c>
    </row>
    <row r="231" spans="1:29" ht="156" x14ac:dyDescent="0.15">
      <c r="A231" s="3">
        <f>DATE(1990,7,3)</f>
        <v>33057</v>
      </c>
      <c r="B231" s="3">
        <f>DATE(1993,5,25)</f>
        <v>34114</v>
      </c>
      <c r="C231" s="2" t="s">
        <v>95</v>
      </c>
      <c r="D231" s="2" t="s">
        <v>958</v>
      </c>
      <c r="E231" s="2" t="s">
        <v>959</v>
      </c>
      <c r="F231" s="4">
        <v>4481</v>
      </c>
      <c r="G231" s="2" t="s">
        <v>173</v>
      </c>
      <c r="H231" s="2" t="s">
        <v>34</v>
      </c>
      <c r="I231" s="2" t="s">
        <v>960</v>
      </c>
      <c r="J231" s="2" t="s">
        <v>961</v>
      </c>
      <c r="K231" s="2" t="s">
        <v>173</v>
      </c>
      <c r="L231" s="2" t="s">
        <v>34</v>
      </c>
      <c r="M231" s="2"/>
      <c r="N231" s="2"/>
      <c r="O231" s="2"/>
      <c r="P231" s="2" t="s">
        <v>962</v>
      </c>
      <c r="Q231" s="6">
        <v>63</v>
      </c>
      <c r="R231" s="6">
        <v>2.6</v>
      </c>
      <c r="S231" s="5">
        <v>1.8</v>
      </c>
      <c r="T231" s="2"/>
      <c r="U231" s="2"/>
      <c r="V231" s="2"/>
      <c r="W231" s="7">
        <v>1.9690000000000001</v>
      </c>
      <c r="X231" s="7">
        <v>2.0310000000000001</v>
      </c>
      <c r="Y231" s="7">
        <v>2.0310000000000001</v>
      </c>
      <c r="Z231" s="7">
        <v>2.0310000000000001</v>
      </c>
      <c r="AA231" s="6">
        <v>23.29</v>
      </c>
      <c r="AB231" s="7">
        <v>18.163</v>
      </c>
      <c r="AC231" s="2"/>
    </row>
    <row r="232" spans="1:29" ht="65" x14ac:dyDescent="0.15">
      <c r="A232" s="3">
        <f>DATE(1990,7,9)</f>
        <v>33063</v>
      </c>
      <c r="B232" s="2"/>
      <c r="C232" s="2" t="s">
        <v>87</v>
      </c>
      <c r="D232" s="2" t="s">
        <v>963</v>
      </c>
      <c r="E232" s="2" t="s">
        <v>964</v>
      </c>
      <c r="F232" s="4">
        <v>3411</v>
      </c>
      <c r="G232" s="2" t="s">
        <v>163</v>
      </c>
      <c r="H232" s="2" t="s">
        <v>34</v>
      </c>
      <c r="I232" s="2" t="s">
        <v>138</v>
      </c>
      <c r="J232" s="2" t="s">
        <v>139</v>
      </c>
      <c r="K232" s="2" t="s">
        <v>53</v>
      </c>
      <c r="L232" s="2" t="s">
        <v>139</v>
      </c>
      <c r="M232" s="2"/>
      <c r="N232" s="2"/>
      <c r="O232" s="2"/>
      <c r="P232" s="2" t="s">
        <v>965</v>
      </c>
      <c r="Q232" s="2"/>
      <c r="R232" s="2"/>
      <c r="S232" s="5">
        <v>94.2</v>
      </c>
      <c r="T232" s="7">
        <v>205.51300000000001</v>
      </c>
      <c r="U232" s="5">
        <v>9.4</v>
      </c>
      <c r="V232" s="9">
        <v>1.1933</v>
      </c>
      <c r="W232" s="4">
        <v>61</v>
      </c>
      <c r="X232" s="7">
        <v>60.875</v>
      </c>
      <c r="Y232" s="7">
        <v>63.125</v>
      </c>
      <c r="Z232" s="5">
        <v>60.5</v>
      </c>
      <c r="AA232" s="2"/>
      <c r="AB232" s="2" t="s">
        <v>47</v>
      </c>
      <c r="AC232" s="2"/>
    </row>
    <row r="233" spans="1:29" ht="52" x14ac:dyDescent="0.15">
      <c r="A233" s="3">
        <f>DATE(1990,7,9)</f>
        <v>33063</v>
      </c>
      <c r="B233" s="2"/>
      <c r="C233" s="2" t="s">
        <v>82</v>
      </c>
      <c r="D233" s="2" t="s">
        <v>950</v>
      </c>
      <c r="E233" s="2" t="s">
        <v>951</v>
      </c>
      <c r="F233" s="4">
        <v>3812</v>
      </c>
      <c r="G233" s="2" t="s">
        <v>226</v>
      </c>
      <c r="H233" s="2" t="s">
        <v>34</v>
      </c>
      <c r="I233" s="2" t="s">
        <v>138</v>
      </c>
      <c r="J233" s="2" t="s">
        <v>139</v>
      </c>
      <c r="K233" s="2" t="s">
        <v>53</v>
      </c>
      <c r="L233" s="2" t="s">
        <v>139</v>
      </c>
      <c r="M233" s="2"/>
      <c r="N233" s="2"/>
      <c r="O233" s="2"/>
      <c r="P233" s="2" t="s">
        <v>966</v>
      </c>
      <c r="Q233" s="2"/>
      <c r="R233" s="2"/>
      <c r="S233" s="5">
        <v>88.4</v>
      </c>
      <c r="T233" s="7">
        <v>264.61099999999999</v>
      </c>
      <c r="U233" s="5">
        <v>17.600000000000001</v>
      </c>
      <c r="V233" s="6">
        <v>3.03</v>
      </c>
      <c r="W233" s="7">
        <v>36.375</v>
      </c>
      <c r="X233" s="6">
        <v>36.25</v>
      </c>
      <c r="Y233" s="7">
        <v>45.125</v>
      </c>
      <c r="Z233" s="7">
        <v>45.625</v>
      </c>
      <c r="AA233" s="2"/>
      <c r="AB233" s="2" t="s">
        <v>47</v>
      </c>
      <c r="AC233" s="2"/>
    </row>
    <row r="234" spans="1:29" ht="52" x14ac:dyDescent="0.15">
      <c r="A234" s="3">
        <f>DATE(1990,7,11)</f>
        <v>33065</v>
      </c>
      <c r="B234" s="2"/>
      <c r="C234" s="2" t="s">
        <v>189</v>
      </c>
      <c r="D234" s="2" t="s">
        <v>967</v>
      </c>
      <c r="E234" s="2" t="s">
        <v>968</v>
      </c>
      <c r="F234" s="4">
        <v>3087</v>
      </c>
      <c r="G234" s="2" t="s">
        <v>447</v>
      </c>
      <c r="H234" s="2" t="s">
        <v>34</v>
      </c>
      <c r="I234" s="2" t="s">
        <v>143</v>
      </c>
      <c r="J234" s="2" t="s">
        <v>144</v>
      </c>
      <c r="K234" s="2" t="s">
        <v>53</v>
      </c>
      <c r="L234" s="2" t="s">
        <v>139</v>
      </c>
      <c r="M234" s="2"/>
      <c r="N234" s="2"/>
      <c r="O234" s="2"/>
      <c r="P234" s="2" t="s">
        <v>969</v>
      </c>
      <c r="Q234" s="2"/>
      <c r="R234" s="2"/>
      <c r="S234" s="2"/>
      <c r="T234" s="2"/>
      <c r="U234" s="2"/>
      <c r="V234" s="2"/>
      <c r="W234" s="7">
        <v>2.9060000000000001</v>
      </c>
      <c r="X234" s="7">
        <v>2.875</v>
      </c>
      <c r="Y234" s="7">
        <v>3.125</v>
      </c>
      <c r="Z234" s="7">
        <v>3.1560000000000001</v>
      </c>
      <c r="AA234" s="2"/>
      <c r="AB234" s="2" t="s">
        <v>47</v>
      </c>
      <c r="AC234" s="2"/>
    </row>
    <row r="235" spans="1:29" ht="156" x14ac:dyDescent="0.15">
      <c r="A235" s="3">
        <f>DATE(1990,7,12)</f>
        <v>33066</v>
      </c>
      <c r="B235" s="3">
        <f>DATE(1991,3,14)</f>
        <v>33311</v>
      </c>
      <c r="C235" s="2" t="s">
        <v>95</v>
      </c>
      <c r="D235" s="2" t="s">
        <v>970</v>
      </c>
      <c r="E235" s="2" t="s">
        <v>971</v>
      </c>
      <c r="F235" s="4">
        <v>4813</v>
      </c>
      <c r="G235" s="2" t="s">
        <v>63</v>
      </c>
      <c r="H235" s="2" t="s">
        <v>34</v>
      </c>
      <c r="I235" s="2" t="s">
        <v>972</v>
      </c>
      <c r="J235" s="2" t="s">
        <v>973</v>
      </c>
      <c r="K235" s="2" t="s">
        <v>63</v>
      </c>
      <c r="L235" s="2" t="s">
        <v>34</v>
      </c>
      <c r="M235" s="12">
        <v>21225.574000000001</v>
      </c>
      <c r="N235" s="6">
        <v>29.75</v>
      </c>
      <c r="O235" s="5">
        <v>29.5</v>
      </c>
      <c r="P235" s="2" t="s">
        <v>974</v>
      </c>
      <c r="Q235" s="6">
        <v>100</v>
      </c>
      <c r="R235" s="6">
        <v>39.369999999999997</v>
      </c>
      <c r="S235" s="5">
        <v>277</v>
      </c>
      <c r="T235" s="8">
        <v>1099</v>
      </c>
      <c r="U235" s="5">
        <v>10.5</v>
      </c>
      <c r="V235" s="6">
        <v>1.74</v>
      </c>
      <c r="W235" s="7">
        <v>27.125</v>
      </c>
      <c r="X235" s="4">
        <v>28</v>
      </c>
      <c r="Y235" s="7">
        <v>35.125</v>
      </c>
      <c r="Z235" s="4">
        <v>35</v>
      </c>
      <c r="AA235" s="6">
        <v>158.58000000000001</v>
      </c>
      <c r="AB235" s="7">
        <v>13.894</v>
      </c>
      <c r="AC235" s="2"/>
    </row>
    <row r="236" spans="1:29" ht="169" x14ac:dyDescent="0.15">
      <c r="A236" s="3">
        <f>DATE(1990,7,12)</f>
        <v>33066</v>
      </c>
      <c r="B236" s="3">
        <f>DATE(1990,9,17)</f>
        <v>33133</v>
      </c>
      <c r="C236" s="2" t="s">
        <v>95</v>
      </c>
      <c r="D236" s="2" t="s">
        <v>975</v>
      </c>
      <c r="E236" s="2" t="s">
        <v>976</v>
      </c>
      <c r="F236" s="4">
        <v>7011</v>
      </c>
      <c r="G236" s="2" t="s">
        <v>269</v>
      </c>
      <c r="H236" s="2" t="s">
        <v>34</v>
      </c>
      <c r="I236" s="2" t="s">
        <v>977</v>
      </c>
      <c r="J236" s="2" t="s">
        <v>978</v>
      </c>
      <c r="K236" s="2" t="s">
        <v>269</v>
      </c>
      <c r="L236" s="2" t="s">
        <v>133</v>
      </c>
      <c r="M236" s="2"/>
      <c r="N236" s="2"/>
      <c r="O236" s="2"/>
      <c r="P236" s="2" t="s">
        <v>979</v>
      </c>
      <c r="Q236" s="6">
        <v>100</v>
      </c>
      <c r="R236" s="6">
        <v>22.5</v>
      </c>
      <c r="S236" s="5">
        <v>11.8</v>
      </c>
      <c r="T236" s="7">
        <v>204.637</v>
      </c>
      <c r="U236" s="5">
        <v>3.2</v>
      </c>
      <c r="V236" s="6">
        <v>0.15</v>
      </c>
      <c r="W236" s="7">
        <v>17.875</v>
      </c>
      <c r="X236" s="7">
        <v>16.625</v>
      </c>
      <c r="Y236" s="6">
        <v>19.25</v>
      </c>
      <c r="Z236" s="4">
        <v>22</v>
      </c>
      <c r="AA236" s="6">
        <v>57.77</v>
      </c>
      <c r="AB236" s="7">
        <v>16.652999999999999</v>
      </c>
      <c r="AC236" s="10">
        <v>3351.13</v>
      </c>
    </row>
    <row r="237" spans="1:29" ht="104" x14ac:dyDescent="0.15">
      <c r="A237" s="3">
        <f>DATE(1990,7,12)</f>
        <v>33066</v>
      </c>
      <c r="B237" s="3">
        <f>DATE(1991,2,26)</f>
        <v>33295</v>
      </c>
      <c r="C237" s="2" t="s">
        <v>95</v>
      </c>
      <c r="D237" s="2" t="s">
        <v>980</v>
      </c>
      <c r="E237" s="2" t="s">
        <v>981</v>
      </c>
      <c r="F237" s="4">
        <v>4833</v>
      </c>
      <c r="G237" s="2" t="s">
        <v>45</v>
      </c>
      <c r="H237" s="2" t="s">
        <v>34</v>
      </c>
      <c r="I237" s="2" t="s">
        <v>40</v>
      </c>
      <c r="J237" s="2" t="s">
        <v>41</v>
      </c>
      <c r="K237" s="2" t="s">
        <v>42</v>
      </c>
      <c r="L237" s="2" t="s">
        <v>34</v>
      </c>
      <c r="M237" s="2"/>
      <c r="N237" s="6">
        <v>41.25</v>
      </c>
      <c r="O237" s="6">
        <v>42.25</v>
      </c>
      <c r="P237" s="2" t="s">
        <v>982</v>
      </c>
      <c r="Q237" s="6">
        <v>21</v>
      </c>
      <c r="R237" s="6">
        <v>9.5</v>
      </c>
      <c r="S237" s="5">
        <v>-34.200000000000003</v>
      </c>
      <c r="T237" s="7">
        <v>47.131</v>
      </c>
      <c r="U237" s="5">
        <v>-19.899999999999999</v>
      </c>
      <c r="V237" s="6">
        <v>-4.67</v>
      </c>
      <c r="W237" s="4">
        <v>5</v>
      </c>
      <c r="X237" s="5">
        <v>7.5</v>
      </c>
      <c r="Y237" s="5">
        <v>7.5</v>
      </c>
      <c r="Z237" s="5">
        <v>7.5</v>
      </c>
      <c r="AA237" s="6">
        <v>30.76</v>
      </c>
      <c r="AB237" s="2" t="s">
        <v>86</v>
      </c>
      <c r="AC237" s="8">
        <v>2597.1999999999998</v>
      </c>
    </row>
    <row r="238" spans="1:29" ht="52" x14ac:dyDescent="0.15">
      <c r="A238" s="3">
        <f>DATE(1990,7,13)</f>
        <v>33067</v>
      </c>
      <c r="B238" s="2"/>
      <c r="C238" s="2" t="s">
        <v>87</v>
      </c>
      <c r="D238" s="2" t="s">
        <v>983</v>
      </c>
      <c r="E238" s="2" t="s">
        <v>984</v>
      </c>
      <c r="F238" s="4">
        <v>4833</v>
      </c>
      <c r="G238" s="2" t="s">
        <v>45</v>
      </c>
      <c r="H238" s="2" t="s">
        <v>34</v>
      </c>
      <c r="I238" s="2" t="s">
        <v>149</v>
      </c>
      <c r="J238" s="2" t="s">
        <v>150</v>
      </c>
      <c r="K238" s="2" t="s">
        <v>53</v>
      </c>
      <c r="L238" s="2" t="s">
        <v>151</v>
      </c>
      <c r="M238" s="2"/>
      <c r="N238" s="2"/>
      <c r="O238" s="2"/>
      <c r="P238" s="2" t="s">
        <v>985</v>
      </c>
      <c r="Q238" s="2"/>
      <c r="R238" s="2"/>
      <c r="S238" s="2"/>
      <c r="T238" s="2"/>
      <c r="U238" s="2"/>
      <c r="V238" s="2"/>
      <c r="W238" s="5">
        <v>162.5</v>
      </c>
      <c r="X238" s="5">
        <v>162.5</v>
      </c>
      <c r="Y238" s="5">
        <v>162.5</v>
      </c>
      <c r="Z238" s="5">
        <v>162.5</v>
      </c>
      <c r="AA238" s="2"/>
      <c r="AB238" s="2" t="s">
        <v>47</v>
      </c>
      <c r="AC238" s="2"/>
    </row>
    <row r="239" spans="1:29" ht="143" x14ac:dyDescent="0.15">
      <c r="A239" s="3">
        <f>DATE(1990,7,16)</f>
        <v>33070</v>
      </c>
      <c r="B239" s="2"/>
      <c r="C239" s="2" t="s">
        <v>30</v>
      </c>
      <c r="D239" s="2" t="s">
        <v>986</v>
      </c>
      <c r="E239" s="2" t="s">
        <v>987</v>
      </c>
      <c r="F239" s="4">
        <v>3251</v>
      </c>
      <c r="G239" s="2" t="s">
        <v>237</v>
      </c>
      <c r="H239" s="2" t="s">
        <v>34</v>
      </c>
      <c r="I239" s="2" t="s">
        <v>988</v>
      </c>
      <c r="J239" s="2" t="s">
        <v>52</v>
      </c>
      <c r="K239" s="2" t="s">
        <v>53</v>
      </c>
      <c r="L239" s="2" t="s">
        <v>34</v>
      </c>
      <c r="M239" s="2"/>
      <c r="N239" s="2"/>
      <c r="O239" s="2"/>
      <c r="P239" s="2" t="s">
        <v>989</v>
      </c>
      <c r="Q239" s="2"/>
      <c r="R239" s="6">
        <v>18</v>
      </c>
      <c r="S239" s="5">
        <v>6.8</v>
      </c>
      <c r="T239" s="7">
        <v>26.844999999999999</v>
      </c>
      <c r="U239" s="5">
        <v>2.8</v>
      </c>
      <c r="V239" s="9">
        <v>0.17780000000000001</v>
      </c>
      <c r="W239" s="4">
        <v>16</v>
      </c>
      <c r="X239" s="7">
        <v>16.375</v>
      </c>
      <c r="Y239" s="6">
        <v>17.25</v>
      </c>
      <c r="Z239" s="4">
        <v>17</v>
      </c>
      <c r="AA239" s="6">
        <v>8.58</v>
      </c>
      <c r="AB239" s="7">
        <v>45.817</v>
      </c>
      <c r="AC239" s="2"/>
    </row>
    <row r="240" spans="1:29" ht="65" x14ac:dyDescent="0.15">
      <c r="A240" s="3">
        <f>DATE(1990,7,17)</f>
        <v>33071</v>
      </c>
      <c r="B240" s="3">
        <f>DATE(1990,12,31)</f>
        <v>33238</v>
      </c>
      <c r="C240" s="2" t="s">
        <v>95</v>
      </c>
      <c r="D240" s="2" t="s">
        <v>990</v>
      </c>
      <c r="E240" s="2" t="s">
        <v>991</v>
      </c>
      <c r="F240" s="4">
        <v>6331</v>
      </c>
      <c r="G240" s="2" t="s">
        <v>125</v>
      </c>
      <c r="H240" s="2" t="s">
        <v>34</v>
      </c>
      <c r="I240" s="2" t="s">
        <v>992</v>
      </c>
      <c r="J240" s="2" t="s">
        <v>746</v>
      </c>
      <c r="K240" s="2" t="s">
        <v>125</v>
      </c>
      <c r="L240" s="2" t="s">
        <v>34</v>
      </c>
      <c r="M240" s="2"/>
      <c r="N240" s="2"/>
      <c r="O240" s="2"/>
      <c r="P240" s="2" t="s">
        <v>993</v>
      </c>
      <c r="Q240" s="6">
        <v>71</v>
      </c>
      <c r="R240" s="6">
        <v>11.37</v>
      </c>
      <c r="S240" s="5">
        <v>-3.9</v>
      </c>
      <c r="T240" s="2"/>
      <c r="U240" s="5">
        <v>13.6</v>
      </c>
      <c r="V240" s="6">
        <v>-7.83</v>
      </c>
      <c r="W240" s="4">
        <v>17</v>
      </c>
      <c r="X240" s="4">
        <v>16</v>
      </c>
      <c r="Y240" s="5">
        <v>10.5</v>
      </c>
      <c r="Z240" s="7">
        <v>10.625</v>
      </c>
      <c r="AA240" s="6">
        <v>0.47</v>
      </c>
      <c r="AB240" s="2" t="s">
        <v>47</v>
      </c>
      <c r="AC240" s="2"/>
    </row>
    <row r="241" spans="1:29" ht="130" x14ac:dyDescent="0.15">
      <c r="A241" s="3">
        <f>DATE(1990,7,17)</f>
        <v>33071</v>
      </c>
      <c r="B241" s="3">
        <f>DATE(1991,3,28)</f>
        <v>33325</v>
      </c>
      <c r="C241" s="2" t="s">
        <v>95</v>
      </c>
      <c r="D241" s="2" t="s">
        <v>994</v>
      </c>
      <c r="E241" s="2" t="s">
        <v>36</v>
      </c>
      <c r="F241" s="4">
        <v>6035</v>
      </c>
      <c r="G241" s="2" t="s">
        <v>33</v>
      </c>
      <c r="H241" s="2" t="s">
        <v>34</v>
      </c>
      <c r="I241" s="2" t="s">
        <v>995</v>
      </c>
      <c r="J241" s="2" t="s">
        <v>996</v>
      </c>
      <c r="K241" s="2" t="s">
        <v>37</v>
      </c>
      <c r="L241" s="2" t="s">
        <v>34</v>
      </c>
      <c r="M241" s="2"/>
      <c r="N241" s="2"/>
      <c r="O241" s="2"/>
      <c r="P241" s="2" t="s">
        <v>997</v>
      </c>
      <c r="Q241" s="6">
        <v>100</v>
      </c>
      <c r="R241" s="6">
        <v>30.1</v>
      </c>
      <c r="S241" s="5">
        <v>8</v>
      </c>
      <c r="T241" s="7">
        <v>10.737</v>
      </c>
      <c r="U241" s="5">
        <v>15.9</v>
      </c>
      <c r="V241" s="6">
        <v>1.78</v>
      </c>
      <c r="W241" s="4">
        <v>13</v>
      </c>
      <c r="X241" s="4">
        <v>13</v>
      </c>
      <c r="Y241" s="6">
        <v>13.75</v>
      </c>
      <c r="Z241" s="6">
        <v>20.75</v>
      </c>
      <c r="AA241" s="6">
        <v>4.32</v>
      </c>
      <c r="AB241" s="7">
        <v>70.521000000000001</v>
      </c>
      <c r="AC241" s="2"/>
    </row>
    <row r="242" spans="1:29" ht="169" x14ac:dyDescent="0.15">
      <c r="A242" s="3">
        <f>DATE(1990,7,19)</f>
        <v>33073</v>
      </c>
      <c r="B242" s="3">
        <f>DATE(1990,12,27)</f>
        <v>33234</v>
      </c>
      <c r="C242" s="2" t="s">
        <v>95</v>
      </c>
      <c r="D242" s="2" t="s">
        <v>998</v>
      </c>
      <c r="E242" s="2" t="s">
        <v>999</v>
      </c>
      <c r="F242" s="4">
        <v>7011</v>
      </c>
      <c r="G242" s="2" t="s">
        <v>269</v>
      </c>
      <c r="H242" s="2" t="s">
        <v>34</v>
      </c>
      <c r="I242" s="2" t="s">
        <v>1000</v>
      </c>
      <c r="J242" s="2" t="s">
        <v>1001</v>
      </c>
      <c r="K242" s="2" t="s">
        <v>269</v>
      </c>
      <c r="L242" s="2" t="s">
        <v>34</v>
      </c>
      <c r="M242" s="2"/>
      <c r="N242" s="7">
        <v>18.125</v>
      </c>
      <c r="O242" s="7">
        <v>18.125</v>
      </c>
      <c r="P242" s="2" t="s">
        <v>1002</v>
      </c>
      <c r="Q242" s="6">
        <v>13.38</v>
      </c>
      <c r="R242" s="6">
        <v>22.58</v>
      </c>
      <c r="S242" s="5">
        <v>32.799999999999997</v>
      </c>
      <c r="T242" s="7">
        <v>71.935000000000002</v>
      </c>
      <c r="U242" s="5">
        <v>13</v>
      </c>
      <c r="V242" s="6">
        <v>2.0099999999999998</v>
      </c>
      <c r="W242" s="7">
        <v>15.125</v>
      </c>
      <c r="X242" s="7">
        <v>16.125</v>
      </c>
      <c r="Y242" s="6">
        <v>23.25</v>
      </c>
      <c r="Z242" s="6">
        <v>22.25</v>
      </c>
      <c r="AA242" s="6">
        <v>16.260000000000002</v>
      </c>
      <c r="AB242" s="7">
        <v>6.7450000000000001</v>
      </c>
      <c r="AC242" s="5">
        <v>164.4</v>
      </c>
    </row>
    <row r="243" spans="1:29" ht="26" x14ac:dyDescent="0.15">
      <c r="A243" s="3">
        <f>DATE(1990,7,19)</f>
        <v>33073</v>
      </c>
      <c r="B243" s="2"/>
      <c r="C243" s="2" t="s">
        <v>141</v>
      </c>
      <c r="D243" s="2" t="s">
        <v>1003</v>
      </c>
      <c r="E243" s="2" t="s">
        <v>389</v>
      </c>
      <c r="F243" s="4">
        <v>6035</v>
      </c>
      <c r="G243" s="2" t="s">
        <v>33</v>
      </c>
      <c r="H243" s="2" t="s">
        <v>34</v>
      </c>
      <c r="I243" s="2" t="s">
        <v>143</v>
      </c>
      <c r="J243" s="2" t="s">
        <v>144</v>
      </c>
      <c r="K243" s="2" t="s">
        <v>53</v>
      </c>
      <c r="L243" s="2" t="s">
        <v>139</v>
      </c>
      <c r="M243" s="2"/>
      <c r="N243" s="2"/>
      <c r="O243" s="2"/>
      <c r="P243" s="2" t="s">
        <v>1004</v>
      </c>
      <c r="Q243" s="2"/>
      <c r="R243" s="2"/>
      <c r="S243" s="5">
        <v>1.6</v>
      </c>
      <c r="T243" s="7">
        <v>2.8519999999999999</v>
      </c>
      <c r="U243" s="5">
        <v>16</v>
      </c>
      <c r="V243" s="6">
        <v>0.69</v>
      </c>
      <c r="W243" s="4">
        <v>6</v>
      </c>
      <c r="X243" s="4">
        <v>6</v>
      </c>
      <c r="Y243" s="6">
        <v>6.75</v>
      </c>
      <c r="Z243" s="6">
        <v>6.75</v>
      </c>
      <c r="AA243" s="2"/>
      <c r="AB243" s="2" t="s">
        <v>47</v>
      </c>
      <c r="AC243" s="2"/>
    </row>
    <row r="244" spans="1:29" ht="39" x14ac:dyDescent="0.15">
      <c r="A244" s="3">
        <f>DATE(1990,7,19)</f>
        <v>33073</v>
      </c>
      <c r="B244" s="2"/>
      <c r="C244" s="2" t="s">
        <v>141</v>
      </c>
      <c r="D244" s="2" t="s">
        <v>1005</v>
      </c>
      <c r="E244" s="2" t="s">
        <v>32</v>
      </c>
      <c r="F244" s="4">
        <v>6035</v>
      </c>
      <c r="G244" s="2" t="s">
        <v>33</v>
      </c>
      <c r="H244" s="2" t="s">
        <v>34</v>
      </c>
      <c r="I244" s="2" t="s">
        <v>143</v>
      </c>
      <c r="J244" s="2" t="s">
        <v>144</v>
      </c>
      <c r="K244" s="2" t="s">
        <v>53</v>
      </c>
      <c r="L244" s="2" t="s">
        <v>139</v>
      </c>
      <c r="M244" s="2"/>
      <c r="N244" s="2"/>
      <c r="O244" s="2"/>
      <c r="P244" s="2" t="s">
        <v>1006</v>
      </c>
      <c r="Q244" s="2"/>
      <c r="R244" s="2"/>
      <c r="S244" s="5">
        <v>-12.6</v>
      </c>
      <c r="T244" s="2"/>
      <c r="U244" s="5">
        <v>10</v>
      </c>
      <c r="V244" s="2"/>
      <c r="W244" s="6">
        <v>3.25</v>
      </c>
      <c r="X244" s="6">
        <v>4.25</v>
      </c>
      <c r="Y244" s="5">
        <v>4.5</v>
      </c>
      <c r="Z244" s="5">
        <v>4.5</v>
      </c>
      <c r="AA244" s="2"/>
      <c r="AB244" s="2" t="s">
        <v>86</v>
      </c>
      <c r="AC244" s="2"/>
    </row>
    <row r="245" spans="1:29" ht="78" x14ac:dyDescent="0.15">
      <c r="A245" s="3">
        <f>DATE(1990,7,20)</f>
        <v>33074</v>
      </c>
      <c r="B245" s="2"/>
      <c r="C245" s="2" t="s">
        <v>87</v>
      </c>
      <c r="D245" s="2" t="s">
        <v>1007</v>
      </c>
      <c r="E245" s="2" t="s">
        <v>1008</v>
      </c>
      <c r="F245" s="4">
        <v>6035</v>
      </c>
      <c r="G245" s="2" t="s">
        <v>33</v>
      </c>
      <c r="H245" s="2" t="s">
        <v>34</v>
      </c>
      <c r="I245" s="2" t="s">
        <v>51</v>
      </c>
      <c r="J245" s="2" t="s">
        <v>52</v>
      </c>
      <c r="K245" s="2" t="s">
        <v>53</v>
      </c>
      <c r="L245" s="2" t="s">
        <v>34</v>
      </c>
      <c r="M245" s="2"/>
      <c r="N245" s="2"/>
      <c r="O245" s="2"/>
      <c r="P245" s="2" t="s">
        <v>1009</v>
      </c>
      <c r="Q245" s="2"/>
      <c r="R245" s="2"/>
      <c r="S245" s="5">
        <v>-22.5</v>
      </c>
      <c r="T245" s="2"/>
      <c r="U245" s="5">
        <v>11.5</v>
      </c>
      <c r="V245" s="2"/>
      <c r="W245" s="5">
        <v>37.5</v>
      </c>
      <c r="X245" s="4">
        <v>37</v>
      </c>
      <c r="Y245" s="4">
        <v>37</v>
      </c>
      <c r="Z245" s="4">
        <v>35</v>
      </c>
      <c r="AA245" s="6">
        <v>2.19</v>
      </c>
      <c r="AB245" s="2" t="s">
        <v>86</v>
      </c>
      <c r="AC245" s="2"/>
    </row>
    <row r="246" spans="1:29" ht="104" x14ac:dyDescent="0.15">
      <c r="A246" s="3">
        <f>DATE(1990,7,23)</f>
        <v>33077</v>
      </c>
      <c r="B246" s="2"/>
      <c r="C246" s="2" t="s">
        <v>189</v>
      </c>
      <c r="D246" s="2" t="s">
        <v>1010</v>
      </c>
      <c r="E246" s="2" t="s">
        <v>1011</v>
      </c>
      <c r="F246" s="4">
        <v>8062</v>
      </c>
      <c r="G246" s="2" t="s">
        <v>454</v>
      </c>
      <c r="H246" s="2" t="s">
        <v>34</v>
      </c>
      <c r="I246" s="2" t="s">
        <v>143</v>
      </c>
      <c r="J246" s="2" t="s">
        <v>144</v>
      </c>
      <c r="K246" s="2" t="s">
        <v>53</v>
      </c>
      <c r="L246" s="2" t="s">
        <v>139</v>
      </c>
      <c r="M246" s="2"/>
      <c r="N246" s="2"/>
      <c r="O246" s="2"/>
      <c r="P246" s="2" t="s">
        <v>1012</v>
      </c>
      <c r="Q246" s="2"/>
      <c r="R246" s="2"/>
      <c r="S246" s="5">
        <v>4.5999999999999996</v>
      </c>
      <c r="T246" s="7">
        <v>33.789000000000001</v>
      </c>
      <c r="U246" s="5">
        <v>3.4</v>
      </c>
      <c r="V246" s="6">
        <v>0.57999999999999996</v>
      </c>
      <c r="W246" s="7">
        <v>11.375</v>
      </c>
      <c r="X246" s="6">
        <v>10.75</v>
      </c>
      <c r="Y246" s="5">
        <v>9.5</v>
      </c>
      <c r="Z246" s="6">
        <v>9.25</v>
      </c>
      <c r="AA246" s="6">
        <v>7.86</v>
      </c>
      <c r="AB246" s="2" t="s">
        <v>47</v>
      </c>
      <c r="AC246" s="2"/>
    </row>
    <row r="247" spans="1:29" ht="65" x14ac:dyDescent="0.15">
      <c r="A247" s="3">
        <f>DATE(1990,7,24)</f>
        <v>33078</v>
      </c>
      <c r="B247" s="3">
        <f>DATE(1990,9,21)</f>
        <v>33137</v>
      </c>
      <c r="C247" s="2" t="s">
        <v>95</v>
      </c>
      <c r="D247" s="2" t="s">
        <v>1013</v>
      </c>
      <c r="E247" s="2" t="s">
        <v>1014</v>
      </c>
      <c r="F247" s="4">
        <v>3549</v>
      </c>
      <c r="G247" s="2" t="s">
        <v>300</v>
      </c>
      <c r="H247" s="2" t="s">
        <v>34</v>
      </c>
      <c r="I247" s="2" t="s">
        <v>1015</v>
      </c>
      <c r="J247" s="2" t="s">
        <v>1016</v>
      </c>
      <c r="K247" s="2" t="s">
        <v>300</v>
      </c>
      <c r="L247" s="2" t="s">
        <v>34</v>
      </c>
      <c r="M247" s="2"/>
      <c r="N247" s="2"/>
      <c r="O247" s="2"/>
      <c r="P247" s="2" t="s">
        <v>1017</v>
      </c>
      <c r="Q247" s="6">
        <v>14</v>
      </c>
      <c r="R247" s="6">
        <v>46.4</v>
      </c>
      <c r="S247" s="5">
        <v>1.1000000000000001</v>
      </c>
      <c r="T247" s="2"/>
      <c r="U247" s="5">
        <v>34.9</v>
      </c>
      <c r="V247" s="2"/>
      <c r="W247" s="5">
        <v>77.5</v>
      </c>
      <c r="X247" s="5">
        <v>77.5</v>
      </c>
      <c r="Y247" s="5">
        <v>77.5</v>
      </c>
      <c r="Z247" s="5">
        <v>77.5</v>
      </c>
      <c r="AA247" s="2"/>
      <c r="AB247" s="7">
        <v>23.016999999999999</v>
      </c>
      <c r="AC247" s="2"/>
    </row>
    <row r="248" spans="1:29" ht="117" x14ac:dyDescent="0.15">
      <c r="A248" s="3">
        <f>DATE(1990,7,24)</f>
        <v>33078</v>
      </c>
      <c r="B248" s="2"/>
      <c r="C248" s="2" t="s">
        <v>30</v>
      </c>
      <c r="D248" s="2" t="s">
        <v>1018</v>
      </c>
      <c r="E248" s="2" t="s">
        <v>1019</v>
      </c>
      <c r="F248" s="4">
        <v>4953</v>
      </c>
      <c r="G248" s="2" t="s">
        <v>116</v>
      </c>
      <c r="H248" s="2" t="s">
        <v>34</v>
      </c>
      <c r="I248" s="2" t="s">
        <v>1020</v>
      </c>
      <c r="J248" s="2" t="s">
        <v>302</v>
      </c>
      <c r="K248" s="2" t="s">
        <v>53</v>
      </c>
      <c r="L248" s="2" t="s">
        <v>34</v>
      </c>
      <c r="M248" s="2"/>
      <c r="N248" s="2"/>
      <c r="O248" s="2"/>
      <c r="P248" s="2" t="s">
        <v>1021</v>
      </c>
      <c r="Q248" s="2"/>
      <c r="R248" s="6">
        <v>2.5</v>
      </c>
      <c r="S248" s="5">
        <v>0.2</v>
      </c>
      <c r="T248" s="7">
        <v>0.50800000000000001</v>
      </c>
      <c r="U248" s="5">
        <v>3.2</v>
      </c>
      <c r="V248" s="6">
        <v>0.23</v>
      </c>
      <c r="W248" s="5">
        <v>1.5</v>
      </c>
      <c r="X248" s="5">
        <v>1.5</v>
      </c>
      <c r="Y248" s="5">
        <v>1.5</v>
      </c>
      <c r="Z248" s="6">
        <v>1.75</v>
      </c>
      <c r="AA248" s="6">
        <v>0.7</v>
      </c>
      <c r="AB248" s="7">
        <v>6.3049999999999997</v>
      </c>
      <c r="AC248" s="2"/>
    </row>
    <row r="249" spans="1:29" ht="143" x14ac:dyDescent="0.15">
      <c r="A249" s="3">
        <f>DATE(1990,7,24)</f>
        <v>33078</v>
      </c>
      <c r="B249" s="2"/>
      <c r="C249" s="2" t="s">
        <v>30</v>
      </c>
      <c r="D249" s="2" t="s">
        <v>271</v>
      </c>
      <c r="E249" s="2" t="s">
        <v>32</v>
      </c>
      <c r="F249" s="4">
        <v>6036</v>
      </c>
      <c r="G249" s="2" t="s">
        <v>33</v>
      </c>
      <c r="H249" s="2" t="s">
        <v>34</v>
      </c>
      <c r="I249" s="2" t="s">
        <v>1022</v>
      </c>
      <c r="J249" s="2" t="s">
        <v>672</v>
      </c>
      <c r="K249" s="2" t="s">
        <v>37</v>
      </c>
      <c r="L249" s="2" t="s">
        <v>34</v>
      </c>
      <c r="M249" s="2"/>
      <c r="N249" s="2"/>
      <c r="O249" s="2"/>
      <c r="P249" s="2" t="s">
        <v>1023</v>
      </c>
      <c r="Q249" s="2"/>
      <c r="R249" s="6">
        <v>24</v>
      </c>
      <c r="S249" s="5">
        <v>6.3</v>
      </c>
      <c r="T249" s="7">
        <v>12.002000000000001</v>
      </c>
      <c r="U249" s="5">
        <v>32.6</v>
      </c>
      <c r="V249" s="6">
        <v>2.1800000000000002</v>
      </c>
      <c r="W249" s="5">
        <v>21.5</v>
      </c>
      <c r="X249" s="4">
        <v>21</v>
      </c>
      <c r="Y249" s="6">
        <v>22.25</v>
      </c>
      <c r="Z249" s="5">
        <v>21.5</v>
      </c>
      <c r="AA249" s="6">
        <v>2.88</v>
      </c>
      <c r="AB249" s="7">
        <v>81.802000000000007</v>
      </c>
      <c r="AC249" s="2"/>
    </row>
    <row r="250" spans="1:29" ht="65" x14ac:dyDescent="0.15">
      <c r="A250" s="3">
        <f>DATE(1990,7,25)</f>
        <v>33079</v>
      </c>
      <c r="B250" s="2"/>
      <c r="C250" s="2" t="s">
        <v>56</v>
      </c>
      <c r="D250" s="2" t="s">
        <v>1024</v>
      </c>
      <c r="E250" s="2" t="s">
        <v>1025</v>
      </c>
      <c r="F250" s="4">
        <v>4812</v>
      </c>
      <c r="G250" s="2" t="s">
        <v>63</v>
      </c>
      <c r="H250" s="2" t="s">
        <v>34</v>
      </c>
      <c r="I250" s="2" t="s">
        <v>1026</v>
      </c>
      <c r="J250" s="2" t="s">
        <v>1027</v>
      </c>
      <c r="K250" s="2" t="s">
        <v>63</v>
      </c>
      <c r="L250" s="2" t="s">
        <v>34</v>
      </c>
      <c r="M250" s="2"/>
      <c r="N250" s="5">
        <v>41.5</v>
      </c>
      <c r="O250" s="6">
        <v>41.75</v>
      </c>
      <c r="P250" s="2" t="s">
        <v>1028</v>
      </c>
      <c r="Q250" s="2"/>
      <c r="R250" s="2"/>
      <c r="S250" s="5">
        <v>16.600000000000001</v>
      </c>
      <c r="T250" s="2"/>
      <c r="U250" s="5">
        <v>7.1</v>
      </c>
      <c r="V250" s="2"/>
      <c r="W250" s="6">
        <v>34.25</v>
      </c>
      <c r="X250" s="6">
        <v>35.25</v>
      </c>
      <c r="Y250" s="4">
        <v>33</v>
      </c>
      <c r="Z250" s="5">
        <v>31.5</v>
      </c>
      <c r="AA250" s="2"/>
      <c r="AB250" s="2" t="s">
        <v>47</v>
      </c>
      <c r="AC250" s="2"/>
    </row>
    <row r="251" spans="1:29" ht="143" x14ac:dyDescent="0.15">
      <c r="A251" s="3">
        <f>DATE(1990,7,30)</f>
        <v>33084</v>
      </c>
      <c r="B251" s="2"/>
      <c r="C251" s="2" t="s">
        <v>30</v>
      </c>
      <c r="D251" s="2" t="s">
        <v>1029</v>
      </c>
      <c r="E251" s="2" t="s">
        <v>1030</v>
      </c>
      <c r="F251" s="4">
        <v>5945</v>
      </c>
      <c r="G251" s="2" t="s">
        <v>73</v>
      </c>
      <c r="H251" s="2" t="s">
        <v>34</v>
      </c>
      <c r="I251" s="2" t="s">
        <v>1031</v>
      </c>
      <c r="J251" s="2" t="s">
        <v>1032</v>
      </c>
      <c r="K251" s="2" t="s">
        <v>53</v>
      </c>
      <c r="L251" s="2" t="s">
        <v>34</v>
      </c>
      <c r="M251" s="2"/>
      <c r="N251" s="2"/>
      <c r="O251" s="2"/>
      <c r="P251" s="2" t="s">
        <v>1033</v>
      </c>
      <c r="Q251" s="2"/>
      <c r="R251" s="6">
        <v>14</v>
      </c>
      <c r="S251" s="5">
        <v>3.6</v>
      </c>
      <c r="T251" s="7">
        <v>31.952000000000002</v>
      </c>
      <c r="U251" s="5">
        <v>18</v>
      </c>
      <c r="V251" s="6">
        <v>0.31</v>
      </c>
      <c r="W251" s="6">
        <v>10.75</v>
      </c>
      <c r="X251" s="4">
        <v>12</v>
      </c>
      <c r="Y251" s="6">
        <v>14.75</v>
      </c>
      <c r="Z251" s="5">
        <v>13.5</v>
      </c>
      <c r="AA251" s="6">
        <v>11.4</v>
      </c>
      <c r="AB251" s="7">
        <v>15.026</v>
      </c>
      <c r="AC251" s="2"/>
    </row>
    <row r="252" spans="1:29" ht="143" x14ac:dyDescent="0.15">
      <c r="A252" s="3">
        <f>DATE(1990,7,30)</f>
        <v>33084</v>
      </c>
      <c r="B252" s="3">
        <f>DATE(1990,11,29)</f>
        <v>33206</v>
      </c>
      <c r="C252" s="2" t="s">
        <v>95</v>
      </c>
      <c r="D252" s="2" t="s">
        <v>1034</v>
      </c>
      <c r="E252" s="2" t="s">
        <v>1035</v>
      </c>
      <c r="F252" s="4">
        <v>4924</v>
      </c>
      <c r="G252" s="2" t="s">
        <v>439</v>
      </c>
      <c r="H252" s="2" t="s">
        <v>34</v>
      </c>
      <c r="I252" s="2" t="s">
        <v>1036</v>
      </c>
      <c r="J252" s="2" t="s">
        <v>1037</v>
      </c>
      <c r="K252" s="2" t="s">
        <v>439</v>
      </c>
      <c r="L252" s="2" t="s">
        <v>34</v>
      </c>
      <c r="M252" s="12">
        <v>1997.4670000000001</v>
      </c>
      <c r="N252" s="6">
        <v>23.75</v>
      </c>
      <c r="O252" s="4">
        <v>22</v>
      </c>
      <c r="P252" s="2" t="s">
        <v>1038</v>
      </c>
      <c r="Q252" s="6">
        <v>100</v>
      </c>
      <c r="R252" s="6">
        <v>35.479999999999997</v>
      </c>
      <c r="S252" s="5">
        <v>1.5</v>
      </c>
      <c r="T252" s="2"/>
      <c r="U252" s="5">
        <v>16.100000000000001</v>
      </c>
      <c r="V252" s="6">
        <v>0.08</v>
      </c>
      <c r="W252" s="5">
        <v>27.5</v>
      </c>
      <c r="X252" s="6">
        <v>28.75</v>
      </c>
      <c r="Y252" s="7">
        <v>29.625</v>
      </c>
      <c r="Z252" s="4">
        <v>35</v>
      </c>
      <c r="AA252" s="6">
        <v>16.059999999999999</v>
      </c>
      <c r="AB252" s="2" t="s">
        <v>47</v>
      </c>
      <c r="AC252" s="6">
        <v>13.27</v>
      </c>
    </row>
    <row r="253" spans="1:29" ht="39" x14ac:dyDescent="0.15">
      <c r="A253" s="3">
        <f>DATE(1990,7,31)</f>
        <v>33085</v>
      </c>
      <c r="B253" s="2"/>
      <c r="C253" s="2" t="s">
        <v>189</v>
      </c>
      <c r="D253" s="2" t="s">
        <v>1039</v>
      </c>
      <c r="E253" s="2" t="s">
        <v>1040</v>
      </c>
      <c r="F253" s="4">
        <v>6035</v>
      </c>
      <c r="G253" s="2" t="s">
        <v>33</v>
      </c>
      <c r="H253" s="2" t="s">
        <v>34</v>
      </c>
      <c r="I253" s="2" t="s">
        <v>143</v>
      </c>
      <c r="J253" s="2" t="s">
        <v>144</v>
      </c>
      <c r="K253" s="2" t="s">
        <v>53</v>
      </c>
      <c r="L253" s="2" t="s">
        <v>139</v>
      </c>
      <c r="M253" s="2"/>
      <c r="N253" s="2"/>
      <c r="O253" s="2"/>
      <c r="P253" s="2" t="s">
        <v>1041</v>
      </c>
      <c r="Q253" s="2"/>
      <c r="R253" s="2"/>
      <c r="S253" s="5">
        <v>-0.4</v>
      </c>
      <c r="T253" s="7">
        <v>0.33600000000000002</v>
      </c>
      <c r="U253" s="5">
        <v>13.4</v>
      </c>
      <c r="V253" s="6">
        <v>-0.26</v>
      </c>
      <c r="W253" s="7">
        <v>5.375</v>
      </c>
      <c r="X253" s="7">
        <v>5.375</v>
      </c>
      <c r="Y253" s="7">
        <v>5.125</v>
      </c>
      <c r="Z253" s="6">
        <v>5.25</v>
      </c>
      <c r="AA253" s="6">
        <v>1.56</v>
      </c>
      <c r="AB253" s="2" t="s">
        <v>86</v>
      </c>
      <c r="AC253" s="2"/>
    </row>
    <row r="254" spans="1:29" ht="156" x14ac:dyDescent="0.15">
      <c r="A254" s="3">
        <f>DATE(1990,7,31)</f>
        <v>33085</v>
      </c>
      <c r="B254" s="2"/>
      <c r="C254" s="2" t="s">
        <v>82</v>
      </c>
      <c r="D254" s="2" t="s">
        <v>1042</v>
      </c>
      <c r="E254" s="2" t="s">
        <v>1043</v>
      </c>
      <c r="F254" s="4">
        <v>3829</v>
      </c>
      <c r="G254" s="2" t="s">
        <v>226</v>
      </c>
      <c r="H254" s="2" t="s">
        <v>34</v>
      </c>
      <c r="I254" s="2" t="s">
        <v>51</v>
      </c>
      <c r="J254" s="2" t="s">
        <v>52</v>
      </c>
      <c r="K254" s="2" t="s">
        <v>53</v>
      </c>
      <c r="L254" s="2" t="s">
        <v>34</v>
      </c>
      <c r="M254" s="2"/>
      <c r="N254" s="2"/>
      <c r="O254" s="2"/>
      <c r="P254" s="2" t="s">
        <v>1044</v>
      </c>
      <c r="Q254" s="2"/>
      <c r="R254" s="2"/>
      <c r="S254" s="5">
        <v>3.2</v>
      </c>
      <c r="T254" s="7">
        <v>11.303000000000001</v>
      </c>
      <c r="U254" s="5">
        <v>5.9</v>
      </c>
      <c r="V254" s="6">
        <v>0.53</v>
      </c>
      <c r="W254" s="6">
        <v>10.75</v>
      </c>
      <c r="X254" s="6">
        <v>9.75</v>
      </c>
      <c r="Y254" s="4">
        <v>10</v>
      </c>
      <c r="Z254" s="4">
        <v>10</v>
      </c>
      <c r="AA254" s="6">
        <v>6.11</v>
      </c>
      <c r="AB254" s="2" t="s">
        <v>47</v>
      </c>
      <c r="AC254" s="2"/>
    </row>
    <row r="255" spans="1:29" ht="130" x14ac:dyDescent="0.15">
      <c r="A255" s="3">
        <f>DATE(1990,7,31)</f>
        <v>33085</v>
      </c>
      <c r="B255" s="3">
        <f>DATE(1990,12,24)</f>
        <v>33231</v>
      </c>
      <c r="C255" s="2" t="s">
        <v>95</v>
      </c>
      <c r="D255" s="2" t="s">
        <v>1045</v>
      </c>
      <c r="E255" s="2" t="s">
        <v>1046</v>
      </c>
      <c r="F255" s="4">
        <v>3674</v>
      </c>
      <c r="G255" s="2" t="s">
        <v>137</v>
      </c>
      <c r="H255" s="2" t="s">
        <v>34</v>
      </c>
      <c r="I255" s="2" t="s">
        <v>1047</v>
      </c>
      <c r="J255" s="2" t="s">
        <v>1048</v>
      </c>
      <c r="K255" s="2" t="s">
        <v>300</v>
      </c>
      <c r="L255" s="2" t="s">
        <v>1049</v>
      </c>
      <c r="M255" s="2"/>
      <c r="N255" s="2"/>
      <c r="O255" s="2"/>
      <c r="P255" s="2" t="s">
        <v>1050</v>
      </c>
      <c r="Q255" s="6">
        <v>41</v>
      </c>
      <c r="R255" s="2"/>
      <c r="S255" s="5">
        <v>-29</v>
      </c>
      <c r="T255" s="7">
        <v>-5.2430000000000003</v>
      </c>
      <c r="U255" s="5">
        <v>1.2</v>
      </c>
      <c r="V255" s="9">
        <v>-0.72330000000000005</v>
      </c>
      <c r="W255" s="7">
        <v>1.375</v>
      </c>
      <c r="X255" s="7">
        <v>1.125</v>
      </c>
      <c r="Y255" s="7">
        <v>1.125</v>
      </c>
      <c r="Z255" s="6">
        <v>1.25</v>
      </c>
      <c r="AA255" s="6">
        <v>13.48</v>
      </c>
      <c r="AB255" s="2" t="s">
        <v>86</v>
      </c>
      <c r="AC255" s="8">
        <v>1987</v>
      </c>
    </row>
    <row r="256" spans="1:29" ht="143" x14ac:dyDescent="0.15">
      <c r="A256" s="3">
        <f>DATE(1990,7,31)</f>
        <v>33085</v>
      </c>
      <c r="B256" s="3">
        <f>DATE(1990,12,31)</f>
        <v>33238</v>
      </c>
      <c r="C256" s="2" t="s">
        <v>95</v>
      </c>
      <c r="D256" s="2" t="s">
        <v>1051</v>
      </c>
      <c r="E256" s="2" t="s">
        <v>1052</v>
      </c>
      <c r="F256" s="4">
        <v>3663</v>
      </c>
      <c r="G256" s="2" t="s">
        <v>921</v>
      </c>
      <c r="H256" s="2" t="s">
        <v>34</v>
      </c>
      <c r="I256" s="2" t="s">
        <v>1053</v>
      </c>
      <c r="J256" s="2" t="s">
        <v>1054</v>
      </c>
      <c r="K256" s="2" t="s">
        <v>226</v>
      </c>
      <c r="L256" s="2" t="s">
        <v>34</v>
      </c>
      <c r="M256" s="2"/>
      <c r="N256" s="2"/>
      <c r="O256" s="2"/>
      <c r="P256" s="2" t="s">
        <v>1055</v>
      </c>
      <c r="Q256" s="6">
        <v>100</v>
      </c>
      <c r="R256" s="6">
        <v>4.75</v>
      </c>
      <c r="S256" s="5">
        <v>-7.8</v>
      </c>
      <c r="T256" s="6">
        <v>-10.54</v>
      </c>
      <c r="U256" s="5">
        <v>2.5</v>
      </c>
      <c r="V256" s="6">
        <v>-1.86</v>
      </c>
      <c r="W256" s="7">
        <v>3.375</v>
      </c>
      <c r="X256" s="7">
        <v>3.375</v>
      </c>
      <c r="Y256" s="7">
        <v>4.625</v>
      </c>
      <c r="Z256" s="7">
        <v>4.625</v>
      </c>
      <c r="AA256" s="6">
        <v>4.22</v>
      </c>
      <c r="AB256" s="2" t="s">
        <v>86</v>
      </c>
      <c r="AC256" s="2"/>
    </row>
    <row r="257" spans="1:29" ht="91" x14ac:dyDescent="0.15">
      <c r="A257" s="3">
        <f>DATE(1990,8,3)</f>
        <v>33088</v>
      </c>
      <c r="B257" s="2"/>
      <c r="C257" s="2" t="s">
        <v>189</v>
      </c>
      <c r="D257" s="2" t="s">
        <v>1056</v>
      </c>
      <c r="E257" s="2" t="s">
        <v>1057</v>
      </c>
      <c r="F257" s="4">
        <v>2325</v>
      </c>
      <c r="G257" s="2" t="s">
        <v>708</v>
      </c>
      <c r="H257" s="2" t="s">
        <v>34</v>
      </c>
      <c r="I257" s="2" t="s">
        <v>143</v>
      </c>
      <c r="J257" s="2" t="s">
        <v>144</v>
      </c>
      <c r="K257" s="2" t="s">
        <v>53</v>
      </c>
      <c r="L257" s="2" t="s">
        <v>139</v>
      </c>
      <c r="M257" s="2"/>
      <c r="N257" s="2"/>
      <c r="O257" s="2"/>
      <c r="P257" s="2" t="s">
        <v>1058</v>
      </c>
      <c r="Q257" s="2"/>
      <c r="R257" s="2"/>
      <c r="S257" s="5">
        <v>-11.6</v>
      </c>
      <c r="T257" s="7">
        <v>-7.4290000000000003</v>
      </c>
      <c r="U257" s="5">
        <v>9.1999999999999993</v>
      </c>
      <c r="V257" s="6">
        <v>-1.86</v>
      </c>
      <c r="W257" s="4">
        <v>3</v>
      </c>
      <c r="X257" s="7">
        <v>2.875</v>
      </c>
      <c r="Y257" s="7">
        <v>2.875</v>
      </c>
      <c r="Z257" s="7">
        <v>2.875</v>
      </c>
      <c r="AA257" s="2"/>
      <c r="AB257" s="2" t="s">
        <v>86</v>
      </c>
      <c r="AC257" s="2"/>
    </row>
    <row r="258" spans="1:29" ht="65" x14ac:dyDescent="0.15">
      <c r="A258" s="3">
        <f>DATE(1990,8,3)</f>
        <v>33088</v>
      </c>
      <c r="B258" s="2"/>
      <c r="C258" s="2" t="s">
        <v>141</v>
      </c>
      <c r="D258" s="2" t="s">
        <v>748</v>
      </c>
      <c r="E258" s="2" t="s">
        <v>749</v>
      </c>
      <c r="F258" s="4">
        <v>3569</v>
      </c>
      <c r="G258" s="2" t="s">
        <v>300</v>
      </c>
      <c r="H258" s="2" t="s">
        <v>34</v>
      </c>
      <c r="I258" s="2" t="s">
        <v>143</v>
      </c>
      <c r="J258" s="2" t="s">
        <v>144</v>
      </c>
      <c r="K258" s="2" t="s">
        <v>53</v>
      </c>
      <c r="L258" s="2" t="s">
        <v>139</v>
      </c>
      <c r="M258" s="2"/>
      <c r="N258" s="2"/>
      <c r="O258" s="2"/>
      <c r="P258" s="2" t="s">
        <v>1059</v>
      </c>
      <c r="Q258" s="2"/>
      <c r="R258" s="2"/>
      <c r="S258" s="5">
        <v>2.5</v>
      </c>
      <c r="T258" s="7">
        <v>8.7690000000000001</v>
      </c>
      <c r="U258" s="5">
        <v>1.7</v>
      </c>
      <c r="V258" s="9">
        <v>0.2049</v>
      </c>
      <c r="W258" s="4">
        <v>3</v>
      </c>
      <c r="X258" s="7">
        <v>2.9380000000000002</v>
      </c>
      <c r="Y258" s="7">
        <v>2.9380000000000002</v>
      </c>
      <c r="Z258" s="4">
        <v>3</v>
      </c>
      <c r="AA258" s="2"/>
      <c r="AB258" s="2" t="s">
        <v>47</v>
      </c>
      <c r="AC258" s="2"/>
    </row>
    <row r="259" spans="1:29" ht="78" x14ac:dyDescent="0.15">
      <c r="A259" s="3">
        <f>DATE(1990,8,3)</f>
        <v>33088</v>
      </c>
      <c r="B259" s="2"/>
      <c r="C259" s="2" t="s">
        <v>30</v>
      </c>
      <c r="D259" s="2" t="s">
        <v>1060</v>
      </c>
      <c r="E259" s="2" t="s">
        <v>1061</v>
      </c>
      <c r="F259" s="4">
        <v>5311</v>
      </c>
      <c r="G259" s="2" t="s">
        <v>756</v>
      </c>
      <c r="H259" s="2" t="s">
        <v>34</v>
      </c>
      <c r="I259" s="2" t="s">
        <v>1062</v>
      </c>
      <c r="J259" s="2" t="s">
        <v>1063</v>
      </c>
      <c r="K259" s="2" t="s">
        <v>756</v>
      </c>
      <c r="L259" s="2" t="s">
        <v>34</v>
      </c>
      <c r="M259" s="2"/>
      <c r="N259" s="2"/>
      <c r="O259" s="2"/>
      <c r="P259" s="2" t="s">
        <v>1064</v>
      </c>
      <c r="Q259" s="2"/>
      <c r="R259" s="2"/>
      <c r="S259" s="8">
        <v>1508.5</v>
      </c>
      <c r="T259" s="8">
        <v>5717.3</v>
      </c>
      <c r="U259" s="5">
        <v>39</v>
      </c>
      <c r="V259" s="6">
        <v>4.12</v>
      </c>
      <c r="W259" s="7">
        <v>32.875</v>
      </c>
      <c r="X259" s="7">
        <v>29.625</v>
      </c>
      <c r="Y259" s="5">
        <v>30.5</v>
      </c>
      <c r="Z259" s="6">
        <v>30.75</v>
      </c>
      <c r="AA259" s="2"/>
      <c r="AB259" s="2" t="s">
        <v>47</v>
      </c>
      <c r="AC259" s="2"/>
    </row>
    <row r="260" spans="1:29" ht="143" x14ac:dyDescent="0.15">
      <c r="A260" s="3">
        <f>DATE(1990,8,6)</f>
        <v>33091</v>
      </c>
      <c r="B260" s="3">
        <f>DATE(1991,4,29)</f>
        <v>33357</v>
      </c>
      <c r="C260" s="2" t="s">
        <v>95</v>
      </c>
      <c r="D260" s="2" t="s">
        <v>1065</v>
      </c>
      <c r="E260" s="2" t="s">
        <v>36</v>
      </c>
      <c r="F260" s="4">
        <v>6021</v>
      </c>
      <c r="G260" s="2" t="s">
        <v>37</v>
      </c>
      <c r="H260" s="2" t="s">
        <v>34</v>
      </c>
      <c r="I260" s="2" t="s">
        <v>1066</v>
      </c>
      <c r="J260" s="2" t="s">
        <v>1067</v>
      </c>
      <c r="K260" s="2" t="s">
        <v>37</v>
      </c>
      <c r="L260" s="2" t="s">
        <v>34</v>
      </c>
      <c r="M260" s="7">
        <v>663.08100000000002</v>
      </c>
      <c r="N260" s="4">
        <v>28</v>
      </c>
      <c r="O260" s="7">
        <v>27.625</v>
      </c>
      <c r="P260" s="2" t="s">
        <v>1068</v>
      </c>
      <c r="Q260" s="6">
        <v>100</v>
      </c>
      <c r="R260" s="6">
        <v>75.599999999999994</v>
      </c>
      <c r="S260" s="5">
        <v>23.9</v>
      </c>
      <c r="T260" s="7">
        <v>39.305999999999997</v>
      </c>
      <c r="U260" s="5">
        <v>61</v>
      </c>
      <c r="V260" s="6">
        <v>6.13</v>
      </c>
      <c r="W260" s="4">
        <v>71</v>
      </c>
      <c r="X260" s="4">
        <v>70</v>
      </c>
      <c r="Y260" s="5">
        <v>69.5</v>
      </c>
      <c r="Z260" s="4">
        <v>70</v>
      </c>
      <c r="AA260" s="6">
        <v>2.9</v>
      </c>
      <c r="AB260" s="7">
        <v>14.358000000000001</v>
      </c>
      <c r="AC260" s="2"/>
    </row>
    <row r="261" spans="1:29" ht="104" x14ac:dyDescent="0.15">
      <c r="A261" s="3">
        <f>DATE(1990,8,6)</f>
        <v>33091</v>
      </c>
      <c r="B261" s="3">
        <f>DATE(1990,8,16)</f>
        <v>33101</v>
      </c>
      <c r="C261" s="2" t="s">
        <v>95</v>
      </c>
      <c r="D261" s="2" t="s">
        <v>1069</v>
      </c>
      <c r="E261" s="2" t="s">
        <v>1070</v>
      </c>
      <c r="F261" s="4">
        <v>3824</v>
      </c>
      <c r="G261" s="2" t="s">
        <v>226</v>
      </c>
      <c r="H261" s="2" t="s">
        <v>34</v>
      </c>
      <c r="I261" s="2" t="s">
        <v>1071</v>
      </c>
      <c r="J261" s="2" t="s">
        <v>1072</v>
      </c>
      <c r="K261" s="2" t="s">
        <v>53</v>
      </c>
      <c r="L261" s="2" t="s">
        <v>34</v>
      </c>
      <c r="M261" s="2"/>
      <c r="N261" s="2"/>
      <c r="O261" s="2"/>
      <c r="P261" s="2" t="s">
        <v>1073</v>
      </c>
      <c r="Q261" s="2"/>
      <c r="R261" s="2"/>
      <c r="S261" s="5">
        <v>-6.1</v>
      </c>
      <c r="T261" s="7">
        <v>-5.6459999999999999</v>
      </c>
      <c r="U261" s="5">
        <v>0.3</v>
      </c>
      <c r="V261" s="6">
        <v>-0.87</v>
      </c>
      <c r="W261" s="6">
        <v>3.25</v>
      </c>
      <c r="X261" s="7">
        <v>2.875</v>
      </c>
      <c r="Y261" s="7">
        <v>3.125</v>
      </c>
      <c r="Z261" s="7">
        <v>3.125</v>
      </c>
      <c r="AA261" s="2"/>
      <c r="AB261" s="2" t="s">
        <v>86</v>
      </c>
      <c r="AC261" s="2"/>
    </row>
    <row r="262" spans="1:29" ht="117" x14ac:dyDescent="0.15">
      <c r="A262" s="3">
        <f>DATE(1990,8,6)</f>
        <v>33091</v>
      </c>
      <c r="B262" s="3">
        <f>DATE(1990,10,29)</f>
        <v>33175</v>
      </c>
      <c r="C262" s="2" t="s">
        <v>95</v>
      </c>
      <c r="D262" s="2" t="s">
        <v>1074</v>
      </c>
      <c r="E262" s="2" t="s">
        <v>1075</v>
      </c>
      <c r="F262" s="4">
        <v>2542</v>
      </c>
      <c r="G262" s="2" t="s">
        <v>250</v>
      </c>
      <c r="H262" s="2" t="s">
        <v>34</v>
      </c>
      <c r="I262" s="2" t="s">
        <v>1076</v>
      </c>
      <c r="J262" s="2" t="s">
        <v>1077</v>
      </c>
      <c r="K262" s="2" t="s">
        <v>282</v>
      </c>
      <c r="L262" s="2" t="s">
        <v>34</v>
      </c>
      <c r="M262" s="2"/>
      <c r="N262" s="7">
        <v>36.875</v>
      </c>
      <c r="O262" s="4">
        <v>35</v>
      </c>
      <c r="P262" s="2" t="s">
        <v>1078</v>
      </c>
      <c r="Q262" s="6">
        <v>100</v>
      </c>
      <c r="R262" s="6">
        <v>24.96</v>
      </c>
      <c r="S262" s="5">
        <v>8.6</v>
      </c>
      <c r="T262" s="7">
        <v>17.102</v>
      </c>
      <c r="U262" s="5">
        <v>5.8</v>
      </c>
      <c r="V262" s="6">
        <v>0.91</v>
      </c>
      <c r="W262" s="6">
        <v>19.75</v>
      </c>
      <c r="X262" s="7">
        <v>19.625</v>
      </c>
      <c r="Y262" s="7">
        <v>19.125</v>
      </c>
      <c r="Z262" s="7">
        <v>19.875</v>
      </c>
      <c r="AA262" s="6">
        <v>9.31</v>
      </c>
      <c r="AB262" s="7">
        <v>16.385999999999999</v>
      </c>
      <c r="AC262" s="6">
        <v>97.17</v>
      </c>
    </row>
    <row r="263" spans="1:29" ht="52" x14ac:dyDescent="0.15">
      <c r="A263" s="3">
        <f>DATE(1990,8,8)</f>
        <v>33093</v>
      </c>
      <c r="B263" s="2"/>
      <c r="C263" s="2" t="s">
        <v>189</v>
      </c>
      <c r="D263" s="2" t="s">
        <v>1079</v>
      </c>
      <c r="E263" s="2" t="s">
        <v>1080</v>
      </c>
      <c r="F263" s="4">
        <v>2325</v>
      </c>
      <c r="G263" s="2" t="s">
        <v>708</v>
      </c>
      <c r="H263" s="2" t="s">
        <v>34</v>
      </c>
      <c r="I263" s="2" t="s">
        <v>143</v>
      </c>
      <c r="J263" s="2" t="s">
        <v>144</v>
      </c>
      <c r="K263" s="2" t="s">
        <v>53</v>
      </c>
      <c r="L263" s="2" t="s">
        <v>139</v>
      </c>
      <c r="M263" s="2"/>
      <c r="N263" s="2"/>
      <c r="O263" s="2"/>
      <c r="P263" s="2" t="s">
        <v>1081</v>
      </c>
      <c r="Q263" s="2"/>
      <c r="R263" s="2"/>
      <c r="S263" s="5">
        <v>-6.2</v>
      </c>
      <c r="T263" s="7">
        <v>-1.788</v>
      </c>
      <c r="U263" s="5">
        <v>-2.5</v>
      </c>
      <c r="V263" s="6">
        <v>-2.73</v>
      </c>
      <c r="W263" s="7">
        <v>1.125</v>
      </c>
      <c r="X263" s="7">
        <v>1.125</v>
      </c>
      <c r="Y263" s="7">
        <v>1.125</v>
      </c>
      <c r="Z263" s="7">
        <v>1.125</v>
      </c>
      <c r="AA263" s="2"/>
      <c r="AB263" s="2" t="s">
        <v>86</v>
      </c>
      <c r="AC263" s="2"/>
    </row>
    <row r="264" spans="1:29" ht="117" x14ac:dyDescent="0.15">
      <c r="A264" s="3">
        <f>DATE(1990,8,8)</f>
        <v>33093</v>
      </c>
      <c r="B264" s="2"/>
      <c r="C264" s="2" t="s">
        <v>30</v>
      </c>
      <c r="D264" s="2" t="s">
        <v>1082</v>
      </c>
      <c r="E264" s="2" t="s">
        <v>1083</v>
      </c>
      <c r="F264" s="4">
        <v>3089</v>
      </c>
      <c r="G264" s="2" t="s">
        <v>447</v>
      </c>
      <c r="H264" s="2" t="s">
        <v>34</v>
      </c>
      <c r="I264" s="2" t="s">
        <v>1084</v>
      </c>
      <c r="J264" s="2" t="s">
        <v>1085</v>
      </c>
      <c r="K264" s="2" t="s">
        <v>370</v>
      </c>
      <c r="L264" s="2" t="s">
        <v>1086</v>
      </c>
      <c r="M264" s="2"/>
      <c r="N264" s="2"/>
      <c r="O264" s="2"/>
      <c r="P264" s="2" t="s">
        <v>1087</v>
      </c>
      <c r="Q264" s="2"/>
      <c r="R264" s="6">
        <v>1</v>
      </c>
      <c r="S264" s="5">
        <v>-3</v>
      </c>
      <c r="T264" s="7">
        <v>-1.212</v>
      </c>
      <c r="U264" s="5">
        <v>3.1</v>
      </c>
      <c r="V264" s="6">
        <v>-0.66</v>
      </c>
      <c r="W264" s="7">
        <v>1.625</v>
      </c>
      <c r="X264" s="6">
        <v>1.75</v>
      </c>
      <c r="Y264" s="7">
        <v>1.125</v>
      </c>
      <c r="Z264" s="4">
        <v>1</v>
      </c>
      <c r="AA264" s="6">
        <v>2</v>
      </c>
      <c r="AB264" s="2" t="s">
        <v>86</v>
      </c>
      <c r="AC264" s="2"/>
    </row>
    <row r="265" spans="1:29" ht="78" x14ac:dyDescent="0.15">
      <c r="A265" s="3">
        <f>DATE(1990,8,8)</f>
        <v>33093</v>
      </c>
      <c r="B265" s="3">
        <f>DATE(1990,11,1)</f>
        <v>33178</v>
      </c>
      <c r="C265" s="2" t="s">
        <v>95</v>
      </c>
      <c r="D265" s="2" t="s">
        <v>1088</v>
      </c>
      <c r="E265" s="2" t="s">
        <v>1089</v>
      </c>
      <c r="F265" s="4">
        <v>8731</v>
      </c>
      <c r="G265" s="2" t="s">
        <v>223</v>
      </c>
      <c r="H265" s="2" t="s">
        <v>34</v>
      </c>
      <c r="I265" s="2" t="s">
        <v>1090</v>
      </c>
      <c r="J265" s="2" t="s">
        <v>52</v>
      </c>
      <c r="K265" s="2" t="s">
        <v>53</v>
      </c>
      <c r="L265" s="2" t="s">
        <v>34</v>
      </c>
      <c r="M265" s="2"/>
      <c r="N265" s="2"/>
      <c r="O265" s="2"/>
      <c r="P265" s="2" t="s">
        <v>1091</v>
      </c>
      <c r="Q265" s="6">
        <v>65.709999999999994</v>
      </c>
      <c r="R265" s="6">
        <v>0.5</v>
      </c>
      <c r="S265" s="5">
        <v>-5.9</v>
      </c>
      <c r="T265" s="7">
        <v>-1.4890000000000001</v>
      </c>
      <c r="U265" s="5">
        <v>0.8</v>
      </c>
      <c r="V265" s="6">
        <v>-1.1399999999999999</v>
      </c>
      <c r="W265" s="7">
        <v>0.81299999999999994</v>
      </c>
      <c r="X265" s="7">
        <v>1.125</v>
      </c>
      <c r="Y265" s="4">
        <v>1</v>
      </c>
      <c r="Z265" s="7">
        <v>1.125</v>
      </c>
      <c r="AA265" s="6">
        <v>5.22</v>
      </c>
      <c r="AB265" s="2" t="s">
        <v>86</v>
      </c>
      <c r="AC265" s="2"/>
    </row>
    <row r="266" spans="1:29" ht="78" x14ac:dyDescent="0.15">
      <c r="A266" s="3">
        <f>DATE(1990,8,9)</f>
        <v>33094</v>
      </c>
      <c r="B266" s="3">
        <f>DATE(1991,1,3)</f>
        <v>33241</v>
      </c>
      <c r="C266" s="2" t="s">
        <v>95</v>
      </c>
      <c r="D266" s="2" t="s">
        <v>1092</v>
      </c>
      <c r="E266" s="2" t="s">
        <v>1093</v>
      </c>
      <c r="F266" s="4">
        <v>3663</v>
      </c>
      <c r="G266" s="2" t="s">
        <v>921</v>
      </c>
      <c r="H266" s="2" t="s">
        <v>34</v>
      </c>
      <c r="I266" s="2" t="s">
        <v>1094</v>
      </c>
      <c r="J266" s="2" t="s">
        <v>1095</v>
      </c>
      <c r="K266" s="2" t="s">
        <v>921</v>
      </c>
      <c r="L266" s="2" t="s">
        <v>34</v>
      </c>
      <c r="M266" s="2"/>
      <c r="N266" s="6">
        <v>13.25</v>
      </c>
      <c r="O266" s="6">
        <v>13.25</v>
      </c>
      <c r="P266" s="2" t="s">
        <v>1096</v>
      </c>
      <c r="Q266" s="6">
        <v>100</v>
      </c>
      <c r="R266" s="6">
        <v>2.5</v>
      </c>
      <c r="S266" s="5">
        <v>0.5</v>
      </c>
      <c r="T266" s="7">
        <v>1.6180000000000001</v>
      </c>
      <c r="U266" s="5">
        <v>2</v>
      </c>
      <c r="V266" s="6">
        <v>0.17</v>
      </c>
      <c r="W266" s="7">
        <v>1.5309999999999999</v>
      </c>
      <c r="X266" s="7">
        <v>1.5629999999999999</v>
      </c>
      <c r="Y266" s="7">
        <v>2.1880000000000002</v>
      </c>
      <c r="Z266" s="7">
        <v>2.125</v>
      </c>
      <c r="AA266" s="6">
        <v>2.69</v>
      </c>
      <c r="AB266" s="7">
        <v>11.061999999999999</v>
      </c>
      <c r="AC266" s="5">
        <v>14.9</v>
      </c>
    </row>
    <row r="267" spans="1:29" ht="143" x14ac:dyDescent="0.15">
      <c r="A267" s="3">
        <f>DATE(1990,8,10)</f>
        <v>33095</v>
      </c>
      <c r="B267" s="2"/>
      <c r="C267" s="2" t="s">
        <v>87</v>
      </c>
      <c r="D267" s="2" t="s">
        <v>1097</v>
      </c>
      <c r="E267" s="2" t="s">
        <v>1098</v>
      </c>
      <c r="F267" s="4">
        <v>8051</v>
      </c>
      <c r="G267" s="2" t="s">
        <v>454</v>
      </c>
      <c r="H267" s="2" t="s">
        <v>34</v>
      </c>
      <c r="I267" s="2" t="s">
        <v>1099</v>
      </c>
      <c r="J267" s="2" t="s">
        <v>1098</v>
      </c>
      <c r="K267" s="2" t="s">
        <v>454</v>
      </c>
      <c r="L267" s="2" t="s">
        <v>902</v>
      </c>
      <c r="M267" s="2"/>
      <c r="N267" s="2"/>
      <c r="O267" s="2"/>
      <c r="P267" s="2" t="s">
        <v>1100</v>
      </c>
      <c r="Q267" s="2"/>
      <c r="R267" s="6">
        <v>2.4</v>
      </c>
      <c r="S267" s="5">
        <v>1.4</v>
      </c>
      <c r="T267" s="7">
        <v>14.381</v>
      </c>
      <c r="U267" s="5">
        <v>1.9</v>
      </c>
      <c r="V267" s="6">
        <v>0.12</v>
      </c>
      <c r="W267" s="7">
        <v>1.0629999999999999</v>
      </c>
      <c r="X267" s="7">
        <v>1.0629999999999999</v>
      </c>
      <c r="Y267" s="4">
        <v>2</v>
      </c>
      <c r="Z267" s="7">
        <v>2.0630000000000002</v>
      </c>
      <c r="AA267" s="6">
        <v>11.42</v>
      </c>
      <c r="AB267" s="7">
        <v>9.9049999999999994</v>
      </c>
      <c r="AC267" s="2"/>
    </row>
    <row r="268" spans="1:29" ht="91" x14ac:dyDescent="0.15">
      <c r="A268" s="3">
        <f>DATE(1990,8,10)</f>
        <v>33095</v>
      </c>
      <c r="B268" s="2"/>
      <c r="C268" s="2" t="s">
        <v>87</v>
      </c>
      <c r="D268" s="2" t="s">
        <v>1101</v>
      </c>
      <c r="E268" s="2" t="s">
        <v>1102</v>
      </c>
      <c r="F268" s="4">
        <v>3841</v>
      </c>
      <c r="G268" s="2" t="s">
        <v>226</v>
      </c>
      <c r="H268" s="2" t="s">
        <v>34</v>
      </c>
      <c r="I268" s="2" t="s">
        <v>1101</v>
      </c>
      <c r="J268" s="2" t="s">
        <v>1102</v>
      </c>
      <c r="K268" s="2" t="s">
        <v>226</v>
      </c>
      <c r="L268" s="2" t="s">
        <v>34</v>
      </c>
      <c r="M268" s="2"/>
      <c r="N268" s="6">
        <v>11.25</v>
      </c>
      <c r="O268" s="6">
        <v>11.25</v>
      </c>
      <c r="P268" s="2" t="s">
        <v>1103</v>
      </c>
      <c r="Q268" s="2"/>
      <c r="R268" s="2"/>
      <c r="S268" s="2"/>
      <c r="T268" s="2"/>
      <c r="U268" s="2"/>
      <c r="V268" s="2"/>
      <c r="W268" s="7">
        <v>11.125</v>
      </c>
      <c r="X268" s="4">
        <v>11</v>
      </c>
      <c r="Y268" s="6">
        <v>11.25</v>
      </c>
      <c r="Z268" s="6">
        <v>11.25</v>
      </c>
      <c r="AA268" s="2"/>
      <c r="AB268" s="2" t="s">
        <v>47</v>
      </c>
      <c r="AC268" s="2"/>
    </row>
    <row r="269" spans="1:29" ht="156" x14ac:dyDescent="0.15">
      <c r="A269" s="3">
        <f>DATE(1990,8,10)</f>
        <v>33095</v>
      </c>
      <c r="B269" s="3">
        <f>DATE(1990,10,4)</f>
        <v>33150</v>
      </c>
      <c r="C269" s="2" t="s">
        <v>95</v>
      </c>
      <c r="D269" s="2" t="s">
        <v>1104</v>
      </c>
      <c r="E269" s="2" t="s">
        <v>1105</v>
      </c>
      <c r="F269" s="4">
        <v>5611</v>
      </c>
      <c r="G269" s="2" t="s">
        <v>756</v>
      </c>
      <c r="H269" s="2" t="s">
        <v>34</v>
      </c>
      <c r="I269" s="2" t="s">
        <v>1106</v>
      </c>
      <c r="J269" s="2" t="s">
        <v>1107</v>
      </c>
      <c r="K269" s="2" t="s">
        <v>756</v>
      </c>
      <c r="L269" s="2" t="s">
        <v>34</v>
      </c>
      <c r="M269" s="2"/>
      <c r="N269" s="6">
        <v>34.25</v>
      </c>
      <c r="O269" s="7">
        <v>34.375</v>
      </c>
      <c r="P269" s="2" t="s">
        <v>1108</v>
      </c>
      <c r="Q269" s="6">
        <v>100</v>
      </c>
      <c r="R269" s="6">
        <v>6</v>
      </c>
      <c r="S269" s="5">
        <v>-1.1000000000000001</v>
      </c>
      <c r="T269" s="7">
        <v>1.5760000000000001</v>
      </c>
      <c r="U269" s="5">
        <v>4.0999999999999996</v>
      </c>
      <c r="V269" s="6">
        <v>-0.35</v>
      </c>
      <c r="W269" s="7">
        <v>1.875</v>
      </c>
      <c r="X269" s="4">
        <v>2</v>
      </c>
      <c r="Y269" s="6">
        <v>5.25</v>
      </c>
      <c r="Z269" s="5">
        <v>5.5</v>
      </c>
      <c r="AA269" s="6">
        <v>3.2</v>
      </c>
      <c r="AB269" s="2" t="s">
        <v>86</v>
      </c>
      <c r="AC269" s="2"/>
    </row>
    <row r="270" spans="1:29" ht="39" x14ac:dyDescent="0.15">
      <c r="A270" s="3">
        <f>DATE(1990,8,15)</f>
        <v>33100</v>
      </c>
      <c r="B270" s="2"/>
      <c r="C270" s="2" t="s">
        <v>30</v>
      </c>
      <c r="D270" s="2" t="s">
        <v>1109</v>
      </c>
      <c r="E270" s="2" t="s">
        <v>203</v>
      </c>
      <c r="F270" s="4">
        <v>6035</v>
      </c>
      <c r="G270" s="2" t="s">
        <v>33</v>
      </c>
      <c r="H270" s="2" t="s">
        <v>34</v>
      </c>
      <c r="I270" s="2" t="s">
        <v>51</v>
      </c>
      <c r="J270" s="2" t="s">
        <v>52</v>
      </c>
      <c r="K270" s="2" t="s">
        <v>53</v>
      </c>
      <c r="L270" s="2" t="s">
        <v>34</v>
      </c>
      <c r="M270" s="2"/>
      <c r="N270" s="2"/>
      <c r="O270" s="2"/>
      <c r="P270" s="2" t="s">
        <v>1110</v>
      </c>
      <c r="Q270" s="2"/>
      <c r="R270" s="2"/>
      <c r="S270" s="5">
        <v>2</v>
      </c>
      <c r="T270" s="2"/>
      <c r="U270" s="2"/>
      <c r="V270" s="2"/>
      <c r="W270" s="7">
        <v>8.625</v>
      </c>
      <c r="X270" s="5">
        <v>9.5</v>
      </c>
      <c r="Y270" s="5">
        <v>9.5</v>
      </c>
      <c r="Z270" s="4">
        <v>9</v>
      </c>
      <c r="AA270" s="2"/>
      <c r="AB270" s="2" t="s">
        <v>47</v>
      </c>
      <c r="AC270" s="2"/>
    </row>
    <row r="271" spans="1:29" ht="117" x14ac:dyDescent="0.15">
      <c r="A271" s="3">
        <f>DATE(1990,8,16)</f>
        <v>33101</v>
      </c>
      <c r="B271" s="3">
        <f>DATE(1991,3,26)</f>
        <v>33323</v>
      </c>
      <c r="C271" s="2" t="s">
        <v>95</v>
      </c>
      <c r="D271" s="2" t="s">
        <v>1111</v>
      </c>
      <c r="E271" s="2" t="s">
        <v>1112</v>
      </c>
      <c r="F271" s="4">
        <v>6311</v>
      </c>
      <c r="G271" s="2" t="s">
        <v>125</v>
      </c>
      <c r="H271" s="2" t="s">
        <v>34</v>
      </c>
      <c r="I271" s="2" t="s">
        <v>1113</v>
      </c>
      <c r="J271" s="2" t="s">
        <v>52</v>
      </c>
      <c r="K271" s="2" t="s">
        <v>53</v>
      </c>
      <c r="L271" s="2" t="s">
        <v>34</v>
      </c>
      <c r="M271" s="2"/>
      <c r="N271" s="2"/>
      <c r="O271" s="2"/>
      <c r="P271" s="2" t="s">
        <v>1114</v>
      </c>
      <c r="Q271" s="6">
        <v>50</v>
      </c>
      <c r="R271" s="6">
        <v>1.33</v>
      </c>
      <c r="S271" s="5">
        <v>3.7</v>
      </c>
      <c r="T271" s="7">
        <v>7.2089999999999996</v>
      </c>
      <c r="U271" s="5">
        <v>1.4</v>
      </c>
      <c r="V271" s="6">
        <v>0.05</v>
      </c>
      <c r="W271" s="7">
        <v>1.0629999999999999</v>
      </c>
      <c r="X271" s="7">
        <v>1.0940000000000001</v>
      </c>
      <c r="Y271" s="7">
        <v>1.125</v>
      </c>
      <c r="Z271" s="4">
        <v>1</v>
      </c>
      <c r="AA271" s="6">
        <v>70.599999999999994</v>
      </c>
      <c r="AB271" s="2" t="s">
        <v>86</v>
      </c>
      <c r="AC271" s="2"/>
    </row>
    <row r="272" spans="1:29" ht="78" x14ac:dyDescent="0.15">
      <c r="A272" s="3">
        <f>DATE(1990,8,21)</f>
        <v>33106</v>
      </c>
      <c r="B272" s="3">
        <f>DATE(1990,10,31)</f>
        <v>33177</v>
      </c>
      <c r="C272" s="2" t="s">
        <v>95</v>
      </c>
      <c r="D272" s="2" t="s">
        <v>1115</v>
      </c>
      <c r="E272" s="2" t="s">
        <v>1116</v>
      </c>
      <c r="F272" s="4">
        <v>3571</v>
      </c>
      <c r="G272" s="2" t="s">
        <v>50</v>
      </c>
      <c r="H272" s="2" t="s">
        <v>34</v>
      </c>
      <c r="I272" s="2" t="s">
        <v>339</v>
      </c>
      <c r="J272" s="2" t="s">
        <v>340</v>
      </c>
      <c r="K272" s="2" t="s">
        <v>341</v>
      </c>
      <c r="L272" s="2" t="s">
        <v>34</v>
      </c>
      <c r="M272" s="2"/>
      <c r="N272" s="2"/>
      <c r="O272" s="2"/>
      <c r="P272" s="2" t="s">
        <v>1117</v>
      </c>
      <c r="Q272" s="6">
        <v>100</v>
      </c>
      <c r="R272" s="6">
        <v>3.25</v>
      </c>
      <c r="S272" s="5">
        <v>-0.5</v>
      </c>
      <c r="T272" s="7">
        <v>1.6359999999999999</v>
      </c>
      <c r="U272" s="5">
        <v>2.7</v>
      </c>
      <c r="V272" s="6">
        <v>-0.24</v>
      </c>
      <c r="W272" s="6">
        <v>3.25</v>
      </c>
      <c r="X272" s="6">
        <v>3.25</v>
      </c>
      <c r="Y272" s="7">
        <v>3.125</v>
      </c>
      <c r="Z272" s="4">
        <v>3</v>
      </c>
      <c r="AA272" s="6">
        <v>1.95</v>
      </c>
      <c r="AB272" s="7">
        <v>15.581</v>
      </c>
      <c r="AC272" s="6">
        <v>37.409999999999997</v>
      </c>
    </row>
    <row r="273" spans="1:29" ht="130" x14ac:dyDescent="0.15">
      <c r="A273" s="3">
        <f>DATE(1990,8,21)</f>
        <v>33106</v>
      </c>
      <c r="B273" s="2"/>
      <c r="C273" s="2" t="s">
        <v>82</v>
      </c>
      <c r="D273" s="2" t="s">
        <v>1118</v>
      </c>
      <c r="E273" s="2" t="s">
        <v>1119</v>
      </c>
      <c r="F273" s="4">
        <v>2678</v>
      </c>
      <c r="G273" s="2" t="s">
        <v>282</v>
      </c>
      <c r="H273" s="2" t="s">
        <v>34</v>
      </c>
      <c r="I273" s="2" t="s">
        <v>51</v>
      </c>
      <c r="J273" s="2" t="s">
        <v>52</v>
      </c>
      <c r="K273" s="2" t="s">
        <v>53</v>
      </c>
      <c r="L273" s="2" t="s">
        <v>34</v>
      </c>
      <c r="M273" s="2"/>
      <c r="N273" s="2"/>
      <c r="O273" s="2"/>
      <c r="P273" s="2" t="s">
        <v>1120</v>
      </c>
      <c r="Q273" s="2"/>
      <c r="R273" s="2"/>
      <c r="S273" s="5">
        <v>2.4</v>
      </c>
      <c r="T273" s="2"/>
      <c r="U273" s="5">
        <v>4.5999999999999996</v>
      </c>
      <c r="V273" s="2"/>
      <c r="W273" s="7">
        <v>10.625</v>
      </c>
      <c r="X273" s="4">
        <v>10</v>
      </c>
      <c r="Y273" s="7">
        <v>10.625</v>
      </c>
      <c r="Z273" s="4">
        <v>9</v>
      </c>
      <c r="AA273" s="6">
        <v>4.0599999999999996</v>
      </c>
      <c r="AB273" s="2" t="s">
        <v>47</v>
      </c>
      <c r="AC273" s="2"/>
    </row>
    <row r="274" spans="1:29" ht="169" x14ac:dyDescent="0.15">
      <c r="A274" s="3">
        <f>DATE(1990,8,22)</f>
        <v>33107</v>
      </c>
      <c r="B274" s="3">
        <f>DATE(1990,10,15)</f>
        <v>33161</v>
      </c>
      <c r="C274" s="2" t="s">
        <v>95</v>
      </c>
      <c r="D274" s="2" t="s">
        <v>1121</v>
      </c>
      <c r="E274" s="2" t="s">
        <v>1122</v>
      </c>
      <c r="F274" s="4">
        <v>3199</v>
      </c>
      <c r="G274" s="2" t="s">
        <v>326</v>
      </c>
      <c r="H274" s="2" t="s">
        <v>34</v>
      </c>
      <c r="I274" s="2" t="s">
        <v>986</v>
      </c>
      <c r="J274" s="2" t="s">
        <v>987</v>
      </c>
      <c r="K274" s="2" t="s">
        <v>237</v>
      </c>
      <c r="L274" s="2" t="s">
        <v>34</v>
      </c>
      <c r="M274" s="2"/>
      <c r="N274" s="6">
        <v>14.25</v>
      </c>
      <c r="O274" s="6">
        <v>13.75</v>
      </c>
      <c r="P274" s="2" t="s">
        <v>1123</v>
      </c>
      <c r="Q274" s="6">
        <v>100</v>
      </c>
      <c r="R274" s="6">
        <v>9</v>
      </c>
      <c r="S274" s="5">
        <v>-3.6</v>
      </c>
      <c r="T274" s="7">
        <v>0.39800000000000002</v>
      </c>
      <c r="U274" s="5">
        <v>14.1</v>
      </c>
      <c r="V274" s="6">
        <v>-1.87</v>
      </c>
      <c r="W274" s="6">
        <v>4.75</v>
      </c>
      <c r="X274" s="5">
        <v>4.5</v>
      </c>
      <c r="Y274" s="4">
        <v>8</v>
      </c>
      <c r="Z274" s="7">
        <v>7.375</v>
      </c>
      <c r="AA274" s="6">
        <v>1.94</v>
      </c>
      <c r="AB274" s="2" t="s">
        <v>86</v>
      </c>
      <c r="AC274" s="6">
        <v>3.34</v>
      </c>
    </row>
    <row r="275" spans="1:29" ht="156" x14ac:dyDescent="0.15">
      <c r="A275" s="3">
        <f>DATE(1990,8,22)</f>
        <v>33107</v>
      </c>
      <c r="B275" s="3">
        <f>DATE(1991,7,1)</f>
        <v>33420</v>
      </c>
      <c r="C275" s="2" t="s">
        <v>95</v>
      </c>
      <c r="D275" s="2" t="s">
        <v>1124</v>
      </c>
      <c r="E275" s="2" t="s">
        <v>32</v>
      </c>
      <c r="F275" s="4">
        <v>6036</v>
      </c>
      <c r="G275" s="2" t="s">
        <v>33</v>
      </c>
      <c r="H275" s="2" t="s">
        <v>34</v>
      </c>
      <c r="I275" s="2" t="s">
        <v>1125</v>
      </c>
      <c r="J275" s="2" t="s">
        <v>36</v>
      </c>
      <c r="K275" s="2" t="s">
        <v>37</v>
      </c>
      <c r="L275" s="2" t="s">
        <v>34</v>
      </c>
      <c r="M275" s="2"/>
      <c r="N275" s="6">
        <v>12.25</v>
      </c>
      <c r="O275" s="6">
        <v>12.25</v>
      </c>
      <c r="P275" s="2" t="s">
        <v>1126</v>
      </c>
      <c r="Q275" s="6">
        <v>100</v>
      </c>
      <c r="R275" s="2"/>
      <c r="S275" s="2"/>
      <c r="T275" s="2"/>
      <c r="U275" s="2"/>
      <c r="V275" s="2"/>
      <c r="W275" s="7">
        <v>17.625</v>
      </c>
      <c r="X275" s="5">
        <v>17.5</v>
      </c>
      <c r="Y275" s="4">
        <v>16</v>
      </c>
      <c r="Z275" s="5">
        <v>13.5</v>
      </c>
      <c r="AA275" s="2"/>
      <c r="AB275" s="2" t="s">
        <v>47</v>
      </c>
      <c r="AC275" s="2"/>
    </row>
    <row r="276" spans="1:29" ht="169" x14ac:dyDescent="0.15">
      <c r="A276" s="3">
        <f>DATE(1990,8,23)</f>
        <v>33108</v>
      </c>
      <c r="B276" s="2"/>
      <c r="C276" s="2" t="s">
        <v>30</v>
      </c>
      <c r="D276" s="2" t="s">
        <v>1127</v>
      </c>
      <c r="E276" s="2" t="s">
        <v>1128</v>
      </c>
      <c r="F276" s="4">
        <v>6512</v>
      </c>
      <c r="G276" s="2" t="s">
        <v>109</v>
      </c>
      <c r="H276" s="2" t="s">
        <v>34</v>
      </c>
      <c r="I276" s="2" t="s">
        <v>51</v>
      </c>
      <c r="J276" s="2" t="s">
        <v>52</v>
      </c>
      <c r="K276" s="2" t="s">
        <v>53</v>
      </c>
      <c r="L276" s="2" t="s">
        <v>902</v>
      </c>
      <c r="M276" s="2"/>
      <c r="N276" s="2"/>
      <c r="O276" s="2"/>
      <c r="P276" s="2" t="s">
        <v>1129</v>
      </c>
      <c r="Q276" s="2"/>
      <c r="R276" s="6">
        <v>4</v>
      </c>
      <c r="S276" s="5">
        <v>128</v>
      </c>
      <c r="T276" s="2"/>
      <c r="U276" s="5">
        <v>32.1</v>
      </c>
      <c r="V276" s="6">
        <v>2.82</v>
      </c>
      <c r="W276" s="7">
        <v>1.875</v>
      </c>
      <c r="X276" s="6">
        <v>1.75</v>
      </c>
      <c r="Y276" s="4">
        <v>2</v>
      </c>
      <c r="Z276" s="7">
        <v>2.375</v>
      </c>
      <c r="AA276" s="6">
        <v>34.25</v>
      </c>
      <c r="AB276" s="2" t="s">
        <v>86</v>
      </c>
      <c r="AC276" s="2"/>
    </row>
    <row r="277" spans="1:29" ht="117" x14ac:dyDescent="0.15">
      <c r="A277" s="3">
        <f>DATE(1990,8,27)</f>
        <v>33112</v>
      </c>
      <c r="B277" s="3">
        <f>DATE(1990,10,4)</f>
        <v>33150</v>
      </c>
      <c r="C277" s="2" t="s">
        <v>95</v>
      </c>
      <c r="D277" s="2" t="s">
        <v>1130</v>
      </c>
      <c r="E277" s="2" t="s">
        <v>124</v>
      </c>
      <c r="F277" s="4">
        <v>6311</v>
      </c>
      <c r="G277" s="2" t="s">
        <v>125</v>
      </c>
      <c r="H277" s="2" t="s">
        <v>34</v>
      </c>
      <c r="I277" s="2" t="s">
        <v>1131</v>
      </c>
      <c r="J277" s="2" t="s">
        <v>124</v>
      </c>
      <c r="K277" s="2" t="s">
        <v>125</v>
      </c>
      <c r="L277" s="2" t="s">
        <v>34</v>
      </c>
      <c r="M277" s="2"/>
      <c r="N277" s="2"/>
      <c r="O277" s="2"/>
      <c r="P277" s="2" t="s">
        <v>1132</v>
      </c>
      <c r="Q277" s="6">
        <v>100</v>
      </c>
      <c r="R277" s="2"/>
      <c r="S277" s="5">
        <v>-0.1</v>
      </c>
      <c r="T277" s="2"/>
      <c r="U277" s="5">
        <v>0.9</v>
      </c>
      <c r="V277" s="2"/>
      <c r="W277" s="7">
        <v>1.375</v>
      </c>
      <c r="X277" s="6">
        <v>1.25</v>
      </c>
      <c r="Y277" s="6">
        <v>1.25</v>
      </c>
      <c r="Z277" s="6">
        <v>1.25</v>
      </c>
      <c r="AA277" s="6">
        <v>6.17</v>
      </c>
      <c r="AB277" s="2" t="s">
        <v>47</v>
      </c>
      <c r="AC277" s="2"/>
    </row>
    <row r="278" spans="1:29" ht="156" x14ac:dyDescent="0.15">
      <c r="A278" s="3">
        <f>DATE(1990,8,30)</f>
        <v>33115</v>
      </c>
      <c r="B278" s="2"/>
      <c r="C278" s="2" t="s">
        <v>30</v>
      </c>
      <c r="D278" s="2" t="s">
        <v>284</v>
      </c>
      <c r="E278" s="2" t="s">
        <v>285</v>
      </c>
      <c r="F278" s="4">
        <v>2851</v>
      </c>
      <c r="G278" s="2" t="s">
        <v>98</v>
      </c>
      <c r="H278" s="2" t="s">
        <v>34</v>
      </c>
      <c r="I278" s="2" t="s">
        <v>1133</v>
      </c>
      <c r="J278" s="2" t="s">
        <v>52</v>
      </c>
      <c r="K278" s="2" t="s">
        <v>53</v>
      </c>
      <c r="L278" s="2" t="s">
        <v>34</v>
      </c>
      <c r="M278" s="2"/>
      <c r="N278" s="2"/>
      <c r="O278" s="2"/>
      <c r="P278" s="2" t="s">
        <v>1134</v>
      </c>
      <c r="Q278" s="2"/>
      <c r="R278" s="6">
        <v>5.75</v>
      </c>
      <c r="S278" s="5">
        <v>-5.4</v>
      </c>
      <c r="T278" s="7">
        <v>31.434000000000001</v>
      </c>
      <c r="U278" s="5">
        <v>22.7</v>
      </c>
      <c r="V278" s="6">
        <v>-1.35</v>
      </c>
      <c r="W278" s="6">
        <v>39.25</v>
      </c>
      <c r="X278" s="5">
        <v>39.5</v>
      </c>
      <c r="Y278" s="7">
        <v>42.625</v>
      </c>
      <c r="Z278" s="7">
        <v>47.375</v>
      </c>
      <c r="AA278" s="6">
        <v>4.3</v>
      </c>
      <c r="AB278" s="7">
        <v>6.7690000000000001</v>
      </c>
      <c r="AC278" s="2"/>
    </row>
    <row r="279" spans="1:29" ht="117" x14ac:dyDescent="0.15">
      <c r="A279" s="3">
        <f>DATE(1990,8,30)</f>
        <v>33115</v>
      </c>
      <c r="B279" s="3">
        <f>DATE(1991,9,30)</f>
        <v>33511</v>
      </c>
      <c r="C279" s="2" t="s">
        <v>95</v>
      </c>
      <c r="D279" s="2" t="s">
        <v>1135</v>
      </c>
      <c r="E279" s="2" t="s">
        <v>1136</v>
      </c>
      <c r="F279" s="4">
        <v>5812</v>
      </c>
      <c r="G279" s="2" t="s">
        <v>230</v>
      </c>
      <c r="H279" s="2" t="s">
        <v>34</v>
      </c>
      <c r="I279" s="2" t="s">
        <v>1137</v>
      </c>
      <c r="J279" s="2" t="s">
        <v>1138</v>
      </c>
      <c r="K279" s="2" t="s">
        <v>230</v>
      </c>
      <c r="L279" s="2" t="s">
        <v>34</v>
      </c>
      <c r="M279" s="7">
        <v>14.606</v>
      </c>
      <c r="N279" s="7">
        <v>3.125</v>
      </c>
      <c r="O279" s="7">
        <v>3.1880000000000002</v>
      </c>
      <c r="P279" s="2" t="s">
        <v>1139</v>
      </c>
      <c r="Q279" s="6">
        <v>100</v>
      </c>
      <c r="R279" s="6">
        <v>3</v>
      </c>
      <c r="S279" s="2"/>
      <c r="T279" s="7">
        <v>-0.86299999999999999</v>
      </c>
      <c r="U279" s="5">
        <v>0.1</v>
      </c>
      <c r="V279" s="2"/>
      <c r="W279" s="6">
        <v>2.25</v>
      </c>
      <c r="X279" s="4">
        <v>3</v>
      </c>
      <c r="Y279" s="7">
        <v>3.125</v>
      </c>
      <c r="Z279" s="9">
        <v>3.1875</v>
      </c>
      <c r="AA279" s="6">
        <v>10.98</v>
      </c>
      <c r="AB279" s="2" t="s">
        <v>86</v>
      </c>
      <c r="AC279" s="2"/>
    </row>
    <row r="280" spans="1:29" ht="52" x14ac:dyDescent="0.15">
      <c r="A280" s="3">
        <f>DATE(1990,9,3)</f>
        <v>33119</v>
      </c>
      <c r="B280" s="3">
        <f>DATE(1991,2,15)</f>
        <v>33284</v>
      </c>
      <c r="C280" s="2" t="s">
        <v>95</v>
      </c>
      <c r="D280" s="2" t="s">
        <v>1140</v>
      </c>
      <c r="E280" s="2" t="s">
        <v>905</v>
      </c>
      <c r="F280" s="4">
        <v>3822</v>
      </c>
      <c r="G280" s="2" t="s">
        <v>226</v>
      </c>
      <c r="H280" s="2" t="s">
        <v>34</v>
      </c>
      <c r="I280" s="2" t="s">
        <v>1141</v>
      </c>
      <c r="J280" s="2" t="s">
        <v>1142</v>
      </c>
      <c r="K280" s="2" t="s">
        <v>137</v>
      </c>
      <c r="L280" s="2" t="s">
        <v>303</v>
      </c>
      <c r="M280" s="2"/>
      <c r="N280" s="2"/>
      <c r="O280" s="2"/>
      <c r="P280" s="2" t="s">
        <v>1143</v>
      </c>
      <c r="Q280" s="6">
        <v>100</v>
      </c>
      <c r="R280" s="6">
        <v>2.4300000000000002</v>
      </c>
      <c r="S280" s="5">
        <v>0</v>
      </c>
      <c r="T280" s="6">
        <v>-0.02</v>
      </c>
      <c r="U280" s="5">
        <v>1.7</v>
      </c>
      <c r="V280" s="6">
        <v>0.02</v>
      </c>
      <c r="W280" s="5">
        <v>1.5</v>
      </c>
      <c r="X280" s="5">
        <v>1.5</v>
      </c>
      <c r="Y280" s="5">
        <v>1.5</v>
      </c>
      <c r="Z280" s="5">
        <v>1.5</v>
      </c>
      <c r="AA280" s="6">
        <v>0.95</v>
      </c>
      <c r="AB280" s="2" t="s">
        <v>86</v>
      </c>
      <c r="AC280" s="2"/>
    </row>
    <row r="281" spans="1:29" ht="143" x14ac:dyDescent="0.15">
      <c r="A281" s="3">
        <f>DATE(1990,9,4)</f>
        <v>33120</v>
      </c>
      <c r="B281" s="3">
        <f>DATE(1991,5,31)</f>
        <v>33389</v>
      </c>
      <c r="C281" s="2" t="s">
        <v>95</v>
      </c>
      <c r="D281" s="2" t="s">
        <v>714</v>
      </c>
      <c r="E281" s="2" t="s">
        <v>715</v>
      </c>
      <c r="F281" s="4">
        <v>5047</v>
      </c>
      <c r="G281" s="2" t="s">
        <v>76</v>
      </c>
      <c r="H281" s="2" t="s">
        <v>34</v>
      </c>
      <c r="I281" s="2" t="s">
        <v>51</v>
      </c>
      <c r="J281" s="2" t="s">
        <v>52</v>
      </c>
      <c r="K281" s="2" t="s">
        <v>53</v>
      </c>
      <c r="L281" s="2" t="s">
        <v>34</v>
      </c>
      <c r="M281" s="2"/>
      <c r="N281" s="2"/>
      <c r="O281" s="2"/>
      <c r="P281" s="2" t="s">
        <v>1144</v>
      </c>
      <c r="Q281" s="6">
        <v>100</v>
      </c>
      <c r="R281" s="6">
        <v>15</v>
      </c>
      <c r="S281" s="5">
        <v>-21.9</v>
      </c>
      <c r="T281" s="7">
        <v>26.965</v>
      </c>
      <c r="U281" s="5">
        <v>16.2</v>
      </c>
      <c r="V281" s="6">
        <v>-2.84</v>
      </c>
      <c r="W281" s="4">
        <v>15</v>
      </c>
      <c r="X281" s="5">
        <v>15.5</v>
      </c>
      <c r="Y281" s="4">
        <v>18</v>
      </c>
      <c r="Z281" s="5">
        <v>18.5</v>
      </c>
      <c r="AA281" s="6">
        <v>7.71</v>
      </c>
      <c r="AB281" s="7">
        <v>10.31</v>
      </c>
      <c r="AC281" s="2"/>
    </row>
    <row r="282" spans="1:29" ht="104" x14ac:dyDescent="0.15">
      <c r="A282" s="3">
        <f>DATE(1990,9,5)</f>
        <v>33121</v>
      </c>
      <c r="B282" s="2"/>
      <c r="C282" s="2" t="s">
        <v>30</v>
      </c>
      <c r="D282" s="2" t="s">
        <v>1145</v>
      </c>
      <c r="E282" s="2" t="s">
        <v>1146</v>
      </c>
      <c r="F282" s="4">
        <v>5112</v>
      </c>
      <c r="G282" s="2" t="s">
        <v>593</v>
      </c>
      <c r="H282" s="2" t="s">
        <v>34</v>
      </c>
      <c r="I282" s="2" t="s">
        <v>1147</v>
      </c>
      <c r="J282" s="2" t="s">
        <v>1148</v>
      </c>
      <c r="K282" s="2" t="s">
        <v>76</v>
      </c>
      <c r="L282" s="2" t="s">
        <v>902</v>
      </c>
      <c r="M282" s="2"/>
      <c r="N282" s="2"/>
      <c r="O282" s="2"/>
      <c r="P282" s="2" t="s">
        <v>1149</v>
      </c>
      <c r="Q282" s="2"/>
      <c r="R282" s="2"/>
      <c r="S282" s="5">
        <v>-12.8</v>
      </c>
      <c r="T282" s="2"/>
      <c r="U282" s="5">
        <v>0.8</v>
      </c>
      <c r="V282" s="2"/>
      <c r="W282" s="7">
        <v>2.875</v>
      </c>
      <c r="X282" s="7">
        <v>2.875</v>
      </c>
      <c r="Y282" s="7">
        <v>2.875</v>
      </c>
      <c r="Z282" s="7">
        <v>2.875</v>
      </c>
      <c r="AA282" s="2"/>
      <c r="AB282" s="2" t="s">
        <v>86</v>
      </c>
      <c r="AC282" s="2"/>
    </row>
    <row r="283" spans="1:29" ht="143" x14ac:dyDescent="0.15">
      <c r="A283" s="3">
        <f>DATE(1990,9,5)</f>
        <v>33121</v>
      </c>
      <c r="B283" s="2"/>
      <c r="C283" s="2" t="s">
        <v>30</v>
      </c>
      <c r="D283" s="2" t="s">
        <v>1150</v>
      </c>
      <c r="E283" s="2" t="s">
        <v>1151</v>
      </c>
      <c r="F283" s="4">
        <v>2816</v>
      </c>
      <c r="G283" s="2" t="s">
        <v>98</v>
      </c>
      <c r="H283" s="2" t="s">
        <v>34</v>
      </c>
      <c r="I283" s="2" t="s">
        <v>1152</v>
      </c>
      <c r="J283" s="2" t="s">
        <v>1153</v>
      </c>
      <c r="K283" s="2" t="s">
        <v>98</v>
      </c>
      <c r="L283" s="2" t="s">
        <v>34</v>
      </c>
      <c r="M283" s="2"/>
      <c r="N283" s="7">
        <v>11.375</v>
      </c>
      <c r="O283" s="6">
        <v>10.25</v>
      </c>
      <c r="P283" s="2" t="s">
        <v>1154</v>
      </c>
      <c r="Q283" s="2"/>
      <c r="R283" s="6">
        <v>17.8</v>
      </c>
      <c r="S283" s="5">
        <v>170.3</v>
      </c>
      <c r="T283" s="7">
        <v>271.65499999999997</v>
      </c>
      <c r="U283" s="5">
        <v>2</v>
      </c>
      <c r="V283" s="6">
        <v>2.57</v>
      </c>
      <c r="W283" s="7">
        <v>10.875</v>
      </c>
      <c r="X283" s="6">
        <v>12.25</v>
      </c>
      <c r="Y283" s="4">
        <v>13</v>
      </c>
      <c r="Z283" s="4">
        <v>13</v>
      </c>
      <c r="AA283" s="6">
        <v>67.8</v>
      </c>
      <c r="AB283" s="7">
        <v>7.0759999999999996</v>
      </c>
      <c r="AC283" s="6">
        <v>381.77</v>
      </c>
    </row>
    <row r="284" spans="1:29" ht="78" x14ac:dyDescent="0.15">
      <c r="A284" s="3">
        <f>DATE(1990,9,7)</f>
        <v>33123</v>
      </c>
      <c r="B284" s="2"/>
      <c r="C284" s="2" t="s">
        <v>30</v>
      </c>
      <c r="D284" s="2" t="s">
        <v>1155</v>
      </c>
      <c r="E284" s="2" t="s">
        <v>1008</v>
      </c>
      <c r="F284" s="4">
        <v>6035</v>
      </c>
      <c r="G284" s="2" t="s">
        <v>33</v>
      </c>
      <c r="H284" s="2" t="s">
        <v>34</v>
      </c>
      <c r="I284" s="2" t="s">
        <v>1156</v>
      </c>
      <c r="J284" s="2" t="s">
        <v>32</v>
      </c>
      <c r="K284" s="2" t="s">
        <v>33</v>
      </c>
      <c r="L284" s="2" t="s">
        <v>34</v>
      </c>
      <c r="M284" s="2"/>
      <c r="N284" s="6">
        <v>9.75</v>
      </c>
      <c r="O284" s="6">
        <v>9.75</v>
      </c>
      <c r="P284" s="2" t="s">
        <v>1157</v>
      </c>
      <c r="Q284" s="2"/>
      <c r="R284" s="2"/>
      <c r="S284" s="2"/>
      <c r="T284" s="2"/>
      <c r="U284" s="2"/>
      <c r="V284" s="2"/>
      <c r="W284" s="6">
        <v>8.75</v>
      </c>
      <c r="X284" s="6">
        <v>8.25</v>
      </c>
      <c r="Y284" s="6">
        <v>8.25</v>
      </c>
      <c r="Z284" s="6">
        <v>8.25</v>
      </c>
      <c r="AA284" s="2"/>
      <c r="AB284" s="2" t="s">
        <v>47</v>
      </c>
      <c r="AC284" s="2"/>
    </row>
    <row r="285" spans="1:29" ht="52" x14ac:dyDescent="0.15">
      <c r="A285" s="3">
        <f>DATE(1990,9,7)</f>
        <v>33123</v>
      </c>
      <c r="B285" s="2"/>
      <c r="C285" s="2" t="s">
        <v>141</v>
      </c>
      <c r="D285" s="2" t="s">
        <v>1158</v>
      </c>
      <c r="E285" s="2" t="s">
        <v>441</v>
      </c>
      <c r="F285" s="4">
        <v>4911</v>
      </c>
      <c r="G285" s="2" t="s">
        <v>439</v>
      </c>
      <c r="H285" s="2" t="s">
        <v>34</v>
      </c>
      <c r="I285" s="2" t="s">
        <v>143</v>
      </c>
      <c r="J285" s="2" t="s">
        <v>144</v>
      </c>
      <c r="K285" s="2" t="s">
        <v>53</v>
      </c>
      <c r="L285" s="2" t="s">
        <v>139</v>
      </c>
      <c r="M285" s="2"/>
      <c r="N285" s="2"/>
      <c r="O285" s="2"/>
      <c r="P285" s="2" t="s">
        <v>1159</v>
      </c>
      <c r="Q285" s="2"/>
      <c r="R285" s="2"/>
      <c r="S285" s="5">
        <v>2.2999999999999998</v>
      </c>
      <c r="T285" s="7">
        <v>16.050999999999998</v>
      </c>
      <c r="U285" s="5">
        <v>24.9</v>
      </c>
      <c r="V285" s="6">
        <v>1.67</v>
      </c>
      <c r="W285" s="7">
        <v>27.625</v>
      </c>
      <c r="X285" s="7">
        <v>27.875</v>
      </c>
      <c r="Y285" s="6">
        <v>27.75</v>
      </c>
      <c r="Z285" s="5">
        <v>28.5</v>
      </c>
      <c r="AA285" s="2"/>
      <c r="AB285" s="2" t="s">
        <v>47</v>
      </c>
      <c r="AC285" s="2"/>
    </row>
    <row r="286" spans="1:29" ht="39" x14ac:dyDescent="0.15">
      <c r="A286" s="3">
        <f>DATE(1990,9,10)</f>
        <v>33126</v>
      </c>
      <c r="B286" s="2"/>
      <c r="C286" s="2" t="s">
        <v>56</v>
      </c>
      <c r="D286" s="2" t="s">
        <v>1160</v>
      </c>
      <c r="E286" s="2" t="s">
        <v>1161</v>
      </c>
      <c r="F286" s="4">
        <v>5141</v>
      </c>
      <c r="G286" s="2" t="s">
        <v>593</v>
      </c>
      <c r="H286" s="2" t="s">
        <v>34</v>
      </c>
      <c r="I286" s="2" t="s">
        <v>1162</v>
      </c>
      <c r="J286" s="2" t="s">
        <v>396</v>
      </c>
      <c r="K286" s="2" t="s">
        <v>186</v>
      </c>
      <c r="L286" s="2" t="s">
        <v>34</v>
      </c>
      <c r="M286" s="2"/>
      <c r="N286" s="2"/>
      <c r="O286" s="2"/>
      <c r="P286" s="2" t="s">
        <v>1163</v>
      </c>
      <c r="Q286" s="2"/>
      <c r="R286" s="2"/>
      <c r="S286" s="5">
        <v>11.3</v>
      </c>
      <c r="T286" s="6">
        <v>51.39</v>
      </c>
      <c r="U286" s="5">
        <v>12.4</v>
      </c>
      <c r="V286" s="7">
        <v>0.76800000000000002</v>
      </c>
      <c r="W286" s="7">
        <v>16.875</v>
      </c>
      <c r="X286" s="7">
        <v>17.375</v>
      </c>
      <c r="Y286" s="7">
        <v>16.875</v>
      </c>
      <c r="Z286" s="4">
        <v>17</v>
      </c>
      <c r="AA286" s="2"/>
      <c r="AB286" s="2" t="s">
        <v>47</v>
      </c>
      <c r="AC286" s="2"/>
    </row>
    <row r="287" spans="1:29" ht="91" x14ac:dyDescent="0.15">
      <c r="A287" s="3">
        <f>DATE(1990,9,11)</f>
        <v>33127</v>
      </c>
      <c r="B287" s="3">
        <f>DATE(1990,9,22)</f>
        <v>33138</v>
      </c>
      <c r="C287" s="2" t="s">
        <v>95</v>
      </c>
      <c r="D287" s="2" t="s">
        <v>1164</v>
      </c>
      <c r="E287" s="2" t="s">
        <v>781</v>
      </c>
      <c r="F287" s="4">
        <v>7372</v>
      </c>
      <c r="G287" s="2" t="s">
        <v>551</v>
      </c>
      <c r="H287" s="2" t="s">
        <v>34</v>
      </c>
      <c r="I287" s="2" t="s">
        <v>1165</v>
      </c>
      <c r="J287" s="2" t="s">
        <v>1166</v>
      </c>
      <c r="K287" s="2" t="s">
        <v>223</v>
      </c>
      <c r="L287" s="2" t="s">
        <v>34</v>
      </c>
      <c r="M287" s="2"/>
      <c r="N287" s="4">
        <v>8</v>
      </c>
      <c r="O287" s="7">
        <v>7.875</v>
      </c>
      <c r="P287" s="2" t="s">
        <v>1167</v>
      </c>
      <c r="Q287" s="6">
        <v>100</v>
      </c>
      <c r="R287" s="6">
        <v>9.25</v>
      </c>
      <c r="S287" s="5">
        <v>0.1</v>
      </c>
      <c r="T287" s="7">
        <v>8.1780000000000008</v>
      </c>
      <c r="U287" s="5">
        <v>6.5</v>
      </c>
      <c r="V287" s="6">
        <v>0.01</v>
      </c>
      <c r="W287" s="5">
        <v>4.5</v>
      </c>
      <c r="X287" s="6">
        <v>5.75</v>
      </c>
      <c r="Y287" s="4">
        <v>9</v>
      </c>
      <c r="Z287" s="4">
        <v>9</v>
      </c>
      <c r="AA287" s="6">
        <v>11.46</v>
      </c>
      <c r="AB287" s="2" t="s">
        <v>86</v>
      </c>
      <c r="AC287" s="6">
        <v>35.33</v>
      </c>
    </row>
    <row r="288" spans="1:29" ht="143" x14ac:dyDescent="0.15">
      <c r="A288" s="3">
        <f>DATE(1990,9,12)</f>
        <v>33128</v>
      </c>
      <c r="B288" s="2"/>
      <c r="C288" s="2" t="s">
        <v>30</v>
      </c>
      <c r="D288" s="2" t="s">
        <v>853</v>
      </c>
      <c r="E288" s="2" t="s">
        <v>854</v>
      </c>
      <c r="F288" s="4">
        <v>6411</v>
      </c>
      <c r="G288" s="2" t="s">
        <v>125</v>
      </c>
      <c r="H288" s="2" t="s">
        <v>34</v>
      </c>
      <c r="I288" s="2" t="s">
        <v>1168</v>
      </c>
      <c r="J288" s="2" t="s">
        <v>1169</v>
      </c>
      <c r="K288" s="2" t="s">
        <v>125</v>
      </c>
      <c r="L288" s="2" t="s">
        <v>34</v>
      </c>
      <c r="M288" s="2"/>
      <c r="N288" s="4">
        <v>33</v>
      </c>
      <c r="O288" s="7">
        <v>31.875</v>
      </c>
      <c r="P288" s="2" t="s">
        <v>1170</v>
      </c>
      <c r="Q288" s="2"/>
      <c r="R288" s="6">
        <v>40</v>
      </c>
      <c r="S288" s="5">
        <v>36</v>
      </c>
      <c r="T288" s="7">
        <v>76.885999999999996</v>
      </c>
      <c r="U288" s="5">
        <v>14.3</v>
      </c>
      <c r="V288" s="6">
        <v>2.1</v>
      </c>
      <c r="W288" s="7">
        <v>30.875</v>
      </c>
      <c r="X288" s="7">
        <v>30.875</v>
      </c>
      <c r="Y288" s="6">
        <v>30.87</v>
      </c>
      <c r="Z288" s="6">
        <v>36.25</v>
      </c>
      <c r="AA288" s="6">
        <v>20.350000000000001</v>
      </c>
      <c r="AB288" s="7">
        <v>7.2960000000000003</v>
      </c>
      <c r="AC288" s="6">
        <v>31.9</v>
      </c>
    </row>
    <row r="289" spans="1:29" ht="156" x14ac:dyDescent="0.15">
      <c r="A289" s="3">
        <f>DATE(1990,9,14)</f>
        <v>33130</v>
      </c>
      <c r="B289" s="2"/>
      <c r="C289" s="2" t="s">
        <v>30</v>
      </c>
      <c r="D289" s="2" t="s">
        <v>1171</v>
      </c>
      <c r="E289" s="2" t="s">
        <v>1172</v>
      </c>
      <c r="F289" s="4">
        <v>5812</v>
      </c>
      <c r="G289" s="2" t="s">
        <v>230</v>
      </c>
      <c r="H289" s="2" t="s">
        <v>34</v>
      </c>
      <c r="I289" s="2" t="s">
        <v>149</v>
      </c>
      <c r="J289" s="2" t="s">
        <v>150</v>
      </c>
      <c r="K289" s="2" t="s">
        <v>53</v>
      </c>
      <c r="L289" s="2" t="s">
        <v>151</v>
      </c>
      <c r="M289" s="2"/>
      <c r="N289" s="2"/>
      <c r="O289" s="2"/>
      <c r="P289" s="2" t="s">
        <v>1173</v>
      </c>
      <c r="Q289" s="2"/>
      <c r="R289" s="6">
        <v>4</v>
      </c>
      <c r="S289" s="5">
        <v>7.1</v>
      </c>
      <c r="T289" s="7">
        <v>51.152999999999999</v>
      </c>
      <c r="U289" s="5">
        <v>7.4</v>
      </c>
      <c r="V289" s="6">
        <v>0.39</v>
      </c>
      <c r="W289" s="5">
        <v>5.5</v>
      </c>
      <c r="X289" s="7">
        <v>5.375</v>
      </c>
      <c r="Y289" s="7">
        <v>5.375</v>
      </c>
      <c r="Z289" s="7">
        <v>5.375</v>
      </c>
      <c r="AA289" s="6">
        <v>11.08</v>
      </c>
      <c r="AB289" s="7">
        <v>5.1689999999999996</v>
      </c>
      <c r="AC289" s="2"/>
    </row>
    <row r="290" spans="1:29" ht="117" x14ac:dyDescent="0.15">
      <c r="A290" s="3">
        <f>DATE(1990,9,17)</f>
        <v>33133</v>
      </c>
      <c r="B290" s="3">
        <f>DATE(1990,12,21)</f>
        <v>33228</v>
      </c>
      <c r="C290" s="2" t="s">
        <v>95</v>
      </c>
      <c r="D290" s="2" t="s">
        <v>1174</v>
      </c>
      <c r="E290" s="2" t="s">
        <v>1175</v>
      </c>
      <c r="F290" s="4">
        <v>3562</v>
      </c>
      <c r="G290" s="2" t="s">
        <v>300</v>
      </c>
      <c r="H290" s="2" t="s">
        <v>34</v>
      </c>
      <c r="I290" s="2" t="s">
        <v>1176</v>
      </c>
      <c r="J290" s="2" t="s">
        <v>1177</v>
      </c>
      <c r="K290" s="2" t="s">
        <v>300</v>
      </c>
      <c r="L290" s="2" t="s">
        <v>34</v>
      </c>
      <c r="M290" s="2"/>
      <c r="N290" s="2"/>
      <c r="O290" s="2"/>
      <c r="P290" s="2" t="s">
        <v>1178</v>
      </c>
      <c r="Q290" s="6">
        <v>100</v>
      </c>
      <c r="R290" s="6">
        <v>66.5</v>
      </c>
      <c r="S290" s="5">
        <v>5.6</v>
      </c>
      <c r="T290" s="7">
        <v>14.504</v>
      </c>
      <c r="U290" s="5">
        <v>30.3</v>
      </c>
      <c r="V290" s="6">
        <v>2.91</v>
      </c>
      <c r="W290" s="6">
        <v>32.25</v>
      </c>
      <c r="X290" s="5">
        <v>32.5</v>
      </c>
      <c r="Y290" s="4">
        <v>63</v>
      </c>
      <c r="Z290" s="6">
        <v>62.75</v>
      </c>
      <c r="AA290" s="6">
        <v>1.93</v>
      </c>
      <c r="AB290" s="7">
        <v>13.704000000000001</v>
      </c>
      <c r="AC290" s="2"/>
    </row>
    <row r="291" spans="1:29" ht="156" x14ac:dyDescent="0.15">
      <c r="A291" s="3">
        <f>DATE(1990,9,17)</f>
        <v>33133</v>
      </c>
      <c r="B291" s="2"/>
      <c r="C291" s="2" t="s">
        <v>30</v>
      </c>
      <c r="D291" s="2" t="s">
        <v>1179</v>
      </c>
      <c r="E291" s="2" t="s">
        <v>92</v>
      </c>
      <c r="F291" s="4">
        <v>6798</v>
      </c>
      <c r="G291" s="2" t="s">
        <v>53</v>
      </c>
      <c r="H291" s="2" t="s">
        <v>34</v>
      </c>
      <c r="I291" s="2" t="s">
        <v>1180</v>
      </c>
      <c r="J291" s="2" t="s">
        <v>1181</v>
      </c>
      <c r="K291" s="2" t="s">
        <v>37</v>
      </c>
      <c r="L291" s="2" t="s">
        <v>34</v>
      </c>
      <c r="M291" s="2"/>
      <c r="N291" s="2"/>
      <c r="O291" s="2"/>
      <c r="P291" s="2" t="s">
        <v>1182</v>
      </c>
      <c r="Q291" s="2"/>
      <c r="R291" s="6">
        <v>5.25</v>
      </c>
      <c r="S291" s="5">
        <v>-62.3</v>
      </c>
      <c r="T291" s="2"/>
      <c r="U291" s="5">
        <v>3.6</v>
      </c>
      <c r="V291" s="6">
        <v>-5.13</v>
      </c>
      <c r="W291" s="7">
        <v>8.375</v>
      </c>
      <c r="X291" s="6">
        <v>8.25</v>
      </c>
      <c r="Y291" s="5">
        <v>9.5</v>
      </c>
      <c r="Z291" s="7">
        <v>9.375</v>
      </c>
      <c r="AA291" s="6">
        <v>24.26</v>
      </c>
      <c r="AB291" s="2" t="s">
        <v>47</v>
      </c>
      <c r="AC291" s="2"/>
    </row>
    <row r="292" spans="1:29" ht="130" x14ac:dyDescent="0.15">
      <c r="A292" s="3">
        <f>DATE(1990,9,17)</f>
        <v>33133</v>
      </c>
      <c r="B292" s="3">
        <f>DATE(1990,10,4)</f>
        <v>33150</v>
      </c>
      <c r="C292" s="2" t="s">
        <v>95</v>
      </c>
      <c r="D292" s="2" t="s">
        <v>1183</v>
      </c>
      <c r="E292" s="2" t="s">
        <v>1184</v>
      </c>
      <c r="F292" s="4">
        <v>3143</v>
      </c>
      <c r="G292" s="2" t="s">
        <v>326</v>
      </c>
      <c r="H292" s="2" t="s">
        <v>34</v>
      </c>
      <c r="I292" s="2" t="s">
        <v>51</v>
      </c>
      <c r="J292" s="2" t="s">
        <v>52</v>
      </c>
      <c r="K292" s="2" t="s">
        <v>53</v>
      </c>
      <c r="L292" s="2" t="s">
        <v>34</v>
      </c>
      <c r="M292" s="2"/>
      <c r="N292" s="2"/>
      <c r="O292" s="2"/>
      <c r="P292" s="2" t="s">
        <v>1185</v>
      </c>
      <c r="Q292" s="6">
        <v>1.47</v>
      </c>
      <c r="R292" s="6">
        <v>12.63</v>
      </c>
      <c r="S292" s="5">
        <v>1.5</v>
      </c>
      <c r="T292" s="7">
        <v>1.7450000000000001</v>
      </c>
      <c r="U292" s="5">
        <v>5.5</v>
      </c>
      <c r="V292" s="9">
        <v>0.57379999999999998</v>
      </c>
      <c r="W292" s="6">
        <v>12.75</v>
      </c>
      <c r="X292" s="7">
        <v>12.375</v>
      </c>
      <c r="Y292" s="7">
        <v>12.375</v>
      </c>
      <c r="Z292" s="7">
        <v>12.625</v>
      </c>
      <c r="AA292" s="6">
        <v>0.89</v>
      </c>
      <c r="AB292" s="7">
        <v>17.593</v>
      </c>
      <c r="AC292" s="2"/>
    </row>
    <row r="293" spans="1:29" ht="104" x14ac:dyDescent="0.15">
      <c r="A293" s="3">
        <f>DATE(1990,9,19)</f>
        <v>33135</v>
      </c>
      <c r="B293" s="2"/>
      <c r="C293" s="2" t="s">
        <v>30</v>
      </c>
      <c r="D293" s="2" t="s">
        <v>1186</v>
      </c>
      <c r="E293" s="2" t="s">
        <v>1187</v>
      </c>
      <c r="F293" s="4">
        <v>3564</v>
      </c>
      <c r="G293" s="2" t="s">
        <v>300</v>
      </c>
      <c r="H293" s="2" t="s">
        <v>34</v>
      </c>
      <c r="I293" s="2" t="s">
        <v>1188</v>
      </c>
      <c r="J293" s="2" t="s">
        <v>1189</v>
      </c>
      <c r="K293" s="2" t="s">
        <v>226</v>
      </c>
      <c r="L293" s="2" t="s">
        <v>34</v>
      </c>
      <c r="M293" s="2"/>
      <c r="N293" s="2"/>
      <c r="O293" s="2"/>
      <c r="P293" s="2" t="s">
        <v>1190</v>
      </c>
      <c r="Q293" s="2"/>
      <c r="R293" s="2"/>
      <c r="S293" s="5">
        <v>0.5</v>
      </c>
      <c r="T293" s="7">
        <v>0.77500000000000002</v>
      </c>
      <c r="U293" s="5">
        <v>1.8</v>
      </c>
      <c r="V293" s="7">
        <v>6.5000000000000002E-2</v>
      </c>
      <c r="W293" s="7">
        <v>10.125</v>
      </c>
      <c r="X293" s="6">
        <v>9.75</v>
      </c>
      <c r="Y293" s="6">
        <v>11.25</v>
      </c>
      <c r="Z293" s="4">
        <v>11</v>
      </c>
      <c r="AA293" s="2"/>
      <c r="AB293" s="2" t="s">
        <v>47</v>
      </c>
      <c r="AC293" s="2"/>
    </row>
    <row r="294" spans="1:29" ht="156" x14ac:dyDescent="0.15">
      <c r="A294" s="3">
        <f>DATE(1990,9,20)</f>
        <v>33136</v>
      </c>
      <c r="B294" s="2"/>
      <c r="C294" s="2" t="s">
        <v>30</v>
      </c>
      <c r="D294" s="2" t="s">
        <v>1191</v>
      </c>
      <c r="E294" s="2" t="s">
        <v>1192</v>
      </c>
      <c r="F294" s="4">
        <v>5045</v>
      </c>
      <c r="G294" s="2" t="s">
        <v>76</v>
      </c>
      <c r="H294" s="2" t="s">
        <v>34</v>
      </c>
      <c r="I294" s="2" t="s">
        <v>1193</v>
      </c>
      <c r="J294" s="2" t="s">
        <v>1194</v>
      </c>
      <c r="K294" s="2" t="s">
        <v>53</v>
      </c>
      <c r="L294" s="2" t="s">
        <v>34</v>
      </c>
      <c r="M294" s="2"/>
      <c r="N294" s="2"/>
      <c r="O294" s="2"/>
      <c r="P294" s="2" t="s">
        <v>1195</v>
      </c>
      <c r="Q294" s="2"/>
      <c r="R294" s="6">
        <v>4</v>
      </c>
      <c r="S294" s="5">
        <v>3.1</v>
      </c>
      <c r="T294" s="7">
        <v>10.125</v>
      </c>
      <c r="U294" s="5">
        <v>10.1</v>
      </c>
      <c r="V294" s="6">
        <v>0.35</v>
      </c>
      <c r="W294" s="7">
        <v>2.375</v>
      </c>
      <c r="X294" s="7">
        <v>2.125</v>
      </c>
      <c r="Y294" s="7">
        <v>3.125</v>
      </c>
      <c r="Z294" s="7">
        <v>3.375</v>
      </c>
      <c r="AA294" s="6">
        <v>8.66</v>
      </c>
      <c r="AB294" s="7">
        <v>9.5879999999999992</v>
      </c>
      <c r="AC294" s="2"/>
    </row>
    <row r="295" spans="1:29" ht="143" x14ac:dyDescent="0.15">
      <c r="A295" s="3">
        <f>DATE(1990,9,20)</f>
        <v>33136</v>
      </c>
      <c r="B295" s="3">
        <f>DATE(1991,12,6)</f>
        <v>33578</v>
      </c>
      <c r="C295" s="2" t="s">
        <v>95</v>
      </c>
      <c r="D295" s="2" t="s">
        <v>1196</v>
      </c>
      <c r="E295" s="2" t="s">
        <v>1197</v>
      </c>
      <c r="F295" s="4">
        <v>7812</v>
      </c>
      <c r="G295" s="2" t="s">
        <v>42</v>
      </c>
      <c r="H295" s="2" t="s">
        <v>34</v>
      </c>
      <c r="I295" s="2" t="s">
        <v>1198</v>
      </c>
      <c r="J295" s="2" t="s">
        <v>398</v>
      </c>
      <c r="K295" s="2" t="s">
        <v>42</v>
      </c>
      <c r="L295" s="2" t="s">
        <v>34</v>
      </c>
      <c r="M295" s="2"/>
      <c r="N295" s="2"/>
      <c r="O295" s="2"/>
      <c r="P295" s="2" t="s">
        <v>1199</v>
      </c>
      <c r="Q295" s="6">
        <v>100</v>
      </c>
      <c r="R295" s="2"/>
      <c r="S295" s="5">
        <v>-6.2</v>
      </c>
      <c r="T295" s="2"/>
      <c r="U295" s="5">
        <v>2.7</v>
      </c>
      <c r="V295" s="2"/>
      <c r="W295" s="7">
        <v>1.125</v>
      </c>
      <c r="X295" s="6">
        <v>1.25</v>
      </c>
      <c r="Y295" s="7">
        <v>1.375</v>
      </c>
      <c r="Z295" s="5">
        <v>1.5</v>
      </c>
      <c r="AA295" s="2"/>
      <c r="AB295" s="2" t="s">
        <v>86</v>
      </c>
      <c r="AC295" s="2"/>
    </row>
    <row r="296" spans="1:29" ht="104" x14ac:dyDescent="0.15">
      <c r="A296" s="3">
        <f>DATE(1990,9,20)</f>
        <v>33136</v>
      </c>
      <c r="B296" s="2"/>
      <c r="C296" s="2" t="s">
        <v>30</v>
      </c>
      <c r="D296" s="2" t="s">
        <v>1200</v>
      </c>
      <c r="E296" s="2" t="s">
        <v>265</v>
      </c>
      <c r="F296" s="4">
        <v>6021</v>
      </c>
      <c r="G296" s="2" t="s">
        <v>37</v>
      </c>
      <c r="H296" s="2" t="s">
        <v>34</v>
      </c>
      <c r="I296" s="2" t="s">
        <v>1201</v>
      </c>
      <c r="J296" s="2" t="s">
        <v>36</v>
      </c>
      <c r="K296" s="2" t="s">
        <v>37</v>
      </c>
      <c r="L296" s="2" t="s">
        <v>34</v>
      </c>
      <c r="M296" s="2"/>
      <c r="N296" s="2"/>
      <c r="O296" s="2"/>
      <c r="P296" s="2" t="s">
        <v>1202</v>
      </c>
      <c r="Q296" s="2"/>
      <c r="R296" s="2"/>
      <c r="S296" s="5">
        <v>4</v>
      </c>
      <c r="T296" s="7">
        <v>7.2080000000000002</v>
      </c>
      <c r="U296" s="5">
        <v>11.6</v>
      </c>
      <c r="V296" s="6">
        <v>1.28</v>
      </c>
      <c r="W296" s="7">
        <v>10.875</v>
      </c>
      <c r="X296" s="6">
        <v>11.25</v>
      </c>
      <c r="Y296" s="6">
        <v>11.25</v>
      </c>
      <c r="Z296" s="4">
        <v>12</v>
      </c>
      <c r="AA296" s="2"/>
      <c r="AB296" s="2" t="s">
        <v>47</v>
      </c>
      <c r="AC296" s="2"/>
    </row>
    <row r="297" spans="1:29" ht="91" x14ac:dyDescent="0.15">
      <c r="A297" s="3">
        <f>DATE(1990,9,20)</f>
        <v>33136</v>
      </c>
      <c r="B297" s="2"/>
      <c r="C297" s="2" t="s">
        <v>82</v>
      </c>
      <c r="D297" s="2" t="s">
        <v>1203</v>
      </c>
      <c r="E297" s="2" t="s">
        <v>1204</v>
      </c>
      <c r="F297" s="4">
        <v>1629</v>
      </c>
      <c r="G297" s="2" t="s">
        <v>341</v>
      </c>
      <c r="H297" s="2" t="s">
        <v>34</v>
      </c>
      <c r="I297" s="2" t="s">
        <v>278</v>
      </c>
      <c r="J297" s="2" t="s">
        <v>52</v>
      </c>
      <c r="K297" s="2" t="s">
        <v>53</v>
      </c>
      <c r="L297" s="2" t="s">
        <v>34</v>
      </c>
      <c r="M297" s="2"/>
      <c r="N297" s="2"/>
      <c r="O297" s="2"/>
      <c r="P297" s="2" t="s">
        <v>1205</v>
      </c>
      <c r="Q297" s="2"/>
      <c r="R297" s="2"/>
      <c r="S297" s="5">
        <v>25.4</v>
      </c>
      <c r="T297" s="7">
        <v>50.064</v>
      </c>
      <c r="U297" s="5">
        <v>4</v>
      </c>
      <c r="V297" s="6">
        <v>0.74</v>
      </c>
      <c r="W297" s="6">
        <v>22.25</v>
      </c>
      <c r="X297" s="7">
        <v>21.375</v>
      </c>
      <c r="Y297" s="6">
        <v>20.75</v>
      </c>
      <c r="Z297" s="6">
        <v>20.25</v>
      </c>
      <c r="AA297" s="2"/>
      <c r="AB297" s="2" t="s">
        <v>47</v>
      </c>
      <c r="AC297" s="2"/>
    </row>
    <row r="298" spans="1:29" ht="78" x14ac:dyDescent="0.15">
      <c r="A298" s="3">
        <f>DATE(1990,9,21)</f>
        <v>33137</v>
      </c>
      <c r="B298" s="2"/>
      <c r="C298" s="2" t="s">
        <v>30</v>
      </c>
      <c r="D298" s="2" t="s">
        <v>1206</v>
      </c>
      <c r="E298" s="2" t="s">
        <v>1207</v>
      </c>
      <c r="F298" s="4">
        <v>4522</v>
      </c>
      <c r="G298" s="2" t="s">
        <v>59</v>
      </c>
      <c r="H298" s="2" t="s">
        <v>34</v>
      </c>
      <c r="I298" s="2" t="s">
        <v>1208</v>
      </c>
      <c r="J298" s="2" t="s">
        <v>1209</v>
      </c>
      <c r="K298" s="2" t="s">
        <v>173</v>
      </c>
      <c r="L298" s="2" t="s">
        <v>34</v>
      </c>
      <c r="M298" s="7">
        <v>523.68799999999999</v>
      </c>
      <c r="N298" s="7">
        <v>21.625</v>
      </c>
      <c r="O298" s="7">
        <v>20.875</v>
      </c>
      <c r="P298" s="2" t="s">
        <v>1210</v>
      </c>
      <c r="Q298" s="2"/>
      <c r="R298" s="6">
        <v>32</v>
      </c>
      <c r="S298" s="5">
        <v>9.9</v>
      </c>
      <c r="T298" s="7">
        <v>27.459</v>
      </c>
      <c r="U298" s="5">
        <v>12.9</v>
      </c>
      <c r="V298" s="6">
        <v>1.63</v>
      </c>
      <c r="W298" s="5">
        <v>29.5</v>
      </c>
      <c r="X298" s="6">
        <v>29.75</v>
      </c>
      <c r="Y298" s="4">
        <v>30</v>
      </c>
      <c r="Z298" s="4">
        <v>32</v>
      </c>
      <c r="AA298" s="6">
        <v>5.0999999999999996</v>
      </c>
      <c r="AB298" s="7">
        <v>13.955</v>
      </c>
      <c r="AC298" s="6">
        <v>45.29</v>
      </c>
    </row>
    <row r="299" spans="1:29" ht="169" x14ac:dyDescent="0.15">
      <c r="A299" s="3">
        <f>DATE(1990,9,24)</f>
        <v>33140</v>
      </c>
      <c r="B299" s="3">
        <f>DATE(1991,1,3)</f>
        <v>33241</v>
      </c>
      <c r="C299" s="2" t="s">
        <v>95</v>
      </c>
      <c r="D299" s="2" t="s">
        <v>1211</v>
      </c>
      <c r="E299" s="2" t="s">
        <v>398</v>
      </c>
      <c r="F299" s="4">
        <v>7812</v>
      </c>
      <c r="G299" s="2" t="s">
        <v>42</v>
      </c>
      <c r="H299" s="2" t="s">
        <v>34</v>
      </c>
      <c r="I299" s="2" t="s">
        <v>1212</v>
      </c>
      <c r="J299" s="2" t="s">
        <v>1213</v>
      </c>
      <c r="K299" s="2" t="s">
        <v>137</v>
      </c>
      <c r="L299" s="2" t="s">
        <v>99</v>
      </c>
      <c r="M299" s="2"/>
      <c r="N299" s="2"/>
      <c r="O299" s="2"/>
      <c r="P299" s="2" t="s">
        <v>1214</v>
      </c>
      <c r="Q299" s="6">
        <v>100</v>
      </c>
      <c r="R299" s="6">
        <v>66</v>
      </c>
      <c r="S299" s="5">
        <v>191.8</v>
      </c>
      <c r="T299" s="6">
        <v>512.35</v>
      </c>
      <c r="U299" s="5">
        <v>25.3</v>
      </c>
      <c r="V299" s="6">
        <v>2.62</v>
      </c>
      <c r="W299" s="4">
        <v>37</v>
      </c>
      <c r="X299" s="4">
        <v>35</v>
      </c>
      <c r="Y299" s="5">
        <v>34.5</v>
      </c>
      <c r="Z299" s="4">
        <v>54</v>
      </c>
      <c r="AA299" s="6">
        <v>80.099999999999994</v>
      </c>
      <c r="AB299" s="7">
        <v>12.805999999999999</v>
      </c>
      <c r="AC299" s="10">
        <v>14769.67</v>
      </c>
    </row>
    <row r="300" spans="1:29" ht="65" x14ac:dyDescent="0.15">
      <c r="A300" s="3">
        <f>DATE(1990,9,24)</f>
        <v>33140</v>
      </c>
      <c r="B300" s="2"/>
      <c r="C300" s="2" t="s">
        <v>189</v>
      </c>
      <c r="D300" s="2" t="s">
        <v>1215</v>
      </c>
      <c r="E300" s="2" t="s">
        <v>1216</v>
      </c>
      <c r="F300" s="4">
        <v>3821</v>
      </c>
      <c r="G300" s="2" t="s">
        <v>226</v>
      </c>
      <c r="H300" s="2" t="s">
        <v>34</v>
      </c>
      <c r="I300" s="2" t="s">
        <v>143</v>
      </c>
      <c r="J300" s="2" t="s">
        <v>144</v>
      </c>
      <c r="K300" s="2" t="s">
        <v>53</v>
      </c>
      <c r="L300" s="2" t="s">
        <v>139</v>
      </c>
      <c r="M300" s="2"/>
      <c r="N300" s="2"/>
      <c r="O300" s="2"/>
      <c r="P300" s="2" t="s">
        <v>1217</v>
      </c>
      <c r="Q300" s="2"/>
      <c r="R300" s="2"/>
      <c r="S300" s="5">
        <v>0.3</v>
      </c>
      <c r="T300" s="7">
        <v>1.012</v>
      </c>
      <c r="U300" s="5">
        <v>4.5</v>
      </c>
      <c r="V300" s="7">
        <v>4.3999999999999997E-2</v>
      </c>
      <c r="W300" s="5">
        <v>4.5</v>
      </c>
      <c r="X300" s="7">
        <v>4.375</v>
      </c>
      <c r="Y300" s="5">
        <v>4.5</v>
      </c>
      <c r="Z300" s="5">
        <v>4.5</v>
      </c>
      <c r="AA300" s="2"/>
      <c r="AB300" s="2" t="s">
        <v>47</v>
      </c>
      <c r="AC300" s="2"/>
    </row>
    <row r="301" spans="1:29" ht="117" x14ac:dyDescent="0.15">
      <c r="A301" s="3">
        <f>DATE(1990,9,24)</f>
        <v>33140</v>
      </c>
      <c r="B301" s="3">
        <f>DATE(1991,11,1)</f>
        <v>33543</v>
      </c>
      <c r="C301" s="2" t="s">
        <v>95</v>
      </c>
      <c r="D301" s="2" t="s">
        <v>1218</v>
      </c>
      <c r="E301" s="2" t="s">
        <v>1219</v>
      </c>
      <c r="F301" s="4">
        <v>3579</v>
      </c>
      <c r="G301" s="2" t="s">
        <v>50</v>
      </c>
      <c r="H301" s="2" t="s">
        <v>34</v>
      </c>
      <c r="I301" s="2" t="s">
        <v>1220</v>
      </c>
      <c r="J301" s="2" t="s">
        <v>1221</v>
      </c>
      <c r="K301" s="2" t="s">
        <v>593</v>
      </c>
      <c r="L301" s="2" t="s">
        <v>34</v>
      </c>
      <c r="M301" s="2"/>
      <c r="N301" s="6">
        <v>15.75</v>
      </c>
      <c r="O301" s="6">
        <v>15.75</v>
      </c>
      <c r="P301" s="2" t="s">
        <v>1222</v>
      </c>
      <c r="Q301" s="6">
        <v>100</v>
      </c>
      <c r="R301" s="6">
        <v>9.77</v>
      </c>
      <c r="S301" s="5">
        <v>0.3</v>
      </c>
      <c r="T301" s="7">
        <v>2.5550000000000002</v>
      </c>
      <c r="U301" s="5">
        <v>4.5999999999999996</v>
      </c>
      <c r="V301" s="6">
        <v>7.0000000000000007E-2</v>
      </c>
      <c r="W301" s="7">
        <v>6.375</v>
      </c>
      <c r="X301" s="5">
        <v>7.5</v>
      </c>
      <c r="Y301" s="7">
        <v>8.625</v>
      </c>
      <c r="Z301" s="7">
        <v>8.875</v>
      </c>
      <c r="AA301" s="6">
        <v>5.12</v>
      </c>
      <c r="AB301" s="7">
        <v>94.652000000000001</v>
      </c>
      <c r="AC301" s="2"/>
    </row>
    <row r="302" spans="1:29" ht="117" x14ac:dyDescent="0.15">
      <c r="A302" s="3">
        <f>DATE(1990,9,25)</f>
        <v>33141</v>
      </c>
      <c r="B302" s="3">
        <f>DATE(1990,11,22)</f>
        <v>33199</v>
      </c>
      <c r="C302" s="2" t="s">
        <v>95</v>
      </c>
      <c r="D302" s="2" t="s">
        <v>1223</v>
      </c>
      <c r="E302" s="2" t="s">
        <v>1224</v>
      </c>
      <c r="F302" s="4">
        <v>5261</v>
      </c>
      <c r="G302" s="2" t="s">
        <v>73</v>
      </c>
      <c r="H302" s="2" t="s">
        <v>34</v>
      </c>
      <c r="I302" s="2" t="s">
        <v>1225</v>
      </c>
      <c r="J302" s="2" t="s">
        <v>1226</v>
      </c>
      <c r="K302" s="2" t="s">
        <v>1227</v>
      </c>
      <c r="L302" s="2" t="s">
        <v>34</v>
      </c>
      <c r="M302" s="2"/>
      <c r="N302" s="7">
        <v>5.125</v>
      </c>
      <c r="O302" s="7">
        <v>4.875</v>
      </c>
      <c r="P302" s="2" t="s">
        <v>1228</v>
      </c>
      <c r="Q302" s="6">
        <v>83.27</v>
      </c>
      <c r="R302" s="6">
        <v>12</v>
      </c>
      <c r="S302" s="5">
        <v>3.7</v>
      </c>
      <c r="T302" s="7">
        <v>7.9950000000000001</v>
      </c>
      <c r="U302" s="5">
        <v>0.1</v>
      </c>
      <c r="V302" s="6">
        <v>-0.59</v>
      </c>
      <c r="W302" s="7">
        <v>8.875</v>
      </c>
      <c r="X302" s="6">
        <v>8.75</v>
      </c>
      <c r="Y302" s="6">
        <v>8.75</v>
      </c>
      <c r="Z302" s="6">
        <v>11.75</v>
      </c>
      <c r="AA302" s="6">
        <v>4.5599999999999996</v>
      </c>
      <c r="AB302" s="7">
        <v>9.6829999999999998</v>
      </c>
      <c r="AC302" s="6">
        <v>16.260000000000002</v>
      </c>
    </row>
    <row r="303" spans="1:29" ht="143" x14ac:dyDescent="0.15">
      <c r="A303" s="3">
        <f>DATE(1990,9,27)</f>
        <v>33143</v>
      </c>
      <c r="B303" s="2"/>
      <c r="C303" s="2" t="s">
        <v>30</v>
      </c>
      <c r="D303" s="2" t="s">
        <v>57</v>
      </c>
      <c r="E303" s="2" t="s">
        <v>58</v>
      </c>
      <c r="F303" s="4">
        <v>4512</v>
      </c>
      <c r="G303" s="2" t="s">
        <v>59</v>
      </c>
      <c r="H303" s="2" t="s">
        <v>34</v>
      </c>
      <c r="I303" s="2" t="s">
        <v>51</v>
      </c>
      <c r="J303" s="2" t="s">
        <v>52</v>
      </c>
      <c r="K303" s="2" t="s">
        <v>53</v>
      </c>
      <c r="L303" s="2" t="s">
        <v>34</v>
      </c>
      <c r="M303" s="2"/>
      <c r="N303" s="2"/>
      <c r="O303" s="2"/>
      <c r="P303" s="2" t="s">
        <v>1229</v>
      </c>
      <c r="Q303" s="2"/>
      <c r="R303" s="2"/>
      <c r="S303" s="5">
        <v>324.2</v>
      </c>
      <c r="T303" s="7">
        <v>981.52800000000002</v>
      </c>
      <c r="U303" s="5">
        <v>17.899999999999999</v>
      </c>
      <c r="V303" s="6">
        <v>3.74</v>
      </c>
      <c r="W303" s="6">
        <v>181.75</v>
      </c>
      <c r="X303" s="5">
        <v>164.5</v>
      </c>
      <c r="Y303" s="6">
        <v>210.75</v>
      </c>
      <c r="Z303" s="6">
        <v>219.25</v>
      </c>
      <c r="AA303" s="6">
        <v>22.6</v>
      </c>
      <c r="AB303" s="2" t="s">
        <v>47</v>
      </c>
      <c r="AC303" s="2"/>
    </row>
    <row r="304" spans="1:29" ht="52" x14ac:dyDescent="0.15">
      <c r="A304" s="3">
        <f>DATE(1990,9,27)</f>
        <v>33143</v>
      </c>
      <c r="B304" s="2"/>
      <c r="C304" s="2" t="s">
        <v>87</v>
      </c>
      <c r="D304" s="2" t="s">
        <v>1230</v>
      </c>
      <c r="E304" s="2" t="s">
        <v>1231</v>
      </c>
      <c r="F304" s="4">
        <v>3571</v>
      </c>
      <c r="G304" s="2" t="s">
        <v>50</v>
      </c>
      <c r="H304" s="2" t="s">
        <v>34</v>
      </c>
      <c r="I304" s="2" t="s">
        <v>1232</v>
      </c>
      <c r="J304" s="2" t="s">
        <v>1233</v>
      </c>
      <c r="K304" s="2" t="s">
        <v>50</v>
      </c>
      <c r="L304" s="2" t="s">
        <v>34</v>
      </c>
      <c r="M304" s="2"/>
      <c r="N304" s="7">
        <v>4.875</v>
      </c>
      <c r="O304" s="6">
        <v>5.25</v>
      </c>
      <c r="P304" s="2" t="s">
        <v>1234</v>
      </c>
      <c r="Q304" s="2"/>
      <c r="R304" s="2"/>
      <c r="S304" s="5">
        <v>-628.6</v>
      </c>
      <c r="T304" s="5">
        <v>158.6</v>
      </c>
      <c r="U304" s="5">
        <v>2.5</v>
      </c>
      <c r="V304" s="6">
        <v>-3.82</v>
      </c>
      <c r="W304" s="7">
        <v>3.375</v>
      </c>
      <c r="X304" s="4">
        <v>3</v>
      </c>
      <c r="Y304" s="7">
        <v>3.125</v>
      </c>
      <c r="Z304" s="6">
        <v>3.25</v>
      </c>
      <c r="AA304" s="2"/>
      <c r="AB304" s="2" t="s">
        <v>86</v>
      </c>
      <c r="AC304" s="6">
        <v>128.91</v>
      </c>
    </row>
    <row r="305" spans="1:29" ht="156" x14ac:dyDescent="0.15">
      <c r="A305" s="3">
        <f>DATE(1990,9,27)</f>
        <v>33143</v>
      </c>
      <c r="B305" s="2"/>
      <c r="C305" s="2" t="s">
        <v>30</v>
      </c>
      <c r="D305" s="2" t="s">
        <v>1235</v>
      </c>
      <c r="E305" s="2" t="s">
        <v>36</v>
      </c>
      <c r="F305" s="4">
        <v>6036</v>
      </c>
      <c r="G305" s="2" t="s">
        <v>33</v>
      </c>
      <c r="H305" s="2" t="s">
        <v>34</v>
      </c>
      <c r="I305" s="2" t="s">
        <v>1236</v>
      </c>
      <c r="J305" s="2" t="s">
        <v>1237</v>
      </c>
      <c r="K305" s="2" t="s">
        <v>37</v>
      </c>
      <c r="L305" s="2" t="s">
        <v>34</v>
      </c>
      <c r="M305" s="2"/>
      <c r="N305" s="2"/>
      <c r="O305" s="2"/>
      <c r="P305" s="2" t="s">
        <v>1238</v>
      </c>
      <c r="Q305" s="2"/>
      <c r="R305" s="6">
        <v>11.42</v>
      </c>
      <c r="S305" s="5">
        <v>0.9</v>
      </c>
      <c r="T305" s="7">
        <v>2.6080000000000001</v>
      </c>
      <c r="U305" s="5">
        <v>14.6</v>
      </c>
      <c r="V305" s="6">
        <v>0.74</v>
      </c>
      <c r="W305" s="4">
        <v>7</v>
      </c>
      <c r="X305" s="6">
        <v>6.75</v>
      </c>
      <c r="Y305" s="5">
        <v>6.5</v>
      </c>
      <c r="Z305" s="6">
        <v>7.75</v>
      </c>
      <c r="AA305" s="6">
        <v>1.24</v>
      </c>
      <c r="AB305" s="7">
        <v>92.792000000000002</v>
      </c>
      <c r="AC305" s="2"/>
    </row>
    <row r="306" spans="1:29" ht="78" x14ac:dyDescent="0.15">
      <c r="A306" s="3">
        <f>DATE(1990,9,28)</f>
        <v>33144</v>
      </c>
      <c r="B306" s="2"/>
      <c r="C306" s="2" t="s">
        <v>30</v>
      </c>
      <c r="D306" s="2" t="s">
        <v>701</v>
      </c>
      <c r="E306" s="2" t="s">
        <v>177</v>
      </c>
      <c r="F306" s="4">
        <v>1311</v>
      </c>
      <c r="G306" s="2" t="s">
        <v>148</v>
      </c>
      <c r="H306" s="2" t="s">
        <v>34</v>
      </c>
      <c r="I306" s="2" t="s">
        <v>1239</v>
      </c>
      <c r="J306" s="2" t="s">
        <v>1240</v>
      </c>
      <c r="K306" s="2" t="s">
        <v>148</v>
      </c>
      <c r="L306" s="2" t="s">
        <v>210</v>
      </c>
      <c r="M306" s="2"/>
      <c r="N306" s="2"/>
      <c r="O306" s="2"/>
      <c r="P306" s="2" t="s">
        <v>1241</v>
      </c>
      <c r="Q306" s="2"/>
      <c r="R306" s="2"/>
      <c r="S306" s="5">
        <v>172.6</v>
      </c>
      <c r="T306" s="7">
        <v>265.42099999999999</v>
      </c>
      <c r="U306" s="5">
        <v>3.3</v>
      </c>
      <c r="V306" s="6">
        <v>1.49</v>
      </c>
      <c r="W306" s="6">
        <v>18.25</v>
      </c>
      <c r="X306" s="4">
        <v>18</v>
      </c>
      <c r="Y306" s="5">
        <v>20.5</v>
      </c>
      <c r="Z306" s="5">
        <v>20.5</v>
      </c>
      <c r="AA306" s="2"/>
      <c r="AB306" s="2" t="s">
        <v>47</v>
      </c>
      <c r="AC306" s="2"/>
    </row>
    <row r="307" spans="1:29" ht="117" x14ac:dyDescent="0.15">
      <c r="A307" s="3">
        <f>DATE(1990,10,1)</f>
        <v>33147</v>
      </c>
      <c r="B307" s="2"/>
      <c r="C307" s="2" t="s">
        <v>30</v>
      </c>
      <c r="D307" s="2" t="s">
        <v>1179</v>
      </c>
      <c r="E307" s="2" t="s">
        <v>92</v>
      </c>
      <c r="F307" s="4">
        <v>6798</v>
      </c>
      <c r="G307" s="2" t="s">
        <v>53</v>
      </c>
      <c r="H307" s="2" t="s">
        <v>34</v>
      </c>
      <c r="I307" s="2" t="s">
        <v>1242</v>
      </c>
      <c r="J307" s="2" t="s">
        <v>844</v>
      </c>
      <c r="K307" s="2" t="s">
        <v>109</v>
      </c>
      <c r="L307" s="2" t="s">
        <v>34</v>
      </c>
      <c r="M307" s="2"/>
      <c r="N307" s="2"/>
      <c r="O307" s="2"/>
      <c r="P307" s="2" t="s">
        <v>1243</v>
      </c>
      <c r="Q307" s="2"/>
      <c r="R307" s="6">
        <v>5</v>
      </c>
      <c r="S307" s="5">
        <v>-62.3</v>
      </c>
      <c r="T307" s="2"/>
      <c r="U307" s="5">
        <v>3.6</v>
      </c>
      <c r="V307" s="6">
        <v>-5.13</v>
      </c>
      <c r="W307" s="6">
        <v>3.25</v>
      </c>
      <c r="X307" s="5">
        <v>3.5</v>
      </c>
      <c r="Y307" s="7">
        <v>3.875</v>
      </c>
      <c r="Z307" s="4">
        <v>4</v>
      </c>
      <c r="AA307" s="6">
        <v>12.14</v>
      </c>
      <c r="AB307" s="2" t="s">
        <v>47</v>
      </c>
      <c r="AC307" s="2"/>
    </row>
    <row r="308" spans="1:29" ht="78" x14ac:dyDescent="0.15">
      <c r="A308" s="3">
        <f>DATE(1990,10,1)</f>
        <v>33147</v>
      </c>
      <c r="B308" s="2"/>
      <c r="C308" s="2" t="s">
        <v>82</v>
      </c>
      <c r="D308" s="2" t="s">
        <v>1244</v>
      </c>
      <c r="E308" s="2" t="s">
        <v>1245</v>
      </c>
      <c r="F308" s="4">
        <v>3942</v>
      </c>
      <c r="G308" s="2" t="s">
        <v>112</v>
      </c>
      <c r="H308" s="2" t="s">
        <v>34</v>
      </c>
      <c r="I308" s="2" t="s">
        <v>51</v>
      </c>
      <c r="J308" s="2" t="s">
        <v>52</v>
      </c>
      <c r="K308" s="2" t="s">
        <v>53</v>
      </c>
      <c r="L308" s="2" t="s">
        <v>34</v>
      </c>
      <c r="M308" s="2"/>
      <c r="N308" s="2"/>
      <c r="O308" s="2"/>
      <c r="P308" s="2" t="s">
        <v>1246</v>
      </c>
      <c r="Q308" s="2"/>
      <c r="R308" s="2"/>
      <c r="S308" s="5">
        <v>7.7</v>
      </c>
      <c r="T308" s="5">
        <v>152.19999999999999</v>
      </c>
      <c r="U308" s="5">
        <v>13.3</v>
      </c>
      <c r="V308" s="6">
        <v>0.9</v>
      </c>
      <c r="W308" s="5">
        <v>4.5</v>
      </c>
      <c r="X308" s="7">
        <v>4.625</v>
      </c>
      <c r="Y308" s="7">
        <v>4.375</v>
      </c>
      <c r="Z308" s="7">
        <v>5.125</v>
      </c>
      <c r="AA308" s="6">
        <v>14.58</v>
      </c>
      <c r="AB308" s="2" t="s">
        <v>47</v>
      </c>
      <c r="AC308" s="2"/>
    </row>
    <row r="309" spans="1:29" ht="78" x14ac:dyDescent="0.15">
      <c r="A309" s="3">
        <f>DATE(1990,10,2)</f>
        <v>33148</v>
      </c>
      <c r="B309" s="2"/>
      <c r="C309" s="2" t="s">
        <v>30</v>
      </c>
      <c r="D309" s="2" t="s">
        <v>1247</v>
      </c>
      <c r="E309" s="2" t="s">
        <v>1248</v>
      </c>
      <c r="F309" s="4">
        <v>1041</v>
      </c>
      <c r="G309" s="2" t="s">
        <v>166</v>
      </c>
      <c r="H309" s="2" t="s">
        <v>34</v>
      </c>
      <c r="I309" s="2" t="s">
        <v>1249</v>
      </c>
      <c r="J309" s="2" t="s">
        <v>1250</v>
      </c>
      <c r="K309" s="2" t="s">
        <v>166</v>
      </c>
      <c r="L309" s="2" t="s">
        <v>34</v>
      </c>
      <c r="M309" s="2"/>
      <c r="N309" s="7">
        <v>9.125</v>
      </c>
      <c r="O309" s="7">
        <v>9.375</v>
      </c>
      <c r="P309" s="2" t="s">
        <v>1251</v>
      </c>
      <c r="Q309" s="2"/>
      <c r="R309" s="2"/>
      <c r="S309" s="2"/>
      <c r="T309" s="2"/>
      <c r="U309" s="2"/>
      <c r="V309" s="2"/>
      <c r="W309" s="7">
        <v>2.5630000000000002</v>
      </c>
      <c r="X309" s="7">
        <v>2.375</v>
      </c>
      <c r="Y309" s="7">
        <v>2.375</v>
      </c>
      <c r="Z309" s="7">
        <v>2.3130000000000002</v>
      </c>
      <c r="AA309" s="2"/>
      <c r="AB309" s="2" t="s">
        <v>47</v>
      </c>
      <c r="AC309" s="6">
        <v>13.09</v>
      </c>
    </row>
    <row r="310" spans="1:29" ht="143" x14ac:dyDescent="0.15">
      <c r="A310" s="3">
        <f>DATE(1990,10,2)</f>
        <v>33148</v>
      </c>
      <c r="B310" s="3">
        <f>DATE(1990,10,2)</f>
        <v>33148</v>
      </c>
      <c r="C310" s="2" t="s">
        <v>95</v>
      </c>
      <c r="D310" s="2" t="s">
        <v>1252</v>
      </c>
      <c r="E310" s="2" t="s">
        <v>1253</v>
      </c>
      <c r="F310" s="4">
        <v>4953</v>
      </c>
      <c r="G310" s="2" t="s">
        <v>116</v>
      </c>
      <c r="H310" s="2" t="s">
        <v>34</v>
      </c>
      <c r="I310" s="2" t="s">
        <v>1254</v>
      </c>
      <c r="J310" s="2" t="s">
        <v>1255</v>
      </c>
      <c r="K310" s="2" t="s">
        <v>116</v>
      </c>
      <c r="L310" s="2" t="s">
        <v>34</v>
      </c>
      <c r="M310" s="2"/>
      <c r="N310" s="6">
        <v>19.75</v>
      </c>
      <c r="O310" s="7">
        <v>19.625</v>
      </c>
      <c r="P310" s="2" t="s">
        <v>1256</v>
      </c>
      <c r="Q310" s="6">
        <v>13.9</v>
      </c>
      <c r="R310" s="6">
        <v>8.07</v>
      </c>
      <c r="S310" s="5">
        <v>10.7</v>
      </c>
      <c r="T310" s="7">
        <v>22.547999999999998</v>
      </c>
      <c r="U310" s="5">
        <v>4.7</v>
      </c>
      <c r="V310" s="7">
        <v>0.57499999999999996</v>
      </c>
      <c r="W310" s="6">
        <v>10.25</v>
      </c>
      <c r="X310" s="7">
        <v>9.875</v>
      </c>
      <c r="Y310" s="6">
        <v>9.75</v>
      </c>
      <c r="Z310" s="6">
        <v>9.75</v>
      </c>
      <c r="AA310" s="6">
        <v>18.71</v>
      </c>
      <c r="AB310" s="7">
        <v>10.183999999999999</v>
      </c>
      <c r="AC310" s="2"/>
    </row>
    <row r="311" spans="1:29" ht="156" x14ac:dyDescent="0.15">
      <c r="A311" s="3">
        <f>DATE(1990,10,2)</f>
        <v>33148</v>
      </c>
      <c r="B311" s="3">
        <f>DATE(1990,12,31)</f>
        <v>33238</v>
      </c>
      <c r="C311" s="2" t="s">
        <v>95</v>
      </c>
      <c r="D311" s="2" t="s">
        <v>1257</v>
      </c>
      <c r="E311" s="2" t="s">
        <v>1258</v>
      </c>
      <c r="F311" s="4">
        <v>7377</v>
      </c>
      <c r="G311" s="2" t="s">
        <v>223</v>
      </c>
      <c r="H311" s="2" t="s">
        <v>34</v>
      </c>
      <c r="I311" s="2" t="s">
        <v>1259</v>
      </c>
      <c r="J311" s="2" t="s">
        <v>52</v>
      </c>
      <c r="K311" s="2" t="s">
        <v>53</v>
      </c>
      <c r="L311" s="2" t="s">
        <v>34</v>
      </c>
      <c r="M311" s="2"/>
      <c r="N311" s="2"/>
      <c r="O311" s="2"/>
      <c r="P311" s="2" t="s">
        <v>1260</v>
      </c>
      <c r="Q311" s="6">
        <v>27.61</v>
      </c>
      <c r="R311" s="6">
        <v>5</v>
      </c>
      <c r="S311" s="5">
        <v>3.8</v>
      </c>
      <c r="T311" s="7">
        <v>10.558999999999999</v>
      </c>
      <c r="U311" s="5">
        <v>4.2</v>
      </c>
      <c r="V311" s="6">
        <v>0.81</v>
      </c>
      <c r="W311" s="6">
        <v>3.25</v>
      </c>
      <c r="X311" s="6">
        <v>3.25</v>
      </c>
      <c r="Y311" s="5">
        <v>4.5</v>
      </c>
      <c r="Z311" s="5">
        <v>4.5</v>
      </c>
      <c r="AA311" s="6">
        <v>4.54</v>
      </c>
      <c r="AB311" s="7">
        <v>5.2140000000000004</v>
      </c>
      <c r="AC311" s="2"/>
    </row>
    <row r="312" spans="1:29" ht="91" x14ac:dyDescent="0.15">
      <c r="A312" s="3">
        <f>DATE(1990,10,2)</f>
        <v>33148</v>
      </c>
      <c r="B312" s="2"/>
      <c r="C312" s="2" t="s">
        <v>30</v>
      </c>
      <c r="D312" s="2" t="s">
        <v>1261</v>
      </c>
      <c r="E312" s="2" t="s">
        <v>1262</v>
      </c>
      <c r="F312" s="4">
        <v>4911</v>
      </c>
      <c r="G312" s="2" t="s">
        <v>439</v>
      </c>
      <c r="H312" s="2" t="s">
        <v>34</v>
      </c>
      <c r="I312" s="2" t="s">
        <v>1263</v>
      </c>
      <c r="J312" s="2" t="s">
        <v>150</v>
      </c>
      <c r="K312" s="2" t="s">
        <v>53</v>
      </c>
      <c r="L312" s="2" t="s">
        <v>34</v>
      </c>
      <c r="M312" s="2"/>
      <c r="N312" s="2"/>
      <c r="O312" s="2"/>
      <c r="P312" s="2" t="s">
        <v>1264</v>
      </c>
      <c r="Q312" s="2"/>
      <c r="R312" s="2"/>
      <c r="S312" s="5">
        <v>16.8</v>
      </c>
      <c r="T312" s="7">
        <v>52.073</v>
      </c>
      <c r="U312" s="5">
        <v>20.7</v>
      </c>
      <c r="V312" s="6">
        <v>1.9</v>
      </c>
      <c r="W312" s="6">
        <v>18.25</v>
      </c>
      <c r="X312" s="4">
        <v>17</v>
      </c>
      <c r="Y312" s="7">
        <v>17.375</v>
      </c>
      <c r="Z312" s="7">
        <v>17.625</v>
      </c>
      <c r="AA312" s="2"/>
      <c r="AB312" s="2" t="s">
        <v>47</v>
      </c>
      <c r="AC312" s="2"/>
    </row>
    <row r="313" spans="1:29" ht="130" x14ac:dyDescent="0.15">
      <c r="A313" s="3">
        <f>DATE(1990,10,4)</f>
        <v>33150</v>
      </c>
      <c r="B313" s="2"/>
      <c r="C313" s="2" t="s">
        <v>30</v>
      </c>
      <c r="D313" s="2" t="s">
        <v>1265</v>
      </c>
      <c r="E313" s="2" t="s">
        <v>1266</v>
      </c>
      <c r="F313" s="4">
        <v>4215</v>
      </c>
      <c r="G313" s="2" t="s">
        <v>173</v>
      </c>
      <c r="H313" s="2" t="s">
        <v>34</v>
      </c>
      <c r="I313" s="2" t="s">
        <v>1267</v>
      </c>
      <c r="J313" s="2" t="s">
        <v>849</v>
      </c>
      <c r="K313" s="2" t="s">
        <v>551</v>
      </c>
      <c r="L313" s="2" t="s">
        <v>34</v>
      </c>
      <c r="M313" s="2"/>
      <c r="N313" s="7">
        <v>21.875</v>
      </c>
      <c r="O313" s="5">
        <v>21.5</v>
      </c>
      <c r="P313" s="2" t="s">
        <v>1268</v>
      </c>
      <c r="Q313" s="2"/>
      <c r="R313" s="6">
        <v>4.5999999999999996</v>
      </c>
      <c r="S313" s="5">
        <v>0.5</v>
      </c>
      <c r="T313" s="6">
        <v>2.0299999999999998</v>
      </c>
      <c r="U313" s="5">
        <v>3.5</v>
      </c>
      <c r="V313" s="6">
        <v>0.18</v>
      </c>
      <c r="W313" s="7">
        <v>3.375</v>
      </c>
      <c r="X313" s="7">
        <v>3.625</v>
      </c>
      <c r="Y313" s="6">
        <v>4.25</v>
      </c>
      <c r="Z313" s="5">
        <v>4.5</v>
      </c>
      <c r="AA313" s="6">
        <v>2.5099999999999998</v>
      </c>
      <c r="AB313" s="7">
        <v>12.484999999999999</v>
      </c>
      <c r="AC313" s="6">
        <v>78.86</v>
      </c>
    </row>
    <row r="314" spans="1:29" ht="78" x14ac:dyDescent="0.15">
      <c r="A314" s="3">
        <f>DATE(1990,10,4)</f>
        <v>33150</v>
      </c>
      <c r="B314" s="3">
        <f>DATE(1990,10,4)</f>
        <v>33150</v>
      </c>
      <c r="C314" s="2" t="s">
        <v>95</v>
      </c>
      <c r="D314" s="2" t="s">
        <v>1265</v>
      </c>
      <c r="E314" s="2" t="s">
        <v>1266</v>
      </c>
      <c r="F314" s="4">
        <v>4215</v>
      </c>
      <c r="G314" s="2" t="s">
        <v>173</v>
      </c>
      <c r="H314" s="2" t="s">
        <v>34</v>
      </c>
      <c r="I314" s="2" t="s">
        <v>1267</v>
      </c>
      <c r="J314" s="2" t="s">
        <v>849</v>
      </c>
      <c r="K314" s="2" t="s">
        <v>551</v>
      </c>
      <c r="L314" s="2" t="s">
        <v>34</v>
      </c>
      <c r="M314" s="2"/>
      <c r="N314" s="7">
        <v>21.875</v>
      </c>
      <c r="O314" s="5">
        <v>21.5</v>
      </c>
      <c r="P314" s="2" t="s">
        <v>1269</v>
      </c>
      <c r="Q314" s="6">
        <v>26.95</v>
      </c>
      <c r="R314" s="6">
        <v>4</v>
      </c>
      <c r="S314" s="5">
        <v>0.5</v>
      </c>
      <c r="T314" s="6">
        <v>2.0299999999999998</v>
      </c>
      <c r="U314" s="5">
        <v>3.5</v>
      </c>
      <c r="V314" s="6">
        <v>0.18</v>
      </c>
      <c r="W314" s="7">
        <v>3.375</v>
      </c>
      <c r="X314" s="7">
        <v>3.625</v>
      </c>
      <c r="Y314" s="6">
        <v>4.25</v>
      </c>
      <c r="Z314" s="5">
        <v>4.5</v>
      </c>
      <c r="AA314" s="6">
        <v>2.5099999999999998</v>
      </c>
      <c r="AB314" s="7">
        <v>10.827999999999999</v>
      </c>
      <c r="AC314" s="6">
        <v>78.86</v>
      </c>
    </row>
    <row r="315" spans="1:29" ht="143" x14ac:dyDescent="0.15">
      <c r="A315" s="3">
        <f>DATE(1990,10,4)</f>
        <v>33150</v>
      </c>
      <c r="B315" s="3">
        <f>DATE(1991,3,25)</f>
        <v>33322</v>
      </c>
      <c r="C315" s="2" t="s">
        <v>95</v>
      </c>
      <c r="D315" s="2" t="s">
        <v>1270</v>
      </c>
      <c r="E315" s="2" t="s">
        <v>1271</v>
      </c>
      <c r="F315" s="4">
        <v>3532</v>
      </c>
      <c r="G315" s="2" t="s">
        <v>300</v>
      </c>
      <c r="H315" s="2" t="s">
        <v>34</v>
      </c>
      <c r="I315" s="2" t="s">
        <v>1272</v>
      </c>
      <c r="J315" s="2" t="s">
        <v>1273</v>
      </c>
      <c r="K315" s="2" t="s">
        <v>98</v>
      </c>
      <c r="L315" s="2" t="s">
        <v>34</v>
      </c>
      <c r="M315" s="2"/>
      <c r="N315" s="2"/>
      <c r="O315" s="2"/>
      <c r="P315" s="2" t="s">
        <v>1274</v>
      </c>
      <c r="Q315" s="6">
        <v>100</v>
      </c>
      <c r="R315" s="6">
        <v>19</v>
      </c>
      <c r="S315" s="5">
        <v>1</v>
      </c>
      <c r="T315" s="7">
        <v>4.8079999999999998</v>
      </c>
      <c r="U315" s="5">
        <v>15</v>
      </c>
      <c r="V315" s="6">
        <v>1.1100000000000001</v>
      </c>
      <c r="W315" s="6">
        <v>15.25</v>
      </c>
      <c r="X315" s="6">
        <v>15.25</v>
      </c>
      <c r="Y315" s="6">
        <v>15.25</v>
      </c>
      <c r="Z315" s="6">
        <v>15.25</v>
      </c>
      <c r="AA315" s="6">
        <v>0.48</v>
      </c>
      <c r="AB315" s="7">
        <v>22.297000000000001</v>
      </c>
      <c r="AC315" s="2"/>
    </row>
    <row r="316" spans="1:29" ht="65" x14ac:dyDescent="0.15">
      <c r="A316" s="3">
        <f>DATE(1990,10,9)</f>
        <v>33155</v>
      </c>
      <c r="B316" s="3">
        <f>DATE(1990,10,25)</f>
        <v>33171</v>
      </c>
      <c r="C316" s="2" t="s">
        <v>95</v>
      </c>
      <c r="D316" s="2" t="s">
        <v>1275</v>
      </c>
      <c r="E316" s="2" t="s">
        <v>1276</v>
      </c>
      <c r="F316" s="4">
        <v>2911</v>
      </c>
      <c r="G316" s="2" t="s">
        <v>148</v>
      </c>
      <c r="H316" s="2" t="s">
        <v>34</v>
      </c>
      <c r="I316" s="2" t="s">
        <v>1277</v>
      </c>
      <c r="J316" s="2" t="s">
        <v>1278</v>
      </c>
      <c r="K316" s="2" t="s">
        <v>577</v>
      </c>
      <c r="L316" s="2" t="s">
        <v>902</v>
      </c>
      <c r="M316" s="2"/>
      <c r="N316" s="2"/>
      <c r="O316" s="2"/>
      <c r="P316" s="2" t="s">
        <v>1279</v>
      </c>
      <c r="Q316" s="6">
        <v>100</v>
      </c>
      <c r="R316" s="2"/>
      <c r="S316" s="5">
        <v>-12.3</v>
      </c>
      <c r="T316" s="7">
        <v>-4.2160000000000002</v>
      </c>
      <c r="U316" s="5">
        <v>2</v>
      </c>
      <c r="V316" s="6">
        <v>-3.99</v>
      </c>
      <c r="W316" s="5">
        <v>7.5</v>
      </c>
      <c r="X316" s="6">
        <v>7.25</v>
      </c>
      <c r="Y316" s="5">
        <v>7.5</v>
      </c>
      <c r="Z316" s="7">
        <v>7.875</v>
      </c>
      <c r="AA316" s="6">
        <v>3.1</v>
      </c>
      <c r="AB316" s="2" t="s">
        <v>86</v>
      </c>
      <c r="AC316" s="6">
        <v>2.33</v>
      </c>
    </row>
    <row r="317" spans="1:29" ht="91" x14ac:dyDescent="0.15">
      <c r="A317" s="3">
        <f>DATE(1990,10,9)</f>
        <v>33155</v>
      </c>
      <c r="B317" s="2"/>
      <c r="C317" s="2" t="s">
        <v>141</v>
      </c>
      <c r="D317" s="2" t="s">
        <v>1280</v>
      </c>
      <c r="E317" s="2" t="s">
        <v>36</v>
      </c>
      <c r="F317" s="4">
        <v>6022</v>
      </c>
      <c r="G317" s="2" t="s">
        <v>37</v>
      </c>
      <c r="H317" s="2" t="s">
        <v>34</v>
      </c>
      <c r="I317" s="2" t="s">
        <v>143</v>
      </c>
      <c r="J317" s="2" t="s">
        <v>144</v>
      </c>
      <c r="K317" s="2" t="s">
        <v>53</v>
      </c>
      <c r="L317" s="2" t="s">
        <v>139</v>
      </c>
      <c r="M317" s="2"/>
      <c r="N317" s="2"/>
      <c r="O317" s="2"/>
      <c r="P317" s="2" t="s">
        <v>1281</v>
      </c>
      <c r="Q317" s="2"/>
      <c r="R317" s="2"/>
      <c r="S317" s="5">
        <v>16.8</v>
      </c>
      <c r="T317" s="6">
        <v>32.75</v>
      </c>
      <c r="U317" s="5">
        <v>7.5</v>
      </c>
      <c r="V317" s="6">
        <v>1.35</v>
      </c>
      <c r="W317" s="6">
        <v>8.25</v>
      </c>
      <c r="X317" s="6">
        <v>9.75</v>
      </c>
      <c r="Y317" s="6">
        <v>9.75</v>
      </c>
      <c r="Z317" s="5">
        <v>9.5</v>
      </c>
      <c r="AA317" s="2"/>
      <c r="AB317" s="2" t="s">
        <v>47</v>
      </c>
      <c r="AC317" s="2"/>
    </row>
    <row r="318" spans="1:29" ht="52" x14ac:dyDescent="0.15">
      <c r="A318" s="3">
        <f>DATE(1990,10,11)</f>
        <v>33157</v>
      </c>
      <c r="B318" s="2"/>
      <c r="C318" s="2" t="s">
        <v>189</v>
      </c>
      <c r="D318" s="2" t="s">
        <v>1282</v>
      </c>
      <c r="E318" s="2" t="s">
        <v>1283</v>
      </c>
      <c r="F318" s="4">
        <v>5812</v>
      </c>
      <c r="G318" s="2" t="s">
        <v>230</v>
      </c>
      <c r="H318" s="2" t="s">
        <v>34</v>
      </c>
      <c r="I318" s="2" t="s">
        <v>143</v>
      </c>
      <c r="J318" s="2" t="s">
        <v>144</v>
      </c>
      <c r="K318" s="2" t="s">
        <v>53</v>
      </c>
      <c r="L318" s="2" t="s">
        <v>139</v>
      </c>
      <c r="M318" s="2"/>
      <c r="N318" s="2"/>
      <c r="O318" s="2"/>
      <c r="P318" s="2" t="s">
        <v>1284</v>
      </c>
      <c r="Q318" s="2"/>
      <c r="R318" s="2"/>
      <c r="S318" s="5">
        <v>23.7</v>
      </c>
      <c r="T318" s="7">
        <v>109.468</v>
      </c>
      <c r="U318" s="5">
        <v>4.4000000000000004</v>
      </c>
      <c r="V318" s="6">
        <v>0.25</v>
      </c>
      <c r="W318" s="7">
        <v>5.875</v>
      </c>
      <c r="X318" s="7">
        <v>5.625</v>
      </c>
      <c r="Y318" s="7">
        <v>5.875</v>
      </c>
      <c r="Z318" s="6">
        <v>5.75</v>
      </c>
      <c r="AA318" s="6">
        <v>96.66</v>
      </c>
      <c r="AB318" s="2" t="s">
        <v>47</v>
      </c>
      <c r="AC318" s="2"/>
    </row>
    <row r="319" spans="1:29" ht="65" x14ac:dyDescent="0.15">
      <c r="A319" s="3">
        <f>DATE(1990,10,12)</f>
        <v>33158</v>
      </c>
      <c r="B319" s="2"/>
      <c r="C319" s="2" t="s">
        <v>56</v>
      </c>
      <c r="D319" s="2" t="s">
        <v>1285</v>
      </c>
      <c r="E319" s="2" t="s">
        <v>1181</v>
      </c>
      <c r="F319" s="4">
        <v>6021</v>
      </c>
      <c r="G319" s="2" t="s">
        <v>37</v>
      </c>
      <c r="H319" s="2" t="s">
        <v>34</v>
      </c>
      <c r="I319" s="2" t="s">
        <v>1286</v>
      </c>
      <c r="J319" s="2" t="s">
        <v>1181</v>
      </c>
      <c r="K319" s="2" t="s">
        <v>37</v>
      </c>
      <c r="L319" s="2" t="s">
        <v>34</v>
      </c>
      <c r="M319" s="2"/>
      <c r="N319" s="2"/>
      <c r="O319" s="2"/>
      <c r="P319" s="2" t="s">
        <v>1287</v>
      </c>
      <c r="Q319" s="2"/>
      <c r="R319" s="2"/>
      <c r="S319" s="2"/>
      <c r="T319" s="2"/>
      <c r="U319" s="2"/>
      <c r="V319" s="2"/>
      <c r="W319" s="6">
        <v>2.75</v>
      </c>
      <c r="X319" s="6">
        <v>2.75</v>
      </c>
      <c r="Y319" s="4">
        <v>3</v>
      </c>
      <c r="Z319" s="6">
        <v>3.25</v>
      </c>
      <c r="AA319" s="2"/>
      <c r="AB319" s="2" t="s">
        <v>47</v>
      </c>
      <c r="AC319" s="2"/>
    </row>
    <row r="320" spans="1:29" ht="91" x14ac:dyDescent="0.15">
      <c r="A320" s="3">
        <f>DATE(1990,10,15)</f>
        <v>33161</v>
      </c>
      <c r="B320" s="2"/>
      <c r="C320" s="2" t="s">
        <v>141</v>
      </c>
      <c r="D320" s="2" t="s">
        <v>1288</v>
      </c>
      <c r="E320" s="2" t="s">
        <v>1289</v>
      </c>
      <c r="F320" s="4">
        <v>2821</v>
      </c>
      <c r="G320" s="2" t="s">
        <v>98</v>
      </c>
      <c r="H320" s="2" t="s">
        <v>34</v>
      </c>
      <c r="I320" s="2" t="s">
        <v>143</v>
      </c>
      <c r="J320" s="2" t="s">
        <v>144</v>
      </c>
      <c r="K320" s="2" t="s">
        <v>53</v>
      </c>
      <c r="L320" s="2" t="s">
        <v>139</v>
      </c>
      <c r="M320" s="2"/>
      <c r="N320" s="2"/>
      <c r="O320" s="2"/>
      <c r="P320" s="2" t="s">
        <v>1290</v>
      </c>
      <c r="Q320" s="2"/>
      <c r="R320" s="2"/>
      <c r="S320" s="5">
        <v>1</v>
      </c>
      <c r="T320" s="2"/>
      <c r="U320" s="5">
        <v>4.5</v>
      </c>
      <c r="V320" s="2"/>
      <c r="W320" s="6">
        <v>5.75</v>
      </c>
      <c r="X320" s="5">
        <v>5.5</v>
      </c>
      <c r="Y320" s="5">
        <v>5.5</v>
      </c>
      <c r="Z320" s="7">
        <v>5.625</v>
      </c>
      <c r="AA320" s="2"/>
      <c r="AB320" s="2" t="s">
        <v>47</v>
      </c>
      <c r="AC320" s="2"/>
    </row>
    <row r="321" spans="1:29" ht="117" x14ac:dyDescent="0.15">
      <c r="A321" s="3">
        <f>DATE(1990,10,16)</f>
        <v>33162</v>
      </c>
      <c r="B321" s="2"/>
      <c r="C321" s="2" t="s">
        <v>30</v>
      </c>
      <c r="D321" s="2" t="s">
        <v>835</v>
      </c>
      <c r="E321" s="2" t="s">
        <v>836</v>
      </c>
      <c r="F321" s="4">
        <v>3944</v>
      </c>
      <c r="G321" s="2" t="s">
        <v>112</v>
      </c>
      <c r="H321" s="2" t="s">
        <v>34</v>
      </c>
      <c r="I321" s="2" t="s">
        <v>1291</v>
      </c>
      <c r="J321" s="2" t="s">
        <v>1292</v>
      </c>
      <c r="K321" s="2" t="s">
        <v>112</v>
      </c>
      <c r="L321" s="2" t="s">
        <v>34</v>
      </c>
      <c r="M321" s="2"/>
      <c r="N321" s="7">
        <v>11.625</v>
      </c>
      <c r="O321" s="6">
        <v>11.75</v>
      </c>
      <c r="P321" s="2" t="s">
        <v>1293</v>
      </c>
      <c r="Q321" s="2"/>
      <c r="R321" s="6">
        <v>32</v>
      </c>
      <c r="S321" s="5">
        <v>16</v>
      </c>
      <c r="T321" s="7">
        <v>48.469000000000001</v>
      </c>
      <c r="U321" s="5">
        <v>6.9</v>
      </c>
      <c r="V321" s="7">
        <v>1.1850000000000001</v>
      </c>
      <c r="W321" s="7">
        <v>23.625</v>
      </c>
      <c r="X321" s="7">
        <v>24.625</v>
      </c>
      <c r="Y321" s="7">
        <v>24.625</v>
      </c>
      <c r="Z321" s="7">
        <v>27.375</v>
      </c>
      <c r="AA321" s="6">
        <v>9.84</v>
      </c>
      <c r="AB321" s="7">
        <v>13.292999999999999</v>
      </c>
      <c r="AC321" s="6">
        <v>278.17</v>
      </c>
    </row>
    <row r="322" spans="1:29" ht="39" x14ac:dyDescent="0.15">
      <c r="A322" s="3">
        <f>DATE(1990,10,17)</f>
        <v>33163</v>
      </c>
      <c r="B322" s="2"/>
      <c r="C322" s="2" t="s">
        <v>30</v>
      </c>
      <c r="D322" s="2" t="s">
        <v>1294</v>
      </c>
      <c r="E322" s="2" t="s">
        <v>1295</v>
      </c>
      <c r="F322" s="4">
        <v>6036</v>
      </c>
      <c r="G322" s="2" t="s">
        <v>33</v>
      </c>
      <c r="H322" s="2" t="s">
        <v>34</v>
      </c>
      <c r="I322" s="2" t="s">
        <v>138</v>
      </c>
      <c r="J322" s="2" t="s">
        <v>139</v>
      </c>
      <c r="K322" s="2" t="s">
        <v>53</v>
      </c>
      <c r="L322" s="2" t="s">
        <v>139</v>
      </c>
      <c r="M322" s="2"/>
      <c r="N322" s="2"/>
      <c r="O322" s="2"/>
      <c r="P322" s="2" t="s">
        <v>1296</v>
      </c>
      <c r="Q322" s="2"/>
      <c r="R322" s="2"/>
      <c r="S322" s="5">
        <v>6.6</v>
      </c>
      <c r="T322" s="7">
        <v>11.875999999999999</v>
      </c>
      <c r="U322" s="5">
        <v>13</v>
      </c>
      <c r="V322" s="6">
        <v>1.06</v>
      </c>
      <c r="W322" s="4">
        <v>6</v>
      </c>
      <c r="X322" s="7">
        <v>5.125</v>
      </c>
      <c r="Y322" s="7">
        <v>5.625</v>
      </c>
      <c r="Z322" s="7">
        <v>6.625</v>
      </c>
      <c r="AA322" s="2"/>
      <c r="AB322" s="2" t="s">
        <v>47</v>
      </c>
      <c r="AC322" s="2"/>
    </row>
    <row r="323" spans="1:29" ht="104" x14ac:dyDescent="0.15">
      <c r="A323" s="3">
        <f>DATE(1990,10,18)</f>
        <v>33164</v>
      </c>
      <c r="B323" s="2"/>
      <c r="C323" s="2" t="s">
        <v>30</v>
      </c>
      <c r="D323" s="2" t="s">
        <v>1297</v>
      </c>
      <c r="E323" s="2" t="s">
        <v>1298</v>
      </c>
      <c r="F323" s="4">
        <v>3571</v>
      </c>
      <c r="G323" s="2" t="s">
        <v>50</v>
      </c>
      <c r="H323" s="2" t="s">
        <v>34</v>
      </c>
      <c r="I323" s="2" t="s">
        <v>1299</v>
      </c>
      <c r="J323" s="2" t="s">
        <v>854</v>
      </c>
      <c r="K323" s="2" t="s">
        <v>125</v>
      </c>
      <c r="L323" s="2" t="s">
        <v>133</v>
      </c>
      <c r="M323" s="2"/>
      <c r="N323" s="7">
        <v>3.1E-2</v>
      </c>
      <c r="O323" s="7">
        <v>3.1E-2</v>
      </c>
      <c r="P323" s="2" t="s">
        <v>1300</v>
      </c>
      <c r="Q323" s="2"/>
      <c r="R323" s="6">
        <v>3.75</v>
      </c>
      <c r="S323" s="5">
        <v>0.8</v>
      </c>
      <c r="T323" s="7">
        <v>3.2370000000000001</v>
      </c>
      <c r="U323" s="5">
        <v>7.9</v>
      </c>
      <c r="V323" s="9">
        <v>0.25309999999999999</v>
      </c>
      <c r="W323" s="7">
        <v>1.625</v>
      </c>
      <c r="X323" s="5">
        <v>1.5</v>
      </c>
      <c r="Y323" s="5">
        <v>2.5</v>
      </c>
      <c r="Z323" s="4">
        <v>2</v>
      </c>
      <c r="AA323" s="6">
        <v>3.1</v>
      </c>
      <c r="AB323" s="7">
        <v>8.4160000000000004</v>
      </c>
      <c r="AC323" s="2"/>
    </row>
    <row r="324" spans="1:29" ht="156" x14ac:dyDescent="0.15">
      <c r="A324" s="3">
        <f>DATE(1990,10,18)</f>
        <v>33164</v>
      </c>
      <c r="B324" s="2"/>
      <c r="C324" s="2" t="s">
        <v>30</v>
      </c>
      <c r="D324" s="2" t="s">
        <v>1301</v>
      </c>
      <c r="E324" s="2" t="s">
        <v>1302</v>
      </c>
      <c r="F324" s="4">
        <v>6035</v>
      </c>
      <c r="G324" s="2" t="s">
        <v>33</v>
      </c>
      <c r="H324" s="2" t="s">
        <v>34</v>
      </c>
      <c r="I324" s="2" t="s">
        <v>1303</v>
      </c>
      <c r="J324" s="2" t="s">
        <v>1304</v>
      </c>
      <c r="K324" s="2" t="s">
        <v>37</v>
      </c>
      <c r="L324" s="2" t="s">
        <v>34</v>
      </c>
      <c r="M324" s="2"/>
      <c r="N324" s="2"/>
      <c r="O324" s="2"/>
      <c r="P324" s="2" t="s">
        <v>1305</v>
      </c>
      <c r="Q324" s="2"/>
      <c r="R324" s="2"/>
      <c r="S324" s="2"/>
      <c r="T324" s="2"/>
      <c r="U324" s="8">
        <v>132795</v>
      </c>
      <c r="V324" s="2"/>
      <c r="W324" s="6">
        <v>13.75</v>
      </c>
      <c r="X324" s="6">
        <v>12.25</v>
      </c>
      <c r="Y324" s="4">
        <v>12</v>
      </c>
      <c r="Z324" s="4">
        <v>15</v>
      </c>
      <c r="AA324" s="6">
        <v>0.9</v>
      </c>
      <c r="AB324" s="2" t="s">
        <v>47</v>
      </c>
      <c r="AC324" s="2"/>
    </row>
    <row r="325" spans="1:29" ht="169" x14ac:dyDescent="0.15">
      <c r="A325" s="3">
        <f>DATE(1990,10,18)</f>
        <v>33164</v>
      </c>
      <c r="B325" s="2"/>
      <c r="C325" s="2" t="s">
        <v>30</v>
      </c>
      <c r="D325" s="2" t="s">
        <v>217</v>
      </c>
      <c r="E325" s="2" t="s">
        <v>218</v>
      </c>
      <c r="F325" s="4">
        <v>3721</v>
      </c>
      <c r="G325" s="2" t="s">
        <v>219</v>
      </c>
      <c r="H325" s="2" t="s">
        <v>34</v>
      </c>
      <c r="I325" s="2" t="s">
        <v>51</v>
      </c>
      <c r="J325" s="2" t="s">
        <v>52</v>
      </c>
      <c r="K325" s="2" t="s">
        <v>53</v>
      </c>
      <c r="L325" s="2" t="s">
        <v>34</v>
      </c>
      <c r="M325" s="2"/>
      <c r="N325" s="2"/>
      <c r="O325" s="2"/>
      <c r="P325" s="2" t="s">
        <v>1306</v>
      </c>
      <c r="Q325" s="2"/>
      <c r="R325" s="6">
        <v>40</v>
      </c>
      <c r="S325" s="5">
        <v>2</v>
      </c>
      <c r="T325" s="5">
        <v>421</v>
      </c>
      <c r="U325" s="5">
        <v>32.6</v>
      </c>
      <c r="V325" s="6">
        <v>0.03</v>
      </c>
      <c r="W325" s="7">
        <v>45.125</v>
      </c>
      <c r="X325" s="6">
        <v>46.75</v>
      </c>
      <c r="Y325" s="6">
        <v>49.75</v>
      </c>
      <c r="Z325" s="6">
        <v>47.75</v>
      </c>
      <c r="AA325" s="6">
        <v>52.19</v>
      </c>
      <c r="AB325" s="7">
        <v>81.466999999999999</v>
      </c>
      <c r="AC325" s="2"/>
    </row>
    <row r="326" spans="1:29" ht="117" x14ac:dyDescent="0.15">
      <c r="A326" s="3">
        <f>DATE(1990,10,22)</f>
        <v>33168</v>
      </c>
      <c r="B326" s="2"/>
      <c r="C326" s="2" t="s">
        <v>141</v>
      </c>
      <c r="D326" s="2" t="s">
        <v>1307</v>
      </c>
      <c r="E326" s="2" t="s">
        <v>58</v>
      </c>
      <c r="F326" s="4">
        <v>4512</v>
      </c>
      <c r="G326" s="2" t="s">
        <v>59</v>
      </c>
      <c r="H326" s="2" t="s">
        <v>34</v>
      </c>
      <c r="I326" s="2" t="s">
        <v>143</v>
      </c>
      <c r="J326" s="2" t="s">
        <v>144</v>
      </c>
      <c r="K326" s="2" t="s">
        <v>53</v>
      </c>
      <c r="L326" s="2" t="s">
        <v>139</v>
      </c>
      <c r="M326" s="2"/>
      <c r="N326" s="2"/>
      <c r="O326" s="2"/>
      <c r="P326" s="2" t="s">
        <v>1308</v>
      </c>
      <c r="Q326" s="2"/>
      <c r="R326" s="2"/>
      <c r="S326" s="5">
        <v>-452.1</v>
      </c>
      <c r="T326" s="7">
        <v>-100.581</v>
      </c>
      <c r="U326" s="5">
        <v>-4.3</v>
      </c>
      <c r="V326" s="6">
        <v>3.1</v>
      </c>
      <c r="W326" s="7">
        <v>1.625</v>
      </c>
      <c r="X326" s="7">
        <v>1.625</v>
      </c>
      <c r="Y326" s="7">
        <v>1.625</v>
      </c>
      <c r="Z326" s="7">
        <v>1.625</v>
      </c>
      <c r="AA326" s="6">
        <v>150</v>
      </c>
      <c r="AB326" s="2" t="s">
        <v>86</v>
      </c>
      <c r="AC326" s="2"/>
    </row>
    <row r="327" spans="1:29" ht="143" x14ac:dyDescent="0.15">
      <c r="A327" s="3">
        <f>DATE(1990,10,23)</f>
        <v>33169</v>
      </c>
      <c r="B327" s="3">
        <f>DATE(1991,4,1)</f>
        <v>33329</v>
      </c>
      <c r="C327" s="2" t="s">
        <v>95</v>
      </c>
      <c r="D327" s="2" t="s">
        <v>1309</v>
      </c>
      <c r="E327" s="2" t="s">
        <v>1310</v>
      </c>
      <c r="F327" s="4">
        <v>4953</v>
      </c>
      <c r="G327" s="2" t="s">
        <v>116</v>
      </c>
      <c r="H327" s="2" t="s">
        <v>34</v>
      </c>
      <c r="I327" s="2" t="s">
        <v>1311</v>
      </c>
      <c r="J327" s="2" t="s">
        <v>1312</v>
      </c>
      <c r="K327" s="2" t="s">
        <v>59</v>
      </c>
      <c r="L327" s="2" t="s">
        <v>34</v>
      </c>
      <c r="M327" s="2"/>
      <c r="N327" s="6">
        <v>17.25</v>
      </c>
      <c r="O327" s="7">
        <v>17.125</v>
      </c>
      <c r="P327" s="2" t="s">
        <v>1313</v>
      </c>
      <c r="Q327" s="6">
        <v>38.79</v>
      </c>
      <c r="R327" s="6">
        <v>15.13</v>
      </c>
      <c r="S327" s="5">
        <v>3.9</v>
      </c>
      <c r="T327" s="7">
        <v>11.026</v>
      </c>
      <c r="U327" s="5">
        <v>6.2</v>
      </c>
      <c r="V327" s="6">
        <v>0.72</v>
      </c>
      <c r="W327" s="5">
        <v>10.5</v>
      </c>
      <c r="X327" s="4">
        <v>11</v>
      </c>
      <c r="Y327" s="6">
        <v>14.25</v>
      </c>
      <c r="Z327" s="7">
        <v>14.375</v>
      </c>
      <c r="AA327" s="6">
        <v>5.72</v>
      </c>
      <c r="AB327" s="7">
        <v>11.61</v>
      </c>
      <c r="AC327" s="6">
        <v>126.19</v>
      </c>
    </row>
    <row r="328" spans="1:29" ht="156" x14ac:dyDescent="0.15">
      <c r="A328" s="3">
        <f>DATE(1990,10,23)</f>
        <v>33169</v>
      </c>
      <c r="B328" s="3">
        <f>DATE(1991,12,20)</f>
        <v>33592</v>
      </c>
      <c r="C328" s="2" t="s">
        <v>95</v>
      </c>
      <c r="D328" s="2" t="s">
        <v>1314</v>
      </c>
      <c r="E328" s="2" t="s">
        <v>36</v>
      </c>
      <c r="F328" s="4">
        <v>6022</v>
      </c>
      <c r="G328" s="2" t="s">
        <v>37</v>
      </c>
      <c r="H328" s="2" t="s">
        <v>34</v>
      </c>
      <c r="I328" s="2" t="s">
        <v>1315</v>
      </c>
      <c r="J328" s="2" t="s">
        <v>36</v>
      </c>
      <c r="K328" s="2" t="s">
        <v>37</v>
      </c>
      <c r="L328" s="2" t="s">
        <v>34</v>
      </c>
      <c r="M328" s="7">
        <v>158.38399999999999</v>
      </c>
      <c r="N328" s="7">
        <v>9.875</v>
      </c>
      <c r="O328" s="4">
        <v>10</v>
      </c>
      <c r="P328" s="2" t="s">
        <v>1316</v>
      </c>
      <c r="Q328" s="6">
        <v>100</v>
      </c>
      <c r="R328" s="6">
        <v>10.220000000000001</v>
      </c>
      <c r="S328" s="5">
        <v>-29.2</v>
      </c>
      <c r="T328" s="7">
        <v>-25.245000000000001</v>
      </c>
      <c r="U328" s="5">
        <v>13.1</v>
      </c>
      <c r="V328" s="6">
        <v>-4.05</v>
      </c>
      <c r="W328" s="4">
        <v>6</v>
      </c>
      <c r="X328" s="6">
        <v>5.75</v>
      </c>
      <c r="Y328" s="4">
        <v>7</v>
      </c>
      <c r="Z328" s="5">
        <v>6.5</v>
      </c>
      <c r="AA328" s="6">
        <v>7.27</v>
      </c>
      <c r="AB328" s="2" t="s">
        <v>86</v>
      </c>
      <c r="AC328" s="2"/>
    </row>
    <row r="329" spans="1:29" ht="104" x14ac:dyDescent="0.15">
      <c r="A329" s="3">
        <f>DATE(1990,10,24)</f>
        <v>33170</v>
      </c>
      <c r="B329" s="3">
        <f>DATE(1991,8,8)</f>
        <v>33458</v>
      </c>
      <c r="C329" s="2" t="s">
        <v>95</v>
      </c>
      <c r="D329" s="2" t="s">
        <v>1018</v>
      </c>
      <c r="E329" s="2" t="s">
        <v>1019</v>
      </c>
      <c r="F329" s="4">
        <v>4953</v>
      </c>
      <c r="G329" s="2" t="s">
        <v>116</v>
      </c>
      <c r="H329" s="2" t="s">
        <v>34</v>
      </c>
      <c r="I329" s="2" t="s">
        <v>1317</v>
      </c>
      <c r="J329" s="2" t="s">
        <v>1318</v>
      </c>
      <c r="K329" s="2" t="s">
        <v>237</v>
      </c>
      <c r="L329" s="2" t="s">
        <v>34</v>
      </c>
      <c r="M329" s="2"/>
      <c r="N329" s="2"/>
      <c r="O329" s="2"/>
      <c r="P329" s="2" t="s">
        <v>1319</v>
      </c>
      <c r="Q329" s="6">
        <v>76</v>
      </c>
      <c r="R329" s="6">
        <v>3.25</v>
      </c>
      <c r="S329" s="5">
        <v>0.2</v>
      </c>
      <c r="T329" s="7">
        <v>0.499</v>
      </c>
      <c r="U329" s="5">
        <v>3.2</v>
      </c>
      <c r="V329" s="6">
        <v>0.23</v>
      </c>
      <c r="W329" s="6">
        <v>1.75</v>
      </c>
      <c r="X329" s="6">
        <v>1.75</v>
      </c>
      <c r="Y329" s="5">
        <v>2.5</v>
      </c>
      <c r="Z329" s="5">
        <v>2.5</v>
      </c>
      <c r="AA329" s="6">
        <v>0.7</v>
      </c>
      <c r="AB329" s="7">
        <v>8.5139999999999993</v>
      </c>
      <c r="AC329" s="2"/>
    </row>
    <row r="330" spans="1:29" ht="52" x14ac:dyDescent="0.15">
      <c r="A330" s="3">
        <f>DATE(1990,10,24)</f>
        <v>33170</v>
      </c>
      <c r="B330" s="2"/>
      <c r="C330" s="2" t="s">
        <v>87</v>
      </c>
      <c r="D330" s="2" t="s">
        <v>1320</v>
      </c>
      <c r="E330" s="2" t="s">
        <v>1321</v>
      </c>
      <c r="F330" s="4">
        <v>2098</v>
      </c>
      <c r="G330" s="2" t="s">
        <v>577</v>
      </c>
      <c r="H330" s="2" t="s">
        <v>34</v>
      </c>
      <c r="I330" s="2" t="s">
        <v>1322</v>
      </c>
      <c r="J330" s="2" t="s">
        <v>1323</v>
      </c>
      <c r="K330" s="2" t="s">
        <v>577</v>
      </c>
      <c r="L330" s="2" t="s">
        <v>34</v>
      </c>
      <c r="M330" s="2"/>
      <c r="N330" s="2"/>
      <c r="O330" s="2"/>
      <c r="P330" s="2" t="s">
        <v>1324</v>
      </c>
      <c r="Q330" s="2"/>
      <c r="R330" s="6">
        <v>2.4</v>
      </c>
      <c r="S330" s="5">
        <v>-1.2</v>
      </c>
      <c r="T330" s="7">
        <v>-0.82199999999999995</v>
      </c>
      <c r="U330" s="5">
        <v>-0.5</v>
      </c>
      <c r="V330" s="6">
        <v>-0.86</v>
      </c>
      <c r="W330" s="7">
        <v>1.125</v>
      </c>
      <c r="X330" s="7">
        <v>1.125</v>
      </c>
      <c r="Y330" s="7">
        <v>1.125</v>
      </c>
      <c r="Z330" s="7">
        <v>1.125</v>
      </c>
      <c r="AA330" s="6">
        <v>1.45</v>
      </c>
      <c r="AB330" s="2" t="s">
        <v>86</v>
      </c>
      <c r="AC330" s="2"/>
    </row>
    <row r="331" spans="1:29" ht="143" x14ac:dyDescent="0.15">
      <c r="A331" s="3">
        <f>DATE(1990,10,24)</f>
        <v>33170</v>
      </c>
      <c r="B331" s="2"/>
      <c r="C331" s="2" t="s">
        <v>30</v>
      </c>
      <c r="D331" s="2" t="s">
        <v>1325</v>
      </c>
      <c r="E331" s="2" t="s">
        <v>1326</v>
      </c>
      <c r="F331" s="4">
        <v>7549</v>
      </c>
      <c r="G331" s="2" t="s">
        <v>1327</v>
      </c>
      <c r="H331" s="2" t="s">
        <v>34</v>
      </c>
      <c r="I331" s="2" t="s">
        <v>1328</v>
      </c>
      <c r="J331" s="2" t="s">
        <v>1329</v>
      </c>
      <c r="K331" s="2" t="s">
        <v>1327</v>
      </c>
      <c r="L331" s="2" t="s">
        <v>34</v>
      </c>
      <c r="M331" s="2"/>
      <c r="N331" s="7">
        <v>6.3E-2</v>
      </c>
      <c r="O331" s="7">
        <v>6.3E-2</v>
      </c>
      <c r="P331" s="2" t="s">
        <v>1330</v>
      </c>
      <c r="Q331" s="2"/>
      <c r="R331" s="6">
        <v>2.63</v>
      </c>
      <c r="S331" s="5">
        <v>0.3</v>
      </c>
      <c r="T331" s="6">
        <v>0.35</v>
      </c>
      <c r="U331" s="5">
        <v>1.4</v>
      </c>
      <c r="V331" s="6">
        <v>1.03</v>
      </c>
      <c r="W331" s="7">
        <v>1.875</v>
      </c>
      <c r="X331" s="9">
        <v>1.5625</v>
      </c>
      <c r="Y331" s="9">
        <v>1.4375</v>
      </c>
      <c r="Z331" s="7">
        <v>1.625</v>
      </c>
      <c r="AA331" s="6">
        <v>1</v>
      </c>
      <c r="AB331" s="7">
        <v>10.96</v>
      </c>
      <c r="AC331" s="2"/>
    </row>
    <row r="332" spans="1:29" ht="91" x14ac:dyDescent="0.15">
      <c r="A332" s="3">
        <f>DATE(1990,10,25)</f>
        <v>33171</v>
      </c>
      <c r="B332" s="2"/>
      <c r="C332" s="2" t="s">
        <v>30</v>
      </c>
      <c r="D332" s="2" t="s">
        <v>1331</v>
      </c>
      <c r="E332" s="2" t="s">
        <v>1332</v>
      </c>
      <c r="F332" s="4">
        <v>8082</v>
      </c>
      <c r="G332" s="2" t="s">
        <v>454</v>
      </c>
      <c r="H332" s="2" t="s">
        <v>34</v>
      </c>
      <c r="I332" s="2" t="s">
        <v>1333</v>
      </c>
      <c r="J332" s="2" t="s">
        <v>1334</v>
      </c>
      <c r="K332" s="2" t="s">
        <v>125</v>
      </c>
      <c r="L332" s="2" t="s">
        <v>34</v>
      </c>
      <c r="M332" s="2"/>
      <c r="N332" s="2"/>
      <c r="O332" s="2"/>
      <c r="P332" s="2" t="s">
        <v>1335</v>
      </c>
      <c r="Q332" s="2"/>
      <c r="R332" s="2"/>
      <c r="S332" s="5">
        <v>4.5</v>
      </c>
      <c r="T332" s="2"/>
      <c r="U332" s="5">
        <v>4.3</v>
      </c>
      <c r="V332" s="2"/>
      <c r="W332" s="7">
        <v>12.375</v>
      </c>
      <c r="X332" s="5">
        <v>11.5</v>
      </c>
      <c r="Y332" s="7">
        <v>11.875</v>
      </c>
      <c r="Z332" s="6">
        <v>11.75</v>
      </c>
      <c r="AA332" s="6">
        <v>6.07</v>
      </c>
      <c r="AB332" s="2" t="s">
        <v>47</v>
      </c>
      <c r="AC332" s="2"/>
    </row>
    <row r="333" spans="1:29" ht="156" x14ac:dyDescent="0.15">
      <c r="A333" s="3">
        <f>DATE(1990,10,25)</f>
        <v>33171</v>
      </c>
      <c r="B333" s="2"/>
      <c r="C333" s="2" t="s">
        <v>30</v>
      </c>
      <c r="D333" s="2" t="s">
        <v>271</v>
      </c>
      <c r="E333" s="2" t="s">
        <v>32</v>
      </c>
      <c r="F333" s="4">
        <v>6036</v>
      </c>
      <c r="G333" s="2" t="s">
        <v>33</v>
      </c>
      <c r="H333" s="2" t="s">
        <v>34</v>
      </c>
      <c r="I333" s="2" t="s">
        <v>1022</v>
      </c>
      <c r="J333" s="2" t="s">
        <v>672</v>
      </c>
      <c r="K333" s="2" t="s">
        <v>37</v>
      </c>
      <c r="L333" s="2" t="s">
        <v>34</v>
      </c>
      <c r="M333" s="2"/>
      <c r="N333" s="2"/>
      <c r="O333" s="2"/>
      <c r="P333" s="2" t="s">
        <v>1336</v>
      </c>
      <c r="Q333" s="2"/>
      <c r="R333" s="6">
        <v>26</v>
      </c>
      <c r="S333" s="5">
        <v>6.3</v>
      </c>
      <c r="T333" s="7">
        <v>12.002000000000001</v>
      </c>
      <c r="U333" s="5">
        <v>32.6</v>
      </c>
      <c r="V333" s="6">
        <v>2.1800000000000002</v>
      </c>
      <c r="W333" s="5">
        <v>21.5</v>
      </c>
      <c r="X333" s="4">
        <v>21</v>
      </c>
      <c r="Y333" s="6">
        <v>22.25</v>
      </c>
      <c r="Z333" s="5">
        <v>21.5</v>
      </c>
      <c r="AA333" s="6">
        <v>2.88</v>
      </c>
      <c r="AB333" s="7">
        <v>82.340999999999994</v>
      </c>
      <c r="AC333" s="2"/>
    </row>
    <row r="334" spans="1:29" ht="156" x14ac:dyDescent="0.15">
      <c r="A334" s="3">
        <f>DATE(1990,10,30)</f>
        <v>33176</v>
      </c>
      <c r="B334" s="2"/>
      <c r="C334" s="2" t="s">
        <v>30</v>
      </c>
      <c r="D334" s="2" t="s">
        <v>1337</v>
      </c>
      <c r="E334" s="2" t="s">
        <v>1338</v>
      </c>
      <c r="F334" s="4">
        <v>5311</v>
      </c>
      <c r="G334" s="2" t="s">
        <v>756</v>
      </c>
      <c r="H334" s="2" t="s">
        <v>34</v>
      </c>
      <c r="I334" s="2" t="s">
        <v>1339</v>
      </c>
      <c r="J334" s="2" t="s">
        <v>1340</v>
      </c>
      <c r="K334" s="2" t="s">
        <v>42</v>
      </c>
      <c r="L334" s="2" t="s">
        <v>34</v>
      </c>
      <c r="M334" s="2"/>
      <c r="N334" s="7">
        <v>19.375</v>
      </c>
      <c r="O334" s="6">
        <v>18.75</v>
      </c>
      <c r="P334" s="2" t="s">
        <v>1341</v>
      </c>
      <c r="Q334" s="2"/>
      <c r="R334" s="6">
        <v>14.4</v>
      </c>
      <c r="S334" s="5">
        <v>28.2</v>
      </c>
      <c r="T334" s="7">
        <v>142.33099999999999</v>
      </c>
      <c r="U334" s="5">
        <v>-0.8</v>
      </c>
      <c r="V334" s="9">
        <v>0.1171</v>
      </c>
      <c r="W334" s="7">
        <v>11.375</v>
      </c>
      <c r="X334" s="6">
        <v>11.25</v>
      </c>
      <c r="Y334" s="7">
        <v>14.625</v>
      </c>
      <c r="Z334" s="7">
        <v>14.625</v>
      </c>
      <c r="AA334" s="6">
        <v>42</v>
      </c>
      <c r="AB334" s="7">
        <v>11.366</v>
      </c>
      <c r="AC334" s="10">
        <v>1687.77</v>
      </c>
    </row>
    <row r="335" spans="1:29" ht="143" x14ac:dyDescent="0.15">
      <c r="A335" s="3">
        <f>DATE(1990,10,30)</f>
        <v>33176</v>
      </c>
      <c r="B335" s="3">
        <f>DATE(1991,7,26)</f>
        <v>33445</v>
      </c>
      <c r="C335" s="2" t="s">
        <v>95</v>
      </c>
      <c r="D335" s="2" t="s">
        <v>1342</v>
      </c>
      <c r="E335" s="2" t="s">
        <v>1343</v>
      </c>
      <c r="F335" s="4">
        <v>5699</v>
      </c>
      <c r="G335" s="2" t="s">
        <v>756</v>
      </c>
      <c r="H335" s="2" t="s">
        <v>34</v>
      </c>
      <c r="I335" s="2" t="s">
        <v>1344</v>
      </c>
      <c r="J335" s="2" t="s">
        <v>1345</v>
      </c>
      <c r="K335" s="2" t="s">
        <v>708</v>
      </c>
      <c r="L335" s="2" t="s">
        <v>34</v>
      </c>
      <c r="M335" s="2"/>
      <c r="N335" s="5">
        <v>7.5</v>
      </c>
      <c r="O335" s="7">
        <v>7.625</v>
      </c>
      <c r="P335" s="2" t="s">
        <v>1346</v>
      </c>
      <c r="Q335" s="6">
        <v>99</v>
      </c>
      <c r="R335" s="6">
        <v>3.34</v>
      </c>
      <c r="S335" s="5">
        <v>4</v>
      </c>
      <c r="T335" s="7">
        <v>6.8609999999999998</v>
      </c>
      <c r="U335" s="5">
        <v>1.7</v>
      </c>
      <c r="V335" s="6">
        <v>0.5</v>
      </c>
      <c r="W335" s="5">
        <v>2.5</v>
      </c>
      <c r="X335" s="7">
        <v>2.625</v>
      </c>
      <c r="Y335" s="7">
        <v>2.4380000000000002</v>
      </c>
      <c r="Z335" s="7">
        <v>3.375</v>
      </c>
      <c r="AA335" s="6">
        <v>4.3899999999999997</v>
      </c>
      <c r="AB335" s="7">
        <v>7.59</v>
      </c>
      <c r="AC335" s="6">
        <v>0.14000000000000001</v>
      </c>
    </row>
    <row r="336" spans="1:29" ht="39" x14ac:dyDescent="0.15">
      <c r="A336" s="3">
        <f>DATE(1990,10,30)</f>
        <v>33176</v>
      </c>
      <c r="B336" s="2"/>
      <c r="C336" s="2" t="s">
        <v>30</v>
      </c>
      <c r="D336" s="2" t="s">
        <v>1347</v>
      </c>
      <c r="E336" s="2" t="s">
        <v>1348</v>
      </c>
      <c r="F336" s="4">
        <v>3613</v>
      </c>
      <c r="G336" s="2" t="s">
        <v>137</v>
      </c>
      <c r="H336" s="2" t="s">
        <v>34</v>
      </c>
      <c r="I336" s="2" t="s">
        <v>138</v>
      </c>
      <c r="J336" s="2" t="s">
        <v>139</v>
      </c>
      <c r="K336" s="2" t="s">
        <v>53</v>
      </c>
      <c r="L336" s="2" t="s">
        <v>139</v>
      </c>
      <c r="M336" s="2"/>
      <c r="N336" s="2"/>
      <c r="O336" s="2"/>
      <c r="P336" s="2" t="s">
        <v>1349</v>
      </c>
      <c r="Q336" s="2"/>
      <c r="R336" s="2"/>
      <c r="S336" s="5">
        <v>101.9</v>
      </c>
      <c r="T336" s="7">
        <v>228.21199999999999</v>
      </c>
      <c r="U336" s="5">
        <v>23.7</v>
      </c>
      <c r="V336" s="6">
        <v>3.98</v>
      </c>
      <c r="W336" s="7">
        <v>37.125</v>
      </c>
      <c r="X336" s="7">
        <v>38.375</v>
      </c>
      <c r="Y336" s="6">
        <v>40.25</v>
      </c>
      <c r="Z336" s="5">
        <v>42.5</v>
      </c>
      <c r="AA336" s="2"/>
      <c r="AB336" s="2" t="s">
        <v>47</v>
      </c>
      <c r="AC336" s="2"/>
    </row>
    <row r="337" spans="1:29" ht="156" x14ac:dyDescent="0.15">
      <c r="A337" s="3">
        <f>DATE(1990,10,31)</f>
        <v>33177</v>
      </c>
      <c r="B337" s="2"/>
      <c r="C337" s="2" t="s">
        <v>30</v>
      </c>
      <c r="D337" s="2" t="s">
        <v>1350</v>
      </c>
      <c r="E337" s="2" t="s">
        <v>1351</v>
      </c>
      <c r="F337" s="4">
        <v>3651</v>
      </c>
      <c r="G337" s="2" t="s">
        <v>137</v>
      </c>
      <c r="H337" s="2" t="s">
        <v>34</v>
      </c>
      <c r="I337" s="2" t="s">
        <v>1352</v>
      </c>
      <c r="J337" s="2" t="s">
        <v>1353</v>
      </c>
      <c r="K337" s="2" t="s">
        <v>300</v>
      </c>
      <c r="L337" s="2" t="s">
        <v>34</v>
      </c>
      <c r="M337" s="2"/>
      <c r="N337" s="7">
        <v>2.875</v>
      </c>
      <c r="O337" s="7">
        <v>2.875</v>
      </c>
      <c r="P337" s="2" t="s">
        <v>1354</v>
      </c>
      <c r="Q337" s="2"/>
      <c r="R337" s="2"/>
      <c r="S337" s="5">
        <v>-17</v>
      </c>
      <c r="T337" s="5">
        <v>25.1</v>
      </c>
      <c r="U337" s="5">
        <v>14.9</v>
      </c>
      <c r="V337" s="6">
        <v>-0.64</v>
      </c>
      <c r="W337" s="7">
        <v>6.125</v>
      </c>
      <c r="X337" s="7">
        <v>6.125</v>
      </c>
      <c r="Y337" s="7">
        <v>5.625</v>
      </c>
      <c r="Z337" s="7">
        <v>6.375</v>
      </c>
      <c r="AA337" s="6">
        <v>26.7</v>
      </c>
      <c r="AB337" s="2" t="s">
        <v>86</v>
      </c>
      <c r="AC337" s="2"/>
    </row>
    <row r="338" spans="1:29" ht="104" x14ac:dyDescent="0.15">
      <c r="A338" s="3">
        <f>DATE(1990,11,1)</f>
        <v>33178</v>
      </c>
      <c r="B338" s="3">
        <f>DATE(1990,12,18)</f>
        <v>33225</v>
      </c>
      <c r="C338" s="2" t="s">
        <v>95</v>
      </c>
      <c r="D338" s="2" t="s">
        <v>1355</v>
      </c>
      <c r="E338" s="2" t="s">
        <v>1356</v>
      </c>
      <c r="F338" s="4">
        <v>7371</v>
      </c>
      <c r="G338" s="2" t="s">
        <v>223</v>
      </c>
      <c r="H338" s="2" t="s">
        <v>34</v>
      </c>
      <c r="I338" s="2" t="s">
        <v>552</v>
      </c>
      <c r="J338" s="2" t="s">
        <v>553</v>
      </c>
      <c r="K338" s="2" t="s">
        <v>551</v>
      </c>
      <c r="L338" s="2" t="s">
        <v>34</v>
      </c>
      <c r="M338" s="2"/>
      <c r="N338" s="5">
        <v>17.5</v>
      </c>
      <c r="O338" s="5">
        <v>18.5</v>
      </c>
      <c r="P338" s="2" t="s">
        <v>1357</v>
      </c>
      <c r="Q338" s="6">
        <v>100</v>
      </c>
      <c r="R338" s="6">
        <v>18.84</v>
      </c>
      <c r="S338" s="5">
        <v>-2.2999999999999998</v>
      </c>
      <c r="T338" s="7">
        <v>-0.747</v>
      </c>
      <c r="U338" s="5">
        <v>1.8</v>
      </c>
      <c r="V338" s="6">
        <v>-0.91</v>
      </c>
      <c r="W338" s="6">
        <v>11.75</v>
      </c>
      <c r="X338" s="7">
        <v>10.875</v>
      </c>
      <c r="Y338" s="6">
        <v>18.25</v>
      </c>
      <c r="Z338" s="7">
        <v>18.375</v>
      </c>
      <c r="AA338" s="6">
        <v>3.45</v>
      </c>
      <c r="AB338" s="2" t="s">
        <v>86</v>
      </c>
      <c r="AC338" s="6">
        <v>274.98</v>
      </c>
    </row>
    <row r="339" spans="1:29" ht="26" x14ac:dyDescent="0.15">
      <c r="A339" s="3">
        <f>DATE(1990,11,2)</f>
        <v>33179</v>
      </c>
      <c r="B339" s="2"/>
      <c r="C339" s="2" t="s">
        <v>189</v>
      </c>
      <c r="D339" s="2" t="s">
        <v>1358</v>
      </c>
      <c r="E339" s="2" t="s">
        <v>408</v>
      </c>
      <c r="F339" s="4">
        <v>6799</v>
      </c>
      <c r="G339" s="2" t="s">
        <v>53</v>
      </c>
      <c r="H339" s="2" t="s">
        <v>34</v>
      </c>
      <c r="I339" s="2" t="s">
        <v>143</v>
      </c>
      <c r="J339" s="2" t="s">
        <v>144</v>
      </c>
      <c r="K339" s="2" t="s">
        <v>53</v>
      </c>
      <c r="L339" s="2" t="s">
        <v>139</v>
      </c>
      <c r="M339" s="2"/>
      <c r="N339" s="2"/>
      <c r="O339" s="2"/>
      <c r="P339" s="2" t="s">
        <v>1359</v>
      </c>
      <c r="Q339" s="2"/>
      <c r="R339" s="2"/>
      <c r="S339" s="5">
        <v>4</v>
      </c>
      <c r="T339" s="2"/>
      <c r="U339" s="5">
        <v>9.5</v>
      </c>
      <c r="V339" s="2"/>
      <c r="W339" s="4">
        <v>2</v>
      </c>
      <c r="X339" s="6">
        <v>1.25</v>
      </c>
      <c r="Y339" s="7">
        <v>1.125</v>
      </c>
      <c r="Z339" s="7">
        <v>1.125</v>
      </c>
      <c r="AA339" s="6">
        <v>9.3699999999999992</v>
      </c>
      <c r="AB339" s="2" t="s">
        <v>47</v>
      </c>
      <c r="AC339" s="2"/>
    </row>
    <row r="340" spans="1:29" ht="91" x14ac:dyDescent="0.15">
      <c r="A340" s="3">
        <f>DATE(1990,11,5)</f>
        <v>33182</v>
      </c>
      <c r="B340" s="2"/>
      <c r="C340" s="2" t="s">
        <v>56</v>
      </c>
      <c r="D340" s="2" t="s">
        <v>1360</v>
      </c>
      <c r="E340" s="2" t="s">
        <v>1361</v>
      </c>
      <c r="F340" s="4">
        <v>7373</v>
      </c>
      <c r="G340" s="2" t="s">
        <v>223</v>
      </c>
      <c r="H340" s="2" t="s">
        <v>34</v>
      </c>
      <c r="I340" s="2" t="s">
        <v>1362</v>
      </c>
      <c r="J340" s="2" t="s">
        <v>781</v>
      </c>
      <c r="K340" s="2" t="s">
        <v>551</v>
      </c>
      <c r="L340" s="2" t="s">
        <v>34</v>
      </c>
      <c r="M340" s="2"/>
      <c r="N340" s="2"/>
      <c r="O340" s="2"/>
      <c r="P340" s="2" t="s">
        <v>1363</v>
      </c>
      <c r="Q340" s="2"/>
      <c r="R340" s="2"/>
      <c r="S340" s="5">
        <v>-1.3</v>
      </c>
      <c r="T340" s="7">
        <v>3.0150000000000001</v>
      </c>
      <c r="U340" s="5">
        <v>0.8</v>
      </c>
      <c r="V340" s="9">
        <v>-7.2400000000000006E-2</v>
      </c>
      <c r="W340" s="6">
        <v>13.25</v>
      </c>
      <c r="X340" s="7">
        <v>12.875</v>
      </c>
      <c r="Y340" s="6">
        <v>13.25</v>
      </c>
      <c r="Z340" s="6">
        <v>13.25</v>
      </c>
      <c r="AA340" s="6">
        <v>2.4500000000000002</v>
      </c>
      <c r="AB340" s="2" t="s">
        <v>47</v>
      </c>
      <c r="AC340" s="2"/>
    </row>
    <row r="341" spans="1:29" ht="117" x14ac:dyDescent="0.15">
      <c r="A341" s="3">
        <f>DATE(1990,11,6)</f>
        <v>33183</v>
      </c>
      <c r="B341" s="3">
        <f>DATE(1991,2,2)</f>
        <v>33271</v>
      </c>
      <c r="C341" s="2" t="s">
        <v>95</v>
      </c>
      <c r="D341" s="2" t="s">
        <v>1364</v>
      </c>
      <c r="E341" s="2" t="s">
        <v>1365</v>
      </c>
      <c r="F341" s="4">
        <v>5199</v>
      </c>
      <c r="G341" s="2" t="s">
        <v>593</v>
      </c>
      <c r="H341" s="2" t="s">
        <v>34</v>
      </c>
      <c r="I341" s="2" t="s">
        <v>1366</v>
      </c>
      <c r="J341" s="2" t="s">
        <v>1367</v>
      </c>
      <c r="K341" s="2" t="s">
        <v>756</v>
      </c>
      <c r="L341" s="2" t="s">
        <v>34</v>
      </c>
      <c r="M341" s="2"/>
      <c r="N341" s="6">
        <v>27.75</v>
      </c>
      <c r="O341" s="7">
        <v>26.625</v>
      </c>
      <c r="P341" s="2" t="s">
        <v>1368</v>
      </c>
      <c r="Q341" s="6">
        <v>100</v>
      </c>
      <c r="R341" s="6">
        <v>21</v>
      </c>
      <c r="S341" s="5">
        <v>5.4</v>
      </c>
      <c r="T341" s="7">
        <v>11.347</v>
      </c>
      <c r="U341" s="2"/>
      <c r="V341" s="6">
        <v>0.7</v>
      </c>
      <c r="W341" s="5">
        <v>13.5</v>
      </c>
      <c r="X341" s="6">
        <v>15.75</v>
      </c>
      <c r="Y341" s="6">
        <v>19.75</v>
      </c>
      <c r="Z341" s="6">
        <v>19.75</v>
      </c>
      <c r="AA341" s="6">
        <v>7.8</v>
      </c>
      <c r="AB341" s="7">
        <v>20.193000000000001</v>
      </c>
      <c r="AC341" s="6">
        <v>12.79</v>
      </c>
    </row>
    <row r="342" spans="1:29" ht="65" x14ac:dyDescent="0.15">
      <c r="A342" s="3">
        <f>DATE(1990,11,7)</f>
        <v>33184</v>
      </c>
      <c r="B342" s="2"/>
      <c r="C342" s="2" t="s">
        <v>87</v>
      </c>
      <c r="D342" s="2" t="s">
        <v>1369</v>
      </c>
      <c r="E342" s="2" t="s">
        <v>1370</v>
      </c>
      <c r="F342" s="4">
        <v>4953</v>
      </c>
      <c r="G342" s="2" t="s">
        <v>116</v>
      </c>
      <c r="H342" s="2" t="s">
        <v>34</v>
      </c>
      <c r="I342" s="2" t="s">
        <v>1371</v>
      </c>
      <c r="J342" s="2" t="s">
        <v>1372</v>
      </c>
      <c r="K342" s="2" t="s">
        <v>76</v>
      </c>
      <c r="L342" s="2" t="s">
        <v>34</v>
      </c>
      <c r="M342" s="2"/>
      <c r="N342" s="2"/>
      <c r="O342" s="2"/>
      <c r="P342" s="2" t="s">
        <v>1373</v>
      </c>
      <c r="Q342" s="2"/>
      <c r="R342" s="2"/>
      <c r="S342" s="5">
        <v>-4.5999999999999996</v>
      </c>
      <c r="T342" s="7">
        <v>-2.714</v>
      </c>
      <c r="U342" s="5">
        <v>-0.1</v>
      </c>
      <c r="V342" s="6">
        <v>-0.24</v>
      </c>
      <c r="W342" s="4">
        <v>2</v>
      </c>
      <c r="X342" s="7">
        <v>1.625</v>
      </c>
      <c r="Y342" s="5">
        <v>1.5</v>
      </c>
      <c r="Z342" s="5">
        <v>1.5</v>
      </c>
      <c r="AA342" s="2"/>
      <c r="AB342" s="2" t="s">
        <v>86</v>
      </c>
      <c r="AC342" s="2"/>
    </row>
    <row r="343" spans="1:29" ht="156" x14ac:dyDescent="0.15">
      <c r="A343" s="3">
        <f>DATE(1990,11,8)</f>
        <v>33185</v>
      </c>
      <c r="B343" s="2"/>
      <c r="C343" s="2" t="s">
        <v>30</v>
      </c>
      <c r="D343" s="2" t="s">
        <v>1374</v>
      </c>
      <c r="E343" s="2" t="s">
        <v>1375</v>
      </c>
      <c r="F343" s="4">
        <v>5014</v>
      </c>
      <c r="G343" s="2" t="s">
        <v>76</v>
      </c>
      <c r="H343" s="2" t="s">
        <v>34</v>
      </c>
      <c r="I343" s="2" t="s">
        <v>1376</v>
      </c>
      <c r="J343" s="2" t="s">
        <v>1377</v>
      </c>
      <c r="K343" s="2" t="s">
        <v>447</v>
      </c>
      <c r="L343" s="2" t="s">
        <v>34</v>
      </c>
      <c r="M343" s="2"/>
      <c r="N343" s="6">
        <v>14.75</v>
      </c>
      <c r="O343" s="5">
        <v>13.5</v>
      </c>
      <c r="P343" s="2" t="s">
        <v>1378</v>
      </c>
      <c r="Q343" s="2"/>
      <c r="R343" s="6">
        <v>22</v>
      </c>
      <c r="S343" s="5">
        <v>-0.8</v>
      </c>
      <c r="T343" s="6">
        <v>-10.62</v>
      </c>
      <c r="U343" s="5">
        <v>21.5</v>
      </c>
      <c r="V343" s="6">
        <v>-0.37</v>
      </c>
      <c r="W343" s="6">
        <v>16.75</v>
      </c>
      <c r="X343" s="7">
        <v>17.625</v>
      </c>
      <c r="Y343" s="7">
        <v>17.875</v>
      </c>
      <c r="Z343" s="5">
        <v>21.5</v>
      </c>
      <c r="AA343" s="6">
        <v>2.23</v>
      </c>
      <c r="AB343" s="2" t="s">
        <v>86</v>
      </c>
      <c r="AC343" s="2"/>
    </row>
    <row r="344" spans="1:29" ht="65" x14ac:dyDescent="0.15">
      <c r="A344" s="3">
        <f>DATE(1990,11,8)</f>
        <v>33185</v>
      </c>
      <c r="B344" s="2"/>
      <c r="C344" s="2" t="s">
        <v>56</v>
      </c>
      <c r="D344" s="2" t="s">
        <v>1379</v>
      </c>
      <c r="E344" s="2" t="s">
        <v>92</v>
      </c>
      <c r="F344" s="4">
        <v>6798</v>
      </c>
      <c r="G344" s="2" t="s">
        <v>53</v>
      </c>
      <c r="H344" s="2" t="s">
        <v>34</v>
      </c>
      <c r="I344" s="2" t="s">
        <v>51</v>
      </c>
      <c r="J344" s="2" t="s">
        <v>52</v>
      </c>
      <c r="K344" s="2" t="s">
        <v>53</v>
      </c>
      <c r="L344" s="2" t="s">
        <v>34</v>
      </c>
      <c r="M344" s="2"/>
      <c r="N344" s="2"/>
      <c r="O344" s="2"/>
      <c r="P344" s="2" t="s">
        <v>1380</v>
      </c>
      <c r="Q344" s="2"/>
      <c r="R344" s="2"/>
      <c r="S344" s="2"/>
      <c r="T344" s="2"/>
      <c r="U344" s="2"/>
      <c r="V344" s="2"/>
      <c r="W344" s="7">
        <v>3.1880000000000002</v>
      </c>
      <c r="X344" s="4">
        <v>3</v>
      </c>
      <c r="Y344" s="5">
        <v>3.5</v>
      </c>
      <c r="Z344" s="5">
        <v>3.5</v>
      </c>
      <c r="AA344" s="6">
        <v>2.1</v>
      </c>
      <c r="AB344" s="2" t="s">
        <v>47</v>
      </c>
      <c r="AC344" s="2"/>
    </row>
    <row r="345" spans="1:29" ht="104" x14ac:dyDescent="0.15">
      <c r="A345" s="3">
        <f>DATE(1990,11,9)</f>
        <v>33186</v>
      </c>
      <c r="B345" s="2"/>
      <c r="C345" s="2" t="s">
        <v>82</v>
      </c>
      <c r="D345" s="2" t="s">
        <v>1381</v>
      </c>
      <c r="E345" s="2" t="s">
        <v>1382</v>
      </c>
      <c r="F345" s="4">
        <v>3825</v>
      </c>
      <c r="G345" s="2" t="s">
        <v>226</v>
      </c>
      <c r="H345" s="2" t="s">
        <v>34</v>
      </c>
      <c r="I345" s="2" t="s">
        <v>1383</v>
      </c>
      <c r="J345" s="2" t="s">
        <v>80</v>
      </c>
      <c r="K345" s="2" t="s">
        <v>53</v>
      </c>
      <c r="L345" s="2" t="s">
        <v>34</v>
      </c>
      <c r="M345" s="2"/>
      <c r="N345" s="2"/>
      <c r="O345" s="2"/>
      <c r="P345" s="2" t="s">
        <v>1384</v>
      </c>
      <c r="Q345" s="2"/>
      <c r="R345" s="2"/>
      <c r="S345" s="5">
        <v>-0.3</v>
      </c>
      <c r="T345" s="7">
        <v>-0.29299999999999998</v>
      </c>
      <c r="U345" s="5">
        <v>2.9</v>
      </c>
      <c r="V345" s="6">
        <v>-0.15</v>
      </c>
      <c r="W345" s="7">
        <v>2.5630000000000002</v>
      </c>
      <c r="X345" s="7">
        <v>2.5630000000000002</v>
      </c>
      <c r="Y345" s="7">
        <v>2.5630000000000002</v>
      </c>
      <c r="Z345" s="7">
        <v>2.5630000000000002</v>
      </c>
      <c r="AA345" s="6">
        <v>2.1</v>
      </c>
      <c r="AB345" s="2" t="s">
        <v>86</v>
      </c>
      <c r="AC345" s="2"/>
    </row>
    <row r="346" spans="1:29" ht="117" x14ac:dyDescent="0.15">
      <c r="A346" s="3">
        <f>DATE(1990,11,9)</f>
        <v>33186</v>
      </c>
      <c r="B346" s="2"/>
      <c r="C346" s="2" t="s">
        <v>56</v>
      </c>
      <c r="D346" s="2" t="s">
        <v>142</v>
      </c>
      <c r="E346" s="2" t="s">
        <v>36</v>
      </c>
      <c r="F346" s="4">
        <v>6036</v>
      </c>
      <c r="G346" s="2" t="s">
        <v>33</v>
      </c>
      <c r="H346" s="2" t="s">
        <v>34</v>
      </c>
      <c r="I346" s="2" t="s">
        <v>149</v>
      </c>
      <c r="J346" s="2" t="s">
        <v>150</v>
      </c>
      <c r="K346" s="2" t="s">
        <v>53</v>
      </c>
      <c r="L346" s="2" t="s">
        <v>151</v>
      </c>
      <c r="M346" s="2"/>
      <c r="N346" s="2"/>
      <c r="O346" s="2"/>
      <c r="P346" s="2" t="s">
        <v>1385</v>
      </c>
      <c r="Q346" s="2"/>
      <c r="R346" s="2"/>
      <c r="S346" s="5">
        <v>1.2</v>
      </c>
      <c r="T346" s="7">
        <v>2.1659999999999999</v>
      </c>
      <c r="U346" s="5">
        <v>15.4</v>
      </c>
      <c r="V346" s="2"/>
      <c r="W346" s="6">
        <v>7.25</v>
      </c>
      <c r="X346" s="5">
        <v>7.5</v>
      </c>
      <c r="Y346" s="4">
        <v>7</v>
      </c>
      <c r="Z346" s="5">
        <v>7.5</v>
      </c>
      <c r="AA346" s="6">
        <v>1.6</v>
      </c>
      <c r="AB346" s="2" t="s">
        <v>47</v>
      </c>
      <c r="AC346" s="2"/>
    </row>
    <row r="347" spans="1:29" ht="104" x14ac:dyDescent="0.15">
      <c r="A347" s="3">
        <f>DATE(1990,11,11)</f>
        <v>33188</v>
      </c>
      <c r="B347" s="2"/>
      <c r="C347" s="2" t="s">
        <v>30</v>
      </c>
      <c r="D347" s="2" t="s">
        <v>701</v>
      </c>
      <c r="E347" s="2" t="s">
        <v>177</v>
      </c>
      <c r="F347" s="4">
        <v>1311</v>
      </c>
      <c r="G347" s="2" t="s">
        <v>148</v>
      </c>
      <c r="H347" s="2" t="s">
        <v>34</v>
      </c>
      <c r="I347" s="2" t="s">
        <v>1386</v>
      </c>
      <c r="J347" s="2" t="s">
        <v>1387</v>
      </c>
      <c r="K347" s="2" t="s">
        <v>439</v>
      </c>
      <c r="L347" s="2" t="s">
        <v>303</v>
      </c>
      <c r="M347" s="2"/>
      <c r="N347" s="2"/>
      <c r="O347" s="2"/>
      <c r="P347" s="2" t="s">
        <v>1388</v>
      </c>
      <c r="Q347" s="2"/>
      <c r="R347" s="6">
        <v>35.67</v>
      </c>
      <c r="S347" s="5">
        <v>172.6</v>
      </c>
      <c r="T347" s="7">
        <v>265.42099999999999</v>
      </c>
      <c r="U347" s="5">
        <v>3.3</v>
      </c>
      <c r="V347" s="6">
        <v>1.49</v>
      </c>
      <c r="W347" s="6">
        <v>18.25</v>
      </c>
      <c r="X347" s="4">
        <v>18</v>
      </c>
      <c r="Y347" s="5">
        <v>20.5</v>
      </c>
      <c r="Z347" s="5">
        <v>20.5</v>
      </c>
      <c r="AA347" s="6">
        <v>84.1</v>
      </c>
      <c r="AB347" s="7">
        <v>33.78</v>
      </c>
      <c r="AC347" s="2"/>
    </row>
    <row r="348" spans="1:29" ht="143" x14ac:dyDescent="0.15">
      <c r="A348" s="3">
        <f>DATE(1990,11,12)</f>
        <v>33189</v>
      </c>
      <c r="B348" s="2"/>
      <c r="C348" s="2" t="s">
        <v>87</v>
      </c>
      <c r="D348" s="2" t="s">
        <v>555</v>
      </c>
      <c r="E348" s="2" t="s">
        <v>556</v>
      </c>
      <c r="F348" s="4">
        <v>4522</v>
      </c>
      <c r="G348" s="2" t="s">
        <v>59</v>
      </c>
      <c r="H348" s="2" t="s">
        <v>34</v>
      </c>
      <c r="I348" s="2" t="s">
        <v>243</v>
      </c>
      <c r="J348" s="2" t="s">
        <v>244</v>
      </c>
      <c r="K348" s="2" t="s">
        <v>53</v>
      </c>
      <c r="L348" s="2" t="s">
        <v>34</v>
      </c>
      <c r="M348" s="2"/>
      <c r="N348" s="2"/>
      <c r="O348" s="2"/>
      <c r="P348" s="2" t="s">
        <v>1389</v>
      </c>
      <c r="Q348" s="2"/>
      <c r="R348" s="2"/>
      <c r="S348" s="5">
        <v>-7.6</v>
      </c>
      <c r="T348" s="2"/>
      <c r="U348" s="5">
        <v>2.5</v>
      </c>
      <c r="V348" s="2"/>
      <c r="W348" s="6">
        <v>6.75</v>
      </c>
      <c r="X348" s="7">
        <v>8.125</v>
      </c>
      <c r="Y348" s="6">
        <v>9.75</v>
      </c>
      <c r="Z348" s="6">
        <v>8.75</v>
      </c>
      <c r="AA348" s="2"/>
      <c r="AB348" s="2" t="s">
        <v>86</v>
      </c>
      <c r="AC348" s="2"/>
    </row>
    <row r="349" spans="1:29" ht="156" x14ac:dyDescent="0.15">
      <c r="A349" s="3">
        <f>DATE(1990,11,12)</f>
        <v>33189</v>
      </c>
      <c r="B349" s="2"/>
      <c r="C349" s="2" t="s">
        <v>30</v>
      </c>
      <c r="D349" s="2" t="s">
        <v>1307</v>
      </c>
      <c r="E349" s="2" t="s">
        <v>58</v>
      </c>
      <c r="F349" s="4">
        <v>4512</v>
      </c>
      <c r="G349" s="2" t="s">
        <v>59</v>
      </c>
      <c r="H349" s="2" t="s">
        <v>34</v>
      </c>
      <c r="I349" s="2" t="s">
        <v>1390</v>
      </c>
      <c r="J349" s="2" t="s">
        <v>58</v>
      </c>
      <c r="K349" s="2" t="s">
        <v>59</v>
      </c>
      <c r="L349" s="2" t="s">
        <v>34</v>
      </c>
      <c r="M349" s="2"/>
      <c r="N349" s="2"/>
      <c r="O349" s="2"/>
      <c r="P349" s="2" t="s">
        <v>1391</v>
      </c>
      <c r="Q349" s="2"/>
      <c r="R349" s="6">
        <v>2.5</v>
      </c>
      <c r="S349" s="5">
        <v>-452.1</v>
      </c>
      <c r="T349" s="7">
        <v>-100.581</v>
      </c>
      <c r="U349" s="5">
        <v>-4.3</v>
      </c>
      <c r="V349" s="6">
        <v>3.1</v>
      </c>
      <c r="W349" s="7">
        <v>1.625</v>
      </c>
      <c r="X349" s="7">
        <v>1.625</v>
      </c>
      <c r="Y349" s="7">
        <v>1.625</v>
      </c>
      <c r="Z349" s="7">
        <v>1.625</v>
      </c>
      <c r="AA349" s="6">
        <v>150.03</v>
      </c>
      <c r="AB349" s="2" t="s">
        <v>86</v>
      </c>
      <c r="AC349" s="2"/>
    </row>
    <row r="350" spans="1:29" ht="169" x14ac:dyDescent="0.15">
      <c r="A350" s="3">
        <f>DATE(1990,11,12)</f>
        <v>33189</v>
      </c>
      <c r="B350" s="3">
        <f>DATE(1991,7,11)</f>
        <v>33430</v>
      </c>
      <c r="C350" s="2" t="s">
        <v>95</v>
      </c>
      <c r="D350" s="2" t="s">
        <v>1392</v>
      </c>
      <c r="E350" s="2" t="s">
        <v>1393</v>
      </c>
      <c r="F350" s="4">
        <v>4812</v>
      </c>
      <c r="G350" s="2" t="s">
        <v>63</v>
      </c>
      <c r="H350" s="2" t="s">
        <v>34</v>
      </c>
      <c r="I350" s="2" t="s">
        <v>1394</v>
      </c>
      <c r="J350" s="2" t="s">
        <v>1395</v>
      </c>
      <c r="K350" s="2" t="s">
        <v>63</v>
      </c>
      <c r="L350" s="2" t="s">
        <v>34</v>
      </c>
      <c r="M350" s="2"/>
      <c r="N350" s="7">
        <v>37.875</v>
      </c>
      <c r="O350" s="4">
        <v>37</v>
      </c>
      <c r="P350" s="2" t="s">
        <v>1396</v>
      </c>
      <c r="Q350" s="6">
        <v>19.100000000000001</v>
      </c>
      <c r="R350" s="6">
        <v>44.6</v>
      </c>
      <c r="S350" s="5">
        <v>-4.7</v>
      </c>
      <c r="T350" s="2"/>
      <c r="U350" s="5">
        <v>2.9</v>
      </c>
      <c r="V350" s="6">
        <v>-0.09</v>
      </c>
      <c r="W350" s="6">
        <v>29.25</v>
      </c>
      <c r="X350" s="5">
        <v>30.5</v>
      </c>
      <c r="Y350" s="7">
        <v>34.375</v>
      </c>
      <c r="Z350" s="7">
        <v>33.625</v>
      </c>
      <c r="AA350" s="6">
        <v>50.87</v>
      </c>
      <c r="AB350" s="7">
        <v>799.97199999999998</v>
      </c>
      <c r="AC350" s="5">
        <v>338.2</v>
      </c>
    </row>
    <row r="351" spans="1:29" ht="156" x14ac:dyDescent="0.15">
      <c r="A351" s="3">
        <f>DATE(1990,11,12)</f>
        <v>33189</v>
      </c>
      <c r="B351" s="3">
        <f>DATE(1991,7,31)</f>
        <v>33450</v>
      </c>
      <c r="C351" s="2" t="s">
        <v>95</v>
      </c>
      <c r="D351" s="2" t="s">
        <v>1397</v>
      </c>
      <c r="E351" s="2" t="s">
        <v>1398</v>
      </c>
      <c r="F351" s="4">
        <v>6035</v>
      </c>
      <c r="G351" s="2" t="s">
        <v>33</v>
      </c>
      <c r="H351" s="2" t="s">
        <v>34</v>
      </c>
      <c r="I351" s="2" t="s">
        <v>1399</v>
      </c>
      <c r="J351" s="2" t="s">
        <v>32</v>
      </c>
      <c r="K351" s="2" t="s">
        <v>33</v>
      </c>
      <c r="L351" s="2" t="s">
        <v>34</v>
      </c>
      <c r="M351" s="2"/>
      <c r="N351" s="2"/>
      <c r="O351" s="2"/>
      <c r="P351" s="2" t="s">
        <v>1400</v>
      </c>
      <c r="Q351" s="6">
        <v>100</v>
      </c>
      <c r="R351" s="6">
        <v>19</v>
      </c>
      <c r="S351" s="5">
        <v>1.6</v>
      </c>
      <c r="T351" s="6">
        <v>2.98</v>
      </c>
      <c r="U351" s="5">
        <v>13.6</v>
      </c>
      <c r="V351" s="6">
        <v>1.37</v>
      </c>
      <c r="W351" s="5">
        <v>7.5</v>
      </c>
      <c r="X351" s="4">
        <v>15</v>
      </c>
      <c r="Y351" s="4">
        <v>15</v>
      </c>
      <c r="Z351" s="4">
        <v>15</v>
      </c>
      <c r="AA351" s="6">
        <v>1.1599999999999999</v>
      </c>
      <c r="AB351" s="7">
        <v>117.265</v>
      </c>
      <c r="AC351" s="2"/>
    </row>
    <row r="352" spans="1:29" ht="26" x14ac:dyDescent="0.15">
      <c r="A352" s="3">
        <f>DATE(1990,11,13)</f>
        <v>33190</v>
      </c>
      <c r="B352" s="2"/>
      <c r="C352" s="2" t="s">
        <v>189</v>
      </c>
      <c r="D352" s="2" t="s">
        <v>1401</v>
      </c>
      <c r="E352" s="2" t="s">
        <v>1402</v>
      </c>
      <c r="F352" s="4">
        <v>3661</v>
      </c>
      <c r="G352" s="2" t="s">
        <v>921</v>
      </c>
      <c r="H352" s="2" t="s">
        <v>34</v>
      </c>
      <c r="I352" s="2" t="s">
        <v>143</v>
      </c>
      <c r="J352" s="2" t="s">
        <v>144</v>
      </c>
      <c r="K352" s="2" t="s">
        <v>53</v>
      </c>
      <c r="L352" s="2" t="s">
        <v>139</v>
      </c>
      <c r="M352" s="2"/>
      <c r="N352" s="2"/>
      <c r="O352" s="2"/>
      <c r="P352" s="2" t="s">
        <v>1403</v>
      </c>
      <c r="Q352" s="2"/>
      <c r="R352" s="2"/>
      <c r="S352" s="5">
        <v>-21.5</v>
      </c>
      <c r="T352" s="7">
        <v>-22.135999999999999</v>
      </c>
      <c r="U352" s="5">
        <v>3</v>
      </c>
      <c r="V352" s="6">
        <v>-2.2799999999999998</v>
      </c>
      <c r="W352" s="7">
        <v>4.125</v>
      </c>
      <c r="X352" s="7">
        <v>3.875</v>
      </c>
      <c r="Y352" s="6">
        <v>4.75</v>
      </c>
      <c r="Z352" s="7">
        <v>2.875</v>
      </c>
      <c r="AA352" s="2"/>
      <c r="AB352" s="2" t="s">
        <v>86</v>
      </c>
      <c r="AC352" s="2"/>
    </row>
    <row r="353" spans="1:29" ht="91" x14ac:dyDescent="0.15">
      <c r="A353" s="3">
        <f>DATE(1990,11,13)</f>
        <v>33190</v>
      </c>
      <c r="B353" s="3">
        <f>DATE(1991,1,16)</f>
        <v>33254</v>
      </c>
      <c r="C353" s="2" t="s">
        <v>95</v>
      </c>
      <c r="D353" s="2" t="s">
        <v>1404</v>
      </c>
      <c r="E353" s="2" t="s">
        <v>1405</v>
      </c>
      <c r="F353" s="4">
        <v>3731</v>
      </c>
      <c r="G353" s="2" t="s">
        <v>105</v>
      </c>
      <c r="H353" s="2" t="s">
        <v>34</v>
      </c>
      <c r="I353" s="2" t="s">
        <v>1406</v>
      </c>
      <c r="J353" s="2" t="s">
        <v>1407</v>
      </c>
      <c r="K353" s="2" t="s">
        <v>53</v>
      </c>
      <c r="L353" s="2" t="s">
        <v>34</v>
      </c>
      <c r="M353" s="2"/>
      <c r="N353" s="2"/>
      <c r="O353" s="2"/>
      <c r="P353" s="2" t="s">
        <v>1408</v>
      </c>
      <c r="Q353" s="6">
        <v>7.74</v>
      </c>
      <c r="R353" s="2"/>
      <c r="S353" s="2"/>
      <c r="T353" s="2"/>
      <c r="U353" s="2"/>
      <c r="V353" s="2"/>
      <c r="W353" s="7">
        <v>3.875</v>
      </c>
      <c r="X353" s="7">
        <v>3.625</v>
      </c>
      <c r="Y353" s="6">
        <v>3.75</v>
      </c>
      <c r="Z353" s="6">
        <v>3.75</v>
      </c>
      <c r="AA353" s="6">
        <v>14.4</v>
      </c>
      <c r="AB353" s="2" t="s">
        <v>47</v>
      </c>
      <c r="AC353" s="2"/>
    </row>
    <row r="354" spans="1:29" ht="156" x14ac:dyDescent="0.15">
      <c r="A354" s="3">
        <f>DATE(1990,11,15)</f>
        <v>33192</v>
      </c>
      <c r="B354" s="3">
        <f>DATE(1991,3,30)</f>
        <v>33327</v>
      </c>
      <c r="C354" s="2" t="s">
        <v>95</v>
      </c>
      <c r="D354" s="2" t="s">
        <v>1409</v>
      </c>
      <c r="E354" s="2" t="s">
        <v>36</v>
      </c>
      <c r="F354" s="4">
        <v>6036</v>
      </c>
      <c r="G354" s="2" t="s">
        <v>33</v>
      </c>
      <c r="H354" s="2" t="s">
        <v>34</v>
      </c>
      <c r="I354" s="2" t="s">
        <v>1410</v>
      </c>
      <c r="J354" s="2" t="s">
        <v>1181</v>
      </c>
      <c r="K354" s="2" t="s">
        <v>37</v>
      </c>
      <c r="L354" s="2" t="s">
        <v>34</v>
      </c>
      <c r="M354" s="2"/>
      <c r="N354" s="2"/>
      <c r="O354" s="2"/>
      <c r="P354" s="2" t="s">
        <v>1411</v>
      </c>
      <c r="Q354" s="6">
        <v>100</v>
      </c>
      <c r="R354" s="6">
        <v>6.25</v>
      </c>
      <c r="S354" s="5">
        <v>3.7</v>
      </c>
      <c r="T354" s="7">
        <v>7.4690000000000003</v>
      </c>
      <c r="U354" s="5">
        <v>8.9</v>
      </c>
      <c r="V354" s="6">
        <v>0.65</v>
      </c>
      <c r="W354" s="6">
        <v>6.25</v>
      </c>
      <c r="X354" s="6">
        <v>6.25</v>
      </c>
      <c r="Y354" s="4">
        <v>7</v>
      </c>
      <c r="Z354" s="6">
        <v>6.25</v>
      </c>
      <c r="AA354" s="6">
        <v>5.61</v>
      </c>
      <c r="AB354" s="7">
        <v>121.652</v>
      </c>
      <c r="AC354" s="2"/>
    </row>
    <row r="355" spans="1:29" ht="156" x14ac:dyDescent="0.15">
      <c r="A355" s="3">
        <f>DATE(1990,11,15)</f>
        <v>33192</v>
      </c>
      <c r="B355" s="3">
        <f>DATE(1990,12,28)</f>
        <v>33235</v>
      </c>
      <c r="C355" s="2" t="s">
        <v>95</v>
      </c>
      <c r="D355" s="2" t="s">
        <v>1412</v>
      </c>
      <c r="E355" s="2" t="s">
        <v>177</v>
      </c>
      <c r="F355" s="4">
        <v>1311</v>
      </c>
      <c r="G355" s="2" t="s">
        <v>148</v>
      </c>
      <c r="H355" s="2" t="s">
        <v>34</v>
      </c>
      <c r="I355" s="2" t="s">
        <v>1413</v>
      </c>
      <c r="J355" s="2" t="s">
        <v>612</v>
      </c>
      <c r="K355" s="2" t="s">
        <v>148</v>
      </c>
      <c r="L355" s="2" t="s">
        <v>34</v>
      </c>
      <c r="M355" s="2"/>
      <c r="N355" s="4">
        <v>10</v>
      </c>
      <c r="O355" s="6">
        <v>10.25</v>
      </c>
      <c r="P355" s="2" t="s">
        <v>1414</v>
      </c>
      <c r="Q355" s="6">
        <v>100</v>
      </c>
      <c r="R355" s="6">
        <v>6.24</v>
      </c>
      <c r="S355" s="5">
        <v>-0.5</v>
      </c>
      <c r="T355" s="7">
        <v>3.754</v>
      </c>
      <c r="U355" s="5">
        <v>3.3</v>
      </c>
      <c r="V355" s="6">
        <v>-0.19</v>
      </c>
      <c r="W355" s="6">
        <v>5.75</v>
      </c>
      <c r="X355" s="4">
        <v>6</v>
      </c>
      <c r="Y355" s="5">
        <v>6.5</v>
      </c>
      <c r="Z355" s="7">
        <v>6.375</v>
      </c>
      <c r="AA355" s="6">
        <v>2.72</v>
      </c>
      <c r="AB355" s="7">
        <v>12.894</v>
      </c>
      <c r="AC355" s="2"/>
    </row>
    <row r="356" spans="1:29" ht="91" x14ac:dyDescent="0.15">
      <c r="A356" s="3">
        <f>DATE(1990,11,15)</f>
        <v>33192</v>
      </c>
      <c r="B356" s="2"/>
      <c r="C356" s="2" t="s">
        <v>141</v>
      </c>
      <c r="D356" s="2" t="s">
        <v>1415</v>
      </c>
      <c r="E356" s="2" t="s">
        <v>844</v>
      </c>
      <c r="F356" s="4">
        <v>6552</v>
      </c>
      <c r="G356" s="2" t="s">
        <v>109</v>
      </c>
      <c r="H356" s="2" t="s">
        <v>34</v>
      </c>
      <c r="I356" s="2" t="s">
        <v>143</v>
      </c>
      <c r="J356" s="2" t="s">
        <v>144</v>
      </c>
      <c r="K356" s="2" t="s">
        <v>53</v>
      </c>
      <c r="L356" s="2" t="s">
        <v>139</v>
      </c>
      <c r="M356" s="2"/>
      <c r="N356" s="2"/>
      <c r="O356" s="2"/>
      <c r="P356" s="2" t="s">
        <v>1416</v>
      </c>
      <c r="Q356" s="2"/>
      <c r="R356" s="2"/>
      <c r="S356" s="2"/>
      <c r="T356" s="2"/>
      <c r="U356" s="2"/>
      <c r="V356" s="2"/>
      <c r="W356" s="5">
        <v>1.5</v>
      </c>
      <c r="X356" s="7">
        <v>1.625</v>
      </c>
      <c r="Y356" s="6">
        <v>1.75</v>
      </c>
      <c r="Z356" s="5">
        <v>1.5</v>
      </c>
      <c r="AA356" s="2"/>
      <c r="AB356" s="2" t="s">
        <v>47</v>
      </c>
      <c r="AC356" s="2"/>
    </row>
    <row r="357" spans="1:29" ht="130" x14ac:dyDescent="0.15">
      <c r="A357" s="3">
        <f>DATE(1990,11,15)</f>
        <v>33192</v>
      </c>
      <c r="B357" s="3">
        <f>DATE(1991,12,31)</f>
        <v>33603</v>
      </c>
      <c r="C357" s="2" t="s">
        <v>95</v>
      </c>
      <c r="D357" s="2" t="s">
        <v>1417</v>
      </c>
      <c r="E357" s="2" t="s">
        <v>344</v>
      </c>
      <c r="F357" s="4">
        <v>6035</v>
      </c>
      <c r="G357" s="2" t="s">
        <v>33</v>
      </c>
      <c r="H357" s="2" t="s">
        <v>34</v>
      </c>
      <c r="I357" s="2" t="s">
        <v>1418</v>
      </c>
      <c r="J357" s="2" t="s">
        <v>36</v>
      </c>
      <c r="K357" s="2" t="s">
        <v>37</v>
      </c>
      <c r="L357" s="2" t="s">
        <v>34</v>
      </c>
      <c r="M357" s="2"/>
      <c r="N357" s="2"/>
      <c r="O357" s="2"/>
      <c r="P357" s="2" t="s">
        <v>1419</v>
      </c>
      <c r="Q357" s="6">
        <v>100</v>
      </c>
      <c r="R357" s="6">
        <v>23</v>
      </c>
      <c r="S357" s="5">
        <v>1.1000000000000001</v>
      </c>
      <c r="T357" s="7">
        <v>0.90600000000000003</v>
      </c>
      <c r="U357" s="5">
        <v>22.4</v>
      </c>
      <c r="V357" s="6">
        <v>1.44</v>
      </c>
      <c r="W357" s="4">
        <v>12</v>
      </c>
      <c r="X357" s="5">
        <v>13.5</v>
      </c>
      <c r="Y357" s="4">
        <v>15</v>
      </c>
      <c r="Z357" s="4">
        <v>15</v>
      </c>
      <c r="AA357" s="6">
        <v>0.76</v>
      </c>
      <c r="AB357" s="7">
        <v>167.97200000000001</v>
      </c>
      <c r="AC357" s="2"/>
    </row>
    <row r="358" spans="1:29" ht="104" x14ac:dyDescent="0.15">
      <c r="A358" s="3">
        <f>DATE(1990,11,15)</f>
        <v>33192</v>
      </c>
      <c r="B358" s="2"/>
      <c r="C358" s="2" t="s">
        <v>56</v>
      </c>
      <c r="D358" s="2" t="s">
        <v>1420</v>
      </c>
      <c r="E358" s="2" t="s">
        <v>1421</v>
      </c>
      <c r="F358" s="4">
        <v>3423</v>
      </c>
      <c r="G358" s="2" t="s">
        <v>163</v>
      </c>
      <c r="H358" s="2" t="s">
        <v>34</v>
      </c>
      <c r="I358" s="2" t="s">
        <v>51</v>
      </c>
      <c r="J358" s="2" t="s">
        <v>52</v>
      </c>
      <c r="K358" s="2" t="s">
        <v>53</v>
      </c>
      <c r="L358" s="2" t="s">
        <v>1049</v>
      </c>
      <c r="M358" s="2"/>
      <c r="N358" s="2"/>
      <c r="O358" s="2"/>
      <c r="P358" s="2" t="s">
        <v>1422</v>
      </c>
      <c r="Q358" s="2"/>
      <c r="R358" s="2"/>
      <c r="S358" s="5">
        <v>-1.6</v>
      </c>
      <c r="T358" s="7">
        <v>-0.129</v>
      </c>
      <c r="U358" s="5">
        <v>4.7</v>
      </c>
      <c r="V358" s="6">
        <v>-0.62</v>
      </c>
      <c r="W358" s="7">
        <v>4.875</v>
      </c>
      <c r="X358" s="7">
        <v>4.875</v>
      </c>
      <c r="Y358" s="7">
        <v>4.875</v>
      </c>
      <c r="Z358" s="7">
        <v>4.8129999999999997</v>
      </c>
      <c r="AA358" s="6">
        <v>2.58</v>
      </c>
      <c r="AB358" s="2" t="s">
        <v>86</v>
      </c>
      <c r="AC358" s="2"/>
    </row>
    <row r="359" spans="1:29" ht="143" x14ac:dyDescent="0.15">
      <c r="A359" s="3">
        <f>DATE(1990,11,16)</f>
        <v>33193</v>
      </c>
      <c r="B359" s="3">
        <f>DATE(1991,4,30)</f>
        <v>33358</v>
      </c>
      <c r="C359" s="2" t="s">
        <v>95</v>
      </c>
      <c r="D359" s="2" t="s">
        <v>1191</v>
      </c>
      <c r="E359" s="2" t="s">
        <v>1192</v>
      </c>
      <c r="F359" s="4">
        <v>5045</v>
      </c>
      <c r="G359" s="2" t="s">
        <v>76</v>
      </c>
      <c r="H359" s="2" t="s">
        <v>34</v>
      </c>
      <c r="I359" s="2" t="s">
        <v>1423</v>
      </c>
      <c r="J359" s="2" t="s">
        <v>1424</v>
      </c>
      <c r="K359" s="2" t="s">
        <v>76</v>
      </c>
      <c r="L359" s="2" t="s">
        <v>34</v>
      </c>
      <c r="M359" s="2"/>
      <c r="N359" s="5">
        <v>1.5</v>
      </c>
      <c r="O359" s="6">
        <v>1.75</v>
      </c>
      <c r="P359" s="2" t="s">
        <v>1425</v>
      </c>
      <c r="Q359" s="6">
        <v>100</v>
      </c>
      <c r="R359" s="6">
        <v>4.4000000000000004</v>
      </c>
      <c r="S359" s="5">
        <v>-16.7</v>
      </c>
      <c r="T359" s="6">
        <v>-21.75</v>
      </c>
      <c r="U359" s="5">
        <v>8.1999999999999993</v>
      </c>
      <c r="V359" s="6">
        <v>-1.93</v>
      </c>
      <c r="W359" s="7">
        <v>2.375</v>
      </c>
      <c r="X359" s="7">
        <v>2.125</v>
      </c>
      <c r="Y359" s="7">
        <v>3.125</v>
      </c>
      <c r="Z359" s="7">
        <v>3.375</v>
      </c>
      <c r="AA359" s="6">
        <v>8.66</v>
      </c>
      <c r="AB359" s="2" t="s">
        <v>86</v>
      </c>
      <c r="AC359" s="6">
        <v>1.61</v>
      </c>
    </row>
    <row r="360" spans="1:29" ht="143" x14ac:dyDescent="0.15">
      <c r="A360" s="3">
        <f>DATE(1990,11,16)</f>
        <v>33193</v>
      </c>
      <c r="B360" s="2"/>
      <c r="C360" s="2" t="s">
        <v>30</v>
      </c>
      <c r="D360" s="2" t="s">
        <v>1426</v>
      </c>
      <c r="E360" s="2" t="s">
        <v>1427</v>
      </c>
      <c r="F360" s="4">
        <v>3949</v>
      </c>
      <c r="G360" s="2" t="s">
        <v>112</v>
      </c>
      <c r="H360" s="2" t="s">
        <v>34</v>
      </c>
      <c r="I360" s="2" t="s">
        <v>1428</v>
      </c>
      <c r="J360" s="2" t="s">
        <v>1429</v>
      </c>
      <c r="K360" s="2" t="s">
        <v>76</v>
      </c>
      <c r="L360" s="2" t="s">
        <v>34</v>
      </c>
      <c r="M360" s="2"/>
      <c r="N360" s="2"/>
      <c r="O360" s="2"/>
      <c r="P360" s="2" t="s">
        <v>1430</v>
      </c>
      <c r="Q360" s="2"/>
      <c r="R360" s="2"/>
      <c r="S360" s="5">
        <v>-7</v>
      </c>
      <c r="T360" s="2"/>
      <c r="U360" s="5">
        <v>0.8</v>
      </c>
      <c r="V360" s="2"/>
      <c r="W360" s="7">
        <v>2.3130000000000002</v>
      </c>
      <c r="X360" s="7">
        <v>2.1880000000000002</v>
      </c>
      <c r="Y360" s="6">
        <v>2.25</v>
      </c>
      <c r="Z360" s="6">
        <v>2.25</v>
      </c>
      <c r="AA360" s="2"/>
      <c r="AB360" s="2" t="s">
        <v>86</v>
      </c>
      <c r="AC360" s="2"/>
    </row>
    <row r="361" spans="1:29" ht="65" x14ac:dyDescent="0.15">
      <c r="A361" s="3">
        <f>DATE(1990,11,19)</f>
        <v>33196</v>
      </c>
      <c r="B361" s="2"/>
      <c r="C361" s="2" t="s">
        <v>189</v>
      </c>
      <c r="D361" s="2" t="s">
        <v>1431</v>
      </c>
      <c r="E361" s="2" t="s">
        <v>1432</v>
      </c>
      <c r="F361" s="4">
        <v>7376</v>
      </c>
      <c r="G361" s="2" t="s">
        <v>223</v>
      </c>
      <c r="H361" s="2" t="s">
        <v>34</v>
      </c>
      <c r="I361" s="2" t="s">
        <v>143</v>
      </c>
      <c r="J361" s="2" t="s">
        <v>144</v>
      </c>
      <c r="K361" s="2" t="s">
        <v>53</v>
      </c>
      <c r="L361" s="2" t="s">
        <v>139</v>
      </c>
      <c r="M361" s="2"/>
      <c r="N361" s="2"/>
      <c r="O361" s="2"/>
      <c r="P361" s="2" t="s">
        <v>1433</v>
      </c>
      <c r="Q361" s="2"/>
      <c r="R361" s="2"/>
      <c r="S361" s="5">
        <v>18.100000000000001</v>
      </c>
      <c r="T361" s="7">
        <v>54.762</v>
      </c>
      <c r="U361" s="5">
        <v>7.4</v>
      </c>
      <c r="V361" s="6">
        <v>0.79</v>
      </c>
      <c r="W361" s="7">
        <v>15.125</v>
      </c>
      <c r="X361" s="6">
        <v>15.25</v>
      </c>
      <c r="Y361" s="7">
        <v>15.875</v>
      </c>
      <c r="Z361" s="4">
        <v>16</v>
      </c>
      <c r="AA361" s="2"/>
      <c r="AB361" s="2" t="s">
        <v>47</v>
      </c>
      <c r="AC361" s="2"/>
    </row>
    <row r="362" spans="1:29" ht="78" x14ac:dyDescent="0.15">
      <c r="A362" s="3">
        <f>DATE(1990,11,20)</f>
        <v>33197</v>
      </c>
      <c r="B362" s="3">
        <f>DATE(1990,11,20)</f>
        <v>33197</v>
      </c>
      <c r="C362" s="2" t="s">
        <v>95</v>
      </c>
      <c r="D362" s="2" t="s">
        <v>1434</v>
      </c>
      <c r="E362" s="2" t="s">
        <v>1435</v>
      </c>
      <c r="F362" s="4">
        <v>1311</v>
      </c>
      <c r="G362" s="2" t="s">
        <v>148</v>
      </c>
      <c r="H362" s="2" t="s">
        <v>34</v>
      </c>
      <c r="I362" s="2" t="s">
        <v>1436</v>
      </c>
      <c r="J362" s="2" t="s">
        <v>1437</v>
      </c>
      <c r="K362" s="2" t="s">
        <v>439</v>
      </c>
      <c r="L362" s="2" t="s">
        <v>34</v>
      </c>
      <c r="M362" s="2"/>
      <c r="N362" s="6">
        <v>28.25</v>
      </c>
      <c r="O362" s="7">
        <v>28.625</v>
      </c>
      <c r="P362" s="2" t="s">
        <v>1438</v>
      </c>
      <c r="Q362" s="6">
        <v>20.66</v>
      </c>
      <c r="R362" s="6">
        <v>11</v>
      </c>
      <c r="S362" s="5">
        <v>10.3</v>
      </c>
      <c r="T362" s="7">
        <v>10.362</v>
      </c>
      <c r="U362" s="5">
        <v>2.5</v>
      </c>
      <c r="V362" s="6">
        <v>1.4</v>
      </c>
      <c r="W362" s="5">
        <v>10.5</v>
      </c>
      <c r="X362" s="6">
        <v>10.25</v>
      </c>
      <c r="Y362" s="5">
        <v>10.5</v>
      </c>
      <c r="Z362" s="6">
        <v>10.75</v>
      </c>
      <c r="AA362" s="6">
        <v>7.36</v>
      </c>
      <c r="AB362" s="7">
        <v>5.6550000000000002</v>
      </c>
      <c r="AC362" s="5">
        <v>65.3</v>
      </c>
    </row>
    <row r="363" spans="1:29" ht="65" x14ac:dyDescent="0.15">
      <c r="A363" s="3">
        <f>DATE(1990,11,20)</f>
        <v>33197</v>
      </c>
      <c r="B363" s="2"/>
      <c r="C363" s="2" t="s">
        <v>141</v>
      </c>
      <c r="D363" s="2" t="s">
        <v>1439</v>
      </c>
      <c r="E363" s="2" t="s">
        <v>1440</v>
      </c>
      <c r="F363" s="4">
        <v>5651</v>
      </c>
      <c r="G363" s="2" t="s">
        <v>756</v>
      </c>
      <c r="H363" s="2" t="s">
        <v>34</v>
      </c>
      <c r="I363" s="2" t="s">
        <v>143</v>
      </c>
      <c r="J363" s="2" t="s">
        <v>144</v>
      </c>
      <c r="K363" s="2" t="s">
        <v>53</v>
      </c>
      <c r="L363" s="2" t="s">
        <v>139</v>
      </c>
      <c r="M363" s="2"/>
      <c r="N363" s="2"/>
      <c r="O363" s="2"/>
      <c r="P363" s="2" t="s">
        <v>1441</v>
      </c>
      <c r="Q363" s="2"/>
      <c r="R363" s="2"/>
      <c r="S363" s="5">
        <v>-1.7</v>
      </c>
      <c r="T363" s="7">
        <v>4.0170000000000003</v>
      </c>
      <c r="U363" s="5">
        <v>1.6</v>
      </c>
      <c r="V363" s="9">
        <v>-0.1467</v>
      </c>
      <c r="W363" s="7">
        <v>5.125</v>
      </c>
      <c r="X363" s="6">
        <v>5.25</v>
      </c>
      <c r="Y363" s="5">
        <v>4.5</v>
      </c>
      <c r="Z363" s="7">
        <v>5.625</v>
      </c>
      <c r="AA363" s="6">
        <v>5</v>
      </c>
      <c r="AB363" s="2" t="s">
        <v>86</v>
      </c>
      <c r="AC363" s="2"/>
    </row>
    <row r="364" spans="1:29" ht="78" x14ac:dyDescent="0.15">
      <c r="A364" s="3">
        <f>DATE(1990,11,21)</f>
        <v>33198</v>
      </c>
      <c r="B364" s="2"/>
      <c r="C364" s="2" t="s">
        <v>56</v>
      </c>
      <c r="D364" s="2" t="s">
        <v>1165</v>
      </c>
      <c r="E364" s="2" t="s">
        <v>1166</v>
      </c>
      <c r="F364" s="4">
        <v>7373</v>
      </c>
      <c r="G364" s="2" t="s">
        <v>223</v>
      </c>
      <c r="H364" s="2" t="s">
        <v>34</v>
      </c>
      <c r="I364" s="2" t="s">
        <v>149</v>
      </c>
      <c r="J364" s="2" t="s">
        <v>150</v>
      </c>
      <c r="K364" s="2" t="s">
        <v>53</v>
      </c>
      <c r="L364" s="2" t="s">
        <v>151</v>
      </c>
      <c r="M364" s="2"/>
      <c r="N364" s="2"/>
      <c r="O364" s="2"/>
      <c r="P364" s="2" t="s">
        <v>1442</v>
      </c>
      <c r="Q364" s="2"/>
      <c r="R364" s="2"/>
      <c r="S364" s="5">
        <v>5</v>
      </c>
      <c r="T364" s="7">
        <v>17.244</v>
      </c>
      <c r="U364" s="5">
        <v>8.5</v>
      </c>
      <c r="V364" s="6">
        <v>0.37</v>
      </c>
      <c r="W364" s="7">
        <v>7.375</v>
      </c>
      <c r="X364" s="6">
        <v>7.25</v>
      </c>
      <c r="Y364" s="7">
        <v>7.875</v>
      </c>
      <c r="Z364" s="7">
        <v>7.875</v>
      </c>
      <c r="AA364" s="6">
        <v>13.27</v>
      </c>
      <c r="AB364" s="2" t="s">
        <v>47</v>
      </c>
      <c r="AC364" s="2"/>
    </row>
    <row r="365" spans="1:29" ht="52" x14ac:dyDescent="0.15">
      <c r="A365" s="3">
        <f>DATE(1990,11,21)</f>
        <v>33198</v>
      </c>
      <c r="B365" s="2"/>
      <c r="C365" s="2" t="s">
        <v>189</v>
      </c>
      <c r="D365" s="2" t="s">
        <v>1443</v>
      </c>
      <c r="E365" s="2" t="s">
        <v>1444</v>
      </c>
      <c r="F365" s="4">
        <v>3429</v>
      </c>
      <c r="G365" s="2" t="s">
        <v>163</v>
      </c>
      <c r="H365" s="2" t="s">
        <v>34</v>
      </c>
      <c r="I365" s="2" t="s">
        <v>143</v>
      </c>
      <c r="J365" s="2" t="s">
        <v>144</v>
      </c>
      <c r="K365" s="2" t="s">
        <v>53</v>
      </c>
      <c r="L365" s="2" t="s">
        <v>139</v>
      </c>
      <c r="M365" s="2"/>
      <c r="N365" s="2"/>
      <c r="O365" s="2"/>
      <c r="P365" s="2" t="s">
        <v>1445</v>
      </c>
      <c r="Q365" s="2"/>
      <c r="R365" s="2"/>
      <c r="S365" s="5">
        <v>3.5</v>
      </c>
      <c r="T365" s="7">
        <v>8.3360000000000003</v>
      </c>
      <c r="U365" s="5">
        <v>10.8</v>
      </c>
      <c r="V365" s="6">
        <v>0.62</v>
      </c>
      <c r="W365" s="6">
        <v>15.25</v>
      </c>
      <c r="X365" s="6">
        <v>16.25</v>
      </c>
      <c r="Y365" s="5">
        <v>16.5</v>
      </c>
      <c r="Z365" s="5">
        <v>16.5</v>
      </c>
      <c r="AA365" s="6">
        <v>1.85</v>
      </c>
      <c r="AB365" s="2" t="s">
        <v>47</v>
      </c>
      <c r="AC365" s="2"/>
    </row>
    <row r="366" spans="1:29" ht="156" x14ac:dyDescent="0.15">
      <c r="A366" s="3">
        <f>DATE(1990,11,21)</f>
        <v>33198</v>
      </c>
      <c r="B366" s="2"/>
      <c r="C366" s="2" t="s">
        <v>30</v>
      </c>
      <c r="D366" s="2" t="s">
        <v>1446</v>
      </c>
      <c r="E366" s="2" t="s">
        <v>1447</v>
      </c>
      <c r="F366" s="4">
        <v>2436</v>
      </c>
      <c r="G366" s="2" t="s">
        <v>250</v>
      </c>
      <c r="H366" s="2" t="s">
        <v>34</v>
      </c>
      <c r="I366" s="2" t="s">
        <v>1406</v>
      </c>
      <c r="J366" s="2" t="s">
        <v>1407</v>
      </c>
      <c r="K366" s="2" t="s">
        <v>53</v>
      </c>
      <c r="L366" s="2" t="s">
        <v>34</v>
      </c>
      <c r="M366" s="2"/>
      <c r="N366" s="2"/>
      <c r="O366" s="2"/>
      <c r="P366" s="2" t="s">
        <v>1448</v>
      </c>
      <c r="Q366" s="2"/>
      <c r="R366" s="2"/>
      <c r="S366" s="5">
        <v>365</v>
      </c>
      <c r="T366" s="8">
        <v>1418</v>
      </c>
      <c r="U366" s="5">
        <v>34.299999999999997</v>
      </c>
      <c r="V366" s="6">
        <v>4.28</v>
      </c>
      <c r="W366" s="7">
        <v>34.375</v>
      </c>
      <c r="X366" s="7">
        <v>35.375</v>
      </c>
      <c r="Y366" s="5">
        <v>34.5</v>
      </c>
      <c r="Z366" s="5">
        <v>34.5</v>
      </c>
      <c r="AA366" s="6">
        <v>86.66</v>
      </c>
      <c r="AB366" s="2" t="s">
        <v>47</v>
      </c>
      <c r="AC366" s="2"/>
    </row>
    <row r="367" spans="1:29" ht="104" x14ac:dyDescent="0.15">
      <c r="A367" s="3">
        <f>DATE(1990,11,23)</f>
        <v>33200</v>
      </c>
      <c r="B367" s="2"/>
      <c r="C367" s="2" t="s">
        <v>30</v>
      </c>
      <c r="D367" s="2" t="s">
        <v>1449</v>
      </c>
      <c r="E367" s="2" t="s">
        <v>1398</v>
      </c>
      <c r="F367" s="4">
        <v>6036</v>
      </c>
      <c r="G367" s="2" t="s">
        <v>33</v>
      </c>
      <c r="H367" s="2" t="s">
        <v>34</v>
      </c>
      <c r="I367" s="2" t="s">
        <v>138</v>
      </c>
      <c r="J367" s="2" t="s">
        <v>139</v>
      </c>
      <c r="K367" s="2" t="s">
        <v>53</v>
      </c>
      <c r="L367" s="2" t="s">
        <v>139</v>
      </c>
      <c r="M367" s="2"/>
      <c r="N367" s="2"/>
      <c r="O367" s="2"/>
      <c r="P367" s="2" t="s">
        <v>1450</v>
      </c>
      <c r="Q367" s="2"/>
      <c r="R367" s="2"/>
      <c r="S367" s="5">
        <v>4.0999999999999996</v>
      </c>
      <c r="T367" s="2"/>
      <c r="U367" s="5">
        <v>29.1</v>
      </c>
      <c r="V367" s="2"/>
      <c r="W367" s="6">
        <v>17.25</v>
      </c>
      <c r="X367" s="6">
        <v>17.25</v>
      </c>
      <c r="Y367" s="4">
        <v>19</v>
      </c>
      <c r="Z367" s="5">
        <v>19.5</v>
      </c>
      <c r="AA367" s="6">
        <v>2.7</v>
      </c>
      <c r="AB367" s="2" t="s">
        <v>47</v>
      </c>
      <c r="AC367" s="2"/>
    </row>
    <row r="368" spans="1:29" ht="91" x14ac:dyDescent="0.15">
      <c r="A368" s="3">
        <f>DATE(1990,11,27)</f>
        <v>33204</v>
      </c>
      <c r="B368" s="2"/>
      <c r="C368" s="2" t="s">
        <v>56</v>
      </c>
      <c r="D368" s="2" t="s">
        <v>1451</v>
      </c>
      <c r="E368" s="2" t="s">
        <v>1452</v>
      </c>
      <c r="F368" s="4">
        <v>3272</v>
      </c>
      <c r="G368" s="2" t="s">
        <v>237</v>
      </c>
      <c r="H368" s="2" t="s">
        <v>34</v>
      </c>
      <c r="I368" s="2" t="s">
        <v>51</v>
      </c>
      <c r="J368" s="2" t="s">
        <v>52</v>
      </c>
      <c r="K368" s="2" t="s">
        <v>53</v>
      </c>
      <c r="L368" s="2" t="s">
        <v>34</v>
      </c>
      <c r="M368" s="2"/>
      <c r="N368" s="2"/>
      <c r="O368" s="2"/>
      <c r="P368" s="2" t="s">
        <v>1453</v>
      </c>
      <c r="Q368" s="6">
        <v>8.5</v>
      </c>
      <c r="R368" s="2"/>
      <c r="S368" s="5">
        <v>14.1</v>
      </c>
      <c r="T368" s="7">
        <v>35.222999999999999</v>
      </c>
      <c r="U368" s="5">
        <v>17.5</v>
      </c>
      <c r="V368" s="6">
        <v>1.77</v>
      </c>
      <c r="W368" s="6">
        <v>34.75</v>
      </c>
      <c r="X368" s="5">
        <v>35.5</v>
      </c>
      <c r="Y368" s="7">
        <v>38.375</v>
      </c>
      <c r="Z368" s="6">
        <v>38.25</v>
      </c>
      <c r="AA368" s="6">
        <v>3.78</v>
      </c>
      <c r="AB368" s="2" t="s">
        <v>47</v>
      </c>
      <c r="AC368" s="2"/>
    </row>
    <row r="369" spans="1:29" ht="143" x14ac:dyDescent="0.15">
      <c r="A369" s="3">
        <f>DATE(1990,11,27)</f>
        <v>33204</v>
      </c>
      <c r="B369" s="2"/>
      <c r="C369" s="2" t="s">
        <v>30</v>
      </c>
      <c r="D369" s="2" t="s">
        <v>719</v>
      </c>
      <c r="E369" s="2" t="s">
        <v>720</v>
      </c>
      <c r="F369" s="4">
        <v>3714</v>
      </c>
      <c r="G369" s="2" t="s">
        <v>105</v>
      </c>
      <c r="H369" s="2" t="s">
        <v>34</v>
      </c>
      <c r="I369" s="2" t="s">
        <v>1454</v>
      </c>
      <c r="J369" s="2" t="s">
        <v>1455</v>
      </c>
      <c r="K369" s="2" t="s">
        <v>708</v>
      </c>
      <c r="L369" s="2" t="s">
        <v>34</v>
      </c>
      <c r="M369" s="2"/>
      <c r="N369" s="2"/>
      <c r="O369" s="2"/>
      <c r="P369" s="2" t="s">
        <v>1456</v>
      </c>
      <c r="Q369" s="2"/>
      <c r="R369" s="6">
        <v>2.85</v>
      </c>
      <c r="S369" s="2"/>
      <c r="T369" s="2"/>
      <c r="U369" s="2"/>
      <c r="V369" s="2"/>
      <c r="W369" s="7">
        <v>3.375</v>
      </c>
      <c r="X369" s="5">
        <v>3.5</v>
      </c>
      <c r="Y369" s="7">
        <v>3.4380000000000002</v>
      </c>
      <c r="Z369" s="7">
        <v>3.4380000000000002</v>
      </c>
      <c r="AA369" s="6">
        <v>2.2599999999999998</v>
      </c>
      <c r="AB369" s="2" t="s">
        <v>47</v>
      </c>
      <c r="AC369" s="2"/>
    </row>
    <row r="370" spans="1:29" ht="156" x14ac:dyDescent="0.15">
      <c r="A370" s="3">
        <f>DATE(1990,11,28)</f>
        <v>33205</v>
      </c>
      <c r="B370" s="2"/>
      <c r="C370" s="2" t="s">
        <v>30</v>
      </c>
      <c r="D370" s="2" t="s">
        <v>1211</v>
      </c>
      <c r="E370" s="2" t="s">
        <v>398</v>
      </c>
      <c r="F370" s="4">
        <v>7812</v>
      </c>
      <c r="G370" s="2" t="s">
        <v>42</v>
      </c>
      <c r="H370" s="2" t="s">
        <v>34</v>
      </c>
      <c r="I370" s="2" t="s">
        <v>1457</v>
      </c>
      <c r="J370" s="2" t="s">
        <v>381</v>
      </c>
      <c r="K370" s="2" t="s">
        <v>42</v>
      </c>
      <c r="L370" s="2" t="s">
        <v>34</v>
      </c>
      <c r="M370" s="2"/>
      <c r="N370" s="2"/>
      <c r="O370" s="2"/>
      <c r="P370" s="2" t="s">
        <v>1458</v>
      </c>
      <c r="Q370" s="2"/>
      <c r="R370" s="2"/>
      <c r="S370" s="5">
        <v>191.8</v>
      </c>
      <c r="T370" s="6">
        <v>512.35</v>
      </c>
      <c r="U370" s="5">
        <v>25.3</v>
      </c>
      <c r="V370" s="6">
        <v>2.62</v>
      </c>
      <c r="W370" s="4">
        <v>37</v>
      </c>
      <c r="X370" s="4">
        <v>35</v>
      </c>
      <c r="Y370" s="5">
        <v>34.5</v>
      </c>
      <c r="Z370" s="4">
        <v>54</v>
      </c>
      <c r="AA370" s="6">
        <v>92.8</v>
      </c>
      <c r="AB370" s="2" t="s">
        <v>47</v>
      </c>
      <c r="AC370" s="2"/>
    </row>
    <row r="371" spans="1:29" ht="117" x14ac:dyDescent="0.15">
      <c r="A371" s="3">
        <f>DATE(1990,11,28)</f>
        <v>33205</v>
      </c>
      <c r="B371" s="2"/>
      <c r="C371" s="2" t="s">
        <v>141</v>
      </c>
      <c r="D371" s="2" t="s">
        <v>1459</v>
      </c>
      <c r="E371" s="2" t="s">
        <v>1460</v>
      </c>
      <c r="F371" s="4">
        <v>5411</v>
      </c>
      <c r="G371" s="2" t="s">
        <v>1461</v>
      </c>
      <c r="H371" s="2" t="s">
        <v>34</v>
      </c>
      <c r="I371" s="2" t="s">
        <v>143</v>
      </c>
      <c r="J371" s="2" t="s">
        <v>144</v>
      </c>
      <c r="K371" s="2" t="s">
        <v>53</v>
      </c>
      <c r="L371" s="2" t="s">
        <v>139</v>
      </c>
      <c r="M371" s="2"/>
      <c r="N371" s="2"/>
      <c r="O371" s="2"/>
      <c r="P371" s="2" t="s">
        <v>1462</v>
      </c>
      <c r="Q371" s="2"/>
      <c r="R371" s="2"/>
      <c r="S371" s="5">
        <v>2.9</v>
      </c>
      <c r="T371" s="6">
        <v>14.79</v>
      </c>
      <c r="U371" s="5">
        <v>3.9</v>
      </c>
      <c r="V371" s="7">
        <v>0.40200000000000002</v>
      </c>
      <c r="W371" s="7">
        <v>3.625</v>
      </c>
      <c r="X371" s="7">
        <v>3.125</v>
      </c>
      <c r="Y371" s="7">
        <v>3.125</v>
      </c>
      <c r="Z371" s="4">
        <v>3</v>
      </c>
      <c r="AA371" s="2"/>
      <c r="AB371" s="2" t="s">
        <v>47</v>
      </c>
      <c r="AC371" s="2"/>
    </row>
    <row r="372" spans="1:29" ht="78" x14ac:dyDescent="0.15">
      <c r="A372" s="3">
        <f>DATE(1990,11,30)</f>
        <v>33207</v>
      </c>
      <c r="B372" s="2"/>
      <c r="C372" s="2" t="s">
        <v>30</v>
      </c>
      <c r="D372" s="2" t="s">
        <v>1463</v>
      </c>
      <c r="E372" s="2" t="s">
        <v>1464</v>
      </c>
      <c r="F372" s="4">
        <v>7373</v>
      </c>
      <c r="G372" s="2" t="s">
        <v>223</v>
      </c>
      <c r="H372" s="2" t="s">
        <v>34</v>
      </c>
      <c r="I372" s="2" t="s">
        <v>51</v>
      </c>
      <c r="J372" s="2" t="s">
        <v>52</v>
      </c>
      <c r="K372" s="2" t="s">
        <v>53</v>
      </c>
      <c r="L372" s="2" t="s">
        <v>34</v>
      </c>
      <c r="M372" s="2"/>
      <c r="N372" s="2"/>
      <c r="O372" s="2"/>
      <c r="P372" s="2" t="s">
        <v>1465</v>
      </c>
      <c r="Q372" s="2"/>
      <c r="R372" s="6">
        <v>4.5</v>
      </c>
      <c r="S372" s="5">
        <v>4</v>
      </c>
      <c r="T372" s="7">
        <v>8.5269999999999992</v>
      </c>
      <c r="U372" s="5">
        <v>1.3</v>
      </c>
      <c r="V372" s="9">
        <v>0.17519999999999999</v>
      </c>
      <c r="W372" s="7">
        <v>2.5630000000000002</v>
      </c>
      <c r="X372" s="7">
        <v>2.8130000000000002</v>
      </c>
      <c r="Y372" s="7">
        <v>2.625</v>
      </c>
      <c r="Z372" s="6">
        <v>2.75</v>
      </c>
      <c r="AA372" s="6">
        <v>11.9</v>
      </c>
      <c r="AB372" s="7">
        <v>16.363</v>
      </c>
      <c r="AC372" s="2"/>
    </row>
    <row r="373" spans="1:29" ht="130" x14ac:dyDescent="0.15">
      <c r="A373" s="3">
        <f>DATE(1990,11,30)</f>
        <v>33207</v>
      </c>
      <c r="B373" s="2"/>
      <c r="C373" s="2" t="s">
        <v>87</v>
      </c>
      <c r="D373" s="2" t="s">
        <v>1466</v>
      </c>
      <c r="E373" s="2" t="s">
        <v>1467</v>
      </c>
      <c r="F373" s="4">
        <v>4812</v>
      </c>
      <c r="G373" s="2" t="s">
        <v>63</v>
      </c>
      <c r="H373" s="2" t="s">
        <v>34</v>
      </c>
      <c r="I373" s="2" t="s">
        <v>1468</v>
      </c>
      <c r="J373" s="2" t="s">
        <v>1032</v>
      </c>
      <c r="K373" s="2" t="s">
        <v>53</v>
      </c>
      <c r="L373" s="2" t="s">
        <v>34</v>
      </c>
      <c r="M373" s="2"/>
      <c r="N373" s="2"/>
      <c r="O373" s="2"/>
      <c r="P373" s="2" t="s">
        <v>1469</v>
      </c>
      <c r="Q373" s="2"/>
      <c r="R373" s="2"/>
      <c r="S373" s="2"/>
      <c r="T373" s="2"/>
      <c r="U373" s="2"/>
      <c r="V373" s="2"/>
      <c r="W373" s="6">
        <v>5.25</v>
      </c>
      <c r="X373" s="6">
        <v>4.25</v>
      </c>
      <c r="Y373" s="6">
        <v>3.75</v>
      </c>
      <c r="Z373" s="5">
        <v>3.5</v>
      </c>
      <c r="AA373" s="6">
        <v>2.62</v>
      </c>
      <c r="AB373" s="2" t="s">
        <v>47</v>
      </c>
      <c r="AC373" s="2"/>
    </row>
    <row r="374" spans="1:29" ht="130" x14ac:dyDescent="0.15">
      <c r="A374" s="3">
        <f>DATE(1990,11,30)</f>
        <v>33207</v>
      </c>
      <c r="B374" s="2"/>
      <c r="C374" s="2" t="s">
        <v>30</v>
      </c>
      <c r="D374" s="2" t="s">
        <v>1470</v>
      </c>
      <c r="E374" s="2" t="s">
        <v>1471</v>
      </c>
      <c r="F374" s="4">
        <v>3672</v>
      </c>
      <c r="G374" s="2" t="s">
        <v>137</v>
      </c>
      <c r="H374" s="2" t="s">
        <v>34</v>
      </c>
      <c r="I374" s="2" t="s">
        <v>1472</v>
      </c>
      <c r="J374" s="2" t="s">
        <v>302</v>
      </c>
      <c r="K374" s="2" t="s">
        <v>53</v>
      </c>
      <c r="L374" s="2" t="s">
        <v>34</v>
      </c>
      <c r="M374" s="2"/>
      <c r="N374" s="2"/>
      <c r="O374" s="2"/>
      <c r="P374" s="2" t="s">
        <v>1473</v>
      </c>
      <c r="Q374" s="2"/>
      <c r="R374" s="6">
        <v>5.25</v>
      </c>
      <c r="S374" s="5">
        <v>-10.199999999999999</v>
      </c>
      <c r="T374" s="7">
        <v>0.112</v>
      </c>
      <c r="U374" s="5">
        <v>7.5</v>
      </c>
      <c r="V374" s="6">
        <v>-1.85</v>
      </c>
      <c r="W374" s="7">
        <v>2.375</v>
      </c>
      <c r="X374" s="7">
        <v>2.625</v>
      </c>
      <c r="Y374" s="7">
        <v>3.875</v>
      </c>
      <c r="Z374" s="4">
        <v>4</v>
      </c>
      <c r="AA374" s="6">
        <v>5.19</v>
      </c>
      <c r="AB374" s="2" t="s">
        <v>86</v>
      </c>
      <c r="AC374" s="2"/>
    </row>
    <row r="375" spans="1:29" ht="91" x14ac:dyDescent="0.15">
      <c r="A375" s="3">
        <f>DATE(1990,11,30)</f>
        <v>33207</v>
      </c>
      <c r="B375" s="2"/>
      <c r="C375" s="2" t="s">
        <v>141</v>
      </c>
      <c r="D375" s="2" t="s">
        <v>1474</v>
      </c>
      <c r="E375" s="2" t="s">
        <v>32</v>
      </c>
      <c r="F375" s="4">
        <v>6036</v>
      </c>
      <c r="G375" s="2" t="s">
        <v>33</v>
      </c>
      <c r="H375" s="2" t="s">
        <v>34</v>
      </c>
      <c r="I375" s="2" t="s">
        <v>143</v>
      </c>
      <c r="J375" s="2" t="s">
        <v>144</v>
      </c>
      <c r="K375" s="2" t="s">
        <v>53</v>
      </c>
      <c r="L375" s="2" t="s">
        <v>139</v>
      </c>
      <c r="M375" s="2"/>
      <c r="N375" s="2"/>
      <c r="O375" s="2"/>
      <c r="P375" s="2" t="s">
        <v>1475</v>
      </c>
      <c r="Q375" s="2"/>
      <c r="R375" s="2"/>
      <c r="S375" s="5">
        <v>46</v>
      </c>
      <c r="T375" s="7">
        <v>52.521000000000001</v>
      </c>
      <c r="U375" s="5">
        <v>22.8</v>
      </c>
      <c r="V375" s="6">
        <v>3.86</v>
      </c>
      <c r="W375" s="7">
        <v>4.875</v>
      </c>
      <c r="X375" s="7">
        <v>4.625</v>
      </c>
      <c r="Y375" s="6">
        <v>4.75</v>
      </c>
      <c r="Z375" s="4">
        <v>5</v>
      </c>
      <c r="AA375" s="2"/>
      <c r="AB375" s="2" t="s">
        <v>47</v>
      </c>
      <c r="AC375" s="2"/>
    </row>
    <row r="376" spans="1:29" ht="156" x14ac:dyDescent="0.15">
      <c r="A376" s="3">
        <f>DATE(1990,12,2)</f>
        <v>33209</v>
      </c>
      <c r="B376" s="3">
        <f>DATE(1991,9,19)</f>
        <v>33500</v>
      </c>
      <c r="C376" s="2" t="s">
        <v>95</v>
      </c>
      <c r="D376" s="2" t="s">
        <v>1476</v>
      </c>
      <c r="E376" s="2" t="s">
        <v>1477</v>
      </c>
      <c r="F376" s="4">
        <v>3578</v>
      </c>
      <c r="G376" s="2" t="s">
        <v>50</v>
      </c>
      <c r="H376" s="2" t="s">
        <v>34</v>
      </c>
      <c r="I376" s="2" t="s">
        <v>1478</v>
      </c>
      <c r="J376" s="2" t="s">
        <v>1479</v>
      </c>
      <c r="K376" s="2" t="s">
        <v>63</v>
      </c>
      <c r="L376" s="2" t="s">
        <v>34</v>
      </c>
      <c r="M376" s="2"/>
      <c r="N376" s="7">
        <v>30.375</v>
      </c>
      <c r="O376" s="7">
        <v>30.375</v>
      </c>
      <c r="P376" s="2" t="s">
        <v>1480</v>
      </c>
      <c r="Q376" s="6">
        <v>100</v>
      </c>
      <c r="R376" s="6">
        <v>110.74</v>
      </c>
      <c r="S376" s="5">
        <v>412</v>
      </c>
      <c r="T376" s="5">
        <v>992</v>
      </c>
      <c r="U376" s="5">
        <v>28.1</v>
      </c>
      <c r="V376" s="6">
        <v>5.38</v>
      </c>
      <c r="W376" s="6">
        <v>47.25</v>
      </c>
      <c r="X376" s="7">
        <v>48.375</v>
      </c>
      <c r="Y376" s="4">
        <v>48</v>
      </c>
      <c r="Z376" s="7">
        <v>53.875</v>
      </c>
      <c r="AA376" s="6">
        <v>71.28</v>
      </c>
      <c r="AB376" s="7">
        <v>10.904999999999999</v>
      </c>
      <c r="AC376" s="8">
        <v>1183</v>
      </c>
    </row>
    <row r="377" spans="1:29" ht="156" x14ac:dyDescent="0.15">
      <c r="A377" s="3">
        <f>DATE(1990,12,3)</f>
        <v>33210</v>
      </c>
      <c r="B377" s="3">
        <f>DATE(1991,2,27)</f>
        <v>33296</v>
      </c>
      <c r="C377" s="2" t="s">
        <v>95</v>
      </c>
      <c r="D377" s="2" t="s">
        <v>1331</v>
      </c>
      <c r="E377" s="2" t="s">
        <v>1332</v>
      </c>
      <c r="F377" s="4">
        <v>8082</v>
      </c>
      <c r="G377" s="2" t="s">
        <v>454</v>
      </c>
      <c r="H377" s="2" t="s">
        <v>34</v>
      </c>
      <c r="I377" s="2" t="s">
        <v>1481</v>
      </c>
      <c r="J377" s="2" t="s">
        <v>1482</v>
      </c>
      <c r="K377" s="2" t="s">
        <v>454</v>
      </c>
      <c r="L377" s="2" t="s">
        <v>34</v>
      </c>
      <c r="M377" s="7">
        <v>237.078</v>
      </c>
      <c r="N377" s="7">
        <v>24.125</v>
      </c>
      <c r="O377" s="6">
        <v>24.25</v>
      </c>
      <c r="P377" s="2" t="s">
        <v>1483</v>
      </c>
      <c r="Q377" s="6">
        <v>100</v>
      </c>
      <c r="R377" s="6">
        <v>20.149999999999999</v>
      </c>
      <c r="S377" s="5">
        <v>3.7</v>
      </c>
      <c r="T377" s="7">
        <v>7.9880000000000004</v>
      </c>
      <c r="U377" s="5">
        <v>4.3</v>
      </c>
      <c r="V377" s="6">
        <v>0.56999999999999995</v>
      </c>
      <c r="W377" s="7">
        <v>12.375</v>
      </c>
      <c r="X377" s="5">
        <v>11.5</v>
      </c>
      <c r="Y377" s="7">
        <v>11.875</v>
      </c>
      <c r="Z377" s="6">
        <v>11.75</v>
      </c>
      <c r="AA377" s="6">
        <v>6.57</v>
      </c>
      <c r="AB377" s="7">
        <v>19.936</v>
      </c>
      <c r="AC377" s="2"/>
    </row>
    <row r="378" spans="1:29" ht="156" x14ac:dyDescent="0.15">
      <c r="A378" s="3">
        <f>DATE(1990,12,3)</f>
        <v>33210</v>
      </c>
      <c r="B378" s="2"/>
      <c r="C378" s="2" t="s">
        <v>56</v>
      </c>
      <c r="D378" s="2" t="s">
        <v>1484</v>
      </c>
      <c r="E378" s="2" t="s">
        <v>1485</v>
      </c>
      <c r="F378" s="4">
        <v>3541</v>
      </c>
      <c r="G378" s="2" t="s">
        <v>300</v>
      </c>
      <c r="H378" s="2" t="s">
        <v>34</v>
      </c>
      <c r="I378" s="2" t="s">
        <v>51</v>
      </c>
      <c r="J378" s="2" t="s">
        <v>52</v>
      </c>
      <c r="K378" s="2" t="s">
        <v>53</v>
      </c>
      <c r="L378" s="2" t="s">
        <v>34</v>
      </c>
      <c r="M378" s="2"/>
      <c r="N378" s="2"/>
      <c r="O378" s="2"/>
      <c r="P378" s="2" t="s">
        <v>1486</v>
      </c>
      <c r="Q378" s="2"/>
      <c r="R378" s="2"/>
      <c r="S378" s="5">
        <v>6.5</v>
      </c>
      <c r="T378" s="7">
        <v>17.292999999999999</v>
      </c>
      <c r="U378" s="5">
        <v>20.7</v>
      </c>
      <c r="V378" s="6">
        <v>1.24</v>
      </c>
      <c r="W378" s="5">
        <v>14.5</v>
      </c>
      <c r="X378" s="7">
        <v>14.875</v>
      </c>
      <c r="Y378" s="4">
        <v>16</v>
      </c>
      <c r="Z378" s="4">
        <v>16</v>
      </c>
      <c r="AA378" s="6">
        <v>5.6</v>
      </c>
      <c r="AB378" s="2" t="s">
        <v>47</v>
      </c>
      <c r="AC378" s="2"/>
    </row>
    <row r="379" spans="1:29" ht="143" x14ac:dyDescent="0.15">
      <c r="A379" s="3">
        <f>DATE(1990,12,3)</f>
        <v>33210</v>
      </c>
      <c r="B379" s="3">
        <f>DATE(1994,1,4)</f>
        <v>34338</v>
      </c>
      <c r="C379" s="2" t="s">
        <v>95</v>
      </c>
      <c r="D379" s="2" t="s">
        <v>1487</v>
      </c>
      <c r="E379" s="2" t="s">
        <v>1488</v>
      </c>
      <c r="F379" s="4">
        <v>8062</v>
      </c>
      <c r="G379" s="2" t="s">
        <v>454</v>
      </c>
      <c r="H379" s="2" t="s">
        <v>34</v>
      </c>
      <c r="I379" s="2" t="s">
        <v>1489</v>
      </c>
      <c r="J379" s="2" t="s">
        <v>92</v>
      </c>
      <c r="K379" s="2" t="s">
        <v>53</v>
      </c>
      <c r="L379" s="2" t="s">
        <v>34</v>
      </c>
      <c r="M379" s="2"/>
      <c r="N379" s="7">
        <v>2.125</v>
      </c>
      <c r="O379" s="7">
        <v>2.125</v>
      </c>
      <c r="P379" s="2" t="s">
        <v>1490</v>
      </c>
      <c r="Q379" s="6">
        <v>96</v>
      </c>
      <c r="R379" s="2"/>
      <c r="S379" s="5">
        <v>-36.700000000000003</v>
      </c>
      <c r="T379" s="7">
        <v>20.062999999999999</v>
      </c>
      <c r="U379" s="5">
        <v>-22.9</v>
      </c>
      <c r="V379" s="6">
        <v>-4.9400000000000004</v>
      </c>
      <c r="W379" s="4">
        <v>9</v>
      </c>
      <c r="X379" s="5">
        <v>9.5</v>
      </c>
      <c r="Y379" s="4">
        <v>10</v>
      </c>
      <c r="Z379" s="7">
        <v>9.875</v>
      </c>
      <c r="AA379" s="2"/>
      <c r="AB379" s="2" t="s">
        <v>47</v>
      </c>
      <c r="AC379" s="2"/>
    </row>
    <row r="380" spans="1:29" ht="117" x14ac:dyDescent="0.15">
      <c r="A380" s="3">
        <f>DATE(1990,12,3)</f>
        <v>33210</v>
      </c>
      <c r="B380" s="2"/>
      <c r="C380" s="2" t="s">
        <v>30</v>
      </c>
      <c r="D380" s="2" t="s">
        <v>1491</v>
      </c>
      <c r="E380" s="2" t="s">
        <v>389</v>
      </c>
      <c r="F380" s="4">
        <v>6035</v>
      </c>
      <c r="G380" s="2" t="s">
        <v>33</v>
      </c>
      <c r="H380" s="2" t="s">
        <v>34</v>
      </c>
      <c r="I380" s="2" t="s">
        <v>1492</v>
      </c>
      <c r="J380" s="2" t="s">
        <v>1493</v>
      </c>
      <c r="K380" s="2" t="s">
        <v>33</v>
      </c>
      <c r="L380" s="2" t="s">
        <v>34</v>
      </c>
      <c r="M380" s="2"/>
      <c r="N380" s="2"/>
      <c r="O380" s="2"/>
      <c r="P380" s="2" t="s">
        <v>1494</v>
      </c>
      <c r="Q380" s="2"/>
      <c r="R380" s="6">
        <v>9</v>
      </c>
      <c r="S380" s="5">
        <v>2.8</v>
      </c>
      <c r="T380" s="7">
        <v>6.327</v>
      </c>
      <c r="U380" s="5">
        <v>17.8</v>
      </c>
      <c r="V380" s="6">
        <v>0.9</v>
      </c>
      <c r="W380" s="4">
        <v>6</v>
      </c>
      <c r="X380" s="5">
        <v>6.5</v>
      </c>
      <c r="Y380" s="6">
        <v>7.25</v>
      </c>
      <c r="Z380" s="4">
        <v>7</v>
      </c>
      <c r="AA380" s="6">
        <v>3.03</v>
      </c>
      <c r="AB380" s="7">
        <v>134.80699999999999</v>
      </c>
      <c r="AC380" s="2"/>
    </row>
    <row r="381" spans="1:29" ht="156" x14ac:dyDescent="0.15">
      <c r="A381" s="3">
        <f>DATE(1990,12,3)</f>
        <v>33210</v>
      </c>
      <c r="B381" s="2"/>
      <c r="C381" s="2" t="s">
        <v>30</v>
      </c>
      <c r="D381" s="2" t="s">
        <v>1495</v>
      </c>
      <c r="E381" s="2" t="s">
        <v>1496</v>
      </c>
      <c r="F381" s="4">
        <v>4011</v>
      </c>
      <c r="G381" s="2" t="s">
        <v>173</v>
      </c>
      <c r="H381" s="2" t="s">
        <v>34</v>
      </c>
      <c r="I381" s="2" t="s">
        <v>1497</v>
      </c>
      <c r="J381" s="2" t="s">
        <v>1498</v>
      </c>
      <c r="K381" s="2" t="s">
        <v>173</v>
      </c>
      <c r="L381" s="2" t="s">
        <v>34</v>
      </c>
      <c r="M381" s="6">
        <v>272.55</v>
      </c>
      <c r="N381" s="5">
        <v>11.5</v>
      </c>
      <c r="O381" s="7">
        <v>11.125</v>
      </c>
      <c r="P381" s="2" t="s">
        <v>1499</v>
      </c>
      <c r="Q381" s="2"/>
      <c r="R381" s="6">
        <v>6.6</v>
      </c>
      <c r="S381" s="5">
        <v>6.4</v>
      </c>
      <c r="T381" s="7">
        <v>30.393000000000001</v>
      </c>
      <c r="U381" s="5">
        <v>5.0999999999999996</v>
      </c>
      <c r="V381" s="6">
        <v>0.68</v>
      </c>
      <c r="W381" s="4">
        <v>6</v>
      </c>
      <c r="X381" s="5">
        <v>6.5</v>
      </c>
      <c r="Y381" s="4">
        <v>6</v>
      </c>
      <c r="Z381" s="6">
        <v>6.75</v>
      </c>
      <c r="AA381" s="6">
        <v>7.5</v>
      </c>
      <c r="AB381" s="7">
        <v>7.1769999999999996</v>
      </c>
      <c r="AC381" s="5">
        <v>27.3</v>
      </c>
    </row>
    <row r="382" spans="1:29" ht="117" x14ac:dyDescent="0.15">
      <c r="A382" s="3">
        <f>DATE(1990,12,6)</f>
        <v>33213</v>
      </c>
      <c r="B382" s="2"/>
      <c r="C382" s="2" t="s">
        <v>39</v>
      </c>
      <c r="D382" s="2" t="s">
        <v>305</v>
      </c>
      <c r="E382" s="2" t="s">
        <v>306</v>
      </c>
      <c r="F382" s="4">
        <v>7822</v>
      </c>
      <c r="G382" s="2" t="s">
        <v>42</v>
      </c>
      <c r="H382" s="2" t="s">
        <v>34</v>
      </c>
      <c r="I382" s="2" t="s">
        <v>1500</v>
      </c>
      <c r="J382" s="2" t="s">
        <v>1501</v>
      </c>
      <c r="K382" s="2" t="s">
        <v>921</v>
      </c>
      <c r="L382" s="2" t="s">
        <v>1502</v>
      </c>
      <c r="M382" s="2"/>
      <c r="N382" s="2"/>
      <c r="O382" s="2"/>
      <c r="P382" s="2" t="s">
        <v>1503</v>
      </c>
      <c r="Q382" s="2"/>
      <c r="R382" s="2"/>
      <c r="S382" s="5">
        <v>15.1</v>
      </c>
      <c r="T382" s="7">
        <v>350.17099999999999</v>
      </c>
      <c r="U382" s="5">
        <v>10.3</v>
      </c>
      <c r="V382" s="6">
        <v>0.67</v>
      </c>
      <c r="W382" s="7">
        <v>12.625</v>
      </c>
      <c r="X382" s="4">
        <v>13</v>
      </c>
      <c r="Y382" s="6">
        <v>15.25</v>
      </c>
      <c r="Z382" s="6">
        <v>13.75</v>
      </c>
      <c r="AA382" s="2"/>
      <c r="AB382" s="2" t="s">
        <v>47</v>
      </c>
      <c r="AC382" s="10">
        <v>55916.99</v>
      </c>
    </row>
    <row r="383" spans="1:29" ht="130" x14ac:dyDescent="0.15">
      <c r="A383" s="3">
        <f>DATE(1990,12,7)</f>
        <v>33214</v>
      </c>
      <c r="B383" s="3">
        <f>DATE(1990,12,7)</f>
        <v>33214</v>
      </c>
      <c r="C383" s="2" t="s">
        <v>95</v>
      </c>
      <c r="D383" s="2" t="s">
        <v>1504</v>
      </c>
      <c r="E383" s="2" t="s">
        <v>177</v>
      </c>
      <c r="F383" s="4">
        <v>1311</v>
      </c>
      <c r="G383" s="2" t="s">
        <v>148</v>
      </c>
      <c r="H383" s="2" t="s">
        <v>34</v>
      </c>
      <c r="I383" s="2" t="s">
        <v>1505</v>
      </c>
      <c r="J383" s="2" t="s">
        <v>612</v>
      </c>
      <c r="K383" s="2" t="s">
        <v>148</v>
      </c>
      <c r="L383" s="2" t="s">
        <v>34</v>
      </c>
      <c r="M383" s="2"/>
      <c r="N383" s="13">
        <v>0</v>
      </c>
      <c r="O383" s="5">
        <v>5.5</v>
      </c>
      <c r="P383" s="2" t="s">
        <v>1506</v>
      </c>
      <c r="Q383" s="6">
        <v>100</v>
      </c>
      <c r="R383" s="6">
        <v>6.38</v>
      </c>
      <c r="S383" s="2"/>
      <c r="T383" s="2"/>
      <c r="U383" s="2"/>
      <c r="V383" s="2"/>
      <c r="W383" s="7">
        <v>2.875</v>
      </c>
      <c r="X383" s="6">
        <v>2.75</v>
      </c>
      <c r="Y383" s="6">
        <v>2.75</v>
      </c>
      <c r="Z383" s="6">
        <v>2.75</v>
      </c>
      <c r="AA383" s="6">
        <v>5.91</v>
      </c>
      <c r="AB383" s="2" t="s">
        <v>47</v>
      </c>
      <c r="AC383" s="2"/>
    </row>
    <row r="384" spans="1:29" ht="65" x14ac:dyDescent="0.15">
      <c r="A384" s="3">
        <f>DATE(1990,12,7)</f>
        <v>33214</v>
      </c>
      <c r="B384" s="2"/>
      <c r="C384" s="2" t="s">
        <v>56</v>
      </c>
      <c r="D384" s="2" t="s">
        <v>1507</v>
      </c>
      <c r="E384" s="2" t="s">
        <v>1508</v>
      </c>
      <c r="F384" s="4">
        <v>5051</v>
      </c>
      <c r="G384" s="2" t="s">
        <v>76</v>
      </c>
      <c r="H384" s="2" t="s">
        <v>34</v>
      </c>
      <c r="I384" s="2" t="s">
        <v>1509</v>
      </c>
      <c r="J384" s="2" t="s">
        <v>80</v>
      </c>
      <c r="K384" s="2" t="s">
        <v>53</v>
      </c>
      <c r="L384" s="2" t="s">
        <v>215</v>
      </c>
      <c r="M384" s="2"/>
      <c r="N384" s="2"/>
      <c r="O384" s="2"/>
      <c r="P384" s="2" t="s">
        <v>1510</v>
      </c>
      <c r="Q384" s="2"/>
      <c r="R384" s="2"/>
      <c r="S384" s="5">
        <v>0.1</v>
      </c>
      <c r="T384" s="7">
        <v>1.0309999999999999</v>
      </c>
      <c r="U384" s="5">
        <v>4.9000000000000004</v>
      </c>
      <c r="V384" s="6">
        <v>-1.53</v>
      </c>
      <c r="W384" s="6">
        <v>3.75</v>
      </c>
      <c r="X384" s="4">
        <v>4</v>
      </c>
      <c r="Y384" s="7">
        <v>4.625</v>
      </c>
      <c r="Z384" s="7">
        <v>4.625</v>
      </c>
      <c r="AA384" s="6">
        <v>4.68</v>
      </c>
      <c r="AB384" s="2" t="s">
        <v>47</v>
      </c>
      <c r="AC384" s="2"/>
    </row>
    <row r="385" spans="1:29" ht="104" x14ac:dyDescent="0.15">
      <c r="A385" s="3">
        <f>DATE(1990,12,11)</f>
        <v>33218</v>
      </c>
      <c r="B385" s="2"/>
      <c r="C385" s="2" t="s">
        <v>141</v>
      </c>
      <c r="D385" s="2" t="s">
        <v>153</v>
      </c>
      <c r="E385" s="2" t="s">
        <v>36</v>
      </c>
      <c r="F385" s="4">
        <v>6021</v>
      </c>
      <c r="G385" s="2" t="s">
        <v>37</v>
      </c>
      <c r="H385" s="2" t="s">
        <v>34</v>
      </c>
      <c r="I385" s="2" t="s">
        <v>143</v>
      </c>
      <c r="J385" s="2" t="s">
        <v>144</v>
      </c>
      <c r="K385" s="2" t="s">
        <v>53</v>
      </c>
      <c r="L385" s="2" t="s">
        <v>139</v>
      </c>
      <c r="M385" s="2"/>
      <c r="N385" s="2"/>
      <c r="O385" s="2"/>
      <c r="P385" s="2" t="s">
        <v>1511</v>
      </c>
      <c r="Q385" s="2"/>
      <c r="R385" s="2"/>
      <c r="S385" s="5">
        <v>-151.9</v>
      </c>
      <c r="T385" s="7">
        <v>-0.497</v>
      </c>
      <c r="U385" s="5">
        <v>36.6</v>
      </c>
      <c r="V385" s="6">
        <v>-3.89</v>
      </c>
      <c r="W385" s="6">
        <v>22.25</v>
      </c>
      <c r="X385" s="6">
        <v>24.75</v>
      </c>
      <c r="Y385" s="7">
        <v>25.125</v>
      </c>
      <c r="Z385" s="7">
        <v>25.375</v>
      </c>
      <c r="AA385" s="2"/>
      <c r="AB385" s="2" t="s">
        <v>86</v>
      </c>
      <c r="AC385" s="2"/>
    </row>
    <row r="386" spans="1:29" ht="65" x14ac:dyDescent="0.15">
      <c r="A386" s="3">
        <f>DATE(1990,12,12)</f>
        <v>33219</v>
      </c>
      <c r="B386" s="2"/>
      <c r="C386" s="2" t="s">
        <v>87</v>
      </c>
      <c r="D386" s="2" t="s">
        <v>267</v>
      </c>
      <c r="E386" s="2" t="s">
        <v>268</v>
      </c>
      <c r="F386" s="4">
        <v>7011</v>
      </c>
      <c r="G386" s="2" t="s">
        <v>269</v>
      </c>
      <c r="H386" s="2" t="s">
        <v>34</v>
      </c>
      <c r="I386" s="2" t="s">
        <v>51</v>
      </c>
      <c r="J386" s="2" t="s">
        <v>52</v>
      </c>
      <c r="K386" s="2" t="s">
        <v>53</v>
      </c>
      <c r="L386" s="2" t="s">
        <v>99</v>
      </c>
      <c r="M386" s="2"/>
      <c r="N386" s="2"/>
      <c r="O386" s="2"/>
      <c r="P386" s="2" t="s">
        <v>1512</v>
      </c>
      <c r="Q386" s="2"/>
      <c r="R386" s="6">
        <v>75</v>
      </c>
      <c r="S386" s="5">
        <v>110.1</v>
      </c>
      <c r="T386" s="5">
        <v>268.60000000000002</v>
      </c>
      <c r="U386" s="5">
        <v>4.5999999999999996</v>
      </c>
      <c r="V386" s="9">
        <v>0.5675</v>
      </c>
      <c r="W386" s="5">
        <v>34.5</v>
      </c>
      <c r="X386" s="5">
        <v>35.5</v>
      </c>
      <c r="Y386" s="7">
        <v>42.125</v>
      </c>
      <c r="Z386" s="7">
        <v>39.375</v>
      </c>
      <c r="AA386" s="6">
        <v>48.07</v>
      </c>
      <c r="AB386" s="7">
        <v>78.905000000000001</v>
      </c>
      <c r="AC386" s="2"/>
    </row>
    <row r="387" spans="1:29" ht="156" x14ac:dyDescent="0.15">
      <c r="A387" s="3">
        <f>DATE(1990,12,13)</f>
        <v>33220</v>
      </c>
      <c r="B387" s="3">
        <f>DATE(1991,1,22)</f>
        <v>33260</v>
      </c>
      <c r="C387" s="2" t="s">
        <v>95</v>
      </c>
      <c r="D387" s="2" t="s">
        <v>1513</v>
      </c>
      <c r="E387" s="2" t="s">
        <v>1514</v>
      </c>
      <c r="F387" s="4">
        <v>7361</v>
      </c>
      <c r="G387" s="2" t="s">
        <v>223</v>
      </c>
      <c r="H387" s="2" t="s">
        <v>34</v>
      </c>
      <c r="I387" s="2" t="s">
        <v>1515</v>
      </c>
      <c r="J387" s="2" t="s">
        <v>1516</v>
      </c>
      <c r="K387" s="2" t="s">
        <v>1517</v>
      </c>
      <c r="L387" s="2" t="s">
        <v>34</v>
      </c>
      <c r="M387" s="2"/>
      <c r="N387" s="7">
        <v>44.625</v>
      </c>
      <c r="O387" s="4">
        <v>44</v>
      </c>
      <c r="P387" s="2" t="s">
        <v>1518</v>
      </c>
      <c r="Q387" s="6">
        <v>100</v>
      </c>
      <c r="R387" s="6">
        <v>1.66</v>
      </c>
      <c r="S387" s="5">
        <v>3.2</v>
      </c>
      <c r="T387" s="2"/>
      <c r="U387" s="5">
        <v>1.7</v>
      </c>
      <c r="V387" s="6">
        <v>7.0000000000000007E-2</v>
      </c>
      <c r="W387" s="6">
        <v>1.25</v>
      </c>
      <c r="X387" s="6">
        <v>1.25</v>
      </c>
      <c r="Y387" s="5">
        <v>1.5</v>
      </c>
      <c r="Z387" s="7">
        <v>1.5629999999999999</v>
      </c>
      <c r="AA387" s="6">
        <v>27.09</v>
      </c>
      <c r="AB387" s="7">
        <v>7.9749999999999996</v>
      </c>
      <c r="AC387" s="6">
        <v>239.78</v>
      </c>
    </row>
    <row r="388" spans="1:29" ht="143" x14ac:dyDescent="0.15">
      <c r="A388" s="3">
        <f>DATE(1990,12,13)</f>
        <v>33220</v>
      </c>
      <c r="B388" s="2"/>
      <c r="C388" s="2" t="s">
        <v>30</v>
      </c>
      <c r="D388" s="2" t="s">
        <v>1519</v>
      </c>
      <c r="E388" s="2" t="s">
        <v>1520</v>
      </c>
      <c r="F388" s="4">
        <v>7991</v>
      </c>
      <c r="G388" s="2" t="s">
        <v>364</v>
      </c>
      <c r="H388" s="2" t="s">
        <v>34</v>
      </c>
      <c r="I388" s="2" t="s">
        <v>1521</v>
      </c>
      <c r="J388" s="2" t="s">
        <v>1522</v>
      </c>
      <c r="K388" s="2" t="s">
        <v>364</v>
      </c>
      <c r="L388" s="2" t="s">
        <v>34</v>
      </c>
      <c r="M388" s="2"/>
      <c r="N388" s="7">
        <v>1.625</v>
      </c>
      <c r="O388" s="7">
        <v>1.5629999999999999</v>
      </c>
      <c r="P388" s="2" t="s">
        <v>1523</v>
      </c>
      <c r="Q388" s="2"/>
      <c r="R388" s="6">
        <v>1.8</v>
      </c>
      <c r="S388" s="5">
        <v>6</v>
      </c>
      <c r="T388" s="6">
        <v>0.37</v>
      </c>
      <c r="U388" s="5">
        <v>3.6</v>
      </c>
      <c r="V388" s="6">
        <v>1.47</v>
      </c>
      <c r="W388" s="6">
        <v>1.25</v>
      </c>
      <c r="X388" s="7">
        <v>1.125</v>
      </c>
      <c r="Y388" s="7">
        <v>1.375</v>
      </c>
      <c r="Z388" s="7">
        <v>1.375</v>
      </c>
      <c r="AA388" s="6">
        <v>4.2</v>
      </c>
      <c r="AB388" s="2" t="s">
        <v>86</v>
      </c>
      <c r="AC388" s="2"/>
    </row>
    <row r="389" spans="1:29" ht="104" x14ac:dyDescent="0.15">
      <c r="A389" s="3">
        <f>DATE(1990,12,13)</f>
        <v>33220</v>
      </c>
      <c r="B389" s="3">
        <f>DATE(1991,4,1)</f>
        <v>33329</v>
      </c>
      <c r="C389" s="2" t="s">
        <v>95</v>
      </c>
      <c r="D389" s="2" t="s">
        <v>1524</v>
      </c>
      <c r="E389" s="2" t="s">
        <v>1525</v>
      </c>
      <c r="F389" s="4">
        <v>1381</v>
      </c>
      <c r="G389" s="2" t="s">
        <v>148</v>
      </c>
      <c r="H389" s="2" t="s">
        <v>34</v>
      </c>
      <c r="I389" s="2" t="s">
        <v>1526</v>
      </c>
      <c r="J389" s="2" t="s">
        <v>302</v>
      </c>
      <c r="K389" s="2" t="s">
        <v>53</v>
      </c>
      <c r="L389" s="2" t="s">
        <v>34</v>
      </c>
      <c r="M389" s="2"/>
      <c r="N389" s="2"/>
      <c r="O389" s="2"/>
      <c r="P389" s="2" t="s">
        <v>1527</v>
      </c>
      <c r="Q389" s="6">
        <v>90</v>
      </c>
      <c r="R389" s="2"/>
      <c r="S389" s="5">
        <v>-53.3</v>
      </c>
      <c r="T389" s="7">
        <v>18.989000000000001</v>
      </c>
      <c r="U389" s="5">
        <v>-3.3</v>
      </c>
      <c r="V389" s="6">
        <v>-7.2</v>
      </c>
      <c r="W389" s="5">
        <v>1.5</v>
      </c>
      <c r="X389" s="7">
        <v>1.625</v>
      </c>
      <c r="Y389" s="7">
        <v>1.625</v>
      </c>
      <c r="Z389" s="6">
        <v>1.75</v>
      </c>
      <c r="AA389" s="2"/>
      <c r="AB389" s="2" t="s">
        <v>86</v>
      </c>
      <c r="AC389" s="2"/>
    </row>
    <row r="390" spans="1:29" ht="130" x14ac:dyDescent="0.15">
      <c r="A390" s="3">
        <f>DATE(1990,12,13)</f>
        <v>33220</v>
      </c>
      <c r="B390" s="3">
        <f>DATE(1991,7,15)</f>
        <v>33434</v>
      </c>
      <c r="C390" s="2" t="s">
        <v>95</v>
      </c>
      <c r="D390" s="2" t="s">
        <v>1528</v>
      </c>
      <c r="E390" s="2" t="s">
        <v>1529</v>
      </c>
      <c r="F390" s="4">
        <v>2843</v>
      </c>
      <c r="G390" s="2" t="s">
        <v>358</v>
      </c>
      <c r="H390" s="2" t="s">
        <v>34</v>
      </c>
      <c r="I390" s="2" t="s">
        <v>1530</v>
      </c>
      <c r="J390" s="2" t="s">
        <v>1531</v>
      </c>
      <c r="K390" s="2" t="s">
        <v>148</v>
      </c>
      <c r="L390" s="2" t="s">
        <v>1049</v>
      </c>
      <c r="M390" s="2"/>
      <c r="N390" s="2"/>
      <c r="O390" s="2"/>
      <c r="P390" s="2" t="s">
        <v>1532</v>
      </c>
      <c r="Q390" s="6">
        <v>100</v>
      </c>
      <c r="R390" s="6">
        <v>55</v>
      </c>
      <c r="S390" s="5">
        <v>58.6</v>
      </c>
      <c r="T390" s="7">
        <v>192.26300000000001</v>
      </c>
      <c r="U390" s="2"/>
      <c r="V390" s="6">
        <v>5.53</v>
      </c>
      <c r="W390" s="5">
        <v>26.5</v>
      </c>
      <c r="X390" s="4">
        <v>25</v>
      </c>
      <c r="Y390" s="6">
        <v>53.75</v>
      </c>
      <c r="Z390" s="7">
        <v>53.875</v>
      </c>
      <c r="AA390" s="6">
        <v>10.49</v>
      </c>
      <c r="AB390" s="7">
        <v>7.6050000000000004</v>
      </c>
      <c r="AC390" s="10">
        <v>1241.99</v>
      </c>
    </row>
    <row r="391" spans="1:29" ht="78" x14ac:dyDescent="0.15">
      <c r="A391" s="3">
        <f>DATE(1990,12,14)</f>
        <v>33221</v>
      </c>
      <c r="B391" s="2"/>
      <c r="C391" s="2" t="s">
        <v>141</v>
      </c>
      <c r="D391" s="2" t="s">
        <v>1533</v>
      </c>
      <c r="E391" s="2" t="s">
        <v>1534</v>
      </c>
      <c r="F391" s="4">
        <v>3494</v>
      </c>
      <c r="G391" s="2" t="s">
        <v>163</v>
      </c>
      <c r="H391" s="2" t="s">
        <v>34</v>
      </c>
      <c r="I391" s="2" t="s">
        <v>143</v>
      </c>
      <c r="J391" s="2" t="s">
        <v>144</v>
      </c>
      <c r="K391" s="2" t="s">
        <v>53</v>
      </c>
      <c r="L391" s="2" t="s">
        <v>139</v>
      </c>
      <c r="M391" s="2"/>
      <c r="N391" s="2"/>
      <c r="O391" s="2"/>
      <c r="P391" s="2" t="s">
        <v>1535</v>
      </c>
      <c r="Q391" s="2"/>
      <c r="R391" s="2"/>
      <c r="S391" s="2"/>
      <c r="T391" s="2"/>
      <c r="U391" s="2"/>
      <c r="V391" s="2"/>
      <c r="W391" s="7">
        <v>3.4380000000000002</v>
      </c>
      <c r="X391" s="4">
        <v>2</v>
      </c>
      <c r="Y391" s="7">
        <v>2.1880000000000002</v>
      </c>
      <c r="Z391" s="7">
        <v>1.875</v>
      </c>
      <c r="AA391" s="6">
        <v>15.88</v>
      </c>
      <c r="AB391" s="2" t="s">
        <v>47</v>
      </c>
      <c r="AC391" s="2"/>
    </row>
    <row r="392" spans="1:29" ht="78" x14ac:dyDescent="0.15">
      <c r="A392" s="3">
        <f>DATE(1990,12,17)</f>
        <v>33224</v>
      </c>
      <c r="B392" s="3">
        <f>DATE(1994,11,25)</f>
        <v>34663</v>
      </c>
      <c r="C392" s="2" t="s">
        <v>95</v>
      </c>
      <c r="D392" s="2" t="s">
        <v>1536</v>
      </c>
      <c r="E392" s="2" t="s">
        <v>1537</v>
      </c>
      <c r="F392" s="4">
        <v>3577</v>
      </c>
      <c r="G392" s="2" t="s">
        <v>50</v>
      </c>
      <c r="H392" s="2" t="s">
        <v>34</v>
      </c>
      <c r="I392" s="2" t="s">
        <v>1538</v>
      </c>
      <c r="J392" s="2" t="s">
        <v>1539</v>
      </c>
      <c r="K392" s="2" t="s">
        <v>237</v>
      </c>
      <c r="L392" s="2" t="s">
        <v>34</v>
      </c>
      <c r="M392" s="2"/>
      <c r="N392" s="2"/>
      <c r="O392" s="2"/>
      <c r="P392" s="2" t="s">
        <v>1540</v>
      </c>
      <c r="Q392" s="6">
        <v>22</v>
      </c>
      <c r="R392" s="2"/>
      <c r="S392" s="5">
        <v>-3.7</v>
      </c>
      <c r="T392" s="7">
        <v>-2.8000000000000001E-2</v>
      </c>
      <c r="U392" s="5">
        <v>-0.2</v>
      </c>
      <c r="V392" s="6">
        <v>-0.26</v>
      </c>
      <c r="W392" s="7">
        <v>2.125</v>
      </c>
      <c r="X392" s="7">
        <v>2.125</v>
      </c>
      <c r="Y392" s="6">
        <v>2.25</v>
      </c>
      <c r="Z392" s="7">
        <v>2.375</v>
      </c>
      <c r="AA392" s="2"/>
      <c r="AB392" s="2" t="s">
        <v>86</v>
      </c>
      <c r="AC392" s="2"/>
    </row>
    <row r="393" spans="1:29" ht="117" x14ac:dyDescent="0.15">
      <c r="A393" s="3">
        <f>DATE(1990,12,18)</f>
        <v>33225</v>
      </c>
      <c r="B393" s="3">
        <f>DATE(1991,7,16)</f>
        <v>33435</v>
      </c>
      <c r="C393" s="2" t="s">
        <v>95</v>
      </c>
      <c r="D393" s="2" t="s">
        <v>1541</v>
      </c>
      <c r="E393" s="2" t="s">
        <v>1542</v>
      </c>
      <c r="F393" s="4">
        <v>5949</v>
      </c>
      <c r="G393" s="2" t="s">
        <v>73</v>
      </c>
      <c r="H393" s="2" t="s">
        <v>34</v>
      </c>
      <c r="I393" s="2" t="s">
        <v>1543</v>
      </c>
      <c r="J393" s="2" t="s">
        <v>1544</v>
      </c>
      <c r="K393" s="2" t="s">
        <v>73</v>
      </c>
      <c r="L393" s="2" t="s">
        <v>34</v>
      </c>
      <c r="M393" s="7">
        <v>166.83199999999999</v>
      </c>
      <c r="N393" s="5">
        <v>30.5</v>
      </c>
      <c r="O393" s="4">
        <v>31</v>
      </c>
      <c r="P393" s="2" t="s">
        <v>1545</v>
      </c>
      <c r="Q393" s="6">
        <v>97.65</v>
      </c>
      <c r="R393" s="6">
        <v>17.25</v>
      </c>
      <c r="S393" s="5">
        <v>2.7</v>
      </c>
      <c r="T393" s="7">
        <v>6.0170000000000003</v>
      </c>
      <c r="U393" s="5">
        <v>7</v>
      </c>
      <c r="V393" s="6">
        <v>0.85</v>
      </c>
      <c r="W393" s="6">
        <v>11.75</v>
      </c>
      <c r="X393" s="4">
        <v>10</v>
      </c>
      <c r="Y393" s="6">
        <v>12.25</v>
      </c>
      <c r="Z393" s="5">
        <v>12.5</v>
      </c>
      <c r="AA393" s="6">
        <v>3.19</v>
      </c>
      <c r="AB393" s="7">
        <v>13.201000000000001</v>
      </c>
      <c r="AC393" s="6">
        <v>5.08</v>
      </c>
    </row>
    <row r="394" spans="1:29" ht="91" x14ac:dyDescent="0.15">
      <c r="A394" s="3">
        <f>DATE(1990,12,18)</f>
        <v>33225</v>
      </c>
      <c r="B394" s="2"/>
      <c r="C394" s="2" t="s">
        <v>141</v>
      </c>
      <c r="D394" s="2" t="s">
        <v>1546</v>
      </c>
      <c r="E394" s="2" t="s">
        <v>1547</v>
      </c>
      <c r="F394" s="4">
        <v>5731</v>
      </c>
      <c r="G394" s="2" t="s">
        <v>1227</v>
      </c>
      <c r="H394" s="2" t="s">
        <v>34</v>
      </c>
      <c r="I394" s="2" t="s">
        <v>143</v>
      </c>
      <c r="J394" s="2" t="s">
        <v>144</v>
      </c>
      <c r="K394" s="2" t="s">
        <v>53</v>
      </c>
      <c r="L394" s="2" t="s">
        <v>139</v>
      </c>
      <c r="M394" s="2"/>
      <c r="N394" s="2"/>
      <c r="O394" s="2"/>
      <c r="P394" s="2" t="s">
        <v>1548</v>
      </c>
      <c r="Q394" s="2"/>
      <c r="R394" s="2"/>
      <c r="S394" s="5">
        <v>-12.4</v>
      </c>
      <c r="T394" s="6">
        <v>19.510000000000002</v>
      </c>
      <c r="U394" s="5">
        <v>6.7</v>
      </c>
      <c r="V394" s="6">
        <v>-0.68</v>
      </c>
      <c r="W394" s="7">
        <v>1.625</v>
      </c>
      <c r="X394" s="4">
        <v>2</v>
      </c>
      <c r="Y394" s="7">
        <v>1.875</v>
      </c>
      <c r="Z394" s="4">
        <v>2</v>
      </c>
      <c r="AA394" s="2"/>
      <c r="AB394" s="2" t="s">
        <v>47</v>
      </c>
      <c r="AC394" s="2"/>
    </row>
    <row r="395" spans="1:29" ht="143" x14ac:dyDescent="0.15">
      <c r="A395" s="3">
        <f>DATE(1990,12,18)</f>
        <v>33225</v>
      </c>
      <c r="B395" s="3">
        <f>DATE(1991,3,19)</f>
        <v>33316</v>
      </c>
      <c r="C395" s="2" t="s">
        <v>95</v>
      </c>
      <c r="D395" s="2" t="s">
        <v>1549</v>
      </c>
      <c r="E395" s="2" t="s">
        <v>1550</v>
      </c>
      <c r="F395" s="4">
        <v>7372</v>
      </c>
      <c r="G395" s="2" t="s">
        <v>551</v>
      </c>
      <c r="H395" s="2" t="s">
        <v>34</v>
      </c>
      <c r="I395" s="2" t="s">
        <v>1551</v>
      </c>
      <c r="J395" s="2" t="s">
        <v>1550</v>
      </c>
      <c r="K395" s="2" t="s">
        <v>551</v>
      </c>
      <c r="L395" s="2" t="s">
        <v>34</v>
      </c>
      <c r="M395" s="7">
        <v>68.488</v>
      </c>
      <c r="N395" s="7">
        <v>10.625</v>
      </c>
      <c r="O395" s="6">
        <v>9.75</v>
      </c>
      <c r="P395" s="2" t="s">
        <v>1552</v>
      </c>
      <c r="Q395" s="6">
        <v>100</v>
      </c>
      <c r="R395" s="6">
        <v>6.09</v>
      </c>
      <c r="S395" s="5">
        <v>0.9</v>
      </c>
      <c r="T395" s="7">
        <v>5.9729999999999999</v>
      </c>
      <c r="U395" s="5">
        <v>6.6</v>
      </c>
      <c r="V395" s="6">
        <v>0.2</v>
      </c>
      <c r="W395" s="6">
        <v>5.75</v>
      </c>
      <c r="X395" s="6">
        <v>5.75</v>
      </c>
      <c r="Y395" s="7">
        <v>7.625</v>
      </c>
      <c r="Z395" s="6">
        <v>8.75</v>
      </c>
      <c r="AA395" s="6">
        <v>4.5</v>
      </c>
      <c r="AB395" s="7">
        <v>37.268999999999998</v>
      </c>
      <c r="AC395" s="2"/>
    </row>
    <row r="396" spans="1:29" ht="78" x14ac:dyDescent="0.15">
      <c r="A396" s="3">
        <f>DATE(1990,12,19)</f>
        <v>33226</v>
      </c>
      <c r="B396" s="3">
        <f>DATE(1990,12,24)</f>
        <v>33231</v>
      </c>
      <c r="C396" s="2" t="s">
        <v>95</v>
      </c>
      <c r="D396" s="2" t="s">
        <v>1553</v>
      </c>
      <c r="E396" s="2" t="s">
        <v>1554</v>
      </c>
      <c r="F396" s="4">
        <v>5995</v>
      </c>
      <c r="G396" s="2" t="s">
        <v>73</v>
      </c>
      <c r="H396" s="2" t="s">
        <v>34</v>
      </c>
      <c r="I396" s="2" t="s">
        <v>1555</v>
      </c>
      <c r="J396" s="2" t="s">
        <v>80</v>
      </c>
      <c r="K396" s="2" t="s">
        <v>53</v>
      </c>
      <c r="L396" s="2" t="s">
        <v>34</v>
      </c>
      <c r="M396" s="2"/>
      <c r="N396" s="2"/>
      <c r="O396" s="2"/>
      <c r="P396" s="2" t="s">
        <v>1556</v>
      </c>
      <c r="Q396" s="6">
        <v>74</v>
      </c>
      <c r="R396" s="2"/>
      <c r="S396" s="5">
        <v>-4.4000000000000004</v>
      </c>
      <c r="T396" s="7">
        <v>-3.5009999999999999</v>
      </c>
      <c r="U396" s="2"/>
      <c r="V396" s="6">
        <v>-0.56999999999999995</v>
      </c>
      <c r="W396" s="4">
        <v>1</v>
      </c>
      <c r="X396" s="4">
        <v>1</v>
      </c>
      <c r="Y396" s="4">
        <v>1</v>
      </c>
      <c r="Z396" s="4">
        <v>1</v>
      </c>
      <c r="AA396" s="2"/>
      <c r="AB396" s="2" t="s">
        <v>86</v>
      </c>
      <c r="AC396" s="2"/>
    </row>
    <row r="397" spans="1:29" ht="65" x14ac:dyDescent="0.15">
      <c r="A397" s="3">
        <f>DATE(1990,12,20)</f>
        <v>33227</v>
      </c>
      <c r="B397" s="2"/>
      <c r="C397" s="2" t="s">
        <v>30</v>
      </c>
      <c r="D397" s="2" t="s">
        <v>1557</v>
      </c>
      <c r="E397" s="2" t="s">
        <v>1181</v>
      </c>
      <c r="F397" s="4">
        <v>6021</v>
      </c>
      <c r="G397" s="2" t="s">
        <v>37</v>
      </c>
      <c r="H397" s="2" t="s">
        <v>34</v>
      </c>
      <c r="I397" s="2" t="s">
        <v>1558</v>
      </c>
      <c r="J397" s="2" t="s">
        <v>52</v>
      </c>
      <c r="K397" s="2" t="s">
        <v>53</v>
      </c>
      <c r="L397" s="2" t="s">
        <v>34</v>
      </c>
      <c r="M397" s="2"/>
      <c r="N397" s="2"/>
      <c r="O397" s="2"/>
      <c r="P397" s="2" t="s">
        <v>1559</v>
      </c>
      <c r="Q397" s="2"/>
      <c r="R397" s="2"/>
      <c r="S397" s="8">
        <v>-1113.3</v>
      </c>
      <c r="T397" s="2"/>
      <c r="U397" s="5">
        <v>6.2</v>
      </c>
      <c r="V397" s="6">
        <v>-16.11</v>
      </c>
      <c r="W397" s="7">
        <v>1.125</v>
      </c>
      <c r="X397" s="4">
        <v>1</v>
      </c>
      <c r="Y397" s="7">
        <v>1.125</v>
      </c>
      <c r="Z397" s="4">
        <v>1</v>
      </c>
      <c r="AA397" s="2"/>
      <c r="AB397" s="2" t="s">
        <v>86</v>
      </c>
      <c r="AC397" s="2"/>
    </row>
    <row r="398" spans="1:29" ht="130" x14ac:dyDescent="0.15">
      <c r="A398" s="3">
        <f>DATE(1990,12,20)</f>
        <v>33227</v>
      </c>
      <c r="B398" s="3">
        <f>DATE(1991,12,31)</f>
        <v>33603</v>
      </c>
      <c r="C398" s="2" t="s">
        <v>95</v>
      </c>
      <c r="D398" s="2" t="s">
        <v>1560</v>
      </c>
      <c r="E398" s="2" t="s">
        <v>1561</v>
      </c>
      <c r="F398" s="4">
        <v>6311</v>
      </c>
      <c r="G398" s="2" t="s">
        <v>125</v>
      </c>
      <c r="H398" s="2" t="s">
        <v>34</v>
      </c>
      <c r="I398" s="2" t="s">
        <v>1562</v>
      </c>
      <c r="J398" s="2" t="s">
        <v>1563</v>
      </c>
      <c r="K398" s="2" t="s">
        <v>125</v>
      </c>
      <c r="L398" s="2" t="s">
        <v>34</v>
      </c>
      <c r="M398" s="2"/>
      <c r="N398" s="2"/>
      <c r="O398" s="2"/>
      <c r="P398" s="2" t="s">
        <v>1564</v>
      </c>
      <c r="Q398" s="6">
        <v>5</v>
      </c>
      <c r="R398" s="6">
        <v>2.38</v>
      </c>
      <c r="S398" s="5">
        <v>-4.0999999999999996</v>
      </c>
      <c r="T398" s="2"/>
      <c r="U398" s="5">
        <v>7.7</v>
      </c>
      <c r="V398" s="6">
        <v>-0.7</v>
      </c>
      <c r="W398" s="4">
        <v>2</v>
      </c>
      <c r="X398" s="7">
        <v>2.375</v>
      </c>
      <c r="Y398" s="7">
        <v>2.4380000000000002</v>
      </c>
      <c r="Z398" s="5">
        <v>2.5</v>
      </c>
      <c r="AA398" s="6">
        <v>5.8</v>
      </c>
      <c r="AB398" s="2" t="s">
        <v>86</v>
      </c>
      <c r="AC398" s="2"/>
    </row>
    <row r="399" spans="1:29" ht="65" x14ac:dyDescent="0.15">
      <c r="A399" s="3">
        <f>DATE(1990,12,20)</f>
        <v>33227</v>
      </c>
      <c r="B399" s="2"/>
      <c r="C399" s="2" t="s">
        <v>189</v>
      </c>
      <c r="D399" s="2" t="s">
        <v>1565</v>
      </c>
      <c r="E399" s="2" t="s">
        <v>1566</v>
      </c>
      <c r="F399" s="4">
        <v>5812</v>
      </c>
      <c r="G399" s="2" t="s">
        <v>230</v>
      </c>
      <c r="H399" s="2" t="s">
        <v>34</v>
      </c>
      <c r="I399" s="2" t="s">
        <v>143</v>
      </c>
      <c r="J399" s="2" t="s">
        <v>144</v>
      </c>
      <c r="K399" s="2" t="s">
        <v>53</v>
      </c>
      <c r="L399" s="2" t="s">
        <v>139</v>
      </c>
      <c r="M399" s="2"/>
      <c r="N399" s="2"/>
      <c r="O399" s="2"/>
      <c r="P399" s="2" t="s">
        <v>1567</v>
      </c>
      <c r="Q399" s="2"/>
      <c r="R399" s="2"/>
      <c r="S399" s="5">
        <v>0.6</v>
      </c>
      <c r="T399" s="2"/>
      <c r="U399" s="5">
        <v>1.8</v>
      </c>
      <c r="V399" s="2"/>
      <c r="W399" s="7">
        <v>1.125</v>
      </c>
      <c r="X399" s="7">
        <v>1.125</v>
      </c>
      <c r="Y399" s="7">
        <v>0.875</v>
      </c>
      <c r="Z399" s="7">
        <v>0.875</v>
      </c>
      <c r="AA399" s="2"/>
      <c r="AB399" s="2" t="s">
        <v>47</v>
      </c>
      <c r="AC399" s="2"/>
    </row>
    <row r="400" spans="1:29" ht="143" x14ac:dyDescent="0.15">
      <c r="A400" s="3">
        <f>DATE(1990,12,20)</f>
        <v>33227</v>
      </c>
      <c r="B400" s="3">
        <f>DATE(1991,4,10)</f>
        <v>33338</v>
      </c>
      <c r="C400" s="2" t="s">
        <v>95</v>
      </c>
      <c r="D400" s="2" t="s">
        <v>1568</v>
      </c>
      <c r="E400" s="2" t="s">
        <v>1146</v>
      </c>
      <c r="F400" s="4">
        <v>5112</v>
      </c>
      <c r="G400" s="2" t="s">
        <v>593</v>
      </c>
      <c r="H400" s="2" t="s">
        <v>34</v>
      </c>
      <c r="I400" s="2" t="s">
        <v>1569</v>
      </c>
      <c r="J400" s="2" t="s">
        <v>1570</v>
      </c>
      <c r="K400" s="2" t="s">
        <v>73</v>
      </c>
      <c r="L400" s="2" t="s">
        <v>34</v>
      </c>
      <c r="M400" s="2"/>
      <c r="N400" s="4">
        <v>16</v>
      </c>
      <c r="O400" s="6">
        <v>16.25</v>
      </c>
      <c r="P400" s="2" t="s">
        <v>1571</v>
      </c>
      <c r="Q400" s="6">
        <v>100</v>
      </c>
      <c r="R400" s="6">
        <v>20</v>
      </c>
      <c r="S400" s="5">
        <v>2.2000000000000002</v>
      </c>
      <c r="T400" s="6">
        <v>6.54</v>
      </c>
      <c r="U400" s="5">
        <v>4.5</v>
      </c>
      <c r="V400" s="6">
        <v>0.36</v>
      </c>
      <c r="W400" s="7">
        <v>14.625</v>
      </c>
      <c r="X400" s="5">
        <v>13.5</v>
      </c>
      <c r="Y400" s="7">
        <v>18.125</v>
      </c>
      <c r="Z400" s="7">
        <v>18.375</v>
      </c>
      <c r="AA400" s="6">
        <v>7.2</v>
      </c>
      <c r="AB400" s="7">
        <v>43.055999999999997</v>
      </c>
      <c r="AC400" s="6">
        <v>28.41</v>
      </c>
    </row>
    <row r="401" spans="1:29" ht="143" x14ac:dyDescent="0.15">
      <c r="A401" s="3">
        <f>DATE(1990,12,21)</f>
        <v>33228</v>
      </c>
      <c r="B401" s="3">
        <f>DATE(1991,2,2)</f>
        <v>33271</v>
      </c>
      <c r="C401" s="2" t="s">
        <v>95</v>
      </c>
      <c r="D401" s="2" t="s">
        <v>1572</v>
      </c>
      <c r="E401" s="2" t="s">
        <v>1573</v>
      </c>
      <c r="F401" s="4">
        <v>5611</v>
      </c>
      <c r="G401" s="2" t="s">
        <v>756</v>
      </c>
      <c r="H401" s="2" t="s">
        <v>34</v>
      </c>
      <c r="I401" s="2" t="s">
        <v>1574</v>
      </c>
      <c r="J401" s="2" t="s">
        <v>1575</v>
      </c>
      <c r="K401" s="2" t="s">
        <v>756</v>
      </c>
      <c r="L401" s="2" t="s">
        <v>34</v>
      </c>
      <c r="M401" s="2"/>
      <c r="N401" s="5">
        <v>4.5</v>
      </c>
      <c r="O401" s="5">
        <v>4.5</v>
      </c>
      <c r="P401" s="2" t="s">
        <v>1576</v>
      </c>
      <c r="Q401" s="6">
        <v>100</v>
      </c>
      <c r="R401" s="2"/>
      <c r="S401" s="5">
        <v>-13.1</v>
      </c>
      <c r="T401" s="2"/>
      <c r="U401" s="5">
        <v>-0.8</v>
      </c>
      <c r="V401" s="2"/>
      <c r="W401" s="6">
        <v>1.75</v>
      </c>
      <c r="X401" s="6">
        <v>1.75</v>
      </c>
      <c r="Y401" s="7">
        <v>2.125</v>
      </c>
      <c r="Z401" s="4">
        <v>3</v>
      </c>
      <c r="AA401" s="2"/>
      <c r="AB401" s="2" t="s">
        <v>86</v>
      </c>
      <c r="AC401" s="6">
        <v>4.55</v>
      </c>
    </row>
    <row r="402" spans="1:29" ht="78" x14ac:dyDescent="0.15">
      <c r="A402" s="3">
        <f>DATE(1990,12,21)</f>
        <v>33228</v>
      </c>
      <c r="B402" s="2"/>
      <c r="C402" s="2" t="s">
        <v>30</v>
      </c>
      <c r="D402" s="2" t="s">
        <v>1577</v>
      </c>
      <c r="E402" s="2" t="s">
        <v>32</v>
      </c>
      <c r="F402" s="4">
        <v>6036</v>
      </c>
      <c r="G402" s="2" t="s">
        <v>33</v>
      </c>
      <c r="H402" s="2" t="s">
        <v>34</v>
      </c>
      <c r="I402" s="2" t="s">
        <v>1578</v>
      </c>
      <c r="J402" s="2" t="s">
        <v>32</v>
      </c>
      <c r="K402" s="2" t="s">
        <v>33</v>
      </c>
      <c r="L402" s="2" t="s">
        <v>34</v>
      </c>
      <c r="M402" s="2"/>
      <c r="N402" s="7">
        <v>1.625</v>
      </c>
      <c r="O402" s="4">
        <v>2</v>
      </c>
      <c r="P402" s="2" t="s">
        <v>1579</v>
      </c>
      <c r="Q402" s="2"/>
      <c r="R402" s="2"/>
      <c r="S402" s="2"/>
      <c r="T402" s="2"/>
      <c r="U402" s="2"/>
      <c r="V402" s="2"/>
      <c r="W402" s="4">
        <v>3</v>
      </c>
      <c r="X402" s="7">
        <v>3.625</v>
      </c>
      <c r="Y402" s="6">
        <v>4.25</v>
      </c>
      <c r="Z402" s="7">
        <v>4.125</v>
      </c>
      <c r="AA402" s="2"/>
      <c r="AB402" s="2" t="s">
        <v>47</v>
      </c>
      <c r="AC402" s="2"/>
    </row>
    <row r="403" spans="1:29" ht="143" x14ac:dyDescent="0.15">
      <c r="A403" s="3">
        <f>DATE(1990,12,21)</f>
        <v>33228</v>
      </c>
      <c r="B403" s="3">
        <f>DATE(1991,3,29)</f>
        <v>33326</v>
      </c>
      <c r="C403" s="2" t="s">
        <v>95</v>
      </c>
      <c r="D403" s="2" t="s">
        <v>1580</v>
      </c>
      <c r="E403" s="2" t="s">
        <v>1550</v>
      </c>
      <c r="F403" s="4">
        <v>7372</v>
      </c>
      <c r="G403" s="2" t="s">
        <v>551</v>
      </c>
      <c r="H403" s="2" t="s">
        <v>34</v>
      </c>
      <c r="I403" s="2" t="s">
        <v>1581</v>
      </c>
      <c r="J403" s="2" t="s">
        <v>973</v>
      </c>
      <c r="K403" s="2" t="s">
        <v>63</v>
      </c>
      <c r="L403" s="2" t="s">
        <v>34</v>
      </c>
      <c r="M403" s="2"/>
      <c r="N403" s="7">
        <v>68.125</v>
      </c>
      <c r="O403" s="7">
        <v>67.125</v>
      </c>
      <c r="P403" s="2" t="s">
        <v>1582</v>
      </c>
      <c r="Q403" s="6">
        <v>100</v>
      </c>
      <c r="R403" s="6">
        <v>0.94</v>
      </c>
      <c r="S403" s="5">
        <v>0.2</v>
      </c>
      <c r="T403" s="7">
        <v>2.2130000000000001</v>
      </c>
      <c r="U403" s="5">
        <v>0.1</v>
      </c>
      <c r="V403" s="6">
        <v>0.01</v>
      </c>
      <c r="W403" s="7">
        <v>0.65600000000000003</v>
      </c>
      <c r="X403" s="4">
        <v>1</v>
      </c>
      <c r="Y403" s="7">
        <v>0.875</v>
      </c>
      <c r="Z403" s="7">
        <v>0.90600000000000003</v>
      </c>
      <c r="AA403" s="6">
        <v>26.38</v>
      </c>
      <c r="AB403" s="7">
        <v>20.48</v>
      </c>
      <c r="AC403" s="5">
        <v>520.20000000000005</v>
      </c>
    </row>
    <row r="404" spans="1:29" ht="143" x14ac:dyDescent="0.15">
      <c r="A404" s="3">
        <f>DATE(1990,12,24)</f>
        <v>33231</v>
      </c>
      <c r="B404" s="2"/>
      <c r="C404" s="2" t="s">
        <v>30</v>
      </c>
      <c r="D404" s="2" t="s">
        <v>1307</v>
      </c>
      <c r="E404" s="2" t="s">
        <v>58</v>
      </c>
      <c r="F404" s="4">
        <v>4512</v>
      </c>
      <c r="G404" s="2" t="s">
        <v>59</v>
      </c>
      <c r="H404" s="2" t="s">
        <v>34</v>
      </c>
      <c r="I404" s="2" t="s">
        <v>1583</v>
      </c>
      <c r="J404" s="2" t="s">
        <v>52</v>
      </c>
      <c r="K404" s="2" t="s">
        <v>53</v>
      </c>
      <c r="L404" s="2" t="s">
        <v>34</v>
      </c>
      <c r="M404" s="2"/>
      <c r="N404" s="2"/>
      <c r="O404" s="2"/>
      <c r="P404" s="2" t="s">
        <v>1584</v>
      </c>
      <c r="Q404" s="2"/>
      <c r="R404" s="6">
        <v>3</v>
      </c>
      <c r="S404" s="5">
        <v>-452.1</v>
      </c>
      <c r="T404" s="7">
        <v>-100.581</v>
      </c>
      <c r="U404" s="5">
        <v>-4.3</v>
      </c>
      <c r="V404" s="6">
        <v>3.1</v>
      </c>
      <c r="W404" s="7">
        <v>1.625</v>
      </c>
      <c r="X404" s="7">
        <v>1.625</v>
      </c>
      <c r="Y404" s="7">
        <v>1.625</v>
      </c>
      <c r="Z404" s="7">
        <v>1.625</v>
      </c>
      <c r="AA404" s="6">
        <v>150.03</v>
      </c>
      <c r="AB404" s="2" t="s">
        <v>86</v>
      </c>
      <c r="AC404" s="2"/>
    </row>
    <row r="405" spans="1:29" ht="143" x14ac:dyDescent="0.15">
      <c r="A405" s="3">
        <f>DATE(1990,12,26)</f>
        <v>33233</v>
      </c>
      <c r="B405" s="2"/>
      <c r="C405" s="2" t="s">
        <v>30</v>
      </c>
      <c r="D405" s="2" t="s">
        <v>1179</v>
      </c>
      <c r="E405" s="2" t="s">
        <v>92</v>
      </c>
      <c r="F405" s="4">
        <v>6798</v>
      </c>
      <c r="G405" s="2" t="s">
        <v>53</v>
      </c>
      <c r="H405" s="2" t="s">
        <v>34</v>
      </c>
      <c r="I405" s="2" t="s">
        <v>149</v>
      </c>
      <c r="J405" s="2" t="s">
        <v>150</v>
      </c>
      <c r="K405" s="2" t="s">
        <v>53</v>
      </c>
      <c r="L405" s="2" t="s">
        <v>151</v>
      </c>
      <c r="M405" s="2"/>
      <c r="N405" s="2"/>
      <c r="O405" s="2"/>
      <c r="P405" s="2" t="s">
        <v>1585</v>
      </c>
      <c r="Q405" s="2"/>
      <c r="R405" s="6">
        <v>1.25</v>
      </c>
      <c r="S405" s="5">
        <v>-62.3</v>
      </c>
      <c r="T405" s="2"/>
      <c r="U405" s="5">
        <v>3.6</v>
      </c>
      <c r="V405" s="6">
        <v>-5.13</v>
      </c>
      <c r="W405" s="7">
        <v>8.375</v>
      </c>
      <c r="X405" s="6">
        <v>8.25</v>
      </c>
      <c r="Y405" s="5">
        <v>9.5</v>
      </c>
      <c r="Z405" s="7">
        <v>9.375</v>
      </c>
      <c r="AA405" s="6">
        <v>12.15</v>
      </c>
      <c r="AB405" s="2" t="s">
        <v>47</v>
      </c>
      <c r="AC405" s="2"/>
    </row>
    <row r="406" spans="1:29" ht="52" x14ac:dyDescent="0.15">
      <c r="A406" s="3">
        <f>DATE(1990,12,26)</f>
        <v>33233</v>
      </c>
      <c r="B406" s="2"/>
      <c r="C406" s="2" t="s">
        <v>189</v>
      </c>
      <c r="D406" s="2" t="s">
        <v>1586</v>
      </c>
      <c r="E406" s="2" t="s">
        <v>1587</v>
      </c>
      <c r="F406" s="4">
        <v>6512</v>
      </c>
      <c r="G406" s="2" t="s">
        <v>109</v>
      </c>
      <c r="H406" s="2" t="s">
        <v>34</v>
      </c>
      <c r="I406" s="2" t="s">
        <v>143</v>
      </c>
      <c r="J406" s="2" t="s">
        <v>144</v>
      </c>
      <c r="K406" s="2" t="s">
        <v>53</v>
      </c>
      <c r="L406" s="2" t="s">
        <v>139</v>
      </c>
      <c r="M406" s="2"/>
      <c r="N406" s="2"/>
      <c r="O406" s="2"/>
      <c r="P406" s="2" t="s">
        <v>1588</v>
      </c>
      <c r="Q406" s="2"/>
      <c r="R406" s="2"/>
      <c r="S406" s="5">
        <v>-24.3</v>
      </c>
      <c r="T406" s="7">
        <v>-33.177999999999997</v>
      </c>
      <c r="U406" s="5">
        <v>11.2</v>
      </c>
      <c r="V406" s="6">
        <v>-6.27</v>
      </c>
      <c r="W406" s="5">
        <v>5.5</v>
      </c>
      <c r="X406" s="7">
        <v>5.375</v>
      </c>
      <c r="Y406" s="7">
        <v>6.125</v>
      </c>
      <c r="Z406" s="6">
        <v>6.25</v>
      </c>
      <c r="AA406" s="2"/>
      <c r="AB406" s="2" t="s">
        <v>86</v>
      </c>
      <c r="AC406" s="2"/>
    </row>
    <row r="407" spans="1:29" ht="26" x14ac:dyDescent="0.15">
      <c r="A407" s="3">
        <f>DATE(1990,12,26)</f>
        <v>33233</v>
      </c>
      <c r="B407" s="2"/>
      <c r="C407" s="2" t="s">
        <v>56</v>
      </c>
      <c r="D407" s="2" t="s">
        <v>146</v>
      </c>
      <c r="E407" s="2" t="s">
        <v>147</v>
      </c>
      <c r="F407" s="4">
        <v>2911</v>
      </c>
      <c r="G407" s="2" t="s">
        <v>148</v>
      </c>
      <c r="H407" s="2" t="s">
        <v>34</v>
      </c>
      <c r="I407" s="2" t="s">
        <v>1589</v>
      </c>
      <c r="J407" s="2" t="s">
        <v>1590</v>
      </c>
      <c r="K407" s="2" t="s">
        <v>53</v>
      </c>
      <c r="L407" s="2" t="s">
        <v>34</v>
      </c>
      <c r="M407" s="2"/>
      <c r="N407" s="2"/>
      <c r="O407" s="2"/>
      <c r="P407" s="2" t="s">
        <v>1591</v>
      </c>
      <c r="Q407" s="2"/>
      <c r="R407" s="2"/>
      <c r="S407" s="5">
        <v>22.7</v>
      </c>
      <c r="T407" s="6">
        <v>55.78</v>
      </c>
      <c r="U407" s="5">
        <v>3.6</v>
      </c>
      <c r="V407" s="9">
        <v>0.47860000000000003</v>
      </c>
      <c r="W407" s="7">
        <v>6.625</v>
      </c>
      <c r="X407" s="6">
        <v>6.75</v>
      </c>
      <c r="Y407" s="7">
        <v>6.875</v>
      </c>
      <c r="Z407" s="7">
        <v>6.875</v>
      </c>
      <c r="AA407" s="6">
        <v>14.06</v>
      </c>
      <c r="AB407" s="2" t="s">
        <v>47</v>
      </c>
      <c r="AC407" s="2"/>
    </row>
    <row r="408" spans="1:29" ht="143" x14ac:dyDescent="0.15">
      <c r="A408" s="3">
        <f>DATE(1990,12,27)</f>
        <v>33234</v>
      </c>
      <c r="B408" s="2"/>
      <c r="C408" s="2" t="s">
        <v>30</v>
      </c>
      <c r="D408" s="2" t="s">
        <v>1592</v>
      </c>
      <c r="E408" s="2" t="s">
        <v>1593</v>
      </c>
      <c r="F408" s="4">
        <v>8741</v>
      </c>
      <c r="G408" s="2" t="s">
        <v>223</v>
      </c>
      <c r="H408" s="2" t="s">
        <v>34</v>
      </c>
      <c r="I408" s="2" t="s">
        <v>1594</v>
      </c>
      <c r="J408" s="2" t="s">
        <v>398</v>
      </c>
      <c r="K408" s="2" t="s">
        <v>42</v>
      </c>
      <c r="L408" s="2" t="s">
        <v>34</v>
      </c>
      <c r="M408" s="2"/>
      <c r="N408" s="6">
        <v>4.75</v>
      </c>
      <c r="O408" s="5">
        <v>4.5</v>
      </c>
      <c r="P408" s="2" t="s">
        <v>1595</v>
      </c>
      <c r="Q408" s="2"/>
      <c r="R408" s="6">
        <v>4.13</v>
      </c>
      <c r="S408" s="5">
        <v>-1.9</v>
      </c>
      <c r="T408" s="7">
        <v>4.6260000000000003</v>
      </c>
      <c r="U408" s="5">
        <v>2.5</v>
      </c>
      <c r="V408" s="6">
        <v>-0.85</v>
      </c>
      <c r="W408" s="7">
        <v>0.875</v>
      </c>
      <c r="X408" s="7">
        <v>1.125</v>
      </c>
      <c r="Y408" s="7">
        <v>1.375</v>
      </c>
      <c r="Z408" s="7">
        <v>1.125</v>
      </c>
      <c r="AA408" s="6">
        <v>2.44</v>
      </c>
      <c r="AB408" s="7">
        <v>3.6640000000000001</v>
      </c>
      <c r="AC408" s="2"/>
    </row>
    <row r="409" spans="1:29" ht="143" x14ac:dyDescent="0.15">
      <c r="A409" s="3">
        <f>DATE(1990,12,31)</f>
        <v>33238</v>
      </c>
      <c r="B409" s="2"/>
      <c r="C409" s="2" t="s">
        <v>30</v>
      </c>
      <c r="D409" s="2" t="s">
        <v>1596</v>
      </c>
      <c r="E409" s="2" t="s">
        <v>1597</v>
      </c>
      <c r="F409" s="4">
        <v>3711</v>
      </c>
      <c r="G409" s="2" t="s">
        <v>105</v>
      </c>
      <c r="H409" s="2" t="s">
        <v>34</v>
      </c>
      <c r="I409" s="2" t="s">
        <v>1598</v>
      </c>
      <c r="J409" s="2" t="s">
        <v>1599</v>
      </c>
      <c r="K409" s="2" t="s">
        <v>105</v>
      </c>
      <c r="L409" s="2" t="s">
        <v>34</v>
      </c>
      <c r="M409" s="2"/>
      <c r="N409" s="7">
        <v>26.625</v>
      </c>
      <c r="O409" s="7">
        <v>26.625</v>
      </c>
      <c r="P409" s="2" t="s">
        <v>1600</v>
      </c>
      <c r="Q409" s="2"/>
      <c r="R409" s="2"/>
      <c r="S409" s="5">
        <v>68</v>
      </c>
      <c r="T409" s="8">
        <v>1545</v>
      </c>
      <c r="U409" s="5">
        <v>29.4</v>
      </c>
      <c r="V409" s="6">
        <v>0.3</v>
      </c>
      <c r="W409" s="7">
        <v>12.875</v>
      </c>
      <c r="X409" s="7">
        <v>12.625</v>
      </c>
      <c r="Y409" s="7">
        <v>12.625</v>
      </c>
      <c r="Z409" s="7">
        <v>12.625</v>
      </c>
      <c r="AA409" s="2"/>
      <c r="AB409" s="2" t="s">
        <v>47</v>
      </c>
      <c r="AC409" s="8">
        <v>8796.9</v>
      </c>
    </row>
    <row r="410" spans="1:29" ht="143" x14ac:dyDescent="0.15">
      <c r="A410" s="3">
        <f>DATE(1990,12,31)</f>
        <v>33238</v>
      </c>
      <c r="B410" s="3">
        <f>DATE(1991,9,17)</f>
        <v>33498</v>
      </c>
      <c r="C410" s="2" t="s">
        <v>95</v>
      </c>
      <c r="D410" s="2" t="s">
        <v>1601</v>
      </c>
      <c r="E410" s="2" t="s">
        <v>1602</v>
      </c>
      <c r="F410" s="4">
        <v>4813</v>
      </c>
      <c r="G410" s="2" t="s">
        <v>63</v>
      </c>
      <c r="H410" s="2" t="s">
        <v>34</v>
      </c>
      <c r="I410" s="2" t="s">
        <v>1603</v>
      </c>
      <c r="J410" s="2" t="s">
        <v>1604</v>
      </c>
      <c r="K410" s="2" t="s">
        <v>63</v>
      </c>
      <c r="L410" s="2" t="s">
        <v>34</v>
      </c>
      <c r="M410" s="2"/>
      <c r="N410" s="2"/>
      <c r="O410" s="2"/>
      <c r="P410" s="2" t="s">
        <v>1605</v>
      </c>
      <c r="Q410" s="6">
        <v>100</v>
      </c>
      <c r="R410" s="6">
        <v>5.18</v>
      </c>
      <c r="S410" s="5">
        <v>-47</v>
      </c>
      <c r="T410" s="7">
        <v>-6.1230000000000002</v>
      </c>
      <c r="U410" s="5">
        <v>0</v>
      </c>
      <c r="V410" s="6">
        <v>-1.46</v>
      </c>
      <c r="W410" s="7">
        <v>3.875</v>
      </c>
      <c r="X410" s="5">
        <v>3.5</v>
      </c>
      <c r="Y410" s="6">
        <v>5.75</v>
      </c>
      <c r="Z410" s="5">
        <v>5.5</v>
      </c>
      <c r="AA410" s="6">
        <v>32.46</v>
      </c>
      <c r="AB410" s="2" t="s">
        <v>86</v>
      </c>
      <c r="AC410" s="2"/>
    </row>
    <row r="411" spans="1:29" ht="156" x14ac:dyDescent="0.15">
      <c r="A411" s="3">
        <f>DATE(1991,1,3)</f>
        <v>33241</v>
      </c>
      <c r="B411" s="3">
        <f>DATE(1991,7,3)</f>
        <v>33422</v>
      </c>
      <c r="C411" s="2" t="s">
        <v>95</v>
      </c>
      <c r="D411" s="2" t="s">
        <v>1606</v>
      </c>
      <c r="E411" s="2" t="s">
        <v>177</v>
      </c>
      <c r="F411" s="4">
        <v>1311</v>
      </c>
      <c r="G411" s="2" t="s">
        <v>148</v>
      </c>
      <c r="H411" s="2" t="s">
        <v>34</v>
      </c>
      <c r="I411" s="2" t="s">
        <v>1607</v>
      </c>
      <c r="J411" s="2" t="s">
        <v>1608</v>
      </c>
      <c r="K411" s="2" t="s">
        <v>148</v>
      </c>
      <c r="L411" s="2" t="s">
        <v>34</v>
      </c>
      <c r="M411" s="12">
        <v>1224.5150000000001</v>
      </c>
      <c r="N411" s="4">
        <v>37</v>
      </c>
      <c r="O411" s="5">
        <v>36.5</v>
      </c>
      <c r="P411" s="2" t="s">
        <v>1609</v>
      </c>
      <c r="Q411" s="6">
        <v>38.880000000000003</v>
      </c>
      <c r="R411" s="6">
        <v>19.39</v>
      </c>
      <c r="S411" s="5">
        <v>45.4</v>
      </c>
      <c r="T411" s="7">
        <v>197.11799999999999</v>
      </c>
      <c r="U411" s="5">
        <v>8.8000000000000007</v>
      </c>
      <c r="V411" s="6">
        <v>0.88</v>
      </c>
      <c r="W411" s="7">
        <v>15.625</v>
      </c>
      <c r="X411" s="4">
        <v>17</v>
      </c>
      <c r="Y411" s="4">
        <v>18</v>
      </c>
      <c r="Z411" s="7">
        <v>17.875</v>
      </c>
      <c r="AA411" s="6">
        <v>51.52</v>
      </c>
      <c r="AB411" s="7">
        <v>8.0239999999999991</v>
      </c>
      <c r="AC411" s="6">
        <v>274.56</v>
      </c>
    </row>
    <row r="412" spans="1:29" ht="130" x14ac:dyDescent="0.15">
      <c r="A412" s="3">
        <f>DATE(1991,1,7)</f>
        <v>33245</v>
      </c>
      <c r="B412" s="2"/>
      <c r="C412" s="2" t="s">
        <v>30</v>
      </c>
      <c r="D412" s="2" t="s">
        <v>1557</v>
      </c>
      <c r="E412" s="2" t="s">
        <v>1181</v>
      </c>
      <c r="F412" s="4">
        <v>6021</v>
      </c>
      <c r="G412" s="2" t="s">
        <v>37</v>
      </c>
      <c r="H412" s="2" t="s">
        <v>34</v>
      </c>
      <c r="I412" s="2" t="s">
        <v>1610</v>
      </c>
      <c r="J412" s="2" t="s">
        <v>36</v>
      </c>
      <c r="K412" s="2" t="s">
        <v>37</v>
      </c>
      <c r="L412" s="2" t="s">
        <v>34</v>
      </c>
      <c r="M412" s="2"/>
      <c r="N412" s="7">
        <v>25.125</v>
      </c>
      <c r="O412" s="4">
        <v>25</v>
      </c>
      <c r="P412" s="2" t="s">
        <v>1611</v>
      </c>
      <c r="Q412" s="2"/>
      <c r="R412" s="2"/>
      <c r="S412" s="8">
        <v>-1113.3</v>
      </c>
      <c r="T412" s="2"/>
      <c r="U412" s="5">
        <v>6.2</v>
      </c>
      <c r="V412" s="6">
        <v>-16.11</v>
      </c>
      <c r="W412" s="4">
        <v>18</v>
      </c>
      <c r="X412" s="6">
        <v>17.75</v>
      </c>
      <c r="Y412" s="7">
        <v>17.625</v>
      </c>
      <c r="Z412" s="6">
        <v>18.25</v>
      </c>
      <c r="AA412" s="2"/>
      <c r="AB412" s="2" t="s">
        <v>86</v>
      </c>
      <c r="AC412" s="2"/>
    </row>
    <row r="413" spans="1:29" ht="117" x14ac:dyDescent="0.15">
      <c r="A413" s="3">
        <f>DATE(1991,1,7)</f>
        <v>33245</v>
      </c>
      <c r="B413" s="2"/>
      <c r="C413" s="2" t="s">
        <v>30</v>
      </c>
      <c r="D413" s="2" t="s">
        <v>1557</v>
      </c>
      <c r="E413" s="2" t="s">
        <v>1181</v>
      </c>
      <c r="F413" s="4">
        <v>6021</v>
      </c>
      <c r="G413" s="2" t="s">
        <v>37</v>
      </c>
      <c r="H413" s="2" t="s">
        <v>34</v>
      </c>
      <c r="I413" s="2" t="s">
        <v>1612</v>
      </c>
      <c r="J413" s="2" t="s">
        <v>263</v>
      </c>
      <c r="K413" s="2" t="s">
        <v>37</v>
      </c>
      <c r="L413" s="2" t="s">
        <v>34</v>
      </c>
      <c r="M413" s="2"/>
      <c r="N413" s="7">
        <v>26.375</v>
      </c>
      <c r="O413" s="4">
        <v>26</v>
      </c>
      <c r="P413" s="2" t="s">
        <v>1613</v>
      </c>
      <c r="Q413" s="2"/>
      <c r="R413" s="2"/>
      <c r="S413" s="8">
        <v>-1113.3</v>
      </c>
      <c r="T413" s="2"/>
      <c r="U413" s="5">
        <v>6.2</v>
      </c>
      <c r="V413" s="6">
        <v>-16.11</v>
      </c>
      <c r="W413" s="4">
        <v>18</v>
      </c>
      <c r="X413" s="6">
        <v>17.75</v>
      </c>
      <c r="Y413" s="7">
        <v>17.625</v>
      </c>
      <c r="Z413" s="6">
        <v>18.25</v>
      </c>
      <c r="AA413" s="2"/>
      <c r="AB413" s="2" t="s">
        <v>86</v>
      </c>
      <c r="AC413" s="2"/>
    </row>
    <row r="414" spans="1:29" ht="39" x14ac:dyDescent="0.15">
      <c r="A414" s="3">
        <f>DATE(1991,1,7)</f>
        <v>33245</v>
      </c>
      <c r="B414" s="2"/>
      <c r="C414" s="2" t="s">
        <v>56</v>
      </c>
      <c r="D414" s="2" t="s">
        <v>1614</v>
      </c>
      <c r="E414" s="2" t="s">
        <v>1615</v>
      </c>
      <c r="F414" s="4">
        <v>3842</v>
      </c>
      <c r="G414" s="2" t="s">
        <v>226</v>
      </c>
      <c r="H414" s="2" t="s">
        <v>34</v>
      </c>
      <c r="I414" s="2" t="s">
        <v>1616</v>
      </c>
      <c r="J414" s="2" t="s">
        <v>1617</v>
      </c>
      <c r="K414" s="2" t="s">
        <v>130</v>
      </c>
      <c r="L414" s="2" t="s">
        <v>34</v>
      </c>
      <c r="M414" s="2"/>
      <c r="N414" s="7">
        <v>0.188</v>
      </c>
      <c r="O414" s="7">
        <v>0.188</v>
      </c>
      <c r="P414" s="2" t="s">
        <v>1618</v>
      </c>
      <c r="Q414" s="2"/>
      <c r="R414" s="2"/>
      <c r="S414" s="5">
        <v>-0.2</v>
      </c>
      <c r="T414" s="7">
        <v>2.7E-2</v>
      </c>
      <c r="U414" s="5">
        <v>0.5</v>
      </c>
      <c r="V414" s="6">
        <v>-0.05</v>
      </c>
      <c r="W414" s="4">
        <v>2</v>
      </c>
      <c r="X414" s="7">
        <v>2.125</v>
      </c>
      <c r="Y414" s="4">
        <v>2</v>
      </c>
      <c r="Z414" s="4">
        <v>2</v>
      </c>
      <c r="AA414" s="6">
        <v>3.66</v>
      </c>
      <c r="AB414" s="2" t="s">
        <v>86</v>
      </c>
      <c r="AC414" s="2"/>
    </row>
    <row r="415" spans="1:29" ht="156" x14ac:dyDescent="0.15">
      <c r="A415" s="3">
        <f>DATE(1991,1,10)</f>
        <v>33248</v>
      </c>
      <c r="B415" s="2"/>
      <c r="C415" s="2" t="s">
        <v>82</v>
      </c>
      <c r="D415" s="2" t="s">
        <v>1307</v>
      </c>
      <c r="E415" s="2" t="s">
        <v>58</v>
      </c>
      <c r="F415" s="4">
        <v>4512</v>
      </c>
      <c r="G415" s="2" t="s">
        <v>59</v>
      </c>
      <c r="H415" s="2" t="s">
        <v>34</v>
      </c>
      <c r="I415" s="2" t="s">
        <v>1619</v>
      </c>
      <c r="J415" s="2" t="s">
        <v>1620</v>
      </c>
      <c r="K415" s="2" t="s">
        <v>53</v>
      </c>
      <c r="L415" s="2" t="s">
        <v>34</v>
      </c>
      <c r="M415" s="2"/>
      <c r="N415" s="2"/>
      <c r="O415" s="2"/>
      <c r="P415" s="2" t="s">
        <v>1621</v>
      </c>
      <c r="Q415" s="2"/>
      <c r="R415" s="2"/>
      <c r="S415" s="5">
        <v>-662.9</v>
      </c>
      <c r="T415" s="7">
        <v>-234.48699999999999</v>
      </c>
      <c r="U415" s="5">
        <v>-8</v>
      </c>
      <c r="V415" s="6">
        <v>-4.3600000000000003</v>
      </c>
      <c r="W415" s="7">
        <v>1.625</v>
      </c>
      <c r="X415" s="7">
        <v>1.625</v>
      </c>
      <c r="Y415" s="7">
        <v>1.625</v>
      </c>
      <c r="Z415" s="7">
        <v>1.625</v>
      </c>
      <c r="AA415" s="6">
        <v>150</v>
      </c>
      <c r="AB415" s="2" t="s">
        <v>86</v>
      </c>
      <c r="AC415" s="2"/>
    </row>
    <row r="416" spans="1:29" ht="156" x14ac:dyDescent="0.15">
      <c r="A416" s="3">
        <f>DATE(1991,1,11)</f>
        <v>33249</v>
      </c>
      <c r="B416" s="2"/>
      <c r="C416" s="2" t="s">
        <v>87</v>
      </c>
      <c r="D416" s="2" t="s">
        <v>1622</v>
      </c>
      <c r="E416" s="2" t="s">
        <v>1623</v>
      </c>
      <c r="F416" s="4">
        <v>3842</v>
      </c>
      <c r="G416" s="2" t="s">
        <v>226</v>
      </c>
      <c r="H416" s="2" t="s">
        <v>34</v>
      </c>
      <c r="I416" s="2" t="s">
        <v>1624</v>
      </c>
      <c r="J416" s="2" t="s">
        <v>80</v>
      </c>
      <c r="K416" s="2" t="s">
        <v>53</v>
      </c>
      <c r="L416" s="2" t="s">
        <v>1086</v>
      </c>
      <c r="M416" s="2"/>
      <c r="N416" s="2"/>
      <c r="O416" s="2"/>
      <c r="P416" s="2" t="s">
        <v>1625</v>
      </c>
      <c r="Q416" s="2"/>
      <c r="R416" s="2"/>
      <c r="S416" s="5">
        <v>-50.9</v>
      </c>
      <c r="T416" s="7">
        <v>-8.1560000000000006</v>
      </c>
      <c r="U416" s="5">
        <v>-6.5</v>
      </c>
      <c r="V416" s="6">
        <v>-55.6</v>
      </c>
      <c r="W416" s="7">
        <v>1.375</v>
      </c>
      <c r="X416" s="7">
        <v>1.375</v>
      </c>
      <c r="Y416" s="7">
        <v>1.375</v>
      </c>
      <c r="Z416" s="7">
        <v>1.375</v>
      </c>
      <c r="AA416" s="6">
        <v>9.15</v>
      </c>
      <c r="AB416" s="2" t="s">
        <v>86</v>
      </c>
      <c r="AC416" s="10">
        <v>2764.85</v>
      </c>
    </row>
    <row r="417" spans="1:29" ht="78" x14ac:dyDescent="0.15">
      <c r="A417" s="3">
        <f>DATE(1991,1,14)</f>
        <v>33252</v>
      </c>
      <c r="B417" s="2"/>
      <c r="C417" s="2" t="s">
        <v>30</v>
      </c>
      <c r="D417" s="2" t="s">
        <v>1557</v>
      </c>
      <c r="E417" s="2" t="s">
        <v>1181</v>
      </c>
      <c r="F417" s="4">
        <v>6021</v>
      </c>
      <c r="G417" s="2" t="s">
        <v>37</v>
      </c>
      <c r="H417" s="2" t="s">
        <v>34</v>
      </c>
      <c r="I417" s="2" t="s">
        <v>1626</v>
      </c>
      <c r="J417" s="2" t="s">
        <v>244</v>
      </c>
      <c r="K417" s="2" t="s">
        <v>53</v>
      </c>
      <c r="L417" s="2" t="s">
        <v>34</v>
      </c>
      <c r="M417" s="2"/>
      <c r="N417" s="2"/>
      <c r="O417" s="2"/>
      <c r="P417" s="2" t="s">
        <v>1627</v>
      </c>
      <c r="Q417" s="2"/>
      <c r="R417" s="2"/>
      <c r="S417" s="8">
        <v>-1113.3</v>
      </c>
      <c r="T417" s="2"/>
      <c r="U417" s="5">
        <v>6.2</v>
      </c>
      <c r="V417" s="6">
        <v>-16.11</v>
      </c>
      <c r="W417" s="4">
        <v>18</v>
      </c>
      <c r="X417" s="6">
        <v>17.75</v>
      </c>
      <c r="Y417" s="7">
        <v>17.625</v>
      </c>
      <c r="Z417" s="6">
        <v>18.25</v>
      </c>
      <c r="AA417" s="2"/>
      <c r="AB417" s="2" t="s">
        <v>86</v>
      </c>
      <c r="AC417" s="2"/>
    </row>
    <row r="418" spans="1:29" ht="143" x14ac:dyDescent="0.15">
      <c r="A418" s="3">
        <f>DATE(1991,1,14)</f>
        <v>33252</v>
      </c>
      <c r="B418" s="2"/>
      <c r="C418" s="2" t="s">
        <v>141</v>
      </c>
      <c r="D418" s="2" t="s">
        <v>1628</v>
      </c>
      <c r="E418" s="2" t="s">
        <v>1629</v>
      </c>
      <c r="F418" s="4">
        <v>1381</v>
      </c>
      <c r="G418" s="2" t="s">
        <v>148</v>
      </c>
      <c r="H418" s="2" t="s">
        <v>34</v>
      </c>
      <c r="I418" s="2" t="s">
        <v>143</v>
      </c>
      <c r="J418" s="2" t="s">
        <v>144</v>
      </c>
      <c r="K418" s="2" t="s">
        <v>53</v>
      </c>
      <c r="L418" s="2" t="s">
        <v>139</v>
      </c>
      <c r="M418" s="2"/>
      <c r="N418" s="2"/>
      <c r="O418" s="2"/>
      <c r="P418" s="2" t="s">
        <v>1630</v>
      </c>
      <c r="Q418" s="2"/>
      <c r="R418" s="2"/>
      <c r="S418" s="5">
        <v>-0.2</v>
      </c>
      <c r="T418" s="2"/>
      <c r="U418" s="5">
        <v>23.7</v>
      </c>
      <c r="V418" s="2"/>
      <c r="W418" s="7">
        <v>15.625</v>
      </c>
      <c r="X418" s="6">
        <v>15.25</v>
      </c>
      <c r="Y418" s="5">
        <v>15.5</v>
      </c>
      <c r="Z418" s="4">
        <v>16</v>
      </c>
      <c r="AA418" s="2"/>
      <c r="AB418" s="2" t="s">
        <v>86</v>
      </c>
      <c r="AC418" s="2"/>
    </row>
    <row r="419" spans="1:29" ht="52" x14ac:dyDescent="0.15">
      <c r="A419" s="3">
        <f>DATE(1991,1,15)</f>
        <v>33253</v>
      </c>
      <c r="B419" s="2"/>
      <c r="C419" s="2" t="s">
        <v>56</v>
      </c>
      <c r="D419" s="2" t="s">
        <v>1631</v>
      </c>
      <c r="E419" s="2" t="s">
        <v>1632</v>
      </c>
      <c r="F419" s="4">
        <v>3452</v>
      </c>
      <c r="G419" s="2" t="s">
        <v>163</v>
      </c>
      <c r="H419" s="2" t="s">
        <v>34</v>
      </c>
      <c r="I419" s="2" t="s">
        <v>51</v>
      </c>
      <c r="J419" s="2" t="s">
        <v>52</v>
      </c>
      <c r="K419" s="2" t="s">
        <v>53</v>
      </c>
      <c r="L419" s="2" t="s">
        <v>34</v>
      </c>
      <c r="M419" s="2"/>
      <c r="N419" s="2"/>
      <c r="O419" s="2"/>
      <c r="P419" s="2" t="s">
        <v>1633</v>
      </c>
      <c r="Q419" s="2"/>
      <c r="R419" s="2"/>
      <c r="S419" s="5">
        <v>10</v>
      </c>
      <c r="T419" s="7">
        <v>22.446000000000002</v>
      </c>
      <c r="U419" s="5">
        <v>14.1</v>
      </c>
      <c r="V419" s="6">
        <v>-0.99</v>
      </c>
      <c r="W419" s="7">
        <v>24.125</v>
      </c>
      <c r="X419" s="4">
        <v>22</v>
      </c>
      <c r="Y419" s="4">
        <v>25</v>
      </c>
      <c r="Z419" s="6">
        <v>28.75</v>
      </c>
      <c r="AA419" s="6">
        <v>5.05</v>
      </c>
      <c r="AB419" s="2" t="s">
        <v>47</v>
      </c>
      <c r="AC419" s="2"/>
    </row>
    <row r="420" spans="1:29" ht="117" x14ac:dyDescent="0.15">
      <c r="A420" s="3">
        <f>DATE(1991,1,16)</f>
        <v>33254</v>
      </c>
      <c r="B420" s="2"/>
      <c r="C420" s="2" t="s">
        <v>30</v>
      </c>
      <c r="D420" s="2" t="s">
        <v>1634</v>
      </c>
      <c r="E420" s="2" t="s">
        <v>1635</v>
      </c>
      <c r="F420" s="4">
        <v>3312</v>
      </c>
      <c r="G420" s="2" t="s">
        <v>163</v>
      </c>
      <c r="H420" s="2" t="s">
        <v>34</v>
      </c>
      <c r="I420" s="2" t="s">
        <v>1636</v>
      </c>
      <c r="J420" s="2" t="s">
        <v>1637</v>
      </c>
      <c r="K420" s="2" t="s">
        <v>163</v>
      </c>
      <c r="L420" s="2" t="s">
        <v>34</v>
      </c>
      <c r="M420" s="2"/>
      <c r="N420" s="7">
        <v>5.125</v>
      </c>
      <c r="O420" s="7">
        <v>5.375</v>
      </c>
      <c r="P420" s="2" t="s">
        <v>1638</v>
      </c>
      <c r="Q420" s="2"/>
      <c r="R420" s="6">
        <v>22</v>
      </c>
      <c r="S420" s="5">
        <v>2.1</v>
      </c>
      <c r="T420" s="7">
        <v>41.219000000000001</v>
      </c>
      <c r="U420" s="5">
        <v>10</v>
      </c>
      <c r="V420" s="6">
        <v>-0.42</v>
      </c>
      <c r="W420" s="7">
        <v>12.625</v>
      </c>
      <c r="X420" s="6">
        <v>12.25</v>
      </c>
      <c r="Y420" s="6">
        <v>19.75</v>
      </c>
      <c r="Z420" s="5">
        <v>19.5</v>
      </c>
      <c r="AA420" s="6">
        <v>7.1</v>
      </c>
      <c r="AB420" s="7">
        <v>9.3710000000000004</v>
      </c>
      <c r="AC420" s="2"/>
    </row>
    <row r="421" spans="1:29" ht="169" x14ac:dyDescent="0.15">
      <c r="A421" s="3">
        <f>DATE(1991,1,22)</f>
        <v>33260</v>
      </c>
      <c r="B421" s="2"/>
      <c r="C421" s="2" t="s">
        <v>30</v>
      </c>
      <c r="D421" s="2" t="s">
        <v>1639</v>
      </c>
      <c r="E421" s="2" t="s">
        <v>36</v>
      </c>
      <c r="F421" s="4">
        <v>6021</v>
      </c>
      <c r="G421" s="2" t="s">
        <v>37</v>
      </c>
      <c r="H421" s="2" t="s">
        <v>34</v>
      </c>
      <c r="I421" s="2" t="s">
        <v>154</v>
      </c>
      <c r="J421" s="2" t="s">
        <v>36</v>
      </c>
      <c r="K421" s="2" t="s">
        <v>37</v>
      </c>
      <c r="L421" s="2" t="s">
        <v>34</v>
      </c>
      <c r="M421" s="2"/>
      <c r="N421" s="2"/>
      <c r="O421" s="2"/>
      <c r="P421" s="2" t="s">
        <v>1640</v>
      </c>
      <c r="Q421" s="2"/>
      <c r="R421" s="2"/>
      <c r="S421" s="5">
        <v>161.30000000000001</v>
      </c>
      <c r="T421" s="5">
        <v>621.5</v>
      </c>
      <c r="U421" s="5">
        <v>32.700000000000003</v>
      </c>
      <c r="V421" s="6">
        <v>1.03</v>
      </c>
      <c r="W421" s="7">
        <v>17.875</v>
      </c>
      <c r="X421" s="7">
        <v>18.125</v>
      </c>
      <c r="Y421" s="6">
        <v>20.75</v>
      </c>
      <c r="Z421" s="6">
        <v>20.25</v>
      </c>
      <c r="AA421" s="6">
        <v>120.81</v>
      </c>
      <c r="AB421" s="2" t="s">
        <v>47</v>
      </c>
      <c r="AC421" s="2"/>
    </row>
    <row r="422" spans="1:29" ht="143" x14ac:dyDescent="0.15">
      <c r="A422" s="3">
        <f>DATE(1991,1,23)</f>
        <v>33261</v>
      </c>
      <c r="B422" s="3">
        <f>DATE(1991,11,25)</f>
        <v>33567</v>
      </c>
      <c r="C422" s="2" t="s">
        <v>95</v>
      </c>
      <c r="D422" s="2" t="s">
        <v>1641</v>
      </c>
      <c r="E422" s="2" t="s">
        <v>1642</v>
      </c>
      <c r="F422" s="4">
        <v>2731</v>
      </c>
      <c r="G422" s="2" t="s">
        <v>186</v>
      </c>
      <c r="H422" s="2" t="s">
        <v>34</v>
      </c>
      <c r="I422" s="2" t="s">
        <v>1339</v>
      </c>
      <c r="J422" s="2" t="s">
        <v>1340</v>
      </c>
      <c r="K422" s="2" t="s">
        <v>42</v>
      </c>
      <c r="L422" s="2" t="s">
        <v>34</v>
      </c>
      <c r="M422" s="12">
        <v>1333.3019999999999</v>
      </c>
      <c r="N422" s="7">
        <v>20.375</v>
      </c>
      <c r="O422" s="5">
        <v>20.5</v>
      </c>
      <c r="P422" s="2" t="s">
        <v>1643</v>
      </c>
      <c r="Q422" s="6">
        <v>100</v>
      </c>
      <c r="R422" s="6">
        <v>0.75</v>
      </c>
      <c r="S422" s="5">
        <v>-80.900000000000006</v>
      </c>
      <c r="T422" s="7">
        <v>256.53500000000003</v>
      </c>
      <c r="U422" s="5">
        <v>-23.1</v>
      </c>
      <c r="V422" s="6">
        <v>-1.36</v>
      </c>
      <c r="W422" s="6">
        <v>1.25</v>
      </c>
      <c r="X422" s="6">
        <v>1.25</v>
      </c>
      <c r="Y422" s="6">
        <v>1.25</v>
      </c>
      <c r="Z422" s="6">
        <v>1.25</v>
      </c>
      <c r="AA422" s="6">
        <v>72.900000000000006</v>
      </c>
      <c r="AB422" s="7">
        <v>13.398</v>
      </c>
      <c r="AC422" s="10">
        <v>1634.37</v>
      </c>
    </row>
    <row r="423" spans="1:29" ht="156" x14ac:dyDescent="0.15">
      <c r="A423" s="3">
        <f>DATE(1991,1,23)</f>
        <v>33261</v>
      </c>
      <c r="B423" s="2"/>
      <c r="C423" s="2" t="s">
        <v>141</v>
      </c>
      <c r="D423" s="2" t="s">
        <v>1644</v>
      </c>
      <c r="E423" s="2" t="s">
        <v>1645</v>
      </c>
      <c r="F423" s="4">
        <v>7011</v>
      </c>
      <c r="G423" s="2" t="s">
        <v>269</v>
      </c>
      <c r="H423" s="2" t="s">
        <v>34</v>
      </c>
      <c r="I423" s="2" t="s">
        <v>143</v>
      </c>
      <c r="J423" s="2" t="s">
        <v>144</v>
      </c>
      <c r="K423" s="2" t="s">
        <v>53</v>
      </c>
      <c r="L423" s="2" t="s">
        <v>139</v>
      </c>
      <c r="M423" s="2"/>
      <c r="N423" s="2"/>
      <c r="O423" s="2"/>
      <c r="P423" s="2" t="s">
        <v>1646</v>
      </c>
      <c r="Q423" s="2"/>
      <c r="R423" s="2"/>
      <c r="S423" s="5">
        <v>2.2000000000000002</v>
      </c>
      <c r="T423" s="7">
        <v>78.518000000000001</v>
      </c>
      <c r="U423" s="5">
        <v>1.9</v>
      </c>
      <c r="V423" s="9">
        <v>3.3599999999999998E-2</v>
      </c>
      <c r="W423" s="7">
        <v>10.125</v>
      </c>
      <c r="X423" s="6">
        <v>10.25</v>
      </c>
      <c r="Y423" s="5">
        <v>13.5</v>
      </c>
      <c r="Z423" s="7">
        <v>14.125</v>
      </c>
      <c r="AA423" s="2"/>
      <c r="AB423" s="2" t="s">
        <v>47</v>
      </c>
      <c r="AC423" s="2"/>
    </row>
    <row r="424" spans="1:29" ht="117" x14ac:dyDescent="0.15">
      <c r="A424" s="3">
        <f>DATE(1991,1,24)</f>
        <v>33262</v>
      </c>
      <c r="B424" s="3">
        <f>DATE(1991,7,12)</f>
        <v>33431</v>
      </c>
      <c r="C424" s="2" t="s">
        <v>95</v>
      </c>
      <c r="D424" s="2" t="s">
        <v>1647</v>
      </c>
      <c r="E424" s="2" t="s">
        <v>58</v>
      </c>
      <c r="F424" s="4">
        <v>4512</v>
      </c>
      <c r="G424" s="2" t="s">
        <v>59</v>
      </c>
      <c r="H424" s="2" t="s">
        <v>34</v>
      </c>
      <c r="I424" s="2" t="s">
        <v>1648</v>
      </c>
      <c r="J424" s="2" t="s">
        <v>58</v>
      </c>
      <c r="K424" s="2" t="s">
        <v>59</v>
      </c>
      <c r="L424" s="2" t="s">
        <v>34</v>
      </c>
      <c r="M424" s="7">
        <v>22.736000000000001</v>
      </c>
      <c r="N424" s="4">
        <v>10</v>
      </c>
      <c r="O424" s="6">
        <v>9.75</v>
      </c>
      <c r="P424" s="2" t="s">
        <v>1649</v>
      </c>
      <c r="Q424" s="6">
        <v>100</v>
      </c>
      <c r="R424" s="6">
        <v>10.199999999999999</v>
      </c>
      <c r="S424" s="5">
        <v>4.9000000000000004</v>
      </c>
      <c r="T424" s="7">
        <v>4.8979999999999997</v>
      </c>
      <c r="U424" s="5">
        <v>5.7</v>
      </c>
      <c r="V424" s="6">
        <v>1.38</v>
      </c>
      <c r="W424" s="6">
        <v>6.25</v>
      </c>
      <c r="X424" s="4">
        <v>6</v>
      </c>
      <c r="Y424" s="5">
        <v>6.5</v>
      </c>
      <c r="Z424" s="6">
        <v>6.75</v>
      </c>
      <c r="AA424" s="6">
        <v>3.39</v>
      </c>
      <c r="AB424" s="7">
        <v>15.007</v>
      </c>
      <c r="AC424" s="2"/>
    </row>
    <row r="425" spans="1:29" ht="52" x14ac:dyDescent="0.15">
      <c r="A425" s="3">
        <f>DATE(1991,1,25)</f>
        <v>33263</v>
      </c>
      <c r="B425" s="2"/>
      <c r="C425" s="2" t="s">
        <v>141</v>
      </c>
      <c r="D425" s="2" t="s">
        <v>1650</v>
      </c>
      <c r="E425" s="2" t="s">
        <v>1651</v>
      </c>
      <c r="F425" s="4">
        <v>7389</v>
      </c>
      <c r="G425" s="2" t="s">
        <v>223</v>
      </c>
      <c r="H425" s="2" t="s">
        <v>34</v>
      </c>
      <c r="I425" s="2" t="s">
        <v>143</v>
      </c>
      <c r="J425" s="2" t="s">
        <v>144</v>
      </c>
      <c r="K425" s="2" t="s">
        <v>53</v>
      </c>
      <c r="L425" s="2" t="s">
        <v>139</v>
      </c>
      <c r="M425" s="2"/>
      <c r="N425" s="2"/>
      <c r="O425" s="2"/>
      <c r="P425" s="2" t="s">
        <v>1652</v>
      </c>
      <c r="Q425" s="2"/>
      <c r="R425" s="2"/>
      <c r="S425" s="5">
        <v>-24</v>
      </c>
      <c r="T425" s="2"/>
      <c r="U425" s="5">
        <v>-0.1</v>
      </c>
      <c r="V425" s="2"/>
      <c r="W425" s="7">
        <v>3.125</v>
      </c>
      <c r="X425" s="7">
        <v>3.125</v>
      </c>
      <c r="Y425" s="6">
        <v>3.25</v>
      </c>
      <c r="Z425" s="4">
        <v>3</v>
      </c>
      <c r="AA425" s="2"/>
      <c r="AB425" s="2" t="s">
        <v>86</v>
      </c>
      <c r="AC425" s="2"/>
    </row>
    <row r="426" spans="1:29" ht="143" x14ac:dyDescent="0.15">
      <c r="A426" s="3">
        <f>DATE(1991,1,25)</f>
        <v>33263</v>
      </c>
      <c r="B426" s="3">
        <f>DATE(1991,5,17)</f>
        <v>33375</v>
      </c>
      <c r="C426" s="2" t="s">
        <v>95</v>
      </c>
      <c r="D426" s="2" t="s">
        <v>1653</v>
      </c>
      <c r="E426" s="2" t="s">
        <v>1654</v>
      </c>
      <c r="F426" s="4">
        <v>8011</v>
      </c>
      <c r="G426" s="2" t="s">
        <v>454</v>
      </c>
      <c r="H426" s="2" t="s">
        <v>34</v>
      </c>
      <c r="I426" s="2" t="s">
        <v>51</v>
      </c>
      <c r="J426" s="2" t="s">
        <v>52</v>
      </c>
      <c r="K426" s="2" t="s">
        <v>53</v>
      </c>
      <c r="L426" s="2" t="s">
        <v>34</v>
      </c>
      <c r="M426" s="2"/>
      <c r="N426" s="2"/>
      <c r="O426" s="2"/>
      <c r="P426" s="2" t="s">
        <v>1655</v>
      </c>
      <c r="Q426" s="6">
        <v>23.68</v>
      </c>
      <c r="R426" s="6">
        <v>8.25</v>
      </c>
      <c r="S426" s="5">
        <v>1.4</v>
      </c>
      <c r="T426" s="7">
        <v>4.6479999999999997</v>
      </c>
      <c r="U426" s="5">
        <v>3.8</v>
      </c>
      <c r="V426" s="6">
        <v>0.27</v>
      </c>
      <c r="W426" s="7">
        <v>5.375</v>
      </c>
      <c r="X426" s="7">
        <v>5.375</v>
      </c>
      <c r="Y426" s="4">
        <v>5</v>
      </c>
      <c r="Z426" s="6">
        <v>5.75</v>
      </c>
      <c r="AA426" s="6">
        <v>6.6</v>
      </c>
      <c r="AB426" s="7">
        <v>15.622</v>
      </c>
      <c r="AC426" s="2"/>
    </row>
    <row r="427" spans="1:29" ht="117" x14ac:dyDescent="0.15">
      <c r="A427" s="3">
        <f>DATE(1991,1,25)</f>
        <v>33263</v>
      </c>
      <c r="B427" s="2"/>
      <c r="C427" s="2" t="s">
        <v>82</v>
      </c>
      <c r="D427" s="2" t="s">
        <v>1656</v>
      </c>
      <c r="E427" s="2" t="s">
        <v>1657</v>
      </c>
      <c r="F427" s="4">
        <v>2329</v>
      </c>
      <c r="G427" s="2" t="s">
        <v>708</v>
      </c>
      <c r="H427" s="2" t="s">
        <v>34</v>
      </c>
      <c r="I427" s="2" t="s">
        <v>51</v>
      </c>
      <c r="J427" s="2" t="s">
        <v>52</v>
      </c>
      <c r="K427" s="2" t="s">
        <v>53</v>
      </c>
      <c r="L427" s="2" t="s">
        <v>34</v>
      </c>
      <c r="M427" s="2"/>
      <c r="N427" s="2"/>
      <c r="O427" s="2"/>
      <c r="P427" s="2" t="s">
        <v>1658</v>
      </c>
      <c r="Q427" s="2"/>
      <c r="R427" s="6">
        <v>1.88</v>
      </c>
      <c r="S427" s="5">
        <v>0.1</v>
      </c>
      <c r="T427" s="2"/>
      <c r="U427" s="5">
        <v>5.9</v>
      </c>
      <c r="V427" s="6">
        <v>0.01</v>
      </c>
      <c r="W427" s="6">
        <v>1.25</v>
      </c>
      <c r="X427" s="7">
        <v>1.625</v>
      </c>
      <c r="Y427" s="7">
        <v>1.875</v>
      </c>
      <c r="Z427" s="7">
        <v>1.875</v>
      </c>
      <c r="AA427" s="6">
        <v>4.24</v>
      </c>
      <c r="AB427" s="7">
        <v>0.73399999999999999</v>
      </c>
      <c r="AC427" s="2"/>
    </row>
    <row r="428" spans="1:29" ht="143" x14ac:dyDescent="0.15">
      <c r="A428" s="3">
        <f>DATE(1991,1,28)</f>
        <v>33266</v>
      </c>
      <c r="B428" s="2"/>
      <c r="C428" s="2" t="s">
        <v>30</v>
      </c>
      <c r="D428" s="2" t="s">
        <v>1659</v>
      </c>
      <c r="E428" s="2" t="s">
        <v>1387</v>
      </c>
      <c r="F428" s="4">
        <v>4923</v>
      </c>
      <c r="G428" s="2" t="s">
        <v>439</v>
      </c>
      <c r="H428" s="2" t="s">
        <v>34</v>
      </c>
      <c r="I428" s="2" t="s">
        <v>1660</v>
      </c>
      <c r="J428" s="2" t="s">
        <v>441</v>
      </c>
      <c r="K428" s="2" t="s">
        <v>439</v>
      </c>
      <c r="L428" s="2" t="s">
        <v>34</v>
      </c>
      <c r="M428" s="2"/>
      <c r="N428" s="7">
        <v>42.625</v>
      </c>
      <c r="O428" s="7">
        <v>41.875</v>
      </c>
      <c r="P428" s="2" t="s">
        <v>1661</v>
      </c>
      <c r="Q428" s="2"/>
      <c r="R428" s="6">
        <v>35.18</v>
      </c>
      <c r="S428" s="5">
        <v>7.4</v>
      </c>
      <c r="T428" s="7">
        <v>18.622</v>
      </c>
      <c r="U428" s="5">
        <v>6.1</v>
      </c>
      <c r="V428" s="9">
        <v>0.93330000000000002</v>
      </c>
      <c r="W428" s="4">
        <v>23</v>
      </c>
      <c r="X428" s="6">
        <v>22.25</v>
      </c>
      <c r="Y428" s="7">
        <v>32.875</v>
      </c>
      <c r="Z428" s="4">
        <v>34</v>
      </c>
      <c r="AA428" s="6">
        <v>3.6</v>
      </c>
      <c r="AB428" s="7">
        <v>23.166</v>
      </c>
      <c r="AC428" s="6">
        <v>21.88</v>
      </c>
    </row>
    <row r="429" spans="1:29" ht="143" x14ac:dyDescent="0.15">
      <c r="A429" s="3">
        <f>DATE(1991,1,29)</f>
        <v>33267</v>
      </c>
      <c r="B429" s="3">
        <f>DATE(1991,5,29)</f>
        <v>33387</v>
      </c>
      <c r="C429" s="2" t="s">
        <v>95</v>
      </c>
      <c r="D429" s="2" t="s">
        <v>1662</v>
      </c>
      <c r="E429" s="2" t="s">
        <v>1663</v>
      </c>
      <c r="F429" s="4">
        <v>1041</v>
      </c>
      <c r="G429" s="2" t="s">
        <v>166</v>
      </c>
      <c r="H429" s="2" t="s">
        <v>34</v>
      </c>
      <c r="I429" s="2" t="s">
        <v>1664</v>
      </c>
      <c r="J429" s="2" t="s">
        <v>1665</v>
      </c>
      <c r="K429" s="2" t="s">
        <v>166</v>
      </c>
      <c r="L429" s="2" t="s">
        <v>34</v>
      </c>
      <c r="M429" s="2"/>
      <c r="N429" s="5">
        <v>6.5</v>
      </c>
      <c r="O429" s="7">
        <v>6.125</v>
      </c>
      <c r="P429" s="2" t="s">
        <v>1666</v>
      </c>
      <c r="Q429" s="6">
        <v>100</v>
      </c>
      <c r="R429" s="6">
        <v>1.77</v>
      </c>
      <c r="S429" s="5">
        <v>10.5</v>
      </c>
      <c r="T429" s="7">
        <v>-0.86899999999999999</v>
      </c>
      <c r="U429" s="5">
        <v>0.5</v>
      </c>
      <c r="V429" s="6">
        <v>0.54</v>
      </c>
      <c r="W429" s="7">
        <v>1.125</v>
      </c>
      <c r="X429" s="7">
        <v>1.125</v>
      </c>
      <c r="Y429" s="7">
        <v>1.5629999999999999</v>
      </c>
      <c r="Z429" s="7">
        <v>1.5629999999999999</v>
      </c>
      <c r="AA429" s="6">
        <v>20.87</v>
      </c>
      <c r="AB429" s="2" t="s">
        <v>86</v>
      </c>
      <c r="AC429" s="6">
        <v>99.73</v>
      </c>
    </row>
    <row r="430" spans="1:29" ht="78" x14ac:dyDescent="0.15">
      <c r="A430" s="3">
        <f>DATE(1991,1,30)</f>
        <v>33268</v>
      </c>
      <c r="B430" s="2"/>
      <c r="C430" s="2" t="s">
        <v>141</v>
      </c>
      <c r="D430" s="2" t="s">
        <v>1667</v>
      </c>
      <c r="E430" s="2" t="s">
        <v>1668</v>
      </c>
      <c r="F430" s="4">
        <v>3565</v>
      </c>
      <c r="G430" s="2" t="s">
        <v>300</v>
      </c>
      <c r="H430" s="2" t="s">
        <v>34</v>
      </c>
      <c r="I430" s="2" t="s">
        <v>143</v>
      </c>
      <c r="J430" s="2" t="s">
        <v>144</v>
      </c>
      <c r="K430" s="2" t="s">
        <v>53</v>
      </c>
      <c r="L430" s="2" t="s">
        <v>139</v>
      </c>
      <c r="M430" s="2"/>
      <c r="N430" s="2"/>
      <c r="O430" s="2"/>
      <c r="P430" s="2" t="s">
        <v>1669</v>
      </c>
      <c r="Q430" s="2"/>
      <c r="R430" s="2"/>
      <c r="S430" s="5">
        <v>2</v>
      </c>
      <c r="T430" s="2"/>
      <c r="U430" s="2"/>
      <c r="V430" s="2"/>
      <c r="W430" s="7">
        <v>3.375</v>
      </c>
      <c r="X430" s="4">
        <v>3</v>
      </c>
      <c r="Y430" s="7">
        <v>3.125</v>
      </c>
      <c r="Z430" s="7">
        <v>3.125</v>
      </c>
      <c r="AA430" s="2"/>
      <c r="AB430" s="2" t="s">
        <v>47</v>
      </c>
      <c r="AC430" s="2"/>
    </row>
    <row r="431" spans="1:29" ht="117" x14ac:dyDescent="0.15">
      <c r="A431" s="3">
        <f>DATE(1991,1,31)</f>
        <v>33269</v>
      </c>
      <c r="B431" s="2"/>
      <c r="C431" s="2" t="s">
        <v>82</v>
      </c>
      <c r="D431" s="2" t="s">
        <v>1244</v>
      </c>
      <c r="E431" s="2" t="s">
        <v>1245</v>
      </c>
      <c r="F431" s="4">
        <v>3942</v>
      </c>
      <c r="G431" s="2" t="s">
        <v>112</v>
      </c>
      <c r="H431" s="2" t="s">
        <v>34</v>
      </c>
      <c r="I431" s="2" t="s">
        <v>1670</v>
      </c>
      <c r="J431" s="2" t="s">
        <v>1671</v>
      </c>
      <c r="K431" s="2" t="s">
        <v>112</v>
      </c>
      <c r="L431" s="2" t="s">
        <v>34</v>
      </c>
      <c r="M431" s="2"/>
      <c r="N431" s="7">
        <v>21.625</v>
      </c>
      <c r="O431" s="4">
        <v>22</v>
      </c>
      <c r="P431" s="2" t="s">
        <v>1672</v>
      </c>
      <c r="Q431" s="2"/>
      <c r="R431" s="2"/>
      <c r="S431" s="5">
        <v>-43.4</v>
      </c>
      <c r="T431" s="5">
        <v>92</v>
      </c>
      <c r="U431" s="5">
        <v>10.5</v>
      </c>
      <c r="V431" s="6">
        <v>-2.98</v>
      </c>
      <c r="W431" s="7">
        <v>3.875</v>
      </c>
      <c r="X431" s="5">
        <v>4.5</v>
      </c>
      <c r="Y431" s="5">
        <v>6.5</v>
      </c>
      <c r="Z431" s="6">
        <v>6.25</v>
      </c>
      <c r="AA431" s="6">
        <v>15.3</v>
      </c>
      <c r="AB431" s="2" t="s">
        <v>47</v>
      </c>
      <c r="AC431" s="6">
        <v>197.92</v>
      </c>
    </row>
    <row r="432" spans="1:29" ht="143" x14ac:dyDescent="0.15">
      <c r="A432" s="3">
        <f>DATE(1991,1,31)</f>
        <v>33269</v>
      </c>
      <c r="B432" s="3">
        <f>DATE(1991,8,2)</f>
        <v>33452</v>
      </c>
      <c r="C432" s="2" t="s">
        <v>95</v>
      </c>
      <c r="D432" s="2" t="s">
        <v>1244</v>
      </c>
      <c r="E432" s="2" t="s">
        <v>1245</v>
      </c>
      <c r="F432" s="4">
        <v>3942</v>
      </c>
      <c r="G432" s="2" t="s">
        <v>112</v>
      </c>
      <c r="H432" s="2" t="s">
        <v>34</v>
      </c>
      <c r="I432" s="2" t="s">
        <v>1291</v>
      </c>
      <c r="J432" s="2" t="s">
        <v>1292</v>
      </c>
      <c r="K432" s="2" t="s">
        <v>112</v>
      </c>
      <c r="L432" s="2" t="s">
        <v>34</v>
      </c>
      <c r="M432" s="2"/>
      <c r="N432" s="6">
        <v>18.75</v>
      </c>
      <c r="O432" s="4">
        <v>20</v>
      </c>
      <c r="P432" s="2" t="s">
        <v>1673</v>
      </c>
      <c r="Q432" s="6">
        <v>100</v>
      </c>
      <c r="R432" s="6">
        <v>5</v>
      </c>
      <c r="S432" s="5">
        <v>-43.4</v>
      </c>
      <c r="T432" s="5">
        <v>92</v>
      </c>
      <c r="U432" s="5">
        <v>10.5</v>
      </c>
      <c r="V432" s="6">
        <v>-2.98</v>
      </c>
      <c r="W432" s="7">
        <v>3.875</v>
      </c>
      <c r="X432" s="7">
        <v>5.125</v>
      </c>
      <c r="Y432" s="7">
        <v>4.375</v>
      </c>
      <c r="Z432" s="5">
        <v>4.5</v>
      </c>
      <c r="AA432" s="6">
        <v>14.61</v>
      </c>
      <c r="AB432" s="7">
        <v>10.246</v>
      </c>
      <c r="AC432" s="5">
        <v>289.3</v>
      </c>
    </row>
    <row r="433" spans="1:29" ht="143" x14ac:dyDescent="0.15">
      <c r="A433" s="3">
        <f>DATE(1991,2,6)</f>
        <v>33275</v>
      </c>
      <c r="B433" s="3">
        <f>DATE(1991,7,3)</f>
        <v>33422</v>
      </c>
      <c r="C433" s="2" t="s">
        <v>95</v>
      </c>
      <c r="D433" s="2" t="s">
        <v>804</v>
      </c>
      <c r="E433" s="2" t="s">
        <v>177</v>
      </c>
      <c r="F433" s="4">
        <v>1311</v>
      </c>
      <c r="G433" s="2" t="s">
        <v>148</v>
      </c>
      <c r="H433" s="2" t="s">
        <v>34</v>
      </c>
      <c r="I433" s="2" t="s">
        <v>805</v>
      </c>
      <c r="J433" s="2" t="s">
        <v>177</v>
      </c>
      <c r="K433" s="2" t="s">
        <v>148</v>
      </c>
      <c r="L433" s="2" t="s">
        <v>34</v>
      </c>
      <c r="M433" s="2"/>
      <c r="N433" s="2"/>
      <c r="O433" s="2"/>
      <c r="P433" s="2" t="s">
        <v>1674</v>
      </c>
      <c r="Q433" s="6">
        <v>48.28</v>
      </c>
      <c r="R433" s="6">
        <v>40</v>
      </c>
      <c r="S433" s="5">
        <v>30.9</v>
      </c>
      <c r="T433" s="2"/>
      <c r="U433" s="5">
        <v>14.4</v>
      </c>
      <c r="V433" s="6">
        <v>1.08</v>
      </c>
      <c r="W433" s="4">
        <v>33</v>
      </c>
      <c r="X433" s="6">
        <v>33.75</v>
      </c>
      <c r="Y433" s="6">
        <v>38.75</v>
      </c>
      <c r="Z433" s="7">
        <v>39.375</v>
      </c>
      <c r="AA433" s="6">
        <v>26.37</v>
      </c>
      <c r="AB433" s="7">
        <v>29.1</v>
      </c>
      <c r="AC433" s="2"/>
    </row>
    <row r="434" spans="1:29" ht="130" x14ac:dyDescent="0.15">
      <c r="A434" s="3">
        <f>DATE(1991,2,6)</f>
        <v>33275</v>
      </c>
      <c r="B434" s="2"/>
      <c r="C434" s="2" t="s">
        <v>39</v>
      </c>
      <c r="D434" s="2" t="s">
        <v>305</v>
      </c>
      <c r="E434" s="2" t="s">
        <v>306</v>
      </c>
      <c r="F434" s="4">
        <v>7822</v>
      </c>
      <c r="G434" s="2" t="s">
        <v>42</v>
      </c>
      <c r="H434" s="2" t="s">
        <v>34</v>
      </c>
      <c r="I434" s="2" t="s">
        <v>1675</v>
      </c>
      <c r="J434" s="2" t="s">
        <v>1676</v>
      </c>
      <c r="K434" s="2" t="s">
        <v>137</v>
      </c>
      <c r="L434" s="2" t="s">
        <v>99</v>
      </c>
      <c r="M434" s="2"/>
      <c r="N434" s="2"/>
      <c r="O434" s="2"/>
      <c r="P434" s="2" t="s">
        <v>1677</v>
      </c>
      <c r="Q434" s="2"/>
      <c r="R434" s="2"/>
      <c r="S434" s="5">
        <v>15.1</v>
      </c>
      <c r="T434" s="7">
        <v>350.17099999999999</v>
      </c>
      <c r="U434" s="5">
        <v>10.3</v>
      </c>
      <c r="V434" s="6">
        <v>0.67</v>
      </c>
      <c r="W434" s="7">
        <v>17.625</v>
      </c>
      <c r="X434" s="6">
        <v>21.75</v>
      </c>
      <c r="Y434" s="5">
        <v>22.5</v>
      </c>
      <c r="Z434" s="5">
        <v>22.5</v>
      </c>
      <c r="AA434" s="6">
        <v>22.5</v>
      </c>
      <c r="AB434" s="2" t="s">
        <v>47</v>
      </c>
      <c r="AC434" s="10">
        <v>4337.16</v>
      </c>
    </row>
    <row r="435" spans="1:29" ht="117" x14ac:dyDescent="0.15">
      <c r="A435" s="3">
        <f>DATE(1991,2,6)</f>
        <v>33275</v>
      </c>
      <c r="B435" s="2"/>
      <c r="C435" s="2" t="s">
        <v>30</v>
      </c>
      <c r="D435" s="2" t="s">
        <v>1678</v>
      </c>
      <c r="E435" s="2" t="s">
        <v>1679</v>
      </c>
      <c r="F435" s="4">
        <v>3669</v>
      </c>
      <c r="G435" s="2" t="s">
        <v>921</v>
      </c>
      <c r="H435" s="2" t="s">
        <v>34</v>
      </c>
      <c r="I435" s="2" t="s">
        <v>51</v>
      </c>
      <c r="J435" s="2" t="s">
        <v>52</v>
      </c>
      <c r="K435" s="2" t="s">
        <v>53</v>
      </c>
      <c r="L435" s="2" t="s">
        <v>34</v>
      </c>
      <c r="M435" s="2"/>
      <c r="N435" s="2"/>
      <c r="O435" s="2"/>
      <c r="P435" s="2" t="s">
        <v>1680</v>
      </c>
      <c r="Q435" s="2"/>
      <c r="R435" s="2"/>
      <c r="S435" s="5">
        <v>0.1</v>
      </c>
      <c r="T435" s="7">
        <v>2.6840000000000002</v>
      </c>
      <c r="U435" s="5">
        <v>4.9000000000000004</v>
      </c>
      <c r="V435" s="6">
        <v>7.0000000000000007E-2</v>
      </c>
      <c r="W435" s="7">
        <v>4.375</v>
      </c>
      <c r="X435" s="5">
        <v>4.5</v>
      </c>
      <c r="Y435" s="6">
        <v>4.25</v>
      </c>
      <c r="Z435" s="7">
        <v>5.625</v>
      </c>
      <c r="AA435" s="2"/>
      <c r="AB435" s="2" t="s">
        <v>47</v>
      </c>
      <c r="AC435" s="2"/>
    </row>
    <row r="436" spans="1:29" ht="117" x14ac:dyDescent="0.15">
      <c r="A436" s="3">
        <f>DATE(1991,2,11)</f>
        <v>33280</v>
      </c>
      <c r="B436" s="2"/>
      <c r="C436" s="2" t="s">
        <v>30</v>
      </c>
      <c r="D436" s="2" t="s">
        <v>1029</v>
      </c>
      <c r="E436" s="2" t="s">
        <v>1030</v>
      </c>
      <c r="F436" s="4">
        <v>5945</v>
      </c>
      <c r="G436" s="2" t="s">
        <v>73</v>
      </c>
      <c r="H436" s="2" t="s">
        <v>34</v>
      </c>
      <c r="I436" s="2" t="s">
        <v>1681</v>
      </c>
      <c r="J436" s="2" t="s">
        <v>1682</v>
      </c>
      <c r="K436" s="2" t="s">
        <v>73</v>
      </c>
      <c r="L436" s="2" t="s">
        <v>34</v>
      </c>
      <c r="M436" s="2"/>
      <c r="N436" s="7">
        <v>1.125</v>
      </c>
      <c r="O436" s="5">
        <v>1.5</v>
      </c>
      <c r="P436" s="2" t="s">
        <v>1683</v>
      </c>
      <c r="Q436" s="2"/>
      <c r="R436" s="2"/>
      <c r="S436" s="5">
        <v>-10.9</v>
      </c>
      <c r="T436" s="7">
        <v>19.817</v>
      </c>
      <c r="U436" s="5">
        <v>16</v>
      </c>
      <c r="V436" s="6">
        <v>-0.89</v>
      </c>
      <c r="W436" s="7">
        <v>1.375</v>
      </c>
      <c r="X436" s="5">
        <v>1.5</v>
      </c>
      <c r="Y436" s="7">
        <v>1.375</v>
      </c>
      <c r="Z436" s="6">
        <v>1.25</v>
      </c>
      <c r="AA436" s="6">
        <v>11.23</v>
      </c>
      <c r="AB436" s="2" t="s">
        <v>47</v>
      </c>
      <c r="AC436" s="6">
        <v>24.11</v>
      </c>
    </row>
    <row r="437" spans="1:29" ht="130" x14ac:dyDescent="0.15">
      <c r="A437" s="3">
        <f>DATE(1991,2,11)</f>
        <v>33280</v>
      </c>
      <c r="B437" s="2"/>
      <c r="C437" s="2" t="s">
        <v>30</v>
      </c>
      <c r="D437" s="2" t="s">
        <v>1684</v>
      </c>
      <c r="E437" s="2" t="s">
        <v>1685</v>
      </c>
      <c r="F437" s="4">
        <v>3452</v>
      </c>
      <c r="G437" s="2" t="s">
        <v>163</v>
      </c>
      <c r="H437" s="2" t="s">
        <v>34</v>
      </c>
      <c r="I437" s="2" t="s">
        <v>1686</v>
      </c>
      <c r="J437" s="2" t="s">
        <v>844</v>
      </c>
      <c r="K437" s="2" t="s">
        <v>109</v>
      </c>
      <c r="L437" s="2" t="s">
        <v>303</v>
      </c>
      <c r="M437" s="2"/>
      <c r="N437" s="2"/>
      <c r="O437" s="2"/>
      <c r="P437" s="2" t="s">
        <v>1687</v>
      </c>
      <c r="Q437" s="2"/>
      <c r="R437" s="6">
        <v>14.25</v>
      </c>
      <c r="S437" s="5">
        <v>-4.9000000000000004</v>
      </c>
      <c r="T437" s="7">
        <v>81.394000000000005</v>
      </c>
      <c r="U437" s="5">
        <v>7</v>
      </c>
      <c r="V437" s="9">
        <v>-0.2969</v>
      </c>
      <c r="W437" s="7">
        <v>9.125</v>
      </c>
      <c r="X437" s="6">
        <v>9.75</v>
      </c>
      <c r="Y437" s="6">
        <v>10.25</v>
      </c>
      <c r="Z437" s="7">
        <v>9.875</v>
      </c>
      <c r="AA437" s="6">
        <v>16.5</v>
      </c>
      <c r="AB437" s="7">
        <v>15.696</v>
      </c>
      <c r="AC437" s="2"/>
    </row>
    <row r="438" spans="1:29" ht="39" x14ac:dyDescent="0.15">
      <c r="A438" s="3">
        <f>DATE(1991,2,11)</f>
        <v>33280</v>
      </c>
      <c r="B438" s="3">
        <f>DATE(1992,1,3)</f>
        <v>33606</v>
      </c>
      <c r="C438" s="2" t="s">
        <v>95</v>
      </c>
      <c r="D438" s="2" t="s">
        <v>1688</v>
      </c>
      <c r="E438" s="2" t="s">
        <v>1689</v>
      </c>
      <c r="F438" s="4">
        <v>8742</v>
      </c>
      <c r="G438" s="2" t="s">
        <v>223</v>
      </c>
      <c r="H438" s="2" t="s">
        <v>34</v>
      </c>
      <c r="I438" s="2" t="s">
        <v>1690</v>
      </c>
      <c r="J438" s="2" t="s">
        <v>1691</v>
      </c>
      <c r="K438" s="2" t="s">
        <v>269</v>
      </c>
      <c r="L438" s="2" t="s">
        <v>34</v>
      </c>
      <c r="M438" s="2"/>
      <c r="N438" s="2"/>
      <c r="O438" s="2"/>
      <c r="P438" s="2" t="s">
        <v>1692</v>
      </c>
      <c r="Q438" s="6">
        <v>51</v>
      </c>
      <c r="R438" s="2"/>
      <c r="S438" s="5">
        <v>-0.7</v>
      </c>
      <c r="T438" s="2"/>
      <c r="U438" s="5">
        <v>0.1</v>
      </c>
      <c r="V438" s="2"/>
      <c r="W438" s="7">
        <v>1.375</v>
      </c>
      <c r="X438" s="9">
        <v>1.3125</v>
      </c>
      <c r="Y438" s="9">
        <v>1.3125</v>
      </c>
      <c r="Z438" s="9">
        <v>1.3125</v>
      </c>
      <c r="AA438" s="2"/>
      <c r="AB438" s="2" t="s">
        <v>86</v>
      </c>
      <c r="AC438" s="2"/>
    </row>
    <row r="439" spans="1:29" ht="104" x14ac:dyDescent="0.15">
      <c r="A439" s="3">
        <f>DATE(1991,2,11)</f>
        <v>33280</v>
      </c>
      <c r="B439" s="3">
        <f>DATE(1991,2,27)</f>
        <v>33296</v>
      </c>
      <c r="C439" s="2" t="s">
        <v>95</v>
      </c>
      <c r="D439" s="2" t="s">
        <v>1693</v>
      </c>
      <c r="E439" s="2" t="s">
        <v>302</v>
      </c>
      <c r="F439" s="4">
        <v>2899</v>
      </c>
      <c r="G439" s="2" t="s">
        <v>98</v>
      </c>
      <c r="H439" s="2" t="s">
        <v>34</v>
      </c>
      <c r="I439" s="2" t="s">
        <v>1694</v>
      </c>
      <c r="J439" s="2" t="s">
        <v>1695</v>
      </c>
      <c r="K439" s="2" t="s">
        <v>98</v>
      </c>
      <c r="L439" s="2" t="s">
        <v>34</v>
      </c>
      <c r="M439" s="2"/>
      <c r="N439" s="2"/>
      <c r="O439" s="2"/>
      <c r="P439" s="2" t="s">
        <v>1696</v>
      </c>
      <c r="Q439" s="2"/>
      <c r="R439" s="2"/>
      <c r="S439" s="2"/>
      <c r="T439" s="2"/>
      <c r="U439" s="5">
        <v>0.4</v>
      </c>
      <c r="V439" s="2"/>
      <c r="W439" s="5">
        <v>4.5</v>
      </c>
      <c r="X439" s="6">
        <v>3.75</v>
      </c>
      <c r="Y439" s="7">
        <v>4.375</v>
      </c>
      <c r="Z439" s="6">
        <v>4.25</v>
      </c>
      <c r="AA439" s="6">
        <v>12</v>
      </c>
      <c r="AB439" s="2" t="s">
        <v>47</v>
      </c>
      <c r="AC439" s="2"/>
    </row>
    <row r="440" spans="1:29" ht="156" x14ac:dyDescent="0.15">
      <c r="A440" s="3">
        <f t="shared" ref="A440:A445" si="1">DATE(1991,2,12)</f>
        <v>33281</v>
      </c>
      <c r="B440" s="2"/>
      <c r="C440" s="2" t="s">
        <v>30</v>
      </c>
      <c r="D440" s="2" t="s">
        <v>1557</v>
      </c>
      <c r="E440" s="2" t="s">
        <v>1181</v>
      </c>
      <c r="F440" s="4">
        <v>6021</v>
      </c>
      <c r="G440" s="2" t="s">
        <v>37</v>
      </c>
      <c r="H440" s="2" t="s">
        <v>34</v>
      </c>
      <c r="I440" s="2" t="s">
        <v>158</v>
      </c>
      <c r="J440" s="2" t="s">
        <v>159</v>
      </c>
      <c r="K440" s="2" t="s">
        <v>37</v>
      </c>
      <c r="L440" s="2" t="s">
        <v>34</v>
      </c>
      <c r="M440" s="2"/>
      <c r="N440" s="5">
        <v>34.5</v>
      </c>
      <c r="O440" s="7">
        <v>34.875</v>
      </c>
      <c r="P440" s="2" t="s">
        <v>1697</v>
      </c>
      <c r="Q440" s="2"/>
      <c r="R440" s="2"/>
      <c r="S440" s="8">
        <v>-1113.3</v>
      </c>
      <c r="T440" s="2"/>
      <c r="U440" s="5">
        <v>6.2</v>
      </c>
      <c r="V440" s="6">
        <v>-16.11</v>
      </c>
      <c r="W440" s="4">
        <v>18</v>
      </c>
      <c r="X440" s="6">
        <v>17.75</v>
      </c>
      <c r="Y440" s="7">
        <v>17.625</v>
      </c>
      <c r="Z440" s="6">
        <v>18.25</v>
      </c>
      <c r="AA440" s="2"/>
      <c r="AB440" s="2" t="s">
        <v>86</v>
      </c>
      <c r="AC440" s="2"/>
    </row>
    <row r="441" spans="1:29" ht="78" x14ac:dyDescent="0.15">
      <c r="A441" s="3">
        <f t="shared" si="1"/>
        <v>33281</v>
      </c>
      <c r="B441" s="2"/>
      <c r="C441" s="2" t="s">
        <v>30</v>
      </c>
      <c r="D441" s="2" t="s">
        <v>1557</v>
      </c>
      <c r="E441" s="2" t="s">
        <v>1181</v>
      </c>
      <c r="F441" s="4">
        <v>6021</v>
      </c>
      <c r="G441" s="2" t="s">
        <v>37</v>
      </c>
      <c r="H441" s="2" t="s">
        <v>34</v>
      </c>
      <c r="I441" s="2" t="s">
        <v>1698</v>
      </c>
      <c r="J441" s="2" t="s">
        <v>36</v>
      </c>
      <c r="K441" s="2" t="s">
        <v>37</v>
      </c>
      <c r="L441" s="2" t="s">
        <v>34</v>
      </c>
      <c r="M441" s="2"/>
      <c r="N441" s="6">
        <v>35.25</v>
      </c>
      <c r="O441" s="7">
        <v>34.875</v>
      </c>
      <c r="P441" s="2" t="s">
        <v>1699</v>
      </c>
      <c r="Q441" s="2"/>
      <c r="R441" s="2"/>
      <c r="S441" s="8">
        <v>-1113.3</v>
      </c>
      <c r="T441" s="2"/>
      <c r="U441" s="5">
        <v>6.2</v>
      </c>
      <c r="V441" s="6">
        <v>-16.11</v>
      </c>
      <c r="W441" s="4">
        <v>18</v>
      </c>
      <c r="X441" s="6">
        <v>17.75</v>
      </c>
      <c r="Y441" s="7">
        <v>17.625</v>
      </c>
      <c r="Z441" s="6">
        <v>18.25</v>
      </c>
      <c r="AA441" s="2"/>
      <c r="AB441" s="2" t="s">
        <v>86</v>
      </c>
      <c r="AC441" s="2"/>
    </row>
    <row r="442" spans="1:29" ht="143" x14ac:dyDescent="0.15">
      <c r="A442" s="3">
        <f t="shared" si="1"/>
        <v>33281</v>
      </c>
      <c r="B442" s="2"/>
      <c r="C442" s="2" t="s">
        <v>30</v>
      </c>
      <c r="D442" s="2" t="s">
        <v>1700</v>
      </c>
      <c r="E442" s="2" t="s">
        <v>36</v>
      </c>
      <c r="F442" s="4">
        <v>6036</v>
      </c>
      <c r="G442" s="2" t="s">
        <v>33</v>
      </c>
      <c r="H442" s="2" t="s">
        <v>34</v>
      </c>
      <c r="I442" s="2" t="s">
        <v>1701</v>
      </c>
      <c r="J442" s="2" t="s">
        <v>52</v>
      </c>
      <c r="K442" s="2" t="s">
        <v>53</v>
      </c>
      <c r="L442" s="2" t="s">
        <v>34</v>
      </c>
      <c r="M442" s="2"/>
      <c r="N442" s="2"/>
      <c r="O442" s="2"/>
      <c r="P442" s="2" t="s">
        <v>1702</v>
      </c>
      <c r="Q442" s="2"/>
      <c r="R442" s="6">
        <v>25</v>
      </c>
      <c r="S442" s="5">
        <v>5.2</v>
      </c>
      <c r="T442" s="6">
        <v>8.06</v>
      </c>
      <c r="U442" s="5">
        <v>29.8</v>
      </c>
      <c r="V442" s="6">
        <v>1.56</v>
      </c>
      <c r="W442" s="6">
        <v>18.25</v>
      </c>
      <c r="X442" s="4">
        <v>18</v>
      </c>
      <c r="Y442" s="6">
        <v>18.75</v>
      </c>
      <c r="Z442" s="6">
        <v>18.75</v>
      </c>
      <c r="AA442" s="6">
        <v>3.15</v>
      </c>
      <c r="AB442" s="7">
        <v>129.09100000000001</v>
      </c>
      <c r="AC442" s="2"/>
    </row>
    <row r="443" spans="1:29" ht="156" x14ac:dyDescent="0.15">
      <c r="A443" s="3">
        <f t="shared" si="1"/>
        <v>33281</v>
      </c>
      <c r="B443" s="2"/>
      <c r="C443" s="2" t="s">
        <v>30</v>
      </c>
      <c r="D443" s="2" t="s">
        <v>1703</v>
      </c>
      <c r="E443" s="2" t="s">
        <v>1704</v>
      </c>
      <c r="F443" s="4">
        <v>7812</v>
      </c>
      <c r="G443" s="2" t="s">
        <v>42</v>
      </c>
      <c r="H443" s="2" t="s">
        <v>34</v>
      </c>
      <c r="I443" s="2" t="s">
        <v>51</v>
      </c>
      <c r="J443" s="2" t="s">
        <v>52</v>
      </c>
      <c r="K443" s="2" t="s">
        <v>53</v>
      </c>
      <c r="L443" s="2" t="s">
        <v>34</v>
      </c>
      <c r="M443" s="2"/>
      <c r="N443" s="2"/>
      <c r="O443" s="2"/>
      <c r="P443" s="2" t="s">
        <v>1705</v>
      </c>
      <c r="Q443" s="2"/>
      <c r="R443" s="2"/>
      <c r="S443" s="5">
        <v>-92.3</v>
      </c>
      <c r="T443" s="2"/>
      <c r="U443" s="2"/>
      <c r="V443" s="6">
        <v>-5.1100000000000003</v>
      </c>
      <c r="W443" s="4">
        <v>2</v>
      </c>
      <c r="X443" s="6">
        <v>2.25</v>
      </c>
      <c r="Y443" s="7">
        <v>2.4380000000000002</v>
      </c>
      <c r="Z443" s="7">
        <v>3.125</v>
      </c>
      <c r="AA443" s="6">
        <v>18.22</v>
      </c>
      <c r="AB443" s="2" t="s">
        <v>86</v>
      </c>
      <c r="AC443" s="2"/>
    </row>
    <row r="444" spans="1:29" ht="156" x14ac:dyDescent="0.15">
      <c r="A444" s="3">
        <f t="shared" si="1"/>
        <v>33281</v>
      </c>
      <c r="B444" s="3">
        <f>DATE(1991,5,22)</f>
        <v>33380</v>
      </c>
      <c r="C444" s="2" t="s">
        <v>95</v>
      </c>
      <c r="D444" s="2" t="s">
        <v>1703</v>
      </c>
      <c r="E444" s="2" t="s">
        <v>1704</v>
      </c>
      <c r="F444" s="4">
        <v>7812</v>
      </c>
      <c r="G444" s="2" t="s">
        <v>42</v>
      </c>
      <c r="H444" s="2" t="s">
        <v>34</v>
      </c>
      <c r="I444" s="2" t="s">
        <v>1706</v>
      </c>
      <c r="J444" s="2" t="s">
        <v>1707</v>
      </c>
      <c r="K444" s="2" t="s">
        <v>45</v>
      </c>
      <c r="L444" s="2" t="s">
        <v>34</v>
      </c>
      <c r="M444" s="2"/>
      <c r="N444" s="2"/>
      <c r="O444" s="2"/>
      <c r="P444" s="2" t="s">
        <v>1708</v>
      </c>
      <c r="Q444" s="6">
        <v>100</v>
      </c>
      <c r="R444" s="2"/>
      <c r="S444" s="5">
        <v>-92.3</v>
      </c>
      <c r="T444" s="2"/>
      <c r="U444" s="2"/>
      <c r="V444" s="6">
        <v>-5.1100000000000003</v>
      </c>
      <c r="W444" s="4">
        <v>2</v>
      </c>
      <c r="X444" s="6">
        <v>2.25</v>
      </c>
      <c r="Y444" s="7">
        <v>2.4380000000000002</v>
      </c>
      <c r="Z444" s="7">
        <v>3.125</v>
      </c>
      <c r="AA444" s="6">
        <v>18.22</v>
      </c>
      <c r="AB444" s="2" t="s">
        <v>86</v>
      </c>
      <c r="AC444" s="2"/>
    </row>
    <row r="445" spans="1:29" ht="52" x14ac:dyDescent="0.15">
      <c r="A445" s="3">
        <f t="shared" si="1"/>
        <v>33281</v>
      </c>
      <c r="B445" s="2"/>
      <c r="C445" s="2" t="s">
        <v>39</v>
      </c>
      <c r="D445" s="2" t="s">
        <v>1709</v>
      </c>
      <c r="E445" s="2" t="s">
        <v>1710</v>
      </c>
      <c r="F445" s="4">
        <v>3571</v>
      </c>
      <c r="G445" s="2" t="s">
        <v>50</v>
      </c>
      <c r="H445" s="2" t="s">
        <v>34</v>
      </c>
      <c r="I445" s="2" t="s">
        <v>1711</v>
      </c>
      <c r="J445" s="2" t="s">
        <v>1712</v>
      </c>
      <c r="K445" s="2" t="s">
        <v>50</v>
      </c>
      <c r="L445" s="2" t="s">
        <v>34</v>
      </c>
      <c r="M445" s="2"/>
      <c r="N445" s="7">
        <v>73.125</v>
      </c>
      <c r="O445" s="6">
        <v>72.25</v>
      </c>
      <c r="P445" s="2" t="s">
        <v>1713</v>
      </c>
      <c r="Q445" s="2"/>
      <c r="R445" s="2"/>
      <c r="S445" s="5">
        <v>32.299999999999997</v>
      </c>
      <c r="T445" s="7">
        <v>69.262</v>
      </c>
      <c r="U445" s="5">
        <v>3</v>
      </c>
      <c r="V445" s="7">
        <v>0.40300000000000002</v>
      </c>
      <c r="W445" s="6">
        <v>36.75</v>
      </c>
      <c r="X445" s="7">
        <v>37.625</v>
      </c>
      <c r="Y445" s="6">
        <v>41.25</v>
      </c>
      <c r="Z445" s="7">
        <v>39.875</v>
      </c>
      <c r="AA445" s="2"/>
      <c r="AB445" s="2" t="s">
        <v>47</v>
      </c>
      <c r="AC445" s="5">
        <v>434.7</v>
      </c>
    </row>
    <row r="446" spans="1:29" ht="156" x14ac:dyDescent="0.15">
      <c r="A446" s="3">
        <f>DATE(1991,2,19)</f>
        <v>33288</v>
      </c>
      <c r="B446" s="3">
        <f>DATE(1991,8,29)</f>
        <v>33479</v>
      </c>
      <c r="C446" s="2" t="s">
        <v>95</v>
      </c>
      <c r="D446" s="2" t="s">
        <v>1714</v>
      </c>
      <c r="E446" s="2" t="s">
        <v>1715</v>
      </c>
      <c r="F446" s="4">
        <v>3577</v>
      </c>
      <c r="G446" s="2" t="s">
        <v>50</v>
      </c>
      <c r="H446" s="2" t="s">
        <v>34</v>
      </c>
      <c r="I446" s="2" t="s">
        <v>1716</v>
      </c>
      <c r="J446" s="2" t="s">
        <v>1717</v>
      </c>
      <c r="K446" s="2" t="s">
        <v>454</v>
      </c>
      <c r="L446" s="2" t="s">
        <v>34</v>
      </c>
      <c r="M446" s="2"/>
      <c r="N446" s="2"/>
      <c r="O446" s="2"/>
      <c r="P446" s="2" t="s">
        <v>1718</v>
      </c>
      <c r="Q446" s="6">
        <v>100</v>
      </c>
      <c r="R446" s="2"/>
      <c r="S446" s="2"/>
      <c r="T446" s="2"/>
      <c r="U446" s="2"/>
      <c r="V446" s="6">
        <v>-0.93</v>
      </c>
      <c r="W446" s="7">
        <v>6.9379999999999997</v>
      </c>
      <c r="X446" s="5">
        <v>7.5</v>
      </c>
      <c r="Y446" s="6">
        <v>7.25</v>
      </c>
      <c r="Z446" s="5">
        <v>7.5</v>
      </c>
      <c r="AA446" s="6">
        <v>4.7300000000000004</v>
      </c>
      <c r="AB446" s="2" t="s">
        <v>47</v>
      </c>
      <c r="AC446" s="6">
        <v>20.79</v>
      </c>
    </row>
    <row r="447" spans="1:29" ht="156" x14ac:dyDescent="0.15">
      <c r="A447" s="3">
        <f>DATE(1991,2,19)</f>
        <v>33288</v>
      </c>
      <c r="B447" s="3">
        <f>DATE(1991,12,31)</f>
        <v>33603</v>
      </c>
      <c r="C447" s="2" t="s">
        <v>95</v>
      </c>
      <c r="D447" s="2" t="s">
        <v>1347</v>
      </c>
      <c r="E447" s="2" t="s">
        <v>1348</v>
      </c>
      <c r="F447" s="4">
        <v>3613</v>
      </c>
      <c r="G447" s="2" t="s">
        <v>137</v>
      </c>
      <c r="H447" s="2" t="s">
        <v>34</v>
      </c>
      <c r="I447" s="2" t="s">
        <v>1719</v>
      </c>
      <c r="J447" s="2" t="s">
        <v>1720</v>
      </c>
      <c r="K447" s="2" t="s">
        <v>137</v>
      </c>
      <c r="L447" s="2" t="s">
        <v>133</v>
      </c>
      <c r="M447" s="2"/>
      <c r="N447" s="2"/>
      <c r="O447" s="2"/>
      <c r="P447" s="2" t="s">
        <v>1721</v>
      </c>
      <c r="Q447" s="6">
        <v>98.75</v>
      </c>
      <c r="R447" s="6">
        <v>88</v>
      </c>
      <c r="S447" s="5">
        <v>120.7</v>
      </c>
      <c r="T447" s="7">
        <v>237.739</v>
      </c>
      <c r="U447" s="5">
        <v>26.4</v>
      </c>
      <c r="V447" s="6">
        <v>4.9400000000000004</v>
      </c>
      <c r="W447" s="6">
        <v>51.75</v>
      </c>
      <c r="X447" s="6">
        <v>50.25</v>
      </c>
      <c r="Y447" s="4">
        <v>52</v>
      </c>
      <c r="Z447" s="6">
        <v>72.25</v>
      </c>
      <c r="AA447" s="6">
        <v>22.9</v>
      </c>
      <c r="AB447" s="7">
        <v>12.930999999999999</v>
      </c>
      <c r="AC447" s="6">
        <v>955.23</v>
      </c>
    </row>
    <row r="448" spans="1:29" ht="117" x14ac:dyDescent="0.15">
      <c r="A448" s="3">
        <f>DATE(1991,2,20)</f>
        <v>33289</v>
      </c>
      <c r="B448" s="2"/>
      <c r="C448" s="2" t="s">
        <v>30</v>
      </c>
      <c r="D448" s="2" t="s">
        <v>1029</v>
      </c>
      <c r="E448" s="2" t="s">
        <v>1030</v>
      </c>
      <c r="F448" s="4">
        <v>5945</v>
      </c>
      <c r="G448" s="2" t="s">
        <v>73</v>
      </c>
      <c r="H448" s="2" t="s">
        <v>34</v>
      </c>
      <c r="I448" s="2" t="s">
        <v>51</v>
      </c>
      <c r="J448" s="2" t="s">
        <v>52</v>
      </c>
      <c r="K448" s="2" t="s">
        <v>53</v>
      </c>
      <c r="L448" s="2" t="s">
        <v>34</v>
      </c>
      <c r="M448" s="2"/>
      <c r="N448" s="2"/>
      <c r="O448" s="2"/>
      <c r="P448" s="2" t="s">
        <v>1722</v>
      </c>
      <c r="Q448" s="2"/>
      <c r="R448" s="2"/>
      <c r="S448" s="5">
        <v>-10.1</v>
      </c>
      <c r="T448" s="7">
        <v>19.817</v>
      </c>
      <c r="U448" s="5">
        <v>16</v>
      </c>
      <c r="V448" s="6">
        <v>-0.89</v>
      </c>
      <c r="W448" s="7">
        <v>1.375</v>
      </c>
      <c r="X448" s="5">
        <v>1.5</v>
      </c>
      <c r="Y448" s="7">
        <v>1.375</v>
      </c>
      <c r="Z448" s="6">
        <v>1.25</v>
      </c>
      <c r="AA448" s="6">
        <v>11.23</v>
      </c>
      <c r="AB448" s="2" t="s">
        <v>47</v>
      </c>
      <c r="AC448" s="2"/>
    </row>
    <row r="449" spans="1:29" ht="169" x14ac:dyDescent="0.15">
      <c r="A449" s="3">
        <f>DATE(1991,2,20)</f>
        <v>33289</v>
      </c>
      <c r="B449" s="3">
        <f>DATE(1991,6,27)</f>
        <v>33416</v>
      </c>
      <c r="C449" s="2" t="s">
        <v>95</v>
      </c>
      <c r="D449" s="2" t="s">
        <v>1029</v>
      </c>
      <c r="E449" s="2" t="s">
        <v>1030</v>
      </c>
      <c r="F449" s="4">
        <v>5945</v>
      </c>
      <c r="G449" s="2" t="s">
        <v>73</v>
      </c>
      <c r="H449" s="2" t="s">
        <v>34</v>
      </c>
      <c r="I449" s="2" t="s">
        <v>51</v>
      </c>
      <c r="J449" s="2" t="s">
        <v>52</v>
      </c>
      <c r="K449" s="2" t="s">
        <v>53</v>
      </c>
      <c r="L449" s="2" t="s">
        <v>34</v>
      </c>
      <c r="M449" s="2"/>
      <c r="N449" s="2"/>
      <c r="O449" s="2"/>
      <c r="P449" s="2" t="s">
        <v>1723</v>
      </c>
      <c r="Q449" s="6">
        <v>82</v>
      </c>
      <c r="R449" s="2"/>
      <c r="S449" s="5">
        <v>-10.1</v>
      </c>
      <c r="T449" s="7">
        <v>19.817</v>
      </c>
      <c r="U449" s="5">
        <v>16</v>
      </c>
      <c r="V449" s="6">
        <v>-0.89</v>
      </c>
      <c r="W449" s="7">
        <v>1.375</v>
      </c>
      <c r="X449" s="5">
        <v>1.5</v>
      </c>
      <c r="Y449" s="7">
        <v>1.375</v>
      </c>
      <c r="Z449" s="6">
        <v>1.25</v>
      </c>
      <c r="AA449" s="6">
        <v>11.43</v>
      </c>
      <c r="AB449" s="2" t="s">
        <v>47</v>
      </c>
      <c r="AC449" s="2"/>
    </row>
    <row r="450" spans="1:29" ht="52" x14ac:dyDescent="0.15">
      <c r="A450" s="3">
        <f>DATE(1991,2,21)</f>
        <v>33290</v>
      </c>
      <c r="B450" s="3">
        <f>DATE(1991,5,7)</f>
        <v>33365</v>
      </c>
      <c r="C450" s="2" t="s">
        <v>95</v>
      </c>
      <c r="D450" s="2" t="s">
        <v>1724</v>
      </c>
      <c r="E450" s="2" t="s">
        <v>1725</v>
      </c>
      <c r="F450" s="4">
        <v>3494</v>
      </c>
      <c r="G450" s="2" t="s">
        <v>163</v>
      </c>
      <c r="H450" s="2" t="s">
        <v>34</v>
      </c>
      <c r="I450" s="2" t="s">
        <v>1726</v>
      </c>
      <c r="J450" s="2" t="s">
        <v>1727</v>
      </c>
      <c r="K450" s="2" t="s">
        <v>300</v>
      </c>
      <c r="L450" s="2" t="s">
        <v>34</v>
      </c>
      <c r="M450" s="2"/>
      <c r="N450" s="7">
        <v>14.875</v>
      </c>
      <c r="O450" s="4">
        <v>15</v>
      </c>
      <c r="P450" s="2" t="s">
        <v>1728</v>
      </c>
      <c r="Q450" s="6">
        <v>100</v>
      </c>
      <c r="R450" s="6">
        <v>4.67</v>
      </c>
      <c r="S450" s="5">
        <v>1.1000000000000001</v>
      </c>
      <c r="T450" s="7">
        <v>1.976</v>
      </c>
      <c r="U450" s="5">
        <v>1.8</v>
      </c>
      <c r="V450" s="6">
        <v>0.37</v>
      </c>
      <c r="W450" s="6">
        <v>1.25</v>
      </c>
      <c r="X450" s="6">
        <v>1.25</v>
      </c>
      <c r="Y450" s="6">
        <v>1.25</v>
      </c>
      <c r="Z450" s="6">
        <v>1.75</v>
      </c>
      <c r="AA450" s="6">
        <v>3</v>
      </c>
      <c r="AB450" s="7">
        <v>9.6379999999999999</v>
      </c>
      <c r="AC450" s="6">
        <v>0.84</v>
      </c>
    </row>
    <row r="451" spans="1:29" ht="169" x14ac:dyDescent="0.15">
      <c r="A451" s="3">
        <f>DATE(1991,2,22)</f>
        <v>33291</v>
      </c>
      <c r="B451" s="2"/>
      <c r="C451" s="2" t="s">
        <v>30</v>
      </c>
      <c r="D451" s="2" t="s">
        <v>1029</v>
      </c>
      <c r="E451" s="2" t="s">
        <v>1030</v>
      </c>
      <c r="F451" s="4">
        <v>5945</v>
      </c>
      <c r="G451" s="2" t="s">
        <v>73</v>
      </c>
      <c r="H451" s="2" t="s">
        <v>34</v>
      </c>
      <c r="I451" s="2" t="s">
        <v>1729</v>
      </c>
      <c r="J451" s="2" t="s">
        <v>367</v>
      </c>
      <c r="K451" s="2" t="s">
        <v>53</v>
      </c>
      <c r="L451" s="2" t="s">
        <v>34</v>
      </c>
      <c r="M451" s="2"/>
      <c r="N451" s="2"/>
      <c r="O451" s="2"/>
      <c r="P451" s="2" t="s">
        <v>1730</v>
      </c>
      <c r="Q451" s="2"/>
      <c r="R451" s="6">
        <v>5</v>
      </c>
      <c r="S451" s="5">
        <v>-10.1</v>
      </c>
      <c r="T451" s="7">
        <v>19.817</v>
      </c>
      <c r="U451" s="5">
        <v>16</v>
      </c>
      <c r="V451" s="6">
        <v>-0.89</v>
      </c>
      <c r="W451" s="7">
        <v>1.375</v>
      </c>
      <c r="X451" s="5">
        <v>1.5</v>
      </c>
      <c r="Y451" s="7">
        <v>1.375</v>
      </c>
      <c r="Z451" s="6">
        <v>1.25</v>
      </c>
      <c r="AA451" s="6">
        <v>11.23</v>
      </c>
      <c r="AB451" s="7">
        <v>54.137999999999998</v>
      </c>
      <c r="AC451" s="2"/>
    </row>
    <row r="452" spans="1:29" ht="156" x14ac:dyDescent="0.15">
      <c r="A452" s="3">
        <f>DATE(1991,2,25)</f>
        <v>33294</v>
      </c>
      <c r="B452" s="3">
        <f>DATE(1991,6,28)</f>
        <v>33417</v>
      </c>
      <c r="C452" s="2" t="s">
        <v>95</v>
      </c>
      <c r="D452" s="2" t="s">
        <v>1731</v>
      </c>
      <c r="E452" s="2" t="s">
        <v>1732</v>
      </c>
      <c r="F452" s="4">
        <v>3825</v>
      </c>
      <c r="G452" s="2" t="s">
        <v>226</v>
      </c>
      <c r="H452" s="2" t="s">
        <v>34</v>
      </c>
      <c r="I452" s="2" t="s">
        <v>1733</v>
      </c>
      <c r="J452" s="2" t="s">
        <v>52</v>
      </c>
      <c r="K452" s="2" t="s">
        <v>53</v>
      </c>
      <c r="L452" s="2" t="s">
        <v>34</v>
      </c>
      <c r="M452" s="2"/>
      <c r="N452" s="2"/>
      <c r="O452" s="2"/>
      <c r="P452" s="2" t="s">
        <v>1734</v>
      </c>
      <c r="Q452" s="6">
        <v>100</v>
      </c>
      <c r="R452" s="6">
        <v>3.15</v>
      </c>
      <c r="S452" s="5">
        <v>0</v>
      </c>
      <c r="T452" s="7">
        <v>5.7539999999999996</v>
      </c>
      <c r="U452" s="5">
        <v>6.9</v>
      </c>
      <c r="V452" s="9">
        <v>1E-4</v>
      </c>
      <c r="W452" s="7">
        <v>3.875</v>
      </c>
      <c r="X452" s="7">
        <v>3.875</v>
      </c>
      <c r="Y452" s="6">
        <v>4.25</v>
      </c>
      <c r="Z452" s="6">
        <v>4.25</v>
      </c>
      <c r="AA452" s="6">
        <v>8.99</v>
      </c>
      <c r="AB452" s="7">
        <v>21.023</v>
      </c>
      <c r="AC452" s="2"/>
    </row>
    <row r="453" spans="1:29" ht="156" x14ac:dyDescent="0.15">
      <c r="A453" s="3">
        <f>DATE(1991,2,26)</f>
        <v>33295</v>
      </c>
      <c r="B453" s="2"/>
      <c r="C453" s="2" t="s">
        <v>30</v>
      </c>
      <c r="D453" s="2" t="s">
        <v>1029</v>
      </c>
      <c r="E453" s="2" t="s">
        <v>1030</v>
      </c>
      <c r="F453" s="4">
        <v>5945</v>
      </c>
      <c r="G453" s="2" t="s">
        <v>73</v>
      </c>
      <c r="H453" s="2" t="s">
        <v>34</v>
      </c>
      <c r="I453" s="2" t="s">
        <v>149</v>
      </c>
      <c r="J453" s="2" t="s">
        <v>150</v>
      </c>
      <c r="K453" s="2" t="s">
        <v>53</v>
      </c>
      <c r="L453" s="2" t="s">
        <v>151</v>
      </c>
      <c r="M453" s="2"/>
      <c r="N453" s="2"/>
      <c r="O453" s="2"/>
      <c r="P453" s="2" t="s">
        <v>1735</v>
      </c>
      <c r="Q453" s="2"/>
      <c r="R453" s="2"/>
      <c r="S453" s="5">
        <v>-10.9</v>
      </c>
      <c r="T453" s="7">
        <v>19.817</v>
      </c>
      <c r="U453" s="5">
        <v>16</v>
      </c>
      <c r="V453" s="6">
        <v>-0.89</v>
      </c>
      <c r="W453" s="7">
        <v>1.375</v>
      </c>
      <c r="X453" s="5">
        <v>1.5</v>
      </c>
      <c r="Y453" s="7">
        <v>1.375</v>
      </c>
      <c r="Z453" s="6">
        <v>1.25</v>
      </c>
      <c r="AA453" s="6">
        <v>11.23</v>
      </c>
      <c r="AB453" s="2" t="s">
        <v>47</v>
      </c>
      <c r="AC453" s="2"/>
    </row>
    <row r="454" spans="1:29" ht="143" x14ac:dyDescent="0.15">
      <c r="A454" s="3">
        <f>DATE(1991,2,26)</f>
        <v>33295</v>
      </c>
      <c r="B454" s="2"/>
      <c r="C454" s="2" t="s">
        <v>30</v>
      </c>
      <c r="D454" s="2" t="s">
        <v>1736</v>
      </c>
      <c r="E454" s="2" t="s">
        <v>1737</v>
      </c>
      <c r="F454" s="4">
        <v>2673</v>
      </c>
      <c r="G454" s="2" t="s">
        <v>282</v>
      </c>
      <c r="H454" s="2" t="s">
        <v>34</v>
      </c>
      <c r="I454" s="2" t="s">
        <v>1738</v>
      </c>
      <c r="J454" s="2" t="s">
        <v>1739</v>
      </c>
      <c r="K454" s="2" t="s">
        <v>223</v>
      </c>
      <c r="L454" s="2" t="s">
        <v>34</v>
      </c>
      <c r="M454" s="2"/>
      <c r="N454" s="4">
        <v>2</v>
      </c>
      <c r="O454" s="7">
        <v>2.125</v>
      </c>
      <c r="P454" s="2" t="s">
        <v>1740</v>
      </c>
      <c r="Q454" s="2"/>
      <c r="R454" s="6">
        <v>7.5</v>
      </c>
      <c r="S454" s="5">
        <v>1.7</v>
      </c>
      <c r="T454" s="7">
        <v>4.2889999999999997</v>
      </c>
      <c r="U454" s="5">
        <v>6.9</v>
      </c>
      <c r="V454" s="6">
        <v>0.33</v>
      </c>
      <c r="W454" s="4">
        <v>5</v>
      </c>
      <c r="X454" s="4">
        <v>5</v>
      </c>
      <c r="Y454" s="6">
        <v>6.25</v>
      </c>
      <c r="Z454" s="6">
        <v>5.75</v>
      </c>
      <c r="AA454" s="6">
        <v>2.5299999999999998</v>
      </c>
      <c r="AB454" s="7">
        <v>16.012</v>
      </c>
      <c r="AC454" s="2"/>
    </row>
    <row r="455" spans="1:29" ht="143" x14ac:dyDescent="0.15">
      <c r="A455" s="3">
        <f>DATE(1991,2,26)</f>
        <v>33295</v>
      </c>
      <c r="B455" s="2"/>
      <c r="C455" s="2" t="s">
        <v>189</v>
      </c>
      <c r="D455" s="2" t="s">
        <v>1631</v>
      </c>
      <c r="E455" s="2" t="s">
        <v>1632</v>
      </c>
      <c r="F455" s="4">
        <v>3452</v>
      </c>
      <c r="G455" s="2" t="s">
        <v>163</v>
      </c>
      <c r="H455" s="2" t="s">
        <v>34</v>
      </c>
      <c r="I455" s="2" t="s">
        <v>143</v>
      </c>
      <c r="J455" s="2" t="s">
        <v>144</v>
      </c>
      <c r="K455" s="2" t="s">
        <v>53</v>
      </c>
      <c r="L455" s="2" t="s">
        <v>139</v>
      </c>
      <c r="M455" s="2"/>
      <c r="N455" s="2"/>
      <c r="O455" s="2"/>
      <c r="P455" s="2" t="s">
        <v>1741</v>
      </c>
      <c r="Q455" s="2"/>
      <c r="R455" s="2"/>
      <c r="S455" s="5">
        <v>10</v>
      </c>
      <c r="T455" s="7">
        <v>22.446000000000002</v>
      </c>
      <c r="U455" s="5">
        <v>14.1</v>
      </c>
      <c r="V455" s="6">
        <v>-0.99</v>
      </c>
      <c r="W455" s="6">
        <v>32.75</v>
      </c>
      <c r="X455" s="5">
        <v>33.5</v>
      </c>
      <c r="Y455" s="5">
        <v>33.5</v>
      </c>
      <c r="Z455" s="6">
        <v>33.75</v>
      </c>
      <c r="AA455" s="2"/>
      <c r="AB455" s="2" t="s">
        <v>47</v>
      </c>
      <c r="AC455" s="2"/>
    </row>
    <row r="456" spans="1:29" ht="26" x14ac:dyDescent="0.15">
      <c r="A456" s="3">
        <f>DATE(1991,2,27)</f>
        <v>33296</v>
      </c>
      <c r="B456" s="2"/>
      <c r="C456" s="2" t="s">
        <v>30</v>
      </c>
      <c r="D456" s="2" t="s">
        <v>1742</v>
      </c>
      <c r="E456" s="2" t="s">
        <v>36</v>
      </c>
      <c r="F456" s="4">
        <v>6021</v>
      </c>
      <c r="G456" s="2" t="s">
        <v>37</v>
      </c>
      <c r="H456" s="2" t="s">
        <v>34</v>
      </c>
      <c r="I456" s="2" t="s">
        <v>1612</v>
      </c>
      <c r="J456" s="2" t="s">
        <v>263</v>
      </c>
      <c r="K456" s="2" t="s">
        <v>37</v>
      </c>
      <c r="L456" s="2" t="s">
        <v>34</v>
      </c>
      <c r="M456" s="2"/>
      <c r="N456" s="5">
        <v>33.5</v>
      </c>
      <c r="O456" s="4">
        <v>33</v>
      </c>
      <c r="P456" s="2" t="s">
        <v>1743</v>
      </c>
      <c r="Q456" s="2"/>
      <c r="R456" s="2"/>
      <c r="S456" s="5">
        <v>-439.5</v>
      </c>
      <c r="T456" s="7">
        <v>-551.99199999999996</v>
      </c>
      <c r="U456" s="5">
        <v>12.4</v>
      </c>
      <c r="V456" s="6">
        <v>-5.23</v>
      </c>
      <c r="W456" s="4">
        <v>3</v>
      </c>
      <c r="X456" s="4">
        <v>3</v>
      </c>
      <c r="Y456" s="6">
        <v>3.25</v>
      </c>
      <c r="Z456" s="5">
        <v>3.5</v>
      </c>
      <c r="AA456" s="6">
        <v>85.49</v>
      </c>
      <c r="AB456" s="2" t="s">
        <v>86</v>
      </c>
      <c r="AC456" s="2"/>
    </row>
    <row r="457" spans="1:29" ht="156" x14ac:dyDescent="0.15">
      <c r="A457" s="3">
        <f>DATE(1991,2,28)</f>
        <v>33297</v>
      </c>
      <c r="B457" s="2"/>
      <c r="C457" s="2" t="s">
        <v>30</v>
      </c>
      <c r="D457" s="2" t="s">
        <v>1744</v>
      </c>
      <c r="E457" s="2" t="s">
        <v>36</v>
      </c>
      <c r="F457" s="4">
        <v>6029</v>
      </c>
      <c r="G457" s="2" t="s">
        <v>37</v>
      </c>
      <c r="H457" s="2" t="s">
        <v>34</v>
      </c>
      <c r="I457" s="2" t="s">
        <v>1745</v>
      </c>
      <c r="J457" s="2" t="s">
        <v>1746</v>
      </c>
      <c r="K457" s="2" t="s">
        <v>33</v>
      </c>
      <c r="L457" s="2" t="s">
        <v>34</v>
      </c>
      <c r="M457" s="2"/>
      <c r="N457" s="7">
        <v>9.375</v>
      </c>
      <c r="O457" s="4">
        <v>9</v>
      </c>
      <c r="P457" s="2" t="s">
        <v>1747</v>
      </c>
      <c r="Q457" s="2"/>
      <c r="R457" s="6">
        <v>11.6</v>
      </c>
      <c r="S457" s="2"/>
      <c r="T457" s="2"/>
      <c r="U457" s="5">
        <v>24.1</v>
      </c>
      <c r="V457" s="2"/>
      <c r="W457" s="5">
        <v>7.5</v>
      </c>
      <c r="X457" s="4">
        <v>7</v>
      </c>
      <c r="Y457" s="7">
        <v>7.625</v>
      </c>
      <c r="Z457" s="7">
        <v>9.125</v>
      </c>
      <c r="AA457" s="6">
        <v>3.47</v>
      </c>
      <c r="AB457" s="2" t="s">
        <v>47</v>
      </c>
      <c r="AC457" s="2"/>
    </row>
    <row r="458" spans="1:29" ht="143" x14ac:dyDescent="0.15">
      <c r="A458" s="3">
        <f>DATE(1991,2,28)</f>
        <v>33297</v>
      </c>
      <c r="B458" s="3">
        <f>DATE(1991,6,28)</f>
        <v>33417</v>
      </c>
      <c r="C458" s="2" t="s">
        <v>95</v>
      </c>
      <c r="D458" s="2" t="s">
        <v>1748</v>
      </c>
      <c r="E458" s="2" t="s">
        <v>441</v>
      </c>
      <c r="F458" s="4">
        <v>4911</v>
      </c>
      <c r="G458" s="2" t="s">
        <v>439</v>
      </c>
      <c r="H458" s="2" t="s">
        <v>34</v>
      </c>
      <c r="I458" s="2" t="s">
        <v>1749</v>
      </c>
      <c r="J458" s="2" t="s">
        <v>441</v>
      </c>
      <c r="K458" s="2" t="s">
        <v>439</v>
      </c>
      <c r="L458" s="2" t="s">
        <v>34</v>
      </c>
      <c r="M458" s="7">
        <v>410.17700000000002</v>
      </c>
      <c r="N458" s="6">
        <v>27.75</v>
      </c>
      <c r="O458" s="6">
        <v>27.25</v>
      </c>
      <c r="P458" s="2" t="s">
        <v>1750</v>
      </c>
      <c r="Q458" s="6">
        <v>100</v>
      </c>
      <c r="R458" s="6">
        <v>45.6</v>
      </c>
      <c r="S458" s="5">
        <v>21.5</v>
      </c>
      <c r="T458" s="7">
        <v>52.399000000000001</v>
      </c>
      <c r="U458" s="5">
        <v>24.5</v>
      </c>
      <c r="V458" s="6">
        <v>3.54</v>
      </c>
      <c r="W458" s="5">
        <v>34.5</v>
      </c>
      <c r="X458" s="6">
        <v>35.25</v>
      </c>
      <c r="Y458" s="5">
        <v>39.5</v>
      </c>
      <c r="Z458" s="6">
        <v>39.25</v>
      </c>
      <c r="AA458" s="6">
        <v>5.78</v>
      </c>
      <c r="AB458" s="7">
        <v>8.7810000000000006</v>
      </c>
      <c r="AC458" s="6">
        <v>52.19</v>
      </c>
    </row>
    <row r="459" spans="1:29" ht="156" x14ac:dyDescent="0.15">
      <c r="A459" s="3">
        <f>DATE(1991,3,1)</f>
        <v>33298</v>
      </c>
      <c r="B459" s="2"/>
      <c r="C459" s="2" t="s">
        <v>82</v>
      </c>
      <c r="D459" s="2" t="s">
        <v>1751</v>
      </c>
      <c r="E459" s="2" t="s">
        <v>36</v>
      </c>
      <c r="F459" s="4">
        <v>6022</v>
      </c>
      <c r="G459" s="2" t="s">
        <v>37</v>
      </c>
      <c r="H459" s="2" t="s">
        <v>34</v>
      </c>
      <c r="I459" s="2" t="s">
        <v>51</v>
      </c>
      <c r="J459" s="2" t="s">
        <v>52</v>
      </c>
      <c r="K459" s="2" t="s">
        <v>53</v>
      </c>
      <c r="L459" s="2" t="s">
        <v>34</v>
      </c>
      <c r="M459" s="2"/>
      <c r="N459" s="2"/>
      <c r="O459" s="2"/>
      <c r="P459" s="2" t="s">
        <v>1752</v>
      </c>
      <c r="Q459" s="2"/>
      <c r="R459" s="2"/>
      <c r="S459" s="5">
        <v>0.3</v>
      </c>
      <c r="T459" s="7">
        <v>3.3860000000000001</v>
      </c>
      <c r="U459" s="2"/>
      <c r="V459" s="6">
        <v>-0.24</v>
      </c>
      <c r="W459" s="5">
        <v>14.5</v>
      </c>
      <c r="X459" s="4">
        <v>15</v>
      </c>
      <c r="Y459" s="4">
        <v>15</v>
      </c>
      <c r="Z459" s="5">
        <v>15.5</v>
      </c>
      <c r="AA459" s="6">
        <v>2.19</v>
      </c>
      <c r="AB459" s="2" t="s">
        <v>47</v>
      </c>
      <c r="AC459" s="2"/>
    </row>
    <row r="460" spans="1:29" ht="156" x14ac:dyDescent="0.15">
      <c r="A460" s="3">
        <f>DATE(1991,3,1)</f>
        <v>33298</v>
      </c>
      <c r="B460" s="3">
        <f>DATE(1991,10,31)</f>
        <v>33542</v>
      </c>
      <c r="C460" s="2" t="s">
        <v>95</v>
      </c>
      <c r="D460" s="2" t="s">
        <v>1753</v>
      </c>
      <c r="E460" s="2" t="s">
        <v>1754</v>
      </c>
      <c r="F460" s="4">
        <v>4952</v>
      </c>
      <c r="G460" s="2" t="s">
        <v>116</v>
      </c>
      <c r="H460" s="2" t="s">
        <v>34</v>
      </c>
      <c r="I460" s="2" t="s">
        <v>1755</v>
      </c>
      <c r="J460" s="2" t="s">
        <v>1756</v>
      </c>
      <c r="K460" s="2" t="s">
        <v>223</v>
      </c>
      <c r="L460" s="2" t="s">
        <v>34</v>
      </c>
      <c r="M460" s="2"/>
      <c r="N460" s="5">
        <v>22.5</v>
      </c>
      <c r="O460" s="4">
        <v>23</v>
      </c>
      <c r="P460" s="2" t="s">
        <v>1757</v>
      </c>
      <c r="Q460" s="6">
        <v>18</v>
      </c>
      <c r="R460" s="6">
        <v>19.25</v>
      </c>
      <c r="S460" s="5">
        <v>11.6</v>
      </c>
      <c r="T460" s="7">
        <v>30.408000000000001</v>
      </c>
      <c r="U460" s="5">
        <v>11.8</v>
      </c>
      <c r="V460" s="6">
        <v>0.8</v>
      </c>
      <c r="W460" s="5">
        <v>16.5</v>
      </c>
      <c r="X460" s="6">
        <v>15.75</v>
      </c>
      <c r="Y460" s="5">
        <v>18.5</v>
      </c>
      <c r="Z460" s="6">
        <v>18.75</v>
      </c>
      <c r="AA460" s="6">
        <v>14.72</v>
      </c>
      <c r="AB460" s="7">
        <v>13.981999999999999</v>
      </c>
      <c r="AC460" s="6">
        <v>66.319999999999993</v>
      </c>
    </row>
    <row r="461" spans="1:29" ht="52" x14ac:dyDescent="0.15">
      <c r="A461" s="3">
        <f>DATE(1991,3,4)</f>
        <v>33301</v>
      </c>
      <c r="B461" s="2"/>
      <c r="C461" s="2" t="s">
        <v>39</v>
      </c>
      <c r="D461" s="2" t="s">
        <v>43</v>
      </c>
      <c r="E461" s="2" t="s">
        <v>44</v>
      </c>
      <c r="F461" s="4">
        <v>4833</v>
      </c>
      <c r="G461" s="2" t="s">
        <v>45</v>
      </c>
      <c r="H461" s="2" t="s">
        <v>34</v>
      </c>
      <c r="I461" s="2" t="s">
        <v>1758</v>
      </c>
      <c r="J461" s="2" t="s">
        <v>1759</v>
      </c>
      <c r="K461" s="2" t="s">
        <v>364</v>
      </c>
      <c r="L461" s="2" t="s">
        <v>34</v>
      </c>
      <c r="M461" s="12">
        <v>15476.129000000001</v>
      </c>
      <c r="N461" s="4">
        <v>122</v>
      </c>
      <c r="O461" s="4">
        <v>125</v>
      </c>
      <c r="P461" s="2" t="s">
        <v>1760</v>
      </c>
      <c r="Q461" s="2"/>
      <c r="R461" s="2"/>
      <c r="S461" s="5">
        <v>91.5</v>
      </c>
      <c r="T461" s="5">
        <v>-15</v>
      </c>
      <c r="U461" s="5">
        <v>20.8</v>
      </c>
      <c r="V461" s="6">
        <v>0.71</v>
      </c>
      <c r="W461" s="7">
        <v>164.625</v>
      </c>
      <c r="X461" s="6">
        <v>173.75</v>
      </c>
      <c r="Y461" s="4">
        <v>179</v>
      </c>
      <c r="Z461" s="7">
        <v>187.125</v>
      </c>
      <c r="AA461" s="6">
        <v>23.68</v>
      </c>
      <c r="AB461" s="2" t="s">
        <v>86</v>
      </c>
      <c r="AC461" s="8">
        <v>1407.9</v>
      </c>
    </row>
    <row r="462" spans="1:29" ht="78" x14ac:dyDescent="0.15">
      <c r="A462" s="3">
        <f>DATE(1991,3,4)</f>
        <v>33301</v>
      </c>
      <c r="B462" s="2"/>
      <c r="C462" s="2" t="s">
        <v>189</v>
      </c>
      <c r="D462" s="2" t="s">
        <v>1761</v>
      </c>
      <c r="E462" s="2" t="s">
        <v>1762</v>
      </c>
      <c r="F462" s="4">
        <v>7353</v>
      </c>
      <c r="G462" s="2" t="s">
        <v>223</v>
      </c>
      <c r="H462" s="2" t="s">
        <v>34</v>
      </c>
      <c r="I462" s="2" t="s">
        <v>143</v>
      </c>
      <c r="J462" s="2" t="s">
        <v>144</v>
      </c>
      <c r="K462" s="2" t="s">
        <v>53</v>
      </c>
      <c r="L462" s="2" t="s">
        <v>139</v>
      </c>
      <c r="M462" s="2"/>
      <c r="N462" s="2"/>
      <c r="O462" s="2"/>
      <c r="P462" s="2" t="s">
        <v>1763</v>
      </c>
      <c r="Q462" s="2"/>
      <c r="R462" s="2"/>
      <c r="S462" s="2"/>
      <c r="T462" s="2"/>
      <c r="U462" s="5">
        <v>6.8</v>
      </c>
      <c r="V462" s="2"/>
      <c r="W462" s="4">
        <v>2</v>
      </c>
      <c r="X462" s="6">
        <v>1.75</v>
      </c>
      <c r="Y462" s="7">
        <v>2.125</v>
      </c>
      <c r="Z462" s="7">
        <v>2.375</v>
      </c>
      <c r="AA462" s="2"/>
      <c r="AB462" s="2" t="s">
        <v>47</v>
      </c>
      <c r="AC462" s="2"/>
    </row>
    <row r="463" spans="1:29" ht="117" x14ac:dyDescent="0.15">
      <c r="A463" s="3">
        <f>DATE(1991,3,4)</f>
        <v>33301</v>
      </c>
      <c r="B463" s="2"/>
      <c r="C463" s="2" t="s">
        <v>189</v>
      </c>
      <c r="D463" s="2" t="s">
        <v>1764</v>
      </c>
      <c r="E463" s="2" t="s">
        <v>1765</v>
      </c>
      <c r="F463" s="4">
        <v>8711</v>
      </c>
      <c r="G463" s="2" t="s">
        <v>223</v>
      </c>
      <c r="H463" s="2" t="s">
        <v>34</v>
      </c>
      <c r="I463" s="2" t="s">
        <v>143</v>
      </c>
      <c r="J463" s="2" t="s">
        <v>144</v>
      </c>
      <c r="K463" s="2" t="s">
        <v>53</v>
      </c>
      <c r="L463" s="2" t="s">
        <v>139</v>
      </c>
      <c r="M463" s="2"/>
      <c r="N463" s="2"/>
      <c r="O463" s="2"/>
      <c r="P463" s="2" t="s">
        <v>1766</v>
      </c>
      <c r="Q463" s="2"/>
      <c r="R463" s="2"/>
      <c r="S463" s="5">
        <v>13.5</v>
      </c>
      <c r="T463" s="7">
        <v>31.437000000000001</v>
      </c>
      <c r="U463" s="5">
        <v>10.8</v>
      </c>
      <c r="V463" s="9">
        <v>1.6628000000000001</v>
      </c>
      <c r="W463" s="6">
        <v>9.75</v>
      </c>
      <c r="X463" s="4">
        <v>10</v>
      </c>
      <c r="Y463" s="7">
        <v>10.625</v>
      </c>
      <c r="Z463" s="7">
        <v>10.875</v>
      </c>
      <c r="AA463" s="2"/>
      <c r="AB463" s="2" t="s">
        <v>47</v>
      </c>
      <c r="AC463" s="2"/>
    </row>
    <row r="464" spans="1:29" ht="156" x14ac:dyDescent="0.15">
      <c r="A464" s="3">
        <f>DATE(1991,3,6)</f>
        <v>33303</v>
      </c>
      <c r="B464" s="2"/>
      <c r="C464" s="2" t="s">
        <v>30</v>
      </c>
      <c r="D464" s="2" t="s">
        <v>248</v>
      </c>
      <c r="E464" s="2" t="s">
        <v>249</v>
      </c>
      <c r="F464" s="4">
        <v>2421</v>
      </c>
      <c r="G464" s="2" t="s">
        <v>250</v>
      </c>
      <c r="H464" s="2" t="s">
        <v>34</v>
      </c>
      <c r="I464" s="2" t="s">
        <v>745</v>
      </c>
      <c r="J464" s="2" t="s">
        <v>746</v>
      </c>
      <c r="K464" s="2" t="s">
        <v>125</v>
      </c>
      <c r="L464" s="2" t="s">
        <v>34</v>
      </c>
      <c r="M464" s="7">
        <v>196.28700000000001</v>
      </c>
      <c r="N464" s="5">
        <v>15.5</v>
      </c>
      <c r="O464" s="7">
        <v>14.625</v>
      </c>
      <c r="P464" s="2" t="s">
        <v>1767</v>
      </c>
      <c r="Q464" s="2"/>
      <c r="R464" s="6">
        <v>31</v>
      </c>
      <c r="S464" s="5">
        <v>47.3</v>
      </c>
      <c r="T464" s="2"/>
      <c r="U464" s="5">
        <v>2</v>
      </c>
      <c r="V464" s="9">
        <v>0.44579999999999997</v>
      </c>
      <c r="W464" s="7">
        <v>23.125</v>
      </c>
      <c r="X464" s="7">
        <v>23.187999999999999</v>
      </c>
      <c r="Y464" s="6">
        <v>22.75</v>
      </c>
      <c r="Z464" s="4">
        <v>28</v>
      </c>
      <c r="AA464" s="6">
        <v>11.34</v>
      </c>
      <c r="AB464" s="2" t="s">
        <v>47</v>
      </c>
      <c r="AC464" s="2"/>
    </row>
    <row r="465" spans="1:29" ht="143" x14ac:dyDescent="0.15">
      <c r="A465" s="3">
        <f>DATE(1991,3,7)</f>
        <v>33304</v>
      </c>
      <c r="B465" s="2"/>
      <c r="C465" s="2" t="s">
        <v>30</v>
      </c>
      <c r="D465" s="2" t="s">
        <v>1681</v>
      </c>
      <c r="E465" s="2" t="s">
        <v>1682</v>
      </c>
      <c r="F465" s="4">
        <v>5945</v>
      </c>
      <c r="G465" s="2" t="s">
        <v>73</v>
      </c>
      <c r="H465" s="2" t="s">
        <v>34</v>
      </c>
      <c r="I465" s="2" t="s">
        <v>51</v>
      </c>
      <c r="J465" s="2" t="s">
        <v>52</v>
      </c>
      <c r="K465" s="2" t="s">
        <v>53</v>
      </c>
      <c r="L465" s="2" t="s">
        <v>34</v>
      </c>
      <c r="M465" s="2"/>
      <c r="N465" s="2"/>
      <c r="O465" s="2"/>
      <c r="P465" s="2" t="s">
        <v>1768</v>
      </c>
      <c r="Q465" s="2"/>
      <c r="R465" s="2"/>
      <c r="S465" s="5">
        <v>-5.9</v>
      </c>
      <c r="T465" s="7">
        <v>-0.66500000000000004</v>
      </c>
      <c r="U465" s="5">
        <v>5.9</v>
      </c>
      <c r="V465" s="6">
        <v>-0.44</v>
      </c>
      <c r="W465" s="7">
        <v>3.375</v>
      </c>
      <c r="X465" s="7">
        <v>3.125</v>
      </c>
      <c r="Y465" s="5">
        <v>3.5</v>
      </c>
      <c r="Z465" s="7">
        <v>3.125</v>
      </c>
      <c r="AA465" s="6">
        <v>13.57</v>
      </c>
      <c r="AB465" s="2" t="s">
        <v>86</v>
      </c>
      <c r="AC465" s="2"/>
    </row>
    <row r="466" spans="1:29" ht="169" x14ac:dyDescent="0.15">
      <c r="A466" s="3">
        <f>DATE(1991,3,7)</f>
        <v>33304</v>
      </c>
      <c r="B466" s="2"/>
      <c r="C466" s="2" t="s">
        <v>30</v>
      </c>
      <c r="D466" s="2" t="s">
        <v>1769</v>
      </c>
      <c r="E466" s="2" t="s">
        <v>36</v>
      </c>
      <c r="F466" s="4">
        <v>6022</v>
      </c>
      <c r="G466" s="2" t="s">
        <v>37</v>
      </c>
      <c r="H466" s="2" t="s">
        <v>34</v>
      </c>
      <c r="I466" s="2" t="s">
        <v>1770</v>
      </c>
      <c r="J466" s="2" t="s">
        <v>36</v>
      </c>
      <c r="K466" s="2" t="s">
        <v>37</v>
      </c>
      <c r="L466" s="2" t="s">
        <v>34</v>
      </c>
      <c r="M466" s="2"/>
      <c r="N466" s="6">
        <v>20.75</v>
      </c>
      <c r="O466" s="5">
        <v>20.5</v>
      </c>
      <c r="P466" s="2" t="s">
        <v>1771</v>
      </c>
      <c r="Q466" s="2"/>
      <c r="R466" s="6">
        <v>18.7</v>
      </c>
      <c r="S466" s="5">
        <v>3.4</v>
      </c>
      <c r="T466" s="7">
        <v>6.4429999999999996</v>
      </c>
      <c r="U466" s="5">
        <v>9.4</v>
      </c>
      <c r="V466" s="9">
        <v>0.97140000000000004</v>
      </c>
      <c r="W466" s="6">
        <v>7.25</v>
      </c>
      <c r="X466" s="6">
        <v>6.75</v>
      </c>
      <c r="Y466" s="4">
        <v>7</v>
      </c>
      <c r="Z466" s="6">
        <v>7.25</v>
      </c>
      <c r="AA466" s="6">
        <v>3.37</v>
      </c>
      <c r="AB466" s="7">
        <v>14.564</v>
      </c>
      <c r="AC466" s="2"/>
    </row>
    <row r="467" spans="1:29" ht="156" x14ac:dyDescent="0.15">
      <c r="A467" s="3">
        <f>DATE(1991,3,11)</f>
        <v>33308</v>
      </c>
      <c r="B467" s="3">
        <f>DATE(1991,9,27)</f>
        <v>33508</v>
      </c>
      <c r="C467" s="2" t="s">
        <v>95</v>
      </c>
      <c r="D467" s="2" t="s">
        <v>271</v>
      </c>
      <c r="E467" s="2" t="s">
        <v>32</v>
      </c>
      <c r="F467" s="4">
        <v>6036</v>
      </c>
      <c r="G467" s="2" t="s">
        <v>33</v>
      </c>
      <c r="H467" s="2" t="s">
        <v>34</v>
      </c>
      <c r="I467" s="2" t="s">
        <v>35</v>
      </c>
      <c r="J467" s="2" t="s">
        <v>36</v>
      </c>
      <c r="K467" s="2" t="s">
        <v>37</v>
      </c>
      <c r="L467" s="2" t="s">
        <v>34</v>
      </c>
      <c r="M467" s="7">
        <v>102.937</v>
      </c>
      <c r="N467" s="7">
        <v>30.625</v>
      </c>
      <c r="O467" s="4">
        <v>30</v>
      </c>
      <c r="P467" s="2" t="s">
        <v>1772</v>
      </c>
      <c r="Q467" s="6">
        <v>100</v>
      </c>
      <c r="R467" s="6">
        <v>25.13</v>
      </c>
      <c r="S467" s="5">
        <v>5.6</v>
      </c>
      <c r="T467" s="7">
        <v>11.384</v>
      </c>
      <c r="U467" s="5">
        <v>32.4</v>
      </c>
      <c r="V467" s="6">
        <v>1.96</v>
      </c>
      <c r="W467" s="4">
        <v>19</v>
      </c>
      <c r="X467" s="6">
        <v>19.25</v>
      </c>
      <c r="Y467" s="4">
        <v>19</v>
      </c>
      <c r="Z467" s="6">
        <v>19.75</v>
      </c>
      <c r="AA467" s="6">
        <v>2.88</v>
      </c>
      <c r="AB467" s="7">
        <v>76.456999999999994</v>
      </c>
      <c r="AC467" s="2"/>
    </row>
    <row r="468" spans="1:29" ht="130" x14ac:dyDescent="0.15">
      <c r="A468" s="3">
        <f>DATE(1991,3,11)</f>
        <v>33308</v>
      </c>
      <c r="B468" s="2"/>
      <c r="C468" s="2" t="s">
        <v>30</v>
      </c>
      <c r="D468" s="2" t="s">
        <v>1347</v>
      </c>
      <c r="E468" s="2" t="s">
        <v>1348</v>
      </c>
      <c r="F468" s="4">
        <v>3613</v>
      </c>
      <c r="G468" s="2" t="s">
        <v>137</v>
      </c>
      <c r="H468" s="2" t="s">
        <v>34</v>
      </c>
      <c r="I468" s="2" t="s">
        <v>138</v>
      </c>
      <c r="J468" s="2" t="s">
        <v>139</v>
      </c>
      <c r="K468" s="2" t="s">
        <v>53</v>
      </c>
      <c r="L468" s="2" t="s">
        <v>139</v>
      </c>
      <c r="M468" s="2"/>
      <c r="N468" s="2"/>
      <c r="O468" s="2"/>
      <c r="P468" s="2" t="s">
        <v>1773</v>
      </c>
      <c r="Q468" s="2"/>
      <c r="R468" s="2"/>
      <c r="S468" s="5">
        <v>120.7</v>
      </c>
      <c r="T468" s="7">
        <v>237.739</v>
      </c>
      <c r="U468" s="5">
        <v>26.4</v>
      </c>
      <c r="V468" s="6">
        <v>4.9400000000000004</v>
      </c>
      <c r="W468" s="6">
        <v>51.75</v>
      </c>
      <c r="X468" s="6">
        <v>50.25</v>
      </c>
      <c r="Y468" s="4">
        <v>52</v>
      </c>
      <c r="Z468" s="6">
        <v>72.25</v>
      </c>
      <c r="AA468" s="6">
        <v>22.9</v>
      </c>
      <c r="AB468" s="2" t="s">
        <v>47</v>
      </c>
      <c r="AC468" s="2"/>
    </row>
    <row r="469" spans="1:29" ht="52" x14ac:dyDescent="0.15">
      <c r="A469" s="3">
        <f>DATE(1991,3,13)</f>
        <v>33310</v>
      </c>
      <c r="B469" s="3">
        <f>DATE(1991,3,13)</f>
        <v>33310</v>
      </c>
      <c r="C469" s="2" t="s">
        <v>95</v>
      </c>
      <c r="D469" s="2" t="s">
        <v>1774</v>
      </c>
      <c r="E469" s="2" t="s">
        <v>1775</v>
      </c>
      <c r="F469" s="4">
        <v>4953</v>
      </c>
      <c r="G469" s="2" t="s">
        <v>116</v>
      </c>
      <c r="H469" s="2" t="s">
        <v>34</v>
      </c>
      <c r="I469" s="2" t="s">
        <v>1776</v>
      </c>
      <c r="J469" s="2" t="s">
        <v>1775</v>
      </c>
      <c r="K469" s="2" t="s">
        <v>116</v>
      </c>
      <c r="L469" s="2" t="s">
        <v>34</v>
      </c>
      <c r="M469" s="2"/>
      <c r="N469" s="2"/>
      <c r="O469" s="2"/>
      <c r="P469" s="2" t="s">
        <v>1777</v>
      </c>
      <c r="Q469" s="6">
        <v>51</v>
      </c>
      <c r="R469" s="2"/>
      <c r="S469" s="5">
        <v>-0.8</v>
      </c>
      <c r="T469" s="2"/>
      <c r="U469" s="5">
        <v>0.2</v>
      </c>
      <c r="V469" s="6">
        <v>-0.88</v>
      </c>
      <c r="W469" s="7">
        <v>1.375</v>
      </c>
      <c r="X469" s="5">
        <v>1.5</v>
      </c>
      <c r="Y469" s="7">
        <v>1.625</v>
      </c>
      <c r="Z469" s="7">
        <v>1.625</v>
      </c>
      <c r="AA469" s="2"/>
      <c r="AB469" s="2" t="s">
        <v>86</v>
      </c>
      <c r="AC469" s="2"/>
    </row>
    <row r="470" spans="1:29" ht="117" x14ac:dyDescent="0.15">
      <c r="A470" s="3">
        <f>DATE(1991,3,15)</f>
        <v>33312</v>
      </c>
      <c r="B470" s="3">
        <f>DATE(1991,9,15)</f>
        <v>33496</v>
      </c>
      <c r="C470" s="2" t="s">
        <v>95</v>
      </c>
      <c r="D470" s="2" t="s">
        <v>1778</v>
      </c>
      <c r="E470" s="2" t="s">
        <v>1779</v>
      </c>
      <c r="F470" s="4">
        <v>2834</v>
      </c>
      <c r="G470" s="2" t="s">
        <v>130</v>
      </c>
      <c r="H470" s="2" t="s">
        <v>34</v>
      </c>
      <c r="I470" s="2" t="s">
        <v>1780</v>
      </c>
      <c r="J470" s="2" t="s">
        <v>1781</v>
      </c>
      <c r="K470" s="2" t="s">
        <v>921</v>
      </c>
      <c r="L470" s="2" t="s">
        <v>34</v>
      </c>
      <c r="M470" s="2"/>
      <c r="N470" s="2"/>
      <c r="O470" s="2"/>
      <c r="P470" s="2" t="s">
        <v>1782</v>
      </c>
      <c r="Q470" s="6">
        <v>100</v>
      </c>
      <c r="R470" s="2"/>
      <c r="S470" s="5">
        <v>-16.2</v>
      </c>
      <c r="T470" s="7">
        <v>-6.2140000000000004</v>
      </c>
      <c r="U470" s="5">
        <v>2.5</v>
      </c>
      <c r="V470" s="6">
        <v>-8.32</v>
      </c>
      <c r="W470" s="7">
        <v>2.0630000000000002</v>
      </c>
      <c r="X470" s="7">
        <v>2.0630000000000002</v>
      </c>
      <c r="Y470" s="7">
        <v>2.0630000000000002</v>
      </c>
      <c r="Z470" s="6">
        <v>4.25</v>
      </c>
      <c r="AA470" s="2"/>
      <c r="AB470" s="2" t="s">
        <v>86</v>
      </c>
      <c r="AC470" s="2"/>
    </row>
    <row r="471" spans="1:29" ht="156" x14ac:dyDescent="0.15">
      <c r="A471" s="3">
        <f>DATE(1991,3,19)</f>
        <v>33316</v>
      </c>
      <c r="B471" s="3">
        <f>DATE(1992,2,4)</f>
        <v>33638</v>
      </c>
      <c r="C471" s="2" t="s">
        <v>95</v>
      </c>
      <c r="D471" s="2" t="s">
        <v>1783</v>
      </c>
      <c r="E471" s="2" t="s">
        <v>1784</v>
      </c>
      <c r="F471" s="4">
        <v>3661</v>
      </c>
      <c r="G471" s="2" t="s">
        <v>921</v>
      </c>
      <c r="H471" s="2" t="s">
        <v>34</v>
      </c>
      <c r="I471" s="2" t="s">
        <v>1785</v>
      </c>
      <c r="J471" s="2" t="s">
        <v>1786</v>
      </c>
      <c r="K471" s="2" t="s">
        <v>63</v>
      </c>
      <c r="L471" s="2" t="s">
        <v>34</v>
      </c>
      <c r="M471" s="7">
        <v>718.47500000000002</v>
      </c>
      <c r="N471" s="6">
        <v>27.75</v>
      </c>
      <c r="O471" s="5">
        <v>28.5</v>
      </c>
      <c r="P471" s="2" t="s">
        <v>1787</v>
      </c>
      <c r="Q471" s="6">
        <v>100</v>
      </c>
      <c r="R471" s="6">
        <v>5.63</v>
      </c>
      <c r="S471" s="5">
        <v>0.5</v>
      </c>
      <c r="T471" s="7">
        <v>13.368</v>
      </c>
      <c r="U471" s="5">
        <v>-2.7</v>
      </c>
      <c r="V471" s="6">
        <v>-0.19</v>
      </c>
      <c r="W471" s="7">
        <v>2.125</v>
      </c>
      <c r="X471" s="4">
        <v>3</v>
      </c>
      <c r="Y471" s="6">
        <v>2.75</v>
      </c>
      <c r="Z471" s="6">
        <v>2.75</v>
      </c>
      <c r="AA471" s="6">
        <v>6.49</v>
      </c>
      <c r="AB471" s="7">
        <v>14.19</v>
      </c>
      <c r="AC471" s="6">
        <v>1.1499999999999999</v>
      </c>
    </row>
    <row r="472" spans="1:29" ht="130" x14ac:dyDescent="0.15">
      <c r="A472" s="3">
        <f>DATE(1991,3,19)</f>
        <v>33316</v>
      </c>
      <c r="B472" s="3">
        <f>DATE(1991,3,19)</f>
        <v>33316</v>
      </c>
      <c r="C472" s="2" t="s">
        <v>95</v>
      </c>
      <c r="D472" s="2" t="s">
        <v>1788</v>
      </c>
      <c r="E472" s="2" t="s">
        <v>1789</v>
      </c>
      <c r="F472" s="4">
        <v>4953</v>
      </c>
      <c r="G472" s="2" t="s">
        <v>116</v>
      </c>
      <c r="H472" s="2" t="s">
        <v>34</v>
      </c>
      <c r="I472" s="2" t="s">
        <v>1790</v>
      </c>
      <c r="J472" s="2" t="s">
        <v>52</v>
      </c>
      <c r="K472" s="2" t="s">
        <v>53</v>
      </c>
      <c r="L472" s="2" t="s">
        <v>1791</v>
      </c>
      <c r="M472" s="2"/>
      <c r="N472" s="2"/>
      <c r="O472" s="2"/>
      <c r="P472" s="2" t="s">
        <v>1792</v>
      </c>
      <c r="Q472" s="6">
        <v>64.66</v>
      </c>
      <c r="R472" s="2"/>
      <c r="S472" s="5">
        <v>1.9</v>
      </c>
      <c r="T472" s="2"/>
      <c r="U472" s="5">
        <v>3.5</v>
      </c>
      <c r="V472" s="6">
        <v>0.32</v>
      </c>
      <c r="W472" s="7">
        <v>9.125</v>
      </c>
      <c r="X472" s="7">
        <v>9.375</v>
      </c>
      <c r="Y472" s="4">
        <v>8</v>
      </c>
      <c r="Z472" s="7">
        <v>10.625</v>
      </c>
      <c r="AA472" s="6">
        <v>12.3</v>
      </c>
      <c r="AB472" s="7">
        <v>6.1970000000000001</v>
      </c>
      <c r="AC472" s="2"/>
    </row>
    <row r="473" spans="1:29" ht="39" x14ac:dyDescent="0.15">
      <c r="A473" s="3">
        <f>DATE(1991,3,20)</f>
        <v>33317</v>
      </c>
      <c r="B473" s="2"/>
      <c r="C473" s="2" t="s">
        <v>87</v>
      </c>
      <c r="D473" s="2" t="s">
        <v>1793</v>
      </c>
      <c r="E473" s="2" t="s">
        <v>1794</v>
      </c>
      <c r="F473" s="4">
        <v>5961</v>
      </c>
      <c r="G473" s="2" t="s">
        <v>73</v>
      </c>
      <c r="H473" s="2" t="s">
        <v>34</v>
      </c>
      <c r="I473" s="2" t="s">
        <v>138</v>
      </c>
      <c r="J473" s="2" t="s">
        <v>139</v>
      </c>
      <c r="K473" s="2" t="s">
        <v>53</v>
      </c>
      <c r="L473" s="2" t="s">
        <v>139</v>
      </c>
      <c r="M473" s="2"/>
      <c r="N473" s="2"/>
      <c r="O473" s="2"/>
      <c r="P473" s="2" t="s">
        <v>1795</v>
      </c>
      <c r="Q473" s="2"/>
      <c r="R473" s="2"/>
      <c r="S473" s="5">
        <v>-2.1</v>
      </c>
      <c r="T473" s="7">
        <v>27.715</v>
      </c>
      <c r="U473" s="5">
        <v>-44.2</v>
      </c>
      <c r="V473" s="9">
        <v>-1.5183</v>
      </c>
      <c r="W473" s="7">
        <v>3.875</v>
      </c>
      <c r="X473" s="7">
        <v>3.375</v>
      </c>
      <c r="Y473" s="7">
        <v>3.625</v>
      </c>
      <c r="Z473" s="4">
        <v>4</v>
      </c>
      <c r="AA473" s="6">
        <v>14.12</v>
      </c>
      <c r="AB473" s="2" t="s">
        <v>47</v>
      </c>
      <c r="AC473" s="2"/>
    </row>
    <row r="474" spans="1:29" ht="52" x14ac:dyDescent="0.15">
      <c r="A474" s="3">
        <f>DATE(1991,3,22)</f>
        <v>33319</v>
      </c>
      <c r="B474" s="2"/>
      <c r="C474" s="2" t="s">
        <v>189</v>
      </c>
      <c r="D474" s="2" t="s">
        <v>1796</v>
      </c>
      <c r="E474" s="2" t="s">
        <v>1295</v>
      </c>
      <c r="F474" s="4">
        <v>6036</v>
      </c>
      <c r="G474" s="2" t="s">
        <v>33</v>
      </c>
      <c r="H474" s="2" t="s">
        <v>34</v>
      </c>
      <c r="I474" s="2" t="s">
        <v>143</v>
      </c>
      <c r="J474" s="2" t="s">
        <v>144</v>
      </c>
      <c r="K474" s="2" t="s">
        <v>53</v>
      </c>
      <c r="L474" s="2" t="s">
        <v>139</v>
      </c>
      <c r="M474" s="2"/>
      <c r="N474" s="2"/>
      <c r="O474" s="2"/>
      <c r="P474" s="2" t="s">
        <v>1797</v>
      </c>
      <c r="Q474" s="2"/>
      <c r="R474" s="2"/>
      <c r="S474" s="5">
        <v>0.3</v>
      </c>
      <c r="T474" s="7">
        <v>1.0409999999999999</v>
      </c>
      <c r="U474" s="2"/>
      <c r="V474" s="6">
        <v>0.51</v>
      </c>
      <c r="W474" s="4">
        <v>12</v>
      </c>
      <c r="X474" s="5">
        <v>11.5</v>
      </c>
      <c r="Y474" s="4">
        <v>12</v>
      </c>
      <c r="Z474" s="4">
        <v>12</v>
      </c>
      <c r="AA474" s="2"/>
      <c r="AB474" s="2" t="s">
        <v>47</v>
      </c>
      <c r="AC474" s="2"/>
    </row>
    <row r="475" spans="1:29" ht="156" x14ac:dyDescent="0.15">
      <c r="A475" s="3">
        <f>DATE(1991,3,25)</f>
        <v>33322</v>
      </c>
      <c r="B475" s="3">
        <f>DATE(1991,10,1)</f>
        <v>33512</v>
      </c>
      <c r="C475" s="2" t="s">
        <v>95</v>
      </c>
      <c r="D475" s="2" t="s">
        <v>1798</v>
      </c>
      <c r="E475" s="2" t="s">
        <v>36</v>
      </c>
      <c r="F475" s="4">
        <v>6021</v>
      </c>
      <c r="G475" s="2" t="s">
        <v>37</v>
      </c>
      <c r="H475" s="2" t="s">
        <v>34</v>
      </c>
      <c r="I475" s="2" t="s">
        <v>1799</v>
      </c>
      <c r="J475" s="2" t="s">
        <v>36</v>
      </c>
      <c r="K475" s="2" t="s">
        <v>37</v>
      </c>
      <c r="L475" s="2" t="s">
        <v>34</v>
      </c>
      <c r="M475" s="2"/>
      <c r="N475" s="6">
        <v>39.25</v>
      </c>
      <c r="O475" s="7">
        <v>39.125</v>
      </c>
      <c r="P475" s="2" t="s">
        <v>1800</v>
      </c>
      <c r="Q475" s="6">
        <v>100</v>
      </c>
      <c r="R475" s="6">
        <v>14.88</v>
      </c>
      <c r="S475" s="5">
        <v>14.1</v>
      </c>
      <c r="T475" s="2"/>
      <c r="U475" s="5">
        <v>7</v>
      </c>
      <c r="V475" s="6">
        <v>1.02</v>
      </c>
      <c r="W475" s="6">
        <v>11.25</v>
      </c>
      <c r="X475" s="4">
        <v>12</v>
      </c>
      <c r="Y475" s="6">
        <v>11.75</v>
      </c>
      <c r="Z475" s="5">
        <v>13.5</v>
      </c>
      <c r="AA475" s="6">
        <v>13.8</v>
      </c>
      <c r="AB475" s="7">
        <v>75.474000000000004</v>
      </c>
      <c r="AC475" s="2"/>
    </row>
    <row r="476" spans="1:29" ht="78" x14ac:dyDescent="0.15">
      <c r="A476" s="3">
        <f>DATE(1991,3,25)</f>
        <v>33322</v>
      </c>
      <c r="B476" s="2"/>
      <c r="C476" s="2" t="s">
        <v>30</v>
      </c>
      <c r="D476" s="2" t="s">
        <v>1541</v>
      </c>
      <c r="E476" s="2" t="s">
        <v>1542</v>
      </c>
      <c r="F476" s="4">
        <v>5949</v>
      </c>
      <c r="G476" s="2" t="s">
        <v>73</v>
      </c>
      <c r="H476" s="2" t="s">
        <v>34</v>
      </c>
      <c r="I476" s="2" t="s">
        <v>138</v>
      </c>
      <c r="J476" s="2" t="s">
        <v>139</v>
      </c>
      <c r="K476" s="2" t="s">
        <v>53</v>
      </c>
      <c r="L476" s="2" t="s">
        <v>139</v>
      </c>
      <c r="M476" s="2"/>
      <c r="N476" s="2"/>
      <c r="O476" s="2"/>
      <c r="P476" s="2" t="s">
        <v>1801</v>
      </c>
      <c r="Q476" s="2"/>
      <c r="R476" s="2"/>
      <c r="S476" s="5">
        <v>2.7</v>
      </c>
      <c r="T476" s="7">
        <v>6.8630000000000004</v>
      </c>
      <c r="U476" s="5">
        <v>7</v>
      </c>
      <c r="V476" s="6">
        <v>0.85</v>
      </c>
      <c r="W476" s="6">
        <v>11.75</v>
      </c>
      <c r="X476" s="4">
        <v>10</v>
      </c>
      <c r="Y476" s="6">
        <v>12.25</v>
      </c>
      <c r="Z476" s="5">
        <v>12.5</v>
      </c>
      <c r="AA476" s="2"/>
      <c r="AB476" s="2" t="s">
        <v>47</v>
      </c>
      <c r="AC476" s="2"/>
    </row>
    <row r="477" spans="1:29" ht="143" x14ac:dyDescent="0.15">
      <c r="A477" s="3">
        <f>DATE(1991,3,25)</f>
        <v>33322</v>
      </c>
      <c r="B477" s="3">
        <f>DATE(1991,9,5)</f>
        <v>33486</v>
      </c>
      <c r="C477" s="2" t="s">
        <v>95</v>
      </c>
      <c r="D477" s="2" t="s">
        <v>1802</v>
      </c>
      <c r="E477" s="2" t="s">
        <v>1803</v>
      </c>
      <c r="F477" s="4">
        <v>6211</v>
      </c>
      <c r="G477" s="2" t="s">
        <v>53</v>
      </c>
      <c r="H477" s="2" t="s">
        <v>34</v>
      </c>
      <c r="I477" s="2" t="s">
        <v>1804</v>
      </c>
      <c r="J477" s="2" t="s">
        <v>367</v>
      </c>
      <c r="K477" s="2" t="s">
        <v>53</v>
      </c>
      <c r="L477" s="2" t="s">
        <v>902</v>
      </c>
      <c r="M477" s="2"/>
      <c r="N477" s="2"/>
      <c r="O477" s="2"/>
      <c r="P477" s="2" t="s">
        <v>1805</v>
      </c>
      <c r="Q477" s="6">
        <v>100</v>
      </c>
      <c r="R477" s="6">
        <v>2.35</v>
      </c>
      <c r="S477" s="5">
        <v>-5.8</v>
      </c>
      <c r="T477" s="7">
        <v>-6.4539999999999997</v>
      </c>
      <c r="U477" s="5">
        <v>3.5</v>
      </c>
      <c r="V477" s="6">
        <v>-2.88</v>
      </c>
      <c r="W477" s="6">
        <v>2.25</v>
      </c>
      <c r="X477" s="7">
        <v>2.375</v>
      </c>
      <c r="Y477" s="6">
        <v>1.75</v>
      </c>
      <c r="Z477" s="7">
        <v>1.875</v>
      </c>
      <c r="AA477" s="6">
        <v>2.0099999999999998</v>
      </c>
      <c r="AB477" s="2" t="s">
        <v>86</v>
      </c>
      <c r="AC477" s="2"/>
    </row>
    <row r="478" spans="1:29" ht="104" x14ac:dyDescent="0.15">
      <c r="A478" s="3">
        <f>DATE(1991,3,25)</f>
        <v>33322</v>
      </c>
      <c r="B478" s="3">
        <f>DATE(1991,12,31)</f>
        <v>33603</v>
      </c>
      <c r="C478" s="2" t="s">
        <v>95</v>
      </c>
      <c r="D478" s="2" t="s">
        <v>1806</v>
      </c>
      <c r="E478" s="2" t="s">
        <v>36</v>
      </c>
      <c r="F478" s="4">
        <v>6021</v>
      </c>
      <c r="G478" s="2" t="s">
        <v>37</v>
      </c>
      <c r="H478" s="2" t="s">
        <v>34</v>
      </c>
      <c r="I478" s="2" t="s">
        <v>1612</v>
      </c>
      <c r="J478" s="2" t="s">
        <v>263</v>
      </c>
      <c r="K478" s="2" t="s">
        <v>37</v>
      </c>
      <c r="L478" s="2" t="s">
        <v>34</v>
      </c>
      <c r="M478" s="12">
        <v>5208.6490000000003</v>
      </c>
      <c r="N478" s="5">
        <v>33.5</v>
      </c>
      <c r="O478" s="6">
        <v>35.75</v>
      </c>
      <c r="P478" s="2" t="s">
        <v>1807</v>
      </c>
      <c r="Q478" s="6">
        <v>100</v>
      </c>
      <c r="R478" s="6">
        <v>28.34</v>
      </c>
      <c r="S478" s="5">
        <v>12.2</v>
      </c>
      <c r="T478" s="7">
        <v>19.579000000000001</v>
      </c>
      <c r="U478" s="5">
        <v>16</v>
      </c>
      <c r="V478" s="6">
        <v>1.9</v>
      </c>
      <c r="W478" s="5">
        <v>22.5</v>
      </c>
      <c r="X478" s="6">
        <v>23.75</v>
      </c>
      <c r="Y478" s="6">
        <v>26.25</v>
      </c>
      <c r="Z478" s="5">
        <v>28.5</v>
      </c>
      <c r="AA478" s="6">
        <v>6.4</v>
      </c>
      <c r="AB478" s="7">
        <v>61.476999999999997</v>
      </c>
      <c r="AC478" s="2"/>
    </row>
    <row r="479" spans="1:29" ht="117" x14ac:dyDescent="0.15">
      <c r="A479" s="3">
        <f>DATE(1991,3,27)</f>
        <v>33324</v>
      </c>
      <c r="B479" s="2"/>
      <c r="C479" s="2" t="s">
        <v>30</v>
      </c>
      <c r="D479" s="2" t="s">
        <v>1808</v>
      </c>
      <c r="E479" s="2" t="s">
        <v>1809</v>
      </c>
      <c r="F479" s="4">
        <v>3841</v>
      </c>
      <c r="G479" s="2" t="s">
        <v>226</v>
      </c>
      <c r="H479" s="2" t="s">
        <v>34</v>
      </c>
      <c r="I479" s="2" t="s">
        <v>1810</v>
      </c>
      <c r="J479" s="2" t="s">
        <v>1811</v>
      </c>
      <c r="K479" s="2" t="s">
        <v>226</v>
      </c>
      <c r="L479" s="2" t="s">
        <v>34</v>
      </c>
      <c r="M479" s="2"/>
      <c r="N479" s="7">
        <v>16.625</v>
      </c>
      <c r="O479" s="5">
        <v>17.5</v>
      </c>
      <c r="P479" s="2" t="s">
        <v>1812</v>
      </c>
      <c r="Q479" s="2"/>
      <c r="R479" s="6">
        <v>12.94</v>
      </c>
      <c r="S479" s="5">
        <v>1.4</v>
      </c>
      <c r="T479" s="7">
        <v>3.8530000000000002</v>
      </c>
      <c r="U479" s="5">
        <v>0.9</v>
      </c>
      <c r="V479" s="6">
        <v>0.4</v>
      </c>
      <c r="W479" s="4">
        <v>13</v>
      </c>
      <c r="X479" s="7">
        <v>13.125</v>
      </c>
      <c r="Y479" s="5">
        <v>14.5</v>
      </c>
      <c r="Z479" s="4">
        <v>13</v>
      </c>
      <c r="AA479" s="6">
        <v>2.0699999999999998</v>
      </c>
      <c r="AB479" s="7">
        <v>11.063000000000001</v>
      </c>
      <c r="AC479" s="2"/>
    </row>
    <row r="480" spans="1:29" ht="143" x14ac:dyDescent="0.15">
      <c r="A480" s="3">
        <f>DATE(1991,3,27)</f>
        <v>33324</v>
      </c>
      <c r="B480" s="3">
        <f>DATE(1992,3,30)</f>
        <v>33693</v>
      </c>
      <c r="C480" s="2" t="s">
        <v>95</v>
      </c>
      <c r="D480" s="2" t="s">
        <v>1813</v>
      </c>
      <c r="E480" s="2" t="s">
        <v>32</v>
      </c>
      <c r="F480" s="4">
        <v>6035</v>
      </c>
      <c r="G480" s="2" t="s">
        <v>33</v>
      </c>
      <c r="H480" s="2" t="s">
        <v>34</v>
      </c>
      <c r="I480" s="2" t="s">
        <v>232</v>
      </c>
      <c r="J480" s="2" t="s">
        <v>36</v>
      </c>
      <c r="K480" s="2" t="s">
        <v>33</v>
      </c>
      <c r="L480" s="2" t="s">
        <v>34</v>
      </c>
      <c r="M480" s="7">
        <v>32.908999999999999</v>
      </c>
      <c r="N480" s="7">
        <v>15.625</v>
      </c>
      <c r="O480" s="5">
        <v>15.5</v>
      </c>
      <c r="P480" s="2" t="s">
        <v>1814</v>
      </c>
      <c r="Q480" s="6">
        <v>100</v>
      </c>
      <c r="R480" s="6">
        <v>11.91</v>
      </c>
      <c r="S480" s="5">
        <v>2.6</v>
      </c>
      <c r="T480" s="7">
        <v>3.0790000000000002</v>
      </c>
      <c r="U480" s="5">
        <v>15.2</v>
      </c>
      <c r="V480" s="6">
        <v>1.79</v>
      </c>
      <c r="W480" s="5">
        <v>7.5</v>
      </c>
      <c r="X480" s="5">
        <v>7.5</v>
      </c>
      <c r="Y480" s="6">
        <v>10.25</v>
      </c>
      <c r="Z480" s="4">
        <v>9</v>
      </c>
      <c r="AA480" s="6">
        <v>1.04</v>
      </c>
      <c r="AB480" s="7">
        <v>112.06100000000001</v>
      </c>
      <c r="AC480" s="2"/>
    </row>
    <row r="481" spans="1:29" ht="143" x14ac:dyDescent="0.15">
      <c r="A481" s="3">
        <f>DATE(1991,3,28)</f>
        <v>33325</v>
      </c>
      <c r="B481" s="3">
        <f>DATE(1991,7,15)</f>
        <v>33434</v>
      </c>
      <c r="C481" s="2" t="s">
        <v>95</v>
      </c>
      <c r="D481" s="2" t="s">
        <v>1557</v>
      </c>
      <c r="E481" s="2" t="s">
        <v>1181</v>
      </c>
      <c r="F481" s="4">
        <v>6021</v>
      </c>
      <c r="G481" s="2" t="s">
        <v>37</v>
      </c>
      <c r="H481" s="2" t="s">
        <v>34</v>
      </c>
      <c r="I481" s="2" t="s">
        <v>51</v>
      </c>
      <c r="J481" s="2" t="s">
        <v>52</v>
      </c>
      <c r="K481" s="2" t="s">
        <v>53</v>
      </c>
      <c r="L481" s="2" t="s">
        <v>34</v>
      </c>
      <c r="M481" s="2"/>
      <c r="N481" s="2"/>
      <c r="O481" s="2"/>
      <c r="P481" s="2" t="s">
        <v>1815</v>
      </c>
      <c r="Q481" s="6">
        <v>100</v>
      </c>
      <c r="R481" s="2"/>
      <c r="S481" s="5">
        <v>281.7</v>
      </c>
      <c r="T481" s="7">
        <v>511.00599999999997</v>
      </c>
      <c r="U481" s="5">
        <v>23.3</v>
      </c>
      <c r="V481" s="6">
        <v>4.0599999999999996</v>
      </c>
      <c r="W481" s="4">
        <v>18</v>
      </c>
      <c r="X481" s="6">
        <v>17.75</v>
      </c>
      <c r="Y481" s="7">
        <v>17.625</v>
      </c>
      <c r="Z481" s="6">
        <v>18.25</v>
      </c>
      <c r="AA481" s="2"/>
      <c r="AB481" s="7">
        <v>12.654999999999999</v>
      </c>
      <c r="AC481" s="2"/>
    </row>
    <row r="482" spans="1:29" ht="143" x14ac:dyDescent="0.15">
      <c r="A482" s="3">
        <f>DATE(1991,3,28)</f>
        <v>33325</v>
      </c>
      <c r="B482" s="2"/>
      <c r="C482" s="2" t="s">
        <v>30</v>
      </c>
      <c r="D482" s="2" t="s">
        <v>1816</v>
      </c>
      <c r="E482" s="2" t="s">
        <v>1817</v>
      </c>
      <c r="F482" s="4">
        <v>4512</v>
      </c>
      <c r="G482" s="2" t="s">
        <v>59</v>
      </c>
      <c r="H482" s="2" t="s">
        <v>34</v>
      </c>
      <c r="I482" s="2" t="s">
        <v>1818</v>
      </c>
      <c r="J482" s="2" t="s">
        <v>58</v>
      </c>
      <c r="K482" s="2" t="s">
        <v>59</v>
      </c>
      <c r="L482" s="2" t="s">
        <v>34</v>
      </c>
      <c r="M482" s="2"/>
      <c r="N482" s="2"/>
      <c r="O482" s="2"/>
      <c r="P482" s="2" t="s">
        <v>1819</v>
      </c>
      <c r="Q482" s="2"/>
      <c r="R482" s="2"/>
      <c r="S482" s="8">
        <v>-2402.9</v>
      </c>
      <c r="T482" s="7">
        <v>-74.762</v>
      </c>
      <c r="U482" s="5">
        <v>-77.8</v>
      </c>
      <c r="V482" s="6">
        <v>-57.52</v>
      </c>
      <c r="W482" s="6">
        <v>4.25</v>
      </c>
      <c r="X482" s="7">
        <v>3.625</v>
      </c>
      <c r="Y482" s="6">
        <v>3.75</v>
      </c>
      <c r="Z482" s="7">
        <v>3.625</v>
      </c>
      <c r="AA482" s="2"/>
      <c r="AB482" s="2" t="s">
        <v>86</v>
      </c>
      <c r="AC482" s="2"/>
    </row>
    <row r="483" spans="1:29" ht="52" x14ac:dyDescent="0.15">
      <c r="A483" s="3">
        <f>DATE(1991,3,28)</f>
        <v>33325</v>
      </c>
      <c r="B483" s="2"/>
      <c r="C483" s="2" t="s">
        <v>189</v>
      </c>
      <c r="D483" s="2" t="s">
        <v>1820</v>
      </c>
      <c r="E483" s="2" t="s">
        <v>1821</v>
      </c>
      <c r="F483" s="4">
        <v>5311</v>
      </c>
      <c r="G483" s="2" t="s">
        <v>756</v>
      </c>
      <c r="H483" s="2" t="s">
        <v>34</v>
      </c>
      <c r="I483" s="2" t="s">
        <v>143</v>
      </c>
      <c r="J483" s="2" t="s">
        <v>144</v>
      </c>
      <c r="K483" s="2" t="s">
        <v>53</v>
      </c>
      <c r="L483" s="2" t="s">
        <v>139</v>
      </c>
      <c r="M483" s="2"/>
      <c r="N483" s="2"/>
      <c r="O483" s="2"/>
      <c r="P483" s="2" t="s">
        <v>1822</v>
      </c>
      <c r="Q483" s="2"/>
      <c r="R483" s="2"/>
      <c r="S483" s="5">
        <v>-2.6</v>
      </c>
      <c r="T483" s="7">
        <v>1.1080000000000001</v>
      </c>
      <c r="U483" s="5">
        <v>15.6</v>
      </c>
      <c r="V483" s="6">
        <v>-2.59</v>
      </c>
      <c r="W483" s="7">
        <v>15.875</v>
      </c>
      <c r="X483" s="6">
        <v>15.75</v>
      </c>
      <c r="Y483" s="5">
        <v>15.5</v>
      </c>
      <c r="Z483" s="5">
        <v>15.5</v>
      </c>
      <c r="AA483" s="2"/>
      <c r="AB483" s="2" t="s">
        <v>86</v>
      </c>
      <c r="AC483" s="2"/>
    </row>
    <row r="484" spans="1:29" ht="156" x14ac:dyDescent="0.15">
      <c r="A484" s="3">
        <f>DATE(1991,4,1)</f>
        <v>33329</v>
      </c>
      <c r="B484" s="2"/>
      <c r="C484" s="2" t="s">
        <v>30</v>
      </c>
      <c r="D484" s="2" t="s">
        <v>1823</v>
      </c>
      <c r="E484" s="2" t="s">
        <v>1824</v>
      </c>
      <c r="F484" s="4">
        <v>3452</v>
      </c>
      <c r="G484" s="2" t="s">
        <v>163</v>
      </c>
      <c r="H484" s="2" t="s">
        <v>34</v>
      </c>
      <c r="I484" s="2" t="s">
        <v>51</v>
      </c>
      <c r="J484" s="2" t="s">
        <v>52</v>
      </c>
      <c r="K484" s="2" t="s">
        <v>53</v>
      </c>
      <c r="L484" s="2" t="s">
        <v>34</v>
      </c>
      <c r="M484" s="2"/>
      <c r="N484" s="2"/>
      <c r="O484" s="2"/>
      <c r="P484" s="2" t="s">
        <v>1825</v>
      </c>
      <c r="Q484" s="2"/>
      <c r="R484" s="6">
        <v>6.5</v>
      </c>
      <c r="S484" s="5">
        <v>-5.7</v>
      </c>
      <c r="T484" s="7">
        <v>6.6070000000000002</v>
      </c>
      <c r="U484" s="5">
        <v>7.5</v>
      </c>
      <c r="V484" s="6">
        <v>-1.1200000000000001</v>
      </c>
      <c r="W484" s="6">
        <v>4.25</v>
      </c>
      <c r="X484" s="7">
        <v>4.125</v>
      </c>
      <c r="Y484" s="6">
        <v>4.75</v>
      </c>
      <c r="Z484" s="7">
        <v>5.125</v>
      </c>
      <c r="AA484" s="6">
        <v>5.3</v>
      </c>
      <c r="AB484" s="7">
        <v>24.738</v>
      </c>
      <c r="AC484" s="2"/>
    </row>
    <row r="485" spans="1:29" ht="117" x14ac:dyDescent="0.15">
      <c r="A485" s="3">
        <f>DATE(1991,4,5)</f>
        <v>33333</v>
      </c>
      <c r="B485" s="2"/>
      <c r="C485" s="2" t="s">
        <v>30</v>
      </c>
      <c r="D485" s="2" t="s">
        <v>1826</v>
      </c>
      <c r="E485" s="2" t="s">
        <v>612</v>
      </c>
      <c r="F485" s="4">
        <v>1311</v>
      </c>
      <c r="G485" s="2" t="s">
        <v>148</v>
      </c>
      <c r="H485" s="2" t="s">
        <v>34</v>
      </c>
      <c r="I485" s="2" t="s">
        <v>1827</v>
      </c>
      <c r="J485" s="2" t="s">
        <v>177</v>
      </c>
      <c r="K485" s="2" t="s">
        <v>148</v>
      </c>
      <c r="L485" s="2" t="s">
        <v>34</v>
      </c>
      <c r="M485" s="2"/>
      <c r="N485" s="2"/>
      <c r="O485" s="2"/>
      <c r="P485" s="2" t="s">
        <v>1828</v>
      </c>
      <c r="Q485" s="2"/>
      <c r="R485" s="6">
        <v>11.3</v>
      </c>
      <c r="S485" s="5">
        <v>0.4</v>
      </c>
      <c r="T485" s="7">
        <v>1.004</v>
      </c>
      <c r="U485" s="5">
        <v>6</v>
      </c>
      <c r="V485" s="2"/>
      <c r="W485" s="4">
        <v>6</v>
      </c>
      <c r="X485" s="4">
        <v>6</v>
      </c>
      <c r="Y485" s="4">
        <v>6</v>
      </c>
      <c r="Z485" s="4">
        <v>6</v>
      </c>
      <c r="AA485" s="6">
        <v>0.88</v>
      </c>
      <c r="AB485" s="7">
        <v>14.715999999999999</v>
      </c>
      <c r="AC485" s="2"/>
    </row>
    <row r="486" spans="1:29" ht="156" x14ac:dyDescent="0.15">
      <c r="A486" s="3">
        <f>DATE(1991,4,5)</f>
        <v>33333</v>
      </c>
      <c r="B486" s="3">
        <f>DATE(1991,5,7)</f>
        <v>33365</v>
      </c>
      <c r="C486" s="2" t="s">
        <v>95</v>
      </c>
      <c r="D486" s="2" t="s">
        <v>1829</v>
      </c>
      <c r="E486" s="2" t="s">
        <v>1830</v>
      </c>
      <c r="F486" s="4">
        <v>7812</v>
      </c>
      <c r="G486" s="2" t="s">
        <v>42</v>
      </c>
      <c r="H486" s="2" t="s">
        <v>34</v>
      </c>
      <c r="I486" s="2" t="s">
        <v>1831</v>
      </c>
      <c r="J486" s="2" t="s">
        <v>612</v>
      </c>
      <c r="K486" s="2" t="s">
        <v>148</v>
      </c>
      <c r="L486" s="2" t="s">
        <v>34</v>
      </c>
      <c r="M486" s="2"/>
      <c r="N486" s="6">
        <v>5.25</v>
      </c>
      <c r="O486" s="4">
        <v>5</v>
      </c>
      <c r="P486" s="2" t="s">
        <v>1832</v>
      </c>
      <c r="Q486" s="6">
        <v>42.27</v>
      </c>
      <c r="R486" s="6">
        <v>6</v>
      </c>
      <c r="S486" s="5">
        <v>6.5</v>
      </c>
      <c r="T486" s="7">
        <v>48.186999999999998</v>
      </c>
      <c r="U486" s="5">
        <v>5.6</v>
      </c>
      <c r="V486" s="6">
        <v>0.15</v>
      </c>
      <c r="W486" s="6">
        <v>5.25</v>
      </c>
      <c r="X486" s="4">
        <v>5</v>
      </c>
      <c r="Y486" s="7">
        <v>4.375</v>
      </c>
      <c r="Z486" s="6">
        <v>4.75</v>
      </c>
      <c r="AA486" s="6">
        <v>33.119999999999997</v>
      </c>
      <c r="AB486" s="7">
        <v>14.224</v>
      </c>
      <c r="AC486" s="6">
        <v>156.22999999999999</v>
      </c>
    </row>
    <row r="487" spans="1:29" ht="143" x14ac:dyDescent="0.15">
      <c r="A487" s="3">
        <f>DATE(1991,4,11)</f>
        <v>33339</v>
      </c>
      <c r="B487" s="2"/>
      <c r="C487" s="2" t="s">
        <v>87</v>
      </c>
      <c r="D487" s="2" t="s">
        <v>168</v>
      </c>
      <c r="E487" s="2" t="s">
        <v>169</v>
      </c>
      <c r="F487" s="4">
        <v>6311</v>
      </c>
      <c r="G487" s="2" t="s">
        <v>125</v>
      </c>
      <c r="H487" s="2" t="s">
        <v>34</v>
      </c>
      <c r="I487" s="2" t="s">
        <v>51</v>
      </c>
      <c r="J487" s="2" t="s">
        <v>52</v>
      </c>
      <c r="K487" s="2" t="s">
        <v>53</v>
      </c>
      <c r="L487" s="2" t="s">
        <v>133</v>
      </c>
      <c r="M487" s="2"/>
      <c r="N487" s="2"/>
      <c r="O487" s="2"/>
      <c r="P487" s="2" t="s">
        <v>1833</v>
      </c>
      <c r="Q487" s="2"/>
      <c r="R487" s="2"/>
      <c r="S487" s="5">
        <v>-346.2</v>
      </c>
      <c r="T487" s="2"/>
      <c r="U487" s="5">
        <v>6</v>
      </c>
      <c r="V487" s="6">
        <v>-5.35</v>
      </c>
      <c r="W487" s="7">
        <v>2.875</v>
      </c>
      <c r="X487" s="6">
        <v>2.75</v>
      </c>
      <c r="Y487" s="6">
        <v>2.75</v>
      </c>
      <c r="Z487" s="7">
        <v>2.875</v>
      </c>
      <c r="AA487" s="2"/>
      <c r="AB487" s="2" t="s">
        <v>47</v>
      </c>
      <c r="AC487" s="2"/>
    </row>
    <row r="488" spans="1:29" ht="117" x14ac:dyDescent="0.15">
      <c r="A488" s="3">
        <f>DATE(1991,4,17)</f>
        <v>33345</v>
      </c>
      <c r="B488" s="3">
        <f>DATE(1991,11,15)</f>
        <v>33557</v>
      </c>
      <c r="C488" s="2" t="s">
        <v>95</v>
      </c>
      <c r="D488" s="2" t="s">
        <v>1834</v>
      </c>
      <c r="E488" s="2" t="s">
        <v>1835</v>
      </c>
      <c r="F488" s="4">
        <v>6311</v>
      </c>
      <c r="G488" s="2" t="s">
        <v>125</v>
      </c>
      <c r="H488" s="2" t="s">
        <v>34</v>
      </c>
      <c r="I488" s="2" t="s">
        <v>1836</v>
      </c>
      <c r="J488" s="2" t="s">
        <v>515</v>
      </c>
      <c r="K488" s="2" t="s">
        <v>125</v>
      </c>
      <c r="L488" s="2" t="s">
        <v>34</v>
      </c>
      <c r="M488" s="2"/>
      <c r="N488" s="5">
        <v>51.5</v>
      </c>
      <c r="O488" s="7">
        <v>52.125</v>
      </c>
      <c r="P488" s="2" t="s">
        <v>1837</v>
      </c>
      <c r="Q488" s="6">
        <v>100</v>
      </c>
      <c r="R488" s="6">
        <v>35.24</v>
      </c>
      <c r="S488" s="5">
        <v>16.8</v>
      </c>
      <c r="T488" s="7">
        <v>28.373999999999999</v>
      </c>
      <c r="U488" s="2"/>
      <c r="V488" s="6">
        <v>2.11</v>
      </c>
      <c r="W488" s="5">
        <v>28.5</v>
      </c>
      <c r="X488" s="6">
        <v>28.25</v>
      </c>
      <c r="Y488" s="6">
        <v>31.25</v>
      </c>
      <c r="Z488" s="4">
        <v>32</v>
      </c>
      <c r="AA488" s="6">
        <v>8.4700000000000006</v>
      </c>
      <c r="AB488" s="7">
        <v>12.301</v>
      </c>
      <c r="AC488" s="6">
        <v>397.84</v>
      </c>
    </row>
    <row r="489" spans="1:29" ht="39" x14ac:dyDescent="0.15">
      <c r="A489" s="3">
        <f>DATE(1991,4,17)</f>
        <v>33345</v>
      </c>
      <c r="B489" s="2"/>
      <c r="C489" s="2" t="s">
        <v>141</v>
      </c>
      <c r="D489" s="2" t="s">
        <v>1294</v>
      </c>
      <c r="E489" s="2" t="s">
        <v>1295</v>
      </c>
      <c r="F489" s="4">
        <v>6036</v>
      </c>
      <c r="G489" s="2" t="s">
        <v>33</v>
      </c>
      <c r="H489" s="2" t="s">
        <v>34</v>
      </c>
      <c r="I489" s="2" t="s">
        <v>143</v>
      </c>
      <c r="J489" s="2" t="s">
        <v>144</v>
      </c>
      <c r="K489" s="2" t="s">
        <v>53</v>
      </c>
      <c r="L489" s="2" t="s">
        <v>139</v>
      </c>
      <c r="M489" s="2"/>
      <c r="N489" s="2"/>
      <c r="O489" s="2"/>
      <c r="P489" s="2" t="s">
        <v>1838</v>
      </c>
      <c r="Q489" s="2"/>
      <c r="R489" s="2"/>
      <c r="S489" s="5">
        <v>7.8</v>
      </c>
      <c r="T489" s="7">
        <v>12.717000000000001</v>
      </c>
      <c r="U489" s="5">
        <v>7.3</v>
      </c>
      <c r="V489" s="6">
        <v>1.25</v>
      </c>
      <c r="W489" s="7">
        <v>5.125</v>
      </c>
      <c r="X489" s="7">
        <v>5.125</v>
      </c>
      <c r="Y489" s="5">
        <v>5.5</v>
      </c>
      <c r="Z489" s="5">
        <v>5.5</v>
      </c>
      <c r="AA489" s="6">
        <v>6.2</v>
      </c>
      <c r="AB489" s="2" t="s">
        <v>47</v>
      </c>
      <c r="AC489" s="2"/>
    </row>
    <row r="490" spans="1:29" ht="52" x14ac:dyDescent="0.15">
      <c r="A490" s="3">
        <f>DATE(1991,4,18)</f>
        <v>33346</v>
      </c>
      <c r="B490" s="2"/>
      <c r="C490" s="2" t="s">
        <v>189</v>
      </c>
      <c r="D490" s="2" t="s">
        <v>1839</v>
      </c>
      <c r="E490" s="2" t="s">
        <v>36</v>
      </c>
      <c r="F490" s="4">
        <v>6035</v>
      </c>
      <c r="G490" s="2" t="s">
        <v>33</v>
      </c>
      <c r="H490" s="2" t="s">
        <v>34</v>
      </c>
      <c r="I490" s="2" t="s">
        <v>143</v>
      </c>
      <c r="J490" s="2" t="s">
        <v>144</v>
      </c>
      <c r="K490" s="2" t="s">
        <v>53</v>
      </c>
      <c r="L490" s="2" t="s">
        <v>139</v>
      </c>
      <c r="M490" s="2"/>
      <c r="N490" s="2"/>
      <c r="O490" s="2"/>
      <c r="P490" s="2" t="s">
        <v>1840</v>
      </c>
      <c r="Q490" s="2"/>
      <c r="R490" s="2"/>
      <c r="S490" s="5">
        <v>-62.9</v>
      </c>
      <c r="T490" s="7">
        <v>21.512</v>
      </c>
      <c r="U490" s="5">
        <v>14.7</v>
      </c>
      <c r="V490" s="6">
        <v>-4.1399999999999997</v>
      </c>
      <c r="W490" s="7">
        <v>4.625</v>
      </c>
      <c r="X490" s="5">
        <v>4.5</v>
      </c>
      <c r="Y490" s="7">
        <v>4.625</v>
      </c>
      <c r="Z490" s="6">
        <v>4.25</v>
      </c>
      <c r="AA490" s="2"/>
      <c r="AB490" s="2" t="s">
        <v>47</v>
      </c>
      <c r="AC490" s="2"/>
    </row>
    <row r="491" spans="1:29" ht="156" x14ac:dyDescent="0.15">
      <c r="A491" s="3">
        <f>DATE(1991,4,18)</f>
        <v>33346</v>
      </c>
      <c r="B491" s="2"/>
      <c r="C491" s="2" t="s">
        <v>30</v>
      </c>
      <c r="D491" s="2" t="s">
        <v>1816</v>
      </c>
      <c r="E491" s="2" t="s">
        <v>1817</v>
      </c>
      <c r="F491" s="4">
        <v>4512</v>
      </c>
      <c r="G491" s="2" t="s">
        <v>59</v>
      </c>
      <c r="H491" s="2" t="s">
        <v>34</v>
      </c>
      <c r="I491" s="2" t="s">
        <v>1526</v>
      </c>
      <c r="J491" s="2" t="s">
        <v>302</v>
      </c>
      <c r="K491" s="2" t="s">
        <v>53</v>
      </c>
      <c r="L491" s="2" t="s">
        <v>34</v>
      </c>
      <c r="M491" s="2"/>
      <c r="N491" s="2"/>
      <c r="O491" s="2"/>
      <c r="P491" s="2" t="s">
        <v>1841</v>
      </c>
      <c r="Q491" s="2"/>
      <c r="R491" s="2"/>
      <c r="S491" s="8">
        <v>-2402.9</v>
      </c>
      <c r="T491" s="7">
        <v>-74.762</v>
      </c>
      <c r="U491" s="5">
        <v>-77.8</v>
      </c>
      <c r="V491" s="6">
        <v>-57.52</v>
      </c>
      <c r="W491" s="6">
        <v>4.25</v>
      </c>
      <c r="X491" s="7">
        <v>3.625</v>
      </c>
      <c r="Y491" s="6">
        <v>3.75</v>
      </c>
      <c r="Z491" s="7">
        <v>3.625</v>
      </c>
      <c r="AA491" s="2"/>
      <c r="AB491" s="2" t="s">
        <v>86</v>
      </c>
      <c r="AC491" s="2"/>
    </row>
    <row r="492" spans="1:29" ht="143" x14ac:dyDescent="0.15">
      <c r="A492" s="3">
        <f>DATE(1991,4,18)</f>
        <v>33346</v>
      </c>
      <c r="B492" s="3">
        <f>DATE(1991,8,6)</f>
        <v>33456</v>
      </c>
      <c r="C492" s="2" t="s">
        <v>95</v>
      </c>
      <c r="D492" s="2" t="s">
        <v>1842</v>
      </c>
      <c r="E492" s="2" t="s">
        <v>1843</v>
      </c>
      <c r="F492" s="4">
        <v>5734</v>
      </c>
      <c r="G492" s="2" t="s">
        <v>1227</v>
      </c>
      <c r="H492" s="2" t="s">
        <v>34</v>
      </c>
      <c r="I492" s="2" t="s">
        <v>1844</v>
      </c>
      <c r="J492" s="2" t="s">
        <v>1845</v>
      </c>
      <c r="K492" s="2" t="s">
        <v>1227</v>
      </c>
      <c r="L492" s="2" t="s">
        <v>34</v>
      </c>
      <c r="M492" s="2"/>
      <c r="N492" s="5">
        <v>16.5</v>
      </c>
      <c r="O492" s="4">
        <v>17</v>
      </c>
      <c r="P492" s="2" t="s">
        <v>1846</v>
      </c>
      <c r="Q492" s="6">
        <v>100</v>
      </c>
      <c r="R492" s="6">
        <v>9.9700000000000006</v>
      </c>
      <c r="S492" s="5">
        <v>6.3</v>
      </c>
      <c r="T492" s="7">
        <v>16.196999999999999</v>
      </c>
      <c r="U492" s="5">
        <v>6.2</v>
      </c>
      <c r="V492" s="6">
        <v>0.87</v>
      </c>
      <c r="W492" s="5">
        <v>8.5</v>
      </c>
      <c r="X492" s="6">
        <v>8.75</v>
      </c>
      <c r="Y492" s="7">
        <v>9.125</v>
      </c>
      <c r="Z492" s="7">
        <v>9.375</v>
      </c>
      <c r="AA492" s="6">
        <v>7.19</v>
      </c>
      <c r="AB492" s="7">
        <v>7.7889999999999997</v>
      </c>
      <c r="AC492" s="6">
        <v>2.52</v>
      </c>
    </row>
    <row r="493" spans="1:29" ht="143" x14ac:dyDescent="0.15">
      <c r="A493" s="3">
        <f>DATE(1991,4,18)</f>
        <v>33346</v>
      </c>
      <c r="B493" s="3">
        <f>DATE(1991,9,11)</f>
        <v>33492</v>
      </c>
      <c r="C493" s="2" t="s">
        <v>95</v>
      </c>
      <c r="D493" s="2" t="s">
        <v>1847</v>
      </c>
      <c r="E493" s="2" t="s">
        <v>1848</v>
      </c>
      <c r="F493" s="4">
        <v>3577</v>
      </c>
      <c r="G493" s="2" t="s">
        <v>50</v>
      </c>
      <c r="H493" s="2" t="s">
        <v>34</v>
      </c>
      <c r="I493" s="2" t="s">
        <v>1849</v>
      </c>
      <c r="J493" s="2" t="s">
        <v>1850</v>
      </c>
      <c r="K493" s="2" t="s">
        <v>226</v>
      </c>
      <c r="L493" s="2" t="s">
        <v>34</v>
      </c>
      <c r="M493" s="2"/>
      <c r="N493" s="7">
        <v>87.625</v>
      </c>
      <c r="O493" s="7">
        <v>87.375</v>
      </c>
      <c r="P493" s="2" t="s">
        <v>1851</v>
      </c>
      <c r="Q493" s="6">
        <v>100</v>
      </c>
      <c r="R493" s="6">
        <v>24</v>
      </c>
      <c r="S493" s="5">
        <v>6.1</v>
      </c>
      <c r="T493" s="7">
        <v>19.498999999999999</v>
      </c>
      <c r="U493" s="5">
        <v>12.4</v>
      </c>
      <c r="V493" s="6">
        <v>0.75</v>
      </c>
      <c r="W493" s="5">
        <v>18.5</v>
      </c>
      <c r="X493" s="5">
        <v>17.5</v>
      </c>
      <c r="Y493" s="7">
        <v>24.125</v>
      </c>
      <c r="Z493" s="7">
        <v>23.875</v>
      </c>
      <c r="AA493" s="6">
        <v>8.01</v>
      </c>
      <c r="AB493" s="7">
        <v>19.539000000000001</v>
      </c>
      <c r="AC493" s="10">
        <v>1244.3900000000001</v>
      </c>
    </row>
    <row r="494" spans="1:29" ht="156" x14ac:dyDescent="0.15">
      <c r="A494" s="3">
        <f>DATE(1991,4,19)</f>
        <v>33347</v>
      </c>
      <c r="B494" s="2"/>
      <c r="C494" s="2" t="s">
        <v>30</v>
      </c>
      <c r="D494" s="2" t="s">
        <v>1852</v>
      </c>
      <c r="E494" s="2" t="s">
        <v>1853</v>
      </c>
      <c r="F494" s="4">
        <v>2013</v>
      </c>
      <c r="G494" s="2" t="s">
        <v>577</v>
      </c>
      <c r="H494" s="2" t="s">
        <v>34</v>
      </c>
      <c r="I494" s="2" t="s">
        <v>1854</v>
      </c>
      <c r="J494" s="2" t="s">
        <v>1855</v>
      </c>
      <c r="K494" s="2" t="s">
        <v>426</v>
      </c>
      <c r="L494" s="2" t="s">
        <v>34</v>
      </c>
      <c r="M494" s="2"/>
      <c r="N494" s="7">
        <v>40.125</v>
      </c>
      <c r="O494" s="6">
        <v>39.75</v>
      </c>
      <c r="P494" s="2" t="s">
        <v>1856</v>
      </c>
      <c r="Q494" s="2"/>
      <c r="R494" s="2"/>
      <c r="S494" s="5">
        <v>-25.3</v>
      </c>
      <c r="T494" s="7">
        <v>29.954999999999998</v>
      </c>
      <c r="U494" s="5">
        <v>6.1</v>
      </c>
      <c r="V494" s="6">
        <v>-4.9400000000000004</v>
      </c>
      <c r="W494" s="6">
        <v>1.75</v>
      </c>
      <c r="X494" s="7">
        <v>2.1880000000000002</v>
      </c>
      <c r="Y494" s="4">
        <v>2</v>
      </c>
      <c r="Z494" s="4">
        <v>2</v>
      </c>
      <c r="AA494" s="2"/>
      <c r="AB494" s="2" t="s">
        <v>47</v>
      </c>
      <c r="AC494" s="2"/>
    </row>
    <row r="495" spans="1:29" ht="143" x14ac:dyDescent="0.15">
      <c r="A495" s="3">
        <f>DATE(1991,4,19)</f>
        <v>33347</v>
      </c>
      <c r="B495" s="3">
        <f>DATE(1991,7,11)</f>
        <v>33430</v>
      </c>
      <c r="C495" s="2" t="s">
        <v>95</v>
      </c>
      <c r="D495" s="2" t="s">
        <v>1857</v>
      </c>
      <c r="E495" s="2" t="s">
        <v>1858</v>
      </c>
      <c r="F495" s="4">
        <v>2099</v>
      </c>
      <c r="G495" s="2" t="s">
        <v>577</v>
      </c>
      <c r="H495" s="2" t="s">
        <v>34</v>
      </c>
      <c r="I495" s="2" t="s">
        <v>1859</v>
      </c>
      <c r="J495" s="2" t="s">
        <v>1860</v>
      </c>
      <c r="K495" s="2" t="s">
        <v>577</v>
      </c>
      <c r="L495" s="2" t="s">
        <v>34</v>
      </c>
      <c r="M495" s="12">
        <v>6000.4870000000001</v>
      </c>
      <c r="N495" s="5">
        <v>46.5</v>
      </c>
      <c r="O495" s="7">
        <v>45.125</v>
      </c>
      <c r="P495" s="2" t="s">
        <v>1861</v>
      </c>
      <c r="Q495" s="6">
        <v>100</v>
      </c>
      <c r="R495" s="6">
        <v>26.39</v>
      </c>
      <c r="S495" s="5">
        <v>19.600000000000001</v>
      </c>
      <c r="T495" s="7">
        <v>21.395</v>
      </c>
      <c r="U495" s="5">
        <v>6.2</v>
      </c>
      <c r="V495" s="6">
        <v>1.08</v>
      </c>
      <c r="W495" s="7">
        <v>16.125</v>
      </c>
      <c r="X495" s="7">
        <v>16.625</v>
      </c>
      <c r="Y495" s="7">
        <v>16.875</v>
      </c>
      <c r="Z495" s="5">
        <v>24.5</v>
      </c>
      <c r="AA495" s="6">
        <v>17.600000000000001</v>
      </c>
      <c r="AB495" s="7">
        <v>37.814999999999998</v>
      </c>
      <c r="AC495" s="6">
        <v>120.52</v>
      </c>
    </row>
    <row r="496" spans="1:29" ht="156" x14ac:dyDescent="0.15">
      <c r="A496" s="3">
        <f>DATE(1991,4,22)</f>
        <v>33350</v>
      </c>
      <c r="B496" s="2"/>
      <c r="C496" s="2" t="s">
        <v>82</v>
      </c>
      <c r="D496" s="2" t="s">
        <v>1862</v>
      </c>
      <c r="E496" s="2" t="s">
        <v>1008</v>
      </c>
      <c r="F496" s="4">
        <v>6035</v>
      </c>
      <c r="G496" s="2" t="s">
        <v>33</v>
      </c>
      <c r="H496" s="2" t="s">
        <v>34</v>
      </c>
      <c r="I496" s="2" t="s">
        <v>51</v>
      </c>
      <c r="J496" s="2" t="s">
        <v>52</v>
      </c>
      <c r="K496" s="2" t="s">
        <v>53</v>
      </c>
      <c r="L496" s="2" t="s">
        <v>34</v>
      </c>
      <c r="M496" s="2"/>
      <c r="N496" s="2"/>
      <c r="O496" s="2"/>
      <c r="P496" s="2" t="s">
        <v>1863</v>
      </c>
      <c r="Q496" s="2"/>
      <c r="R496" s="2"/>
      <c r="S496" s="2"/>
      <c r="T496" s="2"/>
      <c r="U496" s="2"/>
      <c r="V496" s="2"/>
      <c r="W496" s="4">
        <v>17</v>
      </c>
      <c r="X496" s="4">
        <v>17</v>
      </c>
      <c r="Y496" s="5">
        <v>20.5</v>
      </c>
      <c r="Z496" s="6">
        <v>19.75</v>
      </c>
      <c r="AA496" s="6">
        <v>2.79</v>
      </c>
      <c r="AB496" s="2" t="s">
        <v>47</v>
      </c>
      <c r="AC496" s="2"/>
    </row>
    <row r="497" spans="1:29" ht="143" x14ac:dyDescent="0.15">
      <c r="A497" s="3">
        <f>DATE(1991,4,23)</f>
        <v>33351</v>
      </c>
      <c r="B497" s="3">
        <f>DATE(1991,9,29)</f>
        <v>33510</v>
      </c>
      <c r="C497" s="2" t="s">
        <v>95</v>
      </c>
      <c r="D497" s="2" t="s">
        <v>1265</v>
      </c>
      <c r="E497" s="2" t="s">
        <v>1266</v>
      </c>
      <c r="F497" s="4">
        <v>4215</v>
      </c>
      <c r="G497" s="2" t="s">
        <v>173</v>
      </c>
      <c r="H497" s="2" t="s">
        <v>34</v>
      </c>
      <c r="I497" s="2" t="s">
        <v>1864</v>
      </c>
      <c r="J497" s="2" t="s">
        <v>52</v>
      </c>
      <c r="K497" s="2" t="s">
        <v>53</v>
      </c>
      <c r="L497" s="2" t="s">
        <v>34</v>
      </c>
      <c r="M497" s="2"/>
      <c r="N497" s="2"/>
      <c r="O497" s="2"/>
      <c r="P497" s="2" t="s">
        <v>1865</v>
      </c>
      <c r="Q497" s="6">
        <v>100</v>
      </c>
      <c r="R497" s="6">
        <v>4.37</v>
      </c>
      <c r="S497" s="5">
        <v>0.6</v>
      </c>
      <c r="T497" s="7">
        <v>2.4369999999999998</v>
      </c>
      <c r="U497" s="5">
        <v>3.7</v>
      </c>
      <c r="V497" s="6">
        <v>0.25</v>
      </c>
      <c r="W497" s="7">
        <v>3.875</v>
      </c>
      <c r="X497" s="7">
        <v>4.375</v>
      </c>
      <c r="Y497" s="4">
        <v>4</v>
      </c>
      <c r="Z497" s="7">
        <v>4.0629999999999997</v>
      </c>
      <c r="AA497" s="6">
        <v>2.5</v>
      </c>
      <c r="AB497" s="7">
        <v>8.2240000000000002</v>
      </c>
      <c r="AC497" s="2"/>
    </row>
    <row r="498" spans="1:29" ht="91" x14ac:dyDescent="0.15">
      <c r="A498" s="3">
        <f>DATE(1991,4,23)</f>
        <v>33351</v>
      </c>
      <c r="B498" s="2"/>
      <c r="C498" s="2" t="s">
        <v>30</v>
      </c>
      <c r="D498" s="2" t="s">
        <v>1866</v>
      </c>
      <c r="E498" s="2" t="s">
        <v>1867</v>
      </c>
      <c r="F498" s="4">
        <v>3822</v>
      </c>
      <c r="G498" s="2" t="s">
        <v>226</v>
      </c>
      <c r="H498" s="2" t="s">
        <v>34</v>
      </c>
      <c r="I498" s="2" t="s">
        <v>51</v>
      </c>
      <c r="J498" s="2" t="s">
        <v>52</v>
      </c>
      <c r="K498" s="2" t="s">
        <v>53</v>
      </c>
      <c r="L498" s="2" t="s">
        <v>34</v>
      </c>
      <c r="M498" s="2"/>
      <c r="N498" s="2"/>
      <c r="O498" s="2"/>
      <c r="P498" s="2" t="s">
        <v>1868</v>
      </c>
      <c r="Q498" s="2"/>
      <c r="R498" s="2"/>
      <c r="S498" s="5">
        <v>0.2</v>
      </c>
      <c r="T498" s="7">
        <v>0.47799999999999998</v>
      </c>
      <c r="U498" s="5">
        <v>2.7</v>
      </c>
      <c r="V498" s="6">
        <v>0.34</v>
      </c>
      <c r="W498" s="5">
        <v>5.5</v>
      </c>
      <c r="X498" s="6">
        <v>5.75</v>
      </c>
      <c r="Y498" s="6">
        <v>5.75</v>
      </c>
      <c r="Z498" s="6">
        <v>5.75</v>
      </c>
      <c r="AA498" s="6">
        <v>0.73</v>
      </c>
      <c r="AB498" s="2" t="s">
        <v>47</v>
      </c>
      <c r="AC498" s="2"/>
    </row>
    <row r="499" spans="1:29" ht="156" x14ac:dyDescent="0.15">
      <c r="A499" s="3">
        <f>DATE(1991,4,24)</f>
        <v>33352</v>
      </c>
      <c r="B499" s="3">
        <f>DATE(1991,8,5)</f>
        <v>33455</v>
      </c>
      <c r="C499" s="2" t="s">
        <v>95</v>
      </c>
      <c r="D499" s="2" t="s">
        <v>1869</v>
      </c>
      <c r="E499" s="2" t="s">
        <v>1870</v>
      </c>
      <c r="F499" s="4">
        <v>3661</v>
      </c>
      <c r="G499" s="2" t="s">
        <v>921</v>
      </c>
      <c r="H499" s="2" t="s">
        <v>34</v>
      </c>
      <c r="I499" s="2" t="s">
        <v>1871</v>
      </c>
      <c r="J499" s="2" t="s">
        <v>1872</v>
      </c>
      <c r="K499" s="2" t="s">
        <v>223</v>
      </c>
      <c r="L499" s="2" t="s">
        <v>902</v>
      </c>
      <c r="M499" s="2"/>
      <c r="N499" s="2"/>
      <c r="O499" s="2"/>
      <c r="P499" s="2" t="s">
        <v>1873</v>
      </c>
      <c r="Q499" s="6">
        <v>100</v>
      </c>
      <c r="R499" s="6">
        <v>1.63</v>
      </c>
      <c r="S499" s="5">
        <v>-33.299999999999997</v>
      </c>
      <c r="T499" s="7">
        <v>-6.008</v>
      </c>
      <c r="U499" s="5">
        <v>5</v>
      </c>
      <c r="V499" s="6">
        <v>-6.45</v>
      </c>
      <c r="W499" s="7">
        <v>0.875</v>
      </c>
      <c r="X499" s="7">
        <v>1.3440000000000001</v>
      </c>
      <c r="Y499" s="6">
        <v>1.75</v>
      </c>
      <c r="Z499" s="7">
        <v>1.6559999999999999</v>
      </c>
      <c r="AA499" s="6">
        <v>4.8499999999999996</v>
      </c>
      <c r="AB499" s="2" t="s">
        <v>86</v>
      </c>
      <c r="AC499" s="6">
        <v>8.32</v>
      </c>
    </row>
    <row r="500" spans="1:29" ht="156" x14ac:dyDescent="0.15">
      <c r="A500" s="3">
        <f>DATE(1991,4,24)</f>
        <v>33352</v>
      </c>
      <c r="B500" s="3">
        <f>DATE(1993,5,6)</f>
        <v>34095</v>
      </c>
      <c r="C500" s="2" t="s">
        <v>95</v>
      </c>
      <c r="D500" s="2" t="s">
        <v>1874</v>
      </c>
      <c r="E500" s="2" t="s">
        <v>1447</v>
      </c>
      <c r="F500" s="4">
        <v>3275</v>
      </c>
      <c r="G500" s="2" t="s">
        <v>237</v>
      </c>
      <c r="H500" s="2" t="s">
        <v>34</v>
      </c>
      <c r="I500" s="2" t="s">
        <v>1526</v>
      </c>
      <c r="J500" s="2" t="s">
        <v>302</v>
      </c>
      <c r="K500" s="2" t="s">
        <v>53</v>
      </c>
      <c r="L500" s="2" t="s">
        <v>34</v>
      </c>
      <c r="M500" s="2"/>
      <c r="N500" s="2"/>
      <c r="O500" s="2"/>
      <c r="P500" s="2" t="s">
        <v>1875</v>
      </c>
      <c r="Q500" s="6">
        <v>97</v>
      </c>
      <c r="R500" s="2"/>
      <c r="S500" s="5">
        <v>-54</v>
      </c>
      <c r="T500" s="5">
        <v>289</v>
      </c>
      <c r="U500" s="5">
        <v>-21.3</v>
      </c>
      <c r="V500" s="9">
        <v>-0.76060000000000005</v>
      </c>
      <c r="W500" s="4">
        <v>1</v>
      </c>
      <c r="X500" s="4">
        <v>1</v>
      </c>
      <c r="Y500" s="4">
        <v>1</v>
      </c>
      <c r="Z500" s="4">
        <v>1</v>
      </c>
      <c r="AA500" s="6">
        <v>55.1</v>
      </c>
      <c r="AB500" s="2" t="s">
        <v>47</v>
      </c>
      <c r="AC500" s="2"/>
    </row>
    <row r="501" spans="1:29" ht="104" x14ac:dyDescent="0.15">
      <c r="A501" s="3">
        <f>DATE(1991,4,24)</f>
        <v>33352</v>
      </c>
      <c r="B501" s="2"/>
      <c r="C501" s="2" t="s">
        <v>189</v>
      </c>
      <c r="D501" s="2" t="s">
        <v>1876</v>
      </c>
      <c r="E501" s="2" t="s">
        <v>389</v>
      </c>
      <c r="F501" s="4">
        <v>6035</v>
      </c>
      <c r="G501" s="2" t="s">
        <v>33</v>
      </c>
      <c r="H501" s="2" t="s">
        <v>34</v>
      </c>
      <c r="I501" s="2" t="s">
        <v>143</v>
      </c>
      <c r="J501" s="2" t="s">
        <v>144</v>
      </c>
      <c r="K501" s="2" t="s">
        <v>53</v>
      </c>
      <c r="L501" s="2" t="s">
        <v>139</v>
      </c>
      <c r="M501" s="2"/>
      <c r="N501" s="2"/>
      <c r="O501" s="2"/>
      <c r="P501" s="2" t="s">
        <v>1877</v>
      </c>
      <c r="Q501" s="2"/>
      <c r="R501" s="2"/>
      <c r="S501" s="5">
        <v>18.100000000000001</v>
      </c>
      <c r="T501" s="7">
        <v>21.385999999999999</v>
      </c>
      <c r="U501" s="2"/>
      <c r="V501" s="6">
        <v>4.17</v>
      </c>
      <c r="W501" s="5">
        <v>1.5</v>
      </c>
      <c r="X501" s="9">
        <v>1.3125</v>
      </c>
      <c r="Y501" s="5">
        <v>1.5</v>
      </c>
      <c r="Z501" s="5">
        <v>1.5</v>
      </c>
      <c r="AA501" s="6">
        <v>5.87</v>
      </c>
      <c r="AB501" s="2" t="s">
        <v>47</v>
      </c>
      <c r="AC501" s="2"/>
    </row>
    <row r="502" spans="1:29" ht="65" x14ac:dyDescent="0.15">
      <c r="A502" s="3">
        <f>DATE(1991,4,29)</f>
        <v>33357</v>
      </c>
      <c r="B502" s="2"/>
      <c r="C502" s="2" t="s">
        <v>87</v>
      </c>
      <c r="D502" s="2" t="s">
        <v>1878</v>
      </c>
      <c r="E502" s="2" t="s">
        <v>1879</v>
      </c>
      <c r="F502" s="4">
        <v>3751</v>
      </c>
      <c r="G502" s="2" t="s">
        <v>105</v>
      </c>
      <c r="H502" s="2" t="s">
        <v>34</v>
      </c>
      <c r="I502" s="2" t="s">
        <v>138</v>
      </c>
      <c r="J502" s="2" t="s">
        <v>139</v>
      </c>
      <c r="K502" s="2" t="s">
        <v>53</v>
      </c>
      <c r="L502" s="2" t="s">
        <v>139</v>
      </c>
      <c r="M502" s="2"/>
      <c r="N502" s="2"/>
      <c r="O502" s="2"/>
      <c r="P502" s="2" t="s">
        <v>1880</v>
      </c>
      <c r="Q502" s="2"/>
      <c r="R502" s="2"/>
      <c r="S502" s="5">
        <v>-3.5</v>
      </c>
      <c r="T502" s="2"/>
      <c r="U502" s="2"/>
      <c r="V502" s="2"/>
      <c r="W502" s="7">
        <v>1.0629999999999999</v>
      </c>
      <c r="X502" s="7">
        <v>1.0629999999999999</v>
      </c>
      <c r="Y502" s="7">
        <v>1.0629999999999999</v>
      </c>
      <c r="Z502" s="7">
        <v>1.0309999999999999</v>
      </c>
      <c r="AA502" s="6">
        <v>26.16</v>
      </c>
      <c r="AB502" s="2" t="s">
        <v>86</v>
      </c>
      <c r="AC502" s="2"/>
    </row>
    <row r="503" spans="1:29" ht="117" x14ac:dyDescent="0.15">
      <c r="A503" s="3">
        <f>DATE(1991,4,30)</f>
        <v>33358</v>
      </c>
      <c r="B503" s="2"/>
      <c r="C503" s="2" t="s">
        <v>87</v>
      </c>
      <c r="D503" s="2" t="s">
        <v>1881</v>
      </c>
      <c r="E503" s="2" t="s">
        <v>1882</v>
      </c>
      <c r="F503" s="4">
        <v>7011</v>
      </c>
      <c r="G503" s="2" t="s">
        <v>269</v>
      </c>
      <c r="H503" s="2" t="s">
        <v>34</v>
      </c>
      <c r="I503" s="2" t="s">
        <v>1883</v>
      </c>
      <c r="J503" s="2" t="s">
        <v>976</v>
      </c>
      <c r="K503" s="2" t="s">
        <v>269</v>
      </c>
      <c r="L503" s="2" t="s">
        <v>34</v>
      </c>
      <c r="M503" s="2"/>
      <c r="N503" s="2"/>
      <c r="O503" s="2"/>
      <c r="P503" s="2" t="s">
        <v>1884</v>
      </c>
      <c r="Q503" s="2"/>
      <c r="R503" s="2"/>
      <c r="S503" s="2"/>
      <c r="T503" s="2"/>
      <c r="U503" s="2"/>
      <c r="V503" s="2"/>
      <c r="W503" s="4">
        <v>6</v>
      </c>
      <c r="X503" s="7">
        <v>5.625</v>
      </c>
      <c r="Y503" s="4">
        <v>5</v>
      </c>
      <c r="Z503" s="6">
        <v>5.25</v>
      </c>
      <c r="AA503" s="2"/>
      <c r="AB503" s="2" t="s">
        <v>47</v>
      </c>
      <c r="AC503" s="2"/>
    </row>
    <row r="504" spans="1:29" ht="65" x14ac:dyDescent="0.15">
      <c r="A504" s="3">
        <f>DATE(1991,4,30)</f>
        <v>33358</v>
      </c>
      <c r="B504" s="3">
        <f>DATE(1991,4,30)</f>
        <v>33358</v>
      </c>
      <c r="C504" s="2" t="s">
        <v>95</v>
      </c>
      <c r="D504" s="2" t="s">
        <v>1885</v>
      </c>
      <c r="E504" s="2" t="s">
        <v>1886</v>
      </c>
      <c r="F504" s="4">
        <v>3699</v>
      </c>
      <c r="G504" s="2" t="s">
        <v>137</v>
      </c>
      <c r="H504" s="2" t="s">
        <v>34</v>
      </c>
      <c r="I504" s="2" t="s">
        <v>1887</v>
      </c>
      <c r="J504" s="2" t="s">
        <v>1888</v>
      </c>
      <c r="K504" s="2" t="s">
        <v>439</v>
      </c>
      <c r="L504" s="2" t="s">
        <v>99</v>
      </c>
      <c r="M504" s="2"/>
      <c r="N504" s="2"/>
      <c r="O504" s="2"/>
      <c r="P504" s="2" t="s">
        <v>1889</v>
      </c>
      <c r="Q504" s="6">
        <v>100</v>
      </c>
      <c r="R504" s="2"/>
      <c r="S504" s="5">
        <v>268</v>
      </c>
      <c r="T504" s="8">
        <v>1643</v>
      </c>
      <c r="U504" s="5">
        <v>13.4</v>
      </c>
      <c r="V504" s="6">
        <v>0.91</v>
      </c>
      <c r="W504" s="7">
        <v>28.625</v>
      </c>
      <c r="X504" s="5">
        <v>27.5</v>
      </c>
      <c r="Y504" s="5">
        <v>27.5</v>
      </c>
      <c r="Z504" s="6">
        <v>27.25</v>
      </c>
      <c r="AA504" s="2"/>
      <c r="AB504" s="2" t="s">
        <v>47</v>
      </c>
      <c r="AC504" s="2"/>
    </row>
    <row r="505" spans="1:29" ht="156" x14ac:dyDescent="0.15">
      <c r="A505" s="3">
        <f>DATE(1991,5,1)</f>
        <v>33359</v>
      </c>
      <c r="B505" s="3">
        <f>DATE(1991,12,2)</f>
        <v>33574</v>
      </c>
      <c r="C505" s="2" t="s">
        <v>95</v>
      </c>
      <c r="D505" s="2" t="s">
        <v>1890</v>
      </c>
      <c r="E505" s="2" t="s">
        <v>1891</v>
      </c>
      <c r="F505" s="4">
        <v>7832</v>
      </c>
      <c r="G505" s="2" t="s">
        <v>42</v>
      </c>
      <c r="H505" s="2" t="s">
        <v>34</v>
      </c>
      <c r="I505" s="2" t="s">
        <v>1892</v>
      </c>
      <c r="J505" s="2" t="s">
        <v>1893</v>
      </c>
      <c r="K505" s="2" t="s">
        <v>45</v>
      </c>
      <c r="L505" s="2" t="s">
        <v>34</v>
      </c>
      <c r="M505" s="12">
        <v>6849.7439999999997</v>
      </c>
      <c r="N505" s="6">
        <v>15.75</v>
      </c>
      <c r="O505" s="4">
        <v>16</v>
      </c>
      <c r="P505" s="2" t="s">
        <v>1894</v>
      </c>
      <c r="Q505" s="6">
        <v>44.77</v>
      </c>
      <c r="R505" s="6">
        <v>16.190000000000001</v>
      </c>
      <c r="S505" s="5">
        <v>-171.5</v>
      </c>
      <c r="T505" s="2"/>
      <c r="U505" s="5">
        <v>4</v>
      </c>
      <c r="V505" s="6">
        <v>-1.35</v>
      </c>
      <c r="W505" s="6">
        <v>13.25</v>
      </c>
      <c r="X505" s="5">
        <v>13.5</v>
      </c>
      <c r="Y505" s="6">
        <v>14.75</v>
      </c>
      <c r="Z505" s="7">
        <v>14.875</v>
      </c>
      <c r="AA505" s="6">
        <v>140.82</v>
      </c>
      <c r="AB505" s="7">
        <v>42.389000000000003</v>
      </c>
      <c r="AC505" s="2"/>
    </row>
    <row r="506" spans="1:29" ht="91" x14ac:dyDescent="0.15">
      <c r="A506" s="3">
        <f>DATE(1991,5,3)</f>
        <v>33361</v>
      </c>
      <c r="B506" s="2"/>
      <c r="C506" s="2" t="s">
        <v>30</v>
      </c>
      <c r="D506" s="2" t="s">
        <v>1895</v>
      </c>
      <c r="E506" s="2" t="s">
        <v>1896</v>
      </c>
      <c r="F506" s="4">
        <v>4911</v>
      </c>
      <c r="G506" s="2" t="s">
        <v>439</v>
      </c>
      <c r="H506" s="2" t="s">
        <v>34</v>
      </c>
      <c r="I506" s="2" t="s">
        <v>1897</v>
      </c>
      <c r="J506" s="2" t="s">
        <v>438</v>
      </c>
      <c r="K506" s="2" t="s">
        <v>439</v>
      </c>
      <c r="L506" s="2" t="s">
        <v>34</v>
      </c>
      <c r="M506" s="2"/>
      <c r="N506" s="7">
        <v>18.375</v>
      </c>
      <c r="O506" s="7">
        <v>18.375</v>
      </c>
      <c r="P506" s="2" t="s">
        <v>1898</v>
      </c>
      <c r="Q506" s="2"/>
      <c r="R506" s="2"/>
      <c r="S506" s="5">
        <v>-12.8</v>
      </c>
      <c r="T506" s="2"/>
      <c r="U506" s="2"/>
      <c r="V506" s="2"/>
      <c r="W506" s="5">
        <v>3.5</v>
      </c>
      <c r="X506" s="5">
        <v>3.5</v>
      </c>
      <c r="Y506" s="6">
        <v>3.25</v>
      </c>
      <c r="Z506" s="7">
        <v>3.375</v>
      </c>
      <c r="AA506" s="6">
        <v>22.5</v>
      </c>
      <c r="AB506" s="2" t="s">
        <v>86</v>
      </c>
      <c r="AC506" s="6">
        <v>14.68</v>
      </c>
    </row>
    <row r="507" spans="1:29" ht="117" x14ac:dyDescent="0.15">
      <c r="A507" s="3">
        <f>DATE(1991,5,3)</f>
        <v>33361</v>
      </c>
      <c r="B507" s="3">
        <f>DATE(1993,2,1)</f>
        <v>34001</v>
      </c>
      <c r="C507" s="2" t="s">
        <v>95</v>
      </c>
      <c r="D507" s="2" t="s">
        <v>1899</v>
      </c>
      <c r="E507" s="2" t="s">
        <v>1900</v>
      </c>
      <c r="F507" s="4">
        <v>7993</v>
      </c>
      <c r="G507" s="2" t="s">
        <v>364</v>
      </c>
      <c r="H507" s="2" t="s">
        <v>34</v>
      </c>
      <c r="I507" s="2" t="s">
        <v>1901</v>
      </c>
      <c r="J507" s="2" t="s">
        <v>1902</v>
      </c>
      <c r="K507" s="2" t="s">
        <v>364</v>
      </c>
      <c r="L507" s="2" t="s">
        <v>34</v>
      </c>
      <c r="M507" s="2"/>
      <c r="N507" s="5">
        <v>29.5</v>
      </c>
      <c r="O507" s="5">
        <v>29.5</v>
      </c>
      <c r="P507" s="2" t="s">
        <v>1903</v>
      </c>
      <c r="Q507" s="6">
        <v>100</v>
      </c>
      <c r="R507" s="2"/>
      <c r="S507" s="2"/>
      <c r="T507" s="2"/>
      <c r="U507" s="5">
        <v>-3.3</v>
      </c>
      <c r="V507" s="2"/>
      <c r="W507" s="6">
        <v>26.75</v>
      </c>
      <c r="X507" s="5">
        <v>29.5</v>
      </c>
      <c r="Y507" s="5">
        <v>29.5</v>
      </c>
      <c r="Z507" s="5">
        <v>29.5</v>
      </c>
      <c r="AA507" s="2"/>
      <c r="AB507" s="2" t="s">
        <v>47</v>
      </c>
      <c r="AC507" s="2"/>
    </row>
    <row r="508" spans="1:29" ht="52" x14ac:dyDescent="0.15">
      <c r="A508" s="3">
        <f>DATE(1991,5,3)</f>
        <v>33361</v>
      </c>
      <c r="B508" s="3">
        <f>DATE(1992,1,20)</f>
        <v>33623</v>
      </c>
      <c r="C508" s="2" t="s">
        <v>95</v>
      </c>
      <c r="D508" s="2" t="s">
        <v>1904</v>
      </c>
      <c r="E508" s="2" t="s">
        <v>386</v>
      </c>
      <c r="F508" s="4">
        <v>6726</v>
      </c>
      <c r="G508" s="2" t="s">
        <v>53</v>
      </c>
      <c r="H508" s="2" t="s">
        <v>34</v>
      </c>
      <c r="I508" s="2" t="s">
        <v>1905</v>
      </c>
      <c r="J508" s="2" t="s">
        <v>1906</v>
      </c>
      <c r="K508" s="2" t="s">
        <v>53</v>
      </c>
      <c r="L508" s="2" t="s">
        <v>34</v>
      </c>
      <c r="M508" s="2"/>
      <c r="N508" s="2"/>
      <c r="O508" s="2"/>
      <c r="P508" s="2" t="s">
        <v>1907</v>
      </c>
      <c r="Q508" s="6">
        <v>100</v>
      </c>
      <c r="R508" s="2"/>
      <c r="S508" s="2"/>
      <c r="T508" s="2"/>
      <c r="U508" s="2"/>
      <c r="V508" s="2"/>
      <c r="W508" s="7">
        <v>10.625</v>
      </c>
      <c r="X508" s="5">
        <v>10.5</v>
      </c>
      <c r="Y508" s="7">
        <v>10.375</v>
      </c>
      <c r="Z508" s="7">
        <v>10.625</v>
      </c>
      <c r="AA508" s="2"/>
      <c r="AB508" s="2" t="s">
        <v>47</v>
      </c>
      <c r="AC508" s="2"/>
    </row>
    <row r="509" spans="1:29" ht="156" x14ac:dyDescent="0.15">
      <c r="A509" s="3">
        <f>DATE(1991,5,6)</f>
        <v>33364</v>
      </c>
      <c r="B509" s="2"/>
      <c r="C509" s="2" t="s">
        <v>30</v>
      </c>
      <c r="D509" s="2" t="s">
        <v>1908</v>
      </c>
      <c r="E509" s="2" t="s">
        <v>1909</v>
      </c>
      <c r="F509" s="4">
        <v>5621</v>
      </c>
      <c r="G509" s="2" t="s">
        <v>756</v>
      </c>
      <c r="H509" s="2" t="s">
        <v>34</v>
      </c>
      <c r="I509" s="2" t="s">
        <v>51</v>
      </c>
      <c r="J509" s="2" t="s">
        <v>52</v>
      </c>
      <c r="K509" s="2" t="s">
        <v>53</v>
      </c>
      <c r="L509" s="2" t="s">
        <v>1086</v>
      </c>
      <c r="M509" s="2"/>
      <c r="N509" s="2"/>
      <c r="O509" s="2"/>
      <c r="P509" s="2" t="s">
        <v>1910</v>
      </c>
      <c r="Q509" s="2"/>
      <c r="R509" s="2"/>
      <c r="S509" s="2"/>
      <c r="T509" s="2"/>
      <c r="U509" s="5">
        <v>0.5</v>
      </c>
      <c r="V509" s="2"/>
      <c r="W509" s="7">
        <v>1.125</v>
      </c>
      <c r="X509" s="7">
        <v>1.0629999999999999</v>
      </c>
      <c r="Y509" s="7">
        <v>1.0629999999999999</v>
      </c>
      <c r="Z509" s="7">
        <v>1.125</v>
      </c>
      <c r="AA509" s="6">
        <v>3.27</v>
      </c>
      <c r="AB509" s="2" t="s">
        <v>47</v>
      </c>
      <c r="AC509" s="2"/>
    </row>
    <row r="510" spans="1:29" ht="117" x14ac:dyDescent="0.15">
      <c r="A510" s="3">
        <f>DATE(1991,5,6)</f>
        <v>33364</v>
      </c>
      <c r="B510" s="2"/>
      <c r="C510" s="2" t="s">
        <v>30</v>
      </c>
      <c r="D510" s="2" t="s">
        <v>284</v>
      </c>
      <c r="E510" s="2" t="s">
        <v>285</v>
      </c>
      <c r="F510" s="4">
        <v>2851</v>
      </c>
      <c r="G510" s="2" t="s">
        <v>98</v>
      </c>
      <c r="H510" s="2" t="s">
        <v>34</v>
      </c>
      <c r="I510" s="2" t="s">
        <v>1911</v>
      </c>
      <c r="J510" s="2" t="s">
        <v>80</v>
      </c>
      <c r="K510" s="2" t="s">
        <v>53</v>
      </c>
      <c r="L510" s="2" t="s">
        <v>34</v>
      </c>
      <c r="M510" s="2"/>
      <c r="N510" s="2"/>
      <c r="O510" s="2"/>
      <c r="P510" s="2" t="s">
        <v>1912</v>
      </c>
      <c r="Q510" s="2"/>
      <c r="R510" s="6">
        <v>6.25</v>
      </c>
      <c r="S510" s="5">
        <v>3.1</v>
      </c>
      <c r="T510" s="7">
        <v>21.047999999999998</v>
      </c>
      <c r="U510" s="2"/>
      <c r="V510" s="6">
        <v>21.13</v>
      </c>
      <c r="W510" s="6">
        <v>39.25</v>
      </c>
      <c r="X510" s="5">
        <v>39.5</v>
      </c>
      <c r="Y510" s="7">
        <v>42.625</v>
      </c>
      <c r="Z510" s="7">
        <v>47.375</v>
      </c>
      <c r="AA510" s="6">
        <v>4.3</v>
      </c>
      <c r="AB510" s="7">
        <v>5.1479999999999997</v>
      </c>
      <c r="AC510" s="2"/>
    </row>
    <row r="511" spans="1:29" ht="156" x14ac:dyDescent="0.15">
      <c r="A511" s="3">
        <f>DATE(1991,5,7)</f>
        <v>33365</v>
      </c>
      <c r="B511" s="2"/>
      <c r="C511" s="2" t="s">
        <v>30</v>
      </c>
      <c r="D511" s="2" t="s">
        <v>1913</v>
      </c>
      <c r="E511" s="2" t="s">
        <v>177</v>
      </c>
      <c r="F511" s="4">
        <v>1311</v>
      </c>
      <c r="G511" s="2" t="s">
        <v>148</v>
      </c>
      <c r="H511" s="2" t="s">
        <v>34</v>
      </c>
      <c r="I511" s="2" t="s">
        <v>1914</v>
      </c>
      <c r="J511" s="2" t="s">
        <v>177</v>
      </c>
      <c r="K511" s="2" t="s">
        <v>148</v>
      </c>
      <c r="L511" s="2" t="s">
        <v>34</v>
      </c>
      <c r="M511" s="2"/>
      <c r="N511" s="7">
        <v>1.0309999999999999</v>
      </c>
      <c r="O511" s="7">
        <v>1.125</v>
      </c>
      <c r="P511" s="2" t="s">
        <v>1915</v>
      </c>
      <c r="Q511" s="2"/>
      <c r="R511" s="2"/>
      <c r="S511" s="2"/>
      <c r="T511" s="2"/>
      <c r="U511" s="5">
        <v>3.6</v>
      </c>
      <c r="V511" s="2"/>
      <c r="W511" s="6">
        <v>2.25</v>
      </c>
      <c r="X511" s="7">
        <v>2.625</v>
      </c>
      <c r="Y511" s="5">
        <v>2.5</v>
      </c>
      <c r="Z511" s="6">
        <v>2.25</v>
      </c>
      <c r="AA511" s="6">
        <v>1.89</v>
      </c>
      <c r="AB511" s="2" t="s">
        <v>47</v>
      </c>
      <c r="AC511" s="2"/>
    </row>
    <row r="512" spans="1:29" ht="156" x14ac:dyDescent="0.15">
      <c r="A512" s="3">
        <f>DATE(1991,5,7)</f>
        <v>33365</v>
      </c>
      <c r="B512" s="2"/>
      <c r="C512" s="2" t="s">
        <v>30</v>
      </c>
      <c r="D512" s="2" t="s">
        <v>1916</v>
      </c>
      <c r="E512" s="2" t="s">
        <v>1917</v>
      </c>
      <c r="F512" s="4">
        <v>3432</v>
      </c>
      <c r="G512" s="2" t="s">
        <v>163</v>
      </c>
      <c r="H512" s="2" t="s">
        <v>34</v>
      </c>
      <c r="I512" s="2" t="s">
        <v>1918</v>
      </c>
      <c r="J512" s="2" t="s">
        <v>1919</v>
      </c>
      <c r="K512" s="2" t="s">
        <v>447</v>
      </c>
      <c r="L512" s="2" t="s">
        <v>34</v>
      </c>
      <c r="M512" s="2"/>
      <c r="N512" s="2"/>
      <c r="O512" s="2"/>
      <c r="P512" s="2" t="s">
        <v>1920</v>
      </c>
      <c r="Q512" s="2"/>
      <c r="R512" s="6">
        <v>20</v>
      </c>
      <c r="S512" s="5">
        <v>2.5</v>
      </c>
      <c r="T512" s="6">
        <v>32.97</v>
      </c>
      <c r="U512" s="5">
        <v>13.6</v>
      </c>
      <c r="V512" s="6">
        <v>0.35</v>
      </c>
      <c r="W512" s="7">
        <v>13.625</v>
      </c>
      <c r="X512" s="5">
        <v>13.5</v>
      </c>
      <c r="Y512" s="4">
        <v>13</v>
      </c>
      <c r="Z512" s="7">
        <v>21.875</v>
      </c>
      <c r="AA512" s="6">
        <v>7.06</v>
      </c>
      <c r="AB512" s="7">
        <v>9.8350000000000009</v>
      </c>
      <c r="AC512" s="2"/>
    </row>
    <row r="513" spans="1:29" ht="156" x14ac:dyDescent="0.15">
      <c r="A513" s="3">
        <f>DATE(1991,5,7)</f>
        <v>33365</v>
      </c>
      <c r="B513" s="3">
        <f>DATE(1991,7,1)</f>
        <v>33420</v>
      </c>
      <c r="C513" s="2" t="s">
        <v>95</v>
      </c>
      <c r="D513" s="2" t="s">
        <v>1921</v>
      </c>
      <c r="E513" s="2" t="s">
        <v>1922</v>
      </c>
      <c r="F513" s="4">
        <v>3669</v>
      </c>
      <c r="G513" s="2" t="s">
        <v>921</v>
      </c>
      <c r="H513" s="2" t="s">
        <v>34</v>
      </c>
      <c r="I513" s="2" t="s">
        <v>1923</v>
      </c>
      <c r="J513" s="2" t="s">
        <v>1924</v>
      </c>
      <c r="K513" s="2" t="s">
        <v>50</v>
      </c>
      <c r="L513" s="2" t="s">
        <v>34</v>
      </c>
      <c r="M513" s="2"/>
      <c r="N513" s="4">
        <v>13</v>
      </c>
      <c r="O513" s="6">
        <v>12.75</v>
      </c>
      <c r="P513" s="2" t="s">
        <v>1925</v>
      </c>
      <c r="Q513" s="6">
        <v>100</v>
      </c>
      <c r="R513" s="6">
        <v>10.5</v>
      </c>
      <c r="S513" s="5">
        <v>9</v>
      </c>
      <c r="T513" s="7">
        <v>10.497999999999999</v>
      </c>
      <c r="U513" s="5">
        <v>7.7</v>
      </c>
      <c r="V513" s="6">
        <v>0.63</v>
      </c>
      <c r="W513" s="6">
        <v>8.75</v>
      </c>
      <c r="X513" s="5">
        <v>8.5</v>
      </c>
      <c r="Y513" s="6">
        <v>10.25</v>
      </c>
      <c r="Z513" s="6">
        <v>10.25</v>
      </c>
      <c r="AA513" s="6">
        <v>13.93</v>
      </c>
      <c r="AB513" s="7">
        <v>6.0780000000000003</v>
      </c>
      <c r="AC513" s="6">
        <v>99.04</v>
      </c>
    </row>
    <row r="514" spans="1:29" x14ac:dyDescent="0.15">
      <c r="A514" s="3">
        <f>DATE(1991,5,8)</f>
        <v>33366</v>
      </c>
      <c r="B514" s="3">
        <f>DATE(1991,12,31)</f>
        <v>33603</v>
      </c>
      <c r="C514" s="2" t="s">
        <v>95</v>
      </c>
      <c r="D514" s="2" t="s">
        <v>1926</v>
      </c>
      <c r="E514" s="2" t="s">
        <v>1927</v>
      </c>
      <c r="F514" s="4">
        <v>2842</v>
      </c>
      <c r="G514" s="2" t="s">
        <v>358</v>
      </c>
      <c r="H514" s="2" t="s">
        <v>34</v>
      </c>
      <c r="I514" s="2" t="s">
        <v>1928</v>
      </c>
      <c r="J514" s="2" t="s">
        <v>1929</v>
      </c>
      <c r="K514" s="2" t="s">
        <v>98</v>
      </c>
      <c r="L514" s="2" t="s">
        <v>1049</v>
      </c>
      <c r="M514" s="2"/>
      <c r="N514" s="2"/>
      <c r="O514" s="2"/>
      <c r="P514" s="2" t="s">
        <v>1930</v>
      </c>
      <c r="Q514" s="6">
        <v>100</v>
      </c>
      <c r="R514" s="2"/>
      <c r="S514" s="2"/>
      <c r="T514" s="2"/>
      <c r="U514" s="2"/>
      <c r="V514" s="2"/>
      <c r="W514" s="4">
        <v>45</v>
      </c>
      <c r="X514" s="4">
        <v>45</v>
      </c>
      <c r="Y514" s="4">
        <v>45</v>
      </c>
      <c r="Z514" s="4">
        <v>45</v>
      </c>
      <c r="AA514" s="6">
        <v>1.66</v>
      </c>
      <c r="AB514" s="2" t="s">
        <v>47</v>
      </c>
      <c r="AC514" s="2"/>
    </row>
    <row r="515" spans="1:29" ht="143" x14ac:dyDescent="0.15">
      <c r="A515" s="3">
        <f>DATE(1991,5,9)</f>
        <v>33367</v>
      </c>
      <c r="B515" s="2"/>
      <c r="C515" s="2" t="s">
        <v>30</v>
      </c>
      <c r="D515" s="2" t="s">
        <v>1931</v>
      </c>
      <c r="E515" s="2" t="s">
        <v>1932</v>
      </c>
      <c r="F515" s="4">
        <v>3915</v>
      </c>
      <c r="G515" s="2" t="s">
        <v>112</v>
      </c>
      <c r="H515" s="2" t="s">
        <v>34</v>
      </c>
      <c r="I515" s="2" t="s">
        <v>1933</v>
      </c>
      <c r="J515" s="2" t="s">
        <v>1934</v>
      </c>
      <c r="K515" s="2" t="s">
        <v>112</v>
      </c>
      <c r="L515" s="2" t="s">
        <v>34</v>
      </c>
      <c r="M515" s="7">
        <v>206.66399999999999</v>
      </c>
      <c r="N515" s="4">
        <v>11</v>
      </c>
      <c r="O515" s="7">
        <v>10.625</v>
      </c>
      <c r="P515" s="2" t="s">
        <v>1935</v>
      </c>
      <c r="Q515" s="2"/>
      <c r="R515" s="6">
        <v>7.22</v>
      </c>
      <c r="S515" s="2"/>
      <c r="T515" s="2"/>
      <c r="U515" s="5">
        <v>3.4</v>
      </c>
      <c r="V515" s="2"/>
      <c r="W515" s="6">
        <v>7.25</v>
      </c>
      <c r="X515" s="4">
        <v>7</v>
      </c>
      <c r="Y515" s="7">
        <v>6.875</v>
      </c>
      <c r="Z515" s="7">
        <v>6.625</v>
      </c>
      <c r="AA515" s="6">
        <v>7.2</v>
      </c>
      <c r="AB515" s="2" t="s">
        <v>47</v>
      </c>
      <c r="AC515" s="6">
        <v>51.18</v>
      </c>
    </row>
    <row r="516" spans="1:29" ht="117" x14ac:dyDescent="0.15">
      <c r="A516" s="3">
        <f>DATE(1991,5,10)</f>
        <v>33368</v>
      </c>
      <c r="B516" s="3">
        <f>DATE(1992,7,2)</f>
        <v>33787</v>
      </c>
      <c r="C516" s="2" t="s">
        <v>95</v>
      </c>
      <c r="D516" s="2" t="s">
        <v>1936</v>
      </c>
      <c r="E516" s="2" t="s">
        <v>1937</v>
      </c>
      <c r="F516" s="4">
        <v>3433</v>
      </c>
      <c r="G516" s="2" t="s">
        <v>163</v>
      </c>
      <c r="H516" s="2" t="s">
        <v>34</v>
      </c>
      <c r="I516" s="2" t="s">
        <v>1938</v>
      </c>
      <c r="J516" s="2" t="s">
        <v>1939</v>
      </c>
      <c r="K516" s="2" t="s">
        <v>137</v>
      </c>
      <c r="L516" s="2" t="s">
        <v>34</v>
      </c>
      <c r="M516" s="2"/>
      <c r="N516" s="2"/>
      <c r="O516" s="2"/>
      <c r="P516" s="2" t="s">
        <v>1940</v>
      </c>
      <c r="Q516" s="6">
        <v>100</v>
      </c>
      <c r="R516" s="6">
        <v>8.15</v>
      </c>
      <c r="S516" s="5">
        <v>-3.6</v>
      </c>
      <c r="T516" s="7">
        <v>9.0640000000000001</v>
      </c>
      <c r="U516" s="5">
        <v>9</v>
      </c>
      <c r="V516" s="6">
        <v>-1.45</v>
      </c>
      <c r="W516" s="4">
        <v>5</v>
      </c>
      <c r="X516" s="6">
        <v>5.75</v>
      </c>
      <c r="Y516" s="6">
        <v>5.75</v>
      </c>
      <c r="Z516" s="6">
        <v>5.75</v>
      </c>
      <c r="AA516" s="6">
        <v>2.64</v>
      </c>
      <c r="AB516" s="7">
        <v>14.276999999999999</v>
      </c>
      <c r="AC516" s="2"/>
    </row>
    <row r="517" spans="1:29" ht="143" x14ac:dyDescent="0.15">
      <c r="A517" s="3">
        <f>DATE(1991,5,13)</f>
        <v>33371</v>
      </c>
      <c r="B517" s="3">
        <f>DATE(1991,6,21)</f>
        <v>33410</v>
      </c>
      <c r="C517" s="2" t="s">
        <v>95</v>
      </c>
      <c r="D517" s="2" t="s">
        <v>1941</v>
      </c>
      <c r="E517" s="2" t="s">
        <v>1942</v>
      </c>
      <c r="F517" s="4">
        <v>5943</v>
      </c>
      <c r="G517" s="2" t="s">
        <v>73</v>
      </c>
      <c r="H517" s="2" t="s">
        <v>34</v>
      </c>
      <c r="I517" s="2" t="s">
        <v>1943</v>
      </c>
      <c r="J517" s="2" t="s">
        <v>1944</v>
      </c>
      <c r="K517" s="2" t="s">
        <v>76</v>
      </c>
      <c r="L517" s="2" t="s">
        <v>34</v>
      </c>
      <c r="M517" s="2"/>
      <c r="N517" s="6">
        <v>24.75</v>
      </c>
      <c r="O517" s="5">
        <v>23.5</v>
      </c>
      <c r="P517" s="2" t="s">
        <v>1945</v>
      </c>
      <c r="Q517" s="6">
        <v>100</v>
      </c>
      <c r="R517" s="6">
        <v>16.5</v>
      </c>
      <c r="S517" s="5">
        <v>-2.4</v>
      </c>
      <c r="T517" s="7">
        <v>-1.429</v>
      </c>
      <c r="U517" s="5">
        <v>6.2</v>
      </c>
      <c r="V517" s="6">
        <v>-0.27</v>
      </c>
      <c r="W517" s="6">
        <v>11.25</v>
      </c>
      <c r="X517" s="6">
        <v>13.25</v>
      </c>
      <c r="Y517" s="4">
        <v>15</v>
      </c>
      <c r="Z517" s="5">
        <v>14.5</v>
      </c>
      <c r="AA517" s="6">
        <v>11.37</v>
      </c>
      <c r="AB517" s="2" t="s">
        <v>86</v>
      </c>
      <c r="AC517" s="6">
        <v>120.72</v>
      </c>
    </row>
    <row r="518" spans="1:29" ht="130" x14ac:dyDescent="0.15">
      <c r="A518" s="3">
        <f>DATE(1991,5,13)</f>
        <v>33371</v>
      </c>
      <c r="B518" s="2"/>
      <c r="C518" s="2" t="s">
        <v>30</v>
      </c>
      <c r="D518" s="2" t="s">
        <v>736</v>
      </c>
      <c r="E518" s="2" t="s">
        <v>36</v>
      </c>
      <c r="F518" s="4">
        <v>6021</v>
      </c>
      <c r="G518" s="2" t="s">
        <v>37</v>
      </c>
      <c r="H518" s="2" t="s">
        <v>34</v>
      </c>
      <c r="I518" s="2" t="s">
        <v>737</v>
      </c>
      <c r="J518" s="2" t="s">
        <v>738</v>
      </c>
      <c r="K518" s="2" t="s">
        <v>300</v>
      </c>
      <c r="L518" s="2" t="s">
        <v>739</v>
      </c>
      <c r="M518" s="2"/>
      <c r="N518" s="2"/>
      <c r="O518" s="2"/>
      <c r="P518" s="2" t="s">
        <v>1946</v>
      </c>
      <c r="Q518" s="2"/>
      <c r="R518" s="6">
        <v>14.5</v>
      </c>
      <c r="S518" s="5">
        <v>2</v>
      </c>
      <c r="T518" s="7">
        <v>3.4580000000000002</v>
      </c>
      <c r="U518" s="5">
        <v>9.1999999999999993</v>
      </c>
      <c r="V518" s="6">
        <v>1.01</v>
      </c>
      <c r="W518" s="6">
        <v>7.75</v>
      </c>
      <c r="X518" s="6">
        <v>7.75</v>
      </c>
      <c r="Y518" s="6">
        <v>8.75</v>
      </c>
      <c r="Z518" s="5">
        <v>12.5</v>
      </c>
      <c r="AA518" s="6">
        <v>1.94</v>
      </c>
      <c r="AB518" s="2" t="s">
        <v>86</v>
      </c>
      <c r="AC518" s="2"/>
    </row>
    <row r="519" spans="1:29" ht="91" x14ac:dyDescent="0.15">
      <c r="A519" s="3">
        <f>DATE(1991,5,14)</f>
        <v>33372</v>
      </c>
      <c r="B519" s="2"/>
      <c r="C519" s="2" t="s">
        <v>30</v>
      </c>
      <c r="D519" s="2" t="s">
        <v>1947</v>
      </c>
      <c r="E519" s="2" t="s">
        <v>1948</v>
      </c>
      <c r="F519" s="4">
        <v>1094</v>
      </c>
      <c r="G519" s="2" t="s">
        <v>166</v>
      </c>
      <c r="H519" s="2" t="s">
        <v>34</v>
      </c>
      <c r="I519" s="2" t="s">
        <v>1949</v>
      </c>
      <c r="J519" s="2" t="s">
        <v>1950</v>
      </c>
      <c r="K519" s="2" t="s">
        <v>166</v>
      </c>
      <c r="L519" s="2" t="s">
        <v>902</v>
      </c>
      <c r="M519" s="2"/>
      <c r="N519" s="2"/>
      <c r="O519" s="2"/>
      <c r="P519" s="2" t="s">
        <v>1951</v>
      </c>
      <c r="Q519" s="2"/>
      <c r="R519" s="6">
        <v>6.4</v>
      </c>
      <c r="S519" s="5">
        <v>2.1</v>
      </c>
      <c r="T519" s="7">
        <v>6.6749999999999998</v>
      </c>
      <c r="U519" s="5">
        <v>2.1</v>
      </c>
      <c r="V519" s="6">
        <v>0.3</v>
      </c>
      <c r="W519" s="7">
        <v>5.875</v>
      </c>
      <c r="X519" s="6">
        <v>6.25</v>
      </c>
      <c r="Y519" s="6">
        <v>7.25</v>
      </c>
      <c r="Z519" s="6">
        <v>7.25</v>
      </c>
      <c r="AA519" s="6">
        <v>6.58</v>
      </c>
      <c r="AB519" s="7">
        <v>10.324999999999999</v>
      </c>
      <c r="AC519" s="2"/>
    </row>
    <row r="520" spans="1:29" ht="156" x14ac:dyDescent="0.15">
      <c r="A520" s="3">
        <f>DATE(1991,5,15)</f>
        <v>33373</v>
      </c>
      <c r="B520" s="3">
        <f>DATE(1992,3,16)</f>
        <v>33679</v>
      </c>
      <c r="C520" s="2" t="s">
        <v>95</v>
      </c>
      <c r="D520" s="2" t="s">
        <v>1952</v>
      </c>
      <c r="E520" s="2" t="s">
        <v>36</v>
      </c>
      <c r="F520" s="4">
        <v>6021</v>
      </c>
      <c r="G520" s="2" t="s">
        <v>37</v>
      </c>
      <c r="H520" s="2" t="s">
        <v>34</v>
      </c>
      <c r="I520" s="2" t="s">
        <v>1953</v>
      </c>
      <c r="J520" s="2" t="s">
        <v>36</v>
      </c>
      <c r="K520" s="2" t="s">
        <v>37</v>
      </c>
      <c r="L520" s="2" t="s">
        <v>34</v>
      </c>
      <c r="M520" s="12">
        <v>1414.664</v>
      </c>
      <c r="N520" s="6">
        <v>41.25</v>
      </c>
      <c r="O520" s="7">
        <v>41.625</v>
      </c>
      <c r="P520" s="2" t="s">
        <v>1954</v>
      </c>
      <c r="Q520" s="6">
        <v>100</v>
      </c>
      <c r="R520" s="6">
        <v>31.2</v>
      </c>
      <c r="S520" s="5">
        <v>-96.4</v>
      </c>
      <c r="T520" s="7">
        <v>-142.92400000000001</v>
      </c>
      <c r="U520" s="5">
        <v>15.5</v>
      </c>
      <c r="V520" s="6">
        <v>-2.71</v>
      </c>
      <c r="W520" s="4">
        <v>15</v>
      </c>
      <c r="X520" s="4">
        <v>16</v>
      </c>
      <c r="Y520" s="7">
        <v>17.125</v>
      </c>
      <c r="Z520" s="6">
        <v>16.75</v>
      </c>
      <c r="AA520" s="6">
        <v>38</v>
      </c>
      <c r="AB520" s="2" t="s">
        <v>86</v>
      </c>
      <c r="AC520" s="2"/>
    </row>
    <row r="521" spans="1:29" ht="117" x14ac:dyDescent="0.15">
      <c r="A521" s="3">
        <f>DATE(1991,5,15)</f>
        <v>33373</v>
      </c>
      <c r="B521" s="3">
        <f>DATE(1992,3,31)</f>
        <v>33694</v>
      </c>
      <c r="C521" s="2" t="s">
        <v>95</v>
      </c>
      <c r="D521" s="2" t="s">
        <v>1700</v>
      </c>
      <c r="E521" s="2" t="s">
        <v>36</v>
      </c>
      <c r="F521" s="4">
        <v>6036</v>
      </c>
      <c r="G521" s="2" t="s">
        <v>33</v>
      </c>
      <c r="H521" s="2" t="s">
        <v>34</v>
      </c>
      <c r="I521" s="2" t="s">
        <v>1955</v>
      </c>
      <c r="J521" s="2" t="s">
        <v>672</v>
      </c>
      <c r="K521" s="2" t="s">
        <v>37</v>
      </c>
      <c r="L521" s="2" t="s">
        <v>34</v>
      </c>
      <c r="M521" s="2"/>
      <c r="N521" s="7">
        <v>12.375</v>
      </c>
      <c r="O521" s="7">
        <v>12.375</v>
      </c>
      <c r="P521" s="2" t="s">
        <v>1956</v>
      </c>
      <c r="Q521" s="6">
        <v>100</v>
      </c>
      <c r="R521" s="6">
        <v>23.5</v>
      </c>
      <c r="S521" s="5">
        <v>2.5</v>
      </c>
      <c r="T521" s="7">
        <v>3.3980000000000001</v>
      </c>
      <c r="U521" s="5">
        <v>29.3</v>
      </c>
      <c r="V521" s="6">
        <v>0.76</v>
      </c>
      <c r="W521" s="4">
        <v>20</v>
      </c>
      <c r="X521" s="6">
        <v>20.25</v>
      </c>
      <c r="Y521" s="7">
        <v>20.375</v>
      </c>
      <c r="Z521" s="6">
        <v>20.25</v>
      </c>
      <c r="AA521" s="6">
        <v>3.29</v>
      </c>
      <c r="AB521" s="7">
        <v>315.75900000000001</v>
      </c>
      <c r="AC521" s="2"/>
    </row>
    <row r="522" spans="1:29" ht="39" x14ac:dyDescent="0.15">
      <c r="A522" s="3">
        <f>DATE(1991,5,15)</f>
        <v>33373</v>
      </c>
      <c r="B522" s="2"/>
      <c r="C522" s="2" t="s">
        <v>87</v>
      </c>
      <c r="D522" s="2" t="s">
        <v>1957</v>
      </c>
      <c r="E522" s="2" t="s">
        <v>1888</v>
      </c>
      <c r="F522" s="4">
        <v>4911</v>
      </c>
      <c r="G522" s="2" t="s">
        <v>439</v>
      </c>
      <c r="H522" s="2" t="s">
        <v>34</v>
      </c>
      <c r="I522" s="2" t="s">
        <v>138</v>
      </c>
      <c r="J522" s="2" t="s">
        <v>139</v>
      </c>
      <c r="K522" s="2" t="s">
        <v>53</v>
      </c>
      <c r="L522" s="2" t="s">
        <v>139</v>
      </c>
      <c r="M522" s="2"/>
      <c r="N522" s="2"/>
      <c r="O522" s="2"/>
      <c r="P522" s="2" t="s">
        <v>1958</v>
      </c>
      <c r="Q522" s="2"/>
      <c r="R522" s="2"/>
      <c r="S522" s="5">
        <v>-12.8</v>
      </c>
      <c r="T522" s="2"/>
      <c r="U522" s="5">
        <v>-1.3</v>
      </c>
      <c r="V522" s="2"/>
      <c r="W522" s="5">
        <v>2.5</v>
      </c>
      <c r="X522" s="7">
        <v>2.625</v>
      </c>
      <c r="Y522" s="6">
        <v>2.75</v>
      </c>
      <c r="Z522" s="7">
        <v>2.625</v>
      </c>
      <c r="AA522" s="6">
        <v>9.7899999999999991</v>
      </c>
      <c r="AB522" s="2" t="s">
        <v>86</v>
      </c>
      <c r="AC522" s="2"/>
    </row>
    <row r="523" spans="1:29" ht="65" x14ac:dyDescent="0.15">
      <c r="A523" s="3">
        <f>DATE(1991,5,16)</f>
        <v>33374</v>
      </c>
      <c r="B523" s="2"/>
      <c r="C523" s="2" t="s">
        <v>189</v>
      </c>
      <c r="D523" s="2" t="s">
        <v>1959</v>
      </c>
      <c r="E523" s="2" t="s">
        <v>1960</v>
      </c>
      <c r="F523" s="4">
        <v>2851</v>
      </c>
      <c r="G523" s="2" t="s">
        <v>98</v>
      </c>
      <c r="H523" s="2" t="s">
        <v>34</v>
      </c>
      <c r="I523" s="2" t="s">
        <v>143</v>
      </c>
      <c r="J523" s="2" t="s">
        <v>144</v>
      </c>
      <c r="K523" s="2" t="s">
        <v>53</v>
      </c>
      <c r="L523" s="2" t="s">
        <v>139</v>
      </c>
      <c r="M523" s="2"/>
      <c r="N523" s="2"/>
      <c r="O523" s="2"/>
      <c r="P523" s="2" t="s">
        <v>1961</v>
      </c>
      <c r="Q523" s="2"/>
      <c r="R523" s="2"/>
      <c r="S523" s="5">
        <v>7.6</v>
      </c>
      <c r="T523" s="7">
        <v>18.181999999999999</v>
      </c>
      <c r="U523" s="5">
        <v>5.0999999999999996</v>
      </c>
      <c r="V523" s="6">
        <v>0.65</v>
      </c>
      <c r="W523" s="7">
        <v>7.375</v>
      </c>
      <c r="X523" s="6">
        <v>7.75</v>
      </c>
      <c r="Y523" s="7">
        <v>8.125</v>
      </c>
      <c r="Z523" s="6">
        <v>8.25</v>
      </c>
      <c r="AA523" s="6">
        <v>11.3</v>
      </c>
      <c r="AB523" s="2" t="s">
        <v>47</v>
      </c>
      <c r="AC523" s="2"/>
    </row>
    <row r="524" spans="1:29" ht="91" x14ac:dyDescent="0.15">
      <c r="A524" s="3">
        <f>DATE(1991,5,16)</f>
        <v>33374</v>
      </c>
      <c r="B524" s="3">
        <f>DATE(1992,3,27)</f>
        <v>33690</v>
      </c>
      <c r="C524" s="2" t="s">
        <v>95</v>
      </c>
      <c r="D524" s="2" t="s">
        <v>1962</v>
      </c>
      <c r="E524" s="2" t="s">
        <v>36</v>
      </c>
      <c r="F524" s="4">
        <v>6035</v>
      </c>
      <c r="G524" s="2" t="s">
        <v>33</v>
      </c>
      <c r="H524" s="2" t="s">
        <v>34</v>
      </c>
      <c r="I524" s="2" t="s">
        <v>1963</v>
      </c>
      <c r="J524" s="2" t="s">
        <v>36</v>
      </c>
      <c r="K524" s="2" t="s">
        <v>37</v>
      </c>
      <c r="L524" s="2" t="s">
        <v>34</v>
      </c>
      <c r="M524" s="2"/>
      <c r="N524" s="5">
        <v>45.5</v>
      </c>
      <c r="O524" s="4">
        <v>46</v>
      </c>
      <c r="P524" s="2" t="s">
        <v>1964</v>
      </c>
      <c r="Q524" s="6">
        <v>100</v>
      </c>
      <c r="R524" s="6">
        <v>13.21</v>
      </c>
      <c r="S524" s="2"/>
      <c r="T524" s="2"/>
      <c r="U524" s="2"/>
      <c r="V524" s="2"/>
      <c r="W524" s="4">
        <v>7</v>
      </c>
      <c r="X524" s="4">
        <v>7</v>
      </c>
      <c r="Y524" s="4">
        <v>10</v>
      </c>
      <c r="Z524" s="4">
        <v>10</v>
      </c>
      <c r="AA524" s="6">
        <v>0.73</v>
      </c>
      <c r="AB524" s="2" t="s">
        <v>47</v>
      </c>
      <c r="AC524" s="2"/>
    </row>
    <row r="525" spans="1:29" ht="156" x14ac:dyDescent="0.15">
      <c r="A525" s="3">
        <f>DATE(1991,5,20)</f>
        <v>33378</v>
      </c>
      <c r="B525" s="2"/>
      <c r="C525" s="2" t="s">
        <v>30</v>
      </c>
      <c r="D525" s="2" t="s">
        <v>1952</v>
      </c>
      <c r="E525" s="2" t="s">
        <v>36</v>
      </c>
      <c r="F525" s="4">
        <v>6021</v>
      </c>
      <c r="G525" s="2" t="s">
        <v>37</v>
      </c>
      <c r="H525" s="2" t="s">
        <v>34</v>
      </c>
      <c r="I525" s="2" t="s">
        <v>158</v>
      </c>
      <c r="J525" s="2" t="s">
        <v>159</v>
      </c>
      <c r="K525" s="2" t="s">
        <v>37</v>
      </c>
      <c r="L525" s="2" t="s">
        <v>34</v>
      </c>
      <c r="M525" s="2"/>
      <c r="N525" s="4">
        <v>35</v>
      </c>
      <c r="O525" s="4">
        <v>36</v>
      </c>
      <c r="P525" s="2" t="s">
        <v>1965</v>
      </c>
      <c r="Q525" s="2"/>
      <c r="R525" s="6">
        <v>23.76</v>
      </c>
      <c r="S525" s="5">
        <v>-96.4</v>
      </c>
      <c r="T525" s="7">
        <v>-116.065</v>
      </c>
      <c r="U525" s="5">
        <v>15.5</v>
      </c>
      <c r="V525" s="6">
        <v>-2.71</v>
      </c>
      <c r="W525" s="4">
        <v>15</v>
      </c>
      <c r="X525" s="4">
        <v>16</v>
      </c>
      <c r="Y525" s="7">
        <v>17.125</v>
      </c>
      <c r="Z525" s="6">
        <v>16.75</v>
      </c>
      <c r="AA525" s="6">
        <v>37.369999999999997</v>
      </c>
      <c r="AB525" s="2" t="s">
        <v>86</v>
      </c>
      <c r="AC525" s="2"/>
    </row>
    <row r="526" spans="1:29" ht="156" x14ac:dyDescent="0.15">
      <c r="A526" s="3">
        <f>DATE(1991,5,20)</f>
        <v>33378</v>
      </c>
      <c r="B526" s="3">
        <f>DATE(1991,12,2)</f>
        <v>33574</v>
      </c>
      <c r="C526" s="2" t="s">
        <v>95</v>
      </c>
      <c r="D526" s="2" t="s">
        <v>1966</v>
      </c>
      <c r="E526" s="2" t="s">
        <v>32</v>
      </c>
      <c r="F526" s="4">
        <v>6035</v>
      </c>
      <c r="G526" s="2" t="s">
        <v>33</v>
      </c>
      <c r="H526" s="2" t="s">
        <v>34</v>
      </c>
      <c r="I526" s="2" t="s">
        <v>1967</v>
      </c>
      <c r="J526" s="2" t="s">
        <v>36</v>
      </c>
      <c r="K526" s="2" t="s">
        <v>53</v>
      </c>
      <c r="L526" s="2" t="s">
        <v>34</v>
      </c>
      <c r="M526" s="6">
        <v>433.84</v>
      </c>
      <c r="N526" s="6">
        <v>31.25</v>
      </c>
      <c r="O526" s="6">
        <v>31.25</v>
      </c>
      <c r="P526" s="2" t="s">
        <v>1968</v>
      </c>
      <c r="Q526" s="6">
        <v>100</v>
      </c>
      <c r="R526" s="6">
        <v>18.829999999999998</v>
      </c>
      <c r="S526" s="5">
        <v>1.7</v>
      </c>
      <c r="T526" s="7">
        <v>3.5710000000000002</v>
      </c>
      <c r="U526" s="5">
        <v>14.9</v>
      </c>
      <c r="V526" s="6">
        <v>1.06</v>
      </c>
      <c r="W526" s="6">
        <v>14.75</v>
      </c>
      <c r="X526" s="4">
        <v>14</v>
      </c>
      <c r="Y526" s="4">
        <v>14</v>
      </c>
      <c r="Z526" s="5">
        <v>15.5</v>
      </c>
      <c r="AA526" s="6">
        <v>1.7</v>
      </c>
      <c r="AB526" s="2" t="s">
        <v>86</v>
      </c>
      <c r="AC526" s="2"/>
    </row>
    <row r="527" spans="1:29" ht="104" x14ac:dyDescent="0.15">
      <c r="A527" s="3">
        <f>DATE(1991,5,21)</f>
        <v>33379</v>
      </c>
      <c r="B527" s="2"/>
      <c r="C527" s="2" t="s">
        <v>30</v>
      </c>
      <c r="D527" s="2" t="s">
        <v>1969</v>
      </c>
      <c r="E527" s="2" t="s">
        <v>1970</v>
      </c>
      <c r="F527" s="4">
        <v>5122</v>
      </c>
      <c r="G527" s="2" t="s">
        <v>593</v>
      </c>
      <c r="H527" s="2" t="s">
        <v>34</v>
      </c>
      <c r="I527" s="2" t="s">
        <v>138</v>
      </c>
      <c r="J527" s="2" t="s">
        <v>139</v>
      </c>
      <c r="K527" s="2" t="s">
        <v>53</v>
      </c>
      <c r="L527" s="2" t="s">
        <v>139</v>
      </c>
      <c r="M527" s="2"/>
      <c r="N527" s="2"/>
      <c r="O527" s="2"/>
      <c r="P527" s="2" t="s">
        <v>1971</v>
      </c>
      <c r="Q527" s="2"/>
      <c r="R527" s="2"/>
      <c r="S527" s="5">
        <v>0.6</v>
      </c>
      <c r="T527" s="7">
        <v>6.0439999999999996</v>
      </c>
      <c r="U527" s="5">
        <v>3.7</v>
      </c>
      <c r="V527" s="9">
        <v>0.22789999999999999</v>
      </c>
      <c r="W527" s="7">
        <v>7.625</v>
      </c>
      <c r="X527" s="6">
        <v>7.25</v>
      </c>
      <c r="Y527" s="7">
        <v>6.875</v>
      </c>
      <c r="Z527" s="4">
        <v>7</v>
      </c>
      <c r="AA527" s="6">
        <v>2.83</v>
      </c>
      <c r="AB527" s="2" t="s">
        <v>47</v>
      </c>
      <c r="AC527" s="2"/>
    </row>
    <row r="528" spans="1:29" ht="104" x14ac:dyDescent="0.15">
      <c r="A528" s="3">
        <f>DATE(1991,5,22)</f>
        <v>33380</v>
      </c>
      <c r="B528" s="2"/>
      <c r="C528" s="2" t="s">
        <v>30</v>
      </c>
      <c r="D528" s="2" t="s">
        <v>1972</v>
      </c>
      <c r="E528" s="2" t="s">
        <v>1973</v>
      </c>
      <c r="F528" s="4">
        <v>3827</v>
      </c>
      <c r="G528" s="2" t="s">
        <v>226</v>
      </c>
      <c r="H528" s="2" t="s">
        <v>34</v>
      </c>
      <c r="I528" s="2" t="s">
        <v>138</v>
      </c>
      <c r="J528" s="2" t="s">
        <v>139</v>
      </c>
      <c r="K528" s="2" t="s">
        <v>53</v>
      </c>
      <c r="L528" s="2" t="s">
        <v>139</v>
      </c>
      <c r="M528" s="2"/>
      <c r="N528" s="2"/>
      <c r="O528" s="2"/>
      <c r="P528" s="2" t="s">
        <v>1974</v>
      </c>
      <c r="Q528" s="2"/>
      <c r="R528" s="2"/>
      <c r="S528" s="5">
        <v>0.3</v>
      </c>
      <c r="T528" s="7">
        <v>2.6669999999999998</v>
      </c>
      <c r="U528" s="5">
        <v>8.4</v>
      </c>
      <c r="V528" s="6">
        <v>0.05</v>
      </c>
      <c r="W528" s="6">
        <v>5.75</v>
      </c>
      <c r="X528" s="7">
        <v>5.375</v>
      </c>
      <c r="Y528" s="7">
        <v>6.375</v>
      </c>
      <c r="Z528" s="7">
        <v>6.4379999999999997</v>
      </c>
      <c r="AA528" s="6">
        <v>6.34</v>
      </c>
      <c r="AB528" s="2" t="s">
        <v>86</v>
      </c>
      <c r="AC528" s="2"/>
    </row>
    <row r="529" spans="1:29" ht="65" x14ac:dyDescent="0.15">
      <c r="A529" s="3">
        <f>DATE(1991,5,22)</f>
        <v>33380</v>
      </c>
      <c r="B529" s="2"/>
      <c r="C529" s="2" t="s">
        <v>87</v>
      </c>
      <c r="D529" s="2" t="s">
        <v>1975</v>
      </c>
      <c r="E529" s="2" t="s">
        <v>441</v>
      </c>
      <c r="F529" s="4">
        <v>4911</v>
      </c>
      <c r="G529" s="2" t="s">
        <v>439</v>
      </c>
      <c r="H529" s="2" t="s">
        <v>34</v>
      </c>
      <c r="I529" s="2" t="s">
        <v>1976</v>
      </c>
      <c r="J529" s="2" t="s">
        <v>1977</v>
      </c>
      <c r="K529" s="2" t="s">
        <v>439</v>
      </c>
      <c r="L529" s="2" t="s">
        <v>34</v>
      </c>
      <c r="M529" s="7">
        <v>944.73299999999995</v>
      </c>
      <c r="N529" s="4">
        <v>10</v>
      </c>
      <c r="O529" s="7">
        <v>10.375</v>
      </c>
      <c r="P529" s="2" t="s">
        <v>1978</v>
      </c>
      <c r="Q529" s="2"/>
      <c r="R529" s="2"/>
      <c r="S529" s="5">
        <v>-694.1</v>
      </c>
      <c r="T529" s="2"/>
      <c r="U529" s="2"/>
      <c r="V529" s="2"/>
      <c r="W529" s="7">
        <v>7.125</v>
      </c>
      <c r="X529" s="4">
        <v>7</v>
      </c>
      <c r="Y529" s="4">
        <v>7</v>
      </c>
      <c r="Z529" s="7">
        <v>7.125</v>
      </c>
      <c r="AA529" s="6">
        <v>25.7</v>
      </c>
      <c r="AB529" s="2" t="s">
        <v>86</v>
      </c>
      <c r="AC529" s="6">
        <v>59.36</v>
      </c>
    </row>
    <row r="530" spans="1:29" ht="117" x14ac:dyDescent="0.15">
      <c r="A530" s="3">
        <f>DATE(1991,5,24)</f>
        <v>33382</v>
      </c>
      <c r="B530" s="2"/>
      <c r="C530" s="2" t="s">
        <v>39</v>
      </c>
      <c r="D530" s="2" t="s">
        <v>1979</v>
      </c>
      <c r="E530" s="2" t="s">
        <v>1980</v>
      </c>
      <c r="F530" s="4">
        <v>2421</v>
      </c>
      <c r="G530" s="2" t="s">
        <v>250</v>
      </c>
      <c r="H530" s="2" t="s">
        <v>34</v>
      </c>
      <c r="I530" s="2" t="s">
        <v>1981</v>
      </c>
      <c r="J530" s="2" t="s">
        <v>1982</v>
      </c>
      <c r="K530" s="2" t="s">
        <v>282</v>
      </c>
      <c r="L530" s="2" t="s">
        <v>34</v>
      </c>
      <c r="M530" s="2"/>
      <c r="N530" s="6">
        <v>63.75</v>
      </c>
      <c r="O530" s="6">
        <v>63.75</v>
      </c>
      <c r="P530" s="2" t="s">
        <v>1983</v>
      </c>
      <c r="Q530" s="2"/>
      <c r="R530" s="2"/>
      <c r="S530" s="5">
        <v>98.6</v>
      </c>
      <c r="T530" s="7">
        <v>261.63600000000002</v>
      </c>
      <c r="U530" s="5">
        <v>25.7</v>
      </c>
      <c r="V530" s="6">
        <v>2.83</v>
      </c>
      <c r="W530" s="5">
        <v>38.5</v>
      </c>
      <c r="X530" s="6">
        <v>42.75</v>
      </c>
      <c r="Y530" s="6">
        <v>45.75</v>
      </c>
      <c r="Z530" s="6">
        <v>45.75</v>
      </c>
      <c r="AA530" s="6">
        <v>29</v>
      </c>
      <c r="AB530" s="2" t="s">
        <v>47</v>
      </c>
      <c r="AC530" s="5">
        <v>272</v>
      </c>
    </row>
    <row r="531" spans="1:29" ht="52" x14ac:dyDescent="0.15">
      <c r="A531" s="3">
        <f>DATE(1991,5,28)</f>
        <v>33386</v>
      </c>
      <c r="B531" s="2"/>
      <c r="C531" s="2" t="s">
        <v>30</v>
      </c>
      <c r="D531" s="2" t="s">
        <v>1984</v>
      </c>
      <c r="E531" s="2" t="s">
        <v>1181</v>
      </c>
      <c r="F531" s="4">
        <v>6021</v>
      </c>
      <c r="G531" s="2" t="s">
        <v>37</v>
      </c>
      <c r="H531" s="2" t="s">
        <v>34</v>
      </c>
      <c r="I531" s="2" t="s">
        <v>138</v>
      </c>
      <c r="J531" s="2" t="s">
        <v>139</v>
      </c>
      <c r="K531" s="2" t="s">
        <v>53</v>
      </c>
      <c r="L531" s="2" t="s">
        <v>139</v>
      </c>
      <c r="M531" s="2"/>
      <c r="N531" s="2"/>
      <c r="O531" s="2"/>
      <c r="P531" s="2" t="s">
        <v>1985</v>
      </c>
      <c r="Q531" s="2"/>
      <c r="R531" s="2"/>
      <c r="S531" s="5">
        <v>1.2</v>
      </c>
      <c r="T531" s="7">
        <v>2.0779999999999998</v>
      </c>
      <c r="U531" s="2"/>
      <c r="V531" s="6">
        <v>1.04</v>
      </c>
      <c r="W531" s="4">
        <v>13</v>
      </c>
      <c r="X531" s="4">
        <v>13</v>
      </c>
      <c r="Y531" s="7">
        <v>12.625</v>
      </c>
      <c r="Z531" s="4">
        <v>15</v>
      </c>
      <c r="AA531" s="2"/>
      <c r="AB531" s="2" t="s">
        <v>47</v>
      </c>
      <c r="AC531" s="2"/>
    </row>
    <row r="532" spans="1:29" ht="156" x14ac:dyDescent="0.15">
      <c r="A532" s="3">
        <f>DATE(1991,5,28)</f>
        <v>33386</v>
      </c>
      <c r="B532" s="2"/>
      <c r="C532" s="2" t="s">
        <v>30</v>
      </c>
      <c r="D532" s="2" t="s">
        <v>1986</v>
      </c>
      <c r="E532" s="2" t="s">
        <v>1987</v>
      </c>
      <c r="F532" s="4">
        <v>2844</v>
      </c>
      <c r="G532" s="2" t="s">
        <v>358</v>
      </c>
      <c r="H532" s="2" t="s">
        <v>34</v>
      </c>
      <c r="I532" s="2" t="s">
        <v>1988</v>
      </c>
      <c r="J532" s="2" t="s">
        <v>52</v>
      </c>
      <c r="K532" s="2" t="s">
        <v>53</v>
      </c>
      <c r="L532" s="2" t="s">
        <v>34</v>
      </c>
      <c r="M532" s="2"/>
      <c r="N532" s="2"/>
      <c r="O532" s="2"/>
      <c r="P532" s="2" t="s">
        <v>1989</v>
      </c>
      <c r="Q532" s="2"/>
      <c r="R532" s="6">
        <v>17.25</v>
      </c>
      <c r="S532" s="5">
        <v>1.9</v>
      </c>
      <c r="T532" s="2"/>
      <c r="U532" s="5">
        <v>1.8</v>
      </c>
      <c r="V532" s="2"/>
      <c r="W532" s="6">
        <v>14.75</v>
      </c>
      <c r="X532" s="6">
        <v>15.25</v>
      </c>
      <c r="Y532" s="7">
        <v>15.375</v>
      </c>
      <c r="Z532" s="6">
        <v>16.25</v>
      </c>
      <c r="AA532" s="6">
        <v>1.2</v>
      </c>
      <c r="AB532" s="7">
        <v>50.281999999999996</v>
      </c>
      <c r="AC532" s="2"/>
    </row>
    <row r="533" spans="1:29" ht="169" x14ac:dyDescent="0.15">
      <c r="A533" s="3">
        <f>DATE(1991,5,28)</f>
        <v>33386</v>
      </c>
      <c r="B533" s="2"/>
      <c r="C533" s="2" t="s">
        <v>30</v>
      </c>
      <c r="D533" s="2" t="s">
        <v>1990</v>
      </c>
      <c r="E533" s="2" t="s">
        <v>1248</v>
      </c>
      <c r="F533" s="4">
        <v>1041</v>
      </c>
      <c r="G533" s="2" t="s">
        <v>166</v>
      </c>
      <c r="H533" s="2" t="s">
        <v>34</v>
      </c>
      <c r="I533" s="2" t="s">
        <v>1991</v>
      </c>
      <c r="J533" s="2" t="s">
        <v>277</v>
      </c>
      <c r="K533" s="2" t="s">
        <v>166</v>
      </c>
      <c r="L533" s="2" t="s">
        <v>902</v>
      </c>
      <c r="M533" s="2"/>
      <c r="N533" s="2"/>
      <c r="O533" s="2"/>
      <c r="P533" s="2" t="s">
        <v>1992</v>
      </c>
      <c r="Q533" s="2"/>
      <c r="R533" s="6">
        <v>34.880000000000003</v>
      </c>
      <c r="S533" s="5">
        <v>168.5</v>
      </c>
      <c r="T533" s="7">
        <v>244.01499999999999</v>
      </c>
      <c r="U533" s="5">
        <v>1.3</v>
      </c>
      <c r="V533" s="9">
        <v>1.9923</v>
      </c>
      <c r="W533" s="5">
        <v>34.5</v>
      </c>
      <c r="X533" s="7">
        <v>33.375</v>
      </c>
      <c r="Y533" s="7">
        <v>36.125</v>
      </c>
      <c r="Z533" s="6">
        <v>36.25</v>
      </c>
      <c r="AA533" s="6">
        <v>67.77</v>
      </c>
      <c r="AB533" s="7">
        <v>20.22</v>
      </c>
      <c r="AC533" s="6">
        <v>311.79000000000002</v>
      </c>
    </row>
    <row r="534" spans="1:29" ht="91" x14ac:dyDescent="0.15">
      <c r="A534" s="3">
        <f>DATE(1991,5,29)</f>
        <v>33387</v>
      </c>
      <c r="B534" s="2"/>
      <c r="C534" s="2" t="s">
        <v>30</v>
      </c>
      <c r="D534" s="2" t="s">
        <v>1993</v>
      </c>
      <c r="E534" s="2" t="s">
        <v>1994</v>
      </c>
      <c r="F534" s="4">
        <v>6035</v>
      </c>
      <c r="G534" s="2" t="s">
        <v>33</v>
      </c>
      <c r="H534" s="2" t="s">
        <v>34</v>
      </c>
      <c r="I534" s="2" t="s">
        <v>995</v>
      </c>
      <c r="J534" s="2" t="s">
        <v>996</v>
      </c>
      <c r="K534" s="2" t="s">
        <v>37</v>
      </c>
      <c r="L534" s="2" t="s">
        <v>34</v>
      </c>
      <c r="M534" s="2"/>
      <c r="N534" s="2"/>
      <c r="O534" s="2"/>
      <c r="P534" s="2" t="s">
        <v>1995</v>
      </c>
      <c r="Q534" s="2"/>
      <c r="R534" s="6">
        <v>27</v>
      </c>
      <c r="S534" s="5">
        <v>2.8</v>
      </c>
      <c r="T534" s="2"/>
      <c r="U534" s="5">
        <v>21.6</v>
      </c>
      <c r="V534" s="2"/>
      <c r="W534" s="6">
        <v>19.25</v>
      </c>
      <c r="X534" s="7">
        <v>19.375</v>
      </c>
      <c r="Y534" s="7">
        <v>23.625</v>
      </c>
      <c r="Z534" s="4">
        <v>24</v>
      </c>
      <c r="AA534" s="6">
        <v>1.18</v>
      </c>
      <c r="AB534" s="7">
        <v>2.7890000000000001</v>
      </c>
      <c r="AC534" s="2"/>
    </row>
    <row r="535" spans="1:29" ht="104" x14ac:dyDescent="0.15">
      <c r="A535" s="3">
        <f>DATE(1991,5,30)</f>
        <v>33388</v>
      </c>
      <c r="B535" s="2"/>
      <c r="C535" s="2" t="s">
        <v>39</v>
      </c>
      <c r="D535" s="2" t="s">
        <v>1996</v>
      </c>
      <c r="E535" s="2" t="s">
        <v>1997</v>
      </c>
      <c r="F535" s="4">
        <v>5734</v>
      </c>
      <c r="G535" s="2" t="s">
        <v>1227</v>
      </c>
      <c r="H535" s="2" t="s">
        <v>34</v>
      </c>
      <c r="I535" s="2" t="s">
        <v>1423</v>
      </c>
      <c r="J535" s="2" t="s">
        <v>1424</v>
      </c>
      <c r="K535" s="2" t="s">
        <v>76</v>
      </c>
      <c r="L535" s="2" t="s">
        <v>34</v>
      </c>
      <c r="M535" s="2"/>
      <c r="N535" s="7">
        <v>2.875</v>
      </c>
      <c r="O535" s="7">
        <v>2.875</v>
      </c>
      <c r="P535" s="2" t="s">
        <v>1998</v>
      </c>
      <c r="Q535" s="2"/>
      <c r="R535" s="2"/>
      <c r="S535" s="5">
        <v>-24.1</v>
      </c>
      <c r="T535" s="7">
        <v>11.317</v>
      </c>
      <c r="U535" s="5">
        <v>5.9</v>
      </c>
      <c r="V535" s="6">
        <v>-0.8</v>
      </c>
      <c r="W535" s="7">
        <v>1.625</v>
      </c>
      <c r="X535" s="5">
        <v>1.5</v>
      </c>
      <c r="Y535" s="6">
        <v>1.25</v>
      </c>
      <c r="Z535" s="4">
        <v>1</v>
      </c>
      <c r="AA535" s="6">
        <v>32.25</v>
      </c>
      <c r="AB535" s="2" t="s">
        <v>86</v>
      </c>
      <c r="AC535" s="6">
        <v>1.61</v>
      </c>
    </row>
    <row r="536" spans="1:29" ht="156" x14ac:dyDescent="0.15">
      <c r="A536" s="3">
        <f>DATE(1991,5,30)</f>
        <v>33388</v>
      </c>
      <c r="B536" s="3">
        <f>DATE(1991,11,13)</f>
        <v>33555</v>
      </c>
      <c r="C536" s="2" t="s">
        <v>95</v>
      </c>
      <c r="D536" s="2" t="s">
        <v>1996</v>
      </c>
      <c r="E536" s="2" t="s">
        <v>1997</v>
      </c>
      <c r="F536" s="4">
        <v>5734</v>
      </c>
      <c r="G536" s="2" t="s">
        <v>1227</v>
      </c>
      <c r="H536" s="2" t="s">
        <v>34</v>
      </c>
      <c r="I536" s="2" t="s">
        <v>339</v>
      </c>
      <c r="J536" s="2" t="s">
        <v>340</v>
      </c>
      <c r="K536" s="2" t="s">
        <v>341</v>
      </c>
      <c r="L536" s="2" t="s">
        <v>34</v>
      </c>
      <c r="M536" s="2"/>
      <c r="N536" s="2"/>
      <c r="O536" s="2"/>
      <c r="P536" s="2" t="s">
        <v>1999</v>
      </c>
      <c r="Q536" s="6">
        <v>100</v>
      </c>
      <c r="R536" s="6">
        <v>1</v>
      </c>
      <c r="S536" s="5">
        <v>-24.1</v>
      </c>
      <c r="T536" s="7">
        <v>11.317</v>
      </c>
      <c r="U536" s="5">
        <v>5.9</v>
      </c>
      <c r="V536" s="6">
        <v>-0.8</v>
      </c>
      <c r="W536" s="7">
        <v>1.625</v>
      </c>
      <c r="X536" s="5">
        <v>1.5</v>
      </c>
      <c r="Y536" s="6">
        <v>1.25</v>
      </c>
      <c r="Z536" s="4">
        <v>1</v>
      </c>
      <c r="AA536" s="6">
        <v>32.25</v>
      </c>
      <c r="AB536" s="2" t="s">
        <v>86</v>
      </c>
      <c r="AC536" s="6">
        <v>56.73</v>
      </c>
    </row>
    <row r="537" spans="1:29" ht="130" x14ac:dyDescent="0.15">
      <c r="A537" s="3">
        <f>DATE(1991,5,30)</f>
        <v>33388</v>
      </c>
      <c r="B537" s="2"/>
      <c r="C537" s="2" t="s">
        <v>30</v>
      </c>
      <c r="D537" s="2" t="s">
        <v>2000</v>
      </c>
      <c r="E537" s="2" t="s">
        <v>1547</v>
      </c>
      <c r="F537" s="4">
        <v>5731</v>
      </c>
      <c r="G537" s="2" t="s">
        <v>1227</v>
      </c>
      <c r="H537" s="2" t="s">
        <v>34</v>
      </c>
      <c r="I537" s="2" t="s">
        <v>2001</v>
      </c>
      <c r="J537" s="2" t="s">
        <v>2002</v>
      </c>
      <c r="K537" s="2" t="s">
        <v>1227</v>
      </c>
      <c r="L537" s="2" t="s">
        <v>34</v>
      </c>
      <c r="M537" s="2"/>
      <c r="N537" s="5">
        <v>10.5</v>
      </c>
      <c r="O537" s="6">
        <v>10.75</v>
      </c>
      <c r="P537" s="2" t="s">
        <v>2003</v>
      </c>
      <c r="Q537" s="2"/>
      <c r="R537" s="6">
        <v>2.75</v>
      </c>
      <c r="S537" s="5">
        <v>0.1</v>
      </c>
      <c r="T537" s="2"/>
      <c r="U537" s="5">
        <v>1.7</v>
      </c>
      <c r="V537" s="2"/>
      <c r="W537" s="7">
        <v>1.875</v>
      </c>
      <c r="X537" s="7">
        <v>2.125</v>
      </c>
      <c r="Y537" s="6">
        <v>2.25</v>
      </c>
      <c r="Z537" s="6">
        <v>2.25</v>
      </c>
      <c r="AA537" s="6">
        <v>2.2599999999999998</v>
      </c>
      <c r="AB537" s="7">
        <v>62.106999999999999</v>
      </c>
      <c r="AC537" s="6">
        <v>0.57999999999999996</v>
      </c>
    </row>
    <row r="538" spans="1:29" ht="104" x14ac:dyDescent="0.15">
      <c r="A538" s="3">
        <f>DATE(1991,5,31)</f>
        <v>33389</v>
      </c>
      <c r="B538" s="3">
        <f>DATE(1991,12,11)</f>
        <v>33583</v>
      </c>
      <c r="C538" s="2" t="s">
        <v>95</v>
      </c>
      <c r="D538" s="2" t="s">
        <v>2004</v>
      </c>
      <c r="E538" s="2" t="s">
        <v>2005</v>
      </c>
      <c r="F538" s="4">
        <v>3679</v>
      </c>
      <c r="G538" s="2" t="s">
        <v>137</v>
      </c>
      <c r="H538" s="2" t="s">
        <v>34</v>
      </c>
      <c r="I538" s="2" t="s">
        <v>51</v>
      </c>
      <c r="J538" s="2" t="s">
        <v>52</v>
      </c>
      <c r="K538" s="2" t="s">
        <v>53</v>
      </c>
      <c r="L538" s="2" t="s">
        <v>34</v>
      </c>
      <c r="M538" s="2"/>
      <c r="N538" s="2"/>
      <c r="O538" s="2"/>
      <c r="P538" s="2" t="s">
        <v>2006</v>
      </c>
      <c r="Q538" s="6">
        <v>40.450000000000003</v>
      </c>
      <c r="R538" s="6">
        <v>1.5</v>
      </c>
      <c r="S538" s="2"/>
      <c r="T538" s="2"/>
      <c r="U538" s="2"/>
      <c r="V538" s="2"/>
      <c r="W538" s="7">
        <v>2.125</v>
      </c>
      <c r="X538" s="4">
        <v>2</v>
      </c>
      <c r="Y538" s="4">
        <v>2</v>
      </c>
      <c r="Z538" s="7">
        <v>2.125</v>
      </c>
      <c r="AA538" s="6">
        <v>1.85</v>
      </c>
      <c r="AB538" s="2" t="s">
        <v>47</v>
      </c>
      <c r="AC538" s="2"/>
    </row>
    <row r="539" spans="1:29" ht="130" x14ac:dyDescent="0.15">
      <c r="A539" s="3">
        <f>DATE(1991,6,3)</f>
        <v>33392</v>
      </c>
      <c r="B539" s="3">
        <f>DATE(1992,3,2)</f>
        <v>33665</v>
      </c>
      <c r="C539" s="2" t="s">
        <v>95</v>
      </c>
      <c r="D539" s="2" t="s">
        <v>2007</v>
      </c>
      <c r="E539" s="2" t="s">
        <v>36</v>
      </c>
      <c r="F539" s="4">
        <v>6021</v>
      </c>
      <c r="G539" s="2" t="s">
        <v>37</v>
      </c>
      <c r="H539" s="2" t="s">
        <v>34</v>
      </c>
      <c r="I539" s="2" t="s">
        <v>1612</v>
      </c>
      <c r="J539" s="2" t="s">
        <v>263</v>
      </c>
      <c r="K539" s="2" t="s">
        <v>37</v>
      </c>
      <c r="L539" s="2" t="s">
        <v>34</v>
      </c>
      <c r="M539" s="2"/>
      <c r="N539" s="6">
        <v>38.75</v>
      </c>
      <c r="O539" s="4">
        <v>40</v>
      </c>
      <c r="P539" s="2" t="s">
        <v>2008</v>
      </c>
      <c r="Q539" s="6">
        <v>100</v>
      </c>
      <c r="R539" s="6">
        <v>13.5</v>
      </c>
      <c r="S539" s="5">
        <v>21.2</v>
      </c>
      <c r="T539" s="7">
        <v>31.742000000000001</v>
      </c>
      <c r="U539" s="5">
        <v>4.5999999999999996</v>
      </c>
      <c r="V539" s="6">
        <v>0.77</v>
      </c>
      <c r="W539" s="4">
        <v>9</v>
      </c>
      <c r="X539" s="7">
        <v>8.625</v>
      </c>
      <c r="Y539" s="7">
        <v>11.125</v>
      </c>
      <c r="Z539" s="6">
        <v>11.75</v>
      </c>
      <c r="AA539" s="6">
        <v>25.67</v>
      </c>
      <c r="AB539" s="7">
        <v>63.795000000000002</v>
      </c>
      <c r="AC539" s="2"/>
    </row>
    <row r="540" spans="1:29" ht="78" x14ac:dyDescent="0.15">
      <c r="A540" s="3">
        <f>DATE(1991,6,3)</f>
        <v>33392</v>
      </c>
      <c r="B540" s="2"/>
      <c r="C540" s="2" t="s">
        <v>56</v>
      </c>
      <c r="D540" s="2" t="s">
        <v>2009</v>
      </c>
      <c r="E540" s="2" t="s">
        <v>2010</v>
      </c>
      <c r="F540" s="4">
        <v>3827</v>
      </c>
      <c r="G540" s="2" t="s">
        <v>226</v>
      </c>
      <c r="H540" s="2" t="s">
        <v>34</v>
      </c>
      <c r="I540" s="2" t="s">
        <v>149</v>
      </c>
      <c r="J540" s="2" t="s">
        <v>150</v>
      </c>
      <c r="K540" s="2" t="s">
        <v>53</v>
      </c>
      <c r="L540" s="2" t="s">
        <v>151</v>
      </c>
      <c r="M540" s="2"/>
      <c r="N540" s="2"/>
      <c r="O540" s="2"/>
      <c r="P540" s="2" t="s">
        <v>2011</v>
      </c>
      <c r="Q540" s="2"/>
      <c r="R540" s="2"/>
      <c r="S540" s="5">
        <v>-0.7</v>
      </c>
      <c r="T540" s="7">
        <v>0.34200000000000003</v>
      </c>
      <c r="U540" s="2"/>
      <c r="V540" s="6">
        <v>0.45</v>
      </c>
      <c r="W540" s="7">
        <v>2.125</v>
      </c>
      <c r="X540" s="7">
        <v>2.625</v>
      </c>
      <c r="Y540" s="6">
        <v>2.25</v>
      </c>
      <c r="Z540" s="5">
        <v>2.5</v>
      </c>
      <c r="AA540" s="6">
        <v>2.19</v>
      </c>
      <c r="AB540" s="2" t="s">
        <v>86</v>
      </c>
      <c r="AC540" s="2"/>
    </row>
    <row r="541" spans="1:29" ht="143" x14ac:dyDescent="0.15">
      <c r="A541" s="3">
        <f>DATE(1991,6,3)</f>
        <v>33392</v>
      </c>
      <c r="B541" s="3">
        <f>DATE(1991,11,7)</f>
        <v>33549</v>
      </c>
      <c r="C541" s="2" t="s">
        <v>95</v>
      </c>
      <c r="D541" s="2" t="s">
        <v>2012</v>
      </c>
      <c r="E541" s="2" t="s">
        <v>92</v>
      </c>
      <c r="F541" s="4">
        <v>6798</v>
      </c>
      <c r="G541" s="2" t="s">
        <v>53</v>
      </c>
      <c r="H541" s="2" t="s">
        <v>34</v>
      </c>
      <c r="I541" s="2" t="s">
        <v>2013</v>
      </c>
      <c r="J541" s="2" t="s">
        <v>92</v>
      </c>
      <c r="K541" s="2" t="s">
        <v>53</v>
      </c>
      <c r="L541" s="2" t="s">
        <v>34</v>
      </c>
      <c r="M541" s="2"/>
      <c r="N541" s="6">
        <v>8.75</v>
      </c>
      <c r="O541" s="7">
        <v>8.625</v>
      </c>
      <c r="P541" s="2" t="s">
        <v>2014</v>
      </c>
      <c r="Q541" s="6">
        <v>100</v>
      </c>
      <c r="R541" s="2"/>
      <c r="S541" s="5">
        <v>0.6</v>
      </c>
      <c r="T541" s="2"/>
      <c r="U541" s="5">
        <v>8.6</v>
      </c>
      <c r="V541" s="6">
        <v>0.14000000000000001</v>
      </c>
      <c r="W541" s="4">
        <v>3</v>
      </c>
      <c r="X541" s="7">
        <v>3.125</v>
      </c>
      <c r="Y541" s="6">
        <v>3.25</v>
      </c>
      <c r="Z541" s="6">
        <v>3.25</v>
      </c>
      <c r="AA541" s="6">
        <v>4.22</v>
      </c>
      <c r="AB541" s="2" t="s">
        <v>86</v>
      </c>
      <c r="AC541" s="2"/>
    </row>
    <row r="542" spans="1:29" ht="117" x14ac:dyDescent="0.15">
      <c r="A542" s="3">
        <f>DATE(1991,6,5)</f>
        <v>33394</v>
      </c>
      <c r="B542" s="2"/>
      <c r="C542" s="2" t="s">
        <v>39</v>
      </c>
      <c r="D542" s="2" t="s">
        <v>2015</v>
      </c>
      <c r="E542" s="2" t="s">
        <v>2016</v>
      </c>
      <c r="F542" s="4">
        <v>7373</v>
      </c>
      <c r="G542" s="2" t="s">
        <v>223</v>
      </c>
      <c r="H542" s="2" t="s">
        <v>34</v>
      </c>
      <c r="I542" s="2" t="s">
        <v>2017</v>
      </c>
      <c r="J542" s="2" t="s">
        <v>2018</v>
      </c>
      <c r="K542" s="2" t="s">
        <v>50</v>
      </c>
      <c r="L542" s="2" t="s">
        <v>34</v>
      </c>
      <c r="M542" s="2"/>
      <c r="N542" s="6">
        <v>37.25</v>
      </c>
      <c r="O542" s="6">
        <v>36.75</v>
      </c>
      <c r="P542" s="2" t="s">
        <v>2019</v>
      </c>
      <c r="Q542" s="2"/>
      <c r="R542" s="2"/>
      <c r="S542" s="5">
        <v>-23</v>
      </c>
      <c r="T542" s="2"/>
      <c r="U542" s="5">
        <v>1.1000000000000001</v>
      </c>
      <c r="V542" s="2"/>
      <c r="W542" s="7">
        <v>7.875</v>
      </c>
      <c r="X542" s="7">
        <v>7.625</v>
      </c>
      <c r="Y542" s="6">
        <v>7.75</v>
      </c>
      <c r="Z542" s="7">
        <v>8.875</v>
      </c>
      <c r="AA542" s="2"/>
      <c r="AB542" s="2" t="s">
        <v>86</v>
      </c>
      <c r="AC542" s="6">
        <v>66.67</v>
      </c>
    </row>
    <row r="543" spans="1:29" ht="143" x14ac:dyDescent="0.15">
      <c r="A543" s="3">
        <f>DATE(1991,6,7)</f>
        <v>33396</v>
      </c>
      <c r="B543" s="3">
        <f>DATE(1991,10,31)</f>
        <v>33542</v>
      </c>
      <c r="C543" s="2" t="s">
        <v>95</v>
      </c>
      <c r="D543" s="2" t="s">
        <v>2020</v>
      </c>
      <c r="E543" s="2" t="s">
        <v>2021</v>
      </c>
      <c r="F543" s="4">
        <v>3541</v>
      </c>
      <c r="G543" s="2" t="s">
        <v>300</v>
      </c>
      <c r="H543" s="2" t="s">
        <v>34</v>
      </c>
      <c r="I543" s="2" t="s">
        <v>2022</v>
      </c>
      <c r="J543" s="2" t="s">
        <v>2023</v>
      </c>
      <c r="K543" s="2" t="s">
        <v>300</v>
      </c>
      <c r="L543" s="2" t="s">
        <v>34</v>
      </c>
      <c r="M543" s="7">
        <v>252.50399999999999</v>
      </c>
      <c r="N543" s="7">
        <v>24.125</v>
      </c>
      <c r="O543" s="7">
        <v>23.375</v>
      </c>
      <c r="P543" s="2" t="s">
        <v>2024</v>
      </c>
      <c r="Q543" s="6">
        <v>100</v>
      </c>
      <c r="R543" s="6">
        <v>6.72</v>
      </c>
      <c r="S543" s="5">
        <v>-7.7</v>
      </c>
      <c r="T543" s="7">
        <v>8.8960000000000008</v>
      </c>
      <c r="U543" s="5">
        <v>8.6999999999999993</v>
      </c>
      <c r="V543" s="6">
        <v>-1.02</v>
      </c>
      <c r="W543" s="7">
        <v>4.125</v>
      </c>
      <c r="X543" s="7">
        <v>3.875</v>
      </c>
      <c r="Y543" s="7">
        <v>3.625</v>
      </c>
      <c r="Z543" s="7">
        <v>4.875</v>
      </c>
      <c r="AA543" s="6">
        <v>12.39</v>
      </c>
      <c r="AB543" s="2" t="s">
        <v>86</v>
      </c>
      <c r="AC543" s="2"/>
    </row>
    <row r="544" spans="1:29" ht="156" x14ac:dyDescent="0.15">
      <c r="A544" s="3">
        <f>DATE(1991,6,10)</f>
        <v>33399</v>
      </c>
      <c r="B544" s="2"/>
      <c r="C544" s="2" t="s">
        <v>30</v>
      </c>
      <c r="D544" s="2" t="s">
        <v>2025</v>
      </c>
      <c r="E544" s="2" t="s">
        <v>2026</v>
      </c>
      <c r="F544" s="4">
        <v>7822</v>
      </c>
      <c r="G544" s="2" t="s">
        <v>42</v>
      </c>
      <c r="H544" s="2" t="s">
        <v>34</v>
      </c>
      <c r="I544" s="2" t="s">
        <v>2027</v>
      </c>
      <c r="J544" s="2" t="s">
        <v>2028</v>
      </c>
      <c r="K544" s="2" t="s">
        <v>42</v>
      </c>
      <c r="L544" s="2" t="s">
        <v>34</v>
      </c>
      <c r="M544" s="2"/>
      <c r="N544" s="6">
        <v>7.75</v>
      </c>
      <c r="O544" s="7">
        <v>7.625</v>
      </c>
      <c r="P544" s="2" t="s">
        <v>2029</v>
      </c>
      <c r="Q544" s="2"/>
      <c r="R544" s="6">
        <v>15.33</v>
      </c>
      <c r="S544" s="5">
        <v>25.5</v>
      </c>
      <c r="T544" s="7">
        <v>190.31899999999999</v>
      </c>
      <c r="U544" s="5">
        <v>13.1</v>
      </c>
      <c r="V544" s="2"/>
      <c r="W544" s="6">
        <v>9.75</v>
      </c>
      <c r="X544" s="7">
        <v>10.125</v>
      </c>
      <c r="Y544" s="4">
        <v>12</v>
      </c>
      <c r="Z544" s="6">
        <v>12.75</v>
      </c>
      <c r="AA544" s="6">
        <v>11.52</v>
      </c>
      <c r="AB544" s="7">
        <v>5.99</v>
      </c>
      <c r="AC544" s="6">
        <v>12.55</v>
      </c>
    </row>
    <row r="545" spans="1:29" ht="169" x14ac:dyDescent="0.15">
      <c r="A545" s="3">
        <f>DATE(1991,6,11)</f>
        <v>33400</v>
      </c>
      <c r="B545" s="3">
        <f>DATE(1992,7,16)</f>
        <v>33801</v>
      </c>
      <c r="C545" s="2" t="s">
        <v>95</v>
      </c>
      <c r="D545" s="2" t="s">
        <v>2030</v>
      </c>
      <c r="E545" s="2" t="s">
        <v>844</v>
      </c>
      <c r="F545" s="4">
        <v>6552</v>
      </c>
      <c r="G545" s="2" t="s">
        <v>109</v>
      </c>
      <c r="H545" s="2" t="s">
        <v>34</v>
      </c>
      <c r="I545" s="2" t="s">
        <v>2031</v>
      </c>
      <c r="J545" s="2" t="s">
        <v>844</v>
      </c>
      <c r="K545" s="2" t="s">
        <v>109</v>
      </c>
      <c r="L545" s="2" t="s">
        <v>34</v>
      </c>
      <c r="M545" s="7">
        <v>47.820999999999998</v>
      </c>
      <c r="N545" s="6">
        <v>1.75</v>
      </c>
      <c r="O545" s="7">
        <v>1.8129999999999999</v>
      </c>
      <c r="P545" s="2" t="s">
        <v>2032</v>
      </c>
      <c r="Q545" s="6">
        <v>100</v>
      </c>
      <c r="R545" s="6">
        <v>2.16</v>
      </c>
      <c r="S545" s="2"/>
      <c r="T545" s="2"/>
      <c r="U545" s="2"/>
      <c r="V545" s="2"/>
      <c r="W545" s="7">
        <v>23.875</v>
      </c>
      <c r="X545" s="5">
        <v>23.5</v>
      </c>
      <c r="Y545" s="5">
        <v>23.5</v>
      </c>
      <c r="Z545" s="6">
        <v>24.25</v>
      </c>
      <c r="AA545" s="6">
        <v>19.739999999999998</v>
      </c>
      <c r="AB545" s="2" t="s">
        <v>47</v>
      </c>
      <c r="AC545" s="2"/>
    </row>
    <row r="546" spans="1:29" ht="91" x14ac:dyDescent="0.15">
      <c r="A546" s="3">
        <f>DATE(1991,6,14)</f>
        <v>33403</v>
      </c>
      <c r="B546" s="2"/>
      <c r="C546" s="2" t="s">
        <v>189</v>
      </c>
      <c r="D546" s="2" t="s">
        <v>2033</v>
      </c>
      <c r="E546" s="2" t="s">
        <v>2034</v>
      </c>
      <c r="F546" s="4">
        <v>4841</v>
      </c>
      <c r="G546" s="2" t="s">
        <v>45</v>
      </c>
      <c r="H546" s="2" t="s">
        <v>34</v>
      </c>
      <c r="I546" s="2" t="s">
        <v>143</v>
      </c>
      <c r="J546" s="2" t="s">
        <v>144</v>
      </c>
      <c r="K546" s="2" t="s">
        <v>53</v>
      </c>
      <c r="L546" s="2" t="s">
        <v>139</v>
      </c>
      <c r="M546" s="2"/>
      <c r="N546" s="2"/>
      <c r="O546" s="2"/>
      <c r="P546" s="2" t="s">
        <v>2035</v>
      </c>
      <c r="Q546" s="2"/>
      <c r="R546" s="2"/>
      <c r="S546" s="5">
        <v>-3.1</v>
      </c>
      <c r="T546" s="2"/>
      <c r="U546" s="5">
        <v>-2.2000000000000002</v>
      </c>
      <c r="V546" s="2"/>
      <c r="W546" s="5">
        <v>7.5</v>
      </c>
      <c r="X546" s="5">
        <v>7.5</v>
      </c>
      <c r="Y546" s="4">
        <v>8</v>
      </c>
      <c r="Z546" s="6">
        <v>7.75</v>
      </c>
      <c r="AA546" s="2"/>
      <c r="AB546" s="2" t="s">
        <v>86</v>
      </c>
      <c r="AC546" s="2"/>
    </row>
    <row r="547" spans="1:29" ht="130" x14ac:dyDescent="0.15">
      <c r="A547" s="3">
        <f>DATE(1991,6,17)</f>
        <v>33406</v>
      </c>
      <c r="B547" s="2"/>
      <c r="C547" s="2" t="s">
        <v>87</v>
      </c>
      <c r="D547" s="2" t="s">
        <v>2036</v>
      </c>
      <c r="E547" s="2" t="s">
        <v>2037</v>
      </c>
      <c r="F547" s="4">
        <v>3663</v>
      </c>
      <c r="G547" s="2" t="s">
        <v>921</v>
      </c>
      <c r="H547" s="2" t="s">
        <v>34</v>
      </c>
      <c r="I547" s="2" t="s">
        <v>2038</v>
      </c>
      <c r="J547" s="2" t="s">
        <v>2037</v>
      </c>
      <c r="K547" s="2" t="s">
        <v>921</v>
      </c>
      <c r="L547" s="2" t="s">
        <v>34</v>
      </c>
      <c r="M547" s="2"/>
      <c r="N547" s="2"/>
      <c r="O547" s="2"/>
      <c r="P547" s="2" t="s">
        <v>2039</v>
      </c>
      <c r="Q547" s="2"/>
      <c r="R547" s="2"/>
      <c r="S547" s="5">
        <v>-0.4</v>
      </c>
      <c r="T547" s="2"/>
      <c r="U547" s="5">
        <v>0.1</v>
      </c>
      <c r="V547" s="7">
        <v>-7.0000000000000001E-3</v>
      </c>
      <c r="W547" s="5">
        <v>54.5</v>
      </c>
      <c r="X547" s="4">
        <v>54</v>
      </c>
      <c r="Y547" s="4">
        <v>54</v>
      </c>
      <c r="Z547" s="4">
        <v>54</v>
      </c>
      <c r="AA547" s="2"/>
      <c r="AB547" s="2" t="s">
        <v>47</v>
      </c>
      <c r="AC547" s="2"/>
    </row>
    <row r="548" spans="1:29" ht="143" x14ac:dyDescent="0.15">
      <c r="A548" s="3">
        <f>DATE(1991,6,19)</f>
        <v>33408</v>
      </c>
      <c r="B548" s="3">
        <f>DATE(1991,11,6)</f>
        <v>33548</v>
      </c>
      <c r="C548" s="2" t="s">
        <v>95</v>
      </c>
      <c r="D548" s="2" t="s">
        <v>2040</v>
      </c>
      <c r="E548" s="2" t="s">
        <v>2041</v>
      </c>
      <c r="F548" s="4">
        <v>4953</v>
      </c>
      <c r="G548" s="2" t="s">
        <v>116</v>
      </c>
      <c r="H548" s="2" t="s">
        <v>34</v>
      </c>
      <c r="I548" s="2" t="s">
        <v>51</v>
      </c>
      <c r="J548" s="2" t="s">
        <v>52</v>
      </c>
      <c r="K548" s="2" t="s">
        <v>53</v>
      </c>
      <c r="L548" s="2" t="s">
        <v>34</v>
      </c>
      <c r="M548" s="2"/>
      <c r="N548" s="2"/>
      <c r="O548" s="2"/>
      <c r="P548" s="2" t="s">
        <v>2042</v>
      </c>
      <c r="Q548" s="6">
        <v>52</v>
      </c>
      <c r="R548" s="2"/>
      <c r="S548" s="5">
        <v>3.8</v>
      </c>
      <c r="T548" s="7">
        <v>7.1079999999999997</v>
      </c>
      <c r="U548" s="5">
        <v>1.3</v>
      </c>
      <c r="V548" s="9">
        <v>0.78139999999999998</v>
      </c>
      <c r="W548" s="4">
        <v>4</v>
      </c>
      <c r="X548" s="6">
        <v>4.25</v>
      </c>
      <c r="Y548" s="6">
        <v>4.25</v>
      </c>
      <c r="Z548" s="6">
        <v>4.25</v>
      </c>
      <c r="AA548" s="6">
        <v>6.15</v>
      </c>
      <c r="AB548" s="2" t="s">
        <v>47</v>
      </c>
      <c r="AC548" s="2"/>
    </row>
    <row r="549" spans="1:29" ht="104" x14ac:dyDescent="0.15">
      <c r="A549" s="3">
        <f>DATE(1991,6,19)</f>
        <v>33408</v>
      </c>
      <c r="B549" s="3">
        <f>DATE(1991,10,17)</f>
        <v>33528</v>
      </c>
      <c r="C549" s="2" t="s">
        <v>95</v>
      </c>
      <c r="D549" s="2" t="s">
        <v>2043</v>
      </c>
      <c r="E549" s="2" t="s">
        <v>2044</v>
      </c>
      <c r="F549" s="4">
        <v>6798</v>
      </c>
      <c r="G549" s="2" t="s">
        <v>53</v>
      </c>
      <c r="H549" s="2" t="s">
        <v>34</v>
      </c>
      <c r="I549" s="2" t="s">
        <v>278</v>
      </c>
      <c r="J549" s="2" t="s">
        <v>52</v>
      </c>
      <c r="K549" s="2" t="s">
        <v>53</v>
      </c>
      <c r="L549" s="2" t="s">
        <v>34</v>
      </c>
      <c r="M549" s="2"/>
      <c r="N549" s="2"/>
      <c r="O549" s="2"/>
      <c r="P549" s="2" t="s">
        <v>2045</v>
      </c>
      <c r="Q549" s="6">
        <v>100</v>
      </c>
      <c r="R549" s="6">
        <v>20.88</v>
      </c>
      <c r="S549" s="5">
        <v>2.1</v>
      </c>
      <c r="T549" s="5">
        <v>7.5</v>
      </c>
      <c r="U549" s="5">
        <v>0.1</v>
      </c>
      <c r="V549" s="6">
        <v>0.28999999999999998</v>
      </c>
      <c r="W549" s="5">
        <v>3.5</v>
      </c>
      <c r="X549" s="5">
        <v>3.5</v>
      </c>
      <c r="Y549" s="7">
        <v>3.375</v>
      </c>
      <c r="Z549" s="7">
        <v>3.375</v>
      </c>
      <c r="AA549" s="6">
        <v>7.31</v>
      </c>
      <c r="AB549" s="7">
        <v>23.210999999999999</v>
      </c>
      <c r="AC549" s="2"/>
    </row>
    <row r="550" spans="1:29" ht="91" x14ac:dyDescent="0.15">
      <c r="A550" s="3">
        <f>DATE(1991,6,20)</f>
        <v>33409</v>
      </c>
      <c r="B550" s="2"/>
      <c r="C550" s="2" t="s">
        <v>56</v>
      </c>
      <c r="D550" s="2" t="s">
        <v>2046</v>
      </c>
      <c r="E550" s="2" t="s">
        <v>2047</v>
      </c>
      <c r="F550" s="4">
        <v>2095</v>
      </c>
      <c r="G550" s="2" t="s">
        <v>577</v>
      </c>
      <c r="H550" s="2" t="s">
        <v>34</v>
      </c>
      <c r="I550" s="2" t="s">
        <v>51</v>
      </c>
      <c r="J550" s="2" t="s">
        <v>52</v>
      </c>
      <c r="K550" s="2" t="s">
        <v>53</v>
      </c>
      <c r="L550" s="2" t="s">
        <v>34</v>
      </c>
      <c r="M550" s="2"/>
      <c r="N550" s="2"/>
      <c r="O550" s="2"/>
      <c r="P550" s="2" t="s">
        <v>2048</v>
      </c>
      <c r="Q550" s="2"/>
      <c r="R550" s="2"/>
      <c r="S550" s="5">
        <v>4</v>
      </c>
      <c r="T550" s="7">
        <v>22.885000000000002</v>
      </c>
      <c r="U550" s="2"/>
      <c r="V550" s="6">
        <v>0.42</v>
      </c>
      <c r="W550" s="5">
        <v>7.5</v>
      </c>
      <c r="X550" s="5">
        <v>7.5</v>
      </c>
      <c r="Y550" s="6">
        <v>8.25</v>
      </c>
      <c r="Z550" s="7">
        <v>7.875</v>
      </c>
      <c r="AA550" s="6">
        <v>8.4600000000000009</v>
      </c>
      <c r="AB550" s="2" t="s">
        <v>47</v>
      </c>
      <c r="AC550" s="2"/>
    </row>
    <row r="551" spans="1:29" ht="143" x14ac:dyDescent="0.15">
      <c r="A551" s="3">
        <f>DATE(1991,6,20)</f>
        <v>33409</v>
      </c>
      <c r="B551" s="3">
        <f>DATE(1991,12,6)</f>
        <v>33578</v>
      </c>
      <c r="C551" s="2" t="s">
        <v>95</v>
      </c>
      <c r="D551" s="2" t="s">
        <v>2049</v>
      </c>
      <c r="E551" s="2" t="s">
        <v>36</v>
      </c>
      <c r="F551" s="4">
        <v>6021</v>
      </c>
      <c r="G551" s="2" t="s">
        <v>37</v>
      </c>
      <c r="H551" s="2" t="s">
        <v>34</v>
      </c>
      <c r="I551" s="2" t="s">
        <v>2050</v>
      </c>
      <c r="J551" s="2" t="s">
        <v>36</v>
      </c>
      <c r="K551" s="2" t="s">
        <v>37</v>
      </c>
      <c r="L551" s="2" t="s">
        <v>34</v>
      </c>
      <c r="M551" s="12">
        <v>3782.0830000000001</v>
      </c>
      <c r="N551" s="7">
        <v>54.125</v>
      </c>
      <c r="O551" s="7">
        <v>52.625</v>
      </c>
      <c r="P551" s="2" t="s">
        <v>2051</v>
      </c>
      <c r="Q551" s="6">
        <v>100</v>
      </c>
      <c r="R551" s="6">
        <v>36.79</v>
      </c>
      <c r="S551" s="5">
        <v>52.2</v>
      </c>
      <c r="T551" s="7">
        <v>86.691999999999993</v>
      </c>
      <c r="U551" s="5">
        <v>21.4</v>
      </c>
      <c r="V551" s="6">
        <v>2.3199999999999998</v>
      </c>
      <c r="W551" s="4">
        <v>22</v>
      </c>
      <c r="X551" s="7">
        <v>24.375</v>
      </c>
      <c r="Y551" s="6">
        <v>24.25</v>
      </c>
      <c r="Z551" s="6">
        <v>25.75</v>
      </c>
      <c r="AA551" s="6">
        <v>22.19</v>
      </c>
      <c r="AB551" s="7">
        <v>95.471999999999994</v>
      </c>
      <c r="AC551" s="2"/>
    </row>
    <row r="552" spans="1:29" ht="52" x14ac:dyDescent="0.15">
      <c r="A552" s="3">
        <f>DATE(1991,6,24)</f>
        <v>33413</v>
      </c>
      <c r="B552" s="2"/>
      <c r="C552" s="2" t="s">
        <v>189</v>
      </c>
      <c r="D552" s="2" t="s">
        <v>2052</v>
      </c>
      <c r="E552" s="2" t="s">
        <v>1181</v>
      </c>
      <c r="F552" s="4">
        <v>6022</v>
      </c>
      <c r="G552" s="2" t="s">
        <v>37</v>
      </c>
      <c r="H552" s="2" t="s">
        <v>34</v>
      </c>
      <c r="I552" s="2" t="s">
        <v>143</v>
      </c>
      <c r="J552" s="2" t="s">
        <v>144</v>
      </c>
      <c r="K552" s="2" t="s">
        <v>53</v>
      </c>
      <c r="L552" s="2" t="s">
        <v>139</v>
      </c>
      <c r="M552" s="2"/>
      <c r="N552" s="2"/>
      <c r="O552" s="2"/>
      <c r="P552" s="2" t="s">
        <v>2053</v>
      </c>
      <c r="Q552" s="2"/>
      <c r="R552" s="2"/>
      <c r="S552" s="5">
        <v>2.1</v>
      </c>
      <c r="T552" s="7">
        <v>4.6879999999999997</v>
      </c>
      <c r="U552" s="5">
        <v>10</v>
      </c>
      <c r="V552" s="6">
        <v>0.4</v>
      </c>
      <c r="W552" s="7">
        <v>9.375</v>
      </c>
      <c r="X552" s="5">
        <v>9.5</v>
      </c>
      <c r="Y552" s="6">
        <v>10.25</v>
      </c>
      <c r="Z552" s="7">
        <v>10.125</v>
      </c>
      <c r="AA552" s="2"/>
      <c r="AB552" s="2" t="s">
        <v>47</v>
      </c>
      <c r="AC552" s="2"/>
    </row>
    <row r="553" spans="1:29" ht="169" x14ac:dyDescent="0.15">
      <c r="A553" s="3">
        <f>DATE(1991,6,25)</f>
        <v>33414</v>
      </c>
      <c r="B553" s="3">
        <f>DATE(1991,10,23)</f>
        <v>33534</v>
      </c>
      <c r="C553" s="2" t="s">
        <v>95</v>
      </c>
      <c r="D553" s="2" t="s">
        <v>2054</v>
      </c>
      <c r="E553" s="2" t="s">
        <v>92</v>
      </c>
      <c r="F553" s="4">
        <v>6798</v>
      </c>
      <c r="G553" s="2" t="s">
        <v>53</v>
      </c>
      <c r="H553" s="2" t="s">
        <v>34</v>
      </c>
      <c r="I553" s="2" t="s">
        <v>51</v>
      </c>
      <c r="J553" s="2" t="s">
        <v>52</v>
      </c>
      <c r="K553" s="2" t="s">
        <v>53</v>
      </c>
      <c r="L553" s="2" t="s">
        <v>34</v>
      </c>
      <c r="M553" s="2"/>
      <c r="N553" s="2"/>
      <c r="O553" s="2"/>
      <c r="P553" s="2" t="s">
        <v>2055</v>
      </c>
      <c r="Q553" s="6">
        <v>6.66</v>
      </c>
      <c r="R553" s="6">
        <v>6.13</v>
      </c>
      <c r="S553" s="5">
        <v>-16.399999999999999</v>
      </c>
      <c r="T553" s="6">
        <v>-4.08</v>
      </c>
      <c r="U553" s="5">
        <v>8.6</v>
      </c>
      <c r="V553" s="9">
        <v>-6.3779000000000003</v>
      </c>
      <c r="W553" s="4">
        <v>6</v>
      </c>
      <c r="X553" s="4">
        <v>6</v>
      </c>
      <c r="Y553" s="7">
        <v>5.875</v>
      </c>
      <c r="Z553" s="4">
        <v>6</v>
      </c>
      <c r="AA553" s="6">
        <v>2.12</v>
      </c>
      <c r="AB553" s="2" t="s">
        <v>86</v>
      </c>
      <c r="AC553" s="2"/>
    </row>
    <row r="554" spans="1:29" ht="143" x14ac:dyDescent="0.15">
      <c r="A554" s="3">
        <f>DATE(1991,6,25)</f>
        <v>33414</v>
      </c>
      <c r="B554" s="3">
        <f>DATE(1991,12,31)</f>
        <v>33603</v>
      </c>
      <c r="C554" s="2" t="s">
        <v>95</v>
      </c>
      <c r="D554" s="2" t="s">
        <v>2056</v>
      </c>
      <c r="E554" s="2" t="s">
        <v>36</v>
      </c>
      <c r="F554" s="4">
        <v>6021</v>
      </c>
      <c r="G554" s="2" t="s">
        <v>37</v>
      </c>
      <c r="H554" s="2" t="s">
        <v>34</v>
      </c>
      <c r="I554" s="2" t="s">
        <v>2057</v>
      </c>
      <c r="J554" s="2" t="s">
        <v>2058</v>
      </c>
      <c r="K554" s="2" t="s">
        <v>37</v>
      </c>
      <c r="L554" s="2" t="s">
        <v>34</v>
      </c>
      <c r="M554" s="10">
        <v>4621.62</v>
      </c>
      <c r="N554" s="7">
        <v>38.125</v>
      </c>
      <c r="O554" s="6">
        <v>38.25</v>
      </c>
      <c r="P554" s="2" t="s">
        <v>2059</v>
      </c>
      <c r="Q554" s="6">
        <v>100</v>
      </c>
      <c r="R554" s="6">
        <v>33.5</v>
      </c>
      <c r="S554" s="5">
        <v>135.80000000000001</v>
      </c>
      <c r="T554" s="7">
        <v>264.09500000000003</v>
      </c>
      <c r="U554" s="5">
        <v>20.9</v>
      </c>
      <c r="V554" s="6">
        <v>0.9</v>
      </c>
      <c r="W554" s="5">
        <v>18.5</v>
      </c>
      <c r="X554" s="6">
        <v>19.25</v>
      </c>
      <c r="Y554" s="5">
        <v>26.5</v>
      </c>
      <c r="Z554" s="5">
        <v>26.5</v>
      </c>
      <c r="AA554" s="6">
        <v>137.02000000000001</v>
      </c>
      <c r="AB554" s="7">
        <v>398.49400000000003</v>
      </c>
      <c r="AC554" s="2"/>
    </row>
    <row r="555" spans="1:29" ht="156" x14ac:dyDescent="0.15">
      <c r="A555" s="3">
        <f>DATE(1991,6,25)</f>
        <v>33414</v>
      </c>
      <c r="B555" s="2"/>
      <c r="C555" s="2" t="s">
        <v>30</v>
      </c>
      <c r="D555" s="2" t="s">
        <v>2060</v>
      </c>
      <c r="E555" s="2" t="s">
        <v>2061</v>
      </c>
      <c r="F555" s="4">
        <v>3842</v>
      </c>
      <c r="G555" s="2" t="s">
        <v>226</v>
      </c>
      <c r="H555" s="2" t="s">
        <v>34</v>
      </c>
      <c r="I555" s="2" t="s">
        <v>224</v>
      </c>
      <c r="J555" s="2" t="s">
        <v>225</v>
      </c>
      <c r="K555" s="2" t="s">
        <v>226</v>
      </c>
      <c r="L555" s="2" t="s">
        <v>34</v>
      </c>
      <c r="M555" s="2"/>
      <c r="N555" s="7">
        <v>4.875</v>
      </c>
      <c r="O555" s="7">
        <v>4.625</v>
      </c>
      <c r="P555" s="2" t="s">
        <v>2062</v>
      </c>
      <c r="Q555" s="2"/>
      <c r="R555" s="6">
        <v>15</v>
      </c>
      <c r="S555" s="5">
        <v>1.7</v>
      </c>
      <c r="T555" s="6">
        <v>8.58</v>
      </c>
      <c r="U555" s="5">
        <v>6.3</v>
      </c>
      <c r="V555" s="6">
        <v>0.39</v>
      </c>
      <c r="W555" s="5">
        <v>9.5</v>
      </c>
      <c r="X555" s="4">
        <v>10</v>
      </c>
      <c r="Y555" s="4">
        <v>12</v>
      </c>
      <c r="Z555" s="4">
        <v>12</v>
      </c>
      <c r="AA555" s="6">
        <v>4.24</v>
      </c>
      <c r="AB555" s="7">
        <v>18.795999999999999</v>
      </c>
      <c r="AC555" s="6">
        <v>172.75</v>
      </c>
    </row>
    <row r="556" spans="1:29" ht="130" x14ac:dyDescent="0.15">
      <c r="A556" s="3">
        <f>DATE(1991,6,27)</f>
        <v>33416</v>
      </c>
      <c r="B556" s="2"/>
      <c r="C556" s="2" t="s">
        <v>141</v>
      </c>
      <c r="D556" s="2" t="s">
        <v>667</v>
      </c>
      <c r="E556" s="2" t="s">
        <v>36</v>
      </c>
      <c r="F556" s="4">
        <v>6022</v>
      </c>
      <c r="G556" s="2" t="s">
        <v>37</v>
      </c>
      <c r="H556" s="2" t="s">
        <v>34</v>
      </c>
      <c r="I556" s="2" t="s">
        <v>143</v>
      </c>
      <c r="J556" s="2" t="s">
        <v>144</v>
      </c>
      <c r="K556" s="2" t="s">
        <v>53</v>
      </c>
      <c r="L556" s="2" t="s">
        <v>139</v>
      </c>
      <c r="M556" s="2"/>
      <c r="N556" s="2"/>
      <c r="O556" s="2"/>
      <c r="P556" s="2" t="s">
        <v>2063</v>
      </c>
      <c r="Q556" s="2"/>
      <c r="R556" s="2"/>
      <c r="S556" s="5">
        <v>-126.7</v>
      </c>
      <c r="T556" s="6">
        <v>-116.76</v>
      </c>
      <c r="U556" s="5">
        <v>8.4</v>
      </c>
      <c r="V556" s="6">
        <v>-9.94</v>
      </c>
      <c r="W556" s="4">
        <v>8</v>
      </c>
      <c r="X556" s="7">
        <v>8.125</v>
      </c>
      <c r="Y556" s="7">
        <v>8.875</v>
      </c>
      <c r="Z556" s="7">
        <v>9.875</v>
      </c>
      <c r="AA556" s="2"/>
      <c r="AB556" s="2" t="s">
        <v>86</v>
      </c>
      <c r="AC556" s="2"/>
    </row>
    <row r="557" spans="1:29" ht="156" x14ac:dyDescent="0.15">
      <c r="A557" s="3">
        <f>DATE(1991,6,27)</f>
        <v>33416</v>
      </c>
      <c r="B557" s="3">
        <f>DATE(1991,10,30)</f>
        <v>33541</v>
      </c>
      <c r="C557" s="2" t="s">
        <v>95</v>
      </c>
      <c r="D557" s="2" t="s">
        <v>2064</v>
      </c>
      <c r="E557" s="2" t="s">
        <v>129</v>
      </c>
      <c r="F557" s="4">
        <v>2834</v>
      </c>
      <c r="G557" s="2" t="s">
        <v>130</v>
      </c>
      <c r="H557" s="2" t="s">
        <v>34</v>
      </c>
      <c r="I557" s="2" t="s">
        <v>2065</v>
      </c>
      <c r="J557" s="2" t="s">
        <v>2066</v>
      </c>
      <c r="K557" s="2" t="s">
        <v>130</v>
      </c>
      <c r="L557" s="2" t="s">
        <v>34</v>
      </c>
      <c r="M557" s="7">
        <v>871.08500000000004</v>
      </c>
      <c r="N557" s="7">
        <v>25.125</v>
      </c>
      <c r="O557" s="6">
        <v>24.25</v>
      </c>
      <c r="P557" s="2" t="s">
        <v>2067</v>
      </c>
      <c r="Q557" s="6">
        <v>100</v>
      </c>
      <c r="R557" s="6">
        <v>21.17</v>
      </c>
      <c r="S557" s="5">
        <v>0.6</v>
      </c>
      <c r="T557" s="7">
        <v>1.141</v>
      </c>
      <c r="U557" s="5">
        <v>6.5</v>
      </c>
      <c r="V557" s="6">
        <v>0.19</v>
      </c>
      <c r="W557" s="4">
        <v>10</v>
      </c>
      <c r="X557" s="4">
        <v>10</v>
      </c>
      <c r="Y557" s="6">
        <v>18.75</v>
      </c>
      <c r="Z557" s="7">
        <v>18.375</v>
      </c>
      <c r="AA557" s="6">
        <v>2.23</v>
      </c>
      <c r="AB557" s="7">
        <v>111.312</v>
      </c>
      <c r="AC557" s="6">
        <v>37.479999999999997</v>
      </c>
    </row>
    <row r="558" spans="1:29" ht="65" x14ac:dyDescent="0.15">
      <c r="A558" s="3">
        <f>DATE(1991,6,28)</f>
        <v>33417</v>
      </c>
      <c r="B558" s="3">
        <f>DATE(1991,12,31)</f>
        <v>33603</v>
      </c>
      <c r="C558" s="2" t="s">
        <v>95</v>
      </c>
      <c r="D558" s="2" t="s">
        <v>2068</v>
      </c>
      <c r="E558" s="2" t="s">
        <v>2069</v>
      </c>
      <c r="F558" s="4">
        <v>6512</v>
      </c>
      <c r="G558" s="2" t="s">
        <v>109</v>
      </c>
      <c r="H558" s="2" t="s">
        <v>34</v>
      </c>
      <c r="I558" s="2" t="s">
        <v>2070</v>
      </c>
      <c r="J558" s="2" t="s">
        <v>2071</v>
      </c>
      <c r="K558" s="2" t="s">
        <v>109</v>
      </c>
      <c r="L558" s="2" t="s">
        <v>34</v>
      </c>
      <c r="M558" s="2"/>
      <c r="N558" s="2"/>
      <c r="O558" s="2"/>
      <c r="P558" s="2" t="s">
        <v>2072</v>
      </c>
      <c r="Q558" s="6">
        <v>35</v>
      </c>
      <c r="R558" s="2"/>
      <c r="S558" s="5">
        <v>-4.2</v>
      </c>
      <c r="T558" s="7">
        <v>19.872</v>
      </c>
      <c r="U558" s="5">
        <v>1.9</v>
      </c>
      <c r="V558" s="9">
        <v>-0.19359999999999999</v>
      </c>
      <c r="W558" s="4">
        <v>3</v>
      </c>
      <c r="X558" s="7">
        <v>3.125</v>
      </c>
      <c r="Y558" s="7">
        <v>3.375</v>
      </c>
      <c r="Z558" s="5">
        <v>3.5</v>
      </c>
      <c r="AA558" s="2"/>
      <c r="AB558" s="2" t="s">
        <v>47</v>
      </c>
      <c r="AC558" s="2"/>
    </row>
    <row r="559" spans="1:29" ht="78" x14ac:dyDescent="0.15">
      <c r="A559" s="3">
        <f>DATE(1991,7,1)</f>
        <v>33420</v>
      </c>
      <c r="B559" s="2"/>
      <c r="C559" s="2" t="s">
        <v>189</v>
      </c>
      <c r="D559" s="2" t="s">
        <v>2073</v>
      </c>
      <c r="E559" s="2" t="s">
        <v>2074</v>
      </c>
      <c r="F559" s="4">
        <v>8299</v>
      </c>
      <c r="G559" s="2" t="s">
        <v>415</v>
      </c>
      <c r="H559" s="2" t="s">
        <v>34</v>
      </c>
      <c r="I559" s="2" t="s">
        <v>143</v>
      </c>
      <c r="J559" s="2" t="s">
        <v>144</v>
      </c>
      <c r="K559" s="2" t="s">
        <v>53</v>
      </c>
      <c r="L559" s="2" t="s">
        <v>139</v>
      </c>
      <c r="M559" s="2"/>
      <c r="N559" s="2"/>
      <c r="O559" s="2"/>
      <c r="P559" s="2" t="s">
        <v>2075</v>
      </c>
      <c r="Q559" s="2"/>
      <c r="R559" s="2"/>
      <c r="S559" s="5">
        <v>4.5999999999999996</v>
      </c>
      <c r="T559" s="2"/>
      <c r="U559" s="2"/>
      <c r="V559" s="2"/>
      <c r="W559" s="7">
        <v>3.875</v>
      </c>
      <c r="X559" s="7">
        <v>3.875</v>
      </c>
      <c r="Y559" s="7">
        <v>3.875</v>
      </c>
      <c r="Z559" s="7">
        <v>3.875</v>
      </c>
      <c r="AA559" s="2"/>
      <c r="AB559" s="2" t="s">
        <v>47</v>
      </c>
      <c r="AC559" s="2"/>
    </row>
    <row r="560" spans="1:29" ht="78" x14ac:dyDescent="0.15">
      <c r="A560" s="3">
        <f>DATE(1991,7,1)</f>
        <v>33420</v>
      </c>
      <c r="B560" s="2"/>
      <c r="C560" s="2" t="s">
        <v>141</v>
      </c>
      <c r="D560" s="2" t="s">
        <v>2076</v>
      </c>
      <c r="E560" s="2" t="s">
        <v>2077</v>
      </c>
      <c r="F560" s="4">
        <v>8351</v>
      </c>
      <c r="G560" s="2" t="s">
        <v>690</v>
      </c>
      <c r="H560" s="2" t="s">
        <v>34</v>
      </c>
      <c r="I560" s="2" t="s">
        <v>143</v>
      </c>
      <c r="J560" s="2" t="s">
        <v>144</v>
      </c>
      <c r="K560" s="2" t="s">
        <v>53</v>
      </c>
      <c r="L560" s="2" t="s">
        <v>139</v>
      </c>
      <c r="M560" s="2"/>
      <c r="N560" s="2"/>
      <c r="O560" s="2"/>
      <c r="P560" s="2" t="s">
        <v>2078</v>
      </c>
      <c r="Q560" s="2"/>
      <c r="R560" s="2"/>
      <c r="S560" s="5">
        <v>7.4</v>
      </c>
      <c r="T560" s="7">
        <v>21.094000000000001</v>
      </c>
      <c r="U560" s="5">
        <v>5</v>
      </c>
      <c r="V560" s="6">
        <v>0.47</v>
      </c>
      <c r="W560" s="5">
        <v>6.5</v>
      </c>
      <c r="X560" s="5">
        <v>6.5</v>
      </c>
      <c r="Y560" s="6">
        <v>6.75</v>
      </c>
      <c r="Z560" s="6">
        <v>6.75</v>
      </c>
      <c r="AA560" s="2"/>
      <c r="AB560" s="2" t="s">
        <v>47</v>
      </c>
      <c r="AC560" s="2"/>
    </row>
    <row r="561" spans="1:29" ht="52" x14ac:dyDescent="0.15">
      <c r="A561" s="3">
        <f>DATE(1991,7,2)</f>
        <v>33421</v>
      </c>
      <c r="B561" s="3">
        <f>DATE(1991,10,31)</f>
        <v>33542</v>
      </c>
      <c r="C561" s="2" t="s">
        <v>95</v>
      </c>
      <c r="D561" s="2" t="s">
        <v>1852</v>
      </c>
      <c r="E561" s="2" t="s">
        <v>1853</v>
      </c>
      <c r="F561" s="4">
        <v>2013</v>
      </c>
      <c r="G561" s="2" t="s">
        <v>577</v>
      </c>
      <c r="H561" s="2" t="s">
        <v>34</v>
      </c>
      <c r="I561" s="2" t="s">
        <v>1526</v>
      </c>
      <c r="J561" s="2" t="s">
        <v>302</v>
      </c>
      <c r="K561" s="2" t="s">
        <v>53</v>
      </c>
      <c r="L561" s="2" t="s">
        <v>34</v>
      </c>
      <c r="M561" s="2"/>
      <c r="N561" s="2"/>
      <c r="O561" s="2"/>
      <c r="P561" s="2" t="s">
        <v>2079</v>
      </c>
      <c r="Q561" s="2"/>
      <c r="R561" s="2"/>
      <c r="S561" s="5">
        <v>-25.3</v>
      </c>
      <c r="T561" s="7">
        <v>29.954999999999998</v>
      </c>
      <c r="U561" s="5">
        <v>6.1</v>
      </c>
      <c r="V561" s="6">
        <v>-4.9400000000000004</v>
      </c>
      <c r="W561" s="7">
        <v>3.125</v>
      </c>
      <c r="X561" s="4">
        <v>2</v>
      </c>
      <c r="Y561" s="7">
        <v>1.625</v>
      </c>
      <c r="Z561" s="7">
        <v>1.625</v>
      </c>
      <c r="AA561" s="2"/>
      <c r="AB561" s="2" t="s">
        <v>47</v>
      </c>
      <c r="AC561" s="2"/>
    </row>
    <row r="562" spans="1:29" ht="78" x14ac:dyDescent="0.15">
      <c r="A562" s="3">
        <f>DATE(1991,7,5)</f>
        <v>33424</v>
      </c>
      <c r="B562" s="2"/>
      <c r="C562" s="2" t="s">
        <v>56</v>
      </c>
      <c r="D562" s="2" t="s">
        <v>2080</v>
      </c>
      <c r="E562" s="2" t="s">
        <v>2081</v>
      </c>
      <c r="F562" s="4">
        <v>3069</v>
      </c>
      <c r="G562" s="2" t="s">
        <v>447</v>
      </c>
      <c r="H562" s="2" t="s">
        <v>34</v>
      </c>
      <c r="I562" s="2" t="s">
        <v>51</v>
      </c>
      <c r="J562" s="2" t="s">
        <v>52</v>
      </c>
      <c r="K562" s="2" t="s">
        <v>53</v>
      </c>
      <c r="L562" s="2" t="s">
        <v>34</v>
      </c>
      <c r="M562" s="2"/>
      <c r="N562" s="2"/>
      <c r="O562" s="2"/>
      <c r="P562" s="2" t="s">
        <v>2082</v>
      </c>
      <c r="Q562" s="2"/>
      <c r="R562" s="2"/>
      <c r="S562" s="5">
        <v>1.5</v>
      </c>
      <c r="T562" s="7">
        <v>1.1879999999999999</v>
      </c>
      <c r="U562" s="5">
        <v>12.1</v>
      </c>
      <c r="V562" s="9">
        <v>0.97519999999999996</v>
      </c>
      <c r="W562" s="7">
        <v>16.437999999999999</v>
      </c>
      <c r="X562" s="7">
        <v>16.437999999999999</v>
      </c>
      <c r="Y562" s="7">
        <v>16.625</v>
      </c>
      <c r="Z562" s="6">
        <v>16.75</v>
      </c>
      <c r="AA562" s="6">
        <v>1.49</v>
      </c>
      <c r="AB562" s="2" t="s">
        <v>47</v>
      </c>
      <c r="AC562" s="2"/>
    </row>
    <row r="563" spans="1:29" ht="65" x14ac:dyDescent="0.15">
      <c r="A563" s="3">
        <f>DATE(1991,7,5)</f>
        <v>33424</v>
      </c>
      <c r="B563" s="2"/>
      <c r="C563" s="2" t="s">
        <v>30</v>
      </c>
      <c r="D563" s="2" t="s">
        <v>2083</v>
      </c>
      <c r="E563" s="2" t="s">
        <v>2084</v>
      </c>
      <c r="F563" s="4">
        <v>7379</v>
      </c>
      <c r="G563" s="2" t="s">
        <v>223</v>
      </c>
      <c r="H563" s="2" t="s">
        <v>34</v>
      </c>
      <c r="I563" s="2" t="s">
        <v>138</v>
      </c>
      <c r="J563" s="2" t="s">
        <v>139</v>
      </c>
      <c r="K563" s="2" t="s">
        <v>53</v>
      </c>
      <c r="L563" s="2" t="s">
        <v>139</v>
      </c>
      <c r="M563" s="2"/>
      <c r="N563" s="2"/>
      <c r="O563" s="2"/>
      <c r="P563" s="2" t="s">
        <v>2085</v>
      </c>
      <c r="Q563" s="2"/>
      <c r="R563" s="2"/>
      <c r="S563" s="5">
        <v>0.1</v>
      </c>
      <c r="T563" s="2"/>
      <c r="U563" s="5">
        <v>1.8</v>
      </c>
      <c r="V563" s="2"/>
      <c r="W563" s="7">
        <v>1.375</v>
      </c>
      <c r="X563" s="7">
        <v>1.6879999999999999</v>
      </c>
      <c r="Y563" s="7">
        <v>1.375</v>
      </c>
      <c r="Z563" s="5">
        <v>1.5</v>
      </c>
      <c r="AA563" s="6">
        <v>1.82</v>
      </c>
      <c r="AB563" s="2" t="s">
        <v>47</v>
      </c>
      <c r="AC563" s="2"/>
    </row>
    <row r="564" spans="1:29" ht="156" x14ac:dyDescent="0.15">
      <c r="A564" s="3">
        <f>DATE(1991,7,8)</f>
        <v>33427</v>
      </c>
      <c r="B564" s="3">
        <f>DATE(1992,4,7)</f>
        <v>33701</v>
      </c>
      <c r="C564" s="2" t="s">
        <v>95</v>
      </c>
      <c r="D564" s="2" t="s">
        <v>1449</v>
      </c>
      <c r="E564" s="2" t="s">
        <v>1398</v>
      </c>
      <c r="F564" s="4">
        <v>6036</v>
      </c>
      <c r="G564" s="2" t="s">
        <v>33</v>
      </c>
      <c r="H564" s="2" t="s">
        <v>34</v>
      </c>
      <c r="I564" s="2" t="s">
        <v>2086</v>
      </c>
      <c r="J564" s="2" t="s">
        <v>32</v>
      </c>
      <c r="K564" s="2" t="s">
        <v>33</v>
      </c>
      <c r="L564" s="2" t="s">
        <v>34</v>
      </c>
      <c r="M564" s="2"/>
      <c r="N564" s="2"/>
      <c r="O564" s="2"/>
      <c r="P564" s="2" t="s">
        <v>2087</v>
      </c>
      <c r="Q564" s="6">
        <v>100</v>
      </c>
      <c r="R564" s="6">
        <v>28.01</v>
      </c>
      <c r="S564" s="5">
        <v>3.8</v>
      </c>
      <c r="T564" s="7">
        <v>5.6929999999999996</v>
      </c>
      <c r="U564" s="5">
        <v>29.8</v>
      </c>
      <c r="V564" s="6">
        <v>1.37</v>
      </c>
      <c r="W564" s="6">
        <v>17.25</v>
      </c>
      <c r="X564" s="6">
        <v>17.25</v>
      </c>
      <c r="Y564" s="4">
        <v>19</v>
      </c>
      <c r="Z564" s="5">
        <v>19.5</v>
      </c>
      <c r="AA564" s="6">
        <v>2.6</v>
      </c>
      <c r="AB564" s="7">
        <v>51.969000000000001</v>
      </c>
      <c r="AC564" s="2"/>
    </row>
    <row r="565" spans="1:29" ht="104" x14ac:dyDescent="0.15">
      <c r="A565" s="3">
        <f>DATE(1991,7,8)</f>
        <v>33427</v>
      </c>
      <c r="B565" s="2"/>
      <c r="C565" s="2" t="s">
        <v>82</v>
      </c>
      <c r="D565" s="2" t="s">
        <v>802</v>
      </c>
      <c r="E565" s="2" t="s">
        <v>389</v>
      </c>
      <c r="F565" s="4">
        <v>6035</v>
      </c>
      <c r="G565" s="2" t="s">
        <v>33</v>
      </c>
      <c r="H565" s="2" t="s">
        <v>34</v>
      </c>
      <c r="I565" s="2" t="s">
        <v>1610</v>
      </c>
      <c r="J565" s="2" t="s">
        <v>36</v>
      </c>
      <c r="K565" s="2" t="s">
        <v>37</v>
      </c>
      <c r="L565" s="2" t="s">
        <v>34</v>
      </c>
      <c r="M565" s="2"/>
      <c r="N565" s="7">
        <v>34.125</v>
      </c>
      <c r="O565" s="7">
        <v>35.375</v>
      </c>
      <c r="P565" s="2" t="s">
        <v>2088</v>
      </c>
      <c r="Q565" s="2"/>
      <c r="R565" s="2"/>
      <c r="S565" s="5">
        <v>13.2</v>
      </c>
      <c r="T565" s="7">
        <v>20.335999999999999</v>
      </c>
      <c r="U565" s="5">
        <v>35.5</v>
      </c>
      <c r="V565" s="6">
        <v>1.36</v>
      </c>
      <c r="W565" s="6">
        <v>4.75</v>
      </c>
      <c r="X565" s="4">
        <v>5</v>
      </c>
      <c r="Y565" s="6">
        <v>5.25</v>
      </c>
      <c r="Z565" s="6">
        <v>5.25</v>
      </c>
      <c r="AA565" s="2"/>
      <c r="AB565" s="2" t="s">
        <v>47</v>
      </c>
      <c r="AC565" s="2"/>
    </row>
    <row r="566" spans="1:29" ht="143" x14ac:dyDescent="0.15">
      <c r="A566" s="3">
        <f>DATE(1991,7,10)</f>
        <v>33429</v>
      </c>
      <c r="B566" s="3">
        <f>DATE(1991,10,11)</f>
        <v>33522</v>
      </c>
      <c r="C566" s="2" t="s">
        <v>95</v>
      </c>
      <c r="D566" s="2" t="s">
        <v>2089</v>
      </c>
      <c r="E566" s="2" t="s">
        <v>2090</v>
      </c>
      <c r="F566" s="4">
        <v>7372</v>
      </c>
      <c r="G566" s="2" t="s">
        <v>551</v>
      </c>
      <c r="H566" s="2" t="s">
        <v>34</v>
      </c>
      <c r="I566" s="2" t="s">
        <v>2091</v>
      </c>
      <c r="J566" s="2" t="s">
        <v>781</v>
      </c>
      <c r="K566" s="2" t="s">
        <v>551</v>
      </c>
      <c r="L566" s="2" t="s">
        <v>34</v>
      </c>
      <c r="M566" s="7">
        <v>772.19500000000005</v>
      </c>
      <c r="N566" s="7">
        <v>47.375</v>
      </c>
      <c r="O566" s="6">
        <v>47.75</v>
      </c>
      <c r="P566" s="2" t="s">
        <v>2092</v>
      </c>
      <c r="Q566" s="6">
        <v>100</v>
      </c>
      <c r="R566" s="6">
        <v>17.91</v>
      </c>
      <c r="S566" s="5">
        <v>-18.100000000000001</v>
      </c>
      <c r="T566" s="7">
        <v>3.6890000000000001</v>
      </c>
      <c r="U566" s="5">
        <v>6.8</v>
      </c>
      <c r="V566" s="6">
        <v>-0.69</v>
      </c>
      <c r="W566" s="7">
        <v>10.375</v>
      </c>
      <c r="X566" s="6">
        <v>11.25</v>
      </c>
      <c r="Y566" s="7">
        <v>15.875</v>
      </c>
      <c r="Z566" s="4">
        <v>16</v>
      </c>
      <c r="AA566" s="6">
        <v>26.3</v>
      </c>
      <c r="AB566" s="2" t="s">
        <v>86</v>
      </c>
      <c r="AC566" s="5">
        <v>42.5</v>
      </c>
    </row>
    <row r="567" spans="1:29" ht="91" x14ac:dyDescent="0.15">
      <c r="A567" s="3">
        <f>DATE(1991,7,11)</f>
        <v>33430</v>
      </c>
      <c r="B567" s="3">
        <f>DATE(1991,8,20)</f>
        <v>33470</v>
      </c>
      <c r="C567" s="2" t="s">
        <v>95</v>
      </c>
      <c r="D567" s="2" t="s">
        <v>2093</v>
      </c>
      <c r="E567" s="2" t="s">
        <v>2094</v>
      </c>
      <c r="F567" s="4">
        <v>2085</v>
      </c>
      <c r="G567" s="2" t="s">
        <v>577</v>
      </c>
      <c r="H567" s="2" t="s">
        <v>34</v>
      </c>
      <c r="I567" s="2" t="s">
        <v>2095</v>
      </c>
      <c r="J567" s="2" t="s">
        <v>2096</v>
      </c>
      <c r="K567" s="2" t="s">
        <v>577</v>
      </c>
      <c r="L567" s="2" t="s">
        <v>34</v>
      </c>
      <c r="M567" s="2"/>
      <c r="N567" s="2"/>
      <c r="O567" s="2"/>
      <c r="P567" s="2" t="s">
        <v>2097</v>
      </c>
      <c r="Q567" s="6">
        <v>100</v>
      </c>
      <c r="R567" s="6">
        <v>42.5</v>
      </c>
      <c r="S567" s="5">
        <v>1.2</v>
      </c>
      <c r="T567" s="2"/>
      <c r="U567" s="5">
        <v>374.5</v>
      </c>
      <c r="V567" s="6">
        <v>0.48</v>
      </c>
      <c r="W567" s="4">
        <v>18</v>
      </c>
      <c r="X567" s="7">
        <v>18.125</v>
      </c>
      <c r="Y567" s="7">
        <v>41.375</v>
      </c>
      <c r="Z567" s="7">
        <v>41.375</v>
      </c>
      <c r="AA567" s="6">
        <v>2.42</v>
      </c>
      <c r="AB567" s="7">
        <v>6.0350000000000001</v>
      </c>
      <c r="AC567" s="2"/>
    </row>
    <row r="568" spans="1:29" ht="104" x14ac:dyDescent="0.15">
      <c r="A568" s="3">
        <f>DATE(1991,7,11)</f>
        <v>33430</v>
      </c>
      <c r="B568" s="3">
        <f>DATE(1992,12,15)</f>
        <v>33953</v>
      </c>
      <c r="C568" s="2" t="s">
        <v>95</v>
      </c>
      <c r="D568" s="2" t="s">
        <v>1975</v>
      </c>
      <c r="E568" s="2" t="s">
        <v>441</v>
      </c>
      <c r="F568" s="4">
        <v>4911</v>
      </c>
      <c r="G568" s="2" t="s">
        <v>439</v>
      </c>
      <c r="H568" s="2" t="s">
        <v>34</v>
      </c>
      <c r="I568" s="2" t="s">
        <v>1526</v>
      </c>
      <c r="J568" s="2" t="s">
        <v>302</v>
      </c>
      <c r="K568" s="2" t="s">
        <v>53</v>
      </c>
      <c r="L568" s="2" t="s">
        <v>34</v>
      </c>
      <c r="M568" s="2"/>
      <c r="N568" s="2"/>
      <c r="O568" s="2"/>
      <c r="P568" s="2" t="s">
        <v>2098</v>
      </c>
      <c r="Q568" s="6">
        <v>60</v>
      </c>
      <c r="R568" s="2"/>
      <c r="S568" s="5">
        <v>-336.6</v>
      </c>
      <c r="T568" s="2"/>
      <c r="U568" s="2"/>
      <c r="V568" s="2"/>
      <c r="W568" s="6">
        <v>5.25</v>
      </c>
      <c r="X568" s="4">
        <v>5</v>
      </c>
      <c r="Y568" s="7">
        <v>5.125</v>
      </c>
      <c r="Z568" s="4">
        <v>5</v>
      </c>
      <c r="AA568" s="6">
        <v>25.72</v>
      </c>
      <c r="AB568" s="2" t="s">
        <v>86</v>
      </c>
      <c r="AC568" s="2"/>
    </row>
    <row r="569" spans="1:29" ht="156" x14ac:dyDescent="0.15">
      <c r="A569" s="3">
        <f>DATE(1991,7,12)</f>
        <v>33431</v>
      </c>
      <c r="B569" s="2"/>
      <c r="C569" s="2" t="s">
        <v>30</v>
      </c>
      <c r="D569" s="2" t="s">
        <v>1413</v>
      </c>
      <c r="E569" s="2" t="s">
        <v>612</v>
      </c>
      <c r="F569" s="4">
        <v>1311</v>
      </c>
      <c r="G569" s="2" t="s">
        <v>148</v>
      </c>
      <c r="H569" s="2" t="s">
        <v>34</v>
      </c>
      <c r="I569" s="2" t="s">
        <v>2099</v>
      </c>
      <c r="J569" s="2" t="s">
        <v>2100</v>
      </c>
      <c r="K569" s="2" t="s">
        <v>148</v>
      </c>
      <c r="L569" s="2" t="s">
        <v>34</v>
      </c>
      <c r="M569" s="7">
        <v>79.813000000000002</v>
      </c>
      <c r="N569" s="7">
        <v>1.875</v>
      </c>
      <c r="O569" s="7">
        <v>1.875</v>
      </c>
      <c r="P569" s="2" t="s">
        <v>2101</v>
      </c>
      <c r="Q569" s="2"/>
      <c r="R569" s="6">
        <v>14.5</v>
      </c>
      <c r="S569" s="5">
        <v>9.9</v>
      </c>
      <c r="T569" s="2"/>
      <c r="U569" s="5">
        <v>12.5</v>
      </c>
      <c r="V569" s="2"/>
      <c r="W569" s="5">
        <v>11.5</v>
      </c>
      <c r="X569" s="7">
        <v>11.375</v>
      </c>
      <c r="Y569" s="6">
        <v>11.25</v>
      </c>
      <c r="Z569" s="7">
        <v>12.625</v>
      </c>
      <c r="AA569" s="6">
        <v>6.13</v>
      </c>
      <c r="AB569" s="7">
        <v>6.9640000000000004</v>
      </c>
      <c r="AC569" s="6">
        <v>19.09</v>
      </c>
    </row>
    <row r="570" spans="1:29" ht="78" x14ac:dyDescent="0.15">
      <c r="A570" s="3">
        <f>DATE(1991,7,15)</f>
        <v>33434</v>
      </c>
      <c r="B570" s="3">
        <f>DATE(1991,10,10)</f>
        <v>33521</v>
      </c>
      <c r="C570" s="2" t="s">
        <v>95</v>
      </c>
      <c r="D570" s="2" t="s">
        <v>2102</v>
      </c>
      <c r="E570" s="2" t="s">
        <v>2103</v>
      </c>
      <c r="F570" s="4">
        <v>1623</v>
      </c>
      <c r="G570" s="2" t="s">
        <v>341</v>
      </c>
      <c r="H570" s="2" t="s">
        <v>34</v>
      </c>
      <c r="I570" s="2" t="s">
        <v>2104</v>
      </c>
      <c r="J570" s="2" t="s">
        <v>80</v>
      </c>
      <c r="K570" s="2" t="s">
        <v>53</v>
      </c>
      <c r="L570" s="2" t="s">
        <v>2105</v>
      </c>
      <c r="M570" s="2"/>
      <c r="N570" s="2"/>
      <c r="O570" s="2"/>
      <c r="P570" s="2" t="s">
        <v>2106</v>
      </c>
      <c r="Q570" s="6">
        <v>100</v>
      </c>
      <c r="R570" s="6">
        <v>13</v>
      </c>
      <c r="S570" s="5">
        <v>0.4</v>
      </c>
      <c r="T570" s="7">
        <v>0.57399999999999995</v>
      </c>
      <c r="U570" s="5">
        <v>12.3</v>
      </c>
      <c r="V570" s="6">
        <v>0.53</v>
      </c>
      <c r="W570" s="7">
        <v>8.625</v>
      </c>
      <c r="X570" s="6">
        <v>10.75</v>
      </c>
      <c r="Y570" s="6">
        <v>11.25</v>
      </c>
      <c r="Z570" s="5">
        <v>10.5</v>
      </c>
      <c r="AA570" s="6">
        <v>0.79</v>
      </c>
      <c r="AB570" s="7">
        <v>41.319000000000003</v>
      </c>
      <c r="AC570" s="2"/>
    </row>
    <row r="571" spans="1:29" ht="169" x14ac:dyDescent="0.15">
      <c r="A571" s="3">
        <f>DATE(1991,7,15)</f>
        <v>33434</v>
      </c>
      <c r="B571" s="3">
        <f>DATE(1991,12,31)</f>
        <v>33603</v>
      </c>
      <c r="C571" s="2" t="s">
        <v>95</v>
      </c>
      <c r="D571" s="2" t="s">
        <v>2107</v>
      </c>
      <c r="E571" s="2" t="s">
        <v>36</v>
      </c>
      <c r="F571" s="4">
        <v>6022</v>
      </c>
      <c r="G571" s="2" t="s">
        <v>37</v>
      </c>
      <c r="H571" s="2" t="s">
        <v>34</v>
      </c>
      <c r="I571" s="2" t="s">
        <v>481</v>
      </c>
      <c r="J571" s="2" t="s">
        <v>36</v>
      </c>
      <c r="K571" s="2" t="s">
        <v>37</v>
      </c>
      <c r="L571" s="2" t="s">
        <v>34</v>
      </c>
      <c r="M571" s="12">
        <v>3545.6480000000001</v>
      </c>
      <c r="N571" s="7">
        <v>26.625</v>
      </c>
      <c r="O571" s="6">
        <v>25.75</v>
      </c>
      <c r="P571" s="2" t="s">
        <v>2108</v>
      </c>
      <c r="Q571" s="6">
        <v>100</v>
      </c>
      <c r="R571" s="6">
        <v>27.08</v>
      </c>
      <c r="S571" s="5">
        <v>139</v>
      </c>
      <c r="T571" s="2"/>
      <c r="U571" s="5">
        <v>38.9</v>
      </c>
      <c r="V571" s="6">
        <v>1.27</v>
      </c>
      <c r="W571" s="7">
        <v>34.375</v>
      </c>
      <c r="X571" s="6">
        <v>33.25</v>
      </c>
      <c r="Y571" s="7">
        <v>33.125</v>
      </c>
      <c r="Z571" s="7">
        <v>33.125</v>
      </c>
      <c r="AA571" s="6">
        <v>75.489999999999995</v>
      </c>
      <c r="AB571" s="7">
        <v>298.18099999999998</v>
      </c>
      <c r="AC571" s="2"/>
    </row>
    <row r="572" spans="1:29" ht="104" x14ac:dyDescent="0.15">
      <c r="A572" s="3">
        <f>DATE(1991,7,15)</f>
        <v>33434</v>
      </c>
      <c r="B572" s="3">
        <f>DATE(1992,2,28)</f>
        <v>33662</v>
      </c>
      <c r="C572" s="2" t="s">
        <v>95</v>
      </c>
      <c r="D572" s="2" t="s">
        <v>802</v>
      </c>
      <c r="E572" s="2" t="s">
        <v>389</v>
      </c>
      <c r="F572" s="4">
        <v>6035</v>
      </c>
      <c r="G572" s="2" t="s">
        <v>33</v>
      </c>
      <c r="H572" s="2" t="s">
        <v>34</v>
      </c>
      <c r="I572" s="2" t="s">
        <v>2109</v>
      </c>
      <c r="J572" s="2" t="s">
        <v>1181</v>
      </c>
      <c r="K572" s="2" t="s">
        <v>37</v>
      </c>
      <c r="L572" s="2" t="s">
        <v>34</v>
      </c>
      <c r="M572" s="2"/>
      <c r="N572" s="2"/>
      <c r="O572" s="2"/>
      <c r="P572" s="2" t="s">
        <v>2110</v>
      </c>
      <c r="Q572" s="6">
        <v>100</v>
      </c>
      <c r="R572" s="6">
        <v>10</v>
      </c>
      <c r="S572" s="5">
        <v>13.2</v>
      </c>
      <c r="T572" s="7">
        <v>20.335999999999999</v>
      </c>
      <c r="U572" s="5">
        <v>35.5</v>
      </c>
      <c r="V572" s="6">
        <v>1.36</v>
      </c>
      <c r="W572" s="4">
        <v>5</v>
      </c>
      <c r="X572" s="5">
        <v>4.5</v>
      </c>
      <c r="Y572" s="6">
        <v>4.75</v>
      </c>
      <c r="Z572" s="5">
        <v>5.5</v>
      </c>
      <c r="AA572" s="6">
        <v>9.6999999999999993</v>
      </c>
      <c r="AB572" s="2" t="s">
        <v>86</v>
      </c>
      <c r="AC572" s="2"/>
    </row>
    <row r="573" spans="1:29" ht="104" x14ac:dyDescent="0.15">
      <c r="A573" s="3">
        <f>DATE(1991,7,17)</f>
        <v>33436</v>
      </c>
      <c r="B573" s="3">
        <f>DATE(1991,12,23)</f>
        <v>33595</v>
      </c>
      <c r="C573" s="2" t="s">
        <v>95</v>
      </c>
      <c r="D573" s="2" t="s">
        <v>2111</v>
      </c>
      <c r="E573" s="2" t="s">
        <v>386</v>
      </c>
      <c r="F573" s="4">
        <v>6726</v>
      </c>
      <c r="G573" s="2" t="s">
        <v>53</v>
      </c>
      <c r="H573" s="2" t="s">
        <v>34</v>
      </c>
      <c r="I573" s="2" t="s">
        <v>2112</v>
      </c>
      <c r="J573" s="2" t="s">
        <v>2113</v>
      </c>
      <c r="K573" s="2" t="s">
        <v>53</v>
      </c>
      <c r="L573" s="2" t="s">
        <v>34</v>
      </c>
      <c r="M573" s="2"/>
      <c r="N573" s="2"/>
      <c r="O573" s="2"/>
      <c r="P573" s="2" t="s">
        <v>2114</v>
      </c>
      <c r="Q573" s="6">
        <v>100</v>
      </c>
      <c r="R573" s="2"/>
      <c r="S573" s="2"/>
      <c r="T573" s="2"/>
      <c r="U573" s="2"/>
      <c r="V573" s="2"/>
      <c r="W573" s="6">
        <v>8.75</v>
      </c>
      <c r="X573" s="6">
        <v>8.75</v>
      </c>
      <c r="Y573" s="7">
        <v>8.625</v>
      </c>
      <c r="Z573" s="7">
        <v>8.625</v>
      </c>
      <c r="AA573" s="2"/>
      <c r="AB573" s="2" t="s">
        <v>47</v>
      </c>
      <c r="AC573" s="2"/>
    </row>
    <row r="574" spans="1:29" ht="104" x14ac:dyDescent="0.15">
      <c r="A574" s="3">
        <f>DATE(1991,7,18)</f>
        <v>33437</v>
      </c>
      <c r="B574" s="2"/>
      <c r="C574" s="2" t="s">
        <v>56</v>
      </c>
      <c r="D574" s="2" t="s">
        <v>2115</v>
      </c>
      <c r="E574" s="2" t="s">
        <v>2116</v>
      </c>
      <c r="F574" s="4">
        <v>3559</v>
      </c>
      <c r="G574" s="2" t="s">
        <v>300</v>
      </c>
      <c r="H574" s="2" t="s">
        <v>34</v>
      </c>
      <c r="I574" s="2" t="s">
        <v>51</v>
      </c>
      <c r="J574" s="2" t="s">
        <v>52</v>
      </c>
      <c r="K574" s="2" t="s">
        <v>53</v>
      </c>
      <c r="L574" s="2" t="s">
        <v>34</v>
      </c>
      <c r="M574" s="2"/>
      <c r="N574" s="2"/>
      <c r="O574" s="2"/>
      <c r="P574" s="2" t="s">
        <v>2117</v>
      </c>
      <c r="Q574" s="2"/>
      <c r="R574" s="2"/>
      <c r="S574" s="5">
        <v>-7.3</v>
      </c>
      <c r="T574" s="2"/>
      <c r="U574" s="5">
        <v>2.7</v>
      </c>
      <c r="V574" s="2"/>
      <c r="W574" s="6">
        <v>1.75</v>
      </c>
      <c r="X574" s="6">
        <v>1.75</v>
      </c>
      <c r="Y574" s="6">
        <v>1.75</v>
      </c>
      <c r="Z574" s="7">
        <v>1.625</v>
      </c>
      <c r="AA574" s="6">
        <v>6.69</v>
      </c>
      <c r="AB574" s="2" t="s">
        <v>86</v>
      </c>
      <c r="AC574" s="2"/>
    </row>
    <row r="575" spans="1:29" ht="39" x14ac:dyDescent="0.15">
      <c r="A575" s="3">
        <f>DATE(1991,7,19)</f>
        <v>33438</v>
      </c>
      <c r="B575" s="2"/>
      <c r="C575" s="2" t="s">
        <v>87</v>
      </c>
      <c r="D575" s="2" t="s">
        <v>2118</v>
      </c>
      <c r="E575" s="2" t="s">
        <v>612</v>
      </c>
      <c r="F575" s="4">
        <v>1311</v>
      </c>
      <c r="G575" s="2" t="s">
        <v>148</v>
      </c>
      <c r="H575" s="2" t="s">
        <v>34</v>
      </c>
      <c r="I575" s="2" t="s">
        <v>138</v>
      </c>
      <c r="J575" s="2" t="s">
        <v>139</v>
      </c>
      <c r="K575" s="2" t="s">
        <v>53</v>
      </c>
      <c r="L575" s="2" t="s">
        <v>139</v>
      </c>
      <c r="M575" s="2"/>
      <c r="N575" s="2"/>
      <c r="O575" s="2"/>
      <c r="P575" s="2" t="s">
        <v>2119</v>
      </c>
      <c r="Q575" s="2"/>
      <c r="R575" s="2"/>
      <c r="S575" s="5">
        <v>1</v>
      </c>
      <c r="T575" s="7">
        <v>3.048</v>
      </c>
      <c r="U575" s="5">
        <v>2.2000000000000002</v>
      </c>
      <c r="V575" s="6">
        <v>0.11</v>
      </c>
      <c r="W575" s="4">
        <v>2</v>
      </c>
      <c r="X575" s="6">
        <v>2.25</v>
      </c>
      <c r="Y575" s="7">
        <v>2.3130000000000002</v>
      </c>
      <c r="Z575" s="7">
        <v>2.5630000000000002</v>
      </c>
      <c r="AA575" s="2"/>
      <c r="AB575" s="2" t="s">
        <v>47</v>
      </c>
      <c r="AC575" s="2"/>
    </row>
    <row r="576" spans="1:29" ht="143" x14ac:dyDescent="0.15">
      <c r="A576" s="3">
        <f>DATE(1991,7,19)</f>
        <v>33438</v>
      </c>
      <c r="B576" s="2"/>
      <c r="C576" s="2" t="s">
        <v>30</v>
      </c>
      <c r="D576" s="2" t="s">
        <v>1307</v>
      </c>
      <c r="E576" s="2" t="s">
        <v>58</v>
      </c>
      <c r="F576" s="4">
        <v>4512</v>
      </c>
      <c r="G576" s="2" t="s">
        <v>59</v>
      </c>
      <c r="H576" s="2" t="s">
        <v>34</v>
      </c>
      <c r="I576" s="2" t="s">
        <v>1390</v>
      </c>
      <c r="J576" s="2" t="s">
        <v>58</v>
      </c>
      <c r="K576" s="2" t="s">
        <v>59</v>
      </c>
      <c r="L576" s="2" t="s">
        <v>34</v>
      </c>
      <c r="M576" s="2"/>
      <c r="N576" s="2"/>
      <c r="O576" s="2"/>
      <c r="P576" s="2" t="s">
        <v>2120</v>
      </c>
      <c r="Q576" s="2"/>
      <c r="R576" s="2"/>
      <c r="S576" s="5">
        <v>-662.9</v>
      </c>
      <c r="T576" s="7">
        <v>-234.48699999999999</v>
      </c>
      <c r="U576" s="5">
        <v>-8</v>
      </c>
      <c r="V576" s="6">
        <v>-4.3600000000000003</v>
      </c>
      <c r="W576" s="7">
        <v>1.625</v>
      </c>
      <c r="X576" s="7">
        <v>1.625</v>
      </c>
      <c r="Y576" s="7">
        <v>1.625</v>
      </c>
      <c r="Z576" s="7">
        <v>1.625</v>
      </c>
      <c r="AA576" s="6">
        <v>6.45</v>
      </c>
      <c r="AB576" s="2" t="s">
        <v>86</v>
      </c>
      <c r="AC576" s="2"/>
    </row>
    <row r="577" spans="1:29" ht="78" x14ac:dyDescent="0.15">
      <c r="A577" s="3">
        <f>DATE(1991,7,22)</f>
        <v>33441</v>
      </c>
      <c r="B577" s="2"/>
      <c r="C577" s="2" t="s">
        <v>30</v>
      </c>
      <c r="D577" s="2" t="s">
        <v>1952</v>
      </c>
      <c r="E577" s="2" t="s">
        <v>36</v>
      </c>
      <c r="F577" s="4">
        <v>6021</v>
      </c>
      <c r="G577" s="2" t="s">
        <v>37</v>
      </c>
      <c r="H577" s="2" t="s">
        <v>34</v>
      </c>
      <c r="I577" s="2" t="s">
        <v>1612</v>
      </c>
      <c r="J577" s="2" t="s">
        <v>263</v>
      </c>
      <c r="K577" s="2" t="s">
        <v>37</v>
      </c>
      <c r="L577" s="2" t="s">
        <v>34</v>
      </c>
      <c r="M577" s="2"/>
      <c r="N577" s="4">
        <v>42</v>
      </c>
      <c r="O577" s="7">
        <v>41.375</v>
      </c>
      <c r="P577" s="2" t="s">
        <v>2121</v>
      </c>
      <c r="Q577" s="2"/>
      <c r="R577" s="2"/>
      <c r="S577" s="5">
        <v>-96.4</v>
      </c>
      <c r="T577" s="7">
        <v>-142.92400000000001</v>
      </c>
      <c r="U577" s="5">
        <v>15.5</v>
      </c>
      <c r="V577" s="6">
        <v>-2.71</v>
      </c>
      <c r="W577" s="4">
        <v>15</v>
      </c>
      <c r="X577" s="4">
        <v>16</v>
      </c>
      <c r="Y577" s="7">
        <v>17.125</v>
      </c>
      <c r="Z577" s="6">
        <v>16.75</v>
      </c>
      <c r="AA577" s="6">
        <v>37.369999999999997</v>
      </c>
      <c r="AB577" s="2" t="s">
        <v>86</v>
      </c>
      <c r="AC577" s="2"/>
    </row>
    <row r="578" spans="1:29" ht="143" x14ac:dyDescent="0.15">
      <c r="A578" s="3">
        <f>DATE(1991,7,22)</f>
        <v>33441</v>
      </c>
      <c r="B578" s="3">
        <f>DATE(1991,12,13)</f>
        <v>33585</v>
      </c>
      <c r="C578" s="2" t="s">
        <v>95</v>
      </c>
      <c r="D578" s="2" t="s">
        <v>2122</v>
      </c>
      <c r="E578" s="2" t="s">
        <v>2123</v>
      </c>
      <c r="F578" s="4">
        <v>8731</v>
      </c>
      <c r="G578" s="2" t="s">
        <v>223</v>
      </c>
      <c r="H578" s="2" t="s">
        <v>34</v>
      </c>
      <c r="I578" s="2" t="s">
        <v>2124</v>
      </c>
      <c r="J578" s="2" t="s">
        <v>2125</v>
      </c>
      <c r="K578" s="2" t="s">
        <v>130</v>
      </c>
      <c r="L578" s="2" t="s">
        <v>34</v>
      </c>
      <c r="M578" s="12">
        <v>1003.954</v>
      </c>
      <c r="N578" s="6">
        <v>54.75</v>
      </c>
      <c r="O578" s="5">
        <v>51.5</v>
      </c>
      <c r="P578" s="2" t="s">
        <v>2126</v>
      </c>
      <c r="Q578" s="6">
        <v>100</v>
      </c>
      <c r="R578" s="6">
        <v>4.5599999999999996</v>
      </c>
      <c r="S578" s="5">
        <v>-76.8</v>
      </c>
      <c r="T578" s="7">
        <v>-63.758000000000003</v>
      </c>
      <c r="U578" s="5">
        <v>1.1000000000000001</v>
      </c>
      <c r="V578" s="6">
        <v>-2.36</v>
      </c>
      <c r="W578" s="7">
        <v>6.875</v>
      </c>
      <c r="X578" s="6">
        <v>6.75</v>
      </c>
      <c r="Y578" s="7">
        <v>7.125</v>
      </c>
      <c r="Z578" s="6">
        <v>7.25</v>
      </c>
      <c r="AA578" s="6">
        <v>33.46</v>
      </c>
      <c r="AB578" s="2" t="s">
        <v>86</v>
      </c>
      <c r="AC578" s="2"/>
    </row>
    <row r="579" spans="1:29" ht="65" x14ac:dyDescent="0.15">
      <c r="A579" s="3">
        <f>DATE(1991,7,23)</f>
        <v>33442</v>
      </c>
      <c r="B579" s="2"/>
      <c r="C579" s="2" t="s">
        <v>189</v>
      </c>
      <c r="D579" s="2" t="s">
        <v>2127</v>
      </c>
      <c r="E579" s="2" t="s">
        <v>2128</v>
      </c>
      <c r="F579" s="4">
        <v>6798</v>
      </c>
      <c r="G579" s="2" t="s">
        <v>53</v>
      </c>
      <c r="H579" s="2" t="s">
        <v>34</v>
      </c>
      <c r="I579" s="2" t="s">
        <v>143</v>
      </c>
      <c r="J579" s="2" t="s">
        <v>144</v>
      </c>
      <c r="K579" s="2" t="s">
        <v>53</v>
      </c>
      <c r="L579" s="2" t="s">
        <v>139</v>
      </c>
      <c r="M579" s="2"/>
      <c r="N579" s="2"/>
      <c r="O579" s="2"/>
      <c r="P579" s="2" t="s">
        <v>2129</v>
      </c>
      <c r="Q579" s="2"/>
      <c r="R579" s="2"/>
      <c r="S579" s="2"/>
      <c r="T579" s="2"/>
      <c r="U579" s="2"/>
      <c r="V579" s="2"/>
      <c r="W579" s="6">
        <v>9.25</v>
      </c>
      <c r="X579" s="6">
        <v>9.25</v>
      </c>
      <c r="Y579" s="7">
        <v>9.375</v>
      </c>
      <c r="Z579" s="6">
        <v>9.75</v>
      </c>
      <c r="AA579" s="2"/>
      <c r="AB579" s="2" t="s">
        <v>47</v>
      </c>
      <c r="AC579" s="2"/>
    </row>
    <row r="580" spans="1:29" ht="143" x14ac:dyDescent="0.15">
      <c r="A580" s="3">
        <f>DATE(1991,7,24)</f>
        <v>33443</v>
      </c>
      <c r="B580" s="2"/>
      <c r="C580" s="2" t="s">
        <v>30</v>
      </c>
      <c r="D580" s="2" t="s">
        <v>1996</v>
      </c>
      <c r="E580" s="2" t="s">
        <v>1997</v>
      </c>
      <c r="F580" s="4">
        <v>5734</v>
      </c>
      <c r="G580" s="2" t="s">
        <v>1227</v>
      </c>
      <c r="H580" s="2" t="s">
        <v>34</v>
      </c>
      <c r="I580" s="2" t="s">
        <v>2130</v>
      </c>
      <c r="J580" s="2" t="s">
        <v>2131</v>
      </c>
      <c r="K580" s="2" t="s">
        <v>1227</v>
      </c>
      <c r="L580" s="2" t="s">
        <v>34</v>
      </c>
      <c r="M580" s="2"/>
      <c r="N580" s="2"/>
      <c r="O580" s="2"/>
      <c r="P580" s="2" t="s">
        <v>2132</v>
      </c>
      <c r="Q580" s="2"/>
      <c r="R580" s="6">
        <v>1</v>
      </c>
      <c r="S580" s="5">
        <v>-24.1</v>
      </c>
      <c r="T580" s="7">
        <v>11.317</v>
      </c>
      <c r="U580" s="5">
        <v>5.9</v>
      </c>
      <c r="V580" s="6">
        <v>-0.8</v>
      </c>
      <c r="W580" s="7">
        <v>1.625</v>
      </c>
      <c r="X580" s="5">
        <v>1.5</v>
      </c>
      <c r="Y580" s="6">
        <v>1.25</v>
      </c>
      <c r="Z580" s="6">
        <v>1.25</v>
      </c>
      <c r="AA580" s="6">
        <v>32.25</v>
      </c>
      <c r="AB580" s="2" t="s">
        <v>86</v>
      </c>
      <c r="AC580" s="2"/>
    </row>
    <row r="581" spans="1:29" ht="143" x14ac:dyDescent="0.15">
      <c r="A581" s="3">
        <f>DATE(1991,7,24)</f>
        <v>33443</v>
      </c>
      <c r="B581" s="3">
        <f>DATE(1991,12,31)</f>
        <v>33603</v>
      </c>
      <c r="C581" s="2" t="s">
        <v>95</v>
      </c>
      <c r="D581" s="2" t="s">
        <v>2133</v>
      </c>
      <c r="E581" s="2" t="s">
        <v>2134</v>
      </c>
      <c r="F581" s="4">
        <v>7822</v>
      </c>
      <c r="G581" s="2" t="s">
        <v>42</v>
      </c>
      <c r="H581" s="2" t="s">
        <v>34</v>
      </c>
      <c r="I581" s="2" t="s">
        <v>2135</v>
      </c>
      <c r="J581" s="2" t="s">
        <v>2136</v>
      </c>
      <c r="K581" s="2" t="s">
        <v>42</v>
      </c>
      <c r="L581" s="2" t="s">
        <v>34</v>
      </c>
      <c r="M581" s="2"/>
      <c r="N581" s="4">
        <v>4</v>
      </c>
      <c r="O581" s="4">
        <v>4</v>
      </c>
      <c r="P581" s="2" t="s">
        <v>2137</v>
      </c>
      <c r="Q581" s="6">
        <v>100</v>
      </c>
      <c r="R581" s="6">
        <v>0.51</v>
      </c>
      <c r="S581" s="5">
        <v>-2.2999999999999998</v>
      </c>
      <c r="T581" s="2"/>
      <c r="U581" s="5">
        <v>1.9</v>
      </c>
      <c r="V581" s="2"/>
      <c r="W581" s="7">
        <v>1.375</v>
      </c>
      <c r="X581" s="6">
        <v>1.25</v>
      </c>
      <c r="Y581" s="7">
        <v>1.125</v>
      </c>
      <c r="Z581" s="7">
        <v>1.125</v>
      </c>
      <c r="AA581" s="6">
        <v>3.28</v>
      </c>
      <c r="AB581" s="2" t="s">
        <v>86</v>
      </c>
      <c r="AC581" s="2"/>
    </row>
    <row r="582" spans="1:29" ht="104" x14ac:dyDescent="0.15">
      <c r="A582" s="3">
        <f>DATE(1991,7,25)</f>
        <v>33444</v>
      </c>
      <c r="B582" s="3">
        <f>DATE(1992,3,19)</f>
        <v>33682</v>
      </c>
      <c r="C582" s="2" t="s">
        <v>95</v>
      </c>
      <c r="D582" s="2" t="s">
        <v>1913</v>
      </c>
      <c r="E582" s="2" t="s">
        <v>177</v>
      </c>
      <c r="F582" s="4">
        <v>1311</v>
      </c>
      <c r="G582" s="2" t="s">
        <v>148</v>
      </c>
      <c r="H582" s="2" t="s">
        <v>34</v>
      </c>
      <c r="I582" s="2" t="s">
        <v>2138</v>
      </c>
      <c r="J582" s="2" t="s">
        <v>177</v>
      </c>
      <c r="K582" s="2" t="s">
        <v>148</v>
      </c>
      <c r="L582" s="2" t="s">
        <v>34</v>
      </c>
      <c r="M582" s="7">
        <v>12.087999999999999</v>
      </c>
      <c r="N582" s="7">
        <v>4.875</v>
      </c>
      <c r="O582" s="7">
        <v>4.875</v>
      </c>
      <c r="P582" s="2" t="s">
        <v>2139</v>
      </c>
      <c r="Q582" s="6">
        <v>100</v>
      </c>
      <c r="R582" s="6">
        <v>5.21</v>
      </c>
      <c r="S582" s="5">
        <v>-2.2999999999999998</v>
      </c>
      <c r="T582" s="7">
        <v>7.7309999999999999</v>
      </c>
      <c r="U582" s="5">
        <v>2.2999999999999998</v>
      </c>
      <c r="V582" s="6">
        <v>-1.23</v>
      </c>
      <c r="W582" s="6">
        <v>1.75</v>
      </c>
      <c r="X582" s="7">
        <v>1.625</v>
      </c>
      <c r="Y582" s="6">
        <v>3.25</v>
      </c>
      <c r="Z582" s="4">
        <v>3</v>
      </c>
      <c r="AA582" s="6">
        <v>1.89</v>
      </c>
      <c r="AB582" s="7">
        <v>4.556</v>
      </c>
      <c r="AC582" s="2"/>
    </row>
    <row r="583" spans="1:29" ht="156" x14ac:dyDescent="0.15">
      <c r="A583" s="3">
        <f>DATE(1991,7,25)</f>
        <v>33444</v>
      </c>
      <c r="B583" s="3">
        <f>DATE(1991,11,13)</f>
        <v>33555</v>
      </c>
      <c r="C583" s="2" t="s">
        <v>95</v>
      </c>
      <c r="D583" s="2" t="s">
        <v>2140</v>
      </c>
      <c r="E583" s="2" t="s">
        <v>2141</v>
      </c>
      <c r="F583" s="4">
        <v>2026</v>
      </c>
      <c r="G583" s="2" t="s">
        <v>577</v>
      </c>
      <c r="H583" s="2" t="s">
        <v>34</v>
      </c>
      <c r="I583" s="2" t="s">
        <v>2142</v>
      </c>
      <c r="J583" s="2" t="s">
        <v>2143</v>
      </c>
      <c r="K583" s="2" t="s">
        <v>577</v>
      </c>
      <c r="L583" s="2" t="s">
        <v>34</v>
      </c>
      <c r="M583" s="2"/>
      <c r="N583" s="2"/>
      <c r="O583" s="2"/>
      <c r="P583" s="2" t="s">
        <v>2144</v>
      </c>
      <c r="Q583" s="6">
        <v>34.51</v>
      </c>
      <c r="R583" s="6">
        <v>15.3</v>
      </c>
      <c r="S583" s="5">
        <v>2.5</v>
      </c>
      <c r="T583" s="2"/>
      <c r="U583" s="2"/>
      <c r="V583" s="2"/>
      <c r="W583" s="5">
        <v>10.5</v>
      </c>
      <c r="X583" s="4">
        <v>11</v>
      </c>
      <c r="Y583" s="4">
        <v>11</v>
      </c>
      <c r="Z583" s="4">
        <v>14</v>
      </c>
      <c r="AA583" s="6">
        <v>4.43</v>
      </c>
      <c r="AB583" s="7">
        <v>15.35</v>
      </c>
      <c r="AC583" s="2"/>
    </row>
    <row r="584" spans="1:29" ht="117" x14ac:dyDescent="0.15">
      <c r="A584" s="3">
        <f>DATE(1991,7,25)</f>
        <v>33444</v>
      </c>
      <c r="B584" s="2"/>
      <c r="C584" s="2" t="s">
        <v>30</v>
      </c>
      <c r="D584" s="2" t="s">
        <v>2145</v>
      </c>
      <c r="E584" s="2" t="s">
        <v>2146</v>
      </c>
      <c r="F584" s="4">
        <v>5045</v>
      </c>
      <c r="G584" s="2" t="s">
        <v>76</v>
      </c>
      <c r="H584" s="2" t="s">
        <v>34</v>
      </c>
      <c r="I584" s="2" t="s">
        <v>51</v>
      </c>
      <c r="J584" s="2" t="s">
        <v>52</v>
      </c>
      <c r="K584" s="2" t="s">
        <v>53</v>
      </c>
      <c r="L584" s="2" t="s">
        <v>34</v>
      </c>
      <c r="M584" s="2"/>
      <c r="N584" s="2"/>
      <c r="O584" s="2"/>
      <c r="P584" s="2" t="s">
        <v>2147</v>
      </c>
      <c r="Q584" s="2"/>
      <c r="R584" s="6">
        <v>5</v>
      </c>
      <c r="S584" s="5">
        <v>-1.5</v>
      </c>
      <c r="T584" s="2"/>
      <c r="U584" s="5">
        <v>7.6</v>
      </c>
      <c r="V584" s="2"/>
      <c r="W584" s="7">
        <v>4.125</v>
      </c>
      <c r="X584" s="5">
        <v>3.5</v>
      </c>
      <c r="Y584" s="7">
        <v>4.375</v>
      </c>
      <c r="Z584" s="7">
        <v>4.375</v>
      </c>
      <c r="AA584" s="6">
        <v>1.83</v>
      </c>
      <c r="AB584" s="2" t="s">
        <v>86</v>
      </c>
      <c r="AC584" s="2"/>
    </row>
    <row r="585" spans="1:29" ht="39" x14ac:dyDescent="0.15">
      <c r="A585" s="3">
        <f>DATE(1991,7,26)</f>
        <v>33445</v>
      </c>
      <c r="B585" s="2"/>
      <c r="C585" s="2" t="s">
        <v>87</v>
      </c>
      <c r="D585" s="2" t="s">
        <v>2148</v>
      </c>
      <c r="E585" s="2" t="s">
        <v>32</v>
      </c>
      <c r="F585" s="4">
        <v>6035</v>
      </c>
      <c r="G585" s="2" t="s">
        <v>33</v>
      </c>
      <c r="H585" s="2" t="s">
        <v>34</v>
      </c>
      <c r="I585" s="2" t="s">
        <v>138</v>
      </c>
      <c r="J585" s="2" t="s">
        <v>139</v>
      </c>
      <c r="K585" s="2" t="s">
        <v>53</v>
      </c>
      <c r="L585" s="2" t="s">
        <v>139</v>
      </c>
      <c r="M585" s="2"/>
      <c r="N585" s="2"/>
      <c r="O585" s="2"/>
      <c r="P585" s="2" t="s">
        <v>2149</v>
      </c>
      <c r="Q585" s="2"/>
      <c r="R585" s="2"/>
      <c r="S585" s="5">
        <v>0.1</v>
      </c>
      <c r="T585" s="2"/>
      <c r="U585" s="5">
        <v>17.5</v>
      </c>
      <c r="V585" s="2"/>
      <c r="W585" s="4">
        <v>9</v>
      </c>
      <c r="X585" s="4">
        <v>10</v>
      </c>
      <c r="Y585" s="5">
        <v>10.5</v>
      </c>
      <c r="Z585" s="4">
        <v>11</v>
      </c>
      <c r="AA585" s="2"/>
      <c r="AB585" s="2" t="s">
        <v>86</v>
      </c>
      <c r="AC585" s="2"/>
    </row>
    <row r="586" spans="1:29" ht="117" x14ac:dyDescent="0.15">
      <c r="A586" s="3">
        <f>DATE(1991,7,26)</f>
        <v>33445</v>
      </c>
      <c r="B586" s="2"/>
      <c r="C586" s="2" t="s">
        <v>39</v>
      </c>
      <c r="D586" s="2" t="s">
        <v>2150</v>
      </c>
      <c r="E586" s="2" t="s">
        <v>263</v>
      </c>
      <c r="F586" s="4">
        <v>6022</v>
      </c>
      <c r="G586" s="2" t="s">
        <v>37</v>
      </c>
      <c r="H586" s="2" t="s">
        <v>34</v>
      </c>
      <c r="I586" s="2" t="s">
        <v>2057</v>
      </c>
      <c r="J586" s="2" t="s">
        <v>2058</v>
      </c>
      <c r="K586" s="2" t="s">
        <v>37</v>
      </c>
      <c r="L586" s="2" t="s">
        <v>34</v>
      </c>
      <c r="M586" s="2"/>
      <c r="N586" s="7">
        <v>34.375</v>
      </c>
      <c r="O586" s="6">
        <v>34.25</v>
      </c>
      <c r="P586" s="2" t="s">
        <v>2151</v>
      </c>
      <c r="Q586" s="2"/>
      <c r="R586" s="2"/>
      <c r="S586" s="5">
        <v>-11</v>
      </c>
      <c r="T586" s="7">
        <v>-15.189</v>
      </c>
      <c r="U586" s="5">
        <v>13.2</v>
      </c>
      <c r="V586" s="6">
        <v>-0.4</v>
      </c>
      <c r="W586" s="6">
        <v>4.75</v>
      </c>
      <c r="X586" s="5">
        <v>4.5</v>
      </c>
      <c r="Y586" s="7">
        <v>4.375</v>
      </c>
      <c r="Z586" s="7">
        <v>5.125</v>
      </c>
      <c r="AA586" s="2"/>
      <c r="AB586" s="2" t="s">
        <v>86</v>
      </c>
      <c r="AC586" s="2"/>
    </row>
    <row r="587" spans="1:29" ht="143" x14ac:dyDescent="0.15">
      <c r="A587" s="3">
        <f>DATE(1991,7,26)</f>
        <v>33445</v>
      </c>
      <c r="B587" s="3">
        <f>DATE(1992,4,1)</f>
        <v>33695</v>
      </c>
      <c r="C587" s="2" t="s">
        <v>95</v>
      </c>
      <c r="D587" s="2" t="s">
        <v>2152</v>
      </c>
      <c r="E587" s="2" t="s">
        <v>2153</v>
      </c>
      <c r="F587" s="4">
        <v>3577</v>
      </c>
      <c r="G587" s="2" t="s">
        <v>50</v>
      </c>
      <c r="H587" s="2" t="s">
        <v>34</v>
      </c>
      <c r="I587" s="2" t="s">
        <v>2154</v>
      </c>
      <c r="J587" s="2" t="s">
        <v>2155</v>
      </c>
      <c r="K587" s="2" t="s">
        <v>53</v>
      </c>
      <c r="L587" s="2" t="s">
        <v>34</v>
      </c>
      <c r="M587" s="2"/>
      <c r="N587" s="6">
        <v>1.25</v>
      </c>
      <c r="O587" s="5">
        <v>1.5</v>
      </c>
      <c r="P587" s="2" t="s">
        <v>2156</v>
      </c>
      <c r="Q587" s="6">
        <v>32.299999999999997</v>
      </c>
      <c r="R587" s="6">
        <v>1.8</v>
      </c>
      <c r="S587" s="5">
        <v>0.1</v>
      </c>
      <c r="T587" s="7">
        <v>0.46300000000000002</v>
      </c>
      <c r="U587" s="2"/>
      <c r="V587" s="6">
        <v>0.45</v>
      </c>
      <c r="W587" s="7">
        <v>1.125</v>
      </c>
      <c r="X587" s="6">
        <v>1.25</v>
      </c>
      <c r="Y587" s="6">
        <v>1.25</v>
      </c>
      <c r="Z587" s="6">
        <v>1.25</v>
      </c>
      <c r="AA587" s="6">
        <v>1.1100000000000001</v>
      </c>
      <c r="AB587" s="7">
        <v>3.3759999999999999</v>
      </c>
      <c r="AC587" s="2"/>
    </row>
    <row r="588" spans="1:29" ht="143" x14ac:dyDescent="0.15">
      <c r="A588" s="3">
        <f>DATE(1991,7,26)</f>
        <v>33445</v>
      </c>
      <c r="B588" s="3">
        <f>DATE(1991,7,26)</f>
        <v>33445</v>
      </c>
      <c r="C588" s="2" t="s">
        <v>95</v>
      </c>
      <c r="D588" s="2" t="s">
        <v>2152</v>
      </c>
      <c r="E588" s="2" t="s">
        <v>2153</v>
      </c>
      <c r="F588" s="4">
        <v>3577</v>
      </c>
      <c r="G588" s="2" t="s">
        <v>50</v>
      </c>
      <c r="H588" s="2" t="s">
        <v>34</v>
      </c>
      <c r="I588" s="2" t="s">
        <v>2154</v>
      </c>
      <c r="J588" s="2" t="s">
        <v>2155</v>
      </c>
      <c r="K588" s="2" t="s">
        <v>53</v>
      </c>
      <c r="L588" s="2" t="s">
        <v>34</v>
      </c>
      <c r="M588" s="2"/>
      <c r="N588" s="6">
        <v>1.25</v>
      </c>
      <c r="O588" s="5">
        <v>1.5</v>
      </c>
      <c r="P588" s="2" t="s">
        <v>2157</v>
      </c>
      <c r="Q588" s="6">
        <v>67.7</v>
      </c>
      <c r="R588" s="6">
        <v>1.87</v>
      </c>
      <c r="S588" s="5">
        <v>0.1</v>
      </c>
      <c r="T588" s="7">
        <v>0.46400000000000002</v>
      </c>
      <c r="U588" s="5">
        <v>2.7</v>
      </c>
      <c r="V588" s="6">
        <v>0.04</v>
      </c>
      <c r="W588" s="7">
        <v>1.125</v>
      </c>
      <c r="X588" s="6">
        <v>1.25</v>
      </c>
      <c r="Y588" s="6">
        <v>1.25</v>
      </c>
      <c r="Z588" s="6">
        <v>1.25</v>
      </c>
      <c r="AA588" s="6">
        <v>1.1100000000000001</v>
      </c>
      <c r="AB588" s="7">
        <v>4.9080000000000004</v>
      </c>
      <c r="AC588" s="2"/>
    </row>
    <row r="589" spans="1:29" x14ac:dyDescent="0.15">
      <c r="A589" s="3">
        <f>DATE(1991,7,29)</f>
        <v>33448</v>
      </c>
      <c r="B589" s="3">
        <f>DATE(1991,11,19)</f>
        <v>33561</v>
      </c>
      <c r="C589" s="2" t="s">
        <v>95</v>
      </c>
      <c r="D589" s="2" t="s">
        <v>2158</v>
      </c>
      <c r="E589" s="2" t="s">
        <v>2159</v>
      </c>
      <c r="F589" s="2" t="s">
        <v>2160</v>
      </c>
      <c r="G589" s="2" t="s">
        <v>426</v>
      </c>
      <c r="H589" s="2" t="s">
        <v>34</v>
      </c>
      <c r="I589" s="2" t="s">
        <v>2161</v>
      </c>
      <c r="J589" s="2" t="s">
        <v>2162</v>
      </c>
      <c r="K589" s="2" t="s">
        <v>447</v>
      </c>
      <c r="L589" s="2" t="s">
        <v>34</v>
      </c>
      <c r="M589" s="2"/>
      <c r="N589" s="2"/>
      <c r="O589" s="2"/>
      <c r="P589" s="2" t="s">
        <v>2163</v>
      </c>
      <c r="Q589" s="6">
        <v>100</v>
      </c>
      <c r="R589" s="2"/>
      <c r="S589" s="5">
        <v>-0.7</v>
      </c>
      <c r="T589" s="2"/>
      <c r="U589" s="5">
        <v>-3.7</v>
      </c>
      <c r="V589" s="2"/>
      <c r="W589" s="7">
        <v>3.3130000000000002</v>
      </c>
      <c r="X589" s="7">
        <v>3.3130000000000002</v>
      </c>
      <c r="Y589" s="7">
        <v>3.3130000000000002</v>
      </c>
      <c r="Z589" s="7">
        <v>3.3130000000000002</v>
      </c>
      <c r="AA589" s="2"/>
      <c r="AB589" s="2" t="s">
        <v>86</v>
      </c>
      <c r="AC589" s="2"/>
    </row>
    <row r="590" spans="1:29" ht="143" x14ac:dyDescent="0.15">
      <c r="A590" s="3">
        <f>DATE(1991,7,30)</f>
        <v>33449</v>
      </c>
      <c r="B590" s="2"/>
      <c r="C590" s="2" t="s">
        <v>141</v>
      </c>
      <c r="D590" s="2" t="s">
        <v>2150</v>
      </c>
      <c r="E590" s="2" t="s">
        <v>263</v>
      </c>
      <c r="F590" s="4">
        <v>6022</v>
      </c>
      <c r="G590" s="2" t="s">
        <v>37</v>
      </c>
      <c r="H590" s="2" t="s">
        <v>34</v>
      </c>
      <c r="I590" s="2" t="s">
        <v>143</v>
      </c>
      <c r="J590" s="2" t="s">
        <v>144</v>
      </c>
      <c r="K590" s="2" t="s">
        <v>53</v>
      </c>
      <c r="L590" s="2" t="s">
        <v>139</v>
      </c>
      <c r="M590" s="2"/>
      <c r="N590" s="2"/>
      <c r="O590" s="2"/>
      <c r="P590" s="2" t="s">
        <v>2164</v>
      </c>
      <c r="Q590" s="2"/>
      <c r="R590" s="2"/>
      <c r="S590" s="5">
        <v>-11</v>
      </c>
      <c r="T590" s="7">
        <v>-15.189</v>
      </c>
      <c r="U590" s="5">
        <v>13.2</v>
      </c>
      <c r="V590" s="6">
        <v>-0.4</v>
      </c>
      <c r="W590" s="4">
        <v>5</v>
      </c>
      <c r="X590" s="7">
        <v>5.125</v>
      </c>
      <c r="Y590" s="7">
        <v>4.375</v>
      </c>
      <c r="Z590" s="7">
        <v>3.875</v>
      </c>
      <c r="AA590" s="6">
        <v>27.85</v>
      </c>
      <c r="AB590" s="2" t="s">
        <v>86</v>
      </c>
      <c r="AC590" s="2"/>
    </row>
    <row r="591" spans="1:29" ht="130" x14ac:dyDescent="0.15">
      <c r="A591" s="3">
        <f>DATE(1991,7,30)</f>
        <v>33449</v>
      </c>
      <c r="B591" s="3">
        <f>DATE(1991,10,17)</f>
        <v>33528</v>
      </c>
      <c r="C591" s="2" t="s">
        <v>95</v>
      </c>
      <c r="D591" s="2" t="s">
        <v>2165</v>
      </c>
      <c r="E591" s="2" t="s">
        <v>2166</v>
      </c>
      <c r="F591" s="4">
        <v>7549</v>
      </c>
      <c r="G591" s="2" t="s">
        <v>1327</v>
      </c>
      <c r="H591" s="2" t="s">
        <v>34</v>
      </c>
      <c r="I591" s="2" t="s">
        <v>2167</v>
      </c>
      <c r="J591" s="2" t="s">
        <v>2168</v>
      </c>
      <c r="K591" s="2" t="s">
        <v>148</v>
      </c>
      <c r="L591" s="2" t="s">
        <v>34</v>
      </c>
      <c r="M591" s="2"/>
      <c r="N591" s="7">
        <v>72.875</v>
      </c>
      <c r="O591" s="5">
        <v>73.5</v>
      </c>
      <c r="P591" s="2" t="s">
        <v>2169</v>
      </c>
      <c r="Q591" s="6">
        <v>18.95</v>
      </c>
      <c r="R591" s="6">
        <v>6</v>
      </c>
      <c r="S591" s="5">
        <v>-14.9</v>
      </c>
      <c r="T591" s="7">
        <v>6.9039999999999999</v>
      </c>
      <c r="U591" s="5">
        <v>1</v>
      </c>
      <c r="V591" s="6">
        <v>-1.71</v>
      </c>
      <c r="W591" s="4">
        <v>5</v>
      </c>
      <c r="X591" s="4">
        <v>5</v>
      </c>
      <c r="Y591" s="5">
        <v>4.5</v>
      </c>
      <c r="Z591" s="7">
        <v>6.375</v>
      </c>
      <c r="AA591" s="6">
        <v>8.7200000000000006</v>
      </c>
      <c r="AB591" s="2" t="s">
        <v>86</v>
      </c>
      <c r="AC591" s="2"/>
    </row>
    <row r="592" spans="1:29" ht="65" x14ac:dyDescent="0.15">
      <c r="A592" s="3">
        <f>DATE(1991,7,30)</f>
        <v>33449</v>
      </c>
      <c r="B592" s="3">
        <f>DATE(1991,7,30)</f>
        <v>33449</v>
      </c>
      <c r="C592" s="2" t="s">
        <v>95</v>
      </c>
      <c r="D592" s="2" t="s">
        <v>2170</v>
      </c>
      <c r="E592" s="2" t="s">
        <v>2171</v>
      </c>
      <c r="F592" s="4">
        <v>3556</v>
      </c>
      <c r="G592" s="2" t="s">
        <v>300</v>
      </c>
      <c r="H592" s="2" t="s">
        <v>34</v>
      </c>
      <c r="I592" s="2" t="s">
        <v>51</v>
      </c>
      <c r="J592" s="2" t="s">
        <v>52</v>
      </c>
      <c r="K592" s="2" t="s">
        <v>53</v>
      </c>
      <c r="L592" s="2" t="s">
        <v>34</v>
      </c>
      <c r="M592" s="2"/>
      <c r="N592" s="2"/>
      <c r="O592" s="2"/>
      <c r="P592" s="2" t="s">
        <v>2172</v>
      </c>
      <c r="Q592" s="2"/>
      <c r="R592" s="2"/>
      <c r="S592" s="5">
        <v>-1.1000000000000001</v>
      </c>
      <c r="T592" s="2"/>
      <c r="U592" s="5">
        <v>2.9</v>
      </c>
      <c r="V592" s="2"/>
      <c r="W592" s="4">
        <v>2</v>
      </c>
      <c r="X592" s="4">
        <v>2</v>
      </c>
      <c r="Y592" s="4">
        <v>2</v>
      </c>
      <c r="Z592" s="6">
        <v>1.75</v>
      </c>
      <c r="AA592" s="2"/>
      <c r="AB592" s="2" t="s">
        <v>86</v>
      </c>
      <c r="AC592" s="2"/>
    </row>
    <row r="593" spans="1:29" ht="78" x14ac:dyDescent="0.15">
      <c r="A593" s="3">
        <f>DATE(1991,7,31)</f>
        <v>33450</v>
      </c>
      <c r="B593" s="2"/>
      <c r="C593" s="2" t="s">
        <v>56</v>
      </c>
      <c r="D593" s="2" t="s">
        <v>78</v>
      </c>
      <c r="E593" s="2" t="s">
        <v>36</v>
      </c>
      <c r="F593" s="4">
        <v>6036</v>
      </c>
      <c r="G593" s="2" t="s">
        <v>33</v>
      </c>
      <c r="H593" s="2" t="s">
        <v>34</v>
      </c>
      <c r="I593" s="2" t="s">
        <v>2173</v>
      </c>
      <c r="J593" s="2" t="s">
        <v>36</v>
      </c>
      <c r="K593" s="2" t="s">
        <v>33</v>
      </c>
      <c r="L593" s="2" t="s">
        <v>34</v>
      </c>
      <c r="M593" s="2"/>
      <c r="N593" s="2"/>
      <c r="O593" s="2"/>
      <c r="P593" s="2" t="s">
        <v>2174</v>
      </c>
      <c r="Q593" s="2"/>
      <c r="R593" s="2"/>
      <c r="S593" s="5">
        <v>-3.3</v>
      </c>
      <c r="T593" s="2"/>
      <c r="U593" s="5">
        <v>15.9</v>
      </c>
      <c r="V593" s="2"/>
      <c r="W593" s="5">
        <v>4.5</v>
      </c>
      <c r="X593" s="7">
        <v>3.125</v>
      </c>
      <c r="Y593" s="6">
        <v>4.25</v>
      </c>
      <c r="Z593" s="5">
        <v>5.5</v>
      </c>
      <c r="AA593" s="6">
        <v>1.44</v>
      </c>
      <c r="AB593" s="2" t="s">
        <v>86</v>
      </c>
      <c r="AC593" s="2"/>
    </row>
    <row r="594" spans="1:29" ht="130" x14ac:dyDescent="0.15">
      <c r="A594" s="3">
        <f>DATE(1991,7,31)</f>
        <v>33450</v>
      </c>
      <c r="B594" s="3">
        <f>DATE(1992,3,13)</f>
        <v>33676</v>
      </c>
      <c r="C594" s="2" t="s">
        <v>95</v>
      </c>
      <c r="D594" s="2" t="s">
        <v>2175</v>
      </c>
      <c r="E594" s="2" t="s">
        <v>36</v>
      </c>
      <c r="F594" s="4">
        <v>6022</v>
      </c>
      <c r="G594" s="2" t="s">
        <v>37</v>
      </c>
      <c r="H594" s="2" t="s">
        <v>34</v>
      </c>
      <c r="I594" s="2" t="s">
        <v>1610</v>
      </c>
      <c r="J594" s="2" t="s">
        <v>36</v>
      </c>
      <c r="K594" s="2" t="s">
        <v>37</v>
      </c>
      <c r="L594" s="2" t="s">
        <v>34</v>
      </c>
      <c r="M594" s="2"/>
      <c r="N594" s="7">
        <v>34.875</v>
      </c>
      <c r="O594" s="5">
        <v>35.5</v>
      </c>
      <c r="P594" s="2" t="s">
        <v>2176</v>
      </c>
      <c r="Q594" s="6">
        <v>100</v>
      </c>
      <c r="R594" s="6">
        <v>31.28</v>
      </c>
      <c r="S594" s="5">
        <v>34.5</v>
      </c>
      <c r="T594" s="7">
        <v>61.743000000000002</v>
      </c>
      <c r="U594" s="5">
        <v>17.8</v>
      </c>
      <c r="V594" s="6">
        <v>3.22</v>
      </c>
      <c r="W594" s="6">
        <v>23.25</v>
      </c>
      <c r="X594" s="4">
        <v>24</v>
      </c>
      <c r="Y594" s="6">
        <v>28.25</v>
      </c>
      <c r="Z594" s="5">
        <v>28.5</v>
      </c>
      <c r="AA594" s="6">
        <v>11.11</v>
      </c>
      <c r="AB594" s="7">
        <v>47.22</v>
      </c>
      <c r="AC594" s="2"/>
    </row>
    <row r="595" spans="1:29" ht="130" x14ac:dyDescent="0.15">
      <c r="A595" s="3">
        <f>DATE(1991,8,1)</f>
        <v>33451</v>
      </c>
      <c r="B595" s="3">
        <f>DATE(1991,11,19)</f>
        <v>33561</v>
      </c>
      <c r="C595" s="2" t="s">
        <v>95</v>
      </c>
      <c r="D595" s="2" t="s">
        <v>2177</v>
      </c>
      <c r="E595" s="2" t="s">
        <v>2178</v>
      </c>
      <c r="F595" s="4">
        <v>7359</v>
      </c>
      <c r="G595" s="2" t="s">
        <v>223</v>
      </c>
      <c r="H595" s="2" t="s">
        <v>34</v>
      </c>
      <c r="I595" s="2" t="s">
        <v>2179</v>
      </c>
      <c r="J595" s="2" t="s">
        <v>2180</v>
      </c>
      <c r="K595" s="2" t="s">
        <v>300</v>
      </c>
      <c r="L595" s="2" t="s">
        <v>34</v>
      </c>
      <c r="M595" s="5">
        <v>427.2</v>
      </c>
      <c r="N595" s="4">
        <v>18</v>
      </c>
      <c r="O595" s="5">
        <v>17.5</v>
      </c>
      <c r="P595" s="2" t="s">
        <v>2181</v>
      </c>
      <c r="Q595" s="6">
        <v>100</v>
      </c>
      <c r="R595" s="6">
        <v>4.5999999999999996</v>
      </c>
      <c r="S595" s="5">
        <v>6.3</v>
      </c>
      <c r="T595" s="7">
        <v>15.996</v>
      </c>
      <c r="U595" s="5">
        <v>3.1</v>
      </c>
      <c r="V595" s="6">
        <v>0.39</v>
      </c>
      <c r="W595" s="6">
        <v>3.75</v>
      </c>
      <c r="X595" s="6">
        <v>3.25</v>
      </c>
      <c r="Y595" s="6">
        <v>4.25</v>
      </c>
      <c r="Z595" s="7">
        <v>4.375</v>
      </c>
      <c r="AA595" s="6">
        <v>15.6</v>
      </c>
      <c r="AB595" s="7">
        <v>17.603000000000002</v>
      </c>
      <c r="AC595" s="2"/>
    </row>
    <row r="596" spans="1:29" ht="26" x14ac:dyDescent="0.15">
      <c r="A596" s="3">
        <f>DATE(1991,8,1)</f>
        <v>33451</v>
      </c>
      <c r="B596" s="2"/>
      <c r="C596" s="2" t="s">
        <v>87</v>
      </c>
      <c r="D596" s="2" t="s">
        <v>2182</v>
      </c>
      <c r="E596" s="2" t="s">
        <v>2183</v>
      </c>
      <c r="F596" s="4">
        <v>5947</v>
      </c>
      <c r="G596" s="2" t="s">
        <v>73</v>
      </c>
      <c r="H596" s="2" t="s">
        <v>34</v>
      </c>
      <c r="I596" s="2" t="s">
        <v>138</v>
      </c>
      <c r="J596" s="2" t="s">
        <v>139</v>
      </c>
      <c r="K596" s="2" t="s">
        <v>53</v>
      </c>
      <c r="L596" s="2" t="s">
        <v>139</v>
      </c>
      <c r="M596" s="2"/>
      <c r="N596" s="2"/>
      <c r="O596" s="2"/>
      <c r="P596" s="2" t="s">
        <v>2184</v>
      </c>
      <c r="Q596" s="2"/>
      <c r="R596" s="2"/>
      <c r="S596" s="5">
        <v>1</v>
      </c>
      <c r="T596" s="2"/>
      <c r="U596" s="5">
        <v>0.3</v>
      </c>
      <c r="V596" s="2"/>
      <c r="W596" s="4">
        <v>5</v>
      </c>
      <c r="X596" s="4">
        <v>4</v>
      </c>
      <c r="Y596" s="6">
        <v>5.25</v>
      </c>
      <c r="Z596" s="7">
        <v>5.375</v>
      </c>
      <c r="AA596" s="2"/>
      <c r="AB596" s="2" t="s">
        <v>86</v>
      </c>
      <c r="AC596" s="2"/>
    </row>
    <row r="597" spans="1:29" ht="156" x14ac:dyDescent="0.15">
      <c r="A597" s="3">
        <f>DATE(1991,8,2)</f>
        <v>33452</v>
      </c>
      <c r="B597" s="3">
        <f>DATE(1992,2,28)</f>
        <v>33662</v>
      </c>
      <c r="C597" s="2" t="s">
        <v>95</v>
      </c>
      <c r="D597" s="2" t="s">
        <v>114</v>
      </c>
      <c r="E597" s="2" t="s">
        <v>115</v>
      </c>
      <c r="F597" s="4">
        <v>4953</v>
      </c>
      <c r="G597" s="2" t="s">
        <v>116</v>
      </c>
      <c r="H597" s="2" t="s">
        <v>34</v>
      </c>
      <c r="I597" s="2" t="s">
        <v>117</v>
      </c>
      <c r="J597" s="2" t="s">
        <v>118</v>
      </c>
      <c r="K597" s="2" t="s">
        <v>105</v>
      </c>
      <c r="L597" s="2" t="s">
        <v>34</v>
      </c>
      <c r="M597" s="7">
        <v>101.733</v>
      </c>
      <c r="N597" s="7">
        <v>3.625</v>
      </c>
      <c r="O597" s="6">
        <v>3.25</v>
      </c>
      <c r="P597" s="2" t="s">
        <v>2185</v>
      </c>
      <c r="Q597" s="6">
        <v>37.520000000000003</v>
      </c>
      <c r="R597" s="6">
        <v>11.69</v>
      </c>
      <c r="S597" s="5">
        <v>-1.2</v>
      </c>
      <c r="T597" s="7">
        <v>7.9550000000000001</v>
      </c>
      <c r="U597" s="5">
        <v>12.2</v>
      </c>
      <c r="V597" s="6">
        <v>-0.14000000000000001</v>
      </c>
      <c r="W597" s="5">
        <v>10.5</v>
      </c>
      <c r="X597" s="7">
        <v>9.375</v>
      </c>
      <c r="Y597" s="6">
        <v>9.25</v>
      </c>
      <c r="Z597" s="6">
        <v>9.25</v>
      </c>
      <c r="AA597" s="6">
        <v>3.84</v>
      </c>
      <c r="AB597" s="2" t="s">
        <v>86</v>
      </c>
      <c r="AC597" s="2"/>
    </row>
    <row r="598" spans="1:29" ht="156" x14ac:dyDescent="0.15">
      <c r="A598" s="3">
        <f>DATE(1991,8,2)</f>
        <v>33452</v>
      </c>
      <c r="B598" s="2"/>
      <c r="C598" s="2" t="s">
        <v>82</v>
      </c>
      <c r="D598" s="2" t="s">
        <v>2186</v>
      </c>
      <c r="E598" s="2" t="s">
        <v>2187</v>
      </c>
      <c r="F598" s="4">
        <v>3677</v>
      </c>
      <c r="G598" s="2" t="s">
        <v>137</v>
      </c>
      <c r="H598" s="2" t="s">
        <v>34</v>
      </c>
      <c r="I598" s="2" t="s">
        <v>2188</v>
      </c>
      <c r="J598" s="2" t="s">
        <v>2189</v>
      </c>
      <c r="K598" s="2" t="s">
        <v>226</v>
      </c>
      <c r="L598" s="2" t="s">
        <v>34</v>
      </c>
      <c r="M598" s="2"/>
      <c r="N598" s="5">
        <v>6.5</v>
      </c>
      <c r="O598" s="9">
        <v>6.3125</v>
      </c>
      <c r="P598" s="2" t="s">
        <v>2190</v>
      </c>
      <c r="Q598" s="2"/>
      <c r="R598" s="6">
        <v>5</v>
      </c>
      <c r="S598" s="5">
        <v>0.3</v>
      </c>
      <c r="T598" s="2"/>
      <c r="U598" s="2"/>
      <c r="V598" s="2"/>
      <c r="W598" s="2"/>
      <c r="X598" s="7">
        <v>2.375</v>
      </c>
      <c r="Y598" s="7">
        <v>2.875</v>
      </c>
      <c r="Z598" s="5">
        <v>3.5</v>
      </c>
      <c r="AA598" s="6">
        <v>2.58</v>
      </c>
      <c r="AB598" s="7">
        <v>23.504000000000001</v>
      </c>
      <c r="AC598" s="2"/>
    </row>
    <row r="599" spans="1:29" ht="91" x14ac:dyDescent="0.15">
      <c r="A599" s="3">
        <f>DATE(1991,8,5)</f>
        <v>33455</v>
      </c>
      <c r="B599" s="3">
        <f>DATE(1992,10,8)</f>
        <v>33885</v>
      </c>
      <c r="C599" s="2" t="s">
        <v>95</v>
      </c>
      <c r="D599" s="2" t="s">
        <v>2191</v>
      </c>
      <c r="E599" s="2" t="s">
        <v>1821</v>
      </c>
      <c r="F599" s="4">
        <v>5311</v>
      </c>
      <c r="G599" s="2" t="s">
        <v>756</v>
      </c>
      <c r="H599" s="2" t="s">
        <v>34</v>
      </c>
      <c r="I599" s="2" t="s">
        <v>1526</v>
      </c>
      <c r="J599" s="2" t="s">
        <v>302</v>
      </c>
      <c r="K599" s="2" t="s">
        <v>53</v>
      </c>
      <c r="L599" s="2" t="s">
        <v>34</v>
      </c>
      <c r="M599" s="2"/>
      <c r="N599" s="2"/>
      <c r="O599" s="2"/>
      <c r="P599" s="2" t="s">
        <v>2192</v>
      </c>
      <c r="Q599" s="6">
        <v>71.73</v>
      </c>
      <c r="R599" s="2"/>
      <c r="S599" s="5">
        <v>-78.3</v>
      </c>
      <c r="T599" s="7">
        <v>166.08699999999999</v>
      </c>
      <c r="U599" s="5">
        <v>-9</v>
      </c>
      <c r="V599" s="6">
        <v>-2.72</v>
      </c>
      <c r="W599" s="6">
        <v>1.75</v>
      </c>
      <c r="X599" s="6">
        <v>1.75</v>
      </c>
      <c r="Y599" s="7">
        <v>1.625</v>
      </c>
      <c r="Z599" s="6">
        <v>1.75</v>
      </c>
      <c r="AA599" s="6">
        <v>33.049999999999997</v>
      </c>
      <c r="AB599" s="2" t="s">
        <v>47</v>
      </c>
      <c r="AC599" s="2"/>
    </row>
    <row r="600" spans="1:29" ht="104" x14ac:dyDescent="0.15">
      <c r="A600" s="3">
        <f>DATE(1991,8,5)</f>
        <v>33455</v>
      </c>
      <c r="B600" s="2"/>
      <c r="C600" s="2" t="s">
        <v>87</v>
      </c>
      <c r="D600" s="2" t="s">
        <v>2025</v>
      </c>
      <c r="E600" s="2" t="s">
        <v>2026</v>
      </c>
      <c r="F600" s="4">
        <v>7822</v>
      </c>
      <c r="G600" s="2" t="s">
        <v>42</v>
      </c>
      <c r="H600" s="2" t="s">
        <v>34</v>
      </c>
      <c r="I600" s="2" t="s">
        <v>2027</v>
      </c>
      <c r="J600" s="2" t="s">
        <v>2028</v>
      </c>
      <c r="K600" s="2" t="s">
        <v>42</v>
      </c>
      <c r="L600" s="2" t="s">
        <v>34</v>
      </c>
      <c r="M600" s="2"/>
      <c r="N600" s="6">
        <v>7.75</v>
      </c>
      <c r="O600" s="6">
        <v>7.75</v>
      </c>
      <c r="P600" s="2" t="s">
        <v>2193</v>
      </c>
      <c r="Q600" s="2"/>
      <c r="R600" s="2"/>
      <c r="S600" s="5">
        <v>24.5</v>
      </c>
      <c r="T600" s="2"/>
      <c r="U600" s="2"/>
      <c r="V600" s="2"/>
      <c r="W600" s="4">
        <v>15</v>
      </c>
      <c r="X600" s="6">
        <v>14.75</v>
      </c>
      <c r="Y600" s="7">
        <v>14.625</v>
      </c>
      <c r="Z600" s="6">
        <v>14.75</v>
      </c>
      <c r="AA600" s="6">
        <v>11.53</v>
      </c>
      <c r="AB600" s="2" t="s">
        <v>47</v>
      </c>
      <c r="AC600" s="6">
        <v>12.55</v>
      </c>
    </row>
    <row r="601" spans="1:29" ht="65" x14ac:dyDescent="0.15">
      <c r="A601" s="3">
        <f>DATE(1991,8,5)</f>
        <v>33455</v>
      </c>
      <c r="B601" s="2"/>
      <c r="C601" s="2" t="s">
        <v>56</v>
      </c>
      <c r="D601" s="2" t="s">
        <v>2194</v>
      </c>
      <c r="E601" s="2" t="s">
        <v>2195</v>
      </c>
      <c r="F601" s="4">
        <v>5065</v>
      </c>
      <c r="G601" s="2" t="s">
        <v>76</v>
      </c>
      <c r="H601" s="2" t="s">
        <v>34</v>
      </c>
      <c r="I601" s="2" t="s">
        <v>2196</v>
      </c>
      <c r="J601" s="2" t="s">
        <v>2197</v>
      </c>
      <c r="K601" s="2" t="s">
        <v>50</v>
      </c>
      <c r="L601" s="2" t="s">
        <v>34</v>
      </c>
      <c r="M601" s="2"/>
      <c r="N601" s="6">
        <v>8.25</v>
      </c>
      <c r="O601" s="6">
        <v>8.75</v>
      </c>
      <c r="P601" s="2" t="s">
        <v>2198</v>
      </c>
      <c r="Q601" s="2"/>
      <c r="R601" s="2"/>
      <c r="S601" s="5">
        <v>0.8</v>
      </c>
      <c r="T601" s="7">
        <v>3.8969999999999998</v>
      </c>
      <c r="U601" s="5">
        <v>2.8</v>
      </c>
      <c r="V601" s="9">
        <v>0.17230000000000001</v>
      </c>
      <c r="W601" s="7">
        <v>2.375</v>
      </c>
      <c r="X601" s="5">
        <v>2.5</v>
      </c>
      <c r="Y601" s="6">
        <v>3.25</v>
      </c>
      <c r="Z601" s="7">
        <v>2.875</v>
      </c>
      <c r="AA601" s="6">
        <v>4.0599999999999996</v>
      </c>
      <c r="AB601" s="2" t="s">
        <v>47</v>
      </c>
      <c r="AC601" s="2"/>
    </row>
    <row r="602" spans="1:29" ht="156" x14ac:dyDescent="0.15">
      <c r="A602" s="3">
        <f>DATE(1991,8,5)</f>
        <v>33455</v>
      </c>
      <c r="B602" s="3">
        <f>DATE(1992,12,31)</f>
        <v>33969</v>
      </c>
      <c r="C602" s="2" t="s">
        <v>95</v>
      </c>
      <c r="D602" s="2" t="s">
        <v>2199</v>
      </c>
      <c r="E602" s="2" t="s">
        <v>2200</v>
      </c>
      <c r="F602" s="4">
        <v>2321</v>
      </c>
      <c r="G602" s="2" t="s">
        <v>708</v>
      </c>
      <c r="H602" s="2" t="s">
        <v>34</v>
      </c>
      <c r="I602" s="2" t="s">
        <v>1526</v>
      </c>
      <c r="J602" s="2" t="s">
        <v>302</v>
      </c>
      <c r="K602" s="2" t="s">
        <v>53</v>
      </c>
      <c r="L602" s="2" t="s">
        <v>34</v>
      </c>
      <c r="M602" s="2"/>
      <c r="N602" s="2"/>
      <c r="O602" s="2"/>
      <c r="P602" s="2" t="s">
        <v>2201</v>
      </c>
      <c r="Q602" s="6">
        <v>95</v>
      </c>
      <c r="R602" s="2"/>
      <c r="S602" s="5">
        <v>-47.8</v>
      </c>
      <c r="T602" s="7">
        <v>200.94900000000001</v>
      </c>
      <c r="U602" s="5">
        <v>40</v>
      </c>
      <c r="V602" s="6">
        <v>-1.62</v>
      </c>
      <c r="W602" s="6">
        <v>33.25</v>
      </c>
      <c r="X602" s="5">
        <v>31.5</v>
      </c>
      <c r="Y602" s="5">
        <v>31.5</v>
      </c>
      <c r="Z602" s="5">
        <v>27.5</v>
      </c>
      <c r="AA602" s="2"/>
      <c r="AB602" s="2" t="s">
        <v>47</v>
      </c>
      <c r="AC602" s="2"/>
    </row>
    <row r="603" spans="1:29" ht="143" x14ac:dyDescent="0.15">
      <c r="A603" s="3">
        <f>DATE(1991,8,5)</f>
        <v>33455</v>
      </c>
      <c r="B603" s="3">
        <f>DATE(1991,11,26)</f>
        <v>33568</v>
      </c>
      <c r="C603" s="2" t="s">
        <v>95</v>
      </c>
      <c r="D603" s="2" t="s">
        <v>2202</v>
      </c>
      <c r="E603" s="2" t="s">
        <v>2203</v>
      </c>
      <c r="F603" s="4">
        <v>5045</v>
      </c>
      <c r="G603" s="2" t="s">
        <v>76</v>
      </c>
      <c r="H603" s="2" t="s">
        <v>34</v>
      </c>
      <c r="I603" s="2" t="s">
        <v>2204</v>
      </c>
      <c r="J603" s="2" t="s">
        <v>2205</v>
      </c>
      <c r="K603" s="2" t="s">
        <v>50</v>
      </c>
      <c r="L603" s="2" t="s">
        <v>34</v>
      </c>
      <c r="M603" s="12">
        <v>1532.789</v>
      </c>
      <c r="N603" s="7">
        <v>47.125</v>
      </c>
      <c r="O603" s="7">
        <v>47.625</v>
      </c>
      <c r="P603" s="2" t="s">
        <v>2206</v>
      </c>
      <c r="Q603" s="6">
        <v>100</v>
      </c>
      <c r="R603" s="6">
        <v>13.38</v>
      </c>
      <c r="S603" s="5">
        <v>16.5</v>
      </c>
      <c r="T603" s="7">
        <v>38.238</v>
      </c>
      <c r="U603" s="5">
        <v>8.5</v>
      </c>
      <c r="V603" s="6">
        <v>1.38</v>
      </c>
      <c r="W603" s="4">
        <v>6</v>
      </c>
      <c r="X603" s="5">
        <v>8.5</v>
      </c>
      <c r="Y603" s="7">
        <v>8.375</v>
      </c>
      <c r="Z603" s="6">
        <v>7.25</v>
      </c>
      <c r="AA603" s="6">
        <v>12.1</v>
      </c>
      <c r="AB603" s="7">
        <v>11.103999999999999</v>
      </c>
      <c r="AC603" s="6">
        <v>63.83</v>
      </c>
    </row>
    <row r="604" spans="1:29" ht="104" x14ac:dyDescent="0.15">
      <c r="A604" s="3">
        <f>DATE(1991,8,7)</f>
        <v>33457</v>
      </c>
      <c r="B604" s="3">
        <f>DATE(1991,11,4)</f>
        <v>33546</v>
      </c>
      <c r="C604" s="2" t="s">
        <v>95</v>
      </c>
      <c r="D604" s="2" t="s">
        <v>2207</v>
      </c>
      <c r="E604" s="2" t="s">
        <v>2208</v>
      </c>
      <c r="F604" s="4">
        <v>3679</v>
      </c>
      <c r="G604" s="2" t="s">
        <v>137</v>
      </c>
      <c r="H604" s="2" t="s">
        <v>34</v>
      </c>
      <c r="I604" s="2" t="s">
        <v>2209</v>
      </c>
      <c r="J604" s="2" t="s">
        <v>2210</v>
      </c>
      <c r="K604" s="2" t="s">
        <v>50</v>
      </c>
      <c r="L604" s="2" t="s">
        <v>34</v>
      </c>
      <c r="M604" s="2"/>
      <c r="N604" s="7">
        <v>54.375</v>
      </c>
      <c r="O604" s="7">
        <v>53.125</v>
      </c>
      <c r="P604" s="2" t="s">
        <v>2211</v>
      </c>
      <c r="Q604" s="6">
        <v>100</v>
      </c>
      <c r="R604" s="6">
        <v>4.5999999999999996</v>
      </c>
      <c r="S604" s="5">
        <v>-2.7</v>
      </c>
      <c r="T604" s="7">
        <v>13.412000000000001</v>
      </c>
      <c r="U604" s="5">
        <v>5.0999999999999996</v>
      </c>
      <c r="V604" s="6">
        <v>-0.15</v>
      </c>
      <c r="W604" s="7">
        <v>1.875</v>
      </c>
      <c r="X604" s="6">
        <v>2.25</v>
      </c>
      <c r="Y604" s="6">
        <v>2.25</v>
      </c>
      <c r="Z604" s="7">
        <v>4.4379999999999997</v>
      </c>
      <c r="AA604" s="6">
        <v>18.16</v>
      </c>
      <c r="AB604" s="2" t="s">
        <v>86</v>
      </c>
      <c r="AC604" s="8">
        <v>1077</v>
      </c>
    </row>
    <row r="605" spans="1:29" ht="65" x14ac:dyDescent="0.15">
      <c r="A605" s="3">
        <f>DATE(1991,8,8)</f>
        <v>33458</v>
      </c>
      <c r="B605" s="2"/>
      <c r="C605" s="2" t="s">
        <v>189</v>
      </c>
      <c r="D605" s="2" t="s">
        <v>2212</v>
      </c>
      <c r="E605" s="2" t="s">
        <v>2213</v>
      </c>
      <c r="F605" s="4">
        <v>3724</v>
      </c>
      <c r="G605" s="2" t="s">
        <v>219</v>
      </c>
      <c r="H605" s="2" t="s">
        <v>34</v>
      </c>
      <c r="I605" s="2" t="s">
        <v>143</v>
      </c>
      <c r="J605" s="2" t="s">
        <v>144</v>
      </c>
      <c r="K605" s="2" t="s">
        <v>53</v>
      </c>
      <c r="L605" s="2" t="s">
        <v>139</v>
      </c>
      <c r="M605" s="2"/>
      <c r="N605" s="2"/>
      <c r="O605" s="2"/>
      <c r="P605" s="2" t="s">
        <v>2214</v>
      </c>
      <c r="Q605" s="2"/>
      <c r="R605" s="2"/>
      <c r="S605" s="5">
        <v>0.8</v>
      </c>
      <c r="T605" s="2"/>
      <c r="U605" s="5">
        <v>2</v>
      </c>
      <c r="V605" s="2"/>
      <c r="W605" s="5">
        <v>2.5</v>
      </c>
      <c r="X605" s="5">
        <v>2.5</v>
      </c>
      <c r="Y605" s="5">
        <v>2.5</v>
      </c>
      <c r="Z605" s="7">
        <v>2.4380000000000002</v>
      </c>
      <c r="AA605" s="2"/>
      <c r="AB605" s="2" t="s">
        <v>47</v>
      </c>
      <c r="AC605" s="2"/>
    </row>
    <row r="606" spans="1:29" ht="143" x14ac:dyDescent="0.15">
      <c r="A606" s="3">
        <f>DATE(1991,8,8)</f>
        <v>33458</v>
      </c>
      <c r="B606" s="2"/>
      <c r="C606" s="2" t="s">
        <v>30</v>
      </c>
      <c r="D606" s="2" t="s">
        <v>2215</v>
      </c>
      <c r="E606" s="2" t="s">
        <v>36</v>
      </c>
      <c r="F606" s="4">
        <v>6021</v>
      </c>
      <c r="G606" s="2" t="s">
        <v>37</v>
      </c>
      <c r="H606" s="2" t="s">
        <v>34</v>
      </c>
      <c r="I606" s="2" t="s">
        <v>2216</v>
      </c>
      <c r="J606" s="2" t="s">
        <v>36</v>
      </c>
      <c r="K606" s="2" t="s">
        <v>37</v>
      </c>
      <c r="L606" s="2" t="s">
        <v>34</v>
      </c>
      <c r="M606" s="2"/>
      <c r="N606" s="7">
        <v>24.875</v>
      </c>
      <c r="O606" s="6">
        <v>25.25</v>
      </c>
      <c r="P606" s="2" t="s">
        <v>2217</v>
      </c>
      <c r="Q606" s="2"/>
      <c r="R606" s="2"/>
      <c r="S606" s="5">
        <v>-6.3</v>
      </c>
      <c r="T606" s="7">
        <v>-4.5410000000000004</v>
      </c>
      <c r="U606" s="5">
        <v>19.5</v>
      </c>
      <c r="V606" s="9">
        <v>-2.5041000000000002</v>
      </c>
      <c r="W606" s="5">
        <v>15.5</v>
      </c>
      <c r="X606" s="5">
        <v>20.5</v>
      </c>
      <c r="Y606" s="6">
        <v>20.75</v>
      </c>
      <c r="Z606" s="4">
        <v>20</v>
      </c>
      <c r="AA606" s="2"/>
      <c r="AB606" s="2" t="s">
        <v>86</v>
      </c>
      <c r="AC606" s="2"/>
    </row>
    <row r="607" spans="1:29" ht="156" x14ac:dyDescent="0.15">
      <c r="A607" s="3">
        <f>DATE(1991,8,9)</f>
        <v>33459</v>
      </c>
      <c r="B607" s="3">
        <f>DATE(1991,12,31)</f>
        <v>33603</v>
      </c>
      <c r="C607" s="2" t="s">
        <v>95</v>
      </c>
      <c r="D607" s="2" t="s">
        <v>2218</v>
      </c>
      <c r="E607" s="2" t="s">
        <v>2219</v>
      </c>
      <c r="F607" s="4">
        <v>7335</v>
      </c>
      <c r="G607" s="2" t="s">
        <v>223</v>
      </c>
      <c r="H607" s="2" t="s">
        <v>34</v>
      </c>
      <c r="I607" s="2" t="s">
        <v>2220</v>
      </c>
      <c r="J607" s="2" t="s">
        <v>2221</v>
      </c>
      <c r="K607" s="2" t="s">
        <v>226</v>
      </c>
      <c r="L607" s="2" t="s">
        <v>34</v>
      </c>
      <c r="M607" s="2"/>
      <c r="N607" s="7">
        <v>40.625</v>
      </c>
      <c r="O607" s="5">
        <v>42.5</v>
      </c>
      <c r="P607" s="2" t="s">
        <v>2222</v>
      </c>
      <c r="Q607" s="6">
        <v>100</v>
      </c>
      <c r="R607" s="6">
        <v>6.75</v>
      </c>
      <c r="S607" s="5">
        <v>-2.7</v>
      </c>
      <c r="T607" s="2"/>
      <c r="U607" s="5">
        <v>3.2</v>
      </c>
      <c r="V607" s="6">
        <v>-0.72</v>
      </c>
      <c r="W607" s="7">
        <v>2.375</v>
      </c>
      <c r="X607" s="7">
        <v>2.6880000000000002</v>
      </c>
      <c r="Y607" s="6">
        <v>3.75</v>
      </c>
      <c r="Z607" s="6">
        <v>4.75</v>
      </c>
      <c r="AA607" s="6">
        <v>3.69</v>
      </c>
      <c r="AB607" s="2" t="s">
        <v>86</v>
      </c>
      <c r="AC607" s="5">
        <v>916</v>
      </c>
    </row>
    <row r="608" spans="1:29" ht="182" x14ac:dyDescent="0.15">
      <c r="A608" s="3">
        <f>DATE(1991,8,9)</f>
        <v>33459</v>
      </c>
      <c r="B608" s="2"/>
      <c r="C608" s="2" t="s">
        <v>30</v>
      </c>
      <c r="D608" s="2" t="s">
        <v>1307</v>
      </c>
      <c r="E608" s="2" t="s">
        <v>58</v>
      </c>
      <c r="F608" s="4">
        <v>4512</v>
      </c>
      <c r="G608" s="2" t="s">
        <v>59</v>
      </c>
      <c r="H608" s="2" t="s">
        <v>34</v>
      </c>
      <c r="I608" s="2" t="s">
        <v>1526</v>
      </c>
      <c r="J608" s="2" t="s">
        <v>302</v>
      </c>
      <c r="K608" s="2" t="s">
        <v>53</v>
      </c>
      <c r="L608" s="2" t="s">
        <v>34</v>
      </c>
      <c r="M608" s="2"/>
      <c r="N608" s="2"/>
      <c r="O608" s="2"/>
      <c r="P608" s="2" t="s">
        <v>2223</v>
      </c>
      <c r="Q608" s="2"/>
      <c r="R608" s="2"/>
      <c r="S608" s="5">
        <v>-662.9</v>
      </c>
      <c r="T608" s="7">
        <v>-234.48699999999999</v>
      </c>
      <c r="U608" s="5">
        <v>-8</v>
      </c>
      <c r="V608" s="6">
        <v>-4.3600000000000003</v>
      </c>
      <c r="W608" s="7">
        <v>1.625</v>
      </c>
      <c r="X608" s="7">
        <v>1.625</v>
      </c>
      <c r="Y608" s="7">
        <v>1.625</v>
      </c>
      <c r="Z608" s="7">
        <v>1.625</v>
      </c>
      <c r="AA608" s="2"/>
      <c r="AB608" s="2" t="s">
        <v>86</v>
      </c>
      <c r="AC608" s="2"/>
    </row>
    <row r="609" spans="1:29" ht="143" x14ac:dyDescent="0.15">
      <c r="A609" s="3">
        <f>DATE(1991,8,12)</f>
        <v>33462</v>
      </c>
      <c r="B609" s="3">
        <f>DATE(1992,4,22)</f>
        <v>33716</v>
      </c>
      <c r="C609" s="2" t="s">
        <v>95</v>
      </c>
      <c r="D609" s="2" t="s">
        <v>1639</v>
      </c>
      <c r="E609" s="2" t="s">
        <v>36</v>
      </c>
      <c r="F609" s="4">
        <v>6021</v>
      </c>
      <c r="G609" s="2" t="s">
        <v>37</v>
      </c>
      <c r="H609" s="2" t="s">
        <v>34</v>
      </c>
      <c r="I609" s="2" t="s">
        <v>1610</v>
      </c>
      <c r="J609" s="2" t="s">
        <v>36</v>
      </c>
      <c r="K609" s="2" t="s">
        <v>37</v>
      </c>
      <c r="L609" s="2" t="s">
        <v>34</v>
      </c>
      <c r="M609" s="12">
        <v>8162.5230000000001</v>
      </c>
      <c r="N609" s="4">
        <v>40</v>
      </c>
      <c r="O609" s="7">
        <v>43.375</v>
      </c>
      <c r="P609" s="2" t="s">
        <v>2224</v>
      </c>
      <c r="Q609" s="6">
        <v>100</v>
      </c>
      <c r="R609" s="6">
        <v>32.89</v>
      </c>
      <c r="S609" s="5">
        <v>161.30000000000001</v>
      </c>
      <c r="T609" s="5">
        <v>621.5</v>
      </c>
      <c r="U609" s="5">
        <v>32.700000000000003</v>
      </c>
      <c r="V609" s="6">
        <v>1.03</v>
      </c>
      <c r="W609" s="7">
        <v>22.625</v>
      </c>
      <c r="X609" s="4">
        <v>23</v>
      </c>
      <c r="Y609" s="7">
        <v>32.125</v>
      </c>
      <c r="Z609" s="7">
        <v>35.625</v>
      </c>
      <c r="AA609" s="6">
        <v>128.09</v>
      </c>
      <c r="AB609" s="7">
        <v>47.319000000000003</v>
      </c>
      <c r="AC609" s="2"/>
    </row>
    <row r="610" spans="1:29" ht="130" x14ac:dyDescent="0.15">
      <c r="A610" s="3">
        <f>DATE(1991,8,13)</f>
        <v>33463</v>
      </c>
      <c r="B610" s="3">
        <f>DATE(1991,10,4)</f>
        <v>33515</v>
      </c>
      <c r="C610" s="2" t="s">
        <v>95</v>
      </c>
      <c r="D610" s="2" t="s">
        <v>2225</v>
      </c>
      <c r="E610" s="2" t="s">
        <v>2226</v>
      </c>
      <c r="F610" s="4">
        <v>3357</v>
      </c>
      <c r="G610" s="2" t="s">
        <v>163</v>
      </c>
      <c r="H610" s="2" t="s">
        <v>34</v>
      </c>
      <c r="I610" s="2" t="s">
        <v>51</v>
      </c>
      <c r="J610" s="2" t="s">
        <v>52</v>
      </c>
      <c r="K610" s="2" t="s">
        <v>53</v>
      </c>
      <c r="L610" s="2" t="s">
        <v>34</v>
      </c>
      <c r="M610" s="2"/>
      <c r="N610" s="2"/>
      <c r="O610" s="2"/>
      <c r="P610" s="2" t="s">
        <v>2227</v>
      </c>
      <c r="Q610" s="6">
        <v>11</v>
      </c>
      <c r="R610" s="2"/>
      <c r="S610" s="5">
        <v>89.7</v>
      </c>
      <c r="T610" s="2"/>
      <c r="U610" s="2"/>
      <c r="V610" s="2"/>
      <c r="W610" s="7">
        <v>25.125</v>
      </c>
      <c r="X610" s="6">
        <v>24.25</v>
      </c>
      <c r="Y610" s="6">
        <v>24.75</v>
      </c>
      <c r="Z610" s="4">
        <v>24</v>
      </c>
      <c r="AA610" s="6">
        <v>46.39</v>
      </c>
      <c r="AB610" s="2" t="s">
        <v>47</v>
      </c>
      <c r="AC610" s="2"/>
    </row>
    <row r="611" spans="1:29" ht="130" x14ac:dyDescent="0.15">
      <c r="A611" s="3">
        <f>DATE(1991,8,14)</f>
        <v>33464</v>
      </c>
      <c r="B611" s="3">
        <f>DATE(1991,12,31)</f>
        <v>33603</v>
      </c>
      <c r="C611" s="2" t="s">
        <v>95</v>
      </c>
      <c r="D611" s="2" t="s">
        <v>2228</v>
      </c>
      <c r="E611" s="2" t="s">
        <v>2229</v>
      </c>
      <c r="F611" s="4">
        <v>2421</v>
      </c>
      <c r="G611" s="2" t="s">
        <v>250</v>
      </c>
      <c r="H611" s="2" t="s">
        <v>34</v>
      </c>
      <c r="I611" s="2" t="s">
        <v>2230</v>
      </c>
      <c r="J611" s="2" t="s">
        <v>2231</v>
      </c>
      <c r="K611" s="2" t="s">
        <v>426</v>
      </c>
      <c r="L611" s="2" t="s">
        <v>34</v>
      </c>
      <c r="M611" s="2"/>
      <c r="N611" s="5">
        <v>55.5</v>
      </c>
      <c r="O611" s="6">
        <v>55.25</v>
      </c>
      <c r="P611" s="2" t="s">
        <v>2232</v>
      </c>
      <c r="Q611" s="6">
        <v>100</v>
      </c>
      <c r="R611" s="6">
        <v>24</v>
      </c>
      <c r="S611" s="5">
        <v>-4.7</v>
      </c>
      <c r="T611" s="7">
        <v>18.292999999999999</v>
      </c>
      <c r="U611" s="5">
        <v>22.1</v>
      </c>
      <c r="V611" s="6">
        <v>-0.92</v>
      </c>
      <c r="W611" s="6">
        <v>8.75</v>
      </c>
      <c r="X611" s="6">
        <v>9.25</v>
      </c>
      <c r="Y611" s="6">
        <v>9.25</v>
      </c>
      <c r="Z611" s="4">
        <v>10</v>
      </c>
      <c r="AA611" s="6">
        <v>5.12</v>
      </c>
      <c r="AB611" s="7">
        <v>243.03200000000001</v>
      </c>
      <c r="AC611" s="6">
        <v>21.08</v>
      </c>
    </row>
    <row r="612" spans="1:29" ht="117" x14ac:dyDescent="0.15">
      <c r="A612" s="3">
        <f>DATE(1991,8,14)</f>
        <v>33464</v>
      </c>
      <c r="B612" s="2"/>
      <c r="C612" s="2" t="s">
        <v>30</v>
      </c>
      <c r="D612" s="2" t="s">
        <v>2191</v>
      </c>
      <c r="E612" s="2" t="s">
        <v>1821</v>
      </c>
      <c r="F612" s="4">
        <v>5311</v>
      </c>
      <c r="G612" s="2" t="s">
        <v>756</v>
      </c>
      <c r="H612" s="2" t="s">
        <v>34</v>
      </c>
      <c r="I612" s="2" t="s">
        <v>2233</v>
      </c>
      <c r="J612" s="2" t="s">
        <v>1821</v>
      </c>
      <c r="K612" s="2" t="s">
        <v>756</v>
      </c>
      <c r="L612" s="2" t="s">
        <v>34</v>
      </c>
      <c r="M612" s="2"/>
      <c r="N612" s="6">
        <v>129.75</v>
      </c>
      <c r="O612" s="4">
        <v>130</v>
      </c>
      <c r="P612" s="2" t="s">
        <v>2234</v>
      </c>
      <c r="Q612" s="2"/>
      <c r="R612" s="2"/>
      <c r="S612" s="5">
        <v>-78.3</v>
      </c>
      <c r="T612" s="7">
        <v>166.08699999999999</v>
      </c>
      <c r="U612" s="5">
        <v>-9</v>
      </c>
      <c r="V612" s="6">
        <v>-2.72</v>
      </c>
      <c r="W612" s="6">
        <v>1.75</v>
      </c>
      <c r="X612" s="6">
        <v>1.75</v>
      </c>
      <c r="Y612" s="7">
        <v>1.625</v>
      </c>
      <c r="Z612" s="6">
        <v>1.75</v>
      </c>
      <c r="AA612" s="2"/>
      <c r="AB612" s="2" t="s">
        <v>47</v>
      </c>
      <c r="AC612" s="2"/>
    </row>
    <row r="613" spans="1:29" ht="143" x14ac:dyDescent="0.15">
      <c r="A613" s="3">
        <f>DATE(1991,8,15)</f>
        <v>33465</v>
      </c>
      <c r="B613" s="2"/>
      <c r="C613" s="2" t="s">
        <v>30</v>
      </c>
      <c r="D613" s="2" t="s">
        <v>305</v>
      </c>
      <c r="E613" s="2" t="s">
        <v>306</v>
      </c>
      <c r="F613" s="4">
        <v>7822</v>
      </c>
      <c r="G613" s="2" t="s">
        <v>42</v>
      </c>
      <c r="H613" s="2" t="s">
        <v>34</v>
      </c>
      <c r="I613" s="2" t="s">
        <v>1558</v>
      </c>
      <c r="J613" s="2" t="s">
        <v>52</v>
      </c>
      <c r="K613" s="2" t="s">
        <v>53</v>
      </c>
      <c r="L613" s="2" t="s">
        <v>34</v>
      </c>
      <c r="M613" s="2"/>
      <c r="N613" s="2"/>
      <c r="O613" s="2"/>
      <c r="P613" s="2" t="s">
        <v>2235</v>
      </c>
      <c r="Q613" s="2"/>
      <c r="R613" s="2"/>
      <c r="S613" s="5">
        <v>-63</v>
      </c>
      <c r="T613" s="7">
        <v>437.08300000000003</v>
      </c>
      <c r="U613" s="5">
        <v>6.6</v>
      </c>
      <c r="V613" s="6">
        <v>-3.03</v>
      </c>
      <c r="W613" s="5">
        <v>3.5</v>
      </c>
      <c r="X613" s="6">
        <v>3.75</v>
      </c>
      <c r="Y613" s="7">
        <v>3.625</v>
      </c>
      <c r="Z613" s="7">
        <v>2.875</v>
      </c>
      <c r="AA613" s="2"/>
      <c r="AB613" s="2" t="s">
        <v>86</v>
      </c>
      <c r="AC613" s="2"/>
    </row>
    <row r="614" spans="1:29" ht="130" x14ac:dyDescent="0.15">
      <c r="A614" s="3">
        <f>DATE(1991,8,15)</f>
        <v>33465</v>
      </c>
      <c r="B614" s="2"/>
      <c r="C614" s="2" t="s">
        <v>87</v>
      </c>
      <c r="D614" s="2" t="s">
        <v>2236</v>
      </c>
      <c r="E614" s="2" t="s">
        <v>36</v>
      </c>
      <c r="F614" s="4">
        <v>6021</v>
      </c>
      <c r="G614" s="2" t="s">
        <v>37</v>
      </c>
      <c r="H614" s="2" t="s">
        <v>34</v>
      </c>
      <c r="I614" s="2" t="s">
        <v>1610</v>
      </c>
      <c r="J614" s="2" t="s">
        <v>36</v>
      </c>
      <c r="K614" s="2" t="s">
        <v>37</v>
      </c>
      <c r="L614" s="2" t="s">
        <v>34</v>
      </c>
      <c r="M614" s="2"/>
      <c r="N614" s="6">
        <v>42.25</v>
      </c>
      <c r="O614" s="7">
        <v>41.875</v>
      </c>
      <c r="P614" s="2" t="s">
        <v>2237</v>
      </c>
      <c r="Q614" s="2"/>
      <c r="R614" s="2"/>
      <c r="S614" s="5">
        <v>-133</v>
      </c>
      <c r="T614" s="7">
        <v>-73.570999999999998</v>
      </c>
      <c r="U614" s="5">
        <v>15.7</v>
      </c>
      <c r="V614" s="6">
        <v>-1.84</v>
      </c>
      <c r="W614" s="7">
        <v>6.375</v>
      </c>
      <c r="X614" s="7">
        <v>5.875</v>
      </c>
      <c r="Y614" s="4">
        <v>6</v>
      </c>
      <c r="Z614" s="7">
        <v>4.875</v>
      </c>
      <c r="AA614" s="2"/>
      <c r="AB614" s="2" t="s">
        <v>86</v>
      </c>
      <c r="AC614" s="2"/>
    </row>
    <row r="615" spans="1:29" ht="117" x14ac:dyDescent="0.15">
      <c r="A615" s="3">
        <f>DATE(1991,8,16)</f>
        <v>33466</v>
      </c>
      <c r="B615" s="3">
        <f>DATE(1991,12,30)</f>
        <v>33602</v>
      </c>
      <c r="C615" s="2" t="s">
        <v>95</v>
      </c>
      <c r="D615" s="2" t="s">
        <v>2238</v>
      </c>
      <c r="E615" s="2" t="s">
        <v>2239</v>
      </c>
      <c r="F615" s="4">
        <v>6324</v>
      </c>
      <c r="G615" s="2" t="s">
        <v>125</v>
      </c>
      <c r="H615" s="2" t="s">
        <v>34</v>
      </c>
      <c r="I615" s="2" t="s">
        <v>2240</v>
      </c>
      <c r="J615" s="2" t="s">
        <v>2241</v>
      </c>
      <c r="K615" s="2" t="s">
        <v>125</v>
      </c>
      <c r="L615" s="2" t="s">
        <v>34</v>
      </c>
      <c r="M615" s="7">
        <v>344.53300000000002</v>
      </c>
      <c r="N615" s="6">
        <v>24.25</v>
      </c>
      <c r="O615" s="5">
        <v>22.5</v>
      </c>
      <c r="P615" s="2" t="s">
        <v>2242</v>
      </c>
      <c r="Q615" s="6">
        <v>100</v>
      </c>
      <c r="R615" s="6">
        <v>3.3</v>
      </c>
      <c r="S615" s="5">
        <v>0.4</v>
      </c>
      <c r="T615" s="7">
        <v>0.123</v>
      </c>
      <c r="U615" s="5">
        <v>0.2</v>
      </c>
      <c r="V615" s="6">
        <v>-0.1</v>
      </c>
      <c r="W615" s="7">
        <v>2.625</v>
      </c>
      <c r="X615" s="5">
        <v>2.5</v>
      </c>
      <c r="Y615" s="5">
        <v>2.5</v>
      </c>
      <c r="Z615" s="7">
        <v>2.5630000000000002</v>
      </c>
      <c r="AA615" s="6">
        <v>4.51</v>
      </c>
      <c r="AB615" s="2" t="s">
        <v>86</v>
      </c>
      <c r="AC615" s="2"/>
    </row>
    <row r="616" spans="1:29" ht="156" x14ac:dyDescent="0.15">
      <c r="A616" s="3">
        <f>DATE(1991,8,16)</f>
        <v>33466</v>
      </c>
      <c r="B616" s="3">
        <f>DATE(1991,9,27)</f>
        <v>33508</v>
      </c>
      <c r="C616" s="2" t="s">
        <v>95</v>
      </c>
      <c r="D616" s="2" t="s">
        <v>2243</v>
      </c>
      <c r="E616" s="2" t="s">
        <v>781</v>
      </c>
      <c r="F616" s="4">
        <v>7371</v>
      </c>
      <c r="G616" s="2" t="s">
        <v>223</v>
      </c>
      <c r="H616" s="2" t="s">
        <v>34</v>
      </c>
      <c r="I616" s="2" t="s">
        <v>2244</v>
      </c>
      <c r="J616" s="2" t="s">
        <v>2245</v>
      </c>
      <c r="K616" s="2" t="s">
        <v>551</v>
      </c>
      <c r="L616" s="2" t="s">
        <v>34</v>
      </c>
      <c r="M616" s="2"/>
      <c r="N616" s="4">
        <v>9</v>
      </c>
      <c r="O616" s="5">
        <v>8.5</v>
      </c>
      <c r="P616" s="2" t="s">
        <v>2246</v>
      </c>
      <c r="Q616" s="6">
        <v>100</v>
      </c>
      <c r="R616" s="6">
        <v>15.75</v>
      </c>
      <c r="S616" s="5">
        <v>4.5999999999999996</v>
      </c>
      <c r="T616" s="7">
        <v>21.376000000000001</v>
      </c>
      <c r="U616" s="5">
        <v>5.0999999999999996</v>
      </c>
      <c r="V616" s="6">
        <v>0.79</v>
      </c>
      <c r="W616" s="5">
        <v>9.5</v>
      </c>
      <c r="X616" s="6">
        <v>10.75</v>
      </c>
      <c r="Y616" s="6">
        <v>14.75</v>
      </c>
      <c r="Z616" s="5">
        <v>14.5</v>
      </c>
      <c r="AA616" s="6">
        <v>5.72</v>
      </c>
      <c r="AB616" s="7">
        <v>12.151</v>
      </c>
      <c r="AC616" s="2"/>
    </row>
    <row r="617" spans="1:29" ht="156" x14ac:dyDescent="0.15">
      <c r="A617" s="3">
        <f>DATE(1991,8,19)</f>
        <v>33469</v>
      </c>
      <c r="B617" s="3">
        <f>DATE(1992,5,8)</f>
        <v>33732</v>
      </c>
      <c r="C617" s="2" t="s">
        <v>95</v>
      </c>
      <c r="D617" s="2" t="s">
        <v>2247</v>
      </c>
      <c r="E617" s="2" t="s">
        <v>36</v>
      </c>
      <c r="F617" s="4">
        <v>6022</v>
      </c>
      <c r="G617" s="2" t="s">
        <v>37</v>
      </c>
      <c r="H617" s="2" t="s">
        <v>34</v>
      </c>
      <c r="I617" s="2" t="s">
        <v>2248</v>
      </c>
      <c r="J617" s="2" t="s">
        <v>36</v>
      </c>
      <c r="K617" s="2" t="s">
        <v>37</v>
      </c>
      <c r="L617" s="2" t="s">
        <v>34</v>
      </c>
      <c r="M617" s="7">
        <v>248.523</v>
      </c>
      <c r="N617" s="6">
        <v>27.75</v>
      </c>
      <c r="O617" s="6">
        <v>28.25</v>
      </c>
      <c r="P617" s="2" t="s">
        <v>2249</v>
      </c>
      <c r="Q617" s="6">
        <v>100</v>
      </c>
      <c r="R617" s="6">
        <v>23.5</v>
      </c>
      <c r="S617" s="5">
        <v>3.1</v>
      </c>
      <c r="T617" s="7">
        <v>7.117</v>
      </c>
      <c r="U617" s="5">
        <v>14.5</v>
      </c>
      <c r="V617" s="6">
        <v>1.03</v>
      </c>
      <c r="W617" s="4">
        <v>16</v>
      </c>
      <c r="X617" s="5">
        <v>18.5</v>
      </c>
      <c r="Y617" s="4">
        <v>19</v>
      </c>
      <c r="Z617" s="6">
        <v>20.25</v>
      </c>
      <c r="AA617" s="6">
        <v>3.02</v>
      </c>
      <c r="AB617" s="7">
        <v>169.33</v>
      </c>
      <c r="AC617" s="2"/>
    </row>
    <row r="618" spans="1:29" ht="104" x14ac:dyDescent="0.15">
      <c r="A618" s="3">
        <f>DATE(1991,8,22)</f>
        <v>33472</v>
      </c>
      <c r="B618" s="3">
        <f>DATE(1991,8,22)</f>
        <v>33472</v>
      </c>
      <c r="C618" s="2" t="s">
        <v>95</v>
      </c>
      <c r="D618" s="2" t="s">
        <v>2250</v>
      </c>
      <c r="E618" s="2" t="s">
        <v>1011</v>
      </c>
      <c r="F618" s="4">
        <v>8062</v>
      </c>
      <c r="G618" s="2" t="s">
        <v>454</v>
      </c>
      <c r="H618" s="2" t="s">
        <v>34</v>
      </c>
      <c r="I618" s="2" t="s">
        <v>51</v>
      </c>
      <c r="J618" s="2" t="s">
        <v>52</v>
      </c>
      <c r="K618" s="2" t="s">
        <v>53</v>
      </c>
      <c r="L618" s="2" t="s">
        <v>34</v>
      </c>
      <c r="M618" s="2"/>
      <c r="N618" s="2"/>
      <c r="O618" s="2"/>
      <c r="P618" s="2" t="s">
        <v>2251</v>
      </c>
      <c r="Q618" s="6">
        <v>72.53</v>
      </c>
      <c r="R618" s="6">
        <v>9.6300000000000008</v>
      </c>
      <c r="S618" s="5">
        <v>-82.3</v>
      </c>
      <c r="T618" s="7">
        <v>471.13400000000001</v>
      </c>
      <c r="U618" s="5">
        <v>6.6</v>
      </c>
      <c r="V618" s="6">
        <v>-1.25</v>
      </c>
      <c r="W618" s="7">
        <v>9.625</v>
      </c>
      <c r="X618" s="7">
        <v>9.625</v>
      </c>
      <c r="Y618" s="7">
        <v>9.625</v>
      </c>
      <c r="Z618" s="7">
        <v>9.625</v>
      </c>
      <c r="AA618" s="6">
        <v>12.96</v>
      </c>
      <c r="AB618" s="7">
        <v>9.0009999999999994</v>
      </c>
      <c r="AC618" s="2"/>
    </row>
    <row r="619" spans="1:29" ht="104" x14ac:dyDescent="0.15">
      <c r="A619" s="3">
        <f>DATE(1991,8,22)</f>
        <v>33472</v>
      </c>
      <c r="B619" s="2"/>
      <c r="C619" s="2" t="s">
        <v>30</v>
      </c>
      <c r="D619" s="2" t="s">
        <v>2252</v>
      </c>
      <c r="E619" s="2" t="s">
        <v>36</v>
      </c>
      <c r="F619" s="4">
        <v>6022</v>
      </c>
      <c r="G619" s="2" t="s">
        <v>37</v>
      </c>
      <c r="H619" s="2" t="s">
        <v>34</v>
      </c>
      <c r="I619" s="2" t="s">
        <v>2253</v>
      </c>
      <c r="J619" s="2" t="s">
        <v>159</v>
      </c>
      <c r="K619" s="2" t="s">
        <v>37</v>
      </c>
      <c r="L619" s="2" t="s">
        <v>34</v>
      </c>
      <c r="M619" s="7">
        <v>60.091999999999999</v>
      </c>
      <c r="N619" s="5">
        <v>11.5</v>
      </c>
      <c r="O619" s="5">
        <v>11.5</v>
      </c>
      <c r="P619" s="2" t="s">
        <v>2254</v>
      </c>
      <c r="Q619" s="2"/>
      <c r="R619" s="6">
        <v>11.7</v>
      </c>
      <c r="S619" s="5">
        <v>3.6</v>
      </c>
      <c r="T619" s="6">
        <v>6.24</v>
      </c>
      <c r="U619" s="5">
        <v>6</v>
      </c>
      <c r="V619" s="6">
        <v>1.19</v>
      </c>
      <c r="W619" s="7">
        <v>7.375</v>
      </c>
      <c r="X619" s="7">
        <v>7.125</v>
      </c>
      <c r="Y619" s="5">
        <v>7.5</v>
      </c>
      <c r="Z619" s="6">
        <v>9.25</v>
      </c>
      <c r="AA619" s="6">
        <v>3.24</v>
      </c>
      <c r="AB619" s="7">
        <v>40.110999999999997</v>
      </c>
      <c r="AC619" s="2"/>
    </row>
    <row r="620" spans="1:29" ht="130" x14ac:dyDescent="0.15">
      <c r="A620" s="3">
        <f>DATE(1991,8,23)</f>
        <v>33473</v>
      </c>
      <c r="B620" s="2"/>
      <c r="C620" s="2" t="s">
        <v>141</v>
      </c>
      <c r="D620" s="2" t="s">
        <v>2255</v>
      </c>
      <c r="E620" s="2" t="s">
        <v>32</v>
      </c>
      <c r="F620" s="4">
        <v>6035</v>
      </c>
      <c r="G620" s="2" t="s">
        <v>33</v>
      </c>
      <c r="H620" s="2" t="s">
        <v>34</v>
      </c>
      <c r="I620" s="2" t="s">
        <v>143</v>
      </c>
      <c r="J620" s="2" t="s">
        <v>144</v>
      </c>
      <c r="K620" s="2" t="s">
        <v>53</v>
      </c>
      <c r="L620" s="2" t="s">
        <v>139</v>
      </c>
      <c r="M620" s="2"/>
      <c r="N620" s="2"/>
      <c r="O620" s="2"/>
      <c r="P620" s="2" t="s">
        <v>2256</v>
      </c>
      <c r="Q620" s="2"/>
      <c r="R620" s="2"/>
      <c r="S620" s="5">
        <v>3.8</v>
      </c>
      <c r="T620" s="2"/>
      <c r="U620" s="5">
        <v>20.8</v>
      </c>
      <c r="V620" s="2"/>
      <c r="W620" s="6">
        <v>11.25</v>
      </c>
      <c r="X620" s="7">
        <v>11.125</v>
      </c>
      <c r="Y620" s="7">
        <v>11.125</v>
      </c>
      <c r="Z620" s="6">
        <v>11.25</v>
      </c>
      <c r="AA620" s="2"/>
      <c r="AB620" s="2" t="s">
        <v>47</v>
      </c>
      <c r="AC620" s="2"/>
    </row>
    <row r="621" spans="1:29" ht="26" x14ac:dyDescent="0.15">
      <c r="A621" s="3">
        <f>DATE(1991,8,26)</f>
        <v>33476</v>
      </c>
      <c r="B621" s="2"/>
      <c r="C621" s="2" t="s">
        <v>30</v>
      </c>
      <c r="D621" s="2" t="s">
        <v>2257</v>
      </c>
      <c r="E621" s="2" t="s">
        <v>36</v>
      </c>
      <c r="F621" s="4">
        <v>6021</v>
      </c>
      <c r="G621" s="2" t="s">
        <v>37</v>
      </c>
      <c r="H621" s="2" t="s">
        <v>34</v>
      </c>
      <c r="I621" s="2" t="s">
        <v>138</v>
      </c>
      <c r="J621" s="2" t="s">
        <v>139</v>
      </c>
      <c r="K621" s="2" t="s">
        <v>53</v>
      </c>
      <c r="L621" s="2" t="s">
        <v>139</v>
      </c>
      <c r="M621" s="2"/>
      <c r="N621" s="2"/>
      <c r="O621" s="2"/>
      <c r="P621" s="2" t="s">
        <v>2258</v>
      </c>
      <c r="Q621" s="2"/>
      <c r="R621" s="2"/>
      <c r="S621" s="5">
        <v>22</v>
      </c>
      <c r="T621" s="7">
        <v>38.451000000000001</v>
      </c>
      <c r="U621" s="5">
        <v>10.4</v>
      </c>
      <c r="V621" s="7">
        <v>0.94399999999999995</v>
      </c>
      <c r="W621" s="6">
        <v>27.25</v>
      </c>
      <c r="X621" s="6">
        <v>29.75</v>
      </c>
      <c r="Y621" s="6">
        <v>29.75</v>
      </c>
      <c r="Z621" s="6">
        <v>28.75</v>
      </c>
      <c r="AA621" s="2"/>
      <c r="AB621" s="2" t="s">
        <v>47</v>
      </c>
      <c r="AC621" s="2"/>
    </row>
    <row r="622" spans="1:29" ht="104" x14ac:dyDescent="0.15">
      <c r="A622" s="3">
        <f>DATE(1991,8,27)</f>
        <v>33477</v>
      </c>
      <c r="B622" s="2"/>
      <c r="C622" s="2" t="s">
        <v>56</v>
      </c>
      <c r="D622" s="2" t="s">
        <v>2259</v>
      </c>
      <c r="E622" s="2" t="s">
        <v>367</v>
      </c>
      <c r="F622" s="4">
        <v>6211</v>
      </c>
      <c r="G622" s="2" t="s">
        <v>53</v>
      </c>
      <c r="H622" s="2" t="s">
        <v>34</v>
      </c>
      <c r="I622" s="2" t="s">
        <v>51</v>
      </c>
      <c r="J622" s="2" t="s">
        <v>52</v>
      </c>
      <c r="K622" s="2" t="s">
        <v>53</v>
      </c>
      <c r="L622" s="2" t="s">
        <v>34</v>
      </c>
      <c r="M622" s="2"/>
      <c r="N622" s="2"/>
      <c r="O622" s="2"/>
      <c r="P622" s="2" t="s">
        <v>2260</v>
      </c>
      <c r="Q622" s="2"/>
      <c r="R622" s="2"/>
      <c r="S622" s="5">
        <v>3.9</v>
      </c>
      <c r="T622" s="7">
        <v>4.2039999999999997</v>
      </c>
      <c r="U622" s="5">
        <v>14.3</v>
      </c>
      <c r="V622" s="6">
        <v>0.48</v>
      </c>
      <c r="W622" s="7">
        <v>11.375</v>
      </c>
      <c r="X622" s="6">
        <v>11.25</v>
      </c>
      <c r="Y622" s="4">
        <v>12</v>
      </c>
      <c r="Z622" s="7">
        <v>12.875</v>
      </c>
      <c r="AA622" s="6">
        <v>8.1300000000000008</v>
      </c>
      <c r="AB622" s="2" t="s">
        <v>47</v>
      </c>
      <c r="AC622" s="2"/>
    </row>
    <row r="623" spans="1:29" ht="143" x14ac:dyDescent="0.15">
      <c r="A623" s="3">
        <f>DATE(1991,8,27)</f>
        <v>33477</v>
      </c>
      <c r="B623" s="3">
        <f>DATE(1992,12,30)</f>
        <v>33968</v>
      </c>
      <c r="C623" s="2" t="s">
        <v>95</v>
      </c>
      <c r="D623" s="2" t="s">
        <v>2261</v>
      </c>
      <c r="E623" s="2" t="s">
        <v>2262</v>
      </c>
      <c r="F623" s="4">
        <v>4833</v>
      </c>
      <c r="G623" s="2" t="s">
        <v>45</v>
      </c>
      <c r="H623" s="2" t="s">
        <v>34</v>
      </c>
      <c r="I623" s="2" t="s">
        <v>1558</v>
      </c>
      <c r="J623" s="2" t="s">
        <v>52</v>
      </c>
      <c r="K623" s="2" t="s">
        <v>53</v>
      </c>
      <c r="L623" s="2" t="s">
        <v>34</v>
      </c>
      <c r="M623" s="2"/>
      <c r="N623" s="2"/>
      <c r="O623" s="2"/>
      <c r="P623" s="2" t="s">
        <v>2263</v>
      </c>
      <c r="Q623" s="6">
        <v>94.5</v>
      </c>
      <c r="R623" s="2"/>
      <c r="S623" s="5">
        <v>-72.400000000000006</v>
      </c>
      <c r="T623" s="7">
        <v>5.8150000000000004</v>
      </c>
      <c r="U623" s="5">
        <v>-61.6</v>
      </c>
      <c r="V623" s="9">
        <v>-19.354700000000001</v>
      </c>
      <c r="W623" s="7">
        <v>1.875</v>
      </c>
      <c r="X623" s="7">
        <v>1.625</v>
      </c>
      <c r="Y623" s="7">
        <v>1.375</v>
      </c>
      <c r="Z623" s="7">
        <v>0.625</v>
      </c>
      <c r="AA623" s="2"/>
      <c r="AB623" s="2" t="s">
        <v>86</v>
      </c>
      <c r="AC623" s="2"/>
    </row>
    <row r="624" spans="1:29" ht="130" x14ac:dyDescent="0.15">
      <c r="A624" s="3">
        <f>DATE(1991,8,29)</f>
        <v>33479</v>
      </c>
      <c r="B624" s="3">
        <f>DATE(1992,3,16)</f>
        <v>33679</v>
      </c>
      <c r="C624" s="2" t="s">
        <v>95</v>
      </c>
      <c r="D624" s="2" t="s">
        <v>2264</v>
      </c>
      <c r="E624" s="2" t="s">
        <v>2265</v>
      </c>
      <c r="F624" s="4">
        <v>8711</v>
      </c>
      <c r="G624" s="2" t="s">
        <v>223</v>
      </c>
      <c r="H624" s="2" t="s">
        <v>34</v>
      </c>
      <c r="I624" s="2" t="s">
        <v>51</v>
      </c>
      <c r="J624" s="2" t="s">
        <v>52</v>
      </c>
      <c r="K624" s="2" t="s">
        <v>53</v>
      </c>
      <c r="L624" s="2" t="s">
        <v>34</v>
      </c>
      <c r="M624" s="2"/>
      <c r="N624" s="2"/>
      <c r="O624" s="2"/>
      <c r="P624" s="2" t="s">
        <v>2266</v>
      </c>
      <c r="Q624" s="6">
        <v>100</v>
      </c>
      <c r="R624" s="6">
        <v>6</v>
      </c>
      <c r="S624" s="5">
        <v>-0.7</v>
      </c>
      <c r="T624" s="2"/>
      <c r="U624" s="5">
        <v>3.5</v>
      </c>
      <c r="V624" s="2"/>
      <c r="W624" s="7">
        <v>4.6879999999999997</v>
      </c>
      <c r="X624" s="4">
        <v>5</v>
      </c>
      <c r="Y624" s="5">
        <v>5.5</v>
      </c>
      <c r="Z624" s="4">
        <v>5</v>
      </c>
      <c r="AA624" s="6">
        <v>3.42</v>
      </c>
      <c r="AB624" s="2" t="s">
        <v>86</v>
      </c>
      <c r="AC624" s="2"/>
    </row>
    <row r="625" spans="1:29" ht="117" x14ac:dyDescent="0.15">
      <c r="A625" s="3">
        <f>DATE(1991,8,30)</f>
        <v>33480</v>
      </c>
      <c r="B625" s="2"/>
      <c r="C625" s="2" t="s">
        <v>30</v>
      </c>
      <c r="D625" s="2" t="s">
        <v>1816</v>
      </c>
      <c r="E625" s="2" t="s">
        <v>1817</v>
      </c>
      <c r="F625" s="4">
        <v>4512</v>
      </c>
      <c r="G625" s="2" t="s">
        <v>59</v>
      </c>
      <c r="H625" s="2" t="s">
        <v>34</v>
      </c>
      <c r="I625" s="2" t="s">
        <v>51</v>
      </c>
      <c r="J625" s="2" t="s">
        <v>52</v>
      </c>
      <c r="K625" s="2" t="s">
        <v>53</v>
      </c>
      <c r="L625" s="2" t="s">
        <v>34</v>
      </c>
      <c r="M625" s="2"/>
      <c r="N625" s="2"/>
      <c r="O625" s="2"/>
      <c r="P625" s="2" t="s">
        <v>2267</v>
      </c>
      <c r="Q625" s="2"/>
      <c r="R625" s="2"/>
      <c r="S625" s="8">
        <v>-2402.9</v>
      </c>
      <c r="T625" s="7">
        <v>-74.762</v>
      </c>
      <c r="U625" s="5">
        <v>-77.8</v>
      </c>
      <c r="V625" s="6">
        <v>-57.52</v>
      </c>
      <c r="W625" s="6">
        <v>4.25</v>
      </c>
      <c r="X625" s="7">
        <v>3.625</v>
      </c>
      <c r="Y625" s="6">
        <v>3.75</v>
      </c>
      <c r="Z625" s="7">
        <v>3.625</v>
      </c>
      <c r="AA625" s="2"/>
      <c r="AB625" s="2" t="s">
        <v>86</v>
      </c>
      <c r="AC625" s="2"/>
    </row>
    <row r="626" spans="1:29" ht="156" x14ac:dyDescent="0.15">
      <c r="A626" s="3">
        <f>DATE(1991,9,3)</f>
        <v>33484</v>
      </c>
      <c r="B626" s="2"/>
      <c r="C626" s="2" t="s">
        <v>30</v>
      </c>
      <c r="D626" s="2" t="s">
        <v>1487</v>
      </c>
      <c r="E626" s="2" t="s">
        <v>1488</v>
      </c>
      <c r="F626" s="4">
        <v>8062</v>
      </c>
      <c r="G626" s="2" t="s">
        <v>454</v>
      </c>
      <c r="H626" s="2" t="s">
        <v>34</v>
      </c>
      <c r="I626" s="2" t="s">
        <v>2268</v>
      </c>
      <c r="J626" s="2" t="s">
        <v>2269</v>
      </c>
      <c r="K626" s="2" t="s">
        <v>454</v>
      </c>
      <c r="L626" s="2" t="s">
        <v>34</v>
      </c>
      <c r="M626" s="2"/>
      <c r="N626" s="7">
        <v>27.375</v>
      </c>
      <c r="O626" s="6">
        <v>27.25</v>
      </c>
      <c r="P626" s="2" t="s">
        <v>2270</v>
      </c>
      <c r="Q626" s="2"/>
      <c r="R626" s="6">
        <v>0.6</v>
      </c>
      <c r="S626" s="5">
        <v>-172.9</v>
      </c>
      <c r="T626" s="7">
        <v>27.509</v>
      </c>
      <c r="U626" s="5">
        <v>-18.100000000000001</v>
      </c>
      <c r="V626" s="6">
        <v>-23.25</v>
      </c>
      <c r="W626" s="5">
        <v>1.5</v>
      </c>
      <c r="X626" s="4">
        <v>2</v>
      </c>
      <c r="Y626" s="4">
        <v>10</v>
      </c>
      <c r="Z626" s="7">
        <v>9.875</v>
      </c>
      <c r="AA626" s="6">
        <v>8.1</v>
      </c>
      <c r="AB626" s="7">
        <v>23.99</v>
      </c>
      <c r="AC626" s="2"/>
    </row>
    <row r="627" spans="1:29" ht="143" x14ac:dyDescent="0.15">
      <c r="A627" s="3">
        <f>DATE(1991,9,3)</f>
        <v>33484</v>
      </c>
      <c r="B627" s="2"/>
      <c r="C627" s="2" t="s">
        <v>30</v>
      </c>
      <c r="D627" s="2" t="s">
        <v>1489</v>
      </c>
      <c r="E627" s="2" t="s">
        <v>92</v>
      </c>
      <c r="F627" s="4">
        <v>6798</v>
      </c>
      <c r="G627" s="2" t="s">
        <v>53</v>
      </c>
      <c r="H627" s="2" t="s">
        <v>34</v>
      </c>
      <c r="I627" s="2" t="s">
        <v>2268</v>
      </c>
      <c r="J627" s="2" t="s">
        <v>2269</v>
      </c>
      <c r="K627" s="2" t="s">
        <v>454</v>
      </c>
      <c r="L627" s="2" t="s">
        <v>34</v>
      </c>
      <c r="M627" s="2"/>
      <c r="N627" s="7">
        <v>27.375</v>
      </c>
      <c r="O627" s="6">
        <v>27.25</v>
      </c>
      <c r="P627" s="2" t="s">
        <v>2271</v>
      </c>
      <c r="Q627" s="2"/>
      <c r="R627" s="6">
        <v>4.5</v>
      </c>
      <c r="S627" s="5">
        <v>-8.1</v>
      </c>
      <c r="T627" s="7">
        <v>29.916</v>
      </c>
      <c r="U627" s="2"/>
      <c r="V627" s="6">
        <v>-0.75</v>
      </c>
      <c r="W627" s="4">
        <v>3</v>
      </c>
      <c r="X627" s="6">
        <v>3.25</v>
      </c>
      <c r="Y627" s="7">
        <v>4.875</v>
      </c>
      <c r="Z627" s="7">
        <v>4.875</v>
      </c>
      <c r="AA627" s="6">
        <v>10.8</v>
      </c>
      <c r="AB627" s="7">
        <v>12.175000000000001</v>
      </c>
      <c r="AC627" s="2"/>
    </row>
    <row r="628" spans="1:29" ht="130" x14ac:dyDescent="0.15">
      <c r="A628" s="3">
        <f>DATE(1991,9,3)</f>
        <v>33484</v>
      </c>
      <c r="B628" s="3">
        <f>DATE(1992,1,2)</f>
        <v>33605</v>
      </c>
      <c r="C628" s="2" t="s">
        <v>95</v>
      </c>
      <c r="D628" s="2" t="s">
        <v>2272</v>
      </c>
      <c r="E628" s="2" t="s">
        <v>849</v>
      </c>
      <c r="F628" s="4">
        <v>7372</v>
      </c>
      <c r="G628" s="2" t="s">
        <v>551</v>
      </c>
      <c r="H628" s="2" t="s">
        <v>34</v>
      </c>
      <c r="I628" s="2" t="s">
        <v>2244</v>
      </c>
      <c r="J628" s="2" t="s">
        <v>2245</v>
      </c>
      <c r="K628" s="2" t="s">
        <v>551</v>
      </c>
      <c r="L628" s="2" t="s">
        <v>34</v>
      </c>
      <c r="M628" s="12">
        <v>1686.3119999999999</v>
      </c>
      <c r="N628" s="7">
        <v>8.375</v>
      </c>
      <c r="O628" s="6">
        <v>8.25</v>
      </c>
      <c r="P628" s="2" t="s">
        <v>2273</v>
      </c>
      <c r="Q628" s="6">
        <v>98.2</v>
      </c>
      <c r="R628" s="6">
        <v>16.149999999999999</v>
      </c>
      <c r="S628" s="5">
        <v>20.6</v>
      </c>
      <c r="T628" s="7">
        <v>48.515999999999998</v>
      </c>
      <c r="U628" s="5">
        <v>7.5</v>
      </c>
      <c r="V628" s="6">
        <v>1.1499999999999999</v>
      </c>
      <c r="W628" s="6">
        <v>11.25</v>
      </c>
      <c r="X628" s="5">
        <v>11.5</v>
      </c>
      <c r="Y628" s="6">
        <v>15.25</v>
      </c>
      <c r="Z628" s="7">
        <v>15.375</v>
      </c>
      <c r="AA628" s="6">
        <v>17.47</v>
      </c>
      <c r="AB628" s="7">
        <v>7.5259999999999998</v>
      </c>
      <c r="AC628" s="2"/>
    </row>
    <row r="629" spans="1:29" ht="65" x14ac:dyDescent="0.15">
      <c r="A629" s="3">
        <f>DATE(1991,9,4)</f>
        <v>33485</v>
      </c>
      <c r="B629" s="2"/>
      <c r="C629" s="2" t="s">
        <v>141</v>
      </c>
      <c r="D629" s="2" t="s">
        <v>2274</v>
      </c>
      <c r="E629" s="2" t="s">
        <v>2275</v>
      </c>
      <c r="F629" s="4">
        <v>8093</v>
      </c>
      <c r="G629" s="2" t="s">
        <v>454</v>
      </c>
      <c r="H629" s="2" t="s">
        <v>34</v>
      </c>
      <c r="I629" s="2" t="s">
        <v>143</v>
      </c>
      <c r="J629" s="2" t="s">
        <v>144</v>
      </c>
      <c r="K629" s="2" t="s">
        <v>53</v>
      </c>
      <c r="L629" s="2" t="s">
        <v>139</v>
      </c>
      <c r="M629" s="2"/>
      <c r="N629" s="2"/>
      <c r="O629" s="2"/>
      <c r="P629" s="2" t="s">
        <v>2276</v>
      </c>
      <c r="Q629" s="2"/>
      <c r="R629" s="2"/>
      <c r="S629" s="5">
        <v>6.2</v>
      </c>
      <c r="T629" s="7">
        <v>8.7569999999999997</v>
      </c>
      <c r="U629" s="5">
        <v>5.2</v>
      </c>
      <c r="V629" s="6">
        <v>0.68</v>
      </c>
      <c r="W629" s="7">
        <v>5.625</v>
      </c>
      <c r="X629" s="6">
        <v>6.25</v>
      </c>
      <c r="Y629" s="7">
        <v>6.125</v>
      </c>
      <c r="Z629" s="7">
        <v>6.125</v>
      </c>
      <c r="AA629" s="6">
        <v>8.26</v>
      </c>
      <c r="AB629" s="2" t="s">
        <v>47</v>
      </c>
      <c r="AC629" s="2"/>
    </row>
    <row r="630" spans="1:29" ht="156" x14ac:dyDescent="0.15">
      <c r="A630" s="3">
        <f>DATE(1991,9,4)</f>
        <v>33485</v>
      </c>
      <c r="B630" s="3">
        <f>DATE(1991,10,1)</f>
        <v>33512</v>
      </c>
      <c r="C630" s="2" t="s">
        <v>95</v>
      </c>
      <c r="D630" s="2" t="s">
        <v>2277</v>
      </c>
      <c r="E630" s="2" t="s">
        <v>2278</v>
      </c>
      <c r="F630" s="4">
        <v>2011</v>
      </c>
      <c r="G630" s="2" t="s">
        <v>577</v>
      </c>
      <c r="H630" s="2" t="s">
        <v>34</v>
      </c>
      <c r="I630" s="2" t="s">
        <v>278</v>
      </c>
      <c r="J630" s="2" t="s">
        <v>52</v>
      </c>
      <c r="K630" s="2" t="s">
        <v>53</v>
      </c>
      <c r="L630" s="2" t="s">
        <v>34</v>
      </c>
      <c r="M630" s="2"/>
      <c r="N630" s="2"/>
      <c r="O630" s="2"/>
      <c r="P630" s="2" t="s">
        <v>2279</v>
      </c>
      <c r="Q630" s="6">
        <v>50.72</v>
      </c>
      <c r="R630" s="6">
        <v>15</v>
      </c>
      <c r="S630" s="5">
        <v>48.3</v>
      </c>
      <c r="T630" s="7">
        <v>183.08199999999999</v>
      </c>
      <c r="U630" s="5">
        <v>5.4</v>
      </c>
      <c r="V630" s="7">
        <v>0.505</v>
      </c>
      <c r="W630" s="4">
        <v>20</v>
      </c>
      <c r="X630" s="5">
        <v>21.5</v>
      </c>
      <c r="Y630" s="7">
        <v>20.875</v>
      </c>
      <c r="Z630" s="7">
        <v>20.875</v>
      </c>
      <c r="AA630" s="6">
        <v>47.32</v>
      </c>
      <c r="AB630" s="7">
        <v>16.04</v>
      </c>
      <c r="AC630" s="2"/>
    </row>
    <row r="631" spans="1:29" ht="78" x14ac:dyDescent="0.15">
      <c r="A631" s="3">
        <f>DATE(1991,9,9)</f>
        <v>33490</v>
      </c>
      <c r="B631" s="2"/>
      <c r="C631" s="2" t="s">
        <v>189</v>
      </c>
      <c r="D631" s="2" t="s">
        <v>2280</v>
      </c>
      <c r="E631" s="2" t="s">
        <v>2281</v>
      </c>
      <c r="F631" s="4">
        <v>8011</v>
      </c>
      <c r="G631" s="2" t="s">
        <v>454</v>
      </c>
      <c r="H631" s="2" t="s">
        <v>34</v>
      </c>
      <c r="I631" s="2" t="s">
        <v>143</v>
      </c>
      <c r="J631" s="2" t="s">
        <v>144</v>
      </c>
      <c r="K631" s="2" t="s">
        <v>53</v>
      </c>
      <c r="L631" s="2" t="s">
        <v>139</v>
      </c>
      <c r="M631" s="2"/>
      <c r="N631" s="2"/>
      <c r="O631" s="2"/>
      <c r="P631" s="2" t="s">
        <v>2282</v>
      </c>
      <c r="Q631" s="2"/>
      <c r="R631" s="2"/>
      <c r="S631" s="5">
        <v>0.3</v>
      </c>
      <c r="T631" s="2"/>
      <c r="U631" s="5">
        <v>1</v>
      </c>
      <c r="V631" s="2"/>
      <c r="W631" s="7">
        <v>1.125</v>
      </c>
      <c r="X631" s="7">
        <v>1.125</v>
      </c>
      <c r="Y631" s="6">
        <v>1.25</v>
      </c>
      <c r="Z631" s="6">
        <v>1.25</v>
      </c>
      <c r="AA631" s="6">
        <v>1.65</v>
      </c>
      <c r="AB631" s="2" t="s">
        <v>47</v>
      </c>
      <c r="AC631" s="2"/>
    </row>
    <row r="632" spans="1:29" ht="143" x14ac:dyDescent="0.15">
      <c r="A632" s="3">
        <f>DATE(1991,9,9)</f>
        <v>33490</v>
      </c>
      <c r="B632" s="2"/>
      <c r="C632" s="2" t="s">
        <v>30</v>
      </c>
      <c r="D632" s="2" t="s">
        <v>2283</v>
      </c>
      <c r="E632" s="2" t="s">
        <v>169</v>
      </c>
      <c r="F632" s="4">
        <v>6311</v>
      </c>
      <c r="G632" s="2" t="s">
        <v>125</v>
      </c>
      <c r="H632" s="2" t="s">
        <v>34</v>
      </c>
      <c r="I632" s="2" t="s">
        <v>2284</v>
      </c>
      <c r="J632" s="2" t="s">
        <v>746</v>
      </c>
      <c r="K632" s="2" t="s">
        <v>125</v>
      </c>
      <c r="L632" s="2" t="s">
        <v>34</v>
      </c>
      <c r="M632" s="2"/>
      <c r="N632" s="2"/>
      <c r="O632" s="2"/>
      <c r="P632" s="2" t="s">
        <v>2285</v>
      </c>
      <c r="Q632" s="2"/>
      <c r="R632" s="6">
        <v>10.8</v>
      </c>
      <c r="S632" s="5">
        <v>2.1</v>
      </c>
      <c r="T632" s="2"/>
      <c r="U632" s="5">
        <v>9.4</v>
      </c>
      <c r="V632" s="9">
        <v>0.60519999999999996</v>
      </c>
      <c r="W632" s="6">
        <v>8.75</v>
      </c>
      <c r="X632" s="6">
        <v>8.75</v>
      </c>
      <c r="Y632" s="6">
        <v>10.75</v>
      </c>
      <c r="Z632" s="6">
        <v>11.25</v>
      </c>
      <c r="AA632" s="6">
        <v>3.12</v>
      </c>
      <c r="AB632" s="7">
        <v>24.87</v>
      </c>
      <c r="AC632" s="2"/>
    </row>
    <row r="633" spans="1:29" ht="143" x14ac:dyDescent="0.15">
      <c r="A633" s="3">
        <f>DATE(1991,9,11)</f>
        <v>33492</v>
      </c>
      <c r="B633" s="2"/>
      <c r="C633" s="2" t="s">
        <v>39</v>
      </c>
      <c r="D633" s="2" t="s">
        <v>2286</v>
      </c>
      <c r="E633" s="2" t="s">
        <v>129</v>
      </c>
      <c r="F633" s="4">
        <v>2834</v>
      </c>
      <c r="G633" s="2" t="s">
        <v>130</v>
      </c>
      <c r="H633" s="2" t="s">
        <v>34</v>
      </c>
      <c r="I633" s="2" t="s">
        <v>2287</v>
      </c>
      <c r="J633" s="2" t="s">
        <v>2288</v>
      </c>
      <c r="K633" s="2" t="s">
        <v>98</v>
      </c>
      <c r="L633" s="2" t="s">
        <v>34</v>
      </c>
      <c r="M633" s="2"/>
      <c r="N633" s="7">
        <v>51.875</v>
      </c>
      <c r="O633" s="5">
        <v>51.5</v>
      </c>
      <c r="P633" s="2" t="s">
        <v>2289</v>
      </c>
      <c r="Q633" s="2"/>
      <c r="R633" s="6">
        <v>45.77</v>
      </c>
      <c r="S633" s="5">
        <v>487</v>
      </c>
      <c r="T633" s="5">
        <v>791</v>
      </c>
      <c r="U633" s="5">
        <v>4.5</v>
      </c>
      <c r="V633" s="6">
        <v>1.72</v>
      </c>
      <c r="W633" s="5">
        <v>33.5</v>
      </c>
      <c r="X633" s="6">
        <v>33.75</v>
      </c>
      <c r="Y633" s="6">
        <v>36.75</v>
      </c>
      <c r="Z633" s="4">
        <v>38</v>
      </c>
      <c r="AA633" s="6">
        <v>276.39999999999998</v>
      </c>
      <c r="AB633" s="7">
        <v>17.957999999999998</v>
      </c>
      <c r="AC633" s="5">
        <v>299</v>
      </c>
    </row>
    <row r="634" spans="1:29" ht="156" x14ac:dyDescent="0.15">
      <c r="A634" s="3">
        <f>DATE(1991,9,12)</f>
        <v>33493</v>
      </c>
      <c r="B634" s="3">
        <f>DATE(1992,5,1)</f>
        <v>33725</v>
      </c>
      <c r="C634" s="2" t="s">
        <v>95</v>
      </c>
      <c r="D634" s="2" t="s">
        <v>2290</v>
      </c>
      <c r="E634" s="2" t="s">
        <v>36</v>
      </c>
      <c r="F634" s="4">
        <v>6022</v>
      </c>
      <c r="G634" s="2" t="s">
        <v>37</v>
      </c>
      <c r="H634" s="2" t="s">
        <v>34</v>
      </c>
      <c r="I634" s="2" t="s">
        <v>2291</v>
      </c>
      <c r="J634" s="2" t="s">
        <v>36</v>
      </c>
      <c r="K634" s="2" t="s">
        <v>37</v>
      </c>
      <c r="L634" s="2" t="s">
        <v>34</v>
      </c>
      <c r="M634" s="2"/>
      <c r="N634" s="5">
        <v>28.5</v>
      </c>
      <c r="O634" s="6">
        <v>28.75</v>
      </c>
      <c r="P634" s="2" t="s">
        <v>2292</v>
      </c>
      <c r="Q634" s="6">
        <v>100</v>
      </c>
      <c r="R634" s="6">
        <v>41.7</v>
      </c>
      <c r="S634" s="5">
        <v>30.3</v>
      </c>
      <c r="T634" s="7">
        <v>47.735999999999997</v>
      </c>
      <c r="U634" s="5">
        <v>15.1</v>
      </c>
      <c r="V634" s="6">
        <v>2.58</v>
      </c>
      <c r="W634" s="5">
        <v>18.5</v>
      </c>
      <c r="X634" s="5">
        <v>19.5</v>
      </c>
      <c r="Y634" s="5">
        <v>24.5</v>
      </c>
      <c r="Z634" s="4">
        <v>26</v>
      </c>
      <c r="AA634" s="6">
        <v>10.58</v>
      </c>
      <c r="AB634" s="7">
        <v>12.539</v>
      </c>
      <c r="AC634" s="2"/>
    </row>
    <row r="635" spans="1:29" ht="117" x14ac:dyDescent="0.15">
      <c r="A635" s="3">
        <f>DATE(1991,9,12)</f>
        <v>33493</v>
      </c>
      <c r="B635" s="3">
        <f>DATE(1991,10,15)</f>
        <v>33526</v>
      </c>
      <c r="C635" s="2" t="s">
        <v>95</v>
      </c>
      <c r="D635" s="2" t="s">
        <v>2293</v>
      </c>
      <c r="E635" s="2" t="s">
        <v>612</v>
      </c>
      <c r="F635" s="4">
        <v>1311</v>
      </c>
      <c r="G635" s="2" t="s">
        <v>148</v>
      </c>
      <c r="H635" s="2" t="s">
        <v>34</v>
      </c>
      <c r="I635" s="2" t="s">
        <v>2294</v>
      </c>
      <c r="J635" s="2" t="s">
        <v>2295</v>
      </c>
      <c r="K635" s="2" t="s">
        <v>166</v>
      </c>
      <c r="L635" s="2" t="s">
        <v>34</v>
      </c>
      <c r="M635" s="2"/>
      <c r="N635" s="7">
        <v>4.125</v>
      </c>
      <c r="O635" s="7">
        <v>4.125</v>
      </c>
      <c r="P635" s="2" t="s">
        <v>2296</v>
      </c>
      <c r="Q635" s="6">
        <v>48.92</v>
      </c>
      <c r="R635" s="2"/>
      <c r="S635" s="5">
        <v>-1.1000000000000001</v>
      </c>
      <c r="T635" s="6">
        <v>1.54</v>
      </c>
      <c r="U635" s="5">
        <v>6.8</v>
      </c>
      <c r="V635" s="6">
        <v>-0.45</v>
      </c>
      <c r="W635" s="4">
        <v>5</v>
      </c>
      <c r="X635" s="7">
        <v>5.125</v>
      </c>
      <c r="Y635" s="7">
        <v>5.125</v>
      </c>
      <c r="Z635" s="6">
        <v>5.75</v>
      </c>
      <c r="AA635" s="6">
        <v>2.4700000000000002</v>
      </c>
      <c r="AB635" s="2" t="s">
        <v>86</v>
      </c>
      <c r="AC635" s="2"/>
    </row>
    <row r="636" spans="1:29" ht="65" x14ac:dyDescent="0.15">
      <c r="A636" s="3">
        <f>DATE(1991,9,13)</f>
        <v>33494</v>
      </c>
      <c r="B636" s="3">
        <f>DATE(1992,6,30)</f>
        <v>33785</v>
      </c>
      <c r="C636" s="2" t="s">
        <v>95</v>
      </c>
      <c r="D636" s="2" t="s">
        <v>2297</v>
      </c>
      <c r="E636" s="2" t="s">
        <v>955</v>
      </c>
      <c r="F636" s="4">
        <v>5944</v>
      </c>
      <c r="G636" s="2" t="s">
        <v>73</v>
      </c>
      <c r="H636" s="2" t="s">
        <v>34</v>
      </c>
      <c r="I636" s="2" t="s">
        <v>1558</v>
      </c>
      <c r="J636" s="2" t="s">
        <v>52</v>
      </c>
      <c r="K636" s="2" t="s">
        <v>53</v>
      </c>
      <c r="L636" s="2" t="s">
        <v>34</v>
      </c>
      <c r="M636" s="2"/>
      <c r="N636" s="2"/>
      <c r="O636" s="2"/>
      <c r="P636" s="2" t="s">
        <v>2298</v>
      </c>
      <c r="Q636" s="6">
        <v>90</v>
      </c>
      <c r="R636" s="2"/>
      <c r="S636" s="5">
        <v>-29.4</v>
      </c>
      <c r="T636" s="7">
        <v>-10.042999999999999</v>
      </c>
      <c r="U636" s="5">
        <v>-13.6</v>
      </c>
      <c r="V636" s="6">
        <v>-29.4</v>
      </c>
      <c r="W636" s="6">
        <v>1.75</v>
      </c>
      <c r="X636" s="6">
        <v>1.75</v>
      </c>
      <c r="Y636" s="6">
        <v>1.25</v>
      </c>
      <c r="Z636" s="6">
        <v>1.25</v>
      </c>
      <c r="AA636" s="6">
        <v>10</v>
      </c>
      <c r="AB636" s="2" t="s">
        <v>86</v>
      </c>
      <c r="AC636" s="2"/>
    </row>
    <row r="637" spans="1:29" ht="143" x14ac:dyDescent="0.15">
      <c r="A637" s="3">
        <f>DATE(1991,9,13)</f>
        <v>33494</v>
      </c>
      <c r="B637" s="3">
        <f>DATE(1992,1,31)</f>
        <v>33634</v>
      </c>
      <c r="C637" s="2" t="s">
        <v>95</v>
      </c>
      <c r="D637" s="2" t="s">
        <v>2299</v>
      </c>
      <c r="E637" s="2" t="s">
        <v>2300</v>
      </c>
      <c r="F637" s="4">
        <v>7948</v>
      </c>
      <c r="G637" s="2" t="s">
        <v>364</v>
      </c>
      <c r="H637" s="2" t="s">
        <v>34</v>
      </c>
      <c r="I637" s="2" t="s">
        <v>149</v>
      </c>
      <c r="J637" s="2" t="s">
        <v>150</v>
      </c>
      <c r="K637" s="2" t="s">
        <v>53</v>
      </c>
      <c r="L637" s="2" t="s">
        <v>151</v>
      </c>
      <c r="M637" s="2"/>
      <c r="N637" s="2"/>
      <c r="O637" s="2"/>
      <c r="P637" s="2" t="s">
        <v>2301</v>
      </c>
      <c r="Q637" s="6">
        <v>62.63</v>
      </c>
      <c r="R637" s="6">
        <v>17.399999999999999</v>
      </c>
      <c r="S637" s="5">
        <v>0.3</v>
      </c>
      <c r="T637" s="7">
        <v>0.84099999999999997</v>
      </c>
      <c r="U637" s="5">
        <v>4.8</v>
      </c>
      <c r="V637" s="6">
        <v>0.28999999999999998</v>
      </c>
      <c r="W637" s="5">
        <v>7.5</v>
      </c>
      <c r="X637" s="5">
        <v>7.5</v>
      </c>
      <c r="Y637" s="5">
        <v>7.5</v>
      </c>
      <c r="Z637" s="5">
        <v>7.5</v>
      </c>
      <c r="AA637" s="6">
        <v>0.86</v>
      </c>
      <c r="AB637" s="7">
        <v>42.57</v>
      </c>
      <c r="AC637" s="2"/>
    </row>
    <row r="638" spans="1:29" ht="39" x14ac:dyDescent="0.15">
      <c r="A638" s="3">
        <f>DATE(1991,9,13)</f>
        <v>33494</v>
      </c>
      <c r="B638" s="2"/>
      <c r="C638" s="2" t="s">
        <v>30</v>
      </c>
      <c r="D638" s="2" t="s">
        <v>2302</v>
      </c>
      <c r="E638" s="2" t="s">
        <v>2303</v>
      </c>
      <c r="F638" s="4">
        <v>8731</v>
      </c>
      <c r="G638" s="2" t="s">
        <v>223</v>
      </c>
      <c r="H638" s="2" t="s">
        <v>34</v>
      </c>
      <c r="I638" s="2" t="s">
        <v>2304</v>
      </c>
      <c r="J638" s="2" t="s">
        <v>2305</v>
      </c>
      <c r="K638" s="2" t="s">
        <v>130</v>
      </c>
      <c r="L638" s="2" t="s">
        <v>34</v>
      </c>
      <c r="M638" s="7">
        <v>545.23500000000001</v>
      </c>
      <c r="N638" s="7">
        <v>30.625</v>
      </c>
      <c r="O638" s="6">
        <v>31.25</v>
      </c>
      <c r="P638" s="2" t="s">
        <v>2306</v>
      </c>
      <c r="Q638" s="2"/>
      <c r="R638" s="2"/>
      <c r="S638" s="5">
        <v>-0.8</v>
      </c>
      <c r="T638" s="2"/>
      <c r="U638" s="5">
        <v>0.1</v>
      </c>
      <c r="V638" s="2"/>
      <c r="W638" s="7">
        <v>3.125</v>
      </c>
      <c r="X638" s="7">
        <v>3.625</v>
      </c>
      <c r="Y638" s="4">
        <v>3</v>
      </c>
      <c r="Z638" s="4">
        <v>3</v>
      </c>
      <c r="AA638" s="6">
        <v>11.46</v>
      </c>
      <c r="AB638" s="2" t="s">
        <v>86</v>
      </c>
      <c r="AC638" s="5">
        <v>5.2</v>
      </c>
    </row>
    <row r="639" spans="1:29" ht="156" x14ac:dyDescent="0.15">
      <c r="A639" s="3">
        <f>DATE(1991,9,16)</f>
        <v>33497</v>
      </c>
      <c r="B639" s="3">
        <f>DATE(1992,7,23)</f>
        <v>33808</v>
      </c>
      <c r="C639" s="2" t="s">
        <v>95</v>
      </c>
      <c r="D639" s="2" t="s">
        <v>2215</v>
      </c>
      <c r="E639" s="2" t="s">
        <v>36</v>
      </c>
      <c r="F639" s="4">
        <v>6021</v>
      </c>
      <c r="G639" s="2" t="s">
        <v>37</v>
      </c>
      <c r="H639" s="2" t="s">
        <v>34</v>
      </c>
      <c r="I639" s="2" t="s">
        <v>68</v>
      </c>
      <c r="J639" s="2" t="s">
        <v>69</v>
      </c>
      <c r="K639" s="2" t="s">
        <v>37</v>
      </c>
      <c r="L639" s="2" t="s">
        <v>34</v>
      </c>
      <c r="M639" s="12">
        <v>3798.1619999999998</v>
      </c>
      <c r="N639" s="6">
        <v>38.75</v>
      </c>
      <c r="O639" s="4">
        <v>39</v>
      </c>
      <c r="P639" s="2" t="s">
        <v>2307</v>
      </c>
      <c r="Q639" s="6">
        <v>100</v>
      </c>
      <c r="R639" s="6">
        <v>31.89</v>
      </c>
      <c r="S639" s="5">
        <v>-6.3</v>
      </c>
      <c r="T639" s="7">
        <v>-4.5410000000000004</v>
      </c>
      <c r="U639" s="5">
        <v>19.5</v>
      </c>
      <c r="V639" s="9">
        <v>-2.5041000000000002</v>
      </c>
      <c r="W639" s="4">
        <v>23</v>
      </c>
      <c r="X639" s="5">
        <v>25.5</v>
      </c>
      <c r="Y639" s="6">
        <v>27.75</v>
      </c>
      <c r="Z639" s="6">
        <v>27.75</v>
      </c>
      <c r="AA639" s="6">
        <v>2.5</v>
      </c>
      <c r="AB639" s="2" t="s">
        <v>86</v>
      </c>
      <c r="AC639" s="2"/>
    </row>
    <row r="640" spans="1:29" ht="156" x14ac:dyDescent="0.15">
      <c r="A640" s="3">
        <f>DATE(1991,9,17)</f>
        <v>33498</v>
      </c>
      <c r="B640" s="3">
        <f>DATE(1992,1,24)</f>
        <v>33627</v>
      </c>
      <c r="C640" s="2" t="s">
        <v>95</v>
      </c>
      <c r="D640" s="2" t="s">
        <v>2308</v>
      </c>
      <c r="E640" s="2" t="s">
        <v>1817</v>
      </c>
      <c r="F640" s="4">
        <v>4512</v>
      </c>
      <c r="G640" s="2" t="s">
        <v>59</v>
      </c>
      <c r="H640" s="2" t="s">
        <v>34</v>
      </c>
      <c r="I640" s="2" t="s">
        <v>57</v>
      </c>
      <c r="J640" s="2" t="s">
        <v>58</v>
      </c>
      <c r="K640" s="2" t="s">
        <v>59</v>
      </c>
      <c r="L640" s="2" t="s">
        <v>34</v>
      </c>
      <c r="M640" s="12">
        <v>3109.424</v>
      </c>
      <c r="N640" s="7">
        <v>128.875</v>
      </c>
      <c r="O640" s="4">
        <v>129</v>
      </c>
      <c r="P640" s="2" t="s">
        <v>2309</v>
      </c>
      <c r="Q640" s="6">
        <v>100</v>
      </c>
      <c r="R640" s="6">
        <v>9</v>
      </c>
      <c r="S640" s="5">
        <v>-2</v>
      </c>
      <c r="T640" s="7">
        <v>8.1430000000000007</v>
      </c>
      <c r="U640" s="5">
        <v>9.9</v>
      </c>
      <c r="V640" s="6">
        <v>-0.22</v>
      </c>
      <c r="W640" s="5">
        <v>8.5</v>
      </c>
      <c r="X640" s="6">
        <v>8.75</v>
      </c>
      <c r="Y640" s="5">
        <v>8.5</v>
      </c>
      <c r="Z640" s="7">
        <v>8.125</v>
      </c>
      <c r="AA640" s="6">
        <v>9.0399999999999991</v>
      </c>
      <c r="AB640" s="2" t="s">
        <v>86</v>
      </c>
      <c r="AC640" s="8">
        <v>1195.0999999999999</v>
      </c>
    </row>
    <row r="641" spans="1:29" ht="143" x14ac:dyDescent="0.15">
      <c r="A641" s="3">
        <f>DATE(1991,9,18)</f>
        <v>33499</v>
      </c>
      <c r="B641" s="3">
        <f>DATE(1992,1,31)</f>
        <v>33634</v>
      </c>
      <c r="C641" s="2" t="s">
        <v>95</v>
      </c>
      <c r="D641" s="2" t="s">
        <v>2310</v>
      </c>
      <c r="E641" s="2" t="s">
        <v>177</v>
      </c>
      <c r="F641" s="4">
        <v>1311</v>
      </c>
      <c r="G641" s="2" t="s">
        <v>148</v>
      </c>
      <c r="H641" s="2" t="s">
        <v>34</v>
      </c>
      <c r="I641" s="2" t="s">
        <v>1036</v>
      </c>
      <c r="J641" s="2" t="s">
        <v>1037</v>
      </c>
      <c r="K641" s="2" t="s">
        <v>439</v>
      </c>
      <c r="L641" s="2" t="s">
        <v>34</v>
      </c>
      <c r="M641" s="12">
        <v>1860.9760000000001</v>
      </c>
      <c r="N641" s="7">
        <v>15.875</v>
      </c>
      <c r="O641" s="6">
        <v>15.75</v>
      </c>
      <c r="P641" s="2" t="s">
        <v>2311</v>
      </c>
      <c r="Q641" s="6">
        <v>18</v>
      </c>
      <c r="R641" s="6">
        <v>15.44</v>
      </c>
      <c r="S641" s="5">
        <v>6.7</v>
      </c>
      <c r="T641" s="7">
        <v>99.195999999999998</v>
      </c>
      <c r="U641" s="5">
        <v>9.9</v>
      </c>
      <c r="V641" s="6">
        <v>0.2</v>
      </c>
      <c r="W641" s="4">
        <v>12</v>
      </c>
      <c r="X641" s="6">
        <v>14.25</v>
      </c>
      <c r="Y641" s="7">
        <v>14.125</v>
      </c>
      <c r="Z641" s="6">
        <v>14.25</v>
      </c>
      <c r="AA641" s="6">
        <v>33.33</v>
      </c>
      <c r="AB641" s="7">
        <v>26.065000000000001</v>
      </c>
      <c r="AC641" s="6">
        <v>44.39</v>
      </c>
    </row>
    <row r="642" spans="1:29" ht="78" x14ac:dyDescent="0.15">
      <c r="A642" s="3">
        <f>DATE(1991,9,18)</f>
        <v>33499</v>
      </c>
      <c r="B642" s="2"/>
      <c r="C642" s="2" t="s">
        <v>30</v>
      </c>
      <c r="D642" s="2" t="s">
        <v>2312</v>
      </c>
      <c r="E642" s="2" t="s">
        <v>2313</v>
      </c>
      <c r="F642" s="4">
        <v>3691</v>
      </c>
      <c r="G642" s="2" t="s">
        <v>137</v>
      </c>
      <c r="H642" s="2" t="s">
        <v>34</v>
      </c>
      <c r="I642" s="2" t="s">
        <v>2314</v>
      </c>
      <c r="J642" s="2" t="s">
        <v>1085</v>
      </c>
      <c r="K642" s="2" t="s">
        <v>370</v>
      </c>
      <c r="L642" s="2" t="s">
        <v>34</v>
      </c>
      <c r="M642" s="2"/>
      <c r="N642" s="2"/>
      <c r="O642" s="2"/>
      <c r="P642" s="2" t="s">
        <v>2315</v>
      </c>
      <c r="Q642" s="2"/>
      <c r="R642" s="2"/>
      <c r="S642" s="5">
        <v>-1.7</v>
      </c>
      <c r="T642" s="7">
        <v>-1.607</v>
      </c>
      <c r="U642" s="5">
        <v>0.4</v>
      </c>
      <c r="V642" s="6">
        <v>-0.28000000000000003</v>
      </c>
      <c r="W642" s="6">
        <v>1.25</v>
      </c>
      <c r="X642" s="5">
        <v>1.5</v>
      </c>
      <c r="Y642" s="7">
        <v>0.875</v>
      </c>
      <c r="Z642" s="7">
        <v>0.219</v>
      </c>
      <c r="AA642" s="2"/>
      <c r="AB642" s="2" t="s">
        <v>86</v>
      </c>
      <c r="AC642" s="2"/>
    </row>
    <row r="643" spans="1:29" ht="143" x14ac:dyDescent="0.15">
      <c r="A643" s="3">
        <f>DATE(1991,9,19)</f>
        <v>33500</v>
      </c>
      <c r="B643" s="3">
        <f>DATE(1992,1,16)</f>
        <v>33619</v>
      </c>
      <c r="C643" s="2" t="s">
        <v>95</v>
      </c>
      <c r="D643" s="2" t="s">
        <v>2316</v>
      </c>
      <c r="E643" s="2" t="s">
        <v>2317</v>
      </c>
      <c r="F643" s="4">
        <v>2834</v>
      </c>
      <c r="G643" s="2" t="s">
        <v>130</v>
      </c>
      <c r="H643" s="2" t="s">
        <v>34</v>
      </c>
      <c r="I643" s="2" t="s">
        <v>2318</v>
      </c>
      <c r="J643" s="2" t="s">
        <v>2319</v>
      </c>
      <c r="K643" s="2" t="s">
        <v>130</v>
      </c>
      <c r="L643" s="2" t="s">
        <v>34</v>
      </c>
      <c r="M643" s="12">
        <v>19885.824000000001</v>
      </c>
      <c r="N643" s="7">
        <v>68.625</v>
      </c>
      <c r="O643" s="6">
        <v>70.25</v>
      </c>
      <c r="P643" s="2" t="s">
        <v>2320</v>
      </c>
      <c r="Q643" s="6">
        <v>59.22</v>
      </c>
      <c r="R643" s="6">
        <v>50</v>
      </c>
      <c r="S643" s="5">
        <v>-20.6</v>
      </c>
      <c r="T643" s="7">
        <v>-16.027000000000001</v>
      </c>
      <c r="U643" s="5">
        <v>10.9</v>
      </c>
      <c r="V643" s="6">
        <v>-1.73</v>
      </c>
      <c r="W643" s="4">
        <v>38</v>
      </c>
      <c r="X643" s="4">
        <v>38</v>
      </c>
      <c r="Y643" s="7">
        <v>37.875</v>
      </c>
      <c r="Z643" s="6">
        <v>39.25</v>
      </c>
      <c r="AA643" s="6">
        <v>14.6</v>
      </c>
      <c r="AB643" s="2" t="s">
        <v>86</v>
      </c>
      <c r="AC643" s="10">
        <v>1788.53</v>
      </c>
    </row>
    <row r="644" spans="1:29" ht="156" x14ac:dyDescent="0.15">
      <c r="A644" s="3">
        <f>DATE(1991,9,19)</f>
        <v>33500</v>
      </c>
      <c r="B644" s="2"/>
      <c r="C644" s="2" t="s">
        <v>30</v>
      </c>
      <c r="D644" s="2" t="s">
        <v>2236</v>
      </c>
      <c r="E644" s="2" t="s">
        <v>36</v>
      </c>
      <c r="F644" s="4">
        <v>6021</v>
      </c>
      <c r="G644" s="2" t="s">
        <v>37</v>
      </c>
      <c r="H644" s="2" t="s">
        <v>34</v>
      </c>
      <c r="I644" s="2" t="s">
        <v>2321</v>
      </c>
      <c r="J644" s="2" t="s">
        <v>36</v>
      </c>
      <c r="K644" s="2" t="s">
        <v>37</v>
      </c>
      <c r="L644" s="2" t="s">
        <v>34</v>
      </c>
      <c r="M644" s="2"/>
      <c r="N644" s="6">
        <v>10.25</v>
      </c>
      <c r="O644" s="4">
        <v>11</v>
      </c>
      <c r="P644" s="2" t="s">
        <v>2322</v>
      </c>
      <c r="Q644" s="2"/>
      <c r="R644" s="6">
        <v>9.02</v>
      </c>
      <c r="S644" s="5">
        <v>-133</v>
      </c>
      <c r="T644" s="7">
        <v>-73.570999999999998</v>
      </c>
      <c r="U644" s="5">
        <v>15.7</v>
      </c>
      <c r="V644" s="6">
        <v>-1.84</v>
      </c>
      <c r="W644" s="7">
        <v>6.375</v>
      </c>
      <c r="X644" s="7">
        <v>5.875</v>
      </c>
      <c r="Y644" s="4">
        <v>6</v>
      </c>
      <c r="Z644" s="7">
        <v>4.875</v>
      </c>
      <c r="AA644" s="6">
        <v>73.650000000000006</v>
      </c>
      <c r="AB644" s="2" t="s">
        <v>86</v>
      </c>
      <c r="AC644" s="2"/>
    </row>
    <row r="645" spans="1:29" ht="156" x14ac:dyDescent="0.15">
      <c r="A645" s="3">
        <f>DATE(1991,9,20)</f>
        <v>33501</v>
      </c>
      <c r="B645" s="3">
        <f>DATE(1992,4,1)</f>
        <v>33695</v>
      </c>
      <c r="C645" s="2" t="s">
        <v>95</v>
      </c>
      <c r="D645" s="2" t="s">
        <v>2323</v>
      </c>
      <c r="E645" s="2" t="s">
        <v>203</v>
      </c>
      <c r="F645" s="4">
        <v>6035</v>
      </c>
      <c r="G645" s="2" t="s">
        <v>33</v>
      </c>
      <c r="H645" s="2" t="s">
        <v>34</v>
      </c>
      <c r="I645" s="2" t="s">
        <v>2324</v>
      </c>
      <c r="J645" s="2" t="s">
        <v>672</v>
      </c>
      <c r="K645" s="2" t="s">
        <v>33</v>
      </c>
      <c r="L645" s="2" t="s">
        <v>34</v>
      </c>
      <c r="M645" s="7">
        <v>828.40700000000004</v>
      </c>
      <c r="N645" s="7">
        <v>34.625</v>
      </c>
      <c r="O645" s="4">
        <v>33</v>
      </c>
      <c r="P645" s="2" t="s">
        <v>2325</v>
      </c>
      <c r="Q645" s="6">
        <v>100</v>
      </c>
      <c r="R645" s="6">
        <v>24.6</v>
      </c>
      <c r="S645" s="5">
        <v>4.5</v>
      </c>
      <c r="T645" s="7">
        <v>8.4740000000000002</v>
      </c>
      <c r="U645" s="5">
        <v>20.100000000000001</v>
      </c>
      <c r="V645" s="6">
        <v>1.89</v>
      </c>
      <c r="W645" s="6">
        <v>18.75</v>
      </c>
      <c r="X645" s="5">
        <v>18.5</v>
      </c>
      <c r="Y645" s="6">
        <v>20.75</v>
      </c>
      <c r="Z645" s="4">
        <v>21</v>
      </c>
      <c r="AA645" s="6">
        <v>2.6</v>
      </c>
      <c r="AB645" s="7">
        <v>107.91800000000001</v>
      </c>
      <c r="AC645" s="2"/>
    </row>
    <row r="646" spans="1:29" ht="156" x14ac:dyDescent="0.15">
      <c r="A646" s="3">
        <f>DATE(1991,9,24)</f>
        <v>33505</v>
      </c>
      <c r="B646" s="3">
        <f>DATE(1992,9,2)</f>
        <v>33849</v>
      </c>
      <c r="C646" s="2" t="s">
        <v>95</v>
      </c>
      <c r="D646" s="2" t="s">
        <v>1069</v>
      </c>
      <c r="E646" s="2" t="s">
        <v>1070</v>
      </c>
      <c r="F646" s="4">
        <v>3824</v>
      </c>
      <c r="G646" s="2" t="s">
        <v>226</v>
      </c>
      <c r="H646" s="2" t="s">
        <v>34</v>
      </c>
      <c r="I646" s="2" t="s">
        <v>2326</v>
      </c>
      <c r="J646" s="2" t="s">
        <v>2327</v>
      </c>
      <c r="K646" s="2" t="s">
        <v>223</v>
      </c>
      <c r="L646" s="2" t="s">
        <v>34</v>
      </c>
      <c r="M646" s="2"/>
      <c r="N646" s="7">
        <v>2.0630000000000002</v>
      </c>
      <c r="O646" s="7">
        <v>2.125</v>
      </c>
      <c r="P646" s="2" t="s">
        <v>2328</v>
      </c>
      <c r="Q646" s="6">
        <v>100</v>
      </c>
      <c r="R646" s="6">
        <v>0.74</v>
      </c>
      <c r="S646" s="2"/>
      <c r="T646" s="2"/>
      <c r="U646" s="5">
        <v>-0.4</v>
      </c>
      <c r="V646" s="2"/>
      <c r="W646" s="6">
        <v>1.25</v>
      </c>
      <c r="X646" s="6">
        <v>1.25</v>
      </c>
      <c r="Y646" s="6">
        <v>1.25</v>
      </c>
      <c r="Z646" s="6">
        <v>1.25</v>
      </c>
      <c r="AA646" s="6">
        <v>3.9</v>
      </c>
      <c r="AB646" s="2" t="s">
        <v>47</v>
      </c>
      <c r="AC646" s="2"/>
    </row>
    <row r="647" spans="1:29" ht="130" x14ac:dyDescent="0.15">
      <c r="A647" s="3">
        <f>DATE(1991,9,24)</f>
        <v>33505</v>
      </c>
      <c r="B647" s="3">
        <f>DATE(1992,4,24)</f>
        <v>33718</v>
      </c>
      <c r="C647" s="2" t="s">
        <v>95</v>
      </c>
      <c r="D647" s="2" t="s">
        <v>1634</v>
      </c>
      <c r="E647" s="2" t="s">
        <v>1635</v>
      </c>
      <c r="F647" s="4">
        <v>3312</v>
      </c>
      <c r="G647" s="2" t="s">
        <v>163</v>
      </c>
      <c r="H647" s="2" t="s">
        <v>34</v>
      </c>
      <c r="I647" s="2" t="s">
        <v>1636</v>
      </c>
      <c r="J647" s="2" t="s">
        <v>1637</v>
      </c>
      <c r="K647" s="2" t="s">
        <v>163</v>
      </c>
      <c r="L647" s="2" t="s">
        <v>34</v>
      </c>
      <c r="M647" s="7">
        <v>409.28899999999999</v>
      </c>
      <c r="N647" s="6">
        <v>4.75</v>
      </c>
      <c r="O647" s="7">
        <v>4.875</v>
      </c>
      <c r="P647" s="2" t="s">
        <v>2329</v>
      </c>
      <c r="Q647" s="6">
        <v>100</v>
      </c>
      <c r="R647" s="6">
        <v>22</v>
      </c>
      <c r="S647" s="5">
        <v>2.1</v>
      </c>
      <c r="T647" s="7">
        <v>41.219000000000001</v>
      </c>
      <c r="U647" s="5">
        <v>10</v>
      </c>
      <c r="V647" s="6">
        <v>-0.42</v>
      </c>
      <c r="W647" s="6">
        <v>16.25</v>
      </c>
      <c r="X647" s="7">
        <v>17.125</v>
      </c>
      <c r="Y647" s="7">
        <v>19.875</v>
      </c>
      <c r="Z647" s="6">
        <v>19.75</v>
      </c>
      <c r="AA647" s="6">
        <v>7.1</v>
      </c>
      <c r="AB647" s="7">
        <v>9.3710000000000004</v>
      </c>
      <c r="AC647" s="2"/>
    </row>
    <row r="648" spans="1:29" ht="143" x14ac:dyDescent="0.15">
      <c r="A648" s="3">
        <f>DATE(1991,9,24)</f>
        <v>33505</v>
      </c>
      <c r="B648" s="3">
        <f>DATE(1992,4,30)</f>
        <v>33724</v>
      </c>
      <c r="C648" s="2" t="s">
        <v>95</v>
      </c>
      <c r="D648" s="2" t="s">
        <v>2330</v>
      </c>
      <c r="E648" s="2" t="s">
        <v>1467</v>
      </c>
      <c r="F648" s="4">
        <v>4812</v>
      </c>
      <c r="G648" s="2" t="s">
        <v>63</v>
      </c>
      <c r="H648" s="2" t="s">
        <v>34</v>
      </c>
      <c r="I648" s="2" t="s">
        <v>2331</v>
      </c>
      <c r="J648" s="2" t="s">
        <v>1604</v>
      </c>
      <c r="K648" s="2" t="s">
        <v>63</v>
      </c>
      <c r="L648" s="2" t="s">
        <v>34</v>
      </c>
      <c r="M648" s="12">
        <v>19608.094000000001</v>
      </c>
      <c r="N648" s="4">
        <v>46</v>
      </c>
      <c r="O648" s="7">
        <v>45.125</v>
      </c>
      <c r="P648" s="2" t="s">
        <v>2332</v>
      </c>
      <c r="Q648" s="6">
        <v>100</v>
      </c>
      <c r="R648" s="6">
        <v>24.73</v>
      </c>
      <c r="S648" s="5">
        <v>-80.099999999999994</v>
      </c>
      <c r="T648" s="7">
        <v>35.131</v>
      </c>
      <c r="U648" s="5">
        <v>-6</v>
      </c>
      <c r="V648" s="6">
        <v>-1.27</v>
      </c>
      <c r="W648" s="6">
        <v>18.75</v>
      </c>
      <c r="X648" s="7">
        <v>19.125</v>
      </c>
      <c r="Y648" s="4">
        <v>21</v>
      </c>
      <c r="Z648" s="7">
        <v>21.125</v>
      </c>
      <c r="AA648" s="6">
        <v>64.64</v>
      </c>
      <c r="AB648" s="7">
        <v>923.51199999999994</v>
      </c>
      <c r="AC648" s="5">
        <v>109.7</v>
      </c>
    </row>
    <row r="649" spans="1:29" ht="130" x14ac:dyDescent="0.15">
      <c r="A649" s="3">
        <f>DATE(1991,9,25)</f>
        <v>33506</v>
      </c>
      <c r="B649" s="3">
        <f>DATE(1992,9,11)</f>
        <v>33858</v>
      </c>
      <c r="C649" s="2" t="s">
        <v>95</v>
      </c>
      <c r="D649" s="2" t="s">
        <v>2333</v>
      </c>
      <c r="E649" s="2" t="s">
        <v>32</v>
      </c>
      <c r="F649" s="4">
        <v>6035</v>
      </c>
      <c r="G649" s="2" t="s">
        <v>33</v>
      </c>
      <c r="H649" s="2" t="s">
        <v>34</v>
      </c>
      <c r="I649" s="2" t="s">
        <v>1066</v>
      </c>
      <c r="J649" s="2" t="s">
        <v>1067</v>
      </c>
      <c r="K649" s="2" t="s">
        <v>37</v>
      </c>
      <c r="L649" s="2" t="s">
        <v>34</v>
      </c>
      <c r="M649" s="2"/>
      <c r="N649" s="4">
        <v>42</v>
      </c>
      <c r="O649" s="7">
        <v>42.125</v>
      </c>
      <c r="P649" s="2" t="s">
        <v>2334</v>
      </c>
      <c r="Q649" s="6">
        <v>100</v>
      </c>
      <c r="R649" s="6">
        <v>19.739999999999998</v>
      </c>
      <c r="S649" s="2"/>
      <c r="T649" s="2"/>
      <c r="U649" s="2"/>
      <c r="V649" s="2"/>
      <c r="W649" s="5">
        <v>8.5</v>
      </c>
      <c r="X649" s="5">
        <v>9.5</v>
      </c>
      <c r="Y649" s="7">
        <v>9.625</v>
      </c>
      <c r="Z649" s="5">
        <v>10.5</v>
      </c>
      <c r="AA649" s="6">
        <v>1.69</v>
      </c>
      <c r="AB649" s="2" t="s">
        <v>47</v>
      </c>
      <c r="AC649" s="2"/>
    </row>
    <row r="650" spans="1:29" ht="130" x14ac:dyDescent="0.15">
      <c r="A650" s="3">
        <f>DATE(1991,10,1)</f>
        <v>33512</v>
      </c>
      <c r="B650" s="2"/>
      <c r="C650" s="2" t="s">
        <v>30</v>
      </c>
      <c r="D650" s="2" t="s">
        <v>2335</v>
      </c>
      <c r="E650" s="2" t="s">
        <v>36</v>
      </c>
      <c r="F650" s="4">
        <v>6035</v>
      </c>
      <c r="G650" s="2" t="s">
        <v>33</v>
      </c>
      <c r="H650" s="2" t="s">
        <v>34</v>
      </c>
      <c r="I650" s="2" t="s">
        <v>2336</v>
      </c>
      <c r="J650" s="2" t="s">
        <v>2337</v>
      </c>
      <c r="K650" s="2" t="s">
        <v>37</v>
      </c>
      <c r="L650" s="2" t="s">
        <v>34</v>
      </c>
      <c r="M650" s="7">
        <v>328.35399999999998</v>
      </c>
      <c r="N650" s="7">
        <v>28.375</v>
      </c>
      <c r="O650" s="7">
        <v>28.375</v>
      </c>
      <c r="P650" s="2" t="s">
        <v>2338</v>
      </c>
      <c r="Q650" s="2"/>
      <c r="R650" s="6">
        <v>9.49</v>
      </c>
      <c r="S650" s="5">
        <v>1.1000000000000001</v>
      </c>
      <c r="T650" s="7">
        <v>1.831</v>
      </c>
      <c r="U650" s="5">
        <v>9.8000000000000007</v>
      </c>
      <c r="V650" s="6">
        <v>0.79</v>
      </c>
      <c r="W650" s="5">
        <v>6.5</v>
      </c>
      <c r="X650" s="5">
        <v>6.5</v>
      </c>
      <c r="Y650" s="5">
        <v>8.5</v>
      </c>
      <c r="Z650" s="5">
        <v>8.5</v>
      </c>
      <c r="AA650" s="6">
        <v>1.34</v>
      </c>
      <c r="AB650" s="2" t="s">
        <v>86</v>
      </c>
      <c r="AC650" s="2"/>
    </row>
    <row r="651" spans="1:29" ht="65" x14ac:dyDescent="0.15">
      <c r="A651" s="3">
        <f>DATE(1991,10,2)</f>
        <v>33513</v>
      </c>
      <c r="B651" s="2"/>
      <c r="C651" s="2" t="s">
        <v>30</v>
      </c>
      <c r="D651" s="2" t="s">
        <v>2339</v>
      </c>
      <c r="E651" s="2" t="s">
        <v>2340</v>
      </c>
      <c r="F651" s="4">
        <v>6792</v>
      </c>
      <c r="G651" s="2" t="s">
        <v>53</v>
      </c>
      <c r="H651" s="2" t="s">
        <v>34</v>
      </c>
      <c r="I651" s="2" t="s">
        <v>2341</v>
      </c>
      <c r="J651" s="2" t="s">
        <v>612</v>
      </c>
      <c r="K651" s="2" t="s">
        <v>148</v>
      </c>
      <c r="L651" s="2" t="s">
        <v>34</v>
      </c>
      <c r="M651" s="2"/>
      <c r="N651" s="7">
        <v>39.375</v>
      </c>
      <c r="O651" s="7">
        <v>39.375</v>
      </c>
      <c r="P651" s="2" t="s">
        <v>2342</v>
      </c>
      <c r="Q651" s="2"/>
      <c r="R651" s="6">
        <v>2.75</v>
      </c>
      <c r="S651" s="5">
        <v>10.9</v>
      </c>
      <c r="T651" s="2"/>
      <c r="U651" s="5">
        <v>0.7</v>
      </c>
      <c r="V651" s="9">
        <v>0.57410000000000005</v>
      </c>
      <c r="W651" s="7">
        <v>1.875</v>
      </c>
      <c r="X651" s="6">
        <v>2.25</v>
      </c>
      <c r="Y651" s="5">
        <v>2.5</v>
      </c>
      <c r="Z651" s="7">
        <v>2.375</v>
      </c>
      <c r="AA651" s="6">
        <v>18.98</v>
      </c>
      <c r="AB651" s="7">
        <v>4.7720000000000002</v>
      </c>
      <c r="AC651" s="5">
        <v>29.9</v>
      </c>
    </row>
    <row r="652" spans="1:29" ht="156" x14ac:dyDescent="0.15">
      <c r="A652" s="3">
        <f>DATE(1991,10,2)</f>
        <v>33513</v>
      </c>
      <c r="B652" s="3">
        <f>DATE(1992,7,1)</f>
        <v>33786</v>
      </c>
      <c r="C652" s="2" t="s">
        <v>95</v>
      </c>
      <c r="D652" s="2" t="s">
        <v>2343</v>
      </c>
      <c r="E652" s="2" t="s">
        <v>389</v>
      </c>
      <c r="F652" s="4">
        <v>6036</v>
      </c>
      <c r="G652" s="2" t="s">
        <v>33</v>
      </c>
      <c r="H652" s="2" t="s">
        <v>34</v>
      </c>
      <c r="I652" s="2" t="s">
        <v>2216</v>
      </c>
      <c r="J652" s="2" t="s">
        <v>36</v>
      </c>
      <c r="K652" s="2" t="s">
        <v>37</v>
      </c>
      <c r="L652" s="2" t="s">
        <v>34</v>
      </c>
      <c r="M652" s="2"/>
      <c r="N652" s="6">
        <v>24.75</v>
      </c>
      <c r="O652" s="6">
        <v>25.25</v>
      </c>
      <c r="P652" s="2" t="s">
        <v>2344</v>
      </c>
      <c r="Q652" s="6">
        <v>100</v>
      </c>
      <c r="R652" s="6">
        <v>7.93</v>
      </c>
      <c r="S652" s="5">
        <v>1.1000000000000001</v>
      </c>
      <c r="T652" s="7">
        <v>3.7480000000000002</v>
      </c>
      <c r="U652" s="5">
        <v>19</v>
      </c>
      <c r="V652" s="6">
        <v>0.46</v>
      </c>
      <c r="W652" s="7">
        <v>6.125</v>
      </c>
      <c r="X652" s="7">
        <v>4.375</v>
      </c>
      <c r="Y652" s="7">
        <v>4.375</v>
      </c>
      <c r="Z652" s="6">
        <v>4.25</v>
      </c>
      <c r="AA652" s="6">
        <v>2.2799999999999998</v>
      </c>
      <c r="AB652" s="7">
        <v>651.65599999999995</v>
      </c>
      <c r="AC652" s="2"/>
    </row>
    <row r="653" spans="1:29" ht="104" x14ac:dyDescent="0.15">
      <c r="A653" s="3">
        <f>DATE(1991,10,2)</f>
        <v>33513</v>
      </c>
      <c r="B653" s="3">
        <f>DATE(1991,12,31)</f>
        <v>33603</v>
      </c>
      <c r="C653" s="2" t="s">
        <v>95</v>
      </c>
      <c r="D653" s="2" t="s">
        <v>2345</v>
      </c>
      <c r="E653" s="2" t="s">
        <v>2346</v>
      </c>
      <c r="F653" s="4">
        <v>7373</v>
      </c>
      <c r="G653" s="2" t="s">
        <v>223</v>
      </c>
      <c r="H653" s="2" t="s">
        <v>34</v>
      </c>
      <c r="I653" s="2" t="s">
        <v>569</v>
      </c>
      <c r="J653" s="2" t="s">
        <v>2347</v>
      </c>
      <c r="K653" s="2" t="s">
        <v>551</v>
      </c>
      <c r="L653" s="2" t="s">
        <v>34</v>
      </c>
      <c r="M653" s="7">
        <v>562.74099999999999</v>
      </c>
      <c r="N653" s="7">
        <v>17.375</v>
      </c>
      <c r="O653" s="4">
        <v>17</v>
      </c>
      <c r="P653" s="2" t="s">
        <v>2348</v>
      </c>
      <c r="Q653" s="6">
        <v>100</v>
      </c>
      <c r="R653" s="6">
        <v>6.28</v>
      </c>
      <c r="S653" s="5">
        <v>6</v>
      </c>
      <c r="T653" s="7">
        <v>19.984999999999999</v>
      </c>
      <c r="U653" s="5">
        <v>1.4</v>
      </c>
      <c r="V653" s="6">
        <v>0.13</v>
      </c>
      <c r="W653" s="7">
        <v>4.375</v>
      </c>
      <c r="X653" s="6">
        <v>4.25</v>
      </c>
      <c r="Y653" s="6">
        <v>4.25</v>
      </c>
      <c r="Z653" s="4">
        <v>5</v>
      </c>
      <c r="AA653" s="6">
        <v>32.200000000000003</v>
      </c>
      <c r="AB653" s="7">
        <v>26.094000000000001</v>
      </c>
      <c r="AC653" s="6">
        <v>91.19</v>
      </c>
    </row>
    <row r="654" spans="1:29" ht="143" x14ac:dyDescent="0.15">
      <c r="A654" s="3">
        <f>DATE(1991,10,8)</f>
        <v>33519</v>
      </c>
      <c r="B654" s="2"/>
      <c r="C654" s="2" t="s">
        <v>30</v>
      </c>
      <c r="D654" s="2" t="s">
        <v>2349</v>
      </c>
      <c r="E654" s="2" t="s">
        <v>2350</v>
      </c>
      <c r="F654" s="4">
        <v>3531</v>
      </c>
      <c r="G654" s="2" t="s">
        <v>300</v>
      </c>
      <c r="H654" s="2" t="s">
        <v>34</v>
      </c>
      <c r="I654" s="2" t="s">
        <v>51</v>
      </c>
      <c r="J654" s="2" t="s">
        <v>52</v>
      </c>
      <c r="K654" s="2" t="s">
        <v>53</v>
      </c>
      <c r="L654" s="2" t="s">
        <v>34</v>
      </c>
      <c r="M654" s="2"/>
      <c r="N654" s="2"/>
      <c r="O654" s="2"/>
      <c r="P654" s="2" t="s">
        <v>2351</v>
      </c>
      <c r="Q654" s="2"/>
      <c r="R654" s="6">
        <v>14</v>
      </c>
      <c r="S654" s="5">
        <v>-3.2</v>
      </c>
      <c r="T654" s="7">
        <v>0.54600000000000004</v>
      </c>
      <c r="U654" s="5">
        <v>0.5</v>
      </c>
      <c r="V654" s="9">
        <v>-3.7900000000000003E-2</v>
      </c>
      <c r="W654" s="6">
        <v>12.25</v>
      </c>
      <c r="X654" s="5">
        <v>11.5</v>
      </c>
      <c r="Y654" s="4">
        <v>12</v>
      </c>
      <c r="Z654" s="4">
        <v>12</v>
      </c>
      <c r="AA654" s="6">
        <v>3.57</v>
      </c>
      <c r="AB654" s="2" t="s">
        <v>86</v>
      </c>
      <c r="AC654" s="2"/>
    </row>
    <row r="655" spans="1:29" ht="130" x14ac:dyDescent="0.15">
      <c r="A655" s="3">
        <f>DATE(1991,10,11)</f>
        <v>33522</v>
      </c>
      <c r="B655" s="3">
        <f>DATE(1992,4,1)</f>
        <v>33695</v>
      </c>
      <c r="C655" s="2" t="s">
        <v>95</v>
      </c>
      <c r="D655" s="2" t="s">
        <v>2352</v>
      </c>
      <c r="E655" s="2" t="s">
        <v>1181</v>
      </c>
      <c r="F655" s="4">
        <v>6021</v>
      </c>
      <c r="G655" s="2" t="s">
        <v>37</v>
      </c>
      <c r="H655" s="2" t="s">
        <v>34</v>
      </c>
      <c r="I655" s="2" t="s">
        <v>2353</v>
      </c>
      <c r="J655" s="2" t="s">
        <v>36</v>
      </c>
      <c r="K655" s="2" t="s">
        <v>37</v>
      </c>
      <c r="L655" s="2" t="s">
        <v>34</v>
      </c>
      <c r="M655" s="12">
        <v>1624.2339999999999</v>
      </c>
      <c r="N655" s="6">
        <v>44.25</v>
      </c>
      <c r="O655" s="7">
        <v>43.875</v>
      </c>
      <c r="P655" s="2" t="s">
        <v>2354</v>
      </c>
      <c r="Q655" s="6">
        <v>100</v>
      </c>
      <c r="R655" s="6">
        <v>7.48</v>
      </c>
      <c r="S655" s="5">
        <v>8.6999999999999993</v>
      </c>
      <c r="T655" s="7">
        <v>15.712</v>
      </c>
      <c r="U655" s="5">
        <v>6.6</v>
      </c>
      <c r="V655" s="6">
        <v>0.72</v>
      </c>
      <c r="W655" s="5">
        <v>6.5</v>
      </c>
      <c r="X655" s="5">
        <v>6.5</v>
      </c>
      <c r="Y655" s="5">
        <v>6.5</v>
      </c>
      <c r="Z655" s="6">
        <v>6.75</v>
      </c>
      <c r="AA655" s="6">
        <v>17.77</v>
      </c>
      <c r="AB655" s="7">
        <v>101.60899999999999</v>
      </c>
      <c r="AC655" s="2"/>
    </row>
    <row r="656" spans="1:29" ht="39" x14ac:dyDescent="0.15">
      <c r="A656" s="3">
        <f>DATE(1991,10,14)</f>
        <v>33525</v>
      </c>
      <c r="B656" s="3">
        <f>DATE(1991,11,14)</f>
        <v>33556</v>
      </c>
      <c r="C656" s="2" t="s">
        <v>95</v>
      </c>
      <c r="D656" s="2" t="s">
        <v>2355</v>
      </c>
      <c r="E656" s="2" t="s">
        <v>2356</v>
      </c>
      <c r="F656" s="4">
        <v>4522</v>
      </c>
      <c r="G656" s="2" t="s">
        <v>59</v>
      </c>
      <c r="H656" s="2" t="s">
        <v>34</v>
      </c>
      <c r="I656" s="2" t="s">
        <v>2357</v>
      </c>
      <c r="J656" s="2" t="s">
        <v>2358</v>
      </c>
      <c r="K656" s="2" t="s">
        <v>223</v>
      </c>
      <c r="L656" s="2" t="s">
        <v>34</v>
      </c>
      <c r="M656" s="6">
        <v>12.75</v>
      </c>
      <c r="N656" s="7">
        <v>1.125</v>
      </c>
      <c r="O656" s="11">
        <v>1.15625</v>
      </c>
      <c r="P656" s="2" t="s">
        <v>2359</v>
      </c>
      <c r="Q656" s="6">
        <v>100</v>
      </c>
      <c r="R656" s="2"/>
      <c r="S656" s="5">
        <v>-0.4</v>
      </c>
      <c r="T656" s="7">
        <v>1.8759999999999999</v>
      </c>
      <c r="U656" s="5">
        <v>0.2</v>
      </c>
      <c r="V656" s="2"/>
      <c r="W656" s="4">
        <v>1</v>
      </c>
      <c r="X656" s="4">
        <v>1</v>
      </c>
      <c r="Y656" s="4">
        <v>1</v>
      </c>
      <c r="Z656" s="4">
        <v>1</v>
      </c>
      <c r="AA656" s="2"/>
      <c r="AB656" s="2" t="s">
        <v>47</v>
      </c>
      <c r="AC656" s="2"/>
    </row>
    <row r="657" spans="1:29" ht="52" x14ac:dyDescent="0.15">
      <c r="A657" s="3">
        <f>DATE(1991,10,14)</f>
        <v>33525</v>
      </c>
      <c r="B657" s="3">
        <f>DATE(1991,10,23)</f>
        <v>33534</v>
      </c>
      <c r="C657" s="2" t="s">
        <v>95</v>
      </c>
      <c r="D657" s="2" t="s">
        <v>2360</v>
      </c>
      <c r="E657" s="2" t="s">
        <v>2361</v>
      </c>
      <c r="F657" s="4">
        <v>7822</v>
      </c>
      <c r="G657" s="2" t="s">
        <v>42</v>
      </c>
      <c r="H657" s="2" t="s">
        <v>34</v>
      </c>
      <c r="I657" s="2" t="s">
        <v>2362</v>
      </c>
      <c r="J657" s="2" t="s">
        <v>150</v>
      </c>
      <c r="K657" s="2" t="s">
        <v>53</v>
      </c>
      <c r="L657" s="2" t="s">
        <v>34</v>
      </c>
      <c r="M657" s="2"/>
      <c r="N657" s="2"/>
      <c r="O657" s="2"/>
      <c r="P657" s="2" t="s">
        <v>2363</v>
      </c>
      <c r="Q657" s="6">
        <v>51</v>
      </c>
      <c r="R657" s="2"/>
      <c r="S657" s="5">
        <v>-8</v>
      </c>
      <c r="T657" s="2"/>
      <c r="U657" s="5">
        <v>20.2</v>
      </c>
      <c r="V657" s="2"/>
      <c r="W657" s="7">
        <v>2.875</v>
      </c>
      <c r="X657" s="7">
        <v>3.875</v>
      </c>
      <c r="Y657" s="7">
        <v>3.875</v>
      </c>
      <c r="Z657" s="4">
        <v>4</v>
      </c>
      <c r="AA657" s="6">
        <v>1</v>
      </c>
      <c r="AB657" s="2" t="s">
        <v>86</v>
      </c>
      <c r="AC657" s="2"/>
    </row>
    <row r="658" spans="1:29" ht="130" x14ac:dyDescent="0.15">
      <c r="A658" s="3">
        <f>DATE(1991,10,14)</f>
        <v>33525</v>
      </c>
      <c r="B658" s="3">
        <f>DATE(1992,3,31)</f>
        <v>33694</v>
      </c>
      <c r="C658" s="2" t="s">
        <v>95</v>
      </c>
      <c r="D658" s="2" t="s">
        <v>2364</v>
      </c>
      <c r="E658" s="2" t="s">
        <v>2365</v>
      </c>
      <c r="F658" s="4">
        <v>5499</v>
      </c>
      <c r="G658" s="2" t="s">
        <v>1461</v>
      </c>
      <c r="H658" s="2" t="s">
        <v>34</v>
      </c>
      <c r="I658" s="2" t="s">
        <v>2366</v>
      </c>
      <c r="J658" s="2" t="s">
        <v>2367</v>
      </c>
      <c r="K658" s="2" t="s">
        <v>53</v>
      </c>
      <c r="L658" s="2" t="s">
        <v>34</v>
      </c>
      <c r="M658" s="2"/>
      <c r="N658" s="2"/>
      <c r="O658" s="2"/>
      <c r="P658" s="2" t="s">
        <v>2368</v>
      </c>
      <c r="Q658" s="6">
        <v>100</v>
      </c>
      <c r="R658" s="2"/>
      <c r="S658" s="5">
        <v>2</v>
      </c>
      <c r="T658" s="7">
        <v>3.956</v>
      </c>
      <c r="U658" s="2"/>
      <c r="V658" s="2"/>
      <c r="W658" s="5">
        <v>5.5</v>
      </c>
      <c r="X658" s="5">
        <v>5.5</v>
      </c>
      <c r="Y658" s="5">
        <v>5.5</v>
      </c>
      <c r="Z658" s="7">
        <v>4.625</v>
      </c>
      <c r="AA658" s="6">
        <v>0.01</v>
      </c>
      <c r="AB658" s="7">
        <v>8.4250000000000007</v>
      </c>
      <c r="AC658" s="2"/>
    </row>
    <row r="659" spans="1:29" ht="91" x14ac:dyDescent="0.15">
      <c r="A659" s="3">
        <f>DATE(1991,10,15)</f>
        <v>33526</v>
      </c>
      <c r="B659" s="3">
        <f>DATE(1992,8,10)</f>
        <v>33826</v>
      </c>
      <c r="C659" s="2" t="s">
        <v>95</v>
      </c>
      <c r="D659" s="2" t="s">
        <v>2369</v>
      </c>
      <c r="E659" s="2" t="s">
        <v>1181</v>
      </c>
      <c r="F659" s="4">
        <v>6021</v>
      </c>
      <c r="G659" s="2" t="s">
        <v>37</v>
      </c>
      <c r="H659" s="2" t="s">
        <v>34</v>
      </c>
      <c r="I659" s="2" t="s">
        <v>149</v>
      </c>
      <c r="J659" s="2" t="s">
        <v>150</v>
      </c>
      <c r="K659" s="2" t="s">
        <v>53</v>
      </c>
      <c r="L659" s="2" t="s">
        <v>151</v>
      </c>
      <c r="M659" s="2"/>
      <c r="N659" s="2"/>
      <c r="O659" s="2"/>
      <c r="P659" s="2" t="s">
        <v>2370</v>
      </c>
      <c r="Q659" s="6">
        <v>80</v>
      </c>
      <c r="R659" s="2"/>
      <c r="S659" s="2"/>
      <c r="T659" s="2"/>
      <c r="U659" s="2"/>
      <c r="V659" s="2"/>
      <c r="W659" s="11">
        <v>2.09375</v>
      </c>
      <c r="X659" s="6">
        <v>2.75</v>
      </c>
      <c r="Y659" s="6">
        <v>1.75</v>
      </c>
      <c r="Z659" s="4">
        <v>2</v>
      </c>
      <c r="AA659" s="6">
        <v>0.04</v>
      </c>
      <c r="AB659" s="2" t="s">
        <v>47</v>
      </c>
      <c r="AC659" s="2"/>
    </row>
    <row r="660" spans="1:29" ht="169" x14ac:dyDescent="0.15">
      <c r="A660" s="3">
        <f>DATE(1991,10,15)</f>
        <v>33526</v>
      </c>
      <c r="B660" s="3">
        <f>DATE(1992,1,21)</f>
        <v>33624</v>
      </c>
      <c r="C660" s="2" t="s">
        <v>95</v>
      </c>
      <c r="D660" s="2" t="s">
        <v>2371</v>
      </c>
      <c r="E660" s="2" t="s">
        <v>2372</v>
      </c>
      <c r="F660" s="4">
        <v>2731</v>
      </c>
      <c r="G660" s="2" t="s">
        <v>186</v>
      </c>
      <c r="H660" s="2" t="s">
        <v>34</v>
      </c>
      <c r="I660" s="2" t="s">
        <v>2373</v>
      </c>
      <c r="J660" s="2" t="s">
        <v>268</v>
      </c>
      <c r="K660" s="2" t="s">
        <v>269</v>
      </c>
      <c r="L660" s="2" t="s">
        <v>34</v>
      </c>
      <c r="M660" s="7">
        <v>947.35699999999997</v>
      </c>
      <c r="N660" s="7">
        <v>26.875</v>
      </c>
      <c r="O660" s="4">
        <v>28</v>
      </c>
      <c r="P660" s="2" t="s">
        <v>2374</v>
      </c>
      <c r="Q660" s="6">
        <v>100</v>
      </c>
      <c r="R660" s="6">
        <v>30.53</v>
      </c>
      <c r="S660" s="5">
        <v>10.6</v>
      </c>
      <c r="T660" s="7">
        <v>23.510999999999999</v>
      </c>
      <c r="U660" s="5">
        <v>-0.7</v>
      </c>
      <c r="V660" s="6">
        <v>1.26</v>
      </c>
      <c r="W660" s="7">
        <v>16.625</v>
      </c>
      <c r="X660" s="7">
        <v>16.125</v>
      </c>
      <c r="Y660" s="7">
        <v>27.625</v>
      </c>
      <c r="Z660" s="7">
        <v>29.125</v>
      </c>
      <c r="AA660" s="6">
        <v>7.92</v>
      </c>
      <c r="AB660" s="7">
        <v>12.225</v>
      </c>
      <c r="AC660" s="6">
        <v>13.26</v>
      </c>
    </row>
    <row r="661" spans="1:29" ht="143" x14ac:dyDescent="0.15">
      <c r="A661" s="3">
        <f>DATE(1991,10,16)</f>
        <v>33527</v>
      </c>
      <c r="B661" s="3">
        <f>DATE(1992,6,26)</f>
        <v>33781</v>
      </c>
      <c r="C661" s="2" t="s">
        <v>95</v>
      </c>
      <c r="D661" s="2" t="s">
        <v>2375</v>
      </c>
      <c r="E661" s="2" t="s">
        <v>2376</v>
      </c>
      <c r="F661" s="4">
        <v>4841</v>
      </c>
      <c r="G661" s="2" t="s">
        <v>45</v>
      </c>
      <c r="H661" s="2" t="s">
        <v>34</v>
      </c>
      <c r="I661" s="2" t="s">
        <v>2377</v>
      </c>
      <c r="J661" s="2" t="s">
        <v>2378</v>
      </c>
      <c r="K661" s="2" t="s">
        <v>42</v>
      </c>
      <c r="L661" s="2" t="s">
        <v>34</v>
      </c>
      <c r="M661" s="2"/>
      <c r="N661" s="4">
        <v>85</v>
      </c>
      <c r="O661" s="7">
        <v>84.625</v>
      </c>
      <c r="P661" s="2" t="s">
        <v>2379</v>
      </c>
      <c r="Q661" s="6">
        <v>18.07</v>
      </c>
      <c r="R661" s="6">
        <v>82.5</v>
      </c>
      <c r="S661" s="5">
        <v>120.4</v>
      </c>
      <c r="T661" s="6">
        <v>506.83</v>
      </c>
      <c r="U661" s="5">
        <v>4.8</v>
      </c>
      <c r="V661" s="6">
        <v>1.1000000000000001</v>
      </c>
      <c r="W661" s="6">
        <v>49.25</v>
      </c>
      <c r="X661" s="5">
        <v>49.5</v>
      </c>
      <c r="Y661" s="6">
        <v>50.25</v>
      </c>
      <c r="Z661" s="6">
        <v>52.25</v>
      </c>
      <c r="AA661" s="6">
        <v>114</v>
      </c>
      <c r="AB661" s="7">
        <v>32.536999999999999</v>
      </c>
      <c r="AC661" s="5">
        <v>172</v>
      </c>
    </row>
    <row r="662" spans="1:29" ht="65" x14ac:dyDescent="0.15">
      <c r="A662" s="3">
        <f>DATE(1991,10,18)</f>
        <v>33529</v>
      </c>
      <c r="B662" s="2"/>
      <c r="C662" s="2" t="s">
        <v>87</v>
      </c>
      <c r="D662" s="2" t="s">
        <v>2380</v>
      </c>
      <c r="E662" s="2" t="s">
        <v>2381</v>
      </c>
      <c r="F662" s="4">
        <v>8731</v>
      </c>
      <c r="G662" s="2" t="s">
        <v>223</v>
      </c>
      <c r="H662" s="2" t="s">
        <v>34</v>
      </c>
      <c r="I662" s="2" t="s">
        <v>51</v>
      </c>
      <c r="J662" s="2" t="s">
        <v>52</v>
      </c>
      <c r="K662" s="2" t="s">
        <v>53</v>
      </c>
      <c r="L662" s="2" t="s">
        <v>34</v>
      </c>
      <c r="M662" s="2"/>
      <c r="N662" s="2"/>
      <c r="O662" s="2"/>
      <c r="P662" s="2" t="s">
        <v>2382</v>
      </c>
      <c r="Q662" s="2"/>
      <c r="R662" s="2"/>
      <c r="S662" s="5">
        <v>-0.4</v>
      </c>
      <c r="T662" s="2"/>
      <c r="U662" s="5">
        <v>0.3</v>
      </c>
      <c r="V662" s="7">
        <v>-0.10299999999999999</v>
      </c>
      <c r="W662" s="6">
        <v>2.75</v>
      </c>
      <c r="X662" s="9">
        <v>2.6875</v>
      </c>
      <c r="Y662" s="7">
        <v>3.125</v>
      </c>
      <c r="Z662" s="7">
        <v>2.875</v>
      </c>
      <c r="AA662" s="2"/>
      <c r="AB662" s="2" t="s">
        <v>47</v>
      </c>
      <c r="AC662" s="2"/>
    </row>
    <row r="663" spans="1:29" ht="130" x14ac:dyDescent="0.15">
      <c r="A663" s="3">
        <f>DATE(1991,10,18)</f>
        <v>33529</v>
      </c>
      <c r="B663" s="3">
        <f>DATE(1992,10,29)</f>
        <v>33906</v>
      </c>
      <c r="C663" s="2" t="s">
        <v>95</v>
      </c>
      <c r="D663" s="2" t="s">
        <v>2383</v>
      </c>
      <c r="E663" s="2" t="s">
        <v>2384</v>
      </c>
      <c r="F663" s="4">
        <v>2834</v>
      </c>
      <c r="G663" s="2" t="s">
        <v>130</v>
      </c>
      <c r="H663" s="2" t="s">
        <v>34</v>
      </c>
      <c r="I663" s="2" t="s">
        <v>2380</v>
      </c>
      <c r="J663" s="2" t="s">
        <v>2381</v>
      </c>
      <c r="K663" s="2" t="s">
        <v>223</v>
      </c>
      <c r="L663" s="2" t="s">
        <v>34</v>
      </c>
      <c r="M663" s="7">
        <v>16.062000000000001</v>
      </c>
      <c r="N663" s="7">
        <v>3.125</v>
      </c>
      <c r="O663" s="7">
        <v>2.875</v>
      </c>
      <c r="P663" s="2" t="s">
        <v>2385</v>
      </c>
      <c r="Q663" s="6">
        <v>100</v>
      </c>
      <c r="R663" s="6">
        <v>3.99</v>
      </c>
      <c r="S663" s="5">
        <v>-3.7</v>
      </c>
      <c r="T663" s="7">
        <v>-3.4220000000000002</v>
      </c>
      <c r="U663" s="2"/>
      <c r="V663" s="6">
        <v>-0.27</v>
      </c>
      <c r="W663" s="7">
        <v>2.625</v>
      </c>
      <c r="X663" s="5">
        <v>2.5</v>
      </c>
      <c r="Y663" s="7">
        <v>2.9380000000000002</v>
      </c>
      <c r="Z663" s="7">
        <v>2.625</v>
      </c>
      <c r="AA663" s="6">
        <v>16.3</v>
      </c>
      <c r="AB663" s="2" t="s">
        <v>86</v>
      </c>
      <c r="AC663" s="2"/>
    </row>
    <row r="664" spans="1:29" ht="156" x14ac:dyDescent="0.15">
      <c r="A664" s="3">
        <f>DATE(1991,10,21)</f>
        <v>33532</v>
      </c>
      <c r="B664" s="3">
        <f>DATE(1993,11,9)</f>
        <v>34282</v>
      </c>
      <c r="C664" s="2" t="s">
        <v>95</v>
      </c>
      <c r="D664" s="2" t="s">
        <v>632</v>
      </c>
      <c r="E664" s="2" t="s">
        <v>36</v>
      </c>
      <c r="F664" s="4">
        <v>6211</v>
      </c>
      <c r="G664" s="2" t="s">
        <v>53</v>
      </c>
      <c r="H664" s="2" t="s">
        <v>34</v>
      </c>
      <c r="I664" s="2" t="s">
        <v>2386</v>
      </c>
      <c r="J664" s="2" t="s">
        <v>36</v>
      </c>
      <c r="K664" s="2" t="s">
        <v>37</v>
      </c>
      <c r="L664" s="2" t="s">
        <v>34</v>
      </c>
      <c r="M664" s="7">
        <v>38.661000000000001</v>
      </c>
      <c r="N664" s="5">
        <v>7.5</v>
      </c>
      <c r="O664" s="7">
        <v>7.875</v>
      </c>
      <c r="P664" s="2" t="s">
        <v>2387</v>
      </c>
      <c r="Q664" s="6">
        <v>100</v>
      </c>
      <c r="R664" s="6">
        <v>7.4</v>
      </c>
      <c r="S664" s="5">
        <v>0.2</v>
      </c>
      <c r="T664" s="7">
        <v>1.2509999999999999</v>
      </c>
      <c r="U664" s="5">
        <v>8</v>
      </c>
      <c r="V664" s="2"/>
      <c r="W664" s="6">
        <v>4.25</v>
      </c>
      <c r="X664" s="5">
        <v>5.5</v>
      </c>
      <c r="Y664" s="6">
        <v>5.75</v>
      </c>
      <c r="Z664" s="6">
        <v>5.25</v>
      </c>
      <c r="AA664" s="6">
        <v>1.35</v>
      </c>
      <c r="AB664" s="7">
        <v>709.16800000000001</v>
      </c>
      <c r="AC664" s="2"/>
    </row>
    <row r="665" spans="1:29" ht="117" x14ac:dyDescent="0.15">
      <c r="A665" s="3">
        <f>DATE(1991,10,21)</f>
        <v>33532</v>
      </c>
      <c r="B665" s="3">
        <f>DATE(1992,3,31)</f>
        <v>33694</v>
      </c>
      <c r="C665" s="2" t="s">
        <v>95</v>
      </c>
      <c r="D665" s="2" t="s">
        <v>2388</v>
      </c>
      <c r="E665" s="2" t="s">
        <v>560</v>
      </c>
      <c r="F665" s="4">
        <v>4813</v>
      </c>
      <c r="G665" s="2" t="s">
        <v>63</v>
      </c>
      <c r="H665" s="2" t="s">
        <v>34</v>
      </c>
      <c r="I665" s="2" t="s">
        <v>2389</v>
      </c>
      <c r="J665" s="2" t="s">
        <v>375</v>
      </c>
      <c r="K665" s="2" t="s">
        <v>63</v>
      </c>
      <c r="L665" s="2" t="s">
        <v>34</v>
      </c>
      <c r="M665" s="7">
        <v>357.45499999999998</v>
      </c>
      <c r="N665" s="7">
        <v>28.375</v>
      </c>
      <c r="O665" s="6">
        <v>28.25</v>
      </c>
      <c r="P665" s="2" t="s">
        <v>2390</v>
      </c>
      <c r="Q665" s="6">
        <v>100</v>
      </c>
      <c r="R665" s="6">
        <v>2.2400000000000002</v>
      </c>
      <c r="S665" s="5">
        <v>-0.6</v>
      </c>
      <c r="T665" s="7">
        <v>0.33900000000000002</v>
      </c>
      <c r="U665" s="5">
        <v>0.4</v>
      </c>
      <c r="V665" s="6">
        <v>-0.16</v>
      </c>
      <c r="W665" s="5">
        <v>1.5</v>
      </c>
      <c r="X665" s="5">
        <v>1.5</v>
      </c>
      <c r="Y665" s="7">
        <v>1.625</v>
      </c>
      <c r="Z665" s="6">
        <v>1.75</v>
      </c>
      <c r="AA665" s="6">
        <v>4.5199999999999996</v>
      </c>
      <c r="AB665" s="2" t="s">
        <v>86</v>
      </c>
      <c r="AC665" s="2"/>
    </row>
    <row r="666" spans="1:29" ht="104" x14ac:dyDescent="0.15">
      <c r="A666" s="3">
        <f>DATE(1991,10,21)</f>
        <v>33532</v>
      </c>
      <c r="B666" s="3">
        <f>DATE(1992,10,20)</f>
        <v>33897</v>
      </c>
      <c r="C666" s="2" t="s">
        <v>95</v>
      </c>
      <c r="D666" s="2" t="s">
        <v>2391</v>
      </c>
      <c r="E666" s="2" t="s">
        <v>36</v>
      </c>
      <c r="F666" s="4">
        <v>6021</v>
      </c>
      <c r="G666" s="2" t="s">
        <v>37</v>
      </c>
      <c r="H666" s="2" t="s">
        <v>34</v>
      </c>
      <c r="I666" s="2" t="s">
        <v>2392</v>
      </c>
      <c r="J666" s="2" t="s">
        <v>36</v>
      </c>
      <c r="K666" s="2" t="s">
        <v>37</v>
      </c>
      <c r="L666" s="2" t="s">
        <v>34</v>
      </c>
      <c r="M666" s="2"/>
      <c r="N666" s="4">
        <v>14</v>
      </c>
      <c r="O666" s="6">
        <v>14.25</v>
      </c>
      <c r="P666" s="2" t="s">
        <v>2393</v>
      </c>
      <c r="Q666" s="6">
        <v>100</v>
      </c>
      <c r="R666" s="6">
        <v>20</v>
      </c>
      <c r="S666" s="5">
        <v>2.2000000000000002</v>
      </c>
      <c r="T666" s="7">
        <v>3.2629999999999999</v>
      </c>
      <c r="U666" s="5">
        <v>16.600000000000001</v>
      </c>
      <c r="V666" s="6">
        <v>1.1299999999999999</v>
      </c>
      <c r="W666" s="5">
        <v>16.5</v>
      </c>
      <c r="X666" s="5">
        <v>16.5</v>
      </c>
      <c r="Y666" s="6">
        <v>18.75</v>
      </c>
      <c r="Z666" s="5">
        <v>18.5</v>
      </c>
      <c r="AA666" s="6">
        <v>2.09</v>
      </c>
      <c r="AB666" s="7">
        <v>84.343000000000004</v>
      </c>
      <c r="AC666" s="2"/>
    </row>
    <row r="667" spans="1:29" ht="117" x14ac:dyDescent="0.15">
      <c r="A667" s="3">
        <f>DATE(1991,10,23)</f>
        <v>33534</v>
      </c>
      <c r="B667" s="2"/>
      <c r="C667" s="2" t="s">
        <v>30</v>
      </c>
      <c r="D667" s="2" t="s">
        <v>2394</v>
      </c>
      <c r="E667" s="2" t="s">
        <v>398</v>
      </c>
      <c r="F667" s="4">
        <v>7812</v>
      </c>
      <c r="G667" s="2" t="s">
        <v>42</v>
      </c>
      <c r="H667" s="2" t="s">
        <v>34</v>
      </c>
      <c r="I667" s="2" t="s">
        <v>278</v>
      </c>
      <c r="J667" s="2" t="s">
        <v>52</v>
      </c>
      <c r="K667" s="2" t="s">
        <v>53</v>
      </c>
      <c r="L667" s="2" t="s">
        <v>34</v>
      </c>
      <c r="M667" s="2"/>
      <c r="N667" s="2"/>
      <c r="O667" s="2"/>
      <c r="P667" s="2" t="s">
        <v>2395</v>
      </c>
      <c r="Q667" s="2"/>
      <c r="R667" s="2"/>
      <c r="S667" s="2"/>
      <c r="T667" s="2"/>
      <c r="U667" s="2"/>
      <c r="V667" s="2"/>
      <c r="W667" s="9">
        <v>1.1875</v>
      </c>
      <c r="X667" s="9">
        <v>1.1875</v>
      </c>
      <c r="Y667" s="9">
        <v>1.1875</v>
      </c>
      <c r="Z667" s="9">
        <v>1.1875</v>
      </c>
      <c r="AA667" s="6">
        <v>3.83</v>
      </c>
      <c r="AB667" s="2" t="s">
        <v>47</v>
      </c>
      <c r="AC667" s="2"/>
    </row>
    <row r="668" spans="1:29" ht="156" x14ac:dyDescent="0.15">
      <c r="A668" s="3">
        <f>DATE(1991,10,24)</f>
        <v>33535</v>
      </c>
      <c r="B668" s="2"/>
      <c r="C668" s="2" t="s">
        <v>141</v>
      </c>
      <c r="D668" s="2" t="s">
        <v>2396</v>
      </c>
      <c r="E668" s="2" t="s">
        <v>36</v>
      </c>
      <c r="F668" s="4">
        <v>6021</v>
      </c>
      <c r="G668" s="2" t="s">
        <v>37</v>
      </c>
      <c r="H668" s="2" t="s">
        <v>34</v>
      </c>
      <c r="I668" s="2" t="s">
        <v>143</v>
      </c>
      <c r="J668" s="2" t="s">
        <v>144</v>
      </c>
      <c r="K668" s="2" t="s">
        <v>53</v>
      </c>
      <c r="L668" s="2" t="s">
        <v>139</v>
      </c>
      <c r="M668" s="2"/>
      <c r="N668" s="2"/>
      <c r="O668" s="2"/>
      <c r="P668" s="2" t="s">
        <v>2397</v>
      </c>
      <c r="Q668" s="2"/>
      <c r="R668" s="2"/>
      <c r="S668" s="5">
        <v>-5.6</v>
      </c>
      <c r="T668" s="7">
        <v>-54.591000000000001</v>
      </c>
      <c r="U668" s="5">
        <v>11.5</v>
      </c>
      <c r="V668" s="9">
        <v>-0.1133</v>
      </c>
      <c r="W668" s="7">
        <v>14.375</v>
      </c>
      <c r="X668" s="6">
        <v>14.25</v>
      </c>
      <c r="Y668" s="7">
        <v>14.875</v>
      </c>
      <c r="Z668" s="7">
        <v>15.375</v>
      </c>
      <c r="AA668" s="6">
        <v>46.21</v>
      </c>
      <c r="AB668" s="2" t="s">
        <v>86</v>
      </c>
      <c r="AC668" s="2"/>
    </row>
    <row r="669" spans="1:29" ht="104" x14ac:dyDescent="0.15">
      <c r="A669" s="3">
        <f>DATE(1991,10,28)</f>
        <v>33539</v>
      </c>
      <c r="B669" s="3">
        <f>DATE(1992,1,31)</f>
        <v>33634</v>
      </c>
      <c r="C669" s="2" t="s">
        <v>95</v>
      </c>
      <c r="D669" s="2" t="s">
        <v>2398</v>
      </c>
      <c r="E669" s="2" t="s">
        <v>2399</v>
      </c>
      <c r="F669" s="4">
        <v>3571</v>
      </c>
      <c r="G669" s="2" t="s">
        <v>50</v>
      </c>
      <c r="H669" s="2" t="s">
        <v>34</v>
      </c>
      <c r="I669" s="2" t="s">
        <v>2400</v>
      </c>
      <c r="J669" s="2" t="s">
        <v>2401</v>
      </c>
      <c r="K669" s="2" t="s">
        <v>112</v>
      </c>
      <c r="L669" s="2" t="s">
        <v>34</v>
      </c>
      <c r="M669" s="7">
        <v>352.40800000000002</v>
      </c>
      <c r="N669" s="7">
        <v>31.875</v>
      </c>
      <c r="O669" s="5">
        <v>33.5</v>
      </c>
      <c r="P669" s="2" t="s">
        <v>2402</v>
      </c>
      <c r="Q669" s="6">
        <v>57</v>
      </c>
      <c r="R669" s="6">
        <v>5</v>
      </c>
      <c r="S669" s="5">
        <v>-7.6</v>
      </c>
      <c r="T669" s="7">
        <v>-6.7889999999999997</v>
      </c>
      <c r="U669" s="5">
        <v>1</v>
      </c>
      <c r="V669" s="6">
        <v>-2.04</v>
      </c>
      <c r="W669" s="5">
        <v>3.5</v>
      </c>
      <c r="X669" s="7">
        <v>3.1880000000000002</v>
      </c>
      <c r="Y669" s="5">
        <v>4.5</v>
      </c>
      <c r="Z669" s="7">
        <v>4.4379999999999997</v>
      </c>
      <c r="AA669" s="6">
        <v>3.74</v>
      </c>
      <c r="AB669" s="2" t="s">
        <v>86</v>
      </c>
      <c r="AC669" s="6">
        <v>126.23</v>
      </c>
    </row>
    <row r="670" spans="1:29" ht="156" x14ac:dyDescent="0.15">
      <c r="A670" s="3">
        <f>DATE(1991,10,28)</f>
        <v>33539</v>
      </c>
      <c r="B670" s="3">
        <f>DATE(1992,6,18)</f>
        <v>33773</v>
      </c>
      <c r="C670" s="2" t="s">
        <v>95</v>
      </c>
      <c r="D670" s="2" t="s">
        <v>2403</v>
      </c>
      <c r="E670" s="2" t="s">
        <v>36</v>
      </c>
      <c r="F670" s="4">
        <v>6022</v>
      </c>
      <c r="G670" s="2" t="s">
        <v>37</v>
      </c>
      <c r="H670" s="2" t="s">
        <v>34</v>
      </c>
      <c r="I670" s="2" t="s">
        <v>526</v>
      </c>
      <c r="J670" s="2" t="s">
        <v>159</v>
      </c>
      <c r="K670" s="2" t="s">
        <v>37</v>
      </c>
      <c r="L670" s="2" t="s">
        <v>34</v>
      </c>
      <c r="M670" s="12">
        <v>1328.212</v>
      </c>
      <c r="N670" s="7">
        <v>47.875</v>
      </c>
      <c r="O670" s="7">
        <v>49.875</v>
      </c>
      <c r="P670" s="2" t="s">
        <v>2404</v>
      </c>
      <c r="Q670" s="6">
        <v>100</v>
      </c>
      <c r="R670" s="6">
        <v>34.729999999999997</v>
      </c>
      <c r="S670" s="5">
        <v>108.2</v>
      </c>
      <c r="T670" s="7">
        <v>158.279</v>
      </c>
      <c r="U670" s="5">
        <v>23.9</v>
      </c>
      <c r="V670" s="6">
        <v>3.55</v>
      </c>
      <c r="W670" s="6">
        <v>35.25</v>
      </c>
      <c r="X670" s="6">
        <v>33.75</v>
      </c>
      <c r="Y670" s="7">
        <v>37.375</v>
      </c>
      <c r="Z670" s="6">
        <v>39.25</v>
      </c>
      <c r="AA670" s="6">
        <v>31.3</v>
      </c>
      <c r="AB670" s="7">
        <v>25.056000000000001</v>
      </c>
      <c r="AC670" s="2"/>
    </row>
    <row r="671" spans="1:29" ht="52" x14ac:dyDescent="0.15">
      <c r="A671" s="3">
        <f>DATE(1991,10,29)</f>
        <v>33540</v>
      </c>
      <c r="B671" s="2"/>
      <c r="C671" s="2" t="s">
        <v>87</v>
      </c>
      <c r="D671" s="2" t="s">
        <v>2405</v>
      </c>
      <c r="E671" s="2" t="s">
        <v>2406</v>
      </c>
      <c r="F671" s="4">
        <v>2067</v>
      </c>
      <c r="G671" s="2" t="s">
        <v>577</v>
      </c>
      <c r="H671" s="2" t="s">
        <v>34</v>
      </c>
      <c r="I671" s="2" t="s">
        <v>51</v>
      </c>
      <c r="J671" s="2" t="s">
        <v>52</v>
      </c>
      <c r="K671" s="2" t="s">
        <v>53</v>
      </c>
      <c r="L671" s="2" t="s">
        <v>34</v>
      </c>
      <c r="M671" s="2"/>
      <c r="N671" s="2"/>
      <c r="O671" s="2"/>
      <c r="P671" s="2" t="s">
        <v>2407</v>
      </c>
      <c r="Q671" s="2"/>
      <c r="R671" s="2"/>
      <c r="S671" s="5">
        <v>54.1</v>
      </c>
      <c r="T671" s="7">
        <v>97.260999999999996</v>
      </c>
      <c r="U671" s="5">
        <v>0.2</v>
      </c>
      <c r="V671" s="6">
        <v>0.6</v>
      </c>
      <c r="W671" s="5">
        <v>15.5</v>
      </c>
      <c r="X671" s="5">
        <v>15.5</v>
      </c>
      <c r="Y671" s="6">
        <v>15.75</v>
      </c>
      <c r="Z671" s="5">
        <v>15.5</v>
      </c>
      <c r="AA671" s="2"/>
      <c r="AB671" s="2" t="s">
        <v>47</v>
      </c>
      <c r="AC671" s="2"/>
    </row>
    <row r="672" spans="1:29" ht="156" x14ac:dyDescent="0.15">
      <c r="A672" s="3">
        <f>DATE(1991,10,30)</f>
        <v>33541</v>
      </c>
      <c r="B672" s="3">
        <f>DATE(1992,5,4)</f>
        <v>33728</v>
      </c>
      <c r="C672" s="2" t="s">
        <v>95</v>
      </c>
      <c r="D672" s="2" t="s">
        <v>2408</v>
      </c>
      <c r="E672" s="2" t="s">
        <v>36</v>
      </c>
      <c r="F672" s="4">
        <v>6021</v>
      </c>
      <c r="G672" s="2" t="s">
        <v>37</v>
      </c>
      <c r="H672" s="2" t="s">
        <v>34</v>
      </c>
      <c r="I672" s="2" t="s">
        <v>158</v>
      </c>
      <c r="J672" s="2" t="s">
        <v>159</v>
      </c>
      <c r="K672" s="2" t="s">
        <v>37</v>
      </c>
      <c r="L672" s="2" t="s">
        <v>34</v>
      </c>
      <c r="M672" s="12">
        <v>2444.7170000000001</v>
      </c>
      <c r="N672" s="7">
        <v>36.625</v>
      </c>
      <c r="O672" s="7">
        <v>35.625</v>
      </c>
      <c r="P672" s="2" t="s">
        <v>2409</v>
      </c>
      <c r="Q672" s="6">
        <v>100</v>
      </c>
      <c r="R672" s="6">
        <v>44.52</v>
      </c>
      <c r="S672" s="5">
        <v>15.7</v>
      </c>
      <c r="T672" s="7">
        <v>31.707000000000001</v>
      </c>
      <c r="U672" s="5">
        <v>22.9</v>
      </c>
      <c r="V672" s="6">
        <v>1.07</v>
      </c>
      <c r="W672" s="5">
        <v>27.5</v>
      </c>
      <c r="X672" s="4">
        <v>29</v>
      </c>
      <c r="Y672" s="6">
        <v>38.25</v>
      </c>
      <c r="Z672" s="6">
        <v>37.25</v>
      </c>
      <c r="AA672" s="6">
        <v>14.72</v>
      </c>
      <c r="AB672" s="7">
        <v>63.933</v>
      </c>
      <c r="AC672" s="2"/>
    </row>
    <row r="673" spans="1:29" ht="130" x14ac:dyDescent="0.15">
      <c r="A673" s="3">
        <f>DATE(1991,10,30)</f>
        <v>33541</v>
      </c>
      <c r="B673" s="2"/>
      <c r="C673" s="2" t="s">
        <v>30</v>
      </c>
      <c r="D673" s="2" t="s">
        <v>2410</v>
      </c>
      <c r="E673" s="2" t="s">
        <v>2411</v>
      </c>
      <c r="F673" s="4">
        <v>3443</v>
      </c>
      <c r="G673" s="2" t="s">
        <v>163</v>
      </c>
      <c r="H673" s="2" t="s">
        <v>34</v>
      </c>
      <c r="I673" s="2" t="s">
        <v>51</v>
      </c>
      <c r="J673" s="2" t="s">
        <v>52</v>
      </c>
      <c r="K673" s="2" t="s">
        <v>53</v>
      </c>
      <c r="L673" s="2" t="s">
        <v>34</v>
      </c>
      <c r="M673" s="2"/>
      <c r="N673" s="2"/>
      <c r="O673" s="2"/>
      <c r="P673" s="2" t="s">
        <v>2412</v>
      </c>
      <c r="Q673" s="2"/>
      <c r="R673" s="6">
        <v>14</v>
      </c>
      <c r="S673" s="5">
        <v>5.8</v>
      </c>
      <c r="T673" s="7">
        <v>10.694000000000001</v>
      </c>
      <c r="U673" s="5">
        <v>3.4</v>
      </c>
      <c r="V673" s="9">
        <v>0.70350000000000001</v>
      </c>
      <c r="W673" s="4">
        <v>7</v>
      </c>
      <c r="X673" s="7">
        <v>6.875</v>
      </c>
      <c r="Y673" s="7">
        <v>7.125</v>
      </c>
      <c r="Z673" s="7">
        <v>7.125</v>
      </c>
      <c r="AA673" s="6">
        <v>3.37</v>
      </c>
      <c r="AB673" s="7">
        <v>12.304</v>
      </c>
      <c r="AC673" s="2"/>
    </row>
    <row r="674" spans="1:29" ht="52" x14ac:dyDescent="0.15">
      <c r="A674" s="3">
        <f>DATE(1991,10,31)</f>
        <v>33542</v>
      </c>
      <c r="B674" s="3">
        <f>DATE(1991,10,31)</f>
        <v>33542</v>
      </c>
      <c r="C674" s="2" t="s">
        <v>95</v>
      </c>
      <c r="D674" s="2" t="s">
        <v>2413</v>
      </c>
      <c r="E674" s="2" t="s">
        <v>2414</v>
      </c>
      <c r="F674" s="4">
        <v>5065</v>
      </c>
      <c r="G674" s="2" t="s">
        <v>76</v>
      </c>
      <c r="H674" s="2" t="s">
        <v>34</v>
      </c>
      <c r="I674" s="2" t="s">
        <v>2415</v>
      </c>
      <c r="J674" s="2" t="s">
        <v>2416</v>
      </c>
      <c r="K674" s="2" t="s">
        <v>53</v>
      </c>
      <c r="L674" s="2" t="s">
        <v>34</v>
      </c>
      <c r="M674" s="2"/>
      <c r="N674" s="2"/>
      <c r="O674" s="2"/>
      <c r="P674" s="2" t="s">
        <v>2417</v>
      </c>
      <c r="Q674" s="6">
        <v>71.02</v>
      </c>
      <c r="R674" s="6">
        <v>1</v>
      </c>
      <c r="S674" s="5">
        <v>-6.5</v>
      </c>
      <c r="T674" s="2"/>
      <c r="U674" s="5">
        <v>-0.7</v>
      </c>
      <c r="V674" s="2"/>
      <c r="W674" s="5">
        <v>2.5</v>
      </c>
      <c r="X674" s="5">
        <v>2.5</v>
      </c>
      <c r="Y674" s="6">
        <v>3.25</v>
      </c>
      <c r="Z674" s="6">
        <v>3.25</v>
      </c>
      <c r="AA674" s="6">
        <v>9.7200000000000006</v>
      </c>
      <c r="AB674" s="2" t="s">
        <v>86</v>
      </c>
      <c r="AC674" s="2"/>
    </row>
    <row r="675" spans="1:29" ht="156" x14ac:dyDescent="0.15">
      <c r="A675" s="3">
        <f>DATE(1991,10,31)</f>
        <v>33542</v>
      </c>
      <c r="B675" s="3">
        <f>DATE(1992,5,1)</f>
        <v>33725</v>
      </c>
      <c r="C675" s="2" t="s">
        <v>95</v>
      </c>
      <c r="D675" s="2" t="s">
        <v>2418</v>
      </c>
      <c r="E675" s="2" t="s">
        <v>36</v>
      </c>
      <c r="F675" s="4">
        <v>6022</v>
      </c>
      <c r="G675" s="2" t="s">
        <v>37</v>
      </c>
      <c r="H675" s="2" t="s">
        <v>34</v>
      </c>
      <c r="I675" s="2" t="s">
        <v>2419</v>
      </c>
      <c r="J675" s="2" t="s">
        <v>36</v>
      </c>
      <c r="K675" s="2" t="s">
        <v>37</v>
      </c>
      <c r="L675" s="2" t="s">
        <v>34</v>
      </c>
      <c r="M675" s="2"/>
      <c r="N675" s="6">
        <v>23.25</v>
      </c>
      <c r="O675" s="6">
        <v>22.25</v>
      </c>
      <c r="P675" s="2" t="s">
        <v>2420</v>
      </c>
      <c r="Q675" s="6">
        <v>100</v>
      </c>
      <c r="R675" s="6">
        <v>28.44</v>
      </c>
      <c r="S675" s="5">
        <v>-2.4</v>
      </c>
      <c r="T675" s="7">
        <v>-1.486</v>
      </c>
      <c r="U675" s="5">
        <v>16.7</v>
      </c>
      <c r="V675" s="6">
        <v>-3.61</v>
      </c>
      <c r="W675" s="6">
        <v>17.25</v>
      </c>
      <c r="X675" s="6">
        <v>19.25</v>
      </c>
      <c r="Y675" s="4">
        <v>24</v>
      </c>
      <c r="Z675" s="4">
        <v>23</v>
      </c>
      <c r="AA675" s="6">
        <v>0.66</v>
      </c>
      <c r="AB675" s="2" t="s">
        <v>86</v>
      </c>
      <c r="AC675" s="2"/>
    </row>
    <row r="676" spans="1:29" ht="156" x14ac:dyDescent="0.15">
      <c r="A676" s="3">
        <f>DATE(1991,11,4)</f>
        <v>33546</v>
      </c>
      <c r="B676" s="2"/>
      <c r="C676" s="2" t="s">
        <v>82</v>
      </c>
      <c r="D676" s="2" t="s">
        <v>1489</v>
      </c>
      <c r="E676" s="2" t="s">
        <v>92</v>
      </c>
      <c r="F676" s="4">
        <v>6798</v>
      </c>
      <c r="G676" s="2" t="s">
        <v>53</v>
      </c>
      <c r="H676" s="2" t="s">
        <v>34</v>
      </c>
      <c r="I676" s="2" t="s">
        <v>1487</v>
      </c>
      <c r="J676" s="2" t="s">
        <v>1488</v>
      </c>
      <c r="K676" s="2" t="s">
        <v>454</v>
      </c>
      <c r="L676" s="2" t="s">
        <v>34</v>
      </c>
      <c r="M676" s="2"/>
      <c r="N676" s="4">
        <v>3</v>
      </c>
      <c r="O676" s="5">
        <v>2.5</v>
      </c>
      <c r="P676" s="2" t="s">
        <v>2421</v>
      </c>
      <c r="Q676" s="2"/>
      <c r="R676" s="2"/>
      <c r="S676" s="5">
        <v>-8.1</v>
      </c>
      <c r="T676" s="7">
        <v>29.916</v>
      </c>
      <c r="U676" s="5">
        <v>4.9000000000000004</v>
      </c>
      <c r="V676" s="6">
        <v>-0.75</v>
      </c>
      <c r="W676" s="4">
        <v>3</v>
      </c>
      <c r="X676" s="4">
        <v>3</v>
      </c>
      <c r="Y676" s="2"/>
      <c r="Z676" s="5">
        <v>2.5</v>
      </c>
      <c r="AA676" s="6">
        <v>10.77</v>
      </c>
      <c r="AB676" s="2" t="s">
        <v>47</v>
      </c>
      <c r="AC676" s="6">
        <v>20.14</v>
      </c>
    </row>
    <row r="677" spans="1:29" ht="143" x14ac:dyDescent="0.15">
      <c r="A677" s="3">
        <f>DATE(1991,11,5)</f>
        <v>33547</v>
      </c>
      <c r="B677" s="3">
        <f>DATE(1992,8,19)</f>
        <v>33835</v>
      </c>
      <c r="C677" s="2" t="s">
        <v>95</v>
      </c>
      <c r="D677" s="2" t="s">
        <v>2422</v>
      </c>
      <c r="E677" s="2" t="s">
        <v>177</v>
      </c>
      <c r="F677" s="4">
        <v>1311</v>
      </c>
      <c r="G677" s="2" t="s">
        <v>148</v>
      </c>
      <c r="H677" s="2" t="s">
        <v>34</v>
      </c>
      <c r="I677" s="2" t="s">
        <v>2423</v>
      </c>
      <c r="J677" s="2" t="s">
        <v>612</v>
      </c>
      <c r="K677" s="2" t="s">
        <v>148</v>
      </c>
      <c r="L677" s="2" t="s">
        <v>34</v>
      </c>
      <c r="M677" s="2"/>
      <c r="N677" s="6">
        <v>4.25</v>
      </c>
      <c r="O677" s="5">
        <v>4.5</v>
      </c>
      <c r="P677" s="2" t="s">
        <v>2424</v>
      </c>
      <c r="Q677" s="6">
        <v>100</v>
      </c>
      <c r="R677" s="6">
        <v>7.08</v>
      </c>
      <c r="S677" s="5">
        <v>1</v>
      </c>
      <c r="T677" s="7">
        <v>3.714</v>
      </c>
      <c r="U677" s="5">
        <v>4.0999999999999996</v>
      </c>
      <c r="V677" s="6">
        <v>0.59</v>
      </c>
      <c r="W677" s="7">
        <v>3.375</v>
      </c>
      <c r="X677" s="7">
        <v>3.375</v>
      </c>
      <c r="Y677" s="6">
        <v>3.25</v>
      </c>
      <c r="Z677" s="4">
        <v>6</v>
      </c>
      <c r="AA677" s="6">
        <v>1.77</v>
      </c>
      <c r="AB677" s="7">
        <v>12.281000000000001</v>
      </c>
      <c r="AC677" s="2"/>
    </row>
    <row r="678" spans="1:29" ht="143" x14ac:dyDescent="0.15">
      <c r="A678" s="3">
        <f>DATE(1991,11,6)</f>
        <v>33548</v>
      </c>
      <c r="B678" s="3">
        <f>DATE(1992,4,16)</f>
        <v>33710</v>
      </c>
      <c r="C678" s="2" t="s">
        <v>95</v>
      </c>
      <c r="D678" s="2" t="s">
        <v>2425</v>
      </c>
      <c r="E678" s="2" t="s">
        <v>2426</v>
      </c>
      <c r="F678" s="4">
        <v>3841</v>
      </c>
      <c r="G678" s="2" t="s">
        <v>226</v>
      </c>
      <c r="H678" s="2" t="s">
        <v>34</v>
      </c>
      <c r="I678" s="2" t="s">
        <v>2427</v>
      </c>
      <c r="J678" s="2" t="s">
        <v>2428</v>
      </c>
      <c r="K678" s="2" t="s">
        <v>226</v>
      </c>
      <c r="L678" s="2" t="s">
        <v>34</v>
      </c>
      <c r="M678" s="7">
        <v>187.31299999999999</v>
      </c>
      <c r="N678" s="6">
        <v>23.75</v>
      </c>
      <c r="O678" s="6">
        <v>23.25</v>
      </c>
      <c r="P678" s="2" t="s">
        <v>2429</v>
      </c>
      <c r="Q678" s="6">
        <v>100</v>
      </c>
      <c r="R678" s="6">
        <v>8.26</v>
      </c>
      <c r="S678" s="5">
        <v>0.6</v>
      </c>
      <c r="T678" s="7">
        <v>0.83199999999999996</v>
      </c>
      <c r="U678" s="5">
        <v>1</v>
      </c>
      <c r="V678" s="6">
        <v>0.12</v>
      </c>
      <c r="W678" s="7">
        <v>7.375</v>
      </c>
      <c r="X678" s="7">
        <v>7.625</v>
      </c>
      <c r="Y678" s="7">
        <v>7.625</v>
      </c>
      <c r="Z678" s="6">
        <v>7.25</v>
      </c>
      <c r="AA678" s="6">
        <v>4.8499999999999996</v>
      </c>
      <c r="AB678" s="7">
        <v>53.473999999999997</v>
      </c>
      <c r="AC678" s="6">
        <v>32.36</v>
      </c>
    </row>
    <row r="679" spans="1:29" ht="156" x14ac:dyDescent="0.15">
      <c r="A679" s="3">
        <f>DATE(1991,11,7)</f>
        <v>33549</v>
      </c>
      <c r="B679" s="2"/>
      <c r="C679" s="2" t="s">
        <v>30</v>
      </c>
      <c r="D679" s="2" t="s">
        <v>413</v>
      </c>
      <c r="E679" s="2" t="s">
        <v>414</v>
      </c>
      <c r="F679" s="4">
        <v>8299</v>
      </c>
      <c r="G679" s="2" t="s">
        <v>415</v>
      </c>
      <c r="H679" s="2" t="s">
        <v>34</v>
      </c>
      <c r="I679" s="2" t="s">
        <v>2430</v>
      </c>
      <c r="J679" s="2" t="s">
        <v>2431</v>
      </c>
      <c r="K679" s="2" t="s">
        <v>415</v>
      </c>
      <c r="L679" s="2" t="s">
        <v>99</v>
      </c>
      <c r="M679" s="2"/>
      <c r="N679" s="2"/>
      <c r="O679" s="2"/>
      <c r="P679" s="2" t="s">
        <v>2432</v>
      </c>
      <c r="Q679" s="2"/>
      <c r="R679" s="6">
        <v>25</v>
      </c>
      <c r="S679" s="5">
        <v>13.7</v>
      </c>
      <c r="T679" s="7">
        <v>36.796999999999997</v>
      </c>
      <c r="U679" s="5">
        <v>7.9</v>
      </c>
      <c r="V679" s="6">
        <v>0.63</v>
      </c>
      <c r="W679" s="5">
        <v>19.5</v>
      </c>
      <c r="X679" s="5">
        <v>20.5</v>
      </c>
      <c r="Y679" s="2"/>
      <c r="Z679" s="2"/>
      <c r="AA679" s="6">
        <v>10.6</v>
      </c>
      <c r="AB679" s="7">
        <v>29.116</v>
      </c>
      <c r="AC679" s="2"/>
    </row>
    <row r="680" spans="1:29" ht="104" x14ac:dyDescent="0.15">
      <c r="A680" s="3">
        <f>DATE(1991,11,7)</f>
        <v>33549</v>
      </c>
      <c r="B680" s="2"/>
      <c r="C680" s="2" t="s">
        <v>189</v>
      </c>
      <c r="D680" s="2" t="s">
        <v>2433</v>
      </c>
      <c r="E680" s="2" t="s">
        <v>2434</v>
      </c>
      <c r="F680" s="4">
        <v>6035</v>
      </c>
      <c r="G680" s="2" t="s">
        <v>33</v>
      </c>
      <c r="H680" s="2" t="s">
        <v>34</v>
      </c>
      <c r="I680" s="2" t="s">
        <v>143</v>
      </c>
      <c r="J680" s="2" t="s">
        <v>144</v>
      </c>
      <c r="K680" s="2" t="s">
        <v>53</v>
      </c>
      <c r="L680" s="2" t="s">
        <v>139</v>
      </c>
      <c r="M680" s="2"/>
      <c r="N680" s="2"/>
      <c r="O680" s="2"/>
      <c r="P680" s="2" t="s">
        <v>2435</v>
      </c>
      <c r="Q680" s="2"/>
      <c r="R680" s="2"/>
      <c r="S680" s="5">
        <v>-221.9</v>
      </c>
      <c r="T680" s="5">
        <v>-119</v>
      </c>
      <c r="U680" s="5">
        <v>223.5</v>
      </c>
      <c r="V680" s="6">
        <v>-43.85</v>
      </c>
      <c r="W680" s="6">
        <v>3.25</v>
      </c>
      <c r="X680" s="7">
        <v>2.625</v>
      </c>
      <c r="Y680" s="7">
        <v>2.625</v>
      </c>
      <c r="Z680" s="7">
        <v>2.375</v>
      </c>
      <c r="AA680" s="2"/>
      <c r="AB680" s="2" t="s">
        <v>86</v>
      </c>
      <c r="AC680" s="2"/>
    </row>
    <row r="681" spans="1:29" ht="39" x14ac:dyDescent="0.15">
      <c r="A681" s="3">
        <f>DATE(1991,11,7)</f>
        <v>33549</v>
      </c>
      <c r="B681" s="2"/>
      <c r="C681" s="2" t="s">
        <v>189</v>
      </c>
      <c r="D681" s="2" t="s">
        <v>2436</v>
      </c>
      <c r="E681" s="2" t="s">
        <v>2437</v>
      </c>
      <c r="F681" s="4">
        <v>3142</v>
      </c>
      <c r="G681" s="2" t="s">
        <v>326</v>
      </c>
      <c r="H681" s="2" t="s">
        <v>34</v>
      </c>
      <c r="I681" s="2" t="s">
        <v>143</v>
      </c>
      <c r="J681" s="2" t="s">
        <v>144</v>
      </c>
      <c r="K681" s="2" t="s">
        <v>53</v>
      </c>
      <c r="L681" s="2" t="s">
        <v>139</v>
      </c>
      <c r="M681" s="2"/>
      <c r="N681" s="2"/>
      <c r="O681" s="2"/>
      <c r="P681" s="2" t="s">
        <v>2438</v>
      </c>
      <c r="Q681" s="2"/>
      <c r="R681" s="2"/>
      <c r="S681" s="5">
        <v>0</v>
      </c>
      <c r="T681" s="2"/>
      <c r="U681" s="5">
        <v>8.6</v>
      </c>
      <c r="V681" s="2"/>
      <c r="W681" s="6">
        <v>3.25</v>
      </c>
      <c r="X681" s="7">
        <v>3.125</v>
      </c>
      <c r="Y681" s="5">
        <v>3.5</v>
      </c>
      <c r="Z681" s="5">
        <v>3.5</v>
      </c>
      <c r="AA681" s="2"/>
      <c r="AB681" s="2" t="s">
        <v>47</v>
      </c>
      <c r="AC681" s="2"/>
    </row>
    <row r="682" spans="1:29" ht="156" x14ac:dyDescent="0.15">
      <c r="A682" s="3">
        <f>DATE(1991,11,7)</f>
        <v>33549</v>
      </c>
      <c r="B682" s="3">
        <f>DATE(1992,6,1)</f>
        <v>33756</v>
      </c>
      <c r="C682" s="2" t="s">
        <v>95</v>
      </c>
      <c r="D682" s="2" t="s">
        <v>2439</v>
      </c>
      <c r="E682" s="2" t="s">
        <v>2440</v>
      </c>
      <c r="F682" s="4">
        <v>4512</v>
      </c>
      <c r="G682" s="2" t="s">
        <v>59</v>
      </c>
      <c r="H682" s="2" t="s">
        <v>34</v>
      </c>
      <c r="I682" s="2" t="s">
        <v>1648</v>
      </c>
      <c r="J682" s="2" t="s">
        <v>58</v>
      </c>
      <c r="K682" s="2" t="s">
        <v>59</v>
      </c>
      <c r="L682" s="2" t="s">
        <v>34</v>
      </c>
      <c r="M682" s="7">
        <v>65.850999999999999</v>
      </c>
      <c r="N682" s="4">
        <v>17</v>
      </c>
      <c r="O682" s="6">
        <v>16.25</v>
      </c>
      <c r="P682" s="2" t="s">
        <v>2441</v>
      </c>
      <c r="Q682" s="6">
        <v>100</v>
      </c>
      <c r="R682" s="6">
        <v>6.85</v>
      </c>
      <c r="S682" s="5">
        <v>-5.2</v>
      </c>
      <c r="T682" s="2"/>
      <c r="U682" s="5">
        <v>2.6</v>
      </c>
      <c r="V682" s="2"/>
      <c r="W682" s="7">
        <v>2.125</v>
      </c>
      <c r="X682" s="6">
        <v>2.75</v>
      </c>
      <c r="Y682" s="7">
        <v>2.875</v>
      </c>
      <c r="Z682" s="6">
        <v>3.25</v>
      </c>
      <c r="AA682" s="6">
        <v>6.36</v>
      </c>
      <c r="AB682" s="2" t="s">
        <v>86</v>
      </c>
      <c r="AC682" s="2"/>
    </row>
    <row r="683" spans="1:29" ht="156" x14ac:dyDescent="0.15">
      <c r="A683" s="3">
        <f>DATE(1991,11,8)</f>
        <v>33550</v>
      </c>
      <c r="B683" s="3">
        <f>DATE(1991,11,19)</f>
        <v>33561</v>
      </c>
      <c r="C683" s="2" t="s">
        <v>95</v>
      </c>
      <c r="D683" s="2" t="s">
        <v>2442</v>
      </c>
      <c r="E683" s="2" t="s">
        <v>367</v>
      </c>
      <c r="F683" s="4">
        <v>6211</v>
      </c>
      <c r="G683" s="2" t="s">
        <v>53</v>
      </c>
      <c r="H683" s="2" t="s">
        <v>34</v>
      </c>
      <c r="I683" s="2" t="s">
        <v>51</v>
      </c>
      <c r="J683" s="2" t="s">
        <v>52</v>
      </c>
      <c r="K683" s="2" t="s">
        <v>53</v>
      </c>
      <c r="L683" s="2" t="s">
        <v>34</v>
      </c>
      <c r="M683" s="2"/>
      <c r="N683" s="2"/>
      <c r="O683" s="2"/>
      <c r="P683" s="2" t="s">
        <v>2443</v>
      </c>
      <c r="Q683" s="6">
        <v>6.49</v>
      </c>
      <c r="R683" s="6">
        <v>1.75</v>
      </c>
      <c r="S683" s="5">
        <v>0.1</v>
      </c>
      <c r="T683" s="7">
        <v>1.429</v>
      </c>
      <c r="U683" s="5">
        <v>1.1000000000000001</v>
      </c>
      <c r="V683" s="6">
        <v>0.01</v>
      </c>
      <c r="W683" s="5">
        <v>1.5</v>
      </c>
      <c r="X683" s="7">
        <v>1.625</v>
      </c>
      <c r="Y683" s="7">
        <v>1.625</v>
      </c>
      <c r="Z683" s="7">
        <v>1.875</v>
      </c>
      <c r="AA683" s="6">
        <v>13</v>
      </c>
      <c r="AB683" s="7">
        <v>31.965</v>
      </c>
      <c r="AC683" s="2"/>
    </row>
    <row r="684" spans="1:29" ht="143" x14ac:dyDescent="0.15">
      <c r="A684" s="3">
        <f>DATE(1991,11,11)</f>
        <v>33553</v>
      </c>
      <c r="B684" s="3">
        <f>DATE(1992,4,8)</f>
        <v>33702</v>
      </c>
      <c r="C684" s="2" t="s">
        <v>95</v>
      </c>
      <c r="D684" s="2" t="s">
        <v>2444</v>
      </c>
      <c r="E684" s="2" t="s">
        <v>2445</v>
      </c>
      <c r="F684" s="4">
        <v>4953</v>
      </c>
      <c r="G684" s="2" t="s">
        <v>116</v>
      </c>
      <c r="H684" s="2" t="s">
        <v>34</v>
      </c>
      <c r="I684" s="2" t="s">
        <v>2446</v>
      </c>
      <c r="J684" s="2" t="s">
        <v>2447</v>
      </c>
      <c r="K684" s="2" t="s">
        <v>173</v>
      </c>
      <c r="L684" s="2" t="s">
        <v>34</v>
      </c>
      <c r="M684" s="2"/>
      <c r="N684" s="2"/>
      <c r="O684" s="2"/>
      <c r="P684" s="2" t="s">
        <v>2448</v>
      </c>
      <c r="Q684" s="6">
        <v>77.8</v>
      </c>
      <c r="R684" s="6">
        <v>17.5</v>
      </c>
      <c r="S684" s="5">
        <v>13.1</v>
      </c>
      <c r="T684" s="7">
        <v>42.398000000000003</v>
      </c>
      <c r="U684" s="5">
        <v>3.1</v>
      </c>
      <c r="V684" s="6">
        <v>0.59</v>
      </c>
      <c r="W684" s="6">
        <v>12.25</v>
      </c>
      <c r="X684" s="4">
        <v>13</v>
      </c>
      <c r="Y684" s="4">
        <v>16</v>
      </c>
      <c r="Z684" s="6">
        <v>15.75</v>
      </c>
      <c r="AA684" s="6">
        <v>16.329999999999998</v>
      </c>
      <c r="AB684" s="7">
        <v>13.021000000000001</v>
      </c>
      <c r="AC684" s="2"/>
    </row>
    <row r="685" spans="1:29" ht="52" x14ac:dyDescent="0.15">
      <c r="A685" s="3">
        <f>DATE(1991,11,11)</f>
        <v>33553</v>
      </c>
      <c r="B685" s="3">
        <f>DATE(1992,3,30)</f>
        <v>33693</v>
      </c>
      <c r="C685" s="2" t="s">
        <v>95</v>
      </c>
      <c r="D685" s="2" t="s">
        <v>2449</v>
      </c>
      <c r="E685" s="2" t="s">
        <v>32</v>
      </c>
      <c r="F685" s="4">
        <v>6035</v>
      </c>
      <c r="G685" s="2" t="s">
        <v>33</v>
      </c>
      <c r="H685" s="2" t="s">
        <v>34</v>
      </c>
      <c r="I685" s="2" t="s">
        <v>2450</v>
      </c>
      <c r="J685" s="2" t="s">
        <v>36</v>
      </c>
      <c r="K685" s="2" t="s">
        <v>37</v>
      </c>
      <c r="L685" s="2" t="s">
        <v>34</v>
      </c>
      <c r="M685" s="2"/>
      <c r="N685" s="5">
        <v>18.5</v>
      </c>
      <c r="O685" s="5">
        <v>18.5</v>
      </c>
      <c r="P685" s="2" t="s">
        <v>2451</v>
      </c>
      <c r="Q685" s="6">
        <v>100</v>
      </c>
      <c r="R685" s="6">
        <v>18.5</v>
      </c>
      <c r="S685" s="5">
        <v>0.7</v>
      </c>
      <c r="T685" s="7">
        <v>1.1890000000000001</v>
      </c>
      <c r="U685" s="5">
        <v>17.8</v>
      </c>
      <c r="V685" s="6">
        <v>1.26</v>
      </c>
      <c r="W685" s="4">
        <v>13</v>
      </c>
      <c r="X685" s="4">
        <v>13</v>
      </c>
      <c r="Y685" s="4">
        <v>13</v>
      </c>
      <c r="Z685" s="4">
        <v>13</v>
      </c>
      <c r="AA685" s="6">
        <v>0.59</v>
      </c>
      <c r="AB685" s="7">
        <v>41.220999999999997</v>
      </c>
      <c r="AC685" s="2"/>
    </row>
    <row r="686" spans="1:29" ht="156" x14ac:dyDescent="0.15">
      <c r="A686" s="3">
        <f>DATE(1991,11,12)</f>
        <v>33554</v>
      </c>
      <c r="B686" s="3">
        <f>DATE(1992,4,30)</f>
        <v>33724</v>
      </c>
      <c r="C686" s="2" t="s">
        <v>95</v>
      </c>
      <c r="D686" s="2" t="s">
        <v>1751</v>
      </c>
      <c r="E686" s="2" t="s">
        <v>36</v>
      </c>
      <c r="F686" s="4">
        <v>6022</v>
      </c>
      <c r="G686" s="2" t="s">
        <v>37</v>
      </c>
      <c r="H686" s="2" t="s">
        <v>34</v>
      </c>
      <c r="I686" s="2" t="s">
        <v>2452</v>
      </c>
      <c r="J686" s="2" t="s">
        <v>265</v>
      </c>
      <c r="K686" s="2" t="s">
        <v>37</v>
      </c>
      <c r="L686" s="2" t="s">
        <v>34</v>
      </c>
      <c r="M686" s="2"/>
      <c r="N686" s="4">
        <v>37</v>
      </c>
      <c r="O686" s="5">
        <v>36.5</v>
      </c>
      <c r="P686" s="2" t="s">
        <v>2453</v>
      </c>
      <c r="Q686" s="6">
        <v>100</v>
      </c>
      <c r="R686" s="6">
        <v>26</v>
      </c>
      <c r="S686" s="5">
        <v>0.7</v>
      </c>
      <c r="T686" s="7">
        <v>5.3890000000000002</v>
      </c>
      <c r="U686" s="5">
        <v>34.200000000000003</v>
      </c>
      <c r="V686" s="2"/>
      <c r="W686" s="4">
        <v>17</v>
      </c>
      <c r="X686" s="5">
        <v>22.5</v>
      </c>
      <c r="Y686" s="4">
        <v>22</v>
      </c>
      <c r="Z686" s="4">
        <v>22</v>
      </c>
      <c r="AA686" s="6">
        <v>3.35</v>
      </c>
      <c r="AB686" s="7">
        <v>786.43200000000002</v>
      </c>
      <c r="AC686" s="2"/>
    </row>
    <row r="687" spans="1:29" ht="117" x14ac:dyDescent="0.15">
      <c r="A687" s="3">
        <f>DATE(1991,11,12)</f>
        <v>33554</v>
      </c>
      <c r="B687" s="3">
        <f>DATE(1992,2,7)</f>
        <v>33641</v>
      </c>
      <c r="C687" s="2" t="s">
        <v>95</v>
      </c>
      <c r="D687" s="2" t="s">
        <v>2454</v>
      </c>
      <c r="E687" s="2" t="s">
        <v>2455</v>
      </c>
      <c r="F687" s="4">
        <v>3845</v>
      </c>
      <c r="G687" s="2" t="s">
        <v>226</v>
      </c>
      <c r="H687" s="2" t="s">
        <v>34</v>
      </c>
      <c r="I687" s="2" t="s">
        <v>2456</v>
      </c>
      <c r="J687" s="2" t="s">
        <v>129</v>
      </c>
      <c r="K687" s="2" t="s">
        <v>130</v>
      </c>
      <c r="L687" s="2" t="s">
        <v>34</v>
      </c>
      <c r="M687" s="12">
        <v>2595.3649999999998</v>
      </c>
      <c r="N687" s="7">
        <v>81.125</v>
      </c>
      <c r="O687" s="7">
        <v>82.625</v>
      </c>
      <c r="P687" s="2" t="s">
        <v>2457</v>
      </c>
      <c r="Q687" s="6">
        <v>100</v>
      </c>
      <c r="R687" s="6">
        <v>23</v>
      </c>
      <c r="S687" s="5">
        <v>-15.1</v>
      </c>
      <c r="T687" s="7">
        <v>-9.8670000000000009</v>
      </c>
      <c r="U687" s="5">
        <v>-1.1000000000000001</v>
      </c>
      <c r="V687" s="2"/>
      <c r="W687" s="7">
        <v>21.625</v>
      </c>
      <c r="X687" s="7">
        <v>22.125</v>
      </c>
      <c r="Y687" s="6">
        <v>22.75</v>
      </c>
      <c r="Z687" s="6">
        <v>23.25</v>
      </c>
      <c r="AA687" s="6">
        <v>3.25</v>
      </c>
      <c r="AB687" s="2" t="s">
        <v>86</v>
      </c>
      <c r="AC687" s="6">
        <v>302.38</v>
      </c>
    </row>
    <row r="688" spans="1:29" ht="91" x14ac:dyDescent="0.15">
      <c r="A688" s="3">
        <f>DATE(1991,11,13)</f>
        <v>33555</v>
      </c>
      <c r="B688" s="2"/>
      <c r="C688" s="2" t="s">
        <v>87</v>
      </c>
      <c r="D688" s="2" t="s">
        <v>1916</v>
      </c>
      <c r="E688" s="2" t="s">
        <v>1917</v>
      </c>
      <c r="F688" s="4">
        <v>3432</v>
      </c>
      <c r="G688" s="2" t="s">
        <v>163</v>
      </c>
      <c r="H688" s="2" t="s">
        <v>34</v>
      </c>
      <c r="I688" s="2" t="s">
        <v>138</v>
      </c>
      <c r="J688" s="2" t="s">
        <v>139</v>
      </c>
      <c r="K688" s="2" t="s">
        <v>53</v>
      </c>
      <c r="L688" s="2" t="s">
        <v>139</v>
      </c>
      <c r="M688" s="2"/>
      <c r="N688" s="2"/>
      <c r="O688" s="2"/>
      <c r="P688" s="2" t="s">
        <v>2458</v>
      </c>
      <c r="Q688" s="2"/>
      <c r="R688" s="2"/>
      <c r="S688" s="5">
        <v>2.5</v>
      </c>
      <c r="T688" s="6">
        <v>32.97</v>
      </c>
      <c r="U688" s="5">
        <v>13.6</v>
      </c>
      <c r="V688" s="6">
        <v>0.35</v>
      </c>
      <c r="W688" s="7">
        <v>8.125</v>
      </c>
      <c r="X688" s="6">
        <v>7.75</v>
      </c>
      <c r="Y688" s="7">
        <v>8.125</v>
      </c>
      <c r="Z688" s="6">
        <v>8.75</v>
      </c>
      <c r="AA688" s="2"/>
      <c r="AB688" s="2" t="s">
        <v>47</v>
      </c>
      <c r="AC688" s="2"/>
    </row>
    <row r="689" spans="1:29" ht="156" x14ac:dyDescent="0.15">
      <c r="A689" s="3">
        <f>DATE(1991,11,14)</f>
        <v>33556</v>
      </c>
      <c r="B689" s="2"/>
      <c r="C689" s="2" t="s">
        <v>30</v>
      </c>
      <c r="D689" s="2" t="s">
        <v>1816</v>
      </c>
      <c r="E689" s="2" t="s">
        <v>1817</v>
      </c>
      <c r="F689" s="4">
        <v>4512</v>
      </c>
      <c r="G689" s="2" t="s">
        <v>59</v>
      </c>
      <c r="H689" s="2" t="s">
        <v>34</v>
      </c>
      <c r="I689" s="2" t="s">
        <v>51</v>
      </c>
      <c r="J689" s="2" t="s">
        <v>52</v>
      </c>
      <c r="K689" s="2" t="s">
        <v>53</v>
      </c>
      <c r="L689" s="2" t="s">
        <v>34</v>
      </c>
      <c r="M689" s="2"/>
      <c r="N689" s="2"/>
      <c r="O689" s="2"/>
      <c r="P689" s="2" t="s">
        <v>2459</v>
      </c>
      <c r="Q689" s="2"/>
      <c r="R689" s="2"/>
      <c r="S689" s="2"/>
      <c r="T689" s="2"/>
      <c r="U689" s="5">
        <v>-81.5</v>
      </c>
      <c r="V689" s="2"/>
      <c r="W689" s="6">
        <v>4.25</v>
      </c>
      <c r="X689" s="7">
        <v>3.625</v>
      </c>
      <c r="Y689" s="6">
        <v>3.75</v>
      </c>
      <c r="Z689" s="7">
        <v>3.625</v>
      </c>
      <c r="AA689" s="2"/>
      <c r="AB689" s="2" t="s">
        <v>47</v>
      </c>
      <c r="AC689" s="2"/>
    </row>
    <row r="690" spans="1:29" ht="156" x14ac:dyDescent="0.15">
      <c r="A690" s="3">
        <f>DATE(1991,11,14)</f>
        <v>33556</v>
      </c>
      <c r="B690" s="3">
        <f>DATE(1992,3,20)</f>
        <v>33683</v>
      </c>
      <c r="C690" s="2" t="s">
        <v>95</v>
      </c>
      <c r="D690" s="2" t="s">
        <v>2460</v>
      </c>
      <c r="E690" s="2" t="s">
        <v>32</v>
      </c>
      <c r="F690" s="4">
        <v>6036</v>
      </c>
      <c r="G690" s="2" t="s">
        <v>33</v>
      </c>
      <c r="H690" s="2" t="s">
        <v>34</v>
      </c>
      <c r="I690" s="2" t="s">
        <v>1201</v>
      </c>
      <c r="J690" s="2" t="s">
        <v>36</v>
      </c>
      <c r="K690" s="2" t="s">
        <v>37</v>
      </c>
      <c r="L690" s="2" t="s">
        <v>34</v>
      </c>
      <c r="M690" s="2"/>
      <c r="N690" s="2"/>
      <c r="O690" s="2"/>
      <c r="P690" s="2" t="s">
        <v>2461</v>
      </c>
      <c r="Q690" s="6">
        <v>100</v>
      </c>
      <c r="R690" s="6">
        <v>21.75</v>
      </c>
      <c r="S690" s="5">
        <v>3.4</v>
      </c>
      <c r="T690" s="2"/>
      <c r="U690" s="5">
        <v>22</v>
      </c>
      <c r="V690" s="2"/>
      <c r="W690" s="6">
        <v>15.25</v>
      </c>
      <c r="X690" s="7">
        <v>15.125</v>
      </c>
      <c r="Y690" s="4">
        <v>18</v>
      </c>
      <c r="Z690" s="6">
        <v>18.75</v>
      </c>
      <c r="AA690" s="6">
        <v>1.73</v>
      </c>
      <c r="AB690" s="2" t="s">
        <v>86</v>
      </c>
      <c r="AC690" s="2"/>
    </row>
    <row r="691" spans="1:29" ht="156" x14ac:dyDescent="0.15">
      <c r="A691" s="3">
        <f>DATE(1991,11,15)</f>
        <v>33557</v>
      </c>
      <c r="B691" s="3">
        <f>DATE(1992,8,1)</f>
        <v>33817</v>
      </c>
      <c r="C691" s="2" t="s">
        <v>95</v>
      </c>
      <c r="D691" s="2" t="s">
        <v>2462</v>
      </c>
      <c r="E691" s="2" t="s">
        <v>32</v>
      </c>
      <c r="F691" s="4">
        <v>6036</v>
      </c>
      <c r="G691" s="2" t="s">
        <v>33</v>
      </c>
      <c r="H691" s="2" t="s">
        <v>34</v>
      </c>
      <c r="I691" s="2" t="s">
        <v>2463</v>
      </c>
      <c r="J691" s="2" t="s">
        <v>36</v>
      </c>
      <c r="K691" s="2" t="s">
        <v>37</v>
      </c>
      <c r="L691" s="2" t="s">
        <v>34</v>
      </c>
      <c r="M691" s="2"/>
      <c r="N691" s="6">
        <v>24.75</v>
      </c>
      <c r="O691" s="5">
        <v>24.5</v>
      </c>
      <c r="P691" s="2" t="s">
        <v>2464</v>
      </c>
      <c r="Q691" s="6">
        <v>100</v>
      </c>
      <c r="R691" s="6">
        <v>8.25</v>
      </c>
      <c r="S691" s="2"/>
      <c r="T691" s="2"/>
      <c r="U691" s="2"/>
      <c r="V691" s="2"/>
      <c r="W691" s="6">
        <v>4.25</v>
      </c>
      <c r="X691" s="6">
        <v>4.25</v>
      </c>
      <c r="Y691" s="6">
        <v>4.25</v>
      </c>
      <c r="Z691" s="6">
        <v>4.25</v>
      </c>
      <c r="AA691" s="6">
        <v>0.33</v>
      </c>
      <c r="AB691" s="2" t="s">
        <v>47</v>
      </c>
      <c r="AC691" s="2"/>
    </row>
    <row r="692" spans="1:29" ht="130" x14ac:dyDescent="0.15">
      <c r="A692" s="3">
        <f>DATE(1991,11,18)</f>
        <v>33560</v>
      </c>
      <c r="B692" s="3">
        <f>DATE(1992,2,25)</f>
        <v>33659</v>
      </c>
      <c r="C692" s="2" t="s">
        <v>95</v>
      </c>
      <c r="D692" s="2" t="s">
        <v>2465</v>
      </c>
      <c r="E692" s="2" t="s">
        <v>2466</v>
      </c>
      <c r="F692" s="4">
        <v>8082</v>
      </c>
      <c r="G692" s="2" t="s">
        <v>454</v>
      </c>
      <c r="H692" s="2" t="s">
        <v>34</v>
      </c>
      <c r="I692" s="2" t="s">
        <v>2467</v>
      </c>
      <c r="J692" s="2" t="s">
        <v>2468</v>
      </c>
      <c r="K692" s="2" t="s">
        <v>125</v>
      </c>
      <c r="L692" s="2" t="s">
        <v>34</v>
      </c>
      <c r="M692" s="7">
        <v>813.26900000000001</v>
      </c>
      <c r="N692" s="4">
        <v>30</v>
      </c>
      <c r="O692" s="5">
        <v>28.5</v>
      </c>
      <c r="P692" s="2" t="s">
        <v>2469</v>
      </c>
      <c r="Q692" s="6">
        <v>100</v>
      </c>
      <c r="R692" s="6">
        <v>27.9</v>
      </c>
      <c r="S692" s="5">
        <v>4.2</v>
      </c>
      <c r="T692" s="7">
        <v>7.3949999999999996</v>
      </c>
      <c r="U692" s="5">
        <v>2.4</v>
      </c>
      <c r="V692" s="6">
        <v>0.41</v>
      </c>
      <c r="W692" s="5">
        <v>25.5</v>
      </c>
      <c r="X692" s="5">
        <v>24.5</v>
      </c>
      <c r="Y692" s="5">
        <v>26.5</v>
      </c>
      <c r="Z692" s="4">
        <v>25</v>
      </c>
      <c r="AA692" s="6">
        <v>9.94</v>
      </c>
      <c r="AB692" s="7">
        <v>41.953000000000003</v>
      </c>
      <c r="AC692" s="6">
        <v>34.78</v>
      </c>
    </row>
    <row r="693" spans="1:29" ht="156" x14ac:dyDescent="0.15">
      <c r="A693" s="3">
        <f>DATE(1991,11,18)</f>
        <v>33560</v>
      </c>
      <c r="B693" s="3">
        <f>DATE(1992,3,18)</f>
        <v>33681</v>
      </c>
      <c r="C693" s="2" t="s">
        <v>95</v>
      </c>
      <c r="D693" s="2" t="s">
        <v>2470</v>
      </c>
      <c r="E693" s="2" t="s">
        <v>2471</v>
      </c>
      <c r="F693" s="4">
        <v>3842</v>
      </c>
      <c r="G693" s="2" t="s">
        <v>226</v>
      </c>
      <c r="H693" s="2" t="s">
        <v>34</v>
      </c>
      <c r="I693" s="2" t="s">
        <v>2472</v>
      </c>
      <c r="J693" s="2" t="s">
        <v>2473</v>
      </c>
      <c r="K693" s="2" t="s">
        <v>454</v>
      </c>
      <c r="L693" s="2" t="s">
        <v>34</v>
      </c>
      <c r="M693" s="7">
        <v>905.71400000000006</v>
      </c>
      <c r="N693" s="6">
        <v>23.25</v>
      </c>
      <c r="O693" s="5">
        <v>21.5</v>
      </c>
      <c r="P693" s="2" t="s">
        <v>2474</v>
      </c>
      <c r="Q693" s="6">
        <v>100</v>
      </c>
      <c r="R693" s="6">
        <v>31.53</v>
      </c>
      <c r="S693" s="5">
        <v>3.4</v>
      </c>
      <c r="T693" s="7">
        <v>7.5579999999999998</v>
      </c>
      <c r="U693" s="5">
        <v>7.4</v>
      </c>
      <c r="V693" s="6">
        <v>0.46</v>
      </c>
      <c r="W693" s="5">
        <v>29.5</v>
      </c>
      <c r="X693" s="6">
        <v>29.25</v>
      </c>
      <c r="Y693" s="5">
        <v>28.5</v>
      </c>
      <c r="Z693" s="5">
        <v>26.5</v>
      </c>
      <c r="AA693" s="6">
        <v>7.99</v>
      </c>
      <c r="AB693" s="7">
        <v>41.298000000000002</v>
      </c>
      <c r="AC693" s="6">
        <v>33.11</v>
      </c>
    </row>
    <row r="694" spans="1:29" ht="143" x14ac:dyDescent="0.15">
      <c r="A694" s="3">
        <f>DATE(1991,11,18)</f>
        <v>33560</v>
      </c>
      <c r="B694" s="3">
        <f>DATE(1992,2,18)</f>
        <v>33652</v>
      </c>
      <c r="C694" s="2" t="s">
        <v>95</v>
      </c>
      <c r="D694" s="2" t="s">
        <v>2475</v>
      </c>
      <c r="E694" s="2" t="s">
        <v>612</v>
      </c>
      <c r="F694" s="4">
        <v>1311</v>
      </c>
      <c r="G694" s="2" t="s">
        <v>148</v>
      </c>
      <c r="H694" s="2" t="s">
        <v>34</v>
      </c>
      <c r="I694" s="2" t="s">
        <v>1749</v>
      </c>
      <c r="J694" s="2" t="s">
        <v>441</v>
      </c>
      <c r="K694" s="2" t="s">
        <v>439</v>
      </c>
      <c r="L694" s="2" t="s">
        <v>34</v>
      </c>
      <c r="M694" s="7">
        <v>668.52499999999998</v>
      </c>
      <c r="N694" s="6">
        <v>27.75</v>
      </c>
      <c r="O694" s="7">
        <v>27.375</v>
      </c>
      <c r="P694" s="2" t="s">
        <v>2476</v>
      </c>
      <c r="Q694" s="6">
        <v>100</v>
      </c>
      <c r="R694" s="6">
        <v>2.79</v>
      </c>
      <c r="S694" s="5">
        <v>2.2999999999999998</v>
      </c>
      <c r="T694" s="2"/>
      <c r="U694" s="5">
        <v>1.5</v>
      </c>
      <c r="V694" s="2"/>
      <c r="W694" s="6">
        <v>2.25</v>
      </c>
      <c r="X694" s="6">
        <v>2.25</v>
      </c>
      <c r="Y694" s="7">
        <v>2.375</v>
      </c>
      <c r="Z694" s="7">
        <v>2.4380000000000002</v>
      </c>
      <c r="AA694" s="6">
        <v>8.23</v>
      </c>
      <c r="AB694" s="7">
        <v>6.9279999999999999</v>
      </c>
      <c r="AC694" s="6">
        <v>52.19</v>
      </c>
    </row>
    <row r="695" spans="1:29" ht="65" x14ac:dyDescent="0.15">
      <c r="A695" s="3">
        <f>DATE(1991,11,20)</f>
        <v>33562</v>
      </c>
      <c r="B695" s="3">
        <f>DATE(1992,3,26)</f>
        <v>33689</v>
      </c>
      <c r="C695" s="2" t="s">
        <v>95</v>
      </c>
      <c r="D695" s="2" t="s">
        <v>2477</v>
      </c>
      <c r="E695" s="2" t="s">
        <v>32</v>
      </c>
      <c r="F695" s="4">
        <v>6035</v>
      </c>
      <c r="G695" s="2" t="s">
        <v>33</v>
      </c>
      <c r="H695" s="2" t="s">
        <v>34</v>
      </c>
      <c r="I695" s="2" t="s">
        <v>2450</v>
      </c>
      <c r="J695" s="2" t="s">
        <v>36</v>
      </c>
      <c r="K695" s="2" t="s">
        <v>37</v>
      </c>
      <c r="L695" s="2" t="s">
        <v>34</v>
      </c>
      <c r="M695" s="2"/>
      <c r="N695" s="4">
        <v>20</v>
      </c>
      <c r="O695" s="4">
        <v>20</v>
      </c>
      <c r="P695" s="2" t="s">
        <v>2478</v>
      </c>
      <c r="Q695" s="6">
        <v>100</v>
      </c>
      <c r="R695" s="6">
        <v>20</v>
      </c>
      <c r="S695" s="5">
        <v>1</v>
      </c>
      <c r="T695" s="2"/>
      <c r="U695" s="5">
        <v>25</v>
      </c>
      <c r="V695" s="2"/>
      <c r="W695" s="4">
        <v>7</v>
      </c>
      <c r="X695" s="4">
        <v>7</v>
      </c>
      <c r="Y695" s="4">
        <v>15</v>
      </c>
      <c r="Z695" s="4">
        <v>15</v>
      </c>
      <c r="AA695" s="6">
        <v>0.48</v>
      </c>
      <c r="AB695" s="7">
        <v>6.4889999999999999</v>
      </c>
      <c r="AC695" s="2"/>
    </row>
    <row r="696" spans="1:29" ht="104" x14ac:dyDescent="0.15">
      <c r="A696" s="3">
        <f>DATE(1991,11,21)</f>
        <v>33563</v>
      </c>
      <c r="B696" s="2"/>
      <c r="C696" s="2" t="s">
        <v>30</v>
      </c>
      <c r="D696" s="2" t="s">
        <v>2479</v>
      </c>
      <c r="E696" s="2" t="s">
        <v>177</v>
      </c>
      <c r="F696" s="4">
        <v>1311</v>
      </c>
      <c r="G696" s="2" t="s">
        <v>148</v>
      </c>
      <c r="H696" s="2" t="s">
        <v>34</v>
      </c>
      <c r="I696" s="2" t="s">
        <v>2480</v>
      </c>
      <c r="J696" s="2" t="s">
        <v>612</v>
      </c>
      <c r="K696" s="2" t="s">
        <v>148</v>
      </c>
      <c r="L696" s="2" t="s">
        <v>902</v>
      </c>
      <c r="M696" s="2"/>
      <c r="N696" s="2"/>
      <c r="O696" s="2"/>
      <c r="P696" s="2" t="s">
        <v>2481</v>
      </c>
      <c r="Q696" s="2"/>
      <c r="R696" s="6">
        <v>5.5</v>
      </c>
      <c r="S696" s="5">
        <v>2.1</v>
      </c>
      <c r="T696" s="2"/>
      <c r="U696" s="5">
        <v>6</v>
      </c>
      <c r="V696" s="2"/>
      <c r="W696" s="7">
        <v>3.125</v>
      </c>
      <c r="X696" s="7">
        <v>3.125</v>
      </c>
      <c r="Y696" s="4">
        <v>3</v>
      </c>
      <c r="Z696" s="5">
        <v>2.5</v>
      </c>
      <c r="AA696" s="6">
        <v>0.5</v>
      </c>
      <c r="AB696" s="7">
        <v>25.907</v>
      </c>
      <c r="AC696" s="2"/>
    </row>
    <row r="697" spans="1:29" ht="156" x14ac:dyDescent="0.15">
      <c r="A697" s="3">
        <f>DATE(1991,11,22)</f>
        <v>33564</v>
      </c>
      <c r="B697" s="3">
        <f>DATE(1992,2,14)</f>
        <v>33648</v>
      </c>
      <c r="C697" s="2" t="s">
        <v>95</v>
      </c>
      <c r="D697" s="2" t="s">
        <v>2482</v>
      </c>
      <c r="E697" s="2" t="s">
        <v>2483</v>
      </c>
      <c r="F697" s="4">
        <v>3951</v>
      </c>
      <c r="G697" s="2" t="s">
        <v>112</v>
      </c>
      <c r="H697" s="2" t="s">
        <v>34</v>
      </c>
      <c r="I697" s="2" t="s">
        <v>578</v>
      </c>
      <c r="J697" s="2" t="s">
        <v>579</v>
      </c>
      <c r="K697" s="2" t="s">
        <v>237</v>
      </c>
      <c r="L697" s="2" t="s">
        <v>34</v>
      </c>
      <c r="M697" s="12">
        <v>2617.3159999999998</v>
      </c>
      <c r="N697" s="7">
        <v>39.375</v>
      </c>
      <c r="O697" s="7">
        <v>38.875</v>
      </c>
      <c r="P697" s="2" t="s">
        <v>2484</v>
      </c>
      <c r="Q697" s="6">
        <v>100</v>
      </c>
      <c r="R697" s="6">
        <v>38.64</v>
      </c>
      <c r="S697" s="5">
        <v>24.2</v>
      </c>
      <c r="T697" s="7">
        <v>43.472000000000001</v>
      </c>
      <c r="U697" s="5">
        <v>6.8</v>
      </c>
      <c r="V697" s="6">
        <v>1.61</v>
      </c>
      <c r="W697" s="6">
        <v>24.75</v>
      </c>
      <c r="X697" s="6">
        <v>25.25</v>
      </c>
      <c r="Y697" s="6">
        <v>35.75</v>
      </c>
      <c r="Z697" s="6">
        <v>34.75</v>
      </c>
      <c r="AA697" s="6">
        <v>14.88</v>
      </c>
      <c r="AB697" s="7">
        <v>14.507</v>
      </c>
      <c r="AC697" s="2"/>
    </row>
    <row r="698" spans="1:29" ht="130" x14ac:dyDescent="0.15">
      <c r="A698" s="3">
        <f>DATE(1991,11,25)</f>
        <v>33567</v>
      </c>
      <c r="B698" s="3">
        <f>DATE(1992,2,11)</f>
        <v>33645</v>
      </c>
      <c r="C698" s="2" t="s">
        <v>95</v>
      </c>
      <c r="D698" s="2" t="s">
        <v>2485</v>
      </c>
      <c r="E698" s="2" t="s">
        <v>2486</v>
      </c>
      <c r="F698" s="4">
        <v>8734</v>
      </c>
      <c r="G698" s="2" t="s">
        <v>223</v>
      </c>
      <c r="H698" s="2" t="s">
        <v>34</v>
      </c>
      <c r="I698" s="2" t="s">
        <v>2487</v>
      </c>
      <c r="J698" s="2" t="s">
        <v>2488</v>
      </c>
      <c r="K698" s="2" t="s">
        <v>454</v>
      </c>
      <c r="L698" s="2" t="s">
        <v>34</v>
      </c>
      <c r="M698" s="2"/>
      <c r="N698" s="2"/>
      <c r="O698" s="2"/>
      <c r="P698" s="2" t="s">
        <v>2489</v>
      </c>
      <c r="Q698" s="6">
        <v>100</v>
      </c>
      <c r="R698" s="6">
        <v>9.75</v>
      </c>
      <c r="S698" s="5">
        <v>2.1</v>
      </c>
      <c r="T698" s="7">
        <v>6.3710000000000004</v>
      </c>
      <c r="U698" s="5">
        <v>3.5</v>
      </c>
      <c r="V698" s="6">
        <v>0.28999999999999998</v>
      </c>
      <c r="W698" s="4">
        <v>7</v>
      </c>
      <c r="X698" s="7">
        <v>6.625</v>
      </c>
      <c r="Y698" s="5">
        <v>7.5</v>
      </c>
      <c r="Z698" s="5">
        <v>7.5</v>
      </c>
      <c r="AA698" s="6">
        <v>7.38</v>
      </c>
      <c r="AB698" s="7">
        <v>19.015000000000001</v>
      </c>
      <c r="AC698" s="2"/>
    </row>
    <row r="699" spans="1:29" ht="117" x14ac:dyDescent="0.15">
      <c r="A699" s="3">
        <f>DATE(1991,11,25)</f>
        <v>33567</v>
      </c>
      <c r="B699" s="2"/>
      <c r="C699" s="2" t="s">
        <v>30</v>
      </c>
      <c r="D699" s="2" t="s">
        <v>2490</v>
      </c>
      <c r="E699" s="2" t="s">
        <v>746</v>
      </c>
      <c r="F699" s="4">
        <v>6311</v>
      </c>
      <c r="G699" s="2" t="s">
        <v>125</v>
      </c>
      <c r="H699" s="2" t="s">
        <v>34</v>
      </c>
      <c r="I699" s="2" t="s">
        <v>2491</v>
      </c>
      <c r="J699" s="2" t="s">
        <v>124</v>
      </c>
      <c r="K699" s="2" t="s">
        <v>125</v>
      </c>
      <c r="L699" s="2" t="s">
        <v>34</v>
      </c>
      <c r="M699" s="2"/>
      <c r="N699" s="2"/>
      <c r="O699" s="2"/>
      <c r="P699" s="2" t="s">
        <v>2492</v>
      </c>
      <c r="Q699" s="2"/>
      <c r="R699" s="2"/>
      <c r="S699" s="5">
        <v>1.4</v>
      </c>
      <c r="T699" s="7">
        <v>2.976</v>
      </c>
      <c r="U699" s="5">
        <v>11.4</v>
      </c>
      <c r="V699" s="6">
        <v>0.64</v>
      </c>
      <c r="W699" s="4">
        <v>4</v>
      </c>
      <c r="X699" s="4">
        <v>4</v>
      </c>
      <c r="Y699" s="4">
        <v>5</v>
      </c>
      <c r="Z699" s="4">
        <v>5</v>
      </c>
      <c r="AA699" s="6">
        <v>1.03</v>
      </c>
      <c r="AB699" s="2" t="s">
        <v>47</v>
      </c>
      <c r="AC699" s="2"/>
    </row>
    <row r="700" spans="1:29" ht="156" x14ac:dyDescent="0.15">
      <c r="A700" s="3">
        <f>DATE(1991,11,26)</f>
        <v>33568</v>
      </c>
      <c r="B700" s="3">
        <f>DATE(1992,6,30)</f>
        <v>33785</v>
      </c>
      <c r="C700" s="2" t="s">
        <v>95</v>
      </c>
      <c r="D700" s="2" t="s">
        <v>2493</v>
      </c>
      <c r="E700" s="2" t="s">
        <v>36</v>
      </c>
      <c r="F700" s="4">
        <v>6021</v>
      </c>
      <c r="G700" s="2" t="s">
        <v>37</v>
      </c>
      <c r="H700" s="2" t="s">
        <v>34</v>
      </c>
      <c r="I700" s="2" t="s">
        <v>2494</v>
      </c>
      <c r="J700" s="2" t="s">
        <v>36</v>
      </c>
      <c r="K700" s="2" t="s">
        <v>37</v>
      </c>
      <c r="L700" s="2" t="s">
        <v>34</v>
      </c>
      <c r="M700" s="7">
        <v>73.843000000000004</v>
      </c>
      <c r="N700" s="5">
        <v>9.5</v>
      </c>
      <c r="O700" s="5">
        <v>9.5</v>
      </c>
      <c r="P700" s="2" t="s">
        <v>2495</v>
      </c>
      <c r="Q700" s="6">
        <v>100</v>
      </c>
      <c r="R700" s="6">
        <v>24.75</v>
      </c>
      <c r="S700" s="5">
        <v>5.8</v>
      </c>
      <c r="T700" s="7">
        <v>10.138</v>
      </c>
      <c r="U700" s="5">
        <v>25.1</v>
      </c>
      <c r="V700" s="6">
        <v>2.2799999999999998</v>
      </c>
      <c r="W700" s="7">
        <v>17.375</v>
      </c>
      <c r="X700" s="5">
        <v>18.5</v>
      </c>
      <c r="Y700" s="5">
        <v>17.5</v>
      </c>
      <c r="Z700" s="5">
        <v>18.5</v>
      </c>
      <c r="AA700" s="6">
        <v>2.52</v>
      </c>
      <c r="AB700" s="7">
        <v>50.4</v>
      </c>
      <c r="AC700" s="2"/>
    </row>
    <row r="701" spans="1:29" ht="156" x14ac:dyDescent="0.15">
      <c r="A701" s="3">
        <f>DATE(1991,11,27)</f>
        <v>33569</v>
      </c>
      <c r="B701" s="3">
        <f>DATE(1992,8,21)</f>
        <v>33837</v>
      </c>
      <c r="C701" s="2" t="s">
        <v>95</v>
      </c>
      <c r="D701" s="2" t="s">
        <v>2496</v>
      </c>
      <c r="E701" s="2" t="s">
        <v>36</v>
      </c>
      <c r="F701" s="4">
        <v>6021</v>
      </c>
      <c r="G701" s="2" t="s">
        <v>37</v>
      </c>
      <c r="H701" s="2" t="s">
        <v>34</v>
      </c>
      <c r="I701" s="2" t="s">
        <v>1612</v>
      </c>
      <c r="J701" s="2" t="s">
        <v>263</v>
      </c>
      <c r="K701" s="2" t="s">
        <v>37</v>
      </c>
      <c r="L701" s="2" t="s">
        <v>34</v>
      </c>
      <c r="M701" s="12">
        <v>7267.433</v>
      </c>
      <c r="N701" s="7">
        <v>43.625</v>
      </c>
      <c r="O701" s="7">
        <v>43.625</v>
      </c>
      <c r="P701" s="2" t="s">
        <v>2497</v>
      </c>
      <c r="Q701" s="6">
        <v>100</v>
      </c>
      <c r="R701" s="6">
        <v>21.75</v>
      </c>
      <c r="S701" s="5">
        <v>-14.7</v>
      </c>
      <c r="T701" s="7">
        <v>-27.812999999999999</v>
      </c>
      <c r="U701" s="5">
        <v>11.3</v>
      </c>
      <c r="V701" s="6">
        <v>-1.55</v>
      </c>
      <c r="W701" s="6">
        <v>14.75</v>
      </c>
      <c r="X701" s="5">
        <v>15.5</v>
      </c>
      <c r="Y701" s="6">
        <v>19.25</v>
      </c>
      <c r="Z701" s="6">
        <v>19.25</v>
      </c>
      <c r="AA701" s="6">
        <v>9.32</v>
      </c>
      <c r="AB701" s="2" t="s">
        <v>86</v>
      </c>
      <c r="AC701" s="2"/>
    </row>
    <row r="702" spans="1:29" ht="104" x14ac:dyDescent="0.15">
      <c r="A702" s="3">
        <f>DATE(1991,11,28)</f>
        <v>33570</v>
      </c>
      <c r="B702" s="2"/>
      <c r="C702" s="2" t="s">
        <v>189</v>
      </c>
      <c r="D702" s="2" t="s">
        <v>2498</v>
      </c>
      <c r="E702" s="2" t="s">
        <v>2499</v>
      </c>
      <c r="F702" s="4">
        <v>2711</v>
      </c>
      <c r="G702" s="2" t="s">
        <v>186</v>
      </c>
      <c r="H702" s="2" t="s">
        <v>34</v>
      </c>
      <c r="I702" s="2" t="s">
        <v>143</v>
      </c>
      <c r="J702" s="2" t="s">
        <v>144</v>
      </c>
      <c r="K702" s="2" t="s">
        <v>53</v>
      </c>
      <c r="L702" s="2" t="s">
        <v>139</v>
      </c>
      <c r="M702" s="2"/>
      <c r="N702" s="2"/>
      <c r="O702" s="2"/>
      <c r="P702" s="2" t="s">
        <v>2500</v>
      </c>
      <c r="Q702" s="2"/>
      <c r="R702" s="2"/>
      <c r="S702" s="5">
        <v>24.2</v>
      </c>
      <c r="T702" s="7">
        <v>79.703999999999994</v>
      </c>
      <c r="U702" s="5">
        <v>3</v>
      </c>
      <c r="V702" s="6">
        <v>0.35</v>
      </c>
      <c r="W702" s="7">
        <v>8.125</v>
      </c>
      <c r="X702" s="6">
        <v>8.25</v>
      </c>
      <c r="Y702" s="7">
        <v>8.625</v>
      </c>
      <c r="Z702" s="7">
        <v>8.625</v>
      </c>
      <c r="AA702" s="2"/>
      <c r="AB702" s="2" t="s">
        <v>47</v>
      </c>
      <c r="AC702" s="2"/>
    </row>
    <row r="703" spans="1:29" ht="78" x14ac:dyDescent="0.15">
      <c r="A703" s="3">
        <f>DATE(1991,11,29)</f>
        <v>33571</v>
      </c>
      <c r="B703" s="3">
        <f>DATE(1992,4,1)</f>
        <v>33695</v>
      </c>
      <c r="C703" s="2" t="s">
        <v>95</v>
      </c>
      <c r="D703" s="2" t="s">
        <v>2501</v>
      </c>
      <c r="E703" s="2" t="s">
        <v>2241</v>
      </c>
      <c r="F703" s="4">
        <v>8011</v>
      </c>
      <c r="G703" s="2" t="s">
        <v>454</v>
      </c>
      <c r="H703" s="2" t="s">
        <v>34</v>
      </c>
      <c r="I703" s="2" t="s">
        <v>2502</v>
      </c>
      <c r="J703" s="2" t="s">
        <v>373</v>
      </c>
      <c r="K703" s="2" t="s">
        <v>223</v>
      </c>
      <c r="L703" s="2" t="s">
        <v>34</v>
      </c>
      <c r="M703" s="12">
        <v>1170.4079999999999</v>
      </c>
      <c r="N703" s="7">
        <v>40.875</v>
      </c>
      <c r="O703" s="6">
        <v>43.25</v>
      </c>
      <c r="P703" s="2" t="s">
        <v>2503</v>
      </c>
      <c r="Q703" s="6">
        <v>100</v>
      </c>
      <c r="R703" s="6">
        <v>13</v>
      </c>
      <c r="S703" s="5">
        <v>5.5</v>
      </c>
      <c r="T703" s="7">
        <v>17.716999999999999</v>
      </c>
      <c r="U703" s="5">
        <v>4.5</v>
      </c>
      <c r="V703" s="6">
        <v>0.64</v>
      </c>
      <c r="W703" s="6">
        <v>12.25</v>
      </c>
      <c r="X703" s="6">
        <v>12.25</v>
      </c>
      <c r="Y703" s="5">
        <v>12.5</v>
      </c>
      <c r="Z703" s="7">
        <v>12.625</v>
      </c>
      <c r="AA703" s="6">
        <v>9</v>
      </c>
      <c r="AB703" s="7">
        <v>10.834</v>
      </c>
      <c r="AC703" s="6">
        <v>222.82</v>
      </c>
    </row>
    <row r="704" spans="1:29" ht="143" x14ac:dyDescent="0.15">
      <c r="A704" s="3">
        <f>DATE(1991,12,2)</f>
        <v>33574</v>
      </c>
      <c r="B704" s="3">
        <f>DATE(1992,2,28)</f>
        <v>33662</v>
      </c>
      <c r="C704" s="2" t="s">
        <v>95</v>
      </c>
      <c r="D704" s="2" t="s">
        <v>2504</v>
      </c>
      <c r="E704" s="2" t="s">
        <v>2505</v>
      </c>
      <c r="F704" s="4">
        <v>3571</v>
      </c>
      <c r="G704" s="2" t="s">
        <v>50</v>
      </c>
      <c r="H704" s="2" t="s">
        <v>34</v>
      </c>
      <c r="I704" s="2" t="s">
        <v>1476</v>
      </c>
      <c r="J704" s="2" t="s">
        <v>1477</v>
      </c>
      <c r="K704" s="2" t="s">
        <v>50</v>
      </c>
      <c r="L704" s="2" t="s">
        <v>34</v>
      </c>
      <c r="M704" s="2"/>
      <c r="N704" s="2"/>
      <c r="O704" s="2"/>
      <c r="P704" s="2" t="s">
        <v>2506</v>
      </c>
      <c r="Q704" s="6">
        <v>91.85</v>
      </c>
      <c r="R704" s="6">
        <v>30.25</v>
      </c>
      <c r="S704" s="5">
        <v>9.1</v>
      </c>
      <c r="T704" s="7">
        <v>60.454000000000001</v>
      </c>
      <c r="U704" s="5">
        <v>10.6</v>
      </c>
      <c r="V704" s="6">
        <v>0.56999999999999995</v>
      </c>
      <c r="W704" s="5">
        <v>21.5</v>
      </c>
      <c r="X704" s="6">
        <v>23.75</v>
      </c>
      <c r="Y704" s="7">
        <v>28.875</v>
      </c>
      <c r="Z704" s="4">
        <v>29</v>
      </c>
      <c r="AA704" s="6">
        <v>15.31</v>
      </c>
      <c r="AB704" s="7">
        <v>21.31</v>
      </c>
      <c r="AC704" s="2"/>
    </row>
    <row r="705" spans="1:29" ht="104" x14ac:dyDescent="0.15">
      <c r="A705" s="3">
        <f>DATE(1991,12,4)</f>
        <v>33576</v>
      </c>
      <c r="B705" s="2"/>
      <c r="C705" s="2" t="s">
        <v>30</v>
      </c>
      <c r="D705" s="2" t="s">
        <v>2507</v>
      </c>
      <c r="E705" s="2" t="s">
        <v>1181</v>
      </c>
      <c r="F705" s="4">
        <v>6021</v>
      </c>
      <c r="G705" s="2" t="s">
        <v>37</v>
      </c>
      <c r="H705" s="2" t="s">
        <v>34</v>
      </c>
      <c r="I705" s="2" t="s">
        <v>2508</v>
      </c>
      <c r="J705" s="2" t="s">
        <v>1181</v>
      </c>
      <c r="K705" s="2" t="s">
        <v>37</v>
      </c>
      <c r="L705" s="2" t="s">
        <v>34</v>
      </c>
      <c r="M705" s="2"/>
      <c r="N705" s="2"/>
      <c r="O705" s="2"/>
      <c r="P705" s="2" t="s">
        <v>2509</v>
      </c>
      <c r="Q705" s="2"/>
      <c r="R705" s="6">
        <v>9.25</v>
      </c>
      <c r="S705" s="5">
        <v>0.2</v>
      </c>
      <c r="T705" s="7">
        <v>0.51500000000000001</v>
      </c>
      <c r="U705" s="5">
        <v>11.8</v>
      </c>
      <c r="V705" s="2"/>
      <c r="W705" s="6">
        <v>8.25</v>
      </c>
      <c r="X705" s="6">
        <v>8.25</v>
      </c>
      <c r="Y705" s="5">
        <v>8.5</v>
      </c>
      <c r="Z705" s="2"/>
      <c r="AA705" s="6">
        <v>0.47</v>
      </c>
      <c r="AB705" s="7">
        <v>197.64699999999999</v>
      </c>
      <c r="AC705" s="2"/>
    </row>
    <row r="706" spans="1:29" ht="104" x14ac:dyDescent="0.15">
      <c r="A706" s="3">
        <f>DATE(1991,12,9)</f>
        <v>33581</v>
      </c>
      <c r="B706" s="3">
        <f>DATE(1992,11,2)</f>
        <v>33910</v>
      </c>
      <c r="C706" s="2" t="s">
        <v>95</v>
      </c>
      <c r="D706" s="2" t="s">
        <v>2510</v>
      </c>
      <c r="E706" s="2" t="s">
        <v>2511</v>
      </c>
      <c r="F706" s="4">
        <v>2652</v>
      </c>
      <c r="G706" s="2" t="s">
        <v>282</v>
      </c>
      <c r="H706" s="2" t="s">
        <v>34</v>
      </c>
      <c r="I706" s="2" t="s">
        <v>1526</v>
      </c>
      <c r="J706" s="2" t="s">
        <v>302</v>
      </c>
      <c r="K706" s="2" t="s">
        <v>53</v>
      </c>
      <c r="L706" s="2" t="s">
        <v>34</v>
      </c>
      <c r="M706" s="2"/>
      <c r="N706" s="2"/>
      <c r="O706" s="2"/>
      <c r="P706" s="2" t="s">
        <v>2512</v>
      </c>
      <c r="Q706" s="2"/>
      <c r="R706" s="2"/>
      <c r="S706" s="5">
        <v>2.7</v>
      </c>
      <c r="T706" s="2"/>
      <c r="U706" s="5">
        <v>22.4</v>
      </c>
      <c r="V706" s="2"/>
      <c r="W706" s="4">
        <v>3</v>
      </c>
      <c r="X706" s="6">
        <v>2.75</v>
      </c>
      <c r="Y706" s="7">
        <v>2.875</v>
      </c>
      <c r="Z706" s="7">
        <v>3.125</v>
      </c>
      <c r="AA706" s="6">
        <v>15.52</v>
      </c>
      <c r="AB706" s="2" t="s">
        <v>47</v>
      </c>
      <c r="AC706" s="2"/>
    </row>
    <row r="707" spans="1:29" ht="130" x14ac:dyDescent="0.15">
      <c r="A707" s="3">
        <f>DATE(1991,12,9)</f>
        <v>33581</v>
      </c>
      <c r="B707" s="2"/>
      <c r="C707" s="2" t="s">
        <v>30</v>
      </c>
      <c r="D707" s="2" t="s">
        <v>2513</v>
      </c>
      <c r="E707" s="2" t="s">
        <v>2514</v>
      </c>
      <c r="F707" s="4">
        <v>4924</v>
      </c>
      <c r="G707" s="2" t="s">
        <v>439</v>
      </c>
      <c r="H707" s="2" t="s">
        <v>34</v>
      </c>
      <c r="I707" s="2" t="s">
        <v>2515</v>
      </c>
      <c r="J707" s="2" t="s">
        <v>1387</v>
      </c>
      <c r="K707" s="2" t="s">
        <v>439</v>
      </c>
      <c r="L707" s="2" t="s">
        <v>34</v>
      </c>
      <c r="M707" s="5">
        <v>119.8</v>
      </c>
      <c r="N707" s="4">
        <v>19</v>
      </c>
      <c r="O707" s="4">
        <v>19</v>
      </c>
      <c r="P707" s="2" t="s">
        <v>2516</v>
      </c>
      <c r="Q707" s="2"/>
      <c r="R707" s="6">
        <v>35</v>
      </c>
      <c r="S707" s="5">
        <v>5</v>
      </c>
      <c r="T707" s="7">
        <v>34.613999999999997</v>
      </c>
      <c r="U707" s="5">
        <v>20.399999999999999</v>
      </c>
      <c r="V707" s="9">
        <v>6.25E-2</v>
      </c>
      <c r="W707" s="5">
        <v>22.5</v>
      </c>
      <c r="X707" s="6">
        <v>22.75</v>
      </c>
      <c r="Y707" s="6">
        <v>25.25</v>
      </c>
      <c r="Z707" s="5">
        <v>26.5</v>
      </c>
      <c r="AA707" s="6">
        <v>2.74</v>
      </c>
      <c r="AB707" s="7">
        <v>19.05</v>
      </c>
      <c r="AC707" s="6">
        <v>4.62</v>
      </c>
    </row>
    <row r="708" spans="1:29" ht="169" x14ac:dyDescent="0.15">
      <c r="A708" s="3">
        <f>DATE(1991,12,10)</f>
        <v>33582</v>
      </c>
      <c r="B708" s="3">
        <f>DATE(1992,5,19)</f>
        <v>33743</v>
      </c>
      <c r="C708" s="2" t="s">
        <v>95</v>
      </c>
      <c r="D708" s="2" t="s">
        <v>2517</v>
      </c>
      <c r="E708" s="2" t="s">
        <v>177</v>
      </c>
      <c r="F708" s="4">
        <v>1311</v>
      </c>
      <c r="G708" s="2" t="s">
        <v>148</v>
      </c>
      <c r="H708" s="2" t="s">
        <v>34</v>
      </c>
      <c r="I708" s="2" t="s">
        <v>2518</v>
      </c>
      <c r="J708" s="2" t="s">
        <v>612</v>
      </c>
      <c r="K708" s="2" t="s">
        <v>148</v>
      </c>
      <c r="L708" s="2" t="s">
        <v>34</v>
      </c>
      <c r="M708" s="7">
        <v>781.02200000000005</v>
      </c>
      <c r="N708" s="5">
        <v>9.5</v>
      </c>
      <c r="O708" s="7">
        <v>8.375</v>
      </c>
      <c r="P708" s="2" t="s">
        <v>2519</v>
      </c>
      <c r="Q708" s="6">
        <v>100</v>
      </c>
      <c r="R708" s="6">
        <v>5.18</v>
      </c>
      <c r="S708" s="5">
        <v>-1.7</v>
      </c>
      <c r="T708" s="7">
        <v>68.180999999999997</v>
      </c>
      <c r="U708" s="5">
        <v>4.5999999999999996</v>
      </c>
      <c r="V708" s="2"/>
      <c r="W708" s="5">
        <v>7.5</v>
      </c>
      <c r="X708" s="7">
        <v>6.875</v>
      </c>
      <c r="Y708" s="5">
        <v>7.5</v>
      </c>
      <c r="Z708" s="7">
        <v>6.875</v>
      </c>
      <c r="AA708" s="6">
        <v>30.68</v>
      </c>
      <c r="AB708" s="7">
        <v>35.911999999999999</v>
      </c>
      <c r="AC708" s="5">
        <v>47.7</v>
      </c>
    </row>
    <row r="709" spans="1:29" ht="156" x14ac:dyDescent="0.15">
      <c r="A709" s="3">
        <f>DATE(1991,12,11)</f>
        <v>33583</v>
      </c>
      <c r="B709" s="3">
        <f>DATE(1992,10,23)</f>
        <v>33900</v>
      </c>
      <c r="C709" s="2" t="s">
        <v>95</v>
      </c>
      <c r="D709" s="2" t="s">
        <v>933</v>
      </c>
      <c r="E709" s="2" t="s">
        <v>36</v>
      </c>
      <c r="F709" s="4">
        <v>6021</v>
      </c>
      <c r="G709" s="2" t="s">
        <v>37</v>
      </c>
      <c r="H709" s="2" t="s">
        <v>34</v>
      </c>
      <c r="I709" s="2" t="s">
        <v>68</v>
      </c>
      <c r="J709" s="2" t="s">
        <v>69</v>
      </c>
      <c r="K709" s="2" t="s">
        <v>37</v>
      </c>
      <c r="L709" s="2" t="s">
        <v>34</v>
      </c>
      <c r="M709" s="2"/>
      <c r="N709" s="7">
        <v>42.625</v>
      </c>
      <c r="O709" s="7">
        <v>42.625</v>
      </c>
      <c r="P709" s="2" t="s">
        <v>2520</v>
      </c>
      <c r="Q709" s="6">
        <v>100</v>
      </c>
      <c r="R709" s="6">
        <v>28.22</v>
      </c>
      <c r="S709" s="5">
        <v>4.0999999999999996</v>
      </c>
      <c r="T709" s="7">
        <v>6.2939999999999996</v>
      </c>
      <c r="U709" s="5">
        <v>16.8</v>
      </c>
      <c r="V709" s="6">
        <v>0.71</v>
      </c>
      <c r="W709" s="6">
        <v>16.25</v>
      </c>
      <c r="X709" s="6">
        <v>16.75</v>
      </c>
      <c r="Y709" s="5">
        <v>17.5</v>
      </c>
      <c r="Z709" s="5">
        <v>17.5</v>
      </c>
      <c r="AA709" s="6">
        <v>5.95</v>
      </c>
      <c r="AB709" s="7">
        <v>290.83999999999997</v>
      </c>
      <c r="AC709" s="2"/>
    </row>
    <row r="710" spans="1:29" ht="156" x14ac:dyDescent="0.15">
      <c r="A710" s="3">
        <f>DATE(1991,12,12)</f>
        <v>33584</v>
      </c>
      <c r="B710" s="3">
        <f>DATE(1992,6,1)</f>
        <v>33756</v>
      </c>
      <c r="C710" s="2" t="s">
        <v>95</v>
      </c>
      <c r="D710" s="2" t="s">
        <v>2521</v>
      </c>
      <c r="E710" s="2" t="s">
        <v>2522</v>
      </c>
      <c r="F710" s="4">
        <v>7352</v>
      </c>
      <c r="G710" s="2" t="s">
        <v>223</v>
      </c>
      <c r="H710" s="2" t="s">
        <v>34</v>
      </c>
      <c r="I710" s="2" t="s">
        <v>2523</v>
      </c>
      <c r="J710" s="2" t="s">
        <v>2524</v>
      </c>
      <c r="K710" s="2" t="s">
        <v>76</v>
      </c>
      <c r="L710" s="2" t="s">
        <v>34</v>
      </c>
      <c r="M710" s="2"/>
      <c r="N710" s="2"/>
      <c r="O710" s="2"/>
      <c r="P710" s="2" t="s">
        <v>2525</v>
      </c>
      <c r="Q710" s="6">
        <v>100</v>
      </c>
      <c r="R710" s="6">
        <v>4</v>
      </c>
      <c r="S710" s="5">
        <v>-1.4</v>
      </c>
      <c r="T710" s="7">
        <v>16.724</v>
      </c>
      <c r="U710" s="5">
        <v>1.6</v>
      </c>
      <c r="V710" s="6">
        <v>-0.27</v>
      </c>
      <c r="W710" s="7">
        <v>3.375</v>
      </c>
      <c r="X710" s="7">
        <v>3.375</v>
      </c>
      <c r="Y710" s="5">
        <v>3.5</v>
      </c>
      <c r="Z710" s="7">
        <v>3.375</v>
      </c>
      <c r="AA710" s="6">
        <v>5.47</v>
      </c>
      <c r="AB710" s="7">
        <v>16.437999999999999</v>
      </c>
      <c r="AC710" s="2"/>
    </row>
    <row r="711" spans="1:29" ht="130" x14ac:dyDescent="0.15">
      <c r="A711" s="3">
        <f>DATE(1991,12,12)</f>
        <v>33584</v>
      </c>
      <c r="B711" s="2"/>
      <c r="C711" s="2" t="s">
        <v>30</v>
      </c>
      <c r="D711" s="2" t="s">
        <v>2526</v>
      </c>
      <c r="E711" s="2" t="s">
        <v>2527</v>
      </c>
      <c r="F711" s="4">
        <v>3823</v>
      </c>
      <c r="G711" s="2" t="s">
        <v>226</v>
      </c>
      <c r="H711" s="2" t="s">
        <v>34</v>
      </c>
      <c r="I711" s="2" t="s">
        <v>2528</v>
      </c>
      <c r="J711" s="2" t="s">
        <v>2529</v>
      </c>
      <c r="K711" s="2" t="s">
        <v>439</v>
      </c>
      <c r="L711" s="2" t="s">
        <v>34</v>
      </c>
      <c r="M711" s="7">
        <v>323.17500000000001</v>
      </c>
      <c r="N711" s="6">
        <v>23.75</v>
      </c>
      <c r="O711" s="7">
        <v>23.875</v>
      </c>
      <c r="P711" s="2" t="s">
        <v>2530</v>
      </c>
      <c r="Q711" s="2"/>
      <c r="R711" s="6">
        <v>16.18</v>
      </c>
      <c r="S711" s="5">
        <v>3.4</v>
      </c>
      <c r="T711" s="2"/>
      <c r="U711" s="5">
        <v>5.0999999999999996</v>
      </c>
      <c r="V711" s="2"/>
      <c r="W711" s="7">
        <v>10.125</v>
      </c>
      <c r="X711" s="4">
        <v>10</v>
      </c>
      <c r="Y711" s="7">
        <v>10.125</v>
      </c>
      <c r="Z711" s="5">
        <v>14.5</v>
      </c>
      <c r="AA711" s="6">
        <v>2.9</v>
      </c>
      <c r="AB711" s="7">
        <v>10.736000000000001</v>
      </c>
      <c r="AC711" s="6">
        <v>15.96</v>
      </c>
    </row>
    <row r="712" spans="1:29" ht="143" x14ac:dyDescent="0.15">
      <c r="A712" s="3">
        <f>DATE(1991,12,12)</f>
        <v>33584</v>
      </c>
      <c r="B712" s="2"/>
      <c r="C712" s="2" t="s">
        <v>30</v>
      </c>
      <c r="D712" s="2" t="s">
        <v>1816</v>
      </c>
      <c r="E712" s="2" t="s">
        <v>1817</v>
      </c>
      <c r="F712" s="4">
        <v>4512</v>
      </c>
      <c r="G712" s="2" t="s">
        <v>59</v>
      </c>
      <c r="H712" s="2" t="s">
        <v>34</v>
      </c>
      <c r="I712" s="2" t="s">
        <v>1390</v>
      </c>
      <c r="J712" s="2" t="s">
        <v>58</v>
      </c>
      <c r="K712" s="2" t="s">
        <v>59</v>
      </c>
      <c r="L712" s="2" t="s">
        <v>34</v>
      </c>
      <c r="M712" s="2"/>
      <c r="N712" s="2"/>
      <c r="O712" s="2"/>
      <c r="P712" s="2" t="s">
        <v>2531</v>
      </c>
      <c r="Q712" s="2"/>
      <c r="R712" s="2"/>
      <c r="S712" s="8">
        <v>-2402.9</v>
      </c>
      <c r="T712" s="12">
        <v>-2048.326</v>
      </c>
      <c r="U712" s="5">
        <v>-80.2</v>
      </c>
      <c r="V712" s="6">
        <v>-57.52</v>
      </c>
      <c r="W712" s="6">
        <v>4.25</v>
      </c>
      <c r="X712" s="7">
        <v>3.625</v>
      </c>
      <c r="Y712" s="6">
        <v>3.75</v>
      </c>
      <c r="Z712" s="7">
        <v>3.625</v>
      </c>
      <c r="AA712" s="2"/>
      <c r="AB712" s="2" t="s">
        <v>86</v>
      </c>
      <c r="AC712" s="2"/>
    </row>
    <row r="713" spans="1:29" ht="52" x14ac:dyDescent="0.15">
      <c r="A713" s="3">
        <f>DATE(1991,12,12)</f>
        <v>33584</v>
      </c>
      <c r="B713" s="3">
        <f>DATE(1992,2,3)</f>
        <v>33637</v>
      </c>
      <c r="C713" s="2" t="s">
        <v>95</v>
      </c>
      <c r="D713" s="2" t="s">
        <v>1606</v>
      </c>
      <c r="E713" s="2" t="s">
        <v>177</v>
      </c>
      <c r="F713" s="4">
        <v>1311</v>
      </c>
      <c r="G713" s="2" t="s">
        <v>148</v>
      </c>
      <c r="H713" s="2" t="s">
        <v>34</v>
      </c>
      <c r="I713" s="2" t="s">
        <v>2532</v>
      </c>
      <c r="J713" s="2" t="s">
        <v>177</v>
      </c>
      <c r="K713" s="2" t="s">
        <v>148</v>
      </c>
      <c r="L713" s="2" t="s">
        <v>34</v>
      </c>
      <c r="M713" s="2"/>
      <c r="N713" s="2"/>
      <c r="O713" s="2"/>
      <c r="P713" s="2" t="s">
        <v>2533</v>
      </c>
      <c r="Q713" s="6">
        <v>100</v>
      </c>
      <c r="R713" s="2"/>
      <c r="S713" s="5">
        <v>45.4</v>
      </c>
      <c r="T713" s="7">
        <v>197.11799999999999</v>
      </c>
      <c r="U713" s="5">
        <v>8.8000000000000007</v>
      </c>
      <c r="V713" s="6">
        <v>0.88</v>
      </c>
      <c r="W713" s="7">
        <v>19.125</v>
      </c>
      <c r="X713" s="7">
        <v>19.125</v>
      </c>
      <c r="Y713" s="7">
        <v>19.125</v>
      </c>
      <c r="Z713" s="7">
        <v>19.125</v>
      </c>
      <c r="AA713" s="2"/>
      <c r="AB713" s="7">
        <v>2.74</v>
      </c>
      <c r="AC713" s="2"/>
    </row>
    <row r="714" spans="1:29" ht="130" x14ac:dyDescent="0.15">
      <c r="A714" s="3">
        <f>DATE(1991,12,16)</f>
        <v>33588</v>
      </c>
      <c r="B714" s="3">
        <f>DATE(1992,2,18)</f>
        <v>33652</v>
      </c>
      <c r="C714" s="2" t="s">
        <v>95</v>
      </c>
      <c r="D714" s="2" t="s">
        <v>2534</v>
      </c>
      <c r="E714" s="2" t="s">
        <v>2535</v>
      </c>
      <c r="F714" s="4">
        <v>2836</v>
      </c>
      <c r="G714" s="2" t="s">
        <v>130</v>
      </c>
      <c r="H714" s="2" t="s">
        <v>34</v>
      </c>
      <c r="I714" s="2" t="s">
        <v>2536</v>
      </c>
      <c r="J714" s="2" t="s">
        <v>2537</v>
      </c>
      <c r="K714" s="2" t="s">
        <v>98</v>
      </c>
      <c r="L714" s="2" t="s">
        <v>215</v>
      </c>
      <c r="M714" s="2"/>
      <c r="N714" s="2"/>
      <c r="O714" s="2"/>
      <c r="P714" s="2" t="s">
        <v>2538</v>
      </c>
      <c r="Q714" s="6">
        <v>58.46</v>
      </c>
      <c r="R714" s="6">
        <v>70</v>
      </c>
      <c r="S714" s="5">
        <v>-7.6</v>
      </c>
      <c r="T714" s="7">
        <v>-6.2910000000000004</v>
      </c>
      <c r="U714" s="5">
        <v>27.9</v>
      </c>
      <c r="V714" s="6">
        <v>-1.37</v>
      </c>
      <c r="W714" s="5">
        <v>33.5</v>
      </c>
      <c r="X714" s="6">
        <v>33.25</v>
      </c>
      <c r="Y714" s="4">
        <v>53</v>
      </c>
      <c r="Z714" s="4">
        <v>55</v>
      </c>
      <c r="AA714" s="6">
        <v>7.39</v>
      </c>
      <c r="AB714" s="2" t="s">
        <v>86</v>
      </c>
      <c r="AC714" s="10">
        <v>2264.36</v>
      </c>
    </row>
    <row r="715" spans="1:29" ht="104" x14ac:dyDescent="0.15">
      <c r="A715" s="3">
        <f>DATE(1991,12,17)</f>
        <v>33589</v>
      </c>
      <c r="B715" s="2"/>
      <c r="C715" s="2" t="s">
        <v>30</v>
      </c>
      <c r="D715" s="2" t="s">
        <v>1744</v>
      </c>
      <c r="E715" s="2" t="s">
        <v>36</v>
      </c>
      <c r="F715" s="4">
        <v>6029</v>
      </c>
      <c r="G715" s="2" t="s">
        <v>37</v>
      </c>
      <c r="H715" s="2" t="s">
        <v>34</v>
      </c>
      <c r="I715" s="2" t="s">
        <v>1745</v>
      </c>
      <c r="J715" s="2" t="s">
        <v>1746</v>
      </c>
      <c r="K715" s="2" t="s">
        <v>33</v>
      </c>
      <c r="L715" s="2" t="s">
        <v>34</v>
      </c>
      <c r="M715" s="2"/>
      <c r="N715" s="6">
        <v>8.25</v>
      </c>
      <c r="O715" s="5">
        <v>8.5</v>
      </c>
      <c r="P715" s="2" t="s">
        <v>2539</v>
      </c>
      <c r="Q715" s="2"/>
      <c r="R715" s="6">
        <v>11.5</v>
      </c>
      <c r="S715" s="5">
        <v>-11.1</v>
      </c>
      <c r="T715" s="7">
        <v>-9.0280000000000005</v>
      </c>
      <c r="U715" s="5">
        <v>23.2</v>
      </c>
      <c r="V715" s="6">
        <v>-4.57</v>
      </c>
      <c r="W715" s="4">
        <v>8</v>
      </c>
      <c r="X715" s="7">
        <v>8.625</v>
      </c>
      <c r="Y715" s="4">
        <v>9</v>
      </c>
      <c r="Z715" s="6">
        <v>9.25</v>
      </c>
      <c r="AA715" s="6">
        <v>3.47</v>
      </c>
      <c r="AB715" s="2" t="s">
        <v>86</v>
      </c>
      <c r="AC715" s="2"/>
    </row>
    <row r="716" spans="1:29" ht="91" x14ac:dyDescent="0.15">
      <c r="A716" s="3">
        <f>DATE(1991,12,18)</f>
        <v>33590</v>
      </c>
      <c r="B716" s="3">
        <f>DATE(1992,9,2)</f>
        <v>33849</v>
      </c>
      <c r="C716" s="2" t="s">
        <v>95</v>
      </c>
      <c r="D716" s="2" t="s">
        <v>2540</v>
      </c>
      <c r="E716" s="2" t="s">
        <v>36</v>
      </c>
      <c r="F716" s="4">
        <v>6021</v>
      </c>
      <c r="G716" s="2" t="s">
        <v>37</v>
      </c>
      <c r="H716" s="2" t="s">
        <v>34</v>
      </c>
      <c r="I716" s="2" t="s">
        <v>2541</v>
      </c>
      <c r="J716" s="2" t="s">
        <v>36</v>
      </c>
      <c r="K716" s="2" t="s">
        <v>37</v>
      </c>
      <c r="L716" s="2" t="s">
        <v>34</v>
      </c>
      <c r="M716" s="2"/>
      <c r="N716" s="6">
        <v>11.25</v>
      </c>
      <c r="O716" s="5">
        <v>11.5</v>
      </c>
      <c r="P716" s="2" t="s">
        <v>2542</v>
      </c>
      <c r="Q716" s="6">
        <v>100</v>
      </c>
      <c r="R716" s="6">
        <v>47.13</v>
      </c>
      <c r="S716" s="5">
        <v>9.1999999999999993</v>
      </c>
      <c r="T716" s="7">
        <v>14.058</v>
      </c>
      <c r="U716" s="5">
        <v>7.4</v>
      </c>
      <c r="V716" s="7">
        <v>0.98499999999999999</v>
      </c>
      <c r="W716" s="5">
        <v>13.5</v>
      </c>
      <c r="X716" s="6">
        <v>13.75</v>
      </c>
      <c r="Y716" s="6">
        <v>12.75</v>
      </c>
      <c r="Z716" s="6">
        <v>13.75</v>
      </c>
      <c r="AA716" s="6">
        <v>0.08</v>
      </c>
      <c r="AB716" s="7">
        <v>37.293999999999997</v>
      </c>
      <c r="AC716" s="2"/>
    </row>
    <row r="717" spans="1:29" ht="78" x14ac:dyDescent="0.15">
      <c r="A717" s="3">
        <f>DATE(1991,12,20)</f>
        <v>33592</v>
      </c>
      <c r="B717" s="2"/>
      <c r="C717" s="2" t="s">
        <v>30</v>
      </c>
      <c r="D717" s="2" t="s">
        <v>2543</v>
      </c>
      <c r="E717" s="2" t="s">
        <v>36</v>
      </c>
      <c r="F717" s="4">
        <v>6035</v>
      </c>
      <c r="G717" s="2" t="s">
        <v>33</v>
      </c>
      <c r="H717" s="2" t="s">
        <v>34</v>
      </c>
      <c r="I717" s="2" t="s">
        <v>138</v>
      </c>
      <c r="J717" s="2" t="s">
        <v>139</v>
      </c>
      <c r="K717" s="2" t="s">
        <v>53</v>
      </c>
      <c r="L717" s="2" t="s">
        <v>139</v>
      </c>
      <c r="M717" s="2"/>
      <c r="N717" s="2"/>
      <c r="O717" s="2"/>
      <c r="P717" s="2" t="s">
        <v>2544</v>
      </c>
      <c r="Q717" s="2"/>
      <c r="R717" s="2"/>
      <c r="S717" s="5">
        <v>9</v>
      </c>
      <c r="T717" s="7">
        <v>14.726000000000001</v>
      </c>
      <c r="U717" s="5">
        <v>29.8</v>
      </c>
      <c r="V717" s="6">
        <v>3.2</v>
      </c>
      <c r="W717" s="5">
        <v>18.5</v>
      </c>
      <c r="X717" s="4">
        <v>21</v>
      </c>
      <c r="Y717" s="4">
        <v>21</v>
      </c>
      <c r="Z717" s="5">
        <v>20.5</v>
      </c>
      <c r="AA717" s="2"/>
      <c r="AB717" s="2" t="s">
        <v>47</v>
      </c>
      <c r="AC717" s="2"/>
    </row>
    <row r="718" spans="1:29" ht="143" x14ac:dyDescent="0.15">
      <c r="A718" s="3">
        <f>DATE(1991,12,20)</f>
        <v>33592</v>
      </c>
      <c r="B718" s="3">
        <f>DATE(1992,7,1)</f>
        <v>33786</v>
      </c>
      <c r="C718" s="2" t="s">
        <v>95</v>
      </c>
      <c r="D718" s="2" t="s">
        <v>2545</v>
      </c>
      <c r="E718" s="2" t="s">
        <v>36</v>
      </c>
      <c r="F718" s="4">
        <v>6022</v>
      </c>
      <c r="G718" s="2" t="s">
        <v>37</v>
      </c>
      <c r="H718" s="2" t="s">
        <v>34</v>
      </c>
      <c r="I718" s="2" t="s">
        <v>1799</v>
      </c>
      <c r="J718" s="2" t="s">
        <v>36</v>
      </c>
      <c r="K718" s="2" t="s">
        <v>37</v>
      </c>
      <c r="L718" s="2" t="s">
        <v>34</v>
      </c>
      <c r="M718" s="12">
        <v>3431.145</v>
      </c>
      <c r="N718" s="7">
        <v>41.625</v>
      </c>
      <c r="O718" s="7">
        <v>41.875</v>
      </c>
      <c r="P718" s="2" t="s">
        <v>2546</v>
      </c>
      <c r="Q718" s="6">
        <v>100</v>
      </c>
      <c r="R718" s="6">
        <v>55.01</v>
      </c>
      <c r="S718" s="5">
        <v>19.100000000000001</v>
      </c>
      <c r="T718" s="7">
        <v>30.966000000000001</v>
      </c>
      <c r="U718" s="5">
        <v>18.899999999999999</v>
      </c>
      <c r="V718" s="6">
        <v>2.14</v>
      </c>
      <c r="W718" s="6">
        <v>26.75</v>
      </c>
      <c r="X718" s="5">
        <v>27.5</v>
      </c>
      <c r="Y718" s="5">
        <v>30.5</v>
      </c>
      <c r="Z718" s="4">
        <v>35</v>
      </c>
      <c r="AA718" s="6">
        <v>8.81</v>
      </c>
      <c r="AB718" s="7">
        <v>112.85899999999999</v>
      </c>
      <c r="AC718" s="2"/>
    </row>
    <row r="719" spans="1:29" ht="143" x14ac:dyDescent="0.15">
      <c r="A719" s="3">
        <f>DATE(1991,12,20)</f>
        <v>33592</v>
      </c>
      <c r="B719" s="3">
        <f>DATE(1992,9,4)</f>
        <v>33851</v>
      </c>
      <c r="C719" s="2" t="s">
        <v>95</v>
      </c>
      <c r="D719" s="2" t="s">
        <v>2547</v>
      </c>
      <c r="E719" s="2" t="s">
        <v>36</v>
      </c>
      <c r="F719" s="4">
        <v>6035</v>
      </c>
      <c r="G719" s="2" t="s">
        <v>33</v>
      </c>
      <c r="H719" s="2" t="s">
        <v>34</v>
      </c>
      <c r="I719" s="2" t="s">
        <v>2548</v>
      </c>
      <c r="J719" s="2" t="s">
        <v>1181</v>
      </c>
      <c r="K719" s="2" t="s">
        <v>37</v>
      </c>
      <c r="L719" s="2" t="s">
        <v>34</v>
      </c>
      <c r="M719" s="2"/>
      <c r="N719" s="2"/>
      <c r="O719" s="2"/>
      <c r="P719" s="2" t="s">
        <v>2549</v>
      </c>
      <c r="Q719" s="6">
        <v>100</v>
      </c>
      <c r="R719" s="6">
        <v>23.53</v>
      </c>
      <c r="S719" s="5">
        <v>2.2999999999999998</v>
      </c>
      <c r="T719" s="7">
        <v>3.8370000000000002</v>
      </c>
      <c r="U719" s="5">
        <v>23.9</v>
      </c>
      <c r="V719" s="6">
        <v>2.58</v>
      </c>
      <c r="W719" s="5">
        <v>18.5</v>
      </c>
      <c r="X719" s="4">
        <v>19</v>
      </c>
      <c r="Y719" s="4">
        <v>21</v>
      </c>
      <c r="Z719" s="4">
        <v>21</v>
      </c>
      <c r="AA719" s="6">
        <v>0.96</v>
      </c>
      <c r="AB719" s="7">
        <v>58.063000000000002</v>
      </c>
      <c r="AC719" s="2"/>
    </row>
    <row r="720" spans="1:29" ht="156" x14ac:dyDescent="0.15">
      <c r="A720" s="3">
        <f>DATE(1991,12,20)</f>
        <v>33592</v>
      </c>
      <c r="B720" s="2"/>
      <c r="C720" s="2" t="s">
        <v>30</v>
      </c>
      <c r="D720" s="2" t="s">
        <v>2550</v>
      </c>
      <c r="E720" s="2" t="s">
        <v>2551</v>
      </c>
      <c r="F720" s="4">
        <v>3411</v>
      </c>
      <c r="G720" s="2" t="s">
        <v>163</v>
      </c>
      <c r="H720" s="2" t="s">
        <v>34</v>
      </c>
      <c r="I720" s="2" t="s">
        <v>963</v>
      </c>
      <c r="J720" s="2" t="s">
        <v>964</v>
      </c>
      <c r="K720" s="2" t="s">
        <v>163</v>
      </c>
      <c r="L720" s="2" t="s">
        <v>34</v>
      </c>
      <c r="M720" s="2"/>
      <c r="N720" s="4">
        <v>85</v>
      </c>
      <c r="O720" s="5">
        <v>87.5</v>
      </c>
      <c r="P720" s="2" t="s">
        <v>2552</v>
      </c>
      <c r="Q720" s="2"/>
      <c r="R720" s="6">
        <v>20</v>
      </c>
      <c r="S720" s="5">
        <v>4.2</v>
      </c>
      <c r="T720" s="7">
        <v>16.196000000000002</v>
      </c>
      <c r="U720" s="5">
        <v>10.7</v>
      </c>
      <c r="V720" s="6">
        <v>0.5</v>
      </c>
      <c r="W720" s="6">
        <v>10.75</v>
      </c>
      <c r="X720" s="6">
        <v>10.75</v>
      </c>
      <c r="Y720" s="7">
        <v>10.875</v>
      </c>
      <c r="Z720" s="6">
        <v>11.25</v>
      </c>
      <c r="AA720" s="6">
        <v>8.35</v>
      </c>
      <c r="AB720" s="7">
        <v>25.850999999999999</v>
      </c>
      <c r="AC720" s="5">
        <v>20.2</v>
      </c>
    </row>
    <row r="721" spans="1:29" ht="143" x14ac:dyDescent="0.15">
      <c r="A721" s="3">
        <f>DATE(1991,12,30)</f>
        <v>33602</v>
      </c>
      <c r="B721" s="3">
        <f>DATE(1992,11,2)</f>
        <v>33910</v>
      </c>
      <c r="C721" s="2" t="s">
        <v>95</v>
      </c>
      <c r="D721" s="2" t="s">
        <v>2553</v>
      </c>
      <c r="E721" s="2" t="s">
        <v>36</v>
      </c>
      <c r="F721" s="4">
        <v>6022</v>
      </c>
      <c r="G721" s="2" t="s">
        <v>37</v>
      </c>
      <c r="H721" s="2" t="s">
        <v>34</v>
      </c>
      <c r="I721" s="2" t="s">
        <v>1612</v>
      </c>
      <c r="J721" s="2" t="s">
        <v>263</v>
      </c>
      <c r="K721" s="2" t="s">
        <v>37</v>
      </c>
      <c r="L721" s="2" t="s">
        <v>34</v>
      </c>
      <c r="M721" s="7">
        <v>747.84199999999998</v>
      </c>
      <c r="N721" s="7">
        <v>51.625</v>
      </c>
      <c r="O721" s="7">
        <v>52.625</v>
      </c>
      <c r="P721" s="2" t="s">
        <v>2554</v>
      </c>
      <c r="Q721" s="6">
        <v>100</v>
      </c>
      <c r="R721" s="6">
        <v>36.94</v>
      </c>
      <c r="S721" s="5">
        <v>18.100000000000001</v>
      </c>
      <c r="T721" s="6">
        <v>30.33</v>
      </c>
      <c r="U721" s="5">
        <v>19.2</v>
      </c>
      <c r="V721" s="6">
        <v>1.59</v>
      </c>
      <c r="W721" s="5">
        <v>23.5</v>
      </c>
      <c r="X721" s="6">
        <v>25.75</v>
      </c>
      <c r="Y721" s="7">
        <v>30.625</v>
      </c>
      <c r="Z721" s="5">
        <v>31.5</v>
      </c>
      <c r="AA721" s="6">
        <v>10.57</v>
      </c>
      <c r="AB721" s="7">
        <v>135.82</v>
      </c>
      <c r="AC721" s="2"/>
    </row>
    <row r="722" spans="1:29" ht="130" x14ac:dyDescent="0.15">
      <c r="A722" s="3">
        <f>DATE(1991,12,30)</f>
        <v>33602</v>
      </c>
      <c r="B722" s="3">
        <f>DATE(1992,2,28)</f>
        <v>33662</v>
      </c>
      <c r="C722" s="2" t="s">
        <v>95</v>
      </c>
      <c r="D722" s="2" t="s">
        <v>2555</v>
      </c>
      <c r="E722" s="2" t="s">
        <v>2556</v>
      </c>
      <c r="F722" s="4">
        <v>5021</v>
      </c>
      <c r="G722" s="2" t="s">
        <v>76</v>
      </c>
      <c r="H722" s="2" t="s">
        <v>34</v>
      </c>
      <c r="I722" s="2" t="s">
        <v>2557</v>
      </c>
      <c r="J722" s="2" t="s">
        <v>2558</v>
      </c>
      <c r="K722" s="2" t="s">
        <v>1227</v>
      </c>
      <c r="L722" s="2" t="s">
        <v>34</v>
      </c>
      <c r="M722" s="2"/>
      <c r="N722" s="2"/>
      <c r="O722" s="2"/>
      <c r="P722" s="2" t="s">
        <v>2559</v>
      </c>
      <c r="Q722" s="6">
        <v>100</v>
      </c>
      <c r="R722" s="6">
        <v>3.1</v>
      </c>
      <c r="S722" s="5">
        <v>-13</v>
      </c>
      <c r="T722" s="2"/>
      <c r="U722" s="5">
        <v>2.8</v>
      </c>
      <c r="V722" s="6">
        <v>-2.08</v>
      </c>
      <c r="W722" s="7">
        <v>1.5629999999999999</v>
      </c>
      <c r="X722" s="6">
        <v>1.75</v>
      </c>
      <c r="Y722" s="4">
        <v>2</v>
      </c>
      <c r="Z722" s="7">
        <v>2.9380000000000002</v>
      </c>
      <c r="AA722" s="6">
        <v>6.35</v>
      </c>
      <c r="AB722" s="2" t="s">
        <v>86</v>
      </c>
      <c r="AC722" s="2"/>
    </row>
    <row r="723" spans="1:29" ht="52" x14ac:dyDescent="0.15">
      <c r="A723" s="3">
        <f>DATE(1991,12,31)</f>
        <v>33603</v>
      </c>
      <c r="B723" s="2"/>
      <c r="C723" s="2" t="s">
        <v>30</v>
      </c>
      <c r="D723" s="2" t="s">
        <v>2560</v>
      </c>
      <c r="E723" s="2" t="s">
        <v>2561</v>
      </c>
      <c r="F723" s="4">
        <v>2273</v>
      </c>
      <c r="G723" s="2" t="s">
        <v>708</v>
      </c>
      <c r="H723" s="2" t="s">
        <v>34</v>
      </c>
      <c r="I723" s="2" t="s">
        <v>2562</v>
      </c>
      <c r="J723" s="2" t="s">
        <v>2563</v>
      </c>
      <c r="K723" s="2" t="s">
        <v>708</v>
      </c>
      <c r="L723" s="2" t="s">
        <v>34</v>
      </c>
      <c r="M723" s="2"/>
      <c r="N723" s="7">
        <v>18.875</v>
      </c>
      <c r="O723" s="7">
        <v>18.875</v>
      </c>
      <c r="P723" s="2" t="s">
        <v>2564</v>
      </c>
      <c r="Q723" s="2"/>
      <c r="R723" s="2"/>
      <c r="S723" s="5">
        <v>-4.8</v>
      </c>
      <c r="T723" s="7">
        <v>14.430999999999999</v>
      </c>
      <c r="U723" s="5">
        <v>7.7</v>
      </c>
      <c r="V723" s="6">
        <v>-0.59</v>
      </c>
      <c r="W723" s="7">
        <v>3.375</v>
      </c>
      <c r="X723" s="5">
        <v>4.5</v>
      </c>
      <c r="Y723" s="7">
        <v>4.625</v>
      </c>
      <c r="Z723" s="7">
        <v>4.625</v>
      </c>
      <c r="AA723" s="2"/>
      <c r="AB723" s="2" t="s">
        <v>47</v>
      </c>
      <c r="AC723" s="6">
        <v>0.36</v>
      </c>
    </row>
    <row r="724" spans="1:29" ht="169" x14ac:dyDescent="0.15">
      <c r="A724" s="3">
        <f>DATE(1992,1,2)</f>
        <v>33605</v>
      </c>
      <c r="B724" s="2"/>
      <c r="C724" s="2" t="s">
        <v>30</v>
      </c>
      <c r="D724" s="2" t="s">
        <v>2565</v>
      </c>
      <c r="E724" s="2" t="s">
        <v>2566</v>
      </c>
      <c r="F724" s="4">
        <v>8069</v>
      </c>
      <c r="G724" s="2" t="s">
        <v>454</v>
      </c>
      <c r="H724" s="2" t="s">
        <v>34</v>
      </c>
      <c r="I724" s="2" t="s">
        <v>2567</v>
      </c>
      <c r="J724" s="2" t="s">
        <v>2568</v>
      </c>
      <c r="K724" s="2" t="s">
        <v>454</v>
      </c>
      <c r="L724" s="2" t="s">
        <v>34</v>
      </c>
      <c r="M724" s="7">
        <v>763.125</v>
      </c>
      <c r="N724" s="7">
        <v>34.625</v>
      </c>
      <c r="O724" s="7">
        <v>35.875</v>
      </c>
      <c r="P724" s="2" t="s">
        <v>2569</v>
      </c>
      <c r="Q724" s="2"/>
      <c r="R724" s="6">
        <v>26.3</v>
      </c>
      <c r="S724" s="5">
        <v>14.8</v>
      </c>
      <c r="T724" s="7">
        <v>45.113</v>
      </c>
      <c r="U724" s="5">
        <v>6.1</v>
      </c>
      <c r="V724" s="9">
        <v>0.58809999999999996</v>
      </c>
      <c r="W724" s="7">
        <v>26.875</v>
      </c>
      <c r="X724" s="4">
        <v>26</v>
      </c>
      <c r="Y724" s="6">
        <v>27.25</v>
      </c>
      <c r="Z724" s="7">
        <v>28.875</v>
      </c>
      <c r="AA724" s="6">
        <v>36.5</v>
      </c>
      <c r="AB724" s="7">
        <v>23.568000000000001</v>
      </c>
      <c r="AC724" s="5">
        <v>107.1</v>
      </c>
    </row>
    <row r="725" spans="1:29" ht="130" x14ac:dyDescent="0.15">
      <c r="A725" s="3">
        <f>DATE(1992,1,6)</f>
        <v>33609</v>
      </c>
      <c r="B725" s="2"/>
      <c r="C725" s="2" t="s">
        <v>30</v>
      </c>
      <c r="D725" s="2" t="s">
        <v>754</v>
      </c>
      <c r="E725" s="2" t="s">
        <v>755</v>
      </c>
      <c r="F725" s="4">
        <v>5331</v>
      </c>
      <c r="G725" s="2" t="s">
        <v>756</v>
      </c>
      <c r="H725" s="2" t="s">
        <v>34</v>
      </c>
      <c r="I725" s="2" t="s">
        <v>2570</v>
      </c>
      <c r="J725" s="2" t="s">
        <v>302</v>
      </c>
      <c r="K725" s="2" t="s">
        <v>53</v>
      </c>
      <c r="L725" s="2" t="s">
        <v>34</v>
      </c>
      <c r="M725" s="2"/>
      <c r="N725" s="2"/>
      <c r="O725" s="2"/>
      <c r="P725" s="2" t="s">
        <v>2571</v>
      </c>
      <c r="Q725" s="2"/>
      <c r="R725" s="6">
        <v>7</v>
      </c>
      <c r="S725" s="2"/>
      <c r="T725" s="2"/>
      <c r="U725" s="2"/>
      <c r="V725" s="2"/>
      <c r="W725" s="7">
        <v>1.625</v>
      </c>
      <c r="X725" s="5">
        <v>2.5</v>
      </c>
      <c r="Y725" s="4">
        <v>3</v>
      </c>
      <c r="Z725" s="6">
        <v>4.25</v>
      </c>
      <c r="AA725" s="6">
        <v>1.1000000000000001</v>
      </c>
      <c r="AB725" s="2" t="s">
        <v>47</v>
      </c>
      <c r="AC725" s="2"/>
    </row>
    <row r="726" spans="1:29" ht="156" x14ac:dyDescent="0.15">
      <c r="A726" s="3">
        <f>DATE(1992,1,8)</f>
        <v>33611</v>
      </c>
      <c r="B726" s="3">
        <f>DATE(1993,5,12)</f>
        <v>34101</v>
      </c>
      <c r="C726" s="2" t="s">
        <v>95</v>
      </c>
      <c r="D726" s="2" t="s">
        <v>2572</v>
      </c>
      <c r="E726" s="2" t="s">
        <v>2573</v>
      </c>
      <c r="F726" s="4">
        <v>3564</v>
      </c>
      <c r="G726" s="2" t="s">
        <v>300</v>
      </c>
      <c r="H726" s="2" t="s">
        <v>34</v>
      </c>
      <c r="I726" s="2" t="s">
        <v>2574</v>
      </c>
      <c r="J726" s="2" t="s">
        <v>2575</v>
      </c>
      <c r="K726" s="2" t="s">
        <v>300</v>
      </c>
      <c r="L726" s="2" t="s">
        <v>34</v>
      </c>
      <c r="M726" s="2"/>
      <c r="N726" s="7">
        <v>0.56299999999999994</v>
      </c>
      <c r="O726" s="7">
        <v>0.56299999999999994</v>
      </c>
      <c r="P726" s="2" t="s">
        <v>2576</v>
      </c>
      <c r="Q726" s="6">
        <v>51.9</v>
      </c>
      <c r="R726" s="2"/>
      <c r="S726" s="5">
        <v>0.2</v>
      </c>
      <c r="T726" s="2"/>
      <c r="U726" s="5">
        <v>0.2</v>
      </c>
      <c r="V726" s="2"/>
      <c r="W726" s="7">
        <v>0.93799999999999994</v>
      </c>
      <c r="X726" s="6">
        <v>1.25</v>
      </c>
      <c r="Y726" s="6">
        <v>1.75</v>
      </c>
      <c r="Z726" s="6">
        <v>1.75</v>
      </c>
      <c r="AA726" s="6">
        <v>6.8</v>
      </c>
      <c r="AB726" s="2" t="s">
        <v>47</v>
      </c>
      <c r="AC726" s="2"/>
    </row>
    <row r="727" spans="1:29" ht="104" x14ac:dyDescent="0.15">
      <c r="A727" s="3">
        <f>DATE(1992,1,9)</f>
        <v>33612</v>
      </c>
      <c r="B727" s="2"/>
      <c r="C727" s="2" t="s">
        <v>30</v>
      </c>
      <c r="D727" s="2" t="s">
        <v>2577</v>
      </c>
      <c r="E727" s="2" t="s">
        <v>2578</v>
      </c>
      <c r="F727" s="4">
        <v>5091</v>
      </c>
      <c r="G727" s="2" t="s">
        <v>76</v>
      </c>
      <c r="H727" s="2" t="s">
        <v>34</v>
      </c>
      <c r="I727" s="2" t="s">
        <v>138</v>
      </c>
      <c r="J727" s="2" t="s">
        <v>139</v>
      </c>
      <c r="K727" s="2" t="s">
        <v>53</v>
      </c>
      <c r="L727" s="2" t="s">
        <v>139</v>
      </c>
      <c r="M727" s="2"/>
      <c r="N727" s="2"/>
      <c r="O727" s="2"/>
      <c r="P727" s="2" t="s">
        <v>2579</v>
      </c>
      <c r="Q727" s="2"/>
      <c r="R727" s="2"/>
      <c r="S727" s="5">
        <v>1.7</v>
      </c>
      <c r="T727" s="7">
        <v>4.5590000000000002</v>
      </c>
      <c r="U727" s="5">
        <v>15.7</v>
      </c>
      <c r="V727" s="6">
        <v>0.7</v>
      </c>
      <c r="W727" s="7">
        <v>7.875</v>
      </c>
      <c r="X727" s="7">
        <v>8.875</v>
      </c>
      <c r="Y727" s="7">
        <v>9.125</v>
      </c>
      <c r="Z727" s="4">
        <v>9</v>
      </c>
      <c r="AA727" s="6">
        <v>4.5999999999999996</v>
      </c>
      <c r="AB727" s="2" t="s">
        <v>47</v>
      </c>
      <c r="AC727" s="2"/>
    </row>
    <row r="728" spans="1:29" ht="130" x14ac:dyDescent="0.15">
      <c r="A728" s="3">
        <f>DATE(1992,1,13)</f>
        <v>33616</v>
      </c>
      <c r="B728" s="3">
        <f>DATE(1992,12,18)</f>
        <v>33956</v>
      </c>
      <c r="C728" s="2" t="s">
        <v>95</v>
      </c>
      <c r="D728" s="2" t="s">
        <v>2580</v>
      </c>
      <c r="E728" s="2" t="s">
        <v>878</v>
      </c>
      <c r="F728" s="4">
        <v>5331</v>
      </c>
      <c r="G728" s="2" t="s">
        <v>756</v>
      </c>
      <c r="H728" s="2" t="s">
        <v>34</v>
      </c>
      <c r="I728" s="2" t="s">
        <v>1526</v>
      </c>
      <c r="J728" s="2" t="s">
        <v>302</v>
      </c>
      <c r="K728" s="2" t="s">
        <v>53</v>
      </c>
      <c r="L728" s="2" t="s">
        <v>34</v>
      </c>
      <c r="M728" s="2"/>
      <c r="N728" s="2"/>
      <c r="O728" s="2"/>
      <c r="P728" s="2" t="s">
        <v>2581</v>
      </c>
      <c r="Q728" s="6">
        <v>100</v>
      </c>
      <c r="R728" s="2"/>
      <c r="S728" s="5">
        <v>-282.39999999999998</v>
      </c>
      <c r="T728" s="7">
        <v>-42.113999999999997</v>
      </c>
      <c r="U728" s="5">
        <v>-23</v>
      </c>
      <c r="V728" s="9">
        <v>-7.8703000000000003</v>
      </c>
      <c r="W728" s="7">
        <v>1.125</v>
      </c>
      <c r="X728" s="5">
        <v>1.5</v>
      </c>
      <c r="Y728" s="4">
        <v>2</v>
      </c>
      <c r="Z728" s="5">
        <v>0.5</v>
      </c>
      <c r="AA728" s="6">
        <v>40</v>
      </c>
      <c r="AB728" s="2" t="s">
        <v>86</v>
      </c>
      <c r="AC728" s="2"/>
    </row>
    <row r="729" spans="1:29" ht="143" x14ac:dyDescent="0.15">
      <c r="A729" s="3">
        <f>DATE(1992,1,13)</f>
        <v>33616</v>
      </c>
      <c r="B729" s="3">
        <f>DATE(1992,10,5)</f>
        <v>33882</v>
      </c>
      <c r="C729" s="2" t="s">
        <v>95</v>
      </c>
      <c r="D729" s="2" t="s">
        <v>2582</v>
      </c>
      <c r="E729" s="2" t="s">
        <v>2583</v>
      </c>
      <c r="F729" s="4">
        <v>3699</v>
      </c>
      <c r="G729" s="2" t="s">
        <v>137</v>
      </c>
      <c r="H729" s="2" t="s">
        <v>34</v>
      </c>
      <c r="I729" s="2" t="s">
        <v>2584</v>
      </c>
      <c r="J729" s="2" t="s">
        <v>2585</v>
      </c>
      <c r="K729" s="2" t="s">
        <v>137</v>
      </c>
      <c r="L729" s="2" t="s">
        <v>34</v>
      </c>
      <c r="M729" s="7">
        <v>11.707000000000001</v>
      </c>
      <c r="N729" s="7">
        <v>6.125</v>
      </c>
      <c r="O729" s="4">
        <v>6</v>
      </c>
      <c r="P729" s="2" t="s">
        <v>2586</v>
      </c>
      <c r="Q729" s="6">
        <v>100</v>
      </c>
      <c r="R729" s="6">
        <v>1.75</v>
      </c>
      <c r="S729" s="5">
        <v>-2.5</v>
      </c>
      <c r="T729" s="7">
        <v>-1.0760000000000001</v>
      </c>
      <c r="U729" s="5">
        <v>3.3</v>
      </c>
      <c r="V729" s="6">
        <v>-0.66</v>
      </c>
      <c r="W729" s="6">
        <v>1.75</v>
      </c>
      <c r="X729" s="4">
        <v>2</v>
      </c>
      <c r="Y729" s="5">
        <v>2.5</v>
      </c>
      <c r="Z729" s="5">
        <v>2.5</v>
      </c>
      <c r="AA729" s="6">
        <v>4.1500000000000004</v>
      </c>
      <c r="AB729" s="2" t="s">
        <v>86</v>
      </c>
      <c r="AC729" s="2"/>
    </row>
    <row r="730" spans="1:29" ht="65" x14ac:dyDescent="0.15">
      <c r="A730" s="3">
        <f>DATE(1992,1,14)</f>
        <v>33617</v>
      </c>
      <c r="B730" s="2"/>
      <c r="C730" s="2" t="s">
        <v>56</v>
      </c>
      <c r="D730" s="2" t="s">
        <v>2587</v>
      </c>
      <c r="E730" s="2" t="s">
        <v>2588</v>
      </c>
      <c r="F730" s="4">
        <v>6513</v>
      </c>
      <c r="G730" s="2" t="s">
        <v>109</v>
      </c>
      <c r="H730" s="2" t="s">
        <v>34</v>
      </c>
      <c r="I730" s="2" t="s">
        <v>2589</v>
      </c>
      <c r="J730" s="2" t="s">
        <v>2590</v>
      </c>
      <c r="K730" s="2" t="s">
        <v>42</v>
      </c>
      <c r="L730" s="2" t="s">
        <v>34</v>
      </c>
      <c r="M730" s="2"/>
      <c r="N730" s="4">
        <v>13</v>
      </c>
      <c r="O730" s="4">
        <v>13</v>
      </c>
      <c r="P730" s="2" t="s">
        <v>2591</v>
      </c>
      <c r="Q730" s="2"/>
      <c r="R730" s="2"/>
      <c r="S730" s="5">
        <v>2.7</v>
      </c>
      <c r="T730" s="7">
        <v>30.184999999999999</v>
      </c>
      <c r="U730" s="5">
        <v>67.099999999999994</v>
      </c>
      <c r="V730" s="6">
        <v>0.81</v>
      </c>
      <c r="W730" s="6">
        <v>15.25</v>
      </c>
      <c r="X730" s="6">
        <v>14.75</v>
      </c>
      <c r="Y730" s="7">
        <v>21.125</v>
      </c>
      <c r="Z730" s="7">
        <v>23.375</v>
      </c>
      <c r="AA730" s="6">
        <v>3.3</v>
      </c>
      <c r="AB730" s="2" t="s">
        <v>47</v>
      </c>
      <c r="AC730" s="6">
        <v>0.3</v>
      </c>
    </row>
    <row r="731" spans="1:29" ht="130" x14ac:dyDescent="0.15">
      <c r="A731" s="3">
        <f>DATE(1992,1,17)</f>
        <v>33620</v>
      </c>
      <c r="B731" s="3">
        <f>DATE(1992,11,20)</f>
        <v>33928</v>
      </c>
      <c r="C731" s="2" t="s">
        <v>95</v>
      </c>
      <c r="D731" s="2" t="s">
        <v>1744</v>
      </c>
      <c r="E731" s="2" t="s">
        <v>36</v>
      </c>
      <c r="F731" s="4">
        <v>6029</v>
      </c>
      <c r="G731" s="2" t="s">
        <v>37</v>
      </c>
      <c r="H731" s="2" t="s">
        <v>34</v>
      </c>
      <c r="I731" s="2" t="s">
        <v>68</v>
      </c>
      <c r="J731" s="2" t="s">
        <v>69</v>
      </c>
      <c r="K731" s="2" t="s">
        <v>37</v>
      </c>
      <c r="L731" s="2" t="s">
        <v>34</v>
      </c>
      <c r="M731" s="2"/>
      <c r="N731" s="7">
        <v>49.125</v>
      </c>
      <c r="O731" s="7">
        <v>49.125</v>
      </c>
      <c r="P731" s="2" t="s">
        <v>2592</v>
      </c>
      <c r="Q731" s="6">
        <v>100</v>
      </c>
      <c r="R731" s="6">
        <v>13.05</v>
      </c>
      <c r="S731" s="5">
        <v>-7.9</v>
      </c>
      <c r="T731" s="2"/>
      <c r="U731" s="5">
        <v>22.9</v>
      </c>
      <c r="V731" s="2"/>
      <c r="W731" s="7">
        <v>8.625</v>
      </c>
      <c r="X731" s="4">
        <v>9</v>
      </c>
      <c r="Y731" s="4">
        <v>10</v>
      </c>
      <c r="Z731" s="4">
        <v>10</v>
      </c>
      <c r="AA731" s="6">
        <v>3.48</v>
      </c>
      <c r="AB731" s="2" t="s">
        <v>86</v>
      </c>
      <c r="AC731" s="2"/>
    </row>
    <row r="732" spans="1:29" ht="52" x14ac:dyDescent="0.15">
      <c r="A732" s="3">
        <f>DATE(1992,1,17)</f>
        <v>33620</v>
      </c>
      <c r="B732" s="2"/>
      <c r="C732" s="2" t="s">
        <v>87</v>
      </c>
      <c r="D732" s="2" t="s">
        <v>2593</v>
      </c>
      <c r="E732" s="2" t="s">
        <v>781</v>
      </c>
      <c r="F732" s="4">
        <v>7372</v>
      </c>
      <c r="G732" s="2" t="s">
        <v>551</v>
      </c>
      <c r="H732" s="2" t="s">
        <v>34</v>
      </c>
      <c r="I732" s="2" t="s">
        <v>138</v>
      </c>
      <c r="J732" s="2" t="s">
        <v>139</v>
      </c>
      <c r="K732" s="2" t="s">
        <v>53</v>
      </c>
      <c r="L732" s="2" t="s">
        <v>139</v>
      </c>
      <c r="M732" s="2"/>
      <c r="N732" s="2"/>
      <c r="O732" s="2"/>
      <c r="P732" s="2" t="s">
        <v>2594</v>
      </c>
      <c r="Q732" s="2"/>
      <c r="R732" s="6">
        <v>1.57</v>
      </c>
      <c r="S732" s="5">
        <v>1.3</v>
      </c>
      <c r="T732" s="2"/>
      <c r="U732" s="5">
        <v>4.5</v>
      </c>
      <c r="V732" s="6">
        <v>0.43</v>
      </c>
      <c r="W732" s="7">
        <v>23.375</v>
      </c>
      <c r="X732" s="6">
        <v>24.25</v>
      </c>
      <c r="Y732" s="6">
        <v>24.25</v>
      </c>
      <c r="Z732" s="6">
        <v>24.25</v>
      </c>
      <c r="AA732" s="6">
        <v>3.82</v>
      </c>
      <c r="AB732" s="2" t="s">
        <v>47</v>
      </c>
      <c r="AC732" s="2"/>
    </row>
    <row r="733" spans="1:29" ht="78" x14ac:dyDescent="0.15">
      <c r="A733" s="3">
        <f>DATE(1992,1,18)</f>
        <v>33621</v>
      </c>
      <c r="B733" s="2"/>
      <c r="C733" s="2" t="s">
        <v>30</v>
      </c>
      <c r="D733" s="2" t="s">
        <v>2550</v>
      </c>
      <c r="E733" s="2" t="s">
        <v>2551</v>
      </c>
      <c r="F733" s="4">
        <v>3411</v>
      </c>
      <c r="G733" s="2" t="s">
        <v>163</v>
      </c>
      <c r="H733" s="2" t="s">
        <v>34</v>
      </c>
      <c r="I733" s="2" t="s">
        <v>2595</v>
      </c>
      <c r="J733" s="2" t="s">
        <v>2596</v>
      </c>
      <c r="K733" s="2" t="s">
        <v>163</v>
      </c>
      <c r="L733" s="2" t="s">
        <v>34</v>
      </c>
      <c r="M733" s="2"/>
      <c r="N733" s="5">
        <v>28.5</v>
      </c>
      <c r="O733" s="5">
        <v>28.5</v>
      </c>
      <c r="P733" s="2" t="s">
        <v>2597</v>
      </c>
      <c r="Q733" s="2"/>
      <c r="R733" s="2"/>
      <c r="S733" s="5">
        <v>4.2</v>
      </c>
      <c r="T733" s="7">
        <v>16.196000000000002</v>
      </c>
      <c r="U733" s="5">
        <v>10.7</v>
      </c>
      <c r="V733" s="6">
        <v>0.5</v>
      </c>
      <c r="W733" s="6">
        <v>10.75</v>
      </c>
      <c r="X733" s="6">
        <v>10.75</v>
      </c>
      <c r="Y733" s="7">
        <v>10.875</v>
      </c>
      <c r="Z733" s="6">
        <v>11.25</v>
      </c>
      <c r="AA733" s="6">
        <v>8.35</v>
      </c>
      <c r="AB733" s="2" t="s">
        <v>47</v>
      </c>
      <c r="AC733" s="6">
        <v>3.22</v>
      </c>
    </row>
    <row r="734" spans="1:29" ht="156" x14ac:dyDescent="0.15">
      <c r="A734" s="3">
        <f>DATE(1992,1,23)</f>
        <v>33626</v>
      </c>
      <c r="B734" s="2"/>
      <c r="C734" s="2" t="s">
        <v>30</v>
      </c>
      <c r="D734" s="2" t="s">
        <v>305</v>
      </c>
      <c r="E734" s="2" t="s">
        <v>306</v>
      </c>
      <c r="F734" s="4">
        <v>7822</v>
      </c>
      <c r="G734" s="2" t="s">
        <v>42</v>
      </c>
      <c r="H734" s="2" t="s">
        <v>34</v>
      </c>
      <c r="I734" s="2" t="s">
        <v>51</v>
      </c>
      <c r="J734" s="2" t="s">
        <v>52</v>
      </c>
      <c r="K734" s="2" t="s">
        <v>53</v>
      </c>
      <c r="L734" s="2" t="s">
        <v>34</v>
      </c>
      <c r="M734" s="2"/>
      <c r="N734" s="2"/>
      <c r="O734" s="2"/>
      <c r="P734" s="2" t="s">
        <v>2598</v>
      </c>
      <c r="Q734" s="2"/>
      <c r="R734" s="2"/>
      <c r="S734" s="5">
        <v>-63</v>
      </c>
      <c r="T734" s="7">
        <v>437.08300000000003</v>
      </c>
      <c r="U734" s="5">
        <v>6.6</v>
      </c>
      <c r="V734" s="6">
        <v>-3.03</v>
      </c>
      <c r="W734" s="5">
        <v>2.5</v>
      </c>
      <c r="X734" s="7">
        <v>2.375</v>
      </c>
      <c r="Y734" s="5">
        <v>2.5</v>
      </c>
      <c r="Z734" s="6">
        <v>3.75</v>
      </c>
      <c r="AA734" s="6">
        <v>20</v>
      </c>
      <c r="AB734" s="2" t="s">
        <v>86</v>
      </c>
      <c r="AC734" s="2"/>
    </row>
    <row r="735" spans="1:29" ht="117" x14ac:dyDescent="0.15">
      <c r="A735" s="3">
        <f>DATE(1992,1,23)</f>
        <v>33626</v>
      </c>
      <c r="B735" s="2"/>
      <c r="C735" s="2" t="s">
        <v>30</v>
      </c>
      <c r="D735" s="2" t="s">
        <v>305</v>
      </c>
      <c r="E735" s="2" t="s">
        <v>306</v>
      </c>
      <c r="F735" s="4">
        <v>7822</v>
      </c>
      <c r="G735" s="2" t="s">
        <v>42</v>
      </c>
      <c r="H735" s="2" t="s">
        <v>34</v>
      </c>
      <c r="I735" s="2" t="s">
        <v>2599</v>
      </c>
      <c r="J735" s="2" t="s">
        <v>2600</v>
      </c>
      <c r="K735" s="2" t="s">
        <v>45</v>
      </c>
      <c r="L735" s="2" t="s">
        <v>34</v>
      </c>
      <c r="M735" s="2"/>
      <c r="N735" s="6">
        <v>24.75</v>
      </c>
      <c r="O735" s="7">
        <v>24.625</v>
      </c>
      <c r="P735" s="2" t="s">
        <v>2601</v>
      </c>
      <c r="Q735" s="2"/>
      <c r="R735" s="2"/>
      <c r="S735" s="5">
        <v>-63</v>
      </c>
      <c r="T735" s="7">
        <v>437.08300000000003</v>
      </c>
      <c r="U735" s="5">
        <v>6.6</v>
      </c>
      <c r="V735" s="6">
        <v>-3.03</v>
      </c>
      <c r="W735" s="5">
        <v>2.5</v>
      </c>
      <c r="X735" s="7">
        <v>2.375</v>
      </c>
      <c r="Y735" s="5">
        <v>2.5</v>
      </c>
      <c r="Z735" s="6">
        <v>3.75</v>
      </c>
      <c r="AA735" s="2"/>
      <c r="AB735" s="2" t="s">
        <v>86</v>
      </c>
      <c r="AC735" s="6">
        <v>78.56</v>
      </c>
    </row>
    <row r="736" spans="1:29" ht="117" x14ac:dyDescent="0.15">
      <c r="A736" s="3">
        <f>DATE(1992,1,27)</f>
        <v>33630</v>
      </c>
      <c r="B736" s="3">
        <f>DATE(1992,7,1)</f>
        <v>33786</v>
      </c>
      <c r="C736" s="2" t="s">
        <v>95</v>
      </c>
      <c r="D736" s="2" t="s">
        <v>2602</v>
      </c>
      <c r="E736" s="2" t="s">
        <v>36</v>
      </c>
      <c r="F736" s="4">
        <v>6021</v>
      </c>
      <c r="G736" s="2" t="s">
        <v>37</v>
      </c>
      <c r="H736" s="2" t="s">
        <v>34</v>
      </c>
      <c r="I736" s="2" t="s">
        <v>2603</v>
      </c>
      <c r="J736" s="2" t="s">
        <v>36</v>
      </c>
      <c r="K736" s="2" t="s">
        <v>37</v>
      </c>
      <c r="L736" s="2" t="s">
        <v>34</v>
      </c>
      <c r="M736" s="7">
        <v>438.65100000000001</v>
      </c>
      <c r="N736" s="6">
        <v>37.75</v>
      </c>
      <c r="O736" s="6">
        <v>37.75</v>
      </c>
      <c r="P736" s="2" t="s">
        <v>2604</v>
      </c>
      <c r="Q736" s="6">
        <v>100</v>
      </c>
      <c r="R736" s="6">
        <v>35.6</v>
      </c>
      <c r="S736" s="5">
        <v>6.3</v>
      </c>
      <c r="T736" s="7">
        <v>9.9049999999999994</v>
      </c>
      <c r="U736" s="5">
        <v>22.3</v>
      </c>
      <c r="V736" s="6">
        <v>2.87</v>
      </c>
      <c r="W736" s="6">
        <v>26.75</v>
      </c>
      <c r="X736" s="6">
        <v>28.25</v>
      </c>
      <c r="Y736" s="6">
        <v>28.25</v>
      </c>
      <c r="Z736" s="6">
        <v>34.25</v>
      </c>
      <c r="AA736" s="6">
        <v>2.1</v>
      </c>
      <c r="AB736" s="7">
        <v>72.888999999999996</v>
      </c>
      <c r="AC736" s="2"/>
    </row>
    <row r="737" spans="1:29" ht="130" x14ac:dyDescent="0.15">
      <c r="A737" s="3">
        <f>DATE(1992,1,28)</f>
        <v>33631</v>
      </c>
      <c r="B737" s="3">
        <f>DATE(1992,10,23)</f>
        <v>33900</v>
      </c>
      <c r="C737" s="2" t="s">
        <v>95</v>
      </c>
      <c r="D737" s="2" t="s">
        <v>2605</v>
      </c>
      <c r="E737" s="2" t="s">
        <v>367</v>
      </c>
      <c r="F737" s="4">
        <v>6211</v>
      </c>
      <c r="G737" s="2" t="s">
        <v>53</v>
      </c>
      <c r="H737" s="2" t="s">
        <v>34</v>
      </c>
      <c r="I737" s="2" t="s">
        <v>2336</v>
      </c>
      <c r="J737" s="2" t="s">
        <v>2337</v>
      </c>
      <c r="K737" s="2" t="s">
        <v>37</v>
      </c>
      <c r="L737" s="2" t="s">
        <v>34</v>
      </c>
      <c r="M737" s="7">
        <v>718.32500000000005</v>
      </c>
      <c r="N737" s="6">
        <v>24.75</v>
      </c>
      <c r="O737" s="5">
        <v>24.5</v>
      </c>
      <c r="P737" s="2" t="s">
        <v>2606</v>
      </c>
      <c r="Q737" s="6">
        <v>100</v>
      </c>
      <c r="R737" s="6">
        <v>23.63</v>
      </c>
      <c r="S737" s="5">
        <v>1.5</v>
      </c>
      <c r="T737" s="7">
        <v>5.0449999999999999</v>
      </c>
      <c r="U737" s="5">
        <v>17.600000000000001</v>
      </c>
      <c r="V737" s="2"/>
      <c r="W737" s="6">
        <v>15.25</v>
      </c>
      <c r="X737" s="7">
        <v>16.625</v>
      </c>
      <c r="Y737" s="6">
        <v>17.25</v>
      </c>
      <c r="Z737" s="4">
        <v>20</v>
      </c>
      <c r="AA737" s="6">
        <v>0.89</v>
      </c>
      <c r="AB737" s="7">
        <v>6.1639999999999997</v>
      </c>
      <c r="AC737" s="2"/>
    </row>
    <row r="738" spans="1:29" ht="39" x14ac:dyDescent="0.15">
      <c r="A738" s="3">
        <f>DATE(1992,1,31)</f>
        <v>33634</v>
      </c>
      <c r="B738" s="2"/>
      <c r="C738" s="2" t="s">
        <v>30</v>
      </c>
      <c r="D738" s="2" t="s">
        <v>2607</v>
      </c>
      <c r="E738" s="2" t="s">
        <v>2608</v>
      </c>
      <c r="F738" s="4">
        <v>2835</v>
      </c>
      <c r="G738" s="2" t="s">
        <v>130</v>
      </c>
      <c r="H738" s="2" t="s">
        <v>34</v>
      </c>
      <c r="I738" s="2" t="s">
        <v>51</v>
      </c>
      <c r="J738" s="2" t="s">
        <v>52</v>
      </c>
      <c r="K738" s="2" t="s">
        <v>53</v>
      </c>
      <c r="L738" s="2" t="s">
        <v>34</v>
      </c>
      <c r="M738" s="2"/>
      <c r="N738" s="2"/>
      <c r="O738" s="2"/>
      <c r="P738" s="2" t="s">
        <v>2609</v>
      </c>
      <c r="Q738" s="2"/>
      <c r="R738" s="2"/>
      <c r="S738" s="5">
        <v>-0.2</v>
      </c>
      <c r="T738" s="2"/>
      <c r="U738" s="5">
        <v>1.1000000000000001</v>
      </c>
      <c r="V738" s="2"/>
      <c r="W738" s="13">
        <v>0</v>
      </c>
      <c r="X738" s="7">
        <v>1.125</v>
      </c>
      <c r="Y738" s="9">
        <v>1.1875</v>
      </c>
      <c r="Z738" s="9">
        <v>1.1875</v>
      </c>
      <c r="AA738" s="2"/>
      <c r="AB738" s="2" t="s">
        <v>86</v>
      </c>
      <c r="AC738" s="2"/>
    </row>
    <row r="739" spans="1:29" ht="143" x14ac:dyDescent="0.15">
      <c r="A739" s="3">
        <f>DATE(1992,2,3)</f>
        <v>33637</v>
      </c>
      <c r="B739" s="2"/>
      <c r="C739" s="2" t="s">
        <v>30</v>
      </c>
      <c r="D739" s="2" t="s">
        <v>2610</v>
      </c>
      <c r="E739" s="2" t="s">
        <v>36</v>
      </c>
      <c r="F739" s="4">
        <v>6022</v>
      </c>
      <c r="G739" s="2" t="s">
        <v>37</v>
      </c>
      <c r="H739" s="2" t="s">
        <v>34</v>
      </c>
      <c r="I739" s="2" t="s">
        <v>2611</v>
      </c>
      <c r="J739" s="2" t="s">
        <v>263</v>
      </c>
      <c r="K739" s="2" t="s">
        <v>37</v>
      </c>
      <c r="L739" s="2" t="s">
        <v>34</v>
      </c>
      <c r="M739" s="7">
        <v>636.78399999999999</v>
      </c>
      <c r="N739" s="4">
        <v>45</v>
      </c>
      <c r="O739" s="7">
        <v>44.875</v>
      </c>
      <c r="P739" s="2" t="s">
        <v>2612</v>
      </c>
      <c r="Q739" s="2"/>
      <c r="R739" s="2"/>
      <c r="S739" s="5">
        <v>12.8</v>
      </c>
      <c r="T739" s="7">
        <v>21.731999999999999</v>
      </c>
      <c r="U739" s="5">
        <v>14.6</v>
      </c>
      <c r="V739" s="6">
        <v>1.41</v>
      </c>
      <c r="W739" s="7">
        <v>14.875</v>
      </c>
      <c r="X739" s="7">
        <v>15.375</v>
      </c>
      <c r="Y739" s="4">
        <v>19</v>
      </c>
      <c r="Z739" s="5">
        <v>20.5</v>
      </c>
      <c r="AA739" s="6">
        <v>9.0399999999999991</v>
      </c>
      <c r="AB739" s="2" t="s">
        <v>47</v>
      </c>
      <c r="AC739" s="2"/>
    </row>
    <row r="740" spans="1:29" ht="156" x14ac:dyDescent="0.15">
      <c r="A740" s="3">
        <f>DATE(1992,2,3)</f>
        <v>33637</v>
      </c>
      <c r="B740" s="2"/>
      <c r="C740" s="2" t="s">
        <v>30</v>
      </c>
      <c r="D740" s="2" t="s">
        <v>2613</v>
      </c>
      <c r="E740" s="2" t="s">
        <v>2614</v>
      </c>
      <c r="F740" s="4">
        <v>2869</v>
      </c>
      <c r="G740" s="2" t="s">
        <v>98</v>
      </c>
      <c r="H740" s="2" t="s">
        <v>34</v>
      </c>
      <c r="I740" s="2" t="s">
        <v>2615</v>
      </c>
      <c r="J740" s="2" t="s">
        <v>2616</v>
      </c>
      <c r="K740" s="2" t="s">
        <v>148</v>
      </c>
      <c r="L740" s="2" t="s">
        <v>2617</v>
      </c>
      <c r="M740" s="2"/>
      <c r="N740" s="2"/>
      <c r="O740" s="2"/>
      <c r="P740" s="2" t="s">
        <v>2618</v>
      </c>
      <c r="Q740" s="2"/>
      <c r="R740" s="2"/>
      <c r="S740" s="5">
        <v>-42.7</v>
      </c>
      <c r="T740" s="6">
        <v>35.880000000000003</v>
      </c>
      <c r="U740" s="5">
        <v>-3</v>
      </c>
      <c r="V740" s="6">
        <v>-1.36</v>
      </c>
      <c r="W740" s="7">
        <v>1.125</v>
      </c>
      <c r="X740" s="7">
        <v>1.375</v>
      </c>
      <c r="Y740" s="7">
        <v>1.375</v>
      </c>
      <c r="Z740" s="7">
        <v>1.125</v>
      </c>
      <c r="AA740" s="6">
        <v>18.75</v>
      </c>
      <c r="AB740" s="2" t="s">
        <v>47</v>
      </c>
      <c r="AC740" s="2"/>
    </row>
    <row r="741" spans="1:29" ht="39" x14ac:dyDescent="0.15">
      <c r="A741" s="3">
        <f>DATE(1992,2,4)</f>
        <v>33638</v>
      </c>
      <c r="B741" s="2"/>
      <c r="C741" s="2" t="s">
        <v>87</v>
      </c>
      <c r="D741" s="2" t="s">
        <v>2619</v>
      </c>
      <c r="E741" s="2" t="s">
        <v>2620</v>
      </c>
      <c r="F741" s="4">
        <v>5141</v>
      </c>
      <c r="G741" s="2" t="s">
        <v>593</v>
      </c>
      <c r="H741" s="2" t="s">
        <v>34</v>
      </c>
      <c r="I741" s="2" t="s">
        <v>138</v>
      </c>
      <c r="J741" s="2" t="s">
        <v>139</v>
      </c>
      <c r="K741" s="2" t="s">
        <v>53</v>
      </c>
      <c r="L741" s="2" t="s">
        <v>139</v>
      </c>
      <c r="M741" s="2"/>
      <c r="N741" s="2"/>
      <c r="O741" s="2"/>
      <c r="P741" s="2" t="s">
        <v>2621</v>
      </c>
      <c r="Q741" s="2"/>
      <c r="R741" s="2"/>
      <c r="S741" s="5">
        <v>1.2</v>
      </c>
      <c r="T741" s="2"/>
      <c r="U741" s="5">
        <v>3.6</v>
      </c>
      <c r="V741" s="2"/>
      <c r="W741" s="7">
        <v>5.875</v>
      </c>
      <c r="X741" s="7">
        <v>5.875</v>
      </c>
      <c r="Y741" s="9">
        <v>6.1875</v>
      </c>
      <c r="Z741" s="7">
        <v>5.875</v>
      </c>
      <c r="AA741" s="6">
        <v>3.57</v>
      </c>
      <c r="AB741" s="2" t="s">
        <v>47</v>
      </c>
      <c r="AC741" s="2"/>
    </row>
    <row r="742" spans="1:29" ht="143" x14ac:dyDescent="0.15">
      <c r="A742" s="3">
        <f>DATE(1992,2,6)</f>
        <v>33640</v>
      </c>
      <c r="B742" s="3">
        <f>DATE(1992,7,30)</f>
        <v>33815</v>
      </c>
      <c r="C742" s="2" t="s">
        <v>95</v>
      </c>
      <c r="D742" s="2" t="s">
        <v>1829</v>
      </c>
      <c r="E742" s="2" t="s">
        <v>1830</v>
      </c>
      <c r="F742" s="4">
        <v>7812</v>
      </c>
      <c r="G742" s="2" t="s">
        <v>42</v>
      </c>
      <c r="H742" s="2" t="s">
        <v>34</v>
      </c>
      <c r="I742" s="2" t="s">
        <v>1831</v>
      </c>
      <c r="J742" s="2" t="s">
        <v>612</v>
      </c>
      <c r="K742" s="2" t="s">
        <v>148</v>
      </c>
      <c r="L742" s="2" t="s">
        <v>34</v>
      </c>
      <c r="M742" s="7">
        <v>374.55799999999999</v>
      </c>
      <c r="N742" s="6">
        <v>7.75</v>
      </c>
      <c r="O742" s="7">
        <v>7.625</v>
      </c>
      <c r="P742" s="2" t="s">
        <v>2622</v>
      </c>
      <c r="Q742" s="6">
        <v>17.649999999999999</v>
      </c>
      <c r="R742" s="6">
        <v>7.25</v>
      </c>
      <c r="S742" s="5">
        <v>7.1</v>
      </c>
      <c r="T742" s="7">
        <v>61.167000000000002</v>
      </c>
      <c r="U742" s="5">
        <v>5.8</v>
      </c>
      <c r="V742" s="6">
        <v>0.17</v>
      </c>
      <c r="W742" s="4">
        <v>5</v>
      </c>
      <c r="X742" s="6">
        <v>4.75</v>
      </c>
      <c r="Y742" s="6">
        <v>6.25</v>
      </c>
      <c r="Z742" s="4">
        <v>6</v>
      </c>
      <c r="AA742" s="6">
        <v>33</v>
      </c>
      <c r="AB742" s="7">
        <v>17.096</v>
      </c>
      <c r="AC742" s="6">
        <v>37.520000000000003</v>
      </c>
    </row>
    <row r="743" spans="1:29" ht="65" x14ac:dyDescent="0.15">
      <c r="A743" s="3">
        <f>DATE(1992,2,10)</f>
        <v>33644</v>
      </c>
      <c r="B743" s="3">
        <f>DATE(1992,5,29)</f>
        <v>33753</v>
      </c>
      <c r="C743" s="2" t="s">
        <v>95</v>
      </c>
      <c r="D743" s="2" t="s">
        <v>2560</v>
      </c>
      <c r="E743" s="2" t="s">
        <v>2561</v>
      </c>
      <c r="F743" s="4">
        <v>2273</v>
      </c>
      <c r="G743" s="2" t="s">
        <v>708</v>
      </c>
      <c r="H743" s="2" t="s">
        <v>34</v>
      </c>
      <c r="I743" s="2" t="s">
        <v>2623</v>
      </c>
      <c r="J743" s="2" t="s">
        <v>2624</v>
      </c>
      <c r="K743" s="2" t="s">
        <v>708</v>
      </c>
      <c r="L743" s="2" t="s">
        <v>34</v>
      </c>
      <c r="M743" s="12">
        <v>1297.5139999999999</v>
      </c>
      <c r="N743" s="4">
        <v>44</v>
      </c>
      <c r="O743" s="6">
        <v>45.75</v>
      </c>
      <c r="P743" s="2" t="s">
        <v>2625</v>
      </c>
      <c r="Q743" s="6">
        <v>100</v>
      </c>
      <c r="R743" s="6">
        <v>7.98</v>
      </c>
      <c r="S743" s="5">
        <v>-4.8</v>
      </c>
      <c r="T743" s="7">
        <v>14.430999999999999</v>
      </c>
      <c r="U743" s="5">
        <v>7.7</v>
      </c>
      <c r="V743" s="6">
        <v>-0.59</v>
      </c>
      <c r="W743" s="6">
        <v>5.75</v>
      </c>
      <c r="X743" s="5">
        <v>5.5</v>
      </c>
      <c r="Y743" s="7">
        <v>7.6879999999999997</v>
      </c>
      <c r="Z743" s="7">
        <v>8.0630000000000006</v>
      </c>
      <c r="AA743" s="6">
        <v>8.17</v>
      </c>
      <c r="AB743" s="7">
        <v>34.845999999999997</v>
      </c>
      <c r="AC743" s="6">
        <v>10.79</v>
      </c>
    </row>
    <row r="744" spans="1:29" ht="26" x14ac:dyDescent="0.15">
      <c r="A744" s="3">
        <f>DATE(1992,2,11)</f>
        <v>33645</v>
      </c>
      <c r="B744" s="2"/>
      <c r="C744" s="2" t="s">
        <v>30</v>
      </c>
      <c r="D744" s="2" t="s">
        <v>2626</v>
      </c>
      <c r="E744" s="2" t="s">
        <v>2627</v>
      </c>
      <c r="F744" s="4">
        <v>5531</v>
      </c>
      <c r="G744" s="2" t="s">
        <v>73</v>
      </c>
      <c r="H744" s="2" t="s">
        <v>34</v>
      </c>
      <c r="I744" s="2" t="s">
        <v>138</v>
      </c>
      <c r="J744" s="2" t="s">
        <v>139</v>
      </c>
      <c r="K744" s="2" t="s">
        <v>53</v>
      </c>
      <c r="L744" s="2" t="s">
        <v>139</v>
      </c>
      <c r="M744" s="2"/>
      <c r="N744" s="2"/>
      <c r="O744" s="2"/>
      <c r="P744" s="2" t="s">
        <v>2628</v>
      </c>
      <c r="Q744" s="2"/>
      <c r="R744" s="2"/>
      <c r="S744" s="5">
        <v>1.8</v>
      </c>
      <c r="T744" s="7">
        <v>6.8019999999999996</v>
      </c>
      <c r="U744" s="5">
        <v>8.9</v>
      </c>
      <c r="V744" s="6">
        <v>0.5</v>
      </c>
      <c r="W744" s="6">
        <v>1.75</v>
      </c>
      <c r="X744" s="4">
        <v>2</v>
      </c>
      <c r="Y744" s="7">
        <v>1.5940000000000001</v>
      </c>
      <c r="Z744" s="7">
        <v>1.875</v>
      </c>
      <c r="AA744" s="2"/>
      <c r="AB744" s="2" t="s">
        <v>47</v>
      </c>
      <c r="AC744" s="2"/>
    </row>
    <row r="745" spans="1:29" ht="156" x14ac:dyDescent="0.15">
      <c r="A745" s="3">
        <f>DATE(1992,2,11)</f>
        <v>33645</v>
      </c>
      <c r="B745" s="3">
        <f>DATE(1992,8,7)</f>
        <v>33823</v>
      </c>
      <c r="C745" s="2" t="s">
        <v>95</v>
      </c>
      <c r="D745" s="2" t="s">
        <v>2629</v>
      </c>
      <c r="E745" s="2" t="s">
        <v>2630</v>
      </c>
      <c r="F745" s="4">
        <v>6036</v>
      </c>
      <c r="G745" s="2" t="s">
        <v>33</v>
      </c>
      <c r="H745" s="2" t="s">
        <v>34</v>
      </c>
      <c r="I745" s="2" t="s">
        <v>2631</v>
      </c>
      <c r="J745" s="2" t="s">
        <v>32</v>
      </c>
      <c r="K745" s="2" t="s">
        <v>33</v>
      </c>
      <c r="L745" s="2" t="s">
        <v>34</v>
      </c>
      <c r="M745" s="2"/>
      <c r="N745" s="5">
        <v>18.5</v>
      </c>
      <c r="O745" s="4">
        <v>19</v>
      </c>
      <c r="P745" s="2" t="s">
        <v>2632</v>
      </c>
      <c r="Q745" s="6">
        <v>100</v>
      </c>
      <c r="R745" s="6">
        <v>27.94</v>
      </c>
      <c r="S745" s="5">
        <v>2.7</v>
      </c>
      <c r="T745" s="2"/>
      <c r="U745" s="5">
        <v>23.1</v>
      </c>
      <c r="V745" s="2"/>
      <c r="W745" s="5">
        <v>17.5</v>
      </c>
      <c r="X745" s="4">
        <v>18</v>
      </c>
      <c r="Y745" s="5">
        <v>25.5</v>
      </c>
      <c r="Z745" s="6">
        <v>25.75</v>
      </c>
      <c r="AA745" s="6">
        <v>1.6</v>
      </c>
      <c r="AB745" s="2" t="s">
        <v>86</v>
      </c>
      <c r="AC745" s="2"/>
    </row>
    <row r="746" spans="1:29" ht="91" x14ac:dyDescent="0.15">
      <c r="A746" s="3">
        <f>DATE(1992,2,12)</f>
        <v>33646</v>
      </c>
      <c r="B746" s="3">
        <f>DATE(1992,6,19)</f>
        <v>33774</v>
      </c>
      <c r="C746" s="2" t="s">
        <v>95</v>
      </c>
      <c r="D746" s="2" t="s">
        <v>2633</v>
      </c>
      <c r="E746" s="2" t="s">
        <v>2634</v>
      </c>
      <c r="F746" s="4">
        <v>5065</v>
      </c>
      <c r="G746" s="2" t="s">
        <v>76</v>
      </c>
      <c r="H746" s="2" t="s">
        <v>34</v>
      </c>
      <c r="I746" s="2" t="s">
        <v>2635</v>
      </c>
      <c r="J746" s="2" t="s">
        <v>2636</v>
      </c>
      <c r="K746" s="2" t="s">
        <v>76</v>
      </c>
      <c r="L746" s="2" t="s">
        <v>34</v>
      </c>
      <c r="M746" s="2"/>
      <c r="N746" s="2"/>
      <c r="O746" s="2"/>
      <c r="P746" s="2" t="s">
        <v>2637</v>
      </c>
      <c r="Q746" s="6">
        <v>100</v>
      </c>
      <c r="R746" s="6">
        <v>7.75</v>
      </c>
      <c r="S746" s="5">
        <v>7.7</v>
      </c>
      <c r="T746" s="7">
        <v>10.662000000000001</v>
      </c>
      <c r="U746" s="5">
        <v>7</v>
      </c>
      <c r="V746" s="6">
        <v>0.75</v>
      </c>
      <c r="W746" s="7">
        <v>6.375</v>
      </c>
      <c r="X746" s="5">
        <v>6.5</v>
      </c>
      <c r="Y746" s="6">
        <v>7.25</v>
      </c>
      <c r="Z746" s="7">
        <v>7.375</v>
      </c>
      <c r="AA746" s="6">
        <v>10.1</v>
      </c>
      <c r="AB746" s="7">
        <v>4.194</v>
      </c>
      <c r="AC746" s="2"/>
    </row>
    <row r="747" spans="1:29" ht="39" x14ac:dyDescent="0.15">
      <c r="A747" s="3">
        <f>DATE(1992,2,13)</f>
        <v>33647</v>
      </c>
      <c r="B747" s="2"/>
      <c r="C747" s="2" t="s">
        <v>189</v>
      </c>
      <c r="D747" s="2" t="s">
        <v>1826</v>
      </c>
      <c r="E747" s="2" t="s">
        <v>612</v>
      </c>
      <c r="F747" s="4">
        <v>1311</v>
      </c>
      <c r="G747" s="2" t="s">
        <v>148</v>
      </c>
      <c r="H747" s="2" t="s">
        <v>34</v>
      </c>
      <c r="I747" s="2" t="s">
        <v>143</v>
      </c>
      <c r="J747" s="2" t="s">
        <v>144</v>
      </c>
      <c r="K747" s="2" t="s">
        <v>53</v>
      </c>
      <c r="L747" s="2" t="s">
        <v>139</v>
      </c>
      <c r="M747" s="2"/>
      <c r="N747" s="2"/>
      <c r="O747" s="2"/>
      <c r="P747" s="2" t="s">
        <v>2638</v>
      </c>
      <c r="Q747" s="2"/>
      <c r="R747" s="2"/>
      <c r="S747" s="5">
        <v>-0.9</v>
      </c>
      <c r="T747" s="2"/>
      <c r="U747" s="5">
        <v>6</v>
      </c>
      <c r="V747" s="2"/>
      <c r="W747" s="5">
        <v>4.5</v>
      </c>
      <c r="X747" s="4">
        <v>5</v>
      </c>
      <c r="Y747" s="4">
        <v>5</v>
      </c>
      <c r="Z747" s="5">
        <v>5.5</v>
      </c>
      <c r="AA747" s="6">
        <v>1</v>
      </c>
      <c r="AB747" s="2" t="s">
        <v>47</v>
      </c>
      <c r="AC747" s="2"/>
    </row>
    <row r="748" spans="1:29" ht="65" x14ac:dyDescent="0.15">
      <c r="A748" s="3">
        <f>DATE(1992,2,13)</f>
        <v>33647</v>
      </c>
      <c r="B748" s="2"/>
      <c r="C748" s="2" t="s">
        <v>30</v>
      </c>
      <c r="D748" s="2" t="s">
        <v>2639</v>
      </c>
      <c r="E748" s="2" t="s">
        <v>2640</v>
      </c>
      <c r="F748" s="4">
        <v>3462</v>
      </c>
      <c r="G748" s="2" t="s">
        <v>163</v>
      </c>
      <c r="H748" s="2" t="s">
        <v>34</v>
      </c>
      <c r="I748" s="2" t="s">
        <v>2641</v>
      </c>
      <c r="J748" s="2" t="s">
        <v>2642</v>
      </c>
      <c r="K748" s="2" t="s">
        <v>300</v>
      </c>
      <c r="L748" s="2" t="s">
        <v>34</v>
      </c>
      <c r="M748" s="6">
        <v>13.44</v>
      </c>
      <c r="N748" s="4">
        <v>7</v>
      </c>
      <c r="O748" s="6">
        <v>6.75</v>
      </c>
      <c r="P748" s="2" t="s">
        <v>2643</v>
      </c>
      <c r="Q748" s="2"/>
      <c r="R748" s="6">
        <v>5.5</v>
      </c>
      <c r="S748" s="5">
        <v>-4</v>
      </c>
      <c r="T748" s="7">
        <v>4.806</v>
      </c>
      <c r="U748" s="5">
        <v>7.1</v>
      </c>
      <c r="V748" s="6">
        <v>-0.72</v>
      </c>
      <c r="W748" s="4">
        <v>4</v>
      </c>
      <c r="X748" s="7">
        <v>3.625</v>
      </c>
      <c r="Y748" s="7">
        <v>3.875</v>
      </c>
      <c r="Z748" s="7">
        <v>4.125</v>
      </c>
      <c r="AA748" s="6">
        <v>5.61</v>
      </c>
      <c r="AB748" s="7">
        <v>79.037000000000006</v>
      </c>
      <c r="AC748" s="2"/>
    </row>
    <row r="749" spans="1:29" ht="130" x14ac:dyDescent="0.15">
      <c r="A749" s="3">
        <f>DATE(1992,2,14)</f>
        <v>33648</v>
      </c>
      <c r="B749" s="3">
        <f>DATE(1992,9,3)</f>
        <v>33850</v>
      </c>
      <c r="C749" s="2" t="s">
        <v>95</v>
      </c>
      <c r="D749" s="2" t="s">
        <v>2644</v>
      </c>
      <c r="E749" s="2" t="s">
        <v>36</v>
      </c>
      <c r="F749" s="4">
        <v>6022</v>
      </c>
      <c r="G749" s="2" t="s">
        <v>37</v>
      </c>
      <c r="H749" s="2" t="s">
        <v>34</v>
      </c>
      <c r="I749" s="2" t="s">
        <v>1698</v>
      </c>
      <c r="J749" s="2" t="s">
        <v>36</v>
      </c>
      <c r="K749" s="2" t="s">
        <v>37</v>
      </c>
      <c r="L749" s="2" t="s">
        <v>34</v>
      </c>
      <c r="M749" s="12">
        <v>2728.3359999999998</v>
      </c>
      <c r="N749" s="7">
        <v>45.125</v>
      </c>
      <c r="O749" s="7">
        <v>45.125</v>
      </c>
      <c r="P749" s="2" t="s">
        <v>2645</v>
      </c>
      <c r="Q749" s="6">
        <v>100</v>
      </c>
      <c r="R749" s="6">
        <v>42.8</v>
      </c>
      <c r="S749" s="5">
        <v>8.1</v>
      </c>
      <c r="T749" s="7">
        <v>16.204999999999998</v>
      </c>
      <c r="U749" s="5">
        <v>28.3</v>
      </c>
      <c r="V749" s="6">
        <v>3.17</v>
      </c>
      <c r="W749" s="5">
        <v>40.5</v>
      </c>
      <c r="X749" s="6">
        <v>38.25</v>
      </c>
      <c r="Y749" s="6">
        <v>39.75</v>
      </c>
      <c r="Z749" s="6">
        <v>39.75</v>
      </c>
      <c r="AA749" s="6">
        <v>2.5299999999999998</v>
      </c>
      <c r="AB749" s="7">
        <v>98.085999999999999</v>
      </c>
      <c r="AC749" s="2"/>
    </row>
    <row r="750" spans="1:29" ht="130" x14ac:dyDescent="0.15">
      <c r="A750" s="3">
        <f>DATE(1992,2,14)</f>
        <v>33648</v>
      </c>
      <c r="B750" s="2"/>
      <c r="C750" s="2" t="s">
        <v>30</v>
      </c>
      <c r="D750" s="2" t="s">
        <v>2646</v>
      </c>
      <c r="E750" s="2" t="s">
        <v>1882</v>
      </c>
      <c r="F750" s="4">
        <v>7011</v>
      </c>
      <c r="G750" s="2" t="s">
        <v>269</v>
      </c>
      <c r="H750" s="2" t="s">
        <v>34</v>
      </c>
      <c r="I750" s="2" t="s">
        <v>2647</v>
      </c>
      <c r="J750" s="2" t="s">
        <v>52</v>
      </c>
      <c r="K750" s="2" t="s">
        <v>53</v>
      </c>
      <c r="L750" s="2" t="s">
        <v>34</v>
      </c>
      <c r="M750" s="2"/>
      <c r="N750" s="2"/>
      <c r="O750" s="2"/>
      <c r="P750" s="2" t="s">
        <v>2648</v>
      </c>
      <c r="Q750" s="2"/>
      <c r="R750" s="2"/>
      <c r="S750" s="5">
        <v>1</v>
      </c>
      <c r="T750" s="6">
        <v>12.46</v>
      </c>
      <c r="U750" s="5">
        <v>8.4</v>
      </c>
      <c r="V750" s="6">
        <v>-0.24</v>
      </c>
      <c r="W750" s="7">
        <v>8.125</v>
      </c>
      <c r="X750" s="7">
        <v>7.625</v>
      </c>
      <c r="Y750" s="7">
        <v>7.625</v>
      </c>
      <c r="Z750" s="7">
        <v>7.625</v>
      </c>
      <c r="AA750" s="2"/>
      <c r="AB750" s="2" t="s">
        <v>47</v>
      </c>
      <c r="AC750" s="2"/>
    </row>
    <row r="751" spans="1:29" ht="117" x14ac:dyDescent="0.15">
      <c r="A751" s="3">
        <f>DATE(1992,2,14)</f>
        <v>33648</v>
      </c>
      <c r="B751" s="2"/>
      <c r="C751" s="2" t="s">
        <v>30</v>
      </c>
      <c r="D751" s="2" t="s">
        <v>2649</v>
      </c>
      <c r="E751" s="2" t="s">
        <v>612</v>
      </c>
      <c r="F751" s="4">
        <v>1311</v>
      </c>
      <c r="G751" s="2" t="s">
        <v>148</v>
      </c>
      <c r="H751" s="2" t="s">
        <v>34</v>
      </c>
      <c r="I751" s="2" t="s">
        <v>2294</v>
      </c>
      <c r="J751" s="2" t="s">
        <v>2295</v>
      </c>
      <c r="K751" s="2" t="s">
        <v>166</v>
      </c>
      <c r="L751" s="2" t="s">
        <v>34</v>
      </c>
      <c r="M751" s="2"/>
      <c r="N751" s="6">
        <v>2.75</v>
      </c>
      <c r="O751" s="6">
        <v>2.75</v>
      </c>
      <c r="P751" s="2" t="s">
        <v>2650</v>
      </c>
      <c r="Q751" s="2"/>
      <c r="R751" s="6">
        <v>3.75</v>
      </c>
      <c r="S751" s="5">
        <v>-3.5</v>
      </c>
      <c r="T751" s="2"/>
      <c r="U751" s="5">
        <v>6.9</v>
      </c>
      <c r="V751" s="2"/>
      <c r="W751" s="7">
        <v>3.125</v>
      </c>
      <c r="X751" s="7">
        <v>3.125</v>
      </c>
      <c r="Y751" s="6">
        <v>3.75</v>
      </c>
      <c r="Z751" s="5">
        <v>3.5</v>
      </c>
      <c r="AA751" s="6">
        <v>2.4700000000000002</v>
      </c>
      <c r="AB751" s="2" t="s">
        <v>47</v>
      </c>
      <c r="AC751" s="2"/>
    </row>
    <row r="752" spans="1:29" ht="143" x14ac:dyDescent="0.15">
      <c r="A752" s="3">
        <f>DATE(1992,2,17)</f>
        <v>33651</v>
      </c>
      <c r="B752" s="3">
        <f>DATE(1992,9,30)</f>
        <v>33877</v>
      </c>
      <c r="C752" s="2" t="s">
        <v>95</v>
      </c>
      <c r="D752" s="2" t="s">
        <v>2651</v>
      </c>
      <c r="E752" s="2" t="s">
        <v>36</v>
      </c>
      <c r="F752" s="4">
        <v>6022</v>
      </c>
      <c r="G752" s="2" t="s">
        <v>37</v>
      </c>
      <c r="H752" s="2" t="s">
        <v>34</v>
      </c>
      <c r="I752" s="2" t="s">
        <v>2652</v>
      </c>
      <c r="J752" s="2" t="s">
        <v>36</v>
      </c>
      <c r="K752" s="2" t="s">
        <v>37</v>
      </c>
      <c r="L752" s="2" t="s">
        <v>34</v>
      </c>
      <c r="M752" s="7">
        <v>204.53700000000001</v>
      </c>
      <c r="N752" s="7">
        <v>24.125</v>
      </c>
      <c r="O752" s="7">
        <v>24.125</v>
      </c>
      <c r="P752" s="2" t="s">
        <v>2653</v>
      </c>
      <c r="Q752" s="6">
        <v>100</v>
      </c>
      <c r="R752" s="6">
        <v>17.5</v>
      </c>
      <c r="S752" s="5">
        <v>2.2000000000000002</v>
      </c>
      <c r="T752" s="7">
        <v>4.665</v>
      </c>
      <c r="U752" s="5">
        <v>22.4</v>
      </c>
      <c r="V752" s="2"/>
      <c r="W752" s="4">
        <v>9</v>
      </c>
      <c r="X752" s="7">
        <v>9.625</v>
      </c>
      <c r="Y752" s="5">
        <v>10.5</v>
      </c>
      <c r="Z752" s="5">
        <v>10.5</v>
      </c>
      <c r="AA752" s="6">
        <v>0.73</v>
      </c>
      <c r="AB752" s="7">
        <v>59.832999999999998</v>
      </c>
      <c r="AC752" s="2"/>
    </row>
    <row r="753" spans="1:29" ht="52" x14ac:dyDescent="0.15">
      <c r="A753" s="3">
        <f>DATE(1992,2,18)</f>
        <v>33652</v>
      </c>
      <c r="B753" s="3">
        <f>DATE(1992,12,31)</f>
        <v>33969</v>
      </c>
      <c r="C753" s="2" t="s">
        <v>95</v>
      </c>
      <c r="D753" s="2" t="s">
        <v>2654</v>
      </c>
      <c r="E753" s="2" t="s">
        <v>2655</v>
      </c>
      <c r="F753" s="4">
        <v>3841</v>
      </c>
      <c r="G753" s="2" t="s">
        <v>226</v>
      </c>
      <c r="H753" s="2" t="s">
        <v>34</v>
      </c>
      <c r="I753" s="2" t="s">
        <v>2656</v>
      </c>
      <c r="J753" s="2" t="s">
        <v>244</v>
      </c>
      <c r="K753" s="2" t="s">
        <v>53</v>
      </c>
      <c r="L753" s="2" t="s">
        <v>34</v>
      </c>
      <c r="M753" s="2"/>
      <c r="N753" s="2"/>
      <c r="O753" s="2"/>
      <c r="P753" s="2" t="s">
        <v>2657</v>
      </c>
      <c r="Q753" s="6">
        <v>41</v>
      </c>
      <c r="R753" s="2"/>
      <c r="S753" s="5">
        <v>-8.3000000000000007</v>
      </c>
      <c r="T753" s="7">
        <v>-6.3810000000000002</v>
      </c>
      <c r="U753" s="5">
        <v>1.1000000000000001</v>
      </c>
      <c r="V753" s="6">
        <v>-2.52</v>
      </c>
      <c r="W753" s="6">
        <v>2.75</v>
      </c>
      <c r="X753" s="7">
        <v>2.875</v>
      </c>
      <c r="Y753" s="6">
        <v>2.75</v>
      </c>
      <c r="Z753" s="6">
        <v>2.75</v>
      </c>
      <c r="AA753" s="6">
        <v>3.31</v>
      </c>
      <c r="AB753" s="2" t="s">
        <v>86</v>
      </c>
      <c r="AC753" s="2"/>
    </row>
    <row r="754" spans="1:29" ht="143" x14ac:dyDescent="0.15">
      <c r="A754" s="3">
        <f>DATE(1992,2,18)</f>
        <v>33652</v>
      </c>
      <c r="B754" s="3">
        <f>DATE(1992,8,27)</f>
        <v>33843</v>
      </c>
      <c r="C754" s="2" t="s">
        <v>95</v>
      </c>
      <c r="D754" s="2" t="s">
        <v>2658</v>
      </c>
      <c r="E754" s="2" t="s">
        <v>2659</v>
      </c>
      <c r="F754" s="4">
        <v>6331</v>
      </c>
      <c r="G754" s="2" t="s">
        <v>125</v>
      </c>
      <c r="H754" s="2" t="s">
        <v>34</v>
      </c>
      <c r="I754" s="2" t="s">
        <v>2660</v>
      </c>
      <c r="J754" s="2" t="s">
        <v>515</v>
      </c>
      <c r="K754" s="2" t="s">
        <v>125</v>
      </c>
      <c r="L754" s="2" t="s">
        <v>34</v>
      </c>
      <c r="M754" s="2"/>
      <c r="N754" s="6">
        <v>18.25</v>
      </c>
      <c r="O754" s="4">
        <v>18</v>
      </c>
      <c r="P754" s="2" t="s">
        <v>2661</v>
      </c>
      <c r="Q754" s="6">
        <v>100</v>
      </c>
      <c r="R754" s="6">
        <v>11.5</v>
      </c>
      <c r="S754" s="5">
        <v>2.8</v>
      </c>
      <c r="T754" s="6">
        <v>4.12</v>
      </c>
      <c r="U754" s="5">
        <v>8.9</v>
      </c>
      <c r="V754" s="6">
        <v>0.98</v>
      </c>
      <c r="W754" s="7">
        <v>5.375</v>
      </c>
      <c r="X754" s="4">
        <v>5</v>
      </c>
      <c r="Y754" s="4">
        <v>5</v>
      </c>
      <c r="Z754" s="4">
        <v>5</v>
      </c>
      <c r="AA754" s="6">
        <v>1.8</v>
      </c>
      <c r="AB754" s="7">
        <v>10.177</v>
      </c>
      <c r="AC754" s="2"/>
    </row>
    <row r="755" spans="1:29" ht="143" x14ac:dyDescent="0.15">
      <c r="A755" s="3">
        <f>DATE(1992,2,20)</f>
        <v>33654</v>
      </c>
      <c r="B755" s="2"/>
      <c r="C755" s="2" t="s">
        <v>30</v>
      </c>
      <c r="D755" s="2" t="s">
        <v>2662</v>
      </c>
      <c r="E755" s="2" t="s">
        <v>2663</v>
      </c>
      <c r="F755" s="4">
        <v>4953</v>
      </c>
      <c r="G755" s="2" t="s">
        <v>116</v>
      </c>
      <c r="H755" s="2" t="s">
        <v>34</v>
      </c>
      <c r="I755" s="2" t="s">
        <v>1186</v>
      </c>
      <c r="J755" s="2" t="s">
        <v>1187</v>
      </c>
      <c r="K755" s="2" t="s">
        <v>300</v>
      </c>
      <c r="L755" s="2" t="s">
        <v>34</v>
      </c>
      <c r="M755" s="7">
        <v>16.555</v>
      </c>
      <c r="N755" s="6">
        <v>9.75</v>
      </c>
      <c r="O755" s="6">
        <v>9.75</v>
      </c>
      <c r="P755" s="2" t="s">
        <v>2664</v>
      </c>
      <c r="Q755" s="2"/>
      <c r="R755" s="6">
        <v>3.17</v>
      </c>
      <c r="S755" s="5">
        <v>1.3</v>
      </c>
      <c r="T755" s="2"/>
      <c r="U755" s="5">
        <v>2.2999999999999998</v>
      </c>
      <c r="V755" s="2"/>
      <c r="W755" s="6">
        <v>3.75</v>
      </c>
      <c r="X755" s="7">
        <v>3.4380000000000002</v>
      </c>
      <c r="Y755" s="6">
        <v>4.25</v>
      </c>
      <c r="Z755" s="6">
        <v>4.25</v>
      </c>
      <c r="AA755" s="6">
        <v>2.9</v>
      </c>
      <c r="AB755" s="2" t="s">
        <v>47</v>
      </c>
      <c r="AC755" s="6">
        <v>22.78</v>
      </c>
    </row>
    <row r="756" spans="1:29" ht="26" x14ac:dyDescent="0.15">
      <c r="A756" s="3">
        <f>DATE(1992,2,24)</f>
        <v>33658</v>
      </c>
      <c r="B756" s="2"/>
      <c r="C756" s="2" t="s">
        <v>30</v>
      </c>
      <c r="D756" s="2" t="s">
        <v>2665</v>
      </c>
      <c r="E756" s="2" t="s">
        <v>2666</v>
      </c>
      <c r="F756" s="4">
        <v>2046</v>
      </c>
      <c r="G756" s="2" t="s">
        <v>577</v>
      </c>
      <c r="H756" s="2" t="s">
        <v>34</v>
      </c>
      <c r="I756" s="2" t="s">
        <v>2667</v>
      </c>
      <c r="J756" s="2" t="s">
        <v>2668</v>
      </c>
      <c r="K756" s="2" t="s">
        <v>577</v>
      </c>
      <c r="L756" s="2" t="s">
        <v>34</v>
      </c>
      <c r="M756" s="10">
        <v>9026.7800000000007</v>
      </c>
      <c r="N756" s="6">
        <v>29.75</v>
      </c>
      <c r="O756" s="7">
        <v>29.625</v>
      </c>
      <c r="P756" s="2" t="s">
        <v>2669</v>
      </c>
      <c r="Q756" s="2"/>
      <c r="R756" s="2"/>
      <c r="S756" s="5">
        <v>12.8</v>
      </c>
      <c r="T756" s="7">
        <v>83.325999999999993</v>
      </c>
      <c r="U756" s="5">
        <v>24.7</v>
      </c>
      <c r="V756" s="6">
        <v>2</v>
      </c>
      <c r="W756" s="7">
        <v>23.125</v>
      </c>
      <c r="X756" s="7">
        <v>23.375</v>
      </c>
      <c r="Y756" s="5">
        <v>23.5</v>
      </c>
      <c r="Z756" s="7">
        <v>24.125</v>
      </c>
      <c r="AA756" s="6">
        <v>6.41</v>
      </c>
      <c r="AB756" s="2" t="s">
        <v>47</v>
      </c>
      <c r="AC756" s="6">
        <v>890.55</v>
      </c>
    </row>
    <row r="757" spans="1:29" ht="156" x14ac:dyDescent="0.15">
      <c r="A757" s="3">
        <f>DATE(1992,2,24)</f>
        <v>33658</v>
      </c>
      <c r="B757" s="2"/>
      <c r="C757" s="2" t="s">
        <v>30</v>
      </c>
      <c r="D757" s="2" t="s">
        <v>2670</v>
      </c>
      <c r="E757" s="2" t="s">
        <v>32</v>
      </c>
      <c r="F757" s="4">
        <v>6035</v>
      </c>
      <c r="G757" s="2" t="s">
        <v>33</v>
      </c>
      <c r="H757" s="2" t="s">
        <v>34</v>
      </c>
      <c r="I757" s="2" t="s">
        <v>1955</v>
      </c>
      <c r="J757" s="2" t="s">
        <v>672</v>
      </c>
      <c r="K757" s="2" t="s">
        <v>37</v>
      </c>
      <c r="L757" s="2" t="s">
        <v>34</v>
      </c>
      <c r="M757" s="2"/>
      <c r="N757" s="7">
        <v>15.375</v>
      </c>
      <c r="O757" s="7">
        <v>15.125</v>
      </c>
      <c r="P757" s="2" t="s">
        <v>2671</v>
      </c>
      <c r="Q757" s="2"/>
      <c r="R757" s="6">
        <v>10</v>
      </c>
      <c r="S757" s="5">
        <v>2.2000000000000002</v>
      </c>
      <c r="T757" s="2"/>
      <c r="U757" s="5">
        <v>18.2</v>
      </c>
      <c r="V757" s="2"/>
      <c r="W757" s="6">
        <v>7.25</v>
      </c>
      <c r="X757" s="5">
        <v>8.5</v>
      </c>
      <c r="Y757" s="6">
        <v>8.25</v>
      </c>
      <c r="Z757" s="6">
        <v>7.75</v>
      </c>
      <c r="AA757" s="6">
        <v>3.33</v>
      </c>
      <c r="AB757" s="2" t="s">
        <v>86</v>
      </c>
      <c r="AC757" s="2"/>
    </row>
    <row r="758" spans="1:29" ht="117" x14ac:dyDescent="0.15">
      <c r="A758" s="3">
        <f>DATE(1992,2,25)</f>
        <v>33659</v>
      </c>
      <c r="B758" s="3">
        <f>DATE(1992,2,25)</f>
        <v>33659</v>
      </c>
      <c r="C758" s="2" t="s">
        <v>95</v>
      </c>
      <c r="D758" s="2" t="s">
        <v>2672</v>
      </c>
      <c r="E758" s="2" t="s">
        <v>2673</v>
      </c>
      <c r="F758" s="4">
        <v>3519</v>
      </c>
      <c r="G758" s="2" t="s">
        <v>300</v>
      </c>
      <c r="H758" s="2" t="s">
        <v>34</v>
      </c>
      <c r="I758" s="2" t="s">
        <v>51</v>
      </c>
      <c r="J758" s="2" t="s">
        <v>52</v>
      </c>
      <c r="K758" s="2" t="s">
        <v>53</v>
      </c>
      <c r="L758" s="2" t="s">
        <v>34</v>
      </c>
      <c r="M758" s="2"/>
      <c r="N758" s="2"/>
      <c r="O758" s="2"/>
      <c r="P758" s="2" t="s">
        <v>2674</v>
      </c>
      <c r="Q758" s="2"/>
      <c r="R758" s="6">
        <v>1</v>
      </c>
      <c r="S758" s="5">
        <v>-1.2</v>
      </c>
      <c r="T758" s="2"/>
      <c r="U758" s="5">
        <v>0</v>
      </c>
      <c r="V758" s="2"/>
      <c r="W758" s="7">
        <v>0.875</v>
      </c>
      <c r="X758" s="7">
        <v>1.125</v>
      </c>
      <c r="Y758" s="7">
        <v>1.125</v>
      </c>
      <c r="Z758" s="7">
        <v>1.1879999999999999</v>
      </c>
      <c r="AA758" s="6">
        <v>11.3</v>
      </c>
      <c r="AB758" s="2" t="s">
        <v>86</v>
      </c>
      <c r="AC758" s="2"/>
    </row>
    <row r="759" spans="1:29" ht="143" x14ac:dyDescent="0.15">
      <c r="A759" s="3">
        <f>DATE(1992,2,27)</f>
        <v>33661</v>
      </c>
      <c r="B759" s="3">
        <f>DATE(1992,9,30)</f>
        <v>33877</v>
      </c>
      <c r="C759" s="2" t="s">
        <v>95</v>
      </c>
      <c r="D759" s="2" t="s">
        <v>2675</v>
      </c>
      <c r="E759" s="2" t="s">
        <v>36</v>
      </c>
      <c r="F759" s="4">
        <v>6036</v>
      </c>
      <c r="G759" s="2" t="s">
        <v>33</v>
      </c>
      <c r="H759" s="2" t="s">
        <v>34</v>
      </c>
      <c r="I759" s="2" t="s">
        <v>2676</v>
      </c>
      <c r="J759" s="2" t="s">
        <v>36</v>
      </c>
      <c r="K759" s="2" t="s">
        <v>37</v>
      </c>
      <c r="L759" s="2" t="s">
        <v>34</v>
      </c>
      <c r="M759" s="7">
        <v>30.768999999999998</v>
      </c>
      <c r="N759" s="4">
        <v>19</v>
      </c>
      <c r="O759" s="4">
        <v>19</v>
      </c>
      <c r="P759" s="2" t="s">
        <v>2677</v>
      </c>
      <c r="Q759" s="6">
        <v>100</v>
      </c>
      <c r="R759" s="6">
        <v>24.6</v>
      </c>
      <c r="S759" s="5">
        <v>2.2000000000000002</v>
      </c>
      <c r="T759" s="7">
        <v>3.3319999999999999</v>
      </c>
      <c r="U759" s="5">
        <v>27.8</v>
      </c>
      <c r="V759" s="6">
        <v>3.52</v>
      </c>
      <c r="W759" s="4">
        <v>23</v>
      </c>
      <c r="X759" s="4">
        <v>23</v>
      </c>
      <c r="Y759" s="4">
        <v>22</v>
      </c>
      <c r="Z759" s="4">
        <v>23</v>
      </c>
      <c r="AA759" s="6">
        <v>0.57999999999999996</v>
      </c>
      <c r="AB759" s="7">
        <v>56.316000000000003</v>
      </c>
      <c r="AC759" s="2"/>
    </row>
    <row r="760" spans="1:29" ht="39" x14ac:dyDescent="0.15">
      <c r="A760" s="3">
        <f>DATE(1992,2,27)</f>
        <v>33661</v>
      </c>
      <c r="B760" s="2"/>
      <c r="C760" s="2" t="s">
        <v>30</v>
      </c>
      <c r="D760" s="2" t="s">
        <v>2678</v>
      </c>
      <c r="E760" s="2" t="s">
        <v>1893</v>
      </c>
      <c r="F760" s="4">
        <v>4841</v>
      </c>
      <c r="G760" s="2" t="s">
        <v>45</v>
      </c>
      <c r="H760" s="2" t="s">
        <v>34</v>
      </c>
      <c r="I760" s="2" t="s">
        <v>2679</v>
      </c>
      <c r="J760" s="2" t="s">
        <v>2680</v>
      </c>
      <c r="K760" s="2" t="s">
        <v>73</v>
      </c>
      <c r="L760" s="2" t="s">
        <v>34</v>
      </c>
      <c r="M760" s="6">
        <v>446.71</v>
      </c>
      <c r="N760" s="4">
        <v>8</v>
      </c>
      <c r="O760" s="6">
        <v>8.25</v>
      </c>
      <c r="P760" s="2" t="s">
        <v>2681</v>
      </c>
      <c r="Q760" s="2"/>
      <c r="R760" s="2"/>
      <c r="S760" s="5">
        <v>19.600000000000001</v>
      </c>
      <c r="T760" s="2"/>
      <c r="U760" s="5">
        <v>13</v>
      </c>
      <c r="V760" s="2"/>
      <c r="W760" s="4">
        <v>20</v>
      </c>
      <c r="X760" s="4">
        <v>19</v>
      </c>
      <c r="Y760" s="5">
        <v>19.5</v>
      </c>
      <c r="Z760" s="6">
        <v>18.25</v>
      </c>
      <c r="AA760" s="6">
        <v>23.18</v>
      </c>
      <c r="AB760" s="2" t="s">
        <v>47</v>
      </c>
      <c r="AC760" s="6">
        <v>61.59</v>
      </c>
    </row>
    <row r="761" spans="1:29" ht="26" x14ac:dyDescent="0.15">
      <c r="A761" s="3">
        <f>DATE(1992,2,28)</f>
        <v>33662</v>
      </c>
      <c r="B761" s="3">
        <f>DATE(1992,2,28)</f>
        <v>33662</v>
      </c>
      <c r="C761" s="2" t="s">
        <v>95</v>
      </c>
      <c r="D761" s="2" t="s">
        <v>2682</v>
      </c>
      <c r="E761" s="2" t="s">
        <v>2683</v>
      </c>
      <c r="F761" s="4">
        <v>8071</v>
      </c>
      <c r="G761" s="2" t="s">
        <v>454</v>
      </c>
      <c r="H761" s="2" t="s">
        <v>34</v>
      </c>
      <c r="I761" s="2" t="s">
        <v>1084</v>
      </c>
      <c r="J761" s="2" t="s">
        <v>1085</v>
      </c>
      <c r="K761" s="2" t="s">
        <v>370</v>
      </c>
      <c r="L761" s="2" t="s">
        <v>1086</v>
      </c>
      <c r="M761" s="2"/>
      <c r="N761" s="2"/>
      <c r="O761" s="2"/>
      <c r="P761" s="2" t="s">
        <v>2684</v>
      </c>
      <c r="Q761" s="2"/>
      <c r="R761" s="2"/>
      <c r="S761" s="5">
        <v>-0.3</v>
      </c>
      <c r="T761" s="2"/>
      <c r="U761" s="5">
        <v>0.2</v>
      </c>
      <c r="V761" s="2"/>
      <c r="W761" s="7">
        <v>2.8130000000000002</v>
      </c>
      <c r="X761" s="6">
        <v>2.75</v>
      </c>
      <c r="Y761" s="7">
        <v>2.9380000000000002</v>
      </c>
      <c r="Z761" s="4">
        <v>3</v>
      </c>
      <c r="AA761" s="2"/>
      <c r="AB761" s="2" t="s">
        <v>86</v>
      </c>
      <c r="AC761" s="2"/>
    </row>
    <row r="762" spans="1:29" ht="143" x14ac:dyDescent="0.15">
      <c r="A762" s="3">
        <f>DATE(1992,3,2)</f>
        <v>33665</v>
      </c>
      <c r="B762" s="3">
        <f>DATE(1992,7,14)</f>
        <v>33799</v>
      </c>
      <c r="C762" s="2" t="s">
        <v>95</v>
      </c>
      <c r="D762" s="2" t="s">
        <v>1628</v>
      </c>
      <c r="E762" s="2" t="s">
        <v>1629</v>
      </c>
      <c r="F762" s="4">
        <v>1381</v>
      </c>
      <c r="G762" s="2" t="s">
        <v>148</v>
      </c>
      <c r="H762" s="2" t="s">
        <v>34</v>
      </c>
      <c r="I762" s="2" t="s">
        <v>255</v>
      </c>
      <c r="J762" s="2" t="s">
        <v>256</v>
      </c>
      <c r="K762" s="2" t="s">
        <v>98</v>
      </c>
      <c r="L762" s="2" t="s">
        <v>34</v>
      </c>
      <c r="M762" s="2"/>
      <c r="N762" s="6">
        <v>43.75</v>
      </c>
      <c r="O762" s="7">
        <v>43.375</v>
      </c>
      <c r="P762" s="2" t="s">
        <v>2685</v>
      </c>
      <c r="Q762" s="6">
        <v>16.600000000000001</v>
      </c>
      <c r="R762" s="6">
        <v>19</v>
      </c>
      <c r="S762" s="5">
        <v>5.0999999999999996</v>
      </c>
      <c r="T762" s="7">
        <v>94.966999999999999</v>
      </c>
      <c r="U762" s="5">
        <v>23.7</v>
      </c>
      <c r="V762" s="6">
        <v>0.21</v>
      </c>
      <c r="W762" s="7">
        <v>15.625</v>
      </c>
      <c r="X762" s="6">
        <v>15.25</v>
      </c>
      <c r="Y762" s="5">
        <v>15.5</v>
      </c>
      <c r="Z762" s="4">
        <v>16</v>
      </c>
      <c r="AA762" s="6">
        <v>24.52</v>
      </c>
      <c r="AB762" s="7">
        <v>41.31</v>
      </c>
      <c r="AC762" s="5">
        <v>207.1</v>
      </c>
    </row>
    <row r="763" spans="1:29" ht="130" x14ac:dyDescent="0.15">
      <c r="A763" s="3">
        <f>DATE(1992,3,3)</f>
        <v>33666</v>
      </c>
      <c r="B763" s="2"/>
      <c r="C763" s="2" t="s">
        <v>56</v>
      </c>
      <c r="D763" s="2" t="s">
        <v>2686</v>
      </c>
      <c r="E763" s="2" t="s">
        <v>2687</v>
      </c>
      <c r="F763" s="4">
        <v>4213</v>
      </c>
      <c r="G763" s="2" t="s">
        <v>173</v>
      </c>
      <c r="H763" s="2" t="s">
        <v>34</v>
      </c>
      <c r="I763" s="2" t="s">
        <v>149</v>
      </c>
      <c r="J763" s="2" t="s">
        <v>150</v>
      </c>
      <c r="K763" s="2" t="s">
        <v>53</v>
      </c>
      <c r="L763" s="2" t="s">
        <v>151</v>
      </c>
      <c r="M763" s="2"/>
      <c r="N763" s="2"/>
      <c r="O763" s="2"/>
      <c r="P763" s="2" t="s">
        <v>2688</v>
      </c>
      <c r="Q763" s="2"/>
      <c r="R763" s="2"/>
      <c r="S763" s="5">
        <v>0.3</v>
      </c>
      <c r="T763" s="2"/>
      <c r="U763" s="5">
        <v>27.7</v>
      </c>
      <c r="V763" s="2"/>
      <c r="W763" s="6">
        <v>20.25</v>
      </c>
      <c r="X763" s="6">
        <v>20.25</v>
      </c>
      <c r="Y763" s="4">
        <v>21</v>
      </c>
      <c r="Z763" s="5">
        <v>21.5</v>
      </c>
      <c r="AA763" s="6">
        <v>0.89</v>
      </c>
      <c r="AB763" s="2" t="s">
        <v>47</v>
      </c>
      <c r="AC763" s="2"/>
    </row>
    <row r="764" spans="1:29" ht="117" x14ac:dyDescent="0.15">
      <c r="A764" s="3">
        <f>DATE(1992,3,4)</f>
        <v>33667</v>
      </c>
      <c r="B764" s="2"/>
      <c r="C764" s="2" t="s">
        <v>30</v>
      </c>
      <c r="D764" s="2" t="s">
        <v>2689</v>
      </c>
      <c r="E764" s="2" t="s">
        <v>2690</v>
      </c>
      <c r="F764" s="4">
        <v>1531</v>
      </c>
      <c r="G764" s="2" t="s">
        <v>341</v>
      </c>
      <c r="H764" s="2" t="s">
        <v>34</v>
      </c>
      <c r="I764" s="2" t="s">
        <v>2691</v>
      </c>
      <c r="J764" s="2" t="s">
        <v>2692</v>
      </c>
      <c r="K764" s="2" t="s">
        <v>341</v>
      </c>
      <c r="L764" s="2" t="s">
        <v>34</v>
      </c>
      <c r="M764" s="2"/>
      <c r="N764" s="6">
        <v>21.25</v>
      </c>
      <c r="O764" s="7">
        <v>21.875</v>
      </c>
      <c r="P764" s="2" t="s">
        <v>2693</v>
      </c>
      <c r="Q764" s="2"/>
      <c r="R764" s="2"/>
      <c r="S764" s="5">
        <v>-108.8</v>
      </c>
      <c r="T764" s="2"/>
      <c r="U764" s="5">
        <v>1.8</v>
      </c>
      <c r="V764" s="2"/>
      <c r="W764" s="7">
        <v>0.875</v>
      </c>
      <c r="X764" s="4">
        <v>1</v>
      </c>
      <c r="Y764" s="4">
        <v>2</v>
      </c>
      <c r="Z764" s="4">
        <v>2</v>
      </c>
      <c r="AA764" s="2"/>
      <c r="AB764" s="2" t="s">
        <v>47</v>
      </c>
      <c r="AC764" s="6">
        <v>50.87</v>
      </c>
    </row>
    <row r="765" spans="1:29" ht="143" x14ac:dyDescent="0.15">
      <c r="A765" s="3">
        <f>DATE(1992,3,4)</f>
        <v>33667</v>
      </c>
      <c r="B765" s="3">
        <f>DATE(1993,1,15)</f>
        <v>33984</v>
      </c>
      <c r="C765" s="2" t="s">
        <v>95</v>
      </c>
      <c r="D765" s="2" t="s">
        <v>2463</v>
      </c>
      <c r="E765" s="2" t="s">
        <v>36</v>
      </c>
      <c r="F765" s="4">
        <v>6021</v>
      </c>
      <c r="G765" s="2" t="s">
        <v>37</v>
      </c>
      <c r="H765" s="2" t="s">
        <v>34</v>
      </c>
      <c r="I765" s="2" t="s">
        <v>2694</v>
      </c>
      <c r="J765" s="2" t="s">
        <v>36</v>
      </c>
      <c r="K765" s="2" t="s">
        <v>37</v>
      </c>
      <c r="L765" s="2" t="s">
        <v>34</v>
      </c>
      <c r="M765" s="2"/>
      <c r="N765" s="7">
        <v>48.375</v>
      </c>
      <c r="O765" s="7">
        <v>46.875</v>
      </c>
      <c r="P765" s="2" t="s">
        <v>2695</v>
      </c>
      <c r="Q765" s="6">
        <v>100</v>
      </c>
      <c r="R765" s="6">
        <v>45.54</v>
      </c>
      <c r="S765" s="5">
        <v>49.1</v>
      </c>
      <c r="T765" s="7">
        <v>77.744</v>
      </c>
      <c r="U765" s="5">
        <v>20.2</v>
      </c>
      <c r="V765" s="6">
        <v>2.75</v>
      </c>
      <c r="W765" s="5">
        <v>29.5</v>
      </c>
      <c r="X765" s="5">
        <v>30.5</v>
      </c>
      <c r="Y765" s="4">
        <v>35</v>
      </c>
      <c r="Z765" s="5">
        <v>35.5</v>
      </c>
      <c r="AA765" s="6">
        <v>19.54</v>
      </c>
      <c r="AB765" s="7">
        <v>82.087000000000003</v>
      </c>
      <c r="AC765" s="2"/>
    </row>
    <row r="766" spans="1:29" ht="156" x14ac:dyDescent="0.15">
      <c r="A766" s="3">
        <f>DATE(1992,3,4)</f>
        <v>33667</v>
      </c>
      <c r="B766" s="2"/>
      <c r="C766" s="2" t="s">
        <v>30</v>
      </c>
      <c r="D766" s="2" t="s">
        <v>2696</v>
      </c>
      <c r="E766" s="2" t="s">
        <v>2697</v>
      </c>
      <c r="F766" s="4">
        <v>4953</v>
      </c>
      <c r="G766" s="2" t="s">
        <v>116</v>
      </c>
      <c r="H766" s="2" t="s">
        <v>34</v>
      </c>
      <c r="I766" s="2" t="s">
        <v>339</v>
      </c>
      <c r="J766" s="2" t="s">
        <v>340</v>
      </c>
      <c r="K766" s="2" t="s">
        <v>341</v>
      </c>
      <c r="L766" s="2" t="s">
        <v>34</v>
      </c>
      <c r="M766" s="2"/>
      <c r="N766" s="2"/>
      <c r="O766" s="2"/>
      <c r="P766" s="2" t="s">
        <v>2698</v>
      </c>
      <c r="Q766" s="2"/>
      <c r="R766" s="6">
        <v>7.44</v>
      </c>
      <c r="S766" s="5">
        <v>-0.9</v>
      </c>
      <c r="T766" s="2"/>
      <c r="U766" s="5">
        <v>5.8</v>
      </c>
      <c r="V766" s="2"/>
      <c r="W766" s="7">
        <v>6.375</v>
      </c>
      <c r="X766" s="7">
        <v>6.125</v>
      </c>
      <c r="Y766" s="6">
        <v>6.75</v>
      </c>
      <c r="Z766" s="5">
        <v>6.5</v>
      </c>
      <c r="AA766" s="6">
        <v>2.65</v>
      </c>
      <c r="AB766" s="2" t="s">
        <v>86</v>
      </c>
      <c r="AC766" s="6">
        <v>78.89</v>
      </c>
    </row>
    <row r="767" spans="1:29" ht="156" x14ac:dyDescent="0.15">
      <c r="A767" s="3">
        <f>DATE(1992,3,4)</f>
        <v>33667</v>
      </c>
      <c r="B767" s="3">
        <f>DATE(1992,7,8)</f>
        <v>33793</v>
      </c>
      <c r="C767" s="2" t="s">
        <v>95</v>
      </c>
      <c r="D767" s="2" t="s">
        <v>1118</v>
      </c>
      <c r="E767" s="2" t="s">
        <v>1119</v>
      </c>
      <c r="F767" s="4">
        <v>2678</v>
      </c>
      <c r="G767" s="2" t="s">
        <v>282</v>
      </c>
      <c r="H767" s="2" t="s">
        <v>34</v>
      </c>
      <c r="I767" s="2" t="s">
        <v>578</v>
      </c>
      <c r="J767" s="2" t="s">
        <v>579</v>
      </c>
      <c r="K767" s="2" t="s">
        <v>237</v>
      </c>
      <c r="L767" s="2" t="s">
        <v>34</v>
      </c>
      <c r="M767" s="12">
        <v>3762.8629999999998</v>
      </c>
      <c r="N767" s="6">
        <v>46.75</v>
      </c>
      <c r="O767" s="6">
        <v>45.25</v>
      </c>
      <c r="P767" s="2" t="s">
        <v>2699</v>
      </c>
      <c r="Q767" s="6">
        <v>100</v>
      </c>
      <c r="R767" s="6">
        <v>14</v>
      </c>
      <c r="S767" s="5">
        <v>1.2</v>
      </c>
      <c r="T767" s="7">
        <v>24.585999999999999</v>
      </c>
      <c r="U767" s="5">
        <v>6.1</v>
      </c>
      <c r="V767" s="6">
        <v>0.2</v>
      </c>
      <c r="W767" s="7">
        <v>8.125</v>
      </c>
      <c r="X767" s="6">
        <v>9.25</v>
      </c>
      <c r="Y767" s="7">
        <v>9.375</v>
      </c>
      <c r="Z767" s="4">
        <v>12</v>
      </c>
      <c r="AA767" s="6">
        <v>4.08</v>
      </c>
      <c r="AB767" s="7">
        <v>5.7569999999999997</v>
      </c>
      <c r="AC767" s="2"/>
    </row>
    <row r="768" spans="1:29" ht="156" x14ac:dyDescent="0.15">
      <c r="A768" s="3">
        <f>DATE(1992,3,4)</f>
        <v>33667</v>
      </c>
      <c r="B768" s="3">
        <f>DATE(1992,8,4)</f>
        <v>33820</v>
      </c>
      <c r="C768" s="2" t="s">
        <v>95</v>
      </c>
      <c r="D768" s="2" t="s">
        <v>2083</v>
      </c>
      <c r="E768" s="2" t="s">
        <v>2084</v>
      </c>
      <c r="F768" s="4">
        <v>7379</v>
      </c>
      <c r="G768" s="2" t="s">
        <v>223</v>
      </c>
      <c r="H768" s="2" t="s">
        <v>34</v>
      </c>
      <c r="I768" s="2" t="s">
        <v>1360</v>
      </c>
      <c r="J768" s="2" t="s">
        <v>1361</v>
      </c>
      <c r="K768" s="2" t="s">
        <v>223</v>
      </c>
      <c r="L768" s="2" t="s">
        <v>34</v>
      </c>
      <c r="M768" s="6">
        <v>33.36</v>
      </c>
      <c r="N768" s="4">
        <v>12</v>
      </c>
      <c r="O768" s="4">
        <v>11</v>
      </c>
      <c r="P768" s="2" t="s">
        <v>2700</v>
      </c>
      <c r="Q768" s="6">
        <v>100</v>
      </c>
      <c r="R768" s="2"/>
      <c r="S768" s="5">
        <v>-0.8</v>
      </c>
      <c r="T768" s="5">
        <v>-1</v>
      </c>
      <c r="U768" s="5">
        <v>1.4</v>
      </c>
      <c r="V768" s="6">
        <v>-0.39</v>
      </c>
      <c r="W768" s="6">
        <v>1.25</v>
      </c>
      <c r="X768" s="7">
        <v>1.625</v>
      </c>
      <c r="Y768" s="7">
        <v>1.625</v>
      </c>
      <c r="Z768" s="7">
        <v>1.625</v>
      </c>
      <c r="AA768" s="6">
        <v>1.87</v>
      </c>
      <c r="AB768" s="2" t="s">
        <v>86</v>
      </c>
      <c r="AC768" s="6">
        <v>7.41</v>
      </c>
    </row>
    <row r="769" spans="1:29" ht="65" x14ac:dyDescent="0.15">
      <c r="A769" s="3">
        <f>DATE(1992,3,5)</f>
        <v>33668</v>
      </c>
      <c r="B769" s="2"/>
      <c r="C769" s="2" t="s">
        <v>87</v>
      </c>
      <c r="D769" s="2" t="s">
        <v>2701</v>
      </c>
      <c r="E769" s="2" t="s">
        <v>177</v>
      </c>
      <c r="F769" s="4">
        <v>1311</v>
      </c>
      <c r="G769" s="2" t="s">
        <v>148</v>
      </c>
      <c r="H769" s="2" t="s">
        <v>34</v>
      </c>
      <c r="I769" s="2" t="s">
        <v>2702</v>
      </c>
      <c r="J769" s="2" t="s">
        <v>612</v>
      </c>
      <c r="K769" s="2" t="s">
        <v>148</v>
      </c>
      <c r="L769" s="2" t="s">
        <v>34</v>
      </c>
      <c r="M769" s="2"/>
      <c r="N769" s="2"/>
      <c r="O769" s="2"/>
      <c r="P769" s="2" t="s">
        <v>2703</v>
      </c>
      <c r="Q769" s="2"/>
      <c r="R769" s="2"/>
      <c r="S769" s="5">
        <v>-0.1</v>
      </c>
      <c r="T769" s="7">
        <v>-1.2E-2</v>
      </c>
      <c r="U769" s="5">
        <v>0.9</v>
      </c>
      <c r="V769" s="2"/>
      <c r="W769" s="4">
        <v>1</v>
      </c>
      <c r="X769" s="4">
        <v>1</v>
      </c>
      <c r="Y769" s="4">
        <v>1</v>
      </c>
      <c r="Z769" s="4">
        <v>1</v>
      </c>
      <c r="AA769" s="6">
        <v>1.4</v>
      </c>
      <c r="AB769" s="2" t="s">
        <v>86</v>
      </c>
      <c r="AC769" s="2"/>
    </row>
    <row r="770" spans="1:29" ht="130" x14ac:dyDescent="0.15">
      <c r="A770" s="3">
        <f>DATE(1992,3,5)</f>
        <v>33668</v>
      </c>
      <c r="B770" s="3">
        <f>DATE(1992,10,1)</f>
        <v>33878</v>
      </c>
      <c r="C770" s="2" t="s">
        <v>95</v>
      </c>
      <c r="D770" s="2" t="s">
        <v>2704</v>
      </c>
      <c r="E770" s="2" t="s">
        <v>36</v>
      </c>
      <c r="F770" s="4">
        <v>6021</v>
      </c>
      <c r="G770" s="2" t="s">
        <v>37</v>
      </c>
      <c r="H770" s="2" t="s">
        <v>34</v>
      </c>
      <c r="I770" s="2" t="s">
        <v>2353</v>
      </c>
      <c r="J770" s="2" t="s">
        <v>36</v>
      </c>
      <c r="K770" s="2" t="s">
        <v>37</v>
      </c>
      <c r="L770" s="2" t="s">
        <v>34</v>
      </c>
      <c r="M770" s="12">
        <v>1872.2760000000001</v>
      </c>
      <c r="N770" s="5">
        <v>44.5</v>
      </c>
      <c r="O770" s="6">
        <v>42.75</v>
      </c>
      <c r="P770" s="2" t="s">
        <v>2705</v>
      </c>
      <c r="Q770" s="6">
        <v>100</v>
      </c>
      <c r="R770" s="6">
        <v>34.46</v>
      </c>
      <c r="S770" s="5">
        <v>12.4</v>
      </c>
      <c r="T770" s="7">
        <v>23.475000000000001</v>
      </c>
      <c r="U770" s="5">
        <v>23</v>
      </c>
      <c r="V770" s="6">
        <v>1.31</v>
      </c>
      <c r="W770" s="7">
        <v>25.375</v>
      </c>
      <c r="X770" s="4">
        <v>26</v>
      </c>
      <c r="Y770" s="4">
        <v>30</v>
      </c>
      <c r="Z770" s="6">
        <v>32.25</v>
      </c>
      <c r="AA770" s="6">
        <v>9.52</v>
      </c>
      <c r="AB770" s="7">
        <v>239.15100000000001</v>
      </c>
      <c r="AC770" s="2"/>
    </row>
    <row r="771" spans="1:29" ht="117" x14ac:dyDescent="0.15">
      <c r="A771" s="3">
        <f>DATE(1992,3,9)</f>
        <v>33672</v>
      </c>
      <c r="B771" s="3">
        <f>DATE(1992,8,19)</f>
        <v>33835</v>
      </c>
      <c r="C771" s="2" t="s">
        <v>95</v>
      </c>
      <c r="D771" s="2" t="s">
        <v>2706</v>
      </c>
      <c r="E771" s="2" t="s">
        <v>36</v>
      </c>
      <c r="F771" s="4">
        <v>6021</v>
      </c>
      <c r="G771" s="2" t="s">
        <v>37</v>
      </c>
      <c r="H771" s="2" t="s">
        <v>34</v>
      </c>
      <c r="I771" s="2" t="s">
        <v>2707</v>
      </c>
      <c r="J771" s="2" t="s">
        <v>263</v>
      </c>
      <c r="K771" s="2" t="s">
        <v>33</v>
      </c>
      <c r="L771" s="2" t="s">
        <v>34</v>
      </c>
      <c r="M771" s="2"/>
      <c r="N771" s="6">
        <v>30.25</v>
      </c>
      <c r="O771" s="6">
        <v>30.25</v>
      </c>
      <c r="P771" s="2" t="s">
        <v>2708</v>
      </c>
      <c r="Q771" s="6">
        <v>100</v>
      </c>
      <c r="R771" s="6">
        <v>19.059999999999999</v>
      </c>
      <c r="S771" s="5">
        <v>3.5</v>
      </c>
      <c r="T771" s="2"/>
      <c r="U771" s="5">
        <v>17</v>
      </c>
      <c r="V771" s="2"/>
      <c r="W771" s="6">
        <v>10.75</v>
      </c>
      <c r="X771" s="7">
        <v>10.875</v>
      </c>
      <c r="Y771" s="6">
        <v>16.25</v>
      </c>
      <c r="Z771" s="4">
        <v>17</v>
      </c>
      <c r="AA771" s="6">
        <v>2.2000000000000002</v>
      </c>
      <c r="AB771" s="7">
        <v>82.34</v>
      </c>
      <c r="AC771" s="2"/>
    </row>
    <row r="772" spans="1:29" ht="104" x14ac:dyDescent="0.15">
      <c r="A772" s="3">
        <f>DATE(1992,3,9)</f>
        <v>33672</v>
      </c>
      <c r="B772" s="3">
        <f>DATE(1992,7,27)</f>
        <v>33812</v>
      </c>
      <c r="C772" s="2" t="s">
        <v>95</v>
      </c>
      <c r="D772" s="2" t="s">
        <v>2709</v>
      </c>
      <c r="E772" s="2" t="s">
        <v>2710</v>
      </c>
      <c r="F772" s="4">
        <v>6722</v>
      </c>
      <c r="G772" s="2" t="s">
        <v>53</v>
      </c>
      <c r="H772" s="2" t="s">
        <v>34</v>
      </c>
      <c r="I772" s="2" t="s">
        <v>2711</v>
      </c>
      <c r="J772" s="2" t="s">
        <v>2712</v>
      </c>
      <c r="K772" s="2" t="s">
        <v>53</v>
      </c>
      <c r="L772" s="2" t="s">
        <v>34</v>
      </c>
      <c r="M772" s="2"/>
      <c r="N772" s="2"/>
      <c r="O772" s="2"/>
      <c r="P772" s="2" t="s">
        <v>2713</v>
      </c>
      <c r="Q772" s="6">
        <v>100</v>
      </c>
      <c r="R772" s="2"/>
      <c r="S772" s="2"/>
      <c r="T772" s="2"/>
      <c r="U772" s="2"/>
      <c r="V772" s="2"/>
      <c r="W772" s="5">
        <v>14.5</v>
      </c>
      <c r="X772" s="5">
        <v>14.5</v>
      </c>
      <c r="Y772" s="7">
        <v>14.625</v>
      </c>
      <c r="Z772" s="7">
        <v>14.625</v>
      </c>
      <c r="AA772" s="2"/>
      <c r="AB772" s="2" t="s">
        <v>47</v>
      </c>
      <c r="AC772" s="2"/>
    </row>
    <row r="773" spans="1:29" ht="117" x14ac:dyDescent="0.15">
      <c r="A773" s="3">
        <f>DATE(1992,3,10)</f>
        <v>33673</v>
      </c>
      <c r="B773" s="2"/>
      <c r="C773" s="2" t="s">
        <v>82</v>
      </c>
      <c r="D773" s="2" t="s">
        <v>2714</v>
      </c>
      <c r="E773" s="2" t="s">
        <v>2715</v>
      </c>
      <c r="F773" s="4">
        <v>8711</v>
      </c>
      <c r="G773" s="2" t="s">
        <v>223</v>
      </c>
      <c r="H773" s="2" t="s">
        <v>34</v>
      </c>
      <c r="I773" s="2" t="s">
        <v>2716</v>
      </c>
      <c r="J773" s="2" t="s">
        <v>971</v>
      </c>
      <c r="K773" s="2" t="s">
        <v>63</v>
      </c>
      <c r="L773" s="2" t="s">
        <v>34</v>
      </c>
      <c r="M773" s="7">
        <v>33.731999999999999</v>
      </c>
      <c r="N773" s="7">
        <v>5.125</v>
      </c>
      <c r="O773" s="7">
        <v>5.125</v>
      </c>
      <c r="P773" s="2" t="s">
        <v>2717</v>
      </c>
      <c r="Q773" s="2"/>
      <c r="R773" s="2"/>
      <c r="S773" s="5">
        <v>-1.9</v>
      </c>
      <c r="T773" s="2"/>
      <c r="U773" s="5">
        <v>6.1</v>
      </c>
      <c r="V773" s="2"/>
      <c r="W773" s="4">
        <v>9</v>
      </c>
      <c r="X773" s="7">
        <v>8.875</v>
      </c>
      <c r="Y773" s="7">
        <v>8.375</v>
      </c>
      <c r="Z773" s="7">
        <v>8.375</v>
      </c>
      <c r="AA773" s="6">
        <v>8.77</v>
      </c>
      <c r="AB773" s="2" t="s">
        <v>86</v>
      </c>
      <c r="AC773" s="6">
        <v>10.87</v>
      </c>
    </row>
    <row r="774" spans="1:29" ht="78" x14ac:dyDescent="0.15">
      <c r="A774" s="3">
        <f>DATE(1992,3,10)</f>
        <v>33673</v>
      </c>
      <c r="B774" s="2"/>
      <c r="C774" s="2" t="s">
        <v>30</v>
      </c>
      <c r="D774" s="2" t="s">
        <v>2718</v>
      </c>
      <c r="E774" s="2" t="s">
        <v>2719</v>
      </c>
      <c r="F774" s="4">
        <v>6211</v>
      </c>
      <c r="G774" s="2" t="s">
        <v>53</v>
      </c>
      <c r="H774" s="2" t="s">
        <v>34</v>
      </c>
      <c r="I774" s="2" t="s">
        <v>2720</v>
      </c>
      <c r="J774" s="2" t="s">
        <v>2721</v>
      </c>
      <c r="K774" s="2" t="s">
        <v>53</v>
      </c>
      <c r="L774" s="2" t="s">
        <v>34</v>
      </c>
      <c r="M774" s="5">
        <v>351</v>
      </c>
      <c r="N774" s="5">
        <v>25.5</v>
      </c>
      <c r="O774" s="7">
        <v>24.625</v>
      </c>
      <c r="P774" s="2" t="s">
        <v>2722</v>
      </c>
      <c r="Q774" s="2"/>
      <c r="R774" s="6">
        <v>11.57</v>
      </c>
      <c r="S774" s="5">
        <v>-2.8</v>
      </c>
      <c r="T774" s="7">
        <v>-0.78600000000000003</v>
      </c>
      <c r="U774" s="5">
        <v>2.6</v>
      </c>
      <c r="V774" s="9">
        <v>-0.13059999999999999</v>
      </c>
      <c r="W774" s="6">
        <v>8.25</v>
      </c>
      <c r="X774" s="5">
        <v>7.5</v>
      </c>
      <c r="Y774" s="7">
        <v>10.375</v>
      </c>
      <c r="Z774" s="7">
        <v>10.375</v>
      </c>
      <c r="AA774" s="6">
        <v>3.48</v>
      </c>
      <c r="AB774" s="2" t="s">
        <v>86</v>
      </c>
      <c r="AC774" s="6">
        <v>329.25</v>
      </c>
    </row>
    <row r="775" spans="1:29" ht="91" x14ac:dyDescent="0.15">
      <c r="A775" s="3">
        <f>DATE(1992,3,11)</f>
        <v>33674</v>
      </c>
      <c r="B775" s="3">
        <f>DATE(1992,10,31)</f>
        <v>33908</v>
      </c>
      <c r="C775" s="2" t="s">
        <v>95</v>
      </c>
      <c r="D775" s="2" t="s">
        <v>2613</v>
      </c>
      <c r="E775" s="2" t="s">
        <v>2614</v>
      </c>
      <c r="F775" s="4">
        <v>2869</v>
      </c>
      <c r="G775" s="2" t="s">
        <v>98</v>
      </c>
      <c r="H775" s="2" t="s">
        <v>34</v>
      </c>
      <c r="I775" s="2" t="s">
        <v>1526</v>
      </c>
      <c r="J775" s="2" t="s">
        <v>302</v>
      </c>
      <c r="K775" s="2" t="s">
        <v>53</v>
      </c>
      <c r="L775" s="2" t="s">
        <v>34</v>
      </c>
      <c r="M775" s="2"/>
      <c r="N775" s="2"/>
      <c r="O775" s="2"/>
      <c r="P775" s="2" t="s">
        <v>2723</v>
      </c>
      <c r="Q775" s="6">
        <v>92.5</v>
      </c>
      <c r="R775" s="2"/>
      <c r="S775" s="5">
        <v>-42.7</v>
      </c>
      <c r="T775" s="6">
        <v>35.880000000000003</v>
      </c>
      <c r="U775" s="5">
        <v>-3</v>
      </c>
      <c r="V775" s="6">
        <v>-1.36</v>
      </c>
      <c r="W775" s="7">
        <v>1.125</v>
      </c>
      <c r="X775" s="7">
        <v>1.375</v>
      </c>
      <c r="Y775" s="7">
        <v>1.375</v>
      </c>
      <c r="Z775" s="7">
        <v>1.125</v>
      </c>
      <c r="AA775" s="2"/>
      <c r="AB775" s="2" t="s">
        <v>47</v>
      </c>
      <c r="AC775" s="2"/>
    </row>
    <row r="776" spans="1:29" ht="104" x14ac:dyDescent="0.15">
      <c r="A776" s="3">
        <f>DATE(1992,3,11)</f>
        <v>33674</v>
      </c>
      <c r="B776" s="3">
        <f>DATE(1993,8,9)</f>
        <v>34190</v>
      </c>
      <c r="C776" s="2" t="s">
        <v>95</v>
      </c>
      <c r="D776" s="2" t="s">
        <v>71</v>
      </c>
      <c r="E776" s="2" t="s">
        <v>72</v>
      </c>
      <c r="F776" s="4">
        <v>5995</v>
      </c>
      <c r="G776" s="2" t="s">
        <v>73</v>
      </c>
      <c r="H776" s="2" t="s">
        <v>34</v>
      </c>
      <c r="I776" s="2" t="s">
        <v>2724</v>
      </c>
      <c r="J776" s="2" t="s">
        <v>2725</v>
      </c>
      <c r="K776" s="2" t="s">
        <v>370</v>
      </c>
      <c r="L776" s="2" t="s">
        <v>34</v>
      </c>
      <c r="M776" s="2"/>
      <c r="N776" s="2"/>
      <c r="O776" s="2"/>
      <c r="P776" s="2" t="s">
        <v>2726</v>
      </c>
      <c r="Q776" s="6">
        <v>74</v>
      </c>
      <c r="R776" s="2"/>
      <c r="S776" s="5">
        <v>6.5</v>
      </c>
      <c r="T776" s="7">
        <v>12.353</v>
      </c>
      <c r="U776" s="5">
        <v>5.2</v>
      </c>
      <c r="V776" s="6">
        <v>0.5</v>
      </c>
      <c r="W776" s="6">
        <v>10.75</v>
      </c>
      <c r="X776" s="6">
        <v>10.75</v>
      </c>
      <c r="Y776" s="6">
        <v>10.75</v>
      </c>
      <c r="Z776" s="6">
        <v>10.75</v>
      </c>
      <c r="AA776" s="6">
        <v>9.59</v>
      </c>
      <c r="AB776" s="2" t="s">
        <v>47</v>
      </c>
      <c r="AC776" s="2"/>
    </row>
    <row r="777" spans="1:29" ht="143" x14ac:dyDescent="0.15">
      <c r="A777" s="3">
        <f>DATE(1992,3,12)</f>
        <v>33675</v>
      </c>
      <c r="B777" s="3">
        <f>DATE(1992,6,29)</f>
        <v>33784</v>
      </c>
      <c r="C777" s="2" t="s">
        <v>95</v>
      </c>
      <c r="D777" s="2" t="s">
        <v>2727</v>
      </c>
      <c r="E777" s="2" t="s">
        <v>2728</v>
      </c>
      <c r="F777" s="4">
        <v>3674</v>
      </c>
      <c r="G777" s="2" t="s">
        <v>137</v>
      </c>
      <c r="H777" s="2" t="s">
        <v>34</v>
      </c>
      <c r="I777" s="2" t="s">
        <v>1709</v>
      </c>
      <c r="J777" s="2" t="s">
        <v>1710</v>
      </c>
      <c r="K777" s="2" t="s">
        <v>50</v>
      </c>
      <c r="L777" s="2" t="s">
        <v>34</v>
      </c>
      <c r="M777" s="12">
        <v>1236.1030000000001</v>
      </c>
      <c r="N777" s="7">
        <v>21.875</v>
      </c>
      <c r="O777" s="6">
        <v>21.25</v>
      </c>
      <c r="P777" s="2" t="s">
        <v>2729</v>
      </c>
      <c r="Q777" s="6">
        <v>100</v>
      </c>
      <c r="R777" s="6">
        <v>8.52</v>
      </c>
      <c r="S777" s="5">
        <v>-48</v>
      </c>
      <c r="T777" s="7">
        <v>-29.431000000000001</v>
      </c>
      <c r="U777" s="2"/>
      <c r="V777" s="6">
        <v>-1.98</v>
      </c>
      <c r="W777" s="7">
        <v>11.375</v>
      </c>
      <c r="X777" s="4">
        <v>11</v>
      </c>
      <c r="Y777" s="5">
        <v>13.5</v>
      </c>
      <c r="Z777" s="4">
        <v>13</v>
      </c>
      <c r="AA777" s="6">
        <v>25.57</v>
      </c>
      <c r="AB777" s="2" t="s">
        <v>86</v>
      </c>
      <c r="AC777" s="6">
        <v>195.98</v>
      </c>
    </row>
    <row r="778" spans="1:29" ht="130" x14ac:dyDescent="0.15">
      <c r="A778" s="3">
        <f>DATE(1992,3,13)</f>
        <v>33676</v>
      </c>
      <c r="B778" s="2"/>
      <c r="C778" s="2" t="s">
        <v>30</v>
      </c>
      <c r="D778" s="2" t="s">
        <v>2730</v>
      </c>
      <c r="E778" s="2" t="s">
        <v>1882</v>
      </c>
      <c r="F778" s="4">
        <v>7011</v>
      </c>
      <c r="G778" s="2" t="s">
        <v>269</v>
      </c>
      <c r="H778" s="2" t="s">
        <v>34</v>
      </c>
      <c r="I778" s="2" t="s">
        <v>2731</v>
      </c>
      <c r="J778" s="2" t="s">
        <v>52</v>
      </c>
      <c r="K778" s="2" t="s">
        <v>53</v>
      </c>
      <c r="L778" s="2" t="s">
        <v>34</v>
      </c>
      <c r="M778" s="2"/>
      <c r="N778" s="2"/>
      <c r="O778" s="2"/>
      <c r="P778" s="2" t="s">
        <v>2732</v>
      </c>
      <c r="Q778" s="2"/>
      <c r="R778" s="2"/>
      <c r="S778" s="5">
        <v>-0.4</v>
      </c>
      <c r="T778" s="7">
        <v>-0.36799999999999999</v>
      </c>
      <c r="U778" s="5">
        <v>1.2</v>
      </c>
      <c r="V778" s="6">
        <v>-0.47</v>
      </c>
      <c r="W778" s="5">
        <v>3.5</v>
      </c>
      <c r="X778" s="5">
        <v>3.5</v>
      </c>
      <c r="Y778" s="5">
        <v>2.5</v>
      </c>
      <c r="Z778" s="5">
        <v>2.5</v>
      </c>
      <c r="AA778" s="6">
        <v>1.25</v>
      </c>
      <c r="AB778" s="2" t="s">
        <v>86</v>
      </c>
      <c r="AC778" s="2"/>
    </row>
    <row r="779" spans="1:29" ht="117" x14ac:dyDescent="0.15">
      <c r="A779" s="3">
        <f>DATE(1992,3,13)</f>
        <v>33676</v>
      </c>
      <c r="B779" s="2"/>
      <c r="C779" s="2" t="s">
        <v>87</v>
      </c>
      <c r="D779" s="2" t="s">
        <v>2607</v>
      </c>
      <c r="E779" s="2" t="s">
        <v>2608</v>
      </c>
      <c r="F779" s="4">
        <v>2835</v>
      </c>
      <c r="G779" s="2" t="s">
        <v>130</v>
      </c>
      <c r="H779" s="2" t="s">
        <v>34</v>
      </c>
      <c r="I779" s="2" t="s">
        <v>2733</v>
      </c>
      <c r="J779" s="2" t="s">
        <v>386</v>
      </c>
      <c r="K779" s="2" t="s">
        <v>53</v>
      </c>
      <c r="L779" s="2" t="s">
        <v>34</v>
      </c>
      <c r="M779" s="2"/>
      <c r="N779" s="5">
        <v>1.5</v>
      </c>
      <c r="O779" s="5">
        <v>1.5</v>
      </c>
      <c r="P779" s="2" t="s">
        <v>2734</v>
      </c>
      <c r="Q779" s="2"/>
      <c r="R779" s="2"/>
      <c r="S779" s="5">
        <v>-0.2</v>
      </c>
      <c r="T779" s="2"/>
      <c r="U779" s="5">
        <v>1.1000000000000001</v>
      </c>
      <c r="V779" s="2"/>
      <c r="W779" s="13">
        <v>0</v>
      </c>
      <c r="X779" s="7">
        <v>1.125</v>
      </c>
      <c r="Y779" s="9">
        <v>1.1875</v>
      </c>
      <c r="Z779" s="9">
        <v>1.1875</v>
      </c>
      <c r="AA779" s="2"/>
      <c r="AB779" s="2" t="s">
        <v>86</v>
      </c>
      <c r="AC779" s="2"/>
    </row>
    <row r="780" spans="1:29" ht="143" x14ac:dyDescent="0.15">
      <c r="A780" s="3">
        <f>DATE(1992,3,17)</f>
        <v>33680</v>
      </c>
      <c r="B780" s="2"/>
      <c r="C780" s="2" t="s">
        <v>30</v>
      </c>
      <c r="D780" s="2" t="s">
        <v>2735</v>
      </c>
      <c r="E780" s="2" t="s">
        <v>2736</v>
      </c>
      <c r="F780" s="4">
        <v>6331</v>
      </c>
      <c r="G780" s="2" t="s">
        <v>125</v>
      </c>
      <c r="H780" s="2" t="s">
        <v>34</v>
      </c>
      <c r="I780" s="2" t="s">
        <v>2737</v>
      </c>
      <c r="J780" s="2" t="s">
        <v>2738</v>
      </c>
      <c r="K780" s="2" t="s">
        <v>125</v>
      </c>
      <c r="L780" s="2" t="s">
        <v>34</v>
      </c>
      <c r="M780" s="2"/>
      <c r="N780" s="2"/>
      <c r="O780" s="2"/>
      <c r="P780" s="2" t="s">
        <v>2739</v>
      </c>
      <c r="Q780" s="2"/>
      <c r="R780" s="6">
        <v>6.25</v>
      </c>
      <c r="S780" s="5">
        <v>-16.8</v>
      </c>
      <c r="T780" s="2"/>
      <c r="U780" s="8">
        <v>24544.400000000001</v>
      </c>
      <c r="V780" s="6">
        <v>-9000</v>
      </c>
      <c r="W780" s="7">
        <v>4.625</v>
      </c>
      <c r="X780" s="7">
        <v>4.875</v>
      </c>
      <c r="Y780" s="6">
        <v>5.75</v>
      </c>
      <c r="Z780" s="7">
        <v>5.875</v>
      </c>
      <c r="AA780" s="6">
        <v>7.5</v>
      </c>
      <c r="AB780" s="2" t="s">
        <v>86</v>
      </c>
      <c r="AC780" s="2"/>
    </row>
    <row r="781" spans="1:29" ht="65" x14ac:dyDescent="0.15">
      <c r="A781" s="3">
        <f>DATE(1992,3,18)</f>
        <v>33681</v>
      </c>
      <c r="B781" s="2"/>
      <c r="C781" s="2" t="s">
        <v>56</v>
      </c>
      <c r="D781" s="2" t="s">
        <v>2740</v>
      </c>
      <c r="E781" s="2" t="s">
        <v>2741</v>
      </c>
      <c r="F781" s="4">
        <v>3571</v>
      </c>
      <c r="G781" s="2" t="s">
        <v>50</v>
      </c>
      <c r="H781" s="2" t="s">
        <v>34</v>
      </c>
      <c r="I781" s="2" t="s">
        <v>2742</v>
      </c>
      <c r="J781" s="2" t="s">
        <v>2743</v>
      </c>
      <c r="K781" s="2" t="s">
        <v>415</v>
      </c>
      <c r="L781" s="2" t="s">
        <v>34</v>
      </c>
      <c r="M781" s="2"/>
      <c r="N781" s="5">
        <v>227.5</v>
      </c>
      <c r="O781" s="4">
        <v>232</v>
      </c>
      <c r="P781" s="2" t="s">
        <v>2744</v>
      </c>
      <c r="Q781" s="2"/>
      <c r="R781" s="2"/>
      <c r="S781" s="5">
        <v>-3.2</v>
      </c>
      <c r="T781" s="2"/>
      <c r="U781" s="5">
        <v>0.7</v>
      </c>
      <c r="V781" s="2"/>
      <c r="W781" s="6">
        <v>2.25</v>
      </c>
      <c r="X781" s="4">
        <v>2</v>
      </c>
      <c r="Y781" s="7">
        <v>2.625</v>
      </c>
      <c r="Z781" s="6">
        <v>2.25</v>
      </c>
      <c r="AA781" s="2"/>
      <c r="AB781" s="2" t="s">
        <v>86</v>
      </c>
      <c r="AC781" s="6">
        <v>280.36</v>
      </c>
    </row>
    <row r="782" spans="1:29" ht="143" x14ac:dyDescent="0.15">
      <c r="A782" s="3">
        <f>DATE(1992,3,18)</f>
        <v>33681</v>
      </c>
      <c r="B782" s="3">
        <f>DATE(1992,10,15)</f>
        <v>33892</v>
      </c>
      <c r="C782" s="2" t="s">
        <v>95</v>
      </c>
      <c r="D782" s="2" t="s">
        <v>2745</v>
      </c>
      <c r="E782" s="2" t="s">
        <v>36</v>
      </c>
      <c r="F782" s="4">
        <v>6021</v>
      </c>
      <c r="G782" s="2" t="s">
        <v>37</v>
      </c>
      <c r="H782" s="2" t="s">
        <v>34</v>
      </c>
      <c r="I782" s="2" t="s">
        <v>1799</v>
      </c>
      <c r="J782" s="2" t="s">
        <v>36</v>
      </c>
      <c r="K782" s="2" t="s">
        <v>37</v>
      </c>
      <c r="L782" s="2" t="s">
        <v>34</v>
      </c>
      <c r="M782" s="12">
        <v>4046.5160000000001</v>
      </c>
      <c r="N782" s="7">
        <v>28.875</v>
      </c>
      <c r="O782" s="7">
        <v>28.625</v>
      </c>
      <c r="P782" s="2" t="s">
        <v>2746</v>
      </c>
      <c r="Q782" s="6">
        <v>100</v>
      </c>
      <c r="R782" s="6">
        <v>47.6</v>
      </c>
      <c r="S782" s="5">
        <v>48.1</v>
      </c>
      <c r="T782" s="7">
        <v>92.138999999999996</v>
      </c>
      <c r="U782" s="5">
        <v>25</v>
      </c>
      <c r="V782" s="6">
        <v>2.61</v>
      </c>
      <c r="W782" s="5">
        <v>36.5</v>
      </c>
      <c r="X782" s="4">
        <v>36</v>
      </c>
      <c r="Y782" s="4">
        <v>43</v>
      </c>
      <c r="Z782" s="7">
        <v>42.625</v>
      </c>
      <c r="AA782" s="6">
        <v>18.559999999999999</v>
      </c>
      <c r="AB782" s="7">
        <v>94.817999999999998</v>
      </c>
      <c r="AC782" s="2"/>
    </row>
    <row r="783" spans="1:29" ht="91" x14ac:dyDescent="0.15">
      <c r="A783" s="3">
        <f>DATE(1992,3,20)</f>
        <v>33683</v>
      </c>
      <c r="B783" s="3">
        <f>DATE(1992,7,31)</f>
        <v>33816</v>
      </c>
      <c r="C783" s="2" t="s">
        <v>95</v>
      </c>
      <c r="D783" s="2" t="s">
        <v>1560</v>
      </c>
      <c r="E783" s="2" t="s">
        <v>1561</v>
      </c>
      <c r="F783" s="4">
        <v>6311</v>
      </c>
      <c r="G783" s="2" t="s">
        <v>125</v>
      </c>
      <c r="H783" s="2" t="s">
        <v>34</v>
      </c>
      <c r="I783" s="2" t="s">
        <v>2747</v>
      </c>
      <c r="J783" s="2" t="s">
        <v>52</v>
      </c>
      <c r="K783" s="2" t="s">
        <v>53</v>
      </c>
      <c r="L783" s="2" t="s">
        <v>34</v>
      </c>
      <c r="M783" s="2"/>
      <c r="N783" s="2"/>
      <c r="O783" s="2"/>
      <c r="P783" s="2" t="s">
        <v>2748</v>
      </c>
      <c r="Q783" s="6">
        <v>45.23</v>
      </c>
      <c r="R783" s="6">
        <v>6.3</v>
      </c>
      <c r="S783" s="5">
        <v>2.2000000000000002</v>
      </c>
      <c r="T783" s="2"/>
      <c r="U783" s="5">
        <v>7.7</v>
      </c>
      <c r="V783" s="6">
        <v>0.37</v>
      </c>
      <c r="W783" s="4">
        <v>4</v>
      </c>
      <c r="X783" s="7">
        <v>4.375</v>
      </c>
      <c r="Y783" s="7">
        <v>4.375</v>
      </c>
      <c r="Z783" s="6">
        <v>5.75</v>
      </c>
      <c r="AA783" s="6">
        <v>5.94</v>
      </c>
      <c r="AB783" s="2" t="s">
        <v>86</v>
      </c>
      <c r="AC783" s="2"/>
    </row>
    <row r="784" spans="1:29" ht="156" x14ac:dyDescent="0.15">
      <c r="A784" s="3">
        <f>DATE(1992,3,23)</f>
        <v>33686</v>
      </c>
      <c r="B784" s="2"/>
      <c r="C784" s="2" t="s">
        <v>30</v>
      </c>
      <c r="D784" s="2" t="s">
        <v>31</v>
      </c>
      <c r="E784" s="2" t="s">
        <v>32</v>
      </c>
      <c r="F784" s="4">
        <v>6035</v>
      </c>
      <c r="G784" s="2" t="s">
        <v>33</v>
      </c>
      <c r="H784" s="2" t="s">
        <v>34</v>
      </c>
      <c r="I784" s="2" t="s">
        <v>35</v>
      </c>
      <c r="J784" s="2" t="s">
        <v>36</v>
      </c>
      <c r="K784" s="2" t="s">
        <v>37</v>
      </c>
      <c r="L784" s="2" t="s">
        <v>34</v>
      </c>
      <c r="M784" s="2"/>
      <c r="N784" s="4">
        <v>39</v>
      </c>
      <c r="O784" s="6">
        <v>38.25</v>
      </c>
      <c r="P784" s="2" t="s">
        <v>2749</v>
      </c>
      <c r="Q784" s="2"/>
      <c r="R784" s="6">
        <v>26.17</v>
      </c>
      <c r="S784" s="5">
        <v>4.0999999999999996</v>
      </c>
      <c r="T784" s="7">
        <v>7.157</v>
      </c>
      <c r="U784" s="5">
        <v>32</v>
      </c>
      <c r="V784" s="6">
        <v>3.11</v>
      </c>
      <c r="W784" s="5">
        <v>25.5</v>
      </c>
      <c r="X784" s="5">
        <v>25.5</v>
      </c>
      <c r="Y784" s="6">
        <v>30.25</v>
      </c>
      <c r="Z784" s="4">
        <v>28</v>
      </c>
      <c r="AA784" s="6">
        <v>1.73</v>
      </c>
      <c r="AB784" s="2" t="s">
        <v>86</v>
      </c>
      <c r="AC784" s="2"/>
    </row>
    <row r="785" spans="1:29" ht="52" x14ac:dyDescent="0.15">
      <c r="A785" s="3">
        <f>DATE(1992,3,24)</f>
        <v>33687</v>
      </c>
      <c r="B785" s="2"/>
      <c r="C785" s="2" t="s">
        <v>141</v>
      </c>
      <c r="D785" s="2" t="s">
        <v>2750</v>
      </c>
      <c r="E785" s="2" t="s">
        <v>1756</v>
      </c>
      <c r="F785" s="4">
        <v>8711</v>
      </c>
      <c r="G785" s="2" t="s">
        <v>223</v>
      </c>
      <c r="H785" s="2" t="s">
        <v>34</v>
      </c>
      <c r="I785" s="2" t="s">
        <v>143</v>
      </c>
      <c r="J785" s="2" t="s">
        <v>144</v>
      </c>
      <c r="K785" s="2" t="s">
        <v>53</v>
      </c>
      <c r="L785" s="2" t="s">
        <v>139</v>
      </c>
      <c r="M785" s="2"/>
      <c r="N785" s="2"/>
      <c r="O785" s="2"/>
      <c r="P785" s="2" t="s">
        <v>2751</v>
      </c>
      <c r="Q785" s="2"/>
      <c r="R785" s="2"/>
      <c r="S785" s="5">
        <v>12</v>
      </c>
      <c r="T785" s="2"/>
      <c r="U785" s="5">
        <v>6.3</v>
      </c>
      <c r="V785" s="2"/>
      <c r="W785" s="7">
        <v>9.875</v>
      </c>
      <c r="X785" s="4">
        <v>10</v>
      </c>
      <c r="Y785" s="7">
        <v>10.375</v>
      </c>
      <c r="Z785" s="7">
        <v>10.375</v>
      </c>
      <c r="AA785" s="6">
        <v>14.8</v>
      </c>
      <c r="AB785" s="2" t="s">
        <v>47</v>
      </c>
      <c r="AC785" s="2"/>
    </row>
    <row r="786" spans="1:29" ht="156" x14ac:dyDescent="0.15">
      <c r="A786" s="3">
        <f>DATE(1992,3,24)</f>
        <v>33687</v>
      </c>
      <c r="B786" s="2"/>
      <c r="C786" s="2" t="s">
        <v>30</v>
      </c>
      <c r="D786" s="2" t="s">
        <v>2752</v>
      </c>
      <c r="E786" s="2" t="s">
        <v>1888</v>
      </c>
      <c r="F786" s="4">
        <v>4911</v>
      </c>
      <c r="G786" s="2" t="s">
        <v>439</v>
      </c>
      <c r="H786" s="2" t="s">
        <v>34</v>
      </c>
      <c r="I786" s="2" t="s">
        <v>2753</v>
      </c>
      <c r="J786" s="2" t="s">
        <v>2754</v>
      </c>
      <c r="K786" s="2" t="s">
        <v>439</v>
      </c>
      <c r="L786" s="2" t="s">
        <v>34</v>
      </c>
      <c r="M786" s="2"/>
      <c r="N786" s="7">
        <v>30.875</v>
      </c>
      <c r="O786" s="7">
        <v>30.875</v>
      </c>
      <c r="P786" s="2" t="s">
        <v>2755</v>
      </c>
      <c r="Q786" s="2"/>
      <c r="R786" s="2"/>
      <c r="S786" s="5">
        <v>-266.89999999999998</v>
      </c>
      <c r="T786" s="7">
        <v>98.064999999999998</v>
      </c>
      <c r="U786" s="5">
        <v>-5.4</v>
      </c>
      <c r="V786" s="6">
        <v>-7.75</v>
      </c>
      <c r="W786" s="6">
        <v>3.75</v>
      </c>
      <c r="X786" s="6">
        <v>3.75</v>
      </c>
      <c r="Y786" s="4">
        <v>4</v>
      </c>
      <c r="Z786" s="7">
        <v>3.6880000000000002</v>
      </c>
      <c r="AA786" s="6">
        <v>35.53</v>
      </c>
      <c r="AB786" s="2" t="s">
        <v>47</v>
      </c>
      <c r="AC786" s="6">
        <v>83.24</v>
      </c>
    </row>
    <row r="787" spans="1:29" ht="156" x14ac:dyDescent="0.15">
      <c r="A787" s="3">
        <f>DATE(1992,3,25)</f>
        <v>33688</v>
      </c>
      <c r="B787" s="3">
        <f>DATE(1992,6,30)</f>
        <v>33785</v>
      </c>
      <c r="C787" s="2" t="s">
        <v>95</v>
      </c>
      <c r="D787" s="2" t="s">
        <v>2756</v>
      </c>
      <c r="E787" s="2" t="s">
        <v>2757</v>
      </c>
      <c r="F787" s="4">
        <v>5021</v>
      </c>
      <c r="G787" s="2" t="s">
        <v>76</v>
      </c>
      <c r="H787" s="2" t="s">
        <v>34</v>
      </c>
      <c r="I787" s="2" t="s">
        <v>2758</v>
      </c>
      <c r="J787" s="2" t="s">
        <v>2759</v>
      </c>
      <c r="K787" s="2" t="s">
        <v>73</v>
      </c>
      <c r="L787" s="2" t="s">
        <v>34</v>
      </c>
      <c r="M787" s="2"/>
      <c r="N787" s="2"/>
      <c r="O787" s="2"/>
      <c r="P787" s="2" t="s">
        <v>2760</v>
      </c>
      <c r="Q787" s="6">
        <v>100</v>
      </c>
      <c r="R787" s="6">
        <v>11</v>
      </c>
      <c r="S787" s="5">
        <v>-9.5</v>
      </c>
      <c r="T787" s="7">
        <v>-5.8890000000000002</v>
      </c>
      <c r="U787" s="5">
        <v>2.9</v>
      </c>
      <c r="V787" s="6">
        <v>-1.89</v>
      </c>
      <c r="W787" s="6">
        <v>7.25</v>
      </c>
      <c r="X787" s="4">
        <v>9</v>
      </c>
      <c r="Y787" s="6">
        <v>9.75</v>
      </c>
      <c r="Z787" s="7">
        <v>10.625</v>
      </c>
      <c r="AA787" s="6">
        <v>6.8</v>
      </c>
      <c r="AB787" s="2" t="s">
        <v>86</v>
      </c>
      <c r="AC787" s="2"/>
    </row>
    <row r="788" spans="1:29" ht="39" x14ac:dyDescent="0.15">
      <c r="A788" s="3">
        <f>DATE(1992,3,30)</f>
        <v>33693</v>
      </c>
      <c r="B788" s="2"/>
      <c r="C788" s="2" t="s">
        <v>189</v>
      </c>
      <c r="D788" s="2" t="s">
        <v>2761</v>
      </c>
      <c r="E788" s="2" t="s">
        <v>2762</v>
      </c>
      <c r="F788" s="4">
        <v>3713</v>
      </c>
      <c r="G788" s="2" t="s">
        <v>105</v>
      </c>
      <c r="H788" s="2" t="s">
        <v>34</v>
      </c>
      <c r="I788" s="2" t="s">
        <v>143</v>
      </c>
      <c r="J788" s="2" t="s">
        <v>144</v>
      </c>
      <c r="K788" s="2" t="s">
        <v>53</v>
      </c>
      <c r="L788" s="2" t="s">
        <v>139</v>
      </c>
      <c r="M788" s="2"/>
      <c r="N788" s="2"/>
      <c r="O788" s="2"/>
      <c r="P788" s="2" t="s">
        <v>2763</v>
      </c>
      <c r="Q788" s="2"/>
      <c r="R788" s="2"/>
      <c r="S788" s="5">
        <v>-0.2</v>
      </c>
      <c r="T788" s="6">
        <v>1.37</v>
      </c>
      <c r="U788" s="5">
        <v>-2.8</v>
      </c>
      <c r="V788" s="6">
        <v>-7.0000000000000007E-2</v>
      </c>
      <c r="W788" s="7">
        <v>4.625</v>
      </c>
      <c r="X788" s="7">
        <v>4.625</v>
      </c>
      <c r="Y788" s="7">
        <v>2.875</v>
      </c>
      <c r="Z788" s="5">
        <v>2.5</v>
      </c>
      <c r="AA788" s="6">
        <v>4.03</v>
      </c>
      <c r="AB788" s="2" t="s">
        <v>47</v>
      </c>
      <c r="AC788" s="2"/>
    </row>
    <row r="789" spans="1:29" ht="156" x14ac:dyDescent="0.15">
      <c r="A789" s="3">
        <f>DATE(1992,3,30)</f>
        <v>33693</v>
      </c>
      <c r="B789" s="2"/>
      <c r="C789" s="2" t="s">
        <v>30</v>
      </c>
      <c r="D789" s="2" t="s">
        <v>2613</v>
      </c>
      <c r="E789" s="2" t="s">
        <v>2614</v>
      </c>
      <c r="F789" s="4">
        <v>2869</v>
      </c>
      <c r="G789" s="2" t="s">
        <v>98</v>
      </c>
      <c r="H789" s="2" t="s">
        <v>34</v>
      </c>
      <c r="I789" s="2" t="s">
        <v>2764</v>
      </c>
      <c r="J789" s="2" t="s">
        <v>2765</v>
      </c>
      <c r="K789" s="2" t="s">
        <v>98</v>
      </c>
      <c r="L789" s="2" t="s">
        <v>34</v>
      </c>
      <c r="M789" s="2"/>
      <c r="N789" s="2"/>
      <c r="O789" s="2"/>
      <c r="P789" s="2" t="s">
        <v>2766</v>
      </c>
      <c r="Q789" s="2"/>
      <c r="R789" s="2"/>
      <c r="S789" s="5">
        <v>-42.7</v>
      </c>
      <c r="T789" s="6">
        <v>35.880000000000003</v>
      </c>
      <c r="U789" s="5">
        <v>-3</v>
      </c>
      <c r="V789" s="6">
        <v>-1.36</v>
      </c>
      <c r="W789" s="7">
        <v>1.125</v>
      </c>
      <c r="X789" s="7">
        <v>1.375</v>
      </c>
      <c r="Y789" s="7">
        <v>1.375</v>
      </c>
      <c r="Z789" s="7">
        <v>1.125</v>
      </c>
      <c r="AA789" s="2"/>
      <c r="AB789" s="2" t="s">
        <v>47</v>
      </c>
      <c r="AC789" s="2"/>
    </row>
    <row r="790" spans="1:29" ht="143" x14ac:dyDescent="0.15">
      <c r="A790" s="3">
        <f>DATE(1992,3,31)</f>
        <v>33694</v>
      </c>
      <c r="B790" s="3">
        <f>DATE(1993,6,30)</f>
        <v>34150</v>
      </c>
      <c r="C790" s="2" t="s">
        <v>95</v>
      </c>
      <c r="D790" s="2" t="s">
        <v>142</v>
      </c>
      <c r="E790" s="2" t="s">
        <v>36</v>
      </c>
      <c r="F790" s="4">
        <v>6036</v>
      </c>
      <c r="G790" s="2" t="s">
        <v>33</v>
      </c>
      <c r="H790" s="2" t="s">
        <v>34</v>
      </c>
      <c r="I790" s="2" t="s">
        <v>2767</v>
      </c>
      <c r="J790" s="2" t="s">
        <v>672</v>
      </c>
      <c r="K790" s="2" t="s">
        <v>37</v>
      </c>
      <c r="L790" s="2" t="s">
        <v>34</v>
      </c>
      <c r="M790" s="7">
        <v>65.135000000000005</v>
      </c>
      <c r="N790" s="5">
        <v>7.5</v>
      </c>
      <c r="O790" s="5">
        <v>7.5</v>
      </c>
      <c r="P790" s="2" t="s">
        <v>2768</v>
      </c>
      <c r="Q790" s="6">
        <v>100</v>
      </c>
      <c r="R790" s="6">
        <v>17.75</v>
      </c>
      <c r="S790" s="5">
        <v>1.6</v>
      </c>
      <c r="T790" s="7">
        <v>3.6960000000000002</v>
      </c>
      <c r="U790" s="5">
        <v>16.8</v>
      </c>
      <c r="V790" s="6">
        <v>1</v>
      </c>
      <c r="W790" s="4">
        <v>11</v>
      </c>
      <c r="X790" s="5">
        <v>11.5</v>
      </c>
      <c r="Y790" s="5">
        <v>11.5</v>
      </c>
      <c r="Z790" s="6">
        <v>11.75</v>
      </c>
      <c r="AA790" s="6">
        <v>1.61</v>
      </c>
      <c r="AB790" s="7">
        <v>113.83799999999999</v>
      </c>
      <c r="AC790" s="2"/>
    </row>
    <row r="791" spans="1:29" ht="130" x14ac:dyDescent="0.15">
      <c r="A791" s="3">
        <f>DATE(1992,4,2)</f>
        <v>33696</v>
      </c>
      <c r="B791" s="3">
        <f>DATE(1992,8,3)</f>
        <v>33819</v>
      </c>
      <c r="C791" s="2" t="s">
        <v>95</v>
      </c>
      <c r="D791" s="2" t="s">
        <v>2769</v>
      </c>
      <c r="E791" s="2" t="s">
        <v>2770</v>
      </c>
      <c r="F791" s="4">
        <v>7372</v>
      </c>
      <c r="G791" s="2" t="s">
        <v>551</v>
      </c>
      <c r="H791" s="2" t="s">
        <v>34</v>
      </c>
      <c r="I791" s="2" t="s">
        <v>2771</v>
      </c>
      <c r="J791" s="2" t="s">
        <v>781</v>
      </c>
      <c r="K791" s="2" t="s">
        <v>551</v>
      </c>
      <c r="L791" s="2" t="s">
        <v>34</v>
      </c>
      <c r="M791" s="12">
        <v>1017.432</v>
      </c>
      <c r="N791" s="5">
        <v>36.5</v>
      </c>
      <c r="O791" s="6">
        <v>35.25</v>
      </c>
      <c r="P791" s="2" t="s">
        <v>2772</v>
      </c>
      <c r="Q791" s="6">
        <v>99.9</v>
      </c>
      <c r="R791" s="6">
        <v>21.34</v>
      </c>
      <c r="S791" s="5">
        <v>9.1</v>
      </c>
      <c r="T791" s="6">
        <v>23.09</v>
      </c>
      <c r="U791" s="2"/>
      <c r="V791" s="6">
        <v>0.46</v>
      </c>
      <c r="W791" s="6">
        <v>13.75</v>
      </c>
      <c r="X791" s="6">
        <v>15.25</v>
      </c>
      <c r="Y791" s="6">
        <v>18.75</v>
      </c>
      <c r="Z791" s="7">
        <v>17.625</v>
      </c>
      <c r="AA791" s="6">
        <v>19.100000000000001</v>
      </c>
      <c r="AB791" s="7">
        <v>27.8</v>
      </c>
      <c r="AC791" s="6">
        <v>150.76</v>
      </c>
    </row>
    <row r="792" spans="1:29" ht="143" x14ac:dyDescent="0.15">
      <c r="A792" s="3">
        <f>DATE(1992,4,2)</f>
        <v>33696</v>
      </c>
      <c r="B792" s="3">
        <f>DATE(1992,9,1)</f>
        <v>33848</v>
      </c>
      <c r="C792" s="2" t="s">
        <v>95</v>
      </c>
      <c r="D792" s="2" t="s">
        <v>2773</v>
      </c>
      <c r="E792" s="2" t="s">
        <v>36</v>
      </c>
      <c r="F792" s="4">
        <v>6021</v>
      </c>
      <c r="G792" s="2" t="s">
        <v>37</v>
      </c>
      <c r="H792" s="2" t="s">
        <v>34</v>
      </c>
      <c r="I792" s="2" t="s">
        <v>2774</v>
      </c>
      <c r="J792" s="2" t="s">
        <v>36</v>
      </c>
      <c r="K792" s="2" t="s">
        <v>37</v>
      </c>
      <c r="L792" s="2" t="s">
        <v>34</v>
      </c>
      <c r="M792" s="7">
        <v>142.18299999999999</v>
      </c>
      <c r="N792" s="4">
        <v>32</v>
      </c>
      <c r="O792" s="5">
        <v>30.5</v>
      </c>
      <c r="P792" s="2" t="s">
        <v>2775</v>
      </c>
      <c r="Q792" s="6">
        <v>100</v>
      </c>
      <c r="R792" s="6">
        <v>24.4</v>
      </c>
      <c r="S792" s="5">
        <v>3.5</v>
      </c>
      <c r="T792" s="7">
        <v>5.5620000000000003</v>
      </c>
      <c r="U792" s="5">
        <v>15</v>
      </c>
      <c r="V792" s="6">
        <v>1.55</v>
      </c>
      <c r="W792" s="6">
        <v>10.25</v>
      </c>
      <c r="X792" s="6">
        <v>10.25</v>
      </c>
      <c r="Y792" s="6">
        <v>10.25</v>
      </c>
      <c r="Z792" s="6">
        <v>10.25</v>
      </c>
      <c r="AA792" s="6">
        <v>2.31</v>
      </c>
      <c r="AB792" s="7">
        <v>82.552999999999997</v>
      </c>
      <c r="AC792" s="2"/>
    </row>
    <row r="793" spans="1:29" ht="130" x14ac:dyDescent="0.15">
      <c r="A793" s="3">
        <f>DATE(1992,4,6)</f>
        <v>33700</v>
      </c>
      <c r="B793" s="3">
        <f>DATE(1992,4,6)</f>
        <v>33700</v>
      </c>
      <c r="C793" s="2" t="s">
        <v>95</v>
      </c>
      <c r="D793" s="2" t="s">
        <v>2776</v>
      </c>
      <c r="E793" s="2" t="s">
        <v>2777</v>
      </c>
      <c r="F793" s="4">
        <v>3845</v>
      </c>
      <c r="G793" s="2" t="s">
        <v>226</v>
      </c>
      <c r="H793" s="2" t="s">
        <v>34</v>
      </c>
      <c r="I793" s="2" t="s">
        <v>51</v>
      </c>
      <c r="J793" s="2" t="s">
        <v>52</v>
      </c>
      <c r="K793" s="2" t="s">
        <v>53</v>
      </c>
      <c r="L793" s="2" t="s">
        <v>34</v>
      </c>
      <c r="M793" s="2"/>
      <c r="N793" s="2"/>
      <c r="O793" s="2"/>
      <c r="P793" s="2" t="s">
        <v>2778</v>
      </c>
      <c r="Q793" s="6">
        <v>60.17</v>
      </c>
      <c r="R793" s="2"/>
      <c r="S793" s="5">
        <v>0.5</v>
      </c>
      <c r="T793" s="2"/>
      <c r="U793" s="5">
        <v>1.7</v>
      </c>
      <c r="V793" s="2"/>
      <c r="W793" s="7">
        <v>3.875</v>
      </c>
      <c r="X793" s="7">
        <v>4.375</v>
      </c>
      <c r="Y793" s="5">
        <v>4.5</v>
      </c>
      <c r="Z793" s="6">
        <v>7.25</v>
      </c>
      <c r="AA793" s="6">
        <v>3.32</v>
      </c>
      <c r="AB793" s="2" t="s">
        <v>47</v>
      </c>
      <c r="AC793" s="2"/>
    </row>
    <row r="794" spans="1:29" ht="143" x14ac:dyDescent="0.15">
      <c r="A794" s="3">
        <f>DATE(1992,4,6)</f>
        <v>33700</v>
      </c>
      <c r="B794" s="3">
        <f>DATE(1992,8,24)</f>
        <v>33840</v>
      </c>
      <c r="C794" s="2" t="s">
        <v>95</v>
      </c>
      <c r="D794" s="2" t="s">
        <v>2779</v>
      </c>
      <c r="E794" s="2" t="s">
        <v>2780</v>
      </c>
      <c r="F794" s="4">
        <v>3571</v>
      </c>
      <c r="G794" s="2" t="s">
        <v>50</v>
      </c>
      <c r="H794" s="2" t="s">
        <v>34</v>
      </c>
      <c r="I794" s="2" t="s">
        <v>2781</v>
      </c>
      <c r="J794" s="2" t="s">
        <v>2782</v>
      </c>
      <c r="K794" s="2" t="s">
        <v>112</v>
      </c>
      <c r="L794" s="2" t="s">
        <v>34</v>
      </c>
      <c r="M794" s="2"/>
      <c r="N794" s="7">
        <v>29.125</v>
      </c>
      <c r="O794" s="7">
        <v>28.875</v>
      </c>
      <c r="P794" s="2" t="s">
        <v>2783</v>
      </c>
      <c r="Q794" s="6">
        <v>100</v>
      </c>
      <c r="R794" s="6">
        <v>4.6500000000000004</v>
      </c>
      <c r="S794" s="5">
        <v>0.6</v>
      </c>
      <c r="T794" s="7">
        <v>4.0330000000000004</v>
      </c>
      <c r="U794" s="5">
        <v>1.2</v>
      </c>
      <c r="V794" s="6">
        <v>0.03</v>
      </c>
      <c r="W794" s="7">
        <v>2.8130000000000002</v>
      </c>
      <c r="X794" s="7">
        <v>3.1880000000000002</v>
      </c>
      <c r="Y794" s="6">
        <v>4.75</v>
      </c>
      <c r="Z794" s="7">
        <v>4.6879999999999997</v>
      </c>
      <c r="AA794" s="6">
        <v>20.92</v>
      </c>
      <c r="AB794" s="7">
        <v>230.23500000000001</v>
      </c>
      <c r="AC794" s="6">
        <v>15.52</v>
      </c>
    </row>
    <row r="795" spans="1:29" ht="117" x14ac:dyDescent="0.15">
      <c r="A795" s="3">
        <f>DATE(1992,4,7)</f>
        <v>33701</v>
      </c>
      <c r="B795" s="2"/>
      <c r="C795" s="2" t="s">
        <v>189</v>
      </c>
      <c r="D795" s="2" t="s">
        <v>2784</v>
      </c>
      <c r="E795" s="2" t="s">
        <v>389</v>
      </c>
      <c r="F795" s="4">
        <v>6035</v>
      </c>
      <c r="G795" s="2" t="s">
        <v>33</v>
      </c>
      <c r="H795" s="2" t="s">
        <v>34</v>
      </c>
      <c r="I795" s="2" t="s">
        <v>143</v>
      </c>
      <c r="J795" s="2" t="s">
        <v>144</v>
      </c>
      <c r="K795" s="2" t="s">
        <v>53</v>
      </c>
      <c r="L795" s="2" t="s">
        <v>139</v>
      </c>
      <c r="M795" s="2"/>
      <c r="N795" s="2"/>
      <c r="O795" s="2"/>
      <c r="P795" s="2" t="s">
        <v>2785</v>
      </c>
      <c r="Q795" s="2"/>
      <c r="R795" s="2"/>
      <c r="S795" s="5">
        <v>1</v>
      </c>
      <c r="T795" s="2"/>
      <c r="U795" s="5">
        <v>14.6</v>
      </c>
      <c r="V795" s="2"/>
      <c r="W795" s="6">
        <v>6.75</v>
      </c>
      <c r="X795" s="6">
        <v>7.75</v>
      </c>
      <c r="Y795" s="6">
        <v>7.75</v>
      </c>
      <c r="Z795" s="6">
        <v>7.75</v>
      </c>
      <c r="AA795" s="2"/>
      <c r="AB795" s="2" t="s">
        <v>86</v>
      </c>
      <c r="AC795" s="2"/>
    </row>
    <row r="796" spans="1:29" ht="156" x14ac:dyDescent="0.15">
      <c r="A796" s="3">
        <f>DATE(1992,4,8)</f>
        <v>33702</v>
      </c>
      <c r="B796" s="3">
        <f>DATE(1992,12,29)</f>
        <v>33967</v>
      </c>
      <c r="C796" s="2" t="s">
        <v>95</v>
      </c>
      <c r="D796" s="2" t="s">
        <v>2786</v>
      </c>
      <c r="E796" s="2" t="s">
        <v>2787</v>
      </c>
      <c r="F796" s="4">
        <v>3829</v>
      </c>
      <c r="G796" s="2" t="s">
        <v>226</v>
      </c>
      <c r="H796" s="2" t="s">
        <v>34</v>
      </c>
      <c r="I796" s="2" t="s">
        <v>636</v>
      </c>
      <c r="J796" s="2" t="s">
        <v>637</v>
      </c>
      <c r="K796" s="2" t="s">
        <v>226</v>
      </c>
      <c r="L796" s="2" t="s">
        <v>34</v>
      </c>
      <c r="M796" s="2"/>
      <c r="N796" s="4">
        <v>22</v>
      </c>
      <c r="O796" s="7">
        <v>22.625</v>
      </c>
      <c r="P796" s="2" t="s">
        <v>2788</v>
      </c>
      <c r="Q796" s="6">
        <v>92.7</v>
      </c>
      <c r="R796" s="6">
        <v>21</v>
      </c>
      <c r="S796" s="5">
        <v>-6.3</v>
      </c>
      <c r="T796" s="7">
        <v>14.249000000000001</v>
      </c>
      <c r="U796" s="5">
        <v>8</v>
      </c>
      <c r="V796" s="6">
        <v>-0.86</v>
      </c>
      <c r="W796" s="7">
        <v>10.625</v>
      </c>
      <c r="X796" s="7">
        <v>10.875</v>
      </c>
      <c r="Y796" s="6">
        <v>10.75</v>
      </c>
      <c r="Z796" s="7">
        <v>12.125</v>
      </c>
      <c r="AA796" s="6">
        <v>8.27</v>
      </c>
      <c r="AB796" s="7">
        <v>23.106000000000002</v>
      </c>
      <c r="AC796" s="6">
        <v>154.85</v>
      </c>
    </row>
    <row r="797" spans="1:29" ht="104" x14ac:dyDescent="0.15">
      <c r="A797" s="3">
        <f>DATE(1992,4,9)</f>
        <v>33703</v>
      </c>
      <c r="B797" s="3">
        <f>DATE(1992,5,28)</f>
        <v>33752</v>
      </c>
      <c r="C797" s="2" t="s">
        <v>95</v>
      </c>
      <c r="D797" s="2" t="s">
        <v>2789</v>
      </c>
      <c r="E797" s="2" t="s">
        <v>2790</v>
      </c>
      <c r="F797" s="2" t="s">
        <v>2791</v>
      </c>
      <c r="G797" s="2" t="s">
        <v>426</v>
      </c>
      <c r="H797" s="2" t="s">
        <v>34</v>
      </c>
      <c r="I797" s="2" t="s">
        <v>2792</v>
      </c>
      <c r="J797" s="2" t="s">
        <v>2793</v>
      </c>
      <c r="K797" s="2" t="s">
        <v>577</v>
      </c>
      <c r="L797" s="2" t="s">
        <v>34</v>
      </c>
      <c r="M797" s="2"/>
      <c r="N797" s="2"/>
      <c r="O797" s="2"/>
      <c r="P797" s="2" t="s">
        <v>2794</v>
      </c>
      <c r="Q797" s="6">
        <v>52.3</v>
      </c>
      <c r="R797" s="2"/>
      <c r="S797" s="5">
        <v>-1.4</v>
      </c>
      <c r="T797" s="6">
        <v>7.59</v>
      </c>
      <c r="U797" s="5">
        <v>8.1999999999999993</v>
      </c>
      <c r="V797" s="6">
        <v>-0.14000000000000001</v>
      </c>
      <c r="W797" s="7">
        <v>5.625</v>
      </c>
      <c r="X797" s="7">
        <v>5.375</v>
      </c>
      <c r="Y797" s="6">
        <v>6.25</v>
      </c>
      <c r="Z797" s="5">
        <v>6.5</v>
      </c>
      <c r="AA797" s="2"/>
      <c r="AB797" s="7">
        <v>24.873999999999999</v>
      </c>
      <c r="AC797" s="2"/>
    </row>
    <row r="798" spans="1:29" ht="169" x14ac:dyDescent="0.15">
      <c r="A798" s="3">
        <f>DATE(1992,4,9)</f>
        <v>33703</v>
      </c>
      <c r="B798" s="2"/>
      <c r="C798" s="2" t="s">
        <v>30</v>
      </c>
      <c r="D798" s="2" t="s">
        <v>305</v>
      </c>
      <c r="E798" s="2" t="s">
        <v>306</v>
      </c>
      <c r="F798" s="4">
        <v>7822</v>
      </c>
      <c r="G798" s="2" t="s">
        <v>42</v>
      </c>
      <c r="H798" s="2" t="s">
        <v>34</v>
      </c>
      <c r="I798" s="2" t="s">
        <v>2795</v>
      </c>
      <c r="J798" s="2" t="s">
        <v>2796</v>
      </c>
      <c r="K798" s="2" t="s">
        <v>42</v>
      </c>
      <c r="L798" s="2" t="s">
        <v>34</v>
      </c>
      <c r="M798" s="2"/>
      <c r="N798" s="2"/>
      <c r="O798" s="2"/>
      <c r="P798" s="2" t="s">
        <v>2797</v>
      </c>
      <c r="Q798" s="2"/>
      <c r="R798" s="2"/>
      <c r="S798" s="5">
        <v>-63</v>
      </c>
      <c r="T798" s="7">
        <v>437.08300000000003</v>
      </c>
      <c r="U798" s="5">
        <v>6.6</v>
      </c>
      <c r="V798" s="6">
        <v>-3.03</v>
      </c>
      <c r="W798" s="5">
        <v>2.5</v>
      </c>
      <c r="X798" s="7">
        <v>2.375</v>
      </c>
      <c r="Y798" s="5">
        <v>2.5</v>
      </c>
      <c r="Z798" s="6">
        <v>3.75</v>
      </c>
      <c r="AA798" s="2"/>
      <c r="AB798" s="2" t="s">
        <v>86</v>
      </c>
      <c r="AC798" s="2"/>
    </row>
    <row r="799" spans="1:29" ht="156" x14ac:dyDescent="0.15">
      <c r="A799" s="3">
        <f>DATE(1992,4,11)</f>
        <v>33705</v>
      </c>
      <c r="B799" s="2"/>
      <c r="C799" s="2" t="s">
        <v>30</v>
      </c>
      <c r="D799" s="2" t="s">
        <v>2798</v>
      </c>
      <c r="E799" s="2" t="s">
        <v>36</v>
      </c>
      <c r="F799" s="4">
        <v>6712</v>
      </c>
      <c r="G799" s="2" t="s">
        <v>37</v>
      </c>
      <c r="H799" s="2" t="s">
        <v>34</v>
      </c>
      <c r="I799" s="2" t="s">
        <v>2799</v>
      </c>
      <c r="J799" s="2" t="s">
        <v>2800</v>
      </c>
      <c r="K799" s="2" t="s">
        <v>109</v>
      </c>
      <c r="L799" s="2" t="s">
        <v>34</v>
      </c>
      <c r="M799" s="2"/>
      <c r="N799" s="2"/>
      <c r="O799" s="2"/>
      <c r="P799" s="2" t="s">
        <v>2801</v>
      </c>
      <c r="Q799" s="2"/>
      <c r="R799" s="2"/>
      <c r="S799" s="5">
        <v>-224.8</v>
      </c>
      <c r="T799" s="7">
        <v>-186.55699999999999</v>
      </c>
      <c r="U799" s="5">
        <v>5.0999999999999996</v>
      </c>
      <c r="V799" s="6">
        <v>-13.35</v>
      </c>
      <c r="W799" s="7">
        <v>5.125</v>
      </c>
      <c r="X799" s="4">
        <v>5</v>
      </c>
      <c r="Y799" s="7">
        <v>4.875</v>
      </c>
      <c r="Z799" s="7">
        <v>4.375</v>
      </c>
      <c r="AA799" s="2"/>
      <c r="AB799" s="2" t="s">
        <v>86</v>
      </c>
      <c r="AC799" s="2"/>
    </row>
    <row r="800" spans="1:29" ht="130" x14ac:dyDescent="0.15">
      <c r="A800" s="3">
        <f>DATE(1992,4,13)</f>
        <v>33707</v>
      </c>
      <c r="B800" s="3">
        <f>DATE(1992,7,14)</f>
        <v>33799</v>
      </c>
      <c r="C800" s="2" t="s">
        <v>95</v>
      </c>
      <c r="D800" s="2" t="s">
        <v>2802</v>
      </c>
      <c r="E800" s="2" t="s">
        <v>36</v>
      </c>
      <c r="F800" s="4">
        <v>6022</v>
      </c>
      <c r="G800" s="2" t="s">
        <v>37</v>
      </c>
      <c r="H800" s="2" t="s">
        <v>34</v>
      </c>
      <c r="I800" s="2" t="s">
        <v>51</v>
      </c>
      <c r="J800" s="2" t="s">
        <v>52</v>
      </c>
      <c r="K800" s="2" t="s">
        <v>53</v>
      </c>
      <c r="L800" s="2" t="s">
        <v>2803</v>
      </c>
      <c r="M800" s="2"/>
      <c r="N800" s="2"/>
      <c r="O800" s="2"/>
      <c r="P800" s="2" t="s">
        <v>2804</v>
      </c>
      <c r="Q800" s="6">
        <v>70.89</v>
      </c>
      <c r="R800" s="6">
        <v>2.5</v>
      </c>
      <c r="S800" s="5">
        <v>-9.1999999999999993</v>
      </c>
      <c r="T800" s="2"/>
      <c r="U800" s="2"/>
      <c r="V800" s="2"/>
      <c r="W800" s="7">
        <v>3.625</v>
      </c>
      <c r="X800" s="7">
        <v>3.875</v>
      </c>
      <c r="Y800" s="7">
        <v>3.875</v>
      </c>
      <c r="Z800" s="6">
        <v>3.75</v>
      </c>
      <c r="AA800" s="6">
        <v>2.7</v>
      </c>
      <c r="AB800" s="2" t="s">
        <v>86</v>
      </c>
      <c r="AC800" s="2"/>
    </row>
    <row r="801" spans="1:29" ht="143" x14ac:dyDescent="0.15">
      <c r="A801" s="3">
        <f>DATE(1992,4,13)</f>
        <v>33707</v>
      </c>
      <c r="B801" s="2"/>
      <c r="C801" s="2" t="s">
        <v>82</v>
      </c>
      <c r="D801" s="2" t="s">
        <v>2798</v>
      </c>
      <c r="E801" s="2" t="s">
        <v>36</v>
      </c>
      <c r="F801" s="4">
        <v>6712</v>
      </c>
      <c r="G801" s="2" t="s">
        <v>37</v>
      </c>
      <c r="H801" s="2" t="s">
        <v>34</v>
      </c>
      <c r="I801" s="2" t="s">
        <v>2805</v>
      </c>
      <c r="J801" s="2" t="s">
        <v>36</v>
      </c>
      <c r="K801" s="2" t="s">
        <v>37</v>
      </c>
      <c r="L801" s="2" t="s">
        <v>34</v>
      </c>
      <c r="M801" s="2"/>
      <c r="N801" s="2"/>
      <c r="O801" s="2"/>
      <c r="P801" s="2" t="s">
        <v>2806</v>
      </c>
      <c r="Q801" s="2"/>
      <c r="R801" s="2"/>
      <c r="S801" s="5">
        <v>-224.8</v>
      </c>
      <c r="T801" s="7">
        <v>-186.55699999999999</v>
      </c>
      <c r="U801" s="5">
        <v>5.0999999999999996</v>
      </c>
      <c r="V801" s="6">
        <v>-13.35</v>
      </c>
      <c r="W801" s="7">
        <v>5.125</v>
      </c>
      <c r="X801" s="4">
        <v>5</v>
      </c>
      <c r="Y801" s="7">
        <v>4.875</v>
      </c>
      <c r="Z801" s="7">
        <v>4.375</v>
      </c>
      <c r="AA801" s="2"/>
      <c r="AB801" s="2" t="s">
        <v>86</v>
      </c>
      <c r="AC801" s="2"/>
    </row>
    <row r="802" spans="1:29" ht="117" x14ac:dyDescent="0.15">
      <c r="A802" s="3">
        <f>DATE(1992,4,14)</f>
        <v>33708</v>
      </c>
      <c r="B802" s="3">
        <f>DATE(1993,3,31)</f>
        <v>34059</v>
      </c>
      <c r="C802" s="2" t="s">
        <v>95</v>
      </c>
      <c r="D802" s="2" t="s">
        <v>2807</v>
      </c>
      <c r="E802" s="2" t="s">
        <v>36</v>
      </c>
      <c r="F802" s="4">
        <v>6021</v>
      </c>
      <c r="G802" s="2" t="s">
        <v>37</v>
      </c>
      <c r="H802" s="2" t="s">
        <v>34</v>
      </c>
      <c r="I802" s="2" t="s">
        <v>1612</v>
      </c>
      <c r="J802" s="2" t="s">
        <v>263</v>
      </c>
      <c r="K802" s="2" t="s">
        <v>37</v>
      </c>
      <c r="L802" s="2" t="s">
        <v>34</v>
      </c>
      <c r="M802" s="12">
        <v>9508.9449999999997</v>
      </c>
      <c r="N802" s="7">
        <v>45.625</v>
      </c>
      <c r="O802" s="7">
        <v>44.375</v>
      </c>
      <c r="P802" s="2" t="s">
        <v>2808</v>
      </c>
      <c r="Q802" s="6">
        <v>100</v>
      </c>
      <c r="R802" s="6">
        <v>56.55</v>
      </c>
      <c r="S802" s="5">
        <v>34.6</v>
      </c>
      <c r="T802" s="7">
        <v>67.869</v>
      </c>
      <c r="U802" s="5">
        <v>24.9</v>
      </c>
      <c r="V802" s="6">
        <v>1.72</v>
      </c>
      <c r="W802" s="7">
        <v>33.875</v>
      </c>
      <c r="X802" s="4">
        <v>38</v>
      </c>
      <c r="Y802" s="6">
        <v>49.75</v>
      </c>
      <c r="Z802" s="7">
        <v>47.875</v>
      </c>
      <c r="AA802" s="6">
        <v>21.67</v>
      </c>
      <c r="AB802" s="7">
        <v>280.67399999999998</v>
      </c>
      <c r="AC802" s="2"/>
    </row>
    <row r="803" spans="1:29" ht="117" x14ac:dyDescent="0.15">
      <c r="A803" s="3">
        <f>DATE(1992,4,16)</f>
        <v>33710</v>
      </c>
      <c r="B803" s="2"/>
      <c r="C803" s="2" t="s">
        <v>30</v>
      </c>
      <c r="D803" s="2" t="s">
        <v>2809</v>
      </c>
      <c r="E803" s="2" t="s">
        <v>36</v>
      </c>
      <c r="F803" s="4">
        <v>6512</v>
      </c>
      <c r="G803" s="2" t="s">
        <v>109</v>
      </c>
      <c r="H803" s="2" t="s">
        <v>34</v>
      </c>
      <c r="I803" s="2" t="s">
        <v>1963</v>
      </c>
      <c r="J803" s="2" t="s">
        <v>36</v>
      </c>
      <c r="K803" s="2" t="s">
        <v>37</v>
      </c>
      <c r="L803" s="2" t="s">
        <v>34</v>
      </c>
      <c r="M803" s="2"/>
      <c r="N803" s="6">
        <v>46.75</v>
      </c>
      <c r="O803" s="6">
        <v>46.75</v>
      </c>
      <c r="P803" s="2" t="s">
        <v>2810</v>
      </c>
      <c r="Q803" s="2"/>
      <c r="R803" s="6">
        <v>42</v>
      </c>
      <c r="S803" s="5">
        <v>65.8</v>
      </c>
      <c r="T803" s="7">
        <v>115.592</v>
      </c>
      <c r="U803" s="5">
        <v>2.1</v>
      </c>
      <c r="V803" s="7">
        <v>0.249</v>
      </c>
      <c r="W803" s="6">
        <v>27.25</v>
      </c>
      <c r="X803" s="6">
        <v>29.25</v>
      </c>
      <c r="Y803" s="5">
        <v>28.5</v>
      </c>
      <c r="Z803" s="7">
        <v>36.875</v>
      </c>
      <c r="AA803" s="6">
        <v>28.9</v>
      </c>
      <c r="AB803" s="7">
        <v>176.45599999999999</v>
      </c>
      <c r="AC803" s="2"/>
    </row>
    <row r="804" spans="1:29" ht="117" x14ac:dyDescent="0.15">
      <c r="A804" s="3">
        <f>DATE(1992,4,20)</f>
        <v>33714</v>
      </c>
      <c r="B804" s="2"/>
      <c r="C804" s="2" t="s">
        <v>30</v>
      </c>
      <c r="D804" s="2" t="s">
        <v>2811</v>
      </c>
      <c r="E804" s="2" t="s">
        <v>2812</v>
      </c>
      <c r="F804" s="4">
        <v>4812</v>
      </c>
      <c r="G804" s="2" t="s">
        <v>63</v>
      </c>
      <c r="H804" s="2" t="s">
        <v>34</v>
      </c>
      <c r="I804" s="2" t="s">
        <v>2813</v>
      </c>
      <c r="J804" s="2" t="s">
        <v>2814</v>
      </c>
      <c r="K804" s="2" t="s">
        <v>63</v>
      </c>
      <c r="L804" s="2" t="s">
        <v>34</v>
      </c>
      <c r="M804" s="2"/>
      <c r="N804" s="7">
        <v>13.125</v>
      </c>
      <c r="O804" s="7">
        <v>13.125</v>
      </c>
      <c r="P804" s="2" t="s">
        <v>2815</v>
      </c>
      <c r="Q804" s="2"/>
      <c r="R804" s="2"/>
      <c r="S804" s="5">
        <v>-5.7</v>
      </c>
      <c r="T804" s="7">
        <v>2.7789999999999999</v>
      </c>
      <c r="U804" s="5">
        <v>2.4</v>
      </c>
      <c r="V804" s="2"/>
      <c r="W804" s="4">
        <v>5</v>
      </c>
      <c r="X804" s="4">
        <v>5</v>
      </c>
      <c r="Y804" s="6">
        <v>5.75</v>
      </c>
      <c r="Z804" s="7">
        <v>5.875</v>
      </c>
      <c r="AA804" s="6">
        <v>6.02</v>
      </c>
      <c r="AB804" s="2" t="s">
        <v>47</v>
      </c>
      <c r="AC804" s="6">
        <v>13.39</v>
      </c>
    </row>
    <row r="805" spans="1:29" ht="26" x14ac:dyDescent="0.15">
      <c r="A805" s="3">
        <f>DATE(1992,4,21)</f>
        <v>33715</v>
      </c>
      <c r="B805" s="2"/>
      <c r="C805" s="2" t="s">
        <v>30</v>
      </c>
      <c r="D805" s="2" t="s">
        <v>2091</v>
      </c>
      <c r="E805" s="2" t="s">
        <v>781</v>
      </c>
      <c r="F805" s="4">
        <v>7372</v>
      </c>
      <c r="G805" s="2" t="s">
        <v>551</v>
      </c>
      <c r="H805" s="2" t="s">
        <v>34</v>
      </c>
      <c r="I805" s="2" t="s">
        <v>552</v>
      </c>
      <c r="J805" s="2" t="s">
        <v>553</v>
      </c>
      <c r="K805" s="2" t="s">
        <v>551</v>
      </c>
      <c r="L805" s="2" t="s">
        <v>34</v>
      </c>
      <c r="M805" s="2"/>
      <c r="N805" s="5">
        <v>30.5</v>
      </c>
      <c r="O805" s="6">
        <v>31.75</v>
      </c>
      <c r="P805" s="2" t="s">
        <v>2816</v>
      </c>
      <c r="Q805" s="2"/>
      <c r="R805" s="2"/>
      <c r="S805" s="5">
        <v>-110.4</v>
      </c>
      <c r="T805" s="7">
        <v>39.844999999999999</v>
      </c>
      <c r="U805" s="5">
        <v>8.8000000000000007</v>
      </c>
      <c r="V805" s="6">
        <v>-4.29</v>
      </c>
      <c r="W805" s="6">
        <v>51.75</v>
      </c>
      <c r="X805" s="5">
        <v>54.5</v>
      </c>
      <c r="Y805" s="5">
        <v>51.5</v>
      </c>
      <c r="Z805" s="6">
        <v>48.75</v>
      </c>
      <c r="AA805" s="2"/>
      <c r="AB805" s="2" t="s">
        <v>47</v>
      </c>
      <c r="AC805" s="6">
        <v>224.81</v>
      </c>
    </row>
    <row r="806" spans="1:29" ht="156" x14ac:dyDescent="0.15">
      <c r="A806" s="3">
        <f>DATE(1992,4,21)</f>
        <v>33715</v>
      </c>
      <c r="B806" s="2"/>
      <c r="C806" s="2" t="s">
        <v>39</v>
      </c>
      <c r="D806" s="2" t="s">
        <v>2798</v>
      </c>
      <c r="E806" s="2" t="s">
        <v>36</v>
      </c>
      <c r="F806" s="4">
        <v>6712</v>
      </c>
      <c r="G806" s="2" t="s">
        <v>37</v>
      </c>
      <c r="H806" s="2" t="s">
        <v>34</v>
      </c>
      <c r="I806" s="2" t="s">
        <v>51</v>
      </c>
      <c r="J806" s="2" t="s">
        <v>52</v>
      </c>
      <c r="K806" s="2" t="s">
        <v>53</v>
      </c>
      <c r="L806" s="2" t="s">
        <v>34</v>
      </c>
      <c r="M806" s="2"/>
      <c r="N806" s="2"/>
      <c r="O806" s="2"/>
      <c r="P806" s="2" t="s">
        <v>2817</v>
      </c>
      <c r="Q806" s="2"/>
      <c r="R806" s="2"/>
      <c r="S806" s="5">
        <v>-224.8</v>
      </c>
      <c r="T806" s="7">
        <v>-186.55699999999999</v>
      </c>
      <c r="U806" s="5">
        <v>5.0999999999999996</v>
      </c>
      <c r="V806" s="6">
        <v>-13.35</v>
      </c>
      <c r="W806" s="7">
        <v>5.125</v>
      </c>
      <c r="X806" s="4">
        <v>5</v>
      </c>
      <c r="Y806" s="7">
        <v>4.875</v>
      </c>
      <c r="Z806" s="7">
        <v>4.375</v>
      </c>
      <c r="AA806" s="2"/>
      <c r="AB806" s="2" t="s">
        <v>86</v>
      </c>
      <c r="AC806" s="2"/>
    </row>
    <row r="807" spans="1:29" ht="143" x14ac:dyDescent="0.15">
      <c r="A807" s="3">
        <f>DATE(1992,4,21)</f>
        <v>33715</v>
      </c>
      <c r="B807" s="3">
        <f>DATE(1993,2,26)</f>
        <v>34026</v>
      </c>
      <c r="C807" s="2" t="s">
        <v>95</v>
      </c>
      <c r="D807" s="2" t="s">
        <v>2818</v>
      </c>
      <c r="E807" s="2" t="s">
        <v>32</v>
      </c>
      <c r="F807" s="4">
        <v>6035</v>
      </c>
      <c r="G807" s="2" t="s">
        <v>33</v>
      </c>
      <c r="H807" s="2" t="s">
        <v>34</v>
      </c>
      <c r="I807" s="2" t="s">
        <v>671</v>
      </c>
      <c r="J807" s="2" t="s">
        <v>672</v>
      </c>
      <c r="K807" s="2" t="s">
        <v>37</v>
      </c>
      <c r="L807" s="2" t="s">
        <v>34</v>
      </c>
      <c r="M807" s="2"/>
      <c r="N807" s="5">
        <v>15.5</v>
      </c>
      <c r="O807" s="7">
        <v>15.625</v>
      </c>
      <c r="P807" s="2" t="s">
        <v>2819</v>
      </c>
      <c r="Q807" s="6">
        <v>100</v>
      </c>
      <c r="R807" s="6">
        <v>7.59</v>
      </c>
      <c r="S807" s="5">
        <v>2.1</v>
      </c>
      <c r="T807" s="2"/>
      <c r="U807" s="5">
        <v>10</v>
      </c>
      <c r="V807" s="2"/>
      <c r="W807" s="5">
        <v>4.5</v>
      </c>
      <c r="X807" s="4">
        <v>5</v>
      </c>
      <c r="Y807" s="5">
        <v>5.5</v>
      </c>
      <c r="Z807" s="4">
        <v>6</v>
      </c>
      <c r="AA807" s="6">
        <v>2.44</v>
      </c>
      <c r="AB807" s="2" t="s">
        <v>86</v>
      </c>
      <c r="AC807" s="2"/>
    </row>
    <row r="808" spans="1:29" ht="65" x14ac:dyDescent="0.15">
      <c r="A808" s="3">
        <f>DATE(1992,4,22)</f>
        <v>33716</v>
      </c>
      <c r="B808" s="2"/>
      <c r="C808" s="2" t="s">
        <v>87</v>
      </c>
      <c r="D808" s="2" t="s">
        <v>2820</v>
      </c>
      <c r="E808" s="2" t="s">
        <v>2821</v>
      </c>
      <c r="F808" s="4">
        <v>2833</v>
      </c>
      <c r="G808" s="2" t="s">
        <v>130</v>
      </c>
      <c r="H808" s="2" t="s">
        <v>34</v>
      </c>
      <c r="I808" s="2" t="s">
        <v>2822</v>
      </c>
      <c r="J808" s="2" t="s">
        <v>839</v>
      </c>
      <c r="K808" s="2" t="s">
        <v>130</v>
      </c>
      <c r="L808" s="2" t="s">
        <v>2823</v>
      </c>
      <c r="M808" s="2"/>
      <c r="N808" s="2"/>
      <c r="O808" s="2"/>
      <c r="P808" s="2" t="s">
        <v>2824</v>
      </c>
      <c r="Q808" s="2"/>
      <c r="R808" s="2"/>
      <c r="S808" s="5">
        <v>5.0999999999999996</v>
      </c>
      <c r="T808" s="7">
        <v>32.872999999999998</v>
      </c>
      <c r="U808" s="5">
        <v>6.7</v>
      </c>
      <c r="V808" s="6">
        <v>0.3</v>
      </c>
      <c r="W808" s="7">
        <v>23.125</v>
      </c>
      <c r="X808" s="4">
        <v>23</v>
      </c>
      <c r="Y808" s="7">
        <v>22.875</v>
      </c>
      <c r="Z808" s="7">
        <v>22.625</v>
      </c>
      <c r="AA808" s="6">
        <v>16.920000000000002</v>
      </c>
      <c r="AB808" s="2" t="s">
        <v>47</v>
      </c>
      <c r="AC808" s="2"/>
    </row>
    <row r="809" spans="1:29" ht="52" x14ac:dyDescent="0.15">
      <c r="A809" s="3">
        <f>DATE(1992,4,22)</f>
        <v>33716</v>
      </c>
      <c r="B809" s="2"/>
      <c r="C809" s="2" t="s">
        <v>30</v>
      </c>
      <c r="D809" s="2" t="s">
        <v>2825</v>
      </c>
      <c r="E809" s="2" t="s">
        <v>1046</v>
      </c>
      <c r="F809" s="4">
        <v>3674</v>
      </c>
      <c r="G809" s="2" t="s">
        <v>137</v>
      </c>
      <c r="H809" s="2" t="s">
        <v>34</v>
      </c>
      <c r="I809" s="2" t="s">
        <v>2826</v>
      </c>
      <c r="J809" s="2" t="s">
        <v>2827</v>
      </c>
      <c r="K809" s="2" t="s">
        <v>137</v>
      </c>
      <c r="L809" s="2" t="s">
        <v>34</v>
      </c>
      <c r="M809" s="2"/>
      <c r="N809" s="5">
        <v>6.5</v>
      </c>
      <c r="O809" s="5">
        <v>6.5</v>
      </c>
      <c r="P809" s="2" t="s">
        <v>2828</v>
      </c>
      <c r="Q809" s="2"/>
      <c r="R809" s="6">
        <v>4.5</v>
      </c>
      <c r="S809" s="5">
        <v>0.1</v>
      </c>
      <c r="T809" s="7">
        <v>4.8719999999999999</v>
      </c>
      <c r="U809" s="5">
        <v>1.7</v>
      </c>
      <c r="V809" s="9">
        <v>6.7000000000000002E-3</v>
      </c>
      <c r="W809" s="6">
        <v>2.25</v>
      </c>
      <c r="X809" s="7">
        <v>2.125</v>
      </c>
      <c r="Y809" s="7">
        <v>3.375</v>
      </c>
      <c r="Z809" s="7">
        <v>3.625</v>
      </c>
      <c r="AA809" s="6">
        <v>7.4</v>
      </c>
      <c r="AB809" s="7">
        <v>3460.5309999999999</v>
      </c>
      <c r="AC809" s="6">
        <v>50.19</v>
      </c>
    </row>
    <row r="810" spans="1:29" ht="130" x14ac:dyDescent="0.15">
      <c r="A810" s="3">
        <f>DATE(1992,4,23)</f>
        <v>33717</v>
      </c>
      <c r="B810" s="2"/>
      <c r="C810" s="2" t="s">
        <v>30</v>
      </c>
      <c r="D810" s="2" t="s">
        <v>2829</v>
      </c>
      <c r="E810" s="2" t="s">
        <v>32</v>
      </c>
      <c r="F810" s="4">
        <v>6035</v>
      </c>
      <c r="G810" s="2" t="s">
        <v>33</v>
      </c>
      <c r="H810" s="2" t="s">
        <v>34</v>
      </c>
      <c r="I810" s="2" t="s">
        <v>2830</v>
      </c>
      <c r="J810" s="2" t="s">
        <v>36</v>
      </c>
      <c r="K810" s="2" t="s">
        <v>37</v>
      </c>
      <c r="L810" s="2" t="s">
        <v>34</v>
      </c>
      <c r="M810" s="2"/>
      <c r="N810" s="4">
        <v>28</v>
      </c>
      <c r="O810" s="7">
        <v>27.375</v>
      </c>
      <c r="P810" s="2" t="s">
        <v>2831</v>
      </c>
      <c r="Q810" s="2"/>
      <c r="R810" s="6">
        <v>19</v>
      </c>
      <c r="S810" s="5">
        <v>0.9</v>
      </c>
      <c r="T810" s="7">
        <v>2.2130000000000001</v>
      </c>
      <c r="U810" s="5">
        <v>19.3</v>
      </c>
      <c r="V810" s="6">
        <v>1.39</v>
      </c>
      <c r="W810" s="6">
        <v>13.75</v>
      </c>
      <c r="X810" s="6">
        <v>13.75</v>
      </c>
      <c r="Y810" s="4">
        <v>20</v>
      </c>
      <c r="Z810" s="4">
        <v>20</v>
      </c>
      <c r="AA810" s="6">
        <v>0.65</v>
      </c>
      <c r="AB810" s="2" t="s">
        <v>86</v>
      </c>
      <c r="AC810" s="2"/>
    </row>
    <row r="811" spans="1:29" ht="130" x14ac:dyDescent="0.15">
      <c r="A811" s="3">
        <f>DATE(1992,4,24)</f>
        <v>33718</v>
      </c>
      <c r="B811" s="2"/>
      <c r="C811" s="2" t="s">
        <v>82</v>
      </c>
      <c r="D811" s="2" t="s">
        <v>2809</v>
      </c>
      <c r="E811" s="2" t="s">
        <v>36</v>
      </c>
      <c r="F811" s="4">
        <v>6512</v>
      </c>
      <c r="G811" s="2" t="s">
        <v>109</v>
      </c>
      <c r="H811" s="2" t="s">
        <v>34</v>
      </c>
      <c r="I811" s="2" t="s">
        <v>138</v>
      </c>
      <c r="J811" s="2" t="s">
        <v>139</v>
      </c>
      <c r="K811" s="2" t="s">
        <v>53</v>
      </c>
      <c r="L811" s="2" t="s">
        <v>139</v>
      </c>
      <c r="M811" s="2"/>
      <c r="N811" s="2"/>
      <c r="O811" s="2"/>
      <c r="P811" s="2" t="s">
        <v>2832</v>
      </c>
      <c r="Q811" s="2"/>
      <c r="R811" s="2"/>
      <c r="S811" s="5">
        <v>65.8</v>
      </c>
      <c r="T811" s="7">
        <v>115.592</v>
      </c>
      <c r="U811" s="5">
        <v>2.1</v>
      </c>
      <c r="V811" s="7">
        <v>0.249</v>
      </c>
      <c r="W811" s="6">
        <v>27.25</v>
      </c>
      <c r="X811" s="6">
        <v>29.25</v>
      </c>
      <c r="Y811" s="5">
        <v>28.5</v>
      </c>
      <c r="Z811" s="5">
        <v>28.5</v>
      </c>
      <c r="AA811" s="6">
        <v>28.9</v>
      </c>
      <c r="AB811" s="2" t="s">
        <v>47</v>
      </c>
      <c r="AC811" s="2"/>
    </row>
    <row r="812" spans="1:29" ht="143" x14ac:dyDescent="0.15">
      <c r="A812" s="3">
        <f>DATE(1992,4,30)</f>
        <v>33724</v>
      </c>
      <c r="B812" s="3">
        <f>DATE(1992,12,18)</f>
        <v>33956</v>
      </c>
      <c r="C812" s="2" t="s">
        <v>95</v>
      </c>
      <c r="D812" s="2" t="s">
        <v>2833</v>
      </c>
      <c r="E812" s="2" t="s">
        <v>36</v>
      </c>
      <c r="F812" s="4">
        <v>6035</v>
      </c>
      <c r="G812" s="2" t="s">
        <v>33</v>
      </c>
      <c r="H812" s="2" t="s">
        <v>34</v>
      </c>
      <c r="I812" s="2" t="s">
        <v>2830</v>
      </c>
      <c r="J812" s="2" t="s">
        <v>36</v>
      </c>
      <c r="K812" s="2" t="s">
        <v>37</v>
      </c>
      <c r="L812" s="2" t="s">
        <v>34</v>
      </c>
      <c r="M812" s="12">
        <v>2100.1239999999998</v>
      </c>
      <c r="N812" s="5">
        <v>27.5</v>
      </c>
      <c r="O812" s="6">
        <v>25.75</v>
      </c>
      <c r="P812" s="2" t="s">
        <v>2834</v>
      </c>
      <c r="Q812" s="6">
        <v>95.12</v>
      </c>
      <c r="R812" s="6">
        <v>15.47</v>
      </c>
      <c r="S812" s="5">
        <v>15.3</v>
      </c>
      <c r="T812" s="7">
        <v>10.853</v>
      </c>
      <c r="U812" s="5">
        <v>13.6</v>
      </c>
      <c r="V812" s="6">
        <v>1.57</v>
      </c>
      <c r="W812" s="6">
        <v>10.25</v>
      </c>
      <c r="X812" s="7">
        <v>9.875</v>
      </c>
      <c r="Y812" s="7">
        <v>9.625</v>
      </c>
      <c r="Z812" s="6">
        <v>13.25</v>
      </c>
      <c r="AA812" s="6">
        <v>9.3699999999999992</v>
      </c>
      <c r="AB812" s="7">
        <v>241.96299999999999</v>
      </c>
      <c r="AC812" s="2"/>
    </row>
    <row r="813" spans="1:29" ht="156" x14ac:dyDescent="0.15">
      <c r="A813" s="3">
        <f>DATE(1992,5,1)</f>
        <v>33725</v>
      </c>
      <c r="B813" s="3">
        <f>DATE(1993,3,30)</f>
        <v>34058</v>
      </c>
      <c r="C813" s="2" t="s">
        <v>95</v>
      </c>
      <c r="D813" s="2" t="s">
        <v>2835</v>
      </c>
      <c r="E813" s="2" t="s">
        <v>2836</v>
      </c>
      <c r="F813" s="4">
        <v>7812</v>
      </c>
      <c r="G813" s="2" t="s">
        <v>42</v>
      </c>
      <c r="H813" s="2" t="s">
        <v>34</v>
      </c>
      <c r="I813" s="2" t="s">
        <v>51</v>
      </c>
      <c r="J813" s="2" t="s">
        <v>52</v>
      </c>
      <c r="K813" s="2" t="s">
        <v>53</v>
      </c>
      <c r="L813" s="2" t="s">
        <v>34</v>
      </c>
      <c r="M813" s="2"/>
      <c r="N813" s="2"/>
      <c r="O813" s="2"/>
      <c r="P813" s="2" t="s">
        <v>2837</v>
      </c>
      <c r="Q813" s="6">
        <v>64.069999999999993</v>
      </c>
      <c r="R813" s="6">
        <v>9</v>
      </c>
      <c r="S813" s="5">
        <v>-1.3</v>
      </c>
      <c r="T813" s="7">
        <v>8.4190000000000005</v>
      </c>
      <c r="U813" s="5">
        <v>3.4</v>
      </c>
      <c r="V813" s="6">
        <v>-0.25</v>
      </c>
      <c r="W813" s="4">
        <v>10</v>
      </c>
      <c r="X813" s="6">
        <v>9.75</v>
      </c>
      <c r="Y813" s="6">
        <v>9.75</v>
      </c>
      <c r="Z813" s="4">
        <v>9</v>
      </c>
      <c r="AA813" s="6">
        <v>5.66</v>
      </c>
      <c r="AB813" s="2" t="s">
        <v>86</v>
      </c>
      <c r="AC813" s="2"/>
    </row>
    <row r="814" spans="1:29" ht="156" x14ac:dyDescent="0.15">
      <c r="A814" s="3">
        <f>DATE(1992,5,1)</f>
        <v>33725</v>
      </c>
      <c r="B814" s="3">
        <f>DATE(1993,4,15)</f>
        <v>34074</v>
      </c>
      <c r="C814" s="2" t="s">
        <v>95</v>
      </c>
      <c r="D814" s="2" t="s">
        <v>1769</v>
      </c>
      <c r="E814" s="2" t="s">
        <v>36</v>
      </c>
      <c r="F814" s="4">
        <v>6022</v>
      </c>
      <c r="G814" s="2" t="s">
        <v>37</v>
      </c>
      <c r="H814" s="2" t="s">
        <v>34</v>
      </c>
      <c r="I814" s="2" t="s">
        <v>1770</v>
      </c>
      <c r="J814" s="2" t="s">
        <v>36</v>
      </c>
      <c r="K814" s="2" t="s">
        <v>37</v>
      </c>
      <c r="L814" s="2" t="s">
        <v>34</v>
      </c>
      <c r="M814" s="7">
        <v>111.279</v>
      </c>
      <c r="N814" s="7">
        <v>20.875</v>
      </c>
      <c r="O814" s="7">
        <v>21.125</v>
      </c>
      <c r="P814" s="2" t="s">
        <v>2838</v>
      </c>
      <c r="Q814" s="6">
        <v>96.24</v>
      </c>
      <c r="R814" s="6">
        <v>17.309999999999999</v>
      </c>
      <c r="S814" s="5">
        <v>0.1</v>
      </c>
      <c r="T814" s="7">
        <v>2.282</v>
      </c>
      <c r="U814" s="5">
        <v>9.6999999999999993</v>
      </c>
      <c r="V814" s="6">
        <v>0.04</v>
      </c>
      <c r="W814" s="6">
        <v>7.25</v>
      </c>
      <c r="X814" s="6">
        <v>6.75</v>
      </c>
      <c r="Y814" s="4">
        <v>7</v>
      </c>
      <c r="Z814" s="6">
        <v>7.25</v>
      </c>
      <c r="AA814" s="6">
        <v>3.47</v>
      </c>
      <c r="AB814" s="7">
        <v>118.755</v>
      </c>
      <c r="AC814" s="2"/>
    </row>
    <row r="815" spans="1:29" ht="169" x14ac:dyDescent="0.15">
      <c r="A815" s="3">
        <f>DATE(1992,5,4)</f>
        <v>33728</v>
      </c>
      <c r="B815" s="3">
        <f>DATE(1993,8,30)</f>
        <v>34211</v>
      </c>
      <c r="C815" s="2" t="s">
        <v>95</v>
      </c>
      <c r="D815" s="2" t="s">
        <v>2839</v>
      </c>
      <c r="E815" s="2" t="s">
        <v>781</v>
      </c>
      <c r="F815" s="4">
        <v>7372</v>
      </c>
      <c r="G815" s="2" t="s">
        <v>551</v>
      </c>
      <c r="H815" s="2" t="s">
        <v>34</v>
      </c>
      <c r="I815" s="2" t="s">
        <v>2840</v>
      </c>
      <c r="J815" s="2" t="s">
        <v>2841</v>
      </c>
      <c r="K815" s="2" t="s">
        <v>223</v>
      </c>
      <c r="L815" s="2" t="s">
        <v>34</v>
      </c>
      <c r="M815" s="2"/>
      <c r="N815" s="2"/>
      <c r="O815" s="2"/>
      <c r="P815" s="2" t="s">
        <v>2842</v>
      </c>
      <c r="Q815" s="6">
        <v>100</v>
      </c>
      <c r="R815" s="2"/>
      <c r="S815" s="5">
        <v>-1.9</v>
      </c>
      <c r="T815" s="7">
        <v>-1.4850000000000001</v>
      </c>
      <c r="U815" s="5">
        <v>0.8</v>
      </c>
      <c r="V815" s="2"/>
      <c r="W815" s="5">
        <v>3.5</v>
      </c>
      <c r="X815" s="7">
        <v>3.875</v>
      </c>
      <c r="Y815" s="4">
        <v>4</v>
      </c>
      <c r="Z815" s="7">
        <v>3.375</v>
      </c>
      <c r="AA815" s="6">
        <v>1.4</v>
      </c>
      <c r="AB815" s="2" t="s">
        <v>86</v>
      </c>
      <c r="AC815" s="2"/>
    </row>
    <row r="816" spans="1:29" ht="91" x14ac:dyDescent="0.15">
      <c r="A816" s="3">
        <f>DATE(1992,5,4)</f>
        <v>33728</v>
      </c>
      <c r="B816" s="3">
        <f>DATE(1992,9,30)</f>
        <v>33877</v>
      </c>
      <c r="C816" s="2" t="s">
        <v>95</v>
      </c>
      <c r="D816" s="2" t="s">
        <v>2843</v>
      </c>
      <c r="E816" s="2" t="s">
        <v>2844</v>
      </c>
      <c r="F816" s="4">
        <v>7374</v>
      </c>
      <c r="G816" s="2" t="s">
        <v>223</v>
      </c>
      <c r="H816" s="2" t="s">
        <v>34</v>
      </c>
      <c r="I816" s="2" t="s">
        <v>2845</v>
      </c>
      <c r="J816" s="2" t="s">
        <v>2846</v>
      </c>
      <c r="K816" s="2" t="s">
        <v>223</v>
      </c>
      <c r="L816" s="2" t="s">
        <v>34</v>
      </c>
      <c r="M816" s="2"/>
      <c r="N816" s="2"/>
      <c r="O816" s="2"/>
      <c r="P816" s="2" t="s">
        <v>2847</v>
      </c>
      <c r="Q816" s="6">
        <v>100</v>
      </c>
      <c r="R816" s="6">
        <v>6.6</v>
      </c>
      <c r="S816" s="5">
        <v>1.6</v>
      </c>
      <c r="T816" s="7">
        <v>4.6539999999999999</v>
      </c>
      <c r="U816" s="5">
        <v>2.7</v>
      </c>
      <c r="V816" s="2"/>
      <c r="W816" s="5">
        <v>7.5</v>
      </c>
      <c r="X816" s="7">
        <v>7.375</v>
      </c>
      <c r="Y816" s="6">
        <v>7.25</v>
      </c>
      <c r="Z816" s="4">
        <v>7</v>
      </c>
      <c r="AA816" s="6">
        <v>3.61</v>
      </c>
      <c r="AB816" s="7">
        <v>9.0869999999999997</v>
      </c>
      <c r="AC816" s="2"/>
    </row>
    <row r="817" spans="1:29" ht="91" x14ac:dyDescent="0.15">
      <c r="A817" s="3">
        <f>DATE(1992,5,5)</f>
        <v>33729</v>
      </c>
      <c r="B817" s="2"/>
      <c r="C817" s="2" t="s">
        <v>56</v>
      </c>
      <c r="D817" s="2" t="s">
        <v>2848</v>
      </c>
      <c r="E817" s="2" t="s">
        <v>2849</v>
      </c>
      <c r="F817" s="4">
        <v>6513</v>
      </c>
      <c r="G817" s="2" t="s">
        <v>109</v>
      </c>
      <c r="H817" s="2" t="s">
        <v>34</v>
      </c>
      <c r="I817" s="2" t="s">
        <v>149</v>
      </c>
      <c r="J817" s="2" t="s">
        <v>150</v>
      </c>
      <c r="K817" s="2" t="s">
        <v>53</v>
      </c>
      <c r="L817" s="2" t="s">
        <v>151</v>
      </c>
      <c r="M817" s="2"/>
      <c r="N817" s="2"/>
      <c r="O817" s="2"/>
      <c r="P817" s="2" t="s">
        <v>2850</v>
      </c>
      <c r="Q817" s="2"/>
      <c r="R817" s="2"/>
      <c r="S817" s="2"/>
      <c r="T817" s="2"/>
      <c r="U817" s="2"/>
      <c r="V817" s="2"/>
      <c r="W817" s="7">
        <v>1.125</v>
      </c>
      <c r="X817" s="7">
        <v>1.125</v>
      </c>
      <c r="Y817" s="7">
        <v>1.125</v>
      </c>
      <c r="Z817" s="7">
        <v>1.125</v>
      </c>
      <c r="AA817" s="2"/>
      <c r="AB817" s="2" t="s">
        <v>47</v>
      </c>
      <c r="AC817" s="2"/>
    </row>
    <row r="818" spans="1:29" ht="156" x14ac:dyDescent="0.15">
      <c r="A818" s="3">
        <f>DATE(1992,5,7)</f>
        <v>33731</v>
      </c>
      <c r="B818" s="2"/>
      <c r="C818" s="2" t="s">
        <v>30</v>
      </c>
      <c r="D818" s="2" t="s">
        <v>305</v>
      </c>
      <c r="E818" s="2" t="s">
        <v>306</v>
      </c>
      <c r="F818" s="4">
        <v>7822</v>
      </c>
      <c r="G818" s="2" t="s">
        <v>42</v>
      </c>
      <c r="H818" s="2" t="s">
        <v>34</v>
      </c>
      <c r="I818" s="2" t="s">
        <v>2851</v>
      </c>
      <c r="J818" s="2" t="s">
        <v>2852</v>
      </c>
      <c r="K818" s="2" t="s">
        <v>42</v>
      </c>
      <c r="L818" s="2" t="s">
        <v>34</v>
      </c>
      <c r="M818" s="7">
        <v>36.618000000000002</v>
      </c>
      <c r="N818" s="5">
        <v>9.5</v>
      </c>
      <c r="O818" s="6">
        <v>9.75</v>
      </c>
      <c r="P818" s="2" t="s">
        <v>2853</v>
      </c>
      <c r="Q818" s="2"/>
      <c r="R818" s="2"/>
      <c r="S818" s="5">
        <v>-63</v>
      </c>
      <c r="T818" s="7">
        <v>437.08300000000003</v>
      </c>
      <c r="U818" s="5">
        <v>6.6</v>
      </c>
      <c r="V818" s="6">
        <v>-3.03</v>
      </c>
      <c r="W818" s="7">
        <v>3.125</v>
      </c>
      <c r="X818" s="5">
        <v>2.5</v>
      </c>
      <c r="Y818" s="7">
        <v>2.875</v>
      </c>
      <c r="Z818" s="7">
        <v>2.875</v>
      </c>
      <c r="AA818" s="6">
        <v>22.51</v>
      </c>
      <c r="AB818" s="2" t="s">
        <v>86</v>
      </c>
      <c r="AC818" s="2"/>
    </row>
    <row r="819" spans="1:29" ht="156" x14ac:dyDescent="0.15">
      <c r="A819" s="3">
        <f>DATE(1992,5,7)</f>
        <v>33731</v>
      </c>
      <c r="B819" s="3">
        <f>DATE(1992,9,30)</f>
        <v>33877</v>
      </c>
      <c r="C819" s="2" t="s">
        <v>95</v>
      </c>
      <c r="D819" s="2" t="s">
        <v>382</v>
      </c>
      <c r="E819" s="2" t="s">
        <v>383</v>
      </c>
      <c r="F819" s="4">
        <v>7812</v>
      </c>
      <c r="G819" s="2" t="s">
        <v>42</v>
      </c>
      <c r="H819" s="2" t="s">
        <v>34</v>
      </c>
      <c r="I819" s="2" t="s">
        <v>2854</v>
      </c>
      <c r="J819" s="2" t="s">
        <v>2855</v>
      </c>
      <c r="K819" s="2" t="s">
        <v>37</v>
      </c>
      <c r="L819" s="2" t="s">
        <v>2105</v>
      </c>
      <c r="M819" s="2"/>
      <c r="N819" s="2"/>
      <c r="O819" s="2"/>
      <c r="P819" s="2" t="s">
        <v>2856</v>
      </c>
      <c r="Q819" s="6">
        <v>9.7100000000000009</v>
      </c>
      <c r="R819" s="6">
        <v>1.5</v>
      </c>
      <c r="S819" s="5">
        <v>-352.9</v>
      </c>
      <c r="T819" s="7">
        <v>365.54399999999998</v>
      </c>
      <c r="U819" s="5">
        <v>1.6</v>
      </c>
      <c r="V819" s="6">
        <v>-3.02</v>
      </c>
      <c r="W819" s="4">
        <v>4</v>
      </c>
      <c r="X819" s="6">
        <v>4.25</v>
      </c>
      <c r="Y819" s="7">
        <v>4.375</v>
      </c>
      <c r="Z819" s="7">
        <v>4.375</v>
      </c>
      <c r="AA819" s="6">
        <v>59.75</v>
      </c>
      <c r="AB819" s="2" t="s">
        <v>86</v>
      </c>
      <c r="AC819" s="2"/>
    </row>
    <row r="820" spans="1:29" ht="130" x14ac:dyDescent="0.15">
      <c r="A820" s="3">
        <f>DATE(1992,5,7)</f>
        <v>33731</v>
      </c>
      <c r="B820" s="3">
        <f>DATE(1992,5,7)</f>
        <v>33731</v>
      </c>
      <c r="C820" s="2" t="s">
        <v>95</v>
      </c>
      <c r="D820" s="2" t="s">
        <v>382</v>
      </c>
      <c r="E820" s="2" t="s">
        <v>383</v>
      </c>
      <c r="F820" s="4">
        <v>7812</v>
      </c>
      <c r="G820" s="2" t="s">
        <v>42</v>
      </c>
      <c r="H820" s="2" t="s">
        <v>34</v>
      </c>
      <c r="I820" s="2" t="s">
        <v>2857</v>
      </c>
      <c r="J820" s="2" t="s">
        <v>1072</v>
      </c>
      <c r="K820" s="2" t="s">
        <v>53</v>
      </c>
      <c r="L820" s="2" t="s">
        <v>34</v>
      </c>
      <c r="M820" s="2"/>
      <c r="N820" s="2"/>
      <c r="O820" s="2"/>
      <c r="P820" s="2" t="s">
        <v>2858</v>
      </c>
      <c r="Q820" s="6">
        <v>89.29</v>
      </c>
      <c r="R820" s="2"/>
      <c r="S820" s="5">
        <v>-352.9</v>
      </c>
      <c r="T820" s="7">
        <v>365.54399999999998</v>
      </c>
      <c r="U820" s="5">
        <v>1.6</v>
      </c>
      <c r="V820" s="6">
        <v>-3.02</v>
      </c>
      <c r="W820" s="4">
        <v>4</v>
      </c>
      <c r="X820" s="6">
        <v>4.25</v>
      </c>
      <c r="Y820" s="7">
        <v>4.375</v>
      </c>
      <c r="Z820" s="7">
        <v>4.375</v>
      </c>
      <c r="AA820" s="6">
        <v>59.75</v>
      </c>
      <c r="AB820" s="2" t="s">
        <v>86</v>
      </c>
      <c r="AC820" s="2"/>
    </row>
    <row r="821" spans="1:29" ht="143" x14ac:dyDescent="0.15">
      <c r="A821" s="3">
        <f>DATE(1992,5,7)</f>
        <v>33731</v>
      </c>
      <c r="B821" s="3">
        <f>DATE(1992,12,7)</f>
        <v>33945</v>
      </c>
      <c r="C821" s="2" t="s">
        <v>95</v>
      </c>
      <c r="D821" s="2" t="s">
        <v>2859</v>
      </c>
      <c r="E821" s="2" t="s">
        <v>2860</v>
      </c>
      <c r="F821" s="4">
        <v>4833</v>
      </c>
      <c r="G821" s="2" t="s">
        <v>45</v>
      </c>
      <c r="H821" s="2" t="s">
        <v>34</v>
      </c>
      <c r="I821" s="2" t="s">
        <v>2861</v>
      </c>
      <c r="J821" s="2" t="s">
        <v>2862</v>
      </c>
      <c r="K821" s="2" t="s">
        <v>45</v>
      </c>
      <c r="L821" s="2" t="s">
        <v>34</v>
      </c>
      <c r="M821" s="2"/>
      <c r="N821" s="5">
        <v>59.5</v>
      </c>
      <c r="O821" s="7">
        <v>59.625</v>
      </c>
      <c r="P821" s="2" t="s">
        <v>2863</v>
      </c>
      <c r="Q821" s="6">
        <v>95.12</v>
      </c>
      <c r="R821" s="6">
        <v>18.12</v>
      </c>
      <c r="S821" s="5">
        <v>-8.5</v>
      </c>
      <c r="T821" s="7">
        <v>91.915000000000006</v>
      </c>
      <c r="U821" s="5">
        <v>21.3</v>
      </c>
      <c r="V821" s="7">
        <v>-0.221</v>
      </c>
      <c r="W821" s="4">
        <v>15</v>
      </c>
      <c r="X821" s="5">
        <v>14.5</v>
      </c>
      <c r="Y821" s="7">
        <v>14.875</v>
      </c>
      <c r="Z821" s="7">
        <v>13.375</v>
      </c>
      <c r="AA821" s="6">
        <v>17.16</v>
      </c>
      <c r="AB821" s="7">
        <v>60.8</v>
      </c>
      <c r="AC821" s="6">
        <v>931.35</v>
      </c>
    </row>
    <row r="822" spans="1:29" ht="117" x14ac:dyDescent="0.15">
      <c r="A822" s="3">
        <f>DATE(1992,5,8)</f>
        <v>33732</v>
      </c>
      <c r="B822" s="2"/>
      <c r="C822" s="2" t="s">
        <v>30</v>
      </c>
      <c r="D822" s="2" t="s">
        <v>1560</v>
      </c>
      <c r="E822" s="2" t="s">
        <v>1561</v>
      </c>
      <c r="F822" s="4">
        <v>6311</v>
      </c>
      <c r="G822" s="2" t="s">
        <v>125</v>
      </c>
      <c r="H822" s="2" t="s">
        <v>34</v>
      </c>
      <c r="I822" s="2" t="s">
        <v>2864</v>
      </c>
      <c r="J822" s="2" t="s">
        <v>124</v>
      </c>
      <c r="K822" s="2" t="s">
        <v>125</v>
      </c>
      <c r="L822" s="2" t="s">
        <v>34</v>
      </c>
      <c r="M822" s="2"/>
      <c r="N822" s="2"/>
      <c r="O822" s="2"/>
      <c r="P822" s="2" t="s">
        <v>2865</v>
      </c>
      <c r="Q822" s="2"/>
      <c r="R822" s="2"/>
      <c r="S822" s="5">
        <v>2.2000000000000002</v>
      </c>
      <c r="T822" s="2"/>
      <c r="U822" s="5">
        <v>7.7</v>
      </c>
      <c r="V822" s="2"/>
      <c r="W822" s="4">
        <v>4</v>
      </c>
      <c r="X822" s="7">
        <v>4.375</v>
      </c>
      <c r="Y822" s="7">
        <v>4.375</v>
      </c>
      <c r="Z822" s="6">
        <v>5.75</v>
      </c>
      <c r="AA822" s="6">
        <v>5.94</v>
      </c>
      <c r="AB822" s="2" t="s">
        <v>47</v>
      </c>
      <c r="AC822" s="2"/>
    </row>
    <row r="823" spans="1:29" ht="143" x14ac:dyDescent="0.15">
      <c r="A823" s="3">
        <f>DATE(1992,5,12)</f>
        <v>33736</v>
      </c>
      <c r="B823" s="2"/>
      <c r="C823" s="2" t="s">
        <v>30</v>
      </c>
      <c r="D823" s="2" t="s">
        <v>305</v>
      </c>
      <c r="E823" s="2" t="s">
        <v>306</v>
      </c>
      <c r="F823" s="4">
        <v>7822</v>
      </c>
      <c r="G823" s="2" t="s">
        <v>42</v>
      </c>
      <c r="H823" s="2" t="s">
        <v>34</v>
      </c>
      <c r="I823" s="2" t="s">
        <v>1457</v>
      </c>
      <c r="J823" s="2" t="s">
        <v>381</v>
      </c>
      <c r="K823" s="2" t="s">
        <v>42</v>
      </c>
      <c r="L823" s="2" t="s">
        <v>34</v>
      </c>
      <c r="M823" s="2"/>
      <c r="N823" s="2"/>
      <c r="O823" s="2"/>
      <c r="P823" s="2" t="s">
        <v>2866</v>
      </c>
      <c r="Q823" s="2"/>
      <c r="R823" s="2"/>
      <c r="S823" s="5">
        <v>-63</v>
      </c>
      <c r="T823" s="7">
        <v>437.08300000000003</v>
      </c>
      <c r="U823" s="5">
        <v>6.6</v>
      </c>
      <c r="V823" s="6">
        <v>-3.03</v>
      </c>
      <c r="W823" s="5">
        <v>2.5</v>
      </c>
      <c r="X823" s="7">
        <v>2.375</v>
      </c>
      <c r="Y823" s="5">
        <v>2.5</v>
      </c>
      <c r="Z823" s="6">
        <v>3.75</v>
      </c>
      <c r="AA823" s="6">
        <v>22.51</v>
      </c>
      <c r="AB823" s="2" t="s">
        <v>86</v>
      </c>
      <c r="AC823" s="2"/>
    </row>
    <row r="824" spans="1:29" ht="39" x14ac:dyDescent="0.15">
      <c r="A824" s="3">
        <f>DATE(1992,5,12)</f>
        <v>33736</v>
      </c>
      <c r="B824" s="3">
        <f>DATE(1992,6,8)</f>
        <v>33763</v>
      </c>
      <c r="C824" s="2" t="s">
        <v>95</v>
      </c>
      <c r="D824" s="2" t="s">
        <v>2867</v>
      </c>
      <c r="E824" s="2" t="s">
        <v>2868</v>
      </c>
      <c r="F824" s="4">
        <v>7389</v>
      </c>
      <c r="G824" s="2" t="s">
        <v>223</v>
      </c>
      <c r="H824" s="2" t="s">
        <v>34</v>
      </c>
      <c r="I824" s="2" t="s">
        <v>149</v>
      </c>
      <c r="J824" s="2" t="s">
        <v>150</v>
      </c>
      <c r="K824" s="2" t="s">
        <v>53</v>
      </c>
      <c r="L824" s="2" t="s">
        <v>151</v>
      </c>
      <c r="M824" s="2"/>
      <c r="N824" s="2"/>
      <c r="O824" s="2"/>
      <c r="P824" s="2" t="s">
        <v>2869</v>
      </c>
      <c r="Q824" s="6">
        <v>63</v>
      </c>
      <c r="R824" s="2"/>
      <c r="S824" s="5">
        <v>0.5</v>
      </c>
      <c r="T824" s="2"/>
      <c r="U824" s="5">
        <v>1.4</v>
      </c>
      <c r="V824" s="2"/>
      <c r="W824" s="4">
        <v>1</v>
      </c>
      <c r="X824" s="6">
        <v>1.25</v>
      </c>
      <c r="Y824" s="4">
        <v>1</v>
      </c>
      <c r="Z824" s="6">
        <v>1.25</v>
      </c>
      <c r="AA824" s="2"/>
      <c r="AB824" s="2" t="s">
        <v>47</v>
      </c>
      <c r="AC824" s="2"/>
    </row>
    <row r="825" spans="1:29" ht="117" x14ac:dyDescent="0.15">
      <c r="A825" s="3">
        <f>DATE(1992,5,13)</f>
        <v>33737</v>
      </c>
      <c r="B825" s="3">
        <f>DATE(1992,9,4)</f>
        <v>33851</v>
      </c>
      <c r="C825" s="2" t="s">
        <v>95</v>
      </c>
      <c r="D825" s="2" t="s">
        <v>2870</v>
      </c>
      <c r="E825" s="2" t="s">
        <v>2871</v>
      </c>
      <c r="F825" s="4">
        <v>8731</v>
      </c>
      <c r="G825" s="2" t="s">
        <v>223</v>
      </c>
      <c r="H825" s="2" t="s">
        <v>34</v>
      </c>
      <c r="I825" s="2" t="s">
        <v>2872</v>
      </c>
      <c r="J825" s="2" t="s">
        <v>839</v>
      </c>
      <c r="K825" s="2" t="s">
        <v>130</v>
      </c>
      <c r="L825" s="2" t="s">
        <v>34</v>
      </c>
      <c r="M825" s="7">
        <v>252.49799999999999</v>
      </c>
      <c r="N825" s="7">
        <v>11.625</v>
      </c>
      <c r="O825" s="7">
        <v>10.625</v>
      </c>
      <c r="P825" s="2" t="s">
        <v>2873</v>
      </c>
      <c r="Q825" s="6">
        <v>100</v>
      </c>
      <c r="R825" s="6">
        <v>5.17</v>
      </c>
      <c r="S825" s="5">
        <v>-14.5</v>
      </c>
      <c r="T825" s="7">
        <v>-9.6479999999999997</v>
      </c>
      <c r="U825" s="5">
        <v>1.5</v>
      </c>
      <c r="V825" s="6">
        <v>-0.51</v>
      </c>
      <c r="W825" s="5">
        <v>5.5</v>
      </c>
      <c r="X825" s="7">
        <v>5.125</v>
      </c>
      <c r="Y825" s="5">
        <v>4.5</v>
      </c>
      <c r="Z825" s="7">
        <v>4.125</v>
      </c>
      <c r="AA825" s="6">
        <v>32.18</v>
      </c>
      <c r="AB825" s="2" t="s">
        <v>86</v>
      </c>
      <c r="AC825" s="2"/>
    </row>
    <row r="826" spans="1:29" ht="143" x14ac:dyDescent="0.15">
      <c r="A826" s="3">
        <f>DATE(1992,5,13)</f>
        <v>33737</v>
      </c>
      <c r="B826" s="3">
        <f>DATE(1993,2,26)</f>
        <v>34026</v>
      </c>
      <c r="C826" s="2" t="s">
        <v>95</v>
      </c>
      <c r="D826" s="2" t="s">
        <v>2874</v>
      </c>
      <c r="E826" s="2" t="s">
        <v>265</v>
      </c>
      <c r="F826" s="4">
        <v>6021</v>
      </c>
      <c r="G826" s="2" t="s">
        <v>37</v>
      </c>
      <c r="H826" s="2" t="s">
        <v>34</v>
      </c>
      <c r="I826" s="2" t="s">
        <v>671</v>
      </c>
      <c r="J826" s="2" t="s">
        <v>672</v>
      </c>
      <c r="K826" s="2" t="s">
        <v>37</v>
      </c>
      <c r="L826" s="2" t="s">
        <v>34</v>
      </c>
      <c r="M826" s="2"/>
      <c r="N826" s="5">
        <v>17.5</v>
      </c>
      <c r="O826" s="5">
        <v>17.5</v>
      </c>
      <c r="P826" s="2" t="s">
        <v>2875</v>
      </c>
      <c r="Q826" s="6">
        <v>100</v>
      </c>
      <c r="R826" s="6">
        <v>23.27</v>
      </c>
      <c r="S826" s="2"/>
      <c r="T826" s="2"/>
      <c r="U826" s="2"/>
      <c r="V826" s="2"/>
      <c r="W826" s="5">
        <v>16.5</v>
      </c>
      <c r="X826" s="5">
        <v>16.5</v>
      </c>
      <c r="Y826" s="4">
        <v>16</v>
      </c>
      <c r="Z826" s="4">
        <v>16</v>
      </c>
      <c r="AA826" s="6">
        <v>1.71</v>
      </c>
      <c r="AB826" s="2" t="s">
        <v>47</v>
      </c>
      <c r="AC826" s="2"/>
    </row>
    <row r="827" spans="1:29" ht="156" x14ac:dyDescent="0.15">
      <c r="A827" s="3">
        <f>DATE(1992,5,15)</f>
        <v>33739</v>
      </c>
      <c r="B827" s="3">
        <f>DATE(1992,12,11)</f>
        <v>33949</v>
      </c>
      <c r="C827" s="2" t="s">
        <v>95</v>
      </c>
      <c r="D827" s="2" t="s">
        <v>2876</v>
      </c>
      <c r="E827" s="2" t="s">
        <v>2877</v>
      </c>
      <c r="F827" s="4">
        <v>3845</v>
      </c>
      <c r="G827" s="2" t="s">
        <v>226</v>
      </c>
      <c r="H827" s="2" t="s">
        <v>34</v>
      </c>
      <c r="I827" s="2" t="s">
        <v>2878</v>
      </c>
      <c r="J827" s="2" t="s">
        <v>2879</v>
      </c>
      <c r="K827" s="2" t="s">
        <v>370</v>
      </c>
      <c r="L827" s="2" t="s">
        <v>34</v>
      </c>
      <c r="M827" s="7">
        <v>31.332000000000001</v>
      </c>
      <c r="N827" s="6">
        <v>4.25</v>
      </c>
      <c r="O827" s="7">
        <v>4.3129999999999997</v>
      </c>
      <c r="P827" s="2" t="s">
        <v>2880</v>
      </c>
      <c r="Q827" s="6">
        <v>100</v>
      </c>
      <c r="R827" s="6">
        <v>6.65</v>
      </c>
      <c r="S827" s="5">
        <v>2.6</v>
      </c>
      <c r="T827" s="7">
        <v>5.6689999999999996</v>
      </c>
      <c r="U827" s="5">
        <v>3</v>
      </c>
      <c r="V827" s="6">
        <v>0.49</v>
      </c>
      <c r="W827" s="6">
        <v>5.75</v>
      </c>
      <c r="X827" s="6">
        <v>5.25</v>
      </c>
      <c r="Y827" s="7">
        <v>5.375</v>
      </c>
      <c r="Z827" s="6">
        <v>5.25</v>
      </c>
      <c r="AA827" s="6">
        <v>5.13</v>
      </c>
      <c r="AB827" s="7">
        <v>7.0640000000000001</v>
      </c>
      <c r="AC827" s="2"/>
    </row>
    <row r="828" spans="1:29" ht="91" x14ac:dyDescent="0.15">
      <c r="A828" s="3">
        <f>DATE(1992,5,15)</f>
        <v>33739</v>
      </c>
      <c r="B828" s="3">
        <f>DATE(1992,8,25)</f>
        <v>33841</v>
      </c>
      <c r="C828" s="2" t="s">
        <v>95</v>
      </c>
      <c r="D828" s="2" t="s">
        <v>2881</v>
      </c>
      <c r="E828" s="2" t="s">
        <v>2882</v>
      </c>
      <c r="F828" s="4">
        <v>3823</v>
      </c>
      <c r="G828" s="2" t="s">
        <v>226</v>
      </c>
      <c r="H828" s="2" t="s">
        <v>34</v>
      </c>
      <c r="I828" s="2" t="s">
        <v>2883</v>
      </c>
      <c r="J828" s="2" t="s">
        <v>2884</v>
      </c>
      <c r="K828" s="2" t="s">
        <v>226</v>
      </c>
      <c r="L828" s="2" t="s">
        <v>34</v>
      </c>
      <c r="M828" s="2"/>
      <c r="N828" s="2"/>
      <c r="O828" s="2"/>
      <c r="P828" s="2" t="s">
        <v>2885</v>
      </c>
      <c r="Q828" s="6">
        <v>29.4</v>
      </c>
      <c r="R828" s="2"/>
      <c r="S828" s="5">
        <v>-5.8</v>
      </c>
      <c r="T828" s="6">
        <v>-3.36</v>
      </c>
      <c r="U828" s="5">
        <v>2</v>
      </c>
      <c r="V828" s="2"/>
      <c r="W828" s="7">
        <v>2.375</v>
      </c>
      <c r="X828" s="6">
        <v>2.25</v>
      </c>
      <c r="Y828" s="4">
        <v>2</v>
      </c>
      <c r="Z828" s="7">
        <v>2.125</v>
      </c>
      <c r="AA828" s="6">
        <v>6.37</v>
      </c>
      <c r="AB828" s="2" t="s">
        <v>86</v>
      </c>
      <c r="AC828" s="2"/>
    </row>
    <row r="829" spans="1:29" ht="130" x14ac:dyDescent="0.15">
      <c r="A829" s="3">
        <f>DATE(1992,5,18)</f>
        <v>33742</v>
      </c>
      <c r="B829" s="3">
        <f>DATE(1992,9,8)</f>
        <v>33855</v>
      </c>
      <c r="C829" s="2" t="s">
        <v>95</v>
      </c>
      <c r="D829" s="2" t="s">
        <v>2886</v>
      </c>
      <c r="E829" s="2" t="s">
        <v>2887</v>
      </c>
      <c r="F829" s="4">
        <v>2836</v>
      </c>
      <c r="G829" s="2" t="s">
        <v>130</v>
      </c>
      <c r="H829" s="2" t="s">
        <v>34</v>
      </c>
      <c r="I829" s="2" t="s">
        <v>2888</v>
      </c>
      <c r="J829" s="2" t="s">
        <v>2889</v>
      </c>
      <c r="K829" s="2" t="s">
        <v>577</v>
      </c>
      <c r="L829" s="2" t="s">
        <v>885</v>
      </c>
      <c r="M829" s="2"/>
      <c r="N829" s="2"/>
      <c r="O829" s="2"/>
      <c r="P829" s="2" t="s">
        <v>2890</v>
      </c>
      <c r="Q829" s="6">
        <v>2.06</v>
      </c>
      <c r="R829" s="6">
        <v>4.3</v>
      </c>
      <c r="S829" s="5">
        <v>-1</v>
      </c>
      <c r="T829" s="2"/>
      <c r="U829" s="5">
        <v>0.1</v>
      </c>
      <c r="V829" s="2"/>
      <c r="W829" s="6">
        <v>4.25</v>
      </c>
      <c r="X829" s="5">
        <v>4.5</v>
      </c>
      <c r="Y829" s="5">
        <v>4.5</v>
      </c>
      <c r="Z829" s="6">
        <v>4.75</v>
      </c>
      <c r="AA829" s="6">
        <v>16.899999999999999</v>
      </c>
      <c r="AB829" s="2" t="s">
        <v>86</v>
      </c>
      <c r="AC829" s="6">
        <v>258.33999999999997</v>
      </c>
    </row>
    <row r="830" spans="1:29" ht="117" x14ac:dyDescent="0.15">
      <c r="A830" s="3">
        <f>DATE(1992,5,18)</f>
        <v>33742</v>
      </c>
      <c r="B830" s="2"/>
      <c r="C830" s="2" t="s">
        <v>82</v>
      </c>
      <c r="D830" s="2" t="s">
        <v>2891</v>
      </c>
      <c r="E830" s="2" t="s">
        <v>2892</v>
      </c>
      <c r="F830" s="4">
        <v>3799</v>
      </c>
      <c r="G830" s="2" t="s">
        <v>105</v>
      </c>
      <c r="H830" s="2" t="s">
        <v>34</v>
      </c>
      <c r="I830" s="2" t="s">
        <v>51</v>
      </c>
      <c r="J830" s="2" t="s">
        <v>52</v>
      </c>
      <c r="K830" s="2" t="s">
        <v>53</v>
      </c>
      <c r="L830" s="2" t="s">
        <v>34</v>
      </c>
      <c r="M830" s="2"/>
      <c r="N830" s="2"/>
      <c r="O830" s="2"/>
      <c r="P830" s="2" t="s">
        <v>2893</v>
      </c>
      <c r="Q830" s="2"/>
      <c r="R830" s="2"/>
      <c r="S830" s="2"/>
      <c r="T830" s="2"/>
      <c r="U830" s="5">
        <v>7.4</v>
      </c>
      <c r="V830" s="2"/>
      <c r="W830" s="7">
        <v>13.625</v>
      </c>
      <c r="X830" s="7">
        <v>14.375</v>
      </c>
      <c r="Y830" s="4">
        <v>15</v>
      </c>
      <c r="Z830" s="4">
        <v>15</v>
      </c>
      <c r="AA830" s="2"/>
      <c r="AB830" s="2" t="s">
        <v>47</v>
      </c>
      <c r="AC830" s="2"/>
    </row>
    <row r="831" spans="1:29" ht="156" x14ac:dyDescent="0.15">
      <c r="A831" s="3">
        <f>DATE(1992,5,18)</f>
        <v>33742</v>
      </c>
      <c r="B831" s="3">
        <f>DATE(1992,12,7)</f>
        <v>33945</v>
      </c>
      <c r="C831" s="2" t="s">
        <v>95</v>
      </c>
      <c r="D831" s="2" t="s">
        <v>2894</v>
      </c>
      <c r="E831" s="2" t="s">
        <v>36</v>
      </c>
      <c r="F831" s="4">
        <v>6021</v>
      </c>
      <c r="G831" s="2" t="s">
        <v>37</v>
      </c>
      <c r="H831" s="2" t="s">
        <v>34</v>
      </c>
      <c r="I831" s="2" t="s">
        <v>2895</v>
      </c>
      <c r="J831" s="2" t="s">
        <v>1181</v>
      </c>
      <c r="K831" s="2" t="s">
        <v>37</v>
      </c>
      <c r="L831" s="2" t="s">
        <v>34</v>
      </c>
      <c r="M831" s="12">
        <v>2694.6779999999999</v>
      </c>
      <c r="N831" s="4">
        <v>36</v>
      </c>
      <c r="O831" s="5">
        <v>35.5</v>
      </c>
      <c r="P831" s="2" t="s">
        <v>2896</v>
      </c>
      <c r="Q831" s="6">
        <v>100</v>
      </c>
      <c r="R831" s="6">
        <v>55.74</v>
      </c>
      <c r="S831" s="5">
        <v>-5.7</v>
      </c>
      <c r="T831" s="7">
        <v>-9.8970000000000002</v>
      </c>
      <c r="U831" s="5">
        <v>23</v>
      </c>
      <c r="V831" s="7">
        <v>-1.0169999999999999</v>
      </c>
      <c r="W831" s="6">
        <v>31.75</v>
      </c>
      <c r="X831" s="5">
        <v>31.5</v>
      </c>
      <c r="Y831" s="7">
        <v>45.375</v>
      </c>
      <c r="Z831" s="7">
        <v>45.125</v>
      </c>
      <c r="AA831" s="6">
        <v>15.83</v>
      </c>
      <c r="AB831" s="2" t="s">
        <v>86</v>
      </c>
      <c r="AC831" s="2"/>
    </row>
    <row r="832" spans="1:29" ht="117" x14ac:dyDescent="0.15">
      <c r="A832" s="3">
        <f>DATE(1992,5,18)</f>
        <v>33742</v>
      </c>
      <c r="B832" s="2"/>
      <c r="C832" s="2" t="s">
        <v>30</v>
      </c>
      <c r="D832" s="2" t="s">
        <v>2894</v>
      </c>
      <c r="E832" s="2" t="s">
        <v>36</v>
      </c>
      <c r="F832" s="4">
        <v>6021</v>
      </c>
      <c r="G832" s="2" t="s">
        <v>37</v>
      </c>
      <c r="H832" s="2" t="s">
        <v>34</v>
      </c>
      <c r="I832" s="2" t="s">
        <v>2897</v>
      </c>
      <c r="J832" s="2" t="s">
        <v>2898</v>
      </c>
      <c r="K832" s="2" t="s">
        <v>37</v>
      </c>
      <c r="L832" s="2" t="s">
        <v>34</v>
      </c>
      <c r="M832" s="2"/>
      <c r="N832" s="7">
        <v>39.375</v>
      </c>
      <c r="O832" s="7">
        <v>39.375</v>
      </c>
      <c r="P832" s="2" t="s">
        <v>2899</v>
      </c>
      <c r="Q832" s="2"/>
      <c r="R832" s="6">
        <v>40.74</v>
      </c>
      <c r="S832" s="5">
        <v>-5.7</v>
      </c>
      <c r="T832" s="7">
        <v>-9.8970000000000002</v>
      </c>
      <c r="U832" s="5">
        <v>23</v>
      </c>
      <c r="V832" s="7">
        <v>-1.0169999999999999</v>
      </c>
      <c r="W832" s="6">
        <v>31.75</v>
      </c>
      <c r="X832" s="5">
        <v>31.5</v>
      </c>
      <c r="Y832" s="7">
        <v>45.375</v>
      </c>
      <c r="Z832" s="7">
        <v>45.125</v>
      </c>
      <c r="AA832" s="6">
        <v>15.85</v>
      </c>
      <c r="AB832" s="2" t="s">
        <v>86</v>
      </c>
      <c r="AC832" s="2"/>
    </row>
    <row r="833" spans="1:29" ht="104" x14ac:dyDescent="0.15">
      <c r="A833" s="3">
        <f>DATE(1992,5,18)</f>
        <v>33742</v>
      </c>
      <c r="B833" s="2"/>
      <c r="C833" s="2" t="s">
        <v>30</v>
      </c>
      <c r="D833" s="2" t="s">
        <v>2894</v>
      </c>
      <c r="E833" s="2" t="s">
        <v>36</v>
      </c>
      <c r="F833" s="4">
        <v>6021</v>
      </c>
      <c r="G833" s="2" t="s">
        <v>37</v>
      </c>
      <c r="H833" s="2" t="s">
        <v>34</v>
      </c>
      <c r="I833" s="2" t="s">
        <v>2900</v>
      </c>
      <c r="J833" s="2" t="s">
        <v>265</v>
      </c>
      <c r="K833" s="2" t="s">
        <v>37</v>
      </c>
      <c r="L833" s="2" t="s">
        <v>34</v>
      </c>
      <c r="M833" s="2"/>
      <c r="N833" s="7">
        <v>38.875</v>
      </c>
      <c r="O833" s="6">
        <v>39.75</v>
      </c>
      <c r="P833" s="2" t="s">
        <v>2901</v>
      </c>
      <c r="Q833" s="2"/>
      <c r="R833" s="6">
        <v>40.74</v>
      </c>
      <c r="S833" s="5">
        <v>-5.7</v>
      </c>
      <c r="T833" s="7">
        <v>-9.8970000000000002</v>
      </c>
      <c r="U833" s="5">
        <v>23</v>
      </c>
      <c r="V833" s="7">
        <v>-1.0169999999999999</v>
      </c>
      <c r="W833" s="6">
        <v>31.75</v>
      </c>
      <c r="X833" s="5">
        <v>31.5</v>
      </c>
      <c r="Y833" s="7">
        <v>45.375</v>
      </c>
      <c r="Z833" s="7">
        <v>45.125</v>
      </c>
      <c r="AA833" s="6">
        <v>15.85</v>
      </c>
      <c r="AB833" s="2" t="s">
        <v>86</v>
      </c>
      <c r="AC833" s="2"/>
    </row>
    <row r="834" spans="1:29" ht="52" x14ac:dyDescent="0.15">
      <c r="A834" s="3">
        <f>DATE(1992,5,19)</f>
        <v>33743</v>
      </c>
      <c r="B834" s="2"/>
      <c r="C834" s="2" t="s">
        <v>87</v>
      </c>
      <c r="D834" s="2" t="s">
        <v>2902</v>
      </c>
      <c r="E834" s="2" t="s">
        <v>2903</v>
      </c>
      <c r="F834" s="4">
        <v>5137</v>
      </c>
      <c r="G834" s="2" t="s">
        <v>593</v>
      </c>
      <c r="H834" s="2" t="s">
        <v>34</v>
      </c>
      <c r="I834" s="2" t="s">
        <v>149</v>
      </c>
      <c r="J834" s="2" t="s">
        <v>150</v>
      </c>
      <c r="K834" s="2" t="s">
        <v>53</v>
      </c>
      <c r="L834" s="2" t="s">
        <v>151</v>
      </c>
      <c r="M834" s="2"/>
      <c r="N834" s="2"/>
      <c r="O834" s="2"/>
      <c r="P834" s="2" t="s">
        <v>2904</v>
      </c>
      <c r="Q834" s="2"/>
      <c r="R834" s="2"/>
      <c r="S834" s="5">
        <v>-0.8</v>
      </c>
      <c r="T834" s="7">
        <v>-0.752</v>
      </c>
      <c r="U834" s="5">
        <v>-0.1</v>
      </c>
      <c r="V834" s="6">
        <v>-0.57999999999999996</v>
      </c>
      <c r="W834" s="7">
        <v>1.625</v>
      </c>
      <c r="X834" s="4">
        <v>2</v>
      </c>
      <c r="Y834" s="6">
        <v>2.25</v>
      </c>
      <c r="Z834" s="6">
        <v>2.75</v>
      </c>
      <c r="AA834" s="2"/>
      <c r="AB834" s="2" t="s">
        <v>86</v>
      </c>
      <c r="AC834" s="2"/>
    </row>
    <row r="835" spans="1:29" ht="52" x14ac:dyDescent="0.15">
      <c r="A835" s="3">
        <f>DATE(1992,5,22)</f>
        <v>33746</v>
      </c>
      <c r="B835" s="2"/>
      <c r="C835" s="2" t="s">
        <v>141</v>
      </c>
      <c r="D835" s="2" t="s">
        <v>2905</v>
      </c>
      <c r="E835" s="2" t="s">
        <v>2906</v>
      </c>
      <c r="F835" s="4">
        <v>3678</v>
      </c>
      <c r="G835" s="2" t="s">
        <v>137</v>
      </c>
      <c r="H835" s="2" t="s">
        <v>34</v>
      </c>
      <c r="I835" s="2" t="s">
        <v>143</v>
      </c>
      <c r="J835" s="2" t="s">
        <v>144</v>
      </c>
      <c r="K835" s="2" t="s">
        <v>53</v>
      </c>
      <c r="L835" s="2" t="s">
        <v>139</v>
      </c>
      <c r="M835" s="2"/>
      <c r="N835" s="2"/>
      <c r="O835" s="2"/>
      <c r="P835" s="2" t="s">
        <v>2907</v>
      </c>
      <c r="Q835" s="2"/>
      <c r="R835" s="2"/>
      <c r="S835" s="5">
        <v>8.5</v>
      </c>
      <c r="T835" s="7">
        <v>20.779</v>
      </c>
      <c r="U835" s="5">
        <v>2</v>
      </c>
      <c r="V835" s="9">
        <v>0.2833</v>
      </c>
      <c r="W835" s="7">
        <v>14.125</v>
      </c>
      <c r="X835" s="5">
        <v>14.5</v>
      </c>
      <c r="Y835" s="4">
        <v>14</v>
      </c>
      <c r="Z835" s="4">
        <v>14</v>
      </c>
      <c r="AA835" s="2"/>
      <c r="AB835" s="2" t="s">
        <v>47</v>
      </c>
      <c r="AC835" s="2"/>
    </row>
    <row r="836" spans="1:29" ht="39" x14ac:dyDescent="0.15">
      <c r="A836" s="3">
        <f>DATE(1992,5,27)</f>
        <v>33751</v>
      </c>
      <c r="B836" s="2"/>
      <c r="C836" s="2" t="s">
        <v>189</v>
      </c>
      <c r="D836" s="2" t="s">
        <v>2908</v>
      </c>
      <c r="E836" s="2" t="s">
        <v>2909</v>
      </c>
      <c r="F836" s="4">
        <v>2834</v>
      </c>
      <c r="G836" s="2" t="s">
        <v>130</v>
      </c>
      <c r="H836" s="2" t="s">
        <v>34</v>
      </c>
      <c r="I836" s="2" t="s">
        <v>143</v>
      </c>
      <c r="J836" s="2" t="s">
        <v>144</v>
      </c>
      <c r="K836" s="2" t="s">
        <v>53</v>
      </c>
      <c r="L836" s="2" t="s">
        <v>139</v>
      </c>
      <c r="M836" s="2"/>
      <c r="N836" s="2"/>
      <c r="O836" s="2"/>
      <c r="P836" s="2" t="s">
        <v>2910</v>
      </c>
      <c r="Q836" s="2"/>
      <c r="R836" s="2"/>
      <c r="S836" s="5">
        <v>-6.7</v>
      </c>
      <c r="T836" s="7">
        <v>-10.443</v>
      </c>
      <c r="U836" s="5">
        <v>6.1</v>
      </c>
      <c r="V836" s="6">
        <v>-0.48</v>
      </c>
      <c r="W836" s="4">
        <v>23</v>
      </c>
      <c r="X836" s="6">
        <v>23.25</v>
      </c>
      <c r="Y836" s="6">
        <v>23.75</v>
      </c>
      <c r="Z836" s="6">
        <v>22.75</v>
      </c>
      <c r="AA836" s="6">
        <v>14.03</v>
      </c>
      <c r="AB836" s="2" t="s">
        <v>86</v>
      </c>
      <c r="AC836" s="2"/>
    </row>
    <row r="837" spans="1:29" ht="156" x14ac:dyDescent="0.15">
      <c r="A837" s="3">
        <f>DATE(1992,5,27)</f>
        <v>33751</v>
      </c>
      <c r="B837" s="3">
        <f>DATE(1993,3,9)</f>
        <v>34037</v>
      </c>
      <c r="C837" s="2" t="s">
        <v>95</v>
      </c>
      <c r="D837" s="2" t="s">
        <v>2911</v>
      </c>
      <c r="E837" s="2" t="s">
        <v>973</v>
      </c>
      <c r="F837" s="4">
        <v>4813</v>
      </c>
      <c r="G837" s="2" t="s">
        <v>63</v>
      </c>
      <c r="H837" s="2" t="s">
        <v>34</v>
      </c>
      <c r="I837" s="2" t="s">
        <v>2912</v>
      </c>
      <c r="J837" s="2" t="s">
        <v>2913</v>
      </c>
      <c r="K837" s="2" t="s">
        <v>63</v>
      </c>
      <c r="L837" s="2" t="s">
        <v>34</v>
      </c>
      <c r="M837" s="12">
        <v>5228.9650000000001</v>
      </c>
      <c r="N837" s="5">
        <v>24.5</v>
      </c>
      <c r="O837" s="7">
        <v>23.125</v>
      </c>
      <c r="P837" s="2" t="s">
        <v>2914</v>
      </c>
      <c r="Q837" s="6">
        <v>100</v>
      </c>
      <c r="R837" s="6">
        <v>33.57</v>
      </c>
      <c r="S837" s="5">
        <v>118.8</v>
      </c>
      <c r="T837" s="7">
        <v>585.221</v>
      </c>
      <c r="U837" s="2"/>
      <c r="V837" s="6">
        <v>1.38</v>
      </c>
      <c r="W837" s="6">
        <v>35.75</v>
      </c>
      <c r="X837" s="4">
        <v>37</v>
      </c>
      <c r="Y837" s="4">
        <v>46</v>
      </c>
      <c r="Z837" s="6">
        <v>44.75</v>
      </c>
      <c r="AA837" s="6">
        <v>85.4</v>
      </c>
      <c r="AB837" s="7">
        <v>10.722</v>
      </c>
      <c r="AC837" s="5">
        <v>73.8</v>
      </c>
    </row>
    <row r="838" spans="1:29" ht="52" x14ac:dyDescent="0.15">
      <c r="A838" s="3">
        <f>DATE(1992,5,28)</f>
        <v>33752</v>
      </c>
      <c r="B838" s="2"/>
      <c r="C838" s="2" t="s">
        <v>87</v>
      </c>
      <c r="D838" s="2" t="s">
        <v>2915</v>
      </c>
      <c r="E838" s="2" t="s">
        <v>36</v>
      </c>
      <c r="F838" s="4">
        <v>6712</v>
      </c>
      <c r="G838" s="2" t="s">
        <v>37</v>
      </c>
      <c r="H838" s="2" t="s">
        <v>34</v>
      </c>
      <c r="I838" s="2" t="s">
        <v>2916</v>
      </c>
      <c r="J838" s="2" t="s">
        <v>1181</v>
      </c>
      <c r="K838" s="2" t="s">
        <v>37</v>
      </c>
      <c r="L838" s="2" t="s">
        <v>34</v>
      </c>
      <c r="M838" s="2"/>
      <c r="N838" s="7">
        <v>4.625</v>
      </c>
      <c r="O838" s="7">
        <v>4.625</v>
      </c>
      <c r="P838" s="2" t="s">
        <v>2917</v>
      </c>
      <c r="Q838" s="2"/>
      <c r="R838" s="2"/>
      <c r="S838" s="5">
        <v>2.6</v>
      </c>
      <c r="T838" s="2"/>
      <c r="U838" s="5">
        <v>19.600000000000001</v>
      </c>
      <c r="V838" s="2"/>
      <c r="W838" s="5">
        <v>10.5</v>
      </c>
      <c r="X838" s="4">
        <v>10</v>
      </c>
      <c r="Y838" s="4">
        <v>10</v>
      </c>
      <c r="Z838" s="6">
        <v>10.25</v>
      </c>
      <c r="AA838" s="2"/>
      <c r="AB838" s="2" t="s">
        <v>47</v>
      </c>
      <c r="AC838" s="2"/>
    </row>
    <row r="839" spans="1:29" ht="143" x14ac:dyDescent="0.15">
      <c r="A839" s="3">
        <f>DATE(1992,6,1)</f>
        <v>33756</v>
      </c>
      <c r="B839" s="2"/>
      <c r="C839" s="2" t="s">
        <v>30</v>
      </c>
      <c r="D839" s="2" t="s">
        <v>2283</v>
      </c>
      <c r="E839" s="2" t="s">
        <v>169</v>
      </c>
      <c r="F839" s="4">
        <v>6311</v>
      </c>
      <c r="G839" s="2" t="s">
        <v>125</v>
      </c>
      <c r="H839" s="2" t="s">
        <v>34</v>
      </c>
      <c r="I839" s="2" t="s">
        <v>2284</v>
      </c>
      <c r="J839" s="2" t="s">
        <v>746</v>
      </c>
      <c r="K839" s="2" t="s">
        <v>125</v>
      </c>
      <c r="L839" s="2" t="s">
        <v>34</v>
      </c>
      <c r="M839" s="2"/>
      <c r="N839" s="2"/>
      <c r="O839" s="2"/>
      <c r="P839" s="2" t="s">
        <v>2918</v>
      </c>
      <c r="Q839" s="2"/>
      <c r="R839" s="6">
        <v>11.5</v>
      </c>
      <c r="S839" s="5">
        <v>2.4</v>
      </c>
      <c r="T839" s="2"/>
      <c r="U839" s="5">
        <v>10.5</v>
      </c>
      <c r="V839" s="6">
        <v>0.73</v>
      </c>
      <c r="W839" s="5">
        <v>9.5</v>
      </c>
      <c r="X839" s="6">
        <v>10.25</v>
      </c>
      <c r="Y839" s="4">
        <v>10</v>
      </c>
      <c r="Z839" s="7">
        <v>9.875</v>
      </c>
      <c r="AA839" s="6">
        <v>3.12</v>
      </c>
      <c r="AB839" s="7">
        <v>10.862</v>
      </c>
      <c r="AC839" s="2"/>
    </row>
    <row r="840" spans="1:29" ht="156" x14ac:dyDescent="0.15">
      <c r="A840" s="3">
        <f>DATE(1992,6,2)</f>
        <v>33757</v>
      </c>
      <c r="B840" s="2"/>
      <c r="C840" s="2" t="s">
        <v>30</v>
      </c>
      <c r="D840" s="2" t="s">
        <v>2919</v>
      </c>
      <c r="E840" s="2" t="s">
        <v>2920</v>
      </c>
      <c r="F840" s="4">
        <v>5122</v>
      </c>
      <c r="G840" s="2" t="s">
        <v>593</v>
      </c>
      <c r="H840" s="2" t="s">
        <v>34</v>
      </c>
      <c r="I840" s="2" t="s">
        <v>2921</v>
      </c>
      <c r="J840" s="2" t="s">
        <v>2922</v>
      </c>
      <c r="K840" s="2" t="s">
        <v>593</v>
      </c>
      <c r="L840" s="2" t="s">
        <v>34</v>
      </c>
      <c r="M840" s="2"/>
      <c r="N840" s="4">
        <v>28</v>
      </c>
      <c r="O840" s="6">
        <v>29.75</v>
      </c>
      <c r="P840" s="2" t="s">
        <v>2923</v>
      </c>
      <c r="Q840" s="2"/>
      <c r="R840" s="6">
        <v>30.5</v>
      </c>
      <c r="S840" s="5">
        <v>16.8</v>
      </c>
      <c r="T840" s="7">
        <v>30.457999999999998</v>
      </c>
      <c r="U840" s="5">
        <v>11</v>
      </c>
      <c r="V840" s="6">
        <v>1.36</v>
      </c>
      <c r="W840" s="4">
        <v>30</v>
      </c>
      <c r="X840" s="4">
        <v>30</v>
      </c>
      <c r="Y840" s="6">
        <v>30.75</v>
      </c>
      <c r="Z840" s="4">
        <v>25</v>
      </c>
      <c r="AA840" s="6">
        <v>11.95</v>
      </c>
      <c r="AB840" s="7">
        <v>13.102</v>
      </c>
      <c r="AC840" s="6">
        <v>4.66</v>
      </c>
    </row>
    <row r="841" spans="1:29" ht="143" x14ac:dyDescent="0.15">
      <c r="A841" s="3">
        <f>DATE(1992,6,2)</f>
        <v>33757</v>
      </c>
      <c r="B841" s="3">
        <f>DATE(1992,8,12)</f>
        <v>33828</v>
      </c>
      <c r="C841" s="2" t="s">
        <v>95</v>
      </c>
      <c r="D841" s="2" t="s">
        <v>2689</v>
      </c>
      <c r="E841" s="2" t="s">
        <v>2690</v>
      </c>
      <c r="F841" s="4">
        <v>1531</v>
      </c>
      <c r="G841" s="2" t="s">
        <v>341</v>
      </c>
      <c r="H841" s="2" t="s">
        <v>34</v>
      </c>
      <c r="I841" s="2" t="s">
        <v>2924</v>
      </c>
      <c r="J841" s="2" t="s">
        <v>844</v>
      </c>
      <c r="K841" s="2" t="s">
        <v>341</v>
      </c>
      <c r="L841" s="2" t="s">
        <v>34</v>
      </c>
      <c r="M841" s="2"/>
      <c r="N841" s="2"/>
      <c r="O841" s="2"/>
      <c r="P841" s="2" t="s">
        <v>2925</v>
      </c>
      <c r="Q841" s="6">
        <v>85.8</v>
      </c>
      <c r="R841" s="6">
        <v>3.94</v>
      </c>
      <c r="S841" s="5">
        <v>-108.8</v>
      </c>
      <c r="T841" s="2"/>
      <c r="U841" s="5">
        <v>1.8</v>
      </c>
      <c r="V841" s="2"/>
      <c r="W841" s="7">
        <v>2.625</v>
      </c>
      <c r="X841" s="7">
        <v>2.875</v>
      </c>
      <c r="Y841" s="4">
        <v>3</v>
      </c>
      <c r="Z841" s="7">
        <v>2.375</v>
      </c>
      <c r="AA841" s="6">
        <v>16.32</v>
      </c>
      <c r="AB841" s="2" t="s">
        <v>47</v>
      </c>
      <c r="AC841" s="2"/>
    </row>
    <row r="842" spans="1:29" ht="169" x14ac:dyDescent="0.15">
      <c r="A842" s="3">
        <f>DATE(1992,6,3)</f>
        <v>33758</v>
      </c>
      <c r="B842" s="3">
        <f>DATE(1992,12,4)</f>
        <v>33942</v>
      </c>
      <c r="C842" s="2" t="s">
        <v>95</v>
      </c>
      <c r="D842" s="2" t="s">
        <v>2926</v>
      </c>
      <c r="E842" s="2" t="s">
        <v>971</v>
      </c>
      <c r="F842" s="4">
        <v>4813</v>
      </c>
      <c r="G842" s="2" t="s">
        <v>63</v>
      </c>
      <c r="H842" s="2" t="s">
        <v>34</v>
      </c>
      <c r="I842" s="2" t="s">
        <v>2389</v>
      </c>
      <c r="J842" s="2" t="s">
        <v>375</v>
      </c>
      <c r="K842" s="2" t="s">
        <v>63</v>
      </c>
      <c r="L842" s="2" t="s">
        <v>34</v>
      </c>
      <c r="M842" s="7">
        <v>485.10599999999999</v>
      </c>
      <c r="N842" s="6">
        <v>29.25</v>
      </c>
      <c r="O842" s="7">
        <v>29.625</v>
      </c>
      <c r="P842" s="2" t="s">
        <v>2927</v>
      </c>
      <c r="Q842" s="6">
        <v>100</v>
      </c>
      <c r="R842" s="6">
        <v>26.25</v>
      </c>
      <c r="S842" s="5">
        <v>19</v>
      </c>
      <c r="T842" s="7">
        <v>68.555999999999997</v>
      </c>
      <c r="U842" s="5">
        <v>8.6999999999999993</v>
      </c>
      <c r="V842" s="6">
        <v>0.9</v>
      </c>
      <c r="W842" s="6">
        <v>18.25</v>
      </c>
      <c r="X842" s="5">
        <v>19.5</v>
      </c>
      <c r="Y842" s="4">
        <v>20</v>
      </c>
      <c r="Z842" s="5">
        <v>22.5</v>
      </c>
      <c r="AA842" s="6">
        <v>21.51</v>
      </c>
      <c r="AB842" s="7">
        <v>18.515000000000001</v>
      </c>
      <c r="AC842" s="2"/>
    </row>
    <row r="843" spans="1:29" ht="143" x14ac:dyDescent="0.15">
      <c r="A843" s="3">
        <f>DATE(1992,6,4)</f>
        <v>33759</v>
      </c>
      <c r="B843" s="3">
        <f>DATE(1992,11,6)</f>
        <v>33914</v>
      </c>
      <c r="C843" s="2" t="s">
        <v>95</v>
      </c>
      <c r="D843" s="2" t="s">
        <v>305</v>
      </c>
      <c r="E843" s="2" t="s">
        <v>306</v>
      </c>
      <c r="F843" s="4">
        <v>7822</v>
      </c>
      <c r="G843" s="2" t="s">
        <v>42</v>
      </c>
      <c r="H843" s="2" t="s">
        <v>34</v>
      </c>
      <c r="I843" s="2" t="s">
        <v>51</v>
      </c>
      <c r="J843" s="2" t="s">
        <v>52</v>
      </c>
      <c r="K843" s="2" t="s">
        <v>53</v>
      </c>
      <c r="L843" s="2" t="s">
        <v>34</v>
      </c>
      <c r="M843" s="2"/>
      <c r="N843" s="2"/>
      <c r="O843" s="2"/>
      <c r="P843" s="2" t="s">
        <v>2928</v>
      </c>
      <c r="Q843" s="6">
        <v>99.1</v>
      </c>
      <c r="R843" s="2"/>
      <c r="S843" s="5">
        <v>-63</v>
      </c>
      <c r="T843" s="7">
        <v>437.08300000000003</v>
      </c>
      <c r="U843" s="5">
        <v>6.6</v>
      </c>
      <c r="V843" s="6">
        <v>-3.03</v>
      </c>
      <c r="W843" s="5">
        <v>2.5</v>
      </c>
      <c r="X843" s="7">
        <v>2.375</v>
      </c>
      <c r="Y843" s="5">
        <v>2.5</v>
      </c>
      <c r="Z843" s="6">
        <v>3.75</v>
      </c>
      <c r="AA843" s="2"/>
      <c r="AB843" s="2" t="s">
        <v>86</v>
      </c>
      <c r="AC843" s="2"/>
    </row>
    <row r="844" spans="1:29" ht="156" x14ac:dyDescent="0.15">
      <c r="A844" s="3">
        <f>DATE(1992,6,5)</f>
        <v>33760</v>
      </c>
      <c r="B844" s="3">
        <f>DATE(1993,5,3)</f>
        <v>34092</v>
      </c>
      <c r="C844" s="2" t="s">
        <v>95</v>
      </c>
      <c r="D844" s="2" t="s">
        <v>618</v>
      </c>
      <c r="E844" s="2" t="s">
        <v>36</v>
      </c>
      <c r="F844" s="4">
        <v>6021</v>
      </c>
      <c r="G844" s="2" t="s">
        <v>37</v>
      </c>
      <c r="H844" s="2" t="s">
        <v>34</v>
      </c>
      <c r="I844" s="2" t="s">
        <v>1612</v>
      </c>
      <c r="J844" s="2" t="s">
        <v>263</v>
      </c>
      <c r="K844" s="2" t="s">
        <v>37</v>
      </c>
      <c r="L844" s="2" t="s">
        <v>34</v>
      </c>
      <c r="M844" s="2"/>
      <c r="N844" s="5">
        <v>46.5</v>
      </c>
      <c r="O844" s="7">
        <v>46.625</v>
      </c>
      <c r="P844" s="2" t="s">
        <v>2929</v>
      </c>
      <c r="Q844" s="6">
        <v>100</v>
      </c>
      <c r="R844" s="6">
        <v>24</v>
      </c>
      <c r="S844" s="5">
        <v>32.4</v>
      </c>
      <c r="T844" s="7">
        <v>53.991</v>
      </c>
      <c r="U844" s="5">
        <v>12.3</v>
      </c>
      <c r="V844" s="6">
        <v>1.33</v>
      </c>
      <c r="W844" s="4">
        <v>19</v>
      </c>
      <c r="X844" s="6">
        <v>18.75</v>
      </c>
      <c r="Y844" s="5">
        <v>20.5</v>
      </c>
      <c r="Z844" s="6">
        <v>20.25</v>
      </c>
      <c r="AA844" s="6">
        <v>24.36</v>
      </c>
      <c r="AB844" s="7">
        <v>73.540999999999997</v>
      </c>
      <c r="AC844" s="2"/>
    </row>
    <row r="845" spans="1:29" ht="91" x14ac:dyDescent="0.15">
      <c r="A845" s="3">
        <f>DATE(1992,6,5)</f>
        <v>33760</v>
      </c>
      <c r="B845" s="2"/>
      <c r="C845" s="2" t="s">
        <v>30</v>
      </c>
      <c r="D845" s="2" t="s">
        <v>618</v>
      </c>
      <c r="E845" s="2" t="s">
        <v>36</v>
      </c>
      <c r="F845" s="4">
        <v>6021</v>
      </c>
      <c r="G845" s="2" t="s">
        <v>37</v>
      </c>
      <c r="H845" s="2" t="s">
        <v>34</v>
      </c>
      <c r="I845" s="2" t="s">
        <v>2930</v>
      </c>
      <c r="J845" s="2" t="s">
        <v>263</v>
      </c>
      <c r="K845" s="2" t="s">
        <v>37</v>
      </c>
      <c r="L845" s="2" t="s">
        <v>34</v>
      </c>
      <c r="M845" s="2"/>
      <c r="N845" s="6">
        <v>41.25</v>
      </c>
      <c r="O845" s="4">
        <v>42</v>
      </c>
      <c r="P845" s="2" t="s">
        <v>2931</v>
      </c>
      <c r="Q845" s="2"/>
      <c r="R845" s="6">
        <v>18</v>
      </c>
      <c r="S845" s="5">
        <v>32.4</v>
      </c>
      <c r="T845" s="7">
        <v>53.991</v>
      </c>
      <c r="U845" s="5">
        <v>12.3</v>
      </c>
      <c r="V845" s="6">
        <v>1.33</v>
      </c>
      <c r="W845" s="4">
        <v>19</v>
      </c>
      <c r="X845" s="6">
        <v>18.75</v>
      </c>
      <c r="Y845" s="5">
        <v>20.5</v>
      </c>
      <c r="Z845" s="6">
        <v>20.25</v>
      </c>
      <c r="AA845" s="6">
        <v>24.36</v>
      </c>
      <c r="AB845" s="7">
        <v>70.328999999999994</v>
      </c>
      <c r="AC845" s="2"/>
    </row>
    <row r="846" spans="1:29" ht="143" x14ac:dyDescent="0.15">
      <c r="A846" s="3">
        <f>DATE(1992,6,8)</f>
        <v>33763</v>
      </c>
      <c r="B846" s="3">
        <f>DATE(1993,2,23)</f>
        <v>34023</v>
      </c>
      <c r="C846" s="2" t="s">
        <v>95</v>
      </c>
      <c r="D846" s="2" t="s">
        <v>2932</v>
      </c>
      <c r="E846" s="2" t="s">
        <v>36</v>
      </c>
      <c r="F846" s="4">
        <v>6035</v>
      </c>
      <c r="G846" s="2" t="s">
        <v>33</v>
      </c>
      <c r="H846" s="2" t="s">
        <v>34</v>
      </c>
      <c r="I846" s="2" t="s">
        <v>2933</v>
      </c>
      <c r="J846" s="2" t="s">
        <v>36</v>
      </c>
      <c r="K846" s="2" t="s">
        <v>33</v>
      </c>
      <c r="L846" s="2" t="s">
        <v>34</v>
      </c>
      <c r="M846" s="2"/>
      <c r="N846" s="7">
        <v>18.125</v>
      </c>
      <c r="O846" s="4">
        <v>18</v>
      </c>
      <c r="P846" s="2" t="s">
        <v>2934</v>
      </c>
      <c r="Q846" s="6">
        <v>96.17</v>
      </c>
      <c r="R846" s="6">
        <v>22.45</v>
      </c>
      <c r="S846" s="5">
        <v>4.8</v>
      </c>
      <c r="T846" s="7">
        <v>7.8090000000000002</v>
      </c>
      <c r="U846" s="5">
        <v>22.6</v>
      </c>
      <c r="V846" s="6">
        <v>2.1</v>
      </c>
      <c r="W846" s="4">
        <v>16</v>
      </c>
      <c r="X846" s="4">
        <v>18</v>
      </c>
      <c r="Y846" s="5">
        <v>19.5</v>
      </c>
      <c r="Z846" s="4">
        <v>20</v>
      </c>
      <c r="AA846" s="6">
        <v>2.2000000000000002</v>
      </c>
      <c r="AB846" s="7">
        <v>4.9969999999999999</v>
      </c>
      <c r="AC846" s="2"/>
    </row>
    <row r="847" spans="1:29" ht="143" x14ac:dyDescent="0.15">
      <c r="A847" s="3">
        <f>DATE(1992,6,8)</f>
        <v>33763</v>
      </c>
      <c r="B847" s="3">
        <f>DATE(1993,12,31)</f>
        <v>34334</v>
      </c>
      <c r="C847" s="2" t="s">
        <v>95</v>
      </c>
      <c r="D847" s="2" t="s">
        <v>2935</v>
      </c>
      <c r="E847" s="2" t="s">
        <v>441</v>
      </c>
      <c r="F847" s="4">
        <v>4911</v>
      </c>
      <c r="G847" s="2" t="s">
        <v>439</v>
      </c>
      <c r="H847" s="2" t="s">
        <v>34</v>
      </c>
      <c r="I847" s="2" t="s">
        <v>2936</v>
      </c>
      <c r="J847" s="2" t="s">
        <v>2937</v>
      </c>
      <c r="K847" s="2" t="s">
        <v>439</v>
      </c>
      <c r="L847" s="2" t="s">
        <v>34</v>
      </c>
      <c r="M847" s="12">
        <v>4772.4830000000002</v>
      </c>
      <c r="N847" s="4">
        <v>27</v>
      </c>
      <c r="O847" s="6">
        <v>27.25</v>
      </c>
      <c r="P847" s="2" t="s">
        <v>2938</v>
      </c>
      <c r="Q847" s="6">
        <v>100</v>
      </c>
      <c r="R847" s="6">
        <v>20</v>
      </c>
      <c r="S847" s="5">
        <v>122.4</v>
      </c>
      <c r="T847" s="7">
        <v>637.98299999999995</v>
      </c>
      <c r="U847" s="5">
        <v>17.7</v>
      </c>
      <c r="V847" s="6">
        <v>0.52</v>
      </c>
      <c r="W847" s="7">
        <v>12.125</v>
      </c>
      <c r="X847" s="7">
        <v>12.125</v>
      </c>
      <c r="Y847" s="4">
        <v>13</v>
      </c>
      <c r="Z847" s="7">
        <v>12.875</v>
      </c>
      <c r="AA847" s="6">
        <v>114.06</v>
      </c>
      <c r="AB847" s="7">
        <v>13.750999999999999</v>
      </c>
      <c r="AC847" s="6">
        <v>457.35</v>
      </c>
    </row>
    <row r="848" spans="1:29" ht="52" x14ac:dyDescent="0.15">
      <c r="A848" s="3">
        <f>DATE(1992,6,9)</f>
        <v>33764</v>
      </c>
      <c r="B848" s="2"/>
      <c r="C848" s="2" t="s">
        <v>30</v>
      </c>
      <c r="D848" s="2" t="s">
        <v>2490</v>
      </c>
      <c r="E848" s="2" t="s">
        <v>746</v>
      </c>
      <c r="F848" s="4">
        <v>6311</v>
      </c>
      <c r="G848" s="2" t="s">
        <v>125</v>
      </c>
      <c r="H848" s="2" t="s">
        <v>34</v>
      </c>
      <c r="I848" s="2" t="s">
        <v>2939</v>
      </c>
      <c r="J848" s="2" t="s">
        <v>2940</v>
      </c>
      <c r="K848" s="2" t="s">
        <v>125</v>
      </c>
      <c r="L848" s="2" t="s">
        <v>34</v>
      </c>
      <c r="M848" s="2"/>
      <c r="N848" s="2"/>
      <c r="O848" s="2"/>
      <c r="P848" s="2" t="s">
        <v>2941</v>
      </c>
      <c r="Q848" s="2"/>
      <c r="R848" s="6">
        <v>8.75</v>
      </c>
      <c r="S848" s="5">
        <v>1.4</v>
      </c>
      <c r="T848" s="2"/>
      <c r="U848" s="5">
        <v>11.4</v>
      </c>
      <c r="V848" s="2"/>
      <c r="W848" s="5">
        <v>5.5</v>
      </c>
      <c r="X848" s="5">
        <v>5.5</v>
      </c>
      <c r="Y848" s="5">
        <v>5.5</v>
      </c>
      <c r="Z848" s="5">
        <v>6.5</v>
      </c>
      <c r="AA848" s="6">
        <v>2.56</v>
      </c>
      <c r="AB848" s="7">
        <v>11.19</v>
      </c>
      <c r="AC848" s="2"/>
    </row>
    <row r="849" spans="1:29" ht="143" x14ac:dyDescent="0.15">
      <c r="A849" s="3">
        <f>DATE(1992,6,9)</f>
        <v>33764</v>
      </c>
      <c r="B849" s="3">
        <f>DATE(1992,10,29)</f>
        <v>33906</v>
      </c>
      <c r="C849" s="2" t="s">
        <v>95</v>
      </c>
      <c r="D849" s="2" t="s">
        <v>2942</v>
      </c>
      <c r="E849" s="2" t="s">
        <v>2943</v>
      </c>
      <c r="F849" s="4">
        <v>5141</v>
      </c>
      <c r="G849" s="2" t="s">
        <v>593</v>
      </c>
      <c r="H849" s="2" t="s">
        <v>34</v>
      </c>
      <c r="I849" s="2" t="s">
        <v>2944</v>
      </c>
      <c r="J849" s="2" t="s">
        <v>2945</v>
      </c>
      <c r="K849" s="2" t="s">
        <v>593</v>
      </c>
      <c r="L849" s="2" t="s">
        <v>34</v>
      </c>
      <c r="M849" s="2"/>
      <c r="N849" s="5">
        <v>25.5</v>
      </c>
      <c r="O849" s="7">
        <v>25.625</v>
      </c>
      <c r="P849" s="2" t="s">
        <v>2946</v>
      </c>
      <c r="Q849" s="6">
        <v>100</v>
      </c>
      <c r="R849" s="6">
        <v>30.25</v>
      </c>
      <c r="S849" s="5">
        <v>51.7</v>
      </c>
      <c r="T849" s="7">
        <v>163.14699999999999</v>
      </c>
      <c r="U849" s="5">
        <v>12.5</v>
      </c>
      <c r="V849" s="6">
        <v>2.2599999999999998</v>
      </c>
      <c r="W849" s="6">
        <v>22.75</v>
      </c>
      <c r="X849" s="4">
        <v>24</v>
      </c>
      <c r="Y849" s="4">
        <v>24</v>
      </c>
      <c r="Z849" s="7">
        <v>30.875</v>
      </c>
      <c r="AA849" s="6">
        <v>21.3</v>
      </c>
      <c r="AB849" s="7">
        <v>9.7780000000000005</v>
      </c>
      <c r="AC849" s="6">
        <v>1.55</v>
      </c>
    </row>
    <row r="850" spans="1:29" ht="130" x14ac:dyDescent="0.15">
      <c r="A850" s="3">
        <f>DATE(1992,6,10)</f>
        <v>33765</v>
      </c>
      <c r="B850" s="2"/>
      <c r="C850" s="2" t="s">
        <v>30</v>
      </c>
      <c r="D850" s="2" t="s">
        <v>2947</v>
      </c>
      <c r="E850" s="2" t="s">
        <v>2948</v>
      </c>
      <c r="F850" s="4">
        <v>3842</v>
      </c>
      <c r="G850" s="2" t="s">
        <v>226</v>
      </c>
      <c r="H850" s="2" t="s">
        <v>34</v>
      </c>
      <c r="I850" s="2" t="s">
        <v>2949</v>
      </c>
      <c r="J850" s="2" t="s">
        <v>563</v>
      </c>
      <c r="K850" s="2" t="s">
        <v>226</v>
      </c>
      <c r="L850" s="2" t="s">
        <v>34</v>
      </c>
      <c r="M850" s="2"/>
      <c r="N850" s="7">
        <v>16.375</v>
      </c>
      <c r="O850" s="4">
        <v>15</v>
      </c>
      <c r="P850" s="2" t="s">
        <v>2950</v>
      </c>
      <c r="Q850" s="2"/>
      <c r="R850" s="6">
        <v>14.84</v>
      </c>
      <c r="S850" s="5">
        <v>-3.1</v>
      </c>
      <c r="T850" s="2"/>
      <c r="U850" s="5">
        <v>5</v>
      </c>
      <c r="V850" s="2"/>
      <c r="W850" s="6">
        <v>8.75</v>
      </c>
      <c r="X850" s="6">
        <v>8.25</v>
      </c>
      <c r="Y850" s="6">
        <v>8.75</v>
      </c>
      <c r="Z850" s="5">
        <v>11.5</v>
      </c>
      <c r="AA850" s="6">
        <v>2.4900000000000002</v>
      </c>
      <c r="AB850" s="7">
        <v>112.94499999999999</v>
      </c>
      <c r="AC850" s="2"/>
    </row>
    <row r="851" spans="1:29" ht="65" x14ac:dyDescent="0.15">
      <c r="A851" s="3">
        <f>DATE(1992,6,11)</f>
        <v>33766</v>
      </c>
      <c r="B851" s="2"/>
      <c r="C851" s="2" t="s">
        <v>30</v>
      </c>
      <c r="D851" s="2" t="s">
        <v>1029</v>
      </c>
      <c r="E851" s="2" t="s">
        <v>1030</v>
      </c>
      <c r="F851" s="4">
        <v>5945</v>
      </c>
      <c r="G851" s="2" t="s">
        <v>73</v>
      </c>
      <c r="H851" s="2" t="s">
        <v>34</v>
      </c>
      <c r="I851" s="2" t="s">
        <v>1681</v>
      </c>
      <c r="J851" s="2" t="s">
        <v>1682</v>
      </c>
      <c r="K851" s="2" t="s">
        <v>73</v>
      </c>
      <c r="L851" s="2" t="s">
        <v>34</v>
      </c>
      <c r="M851" s="2"/>
      <c r="N851" s="7">
        <v>0.375</v>
      </c>
      <c r="O851" s="7">
        <v>0.375</v>
      </c>
      <c r="P851" s="2" t="s">
        <v>2951</v>
      </c>
      <c r="Q851" s="2"/>
      <c r="R851" s="2"/>
      <c r="S851" s="5">
        <v>-236.6</v>
      </c>
      <c r="T851" s="2"/>
      <c r="U851" s="5">
        <v>-4.8</v>
      </c>
      <c r="V851" s="2"/>
      <c r="W851" s="7">
        <v>1.375</v>
      </c>
      <c r="X851" s="7">
        <v>1.375</v>
      </c>
      <c r="Y851" s="7">
        <v>1.375</v>
      </c>
      <c r="Z851" s="7">
        <v>1.375</v>
      </c>
      <c r="AA851" s="2"/>
      <c r="AB851" s="2" t="s">
        <v>86</v>
      </c>
      <c r="AC851" s="6">
        <v>15.32</v>
      </c>
    </row>
    <row r="852" spans="1:29" ht="104" x14ac:dyDescent="0.15">
      <c r="A852" s="3">
        <f>DATE(1992,6,11)</f>
        <v>33766</v>
      </c>
      <c r="B852" s="2"/>
      <c r="C852" s="2" t="s">
        <v>82</v>
      </c>
      <c r="D852" s="2" t="s">
        <v>2639</v>
      </c>
      <c r="E852" s="2" t="s">
        <v>2640</v>
      </c>
      <c r="F852" s="4">
        <v>3462</v>
      </c>
      <c r="G852" s="2" t="s">
        <v>163</v>
      </c>
      <c r="H852" s="2" t="s">
        <v>34</v>
      </c>
      <c r="I852" s="2" t="s">
        <v>149</v>
      </c>
      <c r="J852" s="2" t="s">
        <v>150</v>
      </c>
      <c r="K852" s="2" t="s">
        <v>53</v>
      </c>
      <c r="L852" s="2" t="s">
        <v>151</v>
      </c>
      <c r="M852" s="2"/>
      <c r="N852" s="2"/>
      <c r="O852" s="2"/>
      <c r="P852" s="2" t="s">
        <v>2952</v>
      </c>
      <c r="Q852" s="2"/>
      <c r="R852" s="2"/>
      <c r="S852" s="5">
        <v>-4</v>
      </c>
      <c r="T852" s="7">
        <v>4.806</v>
      </c>
      <c r="U852" s="5">
        <v>7.1</v>
      </c>
      <c r="V852" s="6">
        <v>-0.72</v>
      </c>
      <c r="W852" s="7">
        <v>4.125</v>
      </c>
      <c r="X852" s="6">
        <v>3.75</v>
      </c>
      <c r="Y852" s="7">
        <v>3.875</v>
      </c>
      <c r="Z852" s="5">
        <v>4.5</v>
      </c>
      <c r="AA852" s="6">
        <v>5.61</v>
      </c>
      <c r="AB852" s="2" t="s">
        <v>47</v>
      </c>
      <c r="AC852" s="2"/>
    </row>
    <row r="853" spans="1:29" ht="143" x14ac:dyDescent="0.15">
      <c r="A853" s="3">
        <f>DATE(1992,6,11)</f>
        <v>33766</v>
      </c>
      <c r="B853" s="3">
        <f>DATE(1993,1,15)</f>
        <v>33984</v>
      </c>
      <c r="C853" s="2" t="s">
        <v>95</v>
      </c>
      <c r="D853" s="2" t="s">
        <v>2953</v>
      </c>
      <c r="E853" s="2" t="s">
        <v>1398</v>
      </c>
      <c r="F853" s="4">
        <v>6035</v>
      </c>
      <c r="G853" s="2" t="s">
        <v>33</v>
      </c>
      <c r="H853" s="2" t="s">
        <v>34</v>
      </c>
      <c r="I853" s="2" t="s">
        <v>2897</v>
      </c>
      <c r="J853" s="2" t="s">
        <v>2898</v>
      </c>
      <c r="K853" s="2" t="s">
        <v>37</v>
      </c>
      <c r="L853" s="2" t="s">
        <v>34</v>
      </c>
      <c r="M853" s="10">
        <v>5093.55</v>
      </c>
      <c r="N853" s="5">
        <v>37.5</v>
      </c>
      <c r="O853" s="7">
        <v>37.375</v>
      </c>
      <c r="P853" s="2" t="s">
        <v>2954</v>
      </c>
      <c r="Q853" s="6">
        <v>100</v>
      </c>
      <c r="R853" s="6">
        <v>27.93</v>
      </c>
      <c r="S853" s="5">
        <v>5.9</v>
      </c>
      <c r="T853" s="7">
        <v>10.544</v>
      </c>
      <c r="U853" s="5">
        <v>20.399999999999999</v>
      </c>
      <c r="V853" s="6">
        <v>2.29</v>
      </c>
      <c r="W853" s="7">
        <v>16.375</v>
      </c>
      <c r="X853" s="6">
        <v>16.75</v>
      </c>
      <c r="Y853" s="6">
        <v>18.25</v>
      </c>
      <c r="Z853" s="5">
        <v>21.5</v>
      </c>
      <c r="AA853" s="6">
        <v>2.79</v>
      </c>
      <c r="AB853" s="7">
        <v>87.751999999999995</v>
      </c>
      <c r="AC853" s="2"/>
    </row>
    <row r="854" spans="1:29" ht="156" x14ac:dyDescent="0.15">
      <c r="A854" s="3">
        <f>DATE(1992,6,12)</f>
        <v>33767</v>
      </c>
      <c r="B854" s="3">
        <f>DATE(1993,1,15)</f>
        <v>33984</v>
      </c>
      <c r="C854" s="2" t="s">
        <v>95</v>
      </c>
      <c r="D854" s="2" t="s">
        <v>2955</v>
      </c>
      <c r="E854" s="2" t="s">
        <v>36</v>
      </c>
      <c r="F854" s="4">
        <v>6036</v>
      </c>
      <c r="G854" s="2" t="s">
        <v>33</v>
      </c>
      <c r="H854" s="2" t="s">
        <v>34</v>
      </c>
      <c r="I854" s="2" t="s">
        <v>1745</v>
      </c>
      <c r="J854" s="2" t="s">
        <v>1746</v>
      </c>
      <c r="K854" s="2" t="s">
        <v>33</v>
      </c>
      <c r="L854" s="2" t="s">
        <v>34</v>
      </c>
      <c r="M854" s="7">
        <v>168.048</v>
      </c>
      <c r="N854" s="5">
        <v>11.5</v>
      </c>
      <c r="O854" s="6">
        <v>11.75</v>
      </c>
      <c r="P854" s="2" t="s">
        <v>2956</v>
      </c>
      <c r="Q854" s="6">
        <v>100</v>
      </c>
      <c r="R854" s="6">
        <v>21.56</v>
      </c>
      <c r="S854" s="5">
        <v>3.5</v>
      </c>
      <c r="T854" s="7">
        <v>7.9889999999999999</v>
      </c>
      <c r="U854" s="5">
        <v>18.7</v>
      </c>
      <c r="V854" s="6">
        <v>0.86</v>
      </c>
      <c r="W854" s="7">
        <v>13.875</v>
      </c>
      <c r="X854" s="7">
        <v>14.875</v>
      </c>
      <c r="Y854" s="4">
        <v>16</v>
      </c>
      <c r="Z854" s="4">
        <v>16</v>
      </c>
      <c r="AA854" s="6">
        <v>4.28</v>
      </c>
      <c r="AB854" s="7">
        <v>117.392</v>
      </c>
      <c r="AC854" s="2"/>
    </row>
    <row r="855" spans="1:29" ht="156" x14ac:dyDescent="0.15">
      <c r="A855" s="3">
        <f>DATE(1992,6,16)</f>
        <v>33771</v>
      </c>
      <c r="B855" s="3">
        <f>DATE(1992,10,5)</f>
        <v>33882</v>
      </c>
      <c r="C855" s="2" t="s">
        <v>95</v>
      </c>
      <c r="D855" s="2" t="s">
        <v>2957</v>
      </c>
      <c r="E855" s="2" t="s">
        <v>2958</v>
      </c>
      <c r="F855" s="2" t="s">
        <v>2959</v>
      </c>
      <c r="G855" s="2" t="s">
        <v>426</v>
      </c>
      <c r="H855" s="2" t="s">
        <v>34</v>
      </c>
      <c r="I855" s="2" t="s">
        <v>2960</v>
      </c>
      <c r="J855" s="2" t="s">
        <v>2961</v>
      </c>
      <c r="K855" s="2" t="s">
        <v>577</v>
      </c>
      <c r="L855" s="2" t="s">
        <v>34</v>
      </c>
      <c r="M855" s="2"/>
      <c r="N855" s="5">
        <v>17.5</v>
      </c>
      <c r="O855" s="5">
        <v>17.5</v>
      </c>
      <c r="P855" s="2" t="s">
        <v>2962</v>
      </c>
      <c r="Q855" s="6">
        <v>100</v>
      </c>
      <c r="R855" s="6">
        <v>12.75</v>
      </c>
      <c r="S855" s="5">
        <v>16.8</v>
      </c>
      <c r="T855" s="7">
        <v>49.268000000000001</v>
      </c>
      <c r="U855" s="5">
        <v>7.2</v>
      </c>
      <c r="V855" s="6">
        <v>0.5</v>
      </c>
      <c r="W855" s="6">
        <v>6.25</v>
      </c>
      <c r="X855" s="7">
        <v>6.875</v>
      </c>
      <c r="Y855" s="7">
        <v>11.625</v>
      </c>
      <c r="Z855" s="6">
        <v>11.75</v>
      </c>
      <c r="AA855" s="6">
        <v>16.649999999999999</v>
      </c>
      <c r="AB855" s="7">
        <v>10.536</v>
      </c>
      <c r="AC855" s="6">
        <v>25.45</v>
      </c>
    </row>
    <row r="856" spans="1:29" ht="91" x14ac:dyDescent="0.15">
      <c r="A856" s="3">
        <f>DATE(1992,6,16)</f>
        <v>33771</v>
      </c>
      <c r="B856" s="2"/>
      <c r="C856" s="2" t="s">
        <v>87</v>
      </c>
      <c r="D856" s="2" t="s">
        <v>2963</v>
      </c>
      <c r="E856" s="2" t="s">
        <v>2964</v>
      </c>
      <c r="F856" s="4">
        <v>1041</v>
      </c>
      <c r="G856" s="2" t="s">
        <v>166</v>
      </c>
      <c r="H856" s="2" t="s">
        <v>34</v>
      </c>
      <c r="I856" s="2" t="s">
        <v>138</v>
      </c>
      <c r="J856" s="2" t="s">
        <v>139</v>
      </c>
      <c r="K856" s="2" t="s">
        <v>53</v>
      </c>
      <c r="L856" s="2" t="s">
        <v>139</v>
      </c>
      <c r="M856" s="2"/>
      <c r="N856" s="2"/>
      <c r="O856" s="2"/>
      <c r="P856" s="2" t="s">
        <v>2965</v>
      </c>
      <c r="Q856" s="2"/>
      <c r="R856" s="2"/>
      <c r="S856" s="5">
        <v>-0.4</v>
      </c>
      <c r="T856" s="7">
        <v>3.3000000000000002E-2</v>
      </c>
      <c r="U856" s="5">
        <v>0.5</v>
      </c>
      <c r="V856" s="7">
        <v>-3.5000000000000003E-2</v>
      </c>
      <c r="W856" s="9">
        <v>1.3125</v>
      </c>
      <c r="X856" s="9">
        <v>1.1875</v>
      </c>
      <c r="Y856" s="6">
        <v>1.25</v>
      </c>
      <c r="Z856" s="6">
        <v>1.25</v>
      </c>
      <c r="AA856" s="2"/>
      <c r="AB856" s="2" t="s">
        <v>86</v>
      </c>
      <c r="AC856" s="2"/>
    </row>
    <row r="857" spans="1:29" ht="156" x14ac:dyDescent="0.15">
      <c r="A857" s="3">
        <f>DATE(1992,6,17)</f>
        <v>33772</v>
      </c>
      <c r="B857" s="3">
        <f>DATE(1992,9,9)</f>
        <v>33856</v>
      </c>
      <c r="C857" s="2" t="s">
        <v>95</v>
      </c>
      <c r="D857" s="2" t="s">
        <v>2966</v>
      </c>
      <c r="E857" s="2" t="s">
        <v>1482</v>
      </c>
      <c r="F857" s="4">
        <v>8082</v>
      </c>
      <c r="G857" s="2" t="s">
        <v>454</v>
      </c>
      <c r="H857" s="2" t="s">
        <v>34</v>
      </c>
      <c r="I857" s="2" t="s">
        <v>2967</v>
      </c>
      <c r="J857" s="2" t="s">
        <v>2968</v>
      </c>
      <c r="K857" s="2" t="s">
        <v>454</v>
      </c>
      <c r="L857" s="2" t="s">
        <v>34</v>
      </c>
      <c r="M857" s="12">
        <v>1268.7149999999999</v>
      </c>
      <c r="N857" s="5">
        <v>48.5</v>
      </c>
      <c r="O857" s="4">
        <v>47</v>
      </c>
      <c r="P857" s="2" t="s">
        <v>2969</v>
      </c>
      <c r="Q857" s="6">
        <v>100</v>
      </c>
      <c r="R857" s="6">
        <v>39.6</v>
      </c>
      <c r="S857" s="5">
        <v>29.2</v>
      </c>
      <c r="T857" s="7">
        <v>55.231999999999999</v>
      </c>
      <c r="U857" s="5">
        <v>10.4</v>
      </c>
      <c r="V857" s="6">
        <v>1.35</v>
      </c>
      <c r="W857" s="6">
        <v>37.25</v>
      </c>
      <c r="X857" s="6">
        <v>39.25</v>
      </c>
      <c r="Y857" s="7">
        <v>35.375</v>
      </c>
      <c r="Z857" s="6">
        <v>34.25</v>
      </c>
      <c r="AA857" s="6">
        <v>21.37</v>
      </c>
      <c r="AB857" s="7">
        <v>15.897</v>
      </c>
      <c r="AC857" s="6">
        <v>109.25</v>
      </c>
    </row>
    <row r="858" spans="1:29" ht="143" x14ac:dyDescent="0.15">
      <c r="A858" s="3">
        <f>DATE(1992,6,17)</f>
        <v>33772</v>
      </c>
      <c r="B858" s="3">
        <f>DATE(1992,12,2)</f>
        <v>33940</v>
      </c>
      <c r="C858" s="2" t="s">
        <v>95</v>
      </c>
      <c r="D858" s="2" t="s">
        <v>2970</v>
      </c>
      <c r="E858" s="2" t="s">
        <v>386</v>
      </c>
      <c r="F858" s="4">
        <v>6726</v>
      </c>
      <c r="G858" s="2" t="s">
        <v>53</v>
      </c>
      <c r="H858" s="2" t="s">
        <v>34</v>
      </c>
      <c r="I858" s="2" t="s">
        <v>2971</v>
      </c>
      <c r="J858" s="2" t="s">
        <v>92</v>
      </c>
      <c r="K858" s="2" t="s">
        <v>53</v>
      </c>
      <c r="L858" s="2" t="s">
        <v>34</v>
      </c>
      <c r="M858" s="7">
        <v>472.76799999999997</v>
      </c>
      <c r="N858" s="5">
        <v>31.5</v>
      </c>
      <c r="O858" s="6">
        <v>32.25</v>
      </c>
      <c r="P858" s="2" t="s">
        <v>2972</v>
      </c>
      <c r="Q858" s="6">
        <v>100</v>
      </c>
      <c r="R858" s="2"/>
      <c r="S858" s="5">
        <v>23.5</v>
      </c>
      <c r="T858" s="2"/>
      <c r="U858" s="2"/>
      <c r="V858" s="2"/>
      <c r="W858" s="6">
        <v>12.25</v>
      </c>
      <c r="X858" s="6">
        <v>12.25</v>
      </c>
      <c r="Y858" s="7">
        <v>11.625</v>
      </c>
      <c r="Z858" s="7">
        <v>11.875</v>
      </c>
      <c r="AA858" s="6">
        <v>29.34</v>
      </c>
      <c r="AB858" s="7">
        <v>11.036</v>
      </c>
      <c r="AC858" s="6">
        <v>25.74</v>
      </c>
    </row>
    <row r="859" spans="1:29" ht="143" x14ac:dyDescent="0.15">
      <c r="A859" s="3">
        <f>DATE(1992,6,18)</f>
        <v>33773</v>
      </c>
      <c r="B859" s="3">
        <f>DATE(1992,12,11)</f>
        <v>33949</v>
      </c>
      <c r="C859" s="2" t="s">
        <v>95</v>
      </c>
      <c r="D859" s="2" t="s">
        <v>2973</v>
      </c>
      <c r="E859" s="2" t="s">
        <v>389</v>
      </c>
      <c r="F859" s="4">
        <v>6035</v>
      </c>
      <c r="G859" s="2" t="s">
        <v>33</v>
      </c>
      <c r="H859" s="2" t="s">
        <v>34</v>
      </c>
      <c r="I859" s="2" t="s">
        <v>2336</v>
      </c>
      <c r="J859" s="2" t="s">
        <v>2337</v>
      </c>
      <c r="K859" s="2" t="s">
        <v>37</v>
      </c>
      <c r="L859" s="2" t="s">
        <v>34</v>
      </c>
      <c r="M859" s="10">
        <v>1202.01</v>
      </c>
      <c r="N859" s="6">
        <v>25.25</v>
      </c>
      <c r="O859" s="7">
        <v>25.375</v>
      </c>
      <c r="P859" s="2" t="s">
        <v>2974</v>
      </c>
      <c r="Q859" s="6">
        <v>100</v>
      </c>
      <c r="R859" s="6">
        <v>24.23</v>
      </c>
      <c r="S859" s="5">
        <v>2.9</v>
      </c>
      <c r="T859" s="7">
        <v>6.1120000000000001</v>
      </c>
      <c r="U859" s="5">
        <v>26</v>
      </c>
      <c r="V859" s="6">
        <v>2.15</v>
      </c>
      <c r="W859" s="6">
        <v>19.25</v>
      </c>
      <c r="X859" s="5">
        <v>17.5</v>
      </c>
      <c r="Y859" s="7">
        <v>18.375</v>
      </c>
      <c r="Z859" s="5">
        <v>20.5</v>
      </c>
      <c r="AA859" s="6">
        <v>1.35</v>
      </c>
      <c r="AB859" s="7">
        <v>81.873000000000005</v>
      </c>
      <c r="AC859" s="2"/>
    </row>
    <row r="860" spans="1:29" ht="143" x14ac:dyDescent="0.15">
      <c r="A860" s="3">
        <f>DATE(1992,6,23)</f>
        <v>33778</v>
      </c>
      <c r="B860" s="2"/>
      <c r="C860" s="2" t="s">
        <v>82</v>
      </c>
      <c r="D860" s="2" t="s">
        <v>2798</v>
      </c>
      <c r="E860" s="2" t="s">
        <v>36</v>
      </c>
      <c r="F860" s="4">
        <v>6712</v>
      </c>
      <c r="G860" s="2" t="s">
        <v>37</v>
      </c>
      <c r="H860" s="2" t="s">
        <v>34</v>
      </c>
      <c r="I860" s="2" t="s">
        <v>51</v>
      </c>
      <c r="J860" s="2" t="s">
        <v>52</v>
      </c>
      <c r="K860" s="2" t="s">
        <v>53</v>
      </c>
      <c r="L860" s="2" t="s">
        <v>34</v>
      </c>
      <c r="M860" s="2"/>
      <c r="N860" s="2"/>
      <c r="O860" s="2"/>
      <c r="P860" s="2" t="s">
        <v>2975</v>
      </c>
      <c r="Q860" s="2"/>
      <c r="R860" s="2"/>
      <c r="S860" s="5">
        <v>-224.8</v>
      </c>
      <c r="T860" s="7">
        <v>-186.55699999999999</v>
      </c>
      <c r="U860" s="5">
        <v>5.0999999999999996</v>
      </c>
      <c r="V860" s="6">
        <v>-13.35</v>
      </c>
      <c r="W860" s="7">
        <v>5.125</v>
      </c>
      <c r="X860" s="4">
        <v>5</v>
      </c>
      <c r="Y860" s="7">
        <v>4.875</v>
      </c>
      <c r="Z860" s="7">
        <v>4.375</v>
      </c>
      <c r="AA860" s="2"/>
      <c r="AB860" s="2" t="s">
        <v>86</v>
      </c>
      <c r="AC860" s="2"/>
    </row>
    <row r="861" spans="1:29" ht="52" x14ac:dyDescent="0.15">
      <c r="A861" s="3">
        <f>DATE(1992,6,23)</f>
        <v>33778</v>
      </c>
      <c r="B861" s="2"/>
      <c r="C861" s="2" t="s">
        <v>56</v>
      </c>
      <c r="D861" s="2" t="s">
        <v>2976</v>
      </c>
      <c r="E861" s="2" t="s">
        <v>2977</v>
      </c>
      <c r="F861" s="4">
        <v>2836</v>
      </c>
      <c r="G861" s="2" t="s">
        <v>130</v>
      </c>
      <c r="H861" s="2" t="s">
        <v>34</v>
      </c>
      <c r="I861" s="2" t="s">
        <v>539</v>
      </c>
      <c r="J861" s="2" t="s">
        <v>540</v>
      </c>
      <c r="K861" s="2" t="s">
        <v>130</v>
      </c>
      <c r="L861" s="2" t="s">
        <v>34</v>
      </c>
      <c r="M861" s="2"/>
      <c r="N861" s="7">
        <v>6.375</v>
      </c>
      <c r="O861" s="4">
        <v>6</v>
      </c>
      <c r="P861" s="2" t="s">
        <v>2978</v>
      </c>
      <c r="Q861" s="2"/>
      <c r="R861" s="2"/>
      <c r="S861" s="5">
        <v>-1.4</v>
      </c>
      <c r="T861" s="7">
        <v>-1.3240000000000001</v>
      </c>
      <c r="U861" s="5">
        <v>0.7</v>
      </c>
      <c r="V861" s="6">
        <v>-0.69</v>
      </c>
      <c r="W861" s="7">
        <v>1.4379999999999999</v>
      </c>
      <c r="X861" s="7">
        <v>1.375</v>
      </c>
      <c r="Y861" s="7">
        <v>1.875</v>
      </c>
      <c r="Z861" s="7">
        <v>2.125</v>
      </c>
      <c r="AA861" s="2"/>
      <c r="AB861" s="2" t="s">
        <v>86</v>
      </c>
      <c r="AC861" s="2"/>
    </row>
    <row r="862" spans="1:29" ht="104" x14ac:dyDescent="0.15">
      <c r="A862" s="3">
        <f>DATE(1992,6,25)</f>
        <v>33780</v>
      </c>
      <c r="B862" s="2"/>
      <c r="C862" s="2" t="s">
        <v>82</v>
      </c>
      <c r="D862" s="2" t="s">
        <v>2979</v>
      </c>
      <c r="E862" s="2" t="s">
        <v>229</v>
      </c>
      <c r="F862" s="4">
        <v>5812</v>
      </c>
      <c r="G862" s="2" t="s">
        <v>230</v>
      </c>
      <c r="H862" s="2" t="s">
        <v>34</v>
      </c>
      <c r="I862" s="2" t="s">
        <v>1626</v>
      </c>
      <c r="J862" s="2" t="s">
        <v>244</v>
      </c>
      <c r="K862" s="2" t="s">
        <v>53</v>
      </c>
      <c r="L862" s="2" t="s">
        <v>34</v>
      </c>
      <c r="M862" s="2"/>
      <c r="N862" s="2"/>
      <c r="O862" s="2"/>
      <c r="P862" s="2" t="s">
        <v>2980</v>
      </c>
      <c r="Q862" s="2"/>
      <c r="R862" s="6">
        <v>3.5</v>
      </c>
      <c r="S862" s="5">
        <v>-67.599999999999994</v>
      </c>
      <c r="T862" s="7">
        <v>76.983999999999995</v>
      </c>
      <c r="U862" s="5">
        <v>0.7</v>
      </c>
      <c r="V862" s="6">
        <v>-0.61</v>
      </c>
      <c r="W862" s="4">
        <v>3</v>
      </c>
      <c r="X862" s="9">
        <v>3.0625</v>
      </c>
      <c r="Y862" s="7">
        <v>3.375</v>
      </c>
      <c r="Z862" s="7">
        <v>3.4380000000000002</v>
      </c>
      <c r="AA862" s="6">
        <v>111</v>
      </c>
      <c r="AB862" s="2" t="s">
        <v>86</v>
      </c>
      <c r="AC862" s="2"/>
    </row>
    <row r="863" spans="1:29" ht="143" x14ac:dyDescent="0.15">
      <c r="A863" s="3">
        <f>DATE(1992,6,25)</f>
        <v>33780</v>
      </c>
      <c r="B863" s="2"/>
      <c r="C863" s="2" t="s">
        <v>30</v>
      </c>
      <c r="D863" s="2" t="s">
        <v>2981</v>
      </c>
      <c r="E863" s="2" t="s">
        <v>2982</v>
      </c>
      <c r="F863" s="4">
        <v>3643</v>
      </c>
      <c r="G863" s="2" t="s">
        <v>137</v>
      </c>
      <c r="H863" s="2" t="s">
        <v>34</v>
      </c>
      <c r="I863" s="2" t="s">
        <v>2983</v>
      </c>
      <c r="J863" s="2" t="s">
        <v>52</v>
      </c>
      <c r="K863" s="2" t="s">
        <v>53</v>
      </c>
      <c r="L863" s="2" t="s">
        <v>34</v>
      </c>
      <c r="M863" s="2"/>
      <c r="N863" s="2"/>
      <c r="O863" s="2"/>
      <c r="P863" s="2" t="s">
        <v>2984</v>
      </c>
      <c r="Q863" s="2"/>
      <c r="R863" s="6">
        <v>25.75</v>
      </c>
      <c r="S863" s="5">
        <v>7.7</v>
      </c>
      <c r="T863" s="7">
        <v>-1.296</v>
      </c>
      <c r="U863" s="5">
        <v>27.6</v>
      </c>
      <c r="V863" s="6">
        <v>0.82</v>
      </c>
      <c r="W863" s="4">
        <v>17</v>
      </c>
      <c r="X863" s="6">
        <v>16.75</v>
      </c>
      <c r="Y863" s="6">
        <v>20.75</v>
      </c>
      <c r="Z863" s="7">
        <v>20.125</v>
      </c>
      <c r="AA863" s="6">
        <v>9.02</v>
      </c>
      <c r="AB863" s="2" t="s">
        <v>86</v>
      </c>
      <c r="AC863" s="2"/>
    </row>
    <row r="864" spans="1:29" ht="52" x14ac:dyDescent="0.15">
      <c r="A864" s="3">
        <f>DATE(1992,6,26)</f>
        <v>33781</v>
      </c>
      <c r="B864" s="2"/>
      <c r="C864" s="2" t="s">
        <v>87</v>
      </c>
      <c r="D864" s="2" t="s">
        <v>2985</v>
      </c>
      <c r="E864" s="2" t="s">
        <v>2986</v>
      </c>
      <c r="F864" s="4">
        <v>3634</v>
      </c>
      <c r="G864" s="2" t="s">
        <v>137</v>
      </c>
      <c r="H864" s="2" t="s">
        <v>34</v>
      </c>
      <c r="I864" s="2" t="s">
        <v>138</v>
      </c>
      <c r="J864" s="2" t="s">
        <v>139</v>
      </c>
      <c r="K864" s="2" t="s">
        <v>53</v>
      </c>
      <c r="L864" s="2" t="s">
        <v>139</v>
      </c>
      <c r="M864" s="2"/>
      <c r="N864" s="2"/>
      <c r="O864" s="2"/>
      <c r="P864" s="2" t="s">
        <v>2987</v>
      </c>
      <c r="Q864" s="2"/>
      <c r="R864" s="2"/>
      <c r="S864" s="5">
        <v>-1.7</v>
      </c>
      <c r="T864" s="7">
        <v>-6.0000000000000001E-3</v>
      </c>
      <c r="U864" s="5">
        <v>2.2000000000000002</v>
      </c>
      <c r="V864" s="6">
        <v>-0.57999999999999996</v>
      </c>
      <c r="W864" s="4">
        <v>2</v>
      </c>
      <c r="X864" s="7">
        <v>2.125</v>
      </c>
      <c r="Y864" s="7">
        <v>2.125</v>
      </c>
      <c r="Z864" s="7">
        <v>2.0630000000000002</v>
      </c>
      <c r="AA864" s="2"/>
      <c r="AB864" s="2" t="s">
        <v>86</v>
      </c>
      <c r="AC864" s="2"/>
    </row>
    <row r="865" spans="1:29" ht="143" x14ac:dyDescent="0.15">
      <c r="A865" s="3">
        <f>DATE(1992,6,26)</f>
        <v>33781</v>
      </c>
      <c r="B865" s="3">
        <f>DATE(1992,12,31)</f>
        <v>33969</v>
      </c>
      <c r="C865" s="2" t="s">
        <v>95</v>
      </c>
      <c r="D865" s="2" t="s">
        <v>2988</v>
      </c>
      <c r="E865" s="2" t="s">
        <v>2989</v>
      </c>
      <c r="F865" s="4">
        <v>3675</v>
      </c>
      <c r="G865" s="2" t="s">
        <v>137</v>
      </c>
      <c r="H865" s="2" t="s">
        <v>34</v>
      </c>
      <c r="I865" s="2" t="s">
        <v>2990</v>
      </c>
      <c r="J865" s="2" t="s">
        <v>2991</v>
      </c>
      <c r="K865" s="2" t="s">
        <v>125</v>
      </c>
      <c r="L865" s="2" t="s">
        <v>34</v>
      </c>
      <c r="M865" s="2"/>
      <c r="N865" s="7">
        <v>20.125</v>
      </c>
      <c r="O865" s="7">
        <v>20.375</v>
      </c>
      <c r="P865" s="2" t="s">
        <v>2992</v>
      </c>
      <c r="Q865" s="6">
        <v>63.28</v>
      </c>
      <c r="R865" s="6">
        <v>7.25</v>
      </c>
      <c r="S865" s="5">
        <v>-52.5</v>
      </c>
      <c r="T865" s="5">
        <v>-23.6</v>
      </c>
      <c r="U865" s="5">
        <v>6</v>
      </c>
      <c r="V865" s="6">
        <v>-2.92</v>
      </c>
      <c r="W865" s="7">
        <v>6.375</v>
      </c>
      <c r="X865" s="6">
        <v>6.25</v>
      </c>
      <c r="Y865" s="7">
        <v>6.125</v>
      </c>
      <c r="Z865" s="4">
        <v>6</v>
      </c>
      <c r="AA865" s="6">
        <v>18.02</v>
      </c>
      <c r="AB865" s="2" t="s">
        <v>86</v>
      </c>
      <c r="AC865" s="2"/>
    </row>
    <row r="866" spans="1:29" ht="117" x14ac:dyDescent="0.15">
      <c r="A866" s="3">
        <f>DATE(1992,6,29)</f>
        <v>33784</v>
      </c>
      <c r="B866" s="3">
        <f>DATE(1993,1,15)</f>
        <v>33984</v>
      </c>
      <c r="C866" s="2" t="s">
        <v>95</v>
      </c>
      <c r="D866" s="2" t="s">
        <v>2993</v>
      </c>
      <c r="E866" s="2" t="s">
        <v>36</v>
      </c>
      <c r="F866" s="4">
        <v>6035</v>
      </c>
      <c r="G866" s="2" t="s">
        <v>33</v>
      </c>
      <c r="H866" s="2" t="s">
        <v>34</v>
      </c>
      <c r="I866" s="2" t="s">
        <v>2897</v>
      </c>
      <c r="J866" s="2" t="s">
        <v>2898</v>
      </c>
      <c r="K866" s="2" t="s">
        <v>37</v>
      </c>
      <c r="L866" s="2" t="s">
        <v>34</v>
      </c>
      <c r="M866" s="12">
        <v>5240.0079999999998</v>
      </c>
      <c r="N866" s="4">
        <v>38</v>
      </c>
      <c r="O866" s="7">
        <v>37.875</v>
      </c>
      <c r="P866" s="2" t="s">
        <v>2994</v>
      </c>
      <c r="Q866" s="6">
        <v>100</v>
      </c>
      <c r="R866" s="6">
        <v>31.78</v>
      </c>
      <c r="S866" s="5">
        <v>5.0999999999999996</v>
      </c>
      <c r="T866" s="7">
        <v>12.045999999999999</v>
      </c>
      <c r="U866" s="5">
        <v>29.8</v>
      </c>
      <c r="V866" s="6">
        <v>1.1000000000000001</v>
      </c>
      <c r="W866" s="6">
        <v>18.25</v>
      </c>
      <c r="X866" s="5">
        <v>18.5</v>
      </c>
      <c r="Y866" s="4">
        <v>28</v>
      </c>
      <c r="Z866" s="5">
        <v>28.5</v>
      </c>
      <c r="AA866" s="6">
        <v>4.58</v>
      </c>
      <c r="AB866" s="7">
        <v>282.7</v>
      </c>
      <c r="AC866" s="2"/>
    </row>
    <row r="867" spans="1:29" ht="130" x14ac:dyDescent="0.15">
      <c r="A867" s="3">
        <f>DATE(1992,6,29)</f>
        <v>33784</v>
      </c>
      <c r="B867" s="3">
        <f>DATE(1993,2,1)</f>
        <v>34001</v>
      </c>
      <c r="C867" s="2" t="s">
        <v>95</v>
      </c>
      <c r="D867" s="2" t="s">
        <v>232</v>
      </c>
      <c r="E867" s="2" t="s">
        <v>36</v>
      </c>
      <c r="F867" s="4">
        <v>6035</v>
      </c>
      <c r="G867" s="2" t="s">
        <v>33</v>
      </c>
      <c r="H867" s="2" t="s">
        <v>34</v>
      </c>
      <c r="I867" s="2" t="s">
        <v>2995</v>
      </c>
      <c r="J867" s="2" t="s">
        <v>159</v>
      </c>
      <c r="K867" s="2" t="s">
        <v>37</v>
      </c>
      <c r="L867" s="2" t="s">
        <v>34</v>
      </c>
      <c r="M867" s="10">
        <v>1192.9100000000001</v>
      </c>
      <c r="N867" s="6">
        <v>29.75</v>
      </c>
      <c r="O867" s="6">
        <v>28.75</v>
      </c>
      <c r="P867" s="2" t="s">
        <v>2996</v>
      </c>
      <c r="Q867" s="6">
        <v>100</v>
      </c>
      <c r="R867" s="6">
        <v>39.299999999999997</v>
      </c>
      <c r="S867" s="5">
        <v>7.8</v>
      </c>
      <c r="T867" s="7">
        <v>14.430999999999999</v>
      </c>
      <c r="U867" s="5">
        <v>32.5</v>
      </c>
      <c r="V867" s="6">
        <v>2.97</v>
      </c>
      <c r="W867" s="4">
        <v>25</v>
      </c>
      <c r="X867" s="5">
        <v>23.5</v>
      </c>
      <c r="Y867" s="4">
        <v>24</v>
      </c>
      <c r="Z867" s="6">
        <v>32.75</v>
      </c>
      <c r="AA867" s="6">
        <v>2.75</v>
      </c>
      <c r="AB867" s="7">
        <v>70.058000000000007</v>
      </c>
      <c r="AC867" s="2"/>
    </row>
    <row r="868" spans="1:29" ht="143" x14ac:dyDescent="0.15">
      <c r="A868" s="3">
        <f>DATE(1992,6,29)</f>
        <v>33784</v>
      </c>
      <c r="B868" s="2"/>
      <c r="C868" s="2" t="s">
        <v>30</v>
      </c>
      <c r="D868" s="2" t="s">
        <v>2798</v>
      </c>
      <c r="E868" s="2" t="s">
        <v>36</v>
      </c>
      <c r="F868" s="4">
        <v>6712</v>
      </c>
      <c r="G868" s="2" t="s">
        <v>37</v>
      </c>
      <c r="H868" s="2" t="s">
        <v>34</v>
      </c>
      <c r="I868" s="2" t="s">
        <v>2897</v>
      </c>
      <c r="J868" s="2" t="s">
        <v>2898</v>
      </c>
      <c r="K868" s="2" t="s">
        <v>37</v>
      </c>
      <c r="L868" s="2" t="s">
        <v>34</v>
      </c>
      <c r="M868" s="2"/>
      <c r="N868" s="4">
        <v>38</v>
      </c>
      <c r="O868" s="7">
        <v>37.875</v>
      </c>
      <c r="P868" s="2" t="s">
        <v>2997</v>
      </c>
      <c r="Q868" s="2"/>
      <c r="R868" s="2"/>
      <c r="S868" s="5">
        <v>-224.8</v>
      </c>
      <c r="T868" s="7">
        <v>-186.55699999999999</v>
      </c>
      <c r="U868" s="5">
        <v>5.0999999999999996</v>
      </c>
      <c r="V868" s="6">
        <v>-13.35</v>
      </c>
      <c r="W868" s="7">
        <v>5.125</v>
      </c>
      <c r="X868" s="4">
        <v>5</v>
      </c>
      <c r="Y868" s="7">
        <v>4.875</v>
      </c>
      <c r="Z868" s="7">
        <v>4.375</v>
      </c>
      <c r="AA868" s="2"/>
      <c r="AB868" s="2" t="s">
        <v>86</v>
      </c>
      <c r="AC868" s="2"/>
    </row>
    <row r="869" spans="1:29" ht="78" x14ac:dyDescent="0.15">
      <c r="A869" s="3">
        <f>DATE(1992,6,29)</f>
        <v>33784</v>
      </c>
      <c r="B869" s="3">
        <f>DATE(1992,7,2)</f>
        <v>33787</v>
      </c>
      <c r="C869" s="2" t="s">
        <v>95</v>
      </c>
      <c r="D869" s="2" t="s">
        <v>2998</v>
      </c>
      <c r="E869" s="2" t="s">
        <v>2999</v>
      </c>
      <c r="F869" s="4">
        <v>7372</v>
      </c>
      <c r="G869" s="2" t="s">
        <v>551</v>
      </c>
      <c r="H869" s="2" t="s">
        <v>34</v>
      </c>
      <c r="I869" s="2" t="s">
        <v>3000</v>
      </c>
      <c r="J869" s="2" t="s">
        <v>3001</v>
      </c>
      <c r="K869" s="2" t="s">
        <v>223</v>
      </c>
      <c r="L869" s="2" t="s">
        <v>34</v>
      </c>
      <c r="M869" s="2"/>
      <c r="N869" s="2"/>
      <c r="O869" s="2"/>
      <c r="P869" s="2" t="s">
        <v>3002</v>
      </c>
      <c r="Q869" s="6">
        <v>100</v>
      </c>
      <c r="R869" s="6">
        <v>5.35</v>
      </c>
      <c r="S869" s="5">
        <v>0.4</v>
      </c>
      <c r="T869" s="7">
        <v>1.234</v>
      </c>
      <c r="U869" s="5">
        <v>3.4</v>
      </c>
      <c r="V869" s="6">
        <v>0.22</v>
      </c>
      <c r="W869" s="6">
        <v>4.25</v>
      </c>
      <c r="X869" s="6">
        <v>4.25</v>
      </c>
      <c r="Y869" s="6">
        <v>4.25</v>
      </c>
      <c r="Z869" s="6">
        <v>4.25</v>
      </c>
      <c r="AA869" s="6">
        <v>1.89</v>
      </c>
      <c r="AB869" s="7">
        <v>17.375</v>
      </c>
      <c r="AC869" s="2"/>
    </row>
    <row r="870" spans="1:29" ht="156" x14ac:dyDescent="0.15">
      <c r="A870" s="3">
        <f>DATE(1992,7,1)</f>
        <v>33786</v>
      </c>
      <c r="B870" s="2"/>
      <c r="C870" s="2" t="s">
        <v>30</v>
      </c>
      <c r="D870" s="2" t="s">
        <v>1413</v>
      </c>
      <c r="E870" s="2" t="s">
        <v>612</v>
      </c>
      <c r="F870" s="4">
        <v>1311</v>
      </c>
      <c r="G870" s="2" t="s">
        <v>148</v>
      </c>
      <c r="H870" s="2" t="s">
        <v>34</v>
      </c>
      <c r="I870" s="2" t="s">
        <v>3003</v>
      </c>
      <c r="J870" s="2" t="s">
        <v>3004</v>
      </c>
      <c r="K870" s="2" t="s">
        <v>148</v>
      </c>
      <c r="L870" s="2" t="s">
        <v>34</v>
      </c>
      <c r="M870" s="2"/>
      <c r="N870" s="7">
        <v>15.625</v>
      </c>
      <c r="O870" s="7">
        <v>14.875</v>
      </c>
      <c r="P870" s="2" t="s">
        <v>3005</v>
      </c>
      <c r="Q870" s="2"/>
      <c r="R870" s="6">
        <v>14</v>
      </c>
      <c r="S870" s="5">
        <v>-2</v>
      </c>
      <c r="T870" s="5">
        <v>26.8</v>
      </c>
      <c r="U870" s="5">
        <v>11.7</v>
      </c>
      <c r="V870" s="2"/>
      <c r="W870" s="6">
        <v>11.75</v>
      </c>
      <c r="X870" s="5">
        <v>11.5</v>
      </c>
      <c r="Y870" s="4">
        <v>12</v>
      </c>
      <c r="Z870" s="6">
        <v>12.25</v>
      </c>
      <c r="AA870" s="6">
        <v>6.1</v>
      </c>
      <c r="AB870" s="2" t="s">
        <v>86</v>
      </c>
      <c r="AC870" s="6">
        <v>16.579999999999998</v>
      </c>
    </row>
    <row r="871" spans="1:29" ht="130" x14ac:dyDescent="0.15">
      <c r="A871" s="3">
        <f>DATE(1992,7,1)</f>
        <v>33786</v>
      </c>
      <c r="B871" s="3">
        <f>DATE(1993,2,26)</f>
        <v>34026</v>
      </c>
      <c r="C871" s="2" t="s">
        <v>95</v>
      </c>
      <c r="D871" s="2" t="s">
        <v>31</v>
      </c>
      <c r="E871" s="2" t="s">
        <v>32</v>
      </c>
      <c r="F871" s="4">
        <v>6035</v>
      </c>
      <c r="G871" s="2" t="s">
        <v>33</v>
      </c>
      <c r="H871" s="2" t="s">
        <v>34</v>
      </c>
      <c r="I871" s="2" t="s">
        <v>2694</v>
      </c>
      <c r="J871" s="2" t="s">
        <v>36</v>
      </c>
      <c r="K871" s="2" t="s">
        <v>37</v>
      </c>
      <c r="L871" s="2" t="s">
        <v>34</v>
      </c>
      <c r="M871" s="2"/>
      <c r="N871" s="7">
        <v>32.875</v>
      </c>
      <c r="O871" s="7">
        <v>32.875</v>
      </c>
      <c r="P871" s="2" t="s">
        <v>3006</v>
      </c>
      <c r="Q871" s="6">
        <v>100</v>
      </c>
      <c r="R871" s="6">
        <v>33</v>
      </c>
      <c r="S871" s="5">
        <v>4.0999999999999996</v>
      </c>
      <c r="T871" s="7">
        <v>7.157</v>
      </c>
      <c r="U871" s="5">
        <v>32</v>
      </c>
      <c r="V871" s="6">
        <v>3.11</v>
      </c>
      <c r="W871" s="5">
        <v>25.5</v>
      </c>
      <c r="X871" s="5">
        <v>25.5</v>
      </c>
      <c r="Y871" s="6">
        <v>30.25</v>
      </c>
      <c r="Z871" s="4">
        <v>28</v>
      </c>
      <c r="AA871" s="6">
        <v>1.96</v>
      </c>
      <c r="AB871" s="2" t="s">
        <v>86</v>
      </c>
      <c r="AC871" s="2"/>
    </row>
    <row r="872" spans="1:29" ht="78" x14ac:dyDescent="0.15">
      <c r="A872" s="3">
        <f>DATE(1992,7,2)</f>
        <v>33787</v>
      </c>
      <c r="B872" s="3">
        <f>DATE(1992,10,1)</f>
        <v>33878</v>
      </c>
      <c r="C872" s="2" t="s">
        <v>95</v>
      </c>
      <c r="D872" s="2" t="s">
        <v>3007</v>
      </c>
      <c r="E872" s="2" t="s">
        <v>3008</v>
      </c>
      <c r="F872" s="4">
        <v>8092</v>
      </c>
      <c r="G872" s="2" t="s">
        <v>454</v>
      </c>
      <c r="H872" s="2" t="s">
        <v>34</v>
      </c>
      <c r="I872" s="2" t="s">
        <v>3009</v>
      </c>
      <c r="J872" s="2" t="s">
        <v>432</v>
      </c>
      <c r="K872" s="2" t="s">
        <v>226</v>
      </c>
      <c r="L872" s="2" t="s">
        <v>34</v>
      </c>
      <c r="M872" s="2"/>
      <c r="N872" s="2"/>
      <c r="O872" s="2"/>
      <c r="P872" s="2" t="s">
        <v>3010</v>
      </c>
      <c r="Q872" s="6">
        <v>21</v>
      </c>
      <c r="R872" s="6">
        <v>9.75</v>
      </c>
      <c r="S872" s="5">
        <v>2.7</v>
      </c>
      <c r="T872" s="7">
        <v>10.920999999999999</v>
      </c>
      <c r="U872" s="5">
        <v>3.5</v>
      </c>
      <c r="V872" s="6">
        <v>0.22</v>
      </c>
      <c r="W872" s="6">
        <v>7.75</v>
      </c>
      <c r="X872" s="4">
        <v>9</v>
      </c>
      <c r="Y872" s="7">
        <v>10.875</v>
      </c>
      <c r="Z872" s="7">
        <v>10.875</v>
      </c>
      <c r="AA872" s="6">
        <v>26.19</v>
      </c>
      <c r="AB872" s="7">
        <v>24.74</v>
      </c>
      <c r="AC872" s="6">
        <v>11.79</v>
      </c>
    </row>
    <row r="873" spans="1:29" ht="156" x14ac:dyDescent="0.15">
      <c r="A873" s="3">
        <f>DATE(1992,7,5)</f>
        <v>33790</v>
      </c>
      <c r="B873" s="3">
        <f>DATE(1993,1,29)</f>
        <v>33998</v>
      </c>
      <c r="C873" s="2" t="s">
        <v>95</v>
      </c>
      <c r="D873" s="2" t="s">
        <v>3011</v>
      </c>
      <c r="E873" s="2" t="s">
        <v>1181</v>
      </c>
      <c r="F873" s="4">
        <v>6021</v>
      </c>
      <c r="G873" s="2" t="s">
        <v>37</v>
      </c>
      <c r="H873" s="2" t="s">
        <v>34</v>
      </c>
      <c r="I873" s="2" t="s">
        <v>1201</v>
      </c>
      <c r="J873" s="2" t="s">
        <v>36</v>
      </c>
      <c r="K873" s="2" t="s">
        <v>37</v>
      </c>
      <c r="L873" s="2" t="s">
        <v>34</v>
      </c>
      <c r="M873" s="2"/>
      <c r="N873" s="2"/>
      <c r="O873" s="2"/>
      <c r="P873" s="2" t="s">
        <v>3012</v>
      </c>
      <c r="Q873" s="6">
        <v>100</v>
      </c>
      <c r="R873" s="6">
        <v>37.799999999999997</v>
      </c>
      <c r="S873" s="5">
        <v>4.4000000000000004</v>
      </c>
      <c r="T873" s="7">
        <v>7.0190000000000001</v>
      </c>
      <c r="U873" s="5">
        <v>29.4</v>
      </c>
      <c r="V873" s="6">
        <v>1.98</v>
      </c>
      <c r="W873" s="7">
        <v>22.125</v>
      </c>
      <c r="X873" s="6">
        <v>24.25</v>
      </c>
      <c r="Y873" s="4">
        <v>28</v>
      </c>
      <c r="Z873" s="4">
        <v>29</v>
      </c>
      <c r="AA873" s="6">
        <v>2</v>
      </c>
      <c r="AB873" s="7">
        <v>60.375</v>
      </c>
      <c r="AC873" s="2"/>
    </row>
    <row r="874" spans="1:29" ht="52" x14ac:dyDescent="0.15">
      <c r="A874" s="3">
        <f>DATE(1992,7,6)</f>
        <v>33791</v>
      </c>
      <c r="B874" s="2"/>
      <c r="C874" s="2" t="s">
        <v>87</v>
      </c>
      <c r="D874" s="2" t="s">
        <v>3013</v>
      </c>
      <c r="E874" s="2" t="s">
        <v>3014</v>
      </c>
      <c r="F874" s="4">
        <v>3313</v>
      </c>
      <c r="G874" s="2" t="s">
        <v>163</v>
      </c>
      <c r="H874" s="2" t="s">
        <v>34</v>
      </c>
      <c r="I874" s="2" t="s">
        <v>3015</v>
      </c>
      <c r="J874" s="2" t="s">
        <v>3016</v>
      </c>
      <c r="K874" s="2" t="s">
        <v>370</v>
      </c>
      <c r="L874" s="2" t="s">
        <v>34</v>
      </c>
      <c r="M874" s="2"/>
      <c r="N874" s="2"/>
      <c r="O874" s="2"/>
      <c r="P874" s="2" t="s">
        <v>3017</v>
      </c>
      <c r="Q874" s="2"/>
      <c r="R874" s="6">
        <v>1.95</v>
      </c>
      <c r="S874" s="5">
        <v>-2.4</v>
      </c>
      <c r="T874" s="7">
        <v>2.6280000000000001</v>
      </c>
      <c r="U874" s="5">
        <v>-0.1</v>
      </c>
      <c r="V874" s="6">
        <v>-0.82</v>
      </c>
      <c r="W874" s="7">
        <v>1.625</v>
      </c>
      <c r="X874" s="7">
        <v>1.625</v>
      </c>
      <c r="Y874" s="7">
        <v>1.625</v>
      </c>
      <c r="Z874" s="7">
        <v>1.625</v>
      </c>
      <c r="AA874" s="6">
        <v>0.22</v>
      </c>
      <c r="AB874" s="7">
        <v>14.326000000000001</v>
      </c>
      <c r="AC874" s="2"/>
    </row>
    <row r="875" spans="1:29" ht="143" x14ac:dyDescent="0.15">
      <c r="A875" s="3">
        <f>DATE(1992,7,7)</f>
        <v>33792</v>
      </c>
      <c r="B875" s="3">
        <f>DATE(1992,12,7)</f>
        <v>33945</v>
      </c>
      <c r="C875" s="2" t="s">
        <v>95</v>
      </c>
      <c r="D875" s="2" t="s">
        <v>2919</v>
      </c>
      <c r="E875" s="2" t="s">
        <v>2920</v>
      </c>
      <c r="F875" s="4">
        <v>5122</v>
      </c>
      <c r="G875" s="2" t="s">
        <v>593</v>
      </c>
      <c r="H875" s="2" t="s">
        <v>34</v>
      </c>
      <c r="I875" s="2" t="s">
        <v>3018</v>
      </c>
      <c r="J875" s="2" t="s">
        <v>3019</v>
      </c>
      <c r="K875" s="2" t="s">
        <v>593</v>
      </c>
      <c r="L875" s="2" t="s">
        <v>34</v>
      </c>
      <c r="M875" s="2"/>
      <c r="N875" s="6">
        <v>20.25</v>
      </c>
      <c r="O875" s="5">
        <v>19.5</v>
      </c>
      <c r="P875" s="2" t="s">
        <v>3020</v>
      </c>
      <c r="Q875" s="6">
        <v>100</v>
      </c>
      <c r="R875" s="6">
        <v>33</v>
      </c>
      <c r="S875" s="5">
        <v>16.8</v>
      </c>
      <c r="T875" s="7">
        <v>30.457999999999998</v>
      </c>
      <c r="U875" s="5">
        <v>11</v>
      </c>
      <c r="V875" s="6">
        <v>1.36</v>
      </c>
      <c r="W875" s="6">
        <v>21.75</v>
      </c>
      <c r="X875" s="4">
        <v>22</v>
      </c>
      <c r="Y875" s="7">
        <v>20.875</v>
      </c>
      <c r="Z875" s="4">
        <v>22</v>
      </c>
      <c r="AA875" s="6">
        <v>11.95</v>
      </c>
      <c r="AB875" s="7">
        <v>14.170999999999999</v>
      </c>
      <c r="AC875" s="6">
        <v>303.98</v>
      </c>
    </row>
    <row r="876" spans="1:29" ht="65" x14ac:dyDescent="0.15">
      <c r="A876" s="3">
        <f>DATE(1992,7,8)</f>
        <v>33793</v>
      </c>
      <c r="B876" s="2"/>
      <c r="C876" s="2" t="s">
        <v>39</v>
      </c>
      <c r="D876" s="2" t="s">
        <v>1742</v>
      </c>
      <c r="E876" s="2" t="s">
        <v>36</v>
      </c>
      <c r="F876" s="4">
        <v>6021</v>
      </c>
      <c r="G876" s="2" t="s">
        <v>37</v>
      </c>
      <c r="H876" s="2" t="s">
        <v>34</v>
      </c>
      <c r="I876" s="2" t="s">
        <v>138</v>
      </c>
      <c r="J876" s="2" t="s">
        <v>139</v>
      </c>
      <c r="K876" s="2" t="s">
        <v>53</v>
      </c>
      <c r="L876" s="2" t="s">
        <v>139</v>
      </c>
      <c r="M876" s="2"/>
      <c r="N876" s="2"/>
      <c r="O876" s="2"/>
      <c r="P876" s="2" t="s">
        <v>3021</v>
      </c>
      <c r="Q876" s="2"/>
      <c r="R876" s="2"/>
      <c r="S876" s="5">
        <v>-70.2</v>
      </c>
      <c r="T876" s="7">
        <v>-49.921999999999997</v>
      </c>
      <c r="U876" s="5">
        <v>11.6</v>
      </c>
      <c r="V876" s="6">
        <v>-0.89</v>
      </c>
      <c r="W876" s="7">
        <v>10.625</v>
      </c>
      <c r="X876" s="5">
        <v>11.5</v>
      </c>
      <c r="Y876" s="7">
        <v>11.875</v>
      </c>
      <c r="Z876" s="7">
        <v>11.875</v>
      </c>
      <c r="AA876" s="2"/>
      <c r="AB876" s="2" t="s">
        <v>86</v>
      </c>
      <c r="AC876" s="2"/>
    </row>
    <row r="877" spans="1:29" ht="104" x14ac:dyDescent="0.15">
      <c r="A877" s="3">
        <f>DATE(1992,7,8)</f>
        <v>33793</v>
      </c>
      <c r="B877" s="3">
        <f>DATE(1993,5,20)</f>
        <v>34109</v>
      </c>
      <c r="C877" s="2" t="s">
        <v>95</v>
      </c>
      <c r="D877" s="2" t="s">
        <v>2607</v>
      </c>
      <c r="E877" s="2" t="s">
        <v>2608</v>
      </c>
      <c r="F877" s="4">
        <v>2835</v>
      </c>
      <c r="G877" s="2" t="s">
        <v>130</v>
      </c>
      <c r="H877" s="2" t="s">
        <v>34</v>
      </c>
      <c r="I877" s="2" t="s">
        <v>3022</v>
      </c>
      <c r="J877" s="2" t="s">
        <v>3023</v>
      </c>
      <c r="K877" s="2" t="s">
        <v>130</v>
      </c>
      <c r="L877" s="2" t="s">
        <v>902</v>
      </c>
      <c r="M877" s="2"/>
      <c r="N877" s="2"/>
      <c r="O877" s="2"/>
      <c r="P877" s="2" t="s">
        <v>3024</v>
      </c>
      <c r="Q877" s="6">
        <v>100</v>
      </c>
      <c r="R877" s="6">
        <v>0.42</v>
      </c>
      <c r="S877" s="5">
        <v>-0.2</v>
      </c>
      <c r="T877" s="7">
        <v>-0.14699999999999999</v>
      </c>
      <c r="U877" s="5">
        <v>1.1000000000000001</v>
      </c>
      <c r="V877" s="6">
        <v>-0.16</v>
      </c>
      <c r="W877" s="7">
        <v>1.625</v>
      </c>
      <c r="X877" s="6">
        <v>1.75</v>
      </c>
      <c r="Y877" s="4">
        <v>2</v>
      </c>
      <c r="Z877" s="7">
        <v>1.875</v>
      </c>
      <c r="AA877" s="6">
        <v>2.34</v>
      </c>
      <c r="AB877" s="2" t="s">
        <v>86</v>
      </c>
      <c r="AC877" s="2"/>
    </row>
    <row r="878" spans="1:29" ht="91" x14ac:dyDescent="0.15">
      <c r="A878" s="3">
        <f>DATE(1992,7,10)</f>
        <v>33795</v>
      </c>
      <c r="B878" s="2"/>
      <c r="C878" s="2" t="s">
        <v>189</v>
      </c>
      <c r="D878" s="2" t="s">
        <v>3025</v>
      </c>
      <c r="E878" s="2" t="s">
        <v>3026</v>
      </c>
      <c r="F878" s="4">
        <v>7922</v>
      </c>
      <c r="G878" s="2" t="s">
        <v>364</v>
      </c>
      <c r="H878" s="2" t="s">
        <v>34</v>
      </c>
      <c r="I878" s="2" t="s">
        <v>143</v>
      </c>
      <c r="J878" s="2" t="s">
        <v>144</v>
      </c>
      <c r="K878" s="2" t="s">
        <v>53</v>
      </c>
      <c r="L878" s="2" t="s">
        <v>139</v>
      </c>
      <c r="M878" s="2"/>
      <c r="N878" s="2"/>
      <c r="O878" s="2"/>
      <c r="P878" s="2" t="s">
        <v>3027</v>
      </c>
      <c r="Q878" s="2"/>
      <c r="R878" s="2"/>
      <c r="S878" s="2"/>
      <c r="T878" s="2"/>
      <c r="U878" s="5">
        <v>0.3</v>
      </c>
      <c r="V878" s="2"/>
      <c r="W878" s="7">
        <v>1.125</v>
      </c>
      <c r="X878" s="4">
        <v>1</v>
      </c>
      <c r="Y878" s="6">
        <v>0.75</v>
      </c>
      <c r="Z878" s="7">
        <v>0.81299999999999994</v>
      </c>
      <c r="AA878" s="2"/>
      <c r="AB878" s="2" t="s">
        <v>47</v>
      </c>
      <c r="AC878" s="2"/>
    </row>
    <row r="879" spans="1:29" ht="143" x14ac:dyDescent="0.15">
      <c r="A879" s="3">
        <f>DATE(1992,7,13)</f>
        <v>33798</v>
      </c>
      <c r="B879" s="3">
        <f>DATE(1992,10,15)</f>
        <v>33892</v>
      </c>
      <c r="C879" s="2" t="s">
        <v>95</v>
      </c>
      <c r="D879" s="2" t="s">
        <v>3028</v>
      </c>
      <c r="E879" s="2" t="s">
        <v>3029</v>
      </c>
      <c r="F879" s="4">
        <v>8011</v>
      </c>
      <c r="G879" s="2" t="s">
        <v>454</v>
      </c>
      <c r="H879" s="2" t="s">
        <v>34</v>
      </c>
      <c r="I879" s="2" t="s">
        <v>2240</v>
      </c>
      <c r="J879" s="2" t="s">
        <v>2241</v>
      </c>
      <c r="K879" s="2" t="s">
        <v>125</v>
      </c>
      <c r="L879" s="2" t="s">
        <v>34</v>
      </c>
      <c r="M879" s="6">
        <v>663.41</v>
      </c>
      <c r="N879" s="6">
        <v>31.25</v>
      </c>
      <c r="O879" s="7">
        <v>29.625</v>
      </c>
      <c r="P879" s="2" t="s">
        <v>3030</v>
      </c>
      <c r="Q879" s="6">
        <v>100</v>
      </c>
      <c r="R879" s="6">
        <v>26.2</v>
      </c>
      <c r="S879" s="5">
        <v>6.7</v>
      </c>
      <c r="T879" s="7">
        <v>15.162000000000001</v>
      </c>
      <c r="U879" s="5">
        <v>4.0999999999999996</v>
      </c>
      <c r="V879" s="6">
        <v>1.1299999999999999</v>
      </c>
      <c r="W879" s="5">
        <v>13.5</v>
      </c>
      <c r="X879" s="6">
        <v>15.75</v>
      </c>
      <c r="Y879" s="4">
        <v>19</v>
      </c>
      <c r="Z879" s="6">
        <v>22.75</v>
      </c>
      <c r="AA879" s="6">
        <v>6.26</v>
      </c>
      <c r="AB879" s="7">
        <v>12.207000000000001</v>
      </c>
      <c r="AC879" s="2"/>
    </row>
    <row r="880" spans="1:29" ht="52" x14ac:dyDescent="0.15">
      <c r="A880" s="3">
        <f>DATE(1992,7,13)</f>
        <v>33798</v>
      </c>
      <c r="B880" s="2"/>
      <c r="C880" s="2" t="s">
        <v>30</v>
      </c>
      <c r="D880" s="2" t="s">
        <v>2947</v>
      </c>
      <c r="E880" s="2" t="s">
        <v>2948</v>
      </c>
      <c r="F880" s="4">
        <v>3842</v>
      </c>
      <c r="G880" s="2" t="s">
        <v>226</v>
      </c>
      <c r="H880" s="2" t="s">
        <v>34</v>
      </c>
      <c r="I880" s="2" t="s">
        <v>3031</v>
      </c>
      <c r="J880" s="2" t="s">
        <v>3032</v>
      </c>
      <c r="K880" s="2" t="s">
        <v>454</v>
      </c>
      <c r="L880" s="2" t="s">
        <v>34</v>
      </c>
      <c r="M880" s="2"/>
      <c r="N880" s="5">
        <v>16.5</v>
      </c>
      <c r="O880" s="5">
        <v>16.5</v>
      </c>
      <c r="P880" s="2" t="s">
        <v>3033</v>
      </c>
      <c r="Q880" s="2"/>
      <c r="R880" s="2"/>
      <c r="S880" s="5">
        <v>0.3</v>
      </c>
      <c r="T880" s="7">
        <v>2.5449999999999999</v>
      </c>
      <c r="U880" s="5">
        <v>6.9</v>
      </c>
      <c r="V880" s="6">
        <v>0.22</v>
      </c>
      <c r="W880" s="4">
        <v>9</v>
      </c>
      <c r="X880" s="7">
        <v>9.375</v>
      </c>
      <c r="Y880" s="4">
        <v>9</v>
      </c>
      <c r="Z880" s="4">
        <v>10</v>
      </c>
      <c r="AA880" s="2"/>
      <c r="AB880" s="2" t="s">
        <v>47</v>
      </c>
      <c r="AC880" s="2"/>
    </row>
    <row r="881" spans="1:29" ht="26" x14ac:dyDescent="0.15">
      <c r="A881" s="3">
        <f>DATE(1992,7,14)</f>
        <v>33799</v>
      </c>
      <c r="B881" s="2"/>
      <c r="C881" s="2" t="s">
        <v>189</v>
      </c>
      <c r="D881" s="2" t="s">
        <v>3034</v>
      </c>
      <c r="E881" s="2" t="s">
        <v>3035</v>
      </c>
      <c r="F881" s="4">
        <v>3695</v>
      </c>
      <c r="G881" s="2" t="s">
        <v>137</v>
      </c>
      <c r="H881" s="2" t="s">
        <v>34</v>
      </c>
      <c r="I881" s="2" t="s">
        <v>143</v>
      </c>
      <c r="J881" s="2" t="s">
        <v>144</v>
      </c>
      <c r="K881" s="2" t="s">
        <v>53</v>
      </c>
      <c r="L881" s="2" t="s">
        <v>139</v>
      </c>
      <c r="M881" s="2"/>
      <c r="N881" s="2"/>
      <c r="O881" s="2"/>
      <c r="P881" s="2" t="s">
        <v>3036</v>
      </c>
      <c r="Q881" s="2"/>
      <c r="R881" s="2"/>
      <c r="S881" s="2"/>
      <c r="T881" s="2"/>
      <c r="U881" s="5">
        <v>0</v>
      </c>
      <c r="V881" s="2"/>
      <c r="W881" s="7">
        <v>1.875</v>
      </c>
      <c r="X881" s="7">
        <v>1.875</v>
      </c>
      <c r="Y881" s="7">
        <v>1.875</v>
      </c>
      <c r="Z881" s="7">
        <v>1.875</v>
      </c>
      <c r="AA881" s="2"/>
      <c r="AB881" s="2" t="s">
        <v>47</v>
      </c>
      <c r="AC881" s="2"/>
    </row>
    <row r="882" spans="1:29" ht="52" x14ac:dyDescent="0.15">
      <c r="A882" s="3">
        <f>DATE(1992,7,15)</f>
        <v>33800</v>
      </c>
      <c r="B882" s="3">
        <f>DATE(1992,7,15)</f>
        <v>33800</v>
      </c>
      <c r="C882" s="2" t="s">
        <v>95</v>
      </c>
      <c r="D882" s="2" t="s">
        <v>3037</v>
      </c>
      <c r="E882" s="2" t="s">
        <v>3038</v>
      </c>
      <c r="F882" s="4">
        <v>4212</v>
      </c>
      <c r="G882" s="2" t="s">
        <v>173</v>
      </c>
      <c r="H882" s="2" t="s">
        <v>34</v>
      </c>
      <c r="I882" s="2" t="s">
        <v>3039</v>
      </c>
      <c r="J882" s="2" t="s">
        <v>3040</v>
      </c>
      <c r="K882" s="2" t="s">
        <v>148</v>
      </c>
      <c r="L882" s="2" t="s">
        <v>34</v>
      </c>
      <c r="M882" s="2"/>
      <c r="N882" s="2"/>
      <c r="O882" s="2"/>
      <c r="P882" s="2" t="s">
        <v>3041</v>
      </c>
      <c r="Q882" s="6">
        <v>76.5</v>
      </c>
      <c r="R882" s="2"/>
      <c r="S882" s="5">
        <v>0.4</v>
      </c>
      <c r="T882" s="2"/>
      <c r="U882" s="5">
        <v>0.3</v>
      </c>
      <c r="V882" s="6">
        <v>0.03</v>
      </c>
      <c r="W882" s="7">
        <v>2.125</v>
      </c>
      <c r="X882" s="7">
        <v>1.875</v>
      </c>
      <c r="Y882" s="7">
        <v>1.875</v>
      </c>
      <c r="Z882" s="6">
        <v>1.75</v>
      </c>
      <c r="AA882" s="6">
        <v>13.53</v>
      </c>
      <c r="AB882" s="2" t="s">
        <v>47</v>
      </c>
      <c r="AC882" s="2"/>
    </row>
    <row r="883" spans="1:29" ht="156" x14ac:dyDescent="0.15">
      <c r="A883" s="3">
        <f>DATE(1992,7,15)</f>
        <v>33800</v>
      </c>
      <c r="B883" s="3">
        <f>DATE(1992,7,15)</f>
        <v>33800</v>
      </c>
      <c r="C883" s="2" t="s">
        <v>95</v>
      </c>
      <c r="D883" s="2" t="s">
        <v>1010</v>
      </c>
      <c r="E883" s="2" t="s">
        <v>1011</v>
      </c>
      <c r="F883" s="4">
        <v>8062</v>
      </c>
      <c r="G883" s="2" t="s">
        <v>454</v>
      </c>
      <c r="H883" s="2" t="s">
        <v>34</v>
      </c>
      <c r="I883" s="2" t="s">
        <v>3031</v>
      </c>
      <c r="J883" s="2" t="s">
        <v>3032</v>
      </c>
      <c r="K883" s="2" t="s">
        <v>454</v>
      </c>
      <c r="L883" s="2" t="s">
        <v>34</v>
      </c>
      <c r="M883" s="7">
        <v>322.90899999999999</v>
      </c>
      <c r="N883" s="7">
        <v>16.625</v>
      </c>
      <c r="O883" s="4">
        <v>17</v>
      </c>
      <c r="P883" s="2" t="s">
        <v>3042</v>
      </c>
      <c r="Q883" s="6">
        <v>100</v>
      </c>
      <c r="R883" s="6">
        <v>18.16</v>
      </c>
      <c r="S883" s="5">
        <v>10.1</v>
      </c>
      <c r="T883" s="7">
        <v>43.917000000000002</v>
      </c>
      <c r="U883" s="5">
        <v>5.8</v>
      </c>
      <c r="V883" s="6">
        <v>1.22</v>
      </c>
      <c r="W883" s="6">
        <v>17.75</v>
      </c>
      <c r="X883" s="7">
        <v>17.875</v>
      </c>
      <c r="Y883" s="4">
        <v>18</v>
      </c>
      <c r="Z883" s="4">
        <v>18</v>
      </c>
      <c r="AA883" s="6">
        <v>8.2799999999999994</v>
      </c>
      <c r="AB883" s="7">
        <v>9.6509999999999998</v>
      </c>
      <c r="AC883" s="2"/>
    </row>
    <row r="884" spans="1:29" ht="78" x14ac:dyDescent="0.15">
      <c r="A884" s="3">
        <f>DATE(1992,7,16)</f>
        <v>33801</v>
      </c>
      <c r="B884" s="3">
        <f>DATE(1992,7,16)</f>
        <v>33801</v>
      </c>
      <c r="C884" s="2" t="s">
        <v>95</v>
      </c>
      <c r="D884" s="2" t="s">
        <v>3043</v>
      </c>
      <c r="E884" s="2" t="s">
        <v>75</v>
      </c>
      <c r="F884" s="4">
        <v>5048</v>
      </c>
      <c r="G884" s="2" t="s">
        <v>76</v>
      </c>
      <c r="H884" s="2" t="s">
        <v>34</v>
      </c>
      <c r="I884" s="2" t="s">
        <v>3044</v>
      </c>
      <c r="J884" s="2" t="s">
        <v>3045</v>
      </c>
      <c r="K884" s="2" t="s">
        <v>73</v>
      </c>
      <c r="L884" s="2" t="s">
        <v>34</v>
      </c>
      <c r="M884" s="2"/>
      <c r="N884" s="2"/>
      <c r="O884" s="2"/>
      <c r="P884" s="2" t="s">
        <v>3046</v>
      </c>
      <c r="Q884" s="6">
        <v>100</v>
      </c>
      <c r="R884" s="2"/>
      <c r="S884" s="5">
        <v>-41.4</v>
      </c>
      <c r="T884" s="6">
        <v>-17.66</v>
      </c>
      <c r="U884" s="5">
        <v>-2.2999999999999998</v>
      </c>
      <c r="V884" s="2"/>
      <c r="W884" s="7">
        <v>3.125</v>
      </c>
      <c r="X884" s="4">
        <v>3</v>
      </c>
      <c r="Y884" s="7">
        <v>3.375</v>
      </c>
      <c r="Z884" s="5">
        <v>3.5</v>
      </c>
      <c r="AA884" s="2"/>
      <c r="AB884" s="2" t="s">
        <v>86</v>
      </c>
      <c r="AC884" s="2"/>
    </row>
    <row r="885" spans="1:29" ht="143" x14ac:dyDescent="0.15">
      <c r="A885" s="3">
        <f>DATE(1992,7,17)</f>
        <v>33802</v>
      </c>
      <c r="B885" s="3">
        <f>DATE(1993,10,29)</f>
        <v>34271</v>
      </c>
      <c r="C885" s="2" t="s">
        <v>95</v>
      </c>
      <c r="D885" s="2" t="s">
        <v>1742</v>
      </c>
      <c r="E885" s="2" t="s">
        <v>36</v>
      </c>
      <c r="F885" s="4">
        <v>6021</v>
      </c>
      <c r="G885" s="2" t="s">
        <v>37</v>
      </c>
      <c r="H885" s="2" t="s">
        <v>34</v>
      </c>
      <c r="I885" s="2" t="s">
        <v>3047</v>
      </c>
      <c r="J885" s="2" t="s">
        <v>3048</v>
      </c>
      <c r="K885" s="2" t="s">
        <v>37</v>
      </c>
      <c r="L885" s="2" t="s">
        <v>34</v>
      </c>
      <c r="M885" s="2"/>
      <c r="N885" s="7">
        <v>45.875</v>
      </c>
      <c r="O885" s="7">
        <v>47.125</v>
      </c>
      <c r="P885" s="2" t="s">
        <v>3049</v>
      </c>
      <c r="Q885" s="6">
        <v>84.07</v>
      </c>
      <c r="R885" s="6">
        <v>15.17</v>
      </c>
      <c r="S885" s="5">
        <v>-70.2</v>
      </c>
      <c r="T885" s="7">
        <v>-49.921999999999997</v>
      </c>
      <c r="U885" s="5">
        <v>11.6</v>
      </c>
      <c r="V885" s="6">
        <v>-0.89</v>
      </c>
      <c r="W885" s="4">
        <v>12</v>
      </c>
      <c r="X885" s="6">
        <v>11.25</v>
      </c>
      <c r="Y885" s="4">
        <v>11</v>
      </c>
      <c r="Z885" s="7">
        <v>10.375</v>
      </c>
      <c r="AA885" s="6">
        <v>89.7</v>
      </c>
      <c r="AB885" s="2" t="s">
        <v>86</v>
      </c>
      <c r="AC885" s="2"/>
    </row>
    <row r="886" spans="1:29" ht="117" x14ac:dyDescent="0.15">
      <c r="A886" s="3">
        <f>DATE(1992,7,20)</f>
        <v>33805</v>
      </c>
      <c r="B886" s="3">
        <f>DATE(1993,1,22)</f>
        <v>33991</v>
      </c>
      <c r="C886" s="2" t="s">
        <v>95</v>
      </c>
      <c r="D886" s="2" t="s">
        <v>1862</v>
      </c>
      <c r="E886" s="2" t="s">
        <v>1008</v>
      </c>
      <c r="F886" s="4">
        <v>6035</v>
      </c>
      <c r="G886" s="2" t="s">
        <v>33</v>
      </c>
      <c r="H886" s="2" t="s">
        <v>34</v>
      </c>
      <c r="I886" s="2" t="s">
        <v>1953</v>
      </c>
      <c r="J886" s="2" t="s">
        <v>36</v>
      </c>
      <c r="K886" s="2" t="s">
        <v>37</v>
      </c>
      <c r="L886" s="2" t="s">
        <v>34</v>
      </c>
      <c r="M886" s="2"/>
      <c r="N886" s="6">
        <v>55.25</v>
      </c>
      <c r="O886" s="5">
        <v>57.5</v>
      </c>
      <c r="P886" s="2" t="s">
        <v>3050</v>
      </c>
      <c r="Q886" s="6">
        <v>100</v>
      </c>
      <c r="R886" s="6">
        <v>45</v>
      </c>
      <c r="S886" s="5">
        <v>6.8</v>
      </c>
      <c r="T886" s="7">
        <v>11.513</v>
      </c>
      <c r="U886" s="5">
        <v>27</v>
      </c>
      <c r="V886" s="6">
        <v>2.19</v>
      </c>
      <c r="W886" s="5">
        <v>35.5</v>
      </c>
      <c r="X886" s="4">
        <v>34</v>
      </c>
      <c r="Y886" s="6">
        <v>42.75</v>
      </c>
      <c r="Z886" s="6">
        <v>42.25</v>
      </c>
      <c r="AA886" s="6">
        <v>3.14</v>
      </c>
      <c r="AB886" s="2" t="s">
        <v>86</v>
      </c>
      <c r="AC886" s="2"/>
    </row>
    <row r="887" spans="1:29" ht="65" x14ac:dyDescent="0.15">
      <c r="A887" s="3">
        <f>DATE(1992,7,20)</f>
        <v>33805</v>
      </c>
      <c r="B887" s="2"/>
      <c r="C887" s="2" t="s">
        <v>189</v>
      </c>
      <c r="D887" s="2" t="s">
        <v>1943</v>
      </c>
      <c r="E887" s="2" t="s">
        <v>1944</v>
      </c>
      <c r="F887" s="4">
        <v>5045</v>
      </c>
      <c r="G887" s="2" t="s">
        <v>76</v>
      </c>
      <c r="H887" s="2" t="s">
        <v>34</v>
      </c>
      <c r="I887" s="2" t="s">
        <v>143</v>
      </c>
      <c r="J887" s="2" t="s">
        <v>144</v>
      </c>
      <c r="K887" s="2" t="s">
        <v>53</v>
      </c>
      <c r="L887" s="2" t="s">
        <v>139</v>
      </c>
      <c r="M887" s="2"/>
      <c r="N887" s="2"/>
      <c r="O887" s="2"/>
      <c r="P887" s="2" t="s">
        <v>3051</v>
      </c>
      <c r="Q887" s="2"/>
      <c r="R887" s="2"/>
      <c r="S887" s="5">
        <v>38.200000000000003</v>
      </c>
      <c r="T887" s="7">
        <v>79.040999999999997</v>
      </c>
      <c r="U887" s="5">
        <v>7.6</v>
      </c>
      <c r="V887" s="7">
        <v>0.55500000000000005</v>
      </c>
      <c r="W887" s="6">
        <v>7.75</v>
      </c>
      <c r="X887" s="6">
        <v>7.75</v>
      </c>
      <c r="Y887" s="5">
        <v>7.5</v>
      </c>
      <c r="Z887" s="7">
        <v>9.125</v>
      </c>
      <c r="AA887" s="2"/>
      <c r="AB887" s="2" t="s">
        <v>47</v>
      </c>
      <c r="AC887" s="2"/>
    </row>
    <row r="888" spans="1:29" ht="91" x14ac:dyDescent="0.15">
      <c r="A888" s="3">
        <f>DATE(1992,7,20)</f>
        <v>33805</v>
      </c>
      <c r="B888" s="3">
        <f>DATE(1992,10,29)</f>
        <v>33906</v>
      </c>
      <c r="C888" s="2" t="s">
        <v>95</v>
      </c>
      <c r="D888" s="2" t="s">
        <v>3052</v>
      </c>
      <c r="E888" s="2" t="s">
        <v>3053</v>
      </c>
      <c r="F888" s="4">
        <v>8071</v>
      </c>
      <c r="G888" s="2" t="s">
        <v>454</v>
      </c>
      <c r="H888" s="2" t="s">
        <v>34</v>
      </c>
      <c r="I888" s="2" t="s">
        <v>3054</v>
      </c>
      <c r="J888" s="2" t="s">
        <v>540</v>
      </c>
      <c r="K888" s="2" t="s">
        <v>130</v>
      </c>
      <c r="L888" s="2" t="s">
        <v>34</v>
      </c>
      <c r="M888" s="7">
        <v>874.99699999999996</v>
      </c>
      <c r="N888" s="6">
        <v>53.75</v>
      </c>
      <c r="O888" s="6">
        <v>54.25</v>
      </c>
      <c r="P888" s="2" t="s">
        <v>3055</v>
      </c>
      <c r="Q888" s="6">
        <v>100</v>
      </c>
      <c r="R888" s="6">
        <v>15.24</v>
      </c>
      <c r="S888" s="5">
        <v>1.2</v>
      </c>
      <c r="T888" s="7">
        <v>2.8519999999999999</v>
      </c>
      <c r="U888" s="5">
        <v>3.4</v>
      </c>
      <c r="V888" s="6">
        <v>0.47</v>
      </c>
      <c r="W888" s="6">
        <v>11.25</v>
      </c>
      <c r="X888" s="6">
        <v>13.25</v>
      </c>
      <c r="Y888" s="4">
        <v>11</v>
      </c>
      <c r="Z888" s="7">
        <v>10.125</v>
      </c>
      <c r="AA888" s="6">
        <v>2.58</v>
      </c>
      <c r="AB888" s="7">
        <v>18.010999999999999</v>
      </c>
      <c r="AC888" s="6">
        <v>107.18</v>
      </c>
    </row>
    <row r="889" spans="1:29" ht="169" x14ac:dyDescent="0.15">
      <c r="A889" s="3">
        <f>DATE(1992,7,22)</f>
        <v>33807</v>
      </c>
      <c r="B889" s="3">
        <f>DATE(1993,4,28)</f>
        <v>34087</v>
      </c>
      <c r="C889" s="2" t="s">
        <v>95</v>
      </c>
      <c r="D889" s="2" t="s">
        <v>1816</v>
      </c>
      <c r="E889" s="2" t="s">
        <v>1817</v>
      </c>
      <c r="F889" s="4">
        <v>4512</v>
      </c>
      <c r="G889" s="2" t="s">
        <v>59</v>
      </c>
      <c r="H889" s="2" t="s">
        <v>34</v>
      </c>
      <c r="I889" s="2" t="s">
        <v>51</v>
      </c>
      <c r="J889" s="2" t="s">
        <v>52</v>
      </c>
      <c r="K889" s="2" t="s">
        <v>53</v>
      </c>
      <c r="L889" s="2" t="s">
        <v>34</v>
      </c>
      <c r="M889" s="2"/>
      <c r="N889" s="2"/>
      <c r="O889" s="2"/>
      <c r="P889" s="2" t="s">
        <v>3056</v>
      </c>
      <c r="Q889" s="6">
        <v>96</v>
      </c>
      <c r="R889" s="2"/>
      <c r="S889" s="5">
        <v>-107</v>
      </c>
      <c r="T889" s="7">
        <v>148.328</v>
      </c>
      <c r="U889" s="5">
        <v>-80.3</v>
      </c>
      <c r="V889" s="2"/>
      <c r="W889" s="6">
        <v>4.25</v>
      </c>
      <c r="X889" s="7">
        <v>3.625</v>
      </c>
      <c r="Y889" s="6">
        <v>3.75</v>
      </c>
      <c r="Z889" s="7">
        <v>3.625</v>
      </c>
      <c r="AA889" s="2"/>
      <c r="AB889" s="2" t="s">
        <v>86</v>
      </c>
      <c r="AC889" s="2"/>
    </row>
    <row r="890" spans="1:29" ht="156" x14ac:dyDescent="0.15">
      <c r="A890" s="3">
        <f>DATE(1992,7,22)</f>
        <v>33807</v>
      </c>
      <c r="B890" s="3">
        <f>DATE(1993,5,3)</f>
        <v>34092</v>
      </c>
      <c r="C890" s="2" t="s">
        <v>95</v>
      </c>
      <c r="D890" s="2" t="s">
        <v>3057</v>
      </c>
      <c r="E890" s="2" t="s">
        <v>36</v>
      </c>
      <c r="F890" s="4">
        <v>6021</v>
      </c>
      <c r="G890" s="2" t="s">
        <v>37</v>
      </c>
      <c r="H890" s="2" t="s">
        <v>34</v>
      </c>
      <c r="I890" s="2" t="s">
        <v>1612</v>
      </c>
      <c r="J890" s="2" t="s">
        <v>263</v>
      </c>
      <c r="K890" s="2" t="s">
        <v>37</v>
      </c>
      <c r="L890" s="2" t="s">
        <v>34</v>
      </c>
      <c r="M890" s="12">
        <v>10260.445</v>
      </c>
      <c r="N890" s="7">
        <v>43.875</v>
      </c>
      <c r="O890" s="7">
        <v>44.375</v>
      </c>
      <c r="P890" s="2" t="s">
        <v>3058</v>
      </c>
      <c r="Q890" s="6">
        <v>100</v>
      </c>
      <c r="R890" s="6">
        <v>34.549999999999997</v>
      </c>
      <c r="S890" s="5">
        <v>7.4</v>
      </c>
      <c r="T890" s="7">
        <v>11.143000000000001</v>
      </c>
      <c r="U890" s="5">
        <v>15.9</v>
      </c>
      <c r="V890" s="6">
        <v>1.85</v>
      </c>
      <c r="W890" s="4">
        <v>19</v>
      </c>
      <c r="X890" s="5">
        <v>18.5</v>
      </c>
      <c r="Y890" s="6">
        <v>26.75</v>
      </c>
      <c r="Z890" s="4">
        <v>27</v>
      </c>
      <c r="AA890" s="6">
        <v>3.99</v>
      </c>
      <c r="AB890" s="7">
        <v>90.123999999999995</v>
      </c>
      <c r="AC890" s="2"/>
    </row>
    <row r="891" spans="1:29" ht="39" x14ac:dyDescent="0.15">
      <c r="A891" s="3">
        <f>DATE(1992,7,23)</f>
        <v>33808</v>
      </c>
      <c r="B891" s="2"/>
      <c r="C891" s="2" t="s">
        <v>87</v>
      </c>
      <c r="D891" s="2" t="s">
        <v>3059</v>
      </c>
      <c r="E891" s="2" t="s">
        <v>3060</v>
      </c>
      <c r="F891" s="4">
        <v>5961</v>
      </c>
      <c r="G891" s="2" t="s">
        <v>73</v>
      </c>
      <c r="H891" s="2" t="s">
        <v>34</v>
      </c>
      <c r="I891" s="2" t="s">
        <v>138</v>
      </c>
      <c r="J891" s="2" t="s">
        <v>139</v>
      </c>
      <c r="K891" s="2" t="s">
        <v>53</v>
      </c>
      <c r="L891" s="2" t="s">
        <v>139</v>
      </c>
      <c r="M891" s="2"/>
      <c r="N891" s="2"/>
      <c r="O891" s="2"/>
      <c r="P891" s="2" t="s">
        <v>3061</v>
      </c>
      <c r="Q891" s="2"/>
      <c r="R891" s="2"/>
      <c r="S891" s="5">
        <v>-0.2</v>
      </c>
      <c r="T891" s="7">
        <v>-2.9209999999999998</v>
      </c>
      <c r="U891" s="5">
        <v>5</v>
      </c>
      <c r="V891" s="6">
        <v>-2.83</v>
      </c>
      <c r="W891" s="7">
        <v>6.375</v>
      </c>
      <c r="X891" s="7">
        <v>6.375</v>
      </c>
      <c r="Y891" s="7">
        <v>6.875</v>
      </c>
      <c r="Z891" s="7">
        <v>6.875</v>
      </c>
      <c r="AA891" s="2"/>
      <c r="AB891" s="2" t="s">
        <v>86</v>
      </c>
      <c r="AC891" s="2"/>
    </row>
    <row r="892" spans="1:29" ht="156" x14ac:dyDescent="0.15">
      <c r="A892" s="3">
        <f>DATE(1992,7,24)</f>
        <v>33809</v>
      </c>
      <c r="B892" s="3">
        <f>DATE(1992,10,19)</f>
        <v>33896</v>
      </c>
      <c r="C892" s="2" t="s">
        <v>95</v>
      </c>
      <c r="D892" s="2" t="s">
        <v>3062</v>
      </c>
      <c r="E892" s="2" t="s">
        <v>3063</v>
      </c>
      <c r="F892" s="4">
        <v>2064</v>
      </c>
      <c r="G892" s="2" t="s">
        <v>577</v>
      </c>
      <c r="H892" s="2" t="s">
        <v>34</v>
      </c>
      <c r="I892" s="2" t="s">
        <v>3064</v>
      </c>
      <c r="J892" s="2" t="s">
        <v>3065</v>
      </c>
      <c r="K892" s="2" t="s">
        <v>186</v>
      </c>
      <c r="L892" s="2" t="s">
        <v>34</v>
      </c>
      <c r="M892" s="2"/>
      <c r="N892" s="7">
        <v>33.375</v>
      </c>
      <c r="O892" s="7">
        <v>35.125</v>
      </c>
      <c r="P892" s="2" t="s">
        <v>3066</v>
      </c>
      <c r="Q892" s="6">
        <v>100</v>
      </c>
      <c r="R892" s="6">
        <v>28</v>
      </c>
      <c r="S892" s="5">
        <v>23.8</v>
      </c>
      <c r="T892" s="7">
        <v>41.296999999999997</v>
      </c>
      <c r="U892" s="5">
        <v>8.8000000000000007</v>
      </c>
      <c r="V892" s="6">
        <v>2.5099999999999998</v>
      </c>
      <c r="W892" s="6">
        <v>23.25</v>
      </c>
      <c r="X892" s="5">
        <v>25.5</v>
      </c>
      <c r="Y892" s="4">
        <v>28</v>
      </c>
      <c r="Z892" s="7">
        <v>28.125</v>
      </c>
      <c r="AA892" s="6">
        <v>9.44</v>
      </c>
      <c r="AB892" s="7">
        <v>6.1050000000000004</v>
      </c>
      <c r="AC892" s="6">
        <v>0.65</v>
      </c>
    </row>
    <row r="893" spans="1:29" ht="156" x14ac:dyDescent="0.15">
      <c r="A893" s="3">
        <f>DATE(1992,7,24)</f>
        <v>33809</v>
      </c>
      <c r="B893" s="3">
        <f>DATE(1992,11,2)</f>
        <v>33910</v>
      </c>
      <c r="C893" s="2" t="s">
        <v>95</v>
      </c>
      <c r="D893" s="2" t="s">
        <v>3067</v>
      </c>
      <c r="E893" s="2" t="s">
        <v>3068</v>
      </c>
      <c r="F893" s="4">
        <v>6411</v>
      </c>
      <c r="G893" s="2" t="s">
        <v>125</v>
      </c>
      <c r="H893" s="2" t="s">
        <v>34</v>
      </c>
      <c r="I893" s="2" t="s">
        <v>3069</v>
      </c>
      <c r="J893" s="2" t="s">
        <v>124</v>
      </c>
      <c r="K893" s="2" t="s">
        <v>125</v>
      </c>
      <c r="L893" s="2" t="s">
        <v>34</v>
      </c>
      <c r="M893" s="2"/>
      <c r="N893" s="7">
        <v>5.125</v>
      </c>
      <c r="O893" s="7">
        <v>5.125</v>
      </c>
      <c r="P893" s="2" t="s">
        <v>3070</v>
      </c>
      <c r="Q893" s="6">
        <v>14.9</v>
      </c>
      <c r="R893" s="6">
        <v>2.97</v>
      </c>
      <c r="S893" s="5">
        <v>-25.6</v>
      </c>
      <c r="T893" s="7">
        <v>-12.569000000000001</v>
      </c>
      <c r="U893" s="5">
        <v>-3.9</v>
      </c>
      <c r="V893" s="6">
        <v>-1.24</v>
      </c>
      <c r="W893" s="4">
        <v>4</v>
      </c>
      <c r="X893" s="5">
        <v>4.5</v>
      </c>
      <c r="Y893" s="7">
        <v>4.625</v>
      </c>
      <c r="Z893" s="5">
        <v>4.5</v>
      </c>
      <c r="AA893" s="6">
        <v>89.05</v>
      </c>
      <c r="AB893" s="2" t="s">
        <v>86</v>
      </c>
      <c r="AC893" s="6">
        <v>94.11</v>
      </c>
    </row>
    <row r="894" spans="1:29" ht="91" x14ac:dyDescent="0.15">
      <c r="A894" s="3">
        <f>DATE(1992,7,27)</f>
        <v>33812</v>
      </c>
      <c r="B894" s="3">
        <f>DATE(1993,3,12)</f>
        <v>34040</v>
      </c>
      <c r="C894" s="2" t="s">
        <v>95</v>
      </c>
      <c r="D894" s="2" t="s">
        <v>820</v>
      </c>
      <c r="E894" s="2" t="s">
        <v>821</v>
      </c>
      <c r="F894" s="4">
        <v>7349</v>
      </c>
      <c r="G894" s="2" t="s">
        <v>223</v>
      </c>
      <c r="H894" s="2" t="s">
        <v>34</v>
      </c>
      <c r="I894" s="2" t="s">
        <v>51</v>
      </c>
      <c r="J894" s="2" t="s">
        <v>52</v>
      </c>
      <c r="K894" s="2" t="s">
        <v>53</v>
      </c>
      <c r="L894" s="2" t="s">
        <v>34</v>
      </c>
      <c r="M894" s="2"/>
      <c r="N894" s="2"/>
      <c r="O894" s="2"/>
      <c r="P894" s="2" t="s">
        <v>3071</v>
      </c>
      <c r="Q894" s="6">
        <v>76</v>
      </c>
      <c r="R894" s="6">
        <v>5.55</v>
      </c>
      <c r="S894" s="5">
        <v>1</v>
      </c>
      <c r="T894" s="2"/>
      <c r="U894" s="5">
        <v>4</v>
      </c>
      <c r="V894" s="6">
        <v>0.47</v>
      </c>
      <c r="W894" s="4">
        <v>3</v>
      </c>
      <c r="X894" s="7">
        <v>3.0630000000000002</v>
      </c>
      <c r="Y894" s="6">
        <v>4.25</v>
      </c>
      <c r="Z894" s="6">
        <v>3.75</v>
      </c>
      <c r="AA894" s="6">
        <v>2.16</v>
      </c>
      <c r="AB894" s="7">
        <v>6.444</v>
      </c>
      <c r="AC894" s="2"/>
    </row>
    <row r="895" spans="1:29" ht="117" x14ac:dyDescent="0.15">
      <c r="A895" s="3">
        <f>DATE(1992,7,27)</f>
        <v>33812</v>
      </c>
      <c r="B895" s="3">
        <f>DATE(1992,10,23)</f>
        <v>33900</v>
      </c>
      <c r="C895" s="2" t="s">
        <v>95</v>
      </c>
      <c r="D895" s="2" t="s">
        <v>3072</v>
      </c>
      <c r="E895" s="2" t="s">
        <v>3073</v>
      </c>
      <c r="F895" s="4">
        <v>2273</v>
      </c>
      <c r="G895" s="2" t="s">
        <v>708</v>
      </c>
      <c r="H895" s="2" t="s">
        <v>34</v>
      </c>
      <c r="I895" s="2" t="s">
        <v>3074</v>
      </c>
      <c r="J895" s="2" t="s">
        <v>3075</v>
      </c>
      <c r="K895" s="2" t="s">
        <v>708</v>
      </c>
      <c r="L895" s="2" t="s">
        <v>34</v>
      </c>
      <c r="M895" s="2"/>
      <c r="N895" s="6">
        <v>14.75</v>
      </c>
      <c r="O895" s="6">
        <v>14.75</v>
      </c>
      <c r="P895" s="2" t="s">
        <v>3076</v>
      </c>
      <c r="Q895" s="6">
        <v>100</v>
      </c>
      <c r="R895" s="6">
        <v>15</v>
      </c>
      <c r="S895" s="5">
        <v>-1.3</v>
      </c>
      <c r="T895" s="6">
        <v>14.34</v>
      </c>
      <c r="U895" s="5">
        <v>9.8000000000000007</v>
      </c>
      <c r="V895" s="6">
        <v>-0.23</v>
      </c>
      <c r="W895" s="7">
        <v>9.125</v>
      </c>
      <c r="X895" s="7">
        <v>8.875</v>
      </c>
      <c r="Y895" s="6">
        <v>13.75</v>
      </c>
      <c r="Z895" s="7">
        <v>14.125</v>
      </c>
      <c r="AA895" s="6">
        <v>5.77</v>
      </c>
      <c r="AB895" s="7">
        <v>28.658999999999999</v>
      </c>
      <c r="AC895" s="2"/>
    </row>
    <row r="896" spans="1:29" ht="156" x14ac:dyDescent="0.15">
      <c r="A896" s="3">
        <f>DATE(1992,7,29)</f>
        <v>33814</v>
      </c>
      <c r="B896" s="2"/>
      <c r="C896" s="2" t="s">
        <v>82</v>
      </c>
      <c r="D896" s="2" t="s">
        <v>3077</v>
      </c>
      <c r="E896" s="2" t="s">
        <v>3078</v>
      </c>
      <c r="F896" s="4">
        <v>5722</v>
      </c>
      <c r="G896" s="2" t="s">
        <v>1227</v>
      </c>
      <c r="H896" s="2" t="s">
        <v>34</v>
      </c>
      <c r="I896" s="2" t="s">
        <v>51</v>
      </c>
      <c r="J896" s="2" t="s">
        <v>52</v>
      </c>
      <c r="K896" s="2" t="s">
        <v>53</v>
      </c>
      <c r="L896" s="2" t="s">
        <v>34</v>
      </c>
      <c r="M896" s="2"/>
      <c r="N896" s="2"/>
      <c r="O896" s="2"/>
      <c r="P896" s="2" t="s">
        <v>3079</v>
      </c>
      <c r="Q896" s="2"/>
      <c r="R896" s="6">
        <v>4</v>
      </c>
      <c r="S896" s="5">
        <v>3.2</v>
      </c>
      <c r="T896" s="6">
        <v>11.22</v>
      </c>
      <c r="U896" s="5">
        <v>4</v>
      </c>
      <c r="V896" s="6">
        <v>0.23</v>
      </c>
      <c r="W896" s="4">
        <v>2</v>
      </c>
      <c r="X896" s="6">
        <v>2.25</v>
      </c>
      <c r="Y896" s="5">
        <v>2.5</v>
      </c>
      <c r="Z896" s="7">
        <v>2.875</v>
      </c>
      <c r="AA896" s="6">
        <v>14.83</v>
      </c>
      <c r="AB896" s="7">
        <v>15.595000000000001</v>
      </c>
      <c r="AC896" s="2"/>
    </row>
    <row r="897" spans="1:29" ht="130" x14ac:dyDescent="0.15">
      <c r="A897" s="3">
        <f>DATE(1992,7,30)</f>
        <v>33815</v>
      </c>
      <c r="B897" s="3">
        <f>DATE(1993,1,15)</f>
        <v>33984</v>
      </c>
      <c r="C897" s="2" t="s">
        <v>95</v>
      </c>
      <c r="D897" s="2" t="s">
        <v>3080</v>
      </c>
      <c r="E897" s="2" t="s">
        <v>36</v>
      </c>
      <c r="F897" s="4">
        <v>6022</v>
      </c>
      <c r="G897" s="2" t="s">
        <v>37</v>
      </c>
      <c r="H897" s="2" t="s">
        <v>34</v>
      </c>
      <c r="I897" s="2" t="s">
        <v>2216</v>
      </c>
      <c r="J897" s="2" t="s">
        <v>36</v>
      </c>
      <c r="K897" s="2" t="s">
        <v>37</v>
      </c>
      <c r="L897" s="2" t="s">
        <v>34</v>
      </c>
      <c r="M897" s="7">
        <v>949.03499999999997</v>
      </c>
      <c r="N897" s="7">
        <v>36.125</v>
      </c>
      <c r="O897" s="5">
        <v>36.5</v>
      </c>
      <c r="P897" s="2" t="s">
        <v>3081</v>
      </c>
      <c r="Q897" s="6">
        <v>100</v>
      </c>
      <c r="R897" s="6">
        <v>7.7</v>
      </c>
      <c r="S897" s="5">
        <v>-7.9</v>
      </c>
      <c r="T897" s="7">
        <v>6.867</v>
      </c>
      <c r="U897" s="5">
        <v>6.3</v>
      </c>
      <c r="V897" s="6">
        <v>-0.89</v>
      </c>
      <c r="W897" s="7">
        <v>5.625</v>
      </c>
      <c r="X897" s="5">
        <v>5.5</v>
      </c>
      <c r="Y897" s="7">
        <v>6.625</v>
      </c>
      <c r="Z897" s="7">
        <v>6.625</v>
      </c>
      <c r="AA897" s="6">
        <v>37.39</v>
      </c>
      <c r="AB897" s="2" t="s">
        <v>86</v>
      </c>
      <c r="AC897" s="2"/>
    </row>
    <row r="898" spans="1:29" ht="117" x14ac:dyDescent="0.15">
      <c r="A898" s="3">
        <f>DATE(1992,7,30)</f>
        <v>33815</v>
      </c>
      <c r="B898" s="3">
        <f>DATE(1993,2,17)</f>
        <v>34017</v>
      </c>
      <c r="C898" s="2" t="s">
        <v>95</v>
      </c>
      <c r="D898" s="2" t="s">
        <v>3082</v>
      </c>
      <c r="E898" s="2" t="s">
        <v>265</v>
      </c>
      <c r="F898" s="4">
        <v>6021</v>
      </c>
      <c r="G898" s="2" t="s">
        <v>37</v>
      </c>
      <c r="H898" s="2" t="s">
        <v>34</v>
      </c>
      <c r="I898" s="2" t="s">
        <v>2336</v>
      </c>
      <c r="J898" s="2" t="s">
        <v>2337</v>
      </c>
      <c r="K898" s="2" t="s">
        <v>37</v>
      </c>
      <c r="L898" s="2" t="s">
        <v>34</v>
      </c>
      <c r="M898" s="2"/>
      <c r="N898" s="7">
        <v>24.625</v>
      </c>
      <c r="O898" s="4">
        <v>25</v>
      </c>
      <c r="P898" s="2" t="s">
        <v>3083</v>
      </c>
      <c r="Q898" s="6">
        <v>100</v>
      </c>
      <c r="R898" s="6">
        <v>23.64</v>
      </c>
      <c r="S898" s="5">
        <v>3.2</v>
      </c>
      <c r="T898" s="7">
        <v>5.819</v>
      </c>
      <c r="U898" s="5">
        <v>23.2</v>
      </c>
      <c r="V898" s="6">
        <v>1.96</v>
      </c>
      <c r="W898" s="7">
        <v>15.375</v>
      </c>
      <c r="X898" s="6">
        <v>15.25</v>
      </c>
      <c r="Y898" s="4">
        <v>19</v>
      </c>
      <c r="Z898" s="6">
        <v>20.25</v>
      </c>
      <c r="AA898" s="6">
        <v>1.64</v>
      </c>
      <c r="AB898" s="7">
        <v>87.156000000000006</v>
      </c>
      <c r="AC898" s="2"/>
    </row>
    <row r="899" spans="1:29" ht="117" x14ac:dyDescent="0.15">
      <c r="A899" s="3">
        <f>DATE(1992,7,31)</f>
        <v>33816</v>
      </c>
      <c r="B899" s="2"/>
      <c r="C899" s="2" t="s">
        <v>30</v>
      </c>
      <c r="D899" s="2" t="s">
        <v>3084</v>
      </c>
      <c r="E899" s="2" t="s">
        <v>3085</v>
      </c>
      <c r="F899" s="4">
        <v>8099</v>
      </c>
      <c r="G899" s="2" t="s">
        <v>454</v>
      </c>
      <c r="H899" s="2" t="s">
        <v>34</v>
      </c>
      <c r="I899" s="2" t="s">
        <v>3086</v>
      </c>
      <c r="J899" s="2" t="s">
        <v>52</v>
      </c>
      <c r="K899" s="2" t="s">
        <v>53</v>
      </c>
      <c r="L899" s="2" t="s">
        <v>34</v>
      </c>
      <c r="M899" s="2"/>
      <c r="N899" s="2"/>
      <c r="O899" s="2"/>
      <c r="P899" s="2" t="s">
        <v>3087</v>
      </c>
      <c r="Q899" s="2"/>
      <c r="R899" s="6">
        <v>20.25</v>
      </c>
      <c r="S899" s="5">
        <v>-1.9</v>
      </c>
      <c r="T899" s="7">
        <v>0.182</v>
      </c>
      <c r="U899" s="5">
        <v>3.6</v>
      </c>
      <c r="V899" s="6">
        <v>-0.35</v>
      </c>
      <c r="W899" s="7">
        <v>10.875</v>
      </c>
      <c r="X899" s="7">
        <v>14.125</v>
      </c>
      <c r="Y899" s="6">
        <v>13.75</v>
      </c>
      <c r="Z899" s="7">
        <v>13.125</v>
      </c>
      <c r="AA899" s="6">
        <v>5.24</v>
      </c>
      <c r="AB899" s="7">
        <v>556.62900000000002</v>
      </c>
      <c r="AC899" s="2"/>
    </row>
    <row r="900" spans="1:29" ht="52" x14ac:dyDescent="0.15">
      <c r="A900" s="3">
        <f>DATE(1992,7,31)</f>
        <v>33816</v>
      </c>
      <c r="B900" s="3">
        <f>DATE(1992,11,20)</f>
        <v>33928</v>
      </c>
      <c r="C900" s="2" t="s">
        <v>95</v>
      </c>
      <c r="D900" s="2" t="s">
        <v>3088</v>
      </c>
      <c r="E900" s="2" t="s">
        <v>3089</v>
      </c>
      <c r="F900" s="4">
        <v>3699</v>
      </c>
      <c r="G900" s="2" t="s">
        <v>137</v>
      </c>
      <c r="H900" s="2" t="s">
        <v>34</v>
      </c>
      <c r="I900" s="2" t="s">
        <v>3090</v>
      </c>
      <c r="J900" s="2" t="s">
        <v>3091</v>
      </c>
      <c r="K900" s="2" t="s">
        <v>137</v>
      </c>
      <c r="L900" s="2" t="s">
        <v>34</v>
      </c>
      <c r="M900" s="2"/>
      <c r="N900" s="5">
        <v>48.5</v>
      </c>
      <c r="O900" s="5">
        <v>49.5</v>
      </c>
      <c r="P900" s="2" t="s">
        <v>3092</v>
      </c>
      <c r="Q900" s="6">
        <v>100</v>
      </c>
      <c r="R900" s="6">
        <v>22.21</v>
      </c>
      <c r="S900" s="5">
        <v>3.3</v>
      </c>
      <c r="T900" s="7">
        <v>5.9059999999999997</v>
      </c>
      <c r="U900" s="5">
        <v>8.6</v>
      </c>
      <c r="V900" s="6">
        <v>1.6</v>
      </c>
      <c r="W900" s="7">
        <v>18.687999999999999</v>
      </c>
      <c r="X900" s="7">
        <v>18.375</v>
      </c>
      <c r="Y900" s="7">
        <v>21.875</v>
      </c>
      <c r="Z900" s="7">
        <v>21.625</v>
      </c>
      <c r="AA900" s="6">
        <v>1.78</v>
      </c>
      <c r="AB900" s="7">
        <v>8.35</v>
      </c>
      <c r="AC900" s="6">
        <v>91.61</v>
      </c>
    </row>
    <row r="901" spans="1:29" ht="130" x14ac:dyDescent="0.15">
      <c r="A901" s="3">
        <f>DATE(1992,7,31)</f>
        <v>33816</v>
      </c>
      <c r="B901" s="2"/>
      <c r="C901" s="2" t="s">
        <v>56</v>
      </c>
      <c r="D901" s="2" t="s">
        <v>3093</v>
      </c>
      <c r="E901" s="2" t="s">
        <v>3094</v>
      </c>
      <c r="F901" s="4">
        <v>6162</v>
      </c>
      <c r="G901" s="2" t="s">
        <v>109</v>
      </c>
      <c r="H901" s="2" t="s">
        <v>34</v>
      </c>
      <c r="I901" s="2" t="s">
        <v>149</v>
      </c>
      <c r="J901" s="2" t="s">
        <v>150</v>
      </c>
      <c r="K901" s="2" t="s">
        <v>53</v>
      </c>
      <c r="L901" s="2" t="s">
        <v>151</v>
      </c>
      <c r="M901" s="2"/>
      <c r="N901" s="2"/>
      <c r="O901" s="2"/>
      <c r="P901" s="2" t="s">
        <v>3095</v>
      </c>
      <c r="Q901" s="2"/>
      <c r="R901" s="2"/>
      <c r="S901" s="5">
        <v>0</v>
      </c>
      <c r="T901" s="2"/>
      <c r="U901" s="5">
        <v>0.2</v>
      </c>
      <c r="V901" s="2"/>
      <c r="W901" s="6">
        <v>1.75</v>
      </c>
      <c r="X901" s="7">
        <v>1.375</v>
      </c>
      <c r="Y901" s="6">
        <v>1.25</v>
      </c>
      <c r="Z901" s="7">
        <v>1.375</v>
      </c>
      <c r="AA901" s="6">
        <v>3.47</v>
      </c>
      <c r="AB901" s="2" t="s">
        <v>47</v>
      </c>
      <c r="AC901" s="2"/>
    </row>
    <row r="902" spans="1:29" ht="65" x14ac:dyDescent="0.15">
      <c r="A902" s="3">
        <f>DATE(1992,8,3)</f>
        <v>33819</v>
      </c>
      <c r="B902" s="2"/>
      <c r="C902" s="2" t="s">
        <v>30</v>
      </c>
      <c r="D902" s="2" t="s">
        <v>3096</v>
      </c>
      <c r="E902" s="2" t="s">
        <v>36</v>
      </c>
      <c r="F902" s="4">
        <v>6022</v>
      </c>
      <c r="G902" s="2" t="s">
        <v>37</v>
      </c>
      <c r="H902" s="2" t="s">
        <v>34</v>
      </c>
      <c r="I902" s="2" t="s">
        <v>138</v>
      </c>
      <c r="J902" s="2" t="s">
        <v>139</v>
      </c>
      <c r="K902" s="2" t="s">
        <v>53</v>
      </c>
      <c r="L902" s="2" t="s">
        <v>139</v>
      </c>
      <c r="M902" s="2"/>
      <c r="N902" s="2"/>
      <c r="O902" s="2"/>
      <c r="P902" s="2" t="s">
        <v>3097</v>
      </c>
      <c r="Q902" s="2"/>
      <c r="R902" s="2"/>
      <c r="S902" s="2"/>
      <c r="T902" s="2"/>
      <c r="U902" s="5">
        <v>11.4</v>
      </c>
      <c r="V902" s="2"/>
      <c r="W902" s="6">
        <v>16.25</v>
      </c>
      <c r="X902" s="4">
        <v>21</v>
      </c>
      <c r="Y902" s="5">
        <v>23.5</v>
      </c>
      <c r="Z902" s="4">
        <v>23</v>
      </c>
      <c r="AA902" s="2"/>
      <c r="AB902" s="2" t="s">
        <v>47</v>
      </c>
      <c r="AC902" s="2"/>
    </row>
    <row r="903" spans="1:29" ht="78" x14ac:dyDescent="0.15">
      <c r="A903" s="3">
        <f>DATE(1992,8,4)</f>
        <v>33820</v>
      </c>
      <c r="B903" s="2"/>
      <c r="C903" s="2" t="s">
        <v>82</v>
      </c>
      <c r="D903" s="2" t="s">
        <v>3098</v>
      </c>
      <c r="E903" s="2" t="s">
        <v>2898</v>
      </c>
      <c r="F903" s="4">
        <v>6022</v>
      </c>
      <c r="G903" s="2" t="s">
        <v>37</v>
      </c>
      <c r="H903" s="2" t="s">
        <v>34</v>
      </c>
      <c r="I903" s="2" t="s">
        <v>3099</v>
      </c>
      <c r="J903" s="2" t="s">
        <v>265</v>
      </c>
      <c r="K903" s="2" t="s">
        <v>37</v>
      </c>
      <c r="L903" s="2" t="s">
        <v>34</v>
      </c>
      <c r="M903" s="2"/>
      <c r="N903" s="6">
        <v>14.25</v>
      </c>
      <c r="O903" s="6">
        <v>15.25</v>
      </c>
      <c r="P903" s="2" t="s">
        <v>3100</v>
      </c>
      <c r="Q903" s="2"/>
      <c r="R903" s="6">
        <v>11</v>
      </c>
      <c r="S903" s="2"/>
      <c r="T903" s="2"/>
      <c r="U903" s="2"/>
      <c r="V903" s="2"/>
      <c r="W903" s="6">
        <v>6.75</v>
      </c>
      <c r="X903" s="7">
        <v>6.625</v>
      </c>
      <c r="Y903" s="6">
        <v>6.25</v>
      </c>
      <c r="Z903" s="7">
        <v>6.625</v>
      </c>
      <c r="AA903" s="6">
        <v>0.92</v>
      </c>
      <c r="AB903" s="2" t="s">
        <v>47</v>
      </c>
      <c r="AC903" s="2"/>
    </row>
    <row r="904" spans="1:29" ht="78" x14ac:dyDescent="0.15">
      <c r="A904" s="3">
        <f>DATE(1992,8,4)</f>
        <v>33820</v>
      </c>
      <c r="B904" s="3">
        <f>DATE(1992,10,30)</f>
        <v>33907</v>
      </c>
      <c r="C904" s="2" t="s">
        <v>95</v>
      </c>
      <c r="D904" s="2" t="s">
        <v>3101</v>
      </c>
      <c r="E904" s="2" t="s">
        <v>3102</v>
      </c>
      <c r="F904" s="4">
        <v>5651</v>
      </c>
      <c r="G904" s="2" t="s">
        <v>756</v>
      </c>
      <c r="H904" s="2" t="s">
        <v>34</v>
      </c>
      <c r="I904" s="2" t="s">
        <v>1526</v>
      </c>
      <c r="J904" s="2" t="s">
        <v>302</v>
      </c>
      <c r="K904" s="2" t="s">
        <v>53</v>
      </c>
      <c r="L904" s="2" t="s">
        <v>34</v>
      </c>
      <c r="M904" s="2"/>
      <c r="N904" s="2"/>
      <c r="O904" s="2"/>
      <c r="P904" s="2" t="s">
        <v>3103</v>
      </c>
      <c r="Q904" s="6">
        <v>90.43</v>
      </c>
      <c r="R904" s="2"/>
      <c r="S904" s="2"/>
      <c r="T904" s="2"/>
      <c r="U904" s="5">
        <v>-4.5</v>
      </c>
      <c r="V904" s="2"/>
      <c r="W904" s="7">
        <v>1.125</v>
      </c>
      <c r="X904" s="4">
        <v>1</v>
      </c>
      <c r="Y904" s="7">
        <v>1.125</v>
      </c>
      <c r="Z904" s="7">
        <v>1.125</v>
      </c>
      <c r="AA904" s="6">
        <v>8.94</v>
      </c>
      <c r="AB904" s="2" t="s">
        <v>47</v>
      </c>
      <c r="AC904" s="2"/>
    </row>
    <row r="905" spans="1:29" ht="26" x14ac:dyDescent="0.15">
      <c r="A905" s="3">
        <f>DATE(1992,8,5)</f>
        <v>33821</v>
      </c>
      <c r="B905" s="2"/>
      <c r="C905" s="2" t="s">
        <v>141</v>
      </c>
      <c r="D905" s="2" t="s">
        <v>3104</v>
      </c>
      <c r="E905" s="2" t="s">
        <v>3105</v>
      </c>
      <c r="F905" s="4">
        <v>3651</v>
      </c>
      <c r="G905" s="2" t="s">
        <v>137</v>
      </c>
      <c r="H905" s="2" t="s">
        <v>34</v>
      </c>
      <c r="I905" s="2" t="s">
        <v>143</v>
      </c>
      <c r="J905" s="2" t="s">
        <v>144</v>
      </c>
      <c r="K905" s="2" t="s">
        <v>53</v>
      </c>
      <c r="L905" s="2" t="s">
        <v>139</v>
      </c>
      <c r="M905" s="2"/>
      <c r="N905" s="2"/>
      <c r="O905" s="2"/>
      <c r="P905" s="2" t="s">
        <v>3106</v>
      </c>
      <c r="Q905" s="2"/>
      <c r="R905" s="2"/>
      <c r="S905" s="5">
        <v>0.2</v>
      </c>
      <c r="T905" s="7">
        <v>0.86599999999999999</v>
      </c>
      <c r="U905" s="8">
        <v>27429</v>
      </c>
      <c r="V905" s="6">
        <v>300</v>
      </c>
      <c r="W905" s="7">
        <v>2.625</v>
      </c>
      <c r="X905" s="7">
        <v>2.625</v>
      </c>
      <c r="Y905" s="7">
        <v>2.875</v>
      </c>
      <c r="Z905" s="6">
        <v>2.75</v>
      </c>
      <c r="AA905" s="2"/>
      <c r="AB905" s="2" t="s">
        <v>47</v>
      </c>
      <c r="AC905" s="2"/>
    </row>
    <row r="906" spans="1:29" ht="156" x14ac:dyDescent="0.15">
      <c r="A906" s="3">
        <f>DATE(1992,8,6)</f>
        <v>33822</v>
      </c>
      <c r="B906" s="2"/>
      <c r="C906" s="2" t="s">
        <v>30</v>
      </c>
      <c r="D906" s="2" t="s">
        <v>1816</v>
      </c>
      <c r="E906" s="2" t="s">
        <v>1817</v>
      </c>
      <c r="F906" s="4">
        <v>4512</v>
      </c>
      <c r="G906" s="2" t="s">
        <v>59</v>
      </c>
      <c r="H906" s="2" t="s">
        <v>34</v>
      </c>
      <c r="I906" s="2" t="s">
        <v>3107</v>
      </c>
      <c r="J906" s="2" t="s">
        <v>52</v>
      </c>
      <c r="K906" s="2" t="s">
        <v>53</v>
      </c>
      <c r="L906" s="2" t="s">
        <v>34</v>
      </c>
      <c r="M906" s="2"/>
      <c r="N906" s="2"/>
      <c r="O906" s="2"/>
      <c r="P906" s="2" t="s">
        <v>3108</v>
      </c>
      <c r="Q906" s="2"/>
      <c r="R906" s="2"/>
      <c r="S906" s="5">
        <v>-305.7</v>
      </c>
      <c r="T906" s="7">
        <v>12.599</v>
      </c>
      <c r="U906" s="5">
        <v>-81.5</v>
      </c>
      <c r="V906" s="6">
        <v>-6.74</v>
      </c>
      <c r="W906" s="6">
        <v>4.25</v>
      </c>
      <c r="X906" s="7">
        <v>3.625</v>
      </c>
      <c r="Y906" s="6">
        <v>3.75</v>
      </c>
      <c r="Z906" s="7">
        <v>3.625</v>
      </c>
      <c r="AA906" s="2"/>
      <c r="AB906" s="2" t="s">
        <v>86</v>
      </c>
      <c r="AC906" s="2"/>
    </row>
    <row r="907" spans="1:29" ht="130" x14ac:dyDescent="0.15">
      <c r="A907" s="3">
        <f>DATE(1992,8,12)</f>
        <v>33828</v>
      </c>
      <c r="B907" s="2"/>
      <c r="C907" s="2" t="s">
        <v>30</v>
      </c>
      <c r="D907" s="2" t="s">
        <v>3109</v>
      </c>
      <c r="E907" s="2" t="s">
        <v>3110</v>
      </c>
      <c r="F907" s="4">
        <v>3577</v>
      </c>
      <c r="G907" s="2" t="s">
        <v>50</v>
      </c>
      <c r="H907" s="2" t="s">
        <v>34</v>
      </c>
      <c r="I907" s="2" t="s">
        <v>2196</v>
      </c>
      <c r="J907" s="2" t="s">
        <v>2197</v>
      </c>
      <c r="K907" s="2" t="s">
        <v>50</v>
      </c>
      <c r="L907" s="2" t="s">
        <v>34</v>
      </c>
      <c r="M907" s="2"/>
      <c r="N907" s="7">
        <v>5.125</v>
      </c>
      <c r="O907" s="6">
        <v>5.25</v>
      </c>
      <c r="P907" s="2" t="s">
        <v>3111</v>
      </c>
      <c r="Q907" s="2"/>
      <c r="R907" s="2"/>
      <c r="S907" s="2"/>
      <c r="T907" s="2"/>
      <c r="U907" s="5">
        <v>1.7</v>
      </c>
      <c r="V907" s="2"/>
      <c r="W907" s="7">
        <v>1.625</v>
      </c>
      <c r="X907" s="9">
        <v>1.6875</v>
      </c>
      <c r="Y907" s="6">
        <v>1.75</v>
      </c>
      <c r="Z907" s="7">
        <v>1.625</v>
      </c>
      <c r="AA907" s="6">
        <v>4.74</v>
      </c>
      <c r="AB907" s="2" t="s">
        <v>47</v>
      </c>
      <c r="AC907" s="2"/>
    </row>
    <row r="908" spans="1:29" ht="156" x14ac:dyDescent="0.15">
      <c r="A908" s="3">
        <f>DATE(1992,8,17)</f>
        <v>33833</v>
      </c>
      <c r="B908" s="3">
        <f>DATE(1992,12,18)</f>
        <v>33956</v>
      </c>
      <c r="C908" s="2" t="s">
        <v>95</v>
      </c>
      <c r="D908" s="2" t="s">
        <v>3112</v>
      </c>
      <c r="E908" s="2" t="s">
        <v>3113</v>
      </c>
      <c r="F908" s="4">
        <v>8099</v>
      </c>
      <c r="G908" s="2" t="s">
        <v>454</v>
      </c>
      <c r="H908" s="2" t="s">
        <v>34</v>
      </c>
      <c r="I908" s="2" t="s">
        <v>3114</v>
      </c>
      <c r="J908" s="2" t="s">
        <v>786</v>
      </c>
      <c r="K908" s="2" t="s">
        <v>593</v>
      </c>
      <c r="L908" s="2" t="s">
        <v>34</v>
      </c>
      <c r="M908" s="12">
        <v>4618.5870000000004</v>
      </c>
      <c r="N908" s="5">
        <v>28.5</v>
      </c>
      <c r="O908" s="6">
        <v>29.75</v>
      </c>
      <c r="P908" s="2" t="s">
        <v>3115</v>
      </c>
      <c r="Q908" s="6">
        <v>100</v>
      </c>
      <c r="R908" s="6">
        <v>22.1</v>
      </c>
      <c r="S908" s="5">
        <v>3.9</v>
      </c>
      <c r="T908" s="6">
        <v>9.81</v>
      </c>
      <c r="U908" s="5">
        <v>3.1</v>
      </c>
      <c r="V908" s="6">
        <v>0.65</v>
      </c>
      <c r="W908" s="7">
        <v>16.125</v>
      </c>
      <c r="X908" s="4">
        <v>16</v>
      </c>
      <c r="Y908" s="7">
        <v>19.875</v>
      </c>
      <c r="Z908" s="7">
        <v>20.875</v>
      </c>
      <c r="AA908" s="6">
        <v>5.45</v>
      </c>
      <c r="AB908" s="7">
        <v>16.277000000000001</v>
      </c>
      <c r="AC908" s="6">
        <v>170.46</v>
      </c>
    </row>
    <row r="909" spans="1:29" ht="26" x14ac:dyDescent="0.15">
      <c r="A909" s="3">
        <f>DATE(1992,8,17)</f>
        <v>33833</v>
      </c>
      <c r="B909" s="2"/>
      <c r="C909" s="2" t="s">
        <v>30</v>
      </c>
      <c r="D909" s="2" t="s">
        <v>724</v>
      </c>
      <c r="E909" s="2" t="s">
        <v>725</v>
      </c>
      <c r="F909" s="4">
        <v>6321</v>
      </c>
      <c r="G909" s="2" t="s">
        <v>125</v>
      </c>
      <c r="H909" s="2" t="s">
        <v>34</v>
      </c>
      <c r="I909" s="2" t="s">
        <v>138</v>
      </c>
      <c r="J909" s="2" t="s">
        <v>139</v>
      </c>
      <c r="K909" s="2" t="s">
        <v>53</v>
      </c>
      <c r="L909" s="2" t="s">
        <v>139</v>
      </c>
      <c r="M909" s="2"/>
      <c r="N909" s="2"/>
      <c r="O909" s="2"/>
      <c r="P909" s="2" t="s">
        <v>3116</v>
      </c>
      <c r="Q909" s="2"/>
      <c r="R909" s="2"/>
      <c r="S909" s="5">
        <v>4</v>
      </c>
      <c r="T909" s="2"/>
      <c r="U909" s="5">
        <v>4.5999999999999996</v>
      </c>
      <c r="V909" s="6">
        <v>0.57999999999999996</v>
      </c>
      <c r="W909" s="5">
        <v>1.5</v>
      </c>
      <c r="X909" s="7">
        <v>1.625</v>
      </c>
      <c r="Y909" s="5">
        <v>1.5</v>
      </c>
      <c r="Z909" s="5">
        <v>1.5</v>
      </c>
      <c r="AA909" s="2"/>
      <c r="AB909" s="2" t="s">
        <v>47</v>
      </c>
      <c r="AC909" s="2"/>
    </row>
    <row r="910" spans="1:29" ht="156" x14ac:dyDescent="0.15">
      <c r="A910" s="3">
        <f>DATE(1992,8,17)</f>
        <v>33833</v>
      </c>
      <c r="B910" s="3">
        <f>DATE(1992,12,31)</f>
        <v>33969</v>
      </c>
      <c r="C910" s="2" t="s">
        <v>95</v>
      </c>
      <c r="D910" s="2" t="s">
        <v>745</v>
      </c>
      <c r="E910" s="2" t="s">
        <v>746</v>
      </c>
      <c r="F910" s="4">
        <v>6311</v>
      </c>
      <c r="G910" s="2" t="s">
        <v>125</v>
      </c>
      <c r="H910" s="2" t="s">
        <v>34</v>
      </c>
      <c r="I910" s="2" t="s">
        <v>248</v>
      </c>
      <c r="J910" s="2" t="s">
        <v>249</v>
      </c>
      <c r="K910" s="2" t="s">
        <v>250</v>
      </c>
      <c r="L910" s="2" t="s">
        <v>34</v>
      </c>
      <c r="M910" s="7">
        <v>730.75099999999998</v>
      </c>
      <c r="N910" s="7">
        <v>59.875</v>
      </c>
      <c r="O910" s="7">
        <v>61.875</v>
      </c>
      <c r="P910" s="2" t="s">
        <v>3117</v>
      </c>
      <c r="Q910" s="6">
        <v>36.89</v>
      </c>
      <c r="R910" s="6">
        <v>25.78</v>
      </c>
      <c r="S910" s="5">
        <v>40.799999999999997</v>
      </c>
      <c r="T910" s="7">
        <v>106.907</v>
      </c>
      <c r="U910" s="5">
        <v>14.7</v>
      </c>
      <c r="V910" s="6">
        <v>2.86</v>
      </c>
      <c r="W910" s="7">
        <v>22.375</v>
      </c>
      <c r="X910" s="4">
        <v>23</v>
      </c>
      <c r="Y910" s="7">
        <v>22.625</v>
      </c>
      <c r="Z910" s="5">
        <v>23.5</v>
      </c>
      <c r="AA910" s="6">
        <v>14.71</v>
      </c>
      <c r="AB910" s="7">
        <v>4.1479999999999997</v>
      </c>
      <c r="AC910" s="6">
        <v>50.92</v>
      </c>
    </row>
    <row r="911" spans="1:29" ht="117" x14ac:dyDescent="0.15">
      <c r="A911" s="3">
        <f>DATE(1992,8,18)</f>
        <v>33834</v>
      </c>
      <c r="B911" s="2"/>
      <c r="C911" s="2" t="s">
        <v>56</v>
      </c>
      <c r="D911" s="2" t="s">
        <v>3118</v>
      </c>
      <c r="E911" s="2" t="s">
        <v>3119</v>
      </c>
      <c r="F911" s="4">
        <v>3577</v>
      </c>
      <c r="G911" s="2" t="s">
        <v>50</v>
      </c>
      <c r="H911" s="2" t="s">
        <v>34</v>
      </c>
      <c r="I911" s="2" t="s">
        <v>51</v>
      </c>
      <c r="J911" s="2" t="s">
        <v>52</v>
      </c>
      <c r="K911" s="2" t="s">
        <v>53</v>
      </c>
      <c r="L911" s="2" t="s">
        <v>34</v>
      </c>
      <c r="M911" s="2"/>
      <c r="N911" s="2"/>
      <c r="O911" s="2"/>
      <c r="P911" s="2" t="s">
        <v>3120</v>
      </c>
      <c r="Q911" s="2"/>
      <c r="R911" s="6">
        <v>13</v>
      </c>
      <c r="S911" s="5">
        <v>-5.6</v>
      </c>
      <c r="T911" s="7">
        <v>-6.173</v>
      </c>
      <c r="U911" s="5">
        <v>8.9</v>
      </c>
      <c r="V911" s="6">
        <v>-2.39</v>
      </c>
      <c r="W911" s="6">
        <v>9.25</v>
      </c>
      <c r="X911" s="7">
        <v>9.125</v>
      </c>
      <c r="Y911" s="7">
        <v>9.125</v>
      </c>
      <c r="Z911" s="6">
        <v>8.75</v>
      </c>
      <c r="AA911" s="6">
        <v>2.34</v>
      </c>
      <c r="AB911" s="2" t="s">
        <v>86</v>
      </c>
      <c r="AC911" s="2"/>
    </row>
    <row r="912" spans="1:29" ht="156" x14ac:dyDescent="0.15">
      <c r="A912" s="3">
        <f>DATE(1992,8,19)</f>
        <v>33835</v>
      </c>
      <c r="B912" s="3">
        <f>DATE(1993,2,8)</f>
        <v>34008</v>
      </c>
      <c r="C912" s="2" t="s">
        <v>95</v>
      </c>
      <c r="D912" s="2" t="s">
        <v>413</v>
      </c>
      <c r="E912" s="2" t="s">
        <v>414</v>
      </c>
      <c r="F912" s="4">
        <v>8299</v>
      </c>
      <c r="G912" s="2" t="s">
        <v>415</v>
      </c>
      <c r="H912" s="2" t="s">
        <v>34</v>
      </c>
      <c r="I912" s="2" t="s">
        <v>2430</v>
      </c>
      <c r="J912" s="2" t="s">
        <v>2431</v>
      </c>
      <c r="K912" s="2" t="s">
        <v>415</v>
      </c>
      <c r="L912" s="2" t="s">
        <v>99</v>
      </c>
      <c r="M912" s="2"/>
      <c r="N912" s="2"/>
      <c r="O912" s="2"/>
      <c r="P912" s="2" t="s">
        <v>3121</v>
      </c>
      <c r="Q912" s="6">
        <v>99.6</v>
      </c>
      <c r="R912" s="6">
        <v>20.98</v>
      </c>
      <c r="S912" s="5">
        <v>22.6</v>
      </c>
      <c r="T912" s="7">
        <v>40.332000000000001</v>
      </c>
      <c r="U912" s="5">
        <v>8</v>
      </c>
      <c r="V912" s="6">
        <v>0.56000000000000005</v>
      </c>
      <c r="W912" s="6">
        <v>17.25</v>
      </c>
      <c r="X912" s="5">
        <v>17.5</v>
      </c>
      <c r="Y912" s="2"/>
      <c r="Z912" s="2"/>
      <c r="AA912" s="6">
        <v>19.079999999999998</v>
      </c>
      <c r="AB912" s="7">
        <v>21.786999999999999</v>
      </c>
      <c r="AC912" s="2"/>
    </row>
    <row r="913" spans="1:29" ht="52" x14ac:dyDescent="0.15">
      <c r="A913" s="3">
        <f>DATE(1992,8,19)</f>
        <v>33835</v>
      </c>
      <c r="B913" s="3">
        <f>DATE(1993,3,2)</f>
        <v>34030</v>
      </c>
      <c r="C913" s="2" t="s">
        <v>95</v>
      </c>
      <c r="D913" s="2" t="s">
        <v>3122</v>
      </c>
      <c r="E913" s="2" t="s">
        <v>389</v>
      </c>
      <c r="F913" s="4">
        <v>6035</v>
      </c>
      <c r="G913" s="2" t="s">
        <v>33</v>
      </c>
      <c r="H913" s="2" t="s">
        <v>34</v>
      </c>
      <c r="I913" s="2" t="s">
        <v>3123</v>
      </c>
      <c r="J913" s="2" t="s">
        <v>3124</v>
      </c>
      <c r="K913" s="2" t="s">
        <v>33</v>
      </c>
      <c r="L913" s="2" t="s">
        <v>34</v>
      </c>
      <c r="M913" s="2"/>
      <c r="N913" s="2"/>
      <c r="O913" s="2"/>
      <c r="P913" s="2" t="s">
        <v>3125</v>
      </c>
      <c r="Q913" s="6">
        <v>100</v>
      </c>
      <c r="R913" s="6">
        <v>17.5</v>
      </c>
      <c r="S913" s="5">
        <v>-1.6</v>
      </c>
      <c r="T913" s="2"/>
      <c r="U913" s="5">
        <v>17</v>
      </c>
      <c r="V913" s="2"/>
      <c r="W913" s="7">
        <v>12.875</v>
      </c>
      <c r="X913" s="6">
        <v>12.75</v>
      </c>
      <c r="Y913" s="6">
        <v>12.75</v>
      </c>
      <c r="Z913" s="6">
        <v>15.25</v>
      </c>
      <c r="AA913" s="6">
        <v>1.21</v>
      </c>
      <c r="AB913" s="2" t="s">
        <v>86</v>
      </c>
      <c r="AC913" s="2"/>
    </row>
    <row r="914" spans="1:29" ht="156" x14ac:dyDescent="0.15">
      <c r="A914" s="3">
        <f>DATE(1992,8,20)</f>
        <v>33836</v>
      </c>
      <c r="B914" s="3">
        <f>DATE(1993,2,10)</f>
        <v>34010</v>
      </c>
      <c r="C914" s="2" t="s">
        <v>95</v>
      </c>
      <c r="D914" s="2" t="s">
        <v>3126</v>
      </c>
      <c r="E914" s="2" t="s">
        <v>2898</v>
      </c>
      <c r="F914" s="4">
        <v>6021</v>
      </c>
      <c r="G914" s="2" t="s">
        <v>37</v>
      </c>
      <c r="H914" s="2" t="s">
        <v>34</v>
      </c>
      <c r="I914" s="2" t="s">
        <v>450</v>
      </c>
      <c r="J914" s="2" t="s">
        <v>36</v>
      </c>
      <c r="K914" s="2" t="s">
        <v>37</v>
      </c>
      <c r="L914" s="2" t="s">
        <v>34</v>
      </c>
      <c r="M914" s="12">
        <v>5421.0929999999998</v>
      </c>
      <c r="N914" s="4">
        <v>37</v>
      </c>
      <c r="O914" s="7">
        <v>37.625</v>
      </c>
      <c r="P914" s="2" t="s">
        <v>3127</v>
      </c>
      <c r="Q914" s="6">
        <v>100</v>
      </c>
      <c r="R914" s="6">
        <v>22.71</v>
      </c>
      <c r="S914" s="5">
        <v>-21.2</v>
      </c>
      <c r="T914" s="7">
        <v>-33.835999999999999</v>
      </c>
      <c r="U914" s="5">
        <v>20.9</v>
      </c>
      <c r="V914" s="6">
        <v>-2.96</v>
      </c>
      <c r="W914" s="6">
        <v>24.75</v>
      </c>
      <c r="X914" s="6">
        <v>27.25</v>
      </c>
      <c r="Y914" s="5">
        <v>27.5</v>
      </c>
      <c r="Z914" s="5">
        <v>27.5</v>
      </c>
      <c r="AA914" s="6">
        <v>7.21</v>
      </c>
      <c r="AB914" s="2" t="s">
        <v>86</v>
      </c>
      <c r="AC914" s="2"/>
    </row>
    <row r="915" spans="1:29" ht="169" x14ac:dyDescent="0.15">
      <c r="A915" s="3">
        <f>DATE(1992,8,20)</f>
        <v>33836</v>
      </c>
      <c r="B915" s="3">
        <f>DATE(1993,3,1)</f>
        <v>34029</v>
      </c>
      <c r="C915" s="2" t="s">
        <v>95</v>
      </c>
      <c r="D915" s="2" t="s">
        <v>3128</v>
      </c>
      <c r="E915" s="2" t="s">
        <v>3129</v>
      </c>
      <c r="F915" s="4">
        <v>6035</v>
      </c>
      <c r="G915" s="2" t="s">
        <v>33</v>
      </c>
      <c r="H915" s="2" t="s">
        <v>34</v>
      </c>
      <c r="I915" s="2" t="s">
        <v>2324</v>
      </c>
      <c r="J915" s="2" t="s">
        <v>672</v>
      </c>
      <c r="K915" s="2" t="s">
        <v>33</v>
      </c>
      <c r="L915" s="2" t="s">
        <v>34</v>
      </c>
      <c r="M915" s="7">
        <v>694.83199999999999</v>
      </c>
      <c r="N915" s="7">
        <v>25.375</v>
      </c>
      <c r="O915" s="4">
        <v>26</v>
      </c>
      <c r="P915" s="2" t="s">
        <v>3130</v>
      </c>
      <c r="Q915" s="6">
        <v>100</v>
      </c>
      <c r="R915" s="6">
        <v>26.3</v>
      </c>
      <c r="S915" s="5">
        <v>14.3</v>
      </c>
      <c r="T915" s="2"/>
      <c r="U915" s="5">
        <v>16.2</v>
      </c>
      <c r="V915" s="6">
        <v>2.23</v>
      </c>
      <c r="W915" s="4">
        <v>24</v>
      </c>
      <c r="X915" s="6">
        <v>23.75</v>
      </c>
      <c r="Y915" s="6">
        <v>24.25</v>
      </c>
      <c r="Z915" s="7">
        <v>23.875</v>
      </c>
      <c r="AA915" s="6">
        <v>6.46</v>
      </c>
      <c r="AB915" s="7">
        <v>36.389000000000003</v>
      </c>
      <c r="AC915" s="2"/>
    </row>
    <row r="916" spans="1:29" ht="143" x14ac:dyDescent="0.15">
      <c r="A916" s="3">
        <f>DATE(1992,8,21)</f>
        <v>33837</v>
      </c>
      <c r="B916" s="2"/>
      <c r="C916" s="2" t="s">
        <v>56</v>
      </c>
      <c r="D916" s="2" t="s">
        <v>3131</v>
      </c>
      <c r="E916" s="2" t="s">
        <v>3132</v>
      </c>
      <c r="F916" s="4">
        <v>3845</v>
      </c>
      <c r="G916" s="2" t="s">
        <v>226</v>
      </c>
      <c r="H916" s="2" t="s">
        <v>34</v>
      </c>
      <c r="I916" s="2" t="s">
        <v>51</v>
      </c>
      <c r="J916" s="2" t="s">
        <v>52</v>
      </c>
      <c r="K916" s="2" t="s">
        <v>53</v>
      </c>
      <c r="L916" s="2" t="s">
        <v>34</v>
      </c>
      <c r="M916" s="2"/>
      <c r="N916" s="2"/>
      <c r="O916" s="2"/>
      <c r="P916" s="2" t="s">
        <v>3133</v>
      </c>
      <c r="Q916" s="2"/>
      <c r="R916" s="2"/>
      <c r="S916" s="5">
        <v>1.9</v>
      </c>
      <c r="T916" s="7">
        <v>3.4990000000000001</v>
      </c>
      <c r="U916" s="2"/>
      <c r="V916" s="2"/>
      <c r="W916" s="4">
        <v>12</v>
      </c>
      <c r="X916" s="7">
        <v>9.375</v>
      </c>
      <c r="Y916" s="6">
        <v>10.25</v>
      </c>
      <c r="Z916" s="6">
        <v>10.25</v>
      </c>
      <c r="AA916" s="6">
        <v>5.18</v>
      </c>
      <c r="AB916" s="2" t="s">
        <v>47</v>
      </c>
      <c r="AC916" s="2"/>
    </row>
    <row r="917" spans="1:29" ht="91" x14ac:dyDescent="0.15">
      <c r="A917" s="3">
        <f>DATE(1992,8,21)</f>
        <v>33837</v>
      </c>
      <c r="B917" s="2"/>
      <c r="C917" s="2" t="s">
        <v>56</v>
      </c>
      <c r="D917" s="2" t="s">
        <v>3134</v>
      </c>
      <c r="E917" s="2" t="s">
        <v>3135</v>
      </c>
      <c r="F917" s="4">
        <v>2096</v>
      </c>
      <c r="G917" s="2" t="s">
        <v>577</v>
      </c>
      <c r="H917" s="2" t="s">
        <v>34</v>
      </c>
      <c r="I917" s="2" t="s">
        <v>149</v>
      </c>
      <c r="J917" s="2" t="s">
        <v>150</v>
      </c>
      <c r="K917" s="2" t="s">
        <v>53</v>
      </c>
      <c r="L917" s="2" t="s">
        <v>151</v>
      </c>
      <c r="M917" s="2"/>
      <c r="N917" s="2"/>
      <c r="O917" s="2"/>
      <c r="P917" s="2" t="s">
        <v>3136</v>
      </c>
      <c r="Q917" s="2"/>
      <c r="R917" s="2"/>
      <c r="S917" s="2"/>
      <c r="T917" s="2"/>
      <c r="U917" s="5">
        <v>0.8</v>
      </c>
      <c r="V917" s="2"/>
      <c r="W917" s="9">
        <v>0.1875</v>
      </c>
      <c r="X917" s="7">
        <v>1.625</v>
      </c>
      <c r="Y917" s="4">
        <v>2</v>
      </c>
      <c r="Z917" s="7">
        <v>1.625</v>
      </c>
      <c r="AA917" s="6">
        <v>18.68</v>
      </c>
      <c r="AB917" s="2" t="s">
        <v>47</v>
      </c>
      <c r="AC917" s="2"/>
    </row>
    <row r="918" spans="1:29" ht="156" x14ac:dyDescent="0.15">
      <c r="A918" s="3">
        <f>DATE(1992,8,25)</f>
        <v>33841</v>
      </c>
      <c r="B918" s="3">
        <f>DATE(1992,12,22)</f>
        <v>33960</v>
      </c>
      <c r="C918" s="2" t="s">
        <v>95</v>
      </c>
      <c r="D918" s="2" t="s">
        <v>3137</v>
      </c>
      <c r="E918" s="2" t="s">
        <v>3138</v>
      </c>
      <c r="F918" s="4">
        <v>6553</v>
      </c>
      <c r="G918" s="2" t="s">
        <v>109</v>
      </c>
      <c r="H918" s="2" t="s">
        <v>34</v>
      </c>
      <c r="I918" s="2" t="s">
        <v>3139</v>
      </c>
      <c r="J918" s="2" t="s">
        <v>3140</v>
      </c>
      <c r="K918" s="2" t="s">
        <v>1517</v>
      </c>
      <c r="L918" s="2" t="s">
        <v>34</v>
      </c>
      <c r="M918" s="2"/>
      <c r="N918" s="4">
        <v>17</v>
      </c>
      <c r="O918" s="6">
        <v>17.25</v>
      </c>
      <c r="P918" s="2" t="s">
        <v>3141</v>
      </c>
      <c r="Q918" s="6">
        <v>69.7</v>
      </c>
      <c r="R918" s="6">
        <v>15</v>
      </c>
      <c r="S918" s="5">
        <v>3.5</v>
      </c>
      <c r="T918" s="7">
        <v>9.2609999999999992</v>
      </c>
      <c r="U918" s="5">
        <v>11.6</v>
      </c>
      <c r="V918" s="2"/>
      <c r="W918" s="5">
        <v>12.5</v>
      </c>
      <c r="X918" s="6">
        <v>11.75</v>
      </c>
      <c r="Y918" s="7">
        <v>13.375</v>
      </c>
      <c r="Z918" s="7">
        <v>14.125</v>
      </c>
      <c r="AA918" s="6">
        <v>4.1100000000000003</v>
      </c>
      <c r="AB918" s="7">
        <v>14.465999999999999</v>
      </c>
      <c r="AC918" s="6">
        <v>38.42</v>
      </c>
    </row>
    <row r="919" spans="1:29" ht="65" x14ac:dyDescent="0.15">
      <c r="A919" s="3">
        <f>DATE(1992,8,25)</f>
        <v>33841</v>
      </c>
      <c r="B919" s="3">
        <f>DATE(1993,5,3)</f>
        <v>34092</v>
      </c>
      <c r="C919" s="2" t="s">
        <v>95</v>
      </c>
      <c r="D919" s="2" t="s">
        <v>3142</v>
      </c>
      <c r="E919" s="2" t="s">
        <v>3143</v>
      </c>
      <c r="F919" s="4">
        <v>6021</v>
      </c>
      <c r="G919" s="2" t="s">
        <v>37</v>
      </c>
      <c r="H919" s="2" t="s">
        <v>34</v>
      </c>
      <c r="I919" s="2" t="s">
        <v>1955</v>
      </c>
      <c r="J919" s="2" t="s">
        <v>672</v>
      </c>
      <c r="K919" s="2" t="s">
        <v>37</v>
      </c>
      <c r="L919" s="2" t="s">
        <v>34</v>
      </c>
      <c r="M919" s="2"/>
      <c r="N919" s="4">
        <v>18</v>
      </c>
      <c r="O919" s="7">
        <v>18.125</v>
      </c>
      <c r="P919" s="2" t="s">
        <v>3144</v>
      </c>
      <c r="Q919" s="6">
        <v>44</v>
      </c>
      <c r="R919" s="2"/>
      <c r="S919" s="5">
        <v>0.2</v>
      </c>
      <c r="T919" s="7">
        <v>2.056</v>
      </c>
      <c r="U919" s="8">
        <v>7410.8</v>
      </c>
      <c r="V919" s="2"/>
      <c r="W919" s="6">
        <v>10.25</v>
      </c>
      <c r="X919" s="6">
        <v>10.25</v>
      </c>
      <c r="Y919" s="5">
        <v>10.5</v>
      </c>
      <c r="Z919" s="4">
        <v>11</v>
      </c>
      <c r="AA919" s="6">
        <v>1.95</v>
      </c>
      <c r="AB919" s="2" t="s">
        <v>47</v>
      </c>
      <c r="AC919" s="2"/>
    </row>
    <row r="920" spans="1:29" ht="91" x14ac:dyDescent="0.15">
      <c r="A920" s="3">
        <f>DATE(1992,8,25)</f>
        <v>33841</v>
      </c>
      <c r="B920" s="3">
        <f>DATE(1993,5,3)</f>
        <v>34092</v>
      </c>
      <c r="C920" s="2" t="s">
        <v>95</v>
      </c>
      <c r="D920" s="2" t="s">
        <v>3142</v>
      </c>
      <c r="E920" s="2" t="s">
        <v>3143</v>
      </c>
      <c r="F920" s="4">
        <v>6021</v>
      </c>
      <c r="G920" s="2" t="s">
        <v>37</v>
      </c>
      <c r="H920" s="2" t="s">
        <v>34</v>
      </c>
      <c r="I920" s="2" t="s">
        <v>1955</v>
      </c>
      <c r="J920" s="2" t="s">
        <v>672</v>
      </c>
      <c r="K920" s="2" t="s">
        <v>37</v>
      </c>
      <c r="L920" s="2" t="s">
        <v>34</v>
      </c>
      <c r="M920" s="2"/>
      <c r="N920" s="4">
        <v>18</v>
      </c>
      <c r="O920" s="7">
        <v>18.125</v>
      </c>
      <c r="P920" s="2" t="s">
        <v>3145</v>
      </c>
      <c r="Q920" s="6">
        <v>38</v>
      </c>
      <c r="R920" s="6">
        <v>13</v>
      </c>
      <c r="S920" s="5">
        <v>0.2</v>
      </c>
      <c r="T920" s="7">
        <v>2.056</v>
      </c>
      <c r="U920" s="5">
        <v>7.4</v>
      </c>
      <c r="V920" s="2"/>
      <c r="W920" s="6">
        <v>10.25</v>
      </c>
      <c r="X920" s="6">
        <v>10.25</v>
      </c>
      <c r="Y920" s="5">
        <v>10.5</v>
      </c>
      <c r="Z920" s="4">
        <v>11</v>
      </c>
      <c r="AA920" s="6">
        <v>1.95</v>
      </c>
      <c r="AB920" s="7">
        <v>253.982</v>
      </c>
      <c r="AC920" s="2"/>
    </row>
    <row r="921" spans="1:29" ht="78" x14ac:dyDescent="0.15">
      <c r="A921" s="3">
        <f>DATE(1992,8,25)</f>
        <v>33841</v>
      </c>
      <c r="B921" s="3">
        <f>DATE(1992,11,26)</f>
        <v>33934</v>
      </c>
      <c r="C921" s="2" t="s">
        <v>95</v>
      </c>
      <c r="D921" s="2" t="s">
        <v>899</v>
      </c>
      <c r="E921" s="2" t="s">
        <v>900</v>
      </c>
      <c r="F921" s="4">
        <v>1499</v>
      </c>
      <c r="G921" s="2" t="s">
        <v>166</v>
      </c>
      <c r="H921" s="2" t="s">
        <v>34</v>
      </c>
      <c r="I921" s="2" t="s">
        <v>3146</v>
      </c>
      <c r="J921" s="2" t="s">
        <v>80</v>
      </c>
      <c r="K921" s="2" t="s">
        <v>53</v>
      </c>
      <c r="L921" s="2" t="s">
        <v>1791</v>
      </c>
      <c r="M921" s="2"/>
      <c r="N921" s="2"/>
      <c r="O921" s="2"/>
      <c r="P921" s="2" t="s">
        <v>3147</v>
      </c>
      <c r="Q921" s="6">
        <v>50.93</v>
      </c>
      <c r="R921" s="2"/>
      <c r="S921" s="5">
        <v>0.3</v>
      </c>
      <c r="T921" s="6">
        <v>2.14</v>
      </c>
      <c r="U921" s="5">
        <v>1.4</v>
      </c>
      <c r="V921" s="6">
        <v>0.03</v>
      </c>
      <c r="W921" s="4">
        <v>1</v>
      </c>
      <c r="X921" s="4">
        <v>1</v>
      </c>
      <c r="Y921" s="7">
        <v>0.875</v>
      </c>
      <c r="Z921" s="4">
        <v>1</v>
      </c>
      <c r="AA921" s="6">
        <v>11.78</v>
      </c>
      <c r="AB921" s="2" t="s">
        <v>47</v>
      </c>
      <c r="AC921" s="2"/>
    </row>
    <row r="922" spans="1:29" ht="143" x14ac:dyDescent="0.15">
      <c r="A922" s="3">
        <f>DATE(1992,8,26)</f>
        <v>33842</v>
      </c>
      <c r="B922" s="3">
        <f>DATE(1992,9,10)</f>
        <v>33857</v>
      </c>
      <c r="C922" s="2" t="s">
        <v>95</v>
      </c>
      <c r="D922" s="2" t="s">
        <v>3148</v>
      </c>
      <c r="E922" s="2" t="s">
        <v>612</v>
      </c>
      <c r="F922" s="4">
        <v>1311</v>
      </c>
      <c r="G922" s="2" t="s">
        <v>148</v>
      </c>
      <c r="H922" s="2" t="s">
        <v>34</v>
      </c>
      <c r="I922" s="2" t="s">
        <v>3149</v>
      </c>
      <c r="J922" s="2" t="s">
        <v>1072</v>
      </c>
      <c r="K922" s="2" t="s">
        <v>53</v>
      </c>
      <c r="L922" s="2" t="s">
        <v>34</v>
      </c>
      <c r="M922" s="2"/>
      <c r="N922" s="2"/>
      <c r="O922" s="2"/>
      <c r="P922" s="2" t="s">
        <v>3150</v>
      </c>
      <c r="Q922" s="6">
        <v>77</v>
      </c>
      <c r="R922" s="2"/>
      <c r="S922" s="2"/>
      <c r="T922" s="2"/>
      <c r="U922" s="5">
        <v>0.9</v>
      </c>
      <c r="V922" s="2"/>
      <c r="W922" s="6">
        <v>0.75</v>
      </c>
      <c r="X922" s="6">
        <v>1.25</v>
      </c>
      <c r="Y922" s="7">
        <v>1.625</v>
      </c>
      <c r="Z922" s="4">
        <v>2</v>
      </c>
      <c r="AA922" s="2"/>
      <c r="AB922" s="2" t="s">
        <v>47</v>
      </c>
      <c r="AC922" s="2"/>
    </row>
    <row r="923" spans="1:29" ht="143" x14ac:dyDescent="0.15">
      <c r="A923" s="3">
        <f>DATE(1992,8,31)</f>
        <v>33847</v>
      </c>
      <c r="B923" s="2"/>
      <c r="C923" s="2" t="s">
        <v>30</v>
      </c>
      <c r="D923" s="2" t="s">
        <v>3151</v>
      </c>
      <c r="E923" s="2" t="s">
        <v>3152</v>
      </c>
      <c r="F923" s="4">
        <v>5961</v>
      </c>
      <c r="G923" s="2" t="s">
        <v>73</v>
      </c>
      <c r="H923" s="2" t="s">
        <v>34</v>
      </c>
      <c r="I923" s="2" t="s">
        <v>3114</v>
      </c>
      <c r="J923" s="2" t="s">
        <v>786</v>
      </c>
      <c r="K923" s="2" t="s">
        <v>593</v>
      </c>
      <c r="L923" s="2" t="s">
        <v>34</v>
      </c>
      <c r="M923" s="2"/>
      <c r="N923" s="6">
        <v>28.25</v>
      </c>
      <c r="O923" s="6">
        <v>28.25</v>
      </c>
      <c r="P923" s="2" t="s">
        <v>3153</v>
      </c>
      <c r="Q923" s="2"/>
      <c r="R923" s="6">
        <v>18.670000000000002</v>
      </c>
      <c r="S923" s="5">
        <v>13.1</v>
      </c>
      <c r="T923" s="7">
        <v>25.574999999999999</v>
      </c>
      <c r="U923" s="5">
        <v>6.8</v>
      </c>
      <c r="V923" s="6">
        <v>0.61</v>
      </c>
      <c r="W923" s="4">
        <v>10</v>
      </c>
      <c r="X923" s="7">
        <v>10.375</v>
      </c>
      <c r="Y923" s="5">
        <v>16.5</v>
      </c>
      <c r="Z923" s="5">
        <v>16.5</v>
      </c>
      <c r="AA923" s="6">
        <v>23.3</v>
      </c>
      <c r="AB923" s="7">
        <v>21.513000000000002</v>
      </c>
      <c r="AC923" s="6">
        <v>170.46</v>
      </c>
    </row>
    <row r="924" spans="1:29" ht="156" x14ac:dyDescent="0.15">
      <c r="A924" s="3">
        <f>DATE(1992,8,31)</f>
        <v>33847</v>
      </c>
      <c r="B924" s="3">
        <f>DATE(1993,7,9)</f>
        <v>34159</v>
      </c>
      <c r="C924" s="2" t="s">
        <v>95</v>
      </c>
      <c r="D924" s="2" t="s">
        <v>1474</v>
      </c>
      <c r="E924" s="2" t="s">
        <v>32</v>
      </c>
      <c r="F924" s="4">
        <v>6036</v>
      </c>
      <c r="G924" s="2" t="s">
        <v>33</v>
      </c>
      <c r="H924" s="2" t="s">
        <v>34</v>
      </c>
      <c r="I924" s="2" t="s">
        <v>2321</v>
      </c>
      <c r="J924" s="2" t="s">
        <v>36</v>
      </c>
      <c r="K924" s="2" t="s">
        <v>37</v>
      </c>
      <c r="L924" s="2" t="s">
        <v>34</v>
      </c>
      <c r="M924" s="12">
        <v>2054.7469999999998</v>
      </c>
      <c r="N924" s="7">
        <v>20.375</v>
      </c>
      <c r="O924" s="4">
        <v>21</v>
      </c>
      <c r="P924" s="2" t="s">
        <v>3154</v>
      </c>
      <c r="Q924" s="6">
        <v>100</v>
      </c>
      <c r="R924" s="6">
        <v>17.3</v>
      </c>
      <c r="S924" s="5">
        <v>-64.5</v>
      </c>
      <c r="T924" s="7">
        <v>-63.957999999999998</v>
      </c>
      <c r="U924" s="5">
        <v>12.6</v>
      </c>
      <c r="V924" s="6">
        <v>-5.42</v>
      </c>
      <c r="W924" s="5">
        <v>12.5</v>
      </c>
      <c r="X924" s="5">
        <v>12.5</v>
      </c>
      <c r="Y924" s="7">
        <v>15.125</v>
      </c>
      <c r="Z924" s="7">
        <v>15.375</v>
      </c>
      <c r="AA924" s="6">
        <v>11.87</v>
      </c>
      <c r="AB924" s="2" t="s">
        <v>86</v>
      </c>
      <c r="AC924" s="2"/>
    </row>
    <row r="925" spans="1:29" ht="143" x14ac:dyDescent="0.15">
      <c r="A925" s="3">
        <f>DATE(1992,8,31)</f>
        <v>33847</v>
      </c>
      <c r="B925" s="3">
        <f>DATE(1992,12,30)</f>
        <v>33968</v>
      </c>
      <c r="C925" s="2" t="s">
        <v>95</v>
      </c>
      <c r="D925" s="2" t="s">
        <v>3155</v>
      </c>
      <c r="E925" s="2" t="s">
        <v>3156</v>
      </c>
      <c r="F925" s="4">
        <v>3825</v>
      </c>
      <c r="G925" s="2" t="s">
        <v>226</v>
      </c>
      <c r="H925" s="2" t="s">
        <v>34</v>
      </c>
      <c r="I925" s="2" t="s">
        <v>3157</v>
      </c>
      <c r="J925" s="2" t="s">
        <v>3158</v>
      </c>
      <c r="K925" s="2" t="s">
        <v>163</v>
      </c>
      <c r="L925" s="2" t="s">
        <v>34</v>
      </c>
      <c r="M925" s="2"/>
      <c r="N925" s="7">
        <v>30.875</v>
      </c>
      <c r="O925" s="4">
        <v>31</v>
      </c>
      <c r="P925" s="2" t="s">
        <v>3159</v>
      </c>
      <c r="Q925" s="6">
        <v>100</v>
      </c>
      <c r="R925" s="6">
        <v>11.25</v>
      </c>
      <c r="S925" s="5">
        <v>-10.6</v>
      </c>
      <c r="T925" s="6">
        <v>5.45</v>
      </c>
      <c r="U925" s="5">
        <v>9.3000000000000007</v>
      </c>
      <c r="V925" s="6">
        <v>-1.1200000000000001</v>
      </c>
      <c r="W925" s="7">
        <v>9.125</v>
      </c>
      <c r="X925" s="7">
        <v>9.875</v>
      </c>
      <c r="Y925" s="4">
        <v>11</v>
      </c>
      <c r="Z925" s="4">
        <v>11</v>
      </c>
      <c r="AA925" s="6">
        <v>9.84</v>
      </c>
      <c r="AB925" s="2" t="s">
        <v>86</v>
      </c>
      <c r="AC925" s="6">
        <v>10.93</v>
      </c>
    </row>
    <row r="926" spans="1:29" ht="39" x14ac:dyDescent="0.15">
      <c r="A926" s="3">
        <f>DATE(1992,9,3)</f>
        <v>33850</v>
      </c>
      <c r="B926" s="2"/>
      <c r="C926" s="2" t="s">
        <v>82</v>
      </c>
      <c r="D926" s="2" t="s">
        <v>3160</v>
      </c>
      <c r="E926" s="2" t="s">
        <v>3161</v>
      </c>
      <c r="F926" s="4">
        <v>6411</v>
      </c>
      <c r="G926" s="2" t="s">
        <v>125</v>
      </c>
      <c r="H926" s="2" t="s">
        <v>34</v>
      </c>
      <c r="I926" s="2" t="s">
        <v>3162</v>
      </c>
      <c r="J926" s="2" t="s">
        <v>3163</v>
      </c>
      <c r="K926" s="2" t="s">
        <v>125</v>
      </c>
      <c r="L926" s="2" t="s">
        <v>34</v>
      </c>
      <c r="M926" s="2"/>
      <c r="N926" s="2"/>
      <c r="O926" s="2"/>
      <c r="P926" s="2" t="s">
        <v>3164</v>
      </c>
      <c r="Q926" s="2"/>
      <c r="R926" s="2"/>
      <c r="S926" s="5">
        <v>1.7</v>
      </c>
      <c r="T926" s="7">
        <v>2.8140000000000001</v>
      </c>
      <c r="U926" s="5">
        <v>7.6</v>
      </c>
      <c r="V926" s="6">
        <v>1.4</v>
      </c>
      <c r="W926" s="6">
        <v>1.25</v>
      </c>
      <c r="X926" s="6">
        <v>1.25</v>
      </c>
      <c r="Y926" s="6">
        <v>1.25</v>
      </c>
      <c r="Z926" s="6">
        <v>1.25</v>
      </c>
      <c r="AA926" s="6">
        <v>1.7</v>
      </c>
      <c r="AB926" s="2" t="s">
        <v>47</v>
      </c>
      <c r="AC926" s="2"/>
    </row>
    <row r="927" spans="1:29" ht="143" x14ac:dyDescent="0.15">
      <c r="A927" s="3">
        <f>DATE(1992,9,4)</f>
        <v>33851</v>
      </c>
      <c r="B927" s="3">
        <f>DATE(1993,3,12)</f>
        <v>34040</v>
      </c>
      <c r="C927" s="2" t="s">
        <v>95</v>
      </c>
      <c r="D927" s="2" t="s">
        <v>3165</v>
      </c>
      <c r="E927" s="2" t="s">
        <v>3166</v>
      </c>
      <c r="F927" s="4">
        <v>2273</v>
      </c>
      <c r="G927" s="2" t="s">
        <v>708</v>
      </c>
      <c r="H927" s="2" t="s">
        <v>34</v>
      </c>
      <c r="I927" s="2" t="s">
        <v>3167</v>
      </c>
      <c r="J927" s="2" t="s">
        <v>3168</v>
      </c>
      <c r="K927" s="2" t="s">
        <v>708</v>
      </c>
      <c r="L927" s="2" t="s">
        <v>34</v>
      </c>
      <c r="M927" s="7">
        <v>100.08199999999999</v>
      </c>
      <c r="N927" s="4">
        <v>11</v>
      </c>
      <c r="O927" s="4">
        <v>11</v>
      </c>
      <c r="P927" s="2" t="s">
        <v>3169</v>
      </c>
      <c r="Q927" s="6">
        <v>55.88</v>
      </c>
      <c r="R927" s="6">
        <v>13.25</v>
      </c>
      <c r="S927" s="5">
        <v>3.1</v>
      </c>
      <c r="T927" s="7">
        <v>13.089</v>
      </c>
      <c r="U927" s="5">
        <v>7.2</v>
      </c>
      <c r="V927" s="6">
        <v>0.73</v>
      </c>
      <c r="W927" s="7">
        <v>9.625</v>
      </c>
      <c r="X927" s="4">
        <v>10</v>
      </c>
      <c r="Y927" s="4">
        <v>10</v>
      </c>
      <c r="Z927" s="4">
        <v>10</v>
      </c>
      <c r="AA927" s="6">
        <v>4.49</v>
      </c>
      <c r="AB927" s="7">
        <v>11.760999999999999</v>
      </c>
      <c r="AC927" s="2"/>
    </row>
    <row r="928" spans="1:29" ht="156" x14ac:dyDescent="0.15">
      <c r="A928" s="3">
        <f>DATE(1992,9,4)</f>
        <v>33851</v>
      </c>
      <c r="B928" s="2"/>
      <c r="C928" s="2" t="s">
        <v>30</v>
      </c>
      <c r="D928" s="2" t="s">
        <v>3170</v>
      </c>
      <c r="E928" s="2" t="s">
        <v>3171</v>
      </c>
      <c r="F928" s="4">
        <v>5812</v>
      </c>
      <c r="G928" s="2" t="s">
        <v>230</v>
      </c>
      <c r="H928" s="2" t="s">
        <v>34</v>
      </c>
      <c r="I928" s="2" t="s">
        <v>51</v>
      </c>
      <c r="J928" s="2" t="s">
        <v>52</v>
      </c>
      <c r="K928" s="2" t="s">
        <v>53</v>
      </c>
      <c r="L928" s="2" t="s">
        <v>34</v>
      </c>
      <c r="M928" s="2"/>
      <c r="N928" s="2"/>
      <c r="O928" s="2"/>
      <c r="P928" s="2" t="s">
        <v>3172</v>
      </c>
      <c r="Q928" s="2"/>
      <c r="R928" s="6">
        <v>9.5</v>
      </c>
      <c r="S928" s="5">
        <v>13</v>
      </c>
      <c r="T928" s="7">
        <v>46.587000000000003</v>
      </c>
      <c r="U928" s="5">
        <v>2.8</v>
      </c>
      <c r="V928" s="9">
        <v>0.3967</v>
      </c>
      <c r="W928" s="7">
        <v>7.875</v>
      </c>
      <c r="X928" s="7">
        <v>9.875</v>
      </c>
      <c r="Y928" s="7">
        <v>9.625</v>
      </c>
      <c r="Z928" s="7">
        <v>9.625</v>
      </c>
      <c r="AA928" s="6">
        <v>18.239999999999998</v>
      </c>
      <c r="AB928" s="7">
        <v>20.338999999999999</v>
      </c>
      <c r="AC928" s="2"/>
    </row>
    <row r="929" spans="1:29" ht="169" x14ac:dyDescent="0.15">
      <c r="A929" s="3">
        <f>DATE(1992,9,9)</f>
        <v>33856</v>
      </c>
      <c r="B929" s="3">
        <f>DATE(1993,2,26)</f>
        <v>34026</v>
      </c>
      <c r="C929" s="2" t="s">
        <v>95</v>
      </c>
      <c r="D929" s="2" t="s">
        <v>3173</v>
      </c>
      <c r="E929" s="2" t="s">
        <v>3174</v>
      </c>
      <c r="F929" s="4">
        <v>2046</v>
      </c>
      <c r="G929" s="2" t="s">
        <v>577</v>
      </c>
      <c r="H929" s="2" t="s">
        <v>34</v>
      </c>
      <c r="I929" s="2" t="s">
        <v>2665</v>
      </c>
      <c r="J929" s="2" t="s">
        <v>2666</v>
      </c>
      <c r="K929" s="2" t="s">
        <v>577</v>
      </c>
      <c r="L929" s="2" t="s">
        <v>34</v>
      </c>
      <c r="M929" s="7">
        <v>155.76400000000001</v>
      </c>
      <c r="N929" s="5">
        <v>24.5</v>
      </c>
      <c r="O929" s="6">
        <v>25.25</v>
      </c>
      <c r="P929" s="2" t="s">
        <v>3175</v>
      </c>
      <c r="Q929" s="6">
        <v>57.34</v>
      </c>
      <c r="R929" s="6">
        <v>25.5</v>
      </c>
      <c r="S929" s="5">
        <v>20.3</v>
      </c>
      <c r="T929" s="7">
        <v>48.417999999999999</v>
      </c>
      <c r="U929" s="5">
        <v>14.9</v>
      </c>
      <c r="V929" s="6">
        <v>2.2599999999999998</v>
      </c>
      <c r="W929" s="7">
        <v>20.625</v>
      </c>
      <c r="X929" s="4">
        <v>21</v>
      </c>
      <c r="Y929" s="7">
        <v>20.875</v>
      </c>
      <c r="Z929" s="6">
        <v>22.75</v>
      </c>
      <c r="AA929" s="6">
        <v>9.01</v>
      </c>
      <c r="AB929" s="7">
        <v>5.88</v>
      </c>
      <c r="AC929" s="6">
        <v>49.61</v>
      </c>
    </row>
    <row r="930" spans="1:29" ht="156" x14ac:dyDescent="0.15">
      <c r="A930" s="3">
        <f>DATE(1992,9,9)</f>
        <v>33856</v>
      </c>
      <c r="B930" s="3">
        <f>DATE(1993,7,13)</f>
        <v>34163</v>
      </c>
      <c r="C930" s="2" t="s">
        <v>95</v>
      </c>
      <c r="D930" s="2" t="s">
        <v>3176</v>
      </c>
      <c r="E930" s="2" t="s">
        <v>36</v>
      </c>
      <c r="F930" s="4">
        <v>6021</v>
      </c>
      <c r="G930" s="2" t="s">
        <v>37</v>
      </c>
      <c r="H930" s="2" t="s">
        <v>34</v>
      </c>
      <c r="I930" s="2" t="s">
        <v>2321</v>
      </c>
      <c r="J930" s="2" t="s">
        <v>36</v>
      </c>
      <c r="K930" s="2" t="s">
        <v>37</v>
      </c>
      <c r="L930" s="2" t="s">
        <v>34</v>
      </c>
      <c r="M930" s="12">
        <v>2181.808</v>
      </c>
      <c r="N930" s="4">
        <v>19</v>
      </c>
      <c r="O930" s="4">
        <v>20</v>
      </c>
      <c r="P930" s="2" t="s">
        <v>3177</v>
      </c>
      <c r="Q930" s="6">
        <v>100</v>
      </c>
      <c r="R930" s="6">
        <v>22.08</v>
      </c>
      <c r="S930" s="5">
        <v>-15.2</v>
      </c>
      <c r="T930" s="7">
        <v>-17.731000000000002</v>
      </c>
      <c r="U930" s="5">
        <v>17.7</v>
      </c>
      <c r="V930" s="6">
        <v>-1.66</v>
      </c>
      <c r="W930" s="6">
        <v>15.25</v>
      </c>
      <c r="X930" s="6">
        <v>16.25</v>
      </c>
      <c r="Y930" s="5">
        <v>19.5</v>
      </c>
      <c r="Z930" s="6">
        <v>20.25</v>
      </c>
      <c r="AA930" s="6">
        <v>9.2200000000000006</v>
      </c>
      <c r="AB930" s="2" t="s">
        <v>86</v>
      </c>
      <c r="AC930" s="2"/>
    </row>
    <row r="931" spans="1:29" ht="130" x14ac:dyDescent="0.15">
      <c r="A931" s="3">
        <f>DATE(1992,9,10)</f>
        <v>33857</v>
      </c>
      <c r="B931" s="2"/>
      <c r="C931" s="2" t="s">
        <v>30</v>
      </c>
      <c r="D931" s="2" t="s">
        <v>1301</v>
      </c>
      <c r="E931" s="2" t="s">
        <v>1302</v>
      </c>
      <c r="F931" s="4">
        <v>6035</v>
      </c>
      <c r="G931" s="2" t="s">
        <v>33</v>
      </c>
      <c r="H931" s="2" t="s">
        <v>34</v>
      </c>
      <c r="I931" s="2" t="s">
        <v>3178</v>
      </c>
      <c r="J931" s="2" t="s">
        <v>1181</v>
      </c>
      <c r="K931" s="2" t="s">
        <v>37</v>
      </c>
      <c r="L931" s="2" t="s">
        <v>34</v>
      </c>
      <c r="M931" s="2"/>
      <c r="N931" s="2"/>
      <c r="O931" s="2"/>
      <c r="P931" s="2" t="s">
        <v>3179</v>
      </c>
      <c r="Q931" s="2"/>
      <c r="R931" s="2"/>
      <c r="S931" s="5">
        <v>2.1</v>
      </c>
      <c r="T931" s="2"/>
      <c r="U931" s="5">
        <v>30.4</v>
      </c>
      <c r="V931" s="6">
        <v>2.36</v>
      </c>
      <c r="W931" s="4">
        <v>24</v>
      </c>
      <c r="X931" s="6">
        <v>24.25</v>
      </c>
      <c r="Y931" s="5">
        <v>25.5</v>
      </c>
      <c r="Z931" s="4">
        <v>25</v>
      </c>
      <c r="AA931" s="6">
        <v>0.9</v>
      </c>
      <c r="AB931" s="2" t="s">
        <v>47</v>
      </c>
      <c r="AC931" s="2"/>
    </row>
    <row r="932" spans="1:29" ht="78" x14ac:dyDescent="0.15">
      <c r="A932" s="3">
        <f>DATE(1992,9,10)</f>
        <v>33857</v>
      </c>
      <c r="B932" s="3">
        <f>DATE(1992,9,30)</f>
        <v>33877</v>
      </c>
      <c r="C932" s="2" t="s">
        <v>95</v>
      </c>
      <c r="D932" s="2" t="s">
        <v>3180</v>
      </c>
      <c r="E932" s="2" t="s">
        <v>3181</v>
      </c>
      <c r="F932" s="4">
        <v>5942</v>
      </c>
      <c r="G932" s="2" t="s">
        <v>73</v>
      </c>
      <c r="H932" s="2" t="s">
        <v>34</v>
      </c>
      <c r="I932" s="2" t="s">
        <v>3182</v>
      </c>
      <c r="J932" s="2" t="s">
        <v>1072</v>
      </c>
      <c r="K932" s="2" t="s">
        <v>109</v>
      </c>
      <c r="L932" s="2" t="s">
        <v>34</v>
      </c>
      <c r="M932" s="2"/>
      <c r="N932" s="2"/>
      <c r="O932" s="2"/>
      <c r="P932" s="2" t="s">
        <v>3183</v>
      </c>
      <c r="Q932" s="6">
        <v>26.64</v>
      </c>
      <c r="R932" s="6">
        <v>4.0199999999999996</v>
      </c>
      <c r="S932" s="5">
        <v>0.1</v>
      </c>
      <c r="T932" s="7">
        <v>0.29199999999999998</v>
      </c>
      <c r="U932" s="2"/>
      <c r="V932" s="2"/>
      <c r="W932" s="7">
        <v>1.375</v>
      </c>
      <c r="X932" s="7">
        <v>1.1879999999999999</v>
      </c>
      <c r="Y932" s="5">
        <v>1.5</v>
      </c>
      <c r="Z932" s="5">
        <v>1.5</v>
      </c>
      <c r="AA932" s="6">
        <v>0.7</v>
      </c>
      <c r="AB932" s="7">
        <v>15.638999999999999</v>
      </c>
      <c r="AC932" s="2"/>
    </row>
    <row r="933" spans="1:29" ht="156" x14ac:dyDescent="0.15">
      <c r="A933" s="3">
        <f>DATE(1992,9,14)</f>
        <v>33861</v>
      </c>
      <c r="B933" s="2"/>
      <c r="C933" s="2" t="s">
        <v>30</v>
      </c>
      <c r="D933" s="2" t="s">
        <v>3184</v>
      </c>
      <c r="E933" s="2" t="s">
        <v>36</v>
      </c>
      <c r="F933" s="4">
        <v>6022</v>
      </c>
      <c r="G933" s="2" t="s">
        <v>37</v>
      </c>
      <c r="H933" s="2" t="s">
        <v>34</v>
      </c>
      <c r="I933" s="2" t="s">
        <v>3185</v>
      </c>
      <c r="J933" s="2" t="s">
        <v>3186</v>
      </c>
      <c r="K933" s="2" t="s">
        <v>37</v>
      </c>
      <c r="L933" s="2" t="s">
        <v>34</v>
      </c>
      <c r="M933" s="2"/>
      <c r="N933" s="2"/>
      <c r="O933" s="2"/>
      <c r="P933" s="2" t="s">
        <v>3187</v>
      </c>
      <c r="Q933" s="2"/>
      <c r="R933" s="6">
        <v>11.59</v>
      </c>
      <c r="S933" s="5">
        <v>-3.4</v>
      </c>
      <c r="T933" s="7">
        <v>-4.5540000000000003</v>
      </c>
      <c r="U933" s="5">
        <v>10.199999999999999</v>
      </c>
      <c r="V933" s="2"/>
      <c r="W933" s="6">
        <v>4.75</v>
      </c>
      <c r="X933" s="6">
        <v>4.75</v>
      </c>
      <c r="Y933" s="6">
        <v>4.75</v>
      </c>
      <c r="Z933" s="5">
        <v>7.5</v>
      </c>
      <c r="AA933" s="6">
        <v>2.2000000000000002</v>
      </c>
      <c r="AB933" s="2" t="s">
        <v>86</v>
      </c>
      <c r="AC933" s="2"/>
    </row>
    <row r="934" spans="1:29" ht="52" x14ac:dyDescent="0.15">
      <c r="A934" s="3">
        <f>DATE(1992,9,15)</f>
        <v>33862</v>
      </c>
      <c r="B934" s="3">
        <f>DATE(1992,9,15)</f>
        <v>33862</v>
      </c>
      <c r="C934" s="2" t="s">
        <v>95</v>
      </c>
      <c r="D934" s="2" t="s">
        <v>3188</v>
      </c>
      <c r="E934" s="2" t="s">
        <v>3189</v>
      </c>
      <c r="F934" s="2" t="s">
        <v>3190</v>
      </c>
      <c r="G934" s="2" t="s">
        <v>426</v>
      </c>
      <c r="H934" s="2" t="s">
        <v>34</v>
      </c>
      <c r="I934" s="2" t="s">
        <v>149</v>
      </c>
      <c r="J934" s="2" t="s">
        <v>150</v>
      </c>
      <c r="K934" s="2" t="s">
        <v>53</v>
      </c>
      <c r="L934" s="2" t="s">
        <v>151</v>
      </c>
      <c r="M934" s="2"/>
      <c r="N934" s="2"/>
      <c r="O934" s="2"/>
      <c r="P934" s="2" t="s">
        <v>3191</v>
      </c>
      <c r="Q934" s="6">
        <v>82.15</v>
      </c>
      <c r="R934" s="6">
        <v>2.25</v>
      </c>
      <c r="S934" s="5">
        <v>-6.5</v>
      </c>
      <c r="T934" s="7">
        <v>-5.4329999999999998</v>
      </c>
      <c r="U934" s="5">
        <v>26</v>
      </c>
      <c r="V934" s="6">
        <v>-1.33</v>
      </c>
      <c r="W934" s="7">
        <v>2.375</v>
      </c>
      <c r="X934" s="7">
        <v>2.6880000000000002</v>
      </c>
      <c r="Y934" s="7">
        <v>2.6880000000000002</v>
      </c>
      <c r="Z934" s="7">
        <v>2.875</v>
      </c>
      <c r="AA934" s="6">
        <v>4.87</v>
      </c>
      <c r="AB934" s="2" t="s">
        <v>86</v>
      </c>
      <c r="AC934" s="2"/>
    </row>
    <row r="935" spans="1:29" ht="78" x14ac:dyDescent="0.15">
      <c r="A935" s="3">
        <f>DATE(1992,9,15)</f>
        <v>33862</v>
      </c>
      <c r="B935" s="2"/>
      <c r="C935" s="2" t="s">
        <v>87</v>
      </c>
      <c r="D935" s="2" t="s">
        <v>3192</v>
      </c>
      <c r="E935" s="2" t="s">
        <v>3193</v>
      </c>
      <c r="F935" s="4">
        <v>5541</v>
      </c>
      <c r="G935" s="2" t="s">
        <v>73</v>
      </c>
      <c r="H935" s="2" t="s">
        <v>34</v>
      </c>
      <c r="I935" s="2" t="s">
        <v>138</v>
      </c>
      <c r="J935" s="2" t="s">
        <v>139</v>
      </c>
      <c r="K935" s="2" t="s">
        <v>53</v>
      </c>
      <c r="L935" s="2" t="s">
        <v>139</v>
      </c>
      <c r="M935" s="2"/>
      <c r="N935" s="2"/>
      <c r="O935" s="2"/>
      <c r="P935" s="2" t="s">
        <v>3194</v>
      </c>
      <c r="Q935" s="2"/>
      <c r="R935" s="2"/>
      <c r="S935" s="5">
        <v>0.1</v>
      </c>
      <c r="T935" s="2"/>
      <c r="U935" s="2"/>
      <c r="V935" s="2"/>
      <c r="W935" s="6">
        <v>0.75</v>
      </c>
      <c r="X935" s="4">
        <v>1</v>
      </c>
      <c r="Y935" s="4">
        <v>1</v>
      </c>
      <c r="Z935" s="4">
        <v>1</v>
      </c>
      <c r="AA935" s="2"/>
      <c r="AB935" s="2" t="s">
        <v>47</v>
      </c>
      <c r="AC935" s="2"/>
    </row>
    <row r="936" spans="1:29" ht="156" x14ac:dyDescent="0.15">
      <c r="A936" s="3">
        <f>DATE(1992,9,16)</f>
        <v>33863</v>
      </c>
      <c r="B936" s="2"/>
      <c r="C936" s="2" t="s">
        <v>30</v>
      </c>
      <c r="D936" s="2" t="s">
        <v>1816</v>
      </c>
      <c r="E936" s="2" t="s">
        <v>1817</v>
      </c>
      <c r="F936" s="4">
        <v>4512</v>
      </c>
      <c r="G936" s="2" t="s">
        <v>59</v>
      </c>
      <c r="H936" s="2" t="s">
        <v>34</v>
      </c>
      <c r="I936" s="2" t="s">
        <v>51</v>
      </c>
      <c r="J936" s="2" t="s">
        <v>52</v>
      </c>
      <c r="K936" s="2" t="s">
        <v>53</v>
      </c>
      <c r="L936" s="2" t="s">
        <v>34</v>
      </c>
      <c r="M936" s="2"/>
      <c r="N936" s="2"/>
      <c r="O936" s="2"/>
      <c r="P936" s="2" t="s">
        <v>3195</v>
      </c>
      <c r="Q936" s="2"/>
      <c r="R936" s="2"/>
      <c r="S936" s="5">
        <v>-107</v>
      </c>
      <c r="T936" s="7">
        <v>148.328</v>
      </c>
      <c r="U936" s="5">
        <v>-80.3</v>
      </c>
      <c r="V936" s="2"/>
      <c r="W936" s="6">
        <v>4.25</v>
      </c>
      <c r="X936" s="7">
        <v>3.625</v>
      </c>
      <c r="Y936" s="6">
        <v>3.75</v>
      </c>
      <c r="Z936" s="7">
        <v>3.625</v>
      </c>
      <c r="AA936" s="2"/>
      <c r="AB936" s="2" t="s">
        <v>86</v>
      </c>
      <c r="AC936" s="2"/>
    </row>
    <row r="937" spans="1:29" ht="156" x14ac:dyDescent="0.15">
      <c r="A937" s="3">
        <f>DATE(1992,9,16)</f>
        <v>33863</v>
      </c>
      <c r="B937" s="2"/>
      <c r="C937" s="2" t="s">
        <v>82</v>
      </c>
      <c r="D937" s="2" t="s">
        <v>958</v>
      </c>
      <c r="E937" s="2" t="s">
        <v>959</v>
      </c>
      <c r="F937" s="4">
        <v>4481</v>
      </c>
      <c r="G937" s="2" t="s">
        <v>173</v>
      </c>
      <c r="H937" s="2" t="s">
        <v>34</v>
      </c>
      <c r="I937" s="2" t="s">
        <v>3196</v>
      </c>
      <c r="J937" s="2" t="s">
        <v>3197</v>
      </c>
      <c r="K937" s="2" t="s">
        <v>53</v>
      </c>
      <c r="L937" s="2" t="s">
        <v>34</v>
      </c>
      <c r="M937" s="2"/>
      <c r="N937" s="2"/>
      <c r="O937" s="2"/>
      <c r="P937" s="2" t="s">
        <v>3198</v>
      </c>
      <c r="Q937" s="2"/>
      <c r="R937" s="6">
        <v>2.0499999999999998</v>
      </c>
      <c r="S937" s="5">
        <v>3.1</v>
      </c>
      <c r="T937" s="7">
        <v>6.4909999999999997</v>
      </c>
      <c r="U937" s="2"/>
      <c r="V937" s="2"/>
      <c r="W937" s="7">
        <v>1.9690000000000001</v>
      </c>
      <c r="X937" s="7">
        <v>2.0310000000000001</v>
      </c>
      <c r="Y937" s="7">
        <v>2.0310000000000001</v>
      </c>
      <c r="Z937" s="7">
        <v>2.0310000000000001</v>
      </c>
      <c r="AA937" s="6">
        <v>24</v>
      </c>
      <c r="AB937" s="7">
        <v>7.1029999999999998</v>
      </c>
      <c r="AC937" s="2"/>
    </row>
    <row r="938" spans="1:29" ht="52" x14ac:dyDescent="0.15">
      <c r="A938" s="3">
        <f>DATE(1992,9,17)</f>
        <v>33864</v>
      </c>
      <c r="B938" s="3">
        <f>DATE(1992,12,23)</f>
        <v>33961</v>
      </c>
      <c r="C938" s="2" t="s">
        <v>95</v>
      </c>
      <c r="D938" s="2" t="s">
        <v>3199</v>
      </c>
      <c r="E938" s="2" t="s">
        <v>3200</v>
      </c>
      <c r="F938" s="4">
        <v>7515</v>
      </c>
      <c r="G938" s="2" t="s">
        <v>1327</v>
      </c>
      <c r="H938" s="2" t="s">
        <v>34</v>
      </c>
      <c r="I938" s="2" t="s">
        <v>3201</v>
      </c>
      <c r="J938" s="2" t="s">
        <v>3202</v>
      </c>
      <c r="K938" s="2" t="s">
        <v>125</v>
      </c>
      <c r="L938" s="2" t="s">
        <v>34</v>
      </c>
      <c r="M938" s="2"/>
      <c r="N938" s="2"/>
      <c r="O938" s="2"/>
      <c r="P938" s="2" t="s">
        <v>3203</v>
      </c>
      <c r="Q938" s="6">
        <v>100</v>
      </c>
      <c r="R938" s="6">
        <v>4.25</v>
      </c>
      <c r="S938" s="5">
        <v>0.2</v>
      </c>
      <c r="T938" s="7">
        <v>19.814</v>
      </c>
      <c r="U938" s="5">
        <v>3.4</v>
      </c>
      <c r="V938" s="6">
        <v>0.08</v>
      </c>
      <c r="W938" s="7">
        <v>1.3129999999999999</v>
      </c>
      <c r="X938" s="7">
        <v>1.3129999999999999</v>
      </c>
      <c r="Y938" s="4">
        <v>4</v>
      </c>
      <c r="Z938" s="6">
        <v>3.75</v>
      </c>
      <c r="AA938" s="6">
        <v>1.44</v>
      </c>
      <c r="AB938" s="7">
        <v>10.462999999999999</v>
      </c>
      <c r="AC938" s="2"/>
    </row>
    <row r="939" spans="1:29" ht="65" x14ac:dyDescent="0.15">
      <c r="A939" s="3">
        <f>DATE(1992,9,18)</f>
        <v>33865</v>
      </c>
      <c r="B939" s="2"/>
      <c r="C939" s="2" t="s">
        <v>87</v>
      </c>
      <c r="D939" s="2" t="s">
        <v>3204</v>
      </c>
      <c r="E939" s="2" t="s">
        <v>3205</v>
      </c>
      <c r="F939" s="4">
        <v>3841</v>
      </c>
      <c r="G939" s="2" t="s">
        <v>226</v>
      </c>
      <c r="H939" s="2" t="s">
        <v>34</v>
      </c>
      <c r="I939" s="2" t="s">
        <v>3206</v>
      </c>
      <c r="J939" s="2" t="s">
        <v>1072</v>
      </c>
      <c r="K939" s="2" t="s">
        <v>53</v>
      </c>
      <c r="L939" s="2" t="s">
        <v>34</v>
      </c>
      <c r="M939" s="2"/>
      <c r="N939" s="2"/>
      <c r="O939" s="2"/>
      <c r="P939" s="2" t="s">
        <v>3207</v>
      </c>
      <c r="Q939" s="2"/>
      <c r="R939" s="2"/>
      <c r="S939" s="5">
        <v>-1.8</v>
      </c>
      <c r="T939" s="7">
        <v>-1.0169999999999999</v>
      </c>
      <c r="U939" s="5">
        <v>1.3</v>
      </c>
      <c r="V939" s="2"/>
      <c r="W939" s="7">
        <v>1.875</v>
      </c>
      <c r="X939" s="7">
        <v>1.875</v>
      </c>
      <c r="Y939" s="6">
        <v>1.75</v>
      </c>
      <c r="Z939" s="7">
        <v>1.625</v>
      </c>
      <c r="AA939" s="6">
        <v>4.42</v>
      </c>
      <c r="AB939" s="2" t="s">
        <v>86</v>
      </c>
      <c r="AC939" s="2"/>
    </row>
    <row r="940" spans="1:29" ht="156" x14ac:dyDescent="0.15">
      <c r="A940" s="3">
        <f>DATE(1992,9,21)</f>
        <v>33868</v>
      </c>
      <c r="B940" s="3">
        <f>DATE(1993,3,1)</f>
        <v>34029</v>
      </c>
      <c r="C940" s="2" t="s">
        <v>95</v>
      </c>
      <c r="D940" s="2" t="s">
        <v>3208</v>
      </c>
      <c r="E940" s="2" t="s">
        <v>36</v>
      </c>
      <c r="F940" s="4">
        <v>6022</v>
      </c>
      <c r="G940" s="2" t="s">
        <v>37</v>
      </c>
      <c r="H940" s="2" t="s">
        <v>34</v>
      </c>
      <c r="I940" s="2" t="s">
        <v>2897</v>
      </c>
      <c r="J940" s="2" t="s">
        <v>2898</v>
      </c>
      <c r="K940" s="2" t="s">
        <v>37</v>
      </c>
      <c r="L940" s="2" t="s">
        <v>34</v>
      </c>
      <c r="M940" s="12">
        <v>4871.125</v>
      </c>
      <c r="N940" s="4">
        <v>37</v>
      </c>
      <c r="O940" s="7">
        <v>36.125</v>
      </c>
      <c r="P940" s="2" t="s">
        <v>3209</v>
      </c>
      <c r="Q940" s="6">
        <v>100</v>
      </c>
      <c r="R940" s="6">
        <v>22.04</v>
      </c>
      <c r="S940" s="5">
        <v>-28.8</v>
      </c>
      <c r="T940" s="5">
        <v>-11.1</v>
      </c>
      <c r="U940" s="5">
        <v>13.3</v>
      </c>
      <c r="V940" s="6">
        <v>-0.78</v>
      </c>
      <c r="W940" s="7">
        <v>13.125</v>
      </c>
      <c r="X940" s="7">
        <v>16.375</v>
      </c>
      <c r="Y940" s="7">
        <v>19.625</v>
      </c>
      <c r="Z940" s="7">
        <v>19.375</v>
      </c>
      <c r="AA940" s="6">
        <v>38.74</v>
      </c>
      <c r="AB940" s="2" t="s">
        <v>86</v>
      </c>
      <c r="AC940" s="2"/>
    </row>
    <row r="941" spans="1:29" ht="65" x14ac:dyDescent="0.15">
      <c r="A941" s="3">
        <f>DATE(1992,9,21)</f>
        <v>33868</v>
      </c>
      <c r="B941" s="3">
        <f>DATE(1992,9,21)</f>
        <v>33868</v>
      </c>
      <c r="C941" s="2" t="s">
        <v>95</v>
      </c>
      <c r="D941" s="2" t="s">
        <v>3210</v>
      </c>
      <c r="E941" s="2" t="s">
        <v>3211</v>
      </c>
      <c r="F941" s="4">
        <v>3564</v>
      </c>
      <c r="G941" s="2" t="s">
        <v>300</v>
      </c>
      <c r="H941" s="2" t="s">
        <v>34</v>
      </c>
      <c r="I941" s="2" t="s">
        <v>3212</v>
      </c>
      <c r="J941" s="2" t="s">
        <v>3213</v>
      </c>
      <c r="K941" s="2" t="s">
        <v>223</v>
      </c>
      <c r="L941" s="2" t="s">
        <v>34</v>
      </c>
      <c r="M941" s="2"/>
      <c r="N941" s="2"/>
      <c r="O941" s="2"/>
      <c r="P941" s="2" t="s">
        <v>3214</v>
      </c>
      <c r="Q941" s="6">
        <v>60</v>
      </c>
      <c r="R941" s="6">
        <v>14</v>
      </c>
      <c r="S941" s="5">
        <v>2.9</v>
      </c>
      <c r="T941" s="7">
        <v>7.8570000000000002</v>
      </c>
      <c r="U941" s="5">
        <v>5.2</v>
      </c>
      <c r="V941" s="9">
        <v>0.42509999999999998</v>
      </c>
      <c r="W941" s="7">
        <v>11.625</v>
      </c>
      <c r="X941" s="7">
        <v>12.875</v>
      </c>
      <c r="Y941" s="7">
        <v>12.875</v>
      </c>
      <c r="Z941" s="7">
        <v>12.875</v>
      </c>
      <c r="AA941" s="6">
        <v>6</v>
      </c>
      <c r="AB941" s="7">
        <v>25.518000000000001</v>
      </c>
      <c r="AC941" s="2"/>
    </row>
    <row r="942" spans="1:29" ht="143" x14ac:dyDescent="0.15">
      <c r="A942" s="3">
        <f>DATE(1992,9,21)</f>
        <v>33868</v>
      </c>
      <c r="B942" s="3">
        <f>DATE(1993,6,10)</f>
        <v>34130</v>
      </c>
      <c r="C942" s="2" t="s">
        <v>95</v>
      </c>
      <c r="D942" s="2" t="s">
        <v>1495</v>
      </c>
      <c r="E942" s="2" t="s">
        <v>1496</v>
      </c>
      <c r="F942" s="4">
        <v>4011</v>
      </c>
      <c r="G942" s="2" t="s">
        <v>173</v>
      </c>
      <c r="H942" s="2" t="s">
        <v>34</v>
      </c>
      <c r="I942" s="2" t="s">
        <v>782</v>
      </c>
      <c r="J942" s="2" t="s">
        <v>783</v>
      </c>
      <c r="K942" s="2" t="s">
        <v>173</v>
      </c>
      <c r="L942" s="2" t="s">
        <v>34</v>
      </c>
      <c r="M942" s="2"/>
      <c r="N942" s="6">
        <v>40.75</v>
      </c>
      <c r="O942" s="6">
        <v>40.75</v>
      </c>
      <c r="P942" s="2" t="s">
        <v>3215</v>
      </c>
      <c r="Q942" s="6">
        <v>94.51</v>
      </c>
      <c r="R942" s="6">
        <v>20.5</v>
      </c>
      <c r="S942" s="5">
        <v>9.6999999999999993</v>
      </c>
      <c r="T942" s="2"/>
      <c r="U942" s="5">
        <v>8</v>
      </c>
      <c r="V942" s="6">
        <v>0.9</v>
      </c>
      <c r="W942" s="7">
        <v>10.875</v>
      </c>
      <c r="X942" s="4">
        <v>11</v>
      </c>
      <c r="Y942" s="6">
        <v>19.25</v>
      </c>
      <c r="Z942" s="7">
        <v>19.125</v>
      </c>
      <c r="AA942" s="6">
        <v>10.26</v>
      </c>
      <c r="AB942" s="2" t="s">
        <v>47</v>
      </c>
      <c r="AC942" s="5">
        <v>44</v>
      </c>
    </row>
    <row r="943" spans="1:29" ht="91" x14ac:dyDescent="0.15">
      <c r="A943" s="3">
        <f>DATE(1992,9,21)</f>
        <v>33868</v>
      </c>
      <c r="B943" s="3">
        <f>DATE(1992,12,31)</f>
        <v>33969</v>
      </c>
      <c r="C943" s="2" t="s">
        <v>95</v>
      </c>
      <c r="D943" s="2" t="s">
        <v>3216</v>
      </c>
      <c r="E943" s="2" t="s">
        <v>3217</v>
      </c>
      <c r="F943" s="2" t="s">
        <v>3218</v>
      </c>
      <c r="G943" s="2" t="s">
        <v>426</v>
      </c>
      <c r="H943" s="2" t="s">
        <v>34</v>
      </c>
      <c r="I943" s="2" t="s">
        <v>3219</v>
      </c>
      <c r="J943" s="2" t="s">
        <v>3220</v>
      </c>
      <c r="K943" s="2" t="s">
        <v>53</v>
      </c>
      <c r="L943" s="2" t="s">
        <v>34</v>
      </c>
      <c r="M943" s="2"/>
      <c r="N943" s="2"/>
      <c r="O943" s="2"/>
      <c r="P943" s="2" t="s">
        <v>3221</v>
      </c>
      <c r="Q943" s="2"/>
      <c r="R943" s="2"/>
      <c r="S943" s="5">
        <v>18.7</v>
      </c>
      <c r="T943" s="7">
        <v>98.652000000000001</v>
      </c>
      <c r="U943" s="2"/>
      <c r="V943" s="6">
        <v>1.1000000000000001</v>
      </c>
      <c r="W943" s="5">
        <v>44.5</v>
      </c>
      <c r="X943" s="4">
        <v>44</v>
      </c>
      <c r="Y943" s="6">
        <v>44.75</v>
      </c>
      <c r="Z943" s="6">
        <v>44.75</v>
      </c>
      <c r="AA943" s="2"/>
      <c r="AB943" s="2" t="s">
        <v>47</v>
      </c>
      <c r="AC943" s="2"/>
    </row>
    <row r="944" spans="1:29" ht="65" x14ac:dyDescent="0.15">
      <c r="A944" s="3">
        <f>DATE(1992,9,22)</f>
        <v>33869</v>
      </c>
      <c r="B944" s="2"/>
      <c r="C944" s="2" t="s">
        <v>141</v>
      </c>
      <c r="D944" s="2" t="s">
        <v>3222</v>
      </c>
      <c r="E944" s="2" t="s">
        <v>92</v>
      </c>
      <c r="F944" s="4">
        <v>6798</v>
      </c>
      <c r="G944" s="2" t="s">
        <v>53</v>
      </c>
      <c r="H944" s="2" t="s">
        <v>34</v>
      </c>
      <c r="I944" s="2" t="s">
        <v>143</v>
      </c>
      <c r="J944" s="2" t="s">
        <v>144</v>
      </c>
      <c r="K944" s="2" t="s">
        <v>53</v>
      </c>
      <c r="L944" s="2" t="s">
        <v>139</v>
      </c>
      <c r="M944" s="2"/>
      <c r="N944" s="2"/>
      <c r="O944" s="2"/>
      <c r="P944" s="2" t="s">
        <v>3223</v>
      </c>
      <c r="Q944" s="2"/>
      <c r="R944" s="2"/>
      <c r="S944" s="5">
        <v>33.799999999999997</v>
      </c>
      <c r="T944" s="7">
        <v>46.997</v>
      </c>
      <c r="U944" s="5">
        <v>17.8</v>
      </c>
      <c r="V944" s="6">
        <v>2.09</v>
      </c>
      <c r="W944" s="6">
        <v>23.75</v>
      </c>
      <c r="X944" s="6">
        <v>21.25</v>
      </c>
      <c r="Y944" s="6">
        <v>21.25</v>
      </c>
      <c r="Z944" s="7">
        <v>21.875</v>
      </c>
      <c r="AA944" s="2"/>
      <c r="AB944" s="2" t="s">
        <v>47</v>
      </c>
      <c r="AC944" s="2"/>
    </row>
    <row r="945" spans="1:29" ht="156" x14ac:dyDescent="0.15">
      <c r="A945" s="3">
        <f>DATE(1992,9,24)</f>
        <v>33871</v>
      </c>
      <c r="B945" s="3">
        <f>DATE(1993,4,1)</f>
        <v>34060</v>
      </c>
      <c r="C945" s="2" t="s">
        <v>95</v>
      </c>
      <c r="D945" s="2" t="s">
        <v>3224</v>
      </c>
      <c r="E945" s="2" t="s">
        <v>36</v>
      </c>
      <c r="F945" s="4">
        <v>6022</v>
      </c>
      <c r="G945" s="2" t="s">
        <v>37</v>
      </c>
      <c r="H945" s="2" t="s">
        <v>34</v>
      </c>
      <c r="I945" s="2" t="s">
        <v>3225</v>
      </c>
      <c r="J945" s="2" t="s">
        <v>389</v>
      </c>
      <c r="K945" s="2" t="s">
        <v>33</v>
      </c>
      <c r="L945" s="2" t="s">
        <v>34</v>
      </c>
      <c r="M945" s="2"/>
      <c r="N945" s="5">
        <v>20.5</v>
      </c>
      <c r="O945" s="7">
        <v>20.625</v>
      </c>
      <c r="P945" s="2" t="s">
        <v>3226</v>
      </c>
      <c r="Q945" s="6">
        <v>100</v>
      </c>
      <c r="R945" s="6">
        <v>24.2</v>
      </c>
      <c r="S945" s="5">
        <v>2.9</v>
      </c>
      <c r="T945" s="7">
        <v>5.9950000000000001</v>
      </c>
      <c r="U945" s="5">
        <v>27.3</v>
      </c>
      <c r="V945" s="6">
        <v>1.1499999999999999</v>
      </c>
      <c r="W945" s="5">
        <v>19.5</v>
      </c>
      <c r="X945" s="5">
        <v>19.5</v>
      </c>
      <c r="Y945" s="5">
        <v>22.5</v>
      </c>
      <c r="Z945" s="6">
        <v>22.75</v>
      </c>
      <c r="AA945" s="6">
        <v>2.39</v>
      </c>
      <c r="AB945" s="7">
        <v>101.303</v>
      </c>
      <c r="AC945" s="2"/>
    </row>
    <row r="946" spans="1:29" ht="52" x14ac:dyDescent="0.15">
      <c r="A946" s="3">
        <f>DATE(1992,9,28)</f>
        <v>33875</v>
      </c>
      <c r="B946" s="3">
        <f>DATE(1994,1,1)</f>
        <v>34335</v>
      </c>
      <c r="C946" s="2" t="s">
        <v>95</v>
      </c>
      <c r="D946" s="2" t="s">
        <v>3227</v>
      </c>
      <c r="E946" s="2" t="s">
        <v>3228</v>
      </c>
      <c r="F946" s="4">
        <v>2325</v>
      </c>
      <c r="G946" s="2" t="s">
        <v>708</v>
      </c>
      <c r="H946" s="2" t="s">
        <v>34</v>
      </c>
      <c r="I946" s="2" t="s">
        <v>1526</v>
      </c>
      <c r="J946" s="2" t="s">
        <v>302</v>
      </c>
      <c r="K946" s="2" t="s">
        <v>53</v>
      </c>
      <c r="L946" s="2" t="s">
        <v>34</v>
      </c>
      <c r="M946" s="2"/>
      <c r="N946" s="2"/>
      <c r="O946" s="2"/>
      <c r="P946" s="2" t="s">
        <v>3229</v>
      </c>
      <c r="Q946" s="6">
        <v>73.37</v>
      </c>
      <c r="R946" s="2"/>
      <c r="S946" s="5">
        <v>-19.100000000000001</v>
      </c>
      <c r="T946" s="7">
        <v>8.1980000000000004</v>
      </c>
      <c r="U946" s="5">
        <v>-40.1</v>
      </c>
      <c r="V946" s="9">
        <v>-16.573499999999999</v>
      </c>
      <c r="W946" s="6">
        <v>5.75</v>
      </c>
      <c r="X946" s="4">
        <v>7</v>
      </c>
      <c r="Y946" s="7">
        <v>6.375</v>
      </c>
      <c r="Z946" s="6">
        <v>5.75</v>
      </c>
      <c r="AA946" s="6">
        <v>13.1</v>
      </c>
      <c r="AB946" s="2" t="s">
        <v>86</v>
      </c>
      <c r="AC946" s="2"/>
    </row>
    <row r="947" spans="1:29" ht="78" x14ac:dyDescent="0.15">
      <c r="A947" s="3">
        <f>DATE(1992,9,28)</f>
        <v>33875</v>
      </c>
      <c r="B947" s="3">
        <f>DATE(1993,3,10)</f>
        <v>34038</v>
      </c>
      <c r="C947" s="2" t="s">
        <v>95</v>
      </c>
      <c r="D947" s="2" t="s">
        <v>3230</v>
      </c>
      <c r="E947" s="2" t="s">
        <v>3231</v>
      </c>
      <c r="F947" s="4">
        <v>4953</v>
      </c>
      <c r="G947" s="2" t="s">
        <v>116</v>
      </c>
      <c r="H947" s="2" t="s">
        <v>34</v>
      </c>
      <c r="I947" s="2" t="s">
        <v>2040</v>
      </c>
      <c r="J947" s="2" t="s">
        <v>3232</v>
      </c>
      <c r="K947" s="2" t="s">
        <v>116</v>
      </c>
      <c r="L947" s="2" t="s">
        <v>34</v>
      </c>
      <c r="M947" s="7">
        <v>102.307</v>
      </c>
      <c r="N947" s="5">
        <v>15.5</v>
      </c>
      <c r="O947" s="5">
        <v>15.5</v>
      </c>
      <c r="P947" s="2" t="s">
        <v>3233</v>
      </c>
      <c r="Q947" s="6">
        <v>100</v>
      </c>
      <c r="R947" s="6">
        <v>1.5</v>
      </c>
      <c r="S947" s="5">
        <v>-1.7</v>
      </c>
      <c r="T947" s="7">
        <v>-0.443</v>
      </c>
      <c r="U947" s="5">
        <v>0.9</v>
      </c>
      <c r="V947" s="6">
        <v>-0.39</v>
      </c>
      <c r="W947" s="6">
        <v>1.25</v>
      </c>
      <c r="X947" s="6">
        <v>1.25</v>
      </c>
      <c r="Y947" s="4">
        <v>1</v>
      </c>
      <c r="Z947" s="7">
        <v>1.125</v>
      </c>
      <c r="AA947" s="6">
        <v>4.29</v>
      </c>
      <c r="AB947" s="2" t="s">
        <v>86</v>
      </c>
      <c r="AC947" s="6">
        <v>5.05</v>
      </c>
    </row>
    <row r="948" spans="1:29" ht="156" x14ac:dyDescent="0.15">
      <c r="A948" s="3">
        <f>DATE(1992,9,30)</f>
        <v>33877</v>
      </c>
      <c r="B948" s="2"/>
      <c r="C948" s="2" t="s">
        <v>30</v>
      </c>
      <c r="D948" s="2" t="s">
        <v>1816</v>
      </c>
      <c r="E948" s="2" t="s">
        <v>1817</v>
      </c>
      <c r="F948" s="4">
        <v>4512</v>
      </c>
      <c r="G948" s="2" t="s">
        <v>59</v>
      </c>
      <c r="H948" s="2" t="s">
        <v>34</v>
      </c>
      <c r="I948" s="2" t="s">
        <v>51</v>
      </c>
      <c r="J948" s="2" t="s">
        <v>52</v>
      </c>
      <c r="K948" s="2" t="s">
        <v>53</v>
      </c>
      <c r="L948" s="2" t="s">
        <v>34</v>
      </c>
      <c r="M948" s="2"/>
      <c r="N948" s="2"/>
      <c r="O948" s="2"/>
      <c r="P948" s="2" t="s">
        <v>3234</v>
      </c>
      <c r="Q948" s="2"/>
      <c r="R948" s="2"/>
      <c r="S948" s="5">
        <v>-107</v>
      </c>
      <c r="T948" s="7">
        <v>148.328</v>
      </c>
      <c r="U948" s="5">
        <v>-80.3</v>
      </c>
      <c r="V948" s="2"/>
      <c r="W948" s="6">
        <v>4.25</v>
      </c>
      <c r="X948" s="7">
        <v>3.625</v>
      </c>
      <c r="Y948" s="6">
        <v>3.75</v>
      </c>
      <c r="Z948" s="7">
        <v>3.625</v>
      </c>
      <c r="AA948" s="2"/>
      <c r="AB948" s="2" t="s">
        <v>86</v>
      </c>
      <c r="AC948" s="2"/>
    </row>
    <row r="949" spans="1:29" ht="156" x14ac:dyDescent="0.15">
      <c r="A949" s="3">
        <f>DATE(1992,9,30)</f>
        <v>33877</v>
      </c>
      <c r="B949" s="3">
        <f>DATE(1993,6,17)</f>
        <v>34137</v>
      </c>
      <c r="C949" s="2" t="s">
        <v>95</v>
      </c>
      <c r="D949" s="2" t="s">
        <v>3235</v>
      </c>
      <c r="E949" s="2" t="s">
        <v>3236</v>
      </c>
      <c r="F949" s="4">
        <v>3845</v>
      </c>
      <c r="G949" s="2" t="s">
        <v>226</v>
      </c>
      <c r="H949" s="2" t="s">
        <v>34</v>
      </c>
      <c r="I949" s="2" t="s">
        <v>3237</v>
      </c>
      <c r="J949" s="2" t="s">
        <v>3238</v>
      </c>
      <c r="K949" s="2" t="s">
        <v>223</v>
      </c>
      <c r="L949" s="2" t="s">
        <v>34</v>
      </c>
      <c r="M949" s="7">
        <v>911.125</v>
      </c>
      <c r="N949" s="7">
        <v>24.875</v>
      </c>
      <c r="O949" s="5">
        <v>24.5</v>
      </c>
      <c r="P949" s="2" t="s">
        <v>3239</v>
      </c>
      <c r="Q949" s="6">
        <v>69.86</v>
      </c>
      <c r="R949" s="6">
        <v>3.95</v>
      </c>
      <c r="S949" s="5">
        <v>0.7</v>
      </c>
      <c r="T949" s="7">
        <v>1.7569999999999999</v>
      </c>
      <c r="U949" s="2"/>
      <c r="V949" s="6">
        <v>0.05</v>
      </c>
      <c r="W949" s="5">
        <v>2.5</v>
      </c>
      <c r="X949" s="7">
        <v>2.375</v>
      </c>
      <c r="Y949" s="7">
        <v>2.9380000000000002</v>
      </c>
      <c r="Z949" s="7">
        <v>2.875</v>
      </c>
      <c r="AA949" s="6">
        <v>14.66</v>
      </c>
      <c r="AB949" s="7">
        <v>59.508000000000003</v>
      </c>
      <c r="AC949" s="6">
        <v>62.69</v>
      </c>
    </row>
    <row r="950" spans="1:29" ht="143" x14ac:dyDescent="0.15">
      <c r="A950" s="3">
        <f>DATE(1992,10,1)</f>
        <v>33878</v>
      </c>
      <c r="B950" s="2"/>
      <c r="C950" s="2" t="s">
        <v>30</v>
      </c>
      <c r="D950" s="2" t="s">
        <v>3240</v>
      </c>
      <c r="E950" s="2" t="s">
        <v>1737</v>
      </c>
      <c r="F950" s="4">
        <v>2673</v>
      </c>
      <c r="G950" s="2" t="s">
        <v>282</v>
      </c>
      <c r="H950" s="2" t="s">
        <v>34</v>
      </c>
      <c r="I950" s="2" t="s">
        <v>3241</v>
      </c>
      <c r="J950" s="2" t="s">
        <v>3242</v>
      </c>
      <c r="K950" s="2" t="s">
        <v>53</v>
      </c>
      <c r="L950" s="2" t="s">
        <v>34</v>
      </c>
      <c r="M950" s="2"/>
      <c r="N950" s="2"/>
      <c r="O950" s="2"/>
      <c r="P950" s="2" t="s">
        <v>3243</v>
      </c>
      <c r="Q950" s="2"/>
      <c r="R950" s="6">
        <v>21</v>
      </c>
      <c r="S950" s="5">
        <v>-8.8000000000000007</v>
      </c>
      <c r="T950" s="7">
        <v>7.726</v>
      </c>
      <c r="U950" s="5">
        <v>4.5999999999999996</v>
      </c>
      <c r="V950" s="7">
        <v>-1.7350000000000001</v>
      </c>
      <c r="W950" s="4">
        <v>18</v>
      </c>
      <c r="X950" s="5">
        <v>17.5</v>
      </c>
      <c r="Y950" s="6">
        <v>18.25</v>
      </c>
      <c r="Z950" s="4">
        <v>20</v>
      </c>
      <c r="AA950" s="6">
        <v>2</v>
      </c>
      <c r="AB950" s="7">
        <v>13.326000000000001</v>
      </c>
      <c r="AC950" s="2"/>
    </row>
    <row r="951" spans="1:29" ht="65" x14ac:dyDescent="0.15">
      <c r="A951" s="3">
        <f>DATE(1992,10,2)</f>
        <v>33879</v>
      </c>
      <c r="B951" s="3">
        <f>DATE(1993,10,26)</f>
        <v>34268</v>
      </c>
      <c r="C951" s="2" t="s">
        <v>95</v>
      </c>
      <c r="D951" s="2" t="s">
        <v>3244</v>
      </c>
      <c r="E951" s="2" t="s">
        <v>36</v>
      </c>
      <c r="F951" s="4">
        <v>6022</v>
      </c>
      <c r="G951" s="2" t="s">
        <v>37</v>
      </c>
      <c r="H951" s="2" t="s">
        <v>34</v>
      </c>
      <c r="I951" s="2" t="s">
        <v>3245</v>
      </c>
      <c r="J951" s="2" t="s">
        <v>3246</v>
      </c>
      <c r="K951" s="2" t="s">
        <v>37</v>
      </c>
      <c r="L951" s="2" t="s">
        <v>34</v>
      </c>
      <c r="M951" s="2"/>
      <c r="N951" s="5">
        <v>21.5</v>
      </c>
      <c r="O951" s="4">
        <v>21</v>
      </c>
      <c r="P951" s="2" t="s">
        <v>3247</v>
      </c>
      <c r="Q951" s="6">
        <v>100</v>
      </c>
      <c r="R951" s="2"/>
      <c r="S951" s="5">
        <v>5.8</v>
      </c>
      <c r="T951" s="7">
        <v>8.6329999999999991</v>
      </c>
      <c r="U951" s="5">
        <v>25.9</v>
      </c>
      <c r="V951" s="2"/>
      <c r="W951" s="6">
        <v>27.25</v>
      </c>
      <c r="X951" s="6">
        <v>27.25</v>
      </c>
      <c r="Y951" s="6">
        <v>27.25</v>
      </c>
      <c r="Z951" s="5">
        <v>27.5</v>
      </c>
      <c r="AA951" s="2"/>
      <c r="AB951" s="7">
        <v>45.697000000000003</v>
      </c>
      <c r="AC951" s="2"/>
    </row>
    <row r="952" spans="1:29" ht="117" x14ac:dyDescent="0.15">
      <c r="A952" s="3">
        <f>DATE(1992,10,2)</f>
        <v>33879</v>
      </c>
      <c r="B952" s="3">
        <f>DATE(1992,10,19)</f>
        <v>33896</v>
      </c>
      <c r="C952" s="2" t="s">
        <v>95</v>
      </c>
      <c r="D952" s="2" t="s">
        <v>3248</v>
      </c>
      <c r="E952" s="2" t="s">
        <v>2529</v>
      </c>
      <c r="F952" s="4">
        <v>4924</v>
      </c>
      <c r="G952" s="2" t="s">
        <v>439</v>
      </c>
      <c r="H952" s="2" t="s">
        <v>34</v>
      </c>
      <c r="I952" s="2" t="s">
        <v>3249</v>
      </c>
      <c r="J952" s="2" t="s">
        <v>3250</v>
      </c>
      <c r="K952" s="2" t="s">
        <v>439</v>
      </c>
      <c r="L952" s="2" t="s">
        <v>34</v>
      </c>
      <c r="M952" s="2"/>
      <c r="N952" s="2"/>
      <c r="O952" s="2"/>
      <c r="P952" s="2" t="s">
        <v>3251</v>
      </c>
      <c r="Q952" s="6">
        <v>16.899999999999999</v>
      </c>
      <c r="R952" s="2"/>
      <c r="S952" s="5">
        <v>-4</v>
      </c>
      <c r="T952" s="7">
        <v>-4.0030000000000001</v>
      </c>
      <c r="U952" s="5">
        <v>3.2</v>
      </c>
      <c r="V952" s="6">
        <v>-1.37</v>
      </c>
      <c r="W952" s="6">
        <v>4.25</v>
      </c>
      <c r="X952" s="5">
        <v>4.5</v>
      </c>
      <c r="Y952" s="5">
        <v>4.5</v>
      </c>
      <c r="Z952" s="7">
        <v>4.625</v>
      </c>
      <c r="AA952" s="6">
        <v>2.95</v>
      </c>
      <c r="AB952" s="2" t="s">
        <v>86</v>
      </c>
      <c r="AC952" s="2"/>
    </row>
    <row r="953" spans="1:29" ht="78" x14ac:dyDescent="0.15">
      <c r="A953" s="3">
        <f>DATE(1992,10,4)</f>
        <v>33881</v>
      </c>
      <c r="B953" s="2"/>
      <c r="C953" s="2" t="s">
        <v>82</v>
      </c>
      <c r="D953" s="2" t="s">
        <v>3252</v>
      </c>
      <c r="E953" s="2" t="s">
        <v>1085</v>
      </c>
      <c r="F953" s="4">
        <v>6141</v>
      </c>
      <c r="G953" s="2" t="s">
        <v>370</v>
      </c>
      <c r="H953" s="2" t="s">
        <v>34</v>
      </c>
      <c r="I953" s="2" t="s">
        <v>3253</v>
      </c>
      <c r="J953" s="2" t="s">
        <v>3254</v>
      </c>
      <c r="K953" s="2" t="s">
        <v>53</v>
      </c>
      <c r="L953" s="2" t="s">
        <v>34</v>
      </c>
      <c r="M953" s="2"/>
      <c r="N953" s="2"/>
      <c r="O953" s="2"/>
      <c r="P953" s="2" t="s">
        <v>3255</v>
      </c>
      <c r="Q953" s="2"/>
      <c r="R953" s="2"/>
      <c r="S953" s="5">
        <v>-2.6</v>
      </c>
      <c r="T953" s="2"/>
      <c r="U953" s="2"/>
      <c r="V953" s="2"/>
      <c r="W953" s="7">
        <v>2.625</v>
      </c>
      <c r="X953" s="6">
        <v>2.25</v>
      </c>
      <c r="Y953" s="7">
        <v>1.625</v>
      </c>
      <c r="Z953" s="7">
        <v>1.625</v>
      </c>
      <c r="AA953" s="2"/>
      <c r="AB953" s="2" t="s">
        <v>86</v>
      </c>
      <c r="AC953" s="2"/>
    </row>
    <row r="954" spans="1:29" ht="143" x14ac:dyDescent="0.15">
      <c r="A954" s="3">
        <f>DATE(1992,10,6)</f>
        <v>33883</v>
      </c>
      <c r="B954" s="3">
        <f>DATE(1993,2,18)</f>
        <v>34018</v>
      </c>
      <c r="C954" s="2" t="s">
        <v>95</v>
      </c>
      <c r="D954" s="2" t="s">
        <v>3256</v>
      </c>
      <c r="E954" s="2" t="s">
        <v>540</v>
      </c>
      <c r="F954" s="4">
        <v>5045</v>
      </c>
      <c r="G954" s="2" t="s">
        <v>76</v>
      </c>
      <c r="H954" s="2" t="s">
        <v>34</v>
      </c>
      <c r="I954" s="2" t="s">
        <v>871</v>
      </c>
      <c r="J954" s="2" t="s">
        <v>872</v>
      </c>
      <c r="K954" s="2" t="s">
        <v>226</v>
      </c>
      <c r="L954" s="2" t="s">
        <v>34</v>
      </c>
      <c r="M954" s="12">
        <v>1125.472</v>
      </c>
      <c r="N954" s="4">
        <v>31</v>
      </c>
      <c r="O954" s="5">
        <v>29.5</v>
      </c>
      <c r="P954" s="2" t="s">
        <v>3257</v>
      </c>
      <c r="Q954" s="6">
        <v>100</v>
      </c>
      <c r="R954" s="6">
        <v>20.43</v>
      </c>
      <c r="S954" s="5">
        <v>58.8</v>
      </c>
      <c r="T954" s="6">
        <v>122.76</v>
      </c>
      <c r="U954" s="5">
        <v>2.2999999999999998</v>
      </c>
      <c r="V954" s="6">
        <v>0.43</v>
      </c>
      <c r="W954" s="6">
        <v>14.75</v>
      </c>
      <c r="X954" s="4">
        <v>17</v>
      </c>
      <c r="Y954" s="4">
        <v>17</v>
      </c>
      <c r="Z954" s="7">
        <v>19.375</v>
      </c>
      <c r="AA954" s="6">
        <v>14.48</v>
      </c>
      <c r="AB954" s="7">
        <v>32.448999999999998</v>
      </c>
      <c r="AC954" s="6">
        <v>12.37</v>
      </c>
    </row>
    <row r="955" spans="1:29" ht="130" x14ac:dyDescent="0.15">
      <c r="A955" s="3">
        <f>DATE(1992,10,8)</f>
        <v>33885</v>
      </c>
      <c r="B955" s="2"/>
      <c r="C955" s="2" t="s">
        <v>30</v>
      </c>
      <c r="D955" s="2" t="s">
        <v>3258</v>
      </c>
      <c r="E955" s="2" t="s">
        <v>3259</v>
      </c>
      <c r="F955" s="4">
        <v>8093</v>
      </c>
      <c r="G955" s="2" t="s">
        <v>454</v>
      </c>
      <c r="H955" s="2" t="s">
        <v>34</v>
      </c>
      <c r="I955" s="2" t="s">
        <v>2565</v>
      </c>
      <c r="J955" s="2" t="s">
        <v>2566</v>
      </c>
      <c r="K955" s="2" t="s">
        <v>454</v>
      </c>
      <c r="L955" s="2" t="s">
        <v>34</v>
      </c>
      <c r="M955" s="2"/>
      <c r="N955" s="7">
        <v>15.875</v>
      </c>
      <c r="O955" s="7">
        <v>15.875</v>
      </c>
      <c r="P955" s="2" t="s">
        <v>3260</v>
      </c>
      <c r="Q955" s="2"/>
      <c r="R955" s="6">
        <v>11.25</v>
      </c>
      <c r="S955" s="5">
        <v>2.7</v>
      </c>
      <c r="T955" s="2"/>
      <c r="U955" s="5">
        <v>3.5</v>
      </c>
      <c r="V955" s="2"/>
      <c r="W955" s="6">
        <v>9.25</v>
      </c>
      <c r="X955" s="6">
        <v>8.75</v>
      </c>
      <c r="Y955" s="7">
        <v>8.625</v>
      </c>
      <c r="Z955" s="4">
        <v>9</v>
      </c>
      <c r="AA955" s="6">
        <v>2.93</v>
      </c>
      <c r="AB955" s="2" t="s">
        <v>47</v>
      </c>
      <c r="AC955" s="6">
        <v>35.69</v>
      </c>
    </row>
    <row r="956" spans="1:29" ht="91" x14ac:dyDescent="0.15">
      <c r="A956" s="3">
        <f>DATE(1992,10,8)</f>
        <v>33885</v>
      </c>
      <c r="B956" s="3">
        <f>DATE(1992,10,30)</f>
        <v>33907</v>
      </c>
      <c r="C956" s="2" t="s">
        <v>95</v>
      </c>
      <c r="D956" s="2" t="s">
        <v>3261</v>
      </c>
      <c r="E956" s="2" t="s">
        <v>3262</v>
      </c>
      <c r="F956" s="4">
        <v>5122</v>
      </c>
      <c r="G956" s="2" t="s">
        <v>593</v>
      </c>
      <c r="H956" s="2" t="s">
        <v>34</v>
      </c>
      <c r="I956" s="2" t="s">
        <v>51</v>
      </c>
      <c r="J956" s="2" t="s">
        <v>52</v>
      </c>
      <c r="K956" s="2" t="s">
        <v>53</v>
      </c>
      <c r="L956" s="2" t="s">
        <v>34</v>
      </c>
      <c r="M956" s="2"/>
      <c r="N956" s="2"/>
      <c r="O956" s="2"/>
      <c r="P956" s="2" t="s">
        <v>3263</v>
      </c>
      <c r="Q956" s="6">
        <v>57.61</v>
      </c>
      <c r="R956" s="2"/>
      <c r="S956" s="5">
        <v>-0.6</v>
      </c>
      <c r="T956" s="7">
        <v>-0.52900000000000003</v>
      </c>
      <c r="U956" s="5">
        <v>2.7</v>
      </c>
      <c r="V956" s="6">
        <v>-1.1599999999999999</v>
      </c>
      <c r="W956" s="4">
        <v>1</v>
      </c>
      <c r="X956" s="5">
        <v>1.5</v>
      </c>
      <c r="Y956" s="7">
        <v>1.625</v>
      </c>
      <c r="Z956" s="7">
        <v>1.5629999999999999</v>
      </c>
      <c r="AA956" s="6">
        <v>0.48</v>
      </c>
      <c r="AB956" s="2" t="s">
        <v>86</v>
      </c>
      <c r="AC956" s="2"/>
    </row>
    <row r="957" spans="1:29" ht="143" x14ac:dyDescent="0.15">
      <c r="A957" s="3">
        <f>DATE(1992,10,8)</f>
        <v>33885</v>
      </c>
      <c r="B957" s="2"/>
      <c r="C957" s="2" t="s">
        <v>189</v>
      </c>
      <c r="D957" s="2" t="s">
        <v>3261</v>
      </c>
      <c r="E957" s="2" t="s">
        <v>3262</v>
      </c>
      <c r="F957" s="4">
        <v>5122</v>
      </c>
      <c r="G957" s="2" t="s">
        <v>593</v>
      </c>
      <c r="H957" s="2" t="s">
        <v>34</v>
      </c>
      <c r="I957" s="2" t="s">
        <v>143</v>
      </c>
      <c r="J957" s="2" t="s">
        <v>144</v>
      </c>
      <c r="K957" s="2" t="s">
        <v>53</v>
      </c>
      <c r="L957" s="2" t="s">
        <v>139</v>
      </c>
      <c r="M957" s="2"/>
      <c r="N957" s="2"/>
      <c r="O957" s="2"/>
      <c r="P957" s="2" t="s">
        <v>3264</v>
      </c>
      <c r="Q957" s="2"/>
      <c r="R957" s="2"/>
      <c r="S957" s="2"/>
      <c r="T957" s="2"/>
      <c r="U957" s="5">
        <v>0.9</v>
      </c>
      <c r="V957" s="2"/>
      <c r="W957" s="4">
        <v>1</v>
      </c>
      <c r="X957" s="5">
        <v>1.5</v>
      </c>
      <c r="Y957" s="7">
        <v>1.625</v>
      </c>
      <c r="Z957" s="7">
        <v>1.5629999999999999</v>
      </c>
      <c r="AA957" s="6">
        <v>0.48</v>
      </c>
      <c r="AB957" s="2" t="s">
        <v>47</v>
      </c>
      <c r="AC957" s="2"/>
    </row>
    <row r="958" spans="1:29" ht="117" x14ac:dyDescent="0.15">
      <c r="A958" s="3">
        <f>DATE(1992,10,8)</f>
        <v>33885</v>
      </c>
      <c r="B958" s="3">
        <f>DATE(1993,3,25)</f>
        <v>34053</v>
      </c>
      <c r="C958" s="2" t="s">
        <v>95</v>
      </c>
      <c r="D958" s="2" t="s">
        <v>3265</v>
      </c>
      <c r="E958" s="2" t="s">
        <v>36</v>
      </c>
      <c r="F958" s="4">
        <v>6022</v>
      </c>
      <c r="G958" s="2" t="s">
        <v>37</v>
      </c>
      <c r="H958" s="2" t="s">
        <v>34</v>
      </c>
      <c r="I958" s="2" t="s">
        <v>3266</v>
      </c>
      <c r="J958" s="2" t="s">
        <v>36</v>
      </c>
      <c r="K958" s="2" t="s">
        <v>37</v>
      </c>
      <c r="L958" s="2" t="s">
        <v>34</v>
      </c>
      <c r="M958" s="2"/>
      <c r="N958" s="2"/>
      <c r="O958" s="2"/>
      <c r="P958" s="2" t="s">
        <v>3267</v>
      </c>
      <c r="Q958" s="6">
        <v>100</v>
      </c>
      <c r="R958" s="2"/>
      <c r="S958" s="5">
        <v>7.1</v>
      </c>
      <c r="T958" s="2"/>
      <c r="U958" s="2"/>
      <c r="V958" s="6">
        <v>1.68</v>
      </c>
      <c r="W958" s="6">
        <v>16.75</v>
      </c>
      <c r="X958" s="6">
        <v>16.25</v>
      </c>
      <c r="Y958" s="6">
        <v>16.75</v>
      </c>
      <c r="Z958" s="6">
        <v>16.75</v>
      </c>
      <c r="AA958" s="2"/>
      <c r="AB958" s="2" t="s">
        <v>47</v>
      </c>
      <c r="AC958" s="2"/>
    </row>
    <row r="959" spans="1:29" ht="143" x14ac:dyDescent="0.15">
      <c r="A959" s="3">
        <f>DATE(1992,10,9)</f>
        <v>33886</v>
      </c>
      <c r="B959" s="3">
        <f>DATE(1993,3,8)</f>
        <v>34036</v>
      </c>
      <c r="C959" s="2" t="s">
        <v>95</v>
      </c>
      <c r="D959" s="2" t="s">
        <v>3268</v>
      </c>
      <c r="E959" s="2" t="s">
        <v>177</v>
      </c>
      <c r="F959" s="4">
        <v>1311</v>
      </c>
      <c r="G959" s="2" t="s">
        <v>148</v>
      </c>
      <c r="H959" s="2" t="s">
        <v>34</v>
      </c>
      <c r="I959" s="2" t="s">
        <v>3269</v>
      </c>
      <c r="J959" s="2" t="s">
        <v>3270</v>
      </c>
      <c r="K959" s="2" t="s">
        <v>53</v>
      </c>
      <c r="L959" s="2" t="s">
        <v>34</v>
      </c>
      <c r="M959" s="2"/>
      <c r="N959" s="2"/>
      <c r="O959" s="2"/>
      <c r="P959" s="2" t="s">
        <v>3271</v>
      </c>
      <c r="Q959" s="6">
        <v>16.54</v>
      </c>
      <c r="R959" s="6">
        <v>3.75</v>
      </c>
      <c r="S959" s="5">
        <v>-18</v>
      </c>
      <c r="T959" s="2"/>
      <c r="U959" s="2"/>
      <c r="V959" s="6">
        <v>-1.3</v>
      </c>
      <c r="W959" s="7">
        <v>2.625</v>
      </c>
      <c r="X959" s="7">
        <v>2.625</v>
      </c>
      <c r="Y959" s="7">
        <v>2.875</v>
      </c>
      <c r="Z959" s="7">
        <v>3.625</v>
      </c>
      <c r="AA959" s="6">
        <v>12.55</v>
      </c>
      <c r="AB959" s="2" t="s">
        <v>86</v>
      </c>
      <c r="AC959" s="2"/>
    </row>
    <row r="960" spans="1:29" ht="130" x14ac:dyDescent="0.15">
      <c r="A960" s="3">
        <f>DATE(1992,10,14)</f>
        <v>33891</v>
      </c>
      <c r="B960" s="3">
        <f>DATE(1993,6,29)</f>
        <v>34149</v>
      </c>
      <c r="C960" s="2" t="s">
        <v>95</v>
      </c>
      <c r="D960" s="2" t="s">
        <v>3272</v>
      </c>
      <c r="E960" s="2" t="s">
        <v>612</v>
      </c>
      <c r="F960" s="4">
        <v>1311</v>
      </c>
      <c r="G960" s="2" t="s">
        <v>148</v>
      </c>
      <c r="H960" s="2" t="s">
        <v>34</v>
      </c>
      <c r="I960" s="2" t="s">
        <v>3273</v>
      </c>
      <c r="J960" s="2" t="s">
        <v>3274</v>
      </c>
      <c r="K960" s="2" t="s">
        <v>53</v>
      </c>
      <c r="L960" s="2" t="s">
        <v>34</v>
      </c>
      <c r="M960" s="2"/>
      <c r="N960" s="2"/>
      <c r="O960" s="2"/>
      <c r="P960" s="2" t="s">
        <v>3275</v>
      </c>
      <c r="Q960" s="6">
        <v>90</v>
      </c>
      <c r="R960" s="2"/>
      <c r="S960" s="5">
        <v>-40.299999999999997</v>
      </c>
      <c r="T960" s="2"/>
      <c r="U960" s="2"/>
      <c r="V960" s="2"/>
      <c r="W960" s="6">
        <v>4.25</v>
      </c>
      <c r="X960" s="7">
        <v>3.875</v>
      </c>
      <c r="Y960" s="4">
        <v>4</v>
      </c>
      <c r="Z960" s="7">
        <v>3.875</v>
      </c>
      <c r="AA960" s="6">
        <v>12.85</v>
      </c>
      <c r="AB960" s="2" t="s">
        <v>86</v>
      </c>
      <c r="AC960" s="2"/>
    </row>
    <row r="961" spans="1:29" ht="117" x14ac:dyDescent="0.15">
      <c r="A961" s="3">
        <f>DATE(1992,10,20)</f>
        <v>33897</v>
      </c>
      <c r="B961" s="3">
        <f>DATE(1993,3,12)</f>
        <v>34040</v>
      </c>
      <c r="C961" s="2" t="s">
        <v>95</v>
      </c>
      <c r="D961" s="2" t="s">
        <v>3276</v>
      </c>
      <c r="E961" s="2" t="s">
        <v>389</v>
      </c>
      <c r="F961" s="4">
        <v>6035</v>
      </c>
      <c r="G961" s="2" t="s">
        <v>33</v>
      </c>
      <c r="H961" s="2" t="s">
        <v>34</v>
      </c>
      <c r="I961" s="2" t="s">
        <v>3277</v>
      </c>
      <c r="J961" s="2" t="s">
        <v>32</v>
      </c>
      <c r="K961" s="2" t="s">
        <v>33</v>
      </c>
      <c r="L961" s="2" t="s">
        <v>34</v>
      </c>
      <c r="M961" s="2"/>
      <c r="N961" s="4">
        <v>25</v>
      </c>
      <c r="O961" s="7">
        <v>24.625</v>
      </c>
      <c r="P961" s="2" t="s">
        <v>3278</v>
      </c>
      <c r="Q961" s="6">
        <v>100</v>
      </c>
      <c r="R961" s="6">
        <v>17</v>
      </c>
      <c r="S961" s="2"/>
      <c r="T961" s="2"/>
      <c r="U961" s="5">
        <v>9.8000000000000007</v>
      </c>
      <c r="V961" s="2"/>
      <c r="W961" s="5">
        <v>15.5</v>
      </c>
      <c r="X961" s="6">
        <v>14.75</v>
      </c>
      <c r="Y961" s="4">
        <v>16</v>
      </c>
      <c r="Z961" s="4">
        <v>16</v>
      </c>
      <c r="AA961" s="6">
        <v>2.1</v>
      </c>
      <c r="AB961" s="2" t="s">
        <v>47</v>
      </c>
      <c r="AC961" s="2"/>
    </row>
    <row r="962" spans="1:29" ht="156" x14ac:dyDescent="0.15">
      <c r="A962" s="3">
        <f>DATE(1992,10,22)</f>
        <v>33899</v>
      </c>
      <c r="B962" s="3">
        <f>DATE(1992,12,29)</f>
        <v>33967</v>
      </c>
      <c r="C962" s="2" t="s">
        <v>95</v>
      </c>
      <c r="D962" s="2" t="s">
        <v>3279</v>
      </c>
      <c r="E962" s="2" t="s">
        <v>3280</v>
      </c>
      <c r="F962" s="4">
        <v>3572</v>
      </c>
      <c r="G962" s="2" t="s">
        <v>50</v>
      </c>
      <c r="H962" s="2" t="s">
        <v>34</v>
      </c>
      <c r="I962" s="2" t="s">
        <v>3281</v>
      </c>
      <c r="J962" s="2" t="s">
        <v>3282</v>
      </c>
      <c r="K962" s="2" t="s">
        <v>50</v>
      </c>
      <c r="L962" s="2" t="s">
        <v>34</v>
      </c>
      <c r="M962" s="2"/>
      <c r="N962" s="5">
        <v>18.5</v>
      </c>
      <c r="O962" s="6">
        <v>18.75</v>
      </c>
      <c r="P962" s="2" t="s">
        <v>3283</v>
      </c>
      <c r="Q962" s="6">
        <v>91.43</v>
      </c>
      <c r="R962" s="6">
        <v>11.25</v>
      </c>
      <c r="S962" s="5">
        <v>11.9</v>
      </c>
      <c r="T962" s="7">
        <v>51.387</v>
      </c>
      <c r="U962" s="5">
        <v>4.9000000000000004</v>
      </c>
      <c r="V962" s="6">
        <v>0.8</v>
      </c>
      <c r="W962" s="7">
        <v>6.875</v>
      </c>
      <c r="X962" s="7">
        <v>7.125</v>
      </c>
      <c r="Y962" s="6">
        <v>6.75</v>
      </c>
      <c r="Z962" s="5">
        <v>10.5</v>
      </c>
      <c r="AA962" s="6">
        <v>15.32</v>
      </c>
      <c r="AB962" s="7">
        <v>9.7330000000000005</v>
      </c>
      <c r="AC962" s="6">
        <v>570.4</v>
      </c>
    </row>
    <row r="963" spans="1:29" ht="156" x14ac:dyDescent="0.15">
      <c r="A963" s="3">
        <f>DATE(1992,10,22)</f>
        <v>33899</v>
      </c>
      <c r="B963" s="3">
        <f>DATE(1993,6,30)</f>
        <v>34150</v>
      </c>
      <c r="C963" s="2" t="s">
        <v>95</v>
      </c>
      <c r="D963" s="2" t="s">
        <v>3284</v>
      </c>
      <c r="E963" s="2" t="s">
        <v>389</v>
      </c>
      <c r="F963" s="4">
        <v>6035</v>
      </c>
      <c r="G963" s="2" t="s">
        <v>33</v>
      </c>
      <c r="H963" s="2" t="s">
        <v>34</v>
      </c>
      <c r="I963" s="2" t="s">
        <v>2694</v>
      </c>
      <c r="J963" s="2" t="s">
        <v>36</v>
      </c>
      <c r="K963" s="2" t="s">
        <v>37</v>
      </c>
      <c r="L963" s="2" t="s">
        <v>34</v>
      </c>
      <c r="M963" s="2"/>
      <c r="N963" s="6">
        <v>34.75</v>
      </c>
      <c r="O963" s="7">
        <v>34.375</v>
      </c>
      <c r="P963" s="2" t="s">
        <v>3285</v>
      </c>
      <c r="Q963" s="6">
        <v>100</v>
      </c>
      <c r="R963" s="6">
        <v>35.6</v>
      </c>
      <c r="S963" s="2"/>
      <c r="T963" s="2"/>
      <c r="U963" s="5">
        <v>22.1</v>
      </c>
      <c r="V963" s="2"/>
      <c r="W963" s="6">
        <v>21.75</v>
      </c>
      <c r="X963" s="4">
        <v>22</v>
      </c>
      <c r="Y963" s="4">
        <v>27</v>
      </c>
      <c r="Z963" s="4">
        <v>28</v>
      </c>
      <c r="AA963" s="6">
        <v>0.55000000000000004</v>
      </c>
      <c r="AB963" s="2" t="s">
        <v>47</v>
      </c>
      <c r="AC963" s="2"/>
    </row>
    <row r="964" spans="1:29" ht="143" x14ac:dyDescent="0.15">
      <c r="A964" s="3">
        <f>DATE(1992,10,23)</f>
        <v>33900</v>
      </c>
      <c r="B964" s="3">
        <f>DATE(1993,3,15)</f>
        <v>34043</v>
      </c>
      <c r="C964" s="2" t="s">
        <v>95</v>
      </c>
      <c r="D964" s="2" t="s">
        <v>3286</v>
      </c>
      <c r="E964" s="2" t="s">
        <v>36</v>
      </c>
      <c r="F964" s="4">
        <v>6021</v>
      </c>
      <c r="G964" s="2" t="s">
        <v>37</v>
      </c>
      <c r="H964" s="2" t="s">
        <v>34</v>
      </c>
      <c r="I964" s="2" t="s">
        <v>2900</v>
      </c>
      <c r="J964" s="2" t="s">
        <v>265</v>
      </c>
      <c r="K964" s="2" t="s">
        <v>37</v>
      </c>
      <c r="L964" s="2" t="s">
        <v>34</v>
      </c>
      <c r="M964" s="2"/>
      <c r="N964" s="5">
        <v>39.5</v>
      </c>
      <c r="O964" s="5">
        <v>39.5</v>
      </c>
      <c r="P964" s="2" t="s">
        <v>3287</v>
      </c>
      <c r="Q964" s="6">
        <v>100</v>
      </c>
      <c r="R964" s="6">
        <v>19.75</v>
      </c>
      <c r="S964" s="5">
        <v>3.9</v>
      </c>
      <c r="T964" s="7">
        <v>6.9329999999999998</v>
      </c>
      <c r="U964" s="5">
        <v>10.6</v>
      </c>
      <c r="V964" s="2"/>
      <c r="W964" s="4">
        <v>12</v>
      </c>
      <c r="X964" s="7">
        <v>11.875</v>
      </c>
      <c r="Y964" s="4">
        <v>17</v>
      </c>
      <c r="Z964" s="6">
        <v>17.25</v>
      </c>
      <c r="AA964" s="6">
        <v>2.5499999999999998</v>
      </c>
      <c r="AB964" s="7">
        <v>49.353000000000002</v>
      </c>
      <c r="AC964" s="2"/>
    </row>
    <row r="965" spans="1:29" ht="117" x14ac:dyDescent="0.15">
      <c r="A965" s="3">
        <f>DATE(1992,10,23)</f>
        <v>33900</v>
      </c>
      <c r="B965" s="2"/>
      <c r="C965" s="2" t="s">
        <v>82</v>
      </c>
      <c r="D965" s="2" t="s">
        <v>3288</v>
      </c>
      <c r="E965" s="2" t="s">
        <v>344</v>
      </c>
      <c r="F965" s="4">
        <v>6035</v>
      </c>
      <c r="G965" s="2" t="s">
        <v>33</v>
      </c>
      <c r="H965" s="2" t="s">
        <v>34</v>
      </c>
      <c r="I965" s="2" t="s">
        <v>3289</v>
      </c>
      <c r="J965" s="2" t="s">
        <v>159</v>
      </c>
      <c r="K965" s="2" t="s">
        <v>37</v>
      </c>
      <c r="L965" s="2" t="s">
        <v>34</v>
      </c>
      <c r="M965" s="2"/>
      <c r="N965" s="2"/>
      <c r="O965" s="2"/>
      <c r="P965" s="2" t="s">
        <v>3290</v>
      </c>
      <c r="Q965" s="2"/>
      <c r="R965" s="6">
        <v>26.75</v>
      </c>
      <c r="S965" s="2"/>
      <c r="T965" s="2"/>
      <c r="U965" s="2"/>
      <c r="V965" s="2"/>
      <c r="W965" s="4">
        <v>19</v>
      </c>
      <c r="X965" s="4">
        <v>23</v>
      </c>
      <c r="Y965" s="4">
        <v>21</v>
      </c>
      <c r="Z965" s="4">
        <v>22</v>
      </c>
      <c r="AA965" s="6">
        <v>1.39</v>
      </c>
      <c r="AB965" s="2" t="s">
        <v>47</v>
      </c>
      <c r="AC965" s="2"/>
    </row>
    <row r="966" spans="1:29" ht="26" x14ac:dyDescent="0.15">
      <c r="A966" s="3">
        <f>DATE(1992,10,26)</f>
        <v>33903</v>
      </c>
      <c r="B966" s="2"/>
      <c r="C966" s="2" t="s">
        <v>30</v>
      </c>
      <c r="D966" s="2" t="s">
        <v>3291</v>
      </c>
      <c r="E966" s="2" t="s">
        <v>3292</v>
      </c>
      <c r="F966" s="4">
        <v>2836</v>
      </c>
      <c r="G966" s="2" t="s">
        <v>130</v>
      </c>
      <c r="H966" s="2" t="s">
        <v>34</v>
      </c>
      <c r="I966" s="2" t="s">
        <v>138</v>
      </c>
      <c r="J966" s="2" t="s">
        <v>139</v>
      </c>
      <c r="K966" s="2" t="s">
        <v>53</v>
      </c>
      <c r="L966" s="2" t="s">
        <v>139</v>
      </c>
      <c r="M966" s="2"/>
      <c r="N966" s="2"/>
      <c r="O966" s="2"/>
      <c r="P966" s="2" t="s">
        <v>3293</v>
      </c>
      <c r="Q966" s="2"/>
      <c r="R966" s="2"/>
      <c r="S966" s="5">
        <v>-46</v>
      </c>
      <c r="T966" s="2"/>
      <c r="U966" s="5">
        <v>2.2000000000000002</v>
      </c>
      <c r="V966" s="2"/>
      <c r="W966" s="7">
        <v>6.125</v>
      </c>
      <c r="X966" s="7">
        <v>6.625</v>
      </c>
      <c r="Y966" s="6">
        <v>7.75</v>
      </c>
      <c r="Z966" s="5">
        <v>7.5</v>
      </c>
      <c r="AA966" s="6">
        <v>9.8000000000000007</v>
      </c>
      <c r="AB966" s="2" t="s">
        <v>86</v>
      </c>
      <c r="AC966" s="2"/>
    </row>
    <row r="967" spans="1:29" ht="117" x14ac:dyDescent="0.15">
      <c r="A967" s="3">
        <f>DATE(1992,10,27)</f>
        <v>33904</v>
      </c>
      <c r="B967" s="3">
        <f>DATE(1994,2,16)</f>
        <v>34381</v>
      </c>
      <c r="C967" s="2" t="s">
        <v>95</v>
      </c>
      <c r="D967" s="2" t="s">
        <v>3294</v>
      </c>
      <c r="E967" s="2" t="s">
        <v>3295</v>
      </c>
      <c r="F967" s="4">
        <v>8748</v>
      </c>
      <c r="G967" s="2" t="s">
        <v>223</v>
      </c>
      <c r="H967" s="2" t="s">
        <v>34</v>
      </c>
      <c r="I967" s="2" t="s">
        <v>3296</v>
      </c>
      <c r="J967" s="2" t="s">
        <v>3297</v>
      </c>
      <c r="K967" s="2" t="s">
        <v>223</v>
      </c>
      <c r="L967" s="2" t="s">
        <v>34</v>
      </c>
      <c r="M967" s="2"/>
      <c r="N967" s="7">
        <v>1.625</v>
      </c>
      <c r="O967" s="7">
        <v>1.6879999999999999</v>
      </c>
      <c r="P967" s="2" t="s">
        <v>3298</v>
      </c>
      <c r="Q967" s="6">
        <v>100</v>
      </c>
      <c r="R967" s="2"/>
      <c r="S967" s="2"/>
      <c r="T967" s="2"/>
      <c r="U967" s="2"/>
      <c r="V967" s="2"/>
      <c r="W967" s="9">
        <v>1.0625</v>
      </c>
      <c r="X967" s="6">
        <v>1.75</v>
      </c>
      <c r="Y967" s="7">
        <v>1.625</v>
      </c>
      <c r="Z967" s="9">
        <v>1.6875</v>
      </c>
      <c r="AA967" s="2"/>
      <c r="AB967" s="2" t="s">
        <v>47</v>
      </c>
      <c r="AC967" s="2"/>
    </row>
    <row r="968" spans="1:29" ht="117" x14ac:dyDescent="0.15">
      <c r="A968" s="3">
        <f>DATE(1992,10,28)</f>
        <v>33905</v>
      </c>
      <c r="B968" s="2"/>
      <c r="C968" s="2" t="s">
        <v>30</v>
      </c>
      <c r="D968" s="2" t="s">
        <v>3299</v>
      </c>
      <c r="E968" s="2" t="s">
        <v>3300</v>
      </c>
      <c r="F968" s="4">
        <v>6311</v>
      </c>
      <c r="G968" s="2" t="s">
        <v>125</v>
      </c>
      <c r="H968" s="2" t="s">
        <v>34</v>
      </c>
      <c r="I968" s="2" t="s">
        <v>3301</v>
      </c>
      <c r="J968" s="2" t="s">
        <v>746</v>
      </c>
      <c r="K968" s="2" t="s">
        <v>125</v>
      </c>
      <c r="L968" s="2" t="s">
        <v>34</v>
      </c>
      <c r="M968" s="2"/>
      <c r="N968" s="2"/>
      <c r="O968" s="2"/>
      <c r="P968" s="2" t="s">
        <v>3302</v>
      </c>
      <c r="Q968" s="2"/>
      <c r="R968" s="2"/>
      <c r="S968" s="5">
        <v>3.6</v>
      </c>
      <c r="T968" s="2"/>
      <c r="U968" s="5">
        <v>2.5</v>
      </c>
      <c r="V968" s="2"/>
      <c r="W968" s="7">
        <v>1.4379999999999999</v>
      </c>
      <c r="X968" s="7">
        <v>1.4379999999999999</v>
      </c>
      <c r="Y968" s="6">
        <v>1.75</v>
      </c>
      <c r="Z968" s="4">
        <v>2</v>
      </c>
      <c r="AA968" s="2"/>
      <c r="AB968" s="2" t="s">
        <v>47</v>
      </c>
      <c r="AC968" s="2"/>
    </row>
    <row r="969" spans="1:29" ht="143" x14ac:dyDescent="0.15">
      <c r="A969" s="3">
        <f>DATE(1992,10,28)</f>
        <v>33905</v>
      </c>
      <c r="B969" s="2"/>
      <c r="C969" s="2" t="s">
        <v>30</v>
      </c>
      <c r="D969" s="2" t="s">
        <v>3303</v>
      </c>
      <c r="E969" s="2" t="s">
        <v>36</v>
      </c>
      <c r="F969" s="4">
        <v>6021</v>
      </c>
      <c r="G969" s="2" t="s">
        <v>37</v>
      </c>
      <c r="H969" s="2" t="s">
        <v>34</v>
      </c>
      <c r="I969" s="2" t="s">
        <v>2652</v>
      </c>
      <c r="J969" s="2" t="s">
        <v>36</v>
      </c>
      <c r="K969" s="2" t="s">
        <v>37</v>
      </c>
      <c r="L969" s="2" t="s">
        <v>34</v>
      </c>
      <c r="M969" s="5">
        <v>338</v>
      </c>
      <c r="N969" s="7">
        <v>13.875</v>
      </c>
      <c r="O969" s="7">
        <v>13.625</v>
      </c>
      <c r="P969" s="2" t="s">
        <v>3304</v>
      </c>
      <c r="Q969" s="2"/>
      <c r="R969" s="6">
        <v>20.02</v>
      </c>
      <c r="S969" s="5">
        <v>5.0999999999999996</v>
      </c>
      <c r="T969" s="7">
        <v>8.3439999999999994</v>
      </c>
      <c r="U969" s="5">
        <v>8</v>
      </c>
      <c r="V969" s="9">
        <v>0.52339999999999998</v>
      </c>
      <c r="W969" s="4">
        <v>12</v>
      </c>
      <c r="X969" s="6">
        <v>12.25</v>
      </c>
      <c r="Y969" s="6">
        <v>12.25</v>
      </c>
      <c r="Z969" s="5">
        <v>17.5</v>
      </c>
      <c r="AA969" s="6">
        <v>5.4</v>
      </c>
      <c r="AB969" s="7">
        <v>48.216999999999999</v>
      </c>
      <c r="AC969" s="2"/>
    </row>
    <row r="970" spans="1:29" ht="65" x14ac:dyDescent="0.15">
      <c r="A970" s="3">
        <f>DATE(1992,11,4)</f>
        <v>33912</v>
      </c>
      <c r="B970" s="3">
        <f>DATE(1992,12,14)</f>
        <v>33952</v>
      </c>
      <c r="C970" s="2" t="s">
        <v>95</v>
      </c>
      <c r="D970" s="2" t="s">
        <v>2701</v>
      </c>
      <c r="E970" s="2" t="s">
        <v>177</v>
      </c>
      <c r="F970" s="4">
        <v>1311</v>
      </c>
      <c r="G970" s="2" t="s">
        <v>148</v>
      </c>
      <c r="H970" s="2" t="s">
        <v>34</v>
      </c>
      <c r="I970" s="2" t="s">
        <v>3305</v>
      </c>
      <c r="J970" s="2" t="s">
        <v>612</v>
      </c>
      <c r="K970" s="2" t="s">
        <v>148</v>
      </c>
      <c r="L970" s="2" t="s">
        <v>34</v>
      </c>
      <c r="M970" s="2"/>
      <c r="N970" s="2"/>
      <c r="O970" s="2"/>
      <c r="P970" s="2" t="s">
        <v>3306</v>
      </c>
      <c r="Q970" s="2"/>
      <c r="R970" s="2"/>
      <c r="S970" s="5">
        <v>-0.2</v>
      </c>
      <c r="T970" s="7">
        <v>-9.7000000000000003E-2</v>
      </c>
      <c r="U970" s="5">
        <v>0.4</v>
      </c>
      <c r="V970" s="6">
        <v>-0.11</v>
      </c>
      <c r="W970" s="4">
        <v>1</v>
      </c>
      <c r="X970" s="4">
        <v>1</v>
      </c>
      <c r="Y970" s="4">
        <v>1</v>
      </c>
      <c r="Z970" s="4">
        <v>1</v>
      </c>
      <c r="AA970" s="6">
        <v>1.44</v>
      </c>
      <c r="AB970" s="2" t="s">
        <v>86</v>
      </c>
      <c r="AC970" s="2"/>
    </row>
    <row r="971" spans="1:29" ht="156" x14ac:dyDescent="0.15">
      <c r="A971" s="3">
        <f>DATE(1992,11,6)</f>
        <v>33914</v>
      </c>
      <c r="B971" s="3">
        <f>DATE(1993,7,23)</f>
        <v>34173</v>
      </c>
      <c r="C971" s="2" t="s">
        <v>95</v>
      </c>
      <c r="D971" s="2" t="s">
        <v>2076</v>
      </c>
      <c r="E971" s="2" t="s">
        <v>2077</v>
      </c>
      <c r="F971" s="4">
        <v>8351</v>
      </c>
      <c r="G971" s="2" t="s">
        <v>690</v>
      </c>
      <c r="H971" s="2" t="s">
        <v>34</v>
      </c>
      <c r="I971" s="2" t="s">
        <v>3307</v>
      </c>
      <c r="J971" s="2" t="s">
        <v>52</v>
      </c>
      <c r="K971" s="2" t="s">
        <v>53</v>
      </c>
      <c r="L971" s="2" t="s">
        <v>34</v>
      </c>
      <c r="M971" s="2"/>
      <c r="N971" s="2"/>
      <c r="O971" s="2"/>
      <c r="P971" s="2" t="s">
        <v>3308</v>
      </c>
      <c r="Q971" s="6">
        <v>91.01</v>
      </c>
      <c r="R971" s="6">
        <v>10</v>
      </c>
      <c r="S971" s="5">
        <v>-2.1</v>
      </c>
      <c r="T971" s="7">
        <v>19.539000000000001</v>
      </c>
      <c r="U971" s="5">
        <v>4.9000000000000004</v>
      </c>
      <c r="V971" s="6">
        <v>-0.13</v>
      </c>
      <c r="W971" s="7">
        <v>8.125</v>
      </c>
      <c r="X971" s="4">
        <v>9</v>
      </c>
      <c r="Y971" s="7">
        <v>8.375</v>
      </c>
      <c r="Z971" s="6">
        <v>8.75</v>
      </c>
      <c r="AA971" s="6">
        <v>17.309999999999999</v>
      </c>
      <c r="AB971" s="7">
        <v>18.297000000000001</v>
      </c>
      <c r="AC971" s="2"/>
    </row>
    <row r="972" spans="1:29" ht="65" x14ac:dyDescent="0.15">
      <c r="A972" s="3">
        <f>DATE(1992,11,6)</f>
        <v>33914</v>
      </c>
      <c r="B972" s="2"/>
      <c r="C972" s="2" t="s">
        <v>39</v>
      </c>
      <c r="D972" s="2" t="s">
        <v>3309</v>
      </c>
      <c r="E972" s="2" t="s">
        <v>3310</v>
      </c>
      <c r="F972" s="4">
        <v>5399</v>
      </c>
      <c r="G972" s="2" t="s">
        <v>756</v>
      </c>
      <c r="H972" s="2" t="s">
        <v>34</v>
      </c>
      <c r="I972" s="2" t="s">
        <v>138</v>
      </c>
      <c r="J972" s="2" t="s">
        <v>139</v>
      </c>
      <c r="K972" s="2" t="s">
        <v>53</v>
      </c>
      <c r="L972" s="2" t="s">
        <v>139</v>
      </c>
      <c r="M972" s="2"/>
      <c r="N972" s="2"/>
      <c r="O972" s="2"/>
      <c r="P972" s="2" t="s">
        <v>3311</v>
      </c>
      <c r="Q972" s="2"/>
      <c r="R972" s="2"/>
      <c r="S972" s="5">
        <v>129.1</v>
      </c>
      <c r="T972" s="7">
        <v>277.339</v>
      </c>
      <c r="U972" s="5">
        <v>17.399999999999999</v>
      </c>
      <c r="V972" s="6">
        <v>2.54</v>
      </c>
      <c r="W972" s="6">
        <v>35.25</v>
      </c>
      <c r="X972" s="6">
        <v>37.25</v>
      </c>
      <c r="Y972" s="6">
        <v>43.75</v>
      </c>
      <c r="Z972" s="5">
        <v>41.5</v>
      </c>
      <c r="AA972" s="6">
        <v>46.76</v>
      </c>
      <c r="AB972" s="2" t="s">
        <v>47</v>
      </c>
      <c r="AC972" s="2"/>
    </row>
    <row r="973" spans="1:29" ht="156" x14ac:dyDescent="0.15">
      <c r="A973" s="3">
        <f>DATE(1992,11,9)</f>
        <v>33917</v>
      </c>
      <c r="B973" s="3">
        <f>DATE(1993,6,1)</f>
        <v>34121</v>
      </c>
      <c r="C973" s="2" t="s">
        <v>95</v>
      </c>
      <c r="D973" s="2" t="s">
        <v>3312</v>
      </c>
      <c r="E973" s="2" t="s">
        <v>36</v>
      </c>
      <c r="F973" s="4">
        <v>6021</v>
      </c>
      <c r="G973" s="2" t="s">
        <v>37</v>
      </c>
      <c r="H973" s="2" t="s">
        <v>34</v>
      </c>
      <c r="I973" s="2" t="s">
        <v>2830</v>
      </c>
      <c r="J973" s="2" t="s">
        <v>36</v>
      </c>
      <c r="K973" s="2" t="s">
        <v>37</v>
      </c>
      <c r="L973" s="2" t="s">
        <v>34</v>
      </c>
      <c r="M973" s="12">
        <v>2233.1129999999998</v>
      </c>
      <c r="N973" s="7">
        <v>25.125</v>
      </c>
      <c r="O973" s="5">
        <v>25.5</v>
      </c>
      <c r="P973" s="2" t="s">
        <v>3313</v>
      </c>
      <c r="Q973" s="6">
        <v>95.44</v>
      </c>
      <c r="R973" s="6">
        <v>44.09</v>
      </c>
      <c r="S973" s="5">
        <v>10.8</v>
      </c>
      <c r="T973" s="7">
        <v>30.241</v>
      </c>
      <c r="U973" s="5">
        <v>18.3</v>
      </c>
      <c r="V973" s="6">
        <v>0.93</v>
      </c>
      <c r="W973" s="7">
        <v>8.625</v>
      </c>
      <c r="X973" s="4">
        <v>10</v>
      </c>
      <c r="Y973" s="4">
        <v>11</v>
      </c>
      <c r="Z973" s="7">
        <v>11.125</v>
      </c>
      <c r="AA973" s="6">
        <v>12.2</v>
      </c>
      <c r="AB973" s="7">
        <v>146.01499999999999</v>
      </c>
      <c r="AC973" s="2"/>
    </row>
    <row r="974" spans="1:29" ht="117" x14ac:dyDescent="0.15">
      <c r="A974" s="3">
        <f>DATE(1992,11,10)</f>
        <v>33918</v>
      </c>
      <c r="B974" s="3">
        <f>DATE(1993,7,14)</f>
        <v>34164</v>
      </c>
      <c r="C974" s="2" t="s">
        <v>95</v>
      </c>
      <c r="D974" s="2" t="s">
        <v>3314</v>
      </c>
      <c r="E974" s="2" t="s">
        <v>3315</v>
      </c>
      <c r="F974" s="4">
        <v>1623</v>
      </c>
      <c r="G974" s="2" t="s">
        <v>341</v>
      </c>
      <c r="H974" s="2" t="s">
        <v>34</v>
      </c>
      <c r="I974" s="2" t="s">
        <v>3316</v>
      </c>
      <c r="J974" s="2" t="s">
        <v>3317</v>
      </c>
      <c r="K974" s="2" t="s">
        <v>341</v>
      </c>
      <c r="L974" s="2" t="s">
        <v>34</v>
      </c>
      <c r="M974" s="2"/>
      <c r="N974" s="6">
        <v>22.75</v>
      </c>
      <c r="O974" s="6">
        <v>22.75</v>
      </c>
      <c r="P974" s="2" t="s">
        <v>3318</v>
      </c>
      <c r="Q974" s="6">
        <v>100</v>
      </c>
      <c r="R974" s="6">
        <v>5.15</v>
      </c>
      <c r="S974" s="5">
        <v>1.4</v>
      </c>
      <c r="T974" s="7">
        <v>3.145</v>
      </c>
      <c r="U974" s="5">
        <v>2.7</v>
      </c>
      <c r="V974" s="6">
        <v>0.32</v>
      </c>
      <c r="W974" s="7">
        <v>3.875</v>
      </c>
      <c r="X974" s="7">
        <v>4.625</v>
      </c>
      <c r="Y974" s="7">
        <v>5.3129999999999997</v>
      </c>
      <c r="Z974" s="7">
        <v>5.4379999999999997</v>
      </c>
      <c r="AA974" s="6">
        <v>4.47</v>
      </c>
      <c r="AB974" s="7">
        <v>10.179</v>
      </c>
      <c r="AC974" s="2"/>
    </row>
    <row r="975" spans="1:29" ht="104" x14ac:dyDescent="0.15">
      <c r="A975" s="3">
        <f>DATE(1992,11,12)</f>
        <v>33920</v>
      </c>
      <c r="B975" s="3">
        <f>DATE(1993,6,28)</f>
        <v>34148</v>
      </c>
      <c r="C975" s="2" t="s">
        <v>95</v>
      </c>
      <c r="D975" s="2" t="s">
        <v>3319</v>
      </c>
      <c r="E975" s="2" t="s">
        <v>36</v>
      </c>
      <c r="F975" s="4">
        <v>6021</v>
      </c>
      <c r="G975" s="2" t="s">
        <v>37</v>
      </c>
      <c r="H975" s="2" t="s">
        <v>34</v>
      </c>
      <c r="I975" s="2" t="s">
        <v>390</v>
      </c>
      <c r="J975" s="2" t="s">
        <v>159</v>
      </c>
      <c r="K975" s="2" t="s">
        <v>37</v>
      </c>
      <c r="L975" s="2" t="s">
        <v>34</v>
      </c>
      <c r="M975" s="2"/>
      <c r="N975" s="6">
        <v>19.75</v>
      </c>
      <c r="O975" s="7">
        <v>19.375</v>
      </c>
      <c r="P975" s="2" t="s">
        <v>3320</v>
      </c>
      <c r="Q975" s="6">
        <v>100</v>
      </c>
      <c r="R975" s="6">
        <v>25.5</v>
      </c>
      <c r="S975" s="5">
        <v>6.9</v>
      </c>
      <c r="T975" s="7">
        <v>10.804</v>
      </c>
      <c r="U975" s="5">
        <v>13.8</v>
      </c>
      <c r="V975" s="6">
        <v>1.53</v>
      </c>
      <c r="W975" s="5">
        <v>19.5</v>
      </c>
      <c r="X975" s="4">
        <v>20</v>
      </c>
      <c r="Y975" s="6">
        <v>22.25</v>
      </c>
      <c r="Z975" s="7">
        <v>23.375</v>
      </c>
      <c r="AA975" s="6">
        <v>5.16</v>
      </c>
      <c r="AB975" s="2" t="s">
        <v>86</v>
      </c>
      <c r="AC975" s="2"/>
    </row>
    <row r="976" spans="1:29" ht="169" x14ac:dyDescent="0.15">
      <c r="A976" s="3">
        <f>DATE(1992,11,13)</f>
        <v>33921</v>
      </c>
      <c r="B976" s="3">
        <f>DATE(1993,5,7)</f>
        <v>34096</v>
      </c>
      <c r="C976" s="2" t="s">
        <v>95</v>
      </c>
      <c r="D976" s="2" t="s">
        <v>1252</v>
      </c>
      <c r="E976" s="2" t="s">
        <v>1253</v>
      </c>
      <c r="F976" s="4">
        <v>4953</v>
      </c>
      <c r="G976" s="2" t="s">
        <v>116</v>
      </c>
      <c r="H976" s="2" t="s">
        <v>34</v>
      </c>
      <c r="I976" s="2" t="s">
        <v>3321</v>
      </c>
      <c r="J976" s="2" t="s">
        <v>3322</v>
      </c>
      <c r="K976" s="2" t="s">
        <v>223</v>
      </c>
      <c r="L976" s="2" t="s">
        <v>34</v>
      </c>
      <c r="M976" s="2"/>
      <c r="N976" s="2"/>
      <c r="O976" s="2"/>
      <c r="P976" s="2" t="s">
        <v>3323</v>
      </c>
      <c r="Q976" s="6">
        <v>44.16</v>
      </c>
      <c r="R976" s="6">
        <v>18.75</v>
      </c>
      <c r="S976" s="5">
        <v>20.6</v>
      </c>
      <c r="T976" s="7">
        <v>48.161000000000001</v>
      </c>
      <c r="U976" s="5">
        <v>7.3</v>
      </c>
      <c r="V976" s="6">
        <v>0.93</v>
      </c>
      <c r="W976" s="5">
        <v>16.5</v>
      </c>
      <c r="X976" s="7">
        <v>17.875</v>
      </c>
      <c r="Y976" s="5">
        <v>20.5</v>
      </c>
      <c r="Z976" s="4">
        <v>20</v>
      </c>
      <c r="AA976" s="6">
        <v>22.52</v>
      </c>
      <c r="AB976" s="7">
        <v>13.968</v>
      </c>
      <c r="AC976" s="2"/>
    </row>
    <row r="977" spans="1:29" ht="156" x14ac:dyDescent="0.15">
      <c r="A977" s="3">
        <f>DATE(1992,11,16)</f>
        <v>33924</v>
      </c>
      <c r="B977" s="3">
        <f>DATE(1993,6,11)</f>
        <v>34131</v>
      </c>
      <c r="C977" s="2" t="s">
        <v>95</v>
      </c>
      <c r="D977" s="2" t="s">
        <v>3324</v>
      </c>
      <c r="E977" s="2" t="s">
        <v>203</v>
      </c>
      <c r="F977" s="4">
        <v>6035</v>
      </c>
      <c r="G977" s="2" t="s">
        <v>33</v>
      </c>
      <c r="H977" s="2" t="s">
        <v>34</v>
      </c>
      <c r="I977" s="2" t="s">
        <v>2652</v>
      </c>
      <c r="J977" s="2" t="s">
        <v>36</v>
      </c>
      <c r="K977" s="2" t="s">
        <v>37</v>
      </c>
      <c r="L977" s="2" t="s">
        <v>34</v>
      </c>
      <c r="M977" s="7">
        <v>380.49200000000002</v>
      </c>
      <c r="N977" s="5">
        <v>14.5</v>
      </c>
      <c r="O977" s="5">
        <v>14.5</v>
      </c>
      <c r="P977" s="2" t="s">
        <v>3325</v>
      </c>
      <c r="Q977" s="6">
        <v>100</v>
      </c>
      <c r="R977" s="6">
        <v>10</v>
      </c>
      <c r="S977" s="5">
        <v>6.3</v>
      </c>
      <c r="T977" s="7">
        <v>11.071999999999999</v>
      </c>
      <c r="U977" s="5">
        <v>11.1</v>
      </c>
      <c r="V977" s="6">
        <v>2.94</v>
      </c>
      <c r="W977" s="4">
        <v>6</v>
      </c>
      <c r="X977" s="5">
        <v>6.5</v>
      </c>
      <c r="Y977" s="5">
        <v>6.5</v>
      </c>
      <c r="Z977" s="5">
        <v>8.5</v>
      </c>
      <c r="AA977" s="6">
        <v>2.15</v>
      </c>
      <c r="AB977" s="7">
        <v>49.860999999999997</v>
      </c>
      <c r="AC977" s="2"/>
    </row>
    <row r="978" spans="1:29" ht="143" x14ac:dyDescent="0.15">
      <c r="A978" s="3">
        <f t="shared" ref="A978:A983" si="2">DATE(1992,11,17)</f>
        <v>33925</v>
      </c>
      <c r="B978" s="3">
        <f>DATE(1993,3,24)</f>
        <v>34052</v>
      </c>
      <c r="C978" s="2" t="s">
        <v>95</v>
      </c>
      <c r="D978" s="2" t="s">
        <v>3326</v>
      </c>
      <c r="E978" s="2" t="s">
        <v>92</v>
      </c>
      <c r="F978" s="4">
        <v>6798</v>
      </c>
      <c r="G978" s="2" t="s">
        <v>53</v>
      </c>
      <c r="H978" s="2" t="s">
        <v>34</v>
      </c>
      <c r="I978" s="2" t="s">
        <v>3327</v>
      </c>
      <c r="J978" s="2" t="s">
        <v>3328</v>
      </c>
      <c r="K978" s="2" t="s">
        <v>226</v>
      </c>
      <c r="L978" s="2" t="s">
        <v>34</v>
      </c>
      <c r="M978" s="2"/>
      <c r="N978" s="2"/>
      <c r="O978" s="2"/>
      <c r="P978" s="2" t="s">
        <v>3329</v>
      </c>
      <c r="Q978" s="6">
        <v>100</v>
      </c>
      <c r="R978" s="6">
        <v>3</v>
      </c>
      <c r="S978" s="5">
        <v>-7.3</v>
      </c>
      <c r="T978" s="2"/>
      <c r="U978" s="2"/>
      <c r="V978" s="6">
        <v>-3.52</v>
      </c>
      <c r="W978" s="7">
        <v>1.875</v>
      </c>
      <c r="X978" s="7">
        <v>1.875</v>
      </c>
      <c r="Y978" s="7">
        <v>1.875</v>
      </c>
      <c r="Z978" s="4">
        <v>2</v>
      </c>
      <c r="AA978" s="6">
        <v>2.4700000000000002</v>
      </c>
      <c r="AB978" s="2" t="s">
        <v>47</v>
      </c>
      <c r="AC978" s="2"/>
    </row>
    <row r="979" spans="1:29" ht="156" x14ac:dyDescent="0.15">
      <c r="A979" s="3">
        <f t="shared" si="2"/>
        <v>33925</v>
      </c>
      <c r="B979" s="3">
        <f>DATE(1993,8,31)</f>
        <v>34212</v>
      </c>
      <c r="C979" s="2" t="s">
        <v>95</v>
      </c>
      <c r="D979" s="2" t="s">
        <v>3330</v>
      </c>
      <c r="E979" s="2" t="s">
        <v>389</v>
      </c>
      <c r="F979" s="4">
        <v>6036</v>
      </c>
      <c r="G979" s="2" t="s">
        <v>33</v>
      </c>
      <c r="H979" s="2" t="s">
        <v>34</v>
      </c>
      <c r="I979" s="2" t="s">
        <v>3331</v>
      </c>
      <c r="J979" s="2" t="s">
        <v>36</v>
      </c>
      <c r="K979" s="2" t="s">
        <v>37</v>
      </c>
      <c r="L979" s="2" t="s">
        <v>34</v>
      </c>
      <c r="M979" s="7">
        <v>299.43400000000003</v>
      </c>
      <c r="N979" s="5">
        <v>25.5</v>
      </c>
      <c r="O979" s="7">
        <v>26.875</v>
      </c>
      <c r="P979" s="2" t="s">
        <v>3332</v>
      </c>
      <c r="Q979" s="6">
        <v>100</v>
      </c>
      <c r="R979" s="6">
        <v>29.7</v>
      </c>
      <c r="S979" s="5">
        <v>10</v>
      </c>
      <c r="T979" s="6">
        <v>18.16</v>
      </c>
      <c r="U979" s="5">
        <v>16.100000000000001</v>
      </c>
      <c r="V979" s="6">
        <v>1.6</v>
      </c>
      <c r="W979" s="6">
        <v>17.25</v>
      </c>
      <c r="X979" s="4">
        <v>18</v>
      </c>
      <c r="Y979" s="5">
        <v>18.5</v>
      </c>
      <c r="Z979" s="6">
        <v>21.25</v>
      </c>
      <c r="AA979" s="6">
        <v>5.84</v>
      </c>
      <c r="AB979" s="7">
        <v>66.22</v>
      </c>
      <c r="AC979" s="2"/>
    </row>
    <row r="980" spans="1:29" ht="156" x14ac:dyDescent="0.15">
      <c r="A980" s="3">
        <f t="shared" si="2"/>
        <v>33925</v>
      </c>
      <c r="B980" s="3">
        <f>DATE(1993,2,19)</f>
        <v>34019</v>
      </c>
      <c r="C980" s="2" t="s">
        <v>95</v>
      </c>
      <c r="D980" s="2" t="s">
        <v>3333</v>
      </c>
      <c r="E980" s="2" t="s">
        <v>3334</v>
      </c>
      <c r="F980" s="4">
        <v>3433</v>
      </c>
      <c r="G980" s="2" t="s">
        <v>163</v>
      </c>
      <c r="H980" s="2" t="s">
        <v>34</v>
      </c>
      <c r="I980" s="2" t="s">
        <v>3335</v>
      </c>
      <c r="J980" s="2" t="s">
        <v>3336</v>
      </c>
      <c r="K980" s="2" t="s">
        <v>105</v>
      </c>
      <c r="L980" s="2" t="s">
        <v>34</v>
      </c>
      <c r="M980" s="2"/>
      <c r="N980" s="2"/>
      <c r="O980" s="2"/>
      <c r="P980" s="2" t="s">
        <v>3337</v>
      </c>
      <c r="Q980" s="6">
        <v>99.99</v>
      </c>
      <c r="R980" s="6">
        <v>10.5</v>
      </c>
      <c r="S980" s="5">
        <v>0.8</v>
      </c>
      <c r="T980" s="7">
        <v>1.7130000000000001</v>
      </c>
      <c r="U980" s="5">
        <v>8.3000000000000007</v>
      </c>
      <c r="V980" s="2"/>
      <c r="W980" s="5">
        <v>5.5</v>
      </c>
      <c r="X980" s="5">
        <v>5.5</v>
      </c>
      <c r="Y980" s="6">
        <v>5.75</v>
      </c>
      <c r="Z980" s="6">
        <v>6.25</v>
      </c>
      <c r="AA980" s="6">
        <v>0.86</v>
      </c>
      <c r="AB980" s="7">
        <v>9.0370000000000008</v>
      </c>
      <c r="AC980" s="2"/>
    </row>
    <row r="981" spans="1:29" ht="143" x14ac:dyDescent="0.15">
      <c r="A981" s="3">
        <f t="shared" si="2"/>
        <v>33925</v>
      </c>
      <c r="B981" s="2"/>
      <c r="C981" s="2" t="s">
        <v>30</v>
      </c>
      <c r="D981" s="2" t="s">
        <v>3338</v>
      </c>
      <c r="E981" s="2" t="s">
        <v>3339</v>
      </c>
      <c r="F981" s="4">
        <v>7231</v>
      </c>
      <c r="G981" s="2" t="s">
        <v>1517</v>
      </c>
      <c r="H981" s="2" t="s">
        <v>34</v>
      </c>
      <c r="I981" s="2" t="s">
        <v>3340</v>
      </c>
      <c r="J981" s="2" t="s">
        <v>1032</v>
      </c>
      <c r="K981" s="2" t="s">
        <v>53</v>
      </c>
      <c r="L981" s="2" t="s">
        <v>34</v>
      </c>
      <c r="M981" s="2"/>
      <c r="N981" s="2"/>
      <c r="O981" s="2"/>
      <c r="P981" s="2" t="s">
        <v>3341</v>
      </c>
      <c r="Q981" s="2"/>
      <c r="R981" s="6">
        <v>5</v>
      </c>
      <c r="S981" s="5">
        <v>-12.7</v>
      </c>
      <c r="T981" s="7">
        <v>11.195</v>
      </c>
      <c r="U981" s="5">
        <v>4</v>
      </c>
      <c r="V981" s="6">
        <v>-0.67</v>
      </c>
      <c r="W981" s="6">
        <v>5.25</v>
      </c>
      <c r="X981" s="7">
        <v>5.375</v>
      </c>
      <c r="Y981" s="6">
        <v>5.25</v>
      </c>
      <c r="Z981" s="4">
        <v>5</v>
      </c>
      <c r="AA981" s="6">
        <v>18.690000000000001</v>
      </c>
      <c r="AB981" s="2" t="s">
        <v>86</v>
      </c>
      <c r="AC981" s="2"/>
    </row>
    <row r="982" spans="1:29" ht="156" x14ac:dyDescent="0.15">
      <c r="A982" s="3">
        <f t="shared" si="2"/>
        <v>33925</v>
      </c>
      <c r="B982" s="3">
        <f>DATE(1993,8,3)</f>
        <v>34184</v>
      </c>
      <c r="C982" s="2" t="s">
        <v>95</v>
      </c>
      <c r="D982" s="2" t="s">
        <v>2654</v>
      </c>
      <c r="E982" s="2" t="s">
        <v>2655</v>
      </c>
      <c r="F982" s="4">
        <v>3841</v>
      </c>
      <c r="G982" s="2" t="s">
        <v>226</v>
      </c>
      <c r="H982" s="2" t="s">
        <v>34</v>
      </c>
      <c r="I982" s="2" t="s">
        <v>3342</v>
      </c>
      <c r="J982" s="2" t="s">
        <v>3343</v>
      </c>
      <c r="K982" s="2" t="s">
        <v>226</v>
      </c>
      <c r="L982" s="2" t="s">
        <v>34</v>
      </c>
      <c r="M982" s="2"/>
      <c r="N982" s="2"/>
      <c r="O982" s="2"/>
      <c r="P982" s="2" t="s">
        <v>3344</v>
      </c>
      <c r="Q982" s="6">
        <v>100</v>
      </c>
      <c r="R982" s="2"/>
      <c r="S982" s="5">
        <v>-13.4</v>
      </c>
      <c r="T982" s="7">
        <v>-11.548999999999999</v>
      </c>
      <c r="U982" s="5">
        <v>0.4</v>
      </c>
      <c r="V982" s="6">
        <v>-3.8</v>
      </c>
      <c r="W982" s="7">
        <v>1.125</v>
      </c>
      <c r="X982" s="4">
        <v>1</v>
      </c>
      <c r="Y982" s="4">
        <v>1</v>
      </c>
      <c r="Z982" s="7">
        <v>0.875</v>
      </c>
      <c r="AA982" s="6">
        <v>5.88</v>
      </c>
      <c r="AB982" s="2" t="s">
        <v>86</v>
      </c>
      <c r="AC982" s="2"/>
    </row>
    <row r="983" spans="1:29" ht="156" x14ac:dyDescent="0.15">
      <c r="A983" s="3">
        <f t="shared" si="2"/>
        <v>33925</v>
      </c>
      <c r="B983" s="3">
        <f>DATE(1993,4,21)</f>
        <v>34080</v>
      </c>
      <c r="C983" s="2" t="s">
        <v>95</v>
      </c>
      <c r="D983" s="2" t="s">
        <v>3345</v>
      </c>
      <c r="E983" s="2" t="s">
        <v>203</v>
      </c>
      <c r="F983" s="4">
        <v>6035</v>
      </c>
      <c r="G983" s="2" t="s">
        <v>33</v>
      </c>
      <c r="H983" s="2" t="s">
        <v>34</v>
      </c>
      <c r="I983" s="2" t="s">
        <v>3346</v>
      </c>
      <c r="J983" s="2" t="s">
        <v>36</v>
      </c>
      <c r="K983" s="2" t="s">
        <v>37</v>
      </c>
      <c r="L983" s="2" t="s">
        <v>34</v>
      </c>
      <c r="M983" s="6">
        <v>272.08</v>
      </c>
      <c r="N983" s="6">
        <v>26.75</v>
      </c>
      <c r="O983" s="7">
        <v>26.125</v>
      </c>
      <c r="P983" s="2" t="s">
        <v>3347</v>
      </c>
      <c r="Q983" s="6">
        <v>100</v>
      </c>
      <c r="R983" s="6">
        <v>38.03</v>
      </c>
      <c r="S983" s="5">
        <v>5.7</v>
      </c>
      <c r="T983" s="7">
        <v>11.039</v>
      </c>
      <c r="U983" s="5">
        <v>29.8</v>
      </c>
      <c r="V983" s="6">
        <v>3.28</v>
      </c>
      <c r="W983" s="5">
        <v>23.5</v>
      </c>
      <c r="X983" s="6">
        <v>22.75</v>
      </c>
      <c r="Y983" s="5">
        <v>23.5</v>
      </c>
      <c r="Z983" s="4">
        <v>26</v>
      </c>
      <c r="AA983" s="6">
        <v>1.73</v>
      </c>
      <c r="AB983" s="7">
        <v>60.76</v>
      </c>
      <c r="AC983" s="2"/>
    </row>
    <row r="984" spans="1:29" ht="156" x14ac:dyDescent="0.15">
      <c r="A984" s="3">
        <f>DATE(1992,11,18)</f>
        <v>33926</v>
      </c>
      <c r="B984" s="3">
        <f>DATE(1993,5,10)</f>
        <v>34099</v>
      </c>
      <c r="C984" s="2" t="s">
        <v>95</v>
      </c>
      <c r="D984" s="2" t="s">
        <v>3348</v>
      </c>
      <c r="E984" s="2" t="s">
        <v>3349</v>
      </c>
      <c r="F984" s="4">
        <v>7373</v>
      </c>
      <c r="G984" s="2" t="s">
        <v>223</v>
      </c>
      <c r="H984" s="2" t="s">
        <v>34</v>
      </c>
      <c r="I984" s="2" t="s">
        <v>149</v>
      </c>
      <c r="J984" s="2" t="s">
        <v>150</v>
      </c>
      <c r="K984" s="2" t="s">
        <v>53</v>
      </c>
      <c r="L984" s="2" t="s">
        <v>151</v>
      </c>
      <c r="M984" s="2"/>
      <c r="N984" s="2"/>
      <c r="O984" s="2"/>
      <c r="P984" s="2" t="s">
        <v>3350</v>
      </c>
      <c r="Q984" s="6">
        <v>63.53</v>
      </c>
      <c r="R984" s="2"/>
      <c r="S984" s="5">
        <v>-21.4</v>
      </c>
      <c r="T984" s="7">
        <v>-10.824999999999999</v>
      </c>
      <c r="U984" s="5">
        <v>-0.5</v>
      </c>
      <c r="V984" s="6">
        <v>-3.77</v>
      </c>
      <c r="W984" s="7">
        <v>2.125</v>
      </c>
      <c r="X984" s="7">
        <v>1.375</v>
      </c>
      <c r="Y984" s="7">
        <v>1.625</v>
      </c>
      <c r="Z984" s="7">
        <v>1.625</v>
      </c>
      <c r="AA984" s="6">
        <v>23.94</v>
      </c>
      <c r="AB984" s="2" t="s">
        <v>86</v>
      </c>
      <c r="AC984" s="2"/>
    </row>
    <row r="985" spans="1:29" ht="143" x14ac:dyDescent="0.15">
      <c r="A985" s="3">
        <f>DATE(1992,11,20)</f>
        <v>33928</v>
      </c>
      <c r="B985" s="3">
        <f>DATE(1993,8,10)</f>
        <v>34191</v>
      </c>
      <c r="C985" s="2" t="s">
        <v>95</v>
      </c>
      <c r="D985" s="2" t="s">
        <v>3351</v>
      </c>
      <c r="E985" s="2" t="s">
        <v>3352</v>
      </c>
      <c r="F985" s="4">
        <v>4213</v>
      </c>
      <c r="G985" s="2" t="s">
        <v>173</v>
      </c>
      <c r="H985" s="2" t="s">
        <v>34</v>
      </c>
      <c r="I985" s="2" t="s">
        <v>3353</v>
      </c>
      <c r="J985" s="2" t="s">
        <v>3354</v>
      </c>
      <c r="K985" s="2" t="s">
        <v>173</v>
      </c>
      <c r="L985" s="2" t="s">
        <v>34</v>
      </c>
      <c r="M985" s="2"/>
      <c r="N985" s="6">
        <v>29.75</v>
      </c>
      <c r="O985" s="7">
        <v>27.875</v>
      </c>
      <c r="P985" s="2" t="s">
        <v>3355</v>
      </c>
      <c r="Q985" s="6">
        <v>100</v>
      </c>
      <c r="R985" s="6">
        <v>4.13</v>
      </c>
      <c r="S985" s="5">
        <v>-3.4</v>
      </c>
      <c r="T985" s="7">
        <v>30.048999999999999</v>
      </c>
      <c r="U985" s="5">
        <v>14.6</v>
      </c>
      <c r="V985" s="6">
        <v>-0.59</v>
      </c>
      <c r="W985" s="7">
        <v>6.875</v>
      </c>
      <c r="X985" s="7">
        <v>6.625</v>
      </c>
      <c r="Y985" s="7">
        <v>6.625</v>
      </c>
      <c r="Z985" s="7">
        <v>3.625</v>
      </c>
      <c r="AA985" s="6">
        <v>5.76</v>
      </c>
      <c r="AB985" s="7">
        <v>21.792999999999999</v>
      </c>
      <c r="AC985" s="2"/>
    </row>
    <row r="986" spans="1:29" ht="91" x14ac:dyDescent="0.15">
      <c r="A986" s="3">
        <f>DATE(1992,11,30)</f>
        <v>33938</v>
      </c>
      <c r="B986" s="3">
        <f>DATE(1993,4,28)</f>
        <v>34087</v>
      </c>
      <c r="C986" s="2" t="s">
        <v>95</v>
      </c>
      <c r="D986" s="2" t="s">
        <v>3356</v>
      </c>
      <c r="E986" s="2" t="s">
        <v>124</v>
      </c>
      <c r="F986" s="4">
        <v>6311</v>
      </c>
      <c r="G986" s="2" t="s">
        <v>125</v>
      </c>
      <c r="H986" s="2" t="s">
        <v>34</v>
      </c>
      <c r="I986" s="2" t="s">
        <v>3357</v>
      </c>
      <c r="J986" s="2" t="s">
        <v>1563</v>
      </c>
      <c r="K986" s="2" t="s">
        <v>125</v>
      </c>
      <c r="L986" s="2" t="s">
        <v>34</v>
      </c>
      <c r="M986" s="7">
        <v>74.131</v>
      </c>
      <c r="N986" s="5">
        <v>16.5</v>
      </c>
      <c r="O986" s="6">
        <v>16.75</v>
      </c>
      <c r="P986" s="2" t="s">
        <v>3358</v>
      </c>
      <c r="Q986" s="6">
        <v>100</v>
      </c>
      <c r="R986" s="6">
        <v>69.44</v>
      </c>
      <c r="S986" s="5">
        <v>4.5999999999999996</v>
      </c>
      <c r="T986" s="7">
        <v>10.952999999999999</v>
      </c>
      <c r="U986" s="5">
        <v>0.2</v>
      </c>
      <c r="V986" s="9">
        <v>7.7499999999999999E-2</v>
      </c>
      <c r="W986" s="4">
        <v>15</v>
      </c>
      <c r="X986" s="5">
        <v>15.5</v>
      </c>
      <c r="Y986" s="5">
        <v>16.5</v>
      </c>
      <c r="Z986" s="6">
        <v>16.75</v>
      </c>
      <c r="AA986" s="6">
        <v>0.67</v>
      </c>
      <c r="AB986" s="7">
        <v>578.60299999999995</v>
      </c>
      <c r="AC986" s="2"/>
    </row>
    <row r="987" spans="1:29" ht="104" x14ac:dyDescent="0.15">
      <c r="A987" s="3">
        <f>DATE(1992,12,1)</f>
        <v>33939</v>
      </c>
      <c r="B987" s="3">
        <f>DATE(1993,2,25)</f>
        <v>34025</v>
      </c>
      <c r="C987" s="2" t="s">
        <v>95</v>
      </c>
      <c r="D987" s="2" t="s">
        <v>3359</v>
      </c>
      <c r="E987" s="2" t="s">
        <v>3360</v>
      </c>
      <c r="F987" s="4">
        <v>8732</v>
      </c>
      <c r="G987" s="2" t="s">
        <v>223</v>
      </c>
      <c r="H987" s="2" t="s">
        <v>34</v>
      </c>
      <c r="I987" s="2" t="s">
        <v>3361</v>
      </c>
      <c r="J987" s="2" t="s">
        <v>3362</v>
      </c>
      <c r="K987" s="2" t="s">
        <v>223</v>
      </c>
      <c r="L987" s="2" t="s">
        <v>34</v>
      </c>
      <c r="M987" s="7">
        <v>106.449</v>
      </c>
      <c r="N987" s="5">
        <v>22.5</v>
      </c>
      <c r="O987" s="4">
        <v>24</v>
      </c>
      <c r="P987" s="2" t="s">
        <v>3363</v>
      </c>
      <c r="Q987" s="6">
        <v>100</v>
      </c>
      <c r="R987" s="6">
        <v>20.05</v>
      </c>
      <c r="S987" s="5">
        <v>1.7</v>
      </c>
      <c r="T987" s="6">
        <v>2.93</v>
      </c>
      <c r="U987" s="5">
        <v>4</v>
      </c>
      <c r="V987" s="6">
        <v>0.45</v>
      </c>
      <c r="W987" s="6">
        <v>16.75</v>
      </c>
      <c r="X987" s="6">
        <v>17.25</v>
      </c>
      <c r="Y987" s="6">
        <v>19.25</v>
      </c>
      <c r="Z987" s="6">
        <v>19.25</v>
      </c>
      <c r="AA987" s="6">
        <v>5.16</v>
      </c>
      <c r="AB987" s="7">
        <v>30.265000000000001</v>
      </c>
      <c r="AC987" s="6">
        <v>5.22</v>
      </c>
    </row>
    <row r="988" spans="1:29" ht="143" x14ac:dyDescent="0.15">
      <c r="A988" s="3">
        <f>DATE(1992,12,2)</f>
        <v>33940</v>
      </c>
      <c r="B988" s="3">
        <f>DATE(1993,3,19)</f>
        <v>34047</v>
      </c>
      <c r="C988" s="2" t="s">
        <v>95</v>
      </c>
      <c r="D988" s="2" t="s">
        <v>2595</v>
      </c>
      <c r="E988" s="2" t="s">
        <v>2596</v>
      </c>
      <c r="F988" s="4">
        <v>3411</v>
      </c>
      <c r="G988" s="2" t="s">
        <v>163</v>
      </c>
      <c r="H988" s="2" t="s">
        <v>34</v>
      </c>
      <c r="I988" s="2" t="s">
        <v>3364</v>
      </c>
      <c r="J988" s="2" t="s">
        <v>3365</v>
      </c>
      <c r="K988" s="2" t="s">
        <v>163</v>
      </c>
      <c r="L988" s="2" t="s">
        <v>34</v>
      </c>
      <c r="M988" s="7">
        <v>839.63099999999997</v>
      </c>
      <c r="N988" s="4">
        <v>33</v>
      </c>
      <c r="O988" s="5">
        <v>32.5</v>
      </c>
      <c r="P988" s="2" t="s">
        <v>3366</v>
      </c>
      <c r="Q988" s="6">
        <v>100</v>
      </c>
      <c r="R988" s="6">
        <v>27</v>
      </c>
      <c r="S988" s="5">
        <v>-3.2</v>
      </c>
      <c r="T988" s="7">
        <v>37.085999999999999</v>
      </c>
      <c r="U988" s="5">
        <v>16.399999999999999</v>
      </c>
      <c r="V988" s="6">
        <v>-0.97</v>
      </c>
      <c r="W988" s="7">
        <v>26.125</v>
      </c>
      <c r="X988" s="6">
        <v>26.25</v>
      </c>
      <c r="Y988" s="6">
        <v>25.75</v>
      </c>
      <c r="Z988" s="7">
        <v>25.875</v>
      </c>
      <c r="AA988" s="6">
        <v>3.27</v>
      </c>
      <c r="AB988" s="7">
        <v>8.2759999999999998</v>
      </c>
      <c r="AC988" s="5">
        <v>20.8</v>
      </c>
    </row>
    <row r="989" spans="1:29" ht="65" x14ac:dyDescent="0.15">
      <c r="A989" s="3">
        <f>DATE(1992,12,4)</f>
        <v>33942</v>
      </c>
      <c r="B989" s="3">
        <f>DATE(1992,12,4)</f>
        <v>33942</v>
      </c>
      <c r="C989" s="2" t="s">
        <v>95</v>
      </c>
      <c r="D989" s="2" t="s">
        <v>3367</v>
      </c>
      <c r="E989" s="2" t="s">
        <v>36</v>
      </c>
      <c r="F989" s="4">
        <v>6036</v>
      </c>
      <c r="G989" s="2" t="s">
        <v>33</v>
      </c>
      <c r="H989" s="2" t="s">
        <v>34</v>
      </c>
      <c r="I989" s="2" t="s">
        <v>3368</v>
      </c>
      <c r="J989" s="2" t="s">
        <v>602</v>
      </c>
      <c r="K989" s="2" t="s">
        <v>33</v>
      </c>
      <c r="L989" s="2" t="s">
        <v>34</v>
      </c>
      <c r="M989" s="2"/>
      <c r="N989" s="2"/>
      <c r="O989" s="2"/>
      <c r="P989" s="2" t="s">
        <v>3369</v>
      </c>
      <c r="Q989" s="6">
        <v>100</v>
      </c>
      <c r="R989" s="2"/>
      <c r="S989" s="5">
        <v>-22.4</v>
      </c>
      <c r="T989" s="7">
        <v>-28.670999999999999</v>
      </c>
      <c r="U989" s="5">
        <v>4.5999999999999996</v>
      </c>
      <c r="V989" s="6">
        <v>-6.65</v>
      </c>
      <c r="W989" s="6">
        <v>3.25</v>
      </c>
      <c r="X989" s="7">
        <v>3.375</v>
      </c>
      <c r="Y989" s="5">
        <v>1.5</v>
      </c>
      <c r="Z989" s="4">
        <v>2</v>
      </c>
      <c r="AA989" s="2"/>
      <c r="AB989" s="2" t="s">
        <v>86</v>
      </c>
      <c r="AC989" s="2"/>
    </row>
    <row r="990" spans="1:29" ht="117" x14ac:dyDescent="0.15">
      <c r="A990" s="3">
        <f>DATE(1992,12,4)</f>
        <v>33942</v>
      </c>
      <c r="B990" s="3">
        <f>DATE(1993,3,26)</f>
        <v>34054</v>
      </c>
      <c r="C990" s="2" t="s">
        <v>95</v>
      </c>
      <c r="D990" s="2" t="s">
        <v>3370</v>
      </c>
      <c r="E990" s="2" t="s">
        <v>3371</v>
      </c>
      <c r="F990" s="4">
        <v>6311</v>
      </c>
      <c r="G990" s="2" t="s">
        <v>125</v>
      </c>
      <c r="H990" s="2" t="s">
        <v>34</v>
      </c>
      <c r="I990" s="2" t="s">
        <v>3372</v>
      </c>
      <c r="J990" s="2" t="s">
        <v>3373</v>
      </c>
      <c r="K990" s="2" t="s">
        <v>125</v>
      </c>
      <c r="L990" s="2" t="s">
        <v>34</v>
      </c>
      <c r="M990" s="12">
        <v>3241.2040000000002</v>
      </c>
      <c r="N990" s="5">
        <v>52.5</v>
      </c>
      <c r="O990" s="7">
        <v>53.125</v>
      </c>
      <c r="P990" s="2" t="s">
        <v>3374</v>
      </c>
      <c r="Q990" s="6">
        <v>100</v>
      </c>
      <c r="R990" s="6">
        <v>37.369999999999997</v>
      </c>
      <c r="S990" s="5">
        <v>40.200000000000003</v>
      </c>
      <c r="T990" s="2"/>
      <c r="U990" s="5">
        <v>18.399999999999999</v>
      </c>
      <c r="V990" s="6">
        <v>2.65</v>
      </c>
      <c r="W990" s="6">
        <v>27.25</v>
      </c>
      <c r="X990" s="6">
        <v>28.25</v>
      </c>
      <c r="Y990" s="5">
        <v>36.5</v>
      </c>
      <c r="Z990" s="7">
        <v>37.125</v>
      </c>
      <c r="AA990" s="6">
        <v>15.43</v>
      </c>
      <c r="AB990" s="7">
        <v>9.9030000000000005</v>
      </c>
      <c r="AC990" s="2"/>
    </row>
    <row r="991" spans="1:29" ht="156" x14ac:dyDescent="0.15">
      <c r="A991" s="3">
        <f>DATE(1992,12,4)</f>
        <v>33942</v>
      </c>
      <c r="B991" s="2"/>
      <c r="C991" s="2" t="s">
        <v>30</v>
      </c>
      <c r="D991" s="2" t="s">
        <v>3375</v>
      </c>
      <c r="E991" s="2" t="s">
        <v>36</v>
      </c>
      <c r="F991" s="4">
        <v>6022</v>
      </c>
      <c r="G991" s="2" t="s">
        <v>37</v>
      </c>
      <c r="H991" s="2" t="s">
        <v>34</v>
      </c>
      <c r="I991" s="2" t="s">
        <v>68</v>
      </c>
      <c r="J991" s="2" t="s">
        <v>69</v>
      </c>
      <c r="K991" s="2" t="s">
        <v>37</v>
      </c>
      <c r="L991" s="2" t="s">
        <v>34</v>
      </c>
      <c r="M991" s="2"/>
      <c r="N991" s="4">
        <v>28</v>
      </c>
      <c r="O991" s="7">
        <v>28.125</v>
      </c>
      <c r="P991" s="2" t="s">
        <v>3376</v>
      </c>
      <c r="Q991" s="2"/>
      <c r="R991" s="6">
        <v>31.5</v>
      </c>
      <c r="S991" s="5">
        <v>12.2</v>
      </c>
      <c r="T991" s="7">
        <v>18.367999999999999</v>
      </c>
      <c r="U991" s="5">
        <v>19.899999999999999</v>
      </c>
      <c r="V991" s="9">
        <v>1.7533000000000001</v>
      </c>
      <c r="W991" s="6">
        <v>22.25</v>
      </c>
      <c r="X991" s="4">
        <v>26</v>
      </c>
      <c r="Y991" s="6">
        <v>30.25</v>
      </c>
      <c r="Z991" s="5">
        <v>30.5</v>
      </c>
      <c r="AA991" s="6">
        <v>7.93</v>
      </c>
      <c r="AB991" s="7">
        <v>21.597000000000001</v>
      </c>
      <c r="AC991" s="2"/>
    </row>
    <row r="992" spans="1:29" ht="52" x14ac:dyDescent="0.15">
      <c r="A992" s="3">
        <f>DATE(1992,12,7)</f>
        <v>33945</v>
      </c>
      <c r="B992" s="3">
        <f>DATE(1993,3,18)</f>
        <v>34046</v>
      </c>
      <c r="C992" s="2" t="s">
        <v>95</v>
      </c>
      <c r="D992" s="2" t="s">
        <v>206</v>
      </c>
      <c r="E992" s="2" t="s">
        <v>207</v>
      </c>
      <c r="F992" s="4">
        <v>3674</v>
      </c>
      <c r="G992" s="2" t="s">
        <v>137</v>
      </c>
      <c r="H992" s="2" t="s">
        <v>34</v>
      </c>
      <c r="I992" s="2" t="s">
        <v>3377</v>
      </c>
      <c r="J992" s="2" t="s">
        <v>3378</v>
      </c>
      <c r="K992" s="2" t="s">
        <v>137</v>
      </c>
      <c r="L992" s="2" t="s">
        <v>210</v>
      </c>
      <c r="M992" s="2"/>
      <c r="N992" s="2"/>
      <c r="O992" s="2"/>
      <c r="P992" s="2" t="s">
        <v>3379</v>
      </c>
      <c r="Q992" s="6">
        <v>8.2100000000000009</v>
      </c>
      <c r="R992" s="2"/>
      <c r="S992" s="5">
        <v>0</v>
      </c>
      <c r="T992" s="7">
        <v>0.24099999999999999</v>
      </c>
      <c r="U992" s="5">
        <v>1.4</v>
      </c>
      <c r="V992" s="2"/>
      <c r="W992" s="7">
        <v>1.375</v>
      </c>
      <c r="X992" s="6">
        <v>1.75</v>
      </c>
      <c r="Y992" s="7">
        <v>1.625</v>
      </c>
      <c r="Z992" s="7">
        <v>1.875</v>
      </c>
      <c r="AA992" s="6">
        <v>4.3</v>
      </c>
      <c r="AB992" s="2" t="s">
        <v>86</v>
      </c>
      <c r="AC992" s="2"/>
    </row>
    <row r="993" spans="1:29" ht="91" x14ac:dyDescent="0.15">
      <c r="A993" s="3">
        <f>DATE(1992,12,7)</f>
        <v>33945</v>
      </c>
      <c r="B993" s="2"/>
      <c r="C993" s="2" t="s">
        <v>56</v>
      </c>
      <c r="D993" s="2" t="s">
        <v>3380</v>
      </c>
      <c r="E993" s="2" t="s">
        <v>3381</v>
      </c>
      <c r="F993" s="4">
        <v>4841</v>
      </c>
      <c r="G993" s="2" t="s">
        <v>45</v>
      </c>
      <c r="H993" s="2" t="s">
        <v>34</v>
      </c>
      <c r="I993" s="2" t="s">
        <v>51</v>
      </c>
      <c r="J993" s="2" t="s">
        <v>52</v>
      </c>
      <c r="K993" s="2" t="s">
        <v>53</v>
      </c>
      <c r="L993" s="2" t="s">
        <v>34</v>
      </c>
      <c r="M993" s="2"/>
      <c r="N993" s="2"/>
      <c r="O993" s="2"/>
      <c r="P993" s="2" t="s">
        <v>3382</v>
      </c>
      <c r="Q993" s="2"/>
      <c r="R993" s="2"/>
      <c r="S993" s="2"/>
      <c r="T993" s="2"/>
      <c r="U993" s="5">
        <v>0</v>
      </c>
      <c r="V993" s="2"/>
      <c r="W993" s="5">
        <v>1.5</v>
      </c>
      <c r="X993" s="5">
        <v>1.5</v>
      </c>
      <c r="Y993" s="7">
        <v>2.0630000000000002</v>
      </c>
      <c r="Z993" s="7">
        <v>2.0630000000000002</v>
      </c>
      <c r="AA993" s="2"/>
      <c r="AB993" s="2" t="s">
        <v>47</v>
      </c>
      <c r="AC993" s="2"/>
    </row>
    <row r="994" spans="1:29" ht="156" x14ac:dyDescent="0.15">
      <c r="A994" s="3">
        <f>DATE(1992,12,7)</f>
        <v>33945</v>
      </c>
      <c r="B994" s="2"/>
      <c r="C994" s="2" t="s">
        <v>30</v>
      </c>
      <c r="D994" s="2" t="s">
        <v>3383</v>
      </c>
      <c r="E994" s="2" t="s">
        <v>3384</v>
      </c>
      <c r="F994" s="4">
        <v>5812</v>
      </c>
      <c r="G994" s="2" t="s">
        <v>230</v>
      </c>
      <c r="H994" s="2" t="s">
        <v>34</v>
      </c>
      <c r="I994" s="2" t="s">
        <v>3385</v>
      </c>
      <c r="J994" s="2" t="s">
        <v>3386</v>
      </c>
      <c r="K994" s="2" t="s">
        <v>230</v>
      </c>
      <c r="L994" s="2" t="s">
        <v>34</v>
      </c>
      <c r="M994" s="7">
        <v>583.69299999999998</v>
      </c>
      <c r="N994" s="4">
        <v>28</v>
      </c>
      <c r="O994" s="7">
        <v>26.375</v>
      </c>
      <c r="P994" s="2" t="s">
        <v>3387</v>
      </c>
      <c r="Q994" s="2"/>
      <c r="R994" s="6">
        <v>10.8</v>
      </c>
      <c r="S994" s="5">
        <v>1.8</v>
      </c>
      <c r="T994" s="7">
        <v>11.426</v>
      </c>
      <c r="U994" s="5">
        <v>3.7</v>
      </c>
      <c r="V994" s="9">
        <v>0.13819999999999999</v>
      </c>
      <c r="W994" s="7">
        <v>5.875</v>
      </c>
      <c r="X994" s="6">
        <v>6.25</v>
      </c>
      <c r="Y994" s="7">
        <v>7.375</v>
      </c>
      <c r="Z994" s="7">
        <v>8.875</v>
      </c>
      <c r="AA994" s="6">
        <v>8.9600000000000009</v>
      </c>
      <c r="AB994" s="7">
        <v>25.815999999999999</v>
      </c>
      <c r="AC994" s="5">
        <v>50.1</v>
      </c>
    </row>
    <row r="995" spans="1:29" ht="143" x14ac:dyDescent="0.15">
      <c r="A995" s="3">
        <f>DATE(1992,12,8)</f>
        <v>33946</v>
      </c>
      <c r="B995" s="2"/>
      <c r="C995" s="2" t="s">
        <v>30</v>
      </c>
      <c r="D995" s="2" t="s">
        <v>3252</v>
      </c>
      <c r="E995" s="2" t="s">
        <v>1085</v>
      </c>
      <c r="F995" s="4">
        <v>6141</v>
      </c>
      <c r="G995" s="2" t="s">
        <v>370</v>
      </c>
      <c r="H995" s="2" t="s">
        <v>34</v>
      </c>
      <c r="I995" s="2" t="s">
        <v>3388</v>
      </c>
      <c r="J995" s="2" t="s">
        <v>36</v>
      </c>
      <c r="K995" s="2" t="s">
        <v>37</v>
      </c>
      <c r="L995" s="2" t="s">
        <v>34</v>
      </c>
      <c r="M995" s="2"/>
      <c r="N995" s="7">
        <v>4.875</v>
      </c>
      <c r="O995" s="7">
        <v>5.375</v>
      </c>
      <c r="P995" s="2" t="s">
        <v>3389</v>
      </c>
      <c r="Q995" s="2"/>
      <c r="R995" s="2"/>
      <c r="S995" s="5">
        <v>-3.1</v>
      </c>
      <c r="T995" s="2"/>
      <c r="U995" s="5">
        <v>0.1</v>
      </c>
      <c r="V995" s="6">
        <v>-0.16</v>
      </c>
      <c r="W995" s="7">
        <v>1.3440000000000001</v>
      </c>
      <c r="X995" s="7">
        <v>1.1879999999999999</v>
      </c>
      <c r="Y995" s="7">
        <v>1.0629999999999999</v>
      </c>
      <c r="Z995" s="7">
        <v>0.875</v>
      </c>
      <c r="AA995" s="6">
        <v>32.21</v>
      </c>
      <c r="AB995" s="2" t="s">
        <v>47</v>
      </c>
      <c r="AC995" s="2"/>
    </row>
    <row r="996" spans="1:29" ht="143" x14ac:dyDescent="0.15">
      <c r="A996" s="3">
        <f>DATE(1992,12,10)</f>
        <v>33948</v>
      </c>
      <c r="B996" s="3">
        <f>DATE(1993,3,5)</f>
        <v>34033</v>
      </c>
      <c r="C996" s="2" t="s">
        <v>95</v>
      </c>
      <c r="D996" s="2" t="s">
        <v>3390</v>
      </c>
      <c r="E996" s="2" t="s">
        <v>1332</v>
      </c>
      <c r="F996" s="4">
        <v>5047</v>
      </c>
      <c r="G996" s="2" t="s">
        <v>76</v>
      </c>
      <c r="H996" s="2" t="s">
        <v>34</v>
      </c>
      <c r="I996" s="2" t="s">
        <v>3391</v>
      </c>
      <c r="J996" s="2" t="s">
        <v>3392</v>
      </c>
      <c r="K996" s="2" t="s">
        <v>454</v>
      </c>
      <c r="L996" s="2" t="s">
        <v>34</v>
      </c>
      <c r="M996" s="7">
        <v>44.100999999999999</v>
      </c>
      <c r="N996" s="4">
        <v>8</v>
      </c>
      <c r="O996" s="7">
        <v>8.125</v>
      </c>
      <c r="P996" s="2" t="s">
        <v>3393</v>
      </c>
      <c r="Q996" s="6">
        <v>100</v>
      </c>
      <c r="R996" s="6">
        <v>3.23</v>
      </c>
      <c r="S996" s="5">
        <v>2</v>
      </c>
      <c r="T996" s="7">
        <v>3.8340000000000001</v>
      </c>
      <c r="U996" s="5">
        <v>1</v>
      </c>
      <c r="V996" s="6">
        <v>0.21</v>
      </c>
      <c r="W996" s="5">
        <v>2.5</v>
      </c>
      <c r="X996" s="4">
        <v>2</v>
      </c>
      <c r="Y996" s="7">
        <v>3.125</v>
      </c>
      <c r="Z996" s="6">
        <v>3.25</v>
      </c>
      <c r="AA996" s="6">
        <v>5.91</v>
      </c>
      <c r="AB996" s="7">
        <v>8.2579999999999991</v>
      </c>
      <c r="AC996" s="2"/>
    </row>
    <row r="997" spans="1:29" ht="130" x14ac:dyDescent="0.15">
      <c r="A997" s="3">
        <f>DATE(1992,12,11)</f>
        <v>33949</v>
      </c>
      <c r="B997" s="3">
        <f>DATE(1994,10,24)</f>
        <v>34631</v>
      </c>
      <c r="C997" s="2" t="s">
        <v>95</v>
      </c>
      <c r="D997" s="2" t="s">
        <v>3394</v>
      </c>
      <c r="E997" s="2" t="s">
        <v>3395</v>
      </c>
      <c r="F997" s="4">
        <v>4911</v>
      </c>
      <c r="G997" s="2" t="s">
        <v>439</v>
      </c>
      <c r="H997" s="2" t="s">
        <v>34</v>
      </c>
      <c r="I997" s="2" t="s">
        <v>3396</v>
      </c>
      <c r="J997" s="2" t="s">
        <v>2754</v>
      </c>
      <c r="K997" s="2" t="s">
        <v>439</v>
      </c>
      <c r="L997" s="2" t="s">
        <v>34</v>
      </c>
      <c r="M997" s="12">
        <v>2108.5360000000001</v>
      </c>
      <c r="N997" s="6">
        <v>24.25</v>
      </c>
      <c r="O997" s="6">
        <v>23.75</v>
      </c>
      <c r="P997" s="2" t="s">
        <v>3397</v>
      </c>
      <c r="Q997" s="6">
        <v>100</v>
      </c>
      <c r="R997" s="6">
        <v>28</v>
      </c>
      <c r="S997" s="5">
        <v>103.4</v>
      </c>
      <c r="T997" s="7">
        <v>346.87200000000001</v>
      </c>
      <c r="U997" s="5">
        <v>12</v>
      </c>
      <c r="V997" s="6">
        <v>1.75</v>
      </c>
      <c r="W997" s="5">
        <v>18.5</v>
      </c>
      <c r="X997" s="5">
        <v>18.5</v>
      </c>
      <c r="Y997" s="5">
        <v>18.5</v>
      </c>
      <c r="Z997" s="4">
        <v>19</v>
      </c>
      <c r="AA997" s="6">
        <v>55.29</v>
      </c>
      <c r="AB997" s="7">
        <v>11.009</v>
      </c>
      <c r="AC997" s="2"/>
    </row>
    <row r="998" spans="1:29" ht="39" x14ac:dyDescent="0.15">
      <c r="A998" s="3">
        <f>DATE(1992,12,11)</f>
        <v>33949</v>
      </c>
      <c r="B998" s="2"/>
      <c r="C998" s="2" t="s">
        <v>189</v>
      </c>
      <c r="D998" s="2" t="s">
        <v>3398</v>
      </c>
      <c r="E998" s="2" t="s">
        <v>3399</v>
      </c>
      <c r="F998" s="4">
        <v>3571</v>
      </c>
      <c r="G998" s="2" t="s">
        <v>50</v>
      </c>
      <c r="H998" s="2" t="s">
        <v>34</v>
      </c>
      <c r="I998" s="2" t="s">
        <v>143</v>
      </c>
      <c r="J998" s="2" t="s">
        <v>144</v>
      </c>
      <c r="K998" s="2" t="s">
        <v>53</v>
      </c>
      <c r="L998" s="2" t="s">
        <v>139</v>
      </c>
      <c r="M998" s="2"/>
      <c r="N998" s="2"/>
      <c r="O998" s="2"/>
      <c r="P998" s="2" t="s">
        <v>3400</v>
      </c>
      <c r="Q998" s="2"/>
      <c r="R998" s="2"/>
      <c r="S998" s="5">
        <v>-33.6</v>
      </c>
      <c r="T998" s="2"/>
      <c r="U998" s="2"/>
      <c r="V998" s="2"/>
      <c r="W998" s="7">
        <v>2.625</v>
      </c>
      <c r="X998" s="7">
        <v>2.625</v>
      </c>
      <c r="Y998" s="5">
        <v>2.5</v>
      </c>
      <c r="Z998" s="7">
        <v>2.375</v>
      </c>
      <c r="AA998" s="2"/>
      <c r="AB998" s="2" t="s">
        <v>86</v>
      </c>
      <c r="AC998" s="2"/>
    </row>
    <row r="999" spans="1:29" ht="91" x14ac:dyDescent="0.15">
      <c r="A999" s="3">
        <f>DATE(1992,12,14)</f>
        <v>33952</v>
      </c>
      <c r="B999" s="2"/>
      <c r="C999" s="2" t="s">
        <v>56</v>
      </c>
      <c r="D999" s="2" t="s">
        <v>3401</v>
      </c>
      <c r="E999" s="2" t="s">
        <v>3402</v>
      </c>
      <c r="F999" s="4">
        <v>4953</v>
      </c>
      <c r="G999" s="2" t="s">
        <v>116</v>
      </c>
      <c r="H999" s="2" t="s">
        <v>34</v>
      </c>
      <c r="I999" s="2" t="s">
        <v>51</v>
      </c>
      <c r="J999" s="2" t="s">
        <v>52</v>
      </c>
      <c r="K999" s="2" t="s">
        <v>53</v>
      </c>
      <c r="L999" s="2" t="s">
        <v>34</v>
      </c>
      <c r="M999" s="2"/>
      <c r="N999" s="2"/>
      <c r="O999" s="2"/>
      <c r="P999" s="2" t="s">
        <v>3403</v>
      </c>
      <c r="Q999" s="2"/>
      <c r="R999" s="2"/>
      <c r="S999" s="2"/>
      <c r="T999" s="2"/>
      <c r="U999" s="2"/>
      <c r="V999" s="2"/>
      <c r="W999" s="7">
        <v>4.875</v>
      </c>
      <c r="X999" s="7">
        <v>4.875</v>
      </c>
      <c r="Y999" s="7">
        <v>4.875</v>
      </c>
      <c r="Z999" s="7">
        <v>4.875</v>
      </c>
      <c r="AA999" s="6">
        <v>50.72</v>
      </c>
      <c r="AB999" s="2" t="s">
        <v>47</v>
      </c>
      <c r="AC999" s="2"/>
    </row>
    <row r="1000" spans="1:29" ht="26" x14ac:dyDescent="0.15">
      <c r="A1000" s="3">
        <f>DATE(1992,12,14)</f>
        <v>33952</v>
      </c>
      <c r="B1000" s="2"/>
      <c r="C1000" s="2" t="s">
        <v>30</v>
      </c>
      <c r="D1000" s="2" t="s">
        <v>3404</v>
      </c>
      <c r="E1000" s="2" t="s">
        <v>3405</v>
      </c>
      <c r="F1000" s="4">
        <v>3661</v>
      </c>
      <c r="G1000" s="2" t="s">
        <v>921</v>
      </c>
      <c r="H1000" s="2" t="s">
        <v>34</v>
      </c>
      <c r="I1000" s="2" t="s">
        <v>3406</v>
      </c>
      <c r="J1000" s="2" t="s">
        <v>3407</v>
      </c>
      <c r="K1000" s="2" t="s">
        <v>76</v>
      </c>
      <c r="L1000" s="2" t="s">
        <v>303</v>
      </c>
      <c r="M1000" s="2"/>
      <c r="N1000" s="2"/>
      <c r="O1000" s="2"/>
      <c r="P1000" s="2" t="s">
        <v>3408</v>
      </c>
      <c r="Q1000" s="2"/>
      <c r="R1000" s="2"/>
      <c r="S1000" s="2"/>
      <c r="T1000" s="2"/>
      <c r="U1000" s="5">
        <v>0.6</v>
      </c>
      <c r="V1000" s="2"/>
      <c r="W1000" s="5">
        <v>0.5</v>
      </c>
      <c r="X1000" s="7">
        <v>1.3129999999999999</v>
      </c>
      <c r="Y1000" s="7">
        <v>0.93799999999999994</v>
      </c>
      <c r="Z1000" s="7">
        <v>0.96899999999999997</v>
      </c>
      <c r="AA1000" s="2"/>
      <c r="AB1000" s="2" t="s">
        <v>47</v>
      </c>
      <c r="AC1000" s="2"/>
    </row>
    <row r="1001" spans="1:29" ht="143" x14ac:dyDescent="0.15">
      <c r="A1001" s="3">
        <f>DATE(1992,12,15)</f>
        <v>33953</v>
      </c>
      <c r="B1001" s="3">
        <f>DATE(1993,6,3)</f>
        <v>34123</v>
      </c>
      <c r="C1001" s="2" t="s">
        <v>95</v>
      </c>
      <c r="D1001" s="2" t="s">
        <v>3409</v>
      </c>
      <c r="E1001" s="2" t="s">
        <v>540</v>
      </c>
      <c r="F1001" s="4">
        <v>2836</v>
      </c>
      <c r="G1001" s="2" t="s">
        <v>130</v>
      </c>
      <c r="H1001" s="2" t="s">
        <v>34</v>
      </c>
      <c r="I1001" s="2" t="s">
        <v>3410</v>
      </c>
      <c r="J1001" s="2" t="s">
        <v>3411</v>
      </c>
      <c r="K1001" s="2" t="s">
        <v>130</v>
      </c>
      <c r="L1001" s="2" t="s">
        <v>34</v>
      </c>
      <c r="M1001" s="2"/>
      <c r="N1001" s="4">
        <v>58</v>
      </c>
      <c r="O1001" s="4">
        <v>56</v>
      </c>
      <c r="P1001" s="2" t="s">
        <v>3412</v>
      </c>
      <c r="Q1001" s="6">
        <v>100</v>
      </c>
      <c r="R1001" s="6">
        <v>48.25</v>
      </c>
      <c r="S1001" s="5">
        <v>-84.5</v>
      </c>
      <c r="T1001" s="7">
        <v>-85.811999999999998</v>
      </c>
      <c r="U1001" s="5">
        <v>8.1999999999999993</v>
      </c>
      <c r="V1001" s="6">
        <v>-5.65</v>
      </c>
      <c r="W1001" s="7">
        <v>44.375</v>
      </c>
      <c r="X1001" s="6">
        <v>44.75</v>
      </c>
      <c r="Y1001" s="6">
        <v>45.25</v>
      </c>
      <c r="Z1001" s="6">
        <v>46.25</v>
      </c>
      <c r="AA1001" s="6">
        <v>15.26</v>
      </c>
      <c r="AB1001" s="2" t="s">
        <v>86</v>
      </c>
      <c r="AC1001" s="5">
        <v>419.9</v>
      </c>
    </row>
    <row r="1002" spans="1:29" ht="39" x14ac:dyDescent="0.15">
      <c r="A1002" s="3">
        <f>DATE(1992,12,16)</f>
        <v>33954</v>
      </c>
      <c r="B1002" s="3">
        <f>DATE(1993,2,18)</f>
        <v>34018</v>
      </c>
      <c r="C1002" s="2" t="s">
        <v>95</v>
      </c>
      <c r="D1002" s="2" t="s">
        <v>3413</v>
      </c>
      <c r="E1002" s="2" t="s">
        <v>3414</v>
      </c>
      <c r="F1002" s="4">
        <v>3089</v>
      </c>
      <c r="G1002" s="2" t="s">
        <v>447</v>
      </c>
      <c r="H1002" s="2" t="s">
        <v>34</v>
      </c>
      <c r="I1002" s="2" t="s">
        <v>3415</v>
      </c>
      <c r="J1002" s="2" t="s">
        <v>3416</v>
      </c>
      <c r="K1002" s="2" t="s">
        <v>447</v>
      </c>
      <c r="L1002" s="2" t="s">
        <v>34</v>
      </c>
      <c r="M1002" s="2"/>
      <c r="N1002" s="2"/>
      <c r="O1002" s="2"/>
      <c r="P1002" s="2" t="s">
        <v>3417</v>
      </c>
      <c r="Q1002" s="6">
        <v>100</v>
      </c>
      <c r="R1002" s="2"/>
      <c r="S1002" s="5">
        <v>-5.3</v>
      </c>
      <c r="T1002" s="7">
        <v>-2.589</v>
      </c>
      <c r="U1002" s="5">
        <v>3.1</v>
      </c>
      <c r="V1002" s="6">
        <v>-1.99</v>
      </c>
      <c r="W1002" s="4">
        <v>1</v>
      </c>
      <c r="X1002" s="4">
        <v>1</v>
      </c>
      <c r="Y1002" s="4">
        <v>1</v>
      </c>
      <c r="Z1002" s="4">
        <v>1</v>
      </c>
      <c r="AA1002" s="2"/>
      <c r="AB1002" s="2" t="s">
        <v>86</v>
      </c>
      <c r="AC1002" s="2"/>
    </row>
    <row r="1003" spans="1:29" ht="143" x14ac:dyDescent="0.15">
      <c r="A1003" s="3">
        <f>DATE(1992,12,17)</f>
        <v>33955</v>
      </c>
      <c r="B1003" s="3">
        <f>DATE(1993,9,27)</f>
        <v>34239</v>
      </c>
      <c r="C1003" s="2" t="s">
        <v>95</v>
      </c>
      <c r="D1003" s="2" t="s">
        <v>3418</v>
      </c>
      <c r="E1003" s="2" t="s">
        <v>3419</v>
      </c>
      <c r="F1003" s="4">
        <v>8011</v>
      </c>
      <c r="G1003" s="2" t="s">
        <v>454</v>
      </c>
      <c r="H1003" s="2" t="s">
        <v>34</v>
      </c>
      <c r="I1003" s="2" t="s">
        <v>51</v>
      </c>
      <c r="J1003" s="2" t="s">
        <v>52</v>
      </c>
      <c r="K1003" s="2" t="s">
        <v>53</v>
      </c>
      <c r="L1003" s="2" t="s">
        <v>34</v>
      </c>
      <c r="M1003" s="2"/>
      <c r="N1003" s="2"/>
      <c r="O1003" s="2"/>
      <c r="P1003" s="2" t="s">
        <v>3420</v>
      </c>
      <c r="Q1003" s="6">
        <v>40</v>
      </c>
      <c r="R1003" s="6">
        <v>5.5</v>
      </c>
      <c r="S1003" s="5">
        <v>0.9</v>
      </c>
      <c r="T1003" s="7">
        <v>0.82399999999999995</v>
      </c>
      <c r="U1003" s="5">
        <v>1.6</v>
      </c>
      <c r="V1003" s="2"/>
      <c r="W1003" s="6">
        <v>5.25</v>
      </c>
      <c r="X1003" s="6">
        <v>5.25</v>
      </c>
      <c r="Y1003" s="6">
        <v>5.25</v>
      </c>
      <c r="Z1003" s="6">
        <v>5.25</v>
      </c>
      <c r="AA1003" s="6">
        <v>1.06</v>
      </c>
      <c r="AB1003" s="7">
        <v>7.1989999999999998</v>
      </c>
      <c r="AC1003" s="2"/>
    </row>
    <row r="1004" spans="1:29" ht="39" x14ac:dyDescent="0.15">
      <c r="A1004" s="3">
        <f>DATE(1992,12,17)</f>
        <v>33955</v>
      </c>
      <c r="B1004" s="2"/>
      <c r="C1004" s="2" t="s">
        <v>30</v>
      </c>
      <c r="D1004" s="2" t="s">
        <v>3421</v>
      </c>
      <c r="E1004" s="2" t="s">
        <v>3422</v>
      </c>
      <c r="F1004" s="4">
        <v>3669</v>
      </c>
      <c r="G1004" s="2" t="s">
        <v>921</v>
      </c>
      <c r="H1004" s="2" t="s">
        <v>34</v>
      </c>
      <c r="I1004" s="2" t="s">
        <v>138</v>
      </c>
      <c r="J1004" s="2" t="s">
        <v>139</v>
      </c>
      <c r="K1004" s="2" t="s">
        <v>53</v>
      </c>
      <c r="L1004" s="2" t="s">
        <v>139</v>
      </c>
      <c r="M1004" s="2"/>
      <c r="N1004" s="2"/>
      <c r="O1004" s="2"/>
      <c r="P1004" s="2" t="s">
        <v>3423</v>
      </c>
      <c r="Q1004" s="2"/>
      <c r="R1004" s="2"/>
      <c r="S1004" s="5">
        <v>-4</v>
      </c>
      <c r="T1004" s="2"/>
      <c r="U1004" s="2"/>
      <c r="V1004" s="2"/>
      <c r="W1004" s="7">
        <v>2.625</v>
      </c>
      <c r="X1004" s="7">
        <v>2.625</v>
      </c>
      <c r="Y1004" s="4">
        <v>3</v>
      </c>
      <c r="Z1004" s="7">
        <v>3.125</v>
      </c>
      <c r="AA1004" s="2"/>
      <c r="AB1004" s="2" t="s">
        <v>86</v>
      </c>
      <c r="AC1004" s="2"/>
    </row>
    <row r="1005" spans="1:29" ht="156" x14ac:dyDescent="0.15">
      <c r="A1005" s="3">
        <f>DATE(1992,12,18)</f>
        <v>33956</v>
      </c>
      <c r="B1005" s="3">
        <f>DATE(1993,4,16)</f>
        <v>34075</v>
      </c>
      <c r="C1005" s="2" t="s">
        <v>95</v>
      </c>
      <c r="D1005" s="2" t="s">
        <v>2550</v>
      </c>
      <c r="E1005" s="2" t="s">
        <v>2551</v>
      </c>
      <c r="F1005" s="4">
        <v>3411</v>
      </c>
      <c r="G1005" s="2" t="s">
        <v>163</v>
      </c>
      <c r="H1005" s="2" t="s">
        <v>34</v>
      </c>
      <c r="I1005" s="2" t="s">
        <v>963</v>
      </c>
      <c r="J1005" s="2" t="s">
        <v>964</v>
      </c>
      <c r="K1005" s="2" t="s">
        <v>163</v>
      </c>
      <c r="L1005" s="2" t="s">
        <v>34</v>
      </c>
      <c r="M1005" s="12">
        <v>3095.8049999999998</v>
      </c>
      <c r="N1005" s="6">
        <v>38.75</v>
      </c>
      <c r="O1005" s="6">
        <v>39.75</v>
      </c>
      <c r="P1005" s="2" t="s">
        <v>3424</v>
      </c>
      <c r="Q1005" s="6">
        <v>100</v>
      </c>
      <c r="R1005" s="6">
        <v>21</v>
      </c>
      <c r="S1005" s="5">
        <v>4.2</v>
      </c>
      <c r="T1005" s="7">
        <v>16.196000000000002</v>
      </c>
      <c r="U1005" s="5">
        <v>10.7</v>
      </c>
      <c r="V1005" s="6">
        <v>0.5</v>
      </c>
      <c r="W1005" s="6">
        <v>10.75</v>
      </c>
      <c r="X1005" s="6">
        <v>10.75</v>
      </c>
      <c r="Y1005" s="7">
        <v>10.875</v>
      </c>
      <c r="Z1005" s="6">
        <v>11.25</v>
      </c>
      <c r="AA1005" s="6">
        <v>8.3699999999999992</v>
      </c>
      <c r="AB1005" s="7">
        <v>27.007000000000001</v>
      </c>
      <c r="AC1005" s="5">
        <v>20.2</v>
      </c>
    </row>
    <row r="1006" spans="1:29" ht="143" x14ac:dyDescent="0.15">
      <c r="A1006" s="3">
        <f>DATE(1992,12,21)</f>
        <v>33959</v>
      </c>
      <c r="B1006" s="3">
        <f>DATE(1993,5,14)</f>
        <v>34103</v>
      </c>
      <c r="C1006" s="2" t="s">
        <v>95</v>
      </c>
      <c r="D1006" s="2" t="s">
        <v>3425</v>
      </c>
      <c r="E1006" s="2" t="s">
        <v>3426</v>
      </c>
      <c r="F1006" s="4">
        <v>6036</v>
      </c>
      <c r="G1006" s="2" t="s">
        <v>33</v>
      </c>
      <c r="H1006" s="2" t="s">
        <v>34</v>
      </c>
      <c r="I1006" s="2" t="s">
        <v>3427</v>
      </c>
      <c r="J1006" s="2" t="s">
        <v>36</v>
      </c>
      <c r="K1006" s="2" t="s">
        <v>37</v>
      </c>
      <c r="L1006" s="2" t="s">
        <v>34</v>
      </c>
      <c r="M1006" s="12">
        <v>1220.2850000000001</v>
      </c>
      <c r="N1006" s="4">
        <v>37</v>
      </c>
      <c r="O1006" s="5">
        <v>37.5</v>
      </c>
      <c r="P1006" s="2" t="s">
        <v>3428</v>
      </c>
      <c r="Q1006" s="6">
        <v>100</v>
      </c>
      <c r="R1006" s="6">
        <v>20.23</v>
      </c>
      <c r="S1006" s="5">
        <v>7.4</v>
      </c>
      <c r="T1006" s="7">
        <v>13.545</v>
      </c>
      <c r="U1006" s="5">
        <v>21.3</v>
      </c>
      <c r="V1006" s="6">
        <v>2.4700000000000002</v>
      </c>
      <c r="W1006" s="7">
        <v>5.625</v>
      </c>
      <c r="X1006" s="5">
        <v>5.5</v>
      </c>
      <c r="Y1006" s="6">
        <v>6.75</v>
      </c>
      <c r="Z1006" s="5">
        <v>7.5</v>
      </c>
      <c r="AA1006" s="6">
        <v>3</v>
      </c>
      <c r="AB1006" s="7">
        <v>63.372999999999998</v>
      </c>
      <c r="AC1006" s="2"/>
    </row>
    <row r="1007" spans="1:29" ht="156" x14ac:dyDescent="0.15">
      <c r="A1007" s="3">
        <f>DATE(1992,12,22)</f>
        <v>33960</v>
      </c>
      <c r="B1007" s="3">
        <f>DATE(1993,11,19)</f>
        <v>34292</v>
      </c>
      <c r="C1007" s="2" t="s">
        <v>95</v>
      </c>
      <c r="D1007" s="2" t="s">
        <v>2148</v>
      </c>
      <c r="E1007" s="2" t="s">
        <v>32</v>
      </c>
      <c r="F1007" s="4">
        <v>6035</v>
      </c>
      <c r="G1007" s="2" t="s">
        <v>33</v>
      </c>
      <c r="H1007" s="2" t="s">
        <v>34</v>
      </c>
      <c r="I1007" s="2" t="s">
        <v>3429</v>
      </c>
      <c r="J1007" s="2" t="s">
        <v>36</v>
      </c>
      <c r="K1007" s="2" t="s">
        <v>37</v>
      </c>
      <c r="L1007" s="2" t="s">
        <v>34</v>
      </c>
      <c r="M1007" s="2"/>
      <c r="N1007" s="5">
        <v>28.5</v>
      </c>
      <c r="O1007" s="7">
        <v>27.625</v>
      </c>
      <c r="P1007" s="2" t="s">
        <v>3430</v>
      </c>
      <c r="Q1007" s="6">
        <v>100</v>
      </c>
      <c r="R1007" s="6">
        <v>30.6</v>
      </c>
      <c r="S1007" s="5">
        <v>5.9</v>
      </c>
      <c r="T1007" s="7">
        <v>10.956</v>
      </c>
      <c r="U1007" s="5">
        <v>19.5</v>
      </c>
      <c r="V1007" s="6">
        <v>3.42</v>
      </c>
      <c r="W1007" s="6">
        <v>15.75</v>
      </c>
      <c r="X1007" s="5">
        <v>14.5</v>
      </c>
      <c r="Y1007" s="4">
        <v>26</v>
      </c>
      <c r="Z1007" s="7">
        <v>26.125</v>
      </c>
      <c r="AA1007" s="6">
        <v>1.96</v>
      </c>
      <c r="AB1007" s="7">
        <v>43.621000000000002</v>
      </c>
      <c r="AC1007" s="2"/>
    </row>
    <row r="1008" spans="1:29" ht="39" x14ac:dyDescent="0.15">
      <c r="A1008" s="3">
        <f>DATE(1992,12,22)</f>
        <v>33960</v>
      </c>
      <c r="B1008" s="2"/>
      <c r="C1008" s="2" t="s">
        <v>87</v>
      </c>
      <c r="D1008" s="2" t="s">
        <v>3431</v>
      </c>
      <c r="E1008" s="2" t="s">
        <v>36</v>
      </c>
      <c r="F1008" s="4">
        <v>6035</v>
      </c>
      <c r="G1008" s="2" t="s">
        <v>33</v>
      </c>
      <c r="H1008" s="2" t="s">
        <v>34</v>
      </c>
      <c r="I1008" s="2" t="s">
        <v>2236</v>
      </c>
      <c r="J1008" s="2" t="s">
        <v>36</v>
      </c>
      <c r="K1008" s="2" t="s">
        <v>37</v>
      </c>
      <c r="L1008" s="2" t="s">
        <v>34</v>
      </c>
      <c r="M1008" s="2"/>
      <c r="N1008" s="7">
        <v>18.562999999999999</v>
      </c>
      <c r="O1008" s="7">
        <v>18.875</v>
      </c>
      <c r="P1008" s="2" t="s">
        <v>3432</v>
      </c>
      <c r="Q1008" s="2"/>
      <c r="R1008" s="2"/>
      <c r="S1008" s="5">
        <v>-59.2</v>
      </c>
      <c r="T1008" s="7">
        <v>-60.962000000000003</v>
      </c>
      <c r="U1008" s="5">
        <v>24</v>
      </c>
      <c r="V1008" s="6">
        <v>-11.16</v>
      </c>
      <c r="W1008" s="7">
        <v>6.375</v>
      </c>
      <c r="X1008" s="7">
        <v>6.375</v>
      </c>
      <c r="Y1008" s="6">
        <v>6.25</v>
      </c>
      <c r="Z1008" s="5">
        <v>6.5</v>
      </c>
      <c r="AA1008" s="2"/>
      <c r="AB1008" s="2" t="s">
        <v>86</v>
      </c>
      <c r="AC1008" s="2"/>
    </row>
    <row r="1009" spans="1:29" ht="39" x14ac:dyDescent="0.15">
      <c r="A1009" s="3">
        <f>DATE(1992,12,22)</f>
        <v>33960</v>
      </c>
      <c r="B1009" s="2"/>
      <c r="C1009" s="2" t="s">
        <v>87</v>
      </c>
      <c r="D1009" s="2" t="s">
        <v>3433</v>
      </c>
      <c r="E1009" s="2" t="s">
        <v>2898</v>
      </c>
      <c r="F1009" s="4">
        <v>6022</v>
      </c>
      <c r="G1009" s="2" t="s">
        <v>37</v>
      </c>
      <c r="H1009" s="2" t="s">
        <v>34</v>
      </c>
      <c r="I1009" s="2" t="s">
        <v>2236</v>
      </c>
      <c r="J1009" s="2" t="s">
        <v>36</v>
      </c>
      <c r="K1009" s="2" t="s">
        <v>37</v>
      </c>
      <c r="L1009" s="2" t="s">
        <v>34</v>
      </c>
      <c r="M1009" s="2"/>
      <c r="N1009" s="7">
        <v>18.562999999999999</v>
      </c>
      <c r="O1009" s="7">
        <v>18.875</v>
      </c>
      <c r="P1009" s="2" t="s">
        <v>3434</v>
      </c>
      <c r="Q1009" s="2"/>
      <c r="R1009" s="2"/>
      <c r="S1009" s="5">
        <v>-7.9</v>
      </c>
      <c r="T1009" s="7">
        <v>-2.7629999999999999</v>
      </c>
      <c r="U1009" s="5">
        <v>10.5</v>
      </c>
      <c r="V1009" s="6">
        <v>-0.57999999999999996</v>
      </c>
      <c r="W1009" s="6">
        <v>9.25</v>
      </c>
      <c r="X1009" s="6">
        <v>9.25</v>
      </c>
      <c r="Y1009" s="7">
        <v>8.625</v>
      </c>
      <c r="Z1009" s="6">
        <v>9.25</v>
      </c>
      <c r="AA1009" s="2"/>
      <c r="AB1009" s="2" t="s">
        <v>86</v>
      </c>
      <c r="AC1009" s="2"/>
    </row>
    <row r="1010" spans="1:29" ht="169" x14ac:dyDescent="0.15">
      <c r="A1010" s="3">
        <f>DATE(1992,12,24)</f>
        <v>33962</v>
      </c>
      <c r="B1010" s="3">
        <f>DATE(1993,10,15)</f>
        <v>34257</v>
      </c>
      <c r="C1010" s="2" t="s">
        <v>95</v>
      </c>
      <c r="D1010" s="2" t="s">
        <v>2526</v>
      </c>
      <c r="E1010" s="2" t="s">
        <v>2527</v>
      </c>
      <c r="F1010" s="4">
        <v>3823</v>
      </c>
      <c r="G1010" s="2" t="s">
        <v>226</v>
      </c>
      <c r="H1010" s="2" t="s">
        <v>34</v>
      </c>
      <c r="I1010" s="2" t="s">
        <v>3435</v>
      </c>
      <c r="J1010" s="2" t="s">
        <v>3436</v>
      </c>
      <c r="K1010" s="2" t="s">
        <v>300</v>
      </c>
      <c r="L1010" s="2" t="s">
        <v>34</v>
      </c>
      <c r="M1010" s="7">
        <v>112.54300000000001</v>
      </c>
      <c r="N1010" s="5">
        <v>18.5</v>
      </c>
      <c r="O1010" s="5">
        <v>18.5</v>
      </c>
      <c r="P1010" s="2" t="s">
        <v>3437</v>
      </c>
      <c r="Q1010" s="6">
        <v>100</v>
      </c>
      <c r="R1010" s="6">
        <v>14.63</v>
      </c>
      <c r="S1010" s="5">
        <v>-0.1</v>
      </c>
      <c r="T1010" s="7">
        <v>2.3420000000000001</v>
      </c>
      <c r="U1010" s="5">
        <v>3.1</v>
      </c>
      <c r="V1010" s="6">
        <v>-0.06</v>
      </c>
      <c r="W1010" s="6">
        <v>14.75</v>
      </c>
      <c r="X1010" s="6">
        <v>15.75</v>
      </c>
      <c r="Y1010" s="4">
        <v>16</v>
      </c>
      <c r="Z1010" s="4">
        <v>16</v>
      </c>
      <c r="AA1010" s="6">
        <v>3.03</v>
      </c>
      <c r="AB1010" s="7">
        <v>26.114999999999998</v>
      </c>
      <c r="AC1010" s="6">
        <v>11.85</v>
      </c>
    </row>
    <row r="1011" spans="1:29" ht="65" x14ac:dyDescent="0.15">
      <c r="A1011" s="3">
        <f>DATE(1992,12,24)</f>
        <v>33962</v>
      </c>
      <c r="B1011" s="2"/>
      <c r="C1011" s="2" t="s">
        <v>30</v>
      </c>
      <c r="D1011" s="2" t="s">
        <v>3438</v>
      </c>
      <c r="E1011" s="2" t="s">
        <v>3439</v>
      </c>
      <c r="F1011" s="4">
        <v>5411</v>
      </c>
      <c r="G1011" s="2" t="s">
        <v>1461</v>
      </c>
      <c r="H1011" s="2" t="s">
        <v>34</v>
      </c>
      <c r="I1011" s="2" t="s">
        <v>149</v>
      </c>
      <c r="J1011" s="2" t="s">
        <v>150</v>
      </c>
      <c r="K1011" s="2" t="s">
        <v>53</v>
      </c>
      <c r="L1011" s="2" t="s">
        <v>151</v>
      </c>
      <c r="M1011" s="2"/>
      <c r="N1011" s="2"/>
      <c r="O1011" s="2"/>
      <c r="P1011" s="2" t="s">
        <v>3440</v>
      </c>
      <c r="Q1011" s="2"/>
      <c r="R1011" s="2"/>
      <c r="S1011" s="5">
        <v>-2.6</v>
      </c>
      <c r="T1011" s="7">
        <v>0.95699999999999996</v>
      </c>
      <c r="U1011" s="5">
        <v>12</v>
      </c>
      <c r="V1011" s="6">
        <v>-1.51</v>
      </c>
      <c r="W1011" s="5">
        <v>4.5</v>
      </c>
      <c r="X1011" s="7">
        <v>4.625</v>
      </c>
      <c r="Y1011" s="5">
        <v>4.5</v>
      </c>
      <c r="Z1011" s="5">
        <v>4.5</v>
      </c>
      <c r="AA1011" s="6">
        <v>1.7</v>
      </c>
      <c r="AB1011" s="2" t="s">
        <v>86</v>
      </c>
      <c r="AC1011" s="2"/>
    </row>
    <row r="1012" spans="1:29" ht="117" x14ac:dyDescent="0.15">
      <c r="A1012" s="3">
        <f>DATE(1992,12,31)</f>
        <v>33969</v>
      </c>
      <c r="B1012" s="3">
        <f>DATE(1992,12,31)</f>
        <v>33969</v>
      </c>
      <c r="C1012" s="2" t="s">
        <v>95</v>
      </c>
      <c r="D1012" s="2" t="s">
        <v>3441</v>
      </c>
      <c r="E1012" s="2" t="s">
        <v>3442</v>
      </c>
      <c r="F1012" s="4">
        <v>2396</v>
      </c>
      <c r="G1012" s="2" t="s">
        <v>708</v>
      </c>
      <c r="H1012" s="2" t="s">
        <v>34</v>
      </c>
      <c r="I1012" s="2" t="s">
        <v>3443</v>
      </c>
      <c r="J1012" s="2" t="s">
        <v>1181</v>
      </c>
      <c r="K1012" s="2" t="s">
        <v>37</v>
      </c>
      <c r="L1012" s="2" t="s">
        <v>34</v>
      </c>
      <c r="M1012" s="2"/>
      <c r="N1012" s="2"/>
      <c r="O1012" s="2"/>
      <c r="P1012" s="2" t="s">
        <v>3444</v>
      </c>
      <c r="Q1012" s="6">
        <v>68</v>
      </c>
      <c r="R1012" s="2"/>
      <c r="S1012" s="5">
        <v>1.1000000000000001</v>
      </c>
      <c r="T1012" s="2"/>
      <c r="U1012" s="5">
        <v>4.4000000000000004</v>
      </c>
      <c r="V1012" s="2"/>
      <c r="W1012" s="6">
        <v>5.25</v>
      </c>
      <c r="X1012" s="6">
        <v>5.25</v>
      </c>
      <c r="Y1012" s="6">
        <v>6.25</v>
      </c>
      <c r="Z1012" s="5">
        <v>6.5</v>
      </c>
      <c r="AA1012" s="6">
        <v>5.61</v>
      </c>
      <c r="AB1012" s="2" t="s">
        <v>47</v>
      </c>
      <c r="AC1012" s="2"/>
    </row>
    <row r="1013" spans="1:29" ht="52" x14ac:dyDescent="0.15">
      <c r="A1013" s="3">
        <f>DATE(1993,1,4)</f>
        <v>33973</v>
      </c>
      <c r="B1013" s="3">
        <f>DATE(1993,1,28)</f>
        <v>33997</v>
      </c>
      <c r="C1013" s="2" t="s">
        <v>95</v>
      </c>
      <c r="D1013" s="2" t="s">
        <v>3445</v>
      </c>
      <c r="E1013" s="2" t="s">
        <v>3446</v>
      </c>
      <c r="F1013" s="4">
        <v>8069</v>
      </c>
      <c r="G1013" s="2" t="s">
        <v>454</v>
      </c>
      <c r="H1013" s="2" t="s">
        <v>34</v>
      </c>
      <c r="I1013" s="2" t="s">
        <v>3447</v>
      </c>
      <c r="J1013" s="2" t="s">
        <v>80</v>
      </c>
      <c r="K1013" s="2" t="s">
        <v>53</v>
      </c>
      <c r="L1013" s="2" t="s">
        <v>34</v>
      </c>
      <c r="M1013" s="2"/>
      <c r="N1013" s="2"/>
      <c r="O1013" s="2"/>
      <c r="P1013" s="2" t="s">
        <v>3448</v>
      </c>
      <c r="Q1013" s="6">
        <v>50.01</v>
      </c>
      <c r="R1013" s="6">
        <v>3.42</v>
      </c>
      <c r="S1013" s="5">
        <v>0.3</v>
      </c>
      <c r="T1013" s="7">
        <v>0.88200000000000001</v>
      </c>
      <c r="U1013" s="5">
        <v>1.4</v>
      </c>
      <c r="V1013" s="6">
        <v>0.23</v>
      </c>
      <c r="W1013" s="5">
        <v>5.5</v>
      </c>
      <c r="X1013" s="5">
        <v>5.5</v>
      </c>
      <c r="Y1013" s="4">
        <v>5</v>
      </c>
      <c r="Z1013" s="7">
        <v>4.875</v>
      </c>
      <c r="AA1013" s="6">
        <v>2.92</v>
      </c>
      <c r="AB1013" s="7">
        <v>17.317</v>
      </c>
      <c r="AC1013" s="2"/>
    </row>
    <row r="1014" spans="1:29" ht="104" x14ac:dyDescent="0.15">
      <c r="A1014" s="3">
        <f>DATE(1993,1,4)</f>
        <v>33973</v>
      </c>
      <c r="B1014" s="3">
        <f>DATE(1994,5,24)</f>
        <v>34478</v>
      </c>
      <c r="C1014" s="2" t="s">
        <v>95</v>
      </c>
      <c r="D1014" s="2" t="s">
        <v>3449</v>
      </c>
      <c r="E1014" s="2" t="s">
        <v>3450</v>
      </c>
      <c r="F1014" s="4">
        <v>4953</v>
      </c>
      <c r="G1014" s="2" t="s">
        <v>116</v>
      </c>
      <c r="H1014" s="2" t="s">
        <v>34</v>
      </c>
      <c r="I1014" s="2" t="s">
        <v>3451</v>
      </c>
      <c r="J1014" s="2" t="s">
        <v>3231</v>
      </c>
      <c r="K1014" s="2" t="s">
        <v>116</v>
      </c>
      <c r="L1014" s="2" t="s">
        <v>34</v>
      </c>
      <c r="M1014" s="2"/>
      <c r="N1014" s="7">
        <v>3.875</v>
      </c>
      <c r="O1014" s="9">
        <v>3.8125</v>
      </c>
      <c r="P1014" s="2" t="s">
        <v>3452</v>
      </c>
      <c r="Q1014" s="6">
        <v>100</v>
      </c>
      <c r="R1014" s="6">
        <v>1.01</v>
      </c>
      <c r="S1014" s="5">
        <v>-4.5999999999999996</v>
      </c>
      <c r="T1014" s="2"/>
      <c r="U1014" s="5">
        <v>1.4</v>
      </c>
      <c r="V1014" s="2"/>
      <c r="W1014" s="6">
        <v>2.75</v>
      </c>
      <c r="X1014" s="6">
        <v>2.75</v>
      </c>
      <c r="Y1014" s="5">
        <v>2.5</v>
      </c>
      <c r="Z1014" s="7">
        <v>2.625</v>
      </c>
      <c r="AA1014" s="6">
        <v>3.12</v>
      </c>
      <c r="AB1014" s="2" t="s">
        <v>86</v>
      </c>
      <c r="AC1014" s="2"/>
    </row>
    <row r="1015" spans="1:29" ht="117" x14ac:dyDescent="0.15">
      <c r="A1015" s="3">
        <f>DATE(1993,1,4)</f>
        <v>33973</v>
      </c>
      <c r="B1015" s="3">
        <f>DATE(1993,5,13)</f>
        <v>34102</v>
      </c>
      <c r="C1015" s="2" t="s">
        <v>95</v>
      </c>
      <c r="D1015" s="2" t="s">
        <v>3453</v>
      </c>
      <c r="E1015" s="2" t="s">
        <v>3454</v>
      </c>
      <c r="F1015" s="4">
        <v>5047</v>
      </c>
      <c r="G1015" s="2" t="s">
        <v>76</v>
      </c>
      <c r="H1015" s="2" t="s">
        <v>34</v>
      </c>
      <c r="I1015" s="2" t="s">
        <v>51</v>
      </c>
      <c r="J1015" s="2" t="s">
        <v>52</v>
      </c>
      <c r="K1015" s="2" t="s">
        <v>53</v>
      </c>
      <c r="L1015" s="2" t="s">
        <v>34</v>
      </c>
      <c r="M1015" s="2"/>
      <c r="N1015" s="2"/>
      <c r="O1015" s="2"/>
      <c r="P1015" s="2" t="s">
        <v>3455</v>
      </c>
      <c r="Q1015" s="6">
        <v>48</v>
      </c>
      <c r="R1015" s="6">
        <v>9.5</v>
      </c>
      <c r="S1015" s="5">
        <v>0.3</v>
      </c>
      <c r="T1015" s="7">
        <v>4.9989999999999997</v>
      </c>
      <c r="U1015" s="5">
        <v>10.3</v>
      </c>
      <c r="V1015" s="2"/>
      <c r="W1015" s="6">
        <v>6.25</v>
      </c>
      <c r="X1015" s="7">
        <v>6.375</v>
      </c>
      <c r="Y1015" s="6">
        <v>9.25</v>
      </c>
      <c r="Z1015" s="7">
        <v>9.125</v>
      </c>
      <c r="AA1015" s="6">
        <v>2.59</v>
      </c>
      <c r="AB1015" s="7">
        <v>13.211</v>
      </c>
      <c r="AC1015" s="2"/>
    </row>
    <row r="1016" spans="1:29" ht="156" x14ac:dyDescent="0.15">
      <c r="A1016" s="3">
        <f>DATE(1993,1,5)</f>
        <v>33974</v>
      </c>
      <c r="B1016" s="3">
        <f>DATE(1993,11,18)</f>
        <v>34291</v>
      </c>
      <c r="C1016" s="2" t="s">
        <v>95</v>
      </c>
      <c r="D1016" s="2" t="s">
        <v>3456</v>
      </c>
      <c r="E1016" s="2" t="s">
        <v>3457</v>
      </c>
      <c r="F1016" s="4">
        <v>2284</v>
      </c>
      <c r="G1016" s="2" t="s">
        <v>708</v>
      </c>
      <c r="H1016" s="2" t="s">
        <v>34</v>
      </c>
      <c r="I1016" s="2" t="s">
        <v>3458</v>
      </c>
      <c r="J1016" s="2" t="s">
        <v>80</v>
      </c>
      <c r="K1016" s="2" t="s">
        <v>53</v>
      </c>
      <c r="L1016" s="2" t="s">
        <v>34</v>
      </c>
      <c r="M1016" s="2"/>
      <c r="N1016" s="7">
        <v>6.375</v>
      </c>
      <c r="O1016" s="7">
        <v>6.375</v>
      </c>
      <c r="P1016" s="2" t="s">
        <v>3459</v>
      </c>
      <c r="Q1016" s="6">
        <v>100</v>
      </c>
      <c r="R1016" s="6">
        <v>30.25</v>
      </c>
      <c r="S1016" s="5">
        <v>2.2999999999999998</v>
      </c>
      <c r="T1016" s="7">
        <v>9.5869999999999997</v>
      </c>
      <c r="U1016" s="5">
        <v>24.6</v>
      </c>
      <c r="V1016" s="6">
        <v>1.19</v>
      </c>
      <c r="W1016" s="7">
        <v>27.875</v>
      </c>
      <c r="X1016" s="6">
        <v>28.75</v>
      </c>
      <c r="Y1016" s="7">
        <v>37.125</v>
      </c>
      <c r="Z1016" s="5">
        <v>34.5</v>
      </c>
      <c r="AA1016" s="6">
        <v>1.95</v>
      </c>
      <c r="AB1016" s="7">
        <v>12.474</v>
      </c>
      <c r="AC1016" s="6">
        <v>80.930000000000007</v>
      </c>
    </row>
    <row r="1017" spans="1:29" ht="143" x14ac:dyDescent="0.15">
      <c r="A1017" s="3">
        <f>DATE(1993,1,8)</f>
        <v>33977</v>
      </c>
      <c r="B1017" s="2"/>
      <c r="C1017" s="2" t="s">
        <v>56</v>
      </c>
      <c r="D1017" s="2" t="s">
        <v>2060</v>
      </c>
      <c r="E1017" s="2" t="s">
        <v>2061</v>
      </c>
      <c r="F1017" s="4">
        <v>3842</v>
      </c>
      <c r="G1017" s="2" t="s">
        <v>226</v>
      </c>
      <c r="H1017" s="2" t="s">
        <v>34</v>
      </c>
      <c r="I1017" s="2" t="s">
        <v>3460</v>
      </c>
      <c r="J1017" s="2" t="s">
        <v>3461</v>
      </c>
      <c r="K1017" s="2" t="s">
        <v>130</v>
      </c>
      <c r="L1017" s="2" t="s">
        <v>34</v>
      </c>
      <c r="M1017" s="2"/>
      <c r="N1017" s="4">
        <v>23</v>
      </c>
      <c r="O1017" s="6">
        <v>20.75</v>
      </c>
      <c r="P1017" s="2" t="s">
        <v>3462</v>
      </c>
      <c r="Q1017" s="2"/>
      <c r="R1017" s="2"/>
      <c r="S1017" s="5">
        <v>-18.5</v>
      </c>
      <c r="T1017" s="7">
        <v>-11.631</v>
      </c>
      <c r="U1017" s="5">
        <v>-0.1</v>
      </c>
      <c r="V1017" s="6">
        <v>-4.12</v>
      </c>
      <c r="W1017" s="5">
        <v>4.5</v>
      </c>
      <c r="X1017" s="7">
        <v>5.375</v>
      </c>
      <c r="Y1017" s="7">
        <v>3.375</v>
      </c>
      <c r="Z1017" s="7">
        <v>3.375</v>
      </c>
      <c r="AA1017" s="6">
        <v>9.0500000000000007</v>
      </c>
      <c r="AB1017" s="2" t="s">
        <v>86</v>
      </c>
      <c r="AC1017" s="2"/>
    </row>
    <row r="1018" spans="1:29" ht="143" x14ac:dyDescent="0.15">
      <c r="A1018" s="3">
        <f>DATE(1993,1,11)</f>
        <v>33980</v>
      </c>
      <c r="B1018" s="2"/>
      <c r="C1018" s="2" t="s">
        <v>30</v>
      </c>
      <c r="D1018" s="2" t="s">
        <v>3463</v>
      </c>
      <c r="E1018" s="2" t="s">
        <v>367</v>
      </c>
      <c r="F1018" s="4">
        <v>6211</v>
      </c>
      <c r="G1018" s="2" t="s">
        <v>53</v>
      </c>
      <c r="H1018" s="2" t="s">
        <v>34</v>
      </c>
      <c r="I1018" s="2" t="s">
        <v>526</v>
      </c>
      <c r="J1018" s="2" t="s">
        <v>159</v>
      </c>
      <c r="K1018" s="2" t="s">
        <v>37</v>
      </c>
      <c r="L1018" s="2" t="s">
        <v>34</v>
      </c>
      <c r="M1018" s="8">
        <v>3648</v>
      </c>
      <c r="N1018" s="7">
        <v>30.375</v>
      </c>
      <c r="O1018" s="6">
        <v>31.25</v>
      </c>
      <c r="P1018" s="2" t="s">
        <v>3464</v>
      </c>
      <c r="Q1018" s="2"/>
      <c r="R1018" s="6">
        <v>17.09</v>
      </c>
      <c r="S1018" s="5">
        <v>4.7</v>
      </c>
      <c r="T1018" s="7">
        <v>7.6059999999999999</v>
      </c>
      <c r="U1018" s="5">
        <v>10.8</v>
      </c>
      <c r="V1018" s="6">
        <v>1.81</v>
      </c>
      <c r="W1018" s="6">
        <v>12.25</v>
      </c>
      <c r="X1018" s="7">
        <v>12.375</v>
      </c>
      <c r="Y1018" s="7">
        <v>15.625</v>
      </c>
      <c r="Z1018" s="7">
        <v>15.625</v>
      </c>
      <c r="AA1018" s="6">
        <v>2.61</v>
      </c>
      <c r="AB1018" s="2" t="s">
        <v>86</v>
      </c>
      <c r="AC1018" s="2"/>
    </row>
    <row r="1019" spans="1:29" ht="156" x14ac:dyDescent="0.15">
      <c r="A1019" s="3">
        <f>DATE(1993,1,13)</f>
        <v>33982</v>
      </c>
      <c r="B1019" s="2"/>
      <c r="C1019" s="2" t="s">
        <v>30</v>
      </c>
      <c r="D1019" s="2" t="s">
        <v>2752</v>
      </c>
      <c r="E1019" s="2" t="s">
        <v>1888</v>
      </c>
      <c r="F1019" s="4">
        <v>4911</v>
      </c>
      <c r="G1019" s="2" t="s">
        <v>439</v>
      </c>
      <c r="H1019" s="2" t="s">
        <v>34</v>
      </c>
      <c r="I1019" s="2" t="s">
        <v>3465</v>
      </c>
      <c r="J1019" s="2" t="s">
        <v>3395</v>
      </c>
      <c r="K1019" s="2" t="s">
        <v>439</v>
      </c>
      <c r="L1019" s="2" t="s">
        <v>34</v>
      </c>
      <c r="M1019" s="2"/>
      <c r="N1019" s="7">
        <v>29.375</v>
      </c>
      <c r="O1019" s="7">
        <v>29.375</v>
      </c>
      <c r="P1019" s="2" t="s">
        <v>3466</v>
      </c>
      <c r="Q1019" s="2"/>
      <c r="R1019" s="2"/>
      <c r="S1019" s="5">
        <v>-238.2</v>
      </c>
      <c r="T1019" s="7">
        <v>145.001</v>
      </c>
      <c r="U1019" s="5">
        <v>-5.5</v>
      </c>
      <c r="V1019" s="6">
        <v>-7.16</v>
      </c>
      <c r="W1019" s="6">
        <v>3.75</v>
      </c>
      <c r="X1019" s="6">
        <v>3.75</v>
      </c>
      <c r="Y1019" s="4">
        <v>4</v>
      </c>
      <c r="Z1019" s="7">
        <v>3.6880000000000002</v>
      </c>
      <c r="AA1019" s="2"/>
      <c r="AB1019" s="2" t="s">
        <v>47</v>
      </c>
      <c r="AC1019" s="2"/>
    </row>
    <row r="1020" spans="1:29" ht="117" x14ac:dyDescent="0.15">
      <c r="A1020" s="3">
        <f>DATE(1993,1,13)</f>
        <v>33982</v>
      </c>
      <c r="B1020" s="2"/>
      <c r="C1020" s="2" t="s">
        <v>30</v>
      </c>
      <c r="D1020" s="2" t="s">
        <v>2752</v>
      </c>
      <c r="E1020" s="2" t="s">
        <v>1888</v>
      </c>
      <c r="F1020" s="4">
        <v>4911</v>
      </c>
      <c r="G1020" s="2" t="s">
        <v>439</v>
      </c>
      <c r="H1020" s="2" t="s">
        <v>34</v>
      </c>
      <c r="I1020" s="2" t="s">
        <v>3467</v>
      </c>
      <c r="J1020" s="2" t="s">
        <v>3468</v>
      </c>
      <c r="K1020" s="2" t="s">
        <v>148</v>
      </c>
      <c r="L1020" s="2" t="s">
        <v>34</v>
      </c>
      <c r="M1020" s="2"/>
      <c r="N1020" s="2"/>
      <c r="O1020" s="2"/>
      <c r="P1020" s="2" t="s">
        <v>3469</v>
      </c>
      <c r="Q1020" s="2"/>
      <c r="R1020" s="2"/>
      <c r="S1020" s="5">
        <v>-266.89999999999998</v>
      </c>
      <c r="T1020" s="7">
        <v>98.064999999999998</v>
      </c>
      <c r="U1020" s="5">
        <v>-5.4</v>
      </c>
      <c r="V1020" s="6">
        <v>-7.75</v>
      </c>
      <c r="W1020" s="6">
        <v>3.75</v>
      </c>
      <c r="X1020" s="6">
        <v>3.75</v>
      </c>
      <c r="Y1020" s="4">
        <v>4</v>
      </c>
      <c r="Z1020" s="7">
        <v>3.6880000000000002</v>
      </c>
      <c r="AA1020" s="2"/>
      <c r="AB1020" s="2" t="s">
        <v>47</v>
      </c>
      <c r="AC1020" s="2"/>
    </row>
    <row r="1021" spans="1:29" ht="91" x14ac:dyDescent="0.15">
      <c r="A1021" s="3">
        <f>DATE(1993,1,14)</f>
        <v>33983</v>
      </c>
      <c r="B1021" s="3">
        <f>DATE(1993,7,30)</f>
        <v>34180</v>
      </c>
      <c r="C1021" s="2" t="s">
        <v>95</v>
      </c>
      <c r="D1021" s="2" t="s">
        <v>3470</v>
      </c>
      <c r="E1021" s="2" t="s">
        <v>36</v>
      </c>
      <c r="F1021" s="4">
        <v>6022</v>
      </c>
      <c r="G1021" s="2" t="s">
        <v>37</v>
      </c>
      <c r="H1021" s="2" t="s">
        <v>34</v>
      </c>
      <c r="I1021" s="2" t="s">
        <v>3471</v>
      </c>
      <c r="J1021" s="2" t="s">
        <v>36</v>
      </c>
      <c r="K1021" s="2" t="s">
        <v>37</v>
      </c>
      <c r="L1021" s="2" t="s">
        <v>34</v>
      </c>
      <c r="M1021" s="2"/>
      <c r="N1021" s="2"/>
      <c r="O1021" s="2"/>
      <c r="P1021" s="2" t="s">
        <v>3472</v>
      </c>
      <c r="Q1021" s="6">
        <v>100</v>
      </c>
      <c r="R1021" s="6">
        <v>35.090000000000003</v>
      </c>
      <c r="S1021" s="5">
        <v>1.6</v>
      </c>
      <c r="T1021" s="7">
        <v>2.5640000000000001</v>
      </c>
      <c r="U1021" s="5">
        <v>31.8</v>
      </c>
      <c r="V1021" s="6">
        <v>2.8</v>
      </c>
      <c r="W1021" s="4">
        <v>26</v>
      </c>
      <c r="X1021" s="5">
        <v>25.5</v>
      </c>
      <c r="Y1021" s="5">
        <v>27.5</v>
      </c>
      <c r="Z1021" s="5">
        <v>31.5</v>
      </c>
      <c r="AA1021" s="6">
        <v>0.56999999999999995</v>
      </c>
      <c r="AB1021" s="7">
        <v>44.148000000000003</v>
      </c>
      <c r="AC1021" s="2"/>
    </row>
    <row r="1022" spans="1:29" ht="169" x14ac:dyDescent="0.15">
      <c r="A1022" s="3">
        <f>DATE(1993,1,14)</f>
        <v>33983</v>
      </c>
      <c r="B1022" s="3">
        <f>DATE(1993,7,19)</f>
        <v>34169</v>
      </c>
      <c r="C1022" s="2" t="s">
        <v>95</v>
      </c>
      <c r="D1022" s="2" t="s">
        <v>3473</v>
      </c>
      <c r="E1022" s="2" t="s">
        <v>1332</v>
      </c>
      <c r="F1022" s="4">
        <v>8082</v>
      </c>
      <c r="G1022" s="2" t="s">
        <v>454</v>
      </c>
      <c r="H1022" s="2" t="s">
        <v>34</v>
      </c>
      <c r="I1022" s="2" t="s">
        <v>255</v>
      </c>
      <c r="J1022" s="2" t="s">
        <v>256</v>
      </c>
      <c r="K1022" s="2" t="s">
        <v>98</v>
      </c>
      <c r="L1022" s="2" t="s">
        <v>34</v>
      </c>
      <c r="M1022" s="2"/>
      <c r="N1022" s="4">
        <v>38</v>
      </c>
      <c r="O1022" s="7">
        <v>38.125</v>
      </c>
      <c r="P1022" s="2" t="s">
        <v>3474</v>
      </c>
      <c r="Q1022" s="6">
        <v>99.19</v>
      </c>
      <c r="R1022" s="6">
        <v>6.6</v>
      </c>
      <c r="S1022" s="5">
        <v>2.1</v>
      </c>
      <c r="T1022" s="7">
        <v>5.6849999999999996</v>
      </c>
      <c r="U1022" s="5">
        <v>2</v>
      </c>
      <c r="V1022" s="6">
        <v>0.2</v>
      </c>
      <c r="W1022" s="7">
        <v>3.875</v>
      </c>
      <c r="X1022" s="7">
        <v>4.3129999999999997</v>
      </c>
      <c r="Y1022" s="7">
        <v>4.375</v>
      </c>
      <c r="Z1022" s="7">
        <v>5.6879999999999997</v>
      </c>
      <c r="AA1022" s="6">
        <v>15.87</v>
      </c>
      <c r="AB1022" s="7">
        <v>18.478000000000002</v>
      </c>
      <c r="AC1022" s="5">
        <v>62.8</v>
      </c>
    </row>
    <row r="1023" spans="1:29" ht="156" x14ac:dyDescent="0.15">
      <c r="A1023" s="3">
        <f>DATE(1993,1,14)</f>
        <v>33983</v>
      </c>
      <c r="B1023" s="2"/>
      <c r="C1023" s="2" t="s">
        <v>30</v>
      </c>
      <c r="D1023" s="2" t="s">
        <v>3475</v>
      </c>
      <c r="E1023" s="2" t="s">
        <v>3476</v>
      </c>
      <c r="F1023" s="4">
        <v>4899</v>
      </c>
      <c r="G1023" s="2" t="s">
        <v>63</v>
      </c>
      <c r="H1023" s="2" t="s">
        <v>34</v>
      </c>
      <c r="I1023" s="2" t="s">
        <v>3477</v>
      </c>
      <c r="J1023" s="2" t="s">
        <v>3478</v>
      </c>
      <c r="K1023" s="2" t="s">
        <v>63</v>
      </c>
      <c r="L1023" s="2" t="s">
        <v>34</v>
      </c>
      <c r="M1023" s="2"/>
      <c r="N1023" s="6">
        <v>18.25</v>
      </c>
      <c r="O1023" s="7">
        <v>17.625</v>
      </c>
      <c r="P1023" s="2" t="s">
        <v>3479</v>
      </c>
      <c r="Q1023" s="2"/>
      <c r="R1023" s="6">
        <v>11.32</v>
      </c>
      <c r="S1023" s="5">
        <v>2.8</v>
      </c>
      <c r="T1023" s="7">
        <v>8.2509999999999994</v>
      </c>
      <c r="U1023" s="5">
        <v>1.4</v>
      </c>
      <c r="V1023" s="6">
        <v>0.36</v>
      </c>
      <c r="W1023" s="5">
        <v>8.5</v>
      </c>
      <c r="X1023" s="4">
        <v>9</v>
      </c>
      <c r="Y1023" s="4">
        <v>10</v>
      </c>
      <c r="Z1023" s="6">
        <v>9.25</v>
      </c>
      <c r="AA1023" s="6">
        <v>9.4</v>
      </c>
      <c r="AB1023" s="7">
        <v>17.029</v>
      </c>
      <c r="AC1023" s="6">
        <v>13.89</v>
      </c>
    </row>
    <row r="1024" spans="1:29" ht="117" x14ac:dyDescent="0.15">
      <c r="A1024" s="3">
        <f>DATE(1993,1,15)</f>
        <v>33984</v>
      </c>
      <c r="B1024" s="2"/>
      <c r="C1024" s="2" t="s">
        <v>30</v>
      </c>
      <c r="D1024" s="2" t="s">
        <v>3480</v>
      </c>
      <c r="E1024" s="2" t="s">
        <v>3481</v>
      </c>
      <c r="F1024" s="4">
        <v>5051</v>
      </c>
      <c r="G1024" s="2" t="s">
        <v>76</v>
      </c>
      <c r="H1024" s="2" t="s">
        <v>34</v>
      </c>
      <c r="I1024" s="2" t="s">
        <v>51</v>
      </c>
      <c r="J1024" s="2" t="s">
        <v>52</v>
      </c>
      <c r="K1024" s="2" t="s">
        <v>53</v>
      </c>
      <c r="L1024" s="2" t="s">
        <v>34</v>
      </c>
      <c r="M1024" s="2"/>
      <c r="N1024" s="2"/>
      <c r="O1024" s="2"/>
      <c r="P1024" s="2" t="s">
        <v>3482</v>
      </c>
      <c r="Q1024" s="2"/>
      <c r="R1024" s="6">
        <v>3</v>
      </c>
      <c r="S1024" s="5">
        <v>1</v>
      </c>
      <c r="T1024" s="7">
        <v>3.3780000000000001</v>
      </c>
      <c r="U1024" s="5">
        <v>4.8</v>
      </c>
      <c r="V1024" s="6">
        <v>0.25</v>
      </c>
      <c r="W1024" s="7">
        <v>2.625</v>
      </c>
      <c r="X1024" s="5">
        <v>2.5</v>
      </c>
      <c r="Y1024" s="6">
        <v>2.75</v>
      </c>
      <c r="Z1024" s="6">
        <v>2.75</v>
      </c>
      <c r="AA1024" s="6">
        <v>3.73</v>
      </c>
      <c r="AB1024" s="7">
        <v>6.6390000000000002</v>
      </c>
      <c r="AC1024" s="2"/>
    </row>
    <row r="1025" spans="1:29" ht="130" x14ac:dyDescent="0.15">
      <c r="A1025" s="3">
        <f>DATE(1993,1,15)</f>
        <v>33984</v>
      </c>
      <c r="B1025" s="3">
        <f>DATE(1993,3,31)</f>
        <v>34059</v>
      </c>
      <c r="C1025" s="2" t="s">
        <v>95</v>
      </c>
      <c r="D1025" s="2" t="s">
        <v>2490</v>
      </c>
      <c r="E1025" s="2" t="s">
        <v>746</v>
      </c>
      <c r="F1025" s="4">
        <v>6311</v>
      </c>
      <c r="G1025" s="2" t="s">
        <v>125</v>
      </c>
      <c r="H1025" s="2" t="s">
        <v>34</v>
      </c>
      <c r="I1025" s="2" t="s">
        <v>3483</v>
      </c>
      <c r="J1025" s="2" t="s">
        <v>3484</v>
      </c>
      <c r="K1025" s="2" t="s">
        <v>125</v>
      </c>
      <c r="L1025" s="2" t="s">
        <v>34</v>
      </c>
      <c r="M1025" s="2"/>
      <c r="N1025" s="5">
        <v>22.5</v>
      </c>
      <c r="O1025" s="5">
        <v>22.5</v>
      </c>
      <c r="P1025" s="2" t="s">
        <v>3485</v>
      </c>
      <c r="Q1025" s="6">
        <v>99.19</v>
      </c>
      <c r="R1025" s="6">
        <v>8.1</v>
      </c>
      <c r="S1025" s="5">
        <v>1</v>
      </c>
      <c r="T1025" s="7">
        <v>1.0860000000000001</v>
      </c>
      <c r="U1025" s="5">
        <v>11.8</v>
      </c>
      <c r="V1025" s="6">
        <v>0.49</v>
      </c>
      <c r="W1025" s="7">
        <v>5.875</v>
      </c>
      <c r="X1025" s="7">
        <v>6.125</v>
      </c>
      <c r="Y1025" s="6">
        <v>6.25</v>
      </c>
      <c r="Z1025" s="5">
        <v>7.5</v>
      </c>
      <c r="AA1025" s="6">
        <v>2.54</v>
      </c>
      <c r="AB1025" s="7">
        <v>33.984999999999999</v>
      </c>
      <c r="AC1025" s="6">
        <v>4.2699999999999996</v>
      </c>
    </row>
    <row r="1026" spans="1:29" ht="130" x14ac:dyDescent="0.15">
      <c r="A1026" s="3">
        <f>DATE(1993,1,18)</f>
        <v>33987</v>
      </c>
      <c r="B1026" s="3">
        <f>DATE(1993,3,31)</f>
        <v>34059</v>
      </c>
      <c r="C1026" s="2" t="s">
        <v>95</v>
      </c>
      <c r="D1026" s="2" t="s">
        <v>3486</v>
      </c>
      <c r="E1026" s="2" t="s">
        <v>3487</v>
      </c>
      <c r="F1026" s="4">
        <v>2752</v>
      </c>
      <c r="G1026" s="2" t="s">
        <v>186</v>
      </c>
      <c r="H1026" s="2" t="s">
        <v>34</v>
      </c>
      <c r="I1026" s="2" t="s">
        <v>3488</v>
      </c>
      <c r="J1026" s="2" t="s">
        <v>717</v>
      </c>
      <c r="K1026" s="2" t="s">
        <v>53</v>
      </c>
      <c r="L1026" s="2" t="s">
        <v>34</v>
      </c>
      <c r="M1026" s="2"/>
      <c r="N1026" s="2"/>
      <c r="O1026" s="2"/>
      <c r="P1026" s="2" t="s">
        <v>3489</v>
      </c>
      <c r="Q1026" s="6">
        <v>100</v>
      </c>
      <c r="R1026" s="6">
        <v>15</v>
      </c>
      <c r="S1026" s="5">
        <v>4.8</v>
      </c>
      <c r="T1026" s="7">
        <v>23.452999999999999</v>
      </c>
      <c r="U1026" s="5">
        <v>4.5999999999999996</v>
      </c>
      <c r="V1026" s="2"/>
      <c r="W1026" s="5">
        <v>12.5</v>
      </c>
      <c r="X1026" s="6">
        <v>13.25</v>
      </c>
      <c r="Y1026" s="6">
        <v>13.25</v>
      </c>
      <c r="Z1026" s="4">
        <v>15</v>
      </c>
      <c r="AA1026" s="6">
        <v>7.38</v>
      </c>
      <c r="AB1026" s="7">
        <v>11.005000000000001</v>
      </c>
      <c r="AC1026" s="2"/>
    </row>
    <row r="1027" spans="1:29" ht="26" x14ac:dyDescent="0.15">
      <c r="A1027" s="3">
        <f>DATE(1993,1,18)</f>
        <v>33987</v>
      </c>
      <c r="B1027" s="2"/>
      <c r="C1027" s="2" t="s">
        <v>30</v>
      </c>
      <c r="D1027" s="2" t="s">
        <v>3490</v>
      </c>
      <c r="E1027" s="2" t="s">
        <v>3491</v>
      </c>
      <c r="F1027" s="4">
        <v>1041</v>
      </c>
      <c r="G1027" s="2" t="s">
        <v>166</v>
      </c>
      <c r="H1027" s="2" t="s">
        <v>34</v>
      </c>
      <c r="I1027" s="2" t="s">
        <v>138</v>
      </c>
      <c r="J1027" s="2" t="s">
        <v>139</v>
      </c>
      <c r="K1027" s="2" t="s">
        <v>53</v>
      </c>
      <c r="L1027" s="2" t="s">
        <v>139</v>
      </c>
      <c r="M1027" s="2"/>
      <c r="N1027" s="2"/>
      <c r="O1027" s="2"/>
      <c r="P1027" s="2" t="s">
        <v>3492</v>
      </c>
      <c r="Q1027" s="2"/>
      <c r="R1027" s="2"/>
      <c r="S1027" s="5">
        <v>-1.1000000000000001</v>
      </c>
      <c r="T1027" s="6">
        <v>3.16</v>
      </c>
      <c r="U1027" s="5">
        <v>1.7</v>
      </c>
      <c r="V1027" s="6">
        <v>-0.09</v>
      </c>
      <c r="W1027" s="7">
        <v>5.625</v>
      </c>
      <c r="X1027" s="6">
        <v>5.75</v>
      </c>
      <c r="Y1027" s="6">
        <v>5.75</v>
      </c>
      <c r="Z1027" s="7">
        <v>4.875</v>
      </c>
      <c r="AA1027" s="2"/>
      <c r="AB1027" s="2" t="s">
        <v>86</v>
      </c>
      <c r="AC1027" s="2"/>
    </row>
    <row r="1028" spans="1:29" ht="78" x14ac:dyDescent="0.15">
      <c r="A1028" s="3">
        <f>DATE(1993,1,19)</f>
        <v>33988</v>
      </c>
      <c r="B1028" s="2"/>
      <c r="C1028" s="2" t="s">
        <v>141</v>
      </c>
      <c r="D1028" s="2" t="s">
        <v>3493</v>
      </c>
      <c r="E1028" s="2" t="s">
        <v>3494</v>
      </c>
      <c r="F1028" s="4">
        <v>3695</v>
      </c>
      <c r="G1028" s="2" t="s">
        <v>137</v>
      </c>
      <c r="H1028" s="2" t="s">
        <v>34</v>
      </c>
      <c r="I1028" s="2" t="s">
        <v>143</v>
      </c>
      <c r="J1028" s="2" t="s">
        <v>144</v>
      </c>
      <c r="K1028" s="2" t="s">
        <v>53</v>
      </c>
      <c r="L1028" s="2" t="s">
        <v>139</v>
      </c>
      <c r="M1028" s="2"/>
      <c r="N1028" s="2"/>
      <c r="O1028" s="2"/>
      <c r="P1028" s="2" t="s">
        <v>3495</v>
      </c>
      <c r="Q1028" s="2"/>
      <c r="R1028" s="2"/>
      <c r="S1028" s="5">
        <v>-0.4</v>
      </c>
      <c r="T1028" s="2"/>
      <c r="U1028" s="5">
        <v>2.1</v>
      </c>
      <c r="V1028" s="2"/>
      <c r="W1028" s="4">
        <v>2</v>
      </c>
      <c r="X1028" s="4">
        <v>2</v>
      </c>
      <c r="Y1028" s="9">
        <v>2.1875</v>
      </c>
      <c r="Z1028" s="5">
        <v>2.5</v>
      </c>
      <c r="AA1028" s="2"/>
      <c r="AB1028" s="2" t="s">
        <v>86</v>
      </c>
      <c r="AC1028" s="2"/>
    </row>
    <row r="1029" spans="1:29" ht="117" x14ac:dyDescent="0.15">
      <c r="A1029" s="3">
        <f>DATE(1993,1,19)</f>
        <v>33988</v>
      </c>
      <c r="B1029" s="2"/>
      <c r="C1029" s="2" t="s">
        <v>82</v>
      </c>
      <c r="D1029" s="2" t="s">
        <v>3496</v>
      </c>
      <c r="E1029" s="2" t="s">
        <v>32</v>
      </c>
      <c r="F1029" s="4">
        <v>6035</v>
      </c>
      <c r="G1029" s="2" t="s">
        <v>33</v>
      </c>
      <c r="H1029" s="2" t="s">
        <v>34</v>
      </c>
      <c r="I1029" s="2" t="s">
        <v>51</v>
      </c>
      <c r="J1029" s="2" t="s">
        <v>52</v>
      </c>
      <c r="K1029" s="2" t="s">
        <v>53</v>
      </c>
      <c r="L1029" s="2" t="s">
        <v>34</v>
      </c>
      <c r="M1029" s="2"/>
      <c r="N1029" s="2"/>
      <c r="O1029" s="2"/>
      <c r="P1029" s="2" t="s">
        <v>3497</v>
      </c>
      <c r="Q1029" s="2"/>
      <c r="R1029" s="6">
        <v>30</v>
      </c>
      <c r="S1029" s="5">
        <v>5.6</v>
      </c>
      <c r="T1029" s="2"/>
      <c r="U1029" s="5">
        <v>31.1</v>
      </c>
      <c r="V1029" s="6">
        <v>1.07</v>
      </c>
      <c r="W1029" s="4">
        <v>23</v>
      </c>
      <c r="X1029" s="6">
        <v>22.75</v>
      </c>
      <c r="Y1029" s="6">
        <v>30.75</v>
      </c>
      <c r="Z1029" s="6">
        <v>31.25</v>
      </c>
      <c r="AA1029" s="6">
        <v>5.31</v>
      </c>
      <c r="AB1029" s="7">
        <v>151.74700000000001</v>
      </c>
      <c r="AC1029" s="2"/>
    </row>
    <row r="1030" spans="1:29" ht="156" x14ac:dyDescent="0.15">
      <c r="A1030" s="3">
        <f>DATE(1993,1,22)</f>
        <v>33991</v>
      </c>
      <c r="B1030" s="3">
        <f>DATE(1993,7,12)</f>
        <v>34162</v>
      </c>
      <c r="C1030" s="2" t="s">
        <v>95</v>
      </c>
      <c r="D1030" s="2" t="s">
        <v>3498</v>
      </c>
      <c r="E1030" s="2" t="s">
        <v>3499</v>
      </c>
      <c r="F1030" s="4">
        <v>1611</v>
      </c>
      <c r="G1030" s="2" t="s">
        <v>341</v>
      </c>
      <c r="H1030" s="2" t="s">
        <v>34</v>
      </c>
      <c r="I1030" s="2" t="s">
        <v>3500</v>
      </c>
      <c r="J1030" s="2" t="s">
        <v>3501</v>
      </c>
      <c r="K1030" s="2" t="s">
        <v>341</v>
      </c>
      <c r="L1030" s="2" t="s">
        <v>34</v>
      </c>
      <c r="M1030" s="2"/>
      <c r="N1030" s="2"/>
      <c r="O1030" s="2"/>
      <c r="P1030" s="2" t="s">
        <v>3502</v>
      </c>
      <c r="Q1030" s="6">
        <v>91.75</v>
      </c>
      <c r="R1030" s="2"/>
      <c r="S1030" s="5">
        <v>5.8</v>
      </c>
      <c r="T1030" s="7">
        <v>9.5589999999999993</v>
      </c>
      <c r="U1030" s="5">
        <v>4.4000000000000004</v>
      </c>
      <c r="V1030" s="6">
        <v>0.57999999999999996</v>
      </c>
      <c r="W1030" s="6">
        <v>10.25</v>
      </c>
      <c r="X1030" s="6">
        <v>10.25</v>
      </c>
      <c r="Y1030" s="7">
        <v>10.625</v>
      </c>
      <c r="Z1030" s="7">
        <v>10.625</v>
      </c>
      <c r="AA1030" s="6">
        <v>10.029999999999999</v>
      </c>
      <c r="AB1030" s="2" t="s">
        <v>47</v>
      </c>
      <c r="AC1030" s="2"/>
    </row>
    <row r="1031" spans="1:29" ht="104" x14ac:dyDescent="0.15">
      <c r="A1031" s="3">
        <f>DATE(1993,1,22)</f>
        <v>33991</v>
      </c>
      <c r="B1031" s="3">
        <f>DATE(1993,5,4)</f>
        <v>34093</v>
      </c>
      <c r="C1031" s="2" t="s">
        <v>95</v>
      </c>
      <c r="D1031" s="2" t="s">
        <v>3503</v>
      </c>
      <c r="E1031" s="2" t="s">
        <v>3504</v>
      </c>
      <c r="F1031" s="4">
        <v>5013</v>
      </c>
      <c r="G1031" s="2" t="s">
        <v>76</v>
      </c>
      <c r="H1031" s="2" t="s">
        <v>34</v>
      </c>
      <c r="I1031" s="2" t="s">
        <v>3505</v>
      </c>
      <c r="J1031" s="2" t="s">
        <v>3506</v>
      </c>
      <c r="K1031" s="2" t="s">
        <v>73</v>
      </c>
      <c r="L1031" s="2" t="s">
        <v>34</v>
      </c>
      <c r="M1031" s="2"/>
      <c r="N1031" s="9">
        <v>2.9375</v>
      </c>
      <c r="O1031" s="7">
        <v>2.875</v>
      </c>
      <c r="P1031" s="2" t="s">
        <v>3507</v>
      </c>
      <c r="Q1031" s="6">
        <v>100</v>
      </c>
      <c r="R1031" s="2"/>
      <c r="S1031" s="5">
        <v>0.2</v>
      </c>
      <c r="T1031" s="7">
        <v>0.503</v>
      </c>
      <c r="U1031" s="8">
        <v>4886</v>
      </c>
      <c r="V1031" s="2"/>
      <c r="W1031" s="6">
        <v>2.75</v>
      </c>
      <c r="X1031" s="6">
        <v>2.75</v>
      </c>
      <c r="Y1031" s="7">
        <v>2.9380000000000002</v>
      </c>
      <c r="Z1031" s="7">
        <v>2.875</v>
      </c>
      <c r="AA1031" s="2"/>
      <c r="AB1031" s="7">
        <v>14.387</v>
      </c>
      <c r="AC1031" s="2"/>
    </row>
    <row r="1032" spans="1:29" ht="143" x14ac:dyDescent="0.15">
      <c r="A1032" s="3">
        <f>DATE(1993,1,22)</f>
        <v>33991</v>
      </c>
      <c r="B1032" s="3">
        <f>DATE(1993,7,1)</f>
        <v>34151</v>
      </c>
      <c r="C1032" s="2" t="s">
        <v>95</v>
      </c>
      <c r="D1032" s="2" t="s">
        <v>3508</v>
      </c>
      <c r="E1032" s="2" t="s">
        <v>1888</v>
      </c>
      <c r="F1032" s="4">
        <v>4911</v>
      </c>
      <c r="G1032" s="2" t="s">
        <v>439</v>
      </c>
      <c r="H1032" s="2" t="s">
        <v>34</v>
      </c>
      <c r="I1032" s="2" t="s">
        <v>3509</v>
      </c>
      <c r="J1032" s="2" t="s">
        <v>3510</v>
      </c>
      <c r="K1032" s="2" t="s">
        <v>439</v>
      </c>
      <c r="L1032" s="2" t="s">
        <v>34</v>
      </c>
      <c r="M1032" s="12">
        <v>9371.7549999999992</v>
      </c>
      <c r="N1032" s="7">
        <v>42.625</v>
      </c>
      <c r="O1032" s="7">
        <v>42.625</v>
      </c>
      <c r="P1032" s="2" t="s">
        <v>3511</v>
      </c>
      <c r="Q1032" s="6">
        <v>100</v>
      </c>
      <c r="R1032" s="6">
        <v>94.6</v>
      </c>
      <c r="S1032" s="5">
        <v>3.6</v>
      </c>
      <c r="T1032" s="7">
        <v>10.042999999999999</v>
      </c>
      <c r="U1032" s="5">
        <v>46.3</v>
      </c>
      <c r="V1032" s="6">
        <v>5.4</v>
      </c>
      <c r="W1032" s="4">
        <v>51</v>
      </c>
      <c r="X1032" s="6">
        <v>50.25</v>
      </c>
      <c r="Y1032" s="7">
        <v>51.625</v>
      </c>
      <c r="Z1032" s="7">
        <v>51.625</v>
      </c>
      <c r="AA1032" s="6">
        <v>0.66</v>
      </c>
      <c r="AB1032" s="7">
        <v>11.064</v>
      </c>
      <c r="AC1032" s="6">
        <v>106.39</v>
      </c>
    </row>
    <row r="1033" spans="1:29" ht="143" x14ac:dyDescent="0.15">
      <c r="A1033" s="3">
        <f>DATE(1993,1,22)</f>
        <v>33991</v>
      </c>
      <c r="B1033" s="3">
        <f>DATE(1993,6,15)</f>
        <v>34135</v>
      </c>
      <c r="C1033" s="2" t="s">
        <v>95</v>
      </c>
      <c r="D1033" s="2" t="s">
        <v>3512</v>
      </c>
      <c r="E1033" s="2" t="s">
        <v>3513</v>
      </c>
      <c r="F1033" s="4">
        <v>2851</v>
      </c>
      <c r="G1033" s="2" t="s">
        <v>98</v>
      </c>
      <c r="H1033" s="2" t="s">
        <v>34</v>
      </c>
      <c r="I1033" s="2" t="s">
        <v>1526</v>
      </c>
      <c r="J1033" s="2" t="s">
        <v>302</v>
      </c>
      <c r="K1033" s="2" t="s">
        <v>53</v>
      </c>
      <c r="L1033" s="2" t="s">
        <v>34</v>
      </c>
      <c r="M1033" s="2"/>
      <c r="N1033" s="2"/>
      <c r="O1033" s="2"/>
      <c r="P1033" s="2" t="s">
        <v>3514</v>
      </c>
      <c r="Q1033" s="6">
        <v>75</v>
      </c>
      <c r="R1033" s="2"/>
      <c r="S1033" s="5">
        <v>-19.399999999999999</v>
      </c>
      <c r="T1033" s="7">
        <v>7.4999999999999997E-2</v>
      </c>
      <c r="U1033" s="5">
        <v>-4.7</v>
      </c>
      <c r="V1033" s="6">
        <v>-38.4</v>
      </c>
      <c r="W1033" s="4">
        <v>1</v>
      </c>
      <c r="X1033" s="5">
        <v>1.5</v>
      </c>
      <c r="Y1033" s="5">
        <v>1.5</v>
      </c>
      <c r="Z1033" s="6">
        <v>1.75</v>
      </c>
      <c r="AA1033" s="6">
        <v>5.6</v>
      </c>
      <c r="AB1033" s="2" t="s">
        <v>86</v>
      </c>
      <c r="AC1033" s="2"/>
    </row>
    <row r="1034" spans="1:29" ht="78" x14ac:dyDescent="0.15">
      <c r="A1034" s="3">
        <f>DATE(1993,1,27)</f>
        <v>33996</v>
      </c>
      <c r="B1034" s="3">
        <f>DATE(1994,1,4)</f>
        <v>34338</v>
      </c>
      <c r="C1034" s="2" t="s">
        <v>95</v>
      </c>
      <c r="D1034" s="2" t="s">
        <v>3515</v>
      </c>
      <c r="E1034" s="2" t="s">
        <v>389</v>
      </c>
      <c r="F1034" s="4">
        <v>6035</v>
      </c>
      <c r="G1034" s="2" t="s">
        <v>33</v>
      </c>
      <c r="H1034" s="2" t="s">
        <v>34</v>
      </c>
      <c r="I1034" s="2" t="s">
        <v>3516</v>
      </c>
      <c r="J1034" s="2" t="s">
        <v>3517</v>
      </c>
      <c r="K1034" s="2" t="s">
        <v>37</v>
      </c>
      <c r="L1034" s="2" t="s">
        <v>34</v>
      </c>
      <c r="M1034" s="2"/>
      <c r="N1034" s="2"/>
      <c r="O1034" s="2"/>
      <c r="P1034" s="2" t="s">
        <v>3518</v>
      </c>
      <c r="Q1034" s="6">
        <v>100</v>
      </c>
      <c r="R1034" s="6">
        <v>2.5</v>
      </c>
      <c r="S1034" s="5">
        <v>0.3</v>
      </c>
      <c r="T1034" s="2"/>
      <c r="U1034" s="2"/>
      <c r="V1034" s="6">
        <v>0.65</v>
      </c>
      <c r="W1034" s="5">
        <v>1.5</v>
      </c>
      <c r="X1034" s="5">
        <v>1.5</v>
      </c>
      <c r="Y1034" s="5">
        <v>1.5</v>
      </c>
      <c r="Z1034" s="7">
        <v>2.125</v>
      </c>
      <c r="AA1034" s="2"/>
      <c r="AB1034" s="2" t="s">
        <v>47</v>
      </c>
      <c r="AC1034" s="2"/>
    </row>
    <row r="1035" spans="1:29" ht="65" x14ac:dyDescent="0.15">
      <c r="A1035" s="3">
        <f>DATE(1993,1,28)</f>
        <v>33997</v>
      </c>
      <c r="B1035" s="2"/>
      <c r="C1035" s="2" t="s">
        <v>30</v>
      </c>
      <c r="D1035" s="2" t="s">
        <v>3519</v>
      </c>
      <c r="E1035" s="2" t="s">
        <v>3520</v>
      </c>
      <c r="F1035" s="4">
        <v>3931</v>
      </c>
      <c r="G1035" s="2" t="s">
        <v>112</v>
      </c>
      <c r="H1035" s="2" t="s">
        <v>34</v>
      </c>
      <c r="I1035" s="2" t="s">
        <v>51</v>
      </c>
      <c r="J1035" s="2" t="s">
        <v>52</v>
      </c>
      <c r="K1035" s="2" t="s">
        <v>53</v>
      </c>
      <c r="L1035" s="2" t="s">
        <v>34</v>
      </c>
      <c r="M1035" s="2"/>
      <c r="N1035" s="2"/>
      <c r="O1035" s="2"/>
      <c r="P1035" s="2" t="s">
        <v>3521</v>
      </c>
      <c r="Q1035" s="2"/>
      <c r="R1035" s="6">
        <v>18.25</v>
      </c>
      <c r="S1035" s="5">
        <v>5.3</v>
      </c>
      <c r="T1035" s="7">
        <v>6.0780000000000003</v>
      </c>
      <c r="U1035" s="2"/>
      <c r="V1035" s="6">
        <v>1.56</v>
      </c>
      <c r="W1035" s="7">
        <v>17.625</v>
      </c>
      <c r="X1035" s="4">
        <v>18</v>
      </c>
      <c r="Y1035" s="5">
        <v>17.5</v>
      </c>
      <c r="Z1035" s="6">
        <v>18.25</v>
      </c>
      <c r="AA1035" s="6">
        <v>3.4</v>
      </c>
      <c r="AB1035" s="7">
        <v>26.013999999999999</v>
      </c>
      <c r="AC1035" s="2"/>
    </row>
    <row r="1036" spans="1:29" ht="39" x14ac:dyDescent="0.15">
      <c r="A1036" s="3">
        <f>DATE(1993,1,29)</f>
        <v>33998</v>
      </c>
      <c r="B1036" s="2"/>
      <c r="C1036" s="2" t="s">
        <v>141</v>
      </c>
      <c r="D1036" s="2" t="s">
        <v>3522</v>
      </c>
      <c r="E1036" s="2" t="s">
        <v>3523</v>
      </c>
      <c r="F1036" s="4">
        <v>3822</v>
      </c>
      <c r="G1036" s="2" t="s">
        <v>226</v>
      </c>
      <c r="H1036" s="2" t="s">
        <v>34</v>
      </c>
      <c r="I1036" s="2" t="s">
        <v>143</v>
      </c>
      <c r="J1036" s="2" t="s">
        <v>144</v>
      </c>
      <c r="K1036" s="2" t="s">
        <v>53</v>
      </c>
      <c r="L1036" s="2" t="s">
        <v>139</v>
      </c>
      <c r="M1036" s="2"/>
      <c r="N1036" s="2"/>
      <c r="O1036" s="2"/>
      <c r="P1036" s="2" t="s">
        <v>3524</v>
      </c>
      <c r="Q1036" s="2"/>
      <c r="R1036" s="2"/>
      <c r="S1036" s="2"/>
      <c r="T1036" s="2"/>
      <c r="U1036" s="2"/>
      <c r="V1036" s="2"/>
      <c r="W1036" s="7">
        <v>3.125</v>
      </c>
      <c r="X1036" s="4">
        <v>3</v>
      </c>
      <c r="Y1036" s="6">
        <v>2.75</v>
      </c>
      <c r="Z1036" s="7">
        <v>2.875</v>
      </c>
      <c r="AA1036" s="2"/>
      <c r="AB1036" s="2" t="s">
        <v>47</v>
      </c>
      <c r="AC1036" s="2"/>
    </row>
    <row r="1037" spans="1:29" ht="52" x14ac:dyDescent="0.15">
      <c r="A1037" s="3">
        <f>DATE(1993,2,1)</f>
        <v>34001</v>
      </c>
      <c r="B1037" s="2"/>
      <c r="C1037" s="2" t="s">
        <v>189</v>
      </c>
      <c r="D1037" s="2" t="s">
        <v>3525</v>
      </c>
      <c r="E1037" s="2" t="s">
        <v>3526</v>
      </c>
      <c r="F1037" s="4">
        <v>3679</v>
      </c>
      <c r="G1037" s="2" t="s">
        <v>137</v>
      </c>
      <c r="H1037" s="2" t="s">
        <v>34</v>
      </c>
      <c r="I1037" s="2" t="s">
        <v>143</v>
      </c>
      <c r="J1037" s="2" t="s">
        <v>144</v>
      </c>
      <c r="K1037" s="2" t="s">
        <v>53</v>
      </c>
      <c r="L1037" s="2" t="s">
        <v>139</v>
      </c>
      <c r="M1037" s="2"/>
      <c r="N1037" s="2"/>
      <c r="O1037" s="2"/>
      <c r="P1037" s="2" t="s">
        <v>3527</v>
      </c>
      <c r="Q1037" s="2"/>
      <c r="R1037" s="2"/>
      <c r="S1037" s="5">
        <v>-3.8</v>
      </c>
      <c r="T1037" s="7">
        <v>-0.495</v>
      </c>
      <c r="U1037" s="5">
        <v>1.8</v>
      </c>
      <c r="V1037" s="6">
        <v>-0.67</v>
      </c>
      <c r="W1037" s="4">
        <v>2</v>
      </c>
      <c r="X1037" s="7">
        <v>2.0630000000000002</v>
      </c>
      <c r="Y1037" s="7">
        <v>2.0630000000000002</v>
      </c>
      <c r="Z1037" s="5">
        <v>2.5</v>
      </c>
      <c r="AA1037" s="2"/>
      <c r="AB1037" s="2" t="s">
        <v>86</v>
      </c>
      <c r="AC1037" s="2"/>
    </row>
    <row r="1038" spans="1:29" ht="104" x14ac:dyDescent="0.15">
      <c r="A1038" s="3">
        <f>DATE(1993,2,2)</f>
        <v>34002</v>
      </c>
      <c r="B1038" s="3">
        <f>DATE(1993,8,2)</f>
        <v>34183</v>
      </c>
      <c r="C1038" s="2" t="s">
        <v>95</v>
      </c>
      <c r="D1038" s="2" t="s">
        <v>3528</v>
      </c>
      <c r="E1038" s="2" t="s">
        <v>3529</v>
      </c>
      <c r="F1038" s="4">
        <v>3842</v>
      </c>
      <c r="G1038" s="2" t="s">
        <v>226</v>
      </c>
      <c r="H1038" s="2" t="s">
        <v>34</v>
      </c>
      <c r="I1038" s="2" t="s">
        <v>3530</v>
      </c>
      <c r="J1038" s="2" t="s">
        <v>3531</v>
      </c>
      <c r="K1038" s="2" t="s">
        <v>226</v>
      </c>
      <c r="L1038" s="2" t="s">
        <v>34</v>
      </c>
      <c r="M1038" s="2"/>
      <c r="N1038" s="7">
        <v>54.125</v>
      </c>
      <c r="O1038" s="7">
        <v>55.625</v>
      </c>
      <c r="P1038" s="2" t="s">
        <v>3532</v>
      </c>
      <c r="Q1038" s="6">
        <v>100</v>
      </c>
      <c r="R1038" s="6">
        <v>21</v>
      </c>
      <c r="S1038" s="5">
        <v>4.8</v>
      </c>
      <c r="T1038" s="7">
        <v>9.9260000000000002</v>
      </c>
      <c r="U1038" s="5">
        <v>5.5</v>
      </c>
      <c r="V1038" s="6">
        <v>0.75</v>
      </c>
      <c r="W1038" s="6">
        <v>14.75</v>
      </c>
      <c r="X1038" s="5">
        <v>14.5</v>
      </c>
      <c r="Y1038" s="6">
        <v>15.25</v>
      </c>
      <c r="Z1038" s="4">
        <v>23</v>
      </c>
      <c r="AA1038" s="6">
        <v>6.6</v>
      </c>
      <c r="AB1038" s="7">
        <v>16.686</v>
      </c>
      <c r="AC1038" s="6">
        <v>416.77</v>
      </c>
    </row>
    <row r="1039" spans="1:29" ht="91" x14ac:dyDescent="0.15">
      <c r="A1039" s="3">
        <f>DATE(1993,2,2)</f>
        <v>34002</v>
      </c>
      <c r="B1039" s="3">
        <f>DATE(1993,6,30)</f>
        <v>34150</v>
      </c>
      <c r="C1039" s="2" t="s">
        <v>95</v>
      </c>
      <c r="D1039" s="2" t="s">
        <v>3533</v>
      </c>
      <c r="E1039" s="2" t="s">
        <v>3534</v>
      </c>
      <c r="F1039" s="4">
        <v>5932</v>
      </c>
      <c r="G1039" s="2" t="s">
        <v>73</v>
      </c>
      <c r="H1039" s="2" t="s">
        <v>34</v>
      </c>
      <c r="I1039" s="2" t="s">
        <v>3535</v>
      </c>
      <c r="J1039" s="2" t="s">
        <v>3536</v>
      </c>
      <c r="K1039" s="2" t="s">
        <v>370</v>
      </c>
      <c r="L1039" s="2" t="s">
        <v>34</v>
      </c>
      <c r="M1039" s="2"/>
      <c r="N1039" s="7">
        <v>10.125</v>
      </c>
      <c r="O1039" s="4">
        <v>10</v>
      </c>
      <c r="P1039" s="2" t="s">
        <v>3537</v>
      </c>
      <c r="Q1039" s="6">
        <v>100</v>
      </c>
      <c r="R1039" s="6">
        <v>4.5999999999999996</v>
      </c>
      <c r="S1039" s="5">
        <v>-0.2</v>
      </c>
      <c r="T1039" s="7">
        <v>0.81100000000000005</v>
      </c>
      <c r="U1039" s="5">
        <v>3</v>
      </c>
      <c r="V1039" s="6">
        <v>-0.17</v>
      </c>
      <c r="W1039" s="7">
        <v>3.625</v>
      </c>
      <c r="X1039" s="5">
        <v>3.5</v>
      </c>
      <c r="Y1039" s="5">
        <v>4.5</v>
      </c>
      <c r="Z1039" s="5">
        <v>4.5</v>
      </c>
      <c r="AA1039" s="6">
        <v>1.36</v>
      </c>
      <c r="AB1039" s="7">
        <v>54.701999999999998</v>
      </c>
      <c r="AC1039" s="6">
        <v>4.2300000000000004</v>
      </c>
    </row>
    <row r="1040" spans="1:29" ht="91" x14ac:dyDescent="0.15">
      <c r="A1040" s="3">
        <f>DATE(1993,2,3)</f>
        <v>34003</v>
      </c>
      <c r="B1040" s="3">
        <f>DATE(1993,7,8)</f>
        <v>34158</v>
      </c>
      <c r="C1040" s="2" t="s">
        <v>95</v>
      </c>
      <c r="D1040" s="2" t="s">
        <v>3538</v>
      </c>
      <c r="E1040" s="2" t="s">
        <v>3539</v>
      </c>
      <c r="F1040" s="2" t="s">
        <v>3540</v>
      </c>
      <c r="G1040" s="2" t="s">
        <v>426</v>
      </c>
      <c r="H1040" s="2" t="s">
        <v>34</v>
      </c>
      <c r="I1040" s="2" t="s">
        <v>3541</v>
      </c>
      <c r="J1040" s="2" t="s">
        <v>52</v>
      </c>
      <c r="K1040" s="2" t="s">
        <v>53</v>
      </c>
      <c r="L1040" s="2" t="s">
        <v>34</v>
      </c>
      <c r="M1040" s="2"/>
      <c r="N1040" s="2"/>
      <c r="O1040" s="2"/>
      <c r="P1040" s="2" t="s">
        <v>3542</v>
      </c>
      <c r="Q1040" s="6">
        <v>100</v>
      </c>
      <c r="R1040" s="6">
        <v>6.93</v>
      </c>
      <c r="S1040" s="5">
        <v>2.2000000000000002</v>
      </c>
      <c r="T1040" s="7">
        <v>5.4939999999999998</v>
      </c>
      <c r="U1040" s="5">
        <v>7.3</v>
      </c>
      <c r="V1040" s="6">
        <v>0.37</v>
      </c>
      <c r="W1040" s="6">
        <v>4.75</v>
      </c>
      <c r="X1040" s="7">
        <v>4.875</v>
      </c>
      <c r="Y1040" s="6">
        <v>6.25</v>
      </c>
      <c r="Z1040" s="6">
        <v>6.25</v>
      </c>
      <c r="AA1040" s="6">
        <v>6.51</v>
      </c>
      <c r="AB1040" s="7">
        <v>10.667999999999999</v>
      </c>
      <c r="AC1040" s="2"/>
    </row>
    <row r="1041" spans="1:29" ht="156" x14ac:dyDescent="0.15">
      <c r="A1041" s="3">
        <f>DATE(1993,2,3)</f>
        <v>34003</v>
      </c>
      <c r="B1041" s="2"/>
      <c r="C1041" s="2" t="s">
        <v>30</v>
      </c>
      <c r="D1041" s="2" t="s">
        <v>3543</v>
      </c>
      <c r="E1041" s="2" t="s">
        <v>3544</v>
      </c>
      <c r="F1041" s="4">
        <v>4841</v>
      </c>
      <c r="G1041" s="2" t="s">
        <v>45</v>
      </c>
      <c r="H1041" s="2" t="s">
        <v>34</v>
      </c>
      <c r="I1041" s="2" t="s">
        <v>3545</v>
      </c>
      <c r="J1041" s="2" t="s">
        <v>3546</v>
      </c>
      <c r="K1041" s="2" t="s">
        <v>45</v>
      </c>
      <c r="L1041" s="2" t="s">
        <v>34</v>
      </c>
      <c r="M1041" s="2"/>
      <c r="N1041" s="2"/>
      <c r="O1041" s="2"/>
      <c r="P1041" s="2" t="s">
        <v>3547</v>
      </c>
      <c r="Q1041" s="2"/>
      <c r="R1041" s="2"/>
      <c r="S1041" s="5">
        <v>-4.8</v>
      </c>
      <c r="T1041" s="7">
        <v>-2.9940000000000002</v>
      </c>
      <c r="U1041" s="5">
        <v>0</v>
      </c>
      <c r="V1041" s="6">
        <v>-0.45</v>
      </c>
      <c r="W1041" s="7">
        <v>1.3129999999999999</v>
      </c>
      <c r="X1041" s="7">
        <v>1.125</v>
      </c>
      <c r="Y1041" s="7">
        <v>1.375</v>
      </c>
      <c r="Z1041" s="7">
        <v>1.625</v>
      </c>
      <c r="AA1041" s="2"/>
      <c r="AB1041" s="2" t="s">
        <v>86</v>
      </c>
      <c r="AC1041" s="2"/>
    </row>
    <row r="1042" spans="1:29" ht="65" x14ac:dyDescent="0.15">
      <c r="A1042" s="3">
        <f>DATE(1993,2,8)</f>
        <v>34008</v>
      </c>
      <c r="B1042" s="2"/>
      <c r="C1042" s="2" t="s">
        <v>56</v>
      </c>
      <c r="D1042" s="2" t="s">
        <v>3240</v>
      </c>
      <c r="E1042" s="2" t="s">
        <v>1737</v>
      </c>
      <c r="F1042" s="4">
        <v>2673</v>
      </c>
      <c r="G1042" s="2" t="s">
        <v>282</v>
      </c>
      <c r="H1042" s="2" t="s">
        <v>34</v>
      </c>
      <c r="I1042" s="2" t="s">
        <v>3548</v>
      </c>
      <c r="J1042" s="2" t="s">
        <v>3549</v>
      </c>
      <c r="K1042" s="2" t="s">
        <v>250</v>
      </c>
      <c r="L1042" s="2" t="s">
        <v>34</v>
      </c>
      <c r="M1042" s="2"/>
      <c r="N1042" s="2"/>
      <c r="O1042" s="2"/>
      <c r="P1042" s="2" t="s">
        <v>3550</v>
      </c>
      <c r="Q1042" s="2"/>
      <c r="R1042" s="2"/>
      <c r="S1042" s="5">
        <v>7</v>
      </c>
      <c r="T1042" s="7">
        <v>7.8239999999999998</v>
      </c>
      <c r="U1042" s="5">
        <v>6.3</v>
      </c>
      <c r="V1042" s="7">
        <v>1.6950000000000001</v>
      </c>
      <c r="W1042" s="4">
        <v>18</v>
      </c>
      <c r="X1042" s="5">
        <v>17.5</v>
      </c>
      <c r="Y1042" s="6">
        <v>18.25</v>
      </c>
      <c r="Z1042" s="4">
        <v>20</v>
      </c>
      <c r="AA1042" s="2"/>
      <c r="AB1042" s="2" t="s">
        <v>47</v>
      </c>
      <c r="AC1042" s="2"/>
    </row>
    <row r="1043" spans="1:29" ht="91" x14ac:dyDescent="0.15">
      <c r="A1043" s="3">
        <f>DATE(1993,2,8)</f>
        <v>34008</v>
      </c>
      <c r="B1043" s="3">
        <f>DATE(1993,7,8)</f>
        <v>34158</v>
      </c>
      <c r="C1043" s="2" t="s">
        <v>95</v>
      </c>
      <c r="D1043" s="2" t="s">
        <v>3551</v>
      </c>
      <c r="E1043" s="2" t="s">
        <v>3552</v>
      </c>
      <c r="F1043" s="4">
        <v>2269</v>
      </c>
      <c r="G1043" s="2" t="s">
        <v>708</v>
      </c>
      <c r="H1043" s="2" t="s">
        <v>34</v>
      </c>
      <c r="I1043" s="2" t="s">
        <v>3553</v>
      </c>
      <c r="J1043" s="2" t="s">
        <v>3554</v>
      </c>
      <c r="K1043" s="2" t="s">
        <v>76</v>
      </c>
      <c r="L1043" s="2" t="s">
        <v>34</v>
      </c>
      <c r="M1043" s="2"/>
      <c r="N1043" s="2"/>
      <c r="O1043" s="2"/>
      <c r="P1043" s="2" t="s">
        <v>3555</v>
      </c>
      <c r="Q1043" s="6">
        <v>100</v>
      </c>
      <c r="R1043" s="6">
        <v>6.75</v>
      </c>
      <c r="S1043" s="5">
        <v>1.3</v>
      </c>
      <c r="T1043" s="7">
        <v>4.665</v>
      </c>
      <c r="U1043" s="5">
        <v>5.5</v>
      </c>
      <c r="V1043" s="6">
        <v>0.56999999999999995</v>
      </c>
      <c r="W1043" s="7">
        <v>4.375</v>
      </c>
      <c r="X1043" s="7">
        <v>4.375</v>
      </c>
      <c r="Y1043" s="7">
        <v>4.375</v>
      </c>
      <c r="Z1043" s="7">
        <v>4.375</v>
      </c>
      <c r="AA1043" s="6">
        <v>2.3199999999999998</v>
      </c>
      <c r="AB1043" s="7">
        <v>5.8559999999999999</v>
      </c>
      <c r="AC1043" s="2"/>
    </row>
    <row r="1044" spans="1:29" ht="65" x14ac:dyDescent="0.15">
      <c r="A1044" s="3">
        <f>DATE(1993,2,11)</f>
        <v>34011</v>
      </c>
      <c r="B1044" s="2"/>
      <c r="C1044" s="2" t="s">
        <v>39</v>
      </c>
      <c r="D1044" s="2" t="s">
        <v>2599</v>
      </c>
      <c r="E1044" s="2" t="s">
        <v>2600</v>
      </c>
      <c r="F1044" s="4">
        <v>4833</v>
      </c>
      <c r="G1044" s="2" t="s">
        <v>45</v>
      </c>
      <c r="H1044" s="2" t="s">
        <v>34</v>
      </c>
      <c r="I1044" s="2" t="s">
        <v>3556</v>
      </c>
      <c r="J1044" s="2" t="s">
        <v>44</v>
      </c>
      <c r="K1044" s="2" t="s">
        <v>45</v>
      </c>
      <c r="L1044" s="2" t="s">
        <v>34</v>
      </c>
      <c r="M1044" s="2"/>
      <c r="N1044" s="6">
        <v>499.75</v>
      </c>
      <c r="O1044" s="6">
        <v>498.25</v>
      </c>
      <c r="P1044" s="2" t="s">
        <v>3557</v>
      </c>
      <c r="Q1044" s="2"/>
      <c r="R1044" s="2"/>
      <c r="S1044" s="5">
        <v>34.1</v>
      </c>
      <c r="T1044" s="7">
        <v>839.56100000000004</v>
      </c>
      <c r="U1044" s="5">
        <v>-0.1</v>
      </c>
      <c r="V1044" s="6">
        <v>0.13</v>
      </c>
      <c r="W1044" s="6">
        <v>22.75</v>
      </c>
      <c r="X1044" s="6">
        <v>23.25</v>
      </c>
      <c r="Y1044" s="6">
        <v>23.25</v>
      </c>
      <c r="Z1044" s="5">
        <v>23.5</v>
      </c>
      <c r="AA1044" s="6">
        <v>188.3</v>
      </c>
      <c r="AB1044" s="2" t="s">
        <v>47</v>
      </c>
      <c r="AC1044" s="10">
        <v>1197.77</v>
      </c>
    </row>
    <row r="1045" spans="1:29" ht="117" x14ac:dyDescent="0.15">
      <c r="A1045" s="3">
        <f>DATE(1993,2,12)</f>
        <v>34012</v>
      </c>
      <c r="B1045" s="2"/>
      <c r="C1045" s="2" t="s">
        <v>82</v>
      </c>
      <c r="D1045" s="2" t="s">
        <v>2679</v>
      </c>
      <c r="E1045" s="2" t="s">
        <v>2680</v>
      </c>
      <c r="F1045" s="4">
        <v>5961</v>
      </c>
      <c r="G1045" s="2" t="s">
        <v>73</v>
      </c>
      <c r="H1045" s="2" t="s">
        <v>34</v>
      </c>
      <c r="I1045" s="2" t="s">
        <v>3558</v>
      </c>
      <c r="J1045" s="2" t="s">
        <v>1893</v>
      </c>
      <c r="K1045" s="2" t="s">
        <v>45</v>
      </c>
      <c r="L1045" s="2" t="s">
        <v>34</v>
      </c>
      <c r="M1045" s="10">
        <v>1381.25</v>
      </c>
      <c r="N1045" s="5">
        <v>31.5</v>
      </c>
      <c r="O1045" s="5">
        <v>31.5</v>
      </c>
      <c r="P1045" s="2" t="s">
        <v>3559</v>
      </c>
      <c r="Q1045" s="2"/>
      <c r="R1045" s="6">
        <v>8.5</v>
      </c>
      <c r="S1045" s="5">
        <v>37.4</v>
      </c>
      <c r="T1045" s="7">
        <v>129.096</v>
      </c>
      <c r="U1045" s="5">
        <v>1.9</v>
      </c>
      <c r="V1045" s="6">
        <v>0.42</v>
      </c>
      <c r="W1045" s="7">
        <v>7.625</v>
      </c>
      <c r="X1045" s="7">
        <v>8.375</v>
      </c>
      <c r="Y1045" s="7">
        <v>8.125</v>
      </c>
      <c r="Z1045" s="7">
        <v>8.125</v>
      </c>
      <c r="AA1045" s="6">
        <v>88.36</v>
      </c>
      <c r="AB1045" s="7">
        <v>10.87</v>
      </c>
      <c r="AC1045" s="2"/>
    </row>
    <row r="1046" spans="1:29" ht="156" x14ac:dyDescent="0.15">
      <c r="A1046" s="3">
        <f>DATE(1993,2,12)</f>
        <v>34012</v>
      </c>
      <c r="B1046" s="3">
        <f>DATE(1994,7,12)</f>
        <v>34527</v>
      </c>
      <c r="C1046" s="2" t="s">
        <v>95</v>
      </c>
      <c r="D1046" s="2" t="s">
        <v>57</v>
      </c>
      <c r="E1046" s="2" t="s">
        <v>58</v>
      </c>
      <c r="F1046" s="4">
        <v>4512</v>
      </c>
      <c r="G1046" s="2" t="s">
        <v>59</v>
      </c>
      <c r="H1046" s="2" t="s">
        <v>34</v>
      </c>
      <c r="I1046" s="2" t="s">
        <v>3560</v>
      </c>
      <c r="J1046" s="2" t="s">
        <v>3561</v>
      </c>
      <c r="K1046" s="2" t="s">
        <v>3562</v>
      </c>
      <c r="L1046" s="2" t="s">
        <v>34</v>
      </c>
      <c r="M1046" s="2"/>
      <c r="N1046" s="2"/>
      <c r="O1046" s="2"/>
      <c r="P1046" s="2" t="s">
        <v>3563</v>
      </c>
      <c r="Q1046" s="6">
        <v>55</v>
      </c>
      <c r="R1046" s="2"/>
      <c r="S1046" s="5">
        <v>-31</v>
      </c>
      <c r="T1046" s="8">
        <v>1027</v>
      </c>
      <c r="U1046" s="5">
        <v>6.1</v>
      </c>
      <c r="V1046" s="6">
        <v>-0.66</v>
      </c>
      <c r="W1046" s="7">
        <v>128.125</v>
      </c>
      <c r="X1046" s="5">
        <v>124.5</v>
      </c>
      <c r="Y1046" s="4">
        <v>126</v>
      </c>
      <c r="Z1046" s="4">
        <v>126</v>
      </c>
      <c r="AA1046" s="6">
        <v>24</v>
      </c>
      <c r="AB1046" s="7">
        <v>34.701999999999998</v>
      </c>
      <c r="AC1046" s="2"/>
    </row>
    <row r="1047" spans="1:29" ht="130" x14ac:dyDescent="0.15">
      <c r="A1047" s="3">
        <f>DATE(1993,2,16)</f>
        <v>34016</v>
      </c>
      <c r="B1047" s="3">
        <f>DATE(1993,6,30)</f>
        <v>34150</v>
      </c>
      <c r="C1047" s="2" t="s">
        <v>95</v>
      </c>
      <c r="D1047" s="2" t="s">
        <v>3564</v>
      </c>
      <c r="E1047" s="2" t="s">
        <v>80</v>
      </c>
      <c r="F1047" s="4">
        <v>6799</v>
      </c>
      <c r="G1047" s="2" t="s">
        <v>53</v>
      </c>
      <c r="H1047" s="2" t="s">
        <v>34</v>
      </c>
      <c r="I1047" s="2" t="s">
        <v>3565</v>
      </c>
      <c r="J1047" s="2" t="s">
        <v>386</v>
      </c>
      <c r="K1047" s="2" t="s">
        <v>53</v>
      </c>
      <c r="L1047" s="2" t="s">
        <v>34</v>
      </c>
      <c r="M1047" s="7">
        <v>20.294</v>
      </c>
      <c r="N1047" s="7">
        <v>10.875</v>
      </c>
      <c r="O1047" s="6">
        <v>10.75</v>
      </c>
      <c r="P1047" s="2" t="s">
        <v>3566</v>
      </c>
      <c r="Q1047" s="6">
        <v>100</v>
      </c>
      <c r="R1047" s="6">
        <v>5</v>
      </c>
      <c r="S1047" s="2"/>
      <c r="T1047" s="2"/>
      <c r="U1047" s="2"/>
      <c r="V1047" s="2"/>
      <c r="W1047" s="7">
        <v>5.875</v>
      </c>
      <c r="X1047" s="7">
        <v>5.625</v>
      </c>
      <c r="Y1047" s="6">
        <v>5.75</v>
      </c>
      <c r="Z1047" s="5">
        <v>5.5</v>
      </c>
      <c r="AA1047" s="6">
        <v>2.12</v>
      </c>
      <c r="AB1047" s="2" t="s">
        <v>47</v>
      </c>
      <c r="AC1047" s="2"/>
    </row>
    <row r="1048" spans="1:29" ht="39" x14ac:dyDescent="0.15">
      <c r="A1048" s="3">
        <f>DATE(1993,2,16)</f>
        <v>34016</v>
      </c>
      <c r="B1048" s="2"/>
      <c r="C1048" s="2" t="s">
        <v>189</v>
      </c>
      <c r="D1048" s="2" t="s">
        <v>3567</v>
      </c>
      <c r="E1048" s="2" t="s">
        <v>32</v>
      </c>
      <c r="F1048" s="4">
        <v>6035</v>
      </c>
      <c r="G1048" s="2" t="s">
        <v>33</v>
      </c>
      <c r="H1048" s="2" t="s">
        <v>34</v>
      </c>
      <c r="I1048" s="2" t="s">
        <v>143</v>
      </c>
      <c r="J1048" s="2" t="s">
        <v>144</v>
      </c>
      <c r="K1048" s="2" t="s">
        <v>53</v>
      </c>
      <c r="L1048" s="2" t="s">
        <v>139</v>
      </c>
      <c r="M1048" s="2"/>
      <c r="N1048" s="2"/>
      <c r="O1048" s="2"/>
      <c r="P1048" s="2" t="s">
        <v>3568</v>
      </c>
      <c r="Q1048" s="2"/>
      <c r="R1048" s="2"/>
      <c r="S1048" s="2"/>
      <c r="T1048" s="2"/>
      <c r="U1048" s="2"/>
      <c r="V1048" s="2"/>
      <c r="W1048" s="6">
        <v>3.25</v>
      </c>
      <c r="X1048" s="7">
        <v>2.875</v>
      </c>
      <c r="Y1048" s="7">
        <v>2.125</v>
      </c>
      <c r="Z1048" s="6">
        <v>1.75</v>
      </c>
      <c r="AA1048" s="2"/>
      <c r="AB1048" s="2" t="s">
        <v>47</v>
      </c>
      <c r="AC1048" s="2"/>
    </row>
    <row r="1049" spans="1:29" ht="117" x14ac:dyDescent="0.15">
      <c r="A1049" s="3">
        <f>DATE(1993,2,16)</f>
        <v>34016</v>
      </c>
      <c r="B1049" s="3">
        <f>DATE(1993,9,30)</f>
        <v>34242</v>
      </c>
      <c r="C1049" s="2" t="s">
        <v>95</v>
      </c>
      <c r="D1049" s="2" t="s">
        <v>3569</v>
      </c>
      <c r="E1049" s="2" t="s">
        <v>36</v>
      </c>
      <c r="F1049" s="4">
        <v>6021</v>
      </c>
      <c r="G1049" s="2" t="s">
        <v>37</v>
      </c>
      <c r="H1049" s="2" t="s">
        <v>34</v>
      </c>
      <c r="I1049" s="2" t="s">
        <v>3570</v>
      </c>
      <c r="J1049" s="2" t="s">
        <v>36</v>
      </c>
      <c r="K1049" s="2" t="s">
        <v>37</v>
      </c>
      <c r="L1049" s="2" t="s">
        <v>34</v>
      </c>
      <c r="M1049" s="6">
        <v>14.42</v>
      </c>
      <c r="N1049" s="4">
        <v>10</v>
      </c>
      <c r="O1049" s="4">
        <v>11</v>
      </c>
      <c r="P1049" s="2" t="s">
        <v>3571</v>
      </c>
      <c r="Q1049" s="6">
        <v>100</v>
      </c>
      <c r="R1049" s="6">
        <v>60.9</v>
      </c>
      <c r="S1049" s="5">
        <v>1.3</v>
      </c>
      <c r="T1049" s="7">
        <v>2.3330000000000002</v>
      </c>
      <c r="U1049" s="5">
        <v>43.8</v>
      </c>
      <c r="V1049" s="6">
        <v>4.91</v>
      </c>
      <c r="W1049" s="4">
        <v>10</v>
      </c>
      <c r="X1049" s="4">
        <v>10</v>
      </c>
      <c r="Y1049" s="4">
        <v>10</v>
      </c>
      <c r="Z1049" s="4">
        <v>11</v>
      </c>
      <c r="AA1049" s="6">
        <v>0.27</v>
      </c>
      <c r="AB1049" s="7">
        <v>44.456000000000003</v>
      </c>
      <c r="AC1049" s="2"/>
    </row>
    <row r="1050" spans="1:29" ht="78" x14ac:dyDescent="0.15">
      <c r="A1050" s="3">
        <f>DATE(1993,2,16)</f>
        <v>34016</v>
      </c>
      <c r="B1050" s="2"/>
      <c r="C1050" s="2" t="s">
        <v>30</v>
      </c>
      <c r="D1050" s="2" t="s">
        <v>3572</v>
      </c>
      <c r="E1050" s="2" t="s">
        <v>3573</v>
      </c>
      <c r="F1050" s="4">
        <v>3442</v>
      </c>
      <c r="G1050" s="2" t="s">
        <v>163</v>
      </c>
      <c r="H1050" s="2" t="s">
        <v>34</v>
      </c>
      <c r="I1050" s="2" t="s">
        <v>3574</v>
      </c>
      <c r="J1050" s="2" t="s">
        <v>3575</v>
      </c>
      <c r="K1050" s="2" t="s">
        <v>250</v>
      </c>
      <c r="L1050" s="2" t="s">
        <v>34</v>
      </c>
      <c r="M1050" s="2"/>
      <c r="N1050" s="2"/>
      <c r="O1050" s="2"/>
      <c r="P1050" s="2" t="s">
        <v>3576</v>
      </c>
      <c r="Q1050" s="2"/>
      <c r="R1050" s="6">
        <v>8</v>
      </c>
      <c r="S1050" s="5">
        <v>1.7</v>
      </c>
      <c r="T1050" s="2"/>
      <c r="U1050" s="5">
        <v>6.9</v>
      </c>
      <c r="V1050" s="6">
        <v>0.95</v>
      </c>
      <c r="W1050" s="7">
        <v>8.125</v>
      </c>
      <c r="X1050" s="6">
        <v>7.75</v>
      </c>
      <c r="Y1050" s="6">
        <v>8.25</v>
      </c>
      <c r="Z1050" s="7">
        <v>7.875</v>
      </c>
      <c r="AA1050" s="6">
        <v>1.93</v>
      </c>
      <c r="AB1050" s="7">
        <v>3.9249999999999998</v>
      </c>
      <c r="AC1050" s="2"/>
    </row>
    <row r="1051" spans="1:29" ht="143" x14ac:dyDescent="0.15">
      <c r="A1051" s="3">
        <f>DATE(1993,2,17)</f>
        <v>34017</v>
      </c>
      <c r="B1051" s="2"/>
      <c r="C1051" s="2" t="s">
        <v>30</v>
      </c>
      <c r="D1051" s="2" t="s">
        <v>3577</v>
      </c>
      <c r="E1051" s="2" t="s">
        <v>3578</v>
      </c>
      <c r="F1051" s="4">
        <v>4412</v>
      </c>
      <c r="G1051" s="2" t="s">
        <v>173</v>
      </c>
      <c r="H1051" s="2" t="s">
        <v>34</v>
      </c>
      <c r="I1051" s="2" t="s">
        <v>3579</v>
      </c>
      <c r="J1051" s="2" t="s">
        <v>80</v>
      </c>
      <c r="K1051" s="2" t="s">
        <v>53</v>
      </c>
      <c r="L1051" s="2" t="s">
        <v>34</v>
      </c>
      <c r="M1051" s="2"/>
      <c r="N1051" s="2"/>
      <c r="O1051" s="2"/>
      <c r="P1051" s="2" t="s">
        <v>3580</v>
      </c>
      <c r="Q1051" s="2"/>
      <c r="R1051" s="2"/>
      <c r="S1051" s="5">
        <v>-0.4</v>
      </c>
      <c r="T1051" s="7">
        <v>-0.158</v>
      </c>
      <c r="U1051" s="5">
        <v>0</v>
      </c>
      <c r="V1051" s="6">
        <v>-0.12</v>
      </c>
      <c r="W1051" s="11">
        <v>5.46875</v>
      </c>
      <c r="X1051" s="11">
        <v>7.96875</v>
      </c>
      <c r="Y1051" s="2"/>
      <c r="Z1051" s="2"/>
      <c r="AA1051" s="6">
        <v>13.63</v>
      </c>
      <c r="AB1051" s="2" t="s">
        <v>86</v>
      </c>
      <c r="AC1051" s="2"/>
    </row>
    <row r="1052" spans="1:29" ht="26" x14ac:dyDescent="0.15">
      <c r="A1052" s="3">
        <f>DATE(1993,2,17)</f>
        <v>34017</v>
      </c>
      <c r="B1052" s="2"/>
      <c r="C1052" s="2" t="s">
        <v>141</v>
      </c>
      <c r="D1052" s="2" t="s">
        <v>3581</v>
      </c>
      <c r="E1052" s="2" t="s">
        <v>3582</v>
      </c>
      <c r="F1052" s="4">
        <v>6099</v>
      </c>
      <c r="G1052" s="2" t="s">
        <v>3583</v>
      </c>
      <c r="H1052" s="2" t="s">
        <v>34</v>
      </c>
      <c r="I1052" s="2" t="s">
        <v>143</v>
      </c>
      <c r="J1052" s="2" t="s">
        <v>144</v>
      </c>
      <c r="K1052" s="2" t="s">
        <v>53</v>
      </c>
      <c r="L1052" s="2" t="s">
        <v>139</v>
      </c>
      <c r="M1052" s="2"/>
      <c r="N1052" s="2"/>
      <c r="O1052" s="2"/>
      <c r="P1052" s="2" t="s">
        <v>3584</v>
      </c>
      <c r="Q1052" s="2"/>
      <c r="R1052" s="2"/>
      <c r="S1052" s="5">
        <v>-1.5</v>
      </c>
      <c r="T1052" s="7">
        <v>-1.2869999999999999</v>
      </c>
      <c r="U1052" s="5">
        <v>0</v>
      </c>
      <c r="V1052" s="6">
        <v>-0.13</v>
      </c>
      <c r="W1052" s="6">
        <v>5.25</v>
      </c>
      <c r="X1052" s="4">
        <v>5</v>
      </c>
      <c r="Y1052" s="7">
        <v>4.875</v>
      </c>
      <c r="Z1052" s="5">
        <v>4.5</v>
      </c>
      <c r="AA1052" s="2"/>
      <c r="AB1052" s="2" t="s">
        <v>86</v>
      </c>
      <c r="AC1052" s="2"/>
    </row>
    <row r="1053" spans="1:29" ht="143" x14ac:dyDescent="0.15">
      <c r="A1053" s="3">
        <f>DATE(1993,2,18)</f>
        <v>34018</v>
      </c>
      <c r="B1053" s="3">
        <f>DATE(1993,6,2)</f>
        <v>34122</v>
      </c>
      <c r="C1053" s="2" t="s">
        <v>95</v>
      </c>
      <c r="D1053" s="2" t="s">
        <v>3585</v>
      </c>
      <c r="E1053" s="2" t="s">
        <v>3586</v>
      </c>
      <c r="F1053" s="4">
        <v>1221</v>
      </c>
      <c r="G1053" s="2" t="s">
        <v>166</v>
      </c>
      <c r="H1053" s="2" t="s">
        <v>34</v>
      </c>
      <c r="I1053" s="2" t="s">
        <v>3587</v>
      </c>
      <c r="J1053" s="2" t="s">
        <v>3588</v>
      </c>
      <c r="K1053" s="2" t="s">
        <v>166</v>
      </c>
      <c r="L1053" s="2" t="s">
        <v>34</v>
      </c>
      <c r="M1053" s="2"/>
      <c r="N1053" s="2"/>
      <c r="O1053" s="2"/>
      <c r="P1053" s="2" t="s">
        <v>3589</v>
      </c>
      <c r="Q1053" s="6">
        <v>100</v>
      </c>
      <c r="R1053" s="6">
        <v>12</v>
      </c>
      <c r="S1053" s="5">
        <v>-252.3</v>
      </c>
      <c r="T1053" s="5">
        <v>-184.6</v>
      </c>
      <c r="U1053" s="5">
        <v>6.3</v>
      </c>
      <c r="V1053" s="6">
        <v>-6.44</v>
      </c>
      <c r="W1053" s="7">
        <v>11.875</v>
      </c>
      <c r="X1053" s="7">
        <v>13.375</v>
      </c>
      <c r="Y1053" s="4">
        <v>13</v>
      </c>
      <c r="Z1053" s="6">
        <v>12.75</v>
      </c>
      <c r="AA1053" s="6">
        <v>39.159999999999997</v>
      </c>
      <c r="AB1053" s="2" t="s">
        <v>86</v>
      </c>
      <c r="AC1053" s="2"/>
    </row>
    <row r="1054" spans="1:29" ht="117" x14ac:dyDescent="0.15">
      <c r="A1054" s="3">
        <f>DATE(1993,2,19)</f>
        <v>34019</v>
      </c>
      <c r="B1054" s="3">
        <f>DATE(1993,3,23)</f>
        <v>34051</v>
      </c>
      <c r="C1054" s="2" t="s">
        <v>95</v>
      </c>
      <c r="D1054" s="2" t="s">
        <v>3160</v>
      </c>
      <c r="E1054" s="2" t="s">
        <v>3161</v>
      </c>
      <c r="F1054" s="4">
        <v>6411</v>
      </c>
      <c r="G1054" s="2" t="s">
        <v>125</v>
      </c>
      <c r="H1054" s="2" t="s">
        <v>34</v>
      </c>
      <c r="I1054" s="2" t="s">
        <v>3590</v>
      </c>
      <c r="J1054" s="2" t="s">
        <v>3591</v>
      </c>
      <c r="K1054" s="2" t="s">
        <v>125</v>
      </c>
      <c r="L1054" s="2" t="s">
        <v>34</v>
      </c>
      <c r="M1054" s="2"/>
      <c r="N1054" s="2"/>
      <c r="O1054" s="2"/>
      <c r="P1054" s="2" t="s">
        <v>3592</v>
      </c>
      <c r="Q1054" s="6">
        <v>44.45</v>
      </c>
      <c r="R1054" s="6">
        <v>5.8</v>
      </c>
      <c r="S1054" s="5">
        <v>1.7</v>
      </c>
      <c r="T1054" s="7">
        <v>2.8159999999999998</v>
      </c>
      <c r="U1054" s="5">
        <v>7.7</v>
      </c>
      <c r="V1054" s="6">
        <v>1.08</v>
      </c>
      <c r="W1054" s="6">
        <v>4.25</v>
      </c>
      <c r="X1054" s="7">
        <v>4.625</v>
      </c>
      <c r="Y1054" s="7">
        <v>5.125</v>
      </c>
      <c r="Z1054" s="4">
        <v>5</v>
      </c>
      <c r="AA1054" s="6">
        <v>1.6</v>
      </c>
      <c r="AB1054" s="7">
        <v>3.0870000000000002</v>
      </c>
      <c r="AC1054" s="2"/>
    </row>
    <row r="1055" spans="1:29" ht="78" x14ac:dyDescent="0.15">
      <c r="A1055" s="3">
        <f>DATE(1993,2,19)</f>
        <v>34019</v>
      </c>
      <c r="B1055" s="3">
        <f>DATE(1993,8,6)</f>
        <v>34187</v>
      </c>
      <c r="C1055" s="2" t="s">
        <v>95</v>
      </c>
      <c r="D1055" s="2" t="s">
        <v>3593</v>
      </c>
      <c r="E1055" s="2" t="s">
        <v>1398</v>
      </c>
      <c r="F1055" s="4">
        <v>6035</v>
      </c>
      <c r="G1055" s="2" t="s">
        <v>33</v>
      </c>
      <c r="H1055" s="2" t="s">
        <v>34</v>
      </c>
      <c r="I1055" s="2" t="s">
        <v>3594</v>
      </c>
      <c r="J1055" s="2" t="s">
        <v>36</v>
      </c>
      <c r="K1055" s="2" t="s">
        <v>37</v>
      </c>
      <c r="L1055" s="2" t="s">
        <v>34</v>
      </c>
      <c r="M1055" s="2"/>
      <c r="N1055" s="4">
        <v>28</v>
      </c>
      <c r="O1055" s="5">
        <v>28.5</v>
      </c>
      <c r="P1055" s="2" t="s">
        <v>3595</v>
      </c>
      <c r="Q1055" s="6">
        <v>100</v>
      </c>
      <c r="R1055" s="6">
        <v>34</v>
      </c>
      <c r="S1055" s="5">
        <v>6.2</v>
      </c>
      <c r="T1055" s="7">
        <v>11.404</v>
      </c>
      <c r="U1055" s="5">
        <v>23.7</v>
      </c>
      <c r="V1055" s="2"/>
      <c r="W1055" s="5">
        <v>25.5</v>
      </c>
      <c r="X1055" s="6">
        <v>24.75</v>
      </c>
      <c r="Y1055" s="6">
        <v>31.25</v>
      </c>
      <c r="Z1055" s="6">
        <v>31.75</v>
      </c>
      <c r="AA1055" s="6">
        <v>2.57</v>
      </c>
      <c r="AB1055" s="7">
        <v>100.447</v>
      </c>
      <c r="AC1055" s="2"/>
    </row>
    <row r="1056" spans="1:29" ht="143" x14ac:dyDescent="0.15">
      <c r="A1056" s="3">
        <f>DATE(1993,2,23)</f>
        <v>34023</v>
      </c>
      <c r="B1056" s="3">
        <f>DATE(1993,8,11)</f>
        <v>34192</v>
      </c>
      <c r="C1056" s="2" t="s">
        <v>95</v>
      </c>
      <c r="D1056" s="2" t="s">
        <v>2255</v>
      </c>
      <c r="E1056" s="2" t="s">
        <v>32</v>
      </c>
      <c r="F1056" s="4">
        <v>6035</v>
      </c>
      <c r="G1056" s="2" t="s">
        <v>33</v>
      </c>
      <c r="H1056" s="2" t="s">
        <v>34</v>
      </c>
      <c r="I1056" s="2" t="s">
        <v>67</v>
      </c>
      <c r="J1056" s="2" t="s">
        <v>36</v>
      </c>
      <c r="K1056" s="2" t="s">
        <v>37</v>
      </c>
      <c r="L1056" s="2" t="s">
        <v>34</v>
      </c>
      <c r="M1056" s="12">
        <v>3507.0949999999998</v>
      </c>
      <c r="N1056" s="6">
        <v>46.75</v>
      </c>
      <c r="O1056" s="7">
        <v>47.875</v>
      </c>
      <c r="P1056" s="2" t="s">
        <v>3596</v>
      </c>
      <c r="Q1056" s="6">
        <v>100</v>
      </c>
      <c r="R1056" s="6">
        <v>28.35</v>
      </c>
      <c r="S1056" s="5">
        <v>5.4</v>
      </c>
      <c r="T1056" s="2"/>
      <c r="U1056" s="5">
        <v>24.1</v>
      </c>
      <c r="V1056" s="6">
        <v>1.57</v>
      </c>
      <c r="W1056" s="4">
        <v>16</v>
      </c>
      <c r="X1056" s="4">
        <v>17</v>
      </c>
      <c r="Y1056" s="4">
        <v>26</v>
      </c>
      <c r="Z1056" s="7">
        <v>26.125</v>
      </c>
      <c r="AA1056" s="6">
        <v>2.33</v>
      </c>
      <c r="AB1056" s="7">
        <v>43.335000000000001</v>
      </c>
      <c r="AC1056" s="2"/>
    </row>
    <row r="1057" spans="1:29" ht="52" x14ac:dyDescent="0.15">
      <c r="A1057" s="3">
        <f>DATE(1993,2,26)</f>
        <v>34026</v>
      </c>
      <c r="B1057" s="3">
        <f>DATE(1993,2,26)</f>
        <v>34026</v>
      </c>
      <c r="C1057" s="2" t="s">
        <v>95</v>
      </c>
      <c r="D1057" s="2" t="s">
        <v>3567</v>
      </c>
      <c r="E1057" s="2" t="s">
        <v>32</v>
      </c>
      <c r="F1057" s="4">
        <v>6035</v>
      </c>
      <c r="G1057" s="2" t="s">
        <v>33</v>
      </c>
      <c r="H1057" s="2" t="s">
        <v>34</v>
      </c>
      <c r="I1057" s="2" t="s">
        <v>3597</v>
      </c>
      <c r="J1057" s="2" t="s">
        <v>1181</v>
      </c>
      <c r="K1057" s="2" t="s">
        <v>37</v>
      </c>
      <c r="L1057" s="2" t="s">
        <v>34</v>
      </c>
      <c r="M1057" s="2"/>
      <c r="N1057" s="2"/>
      <c r="O1057" s="2"/>
      <c r="P1057" s="2" t="s">
        <v>3598</v>
      </c>
      <c r="Q1057" s="6">
        <v>100</v>
      </c>
      <c r="R1057" s="2"/>
      <c r="S1057" s="2"/>
      <c r="T1057" s="2"/>
      <c r="U1057" s="2"/>
      <c r="V1057" s="2"/>
      <c r="W1057" s="6">
        <v>1.25</v>
      </c>
      <c r="X1057" s="7">
        <v>1.375</v>
      </c>
      <c r="Y1057" s="7">
        <v>1.375</v>
      </c>
      <c r="Z1057" s="7">
        <v>1.375</v>
      </c>
      <c r="AA1057" s="2"/>
      <c r="AB1057" s="2" t="s">
        <v>47</v>
      </c>
      <c r="AC1057" s="2"/>
    </row>
    <row r="1058" spans="1:29" ht="52" x14ac:dyDescent="0.15">
      <c r="A1058" s="3">
        <f>DATE(1993,3,2)</f>
        <v>34030</v>
      </c>
      <c r="B1058" s="3">
        <f>DATE(1993,3,2)</f>
        <v>34030</v>
      </c>
      <c r="C1058" s="2" t="s">
        <v>95</v>
      </c>
      <c r="D1058" s="2" t="s">
        <v>3599</v>
      </c>
      <c r="E1058" s="2" t="s">
        <v>3600</v>
      </c>
      <c r="F1058" s="4">
        <v>8082</v>
      </c>
      <c r="G1058" s="2" t="s">
        <v>454</v>
      </c>
      <c r="H1058" s="2" t="s">
        <v>34</v>
      </c>
      <c r="I1058" s="2" t="s">
        <v>3601</v>
      </c>
      <c r="J1058" s="2" t="s">
        <v>2426</v>
      </c>
      <c r="K1058" s="2" t="s">
        <v>226</v>
      </c>
      <c r="L1058" s="2" t="s">
        <v>34</v>
      </c>
      <c r="M1058" s="2"/>
      <c r="N1058" s="5">
        <v>18.5</v>
      </c>
      <c r="O1058" s="6">
        <v>17.75</v>
      </c>
      <c r="P1058" s="2" t="s">
        <v>3602</v>
      </c>
      <c r="Q1058" s="6">
        <v>100</v>
      </c>
      <c r="R1058" s="6">
        <v>1.27</v>
      </c>
      <c r="S1058" s="5">
        <v>-0.3</v>
      </c>
      <c r="T1058" s="7">
        <v>-0.22800000000000001</v>
      </c>
      <c r="U1058" s="5">
        <v>0.2</v>
      </c>
      <c r="V1058" s="6">
        <v>-0.04</v>
      </c>
      <c r="W1058" s="7">
        <v>1.125</v>
      </c>
      <c r="X1058" s="7">
        <v>1.1879999999999999</v>
      </c>
      <c r="Y1058" s="7">
        <v>1.125</v>
      </c>
      <c r="Z1058" s="6">
        <v>1.25</v>
      </c>
      <c r="AA1058" s="6">
        <v>9.84</v>
      </c>
      <c r="AB1058" s="2" t="s">
        <v>86</v>
      </c>
      <c r="AC1058" s="2"/>
    </row>
    <row r="1059" spans="1:29" ht="143" x14ac:dyDescent="0.15">
      <c r="A1059" s="3">
        <f>DATE(1993,3,3)</f>
        <v>34031</v>
      </c>
      <c r="B1059" s="3">
        <f>DATE(1993,6,21)</f>
        <v>34141</v>
      </c>
      <c r="C1059" s="2" t="s">
        <v>95</v>
      </c>
      <c r="D1059" s="2" t="s">
        <v>3603</v>
      </c>
      <c r="E1059" s="2" t="s">
        <v>3604</v>
      </c>
      <c r="F1059" s="4">
        <v>1521</v>
      </c>
      <c r="G1059" s="2" t="s">
        <v>341</v>
      </c>
      <c r="H1059" s="2" t="s">
        <v>34</v>
      </c>
      <c r="I1059" s="2" t="s">
        <v>1526</v>
      </c>
      <c r="J1059" s="2" t="s">
        <v>302</v>
      </c>
      <c r="K1059" s="2" t="s">
        <v>53</v>
      </c>
      <c r="L1059" s="2" t="s">
        <v>34</v>
      </c>
      <c r="M1059" s="2"/>
      <c r="N1059" s="2"/>
      <c r="O1059" s="2"/>
      <c r="P1059" s="2" t="s">
        <v>3605</v>
      </c>
      <c r="Q1059" s="2"/>
      <c r="R1059" s="2"/>
      <c r="S1059" s="5">
        <v>-21.4</v>
      </c>
      <c r="T1059" s="7">
        <v>39.106999999999999</v>
      </c>
      <c r="U1059" s="5">
        <v>1.2</v>
      </c>
      <c r="V1059" s="6">
        <v>-0.47</v>
      </c>
      <c r="W1059" s="6">
        <v>1.25</v>
      </c>
      <c r="X1059" s="7">
        <v>1.125</v>
      </c>
      <c r="Y1059" s="7">
        <v>1.375</v>
      </c>
      <c r="Z1059" s="6">
        <v>1.25</v>
      </c>
      <c r="AA1059" s="2"/>
      <c r="AB1059" s="2" t="s">
        <v>47</v>
      </c>
      <c r="AC1059" s="2"/>
    </row>
    <row r="1060" spans="1:29" ht="78" x14ac:dyDescent="0.15">
      <c r="A1060" s="3">
        <f>DATE(1993,3,4)</f>
        <v>34032</v>
      </c>
      <c r="B1060" s="3">
        <f>DATE(1993,5,26)</f>
        <v>34115</v>
      </c>
      <c r="C1060" s="2" t="s">
        <v>95</v>
      </c>
      <c r="D1060" s="2" t="s">
        <v>3606</v>
      </c>
      <c r="E1060" s="2" t="s">
        <v>3607</v>
      </c>
      <c r="F1060" s="4">
        <v>3541</v>
      </c>
      <c r="G1060" s="2" t="s">
        <v>300</v>
      </c>
      <c r="H1060" s="2" t="s">
        <v>34</v>
      </c>
      <c r="I1060" s="2" t="s">
        <v>3608</v>
      </c>
      <c r="J1060" s="2" t="s">
        <v>244</v>
      </c>
      <c r="K1060" s="2" t="s">
        <v>53</v>
      </c>
      <c r="L1060" s="2" t="s">
        <v>34</v>
      </c>
      <c r="M1060" s="2"/>
      <c r="N1060" s="2"/>
      <c r="O1060" s="2"/>
      <c r="P1060" s="2" t="s">
        <v>3609</v>
      </c>
      <c r="Q1060" s="6">
        <v>100</v>
      </c>
      <c r="R1060" s="6">
        <v>3.74</v>
      </c>
      <c r="S1060" s="5">
        <v>-0.3</v>
      </c>
      <c r="T1060" s="6">
        <v>0.35</v>
      </c>
      <c r="U1060" s="5">
        <v>4.5</v>
      </c>
      <c r="V1060" s="6">
        <v>-0.06</v>
      </c>
      <c r="W1060" s="6">
        <v>2.25</v>
      </c>
      <c r="X1060" s="6">
        <v>2.25</v>
      </c>
      <c r="Y1060" s="4">
        <v>3</v>
      </c>
      <c r="Z1060" s="6">
        <v>3.25</v>
      </c>
      <c r="AA1060" s="6">
        <v>2.63</v>
      </c>
      <c r="AB1060" s="2" t="s">
        <v>86</v>
      </c>
      <c r="AC1060" s="2"/>
    </row>
    <row r="1061" spans="1:29" ht="117" x14ac:dyDescent="0.15">
      <c r="A1061" s="3">
        <f>DATE(1993,3,8)</f>
        <v>34036</v>
      </c>
      <c r="B1061" s="3">
        <f>DATE(1993,7,30)</f>
        <v>34180</v>
      </c>
      <c r="C1061" s="2" t="s">
        <v>95</v>
      </c>
      <c r="D1061" s="2" t="s">
        <v>3610</v>
      </c>
      <c r="E1061" s="2" t="s">
        <v>3611</v>
      </c>
      <c r="F1061" s="4">
        <v>3577</v>
      </c>
      <c r="G1061" s="2" t="s">
        <v>50</v>
      </c>
      <c r="H1061" s="2" t="s">
        <v>34</v>
      </c>
      <c r="I1061" s="2" t="s">
        <v>3612</v>
      </c>
      <c r="J1061" s="2" t="s">
        <v>3613</v>
      </c>
      <c r="K1061" s="2" t="s">
        <v>921</v>
      </c>
      <c r="L1061" s="2" t="s">
        <v>34</v>
      </c>
      <c r="M1061" s="7">
        <v>10.763</v>
      </c>
      <c r="N1061" s="5">
        <v>4.5</v>
      </c>
      <c r="O1061" s="4">
        <v>4</v>
      </c>
      <c r="P1061" s="2" t="s">
        <v>3614</v>
      </c>
      <c r="Q1061" s="6">
        <v>100</v>
      </c>
      <c r="R1061" s="6">
        <v>4.75</v>
      </c>
      <c r="S1061" s="5">
        <v>-0.4</v>
      </c>
      <c r="T1061" s="7">
        <v>0.51300000000000001</v>
      </c>
      <c r="U1061" s="5">
        <v>4</v>
      </c>
      <c r="V1061" s="6">
        <v>-0.12</v>
      </c>
      <c r="W1061" s="7">
        <v>2.375</v>
      </c>
      <c r="X1061" s="6">
        <v>2.75</v>
      </c>
      <c r="Y1061" s="5">
        <v>3.5</v>
      </c>
      <c r="Z1061" s="7">
        <v>3.625</v>
      </c>
      <c r="AA1061" s="6">
        <v>3.35</v>
      </c>
      <c r="AB1061" s="2" t="s">
        <v>86</v>
      </c>
      <c r="AC1061" s="6">
        <v>6.65</v>
      </c>
    </row>
    <row r="1062" spans="1:29" ht="130" x14ac:dyDescent="0.15">
      <c r="A1062" s="3">
        <f>DATE(1993,3,8)</f>
        <v>34036</v>
      </c>
      <c r="B1062" s="3">
        <f>DATE(1993,3,31)</f>
        <v>34059</v>
      </c>
      <c r="C1062" s="2" t="s">
        <v>95</v>
      </c>
      <c r="D1062" s="2" t="s">
        <v>3615</v>
      </c>
      <c r="E1062" s="2" t="s">
        <v>398</v>
      </c>
      <c r="F1062" s="4">
        <v>7812</v>
      </c>
      <c r="G1062" s="2" t="s">
        <v>42</v>
      </c>
      <c r="H1062" s="2" t="s">
        <v>34</v>
      </c>
      <c r="I1062" s="2" t="s">
        <v>3616</v>
      </c>
      <c r="J1062" s="2" t="s">
        <v>3617</v>
      </c>
      <c r="K1062" s="2" t="s">
        <v>42</v>
      </c>
      <c r="L1062" s="2" t="s">
        <v>34</v>
      </c>
      <c r="M1062" s="12">
        <v>3565.4879999999998</v>
      </c>
      <c r="N1062" s="6">
        <v>18.75</v>
      </c>
      <c r="O1062" s="4">
        <v>19</v>
      </c>
      <c r="P1062" s="2" t="s">
        <v>3618</v>
      </c>
      <c r="Q1062" s="6">
        <v>48.24</v>
      </c>
      <c r="R1062" s="6">
        <v>5.77</v>
      </c>
      <c r="S1062" s="5">
        <v>7.9</v>
      </c>
      <c r="T1062" s="7">
        <v>33.567</v>
      </c>
      <c r="U1062" s="5">
        <v>3.7</v>
      </c>
      <c r="V1062" s="6">
        <v>0.15</v>
      </c>
      <c r="W1062" s="7">
        <v>6.125</v>
      </c>
      <c r="X1062" s="4">
        <v>7</v>
      </c>
      <c r="Y1062" s="7">
        <v>6.875</v>
      </c>
      <c r="Z1062" s="4">
        <v>7</v>
      </c>
      <c r="AA1062" s="6">
        <v>50.83</v>
      </c>
      <c r="AB1062" s="7">
        <v>12.696999999999999</v>
      </c>
      <c r="AC1062" s="6">
        <v>35.4</v>
      </c>
    </row>
    <row r="1063" spans="1:29" ht="104" x14ac:dyDescent="0.15">
      <c r="A1063" s="3">
        <f>DATE(1993,3,9)</f>
        <v>34037</v>
      </c>
      <c r="B1063" s="3">
        <f>DATE(1993,7,1)</f>
        <v>34151</v>
      </c>
      <c r="C1063" s="2" t="s">
        <v>95</v>
      </c>
      <c r="D1063" s="2" t="s">
        <v>3619</v>
      </c>
      <c r="E1063" s="2" t="s">
        <v>3620</v>
      </c>
      <c r="F1063" s="4">
        <v>5047</v>
      </c>
      <c r="G1063" s="2" t="s">
        <v>76</v>
      </c>
      <c r="H1063" s="2" t="s">
        <v>34</v>
      </c>
      <c r="I1063" s="2" t="s">
        <v>3621</v>
      </c>
      <c r="J1063" s="2" t="s">
        <v>3620</v>
      </c>
      <c r="K1063" s="2" t="s">
        <v>76</v>
      </c>
      <c r="L1063" s="2" t="s">
        <v>34</v>
      </c>
      <c r="M1063" s="2"/>
      <c r="N1063" s="2"/>
      <c r="O1063" s="2"/>
      <c r="P1063" s="2" t="s">
        <v>3622</v>
      </c>
      <c r="Q1063" s="6">
        <v>100</v>
      </c>
      <c r="R1063" s="2"/>
      <c r="S1063" s="5">
        <v>-0.1</v>
      </c>
      <c r="T1063" s="2"/>
      <c r="U1063" s="5">
        <v>0.2</v>
      </c>
      <c r="V1063" s="2"/>
      <c r="W1063" s="7">
        <v>2.125</v>
      </c>
      <c r="X1063" s="7">
        <v>2.125</v>
      </c>
      <c r="Y1063" s="7">
        <v>1.875</v>
      </c>
      <c r="Z1063" s="7">
        <v>1.875</v>
      </c>
      <c r="AA1063" s="6">
        <v>5</v>
      </c>
      <c r="AB1063" s="2" t="s">
        <v>47</v>
      </c>
      <c r="AC1063" s="2"/>
    </row>
    <row r="1064" spans="1:29" ht="143" x14ac:dyDescent="0.15">
      <c r="A1064" s="3">
        <f>DATE(1993,3,10)</f>
        <v>34038</v>
      </c>
      <c r="B1064" s="3">
        <f>DATE(1993,8,6)</f>
        <v>34187</v>
      </c>
      <c r="C1064" s="2" t="s">
        <v>95</v>
      </c>
      <c r="D1064" s="2" t="s">
        <v>3623</v>
      </c>
      <c r="E1064" s="2" t="s">
        <v>3624</v>
      </c>
      <c r="F1064" s="4">
        <v>2834</v>
      </c>
      <c r="G1064" s="2" t="s">
        <v>130</v>
      </c>
      <c r="H1064" s="2" t="s">
        <v>34</v>
      </c>
      <c r="I1064" s="2" t="s">
        <v>3625</v>
      </c>
      <c r="J1064" s="2" t="s">
        <v>540</v>
      </c>
      <c r="K1064" s="2" t="s">
        <v>130</v>
      </c>
      <c r="L1064" s="2" t="s">
        <v>34</v>
      </c>
      <c r="M1064" s="6">
        <v>220.83</v>
      </c>
      <c r="N1064" s="7">
        <v>5.625</v>
      </c>
      <c r="O1064" s="7">
        <v>5.375</v>
      </c>
      <c r="P1064" s="2" t="s">
        <v>3626</v>
      </c>
      <c r="Q1064" s="6">
        <v>100</v>
      </c>
      <c r="R1064" s="6">
        <v>3.66</v>
      </c>
      <c r="S1064" s="5">
        <v>-2.1</v>
      </c>
      <c r="T1064" s="7">
        <v>-2.5049999999999999</v>
      </c>
      <c r="U1064" s="5">
        <v>0.3</v>
      </c>
      <c r="V1064" s="6">
        <v>-0.14000000000000001</v>
      </c>
      <c r="W1064" s="7">
        <v>2.875</v>
      </c>
      <c r="X1064" s="7">
        <v>2.8130000000000002</v>
      </c>
      <c r="Y1064" s="7">
        <v>2.9380000000000002</v>
      </c>
      <c r="Z1064" s="7">
        <v>3.0630000000000002</v>
      </c>
      <c r="AA1064" s="6">
        <v>16.07</v>
      </c>
      <c r="AB1064" s="2" t="s">
        <v>86</v>
      </c>
      <c r="AC1064" s="6">
        <v>18.420000000000002</v>
      </c>
    </row>
    <row r="1065" spans="1:29" ht="143" x14ac:dyDescent="0.15">
      <c r="A1065" s="3">
        <f>DATE(1993,3,12)</f>
        <v>34040</v>
      </c>
      <c r="B1065" s="3">
        <f>DATE(1993,11,10)</f>
        <v>34283</v>
      </c>
      <c r="C1065" s="2" t="s">
        <v>95</v>
      </c>
      <c r="D1065" s="2" t="s">
        <v>3627</v>
      </c>
      <c r="E1065" s="2" t="s">
        <v>1635</v>
      </c>
      <c r="F1065" s="4">
        <v>3312</v>
      </c>
      <c r="G1065" s="2" t="s">
        <v>163</v>
      </c>
      <c r="H1065" s="2" t="s">
        <v>34</v>
      </c>
      <c r="I1065" s="2" t="s">
        <v>3628</v>
      </c>
      <c r="J1065" s="2" t="s">
        <v>3629</v>
      </c>
      <c r="K1065" s="2" t="s">
        <v>163</v>
      </c>
      <c r="L1065" s="2" t="s">
        <v>34</v>
      </c>
      <c r="M1065" s="12">
        <v>2468.8090000000002</v>
      </c>
      <c r="N1065" s="7">
        <v>37.875</v>
      </c>
      <c r="O1065" s="7">
        <v>38.125</v>
      </c>
      <c r="P1065" s="2" t="s">
        <v>3630</v>
      </c>
      <c r="Q1065" s="6">
        <v>100</v>
      </c>
      <c r="R1065" s="6">
        <v>17.5</v>
      </c>
      <c r="S1065" s="5">
        <v>5.7</v>
      </c>
      <c r="T1065" s="2"/>
      <c r="U1065" s="5">
        <v>5.6</v>
      </c>
      <c r="V1065" s="6">
        <v>0.95</v>
      </c>
      <c r="W1065" s="6">
        <v>14.25</v>
      </c>
      <c r="X1065" s="6">
        <v>14.25</v>
      </c>
      <c r="Y1065" s="7">
        <v>16.625</v>
      </c>
      <c r="Z1065" s="7">
        <v>16.625</v>
      </c>
      <c r="AA1065" s="6">
        <v>6.03</v>
      </c>
      <c r="AB1065" s="2" t="s">
        <v>47</v>
      </c>
      <c r="AC1065" s="6">
        <v>123.55</v>
      </c>
    </row>
    <row r="1066" spans="1:29" ht="130" x14ac:dyDescent="0.15">
      <c r="A1066" s="3">
        <f>DATE(1993,3,15)</f>
        <v>34043</v>
      </c>
      <c r="B1066" s="2"/>
      <c r="C1066" s="2" t="s">
        <v>82</v>
      </c>
      <c r="D1066" s="2" t="s">
        <v>3631</v>
      </c>
      <c r="E1066" s="2" t="s">
        <v>3632</v>
      </c>
      <c r="F1066" s="4">
        <v>8052</v>
      </c>
      <c r="G1066" s="2" t="s">
        <v>454</v>
      </c>
      <c r="H1066" s="2" t="s">
        <v>34</v>
      </c>
      <c r="I1066" s="2" t="s">
        <v>3633</v>
      </c>
      <c r="J1066" s="2" t="s">
        <v>58</v>
      </c>
      <c r="K1066" s="2" t="s">
        <v>59</v>
      </c>
      <c r="L1066" s="2" t="s">
        <v>34</v>
      </c>
      <c r="M1066" s="2"/>
      <c r="N1066" s="2"/>
      <c r="O1066" s="2"/>
      <c r="P1066" s="2" t="s">
        <v>3634</v>
      </c>
      <c r="Q1066" s="2"/>
      <c r="R1066" s="6">
        <v>3</v>
      </c>
      <c r="S1066" s="5">
        <v>-115.7</v>
      </c>
      <c r="T1066" s="7">
        <v>3.5179999999999998</v>
      </c>
      <c r="U1066" s="5">
        <v>1.9</v>
      </c>
      <c r="V1066" s="6">
        <v>-3.56</v>
      </c>
      <c r="W1066" s="6">
        <v>1.75</v>
      </c>
      <c r="X1066" s="5">
        <v>1.5</v>
      </c>
      <c r="Y1066" s="7">
        <v>6.3E-2</v>
      </c>
      <c r="Z1066" s="5">
        <v>3.5</v>
      </c>
      <c r="AA1066" s="6">
        <v>11.07</v>
      </c>
      <c r="AB1066" s="2" t="s">
        <v>86</v>
      </c>
      <c r="AC1066" s="2"/>
    </row>
    <row r="1067" spans="1:29" ht="156" x14ac:dyDescent="0.15">
      <c r="A1067" s="3">
        <f>DATE(1993,3,15)</f>
        <v>34043</v>
      </c>
      <c r="B1067" s="2"/>
      <c r="C1067" s="2" t="s">
        <v>30</v>
      </c>
      <c r="D1067" s="2" t="s">
        <v>3394</v>
      </c>
      <c r="E1067" s="2" t="s">
        <v>3395</v>
      </c>
      <c r="F1067" s="4">
        <v>4911</v>
      </c>
      <c r="G1067" s="2" t="s">
        <v>439</v>
      </c>
      <c r="H1067" s="2" t="s">
        <v>34</v>
      </c>
      <c r="I1067" s="2" t="s">
        <v>3635</v>
      </c>
      <c r="J1067" s="2" t="s">
        <v>438</v>
      </c>
      <c r="K1067" s="2" t="s">
        <v>439</v>
      </c>
      <c r="L1067" s="2" t="s">
        <v>34</v>
      </c>
      <c r="M1067" s="12">
        <v>1412.3989999999999</v>
      </c>
      <c r="N1067" s="7">
        <v>38.375</v>
      </c>
      <c r="O1067" s="4">
        <v>37</v>
      </c>
      <c r="P1067" s="2" t="s">
        <v>3636</v>
      </c>
      <c r="Q1067" s="2"/>
      <c r="R1067" s="6">
        <v>30.5</v>
      </c>
      <c r="S1067" s="5">
        <v>103.4</v>
      </c>
      <c r="T1067" s="7">
        <v>346.87200000000001</v>
      </c>
      <c r="U1067" s="5">
        <v>12</v>
      </c>
      <c r="V1067" s="6">
        <v>1.75</v>
      </c>
      <c r="W1067" s="5">
        <v>18.5</v>
      </c>
      <c r="X1067" s="5">
        <v>18.5</v>
      </c>
      <c r="Y1067" s="5">
        <v>18.5</v>
      </c>
      <c r="Z1067" s="4">
        <v>19</v>
      </c>
      <c r="AA1067" s="6">
        <v>55.42</v>
      </c>
      <c r="AB1067" s="7">
        <v>11.61</v>
      </c>
      <c r="AC1067" s="6">
        <v>67.27</v>
      </c>
    </row>
    <row r="1068" spans="1:29" ht="91" x14ac:dyDescent="0.15">
      <c r="A1068" s="3">
        <f>DATE(1993,3,17)</f>
        <v>34045</v>
      </c>
      <c r="B1068" s="2"/>
      <c r="C1068" s="2" t="s">
        <v>30</v>
      </c>
      <c r="D1068" s="2" t="s">
        <v>3637</v>
      </c>
      <c r="E1068" s="2" t="s">
        <v>781</v>
      </c>
      <c r="F1068" s="4">
        <v>7372</v>
      </c>
      <c r="G1068" s="2" t="s">
        <v>551</v>
      </c>
      <c r="H1068" s="2" t="s">
        <v>34</v>
      </c>
      <c r="I1068" s="2" t="s">
        <v>3638</v>
      </c>
      <c r="J1068" s="2" t="s">
        <v>3639</v>
      </c>
      <c r="K1068" s="2" t="s">
        <v>551</v>
      </c>
      <c r="L1068" s="2" t="s">
        <v>34</v>
      </c>
      <c r="M1068" s="2"/>
      <c r="N1068" s="4">
        <v>30</v>
      </c>
      <c r="O1068" s="6">
        <v>28.25</v>
      </c>
      <c r="P1068" s="2" t="s">
        <v>3640</v>
      </c>
      <c r="Q1068" s="2"/>
      <c r="R1068" s="6">
        <v>16.75</v>
      </c>
      <c r="S1068" s="5">
        <v>1.4</v>
      </c>
      <c r="T1068" s="2"/>
      <c r="U1068" s="5">
        <v>3.6</v>
      </c>
      <c r="V1068" s="6">
        <v>0.66</v>
      </c>
      <c r="W1068" s="7">
        <v>11.125</v>
      </c>
      <c r="X1068" s="6">
        <v>11.25</v>
      </c>
      <c r="Y1068" s="5">
        <v>11.5</v>
      </c>
      <c r="Z1068" s="6">
        <v>14.25</v>
      </c>
      <c r="AA1068" s="6">
        <v>2.34</v>
      </c>
      <c r="AB1068" s="2" t="s">
        <v>47</v>
      </c>
      <c r="AC1068" s="6">
        <v>5.07</v>
      </c>
    </row>
    <row r="1069" spans="1:29" ht="156" x14ac:dyDescent="0.15">
      <c r="A1069" s="3">
        <f>DATE(1993,3,18)</f>
        <v>34046</v>
      </c>
      <c r="B1069" s="2"/>
      <c r="C1069" s="2" t="s">
        <v>30</v>
      </c>
      <c r="D1069" s="2" t="s">
        <v>3641</v>
      </c>
      <c r="E1069" s="2" t="s">
        <v>3642</v>
      </c>
      <c r="F1069" s="4">
        <v>1382</v>
      </c>
      <c r="G1069" s="2" t="s">
        <v>148</v>
      </c>
      <c r="H1069" s="2" t="s">
        <v>34</v>
      </c>
      <c r="I1069" s="2" t="s">
        <v>3643</v>
      </c>
      <c r="J1069" s="2" t="s">
        <v>3644</v>
      </c>
      <c r="K1069" s="2" t="s">
        <v>148</v>
      </c>
      <c r="L1069" s="2" t="s">
        <v>34</v>
      </c>
      <c r="M1069" s="5">
        <v>126</v>
      </c>
      <c r="N1069" s="7">
        <v>4.875</v>
      </c>
      <c r="O1069" s="5">
        <v>4.5</v>
      </c>
      <c r="P1069" s="2" t="s">
        <v>3645</v>
      </c>
      <c r="Q1069" s="2"/>
      <c r="R1069" s="2"/>
      <c r="S1069" s="5">
        <v>-39.299999999999997</v>
      </c>
      <c r="T1069" s="7">
        <v>-10.932</v>
      </c>
      <c r="U1069" s="5">
        <v>5.0999999999999996</v>
      </c>
      <c r="V1069" s="6">
        <v>-3.74</v>
      </c>
      <c r="W1069" s="7">
        <v>2.625</v>
      </c>
      <c r="X1069" s="6">
        <v>2.25</v>
      </c>
      <c r="Y1069" s="5">
        <v>2.5</v>
      </c>
      <c r="Z1069" s="7">
        <v>2.625</v>
      </c>
      <c r="AA1069" s="6">
        <v>12</v>
      </c>
      <c r="AB1069" s="2" t="s">
        <v>86</v>
      </c>
      <c r="AC1069" s="6">
        <v>9.15</v>
      </c>
    </row>
    <row r="1070" spans="1:29" ht="130" x14ac:dyDescent="0.15">
      <c r="A1070" s="3">
        <f>DATE(1993,3,19)</f>
        <v>34047</v>
      </c>
      <c r="B1070" s="2"/>
      <c r="C1070" s="2" t="s">
        <v>30</v>
      </c>
      <c r="D1070" s="2" t="s">
        <v>3646</v>
      </c>
      <c r="E1070" s="2" t="s">
        <v>124</v>
      </c>
      <c r="F1070" s="4">
        <v>6311</v>
      </c>
      <c r="G1070" s="2" t="s">
        <v>125</v>
      </c>
      <c r="H1070" s="2" t="s">
        <v>34</v>
      </c>
      <c r="I1070" s="2" t="s">
        <v>3647</v>
      </c>
      <c r="J1070" s="2" t="s">
        <v>3648</v>
      </c>
      <c r="K1070" s="2" t="s">
        <v>125</v>
      </c>
      <c r="L1070" s="2" t="s">
        <v>34</v>
      </c>
      <c r="M1070" s="2"/>
      <c r="N1070" s="7">
        <v>10.875</v>
      </c>
      <c r="O1070" s="7">
        <v>10.875</v>
      </c>
      <c r="P1070" s="2" t="s">
        <v>3649</v>
      </c>
      <c r="Q1070" s="2"/>
      <c r="R1070" s="2"/>
      <c r="S1070" s="5">
        <v>8.4</v>
      </c>
      <c r="T1070" s="7">
        <v>12.273</v>
      </c>
      <c r="U1070" s="5">
        <v>5.9</v>
      </c>
      <c r="V1070" s="6">
        <v>0.81</v>
      </c>
      <c r="W1070" s="7">
        <v>6.125</v>
      </c>
      <c r="X1070" s="7">
        <v>5.625</v>
      </c>
      <c r="Y1070" s="6">
        <v>5.25</v>
      </c>
      <c r="Z1070" s="7">
        <v>5.1879999999999997</v>
      </c>
      <c r="AA1070" s="6">
        <v>10.19</v>
      </c>
      <c r="AB1070" s="2" t="s">
        <v>47</v>
      </c>
      <c r="AC1070" s="6">
        <v>11.75</v>
      </c>
    </row>
    <row r="1071" spans="1:29" ht="143" x14ac:dyDescent="0.15">
      <c r="A1071" s="3">
        <f>DATE(1993,3,22)</f>
        <v>34050</v>
      </c>
      <c r="B1071" s="3">
        <f>DATE(1993,5,13)</f>
        <v>34102</v>
      </c>
      <c r="C1071" s="2" t="s">
        <v>95</v>
      </c>
      <c r="D1071" s="2" t="s">
        <v>117</v>
      </c>
      <c r="E1071" s="2" t="s">
        <v>118</v>
      </c>
      <c r="F1071" s="4">
        <v>3711</v>
      </c>
      <c r="G1071" s="2" t="s">
        <v>105</v>
      </c>
      <c r="H1071" s="2" t="s">
        <v>34</v>
      </c>
      <c r="I1071" s="2" t="s">
        <v>51</v>
      </c>
      <c r="J1071" s="2" t="s">
        <v>52</v>
      </c>
      <c r="K1071" s="2" t="s">
        <v>53</v>
      </c>
      <c r="L1071" s="2" t="s">
        <v>34</v>
      </c>
      <c r="M1071" s="2"/>
      <c r="N1071" s="2"/>
      <c r="O1071" s="2"/>
      <c r="P1071" s="2" t="s">
        <v>3650</v>
      </c>
      <c r="Q1071" s="6">
        <v>55</v>
      </c>
      <c r="R1071" s="2"/>
      <c r="S1071" s="5">
        <v>-17.399999999999999</v>
      </c>
      <c r="T1071" s="7">
        <v>44.119</v>
      </c>
      <c r="U1071" s="5">
        <v>-0.5</v>
      </c>
      <c r="V1071" s="6">
        <v>-1.51</v>
      </c>
      <c r="W1071" s="4">
        <v>4</v>
      </c>
      <c r="X1071" s="4">
        <v>4</v>
      </c>
      <c r="Y1071" s="4">
        <v>4</v>
      </c>
      <c r="Z1071" s="7">
        <v>4.625</v>
      </c>
      <c r="AA1071" s="6">
        <v>23.6</v>
      </c>
      <c r="AB1071" s="7">
        <v>24.248000000000001</v>
      </c>
      <c r="AC1071" s="2"/>
    </row>
    <row r="1072" spans="1:29" ht="156" x14ac:dyDescent="0.15">
      <c r="A1072" s="3">
        <f>DATE(1993,3,22)</f>
        <v>34050</v>
      </c>
      <c r="B1072" s="2"/>
      <c r="C1072" s="2" t="s">
        <v>82</v>
      </c>
      <c r="D1072" s="2" t="s">
        <v>3651</v>
      </c>
      <c r="E1072" s="2" t="s">
        <v>1332</v>
      </c>
      <c r="F1072" s="4">
        <v>8051</v>
      </c>
      <c r="G1072" s="2" t="s">
        <v>454</v>
      </c>
      <c r="H1072" s="2" t="s">
        <v>34</v>
      </c>
      <c r="I1072" s="2" t="s">
        <v>3652</v>
      </c>
      <c r="J1072" s="2" t="s">
        <v>3653</v>
      </c>
      <c r="K1072" s="2" t="s">
        <v>454</v>
      </c>
      <c r="L1072" s="2" t="s">
        <v>34</v>
      </c>
      <c r="M1072" s="2"/>
      <c r="N1072" s="4">
        <v>18</v>
      </c>
      <c r="O1072" s="6">
        <v>18.25</v>
      </c>
      <c r="P1072" s="2" t="s">
        <v>3654</v>
      </c>
      <c r="Q1072" s="2"/>
      <c r="R1072" s="6">
        <v>27.5</v>
      </c>
      <c r="S1072" s="5">
        <v>5.2</v>
      </c>
      <c r="T1072" s="7">
        <v>58.707000000000001</v>
      </c>
      <c r="U1072" s="5">
        <v>14.3</v>
      </c>
      <c r="V1072" s="6">
        <v>0.56000000000000005</v>
      </c>
      <c r="W1072" s="4">
        <v>17</v>
      </c>
      <c r="X1072" s="7">
        <v>17.625</v>
      </c>
      <c r="Y1072" s="7">
        <v>17.625</v>
      </c>
      <c r="Z1072" s="7">
        <v>21.625</v>
      </c>
      <c r="AA1072" s="6">
        <v>9.36</v>
      </c>
      <c r="AB1072" s="7">
        <v>9.7650000000000006</v>
      </c>
      <c r="AC1072" s="2"/>
    </row>
    <row r="1073" spans="1:29" ht="52" x14ac:dyDescent="0.15">
      <c r="A1073" s="3">
        <f>DATE(1993,3,23)</f>
        <v>34051</v>
      </c>
      <c r="B1073" s="2"/>
      <c r="C1073" s="2" t="s">
        <v>189</v>
      </c>
      <c r="D1073" s="2" t="s">
        <v>3655</v>
      </c>
      <c r="E1073" s="2" t="s">
        <v>3656</v>
      </c>
      <c r="F1073" s="4">
        <v>2052</v>
      </c>
      <c r="G1073" s="2" t="s">
        <v>577</v>
      </c>
      <c r="H1073" s="2" t="s">
        <v>34</v>
      </c>
      <c r="I1073" s="2" t="s">
        <v>143</v>
      </c>
      <c r="J1073" s="2" t="s">
        <v>144</v>
      </c>
      <c r="K1073" s="2" t="s">
        <v>53</v>
      </c>
      <c r="L1073" s="2" t="s">
        <v>139</v>
      </c>
      <c r="M1073" s="2"/>
      <c r="N1073" s="2"/>
      <c r="O1073" s="2"/>
      <c r="P1073" s="2" t="s">
        <v>3657</v>
      </c>
      <c r="Q1073" s="2"/>
      <c r="R1073" s="2"/>
      <c r="S1073" s="5">
        <v>-0.7</v>
      </c>
      <c r="T1073" s="7">
        <v>-0.71299999999999997</v>
      </c>
      <c r="U1073" s="5">
        <v>-0.2</v>
      </c>
      <c r="V1073" s="6">
        <v>-0.36</v>
      </c>
      <c r="W1073" s="7">
        <v>2.375</v>
      </c>
      <c r="X1073" s="7">
        <v>2.375</v>
      </c>
      <c r="Y1073" s="2"/>
      <c r="Z1073" s="6">
        <v>2.75</v>
      </c>
      <c r="AA1073" s="2"/>
      <c r="AB1073" s="2" t="s">
        <v>86</v>
      </c>
      <c r="AC1073" s="2"/>
    </row>
    <row r="1074" spans="1:29" ht="143" x14ac:dyDescent="0.15">
      <c r="A1074" s="3">
        <f>DATE(1993,3,29)</f>
        <v>34057</v>
      </c>
      <c r="B1074" s="2"/>
      <c r="C1074" s="2" t="s">
        <v>30</v>
      </c>
      <c r="D1074" s="2" t="s">
        <v>2811</v>
      </c>
      <c r="E1074" s="2" t="s">
        <v>2812</v>
      </c>
      <c r="F1074" s="4">
        <v>4812</v>
      </c>
      <c r="G1074" s="2" t="s">
        <v>63</v>
      </c>
      <c r="H1074" s="2" t="s">
        <v>34</v>
      </c>
      <c r="I1074" s="2" t="s">
        <v>2813</v>
      </c>
      <c r="J1074" s="2" t="s">
        <v>2814</v>
      </c>
      <c r="K1074" s="2" t="s">
        <v>63</v>
      </c>
      <c r="L1074" s="2" t="s">
        <v>34</v>
      </c>
      <c r="M1074" s="12">
        <v>1099.1769999999999</v>
      </c>
      <c r="N1074" s="7">
        <v>22.375</v>
      </c>
      <c r="O1074" s="4">
        <v>25</v>
      </c>
      <c r="P1074" s="2" t="s">
        <v>3658</v>
      </c>
      <c r="Q1074" s="2"/>
      <c r="R1074" s="6">
        <v>7</v>
      </c>
      <c r="S1074" s="5">
        <v>-14.1</v>
      </c>
      <c r="T1074" s="7">
        <v>-2.7930000000000001</v>
      </c>
      <c r="U1074" s="5">
        <v>0.7</v>
      </c>
      <c r="V1074" s="6">
        <v>-2.66</v>
      </c>
      <c r="W1074" s="5">
        <v>4.5</v>
      </c>
      <c r="X1074" s="5">
        <v>5.5</v>
      </c>
      <c r="Y1074" s="4">
        <v>6</v>
      </c>
      <c r="Z1074" s="4">
        <v>6</v>
      </c>
      <c r="AA1074" s="6">
        <v>14.01</v>
      </c>
      <c r="AB1074" s="2" t="s">
        <v>86</v>
      </c>
      <c r="AC1074" s="6">
        <v>13.39</v>
      </c>
    </row>
    <row r="1075" spans="1:29" ht="156" x14ac:dyDescent="0.15">
      <c r="A1075" s="3">
        <f>DATE(1993,3,30)</f>
        <v>34058</v>
      </c>
      <c r="B1075" s="3">
        <f>DATE(1993,9,1)</f>
        <v>34213</v>
      </c>
      <c r="C1075" s="2" t="s">
        <v>95</v>
      </c>
      <c r="D1075" s="2" t="s">
        <v>3659</v>
      </c>
      <c r="E1075" s="2" t="s">
        <v>1181</v>
      </c>
      <c r="F1075" s="4">
        <v>6022</v>
      </c>
      <c r="G1075" s="2" t="s">
        <v>37</v>
      </c>
      <c r="H1075" s="2" t="s">
        <v>34</v>
      </c>
      <c r="I1075" s="2" t="s">
        <v>3660</v>
      </c>
      <c r="J1075" s="2" t="s">
        <v>36</v>
      </c>
      <c r="K1075" s="2" t="s">
        <v>37</v>
      </c>
      <c r="L1075" s="2" t="s">
        <v>34</v>
      </c>
      <c r="M1075" s="12">
        <v>1571.1310000000001</v>
      </c>
      <c r="N1075" s="6">
        <v>32.25</v>
      </c>
      <c r="O1075" s="4">
        <v>33</v>
      </c>
      <c r="P1075" s="2" t="s">
        <v>3661</v>
      </c>
      <c r="Q1075" s="6">
        <v>100</v>
      </c>
      <c r="R1075" s="6">
        <v>46.34</v>
      </c>
      <c r="S1075" s="5">
        <v>22</v>
      </c>
      <c r="T1075" s="7">
        <v>34.536999999999999</v>
      </c>
      <c r="U1075" s="5">
        <v>20.2</v>
      </c>
      <c r="V1075" s="6">
        <v>2.94</v>
      </c>
      <c r="W1075" s="7">
        <v>33.125</v>
      </c>
      <c r="X1075" s="6">
        <v>33.25</v>
      </c>
      <c r="Y1075" s="6">
        <v>42.75</v>
      </c>
      <c r="Z1075" s="5">
        <v>44.5</v>
      </c>
      <c r="AA1075" s="6">
        <v>7.74</v>
      </c>
      <c r="AB1075" s="7">
        <v>71.441000000000003</v>
      </c>
      <c r="AC1075" s="2"/>
    </row>
    <row r="1076" spans="1:29" ht="78" x14ac:dyDescent="0.15">
      <c r="A1076" s="3">
        <f>DATE(1993,3,30)</f>
        <v>34058</v>
      </c>
      <c r="B1076" s="2"/>
      <c r="C1076" s="2" t="s">
        <v>30</v>
      </c>
      <c r="D1076" s="2" t="s">
        <v>3662</v>
      </c>
      <c r="E1076" s="2" t="s">
        <v>3663</v>
      </c>
      <c r="F1076" s="4">
        <v>3841</v>
      </c>
      <c r="G1076" s="2" t="s">
        <v>226</v>
      </c>
      <c r="H1076" s="2" t="s">
        <v>34</v>
      </c>
      <c r="I1076" s="2" t="s">
        <v>138</v>
      </c>
      <c r="J1076" s="2" t="s">
        <v>139</v>
      </c>
      <c r="K1076" s="2" t="s">
        <v>53</v>
      </c>
      <c r="L1076" s="2" t="s">
        <v>139</v>
      </c>
      <c r="M1076" s="2"/>
      <c r="N1076" s="2"/>
      <c r="O1076" s="2"/>
      <c r="P1076" s="2" t="s">
        <v>3664</v>
      </c>
      <c r="Q1076" s="2"/>
      <c r="R1076" s="6">
        <v>3.25</v>
      </c>
      <c r="S1076" s="5">
        <v>-0.4</v>
      </c>
      <c r="T1076" s="2"/>
      <c r="U1076" s="2"/>
      <c r="V1076" s="6">
        <v>-0.08</v>
      </c>
      <c r="W1076" s="7">
        <v>2.375</v>
      </c>
      <c r="X1076" s="6">
        <v>2.25</v>
      </c>
      <c r="Y1076" s="5">
        <v>2.5</v>
      </c>
      <c r="Z1076" s="9">
        <v>2.6875</v>
      </c>
      <c r="AA1076" s="6">
        <v>5.48</v>
      </c>
      <c r="AB1076" s="2" t="s">
        <v>86</v>
      </c>
      <c r="AC1076" s="2"/>
    </row>
    <row r="1077" spans="1:29" ht="78" x14ac:dyDescent="0.15">
      <c r="A1077" s="3">
        <f>DATE(1993,3,30)</f>
        <v>34058</v>
      </c>
      <c r="B1077" s="2"/>
      <c r="C1077" s="2" t="s">
        <v>189</v>
      </c>
      <c r="D1077" s="2" t="s">
        <v>3662</v>
      </c>
      <c r="E1077" s="2" t="s">
        <v>3663</v>
      </c>
      <c r="F1077" s="4">
        <v>3841</v>
      </c>
      <c r="G1077" s="2" t="s">
        <v>226</v>
      </c>
      <c r="H1077" s="2" t="s">
        <v>34</v>
      </c>
      <c r="I1077" s="2" t="s">
        <v>143</v>
      </c>
      <c r="J1077" s="2" t="s">
        <v>144</v>
      </c>
      <c r="K1077" s="2" t="s">
        <v>53</v>
      </c>
      <c r="L1077" s="2" t="s">
        <v>139</v>
      </c>
      <c r="M1077" s="2"/>
      <c r="N1077" s="2"/>
      <c r="O1077" s="2"/>
      <c r="P1077" s="2" t="s">
        <v>3665</v>
      </c>
      <c r="Q1077" s="2"/>
      <c r="R1077" s="2"/>
      <c r="S1077" s="5">
        <v>-0.4</v>
      </c>
      <c r="T1077" s="2"/>
      <c r="U1077" s="2"/>
      <c r="V1077" s="2"/>
      <c r="W1077" s="7">
        <v>2.375</v>
      </c>
      <c r="X1077" s="6">
        <v>2.25</v>
      </c>
      <c r="Y1077" s="5">
        <v>2.5</v>
      </c>
      <c r="Z1077" s="9">
        <v>2.6875</v>
      </c>
      <c r="AA1077" s="6">
        <v>5.48</v>
      </c>
      <c r="AB1077" s="2" t="s">
        <v>86</v>
      </c>
      <c r="AC1077" s="2"/>
    </row>
    <row r="1078" spans="1:29" ht="156" x14ac:dyDescent="0.15">
      <c r="A1078" s="3">
        <f>DATE(1993,4,1)</f>
        <v>34060</v>
      </c>
      <c r="B1078" s="3">
        <f>DATE(1993,4,1)</f>
        <v>34060</v>
      </c>
      <c r="C1078" s="2" t="s">
        <v>95</v>
      </c>
      <c r="D1078" s="2" t="s">
        <v>3493</v>
      </c>
      <c r="E1078" s="2" t="s">
        <v>3494</v>
      </c>
      <c r="F1078" s="4">
        <v>3695</v>
      </c>
      <c r="G1078" s="2" t="s">
        <v>137</v>
      </c>
      <c r="H1078" s="2" t="s">
        <v>34</v>
      </c>
      <c r="I1078" s="2" t="s">
        <v>3666</v>
      </c>
      <c r="J1078" s="2" t="s">
        <v>36</v>
      </c>
      <c r="K1078" s="2" t="s">
        <v>37</v>
      </c>
      <c r="L1078" s="2" t="s">
        <v>34</v>
      </c>
      <c r="M1078" s="2"/>
      <c r="N1078" s="2"/>
      <c r="O1078" s="2"/>
      <c r="P1078" s="2" t="s">
        <v>3667</v>
      </c>
      <c r="Q1078" s="6">
        <v>55.56</v>
      </c>
      <c r="R1078" s="6">
        <v>1.45</v>
      </c>
      <c r="S1078" s="5">
        <v>-0.3</v>
      </c>
      <c r="T1078" s="6">
        <v>-7.0000000000000007E-2</v>
      </c>
      <c r="U1078" s="5">
        <v>2.1</v>
      </c>
      <c r="V1078" s="6">
        <v>-0.83</v>
      </c>
      <c r="W1078" s="6">
        <v>2.25</v>
      </c>
      <c r="X1078" s="4">
        <v>2</v>
      </c>
      <c r="Y1078" s="9">
        <v>2.0625</v>
      </c>
      <c r="Z1078" s="4">
        <v>2</v>
      </c>
      <c r="AA1078" s="6">
        <v>1.41</v>
      </c>
      <c r="AB1078" s="2" t="s">
        <v>86</v>
      </c>
      <c r="AC1078" s="2"/>
    </row>
    <row r="1079" spans="1:29" ht="156" x14ac:dyDescent="0.15">
      <c r="A1079" s="3">
        <f>DATE(1993,4,1)</f>
        <v>34060</v>
      </c>
      <c r="B1079" s="3">
        <f>DATE(1993,7,1)</f>
        <v>34151</v>
      </c>
      <c r="C1079" s="2" t="s">
        <v>95</v>
      </c>
      <c r="D1079" s="2" t="s">
        <v>3668</v>
      </c>
      <c r="E1079" s="2" t="s">
        <v>3669</v>
      </c>
      <c r="F1079" s="4">
        <v>7371</v>
      </c>
      <c r="G1079" s="2" t="s">
        <v>223</v>
      </c>
      <c r="H1079" s="2" t="s">
        <v>34</v>
      </c>
      <c r="I1079" s="2" t="s">
        <v>3670</v>
      </c>
      <c r="J1079" s="2" t="s">
        <v>3671</v>
      </c>
      <c r="K1079" s="2" t="s">
        <v>551</v>
      </c>
      <c r="L1079" s="2" t="s">
        <v>34</v>
      </c>
      <c r="M1079" s="7">
        <v>229.84100000000001</v>
      </c>
      <c r="N1079" s="7">
        <v>23.375</v>
      </c>
      <c r="O1079" s="4">
        <v>22</v>
      </c>
      <c r="P1079" s="2" t="s">
        <v>3672</v>
      </c>
      <c r="Q1079" s="6">
        <v>100</v>
      </c>
      <c r="R1079" s="6">
        <v>12.93</v>
      </c>
      <c r="S1079" s="5">
        <v>-11.2</v>
      </c>
      <c r="T1079" s="7">
        <v>-0.69499999999999995</v>
      </c>
      <c r="U1079" s="5">
        <v>1.5</v>
      </c>
      <c r="V1079" s="6">
        <v>0.45</v>
      </c>
      <c r="W1079" s="6">
        <v>9.25</v>
      </c>
      <c r="X1079" s="5">
        <v>9.5</v>
      </c>
      <c r="Y1079" s="7">
        <v>11.875</v>
      </c>
      <c r="Z1079" s="4">
        <v>11</v>
      </c>
      <c r="AA1079" s="6">
        <v>10.5</v>
      </c>
      <c r="AB1079" s="2" t="s">
        <v>86</v>
      </c>
      <c r="AC1079" s="6">
        <v>35.74</v>
      </c>
    </row>
    <row r="1080" spans="1:29" ht="143" x14ac:dyDescent="0.15">
      <c r="A1080" s="3">
        <f>DATE(1993,4,2)</f>
        <v>34061</v>
      </c>
      <c r="B1080" s="3">
        <f>DATE(1993,10,12)</f>
        <v>34254</v>
      </c>
      <c r="C1080" s="2" t="s">
        <v>95</v>
      </c>
      <c r="D1080" s="2" t="s">
        <v>3375</v>
      </c>
      <c r="E1080" s="2" t="s">
        <v>36</v>
      </c>
      <c r="F1080" s="4">
        <v>6022</v>
      </c>
      <c r="G1080" s="2" t="s">
        <v>37</v>
      </c>
      <c r="H1080" s="2" t="s">
        <v>34</v>
      </c>
      <c r="I1080" s="2" t="s">
        <v>158</v>
      </c>
      <c r="J1080" s="2" t="s">
        <v>159</v>
      </c>
      <c r="K1080" s="2" t="s">
        <v>37</v>
      </c>
      <c r="L1080" s="2" t="s">
        <v>34</v>
      </c>
      <c r="M1080" s="12">
        <v>8942.3070000000007</v>
      </c>
      <c r="N1080" s="5">
        <v>52.5</v>
      </c>
      <c r="O1080" s="4">
        <v>52</v>
      </c>
      <c r="P1080" s="2" t="s">
        <v>3673</v>
      </c>
      <c r="Q1080" s="6">
        <v>99.82</v>
      </c>
      <c r="R1080" s="6">
        <v>28.25</v>
      </c>
      <c r="S1080" s="5">
        <v>-10.8</v>
      </c>
      <c r="T1080" s="7">
        <v>-15.169</v>
      </c>
      <c r="U1080" s="5">
        <v>16</v>
      </c>
      <c r="V1080" s="6">
        <v>-1.55</v>
      </c>
      <c r="W1080" s="5">
        <v>21.5</v>
      </c>
      <c r="X1080" s="4">
        <v>23</v>
      </c>
      <c r="Y1080" s="6">
        <v>22.75</v>
      </c>
      <c r="Z1080" s="5">
        <v>22.5</v>
      </c>
      <c r="AA1080" s="6">
        <v>7.24</v>
      </c>
      <c r="AB1080" s="2" t="s">
        <v>86</v>
      </c>
      <c r="AC1080" s="2"/>
    </row>
    <row r="1081" spans="1:29" ht="26" x14ac:dyDescent="0.15">
      <c r="A1081" s="3">
        <f>DATE(1993,4,5)</f>
        <v>34064</v>
      </c>
      <c r="B1081" s="2"/>
      <c r="C1081" s="2" t="s">
        <v>141</v>
      </c>
      <c r="D1081" s="2" t="s">
        <v>3674</v>
      </c>
      <c r="E1081" s="2" t="s">
        <v>2898</v>
      </c>
      <c r="F1081" s="4">
        <v>6022</v>
      </c>
      <c r="G1081" s="2" t="s">
        <v>37</v>
      </c>
      <c r="H1081" s="2" t="s">
        <v>34</v>
      </c>
      <c r="I1081" s="2" t="s">
        <v>143</v>
      </c>
      <c r="J1081" s="2" t="s">
        <v>144</v>
      </c>
      <c r="K1081" s="2" t="s">
        <v>53</v>
      </c>
      <c r="L1081" s="2" t="s">
        <v>139</v>
      </c>
      <c r="M1081" s="2"/>
      <c r="N1081" s="2"/>
      <c r="O1081" s="2"/>
      <c r="P1081" s="2" t="s">
        <v>3675</v>
      </c>
      <c r="Q1081" s="2"/>
      <c r="R1081" s="2"/>
      <c r="S1081" s="5">
        <v>2</v>
      </c>
      <c r="T1081" s="7">
        <v>3.008</v>
      </c>
      <c r="U1081" s="5">
        <v>6.2</v>
      </c>
      <c r="V1081" s="6">
        <v>0.59</v>
      </c>
      <c r="W1081" s="4">
        <v>5</v>
      </c>
      <c r="X1081" s="6">
        <v>5.25</v>
      </c>
      <c r="Y1081" s="6">
        <v>5.25</v>
      </c>
      <c r="Z1081" s="6">
        <v>5.25</v>
      </c>
      <c r="AA1081" s="2"/>
      <c r="AB1081" s="2" t="s">
        <v>47</v>
      </c>
      <c r="AC1081" s="2"/>
    </row>
    <row r="1082" spans="1:29" ht="156" x14ac:dyDescent="0.15">
      <c r="A1082" s="3">
        <f>DATE(1993,4,5)</f>
        <v>34064</v>
      </c>
      <c r="B1082" s="2"/>
      <c r="C1082" s="2" t="s">
        <v>82</v>
      </c>
      <c r="D1082" s="2" t="s">
        <v>3631</v>
      </c>
      <c r="E1082" s="2" t="s">
        <v>3632</v>
      </c>
      <c r="F1082" s="4">
        <v>8052</v>
      </c>
      <c r="G1082" s="2" t="s">
        <v>454</v>
      </c>
      <c r="H1082" s="2" t="s">
        <v>34</v>
      </c>
      <c r="I1082" s="2" t="s">
        <v>3676</v>
      </c>
      <c r="J1082" s="2" t="s">
        <v>3677</v>
      </c>
      <c r="K1082" s="2" t="s">
        <v>454</v>
      </c>
      <c r="L1082" s="2" t="s">
        <v>34</v>
      </c>
      <c r="M1082" s="2"/>
      <c r="N1082" s="2"/>
      <c r="O1082" s="2"/>
      <c r="P1082" s="2" t="s">
        <v>3678</v>
      </c>
      <c r="Q1082" s="2"/>
      <c r="R1082" s="6">
        <v>3.62</v>
      </c>
      <c r="S1082" s="5">
        <v>-7.4</v>
      </c>
      <c r="T1082" s="7">
        <v>15.382</v>
      </c>
      <c r="U1082" s="5">
        <v>1.8</v>
      </c>
      <c r="V1082" s="6">
        <v>-0.98</v>
      </c>
      <c r="W1082" s="6">
        <v>3.13</v>
      </c>
      <c r="X1082" s="6">
        <v>3.13</v>
      </c>
      <c r="Y1082" s="7">
        <v>6.3E-2</v>
      </c>
      <c r="Z1082" s="5">
        <v>3.5</v>
      </c>
      <c r="AA1082" s="6">
        <v>8.57</v>
      </c>
      <c r="AB1082" s="7">
        <v>38.735999999999997</v>
      </c>
      <c r="AC1082" s="2"/>
    </row>
    <row r="1083" spans="1:29" ht="91" x14ac:dyDescent="0.15">
      <c r="A1083" s="3">
        <f>DATE(1993,4,7)</f>
        <v>34066</v>
      </c>
      <c r="B1083" s="3">
        <f>DATE(1994,2,24)</f>
        <v>34389</v>
      </c>
      <c r="C1083" s="2" t="s">
        <v>95</v>
      </c>
      <c r="D1083" s="2" t="s">
        <v>2283</v>
      </c>
      <c r="E1083" s="2" t="s">
        <v>169</v>
      </c>
      <c r="F1083" s="4">
        <v>6311</v>
      </c>
      <c r="G1083" s="2" t="s">
        <v>125</v>
      </c>
      <c r="H1083" s="2" t="s">
        <v>34</v>
      </c>
      <c r="I1083" s="2" t="s">
        <v>3679</v>
      </c>
      <c r="J1083" s="2" t="s">
        <v>3680</v>
      </c>
      <c r="K1083" s="2" t="s">
        <v>45</v>
      </c>
      <c r="L1083" s="2" t="s">
        <v>34</v>
      </c>
      <c r="M1083" s="2"/>
      <c r="N1083" s="7">
        <v>30.875</v>
      </c>
      <c r="O1083" s="4">
        <v>31</v>
      </c>
      <c r="P1083" s="2" t="s">
        <v>3681</v>
      </c>
      <c r="Q1083" s="6">
        <v>100</v>
      </c>
      <c r="R1083" s="6">
        <v>14.75</v>
      </c>
      <c r="S1083" s="5">
        <v>3.2</v>
      </c>
      <c r="T1083" s="2"/>
      <c r="U1083" s="5">
        <v>10.9</v>
      </c>
      <c r="V1083" s="6">
        <v>0.9</v>
      </c>
      <c r="W1083" s="5">
        <v>10.5</v>
      </c>
      <c r="X1083" s="6">
        <v>11.25</v>
      </c>
      <c r="Y1083" s="6">
        <v>14.25</v>
      </c>
      <c r="Z1083" s="6">
        <v>14.25</v>
      </c>
      <c r="AA1083" s="6">
        <v>3.52</v>
      </c>
      <c r="AB1083" s="7">
        <v>11.42</v>
      </c>
      <c r="AC1083" s="6">
        <v>32.18</v>
      </c>
    </row>
    <row r="1084" spans="1:29" ht="156" x14ac:dyDescent="0.15">
      <c r="A1084" s="3">
        <f>DATE(1993,4,8)</f>
        <v>34067</v>
      </c>
      <c r="B1084" s="2"/>
      <c r="C1084" s="2" t="s">
        <v>30</v>
      </c>
      <c r="D1084" s="2" t="s">
        <v>3682</v>
      </c>
      <c r="E1084" s="2" t="s">
        <v>36</v>
      </c>
      <c r="F1084" s="4">
        <v>6022</v>
      </c>
      <c r="G1084" s="2" t="s">
        <v>37</v>
      </c>
      <c r="H1084" s="2" t="s">
        <v>34</v>
      </c>
      <c r="I1084" s="2" t="s">
        <v>3683</v>
      </c>
      <c r="J1084" s="2" t="s">
        <v>1181</v>
      </c>
      <c r="K1084" s="2" t="s">
        <v>37</v>
      </c>
      <c r="L1084" s="2" t="s">
        <v>34</v>
      </c>
      <c r="M1084" s="7">
        <v>70.873999999999995</v>
      </c>
      <c r="N1084" s="5">
        <v>29.5</v>
      </c>
      <c r="O1084" s="5">
        <v>29.5</v>
      </c>
      <c r="P1084" s="2" t="s">
        <v>3684</v>
      </c>
      <c r="Q1084" s="2"/>
      <c r="R1084" s="6">
        <v>22</v>
      </c>
      <c r="S1084" s="5">
        <v>2.9</v>
      </c>
      <c r="T1084" s="6">
        <v>4.3499999999999996</v>
      </c>
      <c r="U1084" s="5">
        <v>16.100000000000001</v>
      </c>
      <c r="V1084" s="9">
        <v>1.0928</v>
      </c>
      <c r="W1084" s="6">
        <v>16.75</v>
      </c>
      <c r="X1084" s="6">
        <v>16.37</v>
      </c>
      <c r="Y1084" s="6">
        <v>16.75</v>
      </c>
      <c r="Z1084" s="6">
        <v>16.75</v>
      </c>
      <c r="AA1084" s="6">
        <v>9.17</v>
      </c>
      <c r="AB1084" s="7">
        <v>7.73</v>
      </c>
      <c r="AC1084" s="2"/>
    </row>
    <row r="1085" spans="1:29" ht="156" x14ac:dyDescent="0.15">
      <c r="A1085" s="3">
        <f>DATE(1993,4,11)</f>
        <v>34070</v>
      </c>
      <c r="B1085" s="3">
        <f>DATE(1993,6,23)</f>
        <v>34143</v>
      </c>
      <c r="C1085" s="2" t="s">
        <v>95</v>
      </c>
      <c r="D1085" s="2" t="s">
        <v>3685</v>
      </c>
      <c r="E1085" s="2" t="s">
        <v>3686</v>
      </c>
      <c r="F1085" s="4">
        <v>2731</v>
      </c>
      <c r="G1085" s="2" t="s">
        <v>186</v>
      </c>
      <c r="H1085" s="2" t="s">
        <v>34</v>
      </c>
      <c r="I1085" s="2" t="s">
        <v>3687</v>
      </c>
      <c r="J1085" s="2" t="s">
        <v>3688</v>
      </c>
      <c r="K1085" s="2" t="s">
        <v>186</v>
      </c>
      <c r="L1085" s="2" t="s">
        <v>34</v>
      </c>
      <c r="M1085" s="2"/>
      <c r="N1085" s="2"/>
      <c r="O1085" s="2"/>
      <c r="P1085" s="2" t="s">
        <v>3689</v>
      </c>
      <c r="Q1085" s="6">
        <v>100</v>
      </c>
      <c r="R1085" s="6">
        <v>9.6300000000000008</v>
      </c>
      <c r="S1085" s="5">
        <v>1.1000000000000001</v>
      </c>
      <c r="T1085" s="2"/>
      <c r="U1085" s="5">
        <v>3.8</v>
      </c>
      <c r="V1085" s="7">
        <v>0.33200000000000002</v>
      </c>
      <c r="W1085" s="5">
        <v>4.5</v>
      </c>
      <c r="X1085" s="6">
        <v>4.75</v>
      </c>
      <c r="Y1085" s="2"/>
      <c r="Z1085" s="6">
        <v>8.25</v>
      </c>
      <c r="AA1085" s="6">
        <v>4.0599999999999996</v>
      </c>
      <c r="AB1085" s="2" t="s">
        <v>47</v>
      </c>
      <c r="AC1085" s="2"/>
    </row>
    <row r="1086" spans="1:29" ht="143" x14ac:dyDescent="0.15">
      <c r="A1086" s="3">
        <f>DATE(1993,4,12)</f>
        <v>34071</v>
      </c>
      <c r="B1086" s="2"/>
      <c r="C1086" s="2" t="s">
        <v>30</v>
      </c>
      <c r="D1086" s="2" t="s">
        <v>3690</v>
      </c>
      <c r="E1086" s="2" t="s">
        <v>3691</v>
      </c>
      <c r="F1086" s="4">
        <v>3483</v>
      </c>
      <c r="G1086" s="2" t="s">
        <v>163</v>
      </c>
      <c r="H1086" s="2" t="s">
        <v>34</v>
      </c>
      <c r="I1086" s="2" t="s">
        <v>1911</v>
      </c>
      <c r="J1086" s="2" t="s">
        <v>80</v>
      </c>
      <c r="K1086" s="2" t="s">
        <v>53</v>
      </c>
      <c r="L1086" s="2" t="s">
        <v>34</v>
      </c>
      <c r="M1086" s="2"/>
      <c r="N1086" s="2"/>
      <c r="O1086" s="2"/>
      <c r="P1086" s="2" t="s">
        <v>3692</v>
      </c>
      <c r="Q1086" s="2"/>
      <c r="R1086" s="6">
        <v>19</v>
      </c>
      <c r="S1086" s="5">
        <v>18</v>
      </c>
      <c r="T1086" s="7">
        <v>28.504999999999999</v>
      </c>
      <c r="U1086" s="5">
        <v>8.1</v>
      </c>
      <c r="V1086" s="6">
        <v>3.99</v>
      </c>
      <c r="W1086" s="4">
        <v>13</v>
      </c>
      <c r="X1086" s="7">
        <v>13.125</v>
      </c>
      <c r="Y1086" s="6">
        <v>14.75</v>
      </c>
      <c r="Z1086" s="7">
        <v>14.875</v>
      </c>
      <c r="AA1086" s="6">
        <v>4.63</v>
      </c>
      <c r="AB1086" s="7">
        <v>1.72</v>
      </c>
      <c r="AC1086" s="2"/>
    </row>
    <row r="1087" spans="1:29" ht="143" x14ac:dyDescent="0.15">
      <c r="A1087" s="3">
        <f>DATE(1993,4,12)</f>
        <v>34071</v>
      </c>
      <c r="B1087" s="2"/>
      <c r="C1087" s="2" t="s">
        <v>30</v>
      </c>
      <c r="D1087" s="2" t="s">
        <v>3693</v>
      </c>
      <c r="E1087" s="2" t="s">
        <v>658</v>
      </c>
      <c r="F1087" s="4">
        <v>7372</v>
      </c>
      <c r="G1087" s="2" t="s">
        <v>551</v>
      </c>
      <c r="H1087" s="2" t="s">
        <v>34</v>
      </c>
      <c r="I1087" s="2" t="s">
        <v>3694</v>
      </c>
      <c r="J1087" s="2" t="s">
        <v>3695</v>
      </c>
      <c r="K1087" s="2" t="s">
        <v>551</v>
      </c>
      <c r="L1087" s="2" t="s">
        <v>34</v>
      </c>
      <c r="M1087" s="7">
        <v>207.19499999999999</v>
      </c>
      <c r="N1087" s="7">
        <v>8.625</v>
      </c>
      <c r="O1087" s="7">
        <v>10.125</v>
      </c>
      <c r="P1087" s="2" t="s">
        <v>3696</v>
      </c>
      <c r="Q1087" s="2"/>
      <c r="R1087" s="6">
        <v>11.63</v>
      </c>
      <c r="S1087" s="5">
        <v>0.3</v>
      </c>
      <c r="T1087" s="7">
        <v>4.4550000000000001</v>
      </c>
      <c r="U1087" s="5">
        <v>1</v>
      </c>
      <c r="V1087" s="6">
        <v>-0.12</v>
      </c>
      <c r="W1087" s="7">
        <v>8.375</v>
      </c>
      <c r="X1087" s="7">
        <v>8.625</v>
      </c>
      <c r="Y1087" s="5">
        <v>11.5</v>
      </c>
      <c r="Z1087" s="7">
        <v>11.375</v>
      </c>
      <c r="AA1087" s="6">
        <v>4.59</v>
      </c>
      <c r="AB1087" s="7">
        <v>16.059999999999999</v>
      </c>
      <c r="AC1087" s="2"/>
    </row>
    <row r="1088" spans="1:29" ht="143" x14ac:dyDescent="0.15">
      <c r="A1088" s="3">
        <f>DATE(1993,4,13)</f>
        <v>34072</v>
      </c>
      <c r="B1088" s="3">
        <f>DATE(1993,10,14)</f>
        <v>34256</v>
      </c>
      <c r="C1088" s="2" t="s">
        <v>95</v>
      </c>
      <c r="D1088" s="2" t="s">
        <v>3697</v>
      </c>
      <c r="E1088" s="2" t="s">
        <v>32</v>
      </c>
      <c r="F1088" s="4">
        <v>6036</v>
      </c>
      <c r="G1088" s="2" t="s">
        <v>33</v>
      </c>
      <c r="H1088" s="2" t="s">
        <v>34</v>
      </c>
      <c r="I1088" s="2" t="s">
        <v>295</v>
      </c>
      <c r="J1088" s="2" t="s">
        <v>296</v>
      </c>
      <c r="K1088" s="2" t="s">
        <v>37</v>
      </c>
      <c r="L1088" s="2" t="s">
        <v>34</v>
      </c>
      <c r="M1088" s="2"/>
      <c r="N1088" s="2"/>
      <c r="O1088" s="2"/>
      <c r="P1088" s="2" t="s">
        <v>3698</v>
      </c>
      <c r="Q1088" s="6">
        <v>100</v>
      </c>
      <c r="R1088" s="6">
        <v>13</v>
      </c>
      <c r="S1088" s="5">
        <v>-17.8</v>
      </c>
      <c r="T1088" s="7">
        <v>0.439</v>
      </c>
      <c r="U1088" s="5">
        <v>11</v>
      </c>
      <c r="V1088" s="6">
        <v>-2.52</v>
      </c>
      <c r="W1088" s="4">
        <v>9</v>
      </c>
      <c r="X1088" s="6">
        <v>9.3699999999999992</v>
      </c>
      <c r="Y1088" s="6">
        <v>12.25</v>
      </c>
      <c r="Z1088" s="6">
        <v>12.25</v>
      </c>
      <c r="AA1088" s="6">
        <v>7.11</v>
      </c>
      <c r="AB1088" s="2" t="s">
        <v>86</v>
      </c>
      <c r="AC1088" s="2"/>
    </row>
    <row r="1089" spans="1:29" ht="156" x14ac:dyDescent="0.15">
      <c r="A1089" s="3">
        <f>DATE(1993,4,14)</f>
        <v>34073</v>
      </c>
      <c r="B1089" s="3">
        <f>DATE(1993,12,30)</f>
        <v>34333</v>
      </c>
      <c r="C1089" s="2" t="s">
        <v>95</v>
      </c>
      <c r="D1089" s="2" t="s">
        <v>3496</v>
      </c>
      <c r="E1089" s="2" t="s">
        <v>32</v>
      </c>
      <c r="F1089" s="4">
        <v>6035</v>
      </c>
      <c r="G1089" s="2" t="s">
        <v>33</v>
      </c>
      <c r="H1089" s="2" t="s">
        <v>34</v>
      </c>
      <c r="I1089" s="2" t="s">
        <v>67</v>
      </c>
      <c r="J1089" s="2" t="s">
        <v>36</v>
      </c>
      <c r="K1089" s="2" t="s">
        <v>37</v>
      </c>
      <c r="L1089" s="2" t="s">
        <v>34</v>
      </c>
      <c r="M1089" s="12">
        <v>3521.6280000000002</v>
      </c>
      <c r="N1089" s="7">
        <v>50.125</v>
      </c>
      <c r="O1089" s="7">
        <v>49.625</v>
      </c>
      <c r="P1089" s="2" t="s">
        <v>3699</v>
      </c>
      <c r="Q1089" s="6">
        <v>100</v>
      </c>
      <c r="R1089" s="6">
        <v>41.67</v>
      </c>
      <c r="S1089" s="5">
        <v>5.6</v>
      </c>
      <c r="T1089" s="2"/>
      <c r="U1089" s="5">
        <v>31.1</v>
      </c>
      <c r="V1089" s="6">
        <v>1.07</v>
      </c>
      <c r="W1089" s="4">
        <v>23</v>
      </c>
      <c r="X1089" s="6">
        <v>22.75</v>
      </c>
      <c r="Y1089" s="6">
        <v>30.75</v>
      </c>
      <c r="Z1089" s="6">
        <v>31.25</v>
      </c>
      <c r="AA1089" s="6">
        <v>5.46</v>
      </c>
      <c r="AB1089" s="7">
        <v>144.95500000000001</v>
      </c>
      <c r="AC1089" s="2"/>
    </row>
    <row r="1090" spans="1:29" ht="130" x14ac:dyDescent="0.15">
      <c r="A1090" s="3">
        <f>DATE(1993,4,19)</f>
        <v>34078</v>
      </c>
      <c r="B1090" s="2"/>
      <c r="C1090" s="2" t="s">
        <v>30</v>
      </c>
      <c r="D1090" s="2" t="s">
        <v>3700</v>
      </c>
      <c r="E1090" s="2" t="s">
        <v>36</v>
      </c>
      <c r="F1090" s="4">
        <v>6021</v>
      </c>
      <c r="G1090" s="2" t="s">
        <v>37</v>
      </c>
      <c r="H1090" s="2" t="s">
        <v>34</v>
      </c>
      <c r="I1090" s="2" t="s">
        <v>1612</v>
      </c>
      <c r="J1090" s="2" t="s">
        <v>263</v>
      </c>
      <c r="K1090" s="2" t="s">
        <v>37</v>
      </c>
      <c r="L1090" s="2" t="s">
        <v>34</v>
      </c>
      <c r="M1090" s="10">
        <v>12988.41</v>
      </c>
      <c r="N1090" s="7">
        <v>58.125</v>
      </c>
      <c r="O1090" s="5">
        <v>57.5</v>
      </c>
      <c r="P1090" s="2" t="s">
        <v>3701</v>
      </c>
      <c r="Q1090" s="2"/>
      <c r="R1090" s="6">
        <v>59.5</v>
      </c>
      <c r="S1090" s="5">
        <v>41.4</v>
      </c>
      <c r="T1090" s="7">
        <v>64.531000000000006</v>
      </c>
      <c r="U1090" s="5">
        <v>15.4</v>
      </c>
      <c r="V1090" s="9">
        <v>2.3666999999999998</v>
      </c>
      <c r="W1090" s="4">
        <v>44</v>
      </c>
      <c r="X1090" s="5">
        <v>45.5</v>
      </c>
      <c r="Y1090" s="5">
        <v>54.5</v>
      </c>
      <c r="Z1090" s="6">
        <v>54.25</v>
      </c>
      <c r="AA1090" s="6">
        <v>11.87</v>
      </c>
      <c r="AB1090" s="7">
        <v>21.670999999999999</v>
      </c>
      <c r="AC1090" s="2"/>
    </row>
    <row r="1091" spans="1:29" ht="52" x14ac:dyDescent="0.15">
      <c r="A1091" s="3">
        <f>DATE(1993,4,20)</f>
        <v>34079</v>
      </c>
      <c r="B1091" s="3">
        <f>DATE(1993,6,30)</f>
        <v>34150</v>
      </c>
      <c r="C1091" s="2" t="s">
        <v>95</v>
      </c>
      <c r="D1091" s="2" t="s">
        <v>3702</v>
      </c>
      <c r="E1091" s="2" t="s">
        <v>781</v>
      </c>
      <c r="F1091" s="4">
        <v>7372</v>
      </c>
      <c r="G1091" s="2" t="s">
        <v>551</v>
      </c>
      <c r="H1091" s="2" t="s">
        <v>34</v>
      </c>
      <c r="I1091" s="2" t="s">
        <v>3703</v>
      </c>
      <c r="J1091" s="2" t="s">
        <v>553</v>
      </c>
      <c r="K1091" s="2" t="s">
        <v>551</v>
      </c>
      <c r="L1091" s="2" t="s">
        <v>902</v>
      </c>
      <c r="M1091" s="2"/>
      <c r="N1091" s="2"/>
      <c r="O1091" s="2"/>
      <c r="P1091" s="2" t="s">
        <v>3704</v>
      </c>
      <c r="Q1091" s="6">
        <v>19.010000000000002</v>
      </c>
      <c r="R1091" s="6">
        <v>1.87</v>
      </c>
      <c r="S1091" s="5">
        <v>-1.2</v>
      </c>
      <c r="T1091" s="7">
        <v>-0.58499999999999996</v>
      </c>
      <c r="U1091" s="5">
        <v>1.9</v>
      </c>
      <c r="V1091" s="6">
        <v>-0.51</v>
      </c>
      <c r="W1091" s="6">
        <v>1.43</v>
      </c>
      <c r="X1091" s="6">
        <v>1.25</v>
      </c>
      <c r="Y1091" s="6">
        <v>1.25</v>
      </c>
      <c r="Z1091" s="6">
        <v>1.43</v>
      </c>
      <c r="AA1091" s="6">
        <v>10.92</v>
      </c>
      <c r="AB1091" s="2" t="s">
        <v>86</v>
      </c>
      <c r="AC1091" s="2"/>
    </row>
    <row r="1092" spans="1:29" ht="143" x14ac:dyDescent="0.15">
      <c r="A1092" s="3">
        <f>DATE(1993,4,20)</f>
        <v>34079</v>
      </c>
      <c r="B1092" s="3">
        <f>DATE(1993,7,1)</f>
        <v>34151</v>
      </c>
      <c r="C1092" s="2" t="s">
        <v>95</v>
      </c>
      <c r="D1092" s="2" t="s">
        <v>3705</v>
      </c>
      <c r="E1092" s="2" t="s">
        <v>500</v>
      </c>
      <c r="F1092" s="4">
        <v>5065</v>
      </c>
      <c r="G1092" s="2" t="s">
        <v>76</v>
      </c>
      <c r="H1092" s="2" t="s">
        <v>34</v>
      </c>
      <c r="I1092" s="2" t="s">
        <v>3706</v>
      </c>
      <c r="J1092" s="2" t="s">
        <v>2195</v>
      </c>
      <c r="K1092" s="2" t="s">
        <v>76</v>
      </c>
      <c r="L1092" s="2" t="s">
        <v>34</v>
      </c>
      <c r="M1092" s="12">
        <v>1122.4870000000001</v>
      </c>
      <c r="N1092" s="7">
        <v>31.375</v>
      </c>
      <c r="O1092" s="7">
        <v>31.625</v>
      </c>
      <c r="P1092" s="2" t="s">
        <v>3707</v>
      </c>
      <c r="Q1092" s="6">
        <v>100</v>
      </c>
      <c r="R1092" s="6">
        <v>33.840000000000003</v>
      </c>
      <c r="S1092" s="5">
        <v>25.4</v>
      </c>
      <c r="T1092" s="7">
        <v>53.331000000000003</v>
      </c>
      <c r="U1092" s="5">
        <v>10.6</v>
      </c>
      <c r="V1092" s="6">
        <v>2.44</v>
      </c>
      <c r="W1092" s="4">
        <v>23</v>
      </c>
      <c r="X1092" s="6">
        <v>24.75</v>
      </c>
      <c r="Y1092" s="6">
        <v>32.75</v>
      </c>
      <c r="Z1092" s="6">
        <v>32.75</v>
      </c>
      <c r="AA1092" s="6">
        <v>10.11</v>
      </c>
      <c r="AB1092" s="7">
        <v>10.765000000000001</v>
      </c>
      <c r="AC1092" s="2"/>
    </row>
    <row r="1093" spans="1:29" ht="78" x14ac:dyDescent="0.15">
      <c r="A1093" s="3">
        <f>DATE(1993,4,20)</f>
        <v>34079</v>
      </c>
      <c r="B1093" s="2"/>
      <c r="C1093" s="2" t="s">
        <v>141</v>
      </c>
      <c r="D1093" s="2" t="s">
        <v>3708</v>
      </c>
      <c r="E1093" s="2" t="s">
        <v>36</v>
      </c>
      <c r="F1093" s="4">
        <v>6021</v>
      </c>
      <c r="G1093" s="2" t="s">
        <v>37</v>
      </c>
      <c r="H1093" s="2" t="s">
        <v>34</v>
      </c>
      <c r="I1093" s="2" t="s">
        <v>143</v>
      </c>
      <c r="J1093" s="2" t="s">
        <v>144</v>
      </c>
      <c r="K1093" s="2" t="s">
        <v>53</v>
      </c>
      <c r="L1093" s="2" t="s">
        <v>139</v>
      </c>
      <c r="M1093" s="2"/>
      <c r="N1093" s="2"/>
      <c r="O1093" s="2"/>
      <c r="P1093" s="2" t="s">
        <v>3709</v>
      </c>
      <c r="Q1093" s="2"/>
      <c r="R1093" s="2"/>
      <c r="S1093" s="5">
        <v>59.8</v>
      </c>
      <c r="T1093" s="7">
        <v>100.71299999999999</v>
      </c>
      <c r="U1093" s="5">
        <v>53.6</v>
      </c>
      <c r="V1093" s="6">
        <v>3.96</v>
      </c>
      <c r="W1093" s="7">
        <v>60.375</v>
      </c>
      <c r="X1093" s="5">
        <v>61.5</v>
      </c>
      <c r="Y1093" s="4">
        <v>61</v>
      </c>
      <c r="Z1093" s="6">
        <v>60.25</v>
      </c>
      <c r="AA1093" s="2"/>
      <c r="AB1093" s="2" t="s">
        <v>47</v>
      </c>
      <c r="AC1093" s="2"/>
    </row>
    <row r="1094" spans="1:29" ht="143" x14ac:dyDescent="0.15">
      <c r="A1094" s="3">
        <f>DATE(1993,4,22)</f>
        <v>34081</v>
      </c>
      <c r="B1094" s="3">
        <f>DATE(1993,10,29)</f>
        <v>34271</v>
      </c>
      <c r="C1094" s="2" t="s">
        <v>95</v>
      </c>
      <c r="D1094" s="2" t="s">
        <v>3710</v>
      </c>
      <c r="E1094" s="2" t="s">
        <v>3711</v>
      </c>
      <c r="F1094" s="4">
        <v>2759</v>
      </c>
      <c r="G1094" s="2" t="s">
        <v>186</v>
      </c>
      <c r="H1094" s="2" t="s">
        <v>34</v>
      </c>
      <c r="I1094" s="2" t="s">
        <v>3712</v>
      </c>
      <c r="J1094" s="2" t="s">
        <v>3713</v>
      </c>
      <c r="K1094" s="2" t="s">
        <v>50</v>
      </c>
      <c r="L1094" s="2" t="s">
        <v>34</v>
      </c>
      <c r="M1094" s="12">
        <v>6627.0330000000004</v>
      </c>
      <c r="N1094" s="4">
        <v>41</v>
      </c>
      <c r="O1094" s="7">
        <v>41.125</v>
      </c>
      <c r="P1094" s="2" t="s">
        <v>3714</v>
      </c>
      <c r="Q1094" s="6">
        <v>100</v>
      </c>
      <c r="R1094" s="6">
        <v>14.37</v>
      </c>
      <c r="S1094" s="5">
        <v>2.7</v>
      </c>
      <c r="T1094" s="7">
        <v>9.1539999999999999</v>
      </c>
      <c r="U1094" s="5">
        <v>5.0999999999999996</v>
      </c>
      <c r="V1094" s="6">
        <v>0.45</v>
      </c>
      <c r="W1094" s="6">
        <v>9.75</v>
      </c>
      <c r="X1094" s="7">
        <v>9.8130000000000006</v>
      </c>
      <c r="Y1094" s="7">
        <v>10.375</v>
      </c>
      <c r="Z1094" s="7">
        <v>8.375</v>
      </c>
      <c r="AA1094" s="6">
        <v>5.77</v>
      </c>
      <c r="AB1094" s="7">
        <v>13.95</v>
      </c>
      <c r="AC1094" s="6">
        <v>73.06</v>
      </c>
    </row>
    <row r="1095" spans="1:29" ht="104" x14ac:dyDescent="0.15">
      <c r="A1095" s="3">
        <f>DATE(1993,4,23)</f>
        <v>34082</v>
      </c>
      <c r="B1095" s="2"/>
      <c r="C1095" s="2" t="s">
        <v>82</v>
      </c>
      <c r="D1095" s="2" t="s">
        <v>3715</v>
      </c>
      <c r="E1095" s="2" t="s">
        <v>203</v>
      </c>
      <c r="F1095" s="4">
        <v>6035</v>
      </c>
      <c r="G1095" s="2" t="s">
        <v>33</v>
      </c>
      <c r="H1095" s="2" t="s">
        <v>34</v>
      </c>
      <c r="I1095" s="2" t="s">
        <v>3716</v>
      </c>
      <c r="J1095" s="2" t="s">
        <v>263</v>
      </c>
      <c r="K1095" s="2" t="s">
        <v>37</v>
      </c>
      <c r="L1095" s="2" t="s">
        <v>34</v>
      </c>
      <c r="M1095" s="2"/>
      <c r="N1095" s="7">
        <v>48.375</v>
      </c>
      <c r="O1095" s="7">
        <v>46.875</v>
      </c>
      <c r="P1095" s="2" t="s">
        <v>3717</v>
      </c>
      <c r="Q1095" s="2"/>
      <c r="R1095" s="6">
        <v>30.71</v>
      </c>
      <c r="S1095" s="5">
        <v>4.5999999999999996</v>
      </c>
      <c r="T1095" s="7">
        <v>8.1579999999999995</v>
      </c>
      <c r="U1095" s="5">
        <v>23.9</v>
      </c>
      <c r="V1095" s="6">
        <v>3.14</v>
      </c>
      <c r="W1095" s="6">
        <v>20.25</v>
      </c>
      <c r="X1095" s="7">
        <v>19.375</v>
      </c>
      <c r="Y1095" s="7">
        <v>19.375</v>
      </c>
      <c r="Z1095" s="5">
        <v>22.5</v>
      </c>
      <c r="AA1095" s="6">
        <v>1.4</v>
      </c>
      <c r="AB1095" s="7">
        <v>39.642000000000003</v>
      </c>
      <c r="AC1095" s="2"/>
    </row>
    <row r="1096" spans="1:29" ht="143" x14ac:dyDescent="0.15">
      <c r="A1096" s="3">
        <f>DATE(1993,4,23)</f>
        <v>34082</v>
      </c>
      <c r="B1096" s="3">
        <f>DATE(1993,12,9)</f>
        <v>34312</v>
      </c>
      <c r="C1096" s="2" t="s">
        <v>95</v>
      </c>
      <c r="D1096" s="2" t="s">
        <v>3718</v>
      </c>
      <c r="E1096" s="2" t="s">
        <v>389</v>
      </c>
      <c r="F1096" s="4">
        <v>6035</v>
      </c>
      <c r="G1096" s="2" t="s">
        <v>33</v>
      </c>
      <c r="H1096" s="2" t="s">
        <v>34</v>
      </c>
      <c r="I1096" s="2" t="s">
        <v>2995</v>
      </c>
      <c r="J1096" s="2" t="s">
        <v>159</v>
      </c>
      <c r="K1096" s="2" t="s">
        <v>37</v>
      </c>
      <c r="L1096" s="2" t="s">
        <v>34</v>
      </c>
      <c r="M1096" s="12">
        <v>1433.8330000000001</v>
      </c>
      <c r="N1096" s="7">
        <v>33.875</v>
      </c>
      <c r="O1096" s="6">
        <v>32.75</v>
      </c>
      <c r="P1096" s="2" t="s">
        <v>3719</v>
      </c>
      <c r="Q1096" s="6">
        <v>100</v>
      </c>
      <c r="R1096" s="6">
        <v>43.59</v>
      </c>
      <c r="S1096" s="5">
        <v>5.9</v>
      </c>
      <c r="T1096" s="7">
        <v>13.754</v>
      </c>
      <c r="U1096" s="5">
        <v>29.8</v>
      </c>
      <c r="V1096" s="6">
        <v>2.72</v>
      </c>
      <c r="W1096" s="5">
        <v>30.5</v>
      </c>
      <c r="X1096" s="4">
        <v>32</v>
      </c>
      <c r="Y1096" s="5">
        <v>34.5</v>
      </c>
      <c r="Z1096" s="4">
        <v>34</v>
      </c>
      <c r="AA1096" s="6">
        <v>2.11</v>
      </c>
      <c r="AB1096" s="7">
        <v>56.423000000000002</v>
      </c>
      <c r="AC1096" s="2"/>
    </row>
    <row r="1097" spans="1:29" ht="156" x14ac:dyDescent="0.15">
      <c r="A1097" s="3">
        <f>DATE(1993,4,26)</f>
        <v>34085</v>
      </c>
      <c r="B1097" s="3">
        <f>DATE(1994,4,14)</f>
        <v>34438</v>
      </c>
      <c r="C1097" s="2" t="s">
        <v>95</v>
      </c>
      <c r="D1097" s="2" t="s">
        <v>3720</v>
      </c>
      <c r="E1097" s="2" t="s">
        <v>3721</v>
      </c>
      <c r="F1097" s="4">
        <v>5984</v>
      </c>
      <c r="G1097" s="2" t="s">
        <v>73</v>
      </c>
      <c r="H1097" s="2" t="s">
        <v>34</v>
      </c>
      <c r="I1097" s="2" t="s">
        <v>3722</v>
      </c>
      <c r="J1097" s="2" t="s">
        <v>3723</v>
      </c>
      <c r="K1097" s="2" t="s">
        <v>230</v>
      </c>
      <c r="L1097" s="2" t="s">
        <v>34</v>
      </c>
      <c r="M1097" s="2"/>
      <c r="N1097" s="7">
        <v>19.875</v>
      </c>
      <c r="O1097" s="4">
        <v>18</v>
      </c>
      <c r="P1097" s="2" t="s">
        <v>3724</v>
      </c>
      <c r="Q1097" s="6">
        <v>29</v>
      </c>
      <c r="R1097" s="6">
        <v>25.6</v>
      </c>
      <c r="S1097" s="5">
        <v>1</v>
      </c>
      <c r="T1097" s="7">
        <v>16.123000000000001</v>
      </c>
      <c r="U1097" s="5">
        <v>9.8000000000000007</v>
      </c>
      <c r="V1097" s="6">
        <v>0.89</v>
      </c>
      <c r="W1097" s="7">
        <v>15.625</v>
      </c>
      <c r="X1097" s="5">
        <v>15.5</v>
      </c>
      <c r="Y1097" s="6">
        <v>15.25</v>
      </c>
      <c r="Z1097" s="7">
        <v>14.625</v>
      </c>
      <c r="AA1097" s="6">
        <v>11.6</v>
      </c>
      <c r="AB1097" s="2" t="s">
        <v>86</v>
      </c>
      <c r="AC1097" s="6">
        <v>58.51</v>
      </c>
    </row>
    <row r="1098" spans="1:29" ht="143" x14ac:dyDescent="0.15">
      <c r="A1098" s="3">
        <f>DATE(1993,4,27)</f>
        <v>34086</v>
      </c>
      <c r="B1098" s="2"/>
      <c r="C1098" s="2" t="s">
        <v>30</v>
      </c>
      <c r="D1098" s="2" t="s">
        <v>3725</v>
      </c>
      <c r="E1098" s="2" t="s">
        <v>3726</v>
      </c>
      <c r="F1098" s="4">
        <v>3663</v>
      </c>
      <c r="G1098" s="2" t="s">
        <v>921</v>
      </c>
      <c r="H1098" s="2" t="s">
        <v>34</v>
      </c>
      <c r="I1098" s="2" t="s">
        <v>1463</v>
      </c>
      <c r="J1098" s="2" t="s">
        <v>1464</v>
      </c>
      <c r="K1098" s="2" t="s">
        <v>223</v>
      </c>
      <c r="L1098" s="2" t="s">
        <v>34</v>
      </c>
      <c r="M1098" s="2"/>
      <c r="N1098" s="5">
        <v>4.5</v>
      </c>
      <c r="O1098" s="7">
        <v>4.375</v>
      </c>
      <c r="P1098" s="2" t="s">
        <v>3727</v>
      </c>
      <c r="Q1098" s="2"/>
      <c r="R1098" s="2"/>
      <c r="S1098" s="5">
        <v>3.3</v>
      </c>
      <c r="T1098" s="7">
        <v>5.125</v>
      </c>
      <c r="U1098" s="5">
        <v>1.9</v>
      </c>
      <c r="V1098" s="9">
        <v>0.39729999999999999</v>
      </c>
      <c r="W1098" s="4">
        <v>6</v>
      </c>
      <c r="X1098" s="4">
        <v>6</v>
      </c>
      <c r="Y1098" s="6">
        <v>5.12</v>
      </c>
      <c r="Z1098" s="6">
        <v>5.12</v>
      </c>
      <c r="AA1098" s="6">
        <v>5.35</v>
      </c>
      <c r="AB1098" s="2" t="s">
        <v>47</v>
      </c>
      <c r="AC1098" s="6">
        <v>3.36</v>
      </c>
    </row>
    <row r="1099" spans="1:29" ht="78" x14ac:dyDescent="0.15">
      <c r="A1099" s="3">
        <f>DATE(1993,4,28)</f>
        <v>34087</v>
      </c>
      <c r="B1099" s="3">
        <f>DATE(1993,12,15)</f>
        <v>34318</v>
      </c>
      <c r="C1099" s="2" t="s">
        <v>95</v>
      </c>
      <c r="D1099" s="2" t="s">
        <v>233</v>
      </c>
      <c r="E1099" s="2" t="s">
        <v>36</v>
      </c>
      <c r="F1099" s="4">
        <v>6021</v>
      </c>
      <c r="G1099" s="2" t="s">
        <v>37</v>
      </c>
      <c r="H1099" s="2" t="s">
        <v>34</v>
      </c>
      <c r="I1099" s="2" t="s">
        <v>2336</v>
      </c>
      <c r="J1099" s="2" t="s">
        <v>2337</v>
      </c>
      <c r="K1099" s="2" t="s">
        <v>37</v>
      </c>
      <c r="L1099" s="2" t="s">
        <v>34</v>
      </c>
      <c r="M1099" s="2"/>
      <c r="N1099" s="4">
        <v>29</v>
      </c>
      <c r="O1099" s="4">
        <v>29</v>
      </c>
      <c r="P1099" s="2" t="s">
        <v>3728</v>
      </c>
      <c r="Q1099" s="6">
        <v>100</v>
      </c>
      <c r="R1099" s="6">
        <v>6.3</v>
      </c>
      <c r="S1099" s="5">
        <v>-4.5</v>
      </c>
      <c r="T1099" s="7">
        <v>-3.1890000000000001</v>
      </c>
      <c r="U1099" s="5">
        <v>5.4</v>
      </c>
      <c r="V1099" s="6">
        <v>-1.69</v>
      </c>
      <c r="W1099" s="5">
        <v>4.5</v>
      </c>
      <c r="X1099" s="5">
        <v>4.5</v>
      </c>
      <c r="Y1099" s="5">
        <v>4.5</v>
      </c>
      <c r="Z1099" s="6">
        <v>5.75</v>
      </c>
      <c r="AA1099" s="6">
        <v>2.54</v>
      </c>
      <c r="AB1099" s="2" t="s">
        <v>86</v>
      </c>
      <c r="AC1099" s="2"/>
    </row>
    <row r="1100" spans="1:29" ht="78" x14ac:dyDescent="0.15">
      <c r="A1100" s="3">
        <f>DATE(1993,4,29)</f>
        <v>34088</v>
      </c>
      <c r="B1100" s="3">
        <f>DATE(1993,6,2)</f>
        <v>34122</v>
      </c>
      <c r="C1100" s="2" t="s">
        <v>95</v>
      </c>
      <c r="D1100" s="2" t="s">
        <v>3729</v>
      </c>
      <c r="E1100" s="2" t="s">
        <v>3730</v>
      </c>
      <c r="F1100" s="4">
        <v>7812</v>
      </c>
      <c r="G1100" s="2" t="s">
        <v>42</v>
      </c>
      <c r="H1100" s="2" t="s">
        <v>34</v>
      </c>
      <c r="I1100" s="2" t="s">
        <v>1594</v>
      </c>
      <c r="J1100" s="2" t="s">
        <v>398</v>
      </c>
      <c r="K1100" s="2" t="s">
        <v>42</v>
      </c>
      <c r="L1100" s="2" t="s">
        <v>34</v>
      </c>
      <c r="M1100" s="2"/>
      <c r="N1100" s="5">
        <v>29.5</v>
      </c>
      <c r="O1100" s="6">
        <v>31.25</v>
      </c>
      <c r="P1100" s="2" t="s">
        <v>3731</v>
      </c>
      <c r="Q1100" s="6">
        <v>100</v>
      </c>
      <c r="R1100" s="6">
        <v>3</v>
      </c>
      <c r="S1100" s="5">
        <v>0.7</v>
      </c>
      <c r="T1100" s="2"/>
      <c r="U1100" s="5">
        <v>2.8</v>
      </c>
      <c r="V1100" s="2"/>
      <c r="W1100" s="6">
        <v>1.25</v>
      </c>
      <c r="X1100" s="6">
        <v>1.25</v>
      </c>
      <c r="Y1100" s="6">
        <v>1.25</v>
      </c>
      <c r="Z1100" s="6">
        <v>1.25</v>
      </c>
      <c r="AA1100" s="6">
        <v>1.07</v>
      </c>
      <c r="AB1100" s="2" t="s">
        <v>47</v>
      </c>
      <c r="AC1100" s="2"/>
    </row>
    <row r="1101" spans="1:29" ht="156" x14ac:dyDescent="0.15">
      <c r="A1101" s="3">
        <f>DATE(1993,4,29)</f>
        <v>34088</v>
      </c>
      <c r="B1101" s="3">
        <f>DATE(1994,2,1)</f>
        <v>34366</v>
      </c>
      <c r="C1101" s="2" t="s">
        <v>95</v>
      </c>
      <c r="D1101" s="2" t="s">
        <v>3732</v>
      </c>
      <c r="E1101" s="2" t="s">
        <v>1398</v>
      </c>
      <c r="F1101" s="4">
        <v>6036</v>
      </c>
      <c r="G1101" s="2" t="s">
        <v>33</v>
      </c>
      <c r="H1101" s="2" t="s">
        <v>34</v>
      </c>
      <c r="I1101" s="2" t="s">
        <v>1201</v>
      </c>
      <c r="J1101" s="2" t="s">
        <v>36</v>
      </c>
      <c r="K1101" s="2" t="s">
        <v>37</v>
      </c>
      <c r="L1101" s="2" t="s">
        <v>34</v>
      </c>
      <c r="M1101" s="7">
        <v>275.86799999999999</v>
      </c>
      <c r="N1101" s="2"/>
      <c r="O1101" s="2"/>
      <c r="P1101" s="2" t="s">
        <v>3733</v>
      </c>
      <c r="Q1101" s="6">
        <v>100</v>
      </c>
      <c r="R1101" s="6">
        <v>36.47</v>
      </c>
      <c r="S1101" s="5">
        <v>2.5</v>
      </c>
      <c r="T1101" s="7">
        <v>5.1150000000000002</v>
      </c>
      <c r="U1101" s="5">
        <v>18.399999999999999</v>
      </c>
      <c r="V1101" s="2"/>
      <c r="W1101" s="4">
        <v>24</v>
      </c>
      <c r="X1101" s="4">
        <v>22</v>
      </c>
      <c r="Y1101" s="4">
        <v>28</v>
      </c>
      <c r="Z1101" s="2"/>
      <c r="AA1101" s="6">
        <v>1.3</v>
      </c>
      <c r="AB1101" s="7">
        <v>56.619</v>
      </c>
      <c r="AC1101" s="2"/>
    </row>
    <row r="1102" spans="1:29" ht="39" x14ac:dyDescent="0.15">
      <c r="A1102" s="3">
        <f>DATE(1993,4,30)</f>
        <v>34089</v>
      </c>
      <c r="B1102" s="3">
        <f>DATE(1993,4,30)</f>
        <v>34089</v>
      </c>
      <c r="C1102" s="2" t="s">
        <v>95</v>
      </c>
      <c r="D1102" s="2" t="s">
        <v>3734</v>
      </c>
      <c r="E1102" s="2" t="s">
        <v>3735</v>
      </c>
      <c r="F1102" s="4">
        <v>3792</v>
      </c>
      <c r="G1102" s="2" t="s">
        <v>105</v>
      </c>
      <c r="H1102" s="2" t="s">
        <v>34</v>
      </c>
      <c r="I1102" s="2" t="s">
        <v>3736</v>
      </c>
      <c r="J1102" s="2" t="s">
        <v>244</v>
      </c>
      <c r="K1102" s="2" t="s">
        <v>53</v>
      </c>
      <c r="L1102" s="2" t="s">
        <v>34</v>
      </c>
      <c r="M1102" s="2"/>
      <c r="N1102" s="2"/>
      <c r="O1102" s="2"/>
      <c r="P1102" s="2" t="s">
        <v>3737</v>
      </c>
      <c r="Q1102" s="6">
        <v>100</v>
      </c>
      <c r="R1102" s="2"/>
      <c r="S1102" s="2"/>
      <c r="T1102" s="2"/>
      <c r="U1102" s="2"/>
      <c r="V1102" s="2"/>
      <c r="W1102" s="5">
        <v>49.5</v>
      </c>
      <c r="X1102" s="5">
        <v>49.5</v>
      </c>
      <c r="Y1102" s="5">
        <v>49.5</v>
      </c>
      <c r="Z1102" s="5">
        <v>49.5</v>
      </c>
      <c r="AA1102" s="2"/>
      <c r="AB1102" s="2" t="s">
        <v>47</v>
      </c>
      <c r="AC1102" s="2"/>
    </row>
    <row r="1103" spans="1:29" ht="156" x14ac:dyDescent="0.15">
      <c r="A1103" s="3">
        <f>DATE(1993,5,3)</f>
        <v>34092</v>
      </c>
      <c r="B1103" s="2"/>
      <c r="C1103" s="2" t="s">
        <v>30</v>
      </c>
      <c r="D1103" s="2" t="s">
        <v>3738</v>
      </c>
      <c r="E1103" s="2" t="s">
        <v>3739</v>
      </c>
      <c r="F1103" s="4">
        <v>7375</v>
      </c>
      <c r="G1103" s="2" t="s">
        <v>223</v>
      </c>
      <c r="H1103" s="2" t="s">
        <v>34</v>
      </c>
      <c r="I1103" s="2" t="s">
        <v>149</v>
      </c>
      <c r="J1103" s="2" t="s">
        <v>150</v>
      </c>
      <c r="K1103" s="2" t="s">
        <v>53</v>
      </c>
      <c r="L1103" s="2" t="s">
        <v>151</v>
      </c>
      <c r="M1103" s="2"/>
      <c r="N1103" s="2"/>
      <c r="O1103" s="2"/>
      <c r="P1103" s="2" t="s">
        <v>3740</v>
      </c>
      <c r="Q1103" s="2"/>
      <c r="R1103" s="2"/>
      <c r="S1103" s="2"/>
      <c r="T1103" s="2"/>
      <c r="U1103" s="2"/>
      <c r="V1103" s="2"/>
      <c r="W1103" s="4">
        <v>25</v>
      </c>
      <c r="X1103" s="6">
        <v>26.25</v>
      </c>
      <c r="Y1103" s="5">
        <v>30.5</v>
      </c>
      <c r="Z1103" s="6">
        <v>29.75</v>
      </c>
      <c r="AA1103" s="6">
        <v>5.75</v>
      </c>
      <c r="AB1103" s="2" t="s">
        <v>47</v>
      </c>
      <c r="AC1103" s="2"/>
    </row>
    <row r="1104" spans="1:29" ht="130" x14ac:dyDescent="0.15">
      <c r="A1104" s="3">
        <f>DATE(1993,5,4)</f>
        <v>34093</v>
      </c>
      <c r="B1104" s="3">
        <f>DATE(1994,1,21)</f>
        <v>34355</v>
      </c>
      <c r="C1104" s="2" t="s">
        <v>95</v>
      </c>
      <c r="D1104" s="2" t="s">
        <v>3741</v>
      </c>
      <c r="E1104" s="2" t="s">
        <v>36</v>
      </c>
      <c r="F1104" s="4">
        <v>6035</v>
      </c>
      <c r="G1104" s="2" t="s">
        <v>33</v>
      </c>
      <c r="H1104" s="2" t="s">
        <v>34</v>
      </c>
      <c r="I1104" s="2" t="s">
        <v>3429</v>
      </c>
      <c r="J1104" s="2" t="s">
        <v>36</v>
      </c>
      <c r="K1104" s="2" t="s">
        <v>37</v>
      </c>
      <c r="L1104" s="2" t="s">
        <v>34</v>
      </c>
      <c r="M1104" s="2"/>
      <c r="N1104" s="4">
        <v>32</v>
      </c>
      <c r="O1104" s="5">
        <v>31.5</v>
      </c>
      <c r="P1104" s="2" t="s">
        <v>3742</v>
      </c>
      <c r="Q1104" s="6">
        <v>100</v>
      </c>
      <c r="R1104" s="6">
        <v>32.5</v>
      </c>
      <c r="S1104" s="5">
        <v>8.3000000000000007</v>
      </c>
      <c r="T1104" s="7">
        <v>18.710999999999999</v>
      </c>
      <c r="U1104" s="5">
        <v>22.2</v>
      </c>
      <c r="V1104" s="2"/>
      <c r="W1104" s="7">
        <v>18.875</v>
      </c>
      <c r="X1104" s="6">
        <v>22.25</v>
      </c>
      <c r="Y1104" s="4">
        <v>31</v>
      </c>
      <c r="Z1104" s="4">
        <v>31</v>
      </c>
      <c r="AA1104" s="6">
        <v>4.76</v>
      </c>
      <c r="AB1104" s="7">
        <v>36.145000000000003</v>
      </c>
      <c r="AC1104" s="2"/>
    </row>
    <row r="1105" spans="1:29" ht="91" x14ac:dyDescent="0.15">
      <c r="A1105" s="3">
        <f>DATE(1993,5,5)</f>
        <v>34094</v>
      </c>
      <c r="B1105" s="2"/>
      <c r="C1105" s="2" t="s">
        <v>30</v>
      </c>
      <c r="D1105" s="2" t="s">
        <v>3743</v>
      </c>
      <c r="E1105" s="2" t="s">
        <v>32</v>
      </c>
      <c r="F1105" s="4">
        <v>6036</v>
      </c>
      <c r="G1105" s="2" t="s">
        <v>33</v>
      </c>
      <c r="H1105" s="2" t="s">
        <v>34</v>
      </c>
      <c r="I1105" s="2" t="s">
        <v>138</v>
      </c>
      <c r="J1105" s="2" t="s">
        <v>139</v>
      </c>
      <c r="K1105" s="2" t="s">
        <v>53</v>
      </c>
      <c r="L1105" s="2" t="s">
        <v>139</v>
      </c>
      <c r="M1105" s="2"/>
      <c r="N1105" s="2"/>
      <c r="O1105" s="2"/>
      <c r="P1105" s="2" t="s">
        <v>3744</v>
      </c>
      <c r="Q1105" s="2"/>
      <c r="R1105" s="2"/>
      <c r="S1105" s="5">
        <v>11</v>
      </c>
      <c r="T1105" s="7">
        <v>24.959</v>
      </c>
      <c r="U1105" s="5">
        <v>21.8</v>
      </c>
      <c r="V1105" s="6">
        <v>0.8</v>
      </c>
      <c r="W1105" s="7">
        <v>12.125</v>
      </c>
      <c r="X1105" s="7">
        <v>14.375</v>
      </c>
      <c r="Y1105" s="6">
        <v>17.75</v>
      </c>
      <c r="Z1105" s="7">
        <v>18.875</v>
      </c>
      <c r="AA1105" s="2"/>
      <c r="AB1105" s="2" t="s">
        <v>47</v>
      </c>
      <c r="AC1105" s="2"/>
    </row>
    <row r="1106" spans="1:29" ht="78" x14ac:dyDescent="0.15">
      <c r="A1106" s="3">
        <f>DATE(1993,5,7)</f>
        <v>34096</v>
      </c>
      <c r="B1106" s="3">
        <f>DATE(1993,8,27)</f>
        <v>34208</v>
      </c>
      <c r="C1106" s="2" t="s">
        <v>95</v>
      </c>
      <c r="D1106" s="2" t="s">
        <v>3745</v>
      </c>
      <c r="E1106" s="2" t="s">
        <v>3746</v>
      </c>
      <c r="F1106" s="4">
        <v>3625</v>
      </c>
      <c r="G1106" s="2" t="s">
        <v>137</v>
      </c>
      <c r="H1106" s="2" t="s">
        <v>34</v>
      </c>
      <c r="I1106" s="2" t="s">
        <v>3747</v>
      </c>
      <c r="J1106" s="2" t="s">
        <v>3748</v>
      </c>
      <c r="K1106" s="2" t="s">
        <v>137</v>
      </c>
      <c r="L1106" s="2" t="s">
        <v>34</v>
      </c>
      <c r="M1106" s="2"/>
      <c r="N1106" s="2"/>
      <c r="O1106" s="2"/>
      <c r="P1106" s="2" t="s">
        <v>3749</v>
      </c>
      <c r="Q1106" s="6">
        <v>100</v>
      </c>
      <c r="R1106" s="6">
        <v>3.25</v>
      </c>
      <c r="S1106" s="5">
        <v>-0.1</v>
      </c>
      <c r="T1106" s="7">
        <v>4.7E-2</v>
      </c>
      <c r="U1106" s="5">
        <v>2.7</v>
      </c>
      <c r="V1106" s="6">
        <v>-0.03</v>
      </c>
      <c r="W1106" s="4">
        <v>2</v>
      </c>
      <c r="X1106" s="4">
        <v>2</v>
      </c>
      <c r="Y1106" s="4">
        <v>2</v>
      </c>
      <c r="Z1106" s="6">
        <v>2.75</v>
      </c>
      <c r="AA1106" s="6">
        <v>1.99</v>
      </c>
      <c r="AB1106" s="2" t="s">
        <v>86</v>
      </c>
      <c r="AC1106" s="2"/>
    </row>
    <row r="1107" spans="1:29" ht="130" x14ac:dyDescent="0.15">
      <c r="A1107" s="3">
        <f>DATE(1993,5,7)</f>
        <v>34096</v>
      </c>
      <c r="B1107" s="3">
        <f>DATE(1993,12,18)</f>
        <v>34321</v>
      </c>
      <c r="C1107" s="2" t="s">
        <v>95</v>
      </c>
      <c r="D1107" s="2" t="s">
        <v>3750</v>
      </c>
      <c r="E1107" s="2" t="s">
        <v>32</v>
      </c>
      <c r="F1107" s="4">
        <v>6035</v>
      </c>
      <c r="G1107" s="2" t="s">
        <v>33</v>
      </c>
      <c r="H1107" s="2" t="s">
        <v>34</v>
      </c>
      <c r="I1107" s="2" t="s">
        <v>2631</v>
      </c>
      <c r="J1107" s="2" t="s">
        <v>32</v>
      </c>
      <c r="K1107" s="2" t="s">
        <v>33</v>
      </c>
      <c r="L1107" s="2" t="s">
        <v>34</v>
      </c>
      <c r="M1107" s="2"/>
      <c r="N1107" s="7">
        <v>23.125</v>
      </c>
      <c r="O1107" s="6">
        <v>22.75</v>
      </c>
      <c r="P1107" s="2" t="s">
        <v>3751</v>
      </c>
      <c r="Q1107" s="6">
        <v>100</v>
      </c>
      <c r="R1107" s="6">
        <v>14.26</v>
      </c>
      <c r="S1107" s="5">
        <v>4.9000000000000004</v>
      </c>
      <c r="T1107" s="7">
        <v>11.052</v>
      </c>
      <c r="U1107" s="5">
        <v>7.7</v>
      </c>
      <c r="V1107" s="6">
        <v>2.13</v>
      </c>
      <c r="W1107" s="4">
        <v>13</v>
      </c>
      <c r="X1107" s="5">
        <v>12.5</v>
      </c>
      <c r="Y1107" s="4">
        <v>13</v>
      </c>
      <c r="Z1107" s="4">
        <v>13</v>
      </c>
      <c r="AA1107" s="6">
        <v>2.2799999999999998</v>
      </c>
      <c r="AB1107" s="7">
        <v>17.114999999999998</v>
      </c>
      <c r="AC1107" s="2"/>
    </row>
    <row r="1108" spans="1:29" ht="156" x14ac:dyDescent="0.15">
      <c r="A1108" s="3">
        <f>DATE(1993,5,10)</f>
        <v>34099</v>
      </c>
      <c r="B1108" s="3">
        <f>DATE(1993,7,30)</f>
        <v>34180</v>
      </c>
      <c r="C1108" s="2" t="s">
        <v>95</v>
      </c>
      <c r="D1108" s="2" t="s">
        <v>3651</v>
      </c>
      <c r="E1108" s="2" t="s">
        <v>1332</v>
      </c>
      <c r="F1108" s="4">
        <v>8051</v>
      </c>
      <c r="G1108" s="2" t="s">
        <v>454</v>
      </c>
      <c r="H1108" s="2" t="s">
        <v>34</v>
      </c>
      <c r="I1108" s="2" t="s">
        <v>3752</v>
      </c>
      <c r="J1108" s="2" t="s">
        <v>3753</v>
      </c>
      <c r="K1108" s="2" t="s">
        <v>223</v>
      </c>
      <c r="L1108" s="2" t="s">
        <v>34</v>
      </c>
      <c r="M1108" s="7">
        <v>732.298</v>
      </c>
      <c r="N1108" s="4">
        <v>27</v>
      </c>
      <c r="O1108" s="7">
        <v>24.875</v>
      </c>
      <c r="P1108" s="2" t="s">
        <v>3754</v>
      </c>
      <c r="Q1108" s="6">
        <v>100</v>
      </c>
      <c r="R1108" s="6">
        <v>32.700000000000003</v>
      </c>
      <c r="S1108" s="5">
        <v>5.2</v>
      </c>
      <c r="T1108" s="7">
        <v>58.707000000000001</v>
      </c>
      <c r="U1108" s="5">
        <v>14.3</v>
      </c>
      <c r="V1108" s="6">
        <v>0.56000000000000005</v>
      </c>
      <c r="W1108" s="4">
        <v>17</v>
      </c>
      <c r="X1108" s="7">
        <v>17.625</v>
      </c>
      <c r="Y1108" s="7">
        <v>17.625</v>
      </c>
      <c r="Z1108" s="7">
        <v>21.625</v>
      </c>
      <c r="AA1108" s="6">
        <v>9.57</v>
      </c>
      <c r="AB1108" s="7">
        <v>10.933</v>
      </c>
      <c r="AC1108" s="6">
        <v>18.14</v>
      </c>
    </row>
    <row r="1109" spans="1:29" ht="52" x14ac:dyDescent="0.15">
      <c r="A1109" s="3">
        <f>DATE(1993,5,11)</f>
        <v>34100</v>
      </c>
      <c r="B1109" s="3">
        <f>DATE(1993,6,30)</f>
        <v>34150</v>
      </c>
      <c r="C1109" s="2" t="s">
        <v>95</v>
      </c>
      <c r="D1109" s="2" t="s">
        <v>3755</v>
      </c>
      <c r="E1109" s="2" t="s">
        <v>124</v>
      </c>
      <c r="F1109" s="4">
        <v>6331</v>
      </c>
      <c r="G1109" s="2" t="s">
        <v>125</v>
      </c>
      <c r="H1109" s="2" t="s">
        <v>34</v>
      </c>
      <c r="I1109" s="2" t="s">
        <v>51</v>
      </c>
      <c r="J1109" s="2" t="s">
        <v>52</v>
      </c>
      <c r="K1109" s="2" t="s">
        <v>53</v>
      </c>
      <c r="L1109" s="2" t="s">
        <v>34</v>
      </c>
      <c r="M1109" s="2"/>
      <c r="N1109" s="2"/>
      <c r="O1109" s="2"/>
      <c r="P1109" s="2" t="s">
        <v>3756</v>
      </c>
      <c r="Q1109" s="2"/>
      <c r="R1109" s="2"/>
      <c r="S1109" s="5">
        <v>117.5</v>
      </c>
      <c r="T1109" s="2"/>
      <c r="U1109" s="5">
        <v>11.2</v>
      </c>
      <c r="V1109" s="6">
        <v>2.29</v>
      </c>
      <c r="W1109" s="5">
        <v>29.5</v>
      </c>
      <c r="X1109" s="7">
        <v>28.625</v>
      </c>
      <c r="Y1109" s="7">
        <v>28.625</v>
      </c>
      <c r="Z1109" s="5">
        <v>28.5</v>
      </c>
      <c r="AA1109" s="2"/>
      <c r="AB1109" s="2" t="s">
        <v>47</v>
      </c>
      <c r="AC1109" s="2"/>
    </row>
    <row r="1110" spans="1:29" ht="169" x14ac:dyDescent="0.15">
      <c r="A1110" s="3">
        <f>DATE(1993,5,11)</f>
        <v>34100</v>
      </c>
      <c r="B1110" s="3">
        <f>DATE(1994,1,3)</f>
        <v>34337</v>
      </c>
      <c r="C1110" s="2" t="s">
        <v>95</v>
      </c>
      <c r="D1110" s="2" t="s">
        <v>3757</v>
      </c>
      <c r="E1110" s="2" t="s">
        <v>1387</v>
      </c>
      <c r="F1110" s="4">
        <v>4931</v>
      </c>
      <c r="G1110" s="2" t="s">
        <v>439</v>
      </c>
      <c r="H1110" s="2" t="s">
        <v>34</v>
      </c>
      <c r="I1110" s="2" t="s">
        <v>3758</v>
      </c>
      <c r="J1110" s="2" t="s">
        <v>3759</v>
      </c>
      <c r="K1110" s="2" t="s">
        <v>439</v>
      </c>
      <c r="L1110" s="2" t="s">
        <v>34</v>
      </c>
      <c r="M1110" s="12">
        <v>2923.739</v>
      </c>
      <c r="N1110" s="6">
        <v>27.25</v>
      </c>
      <c r="O1110" s="5">
        <v>27.5</v>
      </c>
      <c r="P1110" s="2" t="s">
        <v>3760</v>
      </c>
      <c r="Q1110" s="6">
        <v>100</v>
      </c>
      <c r="R1110" s="6">
        <v>44.91</v>
      </c>
      <c r="S1110" s="5">
        <v>2.2000000000000002</v>
      </c>
      <c r="T1110" s="5">
        <v>7.2</v>
      </c>
      <c r="U1110" s="5">
        <v>14.1</v>
      </c>
      <c r="V1110" s="6">
        <v>2.2200000000000002</v>
      </c>
      <c r="W1110" s="5">
        <v>37.5</v>
      </c>
      <c r="X1110" s="5">
        <v>39.5</v>
      </c>
      <c r="Y1110" s="5">
        <v>39.5</v>
      </c>
      <c r="Z1110" s="4">
        <v>36</v>
      </c>
      <c r="AA1110" s="6">
        <v>1</v>
      </c>
      <c r="AB1110" s="7">
        <v>10.423999999999999</v>
      </c>
      <c r="AC1110" s="6">
        <v>20.36</v>
      </c>
    </row>
    <row r="1111" spans="1:29" ht="104" x14ac:dyDescent="0.15">
      <c r="A1111" s="3">
        <f>DATE(1993,5,13)</f>
        <v>34102</v>
      </c>
      <c r="B1111" s="3">
        <f>DATE(1993,9,20)</f>
        <v>34232</v>
      </c>
      <c r="C1111" s="2" t="s">
        <v>95</v>
      </c>
      <c r="D1111" s="2" t="s">
        <v>3480</v>
      </c>
      <c r="E1111" s="2" t="s">
        <v>3481</v>
      </c>
      <c r="F1111" s="4">
        <v>5051</v>
      </c>
      <c r="G1111" s="2" t="s">
        <v>76</v>
      </c>
      <c r="H1111" s="2" t="s">
        <v>34</v>
      </c>
      <c r="I1111" s="2" t="s">
        <v>3761</v>
      </c>
      <c r="J1111" s="2" t="s">
        <v>3762</v>
      </c>
      <c r="K1111" s="2" t="s">
        <v>76</v>
      </c>
      <c r="L1111" s="2" t="s">
        <v>34</v>
      </c>
      <c r="M1111" s="2"/>
      <c r="N1111" s="2"/>
      <c r="O1111" s="2"/>
      <c r="P1111" s="2" t="s">
        <v>3763</v>
      </c>
      <c r="Q1111" s="6">
        <v>100</v>
      </c>
      <c r="R1111" s="6">
        <v>4.51</v>
      </c>
      <c r="S1111" s="5">
        <v>1.2</v>
      </c>
      <c r="T1111" s="7">
        <v>3.4670000000000001</v>
      </c>
      <c r="U1111" s="5">
        <v>5</v>
      </c>
      <c r="V1111" s="2"/>
      <c r="W1111" s="7">
        <v>2.875</v>
      </c>
      <c r="X1111" s="7">
        <v>2.875</v>
      </c>
      <c r="Y1111" s="7">
        <v>4.125</v>
      </c>
      <c r="Z1111" s="6">
        <v>3.75</v>
      </c>
      <c r="AA1111" s="6">
        <v>3.73</v>
      </c>
      <c r="AB1111" s="7">
        <v>8.9540000000000006</v>
      </c>
      <c r="AC1111" s="2"/>
    </row>
    <row r="1112" spans="1:29" ht="156" x14ac:dyDescent="0.15">
      <c r="A1112" s="3">
        <f>DATE(1993,5,13)</f>
        <v>34102</v>
      </c>
      <c r="B1112" s="3">
        <f>DATE(1993,8,31)</f>
        <v>34212</v>
      </c>
      <c r="C1112" s="2" t="s">
        <v>95</v>
      </c>
      <c r="D1112" s="2" t="s">
        <v>3764</v>
      </c>
      <c r="E1112" s="2" t="s">
        <v>1334</v>
      </c>
      <c r="F1112" s="4">
        <v>8011</v>
      </c>
      <c r="G1112" s="2" t="s">
        <v>454</v>
      </c>
      <c r="H1112" s="2" t="s">
        <v>34</v>
      </c>
      <c r="I1112" s="2" t="s">
        <v>3765</v>
      </c>
      <c r="J1112" s="2" t="s">
        <v>1334</v>
      </c>
      <c r="K1112" s="2" t="s">
        <v>125</v>
      </c>
      <c r="L1112" s="2" t="s">
        <v>34</v>
      </c>
      <c r="M1112" s="12">
        <v>3244.3220000000001</v>
      </c>
      <c r="N1112" s="6">
        <v>56.75</v>
      </c>
      <c r="O1112" s="4">
        <v>56</v>
      </c>
      <c r="P1112" s="2" t="s">
        <v>3766</v>
      </c>
      <c r="Q1112" s="6">
        <v>100</v>
      </c>
      <c r="R1112" s="6">
        <v>36.32</v>
      </c>
      <c r="S1112" s="5">
        <v>12.5</v>
      </c>
      <c r="T1112" s="2"/>
      <c r="U1112" s="5">
        <v>6.8</v>
      </c>
      <c r="V1112" s="6">
        <v>1.1299999999999999</v>
      </c>
      <c r="W1112" s="5">
        <v>27.5</v>
      </c>
      <c r="X1112" s="7">
        <v>27.125</v>
      </c>
      <c r="Y1112" s="4">
        <v>35</v>
      </c>
      <c r="Z1112" s="6">
        <v>34.25</v>
      </c>
      <c r="AA1112" s="6">
        <v>10.25</v>
      </c>
      <c r="AB1112" s="7">
        <v>14.956</v>
      </c>
      <c r="AC1112" s="6">
        <v>128.68</v>
      </c>
    </row>
    <row r="1113" spans="1:29" ht="65" x14ac:dyDescent="0.15">
      <c r="A1113" s="3">
        <f>DATE(1993,5,13)</f>
        <v>34102</v>
      </c>
      <c r="B1113" s="2"/>
      <c r="C1113" s="2" t="s">
        <v>30</v>
      </c>
      <c r="D1113" s="2" t="s">
        <v>3767</v>
      </c>
      <c r="E1113" s="2" t="s">
        <v>3768</v>
      </c>
      <c r="F1113" s="4">
        <v>2531</v>
      </c>
      <c r="G1113" s="2" t="s">
        <v>250</v>
      </c>
      <c r="H1113" s="2" t="s">
        <v>34</v>
      </c>
      <c r="I1113" s="2" t="s">
        <v>3769</v>
      </c>
      <c r="J1113" s="2" t="s">
        <v>398</v>
      </c>
      <c r="K1113" s="2" t="s">
        <v>42</v>
      </c>
      <c r="L1113" s="2" t="s">
        <v>34</v>
      </c>
      <c r="M1113" s="6">
        <v>25.85</v>
      </c>
      <c r="N1113" s="6">
        <v>4.75</v>
      </c>
      <c r="O1113" s="4">
        <v>5</v>
      </c>
      <c r="P1113" s="2" t="s">
        <v>3770</v>
      </c>
      <c r="Q1113" s="2"/>
      <c r="R1113" s="2"/>
      <c r="S1113" s="5">
        <v>0.2</v>
      </c>
      <c r="T1113" s="2"/>
      <c r="U1113" s="5">
        <v>2.2999999999999998</v>
      </c>
      <c r="V1113" s="2"/>
      <c r="W1113" s="6">
        <v>3.18</v>
      </c>
      <c r="X1113" s="4">
        <v>3</v>
      </c>
      <c r="Y1113" s="6">
        <v>4.25</v>
      </c>
      <c r="Z1113" s="4">
        <v>4</v>
      </c>
      <c r="AA1113" s="6">
        <v>3</v>
      </c>
      <c r="AB1113" s="2" t="s">
        <v>86</v>
      </c>
      <c r="AC1113" s="2"/>
    </row>
    <row r="1114" spans="1:29" ht="169" x14ac:dyDescent="0.15">
      <c r="A1114" s="3">
        <f>DATE(1993,5,14)</f>
        <v>34103</v>
      </c>
      <c r="B1114" s="3">
        <f>DATE(1993,9,15)</f>
        <v>34227</v>
      </c>
      <c r="C1114" s="2" t="s">
        <v>95</v>
      </c>
      <c r="D1114" s="2" t="s">
        <v>2389</v>
      </c>
      <c r="E1114" s="2" t="s">
        <v>375</v>
      </c>
      <c r="F1114" s="4">
        <v>4812</v>
      </c>
      <c r="G1114" s="2" t="s">
        <v>63</v>
      </c>
      <c r="H1114" s="2" t="s">
        <v>34</v>
      </c>
      <c r="I1114" s="2" t="s">
        <v>1785</v>
      </c>
      <c r="J1114" s="2" t="s">
        <v>1786</v>
      </c>
      <c r="K1114" s="2" t="s">
        <v>63</v>
      </c>
      <c r="L1114" s="2" t="s">
        <v>34</v>
      </c>
      <c r="M1114" s="7">
        <v>270.67599999999999</v>
      </c>
      <c r="N1114" s="7">
        <v>39.875</v>
      </c>
      <c r="O1114" s="7">
        <v>39.125</v>
      </c>
      <c r="P1114" s="2" t="s">
        <v>3771</v>
      </c>
      <c r="Q1114" s="6">
        <v>100</v>
      </c>
      <c r="R1114" s="6">
        <v>37.299999999999997</v>
      </c>
      <c r="S1114" s="5">
        <v>4.7</v>
      </c>
      <c r="T1114" s="6">
        <v>164.67</v>
      </c>
      <c r="U1114" s="5">
        <v>7.1</v>
      </c>
      <c r="V1114" s="6">
        <v>-0.1</v>
      </c>
      <c r="W1114" s="7">
        <v>37.375</v>
      </c>
      <c r="X1114" s="7">
        <v>36.625</v>
      </c>
      <c r="Y1114" s="6">
        <v>36.25</v>
      </c>
      <c r="Z1114" s="4">
        <v>37</v>
      </c>
      <c r="AA1114" s="6">
        <v>52.58</v>
      </c>
      <c r="AB1114" s="7">
        <v>18.940000000000001</v>
      </c>
      <c r="AC1114" s="6">
        <v>4.1500000000000004</v>
      </c>
    </row>
    <row r="1115" spans="1:29" ht="143" x14ac:dyDescent="0.15">
      <c r="A1115" s="3">
        <f>DATE(1993,5,18)</f>
        <v>34107</v>
      </c>
      <c r="B1115" s="3">
        <f>DATE(1993,12,31)</f>
        <v>34334</v>
      </c>
      <c r="C1115" s="2" t="s">
        <v>95</v>
      </c>
      <c r="D1115" s="2" t="s">
        <v>2670</v>
      </c>
      <c r="E1115" s="2" t="s">
        <v>32</v>
      </c>
      <c r="F1115" s="4">
        <v>6035</v>
      </c>
      <c r="G1115" s="2" t="s">
        <v>33</v>
      </c>
      <c r="H1115" s="2" t="s">
        <v>34</v>
      </c>
      <c r="I1115" s="2" t="s">
        <v>3772</v>
      </c>
      <c r="J1115" s="2" t="s">
        <v>159</v>
      </c>
      <c r="K1115" s="2" t="s">
        <v>37</v>
      </c>
      <c r="L1115" s="2" t="s">
        <v>34</v>
      </c>
      <c r="M1115" s="12">
        <v>1337.617</v>
      </c>
      <c r="N1115" s="7">
        <v>32.875</v>
      </c>
      <c r="O1115" s="7">
        <v>31.875</v>
      </c>
      <c r="P1115" s="2" t="s">
        <v>3773</v>
      </c>
      <c r="Q1115" s="6">
        <v>100</v>
      </c>
      <c r="R1115" s="6">
        <v>22.14</v>
      </c>
      <c r="S1115" s="5">
        <v>5.5</v>
      </c>
      <c r="T1115" s="7">
        <v>9.7520000000000007</v>
      </c>
      <c r="U1115" s="5">
        <v>26.7</v>
      </c>
      <c r="V1115" s="6">
        <v>0.21</v>
      </c>
      <c r="W1115" s="6">
        <v>13.75</v>
      </c>
      <c r="X1115" s="5">
        <v>14.5</v>
      </c>
      <c r="Y1115" s="5">
        <v>14.5</v>
      </c>
      <c r="Z1115" s="6">
        <v>17.75</v>
      </c>
      <c r="AA1115" s="6">
        <v>4.63</v>
      </c>
      <c r="AB1115" s="7">
        <v>251.304</v>
      </c>
      <c r="AC1115" s="2"/>
    </row>
    <row r="1116" spans="1:29" ht="130" x14ac:dyDescent="0.15">
      <c r="A1116" s="3">
        <f>DATE(1993,5,19)</f>
        <v>34108</v>
      </c>
      <c r="B1116" s="3">
        <f>DATE(1994,1,12)</f>
        <v>34346</v>
      </c>
      <c r="C1116" s="2" t="s">
        <v>95</v>
      </c>
      <c r="D1116" s="2" t="s">
        <v>3774</v>
      </c>
      <c r="E1116" s="2" t="s">
        <v>3775</v>
      </c>
      <c r="F1116" s="4">
        <v>2298</v>
      </c>
      <c r="G1116" s="2" t="s">
        <v>708</v>
      </c>
      <c r="H1116" s="2" t="s">
        <v>34</v>
      </c>
      <c r="I1116" s="2" t="s">
        <v>3776</v>
      </c>
      <c r="J1116" s="2" t="s">
        <v>3777</v>
      </c>
      <c r="K1116" s="2" t="s">
        <v>341</v>
      </c>
      <c r="L1116" s="2" t="s">
        <v>34</v>
      </c>
      <c r="M1116" s="2"/>
      <c r="N1116" s="2"/>
      <c r="O1116" s="2"/>
      <c r="P1116" s="2" t="s">
        <v>3778</v>
      </c>
      <c r="Q1116" s="6">
        <v>11.6</v>
      </c>
      <c r="R1116" s="6">
        <v>7.63</v>
      </c>
      <c r="S1116" s="5">
        <v>2.4</v>
      </c>
      <c r="T1116" s="7">
        <v>7.532</v>
      </c>
      <c r="U1116" s="2"/>
      <c r="V1116" s="6">
        <v>0.68</v>
      </c>
      <c r="W1116" s="5">
        <v>7.5</v>
      </c>
      <c r="X1116" s="5">
        <v>7.5</v>
      </c>
      <c r="Y1116" s="7">
        <v>7.625</v>
      </c>
      <c r="Z1116" s="7">
        <v>7.125</v>
      </c>
      <c r="AA1116" s="6">
        <v>3.91</v>
      </c>
      <c r="AB1116" s="7">
        <v>7.9640000000000004</v>
      </c>
      <c r="AC1116" s="2"/>
    </row>
    <row r="1117" spans="1:29" ht="143" x14ac:dyDescent="0.15">
      <c r="A1117" s="3">
        <f>DATE(1993,5,21)</f>
        <v>34110</v>
      </c>
      <c r="B1117" s="3">
        <f>DATE(1993,8,11)</f>
        <v>34192</v>
      </c>
      <c r="C1117" s="2" t="s">
        <v>95</v>
      </c>
      <c r="D1117" s="2" t="s">
        <v>2259</v>
      </c>
      <c r="E1117" s="2" t="s">
        <v>367</v>
      </c>
      <c r="F1117" s="4">
        <v>6211</v>
      </c>
      <c r="G1117" s="2" t="s">
        <v>53</v>
      </c>
      <c r="H1117" s="2" t="s">
        <v>34</v>
      </c>
      <c r="I1117" s="2" t="s">
        <v>3779</v>
      </c>
      <c r="J1117" s="2" t="s">
        <v>3780</v>
      </c>
      <c r="K1117" s="2" t="s">
        <v>37</v>
      </c>
      <c r="L1117" s="2" t="s">
        <v>34</v>
      </c>
      <c r="M1117" s="2"/>
      <c r="N1117" s="2"/>
      <c r="O1117" s="2"/>
      <c r="P1117" s="2" t="s">
        <v>3781</v>
      </c>
      <c r="Q1117" s="6">
        <v>100</v>
      </c>
      <c r="R1117" s="6">
        <v>8</v>
      </c>
      <c r="S1117" s="5">
        <v>-19.5</v>
      </c>
      <c r="T1117" s="6">
        <v>-22.37</v>
      </c>
      <c r="U1117" s="5">
        <v>8.6</v>
      </c>
      <c r="V1117" s="6">
        <v>-2.33</v>
      </c>
      <c r="W1117" s="5">
        <v>6.5</v>
      </c>
      <c r="X1117" s="6">
        <v>6.25</v>
      </c>
      <c r="Y1117" s="7">
        <v>6.125</v>
      </c>
      <c r="Z1117" s="7">
        <v>5.875</v>
      </c>
      <c r="AA1117" s="6">
        <v>8.16</v>
      </c>
      <c r="AB1117" s="2" t="s">
        <v>86</v>
      </c>
      <c r="AC1117" s="2"/>
    </row>
    <row r="1118" spans="1:29" ht="143" x14ac:dyDescent="0.15">
      <c r="A1118" s="3">
        <f>DATE(1993,5,21)</f>
        <v>34110</v>
      </c>
      <c r="B1118" s="2"/>
      <c r="C1118" s="2" t="s">
        <v>56</v>
      </c>
      <c r="D1118" s="2" t="s">
        <v>3782</v>
      </c>
      <c r="E1118" s="2" t="s">
        <v>124</v>
      </c>
      <c r="F1118" s="4">
        <v>6311</v>
      </c>
      <c r="G1118" s="2" t="s">
        <v>125</v>
      </c>
      <c r="H1118" s="2" t="s">
        <v>34</v>
      </c>
      <c r="I1118" s="2" t="s">
        <v>138</v>
      </c>
      <c r="J1118" s="2" t="s">
        <v>139</v>
      </c>
      <c r="K1118" s="2" t="s">
        <v>53</v>
      </c>
      <c r="L1118" s="2" t="s">
        <v>139</v>
      </c>
      <c r="M1118" s="2"/>
      <c r="N1118" s="2"/>
      <c r="O1118" s="2"/>
      <c r="P1118" s="2" t="s">
        <v>3783</v>
      </c>
      <c r="Q1118" s="2"/>
      <c r="R1118" s="2"/>
      <c r="S1118" s="5">
        <v>-65.2</v>
      </c>
      <c r="T1118" s="2"/>
      <c r="U1118" s="5">
        <v>22.2</v>
      </c>
      <c r="V1118" s="6">
        <v>-4.87</v>
      </c>
      <c r="W1118" s="7">
        <v>7.625</v>
      </c>
      <c r="X1118" s="7">
        <v>8.125</v>
      </c>
      <c r="Y1118" s="4">
        <v>8</v>
      </c>
      <c r="Z1118" s="7">
        <v>9.375</v>
      </c>
      <c r="AA1118" s="2"/>
      <c r="AB1118" s="2" t="s">
        <v>47</v>
      </c>
      <c r="AC1118" s="2"/>
    </row>
    <row r="1119" spans="1:29" ht="117" x14ac:dyDescent="0.15">
      <c r="A1119" s="3">
        <f>DATE(1993,5,24)</f>
        <v>34113</v>
      </c>
      <c r="B1119" s="3">
        <f>DATE(1993,6,25)</f>
        <v>34145</v>
      </c>
      <c r="C1119" s="2" t="s">
        <v>95</v>
      </c>
      <c r="D1119" s="2" t="s">
        <v>91</v>
      </c>
      <c r="E1119" s="2" t="s">
        <v>92</v>
      </c>
      <c r="F1119" s="4">
        <v>6798</v>
      </c>
      <c r="G1119" s="2" t="s">
        <v>53</v>
      </c>
      <c r="H1119" s="2" t="s">
        <v>34</v>
      </c>
      <c r="I1119" s="2" t="s">
        <v>51</v>
      </c>
      <c r="J1119" s="2" t="s">
        <v>52</v>
      </c>
      <c r="K1119" s="2" t="s">
        <v>53</v>
      </c>
      <c r="L1119" s="2" t="s">
        <v>34</v>
      </c>
      <c r="M1119" s="2"/>
      <c r="N1119" s="2"/>
      <c r="O1119" s="2"/>
      <c r="P1119" s="2" t="s">
        <v>3784</v>
      </c>
      <c r="Q1119" s="6">
        <v>66.5</v>
      </c>
      <c r="R1119" s="6">
        <v>4.9000000000000004</v>
      </c>
      <c r="S1119" s="5">
        <v>-0.6</v>
      </c>
      <c r="T1119" s="2"/>
      <c r="U1119" s="2"/>
      <c r="V1119" s="6">
        <v>-0.3</v>
      </c>
      <c r="W1119" s="7">
        <v>4.375</v>
      </c>
      <c r="X1119" s="4">
        <v>4</v>
      </c>
      <c r="Y1119" s="7">
        <v>4.5629999999999997</v>
      </c>
      <c r="Z1119" s="7">
        <v>4.5629999999999997</v>
      </c>
      <c r="AA1119" s="6">
        <v>1.97</v>
      </c>
      <c r="AB1119" s="2" t="s">
        <v>47</v>
      </c>
      <c r="AC1119" s="2"/>
    </row>
    <row r="1120" spans="1:29" ht="78" x14ac:dyDescent="0.15">
      <c r="A1120" s="3">
        <f>DATE(1993,5,24)</f>
        <v>34113</v>
      </c>
      <c r="B1120" s="3">
        <f>DATE(1994,3,29)</f>
        <v>34422</v>
      </c>
      <c r="C1120" s="2" t="s">
        <v>95</v>
      </c>
      <c r="D1120" s="2" t="s">
        <v>3785</v>
      </c>
      <c r="E1120" s="2" t="s">
        <v>3786</v>
      </c>
      <c r="F1120" s="4">
        <v>7033</v>
      </c>
      <c r="G1120" s="2" t="s">
        <v>269</v>
      </c>
      <c r="H1120" s="2" t="s">
        <v>34</v>
      </c>
      <c r="I1120" s="2" t="s">
        <v>3787</v>
      </c>
      <c r="J1120" s="2" t="s">
        <v>3788</v>
      </c>
      <c r="K1120" s="2" t="s">
        <v>364</v>
      </c>
      <c r="L1120" s="2" t="s">
        <v>34</v>
      </c>
      <c r="M1120" s="2"/>
      <c r="N1120" s="2"/>
      <c r="O1120" s="2"/>
      <c r="P1120" s="2" t="s">
        <v>3789</v>
      </c>
      <c r="Q1120" s="6">
        <v>20</v>
      </c>
      <c r="R1120" s="6">
        <v>1.55</v>
      </c>
      <c r="S1120" s="5">
        <v>-4.2</v>
      </c>
      <c r="T1120" s="2"/>
      <c r="U1120" s="5">
        <v>1.2</v>
      </c>
      <c r="V1120" s="6">
        <v>-0.89</v>
      </c>
      <c r="W1120" s="6">
        <v>0.94</v>
      </c>
      <c r="X1120" s="6">
        <v>1.06</v>
      </c>
      <c r="Y1120" s="7">
        <v>1.0629999999999999</v>
      </c>
      <c r="Z1120" s="7">
        <v>1.0629999999999999</v>
      </c>
      <c r="AA1120" s="6">
        <v>22.9</v>
      </c>
      <c r="AB1120" s="2" t="s">
        <v>86</v>
      </c>
      <c r="AC1120" s="2"/>
    </row>
    <row r="1121" spans="1:29" ht="156" x14ac:dyDescent="0.15">
      <c r="A1121" s="3">
        <f>DATE(1993,5,25)</f>
        <v>34114</v>
      </c>
      <c r="B1121" s="3">
        <f>DATE(1993,11,15)</f>
        <v>34288</v>
      </c>
      <c r="C1121" s="2" t="s">
        <v>95</v>
      </c>
      <c r="D1121" s="2" t="s">
        <v>3790</v>
      </c>
      <c r="E1121" s="2" t="s">
        <v>3791</v>
      </c>
      <c r="F1121" s="4">
        <v>3334</v>
      </c>
      <c r="G1121" s="2" t="s">
        <v>163</v>
      </c>
      <c r="H1121" s="2" t="s">
        <v>34</v>
      </c>
      <c r="I1121" s="2" t="s">
        <v>3792</v>
      </c>
      <c r="J1121" s="2" t="s">
        <v>3793</v>
      </c>
      <c r="K1121" s="2" t="s">
        <v>166</v>
      </c>
      <c r="L1121" s="2" t="s">
        <v>34</v>
      </c>
      <c r="M1121" s="12">
        <v>1182.2329999999999</v>
      </c>
      <c r="N1121" s="7">
        <v>26.625</v>
      </c>
      <c r="O1121" s="6">
        <v>25.25</v>
      </c>
      <c r="P1121" s="2" t="s">
        <v>3794</v>
      </c>
      <c r="Q1121" s="6">
        <v>100</v>
      </c>
      <c r="R1121" s="6">
        <v>13.81</v>
      </c>
      <c r="S1121" s="5">
        <v>-147.69999999999999</v>
      </c>
      <c r="T1121" s="5">
        <v>340.4</v>
      </c>
      <c r="U1121" s="5">
        <v>20.6</v>
      </c>
      <c r="V1121" s="6">
        <v>-1.71</v>
      </c>
      <c r="W1121" s="6">
        <v>17.75</v>
      </c>
      <c r="X1121" s="7">
        <v>18.625</v>
      </c>
      <c r="Y1121" s="6">
        <v>22.75</v>
      </c>
      <c r="Z1121" s="7">
        <v>22.125</v>
      </c>
      <c r="AA1121" s="6">
        <v>88.63</v>
      </c>
      <c r="AB1121" s="7">
        <v>189.90299999999999</v>
      </c>
      <c r="AC1121" s="6">
        <v>89.62</v>
      </c>
    </row>
    <row r="1122" spans="1:29" ht="65" x14ac:dyDescent="0.15">
      <c r="A1122" s="3">
        <f>DATE(1993,5,25)</f>
        <v>34114</v>
      </c>
      <c r="B1122" s="2"/>
      <c r="C1122" s="2" t="s">
        <v>189</v>
      </c>
      <c r="D1122" s="2" t="s">
        <v>3795</v>
      </c>
      <c r="E1122" s="2" t="s">
        <v>3796</v>
      </c>
      <c r="F1122" s="4">
        <v>7221</v>
      </c>
      <c r="G1122" s="2" t="s">
        <v>1517</v>
      </c>
      <c r="H1122" s="2" t="s">
        <v>34</v>
      </c>
      <c r="I1122" s="2" t="s">
        <v>143</v>
      </c>
      <c r="J1122" s="2" t="s">
        <v>144</v>
      </c>
      <c r="K1122" s="2" t="s">
        <v>53</v>
      </c>
      <c r="L1122" s="2" t="s">
        <v>139</v>
      </c>
      <c r="M1122" s="2"/>
      <c r="N1122" s="2"/>
      <c r="O1122" s="2"/>
      <c r="P1122" s="2" t="s">
        <v>3797</v>
      </c>
      <c r="Q1122" s="2"/>
      <c r="R1122" s="2"/>
      <c r="S1122" s="5">
        <v>22.6</v>
      </c>
      <c r="T1122" s="7">
        <v>63.594000000000001</v>
      </c>
      <c r="U1122" s="5">
        <v>11.8</v>
      </c>
      <c r="V1122" s="6">
        <v>1.54</v>
      </c>
      <c r="W1122" s="6">
        <v>14.75</v>
      </c>
      <c r="X1122" s="7">
        <v>14.625</v>
      </c>
      <c r="Y1122" s="7">
        <v>15.125</v>
      </c>
      <c r="Z1122" s="4">
        <v>15</v>
      </c>
      <c r="AA1122" s="2"/>
      <c r="AB1122" s="2" t="s">
        <v>47</v>
      </c>
      <c r="AC1122" s="2"/>
    </row>
    <row r="1123" spans="1:29" ht="130" x14ac:dyDescent="0.15">
      <c r="A1123" s="3">
        <f>DATE(1993,5,25)</f>
        <v>34114</v>
      </c>
      <c r="B1123" s="3">
        <f>DATE(1993,12,10)</f>
        <v>34313</v>
      </c>
      <c r="C1123" s="2" t="s">
        <v>95</v>
      </c>
      <c r="D1123" s="2" t="s">
        <v>3798</v>
      </c>
      <c r="E1123" s="2" t="s">
        <v>1181</v>
      </c>
      <c r="F1123" s="4">
        <v>6022</v>
      </c>
      <c r="G1123" s="2" t="s">
        <v>37</v>
      </c>
      <c r="H1123" s="2" t="s">
        <v>34</v>
      </c>
      <c r="I1123" s="2" t="s">
        <v>153</v>
      </c>
      <c r="J1123" s="2" t="s">
        <v>36</v>
      </c>
      <c r="K1123" s="2" t="s">
        <v>37</v>
      </c>
      <c r="L1123" s="2" t="s">
        <v>34</v>
      </c>
      <c r="M1123" s="12">
        <v>4160.558</v>
      </c>
      <c r="N1123" s="5">
        <v>57.5</v>
      </c>
      <c r="O1123" s="4">
        <v>60</v>
      </c>
      <c r="P1123" s="2" t="s">
        <v>3799</v>
      </c>
      <c r="Q1123" s="6">
        <v>100</v>
      </c>
      <c r="R1123" s="2"/>
      <c r="S1123" s="5">
        <v>0.3</v>
      </c>
      <c r="T1123" s="7">
        <v>1.6859999999999999</v>
      </c>
      <c r="U1123" s="5">
        <v>2</v>
      </c>
      <c r="V1123" s="2"/>
      <c r="W1123" s="4">
        <v>20</v>
      </c>
      <c r="X1123" s="6">
        <v>26.75</v>
      </c>
      <c r="Y1123" s="4">
        <v>23</v>
      </c>
      <c r="Z1123" s="4">
        <v>22</v>
      </c>
      <c r="AA1123" s="6">
        <v>2.75</v>
      </c>
      <c r="AB1123" s="2" t="s">
        <v>86</v>
      </c>
      <c r="AC1123" s="2"/>
    </row>
    <row r="1124" spans="1:29" ht="39" x14ac:dyDescent="0.15">
      <c r="A1124" s="3">
        <f>DATE(1993,5,25)</f>
        <v>34114</v>
      </c>
      <c r="B1124" s="2"/>
      <c r="C1124" s="2" t="s">
        <v>82</v>
      </c>
      <c r="D1124" s="2" t="s">
        <v>3800</v>
      </c>
      <c r="E1124" s="2" t="s">
        <v>3801</v>
      </c>
      <c r="F1124" s="4">
        <v>8082</v>
      </c>
      <c r="G1124" s="2" t="s">
        <v>454</v>
      </c>
      <c r="H1124" s="2" t="s">
        <v>34</v>
      </c>
      <c r="I1124" s="2" t="s">
        <v>51</v>
      </c>
      <c r="J1124" s="2" t="s">
        <v>52</v>
      </c>
      <c r="K1124" s="2" t="s">
        <v>53</v>
      </c>
      <c r="L1124" s="2" t="s">
        <v>34</v>
      </c>
      <c r="M1124" s="2"/>
      <c r="N1124" s="2"/>
      <c r="O1124" s="2"/>
      <c r="P1124" s="2" t="s">
        <v>3802</v>
      </c>
      <c r="Q1124" s="2"/>
      <c r="R1124" s="2"/>
      <c r="S1124" s="5">
        <v>59.3</v>
      </c>
      <c r="T1124" s="7">
        <v>96.436999999999998</v>
      </c>
      <c r="U1124" s="5">
        <v>6.5</v>
      </c>
      <c r="V1124" s="6">
        <v>1.55</v>
      </c>
      <c r="W1124" s="7">
        <v>11.625</v>
      </c>
      <c r="X1124" s="7">
        <v>15.375</v>
      </c>
      <c r="Y1124" s="7">
        <v>16.875</v>
      </c>
      <c r="Z1124" s="4">
        <v>15</v>
      </c>
      <c r="AA1124" s="2"/>
      <c r="AB1124" s="2" t="s">
        <v>47</v>
      </c>
      <c r="AC1124" s="2"/>
    </row>
    <row r="1125" spans="1:29" ht="156" x14ac:dyDescent="0.15">
      <c r="A1125" s="3">
        <f>DATE(1993,5,27)</f>
        <v>34116</v>
      </c>
      <c r="B1125" s="2"/>
      <c r="C1125" s="2" t="s">
        <v>30</v>
      </c>
      <c r="D1125" s="2" t="s">
        <v>3803</v>
      </c>
      <c r="E1125" s="2" t="s">
        <v>3804</v>
      </c>
      <c r="F1125" s="4">
        <v>4011</v>
      </c>
      <c r="G1125" s="2" t="s">
        <v>173</v>
      </c>
      <c r="H1125" s="2" t="s">
        <v>34</v>
      </c>
      <c r="I1125" s="2" t="s">
        <v>3805</v>
      </c>
      <c r="J1125" s="2" t="s">
        <v>3806</v>
      </c>
      <c r="K1125" s="2" t="s">
        <v>708</v>
      </c>
      <c r="L1125" s="2" t="s">
        <v>34</v>
      </c>
      <c r="M1125" s="2"/>
      <c r="N1125" s="6">
        <v>47.25</v>
      </c>
      <c r="O1125" s="7">
        <v>45.125</v>
      </c>
      <c r="P1125" s="2" t="s">
        <v>3807</v>
      </c>
      <c r="Q1125" s="2"/>
      <c r="R1125" s="6">
        <v>35</v>
      </c>
      <c r="S1125" s="5">
        <v>7.1</v>
      </c>
      <c r="T1125" s="7">
        <v>119.548</v>
      </c>
      <c r="U1125" s="5">
        <v>36.9</v>
      </c>
      <c r="V1125" s="6">
        <v>2.06</v>
      </c>
      <c r="W1125" s="6">
        <v>28.75</v>
      </c>
      <c r="X1125" s="5">
        <v>30.5</v>
      </c>
      <c r="Y1125" s="6">
        <v>35.25</v>
      </c>
      <c r="Z1125" s="6">
        <v>36.25</v>
      </c>
      <c r="AA1125" s="6">
        <v>3.44</v>
      </c>
      <c r="AB1125" s="7">
        <v>6.2869999999999999</v>
      </c>
      <c r="AC1125" s="6">
        <v>4.03</v>
      </c>
    </row>
    <row r="1126" spans="1:29" ht="156" x14ac:dyDescent="0.15">
      <c r="A1126" s="3">
        <f>DATE(1993,5,27)</f>
        <v>34116</v>
      </c>
      <c r="B1126" s="2"/>
      <c r="C1126" s="2" t="s">
        <v>30</v>
      </c>
      <c r="D1126" s="2" t="s">
        <v>3808</v>
      </c>
      <c r="E1126" s="2" t="s">
        <v>3809</v>
      </c>
      <c r="F1126" s="4">
        <v>2262</v>
      </c>
      <c r="G1126" s="2" t="s">
        <v>708</v>
      </c>
      <c r="H1126" s="2" t="s">
        <v>34</v>
      </c>
      <c r="I1126" s="2" t="s">
        <v>3805</v>
      </c>
      <c r="J1126" s="2" t="s">
        <v>3806</v>
      </c>
      <c r="K1126" s="2" t="s">
        <v>708</v>
      </c>
      <c r="L1126" s="2" t="s">
        <v>34</v>
      </c>
      <c r="M1126" s="2"/>
      <c r="N1126" s="6">
        <v>47.25</v>
      </c>
      <c r="O1126" s="7">
        <v>45.125</v>
      </c>
      <c r="P1126" s="2" t="s">
        <v>3810</v>
      </c>
      <c r="Q1126" s="2"/>
      <c r="R1126" s="6">
        <v>27.5</v>
      </c>
      <c r="S1126" s="5">
        <v>30.7</v>
      </c>
      <c r="T1126" s="7">
        <v>100.366</v>
      </c>
      <c r="U1126" s="5">
        <v>17.8</v>
      </c>
      <c r="V1126" s="6">
        <v>3.02</v>
      </c>
      <c r="W1126" s="7">
        <v>23.625</v>
      </c>
      <c r="X1126" s="7">
        <v>23.625</v>
      </c>
      <c r="Y1126" s="7">
        <v>26.375</v>
      </c>
      <c r="Z1126" s="7">
        <v>27.375</v>
      </c>
      <c r="AA1126" s="6">
        <v>12.08</v>
      </c>
      <c r="AB1126" s="7">
        <v>8.9179999999999993</v>
      </c>
      <c r="AC1126" s="6">
        <v>0.77</v>
      </c>
    </row>
    <row r="1127" spans="1:29" ht="130" x14ac:dyDescent="0.15">
      <c r="A1127" s="3">
        <f>DATE(1993,5,28)</f>
        <v>34117</v>
      </c>
      <c r="B1127" s="3">
        <f>DATE(1993,10,28)</f>
        <v>34270</v>
      </c>
      <c r="C1127" s="2" t="s">
        <v>95</v>
      </c>
      <c r="D1127" s="2" t="s">
        <v>3811</v>
      </c>
      <c r="E1127" s="2" t="s">
        <v>3812</v>
      </c>
      <c r="F1127" s="4">
        <v>2836</v>
      </c>
      <c r="G1127" s="2" t="s">
        <v>130</v>
      </c>
      <c r="H1127" s="2" t="s">
        <v>34</v>
      </c>
      <c r="I1127" s="2" t="s">
        <v>3813</v>
      </c>
      <c r="J1127" s="2" t="s">
        <v>3814</v>
      </c>
      <c r="K1127" s="2" t="s">
        <v>53</v>
      </c>
      <c r="L1127" s="2" t="s">
        <v>34</v>
      </c>
      <c r="M1127" s="2"/>
      <c r="N1127" s="2"/>
      <c r="O1127" s="2"/>
      <c r="P1127" s="2" t="s">
        <v>3815</v>
      </c>
      <c r="Q1127" s="6">
        <v>69.44</v>
      </c>
      <c r="R1127" s="2"/>
      <c r="S1127" s="5">
        <v>-6</v>
      </c>
      <c r="T1127" s="7">
        <v>-4.9139999999999997</v>
      </c>
      <c r="U1127" s="8">
        <v>1121.2</v>
      </c>
      <c r="V1127" s="6">
        <v>-0.42</v>
      </c>
      <c r="W1127" s="5">
        <v>3.5</v>
      </c>
      <c r="X1127" s="7">
        <v>4.625</v>
      </c>
      <c r="Y1127" s="7">
        <v>4.125</v>
      </c>
      <c r="Z1127" s="7">
        <v>4.125</v>
      </c>
      <c r="AA1127" s="6">
        <v>14.4</v>
      </c>
      <c r="AB1127" s="2" t="s">
        <v>86</v>
      </c>
      <c r="AC1127" s="2"/>
    </row>
    <row r="1128" spans="1:29" ht="130" x14ac:dyDescent="0.15">
      <c r="A1128" s="3">
        <f>DATE(1993,6,1)</f>
        <v>34121</v>
      </c>
      <c r="B1128" s="3">
        <f>DATE(1993,10,13)</f>
        <v>34255</v>
      </c>
      <c r="C1128" s="2" t="s">
        <v>95</v>
      </c>
      <c r="D1128" s="2" t="s">
        <v>3816</v>
      </c>
      <c r="E1128" s="2" t="s">
        <v>1025</v>
      </c>
      <c r="F1128" s="4">
        <v>4812</v>
      </c>
      <c r="G1128" s="2" t="s">
        <v>63</v>
      </c>
      <c r="H1128" s="2" t="s">
        <v>34</v>
      </c>
      <c r="I1128" s="2" t="s">
        <v>3817</v>
      </c>
      <c r="J1128" s="2" t="s">
        <v>3476</v>
      </c>
      <c r="K1128" s="2" t="s">
        <v>45</v>
      </c>
      <c r="L1128" s="2" t="s">
        <v>34</v>
      </c>
      <c r="M1128" s="2"/>
      <c r="N1128" s="6">
        <v>13.25</v>
      </c>
      <c r="O1128" s="7">
        <v>15.125</v>
      </c>
      <c r="P1128" s="2" t="s">
        <v>3818</v>
      </c>
      <c r="Q1128" s="6">
        <v>100</v>
      </c>
      <c r="R1128" s="2"/>
      <c r="S1128" s="5">
        <v>-0.2</v>
      </c>
      <c r="T1128" s="7">
        <v>3.9140000000000001</v>
      </c>
      <c r="U1128" s="5">
        <v>6.4</v>
      </c>
      <c r="V1128" s="6">
        <v>-0.03</v>
      </c>
      <c r="W1128" s="7">
        <v>11.875</v>
      </c>
      <c r="X1128" s="7">
        <v>11.625</v>
      </c>
      <c r="Y1128" s="6">
        <v>13.25</v>
      </c>
      <c r="Z1128" s="7">
        <v>15.125</v>
      </c>
      <c r="AA1128" s="6">
        <v>6.68</v>
      </c>
      <c r="AB1128" s="2" t="s">
        <v>86</v>
      </c>
      <c r="AC1128" s="2"/>
    </row>
    <row r="1129" spans="1:29" ht="156" x14ac:dyDescent="0.15">
      <c r="A1129" s="3">
        <f>DATE(1993,6,1)</f>
        <v>34121</v>
      </c>
      <c r="B1129" s="3">
        <f>DATE(1993,12,27)</f>
        <v>34330</v>
      </c>
      <c r="C1129" s="2" t="s">
        <v>95</v>
      </c>
      <c r="D1129" s="2" t="s">
        <v>3819</v>
      </c>
      <c r="E1129" s="2" t="s">
        <v>389</v>
      </c>
      <c r="F1129" s="4">
        <v>6035</v>
      </c>
      <c r="G1129" s="2" t="s">
        <v>33</v>
      </c>
      <c r="H1129" s="2" t="s">
        <v>34</v>
      </c>
      <c r="I1129" s="2" t="s">
        <v>390</v>
      </c>
      <c r="J1129" s="2" t="s">
        <v>159</v>
      </c>
      <c r="K1129" s="2" t="s">
        <v>37</v>
      </c>
      <c r="L1129" s="2" t="s">
        <v>34</v>
      </c>
      <c r="M1129" s="12">
        <v>2016.7460000000001</v>
      </c>
      <c r="N1129" s="6">
        <v>25.75</v>
      </c>
      <c r="O1129" s="6">
        <v>26.25</v>
      </c>
      <c r="P1129" s="2" t="s">
        <v>3820</v>
      </c>
      <c r="Q1129" s="6">
        <v>100</v>
      </c>
      <c r="R1129" s="6">
        <v>41.39</v>
      </c>
      <c r="S1129" s="5">
        <v>7.1</v>
      </c>
      <c r="T1129" s="7">
        <v>12.349</v>
      </c>
      <c r="U1129" s="5">
        <v>21.3</v>
      </c>
      <c r="V1129" s="6">
        <v>3.51</v>
      </c>
      <c r="W1129" s="5">
        <v>27.5</v>
      </c>
      <c r="X1129" s="6">
        <v>28.75</v>
      </c>
      <c r="Y1129" s="4">
        <v>38</v>
      </c>
      <c r="Z1129" s="4">
        <v>38</v>
      </c>
      <c r="AA1129" s="6">
        <v>2</v>
      </c>
      <c r="AB1129" s="7">
        <v>61.533999999999999</v>
      </c>
      <c r="AC1129" s="2"/>
    </row>
    <row r="1130" spans="1:29" ht="130" x14ac:dyDescent="0.15">
      <c r="A1130" s="3">
        <f>DATE(1993,6,2)</f>
        <v>34122</v>
      </c>
      <c r="B1130" s="3">
        <f>DATE(1994,4,5)</f>
        <v>34429</v>
      </c>
      <c r="C1130" s="2" t="s">
        <v>95</v>
      </c>
      <c r="D1130" s="2" t="s">
        <v>3715</v>
      </c>
      <c r="E1130" s="2" t="s">
        <v>203</v>
      </c>
      <c r="F1130" s="4">
        <v>6035</v>
      </c>
      <c r="G1130" s="2" t="s">
        <v>33</v>
      </c>
      <c r="H1130" s="2" t="s">
        <v>34</v>
      </c>
      <c r="I1130" s="2" t="s">
        <v>3821</v>
      </c>
      <c r="J1130" s="2" t="s">
        <v>265</v>
      </c>
      <c r="K1130" s="2" t="s">
        <v>37</v>
      </c>
      <c r="L1130" s="2" t="s">
        <v>34</v>
      </c>
      <c r="M1130" s="7">
        <v>85.239000000000004</v>
      </c>
      <c r="N1130" s="5">
        <v>31.5</v>
      </c>
      <c r="O1130" s="5">
        <v>31.5</v>
      </c>
      <c r="P1130" s="2" t="s">
        <v>3822</v>
      </c>
      <c r="Q1130" s="6">
        <v>100</v>
      </c>
      <c r="R1130" s="6">
        <v>34.5</v>
      </c>
      <c r="S1130" s="5">
        <v>4.5999999999999996</v>
      </c>
      <c r="T1130" s="7">
        <v>8.3179999999999996</v>
      </c>
      <c r="U1130" s="5">
        <v>25.9</v>
      </c>
      <c r="V1130" s="6">
        <v>3.03</v>
      </c>
      <c r="W1130" s="6">
        <v>20.25</v>
      </c>
      <c r="X1130" s="7">
        <v>19.375</v>
      </c>
      <c r="Y1130" s="7">
        <v>19.375</v>
      </c>
      <c r="Z1130" s="5">
        <v>22.5</v>
      </c>
      <c r="AA1130" s="6">
        <v>1.41</v>
      </c>
      <c r="AB1130" s="7">
        <v>41.384</v>
      </c>
      <c r="AC1130" s="2"/>
    </row>
    <row r="1131" spans="1:29" ht="52" x14ac:dyDescent="0.15">
      <c r="A1131" s="3">
        <f>DATE(1993,6,2)</f>
        <v>34122</v>
      </c>
      <c r="B1131" s="3">
        <f>DATE(1994,4,7)</f>
        <v>34431</v>
      </c>
      <c r="C1131" s="2" t="s">
        <v>95</v>
      </c>
      <c r="D1131" s="2" t="s">
        <v>3823</v>
      </c>
      <c r="E1131" s="2" t="s">
        <v>92</v>
      </c>
      <c r="F1131" s="4">
        <v>6798</v>
      </c>
      <c r="G1131" s="2" t="s">
        <v>53</v>
      </c>
      <c r="H1131" s="2" t="s">
        <v>34</v>
      </c>
      <c r="I1131" s="2" t="s">
        <v>1526</v>
      </c>
      <c r="J1131" s="2" t="s">
        <v>302</v>
      </c>
      <c r="K1131" s="2" t="s">
        <v>53</v>
      </c>
      <c r="L1131" s="2" t="s">
        <v>34</v>
      </c>
      <c r="M1131" s="2"/>
      <c r="N1131" s="2"/>
      <c r="O1131" s="2"/>
      <c r="P1131" s="2" t="s">
        <v>3824</v>
      </c>
      <c r="Q1131" s="6">
        <v>100</v>
      </c>
      <c r="R1131" s="2"/>
      <c r="S1131" s="5">
        <v>-43.1</v>
      </c>
      <c r="T1131" s="2"/>
      <c r="U1131" s="5">
        <v>8.3000000000000007</v>
      </c>
      <c r="V1131" s="6">
        <v>-3.68</v>
      </c>
      <c r="W1131" s="4">
        <v>1</v>
      </c>
      <c r="X1131" s="4">
        <v>1</v>
      </c>
      <c r="Y1131" s="4">
        <v>1</v>
      </c>
      <c r="Z1131" s="5">
        <v>1.5</v>
      </c>
      <c r="AA1131" s="6">
        <v>12.15</v>
      </c>
      <c r="AB1131" s="2" t="s">
        <v>86</v>
      </c>
      <c r="AC1131" s="2"/>
    </row>
    <row r="1132" spans="1:29" ht="143" x14ac:dyDescent="0.15">
      <c r="A1132" s="3">
        <f>DATE(1993,6,3)</f>
        <v>34123</v>
      </c>
      <c r="B1132" s="3">
        <f>DATE(1995,2,13)</f>
        <v>34743</v>
      </c>
      <c r="C1132" s="2" t="s">
        <v>95</v>
      </c>
      <c r="D1132" s="2" t="s">
        <v>3825</v>
      </c>
      <c r="E1132" s="2" t="s">
        <v>3826</v>
      </c>
      <c r="F1132" s="4">
        <v>3841</v>
      </c>
      <c r="G1132" s="2" t="s">
        <v>226</v>
      </c>
      <c r="H1132" s="2" t="s">
        <v>34</v>
      </c>
      <c r="I1132" s="2" t="s">
        <v>3827</v>
      </c>
      <c r="J1132" s="2" t="s">
        <v>129</v>
      </c>
      <c r="K1132" s="2" t="s">
        <v>130</v>
      </c>
      <c r="L1132" s="2" t="s">
        <v>34</v>
      </c>
      <c r="M1132" s="2"/>
      <c r="N1132" s="7">
        <v>52.875</v>
      </c>
      <c r="O1132" s="7">
        <v>52.875</v>
      </c>
      <c r="P1132" s="2" t="s">
        <v>3828</v>
      </c>
      <c r="Q1132" s="6">
        <v>34.29</v>
      </c>
      <c r="R1132" s="6">
        <v>25</v>
      </c>
      <c r="S1132" s="5">
        <v>-15.4</v>
      </c>
      <c r="T1132" s="7">
        <v>-17.274999999999999</v>
      </c>
      <c r="U1132" s="5">
        <v>7.9</v>
      </c>
      <c r="V1132" s="6">
        <v>-1.57</v>
      </c>
      <c r="W1132" s="6">
        <v>17.75</v>
      </c>
      <c r="X1132" s="4">
        <v>19</v>
      </c>
      <c r="Y1132" s="7">
        <v>22.875</v>
      </c>
      <c r="Z1132" s="7">
        <v>21.875</v>
      </c>
      <c r="AA1132" s="6">
        <v>11.5</v>
      </c>
      <c r="AB1132" s="2" t="s">
        <v>86</v>
      </c>
      <c r="AC1132" s="5">
        <v>46.1</v>
      </c>
    </row>
    <row r="1133" spans="1:29" ht="156" x14ac:dyDescent="0.15">
      <c r="A1133" s="3">
        <f>DATE(1993,6,7)</f>
        <v>34127</v>
      </c>
      <c r="B1133" s="3">
        <f>DATE(1993,12,29)</f>
        <v>34332</v>
      </c>
      <c r="C1133" s="2" t="s">
        <v>95</v>
      </c>
      <c r="D1133" s="2" t="s">
        <v>3829</v>
      </c>
      <c r="E1133" s="2" t="s">
        <v>263</v>
      </c>
      <c r="F1133" s="4">
        <v>6035</v>
      </c>
      <c r="G1133" s="2" t="s">
        <v>33</v>
      </c>
      <c r="H1133" s="2" t="s">
        <v>34</v>
      </c>
      <c r="I1133" s="2" t="s">
        <v>390</v>
      </c>
      <c r="J1133" s="2" t="s">
        <v>159</v>
      </c>
      <c r="K1133" s="2" t="s">
        <v>37</v>
      </c>
      <c r="L1133" s="2" t="s">
        <v>34</v>
      </c>
      <c r="M1133" s="2"/>
      <c r="N1133" s="6">
        <v>24.75</v>
      </c>
      <c r="O1133" s="4">
        <v>25</v>
      </c>
      <c r="P1133" s="2" t="s">
        <v>3830</v>
      </c>
      <c r="Q1133" s="6">
        <v>100</v>
      </c>
      <c r="R1133" s="6">
        <v>45.36</v>
      </c>
      <c r="S1133" s="5">
        <v>3.2</v>
      </c>
      <c r="T1133" s="7">
        <v>5.5869999999999997</v>
      </c>
      <c r="U1133" s="5">
        <v>25.4</v>
      </c>
      <c r="V1133" s="6">
        <v>2.85</v>
      </c>
      <c r="W1133" s="5">
        <v>24.5</v>
      </c>
      <c r="X1133" s="6">
        <v>28.25</v>
      </c>
      <c r="Y1133" s="2"/>
      <c r="Z1133" s="2"/>
      <c r="AA1133" s="6">
        <v>1.1100000000000001</v>
      </c>
      <c r="AB1133" s="7">
        <v>52.578000000000003</v>
      </c>
      <c r="AC1133" s="2"/>
    </row>
    <row r="1134" spans="1:29" ht="104" x14ac:dyDescent="0.15">
      <c r="A1134" s="3">
        <f>DATE(1993,6,7)</f>
        <v>34127</v>
      </c>
      <c r="B1134" s="2"/>
      <c r="C1134" s="2" t="s">
        <v>141</v>
      </c>
      <c r="D1134" s="2" t="s">
        <v>3831</v>
      </c>
      <c r="E1134" s="2" t="s">
        <v>3231</v>
      </c>
      <c r="F1134" s="4">
        <v>4953</v>
      </c>
      <c r="G1134" s="2" t="s">
        <v>116</v>
      </c>
      <c r="H1134" s="2" t="s">
        <v>34</v>
      </c>
      <c r="I1134" s="2" t="s">
        <v>143</v>
      </c>
      <c r="J1134" s="2" t="s">
        <v>144</v>
      </c>
      <c r="K1134" s="2" t="s">
        <v>53</v>
      </c>
      <c r="L1134" s="2" t="s">
        <v>139</v>
      </c>
      <c r="M1134" s="2"/>
      <c r="N1134" s="2"/>
      <c r="O1134" s="2"/>
      <c r="P1134" s="2" t="s">
        <v>3832</v>
      </c>
      <c r="Q1134" s="2"/>
      <c r="R1134" s="2"/>
      <c r="S1134" s="5">
        <v>0.2</v>
      </c>
      <c r="T1134" s="7">
        <v>5.4569999999999999</v>
      </c>
      <c r="U1134" s="5">
        <v>3.7</v>
      </c>
      <c r="V1134" s="6">
        <v>-0.32</v>
      </c>
      <c r="W1134" s="4">
        <v>12</v>
      </c>
      <c r="X1134" s="6">
        <v>12.75</v>
      </c>
      <c r="Y1134" s="5">
        <v>14.5</v>
      </c>
      <c r="Z1134" s="6">
        <v>13.75</v>
      </c>
      <c r="AA1134" s="2"/>
      <c r="AB1134" s="2" t="s">
        <v>47</v>
      </c>
      <c r="AC1134" s="2"/>
    </row>
    <row r="1135" spans="1:29" ht="39" x14ac:dyDescent="0.15">
      <c r="A1135" s="3">
        <f>DATE(1993,6,8)</f>
        <v>34128</v>
      </c>
      <c r="B1135" s="2"/>
      <c r="C1135" s="2" t="s">
        <v>30</v>
      </c>
      <c r="D1135" s="2" t="s">
        <v>3833</v>
      </c>
      <c r="E1135" s="2" t="s">
        <v>3834</v>
      </c>
      <c r="F1135" s="4">
        <v>7372</v>
      </c>
      <c r="G1135" s="2" t="s">
        <v>551</v>
      </c>
      <c r="H1135" s="2" t="s">
        <v>34</v>
      </c>
      <c r="I1135" s="2" t="s">
        <v>138</v>
      </c>
      <c r="J1135" s="2" t="s">
        <v>139</v>
      </c>
      <c r="K1135" s="2" t="s">
        <v>53</v>
      </c>
      <c r="L1135" s="2" t="s">
        <v>139</v>
      </c>
      <c r="M1135" s="2"/>
      <c r="N1135" s="2"/>
      <c r="O1135" s="2"/>
      <c r="P1135" s="2" t="s">
        <v>3835</v>
      </c>
      <c r="Q1135" s="2"/>
      <c r="R1135" s="2"/>
      <c r="S1135" s="5">
        <v>-12.2</v>
      </c>
      <c r="T1135" s="2"/>
      <c r="U1135" s="5">
        <v>0.7</v>
      </c>
      <c r="V1135" s="6">
        <v>-1.83</v>
      </c>
      <c r="W1135" s="5">
        <v>7.5</v>
      </c>
      <c r="X1135" s="5">
        <v>5.5</v>
      </c>
      <c r="Y1135" s="6">
        <v>6.25</v>
      </c>
      <c r="Z1135" s="6">
        <v>6.25</v>
      </c>
      <c r="AA1135" s="6">
        <v>6.6</v>
      </c>
      <c r="AB1135" s="2" t="s">
        <v>47</v>
      </c>
      <c r="AC1135" s="2"/>
    </row>
    <row r="1136" spans="1:29" ht="156" x14ac:dyDescent="0.15">
      <c r="A1136" s="3">
        <f>DATE(1993,6,10)</f>
        <v>34130</v>
      </c>
      <c r="B1136" s="3">
        <f>DATE(1993,10,1)</f>
        <v>34243</v>
      </c>
      <c r="C1136" s="2" t="s">
        <v>95</v>
      </c>
      <c r="D1136" s="2" t="s">
        <v>2498</v>
      </c>
      <c r="E1136" s="2" t="s">
        <v>2499</v>
      </c>
      <c r="F1136" s="4">
        <v>2711</v>
      </c>
      <c r="G1136" s="2" t="s">
        <v>186</v>
      </c>
      <c r="H1136" s="2" t="s">
        <v>34</v>
      </c>
      <c r="I1136" s="2" t="s">
        <v>3836</v>
      </c>
      <c r="J1136" s="2" t="s">
        <v>417</v>
      </c>
      <c r="K1136" s="2" t="s">
        <v>186</v>
      </c>
      <c r="L1136" s="2" t="s">
        <v>34</v>
      </c>
      <c r="M1136" s="12">
        <v>2029.7090000000001</v>
      </c>
      <c r="N1136" s="7">
        <v>26.875</v>
      </c>
      <c r="O1136" s="7">
        <v>24.375</v>
      </c>
      <c r="P1136" s="2" t="s">
        <v>3837</v>
      </c>
      <c r="Q1136" s="6">
        <v>100</v>
      </c>
      <c r="R1136" s="6">
        <v>15</v>
      </c>
      <c r="S1136" s="5">
        <v>27.9</v>
      </c>
      <c r="T1136" s="7">
        <v>70.790999999999997</v>
      </c>
      <c r="U1136" s="5">
        <v>1.9</v>
      </c>
      <c r="V1136" s="6">
        <v>0.4</v>
      </c>
      <c r="W1136" s="7">
        <v>12.375</v>
      </c>
      <c r="X1136" s="7">
        <v>12.375</v>
      </c>
      <c r="Y1136" s="7">
        <v>12.375</v>
      </c>
      <c r="Z1136" s="7">
        <v>12.375</v>
      </c>
      <c r="AA1136" s="6">
        <v>71.37</v>
      </c>
      <c r="AB1136" s="7">
        <v>20.946000000000002</v>
      </c>
      <c r="AC1136" s="6">
        <v>118.5</v>
      </c>
    </row>
    <row r="1137" spans="1:29" ht="143" x14ac:dyDescent="0.15">
      <c r="A1137" s="3">
        <f>DATE(1993,6,10)</f>
        <v>34130</v>
      </c>
      <c r="B1137" s="3">
        <f>DATE(1993,9,1)</f>
        <v>34213</v>
      </c>
      <c r="C1137" s="2" t="s">
        <v>95</v>
      </c>
      <c r="D1137" s="2" t="s">
        <v>3838</v>
      </c>
      <c r="E1137" s="2" t="s">
        <v>1011</v>
      </c>
      <c r="F1137" s="4">
        <v>8062</v>
      </c>
      <c r="G1137" s="2" t="s">
        <v>454</v>
      </c>
      <c r="H1137" s="2" t="s">
        <v>34</v>
      </c>
      <c r="I1137" s="2" t="s">
        <v>3839</v>
      </c>
      <c r="J1137" s="2" t="s">
        <v>3032</v>
      </c>
      <c r="K1137" s="2" t="s">
        <v>454</v>
      </c>
      <c r="L1137" s="2" t="s">
        <v>34</v>
      </c>
      <c r="M1137" s="7">
        <v>611.89400000000001</v>
      </c>
      <c r="N1137" s="5">
        <v>25.5</v>
      </c>
      <c r="O1137" s="6">
        <v>26.75</v>
      </c>
      <c r="P1137" s="2" t="s">
        <v>3840</v>
      </c>
      <c r="Q1137" s="6">
        <v>100</v>
      </c>
      <c r="R1137" s="6">
        <v>19.96</v>
      </c>
      <c r="S1137" s="5">
        <v>168</v>
      </c>
      <c r="T1137" s="5">
        <v>848</v>
      </c>
      <c r="U1137" s="5">
        <v>8.5</v>
      </c>
      <c r="V1137" s="6">
        <v>1.05</v>
      </c>
      <c r="W1137" s="4">
        <v>14</v>
      </c>
      <c r="X1137" s="4">
        <v>14</v>
      </c>
      <c r="Y1137" s="4">
        <v>15</v>
      </c>
      <c r="Z1137" s="7">
        <v>19.125</v>
      </c>
      <c r="AA1137" s="6">
        <v>159.72999999999999</v>
      </c>
      <c r="AB1137" s="7">
        <v>5.2009999999999996</v>
      </c>
      <c r="AC1137" s="5">
        <v>217</v>
      </c>
    </row>
    <row r="1138" spans="1:29" ht="52" x14ac:dyDescent="0.15">
      <c r="A1138" s="3">
        <f>DATE(1993,6,10)</f>
        <v>34130</v>
      </c>
      <c r="B1138" s="3">
        <f>DATE(1993,6,10)</f>
        <v>34130</v>
      </c>
      <c r="C1138" s="2" t="s">
        <v>95</v>
      </c>
      <c r="D1138" s="2" t="s">
        <v>3841</v>
      </c>
      <c r="E1138" s="2" t="s">
        <v>3842</v>
      </c>
      <c r="F1138" s="4">
        <v>6211</v>
      </c>
      <c r="G1138" s="2" t="s">
        <v>53</v>
      </c>
      <c r="H1138" s="2" t="s">
        <v>34</v>
      </c>
      <c r="I1138" s="2" t="s">
        <v>51</v>
      </c>
      <c r="J1138" s="2" t="s">
        <v>52</v>
      </c>
      <c r="K1138" s="2" t="s">
        <v>53</v>
      </c>
      <c r="L1138" s="2" t="s">
        <v>34</v>
      </c>
      <c r="M1138" s="2"/>
      <c r="N1138" s="2"/>
      <c r="O1138" s="2"/>
      <c r="P1138" s="2" t="s">
        <v>3843</v>
      </c>
      <c r="Q1138" s="6">
        <v>51.52</v>
      </c>
      <c r="R1138" s="2"/>
      <c r="S1138" s="2"/>
      <c r="T1138" s="2"/>
      <c r="U1138" s="5">
        <v>1.6</v>
      </c>
      <c r="V1138" s="2"/>
      <c r="W1138" s="4">
        <v>2</v>
      </c>
      <c r="X1138" s="7">
        <v>2.625</v>
      </c>
      <c r="Y1138" s="7">
        <v>2.875</v>
      </c>
      <c r="Z1138" s="4">
        <v>3</v>
      </c>
      <c r="AA1138" s="6">
        <v>6.6</v>
      </c>
      <c r="AB1138" s="2" t="s">
        <v>47</v>
      </c>
      <c r="AC1138" s="2"/>
    </row>
    <row r="1139" spans="1:29" ht="39" x14ac:dyDescent="0.15">
      <c r="A1139" s="3">
        <f>DATE(1993,6,11)</f>
        <v>34131</v>
      </c>
      <c r="B1139" s="3">
        <f>DATE(1993,6,11)</f>
        <v>34131</v>
      </c>
      <c r="C1139" s="2" t="s">
        <v>95</v>
      </c>
      <c r="D1139" s="2" t="s">
        <v>3844</v>
      </c>
      <c r="E1139" s="2" t="s">
        <v>3845</v>
      </c>
      <c r="F1139" s="4">
        <v>6141</v>
      </c>
      <c r="G1139" s="2" t="s">
        <v>370</v>
      </c>
      <c r="H1139" s="2" t="s">
        <v>34</v>
      </c>
      <c r="I1139" s="2" t="s">
        <v>3846</v>
      </c>
      <c r="J1139" s="2" t="s">
        <v>80</v>
      </c>
      <c r="K1139" s="2" t="s">
        <v>53</v>
      </c>
      <c r="L1139" s="2" t="s">
        <v>34</v>
      </c>
      <c r="M1139" s="2"/>
      <c r="N1139" s="2"/>
      <c r="O1139" s="2"/>
      <c r="P1139" s="2" t="s">
        <v>3847</v>
      </c>
      <c r="Q1139" s="6">
        <v>70</v>
      </c>
      <c r="R1139" s="2"/>
      <c r="S1139" s="5">
        <v>-0.4</v>
      </c>
      <c r="T1139" s="7">
        <v>-0.39200000000000002</v>
      </c>
      <c r="U1139" s="5">
        <v>0.5</v>
      </c>
      <c r="V1139" s="2"/>
      <c r="W1139" s="7">
        <v>11.625</v>
      </c>
      <c r="X1139" s="7">
        <v>11.625</v>
      </c>
      <c r="Y1139" s="7">
        <v>11.625</v>
      </c>
      <c r="Z1139" s="7">
        <v>11.625</v>
      </c>
      <c r="AA1139" s="6">
        <v>7.14</v>
      </c>
      <c r="AB1139" s="2" t="s">
        <v>86</v>
      </c>
      <c r="AC1139" s="2"/>
    </row>
    <row r="1140" spans="1:29" ht="143" x14ac:dyDescent="0.15">
      <c r="A1140" s="3">
        <f>DATE(1993,6,14)</f>
        <v>34134</v>
      </c>
      <c r="B1140" s="3">
        <f>DATE(1993,11,9)</f>
        <v>34282</v>
      </c>
      <c r="C1140" s="2" t="s">
        <v>95</v>
      </c>
      <c r="D1140" s="2" t="s">
        <v>3848</v>
      </c>
      <c r="E1140" s="2" t="s">
        <v>3849</v>
      </c>
      <c r="F1140" s="4">
        <v>2844</v>
      </c>
      <c r="G1140" s="2" t="s">
        <v>358</v>
      </c>
      <c r="H1140" s="2" t="s">
        <v>34</v>
      </c>
      <c r="I1140" s="2" t="s">
        <v>578</v>
      </c>
      <c r="J1140" s="2" t="s">
        <v>579</v>
      </c>
      <c r="K1140" s="2" t="s">
        <v>237</v>
      </c>
      <c r="L1140" s="2" t="s">
        <v>34</v>
      </c>
      <c r="M1140" s="2"/>
      <c r="N1140" s="7">
        <v>34.125</v>
      </c>
      <c r="O1140" s="4">
        <v>34</v>
      </c>
      <c r="P1140" s="2" t="s">
        <v>3850</v>
      </c>
      <c r="Q1140" s="6">
        <v>88.26</v>
      </c>
      <c r="R1140" s="6">
        <v>24.75</v>
      </c>
      <c r="S1140" s="5">
        <v>4.9000000000000004</v>
      </c>
      <c r="T1140" s="2"/>
      <c r="U1140" s="5">
        <v>9</v>
      </c>
      <c r="V1140" s="2"/>
      <c r="W1140" s="7">
        <v>17.875</v>
      </c>
      <c r="X1140" s="7">
        <v>18.375</v>
      </c>
      <c r="Y1140" s="5">
        <v>23.5</v>
      </c>
      <c r="Z1140" s="7">
        <v>23.625</v>
      </c>
      <c r="AA1140" s="6">
        <v>6.73</v>
      </c>
      <c r="AB1140" s="7">
        <v>5.5339999999999998</v>
      </c>
      <c r="AC1140" s="2"/>
    </row>
    <row r="1141" spans="1:29" ht="156" x14ac:dyDescent="0.15">
      <c r="A1141" s="3">
        <f>DATE(1993,6,14)</f>
        <v>34134</v>
      </c>
      <c r="B1141" s="3">
        <f>DATE(1993,8,31)</f>
        <v>34212</v>
      </c>
      <c r="C1141" s="2" t="s">
        <v>95</v>
      </c>
      <c r="D1141" s="2" t="s">
        <v>1986</v>
      </c>
      <c r="E1141" s="2" t="s">
        <v>1987</v>
      </c>
      <c r="F1141" s="4">
        <v>2844</v>
      </c>
      <c r="G1141" s="2" t="s">
        <v>358</v>
      </c>
      <c r="H1141" s="2" t="s">
        <v>34</v>
      </c>
      <c r="I1141" s="2" t="s">
        <v>2304</v>
      </c>
      <c r="J1141" s="2" t="s">
        <v>2305</v>
      </c>
      <c r="K1141" s="2" t="s">
        <v>130</v>
      </c>
      <c r="L1141" s="2" t="s">
        <v>34</v>
      </c>
      <c r="M1141" s="12">
        <v>1794.7760000000001</v>
      </c>
      <c r="N1141" s="6">
        <v>25.25</v>
      </c>
      <c r="O1141" s="7">
        <v>25.125</v>
      </c>
      <c r="P1141" s="2" t="s">
        <v>3851</v>
      </c>
      <c r="Q1141" s="6">
        <v>100</v>
      </c>
      <c r="R1141" s="6">
        <v>25.25</v>
      </c>
      <c r="S1141" s="5">
        <v>3.4</v>
      </c>
      <c r="T1141" s="7">
        <v>6.798</v>
      </c>
      <c r="U1141" s="5">
        <v>17.399999999999999</v>
      </c>
      <c r="V1141" s="6">
        <v>2.86</v>
      </c>
      <c r="W1141" s="6">
        <v>19.37</v>
      </c>
      <c r="X1141" s="4">
        <v>19</v>
      </c>
      <c r="Y1141" s="6">
        <v>24.62</v>
      </c>
      <c r="Z1141" s="4">
        <v>25</v>
      </c>
      <c r="AA1141" s="6">
        <v>2.4900000000000002</v>
      </c>
      <c r="AB1141" s="7">
        <v>4.7619999999999996</v>
      </c>
      <c r="AC1141" s="6">
        <v>48.68</v>
      </c>
    </row>
    <row r="1142" spans="1:29" ht="130" x14ac:dyDescent="0.15">
      <c r="A1142" s="3">
        <f>DATE(1993,6,14)</f>
        <v>34134</v>
      </c>
      <c r="B1142" s="3">
        <f>DATE(1993,10,1)</f>
        <v>34243</v>
      </c>
      <c r="C1142" s="2" t="s">
        <v>95</v>
      </c>
      <c r="D1142" s="2" t="s">
        <v>3852</v>
      </c>
      <c r="E1142" s="2" t="s">
        <v>1098</v>
      </c>
      <c r="F1142" s="4">
        <v>8051</v>
      </c>
      <c r="G1142" s="2" t="s">
        <v>454</v>
      </c>
      <c r="H1142" s="2" t="s">
        <v>34</v>
      </c>
      <c r="I1142" s="2" t="s">
        <v>3853</v>
      </c>
      <c r="J1142" s="2" t="s">
        <v>3854</v>
      </c>
      <c r="K1142" s="2" t="s">
        <v>454</v>
      </c>
      <c r="L1142" s="2" t="s">
        <v>34</v>
      </c>
      <c r="M1142" s="7">
        <v>197.48599999999999</v>
      </c>
      <c r="N1142" s="5">
        <v>21.5</v>
      </c>
      <c r="O1142" s="7">
        <v>21.875</v>
      </c>
      <c r="P1142" s="2" t="s">
        <v>3855</v>
      </c>
      <c r="Q1142" s="6">
        <v>100</v>
      </c>
      <c r="R1142" s="6">
        <v>8</v>
      </c>
      <c r="S1142" s="5">
        <v>3.2</v>
      </c>
      <c r="T1142" s="7">
        <v>6.8540000000000001</v>
      </c>
      <c r="U1142" s="5">
        <v>2.5</v>
      </c>
      <c r="V1142" s="6">
        <v>0.6</v>
      </c>
      <c r="W1142" s="4">
        <v>6</v>
      </c>
      <c r="X1142" s="6">
        <v>5.75</v>
      </c>
      <c r="Y1142" s="7">
        <v>7.125</v>
      </c>
      <c r="Z1142" s="4">
        <v>7</v>
      </c>
      <c r="AA1142" s="6">
        <v>5.36</v>
      </c>
      <c r="AB1142" s="7">
        <v>14.397</v>
      </c>
      <c r="AC1142" s="6">
        <v>3.28</v>
      </c>
    </row>
    <row r="1143" spans="1:29" ht="156" x14ac:dyDescent="0.15">
      <c r="A1143" s="3">
        <f>DATE(1993,6,15)</f>
        <v>34135</v>
      </c>
      <c r="B1143" s="3">
        <f>DATE(1993,9,30)</f>
        <v>34242</v>
      </c>
      <c r="C1143" s="2" t="s">
        <v>95</v>
      </c>
      <c r="D1143" s="2" t="s">
        <v>3856</v>
      </c>
      <c r="E1143" s="2" t="s">
        <v>3857</v>
      </c>
      <c r="F1143" s="4">
        <v>7372</v>
      </c>
      <c r="G1143" s="2" t="s">
        <v>551</v>
      </c>
      <c r="H1143" s="2" t="s">
        <v>34</v>
      </c>
      <c r="I1143" s="2" t="s">
        <v>3858</v>
      </c>
      <c r="J1143" s="2" t="s">
        <v>3859</v>
      </c>
      <c r="K1143" s="2" t="s">
        <v>551</v>
      </c>
      <c r="L1143" s="2" t="s">
        <v>34</v>
      </c>
      <c r="M1143" s="2"/>
      <c r="N1143" s="5">
        <v>37.5</v>
      </c>
      <c r="O1143" s="5">
        <v>37.5</v>
      </c>
      <c r="P1143" s="2" t="s">
        <v>3860</v>
      </c>
      <c r="Q1143" s="6">
        <v>100</v>
      </c>
      <c r="R1143" s="6">
        <v>15.1</v>
      </c>
      <c r="S1143" s="5">
        <v>2.4</v>
      </c>
      <c r="T1143" s="5">
        <v>3.5</v>
      </c>
      <c r="U1143" s="5">
        <v>6.2</v>
      </c>
      <c r="V1143" s="6">
        <v>0.63</v>
      </c>
      <c r="W1143" s="5">
        <v>10.5</v>
      </c>
      <c r="X1143" s="5">
        <v>10.5</v>
      </c>
      <c r="Y1143" s="5">
        <v>10.5</v>
      </c>
      <c r="Z1143" s="7">
        <v>11.125</v>
      </c>
      <c r="AA1143" s="6">
        <v>3.99</v>
      </c>
      <c r="AB1143" s="7">
        <v>16.603999999999999</v>
      </c>
      <c r="AC1143" s="6">
        <v>238.52</v>
      </c>
    </row>
    <row r="1144" spans="1:29" ht="65" x14ac:dyDescent="0.15">
      <c r="A1144" s="3">
        <f>DATE(1993,6,16)</f>
        <v>34136</v>
      </c>
      <c r="B1144" s="2"/>
      <c r="C1144" s="2" t="s">
        <v>141</v>
      </c>
      <c r="D1144" s="2" t="s">
        <v>3861</v>
      </c>
      <c r="E1144" s="2" t="s">
        <v>36</v>
      </c>
      <c r="F1144" s="4">
        <v>6035</v>
      </c>
      <c r="G1144" s="2" t="s">
        <v>33</v>
      </c>
      <c r="H1144" s="2" t="s">
        <v>34</v>
      </c>
      <c r="I1144" s="2" t="s">
        <v>143</v>
      </c>
      <c r="J1144" s="2" t="s">
        <v>144</v>
      </c>
      <c r="K1144" s="2" t="s">
        <v>53</v>
      </c>
      <c r="L1144" s="2" t="s">
        <v>139</v>
      </c>
      <c r="M1144" s="2"/>
      <c r="N1144" s="2"/>
      <c r="O1144" s="2"/>
      <c r="P1144" s="2" t="s">
        <v>3862</v>
      </c>
      <c r="Q1144" s="2"/>
      <c r="R1144" s="2"/>
      <c r="S1144" s="5">
        <v>42.3</v>
      </c>
      <c r="T1144" s="7">
        <v>71.861000000000004</v>
      </c>
      <c r="U1144" s="5">
        <v>14.5</v>
      </c>
      <c r="V1144" s="9">
        <v>2.3067000000000002</v>
      </c>
      <c r="W1144" s="4">
        <v>22</v>
      </c>
      <c r="X1144" s="6">
        <v>21.75</v>
      </c>
      <c r="Y1144" s="4">
        <v>24</v>
      </c>
      <c r="Z1144" s="5">
        <v>23.5</v>
      </c>
      <c r="AA1144" s="6">
        <v>12.59</v>
      </c>
      <c r="AB1144" s="2" t="s">
        <v>47</v>
      </c>
      <c r="AC1144" s="2"/>
    </row>
    <row r="1145" spans="1:29" ht="130" x14ac:dyDescent="0.15">
      <c r="A1145" s="3">
        <f>DATE(1993,6,16)</f>
        <v>34136</v>
      </c>
      <c r="B1145" s="3">
        <f>DATE(1993,10,22)</f>
        <v>34264</v>
      </c>
      <c r="C1145" s="2" t="s">
        <v>95</v>
      </c>
      <c r="D1145" s="2" t="s">
        <v>3309</v>
      </c>
      <c r="E1145" s="2" t="s">
        <v>3310</v>
      </c>
      <c r="F1145" s="4">
        <v>5399</v>
      </c>
      <c r="G1145" s="2" t="s">
        <v>756</v>
      </c>
      <c r="H1145" s="2" t="s">
        <v>34</v>
      </c>
      <c r="I1145" s="2" t="s">
        <v>3863</v>
      </c>
      <c r="J1145" s="2" t="s">
        <v>3864</v>
      </c>
      <c r="K1145" s="2" t="s">
        <v>756</v>
      </c>
      <c r="L1145" s="2" t="s">
        <v>34</v>
      </c>
      <c r="M1145" s="2"/>
      <c r="N1145" s="2"/>
      <c r="O1145" s="2"/>
      <c r="P1145" s="2" t="s">
        <v>3865</v>
      </c>
      <c r="Q1145" s="6">
        <v>100</v>
      </c>
      <c r="R1145" s="6">
        <v>36.21</v>
      </c>
      <c r="S1145" s="5">
        <v>129.1</v>
      </c>
      <c r="T1145" s="7">
        <v>277.339</v>
      </c>
      <c r="U1145" s="5">
        <v>17.399999999999999</v>
      </c>
      <c r="V1145" s="6">
        <v>2.54</v>
      </c>
      <c r="W1145" s="6">
        <v>29.25</v>
      </c>
      <c r="X1145" s="6">
        <v>32.25</v>
      </c>
      <c r="Y1145" s="5">
        <v>38.5</v>
      </c>
      <c r="Z1145" s="4">
        <v>37</v>
      </c>
      <c r="AA1145" s="6">
        <v>46.01</v>
      </c>
      <c r="AB1145" s="7">
        <v>9.4510000000000005</v>
      </c>
      <c r="AC1145" s="6">
        <v>210.34</v>
      </c>
    </row>
    <row r="1146" spans="1:29" ht="143" x14ac:dyDescent="0.15">
      <c r="A1146" s="3">
        <f>DATE(1993,6,17)</f>
        <v>34137</v>
      </c>
      <c r="B1146" s="3">
        <f>DATE(1993,7,15)</f>
        <v>34165</v>
      </c>
      <c r="C1146" s="2" t="s">
        <v>95</v>
      </c>
      <c r="D1146" s="2" t="s">
        <v>1413</v>
      </c>
      <c r="E1146" s="2" t="s">
        <v>612</v>
      </c>
      <c r="F1146" s="4">
        <v>1311</v>
      </c>
      <c r="G1146" s="2" t="s">
        <v>148</v>
      </c>
      <c r="H1146" s="2" t="s">
        <v>34</v>
      </c>
      <c r="I1146" s="2" t="s">
        <v>3866</v>
      </c>
      <c r="J1146" s="2" t="s">
        <v>612</v>
      </c>
      <c r="K1146" s="2" t="s">
        <v>148</v>
      </c>
      <c r="L1146" s="2" t="s">
        <v>34</v>
      </c>
      <c r="M1146" s="12">
        <v>1486.1379999999999</v>
      </c>
      <c r="N1146" s="4">
        <v>30</v>
      </c>
      <c r="O1146" s="6">
        <v>28.25</v>
      </c>
      <c r="P1146" s="2" t="s">
        <v>3867</v>
      </c>
      <c r="Q1146" s="6">
        <v>61.76</v>
      </c>
      <c r="R1146" s="6">
        <v>14</v>
      </c>
      <c r="S1146" s="5">
        <v>-0.1</v>
      </c>
      <c r="T1146" s="7">
        <v>18.684999999999999</v>
      </c>
      <c r="U1146" s="5">
        <v>12</v>
      </c>
      <c r="V1146" s="6">
        <v>-0.02</v>
      </c>
      <c r="W1146" s="6">
        <v>11.75</v>
      </c>
      <c r="X1146" s="7">
        <v>11.875</v>
      </c>
      <c r="Y1146" s="5">
        <v>13.5</v>
      </c>
      <c r="Z1146" s="6">
        <v>14.25</v>
      </c>
      <c r="AA1146" s="6">
        <v>6.36</v>
      </c>
      <c r="AB1146" s="7">
        <v>94.828999999999994</v>
      </c>
      <c r="AC1146" s="6">
        <v>26.13</v>
      </c>
    </row>
    <row r="1147" spans="1:29" ht="156" x14ac:dyDescent="0.15">
      <c r="A1147" s="3">
        <f>DATE(1993,6,17)</f>
        <v>34137</v>
      </c>
      <c r="B1147" s="3">
        <f>DATE(1993,11,12)</f>
        <v>34285</v>
      </c>
      <c r="C1147" s="2" t="s">
        <v>95</v>
      </c>
      <c r="D1147" s="2" t="s">
        <v>1413</v>
      </c>
      <c r="E1147" s="2" t="s">
        <v>612</v>
      </c>
      <c r="F1147" s="4">
        <v>1311</v>
      </c>
      <c r="G1147" s="2" t="s">
        <v>148</v>
      </c>
      <c r="H1147" s="2" t="s">
        <v>34</v>
      </c>
      <c r="I1147" s="2" t="s">
        <v>3866</v>
      </c>
      <c r="J1147" s="2" t="s">
        <v>612</v>
      </c>
      <c r="K1147" s="2" t="s">
        <v>148</v>
      </c>
      <c r="L1147" s="2" t="s">
        <v>34</v>
      </c>
      <c r="M1147" s="12">
        <v>1486.1379999999999</v>
      </c>
      <c r="N1147" s="4">
        <v>30</v>
      </c>
      <c r="O1147" s="6">
        <v>28.25</v>
      </c>
      <c r="P1147" s="2" t="s">
        <v>3868</v>
      </c>
      <c r="Q1147" s="6">
        <v>38.24</v>
      </c>
      <c r="R1147" s="6">
        <v>15</v>
      </c>
      <c r="S1147" s="5">
        <v>-0.1</v>
      </c>
      <c r="T1147" s="7">
        <v>18.684999999999999</v>
      </c>
      <c r="U1147" s="5">
        <v>12</v>
      </c>
      <c r="V1147" s="6">
        <v>-0.02</v>
      </c>
      <c r="W1147" s="6">
        <v>11.75</v>
      </c>
      <c r="X1147" s="7">
        <v>11.875</v>
      </c>
      <c r="Y1147" s="5">
        <v>13.5</v>
      </c>
      <c r="Z1147" s="6">
        <v>14.25</v>
      </c>
      <c r="AA1147" s="6">
        <v>6.36</v>
      </c>
      <c r="AB1147" s="7">
        <v>99.486000000000004</v>
      </c>
      <c r="AC1147" s="6">
        <v>26.13</v>
      </c>
    </row>
    <row r="1148" spans="1:29" ht="156" x14ac:dyDescent="0.15">
      <c r="A1148" s="3">
        <f>DATE(1993,6,17)</f>
        <v>34137</v>
      </c>
      <c r="B1148" s="3">
        <f>DATE(1993,12,15)</f>
        <v>34318</v>
      </c>
      <c r="C1148" s="2" t="s">
        <v>95</v>
      </c>
      <c r="D1148" s="2" t="s">
        <v>3869</v>
      </c>
      <c r="E1148" s="2" t="s">
        <v>3870</v>
      </c>
      <c r="F1148" s="4">
        <v>7372</v>
      </c>
      <c r="G1148" s="2" t="s">
        <v>551</v>
      </c>
      <c r="H1148" s="2" t="s">
        <v>34</v>
      </c>
      <c r="I1148" s="2" t="s">
        <v>3833</v>
      </c>
      <c r="J1148" s="2" t="s">
        <v>3834</v>
      </c>
      <c r="K1148" s="2" t="s">
        <v>551</v>
      </c>
      <c r="L1148" s="2" t="s">
        <v>34</v>
      </c>
      <c r="M1148" s="7">
        <v>47.076000000000001</v>
      </c>
      <c r="N1148" s="4">
        <v>6</v>
      </c>
      <c r="O1148" s="6">
        <v>6.75</v>
      </c>
      <c r="P1148" s="2" t="s">
        <v>3871</v>
      </c>
      <c r="Q1148" s="6">
        <v>100</v>
      </c>
      <c r="R1148" s="6">
        <v>3</v>
      </c>
      <c r="S1148" s="5">
        <v>-5.3</v>
      </c>
      <c r="T1148" s="7">
        <v>2.3410000000000002</v>
      </c>
      <c r="U1148" s="5">
        <v>9.9</v>
      </c>
      <c r="V1148" s="6">
        <v>-3.9</v>
      </c>
      <c r="W1148" s="6">
        <v>5.25</v>
      </c>
      <c r="X1148" s="4">
        <v>6</v>
      </c>
      <c r="Y1148" s="6">
        <v>5.75</v>
      </c>
      <c r="Z1148" s="6">
        <v>5.25</v>
      </c>
      <c r="AA1148" s="6">
        <v>1.01</v>
      </c>
      <c r="AB1148" s="2" t="s">
        <v>86</v>
      </c>
      <c r="AC1148" s="2"/>
    </row>
    <row r="1149" spans="1:29" ht="143" x14ac:dyDescent="0.15">
      <c r="A1149" s="3">
        <f>DATE(1993,6,17)</f>
        <v>34137</v>
      </c>
      <c r="B1149" s="3">
        <f>DATE(1993,11,10)</f>
        <v>34283</v>
      </c>
      <c r="C1149" s="2" t="s">
        <v>95</v>
      </c>
      <c r="D1149" s="2" t="s">
        <v>3872</v>
      </c>
      <c r="E1149" s="2" t="s">
        <v>3873</v>
      </c>
      <c r="F1149" s="4">
        <v>3357</v>
      </c>
      <c r="G1149" s="2" t="s">
        <v>163</v>
      </c>
      <c r="H1149" s="2" t="s">
        <v>34</v>
      </c>
      <c r="I1149" s="2" t="s">
        <v>3874</v>
      </c>
      <c r="J1149" s="2" t="s">
        <v>3875</v>
      </c>
      <c r="K1149" s="2" t="s">
        <v>163</v>
      </c>
      <c r="L1149" s="2" t="s">
        <v>34</v>
      </c>
      <c r="M1149" s="7">
        <v>126.376</v>
      </c>
      <c r="N1149" s="7">
        <v>11.625</v>
      </c>
      <c r="O1149" s="4">
        <v>11</v>
      </c>
      <c r="P1149" s="2" t="s">
        <v>3876</v>
      </c>
      <c r="Q1149" s="6">
        <v>100</v>
      </c>
      <c r="R1149" s="6">
        <v>6.71</v>
      </c>
      <c r="S1149" s="5">
        <v>4.4000000000000004</v>
      </c>
      <c r="T1149" s="2"/>
      <c r="U1149" s="5">
        <v>2.2000000000000002</v>
      </c>
      <c r="V1149" s="6">
        <v>0.5</v>
      </c>
      <c r="W1149" s="6">
        <v>4.75</v>
      </c>
      <c r="X1149" s="6">
        <v>4.75</v>
      </c>
      <c r="Y1149" s="6">
        <v>4.75</v>
      </c>
      <c r="Z1149" s="5">
        <v>6.5</v>
      </c>
      <c r="AA1149" s="6">
        <v>8.7100000000000009</v>
      </c>
      <c r="AB1149" s="7">
        <v>10.798999999999999</v>
      </c>
      <c r="AC1149" s="6">
        <v>3.39</v>
      </c>
    </row>
    <row r="1150" spans="1:29" ht="65" x14ac:dyDescent="0.15">
      <c r="A1150" s="3">
        <f>DATE(1993,6,18)</f>
        <v>34138</v>
      </c>
      <c r="B1150" s="3">
        <f>DATE(1993,9,23)</f>
        <v>34235</v>
      </c>
      <c r="C1150" s="2" t="s">
        <v>95</v>
      </c>
      <c r="D1150" s="2" t="s">
        <v>3877</v>
      </c>
      <c r="E1150" s="2" t="s">
        <v>32</v>
      </c>
      <c r="F1150" s="4">
        <v>6035</v>
      </c>
      <c r="G1150" s="2" t="s">
        <v>33</v>
      </c>
      <c r="H1150" s="2" t="s">
        <v>34</v>
      </c>
      <c r="I1150" s="2" t="s">
        <v>3878</v>
      </c>
      <c r="J1150" s="2" t="s">
        <v>3780</v>
      </c>
      <c r="K1150" s="2" t="s">
        <v>37</v>
      </c>
      <c r="L1150" s="2" t="s">
        <v>34</v>
      </c>
      <c r="M1150" s="2"/>
      <c r="N1150" s="5">
        <v>45.5</v>
      </c>
      <c r="O1150" s="4">
        <v>46</v>
      </c>
      <c r="P1150" s="2" t="s">
        <v>3879</v>
      </c>
      <c r="Q1150" s="6">
        <v>100</v>
      </c>
      <c r="R1150" s="6">
        <v>2.1800000000000002</v>
      </c>
      <c r="S1150" s="5">
        <v>6.1</v>
      </c>
      <c r="T1150" s="2"/>
      <c r="U1150" s="5">
        <v>24.2</v>
      </c>
      <c r="V1150" s="2"/>
      <c r="W1150" s="5">
        <v>1.5</v>
      </c>
      <c r="X1150" s="6">
        <v>1.31</v>
      </c>
      <c r="Y1150" s="6">
        <v>1.68</v>
      </c>
      <c r="Z1150" s="6">
        <v>2.12</v>
      </c>
      <c r="AA1150" s="6">
        <v>1.74</v>
      </c>
      <c r="AB1150" s="7">
        <v>46.844000000000001</v>
      </c>
      <c r="AC1150" s="2"/>
    </row>
    <row r="1151" spans="1:29" ht="156" x14ac:dyDescent="0.15">
      <c r="A1151" s="3">
        <f>DATE(1993,6,21)</f>
        <v>34141</v>
      </c>
      <c r="B1151" s="2"/>
      <c r="C1151" s="2" t="s">
        <v>30</v>
      </c>
      <c r="D1151" s="2" t="s">
        <v>1716</v>
      </c>
      <c r="E1151" s="2" t="s">
        <v>1717</v>
      </c>
      <c r="F1151" s="4">
        <v>8071</v>
      </c>
      <c r="G1151" s="2" t="s">
        <v>454</v>
      </c>
      <c r="H1151" s="2" t="s">
        <v>34</v>
      </c>
      <c r="I1151" s="2" t="s">
        <v>3880</v>
      </c>
      <c r="J1151" s="2" t="s">
        <v>3881</v>
      </c>
      <c r="K1151" s="2" t="s">
        <v>454</v>
      </c>
      <c r="L1151" s="2" t="s">
        <v>34</v>
      </c>
      <c r="M1151" s="12">
        <v>1574.425</v>
      </c>
      <c r="N1151" s="5">
        <v>17.5</v>
      </c>
      <c r="O1151" s="7">
        <v>17.875</v>
      </c>
      <c r="P1151" s="2" t="s">
        <v>3882</v>
      </c>
      <c r="Q1151" s="2"/>
      <c r="R1151" s="6">
        <v>16</v>
      </c>
      <c r="S1151" s="5">
        <v>18</v>
      </c>
      <c r="T1151" s="7">
        <v>56.844000000000001</v>
      </c>
      <c r="U1151" s="5">
        <v>8</v>
      </c>
      <c r="V1151" s="6">
        <v>1.1399999999999999</v>
      </c>
      <c r="W1151" s="7">
        <v>12.625</v>
      </c>
      <c r="X1151" s="7">
        <v>13.875</v>
      </c>
      <c r="Y1151" s="6">
        <v>15.75</v>
      </c>
      <c r="Z1151" s="7">
        <v>15.875</v>
      </c>
      <c r="AA1151" s="6">
        <v>16.149999999999999</v>
      </c>
      <c r="AB1151" s="7">
        <v>9.4420000000000002</v>
      </c>
      <c r="AC1151" s="5">
        <v>33.4</v>
      </c>
    </row>
    <row r="1152" spans="1:29" ht="78" x14ac:dyDescent="0.15">
      <c r="A1152" s="3">
        <f>DATE(1993,6,21)</f>
        <v>34141</v>
      </c>
      <c r="B1152" s="3">
        <f>DATE(1993,6,21)</f>
        <v>34141</v>
      </c>
      <c r="C1152" s="2" t="s">
        <v>95</v>
      </c>
      <c r="D1152" s="2" t="s">
        <v>3883</v>
      </c>
      <c r="E1152" s="2" t="s">
        <v>3884</v>
      </c>
      <c r="F1152" s="4">
        <v>4512</v>
      </c>
      <c r="G1152" s="2" t="s">
        <v>59</v>
      </c>
      <c r="H1152" s="2" t="s">
        <v>34</v>
      </c>
      <c r="I1152" s="2" t="s">
        <v>3885</v>
      </c>
      <c r="J1152" s="2" t="s">
        <v>3886</v>
      </c>
      <c r="K1152" s="2" t="s">
        <v>59</v>
      </c>
      <c r="L1152" s="2" t="s">
        <v>34</v>
      </c>
      <c r="M1152" s="2"/>
      <c r="N1152" s="2"/>
      <c r="O1152" s="2"/>
      <c r="P1152" s="2" t="s">
        <v>3887</v>
      </c>
      <c r="Q1152" s="6">
        <v>57.26</v>
      </c>
      <c r="R1152" s="2"/>
      <c r="S1152" s="5">
        <v>-1.9</v>
      </c>
      <c r="T1152" s="7">
        <v>15.407</v>
      </c>
      <c r="U1152" s="8">
        <v>3433.6</v>
      </c>
      <c r="V1152" s="6">
        <v>-0.4</v>
      </c>
      <c r="W1152" s="6">
        <v>2.25</v>
      </c>
      <c r="X1152" s="6">
        <v>2.25</v>
      </c>
      <c r="Y1152" s="6">
        <v>1.75</v>
      </c>
      <c r="Z1152" s="6">
        <v>1.75</v>
      </c>
      <c r="AA1152" s="6">
        <v>4.72</v>
      </c>
      <c r="AB1152" s="2" t="s">
        <v>86</v>
      </c>
      <c r="AC1152" s="2"/>
    </row>
    <row r="1153" spans="1:29" ht="65" x14ac:dyDescent="0.15">
      <c r="A1153" s="3">
        <f>DATE(1993,6,22)</f>
        <v>34142</v>
      </c>
      <c r="B1153" s="2"/>
      <c r="C1153" s="2" t="s">
        <v>30</v>
      </c>
      <c r="D1153" s="2" t="s">
        <v>2540</v>
      </c>
      <c r="E1153" s="2" t="s">
        <v>36</v>
      </c>
      <c r="F1153" s="4">
        <v>6021</v>
      </c>
      <c r="G1153" s="2" t="s">
        <v>37</v>
      </c>
      <c r="H1153" s="2" t="s">
        <v>34</v>
      </c>
      <c r="I1153" s="2" t="s">
        <v>2694</v>
      </c>
      <c r="J1153" s="2" t="s">
        <v>36</v>
      </c>
      <c r="K1153" s="2" t="s">
        <v>37</v>
      </c>
      <c r="L1153" s="2" t="s">
        <v>34</v>
      </c>
      <c r="M1153" s="2"/>
      <c r="N1153" s="7">
        <v>39.875</v>
      </c>
      <c r="O1153" s="7">
        <v>40.125</v>
      </c>
      <c r="P1153" s="2" t="s">
        <v>3888</v>
      </c>
      <c r="Q1153" s="2"/>
      <c r="R1153" s="2"/>
      <c r="S1153" s="5">
        <v>3.6</v>
      </c>
      <c r="T1153" s="6">
        <v>8.36</v>
      </c>
      <c r="U1153" s="5">
        <v>7.8</v>
      </c>
      <c r="V1153" s="7">
        <v>0.38500000000000001</v>
      </c>
      <c r="W1153" s="5">
        <v>11.5</v>
      </c>
      <c r="X1153" s="5">
        <v>12.5</v>
      </c>
      <c r="Y1153" s="5">
        <v>15.5</v>
      </c>
      <c r="Z1153" s="4">
        <v>16</v>
      </c>
      <c r="AA1153" s="2"/>
      <c r="AB1153" s="2" t="s">
        <v>47</v>
      </c>
      <c r="AC1153" s="2"/>
    </row>
    <row r="1154" spans="1:29" ht="65" x14ac:dyDescent="0.15">
      <c r="A1154" s="3">
        <f>DATE(1993,6,23)</f>
        <v>34143</v>
      </c>
      <c r="B1154" s="3">
        <f>DATE(1994,3,21)</f>
        <v>34414</v>
      </c>
      <c r="C1154" s="2" t="s">
        <v>95</v>
      </c>
      <c r="D1154" s="2" t="s">
        <v>3889</v>
      </c>
      <c r="E1154" s="2" t="s">
        <v>3890</v>
      </c>
      <c r="F1154" s="4">
        <v>4841</v>
      </c>
      <c r="G1154" s="2" t="s">
        <v>45</v>
      </c>
      <c r="H1154" s="2" t="s">
        <v>34</v>
      </c>
      <c r="I1154" s="2" t="s">
        <v>3891</v>
      </c>
      <c r="J1154" s="2" t="s">
        <v>3892</v>
      </c>
      <c r="K1154" s="2" t="s">
        <v>45</v>
      </c>
      <c r="L1154" s="2" t="s">
        <v>34</v>
      </c>
      <c r="M1154" s="2"/>
      <c r="N1154" s="7">
        <v>21.125</v>
      </c>
      <c r="O1154" s="7">
        <v>21.625</v>
      </c>
      <c r="P1154" s="2" t="s">
        <v>3893</v>
      </c>
      <c r="Q1154" s="6">
        <v>8</v>
      </c>
      <c r="R1154" s="6">
        <v>95</v>
      </c>
      <c r="S1154" s="5">
        <v>10</v>
      </c>
      <c r="T1154" s="7">
        <v>26.631</v>
      </c>
      <c r="U1154" s="5">
        <v>7.6</v>
      </c>
      <c r="V1154" s="6">
        <v>1.1000000000000001</v>
      </c>
      <c r="W1154" s="4">
        <v>82</v>
      </c>
      <c r="X1154" s="4">
        <v>70</v>
      </c>
      <c r="Y1154" s="4">
        <v>88</v>
      </c>
      <c r="Z1154" s="4">
        <v>102</v>
      </c>
      <c r="AA1154" s="6">
        <v>1.88</v>
      </c>
      <c r="AB1154" s="7">
        <v>13.939</v>
      </c>
      <c r="AC1154" s="6">
        <v>679.82</v>
      </c>
    </row>
    <row r="1155" spans="1:29" ht="156" x14ac:dyDescent="0.15">
      <c r="A1155" s="3">
        <f>DATE(1993,6,23)</f>
        <v>34143</v>
      </c>
      <c r="B1155" s="3">
        <f>DATE(1993,9,8)</f>
        <v>34220</v>
      </c>
      <c r="C1155" s="2" t="s">
        <v>95</v>
      </c>
      <c r="D1155" s="2" t="s">
        <v>3894</v>
      </c>
      <c r="E1155" s="2" t="s">
        <v>3895</v>
      </c>
      <c r="F1155" s="4">
        <v>3841</v>
      </c>
      <c r="G1155" s="2" t="s">
        <v>226</v>
      </c>
      <c r="H1155" s="2" t="s">
        <v>34</v>
      </c>
      <c r="I1155" s="2" t="s">
        <v>3896</v>
      </c>
      <c r="J1155" s="2" t="s">
        <v>3897</v>
      </c>
      <c r="K1155" s="2" t="s">
        <v>163</v>
      </c>
      <c r="L1155" s="2" t="s">
        <v>34</v>
      </c>
      <c r="M1155" s="12">
        <v>5836.7610000000004</v>
      </c>
      <c r="N1155" s="7">
        <v>34.375</v>
      </c>
      <c r="O1155" s="7">
        <v>34.875</v>
      </c>
      <c r="P1155" s="2" t="s">
        <v>3898</v>
      </c>
      <c r="Q1155" s="6">
        <v>100</v>
      </c>
      <c r="R1155" s="6">
        <v>24.36</v>
      </c>
      <c r="S1155" s="5">
        <v>6.1</v>
      </c>
      <c r="T1155" s="7">
        <v>14.218</v>
      </c>
      <c r="U1155" s="5">
        <v>6.9</v>
      </c>
      <c r="V1155" s="6">
        <v>0.85</v>
      </c>
      <c r="W1155" s="4">
        <v>18</v>
      </c>
      <c r="X1155" s="6">
        <v>17.75</v>
      </c>
      <c r="Y1155" s="7">
        <v>23.625</v>
      </c>
      <c r="Z1155" s="7">
        <v>23.625</v>
      </c>
      <c r="AA1155" s="6">
        <v>6.87</v>
      </c>
      <c r="AB1155" s="7">
        <v>16.888000000000002</v>
      </c>
      <c r="AC1155" s="5">
        <v>133.1</v>
      </c>
    </row>
    <row r="1156" spans="1:29" ht="156" x14ac:dyDescent="0.15">
      <c r="A1156" s="3">
        <f>DATE(1993,6,24)</f>
        <v>34144</v>
      </c>
      <c r="B1156" s="2"/>
      <c r="C1156" s="2" t="s">
        <v>30</v>
      </c>
      <c r="D1156" s="2" t="s">
        <v>3899</v>
      </c>
      <c r="E1156" s="2" t="s">
        <v>3900</v>
      </c>
      <c r="F1156" s="4">
        <v>5812</v>
      </c>
      <c r="G1156" s="2" t="s">
        <v>230</v>
      </c>
      <c r="H1156" s="2" t="s">
        <v>34</v>
      </c>
      <c r="I1156" s="2" t="s">
        <v>3901</v>
      </c>
      <c r="J1156" s="2" t="s">
        <v>52</v>
      </c>
      <c r="K1156" s="2" t="s">
        <v>53</v>
      </c>
      <c r="L1156" s="2" t="s">
        <v>34</v>
      </c>
      <c r="M1156" s="2"/>
      <c r="N1156" s="2"/>
      <c r="O1156" s="2"/>
      <c r="P1156" s="2" t="s">
        <v>3902</v>
      </c>
      <c r="Q1156" s="2"/>
      <c r="R1156" s="6">
        <v>2.46</v>
      </c>
      <c r="S1156" s="5">
        <v>-3</v>
      </c>
      <c r="T1156" s="7">
        <v>33.313000000000002</v>
      </c>
      <c r="U1156" s="5">
        <v>40</v>
      </c>
      <c r="V1156" s="9">
        <v>-69.743899999999996</v>
      </c>
      <c r="W1156" s="6">
        <v>1.25</v>
      </c>
      <c r="X1156" s="6">
        <v>1.37</v>
      </c>
      <c r="Y1156" s="5">
        <v>1.5</v>
      </c>
      <c r="Z1156" s="6">
        <v>1.62</v>
      </c>
      <c r="AA1156" s="6">
        <v>11.33</v>
      </c>
      <c r="AB1156" s="7">
        <v>9.81</v>
      </c>
      <c r="AC1156" s="2"/>
    </row>
    <row r="1157" spans="1:29" ht="52" x14ac:dyDescent="0.15">
      <c r="A1157" s="3">
        <f>DATE(1993,6,24)</f>
        <v>34144</v>
      </c>
      <c r="B1157" s="2"/>
      <c r="C1157" s="2" t="s">
        <v>87</v>
      </c>
      <c r="D1157" s="2" t="s">
        <v>3903</v>
      </c>
      <c r="E1157" s="2" t="s">
        <v>229</v>
      </c>
      <c r="F1157" s="4">
        <v>5812</v>
      </c>
      <c r="G1157" s="2" t="s">
        <v>230</v>
      </c>
      <c r="H1157" s="2" t="s">
        <v>34</v>
      </c>
      <c r="I1157" s="2" t="s">
        <v>3904</v>
      </c>
      <c r="J1157" s="2" t="s">
        <v>1032</v>
      </c>
      <c r="K1157" s="2" t="s">
        <v>53</v>
      </c>
      <c r="L1157" s="2" t="s">
        <v>34</v>
      </c>
      <c r="M1157" s="2"/>
      <c r="N1157" s="2"/>
      <c r="O1157" s="2"/>
      <c r="P1157" s="2" t="s">
        <v>3905</v>
      </c>
      <c r="Q1157" s="2"/>
      <c r="R1157" s="2"/>
      <c r="S1157" s="2"/>
      <c r="T1157" s="2"/>
      <c r="U1157" s="5">
        <v>0</v>
      </c>
      <c r="V1157" s="2"/>
      <c r="W1157" s="7">
        <v>1.375</v>
      </c>
      <c r="X1157" s="7">
        <v>1.375</v>
      </c>
      <c r="Y1157" s="7">
        <v>1.375</v>
      </c>
      <c r="Z1157" s="7">
        <v>1.375</v>
      </c>
      <c r="AA1157" s="6">
        <v>0.38</v>
      </c>
      <c r="AB1157" s="2" t="s">
        <v>86</v>
      </c>
      <c r="AC1157" s="2"/>
    </row>
    <row r="1158" spans="1:29" ht="156" x14ac:dyDescent="0.15">
      <c r="A1158" s="3">
        <f>DATE(1993,6,28)</f>
        <v>34148</v>
      </c>
      <c r="B1158" s="3">
        <f>DATE(1993,8,5)</f>
        <v>34186</v>
      </c>
      <c r="C1158" s="2" t="s">
        <v>95</v>
      </c>
      <c r="D1158" s="2" t="s">
        <v>1716</v>
      </c>
      <c r="E1158" s="2" t="s">
        <v>1717</v>
      </c>
      <c r="F1158" s="4">
        <v>8071</v>
      </c>
      <c r="G1158" s="2" t="s">
        <v>454</v>
      </c>
      <c r="H1158" s="2" t="s">
        <v>34</v>
      </c>
      <c r="I1158" s="2" t="s">
        <v>3896</v>
      </c>
      <c r="J1158" s="2" t="s">
        <v>3897</v>
      </c>
      <c r="K1158" s="2" t="s">
        <v>163</v>
      </c>
      <c r="L1158" s="2" t="s">
        <v>34</v>
      </c>
      <c r="M1158" s="2"/>
      <c r="N1158" s="6">
        <v>34.75</v>
      </c>
      <c r="O1158" s="4">
        <v>34</v>
      </c>
      <c r="P1158" s="2" t="s">
        <v>3906</v>
      </c>
      <c r="Q1158" s="6">
        <v>100</v>
      </c>
      <c r="R1158" s="6">
        <v>23</v>
      </c>
      <c r="S1158" s="5">
        <v>14.5</v>
      </c>
      <c r="T1158" s="7">
        <v>53.317999999999998</v>
      </c>
      <c r="U1158" s="5">
        <v>8</v>
      </c>
      <c r="V1158" s="6">
        <v>0.91</v>
      </c>
      <c r="W1158" s="7">
        <v>12.625</v>
      </c>
      <c r="X1158" s="7">
        <v>13.875</v>
      </c>
      <c r="Y1158" s="6">
        <v>15.75</v>
      </c>
      <c r="Z1158" s="7">
        <v>15.875</v>
      </c>
      <c r="AA1158" s="6">
        <v>16.45</v>
      </c>
      <c r="AB1158" s="7">
        <v>13.815</v>
      </c>
      <c r="AC1158" s="5">
        <v>133.1</v>
      </c>
    </row>
    <row r="1159" spans="1:29" ht="65" x14ac:dyDescent="0.15">
      <c r="A1159" s="3">
        <f>DATE(1993,6,28)</f>
        <v>34148</v>
      </c>
      <c r="B1159" s="3">
        <f>DATE(1994,4,14)</f>
        <v>34438</v>
      </c>
      <c r="C1159" s="2" t="s">
        <v>95</v>
      </c>
      <c r="D1159" s="2" t="s">
        <v>3907</v>
      </c>
      <c r="E1159" s="2" t="s">
        <v>3908</v>
      </c>
      <c r="F1159" s="4">
        <v>3241</v>
      </c>
      <c r="G1159" s="2" t="s">
        <v>237</v>
      </c>
      <c r="H1159" s="2" t="s">
        <v>34</v>
      </c>
      <c r="I1159" s="2" t="s">
        <v>1526</v>
      </c>
      <c r="J1159" s="2" t="s">
        <v>302</v>
      </c>
      <c r="K1159" s="2" t="s">
        <v>53</v>
      </c>
      <c r="L1159" s="2" t="s">
        <v>34</v>
      </c>
      <c r="M1159" s="2"/>
      <c r="N1159" s="2"/>
      <c r="O1159" s="2"/>
      <c r="P1159" s="2" t="s">
        <v>3909</v>
      </c>
      <c r="Q1159" s="6">
        <v>85</v>
      </c>
      <c r="R1159" s="2"/>
      <c r="S1159" s="5">
        <v>-45.4</v>
      </c>
      <c r="T1159" s="7">
        <v>0.84099999999999997</v>
      </c>
      <c r="U1159" s="5">
        <v>1.6</v>
      </c>
      <c r="V1159" s="7">
        <v>-1.5149999999999999</v>
      </c>
      <c r="W1159" s="7">
        <v>1.875</v>
      </c>
      <c r="X1159" s="7">
        <v>1.875</v>
      </c>
      <c r="Y1159" s="7">
        <v>1.875</v>
      </c>
      <c r="Z1159" s="7">
        <v>1.875</v>
      </c>
      <c r="AA1159" s="6">
        <v>12</v>
      </c>
      <c r="AB1159" s="2" t="s">
        <v>86</v>
      </c>
      <c r="AC1159" s="2"/>
    </row>
    <row r="1160" spans="1:29" ht="39" x14ac:dyDescent="0.15">
      <c r="A1160" s="3">
        <f>DATE(1993,6,30)</f>
        <v>34150</v>
      </c>
      <c r="B1160" s="2"/>
      <c r="C1160" s="2" t="s">
        <v>30</v>
      </c>
      <c r="D1160" s="2" t="s">
        <v>3910</v>
      </c>
      <c r="E1160" s="2" t="s">
        <v>3911</v>
      </c>
      <c r="F1160" s="4">
        <v>4832</v>
      </c>
      <c r="G1160" s="2" t="s">
        <v>45</v>
      </c>
      <c r="H1160" s="2" t="s">
        <v>34</v>
      </c>
      <c r="I1160" s="2" t="s">
        <v>3912</v>
      </c>
      <c r="J1160" s="2" t="s">
        <v>3913</v>
      </c>
      <c r="K1160" s="2" t="s">
        <v>45</v>
      </c>
      <c r="L1160" s="2" t="s">
        <v>34</v>
      </c>
      <c r="M1160" s="2"/>
      <c r="N1160" s="6">
        <v>5.75</v>
      </c>
      <c r="O1160" s="6">
        <v>5.71</v>
      </c>
      <c r="P1160" s="2" t="s">
        <v>3914</v>
      </c>
      <c r="Q1160" s="2"/>
      <c r="R1160" s="2"/>
      <c r="S1160" s="2"/>
      <c r="T1160" s="2"/>
      <c r="U1160" s="5">
        <v>0.7</v>
      </c>
      <c r="V1160" s="2"/>
      <c r="W1160" s="4">
        <v>5</v>
      </c>
      <c r="X1160" s="4">
        <v>5</v>
      </c>
      <c r="Y1160" s="6">
        <v>5.37</v>
      </c>
      <c r="Z1160" s="6">
        <v>4.87</v>
      </c>
      <c r="AA1160" s="2"/>
      <c r="AB1160" s="2" t="s">
        <v>47</v>
      </c>
      <c r="AC1160" s="2"/>
    </row>
    <row r="1161" spans="1:29" ht="130" x14ac:dyDescent="0.15">
      <c r="A1161" s="3">
        <f>DATE(1993,6,30)</f>
        <v>34150</v>
      </c>
      <c r="B1161" s="3">
        <f>DATE(1994,2,10)</f>
        <v>34375</v>
      </c>
      <c r="C1161" s="2" t="s">
        <v>95</v>
      </c>
      <c r="D1161" s="2" t="s">
        <v>3915</v>
      </c>
      <c r="E1161" s="2" t="s">
        <v>32</v>
      </c>
      <c r="F1161" s="4">
        <v>6036</v>
      </c>
      <c r="G1161" s="2" t="s">
        <v>33</v>
      </c>
      <c r="H1161" s="2" t="s">
        <v>34</v>
      </c>
      <c r="I1161" s="2" t="s">
        <v>2995</v>
      </c>
      <c r="J1161" s="2" t="s">
        <v>159</v>
      </c>
      <c r="K1161" s="2" t="s">
        <v>37</v>
      </c>
      <c r="L1161" s="2" t="s">
        <v>34</v>
      </c>
      <c r="M1161" s="8">
        <v>1398.4</v>
      </c>
      <c r="N1161" s="6">
        <v>32.75</v>
      </c>
      <c r="O1161" s="6">
        <v>32.25</v>
      </c>
      <c r="P1161" s="2" t="s">
        <v>3916</v>
      </c>
      <c r="Q1161" s="6">
        <v>100</v>
      </c>
      <c r="R1161" s="6">
        <v>16.11</v>
      </c>
      <c r="S1161" s="5">
        <v>1</v>
      </c>
      <c r="T1161" s="2"/>
      <c r="U1161" s="2"/>
      <c r="V1161" s="6">
        <v>0.65</v>
      </c>
      <c r="W1161" s="5">
        <v>9.5</v>
      </c>
      <c r="X1161" s="6">
        <v>10.25</v>
      </c>
      <c r="Y1161" s="5">
        <v>10.5</v>
      </c>
      <c r="Z1161" s="4">
        <v>13</v>
      </c>
      <c r="AA1161" s="6">
        <v>1.7</v>
      </c>
      <c r="AB1161" s="2" t="s">
        <v>47</v>
      </c>
      <c r="AC1161" s="2"/>
    </row>
    <row r="1162" spans="1:29" ht="143" x14ac:dyDescent="0.15">
      <c r="A1162" s="3">
        <f>DATE(1993,6,30)</f>
        <v>34150</v>
      </c>
      <c r="B1162" s="3">
        <f>DATE(1993,10,1)</f>
        <v>34243</v>
      </c>
      <c r="C1162" s="2" t="s">
        <v>95</v>
      </c>
      <c r="D1162" s="2" t="s">
        <v>3917</v>
      </c>
      <c r="E1162" s="2" t="s">
        <v>3918</v>
      </c>
      <c r="F1162" s="4">
        <v>2821</v>
      </c>
      <c r="G1162" s="2" t="s">
        <v>98</v>
      </c>
      <c r="H1162" s="2" t="s">
        <v>34</v>
      </c>
      <c r="I1162" s="2" t="s">
        <v>3919</v>
      </c>
      <c r="J1162" s="2" t="s">
        <v>3920</v>
      </c>
      <c r="K1162" s="2" t="s">
        <v>237</v>
      </c>
      <c r="L1162" s="2" t="s">
        <v>303</v>
      </c>
      <c r="M1162" s="2"/>
      <c r="N1162" s="2"/>
      <c r="O1162" s="2"/>
      <c r="P1162" s="2" t="s">
        <v>3921</v>
      </c>
      <c r="Q1162" s="6">
        <v>100</v>
      </c>
      <c r="R1162" s="6">
        <v>20</v>
      </c>
      <c r="S1162" s="5">
        <v>-118.4</v>
      </c>
      <c r="T1162" s="5">
        <v>252.1</v>
      </c>
      <c r="U1162" s="5">
        <v>-15.6</v>
      </c>
      <c r="V1162" s="6">
        <v>-3.98</v>
      </c>
      <c r="W1162" s="7">
        <v>12.875</v>
      </c>
      <c r="X1162" s="5">
        <v>12.5</v>
      </c>
      <c r="Y1162" s="4">
        <v>19</v>
      </c>
      <c r="Z1162" s="7">
        <v>19.375</v>
      </c>
      <c r="AA1162" s="6">
        <v>36</v>
      </c>
      <c r="AB1162" s="7">
        <v>49.042000000000002</v>
      </c>
      <c r="AC1162" s="2"/>
    </row>
    <row r="1163" spans="1:29" ht="169" x14ac:dyDescent="0.15">
      <c r="A1163" s="3">
        <f>DATE(1993,7,1)</f>
        <v>34151</v>
      </c>
      <c r="B1163" s="3">
        <f>DATE(1994,4,15)</f>
        <v>34439</v>
      </c>
      <c r="C1163" s="2" t="s">
        <v>95</v>
      </c>
      <c r="D1163" s="2" t="s">
        <v>3702</v>
      </c>
      <c r="E1163" s="2" t="s">
        <v>781</v>
      </c>
      <c r="F1163" s="4">
        <v>7372</v>
      </c>
      <c r="G1163" s="2" t="s">
        <v>551</v>
      </c>
      <c r="H1163" s="2" t="s">
        <v>34</v>
      </c>
      <c r="I1163" s="2" t="s">
        <v>3703</v>
      </c>
      <c r="J1163" s="2" t="s">
        <v>553</v>
      </c>
      <c r="K1163" s="2" t="s">
        <v>551</v>
      </c>
      <c r="L1163" s="2" t="s">
        <v>902</v>
      </c>
      <c r="M1163" s="2"/>
      <c r="N1163" s="2"/>
      <c r="O1163" s="2"/>
      <c r="P1163" s="2" t="s">
        <v>3922</v>
      </c>
      <c r="Q1163" s="6">
        <v>34.979999999999997</v>
      </c>
      <c r="R1163" s="6">
        <v>7</v>
      </c>
      <c r="S1163" s="5">
        <v>-1.2</v>
      </c>
      <c r="T1163" s="6">
        <v>-0.28000000000000003</v>
      </c>
      <c r="U1163" s="5">
        <v>1.9</v>
      </c>
      <c r="V1163" s="2"/>
      <c r="W1163" s="6">
        <v>1.43</v>
      </c>
      <c r="X1163" s="6">
        <v>1.25</v>
      </c>
      <c r="Y1163" s="6">
        <v>1.25</v>
      </c>
      <c r="Z1163" s="6">
        <v>1.43</v>
      </c>
      <c r="AA1163" s="6">
        <v>10.92</v>
      </c>
      <c r="AB1163" s="2" t="s">
        <v>86</v>
      </c>
      <c r="AC1163" s="2"/>
    </row>
    <row r="1164" spans="1:29" ht="143" x14ac:dyDescent="0.15">
      <c r="A1164" s="3">
        <f>DATE(1993,7,2)</f>
        <v>34152</v>
      </c>
      <c r="B1164" s="3">
        <f>DATE(1994,1,10)</f>
        <v>34344</v>
      </c>
      <c r="C1164" s="2" t="s">
        <v>95</v>
      </c>
      <c r="D1164" s="2" t="s">
        <v>3923</v>
      </c>
      <c r="E1164" s="2" t="s">
        <v>203</v>
      </c>
      <c r="F1164" s="4">
        <v>6035</v>
      </c>
      <c r="G1164" s="2" t="s">
        <v>33</v>
      </c>
      <c r="H1164" s="2" t="s">
        <v>34</v>
      </c>
      <c r="I1164" s="2" t="s">
        <v>3924</v>
      </c>
      <c r="J1164" s="2" t="s">
        <v>3925</v>
      </c>
      <c r="K1164" s="2" t="s">
        <v>37</v>
      </c>
      <c r="L1164" s="2" t="s">
        <v>34</v>
      </c>
      <c r="M1164" s="5">
        <v>502.4</v>
      </c>
      <c r="N1164" s="5">
        <v>31.5</v>
      </c>
      <c r="O1164" s="5">
        <v>31.5</v>
      </c>
      <c r="P1164" s="2" t="s">
        <v>3926</v>
      </c>
      <c r="Q1164" s="6">
        <v>100</v>
      </c>
      <c r="R1164" s="6">
        <v>23.31</v>
      </c>
      <c r="S1164" s="5">
        <v>1</v>
      </c>
      <c r="T1164" s="7">
        <v>3.6059999999999999</v>
      </c>
      <c r="U1164" s="5">
        <v>15.5</v>
      </c>
      <c r="V1164" s="6">
        <v>0.66</v>
      </c>
      <c r="W1164" s="5">
        <v>10.5</v>
      </c>
      <c r="X1164" s="5">
        <v>11.5</v>
      </c>
      <c r="Y1164" s="5">
        <v>13.5</v>
      </c>
      <c r="Z1164" s="5">
        <v>13.5</v>
      </c>
      <c r="AA1164" s="6">
        <v>1.46</v>
      </c>
      <c r="AB1164" s="7">
        <v>55.735999999999997</v>
      </c>
      <c r="AC1164" s="2"/>
    </row>
    <row r="1165" spans="1:29" ht="143" x14ac:dyDescent="0.15">
      <c r="A1165" s="3">
        <f>DATE(1993,7,2)</f>
        <v>34152</v>
      </c>
      <c r="B1165" s="3">
        <f>DATE(1993,8,31)</f>
        <v>34212</v>
      </c>
      <c r="C1165" s="2" t="s">
        <v>95</v>
      </c>
      <c r="D1165" s="2" t="s">
        <v>3927</v>
      </c>
      <c r="E1165" s="2" t="s">
        <v>3928</v>
      </c>
      <c r="F1165" s="4">
        <v>7349</v>
      </c>
      <c r="G1165" s="2" t="s">
        <v>223</v>
      </c>
      <c r="H1165" s="2" t="s">
        <v>34</v>
      </c>
      <c r="I1165" s="2" t="s">
        <v>3321</v>
      </c>
      <c r="J1165" s="2" t="s">
        <v>3322</v>
      </c>
      <c r="K1165" s="2" t="s">
        <v>223</v>
      </c>
      <c r="L1165" s="2" t="s">
        <v>34</v>
      </c>
      <c r="M1165" s="2"/>
      <c r="N1165" s="6">
        <v>16.87</v>
      </c>
      <c r="O1165" s="6">
        <v>16.87</v>
      </c>
      <c r="P1165" s="2" t="s">
        <v>3929</v>
      </c>
      <c r="Q1165" s="6">
        <v>100</v>
      </c>
      <c r="R1165" s="6">
        <v>6.75</v>
      </c>
      <c r="S1165" s="5">
        <v>-4</v>
      </c>
      <c r="T1165" s="7">
        <v>3.536</v>
      </c>
      <c r="U1165" s="2"/>
      <c r="V1165" s="2"/>
      <c r="W1165" s="5">
        <v>2.5</v>
      </c>
      <c r="X1165" s="5">
        <v>2.5</v>
      </c>
      <c r="Y1165" s="5">
        <v>2.5</v>
      </c>
      <c r="Z1165" s="5">
        <v>2.5</v>
      </c>
      <c r="AA1165" s="6">
        <v>5.92</v>
      </c>
      <c r="AB1165" s="2" t="s">
        <v>86</v>
      </c>
      <c r="AC1165" s="6">
        <v>1.62</v>
      </c>
    </row>
    <row r="1166" spans="1:29" ht="130" x14ac:dyDescent="0.15">
      <c r="A1166" s="3">
        <f>DATE(1993,7,2)</f>
        <v>34152</v>
      </c>
      <c r="B1166" s="3">
        <f>DATE(1993,12,23)</f>
        <v>34326</v>
      </c>
      <c r="C1166" s="2" t="s">
        <v>95</v>
      </c>
      <c r="D1166" s="2" t="s">
        <v>2676</v>
      </c>
      <c r="E1166" s="2" t="s">
        <v>36</v>
      </c>
      <c r="F1166" s="4">
        <v>6021</v>
      </c>
      <c r="G1166" s="2" t="s">
        <v>37</v>
      </c>
      <c r="H1166" s="2" t="s">
        <v>34</v>
      </c>
      <c r="I1166" s="2" t="s">
        <v>1963</v>
      </c>
      <c r="J1166" s="2" t="s">
        <v>36</v>
      </c>
      <c r="K1166" s="2" t="s">
        <v>37</v>
      </c>
      <c r="L1166" s="2" t="s">
        <v>34</v>
      </c>
      <c r="M1166" s="12">
        <v>3118.2849999999999</v>
      </c>
      <c r="N1166" s="7">
        <v>53.375</v>
      </c>
      <c r="O1166" s="7">
        <v>53.375</v>
      </c>
      <c r="P1166" s="2" t="s">
        <v>3930</v>
      </c>
      <c r="Q1166" s="6">
        <v>100</v>
      </c>
      <c r="R1166" s="6">
        <v>20.97</v>
      </c>
      <c r="S1166" s="5">
        <v>4</v>
      </c>
      <c r="T1166" s="2"/>
      <c r="U1166" s="5">
        <v>25.1</v>
      </c>
      <c r="V1166" s="2"/>
      <c r="W1166" s="6">
        <v>15.75</v>
      </c>
      <c r="X1166" s="6">
        <v>16.25</v>
      </c>
      <c r="Y1166" s="6">
        <v>19.25</v>
      </c>
      <c r="Z1166" s="6">
        <v>19.25</v>
      </c>
      <c r="AA1166" s="6">
        <v>3.26</v>
      </c>
      <c r="AB1166" s="7">
        <v>37.058999999999997</v>
      </c>
      <c r="AC1166" s="2"/>
    </row>
    <row r="1167" spans="1:29" ht="52" x14ac:dyDescent="0.15">
      <c r="A1167" s="3">
        <f>DATE(1993,7,6)</f>
        <v>34156</v>
      </c>
      <c r="B1167" s="3">
        <f>DATE(1994,6,1)</f>
        <v>34486</v>
      </c>
      <c r="C1167" s="2" t="s">
        <v>95</v>
      </c>
      <c r="D1167" s="2" t="s">
        <v>3931</v>
      </c>
      <c r="E1167" s="2" t="s">
        <v>36</v>
      </c>
      <c r="F1167" s="4">
        <v>6035</v>
      </c>
      <c r="G1167" s="2" t="s">
        <v>33</v>
      </c>
      <c r="H1167" s="2" t="s">
        <v>34</v>
      </c>
      <c r="I1167" s="2" t="s">
        <v>3932</v>
      </c>
      <c r="J1167" s="2" t="s">
        <v>159</v>
      </c>
      <c r="K1167" s="2" t="s">
        <v>37</v>
      </c>
      <c r="L1167" s="2" t="s">
        <v>2105</v>
      </c>
      <c r="M1167" s="2"/>
      <c r="N1167" s="2"/>
      <c r="O1167" s="2"/>
      <c r="P1167" s="2" t="s">
        <v>3933</v>
      </c>
      <c r="Q1167" s="6">
        <v>100</v>
      </c>
      <c r="R1167" s="6">
        <v>38</v>
      </c>
      <c r="S1167" s="5">
        <v>34.799999999999997</v>
      </c>
      <c r="T1167" s="7">
        <v>64.456999999999994</v>
      </c>
      <c r="U1167" s="5">
        <v>33.200000000000003</v>
      </c>
      <c r="V1167" s="2"/>
      <c r="W1167" s="7">
        <v>24.375</v>
      </c>
      <c r="X1167" s="7">
        <v>25.125</v>
      </c>
      <c r="Y1167" s="4">
        <v>35</v>
      </c>
      <c r="Z1167" s="6">
        <v>35.25</v>
      </c>
      <c r="AA1167" s="6">
        <v>13.2</v>
      </c>
      <c r="AB1167" s="7">
        <v>27.992000000000001</v>
      </c>
      <c r="AC1167" s="2"/>
    </row>
    <row r="1168" spans="1:29" ht="130" x14ac:dyDescent="0.15">
      <c r="A1168" s="3">
        <f>DATE(1993,7,6)</f>
        <v>34156</v>
      </c>
      <c r="B1168" s="2"/>
      <c r="C1168" s="2" t="s">
        <v>30</v>
      </c>
      <c r="D1168" s="2" t="s">
        <v>3934</v>
      </c>
      <c r="E1168" s="2" t="s">
        <v>3935</v>
      </c>
      <c r="F1168" s="4">
        <v>5063</v>
      </c>
      <c r="G1168" s="2" t="s">
        <v>76</v>
      </c>
      <c r="H1168" s="2" t="s">
        <v>34</v>
      </c>
      <c r="I1168" s="2" t="s">
        <v>3936</v>
      </c>
      <c r="J1168" s="2" t="s">
        <v>3937</v>
      </c>
      <c r="K1168" s="2" t="s">
        <v>76</v>
      </c>
      <c r="L1168" s="2" t="s">
        <v>34</v>
      </c>
      <c r="M1168" s="2"/>
      <c r="N1168" s="7">
        <v>7.875</v>
      </c>
      <c r="O1168" s="7">
        <v>7.875</v>
      </c>
      <c r="P1168" s="2" t="s">
        <v>3938</v>
      </c>
      <c r="Q1168" s="2"/>
      <c r="R1168" s="6">
        <v>2.02</v>
      </c>
      <c r="S1168" s="5">
        <v>-1.4</v>
      </c>
      <c r="T1168" s="7">
        <v>-0.25900000000000001</v>
      </c>
      <c r="U1168" s="5">
        <v>3.7</v>
      </c>
      <c r="V1168" s="6">
        <v>-0.17</v>
      </c>
      <c r="W1168" s="6">
        <v>1.25</v>
      </c>
      <c r="X1168" s="7">
        <v>1.4379999999999999</v>
      </c>
      <c r="Y1168" s="6">
        <v>1.75</v>
      </c>
      <c r="Z1168" s="6">
        <v>1.75</v>
      </c>
      <c r="AA1168" s="6">
        <v>8.16</v>
      </c>
      <c r="AB1168" s="2" t="s">
        <v>86</v>
      </c>
      <c r="AC1168" s="6">
        <v>3.55</v>
      </c>
    </row>
    <row r="1169" spans="1:29" ht="91" x14ac:dyDescent="0.15">
      <c r="A1169" s="3">
        <f>DATE(1993,7,6)</f>
        <v>34156</v>
      </c>
      <c r="B1169" s="2"/>
      <c r="C1169" s="2" t="s">
        <v>30</v>
      </c>
      <c r="D1169" s="2" t="s">
        <v>3939</v>
      </c>
      <c r="E1169" s="2" t="s">
        <v>2800</v>
      </c>
      <c r="F1169" s="4">
        <v>6162</v>
      </c>
      <c r="G1169" s="2" t="s">
        <v>109</v>
      </c>
      <c r="H1169" s="2" t="s">
        <v>34</v>
      </c>
      <c r="I1169" s="2" t="s">
        <v>3940</v>
      </c>
      <c r="J1169" s="2" t="s">
        <v>3941</v>
      </c>
      <c r="K1169" s="2" t="s">
        <v>53</v>
      </c>
      <c r="L1169" s="2" t="s">
        <v>34</v>
      </c>
      <c r="M1169" s="2"/>
      <c r="N1169" s="2"/>
      <c r="O1169" s="2"/>
      <c r="P1169" s="2" t="s">
        <v>3942</v>
      </c>
      <c r="Q1169" s="2"/>
      <c r="R1169" s="2"/>
      <c r="S1169" s="2"/>
      <c r="T1169" s="2"/>
      <c r="U1169" s="5">
        <v>3.5</v>
      </c>
      <c r="V1169" s="2"/>
      <c r="W1169" s="6">
        <v>6.12</v>
      </c>
      <c r="X1169" s="6">
        <v>6.12</v>
      </c>
      <c r="Y1169" s="6">
        <v>6.25</v>
      </c>
      <c r="Z1169" s="7">
        <v>6.375</v>
      </c>
      <c r="AA1169" s="2"/>
      <c r="AB1169" s="2" t="s">
        <v>47</v>
      </c>
      <c r="AC1169" s="2"/>
    </row>
    <row r="1170" spans="1:29" ht="52" x14ac:dyDescent="0.15">
      <c r="A1170" s="3">
        <f>DATE(1993,7,6)</f>
        <v>34156</v>
      </c>
      <c r="B1170" s="2"/>
      <c r="C1170" s="2" t="s">
        <v>56</v>
      </c>
      <c r="D1170" s="2" t="s">
        <v>3943</v>
      </c>
      <c r="E1170" s="2" t="s">
        <v>3944</v>
      </c>
      <c r="F1170" s="4">
        <v>8071</v>
      </c>
      <c r="G1170" s="2" t="s">
        <v>454</v>
      </c>
      <c r="H1170" s="2" t="s">
        <v>34</v>
      </c>
      <c r="I1170" s="2" t="s">
        <v>3945</v>
      </c>
      <c r="J1170" s="2" t="s">
        <v>3946</v>
      </c>
      <c r="K1170" s="2" t="s">
        <v>454</v>
      </c>
      <c r="L1170" s="2" t="s">
        <v>34</v>
      </c>
      <c r="M1170" s="2"/>
      <c r="N1170" s="7">
        <v>4.125</v>
      </c>
      <c r="O1170" s="7">
        <v>4.125</v>
      </c>
      <c r="P1170" s="2" t="s">
        <v>3947</v>
      </c>
      <c r="Q1170" s="2"/>
      <c r="R1170" s="2"/>
      <c r="S1170" s="5">
        <v>6.5</v>
      </c>
      <c r="T1170" s="7">
        <v>21.806000000000001</v>
      </c>
      <c r="U1170" s="5">
        <v>6.8</v>
      </c>
      <c r="V1170" s="6">
        <v>0.53</v>
      </c>
      <c r="W1170" s="7">
        <v>4.875</v>
      </c>
      <c r="X1170" s="6">
        <v>4.75</v>
      </c>
      <c r="Y1170" s="4">
        <v>5</v>
      </c>
      <c r="Z1170" s="7">
        <v>4.875</v>
      </c>
      <c r="AA1170" s="2"/>
      <c r="AB1170" s="2" t="s">
        <v>47</v>
      </c>
      <c r="AC1170" s="2"/>
    </row>
    <row r="1171" spans="1:29" ht="91" x14ac:dyDescent="0.15">
      <c r="A1171" s="3">
        <f>DATE(1993,7,6)</f>
        <v>34156</v>
      </c>
      <c r="B1171" s="3">
        <f>DATE(1993,11,24)</f>
        <v>34297</v>
      </c>
      <c r="C1171" s="2" t="s">
        <v>95</v>
      </c>
      <c r="D1171" s="2" t="s">
        <v>3948</v>
      </c>
      <c r="E1171" s="2" t="s">
        <v>3949</v>
      </c>
      <c r="F1171" s="4">
        <v>5812</v>
      </c>
      <c r="G1171" s="2" t="s">
        <v>230</v>
      </c>
      <c r="H1171" s="2" t="s">
        <v>34</v>
      </c>
      <c r="I1171" s="2" t="s">
        <v>3950</v>
      </c>
      <c r="J1171" s="2" t="s">
        <v>3951</v>
      </c>
      <c r="K1171" s="2" t="s">
        <v>230</v>
      </c>
      <c r="L1171" s="2" t="s">
        <v>34</v>
      </c>
      <c r="M1171" s="5">
        <v>13.5</v>
      </c>
      <c r="N1171" s="6">
        <v>2.25</v>
      </c>
      <c r="O1171" s="7">
        <v>3.125</v>
      </c>
      <c r="P1171" s="2" t="s">
        <v>3952</v>
      </c>
      <c r="Q1171" s="6">
        <v>100</v>
      </c>
      <c r="R1171" s="2"/>
      <c r="S1171" s="5">
        <v>1.6</v>
      </c>
      <c r="T1171" s="7">
        <v>1.468</v>
      </c>
      <c r="U1171" s="2"/>
      <c r="V1171" s="2"/>
      <c r="W1171" s="7">
        <v>1.6879999999999999</v>
      </c>
      <c r="X1171" s="6">
        <v>1.75</v>
      </c>
      <c r="Y1171" s="6">
        <v>2.25</v>
      </c>
      <c r="Z1171" s="7">
        <v>3.125</v>
      </c>
      <c r="AA1171" s="2"/>
      <c r="AB1171" s="7">
        <v>8.7669999999999995</v>
      </c>
      <c r="AC1171" s="2"/>
    </row>
    <row r="1172" spans="1:29" ht="156" x14ac:dyDescent="0.15">
      <c r="A1172" s="3">
        <f>DATE(1993,7,12)</f>
        <v>34162</v>
      </c>
      <c r="B1172" s="2"/>
      <c r="C1172" s="2" t="s">
        <v>30</v>
      </c>
      <c r="D1172" s="2" t="s">
        <v>2678</v>
      </c>
      <c r="E1172" s="2" t="s">
        <v>1893</v>
      </c>
      <c r="F1172" s="4">
        <v>4841</v>
      </c>
      <c r="G1172" s="2" t="s">
        <v>45</v>
      </c>
      <c r="H1172" s="2" t="s">
        <v>34</v>
      </c>
      <c r="I1172" s="2" t="s">
        <v>3953</v>
      </c>
      <c r="J1172" s="2" t="s">
        <v>3954</v>
      </c>
      <c r="K1172" s="2" t="s">
        <v>73</v>
      </c>
      <c r="L1172" s="2" t="s">
        <v>34</v>
      </c>
      <c r="M1172" s="5">
        <v>882</v>
      </c>
      <c r="N1172" s="7">
        <v>13.625</v>
      </c>
      <c r="O1172" s="6">
        <v>14.75</v>
      </c>
      <c r="P1172" s="2" t="s">
        <v>3955</v>
      </c>
      <c r="Q1172" s="2"/>
      <c r="R1172" s="6">
        <v>63.13</v>
      </c>
      <c r="S1172" s="5">
        <v>55.1</v>
      </c>
      <c r="T1172" s="7">
        <v>181.828</v>
      </c>
      <c r="U1172" s="5">
        <v>13</v>
      </c>
      <c r="V1172" s="6">
        <v>1.29</v>
      </c>
      <c r="W1172" s="5">
        <v>61.5</v>
      </c>
      <c r="X1172" s="6">
        <v>65.25</v>
      </c>
      <c r="Y1172" s="6">
        <v>67.75</v>
      </c>
      <c r="Z1172" s="5">
        <v>71.5</v>
      </c>
      <c r="AA1172" s="6">
        <v>35.86</v>
      </c>
      <c r="AB1172" s="7">
        <v>13.861000000000001</v>
      </c>
      <c r="AC1172" s="6">
        <v>53.55</v>
      </c>
    </row>
    <row r="1173" spans="1:29" ht="143" x14ac:dyDescent="0.15">
      <c r="A1173" s="3">
        <f>DATE(1993,7,12)</f>
        <v>34162</v>
      </c>
      <c r="B1173" s="2"/>
      <c r="C1173" s="2" t="s">
        <v>56</v>
      </c>
      <c r="D1173" s="2" t="s">
        <v>3956</v>
      </c>
      <c r="E1173" s="2" t="s">
        <v>981</v>
      </c>
      <c r="F1173" s="4">
        <v>4833</v>
      </c>
      <c r="G1173" s="2" t="s">
        <v>45</v>
      </c>
      <c r="H1173" s="2" t="s">
        <v>34</v>
      </c>
      <c r="I1173" s="2" t="s">
        <v>2678</v>
      </c>
      <c r="J1173" s="2" t="s">
        <v>1893</v>
      </c>
      <c r="K1173" s="2" t="s">
        <v>45</v>
      </c>
      <c r="L1173" s="2" t="s">
        <v>34</v>
      </c>
      <c r="M1173" s="2"/>
      <c r="N1173" s="6">
        <v>67.75</v>
      </c>
      <c r="O1173" s="5">
        <v>71.5</v>
      </c>
      <c r="P1173" s="2" t="s">
        <v>3957</v>
      </c>
      <c r="Q1173" s="2"/>
      <c r="R1173" s="2"/>
      <c r="S1173" s="2"/>
      <c r="T1173" s="2"/>
      <c r="U1173" s="8">
        <v>-89034</v>
      </c>
      <c r="V1173" s="2"/>
      <c r="W1173" s="5">
        <v>11.5</v>
      </c>
      <c r="X1173" s="7">
        <v>12.375</v>
      </c>
      <c r="Y1173" s="6">
        <v>16.25</v>
      </c>
      <c r="Z1173" s="6">
        <v>17.75</v>
      </c>
      <c r="AA1173" s="6">
        <v>8.84</v>
      </c>
      <c r="AB1173" s="2" t="s">
        <v>47</v>
      </c>
      <c r="AC1173" s="2"/>
    </row>
    <row r="1174" spans="1:29" ht="130" x14ac:dyDescent="0.15">
      <c r="A1174" s="3">
        <f>DATE(1993,7,12)</f>
        <v>34162</v>
      </c>
      <c r="B1174" s="3">
        <f>DATE(1993,8,18)</f>
        <v>34199</v>
      </c>
      <c r="C1174" s="2" t="s">
        <v>95</v>
      </c>
      <c r="D1174" s="2" t="s">
        <v>3958</v>
      </c>
      <c r="E1174" s="2" t="s">
        <v>3959</v>
      </c>
      <c r="F1174" s="4">
        <v>3949</v>
      </c>
      <c r="G1174" s="2" t="s">
        <v>112</v>
      </c>
      <c r="H1174" s="2" t="s">
        <v>34</v>
      </c>
      <c r="I1174" s="2" t="s">
        <v>3960</v>
      </c>
      <c r="J1174" s="2" t="s">
        <v>302</v>
      </c>
      <c r="K1174" s="2" t="s">
        <v>53</v>
      </c>
      <c r="L1174" s="2" t="s">
        <v>3961</v>
      </c>
      <c r="M1174" s="2"/>
      <c r="N1174" s="2"/>
      <c r="O1174" s="2"/>
      <c r="P1174" s="2" t="s">
        <v>3962</v>
      </c>
      <c r="Q1174" s="6">
        <v>100</v>
      </c>
      <c r="R1174" s="6">
        <v>4.5</v>
      </c>
      <c r="S1174" s="5">
        <v>-0.9</v>
      </c>
      <c r="T1174" s="7">
        <v>-7.5999999999999998E-2</v>
      </c>
      <c r="U1174" s="5">
        <v>1.4</v>
      </c>
      <c r="V1174" s="6">
        <v>-0.35</v>
      </c>
      <c r="W1174" s="6">
        <v>2.87</v>
      </c>
      <c r="X1174" s="7">
        <v>2.875</v>
      </c>
      <c r="Y1174" s="7">
        <v>4.3129999999999997</v>
      </c>
      <c r="Z1174" s="6">
        <v>4.25</v>
      </c>
      <c r="AA1174" s="6">
        <v>3.08</v>
      </c>
      <c r="AB1174" s="2" t="s">
        <v>86</v>
      </c>
      <c r="AC1174" s="2"/>
    </row>
    <row r="1175" spans="1:29" ht="39" x14ac:dyDescent="0.15">
      <c r="A1175" s="3">
        <f>DATE(1993,7,13)</f>
        <v>34163</v>
      </c>
      <c r="B1175" s="2"/>
      <c r="C1175" s="2" t="s">
        <v>30</v>
      </c>
      <c r="D1175" s="2" t="s">
        <v>3963</v>
      </c>
      <c r="E1175" s="2" t="s">
        <v>3964</v>
      </c>
      <c r="F1175" s="4">
        <v>5013</v>
      </c>
      <c r="G1175" s="2" t="s">
        <v>76</v>
      </c>
      <c r="H1175" s="2" t="s">
        <v>34</v>
      </c>
      <c r="I1175" s="2" t="s">
        <v>138</v>
      </c>
      <c r="J1175" s="2" t="s">
        <v>139</v>
      </c>
      <c r="K1175" s="2" t="s">
        <v>53</v>
      </c>
      <c r="L1175" s="2" t="s">
        <v>139</v>
      </c>
      <c r="M1175" s="2"/>
      <c r="N1175" s="2"/>
      <c r="O1175" s="2"/>
      <c r="P1175" s="2" t="s">
        <v>3965</v>
      </c>
      <c r="Q1175" s="2"/>
      <c r="R1175" s="2"/>
      <c r="S1175" s="2"/>
      <c r="T1175" s="2"/>
      <c r="U1175" s="2"/>
      <c r="V1175" s="2"/>
      <c r="W1175" s="5">
        <v>1.5</v>
      </c>
      <c r="X1175" s="7">
        <v>2.125</v>
      </c>
      <c r="Y1175" s="9">
        <v>2.1875</v>
      </c>
      <c r="Z1175" s="4">
        <v>2</v>
      </c>
      <c r="AA1175" s="2"/>
      <c r="AB1175" s="2" t="s">
        <v>47</v>
      </c>
      <c r="AC1175" s="2"/>
    </row>
    <row r="1176" spans="1:29" ht="117" x14ac:dyDescent="0.15">
      <c r="A1176" s="3">
        <f>DATE(1993,7,13)</f>
        <v>34163</v>
      </c>
      <c r="B1176" s="2"/>
      <c r="C1176" s="2" t="s">
        <v>87</v>
      </c>
      <c r="D1176" s="2" t="s">
        <v>3380</v>
      </c>
      <c r="E1176" s="2" t="s">
        <v>3381</v>
      </c>
      <c r="F1176" s="4">
        <v>4841</v>
      </c>
      <c r="G1176" s="2" t="s">
        <v>45</v>
      </c>
      <c r="H1176" s="2" t="s">
        <v>34</v>
      </c>
      <c r="I1176" s="2" t="s">
        <v>3966</v>
      </c>
      <c r="J1176" s="2" t="s">
        <v>3967</v>
      </c>
      <c r="K1176" s="2" t="s">
        <v>3562</v>
      </c>
      <c r="L1176" s="2" t="s">
        <v>34</v>
      </c>
      <c r="M1176" s="2"/>
      <c r="N1176" s="2"/>
      <c r="O1176" s="2"/>
      <c r="P1176" s="2" t="s">
        <v>3968</v>
      </c>
      <c r="Q1176" s="2"/>
      <c r="R1176" s="6">
        <v>2.5</v>
      </c>
      <c r="S1176" s="2"/>
      <c r="T1176" s="2"/>
      <c r="U1176" s="5">
        <v>33</v>
      </c>
      <c r="V1176" s="2"/>
      <c r="W1176" s="7">
        <v>1.4379999999999999</v>
      </c>
      <c r="X1176" s="7">
        <v>1.4379999999999999</v>
      </c>
      <c r="Y1176" s="7">
        <v>1.4379999999999999</v>
      </c>
      <c r="Z1176" s="7">
        <v>1.4379999999999999</v>
      </c>
      <c r="AA1176" s="2"/>
      <c r="AB1176" s="2" t="s">
        <v>47</v>
      </c>
      <c r="AC1176" s="2"/>
    </row>
    <row r="1177" spans="1:29" ht="156" x14ac:dyDescent="0.15">
      <c r="A1177" s="3">
        <f>DATE(1993,7,14)</f>
        <v>34164</v>
      </c>
      <c r="B1177" s="2"/>
      <c r="C1177" s="2" t="s">
        <v>30</v>
      </c>
      <c r="D1177" s="2" t="s">
        <v>3969</v>
      </c>
      <c r="E1177" s="2" t="s">
        <v>3970</v>
      </c>
      <c r="F1177" s="4">
        <v>8071</v>
      </c>
      <c r="G1177" s="2" t="s">
        <v>454</v>
      </c>
      <c r="H1177" s="2" t="s">
        <v>34</v>
      </c>
      <c r="I1177" s="2" t="s">
        <v>3971</v>
      </c>
      <c r="J1177" s="2" t="s">
        <v>2683</v>
      </c>
      <c r="K1177" s="2" t="s">
        <v>454</v>
      </c>
      <c r="L1177" s="2" t="s">
        <v>34</v>
      </c>
      <c r="M1177" s="2"/>
      <c r="N1177" s="7">
        <v>1.4379999999999999</v>
      </c>
      <c r="O1177" s="7">
        <v>1.3129999999999999</v>
      </c>
      <c r="P1177" s="2" t="s">
        <v>3972</v>
      </c>
      <c r="Q1177" s="2"/>
      <c r="R1177" s="6">
        <v>1.5</v>
      </c>
      <c r="S1177" s="5">
        <v>-1.4</v>
      </c>
      <c r="T1177" s="7">
        <v>-0.86699999999999999</v>
      </c>
      <c r="U1177" s="5">
        <v>1.2</v>
      </c>
      <c r="V1177" s="6">
        <v>-0.49</v>
      </c>
      <c r="W1177" s="4">
        <v>1</v>
      </c>
      <c r="X1177" s="4">
        <v>1</v>
      </c>
      <c r="Y1177" s="7">
        <v>1.375</v>
      </c>
      <c r="Z1177" s="9">
        <v>1.1875</v>
      </c>
      <c r="AA1177" s="6">
        <v>7.5</v>
      </c>
      <c r="AB1177" s="2" t="s">
        <v>86</v>
      </c>
      <c r="AC1177" s="2"/>
    </row>
    <row r="1178" spans="1:29" ht="130" x14ac:dyDescent="0.15">
      <c r="A1178" s="3">
        <f>DATE(1993,7,15)</f>
        <v>34165</v>
      </c>
      <c r="B1178" s="3">
        <f>DATE(1993,11,2)</f>
        <v>34275</v>
      </c>
      <c r="C1178" s="2" t="s">
        <v>95</v>
      </c>
      <c r="D1178" s="2" t="s">
        <v>3973</v>
      </c>
      <c r="E1178" s="2" t="s">
        <v>844</v>
      </c>
      <c r="F1178" s="4">
        <v>6552</v>
      </c>
      <c r="G1178" s="2" t="s">
        <v>109</v>
      </c>
      <c r="H1178" s="2" t="s">
        <v>34</v>
      </c>
      <c r="I1178" s="2" t="s">
        <v>3974</v>
      </c>
      <c r="J1178" s="2" t="s">
        <v>844</v>
      </c>
      <c r="K1178" s="2" t="s">
        <v>109</v>
      </c>
      <c r="L1178" s="2" t="s">
        <v>34</v>
      </c>
      <c r="M1178" s="2"/>
      <c r="N1178" s="2"/>
      <c r="O1178" s="2"/>
      <c r="P1178" s="2" t="s">
        <v>3975</v>
      </c>
      <c r="Q1178" s="6">
        <v>71.2</v>
      </c>
      <c r="R1178" s="2"/>
      <c r="S1178" s="2"/>
      <c r="T1178" s="2"/>
      <c r="U1178" s="2"/>
      <c r="V1178" s="2"/>
      <c r="W1178" s="6">
        <v>1.75</v>
      </c>
      <c r="X1178" s="6">
        <v>1.75</v>
      </c>
      <c r="Y1178" s="6">
        <v>1.75</v>
      </c>
      <c r="Z1178" s="7">
        <v>1.375</v>
      </c>
      <c r="AA1178" s="6">
        <v>7.23</v>
      </c>
      <c r="AB1178" s="2" t="s">
        <v>47</v>
      </c>
      <c r="AC1178" s="2"/>
    </row>
    <row r="1179" spans="1:29" ht="156" x14ac:dyDescent="0.15">
      <c r="A1179" s="3">
        <f>DATE(1993,7,15)</f>
        <v>34165</v>
      </c>
      <c r="B1179" s="2"/>
      <c r="C1179" s="2" t="s">
        <v>30</v>
      </c>
      <c r="D1179" s="2" t="s">
        <v>3976</v>
      </c>
      <c r="E1179" s="2" t="s">
        <v>3977</v>
      </c>
      <c r="F1179" s="4">
        <v>1389</v>
      </c>
      <c r="G1179" s="2" t="s">
        <v>148</v>
      </c>
      <c r="H1179" s="2" t="s">
        <v>34</v>
      </c>
      <c r="I1179" s="2" t="s">
        <v>2179</v>
      </c>
      <c r="J1179" s="2" t="s">
        <v>2180</v>
      </c>
      <c r="K1179" s="2" t="s">
        <v>300</v>
      </c>
      <c r="L1179" s="2" t="s">
        <v>34</v>
      </c>
      <c r="M1179" s="2"/>
      <c r="N1179" s="7">
        <v>18.375</v>
      </c>
      <c r="O1179" s="6">
        <v>17.75</v>
      </c>
      <c r="P1179" s="2" t="s">
        <v>3978</v>
      </c>
      <c r="Q1179" s="2"/>
      <c r="R1179" s="6">
        <v>11.5</v>
      </c>
      <c r="S1179" s="5">
        <v>3.5</v>
      </c>
      <c r="T1179" s="7">
        <v>29.417000000000002</v>
      </c>
      <c r="U1179" s="5">
        <v>6.6</v>
      </c>
      <c r="V1179" s="6">
        <v>0.15</v>
      </c>
      <c r="W1179" s="4">
        <v>9</v>
      </c>
      <c r="X1179" s="4">
        <v>9</v>
      </c>
      <c r="Y1179" s="4">
        <v>9</v>
      </c>
      <c r="Z1179" s="7">
        <v>10.125</v>
      </c>
      <c r="AA1179" s="6">
        <v>18.21</v>
      </c>
      <c r="AB1179" s="7">
        <v>20.004000000000001</v>
      </c>
      <c r="AC1179" s="2"/>
    </row>
    <row r="1180" spans="1:29" ht="156" x14ac:dyDescent="0.15">
      <c r="A1180" s="3">
        <f>DATE(1993,7,16)</f>
        <v>34166</v>
      </c>
      <c r="B1180" s="2"/>
      <c r="C1180" s="2" t="s">
        <v>30</v>
      </c>
      <c r="D1180" s="2" t="s">
        <v>3979</v>
      </c>
      <c r="E1180" s="2" t="s">
        <v>36</v>
      </c>
      <c r="F1180" s="4">
        <v>6022</v>
      </c>
      <c r="G1180" s="2" t="s">
        <v>37</v>
      </c>
      <c r="H1180" s="2" t="s">
        <v>34</v>
      </c>
      <c r="I1180" s="2" t="s">
        <v>3980</v>
      </c>
      <c r="J1180" s="2" t="s">
        <v>36</v>
      </c>
      <c r="K1180" s="2" t="s">
        <v>37</v>
      </c>
      <c r="L1180" s="2" t="s">
        <v>34</v>
      </c>
      <c r="M1180" s="2"/>
      <c r="N1180" s="6">
        <v>30.75</v>
      </c>
      <c r="O1180" s="7">
        <v>30.125</v>
      </c>
      <c r="P1180" s="2" t="s">
        <v>3981</v>
      </c>
      <c r="Q1180" s="2"/>
      <c r="R1180" s="6">
        <v>49.6</v>
      </c>
      <c r="S1180" s="5">
        <v>4.7</v>
      </c>
      <c r="T1180" s="7">
        <v>9.8450000000000006</v>
      </c>
      <c r="U1180" s="5">
        <v>2.7</v>
      </c>
      <c r="V1180" s="9">
        <v>0.23080000000000001</v>
      </c>
      <c r="W1180" s="6">
        <v>27.75</v>
      </c>
      <c r="X1180" s="4">
        <v>28</v>
      </c>
      <c r="Y1180" s="4">
        <v>29</v>
      </c>
      <c r="Z1180" s="6">
        <v>43.75</v>
      </c>
      <c r="AA1180" s="6">
        <v>1.71</v>
      </c>
      <c r="AB1180" s="7">
        <v>116.364</v>
      </c>
      <c r="AC1180" s="2"/>
    </row>
    <row r="1181" spans="1:29" ht="143" x14ac:dyDescent="0.15">
      <c r="A1181" s="3">
        <f>DATE(1993,7,21)</f>
        <v>34171</v>
      </c>
      <c r="B1181" s="2"/>
      <c r="C1181" s="2" t="s">
        <v>30</v>
      </c>
      <c r="D1181" s="2" t="s">
        <v>3982</v>
      </c>
      <c r="E1181" s="2" t="s">
        <v>3983</v>
      </c>
      <c r="F1181" s="4">
        <v>2824</v>
      </c>
      <c r="G1181" s="2" t="s">
        <v>98</v>
      </c>
      <c r="H1181" s="2" t="s">
        <v>34</v>
      </c>
      <c r="I1181" s="2" t="s">
        <v>3984</v>
      </c>
      <c r="J1181" s="2" t="s">
        <v>3985</v>
      </c>
      <c r="K1181" s="2" t="s">
        <v>116</v>
      </c>
      <c r="L1181" s="2" t="s">
        <v>34</v>
      </c>
      <c r="M1181" s="6">
        <v>96.56</v>
      </c>
      <c r="N1181" s="7">
        <v>19.375</v>
      </c>
      <c r="O1181" s="7">
        <v>18.875</v>
      </c>
      <c r="P1181" s="2" t="s">
        <v>3986</v>
      </c>
      <c r="Q1181" s="2"/>
      <c r="R1181" s="6">
        <v>16.45</v>
      </c>
      <c r="S1181" s="5">
        <v>3.3</v>
      </c>
      <c r="T1181" s="7">
        <v>7.1449999999999996</v>
      </c>
      <c r="U1181" s="5">
        <v>3.1</v>
      </c>
      <c r="V1181" s="6">
        <v>0.35</v>
      </c>
      <c r="W1181" s="5">
        <v>11.5</v>
      </c>
      <c r="X1181" s="5">
        <v>12.5</v>
      </c>
      <c r="Y1181" s="6">
        <v>14.25</v>
      </c>
      <c r="Z1181" s="6">
        <v>13.75</v>
      </c>
      <c r="AA1181" s="6">
        <v>6.4</v>
      </c>
      <c r="AB1181" s="7">
        <v>29.539000000000001</v>
      </c>
      <c r="AC1181" s="2"/>
    </row>
    <row r="1182" spans="1:29" ht="91" x14ac:dyDescent="0.15">
      <c r="A1182" s="3">
        <f>DATE(1993,7,23)</f>
        <v>34173</v>
      </c>
      <c r="B1182" s="2"/>
      <c r="C1182" s="2" t="s">
        <v>141</v>
      </c>
      <c r="D1182" s="2" t="s">
        <v>3987</v>
      </c>
      <c r="E1182" s="2" t="s">
        <v>36</v>
      </c>
      <c r="F1182" s="4">
        <v>6036</v>
      </c>
      <c r="G1182" s="2" t="s">
        <v>33</v>
      </c>
      <c r="H1182" s="2" t="s">
        <v>34</v>
      </c>
      <c r="I1182" s="2" t="s">
        <v>143</v>
      </c>
      <c r="J1182" s="2" t="s">
        <v>144</v>
      </c>
      <c r="K1182" s="2" t="s">
        <v>53</v>
      </c>
      <c r="L1182" s="2" t="s">
        <v>139</v>
      </c>
      <c r="M1182" s="2"/>
      <c r="N1182" s="2"/>
      <c r="O1182" s="2"/>
      <c r="P1182" s="2" t="s">
        <v>3988</v>
      </c>
      <c r="Q1182" s="2"/>
      <c r="R1182" s="2"/>
      <c r="S1182" s="5">
        <v>2.9</v>
      </c>
      <c r="T1182" s="7">
        <v>6.3680000000000003</v>
      </c>
      <c r="U1182" s="5">
        <v>15.6</v>
      </c>
      <c r="V1182" s="6">
        <v>0.64</v>
      </c>
      <c r="W1182" s="4">
        <v>16</v>
      </c>
      <c r="X1182" s="4">
        <v>17</v>
      </c>
      <c r="Y1182" s="4">
        <v>18</v>
      </c>
      <c r="Z1182" s="6">
        <v>18.25</v>
      </c>
      <c r="AA1182" s="6">
        <v>4.43</v>
      </c>
      <c r="AB1182" s="2" t="s">
        <v>47</v>
      </c>
      <c r="AC1182" s="2"/>
    </row>
    <row r="1183" spans="1:29" ht="156" x14ac:dyDescent="0.15">
      <c r="A1183" s="3">
        <f>DATE(1993,7,23)</f>
        <v>34173</v>
      </c>
      <c r="B1183" s="3">
        <f>DATE(1993,11,30)</f>
        <v>34303</v>
      </c>
      <c r="C1183" s="2" t="s">
        <v>95</v>
      </c>
      <c r="D1183" s="2" t="s">
        <v>3989</v>
      </c>
      <c r="E1183" s="2" t="s">
        <v>36</v>
      </c>
      <c r="F1183" s="4">
        <v>6021</v>
      </c>
      <c r="G1183" s="2" t="s">
        <v>37</v>
      </c>
      <c r="H1183" s="2" t="s">
        <v>34</v>
      </c>
      <c r="I1183" s="2" t="s">
        <v>2353</v>
      </c>
      <c r="J1183" s="2" t="s">
        <v>36</v>
      </c>
      <c r="K1183" s="2" t="s">
        <v>37</v>
      </c>
      <c r="L1183" s="2" t="s">
        <v>34</v>
      </c>
      <c r="M1183" s="12">
        <v>5861.7629999999999</v>
      </c>
      <c r="N1183" s="6">
        <v>61.75</v>
      </c>
      <c r="O1183" s="7">
        <v>61.625</v>
      </c>
      <c r="P1183" s="2" t="s">
        <v>3990</v>
      </c>
      <c r="Q1183" s="6">
        <v>100</v>
      </c>
      <c r="R1183" s="6">
        <v>26.22</v>
      </c>
      <c r="S1183" s="5">
        <v>12.3</v>
      </c>
      <c r="T1183" s="7">
        <v>21.853000000000002</v>
      </c>
      <c r="U1183" s="5">
        <v>12.6</v>
      </c>
      <c r="V1183" s="6">
        <v>2.86</v>
      </c>
      <c r="W1183" s="6">
        <v>19.75</v>
      </c>
      <c r="X1183" s="4">
        <v>19</v>
      </c>
      <c r="Y1183" s="4">
        <v>20</v>
      </c>
      <c r="Z1183" s="7">
        <v>26.125</v>
      </c>
      <c r="AA1183" s="6">
        <v>6.38</v>
      </c>
      <c r="AB1183" s="7">
        <v>30.17</v>
      </c>
      <c r="AC1183" s="2"/>
    </row>
    <row r="1184" spans="1:29" ht="143" x14ac:dyDescent="0.15">
      <c r="A1184" s="3">
        <f>DATE(1993,7,26)</f>
        <v>34176</v>
      </c>
      <c r="B1184" s="2"/>
      <c r="C1184" s="2" t="s">
        <v>30</v>
      </c>
      <c r="D1184" s="2" t="s">
        <v>3991</v>
      </c>
      <c r="E1184" s="2" t="s">
        <v>2712</v>
      </c>
      <c r="F1184" s="4">
        <v>6211</v>
      </c>
      <c r="G1184" s="2" t="s">
        <v>53</v>
      </c>
      <c r="H1184" s="2" t="s">
        <v>34</v>
      </c>
      <c r="I1184" s="2" t="s">
        <v>3992</v>
      </c>
      <c r="J1184" s="2" t="s">
        <v>3993</v>
      </c>
      <c r="K1184" s="2" t="s">
        <v>53</v>
      </c>
      <c r="L1184" s="2" t="s">
        <v>34</v>
      </c>
      <c r="M1184" s="2"/>
      <c r="N1184" s="2"/>
      <c r="O1184" s="2"/>
      <c r="P1184" s="2" t="s">
        <v>3994</v>
      </c>
      <c r="Q1184" s="2"/>
      <c r="R1184" s="2"/>
      <c r="S1184" s="5">
        <v>0.2</v>
      </c>
      <c r="T1184" s="7">
        <v>1.641</v>
      </c>
      <c r="U1184" s="5">
        <v>7.1</v>
      </c>
      <c r="V1184" s="6">
        <v>0.34</v>
      </c>
      <c r="W1184" s="5">
        <v>5.5</v>
      </c>
      <c r="X1184" s="5">
        <v>6.5</v>
      </c>
      <c r="Y1184" s="6">
        <v>6.75</v>
      </c>
      <c r="Z1184" s="6">
        <v>6.75</v>
      </c>
      <c r="AA1184" s="6">
        <v>4.37</v>
      </c>
      <c r="AB1184" s="2" t="s">
        <v>47</v>
      </c>
      <c r="AC1184" s="2"/>
    </row>
    <row r="1185" spans="1:29" ht="143" x14ac:dyDescent="0.15">
      <c r="A1185" s="3">
        <f>DATE(1993,7,27)</f>
        <v>34177</v>
      </c>
      <c r="B1185" s="3">
        <f>DATE(1994,6,17)</f>
        <v>34502</v>
      </c>
      <c r="C1185" s="2" t="s">
        <v>95</v>
      </c>
      <c r="D1185" s="2" t="s">
        <v>3995</v>
      </c>
      <c r="E1185" s="2" t="s">
        <v>36</v>
      </c>
      <c r="F1185" s="4">
        <v>6021</v>
      </c>
      <c r="G1185" s="2" t="s">
        <v>37</v>
      </c>
      <c r="H1185" s="2" t="s">
        <v>34</v>
      </c>
      <c r="I1185" s="2" t="s">
        <v>3429</v>
      </c>
      <c r="J1185" s="2" t="s">
        <v>36</v>
      </c>
      <c r="K1185" s="2" t="s">
        <v>37</v>
      </c>
      <c r="L1185" s="2" t="s">
        <v>34</v>
      </c>
      <c r="M1185" s="2"/>
      <c r="N1185" s="5">
        <v>29.5</v>
      </c>
      <c r="O1185" s="4">
        <v>29</v>
      </c>
      <c r="P1185" s="2" t="s">
        <v>3996</v>
      </c>
      <c r="Q1185" s="6">
        <v>100</v>
      </c>
      <c r="R1185" s="6">
        <v>27</v>
      </c>
      <c r="S1185" s="5">
        <v>-29.2</v>
      </c>
      <c r="T1185" s="7">
        <v>-22.637</v>
      </c>
      <c r="U1185" s="5">
        <v>13.4</v>
      </c>
      <c r="V1185" s="6">
        <v>-2.89</v>
      </c>
      <c r="W1185" s="6">
        <v>18.25</v>
      </c>
      <c r="X1185" s="4">
        <v>20</v>
      </c>
      <c r="Y1185" s="4">
        <v>25</v>
      </c>
      <c r="Z1185" s="7">
        <v>25.125</v>
      </c>
      <c r="AA1185" s="6">
        <v>12.45</v>
      </c>
      <c r="AB1185" s="2" t="s">
        <v>86</v>
      </c>
      <c r="AC1185" s="2"/>
    </row>
    <row r="1186" spans="1:29" ht="156" x14ac:dyDescent="0.15">
      <c r="A1186" s="3">
        <f>DATE(1993,7,27)</f>
        <v>34177</v>
      </c>
      <c r="B1186" s="3">
        <f>DATE(1994,1,17)</f>
        <v>34351</v>
      </c>
      <c r="C1186" s="2" t="s">
        <v>95</v>
      </c>
      <c r="D1186" s="2" t="s">
        <v>3997</v>
      </c>
      <c r="E1186" s="2" t="s">
        <v>1181</v>
      </c>
      <c r="F1186" s="4">
        <v>6021</v>
      </c>
      <c r="G1186" s="2" t="s">
        <v>37</v>
      </c>
      <c r="H1186" s="2" t="s">
        <v>34</v>
      </c>
      <c r="I1186" s="2" t="s">
        <v>450</v>
      </c>
      <c r="J1186" s="2" t="s">
        <v>36</v>
      </c>
      <c r="K1186" s="2" t="s">
        <v>37</v>
      </c>
      <c r="L1186" s="2" t="s">
        <v>34</v>
      </c>
      <c r="M1186" s="10">
        <v>7924.62</v>
      </c>
      <c r="N1186" s="6">
        <v>27.25</v>
      </c>
      <c r="O1186" s="6">
        <v>26.25</v>
      </c>
      <c r="P1186" s="2" t="s">
        <v>3998</v>
      </c>
      <c r="Q1186" s="6">
        <v>100</v>
      </c>
      <c r="R1186" s="6">
        <v>29.98</v>
      </c>
      <c r="S1186" s="5">
        <v>15.3</v>
      </c>
      <c r="T1186" s="7">
        <v>28.128</v>
      </c>
      <c r="U1186" s="5">
        <v>16.3</v>
      </c>
      <c r="V1186" s="6">
        <v>1.98</v>
      </c>
      <c r="W1186" s="4">
        <v>25</v>
      </c>
      <c r="X1186" s="4">
        <v>25</v>
      </c>
      <c r="Y1186" s="4">
        <v>28</v>
      </c>
      <c r="Z1186" s="6">
        <v>28.25</v>
      </c>
      <c r="AA1186" s="6">
        <v>13.74</v>
      </c>
      <c r="AB1186" s="7">
        <v>12.714</v>
      </c>
      <c r="AC1186" s="2"/>
    </row>
    <row r="1187" spans="1:29" ht="143" x14ac:dyDescent="0.15">
      <c r="A1187" s="3">
        <f>DATE(1993,7,27)</f>
        <v>34177</v>
      </c>
      <c r="B1187" s="3">
        <f>DATE(1993,12,6)</f>
        <v>34309</v>
      </c>
      <c r="C1187" s="2" t="s">
        <v>95</v>
      </c>
      <c r="D1187" s="2" t="s">
        <v>3999</v>
      </c>
      <c r="E1187" s="2" t="s">
        <v>36</v>
      </c>
      <c r="F1187" s="4">
        <v>6022</v>
      </c>
      <c r="G1187" s="2" t="s">
        <v>37</v>
      </c>
      <c r="H1187" s="2" t="s">
        <v>34</v>
      </c>
      <c r="I1187" s="2" t="s">
        <v>2631</v>
      </c>
      <c r="J1187" s="2" t="s">
        <v>32</v>
      </c>
      <c r="K1187" s="2" t="s">
        <v>33</v>
      </c>
      <c r="L1187" s="2" t="s">
        <v>34</v>
      </c>
      <c r="M1187" s="2"/>
      <c r="N1187" s="7">
        <v>25.625</v>
      </c>
      <c r="O1187" s="5">
        <v>25.5</v>
      </c>
      <c r="P1187" s="2" t="s">
        <v>4000</v>
      </c>
      <c r="Q1187" s="6">
        <v>100</v>
      </c>
      <c r="R1187" s="6">
        <v>33.25</v>
      </c>
      <c r="S1187" s="5">
        <v>-27.8</v>
      </c>
      <c r="T1187" s="7">
        <v>-27.988</v>
      </c>
      <c r="U1187" s="5">
        <v>0.3</v>
      </c>
      <c r="V1187" s="6">
        <v>-3.74</v>
      </c>
      <c r="W1187" s="6">
        <v>20.75</v>
      </c>
      <c r="X1187" s="6">
        <v>21.25</v>
      </c>
      <c r="Y1187" s="4">
        <v>21</v>
      </c>
      <c r="Z1187" s="4">
        <v>22</v>
      </c>
      <c r="AA1187" s="6">
        <v>3.33</v>
      </c>
      <c r="AB1187" s="2" t="s">
        <v>86</v>
      </c>
      <c r="AC1187" s="2"/>
    </row>
    <row r="1188" spans="1:29" ht="117" x14ac:dyDescent="0.15">
      <c r="A1188" s="3">
        <f>DATE(1993,7,27)</f>
        <v>34177</v>
      </c>
      <c r="B1188" s="2"/>
      <c r="C1188" s="2" t="s">
        <v>30</v>
      </c>
      <c r="D1188" s="2" t="s">
        <v>1223</v>
      </c>
      <c r="E1188" s="2" t="s">
        <v>4001</v>
      </c>
      <c r="F1188" s="4">
        <v>5261</v>
      </c>
      <c r="G1188" s="2" t="s">
        <v>73</v>
      </c>
      <c r="H1188" s="2" t="s">
        <v>34</v>
      </c>
      <c r="I1188" s="2" t="s">
        <v>4002</v>
      </c>
      <c r="J1188" s="2" t="s">
        <v>4003</v>
      </c>
      <c r="K1188" s="2" t="s">
        <v>73</v>
      </c>
      <c r="L1188" s="2" t="s">
        <v>34</v>
      </c>
      <c r="M1188" s="2"/>
      <c r="N1188" s="7">
        <v>8.125</v>
      </c>
      <c r="O1188" s="7">
        <v>8.125</v>
      </c>
      <c r="P1188" s="2" t="s">
        <v>4004</v>
      </c>
      <c r="Q1188" s="2"/>
      <c r="R1188" s="6">
        <v>5</v>
      </c>
      <c r="S1188" s="5">
        <v>-2.2999999999999998</v>
      </c>
      <c r="T1188" s="6">
        <v>1.04</v>
      </c>
      <c r="U1188" s="5">
        <v>5.5</v>
      </c>
      <c r="V1188" s="6">
        <v>-0.45</v>
      </c>
      <c r="W1188" s="6">
        <v>5.75</v>
      </c>
      <c r="X1188" s="6">
        <v>5.37</v>
      </c>
      <c r="Y1188" s="6">
        <v>5.12</v>
      </c>
      <c r="Z1188" s="6">
        <v>4.93</v>
      </c>
      <c r="AA1188" s="6">
        <v>8.48</v>
      </c>
      <c r="AB1188" s="2" t="s">
        <v>86</v>
      </c>
      <c r="AC1188" s="2"/>
    </row>
    <row r="1189" spans="1:29" ht="156" x14ac:dyDescent="0.15">
      <c r="A1189" s="3">
        <f>DATE(1993,7,27)</f>
        <v>34177</v>
      </c>
      <c r="B1189" s="3">
        <f>DATE(1993,7,29)</f>
        <v>34179</v>
      </c>
      <c r="C1189" s="2" t="s">
        <v>95</v>
      </c>
      <c r="D1189" s="2" t="s">
        <v>3543</v>
      </c>
      <c r="E1189" s="2" t="s">
        <v>3544</v>
      </c>
      <c r="F1189" s="4">
        <v>4841</v>
      </c>
      <c r="G1189" s="2" t="s">
        <v>45</v>
      </c>
      <c r="H1189" s="2" t="s">
        <v>34</v>
      </c>
      <c r="I1189" s="2" t="s">
        <v>4005</v>
      </c>
      <c r="J1189" s="2" t="s">
        <v>386</v>
      </c>
      <c r="K1189" s="2" t="s">
        <v>53</v>
      </c>
      <c r="L1189" s="2" t="s">
        <v>34</v>
      </c>
      <c r="M1189" s="2"/>
      <c r="N1189" s="2"/>
      <c r="O1189" s="2"/>
      <c r="P1189" s="2" t="s">
        <v>4006</v>
      </c>
      <c r="Q1189" s="6">
        <v>11.3</v>
      </c>
      <c r="R1189" s="6">
        <v>0.8</v>
      </c>
      <c r="S1189" s="5">
        <v>-4.8</v>
      </c>
      <c r="T1189" s="7">
        <v>-2.661</v>
      </c>
      <c r="U1189" s="5">
        <v>38.799999999999997</v>
      </c>
      <c r="V1189" s="6">
        <v>-0.45</v>
      </c>
      <c r="W1189" s="7">
        <v>1.3129999999999999</v>
      </c>
      <c r="X1189" s="7">
        <v>1.125</v>
      </c>
      <c r="Y1189" s="7">
        <v>1.375</v>
      </c>
      <c r="Z1189" s="7">
        <v>1.625</v>
      </c>
      <c r="AA1189" s="6">
        <v>13.28</v>
      </c>
      <c r="AB1189" s="2" t="s">
        <v>86</v>
      </c>
      <c r="AC1189" s="2"/>
    </row>
    <row r="1190" spans="1:29" ht="78" x14ac:dyDescent="0.15">
      <c r="A1190" s="3">
        <f>DATE(1993,7,28)</f>
        <v>34178</v>
      </c>
      <c r="B1190" s="2"/>
      <c r="C1190" s="2" t="s">
        <v>30</v>
      </c>
      <c r="D1190" s="2" t="s">
        <v>3808</v>
      </c>
      <c r="E1190" s="2" t="s">
        <v>3809</v>
      </c>
      <c r="F1190" s="4">
        <v>2262</v>
      </c>
      <c r="G1190" s="2" t="s">
        <v>708</v>
      </c>
      <c r="H1190" s="2" t="s">
        <v>34</v>
      </c>
      <c r="I1190" s="2" t="s">
        <v>4007</v>
      </c>
      <c r="J1190" s="2" t="s">
        <v>4008</v>
      </c>
      <c r="K1190" s="2" t="s">
        <v>708</v>
      </c>
      <c r="L1190" s="2" t="s">
        <v>34</v>
      </c>
      <c r="M1190" s="2"/>
      <c r="N1190" s="2"/>
      <c r="O1190" s="2"/>
      <c r="P1190" s="2" t="s">
        <v>4009</v>
      </c>
      <c r="Q1190" s="2"/>
      <c r="R1190" s="2"/>
      <c r="S1190" s="5">
        <v>20.399999999999999</v>
      </c>
      <c r="T1190" s="7">
        <v>115.976</v>
      </c>
      <c r="U1190" s="5">
        <v>23.8</v>
      </c>
      <c r="V1190" s="6">
        <v>1.81</v>
      </c>
      <c r="W1190" s="7">
        <v>23.625</v>
      </c>
      <c r="X1190" s="7">
        <v>23.625</v>
      </c>
      <c r="Y1190" s="7">
        <v>26.375</v>
      </c>
      <c r="Z1190" s="7">
        <v>27.375</v>
      </c>
      <c r="AA1190" s="6">
        <v>11.98</v>
      </c>
      <c r="AB1190" s="2" t="s">
        <v>47</v>
      </c>
      <c r="AC1190" s="2"/>
    </row>
    <row r="1191" spans="1:29" ht="143" x14ac:dyDescent="0.15">
      <c r="A1191" s="3">
        <f>DATE(1993,7,28)</f>
        <v>34178</v>
      </c>
      <c r="B1191" s="3">
        <f>DATE(1993,11,18)</f>
        <v>34291</v>
      </c>
      <c r="C1191" s="2" t="s">
        <v>95</v>
      </c>
      <c r="D1191" s="2" t="s">
        <v>3114</v>
      </c>
      <c r="E1191" s="2" t="s">
        <v>786</v>
      </c>
      <c r="F1191" s="4">
        <v>5122</v>
      </c>
      <c r="G1191" s="2" t="s">
        <v>593</v>
      </c>
      <c r="H1191" s="2" t="s">
        <v>34</v>
      </c>
      <c r="I1191" s="2" t="s">
        <v>4010</v>
      </c>
      <c r="J1191" s="2" t="s">
        <v>4011</v>
      </c>
      <c r="K1191" s="2" t="s">
        <v>130</v>
      </c>
      <c r="L1191" s="2" t="s">
        <v>34</v>
      </c>
      <c r="M1191" s="12">
        <v>40363.521999999997</v>
      </c>
      <c r="N1191" s="6">
        <v>30.75</v>
      </c>
      <c r="O1191" s="5">
        <v>30.5</v>
      </c>
      <c r="P1191" s="2" t="s">
        <v>4012</v>
      </c>
      <c r="Q1191" s="6">
        <v>100</v>
      </c>
      <c r="R1191" s="6">
        <v>39</v>
      </c>
      <c r="S1191" s="5">
        <v>141.4</v>
      </c>
      <c r="T1191" s="7">
        <v>256.62599999999998</v>
      </c>
      <c r="U1191" s="5">
        <v>6.1</v>
      </c>
      <c r="V1191" s="6">
        <v>0.88</v>
      </c>
      <c r="W1191" s="7">
        <v>30.375</v>
      </c>
      <c r="X1191" s="6">
        <v>28.75</v>
      </c>
      <c r="Y1191" s="6">
        <v>28.75</v>
      </c>
      <c r="Z1191" s="7">
        <v>30.125</v>
      </c>
      <c r="AA1191" s="6">
        <v>155.1</v>
      </c>
      <c r="AB1191" s="7">
        <v>26.111000000000001</v>
      </c>
      <c r="AC1191" s="8">
        <v>1093.5</v>
      </c>
    </row>
    <row r="1192" spans="1:29" ht="52" x14ac:dyDescent="0.15">
      <c r="A1192" s="3">
        <f>DATE(1993,7,30)</f>
        <v>34180</v>
      </c>
      <c r="B1192" s="2"/>
      <c r="C1192" s="2" t="s">
        <v>30</v>
      </c>
      <c r="D1192" s="2" t="s">
        <v>4013</v>
      </c>
      <c r="E1192" s="2" t="s">
        <v>515</v>
      </c>
      <c r="F1192" s="4">
        <v>6311</v>
      </c>
      <c r="G1192" s="2" t="s">
        <v>125</v>
      </c>
      <c r="H1192" s="2" t="s">
        <v>34</v>
      </c>
      <c r="I1192" s="2" t="s">
        <v>4014</v>
      </c>
      <c r="J1192" s="2" t="s">
        <v>4015</v>
      </c>
      <c r="K1192" s="2" t="s">
        <v>125</v>
      </c>
      <c r="L1192" s="2" t="s">
        <v>34</v>
      </c>
      <c r="M1192" s="2"/>
      <c r="N1192" s="2"/>
      <c r="O1192" s="2"/>
      <c r="P1192" s="2" t="s">
        <v>4016</v>
      </c>
      <c r="Q1192" s="2"/>
      <c r="R1192" s="2"/>
      <c r="S1192" s="5">
        <v>133.69999999999999</v>
      </c>
      <c r="T1192" s="2"/>
      <c r="U1192" s="5">
        <v>15.1</v>
      </c>
      <c r="V1192" s="6">
        <v>2.16</v>
      </c>
      <c r="W1192" s="7">
        <v>59.375</v>
      </c>
      <c r="X1192" s="6">
        <v>58.75</v>
      </c>
      <c r="Y1192" s="4">
        <v>58</v>
      </c>
      <c r="Z1192" s="6">
        <v>58.75</v>
      </c>
      <c r="AA1192" s="6">
        <v>20.86</v>
      </c>
      <c r="AB1192" s="2" t="s">
        <v>47</v>
      </c>
      <c r="AC1192" s="2"/>
    </row>
    <row r="1193" spans="1:29" ht="156" x14ac:dyDescent="0.15">
      <c r="A1193" s="3">
        <f>DATE(1993,7,30)</f>
        <v>34180</v>
      </c>
      <c r="B1193" s="3">
        <f>DATE(1993,12,31)</f>
        <v>34334</v>
      </c>
      <c r="C1193" s="2" t="s">
        <v>95</v>
      </c>
      <c r="D1193" s="2" t="s">
        <v>4017</v>
      </c>
      <c r="E1193" s="2" t="s">
        <v>36</v>
      </c>
      <c r="F1193" s="4">
        <v>6021</v>
      </c>
      <c r="G1193" s="2" t="s">
        <v>37</v>
      </c>
      <c r="H1193" s="2" t="s">
        <v>34</v>
      </c>
      <c r="I1193" s="2" t="s">
        <v>4018</v>
      </c>
      <c r="J1193" s="2" t="s">
        <v>159</v>
      </c>
      <c r="K1193" s="2" t="s">
        <v>37</v>
      </c>
      <c r="L1193" s="2" t="s">
        <v>34</v>
      </c>
      <c r="M1193" s="2"/>
      <c r="N1193" s="5">
        <v>20.5</v>
      </c>
      <c r="O1193" s="6">
        <v>20.75</v>
      </c>
      <c r="P1193" s="2" t="s">
        <v>4019</v>
      </c>
      <c r="Q1193" s="6">
        <v>100</v>
      </c>
      <c r="R1193" s="6">
        <v>21.25</v>
      </c>
      <c r="S1193" s="5">
        <v>2.1</v>
      </c>
      <c r="T1193" s="7">
        <v>4.4710000000000001</v>
      </c>
      <c r="U1193" s="5">
        <v>19.399999999999999</v>
      </c>
      <c r="V1193" s="6">
        <v>1.01</v>
      </c>
      <c r="W1193" s="7">
        <v>19.875</v>
      </c>
      <c r="X1193" s="5">
        <v>19.5</v>
      </c>
      <c r="Y1193" s="5">
        <v>19.5</v>
      </c>
      <c r="Z1193" s="6">
        <v>18.75</v>
      </c>
      <c r="AA1193" s="6">
        <v>2.08</v>
      </c>
      <c r="AB1193" s="7">
        <v>89.54</v>
      </c>
      <c r="AC1193" s="2"/>
    </row>
    <row r="1194" spans="1:29" ht="156" x14ac:dyDescent="0.15">
      <c r="A1194" s="3">
        <f>DATE(1993,7,30)</f>
        <v>34180</v>
      </c>
      <c r="B1194" s="2"/>
      <c r="C1194" s="2" t="s">
        <v>87</v>
      </c>
      <c r="D1194" s="2" t="s">
        <v>4020</v>
      </c>
      <c r="E1194" s="2" t="s">
        <v>4021</v>
      </c>
      <c r="F1194" s="4">
        <v>4832</v>
      </c>
      <c r="G1194" s="2" t="s">
        <v>45</v>
      </c>
      <c r="H1194" s="2" t="s">
        <v>34</v>
      </c>
      <c r="I1194" s="2" t="s">
        <v>1526</v>
      </c>
      <c r="J1194" s="2" t="s">
        <v>302</v>
      </c>
      <c r="K1194" s="2" t="s">
        <v>53</v>
      </c>
      <c r="L1194" s="2" t="s">
        <v>34</v>
      </c>
      <c r="M1194" s="2"/>
      <c r="N1194" s="2"/>
      <c r="O1194" s="2"/>
      <c r="P1194" s="2" t="s">
        <v>4022</v>
      </c>
      <c r="Q1194" s="2"/>
      <c r="R1194" s="2"/>
      <c r="S1194" s="2"/>
      <c r="T1194" s="2"/>
      <c r="U1194" s="2"/>
      <c r="V1194" s="2"/>
      <c r="W1194" s="6">
        <v>1.25</v>
      </c>
      <c r="X1194" s="6">
        <v>1.25</v>
      </c>
      <c r="Y1194" s="6">
        <v>1.25</v>
      </c>
      <c r="Z1194" s="6">
        <v>1.25</v>
      </c>
      <c r="AA1194" s="2"/>
      <c r="AB1194" s="2" t="s">
        <v>47</v>
      </c>
      <c r="AC1194" s="2"/>
    </row>
    <row r="1195" spans="1:29" ht="156" x14ac:dyDescent="0.15">
      <c r="A1195" s="3">
        <f>DATE(1993,8,2)</f>
        <v>34183</v>
      </c>
      <c r="B1195" s="3">
        <f>DATE(1993,11,23)</f>
        <v>34296</v>
      </c>
      <c r="C1195" s="2" t="s">
        <v>95</v>
      </c>
      <c r="D1195" s="2" t="s">
        <v>4023</v>
      </c>
      <c r="E1195" s="2" t="s">
        <v>4024</v>
      </c>
      <c r="F1195" s="4">
        <v>3316</v>
      </c>
      <c r="G1195" s="2" t="s">
        <v>163</v>
      </c>
      <c r="H1195" s="2" t="s">
        <v>34</v>
      </c>
      <c r="I1195" s="2" t="s">
        <v>4025</v>
      </c>
      <c r="J1195" s="2" t="s">
        <v>4026</v>
      </c>
      <c r="K1195" s="2" t="s">
        <v>163</v>
      </c>
      <c r="L1195" s="2" t="s">
        <v>34</v>
      </c>
      <c r="M1195" s="7">
        <v>492.32499999999999</v>
      </c>
      <c r="N1195" s="4">
        <v>23</v>
      </c>
      <c r="O1195" s="7">
        <v>23.875</v>
      </c>
      <c r="P1195" s="2" t="s">
        <v>4027</v>
      </c>
      <c r="Q1195" s="6">
        <v>100</v>
      </c>
      <c r="R1195" s="6">
        <v>5.97</v>
      </c>
      <c r="S1195" s="5">
        <v>2</v>
      </c>
      <c r="T1195" s="7">
        <v>18.306999999999999</v>
      </c>
      <c r="U1195" s="5">
        <v>0.5</v>
      </c>
      <c r="V1195" s="6">
        <v>0.24</v>
      </c>
      <c r="W1195" s="7">
        <v>4.125</v>
      </c>
      <c r="X1195" s="7">
        <v>4.375</v>
      </c>
      <c r="Y1195" s="7">
        <v>5.625</v>
      </c>
      <c r="Z1195" s="7">
        <v>5.8129999999999997</v>
      </c>
      <c r="AA1195" s="6">
        <v>8.5299999999999994</v>
      </c>
      <c r="AB1195" s="7">
        <v>10.839</v>
      </c>
      <c r="AC1195" s="6">
        <v>0.27</v>
      </c>
    </row>
    <row r="1196" spans="1:29" ht="143" x14ac:dyDescent="0.15">
      <c r="A1196" s="3">
        <f>DATE(1993,8,2)</f>
        <v>34183</v>
      </c>
      <c r="B1196" s="3">
        <f>DATE(1994,3,16)</f>
        <v>34409</v>
      </c>
      <c r="C1196" s="2" t="s">
        <v>95</v>
      </c>
      <c r="D1196" s="2" t="s">
        <v>4028</v>
      </c>
      <c r="E1196" s="2" t="s">
        <v>36</v>
      </c>
      <c r="F1196" s="4">
        <v>6021</v>
      </c>
      <c r="G1196" s="2" t="s">
        <v>37</v>
      </c>
      <c r="H1196" s="2" t="s">
        <v>34</v>
      </c>
      <c r="I1196" s="2" t="s">
        <v>1698</v>
      </c>
      <c r="J1196" s="2" t="s">
        <v>36</v>
      </c>
      <c r="K1196" s="2" t="s">
        <v>37</v>
      </c>
      <c r="L1196" s="2" t="s">
        <v>34</v>
      </c>
      <c r="M1196" s="2"/>
      <c r="N1196" s="7">
        <v>55.625</v>
      </c>
      <c r="O1196" s="7">
        <v>54.625</v>
      </c>
      <c r="P1196" s="2" t="s">
        <v>4029</v>
      </c>
      <c r="Q1196" s="6">
        <v>100</v>
      </c>
      <c r="R1196" s="6">
        <v>10.7</v>
      </c>
      <c r="S1196" s="5">
        <v>-1.7</v>
      </c>
      <c r="T1196" s="7">
        <v>4.9889999999999999</v>
      </c>
      <c r="U1196" s="5">
        <v>5.4</v>
      </c>
      <c r="V1196" s="6">
        <v>-0.19</v>
      </c>
      <c r="W1196" s="6">
        <v>10.25</v>
      </c>
      <c r="X1196" s="7">
        <v>10.375</v>
      </c>
      <c r="Y1196" s="7">
        <v>10.375</v>
      </c>
      <c r="Z1196" s="6">
        <v>10.25</v>
      </c>
      <c r="AA1196" s="6">
        <v>27.2</v>
      </c>
      <c r="AB1196" s="2" t="s">
        <v>86</v>
      </c>
      <c r="AC1196" s="2"/>
    </row>
    <row r="1197" spans="1:29" ht="143" x14ac:dyDescent="0.15">
      <c r="A1197" s="3">
        <f>DATE(1993,8,2)</f>
        <v>34183</v>
      </c>
      <c r="B1197" s="3">
        <f>DATE(1994,2,11)</f>
        <v>34376</v>
      </c>
      <c r="C1197" s="2" t="s">
        <v>95</v>
      </c>
      <c r="D1197" s="2" t="s">
        <v>2274</v>
      </c>
      <c r="E1197" s="2" t="s">
        <v>2275</v>
      </c>
      <c r="F1197" s="4">
        <v>8093</v>
      </c>
      <c r="G1197" s="2" t="s">
        <v>454</v>
      </c>
      <c r="H1197" s="2" t="s">
        <v>34</v>
      </c>
      <c r="I1197" s="2" t="s">
        <v>4030</v>
      </c>
      <c r="J1197" s="2" t="s">
        <v>4031</v>
      </c>
      <c r="K1197" s="2" t="s">
        <v>454</v>
      </c>
      <c r="L1197" s="2" t="s">
        <v>34</v>
      </c>
      <c r="M1197" s="7">
        <v>157.905</v>
      </c>
      <c r="N1197" s="5">
        <v>14.5</v>
      </c>
      <c r="O1197" s="6">
        <v>14.25</v>
      </c>
      <c r="P1197" s="2" t="s">
        <v>4032</v>
      </c>
      <c r="Q1197" s="6">
        <v>100</v>
      </c>
      <c r="R1197" s="6">
        <v>4.0599999999999996</v>
      </c>
      <c r="S1197" s="5">
        <v>-18.3</v>
      </c>
      <c r="T1197" s="7">
        <v>6.8639999999999999</v>
      </c>
      <c r="U1197" s="5">
        <v>3.3</v>
      </c>
      <c r="V1197" s="6">
        <v>-2.23</v>
      </c>
      <c r="W1197" s="5">
        <v>2.5</v>
      </c>
      <c r="X1197" s="7">
        <v>2.375</v>
      </c>
      <c r="Y1197" s="6">
        <v>3.25</v>
      </c>
      <c r="Z1197" s="6">
        <v>3.25</v>
      </c>
      <c r="AA1197" s="6">
        <v>8.1999999999999993</v>
      </c>
      <c r="AB1197" s="7">
        <v>13.896000000000001</v>
      </c>
      <c r="AC1197" s="6">
        <v>5.93</v>
      </c>
    </row>
    <row r="1198" spans="1:29" ht="130" x14ac:dyDescent="0.15">
      <c r="A1198" s="3">
        <f>DATE(1993,8,2)</f>
        <v>34183</v>
      </c>
      <c r="B1198" s="3">
        <f>DATE(1994,1,31)</f>
        <v>34365</v>
      </c>
      <c r="C1198" s="2" t="s">
        <v>95</v>
      </c>
      <c r="D1198" s="2" t="s">
        <v>4033</v>
      </c>
      <c r="E1198" s="2" t="s">
        <v>203</v>
      </c>
      <c r="F1198" s="4">
        <v>6035</v>
      </c>
      <c r="G1198" s="2" t="s">
        <v>33</v>
      </c>
      <c r="H1198" s="2" t="s">
        <v>34</v>
      </c>
      <c r="I1198" s="2" t="s">
        <v>67</v>
      </c>
      <c r="J1198" s="2" t="s">
        <v>36</v>
      </c>
      <c r="K1198" s="2" t="s">
        <v>37</v>
      </c>
      <c r="L1198" s="2" t="s">
        <v>34</v>
      </c>
      <c r="M1198" s="2"/>
      <c r="N1198" s="7">
        <v>47.125</v>
      </c>
      <c r="O1198" s="6">
        <v>47.25</v>
      </c>
      <c r="P1198" s="2" t="s">
        <v>4034</v>
      </c>
      <c r="Q1198" s="6">
        <v>100</v>
      </c>
      <c r="R1198" s="6">
        <v>16</v>
      </c>
      <c r="S1198" s="5">
        <v>2.6</v>
      </c>
      <c r="T1198" s="7">
        <v>4.6870000000000003</v>
      </c>
      <c r="U1198" s="5">
        <v>13.3</v>
      </c>
      <c r="V1198" s="2"/>
      <c r="W1198" s="6">
        <v>11.25</v>
      </c>
      <c r="X1198" s="6">
        <v>11.25</v>
      </c>
      <c r="Y1198" s="4">
        <v>15</v>
      </c>
      <c r="Z1198" s="7">
        <v>15.125</v>
      </c>
      <c r="AA1198" s="6">
        <v>2.62</v>
      </c>
      <c r="AB1198" s="7">
        <v>55.366999999999997</v>
      </c>
      <c r="AC1198" s="2"/>
    </row>
    <row r="1199" spans="1:29" ht="117" x14ac:dyDescent="0.15">
      <c r="A1199" s="3">
        <f>DATE(1993,8,4)</f>
        <v>34185</v>
      </c>
      <c r="B1199" s="2"/>
      <c r="C1199" s="2" t="s">
        <v>30</v>
      </c>
      <c r="D1199" s="2" t="s">
        <v>4035</v>
      </c>
      <c r="E1199" s="2" t="s">
        <v>4036</v>
      </c>
      <c r="F1199" s="4">
        <v>3589</v>
      </c>
      <c r="G1199" s="2" t="s">
        <v>300</v>
      </c>
      <c r="H1199" s="2" t="s">
        <v>34</v>
      </c>
      <c r="I1199" s="2" t="s">
        <v>4037</v>
      </c>
      <c r="J1199" s="2" t="s">
        <v>4038</v>
      </c>
      <c r="K1199" s="2" t="s">
        <v>98</v>
      </c>
      <c r="L1199" s="2" t="s">
        <v>34</v>
      </c>
      <c r="M1199" s="2"/>
      <c r="N1199" s="6">
        <v>13.75</v>
      </c>
      <c r="O1199" s="4">
        <v>14</v>
      </c>
      <c r="P1199" s="2" t="s">
        <v>4039</v>
      </c>
      <c r="Q1199" s="2"/>
      <c r="R1199" s="6">
        <v>23.38</v>
      </c>
      <c r="S1199" s="5">
        <v>8.6</v>
      </c>
      <c r="T1199" s="6">
        <v>18.22</v>
      </c>
      <c r="U1199" s="5">
        <v>2.4</v>
      </c>
      <c r="V1199" s="6">
        <v>0.38</v>
      </c>
      <c r="W1199" s="4">
        <v>20</v>
      </c>
      <c r="X1199" s="5">
        <v>22.5</v>
      </c>
      <c r="Y1199" s="4">
        <v>23</v>
      </c>
      <c r="Z1199" s="6">
        <v>23.25</v>
      </c>
      <c r="AA1199" s="6">
        <v>9.1</v>
      </c>
      <c r="AB1199" s="7">
        <v>40.430999999999997</v>
      </c>
      <c r="AC1199" s="6">
        <v>73.33</v>
      </c>
    </row>
    <row r="1200" spans="1:29" ht="156" x14ac:dyDescent="0.15">
      <c r="A1200" s="3">
        <f>DATE(1993,8,5)</f>
        <v>34186</v>
      </c>
      <c r="B1200" s="3">
        <f>DATE(1994,1,28)</f>
        <v>34362</v>
      </c>
      <c r="C1200" s="2" t="s">
        <v>95</v>
      </c>
      <c r="D1200" s="2" t="s">
        <v>4040</v>
      </c>
      <c r="E1200" s="2" t="s">
        <v>1008</v>
      </c>
      <c r="F1200" s="4">
        <v>6035</v>
      </c>
      <c r="G1200" s="2" t="s">
        <v>33</v>
      </c>
      <c r="H1200" s="2" t="s">
        <v>34</v>
      </c>
      <c r="I1200" s="2" t="s">
        <v>1201</v>
      </c>
      <c r="J1200" s="2" t="s">
        <v>36</v>
      </c>
      <c r="K1200" s="2" t="s">
        <v>37</v>
      </c>
      <c r="L1200" s="2" t="s">
        <v>34</v>
      </c>
      <c r="M1200" s="7">
        <v>338.24700000000001</v>
      </c>
      <c r="N1200" s="2"/>
      <c r="O1200" s="2"/>
      <c r="P1200" s="2" t="s">
        <v>4041</v>
      </c>
      <c r="Q1200" s="6">
        <v>100</v>
      </c>
      <c r="R1200" s="6">
        <v>18.7</v>
      </c>
      <c r="S1200" s="5">
        <v>9.6999999999999993</v>
      </c>
      <c r="T1200" s="7">
        <v>24.484000000000002</v>
      </c>
      <c r="U1200" s="5">
        <v>13.6</v>
      </c>
      <c r="V1200" s="6">
        <v>1.53</v>
      </c>
      <c r="W1200" s="5">
        <v>9.5</v>
      </c>
      <c r="X1200" s="4">
        <v>11</v>
      </c>
      <c r="Y1200" s="4">
        <v>13</v>
      </c>
      <c r="Z1200" s="7">
        <v>13.125</v>
      </c>
      <c r="AA1200" s="6">
        <v>9.15</v>
      </c>
      <c r="AB1200" s="7">
        <v>121.431</v>
      </c>
      <c r="AC1200" s="2"/>
    </row>
    <row r="1201" spans="1:29" ht="117" x14ac:dyDescent="0.15">
      <c r="A1201" s="3">
        <f>DATE(1993,8,5)</f>
        <v>34186</v>
      </c>
      <c r="B1201" s="2"/>
      <c r="C1201" s="2" t="s">
        <v>87</v>
      </c>
      <c r="D1201" s="2" t="s">
        <v>4042</v>
      </c>
      <c r="E1201" s="2" t="s">
        <v>4043</v>
      </c>
      <c r="F1201" s="4">
        <v>3715</v>
      </c>
      <c r="G1201" s="2" t="s">
        <v>105</v>
      </c>
      <c r="H1201" s="2" t="s">
        <v>34</v>
      </c>
      <c r="I1201" s="2" t="s">
        <v>4044</v>
      </c>
      <c r="J1201" s="2" t="s">
        <v>4045</v>
      </c>
      <c r="K1201" s="2" t="s">
        <v>370</v>
      </c>
      <c r="L1201" s="2" t="s">
        <v>34</v>
      </c>
      <c r="M1201" s="2"/>
      <c r="N1201" s="2"/>
      <c r="O1201" s="2"/>
      <c r="P1201" s="2" t="s">
        <v>4046</v>
      </c>
      <c r="Q1201" s="2"/>
      <c r="R1201" s="2"/>
      <c r="S1201" s="5">
        <v>-65.2</v>
      </c>
      <c r="T1201" s="7">
        <v>-13.141</v>
      </c>
      <c r="U1201" s="5">
        <v>-1.4</v>
      </c>
      <c r="V1201" s="6">
        <v>-5.36</v>
      </c>
      <c r="W1201" s="5">
        <v>4.5</v>
      </c>
      <c r="X1201" s="6">
        <v>4.25</v>
      </c>
      <c r="Y1201" s="6">
        <v>4.75</v>
      </c>
      <c r="Z1201" s="7">
        <v>5.375</v>
      </c>
      <c r="AA1201" s="6">
        <v>12.16</v>
      </c>
      <c r="AB1201" s="2" t="s">
        <v>86</v>
      </c>
      <c r="AC1201" s="2"/>
    </row>
    <row r="1202" spans="1:29" ht="130" x14ac:dyDescent="0.15">
      <c r="A1202" s="3">
        <f>DATE(1993,8,5)</f>
        <v>34186</v>
      </c>
      <c r="B1202" s="3">
        <f>DATE(1994,1,28)</f>
        <v>34362</v>
      </c>
      <c r="C1202" s="2" t="s">
        <v>95</v>
      </c>
      <c r="D1202" s="2" t="s">
        <v>4047</v>
      </c>
      <c r="E1202" s="2" t="s">
        <v>36</v>
      </c>
      <c r="F1202" s="4">
        <v>6021</v>
      </c>
      <c r="G1202" s="2" t="s">
        <v>37</v>
      </c>
      <c r="H1202" s="2" t="s">
        <v>34</v>
      </c>
      <c r="I1202" s="2" t="s">
        <v>4048</v>
      </c>
      <c r="J1202" s="2" t="s">
        <v>36</v>
      </c>
      <c r="K1202" s="2" t="s">
        <v>37</v>
      </c>
      <c r="L1202" s="2" t="s">
        <v>34</v>
      </c>
      <c r="M1202" s="2"/>
      <c r="N1202" s="4">
        <v>29</v>
      </c>
      <c r="O1202" s="7">
        <v>29.375</v>
      </c>
      <c r="P1202" s="2" t="s">
        <v>4049</v>
      </c>
      <c r="Q1202" s="6">
        <v>100</v>
      </c>
      <c r="R1202" s="6">
        <v>44.63</v>
      </c>
      <c r="S1202" s="5">
        <v>6.6</v>
      </c>
      <c r="T1202" s="7">
        <v>10.589</v>
      </c>
      <c r="U1202" s="5">
        <v>21.3</v>
      </c>
      <c r="V1202" s="6">
        <v>2.5499999999999998</v>
      </c>
      <c r="W1202" s="4">
        <v>35</v>
      </c>
      <c r="X1202" s="5">
        <v>35.5</v>
      </c>
      <c r="Y1202" s="6">
        <v>41.25</v>
      </c>
      <c r="Z1202" s="5">
        <v>40.5</v>
      </c>
      <c r="AA1202" s="6">
        <v>2.9</v>
      </c>
      <c r="AB1202" s="7">
        <v>38.75</v>
      </c>
      <c r="AC1202" s="2"/>
    </row>
    <row r="1203" spans="1:29" ht="156" x14ac:dyDescent="0.15">
      <c r="A1203" s="3">
        <f>DATE(1993,8,5)</f>
        <v>34186</v>
      </c>
      <c r="B1203" s="3">
        <f>DATE(1994,1,28)</f>
        <v>34362</v>
      </c>
      <c r="C1203" s="2" t="s">
        <v>95</v>
      </c>
      <c r="D1203" s="2" t="s">
        <v>4050</v>
      </c>
      <c r="E1203" s="2" t="s">
        <v>398</v>
      </c>
      <c r="F1203" s="4">
        <v>7812</v>
      </c>
      <c r="G1203" s="2" t="s">
        <v>42</v>
      </c>
      <c r="H1203" s="2" t="s">
        <v>34</v>
      </c>
      <c r="I1203" s="2" t="s">
        <v>2599</v>
      </c>
      <c r="J1203" s="2" t="s">
        <v>2600</v>
      </c>
      <c r="K1203" s="2" t="s">
        <v>45</v>
      </c>
      <c r="L1203" s="2" t="s">
        <v>34</v>
      </c>
      <c r="M1203" s="12">
        <v>3801.107</v>
      </c>
      <c r="N1203" s="4">
        <v>21</v>
      </c>
      <c r="O1203" s="5">
        <v>21.5</v>
      </c>
      <c r="P1203" s="2" t="s">
        <v>4051</v>
      </c>
      <c r="Q1203" s="6">
        <v>100</v>
      </c>
      <c r="R1203" s="6">
        <v>22.65</v>
      </c>
      <c r="S1203" s="5">
        <v>6.4</v>
      </c>
      <c r="T1203" s="7">
        <v>140.63900000000001</v>
      </c>
      <c r="U1203" s="5">
        <v>5.7</v>
      </c>
      <c r="V1203" s="6">
        <v>0.45</v>
      </c>
      <c r="W1203" s="6">
        <v>14.75</v>
      </c>
      <c r="X1203" s="7">
        <v>14.625</v>
      </c>
      <c r="Y1203" s="5">
        <v>16.5</v>
      </c>
      <c r="Z1203" s="6">
        <v>16.25</v>
      </c>
      <c r="AA1203" s="6">
        <v>15.74</v>
      </c>
      <c r="AB1203" s="7">
        <v>60.71</v>
      </c>
      <c r="AC1203" s="6">
        <v>126.26</v>
      </c>
    </row>
    <row r="1204" spans="1:29" ht="104" x14ac:dyDescent="0.15">
      <c r="A1204" s="3">
        <f>DATE(1993,8,9)</f>
        <v>34190</v>
      </c>
      <c r="B1204" s="2"/>
      <c r="C1204" s="2" t="s">
        <v>30</v>
      </c>
      <c r="D1204" s="2" t="s">
        <v>3991</v>
      </c>
      <c r="E1204" s="2" t="s">
        <v>2712</v>
      </c>
      <c r="F1204" s="4">
        <v>6211</v>
      </c>
      <c r="G1204" s="2" t="s">
        <v>53</v>
      </c>
      <c r="H1204" s="2" t="s">
        <v>34</v>
      </c>
      <c r="I1204" s="2" t="s">
        <v>138</v>
      </c>
      <c r="J1204" s="2" t="s">
        <v>139</v>
      </c>
      <c r="K1204" s="2" t="s">
        <v>53</v>
      </c>
      <c r="L1204" s="2" t="s">
        <v>139</v>
      </c>
      <c r="M1204" s="2"/>
      <c r="N1204" s="2"/>
      <c r="O1204" s="2"/>
      <c r="P1204" s="2" t="s">
        <v>4052</v>
      </c>
      <c r="Q1204" s="2"/>
      <c r="R1204" s="2"/>
      <c r="S1204" s="5">
        <v>0.2</v>
      </c>
      <c r="T1204" s="7">
        <v>1.641</v>
      </c>
      <c r="U1204" s="5">
        <v>7.1</v>
      </c>
      <c r="V1204" s="6">
        <v>0.34</v>
      </c>
      <c r="W1204" s="5">
        <v>5.5</v>
      </c>
      <c r="X1204" s="5">
        <v>6.5</v>
      </c>
      <c r="Y1204" s="6">
        <v>6.75</v>
      </c>
      <c r="Z1204" s="6">
        <v>6.75</v>
      </c>
      <c r="AA1204" s="2"/>
      <c r="AB1204" s="2" t="s">
        <v>47</v>
      </c>
      <c r="AC1204" s="2"/>
    </row>
    <row r="1205" spans="1:29" ht="117" x14ac:dyDescent="0.15">
      <c r="A1205" s="3">
        <f>DATE(1993,8,9)</f>
        <v>34190</v>
      </c>
      <c r="B1205" s="2"/>
      <c r="C1205" s="2" t="s">
        <v>30</v>
      </c>
      <c r="D1205" s="2" t="s">
        <v>3991</v>
      </c>
      <c r="E1205" s="2" t="s">
        <v>2712</v>
      </c>
      <c r="F1205" s="4">
        <v>6211</v>
      </c>
      <c r="G1205" s="2" t="s">
        <v>53</v>
      </c>
      <c r="H1205" s="2" t="s">
        <v>34</v>
      </c>
      <c r="I1205" s="2" t="s">
        <v>4053</v>
      </c>
      <c r="J1205" s="2" t="s">
        <v>367</v>
      </c>
      <c r="K1205" s="2" t="s">
        <v>53</v>
      </c>
      <c r="L1205" s="2" t="s">
        <v>34</v>
      </c>
      <c r="M1205" s="2"/>
      <c r="N1205" s="2"/>
      <c r="O1205" s="2"/>
      <c r="P1205" s="2" t="s">
        <v>4054</v>
      </c>
      <c r="Q1205" s="2"/>
      <c r="R1205" s="2"/>
      <c r="S1205" s="5">
        <v>0.2</v>
      </c>
      <c r="T1205" s="7">
        <v>1.641</v>
      </c>
      <c r="U1205" s="5">
        <v>7.1</v>
      </c>
      <c r="V1205" s="6">
        <v>0.34</v>
      </c>
      <c r="W1205" s="5">
        <v>5.5</v>
      </c>
      <c r="X1205" s="5">
        <v>6.5</v>
      </c>
      <c r="Y1205" s="6">
        <v>6.75</v>
      </c>
      <c r="Z1205" s="6">
        <v>6.75</v>
      </c>
      <c r="AA1205" s="2"/>
      <c r="AB1205" s="2" t="s">
        <v>47</v>
      </c>
      <c r="AC1205" s="2"/>
    </row>
    <row r="1206" spans="1:29" ht="65" x14ac:dyDescent="0.15">
      <c r="A1206" s="3">
        <f>DATE(1993,8,11)</f>
        <v>34192</v>
      </c>
      <c r="B1206" s="2"/>
      <c r="C1206" s="2" t="s">
        <v>189</v>
      </c>
      <c r="D1206" s="2" t="s">
        <v>3463</v>
      </c>
      <c r="E1206" s="2" t="s">
        <v>367</v>
      </c>
      <c r="F1206" s="4">
        <v>6211</v>
      </c>
      <c r="G1206" s="2" t="s">
        <v>53</v>
      </c>
      <c r="H1206" s="2" t="s">
        <v>34</v>
      </c>
      <c r="I1206" s="2" t="s">
        <v>143</v>
      </c>
      <c r="J1206" s="2" t="s">
        <v>144</v>
      </c>
      <c r="K1206" s="2" t="s">
        <v>53</v>
      </c>
      <c r="L1206" s="2" t="s">
        <v>139</v>
      </c>
      <c r="M1206" s="2"/>
      <c r="N1206" s="2"/>
      <c r="O1206" s="2"/>
      <c r="P1206" s="2" t="s">
        <v>4055</v>
      </c>
      <c r="Q1206" s="2"/>
      <c r="R1206" s="2"/>
      <c r="S1206" s="5">
        <v>4.9000000000000004</v>
      </c>
      <c r="T1206" s="2"/>
      <c r="U1206" s="5">
        <v>11.3</v>
      </c>
      <c r="V1206" s="2"/>
      <c r="W1206" s="7">
        <v>12.188000000000001</v>
      </c>
      <c r="X1206" s="7">
        <v>12.125</v>
      </c>
      <c r="Y1206" s="4">
        <v>13</v>
      </c>
      <c r="Z1206" s="4">
        <v>13</v>
      </c>
      <c r="AA1206" s="6">
        <v>2.63</v>
      </c>
      <c r="AB1206" s="2" t="s">
        <v>47</v>
      </c>
      <c r="AC1206" s="2"/>
    </row>
    <row r="1207" spans="1:29" ht="65" x14ac:dyDescent="0.15">
      <c r="A1207" s="3">
        <f>DATE(1993,8,11)</f>
        <v>34192</v>
      </c>
      <c r="B1207" s="2"/>
      <c r="C1207" s="2" t="s">
        <v>141</v>
      </c>
      <c r="D1207" s="2" t="s">
        <v>4056</v>
      </c>
      <c r="E1207" s="2" t="s">
        <v>4057</v>
      </c>
      <c r="F1207" s="4">
        <v>3679</v>
      </c>
      <c r="G1207" s="2" t="s">
        <v>137</v>
      </c>
      <c r="H1207" s="2" t="s">
        <v>34</v>
      </c>
      <c r="I1207" s="2" t="s">
        <v>143</v>
      </c>
      <c r="J1207" s="2" t="s">
        <v>144</v>
      </c>
      <c r="K1207" s="2" t="s">
        <v>53</v>
      </c>
      <c r="L1207" s="2" t="s">
        <v>139</v>
      </c>
      <c r="M1207" s="2"/>
      <c r="N1207" s="2"/>
      <c r="O1207" s="2"/>
      <c r="P1207" s="2" t="s">
        <v>4058</v>
      </c>
      <c r="Q1207" s="2"/>
      <c r="R1207" s="2"/>
      <c r="S1207" s="5">
        <v>1</v>
      </c>
      <c r="T1207" s="7">
        <v>3.4409999999999998</v>
      </c>
      <c r="U1207" s="5">
        <v>3.6</v>
      </c>
      <c r="V1207" s="9">
        <v>0.14680000000000001</v>
      </c>
      <c r="W1207" s="5">
        <v>3.5</v>
      </c>
      <c r="X1207" s="7">
        <v>3.625</v>
      </c>
      <c r="Y1207" s="4">
        <v>4</v>
      </c>
      <c r="Z1207" s="4">
        <v>4</v>
      </c>
      <c r="AA1207" s="2"/>
      <c r="AB1207" s="2" t="s">
        <v>47</v>
      </c>
      <c r="AC1207" s="2"/>
    </row>
    <row r="1208" spans="1:29" ht="52" x14ac:dyDescent="0.15">
      <c r="A1208" s="3">
        <f>DATE(1993,8,12)</f>
        <v>34193</v>
      </c>
      <c r="B1208" s="2"/>
      <c r="C1208" s="2" t="s">
        <v>82</v>
      </c>
      <c r="D1208" s="2" t="s">
        <v>4028</v>
      </c>
      <c r="E1208" s="2" t="s">
        <v>36</v>
      </c>
      <c r="F1208" s="4">
        <v>6021</v>
      </c>
      <c r="G1208" s="2" t="s">
        <v>37</v>
      </c>
      <c r="H1208" s="2" t="s">
        <v>34</v>
      </c>
      <c r="I1208" s="2" t="s">
        <v>4059</v>
      </c>
      <c r="J1208" s="2" t="s">
        <v>4060</v>
      </c>
      <c r="K1208" s="2" t="s">
        <v>37</v>
      </c>
      <c r="L1208" s="2" t="s">
        <v>34</v>
      </c>
      <c r="M1208" s="2"/>
      <c r="N1208" s="7">
        <v>54.375</v>
      </c>
      <c r="O1208" s="4">
        <v>54</v>
      </c>
      <c r="P1208" s="2" t="s">
        <v>4061</v>
      </c>
      <c r="Q1208" s="2"/>
      <c r="R1208" s="2"/>
      <c r="S1208" s="5">
        <v>-1.7</v>
      </c>
      <c r="T1208" s="7">
        <v>4.9889999999999999</v>
      </c>
      <c r="U1208" s="5">
        <v>5.4</v>
      </c>
      <c r="V1208" s="6">
        <v>-0.19</v>
      </c>
      <c r="W1208" s="6">
        <v>10.25</v>
      </c>
      <c r="X1208" s="7">
        <v>10.375</v>
      </c>
      <c r="Y1208" s="7">
        <v>10.375</v>
      </c>
      <c r="Z1208" s="6">
        <v>10.25</v>
      </c>
      <c r="AA1208" s="2"/>
      <c r="AB1208" s="2" t="s">
        <v>86</v>
      </c>
      <c r="AC1208" s="2"/>
    </row>
    <row r="1209" spans="1:29" ht="130" x14ac:dyDescent="0.15">
      <c r="A1209" s="3">
        <f>DATE(1993,8,12)</f>
        <v>34193</v>
      </c>
      <c r="B1209" s="3">
        <f>DATE(1994,11,3)</f>
        <v>34641</v>
      </c>
      <c r="C1209" s="2" t="s">
        <v>95</v>
      </c>
      <c r="D1209" s="2" t="s">
        <v>4062</v>
      </c>
      <c r="E1209" s="2" t="s">
        <v>4063</v>
      </c>
      <c r="F1209" s="4">
        <v>2033</v>
      </c>
      <c r="G1209" s="2" t="s">
        <v>577</v>
      </c>
      <c r="H1209" s="2" t="s">
        <v>34</v>
      </c>
      <c r="I1209" s="2" t="s">
        <v>4064</v>
      </c>
      <c r="J1209" s="2" t="s">
        <v>4065</v>
      </c>
      <c r="K1209" s="2" t="s">
        <v>223</v>
      </c>
      <c r="L1209" s="2" t="s">
        <v>34</v>
      </c>
      <c r="M1209" s="2"/>
      <c r="N1209" s="2"/>
      <c r="O1209" s="2"/>
      <c r="P1209" s="2" t="s">
        <v>4066</v>
      </c>
      <c r="Q1209" s="6">
        <v>100</v>
      </c>
      <c r="R1209" s="6">
        <v>19</v>
      </c>
      <c r="S1209" s="5">
        <v>10.1</v>
      </c>
      <c r="T1209" s="7">
        <v>73.567999999999998</v>
      </c>
      <c r="U1209" s="5">
        <v>9.3000000000000007</v>
      </c>
      <c r="V1209" s="6">
        <v>1.17</v>
      </c>
      <c r="W1209" s="7">
        <v>14.375</v>
      </c>
      <c r="X1209" s="7">
        <v>14.125</v>
      </c>
      <c r="Y1209" s="6">
        <v>15.25</v>
      </c>
      <c r="Z1209" s="6">
        <v>14.75</v>
      </c>
      <c r="AA1209" s="6">
        <v>8.64</v>
      </c>
      <c r="AB1209" s="7">
        <v>8.0579999999999998</v>
      </c>
      <c r="AC1209" s="6">
        <v>18.98</v>
      </c>
    </row>
    <row r="1210" spans="1:29" ht="91" x14ac:dyDescent="0.15">
      <c r="A1210" s="3">
        <f>DATE(1993,8,12)</f>
        <v>34193</v>
      </c>
      <c r="B1210" s="3">
        <f>DATE(1993,12,31)</f>
        <v>34334</v>
      </c>
      <c r="C1210" s="2" t="s">
        <v>95</v>
      </c>
      <c r="D1210" s="2" t="s">
        <v>4067</v>
      </c>
      <c r="E1210" s="2" t="s">
        <v>4068</v>
      </c>
      <c r="F1210" s="4">
        <v>3823</v>
      </c>
      <c r="G1210" s="2" t="s">
        <v>226</v>
      </c>
      <c r="H1210" s="2" t="s">
        <v>34</v>
      </c>
      <c r="I1210" s="2" t="s">
        <v>4069</v>
      </c>
      <c r="J1210" s="2" t="s">
        <v>4070</v>
      </c>
      <c r="K1210" s="2" t="s">
        <v>137</v>
      </c>
      <c r="L1210" s="2" t="s">
        <v>34</v>
      </c>
      <c r="M1210" s="2"/>
      <c r="N1210" s="2"/>
      <c r="O1210" s="2"/>
      <c r="P1210" s="2" t="s">
        <v>4071</v>
      </c>
      <c r="Q1210" s="6">
        <v>51.5</v>
      </c>
      <c r="R1210" s="6">
        <v>6</v>
      </c>
      <c r="S1210" s="5">
        <v>0.1</v>
      </c>
      <c r="T1210" s="7">
        <v>0.51700000000000002</v>
      </c>
      <c r="U1210" s="5">
        <v>4.4000000000000004</v>
      </c>
      <c r="V1210" s="6">
        <v>0.13</v>
      </c>
      <c r="W1210" s="6">
        <v>5.25</v>
      </c>
      <c r="X1210" s="9">
        <v>5.0625</v>
      </c>
      <c r="Y1210" s="5">
        <v>5.5</v>
      </c>
      <c r="Z1210" s="6">
        <v>5.75</v>
      </c>
      <c r="AA1210" s="6">
        <v>1</v>
      </c>
      <c r="AB1210" s="7">
        <v>47.256999999999998</v>
      </c>
      <c r="AC1210" s="2"/>
    </row>
    <row r="1211" spans="1:29" ht="65" x14ac:dyDescent="0.15">
      <c r="A1211" s="3">
        <f>DATE(1993,8,12)</f>
        <v>34193</v>
      </c>
      <c r="B1211" s="3">
        <f>DATE(1994,1,20)</f>
        <v>34354</v>
      </c>
      <c r="C1211" s="2" t="s">
        <v>95</v>
      </c>
      <c r="D1211" s="2" t="s">
        <v>4067</v>
      </c>
      <c r="E1211" s="2" t="s">
        <v>4068</v>
      </c>
      <c r="F1211" s="4">
        <v>3823</v>
      </c>
      <c r="G1211" s="2" t="s">
        <v>226</v>
      </c>
      <c r="H1211" s="2" t="s">
        <v>34</v>
      </c>
      <c r="I1211" s="2" t="s">
        <v>4069</v>
      </c>
      <c r="J1211" s="2" t="s">
        <v>4070</v>
      </c>
      <c r="K1211" s="2" t="s">
        <v>137</v>
      </c>
      <c r="L1211" s="2" t="s">
        <v>34</v>
      </c>
      <c r="M1211" s="2"/>
      <c r="N1211" s="2"/>
      <c r="O1211" s="2"/>
      <c r="P1211" s="2" t="s">
        <v>4072</v>
      </c>
      <c r="Q1211" s="6">
        <v>48.5</v>
      </c>
      <c r="R1211" s="6">
        <v>6</v>
      </c>
      <c r="S1211" s="5">
        <v>0.1</v>
      </c>
      <c r="T1211" s="7">
        <v>0.51700000000000002</v>
      </c>
      <c r="U1211" s="5">
        <v>4.4000000000000004</v>
      </c>
      <c r="V1211" s="6">
        <v>0.13</v>
      </c>
      <c r="W1211" s="6">
        <v>5.25</v>
      </c>
      <c r="X1211" s="9">
        <v>5.0625</v>
      </c>
      <c r="Y1211" s="5">
        <v>5.5</v>
      </c>
      <c r="Z1211" s="6">
        <v>5.75</v>
      </c>
      <c r="AA1211" s="6">
        <v>1</v>
      </c>
      <c r="AB1211" s="7">
        <v>47.256999999999998</v>
      </c>
      <c r="AC1211" s="2"/>
    </row>
    <row r="1212" spans="1:29" ht="156" x14ac:dyDescent="0.15">
      <c r="A1212" s="3">
        <f>DATE(1993,8,12)</f>
        <v>34193</v>
      </c>
      <c r="B1212" s="3">
        <f>DATE(1993,9,22)</f>
        <v>34234</v>
      </c>
      <c r="C1212" s="2" t="s">
        <v>95</v>
      </c>
      <c r="D1212" s="2" t="s">
        <v>4073</v>
      </c>
      <c r="E1212" s="2" t="s">
        <v>4074</v>
      </c>
      <c r="F1212" s="4">
        <v>6792</v>
      </c>
      <c r="G1212" s="2" t="s">
        <v>53</v>
      </c>
      <c r="H1212" s="2" t="s">
        <v>34</v>
      </c>
      <c r="I1212" s="2" t="s">
        <v>4075</v>
      </c>
      <c r="J1212" s="2" t="s">
        <v>4076</v>
      </c>
      <c r="K1212" s="2" t="s">
        <v>148</v>
      </c>
      <c r="L1212" s="2" t="s">
        <v>34</v>
      </c>
      <c r="M1212" s="2"/>
      <c r="N1212" s="2"/>
      <c r="O1212" s="2"/>
      <c r="P1212" s="2" t="s">
        <v>4077</v>
      </c>
      <c r="Q1212" s="6">
        <v>66.97</v>
      </c>
      <c r="R1212" s="6">
        <v>4.8499999999999996</v>
      </c>
      <c r="S1212" s="5">
        <v>21</v>
      </c>
      <c r="T1212" s="2"/>
      <c r="U1212" s="5">
        <v>0.1</v>
      </c>
      <c r="V1212" s="9">
        <v>0.45119999999999999</v>
      </c>
      <c r="W1212" s="7">
        <v>3.875</v>
      </c>
      <c r="X1212" s="7">
        <v>3.875</v>
      </c>
      <c r="Y1212" s="6">
        <v>4.75</v>
      </c>
      <c r="Z1212" s="6">
        <v>4.75</v>
      </c>
      <c r="AA1212" s="6">
        <v>46.6</v>
      </c>
      <c r="AB1212" s="7">
        <v>10.669</v>
      </c>
      <c r="AC1212" s="2"/>
    </row>
    <row r="1213" spans="1:29" ht="156" x14ac:dyDescent="0.15">
      <c r="A1213" s="3">
        <f>DATE(1993,8,13)</f>
        <v>34194</v>
      </c>
      <c r="B1213" s="3">
        <f>DATE(1993,12,2)</f>
        <v>34305</v>
      </c>
      <c r="C1213" s="2" t="s">
        <v>95</v>
      </c>
      <c r="D1213" s="2" t="s">
        <v>3803</v>
      </c>
      <c r="E1213" s="2" t="s">
        <v>3804</v>
      </c>
      <c r="F1213" s="4">
        <v>4011</v>
      </c>
      <c r="G1213" s="2" t="s">
        <v>173</v>
      </c>
      <c r="H1213" s="2" t="s">
        <v>34</v>
      </c>
      <c r="I1213" s="2" t="s">
        <v>3808</v>
      </c>
      <c r="J1213" s="2" t="s">
        <v>3809</v>
      </c>
      <c r="K1213" s="2" t="s">
        <v>708</v>
      </c>
      <c r="L1213" s="2" t="s">
        <v>34</v>
      </c>
      <c r="M1213" s="7">
        <v>311.32499999999999</v>
      </c>
      <c r="N1213" s="5">
        <v>21.5</v>
      </c>
      <c r="O1213" s="7">
        <v>22.375</v>
      </c>
      <c r="P1213" s="2" t="s">
        <v>4078</v>
      </c>
      <c r="Q1213" s="6">
        <v>100</v>
      </c>
      <c r="R1213" s="6">
        <v>40</v>
      </c>
      <c r="S1213" s="5">
        <v>7.1</v>
      </c>
      <c r="T1213" s="7">
        <v>119.548</v>
      </c>
      <c r="U1213" s="5">
        <v>36.9</v>
      </c>
      <c r="V1213" s="6">
        <v>2.06</v>
      </c>
      <c r="W1213" s="6">
        <v>28.75</v>
      </c>
      <c r="X1213" s="5">
        <v>30.5</v>
      </c>
      <c r="Y1213" s="6">
        <v>35.25</v>
      </c>
      <c r="Z1213" s="6">
        <v>36.25</v>
      </c>
      <c r="AA1213" s="6">
        <v>3.44</v>
      </c>
      <c r="AB1213" s="7">
        <v>6.5060000000000002</v>
      </c>
      <c r="AC1213" s="6">
        <v>4.67</v>
      </c>
    </row>
    <row r="1214" spans="1:29" ht="65" x14ac:dyDescent="0.15">
      <c r="A1214" s="3">
        <f>DATE(1993,8,16)</f>
        <v>34197</v>
      </c>
      <c r="B1214" s="3">
        <f>DATE(1993,10,1)</f>
        <v>34243</v>
      </c>
      <c r="C1214" s="2" t="s">
        <v>95</v>
      </c>
      <c r="D1214" s="2" t="s">
        <v>4079</v>
      </c>
      <c r="E1214" s="2" t="s">
        <v>4080</v>
      </c>
      <c r="F1214" s="4">
        <v>6311</v>
      </c>
      <c r="G1214" s="2" t="s">
        <v>125</v>
      </c>
      <c r="H1214" s="2" t="s">
        <v>34</v>
      </c>
      <c r="I1214" s="2" t="s">
        <v>4081</v>
      </c>
      <c r="J1214" s="2" t="s">
        <v>4015</v>
      </c>
      <c r="K1214" s="2" t="s">
        <v>125</v>
      </c>
      <c r="L1214" s="2" t="s">
        <v>34</v>
      </c>
      <c r="M1214" s="2"/>
      <c r="N1214" s="7">
        <v>59.375</v>
      </c>
      <c r="O1214" s="4">
        <v>59</v>
      </c>
      <c r="P1214" s="2" t="s">
        <v>4082</v>
      </c>
      <c r="Q1214" s="6">
        <v>24.4</v>
      </c>
      <c r="R1214" s="6">
        <v>21.62</v>
      </c>
      <c r="S1214" s="5">
        <v>55.3</v>
      </c>
      <c r="T1214" s="5">
        <v>118.3</v>
      </c>
      <c r="U1214" s="5">
        <v>0.2</v>
      </c>
      <c r="V1214" s="6">
        <v>1.88</v>
      </c>
      <c r="W1214" s="7">
        <v>23.375</v>
      </c>
      <c r="X1214" s="7">
        <v>24.125</v>
      </c>
      <c r="Y1214" s="5">
        <v>24.5</v>
      </c>
      <c r="Z1214" s="4">
        <v>24</v>
      </c>
      <c r="AA1214" s="6">
        <v>54.51</v>
      </c>
      <c r="AB1214" s="7">
        <v>15.058</v>
      </c>
      <c r="AC1214" s="5">
        <v>666.6</v>
      </c>
    </row>
    <row r="1215" spans="1:29" ht="195" x14ac:dyDescent="0.15">
      <c r="A1215" s="3">
        <f>DATE(1993,8,16)</f>
        <v>34197</v>
      </c>
      <c r="B1215" s="3">
        <f>DATE(1994,9,19)</f>
        <v>34596</v>
      </c>
      <c r="C1215" s="2" t="s">
        <v>95</v>
      </c>
      <c r="D1215" s="2" t="s">
        <v>4083</v>
      </c>
      <c r="E1215" s="2" t="s">
        <v>4084</v>
      </c>
      <c r="F1215" s="4">
        <v>4812</v>
      </c>
      <c r="G1215" s="2" t="s">
        <v>63</v>
      </c>
      <c r="H1215" s="2" t="s">
        <v>34</v>
      </c>
      <c r="I1215" s="2" t="s">
        <v>1478</v>
      </c>
      <c r="J1215" s="2" t="s">
        <v>1479</v>
      </c>
      <c r="K1215" s="2" t="s">
        <v>63</v>
      </c>
      <c r="L1215" s="2" t="s">
        <v>34</v>
      </c>
      <c r="M1215" s="12">
        <v>86578.481</v>
      </c>
      <c r="N1215" s="6">
        <v>60.75</v>
      </c>
      <c r="O1215" s="7">
        <v>60.875</v>
      </c>
      <c r="P1215" s="2" t="s">
        <v>4085</v>
      </c>
      <c r="Q1215" s="6">
        <v>89.45</v>
      </c>
      <c r="R1215" s="6">
        <v>62.38</v>
      </c>
      <c r="S1215" s="5">
        <v>-93</v>
      </c>
      <c r="T1215" s="7">
        <v>787.23599999999999</v>
      </c>
      <c r="U1215" s="5">
        <v>-0.2</v>
      </c>
      <c r="V1215" s="6">
        <v>-1.1200000000000001</v>
      </c>
      <c r="W1215" s="6">
        <v>23.75</v>
      </c>
      <c r="X1215" s="7">
        <v>24.625</v>
      </c>
      <c r="Y1215" s="6">
        <v>26.75</v>
      </c>
      <c r="Z1215" s="4">
        <v>32</v>
      </c>
      <c r="AA1215" s="6">
        <v>208.59</v>
      </c>
      <c r="AB1215" s="7">
        <v>50.222000000000001</v>
      </c>
      <c r="AC1215" s="5">
        <v>532</v>
      </c>
    </row>
    <row r="1216" spans="1:29" ht="104" x14ac:dyDescent="0.15">
      <c r="A1216" s="3">
        <f>DATE(1993,8,16)</f>
        <v>34197</v>
      </c>
      <c r="B1216" s="3">
        <f>DATE(1994,2,11)</f>
        <v>34376</v>
      </c>
      <c r="C1216" s="2" t="s">
        <v>95</v>
      </c>
      <c r="D1216" s="2" t="s">
        <v>3969</v>
      </c>
      <c r="E1216" s="2" t="s">
        <v>3970</v>
      </c>
      <c r="F1216" s="4">
        <v>8071</v>
      </c>
      <c r="G1216" s="2" t="s">
        <v>454</v>
      </c>
      <c r="H1216" s="2" t="s">
        <v>34</v>
      </c>
      <c r="I1216" s="2" t="s">
        <v>4086</v>
      </c>
      <c r="J1216" s="2" t="s">
        <v>330</v>
      </c>
      <c r="K1216" s="2" t="s">
        <v>98</v>
      </c>
      <c r="L1216" s="2" t="s">
        <v>34</v>
      </c>
      <c r="M1216" s="7">
        <v>44.308999999999997</v>
      </c>
      <c r="N1216" s="7">
        <v>5.375</v>
      </c>
      <c r="O1216" s="5">
        <v>5.5</v>
      </c>
      <c r="P1216" s="2" t="s">
        <v>4087</v>
      </c>
      <c r="Q1216" s="6">
        <v>100</v>
      </c>
      <c r="R1216" s="6">
        <v>1.37</v>
      </c>
      <c r="S1216" s="5">
        <v>-2</v>
      </c>
      <c r="T1216" s="7">
        <v>-0.623</v>
      </c>
      <c r="U1216" s="5">
        <v>0.6</v>
      </c>
      <c r="V1216" s="6">
        <v>-0.72</v>
      </c>
      <c r="W1216" s="4">
        <v>1</v>
      </c>
      <c r="X1216" s="4">
        <v>1</v>
      </c>
      <c r="Y1216" s="7">
        <v>1.375</v>
      </c>
      <c r="Z1216" s="9">
        <v>1.1875</v>
      </c>
      <c r="AA1216" s="6">
        <v>3.03</v>
      </c>
      <c r="AB1216" s="2" t="s">
        <v>86</v>
      </c>
      <c r="AC1216" s="2"/>
    </row>
    <row r="1217" spans="1:29" ht="65" x14ac:dyDescent="0.15">
      <c r="A1217" s="3">
        <f>DATE(1993,8,17)</f>
        <v>34198</v>
      </c>
      <c r="B1217" s="2"/>
      <c r="C1217" s="2" t="s">
        <v>30</v>
      </c>
      <c r="D1217" s="2" t="s">
        <v>3912</v>
      </c>
      <c r="E1217" s="2" t="s">
        <v>3913</v>
      </c>
      <c r="F1217" s="4">
        <v>4841</v>
      </c>
      <c r="G1217" s="2" t="s">
        <v>45</v>
      </c>
      <c r="H1217" s="2" t="s">
        <v>34</v>
      </c>
      <c r="I1217" s="2" t="s">
        <v>4088</v>
      </c>
      <c r="J1217" s="2" t="s">
        <v>4089</v>
      </c>
      <c r="K1217" s="2" t="s">
        <v>364</v>
      </c>
      <c r="L1217" s="2" t="s">
        <v>34</v>
      </c>
      <c r="M1217" s="2"/>
      <c r="N1217" s="2"/>
      <c r="O1217" s="2"/>
      <c r="P1217" s="2" t="s">
        <v>4090</v>
      </c>
      <c r="Q1217" s="2"/>
      <c r="R1217" s="6">
        <v>12</v>
      </c>
      <c r="S1217" s="5">
        <v>-0.2</v>
      </c>
      <c r="T1217" s="7">
        <v>-1.1319999999999999</v>
      </c>
      <c r="U1217" s="5">
        <v>2.2000000000000002</v>
      </c>
      <c r="V1217" s="7">
        <v>-1.5149999999999999</v>
      </c>
      <c r="W1217" s="7">
        <v>5.7190000000000003</v>
      </c>
      <c r="X1217" s="7">
        <v>6.375</v>
      </c>
      <c r="Y1217" s="7">
        <v>7.875</v>
      </c>
      <c r="Z1217" s="7">
        <v>7.4379999999999997</v>
      </c>
      <c r="AA1217" s="6">
        <v>12.5</v>
      </c>
      <c r="AB1217" s="2" t="s">
        <v>86</v>
      </c>
      <c r="AC1217" s="2"/>
    </row>
    <row r="1218" spans="1:29" ht="169" x14ac:dyDescent="0.15">
      <c r="A1218" s="3">
        <f>DATE(1993,8,17)</f>
        <v>34198</v>
      </c>
      <c r="B1218" s="3">
        <f>DATE(1994,2,4)</f>
        <v>34369</v>
      </c>
      <c r="C1218" s="2" t="s">
        <v>95</v>
      </c>
      <c r="D1218" s="2" t="s">
        <v>4091</v>
      </c>
      <c r="E1218" s="2" t="s">
        <v>4092</v>
      </c>
      <c r="F1218" s="4">
        <v>7372</v>
      </c>
      <c r="G1218" s="2" t="s">
        <v>551</v>
      </c>
      <c r="H1218" s="2" t="s">
        <v>34</v>
      </c>
      <c r="I1218" s="2" t="s">
        <v>4093</v>
      </c>
      <c r="J1218" s="2" t="s">
        <v>4094</v>
      </c>
      <c r="K1218" s="2" t="s">
        <v>223</v>
      </c>
      <c r="L1218" s="2" t="s">
        <v>34</v>
      </c>
      <c r="M1218" s="2"/>
      <c r="N1218" s="9">
        <v>1.3125</v>
      </c>
      <c r="O1218" s="9">
        <v>1.3125</v>
      </c>
      <c r="P1218" s="2" t="s">
        <v>4095</v>
      </c>
      <c r="Q1218" s="6">
        <v>100</v>
      </c>
      <c r="R1218" s="6">
        <v>1.9</v>
      </c>
      <c r="S1218" s="5">
        <v>-4.2</v>
      </c>
      <c r="T1218" s="7">
        <v>0.252</v>
      </c>
      <c r="U1218" s="5">
        <v>0.2</v>
      </c>
      <c r="V1218" s="2"/>
      <c r="W1218" s="9">
        <v>1.5625</v>
      </c>
      <c r="X1218" s="9">
        <v>1.5625</v>
      </c>
      <c r="Y1218" s="5">
        <v>1.5</v>
      </c>
      <c r="Z1218" s="5">
        <v>1.5</v>
      </c>
      <c r="AA1218" s="6">
        <v>12.29</v>
      </c>
      <c r="AB1218" s="2" t="s">
        <v>86</v>
      </c>
      <c r="AC1218" s="2"/>
    </row>
    <row r="1219" spans="1:29" ht="143" x14ac:dyDescent="0.15">
      <c r="A1219" s="3">
        <f>DATE(1993,8,17)</f>
        <v>34198</v>
      </c>
      <c r="B1219" s="2"/>
      <c r="C1219" s="2" t="s">
        <v>30</v>
      </c>
      <c r="D1219" s="2" t="s">
        <v>4096</v>
      </c>
      <c r="E1219" s="2" t="s">
        <v>4097</v>
      </c>
      <c r="F1219" s="4">
        <v>3625</v>
      </c>
      <c r="G1219" s="2" t="s">
        <v>137</v>
      </c>
      <c r="H1219" s="2" t="s">
        <v>34</v>
      </c>
      <c r="I1219" s="2" t="s">
        <v>149</v>
      </c>
      <c r="J1219" s="2" t="s">
        <v>150</v>
      </c>
      <c r="K1219" s="2" t="s">
        <v>53</v>
      </c>
      <c r="L1219" s="2" t="s">
        <v>151</v>
      </c>
      <c r="M1219" s="2"/>
      <c r="N1219" s="2"/>
      <c r="O1219" s="2"/>
      <c r="P1219" s="2" t="s">
        <v>4098</v>
      </c>
      <c r="Q1219" s="2"/>
      <c r="R1219" s="6">
        <v>5.25</v>
      </c>
      <c r="S1219" s="5">
        <v>-0.3</v>
      </c>
      <c r="T1219" s="7">
        <v>-0.122</v>
      </c>
      <c r="U1219" s="5">
        <v>3.7</v>
      </c>
      <c r="V1219" s="6">
        <v>-0.22</v>
      </c>
      <c r="W1219" s="5">
        <v>2.5</v>
      </c>
      <c r="X1219" s="7">
        <v>2.875</v>
      </c>
      <c r="Y1219" s="6">
        <v>3.25</v>
      </c>
      <c r="Z1219" s="6">
        <v>3.75</v>
      </c>
      <c r="AA1219" s="6">
        <v>1.4</v>
      </c>
      <c r="AB1219" s="2" t="s">
        <v>86</v>
      </c>
      <c r="AC1219" s="2"/>
    </row>
    <row r="1220" spans="1:29" ht="143" x14ac:dyDescent="0.15">
      <c r="A1220" s="3">
        <f>DATE(1993,8,17)</f>
        <v>34198</v>
      </c>
      <c r="B1220" s="3">
        <f>DATE(1994,2,1)</f>
        <v>34366</v>
      </c>
      <c r="C1220" s="2" t="s">
        <v>95</v>
      </c>
      <c r="D1220" s="2" t="s">
        <v>4099</v>
      </c>
      <c r="E1220" s="2" t="s">
        <v>32</v>
      </c>
      <c r="F1220" s="4">
        <v>6035</v>
      </c>
      <c r="G1220" s="2" t="s">
        <v>33</v>
      </c>
      <c r="H1220" s="2" t="s">
        <v>34</v>
      </c>
      <c r="I1220" s="2" t="s">
        <v>2452</v>
      </c>
      <c r="J1220" s="2" t="s">
        <v>265</v>
      </c>
      <c r="K1220" s="2" t="s">
        <v>37</v>
      </c>
      <c r="L1220" s="2" t="s">
        <v>34</v>
      </c>
      <c r="M1220" s="2"/>
      <c r="N1220" s="4">
        <v>48</v>
      </c>
      <c r="O1220" s="7">
        <v>48.125</v>
      </c>
      <c r="P1220" s="2" t="s">
        <v>4100</v>
      </c>
      <c r="Q1220" s="6">
        <v>100</v>
      </c>
      <c r="R1220" s="6">
        <v>30</v>
      </c>
      <c r="S1220" s="5">
        <v>20.6</v>
      </c>
      <c r="T1220" s="7">
        <v>8.2249999999999996</v>
      </c>
      <c r="U1220" s="5">
        <v>16.2</v>
      </c>
      <c r="V1220" s="6">
        <v>7.35</v>
      </c>
      <c r="W1220" s="6">
        <v>23.25</v>
      </c>
      <c r="X1220" s="6">
        <v>23.25</v>
      </c>
      <c r="Y1220" s="6">
        <v>26.75</v>
      </c>
      <c r="Z1220" s="4">
        <v>28</v>
      </c>
      <c r="AA1220" s="6">
        <v>6</v>
      </c>
      <c r="AB1220" s="7">
        <v>151.87100000000001</v>
      </c>
      <c r="AC1220" s="2"/>
    </row>
    <row r="1221" spans="1:29" ht="156" x14ac:dyDescent="0.15">
      <c r="A1221" s="3">
        <f>DATE(1993,8,18)</f>
        <v>34199</v>
      </c>
      <c r="B1221" s="2"/>
      <c r="C1221" s="2" t="s">
        <v>30</v>
      </c>
      <c r="D1221" s="2" t="s">
        <v>4062</v>
      </c>
      <c r="E1221" s="2" t="s">
        <v>4063</v>
      </c>
      <c r="F1221" s="4">
        <v>2033</v>
      </c>
      <c r="G1221" s="2" t="s">
        <v>577</v>
      </c>
      <c r="H1221" s="2" t="s">
        <v>34</v>
      </c>
      <c r="I1221" s="2" t="s">
        <v>4101</v>
      </c>
      <c r="J1221" s="2" t="s">
        <v>4102</v>
      </c>
      <c r="K1221" s="2" t="s">
        <v>577</v>
      </c>
      <c r="L1221" s="2" t="s">
        <v>34</v>
      </c>
      <c r="M1221" s="2"/>
      <c r="N1221" s="6">
        <v>27.75</v>
      </c>
      <c r="O1221" s="7">
        <v>27.625</v>
      </c>
      <c r="P1221" s="2" t="s">
        <v>4103</v>
      </c>
      <c r="Q1221" s="2"/>
      <c r="R1221" s="6">
        <v>20</v>
      </c>
      <c r="S1221" s="5">
        <v>-23.8</v>
      </c>
      <c r="T1221" s="7">
        <v>66.814999999999998</v>
      </c>
      <c r="U1221" s="5">
        <v>8.8000000000000007</v>
      </c>
      <c r="V1221" s="6">
        <v>-2.77</v>
      </c>
      <c r="W1221" s="7">
        <v>14.375</v>
      </c>
      <c r="X1221" s="7">
        <v>14.125</v>
      </c>
      <c r="Y1221" s="6">
        <v>15.25</v>
      </c>
      <c r="Z1221" s="6">
        <v>14.75</v>
      </c>
      <c r="AA1221" s="6">
        <v>8.64</v>
      </c>
      <c r="AB1221" s="7">
        <v>11.5</v>
      </c>
      <c r="AC1221" s="6">
        <v>10.97</v>
      </c>
    </row>
    <row r="1222" spans="1:29" ht="104" x14ac:dyDescent="0.15">
      <c r="A1222" s="3">
        <f>DATE(1993,8,19)</f>
        <v>34200</v>
      </c>
      <c r="B1222" s="3">
        <f>DATE(1993,12,31)</f>
        <v>34334</v>
      </c>
      <c r="C1222" s="2" t="s">
        <v>95</v>
      </c>
      <c r="D1222" s="2" t="s">
        <v>727</v>
      </c>
      <c r="E1222" s="2" t="s">
        <v>728</v>
      </c>
      <c r="F1222" s="4">
        <v>3812</v>
      </c>
      <c r="G1222" s="2" t="s">
        <v>226</v>
      </c>
      <c r="H1222" s="2" t="s">
        <v>34</v>
      </c>
      <c r="I1222" s="2" t="s">
        <v>4104</v>
      </c>
      <c r="J1222" s="2" t="s">
        <v>4105</v>
      </c>
      <c r="K1222" s="2" t="s">
        <v>137</v>
      </c>
      <c r="L1222" s="2" t="s">
        <v>34</v>
      </c>
      <c r="M1222" s="2"/>
      <c r="N1222" s="2"/>
      <c r="O1222" s="2"/>
      <c r="P1222" s="2" t="s">
        <v>4106</v>
      </c>
      <c r="Q1222" s="6">
        <v>100</v>
      </c>
      <c r="R1222" s="6">
        <v>6.25</v>
      </c>
      <c r="S1222" s="5">
        <v>1.9</v>
      </c>
      <c r="T1222" s="7">
        <v>4.9320000000000004</v>
      </c>
      <c r="U1222" s="5">
        <v>3.8</v>
      </c>
      <c r="V1222" s="6">
        <v>0.63</v>
      </c>
      <c r="W1222" s="7">
        <v>3.625</v>
      </c>
      <c r="X1222" s="7">
        <v>4.125</v>
      </c>
      <c r="Y1222" s="4">
        <v>6</v>
      </c>
      <c r="Z1222" s="4">
        <v>6</v>
      </c>
      <c r="AA1222" s="6">
        <v>3.42</v>
      </c>
      <c r="AB1222" s="7">
        <v>10.034000000000001</v>
      </c>
      <c r="AC1222" s="2"/>
    </row>
    <row r="1223" spans="1:29" ht="156" x14ac:dyDescent="0.15">
      <c r="A1223" s="3">
        <f>DATE(1993,8,19)</f>
        <v>34200</v>
      </c>
      <c r="B1223" s="3">
        <f>DATE(1994,2,11)</f>
        <v>34376</v>
      </c>
      <c r="C1223" s="2" t="s">
        <v>95</v>
      </c>
      <c r="D1223" s="2" t="s">
        <v>1466</v>
      </c>
      <c r="E1223" s="2" t="s">
        <v>1467</v>
      </c>
      <c r="F1223" s="4">
        <v>4812</v>
      </c>
      <c r="G1223" s="2" t="s">
        <v>63</v>
      </c>
      <c r="H1223" s="2" t="s">
        <v>34</v>
      </c>
      <c r="I1223" s="2" t="s">
        <v>4107</v>
      </c>
      <c r="J1223" s="2" t="s">
        <v>973</v>
      </c>
      <c r="K1223" s="2" t="s">
        <v>63</v>
      </c>
      <c r="L1223" s="2" t="s">
        <v>34</v>
      </c>
      <c r="M1223" s="2"/>
      <c r="N1223" s="7">
        <v>29.375</v>
      </c>
      <c r="O1223" s="7">
        <v>29.125</v>
      </c>
      <c r="P1223" s="2" t="s">
        <v>4108</v>
      </c>
      <c r="Q1223" s="6">
        <v>100</v>
      </c>
      <c r="R1223" s="2"/>
      <c r="S1223" s="2"/>
      <c r="T1223" s="2"/>
      <c r="U1223" s="2"/>
      <c r="V1223" s="2"/>
      <c r="W1223" s="6">
        <v>3.62</v>
      </c>
      <c r="X1223" s="5">
        <v>3.5</v>
      </c>
      <c r="Y1223" s="6">
        <v>3.62</v>
      </c>
      <c r="Z1223" s="6">
        <v>3.87</v>
      </c>
      <c r="AA1223" s="6">
        <v>3.52</v>
      </c>
      <c r="AB1223" s="2" t="s">
        <v>47</v>
      </c>
      <c r="AC1223" s="6">
        <v>9.7799999999999994</v>
      </c>
    </row>
    <row r="1224" spans="1:29" ht="156" x14ac:dyDescent="0.15">
      <c r="A1224" s="3">
        <f>DATE(1993,8,19)</f>
        <v>34200</v>
      </c>
      <c r="B1224" s="3">
        <f>DATE(1993,11,30)</f>
        <v>34303</v>
      </c>
      <c r="C1224" s="2" t="s">
        <v>95</v>
      </c>
      <c r="D1224" s="2" t="s">
        <v>4109</v>
      </c>
      <c r="E1224" s="2" t="s">
        <v>4110</v>
      </c>
      <c r="F1224" s="4">
        <v>3944</v>
      </c>
      <c r="G1224" s="2" t="s">
        <v>112</v>
      </c>
      <c r="H1224" s="2" t="s">
        <v>34</v>
      </c>
      <c r="I1224" s="2" t="s">
        <v>1670</v>
      </c>
      <c r="J1224" s="2" t="s">
        <v>1671</v>
      </c>
      <c r="K1224" s="2" t="s">
        <v>112</v>
      </c>
      <c r="L1224" s="2" t="s">
        <v>34</v>
      </c>
      <c r="M1224" s="12">
        <v>2350.9720000000002</v>
      </c>
      <c r="N1224" s="7">
        <v>25.625</v>
      </c>
      <c r="O1224" s="7">
        <v>27.125</v>
      </c>
      <c r="P1224" s="2" t="s">
        <v>4111</v>
      </c>
      <c r="Q1224" s="6">
        <v>100</v>
      </c>
      <c r="R1224" s="6">
        <v>32.67</v>
      </c>
      <c r="S1224" s="5">
        <v>40.5</v>
      </c>
      <c r="T1224" s="5">
        <v>105.9</v>
      </c>
      <c r="U1224" s="5">
        <v>8.6999999999999993</v>
      </c>
      <c r="V1224" s="6">
        <v>1.28</v>
      </c>
      <c r="W1224" s="7">
        <v>24.125</v>
      </c>
      <c r="X1224" s="7">
        <v>23.875</v>
      </c>
      <c r="Y1224" s="7">
        <v>23.875</v>
      </c>
      <c r="Z1224" s="4">
        <v>33</v>
      </c>
      <c r="AA1224" s="6">
        <v>30.65</v>
      </c>
      <c r="AB1224" s="7">
        <v>13.324</v>
      </c>
      <c r="AC1224" s="6">
        <v>295.19</v>
      </c>
    </row>
    <row r="1225" spans="1:29" ht="117" x14ac:dyDescent="0.15">
      <c r="A1225" s="3">
        <f>DATE(1993,8,19)</f>
        <v>34200</v>
      </c>
      <c r="B1225" s="2"/>
      <c r="C1225" s="2" t="s">
        <v>30</v>
      </c>
      <c r="D1225" s="2" t="s">
        <v>4112</v>
      </c>
      <c r="E1225" s="2" t="s">
        <v>4113</v>
      </c>
      <c r="F1225" s="4">
        <v>3821</v>
      </c>
      <c r="G1225" s="2" t="s">
        <v>226</v>
      </c>
      <c r="H1225" s="2" t="s">
        <v>34</v>
      </c>
      <c r="I1225" s="2" t="s">
        <v>4114</v>
      </c>
      <c r="J1225" s="2" t="s">
        <v>1046</v>
      </c>
      <c r="K1225" s="2" t="s">
        <v>137</v>
      </c>
      <c r="L1225" s="2" t="s">
        <v>34</v>
      </c>
      <c r="M1225" s="2"/>
      <c r="N1225" s="6">
        <v>12.25</v>
      </c>
      <c r="O1225" s="4">
        <v>12</v>
      </c>
      <c r="P1225" s="2" t="s">
        <v>4115</v>
      </c>
      <c r="Q1225" s="2"/>
      <c r="R1225" s="2"/>
      <c r="S1225" s="5">
        <v>-4.7</v>
      </c>
      <c r="T1225" s="7">
        <v>-4.2320000000000002</v>
      </c>
      <c r="U1225" s="5">
        <v>4.2</v>
      </c>
      <c r="V1225" s="6">
        <v>-3.05</v>
      </c>
      <c r="W1225" s="7">
        <v>5.125</v>
      </c>
      <c r="X1225" s="6">
        <v>5.25</v>
      </c>
      <c r="Y1225" s="2"/>
      <c r="Z1225" s="4">
        <v>6</v>
      </c>
      <c r="AA1225" s="6">
        <v>1.55</v>
      </c>
      <c r="AB1225" s="2" t="s">
        <v>86</v>
      </c>
      <c r="AC1225" s="2"/>
    </row>
    <row r="1226" spans="1:29" ht="78" x14ac:dyDescent="0.15">
      <c r="A1226" s="3">
        <f>DATE(1993,8,20)</f>
        <v>34201</v>
      </c>
      <c r="B1226" s="2"/>
      <c r="C1226" s="2" t="s">
        <v>82</v>
      </c>
      <c r="D1226" s="2" t="s">
        <v>3803</v>
      </c>
      <c r="E1226" s="2" t="s">
        <v>3804</v>
      </c>
      <c r="F1226" s="4">
        <v>4011</v>
      </c>
      <c r="G1226" s="2" t="s">
        <v>173</v>
      </c>
      <c r="H1226" s="2" t="s">
        <v>34</v>
      </c>
      <c r="I1226" s="2" t="s">
        <v>4116</v>
      </c>
      <c r="J1226" s="2" t="s">
        <v>4117</v>
      </c>
      <c r="K1226" s="2" t="s">
        <v>53</v>
      </c>
      <c r="L1226" s="2" t="s">
        <v>34</v>
      </c>
      <c r="M1226" s="2"/>
      <c r="N1226" s="2"/>
      <c r="O1226" s="2"/>
      <c r="P1226" s="2" t="s">
        <v>4118</v>
      </c>
      <c r="Q1226" s="2"/>
      <c r="R1226" s="6">
        <v>32</v>
      </c>
      <c r="S1226" s="5">
        <v>7.1</v>
      </c>
      <c r="T1226" s="7">
        <v>119.548</v>
      </c>
      <c r="U1226" s="5">
        <v>36.9</v>
      </c>
      <c r="V1226" s="6">
        <v>2.06</v>
      </c>
      <c r="W1226" s="5">
        <v>39.5</v>
      </c>
      <c r="X1226" s="6">
        <v>38.75</v>
      </c>
      <c r="Y1226" s="5">
        <v>39.5</v>
      </c>
      <c r="Z1226" s="6">
        <v>39.25</v>
      </c>
      <c r="AA1226" s="6">
        <v>3.44</v>
      </c>
      <c r="AB1226" s="7">
        <v>6.1550000000000002</v>
      </c>
      <c r="AC1226" s="2"/>
    </row>
    <row r="1227" spans="1:29" ht="78" x14ac:dyDescent="0.15">
      <c r="A1227" s="3">
        <f>DATE(1993,8,20)</f>
        <v>34201</v>
      </c>
      <c r="B1227" s="2"/>
      <c r="C1227" s="2" t="s">
        <v>82</v>
      </c>
      <c r="D1227" s="2" t="s">
        <v>3803</v>
      </c>
      <c r="E1227" s="2" t="s">
        <v>3804</v>
      </c>
      <c r="F1227" s="4">
        <v>4011</v>
      </c>
      <c r="G1227" s="2" t="s">
        <v>173</v>
      </c>
      <c r="H1227" s="2" t="s">
        <v>34</v>
      </c>
      <c r="I1227" s="2" t="s">
        <v>4119</v>
      </c>
      <c r="J1227" s="2" t="s">
        <v>80</v>
      </c>
      <c r="K1227" s="2" t="s">
        <v>53</v>
      </c>
      <c r="L1227" s="2" t="s">
        <v>34</v>
      </c>
      <c r="M1227" s="2"/>
      <c r="N1227" s="2"/>
      <c r="O1227" s="2"/>
      <c r="P1227" s="2" t="s">
        <v>4120</v>
      </c>
      <c r="Q1227" s="2"/>
      <c r="R1227" s="6">
        <v>37.5</v>
      </c>
      <c r="S1227" s="5">
        <v>7.1</v>
      </c>
      <c r="T1227" s="7">
        <v>119.548</v>
      </c>
      <c r="U1227" s="5">
        <v>36.9</v>
      </c>
      <c r="V1227" s="6">
        <v>2.06</v>
      </c>
      <c r="W1227" s="5">
        <v>39.5</v>
      </c>
      <c r="X1227" s="6">
        <v>38.75</v>
      </c>
      <c r="Y1227" s="5">
        <v>39.5</v>
      </c>
      <c r="Z1227" s="5">
        <v>39.5</v>
      </c>
      <c r="AA1227" s="6">
        <v>3.44</v>
      </c>
      <c r="AB1227" s="7">
        <v>6.3970000000000002</v>
      </c>
      <c r="AC1227" s="2"/>
    </row>
    <row r="1228" spans="1:29" ht="117" x14ac:dyDescent="0.15">
      <c r="A1228" s="3">
        <f>DATE(1993,8,20)</f>
        <v>34201</v>
      </c>
      <c r="B1228" s="3">
        <f>DATE(1993,8,20)</f>
        <v>34201</v>
      </c>
      <c r="C1228" s="2" t="s">
        <v>95</v>
      </c>
      <c r="D1228" s="2" t="s">
        <v>4121</v>
      </c>
      <c r="E1228" s="2" t="s">
        <v>4122</v>
      </c>
      <c r="F1228" s="4">
        <v>5531</v>
      </c>
      <c r="G1228" s="2" t="s">
        <v>73</v>
      </c>
      <c r="H1228" s="2" t="s">
        <v>34</v>
      </c>
      <c r="I1228" s="2" t="s">
        <v>149</v>
      </c>
      <c r="J1228" s="2" t="s">
        <v>150</v>
      </c>
      <c r="K1228" s="2" t="s">
        <v>53</v>
      </c>
      <c r="L1228" s="2" t="s">
        <v>151</v>
      </c>
      <c r="M1228" s="2"/>
      <c r="N1228" s="2"/>
      <c r="O1228" s="2"/>
      <c r="P1228" s="2" t="s">
        <v>4123</v>
      </c>
      <c r="Q1228" s="6">
        <v>34.549999999999997</v>
      </c>
      <c r="R1228" s="6">
        <v>80</v>
      </c>
      <c r="S1228" s="5">
        <v>3.5</v>
      </c>
      <c r="T1228" s="6">
        <v>68.97</v>
      </c>
      <c r="U1228" s="5">
        <v>159.6</v>
      </c>
      <c r="V1228" s="6">
        <v>1.91</v>
      </c>
      <c r="W1228" s="5">
        <v>83.5</v>
      </c>
      <c r="X1228" s="5">
        <v>88.5</v>
      </c>
      <c r="Y1228" s="5">
        <v>85.5</v>
      </c>
      <c r="Z1228" s="4">
        <v>88</v>
      </c>
      <c r="AA1228" s="6">
        <v>0.5</v>
      </c>
      <c r="AB1228" s="2" t="s">
        <v>86</v>
      </c>
      <c r="AC1228" s="2"/>
    </row>
    <row r="1229" spans="1:29" ht="143" x14ac:dyDescent="0.15">
      <c r="A1229" s="3">
        <f>DATE(1993,8,20)</f>
        <v>34201</v>
      </c>
      <c r="B1229" s="2"/>
      <c r="C1229" s="2" t="s">
        <v>30</v>
      </c>
      <c r="D1229" s="2" t="s">
        <v>4121</v>
      </c>
      <c r="E1229" s="2" t="s">
        <v>4122</v>
      </c>
      <c r="F1229" s="4">
        <v>5531</v>
      </c>
      <c r="G1229" s="2" t="s">
        <v>73</v>
      </c>
      <c r="H1229" s="2" t="s">
        <v>34</v>
      </c>
      <c r="I1229" s="2" t="s">
        <v>149</v>
      </c>
      <c r="J1229" s="2" t="s">
        <v>150</v>
      </c>
      <c r="K1229" s="2" t="s">
        <v>53</v>
      </c>
      <c r="L1229" s="2" t="s">
        <v>151</v>
      </c>
      <c r="M1229" s="2"/>
      <c r="N1229" s="2"/>
      <c r="O1229" s="2"/>
      <c r="P1229" s="2" t="s">
        <v>4124</v>
      </c>
      <c r="Q1229" s="2"/>
      <c r="R1229" s="6">
        <v>94.65</v>
      </c>
      <c r="S1229" s="5">
        <v>3.5</v>
      </c>
      <c r="T1229" s="6">
        <v>68.97</v>
      </c>
      <c r="U1229" s="5">
        <v>159.6</v>
      </c>
      <c r="V1229" s="6">
        <v>1.91</v>
      </c>
      <c r="W1229" s="5">
        <v>83.5</v>
      </c>
      <c r="X1229" s="5">
        <v>88.5</v>
      </c>
      <c r="Y1229" s="5">
        <v>85.5</v>
      </c>
      <c r="Z1229" s="4">
        <v>88</v>
      </c>
      <c r="AA1229" s="6">
        <v>0.3</v>
      </c>
      <c r="AB1229" s="2" t="s">
        <v>86</v>
      </c>
      <c r="AC1229" s="2"/>
    </row>
    <row r="1230" spans="1:29" ht="52" x14ac:dyDescent="0.15">
      <c r="A1230" s="3">
        <f>DATE(1993,8,23)</f>
        <v>34204</v>
      </c>
      <c r="B1230" s="3">
        <f>DATE(1993,12,13)</f>
        <v>34316</v>
      </c>
      <c r="C1230" s="2" t="s">
        <v>95</v>
      </c>
      <c r="D1230" s="2" t="s">
        <v>4125</v>
      </c>
      <c r="E1230" s="2" t="s">
        <v>4126</v>
      </c>
      <c r="F1230" s="4">
        <v>3861</v>
      </c>
      <c r="G1230" s="2" t="s">
        <v>226</v>
      </c>
      <c r="H1230" s="2" t="s">
        <v>34</v>
      </c>
      <c r="I1230" s="2" t="s">
        <v>1526</v>
      </c>
      <c r="J1230" s="2" t="s">
        <v>302</v>
      </c>
      <c r="K1230" s="2" t="s">
        <v>53</v>
      </c>
      <c r="L1230" s="2" t="s">
        <v>34</v>
      </c>
      <c r="M1230" s="2"/>
      <c r="N1230" s="2"/>
      <c r="O1230" s="2"/>
      <c r="P1230" s="2" t="s">
        <v>4127</v>
      </c>
      <c r="Q1230" s="6">
        <v>80</v>
      </c>
      <c r="R1230" s="2"/>
      <c r="S1230" s="5">
        <v>-97.4</v>
      </c>
      <c r="T1230" s="7">
        <v>3.698</v>
      </c>
      <c r="U1230" s="5">
        <v>-138.19999999999999</v>
      </c>
      <c r="V1230" s="6">
        <v>-57.52</v>
      </c>
      <c r="W1230" s="5">
        <v>1.5</v>
      </c>
      <c r="X1230" s="5">
        <v>1.5</v>
      </c>
      <c r="Y1230" s="5">
        <v>1.5</v>
      </c>
      <c r="Z1230" s="5">
        <v>1.5</v>
      </c>
      <c r="AA1230" s="6">
        <v>3.83</v>
      </c>
      <c r="AB1230" s="2" t="s">
        <v>86</v>
      </c>
      <c r="AC1230" s="2"/>
    </row>
    <row r="1231" spans="1:29" ht="143" x14ac:dyDescent="0.15">
      <c r="A1231" s="3">
        <f>DATE(1993,8,24)</f>
        <v>34205</v>
      </c>
      <c r="B1231" s="3">
        <f>DATE(1994,6,14)</f>
        <v>34499</v>
      </c>
      <c r="C1231" s="2" t="s">
        <v>95</v>
      </c>
      <c r="D1231" s="2" t="s">
        <v>1235</v>
      </c>
      <c r="E1231" s="2" t="s">
        <v>36</v>
      </c>
      <c r="F1231" s="4">
        <v>6036</v>
      </c>
      <c r="G1231" s="2" t="s">
        <v>33</v>
      </c>
      <c r="H1231" s="2" t="s">
        <v>34</v>
      </c>
      <c r="I1231" s="2" t="s">
        <v>4128</v>
      </c>
      <c r="J1231" s="2" t="s">
        <v>36</v>
      </c>
      <c r="K1231" s="2" t="s">
        <v>37</v>
      </c>
      <c r="L1231" s="2" t="s">
        <v>34</v>
      </c>
      <c r="M1231" s="2"/>
      <c r="N1231" s="4">
        <v>19</v>
      </c>
      <c r="O1231" s="4">
        <v>18</v>
      </c>
      <c r="P1231" s="2" t="s">
        <v>4129</v>
      </c>
      <c r="Q1231" s="6">
        <v>100</v>
      </c>
      <c r="R1231" s="6">
        <v>18.98</v>
      </c>
      <c r="S1231" s="5">
        <v>1.7</v>
      </c>
      <c r="T1231" s="7">
        <v>3.8159999999999998</v>
      </c>
      <c r="U1231" s="5">
        <v>19.3</v>
      </c>
      <c r="V1231" s="6">
        <v>1.45</v>
      </c>
      <c r="W1231" s="7">
        <v>11.375</v>
      </c>
      <c r="X1231" s="6">
        <v>11.75</v>
      </c>
      <c r="Y1231" s="6">
        <v>11.75</v>
      </c>
      <c r="Z1231" s="5">
        <v>15.5</v>
      </c>
      <c r="AA1231" s="6">
        <v>1.27</v>
      </c>
      <c r="AB1231" s="7">
        <v>59.616</v>
      </c>
      <c r="AC1231" s="2"/>
    </row>
    <row r="1232" spans="1:29" ht="143" x14ac:dyDescent="0.15">
      <c r="A1232" s="3">
        <f>DATE(1993,8,26)</f>
        <v>34207</v>
      </c>
      <c r="B1232" s="3">
        <f>DATE(1994,2,28)</f>
        <v>34393</v>
      </c>
      <c r="C1232" s="2" t="s">
        <v>95</v>
      </c>
      <c r="D1232" s="2" t="s">
        <v>4130</v>
      </c>
      <c r="E1232" s="2" t="s">
        <v>36</v>
      </c>
      <c r="F1232" s="4">
        <v>6022</v>
      </c>
      <c r="G1232" s="2" t="s">
        <v>37</v>
      </c>
      <c r="H1232" s="2" t="s">
        <v>34</v>
      </c>
      <c r="I1232" s="2" t="s">
        <v>4131</v>
      </c>
      <c r="J1232" s="2" t="s">
        <v>36</v>
      </c>
      <c r="K1232" s="2" t="s">
        <v>37</v>
      </c>
      <c r="L1232" s="2" t="s">
        <v>34</v>
      </c>
      <c r="M1232" s="7">
        <v>203.928</v>
      </c>
      <c r="N1232" s="5">
        <v>33.5</v>
      </c>
      <c r="O1232" s="6">
        <v>32.75</v>
      </c>
      <c r="P1232" s="2" t="s">
        <v>4132</v>
      </c>
      <c r="Q1232" s="6">
        <v>100</v>
      </c>
      <c r="R1232" s="6">
        <v>30.6</v>
      </c>
      <c r="S1232" s="5">
        <v>3.5</v>
      </c>
      <c r="T1232" s="7">
        <v>5.9509999999999996</v>
      </c>
      <c r="U1232" s="5">
        <v>13.9</v>
      </c>
      <c r="V1232" s="6">
        <v>1.42</v>
      </c>
      <c r="W1232" s="4">
        <v>23</v>
      </c>
      <c r="X1232" s="5">
        <v>23.5</v>
      </c>
      <c r="Y1232" s="6">
        <v>26.75</v>
      </c>
      <c r="Z1232" s="5">
        <v>26.5</v>
      </c>
      <c r="AA1232" s="6">
        <v>2.33</v>
      </c>
      <c r="AB1232" s="7">
        <v>43.228999999999999</v>
      </c>
      <c r="AC1232" s="2"/>
    </row>
    <row r="1233" spans="1:29" ht="143" x14ac:dyDescent="0.15">
      <c r="A1233" s="3">
        <f>DATE(1993,8,26)</f>
        <v>34207</v>
      </c>
      <c r="B1233" s="3">
        <f>DATE(1994,5,27)</f>
        <v>34481</v>
      </c>
      <c r="C1233" s="2" t="s">
        <v>95</v>
      </c>
      <c r="D1233" s="2" t="s">
        <v>4133</v>
      </c>
      <c r="E1233" s="2" t="s">
        <v>265</v>
      </c>
      <c r="F1233" s="4">
        <v>6021</v>
      </c>
      <c r="G1233" s="2" t="s">
        <v>37</v>
      </c>
      <c r="H1233" s="2" t="s">
        <v>34</v>
      </c>
      <c r="I1233" s="2" t="s">
        <v>2236</v>
      </c>
      <c r="J1233" s="2" t="s">
        <v>36</v>
      </c>
      <c r="K1233" s="2" t="s">
        <v>37</v>
      </c>
      <c r="L1233" s="2" t="s">
        <v>34</v>
      </c>
      <c r="M1233" s="12">
        <v>2281.1689999999999</v>
      </c>
      <c r="N1233" s="4">
        <v>23</v>
      </c>
      <c r="O1233" s="7">
        <v>22.875</v>
      </c>
      <c r="P1233" s="2" t="s">
        <v>4134</v>
      </c>
      <c r="Q1233" s="6">
        <v>100</v>
      </c>
      <c r="R1233" s="6">
        <v>53.77</v>
      </c>
      <c r="S1233" s="5">
        <v>9.6999999999999993</v>
      </c>
      <c r="T1233" s="2"/>
      <c r="U1233" s="5">
        <v>29.7</v>
      </c>
      <c r="V1233" s="2"/>
      <c r="W1233" s="6">
        <v>31.25</v>
      </c>
      <c r="X1233" s="6">
        <v>32.25</v>
      </c>
      <c r="Y1233" s="4">
        <v>39</v>
      </c>
      <c r="Z1233" s="7">
        <v>39.375</v>
      </c>
      <c r="AA1233" s="6">
        <v>3.38</v>
      </c>
      <c r="AB1233" s="7">
        <v>47.552999999999997</v>
      </c>
      <c r="AC1233" s="2"/>
    </row>
    <row r="1234" spans="1:29" ht="65" x14ac:dyDescent="0.15">
      <c r="A1234" s="3">
        <f>DATE(1993,8,31)</f>
        <v>34212</v>
      </c>
      <c r="B1234" s="2"/>
      <c r="C1234" s="2" t="s">
        <v>189</v>
      </c>
      <c r="D1234" s="2" t="s">
        <v>4135</v>
      </c>
      <c r="E1234" s="2" t="s">
        <v>4136</v>
      </c>
      <c r="F1234" s="4">
        <v>4953</v>
      </c>
      <c r="G1234" s="2" t="s">
        <v>116</v>
      </c>
      <c r="H1234" s="2" t="s">
        <v>34</v>
      </c>
      <c r="I1234" s="2" t="s">
        <v>143</v>
      </c>
      <c r="J1234" s="2" t="s">
        <v>144</v>
      </c>
      <c r="K1234" s="2" t="s">
        <v>53</v>
      </c>
      <c r="L1234" s="2" t="s">
        <v>139</v>
      </c>
      <c r="M1234" s="2"/>
      <c r="N1234" s="2"/>
      <c r="O1234" s="2"/>
      <c r="P1234" s="2" t="s">
        <v>4137</v>
      </c>
      <c r="Q1234" s="2"/>
      <c r="R1234" s="2"/>
      <c r="S1234" s="2"/>
      <c r="T1234" s="2"/>
      <c r="U1234" s="2"/>
      <c r="V1234" s="2"/>
      <c r="W1234" s="7">
        <v>8.125</v>
      </c>
      <c r="X1234" s="7">
        <v>7.375</v>
      </c>
      <c r="Y1234" s="7">
        <v>8.875</v>
      </c>
      <c r="Z1234" s="6">
        <v>8.75</v>
      </c>
      <c r="AA1234" s="6">
        <v>9.6999999999999993</v>
      </c>
      <c r="AB1234" s="2" t="s">
        <v>47</v>
      </c>
      <c r="AC1234" s="2"/>
    </row>
    <row r="1235" spans="1:29" ht="143" x14ac:dyDescent="0.15">
      <c r="A1235" s="3">
        <f>DATE(1993,9,1)</f>
        <v>34213</v>
      </c>
      <c r="B1235" s="3">
        <f>DATE(1993,12,13)</f>
        <v>34316</v>
      </c>
      <c r="C1235" s="2" t="s">
        <v>95</v>
      </c>
      <c r="D1235" s="2" t="s">
        <v>3694</v>
      </c>
      <c r="E1235" s="2" t="s">
        <v>3695</v>
      </c>
      <c r="F1235" s="4">
        <v>7372</v>
      </c>
      <c r="G1235" s="2" t="s">
        <v>551</v>
      </c>
      <c r="H1235" s="2" t="s">
        <v>34</v>
      </c>
      <c r="I1235" s="2" t="s">
        <v>4138</v>
      </c>
      <c r="J1235" s="2" t="s">
        <v>658</v>
      </c>
      <c r="K1235" s="2" t="s">
        <v>551</v>
      </c>
      <c r="L1235" s="2" t="s">
        <v>34</v>
      </c>
      <c r="M1235" s="7">
        <v>325.13299999999998</v>
      </c>
      <c r="N1235" s="6">
        <v>32.25</v>
      </c>
      <c r="O1235" s="7">
        <v>32.125</v>
      </c>
      <c r="P1235" s="2" t="s">
        <v>4139</v>
      </c>
      <c r="Q1235" s="6">
        <v>100</v>
      </c>
      <c r="R1235" s="6">
        <v>13.94</v>
      </c>
      <c r="S1235" s="5">
        <v>7.5</v>
      </c>
      <c r="T1235" s="5">
        <v>9.6</v>
      </c>
      <c r="U1235" s="5">
        <v>3.4</v>
      </c>
      <c r="V1235" s="6">
        <v>0.53</v>
      </c>
      <c r="W1235" s="5">
        <v>14.5</v>
      </c>
      <c r="X1235" s="6">
        <v>14.75</v>
      </c>
      <c r="Y1235" s="6">
        <v>15.25</v>
      </c>
      <c r="Z1235" s="6">
        <v>13.75</v>
      </c>
      <c r="AA1235" s="6">
        <v>16.260000000000002</v>
      </c>
      <c r="AB1235" s="7">
        <v>36.942999999999998</v>
      </c>
      <c r="AC1235" s="2"/>
    </row>
    <row r="1236" spans="1:29" ht="143" x14ac:dyDescent="0.15">
      <c r="A1236" s="3">
        <f>DATE(1993,9,1)</f>
        <v>34213</v>
      </c>
      <c r="B1236" s="3">
        <f>DATE(1994,1,31)</f>
        <v>34365</v>
      </c>
      <c r="C1236" s="2" t="s">
        <v>95</v>
      </c>
      <c r="D1236" s="2" t="s">
        <v>4140</v>
      </c>
      <c r="E1236" s="2" t="s">
        <v>4141</v>
      </c>
      <c r="F1236" s="4">
        <v>6021</v>
      </c>
      <c r="G1236" s="2" t="s">
        <v>37</v>
      </c>
      <c r="H1236" s="2" t="s">
        <v>34</v>
      </c>
      <c r="I1236" s="2" t="s">
        <v>4142</v>
      </c>
      <c r="J1236" s="2" t="s">
        <v>3246</v>
      </c>
      <c r="K1236" s="2" t="s">
        <v>37</v>
      </c>
      <c r="L1236" s="2" t="s">
        <v>34</v>
      </c>
      <c r="M1236" s="7">
        <v>99.224000000000004</v>
      </c>
      <c r="N1236" s="6">
        <v>28.75</v>
      </c>
      <c r="O1236" s="6">
        <v>26.75</v>
      </c>
      <c r="P1236" s="2" t="s">
        <v>4143</v>
      </c>
      <c r="Q1236" s="6">
        <v>100</v>
      </c>
      <c r="R1236" s="6">
        <v>48.86</v>
      </c>
      <c r="S1236" s="5">
        <v>5</v>
      </c>
      <c r="T1236" s="7">
        <v>7.4450000000000003</v>
      </c>
      <c r="U1236" s="5">
        <v>25.1</v>
      </c>
      <c r="V1236" s="6">
        <v>3.12</v>
      </c>
      <c r="W1236" s="5">
        <v>33.5</v>
      </c>
      <c r="X1236" s="5">
        <v>37.5</v>
      </c>
      <c r="Y1236" s="7">
        <v>42.375</v>
      </c>
      <c r="Z1236" s="5">
        <v>40.5</v>
      </c>
      <c r="AA1236" s="6">
        <v>1.61</v>
      </c>
      <c r="AB1236" s="7">
        <v>50.497</v>
      </c>
      <c r="AC1236" s="2"/>
    </row>
    <row r="1237" spans="1:29" ht="65" x14ac:dyDescent="0.15">
      <c r="A1237" s="3">
        <f>DATE(1993,9,2)</f>
        <v>34214</v>
      </c>
      <c r="B1237" s="2"/>
      <c r="C1237" s="2" t="s">
        <v>30</v>
      </c>
      <c r="D1237" s="2" t="s">
        <v>4144</v>
      </c>
      <c r="E1237" s="2" t="s">
        <v>4145</v>
      </c>
      <c r="F1237" s="4">
        <v>3823</v>
      </c>
      <c r="G1237" s="2" t="s">
        <v>226</v>
      </c>
      <c r="H1237" s="2" t="s">
        <v>34</v>
      </c>
      <c r="I1237" s="2" t="s">
        <v>4146</v>
      </c>
      <c r="J1237" s="2" t="s">
        <v>4147</v>
      </c>
      <c r="K1237" s="2" t="s">
        <v>237</v>
      </c>
      <c r="L1237" s="2" t="s">
        <v>34</v>
      </c>
      <c r="M1237" s="2"/>
      <c r="N1237" s="2"/>
      <c r="O1237" s="2"/>
      <c r="P1237" s="2" t="s">
        <v>4148</v>
      </c>
      <c r="Q1237" s="2"/>
      <c r="R1237" s="2"/>
      <c r="S1237" s="2"/>
      <c r="T1237" s="2"/>
      <c r="U1237" s="2"/>
      <c r="V1237" s="2"/>
      <c r="W1237" s="4">
        <v>1</v>
      </c>
      <c r="X1237" s="7">
        <v>1.0309999999999999</v>
      </c>
      <c r="Y1237" s="7">
        <v>1.125</v>
      </c>
      <c r="Z1237" s="7">
        <v>1.0629999999999999</v>
      </c>
      <c r="AA1237" s="2"/>
      <c r="AB1237" s="2" t="s">
        <v>47</v>
      </c>
      <c r="AC1237" s="2"/>
    </row>
    <row r="1238" spans="1:29" ht="143" x14ac:dyDescent="0.15">
      <c r="A1238" s="3">
        <f>DATE(1993,9,2)</f>
        <v>34214</v>
      </c>
      <c r="B1238" s="2"/>
      <c r="C1238" s="2" t="s">
        <v>30</v>
      </c>
      <c r="D1238" s="2" t="s">
        <v>2981</v>
      </c>
      <c r="E1238" s="2" t="s">
        <v>2982</v>
      </c>
      <c r="F1238" s="4">
        <v>3643</v>
      </c>
      <c r="G1238" s="2" t="s">
        <v>137</v>
      </c>
      <c r="H1238" s="2" t="s">
        <v>34</v>
      </c>
      <c r="I1238" s="2" t="s">
        <v>4149</v>
      </c>
      <c r="J1238" s="2" t="s">
        <v>80</v>
      </c>
      <c r="K1238" s="2" t="s">
        <v>53</v>
      </c>
      <c r="L1238" s="2" t="s">
        <v>34</v>
      </c>
      <c r="M1238" s="2"/>
      <c r="N1238" s="2"/>
      <c r="O1238" s="2"/>
      <c r="P1238" s="2" t="s">
        <v>4150</v>
      </c>
      <c r="Q1238" s="2"/>
      <c r="R1238" s="6">
        <v>29</v>
      </c>
      <c r="S1238" s="5">
        <v>1.1000000000000001</v>
      </c>
      <c r="T1238" s="7">
        <v>-1.5089999999999999</v>
      </c>
      <c r="U1238" s="5">
        <v>27.4</v>
      </c>
      <c r="V1238" s="6">
        <v>0.12</v>
      </c>
      <c r="W1238" s="4">
        <v>17</v>
      </c>
      <c r="X1238" s="6">
        <v>16.75</v>
      </c>
      <c r="Y1238" s="6">
        <v>20.75</v>
      </c>
      <c r="Z1238" s="7">
        <v>20.125</v>
      </c>
      <c r="AA1238" s="6">
        <v>9</v>
      </c>
      <c r="AB1238" s="2" t="s">
        <v>86</v>
      </c>
      <c r="AC1238" s="2"/>
    </row>
    <row r="1239" spans="1:29" ht="143" x14ac:dyDescent="0.15">
      <c r="A1239" s="3">
        <f>DATE(1993,9,2)</f>
        <v>34214</v>
      </c>
      <c r="B1239" s="2"/>
      <c r="C1239" s="2" t="s">
        <v>30</v>
      </c>
      <c r="D1239" s="2" t="s">
        <v>4151</v>
      </c>
      <c r="E1239" s="2" t="s">
        <v>4152</v>
      </c>
      <c r="F1239" s="4">
        <v>4953</v>
      </c>
      <c r="G1239" s="2" t="s">
        <v>116</v>
      </c>
      <c r="H1239" s="2" t="s">
        <v>34</v>
      </c>
      <c r="I1239" s="2" t="s">
        <v>4153</v>
      </c>
      <c r="J1239" s="2" t="s">
        <v>3231</v>
      </c>
      <c r="K1239" s="2" t="s">
        <v>116</v>
      </c>
      <c r="L1239" s="2" t="s">
        <v>34</v>
      </c>
      <c r="M1239" s="2"/>
      <c r="N1239" s="7">
        <v>23.625</v>
      </c>
      <c r="O1239" s="7">
        <v>23.625</v>
      </c>
      <c r="P1239" s="2" t="s">
        <v>4154</v>
      </c>
      <c r="Q1239" s="2"/>
      <c r="R1239" s="6">
        <v>25.3</v>
      </c>
      <c r="S1239" s="5">
        <v>-10.1</v>
      </c>
      <c r="T1239" s="7">
        <v>25.158999999999999</v>
      </c>
      <c r="U1239" s="5">
        <v>8.9</v>
      </c>
      <c r="V1239" s="6">
        <v>-0.73</v>
      </c>
      <c r="W1239" s="6">
        <v>10.25</v>
      </c>
      <c r="X1239" s="6">
        <v>13.25</v>
      </c>
      <c r="Y1239" s="6">
        <v>15.75</v>
      </c>
      <c r="Z1239" s="6">
        <v>15.25</v>
      </c>
      <c r="AA1239" s="6">
        <v>17.05</v>
      </c>
      <c r="AB1239" s="7">
        <v>67.561999999999998</v>
      </c>
      <c r="AC1239" s="6">
        <v>388.97</v>
      </c>
    </row>
    <row r="1240" spans="1:29" ht="143" x14ac:dyDescent="0.15">
      <c r="A1240" s="3">
        <f>DATE(1993,9,3)</f>
        <v>34215</v>
      </c>
      <c r="B1240" s="3">
        <f>DATE(1993,10,8)</f>
        <v>34250</v>
      </c>
      <c r="C1240" s="2" t="s">
        <v>95</v>
      </c>
      <c r="D1240" s="2" t="s">
        <v>4155</v>
      </c>
      <c r="E1240" s="2" t="s">
        <v>781</v>
      </c>
      <c r="F1240" s="4">
        <v>7372</v>
      </c>
      <c r="G1240" s="2" t="s">
        <v>551</v>
      </c>
      <c r="H1240" s="2" t="s">
        <v>34</v>
      </c>
      <c r="I1240" s="2" t="s">
        <v>51</v>
      </c>
      <c r="J1240" s="2" t="s">
        <v>52</v>
      </c>
      <c r="K1240" s="2" t="s">
        <v>53</v>
      </c>
      <c r="L1240" s="2" t="s">
        <v>34</v>
      </c>
      <c r="M1240" s="2"/>
      <c r="N1240" s="2"/>
      <c r="O1240" s="2"/>
      <c r="P1240" s="2" t="s">
        <v>4156</v>
      </c>
      <c r="Q1240" s="6">
        <v>79.11</v>
      </c>
      <c r="R1240" s="6">
        <v>0.01</v>
      </c>
      <c r="S1240" s="2"/>
      <c r="T1240" s="2"/>
      <c r="U1240" s="2"/>
      <c r="V1240" s="2"/>
      <c r="W1240" s="7">
        <v>2.2810000000000001</v>
      </c>
      <c r="X1240" s="7">
        <v>2.2810000000000001</v>
      </c>
      <c r="Y1240" s="7">
        <v>2.2810000000000001</v>
      </c>
      <c r="Z1240" s="7">
        <v>2.2810000000000001</v>
      </c>
      <c r="AA1240" s="6">
        <v>10.24</v>
      </c>
      <c r="AB1240" s="2" t="s">
        <v>47</v>
      </c>
      <c r="AC1240" s="2"/>
    </row>
    <row r="1241" spans="1:29" ht="130" x14ac:dyDescent="0.15">
      <c r="A1241" s="3">
        <f>DATE(1993,9,7)</f>
        <v>34219</v>
      </c>
      <c r="B1241" s="3">
        <f>DATE(1994,1,21)</f>
        <v>34355</v>
      </c>
      <c r="C1241" s="2" t="s">
        <v>95</v>
      </c>
      <c r="D1241" s="2" t="s">
        <v>4157</v>
      </c>
      <c r="E1241" s="2" t="s">
        <v>4158</v>
      </c>
      <c r="F1241" s="4">
        <v>3533</v>
      </c>
      <c r="G1241" s="2" t="s">
        <v>300</v>
      </c>
      <c r="H1241" s="2" t="s">
        <v>34</v>
      </c>
      <c r="I1241" s="2" t="s">
        <v>4159</v>
      </c>
      <c r="J1241" s="2" t="s">
        <v>4160</v>
      </c>
      <c r="K1241" s="2" t="s">
        <v>300</v>
      </c>
      <c r="L1241" s="2" t="s">
        <v>34</v>
      </c>
      <c r="M1241" s="12">
        <v>3320.0990000000002</v>
      </c>
      <c r="N1241" s="5">
        <v>22.5</v>
      </c>
      <c r="O1241" s="4">
        <v>22</v>
      </c>
      <c r="P1241" s="2" t="s">
        <v>4161</v>
      </c>
      <c r="Q1241" s="6">
        <v>100</v>
      </c>
      <c r="R1241" s="6">
        <v>9.1</v>
      </c>
      <c r="S1241" s="5">
        <v>17.7</v>
      </c>
      <c r="T1241" s="7">
        <v>70.355999999999995</v>
      </c>
      <c r="U1241" s="5">
        <v>3.3</v>
      </c>
      <c r="V1241" s="6">
        <v>0.24</v>
      </c>
      <c r="W1241" s="5">
        <v>7.5</v>
      </c>
      <c r="X1241" s="7">
        <v>7.625</v>
      </c>
      <c r="Y1241" s="7">
        <v>8.375</v>
      </c>
      <c r="Z1241" s="6">
        <v>8.25</v>
      </c>
      <c r="AA1241" s="6">
        <v>92.55</v>
      </c>
      <c r="AB1241" s="7">
        <v>28.044</v>
      </c>
      <c r="AC1241" s="2"/>
    </row>
    <row r="1242" spans="1:29" ht="156" x14ac:dyDescent="0.15">
      <c r="A1242" s="3">
        <f>DATE(1993,9,7)</f>
        <v>34219</v>
      </c>
      <c r="B1242" s="3">
        <f>DATE(1994,4,11)</f>
        <v>34435</v>
      </c>
      <c r="C1242" s="2" t="s">
        <v>95</v>
      </c>
      <c r="D1242" s="2" t="s">
        <v>4162</v>
      </c>
      <c r="E1242" s="2" t="s">
        <v>36</v>
      </c>
      <c r="F1242" s="4">
        <v>6022</v>
      </c>
      <c r="G1242" s="2" t="s">
        <v>37</v>
      </c>
      <c r="H1242" s="2" t="s">
        <v>34</v>
      </c>
      <c r="I1242" s="2" t="s">
        <v>4163</v>
      </c>
      <c r="J1242" s="2" t="s">
        <v>4164</v>
      </c>
      <c r="K1242" s="2" t="s">
        <v>37</v>
      </c>
      <c r="L1242" s="2" t="s">
        <v>34</v>
      </c>
      <c r="M1242" s="2"/>
      <c r="N1242" s="4">
        <v>21</v>
      </c>
      <c r="O1242" s="4">
        <v>22</v>
      </c>
      <c r="P1242" s="2" t="s">
        <v>4165</v>
      </c>
      <c r="Q1242" s="6">
        <v>100</v>
      </c>
      <c r="R1242" s="6">
        <v>15.85</v>
      </c>
      <c r="S1242" s="5">
        <v>2.1</v>
      </c>
      <c r="T1242" s="7">
        <v>3.3090000000000002</v>
      </c>
      <c r="U1242" s="5">
        <v>5.0999999999999996</v>
      </c>
      <c r="V1242" s="9">
        <v>0.67669999999999997</v>
      </c>
      <c r="W1242" s="4">
        <v>9</v>
      </c>
      <c r="X1242" s="4">
        <v>9</v>
      </c>
      <c r="Y1242" s="4">
        <v>12</v>
      </c>
      <c r="Z1242" s="4">
        <v>12</v>
      </c>
      <c r="AA1242" s="6">
        <v>0.85</v>
      </c>
      <c r="AB1242" s="7">
        <v>57.918999999999997</v>
      </c>
      <c r="AC1242" s="2"/>
    </row>
    <row r="1243" spans="1:29" ht="117" x14ac:dyDescent="0.15">
      <c r="A1243" s="3">
        <f>DATE(1993,9,7)</f>
        <v>34219</v>
      </c>
      <c r="B1243" s="3">
        <f>DATE(1993,11,10)</f>
        <v>34283</v>
      </c>
      <c r="C1243" s="2" t="s">
        <v>95</v>
      </c>
      <c r="D1243" s="2" t="s">
        <v>4166</v>
      </c>
      <c r="E1243" s="2" t="s">
        <v>4167</v>
      </c>
      <c r="F1243" s="4">
        <v>8099</v>
      </c>
      <c r="G1243" s="2" t="s">
        <v>454</v>
      </c>
      <c r="H1243" s="2" t="s">
        <v>34</v>
      </c>
      <c r="I1243" s="2" t="s">
        <v>3652</v>
      </c>
      <c r="J1243" s="2" t="s">
        <v>3653</v>
      </c>
      <c r="K1243" s="2" t="s">
        <v>454</v>
      </c>
      <c r="L1243" s="2" t="s">
        <v>34</v>
      </c>
      <c r="M1243" s="7">
        <v>172.624</v>
      </c>
      <c r="N1243" s="7">
        <v>22.125</v>
      </c>
      <c r="O1243" s="5">
        <v>22.5</v>
      </c>
      <c r="P1243" s="2" t="s">
        <v>4168</v>
      </c>
      <c r="Q1243" s="6">
        <v>100</v>
      </c>
      <c r="R1243" s="6">
        <v>23</v>
      </c>
      <c r="S1243" s="5">
        <v>8.3000000000000007</v>
      </c>
      <c r="T1243" s="7">
        <v>16.664999999999999</v>
      </c>
      <c r="U1243" s="5">
        <v>10.9</v>
      </c>
      <c r="V1243" s="6">
        <v>1.01</v>
      </c>
      <c r="W1243" s="6">
        <v>13.75</v>
      </c>
      <c r="X1243" s="6">
        <v>13.25</v>
      </c>
      <c r="Y1243" s="6">
        <v>21.25</v>
      </c>
      <c r="Z1243" s="7">
        <v>21.125</v>
      </c>
      <c r="AA1243" s="6">
        <v>8.07</v>
      </c>
      <c r="AB1243" s="7">
        <v>13.103999999999999</v>
      </c>
      <c r="AC1243" s="2"/>
    </row>
    <row r="1244" spans="1:29" ht="156" x14ac:dyDescent="0.15">
      <c r="A1244" s="3">
        <f>DATE(1993,9,9)</f>
        <v>34221</v>
      </c>
      <c r="B1244" s="3">
        <f>DATE(1993,10,13)</f>
        <v>34255</v>
      </c>
      <c r="C1244" s="2" t="s">
        <v>95</v>
      </c>
      <c r="D1244" s="2" t="s">
        <v>4169</v>
      </c>
      <c r="E1244" s="2" t="s">
        <v>4170</v>
      </c>
      <c r="F1244" s="4">
        <v>2086</v>
      </c>
      <c r="G1244" s="2" t="s">
        <v>577</v>
      </c>
      <c r="H1244" s="2" t="s">
        <v>34</v>
      </c>
      <c r="I1244" s="2" t="s">
        <v>4171</v>
      </c>
      <c r="J1244" s="2" t="s">
        <v>4172</v>
      </c>
      <c r="K1244" s="2" t="s">
        <v>577</v>
      </c>
      <c r="L1244" s="2" t="s">
        <v>303</v>
      </c>
      <c r="M1244" s="2"/>
      <c r="N1244" s="2"/>
      <c r="O1244" s="2"/>
      <c r="P1244" s="2" t="s">
        <v>4173</v>
      </c>
      <c r="Q1244" s="6">
        <v>100</v>
      </c>
      <c r="R1244" s="6">
        <v>24.5</v>
      </c>
      <c r="S1244" s="5">
        <v>15.9</v>
      </c>
      <c r="T1244" s="7">
        <v>29.681000000000001</v>
      </c>
      <c r="U1244" s="5">
        <v>6.4</v>
      </c>
      <c r="V1244" s="6">
        <v>1.1399999999999999</v>
      </c>
      <c r="W1244" s="5">
        <v>18.5</v>
      </c>
      <c r="X1244" s="6">
        <v>18.25</v>
      </c>
      <c r="Y1244" s="6">
        <v>18.25</v>
      </c>
      <c r="Z1244" s="6">
        <v>19.25</v>
      </c>
      <c r="AA1244" s="6">
        <v>13.6</v>
      </c>
      <c r="AB1244" s="7">
        <v>11.923999999999999</v>
      </c>
      <c r="AC1244" s="2"/>
    </row>
    <row r="1245" spans="1:29" ht="117" x14ac:dyDescent="0.15">
      <c r="A1245" s="3">
        <f>DATE(1993,9,9)</f>
        <v>34221</v>
      </c>
      <c r="B1245" s="3">
        <f>DATE(1994,3,17)</f>
        <v>34410</v>
      </c>
      <c r="C1245" s="2" t="s">
        <v>95</v>
      </c>
      <c r="D1245" s="2" t="s">
        <v>4174</v>
      </c>
      <c r="E1245" s="2" t="s">
        <v>4175</v>
      </c>
      <c r="F1245" s="4">
        <v>6021</v>
      </c>
      <c r="G1245" s="2" t="s">
        <v>37</v>
      </c>
      <c r="H1245" s="2" t="s">
        <v>34</v>
      </c>
      <c r="I1245" s="2" t="s">
        <v>4176</v>
      </c>
      <c r="J1245" s="2" t="s">
        <v>36</v>
      </c>
      <c r="K1245" s="2" t="s">
        <v>37</v>
      </c>
      <c r="L1245" s="2" t="s">
        <v>34</v>
      </c>
      <c r="M1245" s="2"/>
      <c r="N1245" s="7">
        <v>15.375</v>
      </c>
      <c r="O1245" s="7">
        <v>15.625</v>
      </c>
      <c r="P1245" s="2" t="s">
        <v>4177</v>
      </c>
      <c r="Q1245" s="6">
        <v>100</v>
      </c>
      <c r="R1245" s="6">
        <v>11.5</v>
      </c>
      <c r="S1245" s="5">
        <v>2</v>
      </c>
      <c r="T1245" s="7">
        <v>3.8119999999999998</v>
      </c>
      <c r="U1245" s="5">
        <v>6.1</v>
      </c>
      <c r="V1245" s="6">
        <v>0.44</v>
      </c>
      <c r="W1245" s="6">
        <v>9.25</v>
      </c>
      <c r="X1245" s="4">
        <v>9</v>
      </c>
      <c r="Y1245" s="6">
        <v>10.25</v>
      </c>
      <c r="Z1245" s="4">
        <v>10</v>
      </c>
      <c r="AA1245" s="6">
        <v>4</v>
      </c>
      <c r="AB1245" s="7">
        <v>69.477999999999994</v>
      </c>
      <c r="AC1245" s="2"/>
    </row>
    <row r="1246" spans="1:29" ht="130" x14ac:dyDescent="0.15">
      <c r="A1246" s="3">
        <f>DATE(1993,9,9)</f>
        <v>34221</v>
      </c>
      <c r="B1246" s="3">
        <f>DATE(1994,3,30)</f>
        <v>34423</v>
      </c>
      <c r="C1246" s="2" t="s">
        <v>95</v>
      </c>
      <c r="D1246" s="2" t="s">
        <v>1280</v>
      </c>
      <c r="E1246" s="2" t="s">
        <v>36</v>
      </c>
      <c r="F1246" s="4">
        <v>6022</v>
      </c>
      <c r="G1246" s="2" t="s">
        <v>37</v>
      </c>
      <c r="H1246" s="2" t="s">
        <v>34</v>
      </c>
      <c r="I1246" s="2" t="s">
        <v>526</v>
      </c>
      <c r="J1246" s="2" t="s">
        <v>159</v>
      </c>
      <c r="K1246" s="2" t="s">
        <v>37</v>
      </c>
      <c r="L1246" s="2" t="s">
        <v>34</v>
      </c>
      <c r="M1246" s="2"/>
      <c r="N1246" s="4">
        <v>28</v>
      </c>
      <c r="O1246" s="7">
        <v>29.125</v>
      </c>
      <c r="P1246" s="2" t="s">
        <v>4178</v>
      </c>
      <c r="Q1246" s="6">
        <v>100</v>
      </c>
      <c r="R1246" s="6">
        <v>11.4</v>
      </c>
      <c r="S1246" s="5">
        <v>2.7</v>
      </c>
      <c r="T1246" s="7">
        <v>11.704000000000001</v>
      </c>
      <c r="U1246" s="5">
        <v>7.2</v>
      </c>
      <c r="V1246" s="6">
        <v>0.23</v>
      </c>
      <c r="W1246" s="7">
        <v>4.125</v>
      </c>
      <c r="X1246" s="7">
        <v>3.875</v>
      </c>
      <c r="Y1246" s="7">
        <v>5.375</v>
      </c>
      <c r="Z1246" s="7">
        <v>4.875</v>
      </c>
      <c r="AA1246" s="6">
        <v>11.64</v>
      </c>
      <c r="AB1246" s="7">
        <v>119.83199999999999</v>
      </c>
      <c r="AC1246" s="2"/>
    </row>
    <row r="1247" spans="1:29" ht="156" x14ac:dyDescent="0.15">
      <c r="A1247" s="3">
        <f>DATE(1993,9,9)</f>
        <v>34221</v>
      </c>
      <c r="B1247" s="3">
        <f>DATE(1994,7,7)</f>
        <v>34522</v>
      </c>
      <c r="C1247" s="2" t="s">
        <v>95</v>
      </c>
      <c r="D1247" s="2" t="s">
        <v>40</v>
      </c>
      <c r="E1247" s="2" t="s">
        <v>41</v>
      </c>
      <c r="F1247" s="4">
        <v>7822</v>
      </c>
      <c r="G1247" s="2" t="s">
        <v>42</v>
      </c>
      <c r="H1247" s="2" t="s">
        <v>34</v>
      </c>
      <c r="I1247" s="2" t="s">
        <v>4179</v>
      </c>
      <c r="J1247" s="2" t="s">
        <v>4180</v>
      </c>
      <c r="K1247" s="2" t="s">
        <v>45</v>
      </c>
      <c r="L1247" s="2" t="s">
        <v>34</v>
      </c>
      <c r="M1247" s="12">
        <v>7528.6629999999996</v>
      </c>
      <c r="N1247" s="7">
        <v>65.625</v>
      </c>
      <c r="O1247" s="4">
        <v>66</v>
      </c>
      <c r="P1247" s="2" t="s">
        <v>4181</v>
      </c>
      <c r="Q1247" s="6">
        <v>100</v>
      </c>
      <c r="R1247" s="6">
        <v>139.81</v>
      </c>
      <c r="S1247" s="5">
        <v>128</v>
      </c>
      <c r="T1247" s="6">
        <v>229.35</v>
      </c>
      <c r="U1247" s="5">
        <v>33</v>
      </c>
      <c r="V1247" s="7">
        <v>1.077</v>
      </c>
      <c r="W1247" s="6">
        <v>56.75</v>
      </c>
      <c r="X1247" s="7">
        <v>55.875</v>
      </c>
      <c r="Y1247" s="4">
        <v>55</v>
      </c>
      <c r="Z1247" s="7">
        <v>56.875</v>
      </c>
      <c r="AA1247" s="6">
        <v>121.05</v>
      </c>
      <c r="AB1247" s="7">
        <v>87.334999999999994</v>
      </c>
      <c r="AC1247" s="6">
        <v>48.43</v>
      </c>
    </row>
    <row r="1248" spans="1:29" ht="117" x14ac:dyDescent="0.15">
      <c r="A1248" s="3">
        <f>DATE(1993,9,9)</f>
        <v>34221</v>
      </c>
      <c r="B1248" s="2"/>
      <c r="C1248" s="2" t="s">
        <v>39</v>
      </c>
      <c r="D1248" s="2" t="s">
        <v>4182</v>
      </c>
      <c r="E1248" s="2" t="s">
        <v>4183</v>
      </c>
      <c r="F1248" s="4">
        <v>2676</v>
      </c>
      <c r="G1248" s="2" t="s">
        <v>282</v>
      </c>
      <c r="H1248" s="2" t="s">
        <v>34</v>
      </c>
      <c r="I1248" s="2" t="s">
        <v>4184</v>
      </c>
      <c r="J1248" s="2" t="s">
        <v>4185</v>
      </c>
      <c r="K1248" s="2" t="s">
        <v>163</v>
      </c>
      <c r="L1248" s="2" t="s">
        <v>34</v>
      </c>
      <c r="M1248" s="2"/>
      <c r="N1248" s="6">
        <v>52.75</v>
      </c>
      <c r="O1248" s="7">
        <v>53.625</v>
      </c>
      <c r="P1248" s="2" t="s">
        <v>4186</v>
      </c>
      <c r="Q1248" s="2"/>
      <c r="R1248" s="2"/>
      <c r="S1248" s="5">
        <v>122.4</v>
      </c>
      <c r="T1248" s="7">
        <v>212.047</v>
      </c>
      <c r="U1248" s="5">
        <v>4.3</v>
      </c>
      <c r="V1248" s="6">
        <v>3.09</v>
      </c>
      <c r="W1248" s="7">
        <v>41.375</v>
      </c>
      <c r="X1248" s="7">
        <v>40.125</v>
      </c>
      <c r="Y1248" s="7">
        <v>40.125</v>
      </c>
      <c r="Z1248" s="6">
        <v>46.25</v>
      </c>
      <c r="AA1248" s="6">
        <v>38.549999999999997</v>
      </c>
      <c r="AB1248" s="2" t="s">
        <v>47</v>
      </c>
      <c r="AC1248" s="2"/>
    </row>
    <row r="1249" spans="1:29" ht="143" x14ac:dyDescent="0.15">
      <c r="A1249" s="3">
        <f>DATE(1993,9,10)</f>
        <v>34222</v>
      </c>
      <c r="B1249" s="3">
        <f>DATE(1993,12,29)</f>
        <v>34332</v>
      </c>
      <c r="C1249" s="2" t="s">
        <v>95</v>
      </c>
      <c r="D1249" s="2" t="s">
        <v>4187</v>
      </c>
      <c r="E1249" s="2" t="s">
        <v>3322</v>
      </c>
      <c r="F1249" s="4">
        <v>8711</v>
      </c>
      <c r="G1249" s="2" t="s">
        <v>223</v>
      </c>
      <c r="H1249" s="2" t="s">
        <v>34</v>
      </c>
      <c r="I1249" s="2" t="s">
        <v>4188</v>
      </c>
      <c r="J1249" s="2" t="s">
        <v>4189</v>
      </c>
      <c r="K1249" s="2" t="s">
        <v>223</v>
      </c>
      <c r="L1249" s="2" t="s">
        <v>2105</v>
      </c>
      <c r="M1249" s="2"/>
      <c r="N1249" s="2"/>
      <c r="O1249" s="2"/>
      <c r="P1249" s="2" t="s">
        <v>4190</v>
      </c>
      <c r="Q1249" s="6">
        <v>100</v>
      </c>
      <c r="R1249" s="6">
        <v>10.24</v>
      </c>
      <c r="S1249" s="5">
        <v>3</v>
      </c>
      <c r="T1249" s="7">
        <v>8.7460000000000004</v>
      </c>
      <c r="U1249" s="5">
        <v>6.4</v>
      </c>
      <c r="V1249" s="6">
        <v>0.51</v>
      </c>
      <c r="W1249" s="7">
        <v>10.125</v>
      </c>
      <c r="X1249" s="6">
        <v>10.75</v>
      </c>
      <c r="Y1249" s="6">
        <v>11.75</v>
      </c>
      <c r="Z1249" s="6">
        <v>11.25</v>
      </c>
      <c r="AA1249" s="6">
        <v>5.82</v>
      </c>
      <c r="AB1249" s="7">
        <v>11.433999999999999</v>
      </c>
      <c r="AC1249" s="2"/>
    </row>
    <row r="1250" spans="1:29" ht="143" x14ac:dyDescent="0.15">
      <c r="A1250" s="3">
        <f>DATE(1993,9,13)</f>
        <v>34225</v>
      </c>
      <c r="B1250" s="3">
        <f>DATE(1994,3,25)</f>
        <v>34418</v>
      </c>
      <c r="C1250" s="2" t="s">
        <v>95</v>
      </c>
      <c r="D1250" s="2" t="s">
        <v>4191</v>
      </c>
      <c r="E1250" s="2" t="s">
        <v>36</v>
      </c>
      <c r="F1250" s="4">
        <v>6022</v>
      </c>
      <c r="G1250" s="2" t="s">
        <v>37</v>
      </c>
      <c r="H1250" s="2" t="s">
        <v>34</v>
      </c>
      <c r="I1250" s="2" t="s">
        <v>2694</v>
      </c>
      <c r="J1250" s="2" t="s">
        <v>36</v>
      </c>
      <c r="K1250" s="2" t="s">
        <v>37</v>
      </c>
      <c r="L1250" s="2" t="s">
        <v>34</v>
      </c>
      <c r="M1250" s="12">
        <v>3971.0250000000001</v>
      </c>
      <c r="N1250" s="4">
        <v>40</v>
      </c>
      <c r="O1250" s="7">
        <v>39.625</v>
      </c>
      <c r="P1250" s="2" t="s">
        <v>4192</v>
      </c>
      <c r="Q1250" s="6">
        <v>100</v>
      </c>
      <c r="R1250" s="6">
        <v>28.99</v>
      </c>
      <c r="S1250" s="5">
        <v>4</v>
      </c>
      <c r="T1250" s="7">
        <v>5.6989999999999998</v>
      </c>
      <c r="U1250" s="5">
        <v>11.2</v>
      </c>
      <c r="V1250" s="6">
        <v>1.52</v>
      </c>
      <c r="W1250" s="7">
        <v>22.375</v>
      </c>
      <c r="X1250" s="6">
        <v>22.25</v>
      </c>
      <c r="Y1250" s="7">
        <v>27.875</v>
      </c>
      <c r="Z1250" s="6">
        <v>28.25</v>
      </c>
      <c r="AA1250" s="6">
        <v>2.8</v>
      </c>
      <c r="AB1250" s="7">
        <v>77.215000000000003</v>
      </c>
      <c r="AC1250" s="2"/>
    </row>
    <row r="1251" spans="1:29" ht="117" x14ac:dyDescent="0.15">
      <c r="A1251" s="3">
        <f>DATE(1993,9,13)</f>
        <v>34225</v>
      </c>
      <c r="B1251" s="3">
        <f>DATE(1993,11,4)</f>
        <v>34277</v>
      </c>
      <c r="C1251" s="2" t="s">
        <v>95</v>
      </c>
      <c r="D1251" s="2" t="s">
        <v>4193</v>
      </c>
      <c r="E1251" s="2" t="s">
        <v>4194</v>
      </c>
      <c r="F1251" s="4">
        <v>2657</v>
      </c>
      <c r="G1251" s="2" t="s">
        <v>282</v>
      </c>
      <c r="H1251" s="2" t="s">
        <v>34</v>
      </c>
      <c r="I1251" s="2" t="s">
        <v>4195</v>
      </c>
      <c r="J1251" s="2" t="s">
        <v>4196</v>
      </c>
      <c r="K1251" s="2" t="s">
        <v>282</v>
      </c>
      <c r="L1251" s="2" t="s">
        <v>34</v>
      </c>
      <c r="M1251" s="2"/>
      <c r="N1251" s="5">
        <v>22.5</v>
      </c>
      <c r="O1251" s="4">
        <v>23</v>
      </c>
      <c r="P1251" s="2" t="s">
        <v>4197</v>
      </c>
      <c r="Q1251" s="6">
        <v>100</v>
      </c>
      <c r="R1251" s="6">
        <v>15.63</v>
      </c>
      <c r="S1251" s="5">
        <v>10.199999999999999</v>
      </c>
      <c r="T1251" s="7">
        <v>30.936</v>
      </c>
      <c r="U1251" s="5">
        <v>4.0999999999999996</v>
      </c>
      <c r="V1251" s="6">
        <v>0.53</v>
      </c>
      <c r="W1251" s="7">
        <v>13.125</v>
      </c>
      <c r="X1251" s="4">
        <v>13</v>
      </c>
      <c r="Y1251" s="7">
        <v>15.375</v>
      </c>
      <c r="Z1251" s="5">
        <v>15.5</v>
      </c>
      <c r="AA1251" s="6">
        <v>18.940000000000001</v>
      </c>
      <c r="AB1251" s="7">
        <v>14.548</v>
      </c>
      <c r="AC1251" s="6">
        <v>38.07</v>
      </c>
    </row>
    <row r="1252" spans="1:29" ht="130" x14ac:dyDescent="0.15">
      <c r="A1252" s="3">
        <f>DATE(1993,9,13)</f>
        <v>34225</v>
      </c>
      <c r="B1252" s="3">
        <f>DATE(1994,6,24)</f>
        <v>34509</v>
      </c>
      <c r="C1252" s="2" t="s">
        <v>95</v>
      </c>
      <c r="D1252" s="2" t="s">
        <v>4198</v>
      </c>
      <c r="E1252" s="2" t="s">
        <v>36</v>
      </c>
      <c r="F1252" s="4">
        <v>6036</v>
      </c>
      <c r="G1252" s="2" t="s">
        <v>33</v>
      </c>
      <c r="H1252" s="2" t="s">
        <v>34</v>
      </c>
      <c r="I1252" s="2" t="s">
        <v>2995</v>
      </c>
      <c r="J1252" s="2" t="s">
        <v>159</v>
      </c>
      <c r="K1252" s="2" t="s">
        <v>37</v>
      </c>
      <c r="L1252" s="2" t="s">
        <v>34</v>
      </c>
      <c r="M1252" s="12">
        <v>1351.646</v>
      </c>
      <c r="N1252" s="7">
        <v>30.625</v>
      </c>
      <c r="O1252" s="5">
        <v>30.5</v>
      </c>
      <c r="P1252" s="2" t="s">
        <v>4199</v>
      </c>
      <c r="Q1252" s="6">
        <v>100</v>
      </c>
      <c r="R1252" s="2"/>
      <c r="S1252" s="5">
        <v>7</v>
      </c>
      <c r="T1252" s="7">
        <v>24.684999999999999</v>
      </c>
      <c r="U1252" s="5">
        <v>29.7</v>
      </c>
      <c r="V1252" s="2"/>
      <c r="W1252" s="7">
        <v>28.375</v>
      </c>
      <c r="X1252" s="7">
        <v>27.125</v>
      </c>
      <c r="Y1252" s="7">
        <v>29.875</v>
      </c>
      <c r="Z1252" s="4">
        <v>30</v>
      </c>
      <c r="AA1252" s="6">
        <v>6.36</v>
      </c>
      <c r="AB1252" s="7">
        <v>15.303000000000001</v>
      </c>
      <c r="AC1252" s="2"/>
    </row>
    <row r="1253" spans="1:29" ht="130" x14ac:dyDescent="0.15">
      <c r="A1253" s="3">
        <f>DATE(1993,9,13)</f>
        <v>34225</v>
      </c>
      <c r="B1253" s="2"/>
      <c r="C1253" s="2" t="s">
        <v>30</v>
      </c>
      <c r="D1253" s="2" t="s">
        <v>2981</v>
      </c>
      <c r="E1253" s="2" t="s">
        <v>2982</v>
      </c>
      <c r="F1253" s="4">
        <v>3643</v>
      </c>
      <c r="G1253" s="2" t="s">
        <v>137</v>
      </c>
      <c r="H1253" s="2" t="s">
        <v>34</v>
      </c>
      <c r="I1253" s="2" t="s">
        <v>2983</v>
      </c>
      <c r="J1253" s="2" t="s">
        <v>52</v>
      </c>
      <c r="K1253" s="2" t="s">
        <v>53</v>
      </c>
      <c r="L1253" s="2" t="s">
        <v>34</v>
      </c>
      <c r="M1253" s="2"/>
      <c r="N1253" s="2"/>
      <c r="O1253" s="2"/>
      <c r="P1253" s="2" t="s">
        <v>4200</v>
      </c>
      <c r="Q1253" s="2"/>
      <c r="R1253" s="6">
        <v>26.87</v>
      </c>
      <c r="S1253" s="5">
        <v>1.1000000000000001</v>
      </c>
      <c r="T1253" s="7">
        <v>-1.5089999999999999</v>
      </c>
      <c r="U1253" s="5">
        <v>27.4</v>
      </c>
      <c r="V1253" s="6">
        <v>0.12</v>
      </c>
      <c r="W1253" s="7">
        <v>26.625</v>
      </c>
      <c r="X1253" s="4">
        <v>27</v>
      </c>
      <c r="Y1253" s="6">
        <v>26.75</v>
      </c>
      <c r="Z1253" s="6">
        <v>26.75</v>
      </c>
      <c r="AA1253" s="6">
        <v>9.01</v>
      </c>
      <c r="AB1253" s="2" t="s">
        <v>86</v>
      </c>
      <c r="AC1253" s="2"/>
    </row>
    <row r="1254" spans="1:29" ht="130" x14ac:dyDescent="0.15">
      <c r="A1254" s="3">
        <f>DATE(1993,9,13)</f>
        <v>34225</v>
      </c>
      <c r="B1254" s="3">
        <f>DATE(1994,4,27)</f>
        <v>34451</v>
      </c>
      <c r="C1254" s="2" t="s">
        <v>95</v>
      </c>
      <c r="D1254" s="2" t="s">
        <v>2851</v>
      </c>
      <c r="E1254" s="2" t="s">
        <v>2852</v>
      </c>
      <c r="F1254" s="4">
        <v>7812</v>
      </c>
      <c r="G1254" s="2" t="s">
        <v>42</v>
      </c>
      <c r="H1254" s="2" t="s">
        <v>34</v>
      </c>
      <c r="I1254" s="2" t="s">
        <v>3615</v>
      </c>
      <c r="J1254" s="2" t="s">
        <v>398</v>
      </c>
      <c r="K1254" s="2" t="s">
        <v>42</v>
      </c>
      <c r="L1254" s="2" t="s">
        <v>34</v>
      </c>
      <c r="M1254" s="2"/>
      <c r="N1254" s="4">
        <v>8</v>
      </c>
      <c r="O1254" s="7">
        <v>8.125</v>
      </c>
      <c r="P1254" s="2" t="s">
        <v>4201</v>
      </c>
      <c r="Q1254" s="6">
        <v>100</v>
      </c>
      <c r="R1254" s="6">
        <v>13</v>
      </c>
      <c r="S1254" s="5">
        <v>-2.5</v>
      </c>
      <c r="T1254" s="2"/>
      <c r="U1254" s="5">
        <v>2.8</v>
      </c>
      <c r="V1254" s="2"/>
      <c r="W1254" s="5">
        <v>12.5</v>
      </c>
      <c r="X1254" s="4">
        <v>13</v>
      </c>
      <c r="Y1254" s="5">
        <v>12.5</v>
      </c>
      <c r="Z1254" s="6">
        <v>12.25</v>
      </c>
      <c r="AA1254" s="6">
        <v>7.2</v>
      </c>
      <c r="AB1254" s="2" t="s">
        <v>86</v>
      </c>
      <c r="AC1254" s="6">
        <v>36.119999999999997</v>
      </c>
    </row>
    <row r="1255" spans="1:29" ht="52" x14ac:dyDescent="0.15">
      <c r="A1255" s="3">
        <f>DATE(1993,9,14)</f>
        <v>34226</v>
      </c>
      <c r="B1255" s="2"/>
      <c r="C1255" s="2" t="s">
        <v>87</v>
      </c>
      <c r="D1255" s="2" t="s">
        <v>4202</v>
      </c>
      <c r="E1255" s="2" t="s">
        <v>177</v>
      </c>
      <c r="F1255" s="4">
        <v>1311</v>
      </c>
      <c r="G1255" s="2" t="s">
        <v>148</v>
      </c>
      <c r="H1255" s="2" t="s">
        <v>34</v>
      </c>
      <c r="I1255" s="2" t="s">
        <v>2518</v>
      </c>
      <c r="J1255" s="2" t="s">
        <v>612</v>
      </c>
      <c r="K1255" s="2" t="s">
        <v>148</v>
      </c>
      <c r="L1255" s="2" t="s">
        <v>34</v>
      </c>
      <c r="M1255" s="2"/>
      <c r="N1255" s="6">
        <v>10.25</v>
      </c>
      <c r="O1255" s="4">
        <v>10</v>
      </c>
      <c r="P1255" s="2" t="s">
        <v>4203</v>
      </c>
      <c r="Q1255" s="2"/>
      <c r="R1255" s="6">
        <v>4.92</v>
      </c>
      <c r="S1255" s="2"/>
      <c r="T1255" s="2"/>
      <c r="U1255" s="2"/>
      <c r="V1255" s="2"/>
      <c r="W1255" s="6">
        <v>3.75</v>
      </c>
      <c r="X1255" s="6">
        <v>4.75</v>
      </c>
      <c r="Y1255" s="4">
        <v>5</v>
      </c>
      <c r="Z1255" s="7">
        <v>4.875</v>
      </c>
      <c r="AA1255" s="2"/>
      <c r="AB1255" s="2" t="s">
        <v>47</v>
      </c>
      <c r="AC1255" s="5">
        <v>83.8</v>
      </c>
    </row>
    <row r="1256" spans="1:29" ht="156" x14ac:dyDescent="0.15">
      <c r="A1256" s="3">
        <f>DATE(1993,9,16)</f>
        <v>34228</v>
      </c>
      <c r="B1256" s="3">
        <f>DATE(1994,4,22)</f>
        <v>34446</v>
      </c>
      <c r="C1256" s="2" t="s">
        <v>95</v>
      </c>
      <c r="D1256" s="2" t="s">
        <v>4204</v>
      </c>
      <c r="E1256" s="2" t="s">
        <v>4205</v>
      </c>
      <c r="F1256" s="4">
        <v>4941</v>
      </c>
      <c r="G1256" s="2" t="s">
        <v>439</v>
      </c>
      <c r="H1256" s="2" t="s">
        <v>34</v>
      </c>
      <c r="I1256" s="2" t="s">
        <v>4206</v>
      </c>
      <c r="J1256" s="2" t="s">
        <v>4205</v>
      </c>
      <c r="K1256" s="2" t="s">
        <v>439</v>
      </c>
      <c r="L1256" s="2" t="s">
        <v>34</v>
      </c>
      <c r="M1256" s="7">
        <v>309.97699999999998</v>
      </c>
      <c r="N1256" s="4">
        <v>15</v>
      </c>
      <c r="O1256" s="7">
        <v>15.375</v>
      </c>
      <c r="P1256" s="2" t="s">
        <v>4207</v>
      </c>
      <c r="Q1256" s="6">
        <v>100</v>
      </c>
      <c r="R1256" s="6">
        <v>17.850000000000001</v>
      </c>
      <c r="S1256" s="5">
        <v>11.7</v>
      </c>
      <c r="T1256" s="7">
        <v>49.612000000000002</v>
      </c>
      <c r="U1256" s="2"/>
      <c r="V1256" s="6">
        <v>0.95</v>
      </c>
      <c r="W1256" s="4">
        <v>16</v>
      </c>
      <c r="X1256" s="6">
        <v>16.75</v>
      </c>
      <c r="Y1256" s="6">
        <v>17.25</v>
      </c>
      <c r="Z1256" s="4">
        <v>17</v>
      </c>
      <c r="AA1256" s="6">
        <v>11.07</v>
      </c>
      <c r="AB1256" s="7">
        <v>11.352</v>
      </c>
      <c r="AC1256" s="6">
        <v>8.93</v>
      </c>
    </row>
    <row r="1257" spans="1:29" ht="117" x14ac:dyDescent="0.15">
      <c r="A1257" s="3">
        <f>DATE(1993,9,17)</f>
        <v>34229</v>
      </c>
      <c r="B1257" s="2"/>
      <c r="C1257" s="2" t="s">
        <v>56</v>
      </c>
      <c r="D1257" s="2" t="s">
        <v>4208</v>
      </c>
      <c r="E1257" s="2" t="s">
        <v>4209</v>
      </c>
      <c r="F1257" s="4">
        <v>3511</v>
      </c>
      <c r="G1257" s="2" t="s">
        <v>300</v>
      </c>
      <c r="H1257" s="2" t="s">
        <v>34</v>
      </c>
      <c r="I1257" s="2" t="s">
        <v>4210</v>
      </c>
      <c r="J1257" s="2" t="s">
        <v>4211</v>
      </c>
      <c r="K1257" s="2" t="s">
        <v>439</v>
      </c>
      <c r="L1257" s="2" t="s">
        <v>34</v>
      </c>
      <c r="M1257" s="2"/>
      <c r="N1257" s="4">
        <v>9</v>
      </c>
      <c r="O1257" s="4">
        <v>9</v>
      </c>
      <c r="P1257" s="2" t="s">
        <v>4212</v>
      </c>
      <c r="Q1257" s="2"/>
      <c r="R1257" s="6">
        <v>3</v>
      </c>
      <c r="S1257" s="5">
        <v>-0.9</v>
      </c>
      <c r="T1257" s="7">
        <v>-0.496</v>
      </c>
      <c r="U1257" s="5">
        <v>0.2</v>
      </c>
      <c r="V1257" s="6">
        <v>-0.1</v>
      </c>
      <c r="W1257" s="7">
        <v>1.375</v>
      </c>
      <c r="X1257" s="7">
        <v>1.375</v>
      </c>
      <c r="Y1257" s="7">
        <v>1.8129999999999999</v>
      </c>
      <c r="Z1257" s="6">
        <v>1.75</v>
      </c>
      <c r="AA1257" s="6">
        <v>11.77</v>
      </c>
      <c r="AB1257" s="2" t="s">
        <v>86</v>
      </c>
      <c r="AC1257" s="2"/>
    </row>
    <row r="1258" spans="1:29" ht="130" x14ac:dyDescent="0.15">
      <c r="A1258" s="3">
        <f>DATE(1993,9,20)</f>
        <v>34232</v>
      </c>
      <c r="B1258" s="3">
        <f>DATE(1993,12,28)</f>
        <v>34331</v>
      </c>
      <c r="C1258" s="2" t="s">
        <v>95</v>
      </c>
      <c r="D1258" s="2" t="s">
        <v>4213</v>
      </c>
      <c r="E1258" s="2" t="s">
        <v>4214</v>
      </c>
      <c r="F1258" s="4">
        <v>7373</v>
      </c>
      <c r="G1258" s="2" t="s">
        <v>223</v>
      </c>
      <c r="H1258" s="2" t="s">
        <v>34</v>
      </c>
      <c r="I1258" s="2" t="s">
        <v>4215</v>
      </c>
      <c r="J1258" s="2" t="s">
        <v>52</v>
      </c>
      <c r="K1258" s="2" t="s">
        <v>53</v>
      </c>
      <c r="L1258" s="2" t="s">
        <v>34</v>
      </c>
      <c r="M1258" s="2"/>
      <c r="N1258" s="2"/>
      <c r="O1258" s="2"/>
      <c r="P1258" s="2" t="s">
        <v>4216</v>
      </c>
      <c r="Q1258" s="6">
        <v>100</v>
      </c>
      <c r="R1258" s="6">
        <v>18.75</v>
      </c>
      <c r="S1258" s="5">
        <v>-53</v>
      </c>
      <c r="T1258" s="7">
        <v>32.325000000000003</v>
      </c>
      <c r="U1258" s="5">
        <v>16.100000000000001</v>
      </c>
      <c r="V1258" s="6">
        <v>1.68</v>
      </c>
      <c r="W1258" s="7">
        <v>13.375</v>
      </c>
      <c r="X1258" s="7">
        <v>13.625</v>
      </c>
      <c r="Y1258" s="7">
        <v>17.125</v>
      </c>
      <c r="Z1258" s="7">
        <v>18.625</v>
      </c>
      <c r="AA1258" s="6">
        <v>10.199999999999999</v>
      </c>
      <c r="AB1258" s="7">
        <v>6.39</v>
      </c>
      <c r="AC1258" s="2"/>
    </row>
    <row r="1259" spans="1:29" ht="143" x14ac:dyDescent="0.15">
      <c r="A1259" s="3">
        <f>DATE(1993,9,20)</f>
        <v>34232</v>
      </c>
      <c r="B1259" s="2"/>
      <c r="C1259" s="2" t="s">
        <v>30</v>
      </c>
      <c r="D1259" s="2" t="s">
        <v>40</v>
      </c>
      <c r="E1259" s="2" t="s">
        <v>41</v>
      </c>
      <c r="F1259" s="4">
        <v>7822</v>
      </c>
      <c r="G1259" s="2" t="s">
        <v>42</v>
      </c>
      <c r="H1259" s="2" t="s">
        <v>34</v>
      </c>
      <c r="I1259" s="2" t="s">
        <v>2678</v>
      </c>
      <c r="J1259" s="2" t="s">
        <v>1893</v>
      </c>
      <c r="K1259" s="2" t="s">
        <v>45</v>
      </c>
      <c r="L1259" s="2" t="s">
        <v>34</v>
      </c>
      <c r="M1259" s="2"/>
      <c r="N1259" s="4">
        <v>56</v>
      </c>
      <c r="O1259" s="7">
        <v>56.125</v>
      </c>
      <c r="P1259" s="2" t="s">
        <v>4217</v>
      </c>
      <c r="Q1259" s="2"/>
      <c r="R1259" s="6">
        <v>104</v>
      </c>
      <c r="S1259" s="5">
        <v>128</v>
      </c>
      <c r="T1259" s="6">
        <v>229.35</v>
      </c>
      <c r="U1259" s="5">
        <v>33</v>
      </c>
      <c r="V1259" s="7">
        <v>1.077</v>
      </c>
      <c r="W1259" s="6">
        <v>57.25</v>
      </c>
      <c r="X1259" s="4">
        <v>55</v>
      </c>
      <c r="Y1259" s="7">
        <v>56.875</v>
      </c>
      <c r="Z1259" s="7">
        <v>61.125</v>
      </c>
      <c r="AA1259" s="6">
        <v>121.05</v>
      </c>
      <c r="AB1259" s="7">
        <v>64.983000000000004</v>
      </c>
      <c r="AC1259" s="2"/>
    </row>
    <row r="1260" spans="1:29" ht="130" x14ac:dyDescent="0.15">
      <c r="A1260" s="3">
        <f>DATE(1993,9,20)</f>
        <v>34232</v>
      </c>
      <c r="B1260" s="3">
        <f>DATE(1994,5,31)</f>
        <v>34485</v>
      </c>
      <c r="C1260" s="2" t="s">
        <v>95</v>
      </c>
      <c r="D1260" s="2" t="s">
        <v>4218</v>
      </c>
      <c r="E1260" s="2" t="s">
        <v>36</v>
      </c>
      <c r="F1260" s="4">
        <v>6022</v>
      </c>
      <c r="G1260" s="2" t="s">
        <v>37</v>
      </c>
      <c r="H1260" s="2" t="s">
        <v>34</v>
      </c>
      <c r="I1260" s="2" t="s">
        <v>4219</v>
      </c>
      <c r="J1260" s="2" t="s">
        <v>36</v>
      </c>
      <c r="K1260" s="2" t="s">
        <v>37</v>
      </c>
      <c r="L1260" s="2" t="s">
        <v>34</v>
      </c>
      <c r="M1260" s="12">
        <v>1448.7439999999999</v>
      </c>
      <c r="N1260" s="6">
        <v>21.75</v>
      </c>
      <c r="O1260" s="6">
        <v>21.25</v>
      </c>
      <c r="P1260" s="2" t="s">
        <v>4220</v>
      </c>
      <c r="Q1260" s="6">
        <v>100</v>
      </c>
      <c r="R1260" s="6">
        <v>39.56</v>
      </c>
      <c r="S1260" s="5">
        <v>39.799999999999997</v>
      </c>
      <c r="T1260" s="7">
        <v>72.706000000000003</v>
      </c>
      <c r="U1260" s="5">
        <v>16.2</v>
      </c>
      <c r="V1260" s="9">
        <v>2.0667</v>
      </c>
      <c r="W1260" s="6">
        <v>33.25</v>
      </c>
      <c r="X1260" s="6">
        <v>35.75</v>
      </c>
      <c r="Y1260" s="6">
        <v>34.75</v>
      </c>
      <c r="Z1260" s="5">
        <v>34.5</v>
      </c>
      <c r="AA1260" s="6">
        <v>20.72</v>
      </c>
      <c r="AB1260" s="7">
        <v>16.591000000000001</v>
      </c>
      <c r="AC1260" s="2"/>
    </row>
    <row r="1261" spans="1:29" ht="130" x14ac:dyDescent="0.15">
      <c r="A1261" s="3">
        <f>DATE(1993,9,20)</f>
        <v>34232</v>
      </c>
      <c r="B1261" s="3">
        <f>DATE(1993,12,10)</f>
        <v>34313</v>
      </c>
      <c r="C1261" s="2" t="s">
        <v>95</v>
      </c>
      <c r="D1261" s="2" t="s">
        <v>2199</v>
      </c>
      <c r="E1261" s="2" t="s">
        <v>4221</v>
      </c>
      <c r="F1261" s="4">
        <v>2321</v>
      </c>
      <c r="G1261" s="2" t="s">
        <v>708</v>
      </c>
      <c r="H1261" s="2" t="s">
        <v>34</v>
      </c>
      <c r="I1261" s="2" t="s">
        <v>4222</v>
      </c>
      <c r="J1261" s="2" t="s">
        <v>4223</v>
      </c>
      <c r="K1261" s="2" t="s">
        <v>708</v>
      </c>
      <c r="L1261" s="2" t="s">
        <v>34</v>
      </c>
      <c r="M1261" s="2"/>
      <c r="N1261" s="6">
        <v>12.75</v>
      </c>
      <c r="O1261" s="7">
        <v>13.125</v>
      </c>
      <c r="P1261" s="2" t="s">
        <v>4224</v>
      </c>
      <c r="Q1261" s="6">
        <v>4.88</v>
      </c>
      <c r="R1261" s="6">
        <v>46</v>
      </c>
      <c r="S1261" s="5">
        <v>-190.1</v>
      </c>
      <c r="T1261" s="7">
        <v>240.36699999999999</v>
      </c>
      <c r="U1261" s="5">
        <v>33.5</v>
      </c>
      <c r="V1261" s="6">
        <v>-6.43</v>
      </c>
      <c r="W1261" s="7">
        <v>57.375</v>
      </c>
      <c r="X1261" s="7">
        <v>57.875</v>
      </c>
      <c r="Y1261" s="6">
        <v>57.75</v>
      </c>
      <c r="Z1261" s="7">
        <v>57.875</v>
      </c>
      <c r="AA1261" s="6">
        <v>29.54</v>
      </c>
      <c r="AB1261" s="7">
        <v>16.359000000000002</v>
      </c>
      <c r="AC1261" s="2"/>
    </row>
    <row r="1262" spans="1:29" ht="65" x14ac:dyDescent="0.15">
      <c r="A1262" s="3">
        <f>DATE(1993,9,21)</f>
        <v>34233</v>
      </c>
      <c r="B1262" s="3">
        <f>DATE(1994,5,27)</f>
        <v>34481</v>
      </c>
      <c r="C1262" s="2" t="s">
        <v>95</v>
      </c>
      <c r="D1262" s="2" t="s">
        <v>294</v>
      </c>
      <c r="E1262" s="2" t="s">
        <v>36</v>
      </c>
      <c r="F1262" s="4">
        <v>6021</v>
      </c>
      <c r="G1262" s="2" t="s">
        <v>37</v>
      </c>
      <c r="H1262" s="2" t="s">
        <v>34</v>
      </c>
      <c r="I1262" s="2" t="s">
        <v>2321</v>
      </c>
      <c r="J1262" s="2" t="s">
        <v>36</v>
      </c>
      <c r="K1262" s="2" t="s">
        <v>37</v>
      </c>
      <c r="L1262" s="2" t="s">
        <v>34</v>
      </c>
      <c r="M1262" s="2"/>
      <c r="N1262" s="4">
        <v>24</v>
      </c>
      <c r="O1262" s="6">
        <v>24.25</v>
      </c>
      <c r="P1262" s="2" t="s">
        <v>4225</v>
      </c>
      <c r="Q1262" s="6">
        <v>100</v>
      </c>
      <c r="R1262" s="6">
        <v>34</v>
      </c>
      <c r="S1262" s="5">
        <v>7.5</v>
      </c>
      <c r="T1262" s="7">
        <v>15.067</v>
      </c>
      <c r="U1262" s="5">
        <v>20.6</v>
      </c>
      <c r="V1262" s="2"/>
      <c r="W1262" s="7">
        <v>27.625</v>
      </c>
      <c r="X1262" s="4">
        <v>28</v>
      </c>
      <c r="Y1262" s="5">
        <v>28.5</v>
      </c>
      <c r="Z1262" s="7">
        <v>31.375</v>
      </c>
      <c r="AA1262" s="6">
        <v>6.67</v>
      </c>
      <c r="AB1262" s="7">
        <v>84.656000000000006</v>
      </c>
      <c r="AC1262" s="2"/>
    </row>
    <row r="1263" spans="1:29" ht="52" x14ac:dyDescent="0.15">
      <c r="A1263" s="3">
        <f>DATE(1993,9,21)</f>
        <v>34233</v>
      </c>
      <c r="B1263" s="3">
        <f>DATE(1994,9,19)</f>
        <v>34596</v>
      </c>
      <c r="C1263" s="2" t="s">
        <v>95</v>
      </c>
      <c r="D1263" s="2" t="s">
        <v>4226</v>
      </c>
      <c r="E1263" s="2" t="s">
        <v>4227</v>
      </c>
      <c r="F1263" s="4">
        <v>4512</v>
      </c>
      <c r="G1263" s="2" t="s">
        <v>59</v>
      </c>
      <c r="H1263" s="2" t="s">
        <v>34</v>
      </c>
      <c r="I1263" s="2" t="s">
        <v>1526</v>
      </c>
      <c r="J1263" s="2" t="s">
        <v>302</v>
      </c>
      <c r="K1263" s="2" t="s">
        <v>53</v>
      </c>
      <c r="L1263" s="2" t="s">
        <v>34</v>
      </c>
      <c r="M1263" s="2"/>
      <c r="N1263" s="2"/>
      <c r="O1263" s="2"/>
      <c r="P1263" s="2" t="s">
        <v>4228</v>
      </c>
      <c r="Q1263" s="6">
        <v>70</v>
      </c>
      <c r="R1263" s="2"/>
      <c r="S1263" s="2"/>
      <c r="T1263" s="2"/>
      <c r="U1263" s="2"/>
      <c r="V1263" s="2"/>
      <c r="W1263" s="6">
        <v>1.75</v>
      </c>
      <c r="X1263" s="7">
        <v>1.875</v>
      </c>
      <c r="Y1263" s="7">
        <v>1.9379999999999999</v>
      </c>
      <c r="Z1263" s="7">
        <v>1.9379999999999999</v>
      </c>
      <c r="AA1263" s="2"/>
      <c r="AB1263" s="2" t="s">
        <v>47</v>
      </c>
      <c r="AC1263" s="2"/>
    </row>
    <row r="1264" spans="1:29" ht="52" x14ac:dyDescent="0.15">
      <c r="A1264" s="3">
        <f>DATE(1993,9,22)</f>
        <v>34234</v>
      </c>
      <c r="B1264" s="3">
        <f>DATE(1993,9,27)</f>
        <v>34239</v>
      </c>
      <c r="C1264" s="2" t="s">
        <v>95</v>
      </c>
      <c r="D1264" s="2" t="s">
        <v>4229</v>
      </c>
      <c r="E1264" s="2" t="s">
        <v>36</v>
      </c>
      <c r="F1264" s="4">
        <v>6035</v>
      </c>
      <c r="G1264" s="2" t="s">
        <v>33</v>
      </c>
      <c r="H1264" s="2" t="s">
        <v>34</v>
      </c>
      <c r="I1264" s="2" t="s">
        <v>149</v>
      </c>
      <c r="J1264" s="2" t="s">
        <v>150</v>
      </c>
      <c r="K1264" s="2" t="s">
        <v>53</v>
      </c>
      <c r="L1264" s="2" t="s">
        <v>151</v>
      </c>
      <c r="M1264" s="2"/>
      <c r="N1264" s="2"/>
      <c r="O1264" s="2"/>
      <c r="P1264" s="2" t="s">
        <v>4230</v>
      </c>
      <c r="Q1264" s="6">
        <v>68</v>
      </c>
      <c r="R1264" s="6">
        <v>1.1000000000000001</v>
      </c>
      <c r="S1264" s="5">
        <v>-4.3</v>
      </c>
      <c r="T1264" s="7">
        <v>-4.5529999999999999</v>
      </c>
      <c r="U1264" s="5">
        <v>4.2</v>
      </c>
      <c r="V1264" s="6">
        <v>-2</v>
      </c>
      <c r="W1264" s="5">
        <v>2.5</v>
      </c>
      <c r="X1264" s="6">
        <v>2.25</v>
      </c>
      <c r="Y1264" s="6">
        <v>2.25</v>
      </c>
      <c r="Z1264" s="6">
        <v>2.25</v>
      </c>
      <c r="AA1264" s="6">
        <v>7.35</v>
      </c>
      <c r="AB1264" s="2" t="s">
        <v>86</v>
      </c>
      <c r="AC1264" s="2"/>
    </row>
    <row r="1265" spans="1:29" ht="143" x14ac:dyDescent="0.15">
      <c r="A1265" s="3">
        <f>DATE(1993,9,22)</f>
        <v>34234</v>
      </c>
      <c r="B1265" s="3">
        <f>DATE(1993,12,31)</f>
        <v>34334</v>
      </c>
      <c r="C1265" s="2" t="s">
        <v>95</v>
      </c>
      <c r="D1265" s="2" t="s">
        <v>4231</v>
      </c>
      <c r="E1265" s="2" t="s">
        <v>515</v>
      </c>
      <c r="F1265" s="4">
        <v>6331</v>
      </c>
      <c r="G1265" s="2" t="s">
        <v>125</v>
      </c>
      <c r="H1265" s="2" t="s">
        <v>34</v>
      </c>
      <c r="I1265" s="2" t="s">
        <v>482</v>
      </c>
      <c r="J1265" s="2" t="s">
        <v>483</v>
      </c>
      <c r="K1265" s="2" t="s">
        <v>53</v>
      </c>
      <c r="L1265" s="2" t="s">
        <v>34</v>
      </c>
      <c r="M1265" s="12">
        <v>10293.218000000001</v>
      </c>
      <c r="N1265" s="7">
        <v>47.375</v>
      </c>
      <c r="O1265" s="7">
        <v>48.375</v>
      </c>
      <c r="P1265" s="2" t="s">
        <v>4232</v>
      </c>
      <c r="Q1265" s="6">
        <v>75.88</v>
      </c>
      <c r="R1265" s="6">
        <v>36.979999999999997</v>
      </c>
      <c r="S1265" s="5">
        <v>-828</v>
      </c>
      <c r="T1265" s="2"/>
      <c r="U1265" s="5">
        <v>30.6</v>
      </c>
      <c r="V1265" s="6">
        <v>-8.11</v>
      </c>
      <c r="W1265" s="6">
        <v>19.25</v>
      </c>
      <c r="X1265" s="6">
        <v>17.75</v>
      </c>
      <c r="Y1265" s="5">
        <v>17.5</v>
      </c>
      <c r="Z1265" s="7">
        <v>20.625</v>
      </c>
      <c r="AA1265" s="6">
        <v>145.71</v>
      </c>
      <c r="AB1265" s="2" t="s">
        <v>86</v>
      </c>
      <c r="AC1265" s="5">
        <v>272.3</v>
      </c>
    </row>
    <row r="1266" spans="1:29" ht="104" x14ac:dyDescent="0.15">
      <c r="A1266" s="3">
        <f>DATE(1993,9,23)</f>
        <v>34235</v>
      </c>
      <c r="B1266" s="3">
        <f>DATE(1993,12,14)</f>
        <v>34317</v>
      </c>
      <c r="C1266" s="2" t="s">
        <v>95</v>
      </c>
      <c r="D1266" s="2" t="s">
        <v>4233</v>
      </c>
      <c r="E1266" s="2" t="s">
        <v>4234</v>
      </c>
      <c r="F1266" s="4">
        <v>8063</v>
      </c>
      <c r="G1266" s="2" t="s">
        <v>454</v>
      </c>
      <c r="H1266" s="2" t="s">
        <v>34</v>
      </c>
      <c r="I1266" s="2" t="s">
        <v>4235</v>
      </c>
      <c r="J1266" s="2" t="s">
        <v>4236</v>
      </c>
      <c r="K1266" s="2" t="s">
        <v>125</v>
      </c>
      <c r="L1266" s="2" t="s">
        <v>34</v>
      </c>
      <c r="M1266" s="7">
        <v>909.23400000000004</v>
      </c>
      <c r="N1266" s="4">
        <v>34</v>
      </c>
      <c r="O1266" s="6">
        <v>36.25</v>
      </c>
      <c r="P1266" s="2" t="s">
        <v>4237</v>
      </c>
      <c r="Q1266" s="6">
        <v>100</v>
      </c>
      <c r="R1266" s="6">
        <v>31.46</v>
      </c>
      <c r="S1266" s="5">
        <v>8.1</v>
      </c>
      <c r="T1266" s="7">
        <v>13.609</v>
      </c>
      <c r="U1266" s="5">
        <v>4.7</v>
      </c>
      <c r="V1266" s="6">
        <v>0.65</v>
      </c>
      <c r="W1266" s="4">
        <v>20</v>
      </c>
      <c r="X1266" s="4">
        <v>21</v>
      </c>
      <c r="Y1266" s="7">
        <v>27.875</v>
      </c>
      <c r="Z1266" s="4">
        <v>30</v>
      </c>
      <c r="AA1266" s="6">
        <v>12.29</v>
      </c>
      <c r="AB1266" s="7">
        <v>35.832999999999998</v>
      </c>
      <c r="AC1266" s="6">
        <v>143.22999999999999</v>
      </c>
    </row>
    <row r="1267" spans="1:29" ht="143" x14ac:dyDescent="0.15">
      <c r="A1267" s="3">
        <f>DATE(1993,9,23)</f>
        <v>34235</v>
      </c>
      <c r="B1267" s="3">
        <f>DATE(1993,12,22)</f>
        <v>34325</v>
      </c>
      <c r="C1267" s="2" t="s">
        <v>95</v>
      </c>
      <c r="D1267" s="2" t="s">
        <v>4238</v>
      </c>
      <c r="E1267" s="2" t="s">
        <v>4239</v>
      </c>
      <c r="F1267" s="4">
        <v>3661</v>
      </c>
      <c r="G1267" s="2" t="s">
        <v>921</v>
      </c>
      <c r="H1267" s="2" t="s">
        <v>34</v>
      </c>
      <c r="I1267" s="2" t="s">
        <v>4240</v>
      </c>
      <c r="J1267" s="2" t="s">
        <v>4241</v>
      </c>
      <c r="K1267" s="2" t="s">
        <v>921</v>
      </c>
      <c r="L1267" s="2" t="s">
        <v>4242</v>
      </c>
      <c r="M1267" s="2"/>
      <c r="N1267" s="2"/>
      <c r="O1267" s="2"/>
      <c r="P1267" s="2" t="s">
        <v>4243</v>
      </c>
      <c r="Q1267" s="6">
        <v>100</v>
      </c>
      <c r="R1267" s="6">
        <v>16.34</v>
      </c>
      <c r="S1267" s="5">
        <v>5.5</v>
      </c>
      <c r="T1267" s="7">
        <v>12.109</v>
      </c>
      <c r="U1267" s="5">
        <v>2.8</v>
      </c>
      <c r="V1267" s="6">
        <v>0.32</v>
      </c>
      <c r="W1267" s="5">
        <v>13.5</v>
      </c>
      <c r="X1267" s="4">
        <v>13</v>
      </c>
      <c r="Y1267" s="4">
        <v>14</v>
      </c>
      <c r="Z1267" s="7">
        <v>15.125</v>
      </c>
      <c r="AA1267" s="6">
        <v>17.04</v>
      </c>
      <c r="AB1267" s="7">
        <v>36.381999999999998</v>
      </c>
      <c r="AC1267" s="2"/>
    </row>
    <row r="1268" spans="1:29" ht="156" x14ac:dyDescent="0.15">
      <c r="A1268" s="3">
        <f>DATE(1993,9,27)</f>
        <v>34239</v>
      </c>
      <c r="B1268" s="3">
        <f>DATE(1993,11,17)</f>
        <v>34290</v>
      </c>
      <c r="C1268" s="2" t="s">
        <v>95</v>
      </c>
      <c r="D1268" s="2" t="s">
        <v>4244</v>
      </c>
      <c r="E1268" s="2" t="s">
        <v>4245</v>
      </c>
      <c r="F1268" s="4">
        <v>3661</v>
      </c>
      <c r="G1268" s="2" t="s">
        <v>921</v>
      </c>
      <c r="H1268" s="2" t="s">
        <v>34</v>
      </c>
      <c r="I1268" s="2" t="s">
        <v>1923</v>
      </c>
      <c r="J1268" s="2" t="s">
        <v>1924</v>
      </c>
      <c r="K1268" s="2" t="s">
        <v>50</v>
      </c>
      <c r="L1268" s="2" t="s">
        <v>34</v>
      </c>
      <c r="M1268" s="7">
        <v>255.536</v>
      </c>
      <c r="N1268" s="7">
        <v>7.875</v>
      </c>
      <c r="O1268" s="4">
        <v>8</v>
      </c>
      <c r="P1268" s="2" t="s">
        <v>4246</v>
      </c>
      <c r="Q1268" s="6">
        <v>100</v>
      </c>
      <c r="R1268" s="6">
        <v>6.8</v>
      </c>
      <c r="S1268" s="5">
        <v>-5.7</v>
      </c>
      <c r="T1268" s="7">
        <v>-5.4859999999999998</v>
      </c>
      <c r="U1268" s="5">
        <v>5</v>
      </c>
      <c r="V1268" s="6">
        <v>-0.9</v>
      </c>
      <c r="W1268" s="7">
        <v>4.375</v>
      </c>
      <c r="X1268" s="4">
        <v>4</v>
      </c>
      <c r="Y1268" s="7">
        <v>6.375</v>
      </c>
      <c r="Z1268" s="5">
        <v>6.5</v>
      </c>
      <c r="AA1268" s="6">
        <v>7.58</v>
      </c>
      <c r="AB1268" s="2" t="s">
        <v>86</v>
      </c>
      <c r="AC1268" s="6">
        <v>58.18</v>
      </c>
    </row>
    <row r="1269" spans="1:29" ht="143" x14ac:dyDescent="0.15">
      <c r="A1269" s="3">
        <f>DATE(1993,9,27)</f>
        <v>34239</v>
      </c>
      <c r="B1269" s="2"/>
      <c r="C1269" s="2" t="s">
        <v>30</v>
      </c>
      <c r="D1269" s="2" t="s">
        <v>4247</v>
      </c>
      <c r="E1269" s="2" t="s">
        <v>4248</v>
      </c>
      <c r="F1269" s="4">
        <v>8071</v>
      </c>
      <c r="G1269" s="2" t="s">
        <v>454</v>
      </c>
      <c r="H1269" s="2" t="s">
        <v>34</v>
      </c>
      <c r="I1269" s="2" t="s">
        <v>4249</v>
      </c>
      <c r="J1269" s="2" t="s">
        <v>4250</v>
      </c>
      <c r="K1269" s="2" t="s">
        <v>454</v>
      </c>
      <c r="L1269" s="2" t="s">
        <v>34</v>
      </c>
      <c r="M1269" s="2"/>
      <c r="N1269" s="5">
        <v>3.5</v>
      </c>
      <c r="O1269" s="6">
        <v>2.75</v>
      </c>
      <c r="P1269" s="2" t="s">
        <v>4251</v>
      </c>
      <c r="Q1269" s="2"/>
      <c r="R1269" s="2"/>
      <c r="S1269" s="2"/>
      <c r="T1269" s="2"/>
      <c r="U1269" s="2"/>
      <c r="V1269" s="2"/>
      <c r="W1269" s="6">
        <v>2.25</v>
      </c>
      <c r="X1269" s="6">
        <v>2.25</v>
      </c>
      <c r="Y1269" s="5">
        <v>2.5</v>
      </c>
      <c r="Z1269" s="6">
        <v>2.25</v>
      </c>
      <c r="AA1269" s="2"/>
      <c r="AB1269" s="2" t="s">
        <v>47</v>
      </c>
      <c r="AC1269" s="2"/>
    </row>
    <row r="1270" spans="1:29" ht="143" x14ac:dyDescent="0.15">
      <c r="A1270" s="3">
        <f>DATE(1993,9,28)</f>
        <v>34240</v>
      </c>
      <c r="B1270" s="3">
        <f>DATE(1994,4,22)</f>
        <v>34446</v>
      </c>
      <c r="C1270" s="2" t="s">
        <v>95</v>
      </c>
      <c r="D1270" s="2" t="s">
        <v>4252</v>
      </c>
      <c r="E1270" s="2" t="s">
        <v>36</v>
      </c>
      <c r="F1270" s="4">
        <v>6021</v>
      </c>
      <c r="G1270" s="2" t="s">
        <v>37</v>
      </c>
      <c r="H1270" s="2" t="s">
        <v>34</v>
      </c>
      <c r="I1270" s="2" t="s">
        <v>4253</v>
      </c>
      <c r="J1270" s="2" t="s">
        <v>36</v>
      </c>
      <c r="K1270" s="2" t="s">
        <v>33</v>
      </c>
      <c r="L1270" s="2" t="s">
        <v>34</v>
      </c>
      <c r="M1270" s="2"/>
      <c r="N1270" s="5">
        <v>46.5</v>
      </c>
      <c r="O1270" s="5">
        <v>45.5</v>
      </c>
      <c r="P1270" s="2" t="s">
        <v>4254</v>
      </c>
      <c r="Q1270" s="6">
        <v>100</v>
      </c>
      <c r="R1270" s="6">
        <v>30</v>
      </c>
      <c r="S1270" s="5">
        <v>6.1</v>
      </c>
      <c r="T1270" s="7">
        <v>8.8689999999999998</v>
      </c>
      <c r="U1270" s="5">
        <v>24.6</v>
      </c>
      <c r="V1270" s="6">
        <v>2.4900000000000002</v>
      </c>
      <c r="W1270" s="4">
        <v>17</v>
      </c>
      <c r="X1270" s="4">
        <v>19</v>
      </c>
      <c r="Y1270" s="5">
        <v>16.5</v>
      </c>
      <c r="Z1270" s="5">
        <v>22.5</v>
      </c>
      <c r="AA1270" s="6">
        <v>2.23</v>
      </c>
      <c r="AB1270" s="7">
        <v>43.600999999999999</v>
      </c>
      <c r="AC1270" s="2"/>
    </row>
    <row r="1271" spans="1:29" ht="143" x14ac:dyDescent="0.15">
      <c r="A1271" s="3">
        <f>DATE(1993,9,29)</f>
        <v>34241</v>
      </c>
      <c r="B1271" s="3">
        <f>DATE(1994,3,25)</f>
        <v>34418</v>
      </c>
      <c r="C1271" s="2" t="s">
        <v>95</v>
      </c>
      <c r="D1271" s="2" t="s">
        <v>4255</v>
      </c>
      <c r="E1271" s="2" t="s">
        <v>36</v>
      </c>
      <c r="F1271" s="4">
        <v>6021</v>
      </c>
      <c r="G1271" s="2" t="s">
        <v>37</v>
      </c>
      <c r="H1271" s="2" t="s">
        <v>34</v>
      </c>
      <c r="I1271" s="2" t="s">
        <v>2830</v>
      </c>
      <c r="J1271" s="2" t="s">
        <v>36</v>
      </c>
      <c r="K1271" s="2" t="s">
        <v>37</v>
      </c>
      <c r="L1271" s="2" t="s">
        <v>34</v>
      </c>
      <c r="M1271" s="2"/>
      <c r="N1271" s="7">
        <v>33.375</v>
      </c>
      <c r="O1271" s="6">
        <v>33.25</v>
      </c>
      <c r="P1271" s="2" t="s">
        <v>4256</v>
      </c>
      <c r="Q1271" s="6">
        <v>100</v>
      </c>
      <c r="R1271" s="6">
        <v>26.7</v>
      </c>
      <c r="S1271" s="5">
        <v>5.2</v>
      </c>
      <c r="T1271" s="7">
        <v>10.041</v>
      </c>
      <c r="U1271" s="5">
        <v>13.1</v>
      </c>
      <c r="V1271" s="6">
        <v>0.66</v>
      </c>
      <c r="W1271" s="6">
        <v>21.25</v>
      </c>
      <c r="X1271" s="6">
        <v>21.75</v>
      </c>
      <c r="Y1271" s="6">
        <v>23.25</v>
      </c>
      <c r="Z1271" s="5">
        <v>22.5</v>
      </c>
      <c r="AA1271" s="6">
        <v>7.99</v>
      </c>
      <c r="AB1271" s="7">
        <v>53.267000000000003</v>
      </c>
      <c r="AC1271" s="2"/>
    </row>
    <row r="1272" spans="1:29" ht="39" x14ac:dyDescent="0.15">
      <c r="A1272" s="3">
        <f>DATE(1993,9,30)</f>
        <v>34242</v>
      </c>
      <c r="B1272" s="3">
        <f>DATE(1994,4,30)</f>
        <v>34454</v>
      </c>
      <c r="C1272" s="2" t="s">
        <v>95</v>
      </c>
      <c r="D1272" s="2" t="s">
        <v>4257</v>
      </c>
      <c r="E1272" s="2" t="s">
        <v>36</v>
      </c>
      <c r="F1272" s="4">
        <v>6035</v>
      </c>
      <c r="G1272" s="2" t="s">
        <v>33</v>
      </c>
      <c r="H1272" s="2" t="s">
        <v>34</v>
      </c>
      <c r="I1272" s="2" t="s">
        <v>1955</v>
      </c>
      <c r="J1272" s="2" t="s">
        <v>672</v>
      </c>
      <c r="K1272" s="2" t="s">
        <v>37</v>
      </c>
      <c r="L1272" s="2" t="s">
        <v>34</v>
      </c>
      <c r="M1272" s="2"/>
      <c r="N1272" s="4">
        <v>29</v>
      </c>
      <c r="O1272" s="7">
        <v>28.625</v>
      </c>
      <c r="P1272" s="2" t="s">
        <v>4258</v>
      </c>
      <c r="Q1272" s="6">
        <v>100</v>
      </c>
      <c r="R1272" s="6">
        <v>23.6</v>
      </c>
      <c r="S1272" s="5">
        <v>0.7</v>
      </c>
      <c r="T1272" s="7">
        <v>1.4410000000000001</v>
      </c>
      <c r="U1272" s="5">
        <v>16.399999999999999</v>
      </c>
      <c r="V1272" s="6">
        <v>1.22</v>
      </c>
      <c r="W1272" s="4">
        <v>18</v>
      </c>
      <c r="X1272" s="4">
        <v>18</v>
      </c>
      <c r="Y1272" s="4">
        <v>18</v>
      </c>
      <c r="Z1272" s="5">
        <v>17.5</v>
      </c>
      <c r="AA1272" s="6">
        <v>0.56999999999999995</v>
      </c>
      <c r="AB1272" s="7">
        <v>61.238999999999997</v>
      </c>
      <c r="AC1272" s="2"/>
    </row>
    <row r="1273" spans="1:29" ht="78" x14ac:dyDescent="0.15">
      <c r="A1273" s="3">
        <f>DATE(1993,10,1)</f>
        <v>34243</v>
      </c>
      <c r="B1273" s="2"/>
      <c r="C1273" s="2" t="s">
        <v>87</v>
      </c>
      <c r="D1273" s="2" t="s">
        <v>4259</v>
      </c>
      <c r="E1273" s="2" t="s">
        <v>4260</v>
      </c>
      <c r="F1273" s="4">
        <v>3651</v>
      </c>
      <c r="G1273" s="2" t="s">
        <v>137</v>
      </c>
      <c r="H1273" s="2" t="s">
        <v>34</v>
      </c>
      <c r="I1273" s="2" t="s">
        <v>4261</v>
      </c>
      <c r="J1273" s="2" t="s">
        <v>1072</v>
      </c>
      <c r="K1273" s="2" t="s">
        <v>53</v>
      </c>
      <c r="L1273" s="2" t="s">
        <v>215</v>
      </c>
      <c r="M1273" s="2"/>
      <c r="N1273" s="2"/>
      <c r="O1273" s="2"/>
      <c r="P1273" s="2" t="s">
        <v>4262</v>
      </c>
      <c r="Q1273" s="2"/>
      <c r="R1273" s="2"/>
      <c r="S1273" s="5">
        <v>-56</v>
      </c>
      <c r="T1273" s="7">
        <v>4.3869999999999996</v>
      </c>
      <c r="U1273" s="5">
        <v>-1.5</v>
      </c>
      <c r="V1273" s="9">
        <v>-1.4668000000000001</v>
      </c>
      <c r="W1273" s="6">
        <v>2.25</v>
      </c>
      <c r="X1273" s="7">
        <v>2.375</v>
      </c>
      <c r="Y1273" s="6">
        <v>2.25</v>
      </c>
      <c r="Z1273" s="6">
        <v>2.25</v>
      </c>
      <c r="AA1273" s="2"/>
      <c r="AB1273" s="2" t="s">
        <v>86</v>
      </c>
      <c r="AC1273" s="2"/>
    </row>
    <row r="1274" spans="1:29" ht="156" x14ac:dyDescent="0.15">
      <c r="A1274" s="3">
        <f>DATE(1993,10,1)</f>
        <v>34243</v>
      </c>
      <c r="B1274" s="3">
        <f>DATE(1994,3,1)</f>
        <v>34394</v>
      </c>
      <c r="C1274" s="2" t="s">
        <v>95</v>
      </c>
      <c r="D1274" s="2" t="s">
        <v>2694</v>
      </c>
      <c r="E1274" s="2" t="s">
        <v>36</v>
      </c>
      <c r="F1274" s="4">
        <v>6021</v>
      </c>
      <c r="G1274" s="2" t="s">
        <v>37</v>
      </c>
      <c r="H1274" s="2" t="s">
        <v>34</v>
      </c>
      <c r="I1274" s="2" t="s">
        <v>1953</v>
      </c>
      <c r="J1274" s="2" t="s">
        <v>36</v>
      </c>
      <c r="K1274" s="2" t="s">
        <v>37</v>
      </c>
      <c r="L1274" s="2" t="s">
        <v>34</v>
      </c>
      <c r="M1274" s="12">
        <v>3725.8049999999998</v>
      </c>
      <c r="N1274" s="5">
        <v>32.5</v>
      </c>
      <c r="O1274" s="5">
        <v>32.5</v>
      </c>
      <c r="P1274" s="2" t="s">
        <v>4263</v>
      </c>
      <c r="Q1274" s="6">
        <v>100</v>
      </c>
      <c r="R1274" s="6">
        <v>38.6</v>
      </c>
      <c r="S1274" s="5">
        <v>245.6</v>
      </c>
      <c r="T1274" s="7">
        <v>407.06799999999998</v>
      </c>
      <c r="U1274" s="5">
        <v>20.399999999999999</v>
      </c>
      <c r="V1274" s="6">
        <v>3.17</v>
      </c>
      <c r="W1274" s="7">
        <v>37.625</v>
      </c>
      <c r="X1274" s="7">
        <v>37.875</v>
      </c>
      <c r="Y1274" s="5">
        <v>38.5</v>
      </c>
      <c r="Z1274" s="5">
        <v>37.5</v>
      </c>
      <c r="AA1274" s="6">
        <v>101.66</v>
      </c>
      <c r="AB1274" s="7">
        <v>70.582999999999998</v>
      </c>
      <c r="AC1274" s="2"/>
    </row>
    <row r="1275" spans="1:29" ht="143" x14ac:dyDescent="0.15">
      <c r="A1275" s="3">
        <f>DATE(1993,10,4)</f>
        <v>34246</v>
      </c>
      <c r="B1275" s="2"/>
      <c r="C1275" s="2" t="s">
        <v>87</v>
      </c>
      <c r="D1275" s="2" t="s">
        <v>4264</v>
      </c>
      <c r="E1275" s="2" t="s">
        <v>4265</v>
      </c>
      <c r="F1275" s="4">
        <v>2835</v>
      </c>
      <c r="G1275" s="2" t="s">
        <v>130</v>
      </c>
      <c r="H1275" s="2" t="s">
        <v>34</v>
      </c>
      <c r="I1275" s="2" t="s">
        <v>4266</v>
      </c>
      <c r="J1275" s="2" t="s">
        <v>4267</v>
      </c>
      <c r="K1275" s="2" t="s">
        <v>593</v>
      </c>
      <c r="L1275" s="2" t="s">
        <v>133</v>
      </c>
      <c r="M1275" s="2"/>
      <c r="N1275" s="2"/>
      <c r="O1275" s="2"/>
      <c r="P1275" s="2" t="s">
        <v>4268</v>
      </c>
      <c r="Q1275" s="2"/>
      <c r="R1275" s="2"/>
      <c r="S1275" s="2"/>
      <c r="T1275" s="2"/>
      <c r="U1275" s="2"/>
      <c r="V1275" s="2"/>
      <c r="W1275" s="7">
        <v>1.8129999999999999</v>
      </c>
      <c r="X1275" s="6">
        <v>1.75</v>
      </c>
      <c r="Y1275" s="7">
        <v>1.625</v>
      </c>
      <c r="Z1275" s="7">
        <v>1.625</v>
      </c>
      <c r="AA1275" s="6">
        <v>70.17</v>
      </c>
      <c r="AB1275" s="2" t="s">
        <v>47</v>
      </c>
      <c r="AC1275" s="2"/>
    </row>
    <row r="1276" spans="1:29" ht="39" x14ac:dyDescent="0.15">
      <c r="A1276" s="3">
        <f>DATE(1993,10,6)</f>
        <v>34248</v>
      </c>
      <c r="B1276" s="2"/>
      <c r="C1276" s="2" t="s">
        <v>56</v>
      </c>
      <c r="D1276" s="2" t="s">
        <v>1042</v>
      </c>
      <c r="E1276" s="2" t="s">
        <v>1043</v>
      </c>
      <c r="F1276" s="4">
        <v>3829</v>
      </c>
      <c r="G1276" s="2" t="s">
        <v>226</v>
      </c>
      <c r="H1276" s="2" t="s">
        <v>34</v>
      </c>
      <c r="I1276" s="2" t="s">
        <v>4269</v>
      </c>
      <c r="J1276" s="2" t="s">
        <v>80</v>
      </c>
      <c r="K1276" s="2" t="s">
        <v>53</v>
      </c>
      <c r="L1276" s="2" t="s">
        <v>34</v>
      </c>
      <c r="M1276" s="2"/>
      <c r="N1276" s="2"/>
      <c r="O1276" s="2"/>
      <c r="P1276" s="2" t="s">
        <v>4270</v>
      </c>
      <c r="Q1276" s="2"/>
      <c r="R1276" s="2"/>
      <c r="S1276" s="5">
        <v>3.7</v>
      </c>
      <c r="T1276" s="7">
        <v>9.5549999999999997</v>
      </c>
      <c r="U1276" s="5">
        <v>7.3</v>
      </c>
      <c r="V1276" s="6">
        <v>0.59</v>
      </c>
      <c r="W1276" s="7">
        <v>10.625</v>
      </c>
      <c r="X1276" s="4">
        <v>12</v>
      </c>
      <c r="Y1276" s="7">
        <v>13.125</v>
      </c>
      <c r="Z1276" s="7">
        <v>13.375</v>
      </c>
      <c r="AA1276" s="6">
        <v>6.29</v>
      </c>
      <c r="AB1276" s="2" t="s">
        <v>47</v>
      </c>
      <c r="AC1276" s="2"/>
    </row>
    <row r="1277" spans="1:29" ht="143" x14ac:dyDescent="0.15">
      <c r="A1277" s="3">
        <f>DATE(1993,10,6)</f>
        <v>34248</v>
      </c>
      <c r="B1277" s="3">
        <f>DATE(1994,8,4)</f>
        <v>34550</v>
      </c>
      <c r="C1277" s="2" t="s">
        <v>95</v>
      </c>
      <c r="D1277" s="2" t="s">
        <v>3558</v>
      </c>
      <c r="E1277" s="2" t="s">
        <v>1893</v>
      </c>
      <c r="F1277" s="4">
        <v>4841</v>
      </c>
      <c r="G1277" s="2" t="s">
        <v>45</v>
      </c>
      <c r="H1277" s="2" t="s">
        <v>34</v>
      </c>
      <c r="I1277" s="2" t="s">
        <v>1892</v>
      </c>
      <c r="J1277" s="2" t="s">
        <v>1893</v>
      </c>
      <c r="K1277" s="2" t="s">
        <v>45</v>
      </c>
      <c r="L1277" s="2" t="s">
        <v>34</v>
      </c>
      <c r="M1277" s="2"/>
      <c r="N1277" s="7">
        <v>26.625</v>
      </c>
      <c r="O1277" s="7">
        <v>25.875</v>
      </c>
      <c r="P1277" s="2" t="s">
        <v>4271</v>
      </c>
      <c r="Q1277" s="6">
        <v>95</v>
      </c>
      <c r="R1277" s="6">
        <v>26</v>
      </c>
      <c r="S1277" s="5">
        <v>-7.1</v>
      </c>
      <c r="T1277" s="7">
        <v>30.152000000000001</v>
      </c>
      <c r="U1277" s="5">
        <v>2.7</v>
      </c>
      <c r="V1277" s="6">
        <v>-0.34</v>
      </c>
      <c r="W1277" s="5">
        <v>23.5</v>
      </c>
      <c r="X1277" s="5">
        <v>25.5</v>
      </c>
      <c r="Y1277" s="2"/>
      <c r="Z1277" s="5">
        <v>28.5</v>
      </c>
      <c r="AA1277" s="6">
        <v>130.80000000000001</v>
      </c>
      <c r="AB1277" s="2" t="s">
        <v>86</v>
      </c>
      <c r="AC1277" s="2"/>
    </row>
    <row r="1278" spans="1:29" ht="143" x14ac:dyDescent="0.15">
      <c r="A1278" s="3">
        <f>DATE(1993,10,7)</f>
        <v>34249</v>
      </c>
      <c r="B1278" s="3">
        <f>DATE(1994,6,10)</f>
        <v>34495</v>
      </c>
      <c r="C1278" s="2" t="s">
        <v>95</v>
      </c>
      <c r="D1278" s="2" t="s">
        <v>4272</v>
      </c>
      <c r="E1278" s="2" t="s">
        <v>4273</v>
      </c>
      <c r="F1278" s="4">
        <v>3845</v>
      </c>
      <c r="G1278" s="2" t="s">
        <v>226</v>
      </c>
      <c r="H1278" s="2" t="s">
        <v>34</v>
      </c>
      <c r="I1278" s="2" t="s">
        <v>4274</v>
      </c>
      <c r="J1278" s="2" t="s">
        <v>4275</v>
      </c>
      <c r="K1278" s="2" t="s">
        <v>226</v>
      </c>
      <c r="L1278" s="2" t="s">
        <v>34</v>
      </c>
      <c r="M1278" s="7">
        <v>43.356000000000002</v>
      </c>
      <c r="N1278" s="4">
        <v>4</v>
      </c>
      <c r="O1278" s="6">
        <v>4.25</v>
      </c>
      <c r="P1278" s="2" t="s">
        <v>4276</v>
      </c>
      <c r="Q1278" s="6">
        <v>100</v>
      </c>
      <c r="R1278" s="6">
        <v>2.71</v>
      </c>
      <c r="S1278" s="5">
        <v>-15.1</v>
      </c>
      <c r="T1278" s="7">
        <v>-14.585000000000001</v>
      </c>
      <c r="U1278" s="2"/>
      <c r="V1278" s="6">
        <v>-1.5</v>
      </c>
      <c r="W1278" s="6">
        <v>2.25</v>
      </c>
      <c r="X1278" s="7">
        <v>2.125</v>
      </c>
      <c r="Y1278" s="7">
        <v>3.1880000000000002</v>
      </c>
      <c r="Z1278" s="7">
        <v>3.0630000000000002</v>
      </c>
      <c r="AA1278" s="6">
        <v>10.1</v>
      </c>
      <c r="AB1278" s="2" t="s">
        <v>86</v>
      </c>
      <c r="AC1278" s="2"/>
    </row>
    <row r="1279" spans="1:29" ht="117" x14ac:dyDescent="0.15">
      <c r="A1279" s="3">
        <f>DATE(1993,10,7)</f>
        <v>34249</v>
      </c>
      <c r="B1279" s="2"/>
      <c r="C1279" s="2" t="s">
        <v>87</v>
      </c>
      <c r="D1279" s="2" t="s">
        <v>4277</v>
      </c>
      <c r="E1279" s="2" t="s">
        <v>4278</v>
      </c>
      <c r="F1279" s="4">
        <v>6514</v>
      </c>
      <c r="G1279" s="2" t="s">
        <v>109</v>
      </c>
      <c r="H1279" s="2" t="s">
        <v>34</v>
      </c>
      <c r="I1279" s="2" t="s">
        <v>3631</v>
      </c>
      <c r="J1279" s="2" t="s">
        <v>3632</v>
      </c>
      <c r="K1279" s="2" t="s">
        <v>454</v>
      </c>
      <c r="L1279" s="2" t="s">
        <v>34</v>
      </c>
      <c r="M1279" s="2"/>
      <c r="N1279" s="6">
        <v>4.25</v>
      </c>
      <c r="O1279" s="5">
        <v>4.5</v>
      </c>
      <c r="P1279" s="2" t="s">
        <v>4279</v>
      </c>
      <c r="Q1279" s="2"/>
      <c r="R1279" s="6">
        <v>2</v>
      </c>
      <c r="S1279" s="5">
        <v>-6.1</v>
      </c>
      <c r="T1279" s="7">
        <v>-2.431</v>
      </c>
      <c r="U1279" s="5">
        <v>3.3</v>
      </c>
      <c r="V1279" s="6">
        <v>-0.69</v>
      </c>
      <c r="W1279" s="7">
        <v>1.8129999999999999</v>
      </c>
      <c r="X1279" s="7">
        <v>1.875</v>
      </c>
      <c r="Y1279" s="4">
        <v>2</v>
      </c>
      <c r="Z1279" s="4">
        <v>2</v>
      </c>
      <c r="AA1279" s="6">
        <v>19.64</v>
      </c>
      <c r="AB1279" s="2" t="s">
        <v>86</v>
      </c>
      <c r="AC1279" s="6">
        <v>18.53</v>
      </c>
    </row>
    <row r="1280" spans="1:29" ht="104" x14ac:dyDescent="0.15">
      <c r="A1280" s="3">
        <f>DATE(1993,10,8)</f>
        <v>34250</v>
      </c>
      <c r="B1280" s="3">
        <f>DATE(1993,11,11)</f>
        <v>34284</v>
      </c>
      <c r="C1280" s="2" t="s">
        <v>95</v>
      </c>
      <c r="D1280" s="2" t="s">
        <v>4280</v>
      </c>
      <c r="E1280" s="2" t="s">
        <v>3461</v>
      </c>
      <c r="F1280" s="4">
        <v>2834</v>
      </c>
      <c r="G1280" s="2" t="s">
        <v>130</v>
      </c>
      <c r="H1280" s="2" t="s">
        <v>34</v>
      </c>
      <c r="I1280" s="2" t="s">
        <v>4281</v>
      </c>
      <c r="J1280" s="2" t="s">
        <v>4282</v>
      </c>
      <c r="K1280" s="2" t="s">
        <v>98</v>
      </c>
      <c r="L1280" s="2" t="s">
        <v>34</v>
      </c>
      <c r="M1280" s="2"/>
      <c r="N1280" s="2"/>
      <c r="O1280" s="2"/>
      <c r="P1280" s="2" t="s">
        <v>4283</v>
      </c>
      <c r="Q1280" s="6">
        <v>51</v>
      </c>
      <c r="R1280" s="6">
        <v>55</v>
      </c>
      <c r="S1280" s="5">
        <v>12.3</v>
      </c>
      <c r="T1280" s="7">
        <v>17.433</v>
      </c>
      <c r="U1280" s="5">
        <v>3.7</v>
      </c>
      <c r="V1280" s="9">
        <v>0.82669999999999999</v>
      </c>
      <c r="W1280" s="5">
        <v>47.5</v>
      </c>
      <c r="X1280" s="4">
        <v>50</v>
      </c>
      <c r="Y1280" s="6">
        <v>49.75</v>
      </c>
      <c r="Z1280" s="7">
        <v>46.875</v>
      </c>
      <c r="AA1280" s="6">
        <v>18.309999999999999</v>
      </c>
      <c r="AB1280" s="7">
        <v>57.646999999999998</v>
      </c>
      <c r="AC1280" s="2"/>
    </row>
    <row r="1281" spans="1:29" ht="156" x14ac:dyDescent="0.15">
      <c r="A1281" s="3">
        <f>DATE(1993,10,8)</f>
        <v>34250</v>
      </c>
      <c r="B1281" s="2"/>
      <c r="C1281" s="2" t="s">
        <v>30</v>
      </c>
      <c r="D1281" s="2" t="s">
        <v>3380</v>
      </c>
      <c r="E1281" s="2" t="s">
        <v>3381</v>
      </c>
      <c r="F1281" s="4">
        <v>4841</v>
      </c>
      <c r="G1281" s="2" t="s">
        <v>45</v>
      </c>
      <c r="H1281" s="2" t="s">
        <v>34</v>
      </c>
      <c r="I1281" s="2" t="s">
        <v>4284</v>
      </c>
      <c r="J1281" s="2" t="s">
        <v>4285</v>
      </c>
      <c r="K1281" s="2" t="s">
        <v>45</v>
      </c>
      <c r="L1281" s="2" t="s">
        <v>34</v>
      </c>
      <c r="M1281" s="2"/>
      <c r="N1281" s="6">
        <v>21.75</v>
      </c>
      <c r="O1281" s="7">
        <v>20.875</v>
      </c>
      <c r="P1281" s="2" t="s">
        <v>4286</v>
      </c>
      <c r="Q1281" s="2"/>
      <c r="R1281" s="6">
        <v>2</v>
      </c>
      <c r="S1281" s="5">
        <v>-3.4</v>
      </c>
      <c r="T1281" s="7">
        <v>0.875</v>
      </c>
      <c r="U1281" s="5">
        <v>-0.1</v>
      </c>
      <c r="V1281" s="6">
        <v>-0.24</v>
      </c>
      <c r="W1281" s="7">
        <v>1.4379999999999999</v>
      </c>
      <c r="X1281" s="7">
        <v>1.4379999999999999</v>
      </c>
      <c r="Y1281" s="7">
        <v>1.4379999999999999</v>
      </c>
      <c r="Z1281" s="7">
        <v>1.4379999999999999</v>
      </c>
      <c r="AA1281" s="6">
        <v>14.38</v>
      </c>
      <c r="AB1281" s="2" t="s">
        <v>86</v>
      </c>
      <c r="AC1281" s="6">
        <v>46.49</v>
      </c>
    </row>
    <row r="1282" spans="1:29" ht="130" x14ac:dyDescent="0.15">
      <c r="A1282" s="3">
        <f>DATE(1993,10,11)</f>
        <v>34253</v>
      </c>
      <c r="B1282" s="3">
        <f>DATE(1993,11,11)</f>
        <v>34284</v>
      </c>
      <c r="C1282" s="2" t="s">
        <v>95</v>
      </c>
      <c r="D1282" s="2" t="s">
        <v>4287</v>
      </c>
      <c r="E1282" s="2" t="s">
        <v>4288</v>
      </c>
      <c r="F1282" s="4">
        <v>2329</v>
      </c>
      <c r="G1282" s="2" t="s">
        <v>708</v>
      </c>
      <c r="H1282" s="2" t="s">
        <v>34</v>
      </c>
      <c r="I1282" s="2" t="s">
        <v>4289</v>
      </c>
      <c r="J1282" s="2" t="s">
        <v>4290</v>
      </c>
      <c r="K1282" s="2" t="s">
        <v>708</v>
      </c>
      <c r="L1282" s="2" t="s">
        <v>34</v>
      </c>
      <c r="M1282" s="12">
        <v>2496.384</v>
      </c>
      <c r="N1282" s="7">
        <v>30.375</v>
      </c>
      <c r="O1282" s="4">
        <v>31</v>
      </c>
      <c r="P1282" s="2" t="s">
        <v>4291</v>
      </c>
      <c r="Q1282" s="6">
        <v>100</v>
      </c>
      <c r="R1282" s="6">
        <v>12.75</v>
      </c>
      <c r="S1282" s="5">
        <v>8.6999999999999993</v>
      </c>
      <c r="T1282" s="7">
        <v>16.815999999999999</v>
      </c>
      <c r="U1282" s="5">
        <v>4.5</v>
      </c>
      <c r="V1282" s="6">
        <v>0.94</v>
      </c>
      <c r="W1282" s="6">
        <v>6.25</v>
      </c>
      <c r="X1282" s="5">
        <v>7.5</v>
      </c>
      <c r="Y1282" s="6">
        <v>9.25</v>
      </c>
      <c r="Z1282" s="5">
        <v>12.5</v>
      </c>
      <c r="AA1282" s="6">
        <v>9.7799999999999994</v>
      </c>
      <c r="AB1282" s="7">
        <v>9.6609999999999996</v>
      </c>
      <c r="AC1282" s="2"/>
    </row>
    <row r="1283" spans="1:29" ht="156" x14ac:dyDescent="0.15">
      <c r="A1283" s="3">
        <f>DATE(1993,10,11)</f>
        <v>34253</v>
      </c>
      <c r="B1283" s="3">
        <f>DATE(1994,8,15)</f>
        <v>34561</v>
      </c>
      <c r="C1283" s="2" t="s">
        <v>95</v>
      </c>
      <c r="D1283" s="2" t="s">
        <v>4292</v>
      </c>
      <c r="E1283" s="2" t="s">
        <v>36</v>
      </c>
      <c r="F1283" s="4">
        <v>6036</v>
      </c>
      <c r="G1283" s="2" t="s">
        <v>33</v>
      </c>
      <c r="H1283" s="2" t="s">
        <v>34</v>
      </c>
      <c r="I1283" s="2" t="s">
        <v>4293</v>
      </c>
      <c r="J1283" s="2" t="s">
        <v>36</v>
      </c>
      <c r="K1283" s="2" t="s">
        <v>37</v>
      </c>
      <c r="L1283" s="2" t="s">
        <v>34</v>
      </c>
      <c r="M1283" s="2"/>
      <c r="N1283" s="4">
        <v>34</v>
      </c>
      <c r="O1283" s="4">
        <v>34</v>
      </c>
      <c r="P1283" s="2" t="s">
        <v>4294</v>
      </c>
      <c r="Q1283" s="6">
        <v>100</v>
      </c>
      <c r="R1283" s="6">
        <v>39.5</v>
      </c>
      <c r="S1283" s="5">
        <v>7.5</v>
      </c>
      <c r="T1283" s="7">
        <v>12.789</v>
      </c>
      <c r="U1283" s="5">
        <v>20.399999999999999</v>
      </c>
      <c r="V1283" s="6">
        <v>2.1</v>
      </c>
      <c r="W1283" s="7">
        <v>26.125</v>
      </c>
      <c r="X1283" s="5">
        <v>30.5</v>
      </c>
      <c r="Y1283" s="6">
        <v>36.25</v>
      </c>
      <c r="Z1283" s="7">
        <v>36.375</v>
      </c>
      <c r="AA1283" s="6">
        <v>3.16</v>
      </c>
      <c r="AB1283" s="7">
        <v>38.302</v>
      </c>
      <c r="AC1283" s="2"/>
    </row>
    <row r="1284" spans="1:29" ht="143" x14ac:dyDescent="0.15">
      <c r="A1284" s="3">
        <f>DATE(1993,10,12)</f>
        <v>34254</v>
      </c>
      <c r="B1284" s="3">
        <f>DATE(1994,4,29)</f>
        <v>34453</v>
      </c>
      <c r="C1284" s="2" t="s">
        <v>95</v>
      </c>
      <c r="D1284" s="2" t="s">
        <v>4295</v>
      </c>
      <c r="E1284" s="2" t="s">
        <v>389</v>
      </c>
      <c r="F1284" s="4">
        <v>6035</v>
      </c>
      <c r="G1284" s="2" t="s">
        <v>33</v>
      </c>
      <c r="H1284" s="2" t="s">
        <v>34</v>
      </c>
      <c r="I1284" s="2" t="s">
        <v>2291</v>
      </c>
      <c r="J1284" s="2" t="s">
        <v>36</v>
      </c>
      <c r="K1284" s="2" t="s">
        <v>37</v>
      </c>
      <c r="L1284" s="2" t="s">
        <v>34</v>
      </c>
      <c r="M1284" s="2"/>
      <c r="N1284" s="7">
        <v>41.875</v>
      </c>
      <c r="O1284" s="7">
        <v>41.125</v>
      </c>
      <c r="P1284" s="2" t="s">
        <v>4296</v>
      </c>
      <c r="Q1284" s="6">
        <v>100</v>
      </c>
      <c r="R1284" s="6">
        <v>36.44</v>
      </c>
      <c r="S1284" s="5">
        <v>3.6</v>
      </c>
      <c r="T1284" s="7">
        <v>5.9020000000000001</v>
      </c>
      <c r="U1284" s="5">
        <v>25.2</v>
      </c>
      <c r="V1284" s="6">
        <v>1.86</v>
      </c>
      <c r="W1284" s="4">
        <v>28</v>
      </c>
      <c r="X1284" s="5">
        <v>28.5</v>
      </c>
      <c r="Y1284" s="5">
        <v>28.5</v>
      </c>
      <c r="Z1284" s="6">
        <v>32.25</v>
      </c>
      <c r="AA1284" s="6">
        <v>1.86</v>
      </c>
      <c r="AB1284" s="7">
        <v>49.395000000000003</v>
      </c>
      <c r="AC1284" s="2"/>
    </row>
    <row r="1285" spans="1:29" ht="143" x14ac:dyDescent="0.15">
      <c r="A1285" s="3">
        <f>DATE(1993,10,12)</f>
        <v>34254</v>
      </c>
      <c r="B1285" s="3">
        <f>DATE(1993,11,30)</f>
        <v>34303</v>
      </c>
      <c r="C1285" s="2" t="s">
        <v>95</v>
      </c>
      <c r="D1285" s="2" t="s">
        <v>3693</v>
      </c>
      <c r="E1285" s="2" t="s">
        <v>658</v>
      </c>
      <c r="F1285" s="4">
        <v>7372</v>
      </c>
      <c r="G1285" s="2" t="s">
        <v>551</v>
      </c>
      <c r="H1285" s="2" t="s">
        <v>34</v>
      </c>
      <c r="I1285" s="2" t="s">
        <v>1515</v>
      </c>
      <c r="J1285" s="2" t="s">
        <v>1516</v>
      </c>
      <c r="K1285" s="2" t="s">
        <v>1517</v>
      </c>
      <c r="L1285" s="2" t="s">
        <v>34</v>
      </c>
      <c r="M1285" s="2"/>
      <c r="N1285" s="7">
        <v>38.625</v>
      </c>
      <c r="O1285" s="5">
        <v>39.5</v>
      </c>
      <c r="P1285" s="2" t="s">
        <v>4297</v>
      </c>
      <c r="Q1285" s="6">
        <v>100</v>
      </c>
      <c r="R1285" s="6">
        <v>6.63</v>
      </c>
      <c r="S1285" s="5">
        <v>-3.2</v>
      </c>
      <c r="T1285" s="2"/>
      <c r="U1285" s="5">
        <v>-0.8</v>
      </c>
      <c r="V1285" s="6">
        <v>-0.56000000000000005</v>
      </c>
      <c r="W1285" s="7">
        <v>5.125</v>
      </c>
      <c r="X1285" s="7">
        <v>5.375</v>
      </c>
      <c r="Y1285" s="5">
        <v>6.5</v>
      </c>
      <c r="Z1285" s="9">
        <v>6.4375</v>
      </c>
      <c r="AA1285" s="6">
        <v>4.66</v>
      </c>
      <c r="AB1285" s="2" t="s">
        <v>86</v>
      </c>
      <c r="AC1285" s="6">
        <v>334.76</v>
      </c>
    </row>
    <row r="1286" spans="1:29" ht="117" x14ac:dyDescent="0.15">
      <c r="A1286" s="3">
        <f>DATE(1993,10,12)</f>
        <v>34254</v>
      </c>
      <c r="B1286" s="2"/>
      <c r="C1286" s="2" t="s">
        <v>30</v>
      </c>
      <c r="D1286" s="2" t="s">
        <v>4298</v>
      </c>
      <c r="E1286" s="2" t="s">
        <v>4299</v>
      </c>
      <c r="F1286" s="4">
        <v>3671</v>
      </c>
      <c r="G1286" s="2" t="s">
        <v>137</v>
      </c>
      <c r="H1286" s="2" t="s">
        <v>34</v>
      </c>
      <c r="I1286" s="2" t="s">
        <v>4300</v>
      </c>
      <c r="J1286" s="2" t="s">
        <v>3526</v>
      </c>
      <c r="K1286" s="2" t="s">
        <v>137</v>
      </c>
      <c r="L1286" s="2" t="s">
        <v>34</v>
      </c>
      <c r="M1286" s="2"/>
      <c r="N1286" s="5">
        <v>5.5</v>
      </c>
      <c r="O1286" s="6">
        <v>5.75</v>
      </c>
      <c r="P1286" s="2" t="s">
        <v>4301</v>
      </c>
      <c r="Q1286" s="2"/>
      <c r="R1286" s="6">
        <v>4</v>
      </c>
      <c r="S1286" s="5">
        <v>-1.3</v>
      </c>
      <c r="T1286" s="2"/>
      <c r="U1286" s="5">
        <v>3.9</v>
      </c>
      <c r="V1286" s="6">
        <v>-0.32</v>
      </c>
      <c r="W1286" s="5">
        <v>3.5</v>
      </c>
      <c r="X1286" s="4">
        <v>4</v>
      </c>
      <c r="Y1286" s="6">
        <v>3.25</v>
      </c>
      <c r="Z1286" s="5">
        <v>3.5</v>
      </c>
      <c r="AA1286" s="6">
        <v>4.2300000000000004</v>
      </c>
      <c r="AB1286" s="7">
        <v>11.085000000000001</v>
      </c>
      <c r="AC1286" s="5">
        <v>7.1</v>
      </c>
    </row>
    <row r="1287" spans="1:29" ht="117" x14ac:dyDescent="0.15">
      <c r="A1287" s="3">
        <f>DATE(1993,10,13)</f>
        <v>34255</v>
      </c>
      <c r="B1287" s="3">
        <f>DATE(1994,4,6)</f>
        <v>34430</v>
      </c>
      <c r="C1287" s="2" t="s">
        <v>95</v>
      </c>
      <c r="D1287" s="2" t="s">
        <v>4302</v>
      </c>
      <c r="E1287" s="2" t="s">
        <v>4303</v>
      </c>
      <c r="F1287" s="4">
        <v>7331</v>
      </c>
      <c r="G1287" s="2" t="s">
        <v>223</v>
      </c>
      <c r="H1287" s="2" t="s">
        <v>34</v>
      </c>
      <c r="I1287" s="2" t="s">
        <v>3114</v>
      </c>
      <c r="J1287" s="2" t="s">
        <v>4304</v>
      </c>
      <c r="K1287" s="2" t="s">
        <v>454</v>
      </c>
      <c r="L1287" s="2" t="s">
        <v>34</v>
      </c>
      <c r="M1287" s="2"/>
      <c r="N1287" s="6">
        <v>36.25</v>
      </c>
      <c r="O1287" s="5">
        <v>36.5</v>
      </c>
      <c r="P1287" s="2" t="s">
        <v>4305</v>
      </c>
      <c r="Q1287" s="6">
        <v>48.52</v>
      </c>
      <c r="R1287" s="6">
        <v>27.75</v>
      </c>
      <c r="S1287" s="5">
        <v>7.3</v>
      </c>
      <c r="T1287" s="7">
        <v>13.565</v>
      </c>
      <c r="U1287" s="5">
        <v>5.9</v>
      </c>
      <c r="V1287" s="6">
        <v>0.56999999999999995</v>
      </c>
      <c r="W1287" s="7">
        <v>29.625</v>
      </c>
      <c r="X1287" s="6">
        <v>33.75</v>
      </c>
      <c r="Y1287" s="6">
        <v>26.75</v>
      </c>
      <c r="Z1287" s="7">
        <v>26.125</v>
      </c>
      <c r="AA1287" s="6">
        <v>12.55</v>
      </c>
      <c r="AB1287" s="7">
        <v>33.662999999999997</v>
      </c>
      <c r="AC1287" s="6">
        <v>586.24</v>
      </c>
    </row>
    <row r="1288" spans="1:29" ht="143" x14ac:dyDescent="0.15">
      <c r="A1288" s="3">
        <f>DATE(1993,10,13)</f>
        <v>34255</v>
      </c>
      <c r="B1288" s="2"/>
      <c r="C1288" s="2" t="s">
        <v>30</v>
      </c>
      <c r="D1288" s="2" t="s">
        <v>1892</v>
      </c>
      <c r="E1288" s="2" t="s">
        <v>1893</v>
      </c>
      <c r="F1288" s="4">
        <v>4841</v>
      </c>
      <c r="G1288" s="2" t="s">
        <v>45</v>
      </c>
      <c r="H1288" s="2" t="s">
        <v>34</v>
      </c>
      <c r="I1288" s="2" t="s">
        <v>2331</v>
      </c>
      <c r="J1288" s="2" t="s">
        <v>1604</v>
      </c>
      <c r="K1288" s="2" t="s">
        <v>63</v>
      </c>
      <c r="L1288" s="2" t="s">
        <v>34</v>
      </c>
      <c r="M1288" s="12">
        <v>28083.699000000001</v>
      </c>
      <c r="N1288" s="7">
        <v>65.875</v>
      </c>
      <c r="O1288" s="7">
        <v>67.625</v>
      </c>
      <c r="P1288" s="2" t="s">
        <v>4306</v>
      </c>
      <c r="Q1288" s="2"/>
      <c r="R1288" s="6">
        <v>35.1</v>
      </c>
      <c r="S1288" s="5">
        <v>-5.0999999999999996</v>
      </c>
      <c r="T1288" s="8">
        <v>1667.6</v>
      </c>
      <c r="U1288" s="5">
        <v>3.4</v>
      </c>
      <c r="V1288" s="6">
        <v>-0.3</v>
      </c>
      <c r="W1288" s="7">
        <v>26.625</v>
      </c>
      <c r="X1288" s="7">
        <v>28.375</v>
      </c>
      <c r="Y1288" s="7">
        <v>31.375</v>
      </c>
      <c r="Z1288" s="7">
        <v>32.875</v>
      </c>
      <c r="AA1288" s="6">
        <v>430.1</v>
      </c>
      <c r="AB1288" s="7">
        <v>31.190999999999999</v>
      </c>
      <c r="AC1288" s="5">
        <v>329.7</v>
      </c>
    </row>
    <row r="1289" spans="1:29" ht="91" x14ac:dyDescent="0.15">
      <c r="A1289" s="3">
        <f>DATE(1993,10,14)</f>
        <v>34256</v>
      </c>
      <c r="B1289" s="3">
        <f>DATE(1994,5,3)</f>
        <v>34457</v>
      </c>
      <c r="C1289" s="2" t="s">
        <v>95</v>
      </c>
      <c r="D1289" s="2" t="s">
        <v>4307</v>
      </c>
      <c r="E1289" s="2" t="s">
        <v>1181</v>
      </c>
      <c r="F1289" s="4">
        <v>6022</v>
      </c>
      <c r="G1289" s="2" t="s">
        <v>37</v>
      </c>
      <c r="H1289" s="2" t="s">
        <v>34</v>
      </c>
      <c r="I1289" s="2" t="s">
        <v>4308</v>
      </c>
      <c r="J1289" s="2" t="s">
        <v>1181</v>
      </c>
      <c r="K1289" s="2" t="s">
        <v>37</v>
      </c>
      <c r="L1289" s="2" t="s">
        <v>34</v>
      </c>
      <c r="M1289" s="2"/>
      <c r="N1289" s="6">
        <v>6.25</v>
      </c>
      <c r="O1289" s="6">
        <v>5.25</v>
      </c>
      <c r="P1289" s="2" t="s">
        <v>4309</v>
      </c>
      <c r="Q1289" s="6">
        <v>100</v>
      </c>
      <c r="R1289" s="6">
        <v>10.08</v>
      </c>
      <c r="S1289" s="2"/>
      <c r="T1289" s="2"/>
      <c r="U1289" s="2"/>
      <c r="V1289" s="2"/>
      <c r="W1289" s="6">
        <v>4.25</v>
      </c>
      <c r="X1289" s="6">
        <v>4.25</v>
      </c>
      <c r="Y1289" s="4">
        <v>8</v>
      </c>
      <c r="Z1289" s="7">
        <v>8.625</v>
      </c>
      <c r="AA1289" s="6">
        <v>0.57999999999999996</v>
      </c>
      <c r="AB1289" s="2" t="s">
        <v>47</v>
      </c>
      <c r="AC1289" s="2"/>
    </row>
    <row r="1290" spans="1:29" ht="156" x14ac:dyDescent="0.15">
      <c r="A1290" s="3">
        <f>DATE(1993,10,14)</f>
        <v>34256</v>
      </c>
      <c r="B1290" s="3">
        <f>DATE(1994,3,25)</f>
        <v>34418</v>
      </c>
      <c r="C1290" s="2" t="s">
        <v>95</v>
      </c>
      <c r="D1290" s="2" t="s">
        <v>1984</v>
      </c>
      <c r="E1290" s="2" t="s">
        <v>1181</v>
      </c>
      <c r="F1290" s="4">
        <v>6021</v>
      </c>
      <c r="G1290" s="2" t="s">
        <v>37</v>
      </c>
      <c r="H1290" s="2" t="s">
        <v>34</v>
      </c>
      <c r="I1290" s="2" t="s">
        <v>4310</v>
      </c>
      <c r="J1290" s="2" t="s">
        <v>263</v>
      </c>
      <c r="K1290" s="2" t="s">
        <v>33</v>
      </c>
      <c r="L1290" s="2" t="s">
        <v>34</v>
      </c>
      <c r="M1290" s="7">
        <v>53.424999999999997</v>
      </c>
      <c r="N1290" s="4">
        <v>19</v>
      </c>
      <c r="O1290" s="6">
        <v>20.25</v>
      </c>
      <c r="P1290" s="2" t="s">
        <v>4311</v>
      </c>
      <c r="Q1290" s="6">
        <v>100</v>
      </c>
      <c r="R1290" s="6">
        <v>31.79</v>
      </c>
      <c r="S1290" s="5">
        <v>2</v>
      </c>
      <c r="T1290" s="7">
        <v>3.0070000000000001</v>
      </c>
      <c r="U1290" s="5">
        <v>21.8</v>
      </c>
      <c r="V1290" s="6">
        <v>1.81</v>
      </c>
      <c r="W1290" s="7">
        <v>23.875</v>
      </c>
      <c r="X1290" s="5">
        <v>23.5</v>
      </c>
      <c r="Y1290" s="5">
        <v>23.5</v>
      </c>
      <c r="Z1290" s="7">
        <v>26.125</v>
      </c>
      <c r="AA1290" s="6">
        <v>0.93</v>
      </c>
      <c r="AB1290" s="7">
        <v>29.928999999999998</v>
      </c>
      <c r="AC1290" s="2"/>
    </row>
    <row r="1291" spans="1:29" ht="65" x14ac:dyDescent="0.15">
      <c r="A1291" s="3">
        <f>DATE(1993,10,15)</f>
        <v>34257</v>
      </c>
      <c r="B1291" s="2"/>
      <c r="C1291" s="2" t="s">
        <v>39</v>
      </c>
      <c r="D1291" s="2" t="s">
        <v>2091</v>
      </c>
      <c r="E1291" s="2" t="s">
        <v>781</v>
      </c>
      <c r="F1291" s="4">
        <v>7372</v>
      </c>
      <c r="G1291" s="2" t="s">
        <v>551</v>
      </c>
      <c r="H1291" s="2" t="s">
        <v>34</v>
      </c>
      <c r="I1291" s="2" t="s">
        <v>4312</v>
      </c>
      <c r="J1291" s="2" t="s">
        <v>781</v>
      </c>
      <c r="K1291" s="2" t="s">
        <v>551</v>
      </c>
      <c r="L1291" s="2" t="s">
        <v>34</v>
      </c>
      <c r="M1291" s="2"/>
      <c r="N1291" s="2"/>
      <c r="O1291" s="2"/>
      <c r="P1291" s="2" t="s">
        <v>4313</v>
      </c>
      <c r="Q1291" s="2"/>
      <c r="R1291" s="2"/>
      <c r="S1291" s="5">
        <v>-49.2</v>
      </c>
      <c r="T1291" s="7">
        <v>6.6459999999999999</v>
      </c>
      <c r="U1291" s="5">
        <v>7.1</v>
      </c>
      <c r="V1291" s="6">
        <v>-1.87</v>
      </c>
      <c r="W1291" s="7">
        <v>16.125</v>
      </c>
      <c r="X1291" s="5">
        <v>15.5</v>
      </c>
      <c r="Y1291" s="7">
        <v>15.375</v>
      </c>
      <c r="Z1291" s="5">
        <v>15.5</v>
      </c>
      <c r="AA1291" s="6">
        <v>26.26</v>
      </c>
      <c r="AB1291" s="2" t="s">
        <v>86</v>
      </c>
      <c r="AC1291" s="2"/>
    </row>
    <row r="1292" spans="1:29" ht="143" x14ac:dyDescent="0.15">
      <c r="A1292" s="3">
        <f t="shared" ref="A1292:A1297" si="3">DATE(1993,10,18)</f>
        <v>34260</v>
      </c>
      <c r="B1292" s="3">
        <f>DATE(1994,2,15)</f>
        <v>34380</v>
      </c>
      <c r="C1292" s="2" t="s">
        <v>95</v>
      </c>
      <c r="D1292" s="2" t="s">
        <v>4314</v>
      </c>
      <c r="E1292" s="2" t="s">
        <v>4315</v>
      </c>
      <c r="F1292" s="4">
        <v>3663</v>
      </c>
      <c r="G1292" s="2" t="s">
        <v>921</v>
      </c>
      <c r="H1292" s="2" t="s">
        <v>34</v>
      </c>
      <c r="I1292" s="2" t="s">
        <v>4316</v>
      </c>
      <c r="J1292" s="2" t="s">
        <v>4317</v>
      </c>
      <c r="K1292" s="2" t="s">
        <v>137</v>
      </c>
      <c r="L1292" s="2" t="s">
        <v>34</v>
      </c>
      <c r="M1292" s="5">
        <v>492.4</v>
      </c>
      <c r="N1292" s="5">
        <v>50.5</v>
      </c>
      <c r="O1292" s="6">
        <v>48.75</v>
      </c>
      <c r="P1292" s="2" t="s">
        <v>4318</v>
      </c>
      <c r="Q1292" s="6">
        <v>100</v>
      </c>
      <c r="R1292" s="2"/>
      <c r="S1292" s="5">
        <v>-2.6</v>
      </c>
      <c r="T1292" s="7">
        <v>-2.327</v>
      </c>
      <c r="U1292" s="5">
        <v>0.4</v>
      </c>
      <c r="V1292" s="6">
        <v>-0.3</v>
      </c>
      <c r="W1292" s="6">
        <v>3.25</v>
      </c>
      <c r="X1292" s="7">
        <v>4.125</v>
      </c>
      <c r="Y1292" s="7">
        <v>3.0630000000000002</v>
      </c>
      <c r="Z1292" s="7">
        <v>3.0939999999999999</v>
      </c>
      <c r="AA1292" s="6">
        <v>9.3699999999999992</v>
      </c>
      <c r="AB1292" s="2" t="s">
        <v>86</v>
      </c>
      <c r="AC1292" s="2"/>
    </row>
    <row r="1293" spans="1:29" ht="143" x14ac:dyDescent="0.15">
      <c r="A1293" s="3">
        <f t="shared" si="3"/>
        <v>34260</v>
      </c>
      <c r="B1293" s="3">
        <f>DATE(1994,3,2)</f>
        <v>34395</v>
      </c>
      <c r="C1293" s="2" t="s">
        <v>95</v>
      </c>
      <c r="D1293" s="2" t="s">
        <v>4319</v>
      </c>
      <c r="E1293" s="2" t="s">
        <v>4320</v>
      </c>
      <c r="F1293" s="4">
        <v>5045</v>
      </c>
      <c r="G1293" s="2" t="s">
        <v>76</v>
      </c>
      <c r="H1293" s="2" t="s">
        <v>34</v>
      </c>
      <c r="I1293" s="2" t="s">
        <v>4321</v>
      </c>
      <c r="J1293" s="2" t="s">
        <v>52</v>
      </c>
      <c r="K1293" s="2" t="s">
        <v>53</v>
      </c>
      <c r="L1293" s="2" t="s">
        <v>34</v>
      </c>
      <c r="M1293" s="2"/>
      <c r="N1293" s="2"/>
      <c r="O1293" s="2"/>
      <c r="P1293" s="2" t="s">
        <v>4322</v>
      </c>
      <c r="Q1293" s="6">
        <v>100</v>
      </c>
      <c r="R1293" s="6">
        <v>15</v>
      </c>
      <c r="S1293" s="5">
        <v>5.9</v>
      </c>
      <c r="T1293" s="6">
        <v>13.07</v>
      </c>
      <c r="U1293" s="5">
        <v>9.3000000000000007</v>
      </c>
      <c r="V1293" s="6">
        <v>1</v>
      </c>
      <c r="W1293" s="4">
        <v>11</v>
      </c>
      <c r="X1293" s="6">
        <v>11.25</v>
      </c>
      <c r="Y1293" s="6">
        <v>14.75</v>
      </c>
      <c r="Z1293" s="6">
        <v>14.75</v>
      </c>
      <c r="AA1293" s="6">
        <v>6.29</v>
      </c>
      <c r="AB1293" s="7">
        <v>8.0340000000000007</v>
      </c>
      <c r="AC1293" s="2"/>
    </row>
    <row r="1294" spans="1:29" ht="39" x14ac:dyDescent="0.15">
      <c r="A1294" s="3">
        <f t="shared" si="3"/>
        <v>34260</v>
      </c>
      <c r="B1294" s="2"/>
      <c r="C1294" s="2" t="s">
        <v>87</v>
      </c>
      <c r="D1294" s="2" t="s">
        <v>4323</v>
      </c>
      <c r="E1294" s="2" t="s">
        <v>4324</v>
      </c>
      <c r="F1294" s="4">
        <v>7363</v>
      </c>
      <c r="G1294" s="2" t="s">
        <v>223</v>
      </c>
      <c r="H1294" s="2" t="s">
        <v>34</v>
      </c>
      <c r="I1294" s="2" t="s">
        <v>4325</v>
      </c>
      <c r="J1294" s="2" t="s">
        <v>4326</v>
      </c>
      <c r="K1294" s="2" t="s">
        <v>223</v>
      </c>
      <c r="L1294" s="2" t="s">
        <v>34</v>
      </c>
      <c r="M1294" s="2"/>
      <c r="N1294" s="2"/>
      <c r="O1294" s="2"/>
      <c r="P1294" s="2" t="s">
        <v>4327</v>
      </c>
      <c r="Q1294" s="2"/>
      <c r="R1294" s="2"/>
      <c r="S1294" s="2"/>
      <c r="T1294" s="2"/>
      <c r="U1294" s="2"/>
      <c r="V1294" s="2"/>
      <c r="W1294" s="7">
        <v>1.6879999999999999</v>
      </c>
      <c r="X1294" s="7">
        <v>1.6879999999999999</v>
      </c>
      <c r="Y1294" s="7">
        <v>1.6879999999999999</v>
      </c>
      <c r="Z1294" s="7">
        <v>1.6879999999999999</v>
      </c>
      <c r="AA1294" s="2"/>
      <c r="AB1294" s="2" t="s">
        <v>47</v>
      </c>
      <c r="AC1294" s="2"/>
    </row>
    <row r="1295" spans="1:29" ht="52" x14ac:dyDescent="0.15">
      <c r="A1295" s="3">
        <f t="shared" si="3"/>
        <v>34260</v>
      </c>
      <c r="B1295" s="2"/>
      <c r="C1295" s="2" t="s">
        <v>30</v>
      </c>
      <c r="D1295" s="2" t="s">
        <v>4328</v>
      </c>
      <c r="E1295" s="2" t="s">
        <v>389</v>
      </c>
      <c r="F1295" s="4">
        <v>6035</v>
      </c>
      <c r="G1295" s="2" t="s">
        <v>33</v>
      </c>
      <c r="H1295" s="2" t="s">
        <v>34</v>
      </c>
      <c r="I1295" s="2" t="s">
        <v>3289</v>
      </c>
      <c r="J1295" s="2" t="s">
        <v>159</v>
      </c>
      <c r="K1295" s="2" t="s">
        <v>37</v>
      </c>
      <c r="L1295" s="2" t="s">
        <v>34</v>
      </c>
      <c r="M1295" s="2"/>
      <c r="N1295" s="2"/>
      <c r="O1295" s="2"/>
      <c r="P1295" s="2" t="s">
        <v>4329</v>
      </c>
      <c r="Q1295" s="2"/>
      <c r="R1295" s="6">
        <v>25</v>
      </c>
      <c r="S1295" s="2"/>
      <c r="T1295" s="2"/>
      <c r="U1295" s="2"/>
      <c r="V1295" s="2"/>
      <c r="W1295" s="5">
        <v>17.5</v>
      </c>
      <c r="X1295" s="5">
        <v>17.5</v>
      </c>
      <c r="Y1295" s="7">
        <v>18.125</v>
      </c>
      <c r="Z1295" s="5">
        <v>22.5</v>
      </c>
      <c r="AA1295" s="6">
        <v>0.55000000000000004</v>
      </c>
      <c r="AB1295" s="2" t="s">
        <v>47</v>
      </c>
      <c r="AC1295" s="2"/>
    </row>
    <row r="1296" spans="1:29" ht="156" x14ac:dyDescent="0.15">
      <c r="A1296" s="3">
        <f t="shared" si="3"/>
        <v>34260</v>
      </c>
      <c r="B1296" s="3">
        <f>DATE(1994,1,24)</f>
        <v>34358</v>
      </c>
      <c r="C1296" s="2" t="s">
        <v>95</v>
      </c>
      <c r="D1296" s="2" t="s">
        <v>2646</v>
      </c>
      <c r="E1296" s="2" t="s">
        <v>1882</v>
      </c>
      <c r="F1296" s="4">
        <v>7011</v>
      </c>
      <c r="G1296" s="2" t="s">
        <v>269</v>
      </c>
      <c r="H1296" s="2" t="s">
        <v>34</v>
      </c>
      <c r="I1296" s="2" t="s">
        <v>4330</v>
      </c>
      <c r="J1296" s="2" t="s">
        <v>1645</v>
      </c>
      <c r="K1296" s="2" t="s">
        <v>269</v>
      </c>
      <c r="L1296" s="2" t="s">
        <v>34</v>
      </c>
      <c r="M1296" s="2"/>
      <c r="N1296" s="5">
        <v>31.5</v>
      </c>
      <c r="O1296" s="5">
        <v>31.5</v>
      </c>
      <c r="P1296" s="2" t="s">
        <v>4331</v>
      </c>
      <c r="Q1296" s="6">
        <v>90.14</v>
      </c>
      <c r="R1296" s="6">
        <v>13</v>
      </c>
      <c r="S1296" s="5">
        <v>-1.1000000000000001</v>
      </c>
      <c r="T1296" s="7">
        <v>12.744999999999999</v>
      </c>
      <c r="U1296" s="5">
        <v>7.3</v>
      </c>
      <c r="V1296" s="6">
        <v>-0.28000000000000003</v>
      </c>
      <c r="W1296" s="6">
        <v>9.25</v>
      </c>
      <c r="X1296" s="5">
        <v>9.5</v>
      </c>
      <c r="Y1296" s="5">
        <v>9.5</v>
      </c>
      <c r="Z1296" s="5">
        <v>9.5</v>
      </c>
      <c r="AA1296" s="6">
        <v>3.98</v>
      </c>
      <c r="AB1296" s="7">
        <v>19.277999999999999</v>
      </c>
      <c r="AC1296" s="6">
        <v>12.86</v>
      </c>
    </row>
    <row r="1297" spans="1:29" ht="52" x14ac:dyDescent="0.15">
      <c r="A1297" s="3">
        <f t="shared" si="3"/>
        <v>34260</v>
      </c>
      <c r="B1297" s="3">
        <f>DATE(1994,1,20)</f>
        <v>34354</v>
      </c>
      <c r="C1297" s="2" t="s">
        <v>95</v>
      </c>
      <c r="D1297" s="2" t="s">
        <v>4332</v>
      </c>
      <c r="E1297" s="2" t="s">
        <v>4333</v>
      </c>
      <c r="F1297" s="4">
        <v>6331</v>
      </c>
      <c r="G1297" s="2" t="s">
        <v>125</v>
      </c>
      <c r="H1297" s="2" t="s">
        <v>34</v>
      </c>
      <c r="I1297" s="2" t="s">
        <v>4334</v>
      </c>
      <c r="J1297" s="2" t="s">
        <v>4335</v>
      </c>
      <c r="K1297" s="2" t="s">
        <v>125</v>
      </c>
      <c r="L1297" s="2" t="s">
        <v>34</v>
      </c>
      <c r="M1297" s="2"/>
      <c r="N1297" s="5">
        <v>26.5</v>
      </c>
      <c r="O1297" s="4">
        <v>27</v>
      </c>
      <c r="P1297" s="2" t="s">
        <v>4336</v>
      </c>
      <c r="Q1297" s="6">
        <v>100</v>
      </c>
      <c r="R1297" s="6">
        <v>29</v>
      </c>
      <c r="S1297" s="5">
        <v>3</v>
      </c>
      <c r="T1297" s="2"/>
      <c r="U1297" s="5">
        <v>11.1</v>
      </c>
      <c r="V1297" s="6">
        <v>0.6</v>
      </c>
      <c r="W1297" s="5">
        <v>20.5</v>
      </c>
      <c r="X1297" s="6">
        <v>19.75</v>
      </c>
      <c r="Y1297" s="7">
        <v>27.625</v>
      </c>
      <c r="Z1297" s="6">
        <v>27.75</v>
      </c>
      <c r="AA1297" s="6">
        <v>5.03</v>
      </c>
      <c r="AB1297" s="7">
        <v>227.56</v>
      </c>
      <c r="AC1297" s="2"/>
    </row>
    <row r="1298" spans="1:29" ht="143" x14ac:dyDescent="0.15">
      <c r="A1298" s="3">
        <f>DATE(1993,10,19)</f>
        <v>34261</v>
      </c>
      <c r="B1298" s="2"/>
      <c r="C1298" s="2" t="s">
        <v>30</v>
      </c>
      <c r="D1298" s="2" t="s">
        <v>4337</v>
      </c>
      <c r="E1298" s="2" t="s">
        <v>4338</v>
      </c>
      <c r="F1298" s="4">
        <v>3577</v>
      </c>
      <c r="G1298" s="2" t="s">
        <v>50</v>
      </c>
      <c r="H1298" s="2" t="s">
        <v>34</v>
      </c>
      <c r="I1298" s="2" t="s">
        <v>4339</v>
      </c>
      <c r="J1298" s="2" t="s">
        <v>4340</v>
      </c>
      <c r="K1298" s="2" t="s">
        <v>447</v>
      </c>
      <c r="L1298" s="2" t="s">
        <v>34</v>
      </c>
      <c r="M1298" s="5">
        <v>43.2</v>
      </c>
      <c r="N1298" s="6">
        <v>11.25</v>
      </c>
      <c r="O1298" s="4">
        <v>12</v>
      </c>
      <c r="P1298" s="2" t="s">
        <v>4341</v>
      </c>
      <c r="Q1298" s="2"/>
      <c r="R1298" s="6">
        <v>5.8</v>
      </c>
      <c r="S1298" s="5">
        <v>0.1</v>
      </c>
      <c r="T1298" s="7">
        <v>0.17799999999999999</v>
      </c>
      <c r="U1298" s="5">
        <v>3.6</v>
      </c>
      <c r="V1298" s="6">
        <v>0.04</v>
      </c>
      <c r="W1298" s="4">
        <v>4</v>
      </c>
      <c r="X1298" s="5">
        <v>3.5</v>
      </c>
      <c r="Y1298" s="5">
        <v>4.5</v>
      </c>
      <c r="Z1298" s="7">
        <v>4.875</v>
      </c>
      <c r="AA1298" s="6">
        <v>2.76</v>
      </c>
      <c r="AB1298" s="2" t="s">
        <v>86</v>
      </c>
      <c r="AC1298" s="6">
        <v>0.44</v>
      </c>
    </row>
    <row r="1299" spans="1:29" ht="26" x14ac:dyDescent="0.15">
      <c r="A1299" s="3">
        <f>DATE(1993,10,19)</f>
        <v>34261</v>
      </c>
      <c r="B1299" s="2"/>
      <c r="C1299" s="2" t="s">
        <v>30</v>
      </c>
      <c r="D1299" s="2" t="s">
        <v>2065</v>
      </c>
      <c r="E1299" s="2" t="s">
        <v>2066</v>
      </c>
      <c r="F1299" s="4">
        <v>2834</v>
      </c>
      <c r="G1299" s="2" t="s">
        <v>130</v>
      </c>
      <c r="H1299" s="2" t="s">
        <v>34</v>
      </c>
      <c r="I1299" s="2" t="s">
        <v>138</v>
      </c>
      <c r="J1299" s="2" t="s">
        <v>139</v>
      </c>
      <c r="K1299" s="2" t="s">
        <v>53</v>
      </c>
      <c r="L1299" s="2" t="s">
        <v>139</v>
      </c>
      <c r="M1299" s="2"/>
      <c r="N1299" s="2"/>
      <c r="O1299" s="2"/>
      <c r="P1299" s="2" t="s">
        <v>4342</v>
      </c>
      <c r="Q1299" s="2"/>
      <c r="R1299" s="2"/>
      <c r="S1299" s="5">
        <v>70.599999999999994</v>
      </c>
      <c r="T1299" s="7">
        <v>77.478999999999999</v>
      </c>
      <c r="U1299" s="5">
        <v>1.1000000000000001</v>
      </c>
      <c r="V1299" s="9">
        <v>0.27260000000000001</v>
      </c>
      <c r="W1299" s="6">
        <v>32.25</v>
      </c>
      <c r="X1299" s="7">
        <v>30.375</v>
      </c>
      <c r="Y1299" s="5">
        <v>29.5</v>
      </c>
      <c r="Z1299" s="7">
        <v>31.125</v>
      </c>
      <c r="AA1299" s="2"/>
      <c r="AB1299" s="2" t="s">
        <v>47</v>
      </c>
      <c r="AC1299" s="2"/>
    </row>
    <row r="1300" spans="1:29" ht="91" x14ac:dyDescent="0.15">
      <c r="A1300" s="3">
        <f>DATE(1993,10,21)</f>
        <v>34263</v>
      </c>
      <c r="B1300" s="2"/>
      <c r="C1300" s="2" t="s">
        <v>30</v>
      </c>
      <c r="D1300" s="2" t="s">
        <v>4307</v>
      </c>
      <c r="E1300" s="2" t="s">
        <v>1181</v>
      </c>
      <c r="F1300" s="4">
        <v>6022</v>
      </c>
      <c r="G1300" s="2" t="s">
        <v>37</v>
      </c>
      <c r="H1300" s="2" t="s">
        <v>34</v>
      </c>
      <c r="I1300" s="2" t="s">
        <v>4343</v>
      </c>
      <c r="J1300" s="2" t="s">
        <v>36</v>
      </c>
      <c r="K1300" s="2" t="s">
        <v>33</v>
      </c>
      <c r="L1300" s="2" t="s">
        <v>34</v>
      </c>
      <c r="M1300" s="2"/>
      <c r="N1300" s="5">
        <v>5.5</v>
      </c>
      <c r="O1300" s="7">
        <v>5.875</v>
      </c>
      <c r="P1300" s="2" t="s">
        <v>4344</v>
      </c>
      <c r="Q1300" s="2"/>
      <c r="R1300" s="6">
        <v>10.06</v>
      </c>
      <c r="S1300" s="5">
        <v>-0.2</v>
      </c>
      <c r="T1300" s="7">
        <v>-0.16400000000000001</v>
      </c>
      <c r="U1300" s="5">
        <v>8.1</v>
      </c>
      <c r="V1300" s="6">
        <v>-0.33</v>
      </c>
      <c r="W1300" s="6">
        <v>4.25</v>
      </c>
      <c r="X1300" s="6">
        <v>4.25</v>
      </c>
      <c r="Y1300" s="4">
        <v>8</v>
      </c>
      <c r="Z1300" s="7">
        <v>8.625</v>
      </c>
      <c r="AA1300" s="6">
        <v>0.57999999999999996</v>
      </c>
      <c r="AB1300" s="2" t="s">
        <v>86</v>
      </c>
      <c r="AC1300" s="2"/>
    </row>
    <row r="1301" spans="1:29" ht="130" x14ac:dyDescent="0.15">
      <c r="A1301" s="3">
        <f>DATE(1993,10,21)</f>
        <v>34263</v>
      </c>
      <c r="B1301" s="2"/>
      <c r="C1301" s="2" t="s">
        <v>82</v>
      </c>
      <c r="D1301" s="2" t="s">
        <v>4345</v>
      </c>
      <c r="E1301" s="2" t="s">
        <v>612</v>
      </c>
      <c r="F1301" s="4">
        <v>1311</v>
      </c>
      <c r="G1301" s="2" t="s">
        <v>148</v>
      </c>
      <c r="H1301" s="2" t="s">
        <v>34</v>
      </c>
      <c r="I1301" s="2" t="s">
        <v>138</v>
      </c>
      <c r="J1301" s="2" t="s">
        <v>139</v>
      </c>
      <c r="K1301" s="2" t="s">
        <v>53</v>
      </c>
      <c r="L1301" s="2" t="s">
        <v>139</v>
      </c>
      <c r="M1301" s="2"/>
      <c r="N1301" s="2"/>
      <c r="O1301" s="2"/>
      <c r="P1301" s="2" t="s">
        <v>4346</v>
      </c>
      <c r="Q1301" s="2"/>
      <c r="R1301" s="2"/>
      <c r="S1301" s="5">
        <v>5.0999999999999996</v>
      </c>
      <c r="T1301" s="7">
        <v>28.606000000000002</v>
      </c>
      <c r="U1301" s="5">
        <v>7.1</v>
      </c>
      <c r="V1301" s="6">
        <v>0.5</v>
      </c>
      <c r="W1301" s="4">
        <v>15</v>
      </c>
      <c r="X1301" s="7">
        <v>15.375</v>
      </c>
      <c r="Y1301" s="4">
        <v>17</v>
      </c>
      <c r="Z1301" s="6">
        <v>16.75</v>
      </c>
      <c r="AA1301" s="6">
        <v>13.66</v>
      </c>
      <c r="AB1301" s="2" t="s">
        <v>47</v>
      </c>
      <c r="AC1301" s="2"/>
    </row>
    <row r="1302" spans="1:29" ht="91" x14ac:dyDescent="0.15">
      <c r="A1302" s="3">
        <f>DATE(1993,10,21)</f>
        <v>34263</v>
      </c>
      <c r="B1302" s="3">
        <f>DATE(1994,2,4)</f>
        <v>34369</v>
      </c>
      <c r="C1302" s="2" t="s">
        <v>95</v>
      </c>
      <c r="D1302" s="2" t="s">
        <v>4347</v>
      </c>
      <c r="E1302" s="2" t="s">
        <v>4348</v>
      </c>
      <c r="F1302" s="4">
        <v>8093</v>
      </c>
      <c r="G1302" s="2" t="s">
        <v>454</v>
      </c>
      <c r="H1302" s="2" t="s">
        <v>34</v>
      </c>
      <c r="I1302" s="2" t="s">
        <v>2472</v>
      </c>
      <c r="J1302" s="2" t="s">
        <v>2473</v>
      </c>
      <c r="K1302" s="2" t="s">
        <v>454</v>
      </c>
      <c r="L1302" s="2" t="s">
        <v>34</v>
      </c>
      <c r="M1302" s="7">
        <v>632.84100000000001</v>
      </c>
      <c r="N1302" s="7">
        <v>12.875</v>
      </c>
      <c r="O1302" s="7">
        <v>12.875</v>
      </c>
      <c r="P1302" s="2" t="s">
        <v>4349</v>
      </c>
      <c r="Q1302" s="6">
        <v>100</v>
      </c>
      <c r="R1302" s="6">
        <v>22</v>
      </c>
      <c r="S1302" s="5">
        <v>2.8</v>
      </c>
      <c r="T1302" s="7">
        <v>24.515000000000001</v>
      </c>
      <c r="U1302" s="5">
        <v>6.6</v>
      </c>
      <c r="V1302" s="6">
        <v>0.4</v>
      </c>
      <c r="W1302" s="4">
        <v>20</v>
      </c>
      <c r="X1302" s="6">
        <v>20.25</v>
      </c>
      <c r="Y1302" s="7">
        <v>19.875</v>
      </c>
      <c r="Z1302" s="6">
        <v>20.25</v>
      </c>
      <c r="AA1302" s="6">
        <v>8.75</v>
      </c>
      <c r="AB1302" s="7">
        <v>9.6050000000000004</v>
      </c>
      <c r="AC1302" s="6">
        <v>151.22999999999999</v>
      </c>
    </row>
    <row r="1303" spans="1:29" ht="65" x14ac:dyDescent="0.15">
      <c r="A1303" s="3">
        <f>DATE(1993,10,22)</f>
        <v>34264</v>
      </c>
      <c r="B1303" s="2"/>
      <c r="C1303" s="2" t="s">
        <v>30</v>
      </c>
      <c r="D1303" s="2" t="s">
        <v>4350</v>
      </c>
      <c r="E1303" s="2" t="s">
        <v>4351</v>
      </c>
      <c r="F1303" s="4">
        <v>3674</v>
      </c>
      <c r="G1303" s="2" t="s">
        <v>137</v>
      </c>
      <c r="H1303" s="2" t="s">
        <v>34</v>
      </c>
      <c r="I1303" s="2" t="s">
        <v>4352</v>
      </c>
      <c r="J1303" s="2" t="s">
        <v>4353</v>
      </c>
      <c r="K1303" s="2" t="s">
        <v>137</v>
      </c>
      <c r="L1303" s="2" t="s">
        <v>34</v>
      </c>
      <c r="M1303" s="7">
        <v>13.323</v>
      </c>
      <c r="N1303" s="7">
        <v>2.375</v>
      </c>
      <c r="O1303" s="7">
        <v>2.3439999999999999</v>
      </c>
      <c r="P1303" s="2" t="s">
        <v>4354</v>
      </c>
      <c r="Q1303" s="2"/>
      <c r="R1303" s="2"/>
      <c r="S1303" s="5">
        <v>-1.7</v>
      </c>
      <c r="T1303" s="7">
        <v>-0.81799999999999995</v>
      </c>
      <c r="U1303" s="5">
        <v>0.3</v>
      </c>
      <c r="V1303" s="6">
        <v>-0.28999999999999998</v>
      </c>
      <c r="W1303" s="7">
        <v>1.125</v>
      </c>
      <c r="X1303" s="7">
        <v>1.125</v>
      </c>
      <c r="Y1303" s="7">
        <v>1.125</v>
      </c>
      <c r="Z1303" s="7">
        <v>1.125</v>
      </c>
      <c r="AA1303" s="6">
        <v>6.25</v>
      </c>
      <c r="AB1303" s="2" t="s">
        <v>86</v>
      </c>
      <c r="AC1303" s="2"/>
    </row>
    <row r="1304" spans="1:29" ht="117" x14ac:dyDescent="0.15">
      <c r="A1304" s="3">
        <f>DATE(1993,10,25)</f>
        <v>34267</v>
      </c>
      <c r="B1304" s="2"/>
      <c r="C1304" s="2" t="s">
        <v>30</v>
      </c>
      <c r="D1304" s="2" t="s">
        <v>4355</v>
      </c>
      <c r="E1304" s="2" t="s">
        <v>4356</v>
      </c>
      <c r="F1304" s="4">
        <v>8011</v>
      </c>
      <c r="G1304" s="2" t="s">
        <v>454</v>
      </c>
      <c r="H1304" s="2" t="s">
        <v>34</v>
      </c>
      <c r="I1304" s="2" t="s">
        <v>4357</v>
      </c>
      <c r="J1304" s="2" t="s">
        <v>4358</v>
      </c>
      <c r="K1304" s="2" t="s">
        <v>454</v>
      </c>
      <c r="L1304" s="2" t="s">
        <v>34</v>
      </c>
      <c r="M1304" s="7">
        <v>704.02499999999998</v>
      </c>
      <c r="N1304" s="4">
        <v>19</v>
      </c>
      <c r="O1304" s="4">
        <v>19</v>
      </c>
      <c r="P1304" s="2" t="s">
        <v>4359</v>
      </c>
      <c r="Q1304" s="2"/>
      <c r="R1304" s="6">
        <v>26.83</v>
      </c>
      <c r="S1304" s="5">
        <v>-103.5</v>
      </c>
      <c r="T1304" s="6">
        <v>-47.73</v>
      </c>
      <c r="U1304" s="5">
        <v>11.1</v>
      </c>
      <c r="V1304" s="6">
        <v>-2.81</v>
      </c>
      <c r="W1304" s="6">
        <v>19.75</v>
      </c>
      <c r="X1304" s="4">
        <v>19</v>
      </c>
      <c r="Y1304" s="7">
        <v>24.625</v>
      </c>
      <c r="Z1304" s="4">
        <v>24</v>
      </c>
      <c r="AA1304" s="6">
        <v>36.700000000000003</v>
      </c>
      <c r="AB1304" s="2" t="s">
        <v>86</v>
      </c>
      <c r="AC1304" s="6">
        <v>52.56</v>
      </c>
    </row>
    <row r="1305" spans="1:29" ht="117" x14ac:dyDescent="0.15">
      <c r="A1305" s="3">
        <f>DATE(1993,10,25)</f>
        <v>34267</v>
      </c>
      <c r="B1305" s="3">
        <f>DATE(1994,4,14)</f>
        <v>34438</v>
      </c>
      <c r="C1305" s="2" t="s">
        <v>95</v>
      </c>
      <c r="D1305" s="2" t="s">
        <v>4360</v>
      </c>
      <c r="E1305" s="2" t="s">
        <v>36</v>
      </c>
      <c r="F1305" s="4">
        <v>6022</v>
      </c>
      <c r="G1305" s="2" t="s">
        <v>37</v>
      </c>
      <c r="H1305" s="2" t="s">
        <v>34</v>
      </c>
      <c r="I1305" s="2" t="s">
        <v>295</v>
      </c>
      <c r="J1305" s="2" t="s">
        <v>296</v>
      </c>
      <c r="K1305" s="2" t="s">
        <v>37</v>
      </c>
      <c r="L1305" s="2" t="s">
        <v>34</v>
      </c>
      <c r="M1305" s="2"/>
      <c r="N1305" s="2"/>
      <c r="O1305" s="2"/>
      <c r="P1305" s="2" t="s">
        <v>4361</v>
      </c>
      <c r="Q1305" s="6">
        <v>100</v>
      </c>
      <c r="R1305" s="6">
        <v>35.5</v>
      </c>
      <c r="S1305" s="5">
        <v>0</v>
      </c>
      <c r="T1305" s="7">
        <v>10.507999999999999</v>
      </c>
      <c r="U1305" s="5">
        <v>19.399999999999999</v>
      </c>
      <c r="V1305" s="6">
        <v>0.53</v>
      </c>
      <c r="W1305" s="6">
        <v>29.25</v>
      </c>
      <c r="X1305" s="6">
        <v>28.75</v>
      </c>
      <c r="Y1305" s="4">
        <v>33</v>
      </c>
      <c r="Z1305" s="4">
        <v>33</v>
      </c>
      <c r="AA1305" s="6">
        <v>4.07</v>
      </c>
      <c r="AB1305" s="7">
        <v>19.295999999999999</v>
      </c>
      <c r="AC1305" s="2"/>
    </row>
    <row r="1306" spans="1:29" ht="26" x14ac:dyDescent="0.15">
      <c r="A1306" s="3">
        <f>DATE(1993,10,25)</f>
        <v>34267</v>
      </c>
      <c r="B1306" s="2"/>
      <c r="C1306" s="2" t="s">
        <v>30</v>
      </c>
      <c r="D1306" s="2" t="s">
        <v>4362</v>
      </c>
      <c r="E1306" s="2" t="s">
        <v>4363</v>
      </c>
      <c r="F1306" s="4">
        <v>4812</v>
      </c>
      <c r="G1306" s="2" t="s">
        <v>63</v>
      </c>
      <c r="H1306" s="2" t="s">
        <v>34</v>
      </c>
      <c r="I1306" s="2" t="s">
        <v>4364</v>
      </c>
      <c r="J1306" s="2" t="s">
        <v>4365</v>
      </c>
      <c r="K1306" s="2" t="s">
        <v>63</v>
      </c>
      <c r="L1306" s="2" t="s">
        <v>34</v>
      </c>
      <c r="M1306" s="2"/>
      <c r="N1306" s="6">
        <v>22.25</v>
      </c>
      <c r="O1306" s="6">
        <v>22.25</v>
      </c>
      <c r="P1306" s="2" t="s">
        <v>4366</v>
      </c>
      <c r="Q1306" s="2"/>
      <c r="R1306" s="2"/>
      <c r="S1306" s="5">
        <v>1.8</v>
      </c>
      <c r="T1306" s="7">
        <v>5.9240000000000004</v>
      </c>
      <c r="U1306" s="5">
        <v>5.0999999999999996</v>
      </c>
      <c r="V1306" s="6">
        <v>0.43</v>
      </c>
      <c r="W1306" s="6">
        <v>13.25</v>
      </c>
      <c r="X1306" s="5">
        <v>15.5</v>
      </c>
      <c r="Y1306" s="7">
        <v>15.875</v>
      </c>
      <c r="Z1306" s="6">
        <v>16.75</v>
      </c>
      <c r="AA1306" s="2"/>
      <c r="AB1306" s="2" t="s">
        <v>47</v>
      </c>
      <c r="AC1306" s="2"/>
    </row>
    <row r="1307" spans="1:29" ht="143" x14ac:dyDescent="0.15">
      <c r="A1307" s="3">
        <f>DATE(1993,10,25)</f>
        <v>34267</v>
      </c>
      <c r="B1307" s="3">
        <f>DATE(1994,3,31)</f>
        <v>34424</v>
      </c>
      <c r="C1307" s="2" t="s">
        <v>95</v>
      </c>
      <c r="D1307" s="2" t="s">
        <v>4367</v>
      </c>
      <c r="E1307" s="2" t="s">
        <v>4368</v>
      </c>
      <c r="F1307" s="4">
        <v>7372</v>
      </c>
      <c r="G1307" s="2" t="s">
        <v>551</v>
      </c>
      <c r="H1307" s="2" t="s">
        <v>34</v>
      </c>
      <c r="I1307" s="2" t="s">
        <v>4369</v>
      </c>
      <c r="J1307" s="2" t="s">
        <v>4370</v>
      </c>
      <c r="K1307" s="2" t="s">
        <v>551</v>
      </c>
      <c r="L1307" s="2" t="s">
        <v>34</v>
      </c>
      <c r="M1307" s="7">
        <v>48.575000000000003</v>
      </c>
      <c r="N1307" s="7">
        <v>3.375</v>
      </c>
      <c r="O1307" s="5">
        <v>3.5</v>
      </c>
      <c r="P1307" s="2" t="s">
        <v>4371</v>
      </c>
      <c r="Q1307" s="6">
        <v>100</v>
      </c>
      <c r="R1307" s="6">
        <v>2.5299999999999998</v>
      </c>
      <c r="S1307" s="5">
        <v>2</v>
      </c>
      <c r="T1307" s="7">
        <v>7.1360000000000001</v>
      </c>
      <c r="U1307" s="5">
        <v>0.8</v>
      </c>
      <c r="V1307" s="6">
        <v>0.09</v>
      </c>
      <c r="W1307" s="7">
        <v>3.1880000000000002</v>
      </c>
      <c r="X1307" s="7">
        <v>3.125</v>
      </c>
      <c r="Y1307" s="7">
        <v>3.375</v>
      </c>
      <c r="Z1307" s="5">
        <v>3.5</v>
      </c>
      <c r="AA1307" s="6">
        <v>22.18</v>
      </c>
      <c r="AB1307" s="7">
        <v>12.672000000000001</v>
      </c>
      <c r="AC1307" s="2"/>
    </row>
    <row r="1308" spans="1:29" ht="130" x14ac:dyDescent="0.15">
      <c r="A1308" s="3">
        <f>DATE(1993,10,26)</f>
        <v>34268</v>
      </c>
      <c r="B1308" s="3">
        <f>DATE(1994,4,11)</f>
        <v>34435</v>
      </c>
      <c r="C1308" s="2" t="s">
        <v>95</v>
      </c>
      <c r="D1308" s="2" t="s">
        <v>4372</v>
      </c>
      <c r="E1308" s="2" t="s">
        <v>4373</v>
      </c>
      <c r="F1308" s="4">
        <v>6035</v>
      </c>
      <c r="G1308" s="2" t="s">
        <v>33</v>
      </c>
      <c r="H1308" s="2" t="s">
        <v>34</v>
      </c>
      <c r="I1308" s="2" t="s">
        <v>2631</v>
      </c>
      <c r="J1308" s="2" t="s">
        <v>32</v>
      </c>
      <c r="K1308" s="2" t="s">
        <v>33</v>
      </c>
      <c r="L1308" s="2" t="s">
        <v>34</v>
      </c>
      <c r="M1308" s="7">
        <v>927.87300000000005</v>
      </c>
      <c r="N1308" s="7">
        <v>29.375</v>
      </c>
      <c r="O1308" s="7">
        <v>29.625</v>
      </c>
      <c r="P1308" s="2" t="s">
        <v>4374</v>
      </c>
      <c r="Q1308" s="6">
        <v>100</v>
      </c>
      <c r="R1308" s="6">
        <v>5.5</v>
      </c>
      <c r="S1308" s="5">
        <v>-2.6</v>
      </c>
      <c r="T1308" s="2"/>
      <c r="U1308" s="5">
        <v>2.8</v>
      </c>
      <c r="V1308" s="2"/>
      <c r="W1308" s="5">
        <v>1.5</v>
      </c>
      <c r="X1308" s="4">
        <v>2</v>
      </c>
      <c r="Y1308" s="7">
        <v>2.375</v>
      </c>
      <c r="Z1308" s="7">
        <v>2.875</v>
      </c>
      <c r="AA1308" s="6">
        <v>3.87</v>
      </c>
      <c r="AB1308" s="2" t="s">
        <v>86</v>
      </c>
      <c r="AC1308" s="2"/>
    </row>
    <row r="1309" spans="1:29" ht="130" x14ac:dyDescent="0.15">
      <c r="A1309" s="3">
        <f>DATE(1993,10,26)</f>
        <v>34268</v>
      </c>
      <c r="B1309" s="2"/>
      <c r="C1309" s="2" t="s">
        <v>39</v>
      </c>
      <c r="D1309" s="2" t="s">
        <v>40</v>
      </c>
      <c r="E1309" s="2" t="s">
        <v>41</v>
      </c>
      <c r="F1309" s="4">
        <v>7822</v>
      </c>
      <c r="G1309" s="2" t="s">
        <v>42</v>
      </c>
      <c r="H1309" s="2" t="s">
        <v>34</v>
      </c>
      <c r="I1309" s="2" t="s">
        <v>4375</v>
      </c>
      <c r="J1309" s="2" t="s">
        <v>1604</v>
      </c>
      <c r="K1309" s="2" t="s">
        <v>63</v>
      </c>
      <c r="L1309" s="2" t="s">
        <v>34</v>
      </c>
      <c r="M1309" s="2"/>
      <c r="N1309" s="4">
        <v>62</v>
      </c>
      <c r="O1309" s="7">
        <v>62.375</v>
      </c>
      <c r="P1309" s="2" t="s">
        <v>4376</v>
      </c>
      <c r="Q1309" s="2"/>
      <c r="R1309" s="2"/>
      <c r="S1309" s="5">
        <v>128</v>
      </c>
      <c r="T1309" s="6">
        <v>229.35</v>
      </c>
      <c r="U1309" s="5">
        <v>33</v>
      </c>
      <c r="V1309" s="7">
        <v>1.077</v>
      </c>
      <c r="W1309" s="6">
        <v>57.25</v>
      </c>
      <c r="X1309" s="4">
        <v>55</v>
      </c>
      <c r="Y1309" s="7">
        <v>56.875</v>
      </c>
      <c r="Z1309" s="7">
        <v>61.125</v>
      </c>
      <c r="AA1309" s="2"/>
      <c r="AB1309" s="2" t="s">
        <v>47</v>
      </c>
      <c r="AC1309" s="5">
        <v>346.1</v>
      </c>
    </row>
    <row r="1310" spans="1:29" ht="104" x14ac:dyDescent="0.15">
      <c r="A1310" s="3">
        <f>DATE(1993,10,26)</f>
        <v>34268</v>
      </c>
      <c r="B1310" s="3">
        <f>DATE(1994,6,3)</f>
        <v>34488</v>
      </c>
      <c r="C1310" s="2" t="s">
        <v>95</v>
      </c>
      <c r="D1310" s="2" t="s">
        <v>3388</v>
      </c>
      <c r="E1310" s="2" t="s">
        <v>36</v>
      </c>
      <c r="F1310" s="4">
        <v>6021</v>
      </c>
      <c r="G1310" s="2" t="s">
        <v>37</v>
      </c>
      <c r="H1310" s="2" t="s">
        <v>34</v>
      </c>
      <c r="I1310" s="2" t="s">
        <v>4377</v>
      </c>
      <c r="J1310" s="2" t="s">
        <v>4378</v>
      </c>
      <c r="K1310" s="2" t="s">
        <v>37</v>
      </c>
      <c r="L1310" s="2" t="s">
        <v>34</v>
      </c>
      <c r="M1310" s="2"/>
      <c r="N1310" s="2"/>
      <c r="O1310" s="2"/>
      <c r="P1310" s="2" t="s">
        <v>4379</v>
      </c>
      <c r="Q1310" s="6">
        <v>100</v>
      </c>
      <c r="R1310" s="2"/>
      <c r="S1310" s="5">
        <v>-1.4</v>
      </c>
      <c r="T1310" s="7">
        <v>-1.117</v>
      </c>
      <c r="U1310" s="5">
        <v>1</v>
      </c>
      <c r="V1310" s="6">
        <v>-0.28999999999999998</v>
      </c>
      <c r="W1310" s="7">
        <v>2.625</v>
      </c>
      <c r="X1310" s="7">
        <v>2.625</v>
      </c>
      <c r="Y1310" s="7">
        <v>2.625</v>
      </c>
      <c r="Z1310" s="7">
        <v>2.625</v>
      </c>
      <c r="AA1310" s="2"/>
      <c r="AB1310" s="2" t="s">
        <v>86</v>
      </c>
      <c r="AC1310" s="2"/>
    </row>
    <row r="1311" spans="1:29" ht="156" x14ac:dyDescent="0.15">
      <c r="A1311" s="3">
        <f>DATE(1993,10,27)</f>
        <v>34269</v>
      </c>
      <c r="B1311" s="3">
        <f>DATE(1994,7,1)</f>
        <v>34516</v>
      </c>
      <c r="C1311" s="2" t="s">
        <v>95</v>
      </c>
      <c r="D1311" s="2" t="s">
        <v>4380</v>
      </c>
      <c r="E1311" s="2" t="s">
        <v>36</v>
      </c>
      <c r="F1311" s="4">
        <v>6036</v>
      </c>
      <c r="G1311" s="2" t="s">
        <v>33</v>
      </c>
      <c r="H1311" s="2" t="s">
        <v>34</v>
      </c>
      <c r="I1311" s="2" t="s">
        <v>4381</v>
      </c>
      <c r="J1311" s="2" t="s">
        <v>263</v>
      </c>
      <c r="K1311" s="2" t="s">
        <v>37</v>
      </c>
      <c r="L1311" s="2" t="s">
        <v>34</v>
      </c>
      <c r="M1311" s="2"/>
      <c r="N1311" s="6">
        <v>22.75</v>
      </c>
      <c r="O1311" s="5">
        <v>22.5</v>
      </c>
      <c r="P1311" s="2" t="s">
        <v>4382</v>
      </c>
      <c r="Q1311" s="6">
        <v>100</v>
      </c>
      <c r="R1311" s="6">
        <v>16.100000000000001</v>
      </c>
      <c r="S1311" s="5">
        <v>1.9</v>
      </c>
      <c r="T1311" s="5">
        <v>1.9</v>
      </c>
      <c r="U1311" s="5">
        <v>14</v>
      </c>
      <c r="V1311" s="2"/>
      <c r="W1311" s="4">
        <v>11</v>
      </c>
      <c r="X1311" s="4">
        <v>12</v>
      </c>
      <c r="Y1311" s="6">
        <v>13.25</v>
      </c>
      <c r="Z1311" s="5">
        <v>12.5</v>
      </c>
      <c r="AA1311" s="6">
        <v>2.4900000000000002</v>
      </c>
      <c r="AB1311" s="7">
        <v>163.732</v>
      </c>
      <c r="AC1311" s="2"/>
    </row>
    <row r="1312" spans="1:29" ht="52" x14ac:dyDescent="0.15">
      <c r="A1312" s="3">
        <f>DATE(1993,10,28)</f>
        <v>34270</v>
      </c>
      <c r="B1312" s="3">
        <f>DATE(1994,2,28)</f>
        <v>34393</v>
      </c>
      <c r="C1312" s="2" t="s">
        <v>95</v>
      </c>
      <c r="D1312" s="2" t="s">
        <v>4383</v>
      </c>
      <c r="E1312" s="2" t="s">
        <v>4384</v>
      </c>
      <c r="F1312" s="4">
        <v>3695</v>
      </c>
      <c r="G1312" s="2" t="s">
        <v>137</v>
      </c>
      <c r="H1312" s="2" t="s">
        <v>34</v>
      </c>
      <c r="I1312" s="2" t="s">
        <v>4385</v>
      </c>
      <c r="J1312" s="2" t="s">
        <v>4386</v>
      </c>
      <c r="K1312" s="2" t="s">
        <v>223</v>
      </c>
      <c r="L1312" s="2" t="s">
        <v>34</v>
      </c>
      <c r="M1312" s="2"/>
      <c r="N1312" s="6">
        <v>19.75</v>
      </c>
      <c r="O1312" s="6">
        <v>19.25</v>
      </c>
      <c r="P1312" s="2" t="s">
        <v>4387</v>
      </c>
      <c r="Q1312" s="6">
        <v>100</v>
      </c>
      <c r="R1312" s="6">
        <v>3.38</v>
      </c>
      <c r="S1312" s="5">
        <v>-0.7</v>
      </c>
      <c r="T1312" s="7">
        <v>0.72099999999999997</v>
      </c>
      <c r="U1312" s="5">
        <v>1.1000000000000001</v>
      </c>
      <c r="V1312" s="6">
        <v>-0.15</v>
      </c>
      <c r="W1312" s="7">
        <v>2.625</v>
      </c>
      <c r="X1312" s="6">
        <v>2.75</v>
      </c>
      <c r="Y1312" s="11">
        <v>3.03125</v>
      </c>
      <c r="Z1312" s="9">
        <v>3.0625</v>
      </c>
      <c r="AA1312" s="6">
        <v>4.8</v>
      </c>
      <c r="AB1312" s="2" t="s">
        <v>86</v>
      </c>
      <c r="AC1312" s="6">
        <v>25.33</v>
      </c>
    </row>
    <row r="1313" spans="1:29" ht="143" x14ac:dyDescent="0.15">
      <c r="A1313" s="3">
        <f>DATE(1993,11,1)</f>
        <v>34274</v>
      </c>
      <c r="B1313" s="3">
        <f>DATE(1993,12,21)</f>
        <v>34324</v>
      </c>
      <c r="C1313" s="2" t="s">
        <v>95</v>
      </c>
      <c r="D1313" s="2" t="s">
        <v>3991</v>
      </c>
      <c r="E1313" s="2" t="s">
        <v>2712</v>
      </c>
      <c r="F1313" s="4">
        <v>6211</v>
      </c>
      <c r="G1313" s="2" t="s">
        <v>53</v>
      </c>
      <c r="H1313" s="2" t="s">
        <v>34</v>
      </c>
      <c r="I1313" s="2" t="s">
        <v>4388</v>
      </c>
      <c r="J1313" s="2" t="s">
        <v>367</v>
      </c>
      <c r="K1313" s="2" t="s">
        <v>53</v>
      </c>
      <c r="L1313" s="2" t="s">
        <v>4389</v>
      </c>
      <c r="M1313" s="2"/>
      <c r="N1313" s="2"/>
      <c r="O1313" s="2"/>
      <c r="P1313" s="2" t="s">
        <v>4390</v>
      </c>
      <c r="Q1313" s="6">
        <v>51.62</v>
      </c>
      <c r="R1313" s="6">
        <v>10.5</v>
      </c>
      <c r="S1313" s="5">
        <v>0.2</v>
      </c>
      <c r="T1313" s="7">
        <v>1.641</v>
      </c>
      <c r="U1313" s="5">
        <v>7.1</v>
      </c>
      <c r="V1313" s="6">
        <v>0.34</v>
      </c>
      <c r="W1313" s="5">
        <v>5.5</v>
      </c>
      <c r="X1313" s="5">
        <v>6.5</v>
      </c>
      <c r="Y1313" s="6">
        <v>6.75</v>
      </c>
      <c r="Z1313" s="6">
        <v>6.75</v>
      </c>
      <c r="AA1313" s="6">
        <v>4.38</v>
      </c>
      <c r="AB1313" s="7">
        <v>183.17500000000001</v>
      </c>
      <c r="AC1313" s="2"/>
    </row>
    <row r="1314" spans="1:29" ht="104" x14ac:dyDescent="0.15">
      <c r="A1314" s="3">
        <f>DATE(1993,11,2)</f>
        <v>34275</v>
      </c>
      <c r="B1314" s="3">
        <f>DATE(1994,5,2)</f>
        <v>34456</v>
      </c>
      <c r="C1314" s="2" t="s">
        <v>95</v>
      </c>
      <c r="D1314" s="2" t="s">
        <v>4391</v>
      </c>
      <c r="E1314" s="2" t="s">
        <v>1181</v>
      </c>
      <c r="F1314" s="4">
        <v>6022</v>
      </c>
      <c r="G1314" s="2" t="s">
        <v>37</v>
      </c>
      <c r="H1314" s="2" t="s">
        <v>34</v>
      </c>
      <c r="I1314" s="2" t="s">
        <v>4392</v>
      </c>
      <c r="J1314" s="2" t="s">
        <v>263</v>
      </c>
      <c r="K1314" s="2" t="s">
        <v>37</v>
      </c>
      <c r="L1314" s="2" t="s">
        <v>34</v>
      </c>
      <c r="M1314" s="2"/>
      <c r="N1314" s="4">
        <v>33</v>
      </c>
      <c r="O1314" s="5">
        <v>31.5</v>
      </c>
      <c r="P1314" s="2" t="s">
        <v>4393</v>
      </c>
      <c r="Q1314" s="6">
        <v>100</v>
      </c>
      <c r="R1314" s="2"/>
      <c r="S1314" s="5">
        <v>-1.6</v>
      </c>
      <c r="T1314" s="6">
        <v>4.32</v>
      </c>
      <c r="U1314" s="5">
        <v>21.7</v>
      </c>
      <c r="V1314" s="6">
        <v>-1.62</v>
      </c>
      <c r="W1314" s="6">
        <v>23.75</v>
      </c>
      <c r="X1314" s="6">
        <v>23.75</v>
      </c>
      <c r="Y1314" s="6">
        <v>36.75</v>
      </c>
      <c r="Z1314" s="4">
        <v>34</v>
      </c>
      <c r="AA1314" s="2"/>
      <c r="AB1314" s="7">
        <v>144.15100000000001</v>
      </c>
      <c r="AC1314" s="2"/>
    </row>
    <row r="1315" spans="1:29" ht="117" x14ac:dyDescent="0.15">
      <c r="A1315" s="3">
        <f>DATE(1993,11,3)</f>
        <v>34276</v>
      </c>
      <c r="B1315" s="3">
        <f>DATE(1994,5,31)</f>
        <v>34485</v>
      </c>
      <c r="C1315" s="2" t="s">
        <v>95</v>
      </c>
      <c r="D1315" s="2" t="s">
        <v>4394</v>
      </c>
      <c r="E1315" s="2" t="s">
        <v>389</v>
      </c>
      <c r="F1315" s="4">
        <v>6035</v>
      </c>
      <c r="G1315" s="2" t="s">
        <v>33</v>
      </c>
      <c r="H1315" s="2" t="s">
        <v>34</v>
      </c>
      <c r="I1315" s="2" t="s">
        <v>4395</v>
      </c>
      <c r="J1315" s="2" t="s">
        <v>389</v>
      </c>
      <c r="K1315" s="2" t="s">
        <v>33</v>
      </c>
      <c r="L1315" s="2" t="s">
        <v>34</v>
      </c>
      <c r="M1315" s="2"/>
      <c r="N1315" s="7">
        <v>13.375</v>
      </c>
      <c r="O1315" s="4">
        <v>12</v>
      </c>
      <c r="P1315" s="2" t="s">
        <v>4396</v>
      </c>
      <c r="Q1315" s="6">
        <v>100</v>
      </c>
      <c r="R1315" s="6">
        <v>15.5</v>
      </c>
      <c r="S1315" s="2"/>
      <c r="T1315" s="2"/>
      <c r="U1315" s="2"/>
      <c r="V1315" s="2"/>
      <c r="W1315" s="5">
        <v>13.5</v>
      </c>
      <c r="X1315" s="5">
        <v>13.5</v>
      </c>
      <c r="Y1315" s="2"/>
      <c r="Z1315" s="6">
        <v>14.75</v>
      </c>
      <c r="AA1315" s="6">
        <v>0.85</v>
      </c>
      <c r="AB1315" s="2" t="s">
        <v>47</v>
      </c>
      <c r="AC1315" s="2"/>
    </row>
    <row r="1316" spans="1:29" ht="104" x14ac:dyDescent="0.15">
      <c r="A1316" s="3">
        <f>DATE(1993,11,3)</f>
        <v>34276</v>
      </c>
      <c r="B1316" s="2"/>
      <c r="C1316" s="2" t="s">
        <v>30</v>
      </c>
      <c r="D1316" s="2" t="s">
        <v>4397</v>
      </c>
      <c r="E1316" s="2" t="s">
        <v>4398</v>
      </c>
      <c r="F1316" s="4">
        <v>4812</v>
      </c>
      <c r="G1316" s="2" t="s">
        <v>63</v>
      </c>
      <c r="H1316" s="2" t="s">
        <v>34</v>
      </c>
      <c r="I1316" s="2" t="s">
        <v>4397</v>
      </c>
      <c r="J1316" s="2" t="s">
        <v>4398</v>
      </c>
      <c r="K1316" s="2" t="s">
        <v>63</v>
      </c>
      <c r="L1316" s="2" t="s">
        <v>34</v>
      </c>
      <c r="M1316" s="2"/>
      <c r="N1316" s="5">
        <v>36.5</v>
      </c>
      <c r="O1316" s="4">
        <v>33</v>
      </c>
      <c r="P1316" s="2" t="s">
        <v>4399</v>
      </c>
      <c r="Q1316" s="2"/>
      <c r="R1316" s="2"/>
      <c r="S1316" s="2"/>
      <c r="T1316" s="2"/>
      <c r="U1316" s="2"/>
      <c r="V1316" s="2"/>
      <c r="W1316" s="6">
        <v>31.25</v>
      </c>
      <c r="X1316" s="6">
        <v>40.25</v>
      </c>
      <c r="Y1316" s="5">
        <v>36.5</v>
      </c>
      <c r="Z1316" s="4">
        <v>33</v>
      </c>
      <c r="AA1316" s="6">
        <v>11.79</v>
      </c>
      <c r="AB1316" s="2" t="s">
        <v>47</v>
      </c>
      <c r="AC1316" s="2"/>
    </row>
    <row r="1317" spans="1:29" ht="78" x14ac:dyDescent="0.15">
      <c r="A1317" s="3">
        <f>DATE(1993,11,5)</f>
        <v>34278</v>
      </c>
      <c r="B1317" s="2"/>
      <c r="C1317" s="2" t="s">
        <v>189</v>
      </c>
      <c r="D1317" s="2" t="s">
        <v>4400</v>
      </c>
      <c r="E1317" s="2" t="s">
        <v>1181</v>
      </c>
      <c r="F1317" s="4">
        <v>6021</v>
      </c>
      <c r="G1317" s="2" t="s">
        <v>37</v>
      </c>
      <c r="H1317" s="2" t="s">
        <v>34</v>
      </c>
      <c r="I1317" s="2" t="s">
        <v>143</v>
      </c>
      <c r="J1317" s="2" t="s">
        <v>144</v>
      </c>
      <c r="K1317" s="2" t="s">
        <v>53</v>
      </c>
      <c r="L1317" s="2" t="s">
        <v>139</v>
      </c>
      <c r="M1317" s="2"/>
      <c r="N1317" s="2"/>
      <c r="O1317" s="2"/>
      <c r="P1317" s="2" t="s">
        <v>4401</v>
      </c>
      <c r="Q1317" s="2"/>
      <c r="R1317" s="2"/>
      <c r="S1317" s="5">
        <v>-7.4</v>
      </c>
      <c r="T1317" s="7">
        <v>-7.4089999999999998</v>
      </c>
      <c r="U1317" s="5">
        <v>6.8</v>
      </c>
      <c r="V1317" s="6">
        <v>-3.39</v>
      </c>
      <c r="W1317" s="4">
        <v>7</v>
      </c>
      <c r="X1317" s="4">
        <v>7</v>
      </c>
      <c r="Y1317" s="5">
        <v>7.5</v>
      </c>
      <c r="Z1317" s="5">
        <v>7.5</v>
      </c>
      <c r="AA1317" s="2"/>
      <c r="AB1317" s="2" t="s">
        <v>86</v>
      </c>
      <c r="AC1317" s="2"/>
    </row>
    <row r="1318" spans="1:29" ht="130" x14ac:dyDescent="0.15">
      <c r="A1318" s="3">
        <f>DATE(1993,11,5)</f>
        <v>34278</v>
      </c>
      <c r="B1318" s="3">
        <f>DATE(1994,6,27)</f>
        <v>34512</v>
      </c>
      <c r="C1318" s="2" t="s">
        <v>95</v>
      </c>
      <c r="D1318" s="2" t="s">
        <v>4402</v>
      </c>
      <c r="E1318" s="2" t="s">
        <v>36</v>
      </c>
      <c r="F1318" s="4">
        <v>6036</v>
      </c>
      <c r="G1318" s="2" t="s">
        <v>33</v>
      </c>
      <c r="H1318" s="2" t="s">
        <v>34</v>
      </c>
      <c r="I1318" s="2" t="s">
        <v>2236</v>
      </c>
      <c r="J1318" s="2" t="s">
        <v>36</v>
      </c>
      <c r="K1318" s="2" t="s">
        <v>37</v>
      </c>
      <c r="L1318" s="2" t="s">
        <v>34</v>
      </c>
      <c r="M1318" s="12">
        <v>2281.1689999999999</v>
      </c>
      <c r="N1318" s="6">
        <v>21.25</v>
      </c>
      <c r="O1318" s="7">
        <v>21.875</v>
      </c>
      <c r="P1318" s="2" t="s">
        <v>4403</v>
      </c>
      <c r="Q1318" s="6">
        <v>100</v>
      </c>
      <c r="R1318" s="6">
        <v>11.32</v>
      </c>
      <c r="S1318" s="5">
        <v>-20</v>
      </c>
      <c r="T1318" s="5">
        <v>-19.399999999999999</v>
      </c>
      <c r="U1318" s="2"/>
      <c r="V1318" s="6">
        <v>-1.46</v>
      </c>
      <c r="W1318" s="4">
        <v>12</v>
      </c>
      <c r="X1318" s="6">
        <v>10.75</v>
      </c>
      <c r="Y1318" s="7">
        <v>10.625</v>
      </c>
      <c r="Z1318" s="7">
        <v>11.125</v>
      </c>
      <c r="AA1318" s="6">
        <v>13.43</v>
      </c>
      <c r="AB1318" s="2" t="s">
        <v>86</v>
      </c>
      <c r="AC1318" s="2"/>
    </row>
    <row r="1319" spans="1:29" ht="130" x14ac:dyDescent="0.15">
      <c r="A1319" s="3">
        <f>DATE(1993,11,8)</f>
        <v>34281</v>
      </c>
      <c r="B1319" s="2"/>
      <c r="C1319" s="2" t="s">
        <v>30</v>
      </c>
      <c r="D1319" s="2" t="s">
        <v>3380</v>
      </c>
      <c r="E1319" s="2" t="s">
        <v>3381</v>
      </c>
      <c r="F1319" s="4">
        <v>4841</v>
      </c>
      <c r="G1319" s="2" t="s">
        <v>45</v>
      </c>
      <c r="H1319" s="2" t="s">
        <v>34</v>
      </c>
      <c r="I1319" s="2" t="s">
        <v>138</v>
      </c>
      <c r="J1319" s="2" t="s">
        <v>139</v>
      </c>
      <c r="K1319" s="2" t="s">
        <v>53</v>
      </c>
      <c r="L1319" s="2" t="s">
        <v>139</v>
      </c>
      <c r="M1319" s="2"/>
      <c r="N1319" s="2"/>
      <c r="O1319" s="2"/>
      <c r="P1319" s="2" t="s">
        <v>4404</v>
      </c>
      <c r="Q1319" s="2"/>
      <c r="R1319" s="6">
        <v>2.2000000000000002</v>
      </c>
      <c r="S1319" s="5">
        <v>-3.4</v>
      </c>
      <c r="T1319" s="7">
        <v>0.875</v>
      </c>
      <c r="U1319" s="5">
        <v>-0.1</v>
      </c>
      <c r="V1319" s="6">
        <v>-0.24</v>
      </c>
      <c r="W1319" s="7">
        <v>1.4379999999999999</v>
      </c>
      <c r="X1319" s="7">
        <v>1.4379999999999999</v>
      </c>
      <c r="Y1319" s="7">
        <v>1.4379999999999999</v>
      </c>
      <c r="Z1319" s="7">
        <v>1.4379999999999999</v>
      </c>
      <c r="AA1319" s="6">
        <v>14.4</v>
      </c>
      <c r="AB1319" s="2" t="s">
        <v>86</v>
      </c>
      <c r="AC1319" s="2"/>
    </row>
    <row r="1320" spans="1:29" ht="91" x14ac:dyDescent="0.15">
      <c r="A1320" s="3">
        <f>DATE(1993,11,8)</f>
        <v>34281</v>
      </c>
      <c r="B1320" s="2"/>
      <c r="C1320" s="2" t="s">
        <v>30</v>
      </c>
      <c r="D1320" s="2" t="s">
        <v>4405</v>
      </c>
      <c r="E1320" s="2" t="s">
        <v>4406</v>
      </c>
      <c r="F1320" s="4">
        <v>3143</v>
      </c>
      <c r="G1320" s="2" t="s">
        <v>326</v>
      </c>
      <c r="H1320" s="2" t="s">
        <v>34</v>
      </c>
      <c r="I1320" s="2" t="s">
        <v>51</v>
      </c>
      <c r="J1320" s="2" t="s">
        <v>52</v>
      </c>
      <c r="K1320" s="2" t="s">
        <v>53</v>
      </c>
      <c r="L1320" s="2" t="s">
        <v>34</v>
      </c>
      <c r="M1320" s="2"/>
      <c r="N1320" s="2"/>
      <c r="O1320" s="2"/>
      <c r="P1320" s="2" t="s">
        <v>4407</v>
      </c>
      <c r="Q1320" s="2"/>
      <c r="R1320" s="6">
        <v>34</v>
      </c>
      <c r="S1320" s="5">
        <v>6.6</v>
      </c>
      <c r="T1320" s="6">
        <v>11.18</v>
      </c>
      <c r="U1320" s="5">
        <v>3</v>
      </c>
      <c r="V1320" s="9">
        <v>0.34420000000000001</v>
      </c>
      <c r="W1320" s="5">
        <v>30.5</v>
      </c>
      <c r="X1320" s="7">
        <v>29.125</v>
      </c>
      <c r="Y1320" s="5">
        <v>30.5</v>
      </c>
      <c r="Z1320" s="5">
        <v>32.5</v>
      </c>
      <c r="AA1320" s="6">
        <v>2.12</v>
      </c>
      <c r="AB1320" s="7">
        <v>63.033999999999999</v>
      </c>
      <c r="AC1320" s="2"/>
    </row>
    <row r="1321" spans="1:29" ht="143" x14ac:dyDescent="0.15">
      <c r="A1321" s="3">
        <f>DATE(1993,11,11)</f>
        <v>34284</v>
      </c>
      <c r="B1321" s="3">
        <f>DATE(1994,7,11)</f>
        <v>34526</v>
      </c>
      <c r="C1321" s="2" t="s">
        <v>95</v>
      </c>
      <c r="D1321" s="2" t="s">
        <v>1005</v>
      </c>
      <c r="E1321" s="2" t="s">
        <v>32</v>
      </c>
      <c r="F1321" s="4">
        <v>6035</v>
      </c>
      <c r="G1321" s="2" t="s">
        <v>33</v>
      </c>
      <c r="H1321" s="2" t="s">
        <v>34</v>
      </c>
      <c r="I1321" s="2" t="s">
        <v>4408</v>
      </c>
      <c r="J1321" s="2" t="s">
        <v>36</v>
      </c>
      <c r="K1321" s="2" t="s">
        <v>37</v>
      </c>
      <c r="L1321" s="2" t="s">
        <v>34</v>
      </c>
      <c r="M1321" s="2"/>
      <c r="N1321" s="6">
        <v>24.75</v>
      </c>
      <c r="O1321" s="6">
        <v>25.25</v>
      </c>
      <c r="P1321" s="2" t="s">
        <v>4409</v>
      </c>
      <c r="Q1321" s="6">
        <v>100</v>
      </c>
      <c r="R1321" s="6">
        <v>22.32</v>
      </c>
      <c r="S1321" s="5">
        <v>1</v>
      </c>
      <c r="T1321" s="7">
        <v>5.1310000000000002</v>
      </c>
      <c r="U1321" s="5">
        <v>13.6</v>
      </c>
      <c r="V1321" s="6">
        <v>-0.34</v>
      </c>
      <c r="W1321" s="7">
        <v>15.875</v>
      </c>
      <c r="X1321" s="6">
        <v>18.25</v>
      </c>
      <c r="Y1321" s="4">
        <v>21</v>
      </c>
      <c r="Z1321" s="5">
        <v>21.5</v>
      </c>
      <c r="AA1321" s="6">
        <v>1.94</v>
      </c>
      <c r="AB1321" s="7">
        <v>124.607</v>
      </c>
      <c r="AC1321" s="2"/>
    </row>
    <row r="1322" spans="1:29" ht="130" x14ac:dyDescent="0.15">
      <c r="A1322" s="3">
        <f>DATE(1993,11,11)</f>
        <v>34284</v>
      </c>
      <c r="B1322" s="3">
        <f>DATE(1994,4,28)</f>
        <v>34452</v>
      </c>
      <c r="C1322" s="2" t="s">
        <v>95</v>
      </c>
      <c r="D1322" s="2" t="s">
        <v>4410</v>
      </c>
      <c r="E1322" s="2" t="s">
        <v>389</v>
      </c>
      <c r="F1322" s="4">
        <v>6035</v>
      </c>
      <c r="G1322" s="2" t="s">
        <v>33</v>
      </c>
      <c r="H1322" s="2" t="s">
        <v>34</v>
      </c>
      <c r="I1322" s="2" t="s">
        <v>4411</v>
      </c>
      <c r="J1322" s="2" t="s">
        <v>32</v>
      </c>
      <c r="K1322" s="2" t="s">
        <v>33</v>
      </c>
      <c r="L1322" s="2" t="s">
        <v>34</v>
      </c>
      <c r="M1322" s="7">
        <v>48.338999999999999</v>
      </c>
      <c r="N1322" s="4">
        <v>15</v>
      </c>
      <c r="O1322" s="5">
        <v>15.5</v>
      </c>
      <c r="P1322" s="2" t="s">
        <v>4412</v>
      </c>
      <c r="Q1322" s="6">
        <v>100</v>
      </c>
      <c r="R1322" s="6">
        <v>43</v>
      </c>
      <c r="S1322" s="2"/>
      <c r="T1322" s="2"/>
      <c r="U1322" s="2"/>
      <c r="V1322" s="2"/>
      <c r="W1322" s="4">
        <v>42</v>
      </c>
      <c r="X1322" s="4">
        <v>42</v>
      </c>
      <c r="Y1322" s="4">
        <v>45</v>
      </c>
      <c r="Z1322" s="4">
        <v>45</v>
      </c>
      <c r="AA1322" s="6">
        <v>0.44</v>
      </c>
      <c r="AB1322" s="2" t="s">
        <v>47</v>
      </c>
      <c r="AC1322" s="2"/>
    </row>
    <row r="1323" spans="1:29" ht="143" x14ac:dyDescent="0.15">
      <c r="A1323" s="3">
        <f>DATE(1993,11,18)</f>
        <v>34291</v>
      </c>
      <c r="B1323" s="3">
        <f>DATE(1994,4,19)</f>
        <v>34443</v>
      </c>
      <c r="C1323" s="2" t="s">
        <v>95</v>
      </c>
      <c r="D1323" s="2" t="s">
        <v>4413</v>
      </c>
      <c r="E1323" s="2" t="s">
        <v>545</v>
      </c>
      <c r="F1323" s="4">
        <v>8011</v>
      </c>
      <c r="G1323" s="2" t="s">
        <v>454</v>
      </c>
      <c r="H1323" s="2" t="s">
        <v>34</v>
      </c>
      <c r="I1323" s="2" t="s">
        <v>4414</v>
      </c>
      <c r="J1323" s="2" t="s">
        <v>4415</v>
      </c>
      <c r="K1323" s="2" t="s">
        <v>454</v>
      </c>
      <c r="L1323" s="2" t="s">
        <v>34</v>
      </c>
      <c r="M1323" s="7">
        <v>284.70800000000003</v>
      </c>
      <c r="N1323" s="7">
        <v>14.125</v>
      </c>
      <c r="O1323" s="5">
        <v>12.5</v>
      </c>
      <c r="P1323" s="2" t="s">
        <v>4416</v>
      </c>
      <c r="Q1323" s="6">
        <v>100</v>
      </c>
      <c r="R1323" s="6">
        <v>8.6999999999999993</v>
      </c>
      <c r="S1323" s="5">
        <v>15.5</v>
      </c>
      <c r="T1323" s="7">
        <v>42.948999999999998</v>
      </c>
      <c r="U1323" s="5">
        <v>4.7</v>
      </c>
      <c r="V1323" s="6">
        <v>2.4900000000000002</v>
      </c>
      <c r="W1323" s="6">
        <v>6.25</v>
      </c>
      <c r="X1323" s="7">
        <v>6.625</v>
      </c>
      <c r="Y1323" s="4">
        <v>7</v>
      </c>
      <c r="Z1323" s="7">
        <v>7.125</v>
      </c>
      <c r="AA1323" s="6">
        <v>27.49</v>
      </c>
      <c r="AB1323" s="7">
        <v>15.648</v>
      </c>
      <c r="AC1323" s="5">
        <v>10</v>
      </c>
    </row>
    <row r="1324" spans="1:29" ht="104" x14ac:dyDescent="0.15">
      <c r="A1324" s="3">
        <f>DATE(1993,11,19)</f>
        <v>34292</v>
      </c>
      <c r="B1324" s="3">
        <f>DATE(1994,4,25)</f>
        <v>34449</v>
      </c>
      <c r="C1324" s="2" t="s">
        <v>95</v>
      </c>
      <c r="D1324" s="2" t="s">
        <v>4417</v>
      </c>
      <c r="E1324" s="2" t="s">
        <v>4418</v>
      </c>
      <c r="F1324" s="4">
        <v>3841</v>
      </c>
      <c r="G1324" s="2" t="s">
        <v>226</v>
      </c>
      <c r="H1324" s="2" t="s">
        <v>34</v>
      </c>
      <c r="I1324" s="2" t="s">
        <v>769</v>
      </c>
      <c r="J1324" s="2" t="s">
        <v>770</v>
      </c>
      <c r="K1324" s="2" t="s">
        <v>226</v>
      </c>
      <c r="L1324" s="2" t="s">
        <v>34</v>
      </c>
      <c r="M1324" s="2"/>
      <c r="N1324" s="6">
        <v>76.25</v>
      </c>
      <c r="O1324" s="7">
        <v>75.125</v>
      </c>
      <c r="P1324" s="2" t="s">
        <v>4419</v>
      </c>
      <c r="Q1324" s="6">
        <v>100</v>
      </c>
      <c r="R1324" s="6">
        <v>6.75</v>
      </c>
      <c r="S1324" s="5">
        <v>1.3</v>
      </c>
      <c r="T1324" s="7">
        <v>2.831</v>
      </c>
      <c r="U1324" s="5">
        <v>2.4</v>
      </c>
      <c r="V1324" s="6">
        <v>0.21</v>
      </c>
      <c r="W1324" s="7">
        <v>5.625</v>
      </c>
      <c r="X1324" s="7">
        <v>5.625</v>
      </c>
      <c r="Y1324" s="7">
        <v>5.875</v>
      </c>
      <c r="Z1324" s="7">
        <v>6.0629999999999997</v>
      </c>
      <c r="AA1324" s="6">
        <v>14.09</v>
      </c>
      <c r="AB1324" s="7">
        <v>48.691000000000003</v>
      </c>
      <c r="AC1324" s="6">
        <v>155.97999999999999</v>
      </c>
    </row>
    <row r="1325" spans="1:29" ht="143" x14ac:dyDescent="0.15">
      <c r="A1325" s="3">
        <f>DATE(1993,11,19)</f>
        <v>34292</v>
      </c>
      <c r="B1325" s="3">
        <f>DATE(1994,6,27)</f>
        <v>34512</v>
      </c>
      <c r="C1325" s="2" t="s">
        <v>95</v>
      </c>
      <c r="D1325" s="2" t="s">
        <v>4420</v>
      </c>
      <c r="E1325" s="2" t="s">
        <v>36</v>
      </c>
      <c r="F1325" s="4">
        <v>6022</v>
      </c>
      <c r="G1325" s="2" t="s">
        <v>37</v>
      </c>
      <c r="H1325" s="2" t="s">
        <v>34</v>
      </c>
      <c r="I1325" s="2" t="s">
        <v>1698</v>
      </c>
      <c r="J1325" s="2" t="s">
        <v>36</v>
      </c>
      <c r="K1325" s="2" t="s">
        <v>37</v>
      </c>
      <c r="L1325" s="2" t="s">
        <v>34</v>
      </c>
      <c r="M1325" s="12">
        <v>4122.8879999999999</v>
      </c>
      <c r="N1325" s="7">
        <v>26.625</v>
      </c>
      <c r="O1325" s="6">
        <v>25.75</v>
      </c>
      <c r="P1325" s="2" t="s">
        <v>4421</v>
      </c>
      <c r="Q1325" s="6">
        <v>100</v>
      </c>
      <c r="R1325" s="6">
        <v>40.5</v>
      </c>
      <c r="S1325" s="5">
        <v>7.1</v>
      </c>
      <c r="T1325" s="7">
        <v>13.888</v>
      </c>
      <c r="U1325" s="2"/>
      <c r="V1325" s="6">
        <v>1.02</v>
      </c>
      <c r="W1325" s="4">
        <v>27</v>
      </c>
      <c r="X1325" s="5">
        <v>33.5</v>
      </c>
      <c r="Y1325" s="4">
        <v>35</v>
      </c>
      <c r="Z1325" s="6">
        <v>34.75</v>
      </c>
      <c r="AA1325" s="6">
        <v>11.58</v>
      </c>
      <c r="AB1325" s="7">
        <v>227.39099999999999</v>
      </c>
      <c r="AC1325" s="2"/>
    </row>
    <row r="1326" spans="1:29" ht="65" x14ac:dyDescent="0.15">
      <c r="A1326" s="3">
        <f>DATE(1993,11,22)</f>
        <v>34295</v>
      </c>
      <c r="B1326" s="2"/>
      <c r="C1326" s="2" t="s">
        <v>87</v>
      </c>
      <c r="D1326" s="2" t="s">
        <v>3821</v>
      </c>
      <c r="E1326" s="2" t="s">
        <v>265</v>
      </c>
      <c r="F1326" s="4">
        <v>6022</v>
      </c>
      <c r="G1326" s="2" t="s">
        <v>37</v>
      </c>
      <c r="H1326" s="2" t="s">
        <v>34</v>
      </c>
      <c r="I1326" s="2" t="s">
        <v>4422</v>
      </c>
      <c r="J1326" s="2" t="s">
        <v>36</v>
      </c>
      <c r="K1326" s="2" t="s">
        <v>37</v>
      </c>
      <c r="L1326" s="2" t="s">
        <v>34</v>
      </c>
      <c r="M1326" s="7">
        <v>425.06200000000001</v>
      </c>
      <c r="N1326" s="7">
        <v>25.625</v>
      </c>
      <c r="O1326" s="6">
        <v>25.75</v>
      </c>
      <c r="P1326" s="2" t="s">
        <v>4423</v>
      </c>
      <c r="Q1326" s="2"/>
      <c r="R1326" s="2"/>
      <c r="S1326" s="5">
        <v>7.8</v>
      </c>
      <c r="T1326" s="7">
        <v>13.429</v>
      </c>
      <c r="U1326" s="5">
        <v>20</v>
      </c>
      <c r="V1326" s="9">
        <v>2.7498</v>
      </c>
      <c r="W1326" s="4">
        <v>32</v>
      </c>
      <c r="X1326" s="4">
        <v>32</v>
      </c>
      <c r="Y1326" s="4">
        <v>32</v>
      </c>
      <c r="Z1326" s="7">
        <v>32.375</v>
      </c>
      <c r="AA1326" s="6">
        <v>0.08</v>
      </c>
      <c r="AB1326" s="2" t="s">
        <v>47</v>
      </c>
      <c r="AC1326" s="2"/>
    </row>
    <row r="1327" spans="1:29" ht="52" x14ac:dyDescent="0.15">
      <c r="A1327" s="3">
        <f>DATE(1993,11,22)</f>
        <v>34295</v>
      </c>
      <c r="B1327" s="3">
        <f>DATE(1993,11,22)</f>
        <v>34295</v>
      </c>
      <c r="C1327" s="2" t="s">
        <v>95</v>
      </c>
      <c r="D1327" s="2" t="s">
        <v>4424</v>
      </c>
      <c r="E1327" s="2" t="s">
        <v>4425</v>
      </c>
      <c r="F1327" s="4">
        <v>7011</v>
      </c>
      <c r="G1327" s="2" t="s">
        <v>269</v>
      </c>
      <c r="H1327" s="2" t="s">
        <v>34</v>
      </c>
      <c r="I1327" s="2" t="s">
        <v>149</v>
      </c>
      <c r="J1327" s="2" t="s">
        <v>150</v>
      </c>
      <c r="K1327" s="2" t="s">
        <v>53</v>
      </c>
      <c r="L1327" s="2" t="s">
        <v>151</v>
      </c>
      <c r="M1327" s="2"/>
      <c r="N1327" s="2"/>
      <c r="O1327" s="2"/>
      <c r="P1327" s="2" t="s">
        <v>4426</v>
      </c>
      <c r="Q1327" s="2"/>
      <c r="R1327" s="2"/>
      <c r="S1327" s="2"/>
      <c r="T1327" s="2"/>
      <c r="U1327" s="2"/>
      <c r="V1327" s="2"/>
      <c r="W1327" s="7">
        <v>1.9379999999999999</v>
      </c>
      <c r="X1327" s="7">
        <v>2.0630000000000002</v>
      </c>
      <c r="Y1327" s="4">
        <v>2</v>
      </c>
      <c r="Z1327" s="4">
        <v>2</v>
      </c>
      <c r="AA1327" s="2"/>
      <c r="AB1327" s="2" t="s">
        <v>47</v>
      </c>
      <c r="AC1327" s="2"/>
    </row>
    <row r="1328" spans="1:29" ht="169" x14ac:dyDescent="0.15">
      <c r="A1328" s="3">
        <f>DATE(1993,11,22)</f>
        <v>34295</v>
      </c>
      <c r="B1328" s="3">
        <f>DATE(1994,7,8)</f>
        <v>34523</v>
      </c>
      <c r="C1328" s="2" t="s">
        <v>95</v>
      </c>
      <c r="D1328" s="2" t="s">
        <v>4427</v>
      </c>
      <c r="E1328" s="2" t="s">
        <v>1181</v>
      </c>
      <c r="F1328" s="4">
        <v>6021</v>
      </c>
      <c r="G1328" s="2" t="s">
        <v>37</v>
      </c>
      <c r="H1328" s="2" t="s">
        <v>34</v>
      </c>
      <c r="I1328" s="2" t="s">
        <v>4428</v>
      </c>
      <c r="J1328" s="2" t="s">
        <v>36</v>
      </c>
      <c r="K1328" s="2" t="s">
        <v>37</v>
      </c>
      <c r="L1328" s="2" t="s">
        <v>34</v>
      </c>
      <c r="M1328" s="2"/>
      <c r="N1328" s="7">
        <v>42.375</v>
      </c>
      <c r="O1328" s="7">
        <v>42.875</v>
      </c>
      <c r="P1328" s="2" t="s">
        <v>4429</v>
      </c>
      <c r="Q1328" s="6">
        <v>100</v>
      </c>
      <c r="R1328" s="6">
        <v>31.1</v>
      </c>
      <c r="S1328" s="5">
        <v>12.2</v>
      </c>
      <c r="T1328" s="7">
        <v>19.312000000000001</v>
      </c>
      <c r="U1328" s="5">
        <v>12.6</v>
      </c>
      <c r="V1328" s="6">
        <v>1.22</v>
      </c>
      <c r="W1328" s="6">
        <v>22.75</v>
      </c>
      <c r="X1328" s="6">
        <v>24.25</v>
      </c>
      <c r="Y1328" s="4">
        <v>25</v>
      </c>
      <c r="Z1328" s="5">
        <v>26.5</v>
      </c>
      <c r="AA1328" s="6">
        <v>9.8800000000000008</v>
      </c>
      <c r="AB1328" s="7">
        <v>20.417000000000002</v>
      </c>
      <c r="AC1328" s="2"/>
    </row>
    <row r="1329" spans="1:29" ht="104" x14ac:dyDescent="0.15">
      <c r="A1329" s="3">
        <f>DATE(1993,11,22)</f>
        <v>34295</v>
      </c>
      <c r="B1329" s="3">
        <f>DATE(1994,3,22)</f>
        <v>34415</v>
      </c>
      <c r="C1329" s="2" t="s">
        <v>95</v>
      </c>
      <c r="D1329" s="2" t="s">
        <v>880</v>
      </c>
      <c r="E1329" s="2" t="s">
        <v>881</v>
      </c>
      <c r="F1329" s="4">
        <v>3531</v>
      </c>
      <c r="G1329" s="2" t="s">
        <v>300</v>
      </c>
      <c r="H1329" s="2" t="s">
        <v>34</v>
      </c>
      <c r="I1329" s="2" t="s">
        <v>4430</v>
      </c>
      <c r="J1329" s="2" t="s">
        <v>881</v>
      </c>
      <c r="K1329" s="2" t="s">
        <v>300</v>
      </c>
      <c r="L1329" s="2" t="s">
        <v>34</v>
      </c>
      <c r="M1329" s="2"/>
      <c r="N1329" s="2"/>
      <c r="O1329" s="2"/>
      <c r="P1329" s="2" t="s">
        <v>4431</v>
      </c>
      <c r="Q1329" s="6">
        <v>12</v>
      </c>
      <c r="R1329" s="6">
        <v>3.5</v>
      </c>
      <c r="S1329" s="5">
        <v>3.8</v>
      </c>
      <c r="T1329" s="7">
        <v>6.9550000000000001</v>
      </c>
      <c r="U1329" s="5">
        <v>2.2000000000000002</v>
      </c>
      <c r="V1329" s="6">
        <v>0.91</v>
      </c>
      <c r="W1329" s="6">
        <v>3.75</v>
      </c>
      <c r="X1329" s="7">
        <v>3.375</v>
      </c>
      <c r="Y1329" s="6">
        <v>3.25</v>
      </c>
      <c r="Z1329" s="6">
        <v>3.25</v>
      </c>
      <c r="AA1329" s="6">
        <v>12.4</v>
      </c>
      <c r="AB1329" s="7">
        <v>15.602</v>
      </c>
      <c r="AC1329" s="2"/>
    </row>
    <row r="1330" spans="1:29" ht="130" x14ac:dyDescent="0.15">
      <c r="A1330" s="3">
        <f>DATE(1993,11,24)</f>
        <v>34297</v>
      </c>
      <c r="B1330" s="3">
        <f>DATE(1994,8,1)</f>
        <v>34547</v>
      </c>
      <c r="C1330" s="2" t="s">
        <v>95</v>
      </c>
      <c r="D1330" s="2" t="s">
        <v>4432</v>
      </c>
      <c r="E1330" s="2" t="s">
        <v>32</v>
      </c>
      <c r="F1330" s="4">
        <v>6035</v>
      </c>
      <c r="G1330" s="2" t="s">
        <v>33</v>
      </c>
      <c r="H1330" s="2" t="s">
        <v>34</v>
      </c>
      <c r="I1330" s="2" t="s">
        <v>4433</v>
      </c>
      <c r="J1330" s="2" t="s">
        <v>4434</v>
      </c>
      <c r="K1330" s="2" t="s">
        <v>37</v>
      </c>
      <c r="L1330" s="2" t="s">
        <v>34</v>
      </c>
      <c r="M1330" s="2"/>
      <c r="N1330" s="7">
        <v>10.375</v>
      </c>
      <c r="O1330" s="7">
        <v>10.375</v>
      </c>
      <c r="P1330" s="2" t="s">
        <v>4435</v>
      </c>
      <c r="Q1330" s="6">
        <v>100</v>
      </c>
      <c r="R1330" s="6">
        <v>8.35</v>
      </c>
      <c r="S1330" s="2"/>
      <c r="T1330" s="2"/>
      <c r="U1330" s="2"/>
      <c r="V1330" s="2"/>
      <c r="W1330" s="6">
        <v>6.75</v>
      </c>
      <c r="X1330" s="7">
        <v>6.875</v>
      </c>
      <c r="Y1330" s="4">
        <v>7</v>
      </c>
      <c r="Z1330" s="4">
        <v>7</v>
      </c>
      <c r="AA1330" s="6">
        <v>1.38</v>
      </c>
      <c r="AB1330" s="2" t="s">
        <v>47</v>
      </c>
      <c r="AC1330" s="2"/>
    </row>
    <row r="1331" spans="1:29" ht="143" x14ac:dyDescent="0.15">
      <c r="A1331" s="3">
        <f>DATE(1993,11,26)</f>
        <v>34299</v>
      </c>
      <c r="B1331" s="2"/>
      <c r="C1331" s="2" t="s">
        <v>30</v>
      </c>
      <c r="D1331" s="2" t="s">
        <v>4436</v>
      </c>
      <c r="E1331" s="2" t="s">
        <v>4437</v>
      </c>
      <c r="F1331" s="4">
        <v>3661</v>
      </c>
      <c r="G1331" s="2" t="s">
        <v>921</v>
      </c>
      <c r="H1331" s="2" t="s">
        <v>34</v>
      </c>
      <c r="I1331" s="2" t="s">
        <v>4438</v>
      </c>
      <c r="J1331" s="2" t="s">
        <v>678</v>
      </c>
      <c r="K1331" s="2" t="s">
        <v>53</v>
      </c>
      <c r="L1331" s="2" t="s">
        <v>34</v>
      </c>
      <c r="M1331" s="2"/>
      <c r="N1331" s="2"/>
      <c r="O1331" s="2"/>
      <c r="P1331" s="2" t="s">
        <v>4439</v>
      </c>
      <c r="Q1331" s="2"/>
      <c r="R1331" s="6">
        <v>51.5</v>
      </c>
      <c r="S1331" s="5">
        <v>1.3</v>
      </c>
      <c r="T1331" s="7">
        <v>-0.72499999999999998</v>
      </c>
      <c r="U1331" s="5">
        <v>61.8</v>
      </c>
      <c r="V1331" s="6">
        <v>2.69</v>
      </c>
      <c r="W1331" s="7">
        <v>38.625</v>
      </c>
      <c r="X1331" s="6">
        <v>40.75</v>
      </c>
      <c r="Y1331" s="6">
        <v>40.75</v>
      </c>
      <c r="Z1331" s="6">
        <v>47.25</v>
      </c>
      <c r="AA1331" s="6">
        <v>0.48</v>
      </c>
      <c r="AB1331" s="2" t="s">
        <v>86</v>
      </c>
      <c r="AC1331" s="2"/>
    </row>
    <row r="1332" spans="1:29" ht="91" x14ac:dyDescent="0.15">
      <c r="A1332" s="3">
        <f>DATE(1993,11,29)</f>
        <v>34302</v>
      </c>
      <c r="B1332" s="2"/>
      <c r="C1332" s="2" t="s">
        <v>30</v>
      </c>
      <c r="D1332" s="2" t="s">
        <v>3438</v>
      </c>
      <c r="E1332" s="2" t="s">
        <v>3439</v>
      </c>
      <c r="F1332" s="4">
        <v>5411</v>
      </c>
      <c r="G1332" s="2" t="s">
        <v>1461</v>
      </c>
      <c r="H1332" s="2" t="s">
        <v>34</v>
      </c>
      <c r="I1332" s="2" t="s">
        <v>4440</v>
      </c>
      <c r="J1332" s="2" t="s">
        <v>4441</v>
      </c>
      <c r="K1332" s="2" t="s">
        <v>230</v>
      </c>
      <c r="L1332" s="2" t="s">
        <v>34</v>
      </c>
      <c r="M1332" s="2"/>
      <c r="N1332" s="2"/>
      <c r="O1332" s="2"/>
      <c r="P1332" s="2" t="s">
        <v>4442</v>
      </c>
      <c r="Q1332" s="2"/>
      <c r="R1332" s="2"/>
      <c r="S1332" s="5">
        <v>-7.6</v>
      </c>
      <c r="T1332" s="7">
        <v>0.81200000000000006</v>
      </c>
      <c r="U1332" s="5">
        <v>7.5</v>
      </c>
      <c r="V1332" s="6">
        <v>-4.4800000000000004</v>
      </c>
      <c r="W1332" s="7">
        <v>6.375</v>
      </c>
      <c r="X1332" s="7">
        <v>6.625</v>
      </c>
      <c r="Y1332" s="5">
        <v>6.5</v>
      </c>
      <c r="Z1332" s="4">
        <v>7</v>
      </c>
      <c r="AA1332" s="6">
        <v>1.7</v>
      </c>
      <c r="AB1332" s="2" t="s">
        <v>86</v>
      </c>
      <c r="AC1332" s="2"/>
    </row>
    <row r="1333" spans="1:29" ht="91" x14ac:dyDescent="0.15">
      <c r="A1333" s="3">
        <f>DATE(1993,11,29)</f>
        <v>34302</v>
      </c>
      <c r="B1333" s="2"/>
      <c r="C1333" s="2" t="s">
        <v>30</v>
      </c>
      <c r="D1333" s="2" t="s">
        <v>3438</v>
      </c>
      <c r="E1333" s="2" t="s">
        <v>3439</v>
      </c>
      <c r="F1333" s="4">
        <v>5411</v>
      </c>
      <c r="G1333" s="2" t="s">
        <v>1461</v>
      </c>
      <c r="H1333" s="2" t="s">
        <v>34</v>
      </c>
      <c r="I1333" s="2" t="s">
        <v>4440</v>
      </c>
      <c r="J1333" s="2" t="s">
        <v>4441</v>
      </c>
      <c r="K1333" s="2" t="s">
        <v>230</v>
      </c>
      <c r="L1333" s="2" t="s">
        <v>34</v>
      </c>
      <c r="M1333" s="2"/>
      <c r="N1333" s="2"/>
      <c r="O1333" s="2"/>
      <c r="P1333" s="2" t="s">
        <v>4443</v>
      </c>
      <c r="Q1333" s="2"/>
      <c r="R1333" s="2"/>
      <c r="S1333" s="5">
        <v>-7.6</v>
      </c>
      <c r="T1333" s="7">
        <v>0.81200000000000006</v>
      </c>
      <c r="U1333" s="5">
        <v>7.5</v>
      </c>
      <c r="V1333" s="6">
        <v>-4.4800000000000004</v>
      </c>
      <c r="W1333" s="7">
        <v>6.375</v>
      </c>
      <c r="X1333" s="7">
        <v>6.625</v>
      </c>
      <c r="Y1333" s="5">
        <v>6.5</v>
      </c>
      <c r="Z1333" s="4">
        <v>7</v>
      </c>
      <c r="AA1333" s="6">
        <v>1.7</v>
      </c>
      <c r="AB1333" s="2" t="s">
        <v>86</v>
      </c>
      <c r="AC1333" s="2"/>
    </row>
    <row r="1334" spans="1:29" ht="143" x14ac:dyDescent="0.15">
      <c r="A1334" s="3">
        <f>DATE(1993,11,29)</f>
        <v>34302</v>
      </c>
      <c r="B1334" s="2"/>
      <c r="C1334" s="2" t="s">
        <v>141</v>
      </c>
      <c r="D1334" s="2" t="s">
        <v>4444</v>
      </c>
      <c r="E1334" s="2" t="s">
        <v>3686</v>
      </c>
      <c r="F1334" s="4">
        <v>2731</v>
      </c>
      <c r="G1334" s="2" t="s">
        <v>186</v>
      </c>
      <c r="H1334" s="2" t="s">
        <v>34</v>
      </c>
      <c r="I1334" s="2" t="s">
        <v>143</v>
      </c>
      <c r="J1334" s="2" t="s">
        <v>144</v>
      </c>
      <c r="K1334" s="2" t="s">
        <v>53</v>
      </c>
      <c r="L1334" s="2" t="s">
        <v>139</v>
      </c>
      <c r="M1334" s="2"/>
      <c r="N1334" s="2"/>
      <c r="O1334" s="2"/>
      <c r="P1334" s="2" t="s">
        <v>4445</v>
      </c>
      <c r="Q1334" s="2"/>
      <c r="R1334" s="2"/>
      <c r="S1334" s="5">
        <v>17.5</v>
      </c>
      <c r="T1334" s="2"/>
      <c r="U1334" s="2"/>
      <c r="V1334" s="2"/>
      <c r="W1334" s="7">
        <v>13.125</v>
      </c>
      <c r="X1334" s="5">
        <v>12.5</v>
      </c>
      <c r="Y1334" s="5">
        <v>12.5</v>
      </c>
      <c r="Z1334" s="4">
        <v>18</v>
      </c>
      <c r="AA1334" s="2"/>
      <c r="AB1334" s="2" t="s">
        <v>47</v>
      </c>
      <c r="AC1334" s="2"/>
    </row>
    <row r="1335" spans="1:29" ht="156" x14ac:dyDescent="0.15">
      <c r="A1335" s="3">
        <f>DATE(1993,11,30)</f>
        <v>34303</v>
      </c>
      <c r="B1335" s="2"/>
      <c r="C1335" s="2" t="s">
        <v>30</v>
      </c>
      <c r="D1335" s="2" t="s">
        <v>2981</v>
      </c>
      <c r="E1335" s="2" t="s">
        <v>2982</v>
      </c>
      <c r="F1335" s="4">
        <v>3643</v>
      </c>
      <c r="G1335" s="2" t="s">
        <v>137</v>
      </c>
      <c r="H1335" s="2" t="s">
        <v>34</v>
      </c>
      <c r="I1335" s="2" t="s">
        <v>51</v>
      </c>
      <c r="J1335" s="2" t="s">
        <v>52</v>
      </c>
      <c r="K1335" s="2" t="s">
        <v>53</v>
      </c>
      <c r="L1335" s="2" t="s">
        <v>34</v>
      </c>
      <c r="M1335" s="2"/>
      <c r="N1335" s="2"/>
      <c r="O1335" s="2"/>
      <c r="P1335" s="2" t="s">
        <v>4446</v>
      </c>
      <c r="Q1335" s="2"/>
      <c r="R1335" s="6">
        <v>28</v>
      </c>
      <c r="S1335" s="5">
        <v>1.1000000000000001</v>
      </c>
      <c r="T1335" s="7">
        <v>-1.5089999999999999</v>
      </c>
      <c r="U1335" s="5">
        <v>27.4</v>
      </c>
      <c r="V1335" s="6">
        <v>0.12</v>
      </c>
      <c r="W1335" s="4">
        <v>17</v>
      </c>
      <c r="X1335" s="6">
        <v>16.75</v>
      </c>
      <c r="Y1335" s="6">
        <v>20.75</v>
      </c>
      <c r="Z1335" s="7">
        <v>20.125</v>
      </c>
      <c r="AA1335" s="6">
        <v>9</v>
      </c>
      <c r="AB1335" s="2" t="s">
        <v>86</v>
      </c>
      <c r="AC1335" s="2"/>
    </row>
    <row r="1336" spans="1:29" ht="156" x14ac:dyDescent="0.15">
      <c r="A1336" s="3">
        <f>DATE(1993,11,30)</f>
        <v>34303</v>
      </c>
      <c r="B1336" s="3">
        <f>DATE(1994,8,8)</f>
        <v>34554</v>
      </c>
      <c r="C1336" s="2" t="s">
        <v>95</v>
      </c>
      <c r="D1336" s="2" t="s">
        <v>4447</v>
      </c>
      <c r="E1336" s="2" t="s">
        <v>4448</v>
      </c>
      <c r="F1336" s="4">
        <v>3743</v>
      </c>
      <c r="G1336" s="2" t="s">
        <v>105</v>
      </c>
      <c r="H1336" s="2" t="s">
        <v>34</v>
      </c>
      <c r="I1336" s="2" t="s">
        <v>4449</v>
      </c>
      <c r="J1336" s="2" t="s">
        <v>4450</v>
      </c>
      <c r="K1336" s="2" t="s">
        <v>105</v>
      </c>
      <c r="L1336" s="2" t="s">
        <v>4389</v>
      </c>
      <c r="M1336" s="2"/>
      <c r="N1336" s="2"/>
      <c r="O1336" s="2"/>
      <c r="P1336" s="2" t="s">
        <v>4451</v>
      </c>
      <c r="Q1336" s="6">
        <v>100</v>
      </c>
      <c r="R1336" s="6">
        <v>16.72</v>
      </c>
      <c r="S1336" s="2"/>
      <c r="T1336" s="2"/>
      <c r="U1336" s="2"/>
      <c r="V1336" s="2"/>
      <c r="W1336" s="4">
        <v>12</v>
      </c>
      <c r="X1336" s="5">
        <v>12.5</v>
      </c>
      <c r="Y1336" s="5">
        <v>12.5</v>
      </c>
      <c r="Z1336" s="7">
        <v>13.375</v>
      </c>
      <c r="AA1336" s="6">
        <v>20.13</v>
      </c>
      <c r="AB1336" s="2" t="s">
        <v>47</v>
      </c>
      <c r="AC1336" s="6">
        <v>124.39</v>
      </c>
    </row>
    <row r="1337" spans="1:29" ht="78" x14ac:dyDescent="0.15">
      <c r="A1337" s="3">
        <f>DATE(1993,12,1)</f>
        <v>34304</v>
      </c>
      <c r="B1337" s="3">
        <f>DATE(1994,1,31)</f>
        <v>34365</v>
      </c>
      <c r="C1337" s="2" t="s">
        <v>95</v>
      </c>
      <c r="D1337" s="2" t="s">
        <v>4452</v>
      </c>
      <c r="E1337" s="2" t="s">
        <v>4453</v>
      </c>
      <c r="F1337" s="4">
        <v>3562</v>
      </c>
      <c r="G1337" s="2" t="s">
        <v>300</v>
      </c>
      <c r="H1337" s="2" t="s">
        <v>34</v>
      </c>
      <c r="I1337" s="2" t="s">
        <v>4454</v>
      </c>
      <c r="J1337" s="2" t="s">
        <v>4455</v>
      </c>
      <c r="K1337" s="2" t="s">
        <v>341</v>
      </c>
      <c r="L1337" s="2" t="s">
        <v>34</v>
      </c>
      <c r="M1337" s="2"/>
      <c r="N1337" s="2"/>
      <c r="O1337" s="2"/>
      <c r="P1337" s="2" t="s">
        <v>4456</v>
      </c>
      <c r="Q1337" s="6">
        <v>100</v>
      </c>
      <c r="R1337" s="6">
        <v>22.5</v>
      </c>
      <c r="S1337" s="5">
        <v>16.899999999999999</v>
      </c>
      <c r="T1337" s="2"/>
      <c r="U1337" s="5">
        <v>5.6</v>
      </c>
      <c r="V1337" s="6">
        <v>0.94</v>
      </c>
      <c r="W1337" s="4">
        <v>18</v>
      </c>
      <c r="X1337" s="6">
        <v>18.25</v>
      </c>
      <c r="Y1337" s="6">
        <v>18.25</v>
      </c>
      <c r="Z1337" s="6">
        <v>21.75</v>
      </c>
      <c r="AA1337" s="6">
        <v>18.43</v>
      </c>
      <c r="AB1337" s="7">
        <v>11.84</v>
      </c>
      <c r="AC1337" s="2"/>
    </row>
    <row r="1338" spans="1:29" ht="130" x14ac:dyDescent="0.15">
      <c r="A1338" s="3">
        <f>DATE(1993,12,2)</f>
        <v>34305</v>
      </c>
      <c r="B1338" s="3">
        <f>DATE(1994,2,1)</f>
        <v>34366</v>
      </c>
      <c r="C1338" s="2" t="s">
        <v>95</v>
      </c>
      <c r="D1338" s="2" t="s">
        <v>4452</v>
      </c>
      <c r="E1338" s="2" t="s">
        <v>4453</v>
      </c>
      <c r="F1338" s="4">
        <v>3562</v>
      </c>
      <c r="G1338" s="2" t="s">
        <v>300</v>
      </c>
      <c r="H1338" s="2" t="s">
        <v>34</v>
      </c>
      <c r="I1338" s="2" t="s">
        <v>4457</v>
      </c>
      <c r="J1338" s="2" t="s">
        <v>4458</v>
      </c>
      <c r="K1338" s="2" t="s">
        <v>300</v>
      </c>
      <c r="L1338" s="2" t="s">
        <v>34</v>
      </c>
      <c r="M1338" s="2"/>
      <c r="N1338" s="2"/>
      <c r="O1338" s="2"/>
      <c r="P1338" s="2" t="s">
        <v>4459</v>
      </c>
      <c r="Q1338" s="6">
        <v>100</v>
      </c>
      <c r="R1338" s="6">
        <v>22.5</v>
      </c>
      <c r="S1338" s="5">
        <v>17.100000000000001</v>
      </c>
      <c r="T1338" s="7">
        <v>95.427999999999997</v>
      </c>
      <c r="U1338" s="5">
        <v>5.6</v>
      </c>
      <c r="V1338" s="6">
        <v>0.94</v>
      </c>
      <c r="W1338" s="4">
        <v>18</v>
      </c>
      <c r="X1338" s="6">
        <v>18.25</v>
      </c>
      <c r="Y1338" s="6">
        <v>21.75</v>
      </c>
      <c r="Z1338" s="7">
        <v>21.875</v>
      </c>
      <c r="AA1338" s="6">
        <v>18.43</v>
      </c>
      <c r="AB1338" s="7">
        <v>11.840999999999999</v>
      </c>
      <c r="AC1338" s="2"/>
    </row>
    <row r="1339" spans="1:29" ht="117" x14ac:dyDescent="0.15">
      <c r="A1339" s="3">
        <f>DATE(1993,12,2)</f>
        <v>34305</v>
      </c>
      <c r="B1339" s="3">
        <f>DATE(1994,4,19)</f>
        <v>34443</v>
      </c>
      <c r="C1339" s="2" t="s">
        <v>95</v>
      </c>
      <c r="D1339" s="2" t="s">
        <v>4460</v>
      </c>
      <c r="E1339" s="2" t="s">
        <v>3032</v>
      </c>
      <c r="F1339" s="4">
        <v>8062</v>
      </c>
      <c r="G1339" s="2" t="s">
        <v>454</v>
      </c>
      <c r="H1339" s="2" t="s">
        <v>34</v>
      </c>
      <c r="I1339" s="2" t="s">
        <v>4414</v>
      </c>
      <c r="J1339" s="2" t="s">
        <v>4415</v>
      </c>
      <c r="K1339" s="2" t="s">
        <v>454</v>
      </c>
      <c r="L1339" s="2" t="s">
        <v>34</v>
      </c>
      <c r="M1339" s="2"/>
      <c r="N1339" s="6">
        <v>13.75</v>
      </c>
      <c r="O1339" s="6">
        <v>14.75</v>
      </c>
      <c r="P1339" s="2" t="s">
        <v>4461</v>
      </c>
      <c r="Q1339" s="6">
        <v>100</v>
      </c>
      <c r="R1339" s="6">
        <v>8.25</v>
      </c>
      <c r="S1339" s="5">
        <v>18.600000000000001</v>
      </c>
      <c r="T1339" s="7">
        <v>60.149000000000001</v>
      </c>
      <c r="U1339" s="5">
        <v>3.6</v>
      </c>
      <c r="V1339" s="6">
        <v>0.56000000000000005</v>
      </c>
      <c r="W1339" s="6">
        <v>7.25</v>
      </c>
      <c r="X1339" s="4">
        <v>9</v>
      </c>
      <c r="Y1339" s="7">
        <v>7.875</v>
      </c>
      <c r="Z1339" s="4">
        <v>8</v>
      </c>
      <c r="AA1339" s="6">
        <v>32.46</v>
      </c>
      <c r="AB1339" s="7">
        <v>8.6880000000000006</v>
      </c>
      <c r="AC1339" s="5">
        <v>10</v>
      </c>
    </row>
    <row r="1340" spans="1:29" ht="143" x14ac:dyDescent="0.15">
      <c r="A1340" s="3">
        <f>DATE(1993,12,3)</f>
        <v>34306</v>
      </c>
      <c r="B1340" s="3">
        <f>DATE(1994,6,30)</f>
        <v>34515</v>
      </c>
      <c r="C1340" s="2" t="s">
        <v>95</v>
      </c>
      <c r="D1340" s="2" t="s">
        <v>4462</v>
      </c>
      <c r="E1340" s="2" t="s">
        <v>36</v>
      </c>
      <c r="F1340" s="4">
        <v>6036</v>
      </c>
      <c r="G1340" s="2" t="s">
        <v>33</v>
      </c>
      <c r="H1340" s="2" t="s">
        <v>34</v>
      </c>
      <c r="I1340" s="2" t="s">
        <v>4253</v>
      </c>
      <c r="J1340" s="2" t="s">
        <v>36</v>
      </c>
      <c r="K1340" s="2" t="s">
        <v>33</v>
      </c>
      <c r="L1340" s="2" t="s">
        <v>34</v>
      </c>
      <c r="M1340" s="7">
        <v>257.06700000000001</v>
      </c>
      <c r="N1340" s="6">
        <v>42.25</v>
      </c>
      <c r="O1340" s="6">
        <v>40.75</v>
      </c>
      <c r="P1340" s="2" t="s">
        <v>4463</v>
      </c>
      <c r="Q1340" s="6">
        <v>100</v>
      </c>
      <c r="R1340" s="6">
        <v>27.77</v>
      </c>
      <c r="S1340" s="5">
        <v>3.5</v>
      </c>
      <c r="T1340" s="7">
        <v>42.337000000000003</v>
      </c>
      <c r="U1340" s="5">
        <v>27</v>
      </c>
      <c r="V1340" s="6">
        <v>1.56</v>
      </c>
      <c r="W1340" s="7">
        <v>18.125</v>
      </c>
      <c r="X1340" s="6">
        <v>20.25</v>
      </c>
      <c r="Y1340" s="6">
        <v>20.25</v>
      </c>
      <c r="Z1340" s="7">
        <v>25.125</v>
      </c>
      <c r="AA1340" s="6">
        <v>8.77</v>
      </c>
      <c r="AB1340" s="7">
        <v>350.25099999999998</v>
      </c>
      <c r="AC1340" s="2"/>
    </row>
    <row r="1341" spans="1:29" ht="52" x14ac:dyDescent="0.15">
      <c r="A1341" s="3">
        <f>DATE(1993,12,3)</f>
        <v>34306</v>
      </c>
      <c r="B1341" s="2"/>
      <c r="C1341" s="2" t="s">
        <v>30</v>
      </c>
      <c r="D1341" s="2" t="s">
        <v>4464</v>
      </c>
      <c r="E1341" s="2" t="s">
        <v>4465</v>
      </c>
      <c r="F1341" s="4">
        <v>7359</v>
      </c>
      <c r="G1341" s="2" t="s">
        <v>223</v>
      </c>
      <c r="H1341" s="2" t="s">
        <v>34</v>
      </c>
      <c r="I1341" s="2" t="s">
        <v>138</v>
      </c>
      <c r="J1341" s="2" t="s">
        <v>139</v>
      </c>
      <c r="K1341" s="2" t="s">
        <v>53</v>
      </c>
      <c r="L1341" s="2" t="s">
        <v>139</v>
      </c>
      <c r="M1341" s="2"/>
      <c r="N1341" s="2"/>
      <c r="O1341" s="2"/>
      <c r="P1341" s="2" t="s">
        <v>4466</v>
      </c>
      <c r="Q1341" s="2"/>
      <c r="R1341" s="2"/>
      <c r="S1341" s="2"/>
      <c r="T1341" s="2"/>
      <c r="U1341" s="2"/>
      <c r="V1341" s="2"/>
      <c r="W1341" s="7">
        <v>4.125</v>
      </c>
      <c r="X1341" s="5">
        <v>4.5</v>
      </c>
      <c r="Y1341" s="4">
        <v>5</v>
      </c>
      <c r="Z1341" s="6">
        <v>5.75</v>
      </c>
      <c r="AA1341" s="2"/>
      <c r="AB1341" s="2" t="s">
        <v>47</v>
      </c>
      <c r="AC1341" s="2"/>
    </row>
    <row r="1342" spans="1:29" ht="143" x14ac:dyDescent="0.15">
      <c r="A1342" s="3">
        <f>DATE(1993,12,6)</f>
        <v>34309</v>
      </c>
      <c r="B1342" s="3">
        <f>DATE(1994,8,24)</f>
        <v>34570</v>
      </c>
      <c r="C1342" s="2" t="s">
        <v>95</v>
      </c>
      <c r="D1342" s="2" t="s">
        <v>4467</v>
      </c>
      <c r="E1342" s="2" t="s">
        <v>4468</v>
      </c>
      <c r="F1342" s="4">
        <v>6022</v>
      </c>
      <c r="G1342" s="2" t="s">
        <v>37</v>
      </c>
      <c r="H1342" s="2" t="s">
        <v>34</v>
      </c>
      <c r="I1342" s="2" t="s">
        <v>2930</v>
      </c>
      <c r="J1342" s="2" t="s">
        <v>263</v>
      </c>
      <c r="K1342" s="2" t="s">
        <v>37</v>
      </c>
      <c r="L1342" s="2" t="s">
        <v>34</v>
      </c>
      <c r="M1342" s="2"/>
      <c r="N1342" s="4">
        <v>53</v>
      </c>
      <c r="O1342" s="7">
        <v>52.625</v>
      </c>
      <c r="P1342" s="2" t="s">
        <v>4469</v>
      </c>
      <c r="Q1342" s="6">
        <v>100</v>
      </c>
      <c r="R1342" s="6">
        <v>50.5</v>
      </c>
      <c r="S1342" s="5">
        <v>97.8</v>
      </c>
      <c r="T1342" s="7">
        <v>163.42699999999999</v>
      </c>
      <c r="U1342" s="5">
        <v>22.1</v>
      </c>
      <c r="V1342" s="6">
        <v>2.64</v>
      </c>
      <c r="W1342" s="6">
        <v>38.75</v>
      </c>
      <c r="X1342" s="7">
        <v>40.875</v>
      </c>
      <c r="Y1342" s="7">
        <v>42.625</v>
      </c>
      <c r="Z1342" s="6">
        <v>46.25</v>
      </c>
      <c r="AA1342" s="6">
        <v>36.6</v>
      </c>
      <c r="AB1342" s="7">
        <v>7.81</v>
      </c>
      <c r="AC1342" s="2"/>
    </row>
    <row r="1343" spans="1:29" ht="156" x14ac:dyDescent="0.15">
      <c r="A1343" s="3">
        <f>DATE(1993,12,6)</f>
        <v>34309</v>
      </c>
      <c r="B1343" s="3">
        <f>DATE(1994,5,2)</f>
        <v>34456</v>
      </c>
      <c r="C1343" s="2" t="s">
        <v>95</v>
      </c>
      <c r="D1343" s="2" t="s">
        <v>4470</v>
      </c>
      <c r="E1343" s="2" t="s">
        <v>4471</v>
      </c>
      <c r="F1343" s="4">
        <v>7373</v>
      </c>
      <c r="G1343" s="2" t="s">
        <v>223</v>
      </c>
      <c r="H1343" s="2" t="s">
        <v>34</v>
      </c>
      <c r="I1343" s="2" t="s">
        <v>4472</v>
      </c>
      <c r="J1343" s="2" t="s">
        <v>4473</v>
      </c>
      <c r="K1343" s="2" t="s">
        <v>137</v>
      </c>
      <c r="L1343" s="2" t="s">
        <v>34</v>
      </c>
      <c r="M1343" s="2"/>
      <c r="N1343" s="4">
        <v>1</v>
      </c>
      <c r="O1343" s="7">
        <v>1.125</v>
      </c>
      <c r="P1343" s="2" t="s">
        <v>4474</v>
      </c>
      <c r="Q1343" s="6">
        <v>100</v>
      </c>
      <c r="R1343" s="2"/>
      <c r="S1343" s="5">
        <v>0</v>
      </c>
      <c r="T1343" s="2"/>
      <c r="U1343" s="2"/>
      <c r="V1343" s="2"/>
      <c r="W1343" s="4">
        <v>1</v>
      </c>
      <c r="X1343" s="4">
        <v>1</v>
      </c>
      <c r="Y1343" s="4">
        <v>1</v>
      </c>
      <c r="Z1343" s="7">
        <v>0.625</v>
      </c>
      <c r="AA1343" s="2"/>
      <c r="AB1343" s="2" t="s">
        <v>47</v>
      </c>
      <c r="AC1343" s="2"/>
    </row>
    <row r="1344" spans="1:29" ht="130" x14ac:dyDescent="0.15">
      <c r="A1344" s="3">
        <f>DATE(1993,12,7)</f>
        <v>34310</v>
      </c>
      <c r="B1344" s="2"/>
      <c r="C1344" s="2" t="s">
        <v>30</v>
      </c>
      <c r="D1344" s="2" t="s">
        <v>4417</v>
      </c>
      <c r="E1344" s="2" t="s">
        <v>4418</v>
      </c>
      <c r="F1344" s="4">
        <v>3841</v>
      </c>
      <c r="G1344" s="2" t="s">
        <v>226</v>
      </c>
      <c r="H1344" s="2" t="s">
        <v>34</v>
      </c>
      <c r="I1344" s="2" t="s">
        <v>4475</v>
      </c>
      <c r="J1344" s="2" t="s">
        <v>4476</v>
      </c>
      <c r="K1344" s="2" t="s">
        <v>226</v>
      </c>
      <c r="L1344" s="2" t="s">
        <v>34</v>
      </c>
      <c r="M1344" s="2"/>
      <c r="N1344" s="6">
        <v>27.75</v>
      </c>
      <c r="O1344" s="7">
        <v>27.375</v>
      </c>
      <c r="P1344" s="2" t="s">
        <v>4477</v>
      </c>
      <c r="Q1344" s="2"/>
      <c r="R1344" s="6">
        <v>6.55</v>
      </c>
      <c r="S1344" s="5">
        <v>1.3</v>
      </c>
      <c r="T1344" s="7">
        <v>2.831</v>
      </c>
      <c r="U1344" s="5">
        <v>2.4</v>
      </c>
      <c r="V1344" s="6">
        <v>0.21</v>
      </c>
      <c r="W1344" s="7">
        <v>5.625</v>
      </c>
      <c r="X1344" s="7">
        <v>5.625</v>
      </c>
      <c r="Y1344" s="7">
        <v>5.875</v>
      </c>
      <c r="Z1344" s="7">
        <v>6.0629999999999997</v>
      </c>
      <c r="AA1344" s="6">
        <v>14.09</v>
      </c>
      <c r="AB1344" s="7">
        <v>47.206000000000003</v>
      </c>
      <c r="AC1344" s="6">
        <v>338.69</v>
      </c>
    </row>
    <row r="1345" spans="1:29" ht="156" x14ac:dyDescent="0.15">
      <c r="A1345" s="3">
        <f>DATE(1993,12,8)</f>
        <v>34311</v>
      </c>
      <c r="B1345" s="3">
        <f>DATE(1994,6,30)</f>
        <v>34515</v>
      </c>
      <c r="C1345" s="2" t="s">
        <v>95</v>
      </c>
      <c r="D1345" s="2" t="s">
        <v>3096</v>
      </c>
      <c r="E1345" s="2" t="s">
        <v>36</v>
      </c>
      <c r="F1345" s="4">
        <v>6022</v>
      </c>
      <c r="G1345" s="2" t="s">
        <v>37</v>
      </c>
      <c r="H1345" s="2" t="s">
        <v>34</v>
      </c>
      <c r="I1345" s="2" t="s">
        <v>671</v>
      </c>
      <c r="J1345" s="2" t="s">
        <v>672</v>
      </c>
      <c r="K1345" s="2" t="s">
        <v>37</v>
      </c>
      <c r="L1345" s="2" t="s">
        <v>34</v>
      </c>
      <c r="M1345" s="12">
        <v>6745.5110000000004</v>
      </c>
      <c r="N1345" s="7">
        <v>20.125</v>
      </c>
      <c r="O1345" s="7">
        <v>19.625</v>
      </c>
      <c r="P1345" s="2" t="s">
        <v>4478</v>
      </c>
      <c r="Q1345" s="6">
        <v>100</v>
      </c>
      <c r="R1345" s="6">
        <v>39.51</v>
      </c>
      <c r="S1345" s="5">
        <v>6.4</v>
      </c>
      <c r="T1345" s="7">
        <v>10.896000000000001</v>
      </c>
      <c r="U1345" s="5">
        <v>16.7</v>
      </c>
      <c r="V1345" s="6">
        <v>2.41</v>
      </c>
      <c r="W1345" s="6">
        <v>29.25</v>
      </c>
      <c r="X1345" s="6">
        <v>28.75</v>
      </c>
      <c r="Y1345" s="4">
        <v>33</v>
      </c>
      <c r="Z1345" s="7">
        <v>34.125</v>
      </c>
      <c r="AA1345" s="6">
        <v>3.11</v>
      </c>
      <c r="AB1345" s="7">
        <v>53.023000000000003</v>
      </c>
      <c r="AC1345" s="2"/>
    </row>
    <row r="1346" spans="1:29" ht="182" x14ac:dyDescent="0.15">
      <c r="A1346" s="3">
        <f>DATE(1993,12,9)</f>
        <v>34312</v>
      </c>
      <c r="B1346" s="3">
        <f>DATE(1994,2,25)</f>
        <v>34390</v>
      </c>
      <c r="C1346" s="2" t="s">
        <v>95</v>
      </c>
      <c r="D1346" s="2" t="s">
        <v>4479</v>
      </c>
      <c r="E1346" s="2" t="s">
        <v>4480</v>
      </c>
      <c r="F1346" s="4">
        <v>8742</v>
      </c>
      <c r="G1346" s="2" t="s">
        <v>223</v>
      </c>
      <c r="H1346" s="2" t="s">
        <v>34</v>
      </c>
      <c r="I1346" s="2" t="s">
        <v>4481</v>
      </c>
      <c r="J1346" s="2" t="s">
        <v>4482</v>
      </c>
      <c r="K1346" s="2" t="s">
        <v>137</v>
      </c>
      <c r="L1346" s="2" t="s">
        <v>34</v>
      </c>
      <c r="M1346" s="2"/>
      <c r="N1346" s="2"/>
      <c r="O1346" s="2"/>
      <c r="P1346" s="2" t="s">
        <v>4483</v>
      </c>
      <c r="Q1346" s="6">
        <v>100</v>
      </c>
      <c r="R1346" s="2"/>
      <c r="S1346" s="2"/>
      <c r="T1346" s="2"/>
      <c r="U1346" s="2"/>
      <c r="V1346" s="2"/>
      <c r="W1346" s="7">
        <v>1.0629999999999999</v>
      </c>
      <c r="X1346" s="7">
        <v>1.0629999999999999</v>
      </c>
      <c r="Y1346" s="7">
        <v>1.0629999999999999</v>
      </c>
      <c r="Z1346" s="7">
        <v>1.0629999999999999</v>
      </c>
      <c r="AA1346" s="2"/>
      <c r="AB1346" s="2" t="s">
        <v>47</v>
      </c>
      <c r="AC1346" s="2"/>
    </row>
    <row r="1347" spans="1:29" ht="104" x14ac:dyDescent="0.15">
      <c r="A1347" s="3">
        <f>DATE(1993,12,10)</f>
        <v>34313</v>
      </c>
      <c r="B1347" s="2"/>
      <c r="C1347" s="2" t="s">
        <v>30</v>
      </c>
      <c r="D1347" s="2" t="s">
        <v>4484</v>
      </c>
      <c r="E1347" s="2" t="s">
        <v>177</v>
      </c>
      <c r="F1347" s="4">
        <v>1311</v>
      </c>
      <c r="G1347" s="2" t="s">
        <v>148</v>
      </c>
      <c r="H1347" s="2" t="s">
        <v>34</v>
      </c>
      <c r="I1347" s="2" t="s">
        <v>2138</v>
      </c>
      <c r="J1347" s="2" t="s">
        <v>177</v>
      </c>
      <c r="K1347" s="2" t="s">
        <v>148</v>
      </c>
      <c r="L1347" s="2" t="s">
        <v>34</v>
      </c>
      <c r="M1347" s="5">
        <v>39.6</v>
      </c>
      <c r="N1347" s="7">
        <v>5.125</v>
      </c>
      <c r="O1347" s="6">
        <v>4.75</v>
      </c>
      <c r="P1347" s="2" t="s">
        <v>4485</v>
      </c>
      <c r="Q1347" s="2"/>
      <c r="R1347" s="2"/>
      <c r="S1347" s="2"/>
      <c r="T1347" s="2"/>
      <c r="U1347" s="2"/>
      <c r="V1347" s="2"/>
      <c r="W1347" s="6">
        <v>5.25</v>
      </c>
      <c r="X1347" s="7">
        <v>4.875</v>
      </c>
      <c r="Y1347" s="6">
        <v>5.25</v>
      </c>
      <c r="Z1347" s="6">
        <v>4.75</v>
      </c>
      <c r="AA1347" s="6">
        <v>5.6</v>
      </c>
      <c r="AB1347" s="2" t="s">
        <v>47</v>
      </c>
      <c r="AC1347" s="2"/>
    </row>
    <row r="1348" spans="1:29" ht="156" x14ac:dyDescent="0.15">
      <c r="A1348" s="3">
        <f>DATE(1993,12,10)</f>
        <v>34313</v>
      </c>
      <c r="B1348" s="3">
        <f>DATE(1994,3,30)</f>
        <v>34423</v>
      </c>
      <c r="C1348" s="2" t="s">
        <v>95</v>
      </c>
      <c r="D1348" s="2" t="s">
        <v>4486</v>
      </c>
      <c r="E1348" s="2" t="s">
        <v>4487</v>
      </c>
      <c r="F1348" s="4">
        <v>8731</v>
      </c>
      <c r="G1348" s="2" t="s">
        <v>223</v>
      </c>
      <c r="H1348" s="2" t="s">
        <v>34</v>
      </c>
      <c r="I1348" s="2" t="s">
        <v>4488</v>
      </c>
      <c r="J1348" s="2" t="s">
        <v>4489</v>
      </c>
      <c r="K1348" s="2" t="s">
        <v>130</v>
      </c>
      <c r="L1348" s="2" t="s">
        <v>34</v>
      </c>
      <c r="M1348" s="7">
        <v>579.26400000000001</v>
      </c>
      <c r="N1348" s="6">
        <v>12.25</v>
      </c>
      <c r="O1348" s="6">
        <v>12.25</v>
      </c>
      <c r="P1348" s="2" t="s">
        <v>4490</v>
      </c>
      <c r="Q1348" s="6">
        <v>100</v>
      </c>
      <c r="R1348" s="6">
        <v>40</v>
      </c>
      <c r="S1348" s="5">
        <v>-14.2</v>
      </c>
      <c r="T1348" s="7">
        <v>-14.771000000000001</v>
      </c>
      <c r="U1348" s="5">
        <v>24.9</v>
      </c>
      <c r="V1348" s="6">
        <v>-6.34</v>
      </c>
      <c r="W1348" s="6">
        <v>22.25</v>
      </c>
      <c r="X1348" s="4">
        <v>23</v>
      </c>
      <c r="Y1348" s="6">
        <v>36.25</v>
      </c>
      <c r="Z1348" s="7">
        <v>34.375</v>
      </c>
      <c r="AA1348" s="6">
        <v>2.25</v>
      </c>
      <c r="AB1348" s="2" t="s">
        <v>86</v>
      </c>
      <c r="AC1348" s="2"/>
    </row>
    <row r="1349" spans="1:29" ht="156" x14ac:dyDescent="0.15">
      <c r="A1349" s="3">
        <f>DATE(1993,12,13)</f>
        <v>34316</v>
      </c>
      <c r="B1349" s="3">
        <f>DATE(1994,1,31)</f>
        <v>34365</v>
      </c>
      <c r="C1349" s="2" t="s">
        <v>95</v>
      </c>
      <c r="D1349" s="2" t="s">
        <v>4491</v>
      </c>
      <c r="E1349" s="2" t="s">
        <v>4492</v>
      </c>
      <c r="F1349" s="4">
        <v>2389</v>
      </c>
      <c r="G1349" s="2" t="s">
        <v>708</v>
      </c>
      <c r="H1349" s="2" t="s">
        <v>34</v>
      </c>
      <c r="I1349" s="2" t="s">
        <v>4493</v>
      </c>
      <c r="J1349" s="2" t="s">
        <v>4494</v>
      </c>
      <c r="K1349" s="2" t="s">
        <v>708</v>
      </c>
      <c r="L1349" s="2" t="s">
        <v>34</v>
      </c>
      <c r="M1349" s="2"/>
      <c r="N1349" s="6">
        <v>44.75</v>
      </c>
      <c r="O1349" s="4">
        <v>46</v>
      </c>
      <c r="P1349" s="2" t="s">
        <v>4495</v>
      </c>
      <c r="Q1349" s="6">
        <v>100</v>
      </c>
      <c r="R1349" s="6">
        <v>17.5</v>
      </c>
      <c r="S1349" s="5">
        <v>11.5</v>
      </c>
      <c r="T1349" s="7">
        <v>20.911999999999999</v>
      </c>
      <c r="U1349" s="5">
        <v>4.5999999999999996</v>
      </c>
      <c r="V1349" s="6">
        <v>0.61</v>
      </c>
      <c r="W1349" s="4">
        <v>13</v>
      </c>
      <c r="X1349" s="4">
        <v>15</v>
      </c>
      <c r="Y1349" s="5">
        <v>17.5</v>
      </c>
      <c r="Z1349" s="6">
        <v>17.25</v>
      </c>
      <c r="AA1349" s="6">
        <v>18.600000000000001</v>
      </c>
      <c r="AB1349" s="7">
        <v>18.047000000000001</v>
      </c>
      <c r="AC1349" s="6">
        <v>86.32</v>
      </c>
    </row>
    <row r="1350" spans="1:29" ht="52" x14ac:dyDescent="0.15">
      <c r="A1350" s="3">
        <f>DATE(1993,12,16)</f>
        <v>34319</v>
      </c>
      <c r="B1350" s="2"/>
      <c r="C1350" s="2" t="s">
        <v>30</v>
      </c>
      <c r="D1350" s="2" t="s">
        <v>752</v>
      </c>
      <c r="E1350" s="2" t="s">
        <v>177</v>
      </c>
      <c r="F1350" s="4">
        <v>1311</v>
      </c>
      <c r="G1350" s="2" t="s">
        <v>148</v>
      </c>
      <c r="H1350" s="2" t="s">
        <v>34</v>
      </c>
      <c r="I1350" s="2" t="s">
        <v>4496</v>
      </c>
      <c r="J1350" s="2" t="s">
        <v>177</v>
      </c>
      <c r="K1350" s="2" t="s">
        <v>148</v>
      </c>
      <c r="L1350" s="2" t="s">
        <v>34</v>
      </c>
      <c r="M1350" s="2"/>
      <c r="N1350" s="6">
        <v>16.75</v>
      </c>
      <c r="O1350" s="5">
        <v>16.5</v>
      </c>
      <c r="P1350" s="2" t="s">
        <v>4497</v>
      </c>
      <c r="Q1350" s="2"/>
      <c r="R1350" s="2"/>
      <c r="S1350" s="5">
        <v>-68.900000000000006</v>
      </c>
      <c r="T1350" s="7">
        <v>8.4030000000000005</v>
      </c>
      <c r="U1350" s="5">
        <v>12.3</v>
      </c>
      <c r="V1350" s="6">
        <v>-10.7</v>
      </c>
      <c r="W1350" s="7">
        <v>1.125</v>
      </c>
      <c r="X1350" s="6">
        <v>1.25</v>
      </c>
      <c r="Y1350" s="7">
        <v>1.4379999999999999</v>
      </c>
      <c r="Z1350" s="5">
        <v>1.5</v>
      </c>
      <c r="AA1350" s="6">
        <v>69.3</v>
      </c>
      <c r="AB1350" s="2" t="s">
        <v>86</v>
      </c>
      <c r="AC1350" s="6">
        <v>20.49</v>
      </c>
    </row>
    <row r="1351" spans="1:29" ht="130" x14ac:dyDescent="0.15">
      <c r="A1351" s="3">
        <f>DATE(1993,12,17)</f>
        <v>34320</v>
      </c>
      <c r="B1351" s="3">
        <f>DATE(1994,7,1)</f>
        <v>34516</v>
      </c>
      <c r="C1351" s="2" t="s">
        <v>95</v>
      </c>
      <c r="D1351" s="2" t="s">
        <v>4498</v>
      </c>
      <c r="E1351" s="2" t="s">
        <v>159</v>
      </c>
      <c r="F1351" s="4">
        <v>6022</v>
      </c>
      <c r="G1351" s="2" t="s">
        <v>37</v>
      </c>
      <c r="H1351" s="2" t="s">
        <v>34</v>
      </c>
      <c r="I1351" s="2" t="s">
        <v>2396</v>
      </c>
      <c r="J1351" s="2" t="s">
        <v>36</v>
      </c>
      <c r="K1351" s="2" t="s">
        <v>37</v>
      </c>
      <c r="L1351" s="2" t="s">
        <v>34</v>
      </c>
      <c r="M1351" s="2"/>
      <c r="N1351" s="5">
        <v>24.5</v>
      </c>
      <c r="O1351" s="6">
        <v>24.75</v>
      </c>
      <c r="P1351" s="2" t="s">
        <v>4499</v>
      </c>
      <c r="Q1351" s="6">
        <v>100</v>
      </c>
      <c r="R1351" s="6">
        <v>21.25</v>
      </c>
      <c r="S1351" s="5">
        <v>4</v>
      </c>
      <c r="T1351" s="7">
        <v>6.2910000000000004</v>
      </c>
      <c r="U1351" s="5">
        <v>15.1</v>
      </c>
      <c r="V1351" s="2"/>
      <c r="W1351" s="6">
        <v>18.75</v>
      </c>
      <c r="X1351" s="6">
        <v>18.75</v>
      </c>
      <c r="Y1351" s="5">
        <v>19.5</v>
      </c>
      <c r="Z1351" s="6">
        <v>20.25</v>
      </c>
      <c r="AA1351" s="6">
        <v>3.37</v>
      </c>
      <c r="AB1351" s="7">
        <v>25.117999999999999</v>
      </c>
      <c r="AC1351" s="2"/>
    </row>
    <row r="1352" spans="1:29" ht="78" x14ac:dyDescent="0.15">
      <c r="A1352" s="3">
        <f>DATE(1993,12,20)</f>
        <v>34323</v>
      </c>
      <c r="B1352" s="2"/>
      <c r="C1352" s="2" t="s">
        <v>39</v>
      </c>
      <c r="D1352" s="2" t="s">
        <v>4500</v>
      </c>
      <c r="E1352" s="2" t="s">
        <v>4501</v>
      </c>
      <c r="F1352" s="4">
        <v>2026</v>
      </c>
      <c r="G1352" s="2" t="s">
        <v>577</v>
      </c>
      <c r="H1352" s="2" t="s">
        <v>34</v>
      </c>
      <c r="I1352" s="2" t="s">
        <v>3919</v>
      </c>
      <c r="J1352" s="2" t="s">
        <v>3920</v>
      </c>
      <c r="K1352" s="2" t="s">
        <v>237</v>
      </c>
      <c r="L1352" s="2" t="s">
        <v>303</v>
      </c>
      <c r="M1352" s="2"/>
      <c r="N1352" s="2"/>
      <c r="O1352" s="2"/>
      <c r="P1352" s="2" t="s">
        <v>4502</v>
      </c>
      <c r="Q1352" s="2"/>
      <c r="R1352" s="2"/>
      <c r="S1352" s="5">
        <v>-210.6</v>
      </c>
      <c r="T1352" s="5">
        <v>747.2</v>
      </c>
      <c r="U1352" s="5">
        <v>7.5</v>
      </c>
      <c r="V1352" s="6">
        <v>-1.47</v>
      </c>
      <c r="W1352" s="7">
        <v>18.125</v>
      </c>
      <c r="X1352" s="5">
        <v>18.5</v>
      </c>
      <c r="Y1352" s="7">
        <v>17.875</v>
      </c>
      <c r="Z1352" s="4">
        <v>18</v>
      </c>
      <c r="AA1352" s="2"/>
      <c r="AB1352" s="2" t="s">
        <v>47</v>
      </c>
      <c r="AC1352" s="2"/>
    </row>
    <row r="1353" spans="1:29" ht="117" x14ac:dyDescent="0.15">
      <c r="A1353" s="3">
        <f>DATE(1993,12,20)</f>
        <v>34323</v>
      </c>
      <c r="B1353" s="2"/>
      <c r="C1353" s="2" t="s">
        <v>30</v>
      </c>
      <c r="D1353" s="2" t="s">
        <v>4503</v>
      </c>
      <c r="E1353" s="2" t="s">
        <v>4504</v>
      </c>
      <c r="F1353" s="4">
        <v>2421</v>
      </c>
      <c r="G1353" s="2" t="s">
        <v>250</v>
      </c>
      <c r="H1353" s="2" t="s">
        <v>34</v>
      </c>
      <c r="I1353" s="2" t="s">
        <v>51</v>
      </c>
      <c r="J1353" s="2" t="s">
        <v>52</v>
      </c>
      <c r="K1353" s="2" t="s">
        <v>53</v>
      </c>
      <c r="L1353" s="2" t="s">
        <v>34</v>
      </c>
      <c r="M1353" s="2"/>
      <c r="N1353" s="2"/>
      <c r="O1353" s="2"/>
      <c r="P1353" s="2" t="s">
        <v>4505</v>
      </c>
      <c r="Q1353" s="2"/>
      <c r="R1353" s="6">
        <v>45</v>
      </c>
      <c r="S1353" s="5">
        <v>11.7</v>
      </c>
      <c r="T1353" s="7">
        <v>28.393000000000001</v>
      </c>
      <c r="U1353" s="5">
        <v>14.3</v>
      </c>
      <c r="V1353" s="6">
        <v>1.33</v>
      </c>
      <c r="W1353" s="7">
        <v>32.125</v>
      </c>
      <c r="X1353" s="7">
        <v>32.125</v>
      </c>
      <c r="Y1353" s="6">
        <v>31.75</v>
      </c>
      <c r="Z1353" s="5">
        <v>33.5</v>
      </c>
      <c r="AA1353" s="6">
        <v>4.1900000000000004</v>
      </c>
      <c r="AB1353" s="7">
        <v>24.620999999999999</v>
      </c>
      <c r="AC1353" s="2"/>
    </row>
    <row r="1354" spans="1:29" ht="52" x14ac:dyDescent="0.15">
      <c r="A1354" s="3">
        <f>DATE(1993,12,21)</f>
        <v>34324</v>
      </c>
      <c r="B1354" s="2"/>
      <c r="C1354" s="2" t="s">
        <v>141</v>
      </c>
      <c r="D1354" s="2" t="s">
        <v>2626</v>
      </c>
      <c r="E1354" s="2" t="s">
        <v>2627</v>
      </c>
      <c r="F1354" s="4">
        <v>5531</v>
      </c>
      <c r="G1354" s="2" t="s">
        <v>73</v>
      </c>
      <c r="H1354" s="2" t="s">
        <v>34</v>
      </c>
      <c r="I1354" s="2" t="s">
        <v>143</v>
      </c>
      <c r="J1354" s="2" t="s">
        <v>144</v>
      </c>
      <c r="K1354" s="2" t="s">
        <v>53</v>
      </c>
      <c r="L1354" s="2" t="s">
        <v>139</v>
      </c>
      <c r="M1354" s="2"/>
      <c r="N1354" s="2"/>
      <c r="O1354" s="2"/>
      <c r="P1354" s="2" t="s">
        <v>4506</v>
      </c>
      <c r="Q1354" s="2"/>
      <c r="R1354" s="2"/>
      <c r="S1354" s="2"/>
      <c r="T1354" s="2"/>
      <c r="U1354" s="2"/>
      <c r="V1354" s="2"/>
      <c r="W1354" s="6">
        <v>14.25</v>
      </c>
      <c r="X1354" s="7">
        <v>13.875</v>
      </c>
      <c r="Y1354" s="6">
        <v>14.75</v>
      </c>
      <c r="Z1354" s="5">
        <v>14.5</v>
      </c>
      <c r="AA1354" s="2"/>
      <c r="AB1354" s="2" t="s">
        <v>47</v>
      </c>
      <c r="AC1354" s="2"/>
    </row>
    <row r="1355" spans="1:29" ht="130" x14ac:dyDescent="0.15">
      <c r="A1355" s="3">
        <f>DATE(1993,12,21)</f>
        <v>34324</v>
      </c>
      <c r="B1355" s="3">
        <f>DATE(1994,4,4)</f>
        <v>34428</v>
      </c>
      <c r="C1355" s="2" t="s">
        <v>95</v>
      </c>
      <c r="D1355" s="2" t="s">
        <v>4507</v>
      </c>
      <c r="E1355" s="2" t="s">
        <v>4508</v>
      </c>
      <c r="F1355" s="4">
        <v>8051</v>
      </c>
      <c r="G1355" s="2" t="s">
        <v>454</v>
      </c>
      <c r="H1355" s="2" t="s">
        <v>34</v>
      </c>
      <c r="I1355" s="2" t="s">
        <v>4509</v>
      </c>
      <c r="J1355" s="2" t="s">
        <v>4510</v>
      </c>
      <c r="K1355" s="2" t="s">
        <v>454</v>
      </c>
      <c r="L1355" s="2" t="s">
        <v>34</v>
      </c>
      <c r="M1355" s="6">
        <v>79.05</v>
      </c>
      <c r="N1355" s="4">
        <v>12</v>
      </c>
      <c r="O1355" s="7">
        <v>12.625</v>
      </c>
      <c r="P1355" s="2" t="s">
        <v>4511</v>
      </c>
      <c r="Q1355" s="6">
        <v>100</v>
      </c>
      <c r="R1355" s="6">
        <v>8.9600000000000009</v>
      </c>
      <c r="S1355" s="5">
        <v>7.1</v>
      </c>
      <c r="T1355" s="7">
        <v>17.277000000000001</v>
      </c>
      <c r="U1355" s="5">
        <v>1.8</v>
      </c>
      <c r="V1355" s="6">
        <v>0.56999999999999995</v>
      </c>
      <c r="W1355" s="5">
        <v>6.5</v>
      </c>
      <c r="X1355" s="7">
        <v>6.375</v>
      </c>
      <c r="Y1355" s="7">
        <v>7.875</v>
      </c>
      <c r="Z1355" s="6">
        <v>8.25</v>
      </c>
      <c r="AA1355" s="6">
        <v>13.4</v>
      </c>
      <c r="AB1355" s="7">
        <v>12.076000000000001</v>
      </c>
      <c r="AC1355" s="6">
        <v>32.56</v>
      </c>
    </row>
    <row r="1356" spans="1:29" ht="143" x14ac:dyDescent="0.15">
      <c r="A1356" s="3">
        <f>DATE(1993,12,21)</f>
        <v>34324</v>
      </c>
      <c r="B1356" s="2"/>
      <c r="C1356" s="2" t="s">
        <v>87</v>
      </c>
      <c r="D1356" s="2" t="s">
        <v>4512</v>
      </c>
      <c r="E1356" s="2" t="s">
        <v>4513</v>
      </c>
      <c r="F1356" s="4">
        <v>4959</v>
      </c>
      <c r="G1356" s="2" t="s">
        <v>116</v>
      </c>
      <c r="H1356" s="2" t="s">
        <v>34</v>
      </c>
      <c r="I1356" s="2" t="s">
        <v>138</v>
      </c>
      <c r="J1356" s="2" t="s">
        <v>139</v>
      </c>
      <c r="K1356" s="2" t="s">
        <v>53</v>
      </c>
      <c r="L1356" s="2" t="s">
        <v>139</v>
      </c>
      <c r="M1356" s="2"/>
      <c r="N1356" s="2"/>
      <c r="O1356" s="2"/>
      <c r="P1356" s="2" t="s">
        <v>4514</v>
      </c>
      <c r="Q1356" s="2"/>
      <c r="R1356" s="2"/>
      <c r="S1356" s="5">
        <v>1.4</v>
      </c>
      <c r="T1356" s="7">
        <v>6.9889999999999999</v>
      </c>
      <c r="U1356" s="5">
        <v>-1.1000000000000001</v>
      </c>
      <c r="V1356" s="6">
        <v>0.37</v>
      </c>
      <c r="W1356" s="7">
        <v>7.125</v>
      </c>
      <c r="X1356" s="4">
        <v>7</v>
      </c>
      <c r="Y1356" s="2"/>
      <c r="Z1356" s="4">
        <v>7</v>
      </c>
      <c r="AA1356" s="6">
        <v>3.71</v>
      </c>
      <c r="AB1356" s="2" t="s">
        <v>47</v>
      </c>
      <c r="AC1356" s="2"/>
    </row>
    <row r="1357" spans="1:29" ht="65" x14ac:dyDescent="0.15">
      <c r="A1357" s="3">
        <f>DATE(1993,12,22)</f>
        <v>34325</v>
      </c>
      <c r="B1357" s="3">
        <f>DATE(1994,1,4)</f>
        <v>34338</v>
      </c>
      <c r="C1357" s="2" t="s">
        <v>95</v>
      </c>
      <c r="D1357" s="2" t="s">
        <v>1489</v>
      </c>
      <c r="E1357" s="2" t="s">
        <v>92</v>
      </c>
      <c r="F1357" s="4">
        <v>6798</v>
      </c>
      <c r="G1357" s="2" t="s">
        <v>53</v>
      </c>
      <c r="H1357" s="2" t="s">
        <v>34</v>
      </c>
      <c r="I1357" s="2" t="s">
        <v>1487</v>
      </c>
      <c r="J1357" s="2" t="s">
        <v>1488</v>
      </c>
      <c r="K1357" s="2" t="s">
        <v>454</v>
      </c>
      <c r="L1357" s="2" t="s">
        <v>34</v>
      </c>
      <c r="M1357" s="2"/>
      <c r="N1357" s="7">
        <v>2.625</v>
      </c>
      <c r="O1357" s="7">
        <v>2.625</v>
      </c>
      <c r="P1357" s="2" t="s">
        <v>4515</v>
      </c>
      <c r="Q1357" s="6">
        <v>100</v>
      </c>
      <c r="R1357" s="2"/>
      <c r="S1357" s="2"/>
      <c r="T1357" s="2"/>
      <c r="U1357" s="2"/>
      <c r="V1357" s="2"/>
      <c r="W1357" s="9">
        <v>2.8125</v>
      </c>
      <c r="X1357" s="9">
        <v>2.6875</v>
      </c>
      <c r="Y1357" s="7">
        <v>2.625</v>
      </c>
      <c r="Z1357" s="7">
        <v>2.625</v>
      </c>
      <c r="AA1357" s="6">
        <v>10.77</v>
      </c>
      <c r="AB1357" s="2" t="s">
        <v>47</v>
      </c>
      <c r="AC1357" s="6">
        <v>18.37</v>
      </c>
    </row>
    <row r="1358" spans="1:29" ht="156" x14ac:dyDescent="0.15">
      <c r="A1358" s="3">
        <f>DATE(1993,12,27)</f>
        <v>34330</v>
      </c>
      <c r="B1358" s="3">
        <f>DATE(1995,2,9)</f>
        <v>34739</v>
      </c>
      <c r="C1358" s="2" t="s">
        <v>95</v>
      </c>
      <c r="D1358" s="2" t="s">
        <v>4516</v>
      </c>
      <c r="E1358" s="2" t="s">
        <v>1550</v>
      </c>
      <c r="F1358" s="4">
        <v>7372</v>
      </c>
      <c r="G1358" s="2" t="s">
        <v>551</v>
      </c>
      <c r="H1358" s="2" t="s">
        <v>34</v>
      </c>
      <c r="I1358" s="2" t="s">
        <v>4517</v>
      </c>
      <c r="J1358" s="2" t="s">
        <v>4518</v>
      </c>
      <c r="K1358" s="2" t="s">
        <v>116</v>
      </c>
      <c r="L1358" s="2" t="s">
        <v>34</v>
      </c>
      <c r="M1358" s="2"/>
      <c r="N1358" s="2"/>
      <c r="O1358" s="2"/>
      <c r="P1358" s="2" t="s">
        <v>4519</v>
      </c>
      <c r="Q1358" s="6">
        <v>100</v>
      </c>
      <c r="R1358" s="2"/>
      <c r="S1358" s="5">
        <v>-0.5</v>
      </c>
      <c r="T1358" s="7">
        <v>-0.43099999999999999</v>
      </c>
      <c r="U1358" s="5">
        <v>1.6</v>
      </c>
      <c r="V1358" s="6">
        <v>-0.1</v>
      </c>
      <c r="W1358" s="4">
        <v>2</v>
      </c>
      <c r="X1358" s="7">
        <v>1.8129999999999999</v>
      </c>
      <c r="Y1358" s="2"/>
      <c r="Z1358" s="2"/>
      <c r="AA1358" s="2"/>
      <c r="AB1358" s="2" t="s">
        <v>86</v>
      </c>
      <c r="AC1358" s="2"/>
    </row>
    <row r="1359" spans="1:29" ht="91" x14ac:dyDescent="0.15">
      <c r="A1359" s="3">
        <f>DATE(1993,12,29)</f>
        <v>34332</v>
      </c>
      <c r="B1359" s="3">
        <f>DATE(1994,5,26)</f>
        <v>34480</v>
      </c>
      <c r="C1359" s="2" t="s">
        <v>95</v>
      </c>
      <c r="D1359" s="2" t="s">
        <v>4520</v>
      </c>
      <c r="E1359" s="2" t="s">
        <v>92</v>
      </c>
      <c r="F1359" s="4">
        <v>6798</v>
      </c>
      <c r="G1359" s="2" t="s">
        <v>53</v>
      </c>
      <c r="H1359" s="2" t="s">
        <v>34</v>
      </c>
      <c r="I1359" s="2" t="s">
        <v>4521</v>
      </c>
      <c r="J1359" s="2" t="s">
        <v>4522</v>
      </c>
      <c r="K1359" s="2" t="s">
        <v>1461</v>
      </c>
      <c r="L1359" s="2" t="s">
        <v>34</v>
      </c>
      <c r="M1359" s="2"/>
      <c r="N1359" s="7">
        <v>36.375</v>
      </c>
      <c r="O1359" s="7">
        <v>36.375</v>
      </c>
      <c r="P1359" s="2" t="s">
        <v>4523</v>
      </c>
      <c r="Q1359" s="6">
        <v>91.1</v>
      </c>
      <c r="R1359" s="6">
        <v>22</v>
      </c>
      <c r="S1359" s="5">
        <v>1.9</v>
      </c>
      <c r="T1359" s="2"/>
      <c r="U1359" s="5">
        <v>5.9</v>
      </c>
      <c r="V1359" s="6">
        <v>1.27</v>
      </c>
      <c r="W1359" s="4">
        <v>19</v>
      </c>
      <c r="X1359" s="4">
        <v>20</v>
      </c>
      <c r="Y1359" s="6">
        <v>19.25</v>
      </c>
      <c r="Z1359" s="7">
        <v>19.625</v>
      </c>
      <c r="AA1359" s="6">
        <v>1.42</v>
      </c>
      <c r="AB1359" s="7">
        <v>8.85</v>
      </c>
      <c r="AC1359" s="6">
        <v>1.77</v>
      </c>
    </row>
    <row r="1360" spans="1:29" ht="117" x14ac:dyDescent="0.15">
      <c r="A1360" s="3">
        <f>DATE(1993,12,30)</f>
        <v>34333</v>
      </c>
      <c r="B1360" s="3">
        <f>DATE(1994,10,3)</f>
        <v>34610</v>
      </c>
      <c r="C1360" s="2" t="s">
        <v>95</v>
      </c>
      <c r="D1360" s="2" t="s">
        <v>4524</v>
      </c>
      <c r="E1360" s="2" t="s">
        <v>36</v>
      </c>
      <c r="F1360" s="4">
        <v>6036</v>
      </c>
      <c r="G1360" s="2" t="s">
        <v>33</v>
      </c>
      <c r="H1360" s="2" t="s">
        <v>34</v>
      </c>
      <c r="I1360" s="2" t="s">
        <v>4525</v>
      </c>
      <c r="J1360" s="2" t="s">
        <v>36</v>
      </c>
      <c r="K1360" s="2" t="s">
        <v>37</v>
      </c>
      <c r="L1360" s="2" t="s">
        <v>34</v>
      </c>
      <c r="M1360" s="2"/>
      <c r="N1360" s="7">
        <v>22.625</v>
      </c>
      <c r="O1360" s="4">
        <v>23</v>
      </c>
      <c r="P1360" s="2" t="s">
        <v>4526</v>
      </c>
      <c r="Q1360" s="6">
        <v>100</v>
      </c>
      <c r="R1360" s="6">
        <v>23</v>
      </c>
      <c r="S1360" s="5">
        <v>2.2999999999999998</v>
      </c>
      <c r="T1360" s="7">
        <v>3.2810000000000001</v>
      </c>
      <c r="U1360" s="5">
        <v>16.399999999999999</v>
      </c>
      <c r="V1360" s="6">
        <v>0.92</v>
      </c>
      <c r="W1360" s="5">
        <v>8.5</v>
      </c>
      <c r="X1360" s="6">
        <v>8.25</v>
      </c>
      <c r="Y1360" s="5">
        <v>9.5</v>
      </c>
      <c r="Z1360" s="4">
        <v>9</v>
      </c>
      <c r="AA1360" s="6">
        <v>1.94</v>
      </c>
      <c r="AB1360" s="7">
        <v>121.97</v>
      </c>
      <c r="AC1360" s="2"/>
    </row>
    <row r="1361" spans="1:29" ht="117" x14ac:dyDescent="0.15">
      <c r="A1361" s="3">
        <f>DATE(1993,12,31)</f>
        <v>34334</v>
      </c>
      <c r="B1361" s="3">
        <f>DATE(1993,12,31)</f>
        <v>34334</v>
      </c>
      <c r="C1361" s="2" t="s">
        <v>95</v>
      </c>
      <c r="D1361" s="2" t="s">
        <v>4527</v>
      </c>
      <c r="E1361" s="2" t="s">
        <v>4528</v>
      </c>
      <c r="F1361" s="4">
        <v>7999</v>
      </c>
      <c r="G1361" s="2" t="s">
        <v>364</v>
      </c>
      <c r="H1361" s="2" t="s">
        <v>34</v>
      </c>
      <c r="I1361" s="2" t="s">
        <v>4529</v>
      </c>
      <c r="J1361" s="2" t="s">
        <v>80</v>
      </c>
      <c r="K1361" s="2" t="s">
        <v>53</v>
      </c>
      <c r="L1361" s="2" t="s">
        <v>34</v>
      </c>
      <c r="M1361" s="2"/>
      <c r="N1361" s="2"/>
      <c r="O1361" s="2"/>
      <c r="P1361" s="2" t="s">
        <v>4530</v>
      </c>
      <c r="Q1361" s="6">
        <v>94</v>
      </c>
      <c r="R1361" s="2"/>
      <c r="S1361" s="2"/>
      <c r="T1361" s="2"/>
      <c r="U1361" s="2"/>
      <c r="V1361" s="2"/>
      <c r="W1361" s="7">
        <v>27.375</v>
      </c>
      <c r="X1361" s="7">
        <v>27.375</v>
      </c>
      <c r="Y1361" s="7">
        <v>27.375</v>
      </c>
      <c r="Z1361" s="7">
        <v>27.375</v>
      </c>
      <c r="AA1361" s="2"/>
      <c r="AB1361" s="2" t="s">
        <v>47</v>
      </c>
      <c r="AC1361" s="2"/>
    </row>
    <row r="1362" spans="1:29" ht="52" x14ac:dyDescent="0.15">
      <c r="A1362" s="3">
        <f>DATE(1993,12,31)</f>
        <v>34334</v>
      </c>
      <c r="B1362" s="3">
        <f>DATE(1993,12,31)</f>
        <v>34334</v>
      </c>
      <c r="C1362" s="2" t="s">
        <v>95</v>
      </c>
      <c r="D1362" s="2" t="s">
        <v>4531</v>
      </c>
      <c r="E1362" s="2" t="s">
        <v>4532</v>
      </c>
      <c r="F1362" s="4">
        <v>6411</v>
      </c>
      <c r="G1362" s="2" t="s">
        <v>125</v>
      </c>
      <c r="H1362" s="2" t="s">
        <v>34</v>
      </c>
      <c r="I1362" s="2" t="s">
        <v>51</v>
      </c>
      <c r="J1362" s="2" t="s">
        <v>52</v>
      </c>
      <c r="K1362" s="2" t="s">
        <v>53</v>
      </c>
      <c r="L1362" s="2" t="s">
        <v>34</v>
      </c>
      <c r="M1362" s="2"/>
      <c r="N1362" s="2"/>
      <c r="O1362" s="2"/>
      <c r="P1362" s="2" t="s">
        <v>4533</v>
      </c>
      <c r="Q1362" s="6">
        <v>100</v>
      </c>
      <c r="R1362" s="2"/>
      <c r="S1362" s="5">
        <v>7.7</v>
      </c>
      <c r="T1362" s="7">
        <v>13.554</v>
      </c>
      <c r="U1362" s="5">
        <v>4.0999999999999996</v>
      </c>
      <c r="V1362" s="9">
        <v>0.66369999999999996</v>
      </c>
      <c r="W1362" s="6">
        <v>13.75</v>
      </c>
      <c r="X1362" s="6">
        <v>12.75</v>
      </c>
      <c r="Y1362" s="5">
        <v>12.5</v>
      </c>
      <c r="Z1362" s="6">
        <v>13.25</v>
      </c>
      <c r="AA1362" s="2"/>
      <c r="AB1362" s="2" t="s">
        <v>47</v>
      </c>
      <c r="AC1362" s="2"/>
    </row>
    <row r="1363" spans="1:29" ht="143" x14ac:dyDescent="0.15">
      <c r="A1363" s="3">
        <f>DATE(1994,1,3)</f>
        <v>34337</v>
      </c>
      <c r="B1363" s="3">
        <f>DATE(1994,5,18)</f>
        <v>34472</v>
      </c>
      <c r="C1363" s="2" t="s">
        <v>95</v>
      </c>
      <c r="D1363" s="2" t="s">
        <v>4534</v>
      </c>
      <c r="E1363" s="2" t="s">
        <v>612</v>
      </c>
      <c r="F1363" s="4">
        <v>1311</v>
      </c>
      <c r="G1363" s="2" t="s">
        <v>148</v>
      </c>
      <c r="H1363" s="2" t="s">
        <v>34</v>
      </c>
      <c r="I1363" s="2" t="s">
        <v>4535</v>
      </c>
      <c r="J1363" s="2" t="s">
        <v>1435</v>
      </c>
      <c r="K1363" s="2" t="s">
        <v>148</v>
      </c>
      <c r="L1363" s="2" t="s">
        <v>34</v>
      </c>
      <c r="M1363" s="7">
        <v>368.17099999999999</v>
      </c>
      <c r="N1363" s="7">
        <v>20.625</v>
      </c>
      <c r="O1363" s="6">
        <v>20.25</v>
      </c>
      <c r="P1363" s="2" t="s">
        <v>4536</v>
      </c>
      <c r="Q1363" s="6">
        <v>100</v>
      </c>
      <c r="R1363" s="2"/>
      <c r="S1363" s="5">
        <v>-1.1000000000000001</v>
      </c>
      <c r="T1363" s="7">
        <v>6.1020000000000003</v>
      </c>
      <c r="U1363" s="5">
        <v>2.4</v>
      </c>
      <c r="V1363" s="6">
        <v>-0.39</v>
      </c>
      <c r="W1363" s="7">
        <v>9.125</v>
      </c>
      <c r="X1363" s="7">
        <v>8.875</v>
      </c>
      <c r="Y1363" s="6">
        <v>8.75</v>
      </c>
      <c r="Z1363" s="7">
        <v>8.375</v>
      </c>
      <c r="AA1363" s="6">
        <v>3.74</v>
      </c>
      <c r="AB1363" s="7">
        <v>20.024000000000001</v>
      </c>
      <c r="AC1363" s="6">
        <v>19.55</v>
      </c>
    </row>
    <row r="1364" spans="1:29" ht="143" x14ac:dyDescent="0.15">
      <c r="A1364" s="3">
        <f>DATE(1994,1,5)</f>
        <v>34339</v>
      </c>
      <c r="B1364" s="3">
        <f>DATE(1994,3,28)</f>
        <v>34421</v>
      </c>
      <c r="C1364" s="2" t="s">
        <v>95</v>
      </c>
      <c r="D1364" s="2" t="s">
        <v>4537</v>
      </c>
      <c r="E1364" s="2" t="s">
        <v>3461</v>
      </c>
      <c r="F1364" s="4">
        <v>2834</v>
      </c>
      <c r="G1364" s="2" t="s">
        <v>130</v>
      </c>
      <c r="H1364" s="2" t="s">
        <v>34</v>
      </c>
      <c r="I1364" s="2" t="s">
        <v>2304</v>
      </c>
      <c r="J1364" s="2" t="s">
        <v>2305</v>
      </c>
      <c r="K1364" s="2" t="s">
        <v>130</v>
      </c>
      <c r="L1364" s="2" t="s">
        <v>34</v>
      </c>
      <c r="M1364" s="12">
        <v>2286.4470000000001</v>
      </c>
      <c r="N1364" s="7">
        <v>28.125</v>
      </c>
      <c r="O1364" s="6">
        <v>28.25</v>
      </c>
      <c r="P1364" s="2" t="s">
        <v>4538</v>
      </c>
      <c r="Q1364" s="6">
        <v>100</v>
      </c>
      <c r="R1364" s="6">
        <v>15.23</v>
      </c>
      <c r="S1364" s="5">
        <v>4.9000000000000004</v>
      </c>
      <c r="T1364" s="7">
        <v>42.923999999999999</v>
      </c>
      <c r="U1364" s="5">
        <v>3.4</v>
      </c>
      <c r="V1364" s="6">
        <v>0.19</v>
      </c>
      <c r="W1364" s="4">
        <v>10</v>
      </c>
      <c r="X1364" s="7">
        <v>10.875</v>
      </c>
      <c r="Y1364" s="6">
        <v>10.75</v>
      </c>
      <c r="Z1364" s="6">
        <v>15.25</v>
      </c>
      <c r="AA1364" s="6">
        <v>25.73</v>
      </c>
      <c r="AB1364" s="7">
        <v>14.042</v>
      </c>
      <c r="AC1364" s="6">
        <v>73.37</v>
      </c>
    </row>
    <row r="1365" spans="1:29" ht="65" x14ac:dyDescent="0.15">
      <c r="A1365" s="3">
        <f>DATE(1994,1,6)</f>
        <v>34340</v>
      </c>
      <c r="B1365" s="3">
        <f>DATE(1994,1,6)</f>
        <v>34340</v>
      </c>
      <c r="C1365" s="2" t="s">
        <v>95</v>
      </c>
      <c r="D1365" s="2" t="s">
        <v>4539</v>
      </c>
      <c r="E1365" s="2" t="s">
        <v>1181</v>
      </c>
      <c r="F1365" s="4">
        <v>6022</v>
      </c>
      <c r="G1365" s="2" t="s">
        <v>37</v>
      </c>
      <c r="H1365" s="2" t="s">
        <v>34</v>
      </c>
      <c r="I1365" s="2" t="s">
        <v>4540</v>
      </c>
      <c r="J1365" s="2" t="s">
        <v>4541</v>
      </c>
      <c r="K1365" s="2" t="s">
        <v>109</v>
      </c>
      <c r="L1365" s="2" t="s">
        <v>34</v>
      </c>
      <c r="M1365" s="2"/>
      <c r="N1365" s="7">
        <v>12.625</v>
      </c>
      <c r="O1365" s="7">
        <v>12.625</v>
      </c>
      <c r="P1365" s="2" t="s">
        <v>4542</v>
      </c>
      <c r="Q1365" s="6">
        <v>29.68</v>
      </c>
      <c r="R1365" s="6">
        <v>13</v>
      </c>
      <c r="S1365" s="5">
        <v>-1</v>
      </c>
      <c r="T1365" s="7">
        <v>-0.56100000000000005</v>
      </c>
      <c r="U1365" s="5">
        <v>20.2</v>
      </c>
      <c r="V1365" s="6">
        <v>3.41</v>
      </c>
      <c r="W1365" s="6">
        <v>23.25</v>
      </c>
      <c r="X1365" s="7">
        <v>22.875</v>
      </c>
      <c r="Y1365" s="4">
        <v>13</v>
      </c>
      <c r="Z1365" s="6">
        <v>11.75</v>
      </c>
      <c r="AA1365" s="6">
        <v>1.45</v>
      </c>
      <c r="AB1365" s="2" t="s">
        <v>86</v>
      </c>
      <c r="AC1365" s="2"/>
    </row>
    <row r="1366" spans="1:29" ht="156" x14ac:dyDescent="0.15">
      <c r="A1366" s="3">
        <f>DATE(1994,1,6)</f>
        <v>34340</v>
      </c>
      <c r="B1366" s="2"/>
      <c r="C1366" s="2" t="s">
        <v>30</v>
      </c>
      <c r="D1366" s="2" t="s">
        <v>1301</v>
      </c>
      <c r="E1366" s="2" t="s">
        <v>1302</v>
      </c>
      <c r="F1366" s="4">
        <v>6035</v>
      </c>
      <c r="G1366" s="2" t="s">
        <v>33</v>
      </c>
      <c r="H1366" s="2" t="s">
        <v>34</v>
      </c>
      <c r="I1366" s="2" t="s">
        <v>4543</v>
      </c>
      <c r="J1366" s="2" t="s">
        <v>36</v>
      </c>
      <c r="K1366" s="2" t="s">
        <v>37</v>
      </c>
      <c r="L1366" s="2" t="s">
        <v>34</v>
      </c>
      <c r="M1366" s="2"/>
      <c r="N1366" s="4">
        <v>35</v>
      </c>
      <c r="O1366" s="6">
        <v>27.75</v>
      </c>
      <c r="P1366" s="2" t="s">
        <v>4544</v>
      </c>
      <c r="Q1366" s="2"/>
      <c r="R1366" s="6">
        <v>75.94</v>
      </c>
      <c r="S1366" s="5">
        <v>3.9</v>
      </c>
      <c r="T1366" s="6">
        <v>5.76</v>
      </c>
      <c r="U1366" s="5">
        <v>33.200000000000003</v>
      </c>
      <c r="V1366" s="6">
        <v>4.29</v>
      </c>
      <c r="W1366" s="5">
        <v>40.5</v>
      </c>
      <c r="X1366" s="6">
        <v>40.75</v>
      </c>
      <c r="Y1366" s="6">
        <v>41.25</v>
      </c>
      <c r="Z1366" s="5">
        <v>53.5</v>
      </c>
      <c r="AA1366" s="6">
        <v>0.9</v>
      </c>
      <c r="AB1366" s="7">
        <v>27.655999999999999</v>
      </c>
      <c r="AC1366" s="2"/>
    </row>
    <row r="1367" spans="1:29" ht="156" x14ac:dyDescent="0.15">
      <c r="A1367" s="3">
        <f>DATE(1994,1,7)</f>
        <v>34341</v>
      </c>
      <c r="B1367" s="3">
        <f>DATE(1994,9,29)</f>
        <v>34606</v>
      </c>
      <c r="C1367" s="2" t="s">
        <v>95</v>
      </c>
      <c r="D1367" s="2" t="s">
        <v>3616</v>
      </c>
      <c r="E1367" s="2" t="s">
        <v>3617</v>
      </c>
      <c r="F1367" s="4">
        <v>7841</v>
      </c>
      <c r="G1367" s="2" t="s">
        <v>42</v>
      </c>
      <c r="H1367" s="2" t="s">
        <v>34</v>
      </c>
      <c r="I1367" s="2" t="s">
        <v>4179</v>
      </c>
      <c r="J1367" s="2" t="s">
        <v>4180</v>
      </c>
      <c r="K1367" s="2" t="s">
        <v>45</v>
      </c>
      <c r="L1367" s="2" t="s">
        <v>34</v>
      </c>
      <c r="M1367" s="12">
        <v>5808.6880000000001</v>
      </c>
      <c r="N1367" s="7">
        <v>46.125</v>
      </c>
      <c r="O1367" s="7">
        <v>41.875</v>
      </c>
      <c r="P1367" s="2" t="s">
        <v>4545</v>
      </c>
      <c r="Q1367" s="6">
        <v>100</v>
      </c>
      <c r="R1367" s="6">
        <v>32.21</v>
      </c>
      <c r="S1367" s="5">
        <v>243.6</v>
      </c>
      <c r="T1367" s="6">
        <v>906.43</v>
      </c>
      <c r="U1367" s="5">
        <v>8.6</v>
      </c>
      <c r="V1367" s="6">
        <v>1.1100000000000001</v>
      </c>
      <c r="W1367" s="5">
        <v>27.5</v>
      </c>
      <c r="X1367" s="6">
        <v>26.25</v>
      </c>
      <c r="Y1367" s="7">
        <v>27.375</v>
      </c>
      <c r="Z1367" s="7">
        <v>28.625</v>
      </c>
      <c r="AA1367" s="6">
        <v>247.49</v>
      </c>
      <c r="AB1367" s="7">
        <v>20.058</v>
      </c>
      <c r="AC1367" s="10">
        <v>1882.38</v>
      </c>
    </row>
    <row r="1368" spans="1:29" ht="65" x14ac:dyDescent="0.15">
      <c r="A1368" s="3">
        <f>DATE(1994,1,7)</f>
        <v>34341</v>
      </c>
      <c r="B1368" s="3">
        <f>DATE(1994,2,23)</f>
        <v>34388</v>
      </c>
      <c r="C1368" s="2" t="s">
        <v>95</v>
      </c>
      <c r="D1368" s="2" t="s">
        <v>4546</v>
      </c>
      <c r="E1368" s="2" t="s">
        <v>4547</v>
      </c>
      <c r="F1368" s="4">
        <v>3241</v>
      </c>
      <c r="G1368" s="2" t="s">
        <v>237</v>
      </c>
      <c r="H1368" s="2" t="s">
        <v>34</v>
      </c>
      <c r="I1368" s="2" t="s">
        <v>4548</v>
      </c>
      <c r="J1368" s="2" t="s">
        <v>4549</v>
      </c>
      <c r="K1368" s="2" t="s">
        <v>237</v>
      </c>
      <c r="L1368" s="2" t="s">
        <v>215</v>
      </c>
      <c r="M1368" s="2"/>
      <c r="N1368" s="2"/>
      <c r="O1368" s="2"/>
      <c r="P1368" s="2" t="s">
        <v>4550</v>
      </c>
      <c r="Q1368" s="6">
        <v>5</v>
      </c>
      <c r="R1368" s="6">
        <v>7.65</v>
      </c>
      <c r="S1368" s="5">
        <v>-3.7</v>
      </c>
      <c r="T1368" s="7">
        <v>108.696</v>
      </c>
      <c r="U1368" s="5">
        <v>2.7</v>
      </c>
      <c r="V1368" s="6">
        <v>-0.02</v>
      </c>
      <c r="W1368" s="7">
        <v>6.625</v>
      </c>
      <c r="X1368" s="6">
        <v>6.75</v>
      </c>
      <c r="Y1368" s="7">
        <v>7.625</v>
      </c>
      <c r="Z1368" s="7">
        <v>7.625</v>
      </c>
      <c r="AA1368" s="6">
        <v>135.29</v>
      </c>
      <c r="AB1368" s="7">
        <v>59.32</v>
      </c>
      <c r="AC1368" s="6">
        <v>388.55</v>
      </c>
    </row>
    <row r="1369" spans="1:29" ht="26" x14ac:dyDescent="0.15">
      <c r="A1369" s="3">
        <f>DATE(1994,1,7)</f>
        <v>34341</v>
      </c>
      <c r="B1369" s="2"/>
      <c r="C1369" s="2" t="s">
        <v>30</v>
      </c>
      <c r="D1369" s="2" t="s">
        <v>4551</v>
      </c>
      <c r="E1369" s="2" t="s">
        <v>4552</v>
      </c>
      <c r="F1369" s="4">
        <v>6022</v>
      </c>
      <c r="G1369" s="2" t="s">
        <v>37</v>
      </c>
      <c r="H1369" s="2" t="s">
        <v>34</v>
      </c>
      <c r="I1369" s="2" t="s">
        <v>138</v>
      </c>
      <c r="J1369" s="2" t="s">
        <v>139</v>
      </c>
      <c r="K1369" s="2" t="s">
        <v>53</v>
      </c>
      <c r="L1369" s="2" t="s">
        <v>139</v>
      </c>
      <c r="M1369" s="2"/>
      <c r="N1369" s="2"/>
      <c r="O1369" s="2"/>
      <c r="P1369" s="2" t="s">
        <v>4553</v>
      </c>
      <c r="Q1369" s="2"/>
      <c r="R1369" s="2"/>
      <c r="S1369" s="5">
        <v>51.3</v>
      </c>
      <c r="T1369" s="6">
        <v>89.07</v>
      </c>
      <c r="U1369" s="5">
        <v>8.5</v>
      </c>
      <c r="V1369" s="9">
        <v>1.3733</v>
      </c>
      <c r="W1369" s="5">
        <v>33.5</v>
      </c>
      <c r="X1369" s="5">
        <v>35.5</v>
      </c>
      <c r="Y1369" s="7">
        <v>33.875</v>
      </c>
      <c r="Z1369" s="5">
        <v>33.5</v>
      </c>
      <c r="AA1369" s="2"/>
      <c r="AB1369" s="2" t="s">
        <v>47</v>
      </c>
      <c r="AC1369" s="2"/>
    </row>
    <row r="1370" spans="1:29" ht="104" x14ac:dyDescent="0.15">
      <c r="A1370" s="3">
        <f>DATE(1994,1,10)</f>
        <v>34344</v>
      </c>
      <c r="B1370" s="3">
        <f>DATE(1994,6,17)</f>
        <v>34502</v>
      </c>
      <c r="C1370" s="2" t="s">
        <v>95</v>
      </c>
      <c r="D1370" s="2" t="s">
        <v>4554</v>
      </c>
      <c r="E1370" s="2" t="s">
        <v>4555</v>
      </c>
      <c r="F1370" s="4">
        <v>8011</v>
      </c>
      <c r="G1370" s="2" t="s">
        <v>454</v>
      </c>
      <c r="H1370" s="2" t="s">
        <v>34</v>
      </c>
      <c r="I1370" s="2" t="s">
        <v>4556</v>
      </c>
      <c r="J1370" s="2" t="s">
        <v>1334</v>
      </c>
      <c r="K1370" s="2" t="s">
        <v>454</v>
      </c>
      <c r="L1370" s="2" t="s">
        <v>34</v>
      </c>
      <c r="M1370" s="12">
        <v>1121.259</v>
      </c>
      <c r="N1370" s="5">
        <v>26.5</v>
      </c>
      <c r="O1370" s="4">
        <v>28</v>
      </c>
      <c r="P1370" s="2" t="s">
        <v>4557</v>
      </c>
      <c r="Q1370" s="6">
        <v>100</v>
      </c>
      <c r="R1370" s="6">
        <v>80</v>
      </c>
      <c r="S1370" s="5">
        <v>28.5</v>
      </c>
      <c r="T1370" s="7">
        <v>58.353000000000002</v>
      </c>
      <c r="U1370" s="5">
        <v>18.7</v>
      </c>
      <c r="V1370" s="6">
        <v>2.65</v>
      </c>
      <c r="W1370" s="5">
        <v>55.5</v>
      </c>
      <c r="X1370" s="6">
        <v>51.75</v>
      </c>
      <c r="Y1370" s="6">
        <v>58.25</v>
      </c>
      <c r="Z1370" s="7">
        <v>58.375</v>
      </c>
      <c r="AA1370" s="6">
        <v>12.91</v>
      </c>
      <c r="AB1370" s="7">
        <v>17.728000000000002</v>
      </c>
      <c r="AC1370" s="6">
        <v>176.76</v>
      </c>
    </row>
    <row r="1371" spans="1:29" ht="143" x14ac:dyDescent="0.15">
      <c r="A1371" s="3">
        <f>DATE(1994,1,11)</f>
        <v>34345</v>
      </c>
      <c r="B1371" s="3">
        <f>DATE(1994,8,26)</f>
        <v>34572</v>
      </c>
      <c r="C1371" s="2" t="s">
        <v>95</v>
      </c>
      <c r="D1371" s="2" t="s">
        <v>2543</v>
      </c>
      <c r="E1371" s="2" t="s">
        <v>36</v>
      </c>
      <c r="F1371" s="4">
        <v>6035</v>
      </c>
      <c r="G1371" s="2" t="s">
        <v>33</v>
      </c>
      <c r="H1371" s="2" t="s">
        <v>34</v>
      </c>
      <c r="I1371" s="2" t="s">
        <v>1963</v>
      </c>
      <c r="J1371" s="2" t="s">
        <v>36</v>
      </c>
      <c r="K1371" s="2" t="s">
        <v>37</v>
      </c>
      <c r="L1371" s="2" t="s">
        <v>34</v>
      </c>
      <c r="M1371" s="12">
        <v>3116.165</v>
      </c>
      <c r="N1371" s="6">
        <v>50.25</v>
      </c>
      <c r="O1371" s="6">
        <v>49.75</v>
      </c>
      <c r="P1371" s="2" t="s">
        <v>4558</v>
      </c>
      <c r="Q1371" s="6">
        <v>100</v>
      </c>
      <c r="R1371" s="6">
        <v>57</v>
      </c>
      <c r="S1371" s="5">
        <v>7</v>
      </c>
      <c r="T1371" s="7">
        <v>10.618</v>
      </c>
      <c r="U1371" s="5">
        <v>32.6</v>
      </c>
      <c r="V1371" s="6">
        <v>2.37</v>
      </c>
      <c r="W1371" s="5">
        <v>42.5</v>
      </c>
      <c r="X1371" s="5">
        <v>43.5</v>
      </c>
      <c r="Y1371" s="6">
        <v>52.25</v>
      </c>
      <c r="Z1371" s="4">
        <v>52</v>
      </c>
      <c r="AA1371" s="6">
        <v>2.41</v>
      </c>
      <c r="AB1371" s="7">
        <v>80.334999999999994</v>
      </c>
      <c r="AC1371" s="2"/>
    </row>
    <row r="1372" spans="1:29" ht="156" x14ac:dyDescent="0.15">
      <c r="A1372" s="3">
        <f>DATE(1994,1,13)</f>
        <v>34347</v>
      </c>
      <c r="B1372" s="2"/>
      <c r="C1372" s="2" t="s">
        <v>30</v>
      </c>
      <c r="D1372" s="2" t="s">
        <v>4559</v>
      </c>
      <c r="E1372" s="2" t="s">
        <v>4560</v>
      </c>
      <c r="F1372" s="4">
        <v>5961</v>
      </c>
      <c r="G1372" s="2" t="s">
        <v>73</v>
      </c>
      <c r="H1372" s="2" t="s">
        <v>34</v>
      </c>
      <c r="I1372" s="2" t="s">
        <v>4561</v>
      </c>
      <c r="J1372" s="2" t="s">
        <v>4562</v>
      </c>
      <c r="K1372" s="2" t="s">
        <v>4563</v>
      </c>
      <c r="L1372" s="2" t="s">
        <v>34</v>
      </c>
      <c r="M1372" s="2"/>
      <c r="N1372" s="7">
        <v>14.875</v>
      </c>
      <c r="O1372" s="5">
        <v>14.5</v>
      </c>
      <c r="P1372" s="2" t="s">
        <v>4564</v>
      </c>
      <c r="Q1372" s="2"/>
      <c r="R1372" s="6">
        <v>11.5</v>
      </c>
      <c r="S1372" s="5">
        <v>6.3</v>
      </c>
      <c r="T1372" s="7">
        <v>8.7279999999999998</v>
      </c>
      <c r="U1372" s="5">
        <v>1.5</v>
      </c>
      <c r="V1372" s="6">
        <v>0.48</v>
      </c>
      <c r="W1372" s="4">
        <v>8</v>
      </c>
      <c r="X1372" s="6">
        <v>7.75</v>
      </c>
      <c r="Y1372" s="6">
        <v>8.25</v>
      </c>
      <c r="Z1372" s="6">
        <v>10.25</v>
      </c>
      <c r="AA1372" s="6">
        <v>11.75</v>
      </c>
      <c r="AB1372" s="7">
        <v>20.032</v>
      </c>
      <c r="AC1372" s="6">
        <v>48.38</v>
      </c>
    </row>
    <row r="1373" spans="1:29" ht="78" x14ac:dyDescent="0.15">
      <c r="A1373" s="3">
        <f>DATE(1994,1,14)</f>
        <v>34348</v>
      </c>
      <c r="B1373" s="3">
        <f>DATE(1994,9,30)</f>
        <v>34607</v>
      </c>
      <c r="C1373" s="2" t="s">
        <v>95</v>
      </c>
      <c r="D1373" s="2" t="s">
        <v>4565</v>
      </c>
      <c r="E1373" s="2" t="s">
        <v>4566</v>
      </c>
      <c r="F1373" s="4">
        <v>6512</v>
      </c>
      <c r="G1373" s="2" t="s">
        <v>109</v>
      </c>
      <c r="H1373" s="2" t="s">
        <v>34</v>
      </c>
      <c r="I1373" s="2" t="s">
        <v>4567</v>
      </c>
      <c r="J1373" s="2" t="s">
        <v>92</v>
      </c>
      <c r="K1373" s="2" t="s">
        <v>53</v>
      </c>
      <c r="L1373" s="2" t="s">
        <v>34</v>
      </c>
      <c r="M1373" s="7">
        <v>253.232</v>
      </c>
      <c r="N1373" s="7">
        <v>14.625</v>
      </c>
      <c r="O1373" s="7">
        <v>14.625</v>
      </c>
      <c r="P1373" s="2" t="s">
        <v>4568</v>
      </c>
      <c r="Q1373" s="6">
        <v>100</v>
      </c>
      <c r="R1373" s="6">
        <v>22.16</v>
      </c>
      <c r="S1373" s="5">
        <v>4.3</v>
      </c>
      <c r="T1373" s="7">
        <v>5.484</v>
      </c>
      <c r="U1373" s="5">
        <v>9.9</v>
      </c>
      <c r="V1373" s="6">
        <v>2.0499999999999998</v>
      </c>
      <c r="W1373" s="6">
        <v>18.25</v>
      </c>
      <c r="X1373" s="7">
        <v>19.625</v>
      </c>
      <c r="Y1373" s="7">
        <v>19.375</v>
      </c>
      <c r="Z1373" s="7">
        <v>19.375</v>
      </c>
      <c r="AA1373" s="6">
        <v>2.63</v>
      </c>
      <c r="AB1373" s="7">
        <v>12.968999999999999</v>
      </c>
      <c r="AC1373" s="6">
        <v>10.53</v>
      </c>
    </row>
    <row r="1374" spans="1:29" ht="117" x14ac:dyDescent="0.15">
      <c r="A1374" s="3">
        <f>DATE(1994,1,17)</f>
        <v>34351</v>
      </c>
      <c r="B1374" s="3">
        <f>DATE(1994,8,1)</f>
        <v>34547</v>
      </c>
      <c r="C1374" s="2" t="s">
        <v>95</v>
      </c>
      <c r="D1374" s="2" t="s">
        <v>4569</v>
      </c>
      <c r="E1374" s="2" t="s">
        <v>1085</v>
      </c>
      <c r="F1374" s="4">
        <v>6111</v>
      </c>
      <c r="G1374" s="2" t="s">
        <v>370</v>
      </c>
      <c r="H1374" s="2" t="s">
        <v>34</v>
      </c>
      <c r="I1374" s="2" t="s">
        <v>2897</v>
      </c>
      <c r="J1374" s="2" t="s">
        <v>2898</v>
      </c>
      <c r="K1374" s="2" t="s">
        <v>37</v>
      </c>
      <c r="L1374" s="2" t="s">
        <v>34</v>
      </c>
      <c r="M1374" s="12">
        <v>7024.6880000000001</v>
      </c>
      <c r="N1374" s="7">
        <v>41.875</v>
      </c>
      <c r="O1374" s="4">
        <v>43</v>
      </c>
      <c r="P1374" s="2" t="s">
        <v>4570</v>
      </c>
      <c r="Q1374" s="6">
        <v>100</v>
      </c>
      <c r="R1374" s="6">
        <v>30</v>
      </c>
      <c r="S1374" s="5">
        <v>10.3</v>
      </c>
      <c r="T1374" s="7">
        <v>21.161000000000001</v>
      </c>
      <c r="U1374" s="5">
        <v>17.3</v>
      </c>
      <c r="V1374" s="6">
        <v>2.46</v>
      </c>
      <c r="W1374" s="7">
        <v>20.125</v>
      </c>
      <c r="X1374" s="4">
        <v>23</v>
      </c>
      <c r="Y1374" s="7">
        <v>26.875</v>
      </c>
      <c r="Z1374" s="7">
        <v>26.875</v>
      </c>
      <c r="AA1374" s="6">
        <v>3.62</v>
      </c>
      <c r="AB1374" s="7">
        <v>25.297000000000001</v>
      </c>
      <c r="AC1374" s="2"/>
    </row>
    <row r="1375" spans="1:29" ht="65" x14ac:dyDescent="0.15">
      <c r="A1375" s="3">
        <f>DATE(1994,1,17)</f>
        <v>34351</v>
      </c>
      <c r="B1375" s="3">
        <f>DATE(1994,2,8)</f>
        <v>34373</v>
      </c>
      <c r="C1375" s="2" t="s">
        <v>95</v>
      </c>
      <c r="D1375" s="2" t="s">
        <v>4571</v>
      </c>
      <c r="E1375" s="2" t="s">
        <v>4572</v>
      </c>
      <c r="F1375" s="4">
        <v>7379</v>
      </c>
      <c r="G1375" s="2" t="s">
        <v>223</v>
      </c>
      <c r="H1375" s="2" t="s">
        <v>34</v>
      </c>
      <c r="I1375" s="2" t="s">
        <v>4573</v>
      </c>
      <c r="J1375" s="2" t="s">
        <v>4574</v>
      </c>
      <c r="K1375" s="2" t="s">
        <v>98</v>
      </c>
      <c r="L1375" s="2" t="s">
        <v>34</v>
      </c>
      <c r="M1375" s="2"/>
      <c r="N1375" s="7">
        <v>26.125</v>
      </c>
      <c r="O1375" s="6">
        <v>26.25</v>
      </c>
      <c r="P1375" s="2" t="s">
        <v>4575</v>
      </c>
      <c r="Q1375" s="2"/>
      <c r="R1375" s="2"/>
      <c r="S1375" s="5">
        <v>-3.2</v>
      </c>
      <c r="T1375" s="7">
        <v>-3.1309999999999998</v>
      </c>
      <c r="U1375" s="5">
        <v>0.1</v>
      </c>
      <c r="V1375" s="6">
        <v>-0.47</v>
      </c>
      <c r="W1375" s="7">
        <v>4.8440000000000003</v>
      </c>
      <c r="X1375" s="7">
        <v>5.0629999999999997</v>
      </c>
      <c r="Y1375" s="7">
        <v>5.0629999999999997</v>
      </c>
      <c r="Z1375" s="7">
        <v>5.0940000000000003</v>
      </c>
      <c r="AA1375" s="2"/>
      <c r="AB1375" s="2" t="s">
        <v>86</v>
      </c>
      <c r="AC1375" s="6">
        <v>25.61</v>
      </c>
    </row>
    <row r="1376" spans="1:29" ht="130" x14ac:dyDescent="0.15">
      <c r="A1376" s="3">
        <f>DATE(1994,1,17)</f>
        <v>34351</v>
      </c>
      <c r="B1376" s="3">
        <f>DATE(1994,8,1)</f>
        <v>34547</v>
      </c>
      <c r="C1376" s="2" t="s">
        <v>95</v>
      </c>
      <c r="D1376" s="2" t="s">
        <v>4096</v>
      </c>
      <c r="E1376" s="2" t="s">
        <v>4097</v>
      </c>
      <c r="F1376" s="4">
        <v>3625</v>
      </c>
      <c r="G1376" s="2" t="s">
        <v>137</v>
      </c>
      <c r="H1376" s="2" t="s">
        <v>34</v>
      </c>
      <c r="I1376" s="2" t="s">
        <v>4576</v>
      </c>
      <c r="J1376" s="2" t="s">
        <v>4577</v>
      </c>
      <c r="K1376" s="2" t="s">
        <v>137</v>
      </c>
      <c r="L1376" s="2" t="s">
        <v>34</v>
      </c>
      <c r="M1376" s="7">
        <v>12.236000000000001</v>
      </c>
      <c r="N1376" s="4">
        <v>4</v>
      </c>
      <c r="O1376" s="4">
        <v>4</v>
      </c>
      <c r="P1376" s="2" t="s">
        <v>4578</v>
      </c>
      <c r="Q1376" s="6">
        <v>100</v>
      </c>
      <c r="R1376" s="6">
        <v>4.8</v>
      </c>
      <c r="S1376" s="5">
        <v>-0.3</v>
      </c>
      <c r="T1376" s="7">
        <v>-0.122</v>
      </c>
      <c r="U1376" s="5">
        <v>3.7</v>
      </c>
      <c r="V1376" s="6">
        <v>-0.22</v>
      </c>
      <c r="W1376" s="5">
        <v>2.5</v>
      </c>
      <c r="X1376" s="7">
        <v>2.875</v>
      </c>
      <c r="Y1376" s="6">
        <v>3.25</v>
      </c>
      <c r="Z1376" s="6">
        <v>3.75</v>
      </c>
      <c r="AA1376" s="6">
        <v>1.36</v>
      </c>
      <c r="AB1376" s="2" t="s">
        <v>86</v>
      </c>
      <c r="AC1376" s="2"/>
    </row>
    <row r="1377" spans="1:29" ht="130" x14ac:dyDescent="0.15">
      <c r="A1377" s="3">
        <f>DATE(1994,1,18)</f>
        <v>34352</v>
      </c>
      <c r="B1377" s="3">
        <f>DATE(1994,8,1)</f>
        <v>34547</v>
      </c>
      <c r="C1377" s="2" t="s">
        <v>95</v>
      </c>
      <c r="D1377" s="2" t="s">
        <v>4579</v>
      </c>
      <c r="E1377" s="2" t="s">
        <v>36</v>
      </c>
      <c r="F1377" s="4">
        <v>6022</v>
      </c>
      <c r="G1377" s="2" t="s">
        <v>37</v>
      </c>
      <c r="H1377" s="2" t="s">
        <v>34</v>
      </c>
      <c r="I1377" s="2" t="s">
        <v>3924</v>
      </c>
      <c r="J1377" s="2" t="s">
        <v>3925</v>
      </c>
      <c r="K1377" s="2" t="s">
        <v>37</v>
      </c>
      <c r="L1377" s="2" t="s">
        <v>34</v>
      </c>
      <c r="M1377" s="7">
        <v>613.60900000000004</v>
      </c>
      <c r="N1377" s="4">
        <v>30</v>
      </c>
      <c r="O1377" s="6">
        <v>29.75</v>
      </c>
      <c r="P1377" s="2" t="s">
        <v>4580</v>
      </c>
      <c r="Q1377" s="6">
        <v>100</v>
      </c>
      <c r="R1377" s="6">
        <v>42</v>
      </c>
      <c r="S1377" s="5">
        <v>7.5</v>
      </c>
      <c r="T1377" s="6">
        <v>11.83</v>
      </c>
      <c r="U1377" s="5">
        <v>18</v>
      </c>
      <c r="V1377" s="6">
        <v>2.4500000000000002</v>
      </c>
      <c r="W1377" s="6">
        <v>30.25</v>
      </c>
      <c r="X1377" s="4">
        <v>31</v>
      </c>
      <c r="Y1377" s="5">
        <v>37.5</v>
      </c>
      <c r="Z1377" s="7">
        <v>37.125</v>
      </c>
      <c r="AA1377" s="6">
        <v>3.13</v>
      </c>
      <c r="AB1377" s="7">
        <v>50.048999999999999</v>
      </c>
      <c r="AC1377" s="2"/>
    </row>
    <row r="1378" spans="1:29" ht="91" x14ac:dyDescent="0.15">
      <c r="A1378" s="3">
        <f>DATE(1994,1,18)</f>
        <v>34352</v>
      </c>
      <c r="B1378" s="2"/>
      <c r="C1378" s="2" t="s">
        <v>141</v>
      </c>
      <c r="D1378" s="2" t="s">
        <v>4581</v>
      </c>
      <c r="E1378" s="2" t="s">
        <v>4582</v>
      </c>
      <c r="F1378" s="4">
        <v>5912</v>
      </c>
      <c r="G1378" s="2" t="s">
        <v>73</v>
      </c>
      <c r="H1378" s="2" t="s">
        <v>34</v>
      </c>
      <c r="I1378" s="2" t="s">
        <v>143</v>
      </c>
      <c r="J1378" s="2" t="s">
        <v>144</v>
      </c>
      <c r="K1378" s="2" t="s">
        <v>53</v>
      </c>
      <c r="L1378" s="2" t="s">
        <v>139</v>
      </c>
      <c r="M1378" s="2"/>
      <c r="N1378" s="2"/>
      <c r="O1378" s="2"/>
      <c r="P1378" s="2" t="s">
        <v>4583</v>
      </c>
      <c r="Q1378" s="2"/>
      <c r="R1378" s="2"/>
      <c r="S1378" s="5">
        <v>-4.3</v>
      </c>
      <c r="T1378" s="7">
        <v>-1.6379999999999999</v>
      </c>
      <c r="U1378" s="5">
        <v>7.3</v>
      </c>
      <c r="V1378" s="6">
        <v>-0.82</v>
      </c>
      <c r="W1378" s="7">
        <v>4.375</v>
      </c>
      <c r="X1378" s="7">
        <v>4.625</v>
      </c>
      <c r="Y1378" s="7">
        <v>4.625</v>
      </c>
      <c r="Z1378" s="5">
        <v>4.5</v>
      </c>
      <c r="AA1378" s="2"/>
      <c r="AB1378" s="2" t="s">
        <v>86</v>
      </c>
      <c r="AC1378" s="2"/>
    </row>
    <row r="1379" spans="1:29" ht="143" x14ac:dyDescent="0.15">
      <c r="A1379" s="3">
        <f>DATE(1994,1,19)</f>
        <v>34353</v>
      </c>
      <c r="B1379" s="2"/>
      <c r="C1379" s="2" t="s">
        <v>30</v>
      </c>
      <c r="D1379" s="2" t="s">
        <v>4112</v>
      </c>
      <c r="E1379" s="2" t="s">
        <v>4113</v>
      </c>
      <c r="F1379" s="4">
        <v>3821</v>
      </c>
      <c r="G1379" s="2" t="s">
        <v>226</v>
      </c>
      <c r="H1379" s="2" t="s">
        <v>34</v>
      </c>
      <c r="I1379" s="2" t="s">
        <v>4584</v>
      </c>
      <c r="J1379" s="2" t="s">
        <v>4585</v>
      </c>
      <c r="K1379" s="2" t="s">
        <v>226</v>
      </c>
      <c r="L1379" s="2" t="s">
        <v>34</v>
      </c>
      <c r="M1379" s="7">
        <v>54.427999999999997</v>
      </c>
      <c r="N1379" s="6">
        <v>14.25</v>
      </c>
      <c r="O1379" s="7">
        <v>14.125</v>
      </c>
      <c r="P1379" s="2" t="s">
        <v>4586</v>
      </c>
      <c r="Q1379" s="2"/>
      <c r="R1379" s="6">
        <v>1.34</v>
      </c>
      <c r="S1379" s="5">
        <v>-10</v>
      </c>
      <c r="T1379" s="7">
        <v>-8.5679999999999996</v>
      </c>
      <c r="U1379" s="2"/>
      <c r="V1379" s="6">
        <v>-6.24</v>
      </c>
      <c r="W1379" s="9">
        <v>4.0625</v>
      </c>
      <c r="X1379" s="4">
        <v>4</v>
      </c>
      <c r="Y1379" s="4">
        <v>4</v>
      </c>
      <c r="Z1379" s="4">
        <v>4</v>
      </c>
      <c r="AA1379" s="6">
        <v>1.87</v>
      </c>
      <c r="AB1379" s="2" t="s">
        <v>86</v>
      </c>
      <c r="AC1379" s="2"/>
    </row>
    <row r="1380" spans="1:29" ht="156" x14ac:dyDescent="0.15">
      <c r="A1380" s="3">
        <f>DATE(1994,1,19)</f>
        <v>34353</v>
      </c>
      <c r="B1380" s="2"/>
      <c r="C1380" s="2" t="s">
        <v>30</v>
      </c>
      <c r="D1380" s="2" t="s">
        <v>4554</v>
      </c>
      <c r="E1380" s="2" t="s">
        <v>4555</v>
      </c>
      <c r="F1380" s="4">
        <v>8011</v>
      </c>
      <c r="G1380" s="2" t="s">
        <v>454</v>
      </c>
      <c r="H1380" s="2" t="s">
        <v>34</v>
      </c>
      <c r="I1380" s="2" t="s">
        <v>3765</v>
      </c>
      <c r="J1380" s="2" t="s">
        <v>1334</v>
      </c>
      <c r="K1380" s="2" t="s">
        <v>125</v>
      </c>
      <c r="L1380" s="2" t="s">
        <v>34</v>
      </c>
      <c r="M1380" s="12">
        <v>5776.3890000000001</v>
      </c>
      <c r="N1380" s="7">
        <v>82.875</v>
      </c>
      <c r="O1380" s="7">
        <v>83.625</v>
      </c>
      <c r="P1380" s="2" t="s">
        <v>4587</v>
      </c>
      <c r="Q1380" s="2"/>
      <c r="R1380" s="6">
        <v>70.34</v>
      </c>
      <c r="S1380" s="5">
        <v>37.6</v>
      </c>
      <c r="T1380" s="2"/>
      <c r="U1380" s="5">
        <v>19.600000000000001</v>
      </c>
      <c r="V1380" s="6">
        <v>3.14</v>
      </c>
      <c r="W1380" s="5">
        <v>58.5</v>
      </c>
      <c r="X1380" s="4">
        <v>60</v>
      </c>
      <c r="Y1380" s="5">
        <v>60.5</v>
      </c>
      <c r="Z1380" s="6">
        <v>63.25</v>
      </c>
      <c r="AA1380" s="6">
        <v>12.75</v>
      </c>
      <c r="AB1380" s="2" t="s">
        <v>47</v>
      </c>
      <c r="AC1380" s="6">
        <v>146.38999999999999</v>
      </c>
    </row>
    <row r="1381" spans="1:29" ht="143" x14ac:dyDescent="0.15">
      <c r="A1381" s="3">
        <f>DATE(1994,1,20)</f>
        <v>34354</v>
      </c>
      <c r="B1381" s="3">
        <f>DATE(1994,8,17)</f>
        <v>34563</v>
      </c>
      <c r="C1381" s="2" t="s">
        <v>95</v>
      </c>
      <c r="D1381" s="2" t="s">
        <v>4588</v>
      </c>
      <c r="E1381" s="2" t="s">
        <v>4589</v>
      </c>
      <c r="F1381" s="4">
        <v>3634</v>
      </c>
      <c r="G1381" s="2" t="s">
        <v>137</v>
      </c>
      <c r="H1381" s="2" t="s">
        <v>34</v>
      </c>
      <c r="I1381" s="2" t="s">
        <v>4590</v>
      </c>
      <c r="J1381" s="2" t="s">
        <v>4591</v>
      </c>
      <c r="K1381" s="2" t="s">
        <v>226</v>
      </c>
      <c r="L1381" s="2" t="s">
        <v>34</v>
      </c>
      <c r="M1381" s="2"/>
      <c r="N1381" s="4">
        <v>6</v>
      </c>
      <c r="O1381" s="7">
        <v>6.125</v>
      </c>
      <c r="P1381" s="2" t="s">
        <v>4592</v>
      </c>
      <c r="Q1381" s="6">
        <v>100</v>
      </c>
      <c r="R1381" s="6">
        <v>15.5</v>
      </c>
      <c r="S1381" s="5">
        <v>6.8</v>
      </c>
      <c r="T1381" s="7">
        <v>17.766999999999999</v>
      </c>
      <c r="U1381" s="5">
        <v>7.4</v>
      </c>
      <c r="V1381" s="6">
        <v>0.82</v>
      </c>
      <c r="W1381" s="7">
        <v>11.125</v>
      </c>
      <c r="X1381" s="5">
        <v>11.5</v>
      </c>
      <c r="Y1381" s="6">
        <v>11.75</v>
      </c>
      <c r="Z1381" s="4">
        <v>14</v>
      </c>
      <c r="AA1381" s="6">
        <v>8.33</v>
      </c>
      <c r="AB1381" s="7">
        <v>10.976000000000001</v>
      </c>
      <c r="AC1381" s="2"/>
    </row>
    <row r="1382" spans="1:29" ht="117" x14ac:dyDescent="0.15">
      <c r="A1382" s="3">
        <f>DATE(1994,1,21)</f>
        <v>34355</v>
      </c>
      <c r="B1382" s="3">
        <f>DATE(1994,5,12)</f>
        <v>34466</v>
      </c>
      <c r="C1382" s="2" t="s">
        <v>95</v>
      </c>
      <c r="D1382" s="2" t="s">
        <v>4593</v>
      </c>
      <c r="E1382" s="2" t="s">
        <v>4594</v>
      </c>
      <c r="F1382" s="4">
        <v>7011</v>
      </c>
      <c r="G1382" s="2" t="s">
        <v>269</v>
      </c>
      <c r="H1382" s="2" t="s">
        <v>34</v>
      </c>
      <c r="I1382" s="2" t="s">
        <v>4595</v>
      </c>
      <c r="J1382" s="2" t="s">
        <v>4596</v>
      </c>
      <c r="K1382" s="2" t="s">
        <v>269</v>
      </c>
      <c r="L1382" s="2" t="s">
        <v>34</v>
      </c>
      <c r="M1382" s="2"/>
      <c r="N1382" s="2"/>
      <c r="O1382" s="2"/>
      <c r="P1382" s="2" t="s">
        <v>4597</v>
      </c>
      <c r="Q1382" s="6">
        <v>100</v>
      </c>
      <c r="R1382" s="6">
        <v>10.67</v>
      </c>
      <c r="S1382" s="5">
        <v>1.2</v>
      </c>
      <c r="T1382" s="2"/>
      <c r="U1382" s="2"/>
      <c r="V1382" s="6">
        <v>0.3</v>
      </c>
      <c r="W1382" s="6">
        <v>5.75</v>
      </c>
      <c r="X1382" s="6">
        <v>5.75</v>
      </c>
      <c r="Y1382" s="6">
        <v>5.75</v>
      </c>
      <c r="Z1382" s="6">
        <v>5.75</v>
      </c>
      <c r="AA1382" s="6">
        <v>3.19</v>
      </c>
      <c r="AB1382" s="7">
        <v>7.9740000000000002</v>
      </c>
      <c r="AC1382" s="2"/>
    </row>
    <row r="1383" spans="1:29" ht="143" x14ac:dyDescent="0.15">
      <c r="A1383" s="3">
        <f>DATE(1994,1,24)</f>
        <v>34358</v>
      </c>
      <c r="B1383" s="3">
        <f>DATE(1994,5,18)</f>
        <v>34472</v>
      </c>
      <c r="C1383" s="2" t="s">
        <v>95</v>
      </c>
      <c r="D1383" s="2" t="s">
        <v>4598</v>
      </c>
      <c r="E1383" s="2" t="s">
        <v>4599</v>
      </c>
      <c r="F1383" s="4">
        <v>5812</v>
      </c>
      <c r="G1383" s="2" t="s">
        <v>230</v>
      </c>
      <c r="H1383" s="2" t="s">
        <v>34</v>
      </c>
      <c r="I1383" s="2" t="s">
        <v>4600</v>
      </c>
      <c r="J1383" s="2" t="s">
        <v>4601</v>
      </c>
      <c r="K1383" s="2" t="s">
        <v>230</v>
      </c>
      <c r="L1383" s="2" t="s">
        <v>34</v>
      </c>
      <c r="M1383" s="12">
        <v>2054.7930000000001</v>
      </c>
      <c r="N1383" s="7">
        <v>43.625</v>
      </c>
      <c r="O1383" s="4">
        <v>43</v>
      </c>
      <c r="P1383" s="2" t="s">
        <v>4602</v>
      </c>
      <c r="Q1383" s="6">
        <v>100</v>
      </c>
      <c r="R1383" s="6">
        <v>9.6</v>
      </c>
      <c r="S1383" s="5">
        <v>-2.7</v>
      </c>
      <c r="T1383" s="7">
        <v>-1.113</v>
      </c>
      <c r="U1383" s="5">
        <v>1.5</v>
      </c>
      <c r="V1383" s="6">
        <v>-0.84</v>
      </c>
      <c r="W1383" s="4">
        <v>7</v>
      </c>
      <c r="X1383" s="6">
        <v>6.75</v>
      </c>
      <c r="Y1383" s="6">
        <v>7.25</v>
      </c>
      <c r="Z1383" s="7">
        <v>8.375</v>
      </c>
      <c r="AA1383" s="6">
        <v>3.21</v>
      </c>
      <c r="AB1383" s="2" t="s">
        <v>86</v>
      </c>
      <c r="AC1383" s="6">
        <v>5.47</v>
      </c>
    </row>
    <row r="1384" spans="1:29" ht="117" x14ac:dyDescent="0.15">
      <c r="A1384" s="3">
        <f>DATE(1994,1,24)</f>
        <v>34358</v>
      </c>
      <c r="B1384" s="2"/>
      <c r="C1384" s="2" t="s">
        <v>30</v>
      </c>
      <c r="D1384" s="2" t="s">
        <v>4603</v>
      </c>
      <c r="E1384" s="2" t="s">
        <v>4604</v>
      </c>
      <c r="F1384" s="4">
        <v>2015</v>
      </c>
      <c r="G1384" s="2" t="s">
        <v>577</v>
      </c>
      <c r="H1384" s="2" t="s">
        <v>34</v>
      </c>
      <c r="I1384" s="2" t="s">
        <v>2960</v>
      </c>
      <c r="J1384" s="2" t="s">
        <v>2961</v>
      </c>
      <c r="K1384" s="2" t="s">
        <v>577</v>
      </c>
      <c r="L1384" s="2" t="s">
        <v>34</v>
      </c>
      <c r="M1384" s="12">
        <v>3503.1930000000002</v>
      </c>
      <c r="N1384" s="7">
        <v>23.125</v>
      </c>
      <c r="O1384" s="6">
        <v>23.25</v>
      </c>
      <c r="P1384" s="2" t="s">
        <v>4605</v>
      </c>
      <c r="Q1384" s="2"/>
      <c r="R1384" s="6">
        <v>30</v>
      </c>
      <c r="S1384" s="5">
        <v>14.6</v>
      </c>
      <c r="T1384" s="7">
        <v>44.070999999999998</v>
      </c>
      <c r="U1384" s="5">
        <v>8.6999999999999993</v>
      </c>
      <c r="V1384" s="9">
        <v>0.94669999999999999</v>
      </c>
      <c r="W1384" s="5">
        <v>18.5</v>
      </c>
      <c r="X1384" s="6">
        <v>19.25</v>
      </c>
      <c r="Y1384" s="4">
        <v>19</v>
      </c>
      <c r="Z1384" s="5">
        <v>28.5</v>
      </c>
      <c r="AA1384" s="6">
        <v>10.97</v>
      </c>
      <c r="AB1384" s="7">
        <v>21.994</v>
      </c>
      <c r="AC1384" s="6">
        <v>21.55</v>
      </c>
    </row>
    <row r="1385" spans="1:29" ht="143" x14ac:dyDescent="0.15">
      <c r="A1385" s="3">
        <f>DATE(1994,1,28)</f>
        <v>34362</v>
      </c>
      <c r="B1385" s="3">
        <f>DATE(1994,9,1)</f>
        <v>34578</v>
      </c>
      <c r="C1385" s="2" t="s">
        <v>95</v>
      </c>
      <c r="D1385" s="2" t="s">
        <v>4606</v>
      </c>
      <c r="E1385" s="2" t="s">
        <v>36</v>
      </c>
      <c r="F1385" s="4">
        <v>6021</v>
      </c>
      <c r="G1385" s="2" t="s">
        <v>37</v>
      </c>
      <c r="H1385" s="2" t="s">
        <v>34</v>
      </c>
      <c r="I1385" s="2" t="s">
        <v>1955</v>
      </c>
      <c r="J1385" s="2" t="s">
        <v>672</v>
      </c>
      <c r="K1385" s="2" t="s">
        <v>37</v>
      </c>
      <c r="L1385" s="2" t="s">
        <v>34</v>
      </c>
      <c r="M1385" s="7">
        <v>546.90099999999995</v>
      </c>
      <c r="N1385" s="6">
        <v>24.75</v>
      </c>
      <c r="O1385" s="7">
        <v>24.625</v>
      </c>
      <c r="P1385" s="2" t="s">
        <v>4607</v>
      </c>
      <c r="Q1385" s="6">
        <v>100</v>
      </c>
      <c r="R1385" s="6">
        <v>27.36</v>
      </c>
      <c r="S1385" s="5">
        <v>4.7</v>
      </c>
      <c r="T1385" s="7">
        <v>7.6470000000000002</v>
      </c>
      <c r="U1385" s="5">
        <v>16.399999999999999</v>
      </c>
      <c r="V1385" s="6">
        <v>2.5299999999999998</v>
      </c>
      <c r="W1385" s="6">
        <v>18.75</v>
      </c>
      <c r="X1385" s="4">
        <v>18</v>
      </c>
      <c r="Y1385" s="7">
        <v>24.375</v>
      </c>
      <c r="Z1385" s="5">
        <v>24.5</v>
      </c>
      <c r="AA1385" s="6">
        <v>1.78</v>
      </c>
      <c r="AB1385" s="7">
        <v>35.164000000000001</v>
      </c>
      <c r="AC1385" s="2"/>
    </row>
    <row r="1386" spans="1:29" ht="156" x14ac:dyDescent="0.15">
      <c r="A1386" s="3">
        <f>DATE(1994,1,28)</f>
        <v>34362</v>
      </c>
      <c r="B1386" s="3">
        <f>DATE(1994,9,1)</f>
        <v>34578</v>
      </c>
      <c r="C1386" s="2" t="s">
        <v>95</v>
      </c>
      <c r="D1386" s="2" t="s">
        <v>4608</v>
      </c>
      <c r="E1386" s="2" t="s">
        <v>36</v>
      </c>
      <c r="F1386" s="4">
        <v>6022</v>
      </c>
      <c r="G1386" s="2" t="s">
        <v>37</v>
      </c>
      <c r="H1386" s="2" t="s">
        <v>34</v>
      </c>
      <c r="I1386" s="2" t="s">
        <v>1610</v>
      </c>
      <c r="J1386" s="2" t="s">
        <v>36</v>
      </c>
      <c r="K1386" s="2" t="s">
        <v>37</v>
      </c>
      <c r="L1386" s="2" t="s">
        <v>34</v>
      </c>
      <c r="M1386" s="12">
        <v>16597.613000000001</v>
      </c>
      <c r="N1386" s="7">
        <v>45.375</v>
      </c>
      <c r="O1386" s="5">
        <v>46.5</v>
      </c>
      <c r="P1386" s="2" t="s">
        <v>4609</v>
      </c>
      <c r="Q1386" s="6">
        <v>100</v>
      </c>
      <c r="R1386" s="6">
        <v>38.299999999999997</v>
      </c>
      <c r="S1386" s="5">
        <v>258</v>
      </c>
      <c r="T1386" s="2"/>
      <c r="U1386" s="5">
        <v>30</v>
      </c>
      <c r="V1386" s="6">
        <v>4.12</v>
      </c>
      <c r="W1386" s="7">
        <v>26.875</v>
      </c>
      <c r="X1386" s="7">
        <v>27.875</v>
      </c>
      <c r="Y1386" s="4">
        <v>34</v>
      </c>
      <c r="Z1386" s="7">
        <v>35.125</v>
      </c>
      <c r="AA1386" s="6">
        <v>50.2</v>
      </c>
      <c r="AB1386" s="7">
        <v>34.430999999999997</v>
      </c>
      <c r="AC1386" s="2"/>
    </row>
    <row r="1387" spans="1:29" ht="91" x14ac:dyDescent="0.15">
      <c r="A1387" s="3">
        <f>DATE(1994,1,28)</f>
        <v>34362</v>
      </c>
      <c r="B1387" s="3">
        <f>DATE(1994,8,19)</f>
        <v>34565</v>
      </c>
      <c r="C1387" s="2" t="s">
        <v>95</v>
      </c>
      <c r="D1387" s="2" t="s">
        <v>4610</v>
      </c>
      <c r="E1387" s="2" t="s">
        <v>36</v>
      </c>
      <c r="F1387" s="4">
        <v>6036</v>
      </c>
      <c r="G1387" s="2" t="s">
        <v>33</v>
      </c>
      <c r="H1387" s="2" t="s">
        <v>34</v>
      </c>
      <c r="I1387" s="2" t="s">
        <v>67</v>
      </c>
      <c r="J1387" s="2" t="s">
        <v>36</v>
      </c>
      <c r="K1387" s="2" t="s">
        <v>37</v>
      </c>
      <c r="L1387" s="2" t="s">
        <v>34</v>
      </c>
      <c r="M1387" s="12">
        <v>3633.9940000000001</v>
      </c>
      <c r="N1387" s="7">
        <v>43.375</v>
      </c>
      <c r="O1387" s="7">
        <v>44.125</v>
      </c>
      <c r="P1387" s="2" t="s">
        <v>4611</v>
      </c>
      <c r="Q1387" s="6">
        <v>100</v>
      </c>
      <c r="R1387" s="6">
        <v>24.2</v>
      </c>
      <c r="S1387" s="5">
        <v>2.2000000000000002</v>
      </c>
      <c r="T1387" s="7">
        <v>4.8639999999999999</v>
      </c>
      <c r="U1387" s="5">
        <v>18.2</v>
      </c>
      <c r="V1387" s="6">
        <v>0.96</v>
      </c>
      <c r="W1387" s="5">
        <v>19.5</v>
      </c>
      <c r="X1387" s="6">
        <v>20.25</v>
      </c>
      <c r="Y1387" s="7">
        <v>23.125</v>
      </c>
      <c r="Z1387" s="6">
        <v>23.25</v>
      </c>
      <c r="AA1387" s="6">
        <v>2.31</v>
      </c>
      <c r="AB1387" s="7">
        <v>107.848</v>
      </c>
      <c r="AC1387" s="2"/>
    </row>
    <row r="1388" spans="1:29" ht="169" x14ac:dyDescent="0.15">
      <c r="A1388" s="3">
        <f>DATE(1994,1,31)</f>
        <v>34365</v>
      </c>
      <c r="B1388" s="3">
        <f>DATE(1994,6,3)</f>
        <v>34488</v>
      </c>
      <c r="C1388" s="2" t="s">
        <v>95</v>
      </c>
      <c r="D1388" s="2" t="s">
        <v>4612</v>
      </c>
      <c r="E1388" s="2" t="s">
        <v>4613</v>
      </c>
      <c r="F1388" s="4">
        <v>3663</v>
      </c>
      <c r="G1388" s="2" t="s">
        <v>921</v>
      </c>
      <c r="H1388" s="2" t="s">
        <v>34</v>
      </c>
      <c r="I1388" s="2" t="s">
        <v>4614</v>
      </c>
      <c r="J1388" s="2" t="s">
        <v>4615</v>
      </c>
      <c r="K1388" s="2" t="s">
        <v>63</v>
      </c>
      <c r="L1388" s="2" t="s">
        <v>34</v>
      </c>
      <c r="M1388" s="2"/>
      <c r="N1388" s="2"/>
      <c r="O1388" s="2"/>
      <c r="P1388" s="2" t="s">
        <v>4616</v>
      </c>
      <c r="Q1388" s="6">
        <v>95.13</v>
      </c>
      <c r="R1388" s="6">
        <v>18.25</v>
      </c>
      <c r="S1388" s="5">
        <v>10.199999999999999</v>
      </c>
      <c r="T1388" s="6">
        <v>19.29</v>
      </c>
      <c r="U1388" s="5">
        <v>10.3</v>
      </c>
      <c r="V1388" s="6">
        <v>1.23</v>
      </c>
      <c r="W1388" s="6">
        <v>13.25</v>
      </c>
      <c r="X1388" s="5">
        <v>13.5</v>
      </c>
      <c r="Y1388" s="7">
        <v>17.625</v>
      </c>
      <c r="Z1388" s="7">
        <v>17.625</v>
      </c>
      <c r="AA1388" s="6">
        <v>8.3000000000000007</v>
      </c>
      <c r="AB1388" s="7">
        <v>10.071999999999999</v>
      </c>
      <c r="AC1388" s="6">
        <v>8.7899999999999991</v>
      </c>
    </row>
    <row r="1389" spans="1:29" ht="117" x14ac:dyDescent="0.15">
      <c r="A1389" s="3">
        <f>DATE(1994,1,31)</f>
        <v>34365</v>
      </c>
      <c r="B1389" s="3">
        <f>DATE(1994,3,31)</f>
        <v>34424</v>
      </c>
      <c r="C1389" s="2" t="s">
        <v>95</v>
      </c>
      <c r="D1389" s="2" t="s">
        <v>4617</v>
      </c>
      <c r="E1389" s="2" t="s">
        <v>4618</v>
      </c>
      <c r="F1389" s="4">
        <v>3661</v>
      </c>
      <c r="G1389" s="2" t="s">
        <v>921</v>
      </c>
      <c r="H1389" s="2" t="s">
        <v>34</v>
      </c>
      <c r="I1389" s="2" t="s">
        <v>4619</v>
      </c>
      <c r="J1389" s="2" t="s">
        <v>4620</v>
      </c>
      <c r="K1389" s="2" t="s">
        <v>921</v>
      </c>
      <c r="L1389" s="2" t="s">
        <v>34</v>
      </c>
      <c r="M1389" s="7">
        <v>489.54899999999998</v>
      </c>
      <c r="N1389" s="6">
        <v>26.25</v>
      </c>
      <c r="O1389" s="7">
        <v>27.125</v>
      </c>
      <c r="P1389" s="2" t="s">
        <v>4621</v>
      </c>
      <c r="Q1389" s="6">
        <v>100</v>
      </c>
      <c r="R1389" s="6">
        <v>5.55</v>
      </c>
      <c r="S1389" s="5">
        <v>7</v>
      </c>
      <c r="T1389" s="7">
        <v>10.914</v>
      </c>
      <c r="U1389" s="5">
        <v>0.1</v>
      </c>
      <c r="V1389" s="6">
        <v>0.26</v>
      </c>
      <c r="W1389" s="7">
        <v>4.1559999999999997</v>
      </c>
      <c r="X1389" s="7">
        <v>4.1879999999999997</v>
      </c>
      <c r="Y1389" s="4">
        <v>5</v>
      </c>
      <c r="Z1389" s="7">
        <v>5.125</v>
      </c>
      <c r="AA1389" s="6">
        <v>26.48</v>
      </c>
      <c r="AB1389" s="2" t="s">
        <v>47</v>
      </c>
      <c r="AC1389" s="6">
        <v>81.41</v>
      </c>
    </row>
    <row r="1390" spans="1:29" ht="78" x14ac:dyDescent="0.15">
      <c r="A1390" s="3">
        <f>DATE(1994,2,1)</f>
        <v>34366</v>
      </c>
      <c r="B1390" s="3">
        <f>DATE(1994,2,1)</f>
        <v>34366</v>
      </c>
      <c r="C1390" s="2" t="s">
        <v>95</v>
      </c>
      <c r="D1390" s="2" t="s">
        <v>4622</v>
      </c>
      <c r="E1390" s="2" t="s">
        <v>3845</v>
      </c>
      <c r="F1390" s="4">
        <v>6141</v>
      </c>
      <c r="G1390" s="2" t="s">
        <v>370</v>
      </c>
      <c r="H1390" s="2" t="s">
        <v>34</v>
      </c>
      <c r="I1390" s="2" t="s">
        <v>51</v>
      </c>
      <c r="J1390" s="2" t="s">
        <v>52</v>
      </c>
      <c r="K1390" s="2" t="s">
        <v>53</v>
      </c>
      <c r="L1390" s="2" t="s">
        <v>34</v>
      </c>
      <c r="M1390" s="2"/>
      <c r="N1390" s="2"/>
      <c r="O1390" s="2"/>
      <c r="P1390" s="2" t="s">
        <v>4623</v>
      </c>
      <c r="Q1390" s="6">
        <v>23.02</v>
      </c>
      <c r="R1390" s="6">
        <v>6.52</v>
      </c>
      <c r="S1390" s="5">
        <v>-3.1</v>
      </c>
      <c r="T1390" s="7">
        <v>-1.482</v>
      </c>
      <c r="U1390" s="5">
        <v>0.2</v>
      </c>
      <c r="V1390" s="6">
        <v>-0.96</v>
      </c>
      <c r="W1390" s="7">
        <v>11.625</v>
      </c>
      <c r="X1390" s="7">
        <v>11.625</v>
      </c>
      <c r="Y1390" s="7">
        <v>11.625</v>
      </c>
      <c r="Z1390" s="7">
        <v>11.625</v>
      </c>
      <c r="AA1390" s="6">
        <v>9.25</v>
      </c>
      <c r="AB1390" s="2" t="s">
        <v>86</v>
      </c>
      <c r="AC1390" s="2"/>
    </row>
    <row r="1391" spans="1:29" ht="117" x14ac:dyDescent="0.15">
      <c r="A1391" s="3">
        <f>DATE(1994,2,1)</f>
        <v>34366</v>
      </c>
      <c r="B1391" s="3">
        <f>DATE(1994,3,18)</f>
        <v>34411</v>
      </c>
      <c r="C1391" s="2" t="s">
        <v>95</v>
      </c>
      <c r="D1391" s="2" t="s">
        <v>4624</v>
      </c>
      <c r="E1391" s="2" t="s">
        <v>1098</v>
      </c>
      <c r="F1391" s="4">
        <v>8051</v>
      </c>
      <c r="G1391" s="2" t="s">
        <v>454</v>
      </c>
      <c r="H1391" s="2" t="s">
        <v>34</v>
      </c>
      <c r="I1391" s="2" t="s">
        <v>4625</v>
      </c>
      <c r="J1391" s="2" t="s">
        <v>4626</v>
      </c>
      <c r="K1391" s="2" t="s">
        <v>454</v>
      </c>
      <c r="L1391" s="2" t="s">
        <v>34</v>
      </c>
      <c r="M1391" s="7">
        <v>263.255</v>
      </c>
      <c r="N1391" s="7">
        <v>18.875</v>
      </c>
      <c r="O1391" s="6">
        <v>19.25</v>
      </c>
      <c r="P1391" s="2" t="s">
        <v>4627</v>
      </c>
      <c r="Q1391" s="6">
        <v>100</v>
      </c>
      <c r="R1391" s="6">
        <v>7.5</v>
      </c>
      <c r="S1391" s="5">
        <v>-2.2999999999999998</v>
      </c>
      <c r="T1391" s="7">
        <v>-1.083</v>
      </c>
      <c r="U1391" s="5">
        <v>1.7</v>
      </c>
      <c r="V1391" s="2"/>
      <c r="W1391" s="6">
        <v>3.25</v>
      </c>
      <c r="X1391" s="7">
        <v>3.3130000000000002</v>
      </c>
      <c r="Y1391" s="6">
        <v>3.25</v>
      </c>
      <c r="Z1391" s="5">
        <v>3.5</v>
      </c>
      <c r="AA1391" s="6">
        <v>3.7</v>
      </c>
      <c r="AB1391" s="2" t="s">
        <v>86</v>
      </c>
      <c r="AC1391" s="6">
        <v>12.19</v>
      </c>
    </row>
    <row r="1392" spans="1:29" ht="104" x14ac:dyDescent="0.15">
      <c r="A1392" s="3">
        <f>DATE(1994,2,2)</f>
        <v>34367</v>
      </c>
      <c r="B1392" s="3">
        <f>DATE(1994,10,3)</f>
        <v>34610</v>
      </c>
      <c r="C1392" s="2" t="s">
        <v>95</v>
      </c>
      <c r="D1392" s="2" t="s">
        <v>4628</v>
      </c>
      <c r="E1392" s="2" t="s">
        <v>4629</v>
      </c>
      <c r="F1392" s="4">
        <v>6162</v>
      </c>
      <c r="G1392" s="2" t="s">
        <v>109</v>
      </c>
      <c r="H1392" s="2" t="s">
        <v>34</v>
      </c>
      <c r="I1392" s="2" t="s">
        <v>2895</v>
      </c>
      <c r="J1392" s="2" t="s">
        <v>1181</v>
      </c>
      <c r="K1392" s="2" t="s">
        <v>37</v>
      </c>
      <c r="L1392" s="2" t="s">
        <v>34</v>
      </c>
      <c r="M1392" s="12">
        <v>4090.3380000000002</v>
      </c>
      <c r="N1392" s="7">
        <v>42.125</v>
      </c>
      <c r="O1392" s="6">
        <v>41.75</v>
      </c>
      <c r="P1392" s="2" t="s">
        <v>4630</v>
      </c>
      <c r="Q1392" s="6">
        <v>100</v>
      </c>
      <c r="R1392" s="6">
        <v>12.61</v>
      </c>
      <c r="S1392" s="5">
        <v>5.8</v>
      </c>
      <c r="T1392" s="7">
        <v>10.153</v>
      </c>
      <c r="U1392" s="5">
        <v>10.9</v>
      </c>
      <c r="V1392" s="6">
        <v>1.62</v>
      </c>
      <c r="W1392" s="6">
        <v>10.75</v>
      </c>
      <c r="X1392" s="6">
        <v>10.75</v>
      </c>
      <c r="Y1392" s="4">
        <v>11</v>
      </c>
      <c r="Z1392" s="4">
        <v>13</v>
      </c>
      <c r="AA1392" s="6">
        <v>3.85</v>
      </c>
      <c r="AB1392" s="7">
        <v>36.728000000000002</v>
      </c>
      <c r="AC1392" s="2"/>
    </row>
    <row r="1393" spans="1:29" ht="78" x14ac:dyDescent="0.15">
      <c r="A1393" s="3">
        <f>DATE(1994,2,2)</f>
        <v>34367</v>
      </c>
      <c r="B1393" s="2"/>
      <c r="C1393" s="2" t="s">
        <v>87</v>
      </c>
      <c r="D1393" s="2" t="s">
        <v>4631</v>
      </c>
      <c r="E1393" s="2" t="s">
        <v>4632</v>
      </c>
      <c r="F1393" s="4">
        <v>3589</v>
      </c>
      <c r="G1393" s="2" t="s">
        <v>300</v>
      </c>
      <c r="H1393" s="2" t="s">
        <v>34</v>
      </c>
      <c r="I1393" s="2" t="s">
        <v>149</v>
      </c>
      <c r="J1393" s="2" t="s">
        <v>150</v>
      </c>
      <c r="K1393" s="2" t="s">
        <v>53</v>
      </c>
      <c r="L1393" s="2" t="s">
        <v>151</v>
      </c>
      <c r="M1393" s="2"/>
      <c r="N1393" s="2"/>
      <c r="O1393" s="2"/>
      <c r="P1393" s="2" t="s">
        <v>4633</v>
      </c>
      <c r="Q1393" s="2"/>
      <c r="R1393" s="2"/>
      <c r="S1393" s="5">
        <v>-58.4</v>
      </c>
      <c r="T1393" s="7">
        <v>45.462000000000003</v>
      </c>
      <c r="U1393" s="5">
        <v>-4.0999999999999996</v>
      </c>
      <c r="V1393" s="6">
        <v>-3.56</v>
      </c>
      <c r="W1393" s="6">
        <v>5.25</v>
      </c>
      <c r="X1393" s="4">
        <v>7</v>
      </c>
      <c r="Y1393" s="7">
        <v>5.9379999999999997</v>
      </c>
      <c r="Z1393" s="4">
        <v>7</v>
      </c>
      <c r="AA1393" s="6">
        <v>17.52</v>
      </c>
      <c r="AB1393" s="2" t="s">
        <v>86</v>
      </c>
      <c r="AC1393" s="2"/>
    </row>
    <row r="1394" spans="1:29" ht="104" x14ac:dyDescent="0.15">
      <c r="A1394" s="3">
        <f>DATE(1994,2,8)</f>
        <v>34373</v>
      </c>
      <c r="B1394" s="3">
        <f>DATE(1994,2,8)</f>
        <v>34373</v>
      </c>
      <c r="C1394" s="2" t="s">
        <v>95</v>
      </c>
      <c r="D1394" s="2" t="s">
        <v>4634</v>
      </c>
      <c r="E1394" s="2" t="s">
        <v>4635</v>
      </c>
      <c r="F1394" s="4">
        <v>4953</v>
      </c>
      <c r="G1394" s="2" t="s">
        <v>116</v>
      </c>
      <c r="H1394" s="2" t="s">
        <v>34</v>
      </c>
      <c r="I1394" s="2" t="s">
        <v>4636</v>
      </c>
      <c r="J1394" s="2" t="s">
        <v>4637</v>
      </c>
      <c r="K1394" s="2" t="s">
        <v>116</v>
      </c>
      <c r="L1394" s="2" t="s">
        <v>34</v>
      </c>
      <c r="M1394" s="2"/>
      <c r="N1394" s="2"/>
      <c r="O1394" s="2"/>
      <c r="P1394" s="2" t="s">
        <v>4638</v>
      </c>
      <c r="Q1394" s="6">
        <v>20.28</v>
      </c>
      <c r="R1394" s="2"/>
      <c r="S1394" s="5">
        <v>-0.9</v>
      </c>
      <c r="T1394" s="7">
        <v>-0.57499999999999996</v>
      </c>
      <c r="U1394" s="5">
        <v>2.4</v>
      </c>
      <c r="V1394" s="6">
        <v>-0.24</v>
      </c>
      <c r="W1394" s="5">
        <v>3.5</v>
      </c>
      <c r="X1394" s="7">
        <v>4.125</v>
      </c>
      <c r="Y1394" s="7">
        <v>4.0629999999999997</v>
      </c>
      <c r="Z1394" s="7">
        <v>3.8130000000000002</v>
      </c>
      <c r="AA1394" s="6">
        <v>6.19</v>
      </c>
      <c r="AB1394" s="2" t="s">
        <v>86</v>
      </c>
      <c r="AC1394" s="2"/>
    </row>
    <row r="1395" spans="1:29" ht="156" x14ac:dyDescent="0.15">
      <c r="A1395" s="3">
        <f>DATE(1994,2,9)</f>
        <v>34374</v>
      </c>
      <c r="B1395" s="2"/>
      <c r="C1395" s="2" t="s">
        <v>30</v>
      </c>
      <c r="D1395" s="2" t="s">
        <v>4639</v>
      </c>
      <c r="E1395" s="2" t="s">
        <v>4640</v>
      </c>
      <c r="F1395" s="4">
        <v>7372</v>
      </c>
      <c r="G1395" s="2" t="s">
        <v>551</v>
      </c>
      <c r="H1395" s="2" t="s">
        <v>34</v>
      </c>
      <c r="I1395" s="2" t="s">
        <v>4641</v>
      </c>
      <c r="J1395" s="2" t="s">
        <v>4642</v>
      </c>
      <c r="K1395" s="2" t="s">
        <v>551</v>
      </c>
      <c r="L1395" s="2" t="s">
        <v>34</v>
      </c>
      <c r="M1395" s="12">
        <v>1537.2850000000001</v>
      </c>
      <c r="N1395" s="5">
        <v>25.5</v>
      </c>
      <c r="O1395" s="4">
        <v>29</v>
      </c>
      <c r="P1395" s="2" t="s">
        <v>4643</v>
      </c>
      <c r="Q1395" s="2"/>
      <c r="R1395" s="6">
        <v>42</v>
      </c>
      <c r="S1395" s="5">
        <v>13.6</v>
      </c>
      <c r="T1395" s="6">
        <v>23.39</v>
      </c>
      <c r="U1395" s="5">
        <v>3.3</v>
      </c>
      <c r="V1395" s="6">
        <v>0.68</v>
      </c>
      <c r="W1395" s="7">
        <v>36.125</v>
      </c>
      <c r="X1395" s="5">
        <v>37.5</v>
      </c>
      <c r="Y1395" s="6">
        <v>41.25</v>
      </c>
      <c r="Z1395" s="7">
        <v>45.875</v>
      </c>
      <c r="AA1395" s="6">
        <v>9.6300000000000008</v>
      </c>
      <c r="AB1395" s="7">
        <v>36.045000000000002</v>
      </c>
      <c r="AC1395" s="6">
        <v>98.03</v>
      </c>
    </row>
    <row r="1396" spans="1:29" ht="117" x14ac:dyDescent="0.15">
      <c r="A1396" s="3">
        <f>DATE(1994,2,10)</f>
        <v>34375</v>
      </c>
      <c r="B1396" s="3">
        <f>DATE(1994,5,17)</f>
        <v>34471</v>
      </c>
      <c r="C1396" s="2" t="s">
        <v>95</v>
      </c>
      <c r="D1396" s="2" t="s">
        <v>4644</v>
      </c>
      <c r="E1396" s="2" t="s">
        <v>4645</v>
      </c>
      <c r="F1396" s="4">
        <v>3841</v>
      </c>
      <c r="G1396" s="2" t="s">
        <v>226</v>
      </c>
      <c r="H1396" s="2" t="s">
        <v>34</v>
      </c>
      <c r="I1396" s="2" t="s">
        <v>4646</v>
      </c>
      <c r="J1396" s="2" t="s">
        <v>4647</v>
      </c>
      <c r="K1396" s="2" t="s">
        <v>226</v>
      </c>
      <c r="L1396" s="2" t="s">
        <v>34</v>
      </c>
      <c r="M1396" s="7">
        <v>181.488</v>
      </c>
      <c r="N1396" s="6">
        <v>16.75</v>
      </c>
      <c r="O1396" s="5">
        <v>16.5</v>
      </c>
      <c r="P1396" s="2" t="s">
        <v>4648</v>
      </c>
      <c r="Q1396" s="6">
        <v>100</v>
      </c>
      <c r="R1396" s="6">
        <v>6.7</v>
      </c>
      <c r="S1396" s="5">
        <v>1.1000000000000001</v>
      </c>
      <c r="T1396" s="7">
        <v>5.6139999999999999</v>
      </c>
      <c r="U1396" s="2"/>
      <c r="V1396" s="7">
        <v>0.39300000000000002</v>
      </c>
      <c r="W1396" s="6">
        <v>3.75</v>
      </c>
      <c r="X1396" s="6">
        <v>3.75</v>
      </c>
      <c r="Y1396" s="4">
        <v>4</v>
      </c>
      <c r="Z1396" s="7">
        <v>5.375</v>
      </c>
      <c r="AA1396" s="6">
        <v>6.27</v>
      </c>
      <c r="AB1396" s="7">
        <v>18.213999999999999</v>
      </c>
      <c r="AC1396" s="6">
        <v>54.64</v>
      </c>
    </row>
    <row r="1397" spans="1:29" ht="104" x14ac:dyDescent="0.15">
      <c r="A1397" s="3">
        <f>DATE(1994,2,11)</f>
        <v>34376</v>
      </c>
      <c r="B1397" s="3">
        <f>DATE(1994,3,18)</f>
        <v>34411</v>
      </c>
      <c r="C1397" s="2" t="s">
        <v>95</v>
      </c>
      <c r="D1397" s="2" t="s">
        <v>4649</v>
      </c>
      <c r="E1397" s="2" t="s">
        <v>4650</v>
      </c>
      <c r="F1397" s="4">
        <v>3679</v>
      </c>
      <c r="G1397" s="2" t="s">
        <v>137</v>
      </c>
      <c r="H1397" s="2" t="s">
        <v>34</v>
      </c>
      <c r="I1397" s="2" t="s">
        <v>4651</v>
      </c>
      <c r="J1397" s="2" t="s">
        <v>4652</v>
      </c>
      <c r="K1397" s="2" t="s">
        <v>163</v>
      </c>
      <c r="L1397" s="2" t="s">
        <v>34</v>
      </c>
      <c r="M1397" s="7">
        <v>767.16800000000001</v>
      </c>
      <c r="N1397" s="4">
        <v>26</v>
      </c>
      <c r="O1397" s="7">
        <v>26.625</v>
      </c>
      <c r="P1397" s="2" t="s">
        <v>4653</v>
      </c>
      <c r="Q1397" s="6">
        <v>100</v>
      </c>
      <c r="R1397" s="6">
        <v>13</v>
      </c>
      <c r="S1397" s="5">
        <v>1.8</v>
      </c>
      <c r="T1397" s="7">
        <v>10.688000000000001</v>
      </c>
      <c r="U1397" s="5">
        <v>11.6</v>
      </c>
      <c r="V1397" s="6">
        <v>0.31</v>
      </c>
      <c r="W1397" s="6">
        <v>9.75</v>
      </c>
      <c r="X1397" s="7">
        <v>10.125</v>
      </c>
      <c r="Y1397" s="6">
        <v>12.75</v>
      </c>
      <c r="Z1397" s="6">
        <v>12.75</v>
      </c>
      <c r="AA1397" s="6">
        <v>5.7</v>
      </c>
      <c r="AB1397" s="7">
        <v>21.283999999999999</v>
      </c>
      <c r="AC1397" s="6">
        <v>12.59</v>
      </c>
    </row>
    <row r="1398" spans="1:29" ht="52" x14ac:dyDescent="0.15">
      <c r="A1398" s="3">
        <f>DATE(1994,2,11)</f>
        <v>34376</v>
      </c>
      <c r="B1398" s="2"/>
      <c r="C1398" s="2" t="s">
        <v>30</v>
      </c>
      <c r="D1398" s="2" t="s">
        <v>4654</v>
      </c>
      <c r="E1398" s="2" t="s">
        <v>4655</v>
      </c>
      <c r="F1398" s="4">
        <v>6799</v>
      </c>
      <c r="G1398" s="2" t="s">
        <v>53</v>
      </c>
      <c r="H1398" s="2" t="s">
        <v>34</v>
      </c>
      <c r="I1398" s="2" t="s">
        <v>138</v>
      </c>
      <c r="J1398" s="2" t="s">
        <v>139</v>
      </c>
      <c r="K1398" s="2" t="s">
        <v>53</v>
      </c>
      <c r="L1398" s="2" t="s">
        <v>139</v>
      </c>
      <c r="M1398" s="2"/>
      <c r="N1398" s="2"/>
      <c r="O1398" s="2"/>
      <c r="P1398" s="2" t="s">
        <v>4656</v>
      </c>
      <c r="Q1398" s="2"/>
      <c r="R1398" s="2"/>
      <c r="S1398" s="5">
        <v>6</v>
      </c>
      <c r="T1398" s="2"/>
      <c r="U1398" s="5">
        <v>10.5</v>
      </c>
      <c r="V1398" s="6">
        <v>1.74</v>
      </c>
      <c r="W1398" s="5">
        <v>14.5</v>
      </c>
      <c r="X1398" s="6">
        <v>15.75</v>
      </c>
      <c r="Y1398" s="5">
        <v>14.5</v>
      </c>
      <c r="Z1398" s="4">
        <v>14</v>
      </c>
      <c r="AA1398" s="2"/>
      <c r="AB1398" s="2" t="s">
        <v>47</v>
      </c>
      <c r="AC1398" s="2"/>
    </row>
    <row r="1399" spans="1:29" ht="130" x14ac:dyDescent="0.15">
      <c r="A1399" s="3">
        <f>DATE(1994,2,15)</f>
        <v>34380</v>
      </c>
      <c r="B1399" s="2"/>
      <c r="C1399" s="2" t="s">
        <v>141</v>
      </c>
      <c r="D1399" s="2" t="s">
        <v>4436</v>
      </c>
      <c r="E1399" s="2" t="s">
        <v>4437</v>
      </c>
      <c r="F1399" s="4">
        <v>3661</v>
      </c>
      <c r="G1399" s="2" t="s">
        <v>921</v>
      </c>
      <c r="H1399" s="2" t="s">
        <v>34</v>
      </c>
      <c r="I1399" s="2" t="s">
        <v>143</v>
      </c>
      <c r="J1399" s="2" t="s">
        <v>144</v>
      </c>
      <c r="K1399" s="2" t="s">
        <v>53</v>
      </c>
      <c r="L1399" s="2" t="s">
        <v>139</v>
      </c>
      <c r="M1399" s="2"/>
      <c r="N1399" s="2"/>
      <c r="O1399" s="2"/>
      <c r="P1399" s="2" t="s">
        <v>4657</v>
      </c>
      <c r="Q1399" s="2"/>
      <c r="R1399" s="2"/>
      <c r="S1399" s="5">
        <v>1.3</v>
      </c>
      <c r="T1399" s="7">
        <v>-0.72499999999999998</v>
      </c>
      <c r="U1399" s="5">
        <v>61.8</v>
      </c>
      <c r="V1399" s="6">
        <v>2.69</v>
      </c>
      <c r="W1399" s="6">
        <v>47.25</v>
      </c>
      <c r="X1399" s="7">
        <v>47.875</v>
      </c>
      <c r="Y1399" s="6">
        <v>50.75</v>
      </c>
      <c r="Z1399" s="5">
        <v>49.5</v>
      </c>
      <c r="AA1399" s="2"/>
      <c r="AB1399" s="2" t="s">
        <v>86</v>
      </c>
      <c r="AC1399" s="2"/>
    </row>
    <row r="1400" spans="1:29" ht="130" x14ac:dyDescent="0.15">
      <c r="A1400" s="3">
        <f>DATE(1994,2,15)</f>
        <v>34380</v>
      </c>
      <c r="B1400" s="3">
        <f>DATE(1994,5,31)</f>
        <v>34485</v>
      </c>
      <c r="C1400" s="2" t="s">
        <v>95</v>
      </c>
      <c r="D1400" s="2" t="s">
        <v>4658</v>
      </c>
      <c r="E1400" s="2" t="s">
        <v>1334</v>
      </c>
      <c r="F1400" s="4">
        <v>8011</v>
      </c>
      <c r="G1400" s="2" t="s">
        <v>454</v>
      </c>
      <c r="H1400" s="2" t="s">
        <v>34</v>
      </c>
      <c r="I1400" s="2" t="s">
        <v>3765</v>
      </c>
      <c r="J1400" s="2" t="s">
        <v>1334</v>
      </c>
      <c r="K1400" s="2" t="s">
        <v>125</v>
      </c>
      <c r="L1400" s="2" t="s">
        <v>34</v>
      </c>
      <c r="M1400" s="12">
        <v>12783.142</v>
      </c>
      <c r="N1400" s="4">
        <v>85</v>
      </c>
      <c r="O1400" s="5">
        <v>85.5</v>
      </c>
      <c r="P1400" s="2" t="s">
        <v>4659</v>
      </c>
      <c r="Q1400" s="6">
        <v>100</v>
      </c>
      <c r="R1400" s="6">
        <v>74.66</v>
      </c>
      <c r="S1400" s="5">
        <v>13.4</v>
      </c>
      <c r="T1400" s="7">
        <v>21.050999999999998</v>
      </c>
      <c r="U1400" s="5">
        <v>14.7</v>
      </c>
      <c r="V1400" s="6">
        <v>1.78</v>
      </c>
      <c r="W1400" s="7">
        <v>45.875</v>
      </c>
      <c r="X1400" s="7">
        <v>45.875</v>
      </c>
      <c r="Y1400" s="6">
        <v>55.25</v>
      </c>
      <c r="Z1400" s="6">
        <v>55.75</v>
      </c>
      <c r="AA1400" s="6">
        <v>7.92</v>
      </c>
      <c r="AB1400" s="7">
        <v>26.914999999999999</v>
      </c>
      <c r="AC1400" s="6">
        <v>146.38999999999999</v>
      </c>
    </row>
    <row r="1401" spans="1:29" ht="52" x14ac:dyDescent="0.15">
      <c r="A1401" s="3">
        <f>DATE(1994,2,15)</f>
        <v>34380</v>
      </c>
      <c r="B1401" s="2"/>
      <c r="C1401" s="2" t="s">
        <v>189</v>
      </c>
      <c r="D1401" s="2" t="s">
        <v>4660</v>
      </c>
      <c r="E1401" s="2" t="s">
        <v>1332</v>
      </c>
      <c r="F1401" s="4">
        <v>8082</v>
      </c>
      <c r="G1401" s="2" t="s">
        <v>454</v>
      </c>
      <c r="H1401" s="2" t="s">
        <v>34</v>
      </c>
      <c r="I1401" s="2" t="s">
        <v>143</v>
      </c>
      <c r="J1401" s="2" t="s">
        <v>144</v>
      </c>
      <c r="K1401" s="2" t="s">
        <v>53</v>
      </c>
      <c r="L1401" s="2" t="s">
        <v>139</v>
      </c>
      <c r="M1401" s="2"/>
      <c r="N1401" s="2"/>
      <c r="O1401" s="2"/>
      <c r="P1401" s="2" t="s">
        <v>4661</v>
      </c>
      <c r="Q1401" s="2"/>
      <c r="R1401" s="2"/>
      <c r="S1401" s="2"/>
      <c r="T1401" s="2"/>
      <c r="U1401" s="2"/>
      <c r="V1401" s="2"/>
      <c r="W1401" s="6">
        <v>4.25</v>
      </c>
      <c r="X1401" s="4">
        <v>4</v>
      </c>
      <c r="Y1401" s="4">
        <v>4</v>
      </c>
      <c r="Z1401" s="7">
        <v>5.875</v>
      </c>
      <c r="AA1401" s="2"/>
      <c r="AB1401" s="2" t="s">
        <v>47</v>
      </c>
      <c r="AC1401" s="2"/>
    </row>
    <row r="1402" spans="1:29" ht="39" x14ac:dyDescent="0.15">
      <c r="A1402" s="3">
        <f>DATE(1994,2,16)</f>
        <v>34381</v>
      </c>
      <c r="B1402" s="2"/>
      <c r="C1402" s="2" t="s">
        <v>87</v>
      </c>
      <c r="D1402" s="2" t="s">
        <v>4662</v>
      </c>
      <c r="E1402" s="2" t="s">
        <v>4663</v>
      </c>
      <c r="F1402" s="4">
        <v>6531</v>
      </c>
      <c r="G1402" s="2" t="s">
        <v>109</v>
      </c>
      <c r="H1402" s="2" t="s">
        <v>34</v>
      </c>
      <c r="I1402" s="2" t="s">
        <v>138</v>
      </c>
      <c r="J1402" s="2" t="s">
        <v>139</v>
      </c>
      <c r="K1402" s="2" t="s">
        <v>53</v>
      </c>
      <c r="L1402" s="2" t="s">
        <v>139</v>
      </c>
      <c r="M1402" s="2"/>
      <c r="N1402" s="2"/>
      <c r="O1402" s="2"/>
      <c r="P1402" s="2" t="s">
        <v>4664</v>
      </c>
      <c r="Q1402" s="2"/>
      <c r="R1402" s="2"/>
      <c r="S1402" s="2"/>
      <c r="T1402" s="7">
        <v>0.187</v>
      </c>
      <c r="U1402" s="5">
        <v>2.2000000000000002</v>
      </c>
      <c r="V1402" s="6">
        <v>-0.11</v>
      </c>
      <c r="W1402" s="7">
        <v>1.4690000000000001</v>
      </c>
      <c r="X1402" s="7">
        <v>1.4690000000000001</v>
      </c>
      <c r="Y1402" s="7">
        <v>1.4690000000000001</v>
      </c>
      <c r="Z1402" s="7">
        <v>1.4690000000000001</v>
      </c>
      <c r="AA1402" s="2"/>
      <c r="AB1402" s="2" t="s">
        <v>86</v>
      </c>
      <c r="AC1402" s="2"/>
    </row>
    <row r="1403" spans="1:29" ht="52" x14ac:dyDescent="0.15">
      <c r="A1403" s="3">
        <f>DATE(1994,2,17)</f>
        <v>34382</v>
      </c>
      <c r="B1403" s="3">
        <f>DATE(1994,2,17)</f>
        <v>34382</v>
      </c>
      <c r="C1403" s="2" t="s">
        <v>95</v>
      </c>
      <c r="D1403" s="2" t="s">
        <v>4665</v>
      </c>
      <c r="E1403" s="2" t="s">
        <v>612</v>
      </c>
      <c r="F1403" s="4">
        <v>1311</v>
      </c>
      <c r="G1403" s="2" t="s">
        <v>148</v>
      </c>
      <c r="H1403" s="2" t="s">
        <v>34</v>
      </c>
      <c r="I1403" s="2" t="s">
        <v>4666</v>
      </c>
      <c r="J1403" s="2" t="s">
        <v>177</v>
      </c>
      <c r="K1403" s="2" t="s">
        <v>148</v>
      </c>
      <c r="L1403" s="2" t="s">
        <v>34</v>
      </c>
      <c r="M1403" s="2"/>
      <c r="N1403" s="2"/>
      <c r="O1403" s="2"/>
      <c r="P1403" s="2" t="s">
        <v>4667</v>
      </c>
      <c r="Q1403" s="6">
        <v>56.7</v>
      </c>
      <c r="R1403" s="2"/>
      <c r="S1403" s="5">
        <v>2.2000000000000002</v>
      </c>
      <c r="T1403" s="7">
        <v>14.887</v>
      </c>
      <c r="U1403" s="5">
        <v>3.3</v>
      </c>
      <c r="V1403" s="6">
        <v>0.1</v>
      </c>
      <c r="W1403" s="4">
        <v>24</v>
      </c>
      <c r="X1403" s="4">
        <v>23</v>
      </c>
      <c r="Y1403" s="4">
        <v>26</v>
      </c>
      <c r="Z1403" s="4">
        <v>25</v>
      </c>
      <c r="AA1403" s="6">
        <v>3.25</v>
      </c>
      <c r="AB1403" s="2" t="s">
        <v>47</v>
      </c>
      <c r="AC1403" s="2"/>
    </row>
    <row r="1404" spans="1:29" ht="156" x14ac:dyDescent="0.15">
      <c r="A1404" s="3">
        <f>DATE(1994,2,17)</f>
        <v>34382</v>
      </c>
      <c r="B1404" s="3">
        <f>DATE(1994,8,31)</f>
        <v>34577</v>
      </c>
      <c r="C1404" s="2" t="s">
        <v>95</v>
      </c>
      <c r="D1404" s="2" t="s">
        <v>2915</v>
      </c>
      <c r="E1404" s="2" t="s">
        <v>36</v>
      </c>
      <c r="F1404" s="4">
        <v>6712</v>
      </c>
      <c r="G1404" s="2" t="s">
        <v>37</v>
      </c>
      <c r="H1404" s="2" t="s">
        <v>34</v>
      </c>
      <c r="I1404" s="2" t="s">
        <v>4668</v>
      </c>
      <c r="J1404" s="2" t="s">
        <v>36</v>
      </c>
      <c r="K1404" s="2" t="s">
        <v>37</v>
      </c>
      <c r="L1404" s="2" t="s">
        <v>34</v>
      </c>
      <c r="M1404" s="12">
        <v>2112.777</v>
      </c>
      <c r="N1404" s="7">
        <v>37.875</v>
      </c>
      <c r="O1404" s="7">
        <v>37.125</v>
      </c>
      <c r="P1404" s="2" t="s">
        <v>4669</v>
      </c>
      <c r="Q1404" s="6">
        <v>100</v>
      </c>
      <c r="R1404" s="6">
        <v>23.68</v>
      </c>
      <c r="S1404" s="5">
        <v>6.6</v>
      </c>
      <c r="T1404" s="7">
        <v>10.234999999999999</v>
      </c>
      <c r="U1404" s="5">
        <v>21.7</v>
      </c>
      <c r="V1404" s="6">
        <v>2.64</v>
      </c>
      <c r="W1404" s="6">
        <v>23.25</v>
      </c>
      <c r="X1404" s="6">
        <v>21.75</v>
      </c>
      <c r="Y1404" s="6">
        <v>21.75</v>
      </c>
      <c r="Z1404" s="4">
        <v>21</v>
      </c>
      <c r="AA1404" s="6">
        <v>2.35</v>
      </c>
      <c r="AB1404" s="7">
        <v>26.22</v>
      </c>
      <c r="AC1404" s="2"/>
    </row>
    <row r="1405" spans="1:29" ht="156" x14ac:dyDescent="0.15">
      <c r="A1405" s="3">
        <f>DATE(1994,2,17)</f>
        <v>34382</v>
      </c>
      <c r="B1405" s="3">
        <f>DATE(1994,9,15)</f>
        <v>34592</v>
      </c>
      <c r="C1405" s="2" t="s">
        <v>95</v>
      </c>
      <c r="D1405" s="2" t="s">
        <v>4670</v>
      </c>
      <c r="E1405" s="2" t="s">
        <v>4671</v>
      </c>
      <c r="F1405" s="4">
        <v>4832</v>
      </c>
      <c r="G1405" s="2" t="s">
        <v>45</v>
      </c>
      <c r="H1405" s="2" t="s">
        <v>34</v>
      </c>
      <c r="I1405" s="2" t="s">
        <v>4672</v>
      </c>
      <c r="J1405" s="2" t="s">
        <v>4673</v>
      </c>
      <c r="K1405" s="2" t="s">
        <v>186</v>
      </c>
      <c r="L1405" s="2" t="s">
        <v>34</v>
      </c>
      <c r="M1405" s="2"/>
      <c r="N1405" s="6">
        <v>28.75</v>
      </c>
      <c r="O1405" s="7">
        <v>28.625</v>
      </c>
      <c r="P1405" s="2" t="s">
        <v>4674</v>
      </c>
      <c r="Q1405" s="6">
        <v>14</v>
      </c>
      <c r="R1405" s="2"/>
      <c r="S1405" s="5">
        <v>100.3</v>
      </c>
      <c r="T1405" s="7">
        <v>143.315</v>
      </c>
      <c r="U1405" s="5">
        <v>29.3</v>
      </c>
      <c r="V1405" s="6">
        <v>9.7200000000000006</v>
      </c>
      <c r="W1405" s="5">
        <v>77.5</v>
      </c>
      <c r="X1405" s="4">
        <v>82</v>
      </c>
      <c r="Y1405" s="4">
        <v>75</v>
      </c>
      <c r="Z1405" s="4">
        <v>82</v>
      </c>
      <c r="AA1405" s="6">
        <v>10</v>
      </c>
      <c r="AB1405" s="7">
        <v>9.6709999999999994</v>
      </c>
      <c r="AC1405" s="6">
        <v>18.61</v>
      </c>
    </row>
    <row r="1406" spans="1:29" ht="26" x14ac:dyDescent="0.15">
      <c r="A1406" s="3">
        <f>DATE(1994,2,17)</f>
        <v>34382</v>
      </c>
      <c r="B1406" s="2"/>
      <c r="C1406" s="2" t="s">
        <v>87</v>
      </c>
      <c r="D1406" s="2" t="s">
        <v>1947</v>
      </c>
      <c r="E1406" s="2" t="s">
        <v>1948</v>
      </c>
      <c r="F1406" s="4">
        <v>1094</v>
      </c>
      <c r="G1406" s="2" t="s">
        <v>166</v>
      </c>
      <c r="H1406" s="2" t="s">
        <v>34</v>
      </c>
      <c r="I1406" s="2" t="s">
        <v>4675</v>
      </c>
      <c r="J1406" s="2" t="s">
        <v>4676</v>
      </c>
      <c r="K1406" s="2" t="s">
        <v>148</v>
      </c>
      <c r="L1406" s="2" t="s">
        <v>34</v>
      </c>
      <c r="M1406" s="2"/>
      <c r="N1406" s="2"/>
      <c r="O1406" s="2"/>
      <c r="P1406" s="2" t="s">
        <v>4677</v>
      </c>
      <c r="Q1406" s="2"/>
      <c r="R1406" s="2"/>
      <c r="S1406" s="2"/>
      <c r="T1406" s="2"/>
      <c r="U1406" s="2"/>
      <c r="V1406" s="2"/>
      <c r="W1406" s="7">
        <v>4.125</v>
      </c>
      <c r="X1406" s="4">
        <v>4</v>
      </c>
      <c r="Y1406" s="6">
        <v>4.25</v>
      </c>
      <c r="Z1406" s="6">
        <v>4.25</v>
      </c>
      <c r="AA1406" s="2"/>
      <c r="AB1406" s="2" t="s">
        <v>47</v>
      </c>
      <c r="AC1406" s="2"/>
    </row>
    <row r="1407" spans="1:29" ht="65" x14ac:dyDescent="0.15">
      <c r="A1407" s="3">
        <f>DATE(1994,2,18)</f>
        <v>34383</v>
      </c>
      <c r="B1407" s="2"/>
      <c r="C1407" s="2" t="s">
        <v>189</v>
      </c>
      <c r="D1407" s="2" t="s">
        <v>4678</v>
      </c>
      <c r="E1407" s="2" t="s">
        <v>4679</v>
      </c>
      <c r="F1407" s="4">
        <v>7372</v>
      </c>
      <c r="G1407" s="2" t="s">
        <v>551</v>
      </c>
      <c r="H1407" s="2" t="s">
        <v>34</v>
      </c>
      <c r="I1407" s="2" t="s">
        <v>143</v>
      </c>
      <c r="J1407" s="2" t="s">
        <v>144</v>
      </c>
      <c r="K1407" s="2" t="s">
        <v>53</v>
      </c>
      <c r="L1407" s="2" t="s">
        <v>139</v>
      </c>
      <c r="M1407" s="2"/>
      <c r="N1407" s="2"/>
      <c r="O1407" s="2"/>
      <c r="P1407" s="2" t="s">
        <v>4680</v>
      </c>
      <c r="Q1407" s="2"/>
      <c r="R1407" s="2"/>
      <c r="S1407" s="2"/>
      <c r="T1407" s="2"/>
      <c r="U1407" s="2"/>
      <c r="V1407" s="2"/>
      <c r="W1407" s="6">
        <v>1.75</v>
      </c>
      <c r="X1407" s="7">
        <v>1.7809999999999999</v>
      </c>
      <c r="Y1407" s="7">
        <v>1.875</v>
      </c>
      <c r="Z1407" s="7">
        <v>1.875</v>
      </c>
      <c r="AA1407" s="2"/>
      <c r="AB1407" s="2" t="s">
        <v>47</v>
      </c>
      <c r="AC1407" s="2"/>
    </row>
    <row r="1408" spans="1:29" ht="130" x14ac:dyDescent="0.15">
      <c r="A1408" s="3">
        <f>DATE(1994,2,21)</f>
        <v>34386</v>
      </c>
      <c r="B1408" s="3">
        <f>DATE(1994,7,1)</f>
        <v>34516</v>
      </c>
      <c r="C1408" s="2" t="s">
        <v>95</v>
      </c>
      <c r="D1408" s="2" t="s">
        <v>4681</v>
      </c>
      <c r="E1408" s="2" t="s">
        <v>4682</v>
      </c>
      <c r="F1408" s="4">
        <v>4932</v>
      </c>
      <c r="G1408" s="2" t="s">
        <v>439</v>
      </c>
      <c r="H1408" s="2" t="s">
        <v>34</v>
      </c>
      <c r="I1408" s="2" t="s">
        <v>4683</v>
      </c>
      <c r="J1408" s="2" t="s">
        <v>1387</v>
      </c>
      <c r="K1408" s="2" t="s">
        <v>439</v>
      </c>
      <c r="L1408" s="2" t="s">
        <v>34</v>
      </c>
      <c r="M1408" s="7">
        <v>470.25599999999997</v>
      </c>
      <c r="N1408" s="4">
        <v>34</v>
      </c>
      <c r="O1408" s="4">
        <v>34</v>
      </c>
      <c r="P1408" s="2" t="s">
        <v>4684</v>
      </c>
      <c r="Q1408" s="6">
        <v>100</v>
      </c>
      <c r="R1408" s="6">
        <v>8.69</v>
      </c>
      <c r="S1408" s="5">
        <v>2.5</v>
      </c>
      <c r="T1408" s="7">
        <v>7.1029999999999998</v>
      </c>
      <c r="U1408" s="5">
        <v>2.8</v>
      </c>
      <c r="V1408" s="6">
        <v>0.4</v>
      </c>
      <c r="W1408" s="4">
        <v>7</v>
      </c>
      <c r="X1408" s="6">
        <v>7.25</v>
      </c>
      <c r="Y1408" s="6">
        <v>7.25</v>
      </c>
      <c r="Z1408" s="7">
        <v>7.625</v>
      </c>
      <c r="AA1408" s="6">
        <v>6.34</v>
      </c>
      <c r="AB1408" s="7">
        <v>9.1120000000000001</v>
      </c>
      <c r="AC1408" s="6">
        <v>14.62</v>
      </c>
    </row>
    <row r="1409" spans="1:29" ht="143" x14ac:dyDescent="0.15">
      <c r="A1409" s="3">
        <f>DATE(1994,2,22)</f>
        <v>34387</v>
      </c>
      <c r="B1409" s="3">
        <f>DATE(1994,9,13)</f>
        <v>34590</v>
      </c>
      <c r="C1409" s="2" t="s">
        <v>95</v>
      </c>
      <c r="D1409" s="2" t="s">
        <v>4685</v>
      </c>
      <c r="E1409" s="2" t="s">
        <v>389</v>
      </c>
      <c r="F1409" s="4">
        <v>6035</v>
      </c>
      <c r="G1409" s="2" t="s">
        <v>33</v>
      </c>
      <c r="H1409" s="2" t="s">
        <v>34</v>
      </c>
      <c r="I1409" s="2" t="s">
        <v>4686</v>
      </c>
      <c r="J1409" s="2" t="s">
        <v>36</v>
      </c>
      <c r="K1409" s="2" t="s">
        <v>37</v>
      </c>
      <c r="L1409" s="2" t="s">
        <v>34</v>
      </c>
      <c r="M1409" s="7">
        <v>537.54600000000005</v>
      </c>
      <c r="N1409" s="5">
        <v>21.5</v>
      </c>
      <c r="O1409" s="7">
        <v>20.125</v>
      </c>
      <c r="P1409" s="2" t="s">
        <v>4687</v>
      </c>
      <c r="Q1409" s="6">
        <v>100</v>
      </c>
      <c r="R1409" s="6">
        <v>22.24</v>
      </c>
      <c r="S1409" s="5">
        <v>8.8000000000000007</v>
      </c>
      <c r="T1409" s="7">
        <v>7.5410000000000004</v>
      </c>
      <c r="U1409" s="5">
        <v>17.399999999999999</v>
      </c>
      <c r="V1409" s="6">
        <v>1.32</v>
      </c>
      <c r="W1409" s="7">
        <v>20.875</v>
      </c>
      <c r="X1409" s="4">
        <v>21</v>
      </c>
      <c r="Y1409" s="6">
        <v>21.25</v>
      </c>
      <c r="Z1409" s="7">
        <v>19.875</v>
      </c>
      <c r="AA1409" s="6">
        <v>3.88</v>
      </c>
      <c r="AB1409" s="7">
        <v>92.126000000000005</v>
      </c>
      <c r="AC1409" s="2"/>
    </row>
    <row r="1410" spans="1:29" ht="130" x14ac:dyDescent="0.15">
      <c r="A1410" s="3">
        <f>DATE(1994,2,24)</f>
        <v>34389</v>
      </c>
      <c r="B1410" s="3">
        <f>DATE(1994,12,16)</f>
        <v>34684</v>
      </c>
      <c r="C1410" s="2" t="s">
        <v>95</v>
      </c>
      <c r="D1410" s="2" t="s">
        <v>4688</v>
      </c>
      <c r="E1410" s="2" t="s">
        <v>1025</v>
      </c>
      <c r="F1410" s="4">
        <v>4812</v>
      </c>
      <c r="G1410" s="2" t="s">
        <v>63</v>
      </c>
      <c r="H1410" s="2" t="s">
        <v>34</v>
      </c>
      <c r="I1410" s="2" t="s">
        <v>4689</v>
      </c>
      <c r="J1410" s="2" t="s">
        <v>1604</v>
      </c>
      <c r="K1410" s="2" t="s">
        <v>63</v>
      </c>
      <c r="L1410" s="2" t="s">
        <v>34</v>
      </c>
      <c r="M1410" s="12">
        <v>24672.516</v>
      </c>
      <c r="N1410" s="6">
        <v>38.75</v>
      </c>
      <c r="O1410" s="7">
        <v>39.375</v>
      </c>
      <c r="P1410" s="2" t="s">
        <v>4690</v>
      </c>
      <c r="Q1410" s="6">
        <v>100</v>
      </c>
      <c r="R1410" s="2"/>
      <c r="S1410" s="5">
        <v>2.2999999999999998</v>
      </c>
      <c r="T1410" s="7">
        <v>19.651</v>
      </c>
      <c r="U1410" s="5">
        <v>0.1</v>
      </c>
      <c r="V1410" s="6">
        <v>0.06</v>
      </c>
      <c r="W1410" s="4">
        <v>26</v>
      </c>
      <c r="X1410" s="7">
        <v>26.125</v>
      </c>
      <c r="Y1410" s="4">
        <v>24</v>
      </c>
      <c r="Z1410" s="6">
        <v>24.75</v>
      </c>
      <c r="AA1410" s="6">
        <v>37.49</v>
      </c>
      <c r="AB1410" s="7">
        <v>243.58199999999999</v>
      </c>
      <c r="AC1410" s="5">
        <v>618.4</v>
      </c>
    </row>
    <row r="1411" spans="1:29" ht="78" x14ac:dyDescent="0.15">
      <c r="A1411" s="3">
        <f>DATE(1994,2,28)</f>
        <v>34393</v>
      </c>
      <c r="B1411" s="2"/>
      <c r="C1411" s="2" t="s">
        <v>30</v>
      </c>
      <c r="D1411" s="2" t="s">
        <v>4298</v>
      </c>
      <c r="E1411" s="2" t="s">
        <v>4299</v>
      </c>
      <c r="F1411" s="4">
        <v>3671</v>
      </c>
      <c r="G1411" s="2" t="s">
        <v>137</v>
      </c>
      <c r="H1411" s="2" t="s">
        <v>34</v>
      </c>
      <c r="I1411" s="2" t="s">
        <v>4300</v>
      </c>
      <c r="J1411" s="2" t="s">
        <v>3526</v>
      </c>
      <c r="K1411" s="2" t="s">
        <v>137</v>
      </c>
      <c r="L1411" s="2" t="s">
        <v>34</v>
      </c>
      <c r="M1411" s="2"/>
      <c r="N1411" s="6">
        <v>6.25</v>
      </c>
      <c r="O1411" s="7">
        <v>6.375</v>
      </c>
      <c r="P1411" s="2" t="s">
        <v>4691</v>
      </c>
      <c r="Q1411" s="2"/>
      <c r="R1411" s="2"/>
      <c r="S1411" s="5">
        <v>0.5</v>
      </c>
      <c r="T1411" s="7">
        <v>3.383</v>
      </c>
      <c r="U1411" s="5">
        <v>1.6</v>
      </c>
      <c r="V1411" s="6">
        <v>0.05</v>
      </c>
      <c r="W1411" s="5">
        <v>3.5</v>
      </c>
      <c r="X1411" s="4">
        <v>4</v>
      </c>
      <c r="Y1411" s="6">
        <v>3.25</v>
      </c>
      <c r="Z1411" s="5">
        <v>3.5</v>
      </c>
      <c r="AA1411" s="6">
        <v>4.2300000000000004</v>
      </c>
      <c r="AB1411" s="2" t="s">
        <v>47</v>
      </c>
      <c r="AC1411" s="5">
        <v>7.1</v>
      </c>
    </row>
    <row r="1412" spans="1:29" ht="156" x14ac:dyDescent="0.15">
      <c r="A1412" s="3">
        <f>DATE(1994,3,1)</f>
        <v>34394</v>
      </c>
      <c r="B1412" s="3">
        <f>DATE(1994,10,12)</f>
        <v>34619</v>
      </c>
      <c r="C1412" s="2" t="s">
        <v>95</v>
      </c>
      <c r="D1412" s="2" t="s">
        <v>4692</v>
      </c>
      <c r="E1412" s="2" t="s">
        <v>786</v>
      </c>
      <c r="F1412" s="4">
        <v>5122</v>
      </c>
      <c r="G1412" s="2" t="s">
        <v>593</v>
      </c>
      <c r="H1412" s="2" t="s">
        <v>34</v>
      </c>
      <c r="I1412" s="2" t="s">
        <v>190</v>
      </c>
      <c r="J1412" s="2" t="s">
        <v>191</v>
      </c>
      <c r="K1412" s="2" t="s">
        <v>163</v>
      </c>
      <c r="L1412" s="2" t="s">
        <v>34</v>
      </c>
      <c r="M1412" s="7">
        <v>199.364</v>
      </c>
      <c r="N1412" s="6">
        <v>16.25</v>
      </c>
      <c r="O1412" s="4">
        <v>16</v>
      </c>
      <c r="P1412" s="2" t="s">
        <v>4693</v>
      </c>
      <c r="Q1412" s="6">
        <v>19.54</v>
      </c>
      <c r="R1412" s="6">
        <v>14.46</v>
      </c>
      <c r="S1412" s="5">
        <v>23.9</v>
      </c>
      <c r="T1412" s="7">
        <v>72.117999999999995</v>
      </c>
      <c r="U1412" s="5">
        <v>16.100000000000001</v>
      </c>
      <c r="V1412" s="6">
        <v>0.79</v>
      </c>
      <c r="W1412" s="6">
        <v>13.25</v>
      </c>
      <c r="X1412" s="5">
        <v>13.5</v>
      </c>
      <c r="Y1412" s="7">
        <v>13.875</v>
      </c>
      <c r="Z1412" s="6">
        <v>13.75</v>
      </c>
      <c r="AA1412" s="6">
        <v>28.2</v>
      </c>
      <c r="AB1412" s="7">
        <v>11.385999999999999</v>
      </c>
      <c r="AC1412" s="2"/>
    </row>
    <row r="1413" spans="1:29" ht="78" x14ac:dyDescent="0.15">
      <c r="A1413" s="3">
        <f>DATE(1994,3,1)</f>
        <v>34394</v>
      </c>
      <c r="B1413" s="3">
        <f>DATE(1994,3,21)</f>
        <v>34414</v>
      </c>
      <c r="C1413" s="2" t="s">
        <v>95</v>
      </c>
      <c r="D1413" s="2" t="s">
        <v>4694</v>
      </c>
      <c r="E1413" s="2" t="s">
        <v>4695</v>
      </c>
      <c r="F1413" s="4">
        <v>5651</v>
      </c>
      <c r="G1413" s="2" t="s">
        <v>756</v>
      </c>
      <c r="H1413" s="2" t="s">
        <v>34</v>
      </c>
      <c r="I1413" s="2" t="s">
        <v>4289</v>
      </c>
      <c r="J1413" s="2" t="s">
        <v>4696</v>
      </c>
      <c r="K1413" s="2" t="s">
        <v>708</v>
      </c>
      <c r="L1413" s="2" t="s">
        <v>34</v>
      </c>
      <c r="M1413" s="2"/>
      <c r="N1413" s="7">
        <v>30.625</v>
      </c>
      <c r="O1413" s="7">
        <v>29.875</v>
      </c>
      <c r="P1413" s="2" t="s">
        <v>4697</v>
      </c>
      <c r="Q1413" s="6">
        <v>100</v>
      </c>
      <c r="R1413" s="2"/>
      <c r="S1413" s="5">
        <v>-188.8</v>
      </c>
      <c r="T1413" s="2"/>
      <c r="U1413" s="5">
        <v>-9.6</v>
      </c>
      <c r="V1413" s="6">
        <v>-11.81</v>
      </c>
      <c r="W1413" s="7">
        <v>2.125</v>
      </c>
      <c r="X1413" s="4">
        <v>2</v>
      </c>
      <c r="Y1413" s="4">
        <v>2</v>
      </c>
      <c r="Z1413" s="5">
        <v>0.5</v>
      </c>
      <c r="AA1413" s="6">
        <v>15.98</v>
      </c>
      <c r="AB1413" s="2" t="s">
        <v>86</v>
      </c>
      <c r="AC1413" s="2"/>
    </row>
    <row r="1414" spans="1:29" ht="91" x14ac:dyDescent="0.15">
      <c r="A1414" s="3">
        <f>DATE(1994,3,2)</f>
        <v>34395</v>
      </c>
      <c r="B1414" s="3">
        <f>DATE(1994,9,30)</f>
        <v>34607</v>
      </c>
      <c r="C1414" s="2" t="s">
        <v>95</v>
      </c>
      <c r="D1414" s="2" t="s">
        <v>1577</v>
      </c>
      <c r="E1414" s="2" t="s">
        <v>32</v>
      </c>
      <c r="F1414" s="4">
        <v>6036</v>
      </c>
      <c r="G1414" s="2" t="s">
        <v>33</v>
      </c>
      <c r="H1414" s="2" t="s">
        <v>34</v>
      </c>
      <c r="I1414" s="2" t="s">
        <v>2236</v>
      </c>
      <c r="J1414" s="2" t="s">
        <v>36</v>
      </c>
      <c r="K1414" s="2" t="s">
        <v>37</v>
      </c>
      <c r="L1414" s="2" t="s">
        <v>34</v>
      </c>
      <c r="M1414" s="12">
        <v>2226.3290000000002</v>
      </c>
      <c r="N1414" s="6">
        <v>20.75</v>
      </c>
      <c r="O1414" s="7">
        <v>20.375</v>
      </c>
      <c r="P1414" s="2" t="s">
        <v>4698</v>
      </c>
      <c r="Q1414" s="6">
        <v>100</v>
      </c>
      <c r="R1414" s="6">
        <v>16</v>
      </c>
      <c r="S1414" s="5">
        <v>0.4</v>
      </c>
      <c r="T1414" s="2"/>
      <c r="U1414" s="2"/>
      <c r="V1414" s="6">
        <v>0.36</v>
      </c>
      <c r="W1414" s="6">
        <v>10.75</v>
      </c>
      <c r="X1414" s="4">
        <v>12</v>
      </c>
      <c r="Y1414" s="6">
        <v>13.75</v>
      </c>
      <c r="Z1414" s="6">
        <v>13.25</v>
      </c>
      <c r="AA1414" s="6">
        <v>1</v>
      </c>
      <c r="AB1414" s="2" t="s">
        <v>47</v>
      </c>
      <c r="AC1414" s="2"/>
    </row>
    <row r="1415" spans="1:29" ht="52" x14ac:dyDescent="0.15">
      <c r="A1415" s="3">
        <f>DATE(1994,3,3)</f>
        <v>34396</v>
      </c>
      <c r="B1415" s="2"/>
      <c r="C1415" s="2" t="s">
        <v>87</v>
      </c>
      <c r="D1415" s="2" t="s">
        <v>4699</v>
      </c>
      <c r="E1415" s="2" t="s">
        <v>4700</v>
      </c>
      <c r="F1415" s="4">
        <v>4841</v>
      </c>
      <c r="G1415" s="2" t="s">
        <v>45</v>
      </c>
      <c r="H1415" s="2" t="s">
        <v>34</v>
      </c>
      <c r="I1415" s="2" t="s">
        <v>138</v>
      </c>
      <c r="J1415" s="2" t="s">
        <v>139</v>
      </c>
      <c r="K1415" s="2" t="s">
        <v>53</v>
      </c>
      <c r="L1415" s="2" t="s">
        <v>139</v>
      </c>
      <c r="M1415" s="2"/>
      <c r="N1415" s="2"/>
      <c r="O1415" s="2"/>
      <c r="P1415" s="2" t="s">
        <v>4701</v>
      </c>
      <c r="Q1415" s="2"/>
      <c r="R1415" s="2"/>
      <c r="S1415" s="2"/>
      <c r="T1415" s="2"/>
      <c r="U1415" s="2"/>
      <c r="V1415" s="2"/>
      <c r="W1415" s="6">
        <v>27.25</v>
      </c>
      <c r="X1415" s="6">
        <v>27.25</v>
      </c>
      <c r="Y1415" s="6">
        <v>27.25</v>
      </c>
      <c r="Z1415" s="6">
        <v>27.25</v>
      </c>
      <c r="AA1415" s="2"/>
      <c r="AB1415" s="2" t="s">
        <v>47</v>
      </c>
      <c r="AC1415" s="2"/>
    </row>
    <row r="1416" spans="1:29" ht="143" x14ac:dyDescent="0.15">
      <c r="A1416" s="3">
        <f>DATE(1994,3,4)</f>
        <v>34397</v>
      </c>
      <c r="B1416" s="3">
        <f>DATE(1994,10,1)</f>
        <v>34608</v>
      </c>
      <c r="C1416" s="2" t="s">
        <v>95</v>
      </c>
      <c r="D1416" s="2" t="s">
        <v>4702</v>
      </c>
      <c r="E1416" s="2" t="s">
        <v>36</v>
      </c>
      <c r="F1416" s="4">
        <v>6022</v>
      </c>
      <c r="G1416" s="2" t="s">
        <v>37</v>
      </c>
      <c r="H1416" s="2" t="s">
        <v>34</v>
      </c>
      <c r="I1416" s="2" t="s">
        <v>4703</v>
      </c>
      <c r="J1416" s="2" t="s">
        <v>36</v>
      </c>
      <c r="K1416" s="2" t="s">
        <v>37</v>
      </c>
      <c r="L1416" s="2" t="s">
        <v>34</v>
      </c>
      <c r="M1416" s="2"/>
      <c r="N1416" s="6">
        <v>8.25</v>
      </c>
      <c r="O1416" s="5">
        <v>8.5</v>
      </c>
      <c r="P1416" s="2" t="s">
        <v>4704</v>
      </c>
      <c r="Q1416" s="6">
        <v>100</v>
      </c>
      <c r="R1416" s="6">
        <v>8.5</v>
      </c>
      <c r="S1416" s="5">
        <v>0.7</v>
      </c>
      <c r="T1416" s="7">
        <v>18.792999999999999</v>
      </c>
      <c r="U1416" s="5">
        <v>6.3</v>
      </c>
      <c r="V1416" s="6">
        <v>0.65</v>
      </c>
      <c r="W1416" s="5">
        <v>5.5</v>
      </c>
      <c r="X1416" s="4">
        <v>6</v>
      </c>
      <c r="Y1416" s="5">
        <v>6.5</v>
      </c>
      <c r="Z1416" s="5">
        <v>6.5</v>
      </c>
      <c r="AA1416" s="6">
        <v>1.1299999999999999</v>
      </c>
      <c r="AB1416" s="7">
        <v>64.516000000000005</v>
      </c>
      <c r="AC1416" s="2"/>
    </row>
    <row r="1417" spans="1:29" ht="78" x14ac:dyDescent="0.15">
      <c r="A1417" s="3">
        <f>DATE(1994,3,4)</f>
        <v>34397</v>
      </c>
      <c r="B1417" s="2"/>
      <c r="C1417" s="2" t="s">
        <v>30</v>
      </c>
      <c r="D1417" s="2" t="s">
        <v>153</v>
      </c>
      <c r="E1417" s="2" t="s">
        <v>36</v>
      </c>
      <c r="F1417" s="4">
        <v>6021</v>
      </c>
      <c r="G1417" s="2" t="s">
        <v>37</v>
      </c>
      <c r="H1417" s="2" t="s">
        <v>34</v>
      </c>
      <c r="I1417" s="2" t="s">
        <v>154</v>
      </c>
      <c r="J1417" s="2" t="s">
        <v>36</v>
      </c>
      <c r="K1417" s="2" t="s">
        <v>37</v>
      </c>
      <c r="L1417" s="2" t="s">
        <v>34</v>
      </c>
      <c r="M1417" s="2"/>
      <c r="N1417" s="2"/>
      <c r="O1417" s="2"/>
      <c r="P1417" s="2" t="s">
        <v>4705</v>
      </c>
      <c r="Q1417" s="2"/>
      <c r="R1417" s="2"/>
      <c r="S1417" s="5">
        <v>561.4</v>
      </c>
      <c r="T1417" s="12">
        <v>1005.684</v>
      </c>
      <c r="U1417" s="5">
        <v>41.4</v>
      </c>
      <c r="V1417" s="6">
        <v>6.68</v>
      </c>
      <c r="W1417" s="5">
        <v>66.5</v>
      </c>
      <c r="X1417" s="7">
        <v>64.875</v>
      </c>
      <c r="Y1417" s="6">
        <v>66.75</v>
      </c>
      <c r="Z1417" s="6">
        <v>67.75</v>
      </c>
      <c r="AA1417" s="2"/>
      <c r="AB1417" s="2" t="s">
        <v>47</v>
      </c>
      <c r="AC1417" s="2"/>
    </row>
    <row r="1418" spans="1:29" ht="117" x14ac:dyDescent="0.15">
      <c r="A1418" s="3">
        <f>DATE(1994,3,4)</f>
        <v>34397</v>
      </c>
      <c r="B1418" s="2"/>
      <c r="C1418" s="2" t="s">
        <v>30</v>
      </c>
      <c r="D1418" s="2" t="s">
        <v>4706</v>
      </c>
      <c r="E1418" s="2" t="s">
        <v>177</v>
      </c>
      <c r="F1418" s="4">
        <v>1311</v>
      </c>
      <c r="G1418" s="2" t="s">
        <v>148</v>
      </c>
      <c r="H1418" s="2" t="s">
        <v>34</v>
      </c>
      <c r="I1418" s="2" t="s">
        <v>4707</v>
      </c>
      <c r="J1418" s="2" t="s">
        <v>612</v>
      </c>
      <c r="K1418" s="2" t="s">
        <v>148</v>
      </c>
      <c r="L1418" s="2" t="s">
        <v>34</v>
      </c>
      <c r="M1418" s="2"/>
      <c r="N1418" s="2"/>
      <c r="O1418" s="2"/>
      <c r="P1418" s="2" t="s">
        <v>4708</v>
      </c>
      <c r="Q1418" s="2"/>
      <c r="R1418" s="2"/>
      <c r="S1418" s="2"/>
      <c r="T1418" s="2"/>
      <c r="U1418" s="2"/>
      <c r="V1418" s="2"/>
      <c r="W1418" s="5">
        <v>2.5</v>
      </c>
      <c r="X1418" s="7">
        <v>2.625</v>
      </c>
      <c r="Y1418" s="6">
        <v>2.75</v>
      </c>
      <c r="Z1418" s="7">
        <v>2.875</v>
      </c>
      <c r="AA1418" s="6">
        <v>2.2200000000000002</v>
      </c>
      <c r="AB1418" s="2" t="s">
        <v>47</v>
      </c>
      <c r="AC1418" s="2"/>
    </row>
    <row r="1419" spans="1:29" ht="156" x14ac:dyDescent="0.15">
      <c r="A1419" s="3">
        <f>DATE(1994,3,7)</f>
        <v>34400</v>
      </c>
      <c r="B1419" s="3">
        <f>DATE(1994,12,2)</f>
        <v>34670</v>
      </c>
      <c r="C1419" s="2" t="s">
        <v>95</v>
      </c>
      <c r="D1419" s="2" t="s">
        <v>4709</v>
      </c>
      <c r="E1419" s="2" t="s">
        <v>32</v>
      </c>
      <c r="F1419" s="4">
        <v>6036</v>
      </c>
      <c r="G1419" s="2" t="s">
        <v>33</v>
      </c>
      <c r="H1419" s="2" t="s">
        <v>34</v>
      </c>
      <c r="I1419" s="2" t="s">
        <v>1698</v>
      </c>
      <c r="J1419" s="2" t="s">
        <v>36</v>
      </c>
      <c r="K1419" s="2" t="s">
        <v>37</v>
      </c>
      <c r="L1419" s="2" t="s">
        <v>34</v>
      </c>
      <c r="M1419" s="10">
        <v>3049.58</v>
      </c>
      <c r="N1419" s="5">
        <v>24.5</v>
      </c>
      <c r="O1419" s="5">
        <v>24.5</v>
      </c>
      <c r="P1419" s="2" t="s">
        <v>4710</v>
      </c>
      <c r="Q1419" s="6">
        <v>100</v>
      </c>
      <c r="R1419" s="6">
        <v>62</v>
      </c>
      <c r="S1419" s="5">
        <v>20.5</v>
      </c>
      <c r="T1419" s="7">
        <v>31.957999999999998</v>
      </c>
      <c r="U1419" s="5">
        <v>33.9</v>
      </c>
      <c r="V1419" s="6">
        <v>4.68</v>
      </c>
      <c r="W1419" s="6">
        <v>43.25</v>
      </c>
      <c r="X1419" s="5">
        <v>43.5</v>
      </c>
      <c r="Y1419" s="6">
        <v>51.75</v>
      </c>
      <c r="Z1419" s="4">
        <v>51</v>
      </c>
      <c r="AA1419" s="6">
        <v>4.1900000000000004</v>
      </c>
      <c r="AB1419" s="2" t="s">
        <v>47</v>
      </c>
      <c r="AC1419" s="2"/>
    </row>
    <row r="1420" spans="1:29" ht="130" x14ac:dyDescent="0.15">
      <c r="A1420" s="3">
        <f>DATE(1994,3,7)</f>
        <v>34400</v>
      </c>
      <c r="B1420" s="2"/>
      <c r="C1420" s="2" t="s">
        <v>30</v>
      </c>
      <c r="D1420" s="2" t="s">
        <v>4711</v>
      </c>
      <c r="E1420" s="2" t="s">
        <v>4712</v>
      </c>
      <c r="F1420" s="4">
        <v>3721</v>
      </c>
      <c r="G1420" s="2" t="s">
        <v>219</v>
      </c>
      <c r="H1420" s="2" t="s">
        <v>34</v>
      </c>
      <c r="I1420" s="2" t="s">
        <v>4713</v>
      </c>
      <c r="J1420" s="2" t="s">
        <v>4714</v>
      </c>
      <c r="K1420" s="2" t="s">
        <v>219</v>
      </c>
      <c r="L1420" s="2" t="s">
        <v>34</v>
      </c>
      <c r="M1420" s="10">
        <v>4335.24</v>
      </c>
      <c r="N1420" s="4">
        <v>46</v>
      </c>
      <c r="O1420" s="7">
        <v>45.625</v>
      </c>
      <c r="P1420" s="2" t="s">
        <v>4715</v>
      </c>
      <c r="Q1420" s="2"/>
      <c r="R1420" s="6">
        <v>55</v>
      </c>
      <c r="S1420" s="5">
        <v>58.8</v>
      </c>
      <c r="T1420" s="7">
        <v>22.983000000000001</v>
      </c>
      <c r="U1420" s="5">
        <v>24.6</v>
      </c>
      <c r="V1420" s="6">
        <v>1.71</v>
      </c>
      <c r="W1420" s="5">
        <v>37.5</v>
      </c>
      <c r="X1420" s="7">
        <v>39.875</v>
      </c>
      <c r="Y1420" s="7">
        <v>54.125</v>
      </c>
      <c r="Z1420" s="6">
        <v>54.25</v>
      </c>
      <c r="AA1420" s="6">
        <v>33.94</v>
      </c>
      <c r="AB1420" s="2" t="s">
        <v>86</v>
      </c>
      <c r="AC1420" s="5">
        <v>373.1</v>
      </c>
    </row>
    <row r="1421" spans="1:29" ht="78" x14ac:dyDescent="0.15">
      <c r="A1421" s="3">
        <f>DATE(1994,3,7)</f>
        <v>34400</v>
      </c>
      <c r="B1421" s="2"/>
      <c r="C1421" s="2" t="s">
        <v>189</v>
      </c>
      <c r="D1421" s="2" t="s">
        <v>4716</v>
      </c>
      <c r="E1421" s="2" t="s">
        <v>4717</v>
      </c>
      <c r="F1421" s="4">
        <v>7361</v>
      </c>
      <c r="G1421" s="2" t="s">
        <v>223</v>
      </c>
      <c r="H1421" s="2" t="s">
        <v>34</v>
      </c>
      <c r="I1421" s="2" t="s">
        <v>143</v>
      </c>
      <c r="J1421" s="2" t="s">
        <v>144</v>
      </c>
      <c r="K1421" s="2" t="s">
        <v>53</v>
      </c>
      <c r="L1421" s="2" t="s">
        <v>139</v>
      </c>
      <c r="M1421" s="2"/>
      <c r="N1421" s="2"/>
      <c r="O1421" s="2"/>
      <c r="P1421" s="2" t="s">
        <v>4718</v>
      </c>
      <c r="Q1421" s="2"/>
      <c r="R1421" s="2"/>
      <c r="S1421" s="5">
        <v>-5.9</v>
      </c>
      <c r="T1421" s="7">
        <v>-5.3319999999999999</v>
      </c>
      <c r="U1421" s="5">
        <v>3.4</v>
      </c>
      <c r="V1421" s="6">
        <v>-1.04</v>
      </c>
      <c r="W1421" s="7">
        <v>3.125</v>
      </c>
      <c r="X1421" s="7">
        <v>3.375</v>
      </c>
      <c r="Y1421" s="7">
        <v>3.625</v>
      </c>
      <c r="Z1421" s="5">
        <v>3.5</v>
      </c>
      <c r="AA1421" s="2"/>
      <c r="AB1421" s="2" t="s">
        <v>86</v>
      </c>
      <c r="AC1421" s="2"/>
    </row>
    <row r="1422" spans="1:29" ht="143" x14ac:dyDescent="0.15">
      <c r="A1422" s="3">
        <f>DATE(1994,3,7)</f>
        <v>34400</v>
      </c>
      <c r="B1422" s="2"/>
      <c r="C1422" s="2" t="s">
        <v>30</v>
      </c>
      <c r="D1422" s="2" t="s">
        <v>1592</v>
      </c>
      <c r="E1422" s="2" t="s">
        <v>1593</v>
      </c>
      <c r="F1422" s="4">
        <v>8741</v>
      </c>
      <c r="G1422" s="2" t="s">
        <v>223</v>
      </c>
      <c r="H1422" s="2" t="s">
        <v>34</v>
      </c>
      <c r="I1422" s="2" t="s">
        <v>1594</v>
      </c>
      <c r="J1422" s="2" t="s">
        <v>398</v>
      </c>
      <c r="K1422" s="2" t="s">
        <v>42</v>
      </c>
      <c r="L1422" s="2" t="s">
        <v>34</v>
      </c>
      <c r="M1422" s="7">
        <v>419.62799999999999</v>
      </c>
      <c r="N1422" s="7">
        <v>23.375</v>
      </c>
      <c r="O1422" s="6">
        <v>23.25</v>
      </c>
      <c r="P1422" s="2" t="s">
        <v>4719</v>
      </c>
      <c r="Q1422" s="2"/>
      <c r="R1422" s="6">
        <v>11.78</v>
      </c>
      <c r="S1422" s="5">
        <v>1.2</v>
      </c>
      <c r="T1422" s="7">
        <v>2.105</v>
      </c>
      <c r="U1422" s="5">
        <v>4.3</v>
      </c>
      <c r="V1422" s="6">
        <v>0.53</v>
      </c>
      <c r="W1422" s="7">
        <v>5.625</v>
      </c>
      <c r="X1422" s="7">
        <v>5.875</v>
      </c>
      <c r="Y1422" s="7">
        <v>7.375</v>
      </c>
      <c r="Z1422" s="5">
        <v>6.5</v>
      </c>
      <c r="AA1422" s="6">
        <v>2.2799999999999998</v>
      </c>
      <c r="AB1422" s="7">
        <v>13.207000000000001</v>
      </c>
      <c r="AC1422" s="2"/>
    </row>
    <row r="1423" spans="1:29" ht="143" x14ac:dyDescent="0.15">
      <c r="A1423" s="3">
        <f>DATE(1994,3,10)</f>
        <v>34403</v>
      </c>
      <c r="B1423" s="3">
        <f>DATE(1994,7,19)</f>
        <v>34534</v>
      </c>
      <c r="C1423" s="2" t="s">
        <v>95</v>
      </c>
      <c r="D1423" s="2" t="s">
        <v>4720</v>
      </c>
      <c r="E1423" s="2" t="s">
        <v>612</v>
      </c>
      <c r="F1423" s="4">
        <v>1311</v>
      </c>
      <c r="G1423" s="2" t="s">
        <v>148</v>
      </c>
      <c r="H1423" s="2" t="s">
        <v>34</v>
      </c>
      <c r="I1423" s="2" t="s">
        <v>2138</v>
      </c>
      <c r="J1423" s="2" t="s">
        <v>177</v>
      </c>
      <c r="K1423" s="2" t="s">
        <v>148</v>
      </c>
      <c r="L1423" s="2" t="s">
        <v>34</v>
      </c>
      <c r="M1423" s="7">
        <v>32.819000000000003</v>
      </c>
      <c r="N1423" s="5">
        <v>5.5</v>
      </c>
      <c r="O1423" s="6">
        <v>5.25</v>
      </c>
      <c r="P1423" s="2" t="s">
        <v>4721</v>
      </c>
      <c r="Q1423" s="6">
        <v>100</v>
      </c>
      <c r="R1423" s="6">
        <v>8.5</v>
      </c>
      <c r="S1423" s="5">
        <v>1.4</v>
      </c>
      <c r="T1423" s="7">
        <v>4.7939999999999996</v>
      </c>
      <c r="U1423" s="5">
        <v>3</v>
      </c>
      <c r="V1423" s="6">
        <v>0.47</v>
      </c>
      <c r="W1423" s="6">
        <v>5.75</v>
      </c>
      <c r="X1423" s="6">
        <v>6.75</v>
      </c>
      <c r="Y1423" s="6">
        <v>6.75</v>
      </c>
      <c r="Z1423" s="7">
        <v>6.625</v>
      </c>
      <c r="AA1423" s="6">
        <v>3.28</v>
      </c>
      <c r="AB1423" s="7">
        <v>12.704000000000001</v>
      </c>
      <c r="AC1423" s="2"/>
    </row>
    <row r="1424" spans="1:29" ht="143" x14ac:dyDescent="0.15">
      <c r="A1424" s="3">
        <f>DATE(1994,3,10)</f>
        <v>34403</v>
      </c>
      <c r="B1424" s="3">
        <f>DATE(1994,5,18)</f>
        <v>34472</v>
      </c>
      <c r="C1424" s="2" t="s">
        <v>95</v>
      </c>
      <c r="D1424" s="2" t="s">
        <v>4711</v>
      </c>
      <c r="E1424" s="2" t="s">
        <v>4712</v>
      </c>
      <c r="F1424" s="4">
        <v>3721</v>
      </c>
      <c r="G1424" s="2" t="s">
        <v>219</v>
      </c>
      <c r="H1424" s="2" t="s">
        <v>34</v>
      </c>
      <c r="I1424" s="2" t="s">
        <v>4722</v>
      </c>
      <c r="J1424" s="2" t="s">
        <v>4723</v>
      </c>
      <c r="K1424" s="2" t="s">
        <v>219</v>
      </c>
      <c r="L1424" s="2" t="s">
        <v>34</v>
      </c>
      <c r="M1424" s="12">
        <v>1879.424</v>
      </c>
      <c r="N1424" s="6">
        <v>41.25</v>
      </c>
      <c r="O1424" s="7">
        <v>41.375</v>
      </c>
      <c r="P1424" s="2" t="s">
        <v>4724</v>
      </c>
      <c r="Q1424" s="6">
        <v>100</v>
      </c>
      <c r="R1424" s="6">
        <v>62</v>
      </c>
      <c r="S1424" s="5">
        <v>58.8</v>
      </c>
      <c r="T1424" s="7">
        <v>22.983000000000001</v>
      </c>
      <c r="U1424" s="5">
        <v>24.6</v>
      </c>
      <c r="V1424" s="6">
        <v>1.71</v>
      </c>
      <c r="W1424" s="5">
        <v>37.5</v>
      </c>
      <c r="X1424" s="7">
        <v>39.875</v>
      </c>
      <c r="Y1424" s="7">
        <v>54.125</v>
      </c>
      <c r="Z1424" s="6">
        <v>54.25</v>
      </c>
      <c r="AA1424" s="6">
        <v>33.94</v>
      </c>
      <c r="AB1424" s="2" t="s">
        <v>86</v>
      </c>
      <c r="AC1424" s="5">
        <v>100</v>
      </c>
    </row>
    <row r="1425" spans="1:29" ht="143" x14ac:dyDescent="0.15">
      <c r="A1425" s="3">
        <f>DATE(1994,3,14)</f>
        <v>34407</v>
      </c>
      <c r="B1425" s="2"/>
      <c r="C1425" s="2" t="s">
        <v>30</v>
      </c>
      <c r="D1425" s="2" t="s">
        <v>4725</v>
      </c>
      <c r="E1425" s="2" t="s">
        <v>746</v>
      </c>
      <c r="F1425" s="4">
        <v>6311</v>
      </c>
      <c r="G1425" s="2" t="s">
        <v>125</v>
      </c>
      <c r="H1425" s="2" t="s">
        <v>34</v>
      </c>
      <c r="I1425" s="2" t="s">
        <v>4726</v>
      </c>
      <c r="J1425" s="2" t="s">
        <v>4727</v>
      </c>
      <c r="K1425" s="2" t="s">
        <v>370</v>
      </c>
      <c r="L1425" s="2" t="s">
        <v>34</v>
      </c>
      <c r="M1425" s="2"/>
      <c r="N1425" s="2"/>
      <c r="O1425" s="2"/>
      <c r="P1425" s="2" t="s">
        <v>4728</v>
      </c>
      <c r="Q1425" s="2"/>
      <c r="R1425" s="6">
        <v>60</v>
      </c>
      <c r="S1425" s="5">
        <v>-89.4</v>
      </c>
      <c r="T1425" s="2"/>
      <c r="U1425" s="5">
        <v>33.5</v>
      </c>
      <c r="V1425" s="6">
        <v>-2.52</v>
      </c>
      <c r="W1425" s="5">
        <v>40.5</v>
      </c>
      <c r="X1425" s="7">
        <v>40.875</v>
      </c>
      <c r="Y1425" s="4">
        <v>57</v>
      </c>
      <c r="Z1425" s="6">
        <v>61.75</v>
      </c>
      <c r="AA1425" s="6">
        <v>33.67</v>
      </c>
      <c r="AB1425" s="2" t="s">
        <v>86</v>
      </c>
      <c r="AC1425" s="2"/>
    </row>
    <row r="1426" spans="1:29" ht="130" x14ac:dyDescent="0.15">
      <c r="A1426" s="3">
        <f>DATE(1994,3,14)</f>
        <v>34407</v>
      </c>
      <c r="B1426" s="2"/>
      <c r="C1426" s="2" t="s">
        <v>30</v>
      </c>
      <c r="D1426" s="2" t="s">
        <v>4729</v>
      </c>
      <c r="E1426" s="2" t="s">
        <v>4730</v>
      </c>
      <c r="F1426" s="4">
        <v>3944</v>
      </c>
      <c r="G1426" s="2" t="s">
        <v>112</v>
      </c>
      <c r="H1426" s="2" t="s">
        <v>34</v>
      </c>
      <c r="I1426" s="2" t="s">
        <v>4731</v>
      </c>
      <c r="J1426" s="2" t="s">
        <v>4732</v>
      </c>
      <c r="K1426" s="2" t="s">
        <v>53</v>
      </c>
      <c r="L1426" s="2" t="s">
        <v>34</v>
      </c>
      <c r="M1426" s="2"/>
      <c r="N1426" s="2"/>
      <c r="O1426" s="2"/>
      <c r="P1426" s="2" t="s">
        <v>4733</v>
      </c>
      <c r="Q1426" s="2"/>
      <c r="R1426" s="2"/>
      <c r="S1426" s="5">
        <v>1.7</v>
      </c>
      <c r="T1426" s="7">
        <v>4.694</v>
      </c>
      <c r="U1426" s="5">
        <v>4.0999999999999996</v>
      </c>
      <c r="V1426" s="6">
        <v>0.49</v>
      </c>
      <c r="W1426" s="6">
        <v>6.25</v>
      </c>
      <c r="X1426" s="4">
        <v>6</v>
      </c>
      <c r="Y1426" s="6">
        <v>5.75</v>
      </c>
      <c r="Z1426" s="6">
        <v>5.75</v>
      </c>
      <c r="AA1426" s="6">
        <v>3.45</v>
      </c>
      <c r="AB1426" s="2" t="s">
        <v>47</v>
      </c>
      <c r="AC1426" s="2"/>
    </row>
    <row r="1427" spans="1:29" ht="156" x14ac:dyDescent="0.15">
      <c r="A1427" s="3">
        <f>DATE(1994,3,15)</f>
        <v>34408</v>
      </c>
      <c r="B1427" s="3">
        <f>DATE(1994,6,28)</f>
        <v>34513</v>
      </c>
      <c r="C1427" s="2" t="s">
        <v>95</v>
      </c>
      <c r="D1427" s="2" t="s">
        <v>4734</v>
      </c>
      <c r="E1427" s="2" t="s">
        <v>971</v>
      </c>
      <c r="F1427" s="4">
        <v>4813</v>
      </c>
      <c r="G1427" s="2" t="s">
        <v>63</v>
      </c>
      <c r="H1427" s="2" t="s">
        <v>34</v>
      </c>
      <c r="I1427" s="2" t="s">
        <v>4735</v>
      </c>
      <c r="J1427" s="2" t="s">
        <v>4736</v>
      </c>
      <c r="K1427" s="2" t="s">
        <v>63</v>
      </c>
      <c r="L1427" s="2" t="s">
        <v>34</v>
      </c>
      <c r="M1427" s="12">
        <v>2143.9250000000002</v>
      </c>
      <c r="N1427" s="6">
        <v>30.75</v>
      </c>
      <c r="O1427" s="7">
        <v>35.125</v>
      </c>
      <c r="P1427" s="2" t="s">
        <v>4737</v>
      </c>
      <c r="Q1427" s="6">
        <v>93.01</v>
      </c>
      <c r="R1427" s="6">
        <v>11</v>
      </c>
      <c r="S1427" s="5">
        <v>0.5</v>
      </c>
      <c r="T1427" s="7">
        <v>3.8660000000000001</v>
      </c>
      <c r="U1427" s="5">
        <v>2.6</v>
      </c>
      <c r="V1427" s="6">
        <v>0.03</v>
      </c>
      <c r="W1427" s="4">
        <v>5</v>
      </c>
      <c r="X1427" s="4">
        <v>5</v>
      </c>
      <c r="Y1427" s="7">
        <v>4.875</v>
      </c>
      <c r="Z1427" s="5">
        <v>10.5</v>
      </c>
      <c r="AA1427" s="6">
        <v>17.57</v>
      </c>
      <c r="AB1427" s="7">
        <v>702.94399999999996</v>
      </c>
      <c r="AC1427" s="2"/>
    </row>
    <row r="1428" spans="1:29" ht="52" x14ac:dyDescent="0.15">
      <c r="A1428" s="3">
        <f>DATE(1994,3,17)</f>
        <v>34410</v>
      </c>
      <c r="B1428" s="2"/>
      <c r="C1428" s="2" t="s">
        <v>30</v>
      </c>
      <c r="D1428" s="2" t="s">
        <v>4738</v>
      </c>
      <c r="E1428" s="2" t="s">
        <v>4739</v>
      </c>
      <c r="F1428" s="4">
        <v>7948</v>
      </c>
      <c r="G1428" s="2" t="s">
        <v>364</v>
      </c>
      <c r="H1428" s="2" t="s">
        <v>34</v>
      </c>
      <c r="I1428" s="2" t="s">
        <v>4740</v>
      </c>
      <c r="J1428" s="2" t="s">
        <v>92</v>
      </c>
      <c r="K1428" s="2" t="s">
        <v>53</v>
      </c>
      <c r="L1428" s="2" t="s">
        <v>34</v>
      </c>
      <c r="M1428" s="2"/>
      <c r="N1428" s="6">
        <v>19.25</v>
      </c>
      <c r="O1428" s="6">
        <v>19.25</v>
      </c>
      <c r="P1428" s="2" t="s">
        <v>4741</v>
      </c>
      <c r="Q1428" s="2"/>
      <c r="R1428" s="2"/>
      <c r="S1428" s="5">
        <v>1.2</v>
      </c>
      <c r="T1428" s="2"/>
      <c r="U1428" s="5">
        <v>2</v>
      </c>
      <c r="V1428" s="9">
        <v>0.1038</v>
      </c>
      <c r="W1428" s="5">
        <v>16.5</v>
      </c>
      <c r="X1428" s="7">
        <v>17.375</v>
      </c>
      <c r="Y1428" s="7">
        <v>17.375</v>
      </c>
      <c r="Z1428" s="4">
        <v>17</v>
      </c>
      <c r="AA1428" s="2"/>
      <c r="AB1428" s="2" t="s">
        <v>47</v>
      </c>
      <c r="AC1428" s="2"/>
    </row>
    <row r="1429" spans="1:29" ht="143" x14ac:dyDescent="0.15">
      <c r="A1429" s="3">
        <f>DATE(1994,3,18)</f>
        <v>34411</v>
      </c>
      <c r="B1429" s="2"/>
      <c r="C1429" s="2" t="s">
        <v>30</v>
      </c>
      <c r="D1429" s="2" t="s">
        <v>4742</v>
      </c>
      <c r="E1429" s="2" t="s">
        <v>4743</v>
      </c>
      <c r="F1429" s="4">
        <v>3823</v>
      </c>
      <c r="G1429" s="2" t="s">
        <v>226</v>
      </c>
      <c r="H1429" s="2" t="s">
        <v>34</v>
      </c>
      <c r="I1429" s="2" t="s">
        <v>4744</v>
      </c>
      <c r="J1429" s="2" t="s">
        <v>4745</v>
      </c>
      <c r="K1429" s="2" t="s">
        <v>226</v>
      </c>
      <c r="L1429" s="2" t="s">
        <v>34</v>
      </c>
      <c r="M1429" s="7">
        <v>216.44900000000001</v>
      </c>
      <c r="N1429" s="4">
        <v>18</v>
      </c>
      <c r="O1429" s="5">
        <v>16.5</v>
      </c>
      <c r="P1429" s="2" t="s">
        <v>4746</v>
      </c>
      <c r="Q1429" s="2"/>
      <c r="R1429" s="6">
        <v>23.25</v>
      </c>
      <c r="S1429" s="5">
        <v>1.1000000000000001</v>
      </c>
      <c r="T1429" s="7">
        <v>10.884</v>
      </c>
      <c r="U1429" s="5">
        <v>7.2</v>
      </c>
      <c r="V1429" s="6">
        <v>0.19</v>
      </c>
      <c r="W1429" s="6">
        <v>18.75</v>
      </c>
      <c r="X1429" s="6">
        <v>18.75</v>
      </c>
      <c r="Y1429" s="6">
        <v>18.75</v>
      </c>
      <c r="Z1429" s="7">
        <v>22.625</v>
      </c>
      <c r="AA1429" s="6">
        <v>6.45</v>
      </c>
      <c r="AB1429" s="7">
        <v>34.662999999999997</v>
      </c>
      <c r="AC1429" s="2"/>
    </row>
    <row r="1430" spans="1:29" ht="156" x14ac:dyDescent="0.15">
      <c r="A1430" s="3">
        <f>DATE(1994,3,18)</f>
        <v>34411</v>
      </c>
      <c r="B1430" s="3">
        <f>DATE(1994,9,1)</f>
        <v>34578</v>
      </c>
      <c r="C1430" s="2" t="s">
        <v>95</v>
      </c>
      <c r="D1430" s="2" t="s">
        <v>4747</v>
      </c>
      <c r="E1430" s="2" t="s">
        <v>4748</v>
      </c>
      <c r="F1430" s="4">
        <v>5049</v>
      </c>
      <c r="G1430" s="2" t="s">
        <v>76</v>
      </c>
      <c r="H1430" s="2" t="s">
        <v>34</v>
      </c>
      <c r="I1430" s="2" t="s">
        <v>4749</v>
      </c>
      <c r="J1430" s="2" t="s">
        <v>4750</v>
      </c>
      <c r="K1430" s="2" t="s">
        <v>223</v>
      </c>
      <c r="L1430" s="2" t="s">
        <v>34</v>
      </c>
      <c r="M1430" s="7">
        <v>48.759</v>
      </c>
      <c r="N1430" s="5">
        <v>12.5</v>
      </c>
      <c r="O1430" s="7">
        <v>12.625</v>
      </c>
      <c r="P1430" s="2" t="s">
        <v>4751</v>
      </c>
      <c r="Q1430" s="6">
        <v>100</v>
      </c>
      <c r="R1430" s="6">
        <v>8.7799999999999994</v>
      </c>
      <c r="S1430" s="2"/>
      <c r="T1430" s="2"/>
      <c r="U1430" s="2"/>
      <c r="V1430" s="2"/>
      <c r="W1430" s="7">
        <v>8.875</v>
      </c>
      <c r="X1430" s="4">
        <v>13</v>
      </c>
      <c r="Y1430" s="6">
        <v>9.25</v>
      </c>
      <c r="Z1430" s="6">
        <v>9.75</v>
      </c>
      <c r="AA1430" s="6">
        <v>3.44</v>
      </c>
      <c r="AB1430" s="2" t="s">
        <v>47</v>
      </c>
      <c r="AC1430" s="2"/>
    </row>
    <row r="1431" spans="1:29" ht="143" x14ac:dyDescent="0.15">
      <c r="A1431" s="3">
        <f>DATE(1994,3,21)</f>
        <v>34414</v>
      </c>
      <c r="B1431" s="2"/>
      <c r="C1431" s="2" t="s">
        <v>30</v>
      </c>
      <c r="D1431" s="2" t="s">
        <v>4752</v>
      </c>
      <c r="E1431" s="2" t="s">
        <v>973</v>
      </c>
      <c r="F1431" s="4">
        <v>4813</v>
      </c>
      <c r="G1431" s="2" t="s">
        <v>63</v>
      </c>
      <c r="H1431" s="2" t="s">
        <v>34</v>
      </c>
      <c r="I1431" s="2" t="s">
        <v>2389</v>
      </c>
      <c r="J1431" s="2" t="s">
        <v>375</v>
      </c>
      <c r="K1431" s="2" t="s">
        <v>63</v>
      </c>
      <c r="L1431" s="2" t="s">
        <v>34</v>
      </c>
      <c r="M1431" s="12">
        <v>1620.421</v>
      </c>
      <c r="N1431" s="7">
        <v>27.125</v>
      </c>
      <c r="O1431" s="6">
        <v>27.25</v>
      </c>
      <c r="P1431" s="2" t="s">
        <v>4753</v>
      </c>
      <c r="Q1431" s="2"/>
      <c r="R1431" s="6">
        <v>28.5</v>
      </c>
      <c r="S1431" s="5">
        <v>0.3</v>
      </c>
      <c r="T1431" s="7">
        <v>6.7119999999999997</v>
      </c>
      <c r="U1431" s="5">
        <v>3.1</v>
      </c>
      <c r="V1431" s="6">
        <v>0.16</v>
      </c>
      <c r="W1431" s="5">
        <v>19.5</v>
      </c>
      <c r="X1431" s="6">
        <v>21.75</v>
      </c>
      <c r="Y1431" s="6">
        <v>25.25</v>
      </c>
      <c r="Z1431" s="7">
        <v>25.375</v>
      </c>
      <c r="AA1431" s="6">
        <v>6.8</v>
      </c>
      <c r="AB1431" s="7">
        <v>334.27300000000002</v>
      </c>
      <c r="AC1431" s="6">
        <v>6.17</v>
      </c>
    </row>
    <row r="1432" spans="1:29" ht="156" x14ac:dyDescent="0.15">
      <c r="A1432" s="3">
        <f>DATE(1994,3,21)</f>
        <v>34414</v>
      </c>
      <c r="B1432" s="3">
        <f>DATE(1994,10,3)</f>
        <v>34610</v>
      </c>
      <c r="C1432" s="2" t="s">
        <v>95</v>
      </c>
      <c r="D1432" s="2" t="s">
        <v>4754</v>
      </c>
      <c r="E1432" s="2" t="s">
        <v>36</v>
      </c>
      <c r="F1432" s="4">
        <v>6022</v>
      </c>
      <c r="G1432" s="2" t="s">
        <v>37</v>
      </c>
      <c r="H1432" s="2" t="s">
        <v>34</v>
      </c>
      <c r="I1432" s="2" t="s">
        <v>4755</v>
      </c>
      <c r="J1432" s="2" t="s">
        <v>36</v>
      </c>
      <c r="K1432" s="2" t="s">
        <v>37</v>
      </c>
      <c r="L1432" s="2" t="s">
        <v>34</v>
      </c>
      <c r="M1432" s="2"/>
      <c r="N1432" s="2"/>
      <c r="O1432" s="2"/>
      <c r="P1432" s="2" t="s">
        <v>4756</v>
      </c>
      <c r="Q1432" s="6">
        <v>100</v>
      </c>
      <c r="R1432" s="6">
        <v>9.75</v>
      </c>
      <c r="S1432" s="5">
        <v>23.8</v>
      </c>
      <c r="T1432" s="7">
        <v>28.771999999999998</v>
      </c>
      <c r="U1432" s="5">
        <v>3.8</v>
      </c>
      <c r="V1432" s="6">
        <v>0.57999999999999996</v>
      </c>
      <c r="W1432" s="7">
        <v>8.125</v>
      </c>
      <c r="X1432" s="7">
        <v>8.875</v>
      </c>
      <c r="Y1432" s="4">
        <v>9</v>
      </c>
      <c r="Z1432" s="6">
        <v>8.75</v>
      </c>
      <c r="AA1432" s="6">
        <v>49.86</v>
      </c>
      <c r="AB1432" s="7">
        <v>91.210999999999999</v>
      </c>
      <c r="AC1432" s="2"/>
    </row>
    <row r="1433" spans="1:29" ht="104" x14ac:dyDescent="0.15">
      <c r="A1433" s="3">
        <f>DATE(1994,3,21)</f>
        <v>34414</v>
      </c>
      <c r="B1433" s="2"/>
      <c r="C1433" s="2" t="s">
        <v>87</v>
      </c>
      <c r="D1433" s="2" t="s">
        <v>110</v>
      </c>
      <c r="E1433" s="2" t="s">
        <v>111</v>
      </c>
      <c r="F1433" s="4">
        <v>3944</v>
      </c>
      <c r="G1433" s="2" t="s">
        <v>112</v>
      </c>
      <c r="H1433" s="2" t="s">
        <v>34</v>
      </c>
      <c r="I1433" s="2" t="s">
        <v>149</v>
      </c>
      <c r="J1433" s="2" t="s">
        <v>150</v>
      </c>
      <c r="K1433" s="2" t="s">
        <v>53</v>
      </c>
      <c r="L1433" s="2" t="s">
        <v>151</v>
      </c>
      <c r="M1433" s="2"/>
      <c r="N1433" s="2"/>
      <c r="O1433" s="2"/>
      <c r="P1433" s="2" t="s">
        <v>4757</v>
      </c>
      <c r="Q1433" s="2"/>
      <c r="R1433" s="2"/>
      <c r="S1433" s="5">
        <v>24.2</v>
      </c>
      <c r="T1433" s="7">
        <v>-1.669</v>
      </c>
      <c r="U1433" s="5">
        <v>6</v>
      </c>
      <c r="V1433" s="6">
        <v>1.65</v>
      </c>
      <c r="W1433" s="7">
        <v>6.125</v>
      </c>
      <c r="X1433" s="6">
        <v>6.25</v>
      </c>
      <c r="Y1433" s="7">
        <v>6.125</v>
      </c>
      <c r="Z1433" s="7">
        <v>6.875</v>
      </c>
      <c r="AA1433" s="6">
        <v>16.3</v>
      </c>
      <c r="AB1433" s="2" t="s">
        <v>86</v>
      </c>
      <c r="AC1433" s="2"/>
    </row>
    <row r="1434" spans="1:29" ht="143" x14ac:dyDescent="0.15">
      <c r="A1434" s="3">
        <f>DATE(1994,3,22)</f>
        <v>34415</v>
      </c>
      <c r="B1434" s="3">
        <f>DATE(1995,3,27)</f>
        <v>34785</v>
      </c>
      <c r="C1434" s="2" t="s">
        <v>95</v>
      </c>
      <c r="D1434" s="2" t="s">
        <v>4758</v>
      </c>
      <c r="E1434" s="2" t="s">
        <v>3911</v>
      </c>
      <c r="F1434" s="4">
        <v>4832</v>
      </c>
      <c r="G1434" s="2" t="s">
        <v>45</v>
      </c>
      <c r="H1434" s="2" t="s">
        <v>34</v>
      </c>
      <c r="I1434" s="2" t="s">
        <v>4759</v>
      </c>
      <c r="J1434" s="2" t="s">
        <v>4760</v>
      </c>
      <c r="K1434" s="2" t="s">
        <v>45</v>
      </c>
      <c r="L1434" s="2" t="s">
        <v>34</v>
      </c>
      <c r="M1434" s="7">
        <v>23.120999999999999</v>
      </c>
      <c r="N1434" s="5">
        <v>5.5</v>
      </c>
      <c r="O1434" s="6">
        <v>5.25</v>
      </c>
      <c r="P1434" s="2" t="s">
        <v>4761</v>
      </c>
      <c r="Q1434" s="6">
        <v>100</v>
      </c>
      <c r="R1434" s="6">
        <v>13.61</v>
      </c>
      <c r="S1434" s="5">
        <v>0.6</v>
      </c>
      <c r="T1434" s="7">
        <v>1.968</v>
      </c>
      <c r="U1434" s="5">
        <v>2.9</v>
      </c>
      <c r="V1434" s="6">
        <v>0.43</v>
      </c>
      <c r="W1434" s="7">
        <v>9.875</v>
      </c>
      <c r="X1434" s="7">
        <v>10.375</v>
      </c>
      <c r="Y1434" s="5">
        <v>13.5</v>
      </c>
      <c r="Z1434" s="5">
        <v>13.5</v>
      </c>
      <c r="AA1434" s="6">
        <v>1.59</v>
      </c>
      <c r="AB1434" s="7">
        <v>18.763000000000002</v>
      </c>
      <c r="AC1434" s="2"/>
    </row>
    <row r="1435" spans="1:29" ht="26" x14ac:dyDescent="0.15">
      <c r="A1435" s="3">
        <f>DATE(1994,3,23)</f>
        <v>34416</v>
      </c>
      <c r="B1435" s="2"/>
      <c r="C1435" s="2" t="s">
        <v>189</v>
      </c>
      <c r="D1435" s="2" t="s">
        <v>4762</v>
      </c>
      <c r="E1435" s="2" t="s">
        <v>612</v>
      </c>
      <c r="F1435" s="4">
        <v>1311</v>
      </c>
      <c r="G1435" s="2" t="s">
        <v>148</v>
      </c>
      <c r="H1435" s="2" t="s">
        <v>34</v>
      </c>
      <c r="I1435" s="2" t="s">
        <v>143</v>
      </c>
      <c r="J1435" s="2" t="s">
        <v>144</v>
      </c>
      <c r="K1435" s="2" t="s">
        <v>53</v>
      </c>
      <c r="L1435" s="2" t="s">
        <v>139</v>
      </c>
      <c r="M1435" s="2"/>
      <c r="N1435" s="2"/>
      <c r="O1435" s="2"/>
      <c r="P1435" s="2" t="s">
        <v>4763</v>
      </c>
      <c r="Q1435" s="2"/>
      <c r="R1435" s="2"/>
      <c r="S1435" s="2"/>
      <c r="T1435" s="2"/>
      <c r="U1435" s="2"/>
      <c r="V1435" s="2"/>
      <c r="W1435" s="7">
        <v>1.875</v>
      </c>
      <c r="X1435" s="7">
        <v>1.625</v>
      </c>
      <c r="Y1435" s="7">
        <v>1.875</v>
      </c>
      <c r="Z1435" s="4">
        <v>2</v>
      </c>
      <c r="AA1435" s="2"/>
      <c r="AB1435" s="2" t="s">
        <v>47</v>
      </c>
      <c r="AC1435" s="2"/>
    </row>
    <row r="1436" spans="1:29" ht="143" x14ac:dyDescent="0.15">
      <c r="A1436" s="3">
        <f>DATE(1994,3,24)</f>
        <v>34417</v>
      </c>
      <c r="B1436" s="3">
        <f>DATE(1994,7,13)</f>
        <v>34528</v>
      </c>
      <c r="C1436" s="2" t="s">
        <v>95</v>
      </c>
      <c r="D1436" s="2" t="s">
        <v>4764</v>
      </c>
      <c r="E1436" s="2" t="s">
        <v>4765</v>
      </c>
      <c r="F1436" s="4">
        <v>1381</v>
      </c>
      <c r="G1436" s="2" t="s">
        <v>148</v>
      </c>
      <c r="H1436" s="2" t="s">
        <v>34</v>
      </c>
      <c r="I1436" s="2" t="s">
        <v>4766</v>
      </c>
      <c r="J1436" s="2" t="s">
        <v>4767</v>
      </c>
      <c r="K1436" s="2" t="s">
        <v>439</v>
      </c>
      <c r="L1436" s="2" t="s">
        <v>34</v>
      </c>
      <c r="M1436" s="5">
        <v>366.7</v>
      </c>
      <c r="N1436" s="7">
        <v>23.375</v>
      </c>
      <c r="O1436" s="5">
        <v>23.5</v>
      </c>
      <c r="P1436" s="2" t="s">
        <v>4768</v>
      </c>
      <c r="Q1436" s="6">
        <v>100</v>
      </c>
      <c r="R1436" s="6">
        <v>11.05</v>
      </c>
      <c r="S1436" s="5">
        <v>6.6</v>
      </c>
      <c r="T1436" s="7">
        <v>38.722999999999999</v>
      </c>
      <c r="U1436" s="5">
        <v>7.3</v>
      </c>
      <c r="V1436" s="6">
        <v>0.25</v>
      </c>
      <c r="W1436" s="7">
        <v>10.625</v>
      </c>
      <c r="X1436" s="7">
        <v>10.625</v>
      </c>
      <c r="Y1436" s="5">
        <v>10.5</v>
      </c>
      <c r="Z1436" s="4">
        <v>11</v>
      </c>
      <c r="AA1436" s="6">
        <v>25.97</v>
      </c>
      <c r="AB1436" s="7">
        <v>18.585999999999999</v>
      </c>
      <c r="AC1436" s="6">
        <v>4.76</v>
      </c>
    </row>
    <row r="1437" spans="1:29" ht="65" x14ac:dyDescent="0.15">
      <c r="A1437" s="3">
        <f>DATE(1994,3,24)</f>
        <v>34417</v>
      </c>
      <c r="B1437" s="3">
        <f>DATE(1995,1,9)</f>
        <v>34708</v>
      </c>
      <c r="C1437" s="2" t="s">
        <v>95</v>
      </c>
      <c r="D1437" s="2" t="s">
        <v>4769</v>
      </c>
      <c r="E1437" s="2" t="s">
        <v>389</v>
      </c>
      <c r="F1437" s="4">
        <v>6035</v>
      </c>
      <c r="G1437" s="2" t="s">
        <v>33</v>
      </c>
      <c r="H1437" s="2" t="s">
        <v>34</v>
      </c>
      <c r="I1437" s="2" t="s">
        <v>1799</v>
      </c>
      <c r="J1437" s="2" t="s">
        <v>36</v>
      </c>
      <c r="K1437" s="2" t="s">
        <v>37</v>
      </c>
      <c r="L1437" s="2" t="s">
        <v>34</v>
      </c>
      <c r="M1437" s="6">
        <v>468.01</v>
      </c>
      <c r="N1437" s="6">
        <v>28.75</v>
      </c>
      <c r="O1437" s="5">
        <v>28.5</v>
      </c>
      <c r="P1437" s="2" t="s">
        <v>4770</v>
      </c>
      <c r="Q1437" s="6">
        <v>100</v>
      </c>
      <c r="R1437" s="6">
        <v>45</v>
      </c>
      <c r="S1437" s="5">
        <v>10.1</v>
      </c>
      <c r="T1437" s="7">
        <v>16.113</v>
      </c>
      <c r="U1437" s="2"/>
      <c r="V1437" s="6">
        <v>3.01</v>
      </c>
      <c r="W1437" s="7">
        <v>32.375</v>
      </c>
      <c r="X1437" s="6">
        <v>32.75</v>
      </c>
      <c r="Y1437" s="6">
        <v>41.25</v>
      </c>
      <c r="Z1437" s="6">
        <v>41.25</v>
      </c>
      <c r="AA1437" s="6">
        <v>3.07</v>
      </c>
      <c r="AB1437" s="7">
        <v>36.348999999999997</v>
      </c>
      <c r="AC1437" s="2"/>
    </row>
    <row r="1438" spans="1:29" ht="156" x14ac:dyDescent="0.15">
      <c r="A1438" s="3">
        <f>DATE(1994,3,24)</f>
        <v>34417</v>
      </c>
      <c r="B1438" s="2"/>
      <c r="C1438" s="2" t="s">
        <v>30</v>
      </c>
      <c r="D1438" s="2" t="s">
        <v>4771</v>
      </c>
      <c r="E1438" s="2" t="s">
        <v>1781</v>
      </c>
      <c r="F1438" s="4">
        <v>3661</v>
      </c>
      <c r="G1438" s="2" t="s">
        <v>921</v>
      </c>
      <c r="H1438" s="2" t="s">
        <v>34</v>
      </c>
      <c r="I1438" s="2" t="s">
        <v>4772</v>
      </c>
      <c r="J1438" s="2" t="s">
        <v>2800</v>
      </c>
      <c r="K1438" s="2" t="s">
        <v>109</v>
      </c>
      <c r="L1438" s="2" t="s">
        <v>34</v>
      </c>
      <c r="M1438" s="2"/>
      <c r="N1438" s="2"/>
      <c r="O1438" s="2"/>
      <c r="P1438" s="2" t="s">
        <v>4773</v>
      </c>
      <c r="Q1438" s="2"/>
      <c r="R1438" s="6">
        <v>6.63</v>
      </c>
      <c r="S1438" s="5">
        <v>-3.3</v>
      </c>
      <c r="T1438" s="7">
        <v>-2.7709999999999999</v>
      </c>
      <c r="U1438" s="5">
        <v>0.2</v>
      </c>
      <c r="V1438" s="6">
        <v>-0.38</v>
      </c>
      <c r="W1438" s="5">
        <v>2.5</v>
      </c>
      <c r="X1438" s="7">
        <v>3.375</v>
      </c>
      <c r="Y1438" s="7">
        <v>4.0309999999999997</v>
      </c>
      <c r="Z1438" s="7">
        <v>3.6560000000000001</v>
      </c>
      <c r="AA1438" s="6">
        <v>8.4</v>
      </c>
      <c r="AB1438" s="2" t="s">
        <v>86</v>
      </c>
      <c r="AC1438" s="2"/>
    </row>
    <row r="1439" spans="1:29" ht="78" x14ac:dyDescent="0.15">
      <c r="A1439" s="3">
        <f>DATE(1994,3,25)</f>
        <v>34418</v>
      </c>
      <c r="B1439" s="2"/>
      <c r="C1439" s="2" t="s">
        <v>30</v>
      </c>
      <c r="D1439" s="2" t="s">
        <v>4774</v>
      </c>
      <c r="E1439" s="2" t="s">
        <v>849</v>
      </c>
      <c r="F1439" s="4">
        <v>7372</v>
      </c>
      <c r="G1439" s="2" t="s">
        <v>551</v>
      </c>
      <c r="H1439" s="2" t="s">
        <v>34</v>
      </c>
      <c r="I1439" s="2" t="s">
        <v>51</v>
      </c>
      <c r="J1439" s="2" t="s">
        <v>52</v>
      </c>
      <c r="K1439" s="2" t="s">
        <v>53</v>
      </c>
      <c r="L1439" s="2" t="s">
        <v>34</v>
      </c>
      <c r="M1439" s="2"/>
      <c r="N1439" s="2"/>
      <c r="O1439" s="2"/>
      <c r="P1439" s="2" t="s">
        <v>4775</v>
      </c>
      <c r="Q1439" s="2"/>
      <c r="R1439" s="6">
        <v>2.52</v>
      </c>
      <c r="S1439" s="5">
        <v>-0.4</v>
      </c>
      <c r="T1439" s="7">
        <v>8.9990000000000006</v>
      </c>
      <c r="U1439" s="2"/>
      <c r="V1439" s="6">
        <v>-0.53</v>
      </c>
      <c r="W1439" s="7">
        <v>1.2809999999999999</v>
      </c>
      <c r="X1439" s="7">
        <v>1.4379999999999999</v>
      </c>
      <c r="Y1439" s="6">
        <v>1.75</v>
      </c>
      <c r="Z1439" s="7">
        <v>2.0630000000000002</v>
      </c>
      <c r="AA1439" s="6">
        <v>1.1200000000000001</v>
      </c>
      <c r="AB1439" s="7">
        <v>0.46899999999999997</v>
      </c>
      <c r="AC1439" s="2"/>
    </row>
    <row r="1440" spans="1:29" ht="78" x14ac:dyDescent="0.15">
      <c r="A1440" s="3">
        <f>DATE(1994,3,28)</f>
        <v>34421</v>
      </c>
      <c r="B1440" s="2"/>
      <c r="C1440" s="2" t="s">
        <v>87</v>
      </c>
      <c r="D1440" s="2" t="s">
        <v>3953</v>
      </c>
      <c r="E1440" s="2" t="s">
        <v>3954</v>
      </c>
      <c r="F1440" s="4">
        <v>5961</v>
      </c>
      <c r="G1440" s="2" t="s">
        <v>73</v>
      </c>
      <c r="H1440" s="2" t="s">
        <v>34</v>
      </c>
      <c r="I1440" s="2" t="s">
        <v>2599</v>
      </c>
      <c r="J1440" s="2" t="s">
        <v>2600</v>
      </c>
      <c r="K1440" s="2" t="s">
        <v>45</v>
      </c>
      <c r="L1440" s="2" t="s">
        <v>34</v>
      </c>
      <c r="M1440" s="2"/>
      <c r="N1440" s="6">
        <v>22.25</v>
      </c>
      <c r="O1440" s="4">
        <v>22</v>
      </c>
      <c r="P1440" s="2" t="s">
        <v>4776</v>
      </c>
      <c r="Q1440" s="2"/>
      <c r="R1440" s="2"/>
      <c r="S1440" s="5">
        <v>-15.5</v>
      </c>
      <c r="T1440" s="7">
        <v>17.222999999999999</v>
      </c>
      <c r="U1440" s="5">
        <v>2.1</v>
      </c>
      <c r="V1440" s="6">
        <v>-0.18</v>
      </c>
      <c r="W1440" s="6">
        <v>12.75</v>
      </c>
      <c r="X1440" s="4">
        <v>13</v>
      </c>
      <c r="Y1440" s="6">
        <v>13.75</v>
      </c>
      <c r="Z1440" s="7">
        <v>13.625</v>
      </c>
      <c r="AA1440" s="2"/>
      <c r="AB1440" s="2" t="s">
        <v>86</v>
      </c>
      <c r="AC1440" s="6">
        <v>162.86000000000001</v>
      </c>
    </row>
    <row r="1441" spans="1:29" ht="143" x14ac:dyDescent="0.15">
      <c r="A1441" s="3">
        <f>DATE(1994,3,31)</f>
        <v>34424</v>
      </c>
      <c r="B1441" s="3">
        <f>DATE(1994,11,11)</f>
        <v>34649</v>
      </c>
      <c r="C1441" s="2" t="s">
        <v>95</v>
      </c>
      <c r="D1441" s="2" t="s">
        <v>4777</v>
      </c>
      <c r="E1441" s="2" t="s">
        <v>4778</v>
      </c>
      <c r="F1441" s="4">
        <v>3841</v>
      </c>
      <c r="G1441" s="2" t="s">
        <v>226</v>
      </c>
      <c r="H1441" s="2" t="s">
        <v>34</v>
      </c>
      <c r="I1441" s="2" t="s">
        <v>4779</v>
      </c>
      <c r="J1441" s="2" t="s">
        <v>4780</v>
      </c>
      <c r="K1441" s="2" t="s">
        <v>226</v>
      </c>
      <c r="L1441" s="2" t="s">
        <v>34</v>
      </c>
      <c r="M1441" s="12">
        <v>6212.6019999999999</v>
      </c>
      <c r="N1441" s="7">
        <v>22.625</v>
      </c>
      <c r="O1441" s="7">
        <v>22.625</v>
      </c>
      <c r="P1441" s="2" t="s">
        <v>4781</v>
      </c>
      <c r="Q1441" s="6">
        <v>100</v>
      </c>
      <c r="R1441" s="6">
        <v>2.72</v>
      </c>
      <c r="S1441" s="5">
        <v>-2.5</v>
      </c>
      <c r="T1441" s="7">
        <v>-2.4929999999999999</v>
      </c>
      <c r="U1441" s="5">
        <v>1</v>
      </c>
      <c r="V1441" s="2"/>
      <c r="W1441" s="6">
        <v>1.25</v>
      </c>
      <c r="X1441" s="7">
        <v>1.4379999999999999</v>
      </c>
      <c r="Y1441" s="7">
        <v>2.375</v>
      </c>
      <c r="Z1441" s="7">
        <v>2.375</v>
      </c>
      <c r="AA1441" s="6">
        <v>3.55</v>
      </c>
      <c r="AB1441" s="2" t="s">
        <v>86</v>
      </c>
      <c r="AC1441" s="5">
        <v>479</v>
      </c>
    </row>
    <row r="1442" spans="1:29" ht="143" x14ac:dyDescent="0.15">
      <c r="A1442" s="3">
        <f>DATE(1994,3,31)</f>
        <v>34424</v>
      </c>
      <c r="B1442" s="3">
        <f>DATE(1994,5,12)</f>
        <v>34466</v>
      </c>
      <c r="C1442" s="2" t="s">
        <v>95</v>
      </c>
      <c r="D1442" s="2" t="s">
        <v>4782</v>
      </c>
      <c r="E1442" s="2" t="s">
        <v>1550</v>
      </c>
      <c r="F1442" s="4">
        <v>7372</v>
      </c>
      <c r="G1442" s="2" t="s">
        <v>551</v>
      </c>
      <c r="H1442" s="2" t="s">
        <v>34</v>
      </c>
      <c r="I1442" s="2" t="s">
        <v>4783</v>
      </c>
      <c r="J1442" s="2" t="s">
        <v>4784</v>
      </c>
      <c r="K1442" s="2" t="s">
        <v>186</v>
      </c>
      <c r="L1442" s="2" t="s">
        <v>303</v>
      </c>
      <c r="M1442" s="2"/>
      <c r="N1442" s="2"/>
      <c r="O1442" s="2"/>
      <c r="P1442" s="2" t="s">
        <v>4785</v>
      </c>
      <c r="Q1442" s="6">
        <v>100</v>
      </c>
      <c r="R1442" s="6">
        <v>14.75</v>
      </c>
      <c r="S1442" s="5">
        <v>5.5</v>
      </c>
      <c r="T1442" s="7">
        <v>10.670999999999999</v>
      </c>
      <c r="U1442" s="2"/>
      <c r="V1442" s="6">
        <v>0.18</v>
      </c>
      <c r="W1442" s="5">
        <v>11.5</v>
      </c>
      <c r="X1442" s="4">
        <v>10</v>
      </c>
      <c r="Y1442" s="7">
        <v>14.375</v>
      </c>
      <c r="Z1442" s="7">
        <v>14.375</v>
      </c>
      <c r="AA1442" s="6">
        <v>29.52</v>
      </c>
      <c r="AB1442" s="7">
        <v>60.491</v>
      </c>
      <c r="AC1442" s="6">
        <v>746.41</v>
      </c>
    </row>
    <row r="1443" spans="1:29" ht="117" x14ac:dyDescent="0.15">
      <c r="A1443" s="3">
        <f>DATE(1994,4,1)</f>
        <v>34425</v>
      </c>
      <c r="B1443" s="3">
        <f>DATE(1994,7,20)</f>
        <v>34535</v>
      </c>
      <c r="C1443" s="2" t="s">
        <v>95</v>
      </c>
      <c r="D1443" s="2" t="s">
        <v>4786</v>
      </c>
      <c r="E1443" s="2" t="s">
        <v>4787</v>
      </c>
      <c r="F1443" s="4">
        <v>5162</v>
      </c>
      <c r="G1443" s="2" t="s">
        <v>593</v>
      </c>
      <c r="H1443" s="2" t="s">
        <v>34</v>
      </c>
      <c r="I1443" s="2" t="s">
        <v>4788</v>
      </c>
      <c r="J1443" s="2" t="s">
        <v>4789</v>
      </c>
      <c r="K1443" s="2" t="s">
        <v>282</v>
      </c>
      <c r="L1443" s="2" t="s">
        <v>902</v>
      </c>
      <c r="M1443" s="2"/>
      <c r="N1443" s="2"/>
      <c r="O1443" s="2"/>
      <c r="P1443" s="2" t="s">
        <v>4790</v>
      </c>
      <c r="Q1443" s="6">
        <v>18.3</v>
      </c>
      <c r="R1443" s="6">
        <v>2.64</v>
      </c>
      <c r="S1443" s="5">
        <v>0.3</v>
      </c>
      <c r="T1443" s="7">
        <v>0.97699999999999998</v>
      </c>
      <c r="U1443" s="5">
        <v>2.9</v>
      </c>
      <c r="V1443" s="6">
        <v>0.12</v>
      </c>
      <c r="W1443" s="7">
        <v>2.875</v>
      </c>
      <c r="X1443" s="6">
        <v>2.25</v>
      </c>
      <c r="Y1443" s="6">
        <v>2.25</v>
      </c>
      <c r="Z1443" s="7">
        <v>2.4380000000000002</v>
      </c>
      <c r="AA1443" s="6">
        <v>2.2799999999999998</v>
      </c>
      <c r="AB1443" s="7">
        <v>12.182</v>
      </c>
      <c r="AC1443" s="6">
        <v>0.15</v>
      </c>
    </row>
    <row r="1444" spans="1:29" ht="117" x14ac:dyDescent="0.15">
      <c r="A1444" s="3">
        <f>DATE(1994,4,4)</f>
        <v>34428</v>
      </c>
      <c r="B1444" s="3">
        <f>DATE(1994,7,15)</f>
        <v>34530</v>
      </c>
      <c r="C1444" s="2" t="s">
        <v>95</v>
      </c>
      <c r="D1444" s="2" t="s">
        <v>4791</v>
      </c>
      <c r="E1444" s="2" t="s">
        <v>4792</v>
      </c>
      <c r="F1444" s="4">
        <v>5912</v>
      </c>
      <c r="G1444" s="2" t="s">
        <v>73</v>
      </c>
      <c r="H1444" s="2" t="s">
        <v>34</v>
      </c>
      <c r="I1444" s="2" t="s">
        <v>4793</v>
      </c>
      <c r="J1444" s="2" t="s">
        <v>4794</v>
      </c>
      <c r="K1444" s="2" t="s">
        <v>130</v>
      </c>
      <c r="L1444" s="2" t="s">
        <v>34</v>
      </c>
      <c r="M1444" s="7">
        <v>763.30799999999999</v>
      </c>
      <c r="N1444" s="6">
        <v>15.75</v>
      </c>
      <c r="O1444" s="6">
        <v>16.25</v>
      </c>
      <c r="P1444" s="2" t="s">
        <v>4795</v>
      </c>
      <c r="Q1444" s="6">
        <v>100</v>
      </c>
      <c r="R1444" s="6">
        <v>13.75</v>
      </c>
      <c r="S1444" s="5">
        <v>-3.6</v>
      </c>
      <c r="T1444" s="7">
        <v>81.745000000000005</v>
      </c>
      <c r="U1444" s="5">
        <v>4.2</v>
      </c>
      <c r="V1444" s="6">
        <v>-0.17</v>
      </c>
      <c r="W1444" s="6">
        <v>9.25</v>
      </c>
      <c r="X1444" s="7">
        <v>9.125</v>
      </c>
      <c r="Y1444" s="6">
        <v>12.75</v>
      </c>
      <c r="Z1444" s="7">
        <v>12.875</v>
      </c>
      <c r="AA1444" s="6">
        <v>20.86</v>
      </c>
      <c r="AB1444" s="7">
        <v>13.849</v>
      </c>
      <c r="AC1444" s="5">
        <v>17.600000000000001</v>
      </c>
    </row>
    <row r="1445" spans="1:29" ht="104" x14ac:dyDescent="0.15">
      <c r="A1445" s="3">
        <f>DATE(1994,4,4)</f>
        <v>34428</v>
      </c>
      <c r="B1445" s="2"/>
      <c r="C1445" s="2" t="s">
        <v>30</v>
      </c>
      <c r="D1445" s="2" t="s">
        <v>4771</v>
      </c>
      <c r="E1445" s="2" t="s">
        <v>1781</v>
      </c>
      <c r="F1445" s="4">
        <v>3661</v>
      </c>
      <c r="G1445" s="2" t="s">
        <v>921</v>
      </c>
      <c r="H1445" s="2" t="s">
        <v>34</v>
      </c>
      <c r="I1445" s="2" t="s">
        <v>4796</v>
      </c>
      <c r="J1445" s="2" t="s">
        <v>844</v>
      </c>
      <c r="K1445" s="2" t="s">
        <v>109</v>
      </c>
      <c r="L1445" s="2" t="s">
        <v>34</v>
      </c>
      <c r="M1445" s="2"/>
      <c r="N1445" s="2"/>
      <c r="O1445" s="2"/>
      <c r="P1445" s="2" t="s">
        <v>4797</v>
      </c>
      <c r="Q1445" s="2"/>
      <c r="R1445" s="6">
        <v>7</v>
      </c>
      <c r="S1445" s="5">
        <v>-3.3</v>
      </c>
      <c r="T1445" s="7">
        <v>-2.7709999999999999</v>
      </c>
      <c r="U1445" s="5">
        <v>0.2</v>
      </c>
      <c r="V1445" s="6">
        <v>-0.38</v>
      </c>
      <c r="W1445" s="5">
        <v>2.5</v>
      </c>
      <c r="X1445" s="7">
        <v>3.375</v>
      </c>
      <c r="Y1445" s="7">
        <v>4.0309999999999997</v>
      </c>
      <c r="Z1445" s="7">
        <v>3.6560000000000001</v>
      </c>
      <c r="AA1445" s="6">
        <v>8.4</v>
      </c>
      <c r="AB1445" s="2" t="s">
        <v>86</v>
      </c>
      <c r="AC1445" s="2"/>
    </row>
    <row r="1446" spans="1:29" ht="104" x14ac:dyDescent="0.15">
      <c r="A1446" s="3">
        <f>DATE(1994,4,5)</f>
        <v>34429</v>
      </c>
      <c r="B1446" s="3">
        <f>DATE(1994,9,14)</f>
        <v>34591</v>
      </c>
      <c r="C1446" s="2" t="s">
        <v>95</v>
      </c>
      <c r="D1446" s="2" t="s">
        <v>4798</v>
      </c>
      <c r="E1446" s="2" t="s">
        <v>4799</v>
      </c>
      <c r="F1446" s="4">
        <v>5045</v>
      </c>
      <c r="G1446" s="2" t="s">
        <v>76</v>
      </c>
      <c r="H1446" s="2" t="s">
        <v>34</v>
      </c>
      <c r="I1446" s="2" t="s">
        <v>4800</v>
      </c>
      <c r="J1446" s="2" t="s">
        <v>4801</v>
      </c>
      <c r="K1446" s="2" t="s">
        <v>50</v>
      </c>
      <c r="L1446" s="2" t="s">
        <v>34</v>
      </c>
      <c r="M1446" s="2"/>
      <c r="N1446" s="6">
        <v>4.75</v>
      </c>
      <c r="O1446" s="5">
        <v>4.5</v>
      </c>
      <c r="P1446" s="2" t="s">
        <v>4802</v>
      </c>
      <c r="Q1446" s="6">
        <v>100</v>
      </c>
      <c r="R1446" s="6">
        <v>1.4</v>
      </c>
      <c r="S1446" s="5">
        <v>0.3</v>
      </c>
      <c r="T1446" s="7">
        <v>3.3490000000000002</v>
      </c>
      <c r="U1446" s="5">
        <v>2.1</v>
      </c>
      <c r="V1446" s="6">
        <v>0.02</v>
      </c>
      <c r="W1446" s="7">
        <v>1.875</v>
      </c>
      <c r="X1446" s="5">
        <v>2.5</v>
      </c>
      <c r="Y1446" s="6">
        <v>1.75</v>
      </c>
      <c r="Z1446" s="7">
        <v>1.375</v>
      </c>
      <c r="AA1446" s="6">
        <v>6.4</v>
      </c>
      <c r="AB1446" s="7">
        <v>12.895</v>
      </c>
      <c r="AC1446" s="6">
        <v>1.02</v>
      </c>
    </row>
    <row r="1447" spans="1:29" ht="156" x14ac:dyDescent="0.15">
      <c r="A1447" s="3">
        <f>DATE(1994,4,8)</f>
        <v>34432</v>
      </c>
      <c r="B1447" s="3">
        <f>DATE(1994,5,28)</f>
        <v>34482</v>
      </c>
      <c r="C1447" s="2" t="s">
        <v>95</v>
      </c>
      <c r="D1447" s="2" t="s">
        <v>4803</v>
      </c>
      <c r="E1447" s="2" t="s">
        <v>4804</v>
      </c>
      <c r="F1447" s="4">
        <v>2099</v>
      </c>
      <c r="G1447" s="2" t="s">
        <v>577</v>
      </c>
      <c r="H1447" s="2" t="s">
        <v>34</v>
      </c>
      <c r="I1447" s="2" t="s">
        <v>4805</v>
      </c>
      <c r="J1447" s="2" t="s">
        <v>4806</v>
      </c>
      <c r="K1447" s="2" t="s">
        <v>577</v>
      </c>
      <c r="L1447" s="2" t="s">
        <v>34</v>
      </c>
      <c r="M1447" s="2"/>
      <c r="N1447" s="2"/>
      <c r="O1447" s="2"/>
      <c r="P1447" s="2" t="s">
        <v>4807</v>
      </c>
      <c r="Q1447" s="6">
        <v>57.83</v>
      </c>
      <c r="R1447" s="6">
        <v>3.57</v>
      </c>
      <c r="S1447" s="5">
        <v>-1.2</v>
      </c>
      <c r="T1447" s="6">
        <v>0.16</v>
      </c>
      <c r="U1447" s="5">
        <v>0.3</v>
      </c>
      <c r="V1447" s="6">
        <v>-0.41</v>
      </c>
      <c r="W1447" s="4">
        <v>2</v>
      </c>
      <c r="X1447" s="7">
        <v>2.0630000000000002</v>
      </c>
      <c r="Y1447" s="7">
        <v>2.125</v>
      </c>
      <c r="Z1447" s="4">
        <v>3</v>
      </c>
      <c r="AA1447" s="6">
        <v>3.46</v>
      </c>
      <c r="AB1447" s="2" t="s">
        <v>86</v>
      </c>
      <c r="AC1447" s="2"/>
    </row>
    <row r="1448" spans="1:29" ht="65" x14ac:dyDescent="0.15">
      <c r="A1448" s="3">
        <f>DATE(1994,4,8)</f>
        <v>34432</v>
      </c>
      <c r="B1448" s="2"/>
      <c r="C1448" s="2" t="s">
        <v>87</v>
      </c>
      <c r="D1448" s="2" t="s">
        <v>4293</v>
      </c>
      <c r="E1448" s="2" t="s">
        <v>36</v>
      </c>
      <c r="F1448" s="4">
        <v>6021</v>
      </c>
      <c r="G1448" s="2" t="s">
        <v>37</v>
      </c>
      <c r="H1448" s="2" t="s">
        <v>34</v>
      </c>
      <c r="I1448" s="2" t="s">
        <v>4059</v>
      </c>
      <c r="J1448" s="2" t="s">
        <v>4060</v>
      </c>
      <c r="K1448" s="2" t="s">
        <v>37</v>
      </c>
      <c r="L1448" s="2" t="s">
        <v>34</v>
      </c>
      <c r="M1448" s="2"/>
      <c r="N1448" s="4">
        <v>52</v>
      </c>
      <c r="O1448" s="6">
        <v>53.75</v>
      </c>
      <c r="P1448" s="2" t="s">
        <v>4808</v>
      </c>
      <c r="Q1448" s="2"/>
      <c r="R1448" s="2"/>
      <c r="S1448" s="5">
        <v>488</v>
      </c>
      <c r="T1448" s="8">
        <v>1041</v>
      </c>
      <c r="U1448" s="5">
        <v>11.4</v>
      </c>
      <c r="V1448" s="7">
        <v>1.5049999999999999</v>
      </c>
      <c r="W1448" s="7">
        <v>35.125</v>
      </c>
      <c r="X1448" s="5">
        <v>38.5</v>
      </c>
      <c r="Y1448" s="7">
        <v>39.625</v>
      </c>
      <c r="Z1448" s="6">
        <v>39.75</v>
      </c>
      <c r="AA1448" s="2"/>
      <c r="AB1448" s="2" t="s">
        <v>47</v>
      </c>
      <c r="AC1448" s="2"/>
    </row>
    <row r="1449" spans="1:29" ht="143" x14ac:dyDescent="0.15">
      <c r="A1449" s="3">
        <f>DATE(1994,4,11)</f>
        <v>34435</v>
      </c>
      <c r="B1449" s="3">
        <f>DATE(1995,3,31)</f>
        <v>34789</v>
      </c>
      <c r="C1449" s="2" t="s">
        <v>95</v>
      </c>
      <c r="D1449" s="2" t="s">
        <v>4809</v>
      </c>
      <c r="E1449" s="2" t="s">
        <v>4810</v>
      </c>
      <c r="F1449" s="4">
        <v>6021</v>
      </c>
      <c r="G1449" s="2" t="s">
        <v>37</v>
      </c>
      <c r="H1449" s="2" t="s">
        <v>34</v>
      </c>
      <c r="I1449" s="2" t="s">
        <v>4811</v>
      </c>
      <c r="J1449" s="2" t="s">
        <v>36</v>
      </c>
      <c r="K1449" s="2" t="s">
        <v>37</v>
      </c>
      <c r="L1449" s="2" t="s">
        <v>34</v>
      </c>
      <c r="M1449" s="7">
        <v>267.036</v>
      </c>
      <c r="N1449" s="5">
        <v>24.5</v>
      </c>
      <c r="O1449" s="6">
        <v>24.75</v>
      </c>
      <c r="P1449" s="2" t="s">
        <v>4812</v>
      </c>
      <c r="Q1449" s="6">
        <v>100</v>
      </c>
      <c r="R1449" s="6">
        <v>20</v>
      </c>
      <c r="S1449" s="5">
        <v>1.7</v>
      </c>
      <c r="T1449" s="7">
        <v>3.2730000000000001</v>
      </c>
      <c r="U1449" s="5">
        <v>15</v>
      </c>
      <c r="V1449" s="2"/>
      <c r="W1449" s="4">
        <v>14</v>
      </c>
      <c r="X1449" s="5">
        <v>17.5</v>
      </c>
      <c r="Y1449" s="4">
        <v>19</v>
      </c>
      <c r="Z1449" s="7">
        <v>17.375</v>
      </c>
      <c r="AA1449" s="6">
        <v>1.49</v>
      </c>
      <c r="AB1449" s="7">
        <v>58.872999999999998</v>
      </c>
      <c r="AC1449" s="2"/>
    </row>
    <row r="1450" spans="1:29" ht="26" x14ac:dyDescent="0.15">
      <c r="A1450" s="3">
        <f>DATE(1994,4,11)</f>
        <v>34435</v>
      </c>
      <c r="B1450" s="2"/>
      <c r="C1450" s="2" t="s">
        <v>30</v>
      </c>
      <c r="D1450" s="2" t="s">
        <v>4813</v>
      </c>
      <c r="E1450" s="2" t="s">
        <v>389</v>
      </c>
      <c r="F1450" s="4">
        <v>6035</v>
      </c>
      <c r="G1450" s="2" t="s">
        <v>33</v>
      </c>
      <c r="H1450" s="2" t="s">
        <v>34</v>
      </c>
      <c r="I1450" s="2" t="s">
        <v>4814</v>
      </c>
      <c r="J1450" s="2" t="s">
        <v>36</v>
      </c>
      <c r="K1450" s="2" t="s">
        <v>37</v>
      </c>
      <c r="L1450" s="2" t="s">
        <v>34</v>
      </c>
      <c r="M1450" s="2"/>
      <c r="N1450" s="6">
        <v>19.25</v>
      </c>
      <c r="O1450" s="4">
        <v>19</v>
      </c>
      <c r="P1450" s="2" t="s">
        <v>4815</v>
      </c>
      <c r="Q1450" s="2"/>
      <c r="R1450" s="2"/>
      <c r="S1450" s="5">
        <v>5.2</v>
      </c>
      <c r="T1450" s="7">
        <v>15.858000000000001</v>
      </c>
      <c r="U1450" s="5">
        <v>19.899999999999999</v>
      </c>
      <c r="V1450" s="2"/>
      <c r="W1450" s="7">
        <v>17.375</v>
      </c>
      <c r="X1450" s="4">
        <v>18</v>
      </c>
      <c r="Y1450" s="4">
        <v>18</v>
      </c>
      <c r="Z1450" s="5">
        <v>17.5</v>
      </c>
      <c r="AA1450" s="2"/>
      <c r="AB1450" s="2" t="s">
        <v>47</v>
      </c>
      <c r="AC1450" s="2"/>
    </row>
    <row r="1451" spans="1:29" ht="143" x14ac:dyDescent="0.15">
      <c r="A1451" s="3">
        <f>DATE(1994,4,11)</f>
        <v>34435</v>
      </c>
      <c r="B1451" s="3">
        <f>DATE(1994,8,10)</f>
        <v>34556</v>
      </c>
      <c r="C1451" s="2" t="s">
        <v>95</v>
      </c>
      <c r="D1451" s="2" t="s">
        <v>4742</v>
      </c>
      <c r="E1451" s="2" t="s">
        <v>4743</v>
      </c>
      <c r="F1451" s="4">
        <v>3823</v>
      </c>
      <c r="G1451" s="2" t="s">
        <v>226</v>
      </c>
      <c r="H1451" s="2" t="s">
        <v>34</v>
      </c>
      <c r="I1451" s="2" t="s">
        <v>4816</v>
      </c>
      <c r="J1451" s="2" t="s">
        <v>4817</v>
      </c>
      <c r="K1451" s="2" t="s">
        <v>226</v>
      </c>
      <c r="L1451" s="2" t="s">
        <v>2105</v>
      </c>
      <c r="M1451" s="2"/>
      <c r="N1451" s="2"/>
      <c r="O1451" s="2"/>
      <c r="P1451" s="2" t="s">
        <v>4818</v>
      </c>
      <c r="Q1451" s="6">
        <v>100</v>
      </c>
      <c r="R1451" s="6">
        <v>24.25</v>
      </c>
      <c r="S1451" s="5">
        <v>1.1000000000000001</v>
      </c>
      <c r="T1451" s="7">
        <v>10.884</v>
      </c>
      <c r="U1451" s="5">
        <v>7.2</v>
      </c>
      <c r="V1451" s="6">
        <v>0.19</v>
      </c>
      <c r="W1451" s="6">
        <v>22.75</v>
      </c>
      <c r="X1451" s="6">
        <v>22.63</v>
      </c>
      <c r="Y1451" s="7">
        <v>24.625</v>
      </c>
      <c r="Z1451" s="7">
        <v>24.625</v>
      </c>
      <c r="AA1451" s="6">
        <v>6.45</v>
      </c>
      <c r="AB1451" s="7">
        <v>35.917000000000002</v>
      </c>
      <c r="AC1451" s="2"/>
    </row>
    <row r="1452" spans="1:29" ht="52" x14ac:dyDescent="0.15">
      <c r="A1452" s="3">
        <f>DATE(1994,4,11)</f>
        <v>34435</v>
      </c>
      <c r="B1452" s="2"/>
      <c r="C1452" s="2" t="s">
        <v>30</v>
      </c>
      <c r="D1452" s="2" t="s">
        <v>4819</v>
      </c>
      <c r="E1452" s="2" t="s">
        <v>4820</v>
      </c>
      <c r="F1452" s="4">
        <v>7993</v>
      </c>
      <c r="G1452" s="2" t="s">
        <v>364</v>
      </c>
      <c r="H1452" s="2" t="s">
        <v>34</v>
      </c>
      <c r="I1452" s="2" t="s">
        <v>138</v>
      </c>
      <c r="J1452" s="2" t="s">
        <v>139</v>
      </c>
      <c r="K1452" s="2" t="s">
        <v>53</v>
      </c>
      <c r="L1452" s="2" t="s">
        <v>139</v>
      </c>
      <c r="M1452" s="2"/>
      <c r="N1452" s="2"/>
      <c r="O1452" s="2"/>
      <c r="P1452" s="2" t="s">
        <v>4821</v>
      </c>
      <c r="Q1452" s="2"/>
      <c r="R1452" s="2"/>
      <c r="S1452" s="2"/>
      <c r="T1452" s="2"/>
      <c r="U1452" s="2"/>
      <c r="V1452" s="2"/>
      <c r="W1452" s="4">
        <v>11</v>
      </c>
      <c r="X1452" s="4">
        <v>11</v>
      </c>
      <c r="Y1452" s="7">
        <v>11.125</v>
      </c>
      <c r="Z1452" s="4">
        <v>10</v>
      </c>
      <c r="AA1452" s="2"/>
      <c r="AB1452" s="2" t="s">
        <v>47</v>
      </c>
      <c r="AC1452" s="2"/>
    </row>
    <row r="1453" spans="1:29" ht="156" x14ac:dyDescent="0.15">
      <c r="A1453" s="3">
        <f>DATE(1994,4,11)</f>
        <v>34435</v>
      </c>
      <c r="B1453" s="2"/>
      <c r="C1453" s="2" t="s">
        <v>30</v>
      </c>
      <c r="D1453" s="2" t="s">
        <v>4822</v>
      </c>
      <c r="E1453" s="2" t="s">
        <v>36</v>
      </c>
      <c r="F1453" s="4">
        <v>6035</v>
      </c>
      <c r="G1453" s="2" t="s">
        <v>33</v>
      </c>
      <c r="H1453" s="2" t="s">
        <v>34</v>
      </c>
      <c r="I1453" s="2" t="s">
        <v>4823</v>
      </c>
      <c r="J1453" s="2" t="s">
        <v>389</v>
      </c>
      <c r="K1453" s="2" t="s">
        <v>33</v>
      </c>
      <c r="L1453" s="2" t="s">
        <v>34</v>
      </c>
      <c r="M1453" s="2"/>
      <c r="N1453" s="2"/>
      <c r="O1453" s="2"/>
      <c r="P1453" s="2" t="s">
        <v>4824</v>
      </c>
      <c r="Q1453" s="2"/>
      <c r="R1453" s="6">
        <v>5.93</v>
      </c>
      <c r="S1453" s="5">
        <v>6.2</v>
      </c>
      <c r="T1453" s="7">
        <v>10.553000000000001</v>
      </c>
      <c r="U1453" s="5">
        <v>20</v>
      </c>
      <c r="V1453" s="6">
        <v>2.0299999999999998</v>
      </c>
      <c r="W1453" s="5">
        <v>22.5</v>
      </c>
      <c r="X1453" s="5">
        <v>22.5</v>
      </c>
      <c r="Y1453" s="5">
        <v>22.5</v>
      </c>
      <c r="Z1453" s="6">
        <v>20.25</v>
      </c>
      <c r="AA1453" s="6">
        <v>5.78</v>
      </c>
      <c r="AB1453" s="7">
        <v>45.865000000000002</v>
      </c>
      <c r="AC1453" s="2"/>
    </row>
    <row r="1454" spans="1:29" ht="65" x14ac:dyDescent="0.15">
      <c r="A1454" s="3">
        <f>DATE(1994,4,14)</f>
        <v>34438</v>
      </c>
      <c r="B1454" s="2"/>
      <c r="C1454" s="2" t="s">
        <v>87</v>
      </c>
      <c r="D1454" s="2" t="s">
        <v>4825</v>
      </c>
      <c r="E1454" s="2" t="s">
        <v>4826</v>
      </c>
      <c r="F1454" s="4">
        <v>7999</v>
      </c>
      <c r="G1454" s="2" t="s">
        <v>364</v>
      </c>
      <c r="H1454" s="2" t="s">
        <v>34</v>
      </c>
      <c r="I1454" s="2" t="s">
        <v>4827</v>
      </c>
      <c r="J1454" s="2" t="s">
        <v>4828</v>
      </c>
      <c r="K1454" s="2" t="s">
        <v>690</v>
      </c>
      <c r="L1454" s="2" t="s">
        <v>34</v>
      </c>
      <c r="M1454" s="2"/>
      <c r="N1454" s="2"/>
      <c r="O1454" s="2"/>
      <c r="P1454" s="2" t="s">
        <v>4829</v>
      </c>
      <c r="Q1454" s="2"/>
      <c r="R1454" s="2"/>
      <c r="S1454" s="2"/>
      <c r="T1454" s="2"/>
      <c r="U1454" s="2"/>
      <c r="V1454" s="2"/>
      <c r="W1454" s="7">
        <v>1.1879999999999999</v>
      </c>
      <c r="X1454" s="7">
        <v>1.1879999999999999</v>
      </c>
      <c r="Y1454" s="7">
        <v>1.1879999999999999</v>
      </c>
      <c r="Z1454" s="7">
        <v>1.1879999999999999</v>
      </c>
      <c r="AA1454" s="6">
        <v>7.95</v>
      </c>
      <c r="AB1454" s="2" t="s">
        <v>47</v>
      </c>
      <c r="AC1454" s="2"/>
    </row>
    <row r="1455" spans="1:29" ht="143" x14ac:dyDescent="0.15">
      <c r="A1455" s="3">
        <f>DATE(1994,4,15)</f>
        <v>34439</v>
      </c>
      <c r="B1455" s="3">
        <f>DATE(1994,9,16)</f>
        <v>34593</v>
      </c>
      <c r="C1455" s="2" t="s">
        <v>95</v>
      </c>
      <c r="D1455" s="2" t="s">
        <v>2479</v>
      </c>
      <c r="E1455" s="2" t="s">
        <v>177</v>
      </c>
      <c r="F1455" s="4">
        <v>1311</v>
      </c>
      <c r="G1455" s="2" t="s">
        <v>148</v>
      </c>
      <c r="H1455" s="2" t="s">
        <v>34</v>
      </c>
      <c r="I1455" s="2" t="s">
        <v>4830</v>
      </c>
      <c r="J1455" s="2" t="s">
        <v>4831</v>
      </c>
      <c r="K1455" s="2" t="s">
        <v>173</v>
      </c>
      <c r="L1455" s="2" t="s">
        <v>34</v>
      </c>
      <c r="M1455" s="7">
        <v>254.86699999999999</v>
      </c>
      <c r="N1455" s="6">
        <v>13.25</v>
      </c>
      <c r="O1455" s="7">
        <v>13.625</v>
      </c>
      <c r="P1455" s="2" t="s">
        <v>4832</v>
      </c>
      <c r="Q1455" s="6">
        <v>72.5</v>
      </c>
      <c r="R1455" s="6">
        <v>6.49</v>
      </c>
      <c r="S1455" s="5">
        <v>-0.1</v>
      </c>
      <c r="T1455" s="7">
        <v>9.5000000000000001E-2</v>
      </c>
      <c r="U1455" s="5">
        <v>0.6</v>
      </c>
      <c r="V1455" s="6">
        <v>-0.14000000000000001</v>
      </c>
      <c r="W1455" s="5">
        <v>5.5</v>
      </c>
      <c r="X1455" s="7">
        <v>5.625</v>
      </c>
      <c r="Y1455" s="7">
        <v>5.625</v>
      </c>
      <c r="Z1455" s="5">
        <v>5.5</v>
      </c>
      <c r="AA1455" s="6">
        <v>1.68</v>
      </c>
      <c r="AB1455" s="2" t="s">
        <v>86</v>
      </c>
      <c r="AC1455" s="6">
        <v>46.94</v>
      </c>
    </row>
    <row r="1456" spans="1:29" ht="130" x14ac:dyDescent="0.15">
      <c r="A1456" s="3">
        <f>DATE(1994,4,18)</f>
        <v>34442</v>
      </c>
      <c r="B1456" s="2"/>
      <c r="C1456" s="2" t="s">
        <v>56</v>
      </c>
      <c r="D1456" s="2" t="s">
        <v>4833</v>
      </c>
      <c r="E1456" s="2" t="s">
        <v>4834</v>
      </c>
      <c r="F1456" s="4">
        <v>6371</v>
      </c>
      <c r="G1456" s="2" t="s">
        <v>125</v>
      </c>
      <c r="H1456" s="2" t="s">
        <v>34</v>
      </c>
      <c r="I1456" s="2" t="s">
        <v>4835</v>
      </c>
      <c r="J1456" s="2" t="s">
        <v>1590</v>
      </c>
      <c r="K1456" s="2" t="s">
        <v>53</v>
      </c>
      <c r="L1456" s="2" t="s">
        <v>34</v>
      </c>
      <c r="M1456" s="2"/>
      <c r="N1456" s="2"/>
      <c r="O1456" s="2"/>
      <c r="P1456" s="2" t="s">
        <v>4836</v>
      </c>
      <c r="Q1456" s="2"/>
      <c r="R1456" s="2"/>
      <c r="S1456" s="5">
        <v>-1.4</v>
      </c>
      <c r="T1456" s="7">
        <v>-2.0470000000000002</v>
      </c>
      <c r="U1456" s="5">
        <v>4.4000000000000004</v>
      </c>
      <c r="V1456" s="6">
        <v>-0.14000000000000001</v>
      </c>
      <c r="W1456" s="7">
        <v>2.625</v>
      </c>
      <c r="X1456" s="6">
        <v>2.25</v>
      </c>
      <c r="Y1456" s="6">
        <v>2.75</v>
      </c>
      <c r="Z1456" s="7">
        <v>2.625</v>
      </c>
      <c r="AA1456" s="2"/>
      <c r="AB1456" s="2" t="s">
        <v>86</v>
      </c>
      <c r="AC1456" s="2"/>
    </row>
    <row r="1457" spans="1:29" ht="104" x14ac:dyDescent="0.15">
      <c r="A1457" s="3">
        <f>DATE(1994,4,19)</f>
        <v>34443</v>
      </c>
      <c r="B1457" s="3">
        <f>DATE(1994,12,31)</f>
        <v>34699</v>
      </c>
      <c r="C1457" s="2" t="s">
        <v>95</v>
      </c>
      <c r="D1457" s="2" t="s">
        <v>4837</v>
      </c>
      <c r="E1457" s="2" t="s">
        <v>92</v>
      </c>
      <c r="F1457" s="4">
        <v>6798</v>
      </c>
      <c r="G1457" s="2" t="s">
        <v>53</v>
      </c>
      <c r="H1457" s="2" t="s">
        <v>34</v>
      </c>
      <c r="I1457" s="2" t="s">
        <v>4838</v>
      </c>
      <c r="J1457" s="2" t="s">
        <v>92</v>
      </c>
      <c r="K1457" s="2" t="s">
        <v>53</v>
      </c>
      <c r="L1457" s="2" t="s">
        <v>34</v>
      </c>
      <c r="M1457" s="7">
        <v>486.048</v>
      </c>
      <c r="N1457" s="4">
        <v>20</v>
      </c>
      <c r="O1457" s="4">
        <v>20</v>
      </c>
      <c r="P1457" s="2" t="s">
        <v>4839</v>
      </c>
      <c r="Q1457" s="6">
        <v>82.1</v>
      </c>
      <c r="R1457" s="6">
        <v>12.15</v>
      </c>
      <c r="S1457" s="5">
        <v>1.9</v>
      </c>
      <c r="T1457" s="7">
        <v>0.40600000000000003</v>
      </c>
      <c r="U1457" s="5">
        <v>12.1</v>
      </c>
      <c r="V1457" s="6">
        <v>1.7</v>
      </c>
      <c r="W1457" s="5">
        <v>10.5</v>
      </c>
      <c r="X1457" s="5">
        <v>10.5</v>
      </c>
      <c r="Y1457" s="7">
        <v>10.375</v>
      </c>
      <c r="Z1457" s="7">
        <v>10.625</v>
      </c>
      <c r="AA1457" s="6">
        <v>1.1399999999999999</v>
      </c>
      <c r="AB1457" s="7">
        <v>40.811999999999998</v>
      </c>
      <c r="AC1457" s="6">
        <v>2.69</v>
      </c>
    </row>
    <row r="1458" spans="1:29" ht="117" x14ac:dyDescent="0.15">
      <c r="A1458" s="3">
        <f>DATE(1994,4,19)</f>
        <v>34443</v>
      </c>
      <c r="B1458" s="2"/>
      <c r="C1458" s="2" t="s">
        <v>30</v>
      </c>
      <c r="D1458" s="2" t="s">
        <v>1823</v>
      </c>
      <c r="E1458" s="2" t="s">
        <v>1824</v>
      </c>
      <c r="F1458" s="4">
        <v>3452</v>
      </c>
      <c r="G1458" s="2" t="s">
        <v>163</v>
      </c>
      <c r="H1458" s="2" t="s">
        <v>34</v>
      </c>
      <c r="I1458" s="2" t="s">
        <v>4840</v>
      </c>
      <c r="J1458" s="2" t="s">
        <v>4841</v>
      </c>
      <c r="K1458" s="2" t="s">
        <v>341</v>
      </c>
      <c r="L1458" s="2" t="s">
        <v>902</v>
      </c>
      <c r="M1458" s="2"/>
      <c r="N1458" s="2"/>
      <c r="O1458" s="2"/>
      <c r="P1458" s="2" t="s">
        <v>4842</v>
      </c>
      <c r="Q1458" s="2"/>
      <c r="R1458" s="6">
        <v>7.5</v>
      </c>
      <c r="S1458" s="5">
        <v>0.7</v>
      </c>
      <c r="T1458" s="7">
        <v>8.5990000000000002</v>
      </c>
      <c r="U1458" s="5">
        <v>3.5</v>
      </c>
      <c r="V1458" s="6">
        <v>0.11</v>
      </c>
      <c r="W1458" s="7">
        <v>6.125</v>
      </c>
      <c r="X1458" s="4">
        <v>6</v>
      </c>
      <c r="Y1458" s="7">
        <v>5.875</v>
      </c>
      <c r="Z1458" s="7">
        <v>6.625</v>
      </c>
      <c r="AA1458" s="6">
        <v>5.81</v>
      </c>
      <c r="AB1458" s="7">
        <v>10.677</v>
      </c>
      <c r="AC1458" s="2"/>
    </row>
    <row r="1459" spans="1:29" ht="65" x14ac:dyDescent="0.15">
      <c r="A1459" s="3">
        <f>DATE(1994,4,20)</f>
        <v>34444</v>
      </c>
      <c r="B1459" s="3">
        <f>DATE(1994,11,30)</f>
        <v>34668</v>
      </c>
      <c r="C1459" s="2" t="s">
        <v>95</v>
      </c>
      <c r="D1459" s="2" t="s">
        <v>4843</v>
      </c>
      <c r="E1459" s="2" t="s">
        <v>4844</v>
      </c>
      <c r="F1459" s="4">
        <v>2038</v>
      </c>
      <c r="G1459" s="2" t="s">
        <v>577</v>
      </c>
      <c r="H1459" s="2" t="s">
        <v>34</v>
      </c>
      <c r="I1459" s="2" t="s">
        <v>1322</v>
      </c>
      <c r="J1459" s="2" t="s">
        <v>1323</v>
      </c>
      <c r="K1459" s="2" t="s">
        <v>577</v>
      </c>
      <c r="L1459" s="2" t="s">
        <v>34</v>
      </c>
      <c r="M1459" s="2"/>
      <c r="N1459" s="2"/>
      <c r="O1459" s="2"/>
      <c r="P1459" s="2" t="s">
        <v>4845</v>
      </c>
      <c r="Q1459" s="6">
        <v>100</v>
      </c>
      <c r="R1459" s="6">
        <v>3.9</v>
      </c>
      <c r="S1459" s="5">
        <v>0.7</v>
      </c>
      <c r="T1459" s="7">
        <v>2.0619999999999998</v>
      </c>
      <c r="U1459" s="5">
        <v>1.4</v>
      </c>
      <c r="V1459" s="6">
        <v>0.22</v>
      </c>
      <c r="W1459" s="6">
        <v>1.75</v>
      </c>
      <c r="X1459" s="4">
        <v>2</v>
      </c>
      <c r="Y1459" s="7">
        <v>2.375</v>
      </c>
      <c r="Z1459" s="11">
        <v>3.265625</v>
      </c>
      <c r="AA1459" s="6">
        <v>3.02</v>
      </c>
      <c r="AB1459" s="7">
        <v>11.54</v>
      </c>
      <c r="AC1459" s="2"/>
    </row>
    <row r="1460" spans="1:29" ht="52" x14ac:dyDescent="0.15">
      <c r="A1460" s="3">
        <f>DATE(1994,4,20)</f>
        <v>34444</v>
      </c>
      <c r="B1460" s="3">
        <f>DATE(1994,8,4)</f>
        <v>34550</v>
      </c>
      <c r="C1460" s="2" t="s">
        <v>95</v>
      </c>
      <c r="D1460" s="2" t="s">
        <v>4846</v>
      </c>
      <c r="E1460" s="2" t="s">
        <v>386</v>
      </c>
      <c r="F1460" s="4">
        <v>6726</v>
      </c>
      <c r="G1460" s="2" t="s">
        <v>53</v>
      </c>
      <c r="H1460" s="2" t="s">
        <v>34</v>
      </c>
      <c r="I1460" s="2" t="s">
        <v>4846</v>
      </c>
      <c r="J1460" s="2" t="s">
        <v>4847</v>
      </c>
      <c r="K1460" s="2" t="s">
        <v>53</v>
      </c>
      <c r="L1460" s="2" t="s">
        <v>34</v>
      </c>
      <c r="M1460" s="2"/>
      <c r="N1460" s="7">
        <v>12.875</v>
      </c>
      <c r="O1460" s="4">
        <v>13</v>
      </c>
      <c r="P1460" s="2" t="s">
        <v>4848</v>
      </c>
      <c r="Q1460" s="6">
        <v>100</v>
      </c>
      <c r="R1460" s="2"/>
      <c r="S1460" s="2"/>
      <c r="T1460" s="2"/>
      <c r="U1460" s="2"/>
      <c r="V1460" s="2"/>
      <c r="W1460" s="5">
        <v>13.5</v>
      </c>
      <c r="X1460" s="7">
        <v>13.375</v>
      </c>
      <c r="Y1460" s="5">
        <v>13.5</v>
      </c>
      <c r="Z1460" s="5">
        <v>13.5</v>
      </c>
      <c r="AA1460" s="2"/>
      <c r="AB1460" s="2" t="s">
        <v>47</v>
      </c>
      <c r="AC1460" s="2"/>
    </row>
    <row r="1461" spans="1:29" ht="156" x14ac:dyDescent="0.15">
      <c r="A1461" s="3">
        <f>DATE(1994,4,22)</f>
        <v>34446</v>
      </c>
      <c r="B1461" s="3">
        <f>DATE(1994,5,19)</f>
        <v>34473</v>
      </c>
      <c r="C1461" s="2" t="s">
        <v>95</v>
      </c>
      <c r="D1461" s="2" t="s">
        <v>3767</v>
      </c>
      <c r="E1461" s="2" t="s">
        <v>3768</v>
      </c>
      <c r="F1461" s="4">
        <v>2531</v>
      </c>
      <c r="G1461" s="2" t="s">
        <v>250</v>
      </c>
      <c r="H1461" s="2" t="s">
        <v>34</v>
      </c>
      <c r="I1461" s="2" t="s">
        <v>4849</v>
      </c>
      <c r="J1461" s="2" t="s">
        <v>4850</v>
      </c>
      <c r="K1461" s="2" t="s">
        <v>226</v>
      </c>
      <c r="L1461" s="2" t="s">
        <v>34</v>
      </c>
      <c r="M1461" s="7">
        <v>208.59299999999999</v>
      </c>
      <c r="N1461" s="4">
        <v>11</v>
      </c>
      <c r="O1461" s="6">
        <v>11.75</v>
      </c>
      <c r="P1461" s="2" t="s">
        <v>4851</v>
      </c>
      <c r="Q1461" s="6">
        <v>100</v>
      </c>
      <c r="R1461" s="6">
        <v>6.3</v>
      </c>
      <c r="S1461" s="5">
        <v>-1.2</v>
      </c>
      <c r="T1461" s="7">
        <v>-1.2929999999999999</v>
      </c>
      <c r="U1461" s="5">
        <v>2.1</v>
      </c>
      <c r="V1461" s="6">
        <v>-0.4</v>
      </c>
      <c r="W1461" s="7">
        <v>7.1559999999999997</v>
      </c>
      <c r="X1461" s="7">
        <v>4.625</v>
      </c>
      <c r="Y1461" s="6">
        <v>6.25</v>
      </c>
      <c r="Z1461" s="5">
        <v>6.5</v>
      </c>
      <c r="AA1461" s="6">
        <v>3.07</v>
      </c>
      <c r="AB1461" s="2" t="s">
        <v>86</v>
      </c>
      <c r="AC1461" s="2"/>
    </row>
    <row r="1462" spans="1:29" ht="117" x14ac:dyDescent="0.15">
      <c r="A1462" s="3">
        <f>DATE(1994,4,26)</f>
        <v>34450</v>
      </c>
      <c r="B1462" s="3">
        <f>DATE(1994,4,26)</f>
        <v>34450</v>
      </c>
      <c r="C1462" s="2" t="s">
        <v>95</v>
      </c>
      <c r="D1462" s="2" t="s">
        <v>4852</v>
      </c>
      <c r="E1462" s="2" t="s">
        <v>177</v>
      </c>
      <c r="F1462" s="4">
        <v>1311</v>
      </c>
      <c r="G1462" s="2" t="s">
        <v>148</v>
      </c>
      <c r="H1462" s="2" t="s">
        <v>34</v>
      </c>
      <c r="I1462" s="2" t="s">
        <v>4853</v>
      </c>
      <c r="J1462" s="2" t="s">
        <v>1435</v>
      </c>
      <c r="K1462" s="2" t="s">
        <v>148</v>
      </c>
      <c r="L1462" s="2" t="s">
        <v>34</v>
      </c>
      <c r="M1462" s="12">
        <v>5586.6980000000003</v>
      </c>
      <c r="N1462" s="7">
        <v>45.625</v>
      </c>
      <c r="O1462" s="7">
        <v>45.625</v>
      </c>
      <c r="P1462" s="2" t="s">
        <v>4854</v>
      </c>
      <c r="Q1462" s="6">
        <v>87.1</v>
      </c>
      <c r="R1462" s="6">
        <v>4.4800000000000004</v>
      </c>
      <c r="S1462" s="5">
        <v>12.4</v>
      </c>
      <c r="T1462" s="7">
        <v>55.481000000000002</v>
      </c>
      <c r="U1462" s="5">
        <v>1.8</v>
      </c>
      <c r="V1462" s="6">
        <v>0.17</v>
      </c>
      <c r="W1462" s="5">
        <v>4.5</v>
      </c>
      <c r="X1462" s="7">
        <v>4.625</v>
      </c>
      <c r="Y1462" s="7">
        <v>4.625</v>
      </c>
      <c r="Z1462" s="5">
        <v>4.5</v>
      </c>
      <c r="AA1462" s="6">
        <v>73.67</v>
      </c>
      <c r="AB1462" s="7">
        <v>20.771999999999998</v>
      </c>
      <c r="AC1462" s="6">
        <v>19.78</v>
      </c>
    </row>
    <row r="1463" spans="1:29" ht="130" x14ac:dyDescent="0.15">
      <c r="A1463" s="3">
        <f>DATE(1994,4,26)</f>
        <v>34450</v>
      </c>
      <c r="B1463" s="3">
        <f>DATE(1994,7,26)</f>
        <v>34541</v>
      </c>
      <c r="C1463" s="2" t="s">
        <v>95</v>
      </c>
      <c r="D1463" s="2" t="s">
        <v>4852</v>
      </c>
      <c r="E1463" s="2" t="s">
        <v>177</v>
      </c>
      <c r="F1463" s="4">
        <v>1311</v>
      </c>
      <c r="G1463" s="2" t="s">
        <v>148</v>
      </c>
      <c r="H1463" s="2" t="s">
        <v>34</v>
      </c>
      <c r="I1463" s="2" t="s">
        <v>4853</v>
      </c>
      <c r="J1463" s="2" t="s">
        <v>1435</v>
      </c>
      <c r="K1463" s="2" t="s">
        <v>148</v>
      </c>
      <c r="L1463" s="2" t="s">
        <v>34</v>
      </c>
      <c r="M1463" s="12">
        <v>5586.6980000000003</v>
      </c>
      <c r="N1463" s="7">
        <v>45.625</v>
      </c>
      <c r="O1463" s="7">
        <v>45.625</v>
      </c>
      <c r="P1463" s="2" t="s">
        <v>4855</v>
      </c>
      <c r="Q1463" s="6">
        <v>12.9</v>
      </c>
      <c r="R1463" s="6">
        <v>4.4800000000000004</v>
      </c>
      <c r="S1463" s="5">
        <v>12.4</v>
      </c>
      <c r="T1463" s="7">
        <v>55.481000000000002</v>
      </c>
      <c r="U1463" s="5">
        <v>1.8</v>
      </c>
      <c r="V1463" s="6">
        <v>0.17</v>
      </c>
      <c r="W1463" s="5">
        <v>4.5</v>
      </c>
      <c r="X1463" s="7">
        <v>4.625</v>
      </c>
      <c r="Y1463" s="5">
        <v>4.5</v>
      </c>
      <c r="Z1463" s="5">
        <v>4.5</v>
      </c>
      <c r="AA1463" s="6">
        <v>73.67</v>
      </c>
      <c r="AB1463" s="7">
        <v>20.771999999999998</v>
      </c>
      <c r="AC1463" s="6">
        <v>19.78</v>
      </c>
    </row>
    <row r="1464" spans="1:29" ht="39" x14ac:dyDescent="0.15">
      <c r="A1464" s="3">
        <f>DATE(1994,4,28)</f>
        <v>34452</v>
      </c>
      <c r="B1464" s="2"/>
      <c r="C1464" s="2" t="s">
        <v>141</v>
      </c>
      <c r="D1464" s="2" t="s">
        <v>2750</v>
      </c>
      <c r="E1464" s="2" t="s">
        <v>1756</v>
      </c>
      <c r="F1464" s="4">
        <v>8711</v>
      </c>
      <c r="G1464" s="2" t="s">
        <v>223</v>
      </c>
      <c r="H1464" s="2" t="s">
        <v>34</v>
      </c>
      <c r="I1464" s="2" t="s">
        <v>143</v>
      </c>
      <c r="J1464" s="2" t="s">
        <v>144</v>
      </c>
      <c r="K1464" s="2" t="s">
        <v>53</v>
      </c>
      <c r="L1464" s="2" t="s">
        <v>139</v>
      </c>
      <c r="M1464" s="2"/>
      <c r="N1464" s="2"/>
      <c r="O1464" s="2"/>
      <c r="P1464" s="2" t="s">
        <v>4856</v>
      </c>
      <c r="Q1464" s="2"/>
      <c r="R1464" s="2"/>
      <c r="S1464" s="5">
        <v>35.1</v>
      </c>
      <c r="T1464" s="7">
        <v>35.649000000000001</v>
      </c>
      <c r="U1464" s="5">
        <v>6</v>
      </c>
      <c r="V1464" s="6">
        <v>2.2000000000000002</v>
      </c>
      <c r="W1464" s="7">
        <v>10.125</v>
      </c>
      <c r="X1464" s="7">
        <v>11.375</v>
      </c>
      <c r="Y1464" s="7">
        <v>12.125</v>
      </c>
      <c r="Z1464" s="5">
        <v>11.5</v>
      </c>
      <c r="AA1464" s="2"/>
      <c r="AB1464" s="2" t="s">
        <v>47</v>
      </c>
      <c r="AC1464" s="2"/>
    </row>
    <row r="1465" spans="1:29" ht="169" x14ac:dyDescent="0.15">
      <c r="A1465" s="3">
        <f>DATE(1994,4,28)</f>
        <v>34452</v>
      </c>
      <c r="B1465" s="2"/>
      <c r="C1465" s="2" t="s">
        <v>30</v>
      </c>
      <c r="D1465" s="2" t="s">
        <v>4857</v>
      </c>
      <c r="E1465" s="2" t="s">
        <v>4858</v>
      </c>
      <c r="F1465" s="4">
        <v>2711</v>
      </c>
      <c r="G1465" s="2" t="s">
        <v>186</v>
      </c>
      <c r="H1465" s="2" t="s">
        <v>34</v>
      </c>
      <c r="I1465" s="2" t="s">
        <v>51</v>
      </c>
      <c r="J1465" s="2" t="s">
        <v>52</v>
      </c>
      <c r="K1465" s="2" t="s">
        <v>53</v>
      </c>
      <c r="L1465" s="2" t="s">
        <v>34</v>
      </c>
      <c r="M1465" s="2"/>
      <c r="N1465" s="2"/>
      <c r="O1465" s="2"/>
      <c r="P1465" s="2" t="s">
        <v>4859</v>
      </c>
      <c r="Q1465" s="2"/>
      <c r="R1465" s="6">
        <v>17.5</v>
      </c>
      <c r="S1465" s="5">
        <v>27.8</v>
      </c>
      <c r="T1465" s="7">
        <v>120.014</v>
      </c>
      <c r="U1465" s="5">
        <v>7.7</v>
      </c>
      <c r="V1465" s="6">
        <v>0.67</v>
      </c>
      <c r="W1465" s="5">
        <v>14.5</v>
      </c>
      <c r="X1465" s="5">
        <v>14.5</v>
      </c>
      <c r="Y1465" s="6">
        <v>17.25</v>
      </c>
      <c r="Z1465" s="6">
        <v>17.25</v>
      </c>
      <c r="AA1465" s="6">
        <v>41.7</v>
      </c>
      <c r="AB1465" s="7">
        <v>12.167</v>
      </c>
      <c r="AC1465" s="2"/>
    </row>
    <row r="1466" spans="1:29" ht="143" x14ac:dyDescent="0.15">
      <c r="A1466" s="3">
        <f>DATE(1994,4,28)</f>
        <v>34452</v>
      </c>
      <c r="B1466" s="3">
        <f>DATE(1994,12,12)</f>
        <v>34680</v>
      </c>
      <c r="C1466" s="2" t="s">
        <v>95</v>
      </c>
      <c r="D1466" s="2" t="s">
        <v>4860</v>
      </c>
      <c r="E1466" s="2" t="s">
        <v>4861</v>
      </c>
      <c r="F1466" s="4">
        <v>3443</v>
      </c>
      <c r="G1466" s="2" t="s">
        <v>163</v>
      </c>
      <c r="H1466" s="2" t="s">
        <v>34</v>
      </c>
      <c r="I1466" s="2" t="s">
        <v>51</v>
      </c>
      <c r="J1466" s="2" t="s">
        <v>52</v>
      </c>
      <c r="K1466" s="2" t="s">
        <v>53</v>
      </c>
      <c r="L1466" s="2" t="s">
        <v>34</v>
      </c>
      <c r="M1466" s="2"/>
      <c r="N1466" s="2"/>
      <c r="O1466" s="2"/>
      <c r="P1466" s="2" t="s">
        <v>4862</v>
      </c>
      <c r="Q1466" s="6">
        <v>78.8</v>
      </c>
      <c r="R1466" s="6">
        <v>15</v>
      </c>
      <c r="S1466" s="5">
        <v>-2.4</v>
      </c>
      <c r="T1466" s="6">
        <v>6.33</v>
      </c>
      <c r="U1466" s="2"/>
      <c r="V1466" s="2"/>
      <c r="W1466" s="4">
        <v>11</v>
      </c>
      <c r="X1466" s="4">
        <v>11</v>
      </c>
      <c r="Y1466" s="7">
        <v>15.125</v>
      </c>
      <c r="Z1466" s="7">
        <v>14.875</v>
      </c>
      <c r="AA1466" s="6">
        <v>3.49</v>
      </c>
      <c r="AB1466" s="2" t="s">
        <v>86</v>
      </c>
      <c r="AC1466" s="2"/>
    </row>
    <row r="1467" spans="1:29" ht="130" x14ac:dyDescent="0.15">
      <c r="A1467" s="3">
        <f>DATE(1994,4,29)</f>
        <v>34453</v>
      </c>
      <c r="B1467" s="2"/>
      <c r="C1467" s="2" t="s">
        <v>30</v>
      </c>
      <c r="D1467" s="2" t="s">
        <v>4734</v>
      </c>
      <c r="E1467" s="2" t="s">
        <v>971</v>
      </c>
      <c r="F1467" s="4">
        <v>4813</v>
      </c>
      <c r="G1467" s="2" t="s">
        <v>63</v>
      </c>
      <c r="H1467" s="2" t="s">
        <v>34</v>
      </c>
      <c r="I1467" s="2" t="s">
        <v>138</v>
      </c>
      <c r="J1467" s="2" t="s">
        <v>139</v>
      </c>
      <c r="K1467" s="2" t="s">
        <v>53</v>
      </c>
      <c r="L1467" s="2" t="s">
        <v>139</v>
      </c>
      <c r="M1467" s="2"/>
      <c r="N1467" s="2"/>
      <c r="O1467" s="2"/>
      <c r="P1467" s="2" t="s">
        <v>4863</v>
      </c>
      <c r="Q1467" s="2"/>
      <c r="R1467" s="2"/>
      <c r="S1467" s="5">
        <v>0.5</v>
      </c>
      <c r="T1467" s="7">
        <v>3.8660000000000001</v>
      </c>
      <c r="U1467" s="5">
        <v>2.6</v>
      </c>
      <c r="V1467" s="6">
        <v>0.03</v>
      </c>
      <c r="W1467" s="7">
        <v>10.625</v>
      </c>
      <c r="X1467" s="7">
        <v>10.375</v>
      </c>
      <c r="Y1467" s="7">
        <v>10.375</v>
      </c>
      <c r="Z1467" s="7">
        <v>10.843999999999999</v>
      </c>
      <c r="AA1467" s="2"/>
      <c r="AB1467" s="2" t="s">
        <v>47</v>
      </c>
      <c r="AC1467" s="2"/>
    </row>
    <row r="1468" spans="1:29" ht="52" x14ac:dyDescent="0.15">
      <c r="A1468" s="3">
        <f>DATE(1994,4,29)</f>
        <v>34453</v>
      </c>
      <c r="B1468" s="3">
        <f>DATE(1994,4,29)</f>
        <v>34453</v>
      </c>
      <c r="C1468" s="2" t="s">
        <v>95</v>
      </c>
      <c r="D1468" s="2" t="s">
        <v>4864</v>
      </c>
      <c r="E1468" s="2" t="s">
        <v>4865</v>
      </c>
      <c r="F1468" s="4">
        <v>3674</v>
      </c>
      <c r="G1468" s="2" t="s">
        <v>137</v>
      </c>
      <c r="H1468" s="2" t="s">
        <v>34</v>
      </c>
      <c r="I1468" s="2" t="s">
        <v>4866</v>
      </c>
      <c r="J1468" s="2" t="s">
        <v>302</v>
      </c>
      <c r="K1468" s="2" t="s">
        <v>53</v>
      </c>
      <c r="L1468" s="2" t="s">
        <v>34</v>
      </c>
      <c r="M1468" s="2"/>
      <c r="N1468" s="2"/>
      <c r="O1468" s="2"/>
      <c r="P1468" s="2" t="s">
        <v>4867</v>
      </c>
      <c r="Q1468" s="6">
        <v>100</v>
      </c>
      <c r="R1468" s="2"/>
      <c r="S1468" s="5">
        <v>-1.7</v>
      </c>
      <c r="T1468" s="7">
        <v>-1.2210000000000001</v>
      </c>
      <c r="U1468" s="5">
        <v>0</v>
      </c>
      <c r="V1468" s="6">
        <v>-0.92</v>
      </c>
      <c r="W1468" s="7">
        <v>1.0629999999999999</v>
      </c>
      <c r="X1468" s="7">
        <v>1.0629999999999999</v>
      </c>
      <c r="Y1468" s="7">
        <v>1.0629999999999999</v>
      </c>
      <c r="Z1468" s="7">
        <v>1.0629999999999999</v>
      </c>
      <c r="AA1468" s="2"/>
      <c r="AB1468" s="2" t="s">
        <v>86</v>
      </c>
      <c r="AC1468" s="2"/>
    </row>
    <row r="1469" spans="1:29" ht="104" x14ac:dyDescent="0.15">
      <c r="A1469" s="3">
        <f>DATE(1994,4,29)</f>
        <v>34453</v>
      </c>
      <c r="B1469" s="3">
        <f>DATE(1994,4,29)</f>
        <v>34453</v>
      </c>
      <c r="C1469" s="2" t="s">
        <v>95</v>
      </c>
      <c r="D1469" s="2" t="s">
        <v>4868</v>
      </c>
      <c r="E1469" s="2" t="s">
        <v>4869</v>
      </c>
      <c r="F1469" s="4">
        <v>6531</v>
      </c>
      <c r="G1469" s="2" t="s">
        <v>109</v>
      </c>
      <c r="H1469" s="2" t="s">
        <v>34</v>
      </c>
      <c r="I1469" s="2" t="s">
        <v>4870</v>
      </c>
      <c r="J1469" s="2" t="s">
        <v>124</v>
      </c>
      <c r="K1469" s="2" t="s">
        <v>125</v>
      </c>
      <c r="L1469" s="2" t="s">
        <v>34</v>
      </c>
      <c r="M1469" s="2"/>
      <c r="N1469" s="2"/>
      <c r="O1469" s="2"/>
      <c r="P1469" s="2" t="s">
        <v>4871</v>
      </c>
      <c r="Q1469" s="6">
        <v>50.25</v>
      </c>
      <c r="R1469" s="6">
        <v>7.3</v>
      </c>
      <c r="S1469" s="5">
        <v>1.3</v>
      </c>
      <c r="T1469" s="6">
        <v>4.3499999999999996</v>
      </c>
      <c r="U1469" s="5">
        <v>8.5</v>
      </c>
      <c r="V1469" s="6">
        <v>0.52</v>
      </c>
      <c r="W1469" s="6">
        <v>9.25</v>
      </c>
      <c r="X1469" s="4">
        <v>10</v>
      </c>
      <c r="Y1469" s="2"/>
      <c r="Z1469" s="2"/>
      <c r="AA1469" s="6">
        <v>2.48</v>
      </c>
      <c r="AB1469" s="7">
        <v>8.7379999999999995</v>
      </c>
      <c r="AC1469" s="2"/>
    </row>
    <row r="1470" spans="1:29" ht="78" x14ac:dyDescent="0.15">
      <c r="A1470" s="3">
        <f>DATE(1994,5,2)</f>
        <v>34456</v>
      </c>
      <c r="B1470" s="2"/>
      <c r="C1470" s="2" t="s">
        <v>30</v>
      </c>
      <c r="D1470" s="2" t="s">
        <v>4872</v>
      </c>
      <c r="E1470" s="2" t="s">
        <v>4873</v>
      </c>
      <c r="F1470" s="4">
        <v>6321</v>
      </c>
      <c r="G1470" s="2" t="s">
        <v>125</v>
      </c>
      <c r="H1470" s="2" t="s">
        <v>34</v>
      </c>
      <c r="I1470" s="2" t="s">
        <v>4874</v>
      </c>
      <c r="J1470" s="2" t="s">
        <v>4875</v>
      </c>
      <c r="K1470" s="2" t="s">
        <v>125</v>
      </c>
      <c r="L1470" s="2" t="s">
        <v>34</v>
      </c>
      <c r="M1470" s="2"/>
      <c r="N1470" s="6">
        <v>10.75</v>
      </c>
      <c r="O1470" s="7">
        <v>10.375</v>
      </c>
      <c r="P1470" s="2" t="s">
        <v>4876</v>
      </c>
      <c r="Q1470" s="2"/>
      <c r="R1470" s="2"/>
      <c r="S1470" s="5">
        <v>0.2</v>
      </c>
      <c r="T1470" s="7">
        <v>0.93700000000000006</v>
      </c>
      <c r="U1470" s="5">
        <v>3.2</v>
      </c>
      <c r="V1470" s="7">
        <v>0.114</v>
      </c>
      <c r="W1470" s="7">
        <v>2.375</v>
      </c>
      <c r="X1470" s="7">
        <v>2.375</v>
      </c>
      <c r="Y1470" s="7">
        <v>2.125</v>
      </c>
      <c r="Z1470" s="7">
        <v>2.375</v>
      </c>
      <c r="AA1470" s="2"/>
      <c r="AB1470" s="2" t="s">
        <v>47</v>
      </c>
      <c r="AC1470" s="6">
        <v>8.66</v>
      </c>
    </row>
    <row r="1471" spans="1:29" ht="65" x14ac:dyDescent="0.15">
      <c r="A1471" s="3">
        <f>DATE(1994,5,2)</f>
        <v>34456</v>
      </c>
      <c r="B1471" s="3">
        <f>DATE(1994,5,2)</f>
        <v>34456</v>
      </c>
      <c r="C1471" s="2" t="s">
        <v>95</v>
      </c>
      <c r="D1471" s="2" t="s">
        <v>4877</v>
      </c>
      <c r="E1471" s="2" t="s">
        <v>4878</v>
      </c>
      <c r="F1471" s="4">
        <v>1311</v>
      </c>
      <c r="G1471" s="2" t="s">
        <v>148</v>
      </c>
      <c r="H1471" s="2" t="s">
        <v>34</v>
      </c>
      <c r="I1471" s="2" t="s">
        <v>4879</v>
      </c>
      <c r="J1471" s="2" t="s">
        <v>4880</v>
      </c>
      <c r="K1471" s="2" t="s">
        <v>439</v>
      </c>
      <c r="L1471" s="2" t="s">
        <v>34</v>
      </c>
      <c r="M1471" s="2"/>
      <c r="N1471" s="2"/>
      <c r="O1471" s="2"/>
      <c r="P1471" s="2" t="s">
        <v>4881</v>
      </c>
      <c r="Q1471" s="6">
        <v>50</v>
      </c>
      <c r="R1471" s="2"/>
      <c r="S1471" s="2"/>
      <c r="T1471" s="2"/>
      <c r="U1471" s="2"/>
      <c r="V1471" s="2"/>
      <c r="W1471" s="6">
        <v>28.75</v>
      </c>
      <c r="X1471" s="4">
        <v>29</v>
      </c>
      <c r="Y1471" s="6">
        <v>28.75</v>
      </c>
      <c r="Z1471" s="7">
        <v>28.625</v>
      </c>
      <c r="AA1471" s="2"/>
      <c r="AB1471" s="2" t="s">
        <v>47</v>
      </c>
      <c r="AC1471" s="2"/>
    </row>
    <row r="1472" spans="1:29" ht="104" x14ac:dyDescent="0.15">
      <c r="A1472" s="3">
        <f>DATE(1994,5,2)</f>
        <v>34456</v>
      </c>
      <c r="B1472" s="3">
        <f>DATE(1994,9,29)</f>
        <v>34606</v>
      </c>
      <c r="C1472" s="2" t="s">
        <v>95</v>
      </c>
      <c r="D1472" s="2" t="s">
        <v>4882</v>
      </c>
      <c r="E1472" s="2" t="s">
        <v>124</v>
      </c>
      <c r="F1472" s="4">
        <v>6311</v>
      </c>
      <c r="G1472" s="2" t="s">
        <v>125</v>
      </c>
      <c r="H1472" s="2" t="s">
        <v>34</v>
      </c>
      <c r="I1472" s="2" t="s">
        <v>4883</v>
      </c>
      <c r="J1472" s="2" t="s">
        <v>80</v>
      </c>
      <c r="K1472" s="2" t="s">
        <v>53</v>
      </c>
      <c r="L1472" s="2" t="s">
        <v>34</v>
      </c>
      <c r="M1472" s="2"/>
      <c r="N1472" s="2"/>
      <c r="O1472" s="2"/>
      <c r="P1472" s="2" t="s">
        <v>4884</v>
      </c>
      <c r="Q1472" s="6">
        <v>100</v>
      </c>
      <c r="R1472" s="6">
        <v>15.25</v>
      </c>
      <c r="S1472" s="5">
        <v>37.200000000000003</v>
      </c>
      <c r="T1472" s="2"/>
      <c r="U1472" s="5">
        <v>9.6999999999999993</v>
      </c>
      <c r="V1472" s="6">
        <v>2.4900000000000002</v>
      </c>
      <c r="W1472" s="6">
        <v>12.25</v>
      </c>
      <c r="X1472" s="5">
        <v>14.5</v>
      </c>
      <c r="Y1472" s="4">
        <v>15</v>
      </c>
      <c r="Z1472" s="4">
        <v>15</v>
      </c>
      <c r="AA1472" s="6">
        <v>14</v>
      </c>
      <c r="AB1472" s="7">
        <v>4.4729999999999999</v>
      </c>
      <c r="AC1472" s="2"/>
    </row>
    <row r="1473" spans="1:29" ht="156" x14ac:dyDescent="0.15">
      <c r="A1473" s="3">
        <f>DATE(1994,5,2)</f>
        <v>34456</v>
      </c>
      <c r="B1473" s="3">
        <f>DATE(1994,11,3)</f>
        <v>34641</v>
      </c>
      <c r="C1473" s="2" t="s">
        <v>95</v>
      </c>
      <c r="D1473" s="2" t="s">
        <v>4885</v>
      </c>
      <c r="E1473" s="2" t="s">
        <v>3812</v>
      </c>
      <c r="F1473" s="4">
        <v>2834</v>
      </c>
      <c r="G1473" s="2" t="s">
        <v>130</v>
      </c>
      <c r="H1473" s="2" t="s">
        <v>34</v>
      </c>
      <c r="I1473" s="2" t="s">
        <v>213</v>
      </c>
      <c r="J1473" s="2" t="s">
        <v>214</v>
      </c>
      <c r="K1473" s="2" t="s">
        <v>130</v>
      </c>
      <c r="L1473" s="2" t="s">
        <v>215</v>
      </c>
      <c r="M1473" s="2"/>
      <c r="N1473" s="2"/>
      <c r="O1473" s="2"/>
      <c r="P1473" s="2" t="s">
        <v>4886</v>
      </c>
      <c r="Q1473" s="6">
        <v>100</v>
      </c>
      <c r="R1473" s="6">
        <v>24</v>
      </c>
      <c r="S1473" s="5">
        <v>288.10000000000002</v>
      </c>
      <c r="T1473" s="5">
        <v>637</v>
      </c>
      <c r="U1473" s="5">
        <v>5.4</v>
      </c>
      <c r="V1473" s="6">
        <v>1.29</v>
      </c>
      <c r="W1473" s="4">
        <v>14</v>
      </c>
      <c r="X1473" s="6">
        <v>15.25</v>
      </c>
      <c r="Y1473" s="5">
        <v>23.5</v>
      </c>
      <c r="Z1473" s="7">
        <v>23.375</v>
      </c>
      <c r="AA1473" s="6">
        <v>221.13</v>
      </c>
      <c r="AB1473" s="7">
        <v>10.356</v>
      </c>
      <c r="AC1473" s="10">
        <v>9823.56</v>
      </c>
    </row>
    <row r="1474" spans="1:29" ht="78" x14ac:dyDescent="0.15">
      <c r="A1474" s="3">
        <f>DATE(1994,5,3)</f>
        <v>34457</v>
      </c>
      <c r="B1474" s="3">
        <f>DATE(1994,12,16)</f>
        <v>34684</v>
      </c>
      <c r="C1474" s="2" t="s">
        <v>95</v>
      </c>
      <c r="D1474" s="2" t="s">
        <v>4887</v>
      </c>
      <c r="E1474" s="2" t="s">
        <v>389</v>
      </c>
      <c r="F1474" s="4">
        <v>6035</v>
      </c>
      <c r="G1474" s="2" t="s">
        <v>33</v>
      </c>
      <c r="H1474" s="2" t="s">
        <v>34</v>
      </c>
      <c r="I1474" s="2" t="s">
        <v>4888</v>
      </c>
      <c r="J1474" s="2" t="s">
        <v>1295</v>
      </c>
      <c r="K1474" s="2" t="s">
        <v>33</v>
      </c>
      <c r="L1474" s="2" t="s">
        <v>34</v>
      </c>
      <c r="M1474" s="2"/>
      <c r="N1474" s="6">
        <v>26.75</v>
      </c>
      <c r="O1474" s="7">
        <v>27.375</v>
      </c>
      <c r="P1474" s="2" t="s">
        <v>4889</v>
      </c>
      <c r="Q1474" s="6">
        <v>100</v>
      </c>
      <c r="R1474" s="6">
        <v>36.25</v>
      </c>
      <c r="S1474" s="5">
        <v>1.2</v>
      </c>
      <c r="T1474" s="7">
        <v>2.2290000000000001</v>
      </c>
      <c r="U1474" s="5">
        <v>28.7</v>
      </c>
      <c r="V1474" s="6">
        <v>1.62</v>
      </c>
      <c r="W1474" s="6">
        <v>33.75</v>
      </c>
      <c r="X1474" s="6">
        <v>34.25</v>
      </c>
      <c r="Y1474" s="4">
        <v>36</v>
      </c>
      <c r="Z1474" s="5">
        <v>34.5</v>
      </c>
      <c r="AA1474" s="6">
        <v>0.69</v>
      </c>
      <c r="AB1474" s="7">
        <v>66.171000000000006</v>
      </c>
      <c r="AC1474" s="2"/>
    </row>
    <row r="1475" spans="1:29" ht="130" x14ac:dyDescent="0.15">
      <c r="A1475" s="3">
        <f>DATE(1994,5,3)</f>
        <v>34457</v>
      </c>
      <c r="B1475" s="3">
        <f>DATE(1995,7,11)</f>
        <v>34891</v>
      </c>
      <c r="C1475" s="2" t="s">
        <v>95</v>
      </c>
      <c r="D1475" s="2" t="s">
        <v>4890</v>
      </c>
      <c r="E1475" s="2" t="s">
        <v>4891</v>
      </c>
      <c r="F1475" s="4">
        <v>1021</v>
      </c>
      <c r="G1475" s="2" t="s">
        <v>166</v>
      </c>
      <c r="H1475" s="2" t="s">
        <v>34</v>
      </c>
      <c r="I1475" s="2" t="s">
        <v>278</v>
      </c>
      <c r="J1475" s="2" t="s">
        <v>52</v>
      </c>
      <c r="K1475" s="2" t="s">
        <v>53</v>
      </c>
      <c r="L1475" s="2" t="s">
        <v>34</v>
      </c>
      <c r="M1475" s="2"/>
      <c r="N1475" s="2"/>
      <c r="O1475" s="2"/>
      <c r="P1475" s="2" t="s">
        <v>4892</v>
      </c>
      <c r="Q1475" s="6">
        <v>60.44</v>
      </c>
      <c r="R1475" s="6">
        <v>25</v>
      </c>
      <c r="S1475" s="5">
        <v>253.6</v>
      </c>
      <c r="T1475" s="7">
        <v>718.30700000000002</v>
      </c>
      <c r="U1475" s="5">
        <v>0.8</v>
      </c>
      <c r="V1475" s="6">
        <v>0.49</v>
      </c>
      <c r="W1475" s="7">
        <v>22.625</v>
      </c>
      <c r="X1475" s="6">
        <v>24.75</v>
      </c>
      <c r="Y1475" s="7">
        <v>24.125</v>
      </c>
      <c r="Z1475" s="6">
        <v>23.25</v>
      </c>
      <c r="AA1475" s="6">
        <v>195.09</v>
      </c>
      <c r="AB1475" s="7">
        <v>20.468</v>
      </c>
      <c r="AC1475" s="2"/>
    </row>
    <row r="1476" spans="1:29" ht="104" x14ac:dyDescent="0.15">
      <c r="A1476" s="3">
        <f>DATE(1994,5,3)</f>
        <v>34457</v>
      </c>
      <c r="B1476" s="2"/>
      <c r="C1476" s="2" t="s">
        <v>87</v>
      </c>
      <c r="D1476" s="2" t="s">
        <v>2377</v>
      </c>
      <c r="E1476" s="2" t="s">
        <v>2378</v>
      </c>
      <c r="F1476" s="4">
        <v>7812</v>
      </c>
      <c r="G1476" s="2" t="s">
        <v>42</v>
      </c>
      <c r="H1476" s="2" t="s">
        <v>34</v>
      </c>
      <c r="I1476" s="2" t="s">
        <v>4893</v>
      </c>
      <c r="J1476" s="2" t="s">
        <v>4894</v>
      </c>
      <c r="K1476" s="2" t="s">
        <v>577</v>
      </c>
      <c r="L1476" s="2" t="s">
        <v>902</v>
      </c>
      <c r="M1476" s="2"/>
      <c r="N1476" s="2"/>
      <c r="O1476" s="2"/>
      <c r="P1476" s="2" t="s">
        <v>4895</v>
      </c>
      <c r="Q1476" s="2"/>
      <c r="R1476" s="2"/>
      <c r="S1476" s="2"/>
      <c r="T1476" s="2"/>
      <c r="U1476" s="2"/>
      <c r="V1476" s="2"/>
      <c r="W1476" s="5">
        <v>44.5</v>
      </c>
      <c r="X1476" s="7">
        <v>43.875</v>
      </c>
      <c r="Y1476" s="6">
        <v>44.25</v>
      </c>
      <c r="Z1476" s="5">
        <v>44.5</v>
      </c>
      <c r="AA1476" s="6">
        <v>7.08</v>
      </c>
      <c r="AB1476" s="2" t="s">
        <v>47</v>
      </c>
      <c r="AC1476" s="6">
        <v>130.34</v>
      </c>
    </row>
    <row r="1477" spans="1:29" ht="117" x14ac:dyDescent="0.15">
      <c r="A1477" s="3">
        <f>DATE(1994,5,4)</f>
        <v>34458</v>
      </c>
      <c r="B1477" s="3">
        <f>DATE(1994,6,23)</f>
        <v>34508</v>
      </c>
      <c r="C1477" s="2" t="s">
        <v>95</v>
      </c>
      <c r="D1477" s="2" t="s">
        <v>4896</v>
      </c>
      <c r="E1477" s="2" t="s">
        <v>4897</v>
      </c>
      <c r="F1477" s="4">
        <v>8071</v>
      </c>
      <c r="G1477" s="2" t="s">
        <v>454</v>
      </c>
      <c r="H1477" s="2" t="s">
        <v>34</v>
      </c>
      <c r="I1477" s="2" t="s">
        <v>4898</v>
      </c>
      <c r="J1477" s="2" t="s">
        <v>3881</v>
      </c>
      <c r="K1477" s="2" t="s">
        <v>454</v>
      </c>
      <c r="L1477" s="2" t="s">
        <v>34</v>
      </c>
      <c r="M1477" s="12">
        <v>1174.798</v>
      </c>
      <c r="N1477" s="6">
        <v>11.75</v>
      </c>
      <c r="O1477" s="6">
        <v>11.75</v>
      </c>
      <c r="P1477" s="2" t="s">
        <v>4899</v>
      </c>
      <c r="Q1477" s="6">
        <v>100</v>
      </c>
      <c r="R1477" s="6">
        <v>21.5</v>
      </c>
      <c r="S1477" s="5">
        <v>8.4</v>
      </c>
      <c r="T1477" s="7">
        <v>22.712</v>
      </c>
      <c r="U1477" s="5">
        <v>11</v>
      </c>
      <c r="V1477" s="6">
        <v>1</v>
      </c>
      <c r="W1477" s="6">
        <v>12.75</v>
      </c>
      <c r="X1477" s="6">
        <v>17.25</v>
      </c>
      <c r="Y1477" s="7">
        <v>22.625</v>
      </c>
      <c r="Z1477" s="7">
        <v>22.719000000000001</v>
      </c>
      <c r="AA1477" s="6">
        <v>8.4</v>
      </c>
      <c r="AB1477" s="7">
        <v>12.811</v>
      </c>
      <c r="AC1477" s="5">
        <v>12.3</v>
      </c>
    </row>
    <row r="1478" spans="1:29" ht="39" x14ac:dyDescent="0.15">
      <c r="A1478" s="3">
        <f>DATE(1994,5,4)</f>
        <v>34458</v>
      </c>
      <c r="B1478" s="2"/>
      <c r="C1478" s="2" t="s">
        <v>141</v>
      </c>
      <c r="D1478" s="2" t="s">
        <v>4900</v>
      </c>
      <c r="E1478" s="2" t="s">
        <v>4901</v>
      </c>
      <c r="F1478" s="4">
        <v>6162</v>
      </c>
      <c r="G1478" s="2" t="s">
        <v>109</v>
      </c>
      <c r="H1478" s="2" t="s">
        <v>34</v>
      </c>
      <c r="I1478" s="2" t="s">
        <v>143</v>
      </c>
      <c r="J1478" s="2" t="s">
        <v>144</v>
      </c>
      <c r="K1478" s="2" t="s">
        <v>53</v>
      </c>
      <c r="L1478" s="2" t="s">
        <v>139</v>
      </c>
      <c r="M1478" s="2"/>
      <c r="N1478" s="2"/>
      <c r="O1478" s="2"/>
      <c r="P1478" s="2" t="s">
        <v>4902</v>
      </c>
      <c r="Q1478" s="2"/>
      <c r="R1478" s="2"/>
      <c r="S1478" s="5">
        <v>-2.1</v>
      </c>
      <c r="T1478" s="7">
        <v>36.220999999999997</v>
      </c>
      <c r="U1478" s="5">
        <v>6.5</v>
      </c>
      <c r="V1478" s="9">
        <v>-0.31330000000000002</v>
      </c>
      <c r="W1478" s="6">
        <v>8.25</v>
      </c>
      <c r="X1478" s="4">
        <v>8</v>
      </c>
      <c r="Y1478" s="6">
        <v>9.25</v>
      </c>
      <c r="Z1478" s="5">
        <v>9.5</v>
      </c>
      <c r="AA1478" s="2"/>
      <c r="AB1478" s="2" t="s">
        <v>47</v>
      </c>
      <c r="AC1478" s="2"/>
    </row>
    <row r="1479" spans="1:29" ht="143" x14ac:dyDescent="0.15">
      <c r="A1479" s="3">
        <f>DATE(1994,5,5)</f>
        <v>34459</v>
      </c>
      <c r="B1479" s="3">
        <f>DATE(1994,6,9)</f>
        <v>34494</v>
      </c>
      <c r="C1479" s="2" t="s">
        <v>95</v>
      </c>
      <c r="D1479" s="2" t="s">
        <v>4903</v>
      </c>
      <c r="E1479" s="2" t="s">
        <v>4904</v>
      </c>
      <c r="F1479" s="4">
        <v>3357</v>
      </c>
      <c r="G1479" s="2" t="s">
        <v>163</v>
      </c>
      <c r="H1479" s="2" t="s">
        <v>34</v>
      </c>
      <c r="I1479" s="2" t="s">
        <v>4905</v>
      </c>
      <c r="J1479" s="2" t="s">
        <v>4906</v>
      </c>
      <c r="K1479" s="2" t="s">
        <v>105</v>
      </c>
      <c r="L1479" s="2" t="s">
        <v>303</v>
      </c>
      <c r="M1479" s="2"/>
      <c r="N1479" s="2"/>
      <c r="O1479" s="2"/>
      <c r="P1479" s="2" t="s">
        <v>4907</v>
      </c>
      <c r="Q1479" s="6">
        <v>46.3</v>
      </c>
      <c r="R1479" s="6">
        <v>6</v>
      </c>
      <c r="S1479" s="5">
        <v>-26.3</v>
      </c>
      <c r="T1479" s="5">
        <v>22</v>
      </c>
      <c r="U1479" s="5">
        <v>10.8</v>
      </c>
      <c r="V1479" s="2"/>
      <c r="W1479" s="7">
        <v>4.9379999999999997</v>
      </c>
      <c r="X1479" s="7">
        <v>5.125</v>
      </c>
      <c r="Y1479" s="7">
        <v>5.8129999999999997</v>
      </c>
      <c r="Z1479" s="6">
        <v>5.75</v>
      </c>
      <c r="AA1479" s="6">
        <v>12.91</v>
      </c>
      <c r="AB1479" s="7">
        <v>155.45699999999999</v>
      </c>
      <c r="AC1479" s="6">
        <v>101.7</v>
      </c>
    </row>
    <row r="1480" spans="1:29" ht="52" x14ac:dyDescent="0.15">
      <c r="A1480" s="3">
        <f>DATE(1994,5,5)</f>
        <v>34459</v>
      </c>
      <c r="B1480" s="3">
        <f>DATE(1994,6,28)</f>
        <v>34513</v>
      </c>
      <c r="C1480" s="2" t="s">
        <v>95</v>
      </c>
      <c r="D1480" s="2" t="s">
        <v>4908</v>
      </c>
      <c r="E1480" s="2" t="s">
        <v>4909</v>
      </c>
      <c r="F1480" s="4">
        <v>2835</v>
      </c>
      <c r="G1480" s="2" t="s">
        <v>130</v>
      </c>
      <c r="H1480" s="2" t="s">
        <v>34</v>
      </c>
      <c r="I1480" s="2" t="s">
        <v>4910</v>
      </c>
      <c r="J1480" s="2" t="s">
        <v>3812</v>
      </c>
      <c r="K1480" s="2" t="s">
        <v>130</v>
      </c>
      <c r="L1480" s="2" t="s">
        <v>1049</v>
      </c>
      <c r="M1480" s="2"/>
      <c r="N1480" s="2"/>
      <c r="O1480" s="2"/>
      <c r="P1480" s="2" t="s">
        <v>4911</v>
      </c>
      <c r="Q1480" s="6">
        <v>53.45</v>
      </c>
      <c r="R1480" s="6">
        <v>6.5</v>
      </c>
      <c r="S1480" s="5">
        <v>-0.4</v>
      </c>
      <c r="T1480" s="7">
        <v>1.4710000000000001</v>
      </c>
      <c r="U1480" s="5">
        <v>0.7</v>
      </c>
      <c r="V1480" s="2"/>
      <c r="W1480" s="7">
        <v>3.875</v>
      </c>
      <c r="X1480" s="7">
        <v>3.875</v>
      </c>
      <c r="Y1480" s="5">
        <v>5.5</v>
      </c>
      <c r="Z1480" s="7">
        <v>5.375</v>
      </c>
      <c r="AA1480" s="6">
        <v>6.53</v>
      </c>
      <c r="AB1480" s="7">
        <v>54.808</v>
      </c>
      <c r="AC1480" s="6">
        <v>33.340000000000003</v>
      </c>
    </row>
    <row r="1481" spans="1:29" ht="156" x14ac:dyDescent="0.15">
      <c r="A1481" s="3">
        <f>DATE(1994,5,6)</f>
        <v>34460</v>
      </c>
      <c r="B1481" s="3">
        <f>DATE(1994,9,20)</f>
        <v>34597</v>
      </c>
      <c r="C1481" s="2" t="s">
        <v>95</v>
      </c>
      <c r="D1481" s="2" t="s">
        <v>4912</v>
      </c>
      <c r="E1481" s="2" t="s">
        <v>36</v>
      </c>
      <c r="F1481" s="4">
        <v>6022</v>
      </c>
      <c r="G1481" s="2" t="s">
        <v>37</v>
      </c>
      <c r="H1481" s="2" t="s">
        <v>34</v>
      </c>
      <c r="I1481" s="2" t="s">
        <v>2930</v>
      </c>
      <c r="J1481" s="2" t="s">
        <v>263</v>
      </c>
      <c r="K1481" s="2" t="s">
        <v>37</v>
      </c>
      <c r="L1481" s="2" t="s">
        <v>34</v>
      </c>
      <c r="M1481" s="7">
        <v>799.65300000000002</v>
      </c>
      <c r="N1481" s="4">
        <v>56</v>
      </c>
      <c r="O1481" s="4">
        <v>56</v>
      </c>
      <c r="P1481" s="2" t="s">
        <v>4913</v>
      </c>
      <c r="Q1481" s="6">
        <v>100</v>
      </c>
      <c r="R1481" s="6">
        <v>10.5</v>
      </c>
      <c r="S1481" s="5">
        <v>-0.6</v>
      </c>
      <c r="T1481" s="6">
        <v>-0.02</v>
      </c>
      <c r="U1481" s="5">
        <v>6.1</v>
      </c>
      <c r="V1481" s="6">
        <v>-0.34</v>
      </c>
      <c r="W1481" s="4">
        <v>7</v>
      </c>
      <c r="X1481" s="4">
        <v>8</v>
      </c>
      <c r="Y1481" s="4">
        <v>8</v>
      </c>
      <c r="Z1481" s="6">
        <v>8.75</v>
      </c>
      <c r="AA1481" s="6">
        <v>2.67</v>
      </c>
      <c r="AB1481" s="2" t="s">
        <v>86</v>
      </c>
      <c r="AC1481" s="2"/>
    </row>
    <row r="1482" spans="1:29" ht="39" x14ac:dyDescent="0.15">
      <c r="A1482" s="3">
        <f>DATE(1994,5,9)</f>
        <v>34463</v>
      </c>
      <c r="B1482" s="2"/>
      <c r="C1482" s="2" t="s">
        <v>82</v>
      </c>
      <c r="D1482" s="2" t="s">
        <v>3982</v>
      </c>
      <c r="E1482" s="2" t="s">
        <v>3983</v>
      </c>
      <c r="F1482" s="4">
        <v>2824</v>
      </c>
      <c r="G1482" s="2" t="s">
        <v>98</v>
      </c>
      <c r="H1482" s="2" t="s">
        <v>34</v>
      </c>
      <c r="I1482" s="2" t="s">
        <v>138</v>
      </c>
      <c r="J1482" s="2" t="s">
        <v>139</v>
      </c>
      <c r="K1482" s="2" t="s">
        <v>53</v>
      </c>
      <c r="L1482" s="2" t="s">
        <v>139</v>
      </c>
      <c r="M1482" s="2"/>
      <c r="N1482" s="2"/>
      <c r="O1482" s="2"/>
      <c r="P1482" s="2" t="s">
        <v>4914</v>
      </c>
      <c r="Q1482" s="2"/>
      <c r="R1482" s="2"/>
      <c r="S1482" s="2"/>
      <c r="T1482" s="2"/>
      <c r="U1482" s="2"/>
      <c r="V1482" s="2"/>
      <c r="W1482" s="6">
        <v>9.25</v>
      </c>
      <c r="X1482" s="7">
        <v>10.375</v>
      </c>
      <c r="Y1482" s="6">
        <v>10.75</v>
      </c>
      <c r="Z1482" s="4">
        <v>11</v>
      </c>
      <c r="AA1482" s="2"/>
      <c r="AB1482" s="2" t="s">
        <v>47</v>
      </c>
      <c r="AC1482" s="2"/>
    </row>
    <row r="1483" spans="1:29" ht="65" x14ac:dyDescent="0.15">
      <c r="A1483" s="3">
        <f>DATE(1994,5,9)</f>
        <v>34463</v>
      </c>
      <c r="B1483" s="3">
        <f>DATE(1994,12,29)</f>
        <v>34697</v>
      </c>
      <c r="C1483" s="2" t="s">
        <v>95</v>
      </c>
      <c r="D1483" s="2" t="s">
        <v>4915</v>
      </c>
      <c r="E1483" s="2" t="s">
        <v>4916</v>
      </c>
      <c r="F1483" s="4">
        <v>7379</v>
      </c>
      <c r="G1483" s="2" t="s">
        <v>223</v>
      </c>
      <c r="H1483" s="2" t="s">
        <v>34</v>
      </c>
      <c r="I1483" s="2" t="s">
        <v>1060</v>
      </c>
      <c r="J1483" s="2" t="s">
        <v>1061</v>
      </c>
      <c r="K1483" s="2" t="s">
        <v>756</v>
      </c>
      <c r="L1483" s="2" t="s">
        <v>34</v>
      </c>
      <c r="M1483" s="2"/>
      <c r="N1483" s="5">
        <v>46.5</v>
      </c>
      <c r="O1483" s="7">
        <v>47.375</v>
      </c>
      <c r="P1483" s="2" t="s">
        <v>4917</v>
      </c>
      <c r="Q1483" s="6">
        <v>23.55</v>
      </c>
      <c r="R1483" s="2"/>
      <c r="S1483" s="5">
        <v>0.3</v>
      </c>
      <c r="T1483" s="7">
        <v>0.91900000000000004</v>
      </c>
      <c r="U1483" s="5">
        <v>0.8</v>
      </c>
      <c r="V1483" s="6">
        <v>7.0000000000000007E-2</v>
      </c>
      <c r="W1483" s="5">
        <v>4.5</v>
      </c>
      <c r="X1483" s="6">
        <v>4.75</v>
      </c>
      <c r="Y1483" s="5">
        <v>5.5</v>
      </c>
      <c r="Z1483" s="6">
        <v>4.75</v>
      </c>
      <c r="AA1483" s="6">
        <v>9.77</v>
      </c>
      <c r="AB1483" s="2" t="s">
        <v>47</v>
      </c>
      <c r="AC1483" s="8">
        <v>1863.6</v>
      </c>
    </row>
    <row r="1484" spans="1:29" ht="143" x14ac:dyDescent="0.15">
      <c r="A1484" s="3">
        <f>DATE(1994,5,9)</f>
        <v>34463</v>
      </c>
      <c r="B1484" s="3">
        <f>DATE(1995,1,27)</f>
        <v>34726</v>
      </c>
      <c r="C1484" s="2" t="s">
        <v>95</v>
      </c>
      <c r="D1484" s="2" t="s">
        <v>4918</v>
      </c>
      <c r="E1484" s="2" t="s">
        <v>36</v>
      </c>
      <c r="F1484" s="4">
        <v>6021</v>
      </c>
      <c r="G1484" s="2" t="s">
        <v>37</v>
      </c>
      <c r="H1484" s="2" t="s">
        <v>34</v>
      </c>
      <c r="I1484" s="2" t="s">
        <v>4293</v>
      </c>
      <c r="J1484" s="2" t="s">
        <v>36</v>
      </c>
      <c r="K1484" s="2" t="s">
        <v>37</v>
      </c>
      <c r="L1484" s="2" t="s">
        <v>34</v>
      </c>
      <c r="M1484" s="12">
        <v>5453.1040000000003</v>
      </c>
      <c r="N1484" s="7">
        <v>36.625</v>
      </c>
      <c r="O1484" s="6">
        <v>37.25</v>
      </c>
      <c r="P1484" s="2" t="s">
        <v>4919</v>
      </c>
      <c r="Q1484" s="6">
        <v>100</v>
      </c>
      <c r="R1484" s="6">
        <v>48.5</v>
      </c>
      <c r="S1484" s="5">
        <v>28.1</v>
      </c>
      <c r="T1484" s="7">
        <v>52.156999999999996</v>
      </c>
      <c r="U1484" s="5">
        <v>26.8</v>
      </c>
      <c r="V1484" s="6">
        <v>3.26</v>
      </c>
      <c r="W1484" s="7">
        <v>43.625</v>
      </c>
      <c r="X1484" s="7">
        <v>48.125</v>
      </c>
      <c r="Y1484" s="4">
        <v>46</v>
      </c>
      <c r="Z1484" s="7">
        <v>46.125</v>
      </c>
      <c r="AA1484" s="6">
        <v>8.67</v>
      </c>
      <c r="AB1484" s="7">
        <v>30.780999999999999</v>
      </c>
      <c r="AC1484" s="2"/>
    </row>
    <row r="1485" spans="1:29" ht="78" x14ac:dyDescent="0.15">
      <c r="A1485" s="3">
        <f>DATE(1994,5,10)</f>
        <v>34464</v>
      </c>
      <c r="B1485" s="3">
        <f>DATE(1994,8,19)</f>
        <v>34565</v>
      </c>
      <c r="C1485" s="2" t="s">
        <v>95</v>
      </c>
      <c r="D1485" s="2" t="s">
        <v>4920</v>
      </c>
      <c r="E1485" s="2" t="s">
        <v>4921</v>
      </c>
      <c r="F1485" s="4">
        <v>8711</v>
      </c>
      <c r="G1485" s="2" t="s">
        <v>223</v>
      </c>
      <c r="H1485" s="2" t="s">
        <v>34</v>
      </c>
      <c r="I1485" s="2" t="s">
        <v>4922</v>
      </c>
      <c r="J1485" s="2" t="s">
        <v>4923</v>
      </c>
      <c r="K1485" s="2" t="s">
        <v>551</v>
      </c>
      <c r="L1485" s="2" t="s">
        <v>34</v>
      </c>
      <c r="M1485" s="7">
        <v>219.38499999999999</v>
      </c>
      <c r="N1485" s="5">
        <v>12.5</v>
      </c>
      <c r="O1485" s="7">
        <v>11.875</v>
      </c>
      <c r="P1485" s="2" t="s">
        <v>4924</v>
      </c>
      <c r="Q1485" s="6">
        <v>100</v>
      </c>
      <c r="R1485" s="6">
        <v>6.85</v>
      </c>
      <c r="S1485" s="5">
        <v>3.5</v>
      </c>
      <c r="T1485" s="7">
        <v>8.2530000000000001</v>
      </c>
      <c r="U1485" s="5">
        <v>3.4</v>
      </c>
      <c r="V1485" s="6">
        <v>0.35</v>
      </c>
      <c r="W1485" s="7">
        <v>2.875</v>
      </c>
      <c r="X1485" s="7">
        <v>2.875</v>
      </c>
      <c r="Y1485" s="7">
        <v>5.625</v>
      </c>
      <c r="Z1485" s="5">
        <v>5.5</v>
      </c>
      <c r="AA1485" s="6">
        <v>8.9</v>
      </c>
      <c r="AB1485" s="7">
        <v>11.061</v>
      </c>
      <c r="AC1485" s="6">
        <v>27.89</v>
      </c>
    </row>
    <row r="1486" spans="1:29" ht="26" x14ac:dyDescent="0.15">
      <c r="A1486" s="3">
        <f>DATE(1994,5,11)</f>
        <v>34465</v>
      </c>
      <c r="B1486" s="3">
        <f>DATE(1994,12,31)</f>
        <v>34699</v>
      </c>
      <c r="C1486" s="2" t="s">
        <v>95</v>
      </c>
      <c r="D1486" s="2" t="s">
        <v>4925</v>
      </c>
      <c r="E1486" s="2" t="s">
        <v>3231</v>
      </c>
      <c r="F1486" s="4">
        <v>4953</v>
      </c>
      <c r="G1486" s="2" t="s">
        <v>116</v>
      </c>
      <c r="H1486" s="2" t="s">
        <v>34</v>
      </c>
      <c r="I1486" s="2" t="s">
        <v>2040</v>
      </c>
      <c r="J1486" s="2" t="s">
        <v>3232</v>
      </c>
      <c r="K1486" s="2" t="s">
        <v>116</v>
      </c>
      <c r="L1486" s="2" t="s">
        <v>34</v>
      </c>
      <c r="M1486" s="2"/>
      <c r="N1486" s="5">
        <v>9.5</v>
      </c>
      <c r="O1486" s="5">
        <v>9.5</v>
      </c>
      <c r="P1486" s="2" t="s">
        <v>4926</v>
      </c>
      <c r="Q1486" s="6">
        <v>100</v>
      </c>
      <c r="R1486" s="2"/>
      <c r="S1486" s="5">
        <v>-9.1</v>
      </c>
      <c r="T1486" s="2"/>
      <c r="U1486" s="5">
        <v>3.3</v>
      </c>
      <c r="V1486" s="2"/>
      <c r="W1486" s="7">
        <v>2.4380000000000002</v>
      </c>
      <c r="X1486" s="7">
        <v>2.375</v>
      </c>
      <c r="Y1486" s="5">
        <v>2.5</v>
      </c>
      <c r="Z1486" s="7">
        <v>2.375</v>
      </c>
      <c r="AA1486" s="6">
        <v>5.28</v>
      </c>
      <c r="AB1486" s="2" t="s">
        <v>47</v>
      </c>
      <c r="AC1486" s="6">
        <v>1.93</v>
      </c>
    </row>
    <row r="1487" spans="1:29" ht="143" x14ac:dyDescent="0.15">
      <c r="A1487" s="3">
        <f>DATE(1994,5,11)</f>
        <v>34465</v>
      </c>
      <c r="B1487" s="3">
        <f>DATE(1994,10,13)</f>
        <v>34620</v>
      </c>
      <c r="C1487" s="2" t="s">
        <v>95</v>
      </c>
      <c r="D1487" s="2" t="s">
        <v>4927</v>
      </c>
      <c r="E1487" s="2" t="s">
        <v>4928</v>
      </c>
      <c r="F1487" s="4">
        <v>3851</v>
      </c>
      <c r="G1487" s="2" t="s">
        <v>226</v>
      </c>
      <c r="H1487" s="2" t="s">
        <v>34</v>
      </c>
      <c r="I1487" s="2" t="s">
        <v>4929</v>
      </c>
      <c r="J1487" s="2" t="s">
        <v>4930</v>
      </c>
      <c r="K1487" s="2" t="s">
        <v>76</v>
      </c>
      <c r="L1487" s="2" t="s">
        <v>34</v>
      </c>
      <c r="M1487" s="7">
        <v>141.565</v>
      </c>
      <c r="N1487" s="5">
        <v>7.5</v>
      </c>
      <c r="O1487" s="6">
        <v>7.75</v>
      </c>
      <c r="P1487" s="2" t="s">
        <v>4931</v>
      </c>
      <c r="Q1487" s="6">
        <v>100</v>
      </c>
      <c r="R1487" s="6">
        <v>24.07</v>
      </c>
      <c r="S1487" s="5">
        <v>6.7</v>
      </c>
      <c r="T1487" s="7">
        <v>15.007999999999999</v>
      </c>
      <c r="U1487" s="5">
        <v>15.9</v>
      </c>
      <c r="V1487" s="6">
        <v>1.08</v>
      </c>
      <c r="W1487" s="4">
        <v>18</v>
      </c>
      <c r="X1487" s="6">
        <v>17.75</v>
      </c>
      <c r="Y1487" s="7">
        <v>21.125</v>
      </c>
      <c r="Z1487" s="7">
        <v>21.125</v>
      </c>
      <c r="AA1487" s="6">
        <v>5.9</v>
      </c>
      <c r="AB1487" s="7">
        <v>13.170999999999999</v>
      </c>
      <c r="AC1487" s="6">
        <v>4.97</v>
      </c>
    </row>
    <row r="1488" spans="1:29" ht="169" x14ac:dyDescent="0.15">
      <c r="A1488" s="3">
        <f>DATE(1994,5,12)</f>
        <v>34466</v>
      </c>
      <c r="B1488" s="3">
        <f>DATE(1994,7,1)</f>
        <v>34516</v>
      </c>
      <c r="C1488" s="2" t="s">
        <v>95</v>
      </c>
      <c r="D1488" s="2" t="s">
        <v>4932</v>
      </c>
      <c r="E1488" s="2" t="s">
        <v>2800</v>
      </c>
      <c r="F1488" s="4">
        <v>6162</v>
      </c>
      <c r="G1488" s="2" t="s">
        <v>109</v>
      </c>
      <c r="H1488" s="2" t="s">
        <v>34</v>
      </c>
      <c r="I1488" s="2" t="s">
        <v>4933</v>
      </c>
      <c r="J1488" s="2" t="s">
        <v>36</v>
      </c>
      <c r="K1488" s="2" t="s">
        <v>37</v>
      </c>
      <c r="L1488" s="2" t="s">
        <v>34</v>
      </c>
      <c r="M1488" s="7">
        <v>928.98599999999999</v>
      </c>
      <c r="N1488" s="7">
        <v>34.375</v>
      </c>
      <c r="O1488" s="5">
        <v>34.5</v>
      </c>
      <c r="P1488" s="2" t="s">
        <v>4934</v>
      </c>
      <c r="Q1488" s="6">
        <v>100</v>
      </c>
      <c r="R1488" s="6">
        <v>25</v>
      </c>
      <c r="S1488" s="5">
        <v>1.1000000000000001</v>
      </c>
      <c r="T1488" s="7">
        <v>11.523</v>
      </c>
      <c r="U1488" s="5">
        <v>14</v>
      </c>
      <c r="V1488" s="6">
        <v>0.02</v>
      </c>
      <c r="W1488" s="7">
        <v>13.625</v>
      </c>
      <c r="X1488" s="4">
        <v>15</v>
      </c>
      <c r="Y1488" s="7">
        <v>19.125</v>
      </c>
      <c r="Z1488" s="7">
        <v>19.937999999999999</v>
      </c>
      <c r="AA1488" s="6">
        <v>13.3</v>
      </c>
      <c r="AB1488" s="7">
        <v>487.79700000000003</v>
      </c>
      <c r="AC1488" s="2"/>
    </row>
    <row r="1489" spans="1:29" ht="130" x14ac:dyDescent="0.15">
      <c r="A1489" s="3">
        <f>DATE(1994,5,13)</f>
        <v>34467</v>
      </c>
      <c r="B1489" s="3">
        <f>DATE(1994,9,1)</f>
        <v>34578</v>
      </c>
      <c r="C1489" s="2" t="s">
        <v>95</v>
      </c>
      <c r="D1489" s="2" t="s">
        <v>4935</v>
      </c>
      <c r="E1489" s="2" t="s">
        <v>92</v>
      </c>
      <c r="F1489" s="4">
        <v>6798</v>
      </c>
      <c r="G1489" s="2" t="s">
        <v>53</v>
      </c>
      <c r="H1489" s="2" t="s">
        <v>34</v>
      </c>
      <c r="I1489" s="2" t="s">
        <v>4936</v>
      </c>
      <c r="J1489" s="2" t="s">
        <v>92</v>
      </c>
      <c r="K1489" s="2" t="s">
        <v>53</v>
      </c>
      <c r="L1489" s="2" t="s">
        <v>34</v>
      </c>
      <c r="M1489" s="12">
        <v>1054.463</v>
      </c>
      <c r="N1489" s="6">
        <v>27.25</v>
      </c>
      <c r="O1489" s="7">
        <v>27.375</v>
      </c>
      <c r="P1489" s="2" t="s">
        <v>4937</v>
      </c>
      <c r="Q1489" s="6">
        <v>100</v>
      </c>
      <c r="R1489" s="6">
        <v>8.5299999999999994</v>
      </c>
      <c r="S1489" s="5">
        <v>-1.3</v>
      </c>
      <c r="T1489" s="7">
        <v>3.5999999999999997E-2</v>
      </c>
      <c r="U1489" s="5">
        <v>3.7</v>
      </c>
      <c r="V1489" s="6">
        <v>-0.23</v>
      </c>
      <c r="W1489" s="6">
        <v>6.25</v>
      </c>
      <c r="X1489" s="7">
        <v>5.875</v>
      </c>
      <c r="Y1489" s="6">
        <v>6.25</v>
      </c>
      <c r="Z1489" s="5">
        <v>7.5</v>
      </c>
      <c r="AA1489" s="6">
        <v>5.81</v>
      </c>
      <c r="AB1489" s="2" t="s">
        <v>86</v>
      </c>
      <c r="AC1489" s="6">
        <v>110.63</v>
      </c>
    </row>
    <row r="1490" spans="1:29" ht="156" x14ac:dyDescent="0.15">
      <c r="A1490" s="3">
        <f>DATE(1994,5,13)</f>
        <v>34467</v>
      </c>
      <c r="B1490" s="3">
        <f>DATE(1994,9,13)</f>
        <v>34590</v>
      </c>
      <c r="C1490" s="2" t="s">
        <v>95</v>
      </c>
      <c r="D1490" s="2" t="s">
        <v>4938</v>
      </c>
      <c r="E1490" s="2" t="s">
        <v>781</v>
      </c>
      <c r="F1490" s="4">
        <v>7372</v>
      </c>
      <c r="G1490" s="2" t="s">
        <v>551</v>
      </c>
      <c r="H1490" s="2" t="s">
        <v>34</v>
      </c>
      <c r="I1490" s="2" t="s">
        <v>4939</v>
      </c>
      <c r="J1490" s="2" t="s">
        <v>4940</v>
      </c>
      <c r="K1490" s="2" t="s">
        <v>223</v>
      </c>
      <c r="L1490" s="2" t="s">
        <v>34</v>
      </c>
      <c r="M1490" s="7">
        <v>630.56299999999999</v>
      </c>
      <c r="N1490" s="7">
        <v>28.375</v>
      </c>
      <c r="O1490" s="7">
        <v>27.375</v>
      </c>
      <c r="P1490" s="2" t="s">
        <v>4941</v>
      </c>
      <c r="Q1490" s="6">
        <v>100</v>
      </c>
      <c r="R1490" s="6">
        <v>9.5299999999999994</v>
      </c>
      <c r="S1490" s="5">
        <v>0.6</v>
      </c>
      <c r="T1490" s="7">
        <v>1.9790000000000001</v>
      </c>
      <c r="U1490" s="5">
        <v>1.6</v>
      </c>
      <c r="V1490" s="6">
        <v>0.13</v>
      </c>
      <c r="W1490" s="7">
        <v>8.125</v>
      </c>
      <c r="X1490" s="4">
        <v>9</v>
      </c>
      <c r="Y1490" s="6">
        <v>8.25</v>
      </c>
      <c r="Z1490" s="7">
        <v>7.875</v>
      </c>
      <c r="AA1490" s="6">
        <v>5.0199999999999996</v>
      </c>
      <c r="AB1490" s="7">
        <v>42.601999999999997</v>
      </c>
      <c r="AC1490" s="6">
        <v>23.16</v>
      </c>
    </row>
    <row r="1491" spans="1:29" ht="78" x14ac:dyDescent="0.15">
      <c r="A1491" s="3">
        <f>DATE(1994,5,17)</f>
        <v>34471</v>
      </c>
      <c r="B1491" s="2"/>
      <c r="C1491" s="2" t="s">
        <v>87</v>
      </c>
      <c r="D1491" s="2" t="s">
        <v>4942</v>
      </c>
      <c r="E1491" s="2" t="s">
        <v>4943</v>
      </c>
      <c r="F1491" s="4">
        <v>4512</v>
      </c>
      <c r="G1491" s="2" t="s">
        <v>59</v>
      </c>
      <c r="H1491" s="2" t="s">
        <v>34</v>
      </c>
      <c r="I1491" s="2" t="s">
        <v>138</v>
      </c>
      <c r="J1491" s="2" t="s">
        <v>139</v>
      </c>
      <c r="K1491" s="2" t="s">
        <v>53</v>
      </c>
      <c r="L1491" s="2" t="s">
        <v>139</v>
      </c>
      <c r="M1491" s="2"/>
      <c r="N1491" s="2"/>
      <c r="O1491" s="2"/>
      <c r="P1491" s="2" t="s">
        <v>4944</v>
      </c>
      <c r="Q1491" s="2"/>
      <c r="R1491" s="2"/>
      <c r="S1491" s="5">
        <v>-2.2999999999999998</v>
      </c>
      <c r="T1491" s="7">
        <v>3.1869999999999998</v>
      </c>
      <c r="U1491" s="5">
        <v>1.1000000000000001</v>
      </c>
      <c r="V1491" s="6">
        <v>-0.34</v>
      </c>
      <c r="W1491" s="4">
        <v>4</v>
      </c>
      <c r="X1491" s="6">
        <v>4.25</v>
      </c>
      <c r="Y1491" s="7">
        <v>4.375</v>
      </c>
      <c r="Z1491" s="7">
        <v>4.125</v>
      </c>
      <c r="AA1491" s="6">
        <v>7.07</v>
      </c>
      <c r="AB1491" s="2" t="s">
        <v>86</v>
      </c>
      <c r="AC1491" s="2"/>
    </row>
    <row r="1492" spans="1:29" ht="156" x14ac:dyDescent="0.15">
      <c r="A1492" s="3">
        <f>DATE(1994,5,19)</f>
        <v>34473</v>
      </c>
      <c r="B1492" s="3">
        <f>DATE(1994,9,20)</f>
        <v>34597</v>
      </c>
      <c r="C1492" s="2" t="s">
        <v>95</v>
      </c>
      <c r="D1492" s="2" t="s">
        <v>4945</v>
      </c>
      <c r="E1492" s="2" t="s">
        <v>1166</v>
      </c>
      <c r="F1492" s="4">
        <v>7373</v>
      </c>
      <c r="G1492" s="2" t="s">
        <v>223</v>
      </c>
      <c r="H1492" s="2" t="s">
        <v>34</v>
      </c>
      <c r="I1492" s="2" t="s">
        <v>2244</v>
      </c>
      <c r="J1492" s="2" t="s">
        <v>2245</v>
      </c>
      <c r="K1492" s="2" t="s">
        <v>551</v>
      </c>
      <c r="L1492" s="2" t="s">
        <v>34</v>
      </c>
      <c r="M1492" s="12">
        <v>4833.2650000000003</v>
      </c>
      <c r="N1492" s="4">
        <v>36</v>
      </c>
      <c r="O1492" s="6">
        <v>35.25</v>
      </c>
      <c r="P1492" s="2" t="s">
        <v>4946</v>
      </c>
      <c r="Q1492" s="6">
        <v>100</v>
      </c>
      <c r="R1492" s="6">
        <v>13.25</v>
      </c>
      <c r="S1492" s="5">
        <v>0.1</v>
      </c>
      <c r="T1492" s="7">
        <v>34.423000000000002</v>
      </c>
      <c r="U1492" s="5">
        <v>6.5</v>
      </c>
      <c r="V1492" s="6">
        <v>0.01</v>
      </c>
      <c r="W1492" s="5">
        <v>9.5</v>
      </c>
      <c r="X1492" s="4">
        <v>9</v>
      </c>
      <c r="Y1492" s="7">
        <v>12.938000000000001</v>
      </c>
      <c r="Z1492" s="7">
        <v>12.938000000000001</v>
      </c>
      <c r="AA1492" s="6">
        <v>24.78</v>
      </c>
      <c r="AB1492" s="7">
        <v>87.370999999999995</v>
      </c>
      <c r="AC1492" s="2"/>
    </row>
    <row r="1493" spans="1:29" ht="91" x14ac:dyDescent="0.15">
      <c r="A1493" s="3">
        <f>DATE(1994,5,19)</f>
        <v>34473</v>
      </c>
      <c r="B1493" s="3">
        <f>DATE(1994,8,31)</f>
        <v>34577</v>
      </c>
      <c r="C1493" s="2" t="s">
        <v>95</v>
      </c>
      <c r="D1493" s="2" t="s">
        <v>4947</v>
      </c>
      <c r="E1493" s="2" t="s">
        <v>36</v>
      </c>
      <c r="F1493" s="4">
        <v>6712</v>
      </c>
      <c r="G1493" s="2" t="s">
        <v>37</v>
      </c>
      <c r="H1493" s="2" t="s">
        <v>34</v>
      </c>
      <c r="I1493" s="2" t="s">
        <v>3289</v>
      </c>
      <c r="J1493" s="2" t="s">
        <v>159</v>
      </c>
      <c r="K1493" s="2" t="s">
        <v>37</v>
      </c>
      <c r="L1493" s="2" t="s">
        <v>34</v>
      </c>
      <c r="M1493" s="2"/>
      <c r="N1493" s="2"/>
      <c r="O1493" s="2"/>
      <c r="P1493" s="2" t="s">
        <v>4948</v>
      </c>
      <c r="Q1493" s="6">
        <v>60.07</v>
      </c>
      <c r="R1493" s="6">
        <v>0.8</v>
      </c>
      <c r="S1493" s="5">
        <v>0.2</v>
      </c>
      <c r="T1493" s="6">
        <v>1.84</v>
      </c>
      <c r="U1493" s="5">
        <v>11.5</v>
      </c>
      <c r="V1493" s="6">
        <v>0.15</v>
      </c>
      <c r="W1493" s="7">
        <v>1.375</v>
      </c>
      <c r="X1493" s="7">
        <v>1.375</v>
      </c>
      <c r="Y1493" s="6">
        <v>1.25</v>
      </c>
      <c r="Z1493" s="5">
        <v>1.5</v>
      </c>
      <c r="AA1493" s="6">
        <v>24.93</v>
      </c>
      <c r="AB1493" s="7">
        <v>499.18</v>
      </c>
      <c r="AC1493" s="2"/>
    </row>
    <row r="1494" spans="1:29" ht="39" x14ac:dyDescent="0.15">
      <c r="A1494" s="3">
        <f>DATE(1994,5,19)</f>
        <v>34473</v>
      </c>
      <c r="B1494" s="2"/>
      <c r="C1494" s="2" t="s">
        <v>87</v>
      </c>
      <c r="D1494" s="2" t="s">
        <v>4949</v>
      </c>
      <c r="E1494" s="2" t="s">
        <v>3964</v>
      </c>
      <c r="F1494" s="4">
        <v>5014</v>
      </c>
      <c r="G1494" s="2" t="s">
        <v>76</v>
      </c>
      <c r="H1494" s="2" t="s">
        <v>34</v>
      </c>
      <c r="I1494" s="2" t="s">
        <v>51</v>
      </c>
      <c r="J1494" s="2" t="s">
        <v>52</v>
      </c>
      <c r="K1494" s="2" t="s">
        <v>53</v>
      </c>
      <c r="L1494" s="2" t="s">
        <v>34</v>
      </c>
      <c r="M1494" s="2"/>
      <c r="N1494" s="2"/>
      <c r="O1494" s="2"/>
      <c r="P1494" s="2" t="s">
        <v>4950</v>
      </c>
      <c r="Q1494" s="2"/>
      <c r="R1494" s="6">
        <v>1.43</v>
      </c>
      <c r="S1494" s="2"/>
      <c r="T1494" s="2"/>
      <c r="U1494" s="2"/>
      <c r="V1494" s="2"/>
      <c r="W1494" s="7">
        <v>1.0940000000000001</v>
      </c>
      <c r="X1494" s="7">
        <v>1.0940000000000001</v>
      </c>
      <c r="Y1494" s="7">
        <v>1.0940000000000001</v>
      </c>
      <c r="Z1494" s="7">
        <v>1.0940000000000001</v>
      </c>
      <c r="AA1494" s="6">
        <v>1.43</v>
      </c>
      <c r="AB1494" s="2" t="s">
        <v>47</v>
      </c>
      <c r="AC1494" s="2"/>
    </row>
    <row r="1495" spans="1:29" ht="39" x14ac:dyDescent="0.15">
      <c r="A1495" s="3">
        <f>DATE(1994,5,20)</f>
        <v>34474</v>
      </c>
      <c r="B1495" s="2"/>
      <c r="C1495" s="2" t="s">
        <v>30</v>
      </c>
      <c r="D1495" s="2" t="s">
        <v>4951</v>
      </c>
      <c r="E1495" s="2" t="s">
        <v>3246</v>
      </c>
      <c r="F1495" s="4">
        <v>6021</v>
      </c>
      <c r="G1495" s="2" t="s">
        <v>37</v>
      </c>
      <c r="H1495" s="2" t="s">
        <v>34</v>
      </c>
      <c r="I1495" s="2" t="s">
        <v>35</v>
      </c>
      <c r="J1495" s="2" t="s">
        <v>36</v>
      </c>
      <c r="K1495" s="2" t="s">
        <v>37</v>
      </c>
      <c r="L1495" s="2" t="s">
        <v>34</v>
      </c>
      <c r="M1495" s="2"/>
      <c r="N1495" s="7">
        <v>19.875</v>
      </c>
      <c r="O1495" s="5">
        <v>20.5</v>
      </c>
      <c r="P1495" s="2" t="s">
        <v>4952</v>
      </c>
      <c r="Q1495" s="2"/>
      <c r="R1495" s="2"/>
      <c r="S1495" s="5">
        <v>8.1999999999999993</v>
      </c>
      <c r="T1495" s="7">
        <v>12.206</v>
      </c>
      <c r="U1495" s="5">
        <v>3.9</v>
      </c>
      <c r="V1495" s="9">
        <v>0.63859999999999995</v>
      </c>
      <c r="W1495" s="6">
        <v>12.25</v>
      </c>
      <c r="X1495" s="6">
        <v>13.75</v>
      </c>
      <c r="Y1495" s="5">
        <v>15.5</v>
      </c>
      <c r="Z1495" s="6">
        <v>14.75</v>
      </c>
      <c r="AA1495" s="2"/>
      <c r="AB1495" s="2" t="s">
        <v>47</v>
      </c>
      <c r="AC1495" s="2"/>
    </row>
    <row r="1496" spans="1:29" ht="156" x14ac:dyDescent="0.15">
      <c r="A1496" s="3">
        <f t="shared" ref="A1496:A1501" si="4">DATE(1994,5,23)</f>
        <v>34477</v>
      </c>
      <c r="B1496" s="3">
        <f>DATE(1994,12,19)</f>
        <v>34687</v>
      </c>
      <c r="C1496" s="2" t="s">
        <v>95</v>
      </c>
      <c r="D1496" s="2" t="s">
        <v>4953</v>
      </c>
      <c r="E1496" s="2" t="s">
        <v>4954</v>
      </c>
      <c r="F1496" s="4">
        <v>2032</v>
      </c>
      <c r="G1496" s="2" t="s">
        <v>577</v>
      </c>
      <c r="H1496" s="2" t="s">
        <v>34</v>
      </c>
      <c r="I1496" s="2" t="s">
        <v>2536</v>
      </c>
      <c r="J1496" s="2" t="s">
        <v>2537</v>
      </c>
      <c r="K1496" s="2" t="s">
        <v>98</v>
      </c>
      <c r="L1496" s="2" t="s">
        <v>215</v>
      </c>
      <c r="M1496" s="2"/>
      <c r="N1496" s="2"/>
      <c r="O1496" s="2"/>
      <c r="P1496" s="2" t="s">
        <v>4955</v>
      </c>
      <c r="Q1496" s="6">
        <v>100</v>
      </c>
      <c r="R1496" s="6">
        <v>53</v>
      </c>
      <c r="S1496" s="5">
        <v>114.2</v>
      </c>
      <c r="T1496" s="7">
        <v>226.05600000000001</v>
      </c>
      <c r="U1496" s="5">
        <v>5.2</v>
      </c>
      <c r="V1496" s="6">
        <v>1.64</v>
      </c>
      <c r="W1496" s="6">
        <v>33.25</v>
      </c>
      <c r="X1496" s="7">
        <v>34.625</v>
      </c>
      <c r="Y1496" s="7">
        <v>50.125</v>
      </c>
      <c r="Z1496" s="6">
        <v>50.75</v>
      </c>
      <c r="AA1496" s="6">
        <v>69.540000000000006</v>
      </c>
      <c r="AB1496" s="7">
        <v>20.509</v>
      </c>
      <c r="AC1496" s="10">
        <v>9018.85</v>
      </c>
    </row>
    <row r="1497" spans="1:29" ht="130" x14ac:dyDescent="0.15">
      <c r="A1497" s="3">
        <f t="shared" si="4"/>
        <v>34477</v>
      </c>
      <c r="B1497" s="3">
        <f>DATE(1994,9,1)</f>
        <v>34578</v>
      </c>
      <c r="C1497" s="2" t="s">
        <v>95</v>
      </c>
      <c r="D1497" s="2" t="s">
        <v>4956</v>
      </c>
      <c r="E1497" s="2" t="s">
        <v>4957</v>
      </c>
      <c r="F1497" s="4">
        <v>7359</v>
      </c>
      <c r="G1497" s="2" t="s">
        <v>223</v>
      </c>
      <c r="H1497" s="2" t="s">
        <v>34</v>
      </c>
      <c r="I1497" s="2" t="s">
        <v>2179</v>
      </c>
      <c r="J1497" s="2" t="s">
        <v>2180</v>
      </c>
      <c r="K1497" s="2" t="s">
        <v>300</v>
      </c>
      <c r="L1497" s="2" t="s">
        <v>34</v>
      </c>
      <c r="M1497" s="7">
        <v>782.94299999999998</v>
      </c>
      <c r="N1497" s="4">
        <v>14</v>
      </c>
      <c r="O1497" s="5">
        <v>12.5</v>
      </c>
      <c r="P1497" s="2" t="s">
        <v>4958</v>
      </c>
      <c r="Q1497" s="6">
        <v>100</v>
      </c>
      <c r="R1497" s="6">
        <v>8.3800000000000008</v>
      </c>
      <c r="S1497" s="5">
        <v>1.6</v>
      </c>
      <c r="T1497" s="7">
        <v>5.2679999999999998</v>
      </c>
      <c r="U1497" s="5">
        <v>4</v>
      </c>
      <c r="V1497" s="6">
        <v>0.47</v>
      </c>
      <c r="W1497" s="4">
        <v>5</v>
      </c>
      <c r="X1497" s="4">
        <v>5</v>
      </c>
      <c r="Y1497" s="7">
        <v>5.125</v>
      </c>
      <c r="Z1497" s="5">
        <v>7.5</v>
      </c>
      <c r="AA1497" s="6">
        <v>3.3</v>
      </c>
      <c r="AB1497" s="7">
        <v>14.679</v>
      </c>
      <c r="AC1497" s="5">
        <v>9.8000000000000007</v>
      </c>
    </row>
    <row r="1498" spans="1:29" ht="143" x14ac:dyDescent="0.15">
      <c r="A1498" s="3">
        <f t="shared" si="4"/>
        <v>34477</v>
      </c>
      <c r="B1498" s="3">
        <f>DATE(1994,9,16)</f>
        <v>34593</v>
      </c>
      <c r="C1498" s="2" t="s">
        <v>95</v>
      </c>
      <c r="D1498" s="2" t="s">
        <v>4355</v>
      </c>
      <c r="E1498" s="2" t="s">
        <v>4356</v>
      </c>
      <c r="F1498" s="4">
        <v>8011</v>
      </c>
      <c r="G1498" s="2" t="s">
        <v>454</v>
      </c>
      <c r="H1498" s="2" t="s">
        <v>34</v>
      </c>
      <c r="I1498" s="2" t="s">
        <v>4959</v>
      </c>
      <c r="J1498" s="2" t="s">
        <v>1488</v>
      </c>
      <c r="K1498" s="2" t="s">
        <v>454</v>
      </c>
      <c r="L1498" s="2" t="s">
        <v>34</v>
      </c>
      <c r="M1498" s="2"/>
      <c r="N1498" s="6">
        <v>39.75</v>
      </c>
      <c r="O1498" s="7">
        <v>39.125</v>
      </c>
      <c r="P1498" s="2" t="s">
        <v>4960</v>
      </c>
      <c r="Q1498" s="6">
        <v>100</v>
      </c>
      <c r="R1498" s="6">
        <v>29.58</v>
      </c>
      <c r="S1498" s="5">
        <v>6</v>
      </c>
      <c r="T1498" s="7">
        <v>85.179000000000002</v>
      </c>
      <c r="U1498" s="5">
        <v>11.5</v>
      </c>
      <c r="V1498" s="6">
        <v>-2.62</v>
      </c>
      <c r="W1498" s="6">
        <v>19.75</v>
      </c>
      <c r="X1498" s="4">
        <v>19</v>
      </c>
      <c r="Y1498" s="7">
        <v>24.625</v>
      </c>
      <c r="Z1498" s="4">
        <v>24</v>
      </c>
      <c r="AA1498" s="6">
        <v>29.6</v>
      </c>
      <c r="AB1498" s="7">
        <v>20.405000000000001</v>
      </c>
      <c r="AC1498" s="5">
        <v>224</v>
      </c>
    </row>
    <row r="1499" spans="1:29" ht="52" x14ac:dyDescent="0.15">
      <c r="A1499" s="3">
        <f t="shared" si="4"/>
        <v>34477</v>
      </c>
      <c r="B1499" s="2"/>
      <c r="C1499" s="2" t="s">
        <v>30</v>
      </c>
      <c r="D1499" s="2" t="s">
        <v>4249</v>
      </c>
      <c r="E1499" s="2" t="s">
        <v>4250</v>
      </c>
      <c r="F1499" s="4">
        <v>8071</v>
      </c>
      <c r="G1499" s="2" t="s">
        <v>454</v>
      </c>
      <c r="H1499" s="2" t="s">
        <v>34</v>
      </c>
      <c r="I1499" s="2" t="s">
        <v>4961</v>
      </c>
      <c r="J1499" s="2" t="s">
        <v>4962</v>
      </c>
      <c r="K1499" s="2" t="s">
        <v>125</v>
      </c>
      <c r="L1499" s="2" t="s">
        <v>34</v>
      </c>
      <c r="M1499" s="2"/>
      <c r="N1499" s="4">
        <v>3</v>
      </c>
      <c r="O1499" s="7">
        <v>3.125</v>
      </c>
      <c r="P1499" s="2" t="s">
        <v>4963</v>
      </c>
      <c r="Q1499" s="2"/>
      <c r="R1499" s="2"/>
      <c r="S1499" s="5">
        <v>-1.1000000000000001</v>
      </c>
      <c r="T1499" s="7">
        <v>6.0209999999999999</v>
      </c>
      <c r="U1499" s="5">
        <v>5.0999999999999996</v>
      </c>
      <c r="V1499" s="6">
        <v>-0.63</v>
      </c>
      <c r="W1499" s="6">
        <v>2.75</v>
      </c>
      <c r="X1499" s="5">
        <v>2.5</v>
      </c>
      <c r="Y1499" s="6">
        <v>2.75</v>
      </c>
      <c r="Z1499" s="6">
        <v>2.75</v>
      </c>
      <c r="AA1499" s="2"/>
      <c r="AB1499" s="2" t="s">
        <v>47</v>
      </c>
      <c r="AC1499" s="6">
        <v>2.31</v>
      </c>
    </row>
    <row r="1500" spans="1:29" ht="130" x14ac:dyDescent="0.15">
      <c r="A1500" s="3">
        <f t="shared" si="4"/>
        <v>34477</v>
      </c>
      <c r="B1500" s="3">
        <f>DATE(1994,9,1)</f>
        <v>34578</v>
      </c>
      <c r="C1500" s="2" t="s">
        <v>95</v>
      </c>
      <c r="D1500" s="2" t="s">
        <v>4964</v>
      </c>
      <c r="E1500" s="2" t="s">
        <v>4965</v>
      </c>
      <c r="F1500" s="4">
        <v>3577</v>
      </c>
      <c r="G1500" s="2" t="s">
        <v>50</v>
      </c>
      <c r="H1500" s="2" t="s">
        <v>34</v>
      </c>
      <c r="I1500" s="2" t="s">
        <v>4966</v>
      </c>
      <c r="J1500" s="2" t="s">
        <v>4967</v>
      </c>
      <c r="K1500" s="2" t="s">
        <v>223</v>
      </c>
      <c r="L1500" s="2" t="s">
        <v>34</v>
      </c>
      <c r="M1500" s="5">
        <v>191.7</v>
      </c>
      <c r="N1500" s="6">
        <v>5.75</v>
      </c>
      <c r="O1500" s="7">
        <v>5.875</v>
      </c>
      <c r="P1500" s="2" t="s">
        <v>4968</v>
      </c>
      <c r="Q1500" s="6">
        <v>100</v>
      </c>
      <c r="R1500" s="6">
        <v>9.0399999999999991</v>
      </c>
      <c r="S1500" s="5">
        <v>-2.7</v>
      </c>
      <c r="T1500" s="7">
        <v>-0.91500000000000004</v>
      </c>
      <c r="U1500" s="5">
        <v>6.2</v>
      </c>
      <c r="V1500" s="6">
        <v>-0.33</v>
      </c>
      <c r="W1500" s="7">
        <v>6.125</v>
      </c>
      <c r="X1500" s="5">
        <v>6.5</v>
      </c>
      <c r="Y1500" s="4">
        <v>8</v>
      </c>
      <c r="Z1500" s="6">
        <v>7.75</v>
      </c>
      <c r="AA1500" s="6">
        <v>8.9</v>
      </c>
      <c r="AB1500" s="2" t="s">
        <v>86</v>
      </c>
      <c r="AC1500" s="2"/>
    </row>
    <row r="1501" spans="1:29" ht="156" x14ac:dyDescent="0.15">
      <c r="A1501" s="3">
        <f t="shared" si="4"/>
        <v>34477</v>
      </c>
      <c r="B1501" s="3">
        <f>DATE(1994,8,5)</f>
        <v>34551</v>
      </c>
      <c r="C1501" s="2" t="s">
        <v>95</v>
      </c>
      <c r="D1501" s="2" t="s">
        <v>4969</v>
      </c>
      <c r="E1501" s="2" t="s">
        <v>4970</v>
      </c>
      <c r="F1501" s="4">
        <v>4922</v>
      </c>
      <c r="G1501" s="2" t="s">
        <v>439</v>
      </c>
      <c r="H1501" s="2" t="s">
        <v>34</v>
      </c>
      <c r="I1501" s="2" t="s">
        <v>4159</v>
      </c>
      <c r="J1501" s="2" t="s">
        <v>4160</v>
      </c>
      <c r="K1501" s="2" t="s">
        <v>300</v>
      </c>
      <c r="L1501" s="2" t="s">
        <v>34</v>
      </c>
      <c r="M1501" s="12">
        <v>3915.625</v>
      </c>
      <c r="N1501" s="4">
        <v>23</v>
      </c>
      <c r="O1501" s="7">
        <v>22.875</v>
      </c>
      <c r="P1501" s="2" t="s">
        <v>4971</v>
      </c>
      <c r="Q1501" s="6">
        <v>100</v>
      </c>
      <c r="R1501" s="6">
        <v>14.7</v>
      </c>
      <c r="S1501" s="5">
        <v>6.4</v>
      </c>
      <c r="T1501" s="7">
        <v>16.145</v>
      </c>
      <c r="U1501" s="5">
        <v>6.9</v>
      </c>
      <c r="V1501" s="6">
        <v>0.9</v>
      </c>
      <c r="W1501" s="6">
        <v>11.75</v>
      </c>
      <c r="X1501" s="6">
        <v>11.75</v>
      </c>
      <c r="Y1501" s="6">
        <v>14.25</v>
      </c>
      <c r="Z1501" s="5">
        <v>14.5</v>
      </c>
      <c r="AA1501" s="6">
        <v>11.82</v>
      </c>
      <c r="AB1501" s="7">
        <v>17.135999999999999</v>
      </c>
      <c r="AC1501" s="2"/>
    </row>
    <row r="1502" spans="1:29" ht="156" x14ac:dyDescent="0.15">
      <c r="A1502" s="3">
        <f>DATE(1994,5,25)</f>
        <v>34479</v>
      </c>
      <c r="B1502" s="2"/>
      <c r="C1502" s="2" t="s">
        <v>30</v>
      </c>
      <c r="D1502" s="2" t="s">
        <v>2947</v>
      </c>
      <c r="E1502" s="2" t="s">
        <v>2948</v>
      </c>
      <c r="F1502" s="4">
        <v>3842</v>
      </c>
      <c r="G1502" s="2" t="s">
        <v>226</v>
      </c>
      <c r="H1502" s="2" t="s">
        <v>34</v>
      </c>
      <c r="I1502" s="2" t="s">
        <v>4972</v>
      </c>
      <c r="J1502" s="2" t="s">
        <v>4973</v>
      </c>
      <c r="K1502" s="2" t="s">
        <v>226</v>
      </c>
      <c r="L1502" s="2" t="s">
        <v>34</v>
      </c>
      <c r="M1502" s="7">
        <v>29.797000000000001</v>
      </c>
      <c r="N1502" s="6">
        <v>6.75</v>
      </c>
      <c r="O1502" s="5">
        <v>7.5</v>
      </c>
      <c r="P1502" s="2" t="s">
        <v>4974</v>
      </c>
      <c r="Q1502" s="2"/>
      <c r="R1502" s="6">
        <v>9.1</v>
      </c>
      <c r="S1502" s="5">
        <v>1.9</v>
      </c>
      <c r="T1502" s="7">
        <v>7.2629999999999999</v>
      </c>
      <c r="U1502" s="5">
        <v>7.2</v>
      </c>
      <c r="V1502" s="6">
        <v>-0.04</v>
      </c>
      <c r="W1502" s="4">
        <v>6</v>
      </c>
      <c r="X1502" s="4">
        <v>6</v>
      </c>
      <c r="Y1502" s="4">
        <v>6</v>
      </c>
      <c r="Z1502" s="4">
        <v>7</v>
      </c>
      <c r="AA1502" s="6">
        <v>3.44</v>
      </c>
      <c r="AB1502" s="7">
        <v>8.9109999999999996</v>
      </c>
      <c r="AC1502" s="2"/>
    </row>
    <row r="1503" spans="1:29" ht="104" x14ac:dyDescent="0.15">
      <c r="A1503" s="3">
        <f>DATE(1994,5,31)</f>
        <v>34485</v>
      </c>
      <c r="B1503" s="2"/>
      <c r="C1503" s="2" t="s">
        <v>30</v>
      </c>
      <c r="D1503" s="2" t="s">
        <v>4975</v>
      </c>
      <c r="E1503" s="2" t="s">
        <v>4976</v>
      </c>
      <c r="F1503" s="4">
        <v>6211</v>
      </c>
      <c r="G1503" s="2" t="s">
        <v>53</v>
      </c>
      <c r="H1503" s="2" t="s">
        <v>34</v>
      </c>
      <c r="I1503" s="2" t="s">
        <v>51</v>
      </c>
      <c r="J1503" s="2" t="s">
        <v>52</v>
      </c>
      <c r="K1503" s="2" t="s">
        <v>53</v>
      </c>
      <c r="L1503" s="2" t="s">
        <v>34</v>
      </c>
      <c r="M1503" s="2"/>
      <c r="N1503" s="2"/>
      <c r="O1503" s="2"/>
      <c r="P1503" s="2" t="s">
        <v>4977</v>
      </c>
      <c r="Q1503" s="2"/>
      <c r="R1503" s="6">
        <v>3.5</v>
      </c>
      <c r="S1503" s="5">
        <v>0.5</v>
      </c>
      <c r="T1503" s="7">
        <v>0.47499999999999998</v>
      </c>
      <c r="U1503" s="5">
        <v>2.7</v>
      </c>
      <c r="V1503" s="6">
        <v>0.32</v>
      </c>
      <c r="W1503" s="4">
        <v>2</v>
      </c>
      <c r="X1503" s="4">
        <v>2</v>
      </c>
      <c r="Y1503" s="7">
        <v>3.125</v>
      </c>
      <c r="Z1503" s="7">
        <v>2.8130000000000002</v>
      </c>
      <c r="AA1503" s="6">
        <v>1.19</v>
      </c>
      <c r="AB1503" s="7">
        <v>6.0590000000000002</v>
      </c>
      <c r="AC1503" s="2"/>
    </row>
    <row r="1504" spans="1:29" ht="143" x14ac:dyDescent="0.15">
      <c r="A1504" s="3">
        <f>DATE(1994,5,31)</f>
        <v>34485</v>
      </c>
      <c r="B1504" s="3">
        <f>DATE(1994,11,1)</f>
        <v>34639</v>
      </c>
      <c r="C1504" s="2" t="s">
        <v>95</v>
      </c>
      <c r="D1504" s="2" t="s">
        <v>4978</v>
      </c>
      <c r="E1504" s="2" t="s">
        <v>32</v>
      </c>
      <c r="F1504" s="4">
        <v>6035</v>
      </c>
      <c r="G1504" s="2" t="s">
        <v>33</v>
      </c>
      <c r="H1504" s="2" t="s">
        <v>34</v>
      </c>
      <c r="I1504" s="2" t="s">
        <v>2897</v>
      </c>
      <c r="J1504" s="2" t="s">
        <v>2898</v>
      </c>
      <c r="K1504" s="2" t="s">
        <v>37</v>
      </c>
      <c r="L1504" s="2" t="s">
        <v>34</v>
      </c>
      <c r="M1504" s="12">
        <v>7650.0839999999998</v>
      </c>
      <c r="N1504" s="6">
        <v>46.75</v>
      </c>
      <c r="O1504" s="7">
        <v>47.375</v>
      </c>
      <c r="P1504" s="2" t="s">
        <v>4979</v>
      </c>
      <c r="Q1504" s="6">
        <v>100</v>
      </c>
      <c r="R1504" s="6">
        <v>22.66</v>
      </c>
      <c r="S1504" s="5">
        <v>1.5</v>
      </c>
      <c r="T1504" s="7">
        <v>1.7110000000000001</v>
      </c>
      <c r="U1504" s="5">
        <v>12.3</v>
      </c>
      <c r="V1504" s="6">
        <v>1.57</v>
      </c>
      <c r="W1504" s="7">
        <v>10.625</v>
      </c>
      <c r="X1504" s="7">
        <v>12.125</v>
      </c>
      <c r="Y1504" s="6">
        <v>19.75</v>
      </c>
      <c r="Z1504" s="5">
        <v>20.5</v>
      </c>
      <c r="AA1504" s="6">
        <v>1.01</v>
      </c>
      <c r="AB1504" s="7">
        <v>134.28200000000001</v>
      </c>
      <c r="AC1504" s="2"/>
    </row>
    <row r="1505" spans="1:29" ht="169" x14ac:dyDescent="0.15">
      <c r="A1505" s="3">
        <f>DATE(1994,6,1)</f>
        <v>34486</v>
      </c>
      <c r="B1505" s="3">
        <f>DATE(1994,9,1)</f>
        <v>34578</v>
      </c>
      <c r="C1505" s="2" t="s">
        <v>95</v>
      </c>
      <c r="D1505" s="2" t="s">
        <v>4980</v>
      </c>
      <c r="E1505" s="2" t="s">
        <v>4981</v>
      </c>
      <c r="F1505" s="4">
        <v>8734</v>
      </c>
      <c r="G1505" s="2" t="s">
        <v>223</v>
      </c>
      <c r="H1505" s="2" t="s">
        <v>34</v>
      </c>
      <c r="I1505" s="2" t="s">
        <v>3896</v>
      </c>
      <c r="J1505" s="2" t="s">
        <v>3897</v>
      </c>
      <c r="K1505" s="2" t="s">
        <v>163</v>
      </c>
      <c r="L1505" s="2" t="s">
        <v>34</v>
      </c>
      <c r="M1505" s="2"/>
      <c r="N1505" s="7">
        <v>32.375</v>
      </c>
      <c r="O1505" s="7">
        <v>32.625</v>
      </c>
      <c r="P1505" s="2" t="s">
        <v>4982</v>
      </c>
      <c r="Q1505" s="6">
        <v>100</v>
      </c>
      <c r="R1505" s="6">
        <v>13.3</v>
      </c>
      <c r="S1505" s="5">
        <v>-4.4000000000000004</v>
      </c>
      <c r="T1505" s="6">
        <v>43.84</v>
      </c>
      <c r="U1505" s="5">
        <v>5.2</v>
      </c>
      <c r="V1505" s="6">
        <v>-0.28000000000000003</v>
      </c>
      <c r="W1505" s="7">
        <v>4.9379999999999997</v>
      </c>
      <c r="X1505" s="7">
        <v>4.8129999999999997</v>
      </c>
      <c r="Y1505" s="4">
        <v>12</v>
      </c>
      <c r="Z1505" s="7">
        <v>11.875</v>
      </c>
      <c r="AA1505" s="6">
        <v>16.7</v>
      </c>
      <c r="AB1505" s="7">
        <v>14.56</v>
      </c>
      <c r="AC1505" s="5">
        <v>160.80000000000001</v>
      </c>
    </row>
    <row r="1506" spans="1:29" ht="39" x14ac:dyDescent="0.15">
      <c r="A1506" s="3">
        <f>DATE(1994,6,1)</f>
        <v>34486</v>
      </c>
      <c r="B1506" s="2"/>
      <c r="C1506" s="2" t="s">
        <v>87</v>
      </c>
      <c r="D1506" s="2" t="s">
        <v>4983</v>
      </c>
      <c r="E1506" s="2" t="s">
        <v>4984</v>
      </c>
      <c r="F1506" s="4">
        <v>5049</v>
      </c>
      <c r="G1506" s="2" t="s">
        <v>76</v>
      </c>
      <c r="H1506" s="2" t="s">
        <v>34</v>
      </c>
      <c r="I1506" s="2" t="s">
        <v>4985</v>
      </c>
      <c r="J1506" s="2" t="s">
        <v>4986</v>
      </c>
      <c r="K1506" s="2" t="s">
        <v>130</v>
      </c>
      <c r="L1506" s="2" t="s">
        <v>215</v>
      </c>
      <c r="M1506" s="2"/>
      <c r="N1506" s="2"/>
      <c r="O1506" s="2"/>
      <c r="P1506" s="2" t="s">
        <v>4987</v>
      </c>
      <c r="Q1506" s="2"/>
      <c r="R1506" s="2"/>
      <c r="S1506" s="5">
        <v>-138.69999999999999</v>
      </c>
      <c r="T1506" s="5">
        <v>101.9</v>
      </c>
      <c r="U1506" s="5">
        <v>7.9</v>
      </c>
      <c r="V1506" s="6">
        <v>-2.48</v>
      </c>
      <c r="W1506" s="7">
        <v>18.875</v>
      </c>
      <c r="X1506" s="4">
        <v>19</v>
      </c>
      <c r="Y1506" s="6">
        <v>21.75</v>
      </c>
      <c r="Z1506" s="6">
        <v>19.75</v>
      </c>
      <c r="AA1506" s="2"/>
      <c r="AB1506" s="2" t="s">
        <v>47</v>
      </c>
      <c r="AC1506" s="10">
        <v>4857.2299999999996</v>
      </c>
    </row>
    <row r="1507" spans="1:29" ht="130" x14ac:dyDescent="0.15">
      <c r="A1507" s="3">
        <f>DATE(1994,6,2)</f>
        <v>34487</v>
      </c>
      <c r="B1507" s="3">
        <f>DATE(1994,11,23)</f>
        <v>34661</v>
      </c>
      <c r="C1507" s="2" t="s">
        <v>95</v>
      </c>
      <c r="D1507" s="2" t="s">
        <v>4988</v>
      </c>
      <c r="E1507" s="2" t="s">
        <v>4989</v>
      </c>
      <c r="F1507" s="4">
        <v>6531</v>
      </c>
      <c r="G1507" s="2" t="s">
        <v>109</v>
      </c>
      <c r="H1507" s="2" t="s">
        <v>34</v>
      </c>
      <c r="I1507" s="2" t="s">
        <v>51</v>
      </c>
      <c r="J1507" s="2" t="s">
        <v>52</v>
      </c>
      <c r="K1507" s="2" t="s">
        <v>53</v>
      </c>
      <c r="L1507" s="2" t="s">
        <v>34</v>
      </c>
      <c r="M1507" s="2"/>
      <c r="N1507" s="2"/>
      <c r="O1507" s="2"/>
      <c r="P1507" s="2" t="s">
        <v>4990</v>
      </c>
      <c r="Q1507" s="6">
        <v>100</v>
      </c>
      <c r="R1507" s="6">
        <v>16</v>
      </c>
      <c r="S1507" s="5">
        <v>2.6</v>
      </c>
      <c r="T1507" s="7">
        <v>5.4089999999999998</v>
      </c>
      <c r="U1507" s="5">
        <v>4.2</v>
      </c>
      <c r="V1507" s="6">
        <v>0.81</v>
      </c>
      <c r="W1507" s="5">
        <v>12.5</v>
      </c>
      <c r="X1507" s="4">
        <v>12</v>
      </c>
      <c r="Y1507" s="6">
        <v>14.75</v>
      </c>
      <c r="Z1507" s="6">
        <v>14.75</v>
      </c>
      <c r="AA1507" s="6">
        <v>3.15</v>
      </c>
      <c r="AB1507" s="7">
        <v>12.615</v>
      </c>
      <c r="AC1507" s="2"/>
    </row>
    <row r="1508" spans="1:29" ht="169" x14ac:dyDescent="0.15">
      <c r="A1508" s="3">
        <f>DATE(1994,6,2)</f>
        <v>34487</v>
      </c>
      <c r="B1508" s="3">
        <f>DATE(1995,1,31)</f>
        <v>34730</v>
      </c>
      <c r="C1508" s="2" t="s">
        <v>95</v>
      </c>
      <c r="D1508" s="2" t="s">
        <v>4991</v>
      </c>
      <c r="E1508" s="2" t="s">
        <v>4992</v>
      </c>
      <c r="F1508" s="4">
        <v>1629</v>
      </c>
      <c r="G1508" s="2" t="s">
        <v>341</v>
      </c>
      <c r="H1508" s="2" t="s">
        <v>34</v>
      </c>
      <c r="I1508" s="2" t="s">
        <v>4993</v>
      </c>
      <c r="J1508" s="2" t="s">
        <v>4994</v>
      </c>
      <c r="K1508" s="2" t="s">
        <v>341</v>
      </c>
      <c r="L1508" s="2" t="s">
        <v>34</v>
      </c>
      <c r="M1508" s="2"/>
      <c r="N1508" s="2"/>
      <c r="O1508" s="2"/>
      <c r="P1508" s="2" t="s">
        <v>4995</v>
      </c>
      <c r="Q1508" s="6">
        <v>100</v>
      </c>
      <c r="R1508" s="6">
        <v>21.88</v>
      </c>
      <c r="S1508" s="5">
        <v>16.3</v>
      </c>
      <c r="T1508" s="2"/>
      <c r="U1508" s="5">
        <v>14.6</v>
      </c>
      <c r="V1508" s="6">
        <v>1.26</v>
      </c>
      <c r="W1508" s="4">
        <v>19</v>
      </c>
      <c r="X1508" s="7">
        <v>19.125</v>
      </c>
      <c r="Y1508" s="6">
        <v>21.75</v>
      </c>
      <c r="Z1508" s="7">
        <v>20.375</v>
      </c>
      <c r="AA1508" s="6">
        <v>11.29</v>
      </c>
      <c r="AB1508" s="2" t="s">
        <v>47</v>
      </c>
      <c r="AC1508" s="2"/>
    </row>
    <row r="1509" spans="1:29" ht="117" x14ac:dyDescent="0.15">
      <c r="A1509" s="3">
        <f>DATE(1994,6,6)</f>
        <v>34491</v>
      </c>
      <c r="B1509" s="3">
        <f>DATE(1994,12,29)</f>
        <v>34697</v>
      </c>
      <c r="C1509" s="2" t="s">
        <v>95</v>
      </c>
      <c r="D1509" s="2" t="s">
        <v>1203</v>
      </c>
      <c r="E1509" s="2" t="s">
        <v>1204</v>
      </c>
      <c r="F1509" s="4">
        <v>1629</v>
      </c>
      <c r="G1509" s="2" t="s">
        <v>341</v>
      </c>
      <c r="H1509" s="2" t="s">
        <v>34</v>
      </c>
      <c r="I1509" s="2" t="s">
        <v>1311</v>
      </c>
      <c r="J1509" s="2" t="s">
        <v>1312</v>
      </c>
      <c r="K1509" s="2" t="s">
        <v>59</v>
      </c>
      <c r="L1509" s="2" t="s">
        <v>34</v>
      </c>
      <c r="M1509" s="7">
        <v>897.18799999999999</v>
      </c>
      <c r="N1509" s="4">
        <v>22</v>
      </c>
      <c r="O1509" s="4">
        <v>22</v>
      </c>
      <c r="P1509" s="2" t="s">
        <v>4996</v>
      </c>
      <c r="Q1509" s="6">
        <v>15.8</v>
      </c>
      <c r="R1509" s="6">
        <v>18.38</v>
      </c>
      <c r="S1509" s="5">
        <v>46.4</v>
      </c>
      <c r="T1509" s="2"/>
      <c r="U1509" s="5">
        <v>10.6</v>
      </c>
      <c r="V1509" s="6">
        <v>1.22</v>
      </c>
      <c r="W1509" s="7">
        <v>15.625</v>
      </c>
      <c r="X1509" s="7">
        <v>17.375</v>
      </c>
      <c r="Y1509" s="7">
        <v>17.625</v>
      </c>
      <c r="Z1509" s="5">
        <v>17.5</v>
      </c>
      <c r="AA1509" s="6">
        <v>37.97</v>
      </c>
      <c r="AB1509" s="7">
        <v>8.1989999999999998</v>
      </c>
      <c r="AC1509" s="6">
        <v>203.34</v>
      </c>
    </row>
    <row r="1510" spans="1:29" ht="104" x14ac:dyDescent="0.15">
      <c r="A1510" s="3">
        <f>DATE(1994,6,7)</f>
        <v>34492</v>
      </c>
      <c r="B1510" s="2"/>
      <c r="C1510" s="2" t="s">
        <v>87</v>
      </c>
      <c r="D1510" s="2" t="s">
        <v>3827</v>
      </c>
      <c r="E1510" s="2" t="s">
        <v>129</v>
      </c>
      <c r="F1510" s="4">
        <v>2834</v>
      </c>
      <c r="G1510" s="2" t="s">
        <v>130</v>
      </c>
      <c r="H1510" s="2" t="s">
        <v>34</v>
      </c>
      <c r="I1510" s="2" t="s">
        <v>131</v>
      </c>
      <c r="J1510" s="2" t="s">
        <v>132</v>
      </c>
      <c r="K1510" s="2" t="s">
        <v>98</v>
      </c>
      <c r="L1510" s="2" t="s">
        <v>133</v>
      </c>
      <c r="M1510" s="2"/>
      <c r="N1510" s="2"/>
      <c r="O1510" s="2"/>
      <c r="P1510" s="2" t="s">
        <v>4997</v>
      </c>
      <c r="Q1510" s="2"/>
      <c r="R1510" s="2"/>
      <c r="S1510" s="5">
        <v>421.1</v>
      </c>
      <c r="T1510" s="5">
        <v>832</v>
      </c>
      <c r="U1510" s="5">
        <v>10.4</v>
      </c>
      <c r="V1510" s="6">
        <v>2.96</v>
      </c>
      <c r="W1510" s="7">
        <v>33.375</v>
      </c>
      <c r="X1510" s="7">
        <v>35.125</v>
      </c>
      <c r="Y1510" s="7">
        <v>38.625</v>
      </c>
      <c r="Z1510" s="7">
        <v>37.625</v>
      </c>
      <c r="AA1510" s="6">
        <v>135.66</v>
      </c>
      <c r="AB1510" s="2" t="s">
        <v>47</v>
      </c>
      <c r="AC1510" s="10">
        <v>1161.26</v>
      </c>
    </row>
    <row r="1511" spans="1:29" ht="91" x14ac:dyDescent="0.15">
      <c r="A1511" s="3">
        <f>DATE(1994,6,9)</f>
        <v>34494</v>
      </c>
      <c r="B1511" s="3">
        <f>DATE(1994,6,16)</f>
        <v>34501</v>
      </c>
      <c r="C1511" s="2" t="s">
        <v>95</v>
      </c>
      <c r="D1511" s="2" t="s">
        <v>4949</v>
      </c>
      <c r="E1511" s="2" t="s">
        <v>3964</v>
      </c>
      <c r="F1511" s="4">
        <v>5014</v>
      </c>
      <c r="G1511" s="2" t="s">
        <v>76</v>
      </c>
      <c r="H1511" s="2" t="s">
        <v>34</v>
      </c>
      <c r="I1511" s="2" t="s">
        <v>51</v>
      </c>
      <c r="J1511" s="2" t="s">
        <v>52</v>
      </c>
      <c r="K1511" s="2" t="s">
        <v>53</v>
      </c>
      <c r="L1511" s="2" t="s">
        <v>34</v>
      </c>
      <c r="M1511" s="2"/>
      <c r="N1511" s="2"/>
      <c r="O1511" s="2"/>
      <c r="P1511" s="2" t="s">
        <v>4998</v>
      </c>
      <c r="Q1511" s="6">
        <v>46.17</v>
      </c>
      <c r="R1511" s="6">
        <v>1.43</v>
      </c>
      <c r="S1511" s="5">
        <v>0.1</v>
      </c>
      <c r="T1511" s="7">
        <v>0.64800000000000002</v>
      </c>
      <c r="U1511" s="2"/>
      <c r="V1511" s="6">
        <v>0.04</v>
      </c>
      <c r="W1511" s="7">
        <v>1.3440000000000001</v>
      </c>
      <c r="X1511" s="7">
        <v>1.3440000000000001</v>
      </c>
      <c r="Y1511" s="7">
        <v>1.3440000000000001</v>
      </c>
      <c r="Z1511" s="7">
        <v>1.3440000000000001</v>
      </c>
      <c r="AA1511" s="6">
        <v>1.43</v>
      </c>
      <c r="AB1511" s="7">
        <v>20.588999999999999</v>
      </c>
      <c r="AC1511" s="2"/>
    </row>
    <row r="1512" spans="1:29" ht="65" x14ac:dyDescent="0.15">
      <c r="A1512" s="3">
        <f>DATE(1994,6,10)</f>
        <v>34495</v>
      </c>
      <c r="B1512" s="2"/>
      <c r="C1512" s="2" t="s">
        <v>189</v>
      </c>
      <c r="D1512" s="2" t="s">
        <v>4999</v>
      </c>
      <c r="E1512" s="2" t="s">
        <v>5000</v>
      </c>
      <c r="F1512" s="4">
        <v>5632</v>
      </c>
      <c r="G1512" s="2" t="s">
        <v>756</v>
      </c>
      <c r="H1512" s="2" t="s">
        <v>34</v>
      </c>
      <c r="I1512" s="2" t="s">
        <v>143</v>
      </c>
      <c r="J1512" s="2" t="s">
        <v>144</v>
      </c>
      <c r="K1512" s="2" t="s">
        <v>53</v>
      </c>
      <c r="L1512" s="2" t="s">
        <v>139</v>
      </c>
      <c r="M1512" s="2"/>
      <c r="N1512" s="2"/>
      <c r="O1512" s="2"/>
      <c r="P1512" s="2" t="s">
        <v>5001</v>
      </c>
      <c r="Q1512" s="2"/>
      <c r="R1512" s="2"/>
      <c r="S1512" s="2"/>
      <c r="T1512" s="2"/>
      <c r="U1512" s="2"/>
      <c r="V1512" s="2"/>
      <c r="W1512" s="7">
        <v>1.125</v>
      </c>
      <c r="X1512" s="5">
        <v>1.5</v>
      </c>
      <c r="Y1512" s="5">
        <v>1.5</v>
      </c>
      <c r="Z1512" s="5">
        <v>1.5</v>
      </c>
      <c r="AA1512" s="2"/>
      <c r="AB1512" s="2" t="s">
        <v>47</v>
      </c>
      <c r="AC1512" s="2"/>
    </row>
    <row r="1513" spans="1:29" ht="156" x14ac:dyDescent="0.15">
      <c r="A1513" s="3">
        <f>DATE(1994,6,14)</f>
        <v>34499</v>
      </c>
      <c r="B1513" s="3">
        <f>DATE(1994,12,30)</f>
        <v>34698</v>
      </c>
      <c r="C1513" s="2" t="s">
        <v>95</v>
      </c>
      <c r="D1513" s="2" t="s">
        <v>5002</v>
      </c>
      <c r="E1513" s="2" t="s">
        <v>36</v>
      </c>
      <c r="F1513" s="4">
        <v>6022</v>
      </c>
      <c r="G1513" s="2" t="s">
        <v>37</v>
      </c>
      <c r="H1513" s="2" t="s">
        <v>34</v>
      </c>
      <c r="I1513" s="2" t="s">
        <v>2291</v>
      </c>
      <c r="J1513" s="2" t="s">
        <v>36</v>
      </c>
      <c r="K1513" s="2" t="s">
        <v>37</v>
      </c>
      <c r="L1513" s="2" t="s">
        <v>34</v>
      </c>
      <c r="M1513" s="12">
        <v>2213.7489999999998</v>
      </c>
      <c r="N1513" s="6">
        <v>39.75</v>
      </c>
      <c r="O1513" s="7">
        <v>39.375</v>
      </c>
      <c r="P1513" s="2" t="s">
        <v>5003</v>
      </c>
      <c r="Q1513" s="6">
        <v>96.74</v>
      </c>
      <c r="R1513" s="6">
        <v>25.66</v>
      </c>
      <c r="S1513" s="5">
        <v>3.8</v>
      </c>
      <c r="T1513" s="7">
        <v>6.0179999999999998</v>
      </c>
      <c r="U1513" s="5">
        <v>13.6</v>
      </c>
      <c r="V1513" s="6">
        <v>1.17</v>
      </c>
      <c r="W1513" s="6">
        <v>18.75</v>
      </c>
      <c r="X1513" s="5">
        <v>19.5</v>
      </c>
      <c r="Y1513" s="5">
        <v>19.5</v>
      </c>
      <c r="Z1513" s="6">
        <v>21.25</v>
      </c>
      <c r="AA1513" s="6">
        <v>3.24</v>
      </c>
      <c r="AB1513" s="7">
        <v>46.322000000000003</v>
      </c>
      <c r="AC1513" s="2"/>
    </row>
    <row r="1514" spans="1:29" ht="156" x14ac:dyDescent="0.15">
      <c r="A1514" s="3">
        <f>DATE(1994,6,20)</f>
        <v>34505</v>
      </c>
      <c r="B1514" s="3">
        <f>DATE(1995,2,7)</f>
        <v>34737</v>
      </c>
      <c r="C1514" s="2" t="s">
        <v>95</v>
      </c>
      <c r="D1514" s="2" t="s">
        <v>5004</v>
      </c>
      <c r="E1514" s="2" t="s">
        <v>5005</v>
      </c>
      <c r="F1514" s="4">
        <v>1311</v>
      </c>
      <c r="G1514" s="2" t="s">
        <v>148</v>
      </c>
      <c r="H1514" s="2" t="s">
        <v>34</v>
      </c>
      <c r="I1514" s="2" t="s">
        <v>5006</v>
      </c>
      <c r="J1514" s="2" t="s">
        <v>1435</v>
      </c>
      <c r="K1514" s="2" t="s">
        <v>148</v>
      </c>
      <c r="L1514" s="2" t="s">
        <v>34</v>
      </c>
      <c r="M1514" s="7">
        <v>93.712000000000003</v>
      </c>
      <c r="N1514" s="7">
        <v>7.625</v>
      </c>
      <c r="O1514" s="9">
        <v>7.8125</v>
      </c>
      <c r="P1514" s="2" t="s">
        <v>5007</v>
      </c>
      <c r="Q1514" s="6">
        <v>86.5</v>
      </c>
      <c r="R1514" s="6">
        <v>5.64</v>
      </c>
      <c r="S1514" s="5">
        <v>-40.9</v>
      </c>
      <c r="T1514" s="7">
        <v>3.754</v>
      </c>
      <c r="U1514" s="5">
        <v>2.9</v>
      </c>
      <c r="V1514" s="6">
        <v>-1.85</v>
      </c>
      <c r="W1514" s="7">
        <v>8.375</v>
      </c>
      <c r="X1514" s="6">
        <v>8.75</v>
      </c>
      <c r="Y1514" s="5">
        <v>8.5</v>
      </c>
      <c r="Z1514" s="7">
        <v>8.375</v>
      </c>
      <c r="AA1514" s="6">
        <v>20.86</v>
      </c>
      <c r="AB1514" s="2" t="s">
        <v>86</v>
      </c>
      <c r="AC1514" s="2"/>
    </row>
    <row r="1515" spans="1:29" ht="26" x14ac:dyDescent="0.15">
      <c r="A1515" s="3">
        <f>DATE(1994,6,22)</f>
        <v>34507</v>
      </c>
      <c r="B1515" s="2"/>
      <c r="C1515" s="2" t="s">
        <v>87</v>
      </c>
      <c r="D1515" s="2" t="s">
        <v>5008</v>
      </c>
      <c r="E1515" s="2" t="s">
        <v>5009</v>
      </c>
      <c r="F1515" s="4">
        <v>7372</v>
      </c>
      <c r="G1515" s="2" t="s">
        <v>551</v>
      </c>
      <c r="H1515" s="2" t="s">
        <v>34</v>
      </c>
      <c r="I1515" s="2" t="s">
        <v>138</v>
      </c>
      <c r="J1515" s="2" t="s">
        <v>139</v>
      </c>
      <c r="K1515" s="2" t="s">
        <v>53</v>
      </c>
      <c r="L1515" s="2" t="s">
        <v>139</v>
      </c>
      <c r="M1515" s="2"/>
      <c r="N1515" s="2"/>
      <c r="O1515" s="2"/>
      <c r="P1515" s="2" t="s">
        <v>5010</v>
      </c>
      <c r="Q1515" s="2"/>
      <c r="R1515" s="2"/>
      <c r="S1515" s="2"/>
      <c r="T1515" s="2"/>
      <c r="U1515" s="2"/>
      <c r="V1515" s="2"/>
      <c r="W1515" s="7">
        <v>2.875</v>
      </c>
      <c r="X1515" s="7">
        <v>2.875</v>
      </c>
      <c r="Y1515" s="4">
        <v>3</v>
      </c>
      <c r="Z1515" s="4">
        <v>3</v>
      </c>
      <c r="AA1515" s="2"/>
      <c r="AB1515" s="2" t="s">
        <v>47</v>
      </c>
      <c r="AC1515" s="2"/>
    </row>
    <row r="1516" spans="1:29" ht="143" x14ac:dyDescent="0.15">
      <c r="A1516" s="3">
        <f>DATE(1994,6,22)</f>
        <v>34507</v>
      </c>
      <c r="B1516" s="3">
        <f>DATE(1994,11,10)</f>
        <v>34648</v>
      </c>
      <c r="C1516" s="2" t="s">
        <v>95</v>
      </c>
      <c r="D1516" s="2" t="s">
        <v>5011</v>
      </c>
      <c r="E1516" s="2" t="s">
        <v>36</v>
      </c>
      <c r="F1516" s="4">
        <v>6021</v>
      </c>
      <c r="G1516" s="2" t="s">
        <v>37</v>
      </c>
      <c r="H1516" s="2" t="s">
        <v>34</v>
      </c>
      <c r="I1516" s="2" t="s">
        <v>3047</v>
      </c>
      <c r="J1516" s="2" t="s">
        <v>3048</v>
      </c>
      <c r="K1516" s="2" t="s">
        <v>37</v>
      </c>
      <c r="L1516" s="2" t="s">
        <v>34</v>
      </c>
      <c r="M1516" s="12">
        <v>14990.548000000001</v>
      </c>
      <c r="N1516" s="7">
        <v>53.625</v>
      </c>
      <c r="O1516" s="4">
        <v>53</v>
      </c>
      <c r="P1516" s="2" t="s">
        <v>5012</v>
      </c>
      <c r="Q1516" s="6">
        <v>100</v>
      </c>
      <c r="R1516" s="6">
        <v>18.420000000000002</v>
      </c>
      <c r="S1516" s="5">
        <v>2.9</v>
      </c>
      <c r="T1516" s="7">
        <v>3.927</v>
      </c>
      <c r="U1516" s="5">
        <v>6.4</v>
      </c>
      <c r="V1516" s="6">
        <v>1.24</v>
      </c>
      <c r="W1516" s="7">
        <v>12.625</v>
      </c>
      <c r="X1516" s="6">
        <v>14.25</v>
      </c>
      <c r="Y1516" s="5">
        <v>14.5</v>
      </c>
      <c r="Z1516" s="5">
        <v>14.5</v>
      </c>
      <c r="AA1516" s="6">
        <v>2.37</v>
      </c>
      <c r="AB1516" s="7">
        <v>75.486999999999995</v>
      </c>
      <c r="AC1516" s="2"/>
    </row>
    <row r="1517" spans="1:29" ht="156" x14ac:dyDescent="0.15">
      <c r="A1517" s="3">
        <f>DATE(1994,6,23)</f>
        <v>34508</v>
      </c>
      <c r="B1517" s="3">
        <f>DATE(1994,8,29)</f>
        <v>34575</v>
      </c>
      <c r="C1517" s="2" t="s">
        <v>95</v>
      </c>
      <c r="D1517" s="2" t="s">
        <v>5013</v>
      </c>
      <c r="E1517" s="2" t="s">
        <v>5014</v>
      </c>
      <c r="F1517" s="4">
        <v>5045</v>
      </c>
      <c r="G1517" s="2" t="s">
        <v>76</v>
      </c>
      <c r="H1517" s="2" t="s">
        <v>34</v>
      </c>
      <c r="I1517" s="2" t="s">
        <v>5015</v>
      </c>
      <c r="J1517" s="2" t="s">
        <v>5016</v>
      </c>
      <c r="K1517" s="2" t="s">
        <v>76</v>
      </c>
      <c r="L1517" s="2" t="s">
        <v>34</v>
      </c>
      <c r="M1517" s="12">
        <v>1214.7329999999999</v>
      </c>
      <c r="N1517" s="7">
        <v>35.875</v>
      </c>
      <c r="O1517" s="7">
        <v>34.875</v>
      </c>
      <c r="P1517" s="2" t="s">
        <v>5017</v>
      </c>
      <c r="Q1517" s="6">
        <v>100</v>
      </c>
      <c r="R1517" s="6">
        <v>22.5</v>
      </c>
      <c r="S1517" s="5">
        <v>7.6</v>
      </c>
      <c r="T1517" s="2"/>
      <c r="U1517" s="5">
        <v>6.4</v>
      </c>
      <c r="V1517" s="6">
        <v>1.19</v>
      </c>
      <c r="W1517" s="4">
        <v>20</v>
      </c>
      <c r="X1517" s="6">
        <v>19.75</v>
      </c>
      <c r="Y1517" s="4">
        <v>20</v>
      </c>
      <c r="Z1517" s="7">
        <v>21.125</v>
      </c>
      <c r="AA1517" s="6">
        <v>6.3</v>
      </c>
      <c r="AB1517" s="7">
        <v>11.577999999999999</v>
      </c>
      <c r="AC1517" s="6">
        <v>60.73</v>
      </c>
    </row>
    <row r="1518" spans="1:29" ht="156" x14ac:dyDescent="0.15">
      <c r="A1518" s="3">
        <f>DATE(1994,6,23)</f>
        <v>34508</v>
      </c>
      <c r="B1518" s="2"/>
      <c r="C1518" s="2" t="s">
        <v>30</v>
      </c>
      <c r="D1518" s="2" t="s">
        <v>4725</v>
      </c>
      <c r="E1518" s="2" t="s">
        <v>746</v>
      </c>
      <c r="F1518" s="4">
        <v>6311</v>
      </c>
      <c r="G1518" s="2" t="s">
        <v>125</v>
      </c>
      <c r="H1518" s="2" t="s">
        <v>34</v>
      </c>
      <c r="I1518" s="2" t="s">
        <v>4081</v>
      </c>
      <c r="J1518" s="2" t="s">
        <v>4015</v>
      </c>
      <c r="K1518" s="2" t="s">
        <v>125</v>
      </c>
      <c r="L1518" s="2" t="s">
        <v>34</v>
      </c>
      <c r="M1518" s="12">
        <v>1434.413</v>
      </c>
      <c r="N1518" s="4">
        <v>51</v>
      </c>
      <c r="O1518" s="6">
        <v>49.25</v>
      </c>
      <c r="P1518" s="2" t="s">
        <v>5018</v>
      </c>
      <c r="Q1518" s="2"/>
      <c r="R1518" s="6">
        <v>60</v>
      </c>
      <c r="S1518" s="5">
        <v>-89.4</v>
      </c>
      <c r="T1518" s="2"/>
      <c r="U1518" s="5">
        <v>33.5</v>
      </c>
      <c r="V1518" s="6">
        <v>-2.52</v>
      </c>
      <c r="W1518" s="7">
        <v>57.875</v>
      </c>
      <c r="X1518" s="6">
        <v>59.25</v>
      </c>
      <c r="Y1518" s="7">
        <v>62.625</v>
      </c>
      <c r="Z1518" s="7">
        <v>61.375</v>
      </c>
      <c r="AA1518" s="6">
        <v>33.67</v>
      </c>
      <c r="AB1518" s="2" t="s">
        <v>86</v>
      </c>
      <c r="AC1518" s="5">
        <v>666.4</v>
      </c>
    </row>
    <row r="1519" spans="1:29" ht="143" x14ac:dyDescent="0.15">
      <c r="A1519" s="3">
        <f>DATE(1994,6,27)</f>
        <v>34512</v>
      </c>
      <c r="B1519" s="3">
        <f>DATE(1994,11,4)</f>
        <v>34642</v>
      </c>
      <c r="C1519" s="2" t="s">
        <v>95</v>
      </c>
      <c r="D1519" s="2" t="s">
        <v>2947</v>
      </c>
      <c r="E1519" s="2" t="s">
        <v>2948</v>
      </c>
      <c r="F1519" s="4">
        <v>3842</v>
      </c>
      <c r="G1519" s="2" t="s">
        <v>226</v>
      </c>
      <c r="H1519" s="2" t="s">
        <v>34</v>
      </c>
      <c r="I1519" s="2" t="s">
        <v>5019</v>
      </c>
      <c r="J1519" s="2" t="s">
        <v>5020</v>
      </c>
      <c r="K1519" s="2" t="s">
        <v>226</v>
      </c>
      <c r="L1519" s="2" t="s">
        <v>34</v>
      </c>
      <c r="M1519" s="12">
        <v>1124.172</v>
      </c>
      <c r="N1519" s="6">
        <v>10.25</v>
      </c>
      <c r="O1519" s="6">
        <v>10.25</v>
      </c>
      <c r="P1519" s="2" t="s">
        <v>5021</v>
      </c>
      <c r="Q1519" s="6">
        <v>80.099999999999994</v>
      </c>
      <c r="R1519" s="6">
        <v>10.75</v>
      </c>
      <c r="S1519" s="5">
        <v>1.9</v>
      </c>
      <c r="T1519" s="7">
        <v>7.2629999999999999</v>
      </c>
      <c r="U1519" s="5">
        <v>7.2</v>
      </c>
      <c r="V1519" s="6">
        <v>0.53</v>
      </c>
      <c r="W1519" s="4">
        <v>6</v>
      </c>
      <c r="X1519" s="4">
        <v>6</v>
      </c>
      <c r="Y1519" s="4">
        <v>6</v>
      </c>
      <c r="Z1519" s="4">
        <v>7</v>
      </c>
      <c r="AA1519" s="6">
        <v>3.44</v>
      </c>
      <c r="AB1519" s="7">
        <v>10.191000000000001</v>
      </c>
      <c r="AC1519" s="6">
        <v>140.84</v>
      </c>
    </row>
    <row r="1520" spans="1:29" ht="78" x14ac:dyDescent="0.15">
      <c r="A1520" s="3">
        <f>DATE(1994,6,27)</f>
        <v>34512</v>
      </c>
      <c r="B1520" s="3">
        <f>DATE(1994,6,27)</f>
        <v>34512</v>
      </c>
      <c r="C1520" s="2" t="s">
        <v>95</v>
      </c>
      <c r="D1520" s="2" t="s">
        <v>3134</v>
      </c>
      <c r="E1520" s="2" t="s">
        <v>3135</v>
      </c>
      <c r="F1520" s="4">
        <v>2096</v>
      </c>
      <c r="G1520" s="2" t="s">
        <v>577</v>
      </c>
      <c r="H1520" s="2" t="s">
        <v>34</v>
      </c>
      <c r="I1520" s="2" t="s">
        <v>5022</v>
      </c>
      <c r="J1520" s="2" t="s">
        <v>5023</v>
      </c>
      <c r="K1520" s="2" t="s">
        <v>593</v>
      </c>
      <c r="L1520" s="2" t="s">
        <v>34</v>
      </c>
      <c r="M1520" s="2"/>
      <c r="N1520" s="2"/>
      <c r="O1520" s="2"/>
      <c r="P1520" s="2" t="s">
        <v>5024</v>
      </c>
      <c r="Q1520" s="6">
        <v>66.67</v>
      </c>
      <c r="R1520" s="2"/>
      <c r="S1520" s="2"/>
      <c r="T1520" s="2"/>
      <c r="U1520" s="2"/>
      <c r="V1520" s="2"/>
      <c r="W1520" s="7">
        <v>2.125</v>
      </c>
      <c r="X1520" s="7">
        <v>2.125</v>
      </c>
      <c r="Y1520" s="7">
        <v>2.125</v>
      </c>
      <c r="Z1520" s="6">
        <v>2.25</v>
      </c>
      <c r="AA1520" s="6">
        <v>2.1</v>
      </c>
      <c r="AB1520" s="2" t="s">
        <v>47</v>
      </c>
      <c r="AC1520" s="2"/>
    </row>
    <row r="1521" spans="1:29" ht="65" x14ac:dyDescent="0.15">
      <c r="A1521" s="3">
        <f>DATE(1994,6,27)</f>
        <v>34512</v>
      </c>
      <c r="B1521" s="2"/>
      <c r="C1521" s="2" t="s">
        <v>56</v>
      </c>
      <c r="D1521" s="2" t="s">
        <v>3134</v>
      </c>
      <c r="E1521" s="2" t="s">
        <v>3135</v>
      </c>
      <c r="F1521" s="4">
        <v>2096</v>
      </c>
      <c r="G1521" s="2" t="s">
        <v>577</v>
      </c>
      <c r="H1521" s="2" t="s">
        <v>34</v>
      </c>
      <c r="I1521" s="2" t="s">
        <v>5022</v>
      </c>
      <c r="J1521" s="2" t="s">
        <v>5023</v>
      </c>
      <c r="K1521" s="2" t="s">
        <v>593</v>
      </c>
      <c r="L1521" s="2" t="s">
        <v>34</v>
      </c>
      <c r="M1521" s="2"/>
      <c r="N1521" s="2"/>
      <c r="O1521" s="2"/>
      <c r="P1521" s="2" t="s">
        <v>5025</v>
      </c>
      <c r="Q1521" s="2"/>
      <c r="R1521" s="2"/>
      <c r="S1521" s="2"/>
      <c r="T1521" s="2"/>
      <c r="U1521" s="2"/>
      <c r="V1521" s="2"/>
      <c r="W1521" s="7">
        <v>2.125</v>
      </c>
      <c r="X1521" s="7">
        <v>2.125</v>
      </c>
      <c r="Y1521" s="7">
        <v>2.125</v>
      </c>
      <c r="Z1521" s="6">
        <v>2.25</v>
      </c>
      <c r="AA1521" s="6">
        <v>2.1</v>
      </c>
      <c r="AB1521" s="2" t="s">
        <v>47</v>
      </c>
      <c r="AC1521" s="2"/>
    </row>
    <row r="1522" spans="1:29" ht="156" x14ac:dyDescent="0.15">
      <c r="A1522" s="3">
        <f>DATE(1994,6,28)</f>
        <v>34513</v>
      </c>
      <c r="B1522" s="2"/>
      <c r="C1522" s="2" t="s">
        <v>30</v>
      </c>
      <c r="D1522" s="2" t="s">
        <v>5026</v>
      </c>
      <c r="E1522" s="2" t="s">
        <v>441</v>
      </c>
      <c r="F1522" s="4">
        <v>4931</v>
      </c>
      <c r="G1522" s="2" t="s">
        <v>439</v>
      </c>
      <c r="H1522" s="2" t="s">
        <v>34</v>
      </c>
      <c r="I1522" s="2" t="s">
        <v>5027</v>
      </c>
      <c r="J1522" s="2" t="s">
        <v>441</v>
      </c>
      <c r="K1522" s="2" t="s">
        <v>439</v>
      </c>
      <c r="L1522" s="2" t="s">
        <v>34</v>
      </c>
      <c r="M1522" s="7">
        <v>838.68899999999996</v>
      </c>
      <c r="N1522" s="5">
        <v>14.5</v>
      </c>
      <c r="O1522" s="7">
        <v>14.375</v>
      </c>
      <c r="P1522" s="2" t="s">
        <v>5028</v>
      </c>
      <c r="Q1522" s="2"/>
      <c r="R1522" s="6">
        <v>21.42</v>
      </c>
      <c r="S1522" s="5">
        <v>53.2</v>
      </c>
      <c r="T1522" s="6">
        <v>162.65</v>
      </c>
      <c r="U1522" s="5">
        <v>16.899999999999999</v>
      </c>
      <c r="V1522" s="6">
        <v>1.67</v>
      </c>
      <c r="W1522" s="7">
        <v>18.125</v>
      </c>
      <c r="X1522" s="6">
        <v>18.25</v>
      </c>
      <c r="Y1522" s="4">
        <v>19</v>
      </c>
      <c r="Z1522" s="4">
        <v>19</v>
      </c>
      <c r="AA1522" s="6">
        <v>29.21</v>
      </c>
      <c r="AB1522" s="7">
        <v>11.613</v>
      </c>
      <c r="AC1522" s="2"/>
    </row>
    <row r="1523" spans="1:29" ht="52" x14ac:dyDescent="0.15">
      <c r="A1523" s="3">
        <f>DATE(1994,6,29)</f>
        <v>34514</v>
      </c>
      <c r="B1523" s="2"/>
      <c r="C1523" s="2" t="s">
        <v>189</v>
      </c>
      <c r="D1523" s="2" t="s">
        <v>5029</v>
      </c>
      <c r="E1523" s="2" t="s">
        <v>5030</v>
      </c>
      <c r="F1523" s="4">
        <v>2671</v>
      </c>
      <c r="G1523" s="2" t="s">
        <v>282</v>
      </c>
      <c r="H1523" s="2" t="s">
        <v>34</v>
      </c>
      <c r="I1523" s="2" t="s">
        <v>143</v>
      </c>
      <c r="J1523" s="2" t="s">
        <v>144</v>
      </c>
      <c r="K1523" s="2" t="s">
        <v>53</v>
      </c>
      <c r="L1523" s="2" t="s">
        <v>139</v>
      </c>
      <c r="M1523" s="2"/>
      <c r="N1523" s="2"/>
      <c r="O1523" s="2"/>
      <c r="P1523" s="2" t="s">
        <v>5031</v>
      </c>
      <c r="Q1523" s="2"/>
      <c r="R1523" s="2"/>
      <c r="S1523" s="5">
        <v>2.1</v>
      </c>
      <c r="T1523" s="7">
        <v>6.0010000000000003</v>
      </c>
      <c r="U1523" s="5">
        <v>7.1</v>
      </c>
      <c r="V1523" s="6">
        <v>0.59</v>
      </c>
      <c r="W1523" s="6">
        <v>8.75</v>
      </c>
      <c r="X1523" s="4">
        <v>8</v>
      </c>
      <c r="Y1523" s="6">
        <v>9.75</v>
      </c>
      <c r="Z1523" s="4">
        <v>12</v>
      </c>
      <c r="AA1523" s="2"/>
      <c r="AB1523" s="2" t="s">
        <v>47</v>
      </c>
      <c r="AC1523" s="2"/>
    </row>
    <row r="1524" spans="1:29" ht="39" x14ac:dyDescent="0.15">
      <c r="A1524" s="3">
        <f>DATE(1994,6,29)</f>
        <v>34514</v>
      </c>
      <c r="B1524" s="3">
        <f>DATE(1994,11,9)</f>
        <v>34647</v>
      </c>
      <c r="C1524" s="2" t="s">
        <v>95</v>
      </c>
      <c r="D1524" s="2" t="s">
        <v>5032</v>
      </c>
      <c r="E1524" s="2" t="s">
        <v>386</v>
      </c>
      <c r="F1524" s="4">
        <v>6726</v>
      </c>
      <c r="G1524" s="2" t="s">
        <v>53</v>
      </c>
      <c r="H1524" s="2" t="s">
        <v>34</v>
      </c>
      <c r="I1524" s="2" t="s">
        <v>5033</v>
      </c>
      <c r="J1524" s="2" t="s">
        <v>386</v>
      </c>
      <c r="K1524" s="2" t="s">
        <v>53</v>
      </c>
      <c r="L1524" s="2" t="s">
        <v>34</v>
      </c>
      <c r="M1524" s="2"/>
      <c r="N1524" s="4">
        <v>11</v>
      </c>
      <c r="O1524" s="6">
        <v>11.25</v>
      </c>
      <c r="P1524" s="2" t="s">
        <v>5034</v>
      </c>
      <c r="Q1524" s="6">
        <v>100</v>
      </c>
      <c r="R1524" s="2"/>
      <c r="S1524" s="2"/>
      <c r="T1524" s="2"/>
      <c r="U1524" s="2"/>
      <c r="V1524" s="2"/>
      <c r="W1524" s="4">
        <v>11</v>
      </c>
      <c r="X1524" s="7">
        <v>10.875</v>
      </c>
      <c r="Y1524" s="7">
        <v>10.875</v>
      </c>
      <c r="Z1524" s="7">
        <v>10.875</v>
      </c>
      <c r="AA1524" s="2"/>
      <c r="AB1524" s="2" t="s">
        <v>47</v>
      </c>
      <c r="AC1524" s="2"/>
    </row>
    <row r="1525" spans="1:29" ht="39" x14ac:dyDescent="0.15">
      <c r="A1525" s="3">
        <f>DATE(1994,6,29)</f>
        <v>34514</v>
      </c>
      <c r="B1525" s="3">
        <f>DATE(1994,11,8)</f>
        <v>34646</v>
      </c>
      <c r="C1525" s="2" t="s">
        <v>95</v>
      </c>
      <c r="D1525" s="2" t="s">
        <v>5035</v>
      </c>
      <c r="E1525" s="2" t="s">
        <v>386</v>
      </c>
      <c r="F1525" s="4">
        <v>6726</v>
      </c>
      <c r="G1525" s="2" t="s">
        <v>53</v>
      </c>
      <c r="H1525" s="2" t="s">
        <v>34</v>
      </c>
      <c r="I1525" s="2" t="s">
        <v>5036</v>
      </c>
      <c r="J1525" s="2" t="s">
        <v>5037</v>
      </c>
      <c r="K1525" s="2" t="s">
        <v>53</v>
      </c>
      <c r="L1525" s="2" t="s">
        <v>34</v>
      </c>
      <c r="M1525" s="2"/>
      <c r="N1525" s="7">
        <v>14.625</v>
      </c>
      <c r="O1525" s="6">
        <v>14.75</v>
      </c>
      <c r="P1525" s="2" t="s">
        <v>5038</v>
      </c>
      <c r="Q1525" s="6">
        <v>100</v>
      </c>
      <c r="R1525" s="2"/>
      <c r="S1525" s="2"/>
      <c r="T1525" s="2"/>
      <c r="U1525" s="2"/>
      <c r="V1525" s="2"/>
      <c r="W1525" s="7">
        <v>12.625</v>
      </c>
      <c r="X1525" s="7">
        <v>12.375</v>
      </c>
      <c r="Y1525" s="6">
        <v>12.25</v>
      </c>
      <c r="Z1525" s="6">
        <v>12.25</v>
      </c>
      <c r="AA1525" s="2"/>
      <c r="AB1525" s="2" t="s">
        <v>47</v>
      </c>
      <c r="AC1525" s="2"/>
    </row>
    <row r="1526" spans="1:29" ht="156" x14ac:dyDescent="0.15">
      <c r="A1526" s="3">
        <f>DATE(1994,6,29)</f>
        <v>34514</v>
      </c>
      <c r="B1526" s="3">
        <f>DATE(1995,9,22)</f>
        <v>34964</v>
      </c>
      <c r="C1526" s="2" t="s">
        <v>95</v>
      </c>
      <c r="D1526" s="2" t="s">
        <v>5039</v>
      </c>
      <c r="E1526" s="2" t="s">
        <v>783</v>
      </c>
      <c r="F1526" s="4">
        <v>4011</v>
      </c>
      <c r="G1526" s="2" t="s">
        <v>173</v>
      </c>
      <c r="H1526" s="2" t="s">
        <v>34</v>
      </c>
      <c r="I1526" s="2" t="s">
        <v>5040</v>
      </c>
      <c r="J1526" s="2" t="s">
        <v>5041</v>
      </c>
      <c r="K1526" s="2" t="s">
        <v>173</v>
      </c>
      <c r="L1526" s="2" t="s">
        <v>34</v>
      </c>
      <c r="M1526" s="12">
        <v>4951.9380000000001</v>
      </c>
      <c r="N1526" s="5">
        <v>53.5</v>
      </c>
      <c r="O1526" s="7">
        <v>53.375</v>
      </c>
      <c r="P1526" s="2" t="s">
        <v>5042</v>
      </c>
      <c r="Q1526" s="6">
        <v>63.45</v>
      </c>
      <c r="R1526" s="6">
        <v>29.57</v>
      </c>
      <c r="S1526" s="5">
        <v>222.5</v>
      </c>
      <c r="T1526" s="5">
        <v>629.4</v>
      </c>
      <c r="U1526" s="5">
        <v>6.7</v>
      </c>
      <c r="V1526" s="6">
        <v>1.17</v>
      </c>
      <c r="W1526" s="6">
        <v>21.75</v>
      </c>
      <c r="X1526" s="6">
        <v>20.25</v>
      </c>
      <c r="Y1526" s="7">
        <v>20.375</v>
      </c>
      <c r="Z1526" s="7">
        <v>20.625</v>
      </c>
      <c r="AA1526" s="6">
        <v>183.38</v>
      </c>
      <c r="AB1526" s="7">
        <v>15.535</v>
      </c>
      <c r="AC1526" s="5">
        <v>27</v>
      </c>
    </row>
    <row r="1527" spans="1:29" ht="130" x14ac:dyDescent="0.15">
      <c r="A1527" s="3">
        <f>DATE(1994,6,30)</f>
        <v>34515</v>
      </c>
      <c r="B1527" s="3">
        <f>DATE(1995,1,16)</f>
        <v>34715</v>
      </c>
      <c r="C1527" s="2" t="s">
        <v>95</v>
      </c>
      <c r="D1527" s="2" t="s">
        <v>5043</v>
      </c>
      <c r="E1527" s="2" t="s">
        <v>36</v>
      </c>
      <c r="F1527" s="4">
        <v>6022</v>
      </c>
      <c r="G1527" s="2" t="s">
        <v>37</v>
      </c>
      <c r="H1527" s="2" t="s">
        <v>34</v>
      </c>
      <c r="I1527" s="2" t="s">
        <v>5044</v>
      </c>
      <c r="J1527" s="2" t="s">
        <v>36</v>
      </c>
      <c r="K1527" s="2" t="s">
        <v>37</v>
      </c>
      <c r="L1527" s="2" t="s">
        <v>303</v>
      </c>
      <c r="M1527" s="2"/>
      <c r="N1527" s="2"/>
      <c r="O1527" s="2"/>
      <c r="P1527" s="2" t="s">
        <v>5045</v>
      </c>
      <c r="Q1527" s="6">
        <v>100</v>
      </c>
      <c r="R1527" s="6">
        <v>33.5</v>
      </c>
      <c r="S1527" s="5">
        <v>4.3</v>
      </c>
      <c r="T1527" s="2"/>
      <c r="U1527" s="5">
        <v>14</v>
      </c>
      <c r="V1527" s="6">
        <v>0.5</v>
      </c>
      <c r="W1527" s="4">
        <v>27</v>
      </c>
      <c r="X1527" s="4">
        <v>31</v>
      </c>
      <c r="Y1527" s="4">
        <v>31</v>
      </c>
      <c r="Z1527" s="6">
        <v>30.75</v>
      </c>
      <c r="AA1527" s="6">
        <v>8.57</v>
      </c>
      <c r="AB1527" s="2" t="s">
        <v>86</v>
      </c>
      <c r="AC1527" s="2"/>
    </row>
    <row r="1528" spans="1:29" ht="156" x14ac:dyDescent="0.15">
      <c r="A1528" s="3">
        <f>DATE(1994,6,30)</f>
        <v>34515</v>
      </c>
      <c r="B1528" s="2"/>
      <c r="C1528" s="2" t="s">
        <v>30</v>
      </c>
      <c r="D1528" s="2" t="s">
        <v>5046</v>
      </c>
      <c r="E1528" s="2" t="s">
        <v>1893</v>
      </c>
      <c r="F1528" s="4">
        <v>4841</v>
      </c>
      <c r="G1528" s="2" t="s">
        <v>45</v>
      </c>
      <c r="H1528" s="2" t="s">
        <v>34</v>
      </c>
      <c r="I1528" s="2" t="s">
        <v>43</v>
      </c>
      <c r="J1528" s="2" t="s">
        <v>44</v>
      </c>
      <c r="K1528" s="2" t="s">
        <v>45</v>
      </c>
      <c r="L1528" s="2" t="s">
        <v>34</v>
      </c>
      <c r="M1528" s="12">
        <v>4224.9480000000003</v>
      </c>
      <c r="N1528" s="4">
        <v>313</v>
      </c>
      <c r="O1528" s="4">
        <v>307</v>
      </c>
      <c r="P1528" s="2" t="s">
        <v>5047</v>
      </c>
      <c r="Q1528" s="2"/>
      <c r="R1528" s="6">
        <v>29.18</v>
      </c>
      <c r="S1528" s="5">
        <v>45.8</v>
      </c>
      <c r="T1528" s="7">
        <v>195.172</v>
      </c>
      <c r="U1528" s="2"/>
      <c r="V1528" s="6">
        <v>0.99</v>
      </c>
      <c r="W1528" s="6">
        <v>33.25</v>
      </c>
      <c r="X1528" s="6">
        <v>32.75</v>
      </c>
      <c r="Y1528" s="7">
        <v>32.375</v>
      </c>
      <c r="Z1528" s="4">
        <v>38</v>
      </c>
      <c r="AA1528" s="6">
        <v>40.229999999999997</v>
      </c>
      <c r="AB1528" s="7">
        <v>7.6230000000000002</v>
      </c>
      <c r="AC1528" s="5">
        <v>594.1</v>
      </c>
    </row>
    <row r="1529" spans="1:29" ht="39" x14ac:dyDescent="0.15">
      <c r="A1529" s="3">
        <f>DATE(1994,6,30)</f>
        <v>34515</v>
      </c>
      <c r="B1529" s="2"/>
      <c r="C1529" s="2" t="s">
        <v>56</v>
      </c>
      <c r="D1529" s="2" t="s">
        <v>5048</v>
      </c>
      <c r="E1529" s="2" t="s">
        <v>177</v>
      </c>
      <c r="F1529" s="4">
        <v>1311</v>
      </c>
      <c r="G1529" s="2" t="s">
        <v>148</v>
      </c>
      <c r="H1529" s="2" t="s">
        <v>34</v>
      </c>
      <c r="I1529" s="2" t="s">
        <v>5049</v>
      </c>
      <c r="J1529" s="2" t="s">
        <v>612</v>
      </c>
      <c r="K1529" s="2" t="s">
        <v>148</v>
      </c>
      <c r="L1529" s="2" t="s">
        <v>902</v>
      </c>
      <c r="M1529" s="2"/>
      <c r="N1529" s="2"/>
      <c r="O1529" s="2"/>
      <c r="P1529" s="2" t="s">
        <v>5050</v>
      </c>
      <c r="Q1529" s="2"/>
      <c r="R1529" s="2"/>
      <c r="S1529" s="2"/>
      <c r="T1529" s="2"/>
      <c r="U1529" s="2"/>
      <c r="V1529" s="2"/>
      <c r="W1529" s="6">
        <v>3.25</v>
      </c>
      <c r="X1529" s="7">
        <v>3.375</v>
      </c>
      <c r="Y1529" s="7">
        <v>3.016</v>
      </c>
      <c r="Z1529" s="4">
        <v>3</v>
      </c>
      <c r="AA1529" s="6">
        <v>4.1900000000000004</v>
      </c>
      <c r="AB1529" s="2" t="s">
        <v>47</v>
      </c>
      <c r="AC1529" s="2"/>
    </row>
    <row r="1530" spans="1:29" ht="91" x14ac:dyDescent="0.15">
      <c r="A1530" s="3">
        <f>DATE(1994,7,1)</f>
        <v>34516</v>
      </c>
      <c r="B1530" s="3">
        <f>DATE(1995,1,3)</f>
        <v>34702</v>
      </c>
      <c r="C1530" s="2" t="s">
        <v>95</v>
      </c>
      <c r="D1530" s="2" t="s">
        <v>5051</v>
      </c>
      <c r="E1530" s="2" t="s">
        <v>5052</v>
      </c>
      <c r="F1530" s="4">
        <v>3661</v>
      </c>
      <c r="G1530" s="2" t="s">
        <v>921</v>
      </c>
      <c r="H1530" s="2" t="s">
        <v>34</v>
      </c>
      <c r="I1530" s="2" t="s">
        <v>5053</v>
      </c>
      <c r="J1530" s="2" t="s">
        <v>5054</v>
      </c>
      <c r="K1530" s="2" t="s">
        <v>921</v>
      </c>
      <c r="L1530" s="2" t="s">
        <v>4242</v>
      </c>
      <c r="M1530" s="2"/>
      <c r="N1530" s="2"/>
      <c r="O1530" s="2"/>
      <c r="P1530" s="2" t="s">
        <v>5055</v>
      </c>
      <c r="Q1530" s="6">
        <v>100</v>
      </c>
      <c r="R1530" s="6">
        <v>0.96</v>
      </c>
      <c r="S1530" s="5">
        <v>-6.2</v>
      </c>
      <c r="T1530" s="7">
        <v>-1.881</v>
      </c>
      <c r="U1530" s="5">
        <v>0</v>
      </c>
      <c r="V1530" s="6">
        <v>-0.77</v>
      </c>
      <c r="W1530" s="4">
        <v>3</v>
      </c>
      <c r="X1530" s="4">
        <v>3</v>
      </c>
      <c r="Y1530" s="4">
        <v>3</v>
      </c>
      <c r="Z1530" s="4">
        <v>3</v>
      </c>
      <c r="AA1530" s="6">
        <v>8.1199999999999992</v>
      </c>
      <c r="AB1530" s="2" t="s">
        <v>86</v>
      </c>
      <c r="AC1530" s="2"/>
    </row>
    <row r="1531" spans="1:29" ht="156" x14ac:dyDescent="0.15">
      <c r="A1531" s="3">
        <f>DATE(1994,7,1)</f>
        <v>34516</v>
      </c>
      <c r="B1531" s="3">
        <f>DATE(1995,1,30)</f>
        <v>34729</v>
      </c>
      <c r="C1531" s="2" t="s">
        <v>95</v>
      </c>
      <c r="D1531" s="2" t="s">
        <v>5056</v>
      </c>
      <c r="E1531" s="2" t="s">
        <v>1181</v>
      </c>
      <c r="F1531" s="4">
        <v>6021</v>
      </c>
      <c r="G1531" s="2" t="s">
        <v>37</v>
      </c>
      <c r="H1531" s="2" t="s">
        <v>34</v>
      </c>
      <c r="I1531" s="2" t="s">
        <v>655</v>
      </c>
      <c r="J1531" s="2" t="s">
        <v>159</v>
      </c>
      <c r="K1531" s="2" t="s">
        <v>33</v>
      </c>
      <c r="L1531" s="2" t="s">
        <v>34</v>
      </c>
      <c r="M1531" s="7">
        <v>166.50700000000001</v>
      </c>
      <c r="N1531" s="4">
        <v>21</v>
      </c>
      <c r="O1531" s="4">
        <v>21</v>
      </c>
      <c r="P1531" s="2" t="s">
        <v>5057</v>
      </c>
      <c r="Q1531" s="6">
        <v>100</v>
      </c>
      <c r="R1531" s="6">
        <v>32.18</v>
      </c>
      <c r="S1531" s="2"/>
      <c r="T1531" s="7">
        <v>17.766999999999999</v>
      </c>
      <c r="U1531" s="5">
        <v>21.6</v>
      </c>
      <c r="V1531" s="2"/>
      <c r="W1531" s="5">
        <v>34.5</v>
      </c>
      <c r="X1531" s="5">
        <v>35.5</v>
      </c>
      <c r="Y1531" s="6">
        <v>31.25</v>
      </c>
      <c r="Z1531" s="6">
        <v>31.25</v>
      </c>
      <c r="AA1531" s="6">
        <v>3.64</v>
      </c>
      <c r="AB1531" s="7">
        <v>21.501999999999999</v>
      </c>
      <c r="AC1531" s="2"/>
    </row>
    <row r="1532" spans="1:29" ht="39" x14ac:dyDescent="0.15">
      <c r="A1532" s="3">
        <f>DATE(1994,7,1)</f>
        <v>34516</v>
      </c>
      <c r="B1532" s="3">
        <f>DATE(1994,8,17)</f>
        <v>34563</v>
      </c>
      <c r="C1532" s="2" t="s">
        <v>95</v>
      </c>
      <c r="D1532" s="2" t="s">
        <v>685</v>
      </c>
      <c r="E1532" s="2" t="s">
        <v>686</v>
      </c>
      <c r="F1532" s="4">
        <v>3556</v>
      </c>
      <c r="G1532" s="2" t="s">
        <v>300</v>
      </c>
      <c r="H1532" s="2" t="s">
        <v>34</v>
      </c>
      <c r="I1532" s="2" t="s">
        <v>5058</v>
      </c>
      <c r="J1532" s="2" t="s">
        <v>5059</v>
      </c>
      <c r="K1532" s="2" t="s">
        <v>137</v>
      </c>
      <c r="L1532" s="2" t="s">
        <v>34</v>
      </c>
      <c r="M1532" s="7">
        <v>174.36099999999999</v>
      </c>
      <c r="N1532" s="6">
        <v>19.75</v>
      </c>
      <c r="O1532" s="6">
        <v>19.75</v>
      </c>
      <c r="P1532" s="2" t="s">
        <v>5060</v>
      </c>
      <c r="Q1532" s="6">
        <v>100</v>
      </c>
      <c r="R1532" s="6">
        <v>15.6</v>
      </c>
      <c r="S1532" s="5">
        <v>3.7</v>
      </c>
      <c r="T1532" s="7">
        <v>8.0579999999999998</v>
      </c>
      <c r="U1532" s="5">
        <v>8.1</v>
      </c>
      <c r="V1532" s="6">
        <v>1.0900000000000001</v>
      </c>
      <c r="W1532" s="6">
        <v>13.25</v>
      </c>
      <c r="X1532" s="6">
        <v>13.25</v>
      </c>
      <c r="Y1532" s="4">
        <v>13</v>
      </c>
      <c r="Z1532" s="4">
        <v>13</v>
      </c>
      <c r="AA1532" s="6">
        <v>3.37</v>
      </c>
      <c r="AB1532" s="7">
        <v>7.3230000000000004</v>
      </c>
      <c r="AC1532" s="2"/>
    </row>
    <row r="1533" spans="1:29" ht="130" x14ac:dyDescent="0.15">
      <c r="A1533" s="3">
        <f>DATE(1994,7,1)</f>
        <v>34516</v>
      </c>
      <c r="B1533" s="3">
        <f>DATE(1995,1,24)</f>
        <v>34723</v>
      </c>
      <c r="C1533" s="2" t="s">
        <v>95</v>
      </c>
      <c r="D1533" s="2" t="s">
        <v>2652</v>
      </c>
      <c r="E1533" s="2" t="s">
        <v>36</v>
      </c>
      <c r="F1533" s="4">
        <v>6021</v>
      </c>
      <c r="G1533" s="2" t="s">
        <v>37</v>
      </c>
      <c r="H1533" s="2" t="s">
        <v>34</v>
      </c>
      <c r="I1533" s="2" t="s">
        <v>2830</v>
      </c>
      <c r="J1533" s="2" t="s">
        <v>36</v>
      </c>
      <c r="K1533" s="2" t="s">
        <v>37</v>
      </c>
      <c r="L1533" s="2" t="s">
        <v>34</v>
      </c>
      <c r="M1533" s="10">
        <v>4450.16</v>
      </c>
      <c r="N1533" s="6">
        <v>36.25</v>
      </c>
      <c r="O1533" s="6">
        <v>36.25</v>
      </c>
      <c r="P1533" s="2" t="s">
        <v>5061</v>
      </c>
      <c r="Q1533" s="6">
        <v>100</v>
      </c>
      <c r="R1533" s="6">
        <v>24.66</v>
      </c>
      <c r="S1533" s="5">
        <v>65.2</v>
      </c>
      <c r="T1533" s="7">
        <v>99.832999999999998</v>
      </c>
      <c r="U1533" s="5">
        <v>16.2</v>
      </c>
      <c r="V1533" s="6">
        <v>2.0099999999999998</v>
      </c>
      <c r="W1533" s="6">
        <v>15.75</v>
      </c>
      <c r="X1533" s="6">
        <v>15.75</v>
      </c>
      <c r="Y1533" s="6">
        <v>22.25</v>
      </c>
      <c r="Z1533" s="6">
        <v>22.25</v>
      </c>
      <c r="AA1533" s="6">
        <v>31.5</v>
      </c>
      <c r="AB1533" s="7">
        <v>21.247</v>
      </c>
      <c r="AC1533" s="2"/>
    </row>
    <row r="1534" spans="1:29" ht="130" x14ac:dyDescent="0.15">
      <c r="A1534" s="3">
        <f>DATE(1994,7,5)</f>
        <v>34520</v>
      </c>
      <c r="B1534" s="3">
        <f>DATE(1994,10,21)</f>
        <v>34628</v>
      </c>
      <c r="C1534" s="2" t="s">
        <v>95</v>
      </c>
      <c r="D1534" s="2" t="s">
        <v>5062</v>
      </c>
      <c r="E1534" s="2" t="s">
        <v>5063</v>
      </c>
      <c r="F1534" s="4">
        <v>7373</v>
      </c>
      <c r="G1534" s="2" t="s">
        <v>223</v>
      </c>
      <c r="H1534" s="2" t="s">
        <v>34</v>
      </c>
      <c r="I1534" s="2" t="s">
        <v>5064</v>
      </c>
      <c r="J1534" s="2" t="s">
        <v>5065</v>
      </c>
      <c r="K1534" s="2" t="s">
        <v>50</v>
      </c>
      <c r="L1534" s="2" t="s">
        <v>34</v>
      </c>
      <c r="M1534" s="12">
        <v>1560.2439999999999</v>
      </c>
      <c r="N1534" s="7">
        <v>20.062999999999999</v>
      </c>
      <c r="O1534" s="7">
        <v>19.187999999999999</v>
      </c>
      <c r="P1534" s="2" t="s">
        <v>5066</v>
      </c>
      <c r="Q1534" s="6">
        <v>100</v>
      </c>
      <c r="R1534" s="6">
        <v>18.309999999999999</v>
      </c>
      <c r="S1534" s="5">
        <v>75.900000000000006</v>
      </c>
      <c r="T1534" s="7">
        <v>167.66499999999999</v>
      </c>
      <c r="U1534" s="5">
        <v>5.2</v>
      </c>
      <c r="V1534" s="6">
        <v>1.0900000000000001</v>
      </c>
      <c r="W1534" s="6">
        <v>14.25</v>
      </c>
      <c r="X1534" s="6">
        <v>15.75</v>
      </c>
      <c r="Y1534" s="7">
        <v>14.625</v>
      </c>
      <c r="Z1534" s="6">
        <v>14.25</v>
      </c>
      <c r="AA1534" s="6">
        <v>64.150000000000006</v>
      </c>
      <c r="AB1534" s="7">
        <v>7.2169999999999996</v>
      </c>
      <c r="AC1534" s="6">
        <v>147.03</v>
      </c>
    </row>
    <row r="1535" spans="1:29" ht="91" x14ac:dyDescent="0.15">
      <c r="A1535" s="3">
        <f>DATE(1994,7,6)</f>
        <v>34521</v>
      </c>
      <c r="B1535" s="2"/>
      <c r="C1535" s="2" t="s">
        <v>141</v>
      </c>
      <c r="D1535" s="2" t="s">
        <v>5067</v>
      </c>
      <c r="E1535" s="2" t="s">
        <v>302</v>
      </c>
      <c r="F1535" s="4">
        <v>6799</v>
      </c>
      <c r="G1535" s="2" t="s">
        <v>53</v>
      </c>
      <c r="H1535" s="2" t="s">
        <v>34</v>
      </c>
      <c r="I1535" s="2" t="s">
        <v>143</v>
      </c>
      <c r="J1535" s="2" t="s">
        <v>144</v>
      </c>
      <c r="K1535" s="2" t="s">
        <v>53</v>
      </c>
      <c r="L1535" s="2" t="s">
        <v>139</v>
      </c>
      <c r="M1535" s="2"/>
      <c r="N1535" s="2"/>
      <c r="O1535" s="2"/>
      <c r="P1535" s="2" t="s">
        <v>5068</v>
      </c>
      <c r="Q1535" s="2"/>
      <c r="R1535" s="2"/>
      <c r="S1535" s="2"/>
      <c r="T1535" s="2"/>
      <c r="U1535" s="2"/>
      <c r="V1535" s="2"/>
      <c r="W1535" s="5">
        <v>1.5</v>
      </c>
      <c r="X1535" s="5">
        <v>1.5</v>
      </c>
      <c r="Y1535" s="7">
        <v>1.625</v>
      </c>
      <c r="Z1535" s="7">
        <v>1.7190000000000001</v>
      </c>
      <c r="AA1535" s="2"/>
      <c r="AB1535" s="2" t="s">
        <v>47</v>
      </c>
      <c r="AC1535" s="2"/>
    </row>
    <row r="1536" spans="1:29" ht="143" x14ac:dyDescent="0.15">
      <c r="A1536" s="3">
        <f>DATE(1994,7,6)</f>
        <v>34521</v>
      </c>
      <c r="B1536" s="3">
        <f>DATE(1995,1,13)</f>
        <v>34712</v>
      </c>
      <c r="C1536" s="2" t="s">
        <v>95</v>
      </c>
      <c r="D1536" s="2" t="s">
        <v>5069</v>
      </c>
      <c r="E1536" s="2" t="s">
        <v>602</v>
      </c>
      <c r="F1536" s="4">
        <v>6035</v>
      </c>
      <c r="G1536" s="2" t="s">
        <v>33</v>
      </c>
      <c r="H1536" s="2" t="s">
        <v>34</v>
      </c>
      <c r="I1536" s="2" t="s">
        <v>5070</v>
      </c>
      <c r="J1536" s="2" t="s">
        <v>5071</v>
      </c>
      <c r="K1536" s="2" t="s">
        <v>33</v>
      </c>
      <c r="L1536" s="2" t="s">
        <v>34</v>
      </c>
      <c r="M1536" s="7">
        <v>487.99200000000002</v>
      </c>
      <c r="N1536" s="6">
        <v>9.25</v>
      </c>
      <c r="O1536" s="7">
        <v>9.125</v>
      </c>
      <c r="P1536" s="2" t="s">
        <v>5072</v>
      </c>
      <c r="Q1536" s="6">
        <v>100</v>
      </c>
      <c r="R1536" s="6">
        <v>18.809999999999999</v>
      </c>
      <c r="S1536" s="5">
        <v>45.1</v>
      </c>
      <c r="T1536" s="7">
        <v>141.25200000000001</v>
      </c>
      <c r="U1536" s="5">
        <v>17.3</v>
      </c>
      <c r="V1536" s="6">
        <v>2.02</v>
      </c>
      <c r="W1536" s="7">
        <v>15.375</v>
      </c>
      <c r="X1536" s="7">
        <v>15.938000000000001</v>
      </c>
      <c r="Y1536" s="5">
        <v>15.5</v>
      </c>
      <c r="Z1536" s="6">
        <v>15.75</v>
      </c>
      <c r="AA1536" s="6">
        <v>23.59</v>
      </c>
      <c r="AB1536" s="2" t="s">
        <v>86</v>
      </c>
      <c r="AC1536" s="2"/>
    </row>
    <row r="1537" spans="1:29" ht="143" x14ac:dyDescent="0.15">
      <c r="A1537" s="3">
        <f>DATE(1994,7,6)</f>
        <v>34521</v>
      </c>
      <c r="B1537" s="3">
        <f>DATE(1994,11,30)</f>
        <v>34668</v>
      </c>
      <c r="C1537" s="2" t="s">
        <v>95</v>
      </c>
      <c r="D1537" s="2" t="s">
        <v>5073</v>
      </c>
      <c r="E1537" s="2" t="s">
        <v>1085</v>
      </c>
      <c r="F1537" s="4">
        <v>6141</v>
      </c>
      <c r="G1537" s="2" t="s">
        <v>370</v>
      </c>
      <c r="H1537" s="2" t="s">
        <v>34</v>
      </c>
      <c r="I1537" s="2" t="s">
        <v>204</v>
      </c>
      <c r="J1537" s="2" t="s">
        <v>3246</v>
      </c>
      <c r="K1537" s="2" t="s">
        <v>37</v>
      </c>
      <c r="L1537" s="2" t="s">
        <v>34</v>
      </c>
      <c r="M1537" s="7">
        <v>667.18399999999997</v>
      </c>
      <c r="N1537" s="7">
        <v>26.375</v>
      </c>
      <c r="O1537" s="4">
        <v>26</v>
      </c>
      <c r="P1537" s="2" t="s">
        <v>5074</v>
      </c>
      <c r="Q1537" s="6">
        <v>100</v>
      </c>
      <c r="R1537" s="6">
        <v>50.64</v>
      </c>
      <c r="S1537" s="5">
        <v>2</v>
      </c>
      <c r="T1537" s="6">
        <v>3.21</v>
      </c>
      <c r="U1537" s="5">
        <v>20.2</v>
      </c>
      <c r="V1537" s="6">
        <v>2.27</v>
      </c>
      <c r="W1537" s="4">
        <v>45</v>
      </c>
      <c r="X1537" s="4">
        <v>47</v>
      </c>
      <c r="Y1537" s="5">
        <v>47.5</v>
      </c>
      <c r="Z1537" s="6">
        <v>45.25</v>
      </c>
      <c r="AA1537" s="6">
        <v>0.93</v>
      </c>
      <c r="AB1537" s="7">
        <v>44.122</v>
      </c>
      <c r="AC1537" s="2"/>
    </row>
    <row r="1538" spans="1:29" ht="52" x14ac:dyDescent="0.15">
      <c r="A1538" s="3">
        <f>DATE(1994,7,12)</f>
        <v>34527</v>
      </c>
      <c r="B1538" s="3">
        <f>DATE(1994,10,19)</f>
        <v>34626</v>
      </c>
      <c r="C1538" s="2" t="s">
        <v>95</v>
      </c>
      <c r="D1538" s="2" t="s">
        <v>5075</v>
      </c>
      <c r="E1538" s="2" t="s">
        <v>5076</v>
      </c>
      <c r="F1538" s="4">
        <v>3845</v>
      </c>
      <c r="G1538" s="2" t="s">
        <v>226</v>
      </c>
      <c r="H1538" s="2" t="s">
        <v>34</v>
      </c>
      <c r="I1538" s="2" t="s">
        <v>5053</v>
      </c>
      <c r="J1538" s="2" t="s">
        <v>5054</v>
      </c>
      <c r="K1538" s="2" t="s">
        <v>921</v>
      </c>
      <c r="L1538" s="2" t="s">
        <v>4242</v>
      </c>
      <c r="M1538" s="2"/>
      <c r="N1538" s="2"/>
      <c r="O1538" s="2"/>
      <c r="P1538" s="2" t="s">
        <v>5077</v>
      </c>
      <c r="Q1538" s="6">
        <v>100</v>
      </c>
      <c r="R1538" s="6">
        <v>5.51</v>
      </c>
      <c r="S1538" s="5">
        <v>-5</v>
      </c>
      <c r="T1538" s="7">
        <v>5.7859999999999996</v>
      </c>
      <c r="U1538" s="5">
        <v>7</v>
      </c>
      <c r="V1538" s="6">
        <v>-0.4</v>
      </c>
      <c r="W1538" s="4">
        <v>4</v>
      </c>
      <c r="X1538" s="6">
        <v>3.75</v>
      </c>
      <c r="Y1538" s="7">
        <v>5.1559999999999997</v>
      </c>
      <c r="Z1538" s="7">
        <v>5.125</v>
      </c>
      <c r="AA1538" s="6">
        <v>12.69</v>
      </c>
      <c r="AB1538" s="2" t="s">
        <v>86</v>
      </c>
      <c r="AC1538" s="2"/>
    </row>
    <row r="1539" spans="1:29" ht="156" x14ac:dyDescent="0.15">
      <c r="A1539" s="3">
        <f>DATE(1994,7,12)</f>
        <v>34527</v>
      </c>
      <c r="B1539" s="2"/>
      <c r="C1539" s="2" t="s">
        <v>30</v>
      </c>
      <c r="D1539" s="2" t="s">
        <v>5046</v>
      </c>
      <c r="E1539" s="2" t="s">
        <v>1893</v>
      </c>
      <c r="F1539" s="4">
        <v>4841</v>
      </c>
      <c r="G1539" s="2" t="s">
        <v>45</v>
      </c>
      <c r="H1539" s="2" t="s">
        <v>34</v>
      </c>
      <c r="I1539" s="2" t="s">
        <v>3891</v>
      </c>
      <c r="J1539" s="2" t="s">
        <v>3892</v>
      </c>
      <c r="K1539" s="2" t="s">
        <v>45</v>
      </c>
      <c r="L1539" s="2" t="s">
        <v>34</v>
      </c>
      <c r="M1539" s="12">
        <v>4559.9549999999999</v>
      </c>
      <c r="N1539" s="7">
        <v>16.625</v>
      </c>
      <c r="O1539" s="7">
        <v>15.125</v>
      </c>
      <c r="P1539" s="2" t="s">
        <v>5078</v>
      </c>
      <c r="Q1539" s="2"/>
      <c r="R1539" s="6">
        <v>44</v>
      </c>
      <c r="S1539" s="5">
        <v>45.8</v>
      </c>
      <c r="T1539" s="7">
        <v>195.172</v>
      </c>
      <c r="U1539" s="2"/>
      <c r="V1539" s="6">
        <v>0.99</v>
      </c>
      <c r="W1539" s="6">
        <v>33.25</v>
      </c>
      <c r="X1539" s="6">
        <v>32.75</v>
      </c>
      <c r="Y1539" s="7">
        <v>32.375</v>
      </c>
      <c r="Z1539" s="4">
        <v>38</v>
      </c>
      <c r="AA1539" s="6">
        <v>40.229999999999997</v>
      </c>
      <c r="AB1539" s="7">
        <v>12.93</v>
      </c>
      <c r="AC1539" s="6">
        <v>679.82</v>
      </c>
    </row>
    <row r="1540" spans="1:29" ht="156" x14ac:dyDescent="0.15">
      <c r="A1540" s="3">
        <f>DATE(1994,7,13)</f>
        <v>34528</v>
      </c>
      <c r="B1540" s="3">
        <f>DATE(1994,12,30)</f>
        <v>34698</v>
      </c>
      <c r="C1540" s="2" t="s">
        <v>95</v>
      </c>
      <c r="D1540" s="2" t="s">
        <v>5079</v>
      </c>
      <c r="E1540" s="2" t="s">
        <v>5080</v>
      </c>
      <c r="F1540" s="4">
        <v>4813</v>
      </c>
      <c r="G1540" s="2" t="s">
        <v>63</v>
      </c>
      <c r="H1540" s="2" t="s">
        <v>34</v>
      </c>
      <c r="I1540" s="2" t="s">
        <v>2389</v>
      </c>
      <c r="J1540" s="2" t="s">
        <v>375</v>
      </c>
      <c r="K1540" s="2" t="s">
        <v>63</v>
      </c>
      <c r="L1540" s="2" t="s">
        <v>34</v>
      </c>
      <c r="M1540" s="10">
        <v>1992.15</v>
      </c>
      <c r="N1540" s="6">
        <v>18.75</v>
      </c>
      <c r="O1540" s="6">
        <v>18.75</v>
      </c>
      <c r="P1540" s="2" t="s">
        <v>5081</v>
      </c>
      <c r="Q1540" s="6">
        <v>100</v>
      </c>
      <c r="R1540" s="6">
        <v>9.24</v>
      </c>
      <c r="S1540" s="5">
        <v>20.100000000000001</v>
      </c>
      <c r="T1540" s="6">
        <v>68.459999999999994</v>
      </c>
      <c r="U1540" s="5">
        <v>4</v>
      </c>
      <c r="V1540" s="9">
        <v>0.31430000000000002</v>
      </c>
      <c r="W1540" s="4">
        <v>9</v>
      </c>
      <c r="X1540" s="7">
        <v>9.4380000000000006</v>
      </c>
      <c r="Y1540" s="7">
        <v>9.875</v>
      </c>
      <c r="Z1540" s="5">
        <v>10.5</v>
      </c>
      <c r="AA1540" s="6">
        <v>74.12</v>
      </c>
      <c r="AB1540" s="7">
        <v>21.190999999999999</v>
      </c>
      <c r="AC1540" s="6">
        <v>6.17</v>
      </c>
    </row>
    <row r="1541" spans="1:29" ht="169" x14ac:dyDescent="0.15">
      <c r="A1541" s="3">
        <f>DATE(1994,7,13)</f>
        <v>34528</v>
      </c>
      <c r="B1541" s="2"/>
      <c r="C1541" s="2" t="s">
        <v>30</v>
      </c>
      <c r="D1541" s="2" t="s">
        <v>2947</v>
      </c>
      <c r="E1541" s="2" t="s">
        <v>2948</v>
      </c>
      <c r="F1541" s="4">
        <v>3842</v>
      </c>
      <c r="G1541" s="2" t="s">
        <v>226</v>
      </c>
      <c r="H1541" s="2" t="s">
        <v>34</v>
      </c>
      <c r="I1541" s="2" t="s">
        <v>5082</v>
      </c>
      <c r="J1541" s="2" t="s">
        <v>563</v>
      </c>
      <c r="K1541" s="2" t="s">
        <v>226</v>
      </c>
      <c r="L1541" s="2" t="s">
        <v>34</v>
      </c>
      <c r="M1541" s="7">
        <v>125.714</v>
      </c>
      <c r="N1541" s="4">
        <v>15</v>
      </c>
      <c r="O1541" s="4">
        <v>15</v>
      </c>
      <c r="P1541" s="2" t="s">
        <v>5083</v>
      </c>
      <c r="Q1541" s="2"/>
      <c r="R1541" s="6">
        <v>11.5</v>
      </c>
      <c r="S1541" s="5">
        <v>1.9</v>
      </c>
      <c r="T1541" s="7">
        <v>7.2629999999999999</v>
      </c>
      <c r="U1541" s="5">
        <v>7.2</v>
      </c>
      <c r="V1541" s="6">
        <v>0.53</v>
      </c>
      <c r="W1541" s="4">
        <v>6</v>
      </c>
      <c r="X1541" s="4">
        <v>6</v>
      </c>
      <c r="Y1541" s="4">
        <v>6</v>
      </c>
      <c r="Z1541" s="4">
        <v>7</v>
      </c>
      <c r="AA1541" s="6">
        <v>3.44</v>
      </c>
      <c r="AB1541" s="7">
        <v>10.679</v>
      </c>
      <c r="AC1541" s="6">
        <v>2.81</v>
      </c>
    </row>
    <row r="1542" spans="1:29" ht="143" x14ac:dyDescent="0.15">
      <c r="A1542" s="3">
        <f>DATE(1994,7,13)</f>
        <v>34528</v>
      </c>
      <c r="B1542" s="3">
        <f>DATE(1995,1,3)</f>
        <v>34702</v>
      </c>
      <c r="C1542" s="2" t="s">
        <v>95</v>
      </c>
      <c r="D1542" s="2" t="s">
        <v>5084</v>
      </c>
      <c r="E1542" s="2" t="s">
        <v>36</v>
      </c>
      <c r="F1542" s="4">
        <v>6036</v>
      </c>
      <c r="G1542" s="2" t="s">
        <v>33</v>
      </c>
      <c r="H1542" s="2" t="s">
        <v>34</v>
      </c>
      <c r="I1542" s="2" t="s">
        <v>2452</v>
      </c>
      <c r="J1542" s="2" t="s">
        <v>265</v>
      </c>
      <c r="K1542" s="2" t="s">
        <v>37</v>
      </c>
      <c r="L1542" s="2" t="s">
        <v>34</v>
      </c>
      <c r="M1542" s="2"/>
      <c r="N1542" s="7">
        <v>35.375</v>
      </c>
      <c r="O1542" s="7">
        <v>35.875</v>
      </c>
      <c r="P1542" s="2" t="s">
        <v>5085</v>
      </c>
      <c r="Q1542" s="6">
        <v>100</v>
      </c>
      <c r="R1542" s="2"/>
      <c r="S1542" s="5">
        <v>4.5</v>
      </c>
      <c r="T1542" s="7">
        <v>7.7629999999999999</v>
      </c>
      <c r="U1542" s="5">
        <v>21.8</v>
      </c>
      <c r="V1542" s="6">
        <v>2.5499999999999998</v>
      </c>
      <c r="W1542" s="4">
        <v>35</v>
      </c>
      <c r="X1542" s="6">
        <v>33.25</v>
      </c>
      <c r="Y1542" s="6">
        <v>35.75</v>
      </c>
      <c r="Z1542" s="6">
        <v>36.25</v>
      </c>
      <c r="AA1542" s="6">
        <v>1.74</v>
      </c>
      <c r="AB1542" s="7">
        <v>56.152999999999999</v>
      </c>
      <c r="AC1542" s="2"/>
    </row>
    <row r="1543" spans="1:29" ht="143" x14ac:dyDescent="0.15">
      <c r="A1543" s="3">
        <f>DATE(1994,7,14)</f>
        <v>34529</v>
      </c>
      <c r="B1543" s="3">
        <f>DATE(1994,10,19)</f>
        <v>34626</v>
      </c>
      <c r="C1543" s="2" t="s">
        <v>95</v>
      </c>
      <c r="D1543" s="2" t="s">
        <v>5086</v>
      </c>
      <c r="E1543" s="2" t="s">
        <v>5087</v>
      </c>
      <c r="F1543" s="4">
        <v>3842</v>
      </c>
      <c r="G1543" s="2" t="s">
        <v>226</v>
      </c>
      <c r="H1543" s="2" t="s">
        <v>34</v>
      </c>
      <c r="I1543" s="2" t="s">
        <v>5088</v>
      </c>
      <c r="J1543" s="2" t="s">
        <v>5089</v>
      </c>
      <c r="K1543" s="2" t="s">
        <v>300</v>
      </c>
      <c r="L1543" s="2" t="s">
        <v>1791</v>
      </c>
      <c r="M1543" s="2"/>
      <c r="N1543" s="2"/>
      <c r="O1543" s="2"/>
      <c r="P1543" s="2" t="s">
        <v>5090</v>
      </c>
      <c r="Q1543" s="6">
        <v>100</v>
      </c>
      <c r="R1543" s="6">
        <v>61.34</v>
      </c>
      <c r="S1543" s="5">
        <v>59.2</v>
      </c>
      <c r="T1543" s="7">
        <v>159.87799999999999</v>
      </c>
      <c r="U1543" s="5">
        <v>14</v>
      </c>
      <c r="V1543" s="6">
        <v>2.66</v>
      </c>
      <c r="W1543" s="7">
        <v>51.375</v>
      </c>
      <c r="X1543" s="4">
        <v>51</v>
      </c>
      <c r="Y1543" s="4">
        <v>54</v>
      </c>
      <c r="Z1543" s="7">
        <v>53.125</v>
      </c>
      <c r="AA1543" s="6">
        <v>23.4</v>
      </c>
      <c r="AB1543" s="7">
        <v>10.587999999999999</v>
      </c>
      <c r="AC1543" s="6">
        <v>61.92</v>
      </c>
    </row>
    <row r="1544" spans="1:29" ht="91" x14ac:dyDescent="0.15">
      <c r="A1544" s="3">
        <f>DATE(1994,7,14)</f>
        <v>34529</v>
      </c>
      <c r="B1544" s="3">
        <f>DATE(1995,7,28)</f>
        <v>34908</v>
      </c>
      <c r="C1544" s="2" t="s">
        <v>95</v>
      </c>
      <c r="D1544" s="2" t="s">
        <v>5091</v>
      </c>
      <c r="E1544" s="2" t="s">
        <v>1786</v>
      </c>
      <c r="F1544" s="4">
        <v>4812</v>
      </c>
      <c r="G1544" s="2" t="s">
        <v>63</v>
      </c>
      <c r="H1544" s="2" t="s">
        <v>34</v>
      </c>
      <c r="I1544" s="2" t="s">
        <v>5092</v>
      </c>
      <c r="J1544" s="2" t="s">
        <v>2814</v>
      </c>
      <c r="K1544" s="2" t="s">
        <v>63</v>
      </c>
      <c r="L1544" s="2" t="s">
        <v>34</v>
      </c>
      <c r="M1544" s="12">
        <v>3086.6019999999999</v>
      </c>
      <c r="N1544" s="6">
        <v>29.25</v>
      </c>
      <c r="O1544" s="5">
        <v>27.5</v>
      </c>
      <c r="P1544" s="2" t="s">
        <v>5093</v>
      </c>
      <c r="Q1544" s="6">
        <v>100</v>
      </c>
      <c r="R1544" s="2"/>
      <c r="S1544" s="5">
        <v>-30.7</v>
      </c>
      <c r="T1544" s="2"/>
      <c r="U1544" s="5">
        <v>6.2</v>
      </c>
      <c r="V1544" s="6">
        <v>-1.87</v>
      </c>
      <c r="W1544" s="7">
        <v>18.875</v>
      </c>
      <c r="X1544" s="6">
        <v>20.25</v>
      </c>
      <c r="Y1544" s="5">
        <v>28.5</v>
      </c>
      <c r="Z1544" s="5">
        <v>27.5</v>
      </c>
      <c r="AA1544" s="6">
        <v>21</v>
      </c>
      <c r="AB1544" s="2" t="s">
        <v>47</v>
      </c>
      <c r="AC1544" s="6">
        <v>31.85</v>
      </c>
    </row>
    <row r="1545" spans="1:29" ht="52" x14ac:dyDescent="0.15">
      <c r="A1545" s="3">
        <f>DATE(1994,7,15)</f>
        <v>34530</v>
      </c>
      <c r="B1545" s="2"/>
      <c r="C1545" s="2" t="s">
        <v>30</v>
      </c>
      <c r="D1545" s="2" t="s">
        <v>5094</v>
      </c>
      <c r="E1545" s="2" t="s">
        <v>2898</v>
      </c>
      <c r="F1545" s="4">
        <v>6035</v>
      </c>
      <c r="G1545" s="2" t="s">
        <v>33</v>
      </c>
      <c r="H1545" s="2" t="s">
        <v>34</v>
      </c>
      <c r="I1545" s="2" t="s">
        <v>138</v>
      </c>
      <c r="J1545" s="2" t="s">
        <v>139</v>
      </c>
      <c r="K1545" s="2" t="s">
        <v>53</v>
      </c>
      <c r="L1545" s="2" t="s">
        <v>139</v>
      </c>
      <c r="M1545" s="2"/>
      <c r="N1545" s="2"/>
      <c r="O1545" s="2"/>
      <c r="P1545" s="2" t="s">
        <v>5095</v>
      </c>
      <c r="Q1545" s="2"/>
      <c r="R1545" s="2"/>
      <c r="S1545" s="5">
        <v>13.5</v>
      </c>
      <c r="T1545" s="7">
        <v>31.783999999999999</v>
      </c>
      <c r="U1545" s="5">
        <v>20.3</v>
      </c>
      <c r="V1545" s="2"/>
      <c r="W1545" s="6">
        <v>25.25</v>
      </c>
      <c r="X1545" s="6">
        <v>28.25</v>
      </c>
      <c r="Y1545" s="6">
        <v>30.25</v>
      </c>
      <c r="Z1545" s="6">
        <v>30.25</v>
      </c>
      <c r="AA1545" s="2"/>
      <c r="AB1545" s="2" t="s">
        <v>47</v>
      </c>
      <c r="AC1545" s="2"/>
    </row>
    <row r="1546" spans="1:29" ht="156" x14ac:dyDescent="0.15">
      <c r="A1546" s="3">
        <f>DATE(1994,7,18)</f>
        <v>34533</v>
      </c>
      <c r="B1546" s="2"/>
      <c r="C1546" s="2" t="s">
        <v>30</v>
      </c>
      <c r="D1546" s="2" t="s">
        <v>5096</v>
      </c>
      <c r="E1546" s="2" t="s">
        <v>5097</v>
      </c>
      <c r="F1546" s="4">
        <v>3357</v>
      </c>
      <c r="G1546" s="2" t="s">
        <v>163</v>
      </c>
      <c r="H1546" s="2" t="s">
        <v>34</v>
      </c>
      <c r="I1546" s="2" t="s">
        <v>5098</v>
      </c>
      <c r="J1546" s="2" t="s">
        <v>5099</v>
      </c>
      <c r="K1546" s="2" t="s">
        <v>137</v>
      </c>
      <c r="L1546" s="2" t="s">
        <v>34</v>
      </c>
      <c r="M1546" s="7">
        <v>98.363</v>
      </c>
      <c r="N1546" s="7">
        <v>15.375</v>
      </c>
      <c r="O1546" s="4">
        <v>15</v>
      </c>
      <c r="P1546" s="2" t="s">
        <v>5100</v>
      </c>
      <c r="Q1546" s="2"/>
      <c r="R1546" s="6">
        <v>15.25</v>
      </c>
      <c r="S1546" s="5">
        <v>1.7</v>
      </c>
      <c r="T1546" s="6">
        <v>3.72</v>
      </c>
      <c r="U1546" s="5">
        <v>7</v>
      </c>
      <c r="V1546" s="6">
        <v>0.66</v>
      </c>
      <c r="W1546" s="5">
        <v>9.5</v>
      </c>
      <c r="X1546" s="6">
        <v>8.75</v>
      </c>
      <c r="Y1546" s="5">
        <v>9.5</v>
      </c>
      <c r="Z1546" s="5">
        <v>13.5</v>
      </c>
      <c r="AA1546" s="6">
        <v>2.48</v>
      </c>
      <c r="AB1546" s="7">
        <v>15.039</v>
      </c>
      <c r="AC1546" s="6">
        <v>18.36</v>
      </c>
    </row>
    <row r="1547" spans="1:29" ht="39" x14ac:dyDescent="0.15">
      <c r="A1547" s="3">
        <f>DATE(1994,7,19)</f>
        <v>34534</v>
      </c>
      <c r="B1547" s="2"/>
      <c r="C1547" s="2" t="s">
        <v>30</v>
      </c>
      <c r="D1547" s="2" t="s">
        <v>5101</v>
      </c>
      <c r="E1547" s="2" t="s">
        <v>5102</v>
      </c>
      <c r="F1547" s="4">
        <v>7372</v>
      </c>
      <c r="G1547" s="2" t="s">
        <v>551</v>
      </c>
      <c r="H1547" s="2" t="s">
        <v>34</v>
      </c>
      <c r="I1547" s="2" t="s">
        <v>5103</v>
      </c>
      <c r="J1547" s="2" t="s">
        <v>5104</v>
      </c>
      <c r="K1547" s="2" t="s">
        <v>551</v>
      </c>
      <c r="L1547" s="2" t="s">
        <v>34</v>
      </c>
      <c r="M1547" s="2"/>
      <c r="N1547" s="2"/>
      <c r="O1547" s="2"/>
      <c r="P1547" s="2" t="s">
        <v>5105</v>
      </c>
      <c r="Q1547" s="2"/>
      <c r="R1547" s="2"/>
      <c r="S1547" s="5">
        <v>5.6</v>
      </c>
      <c r="T1547" s="7">
        <v>9.6579999999999995</v>
      </c>
      <c r="U1547" s="5">
        <v>5</v>
      </c>
      <c r="V1547" s="6">
        <v>0.44</v>
      </c>
      <c r="W1547" s="7">
        <v>10.125</v>
      </c>
      <c r="X1547" s="7">
        <v>11.688000000000001</v>
      </c>
      <c r="Y1547" s="7">
        <v>13.375</v>
      </c>
      <c r="Z1547" s="7">
        <v>13.188000000000001</v>
      </c>
      <c r="AA1547" s="2"/>
      <c r="AB1547" s="2" t="s">
        <v>47</v>
      </c>
      <c r="AC1547" s="2"/>
    </row>
    <row r="1548" spans="1:29" ht="156" x14ac:dyDescent="0.15">
      <c r="A1548" s="3">
        <f>DATE(1994,7,19)</f>
        <v>34534</v>
      </c>
      <c r="B1548" s="2"/>
      <c r="C1548" s="2" t="s">
        <v>30</v>
      </c>
      <c r="D1548" s="2" t="s">
        <v>782</v>
      </c>
      <c r="E1548" s="2" t="s">
        <v>783</v>
      </c>
      <c r="F1548" s="4">
        <v>4011</v>
      </c>
      <c r="G1548" s="2" t="s">
        <v>173</v>
      </c>
      <c r="H1548" s="2" t="s">
        <v>34</v>
      </c>
      <c r="I1548" s="2" t="s">
        <v>1497</v>
      </c>
      <c r="J1548" s="2" t="s">
        <v>1498</v>
      </c>
      <c r="K1548" s="2" t="s">
        <v>173</v>
      </c>
      <c r="L1548" s="2" t="s">
        <v>34</v>
      </c>
      <c r="M1548" s="12">
        <v>1539.4670000000001</v>
      </c>
      <c r="N1548" s="7">
        <v>32.375</v>
      </c>
      <c r="O1548" s="7">
        <v>30.625</v>
      </c>
      <c r="P1548" s="2" t="s">
        <v>5106</v>
      </c>
      <c r="Q1548" s="2"/>
      <c r="R1548" s="6">
        <v>14.56</v>
      </c>
      <c r="S1548" s="5">
        <v>97</v>
      </c>
      <c r="T1548" s="5">
        <v>309.3</v>
      </c>
      <c r="U1548" s="5">
        <v>7.7</v>
      </c>
      <c r="V1548" s="6">
        <v>1.44</v>
      </c>
      <c r="W1548" s="4">
        <v>39</v>
      </c>
      <c r="X1548" s="6">
        <v>38.75</v>
      </c>
      <c r="Y1548" s="4">
        <v>43</v>
      </c>
      <c r="Z1548" s="5">
        <v>45.5</v>
      </c>
      <c r="AA1548" s="6">
        <v>48.4</v>
      </c>
      <c r="AB1548" s="7">
        <v>8.8510000000000009</v>
      </c>
      <c r="AC1548" s="5">
        <v>10.7</v>
      </c>
    </row>
    <row r="1549" spans="1:29" ht="26" x14ac:dyDescent="0.15">
      <c r="A1549" s="3">
        <f>DATE(1994,7,20)</f>
        <v>34535</v>
      </c>
      <c r="B1549" s="2"/>
      <c r="C1549" s="2" t="s">
        <v>56</v>
      </c>
      <c r="D1549" s="2" t="s">
        <v>5107</v>
      </c>
      <c r="E1549" s="2" t="s">
        <v>5108</v>
      </c>
      <c r="F1549" s="4">
        <v>6159</v>
      </c>
      <c r="G1549" s="2" t="s">
        <v>370</v>
      </c>
      <c r="H1549" s="2" t="s">
        <v>34</v>
      </c>
      <c r="I1549" s="2" t="s">
        <v>5109</v>
      </c>
      <c r="J1549" s="2" t="s">
        <v>5110</v>
      </c>
      <c r="K1549" s="2" t="s">
        <v>116</v>
      </c>
      <c r="L1549" s="2" t="s">
        <v>34</v>
      </c>
      <c r="M1549" s="2"/>
      <c r="N1549" s="7">
        <v>4.125</v>
      </c>
      <c r="O1549" s="7">
        <v>3.875</v>
      </c>
      <c r="P1549" s="2" t="s">
        <v>5111</v>
      </c>
      <c r="Q1549" s="2"/>
      <c r="R1549" s="2"/>
      <c r="S1549" s="2"/>
      <c r="T1549" s="2"/>
      <c r="U1549" s="5">
        <v>1.6</v>
      </c>
      <c r="V1549" s="2"/>
      <c r="W1549" s="7">
        <v>1.625</v>
      </c>
      <c r="X1549" s="7">
        <v>1.375</v>
      </c>
      <c r="Y1549" s="7">
        <v>1.625</v>
      </c>
      <c r="Z1549" s="9">
        <v>1.8125</v>
      </c>
      <c r="AA1549" s="6">
        <v>3.1</v>
      </c>
      <c r="AB1549" s="2" t="s">
        <v>47</v>
      </c>
      <c r="AC1549" s="2"/>
    </row>
    <row r="1550" spans="1:29" ht="91" x14ac:dyDescent="0.15">
      <c r="A1550" s="3">
        <f>DATE(1994,7,21)</f>
        <v>34536</v>
      </c>
      <c r="B1550" s="3">
        <f>DATE(1994,11,11)</f>
        <v>34649</v>
      </c>
      <c r="C1550" s="2" t="s">
        <v>95</v>
      </c>
      <c r="D1550" s="2" t="s">
        <v>5112</v>
      </c>
      <c r="E1550" s="2" t="s">
        <v>3171</v>
      </c>
      <c r="F1550" s="4">
        <v>5812</v>
      </c>
      <c r="G1550" s="2" t="s">
        <v>230</v>
      </c>
      <c r="H1550" s="2" t="s">
        <v>34</v>
      </c>
      <c r="I1550" s="2" t="s">
        <v>5113</v>
      </c>
      <c r="J1550" s="2" t="s">
        <v>5114</v>
      </c>
      <c r="K1550" s="2" t="s">
        <v>230</v>
      </c>
      <c r="L1550" s="2" t="s">
        <v>34</v>
      </c>
      <c r="M1550" s="2"/>
      <c r="N1550" s="2"/>
      <c r="O1550" s="2"/>
      <c r="P1550" s="2" t="s">
        <v>5115</v>
      </c>
      <c r="Q1550" s="6">
        <v>56.35</v>
      </c>
      <c r="R1550" s="6">
        <v>6</v>
      </c>
      <c r="S1550" s="5">
        <v>-0.7</v>
      </c>
      <c r="T1550" s="7">
        <v>-0.505</v>
      </c>
      <c r="U1550" s="5">
        <v>1.8</v>
      </c>
      <c r="V1550" s="6">
        <v>-0.55000000000000004</v>
      </c>
      <c r="W1550" s="7">
        <v>5.375</v>
      </c>
      <c r="X1550" s="7">
        <v>6.375</v>
      </c>
      <c r="Y1550" s="9">
        <v>8.3125</v>
      </c>
      <c r="Z1550" s="4">
        <v>9</v>
      </c>
      <c r="AA1550" s="6">
        <v>3.1</v>
      </c>
      <c r="AB1550" s="2" t="s">
        <v>86</v>
      </c>
      <c r="AC1550" s="2"/>
    </row>
    <row r="1551" spans="1:29" ht="208" x14ac:dyDescent="0.15">
      <c r="A1551" s="3">
        <f>DATE(1994,7,21)</f>
        <v>34536</v>
      </c>
      <c r="B1551" s="3">
        <f>DATE(1995,2,15)</f>
        <v>34745</v>
      </c>
      <c r="C1551" s="2" t="s">
        <v>95</v>
      </c>
      <c r="D1551" s="2" t="s">
        <v>5046</v>
      </c>
      <c r="E1551" s="2" t="s">
        <v>1893</v>
      </c>
      <c r="F1551" s="4">
        <v>4841</v>
      </c>
      <c r="G1551" s="2" t="s">
        <v>45</v>
      </c>
      <c r="H1551" s="2" t="s">
        <v>34</v>
      </c>
      <c r="I1551" s="2" t="s">
        <v>51</v>
      </c>
      <c r="J1551" s="2" t="s">
        <v>52</v>
      </c>
      <c r="K1551" s="2" t="s">
        <v>53</v>
      </c>
      <c r="L1551" s="2" t="s">
        <v>34</v>
      </c>
      <c r="M1551" s="2"/>
      <c r="N1551" s="2"/>
      <c r="O1551" s="2"/>
      <c r="P1551" s="2" t="s">
        <v>5116</v>
      </c>
      <c r="Q1551" s="6">
        <v>66.19</v>
      </c>
      <c r="R1551" s="6">
        <v>46</v>
      </c>
      <c r="S1551" s="5">
        <v>45.8</v>
      </c>
      <c r="T1551" s="7">
        <v>195.172</v>
      </c>
      <c r="U1551" s="2"/>
      <c r="V1551" s="6">
        <v>0.99</v>
      </c>
      <c r="W1551" s="7">
        <v>43.438000000000002</v>
      </c>
      <c r="X1551" s="4">
        <v>46</v>
      </c>
      <c r="Y1551" s="6">
        <v>44.25</v>
      </c>
      <c r="Z1551" s="7">
        <v>44.875</v>
      </c>
      <c r="AA1551" s="6">
        <v>40.229999999999997</v>
      </c>
      <c r="AB1551" s="7">
        <v>12.397</v>
      </c>
      <c r="AC1551" s="2"/>
    </row>
    <row r="1552" spans="1:29" ht="143" x14ac:dyDescent="0.15">
      <c r="A1552" s="3">
        <f>DATE(1994,7,22)</f>
        <v>34537</v>
      </c>
      <c r="B1552" s="3">
        <f>DATE(1994,11,30)</f>
        <v>34668</v>
      </c>
      <c r="C1552" s="2" t="s">
        <v>95</v>
      </c>
      <c r="D1552" s="2" t="s">
        <v>5117</v>
      </c>
      <c r="E1552" s="2" t="s">
        <v>5118</v>
      </c>
      <c r="F1552" s="4">
        <v>7375</v>
      </c>
      <c r="G1552" s="2" t="s">
        <v>223</v>
      </c>
      <c r="H1552" s="2" t="s">
        <v>34</v>
      </c>
      <c r="I1552" s="2" t="s">
        <v>5119</v>
      </c>
      <c r="J1552" s="2" t="s">
        <v>5120</v>
      </c>
      <c r="K1552" s="2" t="s">
        <v>223</v>
      </c>
      <c r="L1552" s="2" t="s">
        <v>34</v>
      </c>
      <c r="M1552" s="7">
        <v>380.71600000000001</v>
      </c>
      <c r="N1552" s="5">
        <v>28.5</v>
      </c>
      <c r="O1552" s="7">
        <v>29.625</v>
      </c>
      <c r="P1552" s="2" t="s">
        <v>5121</v>
      </c>
      <c r="Q1552" s="6">
        <v>100</v>
      </c>
      <c r="R1552" s="6">
        <v>2.36</v>
      </c>
      <c r="S1552" s="5">
        <v>-45.1</v>
      </c>
      <c r="T1552" s="7">
        <v>-34.651000000000003</v>
      </c>
      <c r="U1552" s="5">
        <v>1.3</v>
      </c>
      <c r="V1552" s="6">
        <v>-3.83</v>
      </c>
      <c r="W1552" s="7">
        <v>2.125</v>
      </c>
      <c r="X1552" s="7">
        <v>2.125</v>
      </c>
      <c r="Y1552" s="5">
        <v>2.5</v>
      </c>
      <c r="Z1552" s="5">
        <v>2.5</v>
      </c>
      <c r="AA1552" s="6">
        <v>13.26</v>
      </c>
      <c r="AB1552" s="2" t="s">
        <v>86</v>
      </c>
      <c r="AC1552" s="2"/>
    </row>
    <row r="1553" spans="1:29" ht="91" x14ac:dyDescent="0.15">
      <c r="A1553" s="3">
        <f>DATE(1994,7,22)</f>
        <v>34537</v>
      </c>
      <c r="B1553" s="2"/>
      <c r="C1553" s="2" t="s">
        <v>30</v>
      </c>
      <c r="D1553" s="2" t="s">
        <v>5122</v>
      </c>
      <c r="E1553" s="2" t="s">
        <v>5123</v>
      </c>
      <c r="F1553" s="4">
        <v>6792</v>
      </c>
      <c r="G1553" s="2" t="s">
        <v>53</v>
      </c>
      <c r="H1553" s="2" t="s">
        <v>34</v>
      </c>
      <c r="I1553" s="2" t="s">
        <v>5124</v>
      </c>
      <c r="J1553" s="2" t="s">
        <v>612</v>
      </c>
      <c r="K1553" s="2" t="s">
        <v>148</v>
      </c>
      <c r="L1553" s="2" t="s">
        <v>34</v>
      </c>
      <c r="M1553" s="7">
        <v>65.433000000000007</v>
      </c>
      <c r="N1553" s="7">
        <v>8.875</v>
      </c>
      <c r="O1553" s="6">
        <v>9.25</v>
      </c>
      <c r="P1553" s="2" t="s">
        <v>5125</v>
      </c>
      <c r="Q1553" s="2"/>
      <c r="R1553" s="6">
        <v>13.25</v>
      </c>
      <c r="S1553" s="5">
        <v>1</v>
      </c>
      <c r="T1553" s="6">
        <v>2.5499999999999998</v>
      </c>
      <c r="U1553" s="5">
        <v>10.6</v>
      </c>
      <c r="V1553" s="6">
        <v>0.77</v>
      </c>
      <c r="W1553" s="7">
        <v>9.375</v>
      </c>
      <c r="X1553" s="6">
        <v>9.25</v>
      </c>
      <c r="Y1553" s="6">
        <v>9.75</v>
      </c>
      <c r="Z1553" s="6">
        <v>11.25</v>
      </c>
      <c r="AA1553" s="6">
        <v>1.3</v>
      </c>
      <c r="AB1553" s="7">
        <v>15.778</v>
      </c>
      <c r="AC1553" s="6">
        <v>2.02</v>
      </c>
    </row>
    <row r="1554" spans="1:29" ht="117" x14ac:dyDescent="0.15">
      <c r="A1554" s="3">
        <f>DATE(1994,7,22)</f>
        <v>34537</v>
      </c>
      <c r="B1554" s="3">
        <f>DATE(1994,11,17)</f>
        <v>34655</v>
      </c>
      <c r="C1554" s="2" t="s">
        <v>95</v>
      </c>
      <c r="D1554" s="2" t="s">
        <v>5126</v>
      </c>
      <c r="E1554" s="2" t="s">
        <v>5127</v>
      </c>
      <c r="F1554" s="4">
        <v>3661</v>
      </c>
      <c r="G1554" s="2" t="s">
        <v>921</v>
      </c>
      <c r="H1554" s="2" t="s">
        <v>34</v>
      </c>
      <c r="I1554" s="2" t="s">
        <v>5128</v>
      </c>
      <c r="J1554" s="2" t="s">
        <v>5129</v>
      </c>
      <c r="K1554" s="2" t="s">
        <v>921</v>
      </c>
      <c r="L1554" s="2" t="s">
        <v>34</v>
      </c>
      <c r="M1554" s="5">
        <v>519.20000000000005</v>
      </c>
      <c r="N1554" s="5">
        <v>26.5</v>
      </c>
      <c r="O1554" s="5">
        <v>27.5</v>
      </c>
      <c r="P1554" s="2" t="s">
        <v>5130</v>
      </c>
      <c r="Q1554" s="6">
        <v>100</v>
      </c>
      <c r="R1554" s="6">
        <v>18</v>
      </c>
      <c r="S1554" s="5">
        <v>3.9</v>
      </c>
      <c r="T1554" s="6">
        <v>9.84</v>
      </c>
      <c r="U1554" s="5">
        <v>5.0999999999999996</v>
      </c>
      <c r="V1554" s="6">
        <v>0.8</v>
      </c>
      <c r="W1554" s="5">
        <v>14.5</v>
      </c>
      <c r="X1554" s="4">
        <v>16</v>
      </c>
      <c r="Y1554" s="4">
        <v>16</v>
      </c>
      <c r="Z1554" s="5">
        <v>15.5</v>
      </c>
      <c r="AA1554" s="6">
        <v>4.6500000000000004</v>
      </c>
      <c r="AB1554" s="7">
        <v>12.223000000000001</v>
      </c>
      <c r="AC1554" s="6">
        <v>1.08</v>
      </c>
    </row>
    <row r="1555" spans="1:29" ht="156" x14ac:dyDescent="0.15">
      <c r="A1555" s="3">
        <f>DATE(1994,7,25)</f>
        <v>34540</v>
      </c>
      <c r="B1555" s="3">
        <f>DATE(1995,1,3)</f>
        <v>34702</v>
      </c>
      <c r="C1555" s="2" t="s">
        <v>95</v>
      </c>
      <c r="D1555" s="2" t="s">
        <v>5131</v>
      </c>
      <c r="E1555" s="2" t="s">
        <v>1181</v>
      </c>
      <c r="F1555" s="4">
        <v>6021</v>
      </c>
      <c r="G1555" s="2" t="s">
        <v>37</v>
      </c>
      <c r="H1555" s="2" t="s">
        <v>34</v>
      </c>
      <c r="I1555" s="2" t="s">
        <v>158</v>
      </c>
      <c r="J1555" s="2" t="s">
        <v>159</v>
      </c>
      <c r="K1555" s="2" t="s">
        <v>37</v>
      </c>
      <c r="L1555" s="2" t="s">
        <v>34</v>
      </c>
      <c r="M1555" s="12">
        <v>3941.4029999999998</v>
      </c>
      <c r="N1555" s="7">
        <v>26.625</v>
      </c>
      <c r="O1555" s="5">
        <v>26.5</v>
      </c>
      <c r="P1555" s="2" t="s">
        <v>5132</v>
      </c>
      <c r="Q1555" s="6">
        <v>100</v>
      </c>
      <c r="R1555" s="6">
        <v>28.49</v>
      </c>
      <c r="S1555" s="5">
        <v>2.4</v>
      </c>
      <c r="T1555" s="7">
        <v>4.3259999999999996</v>
      </c>
      <c r="U1555" s="5">
        <v>21.4</v>
      </c>
      <c r="V1555" s="6">
        <v>1.66</v>
      </c>
      <c r="W1555" s="6">
        <v>25.75</v>
      </c>
      <c r="X1555" s="6">
        <v>24.75</v>
      </c>
      <c r="Y1555" s="6">
        <v>25.75</v>
      </c>
      <c r="Z1555" s="6">
        <v>26.75</v>
      </c>
      <c r="AA1555" s="6">
        <v>1.65</v>
      </c>
      <c r="AB1555" s="7">
        <v>42.832999999999998</v>
      </c>
      <c r="AC1555" s="2"/>
    </row>
    <row r="1556" spans="1:29" ht="143" x14ac:dyDescent="0.15">
      <c r="A1556" s="3">
        <f>DATE(1994,7,25)</f>
        <v>34540</v>
      </c>
      <c r="B1556" s="3">
        <f>DATE(1994,12,15)</f>
        <v>34683</v>
      </c>
      <c r="C1556" s="2" t="s">
        <v>95</v>
      </c>
      <c r="D1556" s="2" t="s">
        <v>5133</v>
      </c>
      <c r="E1556" s="2" t="s">
        <v>5134</v>
      </c>
      <c r="F1556" s="4">
        <v>2836</v>
      </c>
      <c r="G1556" s="2" t="s">
        <v>130</v>
      </c>
      <c r="H1556" s="2" t="s">
        <v>34</v>
      </c>
      <c r="I1556" s="2" t="s">
        <v>3054</v>
      </c>
      <c r="J1556" s="2" t="s">
        <v>540</v>
      </c>
      <c r="K1556" s="2" t="s">
        <v>130</v>
      </c>
      <c r="L1556" s="2" t="s">
        <v>34</v>
      </c>
      <c r="M1556" s="7">
        <v>65.614999999999995</v>
      </c>
      <c r="N1556" s="7">
        <v>26.375</v>
      </c>
      <c r="O1556" s="5">
        <v>27.5</v>
      </c>
      <c r="P1556" s="2" t="s">
        <v>5135</v>
      </c>
      <c r="Q1556" s="6">
        <v>100</v>
      </c>
      <c r="R1556" s="2"/>
      <c r="S1556" s="5">
        <v>-8.6</v>
      </c>
      <c r="T1556" s="7">
        <v>-8.8859999999999992</v>
      </c>
      <c r="U1556" s="5">
        <v>2.4</v>
      </c>
      <c r="V1556" s="6">
        <v>-0.99</v>
      </c>
      <c r="W1556" s="5">
        <v>3.5</v>
      </c>
      <c r="X1556" s="4">
        <v>4</v>
      </c>
      <c r="Y1556" s="7">
        <v>4.375</v>
      </c>
      <c r="Z1556" s="4">
        <v>3</v>
      </c>
      <c r="AA1556" s="6">
        <v>8.76</v>
      </c>
      <c r="AB1556" s="2" t="s">
        <v>86</v>
      </c>
      <c r="AC1556" s="6">
        <v>57.54</v>
      </c>
    </row>
    <row r="1557" spans="1:29" ht="156" x14ac:dyDescent="0.15">
      <c r="A1557" s="3">
        <f>DATE(1994,7,25)</f>
        <v>34540</v>
      </c>
      <c r="B1557" s="3">
        <f>DATE(1994,9,21)</f>
        <v>34598</v>
      </c>
      <c r="C1557" s="2" t="s">
        <v>95</v>
      </c>
      <c r="D1557" s="2" t="s">
        <v>2364</v>
      </c>
      <c r="E1557" s="2" t="s">
        <v>2365</v>
      </c>
      <c r="F1557" s="4">
        <v>5499</v>
      </c>
      <c r="G1557" s="2" t="s">
        <v>1461</v>
      </c>
      <c r="H1557" s="2" t="s">
        <v>34</v>
      </c>
      <c r="I1557" s="2" t="s">
        <v>5136</v>
      </c>
      <c r="J1557" s="2" t="s">
        <v>5137</v>
      </c>
      <c r="K1557" s="2" t="s">
        <v>1461</v>
      </c>
      <c r="L1557" s="2" t="s">
        <v>34</v>
      </c>
      <c r="M1557" s="7">
        <v>631.48199999999997</v>
      </c>
      <c r="N1557" s="5">
        <v>18.5</v>
      </c>
      <c r="O1557" s="5">
        <v>18.5</v>
      </c>
      <c r="P1557" s="2" t="s">
        <v>5138</v>
      </c>
      <c r="Q1557" s="6">
        <v>100</v>
      </c>
      <c r="R1557" s="6">
        <v>12</v>
      </c>
      <c r="S1557" s="5">
        <v>2.2999999999999998</v>
      </c>
      <c r="T1557" s="7">
        <v>7.056</v>
      </c>
      <c r="U1557" s="5">
        <v>4.3</v>
      </c>
      <c r="V1557" s="6">
        <v>0.45</v>
      </c>
      <c r="W1557" s="6">
        <v>8.75</v>
      </c>
      <c r="X1557" s="7">
        <v>9.875</v>
      </c>
      <c r="Y1557" s="6">
        <v>11.75</v>
      </c>
      <c r="Z1557" s="7">
        <v>11.781000000000001</v>
      </c>
      <c r="AA1557" s="6">
        <v>5.09</v>
      </c>
      <c r="AB1557" s="7">
        <v>15.308</v>
      </c>
      <c r="AC1557" s="2"/>
    </row>
    <row r="1558" spans="1:29" ht="130" x14ac:dyDescent="0.15">
      <c r="A1558" s="3">
        <f>DATE(1994,7,25)</f>
        <v>34540</v>
      </c>
      <c r="B1558" s="3">
        <f>DATE(1995,4,28)</f>
        <v>34817</v>
      </c>
      <c r="C1558" s="2" t="s">
        <v>95</v>
      </c>
      <c r="D1558" s="2" t="s">
        <v>4654</v>
      </c>
      <c r="E1558" s="2" t="s">
        <v>4655</v>
      </c>
      <c r="F1558" s="4">
        <v>6799</v>
      </c>
      <c r="G1558" s="2" t="s">
        <v>53</v>
      </c>
      <c r="H1558" s="2" t="s">
        <v>34</v>
      </c>
      <c r="I1558" s="2" t="s">
        <v>2324</v>
      </c>
      <c r="J1558" s="2" t="s">
        <v>672</v>
      </c>
      <c r="K1558" s="2" t="s">
        <v>33</v>
      </c>
      <c r="L1558" s="2" t="s">
        <v>34</v>
      </c>
      <c r="M1558" s="12">
        <v>1261.9110000000001</v>
      </c>
      <c r="N1558" s="7">
        <v>20.125</v>
      </c>
      <c r="O1558" s="6">
        <v>20.25</v>
      </c>
      <c r="P1558" s="2" t="s">
        <v>5139</v>
      </c>
      <c r="Q1558" s="6">
        <v>100</v>
      </c>
      <c r="R1558" s="6">
        <v>15.5</v>
      </c>
      <c r="S1558" s="5">
        <v>6</v>
      </c>
      <c r="T1558" s="2"/>
      <c r="U1558" s="5">
        <v>10.5</v>
      </c>
      <c r="V1558" s="6">
        <v>1.74</v>
      </c>
      <c r="W1558" s="7">
        <v>13.375</v>
      </c>
      <c r="X1558" s="5">
        <v>13.5</v>
      </c>
      <c r="Y1558" s="4">
        <v>14</v>
      </c>
      <c r="Z1558" s="7">
        <v>14.125</v>
      </c>
      <c r="AA1558" s="6">
        <v>3.1</v>
      </c>
      <c r="AB1558" s="7">
        <v>35.564</v>
      </c>
      <c r="AC1558" s="2"/>
    </row>
    <row r="1559" spans="1:29" ht="156" x14ac:dyDescent="0.15">
      <c r="A1559" s="3">
        <f>DATE(1994,7,26)</f>
        <v>34541</v>
      </c>
      <c r="B1559" s="3">
        <f>DATE(1995,4,28)</f>
        <v>34817</v>
      </c>
      <c r="C1559" s="2" t="s">
        <v>95</v>
      </c>
      <c r="D1559" s="2" t="s">
        <v>5140</v>
      </c>
      <c r="E1559" s="2" t="s">
        <v>5141</v>
      </c>
      <c r="F1559" s="4">
        <v>6022</v>
      </c>
      <c r="G1559" s="2" t="s">
        <v>37</v>
      </c>
      <c r="H1559" s="2" t="s">
        <v>34</v>
      </c>
      <c r="I1559" s="2" t="s">
        <v>5142</v>
      </c>
      <c r="J1559" s="2" t="s">
        <v>159</v>
      </c>
      <c r="K1559" s="2" t="s">
        <v>33</v>
      </c>
      <c r="L1559" s="2" t="s">
        <v>34</v>
      </c>
      <c r="M1559" s="7">
        <v>66.075999999999993</v>
      </c>
      <c r="N1559" s="7">
        <v>18.625</v>
      </c>
      <c r="O1559" s="7">
        <v>18.375</v>
      </c>
      <c r="P1559" s="2" t="s">
        <v>5143</v>
      </c>
      <c r="Q1559" s="6">
        <v>100</v>
      </c>
      <c r="R1559" s="6">
        <v>14.94</v>
      </c>
      <c r="S1559" s="5">
        <v>1.1000000000000001</v>
      </c>
      <c r="T1559" s="7">
        <v>1.258</v>
      </c>
      <c r="U1559" s="5">
        <v>11.5</v>
      </c>
      <c r="V1559" s="6">
        <v>1.48</v>
      </c>
      <c r="W1559" s="6">
        <v>9.25</v>
      </c>
      <c r="X1559" s="6">
        <v>9.25</v>
      </c>
      <c r="Y1559" s="6">
        <v>9.75</v>
      </c>
      <c r="Z1559" s="5">
        <v>13.5</v>
      </c>
      <c r="AA1559" s="6">
        <v>0.72</v>
      </c>
      <c r="AB1559" s="7">
        <v>63.311</v>
      </c>
      <c r="AC1559" s="2"/>
    </row>
    <row r="1560" spans="1:29" ht="130" x14ac:dyDescent="0.15">
      <c r="A1560" s="3">
        <f>DATE(1994,7,26)</f>
        <v>34541</v>
      </c>
      <c r="B1560" s="2"/>
      <c r="C1560" s="2" t="s">
        <v>87</v>
      </c>
      <c r="D1560" s="2" t="s">
        <v>5144</v>
      </c>
      <c r="E1560" s="2" t="s">
        <v>5145</v>
      </c>
      <c r="F1560" s="4">
        <v>7011</v>
      </c>
      <c r="G1560" s="2" t="s">
        <v>269</v>
      </c>
      <c r="H1560" s="2" t="s">
        <v>34</v>
      </c>
      <c r="I1560" s="2" t="s">
        <v>51</v>
      </c>
      <c r="J1560" s="2" t="s">
        <v>52</v>
      </c>
      <c r="K1560" s="2" t="s">
        <v>53</v>
      </c>
      <c r="L1560" s="2" t="s">
        <v>34</v>
      </c>
      <c r="M1560" s="2"/>
      <c r="N1560" s="2"/>
      <c r="O1560" s="2"/>
      <c r="P1560" s="2" t="s">
        <v>5146</v>
      </c>
      <c r="Q1560" s="2"/>
      <c r="R1560" s="6">
        <v>26.5</v>
      </c>
      <c r="S1560" s="5">
        <v>0.4</v>
      </c>
      <c r="T1560" s="6">
        <v>-0.13</v>
      </c>
      <c r="U1560" s="5">
        <v>6.7</v>
      </c>
      <c r="V1560" s="7">
        <v>0.46500000000000002</v>
      </c>
      <c r="W1560" s="4">
        <v>24</v>
      </c>
      <c r="X1560" s="5">
        <v>24.5</v>
      </c>
      <c r="Y1560" s="4">
        <v>28</v>
      </c>
      <c r="Z1560" s="5">
        <v>29.5</v>
      </c>
      <c r="AA1560" s="6">
        <v>0.46</v>
      </c>
      <c r="AB1560" s="2" t="s">
        <v>86</v>
      </c>
      <c r="AC1560" s="2"/>
    </row>
    <row r="1561" spans="1:29" ht="130" x14ac:dyDescent="0.15">
      <c r="A1561" s="3">
        <f>DATE(1994,7,27)</f>
        <v>34542</v>
      </c>
      <c r="B1561" s="3">
        <f>DATE(1995,7,3)</f>
        <v>34883</v>
      </c>
      <c r="C1561" s="2" t="s">
        <v>95</v>
      </c>
      <c r="D1561" s="2" t="s">
        <v>5147</v>
      </c>
      <c r="E1561" s="2" t="s">
        <v>441</v>
      </c>
      <c r="F1561" s="4">
        <v>4911</v>
      </c>
      <c r="G1561" s="2" t="s">
        <v>439</v>
      </c>
      <c r="H1561" s="2" t="s">
        <v>34</v>
      </c>
      <c r="I1561" s="2" t="s">
        <v>440</v>
      </c>
      <c r="J1561" s="2" t="s">
        <v>441</v>
      </c>
      <c r="K1561" s="2" t="s">
        <v>439</v>
      </c>
      <c r="L1561" s="2" t="s">
        <v>34</v>
      </c>
      <c r="M1561" s="7">
        <v>813.596</v>
      </c>
      <c r="N1561" s="7">
        <v>14.875</v>
      </c>
      <c r="O1561" s="4">
        <v>15</v>
      </c>
      <c r="P1561" s="2" t="s">
        <v>5148</v>
      </c>
      <c r="Q1561" s="6">
        <v>100</v>
      </c>
      <c r="R1561" s="6">
        <v>21.68</v>
      </c>
      <c r="S1561" s="5">
        <v>59.2</v>
      </c>
      <c r="T1561" s="7">
        <v>182.93799999999999</v>
      </c>
      <c r="U1561" s="5">
        <v>17</v>
      </c>
      <c r="V1561" s="6">
        <v>1.85</v>
      </c>
      <c r="W1561" s="6">
        <v>21.75</v>
      </c>
      <c r="X1561" s="7">
        <v>21.625</v>
      </c>
      <c r="Y1561" s="7">
        <v>21.875</v>
      </c>
      <c r="Z1561" s="7">
        <v>21.875</v>
      </c>
      <c r="AA1561" s="6">
        <v>29.63</v>
      </c>
      <c r="AB1561" s="7">
        <v>14.635999999999999</v>
      </c>
      <c r="AC1561" s="2"/>
    </row>
    <row r="1562" spans="1:29" ht="130" x14ac:dyDescent="0.15">
      <c r="A1562" s="3">
        <f>DATE(1994,7,27)</f>
        <v>34542</v>
      </c>
      <c r="B1562" s="3">
        <f>DATE(1995,2,1)</f>
        <v>34731</v>
      </c>
      <c r="C1562" s="2" t="s">
        <v>95</v>
      </c>
      <c r="D1562" s="2" t="s">
        <v>4328</v>
      </c>
      <c r="E1562" s="2" t="s">
        <v>389</v>
      </c>
      <c r="F1562" s="4">
        <v>6035</v>
      </c>
      <c r="G1562" s="2" t="s">
        <v>33</v>
      </c>
      <c r="H1562" s="2" t="s">
        <v>34</v>
      </c>
      <c r="I1562" s="2" t="s">
        <v>2419</v>
      </c>
      <c r="J1562" s="2" t="s">
        <v>36</v>
      </c>
      <c r="K1562" s="2" t="s">
        <v>37</v>
      </c>
      <c r="L1562" s="2" t="s">
        <v>34</v>
      </c>
      <c r="M1562" s="7">
        <v>470.14699999999999</v>
      </c>
      <c r="N1562" s="4">
        <v>34</v>
      </c>
      <c r="O1562" s="6">
        <v>33.75</v>
      </c>
      <c r="P1562" s="2" t="s">
        <v>5149</v>
      </c>
      <c r="Q1562" s="6">
        <v>100</v>
      </c>
      <c r="R1562" s="6">
        <v>36.119999999999997</v>
      </c>
      <c r="S1562" s="5">
        <v>0.9</v>
      </c>
      <c r="T1562" s="7">
        <v>1.6890000000000001</v>
      </c>
      <c r="U1562" s="5">
        <v>18.899999999999999</v>
      </c>
      <c r="V1562" s="6">
        <v>0.88</v>
      </c>
      <c r="W1562" s="4">
        <v>26</v>
      </c>
      <c r="X1562" s="4">
        <v>27</v>
      </c>
      <c r="Y1562" s="4">
        <v>26</v>
      </c>
      <c r="Z1562" s="5">
        <v>30.5</v>
      </c>
      <c r="AA1562" s="6">
        <v>0.56000000000000005</v>
      </c>
      <c r="AB1562" s="7">
        <v>143.982</v>
      </c>
      <c r="AC1562" s="2"/>
    </row>
    <row r="1563" spans="1:29" ht="130" x14ac:dyDescent="0.15">
      <c r="A1563" s="3">
        <f>DATE(1994,7,27)</f>
        <v>34542</v>
      </c>
      <c r="B1563" s="3">
        <f>DATE(1995,1,4)</f>
        <v>34703</v>
      </c>
      <c r="C1563" s="2" t="s">
        <v>95</v>
      </c>
      <c r="D1563" s="2" t="s">
        <v>5150</v>
      </c>
      <c r="E1563" s="2" t="s">
        <v>5151</v>
      </c>
      <c r="F1563" s="4">
        <v>3669</v>
      </c>
      <c r="G1563" s="2" t="s">
        <v>921</v>
      </c>
      <c r="H1563" s="2" t="s">
        <v>34</v>
      </c>
      <c r="I1563" s="2" t="s">
        <v>3237</v>
      </c>
      <c r="J1563" s="2" t="s">
        <v>3238</v>
      </c>
      <c r="K1563" s="2" t="s">
        <v>223</v>
      </c>
      <c r="L1563" s="2" t="s">
        <v>34</v>
      </c>
      <c r="M1563" s="12">
        <v>1968.4169999999999</v>
      </c>
      <c r="N1563" s="5">
        <v>30.5</v>
      </c>
      <c r="O1563" s="7">
        <v>30.375</v>
      </c>
      <c r="P1563" s="2" t="s">
        <v>5152</v>
      </c>
      <c r="Q1563" s="6">
        <v>100</v>
      </c>
      <c r="R1563" s="6">
        <v>17.64</v>
      </c>
      <c r="S1563" s="5">
        <v>3.6</v>
      </c>
      <c r="T1563" s="7">
        <v>11.228</v>
      </c>
      <c r="U1563" s="5">
        <v>11.9</v>
      </c>
      <c r="V1563" s="6">
        <v>0.65</v>
      </c>
      <c r="W1563" s="5">
        <v>16.5</v>
      </c>
      <c r="X1563" s="7">
        <v>15.875</v>
      </c>
      <c r="Y1563" s="5">
        <v>16.5</v>
      </c>
      <c r="Z1563" s="7">
        <v>16.375</v>
      </c>
      <c r="AA1563" s="6">
        <v>5.65</v>
      </c>
      <c r="AB1563" s="7">
        <v>14.996</v>
      </c>
      <c r="AC1563" s="6">
        <v>54.54</v>
      </c>
    </row>
    <row r="1564" spans="1:29" ht="39" x14ac:dyDescent="0.15">
      <c r="A1564" s="3">
        <f>DATE(1994,7,27)</f>
        <v>34542</v>
      </c>
      <c r="B1564" s="2"/>
      <c r="C1564" s="2" t="s">
        <v>189</v>
      </c>
      <c r="D1564" s="2" t="s">
        <v>4584</v>
      </c>
      <c r="E1564" s="2" t="s">
        <v>4585</v>
      </c>
      <c r="F1564" s="4">
        <v>3825</v>
      </c>
      <c r="G1564" s="2" t="s">
        <v>226</v>
      </c>
      <c r="H1564" s="2" t="s">
        <v>34</v>
      </c>
      <c r="I1564" s="2" t="s">
        <v>143</v>
      </c>
      <c r="J1564" s="2" t="s">
        <v>144</v>
      </c>
      <c r="K1564" s="2" t="s">
        <v>53</v>
      </c>
      <c r="L1564" s="2" t="s">
        <v>139</v>
      </c>
      <c r="M1564" s="2"/>
      <c r="N1564" s="2"/>
      <c r="O1564" s="2"/>
      <c r="P1564" s="2" t="s">
        <v>5153</v>
      </c>
      <c r="Q1564" s="2"/>
      <c r="R1564" s="2"/>
      <c r="S1564" s="5">
        <v>-15.4</v>
      </c>
      <c r="T1564" s="7">
        <v>-7.452</v>
      </c>
      <c r="U1564" s="5">
        <v>0.8</v>
      </c>
      <c r="V1564" s="6">
        <v>-3.8</v>
      </c>
      <c r="W1564" s="7">
        <v>3.125</v>
      </c>
      <c r="X1564" s="7">
        <v>2.516</v>
      </c>
      <c r="Y1564" s="6">
        <v>3.75</v>
      </c>
      <c r="Z1564" s="4">
        <v>4</v>
      </c>
      <c r="AA1564" s="2"/>
      <c r="AB1564" s="2" t="s">
        <v>86</v>
      </c>
      <c r="AC1564" s="2"/>
    </row>
    <row r="1565" spans="1:29" ht="104" x14ac:dyDescent="0.15">
      <c r="A1565" s="3">
        <f>DATE(1994,7,28)</f>
        <v>34543</v>
      </c>
      <c r="B1565" s="3">
        <f>DATE(1995,1,24)</f>
        <v>34723</v>
      </c>
      <c r="C1565" s="2" t="s">
        <v>95</v>
      </c>
      <c r="D1565" s="2" t="s">
        <v>1254</v>
      </c>
      <c r="E1565" s="2" t="s">
        <v>5154</v>
      </c>
      <c r="F1565" s="4">
        <v>4953</v>
      </c>
      <c r="G1565" s="2" t="s">
        <v>116</v>
      </c>
      <c r="H1565" s="2" t="s">
        <v>34</v>
      </c>
      <c r="I1565" s="2" t="s">
        <v>5155</v>
      </c>
      <c r="J1565" s="2" t="s">
        <v>5156</v>
      </c>
      <c r="K1565" s="2" t="s">
        <v>116</v>
      </c>
      <c r="L1565" s="2" t="s">
        <v>34</v>
      </c>
      <c r="M1565" s="12">
        <v>12811.504999999999</v>
      </c>
      <c r="N1565" s="7">
        <v>29.125</v>
      </c>
      <c r="O1565" s="4">
        <v>29</v>
      </c>
      <c r="P1565" s="2" t="s">
        <v>5157</v>
      </c>
      <c r="Q1565" s="6">
        <v>21.47</v>
      </c>
      <c r="R1565" s="6">
        <v>8.85</v>
      </c>
      <c r="S1565" s="5">
        <v>-311.7</v>
      </c>
      <c r="T1565" s="6">
        <v>-279.77</v>
      </c>
      <c r="U1565" s="5">
        <v>3.4</v>
      </c>
      <c r="V1565" s="6">
        <v>-1.48</v>
      </c>
      <c r="W1565" s="7">
        <v>8.125</v>
      </c>
      <c r="X1565" s="4">
        <v>8</v>
      </c>
      <c r="Y1565" s="7">
        <v>7.875</v>
      </c>
      <c r="Z1565" s="6">
        <v>8.25</v>
      </c>
      <c r="AA1565" s="6">
        <v>209.1</v>
      </c>
      <c r="AB1565" s="2" t="s">
        <v>86</v>
      </c>
      <c r="AC1565" s="6">
        <v>126.38</v>
      </c>
    </row>
    <row r="1566" spans="1:29" ht="130" x14ac:dyDescent="0.15">
      <c r="A1566" s="3">
        <f>DATE(1994,7,28)</f>
        <v>34543</v>
      </c>
      <c r="B1566" s="2"/>
      <c r="C1566" s="2" t="s">
        <v>30</v>
      </c>
      <c r="D1566" s="2" t="s">
        <v>5158</v>
      </c>
      <c r="E1566" s="2" t="s">
        <v>2241</v>
      </c>
      <c r="F1566" s="4">
        <v>8011</v>
      </c>
      <c r="G1566" s="2" t="s">
        <v>454</v>
      </c>
      <c r="H1566" s="2" t="s">
        <v>34</v>
      </c>
      <c r="I1566" s="2" t="s">
        <v>138</v>
      </c>
      <c r="J1566" s="2" t="s">
        <v>139</v>
      </c>
      <c r="K1566" s="2" t="s">
        <v>53</v>
      </c>
      <c r="L1566" s="2" t="s">
        <v>139</v>
      </c>
      <c r="M1566" s="2"/>
      <c r="N1566" s="2"/>
      <c r="O1566" s="2"/>
      <c r="P1566" s="2" t="s">
        <v>5159</v>
      </c>
      <c r="Q1566" s="2"/>
      <c r="R1566" s="2"/>
      <c r="S1566" s="2"/>
      <c r="T1566" s="2"/>
      <c r="U1566" s="2"/>
      <c r="V1566" s="2"/>
      <c r="W1566" s="4">
        <v>49</v>
      </c>
      <c r="X1566" s="7">
        <v>52.375</v>
      </c>
      <c r="Y1566" s="4">
        <v>53</v>
      </c>
      <c r="Z1566" s="6">
        <v>49.75</v>
      </c>
      <c r="AA1566" s="2"/>
      <c r="AB1566" s="2" t="s">
        <v>47</v>
      </c>
      <c r="AC1566" s="2"/>
    </row>
    <row r="1567" spans="1:29" ht="65" x14ac:dyDescent="0.15">
      <c r="A1567" s="3">
        <f>DATE(1994,7,28)</f>
        <v>34543</v>
      </c>
      <c r="B1567" s="2"/>
      <c r="C1567" s="2" t="s">
        <v>141</v>
      </c>
      <c r="D1567" s="2" t="s">
        <v>5160</v>
      </c>
      <c r="E1567" s="2" t="s">
        <v>5161</v>
      </c>
      <c r="F1567" s="4">
        <v>3841</v>
      </c>
      <c r="G1567" s="2" t="s">
        <v>226</v>
      </c>
      <c r="H1567" s="2" t="s">
        <v>34</v>
      </c>
      <c r="I1567" s="2" t="s">
        <v>143</v>
      </c>
      <c r="J1567" s="2" t="s">
        <v>144</v>
      </c>
      <c r="K1567" s="2" t="s">
        <v>53</v>
      </c>
      <c r="L1567" s="2" t="s">
        <v>139</v>
      </c>
      <c r="M1567" s="2"/>
      <c r="N1567" s="2"/>
      <c r="O1567" s="2"/>
      <c r="P1567" s="2" t="s">
        <v>5162</v>
      </c>
      <c r="Q1567" s="2"/>
      <c r="R1567" s="2"/>
      <c r="S1567" s="2"/>
      <c r="T1567" s="2"/>
      <c r="U1567" s="2"/>
      <c r="V1567" s="2"/>
      <c r="W1567" s="4">
        <v>6</v>
      </c>
      <c r="X1567" s="5">
        <v>6.5</v>
      </c>
      <c r="Y1567" s="6">
        <v>7.75</v>
      </c>
      <c r="Z1567" s="6">
        <v>7.75</v>
      </c>
      <c r="AA1567" s="2"/>
      <c r="AB1567" s="2" t="s">
        <v>47</v>
      </c>
      <c r="AC1567" s="2"/>
    </row>
    <row r="1568" spans="1:29" ht="91" x14ac:dyDescent="0.15">
      <c r="A1568" s="3">
        <f>DATE(1994,7,28)</f>
        <v>34543</v>
      </c>
      <c r="B1568" s="2"/>
      <c r="C1568" s="2" t="s">
        <v>30</v>
      </c>
      <c r="D1568" s="2" t="s">
        <v>5163</v>
      </c>
      <c r="E1568" s="2" t="s">
        <v>5164</v>
      </c>
      <c r="F1568" s="4">
        <v>7372</v>
      </c>
      <c r="G1568" s="2" t="s">
        <v>551</v>
      </c>
      <c r="H1568" s="2" t="s">
        <v>34</v>
      </c>
      <c r="I1568" s="2" t="s">
        <v>5165</v>
      </c>
      <c r="J1568" s="2" t="s">
        <v>5166</v>
      </c>
      <c r="K1568" s="2" t="s">
        <v>226</v>
      </c>
      <c r="L1568" s="2" t="s">
        <v>34</v>
      </c>
      <c r="M1568" s="6">
        <v>953.68</v>
      </c>
      <c r="N1568" s="6">
        <v>32.75</v>
      </c>
      <c r="O1568" s="5">
        <v>34.5</v>
      </c>
      <c r="P1568" s="2" t="s">
        <v>5167</v>
      </c>
      <c r="Q1568" s="2"/>
      <c r="R1568" s="6">
        <v>16.38</v>
      </c>
      <c r="S1568" s="5">
        <v>2.7</v>
      </c>
      <c r="T1568" s="7">
        <v>4.173</v>
      </c>
      <c r="U1568" s="5">
        <v>3.5</v>
      </c>
      <c r="V1568" s="6">
        <v>0.59</v>
      </c>
      <c r="W1568" s="6">
        <v>9.75</v>
      </c>
      <c r="X1568" s="5">
        <v>10.5</v>
      </c>
      <c r="Y1568" s="6">
        <v>10.75</v>
      </c>
      <c r="Z1568" s="6">
        <v>14.75</v>
      </c>
      <c r="AA1568" s="6">
        <v>4.67</v>
      </c>
      <c r="AB1568" s="7">
        <v>22.135999999999999</v>
      </c>
      <c r="AC1568" s="6">
        <v>17.98</v>
      </c>
    </row>
    <row r="1569" spans="1:29" ht="169" x14ac:dyDescent="0.15">
      <c r="A1569" s="3">
        <f>DATE(1994,7,29)</f>
        <v>34544</v>
      </c>
      <c r="B1569" s="3">
        <f>DATE(1995,1,31)</f>
        <v>34730</v>
      </c>
      <c r="C1569" s="2" t="s">
        <v>95</v>
      </c>
      <c r="D1569" s="2" t="s">
        <v>5168</v>
      </c>
      <c r="E1569" s="2" t="s">
        <v>36</v>
      </c>
      <c r="F1569" s="4">
        <v>6022</v>
      </c>
      <c r="G1569" s="2" t="s">
        <v>37</v>
      </c>
      <c r="H1569" s="2" t="s">
        <v>34</v>
      </c>
      <c r="I1569" s="2" t="s">
        <v>1066</v>
      </c>
      <c r="J1569" s="2" t="s">
        <v>1067</v>
      </c>
      <c r="K1569" s="2" t="s">
        <v>37</v>
      </c>
      <c r="L1569" s="2" t="s">
        <v>34</v>
      </c>
      <c r="M1569" s="12">
        <v>2197.241</v>
      </c>
      <c r="N1569" s="7">
        <v>34.625</v>
      </c>
      <c r="O1569" s="7">
        <v>33.375</v>
      </c>
      <c r="P1569" s="2" t="s">
        <v>5169</v>
      </c>
      <c r="Q1569" s="6">
        <v>100</v>
      </c>
      <c r="R1569" s="6">
        <v>26.46</v>
      </c>
      <c r="S1569" s="5">
        <v>13.6</v>
      </c>
      <c r="T1569" s="6">
        <v>26.96</v>
      </c>
      <c r="U1569" s="5">
        <v>14.1</v>
      </c>
      <c r="V1569" s="6">
        <v>1.1499999999999999</v>
      </c>
      <c r="W1569" s="4">
        <v>24</v>
      </c>
      <c r="X1569" s="7">
        <v>24.125</v>
      </c>
      <c r="Y1569" s="7">
        <v>24.125</v>
      </c>
      <c r="Z1569" s="6">
        <v>23.75</v>
      </c>
      <c r="AA1569" s="6">
        <v>9.9700000000000006</v>
      </c>
      <c r="AB1569" s="7">
        <v>20.094000000000001</v>
      </c>
      <c r="AC1569" s="2"/>
    </row>
    <row r="1570" spans="1:29" ht="143" x14ac:dyDescent="0.15">
      <c r="A1570" s="3">
        <f>DATE(1994,7,29)</f>
        <v>34544</v>
      </c>
      <c r="B1570" s="2"/>
      <c r="C1570" s="2" t="s">
        <v>30</v>
      </c>
      <c r="D1570" s="2" t="s">
        <v>5170</v>
      </c>
      <c r="E1570" s="2" t="s">
        <v>5171</v>
      </c>
      <c r="F1570" s="4">
        <v>5311</v>
      </c>
      <c r="G1570" s="2" t="s">
        <v>756</v>
      </c>
      <c r="H1570" s="2" t="s">
        <v>34</v>
      </c>
      <c r="I1570" s="2" t="s">
        <v>51</v>
      </c>
      <c r="J1570" s="2" t="s">
        <v>52</v>
      </c>
      <c r="K1570" s="2" t="s">
        <v>53</v>
      </c>
      <c r="L1570" s="2" t="s">
        <v>34</v>
      </c>
      <c r="M1570" s="2"/>
      <c r="N1570" s="2"/>
      <c r="O1570" s="2"/>
      <c r="P1570" s="2" t="s">
        <v>5172</v>
      </c>
      <c r="Q1570" s="2"/>
      <c r="R1570" s="2"/>
      <c r="S1570" s="5">
        <v>30</v>
      </c>
      <c r="T1570" s="7">
        <v>104.578</v>
      </c>
      <c r="U1570" s="5">
        <v>25.6</v>
      </c>
      <c r="V1570" s="6">
        <v>2.14</v>
      </c>
      <c r="W1570" s="7">
        <v>20.375</v>
      </c>
      <c r="X1570" s="5">
        <v>19.5</v>
      </c>
      <c r="Y1570" s="5">
        <v>19.5</v>
      </c>
      <c r="Z1570" s="7">
        <v>19.625</v>
      </c>
      <c r="AA1570" s="6">
        <v>8.98</v>
      </c>
      <c r="AB1570" s="2" t="s">
        <v>47</v>
      </c>
      <c r="AC1570" s="2"/>
    </row>
    <row r="1571" spans="1:29" ht="156" x14ac:dyDescent="0.15">
      <c r="A1571" s="3">
        <f>DATE(1994,7,29)</f>
        <v>34544</v>
      </c>
      <c r="B1571" s="3">
        <f>DATE(1994,11,1)</f>
        <v>34639</v>
      </c>
      <c r="C1571" s="2" t="s">
        <v>95</v>
      </c>
      <c r="D1571" s="2" t="s">
        <v>5158</v>
      </c>
      <c r="E1571" s="2" t="s">
        <v>2241</v>
      </c>
      <c r="F1571" s="4">
        <v>8011</v>
      </c>
      <c r="G1571" s="2" t="s">
        <v>454</v>
      </c>
      <c r="H1571" s="2" t="s">
        <v>34</v>
      </c>
      <c r="I1571" s="2" t="s">
        <v>2240</v>
      </c>
      <c r="J1571" s="2" t="s">
        <v>2241</v>
      </c>
      <c r="K1571" s="2" t="s">
        <v>125</v>
      </c>
      <c r="L1571" s="2" t="s">
        <v>34</v>
      </c>
      <c r="M1571" s="2"/>
      <c r="N1571" s="7">
        <v>32.125</v>
      </c>
      <c r="O1571" s="4">
        <v>33</v>
      </c>
      <c r="P1571" s="2" t="s">
        <v>5173</v>
      </c>
      <c r="Q1571" s="6">
        <v>37.4</v>
      </c>
      <c r="R1571" s="2"/>
      <c r="S1571" s="5">
        <v>19.8</v>
      </c>
      <c r="T1571" s="7">
        <v>36.523000000000003</v>
      </c>
      <c r="U1571" s="5">
        <v>8.3000000000000007</v>
      </c>
      <c r="V1571" s="6">
        <v>2.0499999999999998</v>
      </c>
      <c r="W1571" s="6">
        <v>37.25</v>
      </c>
      <c r="X1571" s="5">
        <v>47.5</v>
      </c>
      <c r="Y1571" s="7">
        <v>57.625</v>
      </c>
      <c r="Z1571" s="5">
        <v>58.5</v>
      </c>
      <c r="AA1571" s="6">
        <v>9.6300000000000008</v>
      </c>
      <c r="AB1571" s="7">
        <v>16.768000000000001</v>
      </c>
      <c r="AC1571" s="2"/>
    </row>
    <row r="1572" spans="1:29" ht="91" x14ac:dyDescent="0.15">
      <c r="A1572" s="3">
        <f>DATE(1994,7,29)</f>
        <v>34544</v>
      </c>
      <c r="B1572" s="2"/>
      <c r="C1572" s="2" t="s">
        <v>30</v>
      </c>
      <c r="D1572" s="2" t="s">
        <v>5174</v>
      </c>
      <c r="E1572" s="2" t="s">
        <v>5175</v>
      </c>
      <c r="F1572" s="4">
        <v>3312</v>
      </c>
      <c r="G1572" s="2" t="s">
        <v>163</v>
      </c>
      <c r="H1572" s="2" t="s">
        <v>34</v>
      </c>
      <c r="I1572" s="2" t="s">
        <v>5176</v>
      </c>
      <c r="J1572" s="2" t="s">
        <v>5177</v>
      </c>
      <c r="K1572" s="2" t="s">
        <v>53</v>
      </c>
      <c r="L1572" s="2" t="s">
        <v>34</v>
      </c>
      <c r="M1572" s="2"/>
      <c r="N1572" s="2"/>
      <c r="O1572" s="2"/>
      <c r="P1572" s="2" t="s">
        <v>5178</v>
      </c>
      <c r="Q1572" s="2"/>
      <c r="R1572" s="6">
        <v>18</v>
      </c>
      <c r="S1572" s="5">
        <v>-3.7</v>
      </c>
      <c r="T1572" s="7">
        <v>0.245</v>
      </c>
      <c r="U1572" s="5">
        <v>14.7</v>
      </c>
      <c r="V1572" s="6">
        <v>-0.63</v>
      </c>
      <c r="W1572" s="5">
        <v>16.5</v>
      </c>
      <c r="X1572" s="6">
        <v>16.25</v>
      </c>
      <c r="Y1572" s="5">
        <v>16.5</v>
      </c>
      <c r="Z1572" s="5">
        <v>16.5</v>
      </c>
      <c r="AA1572" s="6">
        <v>5.87</v>
      </c>
      <c r="AB1572" s="2" t="s">
        <v>86</v>
      </c>
      <c r="AC1572" s="2"/>
    </row>
    <row r="1573" spans="1:29" ht="143" x14ac:dyDescent="0.15">
      <c r="A1573" s="3">
        <f>DATE(1994,8,1)</f>
        <v>34547</v>
      </c>
      <c r="B1573" s="3">
        <f>DATE(1995,3,3)</f>
        <v>34761</v>
      </c>
      <c r="C1573" s="2" t="s">
        <v>95</v>
      </c>
      <c r="D1573" s="2" t="s">
        <v>5179</v>
      </c>
      <c r="E1573" s="2" t="s">
        <v>229</v>
      </c>
      <c r="F1573" s="4">
        <v>5812</v>
      </c>
      <c r="G1573" s="2" t="s">
        <v>230</v>
      </c>
      <c r="H1573" s="2" t="s">
        <v>34</v>
      </c>
      <c r="I1573" s="2" t="s">
        <v>5180</v>
      </c>
      <c r="J1573" s="2" t="s">
        <v>5181</v>
      </c>
      <c r="K1573" s="2" t="s">
        <v>230</v>
      </c>
      <c r="L1573" s="2" t="s">
        <v>34</v>
      </c>
      <c r="M1573" s="7">
        <v>3.8319999999999999</v>
      </c>
      <c r="N1573" s="7">
        <v>2.625</v>
      </c>
      <c r="O1573" s="7">
        <v>2.625</v>
      </c>
      <c r="P1573" s="2" t="s">
        <v>5182</v>
      </c>
      <c r="Q1573" s="6">
        <v>100</v>
      </c>
      <c r="R1573" s="2"/>
      <c r="S1573" s="2"/>
      <c r="T1573" s="2"/>
      <c r="U1573" s="2"/>
      <c r="V1573" s="2"/>
      <c r="W1573" s="7">
        <v>2.875</v>
      </c>
      <c r="X1573" s="7">
        <v>2.625</v>
      </c>
      <c r="Y1573" s="7">
        <v>2.625</v>
      </c>
      <c r="Z1573" s="7">
        <v>2.625</v>
      </c>
      <c r="AA1573" s="2"/>
      <c r="AB1573" s="2" t="s">
        <v>47</v>
      </c>
      <c r="AC1573" s="2"/>
    </row>
    <row r="1574" spans="1:29" ht="169" x14ac:dyDescent="0.15">
      <c r="A1574" s="3">
        <f>DATE(1994,8,1)</f>
        <v>34547</v>
      </c>
      <c r="B1574" s="2"/>
      <c r="C1574" s="2" t="s">
        <v>30</v>
      </c>
      <c r="D1574" s="2" t="s">
        <v>5183</v>
      </c>
      <c r="E1574" s="2" t="s">
        <v>5184</v>
      </c>
      <c r="F1574" s="4">
        <v>5621</v>
      </c>
      <c r="G1574" s="2" t="s">
        <v>756</v>
      </c>
      <c r="H1574" s="2" t="s">
        <v>34</v>
      </c>
      <c r="I1574" s="2" t="s">
        <v>5185</v>
      </c>
      <c r="J1574" s="2" t="s">
        <v>5186</v>
      </c>
      <c r="K1574" s="2" t="s">
        <v>593</v>
      </c>
      <c r="L1574" s="2" t="s">
        <v>34</v>
      </c>
      <c r="M1574" s="7">
        <v>929.08600000000001</v>
      </c>
      <c r="N1574" s="4">
        <v>29</v>
      </c>
      <c r="O1574" s="7">
        <v>28.625</v>
      </c>
      <c r="P1574" s="2" t="s">
        <v>5187</v>
      </c>
      <c r="Q1574" s="2"/>
      <c r="R1574" s="2"/>
      <c r="S1574" s="5">
        <v>-15.8</v>
      </c>
      <c r="T1574" s="7">
        <v>77.656000000000006</v>
      </c>
      <c r="U1574" s="5">
        <v>10.1</v>
      </c>
      <c r="V1574" s="6">
        <v>-0.35</v>
      </c>
      <c r="W1574" s="6">
        <v>19.25</v>
      </c>
      <c r="X1574" s="6">
        <v>19.25</v>
      </c>
      <c r="Y1574" s="6">
        <v>21.75</v>
      </c>
      <c r="Z1574" s="7">
        <v>22.125</v>
      </c>
      <c r="AA1574" s="6">
        <v>45.99</v>
      </c>
      <c r="AB1574" s="2" t="s">
        <v>86</v>
      </c>
      <c r="AC1574" s="5">
        <v>8.6999999999999993</v>
      </c>
    </row>
    <row r="1575" spans="1:29" ht="117" x14ac:dyDescent="0.15">
      <c r="A1575" s="3">
        <f>DATE(1994,8,2)</f>
        <v>34548</v>
      </c>
      <c r="B1575" s="2"/>
      <c r="C1575" s="2" t="s">
        <v>30</v>
      </c>
      <c r="D1575" s="2" t="s">
        <v>5188</v>
      </c>
      <c r="E1575" s="2" t="s">
        <v>5189</v>
      </c>
      <c r="F1575" s="4">
        <v>8099</v>
      </c>
      <c r="G1575" s="2" t="s">
        <v>454</v>
      </c>
      <c r="H1575" s="2" t="s">
        <v>34</v>
      </c>
      <c r="I1575" s="2" t="s">
        <v>149</v>
      </c>
      <c r="J1575" s="2" t="s">
        <v>150</v>
      </c>
      <c r="K1575" s="2" t="s">
        <v>53</v>
      </c>
      <c r="L1575" s="2" t="s">
        <v>151</v>
      </c>
      <c r="M1575" s="2"/>
      <c r="N1575" s="2"/>
      <c r="O1575" s="2"/>
      <c r="P1575" s="2" t="s">
        <v>5190</v>
      </c>
      <c r="Q1575" s="2"/>
      <c r="R1575" s="6">
        <v>6.5</v>
      </c>
      <c r="S1575" s="5">
        <v>0.2</v>
      </c>
      <c r="T1575" s="7">
        <v>0.83599999999999997</v>
      </c>
      <c r="U1575" s="5">
        <v>2.5</v>
      </c>
      <c r="V1575" s="6">
        <v>0.08</v>
      </c>
      <c r="W1575" s="6">
        <v>4.25</v>
      </c>
      <c r="X1575" s="7">
        <v>4.625</v>
      </c>
      <c r="Y1575" s="7">
        <v>4.375</v>
      </c>
      <c r="Z1575" s="6">
        <v>4.75</v>
      </c>
      <c r="AA1575" s="6">
        <v>2.99</v>
      </c>
      <c r="AB1575" s="2" t="s">
        <v>86</v>
      </c>
      <c r="AC1575" s="2"/>
    </row>
    <row r="1576" spans="1:29" ht="52" x14ac:dyDescent="0.15">
      <c r="A1576" s="3">
        <f>DATE(1994,8,2)</f>
        <v>34548</v>
      </c>
      <c r="B1576" s="3">
        <f>DATE(1994,8,2)</f>
        <v>34548</v>
      </c>
      <c r="C1576" s="2" t="s">
        <v>95</v>
      </c>
      <c r="D1576" s="2" t="s">
        <v>5191</v>
      </c>
      <c r="E1576" s="2" t="s">
        <v>5192</v>
      </c>
      <c r="F1576" s="4">
        <v>3585</v>
      </c>
      <c r="G1576" s="2" t="s">
        <v>300</v>
      </c>
      <c r="H1576" s="2" t="s">
        <v>34</v>
      </c>
      <c r="I1576" s="2" t="s">
        <v>3670</v>
      </c>
      <c r="J1576" s="2" t="s">
        <v>3671</v>
      </c>
      <c r="K1576" s="2" t="s">
        <v>551</v>
      </c>
      <c r="L1576" s="2" t="s">
        <v>34</v>
      </c>
      <c r="M1576" s="2"/>
      <c r="N1576" s="7">
        <v>26.625</v>
      </c>
      <c r="O1576" s="7">
        <v>26.625</v>
      </c>
      <c r="P1576" s="2" t="s">
        <v>5193</v>
      </c>
      <c r="Q1576" s="6">
        <v>100</v>
      </c>
      <c r="R1576" s="2"/>
      <c r="S1576" s="2"/>
      <c r="T1576" s="2"/>
      <c r="U1576" s="2"/>
      <c r="V1576" s="2"/>
      <c r="W1576" s="11">
        <v>2.7968799999999998</v>
      </c>
      <c r="X1576" s="9">
        <v>2.4375</v>
      </c>
      <c r="Y1576" s="7">
        <v>2.375</v>
      </c>
      <c r="Z1576" s="7">
        <v>2.375</v>
      </c>
      <c r="AA1576" s="2"/>
      <c r="AB1576" s="2" t="s">
        <v>47</v>
      </c>
      <c r="AC1576" s="6">
        <v>81.11</v>
      </c>
    </row>
    <row r="1577" spans="1:29" ht="156" x14ac:dyDescent="0.15">
      <c r="A1577" s="3">
        <f>DATE(1994,8,2)</f>
        <v>34548</v>
      </c>
      <c r="B1577" s="3">
        <f>DATE(1994,12,21)</f>
        <v>34689</v>
      </c>
      <c r="C1577" s="2" t="s">
        <v>95</v>
      </c>
      <c r="D1577" s="2" t="s">
        <v>3410</v>
      </c>
      <c r="E1577" s="2" t="s">
        <v>3411</v>
      </c>
      <c r="F1577" s="4">
        <v>2833</v>
      </c>
      <c r="G1577" s="2" t="s">
        <v>130</v>
      </c>
      <c r="H1577" s="2" t="s">
        <v>34</v>
      </c>
      <c r="I1577" s="2" t="s">
        <v>2318</v>
      </c>
      <c r="J1577" s="2" t="s">
        <v>2319</v>
      </c>
      <c r="K1577" s="2" t="s">
        <v>130</v>
      </c>
      <c r="L1577" s="2" t="s">
        <v>34</v>
      </c>
      <c r="M1577" s="2"/>
      <c r="N1577" s="6">
        <v>56.75</v>
      </c>
      <c r="O1577" s="7">
        <v>57.375</v>
      </c>
      <c r="P1577" s="2" t="s">
        <v>5194</v>
      </c>
      <c r="Q1577" s="6">
        <v>99.99</v>
      </c>
      <c r="R1577" s="6">
        <v>101</v>
      </c>
      <c r="S1577" s="5">
        <v>-163.69999999999999</v>
      </c>
      <c r="T1577" s="5">
        <v>659.8</v>
      </c>
      <c r="U1577" s="5">
        <v>15.2</v>
      </c>
      <c r="V1577" s="6">
        <v>-1.82</v>
      </c>
      <c r="W1577" s="5">
        <v>61.5</v>
      </c>
      <c r="X1577" s="7">
        <v>60.625</v>
      </c>
      <c r="Y1577" s="4">
        <v>63</v>
      </c>
      <c r="Z1577" s="4">
        <v>93</v>
      </c>
      <c r="AA1577" s="6">
        <v>91.76</v>
      </c>
      <c r="AB1577" s="7">
        <v>22.358000000000001</v>
      </c>
      <c r="AC1577" s="10">
        <v>2220.2800000000002</v>
      </c>
    </row>
    <row r="1578" spans="1:29" ht="143" x14ac:dyDescent="0.15">
      <c r="A1578" s="3">
        <f>DATE(1994,8,2)</f>
        <v>34548</v>
      </c>
      <c r="B1578" s="2"/>
      <c r="C1578" s="2" t="s">
        <v>30</v>
      </c>
      <c r="D1578" s="2" t="s">
        <v>5195</v>
      </c>
      <c r="E1578" s="2" t="s">
        <v>124</v>
      </c>
      <c r="F1578" s="4">
        <v>6311</v>
      </c>
      <c r="G1578" s="2" t="s">
        <v>125</v>
      </c>
      <c r="H1578" s="2" t="s">
        <v>34</v>
      </c>
      <c r="I1578" s="2" t="s">
        <v>514</v>
      </c>
      <c r="J1578" s="2" t="s">
        <v>515</v>
      </c>
      <c r="K1578" s="2" t="s">
        <v>125</v>
      </c>
      <c r="L1578" s="2" t="s">
        <v>34</v>
      </c>
      <c r="M1578" s="12">
        <v>5889.3450000000003</v>
      </c>
      <c r="N1578" s="7">
        <v>28.125</v>
      </c>
      <c r="O1578" s="5">
        <v>28.5</v>
      </c>
      <c r="P1578" s="2" t="s">
        <v>5196</v>
      </c>
      <c r="Q1578" s="2"/>
      <c r="R1578" s="6">
        <v>50.38</v>
      </c>
      <c r="S1578" s="5">
        <v>95</v>
      </c>
      <c r="T1578" s="2"/>
      <c r="U1578" s="5">
        <v>18.600000000000001</v>
      </c>
      <c r="V1578" s="7">
        <v>0.91500000000000004</v>
      </c>
      <c r="W1578" s="5">
        <v>39.5</v>
      </c>
      <c r="X1578" s="6">
        <v>41.25</v>
      </c>
      <c r="Y1578" s="6">
        <v>39.75</v>
      </c>
      <c r="Z1578" s="6">
        <v>48.75</v>
      </c>
      <c r="AA1578" s="6">
        <v>51.84</v>
      </c>
      <c r="AB1578" s="7">
        <v>30.058</v>
      </c>
      <c r="AC1578" s="5">
        <v>6</v>
      </c>
    </row>
    <row r="1579" spans="1:29" ht="143" x14ac:dyDescent="0.15">
      <c r="A1579" s="3">
        <f>DATE(1994,8,3)</f>
        <v>34549</v>
      </c>
      <c r="B1579" s="3">
        <f>DATE(1994,9,9)</f>
        <v>34586</v>
      </c>
      <c r="C1579" s="2" t="s">
        <v>95</v>
      </c>
      <c r="D1579" s="2" t="s">
        <v>5197</v>
      </c>
      <c r="E1579" s="2" t="s">
        <v>5198</v>
      </c>
      <c r="F1579" s="4">
        <v>6162</v>
      </c>
      <c r="G1579" s="2" t="s">
        <v>109</v>
      </c>
      <c r="H1579" s="2" t="s">
        <v>34</v>
      </c>
      <c r="I1579" s="2" t="s">
        <v>5199</v>
      </c>
      <c r="J1579" s="2" t="s">
        <v>1181</v>
      </c>
      <c r="K1579" s="2" t="s">
        <v>37</v>
      </c>
      <c r="L1579" s="2" t="s">
        <v>34</v>
      </c>
      <c r="M1579" s="2"/>
      <c r="N1579" s="2"/>
      <c r="O1579" s="2"/>
      <c r="P1579" s="2" t="s">
        <v>5200</v>
      </c>
      <c r="Q1579" s="6">
        <v>100</v>
      </c>
      <c r="R1579" s="6">
        <v>28.25</v>
      </c>
      <c r="S1579" s="5">
        <v>28.2</v>
      </c>
      <c r="T1579" s="7">
        <v>49.615000000000002</v>
      </c>
      <c r="U1579" s="5">
        <v>13.7</v>
      </c>
      <c r="V1579" s="6">
        <v>2.37</v>
      </c>
      <c r="W1579" s="7">
        <v>17.125</v>
      </c>
      <c r="X1579" s="6">
        <v>17.25</v>
      </c>
      <c r="Y1579" s="6">
        <v>17.75</v>
      </c>
      <c r="Z1579" s="7">
        <v>21.125</v>
      </c>
      <c r="AA1579" s="6">
        <v>11.76</v>
      </c>
      <c r="AB1579" s="7">
        <v>6.2539999999999996</v>
      </c>
      <c r="AC1579" s="2"/>
    </row>
    <row r="1580" spans="1:29" ht="91" x14ac:dyDescent="0.15">
      <c r="A1580" s="3">
        <f>DATE(1994,8,3)</f>
        <v>34549</v>
      </c>
      <c r="B1580" s="3">
        <f>DATE(1995,3,3)</f>
        <v>34761</v>
      </c>
      <c r="C1580" s="2" t="s">
        <v>95</v>
      </c>
      <c r="D1580" s="2" t="s">
        <v>5201</v>
      </c>
      <c r="E1580" s="2" t="s">
        <v>32</v>
      </c>
      <c r="F1580" s="4">
        <v>6036</v>
      </c>
      <c r="G1580" s="2" t="s">
        <v>33</v>
      </c>
      <c r="H1580" s="2" t="s">
        <v>34</v>
      </c>
      <c r="I1580" s="2" t="s">
        <v>3429</v>
      </c>
      <c r="J1580" s="2" t="s">
        <v>36</v>
      </c>
      <c r="K1580" s="2" t="s">
        <v>37</v>
      </c>
      <c r="L1580" s="2" t="s">
        <v>34</v>
      </c>
      <c r="M1580" s="12">
        <v>6894.4889999999996</v>
      </c>
      <c r="N1580" s="4">
        <v>28</v>
      </c>
      <c r="O1580" s="6">
        <v>28.75</v>
      </c>
      <c r="P1580" s="2" t="s">
        <v>5202</v>
      </c>
      <c r="Q1580" s="6">
        <v>100</v>
      </c>
      <c r="R1580" s="6">
        <v>29</v>
      </c>
      <c r="S1580" s="5">
        <v>0.9</v>
      </c>
      <c r="T1580" s="7">
        <v>1.4019999999999999</v>
      </c>
      <c r="U1580" s="5">
        <v>19</v>
      </c>
      <c r="V1580" s="2"/>
      <c r="W1580" s="4">
        <v>25</v>
      </c>
      <c r="X1580" s="6">
        <v>26.75</v>
      </c>
      <c r="Y1580" s="6">
        <v>26.75</v>
      </c>
      <c r="Z1580" s="6">
        <v>26.75</v>
      </c>
      <c r="AA1580" s="6">
        <v>0.69</v>
      </c>
      <c r="AB1580" s="7">
        <v>5.6980000000000004</v>
      </c>
      <c r="AC1580" s="2"/>
    </row>
    <row r="1581" spans="1:29" ht="26" x14ac:dyDescent="0.15">
      <c r="A1581" s="3">
        <f>DATE(1994,8,3)</f>
        <v>34549</v>
      </c>
      <c r="B1581" s="2"/>
      <c r="C1581" s="2" t="s">
        <v>39</v>
      </c>
      <c r="D1581" s="2" t="s">
        <v>5203</v>
      </c>
      <c r="E1581" s="2" t="s">
        <v>783</v>
      </c>
      <c r="F1581" s="4">
        <v>4011</v>
      </c>
      <c r="G1581" s="2" t="s">
        <v>173</v>
      </c>
      <c r="H1581" s="2" t="s">
        <v>34</v>
      </c>
      <c r="I1581" s="2" t="s">
        <v>5204</v>
      </c>
      <c r="J1581" s="2" t="s">
        <v>5205</v>
      </c>
      <c r="K1581" s="2" t="s">
        <v>173</v>
      </c>
      <c r="L1581" s="2" t="s">
        <v>34</v>
      </c>
      <c r="M1581" s="2"/>
      <c r="N1581" s="7">
        <v>63.625</v>
      </c>
      <c r="O1581" s="7">
        <v>63.125</v>
      </c>
      <c r="P1581" s="2" t="s">
        <v>5206</v>
      </c>
      <c r="Q1581" s="2"/>
      <c r="R1581" s="2"/>
      <c r="S1581" s="5">
        <v>234</v>
      </c>
      <c r="T1581" s="5">
        <v>875</v>
      </c>
      <c r="U1581" s="5">
        <v>34.6</v>
      </c>
      <c r="V1581" s="6">
        <v>2.74</v>
      </c>
      <c r="W1581" s="5">
        <v>52.5</v>
      </c>
      <c r="X1581" s="6">
        <v>54.25</v>
      </c>
      <c r="Y1581" s="5">
        <v>56.5</v>
      </c>
      <c r="Z1581" s="4">
        <v>55</v>
      </c>
      <c r="AA1581" s="6">
        <v>79.599999999999994</v>
      </c>
      <c r="AB1581" s="2" t="s">
        <v>47</v>
      </c>
      <c r="AC1581" s="5">
        <v>258.2</v>
      </c>
    </row>
    <row r="1582" spans="1:29" ht="143" x14ac:dyDescent="0.15">
      <c r="A1582" s="3">
        <f>DATE(1994,8,3)</f>
        <v>34549</v>
      </c>
      <c r="B1582" s="3">
        <f>DATE(1994,11,21)</f>
        <v>34659</v>
      </c>
      <c r="C1582" s="2" t="s">
        <v>95</v>
      </c>
      <c r="D1582" s="2" t="s">
        <v>5207</v>
      </c>
      <c r="E1582" s="2" t="s">
        <v>500</v>
      </c>
      <c r="F1582" s="4">
        <v>3679</v>
      </c>
      <c r="G1582" s="2" t="s">
        <v>137</v>
      </c>
      <c r="H1582" s="2" t="s">
        <v>34</v>
      </c>
      <c r="I1582" s="2" t="s">
        <v>1047</v>
      </c>
      <c r="J1582" s="2" t="s">
        <v>1048</v>
      </c>
      <c r="K1582" s="2" t="s">
        <v>300</v>
      </c>
      <c r="L1582" s="2" t="s">
        <v>1049</v>
      </c>
      <c r="M1582" s="2"/>
      <c r="N1582" s="2"/>
      <c r="O1582" s="2"/>
      <c r="P1582" s="2" t="s">
        <v>5208</v>
      </c>
      <c r="Q1582" s="6">
        <v>100</v>
      </c>
      <c r="R1582" s="6">
        <v>10</v>
      </c>
      <c r="S1582" s="5">
        <v>28.3</v>
      </c>
      <c r="T1582" s="7">
        <v>64.284000000000006</v>
      </c>
      <c r="U1582" s="5">
        <v>2.7</v>
      </c>
      <c r="V1582" s="6">
        <v>1.06</v>
      </c>
      <c r="W1582" s="4">
        <v>6</v>
      </c>
      <c r="X1582" s="7">
        <v>6.125</v>
      </c>
      <c r="Y1582" s="6">
        <v>9.75</v>
      </c>
      <c r="Z1582" s="6">
        <v>9.75</v>
      </c>
      <c r="AA1582" s="6">
        <v>26.5</v>
      </c>
      <c r="AB1582" s="7">
        <v>4.4809999999999999</v>
      </c>
      <c r="AC1582" s="6">
        <v>199.84</v>
      </c>
    </row>
    <row r="1583" spans="1:29" ht="104" x14ac:dyDescent="0.15">
      <c r="A1583" s="3">
        <f>DATE(1994,8,3)</f>
        <v>34549</v>
      </c>
      <c r="B1583" s="3">
        <f>DATE(1994,12,14)</f>
        <v>34682</v>
      </c>
      <c r="C1583" s="2" t="s">
        <v>95</v>
      </c>
      <c r="D1583" s="2" t="s">
        <v>5209</v>
      </c>
      <c r="E1583" s="2" t="s">
        <v>92</v>
      </c>
      <c r="F1583" s="4">
        <v>6798</v>
      </c>
      <c r="G1583" s="2" t="s">
        <v>53</v>
      </c>
      <c r="H1583" s="2" t="s">
        <v>34</v>
      </c>
      <c r="I1583" s="2" t="s">
        <v>5210</v>
      </c>
      <c r="J1583" s="2" t="s">
        <v>92</v>
      </c>
      <c r="K1583" s="2" t="s">
        <v>53</v>
      </c>
      <c r="L1583" s="2" t="s">
        <v>34</v>
      </c>
      <c r="M1583" s="6">
        <v>251.45</v>
      </c>
      <c r="N1583" s="7">
        <v>21.875</v>
      </c>
      <c r="O1583" s="7">
        <v>21.875</v>
      </c>
      <c r="P1583" s="2" t="s">
        <v>5211</v>
      </c>
      <c r="Q1583" s="6">
        <v>100</v>
      </c>
      <c r="R1583" s="6">
        <v>16.41</v>
      </c>
      <c r="S1583" s="5">
        <v>2.2999999999999998</v>
      </c>
      <c r="T1583" s="7">
        <v>12.114000000000001</v>
      </c>
      <c r="U1583" s="5">
        <v>15.8</v>
      </c>
      <c r="V1583" s="6">
        <v>0.68</v>
      </c>
      <c r="W1583" s="7">
        <v>15.375</v>
      </c>
      <c r="X1583" s="7">
        <v>14.875</v>
      </c>
      <c r="Y1583" s="6">
        <v>16.25</v>
      </c>
      <c r="Z1583" s="6">
        <v>16.25</v>
      </c>
      <c r="AA1583" s="6">
        <v>7.9</v>
      </c>
      <c r="AB1583" s="7">
        <v>20.03</v>
      </c>
      <c r="AC1583" s="6">
        <v>35.49</v>
      </c>
    </row>
    <row r="1584" spans="1:29" ht="65" x14ac:dyDescent="0.15">
      <c r="A1584" s="3">
        <f>DATE(1994,8,4)</f>
        <v>34550</v>
      </c>
      <c r="B1584" s="2"/>
      <c r="C1584" s="2" t="s">
        <v>30</v>
      </c>
      <c r="D1584" s="2" t="s">
        <v>5212</v>
      </c>
      <c r="E1584" s="2" t="s">
        <v>5213</v>
      </c>
      <c r="F1584" s="4">
        <v>3823</v>
      </c>
      <c r="G1584" s="2" t="s">
        <v>226</v>
      </c>
      <c r="H1584" s="2" t="s">
        <v>34</v>
      </c>
      <c r="I1584" s="2" t="s">
        <v>138</v>
      </c>
      <c r="J1584" s="2" t="s">
        <v>139</v>
      </c>
      <c r="K1584" s="2" t="s">
        <v>53</v>
      </c>
      <c r="L1584" s="2" t="s">
        <v>139</v>
      </c>
      <c r="M1584" s="2"/>
      <c r="N1584" s="2"/>
      <c r="O1584" s="2"/>
      <c r="P1584" s="2" t="s">
        <v>5214</v>
      </c>
      <c r="Q1584" s="2"/>
      <c r="R1584" s="2"/>
      <c r="S1584" s="5">
        <v>-0.8</v>
      </c>
      <c r="T1584" s="7">
        <v>-0.153</v>
      </c>
      <c r="U1584" s="5">
        <v>1.3</v>
      </c>
      <c r="V1584" s="6">
        <v>-0.16</v>
      </c>
      <c r="W1584" s="6">
        <v>4.75</v>
      </c>
      <c r="X1584" s="7">
        <v>4.8129999999999997</v>
      </c>
      <c r="Y1584" s="7">
        <v>4.9379999999999997</v>
      </c>
      <c r="Z1584" s="6">
        <v>5.25</v>
      </c>
      <c r="AA1584" s="2"/>
      <c r="AB1584" s="2" t="s">
        <v>86</v>
      </c>
      <c r="AC1584" s="2"/>
    </row>
    <row r="1585" spans="1:29" ht="117" x14ac:dyDescent="0.15">
      <c r="A1585" s="3">
        <f>DATE(1994,8,4)</f>
        <v>34550</v>
      </c>
      <c r="B1585" s="3">
        <f>DATE(1995,3,14)</f>
        <v>34772</v>
      </c>
      <c r="C1585" s="2" t="s">
        <v>95</v>
      </c>
      <c r="D1585" s="2" t="s">
        <v>5215</v>
      </c>
      <c r="E1585" s="2" t="s">
        <v>5216</v>
      </c>
      <c r="F1585" s="4">
        <v>1321</v>
      </c>
      <c r="G1585" s="2" t="s">
        <v>148</v>
      </c>
      <c r="H1585" s="2" t="s">
        <v>34</v>
      </c>
      <c r="I1585" s="2" t="s">
        <v>5217</v>
      </c>
      <c r="J1585" s="2" t="s">
        <v>5218</v>
      </c>
      <c r="K1585" s="2" t="s">
        <v>593</v>
      </c>
      <c r="L1585" s="2" t="s">
        <v>34</v>
      </c>
      <c r="M1585" s="2"/>
      <c r="N1585" s="2"/>
      <c r="O1585" s="2"/>
      <c r="P1585" s="2" t="s">
        <v>5219</v>
      </c>
      <c r="Q1585" s="6">
        <v>100</v>
      </c>
      <c r="R1585" s="6">
        <v>12</v>
      </c>
      <c r="S1585" s="5">
        <v>13.9</v>
      </c>
      <c r="T1585" s="7">
        <v>93.603999999999999</v>
      </c>
      <c r="U1585" s="5">
        <v>8.1999999999999993</v>
      </c>
      <c r="V1585" s="6">
        <v>0.53</v>
      </c>
      <c r="W1585" s="7">
        <v>10.625</v>
      </c>
      <c r="X1585" s="7">
        <v>11.125</v>
      </c>
      <c r="Y1585" s="6">
        <v>11.25</v>
      </c>
      <c r="Z1585" s="7">
        <v>10.875</v>
      </c>
      <c r="AA1585" s="6">
        <v>26.3</v>
      </c>
      <c r="AB1585" s="7">
        <v>12.94</v>
      </c>
      <c r="AC1585" s="6">
        <v>2.21</v>
      </c>
    </row>
    <row r="1586" spans="1:29" ht="130" x14ac:dyDescent="0.15">
      <c r="A1586" s="3">
        <f>DATE(1994,8,9)</f>
        <v>34555</v>
      </c>
      <c r="B1586" s="3">
        <f>DATE(1995,3,7)</f>
        <v>34765</v>
      </c>
      <c r="C1586" s="2" t="s">
        <v>95</v>
      </c>
      <c r="D1586" s="2" t="s">
        <v>1923</v>
      </c>
      <c r="E1586" s="2" t="s">
        <v>1924</v>
      </c>
      <c r="F1586" s="4">
        <v>3575</v>
      </c>
      <c r="G1586" s="2" t="s">
        <v>50</v>
      </c>
      <c r="H1586" s="2" t="s">
        <v>34</v>
      </c>
      <c r="I1586" s="2" t="s">
        <v>2204</v>
      </c>
      <c r="J1586" s="2" t="s">
        <v>2205</v>
      </c>
      <c r="K1586" s="2" t="s">
        <v>50</v>
      </c>
      <c r="L1586" s="2" t="s">
        <v>34</v>
      </c>
      <c r="M1586" s="12">
        <v>1599.722</v>
      </c>
      <c r="N1586" s="4">
        <v>37</v>
      </c>
      <c r="O1586" s="7">
        <v>36.625</v>
      </c>
      <c r="P1586" s="2" t="s">
        <v>5220</v>
      </c>
      <c r="Q1586" s="6">
        <v>100</v>
      </c>
      <c r="R1586" s="6">
        <v>10.210000000000001</v>
      </c>
      <c r="S1586" s="5">
        <v>2.2000000000000002</v>
      </c>
      <c r="T1586" s="7">
        <v>29.294</v>
      </c>
      <c r="U1586" s="5">
        <v>7.5</v>
      </c>
      <c r="V1586" s="6">
        <v>7.0000000000000007E-2</v>
      </c>
      <c r="W1586" s="7">
        <v>7.0629999999999997</v>
      </c>
      <c r="X1586" s="6">
        <v>8.25</v>
      </c>
      <c r="Y1586" s="7">
        <v>9.125</v>
      </c>
      <c r="Z1586" s="7">
        <v>8.9380000000000006</v>
      </c>
      <c r="AA1586" s="6">
        <v>32.5</v>
      </c>
      <c r="AB1586" s="7">
        <v>27.643999999999998</v>
      </c>
      <c r="AC1586" s="6">
        <v>271.10000000000002</v>
      </c>
    </row>
    <row r="1587" spans="1:29" ht="65" x14ac:dyDescent="0.15">
      <c r="A1587" s="3">
        <f>DATE(1994,8,9)</f>
        <v>34555</v>
      </c>
      <c r="B1587" s="2"/>
      <c r="C1587" s="2" t="s">
        <v>141</v>
      </c>
      <c r="D1587" s="2" t="s">
        <v>5221</v>
      </c>
      <c r="E1587" s="2" t="s">
        <v>2800</v>
      </c>
      <c r="F1587" s="4">
        <v>6162</v>
      </c>
      <c r="G1587" s="2" t="s">
        <v>109</v>
      </c>
      <c r="H1587" s="2" t="s">
        <v>34</v>
      </c>
      <c r="I1587" s="2" t="s">
        <v>143</v>
      </c>
      <c r="J1587" s="2" t="s">
        <v>144</v>
      </c>
      <c r="K1587" s="2" t="s">
        <v>53</v>
      </c>
      <c r="L1587" s="2" t="s">
        <v>139</v>
      </c>
      <c r="M1587" s="2"/>
      <c r="N1587" s="2"/>
      <c r="O1587" s="2"/>
      <c r="P1587" s="2" t="s">
        <v>5222</v>
      </c>
      <c r="Q1587" s="2"/>
      <c r="R1587" s="2"/>
      <c r="S1587" s="5">
        <v>47.7</v>
      </c>
      <c r="T1587" s="7">
        <v>85.759</v>
      </c>
      <c r="U1587" s="5">
        <v>10.4</v>
      </c>
      <c r="V1587" s="6">
        <v>3.17</v>
      </c>
      <c r="W1587" s="6">
        <v>25.25</v>
      </c>
      <c r="X1587" s="7">
        <v>30.625</v>
      </c>
      <c r="Y1587" s="4">
        <v>31</v>
      </c>
      <c r="Z1587" s="7">
        <v>30.875</v>
      </c>
      <c r="AA1587" s="6">
        <v>15.77</v>
      </c>
      <c r="AB1587" s="2" t="s">
        <v>47</v>
      </c>
      <c r="AC1587" s="2"/>
    </row>
    <row r="1588" spans="1:29" ht="156" x14ac:dyDescent="0.15">
      <c r="A1588" s="3">
        <f>DATE(1994,8,10)</f>
        <v>34556</v>
      </c>
      <c r="B1588" s="3">
        <f>DATE(1994,11,16)</f>
        <v>34654</v>
      </c>
      <c r="C1588" s="2" t="s">
        <v>95</v>
      </c>
      <c r="D1588" s="2" t="s">
        <v>5223</v>
      </c>
      <c r="E1588" s="2" t="s">
        <v>612</v>
      </c>
      <c r="F1588" s="4">
        <v>1311</v>
      </c>
      <c r="G1588" s="2" t="s">
        <v>148</v>
      </c>
      <c r="H1588" s="2" t="s">
        <v>34</v>
      </c>
      <c r="I1588" s="2" t="s">
        <v>5224</v>
      </c>
      <c r="J1588" s="2" t="s">
        <v>612</v>
      </c>
      <c r="K1588" s="2" t="s">
        <v>148</v>
      </c>
      <c r="L1588" s="2" t="s">
        <v>34</v>
      </c>
      <c r="M1588" s="7">
        <v>340.54399999999998</v>
      </c>
      <c r="N1588" s="7">
        <v>14.875</v>
      </c>
      <c r="O1588" s="4">
        <v>15</v>
      </c>
      <c r="P1588" s="2" t="s">
        <v>5225</v>
      </c>
      <c r="Q1588" s="6">
        <v>100</v>
      </c>
      <c r="R1588" s="6">
        <v>16.5</v>
      </c>
      <c r="S1588" s="5">
        <v>7.3</v>
      </c>
      <c r="T1588" s="7">
        <v>26.012</v>
      </c>
      <c r="U1588" s="5">
        <v>11.8</v>
      </c>
      <c r="V1588" s="6">
        <v>0.69</v>
      </c>
      <c r="W1588" s="6">
        <v>18.25</v>
      </c>
      <c r="X1588" s="6">
        <v>17.75</v>
      </c>
      <c r="Y1588" s="4">
        <v>16</v>
      </c>
      <c r="Z1588" s="6">
        <v>15.75</v>
      </c>
      <c r="AA1588" s="6">
        <v>9.31</v>
      </c>
      <c r="AB1588" s="7">
        <v>11.916</v>
      </c>
      <c r="AC1588" s="5">
        <v>0.5</v>
      </c>
    </row>
    <row r="1589" spans="1:29" ht="104" x14ac:dyDescent="0.15">
      <c r="A1589" s="3">
        <f>DATE(1994,8,10)</f>
        <v>34556</v>
      </c>
      <c r="B1589" s="2"/>
      <c r="C1589" s="2" t="s">
        <v>30</v>
      </c>
      <c r="D1589" s="2" t="s">
        <v>5226</v>
      </c>
      <c r="E1589" s="2" t="s">
        <v>1181</v>
      </c>
      <c r="F1589" s="4">
        <v>6022</v>
      </c>
      <c r="G1589" s="2" t="s">
        <v>37</v>
      </c>
      <c r="H1589" s="2" t="s">
        <v>34</v>
      </c>
      <c r="I1589" s="2" t="s">
        <v>5227</v>
      </c>
      <c r="J1589" s="2" t="s">
        <v>389</v>
      </c>
      <c r="K1589" s="2" t="s">
        <v>33</v>
      </c>
      <c r="L1589" s="2" t="s">
        <v>34</v>
      </c>
      <c r="M1589" s="2"/>
      <c r="N1589" s="2"/>
      <c r="O1589" s="2"/>
      <c r="P1589" s="2" t="s">
        <v>5228</v>
      </c>
      <c r="Q1589" s="2"/>
      <c r="R1589" s="6">
        <v>13.5</v>
      </c>
      <c r="S1589" s="5">
        <v>3.3</v>
      </c>
      <c r="T1589" s="7">
        <v>5.8940000000000001</v>
      </c>
      <c r="U1589" s="5">
        <v>10.4</v>
      </c>
      <c r="V1589" s="6">
        <v>1.47</v>
      </c>
      <c r="W1589" s="6">
        <v>9.75</v>
      </c>
      <c r="X1589" s="5">
        <v>11.5</v>
      </c>
      <c r="Y1589" s="4">
        <v>12</v>
      </c>
      <c r="Z1589" s="6">
        <v>12.75</v>
      </c>
      <c r="AA1589" s="6">
        <v>2.19</v>
      </c>
      <c r="AB1589" s="7">
        <v>40.488</v>
      </c>
      <c r="AC1589" s="2"/>
    </row>
    <row r="1590" spans="1:29" ht="156" x14ac:dyDescent="0.15">
      <c r="A1590" s="3">
        <f>DATE(1994,8,12)</f>
        <v>34558</v>
      </c>
      <c r="B1590" s="2"/>
      <c r="C1590" s="2" t="s">
        <v>30</v>
      </c>
      <c r="D1590" s="2" t="s">
        <v>5229</v>
      </c>
      <c r="E1590" s="2" t="s">
        <v>5230</v>
      </c>
      <c r="F1590" s="4">
        <v>7372</v>
      </c>
      <c r="G1590" s="2" t="s">
        <v>551</v>
      </c>
      <c r="H1590" s="2" t="s">
        <v>34</v>
      </c>
      <c r="I1590" s="2" t="s">
        <v>5231</v>
      </c>
      <c r="J1590" s="2" t="s">
        <v>5232</v>
      </c>
      <c r="K1590" s="2" t="s">
        <v>50</v>
      </c>
      <c r="L1590" s="2" t="s">
        <v>34</v>
      </c>
      <c r="M1590" s="2"/>
      <c r="N1590" s="2"/>
      <c r="O1590" s="2"/>
      <c r="P1590" s="2" t="s">
        <v>5233</v>
      </c>
      <c r="Q1590" s="2"/>
      <c r="R1590" s="2"/>
      <c r="S1590" s="5">
        <v>-1.2</v>
      </c>
      <c r="T1590" s="7">
        <v>-1.127</v>
      </c>
      <c r="U1590" s="5">
        <v>1.6</v>
      </c>
      <c r="V1590" s="6">
        <v>-0.56999999999999995</v>
      </c>
      <c r="W1590" s="5">
        <v>3.5</v>
      </c>
      <c r="X1590" s="5">
        <v>4.5</v>
      </c>
      <c r="Y1590" s="7">
        <v>4.625</v>
      </c>
      <c r="Z1590" s="6">
        <v>4.75</v>
      </c>
      <c r="AA1590" s="6">
        <v>3.97</v>
      </c>
      <c r="AB1590" s="2" t="s">
        <v>86</v>
      </c>
      <c r="AC1590" s="2"/>
    </row>
    <row r="1591" spans="1:29" ht="91" x14ac:dyDescent="0.15">
      <c r="A1591" s="3">
        <f>DATE(1994,8,17)</f>
        <v>34563</v>
      </c>
      <c r="B1591" s="2"/>
      <c r="C1591" s="2" t="s">
        <v>30</v>
      </c>
      <c r="D1591" s="2" t="s">
        <v>1484</v>
      </c>
      <c r="E1591" s="2" t="s">
        <v>1485</v>
      </c>
      <c r="F1591" s="4">
        <v>3541</v>
      </c>
      <c r="G1591" s="2" t="s">
        <v>300</v>
      </c>
      <c r="H1591" s="2" t="s">
        <v>34</v>
      </c>
      <c r="I1591" s="2" t="s">
        <v>51</v>
      </c>
      <c r="J1591" s="2" t="s">
        <v>52</v>
      </c>
      <c r="K1591" s="2" t="s">
        <v>53</v>
      </c>
      <c r="L1591" s="2" t="s">
        <v>34</v>
      </c>
      <c r="M1591" s="2"/>
      <c r="N1591" s="2"/>
      <c r="O1591" s="2"/>
      <c r="P1591" s="2" t="s">
        <v>5234</v>
      </c>
      <c r="Q1591" s="2"/>
      <c r="R1591" s="6">
        <v>18</v>
      </c>
      <c r="S1591" s="5">
        <v>-23.8</v>
      </c>
      <c r="T1591" s="7">
        <v>8.1479999999999997</v>
      </c>
      <c r="U1591" s="5">
        <v>8</v>
      </c>
      <c r="V1591" s="6">
        <v>-11.21</v>
      </c>
      <c r="W1591" s="6">
        <v>11.25</v>
      </c>
      <c r="X1591" s="7">
        <v>12.125</v>
      </c>
      <c r="Y1591" s="6">
        <v>12.75</v>
      </c>
      <c r="Z1591" s="7">
        <v>16.125</v>
      </c>
      <c r="AA1591" s="6">
        <v>5.16</v>
      </c>
      <c r="AB1591" s="2" t="s">
        <v>86</v>
      </c>
      <c r="AC1591" s="2"/>
    </row>
    <row r="1592" spans="1:29" ht="130" x14ac:dyDescent="0.15">
      <c r="A1592" s="3">
        <f>DATE(1994,8,18)</f>
        <v>34564</v>
      </c>
      <c r="B1592" s="3">
        <f>DATE(1995,3,1)</f>
        <v>34759</v>
      </c>
      <c r="C1592" s="2" t="s">
        <v>95</v>
      </c>
      <c r="D1592" s="2" t="s">
        <v>5235</v>
      </c>
      <c r="E1592" s="2" t="s">
        <v>36</v>
      </c>
      <c r="F1592" s="4">
        <v>6021</v>
      </c>
      <c r="G1592" s="2" t="s">
        <v>37</v>
      </c>
      <c r="H1592" s="2" t="s">
        <v>34</v>
      </c>
      <c r="I1592" s="2" t="s">
        <v>2353</v>
      </c>
      <c r="J1592" s="2" t="s">
        <v>36</v>
      </c>
      <c r="K1592" s="2" t="s">
        <v>37</v>
      </c>
      <c r="L1592" s="2" t="s">
        <v>34</v>
      </c>
      <c r="M1592" s="12">
        <v>3488.221</v>
      </c>
      <c r="N1592" s="7">
        <v>33.688000000000002</v>
      </c>
      <c r="O1592" s="5">
        <v>33.5</v>
      </c>
      <c r="P1592" s="2" t="s">
        <v>5236</v>
      </c>
      <c r="Q1592" s="6">
        <v>100</v>
      </c>
      <c r="R1592" s="6">
        <v>34.380000000000003</v>
      </c>
      <c r="S1592" s="5">
        <v>31.4</v>
      </c>
      <c r="T1592" s="6">
        <v>74.36</v>
      </c>
      <c r="U1592" s="5">
        <v>16.3</v>
      </c>
      <c r="V1592" s="6">
        <v>1.87</v>
      </c>
      <c r="W1592" s="4">
        <v>31</v>
      </c>
      <c r="X1592" s="4">
        <v>31</v>
      </c>
      <c r="Y1592" s="6">
        <v>30.75</v>
      </c>
      <c r="Z1592" s="7">
        <v>31.125</v>
      </c>
      <c r="AA1592" s="6">
        <v>17.03</v>
      </c>
      <c r="AB1592" s="7">
        <v>17.146999999999998</v>
      </c>
      <c r="AC1592" s="2"/>
    </row>
    <row r="1593" spans="1:29" ht="91" x14ac:dyDescent="0.15">
      <c r="A1593" s="3">
        <f>DATE(1994,8,22)</f>
        <v>34568</v>
      </c>
      <c r="B1593" s="2"/>
      <c r="C1593" s="2" t="s">
        <v>30</v>
      </c>
      <c r="D1593" s="2" t="s">
        <v>5237</v>
      </c>
      <c r="E1593" s="2" t="s">
        <v>5238</v>
      </c>
      <c r="F1593" s="4">
        <v>5812</v>
      </c>
      <c r="G1593" s="2" t="s">
        <v>230</v>
      </c>
      <c r="H1593" s="2" t="s">
        <v>34</v>
      </c>
      <c r="I1593" s="2" t="s">
        <v>5239</v>
      </c>
      <c r="J1593" s="2" t="s">
        <v>5240</v>
      </c>
      <c r="K1593" s="2" t="s">
        <v>76</v>
      </c>
      <c r="L1593" s="2" t="s">
        <v>34</v>
      </c>
      <c r="M1593" s="2"/>
      <c r="N1593" s="2"/>
      <c r="O1593" s="2"/>
      <c r="P1593" s="2" t="s">
        <v>5241</v>
      </c>
      <c r="Q1593" s="2"/>
      <c r="R1593" s="2"/>
      <c r="S1593" s="5">
        <v>-3</v>
      </c>
      <c r="T1593" s="7">
        <v>-2.4169999999999998</v>
      </c>
      <c r="U1593" s="5">
        <v>0.6</v>
      </c>
      <c r="V1593" s="6">
        <v>-0.48</v>
      </c>
      <c r="W1593" s="6">
        <v>7.75</v>
      </c>
      <c r="X1593" s="7">
        <v>9.125</v>
      </c>
      <c r="Y1593" s="9">
        <v>8.6875</v>
      </c>
      <c r="Z1593" s="6">
        <v>8.75</v>
      </c>
      <c r="AA1593" s="6">
        <v>21.95</v>
      </c>
      <c r="AB1593" s="2" t="s">
        <v>86</v>
      </c>
      <c r="AC1593" s="2"/>
    </row>
    <row r="1594" spans="1:29" ht="117" x14ac:dyDescent="0.15">
      <c r="A1594" s="3">
        <f>DATE(1994,8,23)</f>
        <v>34569</v>
      </c>
      <c r="B1594" s="2"/>
      <c r="C1594" s="2" t="s">
        <v>30</v>
      </c>
      <c r="D1594" s="2" t="s">
        <v>5242</v>
      </c>
      <c r="E1594" s="2" t="s">
        <v>229</v>
      </c>
      <c r="F1594" s="4">
        <v>5812</v>
      </c>
      <c r="G1594" s="2" t="s">
        <v>230</v>
      </c>
      <c r="H1594" s="2" t="s">
        <v>34</v>
      </c>
      <c r="I1594" s="2" t="s">
        <v>51</v>
      </c>
      <c r="J1594" s="2" t="s">
        <v>52</v>
      </c>
      <c r="K1594" s="2" t="s">
        <v>53</v>
      </c>
      <c r="L1594" s="2" t="s">
        <v>34</v>
      </c>
      <c r="M1594" s="2"/>
      <c r="N1594" s="2"/>
      <c r="O1594" s="2"/>
      <c r="P1594" s="2" t="s">
        <v>5243</v>
      </c>
      <c r="Q1594" s="2"/>
      <c r="R1594" s="6">
        <v>9</v>
      </c>
      <c r="S1594" s="5">
        <v>5.8</v>
      </c>
      <c r="T1594" s="7">
        <v>25.021999999999998</v>
      </c>
      <c r="U1594" s="5">
        <v>5.6</v>
      </c>
      <c r="V1594" s="6">
        <v>0.52</v>
      </c>
      <c r="W1594" s="4">
        <v>6</v>
      </c>
      <c r="X1594" s="7">
        <v>6.375</v>
      </c>
      <c r="Y1594" s="7">
        <v>8.375</v>
      </c>
      <c r="Z1594" s="5">
        <v>8.5</v>
      </c>
      <c r="AA1594" s="6">
        <v>11.11</v>
      </c>
      <c r="AB1594" s="7">
        <v>12.67</v>
      </c>
      <c r="AC1594" s="2"/>
    </row>
    <row r="1595" spans="1:29" ht="130" x14ac:dyDescent="0.15">
      <c r="A1595" s="3">
        <f>DATE(1994,8,25)</f>
        <v>34571</v>
      </c>
      <c r="B1595" s="3">
        <f>DATE(1994,9,30)</f>
        <v>34607</v>
      </c>
      <c r="C1595" s="2" t="s">
        <v>95</v>
      </c>
      <c r="D1595" s="2" t="s">
        <v>5244</v>
      </c>
      <c r="E1595" s="2" t="s">
        <v>3977</v>
      </c>
      <c r="F1595" s="4">
        <v>1389</v>
      </c>
      <c r="G1595" s="2" t="s">
        <v>148</v>
      </c>
      <c r="H1595" s="2" t="s">
        <v>34</v>
      </c>
      <c r="I1595" s="2" t="s">
        <v>5245</v>
      </c>
      <c r="J1595" s="2" t="s">
        <v>5246</v>
      </c>
      <c r="K1595" s="2" t="s">
        <v>148</v>
      </c>
      <c r="L1595" s="2" t="s">
        <v>902</v>
      </c>
      <c r="M1595" s="2"/>
      <c r="N1595" s="2"/>
      <c r="O1595" s="2"/>
      <c r="P1595" s="2" t="s">
        <v>5247</v>
      </c>
      <c r="Q1595" s="6">
        <v>100</v>
      </c>
      <c r="R1595" s="6">
        <v>4.55</v>
      </c>
      <c r="S1595" s="5">
        <v>-1.5</v>
      </c>
      <c r="T1595" s="7">
        <v>0.59899999999999998</v>
      </c>
      <c r="U1595" s="5">
        <v>1.2</v>
      </c>
      <c r="V1595" s="6">
        <v>-0.27</v>
      </c>
      <c r="W1595" s="7">
        <v>3.375</v>
      </c>
      <c r="X1595" s="4">
        <v>3</v>
      </c>
      <c r="Y1595" s="7">
        <v>4.1879999999999997</v>
      </c>
      <c r="Z1595" s="6">
        <v>4.25</v>
      </c>
      <c r="AA1595" s="6">
        <v>5.54</v>
      </c>
      <c r="AB1595" s="2" t="s">
        <v>86</v>
      </c>
      <c r="AC1595" s="6">
        <v>63.38</v>
      </c>
    </row>
    <row r="1596" spans="1:29" ht="104" x14ac:dyDescent="0.15">
      <c r="A1596" s="3">
        <f>DATE(1994,8,26)</f>
        <v>34572</v>
      </c>
      <c r="B1596" s="3">
        <f>DATE(1994,12,19)</f>
        <v>34687</v>
      </c>
      <c r="C1596" s="2" t="s">
        <v>95</v>
      </c>
      <c r="D1596" s="2" t="s">
        <v>5248</v>
      </c>
      <c r="E1596" s="2" t="s">
        <v>5249</v>
      </c>
      <c r="F1596" s="4">
        <v>5983</v>
      </c>
      <c r="G1596" s="2" t="s">
        <v>73</v>
      </c>
      <c r="H1596" s="2" t="s">
        <v>34</v>
      </c>
      <c r="I1596" s="2" t="s">
        <v>5250</v>
      </c>
      <c r="J1596" s="2" t="s">
        <v>717</v>
      </c>
      <c r="K1596" s="2" t="s">
        <v>53</v>
      </c>
      <c r="L1596" s="2" t="s">
        <v>34</v>
      </c>
      <c r="M1596" s="2"/>
      <c r="N1596" s="2"/>
      <c r="O1596" s="2"/>
      <c r="P1596" s="2" t="s">
        <v>5251</v>
      </c>
      <c r="Q1596" s="6">
        <v>100</v>
      </c>
      <c r="R1596" s="6">
        <v>23</v>
      </c>
      <c r="S1596" s="5">
        <v>3.4</v>
      </c>
      <c r="T1596" s="6">
        <v>14.23</v>
      </c>
      <c r="U1596" s="5">
        <v>4</v>
      </c>
      <c r="V1596" s="6">
        <v>1.44</v>
      </c>
      <c r="W1596" s="7">
        <v>15.125</v>
      </c>
      <c r="X1596" s="4">
        <v>15</v>
      </c>
      <c r="Y1596" s="7">
        <v>15.375</v>
      </c>
      <c r="Z1596" s="4">
        <v>22</v>
      </c>
      <c r="AA1596" s="6">
        <v>2.36</v>
      </c>
      <c r="AB1596" s="7">
        <v>11.465</v>
      </c>
      <c r="AC1596" s="2"/>
    </row>
    <row r="1597" spans="1:29" ht="130" x14ac:dyDescent="0.15">
      <c r="A1597" s="3">
        <f>DATE(1994,8,29)</f>
        <v>34575</v>
      </c>
      <c r="B1597" s="3">
        <f>DATE(1994,11,1)</f>
        <v>34639</v>
      </c>
      <c r="C1597" s="2" t="s">
        <v>95</v>
      </c>
      <c r="D1597" s="2" t="s">
        <v>5252</v>
      </c>
      <c r="E1597" s="2" t="s">
        <v>5253</v>
      </c>
      <c r="F1597" s="4">
        <v>2064</v>
      </c>
      <c r="G1597" s="2" t="s">
        <v>577</v>
      </c>
      <c r="H1597" s="2" t="s">
        <v>34</v>
      </c>
      <c r="I1597" s="2" t="s">
        <v>5254</v>
      </c>
      <c r="J1597" s="2" t="s">
        <v>5255</v>
      </c>
      <c r="K1597" s="2" t="s">
        <v>577</v>
      </c>
      <c r="L1597" s="2" t="s">
        <v>34</v>
      </c>
      <c r="M1597" s="2"/>
      <c r="N1597" s="2"/>
      <c r="O1597" s="2"/>
      <c r="P1597" s="2" t="s">
        <v>5256</v>
      </c>
      <c r="Q1597" s="6">
        <v>100</v>
      </c>
      <c r="R1597" s="6">
        <v>20</v>
      </c>
      <c r="S1597" s="5">
        <v>3.7</v>
      </c>
      <c r="T1597" s="7">
        <v>12.416</v>
      </c>
      <c r="U1597" s="5">
        <v>6.7</v>
      </c>
      <c r="V1597" s="6">
        <v>0.53</v>
      </c>
      <c r="W1597" s="6">
        <v>9.25</v>
      </c>
      <c r="X1597" s="6">
        <v>9.75</v>
      </c>
      <c r="Y1597" s="6">
        <v>13.75</v>
      </c>
      <c r="Z1597" s="5">
        <v>12.5</v>
      </c>
      <c r="AA1597" s="6">
        <v>7</v>
      </c>
      <c r="AB1597" s="7">
        <v>18.539000000000001</v>
      </c>
      <c r="AC1597" s="2"/>
    </row>
    <row r="1598" spans="1:29" ht="39" x14ac:dyDescent="0.15">
      <c r="A1598" s="3">
        <f>DATE(1994,8,30)</f>
        <v>34576</v>
      </c>
      <c r="B1598" s="2"/>
      <c r="C1598" s="2" t="s">
        <v>189</v>
      </c>
      <c r="D1598" s="2" t="s">
        <v>5257</v>
      </c>
      <c r="E1598" s="2" t="s">
        <v>5258</v>
      </c>
      <c r="F1598" s="4">
        <v>8093</v>
      </c>
      <c r="G1598" s="2" t="s">
        <v>454</v>
      </c>
      <c r="H1598" s="2" t="s">
        <v>34</v>
      </c>
      <c r="I1598" s="2" t="s">
        <v>143</v>
      </c>
      <c r="J1598" s="2" t="s">
        <v>144</v>
      </c>
      <c r="K1598" s="2" t="s">
        <v>53</v>
      </c>
      <c r="L1598" s="2" t="s">
        <v>139</v>
      </c>
      <c r="M1598" s="2"/>
      <c r="N1598" s="2"/>
      <c r="O1598" s="2"/>
      <c r="P1598" s="2" t="s">
        <v>5259</v>
      </c>
      <c r="Q1598" s="2"/>
      <c r="R1598" s="2"/>
      <c r="S1598" s="5">
        <v>-3.6</v>
      </c>
      <c r="T1598" s="7">
        <v>2.4079999999999999</v>
      </c>
      <c r="U1598" s="5">
        <v>3.5</v>
      </c>
      <c r="V1598" s="6">
        <v>-0.21</v>
      </c>
      <c r="W1598" s="7">
        <v>1.5629999999999999</v>
      </c>
      <c r="X1598" s="6">
        <v>1.75</v>
      </c>
      <c r="Y1598" s="5">
        <v>1.5</v>
      </c>
      <c r="Z1598" s="6">
        <v>1.75</v>
      </c>
      <c r="AA1598" s="2"/>
      <c r="AB1598" s="2" t="s">
        <v>86</v>
      </c>
      <c r="AC1598" s="2"/>
    </row>
    <row r="1599" spans="1:29" ht="156" x14ac:dyDescent="0.15">
      <c r="A1599" s="3">
        <f>DATE(1994,8,30)</f>
        <v>34576</v>
      </c>
      <c r="B1599" s="2"/>
      <c r="C1599" s="2" t="s">
        <v>30</v>
      </c>
      <c r="D1599" s="2" t="s">
        <v>5260</v>
      </c>
      <c r="E1599" s="2" t="s">
        <v>5261</v>
      </c>
      <c r="F1599" s="4">
        <v>3621</v>
      </c>
      <c r="G1599" s="2" t="s">
        <v>137</v>
      </c>
      <c r="H1599" s="2" t="s">
        <v>34</v>
      </c>
      <c r="I1599" s="2" t="s">
        <v>5262</v>
      </c>
      <c r="J1599" s="2" t="s">
        <v>5263</v>
      </c>
      <c r="K1599" s="2" t="s">
        <v>137</v>
      </c>
      <c r="L1599" s="2" t="s">
        <v>34</v>
      </c>
      <c r="M1599" s="12">
        <v>1692.5119999999999</v>
      </c>
      <c r="N1599" s="5">
        <v>35.5</v>
      </c>
      <c r="O1599" s="4">
        <v>36</v>
      </c>
      <c r="P1599" s="2" t="s">
        <v>5264</v>
      </c>
      <c r="Q1599" s="2"/>
      <c r="R1599" s="6">
        <v>27.53</v>
      </c>
      <c r="S1599" s="5">
        <v>41</v>
      </c>
      <c r="T1599" s="5">
        <v>158</v>
      </c>
      <c r="U1599" s="5">
        <v>9.9</v>
      </c>
      <c r="V1599" s="6">
        <v>0.78</v>
      </c>
      <c r="W1599" s="4">
        <v>20</v>
      </c>
      <c r="X1599" s="7">
        <v>19.875</v>
      </c>
      <c r="Y1599" s="4">
        <v>25</v>
      </c>
      <c r="Z1599" s="7">
        <v>25.625</v>
      </c>
      <c r="AA1599" s="6">
        <v>50.29</v>
      </c>
      <c r="AB1599" s="7">
        <v>13.782999999999999</v>
      </c>
      <c r="AC1599" s="2"/>
    </row>
    <row r="1600" spans="1:29" ht="143" x14ac:dyDescent="0.15">
      <c r="A1600" s="3">
        <f>DATE(1994,8,30)</f>
        <v>34576</v>
      </c>
      <c r="B1600" s="3">
        <f>DATE(1996,2,26)</f>
        <v>35121</v>
      </c>
      <c r="C1600" s="2" t="s">
        <v>95</v>
      </c>
      <c r="D1600" s="2" t="s">
        <v>5265</v>
      </c>
      <c r="E1600" s="2" t="s">
        <v>36</v>
      </c>
      <c r="F1600" s="4">
        <v>6022</v>
      </c>
      <c r="G1600" s="2" t="s">
        <v>37</v>
      </c>
      <c r="H1600" s="2" t="s">
        <v>34</v>
      </c>
      <c r="I1600" s="2" t="s">
        <v>3660</v>
      </c>
      <c r="J1600" s="2" t="s">
        <v>36</v>
      </c>
      <c r="K1600" s="2" t="s">
        <v>37</v>
      </c>
      <c r="L1600" s="2" t="s">
        <v>34</v>
      </c>
      <c r="M1600" s="12">
        <v>1860.9280000000001</v>
      </c>
      <c r="N1600" s="6">
        <v>32.75</v>
      </c>
      <c r="O1600" s="7">
        <v>32.125</v>
      </c>
      <c r="P1600" s="2" t="s">
        <v>5266</v>
      </c>
      <c r="Q1600" s="6">
        <v>100</v>
      </c>
      <c r="R1600" s="6">
        <v>165</v>
      </c>
      <c r="S1600" s="5">
        <v>23.8</v>
      </c>
      <c r="T1600" s="7">
        <v>36.292000000000002</v>
      </c>
      <c r="U1600" s="5">
        <v>84.5</v>
      </c>
      <c r="V1600" s="6">
        <v>11.12</v>
      </c>
      <c r="W1600" s="5">
        <v>105.5</v>
      </c>
      <c r="X1600" s="6">
        <v>104.75</v>
      </c>
      <c r="Y1600" s="5">
        <v>105.5</v>
      </c>
      <c r="Z1600" s="5">
        <v>152.5</v>
      </c>
      <c r="AA1600" s="6">
        <v>2.17</v>
      </c>
      <c r="AB1600" s="7">
        <v>13.691000000000001</v>
      </c>
      <c r="AC1600" s="2"/>
    </row>
    <row r="1601" spans="1:29" ht="91" x14ac:dyDescent="0.15">
      <c r="A1601" s="3">
        <f>DATE(1994,8,31)</f>
        <v>34577</v>
      </c>
      <c r="B1601" s="3">
        <f>DATE(1995,3,9)</f>
        <v>34767</v>
      </c>
      <c r="C1601" s="2" t="s">
        <v>95</v>
      </c>
      <c r="D1601" s="2" t="s">
        <v>5267</v>
      </c>
      <c r="E1601" s="2" t="s">
        <v>5076</v>
      </c>
      <c r="F1601" s="4">
        <v>3841</v>
      </c>
      <c r="G1601" s="2" t="s">
        <v>226</v>
      </c>
      <c r="H1601" s="2" t="s">
        <v>34</v>
      </c>
      <c r="I1601" s="2" t="s">
        <v>5268</v>
      </c>
      <c r="J1601" s="2" t="s">
        <v>5269</v>
      </c>
      <c r="K1601" s="2" t="s">
        <v>226</v>
      </c>
      <c r="L1601" s="2" t="s">
        <v>34</v>
      </c>
      <c r="M1601" s="12">
        <v>1295.5409999999999</v>
      </c>
      <c r="N1601" s="7">
        <v>16.625</v>
      </c>
      <c r="O1601" s="5">
        <v>16.5</v>
      </c>
      <c r="P1601" s="2" t="s">
        <v>5270</v>
      </c>
      <c r="Q1601" s="6">
        <v>100</v>
      </c>
      <c r="R1601" s="6">
        <v>10.5</v>
      </c>
      <c r="S1601" s="5">
        <v>-3.1</v>
      </c>
      <c r="T1601" s="7">
        <v>-2.609</v>
      </c>
      <c r="U1601" s="5">
        <v>1.5</v>
      </c>
      <c r="V1601" s="6">
        <v>-0.37</v>
      </c>
      <c r="W1601" s="5">
        <v>6.5</v>
      </c>
      <c r="X1601" s="7">
        <v>6.875</v>
      </c>
      <c r="Y1601" s="7">
        <v>6.875</v>
      </c>
      <c r="Z1601" s="7">
        <v>9.6880000000000006</v>
      </c>
      <c r="AA1601" s="6">
        <v>8.41</v>
      </c>
      <c r="AB1601" s="2" t="s">
        <v>86</v>
      </c>
      <c r="AC1601" s="6">
        <v>103.03</v>
      </c>
    </row>
    <row r="1602" spans="1:29" ht="26" x14ac:dyDescent="0.15">
      <c r="A1602" s="3">
        <f>DATE(1994,8,31)</f>
        <v>34577</v>
      </c>
      <c r="B1602" s="3">
        <f>DATE(1994,8,31)</f>
        <v>34577</v>
      </c>
      <c r="C1602" s="2" t="s">
        <v>95</v>
      </c>
      <c r="D1602" s="2" t="s">
        <v>5271</v>
      </c>
      <c r="E1602" s="2" t="s">
        <v>5272</v>
      </c>
      <c r="F1602" s="4">
        <v>3559</v>
      </c>
      <c r="G1602" s="2" t="s">
        <v>300</v>
      </c>
      <c r="H1602" s="2" t="s">
        <v>34</v>
      </c>
      <c r="I1602" s="2" t="s">
        <v>5273</v>
      </c>
      <c r="J1602" s="2" t="s">
        <v>244</v>
      </c>
      <c r="K1602" s="2" t="s">
        <v>53</v>
      </c>
      <c r="L1602" s="2" t="s">
        <v>34</v>
      </c>
      <c r="M1602" s="2"/>
      <c r="N1602" s="2"/>
      <c r="O1602" s="2"/>
      <c r="P1602" s="2" t="s">
        <v>5274</v>
      </c>
      <c r="Q1602" s="6">
        <v>100</v>
      </c>
      <c r="R1602" s="2"/>
      <c r="S1602" s="5">
        <v>6</v>
      </c>
      <c r="T1602" s="7">
        <v>17.425999999999998</v>
      </c>
      <c r="U1602" s="5">
        <v>7.5</v>
      </c>
      <c r="V1602" s="6">
        <v>1.07</v>
      </c>
      <c r="W1602" s="6">
        <v>16.75</v>
      </c>
      <c r="X1602" s="7">
        <v>15.813000000000001</v>
      </c>
      <c r="Y1602" s="5">
        <v>15.5</v>
      </c>
      <c r="Z1602" s="6">
        <v>15.75</v>
      </c>
      <c r="AA1602" s="2"/>
      <c r="AB1602" s="2" t="s">
        <v>47</v>
      </c>
      <c r="AC1602" s="2"/>
    </row>
    <row r="1603" spans="1:29" ht="117" x14ac:dyDescent="0.15">
      <c r="A1603" s="3">
        <f>DATE(1994,8,31)</f>
        <v>34577</v>
      </c>
      <c r="B1603" s="2"/>
      <c r="C1603" s="2" t="s">
        <v>30</v>
      </c>
      <c r="D1603" s="2" t="s">
        <v>5275</v>
      </c>
      <c r="E1603" s="2" t="s">
        <v>389</v>
      </c>
      <c r="F1603" s="4">
        <v>6035</v>
      </c>
      <c r="G1603" s="2" t="s">
        <v>33</v>
      </c>
      <c r="H1603" s="2" t="s">
        <v>34</v>
      </c>
      <c r="I1603" s="2" t="s">
        <v>138</v>
      </c>
      <c r="J1603" s="2" t="s">
        <v>139</v>
      </c>
      <c r="K1603" s="2" t="s">
        <v>53</v>
      </c>
      <c r="L1603" s="2" t="s">
        <v>139</v>
      </c>
      <c r="M1603" s="2"/>
      <c r="N1603" s="2"/>
      <c r="O1603" s="2"/>
      <c r="P1603" s="2" t="s">
        <v>5276</v>
      </c>
      <c r="Q1603" s="2"/>
      <c r="R1603" s="2"/>
      <c r="S1603" s="5">
        <v>2.9</v>
      </c>
      <c r="T1603" s="7">
        <v>4.4950000000000001</v>
      </c>
      <c r="U1603" s="5">
        <v>18</v>
      </c>
      <c r="V1603" s="6">
        <v>2.42</v>
      </c>
      <c r="W1603" s="6">
        <v>21.25</v>
      </c>
      <c r="X1603" s="5">
        <v>22.5</v>
      </c>
      <c r="Y1603" s="4">
        <v>28</v>
      </c>
      <c r="Z1603" s="7">
        <v>27.625</v>
      </c>
      <c r="AA1603" s="6">
        <v>12</v>
      </c>
      <c r="AB1603" s="2" t="s">
        <v>47</v>
      </c>
      <c r="AC1603" s="2"/>
    </row>
    <row r="1604" spans="1:29" ht="130" x14ac:dyDescent="0.15">
      <c r="A1604" s="3">
        <f>DATE(1994,9,2)</f>
        <v>34579</v>
      </c>
      <c r="B1604" s="3">
        <f>DATE(1994,12,9)</f>
        <v>34677</v>
      </c>
      <c r="C1604" s="2" t="s">
        <v>95</v>
      </c>
      <c r="D1604" s="2" t="s">
        <v>5277</v>
      </c>
      <c r="E1604" s="2" t="s">
        <v>177</v>
      </c>
      <c r="F1604" s="4">
        <v>1311</v>
      </c>
      <c r="G1604" s="2" t="s">
        <v>148</v>
      </c>
      <c r="H1604" s="2" t="s">
        <v>34</v>
      </c>
      <c r="I1604" s="2" t="s">
        <v>5278</v>
      </c>
      <c r="J1604" s="2" t="s">
        <v>612</v>
      </c>
      <c r="K1604" s="2" t="s">
        <v>148</v>
      </c>
      <c r="L1604" s="2" t="s">
        <v>34</v>
      </c>
      <c r="M1604" s="2"/>
      <c r="N1604" s="2"/>
      <c r="O1604" s="2"/>
      <c r="P1604" s="2" t="s">
        <v>5279</v>
      </c>
      <c r="Q1604" s="6">
        <v>76.88</v>
      </c>
      <c r="R1604" s="6">
        <v>11.5</v>
      </c>
      <c r="S1604" s="5">
        <v>23.1</v>
      </c>
      <c r="T1604" s="7">
        <v>32.369</v>
      </c>
      <c r="U1604" s="5">
        <v>7.6</v>
      </c>
      <c r="V1604" s="6">
        <v>4.92</v>
      </c>
      <c r="W1604" s="7">
        <v>9.125</v>
      </c>
      <c r="X1604" s="7">
        <v>8.875</v>
      </c>
      <c r="Y1604" s="7">
        <v>9.125</v>
      </c>
      <c r="Z1604" s="7">
        <v>9.125</v>
      </c>
      <c r="AA1604" s="6">
        <v>4.67</v>
      </c>
      <c r="AB1604" s="7">
        <v>2.3919999999999999</v>
      </c>
      <c r="AC1604" s="2"/>
    </row>
    <row r="1605" spans="1:29" ht="143" x14ac:dyDescent="0.15">
      <c r="A1605" s="3">
        <f>DATE(1994,9,6)</f>
        <v>34583</v>
      </c>
      <c r="B1605" s="3">
        <f>DATE(1995,3,3)</f>
        <v>34761</v>
      </c>
      <c r="C1605" s="2" t="s">
        <v>95</v>
      </c>
      <c r="D1605" s="2" t="s">
        <v>5280</v>
      </c>
      <c r="E1605" s="2" t="s">
        <v>5281</v>
      </c>
      <c r="F1605" s="4">
        <v>6162</v>
      </c>
      <c r="G1605" s="2" t="s">
        <v>109</v>
      </c>
      <c r="H1605" s="2" t="s">
        <v>34</v>
      </c>
      <c r="I1605" s="2" t="s">
        <v>5282</v>
      </c>
      <c r="J1605" s="2" t="s">
        <v>1181</v>
      </c>
      <c r="K1605" s="2" t="s">
        <v>37</v>
      </c>
      <c r="L1605" s="2" t="s">
        <v>34</v>
      </c>
      <c r="M1605" s="2"/>
      <c r="N1605" s="2"/>
      <c r="O1605" s="2"/>
      <c r="P1605" s="2" t="s">
        <v>5283</v>
      </c>
      <c r="Q1605" s="6">
        <v>100</v>
      </c>
      <c r="R1605" s="6">
        <v>7.53</v>
      </c>
      <c r="S1605" s="5">
        <v>-9.5</v>
      </c>
      <c r="T1605" s="7">
        <v>15.507</v>
      </c>
      <c r="U1605" s="5">
        <v>4.9000000000000004</v>
      </c>
      <c r="V1605" s="2"/>
      <c r="W1605" s="7">
        <v>7.5629999999999997</v>
      </c>
      <c r="X1605" s="6">
        <v>8.25</v>
      </c>
      <c r="Y1605" s="7">
        <v>9.625</v>
      </c>
      <c r="Z1605" s="7">
        <v>9.625</v>
      </c>
      <c r="AA1605" s="6">
        <v>11.14</v>
      </c>
      <c r="AB1605" s="2" t="s">
        <v>86</v>
      </c>
      <c r="AC1605" s="2"/>
    </row>
    <row r="1606" spans="1:29" ht="78" x14ac:dyDescent="0.15">
      <c r="A1606" s="3">
        <f>DATE(1994,9,8)</f>
        <v>34585</v>
      </c>
      <c r="B1606" s="2"/>
      <c r="C1606" s="2" t="s">
        <v>30</v>
      </c>
      <c r="D1606" s="2" t="s">
        <v>5284</v>
      </c>
      <c r="E1606" s="2" t="s">
        <v>1821</v>
      </c>
      <c r="F1606" s="4">
        <v>5311</v>
      </c>
      <c r="G1606" s="2" t="s">
        <v>756</v>
      </c>
      <c r="H1606" s="2" t="s">
        <v>34</v>
      </c>
      <c r="I1606" s="2" t="s">
        <v>138</v>
      </c>
      <c r="J1606" s="2" t="s">
        <v>139</v>
      </c>
      <c r="K1606" s="2" t="s">
        <v>53</v>
      </c>
      <c r="L1606" s="2" t="s">
        <v>139</v>
      </c>
      <c r="M1606" s="2"/>
      <c r="N1606" s="2"/>
      <c r="O1606" s="2"/>
      <c r="P1606" s="2" t="s">
        <v>5285</v>
      </c>
      <c r="Q1606" s="2"/>
      <c r="R1606" s="2"/>
      <c r="S1606" s="5">
        <v>86.6</v>
      </c>
      <c r="T1606" s="7">
        <v>235.06299999999999</v>
      </c>
      <c r="U1606" s="5">
        <v>36.200000000000003</v>
      </c>
      <c r="V1606" s="6">
        <v>2.35</v>
      </c>
      <c r="W1606" s="7">
        <v>37.375</v>
      </c>
      <c r="X1606" s="6">
        <v>40.25</v>
      </c>
      <c r="Y1606" s="7">
        <v>46.875</v>
      </c>
      <c r="Z1606" s="5">
        <v>54.5</v>
      </c>
      <c r="AA1606" s="6">
        <v>36.799999999999997</v>
      </c>
      <c r="AB1606" s="2" t="s">
        <v>47</v>
      </c>
      <c r="AC1606" s="2"/>
    </row>
    <row r="1607" spans="1:29" ht="143" x14ac:dyDescent="0.15">
      <c r="A1607" s="3">
        <f>DATE(1994,9,9)</f>
        <v>34586</v>
      </c>
      <c r="B1607" s="3">
        <f>DATE(1995,7,31)</f>
        <v>34911</v>
      </c>
      <c r="C1607" s="2" t="s">
        <v>95</v>
      </c>
      <c r="D1607" s="2" t="s">
        <v>2811</v>
      </c>
      <c r="E1607" s="2" t="s">
        <v>2812</v>
      </c>
      <c r="F1607" s="4">
        <v>4812</v>
      </c>
      <c r="G1607" s="2" t="s">
        <v>63</v>
      </c>
      <c r="H1607" s="2" t="s">
        <v>34</v>
      </c>
      <c r="I1607" s="2" t="s">
        <v>5092</v>
      </c>
      <c r="J1607" s="2" t="s">
        <v>2814</v>
      </c>
      <c r="K1607" s="2" t="s">
        <v>63</v>
      </c>
      <c r="L1607" s="2" t="s">
        <v>34</v>
      </c>
      <c r="M1607" s="12">
        <v>2460.893</v>
      </c>
      <c r="N1607" s="7">
        <v>24.375</v>
      </c>
      <c r="O1607" s="7">
        <v>24.437999999999999</v>
      </c>
      <c r="P1607" s="2" t="s">
        <v>5286</v>
      </c>
      <c r="Q1607" s="6">
        <v>90.14</v>
      </c>
      <c r="R1607" s="6">
        <v>9.69</v>
      </c>
      <c r="S1607" s="5">
        <v>-3</v>
      </c>
      <c r="T1607" s="7">
        <v>0.20300000000000001</v>
      </c>
      <c r="U1607" s="5">
        <v>1.1000000000000001</v>
      </c>
      <c r="V1607" s="6">
        <v>-0.44</v>
      </c>
      <c r="W1607" s="6">
        <v>4.75</v>
      </c>
      <c r="X1607" s="5">
        <v>4.5</v>
      </c>
      <c r="Y1607" s="6">
        <v>5.75</v>
      </c>
      <c r="Z1607" s="6">
        <v>6.25</v>
      </c>
      <c r="AA1607" s="6">
        <v>7.24</v>
      </c>
      <c r="AB1607" s="2" t="s">
        <v>86</v>
      </c>
      <c r="AC1607" s="6">
        <v>473.99</v>
      </c>
    </row>
    <row r="1608" spans="1:29" ht="169" x14ac:dyDescent="0.15">
      <c r="A1608" s="3">
        <f>DATE(1994,9,12)</f>
        <v>34589</v>
      </c>
      <c r="B1608" s="3">
        <f>DATE(1995,3,14)</f>
        <v>34772</v>
      </c>
      <c r="C1608" s="2" t="s">
        <v>95</v>
      </c>
      <c r="D1608" s="2" t="s">
        <v>4500</v>
      </c>
      <c r="E1608" s="2" t="s">
        <v>4501</v>
      </c>
      <c r="F1608" s="4">
        <v>2026</v>
      </c>
      <c r="G1608" s="2" t="s">
        <v>577</v>
      </c>
      <c r="H1608" s="2" t="s">
        <v>34</v>
      </c>
      <c r="I1608" s="2" t="s">
        <v>1626</v>
      </c>
      <c r="J1608" s="2" t="s">
        <v>244</v>
      </c>
      <c r="K1608" s="2" t="s">
        <v>53</v>
      </c>
      <c r="L1608" s="2" t="s">
        <v>34</v>
      </c>
      <c r="M1608" s="2"/>
      <c r="N1608" s="2"/>
      <c r="O1608" s="2"/>
      <c r="P1608" s="2" t="s">
        <v>5287</v>
      </c>
      <c r="Q1608" s="6">
        <v>83.48</v>
      </c>
      <c r="R1608" s="6">
        <v>13.61</v>
      </c>
      <c r="S1608" s="5">
        <v>-122.7</v>
      </c>
      <c r="T1608" s="5">
        <v>428</v>
      </c>
      <c r="U1608" s="5">
        <v>1.7</v>
      </c>
      <c r="V1608" s="6">
        <v>-0.87</v>
      </c>
      <c r="W1608" s="7">
        <v>12.125</v>
      </c>
      <c r="X1608" s="7">
        <v>11.625</v>
      </c>
      <c r="Y1608" s="7">
        <v>13.625</v>
      </c>
      <c r="Z1608" s="7">
        <v>13.625</v>
      </c>
      <c r="AA1608" s="6">
        <v>170.27</v>
      </c>
      <c r="AB1608" s="7">
        <v>17.032</v>
      </c>
      <c r="AC1608" s="2"/>
    </row>
    <row r="1609" spans="1:29" ht="91" x14ac:dyDescent="0.15">
      <c r="A1609" s="3">
        <f>DATE(1994,9,12)</f>
        <v>34589</v>
      </c>
      <c r="B1609" s="2"/>
      <c r="C1609" s="2" t="s">
        <v>30</v>
      </c>
      <c r="D1609" s="2" t="s">
        <v>5288</v>
      </c>
      <c r="E1609" s="2" t="s">
        <v>389</v>
      </c>
      <c r="F1609" s="4">
        <v>6035</v>
      </c>
      <c r="G1609" s="2" t="s">
        <v>33</v>
      </c>
      <c r="H1609" s="2" t="s">
        <v>34</v>
      </c>
      <c r="I1609" s="2" t="s">
        <v>138</v>
      </c>
      <c r="J1609" s="2" t="s">
        <v>139</v>
      </c>
      <c r="K1609" s="2" t="s">
        <v>53</v>
      </c>
      <c r="L1609" s="2" t="s">
        <v>139</v>
      </c>
      <c r="M1609" s="2"/>
      <c r="N1609" s="2"/>
      <c r="O1609" s="2"/>
      <c r="P1609" s="2" t="s">
        <v>5289</v>
      </c>
      <c r="Q1609" s="2"/>
      <c r="R1609" s="2"/>
      <c r="S1609" s="5">
        <v>12.9</v>
      </c>
      <c r="T1609" s="7">
        <v>26.408999999999999</v>
      </c>
      <c r="U1609" s="5">
        <v>17.399999999999999</v>
      </c>
      <c r="V1609" s="9">
        <v>1.5954999999999999</v>
      </c>
      <c r="W1609" s="7">
        <v>23.625</v>
      </c>
      <c r="X1609" s="6">
        <v>24.75</v>
      </c>
      <c r="Y1609" s="7">
        <v>25.625</v>
      </c>
      <c r="Z1609" s="5">
        <v>26.5</v>
      </c>
      <c r="AA1609" s="6">
        <v>6.26</v>
      </c>
      <c r="AB1609" s="2" t="s">
        <v>47</v>
      </c>
      <c r="AC1609" s="2"/>
    </row>
    <row r="1610" spans="1:29" ht="52" x14ac:dyDescent="0.15">
      <c r="A1610" s="3">
        <f>DATE(1994,9,12)</f>
        <v>34589</v>
      </c>
      <c r="B1610" s="2"/>
      <c r="C1610" s="2" t="s">
        <v>141</v>
      </c>
      <c r="D1610" s="2" t="s">
        <v>5290</v>
      </c>
      <c r="E1610" s="2" t="s">
        <v>5291</v>
      </c>
      <c r="F1610" s="4">
        <v>7363</v>
      </c>
      <c r="G1610" s="2" t="s">
        <v>223</v>
      </c>
      <c r="H1610" s="2" t="s">
        <v>34</v>
      </c>
      <c r="I1610" s="2" t="s">
        <v>143</v>
      </c>
      <c r="J1610" s="2" t="s">
        <v>144</v>
      </c>
      <c r="K1610" s="2" t="s">
        <v>53</v>
      </c>
      <c r="L1610" s="2" t="s">
        <v>139</v>
      </c>
      <c r="M1610" s="2"/>
      <c r="N1610" s="2"/>
      <c r="O1610" s="2"/>
      <c r="P1610" s="2" t="s">
        <v>5292</v>
      </c>
      <c r="Q1610" s="2"/>
      <c r="R1610" s="2"/>
      <c r="S1610" s="5">
        <v>1.5</v>
      </c>
      <c r="T1610" s="7">
        <v>3.2040000000000002</v>
      </c>
      <c r="U1610" s="5">
        <v>4.8</v>
      </c>
      <c r="V1610" s="6">
        <v>0.35</v>
      </c>
      <c r="W1610" s="5">
        <v>12.5</v>
      </c>
      <c r="X1610" s="7">
        <v>13.125</v>
      </c>
      <c r="Y1610" s="6">
        <v>13.25</v>
      </c>
      <c r="Z1610" s="7">
        <v>11.875</v>
      </c>
      <c r="AA1610" s="2"/>
      <c r="AB1610" s="2" t="s">
        <v>47</v>
      </c>
      <c r="AC1610" s="2"/>
    </row>
    <row r="1611" spans="1:29" ht="78" x14ac:dyDescent="0.15">
      <c r="A1611" s="3">
        <f>DATE(1994,9,13)</f>
        <v>34590</v>
      </c>
      <c r="B1611" s="3">
        <f>DATE(1994,9,13)</f>
        <v>34590</v>
      </c>
      <c r="C1611" s="2" t="s">
        <v>95</v>
      </c>
      <c r="D1611" s="2" t="s">
        <v>5293</v>
      </c>
      <c r="E1611" s="2" t="s">
        <v>1900</v>
      </c>
      <c r="F1611" s="4">
        <v>7948</v>
      </c>
      <c r="G1611" s="2" t="s">
        <v>364</v>
      </c>
      <c r="H1611" s="2" t="s">
        <v>34</v>
      </c>
      <c r="I1611" s="2" t="s">
        <v>149</v>
      </c>
      <c r="J1611" s="2" t="s">
        <v>150</v>
      </c>
      <c r="K1611" s="2" t="s">
        <v>53</v>
      </c>
      <c r="L1611" s="2" t="s">
        <v>151</v>
      </c>
      <c r="M1611" s="2"/>
      <c r="N1611" s="2"/>
      <c r="O1611" s="2"/>
      <c r="P1611" s="2" t="s">
        <v>5294</v>
      </c>
      <c r="Q1611" s="6">
        <v>72</v>
      </c>
      <c r="R1611" s="6">
        <v>2.2599999999999998</v>
      </c>
      <c r="S1611" s="5">
        <v>-0.4</v>
      </c>
      <c r="T1611" s="7">
        <v>-1.3220000000000001</v>
      </c>
      <c r="U1611" s="5">
        <v>2.4</v>
      </c>
      <c r="V1611" s="6">
        <v>-1.06</v>
      </c>
      <c r="W1611" s="6">
        <v>2.25</v>
      </c>
      <c r="X1611" s="6">
        <v>1.75</v>
      </c>
      <c r="Y1611" s="5">
        <v>2.5</v>
      </c>
      <c r="Z1611" s="5">
        <v>2.5</v>
      </c>
      <c r="AA1611" s="6">
        <v>0.68</v>
      </c>
      <c r="AB1611" s="2" t="s">
        <v>86</v>
      </c>
      <c r="AC1611" s="2"/>
    </row>
    <row r="1612" spans="1:29" ht="91" x14ac:dyDescent="0.15">
      <c r="A1612" s="3">
        <f>DATE(1994,9,13)</f>
        <v>34590</v>
      </c>
      <c r="B1612" s="3">
        <f>DATE(1995,1,30)</f>
        <v>34729</v>
      </c>
      <c r="C1612" s="2" t="s">
        <v>95</v>
      </c>
      <c r="D1612" s="2" t="s">
        <v>5295</v>
      </c>
      <c r="E1612" s="2" t="s">
        <v>5296</v>
      </c>
      <c r="F1612" s="4">
        <v>2451</v>
      </c>
      <c r="G1612" s="2" t="s">
        <v>250</v>
      </c>
      <c r="H1612" s="2" t="s">
        <v>34</v>
      </c>
      <c r="I1612" s="2" t="s">
        <v>51</v>
      </c>
      <c r="J1612" s="2" t="s">
        <v>52</v>
      </c>
      <c r="K1612" s="2" t="s">
        <v>53</v>
      </c>
      <c r="L1612" s="2" t="s">
        <v>34</v>
      </c>
      <c r="M1612" s="2"/>
      <c r="N1612" s="2"/>
      <c r="O1612" s="2"/>
      <c r="P1612" s="2" t="s">
        <v>5297</v>
      </c>
      <c r="Q1612" s="6">
        <v>31</v>
      </c>
      <c r="R1612" s="6">
        <v>7.5</v>
      </c>
      <c r="S1612" s="5">
        <v>7.5</v>
      </c>
      <c r="T1612" s="7">
        <v>3.6419999999999999</v>
      </c>
      <c r="U1612" s="5">
        <v>7</v>
      </c>
      <c r="V1612" s="6">
        <v>4.04</v>
      </c>
      <c r="W1612" s="7">
        <v>4.875</v>
      </c>
      <c r="X1612" s="7">
        <v>4.875</v>
      </c>
      <c r="Y1612" s="7">
        <v>4.875</v>
      </c>
      <c r="Z1612" s="6">
        <v>5.25</v>
      </c>
      <c r="AA1612" s="6">
        <v>1.85</v>
      </c>
      <c r="AB1612" s="7">
        <v>3.883</v>
      </c>
      <c r="AC1612" s="2"/>
    </row>
    <row r="1613" spans="1:29" ht="143" x14ac:dyDescent="0.15">
      <c r="A1613" s="3">
        <f>DATE(1994,9,13)</f>
        <v>34590</v>
      </c>
      <c r="B1613" s="3">
        <f>DATE(1995,4,13)</f>
        <v>34802</v>
      </c>
      <c r="C1613" s="2" t="s">
        <v>95</v>
      </c>
      <c r="D1613" s="2" t="s">
        <v>5298</v>
      </c>
      <c r="E1613" s="2" t="s">
        <v>5299</v>
      </c>
      <c r="F1613" s="4">
        <v>3586</v>
      </c>
      <c r="G1613" s="2" t="s">
        <v>300</v>
      </c>
      <c r="H1613" s="2" t="s">
        <v>34</v>
      </c>
      <c r="I1613" s="2" t="s">
        <v>5300</v>
      </c>
      <c r="J1613" s="2" t="s">
        <v>5301</v>
      </c>
      <c r="K1613" s="2" t="s">
        <v>148</v>
      </c>
      <c r="L1613" s="2" t="s">
        <v>34</v>
      </c>
      <c r="M1613" s="7">
        <v>298.62799999999999</v>
      </c>
      <c r="N1613" s="7">
        <v>20.125</v>
      </c>
      <c r="O1613" s="7">
        <v>21.625</v>
      </c>
      <c r="P1613" s="2" t="s">
        <v>5302</v>
      </c>
      <c r="Q1613" s="6">
        <v>100</v>
      </c>
      <c r="R1613" s="6">
        <v>20</v>
      </c>
      <c r="S1613" s="5">
        <v>38.700000000000003</v>
      </c>
      <c r="T1613" s="7">
        <v>48.445999999999998</v>
      </c>
      <c r="U1613" s="5">
        <v>11.3</v>
      </c>
      <c r="V1613" s="6">
        <v>2.08</v>
      </c>
      <c r="W1613" s="5">
        <v>11.5</v>
      </c>
      <c r="X1613" s="6">
        <v>12.25</v>
      </c>
      <c r="Y1613" s="6">
        <v>16.75</v>
      </c>
      <c r="Z1613" s="6">
        <v>17.25</v>
      </c>
      <c r="AA1613" s="6">
        <v>18.29</v>
      </c>
      <c r="AB1613" s="7">
        <v>16.346</v>
      </c>
      <c r="AC1613" s="6">
        <v>1.62</v>
      </c>
    </row>
    <row r="1614" spans="1:29" ht="156" x14ac:dyDescent="0.15">
      <c r="A1614" s="3">
        <f>DATE(1994,9,15)</f>
        <v>34592</v>
      </c>
      <c r="B1614" s="3">
        <f>DATE(1994,10,31)</f>
        <v>34638</v>
      </c>
      <c r="C1614" s="2" t="s">
        <v>95</v>
      </c>
      <c r="D1614" s="2" t="s">
        <v>5303</v>
      </c>
      <c r="E1614" s="2" t="s">
        <v>515</v>
      </c>
      <c r="F1614" s="4">
        <v>6311</v>
      </c>
      <c r="G1614" s="2" t="s">
        <v>125</v>
      </c>
      <c r="H1614" s="2" t="s">
        <v>34</v>
      </c>
      <c r="I1614" s="2" t="s">
        <v>516</v>
      </c>
      <c r="J1614" s="2" t="s">
        <v>515</v>
      </c>
      <c r="K1614" s="2" t="s">
        <v>125</v>
      </c>
      <c r="L1614" s="2" t="s">
        <v>34</v>
      </c>
      <c r="M1614" s="12">
        <v>2898.0030000000002</v>
      </c>
      <c r="N1614" s="6">
        <v>42.25</v>
      </c>
      <c r="O1614" s="4">
        <v>43</v>
      </c>
      <c r="P1614" s="2" t="s">
        <v>5304</v>
      </c>
      <c r="Q1614" s="6">
        <v>100</v>
      </c>
      <c r="R1614" s="6">
        <v>35</v>
      </c>
      <c r="S1614" s="5">
        <v>38.9</v>
      </c>
      <c r="T1614" s="7">
        <v>90.052000000000007</v>
      </c>
      <c r="U1614" s="5">
        <v>12.7</v>
      </c>
      <c r="V1614" s="6">
        <v>2.42</v>
      </c>
      <c r="W1614" s="7">
        <v>29.875</v>
      </c>
      <c r="X1614" s="4">
        <v>30</v>
      </c>
      <c r="Y1614" s="7">
        <v>30.125</v>
      </c>
      <c r="Z1614" s="4">
        <v>34</v>
      </c>
      <c r="AA1614" s="6">
        <v>15.74</v>
      </c>
      <c r="AB1614" s="7">
        <v>8.7370000000000001</v>
      </c>
      <c r="AC1614" s="6">
        <v>53.41</v>
      </c>
    </row>
    <row r="1615" spans="1:29" ht="169" x14ac:dyDescent="0.15">
      <c r="A1615" s="3">
        <f>DATE(1994,9,16)</f>
        <v>34593</v>
      </c>
      <c r="B1615" s="3">
        <f>DATE(1994,12,9)</f>
        <v>34677</v>
      </c>
      <c r="C1615" s="2" t="s">
        <v>95</v>
      </c>
      <c r="D1615" s="2" t="s">
        <v>4972</v>
      </c>
      <c r="E1615" s="2" t="s">
        <v>4973</v>
      </c>
      <c r="F1615" s="4">
        <v>3842</v>
      </c>
      <c r="G1615" s="2" t="s">
        <v>226</v>
      </c>
      <c r="H1615" s="2" t="s">
        <v>34</v>
      </c>
      <c r="I1615" s="2" t="s">
        <v>5305</v>
      </c>
      <c r="J1615" s="2" t="s">
        <v>5306</v>
      </c>
      <c r="K1615" s="2" t="s">
        <v>226</v>
      </c>
      <c r="L1615" s="2" t="s">
        <v>34</v>
      </c>
      <c r="M1615" s="2"/>
      <c r="N1615" s="2"/>
      <c r="O1615" s="2"/>
      <c r="P1615" s="2" t="s">
        <v>5307</v>
      </c>
      <c r="Q1615" s="6">
        <v>100</v>
      </c>
      <c r="R1615" s="6">
        <v>11</v>
      </c>
      <c r="S1615" s="5">
        <v>2.4</v>
      </c>
      <c r="T1615" s="7">
        <v>4.5679999999999996</v>
      </c>
      <c r="U1615" s="5">
        <v>3.8</v>
      </c>
      <c r="V1615" s="6">
        <v>0.48</v>
      </c>
      <c r="W1615" s="4">
        <v>8</v>
      </c>
      <c r="X1615" s="6">
        <v>8.25</v>
      </c>
      <c r="Y1615" s="7">
        <v>10.375</v>
      </c>
      <c r="Z1615" s="6">
        <v>10.25</v>
      </c>
      <c r="AA1615" s="6">
        <v>5.79</v>
      </c>
      <c r="AB1615" s="7">
        <v>17.841999999999999</v>
      </c>
      <c r="AC1615" s="2"/>
    </row>
    <row r="1616" spans="1:29" ht="156" x14ac:dyDescent="0.15">
      <c r="A1616" s="3">
        <f>DATE(1994,9,19)</f>
        <v>34596</v>
      </c>
      <c r="B1616" s="3">
        <f>DATE(1995,1,3)</f>
        <v>34702</v>
      </c>
      <c r="C1616" s="2" t="s">
        <v>95</v>
      </c>
      <c r="D1616" s="2" t="s">
        <v>5308</v>
      </c>
      <c r="E1616" s="2" t="s">
        <v>5309</v>
      </c>
      <c r="F1616" s="4">
        <v>1311</v>
      </c>
      <c r="G1616" s="2" t="s">
        <v>148</v>
      </c>
      <c r="H1616" s="2" t="s">
        <v>34</v>
      </c>
      <c r="I1616" s="2" t="s">
        <v>5310</v>
      </c>
      <c r="J1616" s="2" t="s">
        <v>612</v>
      </c>
      <c r="K1616" s="2" t="s">
        <v>148</v>
      </c>
      <c r="L1616" s="2" t="s">
        <v>34</v>
      </c>
      <c r="M1616" s="7">
        <v>46.223999999999997</v>
      </c>
      <c r="N1616" s="6">
        <v>5.75</v>
      </c>
      <c r="O1616" s="5">
        <v>5.5</v>
      </c>
      <c r="P1616" s="2" t="s">
        <v>5311</v>
      </c>
      <c r="Q1616" s="6">
        <v>87.28</v>
      </c>
      <c r="R1616" s="2"/>
      <c r="S1616" s="5">
        <v>0.6</v>
      </c>
      <c r="T1616" s="7">
        <v>5.7359999999999998</v>
      </c>
      <c r="U1616" s="5">
        <v>1.9</v>
      </c>
      <c r="V1616" s="6">
        <v>0.22</v>
      </c>
      <c r="W1616" s="7">
        <v>4.0629999999999997</v>
      </c>
      <c r="X1616" s="7">
        <v>4.375</v>
      </c>
      <c r="Y1616" s="7">
        <v>5.125</v>
      </c>
      <c r="Z1616" s="7">
        <v>5.375</v>
      </c>
      <c r="AA1616" s="6">
        <v>2.35</v>
      </c>
      <c r="AB1616" s="7">
        <v>15.271000000000001</v>
      </c>
      <c r="AC1616" s="6">
        <v>1.45</v>
      </c>
    </row>
    <row r="1617" spans="1:29" ht="156" x14ac:dyDescent="0.15">
      <c r="A1617" s="3">
        <f>DATE(1994,9,19)</f>
        <v>34596</v>
      </c>
      <c r="B1617" s="3">
        <f>DATE(1995,2,24)</f>
        <v>34754</v>
      </c>
      <c r="C1617" s="2" t="s">
        <v>95</v>
      </c>
      <c r="D1617" s="2" t="s">
        <v>5312</v>
      </c>
      <c r="E1617" s="2" t="s">
        <v>1888</v>
      </c>
      <c r="F1617" s="4">
        <v>4911</v>
      </c>
      <c r="G1617" s="2" t="s">
        <v>439</v>
      </c>
      <c r="H1617" s="2" t="s">
        <v>34</v>
      </c>
      <c r="I1617" s="2" t="s">
        <v>5313</v>
      </c>
      <c r="J1617" s="2" t="s">
        <v>5314</v>
      </c>
      <c r="K1617" s="2" t="s">
        <v>439</v>
      </c>
      <c r="L1617" s="2" t="s">
        <v>34</v>
      </c>
      <c r="M1617" s="6">
        <v>600.66999999999996</v>
      </c>
      <c r="N1617" s="7">
        <v>16.875</v>
      </c>
      <c r="O1617" s="7">
        <v>16.875</v>
      </c>
      <c r="P1617" s="2" t="s">
        <v>5315</v>
      </c>
      <c r="Q1617" s="6">
        <v>100</v>
      </c>
      <c r="R1617" s="6">
        <v>39</v>
      </c>
      <c r="S1617" s="5">
        <v>52.1</v>
      </c>
      <c r="T1617" s="7">
        <v>102.036</v>
      </c>
      <c r="U1617" s="5">
        <v>14.7</v>
      </c>
      <c r="V1617" s="6">
        <v>2.17</v>
      </c>
      <c r="W1617" s="6">
        <v>27.75</v>
      </c>
      <c r="X1617" s="6">
        <v>28.25</v>
      </c>
      <c r="Y1617" s="5">
        <v>27.5</v>
      </c>
      <c r="Z1617" s="6">
        <v>34.75</v>
      </c>
      <c r="AA1617" s="6">
        <v>24.31</v>
      </c>
      <c r="AB1617" s="7">
        <v>13.548999999999999</v>
      </c>
      <c r="AC1617" s="6">
        <v>190.8</v>
      </c>
    </row>
    <row r="1618" spans="1:29" ht="52" x14ac:dyDescent="0.15">
      <c r="A1618" s="3">
        <f>DATE(1994,9,20)</f>
        <v>34597</v>
      </c>
      <c r="B1618" s="2"/>
      <c r="C1618" s="2" t="s">
        <v>30</v>
      </c>
      <c r="D1618" s="2" t="s">
        <v>5316</v>
      </c>
      <c r="E1618" s="2" t="s">
        <v>5317</v>
      </c>
      <c r="F1618" s="4">
        <v>6021</v>
      </c>
      <c r="G1618" s="2" t="s">
        <v>37</v>
      </c>
      <c r="H1618" s="2" t="s">
        <v>34</v>
      </c>
      <c r="I1618" s="2" t="s">
        <v>51</v>
      </c>
      <c r="J1618" s="2" t="s">
        <v>52</v>
      </c>
      <c r="K1618" s="2" t="s">
        <v>53</v>
      </c>
      <c r="L1618" s="2" t="s">
        <v>34</v>
      </c>
      <c r="M1618" s="2"/>
      <c r="N1618" s="2"/>
      <c r="O1618" s="2"/>
      <c r="P1618" s="2" t="s">
        <v>5318</v>
      </c>
      <c r="Q1618" s="2"/>
      <c r="R1618" s="2"/>
      <c r="S1618" s="5">
        <v>7</v>
      </c>
      <c r="T1618" s="7">
        <v>11.507</v>
      </c>
      <c r="U1618" s="5">
        <v>7.9</v>
      </c>
      <c r="V1618" s="9">
        <v>1.3956</v>
      </c>
      <c r="W1618" s="4">
        <v>25</v>
      </c>
      <c r="X1618" s="5">
        <v>23.5</v>
      </c>
      <c r="Y1618" s="6">
        <v>27.25</v>
      </c>
      <c r="Z1618" s="6">
        <v>27.75</v>
      </c>
      <c r="AA1618" s="6">
        <v>2.16</v>
      </c>
      <c r="AB1618" s="2" t="s">
        <v>47</v>
      </c>
      <c r="AC1618" s="2"/>
    </row>
    <row r="1619" spans="1:29" ht="39" x14ac:dyDescent="0.15">
      <c r="A1619" s="3">
        <f>DATE(1994,9,22)</f>
        <v>34599</v>
      </c>
      <c r="B1619" s="3">
        <f>DATE(1994,9,22)</f>
        <v>34599</v>
      </c>
      <c r="C1619" s="2" t="s">
        <v>95</v>
      </c>
      <c r="D1619" s="2" t="s">
        <v>5319</v>
      </c>
      <c r="E1619" s="2" t="s">
        <v>229</v>
      </c>
      <c r="F1619" s="4">
        <v>5812</v>
      </c>
      <c r="G1619" s="2" t="s">
        <v>230</v>
      </c>
      <c r="H1619" s="2" t="s">
        <v>34</v>
      </c>
      <c r="I1619" s="2" t="s">
        <v>51</v>
      </c>
      <c r="J1619" s="2" t="s">
        <v>52</v>
      </c>
      <c r="K1619" s="2" t="s">
        <v>53</v>
      </c>
      <c r="L1619" s="2" t="s">
        <v>34</v>
      </c>
      <c r="M1619" s="2"/>
      <c r="N1619" s="2"/>
      <c r="O1619" s="2"/>
      <c r="P1619" s="2" t="s">
        <v>5320</v>
      </c>
      <c r="Q1619" s="6">
        <v>54</v>
      </c>
      <c r="R1619" s="2"/>
      <c r="S1619" s="2"/>
      <c r="T1619" s="2"/>
      <c r="U1619" s="2"/>
      <c r="V1619" s="2"/>
      <c r="W1619" s="7">
        <v>2.375</v>
      </c>
      <c r="X1619" s="7">
        <v>2.875</v>
      </c>
      <c r="Y1619" s="7">
        <v>2.875</v>
      </c>
      <c r="Z1619" s="9">
        <v>3.1875</v>
      </c>
      <c r="AA1619" s="6">
        <v>1.85</v>
      </c>
      <c r="AB1619" s="2" t="s">
        <v>47</v>
      </c>
      <c r="AC1619" s="2"/>
    </row>
    <row r="1620" spans="1:29" ht="52" x14ac:dyDescent="0.15">
      <c r="A1620" s="3">
        <f>DATE(1994,9,26)</f>
        <v>34603</v>
      </c>
      <c r="B1620" s="3">
        <f>DATE(1995,1,27)</f>
        <v>34726</v>
      </c>
      <c r="C1620" s="2" t="s">
        <v>95</v>
      </c>
      <c r="D1620" s="2" t="s">
        <v>5321</v>
      </c>
      <c r="E1620" s="2" t="s">
        <v>2800</v>
      </c>
      <c r="F1620" s="4">
        <v>6162</v>
      </c>
      <c r="G1620" s="2" t="s">
        <v>109</v>
      </c>
      <c r="H1620" s="2" t="s">
        <v>34</v>
      </c>
      <c r="I1620" s="2" t="s">
        <v>2895</v>
      </c>
      <c r="J1620" s="2" t="s">
        <v>1181</v>
      </c>
      <c r="K1620" s="2" t="s">
        <v>37</v>
      </c>
      <c r="L1620" s="2" t="s">
        <v>34</v>
      </c>
      <c r="M1620" s="10">
        <v>4584.8500000000004</v>
      </c>
      <c r="N1620" s="7">
        <v>43.625</v>
      </c>
      <c r="O1620" s="6">
        <v>43.25</v>
      </c>
      <c r="P1620" s="2" t="s">
        <v>5322</v>
      </c>
      <c r="Q1620" s="6">
        <v>100</v>
      </c>
      <c r="R1620" s="6">
        <v>32</v>
      </c>
      <c r="S1620" s="5">
        <v>24.5</v>
      </c>
      <c r="T1620" s="7">
        <v>61.802</v>
      </c>
      <c r="U1620" s="5">
        <v>12.2</v>
      </c>
      <c r="V1620" s="6">
        <v>2.41</v>
      </c>
      <c r="W1620" s="7">
        <v>27.125</v>
      </c>
      <c r="X1620" s="7">
        <v>24.625</v>
      </c>
      <c r="Y1620" s="5">
        <v>29.5</v>
      </c>
      <c r="Z1620" s="7">
        <v>29.875</v>
      </c>
      <c r="AA1620" s="6">
        <v>9.7100000000000009</v>
      </c>
      <c r="AB1620" s="7">
        <v>7.5339999999999998</v>
      </c>
      <c r="AC1620" s="2"/>
    </row>
    <row r="1621" spans="1:29" ht="91" x14ac:dyDescent="0.15">
      <c r="A1621" s="3">
        <f>DATE(1994,9,26)</f>
        <v>34603</v>
      </c>
      <c r="B1621" s="2"/>
      <c r="C1621" s="2" t="s">
        <v>30</v>
      </c>
      <c r="D1621" s="2" t="s">
        <v>1415</v>
      </c>
      <c r="E1621" s="2" t="s">
        <v>844</v>
      </c>
      <c r="F1621" s="4">
        <v>6552</v>
      </c>
      <c r="G1621" s="2" t="s">
        <v>109</v>
      </c>
      <c r="H1621" s="2" t="s">
        <v>34</v>
      </c>
      <c r="I1621" s="2" t="s">
        <v>5323</v>
      </c>
      <c r="J1621" s="2" t="s">
        <v>2071</v>
      </c>
      <c r="K1621" s="2" t="s">
        <v>109</v>
      </c>
      <c r="L1621" s="2" t="s">
        <v>34</v>
      </c>
      <c r="M1621" s="2"/>
      <c r="N1621" s="2"/>
      <c r="O1621" s="2"/>
      <c r="P1621" s="2" t="s">
        <v>5324</v>
      </c>
      <c r="Q1621" s="2"/>
      <c r="R1621" s="6">
        <v>2.5299999999999998</v>
      </c>
      <c r="S1621" s="5">
        <v>-1.5</v>
      </c>
      <c r="T1621" s="7">
        <v>-0.308</v>
      </c>
      <c r="U1621" s="5">
        <v>3.3</v>
      </c>
      <c r="V1621" s="6">
        <v>-0.15</v>
      </c>
      <c r="W1621" s="7">
        <v>1.875</v>
      </c>
      <c r="X1621" s="7">
        <v>1.875</v>
      </c>
      <c r="Y1621" s="4">
        <v>2</v>
      </c>
      <c r="Z1621" s="7">
        <v>2.1880000000000002</v>
      </c>
      <c r="AA1621" s="6">
        <v>9.17</v>
      </c>
      <c r="AB1621" s="2" t="s">
        <v>86</v>
      </c>
      <c r="AC1621" s="2"/>
    </row>
    <row r="1622" spans="1:29" ht="117" x14ac:dyDescent="0.15">
      <c r="A1622" s="3">
        <f>DATE(1994,9,27)</f>
        <v>34604</v>
      </c>
      <c r="B1622" s="3">
        <f>DATE(1995,2,28)</f>
        <v>34758</v>
      </c>
      <c r="C1622" s="2" t="s">
        <v>95</v>
      </c>
      <c r="D1622" s="2" t="s">
        <v>5325</v>
      </c>
      <c r="E1622" s="2" t="s">
        <v>5326</v>
      </c>
      <c r="F1622" s="4">
        <v>4225</v>
      </c>
      <c r="G1622" s="2" t="s">
        <v>173</v>
      </c>
      <c r="H1622" s="2" t="s">
        <v>34</v>
      </c>
      <c r="I1622" s="2" t="s">
        <v>4567</v>
      </c>
      <c r="J1622" s="2" t="s">
        <v>92</v>
      </c>
      <c r="K1622" s="2" t="s">
        <v>53</v>
      </c>
      <c r="L1622" s="2" t="s">
        <v>34</v>
      </c>
      <c r="M1622" s="7">
        <v>358.28100000000001</v>
      </c>
      <c r="N1622" s="7">
        <v>15.125</v>
      </c>
      <c r="O1622" s="7">
        <v>15.125</v>
      </c>
      <c r="P1622" s="2" t="s">
        <v>5327</v>
      </c>
      <c r="Q1622" s="6">
        <v>100</v>
      </c>
      <c r="R1622" s="6">
        <v>24.77</v>
      </c>
      <c r="S1622" s="5">
        <v>5.4</v>
      </c>
      <c r="T1622" s="6">
        <v>6.65</v>
      </c>
      <c r="U1622" s="5">
        <v>10.1</v>
      </c>
      <c r="V1622" s="6">
        <v>1.99</v>
      </c>
      <c r="W1622" s="6">
        <v>23.75</v>
      </c>
      <c r="X1622" s="7">
        <v>23.375</v>
      </c>
      <c r="Y1622" s="5">
        <v>23.5</v>
      </c>
      <c r="Z1622" s="5">
        <v>23.5</v>
      </c>
      <c r="AA1622" s="6">
        <v>2.72</v>
      </c>
      <c r="AB1622" s="7">
        <v>12.041</v>
      </c>
      <c r="AC1622" s="6">
        <v>20.149999999999999</v>
      </c>
    </row>
    <row r="1623" spans="1:29" ht="104" x14ac:dyDescent="0.15">
      <c r="A1623" s="3">
        <f>DATE(1994,9,27)</f>
        <v>34604</v>
      </c>
      <c r="B1623" s="3">
        <f>DATE(1994,12,21)</f>
        <v>34689</v>
      </c>
      <c r="C1623" s="2" t="s">
        <v>95</v>
      </c>
      <c r="D1623" s="2" t="s">
        <v>5328</v>
      </c>
      <c r="E1623" s="2" t="s">
        <v>4110</v>
      </c>
      <c r="F1623" s="4">
        <v>3944</v>
      </c>
      <c r="G1623" s="2" t="s">
        <v>112</v>
      </c>
      <c r="H1623" s="2" t="s">
        <v>34</v>
      </c>
      <c r="I1623" s="2" t="s">
        <v>5329</v>
      </c>
      <c r="J1623" s="2" t="s">
        <v>5330</v>
      </c>
      <c r="K1623" s="2" t="s">
        <v>186</v>
      </c>
      <c r="L1623" s="2" t="s">
        <v>34</v>
      </c>
      <c r="M1623" s="2"/>
      <c r="N1623" s="2"/>
      <c r="O1623" s="2"/>
      <c r="P1623" s="2" t="s">
        <v>5331</v>
      </c>
      <c r="Q1623" s="6">
        <v>100</v>
      </c>
      <c r="R1623" s="6">
        <v>6.38</v>
      </c>
      <c r="S1623" s="5">
        <v>-2.2000000000000002</v>
      </c>
      <c r="T1623" s="7">
        <v>10.345000000000001</v>
      </c>
      <c r="U1623" s="5">
        <v>5.0999999999999996</v>
      </c>
      <c r="V1623" s="6">
        <v>-0.81</v>
      </c>
      <c r="W1623" s="7">
        <v>6.125</v>
      </c>
      <c r="X1623" s="6">
        <v>5.75</v>
      </c>
      <c r="Y1623" s="7">
        <v>7.375</v>
      </c>
      <c r="Z1623" s="7">
        <v>6.125</v>
      </c>
      <c r="AA1623" s="6">
        <v>4.67</v>
      </c>
      <c r="AB1623" s="7">
        <v>50.463000000000001</v>
      </c>
      <c r="AC1623" s="2"/>
    </row>
    <row r="1624" spans="1:29" ht="78" x14ac:dyDescent="0.15">
      <c r="A1624" s="3">
        <f>DATE(1994,9,28)</f>
        <v>34605</v>
      </c>
      <c r="B1624" s="2"/>
      <c r="C1624" s="2" t="s">
        <v>30</v>
      </c>
      <c r="D1624" s="2" t="s">
        <v>5332</v>
      </c>
      <c r="E1624" s="2" t="s">
        <v>5333</v>
      </c>
      <c r="F1624" s="4">
        <v>3089</v>
      </c>
      <c r="G1624" s="2" t="s">
        <v>447</v>
      </c>
      <c r="H1624" s="2" t="s">
        <v>34</v>
      </c>
      <c r="I1624" s="2" t="s">
        <v>5334</v>
      </c>
      <c r="J1624" s="2" t="s">
        <v>5335</v>
      </c>
      <c r="K1624" s="2" t="s">
        <v>447</v>
      </c>
      <c r="L1624" s="2" t="s">
        <v>303</v>
      </c>
      <c r="M1624" s="2"/>
      <c r="N1624" s="2"/>
      <c r="O1624" s="2"/>
      <c r="P1624" s="2" t="s">
        <v>5336</v>
      </c>
      <c r="Q1624" s="2"/>
      <c r="R1624" s="6">
        <v>10.5</v>
      </c>
      <c r="S1624" s="5">
        <v>3.5</v>
      </c>
      <c r="T1624" s="5">
        <v>11.2</v>
      </c>
      <c r="U1624" s="5">
        <v>6.1</v>
      </c>
      <c r="V1624" s="6">
        <v>0.79</v>
      </c>
      <c r="W1624" s="4">
        <v>9</v>
      </c>
      <c r="X1624" s="4">
        <v>9</v>
      </c>
      <c r="Y1624" s="4">
        <v>10</v>
      </c>
      <c r="Z1624" s="7">
        <v>10.125</v>
      </c>
      <c r="AA1624" s="6">
        <v>4.3</v>
      </c>
      <c r="AB1624" s="7">
        <v>17.359000000000002</v>
      </c>
      <c r="AC1624" s="2"/>
    </row>
    <row r="1625" spans="1:29" ht="52" x14ac:dyDescent="0.15">
      <c r="A1625" s="3">
        <f>DATE(1994,9,29)</f>
        <v>34606</v>
      </c>
      <c r="B1625" s="3">
        <f>DATE(1995,6,23)</f>
        <v>34873</v>
      </c>
      <c r="C1625" s="2" t="s">
        <v>95</v>
      </c>
      <c r="D1625" s="2" t="s">
        <v>5337</v>
      </c>
      <c r="E1625" s="2" t="s">
        <v>5338</v>
      </c>
      <c r="F1625" s="4">
        <v>4923</v>
      </c>
      <c r="G1625" s="2" t="s">
        <v>439</v>
      </c>
      <c r="H1625" s="2" t="s">
        <v>34</v>
      </c>
      <c r="I1625" s="2" t="s">
        <v>5339</v>
      </c>
      <c r="J1625" s="2" t="s">
        <v>612</v>
      </c>
      <c r="K1625" s="2" t="s">
        <v>148</v>
      </c>
      <c r="L1625" s="2" t="s">
        <v>34</v>
      </c>
      <c r="M1625" s="2"/>
      <c r="N1625" s="2"/>
      <c r="O1625" s="2"/>
      <c r="P1625" s="2" t="s">
        <v>5340</v>
      </c>
      <c r="Q1625" s="6">
        <v>100</v>
      </c>
      <c r="R1625" s="6">
        <v>12</v>
      </c>
      <c r="S1625" s="5">
        <v>7.4</v>
      </c>
      <c r="T1625" s="7">
        <v>24.335999999999999</v>
      </c>
      <c r="U1625" s="5">
        <v>13.6</v>
      </c>
      <c r="V1625" s="6">
        <v>0.97</v>
      </c>
      <c r="W1625" s="7">
        <v>8.6880000000000006</v>
      </c>
      <c r="X1625" s="7">
        <v>8.625</v>
      </c>
      <c r="Y1625" s="6">
        <v>8.75</v>
      </c>
      <c r="Z1625" s="7">
        <v>10.625</v>
      </c>
      <c r="AA1625" s="6">
        <v>7.48</v>
      </c>
      <c r="AB1625" s="7">
        <v>9.8350000000000009</v>
      </c>
      <c r="AC1625" s="2"/>
    </row>
    <row r="1626" spans="1:29" ht="130" x14ac:dyDescent="0.15">
      <c r="A1626" s="3">
        <f>DATE(1994,9,29)</f>
        <v>34606</v>
      </c>
      <c r="B1626" s="3">
        <f>DATE(1995,7,3)</f>
        <v>34883</v>
      </c>
      <c r="C1626" s="2" t="s">
        <v>95</v>
      </c>
      <c r="D1626" s="2" t="s">
        <v>5341</v>
      </c>
      <c r="E1626" s="2" t="s">
        <v>92</v>
      </c>
      <c r="F1626" s="4">
        <v>6798</v>
      </c>
      <c r="G1626" s="2" t="s">
        <v>53</v>
      </c>
      <c r="H1626" s="2" t="s">
        <v>34</v>
      </c>
      <c r="I1626" s="2" t="s">
        <v>5342</v>
      </c>
      <c r="J1626" s="2" t="s">
        <v>2044</v>
      </c>
      <c r="K1626" s="2" t="s">
        <v>53</v>
      </c>
      <c r="L1626" s="2" t="s">
        <v>34</v>
      </c>
      <c r="M1626" s="2"/>
      <c r="N1626" s="2"/>
      <c r="O1626" s="2"/>
      <c r="P1626" s="2" t="s">
        <v>5343</v>
      </c>
      <c r="Q1626" s="6">
        <v>100</v>
      </c>
      <c r="R1626" s="2"/>
      <c r="S1626" s="2"/>
      <c r="T1626" s="2"/>
      <c r="U1626" s="2"/>
      <c r="V1626" s="2"/>
      <c r="W1626" s="6">
        <v>7.75</v>
      </c>
      <c r="X1626" s="6">
        <v>7.75</v>
      </c>
      <c r="Y1626" s="7">
        <v>8.125</v>
      </c>
      <c r="Z1626" s="7">
        <v>8.125</v>
      </c>
      <c r="AA1626" s="6">
        <v>14.29</v>
      </c>
      <c r="AB1626" s="2" t="s">
        <v>47</v>
      </c>
      <c r="AC1626" s="2"/>
    </row>
    <row r="1627" spans="1:29" ht="78" x14ac:dyDescent="0.15">
      <c r="A1627" s="3">
        <f>DATE(1994,9,30)</f>
        <v>34607</v>
      </c>
      <c r="B1627" s="2"/>
      <c r="C1627" s="2" t="s">
        <v>30</v>
      </c>
      <c r="D1627" s="2" t="s">
        <v>5344</v>
      </c>
      <c r="E1627" s="2" t="s">
        <v>5345</v>
      </c>
      <c r="F1627" s="4">
        <v>5045</v>
      </c>
      <c r="G1627" s="2" t="s">
        <v>76</v>
      </c>
      <c r="H1627" s="2" t="s">
        <v>34</v>
      </c>
      <c r="I1627" s="2" t="s">
        <v>5346</v>
      </c>
      <c r="J1627" s="2" t="s">
        <v>5347</v>
      </c>
      <c r="K1627" s="2" t="s">
        <v>577</v>
      </c>
      <c r="L1627" s="2" t="s">
        <v>34</v>
      </c>
      <c r="M1627" s="7">
        <v>29.167999999999999</v>
      </c>
      <c r="N1627" s="7">
        <v>6.625</v>
      </c>
      <c r="O1627" s="7">
        <v>6.625</v>
      </c>
      <c r="P1627" s="2" t="s">
        <v>5348</v>
      </c>
      <c r="Q1627" s="2"/>
      <c r="R1627" s="6">
        <v>16</v>
      </c>
      <c r="S1627" s="5">
        <v>9.8000000000000007</v>
      </c>
      <c r="T1627" s="7">
        <v>19.582999999999998</v>
      </c>
      <c r="U1627" s="5">
        <v>11.1</v>
      </c>
      <c r="V1627" s="6">
        <v>1.44</v>
      </c>
      <c r="W1627" s="6">
        <v>12.75</v>
      </c>
      <c r="X1627" s="6">
        <v>13.25</v>
      </c>
      <c r="Y1627" s="6">
        <v>13.75</v>
      </c>
      <c r="Z1627" s="7">
        <v>13.438000000000001</v>
      </c>
      <c r="AA1627" s="6">
        <v>6.74</v>
      </c>
      <c r="AB1627" s="7">
        <v>9.2759999999999998</v>
      </c>
      <c r="AC1627" s="6">
        <v>13.55</v>
      </c>
    </row>
    <row r="1628" spans="1:29" ht="143" x14ac:dyDescent="0.15">
      <c r="A1628" s="3">
        <f>DATE(1994,10,3)</f>
        <v>34610</v>
      </c>
      <c r="B1628" s="3">
        <f>DATE(1994,11,14)</f>
        <v>34652</v>
      </c>
      <c r="C1628" s="2" t="s">
        <v>95</v>
      </c>
      <c r="D1628" s="2" t="s">
        <v>5349</v>
      </c>
      <c r="E1628" s="2" t="s">
        <v>5350</v>
      </c>
      <c r="F1628" s="4">
        <v>7374</v>
      </c>
      <c r="G1628" s="2" t="s">
        <v>223</v>
      </c>
      <c r="H1628" s="2" t="s">
        <v>34</v>
      </c>
      <c r="I1628" s="2" t="s">
        <v>5351</v>
      </c>
      <c r="J1628" s="2" t="s">
        <v>5352</v>
      </c>
      <c r="K1628" s="2" t="s">
        <v>186</v>
      </c>
      <c r="L1628" s="2" t="s">
        <v>34</v>
      </c>
      <c r="M1628" s="2"/>
      <c r="N1628" s="2"/>
      <c r="O1628" s="2"/>
      <c r="P1628" s="2" t="s">
        <v>5353</v>
      </c>
      <c r="Q1628" s="6">
        <v>100</v>
      </c>
      <c r="R1628" s="6">
        <v>6</v>
      </c>
      <c r="S1628" s="5">
        <v>-0.3</v>
      </c>
      <c r="T1628" s="5">
        <v>4.0999999999999996</v>
      </c>
      <c r="U1628" s="5">
        <v>3.5</v>
      </c>
      <c r="V1628" s="6">
        <v>-0.06</v>
      </c>
      <c r="W1628" s="7">
        <v>3.625</v>
      </c>
      <c r="X1628" s="7">
        <v>3.875</v>
      </c>
      <c r="Y1628" s="6">
        <v>5.75</v>
      </c>
      <c r="Z1628" s="7">
        <v>5.6879999999999997</v>
      </c>
      <c r="AA1628" s="6">
        <v>4.88</v>
      </c>
      <c r="AB1628" s="2" t="s">
        <v>86</v>
      </c>
      <c r="AC1628" s="2"/>
    </row>
    <row r="1629" spans="1:29" ht="143" x14ac:dyDescent="0.15">
      <c r="A1629" s="3">
        <f>DATE(1994,10,5)</f>
        <v>34612</v>
      </c>
      <c r="B1629" s="3">
        <f>DATE(1995,4,24)</f>
        <v>34813</v>
      </c>
      <c r="C1629" s="2" t="s">
        <v>95</v>
      </c>
      <c r="D1629" s="2" t="s">
        <v>5354</v>
      </c>
      <c r="E1629" s="2" t="s">
        <v>1011</v>
      </c>
      <c r="F1629" s="4">
        <v>8063</v>
      </c>
      <c r="G1629" s="2" t="s">
        <v>454</v>
      </c>
      <c r="H1629" s="2" t="s">
        <v>34</v>
      </c>
      <c r="I1629" s="2" t="s">
        <v>4959</v>
      </c>
      <c r="J1629" s="2" t="s">
        <v>1488</v>
      </c>
      <c r="K1629" s="2" t="s">
        <v>454</v>
      </c>
      <c r="L1629" s="2" t="s">
        <v>34</v>
      </c>
      <c r="M1629" s="12">
        <v>14609.665999999999</v>
      </c>
      <c r="N1629" s="7">
        <v>40.625</v>
      </c>
      <c r="O1629" s="7">
        <v>40.375</v>
      </c>
      <c r="P1629" s="2" t="s">
        <v>5355</v>
      </c>
      <c r="Q1629" s="6">
        <v>100</v>
      </c>
      <c r="R1629" s="6">
        <v>37.619999999999997</v>
      </c>
      <c r="S1629" s="5">
        <v>158.4</v>
      </c>
      <c r="T1629" s="7">
        <v>493.755</v>
      </c>
      <c r="U1629" s="5">
        <v>10.9</v>
      </c>
      <c r="V1629" s="6">
        <v>1.86</v>
      </c>
      <c r="W1629" s="7">
        <v>30.375</v>
      </c>
      <c r="X1629" s="4">
        <v>32</v>
      </c>
      <c r="Y1629" s="4">
        <v>34</v>
      </c>
      <c r="Z1629" s="6">
        <v>33.25</v>
      </c>
      <c r="AA1629" s="6">
        <v>90.9</v>
      </c>
      <c r="AB1629" s="7">
        <v>14.343</v>
      </c>
      <c r="AC1629" s="5">
        <v>224</v>
      </c>
    </row>
    <row r="1630" spans="1:29" ht="65" x14ac:dyDescent="0.15">
      <c r="A1630" s="3">
        <f>DATE(1994,10,5)</f>
        <v>34612</v>
      </c>
      <c r="B1630" s="2"/>
      <c r="C1630" s="2" t="s">
        <v>30</v>
      </c>
      <c r="D1630" s="2" t="s">
        <v>5026</v>
      </c>
      <c r="E1630" s="2" t="s">
        <v>441</v>
      </c>
      <c r="F1630" s="4">
        <v>4931</v>
      </c>
      <c r="G1630" s="2" t="s">
        <v>439</v>
      </c>
      <c r="H1630" s="2" t="s">
        <v>34</v>
      </c>
      <c r="I1630" s="2" t="s">
        <v>798</v>
      </c>
      <c r="J1630" s="2" t="s">
        <v>799</v>
      </c>
      <c r="K1630" s="2" t="s">
        <v>439</v>
      </c>
      <c r="L1630" s="2" t="s">
        <v>34</v>
      </c>
      <c r="M1630" s="2"/>
      <c r="N1630" s="7">
        <v>13.375</v>
      </c>
      <c r="O1630" s="7">
        <v>13.625</v>
      </c>
      <c r="P1630" s="2" t="s">
        <v>5356</v>
      </c>
      <c r="Q1630" s="2"/>
      <c r="R1630" s="2"/>
      <c r="S1630" s="5">
        <v>53.2</v>
      </c>
      <c r="T1630" s="6">
        <v>162.65</v>
      </c>
      <c r="U1630" s="5">
        <v>16.899999999999999</v>
      </c>
      <c r="V1630" s="6">
        <v>1.67</v>
      </c>
      <c r="W1630" s="7">
        <v>18.125</v>
      </c>
      <c r="X1630" s="6">
        <v>18.25</v>
      </c>
      <c r="Y1630" s="4">
        <v>19</v>
      </c>
      <c r="Z1630" s="4">
        <v>19</v>
      </c>
      <c r="AA1630" s="2"/>
      <c r="AB1630" s="2" t="s">
        <v>47</v>
      </c>
      <c r="AC1630" s="2"/>
    </row>
    <row r="1631" spans="1:29" ht="26" x14ac:dyDescent="0.15">
      <c r="A1631" s="3">
        <f>DATE(1994,10,6)</f>
        <v>34613</v>
      </c>
      <c r="B1631" s="2"/>
      <c r="C1631" s="2" t="s">
        <v>189</v>
      </c>
      <c r="D1631" s="2" t="s">
        <v>5357</v>
      </c>
      <c r="E1631" s="2" t="s">
        <v>1032</v>
      </c>
      <c r="F1631" s="4">
        <v>6799</v>
      </c>
      <c r="G1631" s="2" t="s">
        <v>53</v>
      </c>
      <c r="H1631" s="2" t="s">
        <v>34</v>
      </c>
      <c r="I1631" s="2" t="s">
        <v>143</v>
      </c>
      <c r="J1631" s="2" t="s">
        <v>144</v>
      </c>
      <c r="K1631" s="2" t="s">
        <v>53</v>
      </c>
      <c r="L1631" s="2" t="s">
        <v>139</v>
      </c>
      <c r="M1631" s="2"/>
      <c r="N1631" s="2"/>
      <c r="O1631" s="2"/>
      <c r="P1631" s="2" t="s">
        <v>5358</v>
      </c>
      <c r="Q1631" s="2"/>
      <c r="R1631" s="2"/>
      <c r="S1631" s="5">
        <v>39.299999999999997</v>
      </c>
      <c r="T1631" s="7">
        <v>63.993000000000002</v>
      </c>
      <c r="U1631" s="5">
        <v>8.1999999999999993</v>
      </c>
      <c r="V1631" s="6">
        <v>1.1299999999999999</v>
      </c>
      <c r="W1631" s="6">
        <v>92.75</v>
      </c>
      <c r="X1631" s="4">
        <v>90</v>
      </c>
      <c r="Y1631" s="6">
        <v>90.75</v>
      </c>
      <c r="Z1631" s="7">
        <v>90.375</v>
      </c>
      <c r="AA1631" s="2"/>
      <c r="AB1631" s="2" t="s">
        <v>47</v>
      </c>
      <c r="AC1631" s="2"/>
    </row>
    <row r="1632" spans="1:29" ht="130" x14ac:dyDescent="0.15">
      <c r="A1632" s="3">
        <f>DATE(1994,10,10)</f>
        <v>34617</v>
      </c>
      <c r="B1632" s="3">
        <f>DATE(1995,3,20)</f>
        <v>34778</v>
      </c>
      <c r="C1632" s="2" t="s">
        <v>95</v>
      </c>
      <c r="D1632" s="2" t="s">
        <v>5257</v>
      </c>
      <c r="E1632" s="2" t="s">
        <v>5258</v>
      </c>
      <c r="F1632" s="4">
        <v>8093</v>
      </c>
      <c r="G1632" s="2" t="s">
        <v>454</v>
      </c>
      <c r="H1632" s="2" t="s">
        <v>34</v>
      </c>
      <c r="I1632" s="2" t="s">
        <v>5359</v>
      </c>
      <c r="J1632" s="2" t="s">
        <v>5360</v>
      </c>
      <c r="K1632" s="2" t="s">
        <v>454</v>
      </c>
      <c r="L1632" s="2" t="s">
        <v>34</v>
      </c>
      <c r="M1632" s="2"/>
      <c r="N1632" s="2"/>
      <c r="O1632" s="2"/>
      <c r="P1632" s="2" t="s">
        <v>5361</v>
      </c>
      <c r="Q1632" s="6">
        <v>100</v>
      </c>
      <c r="R1632" s="6">
        <v>2.63</v>
      </c>
      <c r="S1632" s="5">
        <v>1</v>
      </c>
      <c r="T1632" s="7">
        <v>3.6789999999999998</v>
      </c>
      <c r="U1632" s="5">
        <v>4.0999999999999996</v>
      </c>
      <c r="V1632" s="6">
        <v>-0.06</v>
      </c>
      <c r="W1632" s="5">
        <v>1.5</v>
      </c>
      <c r="X1632" s="5">
        <v>1.5</v>
      </c>
      <c r="Y1632" s="4">
        <v>2</v>
      </c>
      <c r="Z1632" s="7">
        <v>1.875</v>
      </c>
      <c r="AA1632" s="6">
        <v>17.52</v>
      </c>
      <c r="AB1632" s="2" t="s">
        <v>86</v>
      </c>
      <c r="AC1632" s="2"/>
    </row>
    <row r="1633" spans="1:29" ht="104" x14ac:dyDescent="0.15">
      <c r="A1633" s="3">
        <f>DATE(1994,10,10)</f>
        <v>34617</v>
      </c>
      <c r="B1633" s="2"/>
      <c r="C1633" s="2" t="s">
        <v>30</v>
      </c>
      <c r="D1633" s="2" t="s">
        <v>5257</v>
      </c>
      <c r="E1633" s="2" t="s">
        <v>5258</v>
      </c>
      <c r="F1633" s="4">
        <v>8093</v>
      </c>
      <c r="G1633" s="2" t="s">
        <v>454</v>
      </c>
      <c r="H1633" s="2" t="s">
        <v>34</v>
      </c>
      <c r="I1633" s="2" t="s">
        <v>51</v>
      </c>
      <c r="J1633" s="2" t="s">
        <v>52</v>
      </c>
      <c r="K1633" s="2" t="s">
        <v>53</v>
      </c>
      <c r="L1633" s="2" t="s">
        <v>34</v>
      </c>
      <c r="M1633" s="2"/>
      <c r="N1633" s="2"/>
      <c r="O1633" s="2"/>
      <c r="P1633" s="2" t="s">
        <v>5362</v>
      </c>
      <c r="Q1633" s="2"/>
      <c r="R1633" s="6">
        <v>2.2999999999999998</v>
      </c>
      <c r="S1633" s="5">
        <v>-3.6</v>
      </c>
      <c r="T1633" s="7">
        <v>2.4079999999999999</v>
      </c>
      <c r="U1633" s="5">
        <v>3.5</v>
      </c>
      <c r="V1633" s="6">
        <v>-0.21</v>
      </c>
      <c r="W1633" s="5">
        <v>1.5</v>
      </c>
      <c r="X1633" s="5">
        <v>1.5</v>
      </c>
      <c r="Y1633" s="4">
        <v>2</v>
      </c>
      <c r="Z1633" s="7">
        <v>1.875</v>
      </c>
      <c r="AA1633" s="6">
        <v>16.36</v>
      </c>
      <c r="AB1633" s="2" t="s">
        <v>86</v>
      </c>
      <c r="AC1633" s="2"/>
    </row>
    <row r="1634" spans="1:29" ht="65" x14ac:dyDescent="0.15">
      <c r="A1634" s="3">
        <f>DATE(1994,10,13)</f>
        <v>34620</v>
      </c>
      <c r="B1634" s="2"/>
      <c r="C1634" s="2" t="s">
        <v>87</v>
      </c>
      <c r="D1634" s="2" t="s">
        <v>4752</v>
      </c>
      <c r="E1634" s="2" t="s">
        <v>973</v>
      </c>
      <c r="F1634" s="4">
        <v>4813</v>
      </c>
      <c r="G1634" s="2" t="s">
        <v>63</v>
      </c>
      <c r="H1634" s="2" t="s">
        <v>34</v>
      </c>
      <c r="I1634" s="2" t="s">
        <v>5363</v>
      </c>
      <c r="J1634" s="2" t="s">
        <v>5364</v>
      </c>
      <c r="K1634" s="2" t="s">
        <v>63</v>
      </c>
      <c r="L1634" s="2" t="s">
        <v>34</v>
      </c>
      <c r="M1634" s="2"/>
      <c r="N1634" s="2"/>
      <c r="O1634" s="2"/>
      <c r="P1634" s="2" t="s">
        <v>5365</v>
      </c>
      <c r="Q1634" s="2"/>
      <c r="R1634" s="2"/>
      <c r="S1634" s="5">
        <v>0.3</v>
      </c>
      <c r="T1634" s="7">
        <v>6.7119999999999997</v>
      </c>
      <c r="U1634" s="5">
        <v>3.1</v>
      </c>
      <c r="V1634" s="6">
        <v>0.16</v>
      </c>
      <c r="W1634" s="5">
        <v>17.5</v>
      </c>
      <c r="X1634" s="6">
        <v>17.75</v>
      </c>
      <c r="Y1634" s="6">
        <v>17.75</v>
      </c>
      <c r="Z1634" s="6">
        <v>17.25</v>
      </c>
      <c r="AA1634" s="2"/>
      <c r="AB1634" s="2" t="s">
        <v>47</v>
      </c>
      <c r="AC1634" s="2"/>
    </row>
    <row r="1635" spans="1:29" ht="52" x14ac:dyDescent="0.15">
      <c r="A1635" s="3">
        <f>DATE(1994,10,13)</f>
        <v>34620</v>
      </c>
      <c r="B1635" s="2"/>
      <c r="C1635" s="2" t="s">
        <v>30</v>
      </c>
      <c r="D1635" s="2" t="s">
        <v>5366</v>
      </c>
      <c r="E1635" s="2" t="s">
        <v>1888</v>
      </c>
      <c r="F1635" s="4">
        <v>4911</v>
      </c>
      <c r="G1635" s="2" t="s">
        <v>439</v>
      </c>
      <c r="H1635" s="2" t="s">
        <v>34</v>
      </c>
      <c r="I1635" s="2" t="s">
        <v>5367</v>
      </c>
      <c r="J1635" s="2" t="s">
        <v>1888</v>
      </c>
      <c r="K1635" s="2" t="s">
        <v>439</v>
      </c>
      <c r="L1635" s="2" t="s">
        <v>34</v>
      </c>
      <c r="M1635" s="2"/>
      <c r="N1635" s="2"/>
      <c r="O1635" s="2"/>
      <c r="P1635" s="2" t="s">
        <v>5368</v>
      </c>
      <c r="Q1635" s="2"/>
      <c r="R1635" s="6">
        <v>21.5</v>
      </c>
      <c r="S1635" s="5">
        <v>296.60000000000002</v>
      </c>
      <c r="T1635" s="12">
        <v>1062.876</v>
      </c>
      <c r="U1635" s="5">
        <v>19.899999999999999</v>
      </c>
      <c r="V1635" s="6">
        <v>2.15</v>
      </c>
      <c r="W1635" s="6">
        <v>16.75</v>
      </c>
      <c r="X1635" s="5">
        <v>16.5</v>
      </c>
      <c r="Y1635" s="5">
        <v>16.5</v>
      </c>
      <c r="Z1635" s="7">
        <v>17.625</v>
      </c>
      <c r="AA1635" s="6">
        <v>117.85</v>
      </c>
      <c r="AB1635" s="7">
        <v>8.859</v>
      </c>
      <c r="AC1635" s="2"/>
    </row>
    <row r="1636" spans="1:29" ht="143" x14ac:dyDescent="0.15">
      <c r="A1636" s="3">
        <f>DATE(1994,10,14)</f>
        <v>34621</v>
      </c>
      <c r="B1636" s="3">
        <f>DATE(1994,10,24)</f>
        <v>34631</v>
      </c>
      <c r="C1636" s="2" t="s">
        <v>95</v>
      </c>
      <c r="D1636" s="2" t="s">
        <v>5369</v>
      </c>
      <c r="E1636" s="2" t="s">
        <v>5370</v>
      </c>
      <c r="F1636" s="4">
        <v>3674</v>
      </c>
      <c r="G1636" s="2" t="s">
        <v>137</v>
      </c>
      <c r="H1636" s="2" t="s">
        <v>34</v>
      </c>
      <c r="I1636" s="2" t="s">
        <v>5371</v>
      </c>
      <c r="J1636" s="2" t="s">
        <v>5372</v>
      </c>
      <c r="K1636" s="2" t="s">
        <v>137</v>
      </c>
      <c r="L1636" s="2" t="s">
        <v>34</v>
      </c>
      <c r="M1636" s="7">
        <v>34.594000000000001</v>
      </c>
      <c r="N1636" s="6">
        <v>8.25</v>
      </c>
      <c r="O1636" s="6">
        <v>7.75</v>
      </c>
      <c r="P1636" s="2" t="s">
        <v>5373</v>
      </c>
      <c r="Q1636" s="6">
        <v>98.75</v>
      </c>
      <c r="R1636" s="6">
        <v>6.84</v>
      </c>
      <c r="S1636" s="5">
        <v>-0.4</v>
      </c>
      <c r="T1636" s="7">
        <v>1.274</v>
      </c>
      <c r="U1636" s="5">
        <v>8.1</v>
      </c>
      <c r="V1636" s="7">
        <v>-7.2999999999999995E-2</v>
      </c>
      <c r="W1636" s="6">
        <v>4.75</v>
      </c>
      <c r="X1636" s="5">
        <v>4.5</v>
      </c>
      <c r="Y1636" s="7">
        <v>5.125</v>
      </c>
      <c r="Z1636" s="5">
        <v>5.5</v>
      </c>
      <c r="AA1636" s="6">
        <v>5.47</v>
      </c>
      <c r="AB1636" s="2" t="s">
        <v>86</v>
      </c>
      <c r="AC1636" s="6">
        <v>10.35</v>
      </c>
    </row>
    <row r="1637" spans="1:29" ht="104" x14ac:dyDescent="0.15">
      <c r="A1637" s="3">
        <f>DATE(1994,10,14)</f>
        <v>34621</v>
      </c>
      <c r="B1637" s="3">
        <f>DATE(1994,12,13)</f>
        <v>34681</v>
      </c>
      <c r="C1637" s="2" t="s">
        <v>95</v>
      </c>
      <c r="D1637" s="2" t="s">
        <v>5374</v>
      </c>
      <c r="E1637" s="2" t="s">
        <v>5375</v>
      </c>
      <c r="F1637" s="4">
        <v>3575</v>
      </c>
      <c r="G1637" s="2" t="s">
        <v>50</v>
      </c>
      <c r="H1637" s="2" t="s">
        <v>34</v>
      </c>
      <c r="I1637" s="2" t="s">
        <v>5376</v>
      </c>
      <c r="J1637" s="2" t="s">
        <v>5377</v>
      </c>
      <c r="K1637" s="2" t="s">
        <v>53</v>
      </c>
      <c r="L1637" s="2" t="s">
        <v>34</v>
      </c>
      <c r="M1637" s="2"/>
      <c r="N1637" s="7">
        <v>3.375</v>
      </c>
      <c r="O1637" s="11">
        <v>3.28125</v>
      </c>
      <c r="P1637" s="2" t="s">
        <v>5378</v>
      </c>
      <c r="Q1637" s="6">
        <v>100</v>
      </c>
      <c r="R1637" s="2"/>
      <c r="S1637" s="5">
        <v>-1.2</v>
      </c>
      <c r="T1637" s="7">
        <v>-0.55600000000000005</v>
      </c>
      <c r="U1637" s="5">
        <v>9.3000000000000007</v>
      </c>
      <c r="V1637" s="6">
        <v>40</v>
      </c>
      <c r="W1637" s="7">
        <v>3.125</v>
      </c>
      <c r="X1637" s="7">
        <v>3.375</v>
      </c>
      <c r="Y1637" s="7">
        <v>3.375</v>
      </c>
      <c r="Z1637" s="7">
        <v>3.2810000000000001</v>
      </c>
      <c r="AA1637" s="2"/>
      <c r="AB1637" s="2" t="s">
        <v>86</v>
      </c>
      <c r="AC1637" s="2"/>
    </row>
    <row r="1638" spans="1:29" ht="65" x14ac:dyDescent="0.15">
      <c r="A1638" s="3">
        <f>DATE(1994,10,17)</f>
        <v>34624</v>
      </c>
      <c r="B1638" s="2"/>
      <c r="C1638" s="2" t="s">
        <v>87</v>
      </c>
      <c r="D1638" s="2" t="s">
        <v>5379</v>
      </c>
      <c r="E1638" s="2" t="s">
        <v>2692</v>
      </c>
      <c r="F1638" s="4">
        <v>1521</v>
      </c>
      <c r="G1638" s="2" t="s">
        <v>341</v>
      </c>
      <c r="H1638" s="2" t="s">
        <v>34</v>
      </c>
      <c r="I1638" s="2" t="s">
        <v>138</v>
      </c>
      <c r="J1638" s="2" t="s">
        <v>139</v>
      </c>
      <c r="K1638" s="2" t="s">
        <v>53</v>
      </c>
      <c r="L1638" s="2" t="s">
        <v>139</v>
      </c>
      <c r="M1638" s="2"/>
      <c r="N1638" s="2"/>
      <c r="O1638" s="2"/>
      <c r="P1638" s="2" t="s">
        <v>5380</v>
      </c>
      <c r="Q1638" s="2"/>
      <c r="R1638" s="2"/>
      <c r="S1638" s="2"/>
      <c r="T1638" s="2"/>
      <c r="U1638" s="2"/>
      <c r="V1638" s="2"/>
      <c r="W1638" s="7">
        <v>2.125</v>
      </c>
      <c r="X1638" s="7">
        <v>2.125</v>
      </c>
      <c r="Y1638" s="5">
        <v>2.5</v>
      </c>
      <c r="Z1638" s="7">
        <v>2.625</v>
      </c>
      <c r="AA1638" s="2"/>
      <c r="AB1638" s="2" t="s">
        <v>47</v>
      </c>
      <c r="AC1638" s="2"/>
    </row>
    <row r="1639" spans="1:29" ht="26" x14ac:dyDescent="0.15">
      <c r="A1639" s="3">
        <f>DATE(1994,10,18)</f>
        <v>34625</v>
      </c>
      <c r="B1639" s="3">
        <f>DATE(1994,10,24)</f>
        <v>34631</v>
      </c>
      <c r="C1639" s="2" t="s">
        <v>95</v>
      </c>
      <c r="D1639" s="2" t="s">
        <v>5381</v>
      </c>
      <c r="E1639" s="2" t="s">
        <v>5382</v>
      </c>
      <c r="F1639" s="4">
        <v>3541</v>
      </c>
      <c r="G1639" s="2" t="s">
        <v>300</v>
      </c>
      <c r="H1639" s="2" t="s">
        <v>34</v>
      </c>
      <c r="I1639" s="2" t="s">
        <v>5383</v>
      </c>
      <c r="J1639" s="2" t="s">
        <v>5384</v>
      </c>
      <c r="K1639" s="2" t="s">
        <v>112</v>
      </c>
      <c r="L1639" s="2" t="s">
        <v>34</v>
      </c>
      <c r="M1639" s="2"/>
      <c r="N1639" s="2"/>
      <c r="O1639" s="2"/>
      <c r="P1639" s="2" t="s">
        <v>5385</v>
      </c>
      <c r="Q1639" s="6">
        <v>100</v>
      </c>
      <c r="R1639" s="2"/>
      <c r="S1639" s="2"/>
      <c r="T1639" s="2"/>
      <c r="U1639" s="2"/>
      <c r="V1639" s="2"/>
      <c r="W1639" s="6">
        <v>46.25</v>
      </c>
      <c r="X1639" s="6">
        <v>51.75</v>
      </c>
      <c r="Y1639" s="6">
        <v>46.25</v>
      </c>
      <c r="Z1639" s="5">
        <v>45.5</v>
      </c>
      <c r="AA1639" s="6">
        <v>0.7</v>
      </c>
      <c r="AB1639" s="2" t="s">
        <v>47</v>
      </c>
      <c r="AC1639" s="2"/>
    </row>
    <row r="1640" spans="1:29" ht="156" x14ac:dyDescent="0.15">
      <c r="A1640" s="3">
        <f>DATE(1994,10,20)</f>
        <v>34627</v>
      </c>
      <c r="B1640" s="3">
        <f>DATE(1995,1,30)</f>
        <v>34729</v>
      </c>
      <c r="C1640" s="2" t="s">
        <v>95</v>
      </c>
      <c r="D1640" s="2" t="s">
        <v>5260</v>
      </c>
      <c r="E1640" s="2" t="s">
        <v>5261</v>
      </c>
      <c r="F1640" s="4">
        <v>3621</v>
      </c>
      <c r="G1640" s="2" t="s">
        <v>137</v>
      </c>
      <c r="H1640" s="2" t="s">
        <v>34</v>
      </c>
      <c r="I1640" s="2" t="s">
        <v>5386</v>
      </c>
      <c r="J1640" s="2" t="s">
        <v>5387</v>
      </c>
      <c r="K1640" s="2" t="s">
        <v>219</v>
      </c>
      <c r="L1640" s="2" t="s">
        <v>34</v>
      </c>
      <c r="M1640" s="10">
        <v>7709.27</v>
      </c>
      <c r="N1640" s="4">
        <v>36</v>
      </c>
      <c r="O1640" s="5">
        <v>35.5</v>
      </c>
      <c r="P1640" s="2" t="s">
        <v>5388</v>
      </c>
      <c r="Q1640" s="6">
        <v>100</v>
      </c>
      <c r="R1640" s="6">
        <v>31</v>
      </c>
      <c r="S1640" s="5">
        <v>52</v>
      </c>
      <c r="T1640" s="5">
        <v>176</v>
      </c>
      <c r="U1640" s="5">
        <v>10.5</v>
      </c>
      <c r="V1640" s="6">
        <v>1.04</v>
      </c>
      <c r="W1640" s="4">
        <v>25</v>
      </c>
      <c r="X1640" s="5">
        <v>24.5</v>
      </c>
      <c r="Y1640" s="4">
        <v>25</v>
      </c>
      <c r="Z1640" s="7">
        <v>25.625</v>
      </c>
      <c r="AA1640" s="6">
        <v>50.29</v>
      </c>
      <c r="AB1640" s="7">
        <v>12.576000000000001</v>
      </c>
      <c r="AC1640" s="5">
        <v>628.29999999999995</v>
      </c>
    </row>
    <row r="1641" spans="1:29" ht="78" x14ac:dyDescent="0.15">
      <c r="A1641" s="3">
        <f>DATE(1994,10,21)</f>
        <v>34628</v>
      </c>
      <c r="B1641" s="2"/>
      <c r="C1641" s="2" t="s">
        <v>30</v>
      </c>
      <c r="D1641" s="2" t="s">
        <v>5389</v>
      </c>
      <c r="E1641" s="2" t="s">
        <v>4760</v>
      </c>
      <c r="F1641" s="4">
        <v>4832</v>
      </c>
      <c r="G1641" s="2" t="s">
        <v>45</v>
      </c>
      <c r="H1641" s="2" t="s">
        <v>34</v>
      </c>
      <c r="I1641" s="2" t="s">
        <v>5390</v>
      </c>
      <c r="J1641" s="2" t="s">
        <v>5391</v>
      </c>
      <c r="K1641" s="2" t="s">
        <v>45</v>
      </c>
      <c r="L1641" s="2" t="s">
        <v>34</v>
      </c>
      <c r="M1641" s="2"/>
      <c r="N1641" s="2"/>
      <c r="O1641" s="2"/>
      <c r="P1641" s="2" t="s">
        <v>5392</v>
      </c>
      <c r="Q1641" s="2"/>
      <c r="R1641" s="6">
        <v>20</v>
      </c>
      <c r="S1641" s="5">
        <v>-20.7</v>
      </c>
      <c r="T1641" s="6">
        <v>30.47</v>
      </c>
      <c r="U1641" s="5">
        <v>1.6</v>
      </c>
      <c r="V1641" s="7">
        <v>-1.0489999999999999</v>
      </c>
      <c r="W1641" s="6">
        <v>15.75</v>
      </c>
      <c r="X1641" s="6">
        <v>15.75</v>
      </c>
      <c r="Y1641" s="6">
        <v>17.25</v>
      </c>
      <c r="Z1641" s="7">
        <v>17.375</v>
      </c>
      <c r="AA1641" s="6">
        <v>8.65</v>
      </c>
      <c r="AB1641" s="2" t="s">
        <v>86</v>
      </c>
      <c r="AC1641" s="2"/>
    </row>
    <row r="1642" spans="1:29" ht="117" x14ac:dyDescent="0.15">
      <c r="A1642" s="3">
        <f>DATE(1994,10,21)</f>
        <v>34628</v>
      </c>
      <c r="B1642" s="3">
        <f>DATE(1995,4,1)</f>
        <v>34790</v>
      </c>
      <c r="C1642" s="2" t="s">
        <v>95</v>
      </c>
      <c r="D1642" s="2" t="s">
        <v>5393</v>
      </c>
      <c r="E1642" s="2" t="s">
        <v>5394</v>
      </c>
      <c r="F1642" s="4">
        <v>5159</v>
      </c>
      <c r="G1642" s="2" t="s">
        <v>593</v>
      </c>
      <c r="H1642" s="2" t="s">
        <v>34</v>
      </c>
      <c r="I1642" s="2" t="s">
        <v>5395</v>
      </c>
      <c r="J1642" s="2" t="s">
        <v>5396</v>
      </c>
      <c r="K1642" s="2" t="s">
        <v>5397</v>
      </c>
      <c r="L1642" s="2" t="s">
        <v>34</v>
      </c>
      <c r="M1642" s="7">
        <v>269.38600000000002</v>
      </c>
      <c r="N1642" s="6">
        <v>20.75</v>
      </c>
      <c r="O1642" s="5">
        <v>21.5</v>
      </c>
      <c r="P1642" s="2" t="s">
        <v>5398</v>
      </c>
      <c r="Q1642" s="6">
        <v>100</v>
      </c>
      <c r="R1642" s="6">
        <v>21.38</v>
      </c>
      <c r="S1642" s="5">
        <v>19.899999999999999</v>
      </c>
      <c r="T1642" s="7">
        <v>37.179000000000002</v>
      </c>
      <c r="U1642" s="5">
        <v>9.6</v>
      </c>
      <c r="V1642" s="6">
        <v>1.0900000000000001</v>
      </c>
      <c r="W1642" s="7">
        <v>14.125</v>
      </c>
      <c r="X1642" s="5">
        <v>14.5</v>
      </c>
      <c r="Y1642" s="7">
        <v>15.625</v>
      </c>
      <c r="Z1642" s="4">
        <v>15</v>
      </c>
      <c r="AA1642" s="6">
        <v>18.100000000000001</v>
      </c>
      <c r="AB1642" s="7">
        <v>16.806000000000001</v>
      </c>
      <c r="AC1642" s="6">
        <v>6.48</v>
      </c>
    </row>
    <row r="1643" spans="1:29" ht="143" x14ac:dyDescent="0.15">
      <c r="A1643" s="3">
        <f>DATE(1994,10,24)</f>
        <v>34631</v>
      </c>
      <c r="B1643" s="3">
        <f>DATE(1995,7,17)</f>
        <v>34897</v>
      </c>
      <c r="C1643" s="2" t="s">
        <v>95</v>
      </c>
      <c r="D1643" s="2" t="s">
        <v>5399</v>
      </c>
      <c r="E1643" s="2" t="s">
        <v>2898</v>
      </c>
      <c r="F1643" s="4">
        <v>6022</v>
      </c>
      <c r="G1643" s="2" t="s">
        <v>37</v>
      </c>
      <c r="H1643" s="2" t="s">
        <v>34</v>
      </c>
      <c r="I1643" s="2" t="s">
        <v>5400</v>
      </c>
      <c r="J1643" s="2" t="s">
        <v>265</v>
      </c>
      <c r="K1643" s="2" t="s">
        <v>37</v>
      </c>
      <c r="L1643" s="2" t="s">
        <v>34</v>
      </c>
      <c r="M1643" s="7">
        <v>207.81200000000001</v>
      </c>
      <c r="N1643" s="4">
        <v>52</v>
      </c>
      <c r="O1643" s="4">
        <v>50</v>
      </c>
      <c r="P1643" s="2" t="s">
        <v>5401</v>
      </c>
      <c r="Q1643" s="6">
        <v>100</v>
      </c>
      <c r="R1643" s="6">
        <v>12.81</v>
      </c>
      <c r="S1643" s="5">
        <v>1.1000000000000001</v>
      </c>
      <c r="T1643" s="7">
        <v>2.4569999999999999</v>
      </c>
      <c r="U1643" s="5">
        <v>8.1</v>
      </c>
      <c r="V1643" s="6">
        <v>0.52</v>
      </c>
      <c r="W1643" s="4">
        <v>12</v>
      </c>
      <c r="X1643" s="6">
        <v>12.25</v>
      </c>
      <c r="Y1643" s="6">
        <v>11.25</v>
      </c>
      <c r="Z1643" s="6">
        <v>11.25</v>
      </c>
      <c r="AA1643" s="6">
        <v>2.0499999999999998</v>
      </c>
      <c r="AB1643" s="7">
        <v>125.441</v>
      </c>
      <c r="AC1643" s="2"/>
    </row>
    <row r="1644" spans="1:29" ht="39" x14ac:dyDescent="0.15">
      <c r="A1644" s="3">
        <f>DATE(1994,10,24)</f>
        <v>34631</v>
      </c>
      <c r="B1644" s="3">
        <f>DATE(1995,4,3)</f>
        <v>34792</v>
      </c>
      <c r="C1644" s="2" t="s">
        <v>95</v>
      </c>
      <c r="D1644" s="2" t="s">
        <v>4125</v>
      </c>
      <c r="E1644" s="2" t="s">
        <v>4126</v>
      </c>
      <c r="F1644" s="4">
        <v>3861</v>
      </c>
      <c r="G1644" s="2" t="s">
        <v>226</v>
      </c>
      <c r="H1644" s="2" t="s">
        <v>34</v>
      </c>
      <c r="I1644" s="2" t="s">
        <v>5402</v>
      </c>
      <c r="J1644" s="2" t="s">
        <v>5403</v>
      </c>
      <c r="K1644" s="2" t="s">
        <v>76</v>
      </c>
      <c r="L1644" s="2" t="s">
        <v>34</v>
      </c>
      <c r="M1644" s="2"/>
      <c r="N1644" s="2"/>
      <c r="O1644" s="2"/>
      <c r="P1644" s="2" t="s">
        <v>5404</v>
      </c>
      <c r="Q1644" s="6">
        <v>100</v>
      </c>
      <c r="R1644" s="6">
        <v>10.43</v>
      </c>
      <c r="S1644" s="5">
        <v>-97.4</v>
      </c>
      <c r="T1644" s="7">
        <v>3.698</v>
      </c>
      <c r="U1644" s="5">
        <v>-138.19999999999999</v>
      </c>
      <c r="V1644" s="6">
        <v>-57.52</v>
      </c>
      <c r="W1644" s="5">
        <v>1.5</v>
      </c>
      <c r="X1644" s="5">
        <v>1.5</v>
      </c>
      <c r="Y1644" s="5">
        <v>1.5</v>
      </c>
      <c r="Z1644" s="5">
        <v>1.5</v>
      </c>
      <c r="AA1644" s="6">
        <v>3.84</v>
      </c>
      <c r="AB1644" s="2" t="s">
        <v>86</v>
      </c>
      <c r="AC1644" s="2"/>
    </row>
    <row r="1645" spans="1:29" ht="39" x14ac:dyDescent="0.15">
      <c r="A1645" s="3">
        <f>DATE(1994,10,25)</f>
        <v>34632</v>
      </c>
      <c r="B1645" s="3">
        <f>DATE(1994,10,25)</f>
        <v>34632</v>
      </c>
      <c r="C1645" s="2" t="s">
        <v>95</v>
      </c>
      <c r="D1645" s="2" t="s">
        <v>5405</v>
      </c>
      <c r="E1645" s="2" t="s">
        <v>4209</v>
      </c>
      <c r="F1645" s="4">
        <v>3511</v>
      </c>
      <c r="G1645" s="2" t="s">
        <v>300</v>
      </c>
      <c r="H1645" s="2" t="s">
        <v>34</v>
      </c>
      <c r="I1645" s="2" t="s">
        <v>4210</v>
      </c>
      <c r="J1645" s="2" t="s">
        <v>4211</v>
      </c>
      <c r="K1645" s="2" t="s">
        <v>439</v>
      </c>
      <c r="L1645" s="2" t="s">
        <v>34</v>
      </c>
      <c r="M1645" s="2"/>
      <c r="N1645" s="7">
        <v>9.5630000000000006</v>
      </c>
      <c r="O1645" s="7">
        <v>9.625</v>
      </c>
      <c r="P1645" s="2" t="s">
        <v>5406</v>
      </c>
      <c r="Q1645" s="6">
        <v>50.4</v>
      </c>
      <c r="R1645" s="2"/>
      <c r="S1645" s="5">
        <v>-0.5</v>
      </c>
      <c r="T1645" s="7">
        <v>-0.17199999999999999</v>
      </c>
      <c r="U1645" s="5">
        <v>0.2</v>
      </c>
      <c r="V1645" s="6">
        <v>-0.08</v>
      </c>
      <c r="W1645" s="7">
        <v>2.0310000000000001</v>
      </c>
      <c r="X1645" s="7">
        <v>2.125</v>
      </c>
      <c r="Y1645" s="7">
        <v>1.875</v>
      </c>
      <c r="Z1645" s="4">
        <v>2</v>
      </c>
      <c r="AA1645" s="2"/>
      <c r="AB1645" s="2" t="s">
        <v>86</v>
      </c>
      <c r="AC1645" s="2"/>
    </row>
    <row r="1646" spans="1:29" ht="156" x14ac:dyDescent="0.15">
      <c r="A1646" s="3">
        <f>DATE(1994,10,25)</f>
        <v>34632</v>
      </c>
      <c r="B1646" s="3">
        <f>DATE(1995,2,28)</f>
        <v>34758</v>
      </c>
      <c r="C1646" s="2" t="s">
        <v>95</v>
      </c>
      <c r="D1646" s="2" t="s">
        <v>3682</v>
      </c>
      <c r="E1646" s="2" t="s">
        <v>36</v>
      </c>
      <c r="F1646" s="4">
        <v>6022</v>
      </c>
      <c r="G1646" s="2" t="s">
        <v>37</v>
      </c>
      <c r="H1646" s="2" t="s">
        <v>34</v>
      </c>
      <c r="I1646" s="2" t="s">
        <v>5407</v>
      </c>
      <c r="J1646" s="2" t="s">
        <v>1181</v>
      </c>
      <c r="K1646" s="2" t="s">
        <v>37</v>
      </c>
      <c r="L1646" s="2" t="s">
        <v>34</v>
      </c>
      <c r="M1646" s="7">
        <v>43.351999999999997</v>
      </c>
      <c r="N1646" s="6">
        <v>16.75</v>
      </c>
      <c r="O1646" s="5">
        <v>16.5</v>
      </c>
      <c r="P1646" s="2" t="s">
        <v>5408</v>
      </c>
      <c r="Q1646" s="6">
        <v>100</v>
      </c>
      <c r="R1646" s="6">
        <v>9.9</v>
      </c>
      <c r="S1646" s="5">
        <v>4</v>
      </c>
      <c r="T1646" s="7">
        <v>5.8410000000000002</v>
      </c>
      <c r="U1646" s="5">
        <v>18.7</v>
      </c>
      <c r="V1646" s="9">
        <v>3.0234999999999999</v>
      </c>
      <c r="W1646" s="5">
        <v>16.5</v>
      </c>
      <c r="X1646" s="6">
        <v>16.25</v>
      </c>
      <c r="Y1646" s="6">
        <v>16.75</v>
      </c>
      <c r="Z1646" s="5">
        <v>16.5</v>
      </c>
      <c r="AA1646" s="6">
        <v>2.13</v>
      </c>
      <c r="AB1646" s="7">
        <v>3.2040000000000002</v>
      </c>
      <c r="AC1646" s="2"/>
    </row>
    <row r="1647" spans="1:29" ht="143" x14ac:dyDescent="0.15">
      <c r="A1647" s="3">
        <f>DATE(1994,10,26)</f>
        <v>34633</v>
      </c>
      <c r="B1647" s="3">
        <f>DATE(1995,5,11)</f>
        <v>34830</v>
      </c>
      <c r="C1647" s="2" t="s">
        <v>95</v>
      </c>
      <c r="D1647" s="2" t="s">
        <v>5409</v>
      </c>
      <c r="E1647" s="2" t="s">
        <v>5410</v>
      </c>
      <c r="F1647" s="4">
        <v>4833</v>
      </c>
      <c r="G1647" s="2" t="s">
        <v>45</v>
      </c>
      <c r="H1647" s="2" t="s">
        <v>34</v>
      </c>
      <c r="I1647" s="2" t="s">
        <v>51</v>
      </c>
      <c r="J1647" s="2" t="s">
        <v>52</v>
      </c>
      <c r="K1647" s="2" t="s">
        <v>53</v>
      </c>
      <c r="L1647" s="2" t="s">
        <v>34</v>
      </c>
      <c r="M1647" s="2"/>
      <c r="N1647" s="2"/>
      <c r="O1647" s="2"/>
      <c r="P1647" s="2" t="s">
        <v>5411</v>
      </c>
      <c r="Q1647" s="6">
        <v>100</v>
      </c>
      <c r="R1647" s="6">
        <v>30.5</v>
      </c>
      <c r="S1647" s="5">
        <v>18.8</v>
      </c>
      <c r="T1647" s="7">
        <v>47.066000000000003</v>
      </c>
      <c r="U1647" s="5">
        <v>12.2</v>
      </c>
      <c r="V1647" s="6">
        <v>0.91</v>
      </c>
      <c r="W1647" s="5">
        <v>19.5</v>
      </c>
      <c r="X1647" s="6">
        <v>19.25</v>
      </c>
      <c r="Y1647" s="4">
        <v>22</v>
      </c>
      <c r="Z1647" s="6">
        <v>22.75</v>
      </c>
      <c r="AA1647" s="6">
        <v>20.72</v>
      </c>
      <c r="AB1647" s="7">
        <v>20.263999999999999</v>
      </c>
      <c r="AC1647" s="2"/>
    </row>
    <row r="1648" spans="1:29" ht="39" x14ac:dyDescent="0.15">
      <c r="A1648" s="3">
        <f>DATE(1994,10,27)</f>
        <v>34634</v>
      </c>
      <c r="B1648" s="2"/>
      <c r="C1648" s="2" t="s">
        <v>30</v>
      </c>
      <c r="D1648" s="2" t="s">
        <v>5412</v>
      </c>
      <c r="E1648" s="2" t="s">
        <v>389</v>
      </c>
      <c r="F1648" s="4">
        <v>6035</v>
      </c>
      <c r="G1648" s="2" t="s">
        <v>33</v>
      </c>
      <c r="H1648" s="2" t="s">
        <v>34</v>
      </c>
      <c r="I1648" s="2" t="s">
        <v>138</v>
      </c>
      <c r="J1648" s="2" t="s">
        <v>139</v>
      </c>
      <c r="K1648" s="2" t="s">
        <v>53</v>
      </c>
      <c r="L1648" s="2" t="s">
        <v>139</v>
      </c>
      <c r="M1648" s="2"/>
      <c r="N1648" s="2"/>
      <c r="O1648" s="2"/>
      <c r="P1648" s="2" t="s">
        <v>5413</v>
      </c>
      <c r="Q1648" s="2"/>
      <c r="R1648" s="2"/>
      <c r="S1648" s="5">
        <v>27.4</v>
      </c>
      <c r="T1648" s="7">
        <v>30.827000000000002</v>
      </c>
      <c r="U1648" s="5">
        <v>18.5</v>
      </c>
      <c r="V1648" s="6">
        <v>2.29</v>
      </c>
      <c r="W1648" s="7">
        <v>17.625</v>
      </c>
      <c r="X1648" s="6">
        <v>17.75</v>
      </c>
      <c r="Y1648" s="5">
        <v>19.5</v>
      </c>
      <c r="Z1648" s="5">
        <v>21.5</v>
      </c>
      <c r="AA1648" s="2"/>
      <c r="AB1648" s="2" t="s">
        <v>47</v>
      </c>
      <c r="AC1648" s="2"/>
    </row>
    <row r="1649" spans="1:29" ht="130" x14ac:dyDescent="0.15">
      <c r="A1649" s="3">
        <f>DATE(1994,10,27)</f>
        <v>34634</v>
      </c>
      <c r="B1649" s="3">
        <f>DATE(1995,7,3)</f>
        <v>34883</v>
      </c>
      <c r="C1649" s="2" t="s">
        <v>95</v>
      </c>
      <c r="D1649" s="2" t="s">
        <v>5414</v>
      </c>
      <c r="E1649" s="2" t="s">
        <v>32</v>
      </c>
      <c r="F1649" s="4">
        <v>6035</v>
      </c>
      <c r="G1649" s="2" t="s">
        <v>33</v>
      </c>
      <c r="H1649" s="2" t="s">
        <v>34</v>
      </c>
      <c r="I1649" s="2" t="s">
        <v>5415</v>
      </c>
      <c r="J1649" s="2" t="s">
        <v>36</v>
      </c>
      <c r="K1649" s="2" t="s">
        <v>37</v>
      </c>
      <c r="L1649" s="2" t="s">
        <v>34</v>
      </c>
      <c r="M1649" s="7">
        <v>341.55700000000002</v>
      </c>
      <c r="N1649" s="4">
        <v>20</v>
      </c>
      <c r="O1649" s="5">
        <v>19.5</v>
      </c>
      <c r="P1649" s="2" t="s">
        <v>5416</v>
      </c>
      <c r="Q1649" s="6">
        <v>100</v>
      </c>
      <c r="R1649" s="6">
        <v>16.5</v>
      </c>
      <c r="S1649" s="5">
        <v>7.6</v>
      </c>
      <c r="T1649" s="7">
        <v>11.077999999999999</v>
      </c>
      <c r="U1649" s="5">
        <v>9.9</v>
      </c>
      <c r="V1649" s="2"/>
      <c r="W1649" s="9">
        <v>14.5625</v>
      </c>
      <c r="X1649" s="6">
        <v>14.75</v>
      </c>
      <c r="Y1649" s="6">
        <v>14.75</v>
      </c>
      <c r="Z1649" s="7">
        <v>14.125</v>
      </c>
      <c r="AA1649" s="6">
        <v>4.71</v>
      </c>
      <c r="AB1649" s="7">
        <v>45.213000000000001</v>
      </c>
      <c r="AC1649" s="2"/>
    </row>
    <row r="1650" spans="1:29" ht="39" x14ac:dyDescent="0.15">
      <c r="A1650" s="3">
        <f>DATE(1994,10,28)</f>
        <v>34635</v>
      </c>
      <c r="B1650" s="2"/>
      <c r="C1650" s="2" t="s">
        <v>30</v>
      </c>
      <c r="D1650" s="2" t="s">
        <v>5417</v>
      </c>
      <c r="E1650" s="2" t="s">
        <v>5418</v>
      </c>
      <c r="F1650" s="4">
        <v>1389</v>
      </c>
      <c r="G1650" s="2" t="s">
        <v>148</v>
      </c>
      <c r="H1650" s="2" t="s">
        <v>34</v>
      </c>
      <c r="I1650" s="2" t="s">
        <v>5419</v>
      </c>
      <c r="J1650" s="2" t="s">
        <v>5246</v>
      </c>
      <c r="K1650" s="2" t="s">
        <v>148</v>
      </c>
      <c r="L1650" s="2" t="s">
        <v>2823</v>
      </c>
      <c r="M1650" s="2"/>
      <c r="N1650" s="2"/>
      <c r="O1650" s="2"/>
      <c r="P1650" s="2" t="s">
        <v>5420</v>
      </c>
      <c r="Q1650" s="2"/>
      <c r="R1650" s="2"/>
      <c r="S1650" s="2"/>
      <c r="T1650" s="2"/>
      <c r="U1650" s="2"/>
      <c r="V1650" s="2"/>
      <c r="W1650" s="5">
        <v>12.5</v>
      </c>
      <c r="X1650" s="7">
        <v>12.375</v>
      </c>
      <c r="Y1650" s="7">
        <v>12.875</v>
      </c>
      <c r="Z1650" s="6">
        <v>13.25</v>
      </c>
      <c r="AA1650" s="2"/>
      <c r="AB1650" s="2" t="s">
        <v>47</v>
      </c>
      <c r="AC1650" s="2"/>
    </row>
    <row r="1651" spans="1:29" ht="91" x14ac:dyDescent="0.15">
      <c r="A1651" s="3">
        <f>DATE(1994,10,28)</f>
        <v>34635</v>
      </c>
      <c r="B1651" s="3">
        <f>DATE(1994,10,28)</f>
        <v>34635</v>
      </c>
      <c r="C1651" s="2" t="s">
        <v>95</v>
      </c>
      <c r="D1651" s="2" t="s">
        <v>5421</v>
      </c>
      <c r="E1651" s="2" t="s">
        <v>5422</v>
      </c>
      <c r="F1651" s="4">
        <v>4522</v>
      </c>
      <c r="G1651" s="2" t="s">
        <v>59</v>
      </c>
      <c r="H1651" s="2" t="s">
        <v>34</v>
      </c>
      <c r="I1651" s="2" t="s">
        <v>51</v>
      </c>
      <c r="J1651" s="2" t="s">
        <v>52</v>
      </c>
      <c r="K1651" s="2" t="s">
        <v>53</v>
      </c>
      <c r="L1651" s="2" t="s">
        <v>34</v>
      </c>
      <c r="M1651" s="2"/>
      <c r="N1651" s="2"/>
      <c r="O1651" s="2"/>
      <c r="P1651" s="2" t="s">
        <v>5423</v>
      </c>
      <c r="Q1651" s="6">
        <v>55.91</v>
      </c>
      <c r="R1651" s="6">
        <v>9.86</v>
      </c>
      <c r="S1651" s="5">
        <v>-30.9</v>
      </c>
      <c r="T1651" s="5">
        <v>-15.7</v>
      </c>
      <c r="U1651" s="5">
        <v>-6.7</v>
      </c>
      <c r="V1651" s="6">
        <v>-2.12</v>
      </c>
      <c r="W1651" s="6">
        <v>9.75</v>
      </c>
      <c r="X1651" s="4">
        <v>9</v>
      </c>
      <c r="Y1651" s="6">
        <v>9.25</v>
      </c>
      <c r="Z1651" s="5">
        <v>9.5</v>
      </c>
      <c r="AA1651" s="6">
        <v>1.1499999999999999</v>
      </c>
      <c r="AB1651" s="2" t="s">
        <v>86</v>
      </c>
      <c r="AC1651" s="2"/>
    </row>
    <row r="1652" spans="1:29" ht="156" x14ac:dyDescent="0.15">
      <c r="A1652" s="3">
        <f>DATE(1994,10,28)</f>
        <v>34635</v>
      </c>
      <c r="B1652" s="2"/>
      <c r="C1652" s="2" t="s">
        <v>30</v>
      </c>
      <c r="D1652" s="2" t="s">
        <v>5424</v>
      </c>
      <c r="E1652" s="2" t="s">
        <v>5425</v>
      </c>
      <c r="F1652" s="4">
        <v>5311</v>
      </c>
      <c r="G1652" s="2" t="s">
        <v>756</v>
      </c>
      <c r="H1652" s="2" t="s">
        <v>34</v>
      </c>
      <c r="I1652" s="2" t="s">
        <v>5426</v>
      </c>
      <c r="J1652" s="2" t="s">
        <v>5427</v>
      </c>
      <c r="K1652" s="2" t="s">
        <v>756</v>
      </c>
      <c r="L1652" s="2" t="s">
        <v>34</v>
      </c>
      <c r="M1652" s="2"/>
      <c r="N1652" s="7">
        <v>19.875</v>
      </c>
      <c r="O1652" s="6">
        <v>19.25</v>
      </c>
      <c r="P1652" s="2" t="s">
        <v>5428</v>
      </c>
      <c r="Q1652" s="2"/>
      <c r="R1652" s="6">
        <v>19</v>
      </c>
      <c r="S1652" s="5">
        <v>13.5</v>
      </c>
      <c r="T1652" s="7">
        <v>39.610999999999997</v>
      </c>
      <c r="U1652" s="5">
        <v>19.899999999999999</v>
      </c>
      <c r="V1652" s="6">
        <v>1.47</v>
      </c>
      <c r="W1652" s="4">
        <v>15</v>
      </c>
      <c r="X1652" s="6">
        <v>15.75</v>
      </c>
      <c r="Y1652" s="4">
        <v>19</v>
      </c>
      <c r="Z1652" s="5">
        <v>19.5</v>
      </c>
      <c r="AA1652" s="6">
        <v>8.9700000000000006</v>
      </c>
      <c r="AB1652" s="7">
        <v>9.2240000000000002</v>
      </c>
      <c r="AC1652" s="6">
        <v>30.24</v>
      </c>
    </row>
    <row r="1653" spans="1:29" ht="117" x14ac:dyDescent="0.15">
      <c r="A1653" s="3">
        <f>DATE(1994,10,31)</f>
        <v>34638</v>
      </c>
      <c r="B1653" s="3">
        <f>DATE(1995,2,21)</f>
        <v>34751</v>
      </c>
      <c r="C1653" s="2" t="s">
        <v>95</v>
      </c>
      <c r="D1653" s="2" t="s">
        <v>5429</v>
      </c>
      <c r="E1653" s="2" t="s">
        <v>5430</v>
      </c>
      <c r="F1653" s="4">
        <v>2833</v>
      </c>
      <c r="G1653" s="2" t="s">
        <v>130</v>
      </c>
      <c r="H1653" s="2" t="s">
        <v>34</v>
      </c>
      <c r="I1653" s="2" t="s">
        <v>5431</v>
      </c>
      <c r="J1653" s="2" t="s">
        <v>5432</v>
      </c>
      <c r="K1653" s="2" t="s">
        <v>130</v>
      </c>
      <c r="L1653" s="2" t="s">
        <v>34</v>
      </c>
      <c r="M1653" s="7">
        <v>77.153000000000006</v>
      </c>
      <c r="N1653" s="7">
        <v>7.875</v>
      </c>
      <c r="O1653" s="7">
        <v>7.375</v>
      </c>
      <c r="P1653" s="2" t="s">
        <v>5433</v>
      </c>
      <c r="Q1653" s="6">
        <v>100</v>
      </c>
      <c r="R1653" s="6">
        <v>6.82</v>
      </c>
      <c r="S1653" s="5">
        <v>-8.1999999999999993</v>
      </c>
      <c r="T1653" s="7">
        <v>-4.1970000000000001</v>
      </c>
      <c r="U1653" s="5">
        <v>4.9000000000000004</v>
      </c>
      <c r="V1653" s="6">
        <v>-0.57999999999999996</v>
      </c>
      <c r="W1653" s="7">
        <v>5.375</v>
      </c>
      <c r="X1653" s="6">
        <v>5.25</v>
      </c>
      <c r="Y1653" s="7">
        <v>5.2969999999999997</v>
      </c>
      <c r="Z1653" s="7">
        <v>5.5629999999999997</v>
      </c>
      <c r="AA1653" s="6">
        <v>13.96</v>
      </c>
      <c r="AB1653" s="2" t="s">
        <v>86</v>
      </c>
      <c r="AC1653" s="2"/>
    </row>
    <row r="1654" spans="1:29" ht="143" x14ac:dyDescent="0.15">
      <c r="A1654" s="3">
        <f>DATE(1994,11,1)</f>
        <v>34639</v>
      </c>
      <c r="B1654" s="2"/>
      <c r="C1654" s="2" t="s">
        <v>30</v>
      </c>
      <c r="D1654" s="2" t="s">
        <v>2626</v>
      </c>
      <c r="E1654" s="2" t="s">
        <v>2627</v>
      </c>
      <c r="F1654" s="4">
        <v>5531</v>
      </c>
      <c r="G1654" s="2" t="s">
        <v>73</v>
      </c>
      <c r="H1654" s="2" t="s">
        <v>34</v>
      </c>
      <c r="I1654" s="2" t="s">
        <v>5434</v>
      </c>
      <c r="J1654" s="2" t="s">
        <v>5435</v>
      </c>
      <c r="K1654" s="2" t="s">
        <v>73</v>
      </c>
      <c r="L1654" s="2" t="s">
        <v>34</v>
      </c>
      <c r="M1654" s="2"/>
      <c r="N1654" s="2"/>
      <c r="O1654" s="2"/>
      <c r="P1654" s="2" t="s">
        <v>5436</v>
      </c>
      <c r="Q1654" s="2"/>
      <c r="R1654" s="6">
        <v>18</v>
      </c>
      <c r="S1654" s="5">
        <v>2.7</v>
      </c>
      <c r="T1654" s="7">
        <v>9.5540000000000003</v>
      </c>
      <c r="U1654" s="5">
        <v>10.6</v>
      </c>
      <c r="V1654" s="6">
        <v>0.8</v>
      </c>
      <c r="W1654" s="7">
        <v>15.375</v>
      </c>
      <c r="X1654" s="7">
        <v>15.625</v>
      </c>
      <c r="Y1654" s="4">
        <v>16</v>
      </c>
      <c r="Z1654" s="5">
        <v>15.5</v>
      </c>
      <c r="AA1654" s="6">
        <v>3.3</v>
      </c>
      <c r="AB1654" s="7">
        <v>9.2100000000000009</v>
      </c>
      <c r="AC1654" s="2"/>
    </row>
    <row r="1655" spans="1:29" ht="78" x14ac:dyDescent="0.15">
      <c r="A1655" s="3">
        <f>DATE(1994,11,1)</f>
        <v>34639</v>
      </c>
      <c r="B1655" s="3">
        <f>DATE(1995,10,16)</f>
        <v>34988</v>
      </c>
      <c r="C1655" s="2" t="s">
        <v>95</v>
      </c>
      <c r="D1655" s="2" t="s">
        <v>5437</v>
      </c>
      <c r="E1655" s="2" t="s">
        <v>5438</v>
      </c>
      <c r="F1655" s="4">
        <v>7311</v>
      </c>
      <c r="G1655" s="2" t="s">
        <v>4563</v>
      </c>
      <c r="H1655" s="2" t="s">
        <v>34</v>
      </c>
      <c r="I1655" s="2" t="s">
        <v>5439</v>
      </c>
      <c r="J1655" s="2" t="s">
        <v>244</v>
      </c>
      <c r="K1655" s="2" t="s">
        <v>53</v>
      </c>
      <c r="L1655" s="2" t="s">
        <v>34</v>
      </c>
      <c r="M1655" s="2"/>
      <c r="N1655" s="2"/>
      <c r="O1655" s="2"/>
      <c r="P1655" s="2" t="s">
        <v>5440</v>
      </c>
      <c r="Q1655" s="6">
        <v>52</v>
      </c>
      <c r="R1655" s="6">
        <v>4.25</v>
      </c>
      <c r="S1655" s="5">
        <v>0.2</v>
      </c>
      <c r="T1655" s="7">
        <v>6.8380000000000001</v>
      </c>
      <c r="U1655" s="5">
        <v>5.9</v>
      </c>
      <c r="V1655" s="6">
        <v>0.02</v>
      </c>
      <c r="W1655" s="7">
        <v>2.375</v>
      </c>
      <c r="X1655" s="7">
        <v>2.875</v>
      </c>
      <c r="Y1655" s="7">
        <v>2.875</v>
      </c>
      <c r="Z1655" s="7">
        <v>3.375</v>
      </c>
      <c r="AA1655" s="6">
        <v>5.88</v>
      </c>
      <c r="AB1655" s="7">
        <v>16.655999999999999</v>
      </c>
      <c r="AC1655" s="2"/>
    </row>
    <row r="1656" spans="1:29" ht="39" x14ac:dyDescent="0.15">
      <c r="A1656" s="3">
        <f>DATE(1994,11,1)</f>
        <v>34639</v>
      </c>
      <c r="B1656" s="2"/>
      <c r="C1656" s="2" t="s">
        <v>87</v>
      </c>
      <c r="D1656" s="2" t="s">
        <v>5441</v>
      </c>
      <c r="E1656" s="2" t="s">
        <v>2712</v>
      </c>
      <c r="F1656" s="4">
        <v>6211</v>
      </c>
      <c r="G1656" s="2" t="s">
        <v>53</v>
      </c>
      <c r="H1656" s="2" t="s">
        <v>34</v>
      </c>
      <c r="I1656" s="2" t="s">
        <v>51</v>
      </c>
      <c r="J1656" s="2" t="s">
        <v>52</v>
      </c>
      <c r="K1656" s="2" t="s">
        <v>53</v>
      </c>
      <c r="L1656" s="2" t="s">
        <v>34</v>
      </c>
      <c r="M1656" s="2"/>
      <c r="N1656" s="2"/>
      <c r="O1656" s="2"/>
      <c r="P1656" s="2" t="s">
        <v>5442</v>
      </c>
      <c r="Q1656" s="2"/>
      <c r="R1656" s="6">
        <v>5</v>
      </c>
      <c r="S1656" s="5">
        <v>0.7</v>
      </c>
      <c r="T1656" s="7">
        <v>2.1819999999999999</v>
      </c>
      <c r="U1656" s="5">
        <v>7.1</v>
      </c>
      <c r="V1656" s="6">
        <v>1.98</v>
      </c>
      <c r="W1656" s="5">
        <v>3.5</v>
      </c>
      <c r="X1656" s="5">
        <v>3.5</v>
      </c>
      <c r="Y1656" s="6">
        <v>4.25</v>
      </c>
      <c r="Z1656" s="5">
        <v>4.5</v>
      </c>
      <c r="AA1656" s="2"/>
      <c r="AB1656" s="2" t="s">
        <v>86</v>
      </c>
      <c r="AC1656" s="2"/>
    </row>
    <row r="1657" spans="1:29" ht="39" x14ac:dyDescent="0.15">
      <c r="A1657" s="3">
        <f>DATE(1994,11,1)</f>
        <v>34639</v>
      </c>
      <c r="B1657" s="2"/>
      <c r="C1657" s="2" t="s">
        <v>87</v>
      </c>
      <c r="D1657" s="2" t="s">
        <v>549</v>
      </c>
      <c r="E1657" s="2" t="s">
        <v>550</v>
      </c>
      <c r="F1657" s="4">
        <v>7372</v>
      </c>
      <c r="G1657" s="2" t="s">
        <v>551</v>
      </c>
      <c r="H1657" s="2" t="s">
        <v>34</v>
      </c>
      <c r="I1657" s="2" t="s">
        <v>5443</v>
      </c>
      <c r="J1657" s="2" t="s">
        <v>5444</v>
      </c>
      <c r="K1657" s="2" t="s">
        <v>50</v>
      </c>
      <c r="L1657" s="2" t="s">
        <v>34</v>
      </c>
      <c r="M1657" s="2"/>
      <c r="N1657" s="7">
        <v>73.875</v>
      </c>
      <c r="O1657" s="6">
        <v>74.25</v>
      </c>
      <c r="P1657" s="2" t="s">
        <v>5445</v>
      </c>
      <c r="Q1657" s="2"/>
      <c r="R1657" s="2"/>
      <c r="S1657" s="5">
        <v>206.7</v>
      </c>
      <c r="T1657" s="7">
        <v>546.79499999999996</v>
      </c>
      <c r="U1657" s="5">
        <v>4.0999999999999996</v>
      </c>
      <c r="V1657" s="6">
        <v>0.56000000000000005</v>
      </c>
      <c r="W1657" s="4">
        <v>16</v>
      </c>
      <c r="X1657" s="5">
        <v>18.5</v>
      </c>
      <c r="Y1657" s="4">
        <v>20</v>
      </c>
      <c r="Z1657" s="6">
        <v>18.25</v>
      </c>
      <c r="AA1657" s="2"/>
      <c r="AB1657" s="2" t="s">
        <v>47</v>
      </c>
      <c r="AC1657" s="8">
        <v>7133</v>
      </c>
    </row>
    <row r="1658" spans="1:29" ht="156" x14ac:dyDescent="0.15">
      <c r="A1658" s="3">
        <f>DATE(1994,11,1)</f>
        <v>34639</v>
      </c>
      <c r="B1658" s="2"/>
      <c r="C1658" s="2" t="s">
        <v>30</v>
      </c>
      <c r="D1658" s="2" t="s">
        <v>5446</v>
      </c>
      <c r="E1658" s="2" t="s">
        <v>5447</v>
      </c>
      <c r="F1658" s="4">
        <v>5084</v>
      </c>
      <c r="G1658" s="2" t="s">
        <v>76</v>
      </c>
      <c r="H1658" s="2" t="s">
        <v>34</v>
      </c>
      <c r="I1658" s="2" t="s">
        <v>5448</v>
      </c>
      <c r="J1658" s="2" t="s">
        <v>5449</v>
      </c>
      <c r="K1658" s="2" t="s">
        <v>76</v>
      </c>
      <c r="L1658" s="2" t="s">
        <v>34</v>
      </c>
      <c r="M1658" s="2"/>
      <c r="N1658" s="2"/>
      <c r="O1658" s="2"/>
      <c r="P1658" s="2" t="s">
        <v>5450</v>
      </c>
      <c r="Q1658" s="2"/>
      <c r="R1658" s="6">
        <v>21</v>
      </c>
      <c r="S1658" s="5">
        <v>3.6</v>
      </c>
      <c r="T1658" s="7">
        <v>6.4790000000000001</v>
      </c>
      <c r="U1658" s="5">
        <v>19.899999999999999</v>
      </c>
      <c r="V1658" s="6">
        <v>1.96</v>
      </c>
      <c r="W1658" s="7">
        <v>13.125</v>
      </c>
      <c r="X1658" s="5">
        <v>13.5</v>
      </c>
      <c r="Y1658" s="7">
        <v>13.625</v>
      </c>
      <c r="Z1658" s="6">
        <v>16.25</v>
      </c>
      <c r="AA1658" s="6">
        <v>1.86</v>
      </c>
      <c r="AB1658" s="7">
        <v>3.4359999999999999</v>
      </c>
      <c r="AC1658" s="2"/>
    </row>
    <row r="1659" spans="1:29" ht="91" x14ac:dyDescent="0.15">
      <c r="A1659" s="3">
        <f>DATE(1994,11,2)</f>
        <v>34640</v>
      </c>
      <c r="B1659" s="3">
        <f>DATE(1995,5,11)</f>
        <v>34830</v>
      </c>
      <c r="C1659" s="2" t="s">
        <v>95</v>
      </c>
      <c r="D1659" s="2" t="s">
        <v>5451</v>
      </c>
      <c r="E1659" s="2" t="s">
        <v>5452</v>
      </c>
      <c r="F1659" s="4">
        <v>7322</v>
      </c>
      <c r="G1659" s="2" t="s">
        <v>223</v>
      </c>
      <c r="H1659" s="2" t="s">
        <v>34</v>
      </c>
      <c r="I1659" s="2" t="s">
        <v>5453</v>
      </c>
      <c r="J1659" s="2" t="s">
        <v>5454</v>
      </c>
      <c r="K1659" s="2" t="s">
        <v>269</v>
      </c>
      <c r="L1659" s="2" t="s">
        <v>34</v>
      </c>
      <c r="M1659" s="12">
        <v>1356.347</v>
      </c>
      <c r="N1659" s="4">
        <v>28</v>
      </c>
      <c r="O1659" s="7">
        <v>27.375</v>
      </c>
      <c r="P1659" s="2" t="s">
        <v>5455</v>
      </c>
      <c r="Q1659" s="6">
        <v>100</v>
      </c>
      <c r="R1659" s="6">
        <v>9</v>
      </c>
      <c r="S1659" s="5">
        <v>-0.5</v>
      </c>
      <c r="T1659" s="7">
        <v>2.3610000000000002</v>
      </c>
      <c r="U1659" s="5">
        <v>2.9</v>
      </c>
      <c r="V1659" s="6">
        <v>-7.0000000000000007E-2</v>
      </c>
      <c r="W1659" s="4">
        <v>9</v>
      </c>
      <c r="X1659" s="4">
        <v>9</v>
      </c>
      <c r="Y1659" s="7">
        <v>8.875</v>
      </c>
      <c r="Z1659" s="5">
        <v>8.5</v>
      </c>
      <c r="AA1659" s="6">
        <v>3.7</v>
      </c>
      <c r="AB1659" s="2" t="s">
        <v>86</v>
      </c>
      <c r="AC1659" s="6">
        <v>16.940000000000001</v>
      </c>
    </row>
    <row r="1660" spans="1:29" ht="52" x14ac:dyDescent="0.15">
      <c r="A1660" s="3">
        <f>DATE(1994,11,2)</f>
        <v>34640</v>
      </c>
      <c r="B1660" s="2"/>
      <c r="C1660" s="2" t="s">
        <v>141</v>
      </c>
      <c r="D1660" s="2" t="s">
        <v>5456</v>
      </c>
      <c r="E1660" s="2" t="s">
        <v>5457</v>
      </c>
      <c r="F1660" s="4">
        <v>4953</v>
      </c>
      <c r="G1660" s="2" t="s">
        <v>116</v>
      </c>
      <c r="H1660" s="2" t="s">
        <v>34</v>
      </c>
      <c r="I1660" s="2" t="s">
        <v>143</v>
      </c>
      <c r="J1660" s="2" t="s">
        <v>144</v>
      </c>
      <c r="K1660" s="2" t="s">
        <v>53</v>
      </c>
      <c r="L1660" s="2" t="s">
        <v>139</v>
      </c>
      <c r="M1660" s="2"/>
      <c r="N1660" s="2"/>
      <c r="O1660" s="2"/>
      <c r="P1660" s="2" t="s">
        <v>5458</v>
      </c>
      <c r="Q1660" s="2"/>
      <c r="R1660" s="2"/>
      <c r="S1660" s="5">
        <v>-23.9</v>
      </c>
      <c r="T1660" s="7">
        <v>67.381</v>
      </c>
      <c r="U1660" s="5">
        <v>11</v>
      </c>
      <c r="V1660" s="6">
        <v>-0.98</v>
      </c>
      <c r="W1660" s="4">
        <v>5</v>
      </c>
      <c r="X1660" s="7">
        <v>6.125</v>
      </c>
      <c r="Y1660" s="6">
        <v>6.75</v>
      </c>
      <c r="Z1660" s="6">
        <v>6.75</v>
      </c>
      <c r="AA1660" s="2"/>
      <c r="AB1660" s="2" t="s">
        <v>47</v>
      </c>
      <c r="AC1660" s="2"/>
    </row>
    <row r="1661" spans="1:29" ht="156" x14ac:dyDescent="0.15">
      <c r="A1661" s="3">
        <f>DATE(1994,11,2)</f>
        <v>34640</v>
      </c>
      <c r="B1661" s="3">
        <f>DATE(1994,12,6)</f>
        <v>34674</v>
      </c>
      <c r="C1661" s="2" t="s">
        <v>95</v>
      </c>
      <c r="D1661" s="2" t="s">
        <v>5459</v>
      </c>
      <c r="E1661" s="2" t="s">
        <v>5460</v>
      </c>
      <c r="F1661" s="4">
        <v>2086</v>
      </c>
      <c r="G1661" s="2" t="s">
        <v>577</v>
      </c>
      <c r="H1661" s="2" t="s">
        <v>34</v>
      </c>
      <c r="I1661" s="2" t="s">
        <v>5461</v>
      </c>
      <c r="J1661" s="2" t="s">
        <v>5462</v>
      </c>
      <c r="K1661" s="2" t="s">
        <v>577</v>
      </c>
      <c r="L1661" s="2" t="s">
        <v>34</v>
      </c>
      <c r="M1661" s="12">
        <v>5038.5140000000001</v>
      </c>
      <c r="N1661" s="7">
        <v>67.125</v>
      </c>
      <c r="O1661" s="5">
        <v>68.5</v>
      </c>
      <c r="P1661" s="2" t="s">
        <v>5463</v>
      </c>
      <c r="Q1661" s="6">
        <v>100</v>
      </c>
      <c r="R1661" s="6">
        <v>14</v>
      </c>
      <c r="S1661" s="5">
        <v>81.2</v>
      </c>
      <c r="T1661" s="7">
        <v>138.56200000000001</v>
      </c>
      <c r="U1661" s="5">
        <v>1.6</v>
      </c>
      <c r="V1661" s="6">
        <v>0.67</v>
      </c>
      <c r="W1661" s="7">
        <v>14.625</v>
      </c>
      <c r="X1661" s="6">
        <v>14.25</v>
      </c>
      <c r="Y1661" s="6">
        <v>13.75</v>
      </c>
      <c r="Z1661" s="6">
        <v>13.75</v>
      </c>
      <c r="AA1661" s="6">
        <v>121.62</v>
      </c>
      <c r="AB1661" s="7">
        <v>14.038</v>
      </c>
      <c r="AC1661" s="5">
        <v>140.4</v>
      </c>
    </row>
    <row r="1662" spans="1:29" ht="156" x14ac:dyDescent="0.15">
      <c r="A1662" s="3">
        <f>DATE(1994,11,3)</f>
        <v>34641</v>
      </c>
      <c r="B1662" s="3">
        <f>DATE(1995,3,15)</f>
        <v>34773</v>
      </c>
      <c r="C1662" s="2" t="s">
        <v>95</v>
      </c>
      <c r="D1662" s="2" t="s">
        <v>1808</v>
      </c>
      <c r="E1662" s="2" t="s">
        <v>1809</v>
      </c>
      <c r="F1662" s="4">
        <v>3841</v>
      </c>
      <c r="G1662" s="2" t="s">
        <v>226</v>
      </c>
      <c r="H1662" s="2" t="s">
        <v>34</v>
      </c>
      <c r="I1662" s="2" t="s">
        <v>5464</v>
      </c>
      <c r="J1662" s="2" t="s">
        <v>5465</v>
      </c>
      <c r="K1662" s="2" t="s">
        <v>226</v>
      </c>
      <c r="L1662" s="2" t="s">
        <v>34</v>
      </c>
      <c r="M1662" s="7">
        <v>85.334000000000003</v>
      </c>
      <c r="N1662" s="6">
        <v>21.25</v>
      </c>
      <c r="O1662" s="6">
        <v>23.25</v>
      </c>
      <c r="P1662" s="2" t="s">
        <v>5466</v>
      </c>
      <c r="Q1662" s="6">
        <v>100</v>
      </c>
      <c r="R1662" s="6">
        <v>1.77</v>
      </c>
      <c r="S1662" s="5">
        <v>-20.6</v>
      </c>
      <c r="T1662" s="7">
        <v>-18.042000000000002</v>
      </c>
      <c r="U1662" s="5">
        <v>-0.1</v>
      </c>
      <c r="V1662" s="7">
        <v>-2.2330000000000001</v>
      </c>
      <c r="W1662" s="5">
        <v>2.5</v>
      </c>
      <c r="X1662" s="6">
        <v>2.25</v>
      </c>
      <c r="Y1662" s="4">
        <v>2</v>
      </c>
      <c r="Z1662" s="6">
        <v>2.25</v>
      </c>
      <c r="AA1662" s="6">
        <v>10.16</v>
      </c>
      <c r="AB1662" s="2" t="s">
        <v>86</v>
      </c>
      <c r="AC1662" s="6">
        <v>3.62</v>
      </c>
    </row>
    <row r="1663" spans="1:29" ht="39" x14ac:dyDescent="0.15">
      <c r="A1663" s="3">
        <f>DATE(1994,11,3)</f>
        <v>34641</v>
      </c>
      <c r="B1663" s="2"/>
      <c r="C1663" s="2" t="s">
        <v>189</v>
      </c>
      <c r="D1663" s="2" t="s">
        <v>5467</v>
      </c>
      <c r="E1663" s="2" t="s">
        <v>5468</v>
      </c>
      <c r="F1663" s="4">
        <v>8071</v>
      </c>
      <c r="G1663" s="2" t="s">
        <v>454</v>
      </c>
      <c r="H1663" s="2" t="s">
        <v>34</v>
      </c>
      <c r="I1663" s="2" t="s">
        <v>143</v>
      </c>
      <c r="J1663" s="2" t="s">
        <v>144</v>
      </c>
      <c r="K1663" s="2" t="s">
        <v>53</v>
      </c>
      <c r="L1663" s="2" t="s">
        <v>139</v>
      </c>
      <c r="M1663" s="2"/>
      <c r="N1663" s="2"/>
      <c r="O1663" s="2"/>
      <c r="P1663" s="2" t="s">
        <v>5469</v>
      </c>
      <c r="Q1663" s="2"/>
      <c r="R1663" s="2"/>
      <c r="S1663" s="2"/>
      <c r="T1663" s="2"/>
      <c r="U1663" s="2"/>
      <c r="V1663" s="2"/>
      <c r="W1663" s="4">
        <v>2</v>
      </c>
      <c r="X1663" s="7">
        <v>1.375</v>
      </c>
      <c r="Y1663" s="7">
        <v>2.125</v>
      </c>
      <c r="Z1663" s="6">
        <v>2.25</v>
      </c>
      <c r="AA1663" s="2"/>
      <c r="AB1663" s="2" t="s">
        <v>47</v>
      </c>
      <c r="AC1663" s="2"/>
    </row>
    <row r="1664" spans="1:29" ht="78" x14ac:dyDescent="0.15">
      <c r="A1664" s="3">
        <f>DATE(1994,11,3)</f>
        <v>34641</v>
      </c>
      <c r="B1664" s="2"/>
      <c r="C1664" s="2" t="s">
        <v>30</v>
      </c>
      <c r="D1664" s="2" t="s">
        <v>5470</v>
      </c>
      <c r="E1664" s="2" t="s">
        <v>5471</v>
      </c>
      <c r="F1664" s="4">
        <v>1381</v>
      </c>
      <c r="G1664" s="2" t="s">
        <v>148</v>
      </c>
      <c r="H1664" s="2" t="s">
        <v>34</v>
      </c>
      <c r="I1664" s="2" t="s">
        <v>5472</v>
      </c>
      <c r="J1664" s="2" t="s">
        <v>5471</v>
      </c>
      <c r="K1664" s="2" t="s">
        <v>148</v>
      </c>
      <c r="L1664" s="2" t="s">
        <v>34</v>
      </c>
      <c r="M1664" s="2"/>
      <c r="N1664" s="7">
        <v>6.375</v>
      </c>
      <c r="O1664" s="7">
        <v>6.375</v>
      </c>
      <c r="P1664" s="2" t="s">
        <v>5473</v>
      </c>
      <c r="Q1664" s="2"/>
      <c r="R1664" s="2"/>
      <c r="S1664" s="5">
        <v>15</v>
      </c>
      <c r="T1664" s="7">
        <v>28.669</v>
      </c>
      <c r="U1664" s="5">
        <v>2.4</v>
      </c>
      <c r="V1664" s="6">
        <v>0.37</v>
      </c>
      <c r="W1664" s="4">
        <v>4</v>
      </c>
      <c r="X1664" s="7">
        <v>4.125</v>
      </c>
      <c r="Y1664" s="7">
        <v>4.375</v>
      </c>
      <c r="Z1664" s="7">
        <v>4.125</v>
      </c>
      <c r="AA1664" s="6">
        <v>43.87</v>
      </c>
      <c r="AB1664" s="2" t="s">
        <v>47</v>
      </c>
      <c r="AC1664" s="2"/>
    </row>
    <row r="1665" spans="1:29" ht="91" x14ac:dyDescent="0.15">
      <c r="A1665" s="3">
        <f>DATE(1994,11,3)</f>
        <v>34641</v>
      </c>
      <c r="B1665" s="2"/>
      <c r="C1665" s="2" t="s">
        <v>30</v>
      </c>
      <c r="D1665" s="2" t="s">
        <v>5446</v>
      </c>
      <c r="E1665" s="2" t="s">
        <v>5447</v>
      </c>
      <c r="F1665" s="4">
        <v>5084</v>
      </c>
      <c r="G1665" s="2" t="s">
        <v>76</v>
      </c>
      <c r="H1665" s="2" t="s">
        <v>34</v>
      </c>
      <c r="I1665" s="2" t="s">
        <v>149</v>
      </c>
      <c r="J1665" s="2" t="s">
        <v>150</v>
      </c>
      <c r="K1665" s="2" t="s">
        <v>53</v>
      </c>
      <c r="L1665" s="2" t="s">
        <v>151</v>
      </c>
      <c r="M1665" s="2"/>
      <c r="N1665" s="2"/>
      <c r="O1665" s="2"/>
      <c r="P1665" s="2" t="s">
        <v>5474</v>
      </c>
      <c r="Q1665" s="2"/>
      <c r="R1665" s="2"/>
      <c r="S1665" s="5">
        <v>2</v>
      </c>
      <c r="T1665" s="7">
        <v>2.347</v>
      </c>
      <c r="U1665" s="5">
        <v>12.1</v>
      </c>
      <c r="V1665" s="6">
        <v>1.07</v>
      </c>
      <c r="W1665" s="7">
        <v>13.125</v>
      </c>
      <c r="X1665" s="5">
        <v>13.5</v>
      </c>
      <c r="Y1665" s="7">
        <v>13.625</v>
      </c>
      <c r="Z1665" s="6">
        <v>16.25</v>
      </c>
      <c r="AA1665" s="6">
        <v>1.86</v>
      </c>
      <c r="AB1665" s="2" t="s">
        <v>47</v>
      </c>
      <c r="AC1665" s="2"/>
    </row>
    <row r="1666" spans="1:29" ht="143" x14ac:dyDescent="0.15">
      <c r="A1666" s="3">
        <f>DATE(1994,11,4)</f>
        <v>34642</v>
      </c>
      <c r="B1666" s="3">
        <f>DATE(1995,8,4)</f>
        <v>34915</v>
      </c>
      <c r="C1666" s="2" t="s">
        <v>95</v>
      </c>
      <c r="D1666" s="2" t="s">
        <v>5475</v>
      </c>
      <c r="E1666" s="2" t="s">
        <v>602</v>
      </c>
      <c r="F1666" s="4">
        <v>6035</v>
      </c>
      <c r="G1666" s="2" t="s">
        <v>33</v>
      </c>
      <c r="H1666" s="2" t="s">
        <v>34</v>
      </c>
      <c r="I1666" s="2" t="s">
        <v>2419</v>
      </c>
      <c r="J1666" s="2" t="s">
        <v>36</v>
      </c>
      <c r="K1666" s="2" t="s">
        <v>37</v>
      </c>
      <c r="L1666" s="2" t="s">
        <v>34</v>
      </c>
      <c r="M1666" s="7">
        <v>411.298</v>
      </c>
      <c r="N1666" s="6">
        <v>34.75</v>
      </c>
      <c r="O1666" s="7">
        <v>34.625</v>
      </c>
      <c r="P1666" s="2" t="s">
        <v>5476</v>
      </c>
      <c r="Q1666" s="6">
        <v>100</v>
      </c>
      <c r="R1666" s="6">
        <v>43.37</v>
      </c>
      <c r="S1666" s="2"/>
      <c r="T1666" s="2"/>
      <c r="U1666" s="5">
        <v>29.2</v>
      </c>
      <c r="V1666" s="2"/>
      <c r="W1666" s="6">
        <v>29.25</v>
      </c>
      <c r="X1666" s="6">
        <v>31.75</v>
      </c>
      <c r="Y1666" s="4">
        <v>36</v>
      </c>
      <c r="Z1666" s="6">
        <v>35.75</v>
      </c>
      <c r="AA1666" s="6">
        <v>1.61</v>
      </c>
      <c r="AB1666" s="2" t="s">
        <v>47</v>
      </c>
      <c r="AC1666" s="2"/>
    </row>
    <row r="1667" spans="1:29" ht="156" x14ac:dyDescent="0.15">
      <c r="A1667" s="3">
        <f>DATE(1994,11,4)</f>
        <v>34642</v>
      </c>
      <c r="B1667" s="3">
        <f>DATE(1995,1,29)</f>
        <v>34728</v>
      </c>
      <c r="C1667" s="2" t="s">
        <v>95</v>
      </c>
      <c r="D1667" s="2" t="s">
        <v>5477</v>
      </c>
      <c r="E1667" s="2" t="s">
        <v>5478</v>
      </c>
      <c r="F1667" s="4">
        <v>7011</v>
      </c>
      <c r="G1667" s="2" t="s">
        <v>269</v>
      </c>
      <c r="H1667" s="2" t="s">
        <v>34</v>
      </c>
      <c r="I1667" s="2" t="s">
        <v>5479</v>
      </c>
      <c r="J1667" s="2" t="s">
        <v>1590</v>
      </c>
      <c r="K1667" s="2" t="s">
        <v>53</v>
      </c>
      <c r="L1667" s="2" t="s">
        <v>34</v>
      </c>
      <c r="M1667" s="2"/>
      <c r="N1667" s="2"/>
      <c r="O1667" s="2"/>
      <c r="P1667" s="2" t="s">
        <v>5480</v>
      </c>
      <c r="Q1667" s="6">
        <v>100</v>
      </c>
      <c r="R1667" s="6">
        <v>25</v>
      </c>
      <c r="S1667" s="5">
        <v>-0.8</v>
      </c>
      <c r="T1667" s="6">
        <v>16.98</v>
      </c>
      <c r="U1667" s="5">
        <v>7.9</v>
      </c>
      <c r="V1667" s="6">
        <v>-0.31</v>
      </c>
      <c r="W1667" s="6">
        <v>14.75</v>
      </c>
      <c r="X1667" s="4">
        <v>15</v>
      </c>
      <c r="Y1667" s="6">
        <v>14.75</v>
      </c>
      <c r="Z1667" s="4">
        <v>15</v>
      </c>
      <c r="AA1667" s="6">
        <v>2.67</v>
      </c>
      <c r="AB1667" s="7">
        <v>22.204000000000001</v>
      </c>
      <c r="AC1667" s="2"/>
    </row>
    <row r="1668" spans="1:29" ht="130" x14ac:dyDescent="0.15">
      <c r="A1668" s="3">
        <f>DATE(1994,11,7)</f>
        <v>34645</v>
      </c>
      <c r="B1668" s="3">
        <f>DATE(1995,5,19)</f>
        <v>34838</v>
      </c>
      <c r="C1668" s="2" t="s">
        <v>95</v>
      </c>
      <c r="D1668" s="2" t="s">
        <v>2494</v>
      </c>
      <c r="E1668" s="2" t="s">
        <v>36</v>
      </c>
      <c r="F1668" s="4">
        <v>6022</v>
      </c>
      <c r="G1668" s="2" t="s">
        <v>37</v>
      </c>
      <c r="H1668" s="2" t="s">
        <v>34</v>
      </c>
      <c r="I1668" s="2" t="s">
        <v>640</v>
      </c>
      <c r="J1668" s="2" t="s">
        <v>36</v>
      </c>
      <c r="K1668" s="2" t="s">
        <v>37</v>
      </c>
      <c r="L1668" s="2" t="s">
        <v>34</v>
      </c>
      <c r="M1668" s="7">
        <v>402.05099999999999</v>
      </c>
      <c r="N1668" s="7">
        <v>36.625</v>
      </c>
      <c r="O1668" s="7">
        <v>36.938000000000002</v>
      </c>
      <c r="P1668" s="2" t="s">
        <v>5481</v>
      </c>
      <c r="Q1668" s="6">
        <v>100</v>
      </c>
      <c r="R1668" s="6">
        <v>19.559999999999999</v>
      </c>
      <c r="S1668" s="5">
        <v>14.8</v>
      </c>
      <c r="T1668" s="7">
        <v>23.568000000000001</v>
      </c>
      <c r="U1668" s="5">
        <v>10.6</v>
      </c>
      <c r="V1668" s="6">
        <v>1.26</v>
      </c>
      <c r="W1668" s="7">
        <v>15.375</v>
      </c>
      <c r="X1668" s="6">
        <v>15.25</v>
      </c>
      <c r="Y1668" s="6">
        <v>17.25</v>
      </c>
      <c r="Z1668" s="7">
        <v>17.062999999999999</v>
      </c>
      <c r="AA1668" s="6">
        <v>11.77</v>
      </c>
      <c r="AB1668" s="7">
        <v>10.778</v>
      </c>
      <c r="AC1668" s="2"/>
    </row>
    <row r="1669" spans="1:29" ht="130" x14ac:dyDescent="0.15">
      <c r="A1669" s="3">
        <f>DATE(1994,11,8)</f>
        <v>34646</v>
      </c>
      <c r="B1669" s="3">
        <f>DATE(1995,2,24)</f>
        <v>34754</v>
      </c>
      <c r="C1669" s="2" t="s">
        <v>95</v>
      </c>
      <c r="D1669" s="2" t="s">
        <v>5482</v>
      </c>
      <c r="E1669" s="2" t="s">
        <v>434</v>
      </c>
      <c r="F1669" s="4">
        <v>3842</v>
      </c>
      <c r="G1669" s="2" t="s">
        <v>226</v>
      </c>
      <c r="H1669" s="2" t="s">
        <v>34</v>
      </c>
      <c r="I1669" s="2" t="s">
        <v>5268</v>
      </c>
      <c r="J1669" s="2" t="s">
        <v>5269</v>
      </c>
      <c r="K1669" s="2" t="s">
        <v>226</v>
      </c>
      <c r="L1669" s="2" t="s">
        <v>34</v>
      </c>
      <c r="M1669" s="12">
        <v>1613.9559999999999</v>
      </c>
      <c r="N1669" s="7">
        <v>16.625</v>
      </c>
      <c r="O1669" s="7">
        <v>16.125</v>
      </c>
      <c r="P1669" s="2" t="s">
        <v>5483</v>
      </c>
      <c r="Q1669" s="6">
        <v>100</v>
      </c>
      <c r="R1669" s="6">
        <v>58.48</v>
      </c>
      <c r="S1669" s="5">
        <v>3.6</v>
      </c>
      <c r="T1669" s="7">
        <v>15.082000000000001</v>
      </c>
      <c r="U1669" s="5">
        <v>15.1</v>
      </c>
      <c r="V1669" s="6">
        <v>0.24</v>
      </c>
      <c r="W1669" s="7">
        <v>46.125</v>
      </c>
      <c r="X1669" s="6">
        <v>47.25</v>
      </c>
      <c r="Y1669" s="5">
        <v>48.5</v>
      </c>
      <c r="Z1669" s="6">
        <v>51.25</v>
      </c>
      <c r="AA1669" s="6">
        <v>15.34</v>
      </c>
      <c r="AB1669" s="2" t="s">
        <v>86</v>
      </c>
      <c r="AC1669" s="6">
        <v>118.36</v>
      </c>
    </row>
    <row r="1670" spans="1:29" ht="169" x14ac:dyDescent="0.15">
      <c r="A1670" s="3">
        <f>DATE(1994,11,8)</f>
        <v>34646</v>
      </c>
      <c r="B1670" s="3">
        <f>DATE(1994,12,23)</f>
        <v>34691</v>
      </c>
      <c r="C1670" s="2" t="s">
        <v>95</v>
      </c>
      <c r="D1670" s="2" t="s">
        <v>5484</v>
      </c>
      <c r="E1670" s="2" t="s">
        <v>3336</v>
      </c>
      <c r="F1670" s="4">
        <v>3714</v>
      </c>
      <c r="G1670" s="2" t="s">
        <v>105</v>
      </c>
      <c r="H1670" s="2" t="s">
        <v>34</v>
      </c>
      <c r="I1670" s="2" t="s">
        <v>5485</v>
      </c>
      <c r="J1670" s="2" t="s">
        <v>5486</v>
      </c>
      <c r="K1670" s="2" t="s">
        <v>163</v>
      </c>
      <c r="L1670" s="2" t="s">
        <v>34</v>
      </c>
      <c r="M1670" s="7">
        <v>235.292</v>
      </c>
      <c r="N1670" s="4">
        <v>14</v>
      </c>
      <c r="O1670" s="7">
        <v>14.125</v>
      </c>
      <c r="P1670" s="2" t="s">
        <v>5487</v>
      </c>
      <c r="Q1670" s="6">
        <v>100</v>
      </c>
      <c r="R1670" s="6">
        <v>85</v>
      </c>
      <c r="S1670" s="5">
        <v>3.3</v>
      </c>
      <c r="T1670" s="7">
        <v>12.757</v>
      </c>
      <c r="U1670" s="5">
        <v>37.200000000000003</v>
      </c>
      <c r="V1670" s="6">
        <v>1.75</v>
      </c>
      <c r="W1670" s="4">
        <v>63</v>
      </c>
      <c r="X1670" s="4">
        <v>61</v>
      </c>
      <c r="Y1670" s="5">
        <v>81.5</v>
      </c>
      <c r="Z1670" s="4">
        <v>82</v>
      </c>
      <c r="AA1670" s="6">
        <v>1.88</v>
      </c>
      <c r="AB1670" s="2" t="s">
        <v>86</v>
      </c>
      <c r="AC1670" s="2"/>
    </row>
    <row r="1671" spans="1:29" ht="52" x14ac:dyDescent="0.15">
      <c r="A1671" s="3">
        <f>DATE(1994,11,9)</f>
        <v>34647</v>
      </c>
      <c r="B1671" s="2"/>
      <c r="C1671" s="2" t="s">
        <v>30</v>
      </c>
      <c r="D1671" s="2" t="s">
        <v>4872</v>
      </c>
      <c r="E1671" s="2" t="s">
        <v>4873</v>
      </c>
      <c r="F1671" s="4">
        <v>6321</v>
      </c>
      <c r="G1671" s="2" t="s">
        <v>125</v>
      </c>
      <c r="H1671" s="2" t="s">
        <v>34</v>
      </c>
      <c r="I1671" s="2" t="s">
        <v>5488</v>
      </c>
      <c r="J1671" s="2" t="s">
        <v>3373</v>
      </c>
      <c r="K1671" s="2" t="s">
        <v>125</v>
      </c>
      <c r="L1671" s="2" t="s">
        <v>34</v>
      </c>
      <c r="M1671" s="7">
        <v>406.358</v>
      </c>
      <c r="N1671" s="7">
        <v>30.375</v>
      </c>
      <c r="O1671" s="7">
        <v>30.875</v>
      </c>
      <c r="P1671" s="2" t="s">
        <v>5489</v>
      </c>
      <c r="Q1671" s="2"/>
      <c r="R1671" s="6">
        <v>3.75</v>
      </c>
      <c r="S1671" s="5">
        <v>0.2</v>
      </c>
      <c r="T1671" s="7">
        <v>0.93700000000000006</v>
      </c>
      <c r="U1671" s="5">
        <v>3.2</v>
      </c>
      <c r="V1671" s="7">
        <v>0.114</v>
      </c>
      <c r="W1671" s="7">
        <v>2.625</v>
      </c>
      <c r="X1671" s="7">
        <v>2.625</v>
      </c>
      <c r="Y1671" s="6">
        <v>2.75</v>
      </c>
      <c r="Z1671" s="7">
        <v>3.375</v>
      </c>
      <c r="AA1671" s="6">
        <v>2.5299999999999998</v>
      </c>
      <c r="AB1671" s="7">
        <v>4.3419999999999996</v>
      </c>
      <c r="AC1671" s="6">
        <v>6.43</v>
      </c>
    </row>
    <row r="1672" spans="1:29" ht="143" x14ac:dyDescent="0.15">
      <c r="A1672" s="3">
        <f>DATE(1994,11,9)</f>
        <v>34647</v>
      </c>
      <c r="B1672" s="3">
        <f>DATE(1995,6,30)</f>
        <v>34880</v>
      </c>
      <c r="C1672" s="2" t="s">
        <v>95</v>
      </c>
      <c r="D1672" s="2" t="s">
        <v>5490</v>
      </c>
      <c r="E1672" s="2" t="s">
        <v>5491</v>
      </c>
      <c r="F1672" s="4">
        <v>3663</v>
      </c>
      <c r="G1672" s="2" t="s">
        <v>921</v>
      </c>
      <c r="H1672" s="2" t="s">
        <v>34</v>
      </c>
      <c r="I1672" s="2" t="s">
        <v>5492</v>
      </c>
      <c r="J1672" s="2" t="s">
        <v>5493</v>
      </c>
      <c r="K1672" s="2" t="s">
        <v>223</v>
      </c>
      <c r="L1672" s="2" t="s">
        <v>34</v>
      </c>
      <c r="M1672" s="7">
        <v>99.064999999999998</v>
      </c>
      <c r="N1672" s="6">
        <v>4.75</v>
      </c>
      <c r="O1672" s="7">
        <v>4.875</v>
      </c>
      <c r="P1672" s="2" t="s">
        <v>5494</v>
      </c>
      <c r="Q1672" s="6">
        <v>100</v>
      </c>
      <c r="R1672" s="6">
        <v>6.05</v>
      </c>
      <c r="S1672" s="5">
        <v>0.2</v>
      </c>
      <c r="T1672" s="2"/>
      <c r="U1672" s="5">
        <v>3</v>
      </c>
      <c r="V1672" s="6">
        <v>0.04</v>
      </c>
      <c r="W1672" s="6">
        <v>4.75</v>
      </c>
      <c r="X1672" s="7">
        <v>4.875</v>
      </c>
      <c r="Y1672" s="6">
        <v>5.25</v>
      </c>
      <c r="Z1672" s="7">
        <v>5.125</v>
      </c>
      <c r="AA1672" s="6">
        <v>5.97</v>
      </c>
      <c r="AB1672" s="7">
        <v>21.042000000000002</v>
      </c>
      <c r="AC1672" s="6">
        <v>5.49</v>
      </c>
    </row>
    <row r="1673" spans="1:29" ht="52" x14ac:dyDescent="0.15">
      <c r="A1673" s="3">
        <f>DATE(1994,11,9)</f>
        <v>34647</v>
      </c>
      <c r="B1673" s="2"/>
      <c r="C1673" s="2" t="s">
        <v>141</v>
      </c>
      <c r="D1673" s="2" t="s">
        <v>5495</v>
      </c>
      <c r="E1673" s="2" t="s">
        <v>5496</v>
      </c>
      <c r="F1673" s="4">
        <v>5735</v>
      </c>
      <c r="G1673" s="2" t="s">
        <v>1227</v>
      </c>
      <c r="H1673" s="2" t="s">
        <v>34</v>
      </c>
      <c r="I1673" s="2" t="s">
        <v>143</v>
      </c>
      <c r="J1673" s="2" t="s">
        <v>144</v>
      </c>
      <c r="K1673" s="2" t="s">
        <v>53</v>
      </c>
      <c r="L1673" s="2" t="s">
        <v>139</v>
      </c>
      <c r="M1673" s="2"/>
      <c r="N1673" s="2"/>
      <c r="O1673" s="2"/>
      <c r="P1673" s="2" t="s">
        <v>5497</v>
      </c>
      <c r="Q1673" s="2"/>
      <c r="R1673" s="2"/>
      <c r="S1673" s="2"/>
      <c r="T1673" s="2"/>
      <c r="U1673" s="2"/>
      <c r="V1673" s="2"/>
      <c r="W1673" s="6">
        <v>4.25</v>
      </c>
      <c r="X1673" s="6">
        <v>5.25</v>
      </c>
      <c r="Y1673" s="6">
        <v>5.75</v>
      </c>
      <c r="Z1673" s="7">
        <v>5.875</v>
      </c>
      <c r="AA1673" s="2"/>
      <c r="AB1673" s="2" t="s">
        <v>47</v>
      </c>
      <c r="AC1673" s="2"/>
    </row>
    <row r="1674" spans="1:29" ht="104" x14ac:dyDescent="0.15">
      <c r="A1674" s="3">
        <f>DATE(1994,11,10)</f>
        <v>34648</v>
      </c>
      <c r="B1674" s="3">
        <f>DATE(1995,7,12)</f>
        <v>34892</v>
      </c>
      <c r="C1674" s="2" t="s">
        <v>95</v>
      </c>
      <c r="D1674" s="2" t="s">
        <v>5498</v>
      </c>
      <c r="E1674" s="2" t="s">
        <v>5499</v>
      </c>
      <c r="F1674" s="4">
        <v>6331</v>
      </c>
      <c r="G1674" s="2" t="s">
        <v>125</v>
      </c>
      <c r="H1674" s="2" t="s">
        <v>34</v>
      </c>
      <c r="I1674" s="2" t="s">
        <v>278</v>
      </c>
      <c r="J1674" s="2" t="s">
        <v>52</v>
      </c>
      <c r="K1674" s="2" t="s">
        <v>53</v>
      </c>
      <c r="L1674" s="2" t="s">
        <v>34</v>
      </c>
      <c r="M1674" s="2"/>
      <c r="N1674" s="2"/>
      <c r="O1674" s="2"/>
      <c r="P1674" s="2" t="s">
        <v>5500</v>
      </c>
      <c r="Q1674" s="6">
        <v>80.209999999999994</v>
      </c>
      <c r="R1674" s="6">
        <v>32.630000000000003</v>
      </c>
      <c r="S1674" s="8">
        <v>1320.6</v>
      </c>
      <c r="T1674" s="2"/>
      <c r="U1674" s="5">
        <v>9.1</v>
      </c>
      <c r="V1674" s="7">
        <v>1.4950000000000001</v>
      </c>
      <c r="W1674" s="7">
        <v>25.125</v>
      </c>
      <c r="X1674" s="7">
        <v>24.875</v>
      </c>
      <c r="Y1674" s="7">
        <v>24.125</v>
      </c>
      <c r="Z1674" s="7">
        <v>23.375</v>
      </c>
      <c r="AA1674" s="6">
        <v>449.43</v>
      </c>
      <c r="AB1674" s="7">
        <v>20.672000000000001</v>
      </c>
      <c r="AC1674" s="2"/>
    </row>
    <row r="1675" spans="1:29" ht="39" x14ac:dyDescent="0.15">
      <c r="A1675" s="3">
        <f>DATE(1994,11,10)</f>
        <v>34648</v>
      </c>
      <c r="B1675" s="3">
        <f>DATE(1994,11,14)</f>
        <v>34652</v>
      </c>
      <c r="C1675" s="2" t="s">
        <v>95</v>
      </c>
      <c r="D1675" s="2" t="s">
        <v>5501</v>
      </c>
      <c r="E1675" s="2" t="s">
        <v>5502</v>
      </c>
      <c r="F1675" s="4">
        <v>7361</v>
      </c>
      <c r="G1675" s="2" t="s">
        <v>223</v>
      </c>
      <c r="H1675" s="2" t="s">
        <v>34</v>
      </c>
      <c r="I1675" s="2" t="s">
        <v>5503</v>
      </c>
      <c r="J1675" s="2" t="s">
        <v>4324</v>
      </c>
      <c r="K1675" s="2" t="s">
        <v>223</v>
      </c>
      <c r="L1675" s="2" t="s">
        <v>34</v>
      </c>
      <c r="M1675" s="2"/>
      <c r="N1675" s="2"/>
      <c r="O1675" s="2"/>
      <c r="P1675" s="2" t="s">
        <v>5504</v>
      </c>
      <c r="Q1675" s="6">
        <v>100</v>
      </c>
      <c r="R1675" s="2"/>
      <c r="S1675" s="5">
        <v>-1.9</v>
      </c>
      <c r="T1675" s="6">
        <v>0.38</v>
      </c>
      <c r="U1675" s="5">
        <v>1.5</v>
      </c>
      <c r="V1675" s="6">
        <v>-0.66</v>
      </c>
      <c r="W1675" s="7">
        <v>0.84399999999999997</v>
      </c>
      <c r="X1675" s="7">
        <v>1.0629999999999999</v>
      </c>
      <c r="Y1675" s="7">
        <v>1.125</v>
      </c>
      <c r="Z1675" s="7">
        <v>1.125</v>
      </c>
      <c r="AA1675" s="2"/>
      <c r="AB1675" s="2" t="s">
        <v>86</v>
      </c>
      <c r="AC1675" s="2"/>
    </row>
    <row r="1676" spans="1:29" ht="91" x14ac:dyDescent="0.15">
      <c r="A1676" s="3">
        <f>DATE(1994,11,11)</f>
        <v>34649</v>
      </c>
      <c r="B1676" s="2"/>
      <c r="C1676" s="2" t="s">
        <v>30</v>
      </c>
      <c r="D1676" s="2" t="s">
        <v>5505</v>
      </c>
      <c r="E1676" s="2" t="s">
        <v>36</v>
      </c>
      <c r="F1676" s="4">
        <v>6035</v>
      </c>
      <c r="G1676" s="2" t="s">
        <v>33</v>
      </c>
      <c r="H1676" s="2" t="s">
        <v>34</v>
      </c>
      <c r="I1676" s="2" t="s">
        <v>4433</v>
      </c>
      <c r="J1676" s="2" t="s">
        <v>4434</v>
      </c>
      <c r="K1676" s="2" t="s">
        <v>37</v>
      </c>
      <c r="L1676" s="2" t="s">
        <v>34</v>
      </c>
      <c r="M1676" s="2"/>
      <c r="N1676" s="7">
        <v>13.125</v>
      </c>
      <c r="O1676" s="7">
        <v>13.125</v>
      </c>
      <c r="P1676" s="2" t="s">
        <v>5506</v>
      </c>
      <c r="Q1676" s="2"/>
      <c r="R1676" s="2"/>
      <c r="S1676" s="5">
        <v>7</v>
      </c>
      <c r="T1676" s="7">
        <v>11.204000000000001</v>
      </c>
      <c r="U1676" s="5">
        <v>19.899999999999999</v>
      </c>
      <c r="V1676" s="6">
        <v>2.5099999999999998</v>
      </c>
      <c r="W1676" s="5">
        <v>20.5</v>
      </c>
      <c r="X1676" s="4">
        <v>20</v>
      </c>
      <c r="Y1676" s="6">
        <v>25.75</v>
      </c>
      <c r="Z1676" s="5">
        <v>26.5</v>
      </c>
      <c r="AA1676" s="2"/>
      <c r="AB1676" s="2" t="s">
        <v>47</v>
      </c>
      <c r="AC1676" s="2"/>
    </row>
    <row r="1677" spans="1:29" ht="91" x14ac:dyDescent="0.15">
      <c r="A1677" s="3">
        <f>DATE(1994,11,11)</f>
        <v>34649</v>
      </c>
      <c r="B1677" s="2"/>
      <c r="C1677" s="2" t="s">
        <v>30</v>
      </c>
      <c r="D1677" s="2" t="s">
        <v>5507</v>
      </c>
      <c r="E1677" s="2" t="s">
        <v>5508</v>
      </c>
      <c r="F1677" s="4">
        <v>3571</v>
      </c>
      <c r="G1677" s="2" t="s">
        <v>50</v>
      </c>
      <c r="H1677" s="2" t="s">
        <v>34</v>
      </c>
      <c r="I1677" s="2" t="s">
        <v>5509</v>
      </c>
      <c r="J1677" s="2" t="s">
        <v>5510</v>
      </c>
      <c r="K1677" s="2" t="s">
        <v>226</v>
      </c>
      <c r="L1677" s="2" t="s">
        <v>34</v>
      </c>
      <c r="M1677" s="2"/>
      <c r="N1677" s="2"/>
      <c r="O1677" s="2"/>
      <c r="P1677" s="2" t="s">
        <v>5511</v>
      </c>
      <c r="Q1677" s="2"/>
      <c r="R1677" s="6">
        <v>2.5</v>
      </c>
      <c r="S1677" s="5">
        <v>-2.8</v>
      </c>
      <c r="T1677" s="7">
        <v>-2.1960000000000002</v>
      </c>
      <c r="U1677" s="5">
        <v>1.9</v>
      </c>
      <c r="V1677" s="6">
        <v>-1.75</v>
      </c>
      <c r="W1677" s="6">
        <v>1.25</v>
      </c>
      <c r="X1677" s="6">
        <v>1.25</v>
      </c>
      <c r="Y1677" s="6">
        <v>1.25</v>
      </c>
      <c r="Z1677" s="6">
        <v>1.25</v>
      </c>
      <c r="AA1677" s="6">
        <v>1.61</v>
      </c>
      <c r="AB1677" s="2" t="s">
        <v>86</v>
      </c>
      <c r="AC1677" s="2"/>
    </row>
    <row r="1678" spans="1:29" ht="117" x14ac:dyDescent="0.15">
      <c r="A1678" s="3">
        <f>DATE(1994,11,14)</f>
        <v>34652</v>
      </c>
      <c r="B1678" s="3">
        <f>DATE(1995,2,13)</f>
        <v>34743</v>
      </c>
      <c r="C1678" s="2" t="s">
        <v>95</v>
      </c>
      <c r="D1678" s="2" t="s">
        <v>5512</v>
      </c>
      <c r="E1678" s="2" t="s">
        <v>781</v>
      </c>
      <c r="F1678" s="4">
        <v>7372</v>
      </c>
      <c r="G1678" s="2" t="s">
        <v>551</v>
      </c>
      <c r="H1678" s="2" t="s">
        <v>34</v>
      </c>
      <c r="I1678" s="2" t="s">
        <v>5513</v>
      </c>
      <c r="J1678" s="2" t="s">
        <v>5514</v>
      </c>
      <c r="K1678" s="2" t="s">
        <v>551</v>
      </c>
      <c r="L1678" s="2" t="s">
        <v>34</v>
      </c>
      <c r="M1678" s="12">
        <v>2543.7629999999999</v>
      </c>
      <c r="N1678" s="7">
        <v>46.313000000000002</v>
      </c>
      <c r="O1678" s="7">
        <v>46.875</v>
      </c>
      <c r="P1678" s="2" t="s">
        <v>5515</v>
      </c>
      <c r="Q1678" s="6">
        <v>100</v>
      </c>
      <c r="R1678" s="6">
        <v>77.400000000000006</v>
      </c>
      <c r="S1678" s="5">
        <v>11.6</v>
      </c>
      <c r="T1678" s="7">
        <v>18.632999999999999</v>
      </c>
      <c r="U1678" s="5">
        <v>5.4</v>
      </c>
      <c r="V1678" s="6">
        <v>1.06</v>
      </c>
      <c r="W1678" s="6">
        <v>63.25</v>
      </c>
      <c r="X1678" s="7">
        <v>61.375</v>
      </c>
      <c r="Y1678" s="6">
        <v>69.25</v>
      </c>
      <c r="Z1678" s="6">
        <v>70.75</v>
      </c>
      <c r="AA1678" s="6">
        <v>10.56</v>
      </c>
      <c r="AB1678" s="7">
        <v>48.847999999999999</v>
      </c>
      <c r="AC1678" s="6">
        <v>138.15</v>
      </c>
    </row>
    <row r="1679" spans="1:29" ht="156" x14ac:dyDescent="0.15">
      <c r="A1679" s="3">
        <f>DATE(1994,11,14)</f>
        <v>34652</v>
      </c>
      <c r="B1679" s="3">
        <f>DATE(1994,12,30)</f>
        <v>34698</v>
      </c>
      <c r="C1679" s="2" t="s">
        <v>95</v>
      </c>
      <c r="D1679" s="2" t="s">
        <v>5516</v>
      </c>
      <c r="E1679" s="2" t="s">
        <v>5517</v>
      </c>
      <c r="F1679" s="4">
        <v>3823</v>
      </c>
      <c r="G1679" s="2" t="s">
        <v>226</v>
      </c>
      <c r="H1679" s="2" t="s">
        <v>34</v>
      </c>
      <c r="I1679" s="2" t="s">
        <v>5518</v>
      </c>
      <c r="J1679" s="2" t="s">
        <v>5519</v>
      </c>
      <c r="K1679" s="2" t="s">
        <v>226</v>
      </c>
      <c r="L1679" s="2" t="s">
        <v>303</v>
      </c>
      <c r="M1679" s="2"/>
      <c r="N1679" s="2"/>
      <c r="O1679" s="2"/>
      <c r="P1679" s="2" t="s">
        <v>5520</v>
      </c>
      <c r="Q1679" s="6">
        <v>100</v>
      </c>
      <c r="R1679" s="6">
        <v>17.75</v>
      </c>
      <c r="S1679" s="5">
        <v>5.0999999999999996</v>
      </c>
      <c r="T1679" s="6">
        <v>6.78</v>
      </c>
      <c r="U1679" s="5">
        <v>6.9</v>
      </c>
      <c r="V1679" s="6">
        <v>0.99</v>
      </c>
      <c r="W1679" s="5">
        <v>15.5</v>
      </c>
      <c r="X1679" s="7">
        <v>16.937999999999999</v>
      </c>
      <c r="Y1679" s="7">
        <v>17.375</v>
      </c>
      <c r="Z1679" s="7">
        <v>17.375</v>
      </c>
      <c r="AA1679" s="6">
        <v>4.9800000000000004</v>
      </c>
      <c r="AB1679" s="7">
        <v>17.641999999999999</v>
      </c>
      <c r="AC1679" s="6">
        <v>604.61</v>
      </c>
    </row>
    <row r="1680" spans="1:29" ht="52" x14ac:dyDescent="0.15">
      <c r="A1680" s="3">
        <f>DATE(1994,11,14)</f>
        <v>34652</v>
      </c>
      <c r="B1680" s="2"/>
      <c r="C1680" s="2" t="s">
        <v>141</v>
      </c>
      <c r="D1680" s="2" t="s">
        <v>3976</v>
      </c>
      <c r="E1680" s="2" t="s">
        <v>3977</v>
      </c>
      <c r="F1680" s="4">
        <v>1389</v>
      </c>
      <c r="G1680" s="2" t="s">
        <v>148</v>
      </c>
      <c r="H1680" s="2" t="s">
        <v>34</v>
      </c>
      <c r="I1680" s="2" t="s">
        <v>143</v>
      </c>
      <c r="J1680" s="2" t="s">
        <v>144</v>
      </c>
      <c r="K1680" s="2" t="s">
        <v>53</v>
      </c>
      <c r="L1680" s="2" t="s">
        <v>139</v>
      </c>
      <c r="M1680" s="2"/>
      <c r="N1680" s="2"/>
      <c r="O1680" s="2"/>
      <c r="P1680" s="2" t="s">
        <v>5521</v>
      </c>
      <c r="Q1680" s="2"/>
      <c r="R1680" s="2"/>
      <c r="S1680" s="5">
        <v>-8.4</v>
      </c>
      <c r="T1680" s="7">
        <v>29.081</v>
      </c>
      <c r="U1680" s="5">
        <v>5.7</v>
      </c>
      <c r="V1680" s="6">
        <v>-0.49</v>
      </c>
      <c r="W1680" s="7">
        <v>6.125</v>
      </c>
      <c r="X1680" s="7">
        <v>5.875</v>
      </c>
      <c r="Y1680" s="7">
        <v>5.8129999999999997</v>
      </c>
      <c r="Z1680" s="6">
        <v>7.25</v>
      </c>
      <c r="AA1680" s="2"/>
      <c r="AB1680" s="2" t="s">
        <v>47</v>
      </c>
      <c r="AC1680" s="2"/>
    </row>
    <row r="1681" spans="1:29" ht="52" x14ac:dyDescent="0.15">
      <c r="A1681" s="3">
        <f>DATE(1994,11,15)</f>
        <v>34653</v>
      </c>
      <c r="B1681" s="2"/>
      <c r="C1681" s="2" t="s">
        <v>30</v>
      </c>
      <c r="D1681" s="2" t="s">
        <v>2138</v>
      </c>
      <c r="E1681" s="2" t="s">
        <v>177</v>
      </c>
      <c r="F1681" s="4">
        <v>1311</v>
      </c>
      <c r="G1681" s="2" t="s">
        <v>148</v>
      </c>
      <c r="H1681" s="2" t="s">
        <v>34</v>
      </c>
      <c r="I1681" s="2" t="s">
        <v>5522</v>
      </c>
      <c r="J1681" s="2" t="s">
        <v>612</v>
      </c>
      <c r="K1681" s="2" t="s">
        <v>148</v>
      </c>
      <c r="L1681" s="2" t="s">
        <v>34</v>
      </c>
      <c r="M1681" s="2"/>
      <c r="N1681" s="5">
        <v>11.5</v>
      </c>
      <c r="O1681" s="4">
        <v>11</v>
      </c>
      <c r="P1681" s="2" t="s">
        <v>5523</v>
      </c>
      <c r="Q1681" s="2"/>
      <c r="R1681" s="2"/>
      <c r="S1681" s="5">
        <v>-1.7</v>
      </c>
      <c r="T1681" s="7">
        <v>6.9260000000000002</v>
      </c>
      <c r="U1681" s="5">
        <v>2.9</v>
      </c>
      <c r="V1681" s="6">
        <v>-0.11</v>
      </c>
      <c r="W1681" s="7">
        <v>5.625</v>
      </c>
      <c r="X1681" s="7">
        <v>5.8129999999999997</v>
      </c>
      <c r="Y1681" s="7">
        <v>6.4379999999999997</v>
      </c>
      <c r="Z1681" s="5">
        <v>6.5</v>
      </c>
      <c r="AA1681" s="2"/>
      <c r="AB1681" s="2" t="s">
        <v>47</v>
      </c>
      <c r="AC1681" s="2"/>
    </row>
    <row r="1682" spans="1:29" ht="169" x14ac:dyDescent="0.15">
      <c r="A1682" s="3">
        <f>DATE(1994,11,16)</f>
        <v>34654</v>
      </c>
      <c r="B1682" s="3">
        <f>DATE(1994,12,28)</f>
        <v>34696</v>
      </c>
      <c r="C1682" s="2" t="s">
        <v>95</v>
      </c>
      <c r="D1682" s="2" t="s">
        <v>5524</v>
      </c>
      <c r="E1682" s="2" t="s">
        <v>3362</v>
      </c>
      <c r="F1682" s="4">
        <v>7375</v>
      </c>
      <c r="G1682" s="2" t="s">
        <v>223</v>
      </c>
      <c r="H1682" s="2" t="s">
        <v>34</v>
      </c>
      <c r="I1682" s="2" t="s">
        <v>5525</v>
      </c>
      <c r="J1682" s="2" t="s">
        <v>5526</v>
      </c>
      <c r="K1682" s="2" t="s">
        <v>223</v>
      </c>
      <c r="L1682" s="2" t="s">
        <v>902</v>
      </c>
      <c r="M1682" s="2"/>
      <c r="N1682" s="2"/>
      <c r="O1682" s="2"/>
      <c r="P1682" s="2" t="s">
        <v>5527</v>
      </c>
      <c r="Q1682" s="6">
        <v>100</v>
      </c>
      <c r="R1682" s="6">
        <v>27</v>
      </c>
      <c r="S1682" s="5">
        <v>5</v>
      </c>
      <c r="T1682" s="6">
        <v>15.03</v>
      </c>
      <c r="U1682" s="5">
        <v>3.9</v>
      </c>
      <c r="V1682" s="6">
        <v>0.45</v>
      </c>
      <c r="W1682" s="4">
        <v>16</v>
      </c>
      <c r="X1682" s="6">
        <v>17.25</v>
      </c>
      <c r="Y1682" s="5">
        <v>26.5</v>
      </c>
      <c r="Z1682" s="7">
        <v>26.625</v>
      </c>
      <c r="AA1682" s="6">
        <v>11.32</v>
      </c>
      <c r="AB1682" s="7">
        <v>24.93</v>
      </c>
      <c r="AC1682" s="6">
        <v>496.07</v>
      </c>
    </row>
    <row r="1683" spans="1:29" ht="143" x14ac:dyDescent="0.15">
      <c r="A1683" s="3">
        <f>DATE(1994,11,16)</f>
        <v>34654</v>
      </c>
      <c r="B1683" s="3">
        <f>DATE(1995,9,21)</f>
        <v>34963</v>
      </c>
      <c r="C1683" s="2" t="s">
        <v>95</v>
      </c>
      <c r="D1683" s="2" t="s">
        <v>5528</v>
      </c>
      <c r="E1683" s="2" t="s">
        <v>5529</v>
      </c>
      <c r="F1683" s="4">
        <v>3275</v>
      </c>
      <c r="G1683" s="2" t="s">
        <v>237</v>
      </c>
      <c r="H1683" s="2" t="s">
        <v>34</v>
      </c>
      <c r="I1683" s="2" t="s">
        <v>5530</v>
      </c>
      <c r="J1683" s="2" t="s">
        <v>80</v>
      </c>
      <c r="K1683" s="2" t="s">
        <v>53</v>
      </c>
      <c r="L1683" s="2" t="s">
        <v>34</v>
      </c>
      <c r="M1683" s="2"/>
      <c r="N1683" s="2"/>
      <c r="O1683" s="2"/>
      <c r="P1683" s="2" t="s">
        <v>5531</v>
      </c>
      <c r="Q1683" s="6">
        <v>80.5</v>
      </c>
      <c r="R1683" s="6">
        <v>54</v>
      </c>
      <c r="S1683" s="5">
        <v>51.8</v>
      </c>
      <c r="T1683" s="2"/>
      <c r="U1683" s="5">
        <v>15.3</v>
      </c>
      <c r="V1683" s="6">
        <v>2.42</v>
      </c>
      <c r="W1683" s="4">
        <v>34</v>
      </c>
      <c r="X1683" s="6">
        <v>32.75</v>
      </c>
      <c r="Y1683" s="7">
        <v>44.813000000000002</v>
      </c>
      <c r="Z1683" s="4">
        <v>45</v>
      </c>
      <c r="AA1683" s="6">
        <v>20.81</v>
      </c>
      <c r="AB1683" s="7">
        <v>13.893000000000001</v>
      </c>
      <c r="AC1683" s="2"/>
    </row>
    <row r="1684" spans="1:29" ht="52" x14ac:dyDescent="0.15">
      <c r="A1684" s="3">
        <f>DATE(1994,11,17)</f>
        <v>34655</v>
      </c>
      <c r="B1684" s="2"/>
      <c r="C1684" s="2" t="s">
        <v>189</v>
      </c>
      <c r="D1684" s="2" t="s">
        <v>267</v>
      </c>
      <c r="E1684" s="2" t="s">
        <v>268</v>
      </c>
      <c r="F1684" s="4">
        <v>7011</v>
      </c>
      <c r="G1684" s="2" t="s">
        <v>269</v>
      </c>
      <c r="H1684" s="2" t="s">
        <v>34</v>
      </c>
      <c r="I1684" s="2" t="s">
        <v>143</v>
      </c>
      <c r="J1684" s="2" t="s">
        <v>144</v>
      </c>
      <c r="K1684" s="2" t="s">
        <v>53</v>
      </c>
      <c r="L1684" s="2" t="s">
        <v>139</v>
      </c>
      <c r="M1684" s="2"/>
      <c r="N1684" s="2"/>
      <c r="O1684" s="2"/>
      <c r="P1684" s="2" t="s">
        <v>5532</v>
      </c>
      <c r="Q1684" s="2"/>
      <c r="R1684" s="2"/>
      <c r="S1684" s="5">
        <v>102.7</v>
      </c>
      <c r="T1684" s="5">
        <v>358.8</v>
      </c>
      <c r="U1684" s="5">
        <v>5.5</v>
      </c>
      <c r="V1684" s="7">
        <v>0.53500000000000003</v>
      </c>
      <c r="W1684" s="6">
        <v>58.75</v>
      </c>
      <c r="X1684" s="7">
        <v>57.875</v>
      </c>
      <c r="Y1684" s="7">
        <v>67.875</v>
      </c>
      <c r="Z1684" s="7">
        <v>71.875</v>
      </c>
      <c r="AA1684" s="2"/>
      <c r="AB1684" s="2" t="s">
        <v>47</v>
      </c>
      <c r="AC1684" s="2"/>
    </row>
    <row r="1685" spans="1:29" ht="130" x14ac:dyDescent="0.15">
      <c r="A1685" s="3">
        <f>DATE(1994,11,18)</f>
        <v>34656</v>
      </c>
      <c r="B1685" s="3">
        <f>DATE(1994,12,30)</f>
        <v>34698</v>
      </c>
      <c r="C1685" s="2" t="s">
        <v>95</v>
      </c>
      <c r="D1685" s="2" t="s">
        <v>5533</v>
      </c>
      <c r="E1685" s="2" t="s">
        <v>839</v>
      </c>
      <c r="F1685" s="4">
        <v>2834</v>
      </c>
      <c r="G1685" s="2" t="s">
        <v>130</v>
      </c>
      <c r="H1685" s="2" t="s">
        <v>34</v>
      </c>
      <c r="I1685" s="2" t="s">
        <v>5534</v>
      </c>
      <c r="J1685" s="2" t="s">
        <v>5535</v>
      </c>
      <c r="K1685" s="2" t="s">
        <v>130</v>
      </c>
      <c r="L1685" s="2" t="s">
        <v>34</v>
      </c>
      <c r="M1685" s="12">
        <v>7756.1540000000005</v>
      </c>
      <c r="N1685" s="7">
        <v>56.875</v>
      </c>
      <c r="O1685" s="6">
        <v>56.75</v>
      </c>
      <c r="P1685" s="2" t="s">
        <v>5536</v>
      </c>
      <c r="Q1685" s="6">
        <v>100</v>
      </c>
      <c r="R1685" s="6">
        <v>9.25</v>
      </c>
      <c r="S1685" s="5">
        <v>-84.2</v>
      </c>
      <c r="T1685" s="7">
        <v>-82.152000000000001</v>
      </c>
      <c r="U1685" s="5">
        <v>10.1</v>
      </c>
      <c r="V1685" s="6">
        <v>-3.33</v>
      </c>
      <c r="W1685" s="7">
        <v>7.375</v>
      </c>
      <c r="X1685" s="7">
        <v>8.875</v>
      </c>
      <c r="Y1685" s="5">
        <v>4.5</v>
      </c>
      <c r="Z1685" s="7">
        <v>4.625</v>
      </c>
      <c r="AA1685" s="6">
        <v>25.94</v>
      </c>
      <c r="AB1685" s="2" t="s">
        <v>86</v>
      </c>
      <c r="AC1685" s="6">
        <v>723.18</v>
      </c>
    </row>
    <row r="1686" spans="1:29" ht="143" x14ac:dyDescent="0.15">
      <c r="A1686" s="3">
        <f>DATE(1994,11,21)</f>
        <v>34659</v>
      </c>
      <c r="B1686" s="3">
        <f>DATE(1995,6,15)</f>
        <v>34865</v>
      </c>
      <c r="C1686" s="2" t="s">
        <v>95</v>
      </c>
      <c r="D1686" s="2" t="s">
        <v>5537</v>
      </c>
      <c r="E1686" s="2" t="s">
        <v>5538</v>
      </c>
      <c r="F1686" s="4">
        <v>3728</v>
      </c>
      <c r="G1686" s="2" t="s">
        <v>219</v>
      </c>
      <c r="H1686" s="2" t="s">
        <v>34</v>
      </c>
      <c r="I1686" s="2" t="s">
        <v>5539</v>
      </c>
      <c r="J1686" s="2" t="s">
        <v>244</v>
      </c>
      <c r="K1686" s="2" t="s">
        <v>53</v>
      </c>
      <c r="L1686" s="2" t="s">
        <v>34</v>
      </c>
      <c r="M1686" s="2"/>
      <c r="N1686" s="2"/>
      <c r="O1686" s="2"/>
      <c r="P1686" s="2" t="s">
        <v>5540</v>
      </c>
      <c r="Q1686" s="6">
        <v>100</v>
      </c>
      <c r="R1686" s="6">
        <v>10</v>
      </c>
      <c r="S1686" s="5">
        <v>8.4</v>
      </c>
      <c r="T1686" s="5">
        <v>55</v>
      </c>
      <c r="U1686" s="5">
        <v>0</v>
      </c>
      <c r="V1686" s="6">
        <v>0.42</v>
      </c>
      <c r="W1686" s="7">
        <v>6.875</v>
      </c>
      <c r="X1686" s="6">
        <v>6.75</v>
      </c>
      <c r="Y1686" s="6">
        <v>6.75</v>
      </c>
      <c r="Z1686" s="6">
        <v>6.75</v>
      </c>
      <c r="AA1686" s="6">
        <v>19.760000000000002</v>
      </c>
      <c r="AB1686" s="7">
        <v>8.9009999999999998</v>
      </c>
      <c r="AC1686" s="2"/>
    </row>
    <row r="1687" spans="1:29" x14ac:dyDescent="0.15">
      <c r="A1687" s="3">
        <f>DATE(1994,11,21)</f>
        <v>34659</v>
      </c>
      <c r="B1687" s="3">
        <f>DATE(1994,11,21)</f>
        <v>34659</v>
      </c>
      <c r="C1687" s="2" t="s">
        <v>95</v>
      </c>
      <c r="D1687" s="2" t="s">
        <v>5541</v>
      </c>
      <c r="E1687" s="2" t="s">
        <v>5542</v>
      </c>
      <c r="F1687" s="4">
        <v>3672</v>
      </c>
      <c r="G1687" s="2" t="s">
        <v>137</v>
      </c>
      <c r="H1687" s="2" t="s">
        <v>34</v>
      </c>
      <c r="I1687" s="2" t="s">
        <v>5543</v>
      </c>
      <c r="J1687" s="2" t="s">
        <v>5544</v>
      </c>
      <c r="K1687" s="2" t="s">
        <v>109</v>
      </c>
      <c r="L1687" s="2" t="s">
        <v>34</v>
      </c>
      <c r="M1687" s="2"/>
      <c r="N1687" s="2"/>
      <c r="O1687" s="2"/>
      <c r="P1687" s="2" t="s">
        <v>5545</v>
      </c>
      <c r="Q1687" s="6">
        <v>100</v>
      </c>
      <c r="R1687" s="2"/>
      <c r="S1687" s="5">
        <v>3.1</v>
      </c>
      <c r="T1687" s="7">
        <v>11.029</v>
      </c>
      <c r="U1687" s="5">
        <v>1.1000000000000001</v>
      </c>
      <c r="V1687" s="7">
        <v>0.115</v>
      </c>
      <c r="W1687" s="6">
        <v>9.25</v>
      </c>
      <c r="X1687" s="6">
        <v>9.25</v>
      </c>
      <c r="Y1687" s="6">
        <v>9.25</v>
      </c>
      <c r="Z1687" s="4">
        <v>10</v>
      </c>
      <c r="AA1687" s="6">
        <v>6.5</v>
      </c>
      <c r="AB1687" s="2" t="s">
        <v>47</v>
      </c>
      <c r="AC1687" s="2"/>
    </row>
    <row r="1688" spans="1:29" ht="39" x14ac:dyDescent="0.15">
      <c r="A1688" s="3">
        <f>DATE(1994,11,22)</f>
        <v>34660</v>
      </c>
      <c r="B1688" s="2"/>
      <c r="C1688" s="2" t="s">
        <v>30</v>
      </c>
      <c r="D1688" s="2" t="s">
        <v>5546</v>
      </c>
      <c r="E1688" s="2" t="s">
        <v>5547</v>
      </c>
      <c r="F1688" s="4">
        <v>7375</v>
      </c>
      <c r="G1688" s="2" t="s">
        <v>223</v>
      </c>
      <c r="H1688" s="2" t="s">
        <v>34</v>
      </c>
      <c r="I1688" s="2" t="s">
        <v>5548</v>
      </c>
      <c r="J1688" s="2" t="s">
        <v>5549</v>
      </c>
      <c r="K1688" s="2" t="s">
        <v>223</v>
      </c>
      <c r="L1688" s="2" t="s">
        <v>34</v>
      </c>
      <c r="M1688" s="2"/>
      <c r="N1688" s="2"/>
      <c r="O1688" s="2"/>
      <c r="P1688" s="2" t="s">
        <v>5550</v>
      </c>
      <c r="Q1688" s="2"/>
      <c r="R1688" s="2"/>
      <c r="S1688" s="2"/>
      <c r="T1688" s="2"/>
      <c r="U1688" s="2"/>
      <c r="V1688" s="2"/>
      <c r="W1688" s="7">
        <v>1.375</v>
      </c>
      <c r="X1688" s="4">
        <v>1</v>
      </c>
      <c r="Y1688" s="7">
        <v>1.375</v>
      </c>
      <c r="Z1688" s="6">
        <v>1.25</v>
      </c>
      <c r="AA1688" s="6">
        <v>2.89</v>
      </c>
      <c r="AB1688" s="2" t="s">
        <v>47</v>
      </c>
      <c r="AC1688" s="2"/>
    </row>
    <row r="1689" spans="1:29" ht="39" x14ac:dyDescent="0.15">
      <c r="A1689" s="3">
        <f>DATE(1994,11,22)</f>
        <v>34660</v>
      </c>
      <c r="B1689" s="2"/>
      <c r="C1689" s="2" t="s">
        <v>87</v>
      </c>
      <c r="D1689" s="2" t="s">
        <v>5551</v>
      </c>
      <c r="E1689" s="2" t="s">
        <v>5552</v>
      </c>
      <c r="F1689" s="4">
        <v>3641</v>
      </c>
      <c r="G1689" s="2" t="s">
        <v>137</v>
      </c>
      <c r="H1689" s="2" t="s">
        <v>34</v>
      </c>
      <c r="I1689" s="2" t="s">
        <v>138</v>
      </c>
      <c r="J1689" s="2" t="s">
        <v>139</v>
      </c>
      <c r="K1689" s="2" t="s">
        <v>53</v>
      </c>
      <c r="L1689" s="2" t="s">
        <v>139</v>
      </c>
      <c r="M1689" s="2"/>
      <c r="N1689" s="2"/>
      <c r="O1689" s="2"/>
      <c r="P1689" s="2" t="s">
        <v>5553</v>
      </c>
      <c r="Q1689" s="2"/>
      <c r="R1689" s="2"/>
      <c r="S1689" s="2"/>
      <c r="T1689" s="7">
        <v>0.69599999999999995</v>
      </c>
      <c r="U1689" s="5">
        <v>2.1</v>
      </c>
      <c r="V1689" s="2"/>
      <c r="W1689" s="7">
        <v>2.875</v>
      </c>
      <c r="X1689" s="6">
        <v>2.25</v>
      </c>
      <c r="Y1689" s="6">
        <v>2.25</v>
      </c>
      <c r="Z1689" s="6">
        <v>2.25</v>
      </c>
      <c r="AA1689" s="2"/>
      <c r="AB1689" s="2" t="s">
        <v>47</v>
      </c>
      <c r="AC1689" s="2"/>
    </row>
    <row r="1690" spans="1:29" ht="91" x14ac:dyDescent="0.15">
      <c r="A1690" s="3">
        <f>DATE(1994,11,23)</f>
        <v>34661</v>
      </c>
      <c r="B1690" s="2"/>
      <c r="C1690" s="2" t="s">
        <v>30</v>
      </c>
      <c r="D1690" s="2" t="s">
        <v>4665</v>
      </c>
      <c r="E1690" s="2" t="s">
        <v>612</v>
      </c>
      <c r="F1690" s="4">
        <v>1311</v>
      </c>
      <c r="G1690" s="2" t="s">
        <v>148</v>
      </c>
      <c r="H1690" s="2" t="s">
        <v>34</v>
      </c>
      <c r="I1690" s="2" t="s">
        <v>149</v>
      </c>
      <c r="J1690" s="2" t="s">
        <v>150</v>
      </c>
      <c r="K1690" s="2" t="s">
        <v>53</v>
      </c>
      <c r="L1690" s="2" t="s">
        <v>151</v>
      </c>
      <c r="M1690" s="2"/>
      <c r="N1690" s="2"/>
      <c r="O1690" s="2"/>
      <c r="P1690" s="2" t="s">
        <v>5554</v>
      </c>
      <c r="Q1690" s="2"/>
      <c r="R1690" s="6">
        <v>15</v>
      </c>
      <c r="S1690" s="5">
        <v>2.2000000000000002</v>
      </c>
      <c r="T1690" s="7">
        <v>14.887</v>
      </c>
      <c r="U1690" s="5">
        <v>3.3</v>
      </c>
      <c r="V1690" s="6">
        <v>0.1</v>
      </c>
      <c r="W1690" s="4">
        <v>12</v>
      </c>
      <c r="X1690" s="6">
        <v>13.75</v>
      </c>
      <c r="Y1690" s="6">
        <v>11.25</v>
      </c>
      <c r="Z1690" s="6">
        <v>11.25</v>
      </c>
      <c r="AA1690" s="6">
        <v>3.25</v>
      </c>
      <c r="AB1690" s="7">
        <v>74.917000000000002</v>
      </c>
      <c r="AC1690" s="2"/>
    </row>
    <row r="1691" spans="1:29" ht="143" x14ac:dyDescent="0.15">
      <c r="A1691" s="3">
        <f>DATE(1994,11,28)</f>
        <v>34666</v>
      </c>
      <c r="B1691" s="3">
        <f>DATE(1995,6,30)</f>
        <v>34880</v>
      </c>
      <c r="C1691" s="2" t="s">
        <v>95</v>
      </c>
      <c r="D1691" s="2" t="s">
        <v>3401</v>
      </c>
      <c r="E1691" s="2" t="s">
        <v>3402</v>
      </c>
      <c r="F1691" s="4">
        <v>4953</v>
      </c>
      <c r="G1691" s="2" t="s">
        <v>116</v>
      </c>
      <c r="H1691" s="2" t="s">
        <v>34</v>
      </c>
      <c r="I1691" s="2" t="s">
        <v>5555</v>
      </c>
      <c r="J1691" s="2" t="s">
        <v>5556</v>
      </c>
      <c r="K1691" s="2" t="s">
        <v>116</v>
      </c>
      <c r="L1691" s="2" t="s">
        <v>34</v>
      </c>
      <c r="M1691" s="7">
        <v>257.702</v>
      </c>
      <c r="N1691" s="5">
        <v>12.5</v>
      </c>
      <c r="O1691" s="7">
        <v>11.875</v>
      </c>
      <c r="P1691" s="2" t="s">
        <v>5557</v>
      </c>
      <c r="Q1691" s="6">
        <v>100</v>
      </c>
      <c r="R1691" s="6">
        <v>5.83</v>
      </c>
      <c r="S1691" s="5">
        <v>3.9</v>
      </c>
      <c r="T1691" s="2"/>
      <c r="U1691" s="5">
        <v>2.2999999999999998</v>
      </c>
      <c r="V1691" s="6">
        <v>0.05</v>
      </c>
      <c r="W1691" s="7">
        <v>2.0630000000000002</v>
      </c>
      <c r="X1691" s="7">
        <v>3.125</v>
      </c>
      <c r="Y1691" s="7">
        <v>4.125</v>
      </c>
      <c r="Z1691" s="4">
        <v>4</v>
      </c>
      <c r="AA1691" s="6">
        <v>66.790000000000006</v>
      </c>
      <c r="AB1691" s="7">
        <v>23.138999999999999</v>
      </c>
      <c r="AC1691" s="6">
        <v>3.24</v>
      </c>
    </row>
    <row r="1692" spans="1:29" ht="156" x14ac:dyDescent="0.15">
      <c r="A1692" s="3">
        <f>DATE(1994,11,30)</f>
        <v>34668</v>
      </c>
      <c r="B1692" s="3">
        <f>DATE(1996,8,30)</f>
        <v>35307</v>
      </c>
      <c r="C1692" s="2" t="s">
        <v>95</v>
      </c>
      <c r="D1692" s="2" t="s">
        <v>2138</v>
      </c>
      <c r="E1692" s="2" t="s">
        <v>177</v>
      </c>
      <c r="F1692" s="4">
        <v>1311</v>
      </c>
      <c r="G1692" s="2" t="s">
        <v>148</v>
      </c>
      <c r="H1692" s="2" t="s">
        <v>34</v>
      </c>
      <c r="I1692" s="2" t="s">
        <v>5558</v>
      </c>
      <c r="J1692" s="2" t="s">
        <v>612</v>
      </c>
      <c r="K1692" s="2" t="s">
        <v>148</v>
      </c>
      <c r="L1692" s="2" t="s">
        <v>34</v>
      </c>
      <c r="M1692" s="7">
        <v>28.771999999999998</v>
      </c>
      <c r="N1692" s="7">
        <v>2.3130000000000002</v>
      </c>
      <c r="O1692" s="7">
        <v>2.375</v>
      </c>
      <c r="P1692" s="2" t="s">
        <v>5559</v>
      </c>
      <c r="Q1692" s="6">
        <v>100</v>
      </c>
      <c r="R1692" s="6">
        <v>4.46</v>
      </c>
      <c r="S1692" s="5">
        <v>-1.7</v>
      </c>
      <c r="T1692" s="7">
        <v>6.9260000000000002</v>
      </c>
      <c r="U1692" s="5">
        <v>2.9</v>
      </c>
      <c r="V1692" s="6">
        <v>-0.11</v>
      </c>
      <c r="W1692" s="6">
        <v>6.25</v>
      </c>
      <c r="X1692" s="6">
        <v>6.25</v>
      </c>
      <c r="Y1692" s="7">
        <v>6.625</v>
      </c>
      <c r="Z1692" s="7">
        <v>6.5629999999999997</v>
      </c>
      <c r="AA1692" s="6">
        <v>12.47</v>
      </c>
      <c r="AB1692" s="7">
        <v>34.975999999999999</v>
      </c>
      <c r="AC1692" s="6">
        <v>7.9</v>
      </c>
    </row>
    <row r="1693" spans="1:29" ht="26" x14ac:dyDescent="0.15">
      <c r="A1693" s="3">
        <f>DATE(1994,11,30)</f>
        <v>34668</v>
      </c>
      <c r="B1693" s="2"/>
      <c r="C1693" s="2" t="s">
        <v>39</v>
      </c>
      <c r="D1693" s="2" t="s">
        <v>552</v>
      </c>
      <c r="E1693" s="2" t="s">
        <v>553</v>
      </c>
      <c r="F1693" s="4">
        <v>7372</v>
      </c>
      <c r="G1693" s="2" t="s">
        <v>551</v>
      </c>
      <c r="H1693" s="2" t="s">
        <v>34</v>
      </c>
      <c r="I1693" s="2" t="s">
        <v>5103</v>
      </c>
      <c r="J1693" s="2" t="s">
        <v>5104</v>
      </c>
      <c r="K1693" s="2" t="s">
        <v>551</v>
      </c>
      <c r="L1693" s="2" t="s">
        <v>34</v>
      </c>
      <c r="M1693" s="2"/>
      <c r="N1693" s="2"/>
      <c r="O1693" s="2"/>
      <c r="P1693" s="2" t="s">
        <v>5560</v>
      </c>
      <c r="Q1693" s="2"/>
      <c r="R1693" s="2"/>
      <c r="S1693" s="5">
        <v>55.5</v>
      </c>
      <c r="T1693" s="7">
        <v>206.09899999999999</v>
      </c>
      <c r="U1693" s="5">
        <v>11.8</v>
      </c>
      <c r="V1693" s="6">
        <v>1.24</v>
      </c>
      <c r="W1693" s="5">
        <v>38.5</v>
      </c>
      <c r="X1693" s="6">
        <v>41.75</v>
      </c>
      <c r="Y1693" s="6">
        <v>44.75</v>
      </c>
      <c r="Z1693" s="6">
        <v>44.25</v>
      </c>
      <c r="AA1693" s="2"/>
      <c r="AB1693" s="2" t="s">
        <v>47</v>
      </c>
      <c r="AC1693" s="2"/>
    </row>
    <row r="1694" spans="1:29" ht="104" x14ac:dyDescent="0.15">
      <c r="A1694" s="3">
        <f>DATE(1994,12,1)</f>
        <v>34669</v>
      </c>
      <c r="B1694" s="2"/>
      <c r="C1694" s="2" t="s">
        <v>87</v>
      </c>
      <c r="D1694" s="2" t="s">
        <v>5561</v>
      </c>
      <c r="E1694" s="2" t="s">
        <v>3484</v>
      </c>
      <c r="F1694" s="4">
        <v>6311</v>
      </c>
      <c r="G1694" s="2" t="s">
        <v>125</v>
      </c>
      <c r="H1694" s="2" t="s">
        <v>34</v>
      </c>
      <c r="I1694" s="2" t="s">
        <v>514</v>
      </c>
      <c r="J1694" s="2" t="s">
        <v>515</v>
      </c>
      <c r="K1694" s="2" t="s">
        <v>125</v>
      </c>
      <c r="L1694" s="2" t="s">
        <v>34</v>
      </c>
      <c r="M1694" s="2"/>
      <c r="N1694" s="5">
        <v>26.5</v>
      </c>
      <c r="O1694" s="7">
        <v>26.875</v>
      </c>
      <c r="P1694" s="2" t="s">
        <v>5562</v>
      </c>
      <c r="Q1694" s="2"/>
      <c r="R1694" s="2"/>
      <c r="S1694" s="5">
        <v>130</v>
      </c>
      <c r="T1694" s="2"/>
      <c r="U1694" s="5">
        <v>12.1</v>
      </c>
      <c r="V1694" s="6">
        <v>2.17</v>
      </c>
      <c r="W1694" s="4">
        <v>10</v>
      </c>
      <c r="X1694" s="5">
        <v>10.5</v>
      </c>
      <c r="Y1694" s="4">
        <v>10</v>
      </c>
      <c r="Z1694" s="7">
        <v>10.125</v>
      </c>
      <c r="AA1694" s="2"/>
      <c r="AB1694" s="2" t="s">
        <v>47</v>
      </c>
      <c r="AC1694" s="5">
        <v>6</v>
      </c>
    </row>
    <row r="1695" spans="1:29" ht="117" x14ac:dyDescent="0.15">
      <c r="A1695" s="3">
        <f>DATE(1994,12,2)</f>
        <v>34670</v>
      </c>
      <c r="B1695" s="2"/>
      <c r="C1695" s="2" t="s">
        <v>30</v>
      </c>
      <c r="D1695" s="2" t="s">
        <v>5563</v>
      </c>
      <c r="E1695" s="2" t="s">
        <v>5564</v>
      </c>
      <c r="F1695" s="4">
        <v>8071</v>
      </c>
      <c r="G1695" s="2" t="s">
        <v>454</v>
      </c>
      <c r="H1695" s="2" t="s">
        <v>34</v>
      </c>
      <c r="I1695" s="2" t="s">
        <v>5565</v>
      </c>
      <c r="J1695" s="2" t="s">
        <v>5566</v>
      </c>
      <c r="K1695" s="2" t="s">
        <v>454</v>
      </c>
      <c r="L1695" s="2" t="s">
        <v>34</v>
      </c>
      <c r="M1695" s="2"/>
      <c r="N1695" s="2"/>
      <c r="O1695" s="2"/>
      <c r="P1695" s="2" t="s">
        <v>5567</v>
      </c>
      <c r="Q1695" s="2"/>
      <c r="R1695" s="6">
        <v>5.75</v>
      </c>
      <c r="S1695" s="5">
        <v>1.9</v>
      </c>
      <c r="T1695" s="7">
        <v>5.367</v>
      </c>
      <c r="U1695" s="5">
        <v>3.4</v>
      </c>
      <c r="V1695" s="6">
        <v>0.54</v>
      </c>
      <c r="W1695" s="7">
        <v>3.625</v>
      </c>
      <c r="X1695" s="7">
        <v>4.375</v>
      </c>
      <c r="Y1695" s="7">
        <v>4.3129999999999997</v>
      </c>
      <c r="Z1695" s="5">
        <v>4.5</v>
      </c>
      <c r="AA1695" s="6">
        <v>3.56</v>
      </c>
      <c r="AB1695" s="7">
        <v>7.3049999999999997</v>
      </c>
      <c r="AC1695" s="2"/>
    </row>
    <row r="1696" spans="1:29" ht="130" x14ac:dyDescent="0.15">
      <c r="A1696" s="3">
        <f>DATE(1994,12,5)</f>
        <v>34673</v>
      </c>
      <c r="B1696" s="3">
        <f>DATE(1995,7,3)</f>
        <v>34883</v>
      </c>
      <c r="C1696" s="2" t="s">
        <v>95</v>
      </c>
      <c r="D1696" s="2" t="s">
        <v>5412</v>
      </c>
      <c r="E1696" s="2" t="s">
        <v>389</v>
      </c>
      <c r="F1696" s="4">
        <v>6035</v>
      </c>
      <c r="G1696" s="2" t="s">
        <v>33</v>
      </c>
      <c r="H1696" s="2" t="s">
        <v>34</v>
      </c>
      <c r="I1696" s="2" t="s">
        <v>2897</v>
      </c>
      <c r="J1696" s="2" t="s">
        <v>2898</v>
      </c>
      <c r="K1696" s="2" t="s">
        <v>37</v>
      </c>
      <c r="L1696" s="2" t="s">
        <v>34</v>
      </c>
      <c r="M1696" s="12">
        <v>7655.5469999999996</v>
      </c>
      <c r="N1696" s="7">
        <v>39.625</v>
      </c>
      <c r="O1696" s="4">
        <v>40</v>
      </c>
      <c r="P1696" s="2" t="s">
        <v>5568</v>
      </c>
      <c r="Q1696" s="6">
        <v>100</v>
      </c>
      <c r="R1696" s="6">
        <v>21</v>
      </c>
      <c r="S1696" s="5">
        <v>27.4</v>
      </c>
      <c r="T1696" s="7">
        <v>30.827000000000002</v>
      </c>
      <c r="U1696" s="5">
        <v>18.5</v>
      </c>
      <c r="V1696" s="6">
        <v>2.29</v>
      </c>
      <c r="W1696" s="7">
        <v>16.375</v>
      </c>
      <c r="X1696" s="7">
        <v>16.437999999999999</v>
      </c>
      <c r="Y1696" s="7">
        <v>19.562999999999999</v>
      </c>
      <c r="Z1696" s="7">
        <v>19.562999999999999</v>
      </c>
      <c r="AA1696" s="6">
        <v>11.76</v>
      </c>
      <c r="AB1696" s="7">
        <v>165.47399999999999</v>
      </c>
      <c r="AC1696" s="2"/>
    </row>
    <row r="1697" spans="1:29" ht="91" x14ac:dyDescent="0.15">
      <c r="A1697" s="3">
        <f>DATE(1994,12,5)</f>
        <v>34673</v>
      </c>
      <c r="B1697" s="2"/>
      <c r="C1697" s="2" t="s">
        <v>30</v>
      </c>
      <c r="D1697" s="2" t="s">
        <v>2626</v>
      </c>
      <c r="E1697" s="2" t="s">
        <v>2627</v>
      </c>
      <c r="F1697" s="4">
        <v>5531</v>
      </c>
      <c r="G1697" s="2" t="s">
        <v>73</v>
      </c>
      <c r="H1697" s="2" t="s">
        <v>34</v>
      </c>
      <c r="I1697" s="2" t="s">
        <v>51</v>
      </c>
      <c r="J1697" s="2" t="s">
        <v>52</v>
      </c>
      <c r="K1697" s="2" t="s">
        <v>53</v>
      </c>
      <c r="L1697" s="2" t="s">
        <v>34</v>
      </c>
      <c r="M1697" s="2"/>
      <c r="N1697" s="2"/>
      <c r="O1697" s="2"/>
      <c r="P1697" s="2" t="s">
        <v>5569</v>
      </c>
      <c r="Q1697" s="2"/>
      <c r="R1697" s="6">
        <v>18.5</v>
      </c>
      <c r="S1697" s="5">
        <v>1.9</v>
      </c>
      <c r="T1697" s="7">
        <v>7.0949999999999998</v>
      </c>
      <c r="U1697" s="5">
        <v>9.6999999999999993</v>
      </c>
      <c r="V1697" s="6">
        <v>0.55000000000000004</v>
      </c>
      <c r="W1697" s="7">
        <v>15.375</v>
      </c>
      <c r="X1697" s="7">
        <v>15.625</v>
      </c>
      <c r="Y1697" s="4">
        <v>16</v>
      </c>
      <c r="Z1697" s="5">
        <v>15.5</v>
      </c>
      <c r="AA1697" s="6">
        <v>3.3</v>
      </c>
      <c r="AB1697" s="7">
        <v>13.108000000000001</v>
      </c>
      <c r="AC1697" s="2"/>
    </row>
    <row r="1698" spans="1:29" ht="78" x14ac:dyDescent="0.15">
      <c r="A1698" s="3">
        <f>DATE(1994,12,5)</f>
        <v>34673</v>
      </c>
      <c r="B1698" s="3">
        <f>DATE(1995,1,31)</f>
        <v>34730</v>
      </c>
      <c r="C1698" s="2" t="s">
        <v>95</v>
      </c>
      <c r="D1698" s="2" t="s">
        <v>5570</v>
      </c>
      <c r="E1698" s="2" t="s">
        <v>5571</v>
      </c>
      <c r="F1698" s="4">
        <v>2337</v>
      </c>
      <c r="G1698" s="2" t="s">
        <v>708</v>
      </c>
      <c r="H1698" s="2" t="s">
        <v>34</v>
      </c>
      <c r="I1698" s="2" t="s">
        <v>149</v>
      </c>
      <c r="J1698" s="2" t="s">
        <v>150</v>
      </c>
      <c r="K1698" s="2" t="s">
        <v>53</v>
      </c>
      <c r="L1698" s="2" t="s">
        <v>151</v>
      </c>
      <c r="M1698" s="2"/>
      <c r="N1698" s="2"/>
      <c r="O1698" s="2"/>
      <c r="P1698" s="2" t="s">
        <v>5572</v>
      </c>
      <c r="Q1698" s="6">
        <v>79.260000000000005</v>
      </c>
      <c r="R1698" s="6">
        <v>2</v>
      </c>
      <c r="S1698" s="5">
        <v>-4.5</v>
      </c>
      <c r="T1698" s="7">
        <v>-4.2869999999999999</v>
      </c>
      <c r="U1698" s="5">
        <v>1.4</v>
      </c>
      <c r="V1698" s="6">
        <v>-0.94</v>
      </c>
      <c r="W1698" s="7">
        <v>1.875</v>
      </c>
      <c r="X1698" s="5">
        <v>2.5</v>
      </c>
      <c r="Y1698" s="7">
        <v>3.375</v>
      </c>
      <c r="Z1698" s="7">
        <v>3.375</v>
      </c>
      <c r="AA1698" s="6">
        <v>3.82</v>
      </c>
      <c r="AB1698" s="2" t="s">
        <v>86</v>
      </c>
      <c r="AC1698" s="2"/>
    </row>
    <row r="1699" spans="1:29" ht="39" x14ac:dyDescent="0.15">
      <c r="A1699" s="3">
        <f>DATE(1994,12,6)</f>
        <v>34674</v>
      </c>
      <c r="B1699" s="3">
        <f>DATE(1995,5,10)</f>
        <v>34829</v>
      </c>
      <c r="C1699" s="2" t="s">
        <v>95</v>
      </c>
      <c r="D1699" s="2" t="s">
        <v>5573</v>
      </c>
      <c r="E1699" s="2" t="s">
        <v>124</v>
      </c>
      <c r="F1699" s="4">
        <v>6311</v>
      </c>
      <c r="G1699" s="2" t="s">
        <v>125</v>
      </c>
      <c r="H1699" s="2" t="s">
        <v>34</v>
      </c>
      <c r="I1699" s="2" t="s">
        <v>5574</v>
      </c>
      <c r="J1699" s="2" t="s">
        <v>515</v>
      </c>
      <c r="K1699" s="2" t="s">
        <v>125</v>
      </c>
      <c r="L1699" s="2" t="s">
        <v>34</v>
      </c>
      <c r="M1699" s="12">
        <v>3962.797</v>
      </c>
      <c r="N1699" s="4">
        <v>63</v>
      </c>
      <c r="O1699" s="6">
        <v>63.25</v>
      </c>
      <c r="P1699" s="2" t="s">
        <v>5575</v>
      </c>
      <c r="Q1699" s="6">
        <v>100</v>
      </c>
      <c r="R1699" s="6">
        <v>20</v>
      </c>
      <c r="S1699" s="5">
        <v>208.4</v>
      </c>
      <c r="T1699" s="2"/>
      <c r="U1699" s="5">
        <v>33.6</v>
      </c>
      <c r="V1699" s="6">
        <v>3.71</v>
      </c>
      <c r="W1699" s="7">
        <v>14.375</v>
      </c>
      <c r="X1699" s="7">
        <v>14.375</v>
      </c>
      <c r="Y1699" s="4">
        <v>14</v>
      </c>
      <c r="Z1699" s="6">
        <v>18.75</v>
      </c>
      <c r="AA1699" s="6">
        <v>55.48</v>
      </c>
      <c r="AB1699" s="7">
        <v>9.0589999999999993</v>
      </c>
      <c r="AC1699" s="6">
        <v>129.63</v>
      </c>
    </row>
    <row r="1700" spans="1:29" ht="130" x14ac:dyDescent="0.15">
      <c r="A1700" s="3">
        <f>DATE(1994,12,6)</f>
        <v>34674</v>
      </c>
      <c r="B1700" s="3">
        <f>DATE(1995,3,31)</f>
        <v>34789</v>
      </c>
      <c r="C1700" s="2" t="s">
        <v>95</v>
      </c>
      <c r="D1700" s="2" t="s">
        <v>5576</v>
      </c>
      <c r="E1700" s="2" t="s">
        <v>5577</v>
      </c>
      <c r="F1700" s="4">
        <v>7372</v>
      </c>
      <c r="G1700" s="2" t="s">
        <v>551</v>
      </c>
      <c r="H1700" s="2" t="s">
        <v>34</v>
      </c>
      <c r="I1700" s="2" t="s">
        <v>5578</v>
      </c>
      <c r="J1700" s="2" t="s">
        <v>1072</v>
      </c>
      <c r="K1700" s="2" t="s">
        <v>53</v>
      </c>
      <c r="L1700" s="2" t="s">
        <v>34</v>
      </c>
      <c r="M1700" s="2"/>
      <c r="N1700" s="2"/>
      <c r="O1700" s="2"/>
      <c r="P1700" s="2" t="s">
        <v>5579</v>
      </c>
      <c r="Q1700" s="6">
        <v>100</v>
      </c>
      <c r="R1700" s="6">
        <v>8.75</v>
      </c>
      <c r="S1700" s="5">
        <v>-3.5</v>
      </c>
      <c r="T1700" s="5">
        <v>-1.6</v>
      </c>
      <c r="U1700" s="5">
        <v>3.4</v>
      </c>
      <c r="V1700" s="6">
        <v>-1.9</v>
      </c>
      <c r="W1700" s="5">
        <v>6.5</v>
      </c>
      <c r="X1700" s="6">
        <v>6.25</v>
      </c>
      <c r="Y1700" s="6">
        <v>7.25</v>
      </c>
      <c r="Z1700" s="6">
        <v>7.25</v>
      </c>
      <c r="AA1700" s="6">
        <v>1.87</v>
      </c>
      <c r="AB1700" s="2" t="s">
        <v>86</v>
      </c>
      <c r="AC1700" s="2"/>
    </row>
    <row r="1701" spans="1:29" ht="78" x14ac:dyDescent="0.15">
      <c r="A1701" s="3">
        <f>DATE(1994,12,6)</f>
        <v>34674</v>
      </c>
      <c r="B1701" s="2"/>
      <c r="C1701" s="2" t="s">
        <v>30</v>
      </c>
      <c r="D1701" s="2" t="s">
        <v>5580</v>
      </c>
      <c r="E1701" s="2" t="s">
        <v>5581</v>
      </c>
      <c r="F1701" s="4">
        <v>3579</v>
      </c>
      <c r="G1701" s="2" t="s">
        <v>50</v>
      </c>
      <c r="H1701" s="2" t="s">
        <v>34</v>
      </c>
      <c r="I1701" s="2" t="s">
        <v>149</v>
      </c>
      <c r="J1701" s="2" t="s">
        <v>150</v>
      </c>
      <c r="K1701" s="2" t="s">
        <v>53</v>
      </c>
      <c r="L1701" s="2" t="s">
        <v>151</v>
      </c>
      <c r="M1701" s="2"/>
      <c r="N1701" s="2"/>
      <c r="O1701" s="2"/>
      <c r="P1701" s="2" t="s">
        <v>5582</v>
      </c>
      <c r="Q1701" s="2"/>
      <c r="R1701" s="2"/>
      <c r="S1701" s="5">
        <v>0.6</v>
      </c>
      <c r="T1701" s="7">
        <v>1.746</v>
      </c>
      <c r="U1701" s="5">
        <v>8.8000000000000007</v>
      </c>
      <c r="V1701" s="6">
        <v>0.15</v>
      </c>
      <c r="W1701" s="4">
        <v>5</v>
      </c>
      <c r="X1701" s="6">
        <v>4.75</v>
      </c>
      <c r="Y1701" s="7">
        <v>4.625</v>
      </c>
      <c r="Z1701" s="7">
        <v>4.875</v>
      </c>
      <c r="AA1701" s="6">
        <v>3.2</v>
      </c>
      <c r="AB1701" s="2" t="s">
        <v>47</v>
      </c>
      <c r="AC1701" s="2"/>
    </row>
    <row r="1702" spans="1:29" ht="156" x14ac:dyDescent="0.15">
      <c r="A1702" s="3">
        <f>DATE(1994,12,6)</f>
        <v>34674</v>
      </c>
      <c r="B1702" s="3">
        <f>DATE(1995,2,28)</f>
        <v>34758</v>
      </c>
      <c r="C1702" s="2" t="s">
        <v>95</v>
      </c>
      <c r="D1702" s="2" t="s">
        <v>5058</v>
      </c>
      <c r="E1702" s="2" t="s">
        <v>5059</v>
      </c>
      <c r="F1702" s="4">
        <v>3631</v>
      </c>
      <c r="G1702" s="2" t="s">
        <v>137</v>
      </c>
      <c r="H1702" s="2" t="s">
        <v>34</v>
      </c>
      <c r="I1702" s="2" t="s">
        <v>5583</v>
      </c>
      <c r="J1702" s="2" t="s">
        <v>5584</v>
      </c>
      <c r="K1702" s="2" t="s">
        <v>53</v>
      </c>
      <c r="L1702" s="2" t="s">
        <v>303</v>
      </c>
      <c r="M1702" s="2"/>
      <c r="N1702" s="2"/>
      <c r="O1702" s="2"/>
      <c r="P1702" s="2" t="s">
        <v>5585</v>
      </c>
      <c r="Q1702" s="6">
        <v>100</v>
      </c>
      <c r="R1702" s="6">
        <v>33.75</v>
      </c>
      <c r="S1702" s="5">
        <v>20.5</v>
      </c>
      <c r="T1702" s="7">
        <v>59.404000000000003</v>
      </c>
      <c r="U1702" s="5">
        <v>4.5</v>
      </c>
      <c r="V1702" s="6">
        <v>2.33</v>
      </c>
      <c r="W1702" s="5">
        <v>24.5</v>
      </c>
      <c r="X1702" s="6">
        <v>26.25</v>
      </c>
      <c r="Y1702" s="6">
        <v>27.25</v>
      </c>
      <c r="Z1702" s="6">
        <v>27.25</v>
      </c>
      <c r="AA1702" s="6">
        <v>9.18</v>
      </c>
      <c r="AB1702" s="7">
        <v>9.718</v>
      </c>
      <c r="AC1702" s="2"/>
    </row>
    <row r="1703" spans="1:29" ht="143" x14ac:dyDescent="0.15">
      <c r="A1703" s="3">
        <f>DATE(1994,12,7)</f>
        <v>34675</v>
      </c>
      <c r="B1703" s="2"/>
      <c r="C1703" s="2" t="s">
        <v>30</v>
      </c>
      <c r="D1703" s="2" t="s">
        <v>5586</v>
      </c>
      <c r="E1703" s="2" t="s">
        <v>5587</v>
      </c>
      <c r="F1703" s="4">
        <v>4812</v>
      </c>
      <c r="G1703" s="2" t="s">
        <v>63</v>
      </c>
      <c r="H1703" s="2" t="s">
        <v>34</v>
      </c>
      <c r="I1703" s="2" t="s">
        <v>4364</v>
      </c>
      <c r="J1703" s="2" t="s">
        <v>4365</v>
      </c>
      <c r="K1703" s="2" t="s">
        <v>63</v>
      </c>
      <c r="L1703" s="2" t="s">
        <v>34</v>
      </c>
      <c r="M1703" s="7">
        <v>120.785</v>
      </c>
      <c r="N1703" s="5">
        <v>17.5</v>
      </c>
      <c r="O1703" s="7">
        <v>16.875</v>
      </c>
      <c r="P1703" s="2" t="s">
        <v>5588</v>
      </c>
      <c r="Q1703" s="2"/>
      <c r="R1703" s="6">
        <v>11.4</v>
      </c>
      <c r="S1703" s="5">
        <v>-7.6</v>
      </c>
      <c r="T1703" s="7">
        <v>9.4290000000000003</v>
      </c>
      <c r="U1703" s="5">
        <v>-0.9</v>
      </c>
      <c r="V1703" s="6">
        <v>-1.49</v>
      </c>
      <c r="W1703" s="5">
        <v>10.5</v>
      </c>
      <c r="X1703" s="6">
        <v>10.25</v>
      </c>
      <c r="Y1703" s="4">
        <v>10</v>
      </c>
      <c r="Z1703" s="4">
        <v>10</v>
      </c>
      <c r="AA1703" s="6">
        <v>6.99</v>
      </c>
      <c r="AB1703" s="2" t="s">
        <v>86</v>
      </c>
      <c r="AC1703" s="6">
        <v>1.01</v>
      </c>
    </row>
    <row r="1704" spans="1:29" ht="156" x14ac:dyDescent="0.15">
      <c r="A1704" s="3">
        <f>DATE(1994,12,7)</f>
        <v>34675</v>
      </c>
      <c r="B1704" s="2"/>
      <c r="C1704" s="2" t="s">
        <v>30</v>
      </c>
      <c r="D1704" s="2" t="s">
        <v>5589</v>
      </c>
      <c r="E1704" s="2" t="s">
        <v>2814</v>
      </c>
      <c r="F1704" s="4">
        <v>4812</v>
      </c>
      <c r="G1704" s="2" t="s">
        <v>63</v>
      </c>
      <c r="H1704" s="2" t="s">
        <v>34</v>
      </c>
      <c r="I1704" s="2" t="s">
        <v>4364</v>
      </c>
      <c r="J1704" s="2" t="s">
        <v>4365</v>
      </c>
      <c r="K1704" s="2" t="s">
        <v>63</v>
      </c>
      <c r="L1704" s="2" t="s">
        <v>34</v>
      </c>
      <c r="M1704" s="7">
        <v>120.785</v>
      </c>
      <c r="N1704" s="5">
        <v>17.5</v>
      </c>
      <c r="O1704" s="7">
        <v>16.875</v>
      </c>
      <c r="P1704" s="2" t="s">
        <v>5590</v>
      </c>
      <c r="Q1704" s="2"/>
      <c r="R1704" s="6">
        <v>13</v>
      </c>
      <c r="S1704" s="2"/>
      <c r="T1704" s="2"/>
      <c r="U1704" s="2"/>
      <c r="V1704" s="2"/>
      <c r="W1704" s="6">
        <v>9.25</v>
      </c>
      <c r="X1704" s="4">
        <v>9</v>
      </c>
      <c r="Y1704" s="7">
        <v>10.375</v>
      </c>
      <c r="Z1704" s="6">
        <v>10.75</v>
      </c>
      <c r="AA1704" s="6">
        <v>10.71</v>
      </c>
      <c r="AB1704" s="2" t="s">
        <v>47</v>
      </c>
      <c r="AC1704" s="6">
        <v>1.01</v>
      </c>
    </row>
    <row r="1705" spans="1:29" ht="91" x14ac:dyDescent="0.15">
      <c r="A1705" s="3">
        <f>DATE(1994,12,8)</f>
        <v>34676</v>
      </c>
      <c r="B1705" s="3">
        <f>DATE(1995,2,8)</f>
        <v>34738</v>
      </c>
      <c r="C1705" s="2" t="s">
        <v>95</v>
      </c>
      <c r="D1705" s="2" t="s">
        <v>5591</v>
      </c>
      <c r="E1705" s="2" t="s">
        <v>5592</v>
      </c>
      <c r="F1705" s="4">
        <v>1221</v>
      </c>
      <c r="G1705" s="2" t="s">
        <v>166</v>
      </c>
      <c r="H1705" s="2" t="s">
        <v>34</v>
      </c>
      <c r="I1705" s="2" t="s">
        <v>5593</v>
      </c>
      <c r="J1705" s="2" t="s">
        <v>5594</v>
      </c>
      <c r="K1705" s="2" t="s">
        <v>98</v>
      </c>
      <c r="L1705" s="2" t="s">
        <v>34</v>
      </c>
      <c r="M1705" s="2"/>
      <c r="N1705" s="5">
        <v>32.5</v>
      </c>
      <c r="O1705" s="7">
        <v>32.375</v>
      </c>
      <c r="P1705" s="2" t="s">
        <v>5595</v>
      </c>
      <c r="Q1705" s="6">
        <v>15.04</v>
      </c>
      <c r="R1705" s="2"/>
      <c r="S1705" s="5">
        <v>-1.8</v>
      </c>
      <c r="T1705" s="6">
        <v>105.22</v>
      </c>
      <c r="U1705" s="5">
        <v>24.7</v>
      </c>
      <c r="V1705" s="6">
        <v>0.85</v>
      </c>
      <c r="W1705" s="4">
        <v>29</v>
      </c>
      <c r="X1705" s="6">
        <v>28.25</v>
      </c>
      <c r="Y1705" s="7">
        <v>28.125</v>
      </c>
      <c r="Z1705" s="5">
        <v>28.5</v>
      </c>
      <c r="AA1705" s="6">
        <v>18.3</v>
      </c>
      <c r="AB1705" s="7">
        <v>30.416</v>
      </c>
      <c r="AC1705" s="5">
        <v>40</v>
      </c>
    </row>
    <row r="1706" spans="1:29" ht="130" x14ac:dyDescent="0.15">
      <c r="A1706" s="3">
        <f>DATE(1994,12,8)</f>
        <v>34676</v>
      </c>
      <c r="B1706" s="2"/>
      <c r="C1706" s="2" t="s">
        <v>87</v>
      </c>
      <c r="D1706" s="2" t="s">
        <v>5596</v>
      </c>
      <c r="E1706" s="2" t="s">
        <v>5597</v>
      </c>
      <c r="F1706" s="4">
        <v>3841</v>
      </c>
      <c r="G1706" s="2" t="s">
        <v>226</v>
      </c>
      <c r="H1706" s="2" t="s">
        <v>34</v>
      </c>
      <c r="I1706" s="2" t="s">
        <v>3460</v>
      </c>
      <c r="J1706" s="2" t="s">
        <v>3461</v>
      </c>
      <c r="K1706" s="2" t="s">
        <v>130</v>
      </c>
      <c r="L1706" s="2" t="s">
        <v>34</v>
      </c>
      <c r="M1706" s="7">
        <v>97.266999999999996</v>
      </c>
      <c r="N1706" s="5">
        <v>20.5</v>
      </c>
      <c r="O1706" s="5">
        <v>20.5</v>
      </c>
      <c r="P1706" s="2" t="s">
        <v>5598</v>
      </c>
      <c r="Q1706" s="2"/>
      <c r="R1706" s="6">
        <v>5</v>
      </c>
      <c r="S1706" s="5">
        <v>0.1</v>
      </c>
      <c r="T1706" s="7">
        <v>0.13800000000000001</v>
      </c>
      <c r="U1706" s="5">
        <v>1</v>
      </c>
      <c r="V1706" s="6">
        <v>0.03</v>
      </c>
      <c r="W1706" s="4">
        <v>5</v>
      </c>
      <c r="X1706" s="4">
        <v>5</v>
      </c>
      <c r="Y1706" s="6">
        <v>5.25</v>
      </c>
      <c r="Z1706" s="4">
        <v>5</v>
      </c>
      <c r="AA1706" s="6">
        <v>4.05</v>
      </c>
      <c r="AB1706" s="7">
        <v>189.917</v>
      </c>
      <c r="AC1706" s="6">
        <v>6.55</v>
      </c>
    </row>
    <row r="1707" spans="1:29" ht="130" x14ac:dyDescent="0.15">
      <c r="A1707" s="3">
        <f>DATE(1994,12,8)</f>
        <v>34676</v>
      </c>
      <c r="B1707" s="2"/>
      <c r="C1707" s="2" t="s">
        <v>30</v>
      </c>
      <c r="D1707" s="2" t="s">
        <v>5599</v>
      </c>
      <c r="E1707" s="2" t="s">
        <v>5600</v>
      </c>
      <c r="F1707" s="4">
        <v>2834</v>
      </c>
      <c r="G1707" s="2" t="s">
        <v>130</v>
      </c>
      <c r="H1707" s="2" t="s">
        <v>34</v>
      </c>
      <c r="I1707" s="2" t="s">
        <v>3460</v>
      </c>
      <c r="J1707" s="2" t="s">
        <v>3461</v>
      </c>
      <c r="K1707" s="2" t="s">
        <v>130</v>
      </c>
      <c r="L1707" s="2" t="s">
        <v>34</v>
      </c>
      <c r="M1707" s="7">
        <v>97.266999999999996</v>
      </c>
      <c r="N1707" s="5">
        <v>20.5</v>
      </c>
      <c r="O1707" s="5">
        <v>20.5</v>
      </c>
      <c r="P1707" s="2" t="s">
        <v>5601</v>
      </c>
      <c r="Q1707" s="2"/>
      <c r="R1707" s="6">
        <v>6.03</v>
      </c>
      <c r="S1707" s="5">
        <v>6.8</v>
      </c>
      <c r="T1707" s="7">
        <v>-10.986000000000001</v>
      </c>
      <c r="U1707" s="5">
        <v>3.9</v>
      </c>
      <c r="V1707" s="6">
        <v>-0.99</v>
      </c>
      <c r="W1707" s="7">
        <v>2.9220000000000002</v>
      </c>
      <c r="X1707" s="6">
        <v>2.75</v>
      </c>
      <c r="Y1707" s="7">
        <v>3.0630000000000002</v>
      </c>
      <c r="Z1707" s="7">
        <v>3.0470000000000002</v>
      </c>
      <c r="AA1707" s="6">
        <v>12.92</v>
      </c>
      <c r="AB1707" s="2" t="s">
        <v>86</v>
      </c>
      <c r="AC1707" s="6">
        <v>6.55</v>
      </c>
    </row>
    <row r="1708" spans="1:29" ht="104" x14ac:dyDescent="0.15">
      <c r="A1708" s="3">
        <f>DATE(1994,12,8)</f>
        <v>34676</v>
      </c>
      <c r="B1708" s="3">
        <f>DATE(1994,12,8)</f>
        <v>34676</v>
      </c>
      <c r="C1708" s="2" t="s">
        <v>95</v>
      </c>
      <c r="D1708" s="2" t="s">
        <v>71</v>
      </c>
      <c r="E1708" s="2" t="s">
        <v>72</v>
      </c>
      <c r="F1708" s="4">
        <v>5995</v>
      </c>
      <c r="G1708" s="2" t="s">
        <v>73</v>
      </c>
      <c r="H1708" s="2" t="s">
        <v>34</v>
      </c>
      <c r="I1708" s="2" t="s">
        <v>51</v>
      </c>
      <c r="J1708" s="2" t="s">
        <v>52</v>
      </c>
      <c r="K1708" s="2" t="s">
        <v>53</v>
      </c>
      <c r="L1708" s="2" t="s">
        <v>34</v>
      </c>
      <c r="M1708" s="2"/>
      <c r="N1708" s="2"/>
      <c r="O1708" s="2"/>
      <c r="P1708" s="2" t="s">
        <v>5602</v>
      </c>
      <c r="Q1708" s="2"/>
      <c r="R1708" s="2"/>
      <c r="S1708" s="5">
        <v>-51.1</v>
      </c>
      <c r="T1708" s="7">
        <v>-38.887999999999998</v>
      </c>
      <c r="U1708" s="5">
        <v>0.2</v>
      </c>
      <c r="V1708" s="6">
        <v>-9.2899999999999991</v>
      </c>
      <c r="W1708" s="6">
        <v>10.75</v>
      </c>
      <c r="X1708" s="6">
        <v>10.75</v>
      </c>
      <c r="Y1708" s="6">
        <v>10.75</v>
      </c>
      <c r="Z1708" s="6">
        <v>10.75</v>
      </c>
      <c r="AA1708" s="6">
        <v>38.840000000000003</v>
      </c>
      <c r="AB1708" s="2" t="s">
        <v>86</v>
      </c>
      <c r="AC1708" s="2"/>
    </row>
    <row r="1709" spans="1:29" ht="52" x14ac:dyDescent="0.15">
      <c r="A1709" s="3">
        <f t="shared" ref="A1709:A1714" si="5">DATE(1994,12,12)</f>
        <v>34680</v>
      </c>
      <c r="B1709" s="3">
        <f>DATE(1995,5,1)</f>
        <v>34820</v>
      </c>
      <c r="C1709" s="2" t="s">
        <v>95</v>
      </c>
      <c r="D1709" s="2" t="s">
        <v>5603</v>
      </c>
      <c r="E1709" s="2" t="s">
        <v>386</v>
      </c>
      <c r="F1709" s="4">
        <v>6726</v>
      </c>
      <c r="G1709" s="2" t="s">
        <v>53</v>
      </c>
      <c r="H1709" s="2" t="s">
        <v>34</v>
      </c>
      <c r="I1709" s="2" t="s">
        <v>5604</v>
      </c>
      <c r="J1709" s="2" t="s">
        <v>483</v>
      </c>
      <c r="K1709" s="2" t="s">
        <v>53</v>
      </c>
      <c r="L1709" s="2" t="s">
        <v>34</v>
      </c>
      <c r="M1709" s="2"/>
      <c r="N1709" s="2"/>
      <c r="O1709" s="2"/>
      <c r="P1709" s="2" t="s">
        <v>5605</v>
      </c>
      <c r="Q1709" s="6">
        <v>100</v>
      </c>
      <c r="R1709" s="2"/>
      <c r="S1709" s="2"/>
      <c r="T1709" s="2"/>
      <c r="U1709" s="2"/>
      <c r="V1709" s="2"/>
      <c r="W1709" s="6">
        <v>8.25</v>
      </c>
      <c r="X1709" s="6">
        <v>8.25</v>
      </c>
      <c r="Y1709" s="7">
        <v>8.125</v>
      </c>
      <c r="Z1709" s="6">
        <v>8.25</v>
      </c>
      <c r="AA1709" s="2"/>
      <c r="AB1709" s="2" t="s">
        <v>47</v>
      </c>
      <c r="AC1709" s="2"/>
    </row>
    <row r="1710" spans="1:29" ht="143" x14ac:dyDescent="0.15">
      <c r="A1710" s="3">
        <f t="shared" si="5"/>
        <v>34680</v>
      </c>
      <c r="B1710" s="3">
        <f>DATE(1995,4,3)</f>
        <v>34792</v>
      </c>
      <c r="C1710" s="2" t="s">
        <v>95</v>
      </c>
      <c r="D1710" s="2" t="s">
        <v>2990</v>
      </c>
      <c r="E1710" s="2" t="s">
        <v>2991</v>
      </c>
      <c r="F1710" s="4">
        <v>6331</v>
      </c>
      <c r="G1710" s="2" t="s">
        <v>125</v>
      </c>
      <c r="H1710" s="2" t="s">
        <v>34</v>
      </c>
      <c r="I1710" s="2" t="s">
        <v>5606</v>
      </c>
      <c r="J1710" s="2" t="s">
        <v>124</v>
      </c>
      <c r="K1710" s="2" t="s">
        <v>125</v>
      </c>
      <c r="L1710" s="2" t="s">
        <v>34</v>
      </c>
      <c r="M1710" s="12">
        <v>1152.325</v>
      </c>
      <c r="N1710" s="7">
        <v>24.375</v>
      </c>
      <c r="O1710" s="6">
        <v>23.75</v>
      </c>
      <c r="P1710" s="2" t="s">
        <v>5607</v>
      </c>
      <c r="Q1710" s="6">
        <v>100</v>
      </c>
      <c r="R1710" s="6">
        <v>24.25</v>
      </c>
      <c r="S1710" s="5">
        <v>100.1</v>
      </c>
      <c r="T1710" s="7">
        <v>408.33499999999998</v>
      </c>
      <c r="U1710" s="2"/>
      <c r="V1710" s="2"/>
      <c r="W1710" s="7">
        <v>23.625</v>
      </c>
      <c r="X1710" s="6">
        <v>24.25</v>
      </c>
      <c r="Y1710" s="7">
        <v>24.375</v>
      </c>
      <c r="Z1710" s="6">
        <v>23.75</v>
      </c>
      <c r="AA1710" s="6">
        <v>28.31</v>
      </c>
      <c r="AB1710" s="2" t="s">
        <v>86</v>
      </c>
      <c r="AC1710" s="2"/>
    </row>
    <row r="1711" spans="1:29" ht="117" x14ac:dyDescent="0.15">
      <c r="A1711" s="3">
        <f t="shared" si="5"/>
        <v>34680</v>
      </c>
      <c r="B1711" s="3">
        <f>DATE(1995,3,29)</f>
        <v>34787</v>
      </c>
      <c r="C1711" s="2" t="s">
        <v>95</v>
      </c>
      <c r="D1711" s="2" t="s">
        <v>5608</v>
      </c>
      <c r="E1711" s="2" t="s">
        <v>367</v>
      </c>
      <c r="F1711" s="4">
        <v>6211</v>
      </c>
      <c r="G1711" s="2" t="s">
        <v>53</v>
      </c>
      <c r="H1711" s="2" t="s">
        <v>34</v>
      </c>
      <c r="I1711" s="2" t="s">
        <v>5609</v>
      </c>
      <c r="J1711" s="2" t="s">
        <v>5610</v>
      </c>
      <c r="K1711" s="2" t="s">
        <v>223</v>
      </c>
      <c r="L1711" s="2" t="s">
        <v>34</v>
      </c>
      <c r="M1711" s="7">
        <v>333.94799999999998</v>
      </c>
      <c r="N1711" s="7">
        <v>20.125</v>
      </c>
      <c r="O1711" s="7">
        <v>19.875</v>
      </c>
      <c r="P1711" s="2" t="s">
        <v>5611</v>
      </c>
      <c r="Q1711" s="6">
        <v>100</v>
      </c>
      <c r="R1711" s="6">
        <v>16.96</v>
      </c>
      <c r="S1711" s="5">
        <v>2.2999999999999998</v>
      </c>
      <c r="T1711" s="7">
        <v>4.9130000000000003</v>
      </c>
      <c r="U1711" s="5">
        <v>4.5999999999999996</v>
      </c>
      <c r="V1711" s="6">
        <v>0.37</v>
      </c>
      <c r="W1711" s="6">
        <v>9.75</v>
      </c>
      <c r="X1711" s="5">
        <v>8.5</v>
      </c>
      <c r="Y1711" s="7">
        <v>12.875</v>
      </c>
      <c r="Z1711" s="7">
        <v>12.875</v>
      </c>
      <c r="AA1711" s="6">
        <v>7.16</v>
      </c>
      <c r="AB1711" s="7">
        <v>22.542000000000002</v>
      </c>
      <c r="AC1711" s="6">
        <v>5.86</v>
      </c>
    </row>
    <row r="1712" spans="1:29" ht="156" x14ac:dyDescent="0.15">
      <c r="A1712" s="3">
        <f t="shared" si="5"/>
        <v>34680</v>
      </c>
      <c r="B1712" s="3">
        <f>DATE(1995,7,21)</f>
        <v>34901</v>
      </c>
      <c r="C1712" s="2" t="s">
        <v>95</v>
      </c>
      <c r="D1712" s="2" t="s">
        <v>5612</v>
      </c>
      <c r="E1712" s="2" t="s">
        <v>36</v>
      </c>
      <c r="F1712" s="4">
        <v>6035</v>
      </c>
      <c r="G1712" s="2" t="s">
        <v>33</v>
      </c>
      <c r="H1712" s="2" t="s">
        <v>34</v>
      </c>
      <c r="I1712" s="2" t="s">
        <v>1963</v>
      </c>
      <c r="J1712" s="2" t="s">
        <v>36</v>
      </c>
      <c r="K1712" s="2" t="s">
        <v>37</v>
      </c>
      <c r="L1712" s="2" t="s">
        <v>34</v>
      </c>
      <c r="M1712" s="12">
        <v>3348.7060000000001</v>
      </c>
      <c r="N1712" s="4">
        <v>47</v>
      </c>
      <c r="O1712" s="5">
        <v>46.5</v>
      </c>
      <c r="P1712" s="2" t="s">
        <v>5613</v>
      </c>
      <c r="Q1712" s="6">
        <v>100</v>
      </c>
      <c r="R1712" s="6">
        <v>26.95</v>
      </c>
      <c r="S1712" s="5">
        <v>5.9</v>
      </c>
      <c r="T1712" s="7">
        <v>9.5820000000000007</v>
      </c>
      <c r="U1712" s="5">
        <v>17</v>
      </c>
      <c r="V1712" s="6">
        <v>1.82</v>
      </c>
      <c r="W1712" s="6">
        <v>21.75</v>
      </c>
      <c r="X1712" s="7">
        <v>23.187999999999999</v>
      </c>
      <c r="Y1712" s="4">
        <v>26</v>
      </c>
      <c r="Z1712" s="4">
        <v>26</v>
      </c>
      <c r="AA1712" s="6">
        <v>2.98</v>
      </c>
      <c r="AB1712" s="7">
        <v>66.480999999999995</v>
      </c>
      <c r="AC1712" s="2"/>
    </row>
    <row r="1713" spans="1:29" ht="143" x14ac:dyDescent="0.15">
      <c r="A1713" s="3">
        <f t="shared" si="5"/>
        <v>34680</v>
      </c>
      <c r="B1713" s="3">
        <f>DATE(1995,6,2)</f>
        <v>34852</v>
      </c>
      <c r="C1713" s="2" t="s">
        <v>95</v>
      </c>
      <c r="D1713" s="2" t="s">
        <v>5614</v>
      </c>
      <c r="E1713" s="2" t="s">
        <v>36</v>
      </c>
      <c r="F1713" s="4">
        <v>6021</v>
      </c>
      <c r="G1713" s="2" t="s">
        <v>37</v>
      </c>
      <c r="H1713" s="2" t="s">
        <v>34</v>
      </c>
      <c r="I1713" s="2" t="s">
        <v>5615</v>
      </c>
      <c r="J1713" s="2" t="s">
        <v>672</v>
      </c>
      <c r="K1713" s="2" t="s">
        <v>37</v>
      </c>
      <c r="L1713" s="2" t="s">
        <v>34</v>
      </c>
      <c r="M1713" s="7">
        <v>447.24299999999999</v>
      </c>
      <c r="N1713" s="7">
        <v>21.125</v>
      </c>
      <c r="O1713" s="4">
        <v>21</v>
      </c>
      <c r="P1713" s="2" t="s">
        <v>5616</v>
      </c>
      <c r="Q1713" s="6">
        <v>100</v>
      </c>
      <c r="R1713" s="6">
        <v>27</v>
      </c>
      <c r="S1713" s="5">
        <v>3.8</v>
      </c>
      <c r="T1713" s="7">
        <v>6.633</v>
      </c>
      <c r="U1713" s="5">
        <v>22.3</v>
      </c>
      <c r="V1713" s="6">
        <v>1.89</v>
      </c>
      <c r="W1713" s="4">
        <v>29</v>
      </c>
      <c r="X1713" s="5">
        <v>28.5</v>
      </c>
      <c r="Y1713" s="4">
        <v>25</v>
      </c>
      <c r="Z1713" s="4">
        <v>25</v>
      </c>
      <c r="AA1713" s="6">
        <v>2.1</v>
      </c>
      <c r="AB1713" s="7">
        <v>44.734999999999999</v>
      </c>
      <c r="AC1713" s="2"/>
    </row>
    <row r="1714" spans="1:29" ht="143" x14ac:dyDescent="0.15">
      <c r="A1714" s="3">
        <f t="shared" si="5"/>
        <v>34680</v>
      </c>
      <c r="B1714" s="3">
        <f>DATE(1995,5,1)</f>
        <v>34820</v>
      </c>
      <c r="C1714" s="2" t="s">
        <v>95</v>
      </c>
      <c r="D1714" s="2" t="s">
        <v>5617</v>
      </c>
      <c r="E1714" s="2" t="s">
        <v>5618</v>
      </c>
      <c r="F1714" s="4">
        <v>4922</v>
      </c>
      <c r="G1714" s="2" t="s">
        <v>439</v>
      </c>
      <c r="H1714" s="2" t="s">
        <v>34</v>
      </c>
      <c r="I1714" s="2" t="s">
        <v>5619</v>
      </c>
      <c r="J1714" s="2" t="s">
        <v>5620</v>
      </c>
      <c r="K1714" s="2" t="s">
        <v>439</v>
      </c>
      <c r="L1714" s="2" t="s">
        <v>34</v>
      </c>
      <c r="M1714" s="2"/>
      <c r="N1714" s="2"/>
      <c r="O1714" s="2"/>
      <c r="P1714" s="2" t="s">
        <v>5621</v>
      </c>
      <c r="Q1714" s="6">
        <v>100</v>
      </c>
      <c r="R1714" s="6">
        <v>17.5</v>
      </c>
      <c r="S1714" s="5">
        <v>-35.4</v>
      </c>
      <c r="T1714" s="7">
        <v>351.779</v>
      </c>
      <c r="U1714" s="5">
        <v>9.5</v>
      </c>
      <c r="V1714" s="6">
        <v>-1.54</v>
      </c>
      <c r="W1714" s="6">
        <v>12.25</v>
      </c>
      <c r="X1714" s="7">
        <v>12.625</v>
      </c>
      <c r="Y1714" s="6">
        <v>16.25</v>
      </c>
      <c r="Z1714" s="7">
        <v>16.125</v>
      </c>
      <c r="AA1714" s="6">
        <v>40.93</v>
      </c>
      <c r="AB1714" s="7">
        <v>19.23</v>
      </c>
      <c r="AC1714" s="2"/>
    </row>
    <row r="1715" spans="1:29" ht="143" x14ac:dyDescent="0.15">
      <c r="A1715" s="3">
        <f>DATE(1994,12,14)</f>
        <v>34682</v>
      </c>
      <c r="B1715" s="3">
        <f>DATE(1995,3,1)</f>
        <v>34759</v>
      </c>
      <c r="C1715" s="2" t="s">
        <v>95</v>
      </c>
      <c r="D1715" s="2" t="s">
        <v>764</v>
      </c>
      <c r="E1715" s="2" t="s">
        <v>765</v>
      </c>
      <c r="F1715" s="4">
        <v>1382</v>
      </c>
      <c r="G1715" s="2" t="s">
        <v>148</v>
      </c>
      <c r="H1715" s="2" t="s">
        <v>34</v>
      </c>
      <c r="I1715" s="2" t="s">
        <v>5622</v>
      </c>
      <c r="J1715" s="2" t="s">
        <v>52</v>
      </c>
      <c r="K1715" s="2" t="s">
        <v>53</v>
      </c>
      <c r="L1715" s="2" t="s">
        <v>34</v>
      </c>
      <c r="M1715" s="2"/>
      <c r="N1715" s="2"/>
      <c r="O1715" s="2"/>
      <c r="P1715" s="2" t="s">
        <v>5623</v>
      </c>
      <c r="Q1715" s="6">
        <v>97</v>
      </c>
      <c r="R1715" s="6">
        <v>2.25</v>
      </c>
      <c r="S1715" s="5">
        <v>7.7</v>
      </c>
      <c r="T1715" s="7">
        <v>12.795999999999999</v>
      </c>
      <c r="U1715" s="5">
        <v>3</v>
      </c>
      <c r="V1715" s="6">
        <v>0.42</v>
      </c>
      <c r="W1715" s="7">
        <v>1.625</v>
      </c>
      <c r="X1715" s="6">
        <v>1.75</v>
      </c>
      <c r="Y1715" s="7">
        <v>2.125</v>
      </c>
      <c r="Z1715" s="7">
        <v>2.125</v>
      </c>
      <c r="AA1715" s="6">
        <v>16.96</v>
      </c>
      <c r="AB1715" s="7">
        <v>5.4560000000000004</v>
      </c>
      <c r="AC1715" s="2"/>
    </row>
    <row r="1716" spans="1:29" ht="156" x14ac:dyDescent="0.15">
      <c r="A1716" s="3">
        <f>DATE(1994,12,15)</f>
        <v>34683</v>
      </c>
      <c r="B1716" s="2"/>
      <c r="C1716" s="2" t="s">
        <v>30</v>
      </c>
      <c r="D1716" s="2" t="s">
        <v>2099</v>
      </c>
      <c r="E1716" s="2" t="s">
        <v>2100</v>
      </c>
      <c r="F1716" s="4">
        <v>4613</v>
      </c>
      <c r="G1716" s="2" t="s">
        <v>148</v>
      </c>
      <c r="H1716" s="2" t="s">
        <v>34</v>
      </c>
      <c r="I1716" s="2" t="s">
        <v>5624</v>
      </c>
      <c r="J1716" s="2" t="s">
        <v>5625</v>
      </c>
      <c r="K1716" s="2" t="s">
        <v>439</v>
      </c>
      <c r="L1716" s="2" t="s">
        <v>34</v>
      </c>
      <c r="M1716" s="12">
        <v>1264.133</v>
      </c>
      <c r="N1716" s="7">
        <v>31.875</v>
      </c>
      <c r="O1716" s="7">
        <v>31.625</v>
      </c>
      <c r="P1716" s="2" t="s">
        <v>5626</v>
      </c>
      <c r="Q1716" s="2"/>
      <c r="R1716" s="6">
        <v>2.25</v>
      </c>
      <c r="S1716" s="5">
        <v>-10.3</v>
      </c>
      <c r="T1716" s="7">
        <v>-7.8630000000000004</v>
      </c>
      <c r="U1716" s="5">
        <v>-0.6</v>
      </c>
      <c r="V1716" s="6">
        <v>-1.27</v>
      </c>
      <c r="W1716" s="4">
        <v>2</v>
      </c>
      <c r="X1716" s="4">
        <v>2</v>
      </c>
      <c r="Y1716" s="7">
        <v>2.125</v>
      </c>
      <c r="Z1716" s="7">
        <v>2.125</v>
      </c>
      <c r="AA1716" s="6">
        <v>25.69</v>
      </c>
      <c r="AB1716" s="2" t="s">
        <v>86</v>
      </c>
      <c r="AC1716" s="2"/>
    </row>
    <row r="1717" spans="1:29" ht="143" x14ac:dyDescent="0.15">
      <c r="A1717" s="3">
        <f>DATE(1994,12,16)</f>
        <v>34684</v>
      </c>
      <c r="B1717" s="3">
        <f>DATE(1995,3,2)</f>
        <v>34760</v>
      </c>
      <c r="C1717" s="2" t="s">
        <v>95</v>
      </c>
      <c r="D1717" s="2" t="s">
        <v>1000</v>
      </c>
      <c r="E1717" s="2" t="s">
        <v>1001</v>
      </c>
      <c r="F1717" s="4">
        <v>7011</v>
      </c>
      <c r="G1717" s="2" t="s">
        <v>269</v>
      </c>
      <c r="H1717" s="2" t="s">
        <v>34</v>
      </c>
      <c r="I1717" s="2" t="s">
        <v>5627</v>
      </c>
      <c r="J1717" s="2" t="s">
        <v>5628</v>
      </c>
      <c r="K1717" s="2" t="s">
        <v>269</v>
      </c>
      <c r="L1717" s="2" t="s">
        <v>34</v>
      </c>
      <c r="M1717" s="8">
        <v>9970.5</v>
      </c>
      <c r="N1717" s="7">
        <v>81.875</v>
      </c>
      <c r="O1717" s="5">
        <v>81.5</v>
      </c>
      <c r="P1717" s="2" t="s">
        <v>5629</v>
      </c>
      <c r="Q1717" s="6">
        <v>100</v>
      </c>
      <c r="R1717" s="6">
        <v>67.5</v>
      </c>
      <c r="S1717" s="5">
        <v>78.400000000000006</v>
      </c>
      <c r="T1717" s="7">
        <v>198.404</v>
      </c>
      <c r="U1717" s="5">
        <v>22.4</v>
      </c>
      <c r="V1717" s="6">
        <v>3.19</v>
      </c>
      <c r="W1717" s="5">
        <v>42.5</v>
      </c>
      <c r="X1717" s="7">
        <v>42.625</v>
      </c>
      <c r="Y1717" s="6">
        <v>45.25</v>
      </c>
      <c r="Z1717" s="7">
        <v>65.875</v>
      </c>
      <c r="AA1717" s="6">
        <v>25.12</v>
      </c>
      <c r="AB1717" s="7">
        <v>12.531000000000001</v>
      </c>
      <c r="AC1717" s="8">
        <v>1136</v>
      </c>
    </row>
    <row r="1718" spans="1:29" ht="52" x14ac:dyDescent="0.15">
      <c r="A1718" s="3">
        <f>DATE(1994,12,20)</f>
        <v>34688</v>
      </c>
      <c r="B1718" s="2"/>
      <c r="C1718" s="2" t="s">
        <v>87</v>
      </c>
      <c r="D1718" s="2" t="s">
        <v>5630</v>
      </c>
      <c r="E1718" s="2" t="s">
        <v>5631</v>
      </c>
      <c r="F1718" s="4">
        <v>3089</v>
      </c>
      <c r="G1718" s="2" t="s">
        <v>447</v>
      </c>
      <c r="H1718" s="2" t="s">
        <v>34</v>
      </c>
      <c r="I1718" s="2" t="s">
        <v>5632</v>
      </c>
      <c r="J1718" s="2" t="s">
        <v>5633</v>
      </c>
      <c r="K1718" s="2" t="s">
        <v>447</v>
      </c>
      <c r="L1718" s="2" t="s">
        <v>34</v>
      </c>
      <c r="M1718" s="2"/>
      <c r="N1718" s="6">
        <v>11.25</v>
      </c>
      <c r="O1718" s="6">
        <v>11.25</v>
      </c>
      <c r="P1718" s="2" t="s">
        <v>5634</v>
      </c>
      <c r="Q1718" s="2"/>
      <c r="R1718" s="2"/>
      <c r="S1718" s="2"/>
      <c r="T1718" s="2"/>
      <c r="U1718" s="2"/>
      <c r="V1718" s="2"/>
      <c r="W1718" s="5">
        <v>1.5</v>
      </c>
      <c r="X1718" s="7">
        <v>1.375</v>
      </c>
      <c r="Y1718" s="7">
        <v>1.375</v>
      </c>
      <c r="Z1718" s="7">
        <v>1.375</v>
      </c>
      <c r="AA1718" s="2"/>
      <c r="AB1718" s="2" t="s">
        <v>47</v>
      </c>
      <c r="AC1718" s="2"/>
    </row>
    <row r="1719" spans="1:29" ht="65" x14ac:dyDescent="0.15">
      <c r="A1719" s="3">
        <f>DATE(1994,12,21)</f>
        <v>34689</v>
      </c>
      <c r="B1719" s="2"/>
      <c r="C1719" s="2" t="s">
        <v>189</v>
      </c>
      <c r="D1719" s="2" t="s">
        <v>5617</v>
      </c>
      <c r="E1719" s="2" t="s">
        <v>5618</v>
      </c>
      <c r="F1719" s="4">
        <v>4922</v>
      </c>
      <c r="G1719" s="2" t="s">
        <v>439</v>
      </c>
      <c r="H1719" s="2" t="s">
        <v>34</v>
      </c>
      <c r="I1719" s="2" t="s">
        <v>143</v>
      </c>
      <c r="J1719" s="2" t="s">
        <v>144</v>
      </c>
      <c r="K1719" s="2" t="s">
        <v>53</v>
      </c>
      <c r="L1719" s="2" t="s">
        <v>139</v>
      </c>
      <c r="M1719" s="2"/>
      <c r="N1719" s="2"/>
      <c r="O1719" s="2"/>
      <c r="P1719" s="2" t="s">
        <v>5635</v>
      </c>
      <c r="Q1719" s="2"/>
      <c r="R1719" s="2"/>
      <c r="S1719" s="5">
        <v>-35.4</v>
      </c>
      <c r="T1719" s="7">
        <v>351.779</v>
      </c>
      <c r="U1719" s="5">
        <v>9.5</v>
      </c>
      <c r="V1719" s="6">
        <v>-1.54</v>
      </c>
      <c r="W1719" s="7">
        <v>16.375</v>
      </c>
      <c r="X1719" s="5">
        <v>16.5</v>
      </c>
      <c r="Y1719" s="7">
        <v>16.625</v>
      </c>
      <c r="Z1719" s="7">
        <v>16.625</v>
      </c>
      <c r="AA1719" s="2"/>
      <c r="AB1719" s="2" t="s">
        <v>47</v>
      </c>
      <c r="AC1719" s="2"/>
    </row>
    <row r="1720" spans="1:29" ht="78" x14ac:dyDescent="0.15">
      <c r="A1720" s="3">
        <f>DATE(1994,12,22)</f>
        <v>34690</v>
      </c>
      <c r="B1720" s="3">
        <f>DATE(1997,4,14)</f>
        <v>35534</v>
      </c>
      <c r="C1720" s="2" t="s">
        <v>95</v>
      </c>
      <c r="D1720" s="2" t="s">
        <v>5636</v>
      </c>
      <c r="E1720" s="2" t="s">
        <v>5637</v>
      </c>
      <c r="F1720" s="4">
        <v>8092</v>
      </c>
      <c r="G1720" s="2" t="s">
        <v>454</v>
      </c>
      <c r="H1720" s="2" t="s">
        <v>34</v>
      </c>
      <c r="I1720" s="2" t="s">
        <v>5638</v>
      </c>
      <c r="J1720" s="2" t="s">
        <v>5639</v>
      </c>
      <c r="K1720" s="2" t="s">
        <v>130</v>
      </c>
      <c r="L1720" s="2" t="s">
        <v>303</v>
      </c>
      <c r="M1720" s="2"/>
      <c r="N1720" s="2"/>
      <c r="O1720" s="2"/>
      <c r="P1720" s="2" t="s">
        <v>5640</v>
      </c>
      <c r="Q1720" s="6">
        <v>50</v>
      </c>
      <c r="R1720" s="6">
        <v>41.15</v>
      </c>
      <c r="S1720" s="5">
        <v>10.4</v>
      </c>
      <c r="T1720" s="7">
        <v>25.259</v>
      </c>
      <c r="U1720" s="5">
        <v>12.1</v>
      </c>
      <c r="V1720" s="6">
        <v>1.19</v>
      </c>
      <c r="W1720" s="5">
        <v>27.5</v>
      </c>
      <c r="X1720" s="6">
        <v>29.25</v>
      </c>
      <c r="Y1720" s="7">
        <v>34.625</v>
      </c>
      <c r="Z1720" s="5">
        <v>34.5</v>
      </c>
      <c r="AA1720" s="6">
        <v>11.37</v>
      </c>
      <c r="AB1720" s="7">
        <v>20.757000000000001</v>
      </c>
      <c r="AC1720" s="2"/>
    </row>
    <row r="1721" spans="1:29" ht="156" x14ac:dyDescent="0.15">
      <c r="A1721" s="3">
        <f>DATE(1994,12,22)</f>
        <v>34690</v>
      </c>
      <c r="B1721" s="3">
        <f>DATE(1995,4,13)</f>
        <v>34802</v>
      </c>
      <c r="C1721" s="2" t="s">
        <v>95</v>
      </c>
      <c r="D1721" s="2" t="s">
        <v>5636</v>
      </c>
      <c r="E1721" s="2" t="s">
        <v>5637</v>
      </c>
      <c r="F1721" s="4">
        <v>8092</v>
      </c>
      <c r="G1721" s="2" t="s">
        <v>454</v>
      </c>
      <c r="H1721" s="2" t="s">
        <v>34</v>
      </c>
      <c r="I1721" s="2" t="s">
        <v>5638</v>
      </c>
      <c r="J1721" s="2" t="s">
        <v>5639</v>
      </c>
      <c r="K1721" s="2" t="s">
        <v>130</v>
      </c>
      <c r="L1721" s="2" t="s">
        <v>303</v>
      </c>
      <c r="M1721" s="2"/>
      <c r="N1721" s="2"/>
      <c r="O1721" s="2"/>
      <c r="P1721" s="2" t="s">
        <v>5641</v>
      </c>
      <c r="Q1721" s="6">
        <v>50</v>
      </c>
      <c r="R1721" s="6">
        <v>37.75</v>
      </c>
      <c r="S1721" s="5">
        <v>10.4</v>
      </c>
      <c r="T1721" s="7">
        <v>25.259</v>
      </c>
      <c r="U1721" s="5">
        <v>12.1</v>
      </c>
      <c r="V1721" s="6">
        <v>1.19</v>
      </c>
      <c r="W1721" s="5">
        <v>27.5</v>
      </c>
      <c r="X1721" s="6">
        <v>29.25</v>
      </c>
      <c r="Y1721" s="7">
        <v>34.625</v>
      </c>
      <c r="Z1721" s="5">
        <v>34.5</v>
      </c>
      <c r="AA1721" s="6">
        <v>11.37</v>
      </c>
      <c r="AB1721" s="7">
        <v>19.033000000000001</v>
      </c>
      <c r="AC1721" s="2"/>
    </row>
    <row r="1722" spans="1:29" ht="78" x14ac:dyDescent="0.15">
      <c r="A1722" s="3">
        <f>DATE(1994,12,22)</f>
        <v>34690</v>
      </c>
      <c r="B1722" s="3">
        <f>DATE(1995,8,24)</f>
        <v>34935</v>
      </c>
      <c r="C1722" s="2" t="s">
        <v>95</v>
      </c>
      <c r="D1722" s="2" t="s">
        <v>1390</v>
      </c>
      <c r="E1722" s="2" t="s">
        <v>58</v>
      </c>
      <c r="F1722" s="4">
        <v>4512</v>
      </c>
      <c r="G1722" s="2" t="s">
        <v>59</v>
      </c>
      <c r="H1722" s="2" t="s">
        <v>34</v>
      </c>
      <c r="I1722" s="2" t="s">
        <v>1526</v>
      </c>
      <c r="J1722" s="2" t="s">
        <v>302</v>
      </c>
      <c r="K1722" s="2" t="s">
        <v>53</v>
      </c>
      <c r="L1722" s="2" t="s">
        <v>34</v>
      </c>
      <c r="M1722" s="2"/>
      <c r="N1722" s="2"/>
      <c r="O1722" s="2"/>
      <c r="P1722" s="2" t="s">
        <v>5642</v>
      </c>
      <c r="Q1722" s="6">
        <v>70</v>
      </c>
      <c r="R1722" s="2"/>
      <c r="S1722" s="2"/>
      <c r="T1722" s="2"/>
      <c r="U1722" s="2"/>
      <c r="V1722" s="2"/>
      <c r="W1722" s="7">
        <v>1.875</v>
      </c>
      <c r="X1722" s="4">
        <v>1</v>
      </c>
      <c r="Y1722" s="7">
        <v>0.875</v>
      </c>
      <c r="Z1722" s="4">
        <v>1</v>
      </c>
      <c r="AA1722" s="2"/>
      <c r="AB1722" s="2" t="s">
        <v>47</v>
      </c>
      <c r="AC1722" s="2"/>
    </row>
    <row r="1723" spans="1:29" ht="143" x14ac:dyDescent="0.15">
      <c r="A1723" s="3">
        <f>DATE(1994,12,23)</f>
        <v>34691</v>
      </c>
      <c r="B1723" s="3">
        <f>DATE(1995,7,7)</f>
        <v>34887</v>
      </c>
      <c r="C1723" s="2" t="s">
        <v>95</v>
      </c>
      <c r="D1723" s="2" t="s">
        <v>5643</v>
      </c>
      <c r="E1723" s="2" t="s">
        <v>389</v>
      </c>
      <c r="F1723" s="4">
        <v>6035</v>
      </c>
      <c r="G1723" s="2" t="s">
        <v>33</v>
      </c>
      <c r="H1723" s="2" t="s">
        <v>34</v>
      </c>
      <c r="I1723" s="2" t="s">
        <v>2452</v>
      </c>
      <c r="J1723" s="2" t="s">
        <v>265</v>
      </c>
      <c r="K1723" s="2" t="s">
        <v>37</v>
      </c>
      <c r="L1723" s="2" t="s">
        <v>34</v>
      </c>
      <c r="M1723" s="2"/>
      <c r="N1723" s="6">
        <v>31.75</v>
      </c>
      <c r="O1723" s="6">
        <v>31.75</v>
      </c>
      <c r="P1723" s="2" t="s">
        <v>5644</v>
      </c>
      <c r="Q1723" s="6">
        <v>100</v>
      </c>
      <c r="R1723" s="6">
        <v>33.39</v>
      </c>
      <c r="S1723" s="5">
        <v>4.5</v>
      </c>
      <c r="T1723" s="7">
        <v>8.0210000000000008</v>
      </c>
      <c r="U1723" s="5">
        <v>28.3</v>
      </c>
      <c r="V1723" s="6">
        <v>2.21</v>
      </c>
      <c r="W1723" s="7">
        <v>22.375</v>
      </c>
      <c r="X1723" s="7">
        <v>22.125</v>
      </c>
      <c r="Y1723" s="6">
        <v>22.25</v>
      </c>
      <c r="Z1723" s="6">
        <v>22.25</v>
      </c>
      <c r="AA1723" s="6">
        <v>2.0499999999999998</v>
      </c>
      <c r="AB1723" s="7">
        <v>43.905000000000001</v>
      </c>
      <c r="AC1723" s="2"/>
    </row>
    <row r="1724" spans="1:29" ht="169" x14ac:dyDescent="0.15">
      <c r="A1724" s="3">
        <f>DATE(1994,12,27)</f>
        <v>34695</v>
      </c>
      <c r="B1724" s="2"/>
      <c r="C1724" s="2" t="s">
        <v>30</v>
      </c>
      <c r="D1724" s="2" t="s">
        <v>5645</v>
      </c>
      <c r="E1724" s="2" t="s">
        <v>991</v>
      </c>
      <c r="F1724" s="4">
        <v>6331</v>
      </c>
      <c r="G1724" s="2" t="s">
        <v>125</v>
      </c>
      <c r="H1724" s="2" t="s">
        <v>34</v>
      </c>
      <c r="I1724" s="2" t="s">
        <v>51</v>
      </c>
      <c r="J1724" s="2" t="s">
        <v>52</v>
      </c>
      <c r="K1724" s="2" t="s">
        <v>53</v>
      </c>
      <c r="L1724" s="2" t="s">
        <v>215</v>
      </c>
      <c r="M1724" s="2"/>
      <c r="N1724" s="2"/>
      <c r="O1724" s="2"/>
      <c r="P1724" s="2" t="s">
        <v>5646</v>
      </c>
      <c r="Q1724" s="2"/>
      <c r="R1724" s="2"/>
      <c r="S1724" s="5">
        <v>-158</v>
      </c>
      <c r="T1724" s="2"/>
      <c r="U1724" s="5">
        <v>61.1</v>
      </c>
      <c r="V1724" s="6">
        <v>-14.94</v>
      </c>
      <c r="W1724" s="7">
        <v>5.375</v>
      </c>
      <c r="X1724" s="6">
        <v>6.25</v>
      </c>
      <c r="Y1724" s="7">
        <v>5.625</v>
      </c>
      <c r="Z1724" s="4">
        <v>7</v>
      </c>
      <c r="AA1724" s="6">
        <v>25.04</v>
      </c>
      <c r="AB1724" s="2" t="s">
        <v>86</v>
      </c>
      <c r="AC1724" s="2"/>
    </row>
    <row r="1725" spans="1:29" ht="169" x14ac:dyDescent="0.15">
      <c r="A1725" s="3">
        <f>DATE(1994,12,27)</f>
        <v>34695</v>
      </c>
      <c r="B1725" s="3">
        <f>DATE(1995,2,28)</f>
        <v>34758</v>
      </c>
      <c r="C1725" s="2" t="s">
        <v>95</v>
      </c>
      <c r="D1725" s="2" t="s">
        <v>5647</v>
      </c>
      <c r="E1725" s="2" t="s">
        <v>5648</v>
      </c>
      <c r="F1725" s="4">
        <v>2048</v>
      </c>
      <c r="G1725" s="2" t="s">
        <v>577</v>
      </c>
      <c r="H1725" s="2" t="s">
        <v>34</v>
      </c>
      <c r="I1725" s="2" t="s">
        <v>5649</v>
      </c>
      <c r="J1725" s="2" t="s">
        <v>5650</v>
      </c>
      <c r="K1725" s="2" t="s">
        <v>577</v>
      </c>
      <c r="L1725" s="2" t="s">
        <v>34</v>
      </c>
      <c r="M1725" s="2"/>
      <c r="N1725" s="2"/>
      <c r="O1725" s="2"/>
      <c r="P1725" s="2" t="s">
        <v>5651</v>
      </c>
      <c r="Q1725" s="6">
        <v>84.94</v>
      </c>
      <c r="R1725" s="6">
        <v>5.25</v>
      </c>
      <c r="S1725" s="5">
        <v>0.4</v>
      </c>
      <c r="T1725" s="7">
        <v>1.012</v>
      </c>
      <c r="U1725" s="5">
        <v>2.6</v>
      </c>
      <c r="V1725" s="6">
        <v>0.12</v>
      </c>
      <c r="W1725" s="7">
        <v>1.4379999999999999</v>
      </c>
      <c r="X1725" s="6">
        <v>1.75</v>
      </c>
      <c r="Y1725" s="7">
        <v>4.0629999999999997</v>
      </c>
      <c r="Z1725" s="4">
        <v>4</v>
      </c>
      <c r="AA1725" s="6">
        <v>3.05</v>
      </c>
      <c r="AB1725" s="7">
        <v>24.468</v>
      </c>
      <c r="AC1725" s="2"/>
    </row>
    <row r="1726" spans="1:29" ht="91" x14ac:dyDescent="0.15">
      <c r="A1726" s="3">
        <f>DATE(1994,12,28)</f>
        <v>34696</v>
      </c>
      <c r="B1726" s="3">
        <f>DATE(1995,4,28)</f>
        <v>34817</v>
      </c>
      <c r="C1726" s="2" t="s">
        <v>95</v>
      </c>
      <c r="D1726" s="2" t="s">
        <v>5652</v>
      </c>
      <c r="E1726" s="2" t="s">
        <v>5653</v>
      </c>
      <c r="F1726" s="4">
        <v>6162</v>
      </c>
      <c r="G1726" s="2" t="s">
        <v>109</v>
      </c>
      <c r="H1726" s="2" t="s">
        <v>34</v>
      </c>
      <c r="I1726" s="2" t="s">
        <v>4293</v>
      </c>
      <c r="J1726" s="2" t="s">
        <v>36</v>
      </c>
      <c r="K1726" s="2" t="s">
        <v>37</v>
      </c>
      <c r="L1726" s="2" t="s">
        <v>34</v>
      </c>
      <c r="M1726" s="2"/>
      <c r="N1726" s="4">
        <v>32</v>
      </c>
      <c r="O1726" s="6">
        <v>32.75</v>
      </c>
      <c r="P1726" s="2" t="s">
        <v>5654</v>
      </c>
      <c r="Q1726" s="6">
        <v>19</v>
      </c>
      <c r="R1726" s="6">
        <v>20</v>
      </c>
      <c r="S1726" s="5">
        <v>55.1</v>
      </c>
      <c r="T1726" s="7">
        <v>221.322</v>
      </c>
      <c r="U1726" s="5">
        <v>9.5</v>
      </c>
      <c r="V1726" s="6">
        <v>1.1100000000000001</v>
      </c>
      <c r="W1726" s="7">
        <v>16.875</v>
      </c>
      <c r="X1726" s="6">
        <v>16.75</v>
      </c>
      <c r="Y1726" s="7">
        <v>17.375</v>
      </c>
      <c r="Z1726" s="6">
        <v>19.75</v>
      </c>
      <c r="AA1726" s="6">
        <v>49.5</v>
      </c>
      <c r="AB1726" s="7">
        <v>18.57</v>
      </c>
      <c r="AC1726" s="2"/>
    </row>
    <row r="1727" spans="1:29" ht="91" x14ac:dyDescent="0.15">
      <c r="A1727" s="3">
        <f>DATE(1994,12,30)</f>
        <v>34698</v>
      </c>
      <c r="B1727" s="2"/>
      <c r="C1727" s="2" t="s">
        <v>30</v>
      </c>
      <c r="D1727" s="2" t="s">
        <v>5655</v>
      </c>
      <c r="E1727" s="2" t="s">
        <v>5656</v>
      </c>
      <c r="F1727" s="4">
        <v>6324</v>
      </c>
      <c r="G1727" s="2" t="s">
        <v>125</v>
      </c>
      <c r="H1727" s="2" t="s">
        <v>34</v>
      </c>
      <c r="I1727" s="2" t="s">
        <v>2240</v>
      </c>
      <c r="J1727" s="2" t="s">
        <v>2241</v>
      </c>
      <c r="K1727" s="2" t="s">
        <v>125</v>
      </c>
      <c r="L1727" s="2" t="s">
        <v>34</v>
      </c>
      <c r="M1727" s="7">
        <v>981.47500000000002</v>
      </c>
      <c r="N1727" s="4">
        <v>31</v>
      </c>
      <c r="O1727" s="4">
        <v>31</v>
      </c>
      <c r="P1727" s="2" t="s">
        <v>5657</v>
      </c>
      <c r="Q1727" s="2"/>
      <c r="R1727" s="6">
        <v>31</v>
      </c>
      <c r="S1727" s="5">
        <v>23.8</v>
      </c>
      <c r="T1727" s="7">
        <v>116.264</v>
      </c>
      <c r="U1727" s="5">
        <v>3.2</v>
      </c>
      <c r="V1727" s="6">
        <v>0.48</v>
      </c>
      <c r="W1727" s="7">
        <v>23.375</v>
      </c>
      <c r="X1727" s="7">
        <v>21.875</v>
      </c>
      <c r="Y1727" s="7">
        <v>30.375</v>
      </c>
      <c r="Z1727" s="7">
        <v>30.375</v>
      </c>
      <c r="AA1727" s="6">
        <v>48.42</v>
      </c>
      <c r="AB1727" s="7">
        <v>15.438000000000001</v>
      </c>
      <c r="AC1727" s="2"/>
    </row>
    <row r="1728" spans="1:29" ht="156" x14ac:dyDescent="0.15">
      <c r="A1728" s="3">
        <f>DATE(1994,12,30)</f>
        <v>34698</v>
      </c>
      <c r="B1728" s="3">
        <f>DATE(1995,6,30)</f>
        <v>34880</v>
      </c>
      <c r="C1728" s="2" t="s">
        <v>95</v>
      </c>
      <c r="D1728" s="2" t="s">
        <v>5658</v>
      </c>
      <c r="E1728" s="2" t="s">
        <v>36</v>
      </c>
      <c r="F1728" s="4">
        <v>6035</v>
      </c>
      <c r="G1728" s="2" t="s">
        <v>33</v>
      </c>
      <c r="H1728" s="2" t="s">
        <v>34</v>
      </c>
      <c r="I1728" s="2" t="s">
        <v>5659</v>
      </c>
      <c r="J1728" s="2" t="s">
        <v>36</v>
      </c>
      <c r="K1728" s="2" t="s">
        <v>37</v>
      </c>
      <c r="L1728" s="2" t="s">
        <v>34</v>
      </c>
      <c r="M1728" s="12">
        <v>1392.9549999999999</v>
      </c>
      <c r="N1728" s="5">
        <v>26.5</v>
      </c>
      <c r="O1728" s="5">
        <v>26.5</v>
      </c>
      <c r="P1728" s="2" t="s">
        <v>5660</v>
      </c>
      <c r="Q1728" s="6">
        <v>100</v>
      </c>
      <c r="R1728" s="6">
        <v>10</v>
      </c>
      <c r="S1728" s="5">
        <v>-4.3</v>
      </c>
      <c r="T1728" s="7">
        <v>-3.4260000000000002</v>
      </c>
      <c r="U1728" s="5">
        <v>4.7</v>
      </c>
      <c r="V1728" s="6">
        <v>-2.13</v>
      </c>
      <c r="W1728" s="5">
        <v>7.5</v>
      </c>
      <c r="X1728" s="6">
        <v>7.25</v>
      </c>
      <c r="Y1728" s="7">
        <v>9.125</v>
      </c>
      <c r="Z1728" s="7">
        <v>9.125</v>
      </c>
      <c r="AA1728" s="6">
        <v>2.83</v>
      </c>
      <c r="AB1728" s="2" t="s">
        <v>86</v>
      </c>
      <c r="AC1728" s="2"/>
    </row>
    <row r="1729" spans="1:29" ht="156" x14ac:dyDescent="0.15">
      <c r="A1729" s="3">
        <f>DATE(1994,12,30)</f>
        <v>34698</v>
      </c>
      <c r="B1729" s="2"/>
      <c r="C1729" s="2" t="s">
        <v>30</v>
      </c>
      <c r="D1729" s="2" t="s">
        <v>1823</v>
      </c>
      <c r="E1729" s="2" t="s">
        <v>1824</v>
      </c>
      <c r="F1729" s="4">
        <v>3452</v>
      </c>
      <c r="G1729" s="2" t="s">
        <v>163</v>
      </c>
      <c r="H1729" s="2" t="s">
        <v>34</v>
      </c>
      <c r="I1729" s="2" t="s">
        <v>5661</v>
      </c>
      <c r="J1729" s="2" t="s">
        <v>5662</v>
      </c>
      <c r="K1729" s="2" t="s">
        <v>163</v>
      </c>
      <c r="L1729" s="2" t="s">
        <v>34</v>
      </c>
      <c r="M1729" s="7">
        <v>58.938000000000002</v>
      </c>
      <c r="N1729" s="5">
        <v>11.5</v>
      </c>
      <c r="O1729" s="5">
        <v>11.5</v>
      </c>
      <c r="P1729" s="2" t="s">
        <v>5663</v>
      </c>
      <c r="Q1729" s="2"/>
      <c r="R1729" s="6">
        <v>9</v>
      </c>
      <c r="S1729" s="5">
        <v>0.7</v>
      </c>
      <c r="T1729" s="7">
        <v>8.5990000000000002</v>
      </c>
      <c r="U1729" s="5">
        <v>3.5</v>
      </c>
      <c r="V1729" s="6">
        <v>0.11</v>
      </c>
      <c r="W1729" s="6">
        <v>7.75</v>
      </c>
      <c r="X1729" s="4">
        <v>8</v>
      </c>
      <c r="Y1729" s="4">
        <v>8</v>
      </c>
      <c r="Z1729" s="4">
        <v>8</v>
      </c>
      <c r="AA1729" s="6">
        <v>6.73</v>
      </c>
      <c r="AB1729" s="7">
        <v>12.081</v>
      </c>
      <c r="AC1729" s="6">
        <v>3.03</v>
      </c>
    </row>
    <row r="1730" spans="1:29" ht="78" x14ac:dyDescent="0.15">
      <c r="A1730" s="3">
        <f>DATE(1995,1,3)</f>
        <v>34702</v>
      </c>
      <c r="B1730" s="3">
        <f>DATE(1995,6,1)</f>
        <v>34851</v>
      </c>
      <c r="C1730" s="2" t="s">
        <v>95</v>
      </c>
      <c r="D1730" s="2" t="s">
        <v>5664</v>
      </c>
      <c r="E1730" s="2" t="s">
        <v>36</v>
      </c>
      <c r="F1730" s="4">
        <v>6022</v>
      </c>
      <c r="G1730" s="2" t="s">
        <v>37</v>
      </c>
      <c r="H1730" s="2" t="s">
        <v>34</v>
      </c>
      <c r="I1730" s="2" t="s">
        <v>5665</v>
      </c>
      <c r="J1730" s="2" t="s">
        <v>1181</v>
      </c>
      <c r="K1730" s="2" t="s">
        <v>37</v>
      </c>
      <c r="L1730" s="2" t="s">
        <v>34</v>
      </c>
      <c r="M1730" s="2"/>
      <c r="N1730" s="2"/>
      <c r="O1730" s="2"/>
      <c r="P1730" s="2" t="s">
        <v>5666</v>
      </c>
      <c r="Q1730" s="6">
        <v>100</v>
      </c>
      <c r="R1730" s="6">
        <v>26.59</v>
      </c>
      <c r="S1730" s="5">
        <v>29.1</v>
      </c>
      <c r="T1730" s="7">
        <v>49.835000000000001</v>
      </c>
      <c r="U1730" s="5">
        <v>18.600000000000001</v>
      </c>
      <c r="V1730" s="2"/>
      <c r="W1730" s="4">
        <v>21</v>
      </c>
      <c r="X1730" s="5">
        <v>21.5</v>
      </c>
      <c r="Y1730" s="6">
        <v>24.75</v>
      </c>
      <c r="Z1730" s="7">
        <v>24.875</v>
      </c>
      <c r="AA1730" s="6">
        <v>18.309999999999999</v>
      </c>
      <c r="AB1730" s="7">
        <v>52.481999999999999</v>
      </c>
      <c r="AC1730" s="2"/>
    </row>
    <row r="1731" spans="1:29" ht="104" x14ac:dyDescent="0.15">
      <c r="A1731" s="3">
        <f>DATE(1995,1,4)</f>
        <v>34703</v>
      </c>
      <c r="B1731" s="3">
        <f>DATE(1996,7,15)</f>
        <v>35261</v>
      </c>
      <c r="C1731" s="2" t="s">
        <v>95</v>
      </c>
      <c r="D1731" s="2" t="s">
        <v>5630</v>
      </c>
      <c r="E1731" s="2" t="s">
        <v>5631</v>
      </c>
      <c r="F1731" s="4">
        <v>3089</v>
      </c>
      <c r="G1731" s="2" t="s">
        <v>447</v>
      </c>
      <c r="H1731" s="2" t="s">
        <v>34</v>
      </c>
      <c r="I1731" s="2" t="s">
        <v>5632</v>
      </c>
      <c r="J1731" s="2" t="s">
        <v>5633</v>
      </c>
      <c r="K1731" s="2" t="s">
        <v>447</v>
      </c>
      <c r="L1731" s="2" t="s">
        <v>34</v>
      </c>
      <c r="M1731" s="7">
        <v>60.807000000000002</v>
      </c>
      <c r="N1731" s="4">
        <v>11</v>
      </c>
      <c r="O1731" s="6">
        <v>11.25</v>
      </c>
      <c r="P1731" s="2" t="s">
        <v>5667</v>
      </c>
      <c r="Q1731" s="6">
        <v>100</v>
      </c>
      <c r="R1731" s="6">
        <v>1.28</v>
      </c>
      <c r="S1731" s="5">
        <v>-3.8</v>
      </c>
      <c r="T1731" s="7">
        <v>-2.0819999999999999</v>
      </c>
      <c r="U1731" s="5">
        <v>0.2</v>
      </c>
      <c r="V1731" s="7">
        <v>-1.9670000000000001</v>
      </c>
      <c r="W1731" s="6">
        <v>1.25</v>
      </c>
      <c r="X1731" s="4">
        <v>2</v>
      </c>
      <c r="Y1731" s="7">
        <v>1.3129999999999999</v>
      </c>
      <c r="Z1731" s="5">
        <v>1.5</v>
      </c>
      <c r="AA1731" s="6">
        <v>3</v>
      </c>
      <c r="AB1731" s="2" t="s">
        <v>86</v>
      </c>
      <c r="AC1731" s="2"/>
    </row>
    <row r="1732" spans="1:29" ht="78" x14ac:dyDescent="0.15">
      <c r="A1732" s="3">
        <f>DATE(1995,1,4)</f>
        <v>34703</v>
      </c>
      <c r="B1732" s="3">
        <f>DATE(1995,4,5)</f>
        <v>34794</v>
      </c>
      <c r="C1732" s="2" t="s">
        <v>95</v>
      </c>
      <c r="D1732" s="2" t="s">
        <v>5668</v>
      </c>
      <c r="E1732" s="2" t="s">
        <v>4591</v>
      </c>
      <c r="F1732" s="4">
        <v>3841</v>
      </c>
      <c r="G1732" s="2" t="s">
        <v>226</v>
      </c>
      <c r="H1732" s="2" t="s">
        <v>34</v>
      </c>
      <c r="I1732" s="2" t="s">
        <v>5669</v>
      </c>
      <c r="J1732" s="2" t="s">
        <v>5670</v>
      </c>
      <c r="K1732" s="2" t="s">
        <v>130</v>
      </c>
      <c r="L1732" s="2" t="s">
        <v>34</v>
      </c>
      <c r="M1732" s="12">
        <v>34410.557999999997</v>
      </c>
      <c r="N1732" s="4">
        <v>55</v>
      </c>
      <c r="O1732" s="6">
        <v>54.75</v>
      </c>
      <c r="P1732" s="2" t="s">
        <v>5671</v>
      </c>
      <c r="Q1732" s="6">
        <v>100</v>
      </c>
      <c r="R1732" s="6">
        <v>30</v>
      </c>
      <c r="S1732" s="5">
        <v>3.9</v>
      </c>
      <c r="T1732" s="7">
        <v>6.3639999999999999</v>
      </c>
      <c r="U1732" s="5">
        <v>6.8</v>
      </c>
      <c r="V1732" s="6">
        <v>0.88</v>
      </c>
      <c r="W1732" s="4">
        <v>25</v>
      </c>
      <c r="X1732" s="5">
        <v>23.5</v>
      </c>
      <c r="Y1732" s="4">
        <v>29</v>
      </c>
      <c r="Z1732" s="7">
        <v>29.062999999999999</v>
      </c>
      <c r="AA1732" s="6">
        <v>4.25</v>
      </c>
      <c r="AB1732" s="7">
        <v>20.904</v>
      </c>
      <c r="AC1732" s="5">
        <v>704</v>
      </c>
    </row>
    <row r="1733" spans="1:29" ht="78" x14ac:dyDescent="0.15">
      <c r="A1733" s="3">
        <f>DATE(1995,1,4)</f>
        <v>34703</v>
      </c>
      <c r="B1733" s="2"/>
      <c r="C1733" s="2" t="s">
        <v>141</v>
      </c>
      <c r="D1733" s="2" t="s">
        <v>5647</v>
      </c>
      <c r="E1733" s="2" t="s">
        <v>5648</v>
      </c>
      <c r="F1733" s="4">
        <v>2048</v>
      </c>
      <c r="G1733" s="2" t="s">
        <v>577</v>
      </c>
      <c r="H1733" s="2" t="s">
        <v>34</v>
      </c>
      <c r="I1733" s="2" t="s">
        <v>143</v>
      </c>
      <c r="J1733" s="2" t="s">
        <v>144</v>
      </c>
      <c r="K1733" s="2" t="s">
        <v>53</v>
      </c>
      <c r="L1733" s="2" t="s">
        <v>139</v>
      </c>
      <c r="M1733" s="2"/>
      <c r="N1733" s="2"/>
      <c r="O1733" s="2"/>
      <c r="P1733" s="2" t="s">
        <v>5672</v>
      </c>
      <c r="Q1733" s="2"/>
      <c r="R1733" s="2"/>
      <c r="S1733" s="5">
        <v>0.2</v>
      </c>
      <c r="T1733" s="7">
        <v>0.49399999999999999</v>
      </c>
      <c r="U1733" s="5">
        <v>2.4</v>
      </c>
      <c r="V1733" s="6">
        <v>0.08</v>
      </c>
      <c r="W1733" s="4">
        <v>4</v>
      </c>
      <c r="X1733" s="7">
        <v>4.0629999999999997</v>
      </c>
      <c r="Y1733" s="7">
        <v>4.3129999999999997</v>
      </c>
      <c r="Z1733" s="7">
        <v>4.3129999999999997</v>
      </c>
      <c r="AA1733" s="2"/>
      <c r="AB1733" s="2" t="s">
        <v>47</v>
      </c>
      <c r="AC1733" s="2"/>
    </row>
    <row r="1734" spans="1:29" ht="91" x14ac:dyDescent="0.15">
      <c r="A1734" s="3">
        <f>DATE(1995,1,5)</f>
        <v>34704</v>
      </c>
      <c r="B1734" s="3">
        <f>DATE(1995,6,30)</f>
        <v>34880</v>
      </c>
      <c r="C1734" s="2" t="s">
        <v>95</v>
      </c>
      <c r="D1734" s="2" t="s">
        <v>5673</v>
      </c>
      <c r="E1734" s="2" t="s">
        <v>5674</v>
      </c>
      <c r="F1734" s="4">
        <v>5012</v>
      </c>
      <c r="G1734" s="2" t="s">
        <v>76</v>
      </c>
      <c r="H1734" s="2" t="s">
        <v>34</v>
      </c>
      <c r="I1734" s="2" t="s">
        <v>5675</v>
      </c>
      <c r="J1734" s="2" t="s">
        <v>5676</v>
      </c>
      <c r="K1734" s="2" t="s">
        <v>439</v>
      </c>
      <c r="L1734" s="2" t="s">
        <v>34</v>
      </c>
      <c r="M1734" s="6">
        <v>800.32</v>
      </c>
      <c r="N1734" s="5">
        <v>25.5</v>
      </c>
      <c r="O1734" s="6">
        <v>25.25</v>
      </c>
      <c r="P1734" s="2" t="s">
        <v>5677</v>
      </c>
      <c r="Q1734" s="6">
        <v>81.48</v>
      </c>
      <c r="R1734" s="6">
        <v>17</v>
      </c>
      <c r="S1734" s="5">
        <v>7.7</v>
      </c>
      <c r="T1734" s="6">
        <v>21.85</v>
      </c>
      <c r="U1734" s="5">
        <v>6.7</v>
      </c>
      <c r="V1734" s="6">
        <v>0.68</v>
      </c>
      <c r="W1734" s="5">
        <v>13.5</v>
      </c>
      <c r="X1734" s="6">
        <v>14.25</v>
      </c>
      <c r="Y1734" s="6">
        <v>15.75</v>
      </c>
      <c r="Z1734" s="6">
        <v>15.75</v>
      </c>
      <c r="AA1734" s="6">
        <v>11.93</v>
      </c>
      <c r="AB1734" s="7">
        <v>14.676</v>
      </c>
      <c r="AC1734" s="6">
        <v>101.05</v>
      </c>
    </row>
    <row r="1735" spans="1:29" ht="78" x14ac:dyDescent="0.15">
      <c r="A1735" s="3">
        <f>DATE(1995,1,5)</f>
        <v>34704</v>
      </c>
      <c r="B1735" s="2"/>
      <c r="C1735" s="2" t="s">
        <v>30</v>
      </c>
      <c r="D1735" s="2" t="s">
        <v>5678</v>
      </c>
      <c r="E1735" s="2" t="s">
        <v>5679</v>
      </c>
      <c r="F1735" s="4">
        <v>2062</v>
      </c>
      <c r="G1735" s="2" t="s">
        <v>577</v>
      </c>
      <c r="H1735" s="2" t="s">
        <v>34</v>
      </c>
      <c r="I1735" s="2" t="s">
        <v>5680</v>
      </c>
      <c r="J1735" s="2" t="s">
        <v>5681</v>
      </c>
      <c r="K1735" s="2" t="s">
        <v>300</v>
      </c>
      <c r="L1735" s="2" t="s">
        <v>34</v>
      </c>
      <c r="M1735" s="7">
        <v>43.161999999999999</v>
      </c>
      <c r="N1735" s="4">
        <v>2</v>
      </c>
      <c r="O1735" s="7">
        <v>1.875</v>
      </c>
      <c r="P1735" s="2" t="s">
        <v>5682</v>
      </c>
      <c r="Q1735" s="2"/>
      <c r="R1735" s="6">
        <v>11.94</v>
      </c>
      <c r="S1735" s="5">
        <v>1.2</v>
      </c>
      <c r="T1735" s="7">
        <v>24.541</v>
      </c>
      <c r="U1735" s="5">
        <v>12.2</v>
      </c>
      <c r="V1735" s="6">
        <v>0.16</v>
      </c>
      <c r="W1735" s="6">
        <v>8.25</v>
      </c>
      <c r="X1735" s="7">
        <v>8.375</v>
      </c>
      <c r="Y1735" s="7">
        <v>9.875</v>
      </c>
      <c r="Z1735" s="7">
        <v>9.875</v>
      </c>
      <c r="AA1735" s="6">
        <v>6.15</v>
      </c>
      <c r="AB1735" s="7">
        <v>11.147</v>
      </c>
      <c r="AC1735" s="6">
        <v>4.38</v>
      </c>
    </row>
    <row r="1736" spans="1:29" ht="156" x14ac:dyDescent="0.15">
      <c r="A1736" s="3">
        <f>DATE(1995,1,6)</f>
        <v>34705</v>
      </c>
      <c r="B1736" s="3">
        <f>DATE(1995,7,12)</f>
        <v>34892</v>
      </c>
      <c r="C1736" s="2" t="s">
        <v>95</v>
      </c>
      <c r="D1736" s="2" t="s">
        <v>2665</v>
      </c>
      <c r="E1736" s="2" t="s">
        <v>2666</v>
      </c>
      <c r="F1736" s="4">
        <v>2046</v>
      </c>
      <c r="G1736" s="2" t="s">
        <v>577</v>
      </c>
      <c r="H1736" s="2" t="s">
        <v>34</v>
      </c>
      <c r="I1736" s="2" t="s">
        <v>5683</v>
      </c>
      <c r="J1736" s="2" t="s">
        <v>5684</v>
      </c>
      <c r="K1736" s="2" t="s">
        <v>577</v>
      </c>
      <c r="L1736" s="2" t="s">
        <v>133</v>
      </c>
      <c r="M1736" s="7">
        <v>534.46100000000001</v>
      </c>
      <c r="N1736" s="2"/>
      <c r="O1736" s="2"/>
      <c r="P1736" s="2" t="s">
        <v>5685</v>
      </c>
      <c r="Q1736" s="6">
        <v>100</v>
      </c>
      <c r="R1736" s="6">
        <v>40</v>
      </c>
      <c r="S1736" s="5">
        <v>26.9</v>
      </c>
      <c r="T1736" s="7">
        <v>98.165000000000006</v>
      </c>
      <c r="U1736" s="5">
        <v>23.1</v>
      </c>
      <c r="V1736" s="6">
        <v>2.63</v>
      </c>
      <c r="W1736" s="5">
        <v>25.5</v>
      </c>
      <c r="X1736" s="6">
        <v>26.75</v>
      </c>
      <c r="Y1736" s="4">
        <v>27</v>
      </c>
      <c r="Z1736" s="4">
        <v>27</v>
      </c>
      <c r="AA1736" s="6">
        <v>10.47</v>
      </c>
      <c r="AB1736" s="7">
        <v>8.4659999999999993</v>
      </c>
      <c r="AC1736" s="5">
        <v>958</v>
      </c>
    </row>
    <row r="1737" spans="1:29" ht="91" x14ac:dyDescent="0.15">
      <c r="A1737" s="3">
        <f>DATE(1995,1,6)</f>
        <v>34705</v>
      </c>
      <c r="B1737" s="2"/>
      <c r="C1737" s="2" t="s">
        <v>30</v>
      </c>
      <c r="D1737" s="2" t="s">
        <v>5686</v>
      </c>
      <c r="E1737" s="2" t="s">
        <v>5687</v>
      </c>
      <c r="F1737" s="4">
        <v>3571</v>
      </c>
      <c r="G1737" s="2" t="s">
        <v>50</v>
      </c>
      <c r="H1737" s="2" t="s">
        <v>34</v>
      </c>
      <c r="I1737" s="2" t="s">
        <v>51</v>
      </c>
      <c r="J1737" s="2" t="s">
        <v>52</v>
      </c>
      <c r="K1737" s="2" t="s">
        <v>53</v>
      </c>
      <c r="L1737" s="2" t="s">
        <v>34</v>
      </c>
      <c r="M1737" s="2"/>
      <c r="N1737" s="2"/>
      <c r="O1737" s="2"/>
      <c r="P1737" s="2" t="s">
        <v>5688</v>
      </c>
      <c r="Q1737" s="2"/>
      <c r="R1737" s="2"/>
      <c r="S1737" s="5">
        <v>310.2</v>
      </c>
      <c r="T1737" s="7">
        <v>563.37699999999995</v>
      </c>
      <c r="U1737" s="5">
        <v>0.7</v>
      </c>
      <c r="V1737" s="9">
        <v>9.3200000000000005E-2</v>
      </c>
      <c r="W1737" s="4">
        <v>39</v>
      </c>
      <c r="X1737" s="7">
        <v>38.875</v>
      </c>
      <c r="Y1737" s="4">
        <v>42</v>
      </c>
      <c r="Z1737" s="7">
        <v>41.203000000000003</v>
      </c>
      <c r="AA1737" s="2"/>
      <c r="AB1737" s="2" t="s">
        <v>47</v>
      </c>
      <c r="AC1737" s="2"/>
    </row>
    <row r="1738" spans="1:29" ht="156" x14ac:dyDescent="0.15">
      <c r="A1738" s="3">
        <f t="shared" ref="A1738:A1743" si="6">DATE(1995,1,9)</f>
        <v>34708</v>
      </c>
      <c r="B1738" s="3">
        <f>DATE(1995,7,3)</f>
        <v>34883</v>
      </c>
      <c r="C1738" s="2" t="s">
        <v>95</v>
      </c>
      <c r="D1738" s="2" t="s">
        <v>5689</v>
      </c>
      <c r="E1738" s="2" t="s">
        <v>389</v>
      </c>
      <c r="F1738" s="4">
        <v>6035</v>
      </c>
      <c r="G1738" s="2" t="s">
        <v>33</v>
      </c>
      <c r="H1738" s="2" t="s">
        <v>34</v>
      </c>
      <c r="I1738" s="2" t="s">
        <v>1799</v>
      </c>
      <c r="J1738" s="2" t="s">
        <v>36</v>
      </c>
      <c r="K1738" s="2" t="s">
        <v>37</v>
      </c>
      <c r="L1738" s="2" t="s">
        <v>34</v>
      </c>
      <c r="M1738" s="2"/>
      <c r="N1738" s="6">
        <v>28.25</v>
      </c>
      <c r="O1738" s="6">
        <v>28.25</v>
      </c>
      <c r="P1738" s="2" t="s">
        <v>5690</v>
      </c>
      <c r="Q1738" s="6">
        <v>100</v>
      </c>
      <c r="R1738" s="6">
        <v>39.28</v>
      </c>
      <c r="S1738" s="5">
        <v>8.4</v>
      </c>
      <c r="T1738" s="5">
        <v>11.9</v>
      </c>
      <c r="U1738" s="5">
        <v>22.5</v>
      </c>
      <c r="V1738" s="6">
        <v>3.12</v>
      </c>
      <c r="W1738" s="6">
        <v>30.75</v>
      </c>
      <c r="X1738" s="6">
        <v>32.75</v>
      </c>
      <c r="Y1738" s="7">
        <v>42.375</v>
      </c>
      <c r="Z1738" s="7">
        <v>42.375</v>
      </c>
      <c r="AA1738" s="6">
        <v>2.56</v>
      </c>
      <c r="AB1738" s="7">
        <v>60.012</v>
      </c>
      <c r="AC1738" s="2"/>
    </row>
    <row r="1739" spans="1:29" ht="26" x14ac:dyDescent="0.15">
      <c r="A1739" s="3">
        <f t="shared" si="6"/>
        <v>34708</v>
      </c>
      <c r="B1739" s="2"/>
      <c r="C1739" s="2" t="s">
        <v>39</v>
      </c>
      <c r="D1739" s="2" t="s">
        <v>552</v>
      </c>
      <c r="E1739" s="2" t="s">
        <v>553</v>
      </c>
      <c r="F1739" s="4">
        <v>7372</v>
      </c>
      <c r="G1739" s="2" t="s">
        <v>551</v>
      </c>
      <c r="H1739" s="2" t="s">
        <v>34</v>
      </c>
      <c r="I1739" s="2" t="s">
        <v>5691</v>
      </c>
      <c r="J1739" s="2" t="s">
        <v>5692</v>
      </c>
      <c r="K1739" s="2" t="s">
        <v>63</v>
      </c>
      <c r="L1739" s="2" t="s">
        <v>34</v>
      </c>
      <c r="M1739" s="2"/>
      <c r="N1739" s="7">
        <v>48.375</v>
      </c>
      <c r="O1739" s="7">
        <v>48.625</v>
      </c>
      <c r="P1739" s="2" t="s">
        <v>5693</v>
      </c>
      <c r="Q1739" s="2"/>
      <c r="R1739" s="2"/>
      <c r="S1739" s="5">
        <v>-20.9</v>
      </c>
      <c r="T1739" s="7">
        <v>161.20500000000001</v>
      </c>
      <c r="U1739" s="5">
        <v>11.6</v>
      </c>
      <c r="V1739" s="6">
        <v>-0.44</v>
      </c>
      <c r="W1739" s="4">
        <v>41</v>
      </c>
      <c r="X1739" s="4">
        <v>40</v>
      </c>
      <c r="Y1739" s="4">
        <v>42</v>
      </c>
      <c r="Z1739" s="7">
        <v>42.563000000000002</v>
      </c>
      <c r="AA1739" s="2"/>
      <c r="AB1739" s="2" t="s">
        <v>47</v>
      </c>
      <c r="AC1739" s="8">
        <v>1208</v>
      </c>
    </row>
    <row r="1740" spans="1:29" ht="130" x14ac:dyDescent="0.15">
      <c r="A1740" s="3">
        <f t="shared" si="6"/>
        <v>34708</v>
      </c>
      <c r="B1740" s="3">
        <f>DATE(1995,5,12)</f>
        <v>34831</v>
      </c>
      <c r="C1740" s="2" t="s">
        <v>95</v>
      </c>
      <c r="D1740" s="2" t="s">
        <v>5694</v>
      </c>
      <c r="E1740" s="2" t="s">
        <v>5695</v>
      </c>
      <c r="F1740" s="4">
        <v>2023</v>
      </c>
      <c r="G1740" s="2" t="s">
        <v>577</v>
      </c>
      <c r="H1740" s="2" t="s">
        <v>34</v>
      </c>
      <c r="I1740" s="2" t="s">
        <v>5696</v>
      </c>
      <c r="J1740" s="2" t="s">
        <v>5697</v>
      </c>
      <c r="K1740" s="2" t="s">
        <v>577</v>
      </c>
      <c r="L1740" s="2" t="s">
        <v>34</v>
      </c>
      <c r="M1740" s="2"/>
      <c r="N1740" s="2"/>
      <c r="O1740" s="2"/>
      <c r="P1740" s="2" t="s">
        <v>5698</v>
      </c>
      <c r="Q1740" s="6">
        <v>100</v>
      </c>
      <c r="R1740" s="6">
        <v>26</v>
      </c>
      <c r="S1740" s="5">
        <v>117.2</v>
      </c>
      <c r="T1740" s="5">
        <v>266.60000000000002</v>
      </c>
      <c r="U1740" s="5">
        <v>3.3</v>
      </c>
      <c r="V1740" s="6">
        <v>1.1399999999999999</v>
      </c>
      <c r="W1740" s="6">
        <v>19.75</v>
      </c>
      <c r="X1740" s="7">
        <v>20.125</v>
      </c>
      <c r="Y1740" s="5">
        <v>25.5</v>
      </c>
      <c r="Z1740" s="5">
        <v>25.5</v>
      </c>
      <c r="AA1740" s="6">
        <v>100.38</v>
      </c>
      <c r="AB1740" s="7">
        <v>14.416</v>
      </c>
      <c r="AC1740" s="2"/>
    </row>
    <row r="1741" spans="1:29" ht="156" x14ac:dyDescent="0.15">
      <c r="A1741" s="3">
        <f t="shared" si="6"/>
        <v>34708</v>
      </c>
      <c r="B1741" s="3">
        <f>DATE(1995,3,7)</f>
        <v>34765</v>
      </c>
      <c r="C1741" s="2" t="s">
        <v>95</v>
      </c>
      <c r="D1741" s="2" t="s">
        <v>5699</v>
      </c>
      <c r="E1741" s="2" t="s">
        <v>1116</v>
      </c>
      <c r="F1741" s="4">
        <v>3571</v>
      </c>
      <c r="G1741" s="2" t="s">
        <v>50</v>
      </c>
      <c r="H1741" s="2" t="s">
        <v>34</v>
      </c>
      <c r="I1741" s="2" t="s">
        <v>5700</v>
      </c>
      <c r="J1741" s="2" t="s">
        <v>5701</v>
      </c>
      <c r="K1741" s="2" t="s">
        <v>223</v>
      </c>
      <c r="L1741" s="2" t="s">
        <v>1049</v>
      </c>
      <c r="M1741" s="2"/>
      <c r="N1741" s="2"/>
      <c r="O1741" s="2"/>
      <c r="P1741" s="2" t="s">
        <v>5702</v>
      </c>
      <c r="Q1741" s="6">
        <v>83.37</v>
      </c>
      <c r="R1741" s="6">
        <v>16</v>
      </c>
      <c r="S1741" s="5">
        <v>-22.4</v>
      </c>
      <c r="T1741" s="7">
        <v>9.1549999999999994</v>
      </c>
      <c r="U1741" s="5">
        <v>8.6999999999999993</v>
      </c>
      <c r="V1741" s="6">
        <v>-1.66</v>
      </c>
      <c r="W1741" s="4">
        <v>13</v>
      </c>
      <c r="X1741" s="6">
        <v>12.25</v>
      </c>
      <c r="Y1741" s="6">
        <v>14.25</v>
      </c>
      <c r="Z1741" s="7">
        <v>14.375</v>
      </c>
      <c r="AA1741" s="6">
        <v>15.58</v>
      </c>
      <c r="AB1741" s="2" t="s">
        <v>86</v>
      </c>
      <c r="AC1741" s="2"/>
    </row>
    <row r="1742" spans="1:29" ht="65" x14ac:dyDescent="0.15">
      <c r="A1742" s="3">
        <f t="shared" si="6"/>
        <v>34708</v>
      </c>
      <c r="B1742" s="3">
        <f>DATE(1995,1,9)</f>
        <v>34708</v>
      </c>
      <c r="C1742" s="2" t="s">
        <v>95</v>
      </c>
      <c r="D1742" s="2" t="s">
        <v>5703</v>
      </c>
      <c r="E1742" s="2" t="s">
        <v>5704</v>
      </c>
      <c r="F1742" s="4">
        <v>7389</v>
      </c>
      <c r="G1742" s="2" t="s">
        <v>223</v>
      </c>
      <c r="H1742" s="2" t="s">
        <v>34</v>
      </c>
      <c r="I1742" s="2" t="s">
        <v>51</v>
      </c>
      <c r="J1742" s="2" t="s">
        <v>52</v>
      </c>
      <c r="K1742" s="2" t="s">
        <v>53</v>
      </c>
      <c r="L1742" s="2" t="s">
        <v>34</v>
      </c>
      <c r="M1742" s="2"/>
      <c r="N1742" s="2"/>
      <c r="O1742" s="2"/>
      <c r="P1742" s="2" t="s">
        <v>5705</v>
      </c>
      <c r="Q1742" s="6">
        <v>41.96</v>
      </c>
      <c r="R1742" s="6">
        <v>0.65</v>
      </c>
      <c r="S1742" s="2"/>
      <c r="T1742" s="2"/>
      <c r="U1742" s="5">
        <v>1.9</v>
      </c>
      <c r="V1742" s="6">
        <v>-0.87</v>
      </c>
      <c r="W1742" s="4">
        <v>1</v>
      </c>
      <c r="X1742" s="7">
        <v>1.0629999999999999</v>
      </c>
      <c r="Y1742" s="4">
        <v>1</v>
      </c>
      <c r="Z1742" s="4">
        <v>1</v>
      </c>
      <c r="AA1742" s="6">
        <v>2.75</v>
      </c>
      <c r="AB1742" s="2" t="s">
        <v>86</v>
      </c>
      <c r="AC1742" s="2"/>
    </row>
    <row r="1743" spans="1:29" ht="156" x14ac:dyDescent="0.15">
      <c r="A1743" s="3">
        <f t="shared" si="6"/>
        <v>34708</v>
      </c>
      <c r="B1743" s="3">
        <f>DATE(1995,4,5)</f>
        <v>34794</v>
      </c>
      <c r="C1743" s="2" t="s">
        <v>95</v>
      </c>
      <c r="D1743" s="2" t="s">
        <v>5706</v>
      </c>
      <c r="E1743" s="2" t="s">
        <v>5707</v>
      </c>
      <c r="F1743" s="4">
        <v>5112</v>
      </c>
      <c r="G1743" s="2" t="s">
        <v>593</v>
      </c>
      <c r="H1743" s="2" t="s">
        <v>34</v>
      </c>
      <c r="I1743" s="2" t="s">
        <v>5708</v>
      </c>
      <c r="J1743" s="2" t="s">
        <v>5709</v>
      </c>
      <c r="K1743" s="2" t="s">
        <v>593</v>
      </c>
      <c r="L1743" s="2" t="s">
        <v>34</v>
      </c>
      <c r="M1743" s="2"/>
      <c r="N1743" s="2"/>
      <c r="O1743" s="2"/>
      <c r="P1743" s="2" t="s">
        <v>5710</v>
      </c>
      <c r="Q1743" s="6">
        <v>100</v>
      </c>
      <c r="R1743" s="6">
        <v>15.5</v>
      </c>
      <c r="S1743" s="5">
        <v>15.7</v>
      </c>
      <c r="T1743" s="6">
        <v>57.53</v>
      </c>
      <c r="U1743" s="5">
        <v>1.7</v>
      </c>
      <c r="V1743" s="9">
        <v>0.10630000000000001</v>
      </c>
      <c r="W1743" s="6">
        <v>13.25</v>
      </c>
      <c r="X1743" s="4">
        <v>13</v>
      </c>
      <c r="Y1743" s="7">
        <v>13.938000000000001</v>
      </c>
      <c r="Z1743" s="7">
        <v>14.063000000000001</v>
      </c>
      <c r="AA1743" s="6">
        <v>18.59</v>
      </c>
      <c r="AB1743" s="7">
        <v>67.685000000000002</v>
      </c>
      <c r="AC1743" s="2"/>
    </row>
    <row r="1744" spans="1:29" ht="52" x14ac:dyDescent="0.15">
      <c r="A1744" s="3">
        <f>DATE(1995,1,10)</f>
        <v>34709</v>
      </c>
      <c r="B1744" s="2"/>
      <c r="C1744" s="2" t="s">
        <v>30</v>
      </c>
      <c r="D1744" s="2" t="s">
        <v>2587</v>
      </c>
      <c r="E1744" s="2" t="s">
        <v>2588</v>
      </c>
      <c r="F1744" s="4">
        <v>6513</v>
      </c>
      <c r="G1744" s="2" t="s">
        <v>109</v>
      </c>
      <c r="H1744" s="2" t="s">
        <v>34</v>
      </c>
      <c r="I1744" s="2" t="s">
        <v>5711</v>
      </c>
      <c r="J1744" s="2" t="s">
        <v>80</v>
      </c>
      <c r="K1744" s="2" t="s">
        <v>53</v>
      </c>
      <c r="L1744" s="2" t="s">
        <v>34</v>
      </c>
      <c r="M1744" s="2"/>
      <c r="N1744" s="2"/>
      <c r="O1744" s="2"/>
      <c r="P1744" s="2" t="s">
        <v>5712</v>
      </c>
      <c r="Q1744" s="2"/>
      <c r="R1744" s="6">
        <v>4</v>
      </c>
      <c r="S1744" s="5">
        <v>-174.8</v>
      </c>
      <c r="T1744" s="7">
        <v>-1.669</v>
      </c>
      <c r="U1744" s="5">
        <v>2.7</v>
      </c>
      <c r="V1744" s="6">
        <v>-26.45</v>
      </c>
      <c r="W1744" s="6">
        <v>2.25</v>
      </c>
      <c r="X1744" s="7">
        <v>2.375</v>
      </c>
      <c r="Y1744" s="4">
        <v>3</v>
      </c>
      <c r="Z1744" s="7">
        <v>2.875</v>
      </c>
      <c r="AA1744" s="6">
        <v>6.71</v>
      </c>
      <c r="AB1744" s="2" t="s">
        <v>86</v>
      </c>
      <c r="AC1744" s="2"/>
    </row>
    <row r="1745" spans="1:29" ht="143" x14ac:dyDescent="0.15">
      <c r="A1745" s="3">
        <f>DATE(1995,1,12)</f>
        <v>34711</v>
      </c>
      <c r="B1745" s="3">
        <f>DATE(1995,4,26)</f>
        <v>34815</v>
      </c>
      <c r="C1745" s="2" t="s">
        <v>95</v>
      </c>
      <c r="D1745" s="2" t="s">
        <v>5713</v>
      </c>
      <c r="E1745" s="2" t="s">
        <v>1561</v>
      </c>
      <c r="F1745" s="4">
        <v>6331</v>
      </c>
      <c r="G1745" s="2" t="s">
        <v>125</v>
      </c>
      <c r="H1745" s="2" t="s">
        <v>34</v>
      </c>
      <c r="I1745" s="2" t="s">
        <v>5714</v>
      </c>
      <c r="J1745" s="2" t="s">
        <v>1561</v>
      </c>
      <c r="K1745" s="2" t="s">
        <v>125</v>
      </c>
      <c r="L1745" s="2" t="s">
        <v>34</v>
      </c>
      <c r="M1745" s="7">
        <v>672.255</v>
      </c>
      <c r="N1745" s="7">
        <v>29.125</v>
      </c>
      <c r="O1745" s="4">
        <v>29</v>
      </c>
      <c r="P1745" s="2" t="s">
        <v>5715</v>
      </c>
      <c r="Q1745" s="6">
        <v>100</v>
      </c>
      <c r="R1745" s="6">
        <v>18.5</v>
      </c>
      <c r="S1745" s="5">
        <v>8</v>
      </c>
      <c r="T1745" s="2"/>
      <c r="U1745" s="5">
        <v>17.100000000000001</v>
      </c>
      <c r="V1745" s="6">
        <v>1.18</v>
      </c>
      <c r="W1745" s="6">
        <v>12.75</v>
      </c>
      <c r="X1745" s="5">
        <v>12.5</v>
      </c>
      <c r="Y1745" s="7">
        <v>17.625</v>
      </c>
      <c r="Z1745" s="7">
        <v>17.812999999999999</v>
      </c>
      <c r="AA1745" s="6">
        <v>7.05</v>
      </c>
      <c r="AB1745" s="7">
        <v>19.920000000000002</v>
      </c>
      <c r="AC1745" s="6">
        <v>180.32</v>
      </c>
    </row>
    <row r="1746" spans="1:29" ht="91" x14ac:dyDescent="0.15">
      <c r="A1746" s="3">
        <f>DATE(1995,1,13)</f>
        <v>34712</v>
      </c>
      <c r="B1746" s="3">
        <f>DATE(1995,8,18)</f>
        <v>34929</v>
      </c>
      <c r="C1746" s="2" t="s">
        <v>95</v>
      </c>
      <c r="D1746" s="2" t="s">
        <v>5716</v>
      </c>
      <c r="E1746" s="2" t="s">
        <v>263</v>
      </c>
      <c r="F1746" s="4">
        <v>6022</v>
      </c>
      <c r="G1746" s="2" t="s">
        <v>37</v>
      </c>
      <c r="H1746" s="2" t="s">
        <v>34</v>
      </c>
      <c r="I1746" s="2" t="s">
        <v>5717</v>
      </c>
      <c r="J1746" s="2" t="s">
        <v>32</v>
      </c>
      <c r="K1746" s="2" t="s">
        <v>33</v>
      </c>
      <c r="L1746" s="2" t="s">
        <v>34</v>
      </c>
      <c r="M1746" s="2"/>
      <c r="N1746" s="2"/>
      <c r="O1746" s="2"/>
      <c r="P1746" s="2" t="s">
        <v>5718</v>
      </c>
      <c r="Q1746" s="6">
        <v>100</v>
      </c>
      <c r="R1746" s="6">
        <v>12.61</v>
      </c>
      <c r="S1746" s="5">
        <v>3.2</v>
      </c>
      <c r="T1746" s="2"/>
      <c r="U1746" s="5">
        <v>7.8</v>
      </c>
      <c r="V1746" s="6">
        <v>0.71</v>
      </c>
      <c r="W1746" s="4">
        <v>10</v>
      </c>
      <c r="X1746" s="5">
        <v>10.5</v>
      </c>
      <c r="Y1746" s="6">
        <v>11.25</v>
      </c>
      <c r="Z1746" s="6">
        <v>11.25</v>
      </c>
      <c r="AA1746" s="6">
        <v>4.47</v>
      </c>
      <c r="AB1746" s="7">
        <v>44.819000000000003</v>
      </c>
      <c r="AC1746" s="2"/>
    </row>
    <row r="1747" spans="1:29" ht="104" x14ac:dyDescent="0.15">
      <c r="A1747" s="3">
        <f>DATE(1995,1,13)</f>
        <v>34712</v>
      </c>
      <c r="B1747" s="2"/>
      <c r="C1747" s="2" t="s">
        <v>30</v>
      </c>
      <c r="D1747" s="2" t="s">
        <v>5719</v>
      </c>
      <c r="E1747" s="2" t="s">
        <v>612</v>
      </c>
      <c r="F1747" s="4">
        <v>1311</v>
      </c>
      <c r="G1747" s="2" t="s">
        <v>148</v>
      </c>
      <c r="H1747" s="2" t="s">
        <v>34</v>
      </c>
      <c r="I1747" s="2" t="s">
        <v>5720</v>
      </c>
      <c r="J1747" s="2" t="s">
        <v>1608</v>
      </c>
      <c r="K1747" s="2" t="s">
        <v>148</v>
      </c>
      <c r="L1747" s="2" t="s">
        <v>34</v>
      </c>
      <c r="M1747" s="5">
        <v>57.5</v>
      </c>
      <c r="N1747" s="4">
        <v>3</v>
      </c>
      <c r="O1747" s="4">
        <v>3</v>
      </c>
      <c r="P1747" s="2" t="s">
        <v>5721</v>
      </c>
      <c r="Q1747" s="2"/>
      <c r="R1747" s="6">
        <v>5.65</v>
      </c>
      <c r="S1747" s="5">
        <v>0.5</v>
      </c>
      <c r="T1747" s="7">
        <v>0.98499999999999999</v>
      </c>
      <c r="U1747" s="5">
        <v>4</v>
      </c>
      <c r="V1747" s="6">
        <v>0.44</v>
      </c>
      <c r="W1747" s="4">
        <v>4</v>
      </c>
      <c r="X1747" s="6">
        <v>4.25</v>
      </c>
      <c r="Y1747" s="4">
        <v>5</v>
      </c>
      <c r="Z1747" s="4">
        <v>5</v>
      </c>
      <c r="AA1747" s="6">
        <v>1</v>
      </c>
      <c r="AB1747" s="7">
        <v>46.250999999999998</v>
      </c>
      <c r="AC1747" s="6">
        <v>2.75</v>
      </c>
    </row>
    <row r="1748" spans="1:29" ht="26" x14ac:dyDescent="0.15">
      <c r="A1748" s="3">
        <f>DATE(1995,1,17)</f>
        <v>34716</v>
      </c>
      <c r="B1748" s="2"/>
      <c r="C1748" s="2" t="s">
        <v>87</v>
      </c>
      <c r="D1748" s="2" t="s">
        <v>5722</v>
      </c>
      <c r="E1748" s="2" t="s">
        <v>3686</v>
      </c>
      <c r="F1748" s="4">
        <v>2731</v>
      </c>
      <c r="G1748" s="2" t="s">
        <v>186</v>
      </c>
      <c r="H1748" s="2" t="s">
        <v>34</v>
      </c>
      <c r="I1748" s="2" t="s">
        <v>138</v>
      </c>
      <c r="J1748" s="2" t="s">
        <v>139</v>
      </c>
      <c r="K1748" s="2" t="s">
        <v>53</v>
      </c>
      <c r="L1748" s="2" t="s">
        <v>139</v>
      </c>
      <c r="M1748" s="2"/>
      <c r="N1748" s="2"/>
      <c r="O1748" s="2"/>
      <c r="P1748" s="2" t="s">
        <v>5723</v>
      </c>
      <c r="Q1748" s="2"/>
      <c r="R1748" s="2"/>
      <c r="S1748" s="5">
        <v>-0.5</v>
      </c>
      <c r="T1748" s="7">
        <v>2.2029999999999998</v>
      </c>
      <c r="U1748" s="5">
        <v>81.8</v>
      </c>
      <c r="V1748" s="6">
        <v>-2.4</v>
      </c>
      <c r="W1748" s="6">
        <v>3.75</v>
      </c>
      <c r="X1748" s="7">
        <v>4.625</v>
      </c>
      <c r="Y1748" s="6">
        <v>6.75</v>
      </c>
      <c r="Z1748" s="5">
        <v>6.5</v>
      </c>
      <c r="AA1748" s="2"/>
      <c r="AB1748" s="2" t="s">
        <v>47</v>
      </c>
      <c r="AC1748" s="2"/>
    </row>
    <row r="1749" spans="1:29" ht="130" x14ac:dyDescent="0.15">
      <c r="A1749" s="3">
        <f>DATE(1995,1,18)</f>
        <v>34717</v>
      </c>
      <c r="B1749" s="3">
        <f>DATE(1995,8,9)</f>
        <v>34920</v>
      </c>
      <c r="C1749" s="2" t="s">
        <v>95</v>
      </c>
      <c r="D1749" s="2" t="s">
        <v>5724</v>
      </c>
      <c r="E1749" s="2" t="s">
        <v>5725</v>
      </c>
      <c r="F1749" s="4">
        <v>2873</v>
      </c>
      <c r="G1749" s="2" t="s">
        <v>98</v>
      </c>
      <c r="H1749" s="2" t="s">
        <v>34</v>
      </c>
      <c r="I1749" s="2" t="s">
        <v>5726</v>
      </c>
      <c r="J1749" s="2" t="s">
        <v>5725</v>
      </c>
      <c r="K1749" s="2" t="s">
        <v>98</v>
      </c>
      <c r="L1749" s="2" t="s">
        <v>34</v>
      </c>
      <c r="M1749" s="2"/>
      <c r="N1749" s="2"/>
      <c r="O1749" s="2"/>
      <c r="P1749" s="2" t="s">
        <v>5727</v>
      </c>
      <c r="Q1749" s="6">
        <v>55</v>
      </c>
      <c r="R1749" s="6">
        <v>29</v>
      </c>
      <c r="S1749" s="5">
        <v>61</v>
      </c>
      <c r="T1749" s="7">
        <v>154.596</v>
      </c>
      <c r="U1749" s="5">
        <v>-2.4</v>
      </c>
      <c r="V1749" s="6">
        <v>2.25</v>
      </c>
      <c r="W1749" s="7">
        <v>23.875</v>
      </c>
      <c r="X1749" s="6">
        <v>24.75</v>
      </c>
      <c r="Y1749" s="7">
        <v>24.875</v>
      </c>
      <c r="Z1749" s="7">
        <v>23.875</v>
      </c>
      <c r="AA1749" s="6">
        <v>26.86</v>
      </c>
      <c r="AB1749" s="7">
        <v>14.85</v>
      </c>
      <c r="AC1749" s="2"/>
    </row>
    <row r="1750" spans="1:29" ht="143" x14ac:dyDescent="0.15">
      <c r="A1750" s="3">
        <f>DATE(1995,1,18)</f>
        <v>34717</v>
      </c>
      <c r="B1750" s="2"/>
      <c r="C1750" s="2" t="s">
        <v>30</v>
      </c>
      <c r="D1750" s="2" t="s">
        <v>5728</v>
      </c>
      <c r="E1750" s="2" t="s">
        <v>5729</v>
      </c>
      <c r="F1750" s="4">
        <v>2841</v>
      </c>
      <c r="G1750" s="2" t="s">
        <v>358</v>
      </c>
      <c r="H1750" s="2" t="s">
        <v>34</v>
      </c>
      <c r="I1750" s="2" t="s">
        <v>51</v>
      </c>
      <c r="J1750" s="2" t="s">
        <v>52</v>
      </c>
      <c r="K1750" s="2" t="s">
        <v>53</v>
      </c>
      <c r="L1750" s="2" t="s">
        <v>34</v>
      </c>
      <c r="M1750" s="2"/>
      <c r="N1750" s="2"/>
      <c r="O1750" s="2"/>
      <c r="P1750" s="2" t="s">
        <v>5730</v>
      </c>
      <c r="Q1750" s="2"/>
      <c r="R1750" s="6">
        <v>11</v>
      </c>
      <c r="S1750" s="5">
        <v>2.2999999999999998</v>
      </c>
      <c r="T1750" s="7">
        <v>7.5140000000000002</v>
      </c>
      <c r="U1750" s="5">
        <v>12.9</v>
      </c>
      <c r="V1750" s="6">
        <v>0.64</v>
      </c>
      <c r="W1750" s="6">
        <v>8.25</v>
      </c>
      <c r="X1750" s="7">
        <v>9.625</v>
      </c>
      <c r="Y1750" s="4">
        <v>11</v>
      </c>
      <c r="Z1750" s="6">
        <v>10.75</v>
      </c>
      <c r="AA1750" s="6">
        <v>3.6</v>
      </c>
      <c r="AB1750" s="7">
        <v>9.7349999999999994</v>
      </c>
      <c r="AC1750" s="2"/>
    </row>
    <row r="1751" spans="1:29" ht="65" x14ac:dyDescent="0.15">
      <c r="A1751" s="3">
        <f>DATE(1995,1,18)</f>
        <v>34717</v>
      </c>
      <c r="B1751" s="2"/>
      <c r="C1751" s="2" t="s">
        <v>189</v>
      </c>
      <c r="D1751" s="2" t="s">
        <v>5731</v>
      </c>
      <c r="E1751" s="2" t="s">
        <v>5732</v>
      </c>
      <c r="F1751" s="4">
        <v>5611</v>
      </c>
      <c r="G1751" s="2" t="s">
        <v>756</v>
      </c>
      <c r="H1751" s="2" t="s">
        <v>34</v>
      </c>
      <c r="I1751" s="2" t="s">
        <v>143</v>
      </c>
      <c r="J1751" s="2" t="s">
        <v>144</v>
      </c>
      <c r="K1751" s="2" t="s">
        <v>53</v>
      </c>
      <c r="L1751" s="2" t="s">
        <v>139</v>
      </c>
      <c r="M1751" s="2"/>
      <c r="N1751" s="2"/>
      <c r="O1751" s="2"/>
      <c r="P1751" s="2" t="s">
        <v>5733</v>
      </c>
      <c r="Q1751" s="2"/>
      <c r="R1751" s="2"/>
      <c r="S1751" s="5">
        <v>-45.6</v>
      </c>
      <c r="T1751" s="7">
        <v>-16.216999999999999</v>
      </c>
      <c r="U1751" s="5">
        <v>3.5</v>
      </c>
      <c r="V1751" s="6">
        <v>-0.85</v>
      </c>
      <c r="W1751" s="7">
        <v>1.125</v>
      </c>
      <c r="X1751" s="7">
        <v>1.375</v>
      </c>
      <c r="Y1751" s="7">
        <v>1.625</v>
      </c>
      <c r="Z1751" s="7">
        <v>1.625</v>
      </c>
      <c r="AA1751" s="2"/>
      <c r="AB1751" s="2" t="s">
        <v>86</v>
      </c>
      <c r="AC1751" s="2"/>
    </row>
    <row r="1752" spans="1:29" ht="143" x14ac:dyDescent="0.15">
      <c r="A1752" s="3">
        <f>DATE(1995,1,18)</f>
        <v>34717</v>
      </c>
      <c r="B1752" s="2"/>
      <c r="C1752" s="2" t="s">
        <v>30</v>
      </c>
      <c r="D1752" s="2" t="s">
        <v>5734</v>
      </c>
      <c r="E1752" s="2" t="s">
        <v>5735</v>
      </c>
      <c r="F1752" s="4">
        <v>7011</v>
      </c>
      <c r="G1752" s="2" t="s">
        <v>269</v>
      </c>
      <c r="H1752" s="2" t="s">
        <v>34</v>
      </c>
      <c r="I1752" s="2" t="s">
        <v>5736</v>
      </c>
      <c r="J1752" s="2" t="s">
        <v>5737</v>
      </c>
      <c r="K1752" s="2" t="s">
        <v>269</v>
      </c>
      <c r="L1752" s="2" t="s">
        <v>34</v>
      </c>
      <c r="M1752" s="5">
        <v>138</v>
      </c>
      <c r="N1752" s="2"/>
      <c r="O1752" s="2"/>
      <c r="P1752" s="2" t="s">
        <v>5738</v>
      </c>
      <c r="Q1752" s="2"/>
      <c r="R1752" s="6">
        <v>17.05</v>
      </c>
      <c r="S1752" s="2"/>
      <c r="T1752" s="2"/>
      <c r="U1752" s="2"/>
      <c r="V1752" s="2"/>
      <c r="W1752" s="6">
        <v>12.75</v>
      </c>
      <c r="X1752" s="5">
        <v>11.5</v>
      </c>
      <c r="Y1752" s="6">
        <v>12.25</v>
      </c>
      <c r="Z1752" s="6">
        <v>12.25</v>
      </c>
      <c r="AA1752" s="6">
        <v>5.0999999999999996</v>
      </c>
      <c r="AB1752" s="2" t="s">
        <v>47</v>
      </c>
      <c r="AC1752" s="2"/>
    </row>
    <row r="1753" spans="1:29" ht="65" x14ac:dyDescent="0.15">
      <c r="A1753" s="3">
        <f>DATE(1995,1,18)</f>
        <v>34717</v>
      </c>
      <c r="B1753" s="2"/>
      <c r="C1753" s="2" t="s">
        <v>30</v>
      </c>
      <c r="D1753" s="2" t="s">
        <v>5739</v>
      </c>
      <c r="E1753" s="2" t="s">
        <v>1181</v>
      </c>
      <c r="F1753" s="4">
        <v>6021</v>
      </c>
      <c r="G1753" s="2" t="s">
        <v>37</v>
      </c>
      <c r="H1753" s="2" t="s">
        <v>34</v>
      </c>
      <c r="I1753" s="2" t="s">
        <v>3683</v>
      </c>
      <c r="J1753" s="2" t="s">
        <v>1181</v>
      </c>
      <c r="K1753" s="2" t="s">
        <v>37</v>
      </c>
      <c r="L1753" s="2" t="s">
        <v>34</v>
      </c>
      <c r="M1753" s="7">
        <v>97.179000000000002</v>
      </c>
      <c r="N1753" s="4">
        <v>14</v>
      </c>
      <c r="O1753" s="7">
        <v>13.688000000000001</v>
      </c>
      <c r="P1753" s="2" t="s">
        <v>5740</v>
      </c>
      <c r="Q1753" s="2"/>
      <c r="R1753" s="6">
        <v>20</v>
      </c>
      <c r="S1753" s="5">
        <v>15.8</v>
      </c>
      <c r="T1753" s="7">
        <v>17.085000000000001</v>
      </c>
      <c r="U1753" s="5">
        <v>9.1999999999999993</v>
      </c>
      <c r="V1753" s="7">
        <v>2.8650000000000002</v>
      </c>
      <c r="W1753" s="7">
        <v>12.125</v>
      </c>
      <c r="X1753" s="7">
        <v>12.875</v>
      </c>
      <c r="Y1753" s="6">
        <v>18.25</v>
      </c>
      <c r="Z1753" s="4">
        <v>19</v>
      </c>
      <c r="AA1753" s="6">
        <v>2.75</v>
      </c>
      <c r="AB1753" s="7">
        <v>6.976</v>
      </c>
      <c r="AC1753" s="2"/>
    </row>
    <row r="1754" spans="1:29" ht="169" x14ac:dyDescent="0.15">
      <c r="A1754" s="3">
        <f>DATE(1995,1,19)</f>
        <v>34718</v>
      </c>
      <c r="B1754" s="3">
        <f>DATE(1995,7,11)</f>
        <v>34891</v>
      </c>
      <c r="C1754" s="2" t="s">
        <v>95</v>
      </c>
      <c r="D1754" s="2" t="s">
        <v>5741</v>
      </c>
      <c r="E1754" s="2" t="s">
        <v>36</v>
      </c>
      <c r="F1754" s="4">
        <v>6036</v>
      </c>
      <c r="G1754" s="2" t="s">
        <v>33</v>
      </c>
      <c r="H1754" s="2" t="s">
        <v>34</v>
      </c>
      <c r="I1754" s="2" t="s">
        <v>2396</v>
      </c>
      <c r="J1754" s="2" t="s">
        <v>36</v>
      </c>
      <c r="K1754" s="2" t="s">
        <v>37</v>
      </c>
      <c r="L1754" s="2" t="s">
        <v>34</v>
      </c>
      <c r="M1754" s="10">
        <v>1333.75</v>
      </c>
      <c r="N1754" s="7">
        <v>24.875</v>
      </c>
      <c r="O1754" s="4">
        <v>25</v>
      </c>
      <c r="P1754" s="2" t="s">
        <v>5742</v>
      </c>
      <c r="Q1754" s="6">
        <v>100</v>
      </c>
      <c r="R1754" s="6">
        <v>54.04</v>
      </c>
      <c r="S1754" s="5">
        <v>4</v>
      </c>
      <c r="T1754" s="7">
        <v>7.8890000000000002</v>
      </c>
      <c r="U1754" s="5">
        <v>24</v>
      </c>
      <c r="V1754" s="6">
        <v>1.79</v>
      </c>
      <c r="W1754" s="4">
        <v>31</v>
      </c>
      <c r="X1754" s="4">
        <v>32</v>
      </c>
      <c r="Y1754" s="4">
        <v>33</v>
      </c>
      <c r="Z1754" s="4">
        <v>40</v>
      </c>
      <c r="AA1754" s="6">
        <v>2.06</v>
      </c>
      <c r="AB1754" s="7">
        <v>80.908000000000001</v>
      </c>
      <c r="AC1754" s="2"/>
    </row>
    <row r="1755" spans="1:29" ht="117" x14ac:dyDescent="0.15">
      <c r="A1755" s="3">
        <f>DATE(1995,1,19)</f>
        <v>34718</v>
      </c>
      <c r="B1755" s="3">
        <f>DATE(1995,3,16)</f>
        <v>34774</v>
      </c>
      <c r="C1755" s="2" t="s">
        <v>95</v>
      </c>
      <c r="D1755" s="2" t="s">
        <v>5743</v>
      </c>
      <c r="E1755" s="2" t="s">
        <v>5744</v>
      </c>
      <c r="F1755" s="4">
        <v>3661</v>
      </c>
      <c r="G1755" s="2" t="s">
        <v>921</v>
      </c>
      <c r="H1755" s="2" t="s">
        <v>34</v>
      </c>
      <c r="I1755" s="2" t="s">
        <v>61</v>
      </c>
      <c r="J1755" s="2" t="s">
        <v>3478</v>
      </c>
      <c r="K1755" s="2" t="s">
        <v>63</v>
      </c>
      <c r="L1755" s="2" t="s">
        <v>34</v>
      </c>
      <c r="M1755" s="7">
        <v>995.25199999999995</v>
      </c>
      <c r="N1755" s="5">
        <v>32.5</v>
      </c>
      <c r="O1755" s="7">
        <v>32.875</v>
      </c>
      <c r="P1755" s="2" t="s">
        <v>5745</v>
      </c>
      <c r="Q1755" s="6">
        <v>100</v>
      </c>
      <c r="R1755" s="6">
        <v>8</v>
      </c>
      <c r="S1755" s="5">
        <v>1.7</v>
      </c>
      <c r="T1755" s="7">
        <v>5.952</v>
      </c>
      <c r="U1755" s="5">
        <v>2.8</v>
      </c>
      <c r="V1755" s="6">
        <v>0.21</v>
      </c>
      <c r="W1755" s="6">
        <v>6.25</v>
      </c>
      <c r="X1755" s="5">
        <v>5.5</v>
      </c>
      <c r="Y1755" s="7">
        <v>7.625</v>
      </c>
      <c r="Z1755" s="6">
        <v>7.75</v>
      </c>
      <c r="AA1755" s="6">
        <v>7.61</v>
      </c>
      <c r="AB1755" s="7">
        <v>24.824000000000002</v>
      </c>
      <c r="AC1755" s="6">
        <v>41.41</v>
      </c>
    </row>
    <row r="1756" spans="1:29" ht="91" x14ac:dyDescent="0.15">
      <c r="A1756" s="3">
        <f>DATE(1995,1,20)</f>
        <v>34719</v>
      </c>
      <c r="B1756" s="2"/>
      <c r="C1756" s="2" t="s">
        <v>189</v>
      </c>
      <c r="D1756" s="2" t="s">
        <v>5746</v>
      </c>
      <c r="E1756" s="2" t="s">
        <v>2466</v>
      </c>
      <c r="F1756" s="4">
        <v>8099</v>
      </c>
      <c r="G1756" s="2" t="s">
        <v>454</v>
      </c>
      <c r="H1756" s="2" t="s">
        <v>34</v>
      </c>
      <c r="I1756" s="2" t="s">
        <v>143</v>
      </c>
      <c r="J1756" s="2" t="s">
        <v>144</v>
      </c>
      <c r="K1756" s="2" t="s">
        <v>53</v>
      </c>
      <c r="L1756" s="2" t="s">
        <v>139</v>
      </c>
      <c r="M1756" s="2"/>
      <c r="N1756" s="2"/>
      <c r="O1756" s="2"/>
      <c r="P1756" s="2" t="s">
        <v>5747</v>
      </c>
      <c r="Q1756" s="2"/>
      <c r="R1756" s="2"/>
      <c r="S1756" s="5">
        <v>-7.3</v>
      </c>
      <c r="T1756" s="6">
        <v>30.01</v>
      </c>
      <c r="U1756" s="5">
        <v>1.9</v>
      </c>
      <c r="V1756" s="9">
        <v>-0.2999</v>
      </c>
      <c r="W1756" s="7">
        <v>3.875</v>
      </c>
      <c r="X1756" s="7">
        <v>4.3129999999999997</v>
      </c>
      <c r="Y1756" s="7">
        <v>4.625</v>
      </c>
      <c r="Z1756" s="6">
        <v>4.75</v>
      </c>
      <c r="AA1756" s="6">
        <v>17.79</v>
      </c>
      <c r="AB1756" s="2" t="s">
        <v>47</v>
      </c>
      <c r="AC1756" s="2"/>
    </row>
    <row r="1757" spans="1:29" ht="52" x14ac:dyDescent="0.15">
      <c r="A1757" s="3">
        <f>DATE(1995,1,24)</f>
        <v>34723</v>
      </c>
      <c r="B1757" s="2"/>
      <c r="C1757" s="2" t="s">
        <v>87</v>
      </c>
      <c r="D1757" s="2" t="s">
        <v>2452</v>
      </c>
      <c r="E1757" s="2" t="s">
        <v>265</v>
      </c>
      <c r="F1757" s="4">
        <v>6021</v>
      </c>
      <c r="G1757" s="2" t="s">
        <v>37</v>
      </c>
      <c r="H1757" s="2" t="s">
        <v>34</v>
      </c>
      <c r="I1757" s="2" t="s">
        <v>5748</v>
      </c>
      <c r="J1757" s="2" t="s">
        <v>1181</v>
      </c>
      <c r="K1757" s="2" t="s">
        <v>37</v>
      </c>
      <c r="L1757" s="2" t="s">
        <v>34</v>
      </c>
      <c r="M1757" s="2"/>
      <c r="N1757" s="4">
        <v>20</v>
      </c>
      <c r="O1757" s="7">
        <v>19.875</v>
      </c>
      <c r="P1757" s="2" t="s">
        <v>5749</v>
      </c>
      <c r="Q1757" s="2"/>
      <c r="R1757" s="2"/>
      <c r="S1757" s="5">
        <v>161</v>
      </c>
      <c r="T1757" s="7">
        <v>279.786</v>
      </c>
      <c r="U1757" s="5">
        <v>16.5</v>
      </c>
      <c r="V1757" s="9">
        <v>2.4933000000000001</v>
      </c>
      <c r="W1757" s="7">
        <v>34.125</v>
      </c>
      <c r="X1757" s="7">
        <v>33.375</v>
      </c>
      <c r="Y1757" s="7">
        <v>33.625</v>
      </c>
      <c r="Z1757" s="4">
        <v>34</v>
      </c>
      <c r="AA1757" s="2"/>
      <c r="AB1757" s="2" t="s">
        <v>47</v>
      </c>
      <c r="AC1757" s="2"/>
    </row>
    <row r="1758" spans="1:29" ht="156" x14ac:dyDescent="0.15">
      <c r="A1758" s="3">
        <f>DATE(1995,1,25)</f>
        <v>34724</v>
      </c>
      <c r="B1758" s="3">
        <f>DATE(1995,8,25)</f>
        <v>34936</v>
      </c>
      <c r="C1758" s="2" t="s">
        <v>95</v>
      </c>
      <c r="D1758" s="2" t="s">
        <v>5750</v>
      </c>
      <c r="E1758" s="2" t="s">
        <v>5751</v>
      </c>
      <c r="F1758" s="4">
        <v>8093</v>
      </c>
      <c r="G1758" s="2" t="s">
        <v>454</v>
      </c>
      <c r="H1758" s="2" t="s">
        <v>34</v>
      </c>
      <c r="I1758" s="2" t="s">
        <v>5752</v>
      </c>
      <c r="J1758" s="2" t="s">
        <v>5753</v>
      </c>
      <c r="K1758" s="2" t="s">
        <v>454</v>
      </c>
      <c r="L1758" s="2" t="s">
        <v>34</v>
      </c>
      <c r="M1758" s="7">
        <v>763.12199999999996</v>
      </c>
      <c r="N1758" s="6">
        <v>38.75</v>
      </c>
      <c r="O1758" s="6">
        <v>38.75</v>
      </c>
      <c r="P1758" s="2" t="s">
        <v>5754</v>
      </c>
      <c r="Q1758" s="6">
        <v>100</v>
      </c>
      <c r="R1758" s="6">
        <v>7.31</v>
      </c>
      <c r="S1758" s="5">
        <v>1.5</v>
      </c>
      <c r="T1758" s="7">
        <v>2.4929999999999999</v>
      </c>
      <c r="U1758" s="5">
        <v>3.4</v>
      </c>
      <c r="V1758" s="6">
        <v>0.54</v>
      </c>
      <c r="W1758" s="6">
        <v>8.75</v>
      </c>
      <c r="X1758" s="6">
        <v>7.75</v>
      </c>
      <c r="Y1758" s="6">
        <v>7.75</v>
      </c>
      <c r="Z1758" s="4">
        <v>7</v>
      </c>
      <c r="AA1758" s="6">
        <v>3.02</v>
      </c>
      <c r="AB1758" s="7">
        <v>7.9889999999999999</v>
      </c>
      <c r="AC1758" s="5">
        <v>59.6</v>
      </c>
    </row>
    <row r="1759" spans="1:29" ht="117" x14ac:dyDescent="0.15">
      <c r="A1759" s="3">
        <f>DATE(1995,1,25)</f>
        <v>34724</v>
      </c>
      <c r="B1759" s="3">
        <f>DATE(1995,2,13)</f>
        <v>34743</v>
      </c>
      <c r="C1759" s="2" t="s">
        <v>95</v>
      </c>
      <c r="D1759" s="2" t="s">
        <v>5755</v>
      </c>
      <c r="E1759" s="2" t="s">
        <v>5756</v>
      </c>
      <c r="F1759" s="4">
        <v>3571</v>
      </c>
      <c r="G1759" s="2" t="s">
        <v>50</v>
      </c>
      <c r="H1759" s="2" t="s">
        <v>34</v>
      </c>
      <c r="I1759" s="2" t="s">
        <v>278</v>
      </c>
      <c r="J1759" s="2" t="s">
        <v>52</v>
      </c>
      <c r="K1759" s="2" t="s">
        <v>53</v>
      </c>
      <c r="L1759" s="2" t="s">
        <v>34</v>
      </c>
      <c r="M1759" s="2"/>
      <c r="N1759" s="2"/>
      <c r="O1759" s="2"/>
      <c r="P1759" s="2" t="s">
        <v>5757</v>
      </c>
      <c r="Q1759" s="6">
        <v>65.2</v>
      </c>
      <c r="R1759" s="6">
        <v>1.69</v>
      </c>
      <c r="S1759" s="5">
        <v>-182</v>
      </c>
      <c r="T1759" s="7">
        <v>16.512</v>
      </c>
      <c r="U1759" s="5">
        <v>-7</v>
      </c>
      <c r="V1759" s="6">
        <v>-5.75</v>
      </c>
      <c r="W1759" s="4">
        <v>3</v>
      </c>
      <c r="X1759" s="4">
        <v>3</v>
      </c>
      <c r="Y1759" s="4">
        <v>3</v>
      </c>
      <c r="Z1759" s="4">
        <v>3</v>
      </c>
      <c r="AA1759" s="6">
        <v>4.91</v>
      </c>
      <c r="AB1759" s="2" t="s">
        <v>86</v>
      </c>
      <c r="AC1759" s="2"/>
    </row>
    <row r="1760" spans="1:29" ht="91" x14ac:dyDescent="0.15">
      <c r="A1760" s="3">
        <f>DATE(1995,1,25)</f>
        <v>34724</v>
      </c>
      <c r="B1760" s="2"/>
      <c r="C1760" s="2" t="s">
        <v>30</v>
      </c>
      <c r="D1760" s="2" t="s">
        <v>5758</v>
      </c>
      <c r="E1760" s="2" t="s">
        <v>5759</v>
      </c>
      <c r="F1760" s="4">
        <v>6282</v>
      </c>
      <c r="G1760" s="2" t="s">
        <v>53</v>
      </c>
      <c r="H1760" s="2" t="s">
        <v>34</v>
      </c>
      <c r="I1760" s="2" t="s">
        <v>5760</v>
      </c>
      <c r="J1760" s="2" t="s">
        <v>5761</v>
      </c>
      <c r="K1760" s="2" t="s">
        <v>53</v>
      </c>
      <c r="L1760" s="2" t="s">
        <v>303</v>
      </c>
      <c r="M1760" s="2"/>
      <c r="N1760" s="2"/>
      <c r="O1760" s="2"/>
      <c r="P1760" s="2" t="s">
        <v>5762</v>
      </c>
      <c r="Q1760" s="2"/>
      <c r="R1760" s="6">
        <v>13</v>
      </c>
      <c r="S1760" s="5">
        <v>21.6</v>
      </c>
      <c r="T1760" s="7">
        <v>25.661999999999999</v>
      </c>
      <c r="U1760" s="5">
        <v>4.4000000000000004</v>
      </c>
      <c r="V1760" s="6">
        <v>0.94</v>
      </c>
      <c r="W1760" s="5">
        <v>8.5</v>
      </c>
      <c r="X1760" s="7">
        <v>8.3740000000000006</v>
      </c>
      <c r="Y1760" s="6">
        <v>12.75</v>
      </c>
      <c r="Z1760" s="7">
        <v>11.875</v>
      </c>
      <c r="AA1760" s="6">
        <v>16.88</v>
      </c>
      <c r="AB1760" s="7">
        <v>11.89</v>
      </c>
      <c r="AC1760" s="2"/>
    </row>
    <row r="1761" spans="1:29" ht="169" x14ac:dyDescent="0.15">
      <c r="A1761" s="3">
        <f>DATE(1995,1,26)</f>
        <v>34725</v>
      </c>
      <c r="B1761" s="3">
        <f>DATE(1995,9,28)</f>
        <v>34970</v>
      </c>
      <c r="C1761" s="2" t="s">
        <v>95</v>
      </c>
      <c r="D1761" s="2" t="s">
        <v>5763</v>
      </c>
      <c r="E1761" s="2" t="s">
        <v>3677</v>
      </c>
      <c r="F1761" s="4">
        <v>8051</v>
      </c>
      <c r="G1761" s="2" t="s">
        <v>454</v>
      </c>
      <c r="H1761" s="2" t="s">
        <v>34</v>
      </c>
      <c r="I1761" s="2" t="s">
        <v>5764</v>
      </c>
      <c r="J1761" s="2" t="s">
        <v>5765</v>
      </c>
      <c r="K1761" s="2" t="s">
        <v>454</v>
      </c>
      <c r="L1761" s="2" t="s">
        <v>34</v>
      </c>
      <c r="M1761" s="6">
        <v>449.28</v>
      </c>
      <c r="N1761" s="6">
        <v>30.25</v>
      </c>
      <c r="O1761" s="6">
        <v>29.75</v>
      </c>
      <c r="P1761" s="2" t="s">
        <v>5766</v>
      </c>
      <c r="Q1761" s="6">
        <v>100</v>
      </c>
      <c r="R1761" s="6">
        <v>32.25</v>
      </c>
      <c r="S1761" s="5">
        <v>58.5</v>
      </c>
      <c r="T1761" s="7">
        <v>160.642</v>
      </c>
      <c r="U1761" s="5">
        <v>9.8000000000000007</v>
      </c>
      <c r="V1761" s="6">
        <v>2.06</v>
      </c>
      <c r="W1761" s="7">
        <v>22.125</v>
      </c>
      <c r="X1761" s="7">
        <v>22.875</v>
      </c>
      <c r="Y1761" s="6">
        <v>26.25</v>
      </c>
      <c r="Z1761" s="4">
        <v>26</v>
      </c>
      <c r="AA1761" s="6">
        <v>37.85</v>
      </c>
      <c r="AB1761" s="7">
        <v>14.487</v>
      </c>
      <c r="AC1761" s="6">
        <v>3.06</v>
      </c>
    </row>
    <row r="1762" spans="1:29" ht="143" x14ac:dyDescent="0.15">
      <c r="A1762" s="3">
        <f>DATE(1995,1,26)</f>
        <v>34725</v>
      </c>
      <c r="B1762" s="2"/>
      <c r="C1762" s="2" t="s">
        <v>30</v>
      </c>
      <c r="D1762" s="2" t="s">
        <v>5763</v>
      </c>
      <c r="E1762" s="2" t="s">
        <v>3677</v>
      </c>
      <c r="F1762" s="4">
        <v>8051</v>
      </c>
      <c r="G1762" s="2" t="s">
        <v>454</v>
      </c>
      <c r="H1762" s="2" t="s">
        <v>34</v>
      </c>
      <c r="I1762" s="2" t="s">
        <v>4030</v>
      </c>
      <c r="J1762" s="2" t="s">
        <v>4031</v>
      </c>
      <c r="K1762" s="2" t="s">
        <v>454</v>
      </c>
      <c r="L1762" s="2" t="s">
        <v>34</v>
      </c>
      <c r="M1762" s="7">
        <v>628.03800000000001</v>
      </c>
      <c r="N1762" s="5">
        <v>25.5</v>
      </c>
      <c r="O1762" s="6">
        <v>24.75</v>
      </c>
      <c r="P1762" s="2" t="s">
        <v>5767</v>
      </c>
      <c r="Q1762" s="2"/>
      <c r="R1762" s="6">
        <v>31</v>
      </c>
      <c r="S1762" s="5">
        <v>58.5</v>
      </c>
      <c r="T1762" s="7">
        <v>160.642</v>
      </c>
      <c r="U1762" s="5">
        <v>9.8000000000000007</v>
      </c>
      <c r="V1762" s="6">
        <v>2.06</v>
      </c>
      <c r="W1762" s="7">
        <v>22.125</v>
      </c>
      <c r="X1762" s="7">
        <v>22.875</v>
      </c>
      <c r="Y1762" s="6">
        <v>26.25</v>
      </c>
      <c r="Z1762" s="4">
        <v>26</v>
      </c>
      <c r="AA1762" s="6">
        <v>32.82</v>
      </c>
      <c r="AB1762" s="7">
        <v>14.23</v>
      </c>
      <c r="AC1762" s="6">
        <v>10.96</v>
      </c>
    </row>
    <row r="1763" spans="1:29" ht="39" x14ac:dyDescent="0.15">
      <c r="A1763" s="3">
        <f>DATE(1995,1,27)</f>
        <v>34726</v>
      </c>
      <c r="B1763" s="2"/>
      <c r="C1763" s="2" t="s">
        <v>141</v>
      </c>
      <c r="D1763" s="2" t="s">
        <v>5768</v>
      </c>
      <c r="E1763" s="2" t="s">
        <v>5769</v>
      </c>
      <c r="F1763" s="4">
        <v>3691</v>
      </c>
      <c r="G1763" s="2" t="s">
        <v>137</v>
      </c>
      <c r="H1763" s="2" t="s">
        <v>34</v>
      </c>
      <c r="I1763" s="2" t="s">
        <v>143</v>
      </c>
      <c r="J1763" s="2" t="s">
        <v>144</v>
      </c>
      <c r="K1763" s="2" t="s">
        <v>53</v>
      </c>
      <c r="L1763" s="2" t="s">
        <v>139</v>
      </c>
      <c r="M1763" s="2"/>
      <c r="N1763" s="2"/>
      <c r="O1763" s="2"/>
      <c r="P1763" s="2" t="s">
        <v>5770</v>
      </c>
      <c r="Q1763" s="2"/>
      <c r="R1763" s="2"/>
      <c r="S1763" s="5">
        <v>6.4</v>
      </c>
      <c r="T1763" s="7">
        <v>20.038</v>
      </c>
      <c r="U1763" s="5">
        <v>46.6</v>
      </c>
      <c r="V1763" s="9">
        <v>6.8813000000000004</v>
      </c>
      <c r="W1763" s="4">
        <v>18</v>
      </c>
      <c r="X1763" s="4">
        <v>18</v>
      </c>
      <c r="Y1763" s="7">
        <v>21.125</v>
      </c>
      <c r="Z1763" s="7">
        <v>20.375</v>
      </c>
      <c r="AA1763" s="2"/>
      <c r="AB1763" s="2" t="s">
        <v>47</v>
      </c>
      <c r="AC1763" s="2"/>
    </row>
    <row r="1764" spans="1:29" ht="104" x14ac:dyDescent="0.15">
      <c r="A1764" s="3">
        <f>DATE(1995,1,27)</f>
        <v>34726</v>
      </c>
      <c r="B1764" s="3">
        <f>DATE(1995,6,15)</f>
        <v>34865</v>
      </c>
      <c r="C1764" s="2" t="s">
        <v>95</v>
      </c>
      <c r="D1764" s="2" t="s">
        <v>5771</v>
      </c>
      <c r="E1764" s="2" t="s">
        <v>5772</v>
      </c>
      <c r="F1764" s="4">
        <v>7372</v>
      </c>
      <c r="G1764" s="2" t="s">
        <v>551</v>
      </c>
      <c r="H1764" s="2" t="s">
        <v>34</v>
      </c>
      <c r="I1764" s="2" t="s">
        <v>5773</v>
      </c>
      <c r="J1764" s="2" t="s">
        <v>553</v>
      </c>
      <c r="K1764" s="2" t="s">
        <v>551</v>
      </c>
      <c r="L1764" s="2" t="s">
        <v>34</v>
      </c>
      <c r="M1764" s="7">
        <v>115.938</v>
      </c>
      <c r="N1764" s="6">
        <v>18.25</v>
      </c>
      <c r="O1764" s="6">
        <v>17.25</v>
      </c>
      <c r="P1764" s="2" t="s">
        <v>5774</v>
      </c>
      <c r="Q1764" s="6">
        <v>100</v>
      </c>
      <c r="R1764" s="6">
        <v>3.89</v>
      </c>
      <c r="S1764" s="5">
        <v>-5.2</v>
      </c>
      <c r="T1764" s="7">
        <v>-3.992</v>
      </c>
      <c r="U1764" s="5">
        <v>0.7</v>
      </c>
      <c r="V1764" s="6">
        <v>-0.84</v>
      </c>
      <c r="W1764" s="4">
        <v>4</v>
      </c>
      <c r="X1764" s="5">
        <v>3.5</v>
      </c>
      <c r="Y1764" s="7">
        <v>3.625</v>
      </c>
      <c r="Z1764" s="7">
        <v>3.375</v>
      </c>
      <c r="AA1764" s="6">
        <v>6.35</v>
      </c>
      <c r="AB1764" s="2" t="s">
        <v>86</v>
      </c>
      <c r="AC1764" s="2"/>
    </row>
    <row r="1765" spans="1:29" ht="104" x14ac:dyDescent="0.15">
      <c r="A1765" s="3">
        <f>DATE(1995,1,30)</f>
        <v>34729</v>
      </c>
      <c r="B1765" s="2"/>
      <c r="C1765" s="2" t="s">
        <v>30</v>
      </c>
      <c r="D1765" s="2" t="s">
        <v>1415</v>
      </c>
      <c r="E1765" s="2" t="s">
        <v>844</v>
      </c>
      <c r="F1765" s="4">
        <v>6552</v>
      </c>
      <c r="G1765" s="2" t="s">
        <v>109</v>
      </c>
      <c r="H1765" s="2" t="s">
        <v>34</v>
      </c>
      <c r="I1765" s="2" t="s">
        <v>5775</v>
      </c>
      <c r="J1765" s="2" t="s">
        <v>2800</v>
      </c>
      <c r="K1765" s="2" t="s">
        <v>109</v>
      </c>
      <c r="L1765" s="2" t="s">
        <v>34</v>
      </c>
      <c r="M1765" s="2"/>
      <c r="N1765" s="2"/>
      <c r="O1765" s="2"/>
      <c r="P1765" s="2" t="s">
        <v>5776</v>
      </c>
      <c r="Q1765" s="2"/>
      <c r="R1765" s="6">
        <v>1.83</v>
      </c>
      <c r="S1765" s="5">
        <v>-1.5</v>
      </c>
      <c r="T1765" s="7">
        <v>1.5760000000000001</v>
      </c>
      <c r="U1765" s="5">
        <v>3.3</v>
      </c>
      <c r="V1765" s="6">
        <v>-0.15</v>
      </c>
      <c r="W1765" s="7">
        <v>1.875</v>
      </c>
      <c r="X1765" s="7">
        <v>1.875</v>
      </c>
      <c r="Y1765" s="4">
        <v>2</v>
      </c>
      <c r="Z1765" s="7">
        <v>2.1880000000000002</v>
      </c>
      <c r="AA1765" s="6">
        <v>9.33</v>
      </c>
      <c r="AB1765" s="7">
        <v>58.969000000000001</v>
      </c>
      <c r="AC1765" s="2"/>
    </row>
    <row r="1766" spans="1:29" ht="143" x14ac:dyDescent="0.15">
      <c r="A1766" s="3">
        <f>DATE(1995,2,1)</f>
        <v>34731</v>
      </c>
      <c r="B1766" s="3">
        <f>DATE(1995,9,21)</f>
        <v>34963</v>
      </c>
      <c r="C1766" s="2" t="s">
        <v>95</v>
      </c>
      <c r="D1766" s="2" t="s">
        <v>5777</v>
      </c>
      <c r="E1766" s="2" t="s">
        <v>5232</v>
      </c>
      <c r="F1766" s="4">
        <v>3577</v>
      </c>
      <c r="G1766" s="2" t="s">
        <v>50</v>
      </c>
      <c r="H1766" s="2" t="s">
        <v>34</v>
      </c>
      <c r="I1766" s="2" t="s">
        <v>5778</v>
      </c>
      <c r="J1766" s="2" t="s">
        <v>5779</v>
      </c>
      <c r="K1766" s="2" t="s">
        <v>226</v>
      </c>
      <c r="L1766" s="2" t="s">
        <v>34</v>
      </c>
      <c r="M1766" s="7">
        <v>67.748999999999995</v>
      </c>
      <c r="N1766" s="5">
        <v>6.5</v>
      </c>
      <c r="O1766" s="7">
        <v>6.3129999999999997</v>
      </c>
      <c r="P1766" s="2" t="s">
        <v>5780</v>
      </c>
      <c r="Q1766" s="6">
        <v>100</v>
      </c>
      <c r="R1766" s="6">
        <v>12.49</v>
      </c>
      <c r="S1766" s="5">
        <v>0.4</v>
      </c>
      <c r="T1766" s="7">
        <v>1.083</v>
      </c>
      <c r="U1766" s="5">
        <v>0.9</v>
      </c>
      <c r="V1766" s="6">
        <v>0.15</v>
      </c>
      <c r="W1766" s="5">
        <v>8.5</v>
      </c>
      <c r="X1766" s="6">
        <v>8.25</v>
      </c>
      <c r="Y1766" s="7">
        <v>9.875</v>
      </c>
      <c r="Z1766" s="5">
        <v>9.5</v>
      </c>
      <c r="AA1766" s="6">
        <v>2.39</v>
      </c>
      <c r="AB1766" s="7">
        <v>44.366999999999997</v>
      </c>
      <c r="AC1766" s="6">
        <v>3.06</v>
      </c>
    </row>
    <row r="1767" spans="1:29" ht="117" x14ac:dyDescent="0.15">
      <c r="A1767" s="3">
        <f>DATE(1995,2,1)</f>
        <v>34731</v>
      </c>
      <c r="B1767" s="3">
        <f>DATE(1995,5,15)</f>
        <v>34834</v>
      </c>
      <c r="C1767" s="2" t="s">
        <v>95</v>
      </c>
      <c r="D1767" s="2" t="s">
        <v>5781</v>
      </c>
      <c r="E1767" s="2" t="s">
        <v>5782</v>
      </c>
      <c r="F1767" s="4">
        <v>4832</v>
      </c>
      <c r="G1767" s="2" t="s">
        <v>45</v>
      </c>
      <c r="H1767" s="2" t="s">
        <v>34</v>
      </c>
      <c r="I1767" s="2" t="s">
        <v>5389</v>
      </c>
      <c r="J1767" s="2" t="s">
        <v>4760</v>
      </c>
      <c r="K1767" s="2" t="s">
        <v>45</v>
      </c>
      <c r="L1767" s="2" t="s">
        <v>34</v>
      </c>
      <c r="M1767" s="7">
        <v>219.376</v>
      </c>
      <c r="N1767" s="5">
        <v>15.5</v>
      </c>
      <c r="O1767" s="6">
        <v>15.25</v>
      </c>
      <c r="P1767" s="2" t="s">
        <v>5783</v>
      </c>
      <c r="Q1767" s="6">
        <v>100</v>
      </c>
      <c r="R1767" s="6">
        <v>20.05</v>
      </c>
      <c r="S1767" s="5">
        <v>1.8</v>
      </c>
      <c r="T1767" s="7">
        <v>16.353999999999999</v>
      </c>
      <c r="U1767" s="5">
        <v>9.1</v>
      </c>
      <c r="V1767" s="6">
        <v>0.22</v>
      </c>
      <c r="W1767" s="7">
        <v>15.875</v>
      </c>
      <c r="X1767" s="4">
        <v>15</v>
      </c>
      <c r="Y1767" s="7">
        <v>17.375</v>
      </c>
      <c r="Z1767" s="7">
        <v>17.375</v>
      </c>
      <c r="AA1767" s="6">
        <v>7.9</v>
      </c>
      <c r="AB1767" s="7">
        <v>25.568999999999999</v>
      </c>
      <c r="AC1767" s="6">
        <v>1.22</v>
      </c>
    </row>
    <row r="1768" spans="1:29" ht="143" x14ac:dyDescent="0.15">
      <c r="A1768" s="3">
        <f>DATE(1995,2,1)</f>
        <v>34731</v>
      </c>
      <c r="B1768" s="2"/>
      <c r="C1768" s="2" t="s">
        <v>30</v>
      </c>
      <c r="D1768" s="2" t="s">
        <v>5528</v>
      </c>
      <c r="E1768" s="2" t="s">
        <v>5529</v>
      </c>
      <c r="F1768" s="4">
        <v>3275</v>
      </c>
      <c r="G1768" s="2" t="s">
        <v>237</v>
      </c>
      <c r="H1768" s="2" t="s">
        <v>34</v>
      </c>
      <c r="I1768" s="2" t="s">
        <v>5530</v>
      </c>
      <c r="J1768" s="2" t="s">
        <v>80</v>
      </c>
      <c r="K1768" s="2" t="s">
        <v>53</v>
      </c>
      <c r="L1768" s="2" t="s">
        <v>34</v>
      </c>
      <c r="M1768" s="2"/>
      <c r="N1768" s="2"/>
      <c r="O1768" s="2"/>
      <c r="P1768" s="2" t="s">
        <v>5784</v>
      </c>
      <c r="Q1768" s="2"/>
      <c r="R1768" s="6">
        <v>46</v>
      </c>
      <c r="S1768" s="5">
        <v>51.8</v>
      </c>
      <c r="T1768" s="2"/>
      <c r="U1768" s="5">
        <v>15.3</v>
      </c>
      <c r="V1768" s="6">
        <v>2.42</v>
      </c>
      <c r="W1768" s="4">
        <v>34</v>
      </c>
      <c r="X1768" s="6">
        <v>32.75</v>
      </c>
      <c r="Y1768" s="7">
        <v>44.813000000000002</v>
      </c>
      <c r="Z1768" s="4">
        <v>45</v>
      </c>
      <c r="AA1768" s="6">
        <v>13.1</v>
      </c>
      <c r="AB1768" s="7">
        <v>11.114000000000001</v>
      </c>
      <c r="AC1768" s="2"/>
    </row>
    <row r="1769" spans="1:29" ht="26" x14ac:dyDescent="0.15">
      <c r="A1769" s="3">
        <f>DATE(1995,2,2)</f>
        <v>34732</v>
      </c>
      <c r="B1769" s="2"/>
      <c r="C1769" s="2" t="s">
        <v>30</v>
      </c>
      <c r="D1769" s="2" t="s">
        <v>5785</v>
      </c>
      <c r="E1769" s="2" t="s">
        <v>5786</v>
      </c>
      <c r="F1769" s="4">
        <v>3144</v>
      </c>
      <c r="G1769" s="2" t="s">
        <v>326</v>
      </c>
      <c r="H1769" s="2" t="s">
        <v>34</v>
      </c>
      <c r="I1769" s="2" t="s">
        <v>138</v>
      </c>
      <c r="J1769" s="2" t="s">
        <v>139</v>
      </c>
      <c r="K1769" s="2" t="s">
        <v>53</v>
      </c>
      <c r="L1769" s="2" t="s">
        <v>139</v>
      </c>
      <c r="M1769" s="2"/>
      <c r="N1769" s="2"/>
      <c r="O1769" s="2"/>
      <c r="P1769" s="2" t="s">
        <v>5787</v>
      </c>
      <c r="Q1769" s="2"/>
      <c r="R1769" s="2"/>
      <c r="S1769" s="5">
        <v>9.1</v>
      </c>
      <c r="T1769" s="7">
        <v>5.258</v>
      </c>
      <c r="U1769" s="5">
        <v>2.6</v>
      </c>
      <c r="V1769" s="9">
        <v>0.74670000000000003</v>
      </c>
      <c r="W1769" s="6">
        <v>9.25</v>
      </c>
      <c r="X1769" s="7">
        <v>9.125</v>
      </c>
      <c r="Y1769" s="5">
        <v>10.5</v>
      </c>
      <c r="Z1769" s="6">
        <v>11.25</v>
      </c>
      <c r="AA1769" s="2"/>
      <c r="AB1769" s="2" t="s">
        <v>47</v>
      </c>
      <c r="AC1769" s="2"/>
    </row>
    <row r="1770" spans="1:29" ht="104" x14ac:dyDescent="0.15">
      <c r="A1770" s="3">
        <f>DATE(1995,2,3)</f>
        <v>34733</v>
      </c>
      <c r="B1770" s="3">
        <f>DATE(1995,3,17)</f>
        <v>34775</v>
      </c>
      <c r="C1770" s="2" t="s">
        <v>95</v>
      </c>
      <c r="D1770" s="2" t="s">
        <v>5788</v>
      </c>
      <c r="E1770" s="2" t="s">
        <v>5789</v>
      </c>
      <c r="F1770" s="4">
        <v>3799</v>
      </c>
      <c r="G1770" s="2" t="s">
        <v>105</v>
      </c>
      <c r="H1770" s="2" t="s">
        <v>34</v>
      </c>
      <c r="I1770" s="2" t="s">
        <v>5790</v>
      </c>
      <c r="J1770" s="2" t="s">
        <v>5791</v>
      </c>
      <c r="K1770" s="2" t="s">
        <v>76</v>
      </c>
      <c r="L1770" s="2" t="s">
        <v>34</v>
      </c>
      <c r="M1770" s="7">
        <v>950.31100000000004</v>
      </c>
      <c r="N1770" s="7">
        <v>56.875</v>
      </c>
      <c r="O1770" s="6">
        <v>56.75</v>
      </c>
      <c r="P1770" s="2" t="s">
        <v>5792</v>
      </c>
      <c r="Q1770" s="6">
        <v>100</v>
      </c>
      <c r="R1770" s="6">
        <v>25</v>
      </c>
      <c r="S1770" s="5">
        <v>9.1999999999999993</v>
      </c>
      <c r="T1770" s="7">
        <v>24.433</v>
      </c>
      <c r="U1770" s="5">
        <v>6.1</v>
      </c>
      <c r="V1770" s="6">
        <v>1.01</v>
      </c>
      <c r="W1770" s="4">
        <v>17</v>
      </c>
      <c r="X1770" s="7">
        <v>16.625</v>
      </c>
      <c r="Y1770" s="7">
        <v>16.625</v>
      </c>
      <c r="Z1770" s="7">
        <v>24.625</v>
      </c>
      <c r="AA1770" s="6">
        <v>9.08</v>
      </c>
      <c r="AB1770" s="7">
        <v>13.292</v>
      </c>
      <c r="AC1770" s="6">
        <v>228.6</v>
      </c>
    </row>
    <row r="1771" spans="1:29" ht="52" x14ac:dyDescent="0.15">
      <c r="A1771" s="3">
        <f>DATE(1995,2,3)</f>
        <v>34733</v>
      </c>
      <c r="B1771" s="3">
        <f>DATE(1995,11,2)</f>
        <v>35005</v>
      </c>
      <c r="C1771" s="2" t="s">
        <v>95</v>
      </c>
      <c r="D1771" s="2" t="s">
        <v>3708</v>
      </c>
      <c r="E1771" s="2" t="s">
        <v>36</v>
      </c>
      <c r="F1771" s="4">
        <v>6021</v>
      </c>
      <c r="G1771" s="2" t="s">
        <v>37</v>
      </c>
      <c r="H1771" s="2" t="s">
        <v>34</v>
      </c>
      <c r="I1771" s="2" t="s">
        <v>5793</v>
      </c>
      <c r="J1771" s="2" t="s">
        <v>2855</v>
      </c>
      <c r="K1771" s="2" t="s">
        <v>37</v>
      </c>
      <c r="L1771" s="2" t="s">
        <v>885</v>
      </c>
      <c r="M1771" s="2"/>
      <c r="N1771" s="2"/>
      <c r="O1771" s="2"/>
      <c r="P1771" s="2" t="s">
        <v>5794</v>
      </c>
      <c r="Q1771" s="6">
        <v>100</v>
      </c>
      <c r="R1771" s="6">
        <v>110</v>
      </c>
      <c r="S1771" s="5">
        <v>171.7</v>
      </c>
      <c r="T1771" s="7">
        <v>140.11699999999999</v>
      </c>
      <c r="U1771" s="5">
        <v>60.2</v>
      </c>
      <c r="V1771" s="6">
        <v>11.03</v>
      </c>
      <c r="W1771" s="4">
        <v>87</v>
      </c>
      <c r="X1771" s="5">
        <v>87.5</v>
      </c>
      <c r="Y1771" s="6">
        <v>88.75</v>
      </c>
      <c r="Z1771" s="7">
        <v>101.625</v>
      </c>
      <c r="AA1771" s="6">
        <v>15.31</v>
      </c>
      <c r="AB1771" s="7">
        <v>15.177</v>
      </c>
      <c r="AC1771" s="2"/>
    </row>
    <row r="1772" spans="1:29" ht="104" x14ac:dyDescent="0.15">
      <c r="A1772" s="3">
        <f>DATE(1995,2,7)</f>
        <v>34737</v>
      </c>
      <c r="B1772" s="3">
        <f>DATE(1995,5,18)</f>
        <v>34837</v>
      </c>
      <c r="C1772" s="2" t="s">
        <v>95</v>
      </c>
      <c r="D1772" s="2" t="s">
        <v>5795</v>
      </c>
      <c r="E1772" s="2" t="s">
        <v>5796</v>
      </c>
      <c r="F1772" s="4">
        <v>8731</v>
      </c>
      <c r="G1772" s="2" t="s">
        <v>223</v>
      </c>
      <c r="H1772" s="2" t="s">
        <v>34</v>
      </c>
      <c r="I1772" s="2" t="s">
        <v>5797</v>
      </c>
      <c r="J1772" s="2" t="s">
        <v>540</v>
      </c>
      <c r="K1772" s="2" t="s">
        <v>130</v>
      </c>
      <c r="L1772" s="2" t="s">
        <v>34</v>
      </c>
      <c r="M1772" s="6">
        <v>197.44</v>
      </c>
      <c r="N1772" s="7">
        <v>8.375</v>
      </c>
      <c r="O1772" s="7">
        <v>7.125</v>
      </c>
      <c r="P1772" s="2" t="s">
        <v>5798</v>
      </c>
      <c r="Q1772" s="6">
        <v>100</v>
      </c>
      <c r="R1772" s="6">
        <v>4.24</v>
      </c>
      <c r="S1772" s="5">
        <v>-23.4</v>
      </c>
      <c r="T1772" s="7">
        <v>-20.318000000000001</v>
      </c>
      <c r="U1772" s="5">
        <v>1.1000000000000001</v>
      </c>
      <c r="V1772" s="6">
        <v>-1.85</v>
      </c>
      <c r="W1772" s="7">
        <v>3.125</v>
      </c>
      <c r="X1772" s="7">
        <v>3.1880000000000002</v>
      </c>
      <c r="Y1772" s="7">
        <v>3.125</v>
      </c>
      <c r="Z1772" s="7">
        <v>3.2810000000000001</v>
      </c>
      <c r="AA1772" s="6">
        <v>12.79</v>
      </c>
      <c r="AB1772" s="2" t="s">
        <v>86</v>
      </c>
      <c r="AC1772" s="6">
        <v>38.4</v>
      </c>
    </row>
    <row r="1773" spans="1:29" ht="117" x14ac:dyDescent="0.15">
      <c r="A1773" s="3">
        <f>DATE(1995,2,7)</f>
        <v>34737</v>
      </c>
      <c r="B1773" s="3">
        <f>DATE(1995,6,1)</f>
        <v>34851</v>
      </c>
      <c r="C1773" s="2" t="s">
        <v>95</v>
      </c>
      <c r="D1773" s="2" t="s">
        <v>5799</v>
      </c>
      <c r="E1773" s="2" t="s">
        <v>5800</v>
      </c>
      <c r="F1773" s="4">
        <v>5999</v>
      </c>
      <c r="G1773" s="2" t="s">
        <v>73</v>
      </c>
      <c r="H1773" s="2" t="s">
        <v>34</v>
      </c>
      <c r="I1773" s="2" t="s">
        <v>5801</v>
      </c>
      <c r="J1773" s="2" t="s">
        <v>5802</v>
      </c>
      <c r="K1773" s="2" t="s">
        <v>73</v>
      </c>
      <c r="L1773" s="2" t="s">
        <v>34</v>
      </c>
      <c r="M1773" s="12">
        <v>1007.225</v>
      </c>
      <c r="N1773" s="6">
        <v>38.25</v>
      </c>
      <c r="O1773" s="7">
        <v>37.375</v>
      </c>
      <c r="P1773" s="2" t="s">
        <v>5803</v>
      </c>
      <c r="Q1773" s="6">
        <v>100</v>
      </c>
      <c r="R1773" s="6">
        <v>10.29</v>
      </c>
      <c r="S1773" s="5">
        <v>-12.2</v>
      </c>
      <c r="T1773" s="6">
        <v>-11.02</v>
      </c>
      <c r="U1773" s="5">
        <v>4.2</v>
      </c>
      <c r="V1773" s="6">
        <v>-1.73</v>
      </c>
      <c r="W1773" s="6">
        <v>8.25</v>
      </c>
      <c r="X1773" s="4">
        <v>11</v>
      </c>
      <c r="Y1773" s="7">
        <v>10.375</v>
      </c>
      <c r="Z1773" s="4">
        <v>10</v>
      </c>
      <c r="AA1773" s="6">
        <v>9.51</v>
      </c>
      <c r="AB1773" s="2" t="s">
        <v>86</v>
      </c>
      <c r="AC1773" s="6">
        <v>76.069999999999993</v>
      </c>
    </row>
    <row r="1774" spans="1:29" ht="52" x14ac:dyDescent="0.15">
      <c r="A1774" s="3">
        <f>DATE(1995,2,7)</f>
        <v>34737</v>
      </c>
      <c r="B1774" s="2"/>
      <c r="C1774" s="2" t="s">
        <v>189</v>
      </c>
      <c r="D1774" s="2" t="s">
        <v>5804</v>
      </c>
      <c r="E1774" s="2" t="s">
        <v>1435</v>
      </c>
      <c r="F1774" s="4">
        <v>1311</v>
      </c>
      <c r="G1774" s="2" t="s">
        <v>148</v>
      </c>
      <c r="H1774" s="2" t="s">
        <v>34</v>
      </c>
      <c r="I1774" s="2" t="s">
        <v>143</v>
      </c>
      <c r="J1774" s="2" t="s">
        <v>144</v>
      </c>
      <c r="K1774" s="2" t="s">
        <v>53</v>
      </c>
      <c r="L1774" s="2" t="s">
        <v>139</v>
      </c>
      <c r="M1774" s="2"/>
      <c r="N1774" s="2"/>
      <c r="O1774" s="2"/>
      <c r="P1774" s="2" t="s">
        <v>5805</v>
      </c>
      <c r="Q1774" s="2"/>
      <c r="R1774" s="2"/>
      <c r="S1774" s="5">
        <v>-9.9</v>
      </c>
      <c r="T1774" s="7">
        <v>-3.5030000000000001</v>
      </c>
      <c r="U1774" s="5">
        <v>5.9</v>
      </c>
      <c r="V1774" s="6">
        <v>-4.5</v>
      </c>
      <c r="W1774" s="6">
        <v>10.25</v>
      </c>
      <c r="X1774" s="7">
        <v>10.125</v>
      </c>
      <c r="Y1774" s="4">
        <v>11</v>
      </c>
      <c r="Z1774" s="6">
        <v>10.25</v>
      </c>
      <c r="AA1774" s="6">
        <v>25</v>
      </c>
      <c r="AB1774" s="2" t="s">
        <v>86</v>
      </c>
      <c r="AC1774" s="2"/>
    </row>
    <row r="1775" spans="1:29" ht="156" x14ac:dyDescent="0.15">
      <c r="A1775" s="3">
        <f>DATE(1995,2,10)</f>
        <v>34740</v>
      </c>
      <c r="B1775" s="3">
        <f>DATE(1995,5,15)</f>
        <v>34834</v>
      </c>
      <c r="C1775" s="2" t="s">
        <v>95</v>
      </c>
      <c r="D1775" s="2" t="s">
        <v>2099</v>
      </c>
      <c r="E1775" s="2" t="s">
        <v>2100</v>
      </c>
      <c r="F1775" s="4">
        <v>4613</v>
      </c>
      <c r="G1775" s="2" t="s">
        <v>148</v>
      </c>
      <c r="H1775" s="2" t="s">
        <v>34</v>
      </c>
      <c r="I1775" s="2" t="s">
        <v>5806</v>
      </c>
      <c r="J1775" s="2" t="s">
        <v>441</v>
      </c>
      <c r="K1775" s="2" t="s">
        <v>439</v>
      </c>
      <c r="L1775" s="2" t="s">
        <v>34</v>
      </c>
      <c r="M1775" s="12">
        <v>1257.6679999999999</v>
      </c>
      <c r="N1775" s="7">
        <v>39.375</v>
      </c>
      <c r="O1775" s="7">
        <v>39.125</v>
      </c>
      <c r="P1775" s="2" t="s">
        <v>5807</v>
      </c>
      <c r="Q1775" s="6">
        <v>100</v>
      </c>
      <c r="R1775" s="6">
        <v>2.75</v>
      </c>
      <c r="S1775" s="5">
        <v>-10.3</v>
      </c>
      <c r="T1775" s="7">
        <v>-7.8630000000000004</v>
      </c>
      <c r="U1775" s="5">
        <v>-0.6</v>
      </c>
      <c r="V1775" s="6">
        <v>-1.27</v>
      </c>
      <c r="W1775" s="4">
        <v>2</v>
      </c>
      <c r="X1775" s="4">
        <v>2</v>
      </c>
      <c r="Y1775" s="7">
        <v>2.125</v>
      </c>
      <c r="Z1775" s="7">
        <v>2.125</v>
      </c>
      <c r="AA1775" s="6">
        <v>25.69</v>
      </c>
      <c r="AB1775" s="2" t="s">
        <v>86</v>
      </c>
      <c r="AC1775" s="6">
        <v>67.38</v>
      </c>
    </row>
    <row r="1776" spans="1:29" ht="52" x14ac:dyDescent="0.15">
      <c r="A1776" s="3">
        <f>DATE(1995,2,10)</f>
        <v>34740</v>
      </c>
      <c r="B1776" s="2"/>
      <c r="C1776" s="2" t="s">
        <v>189</v>
      </c>
      <c r="D1776" s="2" t="s">
        <v>5808</v>
      </c>
      <c r="E1776" s="2" t="s">
        <v>5809</v>
      </c>
      <c r="F1776" s="4">
        <v>8071</v>
      </c>
      <c r="G1776" s="2" t="s">
        <v>454</v>
      </c>
      <c r="H1776" s="2" t="s">
        <v>34</v>
      </c>
      <c r="I1776" s="2" t="s">
        <v>143</v>
      </c>
      <c r="J1776" s="2" t="s">
        <v>144</v>
      </c>
      <c r="K1776" s="2" t="s">
        <v>53</v>
      </c>
      <c r="L1776" s="2" t="s">
        <v>139</v>
      </c>
      <c r="M1776" s="2"/>
      <c r="N1776" s="2"/>
      <c r="O1776" s="2"/>
      <c r="P1776" s="2" t="s">
        <v>5810</v>
      </c>
      <c r="Q1776" s="2"/>
      <c r="R1776" s="2"/>
      <c r="S1776" s="5">
        <v>-4.8</v>
      </c>
      <c r="T1776" s="7">
        <v>10.805999999999999</v>
      </c>
      <c r="U1776" s="5">
        <v>21</v>
      </c>
      <c r="V1776" s="9">
        <v>-0.1933</v>
      </c>
      <c r="W1776" s="4">
        <v>34</v>
      </c>
      <c r="X1776" s="6">
        <v>35.25</v>
      </c>
      <c r="Y1776" s="5">
        <v>36.5</v>
      </c>
      <c r="Z1776" s="4">
        <v>37</v>
      </c>
      <c r="AA1776" s="2"/>
      <c r="AB1776" s="2" t="s">
        <v>86</v>
      </c>
      <c r="AC1776" s="2"/>
    </row>
    <row r="1777" spans="1:29" ht="26" x14ac:dyDescent="0.15">
      <c r="A1777" s="3">
        <f>DATE(1995,2,14)</f>
        <v>34744</v>
      </c>
      <c r="B1777" s="2"/>
      <c r="C1777" s="2" t="s">
        <v>141</v>
      </c>
      <c r="D1777" s="2" t="s">
        <v>5811</v>
      </c>
      <c r="E1777" s="2" t="s">
        <v>5812</v>
      </c>
      <c r="F1777" s="4">
        <v>6141</v>
      </c>
      <c r="G1777" s="2" t="s">
        <v>370</v>
      </c>
      <c r="H1777" s="2" t="s">
        <v>34</v>
      </c>
      <c r="I1777" s="2" t="s">
        <v>143</v>
      </c>
      <c r="J1777" s="2" t="s">
        <v>144</v>
      </c>
      <c r="K1777" s="2" t="s">
        <v>53</v>
      </c>
      <c r="L1777" s="2" t="s">
        <v>139</v>
      </c>
      <c r="M1777" s="2"/>
      <c r="N1777" s="2"/>
      <c r="O1777" s="2"/>
      <c r="P1777" s="2" t="s">
        <v>5813</v>
      </c>
      <c r="Q1777" s="2"/>
      <c r="R1777" s="2"/>
      <c r="S1777" s="5">
        <v>0.1</v>
      </c>
      <c r="T1777" s="7">
        <v>0.27800000000000002</v>
      </c>
      <c r="U1777" s="5">
        <v>27.2</v>
      </c>
      <c r="V1777" s="6">
        <v>0.15</v>
      </c>
      <c r="W1777" s="7">
        <v>5.875</v>
      </c>
      <c r="X1777" s="7">
        <v>6.0309999999999997</v>
      </c>
      <c r="Y1777" s="6">
        <v>6.25</v>
      </c>
      <c r="Z1777" s="6">
        <v>6.25</v>
      </c>
      <c r="AA1777" s="6">
        <v>3.1</v>
      </c>
      <c r="AB1777" s="2" t="s">
        <v>47</v>
      </c>
      <c r="AC1777" s="2"/>
    </row>
    <row r="1778" spans="1:29" ht="39" x14ac:dyDescent="0.15">
      <c r="A1778" s="3">
        <f>DATE(1995,2,14)</f>
        <v>34744</v>
      </c>
      <c r="B1778" s="2"/>
      <c r="C1778" s="2" t="s">
        <v>141</v>
      </c>
      <c r="D1778" s="2" t="s">
        <v>5814</v>
      </c>
      <c r="E1778" s="2" t="s">
        <v>92</v>
      </c>
      <c r="F1778" s="4">
        <v>6798</v>
      </c>
      <c r="G1778" s="2" t="s">
        <v>53</v>
      </c>
      <c r="H1778" s="2" t="s">
        <v>34</v>
      </c>
      <c r="I1778" s="2" t="s">
        <v>143</v>
      </c>
      <c r="J1778" s="2" t="s">
        <v>144</v>
      </c>
      <c r="K1778" s="2" t="s">
        <v>53</v>
      </c>
      <c r="L1778" s="2" t="s">
        <v>139</v>
      </c>
      <c r="M1778" s="2"/>
      <c r="N1778" s="2"/>
      <c r="O1778" s="2"/>
      <c r="P1778" s="2" t="s">
        <v>5815</v>
      </c>
      <c r="Q1778" s="2"/>
      <c r="R1778" s="2"/>
      <c r="S1778" s="2"/>
      <c r="T1778" s="2"/>
      <c r="U1778" s="2"/>
      <c r="V1778" s="2"/>
      <c r="W1778" s="7">
        <v>8.625</v>
      </c>
      <c r="X1778" s="7">
        <v>8.625</v>
      </c>
      <c r="Y1778" s="7">
        <v>8.625</v>
      </c>
      <c r="Z1778" s="7">
        <v>9.625</v>
      </c>
      <c r="AA1778" s="2"/>
      <c r="AB1778" s="2" t="s">
        <v>47</v>
      </c>
      <c r="AC1778" s="2"/>
    </row>
    <row r="1779" spans="1:29" ht="78" x14ac:dyDescent="0.15">
      <c r="A1779" s="3">
        <f>DATE(1995,2,14)</f>
        <v>34744</v>
      </c>
      <c r="B1779" s="2"/>
      <c r="C1779" s="2" t="s">
        <v>30</v>
      </c>
      <c r="D1779" s="2" t="s">
        <v>5816</v>
      </c>
      <c r="E1779" s="2" t="s">
        <v>5817</v>
      </c>
      <c r="F1779" s="4">
        <v>2657</v>
      </c>
      <c r="G1779" s="2" t="s">
        <v>282</v>
      </c>
      <c r="H1779" s="2" t="s">
        <v>34</v>
      </c>
      <c r="I1779" s="2" t="s">
        <v>5818</v>
      </c>
      <c r="J1779" s="2" t="s">
        <v>5819</v>
      </c>
      <c r="K1779" s="2" t="s">
        <v>282</v>
      </c>
      <c r="L1779" s="2" t="s">
        <v>34</v>
      </c>
      <c r="M1779" s="6">
        <v>564.12</v>
      </c>
      <c r="N1779" s="4">
        <v>19</v>
      </c>
      <c r="O1779" s="4">
        <v>20</v>
      </c>
      <c r="P1779" s="2" t="s">
        <v>5820</v>
      </c>
      <c r="Q1779" s="2"/>
      <c r="R1779" s="6">
        <v>7</v>
      </c>
      <c r="S1779" s="5">
        <v>2.7</v>
      </c>
      <c r="T1779" s="7">
        <v>9.9290000000000003</v>
      </c>
      <c r="U1779" s="5">
        <v>6.9</v>
      </c>
      <c r="V1779" s="6">
        <v>0.53</v>
      </c>
      <c r="W1779" s="4">
        <v>7</v>
      </c>
      <c r="X1779" s="6">
        <v>6.75</v>
      </c>
      <c r="Y1779" s="6">
        <v>7.25</v>
      </c>
      <c r="Z1779" s="4">
        <v>8</v>
      </c>
      <c r="AA1779" s="6">
        <v>5.04</v>
      </c>
      <c r="AB1779" s="7">
        <v>11.349</v>
      </c>
      <c r="AC1779" s="6">
        <v>12.47</v>
      </c>
    </row>
    <row r="1780" spans="1:29" ht="117" x14ac:dyDescent="0.15">
      <c r="A1780" s="3">
        <f>DATE(1995,2,14)</f>
        <v>34744</v>
      </c>
      <c r="B1780" s="3">
        <f>DATE(1995,5,31)</f>
        <v>34850</v>
      </c>
      <c r="C1780" s="2" t="s">
        <v>95</v>
      </c>
      <c r="D1780" s="2" t="s">
        <v>5821</v>
      </c>
      <c r="E1780" s="2" t="s">
        <v>5822</v>
      </c>
      <c r="F1780" s="4">
        <v>4513</v>
      </c>
      <c r="G1780" s="2" t="s">
        <v>59</v>
      </c>
      <c r="H1780" s="2" t="s">
        <v>34</v>
      </c>
      <c r="I1780" s="2" t="s">
        <v>5823</v>
      </c>
      <c r="J1780" s="2" t="s">
        <v>5824</v>
      </c>
      <c r="K1780" s="2" t="s">
        <v>173</v>
      </c>
      <c r="L1780" s="2" t="s">
        <v>34</v>
      </c>
      <c r="M1780" s="7">
        <v>524.45299999999997</v>
      </c>
      <c r="N1780" s="5">
        <v>48.5</v>
      </c>
      <c r="O1780" s="6">
        <v>50.75</v>
      </c>
      <c r="P1780" s="2" t="s">
        <v>5825</v>
      </c>
      <c r="Q1780" s="6">
        <v>100</v>
      </c>
      <c r="R1780" s="6">
        <v>17.89</v>
      </c>
      <c r="S1780" s="5">
        <v>8.6999999999999993</v>
      </c>
      <c r="T1780" s="7">
        <v>14.715</v>
      </c>
      <c r="U1780" s="5">
        <v>5.2</v>
      </c>
      <c r="V1780" s="6">
        <v>0.75</v>
      </c>
      <c r="W1780" s="5">
        <v>15.5</v>
      </c>
      <c r="X1780" s="7">
        <v>16.125</v>
      </c>
      <c r="Y1780" s="7">
        <v>16.625</v>
      </c>
      <c r="Z1780" s="7">
        <v>17.812999999999999</v>
      </c>
      <c r="AA1780" s="6">
        <v>11.38</v>
      </c>
      <c r="AB1780" s="7">
        <v>16.652999999999999</v>
      </c>
      <c r="AC1780" s="2"/>
    </row>
    <row r="1781" spans="1:29" ht="130" x14ac:dyDescent="0.15">
      <c r="A1781" s="3">
        <f>DATE(1995,2,15)</f>
        <v>34745</v>
      </c>
      <c r="B1781" s="3">
        <f>DATE(1995,7,3)</f>
        <v>34883</v>
      </c>
      <c r="C1781" s="2" t="s">
        <v>95</v>
      </c>
      <c r="D1781" s="2" t="s">
        <v>5826</v>
      </c>
      <c r="E1781" s="2" t="s">
        <v>5827</v>
      </c>
      <c r="F1781" s="4">
        <v>3751</v>
      </c>
      <c r="G1781" s="2" t="s">
        <v>105</v>
      </c>
      <c r="H1781" s="2" t="s">
        <v>34</v>
      </c>
      <c r="I1781" s="2" t="s">
        <v>5828</v>
      </c>
      <c r="J1781" s="2" t="s">
        <v>5829</v>
      </c>
      <c r="K1781" s="2" t="s">
        <v>105</v>
      </c>
      <c r="L1781" s="2" t="s">
        <v>34</v>
      </c>
      <c r="M1781" s="6">
        <v>123.22</v>
      </c>
      <c r="N1781" s="5">
        <v>16.5</v>
      </c>
      <c r="O1781" s="5">
        <v>16.5</v>
      </c>
      <c r="P1781" s="2" t="s">
        <v>5830</v>
      </c>
      <c r="Q1781" s="6">
        <v>100</v>
      </c>
      <c r="R1781" s="6">
        <v>8.44</v>
      </c>
      <c r="S1781" s="2"/>
      <c r="T1781" s="2"/>
      <c r="U1781" s="5">
        <v>4.0999999999999996</v>
      </c>
      <c r="V1781" s="2"/>
      <c r="W1781" s="6">
        <v>6.75</v>
      </c>
      <c r="X1781" s="6">
        <v>6.25</v>
      </c>
      <c r="Y1781" s="4">
        <v>9</v>
      </c>
      <c r="Z1781" s="7">
        <v>8.625</v>
      </c>
      <c r="AA1781" s="6">
        <v>8.65</v>
      </c>
      <c r="AB1781" s="2" t="s">
        <v>47</v>
      </c>
      <c r="AC1781" s="6">
        <v>59.34</v>
      </c>
    </row>
    <row r="1782" spans="1:29" ht="130" x14ac:dyDescent="0.15">
      <c r="A1782" s="3">
        <f>DATE(1995,2,15)</f>
        <v>34745</v>
      </c>
      <c r="B1782" s="3">
        <f>DATE(1995,10,2)</f>
        <v>34974</v>
      </c>
      <c r="C1782" s="2" t="s">
        <v>95</v>
      </c>
      <c r="D1782" s="2" t="s">
        <v>5831</v>
      </c>
      <c r="E1782" s="2" t="s">
        <v>776</v>
      </c>
      <c r="F1782" s="4">
        <v>8071</v>
      </c>
      <c r="G1782" s="2" t="s">
        <v>454</v>
      </c>
      <c r="H1782" s="2" t="s">
        <v>34</v>
      </c>
      <c r="I1782" s="2" t="s">
        <v>3054</v>
      </c>
      <c r="J1782" s="2" t="s">
        <v>540</v>
      </c>
      <c r="K1782" s="2" t="s">
        <v>130</v>
      </c>
      <c r="L1782" s="2" t="s">
        <v>34</v>
      </c>
      <c r="M1782" s="12">
        <v>1180.797</v>
      </c>
      <c r="N1782" s="6">
        <v>38.75</v>
      </c>
      <c r="O1782" s="6">
        <v>38.75</v>
      </c>
      <c r="P1782" s="2" t="s">
        <v>5832</v>
      </c>
      <c r="Q1782" s="6">
        <v>34.92</v>
      </c>
      <c r="R1782" s="6">
        <v>7</v>
      </c>
      <c r="S1782" s="5">
        <v>-29.6</v>
      </c>
      <c r="T1782" s="7">
        <v>-25.542000000000002</v>
      </c>
      <c r="U1782" s="5">
        <v>0.9</v>
      </c>
      <c r="V1782" s="6">
        <v>-3.17</v>
      </c>
      <c r="W1782" s="7">
        <v>3.375</v>
      </c>
      <c r="X1782" s="7">
        <v>4.875</v>
      </c>
      <c r="Y1782" s="7">
        <v>4.6879999999999997</v>
      </c>
      <c r="Z1782" s="7">
        <v>4.625</v>
      </c>
      <c r="AA1782" s="6">
        <v>9.57</v>
      </c>
      <c r="AB1782" s="2" t="s">
        <v>86</v>
      </c>
      <c r="AC1782" s="6">
        <v>53.7</v>
      </c>
    </row>
    <row r="1783" spans="1:29" ht="39" x14ac:dyDescent="0.15">
      <c r="A1783" s="3">
        <f>DATE(1995,2,15)</f>
        <v>34745</v>
      </c>
      <c r="B1783" s="3">
        <f>DATE(1995,2,15)</f>
        <v>34745</v>
      </c>
      <c r="C1783" s="2" t="s">
        <v>95</v>
      </c>
      <c r="D1783" s="2" t="s">
        <v>5833</v>
      </c>
      <c r="E1783" s="2" t="s">
        <v>5834</v>
      </c>
      <c r="F1783" s="4">
        <v>2341</v>
      </c>
      <c r="G1783" s="2" t="s">
        <v>708</v>
      </c>
      <c r="H1783" s="2" t="s">
        <v>34</v>
      </c>
      <c r="I1783" s="2" t="s">
        <v>5835</v>
      </c>
      <c r="J1783" s="2" t="s">
        <v>5836</v>
      </c>
      <c r="K1783" s="2" t="s">
        <v>708</v>
      </c>
      <c r="L1783" s="2" t="s">
        <v>34</v>
      </c>
      <c r="M1783" s="2"/>
      <c r="N1783" s="2"/>
      <c r="O1783" s="2"/>
      <c r="P1783" s="2" t="s">
        <v>5837</v>
      </c>
      <c r="Q1783" s="6">
        <v>50.5</v>
      </c>
      <c r="R1783" s="2"/>
      <c r="S1783" s="2"/>
      <c r="T1783" s="2"/>
      <c r="U1783" s="2"/>
      <c r="V1783" s="2"/>
      <c r="W1783" s="7">
        <v>0.438</v>
      </c>
      <c r="X1783" s="4">
        <v>1</v>
      </c>
      <c r="Y1783" s="4">
        <v>1</v>
      </c>
      <c r="Z1783" s="4">
        <v>1</v>
      </c>
      <c r="AA1783" s="2"/>
      <c r="AB1783" s="2" t="s">
        <v>47</v>
      </c>
      <c r="AC1783" s="2"/>
    </row>
    <row r="1784" spans="1:29" ht="156" x14ac:dyDescent="0.15">
      <c r="A1784" s="3">
        <f>DATE(1995,2,15)</f>
        <v>34745</v>
      </c>
      <c r="B1784" s="3">
        <f>DATE(1995,3,31)</f>
        <v>34789</v>
      </c>
      <c r="C1784" s="2" t="s">
        <v>95</v>
      </c>
      <c r="D1784" s="2" t="s">
        <v>5838</v>
      </c>
      <c r="E1784" s="2" t="s">
        <v>5839</v>
      </c>
      <c r="F1784" s="4">
        <v>5735</v>
      </c>
      <c r="G1784" s="2" t="s">
        <v>1227</v>
      </c>
      <c r="H1784" s="2" t="s">
        <v>34</v>
      </c>
      <c r="I1784" s="2" t="s">
        <v>5840</v>
      </c>
      <c r="J1784" s="2" t="s">
        <v>5841</v>
      </c>
      <c r="K1784" s="2" t="s">
        <v>42</v>
      </c>
      <c r="L1784" s="2" t="s">
        <v>34</v>
      </c>
      <c r="M1784" s="5">
        <v>348.5</v>
      </c>
      <c r="N1784" s="6">
        <v>28.75</v>
      </c>
      <c r="O1784" s="4">
        <v>29</v>
      </c>
      <c r="P1784" s="2" t="s">
        <v>5842</v>
      </c>
      <c r="Q1784" s="6">
        <v>100</v>
      </c>
      <c r="R1784" s="6">
        <v>2</v>
      </c>
      <c r="S1784" s="5">
        <v>-1.6</v>
      </c>
      <c r="T1784" s="7">
        <v>2.8839999999999999</v>
      </c>
      <c r="U1784" s="5">
        <v>0.9</v>
      </c>
      <c r="V1784" s="6">
        <v>-0.39</v>
      </c>
      <c r="W1784" s="7">
        <v>1.125</v>
      </c>
      <c r="X1784" s="5">
        <v>1.5</v>
      </c>
      <c r="Y1784" s="7">
        <v>1.875</v>
      </c>
      <c r="Z1784" s="7">
        <v>1.9219999999999999</v>
      </c>
      <c r="AA1784" s="6">
        <v>4.26</v>
      </c>
      <c r="AB1784" s="2" t="s">
        <v>86</v>
      </c>
      <c r="AC1784" s="6">
        <v>39.020000000000003</v>
      </c>
    </row>
    <row r="1785" spans="1:29" ht="117" x14ac:dyDescent="0.15">
      <c r="A1785" s="3">
        <f>DATE(1995,2,17)</f>
        <v>34747</v>
      </c>
      <c r="B1785" s="3">
        <f>DATE(1995,5,22)</f>
        <v>34841</v>
      </c>
      <c r="C1785" s="2" t="s">
        <v>95</v>
      </c>
      <c r="D1785" s="2" t="s">
        <v>5843</v>
      </c>
      <c r="E1785" s="2" t="s">
        <v>5844</v>
      </c>
      <c r="F1785" s="4">
        <v>3841</v>
      </c>
      <c r="G1785" s="2" t="s">
        <v>226</v>
      </c>
      <c r="H1785" s="2" t="s">
        <v>34</v>
      </c>
      <c r="I1785" s="2" t="s">
        <v>278</v>
      </c>
      <c r="J1785" s="2" t="s">
        <v>52</v>
      </c>
      <c r="K1785" s="2" t="s">
        <v>53</v>
      </c>
      <c r="L1785" s="2" t="s">
        <v>34</v>
      </c>
      <c r="M1785" s="2"/>
      <c r="N1785" s="2"/>
      <c r="O1785" s="2"/>
      <c r="P1785" s="2" t="s">
        <v>5845</v>
      </c>
      <c r="Q1785" s="6">
        <v>81</v>
      </c>
      <c r="R1785" s="6">
        <v>11.25</v>
      </c>
      <c r="S1785" s="5">
        <v>5.0999999999999996</v>
      </c>
      <c r="T1785" s="7">
        <v>10.968</v>
      </c>
      <c r="U1785" s="5">
        <v>2.4</v>
      </c>
      <c r="V1785" s="6">
        <v>0.41</v>
      </c>
      <c r="W1785" s="6">
        <v>10.75</v>
      </c>
      <c r="X1785" s="6">
        <v>10.25</v>
      </c>
      <c r="Y1785" s="6">
        <v>9.75</v>
      </c>
      <c r="Z1785" s="6">
        <v>9.75</v>
      </c>
      <c r="AA1785" s="6">
        <v>12.34</v>
      </c>
      <c r="AB1785" s="7">
        <v>18.704000000000001</v>
      </c>
      <c r="AC1785" s="2"/>
    </row>
    <row r="1786" spans="1:29" ht="39" x14ac:dyDescent="0.15">
      <c r="A1786" s="3">
        <f>DATE(1995,2,20)</f>
        <v>34750</v>
      </c>
      <c r="B1786" s="2"/>
      <c r="C1786" s="2" t="s">
        <v>30</v>
      </c>
      <c r="D1786" s="2" t="s">
        <v>5846</v>
      </c>
      <c r="E1786" s="2" t="s">
        <v>5847</v>
      </c>
      <c r="F1786" s="4">
        <v>6021</v>
      </c>
      <c r="G1786" s="2" t="s">
        <v>37</v>
      </c>
      <c r="H1786" s="2" t="s">
        <v>34</v>
      </c>
      <c r="I1786" s="2" t="s">
        <v>2897</v>
      </c>
      <c r="J1786" s="2" t="s">
        <v>2898</v>
      </c>
      <c r="K1786" s="2" t="s">
        <v>37</v>
      </c>
      <c r="L1786" s="2" t="s">
        <v>34</v>
      </c>
      <c r="M1786" s="12">
        <v>7335.4840000000004</v>
      </c>
      <c r="N1786" s="7">
        <v>44.375</v>
      </c>
      <c r="O1786" s="6">
        <v>44.25</v>
      </c>
      <c r="P1786" s="2" t="s">
        <v>5848</v>
      </c>
      <c r="Q1786" s="2"/>
      <c r="R1786" s="6">
        <v>30.71</v>
      </c>
      <c r="S1786" s="5">
        <v>99.7</v>
      </c>
      <c r="T1786" s="6">
        <v>180.02</v>
      </c>
      <c r="U1786" s="5">
        <v>7.2</v>
      </c>
      <c r="V1786" s="9">
        <v>1.1911</v>
      </c>
      <c r="W1786" s="6">
        <v>27.25</v>
      </c>
      <c r="X1786" s="7">
        <v>26.625</v>
      </c>
      <c r="Y1786" s="7">
        <v>26.625</v>
      </c>
      <c r="Z1786" s="4">
        <v>27</v>
      </c>
      <c r="AA1786" s="6">
        <v>36.96</v>
      </c>
      <c r="AB1786" s="7">
        <v>26.312000000000001</v>
      </c>
      <c r="AC1786" s="2"/>
    </row>
    <row r="1787" spans="1:29" ht="52" x14ac:dyDescent="0.15">
      <c r="A1787" s="3">
        <f>DATE(1995,2,21)</f>
        <v>34751</v>
      </c>
      <c r="B1787" s="2"/>
      <c r="C1787" s="2" t="s">
        <v>189</v>
      </c>
      <c r="D1787" s="2" t="s">
        <v>5849</v>
      </c>
      <c r="E1787" s="2" t="s">
        <v>32</v>
      </c>
      <c r="F1787" s="4">
        <v>6035</v>
      </c>
      <c r="G1787" s="2" t="s">
        <v>33</v>
      </c>
      <c r="H1787" s="2" t="s">
        <v>34</v>
      </c>
      <c r="I1787" s="2" t="s">
        <v>143</v>
      </c>
      <c r="J1787" s="2" t="s">
        <v>144</v>
      </c>
      <c r="K1787" s="2" t="s">
        <v>53</v>
      </c>
      <c r="L1787" s="2" t="s">
        <v>139</v>
      </c>
      <c r="M1787" s="2"/>
      <c r="N1787" s="2"/>
      <c r="O1787" s="2"/>
      <c r="P1787" s="2" t="s">
        <v>5850</v>
      </c>
      <c r="Q1787" s="2"/>
      <c r="R1787" s="2"/>
      <c r="S1787" s="5">
        <v>8.4</v>
      </c>
      <c r="T1787" s="7">
        <v>12.638</v>
      </c>
      <c r="U1787" s="5">
        <v>8.8000000000000007</v>
      </c>
      <c r="V1787" s="7">
        <v>1.655</v>
      </c>
      <c r="W1787" s="6">
        <v>9.75</v>
      </c>
      <c r="X1787" s="6">
        <v>12.25</v>
      </c>
      <c r="Y1787" s="6">
        <v>13.25</v>
      </c>
      <c r="Z1787" s="6">
        <v>13.25</v>
      </c>
      <c r="AA1787" s="2"/>
      <c r="AB1787" s="2" t="s">
        <v>47</v>
      </c>
      <c r="AC1787" s="2"/>
    </row>
    <row r="1788" spans="1:29" ht="52" x14ac:dyDescent="0.15">
      <c r="A1788" s="3">
        <f>DATE(1995,2,21)</f>
        <v>34751</v>
      </c>
      <c r="B1788" s="2"/>
      <c r="C1788" s="2" t="s">
        <v>87</v>
      </c>
      <c r="D1788" s="2" t="s">
        <v>5851</v>
      </c>
      <c r="E1788" s="2" t="s">
        <v>5852</v>
      </c>
      <c r="F1788" s="4">
        <v>4812</v>
      </c>
      <c r="G1788" s="2" t="s">
        <v>63</v>
      </c>
      <c r="H1788" s="2" t="s">
        <v>34</v>
      </c>
      <c r="I1788" s="2" t="s">
        <v>5853</v>
      </c>
      <c r="J1788" s="2" t="s">
        <v>4398</v>
      </c>
      <c r="K1788" s="2" t="s">
        <v>63</v>
      </c>
      <c r="L1788" s="2" t="s">
        <v>34</v>
      </c>
      <c r="M1788" s="2"/>
      <c r="N1788" s="2"/>
      <c r="O1788" s="2"/>
      <c r="P1788" s="2" t="s">
        <v>5854</v>
      </c>
      <c r="Q1788" s="2"/>
      <c r="R1788" s="2"/>
      <c r="S1788" s="5">
        <v>-12.1</v>
      </c>
      <c r="T1788" s="2"/>
      <c r="U1788" s="2"/>
      <c r="V1788" s="6">
        <v>-1.42</v>
      </c>
      <c r="W1788" s="7">
        <v>10.125</v>
      </c>
      <c r="X1788" s="4">
        <v>12</v>
      </c>
      <c r="Y1788" s="4">
        <v>12</v>
      </c>
      <c r="Z1788" s="7">
        <v>12.125</v>
      </c>
      <c r="AA1788" s="6">
        <v>19.55</v>
      </c>
      <c r="AB1788" s="2" t="s">
        <v>47</v>
      </c>
      <c r="AC1788" s="2"/>
    </row>
    <row r="1789" spans="1:29" ht="156" x14ac:dyDescent="0.15">
      <c r="A1789" s="3">
        <f>DATE(1995,2,21)</f>
        <v>34751</v>
      </c>
      <c r="B1789" s="3">
        <f>DATE(1995,11,30)</f>
        <v>35033</v>
      </c>
      <c r="C1789" s="2" t="s">
        <v>95</v>
      </c>
      <c r="D1789" s="2" t="s">
        <v>2236</v>
      </c>
      <c r="E1789" s="2" t="s">
        <v>36</v>
      </c>
      <c r="F1789" s="4">
        <v>6021</v>
      </c>
      <c r="G1789" s="2" t="s">
        <v>37</v>
      </c>
      <c r="H1789" s="2" t="s">
        <v>34</v>
      </c>
      <c r="I1789" s="2" t="s">
        <v>4293</v>
      </c>
      <c r="J1789" s="2" t="s">
        <v>36</v>
      </c>
      <c r="K1789" s="2" t="s">
        <v>37</v>
      </c>
      <c r="L1789" s="2" t="s">
        <v>34</v>
      </c>
      <c r="M1789" s="12">
        <v>4215.9650000000001</v>
      </c>
      <c r="N1789" s="7">
        <v>30.375</v>
      </c>
      <c r="O1789" s="7">
        <v>30.875</v>
      </c>
      <c r="P1789" s="2" t="s">
        <v>5855</v>
      </c>
      <c r="Q1789" s="6">
        <v>100</v>
      </c>
      <c r="R1789" s="6">
        <v>29.93</v>
      </c>
      <c r="S1789" s="5">
        <v>237.4</v>
      </c>
      <c r="T1789" s="7">
        <v>561.50400000000002</v>
      </c>
      <c r="U1789" s="5">
        <v>16.7</v>
      </c>
      <c r="V1789" s="6">
        <v>1.87</v>
      </c>
      <c r="W1789" s="7">
        <v>21.375</v>
      </c>
      <c r="X1789" s="7">
        <v>20.625</v>
      </c>
      <c r="Y1789" s="4">
        <v>25</v>
      </c>
      <c r="Z1789" s="5">
        <v>25.5</v>
      </c>
      <c r="AA1789" s="6">
        <v>127.2</v>
      </c>
      <c r="AB1789" s="7">
        <v>25.295999999999999</v>
      </c>
      <c r="AC1789" s="2"/>
    </row>
    <row r="1790" spans="1:29" ht="143" x14ac:dyDescent="0.15">
      <c r="A1790" s="3">
        <f>DATE(1995,2,21)</f>
        <v>34751</v>
      </c>
      <c r="B1790" s="3">
        <f>DATE(1995,10,5)</f>
        <v>34977</v>
      </c>
      <c r="C1790" s="2" t="s">
        <v>95</v>
      </c>
      <c r="D1790" s="2" t="s">
        <v>4822</v>
      </c>
      <c r="E1790" s="2" t="s">
        <v>36</v>
      </c>
      <c r="F1790" s="4">
        <v>6035</v>
      </c>
      <c r="G1790" s="2" t="s">
        <v>33</v>
      </c>
      <c r="H1790" s="2" t="s">
        <v>34</v>
      </c>
      <c r="I1790" s="2" t="s">
        <v>2897</v>
      </c>
      <c r="J1790" s="2" t="s">
        <v>2898</v>
      </c>
      <c r="K1790" s="2" t="s">
        <v>37</v>
      </c>
      <c r="L1790" s="2" t="s">
        <v>34</v>
      </c>
      <c r="M1790" s="12">
        <v>7457.5590000000002</v>
      </c>
      <c r="N1790" s="6">
        <v>44.25</v>
      </c>
      <c r="O1790" s="6">
        <v>44.25</v>
      </c>
      <c r="P1790" s="2" t="s">
        <v>5856</v>
      </c>
      <c r="Q1790" s="6">
        <v>100</v>
      </c>
      <c r="R1790" s="6">
        <v>21.41</v>
      </c>
      <c r="S1790" s="5">
        <v>6.2</v>
      </c>
      <c r="T1790" s="7">
        <v>8.7289999999999992</v>
      </c>
      <c r="U1790" s="5">
        <v>10.3</v>
      </c>
      <c r="V1790" s="6">
        <v>1.01</v>
      </c>
      <c r="W1790" s="6">
        <v>15.25</v>
      </c>
      <c r="X1790" s="7">
        <v>14.875</v>
      </c>
      <c r="Y1790" s="5">
        <v>15.5</v>
      </c>
      <c r="Z1790" s="7">
        <v>18.875</v>
      </c>
      <c r="AA1790" s="6">
        <v>5.79</v>
      </c>
      <c r="AB1790" s="7">
        <v>77.603999999999999</v>
      </c>
      <c r="AC1790" s="2"/>
    </row>
    <row r="1791" spans="1:29" ht="156" x14ac:dyDescent="0.15">
      <c r="A1791" s="3">
        <f>DATE(1995,2,22)</f>
        <v>34752</v>
      </c>
      <c r="B1791" s="3">
        <f>DATE(1995,9,8)</f>
        <v>34950</v>
      </c>
      <c r="C1791" s="2" t="s">
        <v>95</v>
      </c>
      <c r="D1791" s="2" t="s">
        <v>5857</v>
      </c>
      <c r="E1791" s="2" t="s">
        <v>5858</v>
      </c>
      <c r="F1791" s="4">
        <v>4841</v>
      </c>
      <c r="G1791" s="2" t="s">
        <v>45</v>
      </c>
      <c r="H1791" s="2" t="s">
        <v>34</v>
      </c>
      <c r="I1791" s="2" t="s">
        <v>5859</v>
      </c>
      <c r="J1791" s="2" t="s">
        <v>5860</v>
      </c>
      <c r="K1791" s="2" t="s">
        <v>45</v>
      </c>
      <c r="L1791" s="2" t="s">
        <v>34</v>
      </c>
      <c r="M1791" s="7">
        <v>632.03200000000004</v>
      </c>
      <c r="N1791" s="4">
        <v>21</v>
      </c>
      <c r="O1791" s="7">
        <v>20.625</v>
      </c>
      <c r="P1791" s="2" t="s">
        <v>5861</v>
      </c>
      <c r="Q1791" s="6">
        <v>78.040000000000006</v>
      </c>
      <c r="R1791" s="6">
        <v>16.149999999999999</v>
      </c>
      <c r="S1791" s="5">
        <v>-6.2</v>
      </c>
      <c r="T1791" s="7">
        <v>-4.6219999999999999</v>
      </c>
      <c r="U1791" s="5">
        <v>5.2</v>
      </c>
      <c r="V1791" s="6">
        <v>-0.98</v>
      </c>
      <c r="W1791" s="5">
        <v>21.5</v>
      </c>
      <c r="X1791" s="6">
        <v>22.75</v>
      </c>
      <c r="Y1791" s="7">
        <v>22.125</v>
      </c>
      <c r="Z1791" s="5">
        <v>21.5</v>
      </c>
      <c r="AA1791" s="6">
        <v>4.5</v>
      </c>
      <c r="AB1791" s="2" t="s">
        <v>86</v>
      </c>
      <c r="AC1791" s="6">
        <v>7.6</v>
      </c>
    </row>
    <row r="1792" spans="1:29" ht="130" x14ac:dyDescent="0.15">
      <c r="A1792" s="3">
        <f t="shared" ref="A1792:A1798" si="7">DATE(1995,2,27)</f>
        <v>34757</v>
      </c>
      <c r="B1792" s="3">
        <f>DATE(1995,6,29)</f>
        <v>34879</v>
      </c>
      <c r="C1792" s="2" t="s">
        <v>95</v>
      </c>
      <c r="D1792" s="2" t="s">
        <v>5862</v>
      </c>
      <c r="E1792" s="2" t="s">
        <v>92</v>
      </c>
      <c r="F1792" s="4">
        <v>6798</v>
      </c>
      <c r="G1792" s="2" t="s">
        <v>53</v>
      </c>
      <c r="H1792" s="2" t="s">
        <v>34</v>
      </c>
      <c r="I1792" s="2" t="s">
        <v>5863</v>
      </c>
      <c r="J1792" s="2" t="s">
        <v>92</v>
      </c>
      <c r="K1792" s="2" t="s">
        <v>53</v>
      </c>
      <c r="L1792" s="2" t="s">
        <v>34</v>
      </c>
      <c r="M1792" s="7">
        <v>222.15100000000001</v>
      </c>
      <c r="N1792" s="7">
        <v>26.125</v>
      </c>
      <c r="O1792" s="6">
        <v>25.75</v>
      </c>
      <c r="P1792" s="2" t="s">
        <v>5864</v>
      </c>
      <c r="Q1792" s="6">
        <v>100</v>
      </c>
      <c r="R1792" s="6">
        <v>22.77</v>
      </c>
      <c r="S1792" s="5">
        <v>0.8</v>
      </c>
      <c r="T1792" s="2"/>
      <c r="U1792" s="5">
        <v>23.2</v>
      </c>
      <c r="V1792" s="2"/>
      <c r="W1792" s="6">
        <v>15.75</v>
      </c>
      <c r="X1792" s="5">
        <v>16.5</v>
      </c>
      <c r="Y1792" s="7">
        <v>20.375</v>
      </c>
      <c r="Z1792" s="7">
        <v>20.875</v>
      </c>
      <c r="AA1792" s="6">
        <v>2.5</v>
      </c>
      <c r="AB1792" s="2" t="s">
        <v>47</v>
      </c>
      <c r="AC1792" s="6">
        <v>9</v>
      </c>
    </row>
    <row r="1793" spans="1:29" ht="143" x14ac:dyDescent="0.15">
      <c r="A1793" s="3">
        <f t="shared" si="7"/>
        <v>34757</v>
      </c>
      <c r="B1793" s="2"/>
      <c r="C1793" s="2" t="s">
        <v>30</v>
      </c>
      <c r="D1793" s="2" t="s">
        <v>2665</v>
      </c>
      <c r="E1793" s="2" t="s">
        <v>2666</v>
      </c>
      <c r="F1793" s="4">
        <v>2046</v>
      </c>
      <c r="G1793" s="2" t="s">
        <v>577</v>
      </c>
      <c r="H1793" s="2" t="s">
        <v>34</v>
      </c>
      <c r="I1793" s="2" t="s">
        <v>3960</v>
      </c>
      <c r="J1793" s="2" t="s">
        <v>302</v>
      </c>
      <c r="K1793" s="2" t="s">
        <v>53</v>
      </c>
      <c r="L1793" s="2" t="s">
        <v>3961</v>
      </c>
      <c r="M1793" s="2"/>
      <c r="N1793" s="2"/>
      <c r="O1793" s="2"/>
      <c r="P1793" s="2" t="s">
        <v>5865</v>
      </c>
      <c r="Q1793" s="2"/>
      <c r="R1793" s="6">
        <v>44</v>
      </c>
      <c r="S1793" s="5">
        <v>26.9</v>
      </c>
      <c r="T1793" s="7">
        <v>98.165000000000006</v>
      </c>
      <c r="U1793" s="5">
        <v>23.1</v>
      </c>
      <c r="V1793" s="6">
        <v>2.63</v>
      </c>
      <c r="W1793" s="5">
        <v>25.5</v>
      </c>
      <c r="X1793" s="6">
        <v>26.75</v>
      </c>
      <c r="Y1793" s="4">
        <v>27</v>
      </c>
      <c r="Z1793" s="4">
        <v>27</v>
      </c>
      <c r="AA1793" s="6">
        <v>10.119999999999999</v>
      </c>
      <c r="AB1793" s="7">
        <v>9.1289999999999996</v>
      </c>
      <c r="AC1793" s="2"/>
    </row>
    <row r="1794" spans="1:29" ht="91" x14ac:dyDescent="0.15">
      <c r="A1794" s="3">
        <f t="shared" si="7"/>
        <v>34757</v>
      </c>
      <c r="B1794" s="2"/>
      <c r="C1794" s="2" t="s">
        <v>30</v>
      </c>
      <c r="D1794" s="2" t="s">
        <v>5866</v>
      </c>
      <c r="E1794" s="2" t="s">
        <v>4080</v>
      </c>
      <c r="F1794" s="4">
        <v>6311</v>
      </c>
      <c r="G1794" s="2" t="s">
        <v>125</v>
      </c>
      <c r="H1794" s="2" t="s">
        <v>34</v>
      </c>
      <c r="I1794" s="2" t="s">
        <v>4081</v>
      </c>
      <c r="J1794" s="2" t="s">
        <v>4015</v>
      </c>
      <c r="K1794" s="2" t="s">
        <v>125</v>
      </c>
      <c r="L1794" s="2" t="s">
        <v>34</v>
      </c>
      <c r="M1794" s="12">
        <v>1162.5119999999999</v>
      </c>
      <c r="N1794" s="6">
        <v>35.25</v>
      </c>
      <c r="O1794" s="7">
        <v>35.625</v>
      </c>
      <c r="P1794" s="2" t="s">
        <v>5867</v>
      </c>
      <c r="Q1794" s="2"/>
      <c r="R1794" s="6">
        <v>22</v>
      </c>
      <c r="S1794" s="5">
        <v>133.6</v>
      </c>
      <c r="T1794" s="2"/>
      <c r="U1794" s="5">
        <v>11.3</v>
      </c>
      <c r="V1794" s="6">
        <v>2.4900000000000002</v>
      </c>
      <c r="W1794" s="7">
        <v>18.125</v>
      </c>
      <c r="X1794" s="5">
        <v>18.5</v>
      </c>
      <c r="Y1794" s="4">
        <v>21</v>
      </c>
      <c r="Z1794" s="7">
        <v>20.875</v>
      </c>
      <c r="AA1794" s="6">
        <v>52.84</v>
      </c>
      <c r="AB1794" s="7">
        <v>4.673</v>
      </c>
      <c r="AC1794" s="5">
        <v>295.39999999999998</v>
      </c>
    </row>
    <row r="1795" spans="1:29" ht="78" x14ac:dyDescent="0.15">
      <c r="A1795" s="3">
        <f t="shared" si="7"/>
        <v>34757</v>
      </c>
      <c r="B1795" s="2"/>
      <c r="C1795" s="2" t="s">
        <v>87</v>
      </c>
      <c r="D1795" s="2" t="s">
        <v>43</v>
      </c>
      <c r="E1795" s="2" t="s">
        <v>44</v>
      </c>
      <c r="F1795" s="4">
        <v>4833</v>
      </c>
      <c r="G1795" s="2" t="s">
        <v>45</v>
      </c>
      <c r="H1795" s="2" t="s">
        <v>34</v>
      </c>
      <c r="I1795" s="2" t="s">
        <v>2599</v>
      </c>
      <c r="J1795" s="2" t="s">
        <v>2600</v>
      </c>
      <c r="K1795" s="2" t="s">
        <v>45</v>
      </c>
      <c r="L1795" s="2" t="s">
        <v>34</v>
      </c>
      <c r="M1795" s="2"/>
      <c r="N1795" s="4">
        <v>18</v>
      </c>
      <c r="O1795" s="6">
        <v>18.75</v>
      </c>
      <c r="P1795" s="2" t="s">
        <v>5868</v>
      </c>
      <c r="Q1795" s="2"/>
      <c r="R1795" s="2"/>
      <c r="S1795" s="5">
        <v>281.60000000000002</v>
      </c>
      <c r="T1795" s="5">
        <v>489.1</v>
      </c>
      <c r="U1795" s="5">
        <v>4.5</v>
      </c>
      <c r="V1795" s="6">
        <v>3.74</v>
      </c>
      <c r="W1795" s="5">
        <v>60.5</v>
      </c>
      <c r="X1795" s="6">
        <v>62.75</v>
      </c>
      <c r="Y1795" s="4">
        <v>62</v>
      </c>
      <c r="Z1795" s="7">
        <v>64.625</v>
      </c>
      <c r="AA1795" s="2"/>
      <c r="AB1795" s="2" t="s">
        <v>47</v>
      </c>
      <c r="AC1795" s="5">
        <v>52.9</v>
      </c>
    </row>
    <row r="1796" spans="1:29" ht="117" x14ac:dyDescent="0.15">
      <c r="A1796" s="3">
        <f t="shared" si="7"/>
        <v>34757</v>
      </c>
      <c r="B1796" s="3">
        <f>DATE(1995,8,31)</f>
        <v>34942</v>
      </c>
      <c r="C1796" s="2" t="s">
        <v>95</v>
      </c>
      <c r="D1796" s="2" t="s">
        <v>5869</v>
      </c>
      <c r="E1796" s="2" t="s">
        <v>124</v>
      </c>
      <c r="F1796" s="4">
        <v>6311</v>
      </c>
      <c r="G1796" s="2" t="s">
        <v>125</v>
      </c>
      <c r="H1796" s="2" t="s">
        <v>34</v>
      </c>
      <c r="I1796" s="2" t="s">
        <v>4081</v>
      </c>
      <c r="J1796" s="2" t="s">
        <v>4015</v>
      </c>
      <c r="K1796" s="2" t="s">
        <v>125</v>
      </c>
      <c r="L1796" s="2" t="s">
        <v>34</v>
      </c>
      <c r="M1796" s="12">
        <v>1162.5119999999999</v>
      </c>
      <c r="N1796" s="6">
        <v>35.25</v>
      </c>
      <c r="O1796" s="7">
        <v>35.625</v>
      </c>
      <c r="P1796" s="2" t="s">
        <v>5870</v>
      </c>
      <c r="Q1796" s="6">
        <v>51.93</v>
      </c>
      <c r="R1796" s="6">
        <v>23.25</v>
      </c>
      <c r="S1796" s="5">
        <v>63</v>
      </c>
      <c r="T1796" s="5">
        <v>353.9</v>
      </c>
      <c r="U1796" s="5">
        <v>14.9</v>
      </c>
      <c r="V1796" s="6">
        <v>2.2799999999999998</v>
      </c>
      <c r="W1796" s="7">
        <v>17.875</v>
      </c>
      <c r="X1796" s="7">
        <v>19.375</v>
      </c>
      <c r="Y1796" s="7">
        <v>20.625</v>
      </c>
      <c r="Z1796" s="6">
        <v>21.25</v>
      </c>
      <c r="AA1796" s="6">
        <v>23.33</v>
      </c>
      <c r="AB1796" s="7">
        <v>2.0550000000000002</v>
      </c>
      <c r="AC1796" s="5">
        <v>295.39999999999998</v>
      </c>
    </row>
    <row r="1797" spans="1:29" ht="104" x14ac:dyDescent="0.15">
      <c r="A1797" s="3">
        <f t="shared" si="7"/>
        <v>34757</v>
      </c>
      <c r="B1797" s="2"/>
      <c r="C1797" s="2" t="s">
        <v>30</v>
      </c>
      <c r="D1797" s="2" t="s">
        <v>1524</v>
      </c>
      <c r="E1797" s="2" t="s">
        <v>1525</v>
      </c>
      <c r="F1797" s="4">
        <v>1381</v>
      </c>
      <c r="G1797" s="2" t="s">
        <v>148</v>
      </c>
      <c r="H1797" s="2" t="s">
        <v>34</v>
      </c>
      <c r="I1797" s="2" t="s">
        <v>5871</v>
      </c>
      <c r="J1797" s="2" t="s">
        <v>5872</v>
      </c>
      <c r="K1797" s="2" t="s">
        <v>341</v>
      </c>
      <c r="L1797" s="2" t="s">
        <v>34</v>
      </c>
      <c r="M1797" s="7">
        <v>562.62199999999996</v>
      </c>
      <c r="N1797" s="4">
        <v>21</v>
      </c>
      <c r="O1797" s="7">
        <v>20.875</v>
      </c>
      <c r="P1797" s="2" t="s">
        <v>5873</v>
      </c>
      <c r="Q1797" s="2"/>
      <c r="R1797" s="6">
        <v>8.4</v>
      </c>
      <c r="S1797" s="5">
        <v>-17.100000000000001</v>
      </c>
      <c r="T1797" s="7">
        <v>28.084</v>
      </c>
      <c r="U1797" s="5">
        <v>4.0999999999999996</v>
      </c>
      <c r="V1797" s="6">
        <v>-0.39</v>
      </c>
      <c r="W1797" s="6">
        <v>6.25</v>
      </c>
      <c r="X1797" s="7">
        <v>6.625</v>
      </c>
      <c r="Y1797" s="7">
        <v>6.375</v>
      </c>
      <c r="Z1797" s="5">
        <v>7.5</v>
      </c>
      <c r="AA1797" s="6">
        <v>59.71</v>
      </c>
      <c r="AB1797" s="2" t="s">
        <v>86</v>
      </c>
      <c r="AC1797" s="6">
        <v>46.83</v>
      </c>
    </row>
    <row r="1798" spans="1:29" ht="130" x14ac:dyDescent="0.15">
      <c r="A1798" s="3">
        <f t="shared" si="7"/>
        <v>34757</v>
      </c>
      <c r="B1798" s="3">
        <f>DATE(1995,5,31)</f>
        <v>34850</v>
      </c>
      <c r="C1798" s="2" t="s">
        <v>95</v>
      </c>
      <c r="D1798" s="2" t="s">
        <v>5874</v>
      </c>
      <c r="E1798" s="2" t="s">
        <v>5875</v>
      </c>
      <c r="F1798" s="4">
        <v>3519</v>
      </c>
      <c r="G1798" s="2" t="s">
        <v>300</v>
      </c>
      <c r="H1798" s="2" t="s">
        <v>34</v>
      </c>
      <c r="I1798" s="2" t="s">
        <v>5098</v>
      </c>
      <c r="J1798" s="2" t="s">
        <v>5099</v>
      </c>
      <c r="K1798" s="2" t="s">
        <v>137</v>
      </c>
      <c r="L1798" s="2" t="s">
        <v>34</v>
      </c>
      <c r="M1798" s="7">
        <v>77.635000000000005</v>
      </c>
      <c r="N1798" s="6">
        <v>12.75</v>
      </c>
      <c r="O1798" s="7">
        <v>12.375</v>
      </c>
      <c r="P1798" s="2" t="s">
        <v>5876</v>
      </c>
      <c r="Q1798" s="6">
        <v>100</v>
      </c>
      <c r="R1798" s="6">
        <v>12.61</v>
      </c>
      <c r="S1798" s="5">
        <v>8.9</v>
      </c>
      <c r="T1798" s="7">
        <v>22.651</v>
      </c>
      <c r="U1798" s="5">
        <v>3.4</v>
      </c>
      <c r="V1798" s="6">
        <v>1.21</v>
      </c>
      <c r="W1798" s="4">
        <v>9</v>
      </c>
      <c r="X1798" s="6">
        <v>9.75</v>
      </c>
      <c r="Y1798" s="6">
        <v>10.75</v>
      </c>
      <c r="Z1798" s="7">
        <v>10.625</v>
      </c>
      <c r="AA1798" s="6">
        <v>7.22</v>
      </c>
      <c r="AB1798" s="7">
        <v>6.6340000000000003</v>
      </c>
      <c r="AC1798" s="6">
        <v>0.62</v>
      </c>
    </row>
    <row r="1799" spans="1:29" ht="130" x14ac:dyDescent="0.15">
      <c r="A1799" s="3">
        <f>DATE(1995,2,28)</f>
        <v>34758</v>
      </c>
      <c r="B1799" s="3">
        <f>DATE(1995,7,18)</f>
        <v>34898</v>
      </c>
      <c r="C1799" s="2" t="s">
        <v>95</v>
      </c>
      <c r="D1799" s="2" t="s">
        <v>2286</v>
      </c>
      <c r="E1799" s="2" t="s">
        <v>129</v>
      </c>
      <c r="F1799" s="4">
        <v>2834</v>
      </c>
      <c r="G1799" s="2" t="s">
        <v>130</v>
      </c>
      <c r="H1799" s="2" t="s">
        <v>34</v>
      </c>
      <c r="I1799" s="2" t="s">
        <v>5877</v>
      </c>
      <c r="J1799" s="2" t="s">
        <v>4282</v>
      </c>
      <c r="K1799" s="2" t="s">
        <v>98</v>
      </c>
      <c r="L1799" s="2" t="s">
        <v>1049</v>
      </c>
      <c r="M1799" s="2"/>
      <c r="N1799" s="2"/>
      <c r="O1799" s="2"/>
      <c r="P1799" s="2" t="s">
        <v>5878</v>
      </c>
      <c r="Q1799" s="6">
        <v>100</v>
      </c>
      <c r="R1799" s="6">
        <v>25.75</v>
      </c>
      <c r="S1799" s="5">
        <v>438</v>
      </c>
      <c r="T1799" s="5">
        <v>699</v>
      </c>
      <c r="U1799" s="5">
        <v>7.6</v>
      </c>
      <c r="V1799" s="6">
        <v>1.57</v>
      </c>
      <c r="W1799" s="5">
        <v>22.5</v>
      </c>
      <c r="X1799" s="6">
        <v>23.75</v>
      </c>
      <c r="Y1799" s="4">
        <v>26</v>
      </c>
      <c r="Z1799" s="7">
        <v>25.375</v>
      </c>
      <c r="AA1799" s="6">
        <v>276.54000000000002</v>
      </c>
      <c r="AB1799" s="7">
        <v>12.359</v>
      </c>
      <c r="AC1799" s="10">
        <v>1273.18</v>
      </c>
    </row>
    <row r="1800" spans="1:29" ht="104" x14ac:dyDescent="0.15">
      <c r="A1800" s="3">
        <f>DATE(1995,2,28)</f>
        <v>34758</v>
      </c>
      <c r="B1800" s="3">
        <f>DATE(1995,6,8)</f>
        <v>34858</v>
      </c>
      <c r="C1800" s="2" t="s">
        <v>95</v>
      </c>
      <c r="D1800" s="2" t="s">
        <v>5879</v>
      </c>
      <c r="E1800" s="2" t="s">
        <v>177</v>
      </c>
      <c r="F1800" s="4">
        <v>1311</v>
      </c>
      <c r="G1800" s="2" t="s">
        <v>148</v>
      </c>
      <c r="H1800" s="2" t="s">
        <v>34</v>
      </c>
      <c r="I1800" s="2" t="s">
        <v>5880</v>
      </c>
      <c r="J1800" s="2" t="s">
        <v>612</v>
      </c>
      <c r="K1800" s="2" t="s">
        <v>148</v>
      </c>
      <c r="L1800" s="2" t="s">
        <v>5881</v>
      </c>
      <c r="M1800" s="2"/>
      <c r="N1800" s="2"/>
      <c r="O1800" s="2"/>
      <c r="P1800" s="2" t="s">
        <v>5882</v>
      </c>
      <c r="Q1800" s="6">
        <v>100</v>
      </c>
      <c r="R1800" s="6">
        <v>5.5</v>
      </c>
      <c r="S1800" s="5">
        <v>-22.7</v>
      </c>
      <c r="T1800" s="5">
        <v>251.6</v>
      </c>
      <c r="U1800" s="5">
        <v>0.6</v>
      </c>
      <c r="V1800" s="6">
        <v>-0.49</v>
      </c>
      <c r="W1800" s="7">
        <v>3.875</v>
      </c>
      <c r="X1800" s="6">
        <v>3.75</v>
      </c>
      <c r="Y1800" s="5">
        <v>5.5</v>
      </c>
      <c r="Z1800" s="5">
        <v>5.5</v>
      </c>
      <c r="AA1800" s="6">
        <v>135.5</v>
      </c>
      <c r="AB1800" s="7">
        <v>15.808</v>
      </c>
      <c r="AC1800" s="5">
        <v>81</v>
      </c>
    </row>
    <row r="1801" spans="1:29" ht="143" x14ac:dyDescent="0.15">
      <c r="A1801" s="3">
        <f>DATE(1995,2,28)</f>
        <v>34758</v>
      </c>
      <c r="B1801" s="2"/>
      <c r="C1801" s="2" t="s">
        <v>30</v>
      </c>
      <c r="D1801" s="2" t="s">
        <v>5528</v>
      </c>
      <c r="E1801" s="2" t="s">
        <v>5529</v>
      </c>
      <c r="F1801" s="4">
        <v>3275</v>
      </c>
      <c r="G1801" s="2" t="s">
        <v>237</v>
      </c>
      <c r="H1801" s="2" t="s">
        <v>34</v>
      </c>
      <c r="I1801" s="2" t="s">
        <v>5883</v>
      </c>
      <c r="J1801" s="2" t="s">
        <v>5884</v>
      </c>
      <c r="K1801" s="2" t="s">
        <v>237</v>
      </c>
      <c r="L1801" s="2" t="s">
        <v>303</v>
      </c>
      <c r="M1801" s="2"/>
      <c r="N1801" s="2"/>
      <c r="O1801" s="2"/>
      <c r="P1801" s="2" t="s">
        <v>5885</v>
      </c>
      <c r="Q1801" s="2"/>
      <c r="R1801" s="6">
        <v>48.5</v>
      </c>
      <c r="S1801" s="5">
        <v>51.8</v>
      </c>
      <c r="T1801" s="2"/>
      <c r="U1801" s="5">
        <v>15.3</v>
      </c>
      <c r="V1801" s="6">
        <v>2.42</v>
      </c>
      <c r="W1801" s="4">
        <v>34</v>
      </c>
      <c r="X1801" s="6">
        <v>32.75</v>
      </c>
      <c r="Y1801" s="7">
        <v>44.813000000000002</v>
      </c>
      <c r="Z1801" s="4">
        <v>45</v>
      </c>
      <c r="AA1801" s="6">
        <v>20.81</v>
      </c>
      <c r="AB1801" s="7">
        <v>11.859</v>
      </c>
      <c r="AC1801" s="2"/>
    </row>
    <row r="1802" spans="1:29" ht="91" x14ac:dyDescent="0.15">
      <c r="A1802" s="3">
        <f>DATE(1995,2,28)</f>
        <v>34758</v>
      </c>
      <c r="B1802" s="3">
        <f>DATE(1995,5,8)</f>
        <v>34827</v>
      </c>
      <c r="C1802" s="2" t="s">
        <v>95</v>
      </c>
      <c r="D1802" s="2" t="s">
        <v>5886</v>
      </c>
      <c r="E1802" s="2" t="s">
        <v>5887</v>
      </c>
      <c r="F1802" s="4">
        <v>7361</v>
      </c>
      <c r="G1802" s="2" t="s">
        <v>223</v>
      </c>
      <c r="H1802" s="2" t="s">
        <v>34</v>
      </c>
      <c r="I1802" s="2" t="s">
        <v>5888</v>
      </c>
      <c r="J1802" s="2" t="s">
        <v>5889</v>
      </c>
      <c r="K1802" s="2" t="s">
        <v>137</v>
      </c>
      <c r="L1802" s="2" t="s">
        <v>34</v>
      </c>
      <c r="M1802" s="5">
        <v>13.5</v>
      </c>
      <c r="N1802" s="7">
        <v>2.625</v>
      </c>
      <c r="O1802" s="7">
        <v>2.625</v>
      </c>
      <c r="P1802" s="2" t="s">
        <v>5890</v>
      </c>
      <c r="Q1802" s="6">
        <v>100</v>
      </c>
      <c r="R1802" s="2"/>
      <c r="S1802" s="2"/>
      <c r="T1802" s="2"/>
      <c r="U1802" s="2"/>
      <c r="V1802" s="2"/>
      <c r="W1802" s="7">
        <v>2.4380000000000002</v>
      </c>
      <c r="X1802" s="7">
        <v>2.375</v>
      </c>
      <c r="Y1802" s="5">
        <v>2.5</v>
      </c>
      <c r="Z1802" s="7">
        <v>2.625</v>
      </c>
      <c r="AA1802" s="2"/>
      <c r="AB1802" s="2" t="s">
        <v>47</v>
      </c>
      <c r="AC1802" s="2"/>
    </row>
    <row r="1803" spans="1:29" ht="169" x14ac:dyDescent="0.15">
      <c r="A1803" s="3">
        <f>DATE(1995,3,2)</f>
        <v>34760</v>
      </c>
      <c r="B1803" s="3">
        <f>DATE(1995,6,28)</f>
        <v>34878</v>
      </c>
      <c r="C1803" s="2" t="s">
        <v>95</v>
      </c>
      <c r="D1803" s="2" t="s">
        <v>3652</v>
      </c>
      <c r="E1803" s="2" t="s">
        <v>3653</v>
      </c>
      <c r="F1803" s="4">
        <v>8099</v>
      </c>
      <c r="G1803" s="2" t="s">
        <v>454</v>
      </c>
      <c r="H1803" s="2" t="s">
        <v>34</v>
      </c>
      <c r="I1803" s="2" t="s">
        <v>5891</v>
      </c>
      <c r="J1803" s="2" t="s">
        <v>1332</v>
      </c>
      <c r="K1803" s="2" t="s">
        <v>223</v>
      </c>
      <c r="L1803" s="2" t="s">
        <v>34</v>
      </c>
      <c r="M1803" s="7">
        <v>543.03599999999994</v>
      </c>
      <c r="N1803" s="6">
        <v>52.25</v>
      </c>
      <c r="O1803" s="6">
        <v>52.75</v>
      </c>
      <c r="P1803" s="2" t="s">
        <v>5892</v>
      </c>
      <c r="Q1803" s="6">
        <v>100</v>
      </c>
      <c r="R1803" s="6">
        <v>60.9</v>
      </c>
      <c r="S1803" s="2"/>
      <c r="T1803" s="2"/>
      <c r="U1803" s="2"/>
      <c r="V1803" s="2"/>
      <c r="W1803" s="7">
        <v>27.875</v>
      </c>
      <c r="X1803" s="7">
        <v>27.875</v>
      </c>
      <c r="Y1803" s="6">
        <v>35.25</v>
      </c>
      <c r="Z1803" s="4">
        <v>35</v>
      </c>
      <c r="AA1803" s="6">
        <v>12.32</v>
      </c>
      <c r="AB1803" s="2" t="s">
        <v>47</v>
      </c>
      <c r="AC1803" s="2"/>
    </row>
    <row r="1804" spans="1:29" ht="78" x14ac:dyDescent="0.15">
      <c r="A1804" s="3">
        <f>DATE(1995,3,2)</f>
        <v>34760</v>
      </c>
      <c r="B1804" s="3">
        <f>DATE(1995,8,30)</f>
        <v>34941</v>
      </c>
      <c r="C1804" s="2" t="s">
        <v>95</v>
      </c>
      <c r="D1804" s="2" t="s">
        <v>5893</v>
      </c>
      <c r="E1804" s="2" t="s">
        <v>5894</v>
      </c>
      <c r="F1804" s="4">
        <v>6351</v>
      </c>
      <c r="G1804" s="2" t="s">
        <v>125</v>
      </c>
      <c r="H1804" s="2" t="s">
        <v>34</v>
      </c>
      <c r="I1804" s="2" t="s">
        <v>5895</v>
      </c>
      <c r="J1804" s="2" t="s">
        <v>5896</v>
      </c>
      <c r="K1804" s="2" t="s">
        <v>223</v>
      </c>
      <c r="L1804" s="2" t="s">
        <v>34</v>
      </c>
      <c r="M1804" s="2"/>
      <c r="N1804" s="2"/>
      <c r="O1804" s="2"/>
      <c r="P1804" s="2" t="s">
        <v>5897</v>
      </c>
      <c r="Q1804" s="6">
        <v>100</v>
      </c>
      <c r="R1804" s="6">
        <v>5.41</v>
      </c>
      <c r="S1804" s="5">
        <v>-3.3</v>
      </c>
      <c r="T1804" s="7">
        <v>-1.4890000000000001</v>
      </c>
      <c r="U1804" s="5">
        <v>3.2</v>
      </c>
      <c r="V1804" s="2"/>
      <c r="W1804" s="6">
        <v>3.75</v>
      </c>
      <c r="X1804" s="6">
        <v>3.75</v>
      </c>
      <c r="Y1804" s="6">
        <v>3.75</v>
      </c>
      <c r="Z1804" s="6">
        <v>3.75</v>
      </c>
      <c r="AA1804" s="6">
        <v>3.39</v>
      </c>
      <c r="AB1804" s="2" t="s">
        <v>86</v>
      </c>
      <c r="AC1804" s="2"/>
    </row>
    <row r="1805" spans="1:29" ht="130" x14ac:dyDescent="0.15">
      <c r="A1805" s="3">
        <f>DATE(1995,3,2)</f>
        <v>34760</v>
      </c>
      <c r="B1805" s="3">
        <f>DATE(1995,8,31)</f>
        <v>34942</v>
      </c>
      <c r="C1805" s="2" t="s">
        <v>95</v>
      </c>
      <c r="D1805" s="2" t="s">
        <v>5898</v>
      </c>
      <c r="E1805" s="2" t="s">
        <v>36</v>
      </c>
      <c r="F1805" s="4">
        <v>6021</v>
      </c>
      <c r="G1805" s="2" t="s">
        <v>37</v>
      </c>
      <c r="H1805" s="2" t="s">
        <v>34</v>
      </c>
      <c r="I1805" s="2" t="s">
        <v>5899</v>
      </c>
      <c r="J1805" s="2" t="s">
        <v>5900</v>
      </c>
      <c r="K1805" s="2" t="s">
        <v>33</v>
      </c>
      <c r="L1805" s="2" t="s">
        <v>34</v>
      </c>
      <c r="M1805" s="7">
        <v>116.96299999999999</v>
      </c>
      <c r="N1805" s="6">
        <v>27.75</v>
      </c>
      <c r="O1805" s="4">
        <v>28</v>
      </c>
      <c r="P1805" s="2" t="s">
        <v>5901</v>
      </c>
      <c r="Q1805" s="6">
        <v>100</v>
      </c>
      <c r="R1805" s="6">
        <v>19.53</v>
      </c>
      <c r="S1805" s="5">
        <v>2</v>
      </c>
      <c r="T1805" s="7">
        <v>3.0529999999999999</v>
      </c>
      <c r="U1805" s="5">
        <v>14.6</v>
      </c>
      <c r="V1805" s="2"/>
      <c r="W1805" s="6">
        <v>14.75</v>
      </c>
      <c r="X1805" s="5">
        <v>14.5</v>
      </c>
      <c r="Y1805" s="6">
        <v>17.25</v>
      </c>
      <c r="Z1805" s="7">
        <v>17.125</v>
      </c>
      <c r="AA1805" s="6">
        <v>2.2000000000000002</v>
      </c>
      <c r="AB1805" s="7">
        <v>42.261000000000003</v>
      </c>
      <c r="AC1805" s="2"/>
    </row>
    <row r="1806" spans="1:29" ht="78" x14ac:dyDescent="0.15">
      <c r="A1806" s="3">
        <f>DATE(1995,3,2)</f>
        <v>34760</v>
      </c>
      <c r="B1806" s="2"/>
      <c r="C1806" s="2" t="s">
        <v>87</v>
      </c>
      <c r="D1806" s="2" t="s">
        <v>5902</v>
      </c>
      <c r="E1806" s="2" t="s">
        <v>5903</v>
      </c>
      <c r="F1806" s="4">
        <v>2761</v>
      </c>
      <c r="G1806" s="2" t="s">
        <v>186</v>
      </c>
      <c r="H1806" s="2" t="s">
        <v>34</v>
      </c>
      <c r="I1806" s="2" t="s">
        <v>51</v>
      </c>
      <c r="J1806" s="2" t="s">
        <v>52</v>
      </c>
      <c r="K1806" s="2" t="s">
        <v>53</v>
      </c>
      <c r="L1806" s="2" t="s">
        <v>34</v>
      </c>
      <c r="M1806" s="2"/>
      <c r="N1806" s="2"/>
      <c r="O1806" s="2"/>
      <c r="P1806" s="2" t="s">
        <v>5904</v>
      </c>
      <c r="Q1806" s="2"/>
      <c r="R1806" s="6">
        <v>3.8</v>
      </c>
      <c r="S1806" s="2"/>
      <c r="T1806" s="2"/>
      <c r="U1806" s="2"/>
      <c r="V1806" s="2"/>
      <c r="W1806" s="7">
        <v>2.375</v>
      </c>
      <c r="X1806" s="7">
        <v>2.3130000000000002</v>
      </c>
      <c r="Y1806" s="7">
        <v>2.3130000000000002</v>
      </c>
      <c r="Z1806" s="6">
        <v>2.75</v>
      </c>
      <c r="AA1806" s="6">
        <v>3.55</v>
      </c>
      <c r="AB1806" s="2" t="s">
        <v>47</v>
      </c>
      <c r="AC1806" s="2"/>
    </row>
    <row r="1807" spans="1:29" ht="156" x14ac:dyDescent="0.15">
      <c r="A1807" s="3">
        <f>DATE(1995,3,2)</f>
        <v>34760</v>
      </c>
      <c r="B1807" s="3">
        <f>DATE(1995,5,26)</f>
        <v>34845</v>
      </c>
      <c r="C1807" s="2" t="s">
        <v>95</v>
      </c>
      <c r="D1807" s="2" t="s">
        <v>5183</v>
      </c>
      <c r="E1807" s="2" t="s">
        <v>5184</v>
      </c>
      <c r="F1807" s="4">
        <v>5621</v>
      </c>
      <c r="G1807" s="2" t="s">
        <v>756</v>
      </c>
      <c r="H1807" s="2" t="s">
        <v>34</v>
      </c>
      <c r="I1807" s="2" t="s">
        <v>5905</v>
      </c>
      <c r="J1807" s="2" t="s">
        <v>5906</v>
      </c>
      <c r="K1807" s="2" t="s">
        <v>226</v>
      </c>
      <c r="L1807" s="2" t="s">
        <v>5907</v>
      </c>
      <c r="M1807" s="2"/>
      <c r="N1807" s="2"/>
      <c r="O1807" s="2"/>
      <c r="P1807" s="2" t="s">
        <v>5908</v>
      </c>
      <c r="Q1807" s="6">
        <v>100</v>
      </c>
      <c r="R1807" s="6">
        <v>28</v>
      </c>
      <c r="S1807" s="5">
        <v>-15.8</v>
      </c>
      <c r="T1807" s="7">
        <v>77.656000000000006</v>
      </c>
      <c r="U1807" s="5">
        <v>10.1</v>
      </c>
      <c r="V1807" s="6">
        <v>-0.35</v>
      </c>
      <c r="W1807" s="6">
        <v>19.25</v>
      </c>
      <c r="X1807" s="6">
        <v>19.25</v>
      </c>
      <c r="Y1807" s="6">
        <v>21.75</v>
      </c>
      <c r="Z1807" s="7">
        <v>22.125</v>
      </c>
      <c r="AA1807" s="6">
        <v>46.34</v>
      </c>
      <c r="AB1807" s="2" t="s">
        <v>86</v>
      </c>
      <c r="AC1807" s="8">
        <v>156497</v>
      </c>
    </row>
    <row r="1808" spans="1:29" ht="117" x14ac:dyDescent="0.15">
      <c r="A1808" s="3">
        <f>DATE(1995,3,6)</f>
        <v>34764</v>
      </c>
      <c r="B1808" s="3">
        <f>DATE(1995,8,1)</f>
        <v>34912</v>
      </c>
      <c r="C1808" s="2" t="s">
        <v>95</v>
      </c>
      <c r="D1808" s="2" t="s">
        <v>5909</v>
      </c>
      <c r="E1808" s="2" t="s">
        <v>5910</v>
      </c>
      <c r="F1808" s="4">
        <v>5621</v>
      </c>
      <c r="G1808" s="2" t="s">
        <v>756</v>
      </c>
      <c r="H1808" s="2" t="s">
        <v>34</v>
      </c>
      <c r="I1808" s="2" t="s">
        <v>5911</v>
      </c>
      <c r="J1808" s="2" t="s">
        <v>5912</v>
      </c>
      <c r="K1808" s="2" t="s">
        <v>708</v>
      </c>
      <c r="L1808" s="2" t="s">
        <v>34</v>
      </c>
      <c r="M1808" s="2"/>
      <c r="N1808" s="6">
        <v>11.25</v>
      </c>
      <c r="O1808" s="6">
        <v>11.25</v>
      </c>
      <c r="P1808" s="2" t="s">
        <v>5913</v>
      </c>
      <c r="Q1808" s="6">
        <v>100</v>
      </c>
      <c r="R1808" s="6">
        <v>5.5</v>
      </c>
      <c r="S1808" s="5">
        <v>-1</v>
      </c>
      <c r="T1808" s="7">
        <v>0.223</v>
      </c>
      <c r="U1808" s="5">
        <v>2.1</v>
      </c>
      <c r="V1808" s="6">
        <v>-0.25</v>
      </c>
      <c r="W1808" s="4">
        <v>3</v>
      </c>
      <c r="X1808" s="4">
        <v>4</v>
      </c>
      <c r="Y1808" s="7">
        <v>5.3129999999999997</v>
      </c>
      <c r="Z1808" s="7">
        <v>5.3280000000000003</v>
      </c>
      <c r="AA1808" s="6">
        <v>4.0999999999999996</v>
      </c>
      <c r="AB1808" s="2" t="s">
        <v>86</v>
      </c>
      <c r="AC1808" s="2"/>
    </row>
    <row r="1809" spans="1:29" ht="39" x14ac:dyDescent="0.15">
      <c r="A1809" s="3">
        <f>DATE(1995,3,6)</f>
        <v>34764</v>
      </c>
      <c r="B1809" s="2"/>
      <c r="C1809" s="2" t="s">
        <v>189</v>
      </c>
      <c r="D1809" s="2" t="s">
        <v>5914</v>
      </c>
      <c r="E1809" s="2" t="s">
        <v>5915</v>
      </c>
      <c r="F1809" s="4">
        <v>3861</v>
      </c>
      <c r="G1809" s="2" t="s">
        <v>226</v>
      </c>
      <c r="H1809" s="2" t="s">
        <v>34</v>
      </c>
      <c r="I1809" s="2" t="s">
        <v>143</v>
      </c>
      <c r="J1809" s="2" t="s">
        <v>144</v>
      </c>
      <c r="K1809" s="2" t="s">
        <v>53</v>
      </c>
      <c r="L1809" s="2" t="s">
        <v>139</v>
      </c>
      <c r="M1809" s="2"/>
      <c r="N1809" s="2"/>
      <c r="O1809" s="2"/>
      <c r="P1809" s="2" t="s">
        <v>5916</v>
      </c>
      <c r="Q1809" s="2"/>
      <c r="R1809" s="2"/>
      <c r="S1809" s="2"/>
      <c r="T1809" s="2"/>
      <c r="U1809" s="2"/>
      <c r="V1809" s="2"/>
      <c r="W1809" s="6">
        <v>5.25</v>
      </c>
      <c r="X1809" s="6">
        <v>5.25</v>
      </c>
      <c r="Y1809" s="4">
        <v>5</v>
      </c>
      <c r="Z1809" s="7">
        <v>5.375</v>
      </c>
      <c r="AA1809" s="2"/>
      <c r="AB1809" s="2" t="s">
        <v>47</v>
      </c>
      <c r="AC1809" s="2"/>
    </row>
    <row r="1810" spans="1:29" ht="39" x14ac:dyDescent="0.15">
      <c r="A1810" s="3">
        <f>DATE(1995,3,6)</f>
        <v>34764</v>
      </c>
      <c r="B1810" s="2"/>
      <c r="C1810" s="2" t="s">
        <v>189</v>
      </c>
      <c r="D1810" s="2" t="s">
        <v>5917</v>
      </c>
      <c r="E1810" s="2" t="s">
        <v>2241</v>
      </c>
      <c r="F1810" s="4">
        <v>8011</v>
      </c>
      <c r="G1810" s="2" t="s">
        <v>454</v>
      </c>
      <c r="H1810" s="2" t="s">
        <v>34</v>
      </c>
      <c r="I1810" s="2" t="s">
        <v>143</v>
      </c>
      <c r="J1810" s="2" t="s">
        <v>144</v>
      </c>
      <c r="K1810" s="2" t="s">
        <v>53</v>
      </c>
      <c r="L1810" s="2" t="s">
        <v>139</v>
      </c>
      <c r="M1810" s="2"/>
      <c r="N1810" s="2"/>
      <c r="O1810" s="2"/>
      <c r="P1810" s="2" t="s">
        <v>5918</v>
      </c>
      <c r="Q1810" s="2"/>
      <c r="R1810" s="2"/>
      <c r="S1810" s="5">
        <v>14.1</v>
      </c>
      <c r="T1810" s="2"/>
      <c r="U1810" s="5">
        <v>10.1</v>
      </c>
      <c r="V1810" s="6">
        <v>1.52</v>
      </c>
      <c r="W1810" s="6">
        <v>30.75</v>
      </c>
      <c r="X1810" s="5">
        <v>30.5</v>
      </c>
      <c r="Y1810" s="7">
        <v>30.625</v>
      </c>
      <c r="Z1810" s="6">
        <v>30.25</v>
      </c>
      <c r="AA1810" s="2"/>
      <c r="AB1810" s="2" t="s">
        <v>47</v>
      </c>
      <c r="AC1810" s="2"/>
    </row>
    <row r="1811" spans="1:29" ht="117" x14ac:dyDescent="0.15">
      <c r="A1811" s="3">
        <f>DATE(1995,3,7)</f>
        <v>34765</v>
      </c>
      <c r="B1811" s="3">
        <f>DATE(1995,8,25)</f>
        <v>34936</v>
      </c>
      <c r="C1811" s="2" t="s">
        <v>95</v>
      </c>
      <c r="D1811" s="2" t="s">
        <v>5919</v>
      </c>
      <c r="E1811" s="2" t="s">
        <v>5920</v>
      </c>
      <c r="F1811" s="4">
        <v>7371</v>
      </c>
      <c r="G1811" s="2" t="s">
        <v>223</v>
      </c>
      <c r="H1811" s="2" t="s">
        <v>34</v>
      </c>
      <c r="I1811" s="2" t="s">
        <v>5921</v>
      </c>
      <c r="J1811" s="2" t="s">
        <v>5922</v>
      </c>
      <c r="K1811" s="2" t="s">
        <v>551</v>
      </c>
      <c r="L1811" s="2" t="s">
        <v>34</v>
      </c>
      <c r="M1811" s="5">
        <v>530.70000000000005</v>
      </c>
      <c r="N1811" s="7">
        <v>20.875</v>
      </c>
      <c r="O1811" s="7">
        <v>20.125</v>
      </c>
      <c r="P1811" s="2" t="s">
        <v>5923</v>
      </c>
      <c r="Q1811" s="6">
        <v>100</v>
      </c>
      <c r="R1811" s="6">
        <v>7.26</v>
      </c>
      <c r="S1811" s="5">
        <v>2.6</v>
      </c>
      <c r="T1811" s="7">
        <v>1.5229999999999999</v>
      </c>
      <c r="U1811" s="5">
        <v>1</v>
      </c>
      <c r="V1811" s="6">
        <v>0.13</v>
      </c>
      <c r="W1811" s="7">
        <v>6.625</v>
      </c>
      <c r="X1811" s="6">
        <v>7.25</v>
      </c>
      <c r="Y1811" s="6">
        <v>7.25</v>
      </c>
      <c r="Z1811" s="7">
        <v>6.625</v>
      </c>
      <c r="AA1811" s="6">
        <v>19.39</v>
      </c>
      <c r="AB1811" s="2" t="s">
        <v>86</v>
      </c>
      <c r="AC1811" s="6">
        <v>79.37</v>
      </c>
    </row>
    <row r="1812" spans="1:29" ht="117" x14ac:dyDescent="0.15">
      <c r="A1812" s="3">
        <f>DATE(1995,3,8)</f>
        <v>34766</v>
      </c>
      <c r="B1812" s="2"/>
      <c r="C1812" s="2" t="s">
        <v>30</v>
      </c>
      <c r="D1812" s="2" t="s">
        <v>5924</v>
      </c>
      <c r="E1812" s="2" t="s">
        <v>4113</v>
      </c>
      <c r="F1812" s="4">
        <v>3824</v>
      </c>
      <c r="G1812" s="2" t="s">
        <v>226</v>
      </c>
      <c r="H1812" s="2" t="s">
        <v>34</v>
      </c>
      <c r="I1812" s="2" t="s">
        <v>4744</v>
      </c>
      <c r="J1812" s="2" t="s">
        <v>4745</v>
      </c>
      <c r="K1812" s="2" t="s">
        <v>226</v>
      </c>
      <c r="L1812" s="2" t="s">
        <v>34</v>
      </c>
      <c r="M1812" s="7">
        <v>167.328</v>
      </c>
      <c r="N1812" s="6">
        <v>14.25</v>
      </c>
      <c r="O1812" s="7">
        <v>14.188000000000001</v>
      </c>
      <c r="P1812" s="2" t="s">
        <v>5925</v>
      </c>
      <c r="Q1812" s="2"/>
      <c r="R1812" s="6">
        <v>16.29</v>
      </c>
      <c r="S1812" s="5">
        <v>1.3</v>
      </c>
      <c r="T1812" s="6">
        <v>11.53</v>
      </c>
      <c r="U1812" s="5">
        <v>10.1</v>
      </c>
      <c r="V1812" s="6">
        <v>0.11</v>
      </c>
      <c r="W1812" s="6">
        <v>13.25</v>
      </c>
      <c r="X1812" s="7">
        <v>12.625</v>
      </c>
      <c r="Y1812" s="6">
        <v>14.75</v>
      </c>
      <c r="Z1812" s="7">
        <v>15.375</v>
      </c>
      <c r="AA1812" s="6">
        <v>12.03</v>
      </c>
      <c r="AB1812" s="7">
        <v>53.194000000000003</v>
      </c>
      <c r="AC1812" s="2"/>
    </row>
    <row r="1813" spans="1:29" ht="156" x14ac:dyDescent="0.15">
      <c r="A1813" s="3">
        <f>DATE(1995,3,8)</f>
        <v>34766</v>
      </c>
      <c r="B1813" s="2"/>
      <c r="C1813" s="2" t="s">
        <v>30</v>
      </c>
      <c r="D1813" s="2" t="s">
        <v>5655</v>
      </c>
      <c r="E1813" s="2" t="s">
        <v>5656</v>
      </c>
      <c r="F1813" s="4">
        <v>6324</v>
      </c>
      <c r="G1813" s="2" t="s">
        <v>125</v>
      </c>
      <c r="H1813" s="2" t="s">
        <v>34</v>
      </c>
      <c r="I1813" s="2" t="s">
        <v>4334</v>
      </c>
      <c r="J1813" s="2" t="s">
        <v>4335</v>
      </c>
      <c r="K1813" s="2" t="s">
        <v>125</v>
      </c>
      <c r="L1813" s="2" t="s">
        <v>34</v>
      </c>
      <c r="M1813" s="10">
        <v>2935.25</v>
      </c>
      <c r="N1813" s="7">
        <v>31.125</v>
      </c>
      <c r="O1813" s="7">
        <v>31.375</v>
      </c>
      <c r="P1813" s="2" t="s">
        <v>5926</v>
      </c>
      <c r="Q1813" s="2"/>
      <c r="R1813" s="6">
        <v>33.79</v>
      </c>
      <c r="S1813" s="5">
        <v>88.1</v>
      </c>
      <c r="T1813" s="6">
        <v>185.54</v>
      </c>
      <c r="U1813" s="5">
        <v>4.5999999999999996</v>
      </c>
      <c r="V1813" s="6">
        <v>1.77</v>
      </c>
      <c r="W1813" s="7">
        <v>28.875</v>
      </c>
      <c r="X1813" s="6">
        <v>28.25</v>
      </c>
      <c r="Y1813" s="4">
        <v>28</v>
      </c>
      <c r="Z1813" s="7">
        <v>27.125</v>
      </c>
      <c r="AA1813" s="6">
        <v>49.07</v>
      </c>
      <c r="AB1813" s="7">
        <v>9.1549999999999994</v>
      </c>
      <c r="AC1813" s="6">
        <v>371.37</v>
      </c>
    </row>
    <row r="1814" spans="1:29" ht="78" x14ac:dyDescent="0.15">
      <c r="A1814" s="3">
        <f>DATE(1995,3,8)</f>
        <v>34766</v>
      </c>
      <c r="B1814" s="2"/>
      <c r="C1814" s="2" t="s">
        <v>141</v>
      </c>
      <c r="D1814" s="2" t="s">
        <v>5927</v>
      </c>
      <c r="E1814" s="2" t="s">
        <v>177</v>
      </c>
      <c r="F1814" s="4">
        <v>1311</v>
      </c>
      <c r="G1814" s="2" t="s">
        <v>148</v>
      </c>
      <c r="H1814" s="2" t="s">
        <v>34</v>
      </c>
      <c r="I1814" s="2" t="s">
        <v>143</v>
      </c>
      <c r="J1814" s="2" t="s">
        <v>144</v>
      </c>
      <c r="K1814" s="2" t="s">
        <v>53</v>
      </c>
      <c r="L1814" s="2" t="s">
        <v>139</v>
      </c>
      <c r="M1814" s="2"/>
      <c r="N1814" s="2"/>
      <c r="O1814" s="2"/>
      <c r="P1814" s="2" t="s">
        <v>5928</v>
      </c>
      <c r="Q1814" s="2"/>
      <c r="R1814" s="2"/>
      <c r="S1814" s="5">
        <v>-8</v>
      </c>
      <c r="T1814" s="7">
        <v>-2.508</v>
      </c>
      <c r="U1814" s="5">
        <v>-5.0999999999999996</v>
      </c>
      <c r="V1814" s="6">
        <v>-0.62</v>
      </c>
      <c r="W1814" s="4">
        <v>13</v>
      </c>
      <c r="X1814" s="6">
        <v>11.25</v>
      </c>
      <c r="Y1814" s="6">
        <v>11.75</v>
      </c>
      <c r="Z1814" s="6">
        <v>13.25</v>
      </c>
      <c r="AA1814" s="6">
        <v>13.36</v>
      </c>
      <c r="AB1814" s="2" t="s">
        <v>86</v>
      </c>
      <c r="AC1814" s="2"/>
    </row>
    <row r="1815" spans="1:29" ht="78" x14ac:dyDescent="0.15">
      <c r="A1815" s="3">
        <f>DATE(1995,3,8)</f>
        <v>34766</v>
      </c>
      <c r="B1815" s="2"/>
      <c r="C1815" s="2" t="s">
        <v>30</v>
      </c>
      <c r="D1815" s="2" t="s">
        <v>5528</v>
      </c>
      <c r="E1815" s="2" t="s">
        <v>5529</v>
      </c>
      <c r="F1815" s="4">
        <v>3275</v>
      </c>
      <c r="G1815" s="2" t="s">
        <v>237</v>
      </c>
      <c r="H1815" s="2" t="s">
        <v>34</v>
      </c>
      <c r="I1815" s="2" t="s">
        <v>5929</v>
      </c>
      <c r="J1815" s="2" t="s">
        <v>5930</v>
      </c>
      <c r="K1815" s="2" t="s">
        <v>237</v>
      </c>
      <c r="L1815" s="2" t="s">
        <v>133</v>
      </c>
      <c r="M1815" s="2"/>
      <c r="N1815" s="2"/>
      <c r="O1815" s="2"/>
      <c r="P1815" s="2" t="s">
        <v>5931</v>
      </c>
      <c r="Q1815" s="2"/>
      <c r="R1815" s="2"/>
      <c r="S1815" s="5">
        <v>51.8</v>
      </c>
      <c r="T1815" s="2"/>
      <c r="U1815" s="5">
        <v>15.3</v>
      </c>
      <c r="V1815" s="6">
        <v>2.42</v>
      </c>
      <c r="W1815" s="4">
        <v>34</v>
      </c>
      <c r="X1815" s="6">
        <v>32.75</v>
      </c>
      <c r="Y1815" s="7">
        <v>44.813000000000002</v>
      </c>
      <c r="Z1815" s="4">
        <v>45</v>
      </c>
      <c r="AA1815" s="2"/>
      <c r="AB1815" s="2" t="s">
        <v>47</v>
      </c>
      <c r="AC1815" s="2"/>
    </row>
    <row r="1816" spans="1:29" ht="156" x14ac:dyDescent="0.15">
      <c r="A1816" s="3">
        <f>DATE(1995,3,8)</f>
        <v>34766</v>
      </c>
      <c r="B1816" s="3">
        <f>DATE(1995,4,26)</f>
        <v>34815</v>
      </c>
      <c r="C1816" s="2" t="s">
        <v>95</v>
      </c>
      <c r="D1816" s="2" t="s">
        <v>5932</v>
      </c>
      <c r="E1816" s="2" t="s">
        <v>5933</v>
      </c>
      <c r="F1816" s="4">
        <v>2759</v>
      </c>
      <c r="G1816" s="2" t="s">
        <v>186</v>
      </c>
      <c r="H1816" s="2" t="s">
        <v>34</v>
      </c>
      <c r="I1816" s="2" t="s">
        <v>3064</v>
      </c>
      <c r="J1816" s="2" t="s">
        <v>3065</v>
      </c>
      <c r="K1816" s="2" t="s">
        <v>186</v>
      </c>
      <c r="L1816" s="2" t="s">
        <v>34</v>
      </c>
      <c r="M1816" s="12">
        <v>1479.3610000000001</v>
      </c>
      <c r="N1816" s="5">
        <v>15.5</v>
      </c>
      <c r="O1816" s="7">
        <v>16.875</v>
      </c>
      <c r="P1816" s="2" t="s">
        <v>5934</v>
      </c>
      <c r="Q1816" s="6">
        <v>91.85</v>
      </c>
      <c r="R1816" s="6">
        <v>16</v>
      </c>
      <c r="S1816" s="5">
        <v>22.6</v>
      </c>
      <c r="T1816" s="7">
        <v>27.106999999999999</v>
      </c>
      <c r="U1816" s="5">
        <v>0</v>
      </c>
      <c r="V1816" s="6">
        <v>2.56</v>
      </c>
      <c r="W1816" s="4">
        <v>12</v>
      </c>
      <c r="X1816" s="7">
        <v>12.375</v>
      </c>
      <c r="Y1816" s="7">
        <v>12.875</v>
      </c>
      <c r="Z1816" s="7">
        <v>15.718999999999999</v>
      </c>
      <c r="AA1816" s="6">
        <v>8.33</v>
      </c>
      <c r="AB1816" s="7">
        <v>4.875</v>
      </c>
      <c r="AC1816" s="5">
        <v>18.100000000000001</v>
      </c>
    </row>
    <row r="1817" spans="1:29" ht="117" x14ac:dyDescent="0.15">
      <c r="A1817" s="3">
        <f>DATE(1995,3,10)</f>
        <v>34768</v>
      </c>
      <c r="B1817" s="3">
        <f>DATE(1995,6,30)</f>
        <v>34880</v>
      </c>
      <c r="C1817" s="2" t="s">
        <v>95</v>
      </c>
      <c r="D1817" s="2" t="s">
        <v>2826</v>
      </c>
      <c r="E1817" s="2" t="s">
        <v>2827</v>
      </c>
      <c r="F1817" s="4">
        <v>3674</v>
      </c>
      <c r="G1817" s="2" t="s">
        <v>137</v>
      </c>
      <c r="H1817" s="2" t="s">
        <v>34</v>
      </c>
      <c r="I1817" s="2" t="s">
        <v>5935</v>
      </c>
      <c r="J1817" s="2" t="s">
        <v>5936</v>
      </c>
      <c r="K1817" s="2" t="s">
        <v>137</v>
      </c>
      <c r="L1817" s="2" t="s">
        <v>34</v>
      </c>
      <c r="M1817" s="12">
        <v>7730.8559999999998</v>
      </c>
      <c r="N1817" s="5">
        <v>37.5</v>
      </c>
      <c r="O1817" s="5">
        <v>37.5</v>
      </c>
      <c r="P1817" s="2" t="s">
        <v>5937</v>
      </c>
      <c r="Q1817" s="6">
        <v>100</v>
      </c>
      <c r="R1817" s="6">
        <v>10.64</v>
      </c>
      <c r="S1817" s="5">
        <v>3.4</v>
      </c>
      <c r="T1817" s="7">
        <v>40.493000000000002</v>
      </c>
      <c r="U1817" s="5">
        <v>4.7</v>
      </c>
      <c r="V1817" s="6">
        <v>0.13</v>
      </c>
      <c r="W1817" s="6">
        <v>6.75</v>
      </c>
      <c r="X1817" s="4">
        <v>7</v>
      </c>
      <c r="Y1817" s="4">
        <v>10</v>
      </c>
      <c r="Z1817" s="7">
        <v>10.125</v>
      </c>
      <c r="AA1817" s="6">
        <v>26.72</v>
      </c>
      <c r="AB1817" s="7">
        <v>22.408000000000001</v>
      </c>
      <c r="AC1817" s="5">
        <v>395.4</v>
      </c>
    </row>
    <row r="1818" spans="1:29" ht="143" x14ac:dyDescent="0.15">
      <c r="A1818" s="3">
        <f>DATE(1995,3,10)</f>
        <v>34768</v>
      </c>
      <c r="B1818" s="2"/>
      <c r="C1818" s="2" t="s">
        <v>30</v>
      </c>
      <c r="D1818" s="2" t="s">
        <v>5938</v>
      </c>
      <c r="E1818" s="2" t="s">
        <v>389</v>
      </c>
      <c r="F1818" s="4">
        <v>6035</v>
      </c>
      <c r="G1818" s="2" t="s">
        <v>33</v>
      </c>
      <c r="H1818" s="2" t="s">
        <v>34</v>
      </c>
      <c r="I1818" s="2" t="s">
        <v>3878</v>
      </c>
      <c r="J1818" s="2" t="s">
        <v>3780</v>
      </c>
      <c r="K1818" s="2" t="s">
        <v>37</v>
      </c>
      <c r="L1818" s="2" t="s">
        <v>34</v>
      </c>
      <c r="M1818" s="5">
        <v>358</v>
      </c>
      <c r="N1818" s="5">
        <v>44.5</v>
      </c>
      <c r="O1818" s="5">
        <v>44.5</v>
      </c>
      <c r="P1818" s="2" t="s">
        <v>5939</v>
      </c>
      <c r="Q1818" s="2"/>
      <c r="R1818" s="6">
        <v>34.51</v>
      </c>
      <c r="S1818" s="5">
        <v>5.5</v>
      </c>
      <c r="T1818" s="7">
        <v>10.968</v>
      </c>
      <c r="U1818" s="5">
        <v>23</v>
      </c>
      <c r="V1818" s="6">
        <v>1.83</v>
      </c>
      <c r="W1818" s="6">
        <v>23.75</v>
      </c>
      <c r="X1818" s="5">
        <v>23.5</v>
      </c>
      <c r="Y1818" s="4">
        <v>27</v>
      </c>
      <c r="Z1818" s="6">
        <v>30.25</v>
      </c>
      <c r="AA1818" s="6">
        <v>2.9</v>
      </c>
      <c r="AB1818" s="2" t="s">
        <v>86</v>
      </c>
      <c r="AC1818" s="2"/>
    </row>
    <row r="1819" spans="1:29" ht="143" x14ac:dyDescent="0.15">
      <c r="A1819" s="3">
        <f>DATE(1995,3,13)</f>
        <v>34771</v>
      </c>
      <c r="B1819" s="2"/>
      <c r="C1819" s="2" t="s">
        <v>30</v>
      </c>
      <c r="D1819" s="2" t="s">
        <v>5940</v>
      </c>
      <c r="E1819" s="2" t="s">
        <v>5941</v>
      </c>
      <c r="F1819" s="4">
        <v>6321</v>
      </c>
      <c r="G1819" s="2" t="s">
        <v>125</v>
      </c>
      <c r="H1819" s="2" t="s">
        <v>34</v>
      </c>
      <c r="I1819" s="2" t="s">
        <v>5942</v>
      </c>
      <c r="J1819" s="2" t="s">
        <v>2241</v>
      </c>
      <c r="K1819" s="2" t="s">
        <v>454</v>
      </c>
      <c r="L1819" s="2" t="s">
        <v>34</v>
      </c>
      <c r="M1819" s="7">
        <v>820.06600000000003</v>
      </c>
      <c r="N1819" s="6">
        <v>27.75</v>
      </c>
      <c r="O1819" s="7">
        <v>28.375</v>
      </c>
      <c r="P1819" s="2" t="s">
        <v>5943</v>
      </c>
      <c r="Q1819" s="2"/>
      <c r="R1819" s="6">
        <v>14.71</v>
      </c>
      <c r="S1819" s="5">
        <v>5.7</v>
      </c>
      <c r="T1819" s="2"/>
      <c r="U1819" s="5">
        <v>7.9</v>
      </c>
      <c r="V1819" s="6">
        <v>1.06</v>
      </c>
      <c r="W1819" s="6">
        <v>11.25</v>
      </c>
      <c r="X1819" s="7">
        <v>10.875</v>
      </c>
      <c r="Y1819" s="5">
        <v>13.5</v>
      </c>
      <c r="Z1819" s="6">
        <v>13.75</v>
      </c>
      <c r="AA1819" s="6">
        <v>5.45</v>
      </c>
      <c r="AB1819" s="7">
        <v>8.7780000000000005</v>
      </c>
      <c r="AC1819" s="6">
        <v>31.59</v>
      </c>
    </row>
    <row r="1820" spans="1:29" ht="52" x14ac:dyDescent="0.15">
      <c r="A1820" s="3">
        <f>DATE(1995,3,13)</f>
        <v>34771</v>
      </c>
      <c r="B1820" s="2"/>
      <c r="C1820" s="2" t="s">
        <v>30</v>
      </c>
      <c r="D1820" s="2" t="s">
        <v>5944</v>
      </c>
      <c r="E1820" s="2" t="s">
        <v>5945</v>
      </c>
      <c r="F1820" s="4">
        <v>4832</v>
      </c>
      <c r="G1820" s="2" t="s">
        <v>45</v>
      </c>
      <c r="H1820" s="2" t="s">
        <v>34</v>
      </c>
      <c r="I1820" s="2" t="s">
        <v>5946</v>
      </c>
      <c r="J1820" s="2" t="s">
        <v>5391</v>
      </c>
      <c r="K1820" s="2" t="s">
        <v>45</v>
      </c>
      <c r="L1820" s="2" t="s">
        <v>34</v>
      </c>
      <c r="M1820" s="2"/>
      <c r="N1820" s="2"/>
      <c r="O1820" s="2"/>
      <c r="P1820" s="2" t="s">
        <v>5947</v>
      </c>
      <c r="Q1820" s="2"/>
      <c r="R1820" s="6">
        <v>26</v>
      </c>
      <c r="S1820" s="5">
        <v>1.8</v>
      </c>
      <c r="T1820" s="7">
        <v>18.635999999999999</v>
      </c>
      <c r="U1820" s="5">
        <v>8.4</v>
      </c>
      <c r="V1820" s="7">
        <v>0.317</v>
      </c>
      <c r="W1820" s="7">
        <v>20.625</v>
      </c>
      <c r="X1820" s="4">
        <v>21</v>
      </c>
      <c r="Y1820" s="4">
        <v>22</v>
      </c>
      <c r="Z1820" s="7">
        <v>22.375</v>
      </c>
      <c r="AA1820" s="6">
        <v>5.75</v>
      </c>
      <c r="AB1820" s="7">
        <v>17.968</v>
      </c>
      <c r="AC1820" s="2"/>
    </row>
    <row r="1821" spans="1:29" ht="26" x14ac:dyDescent="0.15">
      <c r="A1821" s="3">
        <f>DATE(1995,3,14)</f>
        <v>34772</v>
      </c>
      <c r="B1821" s="2"/>
      <c r="C1821" s="2" t="s">
        <v>30</v>
      </c>
      <c r="D1821" s="2" t="s">
        <v>2138</v>
      </c>
      <c r="E1821" s="2" t="s">
        <v>177</v>
      </c>
      <c r="F1821" s="4">
        <v>1311</v>
      </c>
      <c r="G1821" s="2" t="s">
        <v>148</v>
      </c>
      <c r="H1821" s="2" t="s">
        <v>34</v>
      </c>
      <c r="I1821" s="2" t="s">
        <v>5522</v>
      </c>
      <c r="J1821" s="2" t="s">
        <v>612</v>
      </c>
      <c r="K1821" s="2" t="s">
        <v>148</v>
      </c>
      <c r="L1821" s="2" t="s">
        <v>34</v>
      </c>
      <c r="M1821" s="2"/>
      <c r="N1821" s="6">
        <v>9.25</v>
      </c>
      <c r="O1821" s="7">
        <v>9.125</v>
      </c>
      <c r="P1821" s="2" t="s">
        <v>5948</v>
      </c>
      <c r="Q1821" s="2"/>
      <c r="R1821" s="2"/>
      <c r="S1821" s="5">
        <v>-2.2999999999999998</v>
      </c>
      <c r="T1821" s="7">
        <v>108.246</v>
      </c>
      <c r="U1821" s="5">
        <v>0.3</v>
      </c>
      <c r="V1821" s="7">
        <v>-0.189</v>
      </c>
      <c r="W1821" s="4">
        <v>5</v>
      </c>
      <c r="X1821" s="6">
        <v>4.75</v>
      </c>
      <c r="Y1821" s="6">
        <v>4.75</v>
      </c>
      <c r="Z1821" s="7">
        <v>4.875</v>
      </c>
      <c r="AA1821" s="2"/>
      <c r="AB1821" s="2" t="s">
        <v>47</v>
      </c>
      <c r="AC1821" s="6">
        <v>0.33</v>
      </c>
    </row>
    <row r="1822" spans="1:29" ht="104" x14ac:dyDescent="0.15">
      <c r="A1822" s="3">
        <f>DATE(1995,3,14)</f>
        <v>34772</v>
      </c>
      <c r="B1822" s="3">
        <f>DATE(1995,4,25)</f>
        <v>34814</v>
      </c>
      <c r="C1822" s="2" t="s">
        <v>95</v>
      </c>
      <c r="D1822" s="2" t="s">
        <v>5949</v>
      </c>
      <c r="E1822" s="2" t="s">
        <v>5950</v>
      </c>
      <c r="F1822" s="4">
        <v>4213</v>
      </c>
      <c r="G1822" s="2" t="s">
        <v>173</v>
      </c>
      <c r="H1822" s="2" t="s">
        <v>34</v>
      </c>
      <c r="I1822" s="2" t="s">
        <v>5951</v>
      </c>
      <c r="J1822" s="2" t="s">
        <v>5952</v>
      </c>
      <c r="K1822" s="2" t="s">
        <v>1327</v>
      </c>
      <c r="L1822" s="2" t="s">
        <v>34</v>
      </c>
      <c r="M1822" s="2"/>
      <c r="N1822" s="2"/>
      <c r="O1822" s="2"/>
      <c r="P1822" s="2" t="s">
        <v>5953</v>
      </c>
      <c r="Q1822" s="6">
        <v>100</v>
      </c>
      <c r="R1822" s="6">
        <v>20</v>
      </c>
      <c r="S1822" s="5">
        <v>5</v>
      </c>
      <c r="T1822" s="6">
        <v>35.090000000000003</v>
      </c>
      <c r="U1822" s="5">
        <v>5.8</v>
      </c>
      <c r="V1822" s="6">
        <v>0.5</v>
      </c>
      <c r="W1822" s="7">
        <v>12.875</v>
      </c>
      <c r="X1822" s="7">
        <v>12.938000000000001</v>
      </c>
      <c r="Y1822" s="7">
        <v>19.719000000000001</v>
      </c>
      <c r="Z1822" s="7">
        <v>19.625</v>
      </c>
      <c r="AA1822" s="6">
        <v>9.99</v>
      </c>
      <c r="AB1822" s="2" t="s">
        <v>47</v>
      </c>
      <c r="AC1822" s="2"/>
    </row>
    <row r="1823" spans="1:29" ht="117" x14ac:dyDescent="0.15">
      <c r="A1823" s="3">
        <f>DATE(1995,3,14)</f>
        <v>34772</v>
      </c>
      <c r="B1823" s="3">
        <f>DATE(1995,10,19)</f>
        <v>34991</v>
      </c>
      <c r="C1823" s="2" t="s">
        <v>95</v>
      </c>
      <c r="D1823" s="2" t="s">
        <v>741</v>
      </c>
      <c r="E1823" s="2" t="s">
        <v>32</v>
      </c>
      <c r="F1823" s="4">
        <v>6035</v>
      </c>
      <c r="G1823" s="2" t="s">
        <v>33</v>
      </c>
      <c r="H1823" s="2" t="s">
        <v>34</v>
      </c>
      <c r="I1823" s="2" t="s">
        <v>5954</v>
      </c>
      <c r="J1823" s="2" t="s">
        <v>36</v>
      </c>
      <c r="K1823" s="2" t="s">
        <v>33</v>
      </c>
      <c r="L1823" s="2" t="s">
        <v>34</v>
      </c>
      <c r="M1823" s="7">
        <v>40.701000000000001</v>
      </c>
      <c r="N1823" s="6">
        <v>14.75</v>
      </c>
      <c r="O1823" s="5">
        <v>14.5</v>
      </c>
      <c r="P1823" s="2" t="s">
        <v>5955</v>
      </c>
      <c r="Q1823" s="6">
        <v>100</v>
      </c>
      <c r="R1823" s="6">
        <v>14.25</v>
      </c>
      <c r="S1823" s="5">
        <v>2.9</v>
      </c>
      <c r="T1823" s="7">
        <v>5.2679999999999998</v>
      </c>
      <c r="U1823" s="5">
        <v>15.2</v>
      </c>
      <c r="V1823" s="7">
        <v>1.1879999999999999</v>
      </c>
      <c r="W1823" s="5">
        <v>15.5</v>
      </c>
      <c r="X1823" s="6">
        <v>15.75</v>
      </c>
      <c r="Y1823" s="7">
        <v>15.313000000000001</v>
      </c>
      <c r="Z1823" s="4">
        <v>15</v>
      </c>
      <c r="AA1823" s="6">
        <v>2.38</v>
      </c>
      <c r="AB1823" s="7">
        <v>54.463000000000001</v>
      </c>
      <c r="AC1823" s="2"/>
    </row>
    <row r="1824" spans="1:29" ht="156" x14ac:dyDescent="0.15">
      <c r="A1824" s="3">
        <f>DATE(1995,3,14)</f>
        <v>34772</v>
      </c>
      <c r="B1824" s="3">
        <f>DATE(1995,7,14)</f>
        <v>34894</v>
      </c>
      <c r="C1824" s="2" t="s">
        <v>95</v>
      </c>
      <c r="D1824" s="2" t="s">
        <v>5956</v>
      </c>
      <c r="E1824" s="2" t="s">
        <v>5957</v>
      </c>
      <c r="F1824" s="4">
        <v>6798</v>
      </c>
      <c r="G1824" s="2" t="s">
        <v>53</v>
      </c>
      <c r="H1824" s="2" t="s">
        <v>34</v>
      </c>
      <c r="I1824" s="2" t="s">
        <v>5958</v>
      </c>
      <c r="J1824" s="2" t="s">
        <v>92</v>
      </c>
      <c r="K1824" s="2" t="s">
        <v>53</v>
      </c>
      <c r="L1824" s="2" t="s">
        <v>34</v>
      </c>
      <c r="M1824" s="6">
        <v>245.67</v>
      </c>
      <c r="N1824" s="7">
        <v>23.375</v>
      </c>
      <c r="O1824" s="6">
        <v>23.25</v>
      </c>
      <c r="P1824" s="2" t="s">
        <v>5959</v>
      </c>
      <c r="Q1824" s="6">
        <v>100</v>
      </c>
      <c r="R1824" s="6">
        <v>15.6</v>
      </c>
      <c r="S1824" s="5">
        <v>7.2</v>
      </c>
      <c r="T1824" s="7">
        <v>36.868000000000002</v>
      </c>
      <c r="U1824" s="5">
        <v>6.9</v>
      </c>
      <c r="V1824" s="2"/>
      <c r="W1824" s="6">
        <v>13.75</v>
      </c>
      <c r="X1824" s="5">
        <v>15.5</v>
      </c>
      <c r="Y1824" s="5">
        <v>14.5</v>
      </c>
      <c r="Z1824" s="7">
        <v>14.625</v>
      </c>
      <c r="AA1824" s="6">
        <v>12.25</v>
      </c>
      <c r="AB1824" s="7">
        <v>23.242000000000001</v>
      </c>
      <c r="AC1824" s="2"/>
    </row>
    <row r="1825" spans="1:29" ht="143" x14ac:dyDescent="0.15">
      <c r="A1825" s="3">
        <f>DATE(1995,3,14)</f>
        <v>34772</v>
      </c>
      <c r="B1825" s="2"/>
      <c r="C1825" s="2" t="s">
        <v>30</v>
      </c>
      <c r="D1825" s="2" t="s">
        <v>5746</v>
      </c>
      <c r="E1825" s="2" t="s">
        <v>2466</v>
      </c>
      <c r="F1825" s="4">
        <v>8099</v>
      </c>
      <c r="G1825" s="2" t="s">
        <v>454</v>
      </c>
      <c r="H1825" s="2" t="s">
        <v>34</v>
      </c>
      <c r="I1825" s="2" t="s">
        <v>51</v>
      </c>
      <c r="J1825" s="2" t="s">
        <v>52</v>
      </c>
      <c r="K1825" s="2" t="s">
        <v>53</v>
      </c>
      <c r="L1825" s="2" t="s">
        <v>34</v>
      </c>
      <c r="M1825" s="2"/>
      <c r="N1825" s="2"/>
      <c r="O1825" s="2"/>
      <c r="P1825" s="2" t="s">
        <v>5960</v>
      </c>
      <c r="Q1825" s="2"/>
      <c r="R1825" s="6">
        <v>6.87</v>
      </c>
      <c r="S1825" s="5">
        <v>-7.3</v>
      </c>
      <c r="T1825" s="6">
        <v>30.01</v>
      </c>
      <c r="U1825" s="5">
        <v>1.9</v>
      </c>
      <c r="V1825" s="9">
        <v>-0.2999</v>
      </c>
      <c r="W1825" s="7">
        <v>3.875</v>
      </c>
      <c r="X1825" s="7">
        <v>4.3129999999999997</v>
      </c>
      <c r="Y1825" s="7">
        <v>4.625</v>
      </c>
      <c r="Z1825" s="6">
        <v>4.75</v>
      </c>
      <c r="AA1825" s="6">
        <v>25.57</v>
      </c>
      <c r="AB1825" s="7">
        <v>239.739</v>
      </c>
      <c r="AC1825" s="2"/>
    </row>
    <row r="1826" spans="1:29" ht="52" x14ac:dyDescent="0.15">
      <c r="A1826" s="3">
        <f>DATE(1995,3,15)</f>
        <v>34773</v>
      </c>
      <c r="B1826" s="2"/>
      <c r="C1826" s="2" t="s">
        <v>30</v>
      </c>
      <c r="D1826" s="2" t="s">
        <v>5961</v>
      </c>
      <c r="E1826" s="2" t="s">
        <v>5962</v>
      </c>
      <c r="F1826" s="4">
        <v>7933</v>
      </c>
      <c r="G1826" s="2" t="s">
        <v>364</v>
      </c>
      <c r="H1826" s="2" t="s">
        <v>34</v>
      </c>
      <c r="I1826" s="2" t="s">
        <v>5963</v>
      </c>
      <c r="J1826" s="2" t="s">
        <v>244</v>
      </c>
      <c r="K1826" s="2" t="s">
        <v>53</v>
      </c>
      <c r="L1826" s="2" t="s">
        <v>34</v>
      </c>
      <c r="M1826" s="2"/>
      <c r="N1826" s="2"/>
      <c r="O1826" s="2"/>
      <c r="P1826" s="2" t="s">
        <v>5964</v>
      </c>
      <c r="Q1826" s="2"/>
      <c r="R1826" s="6">
        <v>7.5</v>
      </c>
      <c r="S1826" s="5">
        <v>1.9</v>
      </c>
      <c r="T1826" s="7">
        <v>9.8979999999999997</v>
      </c>
      <c r="U1826" s="5">
        <v>5.8</v>
      </c>
      <c r="V1826" s="6">
        <v>0.38</v>
      </c>
      <c r="W1826" s="7">
        <v>6.3129999999999997</v>
      </c>
      <c r="X1826" s="5">
        <v>6.5</v>
      </c>
      <c r="Y1826" s="7">
        <v>6.625</v>
      </c>
      <c r="Z1826" s="7">
        <v>6.875</v>
      </c>
      <c r="AA1826" s="6">
        <v>2.21</v>
      </c>
      <c r="AB1826" s="7">
        <v>10.246</v>
      </c>
      <c r="AC1826" s="2"/>
    </row>
    <row r="1827" spans="1:29" ht="91" x14ac:dyDescent="0.15">
      <c r="A1827" s="3">
        <f>DATE(1995,3,15)</f>
        <v>34773</v>
      </c>
      <c r="B1827" s="3">
        <f>DATE(1995,6,16)</f>
        <v>34866</v>
      </c>
      <c r="C1827" s="2" t="s">
        <v>95</v>
      </c>
      <c r="D1827" s="2" t="s">
        <v>5332</v>
      </c>
      <c r="E1827" s="2" t="s">
        <v>5333</v>
      </c>
      <c r="F1827" s="4">
        <v>3089</v>
      </c>
      <c r="G1827" s="2" t="s">
        <v>447</v>
      </c>
      <c r="H1827" s="2" t="s">
        <v>34</v>
      </c>
      <c r="I1827" s="2" t="s">
        <v>5334</v>
      </c>
      <c r="J1827" s="2" t="s">
        <v>5335</v>
      </c>
      <c r="K1827" s="2" t="s">
        <v>447</v>
      </c>
      <c r="L1827" s="2" t="s">
        <v>303</v>
      </c>
      <c r="M1827" s="2"/>
      <c r="N1827" s="2"/>
      <c r="O1827" s="2"/>
      <c r="P1827" s="2" t="s">
        <v>5965</v>
      </c>
      <c r="Q1827" s="6">
        <v>58.33</v>
      </c>
      <c r="R1827" s="6">
        <v>11</v>
      </c>
      <c r="S1827" s="5">
        <v>4.0999999999999996</v>
      </c>
      <c r="T1827" s="7">
        <v>17.218</v>
      </c>
      <c r="U1827" s="5">
        <v>6.8</v>
      </c>
      <c r="V1827" s="6">
        <v>0.83</v>
      </c>
      <c r="W1827" s="7">
        <v>10.375</v>
      </c>
      <c r="X1827" s="7">
        <v>10.375</v>
      </c>
      <c r="Y1827" s="7">
        <v>10.813000000000001</v>
      </c>
      <c r="Z1827" s="4">
        <v>11</v>
      </c>
      <c r="AA1827" s="6">
        <v>4.3899999999999997</v>
      </c>
      <c r="AB1827" s="7">
        <v>8.8740000000000006</v>
      </c>
      <c r="AC1827" s="2"/>
    </row>
    <row r="1828" spans="1:29" ht="52" x14ac:dyDescent="0.15">
      <c r="A1828" s="3">
        <f>DATE(1995,3,15)</f>
        <v>34773</v>
      </c>
      <c r="B1828" s="3">
        <f>DATE(1995,3,15)</f>
        <v>34773</v>
      </c>
      <c r="C1828" s="2" t="s">
        <v>95</v>
      </c>
      <c r="D1828" s="2" t="s">
        <v>5966</v>
      </c>
      <c r="E1828" s="2" t="s">
        <v>5967</v>
      </c>
      <c r="F1828" s="4">
        <v>1381</v>
      </c>
      <c r="G1828" s="2" t="s">
        <v>148</v>
      </c>
      <c r="H1828" s="2" t="s">
        <v>34</v>
      </c>
      <c r="I1828" s="2" t="s">
        <v>5968</v>
      </c>
      <c r="J1828" s="2" t="s">
        <v>1590</v>
      </c>
      <c r="K1828" s="2" t="s">
        <v>53</v>
      </c>
      <c r="L1828" s="2" t="s">
        <v>34</v>
      </c>
      <c r="M1828" s="2"/>
      <c r="N1828" s="2"/>
      <c r="O1828" s="2"/>
      <c r="P1828" s="2" t="s">
        <v>5969</v>
      </c>
      <c r="Q1828" s="6">
        <v>53.5</v>
      </c>
      <c r="R1828" s="6">
        <v>4.5</v>
      </c>
      <c r="S1828" s="5">
        <v>1.1000000000000001</v>
      </c>
      <c r="T1828" s="7">
        <v>3.778</v>
      </c>
      <c r="U1828" s="5">
        <v>0.7</v>
      </c>
      <c r="V1828" s="9">
        <v>5.67E-2</v>
      </c>
      <c r="W1828" s="7">
        <v>3.625</v>
      </c>
      <c r="X1828" s="5">
        <v>3.5</v>
      </c>
      <c r="Y1828" s="7">
        <v>4.125</v>
      </c>
      <c r="Z1828" s="7">
        <v>4.8129999999999997</v>
      </c>
      <c r="AA1828" s="6">
        <v>3.24</v>
      </c>
      <c r="AB1828" s="7">
        <v>67.188000000000002</v>
      </c>
      <c r="AC1828" s="2"/>
    </row>
    <row r="1829" spans="1:29" ht="91" x14ac:dyDescent="0.15">
      <c r="A1829" s="3">
        <f>DATE(1995,3,16)</f>
        <v>34774</v>
      </c>
      <c r="B1829" s="3">
        <f>DATE(1995,4,25)</f>
        <v>34814</v>
      </c>
      <c r="C1829" s="2" t="s">
        <v>95</v>
      </c>
      <c r="D1829" s="2" t="s">
        <v>5680</v>
      </c>
      <c r="E1829" s="2" t="s">
        <v>5681</v>
      </c>
      <c r="F1829" s="4">
        <v>3531</v>
      </c>
      <c r="G1829" s="2" t="s">
        <v>300</v>
      </c>
      <c r="H1829" s="2" t="s">
        <v>34</v>
      </c>
      <c r="I1829" s="2" t="s">
        <v>5970</v>
      </c>
      <c r="J1829" s="2" t="s">
        <v>5971</v>
      </c>
      <c r="K1829" s="2" t="s">
        <v>300</v>
      </c>
      <c r="L1829" s="2" t="s">
        <v>303</v>
      </c>
      <c r="M1829" s="2"/>
      <c r="N1829" s="2"/>
      <c r="O1829" s="2"/>
      <c r="P1829" s="2" t="s">
        <v>5972</v>
      </c>
      <c r="Q1829" s="6">
        <v>100</v>
      </c>
      <c r="R1829" s="6">
        <v>2.2999999999999998</v>
      </c>
      <c r="S1829" s="5">
        <v>2.8</v>
      </c>
      <c r="T1829" s="7">
        <v>10.808</v>
      </c>
      <c r="U1829" s="5">
        <v>1.9</v>
      </c>
      <c r="V1829" s="6">
        <v>0.11</v>
      </c>
      <c r="W1829" s="4">
        <v>2</v>
      </c>
      <c r="X1829" s="7">
        <v>1.875</v>
      </c>
      <c r="Y1829" s="7">
        <v>2.125</v>
      </c>
      <c r="Z1829" s="7">
        <v>2.125</v>
      </c>
      <c r="AA1829" s="6">
        <v>24.67</v>
      </c>
      <c r="AB1829" s="7">
        <v>18.097999999999999</v>
      </c>
      <c r="AC1829" s="6">
        <v>120.53</v>
      </c>
    </row>
    <row r="1830" spans="1:29" ht="156" x14ac:dyDescent="0.15">
      <c r="A1830" s="3">
        <f>DATE(1995,3,16)</f>
        <v>34774</v>
      </c>
      <c r="B1830" s="2"/>
      <c r="C1830" s="2" t="s">
        <v>30</v>
      </c>
      <c r="D1830" s="2" t="s">
        <v>4665</v>
      </c>
      <c r="E1830" s="2" t="s">
        <v>612</v>
      </c>
      <c r="F1830" s="4">
        <v>1311</v>
      </c>
      <c r="G1830" s="2" t="s">
        <v>148</v>
      </c>
      <c r="H1830" s="2" t="s">
        <v>34</v>
      </c>
      <c r="I1830" s="2" t="s">
        <v>149</v>
      </c>
      <c r="J1830" s="2" t="s">
        <v>150</v>
      </c>
      <c r="K1830" s="2" t="s">
        <v>53</v>
      </c>
      <c r="L1830" s="2" t="s">
        <v>151</v>
      </c>
      <c r="M1830" s="2"/>
      <c r="N1830" s="2"/>
      <c r="O1830" s="2"/>
      <c r="P1830" s="2" t="s">
        <v>5973</v>
      </c>
      <c r="Q1830" s="2"/>
      <c r="R1830" s="6">
        <v>14</v>
      </c>
      <c r="S1830" s="5">
        <v>9.1999999999999993</v>
      </c>
      <c r="T1830" s="6">
        <v>28.39</v>
      </c>
      <c r="U1830" s="5">
        <v>3.6</v>
      </c>
      <c r="V1830" s="6">
        <v>0.44</v>
      </c>
      <c r="W1830" s="6">
        <v>10.25</v>
      </c>
      <c r="X1830" s="4">
        <v>12</v>
      </c>
      <c r="Y1830" s="6">
        <v>12.75</v>
      </c>
      <c r="Z1830" s="6">
        <v>12.25</v>
      </c>
      <c r="AA1830" s="6">
        <v>20.81</v>
      </c>
      <c r="AB1830" s="7">
        <v>18.041</v>
      </c>
      <c r="AC1830" s="2"/>
    </row>
    <row r="1831" spans="1:29" ht="143" x14ac:dyDescent="0.15">
      <c r="A1831" s="3">
        <f>DATE(1995,3,16)</f>
        <v>34774</v>
      </c>
      <c r="B1831" s="2"/>
      <c r="C1831" s="2" t="s">
        <v>30</v>
      </c>
      <c r="D1831" s="2" t="s">
        <v>5974</v>
      </c>
      <c r="E1831" s="2" t="s">
        <v>5975</v>
      </c>
      <c r="F1831" s="4">
        <v>5045</v>
      </c>
      <c r="G1831" s="2" t="s">
        <v>76</v>
      </c>
      <c r="H1831" s="2" t="s">
        <v>34</v>
      </c>
      <c r="I1831" s="2" t="s">
        <v>5976</v>
      </c>
      <c r="J1831" s="2" t="s">
        <v>5977</v>
      </c>
      <c r="K1831" s="2" t="s">
        <v>76</v>
      </c>
      <c r="L1831" s="2" t="s">
        <v>34</v>
      </c>
      <c r="M1831" s="7">
        <v>50.497999999999998</v>
      </c>
      <c r="N1831" s="5">
        <v>7.5</v>
      </c>
      <c r="O1831" s="6">
        <v>7.25</v>
      </c>
      <c r="P1831" s="2" t="s">
        <v>5978</v>
      </c>
      <c r="Q1831" s="2"/>
      <c r="R1831" s="6">
        <v>7.88</v>
      </c>
      <c r="S1831" s="5">
        <v>5.9</v>
      </c>
      <c r="T1831" s="7">
        <v>10.227</v>
      </c>
      <c r="U1831" s="5">
        <v>8.4</v>
      </c>
      <c r="V1831" s="6">
        <v>1.62</v>
      </c>
      <c r="W1831" s="5">
        <v>9.5</v>
      </c>
      <c r="X1831" s="7">
        <v>9.625</v>
      </c>
      <c r="Y1831" s="7">
        <v>9.625</v>
      </c>
      <c r="Z1831" s="6">
        <v>10.75</v>
      </c>
      <c r="AA1831" s="6">
        <v>6.96</v>
      </c>
      <c r="AB1831" s="7">
        <v>3.1419999999999999</v>
      </c>
      <c r="AC1831" s="2"/>
    </row>
    <row r="1832" spans="1:29" ht="65" x14ac:dyDescent="0.15">
      <c r="A1832" s="3">
        <f>DATE(1995,3,17)</f>
        <v>34775</v>
      </c>
      <c r="B1832" s="2"/>
      <c r="C1832" s="2" t="s">
        <v>87</v>
      </c>
      <c r="D1832" s="2" t="s">
        <v>4872</v>
      </c>
      <c r="E1832" s="2" t="s">
        <v>4873</v>
      </c>
      <c r="F1832" s="4">
        <v>6321</v>
      </c>
      <c r="G1832" s="2" t="s">
        <v>125</v>
      </c>
      <c r="H1832" s="2" t="s">
        <v>34</v>
      </c>
      <c r="I1832" s="2" t="s">
        <v>138</v>
      </c>
      <c r="J1832" s="2" t="s">
        <v>139</v>
      </c>
      <c r="K1832" s="2" t="s">
        <v>53</v>
      </c>
      <c r="L1832" s="2" t="s">
        <v>139</v>
      </c>
      <c r="M1832" s="2"/>
      <c r="N1832" s="2"/>
      <c r="O1832" s="2"/>
      <c r="P1832" s="2" t="s">
        <v>5979</v>
      </c>
      <c r="Q1832" s="2"/>
      <c r="R1832" s="2"/>
      <c r="S1832" s="5">
        <v>-0.2</v>
      </c>
      <c r="T1832" s="2"/>
      <c r="U1832" s="5">
        <v>3.1</v>
      </c>
      <c r="V1832" s="6">
        <v>-0.11</v>
      </c>
      <c r="W1832" s="7">
        <v>3.3130000000000002</v>
      </c>
      <c r="X1832" s="7">
        <v>3.3130000000000002</v>
      </c>
      <c r="Y1832" s="7">
        <v>3.125</v>
      </c>
      <c r="Z1832" s="7">
        <v>3.125</v>
      </c>
      <c r="AA1832" s="2"/>
      <c r="AB1832" s="2" t="s">
        <v>86</v>
      </c>
      <c r="AC1832" s="2"/>
    </row>
    <row r="1833" spans="1:29" ht="117" x14ac:dyDescent="0.15">
      <c r="A1833" s="3">
        <f>DATE(1995,3,17)</f>
        <v>34775</v>
      </c>
      <c r="B1833" s="3">
        <f>DATE(1995,5,1)</f>
        <v>34820</v>
      </c>
      <c r="C1833" s="2" t="s">
        <v>95</v>
      </c>
      <c r="D1833" s="2" t="s">
        <v>2696</v>
      </c>
      <c r="E1833" s="2" t="s">
        <v>2697</v>
      </c>
      <c r="F1833" s="4">
        <v>4953</v>
      </c>
      <c r="G1833" s="2" t="s">
        <v>116</v>
      </c>
      <c r="H1833" s="2" t="s">
        <v>34</v>
      </c>
      <c r="I1833" s="2" t="s">
        <v>5155</v>
      </c>
      <c r="J1833" s="2" t="s">
        <v>5156</v>
      </c>
      <c r="K1833" s="2" t="s">
        <v>116</v>
      </c>
      <c r="L1833" s="2" t="s">
        <v>34</v>
      </c>
      <c r="M1833" s="2"/>
      <c r="N1833" s="7">
        <v>27.125</v>
      </c>
      <c r="O1833" s="7">
        <v>27.125</v>
      </c>
      <c r="P1833" s="2" t="s">
        <v>5980</v>
      </c>
      <c r="Q1833" s="6">
        <v>100</v>
      </c>
      <c r="R1833" s="6">
        <v>11.5</v>
      </c>
      <c r="S1833" s="5">
        <v>0.9</v>
      </c>
      <c r="T1833" s="7">
        <v>1.845</v>
      </c>
      <c r="U1833" s="5">
        <v>3.4</v>
      </c>
      <c r="V1833" s="7">
        <v>0.33500000000000002</v>
      </c>
      <c r="W1833" s="7">
        <v>7.625</v>
      </c>
      <c r="X1833" s="7">
        <v>8.375</v>
      </c>
      <c r="Y1833" s="5">
        <v>8.5</v>
      </c>
      <c r="Z1833" s="6">
        <v>11.25</v>
      </c>
      <c r="AA1833" s="6">
        <v>2.68</v>
      </c>
      <c r="AB1833" s="7">
        <v>35.423000000000002</v>
      </c>
      <c r="AC1833" s="6">
        <v>141.62</v>
      </c>
    </row>
    <row r="1834" spans="1:29" ht="39" x14ac:dyDescent="0.15">
      <c r="A1834" s="3">
        <f>DATE(1995,3,17)</f>
        <v>34775</v>
      </c>
      <c r="B1834" s="2"/>
      <c r="C1834" s="2" t="s">
        <v>87</v>
      </c>
      <c r="D1834" s="2" t="s">
        <v>5981</v>
      </c>
      <c r="E1834" s="2" t="s">
        <v>1332</v>
      </c>
      <c r="F1834" s="4">
        <v>8082</v>
      </c>
      <c r="G1834" s="2" t="s">
        <v>454</v>
      </c>
      <c r="H1834" s="2" t="s">
        <v>34</v>
      </c>
      <c r="I1834" s="2" t="s">
        <v>5982</v>
      </c>
      <c r="J1834" s="2" t="s">
        <v>5983</v>
      </c>
      <c r="K1834" s="2" t="s">
        <v>63</v>
      </c>
      <c r="L1834" s="2" t="s">
        <v>902</v>
      </c>
      <c r="M1834" s="2"/>
      <c r="N1834" s="2"/>
      <c r="O1834" s="2"/>
      <c r="P1834" s="2" t="s">
        <v>5984</v>
      </c>
      <c r="Q1834" s="2"/>
      <c r="R1834" s="2"/>
      <c r="S1834" s="2"/>
      <c r="T1834" s="2"/>
      <c r="U1834" s="2"/>
      <c r="V1834" s="2"/>
      <c r="W1834" s="7">
        <v>2.625</v>
      </c>
      <c r="X1834" s="5">
        <v>2.5</v>
      </c>
      <c r="Y1834" s="5">
        <v>2.5</v>
      </c>
      <c r="Z1834" s="7">
        <v>2.375</v>
      </c>
      <c r="AA1834" s="6">
        <v>3.79</v>
      </c>
      <c r="AB1834" s="2" t="s">
        <v>47</v>
      </c>
      <c r="AC1834" s="2"/>
    </row>
    <row r="1835" spans="1:29" ht="143" x14ac:dyDescent="0.15">
      <c r="A1835" s="3">
        <f>DATE(1995,3,17)</f>
        <v>34775</v>
      </c>
      <c r="B1835" s="2"/>
      <c r="C1835" s="2" t="s">
        <v>30</v>
      </c>
      <c r="D1835" s="2" t="s">
        <v>5985</v>
      </c>
      <c r="E1835" s="2" t="s">
        <v>5986</v>
      </c>
      <c r="F1835" s="4">
        <v>5088</v>
      </c>
      <c r="G1835" s="2" t="s">
        <v>76</v>
      </c>
      <c r="H1835" s="2" t="s">
        <v>34</v>
      </c>
      <c r="I1835" s="2" t="s">
        <v>5987</v>
      </c>
      <c r="J1835" s="2" t="s">
        <v>5988</v>
      </c>
      <c r="K1835" s="2" t="s">
        <v>223</v>
      </c>
      <c r="L1835" s="2" t="s">
        <v>34</v>
      </c>
      <c r="M1835" s="2"/>
      <c r="N1835" s="2"/>
      <c r="O1835" s="2"/>
      <c r="P1835" s="2" t="s">
        <v>5989</v>
      </c>
      <c r="Q1835" s="2"/>
      <c r="R1835" s="6">
        <v>2.2000000000000002</v>
      </c>
      <c r="S1835" s="5">
        <v>-11.7</v>
      </c>
      <c r="T1835" s="7">
        <v>-2.9889999999999999</v>
      </c>
      <c r="U1835" s="5">
        <v>8.9</v>
      </c>
      <c r="V1835" s="6">
        <v>-5.8</v>
      </c>
      <c r="W1835" s="4">
        <v>2</v>
      </c>
      <c r="X1835" s="4">
        <v>2</v>
      </c>
      <c r="Y1835" s="7">
        <v>2.125</v>
      </c>
      <c r="Z1835" s="4">
        <v>2</v>
      </c>
      <c r="AA1835" s="6">
        <v>19.98</v>
      </c>
      <c r="AB1835" s="2" t="s">
        <v>86</v>
      </c>
      <c r="AC1835" s="2"/>
    </row>
    <row r="1836" spans="1:29" ht="78" x14ac:dyDescent="0.15">
      <c r="A1836" s="3">
        <f>DATE(1995,3,20)</f>
        <v>34778</v>
      </c>
      <c r="B1836" s="2"/>
      <c r="C1836" s="2" t="s">
        <v>30</v>
      </c>
      <c r="D1836" s="2" t="s">
        <v>5990</v>
      </c>
      <c r="E1836" s="2" t="s">
        <v>5991</v>
      </c>
      <c r="F1836" s="4">
        <v>3578</v>
      </c>
      <c r="G1836" s="2" t="s">
        <v>50</v>
      </c>
      <c r="H1836" s="2" t="s">
        <v>34</v>
      </c>
      <c r="I1836" s="2" t="s">
        <v>5992</v>
      </c>
      <c r="J1836" s="2" t="s">
        <v>5364</v>
      </c>
      <c r="K1836" s="2" t="s">
        <v>63</v>
      </c>
      <c r="L1836" s="2" t="s">
        <v>34</v>
      </c>
      <c r="M1836" s="2"/>
      <c r="N1836" s="2"/>
      <c r="O1836" s="2"/>
      <c r="P1836" s="2" t="s">
        <v>5993</v>
      </c>
      <c r="Q1836" s="2"/>
      <c r="R1836" s="6">
        <v>4.5</v>
      </c>
      <c r="S1836" s="5">
        <v>-29.7</v>
      </c>
      <c r="T1836" s="5">
        <v>-25.2</v>
      </c>
      <c r="U1836" s="5">
        <v>0.1</v>
      </c>
      <c r="V1836" s="7">
        <v>-2.774</v>
      </c>
      <c r="W1836" s="4">
        <v>3</v>
      </c>
      <c r="X1836" s="7">
        <v>2.875</v>
      </c>
      <c r="Y1836" s="7">
        <v>3.1880000000000002</v>
      </c>
      <c r="Z1836" s="4">
        <v>3</v>
      </c>
      <c r="AA1836" s="6">
        <v>13.82</v>
      </c>
      <c r="AB1836" s="2" t="s">
        <v>86</v>
      </c>
      <c r="AC1836" s="2"/>
    </row>
    <row r="1837" spans="1:29" ht="117" x14ac:dyDescent="0.15">
      <c r="A1837" s="3">
        <f>DATE(1995,3,20)</f>
        <v>34778</v>
      </c>
      <c r="B1837" s="3">
        <f>DATE(1995,9,27)</f>
        <v>34969</v>
      </c>
      <c r="C1837" s="2" t="s">
        <v>95</v>
      </c>
      <c r="D1837" s="2" t="s">
        <v>2878</v>
      </c>
      <c r="E1837" s="2" t="s">
        <v>2879</v>
      </c>
      <c r="F1837" s="4">
        <v>6141</v>
      </c>
      <c r="G1837" s="2" t="s">
        <v>370</v>
      </c>
      <c r="H1837" s="2" t="s">
        <v>34</v>
      </c>
      <c r="I1837" s="2" t="s">
        <v>5994</v>
      </c>
      <c r="J1837" s="2" t="s">
        <v>5995</v>
      </c>
      <c r="K1837" s="2" t="s">
        <v>37</v>
      </c>
      <c r="L1837" s="2" t="s">
        <v>34</v>
      </c>
      <c r="M1837" s="2"/>
      <c r="N1837" s="7">
        <v>28.375</v>
      </c>
      <c r="O1837" s="7">
        <v>28.625</v>
      </c>
      <c r="P1837" s="2" t="s">
        <v>5996</v>
      </c>
      <c r="Q1837" s="6">
        <v>100</v>
      </c>
      <c r="R1837" s="6">
        <v>17.25</v>
      </c>
      <c r="S1837" s="5">
        <v>8.8000000000000007</v>
      </c>
      <c r="T1837" s="7">
        <v>22.779</v>
      </c>
      <c r="U1837" s="5">
        <v>4.4000000000000004</v>
      </c>
      <c r="V1837" s="7">
        <v>0.48499999999999999</v>
      </c>
      <c r="W1837" s="7">
        <v>9.9380000000000006</v>
      </c>
      <c r="X1837" s="4">
        <v>10</v>
      </c>
      <c r="Y1837" s="7">
        <v>15.188000000000001</v>
      </c>
      <c r="Z1837" s="7">
        <v>15.375</v>
      </c>
      <c r="AA1837" s="6">
        <v>18.48</v>
      </c>
      <c r="AB1837" s="7">
        <v>24.318999999999999</v>
      </c>
      <c r="AC1837" s="2"/>
    </row>
    <row r="1838" spans="1:29" ht="52" x14ac:dyDescent="0.15">
      <c r="A1838" s="3">
        <f>DATE(1995,3,20)</f>
        <v>34778</v>
      </c>
      <c r="B1838" s="3">
        <f>DATE(1995,6,15)</f>
        <v>34865</v>
      </c>
      <c r="C1838" s="2" t="s">
        <v>95</v>
      </c>
      <c r="D1838" s="2" t="s">
        <v>5997</v>
      </c>
      <c r="E1838" s="2" t="s">
        <v>5998</v>
      </c>
      <c r="F1838" s="4">
        <v>8721</v>
      </c>
      <c r="G1838" s="2" t="s">
        <v>223</v>
      </c>
      <c r="H1838" s="2" t="s">
        <v>34</v>
      </c>
      <c r="I1838" s="2" t="s">
        <v>5999</v>
      </c>
      <c r="J1838" s="2" t="s">
        <v>6000</v>
      </c>
      <c r="K1838" s="2" t="s">
        <v>223</v>
      </c>
      <c r="L1838" s="2" t="s">
        <v>34</v>
      </c>
      <c r="M1838" s="12">
        <v>1218.425</v>
      </c>
      <c r="N1838" s="4">
        <v>45</v>
      </c>
      <c r="O1838" s="5">
        <v>45.5</v>
      </c>
      <c r="P1838" s="2" t="s">
        <v>6001</v>
      </c>
      <c r="Q1838" s="6">
        <v>100</v>
      </c>
      <c r="R1838" s="6">
        <v>6.51</v>
      </c>
      <c r="S1838" s="5">
        <v>-0.1</v>
      </c>
      <c r="T1838" s="7">
        <v>0.11899999999999999</v>
      </c>
      <c r="U1838" s="5">
        <v>3.4</v>
      </c>
      <c r="V1838" s="7">
        <v>-6.7000000000000004E-2</v>
      </c>
      <c r="W1838" s="6">
        <v>4.25</v>
      </c>
      <c r="X1838" s="5">
        <v>4.5</v>
      </c>
      <c r="Y1838" s="4">
        <v>6</v>
      </c>
      <c r="Z1838" s="7">
        <v>6.125</v>
      </c>
      <c r="AA1838" s="6">
        <v>1.5</v>
      </c>
      <c r="AB1838" s="2" t="s">
        <v>86</v>
      </c>
      <c r="AC1838" s="5">
        <v>55.6</v>
      </c>
    </row>
    <row r="1839" spans="1:29" ht="130" x14ac:dyDescent="0.15">
      <c r="A1839" s="3">
        <f>DATE(1995,3,20)</f>
        <v>34778</v>
      </c>
      <c r="B1839" s="3">
        <f>DATE(1995,10,2)</f>
        <v>34974</v>
      </c>
      <c r="C1839" s="2" t="s">
        <v>95</v>
      </c>
      <c r="D1839" s="2" t="s">
        <v>6002</v>
      </c>
      <c r="E1839" s="2" t="s">
        <v>6003</v>
      </c>
      <c r="F1839" s="4">
        <v>8731</v>
      </c>
      <c r="G1839" s="2" t="s">
        <v>223</v>
      </c>
      <c r="H1839" s="2" t="s">
        <v>34</v>
      </c>
      <c r="I1839" s="2" t="s">
        <v>2124</v>
      </c>
      <c r="J1839" s="2" t="s">
        <v>2125</v>
      </c>
      <c r="K1839" s="2" t="s">
        <v>130</v>
      </c>
      <c r="L1839" s="2" t="s">
        <v>34</v>
      </c>
      <c r="M1839" s="12">
        <v>2523.8870000000002</v>
      </c>
      <c r="N1839" s="4">
        <v>58</v>
      </c>
      <c r="O1839" s="7">
        <v>57.875</v>
      </c>
      <c r="P1839" s="2" t="s">
        <v>6004</v>
      </c>
      <c r="Q1839" s="6">
        <v>66.13</v>
      </c>
      <c r="R1839" s="6">
        <v>12.93</v>
      </c>
      <c r="S1839" s="5">
        <v>-10.9</v>
      </c>
      <c r="T1839" s="7">
        <v>26.154</v>
      </c>
      <c r="U1839" s="5">
        <v>2.6</v>
      </c>
      <c r="V1839" s="6">
        <v>-0.99</v>
      </c>
      <c r="W1839" s="7">
        <v>5.625</v>
      </c>
      <c r="X1839" s="6">
        <v>5.75</v>
      </c>
      <c r="Y1839" s="7">
        <v>6.375</v>
      </c>
      <c r="Z1839" s="7">
        <v>6.125</v>
      </c>
      <c r="AA1839" s="6">
        <v>11.12</v>
      </c>
      <c r="AB1839" s="7">
        <v>5.5019999999999998</v>
      </c>
      <c r="AC1839" s="5">
        <v>222.5</v>
      </c>
    </row>
    <row r="1840" spans="1:29" ht="91" x14ac:dyDescent="0.15">
      <c r="A1840" s="3">
        <f>DATE(1995,3,22)</f>
        <v>34780</v>
      </c>
      <c r="B1840" s="3">
        <f>DATE(1995,3,22)</f>
        <v>34780</v>
      </c>
      <c r="C1840" s="2" t="s">
        <v>95</v>
      </c>
      <c r="D1840" s="2" t="s">
        <v>6005</v>
      </c>
      <c r="E1840" s="2" t="s">
        <v>6006</v>
      </c>
      <c r="F1840" s="4">
        <v>5137</v>
      </c>
      <c r="G1840" s="2" t="s">
        <v>593</v>
      </c>
      <c r="H1840" s="2" t="s">
        <v>34</v>
      </c>
      <c r="I1840" s="2" t="s">
        <v>51</v>
      </c>
      <c r="J1840" s="2" t="s">
        <v>52</v>
      </c>
      <c r="K1840" s="2" t="s">
        <v>53</v>
      </c>
      <c r="L1840" s="2" t="s">
        <v>99</v>
      </c>
      <c r="M1840" s="2"/>
      <c r="N1840" s="2"/>
      <c r="O1840" s="2"/>
      <c r="P1840" s="2" t="s">
        <v>6007</v>
      </c>
      <c r="Q1840" s="6">
        <v>56.3</v>
      </c>
      <c r="R1840" s="2"/>
      <c r="S1840" s="2"/>
      <c r="T1840" s="2"/>
      <c r="U1840" s="2"/>
      <c r="V1840" s="2"/>
      <c r="W1840" s="4">
        <v>2</v>
      </c>
      <c r="X1840" s="4">
        <v>2</v>
      </c>
      <c r="Y1840" s="4">
        <v>2</v>
      </c>
      <c r="Z1840" s="4">
        <v>2</v>
      </c>
      <c r="AA1840" s="2"/>
      <c r="AB1840" s="2" t="s">
        <v>47</v>
      </c>
      <c r="AC1840" s="2"/>
    </row>
    <row r="1841" spans="1:29" ht="26" x14ac:dyDescent="0.15">
      <c r="A1841" s="3">
        <f>DATE(1995,3,23)</f>
        <v>34781</v>
      </c>
      <c r="B1841" s="2"/>
      <c r="C1841" s="2" t="s">
        <v>189</v>
      </c>
      <c r="D1841" s="2" t="s">
        <v>6008</v>
      </c>
      <c r="E1841" s="2" t="s">
        <v>6009</v>
      </c>
      <c r="F1841" s="4">
        <v>5137</v>
      </c>
      <c r="G1841" s="2" t="s">
        <v>593</v>
      </c>
      <c r="H1841" s="2" t="s">
        <v>34</v>
      </c>
      <c r="I1841" s="2" t="s">
        <v>143</v>
      </c>
      <c r="J1841" s="2" t="s">
        <v>144</v>
      </c>
      <c r="K1841" s="2" t="s">
        <v>53</v>
      </c>
      <c r="L1841" s="2" t="s">
        <v>139</v>
      </c>
      <c r="M1841" s="2"/>
      <c r="N1841" s="2"/>
      <c r="O1841" s="2"/>
      <c r="P1841" s="2" t="s">
        <v>6010</v>
      </c>
      <c r="Q1841" s="2"/>
      <c r="R1841" s="2"/>
      <c r="S1841" s="5">
        <v>-3.4</v>
      </c>
      <c r="T1841" s="7">
        <v>-5.0039999999999996</v>
      </c>
      <c r="U1841" s="5">
        <v>1.3</v>
      </c>
      <c r="V1841" s="9">
        <v>-0.20150000000000001</v>
      </c>
      <c r="W1841" s="7">
        <v>3.5630000000000002</v>
      </c>
      <c r="X1841" s="7">
        <v>3.375</v>
      </c>
      <c r="Y1841" s="7">
        <v>3.875</v>
      </c>
      <c r="Z1841" s="7">
        <v>3.875</v>
      </c>
      <c r="AA1841" s="2"/>
      <c r="AB1841" s="2" t="s">
        <v>86</v>
      </c>
      <c r="AC1841" s="2"/>
    </row>
    <row r="1842" spans="1:29" ht="65" x14ac:dyDescent="0.15">
      <c r="A1842" s="3">
        <f>DATE(1995,3,23)</f>
        <v>34781</v>
      </c>
      <c r="B1842" s="2"/>
      <c r="C1842" s="2" t="s">
        <v>30</v>
      </c>
      <c r="D1842" s="2" t="s">
        <v>6011</v>
      </c>
      <c r="E1842" s="2" t="s">
        <v>6012</v>
      </c>
      <c r="F1842" s="4">
        <v>7359</v>
      </c>
      <c r="G1842" s="2" t="s">
        <v>223</v>
      </c>
      <c r="H1842" s="2" t="s">
        <v>34</v>
      </c>
      <c r="I1842" s="2" t="s">
        <v>5580</v>
      </c>
      <c r="J1842" s="2" t="s">
        <v>5581</v>
      </c>
      <c r="K1842" s="2" t="s">
        <v>50</v>
      </c>
      <c r="L1842" s="2" t="s">
        <v>34</v>
      </c>
      <c r="M1842" s="2"/>
      <c r="N1842" s="7">
        <v>3.375</v>
      </c>
      <c r="O1842" s="7">
        <v>3.4380000000000002</v>
      </c>
      <c r="P1842" s="2" t="s">
        <v>6013</v>
      </c>
      <c r="Q1842" s="2"/>
      <c r="R1842" s="2"/>
      <c r="S1842" s="5">
        <v>-2.6</v>
      </c>
      <c r="T1842" s="7">
        <v>-4.3330000000000002</v>
      </c>
      <c r="U1842" s="5">
        <v>2.5</v>
      </c>
      <c r="V1842" s="7">
        <v>-0.309</v>
      </c>
      <c r="W1842" s="7">
        <v>1.875</v>
      </c>
      <c r="X1842" s="4">
        <v>2</v>
      </c>
      <c r="Y1842" s="7">
        <v>2.625</v>
      </c>
      <c r="Z1842" s="5">
        <v>2.5</v>
      </c>
      <c r="AA1842" s="6">
        <v>7.9</v>
      </c>
      <c r="AB1842" s="2" t="s">
        <v>86</v>
      </c>
      <c r="AC1842" s="6">
        <v>9.4700000000000006</v>
      </c>
    </row>
    <row r="1843" spans="1:29" ht="130" x14ac:dyDescent="0.15">
      <c r="A1843" s="3">
        <f>DATE(1995,3,23)</f>
        <v>34781</v>
      </c>
      <c r="B1843" s="2"/>
      <c r="C1843" s="2" t="s">
        <v>30</v>
      </c>
      <c r="D1843" s="2" t="s">
        <v>5985</v>
      </c>
      <c r="E1843" s="2" t="s">
        <v>5986</v>
      </c>
      <c r="F1843" s="4">
        <v>5088</v>
      </c>
      <c r="G1843" s="2" t="s">
        <v>76</v>
      </c>
      <c r="H1843" s="2" t="s">
        <v>34</v>
      </c>
      <c r="I1843" s="2" t="s">
        <v>51</v>
      </c>
      <c r="J1843" s="2" t="s">
        <v>52</v>
      </c>
      <c r="K1843" s="2" t="s">
        <v>53</v>
      </c>
      <c r="L1843" s="2" t="s">
        <v>34</v>
      </c>
      <c r="M1843" s="2"/>
      <c r="N1843" s="2"/>
      <c r="O1843" s="2"/>
      <c r="P1843" s="2" t="s">
        <v>6014</v>
      </c>
      <c r="Q1843" s="2"/>
      <c r="R1843" s="6">
        <v>2.25</v>
      </c>
      <c r="S1843" s="5">
        <v>-11.7</v>
      </c>
      <c r="T1843" s="7">
        <v>-2.9889999999999999</v>
      </c>
      <c r="U1843" s="5">
        <v>8.9</v>
      </c>
      <c r="V1843" s="6">
        <v>-5.8</v>
      </c>
      <c r="W1843" s="4">
        <v>2</v>
      </c>
      <c r="X1843" s="4">
        <v>2</v>
      </c>
      <c r="Y1843" s="7">
        <v>2.125</v>
      </c>
      <c r="Z1843" s="4">
        <v>2</v>
      </c>
      <c r="AA1843" s="6">
        <v>39.979999999999997</v>
      </c>
      <c r="AB1843" s="2" t="s">
        <v>86</v>
      </c>
      <c r="AC1843" s="2"/>
    </row>
    <row r="1844" spans="1:29" ht="26" x14ac:dyDescent="0.15">
      <c r="A1844" s="3">
        <f>DATE(1995,3,24)</f>
        <v>34782</v>
      </c>
      <c r="B1844" s="3">
        <f>DATE(1995,3,24)</f>
        <v>34782</v>
      </c>
      <c r="C1844" s="2" t="s">
        <v>95</v>
      </c>
      <c r="D1844" s="2" t="s">
        <v>6015</v>
      </c>
      <c r="E1844" s="2" t="s">
        <v>3360</v>
      </c>
      <c r="F1844" s="4">
        <v>8732</v>
      </c>
      <c r="G1844" s="2" t="s">
        <v>223</v>
      </c>
      <c r="H1844" s="2" t="s">
        <v>34</v>
      </c>
      <c r="I1844" s="2" t="s">
        <v>6015</v>
      </c>
      <c r="J1844" s="2" t="s">
        <v>3360</v>
      </c>
      <c r="K1844" s="2" t="s">
        <v>223</v>
      </c>
      <c r="L1844" s="2" t="s">
        <v>34</v>
      </c>
      <c r="M1844" s="2"/>
      <c r="N1844" s="6">
        <v>3.75</v>
      </c>
      <c r="O1844" s="6">
        <v>3.75</v>
      </c>
      <c r="P1844" s="2" t="s">
        <v>6016</v>
      </c>
      <c r="Q1844" s="6">
        <v>80.150000000000006</v>
      </c>
      <c r="R1844" s="2"/>
      <c r="S1844" s="2"/>
      <c r="T1844" s="2"/>
      <c r="U1844" s="2"/>
      <c r="V1844" s="2"/>
      <c r="W1844" s="9">
        <v>3.8125</v>
      </c>
      <c r="X1844" s="7">
        <v>3.875</v>
      </c>
      <c r="Y1844" s="6">
        <v>3.75</v>
      </c>
      <c r="Z1844" s="6">
        <v>3.75</v>
      </c>
      <c r="AA1844" s="6">
        <v>13.1</v>
      </c>
      <c r="AB1844" s="2" t="s">
        <v>47</v>
      </c>
      <c r="AC1844" s="2"/>
    </row>
    <row r="1845" spans="1:29" ht="104" x14ac:dyDescent="0.15">
      <c r="A1845" s="3">
        <f>DATE(1995,3,24)</f>
        <v>34782</v>
      </c>
      <c r="B1845" s="3">
        <f>DATE(1995,4,26)</f>
        <v>34815</v>
      </c>
      <c r="C1845" s="2" t="s">
        <v>95</v>
      </c>
      <c r="D1845" s="2" t="s">
        <v>6017</v>
      </c>
      <c r="E1845" s="2" t="s">
        <v>6018</v>
      </c>
      <c r="F1845" s="4">
        <v>2834</v>
      </c>
      <c r="G1845" s="2" t="s">
        <v>130</v>
      </c>
      <c r="H1845" s="2" t="s">
        <v>34</v>
      </c>
      <c r="I1845" s="2" t="s">
        <v>6019</v>
      </c>
      <c r="J1845" s="2" t="s">
        <v>6020</v>
      </c>
      <c r="K1845" s="2" t="s">
        <v>226</v>
      </c>
      <c r="L1845" s="2" t="s">
        <v>34</v>
      </c>
      <c r="M1845" s="7">
        <v>412.41199999999998</v>
      </c>
      <c r="N1845" s="4">
        <v>25</v>
      </c>
      <c r="O1845" s="7">
        <v>25.375</v>
      </c>
      <c r="P1845" s="2" t="s">
        <v>6021</v>
      </c>
      <c r="Q1845" s="6">
        <v>100</v>
      </c>
      <c r="R1845" s="6">
        <v>12.25</v>
      </c>
      <c r="S1845" s="5">
        <v>2.2999999999999998</v>
      </c>
      <c r="T1845" s="7">
        <v>7.2130000000000001</v>
      </c>
      <c r="U1845" s="5">
        <v>11</v>
      </c>
      <c r="V1845" s="7">
        <v>0.56100000000000005</v>
      </c>
      <c r="W1845" s="7">
        <v>7.375</v>
      </c>
      <c r="X1845" s="7">
        <v>7.375</v>
      </c>
      <c r="Y1845" s="7">
        <v>7.375</v>
      </c>
      <c r="Z1845" s="7">
        <v>12.063000000000001</v>
      </c>
      <c r="AA1845" s="6">
        <v>4</v>
      </c>
      <c r="AB1845" s="7">
        <v>16.314</v>
      </c>
      <c r="AC1845" s="5">
        <v>27.2</v>
      </c>
    </row>
    <row r="1846" spans="1:29" ht="52" x14ac:dyDescent="0.15">
      <c r="A1846" s="3">
        <f>DATE(1995,3,27)</f>
        <v>34785</v>
      </c>
      <c r="B1846" s="3">
        <f>DATE(1995,12,1)</f>
        <v>35034</v>
      </c>
      <c r="C1846" s="2" t="s">
        <v>95</v>
      </c>
      <c r="D1846" s="2" t="s">
        <v>6022</v>
      </c>
      <c r="E1846" s="2" t="s">
        <v>36</v>
      </c>
      <c r="F1846" s="4">
        <v>6022</v>
      </c>
      <c r="G1846" s="2" t="s">
        <v>37</v>
      </c>
      <c r="H1846" s="2" t="s">
        <v>34</v>
      </c>
      <c r="I1846" s="2" t="s">
        <v>6023</v>
      </c>
      <c r="J1846" s="2" t="s">
        <v>36</v>
      </c>
      <c r="K1846" s="2" t="s">
        <v>37</v>
      </c>
      <c r="L1846" s="2" t="s">
        <v>34</v>
      </c>
      <c r="M1846" s="12">
        <v>1185.471</v>
      </c>
      <c r="N1846" s="4">
        <v>63</v>
      </c>
      <c r="O1846" s="6">
        <v>62.75</v>
      </c>
      <c r="P1846" s="2" t="s">
        <v>6024</v>
      </c>
      <c r="Q1846" s="6">
        <v>100</v>
      </c>
      <c r="R1846" s="6">
        <v>8.8000000000000007</v>
      </c>
      <c r="S1846" s="5">
        <v>1.9</v>
      </c>
      <c r="T1846" s="7">
        <v>1.794</v>
      </c>
      <c r="U1846" s="5">
        <v>4.2</v>
      </c>
      <c r="V1846" s="6">
        <v>0.88</v>
      </c>
      <c r="W1846" s="5">
        <v>6.5</v>
      </c>
      <c r="X1846" s="7">
        <v>8.125</v>
      </c>
      <c r="Y1846" s="6">
        <v>8.25</v>
      </c>
      <c r="Z1846" s="7">
        <v>8.125</v>
      </c>
      <c r="AA1846" s="6">
        <v>2.11</v>
      </c>
      <c r="AB1846" s="7">
        <v>69.932000000000002</v>
      </c>
      <c r="AC1846" s="2"/>
    </row>
    <row r="1847" spans="1:29" ht="52" x14ac:dyDescent="0.15">
      <c r="A1847" s="3">
        <f>DATE(1995,3,27)</f>
        <v>34785</v>
      </c>
      <c r="B1847" s="2"/>
      <c r="C1847" s="2" t="s">
        <v>87</v>
      </c>
      <c r="D1847" s="2" t="s">
        <v>4716</v>
      </c>
      <c r="E1847" s="2" t="s">
        <v>4717</v>
      </c>
      <c r="F1847" s="4">
        <v>7361</v>
      </c>
      <c r="G1847" s="2" t="s">
        <v>223</v>
      </c>
      <c r="H1847" s="2" t="s">
        <v>34</v>
      </c>
      <c r="I1847" s="2" t="s">
        <v>6025</v>
      </c>
      <c r="J1847" s="2" t="s">
        <v>6026</v>
      </c>
      <c r="K1847" s="2" t="s">
        <v>454</v>
      </c>
      <c r="L1847" s="2" t="s">
        <v>34</v>
      </c>
      <c r="M1847" s="2"/>
      <c r="N1847" s="7">
        <v>1.625</v>
      </c>
      <c r="O1847" s="7">
        <v>1.375</v>
      </c>
      <c r="P1847" s="2" t="s">
        <v>6027</v>
      </c>
      <c r="Q1847" s="2"/>
      <c r="R1847" s="2"/>
      <c r="S1847" s="5">
        <v>-11.4</v>
      </c>
      <c r="T1847" s="7">
        <v>-7.7080000000000002</v>
      </c>
      <c r="U1847" s="5">
        <v>1.4</v>
      </c>
      <c r="V1847" s="6">
        <v>2.02</v>
      </c>
      <c r="W1847" s="7">
        <v>1.125</v>
      </c>
      <c r="X1847" s="6">
        <v>1.25</v>
      </c>
      <c r="Y1847" s="7">
        <v>1.375</v>
      </c>
      <c r="Z1847" s="7">
        <v>1.375</v>
      </c>
      <c r="AA1847" s="6">
        <v>5.65</v>
      </c>
      <c r="AB1847" s="2" t="s">
        <v>86</v>
      </c>
      <c r="AC1847" s="2"/>
    </row>
    <row r="1848" spans="1:29" ht="117" x14ac:dyDescent="0.15">
      <c r="A1848" s="3">
        <f>DATE(1995,3,27)</f>
        <v>34785</v>
      </c>
      <c r="B1848" s="3">
        <f>DATE(1995,9,1)</f>
        <v>34943</v>
      </c>
      <c r="C1848" s="2" t="s">
        <v>95</v>
      </c>
      <c r="D1848" s="2" t="s">
        <v>6028</v>
      </c>
      <c r="E1848" s="2" t="s">
        <v>1181</v>
      </c>
      <c r="F1848" s="4">
        <v>6021</v>
      </c>
      <c r="G1848" s="2" t="s">
        <v>37</v>
      </c>
      <c r="H1848" s="2" t="s">
        <v>34</v>
      </c>
      <c r="I1848" s="2" t="s">
        <v>4059</v>
      </c>
      <c r="J1848" s="2" t="s">
        <v>4060</v>
      </c>
      <c r="K1848" s="2" t="s">
        <v>37</v>
      </c>
      <c r="L1848" s="2" t="s">
        <v>34</v>
      </c>
      <c r="M1848" s="12">
        <v>6205.2550000000001</v>
      </c>
      <c r="N1848" s="6">
        <v>32.25</v>
      </c>
      <c r="O1848" s="6">
        <v>32.25</v>
      </c>
      <c r="P1848" s="2" t="s">
        <v>6029</v>
      </c>
      <c r="Q1848" s="6">
        <v>100</v>
      </c>
      <c r="R1848" s="6">
        <v>41.98</v>
      </c>
      <c r="S1848" s="5">
        <v>9</v>
      </c>
      <c r="T1848" s="2"/>
      <c r="U1848" s="5">
        <v>17.5</v>
      </c>
      <c r="V1848" s="6">
        <v>2.73</v>
      </c>
      <c r="W1848" s="6">
        <v>36.25</v>
      </c>
      <c r="X1848" s="5">
        <v>38.5</v>
      </c>
      <c r="Y1848" s="7">
        <v>39.375</v>
      </c>
      <c r="Z1848" s="7">
        <v>39.625</v>
      </c>
      <c r="AA1848" s="6">
        <v>3.3</v>
      </c>
      <c r="AB1848" s="7">
        <v>28.224</v>
      </c>
      <c r="AC1848" s="2"/>
    </row>
    <row r="1849" spans="1:29" ht="78" x14ac:dyDescent="0.15">
      <c r="A1849" s="3">
        <f>DATE(1995,3,27)</f>
        <v>34785</v>
      </c>
      <c r="B1849" s="2"/>
      <c r="C1849" s="2" t="s">
        <v>30</v>
      </c>
      <c r="D1849" s="2" t="s">
        <v>6030</v>
      </c>
      <c r="E1849" s="2" t="s">
        <v>6031</v>
      </c>
      <c r="F1849" s="4">
        <v>2873</v>
      </c>
      <c r="G1849" s="2" t="s">
        <v>98</v>
      </c>
      <c r="H1849" s="2" t="s">
        <v>34</v>
      </c>
      <c r="I1849" s="2" t="s">
        <v>6032</v>
      </c>
      <c r="J1849" s="2" t="s">
        <v>6033</v>
      </c>
      <c r="K1849" s="2" t="s">
        <v>98</v>
      </c>
      <c r="L1849" s="2" t="s">
        <v>34</v>
      </c>
      <c r="M1849" s="7">
        <v>846.63599999999997</v>
      </c>
      <c r="N1849" s="5">
        <v>11.5</v>
      </c>
      <c r="O1849" s="7">
        <v>10.875</v>
      </c>
      <c r="P1849" s="2" t="s">
        <v>6034</v>
      </c>
      <c r="Q1849" s="2"/>
      <c r="R1849" s="6">
        <v>30</v>
      </c>
      <c r="S1849" s="5">
        <v>69.3</v>
      </c>
      <c r="T1849" s="7">
        <v>86.012</v>
      </c>
      <c r="U1849" s="5">
        <v>29</v>
      </c>
      <c r="V1849" s="7">
        <v>3.6080000000000001</v>
      </c>
      <c r="W1849" s="4">
        <v>27</v>
      </c>
      <c r="X1849" s="5">
        <v>27.5</v>
      </c>
      <c r="Y1849" s="6">
        <v>29.25</v>
      </c>
      <c r="Z1849" s="5">
        <v>30.5</v>
      </c>
      <c r="AA1849" s="6">
        <v>18.809999999999999</v>
      </c>
      <c r="AB1849" s="7">
        <v>6.9119999999999999</v>
      </c>
      <c r="AC1849" s="6">
        <v>158.38</v>
      </c>
    </row>
    <row r="1850" spans="1:29" ht="156" x14ac:dyDescent="0.15">
      <c r="A1850" s="3">
        <f>DATE(1995,3,27)</f>
        <v>34785</v>
      </c>
      <c r="B1850" s="2"/>
      <c r="C1850" s="2" t="s">
        <v>30</v>
      </c>
      <c r="D1850" s="2" t="s">
        <v>4334</v>
      </c>
      <c r="E1850" s="2" t="s">
        <v>4335</v>
      </c>
      <c r="F1850" s="4">
        <v>6324</v>
      </c>
      <c r="G1850" s="2" t="s">
        <v>125</v>
      </c>
      <c r="H1850" s="2" t="s">
        <v>34</v>
      </c>
      <c r="I1850" s="2" t="s">
        <v>6035</v>
      </c>
      <c r="J1850" s="2" t="s">
        <v>6036</v>
      </c>
      <c r="K1850" s="2" t="s">
        <v>454</v>
      </c>
      <c r="L1850" s="2" t="s">
        <v>34</v>
      </c>
      <c r="M1850" s="2"/>
      <c r="N1850" s="2"/>
      <c r="O1850" s="2"/>
      <c r="P1850" s="2" t="s">
        <v>6037</v>
      </c>
      <c r="Q1850" s="2"/>
      <c r="R1850" s="6">
        <v>48</v>
      </c>
      <c r="S1850" s="5">
        <v>213.2</v>
      </c>
      <c r="T1850" s="7">
        <v>375.25200000000001</v>
      </c>
      <c r="U1850" s="5">
        <v>7.1</v>
      </c>
      <c r="V1850" s="6">
        <v>1.07</v>
      </c>
      <c r="W1850" s="5">
        <v>29.5</v>
      </c>
      <c r="X1850" s="7">
        <v>28.625</v>
      </c>
      <c r="Y1850" s="7">
        <v>32.625</v>
      </c>
      <c r="Z1850" s="4">
        <v>33</v>
      </c>
      <c r="AA1850" s="6">
        <v>99.5</v>
      </c>
      <c r="AB1850" s="7">
        <v>25.5</v>
      </c>
      <c r="AC1850" s="2"/>
    </row>
    <row r="1851" spans="1:29" ht="143" x14ac:dyDescent="0.15">
      <c r="A1851" s="3">
        <f>DATE(1995,3,28)</f>
        <v>34786</v>
      </c>
      <c r="B1851" s="3">
        <f>DATE(1995,9,29)</f>
        <v>34971</v>
      </c>
      <c r="C1851" s="2" t="s">
        <v>95</v>
      </c>
      <c r="D1851" s="2" t="s">
        <v>6038</v>
      </c>
      <c r="E1851" s="2" t="s">
        <v>6039</v>
      </c>
      <c r="F1851" s="4">
        <v>4841</v>
      </c>
      <c r="G1851" s="2" t="s">
        <v>45</v>
      </c>
      <c r="H1851" s="2" t="s">
        <v>34</v>
      </c>
      <c r="I1851" s="2" t="s">
        <v>6040</v>
      </c>
      <c r="J1851" s="2" t="s">
        <v>6041</v>
      </c>
      <c r="K1851" s="2" t="s">
        <v>45</v>
      </c>
      <c r="L1851" s="2" t="s">
        <v>34</v>
      </c>
      <c r="M1851" s="7">
        <v>165.851</v>
      </c>
      <c r="N1851" s="4">
        <v>13</v>
      </c>
      <c r="O1851" s="5">
        <v>14.5</v>
      </c>
      <c r="P1851" s="2" t="s">
        <v>6042</v>
      </c>
      <c r="Q1851" s="6">
        <v>100</v>
      </c>
      <c r="R1851" s="6">
        <v>19.79</v>
      </c>
      <c r="S1851" s="5">
        <v>-6.4</v>
      </c>
      <c r="T1851" s="6">
        <v>0.09</v>
      </c>
      <c r="U1851" s="5">
        <v>4.7</v>
      </c>
      <c r="V1851" s="7">
        <v>-0.77100000000000002</v>
      </c>
      <c r="W1851" s="5">
        <v>14.5</v>
      </c>
      <c r="X1851" s="7">
        <v>14.952999999999999</v>
      </c>
      <c r="Y1851" s="5">
        <v>15.5</v>
      </c>
      <c r="Z1851" s="7">
        <v>18.312999999999999</v>
      </c>
      <c r="AA1851" s="6">
        <v>10.58</v>
      </c>
      <c r="AB1851" s="2" t="s">
        <v>86</v>
      </c>
      <c r="AC1851" s="6">
        <v>1.2</v>
      </c>
    </row>
    <row r="1852" spans="1:29" ht="117" x14ac:dyDescent="0.15">
      <c r="A1852" s="3">
        <f>DATE(1995,3,28)</f>
        <v>34786</v>
      </c>
      <c r="B1852" s="3">
        <f>DATE(1995,5,25)</f>
        <v>34844</v>
      </c>
      <c r="C1852" s="2" t="s">
        <v>95</v>
      </c>
      <c r="D1852" s="2" t="s">
        <v>5790</v>
      </c>
      <c r="E1852" s="2" t="s">
        <v>5791</v>
      </c>
      <c r="F1852" s="4">
        <v>5013</v>
      </c>
      <c r="G1852" s="2" t="s">
        <v>76</v>
      </c>
      <c r="H1852" s="2" t="s">
        <v>34</v>
      </c>
      <c r="I1852" s="2" t="s">
        <v>6043</v>
      </c>
      <c r="J1852" s="2" t="s">
        <v>6044</v>
      </c>
      <c r="K1852" s="2" t="s">
        <v>300</v>
      </c>
      <c r="L1852" s="2" t="s">
        <v>34</v>
      </c>
      <c r="M1852" s="12">
        <v>3298.3609999999999</v>
      </c>
      <c r="N1852" s="7">
        <v>32.125</v>
      </c>
      <c r="O1852" s="7">
        <v>32.125</v>
      </c>
      <c r="P1852" s="2" t="s">
        <v>6045</v>
      </c>
      <c r="Q1852" s="6">
        <v>98.42</v>
      </c>
      <c r="R1852" s="6">
        <v>86</v>
      </c>
      <c r="S1852" s="5">
        <v>161.9</v>
      </c>
      <c r="T1852" s="7">
        <v>126.39700000000001</v>
      </c>
      <c r="U1852" s="5">
        <v>26</v>
      </c>
      <c r="V1852" s="6">
        <v>9.3000000000000007</v>
      </c>
      <c r="W1852" s="7">
        <v>50.625</v>
      </c>
      <c r="X1852" s="7">
        <v>52.625</v>
      </c>
      <c r="Y1852" s="7">
        <v>53.125</v>
      </c>
      <c r="Z1852" s="6">
        <v>81.25</v>
      </c>
      <c r="AA1852" s="6">
        <v>17.13</v>
      </c>
      <c r="AB1852" s="7">
        <v>16.434999999999999</v>
      </c>
      <c r="AC1852" s="6">
        <v>211.25</v>
      </c>
    </row>
    <row r="1853" spans="1:29" ht="26" x14ac:dyDescent="0.15">
      <c r="A1853" s="3">
        <f>DATE(1995,3,28)</f>
        <v>34786</v>
      </c>
      <c r="B1853" s="2"/>
      <c r="C1853" s="2" t="s">
        <v>141</v>
      </c>
      <c r="D1853" s="2" t="s">
        <v>6046</v>
      </c>
      <c r="E1853" s="2" t="s">
        <v>6047</v>
      </c>
      <c r="F1853" s="4">
        <v>3812</v>
      </c>
      <c r="G1853" s="2" t="s">
        <v>226</v>
      </c>
      <c r="H1853" s="2" t="s">
        <v>34</v>
      </c>
      <c r="I1853" s="2" t="s">
        <v>143</v>
      </c>
      <c r="J1853" s="2" t="s">
        <v>144</v>
      </c>
      <c r="K1853" s="2" t="s">
        <v>53</v>
      </c>
      <c r="L1853" s="2" t="s">
        <v>139</v>
      </c>
      <c r="M1853" s="2"/>
      <c r="N1853" s="2"/>
      <c r="O1853" s="2"/>
      <c r="P1853" s="2" t="s">
        <v>6048</v>
      </c>
      <c r="Q1853" s="2"/>
      <c r="R1853" s="2"/>
      <c r="S1853" s="5">
        <v>-8.4</v>
      </c>
      <c r="T1853" s="5">
        <v>97.3</v>
      </c>
      <c r="U1853" s="5">
        <v>4.9000000000000004</v>
      </c>
      <c r="V1853" s="6">
        <v>-0.15</v>
      </c>
      <c r="W1853" s="5">
        <v>22.5</v>
      </c>
      <c r="X1853" s="6">
        <v>22.75</v>
      </c>
      <c r="Y1853" s="7">
        <v>26.625</v>
      </c>
      <c r="Z1853" s="7">
        <v>26.125</v>
      </c>
      <c r="AA1853" s="2"/>
      <c r="AB1853" s="2" t="s">
        <v>47</v>
      </c>
      <c r="AC1853" s="2"/>
    </row>
    <row r="1854" spans="1:29" ht="91" x14ac:dyDescent="0.15">
      <c r="A1854" s="3">
        <f>DATE(1995,3,29)</f>
        <v>34787</v>
      </c>
      <c r="B1854" s="3">
        <f>DATE(1995,4,28)</f>
        <v>34817</v>
      </c>
      <c r="C1854" s="2" t="s">
        <v>95</v>
      </c>
      <c r="D1854" s="2" t="s">
        <v>6049</v>
      </c>
      <c r="E1854" s="2" t="s">
        <v>6050</v>
      </c>
      <c r="F1854" s="4">
        <v>5072</v>
      </c>
      <c r="G1854" s="2" t="s">
        <v>76</v>
      </c>
      <c r="H1854" s="2" t="s">
        <v>34</v>
      </c>
      <c r="I1854" s="2" t="s">
        <v>6051</v>
      </c>
      <c r="J1854" s="2" t="s">
        <v>6052</v>
      </c>
      <c r="K1854" s="2" t="s">
        <v>73</v>
      </c>
      <c r="L1854" s="2" t="s">
        <v>34</v>
      </c>
      <c r="M1854" s="2"/>
      <c r="N1854" s="2"/>
      <c r="O1854" s="2"/>
      <c r="P1854" s="2" t="s">
        <v>6053</v>
      </c>
      <c r="Q1854" s="6">
        <v>100</v>
      </c>
      <c r="R1854" s="6">
        <v>1.75</v>
      </c>
      <c r="S1854" s="5">
        <v>-1.4</v>
      </c>
      <c r="T1854" s="2"/>
      <c r="U1854" s="5">
        <v>1</v>
      </c>
      <c r="V1854" s="7">
        <v>-1.179</v>
      </c>
      <c r="W1854" s="7">
        <v>0.93799999999999994</v>
      </c>
      <c r="X1854" s="7">
        <v>1.125</v>
      </c>
      <c r="Y1854" s="5">
        <v>1.5</v>
      </c>
      <c r="Z1854" s="7">
        <v>1.5629999999999999</v>
      </c>
      <c r="AA1854" s="6">
        <v>1.22</v>
      </c>
      <c r="AB1854" s="2" t="s">
        <v>86</v>
      </c>
      <c r="AC1854" s="2"/>
    </row>
    <row r="1855" spans="1:29" ht="143" x14ac:dyDescent="0.15">
      <c r="A1855" s="3">
        <f>DATE(1995,3,30)</f>
        <v>34788</v>
      </c>
      <c r="B1855" s="3">
        <f>DATE(1995,7,17)</f>
        <v>34897</v>
      </c>
      <c r="C1855" s="2" t="s">
        <v>95</v>
      </c>
      <c r="D1855" s="2" t="s">
        <v>6054</v>
      </c>
      <c r="E1855" s="2" t="s">
        <v>129</v>
      </c>
      <c r="F1855" s="4">
        <v>2834</v>
      </c>
      <c r="G1855" s="2" t="s">
        <v>130</v>
      </c>
      <c r="H1855" s="2" t="s">
        <v>34</v>
      </c>
      <c r="I1855" s="2" t="s">
        <v>6055</v>
      </c>
      <c r="J1855" s="2" t="s">
        <v>6056</v>
      </c>
      <c r="K1855" s="2" t="s">
        <v>130</v>
      </c>
      <c r="L1855" s="2" t="s">
        <v>34</v>
      </c>
      <c r="M1855" s="7">
        <v>473.30799999999999</v>
      </c>
      <c r="N1855" s="6">
        <v>30.75</v>
      </c>
      <c r="O1855" s="5">
        <v>29.5</v>
      </c>
      <c r="P1855" s="2" t="s">
        <v>6057</v>
      </c>
      <c r="Q1855" s="6">
        <v>100</v>
      </c>
      <c r="R1855" s="6">
        <v>27.95</v>
      </c>
      <c r="S1855" s="5">
        <v>17.3</v>
      </c>
      <c r="T1855" s="7">
        <v>-13.891999999999999</v>
      </c>
      <c r="U1855" s="5">
        <v>3.7</v>
      </c>
      <c r="V1855" s="6">
        <v>0.79</v>
      </c>
      <c r="W1855" s="5">
        <v>17.5</v>
      </c>
      <c r="X1855" s="6">
        <v>17.75</v>
      </c>
      <c r="Y1855" s="6">
        <v>23.75</v>
      </c>
      <c r="Z1855" s="6">
        <v>22.75</v>
      </c>
      <c r="AA1855" s="6">
        <v>21.78</v>
      </c>
      <c r="AB1855" s="2" t="s">
        <v>86</v>
      </c>
      <c r="AC1855" s="5">
        <v>56.5</v>
      </c>
    </row>
    <row r="1856" spans="1:29" ht="39" x14ac:dyDescent="0.15">
      <c r="A1856" s="3">
        <f>DATE(1995,3,30)</f>
        <v>34788</v>
      </c>
      <c r="B1856" s="2"/>
      <c r="C1856" s="2" t="s">
        <v>30</v>
      </c>
      <c r="D1856" s="2" t="s">
        <v>6058</v>
      </c>
      <c r="E1856" s="2" t="s">
        <v>92</v>
      </c>
      <c r="F1856" s="4">
        <v>6798</v>
      </c>
      <c r="G1856" s="2" t="s">
        <v>53</v>
      </c>
      <c r="H1856" s="2" t="s">
        <v>34</v>
      </c>
      <c r="I1856" s="2" t="s">
        <v>6059</v>
      </c>
      <c r="J1856" s="2" t="s">
        <v>6060</v>
      </c>
      <c r="K1856" s="2" t="s">
        <v>109</v>
      </c>
      <c r="L1856" s="2" t="s">
        <v>34</v>
      </c>
      <c r="M1856" s="2"/>
      <c r="N1856" s="2"/>
      <c r="O1856" s="2"/>
      <c r="P1856" s="2" t="s">
        <v>6061</v>
      </c>
      <c r="Q1856" s="2"/>
      <c r="R1856" s="6">
        <v>11.31</v>
      </c>
      <c r="S1856" s="5">
        <v>-4.2</v>
      </c>
      <c r="T1856" s="7">
        <v>-2.7650000000000001</v>
      </c>
      <c r="U1856" s="5">
        <v>2.6</v>
      </c>
      <c r="V1856" s="7">
        <v>-2.1120000000000001</v>
      </c>
      <c r="W1856" s="7">
        <v>4.8129999999999997</v>
      </c>
      <c r="X1856" s="7">
        <v>5.125</v>
      </c>
      <c r="Y1856" s="7">
        <v>5.1879999999999997</v>
      </c>
      <c r="Z1856" s="7">
        <v>5.1879999999999997</v>
      </c>
      <c r="AA1856" s="6">
        <v>1.97</v>
      </c>
      <c r="AB1856" s="2" t="s">
        <v>86</v>
      </c>
      <c r="AC1856" s="2"/>
    </row>
    <row r="1857" spans="1:29" ht="143" x14ac:dyDescent="0.15">
      <c r="A1857" s="3">
        <f>DATE(1995,3,31)</f>
        <v>34789</v>
      </c>
      <c r="B1857" s="3">
        <f>DATE(1995,7,10)</f>
        <v>34890</v>
      </c>
      <c r="C1857" s="2" t="s">
        <v>95</v>
      </c>
      <c r="D1857" s="2" t="s">
        <v>2565</v>
      </c>
      <c r="E1857" s="2" t="s">
        <v>2566</v>
      </c>
      <c r="F1857" s="4">
        <v>8069</v>
      </c>
      <c r="G1857" s="2" t="s">
        <v>454</v>
      </c>
      <c r="H1857" s="2" t="s">
        <v>34</v>
      </c>
      <c r="I1857" s="2" t="s">
        <v>6062</v>
      </c>
      <c r="J1857" s="2" t="s">
        <v>4031</v>
      </c>
      <c r="K1857" s="2" t="s">
        <v>454</v>
      </c>
      <c r="L1857" s="2" t="s">
        <v>34</v>
      </c>
      <c r="M1857" s="7">
        <v>707.26300000000003</v>
      </c>
      <c r="N1857" s="6">
        <v>26.75</v>
      </c>
      <c r="O1857" s="6">
        <v>23.25</v>
      </c>
      <c r="P1857" s="2" t="s">
        <v>6063</v>
      </c>
      <c r="Q1857" s="6">
        <v>100</v>
      </c>
      <c r="R1857" s="6">
        <v>14.98</v>
      </c>
      <c r="S1857" s="5">
        <v>-34.5</v>
      </c>
      <c r="T1857" s="7">
        <v>110.351</v>
      </c>
      <c r="U1857" s="5">
        <v>6.1</v>
      </c>
      <c r="V1857" s="6">
        <v>-0.92</v>
      </c>
      <c r="W1857" s="7">
        <v>6.375</v>
      </c>
      <c r="X1857" s="7">
        <v>7.125</v>
      </c>
      <c r="Y1857" s="7">
        <v>7.625</v>
      </c>
      <c r="Z1857" s="7">
        <v>11.375</v>
      </c>
      <c r="AA1857" s="6">
        <v>38.54</v>
      </c>
      <c r="AB1857" s="7">
        <v>12.411</v>
      </c>
      <c r="AC1857" s="6">
        <v>10.96</v>
      </c>
    </row>
    <row r="1858" spans="1:29" ht="117" x14ac:dyDescent="0.15">
      <c r="A1858" s="3">
        <f>DATE(1995,4,3)</f>
        <v>34792</v>
      </c>
      <c r="B1858" s="3">
        <f>DATE(1995,5,8)</f>
        <v>34827</v>
      </c>
      <c r="C1858" s="2" t="s">
        <v>95</v>
      </c>
      <c r="D1858" s="2" t="s">
        <v>6064</v>
      </c>
      <c r="E1858" s="2" t="s">
        <v>6065</v>
      </c>
      <c r="F1858" s="4">
        <v>3812</v>
      </c>
      <c r="G1858" s="2" t="s">
        <v>226</v>
      </c>
      <c r="H1858" s="2" t="s">
        <v>34</v>
      </c>
      <c r="I1858" s="2" t="s">
        <v>6066</v>
      </c>
      <c r="J1858" s="2" t="s">
        <v>6067</v>
      </c>
      <c r="K1858" s="2" t="s">
        <v>226</v>
      </c>
      <c r="L1858" s="2" t="s">
        <v>34</v>
      </c>
      <c r="M1858" s="12">
        <v>8769.7129999999997</v>
      </c>
      <c r="N1858" s="6">
        <v>71.75</v>
      </c>
      <c r="O1858" s="5">
        <v>70.5</v>
      </c>
      <c r="P1858" s="2" t="s">
        <v>6068</v>
      </c>
      <c r="Q1858" s="6">
        <v>100</v>
      </c>
      <c r="R1858" s="6">
        <v>64</v>
      </c>
      <c r="S1858" s="5">
        <v>95.6</v>
      </c>
      <c r="T1858" s="7">
        <v>218.21700000000001</v>
      </c>
      <c r="U1858" s="5">
        <v>24.6</v>
      </c>
      <c r="V1858" s="6">
        <v>2.79</v>
      </c>
      <c r="W1858" s="6">
        <v>44.75</v>
      </c>
      <c r="X1858" s="7">
        <v>45.375</v>
      </c>
      <c r="Y1858" s="4">
        <v>64</v>
      </c>
      <c r="Z1858" s="7">
        <v>63.625</v>
      </c>
      <c r="AA1858" s="6">
        <v>34.130000000000003</v>
      </c>
      <c r="AB1858" s="7">
        <v>13.737</v>
      </c>
      <c r="AC1858" s="6">
        <v>202.18</v>
      </c>
    </row>
    <row r="1859" spans="1:29" ht="156" x14ac:dyDescent="0.15">
      <c r="A1859" s="3">
        <f>DATE(1995,4,3)</f>
        <v>34792</v>
      </c>
      <c r="B1859" s="3">
        <f>DATE(1995,9,7)</f>
        <v>34949</v>
      </c>
      <c r="C1859" s="2" t="s">
        <v>95</v>
      </c>
      <c r="D1859" s="2" t="s">
        <v>5589</v>
      </c>
      <c r="E1859" s="2" t="s">
        <v>2814</v>
      </c>
      <c r="F1859" s="4">
        <v>4812</v>
      </c>
      <c r="G1859" s="2" t="s">
        <v>63</v>
      </c>
      <c r="H1859" s="2" t="s">
        <v>34</v>
      </c>
      <c r="I1859" s="2" t="s">
        <v>6069</v>
      </c>
      <c r="J1859" s="2" t="s">
        <v>6070</v>
      </c>
      <c r="K1859" s="2" t="s">
        <v>63</v>
      </c>
      <c r="L1859" s="2" t="s">
        <v>34</v>
      </c>
      <c r="M1859" s="7">
        <v>223.99600000000001</v>
      </c>
      <c r="N1859" s="7">
        <v>20.125</v>
      </c>
      <c r="O1859" s="4">
        <v>19</v>
      </c>
      <c r="P1859" s="2" t="s">
        <v>6071</v>
      </c>
      <c r="Q1859" s="6">
        <v>100</v>
      </c>
      <c r="R1859" s="6">
        <v>21.95</v>
      </c>
      <c r="S1859" s="5">
        <v>-5.0999999999999996</v>
      </c>
      <c r="T1859" s="7">
        <v>22.734999999999999</v>
      </c>
      <c r="U1859" s="5">
        <v>-4.8</v>
      </c>
      <c r="V1859" s="6">
        <v>-0.64</v>
      </c>
      <c r="W1859" s="6">
        <v>13.25</v>
      </c>
      <c r="X1859" s="7">
        <v>13.125</v>
      </c>
      <c r="Y1859" s="5">
        <v>13.5</v>
      </c>
      <c r="Z1859" s="4">
        <v>15</v>
      </c>
      <c r="AA1859" s="6">
        <v>14.73</v>
      </c>
      <c r="AB1859" s="7">
        <v>42.66</v>
      </c>
      <c r="AC1859" s="2"/>
    </row>
    <row r="1860" spans="1:29" ht="143" x14ac:dyDescent="0.15">
      <c r="A1860" s="3">
        <f>DATE(1995,4,4)</f>
        <v>34793</v>
      </c>
      <c r="B1860" s="3">
        <f>DATE(1995,6,26)</f>
        <v>34876</v>
      </c>
      <c r="C1860" s="2" t="s">
        <v>95</v>
      </c>
      <c r="D1860" s="2" t="s">
        <v>4744</v>
      </c>
      <c r="E1860" s="2" t="s">
        <v>4745</v>
      </c>
      <c r="F1860" s="4">
        <v>3824</v>
      </c>
      <c r="G1860" s="2" t="s">
        <v>226</v>
      </c>
      <c r="H1860" s="2" t="s">
        <v>34</v>
      </c>
      <c r="I1860" s="2" t="s">
        <v>6072</v>
      </c>
      <c r="J1860" s="2" t="s">
        <v>6073</v>
      </c>
      <c r="K1860" s="2" t="s">
        <v>98</v>
      </c>
      <c r="L1860" s="2" t="s">
        <v>34</v>
      </c>
      <c r="M1860" s="12">
        <v>2139.8130000000001</v>
      </c>
      <c r="N1860" s="6">
        <v>60.75</v>
      </c>
      <c r="O1860" s="7">
        <v>60.375</v>
      </c>
      <c r="P1860" s="2" t="s">
        <v>6074</v>
      </c>
      <c r="Q1860" s="6">
        <v>100</v>
      </c>
      <c r="R1860" s="6">
        <v>28</v>
      </c>
      <c r="S1860" s="5">
        <v>11.6</v>
      </c>
      <c r="T1860" s="7">
        <v>24.324999999999999</v>
      </c>
      <c r="U1860" s="5">
        <v>8.6</v>
      </c>
      <c r="V1860" s="7">
        <v>0.97299999999999998</v>
      </c>
      <c r="W1860" s="6">
        <v>13.25</v>
      </c>
      <c r="X1860" s="7">
        <v>13.625</v>
      </c>
      <c r="Y1860" s="7">
        <v>21.375</v>
      </c>
      <c r="Z1860" s="7">
        <v>21.375</v>
      </c>
      <c r="AA1860" s="6">
        <v>11.13</v>
      </c>
      <c r="AB1860" s="7">
        <v>18.585000000000001</v>
      </c>
      <c r="AC1860" s="5">
        <v>98.4</v>
      </c>
    </row>
    <row r="1861" spans="1:29" ht="130" x14ac:dyDescent="0.15">
      <c r="A1861" s="3">
        <f>DATE(1995,4,5)</f>
        <v>34794</v>
      </c>
      <c r="B1861" s="3">
        <f>DATE(1995,8,2)</f>
        <v>34913</v>
      </c>
      <c r="C1861" s="2" t="s">
        <v>95</v>
      </c>
      <c r="D1861" s="2" t="s">
        <v>6075</v>
      </c>
      <c r="E1861" s="2" t="s">
        <v>6076</v>
      </c>
      <c r="F1861" s="4">
        <v>7011</v>
      </c>
      <c r="G1861" s="2" t="s">
        <v>269</v>
      </c>
      <c r="H1861" s="2" t="s">
        <v>34</v>
      </c>
      <c r="I1861" s="2" t="s">
        <v>6077</v>
      </c>
      <c r="J1861" s="2" t="s">
        <v>6078</v>
      </c>
      <c r="K1861" s="2" t="s">
        <v>269</v>
      </c>
      <c r="L1861" s="2" t="s">
        <v>133</v>
      </c>
      <c r="M1861" s="2"/>
      <c r="N1861" s="2"/>
      <c r="O1861" s="2"/>
      <c r="P1861" s="2" t="s">
        <v>6079</v>
      </c>
      <c r="Q1861" s="6">
        <v>33.03</v>
      </c>
      <c r="R1861" s="6">
        <v>32</v>
      </c>
      <c r="S1861" s="5">
        <v>30.2</v>
      </c>
      <c r="T1861" s="7">
        <v>56.817</v>
      </c>
      <c r="U1861" s="5">
        <v>23.9</v>
      </c>
      <c r="V1861" s="6">
        <v>2.08</v>
      </c>
      <c r="W1861" s="7">
        <v>22.875</v>
      </c>
      <c r="X1861" s="7">
        <v>22.625</v>
      </c>
      <c r="Y1861" s="7">
        <v>27.625</v>
      </c>
      <c r="Z1861" s="7">
        <v>28.125</v>
      </c>
      <c r="AA1861" s="6">
        <v>14.52</v>
      </c>
      <c r="AB1861" s="7">
        <v>15.436999999999999</v>
      </c>
      <c r="AC1861" s="6">
        <v>180.14</v>
      </c>
    </row>
    <row r="1862" spans="1:29" ht="130" x14ac:dyDescent="0.15">
      <c r="A1862" s="3">
        <f>DATE(1995,4,6)</f>
        <v>34795</v>
      </c>
      <c r="B1862" s="2"/>
      <c r="C1862" s="2" t="s">
        <v>30</v>
      </c>
      <c r="D1862" s="2" t="s">
        <v>2626</v>
      </c>
      <c r="E1862" s="2" t="s">
        <v>2627</v>
      </c>
      <c r="F1862" s="4">
        <v>5531</v>
      </c>
      <c r="G1862" s="2" t="s">
        <v>73</v>
      </c>
      <c r="H1862" s="2" t="s">
        <v>34</v>
      </c>
      <c r="I1862" s="2" t="s">
        <v>51</v>
      </c>
      <c r="J1862" s="2" t="s">
        <v>52</v>
      </c>
      <c r="K1862" s="2" t="s">
        <v>53</v>
      </c>
      <c r="L1862" s="2" t="s">
        <v>34</v>
      </c>
      <c r="M1862" s="2"/>
      <c r="N1862" s="2"/>
      <c r="O1862" s="2"/>
      <c r="P1862" s="2" t="s">
        <v>6080</v>
      </c>
      <c r="Q1862" s="2"/>
      <c r="R1862" s="6">
        <v>16.5</v>
      </c>
      <c r="S1862" s="5">
        <v>2.7</v>
      </c>
      <c r="T1862" s="7">
        <v>9.5540000000000003</v>
      </c>
      <c r="U1862" s="5">
        <v>10.6</v>
      </c>
      <c r="V1862" s="6">
        <v>0.8</v>
      </c>
      <c r="W1862" s="7">
        <v>15.375</v>
      </c>
      <c r="X1862" s="7">
        <v>15.625</v>
      </c>
      <c r="Y1862" s="4">
        <v>16</v>
      </c>
      <c r="Z1862" s="5">
        <v>15.5</v>
      </c>
      <c r="AA1862" s="6">
        <v>3.31</v>
      </c>
      <c r="AB1862" s="7">
        <v>8.8290000000000006</v>
      </c>
      <c r="AC1862" s="2"/>
    </row>
    <row r="1863" spans="1:29" ht="104" x14ac:dyDescent="0.15">
      <c r="A1863" s="3">
        <f>DATE(1995,4,6)</f>
        <v>34795</v>
      </c>
      <c r="B1863" s="3">
        <f>DATE(1995,11,6)</f>
        <v>35009</v>
      </c>
      <c r="C1863" s="2" t="s">
        <v>95</v>
      </c>
      <c r="D1863" s="2" t="s">
        <v>6081</v>
      </c>
      <c r="E1863" s="2" t="s">
        <v>389</v>
      </c>
      <c r="F1863" s="4">
        <v>6035</v>
      </c>
      <c r="G1863" s="2" t="s">
        <v>33</v>
      </c>
      <c r="H1863" s="2" t="s">
        <v>34</v>
      </c>
      <c r="I1863" s="2" t="s">
        <v>2897</v>
      </c>
      <c r="J1863" s="2" t="s">
        <v>2898</v>
      </c>
      <c r="K1863" s="2" t="s">
        <v>37</v>
      </c>
      <c r="L1863" s="2" t="s">
        <v>34</v>
      </c>
      <c r="M1863" s="10">
        <v>7611.55</v>
      </c>
      <c r="N1863" s="4">
        <v>44</v>
      </c>
      <c r="O1863" s="7">
        <v>43.875</v>
      </c>
      <c r="P1863" s="2" t="s">
        <v>6082</v>
      </c>
      <c r="Q1863" s="6">
        <v>100</v>
      </c>
      <c r="R1863" s="6">
        <v>60</v>
      </c>
      <c r="S1863" s="5">
        <v>10.9</v>
      </c>
      <c r="T1863" s="7">
        <v>23.704000000000001</v>
      </c>
      <c r="U1863" s="5">
        <v>35.9</v>
      </c>
      <c r="V1863" s="7">
        <v>2.9060000000000001</v>
      </c>
      <c r="W1863" s="4">
        <v>43</v>
      </c>
      <c r="X1863" s="5">
        <v>45.5</v>
      </c>
      <c r="Y1863" s="4">
        <v>56</v>
      </c>
      <c r="Z1863" s="7">
        <v>56.625</v>
      </c>
      <c r="AA1863" s="6">
        <v>3.78</v>
      </c>
      <c r="AB1863" s="7">
        <v>99.614999999999995</v>
      </c>
      <c r="AC1863" s="2"/>
    </row>
    <row r="1864" spans="1:29" ht="39" x14ac:dyDescent="0.15">
      <c r="A1864" s="3">
        <f>DATE(1995,4,6)</f>
        <v>34795</v>
      </c>
      <c r="B1864" s="3">
        <f>DATE(1995,8,31)</f>
        <v>34942</v>
      </c>
      <c r="C1864" s="2" t="s">
        <v>95</v>
      </c>
      <c r="D1864" s="2" t="s">
        <v>6083</v>
      </c>
      <c r="E1864" s="2" t="s">
        <v>6084</v>
      </c>
      <c r="F1864" s="4">
        <v>7372</v>
      </c>
      <c r="G1864" s="2" t="s">
        <v>551</v>
      </c>
      <c r="H1864" s="2" t="s">
        <v>34</v>
      </c>
      <c r="I1864" s="2" t="s">
        <v>6085</v>
      </c>
      <c r="J1864" s="2" t="s">
        <v>52</v>
      </c>
      <c r="K1864" s="2" t="s">
        <v>53</v>
      </c>
      <c r="L1864" s="2" t="s">
        <v>34</v>
      </c>
      <c r="M1864" s="2"/>
      <c r="N1864" s="2"/>
      <c r="O1864" s="2"/>
      <c r="P1864" s="2" t="s">
        <v>6086</v>
      </c>
      <c r="Q1864" s="6">
        <v>100</v>
      </c>
      <c r="R1864" s="6">
        <v>6.8</v>
      </c>
      <c r="S1864" s="5">
        <v>1.5</v>
      </c>
      <c r="T1864" s="7">
        <v>3.6110000000000002</v>
      </c>
      <c r="U1864" s="5">
        <v>5.2</v>
      </c>
      <c r="V1864" s="7">
        <v>0.378</v>
      </c>
      <c r="W1864" s="6">
        <v>4.25</v>
      </c>
      <c r="X1864" s="6">
        <v>4.25</v>
      </c>
      <c r="Y1864" s="7">
        <v>6.125</v>
      </c>
      <c r="Z1864" s="7">
        <v>6.125</v>
      </c>
      <c r="AA1864" s="6">
        <v>4</v>
      </c>
      <c r="AB1864" s="7">
        <v>12.776</v>
      </c>
      <c r="AC1864" s="2"/>
    </row>
    <row r="1865" spans="1:29" ht="156" x14ac:dyDescent="0.15">
      <c r="A1865" s="3">
        <f>DATE(1995,4,7)</f>
        <v>34796</v>
      </c>
      <c r="B1865" s="3">
        <f>DATE(1995,10,3)</f>
        <v>34975</v>
      </c>
      <c r="C1865" s="2" t="s">
        <v>95</v>
      </c>
      <c r="D1865" s="2" t="s">
        <v>6087</v>
      </c>
      <c r="E1865" s="2" t="s">
        <v>6088</v>
      </c>
      <c r="F1865" s="4">
        <v>4813</v>
      </c>
      <c r="G1865" s="2" t="s">
        <v>63</v>
      </c>
      <c r="H1865" s="2" t="s">
        <v>34</v>
      </c>
      <c r="I1865" s="2" t="s">
        <v>6089</v>
      </c>
      <c r="J1865" s="2" t="s">
        <v>6088</v>
      </c>
      <c r="K1865" s="2" t="s">
        <v>63</v>
      </c>
      <c r="L1865" s="2" t="s">
        <v>34</v>
      </c>
      <c r="M1865" s="2"/>
      <c r="N1865" s="2"/>
      <c r="O1865" s="2"/>
      <c r="P1865" s="2" t="s">
        <v>6090</v>
      </c>
      <c r="Q1865" s="6">
        <v>45.03</v>
      </c>
      <c r="R1865" s="6">
        <v>129.9</v>
      </c>
      <c r="S1865" s="5">
        <v>597.70000000000005</v>
      </c>
      <c r="T1865" s="7">
        <v>347.262</v>
      </c>
      <c r="U1865" s="5">
        <v>5.8</v>
      </c>
      <c r="V1865" s="6">
        <v>10.84</v>
      </c>
      <c r="W1865" s="5">
        <v>108.5</v>
      </c>
      <c r="X1865" s="7">
        <v>109.875</v>
      </c>
      <c r="Y1865" s="6">
        <v>113.25</v>
      </c>
      <c r="Z1865" s="7">
        <v>112.875</v>
      </c>
      <c r="AA1865" s="6">
        <v>51.71</v>
      </c>
      <c r="AB1865" s="7">
        <v>40.506999999999998</v>
      </c>
      <c r="AC1865" s="6">
        <v>196.57</v>
      </c>
    </row>
    <row r="1866" spans="1:29" ht="104" x14ac:dyDescent="0.15">
      <c r="A1866" s="3">
        <f>DATE(1995,4,7)</f>
        <v>34796</v>
      </c>
      <c r="B1866" s="2"/>
      <c r="C1866" s="2" t="s">
        <v>30</v>
      </c>
      <c r="D1866" s="2" t="s">
        <v>1592</v>
      </c>
      <c r="E1866" s="2" t="s">
        <v>1593</v>
      </c>
      <c r="F1866" s="4">
        <v>8741</v>
      </c>
      <c r="G1866" s="2" t="s">
        <v>223</v>
      </c>
      <c r="H1866" s="2" t="s">
        <v>34</v>
      </c>
      <c r="I1866" s="2" t="s">
        <v>1594</v>
      </c>
      <c r="J1866" s="2" t="s">
        <v>398</v>
      </c>
      <c r="K1866" s="2" t="s">
        <v>42</v>
      </c>
      <c r="L1866" s="2" t="s">
        <v>34</v>
      </c>
      <c r="M1866" s="7">
        <v>245.578</v>
      </c>
      <c r="N1866" s="7">
        <v>14.875</v>
      </c>
      <c r="O1866" s="6">
        <v>14.25</v>
      </c>
      <c r="P1866" s="2" t="s">
        <v>6091</v>
      </c>
      <c r="Q1866" s="2"/>
      <c r="R1866" s="6">
        <v>10</v>
      </c>
      <c r="S1866" s="5">
        <v>1.9</v>
      </c>
      <c r="T1866" s="7">
        <v>3.1379999999999999</v>
      </c>
      <c r="U1866" s="5">
        <v>5.0999999999999996</v>
      </c>
      <c r="V1866" s="6">
        <v>0.82</v>
      </c>
      <c r="W1866" s="7">
        <v>7.375</v>
      </c>
      <c r="X1866" s="7">
        <v>8.125</v>
      </c>
      <c r="Y1866" s="6">
        <v>9.75</v>
      </c>
      <c r="Z1866" s="6">
        <v>9.75</v>
      </c>
      <c r="AA1866" s="6">
        <v>2.27</v>
      </c>
      <c r="AB1866" s="7">
        <v>5.508</v>
      </c>
      <c r="AC1866" s="2"/>
    </row>
    <row r="1867" spans="1:29" ht="156" x14ac:dyDescent="0.15">
      <c r="A1867" s="3">
        <f>DATE(1995,4,10)</f>
        <v>34799</v>
      </c>
      <c r="B1867" s="3">
        <f>DATE(1995,8,17)</f>
        <v>34928</v>
      </c>
      <c r="C1867" s="2" t="s">
        <v>95</v>
      </c>
      <c r="D1867" s="2" t="s">
        <v>61</v>
      </c>
      <c r="E1867" s="2" t="s">
        <v>3478</v>
      </c>
      <c r="F1867" s="4">
        <v>4813</v>
      </c>
      <c r="G1867" s="2" t="s">
        <v>63</v>
      </c>
      <c r="H1867" s="2" t="s">
        <v>34</v>
      </c>
      <c r="I1867" s="2" t="s">
        <v>6092</v>
      </c>
      <c r="J1867" s="2" t="s">
        <v>973</v>
      </c>
      <c r="K1867" s="2" t="s">
        <v>63</v>
      </c>
      <c r="L1867" s="2" t="s">
        <v>34</v>
      </c>
      <c r="M1867" s="12">
        <v>1790.796</v>
      </c>
      <c r="N1867" s="2"/>
      <c r="O1867" s="2"/>
      <c r="P1867" s="2" t="s">
        <v>6093</v>
      </c>
      <c r="Q1867" s="6">
        <v>100</v>
      </c>
      <c r="R1867" s="6">
        <v>45.5</v>
      </c>
      <c r="S1867" s="5">
        <v>64.3</v>
      </c>
      <c r="T1867" s="7">
        <v>124.057</v>
      </c>
      <c r="U1867" s="5">
        <v>3.4</v>
      </c>
      <c r="V1867" s="6">
        <v>1.68</v>
      </c>
      <c r="W1867" s="4">
        <v>34</v>
      </c>
      <c r="X1867" s="6">
        <v>33.25</v>
      </c>
      <c r="Y1867" s="6">
        <v>36.25</v>
      </c>
      <c r="Z1867" s="6">
        <v>38.25</v>
      </c>
      <c r="AA1867" s="6">
        <v>33.72</v>
      </c>
      <c r="AB1867" s="7">
        <v>16.007999999999999</v>
      </c>
      <c r="AC1867" s="6">
        <v>326.18</v>
      </c>
    </row>
    <row r="1868" spans="1:29" ht="130" x14ac:dyDescent="0.15">
      <c r="A1868" s="3">
        <f>DATE(1995,4,10)</f>
        <v>34799</v>
      </c>
      <c r="B1868" s="3">
        <f>DATE(1996,1,4)</f>
        <v>35068</v>
      </c>
      <c r="C1868" s="2" t="s">
        <v>95</v>
      </c>
      <c r="D1868" s="2" t="s">
        <v>4725</v>
      </c>
      <c r="E1868" s="2" t="s">
        <v>746</v>
      </c>
      <c r="F1868" s="4">
        <v>6311</v>
      </c>
      <c r="G1868" s="2" t="s">
        <v>125</v>
      </c>
      <c r="H1868" s="2" t="s">
        <v>34</v>
      </c>
      <c r="I1868" s="2" t="s">
        <v>51</v>
      </c>
      <c r="J1868" s="2" t="s">
        <v>52</v>
      </c>
      <c r="K1868" s="2" t="s">
        <v>53</v>
      </c>
      <c r="L1868" s="2" t="s">
        <v>215</v>
      </c>
      <c r="M1868" s="2"/>
      <c r="N1868" s="2"/>
      <c r="O1868" s="2"/>
      <c r="P1868" s="2" t="s">
        <v>6094</v>
      </c>
      <c r="Q1868" s="6">
        <v>100</v>
      </c>
      <c r="R1868" s="6">
        <v>49.8</v>
      </c>
      <c r="S1868" s="5">
        <v>85.7</v>
      </c>
      <c r="T1868" s="2"/>
      <c r="U1868" s="5">
        <v>35.5</v>
      </c>
      <c r="V1868" s="6">
        <v>1.8</v>
      </c>
      <c r="W1868" s="4">
        <v>40</v>
      </c>
      <c r="X1868" s="6">
        <v>41.25</v>
      </c>
      <c r="Y1868" s="7">
        <v>41.375</v>
      </c>
      <c r="Z1868" s="6">
        <v>45.75</v>
      </c>
      <c r="AA1868" s="6">
        <v>34.520000000000003</v>
      </c>
      <c r="AB1868" s="7">
        <v>12.933</v>
      </c>
      <c r="AC1868" s="2"/>
    </row>
    <row r="1869" spans="1:29" ht="78" x14ac:dyDescent="0.15">
      <c r="A1869" s="3">
        <f>DATE(1995,4,10)</f>
        <v>34799</v>
      </c>
      <c r="B1869" s="2"/>
      <c r="C1869" s="2" t="s">
        <v>30</v>
      </c>
      <c r="D1869" s="2" t="s">
        <v>2547</v>
      </c>
      <c r="E1869" s="2" t="s">
        <v>36</v>
      </c>
      <c r="F1869" s="4">
        <v>6035</v>
      </c>
      <c r="G1869" s="2" t="s">
        <v>33</v>
      </c>
      <c r="H1869" s="2" t="s">
        <v>34</v>
      </c>
      <c r="I1869" s="2" t="s">
        <v>489</v>
      </c>
      <c r="J1869" s="2" t="s">
        <v>490</v>
      </c>
      <c r="K1869" s="2" t="s">
        <v>37</v>
      </c>
      <c r="L1869" s="2" t="s">
        <v>34</v>
      </c>
      <c r="M1869" s="7">
        <v>227.131</v>
      </c>
      <c r="N1869" s="6">
        <v>16.25</v>
      </c>
      <c r="O1869" s="5">
        <v>16.5</v>
      </c>
      <c r="P1869" s="2" t="s">
        <v>6095</v>
      </c>
      <c r="Q1869" s="2"/>
      <c r="R1869" s="6">
        <v>26.3</v>
      </c>
      <c r="S1869" s="5">
        <v>6.6</v>
      </c>
      <c r="T1869" s="7">
        <v>11.462999999999999</v>
      </c>
      <c r="U1869" s="5">
        <v>20.100000000000001</v>
      </c>
      <c r="V1869" s="6">
        <v>2.2200000000000002</v>
      </c>
      <c r="W1869" s="7">
        <v>22.375</v>
      </c>
      <c r="X1869" s="6">
        <v>22.25</v>
      </c>
      <c r="Y1869" s="4">
        <v>23</v>
      </c>
      <c r="Z1869" s="6">
        <v>24.75</v>
      </c>
      <c r="AA1869" s="6">
        <v>3.27</v>
      </c>
      <c r="AB1869" s="7">
        <v>43.57</v>
      </c>
      <c r="AC1869" s="2"/>
    </row>
    <row r="1870" spans="1:29" ht="117" x14ac:dyDescent="0.15">
      <c r="A1870" s="3">
        <f>DATE(1995,4,11)</f>
        <v>34800</v>
      </c>
      <c r="B1870" s="2"/>
      <c r="C1870" s="2" t="s">
        <v>30</v>
      </c>
      <c r="D1870" s="2" t="s">
        <v>1596</v>
      </c>
      <c r="E1870" s="2" t="s">
        <v>1597</v>
      </c>
      <c r="F1870" s="4">
        <v>3711</v>
      </c>
      <c r="G1870" s="2" t="s">
        <v>105</v>
      </c>
      <c r="H1870" s="2" t="s">
        <v>34</v>
      </c>
      <c r="I1870" s="2" t="s">
        <v>1619</v>
      </c>
      <c r="J1870" s="2" t="s">
        <v>1620</v>
      </c>
      <c r="K1870" s="2" t="s">
        <v>53</v>
      </c>
      <c r="L1870" s="2" t="s">
        <v>34</v>
      </c>
      <c r="M1870" s="2"/>
      <c r="N1870" s="2"/>
      <c r="O1870" s="2"/>
      <c r="P1870" s="2" t="s">
        <v>6096</v>
      </c>
      <c r="Q1870" s="2"/>
      <c r="R1870" s="6">
        <v>55</v>
      </c>
      <c r="S1870" s="8">
        <v>3713</v>
      </c>
      <c r="T1870" s="8">
        <v>8711</v>
      </c>
      <c r="U1870" s="5">
        <v>27.6</v>
      </c>
      <c r="V1870" s="7">
        <v>10.115</v>
      </c>
      <c r="W1870" s="4">
        <v>40</v>
      </c>
      <c r="X1870" s="7">
        <v>39.125</v>
      </c>
      <c r="Y1870" s="6">
        <v>39.25</v>
      </c>
      <c r="Z1870" s="6">
        <v>48.75</v>
      </c>
      <c r="AA1870" s="6">
        <v>369.08</v>
      </c>
      <c r="AB1870" s="7">
        <v>4.1470000000000002</v>
      </c>
      <c r="AC1870" s="2"/>
    </row>
    <row r="1871" spans="1:29" ht="52" x14ac:dyDescent="0.15">
      <c r="A1871" s="3">
        <f>DATE(1995,4,12)</f>
        <v>34801</v>
      </c>
      <c r="B1871" s="2"/>
      <c r="C1871" s="2" t="s">
        <v>189</v>
      </c>
      <c r="D1871" s="2" t="s">
        <v>5344</v>
      </c>
      <c r="E1871" s="2" t="s">
        <v>5345</v>
      </c>
      <c r="F1871" s="4">
        <v>5045</v>
      </c>
      <c r="G1871" s="2" t="s">
        <v>76</v>
      </c>
      <c r="H1871" s="2" t="s">
        <v>34</v>
      </c>
      <c r="I1871" s="2" t="s">
        <v>143</v>
      </c>
      <c r="J1871" s="2" t="s">
        <v>144</v>
      </c>
      <c r="K1871" s="2" t="s">
        <v>53</v>
      </c>
      <c r="L1871" s="2" t="s">
        <v>139</v>
      </c>
      <c r="M1871" s="2"/>
      <c r="N1871" s="2"/>
      <c r="O1871" s="2"/>
      <c r="P1871" s="2" t="s">
        <v>6097</v>
      </c>
      <c r="Q1871" s="2"/>
      <c r="R1871" s="2"/>
      <c r="S1871" s="2"/>
      <c r="T1871" s="2"/>
      <c r="U1871" s="2"/>
      <c r="V1871" s="2"/>
      <c r="W1871" s="6">
        <v>6.25</v>
      </c>
      <c r="X1871" s="5">
        <v>6.5</v>
      </c>
      <c r="Y1871" s="6">
        <v>7.25</v>
      </c>
      <c r="Z1871" s="6">
        <v>8.25</v>
      </c>
      <c r="AA1871" s="2"/>
      <c r="AB1871" s="2" t="s">
        <v>47</v>
      </c>
      <c r="AC1871" s="2"/>
    </row>
    <row r="1872" spans="1:29" ht="52" x14ac:dyDescent="0.15">
      <c r="A1872" s="3">
        <f>DATE(1995,4,12)</f>
        <v>34801</v>
      </c>
      <c r="B1872" s="2"/>
      <c r="C1872" s="2" t="s">
        <v>30</v>
      </c>
      <c r="D1872" s="2" t="s">
        <v>6098</v>
      </c>
      <c r="E1872" s="2" t="s">
        <v>6099</v>
      </c>
      <c r="F1872" s="4">
        <v>6798</v>
      </c>
      <c r="G1872" s="2" t="s">
        <v>53</v>
      </c>
      <c r="H1872" s="2" t="s">
        <v>34</v>
      </c>
      <c r="I1872" s="2" t="s">
        <v>6100</v>
      </c>
      <c r="J1872" s="2" t="s">
        <v>92</v>
      </c>
      <c r="K1872" s="2" t="s">
        <v>53</v>
      </c>
      <c r="L1872" s="2" t="s">
        <v>34</v>
      </c>
      <c r="M1872" s="2"/>
      <c r="N1872" s="2"/>
      <c r="O1872" s="2"/>
      <c r="P1872" s="2" t="s">
        <v>6101</v>
      </c>
      <c r="Q1872" s="2"/>
      <c r="R1872" s="6">
        <v>4</v>
      </c>
      <c r="S1872" s="5">
        <v>-9.3000000000000007</v>
      </c>
      <c r="T1872" s="7">
        <v>-0.38700000000000001</v>
      </c>
      <c r="U1872" s="5">
        <v>5.0999999999999996</v>
      </c>
      <c r="V1872" s="7">
        <v>-1.569</v>
      </c>
      <c r="W1872" s="7">
        <v>2.6880000000000002</v>
      </c>
      <c r="X1872" s="7">
        <v>3.125</v>
      </c>
      <c r="Y1872" s="7">
        <v>2.875</v>
      </c>
      <c r="Z1872" s="7">
        <v>3.375</v>
      </c>
      <c r="AA1872" s="6">
        <v>5.95</v>
      </c>
      <c r="AB1872" s="2" t="s">
        <v>86</v>
      </c>
      <c r="AC1872" s="2"/>
    </row>
    <row r="1873" spans="1:29" ht="39" x14ac:dyDescent="0.15">
      <c r="A1873" s="3">
        <f>DATE(1995,4,12)</f>
        <v>34801</v>
      </c>
      <c r="B1873" s="3">
        <f>DATE(1995,4,12)</f>
        <v>34801</v>
      </c>
      <c r="C1873" s="2" t="s">
        <v>95</v>
      </c>
      <c r="D1873" s="2" t="s">
        <v>6102</v>
      </c>
      <c r="E1873" s="2" t="s">
        <v>6103</v>
      </c>
      <c r="F1873" s="4">
        <v>3661</v>
      </c>
      <c r="G1873" s="2" t="s">
        <v>921</v>
      </c>
      <c r="H1873" s="2" t="s">
        <v>34</v>
      </c>
      <c r="I1873" s="2" t="s">
        <v>6104</v>
      </c>
      <c r="J1873" s="2" t="s">
        <v>6105</v>
      </c>
      <c r="K1873" s="2" t="s">
        <v>921</v>
      </c>
      <c r="L1873" s="2" t="s">
        <v>34</v>
      </c>
      <c r="M1873" s="2"/>
      <c r="N1873" s="2"/>
      <c r="O1873" s="2"/>
      <c r="P1873" s="2" t="s">
        <v>6106</v>
      </c>
      <c r="Q1873" s="6">
        <v>100</v>
      </c>
      <c r="R1873" s="2"/>
      <c r="S1873" s="5">
        <v>5.8</v>
      </c>
      <c r="T1873" s="7">
        <v>13.613</v>
      </c>
      <c r="U1873" s="5">
        <v>3.2</v>
      </c>
      <c r="V1873" s="6">
        <v>0.49</v>
      </c>
      <c r="W1873" s="7">
        <v>11.625</v>
      </c>
      <c r="X1873" s="7">
        <v>11.375</v>
      </c>
      <c r="Y1873" s="7">
        <v>11.625</v>
      </c>
      <c r="Z1873" s="7">
        <v>11.313000000000001</v>
      </c>
      <c r="AA1873" s="6">
        <v>10.87</v>
      </c>
      <c r="AB1873" s="7">
        <v>2.5009999999999999</v>
      </c>
      <c r="AC1873" s="2"/>
    </row>
    <row r="1874" spans="1:29" ht="156" x14ac:dyDescent="0.15">
      <c r="A1874" s="3">
        <f>DATE(1995,4,12)</f>
        <v>34801</v>
      </c>
      <c r="B1874" s="3">
        <f>DATE(1995,6,30)</f>
        <v>34880</v>
      </c>
      <c r="C1874" s="2" t="s">
        <v>95</v>
      </c>
      <c r="D1874" s="2" t="s">
        <v>6107</v>
      </c>
      <c r="E1874" s="2" t="s">
        <v>2275</v>
      </c>
      <c r="F1874" s="4">
        <v>8093</v>
      </c>
      <c r="G1874" s="2" t="s">
        <v>454</v>
      </c>
      <c r="H1874" s="2" t="s">
        <v>34</v>
      </c>
      <c r="I1874" s="2" t="s">
        <v>3853</v>
      </c>
      <c r="J1874" s="2" t="s">
        <v>3854</v>
      </c>
      <c r="K1874" s="2" t="s">
        <v>454</v>
      </c>
      <c r="L1874" s="2" t="s">
        <v>34</v>
      </c>
      <c r="M1874" s="7">
        <v>391.88799999999998</v>
      </c>
      <c r="N1874" s="4">
        <v>34</v>
      </c>
      <c r="O1874" s="4">
        <v>34</v>
      </c>
      <c r="P1874" s="2" t="s">
        <v>6108</v>
      </c>
      <c r="Q1874" s="6">
        <v>100</v>
      </c>
      <c r="R1874" s="6">
        <v>11.5</v>
      </c>
      <c r="S1874" s="5">
        <v>1.7</v>
      </c>
      <c r="T1874" s="7">
        <v>6.0149999999999997</v>
      </c>
      <c r="U1874" s="5">
        <v>5.6</v>
      </c>
      <c r="V1874" s="7">
        <v>0.23799999999999999</v>
      </c>
      <c r="W1874" s="4">
        <v>10</v>
      </c>
      <c r="X1874" s="6">
        <v>10.25</v>
      </c>
      <c r="Y1874" s="7">
        <v>14.375</v>
      </c>
      <c r="Z1874" s="7">
        <v>14.125</v>
      </c>
      <c r="AA1874" s="6">
        <v>7.4</v>
      </c>
      <c r="AB1874" s="7">
        <v>33.185000000000002</v>
      </c>
      <c r="AC1874" s="6">
        <v>4.7300000000000004</v>
      </c>
    </row>
    <row r="1875" spans="1:29" ht="65" x14ac:dyDescent="0.15">
      <c r="A1875" s="3">
        <f>DATE(1995,4,12)</f>
        <v>34801</v>
      </c>
      <c r="B1875" s="3">
        <f>DATE(1995,10,20)</f>
        <v>34992</v>
      </c>
      <c r="C1875" s="2" t="s">
        <v>95</v>
      </c>
      <c r="D1875" s="2" t="s">
        <v>6109</v>
      </c>
      <c r="E1875" s="2" t="s">
        <v>1181</v>
      </c>
      <c r="F1875" s="4">
        <v>6022</v>
      </c>
      <c r="G1875" s="2" t="s">
        <v>37</v>
      </c>
      <c r="H1875" s="2" t="s">
        <v>34</v>
      </c>
      <c r="I1875" s="2" t="s">
        <v>4253</v>
      </c>
      <c r="J1875" s="2" t="s">
        <v>36</v>
      </c>
      <c r="K1875" s="2" t="s">
        <v>33</v>
      </c>
      <c r="L1875" s="2" t="s">
        <v>34</v>
      </c>
      <c r="M1875" s="7">
        <v>631.73299999999995</v>
      </c>
      <c r="N1875" s="7">
        <v>16.187999999999999</v>
      </c>
      <c r="O1875" s="6">
        <v>16.25</v>
      </c>
      <c r="P1875" s="2" t="s">
        <v>6110</v>
      </c>
      <c r="Q1875" s="6">
        <v>100</v>
      </c>
      <c r="R1875" s="6">
        <v>22.75</v>
      </c>
      <c r="S1875" s="5">
        <v>0.8</v>
      </c>
      <c r="T1875" s="7">
        <v>1.385</v>
      </c>
      <c r="U1875" s="5">
        <v>16.5</v>
      </c>
      <c r="V1875" s="2"/>
      <c r="W1875" s="6">
        <v>20.25</v>
      </c>
      <c r="X1875" s="6">
        <v>19.75</v>
      </c>
      <c r="Y1875" s="7">
        <v>21.125</v>
      </c>
      <c r="Z1875" s="7">
        <v>21.375</v>
      </c>
      <c r="AA1875" s="6">
        <v>1.1000000000000001</v>
      </c>
      <c r="AB1875" s="7">
        <v>83.075000000000003</v>
      </c>
      <c r="AC1875" s="2"/>
    </row>
    <row r="1876" spans="1:29" ht="104" x14ac:dyDescent="0.15">
      <c r="A1876" s="3">
        <f>DATE(1995,4,13)</f>
        <v>34802</v>
      </c>
      <c r="B1876" s="3">
        <f>DATE(1995,5,23)</f>
        <v>34842</v>
      </c>
      <c r="C1876" s="2" t="s">
        <v>95</v>
      </c>
      <c r="D1876" s="2" t="s">
        <v>6111</v>
      </c>
      <c r="E1876" s="2" t="s">
        <v>6112</v>
      </c>
      <c r="F1876" s="4">
        <v>5812</v>
      </c>
      <c r="G1876" s="2" t="s">
        <v>230</v>
      </c>
      <c r="H1876" s="2" t="s">
        <v>34</v>
      </c>
      <c r="I1876" s="2" t="s">
        <v>6113</v>
      </c>
      <c r="J1876" s="2" t="s">
        <v>6114</v>
      </c>
      <c r="K1876" s="2" t="s">
        <v>125</v>
      </c>
      <c r="L1876" s="2" t="s">
        <v>34</v>
      </c>
      <c r="M1876" s="2"/>
      <c r="N1876" s="2"/>
      <c r="O1876" s="2"/>
      <c r="P1876" s="2" t="s">
        <v>6115</v>
      </c>
      <c r="Q1876" s="6">
        <v>24.96</v>
      </c>
      <c r="R1876" s="6">
        <v>1.55</v>
      </c>
      <c r="S1876" s="5">
        <v>-0.2</v>
      </c>
      <c r="T1876" s="7">
        <v>0.20399999999999999</v>
      </c>
      <c r="U1876" s="5">
        <v>0.6</v>
      </c>
      <c r="V1876" s="7">
        <v>-9.6000000000000002E-2</v>
      </c>
      <c r="W1876" s="5">
        <v>1.5</v>
      </c>
      <c r="X1876" s="5">
        <v>1.5</v>
      </c>
      <c r="Y1876" s="5">
        <v>1.5</v>
      </c>
      <c r="Z1876" s="5">
        <v>1.5</v>
      </c>
      <c r="AA1876" s="6">
        <v>1.74</v>
      </c>
      <c r="AB1876" s="2" t="s">
        <v>86</v>
      </c>
      <c r="AC1876" s="2"/>
    </row>
    <row r="1877" spans="1:29" ht="156" x14ac:dyDescent="0.15">
      <c r="A1877" s="3">
        <f>DATE(1995,4,18)</f>
        <v>34807</v>
      </c>
      <c r="B1877" s="2"/>
      <c r="C1877" s="2" t="s">
        <v>30</v>
      </c>
      <c r="D1877" s="2" t="s">
        <v>6116</v>
      </c>
      <c r="E1877" s="2" t="s">
        <v>6117</v>
      </c>
      <c r="F1877" s="4">
        <v>3999</v>
      </c>
      <c r="G1877" s="2" t="s">
        <v>112</v>
      </c>
      <c r="H1877" s="2" t="s">
        <v>34</v>
      </c>
      <c r="I1877" s="2" t="s">
        <v>6118</v>
      </c>
      <c r="J1877" s="2" t="s">
        <v>6119</v>
      </c>
      <c r="K1877" s="2" t="s">
        <v>112</v>
      </c>
      <c r="L1877" s="2" t="s">
        <v>34</v>
      </c>
      <c r="M1877" s="7">
        <v>512.19500000000005</v>
      </c>
      <c r="N1877" s="6">
        <v>19.75</v>
      </c>
      <c r="O1877" s="7">
        <v>19.625</v>
      </c>
      <c r="P1877" s="2" t="s">
        <v>6120</v>
      </c>
      <c r="Q1877" s="2"/>
      <c r="R1877" s="6">
        <v>13.83</v>
      </c>
      <c r="S1877" s="5">
        <v>-3.9</v>
      </c>
      <c r="T1877" s="7">
        <v>13.176</v>
      </c>
      <c r="U1877" s="5">
        <v>7.7</v>
      </c>
      <c r="V1877" s="7">
        <v>-0.371</v>
      </c>
      <c r="W1877" s="7">
        <v>8.625</v>
      </c>
      <c r="X1877" s="5">
        <v>8.5</v>
      </c>
      <c r="Y1877" s="6">
        <v>10.25</v>
      </c>
      <c r="Z1877" s="5">
        <v>10.5</v>
      </c>
      <c r="AA1877" s="6">
        <v>10.75</v>
      </c>
      <c r="AB1877" s="7">
        <v>35.164999999999999</v>
      </c>
      <c r="AC1877" s="6">
        <v>93.83</v>
      </c>
    </row>
    <row r="1878" spans="1:29" ht="104" x14ac:dyDescent="0.15">
      <c r="A1878" s="3">
        <f>DATE(1995,4,18)</f>
        <v>34807</v>
      </c>
      <c r="B1878" s="2"/>
      <c r="C1878" s="2" t="s">
        <v>87</v>
      </c>
      <c r="D1878" s="2" t="s">
        <v>3490</v>
      </c>
      <c r="E1878" s="2" t="s">
        <v>3491</v>
      </c>
      <c r="F1878" s="4">
        <v>1041</v>
      </c>
      <c r="G1878" s="2" t="s">
        <v>166</v>
      </c>
      <c r="H1878" s="2" t="s">
        <v>34</v>
      </c>
      <c r="I1878" s="2" t="s">
        <v>1664</v>
      </c>
      <c r="J1878" s="2" t="s">
        <v>1665</v>
      </c>
      <c r="K1878" s="2" t="s">
        <v>166</v>
      </c>
      <c r="L1878" s="2" t="s">
        <v>34</v>
      </c>
      <c r="M1878" s="7">
        <v>859.56299999999999</v>
      </c>
      <c r="N1878" s="7">
        <v>12.125</v>
      </c>
      <c r="O1878" s="7">
        <v>11.875</v>
      </c>
      <c r="P1878" s="2" t="s">
        <v>6121</v>
      </c>
      <c r="Q1878" s="2"/>
      <c r="R1878" s="6">
        <v>5.25</v>
      </c>
      <c r="S1878" s="5">
        <v>3.5</v>
      </c>
      <c r="T1878" s="7">
        <v>7.7770000000000001</v>
      </c>
      <c r="U1878" s="5">
        <v>7.6</v>
      </c>
      <c r="V1878" s="6">
        <v>1.35</v>
      </c>
      <c r="W1878" s="6">
        <v>3.75</v>
      </c>
      <c r="X1878" s="6">
        <v>3.75</v>
      </c>
      <c r="Y1878" s="4">
        <v>5</v>
      </c>
      <c r="Z1878" s="7">
        <v>5.0629999999999997</v>
      </c>
      <c r="AA1878" s="6">
        <v>13.16</v>
      </c>
      <c r="AB1878" s="7">
        <v>2.262</v>
      </c>
      <c r="AC1878" s="6">
        <v>76.459999999999994</v>
      </c>
    </row>
    <row r="1879" spans="1:29" ht="130" x14ac:dyDescent="0.15">
      <c r="A1879" s="3">
        <f>DATE(1995,4,18)</f>
        <v>34807</v>
      </c>
      <c r="B1879" s="2"/>
      <c r="C1879" s="2" t="s">
        <v>30</v>
      </c>
      <c r="D1879" s="2" t="s">
        <v>6122</v>
      </c>
      <c r="E1879" s="2" t="s">
        <v>6123</v>
      </c>
      <c r="F1879" s="4">
        <v>8082</v>
      </c>
      <c r="G1879" s="2" t="s">
        <v>454</v>
      </c>
      <c r="H1879" s="2" t="s">
        <v>34</v>
      </c>
      <c r="I1879" s="2" t="s">
        <v>6124</v>
      </c>
      <c r="J1879" s="2" t="s">
        <v>1332</v>
      </c>
      <c r="K1879" s="2" t="s">
        <v>454</v>
      </c>
      <c r="L1879" s="2" t="s">
        <v>34</v>
      </c>
      <c r="M1879" s="7">
        <v>725.18799999999999</v>
      </c>
      <c r="N1879" s="4">
        <v>23</v>
      </c>
      <c r="O1879" s="5">
        <v>21.5</v>
      </c>
      <c r="P1879" s="2" t="s">
        <v>6125</v>
      </c>
      <c r="Q1879" s="2"/>
      <c r="R1879" s="6">
        <v>38.5</v>
      </c>
      <c r="S1879" s="5">
        <v>38</v>
      </c>
      <c r="T1879" s="7">
        <v>82.941999999999993</v>
      </c>
      <c r="U1879" s="5">
        <v>1</v>
      </c>
      <c r="V1879" s="9">
        <v>0.2233</v>
      </c>
      <c r="W1879" s="5">
        <v>29.5</v>
      </c>
      <c r="X1879" s="7">
        <v>29.312999999999999</v>
      </c>
      <c r="Y1879" s="7">
        <v>33.625</v>
      </c>
      <c r="Z1879" s="6">
        <v>31.75</v>
      </c>
      <c r="AA1879" s="6">
        <v>27.47</v>
      </c>
      <c r="AB1879" s="7">
        <v>101.002</v>
      </c>
      <c r="AC1879" s="6">
        <v>36.590000000000003</v>
      </c>
    </row>
    <row r="1880" spans="1:29" ht="143" x14ac:dyDescent="0.15">
      <c r="A1880" s="3">
        <f>DATE(1995,4,19)</f>
        <v>34808</v>
      </c>
      <c r="B1880" s="3">
        <f>DATE(1995,10,2)</f>
        <v>34974</v>
      </c>
      <c r="C1880" s="2" t="s">
        <v>95</v>
      </c>
      <c r="D1880" s="2" t="s">
        <v>6126</v>
      </c>
      <c r="E1880" s="2" t="s">
        <v>36</v>
      </c>
      <c r="F1880" s="4">
        <v>6035</v>
      </c>
      <c r="G1880" s="2" t="s">
        <v>33</v>
      </c>
      <c r="H1880" s="2" t="s">
        <v>34</v>
      </c>
      <c r="I1880" s="2" t="s">
        <v>3861</v>
      </c>
      <c r="J1880" s="2" t="s">
        <v>1181</v>
      </c>
      <c r="K1880" s="2" t="s">
        <v>37</v>
      </c>
      <c r="L1880" s="2" t="s">
        <v>34</v>
      </c>
      <c r="M1880" s="7">
        <v>299.24700000000001</v>
      </c>
      <c r="N1880" s="7">
        <v>25.625</v>
      </c>
      <c r="O1880" s="7">
        <v>25.125</v>
      </c>
      <c r="P1880" s="2" t="s">
        <v>6127</v>
      </c>
      <c r="Q1880" s="6">
        <v>100</v>
      </c>
      <c r="R1880" s="6">
        <v>22.84</v>
      </c>
      <c r="S1880" s="5">
        <v>1.8</v>
      </c>
      <c r="T1880" s="7">
        <v>15.241</v>
      </c>
      <c r="U1880" s="5">
        <v>11.6</v>
      </c>
      <c r="V1880" s="6">
        <v>0.83</v>
      </c>
      <c r="W1880" s="6">
        <v>11.75</v>
      </c>
      <c r="X1880" s="7">
        <v>11.875</v>
      </c>
      <c r="Y1880" s="6">
        <v>15.75</v>
      </c>
      <c r="Z1880" s="7">
        <v>15.625</v>
      </c>
      <c r="AA1880" s="6">
        <v>2.12</v>
      </c>
      <c r="AB1880" s="7">
        <v>3.6059999999999999</v>
      </c>
      <c r="AC1880" s="2"/>
    </row>
    <row r="1881" spans="1:29" ht="156" x14ac:dyDescent="0.15">
      <c r="A1881" s="3">
        <f>DATE(1995,4,20)</f>
        <v>34809</v>
      </c>
      <c r="B1881" s="3">
        <f>DATE(1995,8,18)</f>
        <v>34929</v>
      </c>
      <c r="C1881" s="2" t="s">
        <v>95</v>
      </c>
      <c r="D1881" s="2" t="s">
        <v>6128</v>
      </c>
      <c r="E1881" s="2" t="s">
        <v>3439</v>
      </c>
      <c r="F1881" s="4">
        <v>5411</v>
      </c>
      <c r="G1881" s="2" t="s">
        <v>1461</v>
      </c>
      <c r="H1881" s="2" t="s">
        <v>34</v>
      </c>
      <c r="I1881" s="2" t="s">
        <v>1626</v>
      </c>
      <c r="J1881" s="2" t="s">
        <v>244</v>
      </c>
      <c r="K1881" s="2" t="s">
        <v>53</v>
      </c>
      <c r="L1881" s="2" t="s">
        <v>34</v>
      </c>
      <c r="M1881" s="2"/>
      <c r="N1881" s="2"/>
      <c r="O1881" s="2"/>
      <c r="P1881" s="2" t="s">
        <v>6129</v>
      </c>
      <c r="Q1881" s="6">
        <v>100</v>
      </c>
      <c r="R1881" s="6">
        <v>12</v>
      </c>
      <c r="S1881" s="5">
        <v>40.6</v>
      </c>
      <c r="T1881" s="7">
        <v>137.03800000000001</v>
      </c>
      <c r="U1881" s="5">
        <v>5.4</v>
      </c>
      <c r="V1881" s="6">
        <v>0.52</v>
      </c>
      <c r="W1881" s="7">
        <v>9.375</v>
      </c>
      <c r="X1881" s="7">
        <v>9.3130000000000006</v>
      </c>
      <c r="Y1881" s="6">
        <v>9.25</v>
      </c>
      <c r="Z1881" s="4">
        <v>12</v>
      </c>
      <c r="AA1881" s="6">
        <v>78.099999999999994</v>
      </c>
      <c r="AB1881" s="7">
        <v>14.298</v>
      </c>
      <c r="AC1881" s="2"/>
    </row>
    <row r="1882" spans="1:29" ht="39" x14ac:dyDescent="0.15">
      <c r="A1882" s="3">
        <f>DATE(1995,4,20)</f>
        <v>34809</v>
      </c>
      <c r="B1882" s="2"/>
      <c r="C1882" s="2" t="s">
        <v>30</v>
      </c>
      <c r="D1882" s="2" t="s">
        <v>6130</v>
      </c>
      <c r="E1882" s="2" t="s">
        <v>6131</v>
      </c>
      <c r="F1882" s="4">
        <v>3743</v>
      </c>
      <c r="G1882" s="2" t="s">
        <v>105</v>
      </c>
      <c r="H1882" s="2" t="s">
        <v>34</v>
      </c>
      <c r="I1882" s="2" t="s">
        <v>6132</v>
      </c>
      <c r="J1882" s="2" t="s">
        <v>6133</v>
      </c>
      <c r="K1882" s="2" t="s">
        <v>105</v>
      </c>
      <c r="L1882" s="2" t="s">
        <v>34</v>
      </c>
      <c r="M1882" s="2"/>
      <c r="N1882" s="2"/>
      <c r="O1882" s="2"/>
      <c r="P1882" s="2" t="s">
        <v>6134</v>
      </c>
      <c r="Q1882" s="2"/>
      <c r="R1882" s="2"/>
      <c r="S1882" s="5">
        <v>-4.5999999999999996</v>
      </c>
      <c r="T1882" s="7">
        <v>1.8029999999999999</v>
      </c>
      <c r="U1882" s="5">
        <v>-1.4</v>
      </c>
      <c r="V1882" s="6">
        <v>-1.05</v>
      </c>
      <c r="W1882" s="7">
        <v>1.2809999999999999</v>
      </c>
      <c r="X1882" s="7">
        <v>1.1879999999999999</v>
      </c>
      <c r="Y1882" s="7">
        <v>1.1879999999999999</v>
      </c>
      <c r="Z1882" s="7">
        <v>1.5629999999999999</v>
      </c>
      <c r="AA1882" s="2"/>
      <c r="AB1882" s="2" t="s">
        <v>47</v>
      </c>
      <c r="AC1882" s="2"/>
    </row>
    <row r="1883" spans="1:29" ht="78" x14ac:dyDescent="0.15">
      <c r="A1883" s="3">
        <f>DATE(1995,4,20)</f>
        <v>34809</v>
      </c>
      <c r="B1883" s="2"/>
      <c r="C1883" s="2" t="s">
        <v>30</v>
      </c>
      <c r="D1883" s="2" t="s">
        <v>6130</v>
      </c>
      <c r="E1883" s="2" t="s">
        <v>6131</v>
      </c>
      <c r="F1883" s="4">
        <v>3743</v>
      </c>
      <c r="G1883" s="2" t="s">
        <v>105</v>
      </c>
      <c r="H1883" s="2" t="s">
        <v>34</v>
      </c>
      <c r="I1883" s="2" t="s">
        <v>6135</v>
      </c>
      <c r="J1883" s="2" t="s">
        <v>6136</v>
      </c>
      <c r="K1883" s="2" t="s">
        <v>105</v>
      </c>
      <c r="L1883" s="2" t="s">
        <v>34</v>
      </c>
      <c r="M1883" s="7">
        <v>125.502</v>
      </c>
      <c r="N1883" s="4">
        <v>12</v>
      </c>
      <c r="O1883" s="7">
        <v>11.468999999999999</v>
      </c>
      <c r="P1883" s="2" t="s">
        <v>6137</v>
      </c>
      <c r="Q1883" s="2"/>
      <c r="R1883" s="6">
        <v>1.75</v>
      </c>
      <c r="S1883" s="5">
        <v>-4.5999999999999996</v>
      </c>
      <c r="T1883" s="7">
        <v>1.8029999999999999</v>
      </c>
      <c r="U1883" s="5">
        <v>-1.4</v>
      </c>
      <c r="V1883" s="6">
        <v>-1.05</v>
      </c>
      <c r="W1883" s="7">
        <v>1.2809999999999999</v>
      </c>
      <c r="X1883" s="7">
        <v>1.1879999999999999</v>
      </c>
      <c r="Y1883" s="7">
        <v>1.1879999999999999</v>
      </c>
      <c r="Z1883" s="7">
        <v>1.5629999999999999</v>
      </c>
      <c r="AA1883" s="6">
        <v>5.13</v>
      </c>
      <c r="AB1883" s="7">
        <v>58.76</v>
      </c>
      <c r="AC1883" s="6">
        <v>1.75</v>
      </c>
    </row>
    <row r="1884" spans="1:29" ht="78" x14ac:dyDescent="0.15">
      <c r="A1884" s="3">
        <f>DATE(1995,4,21)</f>
        <v>34810</v>
      </c>
      <c r="B1884" s="3">
        <f>DATE(1995,8,23)</f>
        <v>34934</v>
      </c>
      <c r="C1884" s="2" t="s">
        <v>95</v>
      </c>
      <c r="D1884" s="2" t="s">
        <v>6138</v>
      </c>
      <c r="E1884" s="2" t="s">
        <v>6139</v>
      </c>
      <c r="F1884" s="4">
        <v>7378</v>
      </c>
      <c r="G1884" s="2" t="s">
        <v>223</v>
      </c>
      <c r="H1884" s="2" t="s">
        <v>34</v>
      </c>
      <c r="I1884" s="2" t="s">
        <v>5921</v>
      </c>
      <c r="J1884" s="2" t="s">
        <v>5922</v>
      </c>
      <c r="K1884" s="2" t="s">
        <v>551</v>
      </c>
      <c r="L1884" s="2" t="s">
        <v>34</v>
      </c>
      <c r="M1884" s="5">
        <v>493</v>
      </c>
      <c r="N1884" s="7">
        <v>16.875</v>
      </c>
      <c r="O1884" s="4">
        <v>17</v>
      </c>
      <c r="P1884" s="2" t="s">
        <v>6140</v>
      </c>
      <c r="Q1884" s="6">
        <v>100</v>
      </c>
      <c r="R1884" s="6">
        <v>8.5</v>
      </c>
      <c r="S1884" s="5">
        <v>0.7</v>
      </c>
      <c r="T1884" s="7">
        <v>2.0750000000000002</v>
      </c>
      <c r="U1884" s="5">
        <v>1.8</v>
      </c>
      <c r="V1884" s="7">
        <v>0.313</v>
      </c>
      <c r="W1884" s="4">
        <v>7</v>
      </c>
      <c r="X1884" s="6">
        <v>6.25</v>
      </c>
      <c r="Y1884" s="4">
        <v>7</v>
      </c>
      <c r="Z1884" s="6">
        <v>7.75</v>
      </c>
      <c r="AA1884" s="6">
        <v>2.34</v>
      </c>
      <c r="AB1884" s="7">
        <v>18.327999999999999</v>
      </c>
      <c r="AC1884" s="6">
        <v>79.37</v>
      </c>
    </row>
    <row r="1885" spans="1:29" ht="52" x14ac:dyDescent="0.15">
      <c r="A1885" s="3">
        <f>DATE(1995,4,21)</f>
        <v>34810</v>
      </c>
      <c r="B1885" s="2"/>
      <c r="C1885" s="2" t="s">
        <v>56</v>
      </c>
      <c r="D1885" s="2" t="s">
        <v>6141</v>
      </c>
      <c r="E1885" s="2" t="s">
        <v>3001</v>
      </c>
      <c r="F1885" s="4">
        <v>8731</v>
      </c>
      <c r="G1885" s="2" t="s">
        <v>223</v>
      </c>
      <c r="H1885" s="2" t="s">
        <v>34</v>
      </c>
      <c r="I1885" s="2" t="s">
        <v>6142</v>
      </c>
      <c r="J1885" s="2" t="s">
        <v>6143</v>
      </c>
      <c r="K1885" s="2" t="s">
        <v>439</v>
      </c>
      <c r="L1885" s="2" t="s">
        <v>34</v>
      </c>
      <c r="M1885" s="7">
        <v>36.813000000000002</v>
      </c>
      <c r="N1885" s="6">
        <v>13.75</v>
      </c>
      <c r="O1885" s="7">
        <v>13.875</v>
      </c>
      <c r="P1885" s="2" t="s">
        <v>6144</v>
      </c>
      <c r="Q1885" s="2"/>
      <c r="R1885" s="2"/>
      <c r="S1885" s="5">
        <v>-3.2</v>
      </c>
      <c r="T1885" s="7">
        <v>-4.226</v>
      </c>
      <c r="U1885" s="5">
        <v>2.6</v>
      </c>
      <c r="V1885" s="9">
        <v>-2.4001000000000001</v>
      </c>
      <c r="W1885" s="4">
        <v>5</v>
      </c>
      <c r="X1885" s="5">
        <v>4.5</v>
      </c>
      <c r="Y1885" s="7">
        <v>4.9379999999999997</v>
      </c>
      <c r="Z1885" s="4">
        <v>5</v>
      </c>
      <c r="AA1885" s="6">
        <v>16.79</v>
      </c>
      <c r="AB1885" s="2" t="s">
        <v>86</v>
      </c>
      <c r="AC1885" s="6">
        <v>33.270000000000003</v>
      </c>
    </row>
    <row r="1886" spans="1:29" ht="117" x14ac:dyDescent="0.15">
      <c r="A1886" s="3">
        <f>DATE(1995,4,25)</f>
        <v>34814</v>
      </c>
      <c r="B1886" s="3">
        <f>DATE(1995,8,28)</f>
        <v>34939</v>
      </c>
      <c r="C1886" s="2" t="s">
        <v>95</v>
      </c>
      <c r="D1886" s="2" t="s">
        <v>1810</v>
      </c>
      <c r="E1886" s="2" t="s">
        <v>1811</v>
      </c>
      <c r="F1886" s="4">
        <v>3841</v>
      </c>
      <c r="G1886" s="2" t="s">
        <v>226</v>
      </c>
      <c r="H1886" s="2" t="s">
        <v>34</v>
      </c>
      <c r="I1886" s="2" t="s">
        <v>6145</v>
      </c>
      <c r="J1886" s="2" t="s">
        <v>6146</v>
      </c>
      <c r="K1886" s="2" t="s">
        <v>226</v>
      </c>
      <c r="L1886" s="2" t="s">
        <v>34</v>
      </c>
      <c r="M1886" s="7">
        <v>173.262</v>
      </c>
      <c r="N1886" s="5">
        <v>19.5</v>
      </c>
      <c r="O1886" s="4">
        <v>19</v>
      </c>
      <c r="P1886" s="2" t="s">
        <v>6147</v>
      </c>
      <c r="Q1886" s="6">
        <v>100</v>
      </c>
      <c r="R1886" s="6">
        <v>9.08</v>
      </c>
      <c r="S1886" s="5">
        <v>15.8</v>
      </c>
      <c r="T1886" s="7">
        <v>23.353000000000002</v>
      </c>
      <c r="U1886" s="5">
        <v>0.9</v>
      </c>
      <c r="V1886" s="7">
        <v>1.4950000000000001</v>
      </c>
      <c r="W1886" s="7">
        <v>6.1879999999999997</v>
      </c>
      <c r="X1886" s="6">
        <v>6.75</v>
      </c>
      <c r="Y1886" s="7">
        <v>7.375</v>
      </c>
      <c r="Z1886" s="5">
        <v>7.5</v>
      </c>
      <c r="AA1886" s="6">
        <v>10.36</v>
      </c>
      <c r="AB1886" s="7">
        <v>8.4169999999999998</v>
      </c>
      <c r="AC1886" s="2"/>
    </row>
    <row r="1887" spans="1:29" ht="52" x14ac:dyDescent="0.15">
      <c r="A1887" s="3">
        <f>DATE(1995,4,26)</f>
        <v>34815</v>
      </c>
      <c r="B1887" s="2"/>
      <c r="C1887" s="2" t="s">
        <v>30</v>
      </c>
      <c r="D1887" s="2" t="s">
        <v>2118</v>
      </c>
      <c r="E1887" s="2" t="s">
        <v>612</v>
      </c>
      <c r="F1887" s="4">
        <v>1311</v>
      </c>
      <c r="G1887" s="2" t="s">
        <v>148</v>
      </c>
      <c r="H1887" s="2" t="s">
        <v>34</v>
      </c>
      <c r="I1887" s="2" t="s">
        <v>51</v>
      </c>
      <c r="J1887" s="2" t="s">
        <v>52</v>
      </c>
      <c r="K1887" s="2" t="s">
        <v>53</v>
      </c>
      <c r="L1887" s="2" t="s">
        <v>34</v>
      </c>
      <c r="M1887" s="2"/>
      <c r="N1887" s="2"/>
      <c r="O1887" s="2"/>
      <c r="P1887" s="2" t="s">
        <v>6148</v>
      </c>
      <c r="Q1887" s="2"/>
      <c r="R1887" s="2"/>
      <c r="S1887" s="5">
        <v>0.8</v>
      </c>
      <c r="T1887" s="2"/>
      <c r="U1887" s="5">
        <v>3.7</v>
      </c>
      <c r="V1887" s="7">
        <v>7.4740000000000002</v>
      </c>
      <c r="W1887" s="5">
        <v>6.5</v>
      </c>
      <c r="X1887" s="4">
        <v>7</v>
      </c>
      <c r="Y1887" s="7">
        <v>7.375</v>
      </c>
      <c r="Z1887" s="7">
        <v>7.3129999999999997</v>
      </c>
      <c r="AA1887" s="6">
        <v>22.06</v>
      </c>
      <c r="AB1887" s="2" t="s">
        <v>47</v>
      </c>
      <c r="AC1887" s="2"/>
    </row>
    <row r="1888" spans="1:29" ht="26" x14ac:dyDescent="0.15">
      <c r="A1888" s="3">
        <f>DATE(1995,4,26)</f>
        <v>34815</v>
      </c>
      <c r="B1888" s="2"/>
      <c r="C1888" s="2" t="s">
        <v>30</v>
      </c>
      <c r="D1888" s="2" t="s">
        <v>6149</v>
      </c>
      <c r="E1888" s="2" t="s">
        <v>6150</v>
      </c>
      <c r="F1888" s="4">
        <v>7363</v>
      </c>
      <c r="G1888" s="2" t="s">
        <v>223</v>
      </c>
      <c r="H1888" s="2" t="s">
        <v>34</v>
      </c>
      <c r="I1888" s="2" t="s">
        <v>6151</v>
      </c>
      <c r="J1888" s="2" t="s">
        <v>6152</v>
      </c>
      <c r="K1888" s="2" t="s">
        <v>454</v>
      </c>
      <c r="L1888" s="2" t="s">
        <v>34</v>
      </c>
      <c r="M1888" s="2"/>
      <c r="N1888" s="5">
        <v>5.5</v>
      </c>
      <c r="O1888" s="6">
        <v>5.75</v>
      </c>
      <c r="P1888" s="2" t="s">
        <v>6153</v>
      </c>
      <c r="Q1888" s="2"/>
      <c r="R1888" s="2"/>
      <c r="S1888" s="2"/>
      <c r="T1888" s="2"/>
      <c r="U1888" s="2"/>
      <c r="V1888" s="2"/>
      <c r="W1888" s="6">
        <v>2.25</v>
      </c>
      <c r="X1888" s="7">
        <v>2.5630000000000002</v>
      </c>
      <c r="Y1888" s="7">
        <v>1.0629999999999999</v>
      </c>
      <c r="Z1888" s="7">
        <v>1.0629999999999999</v>
      </c>
      <c r="AA1888" s="6">
        <v>1.03</v>
      </c>
      <c r="AB1888" s="2" t="s">
        <v>47</v>
      </c>
      <c r="AC1888" s="6">
        <v>2.17</v>
      </c>
    </row>
    <row r="1889" spans="1:29" ht="117" x14ac:dyDescent="0.15">
      <c r="A1889" s="3">
        <f>DATE(1995,4,26)</f>
        <v>34815</v>
      </c>
      <c r="B1889" s="2"/>
      <c r="C1889" s="2" t="s">
        <v>30</v>
      </c>
      <c r="D1889" s="2" t="s">
        <v>6154</v>
      </c>
      <c r="E1889" s="2" t="s">
        <v>36</v>
      </c>
      <c r="F1889" s="4">
        <v>6035</v>
      </c>
      <c r="G1889" s="2" t="s">
        <v>33</v>
      </c>
      <c r="H1889" s="2" t="s">
        <v>34</v>
      </c>
      <c r="I1889" s="2" t="s">
        <v>6155</v>
      </c>
      <c r="J1889" s="2" t="s">
        <v>1181</v>
      </c>
      <c r="K1889" s="2" t="s">
        <v>37</v>
      </c>
      <c r="L1889" s="2" t="s">
        <v>34</v>
      </c>
      <c r="M1889" s="2"/>
      <c r="N1889" s="2"/>
      <c r="O1889" s="2"/>
      <c r="P1889" s="2" t="s">
        <v>6156</v>
      </c>
      <c r="Q1889" s="2"/>
      <c r="R1889" s="6">
        <v>1.55</v>
      </c>
      <c r="S1889" s="5">
        <v>0.5</v>
      </c>
      <c r="T1889" s="7">
        <v>2.4860000000000002</v>
      </c>
      <c r="U1889" s="5">
        <v>1.1000000000000001</v>
      </c>
      <c r="V1889" s="7">
        <v>0.20799999999999999</v>
      </c>
      <c r="W1889" s="7">
        <v>1.125</v>
      </c>
      <c r="X1889" s="6">
        <v>1.25</v>
      </c>
      <c r="Y1889" s="6">
        <v>1.25</v>
      </c>
      <c r="Z1889" s="6">
        <v>1.25</v>
      </c>
      <c r="AA1889" s="6">
        <v>4.74</v>
      </c>
      <c r="AB1889" s="7">
        <v>180.268</v>
      </c>
      <c r="AC1889" s="2"/>
    </row>
    <row r="1890" spans="1:29" ht="26" x14ac:dyDescent="0.15">
      <c r="A1890" s="3">
        <f>DATE(1995,4,27)</f>
        <v>34816</v>
      </c>
      <c r="B1890" s="2"/>
      <c r="C1890" s="2" t="s">
        <v>30</v>
      </c>
      <c r="D1890" s="2" t="s">
        <v>6157</v>
      </c>
      <c r="E1890" s="2" t="s">
        <v>3478</v>
      </c>
      <c r="F1890" s="4">
        <v>4813</v>
      </c>
      <c r="G1890" s="2" t="s">
        <v>63</v>
      </c>
      <c r="H1890" s="2" t="s">
        <v>34</v>
      </c>
      <c r="I1890" s="2" t="s">
        <v>6158</v>
      </c>
      <c r="J1890" s="2" t="s">
        <v>6159</v>
      </c>
      <c r="K1890" s="2" t="s">
        <v>921</v>
      </c>
      <c r="L1890" s="2" t="s">
        <v>34</v>
      </c>
      <c r="M1890" s="2"/>
      <c r="N1890" s="5">
        <v>1.5</v>
      </c>
      <c r="O1890" s="7">
        <v>1.4059999999999999</v>
      </c>
      <c r="P1890" s="2" t="s">
        <v>6160</v>
      </c>
      <c r="Q1890" s="2"/>
      <c r="R1890" s="2"/>
      <c r="S1890" s="5">
        <v>-1.1000000000000001</v>
      </c>
      <c r="T1890" s="7">
        <v>-0.73699999999999999</v>
      </c>
      <c r="U1890" s="5">
        <v>2.6</v>
      </c>
      <c r="V1890" s="2"/>
      <c r="W1890" s="6">
        <v>6.25</v>
      </c>
      <c r="X1890" s="5">
        <v>6.5</v>
      </c>
      <c r="Y1890" s="5">
        <v>6.5</v>
      </c>
      <c r="Z1890" s="5">
        <v>6.5</v>
      </c>
      <c r="AA1890" s="2"/>
      <c r="AB1890" s="2" t="s">
        <v>86</v>
      </c>
      <c r="AC1890" s="2"/>
    </row>
    <row r="1891" spans="1:29" ht="143" x14ac:dyDescent="0.15">
      <c r="A1891" s="3">
        <f>DATE(1995,4,28)</f>
        <v>34817</v>
      </c>
      <c r="B1891" s="3">
        <f>DATE(1995,6,16)</f>
        <v>34866</v>
      </c>
      <c r="C1891" s="2" t="s">
        <v>95</v>
      </c>
      <c r="D1891" s="2" t="s">
        <v>1959</v>
      </c>
      <c r="E1891" s="2" t="s">
        <v>1960</v>
      </c>
      <c r="F1891" s="4">
        <v>2851</v>
      </c>
      <c r="G1891" s="2" t="s">
        <v>98</v>
      </c>
      <c r="H1891" s="2" t="s">
        <v>34</v>
      </c>
      <c r="I1891" s="2" t="s">
        <v>6161</v>
      </c>
      <c r="J1891" s="2" t="s">
        <v>6162</v>
      </c>
      <c r="K1891" s="2" t="s">
        <v>98</v>
      </c>
      <c r="L1891" s="2" t="s">
        <v>303</v>
      </c>
      <c r="M1891" s="2"/>
      <c r="N1891" s="2"/>
      <c r="O1891" s="2"/>
      <c r="P1891" s="2" t="s">
        <v>6163</v>
      </c>
      <c r="Q1891" s="6">
        <v>100</v>
      </c>
      <c r="R1891" s="6">
        <v>22</v>
      </c>
      <c r="S1891" s="5">
        <v>14.1</v>
      </c>
      <c r="T1891" s="7">
        <v>30.555</v>
      </c>
      <c r="U1891" s="5">
        <v>8.6</v>
      </c>
      <c r="V1891" s="6">
        <v>0.87</v>
      </c>
      <c r="W1891" s="7">
        <v>15.875</v>
      </c>
      <c r="X1891" s="7">
        <v>16.875</v>
      </c>
      <c r="Y1891" s="7">
        <v>17.625</v>
      </c>
      <c r="Z1891" s="6">
        <v>17.75</v>
      </c>
      <c r="AA1891" s="6">
        <v>16.100000000000001</v>
      </c>
      <c r="AB1891" s="7">
        <v>13.286</v>
      </c>
      <c r="AC1891" s="10">
        <v>2752.84</v>
      </c>
    </row>
    <row r="1892" spans="1:29" ht="143" x14ac:dyDescent="0.15">
      <c r="A1892" s="3">
        <f>DATE(1995,4,28)</f>
        <v>34817</v>
      </c>
      <c r="B1892" s="3">
        <f>DATE(1995,12,31)</f>
        <v>35064</v>
      </c>
      <c r="C1892" s="2" t="s">
        <v>95</v>
      </c>
      <c r="D1892" s="2" t="s">
        <v>6164</v>
      </c>
      <c r="E1892" s="2" t="s">
        <v>36</v>
      </c>
      <c r="F1892" s="4">
        <v>6035</v>
      </c>
      <c r="G1892" s="2" t="s">
        <v>33</v>
      </c>
      <c r="H1892" s="2" t="s">
        <v>34</v>
      </c>
      <c r="I1892" s="2" t="s">
        <v>3427</v>
      </c>
      <c r="J1892" s="2" t="s">
        <v>36</v>
      </c>
      <c r="K1892" s="2" t="s">
        <v>37</v>
      </c>
      <c r="L1892" s="2" t="s">
        <v>34</v>
      </c>
      <c r="M1892" s="12">
        <v>1689.4860000000001</v>
      </c>
      <c r="N1892" s="4">
        <v>45</v>
      </c>
      <c r="O1892" s="6">
        <v>44.25</v>
      </c>
      <c r="P1892" s="2" t="s">
        <v>6165</v>
      </c>
      <c r="Q1892" s="6">
        <v>100</v>
      </c>
      <c r="R1892" s="6">
        <v>31.4</v>
      </c>
      <c r="S1892" s="5">
        <v>15</v>
      </c>
      <c r="T1892" s="7">
        <v>29.341000000000001</v>
      </c>
      <c r="U1892" s="5">
        <v>20.9</v>
      </c>
      <c r="V1892" s="6">
        <v>1.74</v>
      </c>
      <c r="W1892" s="7">
        <v>24.875</v>
      </c>
      <c r="X1892" s="6">
        <v>26.75</v>
      </c>
      <c r="Y1892" s="7">
        <v>29.625</v>
      </c>
      <c r="Z1892" s="6">
        <v>29.75</v>
      </c>
      <c r="AA1892" s="6">
        <v>8.11</v>
      </c>
      <c r="AB1892" s="7">
        <v>42.168999999999997</v>
      </c>
      <c r="AC1892" s="2"/>
    </row>
    <row r="1893" spans="1:29" ht="117" x14ac:dyDescent="0.15">
      <c r="A1893" s="3">
        <f>DATE(1995,4,28)</f>
        <v>34817</v>
      </c>
      <c r="B1893" s="3">
        <f>DATE(1995,6,2)</f>
        <v>34852</v>
      </c>
      <c r="C1893" s="2" t="s">
        <v>95</v>
      </c>
      <c r="D1893" s="2" t="s">
        <v>6166</v>
      </c>
      <c r="E1893" s="2" t="s">
        <v>6167</v>
      </c>
      <c r="F1893" s="4">
        <v>5995</v>
      </c>
      <c r="G1893" s="2" t="s">
        <v>73</v>
      </c>
      <c r="H1893" s="2" t="s">
        <v>34</v>
      </c>
      <c r="I1893" s="2" t="s">
        <v>1553</v>
      </c>
      <c r="J1893" s="2" t="s">
        <v>1554</v>
      </c>
      <c r="K1893" s="2" t="s">
        <v>73</v>
      </c>
      <c r="L1893" s="2" t="s">
        <v>34</v>
      </c>
      <c r="M1893" s="2"/>
      <c r="N1893" s="2"/>
      <c r="O1893" s="2"/>
      <c r="P1893" s="2" t="s">
        <v>6168</v>
      </c>
      <c r="Q1893" s="6">
        <v>100</v>
      </c>
      <c r="R1893" s="6">
        <v>7.6</v>
      </c>
      <c r="S1893" s="5">
        <v>-1.3</v>
      </c>
      <c r="T1893" s="7">
        <v>1.768</v>
      </c>
      <c r="U1893" s="5">
        <v>5.2</v>
      </c>
      <c r="V1893" s="7">
        <v>-0.47499999999999998</v>
      </c>
      <c r="W1893" s="5">
        <v>5.5</v>
      </c>
      <c r="X1893" s="6">
        <v>5.75</v>
      </c>
      <c r="Y1893" s="7">
        <v>7.375</v>
      </c>
      <c r="Z1893" s="7">
        <v>7.125</v>
      </c>
      <c r="AA1893" s="6">
        <v>2.7</v>
      </c>
      <c r="AB1893" s="2" t="s">
        <v>86</v>
      </c>
      <c r="AC1893" s="2"/>
    </row>
    <row r="1894" spans="1:29" ht="169" x14ac:dyDescent="0.15">
      <c r="A1894" s="3">
        <f>DATE(1995,5,1)</f>
        <v>34820</v>
      </c>
      <c r="B1894" s="3">
        <f>DATE(1996,3,18)</f>
        <v>35142</v>
      </c>
      <c r="C1894" s="2" t="s">
        <v>95</v>
      </c>
      <c r="D1894" s="2" t="s">
        <v>6169</v>
      </c>
      <c r="E1894" s="2" t="s">
        <v>6170</v>
      </c>
      <c r="F1894" s="4">
        <v>2879</v>
      </c>
      <c r="G1894" s="2" t="s">
        <v>98</v>
      </c>
      <c r="H1894" s="2" t="s">
        <v>34</v>
      </c>
      <c r="I1894" s="2" t="s">
        <v>6171</v>
      </c>
      <c r="J1894" s="2" t="s">
        <v>3461</v>
      </c>
      <c r="K1894" s="2" t="s">
        <v>130</v>
      </c>
      <c r="L1894" s="2" t="s">
        <v>34</v>
      </c>
      <c r="M1894" s="7">
        <v>18.437000000000001</v>
      </c>
      <c r="N1894" s="4">
        <v>2</v>
      </c>
      <c r="O1894" s="4">
        <v>2</v>
      </c>
      <c r="P1894" s="2" t="s">
        <v>6172</v>
      </c>
      <c r="Q1894" s="6">
        <v>100</v>
      </c>
      <c r="R1894" s="6">
        <v>1.43</v>
      </c>
      <c r="S1894" s="2"/>
      <c r="T1894" s="2"/>
      <c r="U1894" s="5">
        <v>0.8</v>
      </c>
      <c r="V1894" s="2"/>
      <c r="W1894" s="7">
        <v>0.93799999999999994</v>
      </c>
      <c r="X1894" s="4">
        <v>1</v>
      </c>
      <c r="Y1894" s="7">
        <v>1.3129999999999999</v>
      </c>
      <c r="Z1894" s="6">
        <v>1.25</v>
      </c>
      <c r="AA1894" s="6">
        <v>6.55</v>
      </c>
      <c r="AB1894" s="2" t="s">
        <v>47</v>
      </c>
      <c r="AC1894" s="2"/>
    </row>
    <row r="1895" spans="1:29" ht="169" x14ac:dyDescent="0.15">
      <c r="A1895" s="3">
        <f>DATE(1995,5,1)</f>
        <v>34820</v>
      </c>
      <c r="B1895" s="2"/>
      <c r="C1895" s="2" t="s">
        <v>30</v>
      </c>
      <c r="D1895" s="2" t="s">
        <v>6173</v>
      </c>
      <c r="E1895" s="2" t="s">
        <v>441</v>
      </c>
      <c r="F1895" s="4">
        <v>4932</v>
      </c>
      <c r="G1895" s="2" t="s">
        <v>439</v>
      </c>
      <c r="H1895" s="2" t="s">
        <v>34</v>
      </c>
      <c r="I1895" s="2" t="s">
        <v>3758</v>
      </c>
      <c r="J1895" s="2" t="s">
        <v>3759</v>
      </c>
      <c r="K1895" s="2" t="s">
        <v>439</v>
      </c>
      <c r="L1895" s="2" t="s">
        <v>34</v>
      </c>
      <c r="M1895" s="12">
        <v>2940.125</v>
      </c>
      <c r="N1895" s="5">
        <v>28.5</v>
      </c>
      <c r="O1895" s="7">
        <v>28.375</v>
      </c>
      <c r="P1895" s="2" t="s">
        <v>6174</v>
      </c>
      <c r="Q1895" s="2"/>
      <c r="R1895" s="6">
        <v>45.12</v>
      </c>
      <c r="S1895" s="5">
        <v>243.5</v>
      </c>
      <c r="T1895" s="7">
        <v>787.68200000000002</v>
      </c>
      <c r="U1895" s="5">
        <v>14.2</v>
      </c>
      <c r="V1895" s="6">
        <v>1.73</v>
      </c>
      <c r="W1895" s="6">
        <v>44.25</v>
      </c>
      <c r="X1895" s="6">
        <v>44.25</v>
      </c>
      <c r="Y1895" s="6">
        <v>45.25</v>
      </c>
      <c r="Z1895" s="7">
        <v>45.375</v>
      </c>
      <c r="AA1895" s="6">
        <v>67.3</v>
      </c>
      <c r="AB1895" s="7">
        <v>18.506</v>
      </c>
      <c r="AC1895" s="6">
        <v>8.98</v>
      </c>
    </row>
    <row r="1896" spans="1:29" ht="52" x14ac:dyDescent="0.15">
      <c r="A1896" s="3">
        <f>DATE(1995,5,1)</f>
        <v>34820</v>
      </c>
      <c r="B1896" s="2"/>
      <c r="C1896" s="2" t="s">
        <v>30</v>
      </c>
      <c r="D1896" s="2" t="s">
        <v>5379</v>
      </c>
      <c r="E1896" s="2" t="s">
        <v>2692</v>
      </c>
      <c r="F1896" s="4">
        <v>1521</v>
      </c>
      <c r="G1896" s="2" t="s">
        <v>341</v>
      </c>
      <c r="H1896" s="2" t="s">
        <v>34</v>
      </c>
      <c r="I1896" s="2" t="s">
        <v>6175</v>
      </c>
      <c r="J1896" s="2" t="s">
        <v>595</v>
      </c>
      <c r="K1896" s="2" t="s">
        <v>53</v>
      </c>
      <c r="L1896" s="2" t="s">
        <v>34</v>
      </c>
      <c r="M1896" s="2"/>
      <c r="N1896" s="2"/>
      <c r="O1896" s="2"/>
      <c r="P1896" s="2" t="s">
        <v>6176</v>
      </c>
      <c r="Q1896" s="2"/>
      <c r="R1896" s="2"/>
      <c r="S1896" s="5">
        <v>-23.3</v>
      </c>
      <c r="T1896" s="7">
        <v>1.6579999999999999</v>
      </c>
      <c r="U1896" s="5">
        <v>9.8000000000000007</v>
      </c>
      <c r="V1896" s="7">
        <v>-3.4780000000000002</v>
      </c>
      <c r="W1896" s="7">
        <v>1.125</v>
      </c>
      <c r="X1896" s="4">
        <v>1</v>
      </c>
      <c r="Y1896" s="4">
        <v>1</v>
      </c>
      <c r="Z1896" s="4">
        <v>1</v>
      </c>
      <c r="AA1896" s="2"/>
      <c r="AB1896" s="2" t="s">
        <v>86</v>
      </c>
      <c r="AC1896" s="2"/>
    </row>
    <row r="1897" spans="1:29" ht="65" x14ac:dyDescent="0.15">
      <c r="A1897" s="3">
        <f>DATE(1995,5,2)</f>
        <v>34821</v>
      </c>
      <c r="B1897" s="3">
        <f>DATE(1995,10,2)</f>
        <v>34974</v>
      </c>
      <c r="C1897" s="2" t="s">
        <v>95</v>
      </c>
      <c r="D1897" s="2" t="s">
        <v>6177</v>
      </c>
      <c r="E1897" s="2" t="s">
        <v>265</v>
      </c>
      <c r="F1897" s="4">
        <v>6036</v>
      </c>
      <c r="G1897" s="2" t="s">
        <v>33</v>
      </c>
      <c r="H1897" s="2" t="s">
        <v>34</v>
      </c>
      <c r="I1897" s="2" t="s">
        <v>2257</v>
      </c>
      <c r="J1897" s="2" t="s">
        <v>36</v>
      </c>
      <c r="K1897" s="2" t="s">
        <v>37</v>
      </c>
      <c r="L1897" s="2" t="s">
        <v>34</v>
      </c>
      <c r="M1897" s="6">
        <v>648.45000000000005</v>
      </c>
      <c r="N1897" s="4">
        <v>28</v>
      </c>
      <c r="O1897" s="6">
        <v>27.75</v>
      </c>
      <c r="P1897" s="2" t="s">
        <v>6178</v>
      </c>
      <c r="Q1897" s="6">
        <v>100</v>
      </c>
      <c r="R1897" s="2"/>
      <c r="S1897" s="5">
        <v>2</v>
      </c>
      <c r="T1897" s="7">
        <v>2.2370000000000001</v>
      </c>
      <c r="U1897" s="5">
        <v>7.4</v>
      </c>
      <c r="V1897" s="6">
        <v>0.84</v>
      </c>
      <c r="W1897" s="7">
        <v>6.375</v>
      </c>
      <c r="X1897" s="4">
        <v>6</v>
      </c>
      <c r="Y1897" s="4">
        <v>6</v>
      </c>
      <c r="Z1897" s="7">
        <v>6.125</v>
      </c>
      <c r="AA1897" s="2"/>
      <c r="AB1897" s="7">
        <v>62.387999999999998</v>
      </c>
      <c r="AC1897" s="2"/>
    </row>
    <row r="1898" spans="1:29" ht="52" x14ac:dyDescent="0.15">
      <c r="A1898" s="3">
        <f>DATE(1995,5,3)</f>
        <v>34822</v>
      </c>
      <c r="B1898" s="3">
        <f>DATE(1995,5,3)</f>
        <v>34822</v>
      </c>
      <c r="C1898" s="2" t="s">
        <v>95</v>
      </c>
      <c r="D1898" s="2" t="s">
        <v>6179</v>
      </c>
      <c r="E1898" s="2" t="s">
        <v>6180</v>
      </c>
      <c r="F1898" s="4">
        <v>8071</v>
      </c>
      <c r="G1898" s="2" t="s">
        <v>454</v>
      </c>
      <c r="H1898" s="2" t="s">
        <v>34</v>
      </c>
      <c r="I1898" s="2" t="s">
        <v>51</v>
      </c>
      <c r="J1898" s="2" t="s">
        <v>52</v>
      </c>
      <c r="K1898" s="2" t="s">
        <v>53</v>
      </c>
      <c r="L1898" s="2" t="s">
        <v>34</v>
      </c>
      <c r="M1898" s="2"/>
      <c r="N1898" s="2"/>
      <c r="O1898" s="2"/>
      <c r="P1898" s="2" t="s">
        <v>6181</v>
      </c>
      <c r="Q1898" s="6">
        <v>55</v>
      </c>
      <c r="R1898" s="2"/>
      <c r="S1898" s="2"/>
      <c r="T1898" s="2"/>
      <c r="U1898" s="2"/>
      <c r="V1898" s="2"/>
      <c r="W1898" s="6">
        <v>1.25</v>
      </c>
      <c r="X1898" s="7">
        <v>1.375</v>
      </c>
      <c r="Y1898" s="6">
        <v>1.75</v>
      </c>
      <c r="Z1898" s="7">
        <v>1.625</v>
      </c>
      <c r="AA1898" s="2"/>
      <c r="AB1898" s="2" t="s">
        <v>47</v>
      </c>
      <c r="AC1898" s="2"/>
    </row>
    <row r="1899" spans="1:29" ht="130" x14ac:dyDescent="0.15">
      <c r="A1899" s="3">
        <f>DATE(1995,5,3)</f>
        <v>34822</v>
      </c>
      <c r="B1899" s="2"/>
      <c r="C1899" s="2" t="s">
        <v>30</v>
      </c>
      <c r="D1899" s="2" t="s">
        <v>5170</v>
      </c>
      <c r="E1899" s="2" t="s">
        <v>5171</v>
      </c>
      <c r="F1899" s="4">
        <v>5311</v>
      </c>
      <c r="G1899" s="2" t="s">
        <v>756</v>
      </c>
      <c r="H1899" s="2" t="s">
        <v>34</v>
      </c>
      <c r="I1899" s="2" t="s">
        <v>6182</v>
      </c>
      <c r="J1899" s="2" t="s">
        <v>80</v>
      </c>
      <c r="K1899" s="2" t="s">
        <v>53</v>
      </c>
      <c r="L1899" s="2" t="s">
        <v>34</v>
      </c>
      <c r="M1899" s="2"/>
      <c r="N1899" s="2"/>
      <c r="O1899" s="2"/>
      <c r="P1899" s="2" t="s">
        <v>6183</v>
      </c>
      <c r="Q1899" s="2"/>
      <c r="R1899" s="6">
        <v>27</v>
      </c>
      <c r="S1899" s="5">
        <v>40.4</v>
      </c>
      <c r="T1899" s="7">
        <v>146.191</v>
      </c>
      <c r="U1899" s="5">
        <v>28.4</v>
      </c>
      <c r="V1899" s="6">
        <v>2.87</v>
      </c>
      <c r="W1899" s="5">
        <v>19.5</v>
      </c>
      <c r="X1899" s="7">
        <v>20.625</v>
      </c>
      <c r="Y1899" s="5">
        <v>23.5</v>
      </c>
      <c r="Z1899" s="7">
        <v>23.375</v>
      </c>
      <c r="AA1899" s="6">
        <v>9.2899999999999991</v>
      </c>
      <c r="AB1899" s="7">
        <v>4.7279999999999998</v>
      </c>
      <c r="AC1899" s="2"/>
    </row>
    <row r="1900" spans="1:29" ht="117" x14ac:dyDescent="0.15">
      <c r="A1900" s="3">
        <f>DATE(1995,5,3)</f>
        <v>34822</v>
      </c>
      <c r="B1900" s="3">
        <f>DATE(1995,10,24)</f>
        <v>34996</v>
      </c>
      <c r="C1900" s="2" t="s">
        <v>95</v>
      </c>
      <c r="D1900" s="2" t="s">
        <v>6184</v>
      </c>
      <c r="E1900" s="2" t="s">
        <v>6185</v>
      </c>
      <c r="F1900" s="4">
        <v>8059</v>
      </c>
      <c r="G1900" s="2" t="s">
        <v>454</v>
      </c>
      <c r="H1900" s="2" t="s">
        <v>34</v>
      </c>
      <c r="I1900" s="2" t="s">
        <v>6186</v>
      </c>
      <c r="J1900" s="2" t="s">
        <v>3632</v>
      </c>
      <c r="K1900" s="2" t="s">
        <v>454</v>
      </c>
      <c r="L1900" s="2" t="s">
        <v>34</v>
      </c>
      <c r="M1900" s="2"/>
      <c r="N1900" s="5">
        <v>27.5</v>
      </c>
      <c r="O1900" s="6">
        <v>26.75</v>
      </c>
      <c r="P1900" s="2" t="s">
        <v>6187</v>
      </c>
      <c r="Q1900" s="6">
        <v>33.56</v>
      </c>
      <c r="R1900" s="2"/>
      <c r="S1900" s="5">
        <v>1.6</v>
      </c>
      <c r="T1900" s="5">
        <v>7</v>
      </c>
      <c r="U1900" s="5">
        <v>5.6</v>
      </c>
      <c r="V1900" s="6">
        <v>0.3</v>
      </c>
      <c r="W1900" s="7">
        <v>2.625</v>
      </c>
      <c r="X1900" s="6">
        <v>2.75</v>
      </c>
      <c r="Y1900" s="7">
        <v>2.875</v>
      </c>
      <c r="Z1900" s="7">
        <v>2.8130000000000002</v>
      </c>
      <c r="AA1900" s="6">
        <v>16.07</v>
      </c>
      <c r="AB1900" s="7">
        <v>21.306999999999999</v>
      </c>
      <c r="AC1900" s="6">
        <v>7.74</v>
      </c>
    </row>
    <row r="1901" spans="1:29" ht="143" x14ac:dyDescent="0.15">
      <c r="A1901" s="3">
        <f>DATE(1995,5,3)</f>
        <v>34822</v>
      </c>
      <c r="B1901" s="3">
        <f>DATE(1995,8,30)</f>
        <v>34941</v>
      </c>
      <c r="C1901" s="2" t="s">
        <v>95</v>
      </c>
      <c r="D1901" s="2" t="s">
        <v>5563</v>
      </c>
      <c r="E1901" s="2" t="s">
        <v>5564</v>
      </c>
      <c r="F1901" s="4">
        <v>8071</v>
      </c>
      <c r="G1901" s="2" t="s">
        <v>454</v>
      </c>
      <c r="H1901" s="2" t="s">
        <v>34</v>
      </c>
      <c r="I1901" s="2" t="s">
        <v>6188</v>
      </c>
      <c r="J1901" s="2" t="s">
        <v>6189</v>
      </c>
      <c r="K1901" s="2" t="s">
        <v>226</v>
      </c>
      <c r="L1901" s="2" t="s">
        <v>34</v>
      </c>
      <c r="M1901" s="2"/>
      <c r="N1901" s="7">
        <v>2.875</v>
      </c>
      <c r="O1901" s="6">
        <v>2.75</v>
      </c>
      <c r="P1901" s="2" t="s">
        <v>6190</v>
      </c>
      <c r="Q1901" s="6">
        <v>100</v>
      </c>
      <c r="R1901" s="6">
        <v>8</v>
      </c>
      <c r="S1901" s="5">
        <v>1.2</v>
      </c>
      <c r="T1901" s="7">
        <v>5.0469999999999997</v>
      </c>
      <c r="U1901" s="5">
        <v>3.5</v>
      </c>
      <c r="V1901" s="7">
        <v>0.192</v>
      </c>
      <c r="W1901" s="7">
        <v>3.625</v>
      </c>
      <c r="X1901" s="7">
        <v>4.375</v>
      </c>
      <c r="Y1901" s="7">
        <v>4.3129999999999997</v>
      </c>
      <c r="Z1901" s="5">
        <v>4.5</v>
      </c>
      <c r="AA1901" s="6">
        <v>3.56</v>
      </c>
      <c r="AB1901" s="7">
        <v>13.768000000000001</v>
      </c>
      <c r="AC1901" s="2"/>
    </row>
    <row r="1902" spans="1:29" ht="156" x14ac:dyDescent="0.15">
      <c r="A1902" s="3">
        <f>DATE(1995,5,3)</f>
        <v>34822</v>
      </c>
      <c r="B1902" s="3">
        <f>DATE(1995,7,19)</f>
        <v>34899</v>
      </c>
      <c r="C1902" s="2" t="s">
        <v>95</v>
      </c>
      <c r="D1902" s="2" t="s">
        <v>6191</v>
      </c>
      <c r="E1902" s="2" t="s">
        <v>177</v>
      </c>
      <c r="F1902" s="4">
        <v>1311</v>
      </c>
      <c r="G1902" s="2" t="s">
        <v>148</v>
      </c>
      <c r="H1902" s="2" t="s">
        <v>34</v>
      </c>
      <c r="I1902" s="2" t="s">
        <v>6192</v>
      </c>
      <c r="J1902" s="2" t="s">
        <v>177</v>
      </c>
      <c r="K1902" s="2" t="s">
        <v>148</v>
      </c>
      <c r="L1902" s="2" t="s">
        <v>34</v>
      </c>
      <c r="M1902" s="7">
        <v>264.75299999999999</v>
      </c>
      <c r="N1902" s="6">
        <v>20.25</v>
      </c>
      <c r="O1902" s="7">
        <v>19.875</v>
      </c>
      <c r="P1902" s="2" t="s">
        <v>6193</v>
      </c>
      <c r="Q1902" s="6">
        <v>100</v>
      </c>
      <c r="R1902" s="6">
        <v>30.23</v>
      </c>
      <c r="S1902" s="5">
        <v>6.7</v>
      </c>
      <c r="T1902" s="7">
        <v>26.788</v>
      </c>
      <c r="U1902" s="5">
        <v>10.1</v>
      </c>
      <c r="V1902" s="6">
        <v>0.68</v>
      </c>
      <c r="W1902" s="7">
        <v>21.875</v>
      </c>
      <c r="X1902" s="5">
        <v>22.5</v>
      </c>
      <c r="Y1902" s="4">
        <v>23</v>
      </c>
      <c r="Z1902" s="5">
        <v>23.5</v>
      </c>
      <c r="AA1902" s="6">
        <v>9.82</v>
      </c>
      <c r="AB1902" s="7">
        <v>35.417000000000002</v>
      </c>
      <c r="AC1902" s="6">
        <v>9.73</v>
      </c>
    </row>
    <row r="1903" spans="1:29" ht="104" x14ac:dyDescent="0.15">
      <c r="A1903" s="3">
        <f>DATE(1995,5,4)</f>
        <v>34823</v>
      </c>
      <c r="B1903" s="3">
        <f>DATE(1995,6,8)</f>
        <v>34858</v>
      </c>
      <c r="C1903" s="2" t="s">
        <v>95</v>
      </c>
      <c r="D1903" s="2" t="s">
        <v>6194</v>
      </c>
      <c r="E1903" s="2" t="s">
        <v>6195</v>
      </c>
      <c r="F1903" s="4">
        <v>3714</v>
      </c>
      <c r="G1903" s="2" t="s">
        <v>105</v>
      </c>
      <c r="H1903" s="2" t="s">
        <v>34</v>
      </c>
      <c r="I1903" s="2" t="s">
        <v>6196</v>
      </c>
      <c r="J1903" s="2" t="s">
        <v>6197</v>
      </c>
      <c r="K1903" s="2" t="s">
        <v>76</v>
      </c>
      <c r="L1903" s="2" t="s">
        <v>34</v>
      </c>
      <c r="M1903" s="7">
        <v>75.325999999999993</v>
      </c>
      <c r="N1903" s="5">
        <v>16.5</v>
      </c>
      <c r="O1903" s="5">
        <v>15.5</v>
      </c>
      <c r="P1903" s="2" t="s">
        <v>6198</v>
      </c>
      <c r="Q1903" s="6">
        <v>100</v>
      </c>
      <c r="R1903" s="6">
        <v>12.75</v>
      </c>
      <c r="S1903" s="5">
        <v>4</v>
      </c>
      <c r="T1903" s="7">
        <v>7.6710000000000003</v>
      </c>
      <c r="U1903" s="5">
        <v>4.2</v>
      </c>
      <c r="V1903" s="7">
        <v>1.1719999999999999</v>
      </c>
      <c r="W1903" s="6">
        <v>10.75</v>
      </c>
      <c r="X1903" s="7">
        <v>10.452999999999999</v>
      </c>
      <c r="Y1903" s="7">
        <v>12.563000000000001</v>
      </c>
      <c r="Z1903" s="5">
        <v>12.5</v>
      </c>
      <c r="AA1903" s="6">
        <v>3.45</v>
      </c>
      <c r="AB1903" s="7">
        <v>6.4379999999999997</v>
      </c>
      <c r="AC1903" s="2"/>
    </row>
    <row r="1904" spans="1:29" ht="143" x14ac:dyDescent="0.15">
      <c r="A1904" s="3">
        <f>DATE(1995,5,5)</f>
        <v>34824</v>
      </c>
      <c r="B1904" s="2"/>
      <c r="C1904" s="2" t="s">
        <v>30</v>
      </c>
      <c r="D1904" s="2" t="s">
        <v>1959</v>
      </c>
      <c r="E1904" s="2" t="s">
        <v>1960</v>
      </c>
      <c r="F1904" s="4">
        <v>2851</v>
      </c>
      <c r="G1904" s="2" t="s">
        <v>98</v>
      </c>
      <c r="H1904" s="2" t="s">
        <v>34</v>
      </c>
      <c r="I1904" s="2" t="s">
        <v>6199</v>
      </c>
      <c r="J1904" s="2" t="s">
        <v>6200</v>
      </c>
      <c r="K1904" s="2" t="s">
        <v>98</v>
      </c>
      <c r="L1904" s="2" t="s">
        <v>34</v>
      </c>
      <c r="M1904" s="12">
        <v>2931.047</v>
      </c>
      <c r="N1904" s="7">
        <v>35.625</v>
      </c>
      <c r="O1904" s="5">
        <v>36.5</v>
      </c>
      <c r="P1904" s="2" t="s">
        <v>6201</v>
      </c>
      <c r="Q1904" s="2"/>
      <c r="R1904" s="6">
        <v>19.5</v>
      </c>
      <c r="S1904" s="5">
        <v>14.1</v>
      </c>
      <c r="T1904" s="7">
        <v>30.555</v>
      </c>
      <c r="U1904" s="5">
        <v>8.6</v>
      </c>
      <c r="V1904" s="6">
        <v>0.87</v>
      </c>
      <c r="W1904" s="7">
        <v>17.625</v>
      </c>
      <c r="X1904" s="7">
        <v>19.125</v>
      </c>
      <c r="Y1904" s="5">
        <v>19.5</v>
      </c>
      <c r="Z1904" s="5">
        <v>20.5</v>
      </c>
      <c r="AA1904" s="6">
        <v>16.27</v>
      </c>
      <c r="AB1904" s="7">
        <v>11.548999999999999</v>
      </c>
      <c r="AC1904" s="6">
        <v>251.42</v>
      </c>
    </row>
    <row r="1905" spans="1:29" ht="52" x14ac:dyDescent="0.15">
      <c r="A1905" s="3">
        <f>DATE(1995,5,5)</f>
        <v>34824</v>
      </c>
      <c r="B1905" s="3">
        <f>DATE(1996,3,18)</f>
        <v>35142</v>
      </c>
      <c r="C1905" s="2" t="s">
        <v>95</v>
      </c>
      <c r="D1905" s="2" t="s">
        <v>6202</v>
      </c>
      <c r="E1905" s="2" t="s">
        <v>1085</v>
      </c>
      <c r="F1905" s="4">
        <v>6159</v>
      </c>
      <c r="G1905" s="2" t="s">
        <v>370</v>
      </c>
      <c r="H1905" s="2" t="s">
        <v>34</v>
      </c>
      <c r="I1905" s="2" t="s">
        <v>6203</v>
      </c>
      <c r="J1905" s="2" t="s">
        <v>4732</v>
      </c>
      <c r="K1905" s="2" t="s">
        <v>53</v>
      </c>
      <c r="L1905" s="2" t="s">
        <v>34</v>
      </c>
      <c r="M1905" s="2"/>
      <c r="N1905" s="2"/>
      <c r="O1905" s="2"/>
      <c r="P1905" s="2" t="s">
        <v>6204</v>
      </c>
      <c r="Q1905" s="6">
        <v>100</v>
      </c>
      <c r="R1905" s="6">
        <v>8.5</v>
      </c>
      <c r="S1905" s="5">
        <v>1.8</v>
      </c>
      <c r="T1905" s="7">
        <v>4.4219999999999997</v>
      </c>
      <c r="U1905" s="5">
        <v>2</v>
      </c>
      <c r="V1905" s="7">
        <v>0.51600000000000001</v>
      </c>
      <c r="W1905" s="7">
        <v>5.625</v>
      </c>
      <c r="X1905" s="7">
        <v>7.125</v>
      </c>
      <c r="Y1905" s="7">
        <v>7.125</v>
      </c>
      <c r="Z1905" s="7">
        <v>7.125</v>
      </c>
      <c r="AA1905" s="6">
        <v>3.12</v>
      </c>
      <c r="AB1905" s="7">
        <v>7.335</v>
      </c>
      <c r="AC1905" s="2"/>
    </row>
    <row r="1906" spans="1:29" ht="156" x14ac:dyDescent="0.15">
      <c r="A1906" s="3">
        <f t="shared" ref="A1906:A1911" si="8">DATE(1995,5,8)</f>
        <v>34827</v>
      </c>
      <c r="B1906" s="3">
        <f>DATE(1995,8,21)</f>
        <v>34932</v>
      </c>
      <c r="C1906" s="2" t="s">
        <v>95</v>
      </c>
      <c r="D1906" s="2" t="s">
        <v>6205</v>
      </c>
      <c r="E1906" s="2" t="s">
        <v>5269</v>
      </c>
      <c r="F1906" s="4">
        <v>3841</v>
      </c>
      <c r="G1906" s="2" t="s">
        <v>226</v>
      </c>
      <c r="H1906" s="2" t="s">
        <v>34</v>
      </c>
      <c r="I1906" s="2" t="s">
        <v>6206</v>
      </c>
      <c r="J1906" s="2" t="s">
        <v>6207</v>
      </c>
      <c r="K1906" s="2" t="s">
        <v>226</v>
      </c>
      <c r="L1906" s="2" t="s">
        <v>6208</v>
      </c>
      <c r="M1906" s="2"/>
      <c r="N1906" s="2"/>
      <c r="O1906" s="2"/>
      <c r="P1906" s="2" t="s">
        <v>6209</v>
      </c>
      <c r="Q1906" s="6">
        <v>100</v>
      </c>
      <c r="R1906" s="6">
        <v>10.3</v>
      </c>
      <c r="S1906" s="5">
        <v>3.7</v>
      </c>
      <c r="T1906" s="7">
        <v>6.1020000000000003</v>
      </c>
      <c r="U1906" s="5">
        <v>6.1</v>
      </c>
      <c r="V1906" s="7">
        <v>0.504</v>
      </c>
      <c r="W1906" s="4">
        <v>6</v>
      </c>
      <c r="X1906" s="7">
        <v>6.875</v>
      </c>
      <c r="Y1906" s="7">
        <v>9.3130000000000006</v>
      </c>
      <c r="Z1906" s="7">
        <v>9.375</v>
      </c>
      <c r="AA1906" s="6">
        <v>7.69</v>
      </c>
      <c r="AB1906" s="7">
        <v>14.913</v>
      </c>
      <c r="AC1906" s="2"/>
    </row>
    <row r="1907" spans="1:29" ht="143" x14ac:dyDescent="0.15">
      <c r="A1907" s="3">
        <f t="shared" si="8"/>
        <v>34827</v>
      </c>
      <c r="B1907" s="3">
        <f>DATE(1995,11,9)</f>
        <v>35012</v>
      </c>
      <c r="C1907" s="2" t="s">
        <v>95</v>
      </c>
      <c r="D1907" s="2" t="s">
        <v>6210</v>
      </c>
      <c r="E1907" s="2" t="s">
        <v>6211</v>
      </c>
      <c r="F1907" s="4">
        <v>3674</v>
      </c>
      <c r="G1907" s="2" t="s">
        <v>137</v>
      </c>
      <c r="H1907" s="2" t="s">
        <v>34</v>
      </c>
      <c r="I1907" s="2" t="s">
        <v>5262</v>
      </c>
      <c r="J1907" s="2" t="s">
        <v>5263</v>
      </c>
      <c r="K1907" s="2" t="s">
        <v>137</v>
      </c>
      <c r="L1907" s="2" t="s">
        <v>34</v>
      </c>
      <c r="M1907" s="12">
        <v>1679.327</v>
      </c>
      <c r="N1907" s="7">
        <v>37.375</v>
      </c>
      <c r="O1907" s="5">
        <v>37.5</v>
      </c>
      <c r="P1907" s="2" t="s">
        <v>6212</v>
      </c>
      <c r="Q1907" s="6">
        <v>100</v>
      </c>
      <c r="R1907" s="6">
        <v>4.71</v>
      </c>
      <c r="S1907" s="5">
        <v>2.6</v>
      </c>
      <c r="T1907" s="7">
        <v>9.2230000000000008</v>
      </c>
      <c r="U1907" s="5">
        <v>1.8</v>
      </c>
      <c r="V1907" s="6">
        <v>0.21</v>
      </c>
      <c r="W1907" s="7">
        <v>3.6880000000000002</v>
      </c>
      <c r="X1907" s="6">
        <v>3.75</v>
      </c>
      <c r="Y1907" s="7">
        <v>4.1879999999999997</v>
      </c>
      <c r="Z1907" s="6">
        <v>4.25</v>
      </c>
      <c r="AA1907" s="6">
        <v>12.38</v>
      </c>
      <c r="AB1907" s="7">
        <v>12.664999999999999</v>
      </c>
      <c r="AC1907" s="2"/>
    </row>
    <row r="1908" spans="1:29" ht="143" x14ac:dyDescent="0.15">
      <c r="A1908" s="3">
        <f t="shared" si="8"/>
        <v>34827</v>
      </c>
      <c r="B1908" s="3">
        <f>DATE(1995,6,8)</f>
        <v>34858</v>
      </c>
      <c r="C1908" s="2" t="s">
        <v>95</v>
      </c>
      <c r="D1908" s="2" t="s">
        <v>6213</v>
      </c>
      <c r="E1908" s="2" t="s">
        <v>6214</v>
      </c>
      <c r="F1908" s="4">
        <v>3569</v>
      </c>
      <c r="G1908" s="2" t="s">
        <v>300</v>
      </c>
      <c r="H1908" s="2" t="s">
        <v>34</v>
      </c>
      <c r="I1908" s="2" t="s">
        <v>6215</v>
      </c>
      <c r="J1908" s="2" t="s">
        <v>6216</v>
      </c>
      <c r="K1908" s="2" t="s">
        <v>341</v>
      </c>
      <c r="L1908" s="2" t="s">
        <v>34</v>
      </c>
      <c r="M1908" s="2"/>
      <c r="N1908" s="2"/>
      <c r="O1908" s="2"/>
      <c r="P1908" s="2" t="s">
        <v>6217</v>
      </c>
      <c r="Q1908" s="6">
        <v>100</v>
      </c>
      <c r="R1908" s="6">
        <v>21</v>
      </c>
      <c r="S1908" s="5">
        <v>2.5</v>
      </c>
      <c r="T1908" s="7">
        <v>19.791</v>
      </c>
      <c r="U1908" s="5">
        <v>10.9</v>
      </c>
      <c r="V1908" s="7">
        <v>1.353</v>
      </c>
      <c r="W1908" s="7">
        <v>18.125</v>
      </c>
      <c r="X1908" s="7">
        <v>18.125</v>
      </c>
      <c r="Y1908" s="7">
        <v>20.812999999999999</v>
      </c>
      <c r="Z1908" s="4">
        <v>21</v>
      </c>
      <c r="AA1908" s="6">
        <v>5.56</v>
      </c>
      <c r="AB1908" s="7">
        <v>8.1240000000000006</v>
      </c>
      <c r="AC1908" s="2"/>
    </row>
    <row r="1909" spans="1:29" ht="78" x14ac:dyDescent="0.15">
      <c r="A1909" s="3">
        <f t="shared" si="8"/>
        <v>34827</v>
      </c>
      <c r="B1909" s="2"/>
      <c r="C1909" s="2" t="s">
        <v>30</v>
      </c>
      <c r="D1909" s="2" t="s">
        <v>6218</v>
      </c>
      <c r="E1909" s="2" t="s">
        <v>6219</v>
      </c>
      <c r="F1909" s="4">
        <v>3498</v>
      </c>
      <c r="G1909" s="2" t="s">
        <v>163</v>
      </c>
      <c r="H1909" s="2" t="s">
        <v>34</v>
      </c>
      <c r="I1909" s="2" t="s">
        <v>315</v>
      </c>
      <c r="J1909" s="2" t="s">
        <v>316</v>
      </c>
      <c r="K1909" s="2" t="s">
        <v>226</v>
      </c>
      <c r="L1909" s="2" t="s">
        <v>34</v>
      </c>
      <c r="M1909" s="12">
        <v>1614.375</v>
      </c>
      <c r="N1909" s="7">
        <v>30.375</v>
      </c>
      <c r="O1909" s="7">
        <v>30.375</v>
      </c>
      <c r="P1909" s="2" t="s">
        <v>6220</v>
      </c>
      <c r="Q1909" s="2"/>
      <c r="R1909" s="6">
        <v>10.5</v>
      </c>
      <c r="S1909" s="5">
        <v>3.3</v>
      </c>
      <c r="T1909" s="7">
        <v>7.0359999999999996</v>
      </c>
      <c r="U1909" s="5">
        <v>4.5</v>
      </c>
      <c r="V1909" s="6">
        <v>0.78</v>
      </c>
      <c r="W1909" s="6">
        <v>6.75</v>
      </c>
      <c r="X1909" s="7">
        <v>6.875</v>
      </c>
      <c r="Y1909" s="4">
        <v>10</v>
      </c>
      <c r="Z1909" s="9">
        <v>9.8125</v>
      </c>
      <c r="AA1909" s="6">
        <v>4.6399999999999997</v>
      </c>
      <c r="AB1909" s="7">
        <v>8.2249999999999996</v>
      </c>
      <c r="AC1909" s="6">
        <v>1.98</v>
      </c>
    </row>
    <row r="1910" spans="1:29" ht="65" x14ac:dyDescent="0.15">
      <c r="A1910" s="3">
        <f t="shared" si="8"/>
        <v>34827</v>
      </c>
      <c r="B1910" s="3">
        <f>DATE(1995,6,7)</f>
        <v>34857</v>
      </c>
      <c r="C1910" s="2" t="s">
        <v>95</v>
      </c>
      <c r="D1910" s="2" t="s">
        <v>6221</v>
      </c>
      <c r="E1910" s="2" t="s">
        <v>6222</v>
      </c>
      <c r="F1910" s="4">
        <v>3559</v>
      </c>
      <c r="G1910" s="2" t="s">
        <v>300</v>
      </c>
      <c r="H1910" s="2" t="s">
        <v>34</v>
      </c>
      <c r="I1910" s="2" t="s">
        <v>6223</v>
      </c>
      <c r="J1910" s="2" t="s">
        <v>80</v>
      </c>
      <c r="K1910" s="2" t="s">
        <v>53</v>
      </c>
      <c r="L1910" s="2" t="s">
        <v>34</v>
      </c>
      <c r="M1910" s="2"/>
      <c r="N1910" s="2"/>
      <c r="O1910" s="2"/>
      <c r="P1910" s="2" t="s">
        <v>6224</v>
      </c>
      <c r="Q1910" s="6">
        <v>81</v>
      </c>
      <c r="R1910" s="2"/>
      <c r="S1910" s="5">
        <v>-66.099999999999994</v>
      </c>
      <c r="T1910" s="7">
        <v>-13.898999999999999</v>
      </c>
      <c r="U1910" s="5">
        <v>3.8</v>
      </c>
      <c r="V1910" s="6">
        <v>-37.5</v>
      </c>
      <c r="W1910" s="7">
        <v>1.125</v>
      </c>
      <c r="X1910" s="7">
        <v>1.125</v>
      </c>
      <c r="Y1910" s="6">
        <v>1.25</v>
      </c>
      <c r="Z1910" s="7">
        <v>1.125</v>
      </c>
      <c r="AA1910" s="2"/>
      <c r="AB1910" s="2" t="s">
        <v>86</v>
      </c>
      <c r="AC1910" s="2"/>
    </row>
    <row r="1911" spans="1:29" ht="143" x14ac:dyDescent="0.15">
      <c r="A1911" s="3">
        <f t="shared" si="8"/>
        <v>34827</v>
      </c>
      <c r="B1911" s="3">
        <f>DATE(1995,12,27)</f>
        <v>35060</v>
      </c>
      <c r="C1911" s="2" t="s">
        <v>95</v>
      </c>
      <c r="D1911" s="2" t="s">
        <v>1967</v>
      </c>
      <c r="E1911" s="2" t="s">
        <v>36</v>
      </c>
      <c r="F1911" s="4">
        <v>6722</v>
      </c>
      <c r="G1911" s="2" t="s">
        <v>53</v>
      </c>
      <c r="H1911" s="2" t="s">
        <v>34</v>
      </c>
      <c r="I1911" s="2" t="s">
        <v>995</v>
      </c>
      <c r="J1911" s="2" t="s">
        <v>996</v>
      </c>
      <c r="K1911" s="2" t="s">
        <v>37</v>
      </c>
      <c r="L1911" s="2" t="s">
        <v>34</v>
      </c>
      <c r="M1911" s="2"/>
      <c r="N1911" s="2"/>
      <c r="O1911" s="2"/>
      <c r="P1911" s="2" t="s">
        <v>6225</v>
      </c>
      <c r="Q1911" s="6">
        <v>100</v>
      </c>
      <c r="R1911" s="6">
        <v>39.32</v>
      </c>
      <c r="S1911" s="5">
        <v>103.2</v>
      </c>
      <c r="T1911" s="7">
        <v>163.547</v>
      </c>
      <c r="U1911" s="5">
        <v>20</v>
      </c>
      <c r="V1911" s="6">
        <v>2.88</v>
      </c>
      <c r="W1911" s="7">
        <v>27.375</v>
      </c>
      <c r="X1911" s="7">
        <v>32.125</v>
      </c>
      <c r="Y1911" s="5">
        <v>33.5</v>
      </c>
      <c r="Z1911" s="7">
        <v>32.625</v>
      </c>
      <c r="AA1911" s="6">
        <v>36.869999999999997</v>
      </c>
      <c r="AB1911" s="7">
        <v>17.75</v>
      </c>
      <c r="AC1911" s="2"/>
    </row>
    <row r="1912" spans="1:29" ht="143" x14ac:dyDescent="0.15">
      <c r="A1912" s="3">
        <f>DATE(1995,5,9)</f>
        <v>34828</v>
      </c>
      <c r="B1912" s="3">
        <f>DATE(1995,9,12)</f>
        <v>34954</v>
      </c>
      <c r="C1912" s="2" t="s">
        <v>95</v>
      </c>
      <c r="D1912" s="2" t="s">
        <v>6226</v>
      </c>
      <c r="E1912" s="2" t="s">
        <v>6227</v>
      </c>
      <c r="F1912" s="4">
        <v>4923</v>
      </c>
      <c r="G1912" s="2" t="s">
        <v>439</v>
      </c>
      <c r="H1912" s="2" t="s">
        <v>34</v>
      </c>
      <c r="I1912" s="2" t="s">
        <v>5624</v>
      </c>
      <c r="J1912" s="2" t="s">
        <v>5625</v>
      </c>
      <c r="K1912" s="2" t="s">
        <v>439</v>
      </c>
      <c r="L1912" s="2" t="s">
        <v>34</v>
      </c>
      <c r="M1912" s="12">
        <v>1039.5229999999999</v>
      </c>
      <c r="N1912" s="6">
        <v>27.75</v>
      </c>
      <c r="O1912" s="6">
        <v>28.25</v>
      </c>
      <c r="P1912" s="2" t="s">
        <v>6228</v>
      </c>
      <c r="Q1912" s="6">
        <v>100</v>
      </c>
      <c r="R1912" s="2"/>
      <c r="S1912" s="5">
        <v>-5.2</v>
      </c>
      <c r="T1912" s="7">
        <v>-5.4119999999999999</v>
      </c>
      <c r="U1912" s="5">
        <v>3.5</v>
      </c>
      <c r="V1912" s="7">
        <v>-0.89300000000000002</v>
      </c>
      <c r="W1912" s="5">
        <v>3.5</v>
      </c>
      <c r="X1912" s="7">
        <v>3.5310000000000001</v>
      </c>
      <c r="Y1912" s="4">
        <v>4</v>
      </c>
      <c r="Z1912" s="7">
        <v>4.016</v>
      </c>
      <c r="AA1912" s="6">
        <v>6.63</v>
      </c>
      <c r="AB1912" s="2" t="s">
        <v>86</v>
      </c>
      <c r="AC1912" s="2"/>
    </row>
    <row r="1913" spans="1:29" ht="52" x14ac:dyDescent="0.15">
      <c r="A1913" s="3">
        <f>DATE(1995,5,9)</f>
        <v>34828</v>
      </c>
      <c r="B1913" s="3">
        <f>DATE(1995,5,9)</f>
        <v>34828</v>
      </c>
      <c r="C1913" s="2" t="s">
        <v>95</v>
      </c>
      <c r="D1913" s="2" t="s">
        <v>6229</v>
      </c>
      <c r="E1913" s="2" t="s">
        <v>3834</v>
      </c>
      <c r="F1913" s="4">
        <v>7372</v>
      </c>
      <c r="G1913" s="2" t="s">
        <v>551</v>
      </c>
      <c r="H1913" s="2" t="s">
        <v>34</v>
      </c>
      <c r="I1913" s="2" t="s">
        <v>149</v>
      </c>
      <c r="J1913" s="2" t="s">
        <v>150</v>
      </c>
      <c r="K1913" s="2" t="s">
        <v>53</v>
      </c>
      <c r="L1913" s="2" t="s">
        <v>151</v>
      </c>
      <c r="M1913" s="2"/>
      <c r="N1913" s="2"/>
      <c r="O1913" s="2"/>
      <c r="P1913" s="2" t="s">
        <v>6230</v>
      </c>
      <c r="Q1913" s="6">
        <v>36.5</v>
      </c>
      <c r="R1913" s="2"/>
      <c r="S1913" s="2"/>
      <c r="T1913" s="2"/>
      <c r="U1913" s="2"/>
      <c r="V1913" s="2"/>
      <c r="W1913" s="7">
        <v>2.625</v>
      </c>
      <c r="X1913" s="7">
        <v>2.125</v>
      </c>
      <c r="Y1913" s="5">
        <v>2.5</v>
      </c>
      <c r="Z1913" s="6">
        <v>2.25</v>
      </c>
      <c r="AA1913" s="6">
        <v>7.47</v>
      </c>
      <c r="AB1913" s="2" t="s">
        <v>47</v>
      </c>
      <c r="AC1913" s="2"/>
    </row>
    <row r="1914" spans="1:29" ht="156" x14ac:dyDescent="0.15">
      <c r="A1914" s="3">
        <f>DATE(1995,5,9)</f>
        <v>34828</v>
      </c>
      <c r="B1914" s="3">
        <f>DATE(1996,3,27)</f>
        <v>35151</v>
      </c>
      <c r="C1914" s="2" t="s">
        <v>95</v>
      </c>
      <c r="D1914" s="2" t="s">
        <v>6231</v>
      </c>
      <c r="E1914" s="2" t="s">
        <v>6232</v>
      </c>
      <c r="F1914" s="4">
        <v>2621</v>
      </c>
      <c r="G1914" s="2" t="s">
        <v>282</v>
      </c>
      <c r="H1914" s="2" t="s">
        <v>34</v>
      </c>
      <c r="I1914" s="2" t="s">
        <v>6233</v>
      </c>
      <c r="J1914" s="2" t="s">
        <v>6234</v>
      </c>
      <c r="K1914" s="2" t="s">
        <v>282</v>
      </c>
      <c r="L1914" s="2" t="s">
        <v>34</v>
      </c>
      <c r="M1914" s="2"/>
      <c r="N1914" s="2"/>
      <c r="O1914" s="2"/>
      <c r="P1914" s="2" t="s">
        <v>6235</v>
      </c>
      <c r="Q1914" s="6">
        <v>100</v>
      </c>
      <c r="R1914" s="6">
        <v>20.25</v>
      </c>
      <c r="S1914" s="5">
        <v>10.199999999999999</v>
      </c>
      <c r="T1914" s="7">
        <v>240.82300000000001</v>
      </c>
      <c r="U1914" s="5">
        <v>7.9</v>
      </c>
      <c r="V1914" s="6">
        <v>0.16</v>
      </c>
      <c r="W1914" s="7">
        <v>20.125</v>
      </c>
      <c r="X1914" s="7">
        <v>20.625</v>
      </c>
      <c r="Y1914" s="7">
        <v>22.125</v>
      </c>
      <c r="Z1914" s="4">
        <v>22</v>
      </c>
      <c r="AA1914" s="6">
        <v>65.650000000000006</v>
      </c>
      <c r="AB1914" s="7">
        <v>15.779</v>
      </c>
      <c r="AC1914" s="2"/>
    </row>
    <row r="1915" spans="1:29" ht="39" x14ac:dyDescent="0.15">
      <c r="A1915" s="3">
        <f>DATE(1995,5,9)</f>
        <v>34828</v>
      </c>
      <c r="B1915" s="3">
        <f>DATE(1995,5,9)</f>
        <v>34828</v>
      </c>
      <c r="C1915" s="2" t="s">
        <v>95</v>
      </c>
      <c r="D1915" s="2" t="s">
        <v>6221</v>
      </c>
      <c r="E1915" s="2" t="s">
        <v>6222</v>
      </c>
      <c r="F1915" s="4">
        <v>3559</v>
      </c>
      <c r="G1915" s="2" t="s">
        <v>300</v>
      </c>
      <c r="H1915" s="2" t="s">
        <v>34</v>
      </c>
      <c r="I1915" s="2" t="s">
        <v>6236</v>
      </c>
      <c r="J1915" s="2" t="s">
        <v>6237</v>
      </c>
      <c r="K1915" s="2" t="s">
        <v>53</v>
      </c>
      <c r="L1915" s="2" t="s">
        <v>34</v>
      </c>
      <c r="M1915" s="2"/>
      <c r="N1915" s="2"/>
      <c r="O1915" s="2"/>
      <c r="P1915" s="2" t="s">
        <v>6238</v>
      </c>
      <c r="Q1915" s="6">
        <v>81</v>
      </c>
      <c r="R1915" s="2"/>
      <c r="S1915" s="5">
        <v>-66.099999999999994</v>
      </c>
      <c r="T1915" s="7">
        <v>-13.898999999999999</v>
      </c>
      <c r="U1915" s="5">
        <v>3.8</v>
      </c>
      <c r="V1915" s="6">
        <v>-37.5</v>
      </c>
      <c r="W1915" s="7">
        <v>1.125</v>
      </c>
      <c r="X1915" s="6">
        <v>1.25</v>
      </c>
      <c r="Y1915" s="7">
        <v>1.125</v>
      </c>
      <c r="Z1915" s="6">
        <v>1.25</v>
      </c>
      <c r="AA1915" s="6">
        <v>17.649999999999999</v>
      </c>
      <c r="AB1915" s="2" t="s">
        <v>86</v>
      </c>
      <c r="AC1915" s="2"/>
    </row>
    <row r="1916" spans="1:29" ht="117" x14ac:dyDescent="0.15">
      <c r="A1916" s="3">
        <f>DATE(1995,5,10)</f>
        <v>34829</v>
      </c>
      <c r="B1916" s="3">
        <f>DATE(1995,6,14)</f>
        <v>34864</v>
      </c>
      <c r="C1916" s="2" t="s">
        <v>95</v>
      </c>
      <c r="D1916" s="2" t="s">
        <v>6239</v>
      </c>
      <c r="E1916" s="2" t="s">
        <v>6240</v>
      </c>
      <c r="F1916" s="4">
        <v>3679</v>
      </c>
      <c r="G1916" s="2" t="s">
        <v>137</v>
      </c>
      <c r="H1916" s="2" t="s">
        <v>34</v>
      </c>
      <c r="I1916" s="2" t="s">
        <v>5262</v>
      </c>
      <c r="J1916" s="2" t="s">
        <v>5263</v>
      </c>
      <c r="K1916" s="2" t="s">
        <v>137</v>
      </c>
      <c r="L1916" s="2" t="s">
        <v>34</v>
      </c>
      <c r="M1916" s="12">
        <v>1673.4349999999999</v>
      </c>
      <c r="N1916" s="7">
        <v>37.125</v>
      </c>
      <c r="O1916" s="7">
        <v>37.875</v>
      </c>
      <c r="P1916" s="2" t="s">
        <v>6241</v>
      </c>
      <c r="Q1916" s="6">
        <v>100</v>
      </c>
      <c r="R1916" s="6">
        <v>21</v>
      </c>
      <c r="S1916" s="5">
        <v>10.4</v>
      </c>
      <c r="T1916" s="7">
        <v>19.504999999999999</v>
      </c>
      <c r="U1916" s="5">
        <v>6</v>
      </c>
      <c r="V1916" s="7">
        <v>0.94599999999999995</v>
      </c>
      <c r="W1916" s="5">
        <v>12.5</v>
      </c>
      <c r="X1916" s="4">
        <v>13</v>
      </c>
      <c r="Y1916" s="7">
        <v>20.702999999999999</v>
      </c>
      <c r="Z1916" s="7">
        <v>20.687999999999999</v>
      </c>
      <c r="AA1916" s="6">
        <v>9.5299999999999994</v>
      </c>
      <c r="AB1916" s="7">
        <v>10.901999999999999</v>
      </c>
      <c r="AC1916" s="2"/>
    </row>
    <row r="1917" spans="1:29" ht="39" x14ac:dyDescent="0.15">
      <c r="A1917" s="3">
        <f>DATE(1995,5,10)</f>
        <v>34829</v>
      </c>
      <c r="B1917" s="2"/>
      <c r="C1917" s="2" t="s">
        <v>87</v>
      </c>
      <c r="D1917" s="2" t="s">
        <v>6242</v>
      </c>
      <c r="E1917" s="2" t="s">
        <v>6243</v>
      </c>
      <c r="F1917" s="4">
        <v>1629</v>
      </c>
      <c r="G1917" s="2" t="s">
        <v>341</v>
      </c>
      <c r="H1917" s="2" t="s">
        <v>34</v>
      </c>
      <c r="I1917" s="2" t="s">
        <v>51</v>
      </c>
      <c r="J1917" s="2" t="s">
        <v>52</v>
      </c>
      <c r="K1917" s="2" t="s">
        <v>53</v>
      </c>
      <c r="L1917" s="2" t="s">
        <v>34</v>
      </c>
      <c r="M1917" s="2"/>
      <c r="N1917" s="2"/>
      <c r="O1917" s="2"/>
      <c r="P1917" s="2" t="s">
        <v>6244</v>
      </c>
      <c r="Q1917" s="2"/>
      <c r="R1917" s="2"/>
      <c r="S1917" s="5">
        <v>-349.6</v>
      </c>
      <c r="T1917" s="6">
        <v>-342.67</v>
      </c>
      <c r="U1917" s="5">
        <v>1.8</v>
      </c>
      <c r="V1917" s="6">
        <v>-10.75</v>
      </c>
      <c r="W1917" s="7">
        <v>8.375</v>
      </c>
      <c r="X1917" s="6">
        <v>7.75</v>
      </c>
      <c r="Y1917" s="4">
        <v>8</v>
      </c>
      <c r="Z1917" s="7">
        <v>8.125</v>
      </c>
      <c r="AA1917" s="2"/>
      <c r="AB1917" s="2" t="s">
        <v>86</v>
      </c>
      <c r="AC1917" s="2"/>
    </row>
    <row r="1918" spans="1:29" ht="104" x14ac:dyDescent="0.15">
      <c r="A1918" s="3">
        <f>DATE(1995,5,11)</f>
        <v>34830</v>
      </c>
      <c r="B1918" s="3">
        <f>DATE(1995,10,19)</f>
        <v>34991</v>
      </c>
      <c r="C1918" s="2" t="s">
        <v>95</v>
      </c>
      <c r="D1918" s="2" t="s">
        <v>6245</v>
      </c>
      <c r="E1918" s="2" t="s">
        <v>6246</v>
      </c>
      <c r="F1918" s="4">
        <v>6371</v>
      </c>
      <c r="G1918" s="2" t="s">
        <v>125</v>
      </c>
      <c r="H1918" s="2" t="s">
        <v>34</v>
      </c>
      <c r="I1918" s="2" t="s">
        <v>2502</v>
      </c>
      <c r="J1918" s="2" t="s">
        <v>373</v>
      </c>
      <c r="K1918" s="2" t="s">
        <v>223</v>
      </c>
      <c r="L1918" s="2" t="s">
        <v>34</v>
      </c>
      <c r="M1918" s="12">
        <v>4617.7049999999999</v>
      </c>
      <c r="N1918" s="6">
        <v>74.75</v>
      </c>
      <c r="O1918" s="6">
        <v>74.25</v>
      </c>
      <c r="P1918" s="2" t="s">
        <v>6247</v>
      </c>
      <c r="Q1918" s="6">
        <v>100</v>
      </c>
      <c r="R1918" s="6">
        <v>14.66</v>
      </c>
      <c r="S1918" s="5">
        <v>7.6</v>
      </c>
      <c r="T1918" s="7">
        <v>17.797999999999998</v>
      </c>
      <c r="U1918" s="5">
        <v>9.8000000000000007</v>
      </c>
      <c r="V1918" s="7">
        <v>0.91700000000000004</v>
      </c>
      <c r="W1918" s="4">
        <v>9</v>
      </c>
      <c r="X1918" s="7">
        <v>9.375</v>
      </c>
      <c r="Y1918" s="4">
        <v>12</v>
      </c>
      <c r="Z1918" s="7">
        <v>12.375</v>
      </c>
      <c r="AA1918" s="6">
        <v>8.48</v>
      </c>
      <c r="AB1918" s="7">
        <v>11.474</v>
      </c>
      <c r="AC1918" s="5">
        <v>326.10000000000002</v>
      </c>
    </row>
    <row r="1919" spans="1:29" ht="39" x14ac:dyDescent="0.15">
      <c r="A1919" s="3">
        <f>DATE(1995,5,12)</f>
        <v>34831</v>
      </c>
      <c r="B1919" s="2"/>
      <c r="C1919" s="2" t="s">
        <v>87</v>
      </c>
      <c r="D1919" s="2" t="s">
        <v>2091</v>
      </c>
      <c r="E1919" s="2" t="s">
        <v>781</v>
      </c>
      <c r="F1919" s="4">
        <v>7372</v>
      </c>
      <c r="G1919" s="2" t="s">
        <v>551</v>
      </c>
      <c r="H1919" s="2" t="s">
        <v>34</v>
      </c>
      <c r="I1919" s="2" t="s">
        <v>549</v>
      </c>
      <c r="J1919" s="2" t="s">
        <v>550</v>
      </c>
      <c r="K1919" s="2" t="s">
        <v>551</v>
      </c>
      <c r="L1919" s="2" t="s">
        <v>34</v>
      </c>
      <c r="M1919" s="2"/>
      <c r="N1919" s="7">
        <v>21.125</v>
      </c>
      <c r="O1919" s="7">
        <v>21.625</v>
      </c>
      <c r="P1919" s="2" t="s">
        <v>6248</v>
      </c>
      <c r="Q1919" s="2"/>
      <c r="R1919" s="2"/>
      <c r="S1919" s="5">
        <v>-12.2</v>
      </c>
      <c r="T1919" s="7">
        <v>-35.264000000000003</v>
      </c>
      <c r="U1919" s="5">
        <v>4.5</v>
      </c>
      <c r="V1919" s="6">
        <v>-0.43</v>
      </c>
      <c r="W1919" s="7">
        <v>9.125</v>
      </c>
      <c r="X1919" s="7">
        <v>8.875</v>
      </c>
      <c r="Y1919" s="7">
        <v>9.875</v>
      </c>
      <c r="Z1919" s="7">
        <v>10.875</v>
      </c>
      <c r="AA1919" s="2"/>
      <c r="AB1919" s="2" t="s">
        <v>86</v>
      </c>
      <c r="AC1919" s="6">
        <v>861.81</v>
      </c>
    </row>
    <row r="1920" spans="1:29" ht="39" x14ac:dyDescent="0.15">
      <c r="A1920" s="3">
        <f>DATE(1995,5,12)</f>
        <v>34831</v>
      </c>
      <c r="B1920" s="2"/>
      <c r="C1920" s="2" t="s">
        <v>87</v>
      </c>
      <c r="D1920" s="2" t="s">
        <v>6249</v>
      </c>
      <c r="E1920" s="2" t="s">
        <v>6250</v>
      </c>
      <c r="F1920" s="4">
        <v>1541</v>
      </c>
      <c r="G1920" s="2" t="s">
        <v>341</v>
      </c>
      <c r="H1920" s="2" t="s">
        <v>34</v>
      </c>
      <c r="I1920" s="2" t="s">
        <v>6251</v>
      </c>
      <c r="J1920" s="2" t="s">
        <v>1072</v>
      </c>
      <c r="K1920" s="2" t="s">
        <v>53</v>
      </c>
      <c r="L1920" s="2" t="s">
        <v>34</v>
      </c>
      <c r="M1920" s="2"/>
      <c r="N1920" s="2"/>
      <c r="O1920" s="2"/>
      <c r="P1920" s="2" t="s">
        <v>6252</v>
      </c>
      <c r="Q1920" s="2"/>
      <c r="R1920" s="2"/>
      <c r="S1920" s="5">
        <v>3.7</v>
      </c>
      <c r="T1920" s="7">
        <v>-1.851</v>
      </c>
      <c r="U1920" s="5">
        <v>7.6</v>
      </c>
      <c r="V1920" s="9">
        <v>0.23330000000000001</v>
      </c>
      <c r="W1920" s="4">
        <v>10</v>
      </c>
      <c r="X1920" s="7">
        <v>10.625</v>
      </c>
      <c r="Y1920" s="7">
        <v>11.875</v>
      </c>
      <c r="Z1920" s="7">
        <v>11.125</v>
      </c>
      <c r="AA1920" s="6">
        <v>5.22</v>
      </c>
      <c r="AB1920" s="2" t="s">
        <v>86</v>
      </c>
      <c r="AC1920" s="2"/>
    </row>
    <row r="1921" spans="1:29" ht="91" x14ac:dyDescent="0.15">
      <c r="A1921" s="3">
        <f>DATE(1995,5,15)</f>
        <v>34834</v>
      </c>
      <c r="B1921" s="3">
        <f>DATE(1995,10,20)</f>
        <v>34992</v>
      </c>
      <c r="C1921" s="2" t="s">
        <v>95</v>
      </c>
      <c r="D1921" s="2" t="s">
        <v>6253</v>
      </c>
      <c r="E1921" s="2" t="s">
        <v>80</v>
      </c>
      <c r="F1921" s="4">
        <v>6799</v>
      </c>
      <c r="G1921" s="2" t="s">
        <v>53</v>
      </c>
      <c r="H1921" s="2" t="s">
        <v>34</v>
      </c>
      <c r="I1921" s="2" t="s">
        <v>450</v>
      </c>
      <c r="J1921" s="2" t="s">
        <v>36</v>
      </c>
      <c r="K1921" s="2" t="s">
        <v>37</v>
      </c>
      <c r="L1921" s="2" t="s">
        <v>34</v>
      </c>
      <c r="M1921" s="12">
        <v>8029.0940000000001</v>
      </c>
      <c r="N1921" s="7">
        <v>28.125</v>
      </c>
      <c r="O1921" s="7">
        <v>27.625</v>
      </c>
      <c r="P1921" s="2" t="s">
        <v>6254</v>
      </c>
      <c r="Q1921" s="6">
        <v>100</v>
      </c>
      <c r="R1921" s="6">
        <v>25.99</v>
      </c>
      <c r="S1921" s="5">
        <v>31.1</v>
      </c>
      <c r="T1921" s="6">
        <v>40.01</v>
      </c>
      <c r="U1921" s="5">
        <v>9.4</v>
      </c>
      <c r="V1921" s="6">
        <v>1.83</v>
      </c>
      <c r="W1921" s="4">
        <v>23</v>
      </c>
      <c r="X1921" s="7">
        <v>23.375</v>
      </c>
      <c r="Y1921" s="7">
        <v>23.875</v>
      </c>
      <c r="Z1921" s="4">
        <v>24</v>
      </c>
      <c r="AA1921" s="6">
        <v>16.71</v>
      </c>
      <c r="AB1921" s="7">
        <v>15.881</v>
      </c>
      <c r="AC1921" s="2"/>
    </row>
    <row r="1922" spans="1:29" ht="78" x14ac:dyDescent="0.15">
      <c r="A1922" s="3">
        <f>DATE(1995,5,15)</f>
        <v>34834</v>
      </c>
      <c r="B1922" s="2"/>
      <c r="C1922" s="2" t="s">
        <v>56</v>
      </c>
      <c r="D1922" s="2" t="s">
        <v>6255</v>
      </c>
      <c r="E1922" s="2" t="s">
        <v>973</v>
      </c>
      <c r="F1922" s="4">
        <v>4813</v>
      </c>
      <c r="G1922" s="2" t="s">
        <v>63</v>
      </c>
      <c r="H1922" s="2" t="s">
        <v>34</v>
      </c>
      <c r="I1922" s="2" t="s">
        <v>798</v>
      </c>
      <c r="J1922" s="2" t="s">
        <v>799</v>
      </c>
      <c r="K1922" s="2" t="s">
        <v>439</v>
      </c>
      <c r="L1922" s="2" t="s">
        <v>34</v>
      </c>
      <c r="M1922" s="2"/>
      <c r="N1922" s="6">
        <v>11.75</v>
      </c>
      <c r="O1922" s="7">
        <v>11.625</v>
      </c>
      <c r="P1922" s="2" t="s">
        <v>6256</v>
      </c>
      <c r="Q1922" s="2"/>
      <c r="R1922" s="2"/>
      <c r="S1922" s="2"/>
      <c r="T1922" s="2"/>
      <c r="U1922" s="2"/>
      <c r="V1922" s="2"/>
      <c r="W1922" s="5">
        <v>13.5</v>
      </c>
      <c r="X1922" s="4">
        <v>14</v>
      </c>
      <c r="Y1922" s="5">
        <v>13.5</v>
      </c>
      <c r="Z1922" s="6">
        <v>13.25</v>
      </c>
      <c r="AA1922" s="2"/>
      <c r="AB1922" s="2" t="s">
        <v>47</v>
      </c>
      <c r="AC1922" s="2"/>
    </row>
    <row r="1923" spans="1:29" ht="65" x14ac:dyDescent="0.15">
      <c r="A1923" s="3">
        <f>DATE(1995,5,15)</f>
        <v>34834</v>
      </c>
      <c r="B1923" s="3">
        <f>DATE(1995,11,14)</f>
        <v>35017</v>
      </c>
      <c r="C1923" s="2" t="s">
        <v>95</v>
      </c>
      <c r="D1923" s="2" t="s">
        <v>5379</v>
      </c>
      <c r="E1923" s="2" t="s">
        <v>2692</v>
      </c>
      <c r="F1923" s="4">
        <v>1521</v>
      </c>
      <c r="G1923" s="2" t="s">
        <v>341</v>
      </c>
      <c r="H1923" s="2" t="s">
        <v>34</v>
      </c>
      <c r="I1923" s="2" t="s">
        <v>6257</v>
      </c>
      <c r="J1923" s="2" t="s">
        <v>6258</v>
      </c>
      <c r="K1923" s="2" t="s">
        <v>53</v>
      </c>
      <c r="L1923" s="2" t="s">
        <v>34</v>
      </c>
      <c r="M1923" s="2"/>
      <c r="N1923" s="2"/>
      <c r="O1923" s="2"/>
      <c r="P1923" s="2" t="s">
        <v>6259</v>
      </c>
      <c r="Q1923" s="6">
        <v>100</v>
      </c>
      <c r="R1923" s="6">
        <v>9.4700000000000006</v>
      </c>
      <c r="S1923" s="5">
        <v>-23.7</v>
      </c>
      <c r="T1923" s="7">
        <v>110.19499999999999</v>
      </c>
      <c r="U1923" s="5">
        <v>9.8000000000000007</v>
      </c>
      <c r="V1923" s="7">
        <v>-3.4780000000000002</v>
      </c>
      <c r="W1923" s="4">
        <v>1</v>
      </c>
      <c r="X1923" s="4">
        <v>1</v>
      </c>
      <c r="Y1923" s="4">
        <v>1</v>
      </c>
      <c r="Z1923" s="4">
        <v>1</v>
      </c>
      <c r="AA1923" s="6">
        <v>11.39</v>
      </c>
      <c r="AB1923" s="2" t="s">
        <v>86</v>
      </c>
      <c r="AC1923" s="2"/>
    </row>
    <row r="1924" spans="1:29" ht="104" x14ac:dyDescent="0.15">
      <c r="A1924" s="3">
        <f>DATE(1995,5,16)</f>
        <v>34835</v>
      </c>
      <c r="B1924" s="3">
        <f>DATE(1996,1,5)</f>
        <v>35069</v>
      </c>
      <c r="C1924" s="2" t="s">
        <v>95</v>
      </c>
      <c r="D1924" s="2" t="s">
        <v>6260</v>
      </c>
      <c r="E1924" s="2" t="s">
        <v>389</v>
      </c>
      <c r="F1924" s="4">
        <v>6035</v>
      </c>
      <c r="G1924" s="2" t="s">
        <v>33</v>
      </c>
      <c r="H1924" s="2" t="s">
        <v>34</v>
      </c>
      <c r="I1924" s="2" t="s">
        <v>6261</v>
      </c>
      <c r="J1924" s="2" t="s">
        <v>1032</v>
      </c>
      <c r="K1924" s="2" t="s">
        <v>53</v>
      </c>
      <c r="L1924" s="2" t="s">
        <v>902</v>
      </c>
      <c r="M1924" s="2"/>
      <c r="N1924" s="2"/>
      <c r="O1924" s="2"/>
      <c r="P1924" s="2" t="s">
        <v>6262</v>
      </c>
      <c r="Q1924" s="6">
        <v>100</v>
      </c>
      <c r="R1924" s="6">
        <v>22.06</v>
      </c>
      <c r="S1924" s="5">
        <v>9.4</v>
      </c>
      <c r="T1924" s="2"/>
      <c r="U1924" s="5">
        <v>17.2</v>
      </c>
      <c r="V1924" s="6">
        <v>1.6</v>
      </c>
      <c r="W1924" s="6">
        <v>18.25</v>
      </c>
      <c r="X1924" s="6">
        <v>17.75</v>
      </c>
      <c r="Y1924" s="6">
        <v>17.75</v>
      </c>
      <c r="Z1924" s="5">
        <v>17.5</v>
      </c>
      <c r="AA1924" s="6">
        <v>5.8</v>
      </c>
      <c r="AB1924" s="7">
        <v>36.768999999999998</v>
      </c>
      <c r="AC1924" s="2"/>
    </row>
    <row r="1925" spans="1:29" ht="130" x14ac:dyDescent="0.15">
      <c r="A1925" s="3">
        <f>DATE(1995,5,16)</f>
        <v>34835</v>
      </c>
      <c r="B1925" s="2"/>
      <c r="C1925" s="2" t="s">
        <v>30</v>
      </c>
      <c r="D1925" s="2" t="s">
        <v>6218</v>
      </c>
      <c r="E1925" s="2" t="s">
        <v>6219</v>
      </c>
      <c r="F1925" s="4">
        <v>3498</v>
      </c>
      <c r="G1925" s="2" t="s">
        <v>163</v>
      </c>
      <c r="H1925" s="2" t="s">
        <v>34</v>
      </c>
      <c r="I1925" s="2" t="s">
        <v>315</v>
      </c>
      <c r="J1925" s="2" t="s">
        <v>316</v>
      </c>
      <c r="K1925" s="2" t="s">
        <v>226</v>
      </c>
      <c r="L1925" s="2" t="s">
        <v>34</v>
      </c>
      <c r="M1925" s="12">
        <v>1542.942</v>
      </c>
      <c r="N1925" s="6">
        <v>30.25</v>
      </c>
      <c r="O1925" s="6">
        <v>30.25</v>
      </c>
      <c r="P1925" s="2" t="s">
        <v>6263</v>
      </c>
      <c r="Q1925" s="2"/>
      <c r="R1925" s="6">
        <v>10.5</v>
      </c>
      <c r="S1925" s="5">
        <v>3.3</v>
      </c>
      <c r="T1925" s="7">
        <v>7.0359999999999996</v>
      </c>
      <c r="U1925" s="5">
        <v>4.5</v>
      </c>
      <c r="V1925" s="6">
        <v>0.78</v>
      </c>
      <c r="W1925" s="6">
        <v>6.75</v>
      </c>
      <c r="X1925" s="7">
        <v>6.875</v>
      </c>
      <c r="Y1925" s="4">
        <v>10</v>
      </c>
      <c r="Z1925" s="9">
        <v>9.8125</v>
      </c>
      <c r="AA1925" s="6">
        <v>4.6399999999999997</v>
      </c>
      <c r="AB1925" s="7">
        <v>8.2590000000000003</v>
      </c>
      <c r="AC1925" s="6">
        <v>1.98</v>
      </c>
    </row>
    <row r="1926" spans="1:29" ht="117" x14ac:dyDescent="0.15">
      <c r="A1926" s="3">
        <f>DATE(1995,5,17)</f>
        <v>34836</v>
      </c>
      <c r="B1926" s="3">
        <f>DATE(1995,7,27)</f>
        <v>34907</v>
      </c>
      <c r="C1926" s="2" t="s">
        <v>95</v>
      </c>
      <c r="D1926" s="2" t="s">
        <v>6264</v>
      </c>
      <c r="E1926" s="2" t="s">
        <v>3322</v>
      </c>
      <c r="F1926" s="4">
        <v>8711</v>
      </c>
      <c r="G1926" s="2" t="s">
        <v>223</v>
      </c>
      <c r="H1926" s="2" t="s">
        <v>34</v>
      </c>
      <c r="I1926" s="2" t="s">
        <v>6265</v>
      </c>
      <c r="J1926" s="2" t="s">
        <v>2728</v>
      </c>
      <c r="K1926" s="2" t="s">
        <v>137</v>
      </c>
      <c r="L1926" s="2" t="s">
        <v>34</v>
      </c>
      <c r="M1926" s="2"/>
      <c r="N1926" s="2"/>
      <c r="O1926" s="2"/>
      <c r="P1926" s="2" t="s">
        <v>6266</v>
      </c>
      <c r="Q1926" s="6">
        <v>100</v>
      </c>
      <c r="R1926" s="6">
        <v>14.5</v>
      </c>
      <c r="S1926" s="5">
        <v>3.7</v>
      </c>
      <c r="T1926" s="7">
        <v>3.0590000000000002</v>
      </c>
      <c r="U1926" s="5">
        <v>6.8</v>
      </c>
      <c r="V1926" s="6">
        <v>0.11</v>
      </c>
      <c r="W1926" s="6">
        <v>9.25</v>
      </c>
      <c r="X1926" s="4">
        <v>10</v>
      </c>
      <c r="Y1926" s="7">
        <v>14.297000000000001</v>
      </c>
      <c r="Z1926" s="7">
        <v>14.297000000000001</v>
      </c>
      <c r="AA1926" s="6">
        <v>12.85</v>
      </c>
      <c r="AB1926" s="2" t="s">
        <v>86</v>
      </c>
      <c r="AC1926" s="2"/>
    </row>
    <row r="1927" spans="1:29" ht="143" x14ac:dyDescent="0.15">
      <c r="A1927" s="3">
        <f>DATE(1995,5,17)</f>
        <v>34836</v>
      </c>
      <c r="B1927" s="3">
        <f>DATE(1995,12,1)</f>
        <v>35034</v>
      </c>
      <c r="C1927" s="2" t="s">
        <v>95</v>
      </c>
      <c r="D1927" s="2" t="s">
        <v>5849</v>
      </c>
      <c r="E1927" s="2" t="s">
        <v>32</v>
      </c>
      <c r="F1927" s="4">
        <v>6035</v>
      </c>
      <c r="G1927" s="2" t="s">
        <v>33</v>
      </c>
      <c r="H1927" s="2" t="s">
        <v>34</v>
      </c>
      <c r="I1927" s="2" t="s">
        <v>6267</v>
      </c>
      <c r="J1927" s="2" t="s">
        <v>36</v>
      </c>
      <c r="K1927" s="2" t="s">
        <v>37</v>
      </c>
      <c r="L1927" s="2" t="s">
        <v>34</v>
      </c>
      <c r="M1927" s="7">
        <v>908.36500000000001</v>
      </c>
      <c r="N1927" s="7">
        <v>34.625</v>
      </c>
      <c r="O1927" s="6">
        <v>33.75</v>
      </c>
      <c r="P1927" s="2" t="s">
        <v>6268</v>
      </c>
      <c r="Q1927" s="6">
        <v>100</v>
      </c>
      <c r="R1927" s="6">
        <v>15.5</v>
      </c>
      <c r="S1927" s="5">
        <v>8.4</v>
      </c>
      <c r="T1927" s="7">
        <v>12.638</v>
      </c>
      <c r="U1927" s="5">
        <v>8.8000000000000007</v>
      </c>
      <c r="V1927" s="7">
        <v>1.655</v>
      </c>
      <c r="W1927" s="7">
        <v>13.125</v>
      </c>
      <c r="X1927" s="4">
        <v>13</v>
      </c>
      <c r="Y1927" s="6">
        <v>13.75</v>
      </c>
      <c r="Z1927" s="4">
        <v>12</v>
      </c>
      <c r="AA1927" s="6">
        <v>5.13</v>
      </c>
      <c r="AB1927" s="7">
        <v>68.162999999999997</v>
      </c>
      <c r="AC1927" s="2"/>
    </row>
    <row r="1928" spans="1:29" ht="130" x14ac:dyDescent="0.15">
      <c r="A1928" s="3">
        <f>DATE(1995,5,19)</f>
        <v>34838</v>
      </c>
      <c r="B1928" s="3">
        <f>DATE(1995,12,6)</f>
        <v>35039</v>
      </c>
      <c r="C1928" s="2" t="s">
        <v>95</v>
      </c>
      <c r="D1928" s="2" t="s">
        <v>6269</v>
      </c>
      <c r="E1928" s="2" t="s">
        <v>6270</v>
      </c>
      <c r="F1928" s="4">
        <v>3951</v>
      </c>
      <c r="G1928" s="2" t="s">
        <v>112</v>
      </c>
      <c r="H1928" s="2" t="s">
        <v>34</v>
      </c>
      <c r="I1928" s="2" t="s">
        <v>6271</v>
      </c>
      <c r="J1928" s="2" t="s">
        <v>6272</v>
      </c>
      <c r="K1928" s="2" t="s">
        <v>112</v>
      </c>
      <c r="L1928" s="2" t="s">
        <v>133</v>
      </c>
      <c r="M1928" s="2"/>
      <c r="N1928" s="2"/>
      <c r="O1928" s="2"/>
      <c r="P1928" s="2" t="s">
        <v>6273</v>
      </c>
      <c r="Q1928" s="6">
        <v>22.28</v>
      </c>
      <c r="R1928" s="6">
        <v>40.5</v>
      </c>
      <c r="S1928" s="5">
        <v>51.6</v>
      </c>
      <c r="T1928" s="7">
        <v>110.967</v>
      </c>
      <c r="U1928" s="5">
        <v>10.5</v>
      </c>
      <c r="V1928" s="6">
        <v>2.19</v>
      </c>
      <c r="W1928" s="4">
        <v>36</v>
      </c>
      <c r="X1928" s="6">
        <v>35.75</v>
      </c>
      <c r="Y1928" s="7">
        <v>38.875</v>
      </c>
      <c r="Z1928" s="7">
        <v>38.375</v>
      </c>
      <c r="AA1928" s="6">
        <v>23.56</v>
      </c>
      <c r="AB1928" s="7">
        <v>10.395</v>
      </c>
      <c r="AC1928" s="10">
        <v>2514.56</v>
      </c>
    </row>
    <row r="1929" spans="1:29" ht="130" x14ac:dyDescent="0.15">
      <c r="A1929" s="3">
        <f>DATE(1995,5,19)</f>
        <v>34838</v>
      </c>
      <c r="B1929" s="3">
        <f>DATE(1995,10,12)</f>
        <v>34984</v>
      </c>
      <c r="C1929" s="2" t="s">
        <v>95</v>
      </c>
      <c r="D1929" s="2" t="s">
        <v>6274</v>
      </c>
      <c r="E1929" s="2" t="s">
        <v>6275</v>
      </c>
      <c r="F1929" s="4">
        <v>3577</v>
      </c>
      <c r="G1929" s="2" t="s">
        <v>50</v>
      </c>
      <c r="H1929" s="2" t="s">
        <v>34</v>
      </c>
      <c r="I1929" s="2" t="s">
        <v>4385</v>
      </c>
      <c r="J1929" s="2" t="s">
        <v>4386</v>
      </c>
      <c r="K1929" s="2" t="s">
        <v>223</v>
      </c>
      <c r="L1929" s="2" t="s">
        <v>34</v>
      </c>
      <c r="M1929" s="7">
        <v>181.286</v>
      </c>
      <c r="N1929" s="6">
        <v>17.75</v>
      </c>
      <c r="O1929" s="6">
        <v>16.25</v>
      </c>
      <c r="P1929" s="2" t="s">
        <v>6276</v>
      </c>
      <c r="Q1929" s="6">
        <v>100</v>
      </c>
      <c r="R1929" s="6">
        <v>10.4</v>
      </c>
      <c r="S1929" s="5">
        <v>-26.6</v>
      </c>
      <c r="T1929" s="6">
        <v>15.54</v>
      </c>
      <c r="U1929" s="5">
        <v>5.0999999999999996</v>
      </c>
      <c r="V1929" s="6">
        <v>-1.7</v>
      </c>
      <c r="W1929" s="4">
        <v>7</v>
      </c>
      <c r="X1929" s="4">
        <v>7</v>
      </c>
      <c r="Y1929" s="6">
        <v>8.25</v>
      </c>
      <c r="Z1929" s="6">
        <v>8.75</v>
      </c>
      <c r="AA1929" s="6">
        <v>15.36</v>
      </c>
      <c r="AB1929" s="2" t="s">
        <v>86</v>
      </c>
      <c r="AC1929" s="6">
        <v>11.09</v>
      </c>
    </row>
    <row r="1930" spans="1:29" ht="130" x14ac:dyDescent="0.15">
      <c r="A1930" s="3">
        <f>DATE(1995,5,22)</f>
        <v>34841</v>
      </c>
      <c r="B1930" s="3">
        <f>DATE(1996,1,29)</f>
        <v>35093</v>
      </c>
      <c r="C1930" s="2" t="s">
        <v>95</v>
      </c>
      <c r="D1930" s="2" t="s">
        <v>6277</v>
      </c>
      <c r="E1930" s="2" t="s">
        <v>36</v>
      </c>
      <c r="F1930" s="4">
        <v>6021</v>
      </c>
      <c r="G1930" s="2" t="s">
        <v>37</v>
      </c>
      <c r="H1930" s="2" t="s">
        <v>34</v>
      </c>
      <c r="I1930" s="2" t="s">
        <v>6278</v>
      </c>
      <c r="J1930" s="2" t="s">
        <v>1181</v>
      </c>
      <c r="K1930" s="2" t="s">
        <v>37</v>
      </c>
      <c r="L1930" s="2" t="s">
        <v>34</v>
      </c>
      <c r="M1930" s="7">
        <v>93.637</v>
      </c>
      <c r="N1930" s="5">
        <v>18.5</v>
      </c>
      <c r="O1930" s="5">
        <v>19.5</v>
      </c>
      <c r="P1930" s="2" t="s">
        <v>6279</v>
      </c>
      <c r="Q1930" s="6">
        <v>100</v>
      </c>
      <c r="R1930" s="6">
        <v>14.74</v>
      </c>
      <c r="S1930" s="5">
        <v>1.4</v>
      </c>
      <c r="T1930" s="2"/>
      <c r="U1930" s="5">
        <v>11.1</v>
      </c>
      <c r="V1930" s="7">
        <v>0.84199999999999997</v>
      </c>
      <c r="W1930" s="5">
        <v>12.5</v>
      </c>
      <c r="X1930" s="4">
        <v>16</v>
      </c>
      <c r="Y1930" s="5">
        <v>14.5</v>
      </c>
      <c r="Z1930" s="7">
        <v>15.702999999999999</v>
      </c>
      <c r="AA1930" s="6">
        <v>1.57</v>
      </c>
      <c r="AB1930" s="7">
        <v>45.954000000000001</v>
      </c>
      <c r="AC1930" s="2"/>
    </row>
    <row r="1931" spans="1:29" ht="156" x14ac:dyDescent="0.15">
      <c r="A1931" s="3">
        <f>DATE(1995,5,22)</f>
        <v>34841</v>
      </c>
      <c r="B1931" s="3">
        <f>DATE(1995,10,11)</f>
        <v>34983</v>
      </c>
      <c r="C1931" s="2" t="s">
        <v>95</v>
      </c>
      <c r="D1931" s="2" t="s">
        <v>1415</v>
      </c>
      <c r="E1931" s="2" t="s">
        <v>844</v>
      </c>
      <c r="F1931" s="4">
        <v>6552</v>
      </c>
      <c r="G1931" s="2" t="s">
        <v>109</v>
      </c>
      <c r="H1931" s="2" t="s">
        <v>34</v>
      </c>
      <c r="I1931" s="2" t="s">
        <v>6100</v>
      </c>
      <c r="J1931" s="2" t="s">
        <v>92</v>
      </c>
      <c r="K1931" s="2" t="s">
        <v>53</v>
      </c>
      <c r="L1931" s="2" t="s">
        <v>34</v>
      </c>
      <c r="M1931" s="2"/>
      <c r="N1931" s="2"/>
      <c r="O1931" s="2"/>
      <c r="P1931" s="2" t="s">
        <v>6280</v>
      </c>
      <c r="Q1931" s="6">
        <v>100</v>
      </c>
      <c r="R1931" s="6">
        <v>2.48</v>
      </c>
      <c r="S1931" s="5">
        <v>-1.5</v>
      </c>
      <c r="T1931" s="7">
        <v>1.5209999999999999</v>
      </c>
      <c r="U1931" s="5">
        <v>3.3</v>
      </c>
      <c r="V1931" s="6">
        <v>-0.13</v>
      </c>
      <c r="W1931" s="7">
        <v>1.875</v>
      </c>
      <c r="X1931" s="7">
        <v>1.875</v>
      </c>
      <c r="Y1931" s="4">
        <v>2</v>
      </c>
      <c r="Z1931" s="7">
        <v>2.1880000000000002</v>
      </c>
      <c r="AA1931" s="6">
        <v>9.2200000000000006</v>
      </c>
      <c r="AB1931" s="7">
        <v>61.779000000000003</v>
      </c>
      <c r="AC1931" s="2"/>
    </row>
    <row r="1932" spans="1:29" ht="65" x14ac:dyDescent="0.15">
      <c r="A1932" s="3">
        <f>DATE(1995,5,22)</f>
        <v>34841</v>
      </c>
      <c r="B1932" s="3">
        <f>DATE(1995,9,21)</f>
        <v>34963</v>
      </c>
      <c r="C1932" s="2" t="s">
        <v>95</v>
      </c>
      <c r="D1932" s="2" t="s">
        <v>6281</v>
      </c>
      <c r="E1932" s="2" t="s">
        <v>1467</v>
      </c>
      <c r="F1932" s="4">
        <v>4812</v>
      </c>
      <c r="G1932" s="2" t="s">
        <v>63</v>
      </c>
      <c r="H1932" s="2" t="s">
        <v>34</v>
      </c>
      <c r="I1932" s="2" t="s">
        <v>559</v>
      </c>
      <c r="J1932" s="2" t="s">
        <v>560</v>
      </c>
      <c r="K1932" s="2" t="s">
        <v>63</v>
      </c>
      <c r="L1932" s="2" t="s">
        <v>34</v>
      </c>
      <c r="M1932" s="12">
        <v>15035.066000000001</v>
      </c>
      <c r="N1932" s="4">
        <v>21</v>
      </c>
      <c r="O1932" s="5">
        <v>20.5</v>
      </c>
      <c r="P1932" s="2" t="s">
        <v>6282</v>
      </c>
      <c r="Q1932" s="6">
        <v>100</v>
      </c>
      <c r="R1932" s="6">
        <v>18.5</v>
      </c>
      <c r="S1932" s="5">
        <v>0.7</v>
      </c>
      <c r="T1932" s="7">
        <v>8.5210000000000008</v>
      </c>
      <c r="U1932" s="5">
        <v>1.9</v>
      </c>
      <c r="V1932" s="7">
        <v>1E-3</v>
      </c>
      <c r="W1932" s="7">
        <v>17.125</v>
      </c>
      <c r="X1932" s="5">
        <v>17.5</v>
      </c>
      <c r="Y1932" s="7">
        <v>23.687999999999999</v>
      </c>
      <c r="Z1932" s="5">
        <v>23.5</v>
      </c>
      <c r="AA1932" s="6">
        <v>8.17</v>
      </c>
      <c r="AB1932" s="7">
        <v>342.84800000000001</v>
      </c>
      <c r="AC1932" s="8">
        <v>2268</v>
      </c>
    </row>
    <row r="1933" spans="1:29" ht="143" x14ac:dyDescent="0.15">
      <c r="A1933" s="3">
        <f>DATE(1995,5,22)</f>
        <v>34841</v>
      </c>
      <c r="B1933" s="3">
        <f>DATE(1995,8,25)</f>
        <v>34936</v>
      </c>
      <c r="C1933" s="2" t="s">
        <v>95</v>
      </c>
      <c r="D1933" s="2" t="s">
        <v>6283</v>
      </c>
      <c r="E1933" s="2" t="s">
        <v>6284</v>
      </c>
      <c r="F1933" s="4">
        <v>3845</v>
      </c>
      <c r="G1933" s="2" t="s">
        <v>226</v>
      </c>
      <c r="H1933" s="2" t="s">
        <v>34</v>
      </c>
      <c r="I1933" s="2" t="s">
        <v>6285</v>
      </c>
      <c r="J1933" s="2" t="s">
        <v>6286</v>
      </c>
      <c r="K1933" s="2" t="s">
        <v>226</v>
      </c>
      <c r="L1933" s="2" t="s">
        <v>34</v>
      </c>
      <c r="M1933" s="6">
        <v>715.11</v>
      </c>
      <c r="N1933" s="7">
        <v>39.625</v>
      </c>
      <c r="O1933" s="6">
        <v>41.75</v>
      </c>
      <c r="P1933" s="2" t="s">
        <v>6287</v>
      </c>
      <c r="Q1933" s="6">
        <v>100</v>
      </c>
      <c r="R1933" s="6">
        <v>36.299999999999997</v>
      </c>
      <c r="S1933" s="5">
        <v>8.4</v>
      </c>
      <c r="T1933" s="7">
        <v>38.771000000000001</v>
      </c>
      <c r="U1933" s="5">
        <v>9.3000000000000007</v>
      </c>
      <c r="V1933" s="6">
        <v>0.67</v>
      </c>
      <c r="W1933" s="7">
        <v>26.375</v>
      </c>
      <c r="X1933" s="7">
        <v>26.125</v>
      </c>
      <c r="Y1933" s="7">
        <v>33.375</v>
      </c>
      <c r="Z1933" s="6">
        <v>35.25</v>
      </c>
      <c r="AA1933" s="6">
        <v>12.94</v>
      </c>
      <c r="AB1933" s="7">
        <v>22.757999999999999</v>
      </c>
      <c r="AC1933" s="6">
        <v>121.63</v>
      </c>
    </row>
    <row r="1934" spans="1:29" ht="117" x14ac:dyDescent="0.15">
      <c r="A1934" s="3">
        <f>DATE(1995,5,23)</f>
        <v>34842</v>
      </c>
      <c r="B1934" s="2"/>
      <c r="C1934" s="2" t="s">
        <v>30</v>
      </c>
      <c r="D1934" s="2" t="s">
        <v>6288</v>
      </c>
      <c r="E1934" s="2" t="s">
        <v>92</v>
      </c>
      <c r="F1934" s="4">
        <v>6798</v>
      </c>
      <c r="G1934" s="2" t="s">
        <v>53</v>
      </c>
      <c r="H1934" s="2" t="s">
        <v>34</v>
      </c>
      <c r="I1934" s="2" t="s">
        <v>6289</v>
      </c>
      <c r="J1934" s="2" t="s">
        <v>80</v>
      </c>
      <c r="K1934" s="2" t="s">
        <v>53</v>
      </c>
      <c r="L1934" s="2" t="s">
        <v>34</v>
      </c>
      <c r="M1934" s="2"/>
      <c r="N1934" s="2"/>
      <c r="O1934" s="2"/>
      <c r="P1934" s="2" t="s">
        <v>6290</v>
      </c>
      <c r="Q1934" s="2"/>
      <c r="R1934" s="2"/>
      <c r="S1934" s="5">
        <v>-0.9</v>
      </c>
      <c r="T1934" s="6">
        <v>2.91</v>
      </c>
      <c r="U1934" s="5">
        <v>5.6</v>
      </c>
      <c r="V1934" s="6">
        <v>0.09</v>
      </c>
      <c r="W1934" s="7">
        <v>4.125</v>
      </c>
      <c r="X1934" s="6">
        <v>4.25</v>
      </c>
      <c r="Y1934" s="6">
        <v>4.25</v>
      </c>
      <c r="Z1934" s="7">
        <v>4.3129999999999997</v>
      </c>
      <c r="AA1934" s="6">
        <v>10.47</v>
      </c>
      <c r="AB1934" s="2" t="s">
        <v>47</v>
      </c>
      <c r="AC1934" s="2"/>
    </row>
    <row r="1935" spans="1:29" ht="52" x14ac:dyDescent="0.15">
      <c r="A1935" s="3">
        <f>DATE(1995,5,23)</f>
        <v>34842</v>
      </c>
      <c r="B1935" s="2"/>
      <c r="C1935" s="2" t="s">
        <v>30</v>
      </c>
      <c r="D1935" s="2" t="s">
        <v>6291</v>
      </c>
      <c r="E1935" s="2" t="s">
        <v>6292</v>
      </c>
      <c r="F1935" s="4">
        <v>2836</v>
      </c>
      <c r="G1935" s="2" t="s">
        <v>130</v>
      </c>
      <c r="H1935" s="2" t="s">
        <v>34</v>
      </c>
      <c r="I1935" s="2" t="s">
        <v>6293</v>
      </c>
      <c r="J1935" s="2" t="s">
        <v>129</v>
      </c>
      <c r="K1935" s="2" t="s">
        <v>130</v>
      </c>
      <c r="L1935" s="2" t="s">
        <v>34</v>
      </c>
      <c r="M1935" s="2"/>
      <c r="N1935" s="4">
        <v>14</v>
      </c>
      <c r="O1935" s="7">
        <v>13.875</v>
      </c>
      <c r="P1935" s="2" t="s">
        <v>6294</v>
      </c>
      <c r="Q1935" s="2"/>
      <c r="R1935" s="2"/>
      <c r="S1935" s="5">
        <v>-32</v>
      </c>
      <c r="T1935" s="7">
        <v>-19.100999999999999</v>
      </c>
      <c r="U1935" s="5">
        <v>1</v>
      </c>
      <c r="V1935" s="6">
        <v>-2.08</v>
      </c>
      <c r="W1935" s="7">
        <v>1.375</v>
      </c>
      <c r="X1935" s="5">
        <v>1.5</v>
      </c>
      <c r="Y1935" s="5">
        <v>2.5</v>
      </c>
      <c r="Z1935" s="7">
        <v>1.9379999999999999</v>
      </c>
      <c r="AA1935" s="6">
        <v>15.36</v>
      </c>
      <c r="AB1935" s="2" t="s">
        <v>86</v>
      </c>
      <c r="AC1935" s="6">
        <v>25.19</v>
      </c>
    </row>
    <row r="1936" spans="1:29" ht="143" x14ac:dyDescent="0.15">
      <c r="A1936" s="3">
        <f>DATE(1995,5,23)</f>
        <v>34842</v>
      </c>
      <c r="B1936" s="2"/>
      <c r="C1936" s="2" t="s">
        <v>30</v>
      </c>
      <c r="D1936" s="2" t="s">
        <v>6218</v>
      </c>
      <c r="E1936" s="2" t="s">
        <v>6219</v>
      </c>
      <c r="F1936" s="4">
        <v>3498</v>
      </c>
      <c r="G1936" s="2" t="s">
        <v>163</v>
      </c>
      <c r="H1936" s="2" t="s">
        <v>34</v>
      </c>
      <c r="I1936" s="2" t="s">
        <v>51</v>
      </c>
      <c r="J1936" s="2" t="s">
        <v>52</v>
      </c>
      <c r="K1936" s="2" t="s">
        <v>53</v>
      </c>
      <c r="L1936" s="2" t="s">
        <v>34</v>
      </c>
      <c r="M1936" s="2"/>
      <c r="N1936" s="2"/>
      <c r="O1936" s="2"/>
      <c r="P1936" s="2" t="s">
        <v>6295</v>
      </c>
      <c r="Q1936" s="2"/>
      <c r="R1936" s="6">
        <v>11.38</v>
      </c>
      <c r="S1936" s="5">
        <v>3.4</v>
      </c>
      <c r="T1936" s="2"/>
      <c r="U1936" s="5">
        <v>4.5999999999999996</v>
      </c>
      <c r="V1936" s="6">
        <v>0.77</v>
      </c>
      <c r="W1936" s="6">
        <v>9.75</v>
      </c>
      <c r="X1936" s="6">
        <v>9.75</v>
      </c>
      <c r="Y1936" s="7">
        <v>9.875</v>
      </c>
      <c r="Z1936" s="6">
        <v>10.75</v>
      </c>
      <c r="AA1936" s="6">
        <v>4.6399999999999997</v>
      </c>
      <c r="AB1936" s="7">
        <v>9.109</v>
      </c>
      <c r="AC1936" s="2"/>
    </row>
    <row r="1937" spans="1:29" ht="130" x14ac:dyDescent="0.15">
      <c r="A1937" s="3">
        <f>DATE(1995,5,24)</f>
        <v>34843</v>
      </c>
      <c r="B1937" s="3">
        <f>DATE(1995,10,25)</f>
        <v>34997</v>
      </c>
      <c r="C1937" s="2" t="s">
        <v>95</v>
      </c>
      <c r="D1937" s="2" t="s">
        <v>6296</v>
      </c>
      <c r="E1937" s="2" t="s">
        <v>6297</v>
      </c>
      <c r="F1937" s="4">
        <v>1623</v>
      </c>
      <c r="G1937" s="2" t="s">
        <v>341</v>
      </c>
      <c r="H1937" s="2" t="s">
        <v>34</v>
      </c>
      <c r="I1937" s="2" t="s">
        <v>3316</v>
      </c>
      <c r="J1937" s="2" t="s">
        <v>3317</v>
      </c>
      <c r="K1937" s="2" t="s">
        <v>341</v>
      </c>
      <c r="L1937" s="2" t="s">
        <v>34</v>
      </c>
      <c r="M1937" s="7">
        <v>177.27199999999999</v>
      </c>
      <c r="N1937" s="7">
        <v>13.938000000000001</v>
      </c>
      <c r="O1937" s="6">
        <v>13.75</v>
      </c>
      <c r="P1937" s="2" t="s">
        <v>6298</v>
      </c>
      <c r="Q1937" s="6">
        <v>100</v>
      </c>
      <c r="R1937" s="6">
        <v>13.8</v>
      </c>
      <c r="S1937" s="5">
        <v>7.1</v>
      </c>
      <c r="T1937" s="7">
        <v>17.026</v>
      </c>
      <c r="U1937" s="5">
        <v>3.7</v>
      </c>
      <c r="V1937" s="6">
        <v>0.6</v>
      </c>
      <c r="W1937" s="6">
        <v>12.75</v>
      </c>
      <c r="X1937" s="4">
        <v>12</v>
      </c>
      <c r="Y1937" s="4">
        <v>15</v>
      </c>
      <c r="Z1937" s="9">
        <v>14.5625</v>
      </c>
      <c r="AA1937" s="6">
        <v>10.76</v>
      </c>
      <c r="AB1937" s="7">
        <v>12.363</v>
      </c>
      <c r="AC1937" s="6">
        <v>17.739999999999998</v>
      </c>
    </row>
    <row r="1938" spans="1:29" ht="104" x14ac:dyDescent="0.15">
      <c r="A1938" s="3">
        <f>DATE(1995,5,24)</f>
        <v>34843</v>
      </c>
      <c r="B1938" s="3">
        <f>DATE(1995,9,28)</f>
        <v>34970</v>
      </c>
      <c r="C1938" s="2" t="s">
        <v>95</v>
      </c>
      <c r="D1938" s="2" t="s">
        <v>6299</v>
      </c>
      <c r="E1938" s="2" t="s">
        <v>6300</v>
      </c>
      <c r="F1938" s="4">
        <v>2836</v>
      </c>
      <c r="G1938" s="2" t="s">
        <v>130</v>
      </c>
      <c r="H1938" s="2" t="s">
        <v>34</v>
      </c>
      <c r="I1938" s="2" t="s">
        <v>6301</v>
      </c>
      <c r="J1938" s="2" t="s">
        <v>4476</v>
      </c>
      <c r="K1938" s="2" t="s">
        <v>226</v>
      </c>
      <c r="L1938" s="2" t="s">
        <v>34</v>
      </c>
      <c r="M1938" s="12">
        <v>1635.5050000000001</v>
      </c>
      <c r="N1938" s="4">
        <v>29</v>
      </c>
      <c r="O1938" s="7">
        <v>29.125</v>
      </c>
      <c r="P1938" s="2" t="s">
        <v>6302</v>
      </c>
      <c r="Q1938" s="6">
        <v>100</v>
      </c>
      <c r="R1938" s="6">
        <v>9.25</v>
      </c>
      <c r="S1938" s="5">
        <v>2.9</v>
      </c>
      <c r="T1938" s="7">
        <v>9.2439999999999998</v>
      </c>
      <c r="U1938" s="5">
        <v>5.4</v>
      </c>
      <c r="V1938" s="6">
        <v>0.15</v>
      </c>
      <c r="W1938" s="6">
        <v>5.75</v>
      </c>
      <c r="X1938" s="5">
        <v>6.5</v>
      </c>
      <c r="Y1938" s="7">
        <v>8.625</v>
      </c>
      <c r="Z1938" s="5">
        <v>8.5</v>
      </c>
      <c r="AA1938" s="6">
        <v>10.24</v>
      </c>
      <c r="AB1938" s="7">
        <v>19.509</v>
      </c>
      <c r="AC1938" s="5">
        <v>34.200000000000003</v>
      </c>
    </row>
    <row r="1939" spans="1:29" ht="104" x14ac:dyDescent="0.15">
      <c r="A1939" s="3">
        <f>DATE(1995,5,24)</f>
        <v>34843</v>
      </c>
      <c r="B1939" s="2"/>
      <c r="C1939" s="2" t="s">
        <v>30</v>
      </c>
      <c r="D1939" s="2" t="s">
        <v>6303</v>
      </c>
      <c r="E1939" s="2" t="s">
        <v>6304</v>
      </c>
      <c r="F1939" s="4">
        <v>3575</v>
      </c>
      <c r="G1939" s="2" t="s">
        <v>50</v>
      </c>
      <c r="H1939" s="2" t="s">
        <v>34</v>
      </c>
      <c r="I1939" s="2" t="s">
        <v>6305</v>
      </c>
      <c r="J1939" s="2" t="s">
        <v>6306</v>
      </c>
      <c r="K1939" s="2" t="s">
        <v>137</v>
      </c>
      <c r="L1939" s="2" t="s">
        <v>34</v>
      </c>
      <c r="M1939" s="7">
        <v>29.826000000000001</v>
      </c>
      <c r="N1939" s="6">
        <v>5.75</v>
      </c>
      <c r="O1939" s="7">
        <v>5.875</v>
      </c>
      <c r="P1939" s="2" t="s">
        <v>6307</v>
      </c>
      <c r="Q1939" s="2"/>
      <c r="R1939" s="6">
        <v>3.37</v>
      </c>
      <c r="S1939" s="5">
        <v>-11.6</v>
      </c>
      <c r="T1939" s="7">
        <v>-2.7360000000000002</v>
      </c>
      <c r="U1939" s="5">
        <v>2.8</v>
      </c>
      <c r="V1939" s="6">
        <v>-1.69</v>
      </c>
      <c r="W1939" s="7">
        <v>2.625</v>
      </c>
      <c r="X1939" s="4">
        <v>3</v>
      </c>
      <c r="Y1939" s="7">
        <v>3.125</v>
      </c>
      <c r="Z1939" s="7">
        <v>3.125</v>
      </c>
      <c r="AA1939" s="6">
        <v>6.81</v>
      </c>
      <c r="AB1939" s="2" t="s">
        <v>86</v>
      </c>
      <c r="AC1939" s="5">
        <v>11.2</v>
      </c>
    </row>
    <row r="1940" spans="1:29" ht="156" x14ac:dyDescent="0.15">
      <c r="A1940" s="3">
        <f>DATE(1995,5,25)</f>
        <v>34844</v>
      </c>
      <c r="B1940" s="2"/>
      <c r="C1940" s="2" t="s">
        <v>30</v>
      </c>
      <c r="D1940" s="2" t="s">
        <v>6308</v>
      </c>
      <c r="E1940" s="2" t="s">
        <v>6309</v>
      </c>
      <c r="F1940" s="4">
        <v>6722</v>
      </c>
      <c r="G1940" s="2" t="s">
        <v>53</v>
      </c>
      <c r="H1940" s="2" t="s">
        <v>34</v>
      </c>
      <c r="I1940" s="2" t="s">
        <v>6289</v>
      </c>
      <c r="J1940" s="2" t="s">
        <v>80</v>
      </c>
      <c r="K1940" s="2" t="s">
        <v>53</v>
      </c>
      <c r="L1940" s="2" t="s">
        <v>34</v>
      </c>
      <c r="M1940" s="2"/>
      <c r="N1940" s="2"/>
      <c r="O1940" s="2"/>
      <c r="P1940" s="2" t="s">
        <v>6310</v>
      </c>
      <c r="Q1940" s="2"/>
      <c r="R1940" s="2"/>
      <c r="S1940" s="5">
        <v>-29.8</v>
      </c>
      <c r="T1940" s="2"/>
      <c r="U1940" s="5">
        <v>22.9</v>
      </c>
      <c r="V1940" s="6">
        <v>-15.5</v>
      </c>
      <c r="W1940" s="9">
        <v>1.4375</v>
      </c>
      <c r="X1940" s="9">
        <v>1.4375</v>
      </c>
      <c r="Y1940" s="7">
        <v>1.375</v>
      </c>
      <c r="Z1940" s="11">
        <v>1.40625</v>
      </c>
      <c r="AA1940" s="2"/>
      <c r="AB1940" s="2" t="s">
        <v>86</v>
      </c>
      <c r="AC1940" s="2"/>
    </row>
    <row r="1941" spans="1:29" ht="117" x14ac:dyDescent="0.15">
      <c r="A1941" s="3">
        <f>DATE(1995,5,25)</f>
        <v>34844</v>
      </c>
      <c r="B1941" s="2"/>
      <c r="C1941" s="2" t="s">
        <v>30</v>
      </c>
      <c r="D1941" s="2" t="s">
        <v>6311</v>
      </c>
      <c r="E1941" s="2" t="s">
        <v>6312</v>
      </c>
      <c r="F1941" s="4">
        <v>6733</v>
      </c>
      <c r="G1941" s="2" t="s">
        <v>53</v>
      </c>
      <c r="H1941" s="2" t="s">
        <v>34</v>
      </c>
      <c r="I1941" s="2" t="s">
        <v>6289</v>
      </c>
      <c r="J1941" s="2" t="s">
        <v>80</v>
      </c>
      <c r="K1941" s="2" t="s">
        <v>53</v>
      </c>
      <c r="L1941" s="2" t="s">
        <v>34</v>
      </c>
      <c r="M1941" s="2"/>
      <c r="N1941" s="2"/>
      <c r="O1941" s="2"/>
      <c r="P1941" s="2" t="s">
        <v>6313</v>
      </c>
      <c r="Q1941" s="2"/>
      <c r="R1941" s="2"/>
      <c r="S1941" s="5">
        <v>-1.5</v>
      </c>
      <c r="T1941" s="2"/>
      <c r="U1941" s="5">
        <v>3.7</v>
      </c>
      <c r="V1941" s="7">
        <v>-0.23100000000000001</v>
      </c>
      <c r="W1941" s="4">
        <v>2</v>
      </c>
      <c r="X1941" s="7">
        <v>1.875</v>
      </c>
      <c r="Y1941" s="4">
        <v>2</v>
      </c>
      <c r="Z1941" s="4">
        <v>2</v>
      </c>
      <c r="AA1941" s="2"/>
      <c r="AB1941" s="2" t="s">
        <v>86</v>
      </c>
      <c r="AC1941" s="2"/>
    </row>
    <row r="1942" spans="1:29" ht="117" x14ac:dyDescent="0.15">
      <c r="A1942" s="3">
        <f>DATE(1995,5,25)</f>
        <v>34844</v>
      </c>
      <c r="B1942" s="3">
        <f>DATE(1995,11,8)</f>
        <v>35011</v>
      </c>
      <c r="C1942" s="2" t="s">
        <v>95</v>
      </c>
      <c r="D1942" s="2" t="s">
        <v>2771</v>
      </c>
      <c r="E1942" s="2" t="s">
        <v>781</v>
      </c>
      <c r="F1942" s="4">
        <v>7372</v>
      </c>
      <c r="G1942" s="2" t="s">
        <v>551</v>
      </c>
      <c r="H1942" s="2" t="s">
        <v>34</v>
      </c>
      <c r="I1942" s="2" t="s">
        <v>2244</v>
      </c>
      <c r="J1942" s="2" t="s">
        <v>2245</v>
      </c>
      <c r="K1942" s="2" t="s">
        <v>551</v>
      </c>
      <c r="L1942" s="2" t="s">
        <v>34</v>
      </c>
      <c r="M1942" s="12">
        <v>10280.386</v>
      </c>
      <c r="N1942" s="5">
        <v>71.5</v>
      </c>
      <c r="O1942" s="6">
        <v>69.25</v>
      </c>
      <c r="P1942" s="2" t="s">
        <v>6314</v>
      </c>
      <c r="Q1942" s="6">
        <v>98.83</v>
      </c>
      <c r="R1942" s="6">
        <v>47.95</v>
      </c>
      <c r="S1942" s="5">
        <v>51.2</v>
      </c>
      <c r="T1942" s="7">
        <v>142.285</v>
      </c>
      <c r="U1942" s="5">
        <v>12</v>
      </c>
      <c r="V1942" s="6">
        <v>1.44</v>
      </c>
      <c r="W1942" s="4">
        <v>29</v>
      </c>
      <c r="X1942" s="6">
        <v>31.25</v>
      </c>
      <c r="Y1942" s="6">
        <v>44.25</v>
      </c>
      <c r="Z1942" s="6">
        <v>43.25</v>
      </c>
      <c r="AA1942" s="6">
        <v>35.950000000000003</v>
      </c>
      <c r="AB1942" s="7">
        <v>17.273</v>
      </c>
      <c r="AC1942" s="2"/>
    </row>
    <row r="1943" spans="1:29" ht="117" x14ac:dyDescent="0.15">
      <c r="A1943" s="3">
        <f>DATE(1995,5,25)</f>
        <v>34844</v>
      </c>
      <c r="B1943" s="2"/>
      <c r="C1943" s="2" t="s">
        <v>30</v>
      </c>
      <c r="D1943" s="2" t="s">
        <v>3823</v>
      </c>
      <c r="E1943" s="2" t="s">
        <v>92</v>
      </c>
      <c r="F1943" s="4">
        <v>6798</v>
      </c>
      <c r="G1943" s="2" t="s">
        <v>53</v>
      </c>
      <c r="H1943" s="2" t="s">
        <v>34</v>
      </c>
      <c r="I1943" s="2" t="s">
        <v>6289</v>
      </c>
      <c r="J1943" s="2" t="s">
        <v>80</v>
      </c>
      <c r="K1943" s="2" t="s">
        <v>53</v>
      </c>
      <c r="L1943" s="2" t="s">
        <v>34</v>
      </c>
      <c r="M1943" s="2"/>
      <c r="N1943" s="2"/>
      <c r="O1943" s="2"/>
      <c r="P1943" s="2" t="s">
        <v>6315</v>
      </c>
      <c r="Q1943" s="2"/>
      <c r="R1943" s="2"/>
      <c r="S1943" s="5">
        <v>-11.1</v>
      </c>
      <c r="T1943" s="2"/>
      <c r="U1943" s="5">
        <v>2.8</v>
      </c>
      <c r="V1943" s="6">
        <v>-0.91</v>
      </c>
      <c r="W1943" s="6">
        <v>1.75</v>
      </c>
      <c r="X1943" s="6">
        <v>1.75</v>
      </c>
      <c r="Y1943" s="6">
        <v>1.75</v>
      </c>
      <c r="Z1943" s="6">
        <v>1.75</v>
      </c>
      <c r="AA1943" s="6">
        <v>12.15</v>
      </c>
      <c r="AB1943" s="2" t="s">
        <v>86</v>
      </c>
      <c r="AC1943" s="2"/>
    </row>
    <row r="1944" spans="1:29" ht="143" x14ac:dyDescent="0.15">
      <c r="A1944" s="3">
        <f>DATE(1995,5,26)</f>
        <v>34845</v>
      </c>
      <c r="B1944" s="3">
        <f>DATE(1995,11,14)</f>
        <v>35017</v>
      </c>
      <c r="C1944" s="2" t="s">
        <v>95</v>
      </c>
      <c r="D1944" s="2" t="s">
        <v>6316</v>
      </c>
      <c r="E1944" s="2" t="s">
        <v>6317</v>
      </c>
      <c r="F1944" s="4">
        <v>6311</v>
      </c>
      <c r="G1944" s="2" t="s">
        <v>125</v>
      </c>
      <c r="H1944" s="2" t="s">
        <v>34</v>
      </c>
      <c r="I1944" s="2" t="s">
        <v>6318</v>
      </c>
      <c r="J1944" s="2" t="s">
        <v>124</v>
      </c>
      <c r="K1944" s="2" t="s">
        <v>125</v>
      </c>
      <c r="L1944" s="2" t="s">
        <v>34</v>
      </c>
      <c r="M1944" s="6">
        <v>391.41</v>
      </c>
      <c r="N1944" s="5">
        <v>9.5</v>
      </c>
      <c r="O1944" s="5">
        <v>9.5</v>
      </c>
      <c r="P1944" s="2" t="s">
        <v>6319</v>
      </c>
      <c r="Q1944" s="6">
        <v>100</v>
      </c>
      <c r="R1944" s="6">
        <v>14.13</v>
      </c>
      <c r="S1944" s="5">
        <v>9.5</v>
      </c>
      <c r="T1944" s="2"/>
      <c r="U1944" s="5">
        <v>14.5</v>
      </c>
      <c r="V1944" s="6">
        <v>1.22</v>
      </c>
      <c r="W1944" s="6">
        <v>13.75</v>
      </c>
      <c r="X1944" s="6">
        <v>13.75</v>
      </c>
      <c r="Y1944" s="5">
        <v>13.5</v>
      </c>
      <c r="Z1944" s="5">
        <v>13.5</v>
      </c>
      <c r="AA1944" s="6">
        <v>7.59</v>
      </c>
      <c r="AB1944" s="7">
        <v>8.6349999999999998</v>
      </c>
      <c r="AC1944" s="5">
        <v>36.700000000000003</v>
      </c>
    </row>
    <row r="1945" spans="1:29" ht="130" x14ac:dyDescent="0.15">
      <c r="A1945" s="3">
        <f>DATE(1995,5,26)</f>
        <v>34845</v>
      </c>
      <c r="B1945" s="2"/>
      <c r="C1945" s="2" t="s">
        <v>30</v>
      </c>
      <c r="D1945" s="2" t="s">
        <v>6320</v>
      </c>
      <c r="E1945" s="2" t="s">
        <v>6321</v>
      </c>
      <c r="F1945" s="4">
        <v>6798</v>
      </c>
      <c r="G1945" s="2" t="s">
        <v>53</v>
      </c>
      <c r="H1945" s="2" t="s">
        <v>34</v>
      </c>
      <c r="I1945" s="2" t="s">
        <v>6289</v>
      </c>
      <c r="J1945" s="2" t="s">
        <v>80</v>
      </c>
      <c r="K1945" s="2" t="s">
        <v>53</v>
      </c>
      <c r="L1945" s="2" t="s">
        <v>34</v>
      </c>
      <c r="M1945" s="2"/>
      <c r="N1945" s="2"/>
      <c r="O1945" s="2"/>
      <c r="P1945" s="2" t="s">
        <v>6322</v>
      </c>
      <c r="Q1945" s="2"/>
      <c r="R1945" s="2"/>
      <c r="S1945" s="5">
        <v>-2.4</v>
      </c>
      <c r="T1945" s="7">
        <v>2.7959999999999998</v>
      </c>
      <c r="U1945" s="5">
        <v>10</v>
      </c>
      <c r="V1945" s="6">
        <v>-1.62</v>
      </c>
      <c r="W1945" s="7">
        <v>4.625</v>
      </c>
      <c r="X1945" s="5">
        <v>4.5</v>
      </c>
      <c r="Y1945" s="5">
        <v>4.5</v>
      </c>
      <c r="Z1945" s="5">
        <v>4.5</v>
      </c>
      <c r="AA1945" s="2"/>
      <c r="AB1945" s="2" t="s">
        <v>47</v>
      </c>
      <c r="AC1945" s="2"/>
    </row>
    <row r="1946" spans="1:29" ht="156" x14ac:dyDescent="0.15">
      <c r="A1946" s="3">
        <f>DATE(1995,5,26)</f>
        <v>34845</v>
      </c>
      <c r="B1946" s="3">
        <f>DATE(1995,6,14)</f>
        <v>34864</v>
      </c>
      <c r="C1946" s="2" t="s">
        <v>95</v>
      </c>
      <c r="D1946" s="2" t="s">
        <v>6323</v>
      </c>
      <c r="E1946" s="2" t="s">
        <v>4145</v>
      </c>
      <c r="F1946" s="4">
        <v>3823</v>
      </c>
      <c r="G1946" s="2" t="s">
        <v>226</v>
      </c>
      <c r="H1946" s="2" t="s">
        <v>34</v>
      </c>
      <c r="I1946" s="2" t="s">
        <v>278</v>
      </c>
      <c r="J1946" s="2" t="s">
        <v>52</v>
      </c>
      <c r="K1946" s="2" t="s">
        <v>53</v>
      </c>
      <c r="L1946" s="2" t="s">
        <v>34</v>
      </c>
      <c r="M1946" s="2"/>
      <c r="N1946" s="2"/>
      <c r="O1946" s="2"/>
      <c r="P1946" s="2" t="s">
        <v>6324</v>
      </c>
      <c r="Q1946" s="6">
        <v>73.22</v>
      </c>
      <c r="R1946" s="6">
        <v>4.38</v>
      </c>
      <c r="S1946" s="5">
        <v>-5.8</v>
      </c>
      <c r="T1946" s="7">
        <v>-4.0890000000000004</v>
      </c>
      <c r="U1946" s="5">
        <v>-2.5</v>
      </c>
      <c r="V1946" s="6">
        <v>-0.94</v>
      </c>
      <c r="W1946" s="13">
        <v>0</v>
      </c>
      <c r="X1946" s="7">
        <v>7.125</v>
      </c>
      <c r="Y1946" s="4">
        <v>7</v>
      </c>
      <c r="Z1946" s="4">
        <v>7</v>
      </c>
      <c r="AA1946" s="6">
        <v>8.3000000000000007</v>
      </c>
      <c r="AB1946" s="2" t="s">
        <v>86</v>
      </c>
      <c r="AC1946" s="2"/>
    </row>
    <row r="1947" spans="1:29" ht="130" x14ac:dyDescent="0.15">
      <c r="A1947" s="3">
        <f>DATE(1995,5,30)</f>
        <v>34849</v>
      </c>
      <c r="B1947" s="2"/>
      <c r="C1947" s="2" t="s">
        <v>30</v>
      </c>
      <c r="D1947" s="2" t="s">
        <v>6325</v>
      </c>
      <c r="E1947" s="2" t="s">
        <v>92</v>
      </c>
      <c r="F1947" s="4">
        <v>6798</v>
      </c>
      <c r="G1947" s="2" t="s">
        <v>53</v>
      </c>
      <c r="H1947" s="2" t="s">
        <v>34</v>
      </c>
      <c r="I1947" s="2" t="s">
        <v>6289</v>
      </c>
      <c r="J1947" s="2" t="s">
        <v>80</v>
      </c>
      <c r="K1947" s="2" t="s">
        <v>53</v>
      </c>
      <c r="L1947" s="2" t="s">
        <v>34</v>
      </c>
      <c r="M1947" s="2"/>
      <c r="N1947" s="2"/>
      <c r="O1947" s="2"/>
      <c r="P1947" s="2" t="s">
        <v>6326</v>
      </c>
      <c r="Q1947" s="2"/>
      <c r="R1947" s="2"/>
      <c r="S1947" s="5">
        <v>-4.3</v>
      </c>
      <c r="T1947" s="7">
        <v>-0.90500000000000003</v>
      </c>
      <c r="U1947" s="5">
        <v>13.3</v>
      </c>
      <c r="V1947" s="6">
        <v>-2.35</v>
      </c>
      <c r="W1947" s="7">
        <v>1.375</v>
      </c>
      <c r="X1947" s="7">
        <v>1.375</v>
      </c>
      <c r="Y1947" s="7">
        <v>1.375</v>
      </c>
      <c r="Z1947" s="5">
        <v>1.5</v>
      </c>
      <c r="AA1947" s="2"/>
      <c r="AB1947" s="2" t="s">
        <v>86</v>
      </c>
      <c r="AC1947" s="2"/>
    </row>
    <row r="1948" spans="1:29" ht="143" x14ac:dyDescent="0.15">
      <c r="A1948" s="3">
        <f>DATE(1995,5,30)</f>
        <v>34849</v>
      </c>
      <c r="B1948" s="3">
        <f>DATE(1995,11,1)</f>
        <v>35004</v>
      </c>
      <c r="C1948" s="2" t="s">
        <v>95</v>
      </c>
      <c r="D1948" s="2" t="s">
        <v>6327</v>
      </c>
      <c r="E1948" s="2" t="s">
        <v>36</v>
      </c>
      <c r="F1948" s="4">
        <v>6035</v>
      </c>
      <c r="G1948" s="2" t="s">
        <v>33</v>
      </c>
      <c r="H1948" s="2" t="s">
        <v>34</v>
      </c>
      <c r="I1948" s="2" t="s">
        <v>2707</v>
      </c>
      <c r="J1948" s="2" t="s">
        <v>263</v>
      </c>
      <c r="K1948" s="2" t="s">
        <v>33</v>
      </c>
      <c r="L1948" s="2" t="s">
        <v>34</v>
      </c>
      <c r="M1948" s="7">
        <v>512.26400000000001</v>
      </c>
      <c r="N1948" s="6">
        <v>24.75</v>
      </c>
      <c r="O1948" s="6">
        <v>25.25</v>
      </c>
      <c r="P1948" s="2" t="s">
        <v>6328</v>
      </c>
      <c r="Q1948" s="6">
        <v>100</v>
      </c>
      <c r="R1948" s="6">
        <v>29.7</v>
      </c>
      <c r="S1948" s="5">
        <v>-52</v>
      </c>
      <c r="T1948" s="7">
        <v>80.378</v>
      </c>
      <c r="U1948" s="5">
        <v>24.3</v>
      </c>
      <c r="V1948" s="6">
        <v>-2.79</v>
      </c>
      <c r="W1948" s="7">
        <v>25.875</v>
      </c>
      <c r="X1948" s="7">
        <v>26.375</v>
      </c>
      <c r="Y1948" s="5">
        <v>26.5</v>
      </c>
      <c r="Z1948" s="4">
        <v>29</v>
      </c>
      <c r="AA1948" s="6">
        <v>18.71</v>
      </c>
      <c r="AB1948" s="7">
        <v>73.412000000000006</v>
      </c>
      <c r="AC1948" s="2"/>
    </row>
    <row r="1949" spans="1:29" ht="52" x14ac:dyDescent="0.15">
      <c r="A1949" s="3">
        <f>DATE(1995,5,30)</f>
        <v>34849</v>
      </c>
      <c r="B1949" s="3">
        <f>DATE(1995,5,30)</f>
        <v>34849</v>
      </c>
      <c r="C1949" s="2" t="s">
        <v>95</v>
      </c>
      <c r="D1949" s="2" t="s">
        <v>6329</v>
      </c>
      <c r="E1949" s="2" t="s">
        <v>265</v>
      </c>
      <c r="F1949" s="4">
        <v>6021</v>
      </c>
      <c r="G1949" s="2" t="s">
        <v>37</v>
      </c>
      <c r="H1949" s="2" t="s">
        <v>34</v>
      </c>
      <c r="I1949" s="2" t="s">
        <v>153</v>
      </c>
      <c r="J1949" s="2" t="s">
        <v>36</v>
      </c>
      <c r="K1949" s="2" t="s">
        <v>37</v>
      </c>
      <c r="L1949" s="2" t="s">
        <v>34</v>
      </c>
      <c r="M1949" s="12">
        <v>6040.8360000000002</v>
      </c>
      <c r="N1949" s="6">
        <v>83.75</v>
      </c>
      <c r="O1949" s="4">
        <v>84</v>
      </c>
      <c r="P1949" s="2" t="s">
        <v>6330</v>
      </c>
      <c r="Q1949" s="6">
        <v>100</v>
      </c>
      <c r="R1949" s="2"/>
      <c r="S1949" s="5">
        <v>0.7</v>
      </c>
      <c r="T1949" s="7">
        <v>1.2629999999999999</v>
      </c>
      <c r="U1949" s="5">
        <v>6.7</v>
      </c>
      <c r="V1949" s="9">
        <v>0.51170000000000004</v>
      </c>
      <c r="W1949" s="7">
        <v>17.625</v>
      </c>
      <c r="X1949" s="7">
        <v>17.625</v>
      </c>
      <c r="Y1949" s="7">
        <v>17.625</v>
      </c>
      <c r="Z1949" s="7">
        <v>17.625</v>
      </c>
      <c r="AA1949" s="6">
        <v>0.57999999999999996</v>
      </c>
      <c r="AB1949" s="7">
        <v>12.616</v>
      </c>
      <c r="AC1949" s="2"/>
    </row>
    <row r="1950" spans="1:29" ht="156" x14ac:dyDescent="0.15">
      <c r="A1950" s="3">
        <f>DATE(1995,5,30)</f>
        <v>34849</v>
      </c>
      <c r="B1950" s="3">
        <f>DATE(1995,9,1)</f>
        <v>34943</v>
      </c>
      <c r="C1950" s="2" t="s">
        <v>95</v>
      </c>
      <c r="D1950" s="2" t="s">
        <v>6331</v>
      </c>
      <c r="E1950" s="2" t="s">
        <v>6332</v>
      </c>
      <c r="F1950" s="4">
        <v>2834</v>
      </c>
      <c r="G1950" s="2" t="s">
        <v>130</v>
      </c>
      <c r="H1950" s="2" t="s">
        <v>34</v>
      </c>
      <c r="I1950" s="2" t="s">
        <v>6333</v>
      </c>
      <c r="J1950" s="2" t="s">
        <v>6334</v>
      </c>
      <c r="K1950" s="2" t="s">
        <v>130</v>
      </c>
      <c r="L1950" s="2" t="s">
        <v>34</v>
      </c>
      <c r="M1950" s="2"/>
      <c r="N1950" s="2"/>
      <c r="O1950" s="2"/>
      <c r="P1950" s="2" t="s">
        <v>6335</v>
      </c>
      <c r="Q1950" s="6">
        <v>92.97</v>
      </c>
      <c r="R1950" s="6">
        <v>21</v>
      </c>
      <c r="S1950" s="5">
        <v>5.3</v>
      </c>
      <c r="T1950" s="7">
        <v>2.798</v>
      </c>
      <c r="U1950" s="5">
        <v>4.5999999999999996</v>
      </c>
      <c r="V1950" s="7">
        <v>0.47699999999999998</v>
      </c>
      <c r="W1950" s="6">
        <v>14.25</v>
      </c>
      <c r="X1950" s="6">
        <v>16.25</v>
      </c>
      <c r="Y1950" s="6">
        <v>18.75</v>
      </c>
      <c r="Z1950" s="7">
        <v>19.125</v>
      </c>
      <c r="AA1950" s="6">
        <v>11.08</v>
      </c>
      <c r="AB1950" s="7">
        <v>189.828</v>
      </c>
      <c r="AC1950" s="2"/>
    </row>
    <row r="1951" spans="1:29" ht="117" x14ac:dyDescent="0.15">
      <c r="A1951" s="3">
        <f>DATE(1995,5,30)</f>
        <v>34849</v>
      </c>
      <c r="B1951" s="3">
        <f>DATE(1996,1,11)</f>
        <v>35075</v>
      </c>
      <c r="C1951" s="2" t="s">
        <v>95</v>
      </c>
      <c r="D1951" s="2" t="s">
        <v>5938</v>
      </c>
      <c r="E1951" s="2" t="s">
        <v>389</v>
      </c>
      <c r="F1951" s="4">
        <v>6035</v>
      </c>
      <c r="G1951" s="2" t="s">
        <v>33</v>
      </c>
      <c r="H1951" s="2" t="s">
        <v>34</v>
      </c>
      <c r="I1951" s="2" t="s">
        <v>2897</v>
      </c>
      <c r="J1951" s="2" t="s">
        <v>2898</v>
      </c>
      <c r="K1951" s="2" t="s">
        <v>37</v>
      </c>
      <c r="L1951" s="2" t="s">
        <v>34</v>
      </c>
      <c r="M1951" s="12">
        <v>7963.5479999999998</v>
      </c>
      <c r="N1951" s="4">
        <v>48</v>
      </c>
      <c r="O1951" s="4">
        <v>49</v>
      </c>
      <c r="P1951" s="2" t="s">
        <v>6336</v>
      </c>
      <c r="Q1951" s="6">
        <v>100</v>
      </c>
      <c r="R1951" s="6">
        <v>40.25</v>
      </c>
      <c r="S1951" s="5">
        <v>5.5</v>
      </c>
      <c r="T1951" s="7">
        <v>10.968</v>
      </c>
      <c r="U1951" s="5">
        <v>23</v>
      </c>
      <c r="V1951" s="6">
        <v>1.83</v>
      </c>
      <c r="W1951" s="4">
        <v>30</v>
      </c>
      <c r="X1951" s="6">
        <v>30.75</v>
      </c>
      <c r="Y1951" s="5">
        <v>32.5</v>
      </c>
      <c r="Z1951" s="6">
        <v>31.75</v>
      </c>
      <c r="AA1951" s="6">
        <v>2.8</v>
      </c>
      <c r="AB1951" s="2" t="s">
        <v>86</v>
      </c>
      <c r="AC1951" s="2"/>
    </row>
    <row r="1952" spans="1:29" ht="130" x14ac:dyDescent="0.15">
      <c r="A1952" s="3">
        <f>DATE(1995,6,1)</f>
        <v>34851</v>
      </c>
      <c r="B1952" s="3">
        <f>DATE(1995,12,21)</f>
        <v>35054</v>
      </c>
      <c r="C1952" s="2" t="s">
        <v>95</v>
      </c>
      <c r="D1952" s="2" t="s">
        <v>6337</v>
      </c>
      <c r="E1952" s="2" t="s">
        <v>6338</v>
      </c>
      <c r="F1952" s="4">
        <v>6211</v>
      </c>
      <c r="G1952" s="2" t="s">
        <v>53</v>
      </c>
      <c r="H1952" s="2" t="s">
        <v>34</v>
      </c>
      <c r="I1952" s="2" t="s">
        <v>6339</v>
      </c>
      <c r="J1952" s="2" t="s">
        <v>36</v>
      </c>
      <c r="K1952" s="2" t="s">
        <v>37</v>
      </c>
      <c r="L1952" s="2" t="s">
        <v>34</v>
      </c>
      <c r="M1952" s="7">
        <v>313.06200000000001</v>
      </c>
      <c r="N1952" s="7">
        <v>24.375</v>
      </c>
      <c r="O1952" s="5">
        <v>24.5</v>
      </c>
      <c r="P1952" s="2" t="s">
        <v>6340</v>
      </c>
      <c r="Q1952" s="6">
        <v>100</v>
      </c>
      <c r="R1952" s="6">
        <v>35.270000000000003</v>
      </c>
      <c r="S1952" s="5">
        <v>2.8</v>
      </c>
      <c r="T1952" s="7">
        <v>4.1550000000000002</v>
      </c>
      <c r="U1952" s="5">
        <v>24.9</v>
      </c>
      <c r="V1952" s="6">
        <v>2.91</v>
      </c>
      <c r="W1952" s="6">
        <v>31.75</v>
      </c>
      <c r="X1952" s="4">
        <v>31</v>
      </c>
      <c r="Y1952" s="6">
        <v>32.75</v>
      </c>
      <c r="Z1952" s="5">
        <v>32.5</v>
      </c>
      <c r="AA1952" s="6">
        <v>0.92</v>
      </c>
      <c r="AB1952" s="7">
        <v>51.874000000000002</v>
      </c>
      <c r="AC1952" s="2"/>
    </row>
    <row r="1953" spans="1:29" ht="104" x14ac:dyDescent="0.15">
      <c r="A1953" s="3">
        <f>DATE(1995,6,1)</f>
        <v>34851</v>
      </c>
      <c r="B1953" s="2"/>
      <c r="C1953" s="2" t="s">
        <v>30</v>
      </c>
      <c r="D1953" s="2" t="s">
        <v>6341</v>
      </c>
      <c r="E1953" s="2" t="s">
        <v>6342</v>
      </c>
      <c r="F1953" s="4">
        <v>5531</v>
      </c>
      <c r="G1953" s="2" t="s">
        <v>73</v>
      </c>
      <c r="H1953" s="2" t="s">
        <v>34</v>
      </c>
      <c r="I1953" s="2" t="s">
        <v>6343</v>
      </c>
      <c r="J1953" s="2" t="s">
        <v>6344</v>
      </c>
      <c r="K1953" s="2" t="s">
        <v>73</v>
      </c>
      <c r="L1953" s="2" t="s">
        <v>34</v>
      </c>
      <c r="M1953" s="2"/>
      <c r="N1953" s="2"/>
      <c r="O1953" s="2"/>
      <c r="P1953" s="2" t="s">
        <v>6345</v>
      </c>
      <c r="Q1953" s="2"/>
      <c r="R1953" s="6">
        <v>11</v>
      </c>
      <c r="S1953" s="5">
        <v>9.1</v>
      </c>
      <c r="T1953" s="6">
        <v>23.77</v>
      </c>
      <c r="U1953" s="5">
        <v>10.4</v>
      </c>
      <c r="V1953" s="6">
        <v>0.85</v>
      </c>
      <c r="W1953" s="7">
        <v>8.625</v>
      </c>
      <c r="X1953" s="7">
        <v>8.875</v>
      </c>
      <c r="Y1953" s="7">
        <v>9.125</v>
      </c>
      <c r="Z1953" s="7">
        <v>10.625</v>
      </c>
      <c r="AA1953" s="6">
        <v>10.73</v>
      </c>
      <c r="AB1953" s="7">
        <v>9.25</v>
      </c>
      <c r="AC1953" s="2"/>
    </row>
    <row r="1954" spans="1:29" ht="156" x14ac:dyDescent="0.15">
      <c r="A1954" s="3">
        <f>DATE(1995,6,5)</f>
        <v>34855</v>
      </c>
      <c r="B1954" s="3">
        <f>DATE(1995,7,5)</f>
        <v>34885</v>
      </c>
      <c r="C1954" s="2" t="s">
        <v>95</v>
      </c>
      <c r="D1954" s="2" t="s">
        <v>552</v>
      </c>
      <c r="E1954" s="2" t="s">
        <v>553</v>
      </c>
      <c r="F1954" s="4">
        <v>7372</v>
      </c>
      <c r="G1954" s="2" t="s">
        <v>551</v>
      </c>
      <c r="H1954" s="2" t="s">
        <v>34</v>
      </c>
      <c r="I1954" s="2" t="s">
        <v>5443</v>
      </c>
      <c r="J1954" s="2" t="s">
        <v>5444</v>
      </c>
      <c r="K1954" s="2" t="s">
        <v>50</v>
      </c>
      <c r="L1954" s="2" t="s">
        <v>34</v>
      </c>
      <c r="M1954" s="12">
        <v>55047.375</v>
      </c>
      <c r="N1954" s="6">
        <v>91.25</v>
      </c>
      <c r="O1954" s="7">
        <v>91.375</v>
      </c>
      <c r="P1954" s="2" t="s">
        <v>6346</v>
      </c>
      <c r="Q1954" s="6">
        <v>100</v>
      </c>
      <c r="R1954" s="6">
        <v>64</v>
      </c>
      <c r="S1954" s="5">
        <v>-20.9</v>
      </c>
      <c r="T1954" s="7">
        <v>161.20500000000001</v>
      </c>
      <c r="U1954" s="5">
        <v>11.6</v>
      </c>
      <c r="V1954" s="6">
        <v>-0.44</v>
      </c>
      <c r="W1954" s="7">
        <v>31.875</v>
      </c>
      <c r="X1954" s="5">
        <v>32.5</v>
      </c>
      <c r="Y1954" s="7">
        <v>61.438000000000002</v>
      </c>
      <c r="Z1954" s="7">
        <v>61.813000000000002</v>
      </c>
      <c r="AA1954" s="6">
        <v>47.59</v>
      </c>
      <c r="AB1954" s="7">
        <v>40.018000000000001</v>
      </c>
      <c r="AC1954" s="8">
        <v>10554</v>
      </c>
    </row>
    <row r="1955" spans="1:29" ht="130" x14ac:dyDescent="0.15">
      <c r="A1955" s="3">
        <f>DATE(1995,6,5)</f>
        <v>34855</v>
      </c>
      <c r="B1955" s="3">
        <f>DATE(1996,1,4)</f>
        <v>35068</v>
      </c>
      <c r="C1955" s="2" t="s">
        <v>95</v>
      </c>
      <c r="D1955" s="2" t="s">
        <v>1592</v>
      </c>
      <c r="E1955" s="2" t="s">
        <v>1593</v>
      </c>
      <c r="F1955" s="4">
        <v>8741</v>
      </c>
      <c r="G1955" s="2" t="s">
        <v>223</v>
      </c>
      <c r="H1955" s="2" t="s">
        <v>34</v>
      </c>
      <c r="I1955" s="2" t="s">
        <v>6347</v>
      </c>
      <c r="J1955" s="2" t="s">
        <v>6348</v>
      </c>
      <c r="K1955" s="2" t="s">
        <v>223</v>
      </c>
      <c r="L1955" s="2" t="s">
        <v>34</v>
      </c>
      <c r="M1955" s="12">
        <v>9276.7819999999992</v>
      </c>
      <c r="N1955" s="7">
        <v>63.125</v>
      </c>
      <c r="O1955" s="6">
        <v>63.25</v>
      </c>
      <c r="P1955" s="2" t="s">
        <v>6349</v>
      </c>
      <c r="Q1955" s="6">
        <v>100</v>
      </c>
      <c r="R1955" s="6">
        <v>12</v>
      </c>
      <c r="S1955" s="5">
        <v>1.9</v>
      </c>
      <c r="T1955" s="7">
        <v>3.1379999999999999</v>
      </c>
      <c r="U1955" s="5">
        <v>5.0999999999999996</v>
      </c>
      <c r="V1955" s="6">
        <v>0.82</v>
      </c>
      <c r="W1955" s="7">
        <v>7.375</v>
      </c>
      <c r="X1955" s="7">
        <v>8.125</v>
      </c>
      <c r="Y1955" s="6">
        <v>9.75</v>
      </c>
      <c r="Z1955" s="6">
        <v>9.75</v>
      </c>
      <c r="AA1955" s="6">
        <v>2.27</v>
      </c>
      <c r="AB1955" s="7">
        <v>7.27</v>
      </c>
      <c r="AC1955" s="5">
        <v>590.6</v>
      </c>
    </row>
    <row r="1956" spans="1:29" ht="52" x14ac:dyDescent="0.15">
      <c r="A1956" s="3">
        <f>DATE(1995,6,9)</f>
        <v>34859</v>
      </c>
      <c r="B1956" s="2"/>
      <c r="C1956" s="2" t="s">
        <v>141</v>
      </c>
      <c r="D1956" s="2" t="s">
        <v>6350</v>
      </c>
      <c r="E1956" s="2" t="s">
        <v>1032</v>
      </c>
      <c r="F1956" s="4">
        <v>6799</v>
      </c>
      <c r="G1956" s="2" t="s">
        <v>53</v>
      </c>
      <c r="H1956" s="2" t="s">
        <v>34</v>
      </c>
      <c r="I1956" s="2" t="s">
        <v>143</v>
      </c>
      <c r="J1956" s="2" t="s">
        <v>144</v>
      </c>
      <c r="K1956" s="2" t="s">
        <v>53</v>
      </c>
      <c r="L1956" s="2" t="s">
        <v>139</v>
      </c>
      <c r="M1956" s="2"/>
      <c r="N1956" s="2"/>
      <c r="O1956" s="2"/>
      <c r="P1956" s="2" t="s">
        <v>6351</v>
      </c>
      <c r="Q1956" s="2"/>
      <c r="R1956" s="2"/>
      <c r="S1956" s="5">
        <v>-1.2</v>
      </c>
      <c r="T1956" s="7">
        <v>2.9180000000000001</v>
      </c>
      <c r="U1956" s="5">
        <v>21.5</v>
      </c>
      <c r="V1956" s="7">
        <v>-0.56299999999999994</v>
      </c>
      <c r="W1956" s="7">
        <v>23.125</v>
      </c>
      <c r="X1956" s="6">
        <v>22.25</v>
      </c>
      <c r="Y1956" s="7">
        <v>22.125</v>
      </c>
      <c r="Z1956" s="6">
        <v>24.75</v>
      </c>
      <c r="AA1956" s="6">
        <v>1.92</v>
      </c>
      <c r="AB1956" s="2" t="s">
        <v>47</v>
      </c>
      <c r="AC1956" s="2"/>
    </row>
    <row r="1957" spans="1:29" ht="156" x14ac:dyDescent="0.15">
      <c r="A1957" s="3">
        <f>DATE(1995,6,13)</f>
        <v>34863</v>
      </c>
      <c r="B1957" s="3">
        <f>DATE(1995,11,1)</f>
        <v>35004</v>
      </c>
      <c r="C1957" s="2" t="s">
        <v>95</v>
      </c>
      <c r="D1957" s="2" t="s">
        <v>6352</v>
      </c>
      <c r="E1957" s="2" t="s">
        <v>6353</v>
      </c>
      <c r="F1957" s="4">
        <v>6331</v>
      </c>
      <c r="G1957" s="2" t="s">
        <v>125</v>
      </c>
      <c r="H1957" s="2" t="s">
        <v>34</v>
      </c>
      <c r="I1957" s="2" t="s">
        <v>6354</v>
      </c>
      <c r="J1957" s="2" t="s">
        <v>4335</v>
      </c>
      <c r="K1957" s="2" t="s">
        <v>125</v>
      </c>
      <c r="L1957" s="2" t="s">
        <v>34</v>
      </c>
      <c r="M1957" s="7">
        <v>444.81299999999999</v>
      </c>
      <c r="N1957" s="7">
        <v>27.375</v>
      </c>
      <c r="O1957" s="6">
        <v>26.75</v>
      </c>
      <c r="P1957" s="2" t="s">
        <v>6355</v>
      </c>
      <c r="Q1957" s="6">
        <v>100</v>
      </c>
      <c r="R1957" s="6">
        <v>3.62</v>
      </c>
      <c r="S1957" s="5">
        <v>12.7</v>
      </c>
      <c r="T1957" s="2"/>
      <c r="U1957" s="5">
        <v>4.3</v>
      </c>
      <c r="V1957" s="6">
        <v>0.76</v>
      </c>
      <c r="W1957" s="6">
        <v>7.75</v>
      </c>
      <c r="X1957" s="7">
        <v>8.125</v>
      </c>
      <c r="Y1957" s="4">
        <v>9</v>
      </c>
      <c r="Z1957" s="7">
        <v>8.875</v>
      </c>
      <c r="AA1957" s="6">
        <v>8.6300000000000008</v>
      </c>
      <c r="AB1957" s="2" t="s">
        <v>47</v>
      </c>
      <c r="AC1957" s="6">
        <v>104.58</v>
      </c>
    </row>
    <row r="1958" spans="1:29" ht="143" x14ac:dyDescent="0.15">
      <c r="A1958" s="3">
        <f>DATE(1995,6,13)</f>
        <v>34863</v>
      </c>
      <c r="B1958" s="3">
        <f>DATE(1995,10,27)</f>
        <v>34999</v>
      </c>
      <c r="C1958" s="2" t="s">
        <v>95</v>
      </c>
      <c r="D1958" s="2" t="s">
        <v>2502</v>
      </c>
      <c r="E1958" s="2" t="s">
        <v>373</v>
      </c>
      <c r="F1958" s="4">
        <v>7374</v>
      </c>
      <c r="G1958" s="2" t="s">
        <v>223</v>
      </c>
      <c r="H1958" s="2" t="s">
        <v>34</v>
      </c>
      <c r="I1958" s="2" t="s">
        <v>6356</v>
      </c>
      <c r="J1958" s="2" t="s">
        <v>6357</v>
      </c>
      <c r="K1958" s="2" t="s">
        <v>223</v>
      </c>
      <c r="L1958" s="2" t="s">
        <v>34</v>
      </c>
      <c r="M1958" s="12">
        <v>7599.1189999999997</v>
      </c>
      <c r="N1958" s="7">
        <v>56.625</v>
      </c>
      <c r="O1958" s="6">
        <v>56.25</v>
      </c>
      <c r="P1958" s="2" t="s">
        <v>6358</v>
      </c>
      <c r="Q1958" s="6">
        <v>100</v>
      </c>
      <c r="R1958" s="6">
        <v>90.2</v>
      </c>
      <c r="S1958" s="5">
        <v>160.19999999999999</v>
      </c>
      <c r="T1958" s="5">
        <v>364.9</v>
      </c>
      <c r="U1958" s="5">
        <v>23.2</v>
      </c>
      <c r="V1958" s="6">
        <v>2.56</v>
      </c>
      <c r="W1958" s="6">
        <v>75.25</v>
      </c>
      <c r="X1958" s="6">
        <v>76.75</v>
      </c>
      <c r="Y1958" s="4">
        <v>84</v>
      </c>
      <c r="Z1958" s="6">
        <v>83.75</v>
      </c>
      <c r="AA1958" s="6">
        <v>63.82</v>
      </c>
      <c r="AB1958" s="7">
        <v>22.184000000000001</v>
      </c>
      <c r="AC1958" s="10">
        <v>1187.6099999999999</v>
      </c>
    </row>
    <row r="1959" spans="1:29" ht="130" x14ac:dyDescent="0.15">
      <c r="A1959" s="3">
        <f>DATE(1995,6,13)</f>
        <v>34863</v>
      </c>
      <c r="B1959" s="3">
        <f>DATE(1995,8,23)</f>
        <v>34934</v>
      </c>
      <c r="C1959" s="2" t="s">
        <v>95</v>
      </c>
      <c r="D1959" s="2" t="s">
        <v>6359</v>
      </c>
      <c r="E1959" s="2" t="s">
        <v>6360</v>
      </c>
      <c r="F1959" s="4">
        <v>3713</v>
      </c>
      <c r="G1959" s="2" t="s">
        <v>105</v>
      </c>
      <c r="H1959" s="2" t="s">
        <v>34</v>
      </c>
      <c r="I1959" s="2" t="s">
        <v>6135</v>
      </c>
      <c r="J1959" s="2" t="s">
        <v>6136</v>
      </c>
      <c r="K1959" s="2" t="s">
        <v>105</v>
      </c>
      <c r="L1959" s="2" t="s">
        <v>34</v>
      </c>
      <c r="M1959" s="7">
        <v>113.435</v>
      </c>
      <c r="N1959" s="6">
        <v>10.75</v>
      </c>
      <c r="O1959" s="6">
        <v>10.75</v>
      </c>
      <c r="P1959" s="2" t="s">
        <v>6361</v>
      </c>
      <c r="Q1959" s="6">
        <v>100</v>
      </c>
      <c r="R1959" s="6">
        <v>16</v>
      </c>
      <c r="S1959" s="5">
        <v>30.5</v>
      </c>
      <c r="T1959" s="7">
        <v>76.001000000000005</v>
      </c>
      <c r="U1959" s="5">
        <v>5.9</v>
      </c>
      <c r="V1959" s="7">
        <v>2.9350000000000001</v>
      </c>
      <c r="W1959" s="7">
        <v>11.125</v>
      </c>
      <c r="X1959" s="7">
        <v>11.625</v>
      </c>
      <c r="Y1959" s="6">
        <v>11.75</v>
      </c>
      <c r="Z1959" s="7">
        <v>15.343999999999999</v>
      </c>
      <c r="AA1959" s="6">
        <v>10.49</v>
      </c>
      <c r="AB1959" s="7">
        <v>3.7970000000000002</v>
      </c>
      <c r="AC1959" s="6">
        <v>1.75</v>
      </c>
    </row>
    <row r="1960" spans="1:29" ht="143" x14ac:dyDescent="0.15">
      <c r="A1960" s="3">
        <f>DATE(1995,6,14)</f>
        <v>34864</v>
      </c>
      <c r="B1960" s="3">
        <f>DATE(1996,1,17)</f>
        <v>35081</v>
      </c>
      <c r="C1960" s="2" t="s">
        <v>95</v>
      </c>
      <c r="D1960" s="2" t="s">
        <v>6362</v>
      </c>
      <c r="E1960" s="2" t="s">
        <v>32</v>
      </c>
      <c r="F1960" s="4">
        <v>6036</v>
      </c>
      <c r="G1960" s="2" t="s">
        <v>33</v>
      </c>
      <c r="H1960" s="2" t="s">
        <v>34</v>
      </c>
      <c r="I1960" s="2" t="s">
        <v>4686</v>
      </c>
      <c r="J1960" s="2" t="s">
        <v>36</v>
      </c>
      <c r="K1960" s="2" t="s">
        <v>37</v>
      </c>
      <c r="L1960" s="2" t="s">
        <v>34</v>
      </c>
      <c r="M1960" s="7">
        <v>617.71799999999996</v>
      </c>
      <c r="N1960" s="7">
        <v>20.187999999999999</v>
      </c>
      <c r="O1960" s="4">
        <v>20</v>
      </c>
      <c r="P1960" s="2" t="s">
        <v>6363</v>
      </c>
      <c r="Q1960" s="6">
        <v>100</v>
      </c>
      <c r="R1960" s="6">
        <v>22.41</v>
      </c>
      <c r="S1960" s="5">
        <v>2.2999999999999998</v>
      </c>
      <c r="T1960" s="2"/>
      <c r="U1960" s="5">
        <v>8.8000000000000007</v>
      </c>
      <c r="V1960" s="2"/>
      <c r="W1960" s="6">
        <v>16.75</v>
      </c>
      <c r="X1960" s="6">
        <v>16.75</v>
      </c>
      <c r="Y1960" s="5">
        <v>19.5</v>
      </c>
      <c r="Z1960" s="5">
        <v>19.5</v>
      </c>
      <c r="AA1960" s="6">
        <v>3.03</v>
      </c>
      <c r="AB1960" s="7">
        <v>135.244</v>
      </c>
      <c r="AC1960" s="2"/>
    </row>
    <row r="1961" spans="1:29" ht="39" x14ac:dyDescent="0.15">
      <c r="A1961" s="3">
        <f>DATE(1995,6,14)</f>
        <v>34864</v>
      </c>
      <c r="B1961" s="2"/>
      <c r="C1961" s="2" t="s">
        <v>30</v>
      </c>
      <c r="D1961" s="2" t="s">
        <v>6364</v>
      </c>
      <c r="E1961" s="2" t="s">
        <v>6365</v>
      </c>
      <c r="F1961" s="4">
        <v>5961</v>
      </c>
      <c r="G1961" s="2" t="s">
        <v>73</v>
      </c>
      <c r="H1961" s="2" t="s">
        <v>34</v>
      </c>
      <c r="I1961" s="2" t="s">
        <v>6366</v>
      </c>
      <c r="J1961" s="2" t="s">
        <v>244</v>
      </c>
      <c r="K1961" s="2" t="s">
        <v>53</v>
      </c>
      <c r="L1961" s="2" t="s">
        <v>34</v>
      </c>
      <c r="M1961" s="2"/>
      <c r="N1961" s="2"/>
      <c r="O1961" s="2"/>
      <c r="P1961" s="2" t="s">
        <v>6367</v>
      </c>
      <c r="Q1961" s="2"/>
      <c r="R1961" s="6">
        <v>19</v>
      </c>
      <c r="S1961" s="5">
        <v>13.6</v>
      </c>
      <c r="T1961" s="7">
        <v>22.568999999999999</v>
      </c>
      <c r="U1961" s="5">
        <v>11.4</v>
      </c>
      <c r="V1961" s="6">
        <v>1.38</v>
      </c>
      <c r="W1961" s="5">
        <v>20.5</v>
      </c>
      <c r="X1961" s="7">
        <v>20.125</v>
      </c>
      <c r="Y1961" s="5">
        <v>18.5</v>
      </c>
      <c r="Z1961" s="7">
        <v>18.625</v>
      </c>
      <c r="AA1961" s="6">
        <v>9.58</v>
      </c>
      <c r="AB1961" s="7">
        <v>8.4160000000000004</v>
      </c>
      <c r="AC1961" s="2"/>
    </row>
    <row r="1962" spans="1:29" ht="78" x14ac:dyDescent="0.15">
      <c r="A1962" s="3">
        <f>DATE(1995,6,14)</f>
        <v>34864</v>
      </c>
      <c r="B1962" s="2"/>
      <c r="C1962" s="2" t="s">
        <v>30</v>
      </c>
      <c r="D1962" s="2" t="s">
        <v>6058</v>
      </c>
      <c r="E1962" s="2" t="s">
        <v>92</v>
      </c>
      <c r="F1962" s="4">
        <v>6798</v>
      </c>
      <c r="G1962" s="2" t="s">
        <v>53</v>
      </c>
      <c r="H1962" s="2" t="s">
        <v>34</v>
      </c>
      <c r="I1962" s="2" t="s">
        <v>6368</v>
      </c>
      <c r="J1962" s="2" t="s">
        <v>1085</v>
      </c>
      <c r="K1962" s="2" t="s">
        <v>37</v>
      </c>
      <c r="L1962" s="2" t="s">
        <v>902</v>
      </c>
      <c r="M1962" s="2"/>
      <c r="N1962" s="2"/>
      <c r="O1962" s="2"/>
      <c r="P1962" s="2" t="s">
        <v>6369</v>
      </c>
      <c r="Q1962" s="2"/>
      <c r="R1962" s="2"/>
      <c r="S1962" s="5">
        <v>-4.2</v>
      </c>
      <c r="T1962" s="7">
        <v>-2.7650000000000001</v>
      </c>
      <c r="U1962" s="5">
        <v>2.6</v>
      </c>
      <c r="V1962" s="7">
        <v>-2.1120000000000001</v>
      </c>
      <c r="W1962" s="6">
        <v>4.75</v>
      </c>
      <c r="X1962" s="7">
        <v>4.8129999999999997</v>
      </c>
      <c r="Y1962" s="7">
        <v>4.8129999999999997</v>
      </c>
      <c r="Z1962" s="7">
        <v>4.8129999999999997</v>
      </c>
      <c r="AA1962" s="6">
        <v>1.97</v>
      </c>
      <c r="AB1962" s="2" t="s">
        <v>86</v>
      </c>
      <c r="AC1962" s="2"/>
    </row>
    <row r="1963" spans="1:29" ht="143" x14ac:dyDescent="0.15">
      <c r="A1963" s="3">
        <f>DATE(1995,6,15)</f>
        <v>34865</v>
      </c>
      <c r="B1963" s="2"/>
      <c r="C1963" s="2" t="s">
        <v>30</v>
      </c>
      <c r="D1963" s="2" t="s">
        <v>6370</v>
      </c>
      <c r="E1963" s="2" t="s">
        <v>6371</v>
      </c>
      <c r="F1963" s="4">
        <v>3841</v>
      </c>
      <c r="G1963" s="2" t="s">
        <v>226</v>
      </c>
      <c r="H1963" s="2" t="s">
        <v>34</v>
      </c>
      <c r="I1963" s="2" t="s">
        <v>6372</v>
      </c>
      <c r="J1963" s="2" t="s">
        <v>6373</v>
      </c>
      <c r="K1963" s="2" t="s">
        <v>226</v>
      </c>
      <c r="L1963" s="2" t="s">
        <v>34</v>
      </c>
      <c r="M1963" s="7">
        <v>92.655000000000001</v>
      </c>
      <c r="N1963" s="7">
        <v>15.375</v>
      </c>
      <c r="O1963" s="7">
        <v>15.125</v>
      </c>
      <c r="P1963" s="2" t="s">
        <v>6374</v>
      </c>
      <c r="Q1963" s="2"/>
      <c r="R1963" s="6">
        <v>10.5</v>
      </c>
      <c r="S1963" s="5">
        <v>2.1</v>
      </c>
      <c r="T1963" s="2"/>
      <c r="U1963" s="5">
        <v>3</v>
      </c>
      <c r="V1963" s="7">
        <v>0.32900000000000001</v>
      </c>
      <c r="W1963" s="7">
        <v>5.875</v>
      </c>
      <c r="X1963" s="7">
        <v>6.625</v>
      </c>
      <c r="Y1963" s="6">
        <v>7.25</v>
      </c>
      <c r="Z1963" s="4">
        <v>7</v>
      </c>
      <c r="AA1963" s="6">
        <v>6.31</v>
      </c>
      <c r="AB1963" s="7">
        <v>19.245999999999999</v>
      </c>
      <c r="AC1963" s="6">
        <v>0.18</v>
      </c>
    </row>
    <row r="1964" spans="1:29" ht="143" x14ac:dyDescent="0.15">
      <c r="A1964" s="3">
        <f>DATE(1995,6,16)</f>
        <v>34866</v>
      </c>
      <c r="B1964" s="3">
        <f>DATE(1995,10,23)</f>
        <v>34995</v>
      </c>
      <c r="C1964" s="2" t="s">
        <v>95</v>
      </c>
      <c r="D1964" s="2" t="s">
        <v>6375</v>
      </c>
      <c r="E1964" s="2" t="s">
        <v>6376</v>
      </c>
      <c r="F1964" s="4">
        <v>2835</v>
      </c>
      <c r="G1964" s="2" t="s">
        <v>130</v>
      </c>
      <c r="H1964" s="2" t="s">
        <v>34</v>
      </c>
      <c r="I1964" s="2" t="s">
        <v>6377</v>
      </c>
      <c r="J1964" s="2" t="s">
        <v>6378</v>
      </c>
      <c r="K1964" s="2" t="s">
        <v>130</v>
      </c>
      <c r="L1964" s="2" t="s">
        <v>34</v>
      </c>
      <c r="M1964" s="7">
        <v>174.32900000000001</v>
      </c>
      <c r="N1964" s="7">
        <v>4.375</v>
      </c>
      <c r="O1964" s="7">
        <v>4.125</v>
      </c>
      <c r="P1964" s="2" t="s">
        <v>6379</v>
      </c>
      <c r="Q1964" s="6">
        <v>100</v>
      </c>
      <c r="R1964" s="6">
        <v>2.7</v>
      </c>
      <c r="S1964" s="5">
        <v>-8.8000000000000007</v>
      </c>
      <c r="T1964" s="7">
        <v>-4.0330000000000004</v>
      </c>
      <c r="U1964" s="5">
        <v>-0.3</v>
      </c>
      <c r="V1964" s="2"/>
      <c r="W1964" s="7">
        <v>2.875</v>
      </c>
      <c r="X1964" s="7">
        <v>2.875</v>
      </c>
      <c r="Y1964" s="7">
        <v>2.875</v>
      </c>
      <c r="Z1964" s="7">
        <v>2.875</v>
      </c>
      <c r="AA1964" s="6">
        <v>5.46</v>
      </c>
      <c r="AB1964" s="2" t="s">
        <v>86</v>
      </c>
      <c r="AC1964" s="5">
        <v>7.7</v>
      </c>
    </row>
    <row r="1965" spans="1:29" ht="117" x14ac:dyDescent="0.15">
      <c r="A1965" s="3">
        <f>DATE(1995,6,16)</f>
        <v>34866</v>
      </c>
      <c r="B1965" s="3">
        <f>DATE(1995,8,1)</f>
        <v>34912</v>
      </c>
      <c r="C1965" s="2" t="s">
        <v>95</v>
      </c>
      <c r="D1965" s="2" t="s">
        <v>3438</v>
      </c>
      <c r="E1965" s="2" t="s">
        <v>3439</v>
      </c>
      <c r="F1965" s="4">
        <v>5411</v>
      </c>
      <c r="G1965" s="2" t="s">
        <v>1461</v>
      </c>
      <c r="H1965" s="2" t="s">
        <v>34</v>
      </c>
      <c r="I1965" s="2" t="s">
        <v>6380</v>
      </c>
      <c r="J1965" s="2" t="s">
        <v>6381</v>
      </c>
      <c r="K1965" s="2" t="s">
        <v>73</v>
      </c>
      <c r="L1965" s="2" t="s">
        <v>34</v>
      </c>
      <c r="M1965" s="7">
        <v>72.122</v>
      </c>
      <c r="N1965" s="4">
        <v>1</v>
      </c>
      <c r="O1965" s="4">
        <v>1</v>
      </c>
      <c r="P1965" s="2" t="s">
        <v>6382</v>
      </c>
      <c r="Q1965" s="6">
        <v>100</v>
      </c>
      <c r="R1965" s="6">
        <v>12</v>
      </c>
      <c r="S1965" s="5">
        <v>2.6</v>
      </c>
      <c r="T1965" s="7">
        <v>4.9329999999999998</v>
      </c>
      <c r="U1965" s="5">
        <v>7.2</v>
      </c>
      <c r="V1965" s="6">
        <v>1.5</v>
      </c>
      <c r="W1965" s="7">
        <v>6.625</v>
      </c>
      <c r="X1965" s="5">
        <v>7.5</v>
      </c>
      <c r="Y1965" s="6">
        <v>7.75</v>
      </c>
      <c r="Z1965" s="6">
        <v>8.25</v>
      </c>
      <c r="AA1965" s="6">
        <v>1.7</v>
      </c>
      <c r="AB1965" s="7">
        <v>12.919</v>
      </c>
      <c r="AC1965" s="2"/>
    </row>
    <row r="1966" spans="1:29" ht="156" x14ac:dyDescent="0.15">
      <c r="A1966" s="3">
        <f>DATE(1995,6,19)</f>
        <v>34869</v>
      </c>
      <c r="B1966" s="3">
        <f>DATE(1996,6,18)</f>
        <v>35234</v>
      </c>
      <c r="C1966" s="2" t="s">
        <v>95</v>
      </c>
      <c r="D1966" s="2" t="s">
        <v>6116</v>
      </c>
      <c r="E1966" s="2" t="s">
        <v>6117</v>
      </c>
      <c r="F1966" s="4">
        <v>3999</v>
      </c>
      <c r="G1966" s="2" t="s">
        <v>112</v>
      </c>
      <c r="H1966" s="2" t="s">
        <v>34</v>
      </c>
      <c r="I1966" s="2" t="s">
        <v>6383</v>
      </c>
      <c r="J1966" s="2" t="s">
        <v>704</v>
      </c>
      <c r="K1966" s="2" t="s">
        <v>112</v>
      </c>
      <c r="L1966" s="2" t="s">
        <v>34</v>
      </c>
      <c r="M1966" s="7">
        <v>57.738999999999997</v>
      </c>
      <c r="N1966" s="6">
        <v>5.25</v>
      </c>
      <c r="O1966" s="7">
        <v>5.625</v>
      </c>
      <c r="P1966" s="2" t="s">
        <v>6384</v>
      </c>
      <c r="Q1966" s="6">
        <v>92.22</v>
      </c>
      <c r="R1966" s="6">
        <v>13</v>
      </c>
      <c r="S1966" s="5">
        <v>5.4</v>
      </c>
      <c r="T1966" s="7">
        <v>24.045999999999999</v>
      </c>
      <c r="U1966" s="5">
        <v>9.1</v>
      </c>
      <c r="V1966" s="7">
        <v>0.503</v>
      </c>
      <c r="W1966" s="7">
        <v>8.625</v>
      </c>
      <c r="X1966" s="5">
        <v>8.5</v>
      </c>
      <c r="Y1966" s="6">
        <v>10.25</v>
      </c>
      <c r="Z1966" s="5">
        <v>10.5</v>
      </c>
      <c r="AA1966" s="6">
        <v>10.75</v>
      </c>
      <c r="AB1966" s="7">
        <v>13.236000000000001</v>
      </c>
      <c r="AC1966" s="6">
        <v>37.409999999999997</v>
      </c>
    </row>
    <row r="1967" spans="1:29" ht="39" x14ac:dyDescent="0.15">
      <c r="A1967" s="3">
        <f>DATE(1995,6,19)</f>
        <v>34869</v>
      </c>
      <c r="B1967" s="3">
        <f>DATE(1995,12,20)</f>
        <v>35053</v>
      </c>
      <c r="C1967" s="2" t="s">
        <v>95</v>
      </c>
      <c r="D1967" s="2" t="s">
        <v>6385</v>
      </c>
      <c r="E1967" s="2" t="s">
        <v>6386</v>
      </c>
      <c r="F1967" s="4">
        <v>3842</v>
      </c>
      <c r="G1967" s="2" t="s">
        <v>226</v>
      </c>
      <c r="H1967" s="2" t="s">
        <v>34</v>
      </c>
      <c r="I1967" s="2" t="s">
        <v>6387</v>
      </c>
      <c r="J1967" s="2" t="s">
        <v>80</v>
      </c>
      <c r="K1967" s="2" t="s">
        <v>53</v>
      </c>
      <c r="L1967" s="2" t="s">
        <v>34</v>
      </c>
      <c r="M1967" s="2"/>
      <c r="N1967" s="2"/>
      <c r="O1967" s="2"/>
      <c r="P1967" s="2" t="s">
        <v>6388</v>
      </c>
      <c r="Q1967" s="6">
        <v>100</v>
      </c>
      <c r="R1967" s="6">
        <v>3.16</v>
      </c>
      <c r="S1967" s="5">
        <v>0.8</v>
      </c>
      <c r="T1967" s="2"/>
      <c r="U1967" s="5">
        <v>1.9</v>
      </c>
      <c r="V1967" s="6">
        <v>0.24</v>
      </c>
      <c r="W1967" s="6">
        <v>2.25</v>
      </c>
      <c r="X1967" s="6">
        <v>2.25</v>
      </c>
      <c r="Y1967" s="7">
        <v>2.9380000000000002</v>
      </c>
      <c r="Z1967" s="4">
        <v>3</v>
      </c>
      <c r="AA1967" s="6">
        <v>3.35</v>
      </c>
      <c r="AB1967" s="2" t="s">
        <v>47</v>
      </c>
      <c r="AC1967" s="2"/>
    </row>
    <row r="1968" spans="1:29" ht="156" x14ac:dyDescent="0.15">
      <c r="A1968" s="3">
        <f>DATE(1995,6,19)</f>
        <v>34869</v>
      </c>
      <c r="B1968" s="3">
        <f>DATE(1996,1,2)</f>
        <v>35066</v>
      </c>
      <c r="C1968" s="2" t="s">
        <v>95</v>
      </c>
      <c r="D1968" s="2" t="s">
        <v>67</v>
      </c>
      <c r="E1968" s="2" t="s">
        <v>36</v>
      </c>
      <c r="F1968" s="4">
        <v>6021</v>
      </c>
      <c r="G1968" s="2" t="s">
        <v>37</v>
      </c>
      <c r="H1968" s="2" t="s">
        <v>34</v>
      </c>
      <c r="I1968" s="2" t="s">
        <v>2897</v>
      </c>
      <c r="J1968" s="2" t="s">
        <v>2898</v>
      </c>
      <c r="K1968" s="2" t="s">
        <v>37</v>
      </c>
      <c r="L1968" s="2" t="s">
        <v>34</v>
      </c>
      <c r="M1968" s="12">
        <v>7925.9870000000001</v>
      </c>
      <c r="N1968" s="7">
        <v>45.875</v>
      </c>
      <c r="O1968" s="6">
        <v>44.75</v>
      </c>
      <c r="P1968" s="2" t="s">
        <v>6389</v>
      </c>
      <c r="Q1968" s="6">
        <v>100</v>
      </c>
      <c r="R1968" s="6">
        <v>64.290000000000006</v>
      </c>
      <c r="S1968" s="5">
        <v>451.1</v>
      </c>
      <c r="T1968" s="7">
        <v>762.71400000000006</v>
      </c>
      <c r="U1968" s="5">
        <v>32.700000000000003</v>
      </c>
      <c r="V1968" s="6">
        <v>5.21</v>
      </c>
      <c r="W1968" s="4">
        <v>49</v>
      </c>
      <c r="X1968" s="7">
        <v>48.875</v>
      </c>
      <c r="Y1968" s="6">
        <v>48.75</v>
      </c>
      <c r="Z1968" s="4">
        <v>59</v>
      </c>
      <c r="AA1968" s="6">
        <v>84.56</v>
      </c>
      <c r="AB1968" s="7">
        <v>13.335000000000001</v>
      </c>
      <c r="AC1968" s="2"/>
    </row>
    <row r="1969" spans="1:29" ht="52" x14ac:dyDescent="0.15">
      <c r="A1969" s="3">
        <f>DATE(1995,6,19)</f>
        <v>34869</v>
      </c>
      <c r="B1969" s="3">
        <f>DATE(1995,10,3)</f>
        <v>34975</v>
      </c>
      <c r="C1969" s="2" t="s">
        <v>95</v>
      </c>
      <c r="D1969" s="2" t="s">
        <v>6390</v>
      </c>
      <c r="E1969" s="2" t="s">
        <v>515</v>
      </c>
      <c r="F1969" s="4">
        <v>6331</v>
      </c>
      <c r="G1969" s="2" t="s">
        <v>125</v>
      </c>
      <c r="H1969" s="2" t="s">
        <v>34</v>
      </c>
      <c r="I1969" s="2" t="s">
        <v>5195</v>
      </c>
      <c r="J1969" s="2" t="s">
        <v>124</v>
      </c>
      <c r="K1969" s="2" t="s">
        <v>125</v>
      </c>
      <c r="L1969" s="2" t="s">
        <v>34</v>
      </c>
      <c r="M1969" s="12">
        <v>1982.0820000000001</v>
      </c>
      <c r="N1969" s="4">
        <v>48</v>
      </c>
      <c r="O1969" s="5">
        <v>48.5</v>
      </c>
      <c r="P1969" s="2" t="s">
        <v>6391</v>
      </c>
      <c r="Q1969" s="6">
        <v>100</v>
      </c>
      <c r="R1969" s="6">
        <v>22</v>
      </c>
      <c r="S1969" s="5">
        <v>4.3</v>
      </c>
      <c r="T1969" s="2"/>
      <c r="U1969" s="5">
        <v>16.8</v>
      </c>
      <c r="V1969" s="6">
        <v>1.1599999999999999</v>
      </c>
      <c r="W1969" s="5">
        <v>13.5</v>
      </c>
      <c r="X1969" s="5">
        <v>13.5</v>
      </c>
      <c r="Y1969" s="6">
        <v>20.25</v>
      </c>
      <c r="Z1969" s="7">
        <v>20.375</v>
      </c>
      <c r="AA1969" s="6">
        <v>4.1500000000000004</v>
      </c>
      <c r="AB1969" s="7">
        <v>16.896999999999998</v>
      </c>
      <c r="AC1969" s="5">
        <v>23.3</v>
      </c>
    </row>
    <row r="1970" spans="1:29" ht="143" x14ac:dyDescent="0.15">
      <c r="A1970" s="3">
        <f>DATE(1995,6,20)</f>
        <v>34870</v>
      </c>
      <c r="B1970" s="2"/>
      <c r="C1970" s="2" t="s">
        <v>30</v>
      </c>
      <c r="D1970" s="2" t="s">
        <v>5366</v>
      </c>
      <c r="E1970" s="2" t="s">
        <v>1888</v>
      </c>
      <c r="F1970" s="4">
        <v>4911</v>
      </c>
      <c r="G1970" s="2" t="s">
        <v>439</v>
      </c>
      <c r="H1970" s="2" t="s">
        <v>34</v>
      </c>
      <c r="I1970" s="2" t="s">
        <v>6392</v>
      </c>
      <c r="J1970" s="2" t="s">
        <v>1977</v>
      </c>
      <c r="K1970" s="2" t="s">
        <v>439</v>
      </c>
      <c r="L1970" s="2" t="s">
        <v>34</v>
      </c>
      <c r="M1970" s="2"/>
      <c r="N1970" s="2"/>
      <c r="O1970" s="2"/>
      <c r="P1970" s="2" t="s">
        <v>6393</v>
      </c>
      <c r="Q1970" s="2"/>
      <c r="R1970" s="6">
        <v>17.5</v>
      </c>
      <c r="S1970" s="5">
        <v>303.3</v>
      </c>
      <c r="T1970" s="12">
        <v>1186.2840000000001</v>
      </c>
      <c r="U1970" s="5">
        <v>20.5</v>
      </c>
      <c r="V1970" s="6">
        <v>2.1</v>
      </c>
      <c r="W1970" s="6">
        <v>16.75</v>
      </c>
      <c r="X1970" s="5">
        <v>16.5</v>
      </c>
      <c r="Y1970" s="5">
        <v>16.5</v>
      </c>
      <c r="Z1970" s="7">
        <v>17.625</v>
      </c>
      <c r="AA1970" s="6">
        <v>119</v>
      </c>
      <c r="AB1970" s="7">
        <v>7.9939999999999998</v>
      </c>
      <c r="AC1970" s="2"/>
    </row>
    <row r="1971" spans="1:29" ht="65" x14ac:dyDescent="0.15">
      <c r="A1971" s="3">
        <f>DATE(1995,6,20)</f>
        <v>34870</v>
      </c>
      <c r="B1971" s="3">
        <f>DATE(1996,1,3)</f>
        <v>35067</v>
      </c>
      <c r="C1971" s="2" t="s">
        <v>95</v>
      </c>
      <c r="D1971" s="2" t="s">
        <v>6394</v>
      </c>
      <c r="E1971" s="2" t="s">
        <v>36</v>
      </c>
      <c r="F1971" s="4">
        <v>6036</v>
      </c>
      <c r="G1971" s="2" t="s">
        <v>33</v>
      </c>
      <c r="H1971" s="2" t="s">
        <v>34</v>
      </c>
      <c r="I1971" s="2" t="s">
        <v>6395</v>
      </c>
      <c r="J1971" s="2" t="s">
        <v>389</v>
      </c>
      <c r="K1971" s="2" t="s">
        <v>33</v>
      </c>
      <c r="L1971" s="2" t="s">
        <v>34</v>
      </c>
      <c r="M1971" s="2"/>
      <c r="N1971" s="2"/>
      <c r="O1971" s="2"/>
      <c r="P1971" s="2" t="s">
        <v>6396</v>
      </c>
      <c r="Q1971" s="6">
        <v>100</v>
      </c>
      <c r="R1971" s="6">
        <v>18</v>
      </c>
      <c r="S1971" s="5">
        <v>10.8</v>
      </c>
      <c r="T1971" s="2"/>
      <c r="U1971" s="5">
        <v>11.1</v>
      </c>
      <c r="V1971" s="7">
        <v>3.1459999999999999</v>
      </c>
      <c r="W1971" s="6">
        <v>13.25</v>
      </c>
      <c r="X1971" s="7">
        <v>13.125</v>
      </c>
      <c r="Y1971" s="5">
        <v>13.5</v>
      </c>
      <c r="Z1971" s="7">
        <v>17.125</v>
      </c>
      <c r="AA1971" s="6">
        <v>3.34</v>
      </c>
      <c r="AB1971" s="7">
        <v>65.525999999999996</v>
      </c>
      <c r="AC1971" s="2"/>
    </row>
    <row r="1972" spans="1:29" ht="117" x14ac:dyDescent="0.15">
      <c r="A1972" s="3">
        <f>DATE(1995,6,20)</f>
        <v>34870</v>
      </c>
      <c r="B1972" s="3">
        <f>DATE(1996,3,8)</f>
        <v>35132</v>
      </c>
      <c r="C1972" s="2" t="s">
        <v>95</v>
      </c>
      <c r="D1972" s="2" t="s">
        <v>5728</v>
      </c>
      <c r="E1972" s="2" t="s">
        <v>5729</v>
      </c>
      <c r="F1972" s="4">
        <v>2841</v>
      </c>
      <c r="G1972" s="2" t="s">
        <v>358</v>
      </c>
      <c r="H1972" s="2" t="s">
        <v>34</v>
      </c>
      <c r="I1972" s="2" t="s">
        <v>51</v>
      </c>
      <c r="J1972" s="2" t="s">
        <v>52</v>
      </c>
      <c r="K1972" s="2" t="s">
        <v>53</v>
      </c>
      <c r="L1972" s="2" t="s">
        <v>34</v>
      </c>
      <c r="M1972" s="2"/>
      <c r="N1972" s="2"/>
      <c r="O1972" s="2"/>
      <c r="P1972" s="2" t="s">
        <v>6397</v>
      </c>
      <c r="Q1972" s="6">
        <v>91.43</v>
      </c>
      <c r="R1972" s="6">
        <v>10.25</v>
      </c>
      <c r="S1972" s="5">
        <v>2.2000000000000002</v>
      </c>
      <c r="T1972" s="7">
        <v>7.4969999999999999</v>
      </c>
      <c r="U1972" s="5">
        <v>12.8</v>
      </c>
      <c r="V1972" s="7">
        <v>0.627</v>
      </c>
      <c r="W1972" s="6">
        <v>8.25</v>
      </c>
      <c r="X1972" s="7">
        <v>9.625</v>
      </c>
      <c r="Y1972" s="4">
        <v>11</v>
      </c>
      <c r="Z1972" s="6">
        <v>10.75</v>
      </c>
      <c r="AA1972" s="6">
        <v>3.6</v>
      </c>
      <c r="AB1972" s="7">
        <v>9.4700000000000006</v>
      </c>
      <c r="AC1972" s="2"/>
    </row>
    <row r="1973" spans="1:29" ht="143" x14ac:dyDescent="0.15">
      <c r="A1973" s="3">
        <f>DATE(1995,6,20)</f>
        <v>34870</v>
      </c>
      <c r="B1973" s="3">
        <f>DATE(1995,11,1)</f>
        <v>35004</v>
      </c>
      <c r="C1973" s="2" t="s">
        <v>95</v>
      </c>
      <c r="D1973" s="2" t="s">
        <v>6398</v>
      </c>
      <c r="E1973" s="2" t="s">
        <v>36</v>
      </c>
      <c r="F1973" s="4">
        <v>6021</v>
      </c>
      <c r="G1973" s="2" t="s">
        <v>37</v>
      </c>
      <c r="H1973" s="2" t="s">
        <v>34</v>
      </c>
      <c r="I1973" s="2" t="s">
        <v>6399</v>
      </c>
      <c r="J1973" s="2" t="s">
        <v>263</v>
      </c>
      <c r="K1973" s="2" t="s">
        <v>33</v>
      </c>
      <c r="L1973" s="2" t="s">
        <v>34</v>
      </c>
      <c r="M1973" s="7">
        <v>131.34800000000001</v>
      </c>
      <c r="N1973" s="7">
        <v>24.125</v>
      </c>
      <c r="O1973" s="6">
        <v>23.75</v>
      </c>
      <c r="P1973" s="2" t="s">
        <v>6400</v>
      </c>
      <c r="Q1973" s="6">
        <v>100</v>
      </c>
      <c r="R1973" s="6">
        <v>22.2</v>
      </c>
      <c r="S1973" s="5">
        <v>2.2000000000000002</v>
      </c>
      <c r="T1973" s="7">
        <v>3.8889999999999998</v>
      </c>
      <c r="U1973" s="5">
        <v>13.4</v>
      </c>
      <c r="V1973" s="7">
        <v>1.6559999999999999</v>
      </c>
      <c r="W1973" s="7">
        <v>17.125</v>
      </c>
      <c r="X1973" s="5">
        <v>17.5</v>
      </c>
      <c r="Y1973" s="5">
        <v>17.5</v>
      </c>
      <c r="Z1973" s="6">
        <v>19.75</v>
      </c>
      <c r="AA1973" s="6">
        <v>1.34</v>
      </c>
      <c r="AB1973" s="7">
        <v>90.32</v>
      </c>
      <c r="AC1973" s="2"/>
    </row>
    <row r="1974" spans="1:29" ht="39" x14ac:dyDescent="0.15">
      <c r="A1974" s="3">
        <f>DATE(1995,6,22)</f>
        <v>34872</v>
      </c>
      <c r="B1974" s="2"/>
      <c r="C1974" s="2" t="s">
        <v>141</v>
      </c>
      <c r="D1974" s="2" t="s">
        <v>6401</v>
      </c>
      <c r="E1974" s="2" t="s">
        <v>6402</v>
      </c>
      <c r="F1974" s="4">
        <v>3944</v>
      </c>
      <c r="G1974" s="2" t="s">
        <v>112</v>
      </c>
      <c r="H1974" s="2" t="s">
        <v>34</v>
      </c>
      <c r="I1974" s="2" t="s">
        <v>143</v>
      </c>
      <c r="J1974" s="2" t="s">
        <v>144</v>
      </c>
      <c r="K1974" s="2" t="s">
        <v>53</v>
      </c>
      <c r="L1974" s="2" t="s">
        <v>139</v>
      </c>
      <c r="M1974" s="2"/>
      <c r="N1974" s="2"/>
      <c r="O1974" s="2"/>
      <c r="P1974" s="2" t="s">
        <v>6403</v>
      </c>
      <c r="Q1974" s="2"/>
      <c r="R1974" s="2"/>
      <c r="S1974" s="2"/>
      <c r="T1974" s="2"/>
      <c r="U1974" s="2"/>
      <c r="V1974" s="2"/>
      <c r="W1974" s="6">
        <v>7.75</v>
      </c>
      <c r="X1974" s="6">
        <v>7.75</v>
      </c>
      <c r="Y1974" s="6">
        <v>8.75</v>
      </c>
      <c r="Z1974" s="4">
        <v>9</v>
      </c>
      <c r="AA1974" s="6">
        <v>10.3</v>
      </c>
      <c r="AB1974" s="2" t="s">
        <v>47</v>
      </c>
      <c r="AC1974" s="2"/>
    </row>
    <row r="1975" spans="1:29" ht="117" x14ac:dyDescent="0.15">
      <c r="A1975" s="3">
        <f>DATE(1995,6,22)</f>
        <v>34872</v>
      </c>
      <c r="B1975" s="3">
        <f>DATE(1995,10,30)</f>
        <v>35002</v>
      </c>
      <c r="C1975" s="2" t="s">
        <v>95</v>
      </c>
      <c r="D1975" s="2" t="s">
        <v>6404</v>
      </c>
      <c r="E1975" s="2" t="s">
        <v>6405</v>
      </c>
      <c r="F1975" s="4">
        <v>7372</v>
      </c>
      <c r="G1975" s="2" t="s">
        <v>551</v>
      </c>
      <c r="H1975" s="2" t="s">
        <v>34</v>
      </c>
      <c r="I1975" s="2" t="s">
        <v>6406</v>
      </c>
      <c r="J1975" s="2" t="s">
        <v>781</v>
      </c>
      <c r="K1975" s="2" t="s">
        <v>551</v>
      </c>
      <c r="L1975" s="2" t="s">
        <v>34</v>
      </c>
      <c r="M1975" s="12">
        <v>3442.0749999999998</v>
      </c>
      <c r="N1975" s="5">
        <v>65.5</v>
      </c>
      <c r="O1975" s="6">
        <v>61.25</v>
      </c>
      <c r="P1975" s="2" t="s">
        <v>6407</v>
      </c>
      <c r="Q1975" s="6">
        <v>100</v>
      </c>
      <c r="R1975" s="6">
        <v>32.950000000000003</v>
      </c>
      <c r="S1975" s="5">
        <v>11.8</v>
      </c>
      <c r="T1975" s="6">
        <v>16.04</v>
      </c>
      <c r="U1975" s="5">
        <v>3.5</v>
      </c>
      <c r="V1975" s="7">
        <v>0.73399999999999999</v>
      </c>
      <c r="W1975" s="6">
        <v>27.75</v>
      </c>
      <c r="X1975" s="6">
        <v>26.25</v>
      </c>
      <c r="Y1975" s="6">
        <v>26.75</v>
      </c>
      <c r="Z1975" s="4">
        <v>30</v>
      </c>
      <c r="AA1975" s="6">
        <v>14.92</v>
      </c>
      <c r="AB1975" s="7">
        <v>47.853000000000002</v>
      </c>
      <c r="AC1975" s="6">
        <v>400.36</v>
      </c>
    </row>
    <row r="1976" spans="1:29" ht="39" x14ac:dyDescent="0.15">
      <c r="A1976" s="3">
        <f>DATE(1995,6,22)</f>
        <v>34872</v>
      </c>
      <c r="B1976" s="2"/>
      <c r="C1976" s="2" t="s">
        <v>189</v>
      </c>
      <c r="D1976" s="2" t="s">
        <v>6408</v>
      </c>
      <c r="E1976" s="2" t="s">
        <v>6409</v>
      </c>
      <c r="F1976" s="4">
        <v>3661</v>
      </c>
      <c r="G1976" s="2" t="s">
        <v>921</v>
      </c>
      <c r="H1976" s="2" t="s">
        <v>34</v>
      </c>
      <c r="I1976" s="2" t="s">
        <v>143</v>
      </c>
      <c r="J1976" s="2" t="s">
        <v>144</v>
      </c>
      <c r="K1976" s="2" t="s">
        <v>53</v>
      </c>
      <c r="L1976" s="2" t="s">
        <v>139</v>
      </c>
      <c r="M1976" s="2"/>
      <c r="N1976" s="2"/>
      <c r="O1976" s="2"/>
      <c r="P1976" s="2" t="s">
        <v>6410</v>
      </c>
      <c r="Q1976" s="2"/>
      <c r="R1976" s="2"/>
      <c r="S1976" s="5">
        <v>-27.9</v>
      </c>
      <c r="T1976" s="7">
        <v>-17.960999999999999</v>
      </c>
      <c r="U1976" s="5">
        <v>9.6999999999999993</v>
      </c>
      <c r="V1976" s="6">
        <v>-5</v>
      </c>
      <c r="W1976" s="6">
        <v>15.25</v>
      </c>
      <c r="X1976" s="7">
        <v>19.125</v>
      </c>
      <c r="Y1976" s="7">
        <v>18.375</v>
      </c>
      <c r="Z1976" s="5">
        <v>17.5</v>
      </c>
      <c r="AA1976" s="2"/>
      <c r="AB1976" s="2" t="s">
        <v>86</v>
      </c>
      <c r="AC1976" s="2"/>
    </row>
    <row r="1977" spans="1:29" ht="143" x14ac:dyDescent="0.15">
      <c r="A1977" s="3">
        <f>DATE(1995,6,22)</f>
        <v>34872</v>
      </c>
      <c r="B1977" s="3">
        <f>DATE(1996,1,25)</f>
        <v>35089</v>
      </c>
      <c r="C1977" s="2" t="s">
        <v>95</v>
      </c>
      <c r="D1977" s="2" t="s">
        <v>6411</v>
      </c>
      <c r="E1977" s="2" t="s">
        <v>4615</v>
      </c>
      <c r="F1977" s="4">
        <v>4841</v>
      </c>
      <c r="G1977" s="2" t="s">
        <v>45</v>
      </c>
      <c r="H1977" s="2" t="s">
        <v>34</v>
      </c>
      <c r="I1977" s="2" t="s">
        <v>1892</v>
      </c>
      <c r="J1977" s="2" t="s">
        <v>6412</v>
      </c>
      <c r="K1977" s="2" t="s">
        <v>45</v>
      </c>
      <c r="L1977" s="2" t="s">
        <v>34</v>
      </c>
      <c r="M1977" s="12">
        <v>16306.868</v>
      </c>
      <c r="N1977" s="7">
        <v>23.625</v>
      </c>
      <c r="O1977" s="5">
        <v>23.5</v>
      </c>
      <c r="P1977" s="2" t="s">
        <v>6413</v>
      </c>
      <c r="Q1977" s="6">
        <v>100</v>
      </c>
      <c r="R1977" s="2"/>
      <c r="S1977" s="5">
        <v>16.3</v>
      </c>
      <c r="T1977" s="7">
        <v>35.493000000000002</v>
      </c>
      <c r="U1977" s="5">
        <v>0.3</v>
      </c>
      <c r="V1977" s="9">
        <v>0.1138</v>
      </c>
      <c r="W1977" s="5">
        <v>30.5</v>
      </c>
      <c r="X1977" s="7">
        <v>32.375</v>
      </c>
      <c r="Y1977" s="6">
        <v>32.75</v>
      </c>
      <c r="Z1977" s="6">
        <v>29.75</v>
      </c>
      <c r="AA1977" s="6">
        <v>17.899999999999999</v>
      </c>
      <c r="AB1977" s="2" t="s">
        <v>47</v>
      </c>
      <c r="AC1977" s="2"/>
    </row>
    <row r="1978" spans="1:29" ht="78" x14ac:dyDescent="0.15">
      <c r="A1978" s="3">
        <f>DATE(1995,6,23)</f>
        <v>34873</v>
      </c>
      <c r="B1978" s="3">
        <f>DATE(1995,12,13)</f>
        <v>35046</v>
      </c>
      <c r="C1978" s="2" t="s">
        <v>95</v>
      </c>
      <c r="D1978" s="2" t="s">
        <v>1410</v>
      </c>
      <c r="E1978" s="2" t="s">
        <v>1181</v>
      </c>
      <c r="F1978" s="4">
        <v>6022</v>
      </c>
      <c r="G1978" s="2" t="s">
        <v>37</v>
      </c>
      <c r="H1978" s="2" t="s">
        <v>34</v>
      </c>
      <c r="I1978" s="2" t="s">
        <v>3047</v>
      </c>
      <c r="J1978" s="2" t="s">
        <v>3048</v>
      </c>
      <c r="K1978" s="2" t="s">
        <v>37</v>
      </c>
      <c r="L1978" s="2" t="s">
        <v>34</v>
      </c>
      <c r="M1978" s="10">
        <v>14919.71</v>
      </c>
      <c r="N1978" s="6">
        <v>56.25</v>
      </c>
      <c r="O1978" s="7">
        <v>55.875</v>
      </c>
      <c r="P1978" s="2" t="s">
        <v>6414</v>
      </c>
      <c r="Q1978" s="6">
        <v>100</v>
      </c>
      <c r="R1978" s="6">
        <v>30</v>
      </c>
      <c r="S1978" s="5">
        <v>12.8</v>
      </c>
      <c r="T1978" s="7">
        <v>23.523</v>
      </c>
      <c r="U1978" s="5">
        <v>13</v>
      </c>
      <c r="V1978" s="6">
        <v>1.82</v>
      </c>
      <c r="W1978" s="4">
        <v>24</v>
      </c>
      <c r="X1978" s="7">
        <v>25.125</v>
      </c>
      <c r="Y1978" s="6">
        <v>27.75</v>
      </c>
      <c r="Z1978" s="7">
        <v>28.312999999999999</v>
      </c>
      <c r="AA1978" s="6">
        <v>6.92</v>
      </c>
      <c r="AB1978" s="7">
        <v>14.99</v>
      </c>
      <c r="AC1978" s="2"/>
    </row>
    <row r="1979" spans="1:29" ht="39" x14ac:dyDescent="0.15">
      <c r="A1979" s="3">
        <f>DATE(1995,6,23)</f>
        <v>34873</v>
      </c>
      <c r="B1979" s="2"/>
      <c r="C1979" s="2" t="s">
        <v>30</v>
      </c>
      <c r="D1979" s="2" t="s">
        <v>6415</v>
      </c>
      <c r="E1979" s="2" t="s">
        <v>2692</v>
      </c>
      <c r="F1979" s="4">
        <v>1521</v>
      </c>
      <c r="G1979" s="2" t="s">
        <v>341</v>
      </c>
      <c r="H1979" s="2" t="s">
        <v>34</v>
      </c>
      <c r="I1979" s="2" t="s">
        <v>6416</v>
      </c>
      <c r="J1979" s="2" t="s">
        <v>6417</v>
      </c>
      <c r="K1979" s="2" t="s">
        <v>250</v>
      </c>
      <c r="L1979" s="2" t="s">
        <v>34</v>
      </c>
      <c r="M1979" s="2"/>
      <c r="N1979" s="2"/>
      <c r="O1979" s="2"/>
      <c r="P1979" s="2" t="s">
        <v>6418</v>
      </c>
      <c r="Q1979" s="2"/>
      <c r="R1979" s="2"/>
      <c r="S1979" s="5">
        <v>8.8000000000000007</v>
      </c>
      <c r="T1979" s="7">
        <v>15.089</v>
      </c>
      <c r="U1979" s="5">
        <v>2.7</v>
      </c>
      <c r="V1979" s="7">
        <v>0.624</v>
      </c>
      <c r="W1979" s="7">
        <v>13.125</v>
      </c>
      <c r="X1979" s="6">
        <v>13.25</v>
      </c>
      <c r="Y1979" s="4">
        <v>13</v>
      </c>
      <c r="Z1979" s="7">
        <v>13.625</v>
      </c>
      <c r="AA1979" s="6">
        <v>7.55</v>
      </c>
      <c r="AB1979" s="2" t="s">
        <v>47</v>
      </c>
      <c r="AC1979" s="2"/>
    </row>
    <row r="1980" spans="1:29" ht="156" x14ac:dyDescent="0.15">
      <c r="A1980" s="3">
        <f>DATE(1995,6,26)</f>
        <v>34876</v>
      </c>
      <c r="B1980" s="3">
        <f>DATE(1995,10,5)</f>
        <v>34977</v>
      </c>
      <c r="C1980" s="2" t="s">
        <v>95</v>
      </c>
      <c r="D1980" s="2" t="s">
        <v>6419</v>
      </c>
      <c r="E1980" s="2" t="s">
        <v>6420</v>
      </c>
      <c r="F1980" s="4">
        <v>7359</v>
      </c>
      <c r="G1980" s="2" t="s">
        <v>223</v>
      </c>
      <c r="H1980" s="2" t="s">
        <v>34</v>
      </c>
      <c r="I1980" s="2" t="s">
        <v>2179</v>
      </c>
      <c r="J1980" s="2" t="s">
        <v>2180</v>
      </c>
      <c r="K1980" s="2" t="s">
        <v>300</v>
      </c>
      <c r="L1980" s="2" t="s">
        <v>34</v>
      </c>
      <c r="M1980" s="10">
        <v>1033.93</v>
      </c>
      <c r="N1980" s="7">
        <v>18.125</v>
      </c>
      <c r="O1980" s="7">
        <v>18.125</v>
      </c>
      <c r="P1980" s="2" t="s">
        <v>6421</v>
      </c>
      <c r="Q1980" s="6">
        <v>100</v>
      </c>
      <c r="R1980" s="6">
        <v>19.440000000000001</v>
      </c>
      <c r="S1980" s="5">
        <v>12.5</v>
      </c>
      <c r="T1980" s="7">
        <v>53.558999999999997</v>
      </c>
      <c r="U1980" s="5">
        <v>16.3</v>
      </c>
      <c r="V1980" s="6">
        <v>0.6</v>
      </c>
      <c r="W1980" s="7">
        <v>19.125</v>
      </c>
      <c r="X1980" s="7">
        <v>20.875</v>
      </c>
      <c r="Y1980" s="5">
        <v>20.5</v>
      </c>
      <c r="Z1980" s="7">
        <v>20.375</v>
      </c>
      <c r="AA1980" s="6">
        <v>27.76</v>
      </c>
      <c r="AB1980" s="7">
        <v>31.838000000000001</v>
      </c>
      <c r="AC1980" s="6">
        <v>3.14</v>
      </c>
    </row>
    <row r="1981" spans="1:29" ht="117" x14ac:dyDescent="0.15">
      <c r="A1981" s="3">
        <f>DATE(1995,6,26)</f>
        <v>34876</v>
      </c>
      <c r="B1981" s="3">
        <f>DATE(1995,10,16)</f>
        <v>34988</v>
      </c>
      <c r="C1981" s="2" t="s">
        <v>95</v>
      </c>
      <c r="D1981" s="2" t="s">
        <v>6422</v>
      </c>
      <c r="E1981" s="2" t="s">
        <v>6423</v>
      </c>
      <c r="F1981" s="4">
        <v>5411</v>
      </c>
      <c r="G1981" s="2" t="s">
        <v>1461</v>
      </c>
      <c r="H1981" s="2" t="s">
        <v>34</v>
      </c>
      <c r="I1981" s="2" t="s">
        <v>6424</v>
      </c>
      <c r="J1981" s="2" t="s">
        <v>2945</v>
      </c>
      <c r="K1981" s="2" t="s">
        <v>593</v>
      </c>
      <c r="L1981" s="2" t="s">
        <v>34</v>
      </c>
      <c r="M1981" s="7">
        <v>485.005</v>
      </c>
      <c r="N1981" s="7">
        <v>21.625</v>
      </c>
      <c r="O1981" s="5">
        <v>21.5</v>
      </c>
      <c r="P1981" s="2" t="s">
        <v>6425</v>
      </c>
      <c r="Q1981" s="6">
        <v>100</v>
      </c>
      <c r="R1981" s="6">
        <v>23.46</v>
      </c>
      <c r="S1981" s="5">
        <v>20.8</v>
      </c>
      <c r="T1981" s="7">
        <v>62.343000000000004</v>
      </c>
      <c r="U1981" s="5">
        <v>4.9000000000000004</v>
      </c>
      <c r="V1981" s="7">
        <v>2.1539999999999999</v>
      </c>
      <c r="W1981" s="5">
        <v>18.5</v>
      </c>
      <c r="X1981" s="5">
        <v>18.5</v>
      </c>
      <c r="Y1981" s="6">
        <v>20.75</v>
      </c>
      <c r="Z1981" s="4">
        <v>21</v>
      </c>
      <c r="AA1981" s="6">
        <v>9.57</v>
      </c>
      <c r="AB1981" s="7">
        <v>6.6040000000000001</v>
      </c>
      <c r="AC1981" s="6">
        <v>9.68</v>
      </c>
    </row>
    <row r="1982" spans="1:29" ht="39" x14ac:dyDescent="0.15">
      <c r="A1982" s="3">
        <f>DATE(1995,6,27)</f>
        <v>34877</v>
      </c>
      <c r="B1982" s="3">
        <f>DATE(1997,6,27)</f>
        <v>35608</v>
      </c>
      <c r="C1982" s="2" t="s">
        <v>95</v>
      </c>
      <c r="D1982" s="2" t="s">
        <v>6426</v>
      </c>
      <c r="E1982" s="2" t="s">
        <v>3322</v>
      </c>
      <c r="F1982" s="4">
        <v>8711</v>
      </c>
      <c r="G1982" s="2" t="s">
        <v>223</v>
      </c>
      <c r="H1982" s="2" t="s">
        <v>34</v>
      </c>
      <c r="I1982" s="2" t="s">
        <v>6427</v>
      </c>
      <c r="J1982" s="2" t="s">
        <v>6428</v>
      </c>
      <c r="K1982" s="2" t="s">
        <v>116</v>
      </c>
      <c r="L1982" s="2" t="s">
        <v>34</v>
      </c>
      <c r="M1982" s="2"/>
      <c r="N1982" s="2"/>
      <c r="O1982" s="2"/>
      <c r="P1982" s="2" t="s">
        <v>6429</v>
      </c>
      <c r="Q1982" s="6">
        <v>50</v>
      </c>
      <c r="R1982" s="2"/>
      <c r="S1982" s="2"/>
      <c r="T1982" s="2"/>
      <c r="U1982" s="2"/>
      <c r="V1982" s="2"/>
      <c r="W1982" s="4">
        <v>1</v>
      </c>
      <c r="X1982" s="4">
        <v>1</v>
      </c>
      <c r="Y1982" s="4">
        <v>1</v>
      </c>
      <c r="Z1982" s="7">
        <v>1.0629999999999999</v>
      </c>
      <c r="AA1982" s="6">
        <v>6.36</v>
      </c>
      <c r="AB1982" s="2" t="s">
        <v>47</v>
      </c>
      <c r="AC1982" s="2"/>
    </row>
    <row r="1983" spans="1:29" ht="104" x14ac:dyDescent="0.15">
      <c r="A1983" s="3">
        <f>DATE(1995,6,30)</f>
        <v>34880</v>
      </c>
      <c r="B1983" s="3">
        <f>DATE(1996,1,15)</f>
        <v>35079</v>
      </c>
      <c r="C1983" s="2" t="s">
        <v>95</v>
      </c>
      <c r="D1983" s="2" t="s">
        <v>6430</v>
      </c>
      <c r="E1983" s="2" t="s">
        <v>826</v>
      </c>
      <c r="F1983" s="4">
        <v>6021</v>
      </c>
      <c r="G1983" s="2" t="s">
        <v>37</v>
      </c>
      <c r="H1983" s="2" t="s">
        <v>34</v>
      </c>
      <c r="I1983" s="2" t="s">
        <v>6431</v>
      </c>
      <c r="J1983" s="2" t="s">
        <v>389</v>
      </c>
      <c r="K1983" s="2" t="s">
        <v>37</v>
      </c>
      <c r="L1983" s="2" t="s">
        <v>34</v>
      </c>
      <c r="M1983" s="2"/>
      <c r="N1983" s="2"/>
      <c r="O1983" s="2"/>
      <c r="P1983" s="2" t="s">
        <v>6432</v>
      </c>
      <c r="Q1983" s="6">
        <v>100</v>
      </c>
      <c r="R1983" s="6">
        <v>5.5</v>
      </c>
      <c r="S1983" s="5">
        <v>-0.7</v>
      </c>
      <c r="T1983" s="2"/>
      <c r="U1983" s="5">
        <v>-1.8</v>
      </c>
      <c r="V1983" s="6">
        <v>-0.51</v>
      </c>
      <c r="W1983" s="7">
        <v>4.375</v>
      </c>
      <c r="X1983" s="4">
        <v>5</v>
      </c>
      <c r="Y1983" s="6">
        <v>4.75</v>
      </c>
      <c r="Z1983" s="6">
        <v>4.75</v>
      </c>
      <c r="AA1983" s="6">
        <v>1.46</v>
      </c>
      <c r="AB1983" s="2" t="s">
        <v>47</v>
      </c>
      <c r="AC1983" s="2"/>
    </row>
    <row r="1984" spans="1:29" ht="156" x14ac:dyDescent="0.15">
      <c r="A1984" s="3">
        <f>DATE(1995,6,30)</f>
        <v>34880</v>
      </c>
      <c r="B1984" s="2"/>
      <c r="C1984" s="2" t="s">
        <v>30</v>
      </c>
      <c r="D1984" s="2" t="s">
        <v>528</v>
      </c>
      <c r="E1984" s="2" t="s">
        <v>529</v>
      </c>
      <c r="F1984" s="4">
        <v>4833</v>
      </c>
      <c r="G1984" s="2" t="s">
        <v>45</v>
      </c>
      <c r="H1984" s="2" t="s">
        <v>34</v>
      </c>
      <c r="I1984" s="2" t="s">
        <v>6433</v>
      </c>
      <c r="J1984" s="2" t="s">
        <v>2862</v>
      </c>
      <c r="K1984" s="2" t="s">
        <v>45</v>
      </c>
      <c r="L1984" s="2" t="s">
        <v>34</v>
      </c>
      <c r="M1984" s="7">
        <v>680.03399999999999</v>
      </c>
      <c r="N1984" s="5">
        <v>33.5</v>
      </c>
      <c r="O1984" s="4">
        <v>34</v>
      </c>
      <c r="P1984" s="2" t="s">
        <v>6434</v>
      </c>
      <c r="Q1984" s="2"/>
      <c r="R1984" s="6">
        <v>42.25</v>
      </c>
      <c r="S1984" s="5">
        <v>10.6</v>
      </c>
      <c r="T1984" s="6">
        <v>25.74</v>
      </c>
      <c r="U1984" s="5">
        <v>2.6</v>
      </c>
      <c r="V1984" s="6">
        <v>1.62</v>
      </c>
      <c r="W1984" s="6">
        <v>26.75</v>
      </c>
      <c r="X1984" s="6">
        <v>26.25</v>
      </c>
      <c r="Y1984" s="7">
        <v>26.687999999999999</v>
      </c>
      <c r="Z1984" s="7">
        <v>28.062999999999999</v>
      </c>
      <c r="AA1984" s="6">
        <v>6.58</v>
      </c>
      <c r="AB1984" s="7">
        <v>17.536999999999999</v>
      </c>
      <c r="AC1984" s="2"/>
    </row>
    <row r="1985" spans="1:29" ht="117" x14ac:dyDescent="0.15">
      <c r="A1985" s="3">
        <f>DATE(1995,7,4)</f>
        <v>34884</v>
      </c>
      <c r="B1985" s="3">
        <f>DATE(1995,9,18)</f>
        <v>34960</v>
      </c>
      <c r="C1985" s="2" t="s">
        <v>95</v>
      </c>
      <c r="D1985" s="2" t="s">
        <v>6435</v>
      </c>
      <c r="E1985" s="2" t="s">
        <v>1181</v>
      </c>
      <c r="F1985" s="4">
        <v>6021</v>
      </c>
      <c r="G1985" s="2" t="s">
        <v>37</v>
      </c>
      <c r="H1985" s="2" t="s">
        <v>34</v>
      </c>
      <c r="I1985" s="2" t="s">
        <v>6436</v>
      </c>
      <c r="J1985" s="2" t="s">
        <v>263</v>
      </c>
      <c r="K1985" s="2" t="s">
        <v>33</v>
      </c>
      <c r="L1985" s="2" t="s">
        <v>34</v>
      </c>
      <c r="M1985" s="6">
        <v>1.51</v>
      </c>
      <c r="N1985" s="7">
        <v>1.375</v>
      </c>
      <c r="O1985" s="7">
        <v>1.875</v>
      </c>
      <c r="P1985" s="2" t="s">
        <v>6437</v>
      </c>
      <c r="Q1985" s="6">
        <v>100</v>
      </c>
      <c r="R1985" s="2"/>
      <c r="S1985" s="5">
        <v>-0.4</v>
      </c>
      <c r="T1985" s="7">
        <v>-0.36599999999999999</v>
      </c>
      <c r="U1985" s="5">
        <v>20</v>
      </c>
      <c r="V1985" s="6">
        <v>0.42</v>
      </c>
      <c r="W1985" s="6">
        <v>13.75</v>
      </c>
      <c r="X1985" s="7">
        <v>13.375</v>
      </c>
      <c r="Y1985" s="7">
        <v>13.375</v>
      </c>
      <c r="Z1985" s="7">
        <v>13.375</v>
      </c>
      <c r="AA1985" s="6">
        <v>3.3</v>
      </c>
      <c r="AB1985" s="2" t="s">
        <v>86</v>
      </c>
      <c r="AC1985" s="2"/>
    </row>
    <row r="1986" spans="1:29" ht="91" x14ac:dyDescent="0.15">
      <c r="A1986" s="3">
        <f>DATE(1995,7,4)</f>
        <v>34884</v>
      </c>
      <c r="B1986" s="3">
        <f>DATE(1996,4,1)</f>
        <v>35156</v>
      </c>
      <c r="C1986" s="2" t="s">
        <v>95</v>
      </c>
      <c r="D1986" s="2" t="s">
        <v>6350</v>
      </c>
      <c r="E1986" s="2" t="s">
        <v>1032</v>
      </c>
      <c r="F1986" s="4">
        <v>6799</v>
      </c>
      <c r="G1986" s="2" t="s">
        <v>53</v>
      </c>
      <c r="H1986" s="2" t="s">
        <v>34</v>
      </c>
      <c r="I1986" s="2" t="s">
        <v>6438</v>
      </c>
      <c r="J1986" s="2" t="s">
        <v>6439</v>
      </c>
      <c r="K1986" s="2" t="s">
        <v>708</v>
      </c>
      <c r="L1986" s="2" t="s">
        <v>34</v>
      </c>
      <c r="M1986" s="7">
        <v>101.639</v>
      </c>
      <c r="N1986" s="4">
        <v>8</v>
      </c>
      <c r="O1986" s="7">
        <v>8.375</v>
      </c>
      <c r="P1986" s="2" t="s">
        <v>6440</v>
      </c>
      <c r="Q1986" s="6">
        <v>43.09</v>
      </c>
      <c r="R1986" s="6">
        <v>33.97</v>
      </c>
      <c r="S1986" s="5">
        <v>-1.2</v>
      </c>
      <c r="T1986" s="7">
        <v>2.9180000000000001</v>
      </c>
      <c r="U1986" s="5">
        <v>21.5</v>
      </c>
      <c r="V1986" s="7">
        <v>-0.56299999999999994</v>
      </c>
      <c r="W1986" s="4">
        <v>27</v>
      </c>
      <c r="X1986" s="4">
        <v>27</v>
      </c>
      <c r="Y1986" s="6">
        <v>29.25</v>
      </c>
      <c r="Z1986" s="6">
        <v>29.25</v>
      </c>
      <c r="AA1986" s="6">
        <v>1.92</v>
      </c>
      <c r="AB1986" s="7">
        <v>57.555</v>
      </c>
      <c r="AC1986" s="5">
        <v>19.2</v>
      </c>
    </row>
    <row r="1987" spans="1:29" ht="65" x14ac:dyDescent="0.15">
      <c r="A1987" s="3">
        <f>DATE(1995,7,5)</f>
        <v>34885</v>
      </c>
      <c r="B1987" s="3">
        <f>DATE(1996,1,10)</f>
        <v>35074</v>
      </c>
      <c r="C1987" s="2" t="s">
        <v>95</v>
      </c>
      <c r="D1987" s="2" t="s">
        <v>6441</v>
      </c>
      <c r="E1987" s="2" t="s">
        <v>36</v>
      </c>
      <c r="F1987" s="4">
        <v>6035</v>
      </c>
      <c r="G1987" s="2" t="s">
        <v>33</v>
      </c>
      <c r="H1987" s="2" t="s">
        <v>34</v>
      </c>
      <c r="I1987" s="2" t="s">
        <v>3047</v>
      </c>
      <c r="J1987" s="2" t="s">
        <v>3048</v>
      </c>
      <c r="K1987" s="2" t="s">
        <v>37</v>
      </c>
      <c r="L1987" s="2" t="s">
        <v>34</v>
      </c>
      <c r="M1987" s="12">
        <v>15388.995999999999</v>
      </c>
      <c r="N1987" s="5">
        <v>54.5</v>
      </c>
      <c r="O1987" s="7">
        <v>55.375</v>
      </c>
      <c r="P1987" s="2" t="s">
        <v>6442</v>
      </c>
      <c r="Q1987" s="6">
        <v>100</v>
      </c>
      <c r="R1987" s="6">
        <v>39.5</v>
      </c>
      <c r="S1987" s="5">
        <v>48.2</v>
      </c>
      <c r="T1987" s="7">
        <v>63.927</v>
      </c>
      <c r="U1987" s="5">
        <v>30.9</v>
      </c>
      <c r="V1987" s="6">
        <v>4.07</v>
      </c>
      <c r="W1987" s="4">
        <v>33</v>
      </c>
      <c r="X1987" s="7">
        <v>31.125</v>
      </c>
      <c r="Y1987" s="7">
        <v>37.625</v>
      </c>
      <c r="Z1987" s="6">
        <v>37.75</v>
      </c>
      <c r="AA1987" s="6">
        <v>9.09</v>
      </c>
      <c r="AB1987" s="7">
        <v>53.353000000000002</v>
      </c>
      <c r="AC1987" s="2"/>
    </row>
    <row r="1988" spans="1:29" ht="156" x14ac:dyDescent="0.15">
      <c r="A1988" s="3">
        <f>DATE(1995,7,5)</f>
        <v>34885</v>
      </c>
      <c r="B1988" s="3">
        <f>DATE(1996,3,11)</f>
        <v>35135</v>
      </c>
      <c r="C1988" s="2" t="s">
        <v>95</v>
      </c>
      <c r="D1988" s="2" t="s">
        <v>6443</v>
      </c>
      <c r="E1988" s="2" t="s">
        <v>36</v>
      </c>
      <c r="F1988" s="4">
        <v>6022</v>
      </c>
      <c r="G1988" s="2" t="s">
        <v>37</v>
      </c>
      <c r="H1988" s="2" t="s">
        <v>34</v>
      </c>
      <c r="I1988" s="2" t="s">
        <v>6267</v>
      </c>
      <c r="J1988" s="2" t="s">
        <v>36</v>
      </c>
      <c r="K1988" s="2" t="s">
        <v>37</v>
      </c>
      <c r="L1988" s="2" t="s">
        <v>34</v>
      </c>
      <c r="M1988" s="7">
        <v>907.77599999999995</v>
      </c>
      <c r="N1988" s="7">
        <v>35.938000000000002</v>
      </c>
      <c r="O1988" s="7">
        <v>36.125</v>
      </c>
      <c r="P1988" s="2" t="s">
        <v>6444</v>
      </c>
      <c r="Q1988" s="6">
        <v>99.81</v>
      </c>
      <c r="R1988" s="6">
        <v>26.94</v>
      </c>
      <c r="S1988" s="5">
        <v>2</v>
      </c>
      <c r="T1988" s="7">
        <v>4.2320000000000002</v>
      </c>
      <c r="U1988" s="5">
        <v>9.5</v>
      </c>
      <c r="V1988" s="6">
        <v>0.86</v>
      </c>
      <c r="W1988" s="4">
        <v>12</v>
      </c>
      <c r="X1988" s="7">
        <v>14.375</v>
      </c>
      <c r="Y1988" s="7">
        <v>14.375</v>
      </c>
      <c r="Z1988" s="6">
        <v>24.75</v>
      </c>
      <c r="AA1988" s="6">
        <v>1.24</v>
      </c>
      <c r="AB1988" s="7">
        <v>93.299000000000007</v>
      </c>
      <c r="AC1988" s="2"/>
    </row>
    <row r="1989" spans="1:29" ht="78" x14ac:dyDescent="0.15">
      <c r="A1989" s="3">
        <f>DATE(1995,7,6)</f>
        <v>34886</v>
      </c>
      <c r="B1989" s="3">
        <f>DATE(1995,8,4)</f>
        <v>34915</v>
      </c>
      <c r="C1989" s="2" t="s">
        <v>95</v>
      </c>
      <c r="D1989" s="2" t="s">
        <v>6445</v>
      </c>
      <c r="E1989" s="2" t="s">
        <v>6446</v>
      </c>
      <c r="F1989" s="4">
        <v>7381</v>
      </c>
      <c r="G1989" s="2" t="s">
        <v>223</v>
      </c>
      <c r="H1989" s="2" t="s">
        <v>34</v>
      </c>
      <c r="I1989" s="2" t="s">
        <v>6447</v>
      </c>
      <c r="J1989" s="2" t="s">
        <v>80</v>
      </c>
      <c r="K1989" s="2" t="s">
        <v>53</v>
      </c>
      <c r="L1989" s="2" t="s">
        <v>34</v>
      </c>
      <c r="M1989" s="2"/>
      <c r="N1989" s="2"/>
      <c r="O1989" s="2"/>
      <c r="P1989" s="2" t="s">
        <v>6448</v>
      </c>
      <c r="Q1989" s="6">
        <v>100</v>
      </c>
      <c r="R1989" s="6">
        <v>6.33</v>
      </c>
      <c r="S1989" s="5">
        <v>3.9</v>
      </c>
      <c r="T1989" s="7">
        <v>9.1579999999999995</v>
      </c>
      <c r="U1989" s="5">
        <v>2.2999999999999998</v>
      </c>
      <c r="V1989" s="7">
        <v>0.50800000000000001</v>
      </c>
      <c r="W1989" s="7">
        <v>5.625</v>
      </c>
      <c r="X1989" s="7">
        <v>5.625</v>
      </c>
      <c r="Y1989" s="4">
        <v>6</v>
      </c>
      <c r="Z1989" s="4">
        <v>6</v>
      </c>
      <c r="AA1989" s="6">
        <v>7.64</v>
      </c>
      <c r="AB1989" s="7">
        <v>8.032</v>
      </c>
      <c r="AC1989" s="2"/>
    </row>
    <row r="1990" spans="1:29" ht="130" x14ac:dyDescent="0.15">
      <c r="A1990" s="3">
        <f>DATE(1995,7,6)</f>
        <v>34886</v>
      </c>
      <c r="B1990" s="3">
        <f>DATE(1995,11,30)</f>
        <v>35033</v>
      </c>
      <c r="C1990" s="2" t="s">
        <v>95</v>
      </c>
      <c r="D1990" s="2" t="s">
        <v>6449</v>
      </c>
      <c r="E1990" s="2" t="s">
        <v>6450</v>
      </c>
      <c r="F1990" s="4">
        <v>7999</v>
      </c>
      <c r="G1990" s="2" t="s">
        <v>364</v>
      </c>
      <c r="H1990" s="2" t="s">
        <v>34</v>
      </c>
      <c r="I1990" s="2" t="s">
        <v>6451</v>
      </c>
      <c r="J1990" s="2" t="s">
        <v>5735</v>
      </c>
      <c r="K1990" s="2" t="s">
        <v>269</v>
      </c>
      <c r="L1990" s="2" t="s">
        <v>34</v>
      </c>
      <c r="M1990" s="7">
        <v>205.56299999999999</v>
      </c>
      <c r="N1990" s="5">
        <v>37.5</v>
      </c>
      <c r="O1990" s="7">
        <v>35.375</v>
      </c>
      <c r="P1990" s="2" t="s">
        <v>6452</v>
      </c>
      <c r="Q1990" s="6">
        <v>100</v>
      </c>
      <c r="R1990" s="6">
        <v>7.2</v>
      </c>
      <c r="S1990" s="5">
        <v>10.3</v>
      </c>
      <c r="T1990" s="7">
        <v>29.875</v>
      </c>
      <c r="U1990" s="5">
        <v>3.2</v>
      </c>
      <c r="V1990" s="6">
        <v>0.56000000000000005</v>
      </c>
      <c r="W1990" s="7">
        <v>4.375</v>
      </c>
      <c r="X1990" s="7">
        <v>4.125</v>
      </c>
      <c r="Y1990" s="7">
        <v>4.125</v>
      </c>
      <c r="Z1990" s="4">
        <v>6</v>
      </c>
      <c r="AA1990" s="6">
        <v>19.329999999999998</v>
      </c>
      <c r="AB1990" s="7">
        <v>4.4059999999999997</v>
      </c>
      <c r="AC1990" s="5">
        <v>29.8</v>
      </c>
    </row>
    <row r="1991" spans="1:29" ht="39" x14ac:dyDescent="0.15">
      <c r="A1991" s="3">
        <f>DATE(1995,7,6)</f>
        <v>34886</v>
      </c>
      <c r="B1991" s="2"/>
      <c r="C1991" s="2" t="s">
        <v>141</v>
      </c>
      <c r="D1991" s="2" t="s">
        <v>6453</v>
      </c>
      <c r="E1991" s="2" t="s">
        <v>6454</v>
      </c>
      <c r="F1991" s="4">
        <v>2771</v>
      </c>
      <c r="G1991" s="2" t="s">
        <v>186</v>
      </c>
      <c r="H1991" s="2" t="s">
        <v>34</v>
      </c>
      <c r="I1991" s="2" t="s">
        <v>143</v>
      </c>
      <c r="J1991" s="2" t="s">
        <v>144</v>
      </c>
      <c r="K1991" s="2" t="s">
        <v>53</v>
      </c>
      <c r="L1991" s="2" t="s">
        <v>139</v>
      </c>
      <c r="M1991" s="2"/>
      <c r="N1991" s="2"/>
      <c r="O1991" s="2"/>
      <c r="P1991" s="2" t="s">
        <v>6455</v>
      </c>
      <c r="Q1991" s="2"/>
      <c r="R1991" s="2"/>
      <c r="S1991" s="2"/>
      <c r="T1991" s="2"/>
      <c r="U1991" s="2"/>
      <c r="V1991" s="2"/>
      <c r="W1991" s="5">
        <v>13.5</v>
      </c>
      <c r="X1991" s="5">
        <v>12.5</v>
      </c>
      <c r="Y1991" s="5">
        <v>14.5</v>
      </c>
      <c r="Z1991" s="7">
        <v>14.625</v>
      </c>
      <c r="AA1991" s="2"/>
      <c r="AB1991" s="2" t="s">
        <v>47</v>
      </c>
      <c r="AC1991" s="2"/>
    </row>
    <row r="1992" spans="1:29" ht="156" x14ac:dyDescent="0.15">
      <c r="A1992" s="3">
        <f>DATE(1995,7,6)</f>
        <v>34886</v>
      </c>
      <c r="B1992" s="3">
        <f>DATE(1995,11,30)</f>
        <v>35033</v>
      </c>
      <c r="C1992" s="2" t="s">
        <v>95</v>
      </c>
      <c r="D1992" s="2" t="s">
        <v>6456</v>
      </c>
      <c r="E1992" s="2" t="s">
        <v>6457</v>
      </c>
      <c r="F1992" s="4">
        <v>7999</v>
      </c>
      <c r="G1992" s="2" t="s">
        <v>364</v>
      </c>
      <c r="H1992" s="2" t="s">
        <v>34</v>
      </c>
      <c r="I1992" s="2" t="s">
        <v>6451</v>
      </c>
      <c r="J1992" s="2" t="s">
        <v>5735</v>
      </c>
      <c r="K1992" s="2" t="s">
        <v>269</v>
      </c>
      <c r="L1992" s="2" t="s">
        <v>34</v>
      </c>
      <c r="M1992" s="2"/>
      <c r="N1992" s="5">
        <v>37.5</v>
      </c>
      <c r="O1992" s="7">
        <v>35.375</v>
      </c>
      <c r="P1992" s="2" t="s">
        <v>6458</v>
      </c>
      <c r="Q1992" s="6">
        <v>22.2</v>
      </c>
      <c r="R1992" s="6">
        <v>5.0599999999999996</v>
      </c>
      <c r="S1992" s="5">
        <v>-1.9</v>
      </c>
      <c r="T1992" s="2"/>
      <c r="U1992" s="5">
        <v>1.6</v>
      </c>
      <c r="V1992" s="6">
        <v>-0.06</v>
      </c>
      <c r="W1992" s="6">
        <v>3.75</v>
      </c>
      <c r="X1992" s="6">
        <v>3.75</v>
      </c>
      <c r="Y1992" s="7">
        <v>3.8130000000000002</v>
      </c>
      <c r="Z1992" s="6">
        <v>4.25</v>
      </c>
      <c r="AA1992" s="6">
        <v>32.479999999999997</v>
      </c>
      <c r="AB1992" s="2" t="s">
        <v>47</v>
      </c>
      <c r="AC1992" s="5">
        <v>29.8</v>
      </c>
    </row>
    <row r="1993" spans="1:29" ht="156" x14ac:dyDescent="0.15">
      <c r="A1993" s="3">
        <f>DATE(1995,7,6)</f>
        <v>34886</v>
      </c>
      <c r="B1993" s="2"/>
      <c r="C1993" s="2" t="s">
        <v>30</v>
      </c>
      <c r="D1993" s="2" t="s">
        <v>6459</v>
      </c>
      <c r="E1993" s="2" t="s">
        <v>612</v>
      </c>
      <c r="F1993" s="4">
        <v>1311</v>
      </c>
      <c r="G1993" s="2" t="s">
        <v>148</v>
      </c>
      <c r="H1993" s="2" t="s">
        <v>34</v>
      </c>
      <c r="I1993" s="2" t="s">
        <v>5558</v>
      </c>
      <c r="J1993" s="2" t="s">
        <v>612</v>
      </c>
      <c r="K1993" s="2" t="s">
        <v>148</v>
      </c>
      <c r="L1993" s="2" t="s">
        <v>34</v>
      </c>
      <c r="M1993" s="2"/>
      <c r="N1993" s="4">
        <v>3</v>
      </c>
      <c r="O1993" s="7">
        <v>3.0630000000000002</v>
      </c>
      <c r="P1993" s="2" t="s">
        <v>6460</v>
      </c>
      <c r="Q1993" s="2"/>
      <c r="R1993" s="6">
        <v>6.13</v>
      </c>
      <c r="S1993" s="5">
        <v>2.9</v>
      </c>
      <c r="T1993" s="7">
        <v>10.542999999999999</v>
      </c>
      <c r="U1993" s="5">
        <v>2.1</v>
      </c>
      <c r="V1993" s="6">
        <v>0.28999999999999998</v>
      </c>
      <c r="W1993" s="7">
        <v>4.125</v>
      </c>
      <c r="X1993" s="7">
        <v>4.625</v>
      </c>
      <c r="Y1993" s="5">
        <v>4.5</v>
      </c>
      <c r="Z1993" s="7">
        <v>4.625</v>
      </c>
      <c r="AA1993" s="6">
        <v>10.86</v>
      </c>
      <c r="AB1993" s="7">
        <v>19.475000000000001</v>
      </c>
      <c r="AC1993" s="6">
        <v>3.78</v>
      </c>
    </row>
    <row r="1994" spans="1:29" ht="39" x14ac:dyDescent="0.15">
      <c r="A1994" s="3">
        <f t="shared" ref="A1994:A1999" si="9">DATE(1995,7,10)</f>
        <v>34890</v>
      </c>
      <c r="B1994" s="2"/>
      <c r="C1994" s="2" t="s">
        <v>189</v>
      </c>
      <c r="D1994" s="2" t="s">
        <v>6461</v>
      </c>
      <c r="E1994" s="2" t="s">
        <v>6462</v>
      </c>
      <c r="F1994" s="4">
        <v>3663</v>
      </c>
      <c r="G1994" s="2" t="s">
        <v>921</v>
      </c>
      <c r="H1994" s="2" t="s">
        <v>34</v>
      </c>
      <c r="I1994" s="2" t="s">
        <v>143</v>
      </c>
      <c r="J1994" s="2" t="s">
        <v>144</v>
      </c>
      <c r="K1994" s="2" t="s">
        <v>53</v>
      </c>
      <c r="L1994" s="2" t="s">
        <v>139</v>
      </c>
      <c r="M1994" s="2"/>
      <c r="N1994" s="2"/>
      <c r="O1994" s="2"/>
      <c r="P1994" s="2" t="s">
        <v>6463</v>
      </c>
      <c r="Q1994" s="2"/>
      <c r="R1994" s="2"/>
      <c r="S1994" s="2"/>
      <c r="T1994" s="2"/>
      <c r="U1994" s="2"/>
      <c r="V1994" s="2"/>
      <c r="W1994" s="7">
        <v>14.375</v>
      </c>
      <c r="X1994" s="4">
        <v>15</v>
      </c>
      <c r="Y1994" s="6">
        <v>17.75</v>
      </c>
      <c r="Z1994" s="7">
        <v>17.125</v>
      </c>
      <c r="AA1994" s="2"/>
      <c r="AB1994" s="2" t="s">
        <v>47</v>
      </c>
      <c r="AC1994" s="2"/>
    </row>
    <row r="1995" spans="1:29" ht="117" x14ac:dyDescent="0.15">
      <c r="A1995" s="3">
        <f t="shared" si="9"/>
        <v>34890</v>
      </c>
      <c r="B1995" s="3">
        <f>DATE(1995,8,11)</f>
        <v>34922</v>
      </c>
      <c r="C1995" s="2" t="s">
        <v>95</v>
      </c>
      <c r="D1995" s="2" t="s">
        <v>6464</v>
      </c>
      <c r="E1995" s="2" t="s">
        <v>6465</v>
      </c>
      <c r="F1995" s="4">
        <v>2836</v>
      </c>
      <c r="G1995" s="2" t="s">
        <v>130</v>
      </c>
      <c r="H1995" s="2" t="s">
        <v>34</v>
      </c>
      <c r="I1995" s="2" t="s">
        <v>2536</v>
      </c>
      <c r="J1995" s="2" t="s">
        <v>2537</v>
      </c>
      <c r="K1995" s="2" t="s">
        <v>98</v>
      </c>
      <c r="L1995" s="2" t="s">
        <v>215</v>
      </c>
      <c r="M1995" s="2"/>
      <c r="N1995" s="2"/>
      <c r="O1995" s="2"/>
      <c r="P1995" s="2" t="s">
        <v>6466</v>
      </c>
      <c r="Q1995" s="6">
        <v>96.4</v>
      </c>
      <c r="R1995" s="6">
        <v>21</v>
      </c>
      <c r="S1995" s="5">
        <v>-12</v>
      </c>
      <c r="T1995" s="2"/>
      <c r="U1995" s="5">
        <v>4.7</v>
      </c>
      <c r="V1995" s="7">
        <v>-0.91300000000000003</v>
      </c>
      <c r="W1995" s="7">
        <v>15.125</v>
      </c>
      <c r="X1995" s="6">
        <v>15.25</v>
      </c>
      <c r="Y1995" s="7">
        <v>20.875</v>
      </c>
      <c r="Z1995" s="6">
        <v>20.75</v>
      </c>
      <c r="AA1995" s="6">
        <v>13.06</v>
      </c>
      <c r="AB1995" s="2" t="s">
        <v>47</v>
      </c>
      <c r="AC1995" s="2"/>
    </row>
    <row r="1996" spans="1:29" ht="156" x14ac:dyDescent="0.15">
      <c r="A1996" s="3">
        <f t="shared" si="9"/>
        <v>34890</v>
      </c>
      <c r="B1996" s="3">
        <f>DATE(1995,9,5)</f>
        <v>34947</v>
      </c>
      <c r="C1996" s="2" t="s">
        <v>95</v>
      </c>
      <c r="D1996" s="2" t="s">
        <v>6467</v>
      </c>
      <c r="E1996" s="2" t="s">
        <v>6468</v>
      </c>
      <c r="F1996" s="4">
        <v>3644</v>
      </c>
      <c r="G1996" s="2" t="s">
        <v>137</v>
      </c>
      <c r="H1996" s="2" t="s">
        <v>34</v>
      </c>
      <c r="I1996" s="2" t="s">
        <v>315</v>
      </c>
      <c r="J1996" s="2" t="s">
        <v>316</v>
      </c>
      <c r="K1996" s="2" t="s">
        <v>226</v>
      </c>
      <c r="L1996" s="2" t="s">
        <v>34</v>
      </c>
      <c r="M1996" s="12">
        <v>1856.626</v>
      </c>
      <c r="N1996" s="6">
        <v>31.25</v>
      </c>
      <c r="O1996" s="5">
        <v>31.5</v>
      </c>
      <c r="P1996" s="2" t="s">
        <v>6469</v>
      </c>
      <c r="Q1996" s="6">
        <v>91.83</v>
      </c>
      <c r="R1996" s="6">
        <v>34</v>
      </c>
      <c r="S1996" s="5">
        <v>-11.2</v>
      </c>
      <c r="T1996" s="7">
        <v>25.295999999999999</v>
      </c>
      <c r="U1996" s="5">
        <v>11.3</v>
      </c>
      <c r="V1996" s="6">
        <v>-1.57</v>
      </c>
      <c r="W1996" s="6">
        <v>25.25</v>
      </c>
      <c r="X1996" s="6">
        <v>24.75</v>
      </c>
      <c r="Y1996" s="6">
        <v>34.25</v>
      </c>
      <c r="Z1996" s="6">
        <v>34.75</v>
      </c>
      <c r="AA1996" s="6">
        <v>7.16</v>
      </c>
      <c r="AB1996" s="7">
        <v>10.433</v>
      </c>
      <c r="AC1996" s="6">
        <v>1.98</v>
      </c>
    </row>
    <row r="1997" spans="1:29" ht="156" x14ac:dyDescent="0.15">
      <c r="A1997" s="3">
        <f t="shared" si="9"/>
        <v>34890</v>
      </c>
      <c r="B1997" s="3">
        <f>DATE(1996,1,2)</f>
        <v>35066</v>
      </c>
      <c r="C1997" s="2" t="s">
        <v>95</v>
      </c>
      <c r="D1997" s="2" t="s">
        <v>5659</v>
      </c>
      <c r="E1997" s="2" t="s">
        <v>36</v>
      </c>
      <c r="F1997" s="4">
        <v>6021</v>
      </c>
      <c r="G1997" s="2" t="s">
        <v>37</v>
      </c>
      <c r="H1997" s="2" t="s">
        <v>34</v>
      </c>
      <c r="I1997" s="2" t="s">
        <v>3429</v>
      </c>
      <c r="J1997" s="2" t="s">
        <v>36</v>
      </c>
      <c r="K1997" s="2" t="s">
        <v>37</v>
      </c>
      <c r="L1997" s="2" t="s">
        <v>34</v>
      </c>
      <c r="M1997" s="12">
        <v>7733.5469999999996</v>
      </c>
      <c r="N1997" s="7">
        <v>25.125</v>
      </c>
      <c r="O1997" s="6">
        <v>24.75</v>
      </c>
      <c r="P1997" s="2" t="s">
        <v>6470</v>
      </c>
      <c r="Q1997" s="6">
        <v>100</v>
      </c>
      <c r="R1997" s="6">
        <v>55.09</v>
      </c>
      <c r="S1997" s="5">
        <v>279.10000000000002</v>
      </c>
      <c r="T1997" s="7">
        <v>293.34300000000002</v>
      </c>
      <c r="U1997" s="5">
        <v>25.2</v>
      </c>
      <c r="V1997" s="6">
        <v>5.18</v>
      </c>
      <c r="W1997" s="4">
        <v>40</v>
      </c>
      <c r="X1997" s="4">
        <v>41</v>
      </c>
      <c r="Y1997" s="7">
        <v>41.375</v>
      </c>
      <c r="Z1997" s="7">
        <v>47.625</v>
      </c>
      <c r="AA1997" s="6">
        <v>52.13</v>
      </c>
      <c r="AB1997" s="7">
        <v>14.367000000000001</v>
      </c>
      <c r="AC1997" s="2"/>
    </row>
    <row r="1998" spans="1:29" ht="78" x14ac:dyDescent="0.15">
      <c r="A1998" s="3">
        <f t="shared" si="9"/>
        <v>34890</v>
      </c>
      <c r="B1998" s="2"/>
      <c r="C1998" s="2" t="s">
        <v>30</v>
      </c>
      <c r="D1998" s="2" t="s">
        <v>5379</v>
      </c>
      <c r="E1998" s="2" t="s">
        <v>2692</v>
      </c>
      <c r="F1998" s="4">
        <v>1521</v>
      </c>
      <c r="G1998" s="2" t="s">
        <v>341</v>
      </c>
      <c r="H1998" s="2" t="s">
        <v>34</v>
      </c>
      <c r="I1998" s="2" t="s">
        <v>6471</v>
      </c>
      <c r="J1998" s="2" t="s">
        <v>6472</v>
      </c>
      <c r="K1998" s="2" t="s">
        <v>341</v>
      </c>
      <c r="L1998" s="2" t="s">
        <v>34</v>
      </c>
      <c r="M1998" s="2"/>
      <c r="N1998" s="7">
        <v>30.125</v>
      </c>
      <c r="O1998" s="7">
        <v>29.875</v>
      </c>
      <c r="P1998" s="2" t="s">
        <v>6473</v>
      </c>
      <c r="Q1998" s="2"/>
      <c r="R1998" s="2"/>
      <c r="S1998" s="2"/>
      <c r="T1998" s="2"/>
      <c r="U1998" s="2"/>
      <c r="V1998" s="2"/>
      <c r="W1998" s="6">
        <v>2.75</v>
      </c>
      <c r="X1998" s="7">
        <v>2.375</v>
      </c>
      <c r="Y1998" s="6">
        <v>2.25</v>
      </c>
      <c r="Z1998" s="6">
        <v>2.25</v>
      </c>
      <c r="AA1998" s="6">
        <v>11.4</v>
      </c>
      <c r="AB1998" s="2" t="s">
        <v>47</v>
      </c>
      <c r="AC1998" s="6">
        <v>159.59</v>
      </c>
    </row>
    <row r="1999" spans="1:29" ht="143" x14ac:dyDescent="0.15">
      <c r="A1999" s="3">
        <f t="shared" si="9"/>
        <v>34890</v>
      </c>
      <c r="B1999" s="3">
        <f>DATE(1995,8,11)</f>
        <v>34922</v>
      </c>
      <c r="C1999" s="2" t="s">
        <v>95</v>
      </c>
      <c r="D1999" s="2" t="s">
        <v>6474</v>
      </c>
      <c r="E1999" s="2" t="s">
        <v>172</v>
      </c>
      <c r="F1999" s="4">
        <v>4213</v>
      </c>
      <c r="G1999" s="2" t="s">
        <v>173</v>
      </c>
      <c r="H1999" s="2" t="s">
        <v>34</v>
      </c>
      <c r="I1999" s="2" t="s">
        <v>6475</v>
      </c>
      <c r="J1999" s="2" t="s">
        <v>6476</v>
      </c>
      <c r="K1999" s="2" t="s">
        <v>173</v>
      </c>
      <c r="L1999" s="2" t="s">
        <v>34</v>
      </c>
      <c r="M1999" s="7">
        <v>163.42699999999999</v>
      </c>
      <c r="N1999" s="6">
        <v>10.25</v>
      </c>
      <c r="O1999" s="7">
        <v>12.625</v>
      </c>
      <c r="P1999" s="2" t="s">
        <v>6477</v>
      </c>
      <c r="Q1999" s="6">
        <v>100</v>
      </c>
      <c r="R1999" s="6">
        <v>11</v>
      </c>
      <c r="S1999" s="5">
        <v>8</v>
      </c>
      <c r="T1999" s="7">
        <v>60.883000000000003</v>
      </c>
      <c r="U1999" s="5">
        <v>19.2</v>
      </c>
      <c r="V1999" s="6">
        <v>1.21</v>
      </c>
      <c r="W1999" s="7">
        <v>9.375</v>
      </c>
      <c r="X1999" s="5">
        <v>9.5</v>
      </c>
      <c r="Y1999" s="7">
        <v>10.875</v>
      </c>
      <c r="Z1999" s="7">
        <v>10.875</v>
      </c>
      <c r="AA1999" s="6">
        <v>6.56</v>
      </c>
      <c r="AB1999" s="7">
        <v>5.1420000000000003</v>
      </c>
      <c r="AC1999" s="6">
        <v>3.46</v>
      </c>
    </row>
    <row r="2000" spans="1:29" ht="39" x14ac:dyDescent="0.15">
      <c r="A2000" s="3">
        <f>DATE(1995,7,11)</f>
        <v>34891</v>
      </c>
      <c r="B2000" s="2"/>
      <c r="C2000" s="2" t="s">
        <v>189</v>
      </c>
      <c r="D2000" s="2" t="s">
        <v>6478</v>
      </c>
      <c r="E2000" s="2" t="s">
        <v>6479</v>
      </c>
      <c r="F2000" s="4">
        <v>2844</v>
      </c>
      <c r="G2000" s="2" t="s">
        <v>358</v>
      </c>
      <c r="H2000" s="2" t="s">
        <v>34</v>
      </c>
      <c r="I2000" s="2" t="s">
        <v>143</v>
      </c>
      <c r="J2000" s="2" t="s">
        <v>144</v>
      </c>
      <c r="K2000" s="2" t="s">
        <v>53</v>
      </c>
      <c r="L2000" s="2" t="s">
        <v>139</v>
      </c>
      <c r="M2000" s="2"/>
      <c r="N2000" s="2"/>
      <c r="O2000" s="2"/>
      <c r="P2000" s="2" t="s">
        <v>6480</v>
      </c>
      <c r="Q2000" s="2"/>
      <c r="R2000" s="2"/>
      <c r="S2000" s="5">
        <v>-3.6</v>
      </c>
      <c r="T2000" s="7">
        <v>4.6920000000000002</v>
      </c>
      <c r="U2000" s="5">
        <v>6.1</v>
      </c>
      <c r="V2000" s="6">
        <v>-0.56999999999999995</v>
      </c>
      <c r="W2000" s="7">
        <v>1.625</v>
      </c>
      <c r="X2000" s="7">
        <v>2.875</v>
      </c>
      <c r="Y2000" s="7">
        <v>1.875</v>
      </c>
      <c r="Z2000" s="7">
        <v>2.125</v>
      </c>
      <c r="AA2000" s="2"/>
      <c r="AB2000" s="2" t="s">
        <v>86</v>
      </c>
      <c r="AC2000" s="2"/>
    </row>
    <row r="2001" spans="1:29" ht="156" x14ac:dyDescent="0.15">
      <c r="A2001" s="3">
        <f>DATE(1995,7,11)</f>
        <v>34891</v>
      </c>
      <c r="B2001" s="3">
        <f>DATE(1995,12,15)</f>
        <v>35048</v>
      </c>
      <c r="C2001" s="2" t="s">
        <v>95</v>
      </c>
      <c r="D2001" s="2" t="s">
        <v>6481</v>
      </c>
      <c r="E2001" s="2" t="s">
        <v>32</v>
      </c>
      <c r="F2001" s="4">
        <v>6036</v>
      </c>
      <c r="G2001" s="2" t="s">
        <v>33</v>
      </c>
      <c r="H2001" s="2" t="s">
        <v>34</v>
      </c>
      <c r="I2001" s="2" t="s">
        <v>6482</v>
      </c>
      <c r="J2001" s="2" t="s">
        <v>36</v>
      </c>
      <c r="K2001" s="2" t="s">
        <v>33</v>
      </c>
      <c r="L2001" s="2" t="s">
        <v>34</v>
      </c>
      <c r="M2001" s="7">
        <v>184.99700000000001</v>
      </c>
      <c r="N2001" s="7">
        <v>16.375</v>
      </c>
      <c r="O2001" s="6">
        <v>15.75</v>
      </c>
      <c r="P2001" s="2" t="s">
        <v>6483</v>
      </c>
      <c r="Q2001" s="6">
        <v>100</v>
      </c>
      <c r="R2001" s="6">
        <v>5.57</v>
      </c>
      <c r="S2001" s="5">
        <v>3.3</v>
      </c>
      <c r="T2001" s="2"/>
      <c r="U2001" s="5">
        <v>3.5</v>
      </c>
      <c r="V2001" s="7">
        <v>1.736</v>
      </c>
      <c r="W2001" s="7">
        <v>4.125</v>
      </c>
      <c r="X2001" s="6">
        <v>4.25</v>
      </c>
      <c r="Y2001" s="7">
        <v>4.125</v>
      </c>
      <c r="Z2001" s="4">
        <v>5</v>
      </c>
      <c r="AA2001" s="6">
        <v>5.04</v>
      </c>
      <c r="AB2001" s="2" t="s">
        <v>47</v>
      </c>
      <c r="AC2001" s="2"/>
    </row>
    <row r="2002" spans="1:29" ht="156" x14ac:dyDescent="0.15">
      <c r="A2002" s="3">
        <f>DATE(1995,7,11)</f>
        <v>34891</v>
      </c>
      <c r="B2002" s="3">
        <f>DATE(1996,4,15)</f>
        <v>35170</v>
      </c>
      <c r="C2002" s="2" t="s">
        <v>95</v>
      </c>
      <c r="D2002" s="2" t="s">
        <v>6484</v>
      </c>
      <c r="E2002" s="2" t="s">
        <v>265</v>
      </c>
      <c r="F2002" s="4">
        <v>6021</v>
      </c>
      <c r="G2002" s="2" t="s">
        <v>37</v>
      </c>
      <c r="H2002" s="2" t="s">
        <v>34</v>
      </c>
      <c r="I2002" s="2" t="s">
        <v>6485</v>
      </c>
      <c r="J2002" s="2" t="s">
        <v>36</v>
      </c>
      <c r="K2002" s="2" t="s">
        <v>37</v>
      </c>
      <c r="L2002" s="2" t="s">
        <v>34</v>
      </c>
      <c r="M2002" s="7">
        <v>44.844999999999999</v>
      </c>
      <c r="N2002" s="7">
        <v>12.875</v>
      </c>
      <c r="O2002" s="6">
        <v>12.75</v>
      </c>
      <c r="P2002" s="2" t="s">
        <v>6486</v>
      </c>
      <c r="Q2002" s="6">
        <v>100</v>
      </c>
      <c r="R2002" s="6">
        <v>19.170000000000002</v>
      </c>
      <c r="S2002" s="5">
        <v>2.2000000000000002</v>
      </c>
      <c r="T2002" s="6">
        <v>4.9800000000000004</v>
      </c>
      <c r="U2002" s="5">
        <v>11.1</v>
      </c>
      <c r="V2002" s="7">
        <v>1.1879999999999999</v>
      </c>
      <c r="W2002" s="5">
        <v>12.5</v>
      </c>
      <c r="X2002" s="7">
        <v>12.375</v>
      </c>
      <c r="Y2002" s="7">
        <v>16.625</v>
      </c>
      <c r="Z2002" s="7">
        <v>17.375</v>
      </c>
      <c r="AA2002" s="6">
        <v>1.86</v>
      </c>
      <c r="AB2002" s="7">
        <v>61.779000000000003</v>
      </c>
      <c r="AC2002" s="2"/>
    </row>
    <row r="2003" spans="1:29" ht="117" x14ac:dyDescent="0.15">
      <c r="A2003" s="3">
        <f>DATE(1995,7,12)</f>
        <v>34892</v>
      </c>
      <c r="B2003" s="3">
        <f>DATE(1995,12,1)</f>
        <v>35034</v>
      </c>
      <c r="C2003" s="2" t="s">
        <v>95</v>
      </c>
      <c r="D2003" s="2" t="s">
        <v>4428</v>
      </c>
      <c r="E2003" s="2" t="s">
        <v>36</v>
      </c>
      <c r="F2003" s="4">
        <v>6021</v>
      </c>
      <c r="G2003" s="2" t="s">
        <v>37</v>
      </c>
      <c r="H2003" s="2" t="s">
        <v>34</v>
      </c>
      <c r="I2003" s="2" t="s">
        <v>1799</v>
      </c>
      <c r="J2003" s="2" t="s">
        <v>36</v>
      </c>
      <c r="K2003" s="2" t="s">
        <v>37</v>
      </c>
      <c r="L2003" s="2" t="s">
        <v>34</v>
      </c>
      <c r="M2003" s="12">
        <v>5015.9160000000002</v>
      </c>
      <c r="N2003" s="7">
        <v>34.375</v>
      </c>
      <c r="O2003" s="4">
        <v>36</v>
      </c>
      <c r="P2003" s="2" t="s">
        <v>6487</v>
      </c>
      <c r="Q2003" s="6">
        <v>100</v>
      </c>
      <c r="R2003" s="6">
        <v>58.83</v>
      </c>
      <c r="S2003" s="5">
        <v>689.7</v>
      </c>
      <c r="T2003" s="8">
        <v>1238</v>
      </c>
      <c r="U2003" s="5">
        <v>43.6</v>
      </c>
      <c r="V2003" s="6">
        <v>7.04</v>
      </c>
      <c r="W2003" s="7">
        <v>59.875</v>
      </c>
      <c r="X2003" s="7">
        <v>60.625</v>
      </c>
      <c r="Y2003" s="5">
        <v>61.5</v>
      </c>
      <c r="Z2003" s="7">
        <v>63.625</v>
      </c>
      <c r="AA2003" s="6">
        <v>89.72</v>
      </c>
      <c r="AB2003" s="7">
        <v>27.277999999999999</v>
      </c>
      <c r="AC2003" s="2"/>
    </row>
    <row r="2004" spans="1:29" ht="130" x14ac:dyDescent="0.15">
      <c r="A2004" s="3">
        <f>DATE(1995,7,12)</f>
        <v>34892</v>
      </c>
      <c r="B2004" s="3">
        <f>DATE(1995,12,21)</f>
        <v>35054</v>
      </c>
      <c r="C2004" s="2" t="s">
        <v>95</v>
      </c>
      <c r="D2004" s="2" t="s">
        <v>6488</v>
      </c>
      <c r="E2004" s="2" t="s">
        <v>172</v>
      </c>
      <c r="F2004" s="4">
        <v>4213</v>
      </c>
      <c r="G2004" s="2" t="s">
        <v>173</v>
      </c>
      <c r="H2004" s="2" t="s">
        <v>34</v>
      </c>
      <c r="I2004" s="2" t="s">
        <v>6489</v>
      </c>
      <c r="J2004" s="2" t="s">
        <v>172</v>
      </c>
      <c r="K2004" s="2" t="s">
        <v>173</v>
      </c>
      <c r="L2004" s="2" t="s">
        <v>34</v>
      </c>
      <c r="M2004" s="7">
        <v>20.309000000000001</v>
      </c>
      <c r="N2004" s="7">
        <v>8.125</v>
      </c>
      <c r="O2004" s="7">
        <v>8.375</v>
      </c>
      <c r="P2004" s="2" t="s">
        <v>6490</v>
      </c>
      <c r="Q2004" s="6">
        <v>100</v>
      </c>
      <c r="R2004" s="6">
        <v>2.57</v>
      </c>
      <c r="S2004" s="5">
        <v>-1.8</v>
      </c>
      <c r="T2004" s="7">
        <v>3.3969999999999998</v>
      </c>
      <c r="U2004" s="5">
        <v>0.3</v>
      </c>
      <c r="V2004" s="6">
        <v>-0.87</v>
      </c>
      <c r="W2004" s="6">
        <v>27.75</v>
      </c>
      <c r="X2004" s="6">
        <v>27.75</v>
      </c>
      <c r="Y2004" s="6">
        <v>27.75</v>
      </c>
      <c r="Z2004" s="6">
        <v>27.75</v>
      </c>
      <c r="AA2004" s="6">
        <v>3.4</v>
      </c>
      <c r="AB2004" s="7">
        <v>28.149000000000001</v>
      </c>
      <c r="AC2004" s="2"/>
    </row>
    <row r="2005" spans="1:29" ht="143" x14ac:dyDescent="0.15">
      <c r="A2005" s="3">
        <f>DATE(1995,7,14)</f>
        <v>34894</v>
      </c>
      <c r="B2005" s="3">
        <f>DATE(1995,12,11)</f>
        <v>35044</v>
      </c>
      <c r="C2005" s="2" t="s">
        <v>95</v>
      </c>
      <c r="D2005" s="2" t="s">
        <v>6491</v>
      </c>
      <c r="E2005" s="2" t="s">
        <v>5637</v>
      </c>
      <c r="F2005" s="4">
        <v>8092</v>
      </c>
      <c r="G2005" s="2" t="s">
        <v>454</v>
      </c>
      <c r="H2005" s="2" t="s">
        <v>34</v>
      </c>
      <c r="I2005" s="2" t="s">
        <v>3009</v>
      </c>
      <c r="J2005" s="2" t="s">
        <v>432</v>
      </c>
      <c r="K2005" s="2" t="s">
        <v>226</v>
      </c>
      <c r="L2005" s="2" t="s">
        <v>34</v>
      </c>
      <c r="M2005" s="2"/>
      <c r="N2005" s="2"/>
      <c r="O2005" s="2"/>
      <c r="P2005" s="2" t="s">
        <v>6492</v>
      </c>
      <c r="Q2005" s="6">
        <v>48.37</v>
      </c>
      <c r="R2005" s="6">
        <v>20</v>
      </c>
      <c r="S2005" s="5">
        <v>10.3</v>
      </c>
      <c r="T2005" s="7">
        <v>29.315999999999999</v>
      </c>
      <c r="U2005" s="5">
        <v>6.2</v>
      </c>
      <c r="V2005" s="7">
        <v>0.53500000000000003</v>
      </c>
      <c r="W2005" s="7">
        <v>16.625</v>
      </c>
      <c r="X2005" s="6">
        <v>15.75</v>
      </c>
      <c r="Y2005" s="7">
        <v>19.375</v>
      </c>
      <c r="Z2005" s="6">
        <v>19.25</v>
      </c>
      <c r="AA2005" s="6">
        <v>18.920000000000002</v>
      </c>
      <c r="AB2005" s="7">
        <v>21.634</v>
      </c>
      <c r="AC2005" s="2"/>
    </row>
    <row r="2006" spans="1:29" ht="117" x14ac:dyDescent="0.15">
      <c r="A2006" s="3">
        <f>DATE(1995,7,17)</f>
        <v>34897</v>
      </c>
      <c r="B2006" s="3">
        <f>DATE(1995,8,22)</f>
        <v>34933</v>
      </c>
      <c r="C2006" s="2" t="s">
        <v>95</v>
      </c>
      <c r="D2006" s="2" t="s">
        <v>6493</v>
      </c>
      <c r="E2006" s="2" t="s">
        <v>6494</v>
      </c>
      <c r="F2006" s="4">
        <v>3714</v>
      </c>
      <c r="G2006" s="2" t="s">
        <v>105</v>
      </c>
      <c r="H2006" s="2" t="s">
        <v>34</v>
      </c>
      <c r="I2006" s="2" t="s">
        <v>6495</v>
      </c>
      <c r="J2006" s="2" t="s">
        <v>6496</v>
      </c>
      <c r="K2006" s="2" t="s">
        <v>105</v>
      </c>
      <c r="L2006" s="2" t="s">
        <v>34</v>
      </c>
      <c r="M2006" s="12">
        <v>1100.133</v>
      </c>
      <c r="N2006" s="7">
        <v>26.625</v>
      </c>
      <c r="O2006" s="5">
        <v>27.5</v>
      </c>
      <c r="P2006" s="2" t="s">
        <v>6497</v>
      </c>
      <c r="Q2006" s="6">
        <v>100</v>
      </c>
      <c r="R2006" s="6">
        <v>33.5</v>
      </c>
      <c r="S2006" s="5">
        <v>35.799999999999997</v>
      </c>
      <c r="T2006" s="7">
        <v>96.168000000000006</v>
      </c>
      <c r="U2006" s="5">
        <v>12.7</v>
      </c>
      <c r="V2006" s="7">
        <v>1.9219999999999999</v>
      </c>
      <c r="W2006" s="6">
        <v>30.25</v>
      </c>
      <c r="X2006" s="6">
        <v>32.25</v>
      </c>
      <c r="Y2006" s="4">
        <v>33</v>
      </c>
      <c r="Z2006" s="4">
        <v>33</v>
      </c>
      <c r="AA2006" s="6">
        <v>17.53</v>
      </c>
      <c r="AB2006" s="7">
        <v>11.707000000000001</v>
      </c>
      <c r="AC2006" s="5">
        <v>32</v>
      </c>
    </row>
    <row r="2007" spans="1:29" ht="117" x14ac:dyDescent="0.15">
      <c r="A2007" s="3">
        <f>DATE(1995,7,17)</f>
        <v>34897</v>
      </c>
      <c r="B2007" s="3">
        <f>DATE(1995,10,2)</f>
        <v>34974</v>
      </c>
      <c r="C2007" s="2" t="s">
        <v>95</v>
      </c>
      <c r="D2007" s="2" t="s">
        <v>6498</v>
      </c>
      <c r="E2007" s="2" t="s">
        <v>6499</v>
      </c>
      <c r="F2007" s="4">
        <v>7373</v>
      </c>
      <c r="G2007" s="2" t="s">
        <v>223</v>
      </c>
      <c r="H2007" s="2" t="s">
        <v>34</v>
      </c>
      <c r="I2007" s="2" t="s">
        <v>4939</v>
      </c>
      <c r="J2007" s="2" t="s">
        <v>4940</v>
      </c>
      <c r="K2007" s="2" t="s">
        <v>223</v>
      </c>
      <c r="L2007" s="2" t="s">
        <v>34</v>
      </c>
      <c r="M2007" s="12">
        <v>2025.7070000000001</v>
      </c>
      <c r="N2007" s="6">
        <v>54.25</v>
      </c>
      <c r="O2007" s="4">
        <v>55</v>
      </c>
      <c r="P2007" s="2" t="s">
        <v>6500</v>
      </c>
      <c r="Q2007" s="6">
        <v>100</v>
      </c>
      <c r="R2007" s="6">
        <v>23.4</v>
      </c>
      <c r="S2007" s="5">
        <v>6.1</v>
      </c>
      <c r="T2007" s="7">
        <v>7.2969999999999997</v>
      </c>
      <c r="U2007" s="5">
        <v>3.6</v>
      </c>
      <c r="V2007" s="6">
        <v>0.68</v>
      </c>
      <c r="W2007" s="6">
        <v>17.75</v>
      </c>
      <c r="X2007" s="4">
        <v>17</v>
      </c>
      <c r="Y2007" s="4">
        <v>21</v>
      </c>
      <c r="Z2007" s="5">
        <v>21.5</v>
      </c>
      <c r="AA2007" s="6">
        <v>8.66</v>
      </c>
      <c r="AB2007" s="7">
        <v>35.573</v>
      </c>
      <c r="AC2007" s="6">
        <v>5.83</v>
      </c>
    </row>
    <row r="2008" spans="1:29" ht="156" x14ac:dyDescent="0.15">
      <c r="A2008" s="3">
        <f>DATE(1995,7,17)</f>
        <v>34897</v>
      </c>
      <c r="B2008" s="3">
        <f>DATE(1995,12,12)</f>
        <v>35045</v>
      </c>
      <c r="C2008" s="2" t="s">
        <v>95</v>
      </c>
      <c r="D2008" s="2" t="s">
        <v>6501</v>
      </c>
      <c r="E2008" s="2" t="s">
        <v>6502</v>
      </c>
      <c r="F2008" s="4">
        <v>2676</v>
      </c>
      <c r="G2008" s="2" t="s">
        <v>282</v>
      </c>
      <c r="H2008" s="2" t="s">
        <v>34</v>
      </c>
      <c r="I2008" s="2" t="s">
        <v>6503</v>
      </c>
      <c r="J2008" s="2" t="s">
        <v>6504</v>
      </c>
      <c r="K2008" s="2" t="s">
        <v>282</v>
      </c>
      <c r="L2008" s="2" t="s">
        <v>34</v>
      </c>
      <c r="M2008" s="12">
        <v>9447.9210000000003</v>
      </c>
      <c r="N2008" s="5">
        <v>63.5</v>
      </c>
      <c r="O2008" s="5">
        <v>62.5</v>
      </c>
      <c r="P2008" s="2" t="s">
        <v>6505</v>
      </c>
      <c r="Q2008" s="6">
        <v>100</v>
      </c>
      <c r="R2008" s="6">
        <v>44.85</v>
      </c>
      <c r="S2008" s="5">
        <v>270.89999999999998</v>
      </c>
      <c r="T2008" s="5">
        <v>811.9</v>
      </c>
      <c r="U2008" s="5">
        <v>11.5</v>
      </c>
      <c r="V2008" s="7">
        <v>1.405</v>
      </c>
      <c r="W2008" s="7">
        <v>43.875</v>
      </c>
      <c r="X2008" s="7">
        <v>44.375</v>
      </c>
      <c r="Y2008" s="7">
        <v>46.875</v>
      </c>
      <c r="Z2008" s="4">
        <v>48</v>
      </c>
      <c r="AA2008" s="6">
        <v>152.13</v>
      </c>
      <c r="AB2008" s="7">
        <v>15.015000000000001</v>
      </c>
      <c r="AC2008" s="5">
        <v>23.8</v>
      </c>
    </row>
    <row r="2009" spans="1:29" ht="130" x14ac:dyDescent="0.15">
      <c r="A2009" s="3">
        <f>DATE(1995,7,17)</f>
        <v>34897</v>
      </c>
      <c r="B2009" s="3">
        <f>DATE(1995,11,8)</f>
        <v>35011</v>
      </c>
      <c r="C2009" s="2" t="s">
        <v>95</v>
      </c>
      <c r="D2009" s="2" t="s">
        <v>1350</v>
      </c>
      <c r="E2009" s="2" t="s">
        <v>1351</v>
      </c>
      <c r="F2009" s="4">
        <v>3651</v>
      </c>
      <c r="G2009" s="2" t="s">
        <v>137</v>
      </c>
      <c r="H2009" s="2" t="s">
        <v>34</v>
      </c>
      <c r="I2009" s="2" t="s">
        <v>6506</v>
      </c>
      <c r="J2009" s="2" t="s">
        <v>6507</v>
      </c>
      <c r="K2009" s="2" t="s">
        <v>921</v>
      </c>
      <c r="L2009" s="2" t="s">
        <v>1502</v>
      </c>
      <c r="M2009" s="2"/>
      <c r="N2009" s="2"/>
      <c r="O2009" s="2"/>
      <c r="P2009" s="2" t="s">
        <v>6508</v>
      </c>
      <c r="Q2009" s="6">
        <v>29.33</v>
      </c>
      <c r="R2009" s="6">
        <v>10</v>
      </c>
      <c r="S2009" s="5">
        <v>-14.2</v>
      </c>
      <c r="T2009" s="5">
        <v>18.7</v>
      </c>
      <c r="U2009" s="5">
        <v>5</v>
      </c>
      <c r="V2009" s="6">
        <v>-0.24</v>
      </c>
      <c r="W2009" s="6">
        <v>7.75</v>
      </c>
      <c r="X2009" s="5">
        <v>8.5</v>
      </c>
      <c r="Y2009" s="7">
        <v>8.875</v>
      </c>
      <c r="Z2009" s="4">
        <v>9</v>
      </c>
      <c r="AA2009" s="6">
        <v>63.48</v>
      </c>
      <c r="AB2009" s="2" t="s">
        <v>86</v>
      </c>
      <c r="AC2009" s="6">
        <v>866.15</v>
      </c>
    </row>
    <row r="2010" spans="1:29" ht="130" x14ac:dyDescent="0.15">
      <c r="A2010" s="3">
        <f>DATE(1995,7,18)</f>
        <v>34898</v>
      </c>
      <c r="B2010" s="3">
        <f>DATE(1995,10,26)</f>
        <v>34998</v>
      </c>
      <c r="C2010" s="2" t="s">
        <v>95</v>
      </c>
      <c r="D2010" s="2" t="s">
        <v>6509</v>
      </c>
      <c r="E2010" s="2" t="s">
        <v>6185</v>
      </c>
      <c r="F2010" s="4">
        <v>8099</v>
      </c>
      <c r="G2010" s="2" t="s">
        <v>454</v>
      </c>
      <c r="H2010" s="2" t="s">
        <v>34</v>
      </c>
      <c r="I2010" s="2" t="s">
        <v>6510</v>
      </c>
      <c r="J2010" s="2" t="s">
        <v>6511</v>
      </c>
      <c r="K2010" s="2" t="s">
        <v>173</v>
      </c>
      <c r="L2010" s="2" t="s">
        <v>902</v>
      </c>
      <c r="M2010" s="2"/>
      <c r="N2010" s="2"/>
      <c r="O2010" s="2"/>
      <c r="P2010" s="2" t="s">
        <v>6512</v>
      </c>
      <c r="Q2010" s="6">
        <v>100</v>
      </c>
      <c r="R2010" s="6">
        <v>10.86</v>
      </c>
      <c r="S2010" s="5">
        <v>5.3</v>
      </c>
      <c r="T2010" s="7">
        <v>32.387999999999998</v>
      </c>
      <c r="U2010" s="5">
        <v>5.8</v>
      </c>
      <c r="V2010" s="7">
        <v>0.34499999999999997</v>
      </c>
      <c r="W2010" s="7">
        <v>8.0630000000000006</v>
      </c>
      <c r="X2010" s="6">
        <v>8.25</v>
      </c>
      <c r="Y2010" s="7">
        <v>9.875</v>
      </c>
      <c r="Z2010" s="7">
        <v>9.6880000000000006</v>
      </c>
      <c r="AA2010" s="6">
        <v>15.33</v>
      </c>
      <c r="AB2010" s="7">
        <v>8.7330000000000005</v>
      </c>
      <c r="AC2010" s="6">
        <v>199.68</v>
      </c>
    </row>
    <row r="2011" spans="1:29" ht="104" x14ac:dyDescent="0.15">
      <c r="A2011" s="3">
        <f>DATE(1995,7,18)</f>
        <v>34898</v>
      </c>
      <c r="B2011" s="2"/>
      <c r="C2011" s="2" t="s">
        <v>56</v>
      </c>
      <c r="D2011" s="2" t="s">
        <v>6513</v>
      </c>
      <c r="E2011" s="2" t="s">
        <v>6514</v>
      </c>
      <c r="F2011" s="4">
        <v>2086</v>
      </c>
      <c r="G2011" s="2" t="s">
        <v>577</v>
      </c>
      <c r="H2011" s="2" t="s">
        <v>34</v>
      </c>
      <c r="I2011" s="2" t="s">
        <v>3722</v>
      </c>
      <c r="J2011" s="2" t="s">
        <v>3723</v>
      </c>
      <c r="K2011" s="2" t="s">
        <v>230</v>
      </c>
      <c r="L2011" s="2" t="s">
        <v>34</v>
      </c>
      <c r="M2011" s="7">
        <v>486.11900000000003</v>
      </c>
      <c r="N2011" s="7">
        <v>14.625</v>
      </c>
      <c r="O2011" s="6">
        <v>14.25</v>
      </c>
      <c r="P2011" s="2" t="s">
        <v>6515</v>
      </c>
      <c r="Q2011" s="2"/>
      <c r="R2011" s="2"/>
      <c r="S2011" s="5">
        <v>-2.2000000000000002</v>
      </c>
      <c r="T2011" s="7">
        <v>-1.6659999999999999</v>
      </c>
      <c r="U2011" s="5">
        <v>1.1000000000000001</v>
      </c>
      <c r="V2011" s="6">
        <v>-0.85</v>
      </c>
      <c r="W2011" s="7">
        <v>3.625</v>
      </c>
      <c r="X2011" s="7">
        <v>4.125</v>
      </c>
      <c r="Y2011" s="7">
        <v>3.9689999999999999</v>
      </c>
      <c r="Z2011" s="7">
        <v>3.125</v>
      </c>
      <c r="AA2011" s="2"/>
      <c r="AB2011" s="2" t="s">
        <v>86</v>
      </c>
      <c r="AC2011" s="6">
        <v>96.32</v>
      </c>
    </row>
    <row r="2012" spans="1:29" ht="156" x14ac:dyDescent="0.15">
      <c r="A2012" s="3">
        <f>DATE(1995,7,19)</f>
        <v>34899</v>
      </c>
      <c r="B2012" s="3">
        <f>DATE(1996,1,2)</f>
        <v>35066</v>
      </c>
      <c r="C2012" s="2" t="s">
        <v>95</v>
      </c>
      <c r="D2012" s="2" t="s">
        <v>6516</v>
      </c>
      <c r="E2012" s="2" t="s">
        <v>36</v>
      </c>
      <c r="F2012" s="4">
        <v>6022</v>
      </c>
      <c r="G2012" s="2" t="s">
        <v>37</v>
      </c>
      <c r="H2012" s="2" t="s">
        <v>34</v>
      </c>
      <c r="I2012" s="2" t="s">
        <v>1612</v>
      </c>
      <c r="J2012" s="2" t="s">
        <v>263</v>
      </c>
      <c r="K2012" s="2" t="s">
        <v>37</v>
      </c>
      <c r="L2012" s="2" t="s">
        <v>34</v>
      </c>
      <c r="M2012" s="12">
        <v>12724.689</v>
      </c>
      <c r="N2012" s="4">
        <v>32</v>
      </c>
      <c r="O2012" s="7">
        <v>32.125</v>
      </c>
      <c r="P2012" s="2" t="s">
        <v>6517</v>
      </c>
      <c r="Q2012" s="6">
        <v>100</v>
      </c>
      <c r="R2012" s="6">
        <v>20.149999999999999</v>
      </c>
      <c r="S2012" s="5">
        <v>69.5</v>
      </c>
      <c r="T2012" s="6">
        <v>124.79</v>
      </c>
      <c r="U2012" s="5">
        <v>12.6</v>
      </c>
      <c r="V2012" s="6">
        <v>2.08</v>
      </c>
      <c r="W2012" s="4">
        <v>18</v>
      </c>
      <c r="X2012" s="5">
        <v>18.5</v>
      </c>
      <c r="Y2012" s="7">
        <v>18.437999999999999</v>
      </c>
      <c r="Z2012" s="7">
        <v>18.875</v>
      </c>
      <c r="AA2012" s="6">
        <v>33.79</v>
      </c>
      <c r="AB2012" s="7">
        <v>12.516999999999999</v>
      </c>
      <c r="AC2012" s="2"/>
    </row>
    <row r="2013" spans="1:29" ht="65" x14ac:dyDescent="0.15">
      <c r="A2013" s="3">
        <f>DATE(1995,7,19)</f>
        <v>34899</v>
      </c>
      <c r="B2013" s="2"/>
      <c r="C2013" s="2" t="s">
        <v>87</v>
      </c>
      <c r="D2013" s="2" t="s">
        <v>6518</v>
      </c>
      <c r="E2013" s="2" t="s">
        <v>6519</v>
      </c>
      <c r="F2013" s="4">
        <v>4813</v>
      </c>
      <c r="G2013" s="2" t="s">
        <v>63</v>
      </c>
      <c r="H2013" s="2" t="s">
        <v>34</v>
      </c>
      <c r="I2013" s="2" t="s">
        <v>6520</v>
      </c>
      <c r="J2013" s="2" t="s">
        <v>6519</v>
      </c>
      <c r="K2013" s="2" t="s">
        <v>63</v>
      </c>
      <c r="L2013" s="2" t="s">
        <v>34</v>
      </c>
      <c r="M2013" s="2"/>
      <c r="N2013" s="2"/>
      <c r="O2013" s="2"/>
      <c r="P2013" s="2" t="s">
        <v>6521</v>
      </c>
      <c r="Q2013" s="2"/>
      <c r="R2013" s="2"/>
      <c r="S2013" s="2"/>
      <c r="T2013" s="2"/>
      <c r="U2013" s="2"/>
      <c r="V2013" s="2"/>
      <c r="W2013" s="6">
        <v>1.25</v>
      </c>
      <c r="X2013" s="6">
        <v>1.25</v>
      </c>
      <c r="Y2013" s="6">
        <v>1.25</v>
      </c>
      <c r="Z2013" s="6">
        <v>1.25</v>
      </c>
      <c r="AA2013" s="2"/>
      <c r="AB2013" s="2" t="s">
        <v>47</v>
      </c>
      <c r="AC2013" s="2"/>
    </row>
    <row r="2014" spans="1:29" ht="65" x14ac:dyDescent="0.15">
      <c r="A2014" s="3">
        <f>DATE(1995,7,20)</f>
        <v>34900</v>
      </c>
      <c r="B2014" s="2"/>
      <c r="C2014" s="2" t="s">
        <v>30</v>
      </c>
      <c r="D2014" s="2" t="s">
        <v>2321</v>
      </c>
      <c r="E2014" s="2" t="s">
        <v>36</v>
      </c>
      <c r="F2014" s="4">
        <v>6021</v>
      </c>
      <c r="G2014" s="2" t="s">
        <v>37</v>
      </c>
      <c r="H2014" s="2" t="s">
        <v>34</v>
      </c>
      <c r="I2014" s="2" t="s">
        <v>1698</v>
      </c>
      <c r="J2014" s="2" t="s">
        <v>36</v>
      </c>
      <c r="K2014" s="2" t="s">
        <v>37</v>
      </c>
      <c r="L2014" s="2" t="s">
        <v>34</v>
      </c>
      <c r="M2014" s="12">
        <v>5080.384</v>
      </c>
      <c r="N2014" s="4">
        <v>35</v>
      </c>
      <c r="O2014" s="7">
        <v>33.875</v>
      </c>
      <c r="P2014" s="2" t="s">
        <v>6522</v>
      </c>
      <c r="Q2014" s="2"/>
      <c r="R2014" s="6">
        <v>38</v>
      </c>
      <c r="S2014" s="5">
        <v>442</v>
      </c>
      <c r="T2014" s="5">
        <v>926</v>
      </c>
      <c r="U2014" s="5">
        <v>12.4</v>
      </c>
      <c r="V2014" s="7">
        <v>1.895</v>
      </c>
      <c r="W2014" s="7">
        <v>39.625</v>
      </c>
      <c r="X2014" s="7">
        <v>38.875</v>
      </c>
      <c r="Y2014" s="7">
        <v>41.875</v>
      </c>
      <c r="Z2014" s="7">
        <v>40.125</v>
      </c>
      <c r="AA2014" s="6">
        <v>111.24</v>
      </c>
      <c r="AB2014" s="7">
        <v>22.876999999999999</v>
      </c>
      <c r="AC2014" s="2"/>
    </row>
    <row r="2015" spans="1:29" ht="91" x14ac:dyDescent="0.15">
      <c r="A2015" s="3">
        <f>DATE(1995,7,20)</f>
        <v>34900</v>
      </c>
      <c r="B2015" s="3">
        <f>DATE(1996,1,12)</f>
        <v>35076</v>
      </c>
      <c r="C2015" s="2" t="s">
        <v>95</v>
      </c>
      <c r="D2015" s="2" t="s">
        <v>6523</v>
      </c>
      <c r="E2015" s="2" t="s">
        <v>6524</v>
      </c>
      <c r="F2015" s="4">
        <v>3561</v>
      </c>
      <c r="G2015" s="2" t="s">
        <v>300</v>
      </c>
      <c r="H2015" s="2" t="s">
        <v>34</v>
      </c>
      <c r="I2015" s="2" t="s">
        <v>6525</v>
      </c>
      <c r="J2015" s="2" t="s">
        <v>6526</v>
      </c>
      <c r="K2015" s="2" t="s">
        <v>300</v>
      </c>
      <c r="L2015" s="2" t="s">
        <v>34</v>
      </c>
      <c r="M2015" s="7">
        <v>460.89100000000002</v>
      </c>
      <c r="N2015" s="6">
        <v>28.75</v>
      </c>
      <c r="O2015" s="6">
        <v>28.75</v>
      </c>
      <c r="P2015" s="2" t="s">
        <v>6527</v>
      </c>
      <c r="Q2015" s="6">
        <v>78.06</v>
      </c>
      <c r="R2015" s="6">
        <v>15.3</v>
      </c>
      <c r="S2015" s="5">
        <v>3.2</v>
      </c>
      <c r="T2015" s="7">
        <v>8.4939999999999998</v>
      </c>
      <c r="U2015" s="5">
        <v>4.4000000000000004</v>
      </c>
      <c r="V2015" s="6">
        <v>1.27</v>
      </c>
      <c r="W2015" s="5">
        <v>7.5</v>
      </c>
      <c r="X2015" s="4">
        <v>7</v>
      </c>
      <c r="Y2015" s="7">
        <v>7.875</v>
      </c>
      <c r="Z2015" s="6">
        <v>13.75</v>
      </c>
      <c r="AA2015" s="6">
        <v>2.64</v>
      </c>
      <c r="AB2015" s="7">
        <v>14.404999999999999</v>
      </c>
      <c r="AC2015" s="5">
        <v>4</v>
      </c>
    </row>
    <row r="2016" spans="1:29" ht="91" x14ac:dyDescent="0.15">
      <c r="A2016" s="3">
        <f>DATE(1995,7,21)</f>
        <v>34901</v>
      </c>
      <c r="B2016" s="2"/>
      <c r="C2016" s="2" t="s">
        <v>30</v>
      </c>
      <c r="D2016" s="2" t="s">
        <v>2321</v>
      </c>
      <c r="E2016" s="2" t="s">
        <v>36</v>
      </c>
      <c r="F2016" s="4">
        <v>6021</v>
      </c>
      <c r="G2016" s="2" t="s">
        <v>37</v>
      </c>
      <c r="H2016" s="2" t="s">
        <v>34</v>
      </c>
      <c r="I2016" s="2" t="s">
        <v>1612</v>
      </c>
      <c r="J2016" s="2" t="s">
        <v>263</v>
      </c>
      <c r="K2016" s="2" t="s">
        <v>37</v>
      </c>
      <c r="L2016" s="2" t="s">
        <v>34</v>
      </c>
      <c r="M2016" s="12">
        <v>12915.903</v>
      </c>
      <c r="N2016" s="4">
        <v>32</v>
      </c>
      <c r="O2016" s="5">
        <v>31.5</v>
      </c>
      <c r="P2016" s="2" t="s">
        <v>6528</v>
      </c>
      <c r="Q2016" s="2"/>
      <c r="R2016" s="6">
        <v>45</v>
      </c>
      <c r="S2016" s="5">
        <v>442</v>
      </c>
      <c r="T2016" s="5">
        <v>968</v>
      </c>
      <c r="U2016" s="5">
        <v>12.4</v>
      </c>
      <c r="V2016" s="7">
        <v>1.895</v>
      </c>
      <c r="W2016" s="7">
        <v>39.375</v>
      </c>
      <c r="X2016" s="7">
        <v>41.875</v>
      </c>
      <c r="Y2016" s="7">
        <v>40.125</v>
      </c>
      <c r="Z2016" s="4">
        <v>42</v>
      </c>
      <c r="AA2016" s="6">
        <v>111.24</v>
      </c>
      <c r="AB2016" s="7">
        <v>63.302999999999997</v>
      </c>
      <c r="AC2016" s="2"/>
    </row>
    <row r="2017" spans="1:29" ht="156" x14ac:dyDescent="0.15">
      <c r="A2017" s="3">
        <f>DATE(1995,7,24)</f>
        <v>34904</v>
      </c>
      <c r="B2017" s="3">
        <f>DATE(1996,1,18)</f>
        <v>35082</v>
      </c>
      <c r="C2017" s="2" t="s">
        <v>95</v>
      </c>
      <c r="D2017" s="2" t="s">
        <v>6529</v>
      </c>
      <c r="E2017" s="2" t="s">
        <v>36</v>
      </c>
      <c r="F2017" s="4">
        <v>6035</v>
      </c>
      <c r="G2017" s="2" t="s">
        <v>33</v>
      </c>
      <c r="H2017" s="2" t="s">
        <v>34</v>
      </c>
      <c r="I2017" s="2" t="s">
        <v>450</v>
      </c>
      <c r="J2017" s="2" t="s">
        <v>36</v>
      </c>
      <c r="K2017" s="2" t="s">
        <v>37</v>
      </c>
      <c r="L2017" s="2" t="s">
        <v>34</v>
      </c>
      <c r="M2017" s="12">
        <v>9843.6139999999996</v>
      </c>
      <c r="N2017" s="6">
        <v>28.25</v>
      </c>
      <c r="O2017" s="5">
        <v>28.5</v>
      </c>
      <c r="P2017" s="2" t="s">
        <v>6530</v>
      </c>
      <c r="Q2017" s="6">
        <v>81.510000000000005</v>
      </c>
      <c r="R2017" s="6">
        <v>31.99</v>
      </c>
      <c r="S2017" s="5">
        <v>9.5</v>
      </c>
      <c r="T2017" s="2"/>
      <c r="U2017" s="5">
        <v>22.8</v>
      </c>
      <c r="V2017" s="7">
        <v>1.7749999999999999</v>
      </c>
      <c r="W2017" s="6">
        <v>25.25</v>
      </c>
      <c r="X2017" s="6">
        <v>25.75</v>
      </c>
      <c r="Y2017" s="6">
        <v>28.75</v>
      </c>
      <c r="Z2017" s="7">
        <v>28.625</v>
      </c>
      <c r="AA2017" s="6">
        <v>5.9</v>
      </c>
      <c r="AB2017" s="7">
        <v>89.873000000000005</v>
      </c>
      <c r="AC2017" s="2"/>
    </row>
    <row r="2018" spans="1:29" ht="117" x14ac:dyDescent="0.15">
      <c r="A2018" s="3">
        <f>DATE(1995,7,24)</f>
        <v>34904</v>
      </c>
      <c r="B2018" s="3">
        <f>DATE(1996,1,26)</f>
        <v>35090</v>
      </c>
      <c r="C2018" s="2" t="s">
        <v>95</v>
      </c>
      <c r="D2018" s="2" t="s">
        <v>6531</v>
      </c>
      <c r="E2018" s="2" t="s">
        <v>36</v>
      </c>
      <c r="F2018" s="4">
        <v>6035</v>
      </c>
      <c r="G2018" s="2" t="s">
        <v>33</v>
      </c>
      <c r="H2018" s="2" t="s">
        <v>34</v>
      </c>
      <c r="I2018" s="2" t="s">
        <v>1066</v>
      </c>
      <c r="J2018" s="2" t="s">
        <v>1067</v>
      </c>
      <c r="K2018" s="2" t="s">
        <v>37</v>
      </c>
      <c r="L2018" s="2" t="s">
        <v>34</v>
      </c>
      <c r="M2018" s="12">
        <v>2416.3449999999998</v>
      </c>
      <c r="N2018" s="6">
        <v>35.25</v>
      </c>
      <c r="O2018" s="4">
        <v>35</v>
      </c>
      <c r="P2018" s="2" t="s">
        <v>6532</v>
      </c>
      <c r="Q2018" s="6">
        <v>100</v>
      </c>
      <c r="R2018" s="6">
        <v>28</v>
      </c>
      <c r="S2018" s="5">
        <v>2.7</v>
      </c>
      <c r="T2018" s="7">
        <v>420.08300000000003</v>
      </c>
      <c r="U2018" s="5">
        <v>15.8</v>
      </c>
      <c r="V2018" s="6">
        <v>2.1800000000000002</v>
      </c>
      <c r="W2018" s="6">
        <v>22.75</v>
      </c>
      <c r="X2018" s="6">
        <v>22.75</v>
      </c>
      <c r="Y2018" s="4">
        <v>22</v>
      </c>
      <c r="Z2018" s="4">
        <v>24</v>
      </c>
      <c r="AA2018" s="6">
        <v>1.2</v>
      </c>
      <c r="AB2018" s="7">
        <v>55.991</v>
      </c>
      <c r="AC2018" s="2"/>
    </row>
    <row r="2019" spans="1:29" ht="143" x14ac:dyDescent="0.15">
      <c r="A2019" s="3">
        <f>DATE(1995,7,26)</f>
        <v>34906</v>
      </c>
      <c r="B2019" s="3">
        <f>DATE(1995,11,3)</f>
        <v>35006</v>
      </c>
      <c r="C2019" s="2" t="s">
        <v>95</v>
      </c>
      <c r="D2019" s="2" t="s">
        <v>6533</v>
      </c>
      <c r="E2019" s="2" t="s">
        <v>6534</v>
      </c>
      <c r="F2019" s="4">
        <v>3851</v>
      </c>
      <c r="G2019" s="2" t="s">
        <v>226</v>
      </c>
      <c r="H2019" s="2" t="s">
        <v>34</v>
      </c>
      <c r="I2019" s="2" t="s">
        <v>4929</v>
      </c>
      <c r="J2019" s="2" t="s">
        <v>6535</v>
      </c>
      <c r="K2019" s="2" t="s">
        <v>76</v>
      </c>
      <c r="L2019" s="2" t="s">
        <v>34</v>
      </c>
      <c r="M2019" s="6">
        <v>285.95</v>
      </c>
      <c r="N2019" s="7">
        <v>10.125</v>
      </c>
      <c r="O2019" s="5">
        <v>8.5</v>
      </c>
      <c r="P2019" s="2" t="s">
        <v>6536</v>
      </c>
      <c r="Q2019" s="6">
        <v>100</v>
      </c>
      <c r="R2019" s="6">
        <v>8.0399999999999991</v>
      </c>
      <c r="S2019" s="5">
        <v>1.8</v>
      </c>
      <c r="T2019" s="7">
        <v>12.507999999999999</v>
      </c>
      <c r="U2019" s="5">
        <v>3.2</v>
      </c>
      <c r="V2019" s="6">
        <v>0.59</v>
      </c>
      <c r="W2019" s="4">
        <v>7</v>
      </c>
      <c r="X2019" s="7">
        <v>6.875</v>
      </c>
      <c r="Y2019" s="7">
        <v>6.875</v>
      </c>
      <c r="Z2019" s="7">
        <v>8.125</v>
      </c>
      <c r="AA2019" s="6">
        <v>4.21</v>
      </c>
      <c r="AB2019" s="7">
        <v>2.5299999999999998</v>
      </c>
      <c r="AC2019" s="6">
        <v>11.55</v>
      </c>
    </row>
    <row r="2020" spans="1:29" ht="143" x14ac:dyDescent="0.15">
      <c r="A2020" s="3">
        <f>DATE(1995,7,27)</f>
        <v>34907</v>
      </c>
      <c r="B2020" s="3">
        <f>DATE(1995,10,13)</f>
        <v>34985</v>
      </c>
      <c r="C2020" s="2" t="s">
        <v>95</v>
      </c>
      <c r="D2020" s="2" t="s">
        <v>4316</v>
      </c>
      <c r="E2020" s="2" t="s">
        <v>4317</v>
      </c>
      <c r="F2020" s="4">
        <v>3613</v>
      </c>
      <c r="G2020" s="2" t="s">
        <v>137</v>
      </c>
      <c r="H2020" s="2" t="s">
        <v>34</v>
      </c>
      <c r="I2020" s="2" t="s">
        <v>6537</v>
      </c>
      <c r="J2020" s="2" t="s">
        <v>6538</v>
      </c>
      <c r="K2020" s="2" t="s">
        <v>50</v>
      </c>
      <c r="L2020" s="2" t="s">
        <v>34</v>
      </c>
      <c r="M2020" s="12">
        <v>4681.7460000000001</v>
      </c>
      <c r="N2020" s="5">
        <v>73.5</v>
      </c>
      <c r="O2020" s="6">
        <v>76.25</v>
      </c>
      <c r="P2020" s="2" t="s">
        <v>6539</v>
      </c>
      <c r="Q2020" s="6">
        <v>100</v>
      </c>
      <c r="R2020" s="6">
        <v>40.08</v>
      </c>
      <c r="S2020" s="5">
        <v>19.8</v>
      </c>
      <c r="T2020" s="2"/>
      <c r="U2020" s="5">
        <v>10.1</v>
      </c>
      <c r="V2020" s="6">
        <v>1.1200000000000001</v>
      </c>
      <c r="W2020" s="7">
        <v>24.625</v>
      </c>
      <c r="X2020" s="6">
        <v>29.75</v>
      </c>
      <c r="Y2020" s="6">
        <v>37.25</v>
      </c>
      <c r="Z2020" s="7">
        <v>43.875</v>
      </c>
      <c r="AA2020" s="6">
        <v>16.989999999999998</v>
      </c>
      <c r="AB2020" s="7">
        <v>23.145</v>
      </c>
      <c r="AC2020" s="6">
        <v>323.51</v>
      </c>
    </row>
    <row r="2021" spans="1:29" ht="169" x14ac:dyDescent="0.15">
      <c r="A2021" s="3">
        <f>DATE(1995,7,31)</f>
        <v>34911</v>
      </c>
      <c r="B2021" s="3">
        <f>DATE(1996,2,9)</f>
        <v>35104</v>
      </c>
      <c r="C2021" s="2" t="s">
        <v>95</v>
      </c>
      <c r="D2021" s="2" t="s">
        <v>3556</v>
      </c>
      <c r="E2021" s="2" t="s">
        <v>44</v>
      </c>
      <c r="F2021" s="4">
        <v>4833</v>
      </c>
      <c r="G2021" s="2" t="s">
        <v>45</v>
      </c>
      <c r="H2021" s="2" t="s">
        <v>34</v>
      </c>
      <c r="I2021" s="2" t="s">
        <v>1758</v>
      </c>
      <c r="J2021" s="2" t="s">
        <v>1759</v>
      </c>
      <c r="K2021" s="2" t="s">
        <v>364</v>
      </c>
      <c r="L2021" s="2" t="s">
        <v>34</v>
      </c>
      <c r="M2021" s="12">
        <v>28934.909</v>
      </c>
      <c r="N2021" s="7">
        <v>58.625</v>
      </c>
      <c r="O2021" s="5">
        <v>61.5</v>
      </c>
      <c r="P2021" s="2" t="s">
        <v>6540</v>
      </c>
      <c r="Q2021" s="6">
        <v>100</v>
      </c>
      <c r="R2021" s="6">
        <v>122.38</v>
      </c>
      <c r="S2021" s="5">
        <v>679.8</v>
      </c>
      <c r="T2021" s="12">
        <v>1411.346</v>
      </c>
      <c r="U2021" s="5">
        <v>27.8</v>
      </c>
      <c r="V2021" s="6">
        <v>4.42</v>
      </c>
      <c r="W2021" s="6">
        <v>97.75</v>
      </c>
      <c r="X2021" s="7">
        <v>96.125</v>
      </c>
      <c r="Y2021" s="6">
        <v>116.25</v>
      </c>
      <c r="Z2021" s="5">
        <v>119.5</v>
      </c>
      <c r="AA2021" s="6">
        <v>153.93</v>
      </c>
      <c r="AB2021" s="7">
        <v>14.962999999999999</v>
      </c>
      <c r="AC2021" s="8">
        <v>1510.1</v>
      </c>
    </row>
    <row r="2022" spans="1:29" ht="52" x14ac:dyDescent="0.15">
      <c r="A2022" s="3">
        <f>DATE(1995,7,31)</f>
        <v>34911</v>
      </c>
      <c r="B2022" s="2"/>
      <c r="C2022" s="2" t="s">
        <v>189</v>
      </c>
      <c r="D2022" s="2" t="s">
        <v>6541</v>
      </c>
      <c r="E2022" s="2" t="s">
        <v>6542</v>
      </c>
      <c r="F2022" s="4">
        <v>2721</v>
      </c>
      <c r="G2022" s="2" t="s">
        <v>186</v>
      </c>
      <c r="H2022" s="2" t="s">
        <v>34</v>
      </c>
      <c r="I2022" s="2" t="s">
        <v>143</v>
      </c>
      <c r="J2022" s="2" t="s">
        <v>144</v>
      </c>
      <c r="K2022" s="2" t="s">
        <v>53</v>
      </c>
      <c r="L2022" s="2" t="s">
        <v>139</v>
      </c>
      <c r="M2022" s="2"/>
      <c r="N2022" s="2"/>
      <c r="O2022" s="2"/>
      <c r="P2022" s="2" t="s">
        <v>6543</v>
      </c>
      <c r="Q2022" s="2"/>
      <c r="R2022" s="2"/>
      <c r="S2022" s="5">
        <v>-0.1</v>
      </c>
      <c r="T2022" s="7">
        <v>0.42399999999999999</v>
      </c>
      <c r="U2022" s="8">
        <v>11051</v>
      </c>
      <c r="V2022" s="9">
        <v>50.890599999999999</v>
      </c>
      <c r="W2022" s="5">
        <v>9.5</v>
      </c>
      <c r="X2022" s="5">
        <v>10.5</v>
      </c>
      <c r="Y2022" s="4">
        <v>11</v>
      </c>
      <c r="Z2022" s="4">
        <v>12</v>
      </c>
      <c r="AA2022" s="2"/>
      <c r="AB2022" s="2" t="s">
        <v>86</v>
      </c>
      <c r="AC2022" s="2"/>
    </row>
    <row r="2023" spans="1:29" ht="130" x14ac:dyDescent="0.15">
      <c r="A2023" s="3">
        <f>DATE(1995,7,31)</f>
        <v>34911</v>
      </c>
      <c r="B2023" s="2"/>
      <c r="C2023" s="2" t="s">
        <v>30</v>
      </c>
      <c r="D2023" s="2" t="s">
        <v>6544</v>
      </c>
      <c r="E2023" s="2" t="s">
        <v>6545</v>
      </c>
      <c r="F2023" s="4">
        <v>7372</v>
      </c>
      <c r="G2023" s="2" t="s">
        <v>551</v>
      </c>
      <c r="H2023" s="2" t="s">
        <v>34</v>
      </c>
      <c r="I2023" s="2" t="s">
        <v>4639</v>
      </c>
      <c r="J2023" s="2" t="s">
        <v>4640</v>
      </c>
      <c r="K2023" s="2" t="s">
        <v>551</v>
      </c>
      <c r="L2023" s="2" t="s">
        <v>34</v>
      </c>
      <c r="M2023" s="12">
        <v>1281.703</v>
      </c>
      <c r="N2023" s="4">
        <v>72</v>
      </c>
      <c r="O2023" s="7">
        <v>68.063000000000002</v>
      </c>
      <c r="P2023" s="2" t="s">
        <v>6546</v>
      </c>
      <c r="Q2023" s="2"/>
      <c r="R2023" s="6">
        <v>60.26</v>
      </c>
      <c r="S2023" s="5">
        <v>5.9</v>
      </c>
      <c r="T2023" s="6">
        <v>11.03</v>
      </c>
      <c r="U2023" s="5">
        <v>7.7</v>
      </c>
      <c r="V2023" s="7">
        <v>0.74399999999999999</v>
      </c>
      <c r="W2023" s="5">
        <v>34.5</v>
      </c>
      <c r="X2023" s="5">
        <v>37.5</v>
      </c>
      <c r="Y2023" s="4">
        <v>39</v>
      </c>
      <c r="Z2023" s="5">
        <v>53.5</v>
      </c>
      <c r="AA2023" s="6">
        <v>7.43</v>
      </c>
      <c r="AB2023" s="7">
        <v>67.881</v>
      </c>
      <c r="AC2023" s="6">
        <v>126.55</v>
      </c>
    </row>
    <row r="2024" spans="1:29" ht="117" x14ac:dyDescent="0.15">
      <c r="A2024" s="3">
        <f>DATE(1995,7,31)</f>
        <v>34911</v>
      </c>
      <c r="B2024" s="3">
        <f>DATE(1996,2,2)</f>
        <v>35097</v>
      </c>
      <c r="C2024" s="2" t="s">
        <v>95</v>
      </c>
      <c r="D2024" s="2" t="s">
        <v>528</v>
      </c>
      <c r="E2024" s="2" t="s">
        <v>529</v>
      </c>
      <c r="F2024" s="4">
        <v>4833</v>
      </c>
      <c r="G2024" s="2" t="s">
        <v>45</v>
      </c>
      <c r="H2024" s="2" t="s">
        <v>34</v>
      </c>
      <c r="I2024" s="2" t="s">
        <v>6547</v>
      </c>
      <c r="J2024" s="2" t="s">
        <v>6548</v>
      </c>
      <c r="K2024" s="2" t="s">
        <v>45</v>
      </c>
      <c r="L2024" s="2" t="s">
        <v>34</v>
      </c>
      <c r="M2024" s="2"/>
      <c r="N2024" s="2"/>
      <c r="O2024" s="2"/>
      <c r="P2024" s="2" t="s">
        <v>6549</v>
      </c>
      <c r="Q2024" s="6">
        <v>100</v>
      </c>
      <c r="R2024" s="6">
        <v>47.25</v>
      </c>
      <c r="S2024" s="5">
        <v>10.6</v>
      </c>
      <c r="T2024" s="6">
        <v>25.74</v>
      </c>
      <c r="U2024" s="5">
        <v>2.6</v>
      </c>
      <c r="V2024" s="6">
        <v>1.62</v>
      </c>
      <c r="W2024" s="6">
        <v>26.75</v>
      </c>
      <c r="X2024" s="6">
        <v>26.25</v>
      </c>
      <c r="Y2024" s="7">
        <v>26.687999999999999</v>
      </c>
      <c r="Z2024" s="7">
        <v>28.062999999999999</v>
      </c>
      <c r="AA2024" s="6">
        <v>6.65</v>
      </c>
      <c r="AB2024" s="7">
        <v>19.207000000000001</v>
      </c>
      <c r="AC2024" s="2"/>
    </row>
    <row r="2025" spans="1:29" ht="65" x14ac:dyDescent="0.15">
      <c r="A2025" s="3">
        <f>DATE(1995,7,31)</f>
        <v>34911</v>
      </c>
      <c r="B2025" s="3">
        <f>DATE(1996,1,11)</f>
        <v>35075</v>
      </c>
      <c r="C2025" s="2" t="s">
        <v>95</v>
      </c>
      <c r="D2025" s="2" t="s">
        <v>2547</v>
      </c>
      <c r="E2025" s="2" t="s">
        <v>36</v>
      </c>
      <c r="F2025" s="4">
        <v>6035</v>
      </c>
      <c r="G2025" s="2" t="s">
        <v>33</v>
      </c>
      <c r="H2025" s="2" t="s">
        <v>34</v>
      </c>
      <c r="I2025" s="2" t="s">
        <v>6550</v>
      </c>
      <c r="J2025" s="2" t="s">
        <v>36</v>
      </c>
      <c r="K2025" s="2" t="s">
        <v>37</v>
      </c>
      <c r="L2025" s="2" t="s">
        <v>34</v>
      </c>
      <c r="M2025" s="7">
        <v>137.083</v>
      </c>
      <c r="N2025" s="6">
        <v>13.75</v>
      </c>
      <c r="O2025" s="7">
        <v>13.188000000000001</v>
      </c>
      <c r="P2025" s="2" t="s">
        <v>6551</v>
      </c>
      <c r="Q2025" s="6">
        <v>100</v>
      </c>
      <c r="R2025" s="6">
        <v>32</v>
      </c>
      <c r="S2025" s="5">
        <v>6.7</v>
      </c>
      <c r="T2025" s="2"/>
      <c r="U2025" s="5">
        <v>19.7</v>
      </c>
      <c r="V2025" s="6">
        <v>2.09</v>
      </c>
      <c r="W2025" s="6">
        <v>28.75</v>
      </c>
      <c r="X2025" s="7">
        <v>29.125</v>
      </c>
      <c r="Y2025" s="4">
        <v>30</v>
      </c>
      <c r="Z2025" s="7">
        <v>30.187999999999999</v>
      </c>
      <c r="AA2025" s="6">
        <v>3.44</v>
      </c>
      <c r="AB2025" s="7">
        <v>37.113999999999997</v>
      </c>
      <c r="AC2025" s="2"/>
    </row>
    <row r="2026" spans="1:29" ht="156" x14ac:dyDescent="0.15">
      <c r="A2026" s="3">
        <f>DATE(1995,8,1)</f>
        <v>34912</v>
      </c>
      <c r="B2026" s="3">
        <f>DATE(1995,11,24)</f>
        <v>35027</v>
      </c>
      <c r="C2026" s="2" t="s">
        <v>95</v>
      </c>
      <c r="D2026" s="2" t="s">
        <v>43</v>
      </c>
      <c r="E2026" s="2" t="s">
        <v>44</v>
      </c>
      <c r="F2026" s="4">
        <v>4833</v>
      </c>
      <c r="G2026" s="2" t="s">
        <v>45</v>
      </c>
      <c r="H2026" s="2" t="s">
        <v>34</v>
      </c>
      <c r="I2026" s="2" t="s">
        <v>1885</v>
      </c>
      <c r="J2026" s="2" t="s">
        <v>1886</v>
      </c>
      <c r="K2026" s="2" t="s">
        <v>137</v>
      </c>
      <c r="L2026" s="2" t="s">
        <v>34</v>
      </c>
      <c r="M2026" s="12">
        <v>5325.3689999999997</v>
      </c>
      <c r="N2026" s="7">
        <v>14.875</v>
      </c>
      <c r="O2026" s="6">
        <v>14.25</v>
      </c>
      <c r="P2026" s="2" t="s">
        <v>6552</v>
      </c>
      <c r="Q2026" s="6">
        <v>100</v>
      </c>
      <c r="R2026" s="6">
        <v>82.07</v>
      </c>
      <c r="S2026" s="5">
        <v>281.60000000000002</v>
      </c>
      <c r="T2026" s="5">
        <v>489.1</v>
      </c>
      <c r="U2026" s="5">
        <v>4.5</v>
      </c>
      <c r="V2026" s="6">
        <v>3.74</v>
      </c>
      <c r="W2026" s="4">
        <v>67</v>
      </c>
      <c r="X2026" s="6">
        <v>65.75</v>
      </c>
      <c r="Y2026" s="6">
        <v>65.75</v>
      </c>
      <c r="Z2026" s="7">
        <v>65.875</v>
      </c>
      <c r="AA2026" s="6">
        <v>61.35</v>
      </c>
      <c r="AB2026" s="7">
        <v>14.117000000000001</v>
      </c>
      <c r="AC2026" s="5">
        <v>338</v>
      </c>
    </row>
    <row r="2027" spans="1:29" ht="130" x14ac:dyDescent="0.15">
      <c r="A2027" s="3">
        <f>DATE(1995,8,2)</f>
        <v>34913</v>
      </c>
      <c r="B2027" s="3">
        <f>DATE(1996,2,27)</f>
        <v>35122</v>
      </c>
      <c r="C2027" s="2" t="s">
        <v>95</v>
      </c>
      <c r="D2027" s="2" t="s">
        <v>6553</v>
      </c>
      <c r="E2027" s="2" t="s">
        <v>1181</v>
      </c>
      <c r="F2027" s="4">
        <v>6021</v>
      </c>
      <c r="G2027" s="2" t="s">
        <v>37</v>
      </c>
      <c r="H2027" s="2" t="s">
        <v>34</v>
      </c>
      <c r="I2027" s="2" t="s">
        <v>2396</v>
      </c>
      <c r="J2027" s="2" t="s">
        <v>36</v>
      </c>
      <c r="K2027" s="2" t="s">
        <v>37</v>
      </c>
      <c r="L2027" s="2" t="s">
        <v>34</v>
      </c>
      <c r="M2027" s="12">
        <v>1740.6010000000001</v>
      </c>
      <c r="N2027" s="4">
        <v>35</v>
      </c>
      <c r="O2027" s="7">
        <v>34.625</v>
      </c>
      <c r="P2027" s="2" t="s">
        <v>6554</v>
      </c>
      <c r="Q2027" s="6">
        <v>100</v>
      </c>
      <c r="R2027" s="6">
        <v>53.02</v>
      </c>
      <c r="S2027" s="5">
        <v>2.2000000000000002</v>
      </c>
      <c r="T2027" s="7">
        <v>4.3220000000000001</v>
      </c>
      <c r="U2027" s="5">
        <v>20</v>
      </c>
      <c r="V2027" s="6">
        <v>2.44</v>
      </c>
      <c r="W2027" s="7">
        <v>39.375</v>
      </c>
      <c r="X2027" s="6">
        <v>41.25</v>
      </c>
      <c r="Y2027" s="4">
        <v>47</v>
      </c>
      <c r="Z2027" s="7">
        <v>47.875</v>
      </c>
      <c r="AA2027" s="6">
        <v>0.8</v>
      </c>
      <c r="AB2027" s="7">
        <v>63.929000000000002</v>
      </c>
      <c r="AC2027" s="2"/>
    </row>
    <row r="2028" spans="1:29" ht="156" x14ac:dyDescent="0.15">
      <c r="A2028" s="3">
        <f>DATE(1995,8,2)</f>
        <v>34913</v>
      </c>
      <c r="B2028" s="3">
        <f>DATE(1996,9,11)</f>
        <v>35319</v>
      </c>
      <c r="C2028" s="2" t="s">
        <v>95</v>
      </c>
      <c r="D2028" s="2" t="s">
        <v>6555</v>
      </c>
      <c r="E2028" s="2" t="s">
        <v>6556</v>
      </c>
      <c r="F2028" s="4">
        <v>4011</v>
      </c>
      <c r="G2028" s="2" t="s">
        <v>173</v>
      </c>
      <c r="H2028" s="2" t="s">
        <v>34</v>
      </c>
      <c r="I2028" s="2" t="s">
        <v>6557</v>
      </c>
      <c r="J2028" s="2" t="s">
        <v>6558</v>
      </c>
      <c r="K2028" s="2" t="s">
        <v>173</v>
      </c>
      <c r="L2028" s="2" t="s">
        <v>34</v>
      </c>
      <c r="M2028" s="12">
        <v>11547.056</v>
      </c>
      <c r="N2028" s="7">
        <v>64.375</v>
      </c>
      <c r="O2028" s="4">
        <v>65</v>
      </c>
      <c r="P2028" s="2" t="s">
        <v>6559</v>
      </c>
      <c r="Q2028" s="6">
        <v>100</v>
      </c>
      <c r="R2028" s="6">
        <v>25</v>
      </c>
      <c r="S2028" s="5">
        <v>176.8</v>
      </c>
      <c r="T2028" s="5">
        <v>373.6</v>
      </c>
      <c r="U2028" s="5">
        <v>6.8</v>
      </c>
      <c r="V2028" s="7">
        <v>1.1539999999999999</v>
      </c>
      <c r="W2028" s="7">
        <v>19.875</v>
      </c>
      <c r="X2028" s="7">
        <v>19.625</v>
      </c>
      <c r="Y2028" s="7">
        <v>19.625</v>
      </c>
      <c r="Z2028" s="6">
        <v>22.25</v>
      </c>
      <c r="AA2028" s="6">
        <v>156.13999999999999</v>
      </c>
      <c r="AB2028" s="7">
        <v>23.45</v>
      </c>
      <c r="AC2028" s="5">
        <v>121</v>
      </c>
    </row>
    <row r="2029" spans="1:29" ht="52" x14ac:dyDescent="0.15">
      <c r="A2029" s="3">
        <f>DATE(1995,8,3)</f>
        <v>34914</v>
      </c>
      <c r="B2029" s="2"/>
      <c r="C2029" s="2" t="s">
        <v>189</v>
      </c>
      <c r="D2029" s="2" t="s">
        <v>6560</v>
      </c>
      <c r="E2029" s="2" t="s">
        <v>6561</v>
      </c>
      <c r="F2029" s="4">
        <v>6798</v>
      </c>
      <c r="G2029" s="2" t="s">
        <v>53</v>
      </c>
      <c r="H2029" s="2" t="s">
        <v>34</v>
      </c>
      <c r="I2029" s="2" t="s">
        <v>143</v>
      </c>
      <c r="J2029" s="2" t="s">
        <v>144</v>
      </c>
      <c r="K2029" s="2" t="s">
        <v>53</v>
      </c>
      <c r="L2029" s="2" t="s">
        <v>139</v>
      </c>
      <c r="M2029" s="2"/>
      <c r="N2029" s="2"/>
      <c r="O2029" s="2"/>
      <c r="P2029" s="2" t="s">
        <v>6562</v>
      </c>
      <c r="Q2029" s="2"/>
      <c r="R2029" s="2"/>
      <c r="S2029" s="5">
        <v>0.7</v>
      </c>
      <c r="T2029" s="7">
        <v>1.286</v>
      </c>
      <c r="U2029" s="5">
        <v>4.7</v>
      </c>
      <c r="V2029" s="6">
        <v>0.65</v>
      </c>
      <c r="W2029" s="7">
        <v>8.8130000000000006</v>
      </c>
      <c r="X2029" s="7">
        <v>8.5630000000000006</v>
      </c>
      <c r="Y2029" s="6">
        <v>8.75</v>
      </c>
      <c r="Z2029" s="7">
        <v>8.625</v>
      </c>
      <c r="AA2029" s="6">
        <v>1.08</v>
      </c>
      <c r="AB2029" s="2" t="s">
        <v>47</v>
      </c>
      <c r="AC2029" s="2"/>
    </row>
    <row r="2030" spans="1:29" ht="130" x14ac:dyDescent="0.15">
      <c r="A2030" s="3">
        <f>DATE(1995,8,4)</f>
        <v>34915</v>
      </c>
      <c r="B2030" s="3">
        <f>DATE(1995,9,12)</f>
        <v>34954</v>
      </c>
      <c r="C2030" s="2" t="s">
        <v>95</v>
      </c>
      <c r="D2030" s="2" t="s">
        <v>6563</v>
      </c>
      <c r="E2030" s="2" t="s">
        <v>6564</v>
      </c>
      <c r="F2030" s="4">
        <v>2711</v>
      </c>
      <c r="G2030" s="2" t="s">
        <v>186</v>
      </c>
      <c r="H2030" s="2" t="s">
        <v>34</v>
      </c>
      <c r="I2030" s="2" t="s">
        <v>6565</v>
      </c>
      <c r="J2030" s="2" t="s">
        <v>417</v>
      </c>
      <c r="K2030" s="2" t="s">
        <v>186</v>
      </c>
      <c r="L2030" s="2" t="s">
        <v>34</v>
      </c>
      <c r="M2030" s="2"/>
      <c r="N2030" s="2"/>
      <c r="O2030" s="2"/>
      <c r="P2030" s="2" t="s">
        <v>6566</v>
      </c>
      <c r="Q2030" s="6">
        <v>100</v>
      </c>
      <c r="R2030" s="6">
        <v>28</v>
      </c>
      <c r="S2030" s="5">
        <v>5.7</v>
      </c>
      <c r="T2030" s="7">
        <v>15.303000000000001</v>
      </c>
      <c r="U2030" s="5">
        <v>-0.2</v>
      </c>
      <c r="V2030" s="7">
        <v>0.79800000000000004</v>
      </c>
      <c r="W2030" s="6">
        <v>22.75</v>
      </c>
      <c r="X2030" s="6">
        <v>21.75</v>
      </c>
      <c r="Y2030" s="6">
        <v>26.25</v>
      </c>
      <c r="Z2030" s="7">
        <v>27.125</v>
      </c>
      <c r="AA2030" s="6">
        <v>6.91</v>
      </c>
      <c r="AB2030" s="7">
        <v>26.062000000000001</v>
      </c>
      <c r="AC2030" s="2"/>
    </row>
    <row r="2031" spans="1:29" ht="156" x14ac:dyDescent="0.15">
      <c r="A2031" s="3">
        <f>DATE(1995,8,4)</f>
        <v>34915</v>
      </c>
      <c r="B2031" s="3">
        <f>DATE(1996,1,2)</f>
        <v>35066</v>
      </c>
      <c r="C2031" s="2" t="s">
        <v>95</v>
      </c>
      <c r="D2031" s="2" t="s">
        <v>6567</v>
      </c>
      <c r="E2031" s="2" t="s">
        <v>36</v>
      </c>
      <c r="F2031" s="4">
        <v>6022</v>
      </c>
      <c r="G2031" s="2" t="s">
        <v>37</v>
      </c>
      <c r="H2031" s="2" t="s">
        <v>34</v>
      </c>
      <c r="I2031" s="2" t="s">
        <v>2452</v>
      </c>
      <c r="J2031" s="2" t="s">
        <v>265</v>
      </c>
      <c r="K2031" s="2" t="s">
        <v>37</v>
      </c>
      <c r="L2031" s="2" t="s">
        <v>34</v>
      </c>
      <c r="M2031" s="12">
        <v>2455.4409999999998</v>
      </c>
      <c r="N2031" s="7">
        <v>43.125</v>
      </c>
      <c r="O2031" s="5">
        <v>42.5</v>
      </c>
      <c r="P2031" s="2" t="s">
        <v>6568</v>
      </c>
      <c r="Q2031" s="6">
        <v>92.17</v>
      </c>
      <c r="R2031" s="6">
        <v>25.66</v>
      </c>
      <c r="S2031" s="5">
        <v>23.7</v>
      </c>
      <c r="T2031" s="7">
        <v>38.656999999999996</v>
      </c>
      <c r="U2031" s="5">
        <v>13.1</v>
      </c>
      <c r="V2031" s="6">
        <v>1.78</v>
      </c>
      <c r="W2031" s="7">
        <v>21.375</v>
      </c>
      <c r="X2031" s="6">
        <v>22.75</v>
      </c>
      <c r="Y2031" s="6">
        <v>22.75</v>
      </c>
      <c r="Z2031" s="7">
        <v>23.437999999999999</v>
      </c>
      <c r="AA2031" s="6">
        <v>13.46</v>
      </c>
      <c r="AB2031" s="7">
        <v>12.247999999999999</v>
      </c>
      <c r="AC2031" s="2"/>
    </row>
    <row r="2032" spans="1:29" ht="52" x14ac:dyDescent="0.15">
      <c r="A2032" s="3">
        <f>DATE(1995,8,4)</f>
        <v>34915</v>
      </c>
      <c r="B2032" s="3">
        <f>DATE(1996,2,29)</f>
        <v>35124</v>
      </c>
      <c r="C2032" s="2" t="s">
        <v>95</v>
      </c>
      <c r="D2032" s="2" t="s">
        <v>5940</v>
      </c>
      <c r="E2032" s="2" t="s">
        <v>5941</v>
      </c>
      <c r="F2032" s="4">
        <v>6321</v>
      </c>
      <c r="G2032" s="2" t="s">
        <v>125</v>
      </c>
      <c r="H2032" s="2" t="s">
        <v>34</v>
      </c>
      <c r="I2032" s="2" t="s">
        <v>6569</v>
      </c>
      <c r="J2032" s="2" t="s">
        <v>6570</v>
      </c>
      <c r="K2032" s="2" t="s">
        <v>125</v>
      </c>
      <c r="L2032" s="2" t="s">
        <v>34</v>
      </c>
      <c r="M2032" s="2"/>
      <c r="N2032" s="2"/>
      <c r="O2032" s="2"/>
      <c r="P2032" s="2" t="s">
        <v>6571</v>
      </c>
      <c r="Q2032" s="6">
        <v>100</v>
      </c>
      <c r="R2032" s="6">
        <v>15.67</v>
      </c>
      <c r="S2032" s="5">
        <v>5.7</v>
      </c>
      <c r="T2032" s="2"/>
      <c r="U2032" s="5">
        <v>7.9</v>
      </c>
      <c r="V2032" s="6">
        <v>1.06</v>
      </c>
      <c r="W2032" s="4">
        <v>10</v>
      </c>
      <c r="X2032" s="4">
        <v>10</v>
      </c>
      <c r="Y2032" s="7">
        <v>10.125</v>
      </c>
      <c r="Z2032" s="7">
        <v>10.125</v>
      </c>
      <c r="AA2032" s="6">
        <v>5.45</v>
      </c>
      <c r="AB2032" s="7">
        <v>9.4239999999999995</v>
      </c>
      <c r="AC2032" s="2"/>
    </row>
    <row r="2033" spans="1:29" ht="39" x14ac:dyDescent="0.15">
      <c r="A2033" s="3">
        <f>DATE(1995,8,4)</f>
        <v>34915</v>
      </c>
      <c r="B2033" s="2"/>
      <c r="C2033" s="2" t="s">
        <v>141</v>
      </c>
      <c r="D2033" s="2" t="s">
        <v>6572</v>
      </c>
      <c r="E2033" s="2" t="s">
        <v>6573</v>
      </c>
      <c r="F2033" s="4">
        <v>7011</v>
      </c>
      <c r="G2033" s="2" t="s">
        <v>269</v>
      </c>
      <c r="H2033" s="2" t="s">
        <v>34</v>
      </c>
      <c r="I2033" s="2" t="s">
        <v>143</v>
      </c>
      <c r="J2033" s="2" t="s">
        <v>144</v>
      </c>
      <c r="K2033" s="2" t="s">
        <v>53</v>
      </c>
      <c r="L2033" s="2" t="s">
        <v>139</v>
      </c>
      <c r="M2033" s="2"/>
      <c r="N2033" s="2"/>
      <c r="O2033" s="2"/>
      <c r="P2033" s="2" t="s">
        <v>6574</v>
      </c>
      <c r="Q2033" s="2"/>
      <c r="R2033" s="2"/>
      <c r="S2033" s="5">
        <v>3.9</v>
      </c>
      <c r="T2033" s="7">
        <v>29.126999999999999</v>
      </c>
      <c r="U2033" s="5">
        <v>6.4</v>
      </c>
      <c r="V2033" s="7">
        <v>0.40600000000000003</v>
      </c>
      <c r="W2033" s="7">
        <v>13.625</v>
      </c>
      <c r="X2033" s="6">
        <v>14.25</v>
      </c>
      <c r="Y2033" s="5">
        <v>14.5</v>
      </c>
      <c r="Z2033" s="7">
        <v>14.125</v>
      </c>
      <c r="AA2033" s="6">
        <v>8.9</v>
      </c>
      <c r="AB2033" s="2" t="s">
        <v>47</v>
      </c>
      <c r="AC2033" s="2"/>
    </row>
    <row r="2034" spans="1:29" ht="143" x14ac:dyDescent="0.15">
      <c r="A2034" s="3">
        <f>DATE(1995,8,7)</f>
        <v>34918</v>
      </c>
      <c r="B2034" s="3">
        <f>DATE(1996,2,21)</f>
        <v>35116</v>
      </c>
      <c r="C2034" s="2" t="s">
        <v>95</v>
      </c>
      <c r="D2034" s="2" t="s">
        <v>6575</v>
      </c>
      <c r="E2034" s="2" t="s">
        <v>389</v>
      </c>
      <c r="F2034" s="4">
        <v>6036</v>
      </c>
      <c r="G2034" s="2" t="s">
        <v>33</v>
      </c>
      <c r="H2034" s="2" t="s">
        <v>34</v>
      </c>
      <c r="I2034" s="2" t="s">
        <v>3878</v>
      </c>
      <c r="J2034" s="2" t="s">
        <v>3780</v>
      </c>
      <c r="K2034" s="2" t="s">
        <v>37</v>
      </c>
      <c r="L2034" s="2" t="s">
        <v>34</v>
      </c>
      <c r="M2034" s="7">
        <v>527.947</v>
      </c>
      <c r="N2034" s="4">
        <v>49</v>
      </c>
      <c r="O2034" s="4">
        <v>49</v>
      </c>
      <c r="P2034" s="2" t="s">
        <v>6576</v>
      </c>
      <c r="Q2034" s="6">
        <v>100</v>
      </c>
      <c r="R2034" s="6">
        <v>25.25</v>
      </c>
      <c r="S2034" s="5">
        <v>3</v>
      </c>
      <c r="T2034" s="7">
        <v>4.7610000000000001</v>
      </c>
      <c r="U2034" s="5">
        <v>13.4</v>
      </c>
      <c r="V2034" s="7">
        <v>1.278</v>
      </c>
      <c r="W2034" s="7">
        <v>19.375</v>
      </c>
      <c r="X2034" s="5">
        <v>20.5</v>
      </c>
      <c r="Y2034" s="6">
        <v>20.75</v>
      </c>
      <c r="Z2034" s="6">
        <v>22.25</v>
      </c>
      <c r="AA2034" s="6">
        <v>2.2599999999999998</v>
      </c>
      <c r="AB2034" s="7">
        <v>58.994</v>
      </c>
      <c r="AC2034" s="2"/>
    </row>
    <row r="2035" spans="1:29" ht="52" x14ac:dyDescent="0.15">
      <c r="A2035" s="3">
        <f>DATE(1995,8,7)</f>
        <v>34918</v>
      </c>
      <c r="B2035" s="2"/>
      <c r="C2035" s="2" t="s">
        <v>30</v>
      </c>
      <c r="D2035" s="2" t="s">
        <v>6577</v>
      </c>
      <c r="E2035" s="2" t="s">
        <v>6578</v>
      </c>
      <c r="F2035" s="4">
        <v>7231</v>
      </c>
      <c r="G2035" s="2" t="s">
        <v>1517</v>
      </c>
      <c r="H2035" s="2" t="s">
        <v>34</v>
      </c>
      <c r="I2035" s="2" t="s">
        <v>4581</v>
      </c>
      <c r="J2035" s="2" t="s">
        <v>4582</v>
      </c>
      <c r="K2035" s="2" t="s">
        <v>73</v>
      </c>
      <c r="L2035" s="2" t="s">
        <v>34</v>
      </c>
      <c r="M2035" s="6">
        <v>20.94</v>
      </c>
      <c r="N2035" s="7">
        <v>4.375</v>
      </c>
      <c r="O2035" s="7">
        <v>4.375</v>
      </c>
      <c r="P2035" s="2" t="s">
        <v>6579</v>
      </c>
      <c r="Q2035" s="2"/>
      <c r="R2035" s="6">
        <v>13</v>
      </c>
      <c r="S2035" s="5">
        <v>2.8</v>
      </c>
      <c r="T2035" s="7">
        <v>6.8520000000000003</v>
      </c>
      <c r="U2035" s="5">
        <v>10.1</v>
      </c>
      <c r="V2035" s="6">
        <v>0.63</v>
      </c>
      <c r="W2035" s="7">
        <v>8.125</v>
      </c>
      <c r="X2035" s="7">
        <v>8.625</v>
      </c>
      <c r="Y2035" s="5">
        <v>9.5</v>
      </c>
      <c r="Z2035" s="7">
        <v>9.375</v>
      </c>
      <c r="AA2035" s="6">
        <v>4.28</v>
      </c>
      <c r="AB2035" s="7">
        <v>13.289</v>
      </c>
      <c r="AC2035" s="2"/>
    </row>
    <row r="2036" spans="1:29" ht="39" x14ac:dyDescent="0.15">
      <c r="A2036" s="3">
        <f>DATE(1995,8,7)</f>
        <v>34918</v>
      </c>
      <c r="B2036" s="2"/>
      <c r="C2036" s="2" t="s">
        <v>189</v>
      </c>
      <c r="D2036" s="2" t="s">
        <v>6580</v>
      </c>
      <c r="E2036" s="2" t="s">
        <v>540</v>
      </c>
      <c r="F2036" s="4">
        <v>2836</v>
      </c>
      <c r="G2036" s="2" t="s">
        <v>130</v>
      </c>
      <c r="H2036" s="2" t="s">
        <v>34</v>
      </c>
      <c r="I2036" s="2" t="s">
        <v>143</v>
      </c>
      <c r="J2036" s="2" t="s">
        <v>144</v>
      </c>
      <c r="K2036" s="2" t="s">
        <v>53</v>
      </c>
      <c r="L2036" s="2" t="s">
        <v>139</v>
      </c>
      <c r="M2036" s="2"/>
      <c r="N2036" s="2"/>
      <c r="O2036" s="2"/>
      <c r="P2036" s="2" t="s">
        <v>6581</v>
      </c>
      <c r="Q2036" s="2"/>
      <c r="R2036" s="2"/>
      <c r="S2036" s="5">
        <v>-6.3</v>
      </c>
      <c r="T2036" s="7">
        <v>-3.6150000000000002</v>
      </c>
      <c r="U2036" s="5">
        <v>0.3</v>
      </c>
      <c r="V2036" s="6">
        <v>-0.13</v>
      </c>
      <c r="W2036" s="7">
        <v>3.375</v>
      </c>
      <c r="X2036" s="7">
        <v>3.625</v>
      </c>
      <c r="Y2036" s="6">
        <v>3.75</v>
      </c>
      <c r="Z2036" s="7">
        <v>3.625</v>
      </c>
      <c r="AA2036" s="6">
        <v>25.48</v>
      </c>
      <c r="AB2036" s="2" t="s">
        <v>86</v>
      </c>
      <c r="AC2036" s="2"/>
    </row>
    <row r="2037" spans="1:29" ht="169" x14ac:dyDescent="0.15">
      <c r="A2037" s="3">
        <f>DATE(1995,8,7)</f>
        <v>34918</v>
      </c>
      <c r="B2037" s="3">
        <f>DATE(1996,2,16)</f>
        <v>35111</v>
      </c>
      <c r="C2037" s="2" t="s">
        <v>95</v>
      </c>
      <c r="D2037" s="2" t="s">
        <v>3700</v>
      </c>
      <c r="E2037" s="2" t="s">
        <v>36</v>
      </c>
      <c r="F2037" s="4">
        <v>6021</v>
      </c>
      <c r="G2037" s="2" t="s">
        <v>37</v>
      </c>
      <c r="H2037" s="2" t="s">
        <v>34</v>
      </c>
      <c r="I2037" s="2" t="s">
        <v>2830</v>
      </c>
      <c r="J2037" s="2" t="s">
        <v>36</v>
      </c>
      <c r="K2037" s="2" t="s">
        <v>37</v>
      </c>
      <c r="L2037" s="2" t="s">
        <v>34</v>
      </c>
      <c r="M2037" s="12">
        <v>5425.2929999999997</v>
      </c>
      <c r="N2037" s="7">
        <v>43.375</v>
      </c>
      <c r="O2037" s="7">
        <v>43.875</v>
      </c>
      <c r="P2037" s="2" t="s">
        <v>6582</v>
      </c>
      <c r="Q2037" s="6">
        <v>100</v>
      </c>
      <c r="R2037" s="6">
        <v>37.97</v>
      </c>
      <c r="S2037" s="5">
        <v>52</v>
      </c>
      <c r="T2037" s="7">
        <v>77.656999999999996</v>
      </c>
      <c r="U2037" s="5">
        <v>18.399999999999999</v>
      </c>
      <c r="V2037" s="6">
        <v>3</v>
      </c>
      <c r="W2037" s="5">
        <v>37.5</v>
      </c>
      <c r="X2037" s="4">
        <v>39</v>
      </c>
      <c r="Y2037" s="4">
        <v>37</v>
      </c>
      <c r="Z2037" s="6">
        <v>37.25</v>
      </c>
      <c r="AA2037" s="6">
        <v>18.72</v>
      </c>
      <c r="AB2037" s="7">
        <v>14.148999999999999</v>
      </c>
      <c r="AC2037" s="2"/>
    </row>
    <row r="2038" spans="1:29" ht="52" x14ac:dyDescent="0.15">
      <c r="A2038" s="3">
        <f>DATE(1995,8,7)</f>
        <v>34918</v>
      </c>
      <c r="B2038" s="3">
        <f>DATE(1995,8,7)</f>
        <v>34918</v>
      </c>
      <c r="C2038" s="2" t="s">
        <v>95</v>
      </c>
      <c r="D2038" s="2" t="s">
        <v>6583</v>
      </c>
      <c r="E2038" s="2" t="s">
        <v>6584</v>
      </c>
      <c r="F2038" s="4">
        <v>5641</v>
      </c>
      <c r="G2038" s="2" t="s">
        <v>756</v>
      </c>
      <c r="H2038" s="2" t="s">
        <v>34</v>
      </c>
      <c r="I2038" s="2" t="s">
        <v>51</v>
      </c>
      <c r="J2038" s="2" t="s">
        <v>52</v>
      </c>
      <c r="K2038" s="2" t="s">
        <v>53</v>
      </c>
      <c r="L2038" s="2" t="s">
        <v>34</v>
      </c>
      <c r="M2038" s="2"/>
      <c r="N2038" s="2"/>
      <c r="O2038" s="2"/>
      <c r="P2038" s="2" t="s">
        <v>6585</v>
      </c>
      <c r="Q2038" s="6">
        <v>62</v>
      </c>
      <c r="R2038" s="2"/>
      <c r="S2038" s="2"/>
      <c r="T2038" s="2"/>
      <c r="U2038" s="2"/>
      <c r="V2038" s="2"/>
      <c r="W2038" s="7">
        <v>2.875</v>
      </c>
      <c r="X2038" s="7">
        <v>2.9380000000000002</v>
      </c>
      <c r="Y2038" s="7">
        <v>3.625</v>
      </c>
      <c r="Z2038" s="6">
        <v>3.75</v>
      </c>
      <c r="AA2038" s="6">
        <v>6.35</v>
      </c>
      <c r="AB2038" s="2" t="s">
        <v>47</v>
      </c>
      <c r="AC2038" s="2"/>
    </row>
    <row r="2039" spans="1:29" ht="39" x14ac:dyDescent="0.15">
      <c r="A2039" s="3">
        <f>DATE(1995,8,8)</f>
        <v>34919</v>
      </c>
      <c r="B2039" s="2"/>
      <c r="C2039" s="2" t="s">
        <v>189</v>
      </c>
      <c r="D2039" s="2" t="s">
        <v>5811</v>
      </c>
      <c r="E2039" s="2" t="s">
        <v>5812</v>
      </c>
      <c r="F2039" s="4">
        <v>6141</v>
      </c>
      <c r="G2039" s="2" t="s">
        <v>370</v>
      </c>
      <c r="H2039" s="2" t="s">
        <v>34</v>
      </c>
      <c r="I2039" s="2" t="s">
        <v>143</v>
      </c>
      <c r="J2039" s="2" t="s">
        <v>144</v>
      </c>
      <c r="K2039" s="2" t="s">
        <v>53</v>
      </c>
      <c r="L2039" s="2" t="s">
        <v>139</v>
      </c>
      <c r="M2039" s="2"/>
      <c r="N2039" s="2"/>
      <c r="O2039" s="2"/>
      <c r="P2039" s="2" t="s">
        <v>6586</v>
      </c>
      <c r="Q2039" s="2"/>
      <c r="R2039" s="2"/>
      <c r="S2039" s="5">
        <v>0.1</v>
      </c>
      <c r="T2039" s="7">
        <v>0.27800000000000002</v>
      </c>
      <c r="U2039" s="5">
        <v>27.2</v>
      </c>
      <c r="V2039" s="6">
        <v>0.15</v>
      </c>
      <c r="W2039" s="4">
        <v>6</v>
      </c>
      <c r="X2039" s="4">
        <v>6</v>
      </c>
      <c r="Y2039" s="4">
        <v>6</v>
      </c>
      <c r="Z2039" s="4">
        <v>6</v>
      </c>
      <c r="AA2039" s="6">
        <v>3.1</v>
      </c>
      <c r="AB2039" s="2" t="s">
        <v>47</v>
      </c>
      <c r="AC2039" s="2"/>
    </row>
    <row r="2040" spans="1:29" ht="156" x14ac:dyDescent="0.15">
      <c r="A2040" s="3">
        <f>DATE(1995,8,8)</f>
        <v>34919</v>
      </c>
      <c r="B2040" s="3">
        <f>DATE(1996,7,31)</f>
        <v>35277</v>
      </c>
      <c r="C2040" s="2" t="s">
        <v>95</v>
      </c>
      <c r="D2040" s="2" t="s">
        <v>4800</v>
      </c>
      <c r="E2040" s="2" t="s">
        <v>4801</v>
      </c>
      <c r="F2040" s="4">
        <v>3572</v>
      </c>
      <c r="G2040" s="2" t="s">
        <v>50</v>
      </c>
      <c r="H2040" s="2" t="s">
        <v>34</v>
      </c>
      <c r="I2040" s="2" t="s">
        <v>6587</v>
      </c>
      <c r="J2040" s="2" t="s">
        <v>6588</v>
      </c>
      <c r="K2040" s="2" t="s">
        <v>76</v>
      </c>
      <c r="L2040" s="2" t="s">
        <v>1049</v>
      </c>
      <c r="M2040" s="2"/>
      <c r="N2040" s="2"/>
      <c r="O2040" s="2"/>
      <c r="P2040" s="2" t="s">
        <v>6589</v>
      </c>
      <c r="Q2040" s="6">
        <v>21.9</v>
      </c>
      <c r="R2040" s="2"/>
      <c r="S2040" s="5">
        <v>-67.599999999999994</v>
      </c>
      <c r="T2040" s="7">
        <v>-32.997</v>
      </c>
      <c r="U2040" s="5">
        <v>-1.1000000000000001</v>
      </c>
      <c r="V2040" s="6">
        <v>-3.76</v>
      </c>
      <c r="W2040" s="6">
        <v>2.25</v>
      </c>
      <c r="X2040" s="6">
        <v>2.25</v>
      </c>
      <c r="Y2040" s="6">
        <v>2.25</v>
      </c>
      <c r="Z2040" s="7">
        <v>2.125</v>
      </c>
      <c r="AA2040" s="6">
        <v>63.93</v>
      </c>
      <c r="AB2040" s="2" t="s">
        <v>86</v>
      </c>
      <c r="AC2040" s="6">
        <v>23.35</v>
      </c>
    </row>
    <row r="2041" spans="1:29" ht="169" x14ac:dyDescent="0.15">
      <c r="A2041" s="3">
        <f>DATE(1995,8,8)</f>
        <v>34919</v>
      </c>
      <c r="B2041" s="3">
        <f>DATE(1995,12,14)</f>
        <v>35047</v>
      </c>
      <c r="C2041" s="2" t="s">
        <v>95</v>
      </c>
      <c r="D2041" s="2" t="s">
        <v>6590</v>
      </c>
      <c r="E2041" s="2" t="s">
        <v>367</v>
      </c>
      <c r="F2041" s="4">
        <v>6211</v>
      </c>
      <c r="G2041" s="2" t="s">
        <v>53</v>
      </c>
      <c r="H2041" s="2" t="s">
        <v>34</v>
      </c>
      <c r="I2041" s="2" t="s">
        <v>6591</v>
      </c>
      <c r="J2041" s="2" t="s">
        <v>6592</v>
      </c>
      <c r="K2041" s="2" t="s">
        <v>125</v>
      </c>
      <c r="L2041" s="2" t="s">
        <v>34</v>
      </c>
      <c r="M2041" s="2"/>
      <c r="N2041" s="2"/>
      <c r="O2041" s="2"/>
      <c r="P2041" s="2" t="s">
        <v>6593</v>
      </c>
      <c r="Q2041" s="6">
        <v>100</v>
      </c>
      <c r="R2041" s="6">
        <v>11.88</v>
      </c>
      <c r="S2041" s="5">
        <v>-3.2</v>
      </c>
      <c r="T2041" s="2"/>
      <c r="U2041" s="5">
        <v>22.2</v>
      </c>
      <c r="V2041" s="6">
        <v>-0.69</v>
      </c>
      <c r="W2041" s="7">
        <v>8.875</v>
      </c>
      <c r="X2041" s="4">
        <v>12</v>
      </c>
      <c r="Y2041" s="4">
        <v>15</v>
      </c>
      <c r="Z2041" s="6">
        <v>14.25</v>
      </c>
      <c r="AA2041" s="6">
        <v>5.25</v>
      </c>
      <c r="AB2041" s="2" t="s">
        <v>86</v>
      </c>
      <c r="AC2041" s="2"/>
    </row>
    <row r="2042" spans="1:29" ht="143" x14ac:dyDescent="0.15">
      <c r="A2042" s="3">
        <f>DATE(1995,8,9)</f>
        <v>34920</v>
      </c>
      <c r="B2042" s="3">
        <f>DATE(1995,9,30)</f>
        <v>34972</v>
      </c>
      <c r="C2042" s="2" t="s">
        <v>95</v>
      </c>
      <c r="D2042" s="2" t="s">
        <v>6594</v>
      </c>
      <c r="E2042" s="2" t="s">
        <v>6595</v>
      </c>
      <c r="F2042" s="4">
        <v>7261</v>
      </c>
      <c r="G2042" s="2" t="s">
        <v>1517</v>
      </c>
      <c r="H2042" s="2" t="s">
        <v>34</v>
      </c>
      <c r="I2042" s="2" t="s">
        <v>6596</v>
      </c>
      <c r="J2042" s="2" t="s">
        <v>3140</v>
      </c>
      <c r="K2042" s="2" t="s">
        <v>1517</v>
      </c>
      <c r="L2042" s="2" t="s">
        <v>902</v>
      </c>
      <c r="M2042" s="2"/>
      <c r="N2042" s="2"/>
      <c r="O2042" s="2"/>
      <c r="P2042" s="2" t="s">
        <v>6597</v>
      </c>
      <c r="Q2042" s="6">
        <v>100</v>
      </c>
      <c r="R2042" s="6">
        <v>10.25</v>
      </c>
      <c r="S2042" s="5">
        <v>3</v>
      </c>
      <c r="T2042" s="6">
        <v>3.08</v>
      </c>
      <c r="U2042" s="5">
        <v>6.7</v>
      </c>
      <c r="V2042" s="6">
        <v>0.44</v>
      </c>
      <c r="W2042" s="7">
        <v>7.625</v>
      </c>
      <c r="X2042" s="7">
        <v>8.875</v>
      </c>
      <c r="Y2042" s="4">
        <v>10</v>
      </c>
      <c r="Z2042" s="4">
        <v>10</v>
      </c>
      <c r="AA2042" s="6">
        <v>6.27</v>
      </c>
      <c r="AB2042" s="7">
        <v>45.677</v>
      </c>
      <c r="AC2042" s="6">
        <v>21.03</v>
      </c>
    </row>
    <row r="2043" spans="1:29" ht="52" x14ac:dyDescent="0.15">
      <c r="A2043" s="3">
        <f>DATE(1995,8,10)</f>
        <v>34921</v>
      </c>
      <c r="B2043" s="2"/>
      <c r="C2043" s="2" t="s">
        <v>30</v>
      </c>
      <c r="D2043" s="2" t="s">
        <v>6598</v>
      </c>
      <c r="E2043" s="2" t="s">
        <v>6599</v>
      </c>
      <c r="F2043" s="4">
        <v>3452</v>
      </c>
      <c r="G2043" s="2" t="s">
        <v>163</v>
      </c>
      <c r="H2043" s="2" t="s">
        <v>34</v>
      </c>
      <c r="I2043" s="2" t="s">
        <v>506</v>
      </c>
      <c r="J2043" s="2" t="s">
        <v>507</v>
      </c>
      <c r="K2043" s="2" t="s">
        <v>300</v>
      </c>
      <c r="L2043" s="2" t="s">
        <v>34</v>
      </c>
      <c r="M2043" s="12">
        <v>6706.5789999999997</v>
      </c>
      <c r="N2043" s="6">
        <v>57.25</v>
      </c>
      <c r="O2043" s="4">
        <v>58</v>
      </c>
      <c r="P2043" s="2" t="s">
        <v>6600</v>
      </c>
      <c r="Q2043" s="2"/>
      <c r="R2043" s="6">
        <v>27</v>
      </c>
      <c r="S2043" s="5">
        <v>10.3</v>
      </c>
      <c r="T2043" s="7">
        <v>30.545999999999999</v>
      </c>
      <c r="U2043" s="5">
        <v>14.8</v>
      </c>
      <c r="V2043" s="6">
        <v>2.08</v>
      </c>
      <c r="W2043" s="6">
        <v>18.25</v>
      </c>
      <c r="X2043" s="7">
        <v>18.625</v>
      </c>
      <c r="Y2043" s="6">
        <v>19.25</v>
      </c>
      <c r="Z2043" s="6">
        <v>30.75</v>
      </c>
      <c r="AA2043" s="6">
        <v>4.97</v>
      </c>
      <c r="AB2043" s="7">
        <v>9.1519999999999992</v>
      </c>
      <c r="AC2043" s="6">
        <v>76.87</v>
      </c>
    </row>
    <row r="2044" spans="1:29" ht="156" x14ac:dyDescent="0.15">
      <c r="A2044" s="3">
        <f>DATE(1995,8,10)</f>
        <v>34921</v>
      </c>
      <c r="B2044" s="3">
        <f>DATE(1995,10,13)</f>
        <v>34985</v>
      </c>
      <c r="C2044" s="2" t="s">
        <v>95</v>
      </c>
      <c r="D2044" s="2" t="s">
        <v>6601</v>
      </c>
      <c r="E2044" s="2" t="s">
        <v>515</v>
      </c>
      <c r="F2044" s="4">
        <v>6311</v>
      </c>
      <c r="G2044" s="2" t="s">
        <v>125</v>
      </c>
      <c r="H2044" s="2" t="s">
        <v>34</v>
      </c>
      <c r="I2044" s="2" t="s">
        <v>6602</v>
      </c>
      <c r="J2044" s="2" t="s">
        <v>5765</v>
      </c>
      <c r="K2044" s="2" t="s">
        <v>125</v>
      </c>
      <c r="L2044" s="2" t="s">
        <v>34</v>
      </c>
      <c r="M2044" s="7">
        <v>3.012</v>
      </c>
      <c r="N2044" s="5">
        <v>18.5</v>
      </c>
      <c r="O2044" s="7">
        <v>18.625</v>
      </c>
      <c r="P2044" s="2" t="s">
        <v>6603</v>
      </c>
      <c r="Q2044" s="6">
        <v>100</v>
      </c>
      <c r="R2044" s="6">
        <v>37.5</v>
      </c>
      <c r="S2044" s="5">
        <v>61.6</v>
      </c>
      <c r="T2044" s="7">
        <v>119.43600000000001</v>
      </c>
      <c r="U2044" s="5">
        <v>51.5</v>
      </c>
      <c r="V2044" s="7">
        <v>3.6150000000000002</v>
      </c>
      <c r="W2044" s="4">
        <v>39</v>
      </c>
      <c r="X2044" s="4">
        <v>33</v>
      </c>
      <c r="Y2044" s="4">
        <v>34</v>
      </c>
      <c r="Z2044" s="6">
        <v>34.25</v>
      </c>
      <c r="AA2044" s="6">
        <v>17.059999999999999</v>
      </c>
      <c r="AB2044" s="7">
        <v>6.9530000000000003</v>
      </c>
      <c r="AC2044" s="5">
        <v>881</v>
      </c>
    </row>
    <row r="2045" spans="1:29" ht="104" x14ac:dyDescent="0.15">
      <c r="A2045" s="3">
        <f>DATE(1995,8,10)</f>
        <v>34921</v>
      </c>
      <c r="B2045" s="3">
        <f>DATE(1995,11,15)</f>
        <v>35018</v>
      </c>
      <c r="C2045" s="2" t="s">
        <v>95</v>
      </c>
      <c r="D2045" s="2" t="s">
        <v>6604</v>
      </c>
      <c r="E2045" s="2" t="s">
        <v>6605</v>
      </c>
      <c r="F2045" s="4">
        <v>2874</v>
      </c>
      <c r="G2045" s="2" t="s">
        <v>98</v>
      </c>
      <c r="H2045" s="2" t="s">
        <v>34</v>
      </c>
      <c r="I2045" s="2" t="s">
        <v>6606</v>
      </c>
      <c r="J2045" s="2" t="s">
        <v>6607</v>
      </c>
      <c r="K2045" s="2" t="s">
        <v>98</v>
      </c>
      <c r="L2045" s="2" t="s">
        <v>902</v>
      </c>
      <c r="M2045" s="2"/>
      <c r="N2045" s="2"/>
      <c r="O2045" s="2"/>
      <c r="P2045" s="2" t="s">
        <v>6608</v>
      </c>
      <c r="Q2045" s="6">
        <v>100</v>
      </c>
      <c r="R2045" s="6">
        <v>10.5</v>
      </c>
      <c r="S2045" s="5">
        <v>9.6999999999999993</v>
      </c>
      <c r="T2045" s="7">
        <v>26.747</v>
      </c>
      <c r="U2045" s="5">
        <v>-1.5</v>
      </c>
      <c r="V2045" s="7">
        <v>0.72199999999999998</v>
      </c>
      <c r="W2045" s="4">
        <v>12</v>
      </c>
      <c r="X2045" s="4">
        <v>12</v>
      </c>
      <c r="Y2045" s="6">
        <v>10.25</v>
      </c>
      <c r="Z2045" s="6">
        <v>10.25</v>
      </c>
      <c r="AA2045" s="6">
        <v>8.09</v>
      </c>
      <c r="AB2045" s="7">
        <v>9.2799999999999994</v>
      </c>
      <c r="AC2045" s="6">
        <v>64</v>
      </c>
    </row>
    <row r="2046" spans="1:29" ht="156" x14ac:dyDescent="0.15">
      <c r="A2046" s="3">
        <f>DATE(1995,8,10)</f>
        <v>34921</v>
      </c>
      <c r="B2046" s="2"/>
      <c r="C2046" s="2" t="s">
        <v>30</v>
      </c>
      <c r="D2046" s="2" t="s">
        <v>6609</v>
      </c>
      <c r="E2046" s="2" t="s">
        <v>36</v>
      </c>
      <c r="F2046" s="4">
        <v>6021</v>
      </c>
      <c r="G2046" s="2" t="s">
        <v>37</v>
      </c>
      <c r="H2046" s="2" t="s">
        <v>34</v>
      </c>
      <c r="I2046" s="2" t="s">
        <v>6610</v>
      </c>
      <c r="J2046" s="2" t="s">
        <v>36</v>
      </c>
      <c r="K2046" s="2" t="s">
        <v>37</v>
      </c>
      <c r="L2046" s="2" t="s">
        <v>34</v>
      </c>
      <c r="M2046" s="7">
        <v>26.044</v>
      </c>
      <c r="N2046" s="7">
        <v>14.625</v>
      </c>
      <c r="O2046" s="5">
        <v>14.5</v>
      </c>
      <c r="P2046" s="2" t="s">
        <v>6611</v>
      </c>
      <c r="Q2046" s="2"/>
      <c r="R2046" s="2"/>
      <c r="S2046" s="5">
        <v>0.4</v>
      </c>
      <c r="T2046" s="7">
        <v>0.80900000000000005</v>
      </c>
      <c r="U2046" s="5">
        <v>-50.7</v>
      </c>
      <c r="V2046" s="6">
        <v>0.14000000000000001</v>
      </c>
      <c r="W2046" s="4">
        <v>7</v>
      </c>
      <c r="X2046" s="7">
        <v>8.125</v>
      </c>
      <c r="Y2046" s="6">
        <v>8.25</v>
      </c>
      <c r="Z2046" s="4">
        <v>9</v>
      </c>
      <c r="AA2046" s="6">
        <v>1.5</v>
      </c>
      <c r="AB2046" s="2" t="s">
        <v>47</v>
      </c>
      <c r="AC2046" s="2"/>
    </row>
    <row r="2047" spans="1:29" ht="104" x14ac:dyDescent="0.15">
      <c r="A2047" s="3">
        <f>DATE(1995,8,10)</f>
        <v>34921</v>
      </c>
      <c r="B2047" s="2"/>
      <c r="C2047" s="2" t="s">
        <v>141</v>
      </c>
      <c r="D2047" s="2" t="s">
        <v>3615</v>
      </c>
      <c r="E2047" s="2" t="s">
        <v>398</v>
      </c>
      <c r="F2047" s="4">
        <v>7812</v>
      </c>
      <c r="G2047" s="2" t="s">
        <v>42</v>
      </c>
      <c r="H2047" s="2" t="s">
        <v>34</v>
      </c>
      <c r="I2047" s="2" t="s">
        <v>143</v>
      </c>
      <c r="J2047" s="2" t="s">
        <v>144</v>
      </c>
      <c r="K2047" s="2" t="s">
        <v>53</v>
      </c>
      <c r="L2047" s="2" t="s">
        <v>139</v>
      </c>
      <c r="M2047" s="2"/>
      <c r="N2047" s="2"/>
      <c r="O2047" s="2"/>
      <c r="P2047" s="2" t="s">
        <v>6612</v>
      </c>
      <c r="Q2047" s="2"/>
      <c r="R2047" s="2"/>
      <c r="S2047" s="5">
        <v>24.1</v>
      </c>
      <c r="T2047" s="7">
        <v>60.868000000000002</v>
      </c>
      <c r="U2047" s="5">
        <v>6</v>
      </c>
      <c r="V2047" s="6">
        <v>0.32</v>
      </c>
      <c r="W2047" s="7">
        <v>9.625</v>
      </c>
      <c r="X2047" s="7">
        <v>10.125</v>
      </c>
      <c r="Y2047" s="4">
        <v>12</v>
      </c>
      <c r="Z2047" s="6">
        <v>12.25</v>
      </c>
      <c r="AA2047" s="6">
        <v>88.48</v>
      </c>
      <c r="AB2047" s="2" t="s">
        <v>47</v>
      </c>
      <c r="AC2047" s="2"/>
    </row>
    <row r="2048" spans="1:29" ht="65" x14ac:dyDescent="0.15">
      <c r="A2048" s="3">
        <f>DATE(1995,8,11)</f>
        <v>34922</v>
      </c>
      <c r="B2048" s="3">
        <f>DATE(1996,2,1)</f>
        <v>35096</v>
      </c>
      <c r="C2048" s="2" t="s">
        <v>95</v>
      </c>
      <c r="D2048" s="2" t="s">
        <v>6154</v>
      </c>
      <c r="E2048" s="2" t="s">
        <v>36</v>
      </c>
      <c r="F2048" s="4">
        <v>6035</v>
      </c>
      <c r="G2048" s="2" t="s">
        <v>33</v>
      </c>
      <c r="H2048" s="2" t="s">
        <v>34</v>
      </c>
      <c r="I2048" s="2" t="s">
        <v>6613</v>
      </c>
      <c r="J2048" s="2" t="s">
        <v>36</v>
      </c>
      <c r="K2048" s="2" t="s">
        <v>37</v>
      </c>
      <c r="L2048" s="2" t="s">
        <v>34</v>
      </c>
      <c r="M2048" s="7">
        <v>166.387</v>
      </c>
      <c r="N2048" s="5">
        <v>14.5</v>
      </c>
      <c r="O2048" s="5">
        <v>14.5</v>
      </c>
      <c r="P2048" s="2" t="s">
        <v>6614</v>
      </c>
      <c r="Q2048" s="6">
        <v>100</v>
      </c>
      <c r="R2048" s="6">
        <v>1.65</v>
      </c>
      <c r="S2048" s="5">
        <v>3.2</v>
      </c>
      <c r="T2048" s="2"/>
      <c r="U2048" s="5">
        <v>1.1000000000000001</v>
      </c>
      <c r="V2048" s="7">
        <v>0.73699999999999999</v>
      </c>
      <c r="W2048" s="7">
        <v>1.375</v>
      </c>
      <c r="X2048" s="7">
        <v>1.4059999999999999</v>
      </c>
      <c r="Y2048" s="5">
        <v>1.5</v>
      </c>
      <c r="Z2048" s="5">
        <v>1.5</v>
      </c>
      <c r="AA2048" s="6">
        <v>4.99</v>
      </c>
      <c r="AB2048" s="2" t="s">
        <v>47</v>
      </c>
      <c r="AC2048" s="2"/>
    </row>
    <row r="2049" spans="1:29" ht="143" x14ac:dyDescent="0.15">
      <c r="A2049" s="3">
        <f t="shared" ref="A2049:A2054" si="10">DATE(1995,8,14)</f>
        <v>34925</v>
      </c>
      <c r="B2049" s="3">
        <f>DATE(1995,10,11)</f>
        <v>34983</v>
      </c>
      <c r="C2049" s="2" t="s">
        <v>95</v>
      </c>
      <c r="D2049" s="2" t="s">
        <v>6615</v>
      </c>
      <c r="E2049" s="2" t="s">
        <v>1821</v>
      </c>
      <c r="F2049" s="4">
        <v>5311</v>
      </c>
      <c r="G2049" s="2" t="s">
        <v>756</v>
      </c>
      <c r="H2049" s="2" t="s">
        <v>34</v>
      </c>
      <c r="I2049" s="2" t="s">
        <v>6616</v>
      </c>
      <c r="J2049" s="2" t="s">
        <v>5427</v>
      </c>
      <c r="K2049" s="2" t="s">
        <v>756</v>
      </c>
      <c r="L2049" s="2" t="s">
        <v>34</v>
      </c>
      <c r="M2049" s="12">
        <v>5072.0810000000001</v>
      </c>
      <c r="N2049" s="5">
        <v>29.5</v>
      </c>
      <c r="O2049" s="4">
        <v>28</v>
      </c>
      <c r="P2049" s="2" t="s">
        <v>6617</v>
      </c>
      <c r="Q2049" s="6">
        <v>100</v>
      </c>
      <c r="R2049" s="6">
        <v>8</v>
      </c>
      <c r="S2049" s="5">
        <v>-37.4</v>
      </c>
      <c r="T2049" s="7">
        <v>15.315</v>
      </c>
      <c r="U2049" s="5">
        <v>8.1999999999999993</v>
      </c>
      <c r="V2049" s="6">
        <v>-0.8</v>
      </c>
      <c r="W2049" s="7">
        <v>1.625</v>
      </c>
      <c r="X2049" s="7">
        <v>2.875</v>
      </c>
      <c r="Y2049" s="7">
        <v>2.875</v>
      </c>
      <c r="Z2049" s="7">
        <v>7.125</v>
      </c>
      <c r="AA2049" s="6">
        <v>46.05</v>
      </c>
      <c r="AB2049" s="2" t="s">
        <v>86</v>
      </c>
      <c r="AC2049" s="6">
        <v>206.49</v>
      </c>
    </row>
    <row r="2050" spans="1:29" ht="143" x14ac:dyDescent="0.15">
      <c r="A2050" s="3">
        <f t="shared" si="10"/>
        <v>34925</v>
      </c>
      <c r="B2050" s="3">
        <f>DATE(1997,12,31)</f>
        <v>35795</v>
      </c>
      <c r="C2050" s="2" t="s">
        <v>95</v>
      </c>
      <c r="D2050" s="2" t="s">
        <v>6618</v>
      </c>
      <c r="E2050" s="2" t="s">
        <v>1262</v>
      </c>
      <c r="F2050" s="4">
        <v>4911</v>
      </c>
      <c r="G2050" s="2" t="s">
        <v>439</v>
      </c>
      <c r="H2050" s="2" t="s">
        <v>34</v>
      </c>
      <c r="I2050" s="2" t="s">
        <v>6619</v>
      </c>
      <c r="J2050" s="2" t="s">
        <v>441</v>
      </c>
      <c r="K2050" s="2" t="s">
        <v>439</v>
      </c>
      <c r="L2050" s="2" t="s">
        <v>34</v>
      </c>
      <c r="M2050" s="12">
        <v>3701.989</v>
      </c>
      <c r="N2050" s="6">
        <v>34.75</v>
      </c>
      <c r="O2050" s="7">
        <v>34.875</v>
      </c>
      <c r="P2050" s="2" t="s">
        <v>6620</v>
      </c>
      <c r="Q2050" s="6">
        <v>100</v>
      </c>
      <c r="R2050" s="6">
        <v>36.44</v>
      </c>
      <c r="S2050" s="5">
        <v>87.5</v>
      </c>
      <c r="T2050" s="7">
        <v>246.44399999999999</v>
      </c>
      <c r="U2050" s="5">
        <v>19</v>
      </c>
      <c r="V2050" s="6">
        <v>2.46</v>
      </c>
      <c r="W2050" s="7">
        <v>29.625</v>
      </c>
      <c r="X2050" s="7">
        <v>29.625</v>
      </c>
      <c r="Y2050" s="5">
        <v>32.5</v>
      </c>
      <c r="Z2050" s="7">
        <v>32.625</v>
      </c>
      <c r="AA2050" s="6">
        <v>34.07</v>
      </c>
      <c r="AB2050" s="7">
        <v>10.906000000000001</v>
      </c>
      <c r="AC2050" s="2"/>
    </row>
    <row r="2051" spans="1:29" ht="130" x14ac:dyDescent="0.15">
      <c r="A2051" s="3">
        <f t="shared" si="10"/>
        <v>34925</v>
      </c>
      <c r="B2051" s="3">
        <f>DATE(1995,11,27)</f>
        <v>35030</v>
      </c>
      <c r="C2051" s="2" t="s">
        <v>95</v>
      </c>
      <c r="D2051" s="2" t="s">
        <v>6621</v>
      </c>
      <c r="E2051" s="2" t="s">
        <v>6622</v>
      </c>
      <c r="F2051" s="4">
        <v>7373</v>
      </c>
      <c r="G2051" s="2" t="s">
        <v>223</v>
      </c>
      <c r="H2051" s="2" t="s">
        <v>34</v>
      </c>
      <c r="I2051" s="2" t="s">
        <v>6623</v>
      </c>
      <c r="J2051" s="2" t="s">
        <v>781</v>
      </c>
      <c r="K2051" s="2" t="s">
        <v>551</v>
      </c>
      <c r="L2051" s="2" t="s">
        <v>34</v>
      </c>
      <c r="M2051" s="7">
        <v>411.22500000000002</v>
      </c>
      <c r="N2051" s="7">
        <v>45.625</v>
      </c>
      <c r="O2051" s="4">
        <v>43</v>
      </c>
      <c r="P2051" s="2" t="s">
        <v>6624</v>
      </c>
      <c r="Q2051" s="6">
        <v>100</v>
      </c>
      <c r="R2051" s="6">
        <v>67.12</v>
      </c>
      <c r="S2051" s="5">
        <v>3.7</v>
      </c>
      <c r="T2051" s="7">
        <v>5.0640000000000001</v>
      </c>
      <c r="U2051" s="5">
        <v>7.4</v>
      </c>
      <c r="V2051" s="7">
        <v>0.879</v>
      </c>
      <c r="W2051" s="4">
        <v>41</v>
      </c>
      <c r="X2051" s="6">
        <v>46.75</v>
      </c>
      <c r="Y2051" s="7">
        <v>61.625</v>
      </c>
      <c r="Z2051" s="4">
        <v>61</v>
      </c>
      <c r="AA2051" s="6">
        <v>4.24</v>
      </c>
      <c r="AB2051" s="7">
        <v>61.762999999999998</v>
      </c>
      <c r="AC2051" s="2"/>
    </row>
    <row r="2052" spans="1:29" ht="52" x14ac:dyDescent="0.15">
      <c r="A2052" s="3">
        <f t="shared" si="10"/>
        <v>34925</v>
      </c>
      <c r="B2052" s="3">
        <f>DATE(1995,8,14)</f>
        <v>34925</v>
      </c>
      <c r="C2052" s="2" t="s">
        <v>95</v>
      </c>
      <c r="D2052" s="2" t="s">
        <v>2033</v>
      </c>
      <c r="E2052" s="2" t="s">
        <v>2034</v>
      </c>
      <c r="F2052" s="4">
        <v>4841</v>
      </c>
      <c r="G2052" s="2" t="s">
        <v>45</v>
      </c>
      <c r="H2052" s="2" t="s">
        <v>34</v>
      </c>
      <c r="I2052" s="2" t="s">
        <v>6625</v>
      </c>
      <c r="J2052" s="2" t="s">
        <v>973</v>
      </c>
      <c r="K2052" s="2" t="s">
        <v>63</v>
      </c>
      <c r="L2052" s="2" t="s">
        <v>34</v>
      </c>
      <c r="M2052" s="7">
        <v>710.14400000000001</v>
      </c>
      <c r="N2052" s="5">
        <v>24.5</v>
      </c>
      <c r="O2052" s="6">
        <v>24.75</v>
      </c>
      <c r="P2052" s="2" t="s">
        <v>6626</v>
      </c>
      <c r="Q2052" s="6">
        <v>43.63</v>
      </c>
      <c r="R2052" s="6">
        <v>3.6</v>
      </c>
      <c r="S2052" s="5">
        <v>-0.7</v>
      </c>
      <c r="T2052" s="2"/>
      <c r="U2052" s="5">
        <v>-5.6</v>
      </c>
      <c r="V2052" s="6">
        <v>-0.3</v>
      </c>
      <c r="W2052" s="6">
        <v>4.75</v>
      </c>
      <c r="X2052" s="6">
        <v>4.75</v>
      </c>
      <c r="Y2052" s="6">
        <v>4.75</v>
      </c>
      <c r="Z2052" s="6">
        <v>4.75</v>
      </c>
      <c r="AA2052" s="6">
        <v>2.39</v>
      </c>
      <c r="AB2052" s="7">
        <v>3.7919999999999998</v>
      </c>
      <c r="AC2052" s="6">
        <v>305.44</v>
      </c>
    </row>
    <row r="2053" spans="1:29" ht="156" x14ac:dyDescent="0.15">
      <c r="A2053" s="3">
        <f t="shared" si="10"/>
        <v>34925</v>
      </c>
      <c r="B2053" s="2"/>
      <c r="C2053" s="2" t="s">
        <v>30</v>
      </c>
      <c r="D2053" s="2" t="s">
        <v>6627</v>
      </c>
      <c r="E2053" s="2" t="s">
        <v>1888</v>
      </c>
      <c r="F2053" s="4">
        <v>4911</v>
      </c>
      <c r="G2053" s="2" t="s">
        <v>439</v>
      </c>
      <c r="H2053" s="2" t="s">
        <v>34</v>
      </c>
      <c r="I2053" s="2" t="s">
        <v>6628</v>
      </c>
      <c r="J2053" s="2" t="s">
        <v>441</v>
      </c>
      <c r="K2053" s="2" t="s">
        <v>439</v>
      </c>
      <c r="L2053" s="2" t="s">
        <v>34</v>
      </c>
      <c r="M2053" s="2"/>
      <c r="N2053" s="2"/>
      <c r="O2053" s="2"/>
      <c r="P2053" s="2" t="s">
        <v>6629</v>
      </c>
      <c r="Q2053" s="2"/>
      <c r="R2053" s="6">
        <v>27.51</v>
      </c>
      <c r="S2053" s="5">
        <v>244.3</v>
      </c>
      <c r="T2053" s="12">
        <v>1193.8920000000001</v>
      </c>
      <c r="U2053" s="5">
        <v>7.9</v>
      </c>
      <c r="V2053" s="7">
        <v>0.84499999999999997</v>
      </c>
      <c r="W2053" s="6">
        <v>18.75</v>
      </c>
      <c r="X2053" s="7">
        <v>18.875</v>
      </c>
      <c r="Y2053" s="5">
        <v>21.5</v>
      </c>
      <c r="Z2053" s="6">
        <v>21.25</v>
      </c>
      <c r="AA2053" s="6">
        <v>157.30000000000001</v>
      </c>
      <c r="AB2053" s="7">
        <v>15.404999999999999</v>
      </c>
      <c r="AC2053" s="2"/>
    </row>
    <row r="2054" spans="1:29" ht="156" x14ac:dyDescent="0.15">
      <c r="A2054" s="3">
        <f t="shared" si="10"/>
        <v>34925</v>
      </c>
      <c r="B2054" s="3">
        <f>DATE(1996,5,1)</f>
        <v>35186</v>
      </c>
      <c r="C2054" s="2" t="s">
        <v>95</v>
      </c>
      <c r="D2054" s="2" t="s">
        <v>1288</v>
      </c>
      <c r="E2054" s="2" t="s">
        <v>1289</v>
      </c>
      <c r="F2054" s="4">
        <v>2821</v>
      </c>
      <c r="G2054" s="2" t="s">
        <v>98</v>
      </c>
      <c r="H2054" s="2" t="s">
        <v>34</v>
      </c>
      <c r="I2054" s="2" t="s">
        <v>967</v>
      </c>
      <c r="J2054" s="2" t="s">
        <v>968</v>
      </c>
      <c r="K2054" s="2" t="s">
        <v>447</v>
      </c>
      <c r="L2054" s="2" t="s">
        <v>34</v>
      </c>
      <c r="M2054" s="7">
        <v>52.177</v>
      </c>
      <c r="N2054" s="7">
        <v>4.625</v>
      </c>
      <c r="O2054" s="7">
        <v>5.4379999999999997</v>
      </c>
      <c r="P2054" s="2" t="s">
        <v>6630</v>
      </c>
      <c r="Q2054" s="6">
        <v>100</v>
      </c>
      <c r="R2054" s="6">
        <v>15.33</v>
      </c>
      <c r="S2054" s="5">
        <v>3.9</v>
      </c>
      <c r="T2054" s="7">
        <v>9.8829999999999991</v>
      </c>
      <c r="U2054" s="5">
        <v>6.3</v>
      </c>
      <c r="V2054" s="6">
        <v>1.1100000000000001</v>
      </c>
      <c r="W2054" s="6">
        <v>11.25</v>
      </c>
      <c r="X2054" s="6">
        <v>10.75</v>
      </c>
      <c r="Y2054" s="6">
        <v>11.25</v>
      </c>
      <c r="Z2054" s="4">
        <v>12</v>
      </c>
      <c r="AA2054" s="6">
        <v>3.57</v>
      </c>
      <c r="AB2054" s="7">
        <v>12.510999999999999</v>
      </c>
      <c r="AC2054" s="6">
        <v>24.99</v>
      </c>
    </row>
    <row r="2055" spans="1:29" ht="130" x14ac:dyDescent="0.15">
      <c r="A2055" s="3">
        <f>DATE(1995,8,15)</f>
        <v>34926</v>
      </c>
      <c r="B2055" s="3">
        <f>DATE(1995,10,6)</f>
        <v>34978</v>
      </c>
      <c r="C2055" s="2" t="s">
        <v>95</v>
      </c>
      <c r="D2055" s="2" t="s">
        <v>6631</v>
      </c>
      <c r="E2055" s="2" t="s">
        <v>6632</v>
      </c>
      <c r="F2055" s="4">
        <v>3672</v>
      </c>
      <c r="G2055" s="2" t="s">
        <v>137</v>
      </c>
      <c r="H2055" s="2" t="s">
        <v>34</v>
      </c>
      <c r="I2055" s="2" t="s">
        <v>6633</v>
      </c>
      <c r="J2055" s="2" t="s">
        <v>6634</v>
      </c>
      <c r="K2055" s="2" t="s">
        <v>98</v>
      </c>
      <c r="L2055" s="2" t="s">
        <v>303</v>
      </c>
      <c r="M2055" s="2"/>
      <c r="N2055" s="2"/>
      <c r="O2055" s="2"/>
      <c r="P2055" s="2" t="s">
        <v>6635</v>
      </c>
      <c r="Q2055" s="6">
        <v>100</v>
      </c>
      <c r="R2055" s="6">
        <v>22.5</v>
      </c>
      <c r="S2055" s="5">
        <v>8.9</v>
      </c>
      <c r="T2055" s="6">
        <v>21.17</v>
      </c>
      <c r="U2055" s="5">
        <v>6.7</v>
      </c>
      <c r="V2055" s="6">
        <v>1.25</v>
      </c>
      <c r="W2055" s="5">
        <v>16.5</v>
      </c>
      <c r="X2055" s="7">
        <v>16.125</v>
      </c>
      <c r="Y2055" s="7">
        <v>22.125</v>
      </c>
      <c r="Z2055" s="4">
        <v>22</v>
      </c>
      <c r="AA2055" s="6">
        <v>7.56</v>
      </c>
      <c r="AB2055" s="7">
        <v>11.962</v>
      </c>
      <c r="AC2055" s="6">
        <v>65.650000000000006</v>
      </c>
    </row>
    <row r="2056" spans="1:29" ht="117" x14ac:dyDescent="0.15">
      <c r="A2056" s="3">
        <f>DATE(1995,8,15)</f>
        <v>34926</v>
      </c>
      <c r="B2056" s="3">
        <f>DATE(1995,11,17)</f>
        <v>35020</v>
      </c>
      <c r="C2056" s="2" t="s">
        <v>95</v>
      </c>
      <c r="D2056" s="2" t="s">
        <v>6636</v>
      </c>
      <c r="E2056" s="2" t="s">
        <v>229</v>
      </c>
      <c r="F2056" s="4">
        <v>5812</v>
      </c>
      <c r="G2056" s="2" t="s">
        <v>230</v>
      </c>
      <c r="H2056" s="2" t="s">
        <v>34</v>
      </c>
      <c r="I2056" s="2" t="s">
        <v>6637</v>
      </c>
      <c r="J2056" s="2" t="s">
        <v>3900</v>
      </c>
      <c r="K2056" s="2" t="s">
        <v>230</v>
      </c>
      <c r="L2056" s="2" t="s">
        <v>34</v>
      </c>
      <c r="M2056" s="7">
        <v>611.96400000000006</v>
      </c>
      <c r="N2056" s="7">
        <v>22.375</v>
      </c>
      <c r="O2056" s="7">
        <v>22.125</v>
      </c>
      <c r="P2056" s="2" t="s">
        <v>6638</v>
      </c>
      <c r="Q2056" s="6">
        <v>100</v>
      </c>
      <c r="R2056" s="6">
        <v>32.81</v>
      </c>
      <c r="S2056" s="5">
        <v>6.2</v>
      </c>
      <c r="T2056" s="7">
        <v>14.025</v>
      </c>
      <c r="U2056" s="5">
        <v>9.1999999999999993</v>
      </c>
      <c r="V2056" s="7">
        <v>1.016</v>
      </c>
      <c r="W2056" s="6">
        <v>25.75</v>
      </c>
      <c r="X2056" s="6">
        <v>26.25</v>
      </c>
      <c r="Y2056" s="6">
        <v>26.25</v>
      </c>
      <c r="Z2056" s="7">
        <v>32.125</v>
      </c>
      <c r="AA2056" s="6">
        <v>6.13</v>
      </c>
      <c r="AB2056" s="7">
        <v>21.016999999999999</v>
      </c>
      <c r="AC2056" s="2"/>
    </row>
    <row r="2057" spans="1:29" ht="156" x14ac:dyDescent="0.15">
      <c r="A2057" s="3">
        <f>DATE(1995,8,16)</f>
        <v>34927</v>
      </c>
      <c r="B2057" s="3">
        <f>DATE(1996,2,1)</f>
        <v>35096</v>
      </c>
      <c r="C2057" s="2" t="s">
        <v>95</v>
      </c>
      <c r="D2057" s="2" t="s">
        <v>6639</v>
      </c>
      <c r="E2057" s="2" t="s">
        <v>32</v>
      </c>
      <c r="F2057" s="4">
        <v>6036</v>
      </c>
      <c r="G2057" s="2" t="s">
        <v>33</v>
      </c>
      <c r="H2057" s="2" t="s">
        <v>34</v>
      </c>
      <c r="I2057" s="2" t="s">
        <v>3861</v>
      </c>
      <c r="J2057" s="2" t="s">
        <v>1181</v>
      </c>
      <c r="K2057" s="2" t="s">
        <v>37</v>
      </c>
      <c r="L2057" s="2" t="s">
        <v>34</v>
      </c>
      <c r="M2057" s="6">
        <v>399.21</v>
      </c>
      <c r="N2057" s="6">
        <v>32.25</v>
      </c>
      <c r="O2057" s="4">
        <v>33</v>
      </c>
      <c r="P2057" s="2" t="s">
        <v>6640</v>
      </c>
      <c r="Q2057" s="6">
        <v>100</v>
      </c>
      <c r="R2057" s="6">
        <v>14.39</v>
      </c>
      <c r="S2057" s="5">
        <v>2.8</v>
      </c>
      <c r="T2057" s="7">
        <v>2.968</v>
      </c>
      <c r="U2057" s="5">
        <v>18.3</v>
      </c>
      <c r="V2057" s="7">
        <v>1.1439999999999999</v>
      </c>
      <c r="W2057" s="7">
        <v>10.375</v>
      </c>
      <c r="X2057" s="6">
        <v>11.75</v>
      </c>
      <c r="Y2057" s="6">
        <v>12.75</v>
      </c>
      <c r="Z2057" s="7">
        <v>12.875</v>
      </c>
      <c r="AA2057" s="6">
        <v>2.31</v>
      </c>
      <c r="AB2057" s="7">
        <v>66.478999999999999</v>
      </c>
      <c r="AC2057" s="2"/>
    </row>
    <row r="2058" spans="1:29" ht="104" x14ac:dyDescent="0.15">
      <c r="A2058" s="3">
        <f>DATE(1995,8,17)</f>
        <v>34928</v>
      </c>
      <c r="B2058" s="3">
        <f>DATE(1996,1,15)</f>
        <v>35079</v>
      </c>
      <c r="C2058" s="2" t="s">
        <v>95</v>
      </c>
      <c r="D2058" s="2" t="s">
        <v>6641</v>
      </c>
      <c r="E2058" s="2" t="s">
        <v>32</v>
      </c>
      <c r="F2058" s="4">
        <v>6035</v>
      </c>
      <c r="G2058" s="2" t="s">
        <v>33</v>
      </c>
      <c r="H2058" s="2" t="s">
        <v>34</v>
      </c>
      <c r="I2058" s="2" t="s">
        <v>6642</v>
      </c>
      <c r="J2058" s="2" t="s">
        <v>1181</v>
      </c>
      <c r="K2058" s="2" t="s">
        <v>37</v>
      </c>
      <c r="L2058" s="2" t="s">
        <v>34</v>
      </c>
      <c r="M2058" s="2"/>
      <c r="N2058" s="6">
        <v>34.75</v>
      </c>
      <c r="O2058" s="5">
        <v>34.5</v>
      </c>
      <c r="P2058" s="2" t="s">
        <v>6643</v>
      </c>
      <c r="Q2058" s="6">
        <v>100</v>
      </c>
      <c r="R2058" s="6">
        <v>23.5</v>
      </c>
      <c r="S2058" s="5">
        <v>0.3</v>
      </c>
      <c r="T2058" s="7">
        <v>0.68200000000000005</v>
      </c>
      <c r="U2058" s="2"/>
      <c r="V2058" s="2"/>
      <c r="W2058" s="7">
        <v>18.125</v>
      </c>
      <c r="X2058" s="6">
        <v>19.75</v>
      </c>
      <c r="Y2058" s="5">
        <v>21.5</v>
      </c>
      <c r="Z2058" s="7">
        <v>22.125</v>
      </c>
      <c r="AA2058" s="6">
        <v>1.1599999999999999</v>
      </c>
      <c r="AB2058" s="7">
        <v>439.59100000000001</v>
      </c>
      <c r="AC2058" s="2"/>
    </row>
    <row r="2059" spans="1:29" ht="156" x14ac:dyDescent="0.15">
      <c r="A2059" s="3">
        <f>DATE(1995,8,17)</f>
        <v>34928</v>
      </c>
      <c r="B2059" s="2"/>
      <c r="C2059" s="2" t="s">
        <v>30</v>
      </c>
      <c r="D2059" s="2" t="s">
        <v>6644</v>
      </c>
      <c r="E2059" s="2" t="s">
        <v>92</v>
      </c>
      <c r="F2059" s="4">
        <v>6798</v>
      </c>
      <c r="G2059" s="2" t="s">
        <v>53</v>
      </c>
      <c r="H2059" s="2" t="s">
        <v>34</v>
      </c>
      <c r="I2059" s="2" t="s">
        <v>51</v>
      </c>
      <c r="J2059" s="2" t="s">
        <v>52</v>
      </c>
      <c r="K2059" s="2" t="s">
        <v>53</v>
      </c>
      <c r="L2059" s="2" t="s">
        <v>34</v>
      </c>
      <c r="M2059" s="2"/>
      <c r="N2059" s="2"/>
      <c r="O2059" s="2"/>
      <c r="P2059" s="2" t="s">
        <v>6645</v>
      </c>
      <c r="Q2059" s="2"/>
      <c r="R2059" s="2"/>
      <c r="S2059" s="5">
        <v>25</v>
      </c>
      <c r="T2059" s="2"/>
      <c r="U2059" s="5">
        <v>13.5</v>
      </c>
      <c r="V2059" s="6">
        <v>0.66</v>
      </c>
      <c r="W2059" s="6">
        <v>6.75</v>
      </c>
      <c r="X2059" s="5">
        <v>6.5</v>
      </c>
      <c r="Y2059" s="7">
        <v>6.875</v>
      </c>
      <c r="Z2059" s="7">
        <v>7.625</v>
      </c>
      <c r="AA2059" s="2"/>
      <c r="AB2059" s="2" t="s">
        <v>47</v>
      </c>
      <c r="AC2059" s="2"/>
    </row>
    <row r="2060" spans="1:29" ht="130" x14ac:dyDescent="0.15">
      <c r="A2060" s="3">
        <f>DATE(1995,8,18)</f>
        <v>34929</v>
      </c>
      <c r="B2060" s="3">
        <f>DATE(1995,12,20)</f>
        <v>35053</v>
      </c>
      <c r="C2060" s="2" t="s">
        <v>95</v>
      </c>
      <c r="D2060" s="2" t="s">
        <v>6646</v>
      </c>
      <c r="E2060" s="2" t="s">
        <v>6647</v>
      </c>
      <c r="F2060" s="4">
        <v>6331</v>
      </c>
      <c r="G2060" s="2" t="s">
        <v>125</v>
      </c>
      <c r="H2060" s="2" t="s">
        <v>34</v>
      </c>
      <c r="I2060" s="2" t="s">
        <v>6648</v>
      </c>
      <c r="J2060" s="2" t="s">
        <v>6649</v>
      </c>
      <c r="K2060" s="2" t="s">
        <v>125</v>
      </c>
      <c r="L2060" s="2" t="s">
        <v>34</v>
      </c>
      <c r="M2060" s="7">
        <v>693.85599999999999</v>
      </c>
      <c r="N2060" s="5">
        <v>27.5</v>
      </c>
      <c r="O2060" s="6">
        <v>27.25</v>
      </c>
      <c r="P2060" s="2" t="s">
        <v>6650</v>
      </c>
      <c r="Q2060" s="6">
        <v>100</v>
      </c>
      <c r="R2060" s="6">
        <v>22.48</v>
      </c>
      <c r="S2060" s="5">
        <v>14.7</v>
      </c>
      <c r="T2060" s="2"/>
      <c r="U2060" s="5">
        <v>20.7</v>
      </c>
      <c r="V2060" s="6">
        <v>1.6</v>
      </c>
      <c r="W2060" s="5">
        <v>20.5</v>
      </c>
      <c r="X2060" s="4">
        <v>21</v>
      </c>
      <c r="Y2060" s="7">
        <v>21.375</v>
      </c>
      <c r="Z2060" s="7">
        <v>22.125</v>
      </c>
      <c r="AA2060" s="6">
        <v>9.73</v>
      </c>
      <c r="AB2060" s="7">
        <v>10.901999999999999</v>
      </c>
      <c r="AC2060" s="6">
        <v>16.260000000000002</v>
      </c>
    </row>
    <row r="2061" spans="1:29" ht="65" x14ac:dyDescent="0.15">
      <c r="A2061" s="3">
        <f>DATE(1995,8,18)</f>
        <v>34929</v>
      </c>
      <c r="B2061" s="3">
        <f>DATE(1996,3,31)</f>
        <v>35155</v>
      </c>
      <c r="C2061" s="2" t="s">
        <v>95</v>
      </c>
      <c r="D2061" s="2" t="s">
        <v>6651</v>
      </c>
      <c r="E2061" s="2" t="s">
        <v>6652</v>
      </c>
      <c r="F2061" s="4">
        <v>6035</v>
      </c>
      <c r="G2061" s="2" t="s">
        <v>33</v>
      </c>
      <c r="H2061" s="2" t="s">
        <v>34</v>
      </c>
      <c r="I2061" s="2" t="s">
        <v>6653</v>
      </c>
      <c r="J2061" s="2" t="s">
        <v>1181</v>
      </c>
      <c r="K2061" s="2" t="s">
        <v>37</v>
      </c>
      <c r="L2061" s="2" t="s">
        <v>34</v>
      </c>
      <c r="M2061" s="2"/>
      <c r="N2061" s="2"/>
      <c r="O2061" s="2"/>
      <c r="P2061" s="2" t="s">
        <v>6654</v>
      </c>
      <c r="Q2061" s="6">
        <v>100</v>
      </c>
      <c r="R2061" s="6">
        <v>14.8</v>
      </c>
      <c r="S2061" s="2"/>
      <c r="T2061" s="2"/>
      <c r="U2061" s="5">
        <v>11.3</v>
      </c>
      <c r="V2061" s="2"/>
      <c r="W2061" s="6">
        <v>9.25</v>
      </c>
      <c r="X2061" s="7">
        <v>9.375</v>
      </c>
      <c r="Y2061" s="6">
        <v>9.75</v>
      </c>
      <c r="Z2061" s="6">
        <v>9.75</v>
      </c>
      <c r="AA2061" s="6">
        <v>0.98</v>
      </c>
      <c r="AB2061" s="2" t="s">
        <v>47</v>
      </c>
      <c r="AC2061" s="2"/>
    </row>
    <row r="2062" spans="1:29" ht="117" x14ac:dyDescent="0.15">
      <c r="A2062" s="3">
        <f>DATE(1995,8,21)</f>
        <v>34932</v>
      </c>
      <c r="B2062" s="3">
        <f>DATE(1996,4,12)</f>
        <v>35167</v>
      </c>
      <c r="C2062" s="2" t="s">
        <v>95</v>
      </c>
      <c r="D2062" s="2" t="s">
        <v>6655</v>
      </c>
      <c r="E2062" s="2" t="s">
        <v>263</v>
      </c>
      <c r="F2062" s="4">
        <v>6035</v>
      </c>
      <c r="G2062" s="2" t="s">
        <v>33</v>
      </c>
      <c r="H2062" s="2" t="s">
        <v>34</v>
      </c>
      <c r="I2062" s="2" t="s">
        <v>2392</v>
      </c>
      <c r="J2062" s="2" t="s">
        <v>36</v>
      </c>
      <c r="K2062" s="2" t="s">
        <v>37</v>
      </c>
      <c r="L2062" s="2" t="s">
        <v>34</v>
      </c>
      <c r="M2062" s="7">
        <v>325.75900000000001</v>
      </c>
      <c r="N2062" s="6">
        <v>29.75</v>
      </c>
      <c r="O2062" s="6">
        <v>29.75</v>
      </c>
      <c r="P2062" s="2" t="s">
        <v>6656</v>
      </c>
      <c r="Q2062" s="6">
        <v>100</v>
      </c>
      <c r="R2062" s="6">
        <v>34.21</v>
      </c>
      <c r="S2062" s="5">
        <v>5.5</v>
      </c>
      <c r="T2062" s="7">
        <v>8.4390000000000001</v>
      </c>
      <c r="U2062" s="5">
        <v>16.899999999999999</v>
      </c>
      <c r="V2062" s="6">
        <v>2.0099999999999998</v>
      </c>
      <c r="W2062" s="4">
        <v>31</v>
      </c>
      <c r="X2062" s="5">
        <v>31.5</v>
      </c>
      <c r="Y2062" s="6">
        <v>31.75</v>
      </c>
      <c r="Z2062" s="6">
        <v>31.75</v>
      </c>
      <c r="AA2062" s="6">
        <v>2.73</v>
      </c>
      <c r="AB2062" s="7">
        <v>50.378</v>
      </c>
      <c r="AC2062" s="2"/>
    </row>
    <row r="2063" spans="1:29" ht="91" x14ac:dyDescent="0.15">
      <c r="A2063" s="3">
        <f>DATE(1995,8,21)</f>
        <v>34932</v>
      </c>
      <c r="B2063" s="2"/>
      <c r="C2063" s="2" t="s">
        <v>30</v>
      </c>
      <c r="D2063" s="2" t="s">
        <v>6657</v>
      </c>
      <c r="E2063" s="2" t="s">
        <v>1072</v>
      </c>
      <c r="F2063" s="4">
        <v>6799</v>
      </c>
      <c r="G2063" s="2" t="s">
        <v>53</v>
      </c>
      <c r="H2063" s="2" t="s">
        <v>34</v>
      </c>
      <c r="I2063" s="2" t="s">
        <v>149</v>
      </c>
      <c r="J2063" s="2" t="s">
        <v>150</v>
      </c>
      <c r="K2063" s="2" t="s">
        <v>53</v>
      </c>
      <c r="L2063" s="2" t="s">
        <v>151</v>
      </c>
      <c r="M2063" s="2"/>
      <c r="N2063" s="2"/>
      <c r="O2063" s="2"/>
      <c r="P2063" s="2" t="s">
        <v>6658</v>
      </c>
      <c r="Q2063" s="2"/>
      <c r="R2063" s="6">
        <v>16</v>
      </c>
      <c r="S2063" s="5">
        <v>4.0999999999999996</v>
      </c>
      <c r="T2063" s="2"/>
      <c r="U2063" s="5">
        <v>18.7</v>
      </c>
      <c r="V2063" s="6">
        <v>1.77</v>
      </c>
      <c r="W2063" s="6">
        <v>14.75</v>
      </c>
      <c r="X2063" s="6">
        <v>15.25</v>
      </c>
      <c r="Y2063" s="6">
        <v>16.25</v>
      </c>
      <c r="Z2063" s="6">
        <v>16.25</v>
      </c>
      <c r="AA2063" s="6">
        <v>2.21</v>
      </c>
      <c r="AB2063" s="2" t="s">
        <v>47</v>
      </c>
      <c r="AC2063" s="2"/>
    </row>
    <row r="2064" spans="1:29" ht="91" x14ac:dyDescent="0.15">
      <c r="A2064" s="3">
        <f>DATE(1995,8,21)</f>
        <v>34932</v>
      </c>
      <c r="B2064" s="2"/>
      <c r="C2064" s="2" t="s">
        <v>30</v>
      </c>
      <c r="D2064" s="2" t="s">
        <v>6659</v>
      </c>
      <c r="E2064" s="2" t="s">
        <v>6660</v>
      </c>
      <c r="F2064" s="4">
        <v>7822</v>
      </c>
      <c r="G2064" s="2" t="s">
        <v>42</v>
      </c>
      <c r="H2064" s="2" t="s">
        <v>34</v>
      </c>
      <c r="I2064" s="2" t="s">
        <v>2599</v>
      </c>
      <c r="J2064" s="2" t="s">
        <v>2600</v>
      </c>
      <c r="K2064" s="2" t="s">
        <v>45</v>
      </c>
      <c r="L2064" s="2" t="s">
        <v>34</v>
      </c>
      <c r="M2064" s="12">
        <v>4193.2160000000003</v>
      </c>
      <c r="N2064" s="7">
        <v>22.125</v>
      </c>
      <c r="O2064" s="7">
        <v>22.125</v>
      </c>
      <c r="P2064" s="2" t="s">
        <v>6661</v>
      </c>
      <c r="Q2064" s="2"/>
      <c r="R2064" s="2"/>
      <c r="S2064" s="5">
        <v>88.3</v>
      </c>
      <c r="T2064" s="7">
        <v>128.155</v>
      </c>
      <c r="U2064" s="5">
        <v>6.2</v>
      </c>
      <c r="V2064" s="7">
        <v>1.165</v>
      </c>
      <c r="W2064" s="5">
        <v>35.5</v>
      </c>
      <c r="X2064" s="5">
        <v>39.5</v>
      </c>
      <c r="Y2064" s="7">
        <v>39.375</v>
      </c>
      <c r="Z2064" s="7">
        <v>39.875</v>
      </c>
      <c r="AA2064" s="6">
        <v>36.74</v>
      </c>
      <c r="AB2064" s="2" t="s">
        <v>47</v>
      </c>
      <c r="AC2064" s="5">
        <v>52.9</v>
      </c>
    </row>
    <row r="2065" spans="1:29" ht="104" x14ac:dyDescent="0.15">
      <c r="A2065" s="3">
        <f>DATE(1995,8,21)</f>
        <v>34932</v>
      </c>
      <c r="B2065" s="2"/>
      <c r="C2065" s="2" t="s">
        <v>30</v>
      </c>
      <c r="D2065" s="2" t="s">
        <v>6662</v>
      </c>
      <c r="E2065" s="2" t="s">
        <v>1181</v>
      </c>
      <c r="F2065" s="4">
        <v>6021</v>
      </c>
      <c r="G2065" s="2" t="s">
        <v>37</v>
      </c>
      <c r="H2065" s="2" t="s">
        <v>34</v>
      </c>
      <c r="I2065" s="2" t="s">
        <v>6663</v>
      </c>
      <c r="J2065" s="2" t="s">
        <v>36</v>
      </c>
      <c r="K2065" s="2" t="s">
        <v>37</v>
      </c>
      <c r="L2065" s="2" t="s">
        <v>34</v>
      </c>
      <c r="M2065" s="7">
        <v>12.753</v>
      </c>
      <c r="N2065" s="6">
        <v>8.25</v>
      </c>
      <c r="O2065" s="6">
        <v>7.75</v>
      </c>
      <c r="P2065" s="2" t="s">
        <v>6664</v>
      </c>
      <c r="Q2065" s="2"/>
      <c r="R2065" s="2"/>
      <c r="S2065" s="2"/>
      <c r="T2065" s="2"/>
      <c r="U2065" s="2"/>
      <c r="V2065" s="2"/>
      <c r="W2065" s="4">
        <v>3</v>
      </c>
      <c r="X2065" s="4">
        <v>3</v>
      </c>
      <c r="Y2065" s="4">
        <v>3</v>
      </c>
      <c r="Z2065" s="4">
        <v>3</v>
      </c>
      <c r="AA2065" s="2"/>
      <c r="AB2065" s="2" t="s">
        <v>47</v>
      </c>
      <c r="AC2065" s="2"/>
    </row>
    <row r="2066" spans="1:29" ht="117" x14ac:dyDescent="0.15">
      <c r="A2066" s="3">
        <f>DATE(1995,8,22)</f>
        <v>34933</v>
      </c>
      <c r="B2066" s="3">
        <f>DATE(1995,12,29)</f>
        <v>35062</v>
      </c>
      <c r="C2066" s="2" t="s">
        <v>95</v>
      </c>
      <c r="D2066" s="2" t="s">
        <v>6665</v>
      </c>
      <c r="E2066" s="2" t="s">
        <v>1181</v>
      </c>
      <c r="F2066" s="4">
        <v>6022</v>
      </c>
      <c r="G2066" s="2" t="s">
        <v>37</v>
      </c>
      <c r="H2066" s="2" t="s">
        <v>34</v>
      </c>
      <c r="I2066" s="2" t="s">
        <v>6666</v>
      </c>
      <c r="J2066" s="2" t="s">
        <v>672</v>
      </c>
      <c r="K2066" s="2" t="s">
        <v>33</v>
      </c>
      <c r="L2066" s="2" t="s">
        <v>34</v>
      </c>
      <c r="M2066" s="7">
        <v>33.267000000000003</v>
      </c>
      <c r="N2066" s="4">
        <v>19</v>
      </c>
      <c r="O2066" s="6">
        <v>18.75</v>
      </c>
      <c r="P2066" s="2" t="s">
        <v>6667</v>
      </c>
      <c r="Q2066" s="6">
        <v>100</v>
      </c>
      <c r="R2066" s="2"/>
      <c r="S2066" s="5">
        <v>0.4</v>
      </c>
      <c r="T2066" s="7">
        <v>0.63800000000000001</v>
      </c>
      <c r="U2066" s="5">
        <v>18.899999999999999</v>
      </c>
      <c r="V2066" s="2"/>
      <c r="W2066" s="6">
        <v>16.25</v>
      </c>
      <c r="X2066" s="7">
        <v>16.625</v>
      </c>
      <c r="Y2066" s="6">
        <v>17.75</v>
      </c>
      <c r="Z2066" s="5">
        <v>18.5</v>
      </c>
      <c r="AA2066" s="6">
        <v>0.38</v>
      </c>
      <c r="AB2066" s="7">
        <v>29.234999999999999</v>
      </c>
      <c r="AC2066" s="2"/>
    </row>
    <row r="2067" spans="1:29" ht="117" x14ac:dyDescent="0.15">
      <c r="A2067" s="3">
        <f>DATE(1995,8,22)</f>
        <v>34933</v>
      </c>
      <c r="B2067" s="3">
        <f>DATE(1995,10,9)</f>
        <v>34981</v>
      </c>
      <c r="C2067" s="2" t="s">
        <v>95</v>
      </c>
      <c r="D2067" s="2" t="s">
        <v>6668</v>
      </c>
      <c r="E2067" s="2" t="s">
        <v>6669</v>
      </c>
      <c r="F2067" s="4">
        <v>7992</v>
      </c>
      <c r="G2067" s="2" t="s">
        <v>364</v>
      </c>
      <c r="H2067" s="2" t="s">
        <v>34</v>
      </c>
      <c r="I2067" s="2" t="s">
        <v>6670</v>
      </c>
      <c r="J2067" s="2" t="s">
        <v>6671</v>
      </c>
      <c r="K2067" s="2" t="s">
        <v>112</v>
      </c>
      <c r="L2067" s="2" t="s">
        <v>34</v>
      </c>
      <c r="M2067" s="7">
        <v>14.090999999999999</v>
      </c>
      <c r="N2067" s="7">
        <v>0.625</v>
      </c>
      <c r="O2067" s="7">
        <v>0.625</v>
      </c>
      <c r="P2067" s="2" t="s">
        <v>6672</v>
      </c>
      <c r="Q2067" s="6">
        <v>100</v>
      </c>
      <c r="R2067" s="2"/>
      <c r="S2067" s="2"/>
      <c r="T2067" s="2"/>
      <c r="U2067" s="2"/>
      <c r="V2067" s="2"/>
      <c r="W2067" s="7">
        <v>8.875</v>
      </c>
      <c r="X2067" s="7">
        <v>8.875</v>
      </c>
      <c r="Y2067" s="7">
        <v>8.875</v>
      </c>
      <c r="Z2067" s="7">
        <v>8.875</v>
      </c>
      <c r="AA2067" s="6">
        <v>3.07</v>
      </c>
      <c r="AB2067" s="2" t="s">
        <v>47</v>
      </c>
      <c r="AC2067" s="2"/>
    </row>
    <row r="2068" spans="1:29" ht="104" x14ac:dyDescent="0.15">
      <c r="A2068" s="3">
        <f>DATE(1995,8,23)</f>
        <v>34934</v>
      </c>
      <c r="B2068" s="3">
        <f>DATE(1995,10,4)</f>
        <v>34976</v>
      </c>
      <c r="C2068" s="2" t="s">
        <v>95</v>
      </c>
      <c r="D2068" s="2" t="s">
        <v>6673</v>
      </c>
      <c r="E2068" s="2" t="s">
        <v>6674</v>
      </c>
      <c r="F2068" s="4">
        <v>3841</v>
      </c>
      <c r="G2068" s="2" t="s">
        <v>226</v>
      </c>
      <c r="H2068" s="2" t="s">
        <v>34</v>
      </c>
      <c r="I2068" s="2" t="s">
        <v>6675</v>
      </c>
      <c r="J2068" s="2" t="s">
        <v>3812</v>
      </c>
      <c r="K2068" s="2" t="s">
        <v>98</v>
      </c>
      <c r="L2068" s="2" t="s">
        <v>34</v>
      </c>
      <c r="M2068" s="2"/>
      <c r="N2068" s="2"/>
      <c r="O2068" s="2"/>
      <c r="P2068" s="2" t="s">
        <v>6676</v>
      </c>
      <c r="Q2068" s="6">
        <v>100</v>
      </c>
      <c r="R2068" s="6">
        <v>28</v>
      </c>
      <c r="S2068" s="5">
        <v>8</v>
      </c>
      <c r="T2068" s="7">
        <v>14.458</v>
      </c>
      <c r="U2068" s="5">
        <v>8.9</v>
      </c>
      <c r="V2068" s="7">
        <v>1.2689999999999999</v>
      </c>
      <c r="W2068" s="6">
        <v>22.25</v>
      </c>
      <c r="X2068" s="6">
        <v>22.25</v>
      </c>
      <c r="Y2068" s="7">
        <v>27.625</v>
      </c>
      <c r="Z2068" s="7">
        <v>27.687999999999999</v>
      </c>
      <c r="AA2068" s="6">
        <v>5.92</v>
      </c>
      <c r="AB2068" s="7">
        <v>14.651999999999999</v>
      </c>
      <c r="AC2068" s="2"/>
    </row>
    <row r="2069" spans="1:29" ht="117" x14ac:dyDescent="0.15">
      <c r="A2069" s="3">
        <f>DATE(1995,8,23)</f>
        <v>34934</v>
      </c>
      <c r="B2069" s="3">
        <f>DATE(1995,11,29)</f>
        <v>35032</v>
      </c>
      <c r="C2069" s="2" t="s">
        <v>95</v>
      </c>
      <c r="D2069" s="2" t="s">
        <v>6677</v>
      </c>
      <c r="E2069" s="2" t="s">
        <v>36</v>
      </c>
      <c r="F2069" s="4">
        <v>6022</v>
      </c>
      <c r="G2069" s="2" t="s">
        <v>37</v>
      </c>
      <c r="H2069" s="2" t="s">
        <v>34</v>
      </c>
      <c r="I2069" s="2" t="s">
        <v>6678</v>
      </c>
      <c r="J2069" s="2" t="s">
        <v>159</v>
      </c>
      <c r="K2069" s="2" t="s">
        <v>37</v>
      </c>
      <c r="L2069" s="2" t="s">
        <v>34</v>
      </c>
      <c r="M2069" s="12">
        <v>1702.423</v>
      </c>
      <c r="N2069" s="6">
        <v>38.75</v>
      </c>
      <c r="O2069" s="4">
        <v>38</v>
      </c>
      <c r="P2069" s="2" t="s">
        <v>6679</v>
      </c>
      <c r="Q2069" s="6">
        <v>100</v>
      </c>
      <c r="R2069" s="6">
        <v>16.510000000000002</v>
      </c>
      <c r="S2069" s="5">
        <v>1.6</v>
      </c>
      <c r="T2069" s="2"/>
      <c r="U2069" s="5">
        <v>7.6</v>
      </c>
      <c r="V2069" s="6">
        <v>0.96</v>
      </c>
      <c r="W2069" s="5">
        <v>10.5</v>
      </c>
      <c r="X2069" s="7">
        <v>11.188000000000001</v>
      </c>
      <c r="Y2069" s="4">
        <v>11</v>
      </c>
      <c r="Z2069" s="7">
        <v>14.766</v>
      </c>
      <c r="AA2069" s="6">
        <v>1.64</v>
      </c>
      <c r="AB2069" s="7">
        <v>75.164000000000001</v>
      </c>
      <c r="AC2069" s="2"/>
    </row>
    <row r="2070" spans="1:29" ht="39" x14ac:dyDescent="0.15">
      <c r="A2070" s="3">
        <f>DATE(1995,8,23)</f>
        <v>34934</v>
      </c>
      <c r="B2070" s="2"/>
      <c r="C2070" s="2" t="s">
        <v>30</v>
      </c>
      <c r="D2070" s="2" t="s">
        <v>6680</v>
      </c>
      <c r="E2070" s="2" t="s">
        <v>6681</v>
      </c>
      <c r="F2070" s="4">
        <v>7699</v>
      </c>
      <c r="G2070" s="2" t="s">
        <v>1327</v>
      </c>
      <c r="H2070" s="2" t="s">
        <v>34</v>
      </c>
      <c r="I2070" s="2" t="s">
        <v>6682</v>
      </c>
      <c r="J2070" s="2" t="s">
        <v>6683</v>
      </c>
      <c r="K2070" s="2" t="s">
        <v>98</v>
      </c>
      <c r="L2070" s="2" t="s">
        <v>34</v>
      </c>
      <c r="M2070" s="7">
        <v>336.79300000000001</v>
      </c>
      <c r="N2070" s="7">
        <v>34.875</v>
      </c>
      <c r="O2070" s="6">
        <v>34.75</v>
      </c>
      <c r="P2070" s="2" t="s">
        <v>6684</v>
      </c>
      <c r="Q2070" s="2"/>
      <c r="R2070" s="2"/>
      <c r="S2070" s="5">
        <v>8.8000000000000007</v>
      </c>
      <c r="T2070" s="7">
        <v>23.193999999999999</v>
      </c>
      <c r="U2070" s="5">
        <v>13.4</v>
      </c>
      <c r="V2070" s="6">
        <v>1.73</v>
      </c>
      <c r="W2070" s="4">
        <v>33</v>
      </c>
      <c r="X2070" s="5">
        <v>31.5</v>
      </c>
      <c r="Y2070" s="4">
        <v>31</v>
      </c>
      <c r="Z2070" s="6">
        <v>31.25</v>
      </c>
      <c r="AA2070" s="6">
        <v>5.0999999999999996</v>
      </c>
      <c r="AB2070" s="2" t="s">
        <v>47</v>
      </c>
      <c r="AC2070" s="2"/>
    </row>
    <row r="2071" spans="1:29" ht="182" x14ac:dyDescent="0.15">
      <c r="A2071" s="3">
        <f>DATE(1995,8,23)</f>
        <v>34934</v>
      </c>
      <c r="B2071" s="3">
        <f>DATE(1997,8,1)</f>
        <v>35643</v>
      </c>
      <c r="C2071" s="2" t="s">
        <v>95</v>
      </c>
      <c r="D2071" s="2" t="s">
        <v>2753</v>
      </c>
      <c r="E2071" s="2" t="s">
        <v>2754</v>
      </c>
      <c r="F2071" s="4">
        <v>4911</v>
      </c>
      <c r="G2071" s="2" t="s">
        <v>439</v>
      </c>
      <c r="H2071" s="2" t="s">
        <v>34</v>
      </c>
      <c r="I2071" s="2" t="s">
        <v>6685</v>
      </c>
      <c r="J2071" s="2" t="s">
        <v>441</v>
      </c>
      <c r="K2071" s="2" t="s">
        <v>439</v>
      </c>
      <c r="L2071" s="2" t="s">
        <v>34</v>
      </c>
      <c r="M2071" s="12">
        <v>1974.489</v>
      </c>
      <c r="N2071" s="7">
        <v>32.375</v>
      </c>
      <c r="O2071" s="5">
        <v>32.5</v>
      </c>
      <c r="P2071" s="2" t="s">
        <v>6686</v>
      </c>
      <c r="Q2071" s="6">
        <v>100</v>
      </c>
      <c r="R2071" s="6">
        <v>29.93</v>
      </c>
      <c r="S2071" s="5">
        <v>102.2</v>
      </c>
      <c r="T2071" s="7">
        <v>258.12700000000001</v>
      </c>
      <c r="U2071" s="5">
        <v>17</v>
      </c>
      <c r="V2071" s="6">
        <v>2.38</v>
      </c>
      <c r="W2071" s="6">
        <v>29.25</v>
      </c>
      <c r="X2071" s="7">
        <v>29.375</v>
      </c>
      <c r="Y2071" s="7">
        <v>30.375</v>
      </c>
      <c r="Z2071" s="7">
        <v>30.375</v>
      </c>
      <c r="AA2071" s="6">
        <v>40.92</v>
      </c>
      <c r="AB2071" s="7">
        <v>9.1839999999999993</v>
      </c>
      <c r="AC2071" s="2"/>
    </row>
    <row r="2072" spans="1:29" ht="143" x14ac:dyDescent="0.15">
      <c r="A2072" s="3">
        <f>DATE(1995,8,24)</f>
        <v>34935</v>
      </c>
      <c r="B2072" s="3">
        <f>DATE(1996,2,16)</f>
        <v>35111</v>
      </c>
      <c r="C2072" s="2" t="s">
        <v>95</v>
      </c>
      <c r="D2072" s="2" t="s">
        <v>2118</v>
      </c>
      <c r="E2072" s="2" t="s">
        <v>612</v>
      </c>
      <c r="F2072" s="4">
        <v>1311</v>
      </c>
      <c r="G2072" s="2" t="s">
        <v>148</v>
      </c>
      <c r="H2072" s="2" t="s">
        <v>34</v>
      </c>
      <c r="I2072" s="2" t="s">
        <v>6687</v>
      </c>
      <c r="J2072" s="2" t="s">
        <v>1387</v>
      </c>
      <c r="K2072" s="2" t="s">
        <v>439</v>
      </c>
      <c r="L2072" s="2" t="s">
        <v>34</v>
      </c>
      <c r="M2072" s="2"/>
      <c r="N2072" s="2"/>
      <c r="O2072" s="2"/>
      <c r="P2072" s="2" t="s">
        <v>6688</v>
      </c>
      <c r="Q2072" s="6">
        <v>100</v>
      </c>
      <c r="R2072" s="6">
        <v>7.75</v>
      </c>
      <c r="S2072" s="5">
        <v>4.0999999999999996</v>
      </c>
      <c r="T2072" s="7">
        <v>31.120999999999999</v>
      </c>
      <c r="U2072" s="5">
        <v>3.4</v>
      </c>
      <c r="V2072" s="7">
        <v>0.17899999999999999</v>
      </c>
      <c r="W2072" s="7">
        <v>6.3129999999999997</v>
      </c>
      <c r="X2072" s="6">
        <v>6.25</v>
      </c>
      <c r="Y2072" s="7">
        <v>7.3129999999999997</v>
      </c>
      <c r="Z2072" s="7">
        <v>7.375</v>
      </c>
      <c r="AA2072" s="6">
        <v>22.06</v>
      </c>
      <c r="AB2072" s="7">
        <v>21.626999999999999</v>
      </c>
      <c r="AC2072" s="2"/>
    </row>
    <row r="2073" spans="1:29" ht="130" x14ac:dyDescent="0.15">
      <c r="A2073" s="3">
        <f>DATE(1995,8,25)</f>
        <v>34936</v>
      </c>
      <c r="B2073" s="3">
        <f>DATE(1996,1,31)</f>
        <v>35095</v>
      </c>
      <c r="C2073" s="2" t="s">
        <v>95</v>
      </c>
      <c r="D2073" s="2" t="s">
        <v>3980</v>
      </c>
      <c r="E2073" s="2" t="s">
        <v>36</v>
      </c>
      <c r="F2073" s="4">
        <v>6021</v>
      </c>
      <c r="G2073" s="2" t="s">
        <v>37</v>
      </c>
      <c r="H2073" s="2" t="s">
        <v>34</v>
      </c>
      <c r="I2073" s="2" t="s">
        <v>2353</v>
      </c>
      <c r="J2073" s="2" t="s">
        <v>36</v>
      </c>
      <c r="K2073" s="2" t="s">
        <v>37</v>
      </c>
      <c r="L2073" s="2" t="s">
        <v>34</v>
      </c>
      <c r="M2073" s="12">
        <v>4984.5020000000004</v>
      </c>
      <c r="N2073" s="7">
        <v>36.625</v>
      </c>
      <c r="O2073" s="7">
        <v>37.125</v>
      </c>
      <c r="P2073" s="2" t="s">
        <v>6689</v>
      </c>
      <c r="Q2073" s="6">
        <v>100</v>
      </c>
      <c r="R2073" s="6">
        <v>37.25</v>
      </c>
      <c r="S2073" s="5">
        <v>83.1</v>
      </c>
      <c r="T2073" s="7">
        <v>151.59700000000001</v>
      </c>
      <c r="U2073" s="5">
        <v>18.7</v>
      </c>
      <c r="V2073" s="6">
        <v>2.83</v>
      </c>
      <c r="W2073" s="5">
        <v>33.5</v>
      </c>
      <c r="X2073" s="6">
        <v>33.75</v>
      </c>
      <c r="Y2073" s="7">
        <v>33.875</v>
      </c>
      <c r="Z2073" s="7">
        <v>35.125</v>
      </c>
      <c r="AA2073" s="6">
        <v>27.62</v>
      </c>
      <c r="AB2073" s="7">
        <v>21.564</v>
      </c>
      <c r="AC2073" s="2"/>
    </row>
    <row r="2074" spans="1:29" ht="78" x14ac:dyDescent="0.15">
      <c r="A2074" s="3">
        <f>DATE(1995,8,25)</f>
        <v>34936</v>
      </c>
      <c r="B2074" s="3">
        <f>DATE(1996,1,2)</f>
        <v>35066</v>
      </c>
      <c r="C2074" s="2" t="s">
        <v>95</v>
      </c>
      <c r="D2074" s="2" t="s">
        <v>6690</v>
      </c>
      <c r="E2074" s="2" t="s">
        <v>6691</v>
      </c>
      <c r="F2074" s="4">
        <v>6331</v>
      </c>
      <c r="G2074" s="2" t="s">
        <v>125</v>
      </c>
      <c r="H2074" s="2" t="s">
        <v>34</v>
      </c>
      <c r="I2074" s="2" t="s">
        <v>6692</v>
      </c>
      <c r="J2074" s="2" t="s">
        <v>4875</v>
      </c>
      <c r="K2074" s="2" t="s">
        <v>125</v>
      </c>
      <c r="L2074" s="2" t="s">
        <v>34</v>
      </c>
      <c r="M2074" s="10">
        <v>28882.99</v>
      </c>
      <c r="N2074" s="4">
        <v>25400</v>
      </c>
      <c r="O2074" s="4">
        <v>25250</v>
      </c>
      <c r="P2074" s="2" t="s">
        <v>6693</v>
      </c>
      <c r="Q2074" s="6">
        <v>47.41</v>
      </c>
      <c r="R2074" s="6">
        <v>70</v>
      </c>
      <c r="S2074" s="5">
        <v>208.8</v>
      </c>
      <c r="T2074" s="2"/>
      <c r="U2074" s="5">
        <v>19.8</v>
      </c>
      <c r="V2074" s="6">
        <v>2.98</v>
      </c>
      <c r="W2074" s="7">
        <v>56.875</v>
      </c>
      <c r="X2074" s="6">
        <v>55.75</v>
      </c>
      <c r="Y2074" s="7">
        <v>68.625</v>
      </c>
      <c r="Z2074" s="7">
        <v>68.625</v>
      </c>
      <c r="AA2074" s="6">
        <v>67.84</v>
      </c>
      <c r="AB2074" s="7">
        <v>18.597999999999999</v>
      </c>
      <c r="AC2074" s="6">
        <v>273.88</v>
      </c>
    </row>
    <row r="2075" spans="1:29" ht="156" x14ac:dyDescent="0.15">
      <c r="A2075" s="3">
        <f t="shared" ref="A2075:A2080" si="11">DATE(1995,8,28)</f>
        <v>34939</v>
      </c>
      <c r="B2075" s="3">
        <f>DATE(1996,3,31)</f>
        <v>35155</v>
      </c>
      <c r="C2075" s="2" t="s">
        <v>95</v>
      </c>
      <c r="D2075" s="2" t="s">
        <v>6694</v>
      </c>
      <c r="E2075" s="2" t="s">
        <v>36</v>
      </c>
      <c r="F2075" s="4">
        <v>6021</v>
      </c>
      <c r="G2075" s="2" t="s">
        <v>37</v>
      </c>
      <c r="H2075" s="2" t="s">
        <v>34</v>
      </c>
      <c r="I2075" s="2" t="s">
        <v>4933</v>
      </c>
      <c r="J2075" s="2" t="s">
        <v>36</v>
      </c>
      <c r="K2075" s="2" t="s">
        <v>37</v>
      </c>
      <c r="L2075" s="2" t="s">
        <v>34</v>
      </c>
      <c r="M2075" s="12">
        <v>13854.111999999999</v>
      </c>
      <c r="N2075" s="7">
        <v>60.125</v>
      </c>
      <c r="O2075" s="7">
        <v>59.375</v>
      </c>
      <c r="P2075" s="2" t="s">
        <v>6695</v>
      </c>
      <c r="Q2075" s="6">
        <v>100</v>
      </c>
      <c r="R2075" s="6">
        <v>56.55</v>
      </c>
      <c r="S2075" s="8">
        <v>1075</v>
      </c>
      <c r="T2075" s="5">
        <v>250</v>
      </c>
      <c r="U2075" s="5">
        <v>41.1</v>
      </c>
      <c r="V2075" s="6">
        <v>5.27</v>
      </c>
      <c r="W2075" s="7">
        <v>52.625</v>
      </c>
      <c r="X2075" s="4">
        <v>53</v>
      </c>
      <c r="Y2075" s="7">
        <v>59.625</v>
      </c>
      <c r="Z2075" s="4">
        <v>59</v>
      </c>
      <c r="AA2075" s="6">
        <v>174.46</v>
      </c>
      <c r="AB2075" s="2" t="s">
        <v>86</v>
      </c>
      <c r="AC2075" s="2"/>
    </row>
    <row r="2076" spans="1:29" ht="104" x14ac:dyDescent="0.15">
      <c r="A2076" s="3">
        <f t="shared" si="11"/>
        <v>34939</v>
      </c>
      <c r="B2076" s="2"/>
      <c r="C2076" s="2" t="s">
        <v>30</v>
      </c>
      <c r="D2076" s="2" t="s">
        <v>6696</v>
      </c>
      <c r="E2076" s="2" t="s">
        <v>6697</v>
      </c>
      <c r="F2076" s="4">
        <v>8071</v>
      </c>
      <c r="G2076" s="2" t="s">
        <v>454</v>
      </c>
      <c r="H2076" s="2" t="s">
        <v>34</v>
      </c>
      <c r="I2076" s="2" t="s">
        <v>6698</v>
      </c>
      <c r="J2076" s="2" t="s">
        <v>1717</v>
      </c>
      <c r="K2076" s="2" t="s">
        <v>454</v>
      </c>
      <c r="L2076" s="2" t="s">
        <v>34</v>
      </c>
      <c r="M2076" s="7">
        <v>4.9130000000000003</v>
      </c>
      <c r="N2076" s="6">
        <v>0.81</v>
      </c>
      <c r="O2076" s="6">
        <v>0.81</v>
      </c>
      <c r="P2076" s="2" t="s">
        <v>6699</v>
      </c>
      <c r="Q2076" s="2"/>
      <c r="R2076" s="6">
        <v>6.5</v>
      </c>
      <c r="S2076" s="5">
        <v>1.4</v>
      </c>
      <c r="T2076" s="7">
        <v>4.3849999999999998</v>
      </c>
      <c r="U2076" s="5">
        <v>3.5</v>
      </c>
      <c r="V2076" s="6">
        <v>0.26</v>
      </c>
      <c r="W2076" s="6">
        <v>5.75</v>
      </c>
      <c r="X2076" s="7">
        <v>4.875</v>
      </c>
      <c r="Y2076" s="6">
        <v>5.75</v>
      </c>
      <c r="Z2076" s="7">
        <v>5.625</v>
      </c>
      <c r="AA2076" s="6">
        <v>5.23</v>
      </c>
      <c r="AB2076" s="7">
        <v>13.8</v>
      </c>
      <c r="AC2076" s="2"/>
    </row>
    <row r="2077" spans="1:29" ht="156" x14ac:dyDescent="0.15">
      <c r="A2077" s="3">
        <f t="shared" si="11"/>
        <v>34939</v>
      </c>
      <c r="B2077" s="3">
        <f>DATE(1996,5,3)</f>
        <v>35188</v>
      </c>
      <c r="C2077" s="2" t="s">
        <v>95</v>
      </c>
      <c r="D2077" s="2" t="s">
        <v>2216</v>
      </c>
      <c r="E2077" s="2" t="s">
        <v>36</v>
      </c>
      <c r="F2077" s="4">
        <v>6021</v>
      </c>
      <c r="G2077" s="2" t="s">
        <v>37</v>
      </c>
      <c r="H2077" s="2" t="s">
        <v>34</v>
      </c>
      <c r="I2077" s="2" t="s">
        <v>158</v>
      </c>
      <c r="J2077" s="2" t="s">
        <v>159</v>
      </c>
      <c r="K2077" s="2" t="s">
        <v>37</v>
      </c>
      <c r="L2077" s="2" t="s">
        <v>34</v>
      </c>
      <c r="M2077" s="12">
        <v>5337.5540000000001</v>
      </c>
      <c r="N2077" s="5">
        <v>30.5</v>
      </c>
      <c r="O2077" s="7">
        <v>29.875</v>
      </c>
      <c r="P2077" s="2" t="s">
        <v>6700</v>
      </c>
      <c r="Q2077" s="6">
        <v>100</v>
      </c>
      <c r="R2077" s="6">
        <v>63.25</v>
      </c>
      <c r="S2077" s="5">
        <v>169</v>
      </c>
      <c r="T2077" s="7">
        <v>276.11799999999999</v>
      </c>
      <c r="U2077" s="5">
        <v>25.6</v>
      </c>
      <c r="V2077" s="6">
        <v>5.01</v>
      </c>
      <c r="W2077" s="7">
        <v>51.375</v>
      </c>
      <c r="X2077" s="7">
        <v>51.875</v>
      </c>
      <c r="Y2077" s="7">
        <v>57.125</v>
      </c>
      <c r="Z2077" s="7">
        <v>56.375</v>
      </c>
      <c r="AA2077" s="6">
        <v>32.909999999999997</v>
      </c>
      <c r="AB2077" s="7">
        <v>19.783999999999999</v>
      </c>
      <c r="AC2077" s="2"/>
    </row>
    <row r="2078" spans="1:29" ht="130" x14ac:dyDescent="0.15">
      <c r="A2078" s="3">
        <f t="shared" si="11"/>
        <v>34939</v>
      </c>
      <c r="B2078" s="3">
        <f>DATE(1995,11,15)</f>
        <v>35018</v>
      </c>
      <c r="C2078" s="2" t="s">
        <v>95</v>
      </c>
      <c r="D2078" s="2" t="s">
        <v>6701</v>
      </c>
      <c r="E2078" s="2" t="s">
        <v>788</v>
      </c>
      <c r="F2078" s="4">
        <v>5912</v>
      </c>
      <c r="G2078" s="2" t="s">
        <v>73</v>
      </c>
      <c r="H2078" s="2" t="s">
        <v>34</v>
      </c>
      <c r="I2078" s="2" t="s">
        <v>6702</v>
      </c>
      <c r="J2078" s="2" t="s">
        <v>6703</v>
      </c>
      <c r="K2078" s="2" t="s">
        <v>593</v>
      </c>
      <c r="L2078" s="2" t="s">
        <v>34</v>
      </c>
      <c r="M2078" s="12">
        <v>2226.7429999999999</v>
      </c>
      <c r="N2078" s="4">
        <v>54</v>
      </c>
      <c r="O2078" s="7">
        <v>53.375</v>
      </c>
      <c r="P2078" s="2" t="s">
        <v>6704</v>
      </c>
      <c r="Q2078" s="6">
        <v>100</v>
      </c>
      <c r="R2078" s="6">
        <v>45</v>
      </c>
      <c r="S2078" s="5">
        <v>14.5</v>
      </c>
      <c r="T2078" s="7">
        <v>22.396999999999998</v>
      </c>
      <c r="U2078" s="5">
        <v>9.9</v>
      </c>
      <c r="V2078" s="6">
        <v>1.84</v>
      </c>
      <c r="W2078" s="4">
        <v>39</v>
      </c>
      <c r="X2078" s="6">
        <v>38.75</v>
      </c>
      <c r="Y2078" s="7">
        <v>43.063000000000002</v>
      </c>
      <c r="Z2078" s="7">
        <v>42.875</v>
      </c>
      <c r="AA2078" s="6">
        <v>7.71</v>
      </c>
      <c r="AB2078" s="7">
        <v>15.643000000000001</v>
      </c>
      <c r="AC2078" s="5">
        <v>63.2</v>
      </c>
    </row>
    <row r="2079" spans="1:29" ht="65" x14ac:dyDescent="0.15">
      <c r="A2079" s="3">
        <f t="shared" si="11"/>
        <v>34939</v>
      </c>
      <c r="B2079" s="3">
        <f>DATE(1996,2,1)</f>
        <v>35096</v>
      </c>
      <c r="C2079" s="2" t="s">
        <v>95</v>
      </c>
      <c r="D2079" s="2" t="s">
        <v>6705</v>
      </c>
      <c r="E2079" s="2" t="s">
        <v>389</v>
      </c>
      <c r="F2079" s="4">
        <v>6035</v>
      </c>
      <c r="G2079" s="2" t="s">
        <v>33</v>
      </c>
      <c r="H2079" s="2" t="s">
        <v>34</v>
      </c>
      <c r="I2079" s="2" t="s">
        <v>6706</v>
      </c>
      <c r="J2079" s="2" t="s">
        <v>32</v>
      </c>
      <c r="K2079" s="2" t="s">
        <v>33</v>
      </c>
      <c r="L2079" s="2" t="s">
        <v>34</v>
      </c>
      <c r="M2079" s="2"/>
      <c r="N2079" s="2"/>
      <c r="O2079" s="2"/>
      <c r="P2079" s="2" t="s">
        <v>6707</v>
      </c>
      <c r="Q2079" s="6">
        <v>100</v>
      </c>
      <c r="R2079" s="6">
        <v>32</v>
      </c>
      <c r="S2079" s="5">
        <v>0.5</v>
      </c>
      <c r="T2079" s="7">
        <v>4.1890000000000001</v>
      </c>
      <c r="U2079" s="5">
        <v>24.9</v>
      </c>
      <c r="V2079" s="7">
        <v>6.9000000000000006E-2</v>
      </c>
      <c r="W2079" s="7">
        <v>23.375</v>
      </c>
      <c r="X2079" s="6">
        <v>26.25</v>
      </c>
      <c r="Y2079" s="7">
        <v>29.875</v>
      </c>
      <c r="Z2079" s="4">
        <v>30</v>
      </c>
      <c r="AA2079" s="6">
        <v>7.87</v>
      </c>
      <c r="AB2079" s="7">
        <v>3213.6109999999999</v>
      </c>
      <c r="AC2079" s="2"/>
    </row>
    <row r="2080" spans="1:29" ht="130" x14ac:dyDescent="0.15">
      <c r="A2080" s="3">
        <f t="shared" si="11"/>
        <v>34939</v>
      </c>
      <c r="B2080" s="3">
        <f>DATE(1995,11,30)</f>
        <v>35033</v>
      </c>
      <c r="C2080" s="2" t="s">
        <v>95</v>
      </c>
      <c r="D2080" s="2" t="s">
        <v>6708</v>
      </c>
      <c r="E2080" s="2" t="s">
        <v>6709</v>
      </c>
      <c r="F2080" s="4">
        <v>2836</v>
      </c>
      <c r="G2080" s="2" t="s">
        <v>130</v>
      </c>
      <c r="H2080" s="2" t="s">
        <v>34</v>
      </c>
      <c r="I2080" s="2" t="s">
        <v>6710</v>
      </c>
      <c r="J2080" s="2" t="s">
        <v>6711</v>
      </c>
      <c r="K2080" s="2" t="s">
        <v>130</v>
      </c>
      <c r="L2080" s="2" t="s">
        <v>34</v>
      </c>
      <c r="M2080" s="7">
        <v>245.489</v>
      </c>
      <c r="N2080" s="7">
        <v>10.375</v>
      </c>
      <c r="O2080" s="4">
        <v>9</v>
      </c>
      <c r="P2080" s="2" t="s">
        <v>6712</v>
      </c>
      <c r="Q2080" s="6">
        <v>100</v>
      </c>
      <c r="R2080" s="6">
        <v>8.84</v>
      </c>
      <c r="S2080" s="5">
        <v>-22.1</v>
      </c>
      <c r="T2080" s="7">
        <v>-20.844999999999999</v>
      </c>
      <c r="U2080" s="5">
        <v>1.7</v>
      </c>
      <c r="V2080" s="7">
        <v>-1.456</v>
      </c>
      <c r="W2080" s="4">
        <v>8</v>
      </c>
      <c r="X2080" s="7">
        <v>8.125</v>
      </c>
      <c r="Y2080" s="4">
        <v>8</v>
      </c>
      <c r="Z2080" s="6">
        <v>7.25</v>
      </c>
      <c r="AA2080" s="6">
        <v>17.190000000000001</v>
      </c>
      <c r="AB2080" s="2" t="s">
        <v>86</v>
      </c>
      <c r="AC2080" s="6">
        <v>1.98</v>
      </c>
    </row>
    <row r="2081" spans="1:29" ht="104" x14ac:dyDescent="0.15">
      <c r="A2081" s="3">
        <f>DATE(1995,8,29)</f>
        <v>34940</v>
      </c>
      <c r="B2081" s="3">
        <f>DATE(1995,9,29)</f>
        <v>34971</v>
      </c>
      <c r="C2081" s="2" t="s">
        <v>95</v>
      </c>
      <c r="D2081" s="2" t="s">
        <v>6713</v>
      </c>
      <c r="E2081" s="2" t="s">
        <v>6714</v>
      </c>
      <c r="F2081" s="4">
        <v>3429</v>
      </c>
      <c r="G2081" s="2" t="s">
        <v>163</v>
      </c>
      <c r="H2081" s="2" t="s">
        <v>34</v>
      </c>
      <c r="I2081" s="2" t="s">
        <v>6715</v>
      </c>
      <c r="J2081" s="2" t="s">
        <v>6716</v>
      </c>
      <c r="K2081" s="2" t="s">
        <v>223</v>
      </c>
      <c r="L2081" s="2" t="s">
        <v>34</v>
      </c>
      <c r="M2081" s="2"/>
      <c r="N2081" s="9">
        <v>6.6875</v>
      </c>
      <c r="O2081" s="9">
        <v>6.5625</v>
      </c>
      <c r="P2081" s="2" t="s">
        <v>6717</v>
      </c>
      <c r="Q2081" s="6">
        <v>99.12</v>
      </c>
      <c r="R2081" s="6">
        <v>5.3</v>
      </c>
      <c r="S2081" s="5">
        <v>0.4</v>
      </c>
      <c r="T2081" s="7">
        <v>6.984</v>
      </c>
      <c r="U2081" s="5">
        <v>7.6</v>
      </c>
      <c r="V2081" s="6">
        <v>0.17</v>
      </c>
      <c r="W2081" s="7">
        <v>4.125</v>
      </c>
      <c r="X2081" s="7">
        <v>4.125</v>
      </c>
      <c r="Y2081" s="7">
        <v>4.125</v>
      </c>
      <c r="Z2081" s="6">
        <v>5.25</v>
      </c>
      <c r="AA2081" s="6">
        <v>2.4700000000000002</v>
      </c>
      <c r="AB2081" s="7">
        <v>11.97</v>
      </c>
      <c r="AC2081" s="2"/>
    </row>
    <row r="2082" spans="1:29" ht="156" x14ac:dyDescent="0.15">
      <c r="A2082" s="3">
        <f>DATE(1995,8,29)</f>
        <v>34940</v>
      </c>
      <c r="B2082" s="3">
        <f>DATE(1996,10,10)</f>
        <v>35348</v>
      </c>
      <c r="C2082" s="2" t="s">
        <v>95</v>
      </c>
      <c r="D2082" s="2" t="s">
        <v>2599</v>
      </c>
      <c r="E2082" s="2" t="s">
        <v>2600</v>
      </c>
      <c r="F2082" s="4">
        <v>4833</v>
      </c>
      <c r="G2082" s="2" t="s">
        <v>45</v>
      </c>
      <c r="H2082" s="2" t="s">
        <v>34</v>
      </c>
      <c r="I2082" s="2" t="s">
        <v>2377</v>
      </c>
      <c r="J2082" s="2" t="s">
        <v>2378</v>
      </c>
      <c r="K2082" s="2" t="s">
        <v>42</v>
      </c>
      <c r="L2082" s="2" t="s">
        <v>34</v>
      </c>
      <c r="M2082" s="12">
        <v>16793.346000000001</v>
      </c>
      <c r="N2082" s="7">
        <v>42.375</v>
      </c>
      <c r="O2082" s="7">
        <v>41.375</v>
      </c>
      <c r="P2082" s="2" t="s">
        <v>6718</v>
      </c>
      <c r="Q2082" s="6">
        <v>82.17</v>
      </c>
      <c r="R2082" s="6">
        <v>29.81</v>
      </c>
      <c r="S2082" s="5">
        <v>46.2</v>
      </c>
      <c r="T2082" s="7">
        <v>334.642</v>
      </c>
      <c r="U2082" s="5">
        <v>0.4</v>
      </c>
      <c r="V2082" s="6">
        <v>0.16</v>
      </c>
      <c r="W2082" s="7">
        <v>22.125</v>
      </c>
      <c r="X2082" s="7">
        <v>23.702999999999999</v>
      </c>
      <c r="Y2082" s="7">
        <v>23.625</v>
      </c>
      <c r="Z2082" s="5">
        <v>30.5</v>
      </c>
      <c r="AA2082" s="6">
        <v>206.15</v>
      </c>
      <c r="AB2082" s="7">
        <v>40.689</v>
      </c>
      <c r="AC2082" s="5">
        <v>282</v>
      </c>
    </row>
    <row r="2083" spans="1:29" ht="65" x14ac:dyDescent="0.15">
      <c r="A2083" s="3">
        <f>DATE(1995,8,30)</f>
        <v>34941</v>
      </c>
      <c r="B2083" s="2"/>
      <c r="C2083" s="2" t="s">
        <v>30</v>
      </c>
      <c r="D2083" s="2" t="s">
        <v>4035</v>
      </c>
      <c r="E2083" s="2" t="s">
        <v>4036</v>
      </c>
      <c r="F2083" s="4">
        <v>3589</v>
      </c>
      <c r="G2083" s="2" t="s">
        <v>300</v>
      </c>
      <c r="H2083" s="2" t="s">
        <v>34</v>
      </c>
      <c r="I2083" s="2" t="s">
        <v>4037</v>
      </c>
      <c r="J2083" s="2" t="s">
        <v>4038</v>
      </c>
      <c r="K2083" s="2" t="s">
        <v>98</v>
      </c>
      <c r="L2083" s="2" t="s">
        <v>34</v>
      </c>
      <c r="M2083" s="5">
        <v>512</v>
      </c>
      <c r="N2083" s="5">
        <v>11.5</v>
      </c>
      <c r="O2083" s="6">
        <v>11.75</v>
      </c>
      <c r="P2083" s="2" t="s">
        <v>6719</v>
      </c>
      <c r="Q2083" s="2"/>
      <c r="R2083" s="6">
        <v>21</v>
      </c>
      <c r="S2083" s="5">
        <v>9.3000000000000007</v>
      </c>
      <c r="T2083" s="7">
        <v>19.928999999999998</v>
      </c>
      <c r="U2083" s="5">
        <v>3.1</v>
      </c>
      <c r="V2083" s="7">
        <v>0.40500000000000003</v>
      </c>
      <c r="W2083" s="7">
        <v>14.125</v>
      </c>
      <c r="X2083" s="4">
        <v>15</v>
      </c>
      <c r="Y2083" s="4">
        <v>20</v>
      </c>
      <c r="Z2083" s="6">
        <v>19.75</v>
      </c>
      <c r="AA2083" s="6">
        <v>11.36</v>
      </c>
      <c r="AB2083" s="7">
        <v>32.655999999999999</v>
      </c>
      <c r="AC2083" s="6">
        <v>71.260000000000005</v>
      </c>
    </row>
    <row r="2084" spans="1:29" ht="156" x14ac:dyDescent="0.15">
      <c r="A2084" s="3">
        <f>DATE(1995,8,30)</f>
        <v>34941</v>
      </c>
      <c r="B2084" s="3">
        <f>DATE(1996,1,2)</f>
        <v>35066</v>
      </c>
      <c r="C2084" s="2" t="s">
        <v>95</v>
      </c>
      <c r="D2084" s="2" t="s">
        <v>6720</v>
      </c>
      <c r="E2084" s="2" t="s">
        <v>6721</v>
      </c>
      <c r="F2084" s="4">
        <v>3841</v>
      </c>
      <c r="G2084" s="2" t="s">
        <v>226</v>
      </c>
      <c r="H2084" s="2" t="s">
        <v>34</v>
      </c>
      <c r="I2084" s="2" t="s">
        <v>5268</v>
      </c>
      <c r="J2084" s="2" t="s">
        <v>5269</v>
      </c>
      <c r="K2084" s="2" t="s">
        <v>226</v>
      </c>
      <c r="L2084" s="2" t="s">
        <v>34</v>
      </c>
      <c r="M2084" s="12">
        <v>5716.3919999999998</v>
      </c>
      <c r="N2084" s="7">
        <v>39.875</v>
      </c>
      <c r="O2084" s="6">
        <v>39.75</v>
      </c>
      <c r="P2084" s="2" t="s">
        <v>6722</v>
      </c>
      <c r="Q2084" s="6">
        <v>100</v>
      </c>
      <c r="R2084" s="6">
        <v>27</v>
      </c>
      <c r="S2084" s="5">
        <v>15.5</v>
      </c>
      <c r="T2084" s="6">
        <v>12.32</v>
      </c>
      <c r="U2084" s="5">
        <v>5.3</v>
      </c>
      <c r="V2084" s="7">
        <v>0.85199999999999998</v>
      </c>
      <c r="W2084" s="7">
        <v>25.875</v>
      </c>
      <c r="X2084" s="7">
        <v>25.625</v>
      </c>
      <c r="Y2084" s="4">
        <v>27</v>
      </c>
      <c r="Z2084" s="6">
        <v>27.25</v>
      </c>
      <c r="AA2084" s="6">
        <v>17.600000000000001</v>
      </c>
      <c r="AB2084" s="7">
        <v>57.576999999999998</v>
      </c>
      <c r="AC2084" s="6">
        <v>118.36</v>
      </c>
    </row>
    <row r="2085" spans="1:29" ht="130" x14ac:dyDescent="0.15">
      <c r="A2085" s="3">
        <f>DATE(1995,8,30)</f>
        <v>34941</v>
      </c>
      <c r="B2085" s="3">
        <f>DATE(1995,12,29)</f>
        <v>35062</v>
      </c>
      <c r="C2085" s="2" t="s">
        <v>95</v>
      </c>
      <c r="D2085" s="2" t="s">
        <v>6723</v>
      </c>
      <c r="E2085" s="2" t="s">
        <v>3259</v>
      </c>
      <c r="F2085" s="4">
        <v>8093</v>
      </c>
      <c r="G2085" s="2" t="s">
        <v>454</v>
      </c>
      <c r="H2085" s="2" t="s">
        <v>34</v>
      </c>
      <c r="I2085" s="2" t="s">
        <v>6724</v>
      </c>
      <c r="J2085" s="2" t="s">
        <v>4626</v>
      </c>
      <c r="K2085" s="2" t="s">
        <v>454</v>
      </c>
      <c r="L2085" s="2" t="s">
        <v>34</v>
      </c>
      <c r="M2085" s="7">
        <v>276.22699999999998</v>
      </c>
      <c r="N2085" s="7">
        <v>13.125</v>
      </c>
      <c r="O2085" s="6">
        <v>13.25</v>
      </c>
      <c r="P2085" s="2" t="s">
        <v>6725</v>
      </c>
      <c r="Q2085" s="6">
        <v>100</v>
      </c>
      <c r="R2085" s="6">
        <v>5.55</v>
      </c>
      <c r="S2085" s="5">
        <v>0.4</v>
      </c>
      <c r="T2085" s="7">
        <v>4.234</v>
      </c>
      <c r="U2085" s="5">
        <v>3.6</v>
      </c>
      <c r="V2085" s="7">
        <v>0.126</v>
      </c>
      <c r="W2085" s="6">
        <v>5.75</v>
      </c>
      <c r="X2085" s="6">
        <v>5.25</v>
      </c>
      <c r="Y2085" s="7">
        <v>5.625</v>
      </c>
      <c r="Z2085" s="5">
        <v>5.5</v>
      </c>
      <c r="AA2085" s="6">
        <v>5.47</v>
      </c>
      <c r="AB2085" s="7">
        <v>22.324000000000002</v>
      </c>
      <c r="AC2085" s="2"/>
    </row>
    <row r="2086" spans="1:29" ht="78" x14ac:dyDescent="0.15">
      <c r="A2086" s="3">
        <f>DATE(1995,8,30)</f>
        <v>34941</v>
      </c>
      <c r="B2086" s="3">
        <f>DATE(1996,1,3)</f>
        <v>35067</v>
      </c>
      <c r="C2086" s="2" t="s">
        <v>95</v>
      </c>
      <c r="D2086" s="2" t="s">
        <v>6726</v>
      </c>
      <c r="E2086" s="2" t="s">
        <v>124</v>
      </c>
      <c r="F2086" s="4">
        <v>6311</v>
      </c>
      <c r="G2086" s="2" t="s">
        <v>125</v>
      </c>
      <c r="H2086" s="2" t="s">
        <v>34</v>
      </c>
      <c r="I2086" s="2" t="s">
        <v>6727</v>
      </c>
      <c r="J2086" s="2" t="s">
        <v>6728</v>
      </c>
      <c r="K2086" s="2" t="s">
        <v>125</v>
      </c>
      <c r="L2086" s="2" t="s">
        <v>34</v>
      </c>
      <c r="M2086" s="2"/>
      <c r="N2086" s="2"/>
      <c r="O2086" s="2"/>
      <c r="P2086" s="2" t="s">
        <v>6729</v>
      </c>
      <c r="Q2086" s="6">
        <v>100</v>
      </c>
      <c r="R2086" s="6">
        <v>12.37</v>
      </c>
      <c r="S2086" s="5">
        <v>0.5</v>
      </c>
      <c r="T2086" s="2"/>
      <c r="U2086" s="5">
        <v>13.4</v>
      </c>
      <c r="V2086" s="6">
        <v>0.25</v>
      </c>
      <c r="W2086" s="4">
        <v>9</v>
      </c>
      <c r="X2086" s="5">
        <v>8.5</v>
      </c>
      <c r="Y2086" s="6">
        <v>10.75</v>
      </c>
      <c r="Z2086" s="6">
        <v>10.75</v>
      </c>
      <c r="AA2086" s="6">
        <v>2.02</v>
      </c>
      <c r="AB2086" s="2" t="s">
        <v>47</v>
      </c>
      <c r="AC2086" s="2"/>
    </row>
    <row r="2087" spans="1:29" ht="91" x14ac:dyDescent="0.15">
      <c r="A2087" s="3">
        <f>DATE(1995,8,30)</f>
        <v>34941</v>
      </c>
      <c r="B2087" s="2"/>
      <c r="C2087" s="2" t="s">
        <v>30</v>
      </c>
      <c r="D2087" s="2" t="s">
        <v>6730</v>
      </c>
      <c r="E2087" s="2" t="s">
        <v>6731</v>
      </c>
      <c r="F2087" s="4">
        <v>5651</v>
      </c>
      <c r="G2087" s="2" t="s">
        <v>756</v>
      </c>
      <c r="H2087" s="2" t="s">
        <v>34</v>
      </c>
      <c r="I2087" s="2" t="s">
        <v>51</v>
      </c>
      <c r="J2087" s="2" t="s">
        <v>52</v>
      </c>
      <c r="K2087" s="2" t="s">
        <v>53</v>
      </c>
      <c r="L2087" s="2" t="s">
        <v>34</v>
      </c>
      <c r="M2087" s="2"/>
      <c r="N2087" s="2"/>
      <c r="O2087" s="2"/>
      <c r="P2087" s="2" t="s">
        <v>6732</v>
      </c>
      <c r="Q2087" s="2"/>
      <c r="R2087" s="6">
        <v>8.75</v>
      </c>
      <c r="S2087" s="5">
        <v>6.7</v>
      </c>
      <c r="T2087" s="7">
        <v>23.189</v>
      </c>
      <c r="U2087" s="5">
        <v>11.1</v>
      </c>
      <c r="V2087" s="6">
        <v>0.59</v>
      </c>
      <c r="W2087" s="4">
        <v>8</v>
      </c>
      <c r="X2087" s="7">
        <v>7.875</v>
      </c>
      <c r="Y2087" s="7">
        <v>8.125</v>
      </c>
      <c r="Z2087" s="7">
        <v>8.625</v>
      </c>
      <c r="AA2087" s="6">
        <v>17.690000000000001</v>
      </c>
      <c r="AB2087" s="7">
        <v>10.965999999999999</v>
      </c>
      <c r="AC2087" s="2"/>
    </row>
    <row r="2088" spans="1:29" ht="91" x14ac:dyDescent="0.15">
      <c r="A2088" s="3">
        <f>DATE(1995,8,31)</f>
        <v>34942</v>
      </c>
      <c r="B2088" s="2"/>
      <c r="C2088" s="2" t="s">
        <v>87</v>
      </c>
      <c r="D2088" s="2" t="s">
        <v>6733</v>
      </c>
      <c r="E2088" s="2" t="s">
        <v>6734</v>
      </c>
      <c r="F2088" s="4">
        <v>6163</v>
      </c>
      <c r="G2088" s="2" t="s">
        <v>109</v>
      </c>
      <c r="H2088" s="2" t="s">
        <v>34</v>
      </c>
      <c r="I2088" s="2" t="s">
        <v>6735</v>
      </c>
      <c r="J2088" s="2" t="s">
        <v>6736</v>
      </c>
      <c r="K2088" s="2" t="s">
        <v>370</v>
      </c>
      <c r="L2088" s="2" t="s">
        <v>34</v>
      </c>
      <c r="M2088" s="2"/>
      <c r="N2088" s="2"/>
      <c r="O2088" s="2"/>
      <c r="P2088" s="2" t="s">
        <v>6737</v>
      </c>
      <c r="Q2088" s="2"/>
      <c r="R2088" s="2"/>
      <c r="S2088" s="5">
        <v>-1.8</v>
      </c>
      <c r="T2088" s="7">
        <v>5.5880000000000001</v>
      </c>
      <c r="U2088" s="5">
        <v>0.8</v>
      </c>
      <c r="V2088" s="6">
        <v>-0.21</v>
      </c>
      <c r="W2088" s="6">
        <v>24.25</v>
      </c>
      <c r="X2088" s="6">
        <v>22.75</v>
      </c>
      <c r="Y2088" s="7">
        <v>22.375</v>
      </c>
      <c r="Z2088" s="6">
        <v>22.75</v>
      </c>
      <c r="AA2088" s="6">
        <v>5.44</v>
      </c>
      <c r="AB2088" s="2" t="s">
        <v>47</v>
      </c>
      <c r="AC2088" s="2"/>
    </row>
    <row r="2089" spans="1:29" ht="104" x14ac:dyDescent="0.15">
      <c r="A2089" s="3">
        <f>DATE(1995,8,31)</f>
        <v>34942</v>
      </c>
      <c r="B2089" s="2"/>
      <c r="C2089" s="2" t="s">
        <v>30</v>
      </c>
      <c r="D2089" s="2" t="s">
        <v>2194</v>
      </c>
      <c r="E2089" s="2" t="s">
        <v>2195</v>
      </c>
      <c r="F2089" s="4">
        <v>5065</v>
      </c>
      <c r="G2089" s="2" t="s">
        <v>76</v>
      </c>
      <c r="H2089" s="2" t="s">
        <v>34</v>
      </c>
      <c r="I2089" s="2" t="s">
        <v>6738</v>
      </c>
      <c r="J2089" s="2" t="s">
        <v>6739</v>
      </c>
      <c r="K2089" s="2" t="s">
        <v>137</v>
      </c>
      <c r="L2089" s="2" t="s">
        <v>34</v>
      </c>
      <c r="M2089" s="7">
        <v>157.52699999999999</v>
      </c>
      <c r="N2089" s="7">
        <v>21.125</v>
      </c>
      <c r="O2089" s="5">
        <v>21.5</v>
      </c>
      <c r="P2089" s="2" t="s">
        <v>6740</v>
      </c>
      <c r="Q2089" s="2"/>
      <c r="R2089" s="6">
        <v>21.75</v>
      </c>
      <c r="S2089" s="5">
        <v>7.8</v>
      </c>
      <c r="T2089" s="7">
        <v>14.987</v>
      </c>
      <c r="U2089" s="5">
        <v>5.5</v>
      </c>
      <c r="V2089" s="9">
        <v>1.0611999999999999</v>
      </c>
      <c r="W2089" s="4">
        <v>18</v>
      </c>
      <c r="X2089" s="6">
        <v>17.25</v>
      </c>
      <c r="Y2089" s="7">
        <v>19.625</v>
      </c>
      <c r="Z2089" s="7">
        <v>18.625</v>
      </c>
      <c r="AA2089" s="6">
        <v>6.61</v>
      </c>
      <c r="AB2089" s="7">
        <v>12.452999999999999</v>
      </c>
      <c r="AC2089" s="6">
        <v>3.63</v>
      </c>
    </row>
    <row r="2090" spans="1:29" ht="143" x14ac:dyDescent="0.15">
      <c r="A2090" s="3">
        <f>DATE(1995,9,5)</f>
        <v>34947</v>
      </c>
      <c r="B2090" s="3">
        <f>DATE(1996,1,9)</f>
        <v>35073</v>
      </c>
      <c r="C2090" s="2" t="s">
        <v>95</v>
      </c>
      <c r="D2090" s="2" t="s">
        <v>4176</v>
      </c>
      <c r="E2090" s="2" t="s">
        <v>36</v>
      </c>
      <c r="F2090" s="4">
        <v>6021</v>
      </c>
      <c r="G2090" s="2" t="s">
        <v>37</v>
      </c>
      <c r="H2090" s="2" t="s">
        <v>34</v>
      </c>
      <c r="I2090" s="2" t="s">
        <v>3047</v>
      </c>
      <c r="J2090" s="2" t="s">
        <v>3048</v>
      </c>
      <c r="K2090" s="2" t="s">
        <v>37</v>
      </c>
      <c r="L2090" s="2" t="s">
        <v>34</v>
      </c>
      <c r="M2090" s="12">
        <v>16219.291999999999</v>
      </c>
      <c r="N2090" s="7">
        <v>60.875</v>
      </c>
      <c r="O2090" s="5">
        <v>61.5</v>
      </c>
      <c r="P2090" s="2" t="s">
        <v>6741</v>
      </c>
      <c r="Q2090" s="6">
        <v>100</v>
      </c>
      <c r="R2090" s="6">
        <v>27.06</v>
      </c>
      <c r="S2090" s="5">
        <v>76.3</v>
      </c>
      <c r="T2090" s="6">
        <v>119.82</v>
      </c>
      <c r="U2090" s="5">
        <v>11.1</v>
      </c>
      <c r="V2090" s="6">
        <v>1.39</v>
      </c>
      <c r="W2090" s="7">
        <v>22.062999999999999</v>
      </c>
      <c r="X2090" s="6">
        <v>23.25</v>
      </c>
      <c r="Y2090" s="6">
        <v>23.25</v>
      </c>
      <c r="Z2090" s="7">
        <v>25.437999999999999</v>
      </c>
      <c r="AA2090" s="6">
        <v>58.77</v>
      </c>
      <c r="AB2090" s="7">
        <v>71.284000000000006</v>
      </c>
      <c r="AC2090" s="2"/>
    </row>
    <row r="2091" spans="1:29" ht="130" x14ac:dyDescent="0.15">
      <c r="A2091" s="3">
        <f>DATE(1995,9,5)</f>
        <v>34947</v>
      </c>
      <c r="B2091" s="3">
        <f>DATE(1996,9,9)</f>
        <v>35317</v>
      </c>
      <c r="C2091" s="2" t="s">
        <v>95</v>
      </c>
      <c r="D2091" s="2" t="s">
        <v>6742</v>
      </c>
      <c r="E2091" s="2" t="s">
        <v>6743</v>
      </c>
      <c r="F2091" s="4">
        <v>5812</v>
      </c>
      <c r="G2091" s="2" t="s">
        <v>230</v>
      </c>
      <c r="H2091" s="2" t="s">
        <v>34</v>
      </c>
      <c r="I2091" s="2" t="s">
        <v>6744</v>
      </c>
      <c r="J2091" s="2" t="s">
        <v>4601</v>
      </c>
      <c r="K2091" s="2" t="s">
        <v>230</v>
      </c>
      <c r="L2091" s="2" t="s">
        <v>34</v>
      </c>
      <c r="M2091" s="7">
        <v>466.43900000000002</v>
      </c>
      <c r="N2091" s="7">
        <v>11.875</v>
      </c>
      <c r="O2091" s="6">
        <v>11.75</v>
      </c>
      <c r="P2091" s="2" t="s">
        <v>6745</v>
      </c>
      <c r="Q2091" s="6">
        <v>100</v>
      </c>
      <c r="R2091" s="6">
        <v>3.19</v>
      </c>
      <c r="S2091" s="5">
        <v>-7.2</v>
      </c>
      <c r="T2091" s="7">
        <v>21.318000000000001</v>
      </c>
      <c r="U2091" s="5">
        <v>3.2</v>
      </c>
      <c r="V2091" s="6">
        <v>-0.35</v>
      </c>
      <c r="W2091" s="7">
        <v>4.9379999999999997</v>
      </c>
      <c r="X2091" s="6">
        <v>4.75</v>
      </c>
      <c r="Y2091" s="7">
        <v>4.625</v>
      </c>
      <c r="Z2091" s="7">
        <v>4.625</v>
      </c>
      <c r="AA2091" s="6">
        <v>20.43</v>
      </c>
      <c r="AB2091" s="7">
        <v>52.936999999999998</v>
      </c>
      <c r="AC2091" s="6">
        <v>4.2300000000000004</v>
      </c>
    </row>
    <row r="2092" spans="1:29" ht="117" x14ac:dyDescent="0.15">
      <c r="A2092" s="3">
        <f>DATE(1995,9,6)</f>
        <v>34948</v>
      </c>
      <c r="B2092" s="3">
        <f>DATE(1995,12,1)</f>
        <v>35034</v>
      </c>
      <c r="C2092" s="2" t="s">
        <v>95</v>
      </c>
      <c r="D2092" s="2" t="s">
        <v>6746</v>
      </c>
      <c r="E2092" s="2" t="s">
        <v>6747</v>
      </c>
      <c r="F2092" s="4">
        <v>3825</v>
      </c>
      <c r="G2092" s="2" t="s">
        <v>226</v>
      </c>
      <c r="H2092" s="2" t="s">
        <v>34</v>
      </c>
      <c r="I2092" s="2" t="s">
        <v>6748</v>
      </c>
      <c r="J2092" s="2" t="s">
        <v>6749</v>
      </c>
      <c r="K2092" s="2" t="s">
        <v>226</v>
      </c>
      <c r="L2092" s="2" t="s">
        <v>34</v>
      </c>
      <c r="M2092" s="12">
        <v>1699.078</v>
      </c>
      <c r="N2092" s="5">
        <v>39.5</v>
      </c>
      <c r="O2092" s="7">
        <v>39.875</v>
      </c>
      <c r="P2092" s="2" t="s">
        <v>6750</v>
      </c>
      <c r="Q2092" s="6">
        <v>100</v>
      </c>
      <c r="R2092" s="6">
        <v>27.84</v>
      </c>
      <c r="S2092" s="5">
        <v>-12.6</v>
      </c>
      <c r="T2092" s="7">
        <v>-9.859</v>
      </c>
      <c r="U2092" s="5">
        <v>8.5</v>
      </c>
      <c r="V2092" s="7">
        <v>-1.762</v>
      </c>
      <c r="W2092" s="7">
        <v>23.125</v>
      </c>
      <c r="X2092" s="6">
        <v>24.25</v>
      </c>
      <c r="Y2092" s="6">
        <v>32.25</v>
      </c>
      <c r="Z2092" s="4">
        <v>32</v>
      </c>
      <c r="AA2092" s="6">
        <v>7.42</v>
      </c>
      <c r="AB2092" s="2" t="s">
        <v>86</v>
      </c>
      <c r="AC2092" s="6">
        <v>202.58</v>
      </c>
    </row>
    <row r="2093" spans="1:29" ht="156" x14ac:dyDescent="0.15">
      <c r="A2093" s="3">
        <f>DATE(1995,9,6)</f>
        <v>34948</v>
      </c>
      <c r="B2093" s="3">
        <f>DATE(1995,12,15)</f>
        <v>35048</v>
      </c>
      <c r="C2093" s="2" t="s">
        <v>95</v>
      </c>
      <c r="D2093" s="2" t="s">
        <v>6751</v>
      </c>
      <c r="E2093" s="2" t="s">
        <v>6752</v>
      </c>
      <c r="F2093" s="4">
        <v>3577</v>
      </c>
      <c r="G2093" s="2" t="s">
        <v>50</v>
      </c>
      <c r="H2093" s="2" t="s">
        <v>34</v>
      </c>
      <c r="I2093" s="2" t="s">
        <v>6753</v>
      </c>
      <c r="J2093" s="2" t="s">
        <v>5065</v>
      </c>
      <c r="K2093" s="2" t="s">
        <v>50</v>
      </c>
      <c r="L2093" s="2" t="s">
        <v>34</v>
      </c>
      <c r="M2093" s="12">
        <v>4908.1049999999996</v>
      </c>
      <c r="N2093" s="7">
        <v>48.875</v>
      </c>
      <c r="O2093" s="7">
        <v>49.188000000000002</v>
      </c>
      <c r="P2093" s="2" t="s">
        <v>6754</v>
      </c>
      <c r="Q2093" s="6">
        <v>100</v>
      </c>
      <c r="R2093" s="6">
        <v>52.76</v>
      </c>
      <c r="S2093" s="5">
        <v>-2.7</v>
      </c>
      <c r="T2093" s="7">
        <v>-5.6589999999999998</v>
      </c>
      <c r="U2093" s="5">
        <v>4.5</v>
      </c>
      <c r="V2093" s="7">
        <v>-0.57499999999999996</v>
      </c>
      <c r="W2093" s="7">
        <v>34.875</v>
      </c>
      <c r="X2093" s="4">
        <v>37</v>
      </c>
      <c r="Y2093" s="7">
        <v>48.875</v>
      </c>
      <c r="Z2093" s="5">
        <v>49.5</v>
      </c>
      <c r="AA2093" s="6">
        <v>5.5</v>
      </c>
      <c r="AB2093" s="2" t="s">
        <v>86</v>
      </c>
      <c r="AC2093" s="6">
        <v>589.85</v>
      </c>
    </row>
    <row r="2094" spans="1:29" ht="52" x14ac:dyDescent="0.15">
      <c r="A2094" s="3">
        <f>DATE(1995,9,7)</f>
        <v>34949</v>
      </c>
      <c r="B2094" s="3">
        <f>DATE(1996,3,6)</f>
        <v>35130</v>
      </c>
      <c r="C2094" s="2" t="s">
        <v>95</v>
      </c>
      <c r="D2094" s="2" t="s">
        <v>6755</v>
      </c>
      <c r="E2094" s="2" t="s">
        <v>6756</v>
      </c>
      <c r="F2094" s="4">
        <v>8741</v>
      </c>
      <c r="G2094" s="2" t="s">
        <v>223</v>
      </c>
      <c r="H2094" s="2" t="s">
        <v>34</v>
      </c>
      <c r="I2094" s="2" t="s">
        <v>6757</v>
      </c>
      <c r="J2094" s="2" t="s">
        <v>2241</v>
      </c>
      <c r="K2094" s="2" t="s">
        <v>125</v>
      </c>
      <c r="L2094" s="2" t="s">
        <v>34</v>
      </c>
      <c r="M2094" s="2"/>
      <c r="N2094" s="2"/>
      <c r="O2094" s="2"/>
      <c r="P2094" s="2" t="s">
        <v>6758</v>
      </c>
      <c r="Q2094" s="6">
        <v>100</v>
      </c>
      <c r="R2094" s="6">
        <v>2.25</v>
      </c>
      <c r="S2094" s="5">
        <v>0.3</v>
      </c>
      <c r="T2094" s="6">
        <v>1.39</v>
      </c>
      <c r="U2094" s="5">
        <v>0.5</v>
      </c>
      <c r="V2094" s="7">
        <v>3.5999999999999997E-2</v>
      </c>
      <c r="W2094" s="7">
        <v>1.2190000000000001</v>
      </c>
      <c r="X2094" s="7">
        <v>1.4059999999999999</v>
      </c>
      <c r="Y2094" s="7">
        <v>1.9379999999999999</v>
      </c>
      <c r="Z2094" s="7">
        <v>1.7809999999999999</v>
      </c>
      <c r="AA2094" s="6">
        <v>8.76</v>
      </c>
      <c r="AB2094" s="7">
        <v>33.991999999999997</v>
      </c>
      <c r="AC2094" s="2"/>
    </row>
    <row r="2095" spans="1:29" ht="91" x14ac:dyDescent="0.15">
      <c r="A2095" s="3">
        <f>DATE(1995,9,7)</f>
        <v>34949</v>
      </c>
      <c r="B2095" s="2"/>
      <c r="C2095" s="2" t="s">
        <v>87</v>
      </c>
      <c r="D2095" s="2" t="s">
        <v>6759</v>
      </c>
      <c r="E2095" s="2" t="s">
        <v>92</v>
      </c>
      <c r="F2095" s="4">
        <v>6798</v>
      </c>
      <c r="G2095" s="2" t="s">
        <v>53</v>
      </c>
      <c r="H2095" s="2" t="s">
        <v>34</v>
      </c>
      <c r="I2095" s="2" t="s">
        <v>4838</v>
      </c>
      <c r="J2095" s="2" t="s">
        <v>92</v>
      </c>
      <c r="K2095" s="2" t="s">
        <v>53</v>
      </c>
      <c r="L2095" s="2" t="s">
        <v>34</v>
      </c>
      <c r="M2095" s="7">
        <v>84.533000000000001</v>
      </c>
      <c r="N2095" s="7">
        <v>19.875</v>
      </c>
      <c r="O2095" s="4">
        <v>20</v>
      </c>
      <c r="P2095" s="2" t="s">
        <v>6760</v>
      </c>
      <c r="Q2095" s="2"/>
      <c r="R2095" s="6">
        <v>8.1</v>
      </c>
      <c r="S2095" s="5">
        <v>0.3</v>
      </c>
      <c r="T2095" s="7">
        <v>0.45500000000000002</v>
      </c>
      <c r="U2095" s="5">
        <v>11.2</v>
      </c>
      <c r="V2095" s="6">
        <v>0.12</v>
      </c>
      <c r="W2095" s="5">
        <v>6.5</v>
      </c>
      <c r="X2095" s="7">
        <v>6.5629999999999997</v>
      </c>
      <c r="Y2095" s="7">
        <v>7.125</v>
      </c>
      <c r="Z2095" s="7">
        <v>7.375</v>
      </c>
      <c r="AA2095" s="6">
        <v>2.2000000000000002</v>
      </c>
      <c r="AB2095" s="7">
        <v>90.787000000000006</v>
      </c>
      <c r="AC2095" s="6">
        <v>0.3</v>
      </c>
    </row>
    <row r="2096" spans="1:29" ht="156" x14ac:dyDescent="0.15">
      <c r="A2096" s="3">
        <f>DATE(1995,9,8)</f>
        <v>34950</v>
      </c>
      <c r="B2096" s="3">
        <f>DATE(1996,4,9)</f>
        <v>35164</v>
      </c>
      <c r="C2096" s="2" t="s">
        <v>95</v>
      </c>
      <c r="D2096" s="2" t="s">
        <v>3299</v>
      </c>
      <c r="E2096" s="2" t="s">
        <v>3300</v>
      </c>
      <c r="F2096" s="4">
        <v>6311</v>
      </c>
      <c r="G2096" s="2" t="s">
        <v>125</v>
      </c>
      <c r="H2096" s="2" t="s">
        <v>34</v>
      </c>
      <c r="I2096" s="2" t="s">
        <v>6761</v>
      </c>
      <c r="J2096" s="2" t="s">
        <v>169</v>
      </c>
      <c r="K2096" s="2" t="s">
        <v>125</v>
      </c>
      <c r="L2096" s="2" t="s">
        <v>34</v>
      </c>
      <c r="M2096" s="7">
        <v>122.134</v>
      </c>
      <c r="N2096" s="5">
        <v>11.5</v>
      </c>
      <c r="O2096" s="7">
        <v>11.875</v>
      </c>
      <c r="P2096" s="2" t="s">
        <v>6762</v>
      </c>
      <c r="Q2096" s="6">
        <v>100</v>
      </c>
      <c r="R2096" s="6">
        <v>5.51</v>
      </c>
      <c r="S2096" s="5">
        <v>4.7</v>
      </c>
      <c r="T2096" s="7">
        <v>6.3970000000000002</v>
      </c>
      <c r="U2096" s="5">
        <v>5.0999999999999996</v>
      </c>
      <c r="V2096" s="6">
        <v>0.55000000000000004</v>
      </c>
      <c r="W2096" s="7">
        <v>4.5629999999999997</v>
      </c>
      <c r="X2096" s="7">
        <v>4.4379999999999997</v>
      </c>
      <c r="Y2096" s="6">
        <v>4.25</v>
      </c>
      <c r="Z2096" s="6">
        <v>4.25</v>
      </c>
      <c r="AA2096" s="6">
        <v>6.75</v>
      </c>
      <c r="AB2096" s="7">
        <v>5.3380000000000001</v>
      </c>
      <c r="AC2096" s="6">
        <v>48.28</v>
      </c>
    </row>
    <row r="2097" spans="1:29" ht="78" x14ac:dyDescent="0.15">
      <c r="A2097" s="3">
        <f>DATE(1995,9,8)</f>
        <v>34950</v>
      </c>
      <c r="B2097" s="3">
        <f>DATE(1995,12,26)</f>
        <v>35059</v>
      </c>
      <c r="C2097" s="2" t="s">
        <v>95</v>
      </c>
      <c r="D2097" s="2" t="s">
        <v>6763</v>
      </c>
      <c r="E2097" s="2" t="s">
        <v>6764</v>
      </c>
      <c r="F2097" s="4">
        <v>5211</v>
      </c>
      <c r="G2097" s="2" t="s">
        <v>73</v>
      </c>
      <c r="H2097" s="2" t="s">
        <v>34</v>
      </c>
      <c r="I2097" s="2" t="s">
        <v>6765</v>
      </c>
      <c r="J2097" s="2" t="s">
        <v>6764</v>
      </c>
      <c r="K2097" s="2" t="s">
        <v>73</v>
      </c>
      <c r="L2097" s="2" t="s">
        <v>34</v>
      </c>
      <c r="M2097" s="2"/>
      <c r="N2097" s="2"/>
      <c r="O2097" s="2"/>
      <c r="P2097" s="2" t="s">
        <v>6766</v>
      </c>
      <c r="Q2097" s="6">
        <v>100</v>
      </c>
      <c r="R2097" s="6">
        <v>7.95</v>
      </c>
      <c r="S2097" s="5">
        <v>2.2000000000000002</v>
      </c>
      <c r="T2097" s="7">
        <v>5.0430000000000001</v>
      </c>
      <c r="U2097" s="5">
        <v>4.7</v>
      </c>
      <c r="V2097" s="7">
        <v>0.69099999999999995</v>
      </c>
      <c r="W2097" s="6">
        <v>6.25</v>
      </c>
      <c r="X2097" s="4">
        <v>6</v>
      </c>
      <c r="Y2097" s="5">
        <v>5.5</v>
      </c>
      <c r="Z2097" s="7">
        <v>7.375</v>
      </c>
      <c r="AA2097" s="6">
        <v>1.94</v>
      </c>
      <c r="AB2097" s="7">
        <v>8.5250000000000004</v>
      </c>
      <c r="AC2097" s="2"/>
    </row>
    <row r="2098" spans="1:29" ht="156" x14ac:dyDescent="0.15">
      <c r="A2098" s="3">
        <f>DATE(1995,9,11)</f>
        <v>34953</v>
      </c>
      <c r="B2098" s="3">
        <f>DATE(1996,3,1)</f>
        <v>35125</v>
      </c>
      <c r="C2098" s="2" t="s">
        <v>95</v>
      </c>
      <c r="D2098" s="2" t="s">
        <v>4686</v>
      </c>
      <c r="E2098" s="2" t="s">
        <v>36</v>
      </c>
      <c r="F2098" s="4">
        <v>6022</v>
      </c>
      <c r="G2098" s="2" t="s">
        <v>37</v>
      </c>
      <c r="H2098" s="2" t="s">
        <v>34</v>
      </c>
      <c r="I2098" s="2" t="s">
        <v>2396</v>
      </c>
      <c r="J2098" s="2" t="s">
        <v>36</v>
      </c>
      <c r="K2098" s="2" t="s">
        <v>37</v>
      </c>
      <c r="L2098" s="2" t="s">
        <v>34</v>
      </c>
      <c r="M2098" s="12">
        <v>1943.3879999999999</v>
      </c>
      <c r="N2098" s="6">
        <v>33.75</v>
      </c>
      <c r="O2098" s="6">
        <v>33.25</v>
      </c>
      <c r="P2098" s="2" t="s">
        <v>6767</v>
      </c>
      <c r="Q2098" s="6">
        <v>100</v>
      </c>
      <c r="R2098" s="6">
        <v>32.96</v>
      </c>
      <c r="S2098" s="5">
        <v>24.4</v>
      </c>
      <c r="T2098" s="7">
        <v>98.429000000000002</v>
      </c>
      <c r="U2098" s="5">
        <v>12.3</v>
      </c>
      <c r="V2098" s="6">
        <v>0.7</v>
      </c>
      <c r="W2098" s="7">
        <v>24.875</v>
      </c>
      <c r="X2098" s="5">
        <v>25.5</v>
      </c>
      <c r="Y2098" s="6">
        <v>25.75</v>
      </c>
      <c r="Z2098" s="6">
        <v>28.75</v>
      </c>
      <c r="AA2098" s="6">
        <v>33.9</v>
      </c>
      <c r="AB2098" s="7">
        <v>19.09</v>
      </c>
      <c r="AC2098" s="2"/>
    </row>
    <row r="2099" spans="1:29" ht="39" x14ac:dyDescent="0.15">
      <c r="A2099" s="3">
        <f>DATE(1995,9,11)</f>
        <v>34953</v>
      </c>
      <c r="B2099" s="2"/>
      <c r="C2099" s="2" t="s">
        <v>87</v>
      </c>
      <c r="D2099" s="2" t="s">
        <v>2396</v>
      </c>
      <c r="E2099" s="2" t="s">
        <v>36</v>
      </c>
      <c r="F2099" s="4">
        <v>6021</v>
      </c>
      <c r="G2099" s="2" t="s">
        <v>37</v>
      </c>
      <c r="H2099" s="2" t="s">
        <v>34</v>
      </c>
      <c r="I2099" s="2" t="s">
        <v>6768</v>
      </c>
      <c r="J2099" s="2" t="s">
        <v>1181</v>
      </c>
      <c r="K2099" s="2" t="s">
        <v>37</v>
      </c>
      <c r="L2099" s="2" t="s">
        <v>34</v>
      </c>
      <c r="M2099" s="2"/>
      <c r="N2099" s="2"/>
      <c r="O2099" s="2"/>
      <c r="P2099" s="2" t="s">
        <v>6769</v>
      </c>
      <c r="Q2099" s="2"/>
      <c r="R2099" s="2"/>
      <c r="S2099" s="5">
        <v>131.9</v>
      </c>
      <c r="T2099" s="7">
        <v>224.31700000000001</v>
      </c>
      <c r="U2099" s="5">
        <v>13</v>
      </c>
      <c r="V2099" s="9">
        <v>1.5867</v>
      </c>
      <c r="W2099" s="4">
        <v>35</v>
      </c>
      <c r="X2099" s="7">
        <v>36.625</v>
      </c>
      <c r="Y2099" s="6">
        <v>33.75</v>
      </c>
      <c r="Z2099" s="6">
        <v>33.25</v>
      </c>
      <c r="AA2099" s="6">
        <v>57.67</v>
      </c>
      <c r="AB2099" s="2" t="s">
        <v>47</v>
      </c>
      <c r="AC2099" s="2"/>
    </row>
    <row r="2100" spans="1:29" ht="117" x14ac:dyDescent="0.15">
      <c r="A2100" s="3">
        <f>DATE(1995,9,12)</f>
        <v>34954</v>
      </c>
      <c r="B2100" s="3">
        <f>DATE(1996,1,2)</f>
        <v>35066</v>
      </c>
      <c r="C2100" s="2" t="s">
        <v>95</v>
      </c>
      <c r="D2100" s="2" t="s">
        <v>6770</v>
      </c>
      <c r="E2100" s="2" t="s">
        <v>4778</v>
      </c>
      <c r="F2100" s="4">
        <v>3841</v>
      </c>
      <c r="G2100" s="2" t="s">
        <v>226</v>
      </c>
      <c r="H2100" s="2" t="s">
        <v>34</v>
      </c>
      <c r="I2100" s="2" t="s">
        <v>6771</v>
      </c>
      <c r="J2100" s="2" t="s">
        <v>4591</v>
      </c>
      <c r="K2100" s="2" t="s">
        <v>226</v>
      </c>
      <c r="L2100" s="2" t="s">
        <v>34</v>
      </c>
      <c r="M2100" s="7">
        <v>65.819000000000003</v>
      </c>
      <c r="N2100" s="6">
        <v>4.25</v>
      </c>
      <c r="O2100" s="6">
        <v>4.25</v>
      </c>
      <c r="P2100" s="2" t="s">
        <v>6772</v>
      </c>
      <c r="Q2100" s="6">
        <v>100</v>
      </c>
      <c r="R2100" s="6">
        <v>1.21</v>
      </c>
      <c r="S2100" s="5">
        <v>-12.3</v>
      </c>
      <c r="T2100" s="7">
        <v>-12.803000000000001</v>
      </c>
      <c r="U2100" s="5">
        <v>0.4</v>
      </c>
      <c r="V2100" s="2"/>
      <c r="W2100" s="7">
        <v>0.875</v>
      </c>
      <c r="X2100" s="4">
        <v>1</v>
      </c>
      <c r="Y2100" s="7">
        <v>1.0309999999999999</v>
      </c>
      <c r="Z2100" s="7">
        <v>0.96899999999999997</v>
      </c>
      <c r="AA2100" s="6">
        <v>9.65</v>
      </c>
      <c r="AB2100" s="2" t="s">
        <v>86</v>
      </c>
      <c r="AC2100" s="6">
        <v>0.02</v>
      </c>
    </row>
    <row r="2101" spans="1:29" ht="65" x14ac:dyDescent="0.15">
      <c r="A2101" s="3">
        <f>DATE(1995,9,12)</f>
        <v>34954</v>
      </c>
      <c r="B2101" s="3">
        <f>DATE(1996,2,23)</f>
        <v>35118</v>
      </c>
      <c r="C2101" s="2" t="s">
        <v>95</v>
      </c>
      <c r="D2101" s="2" t="s">
        <v>6773</v>
      </c>
      <c r="E2101" s="2" t="s">
        <v>6774</v>
      </c>
      <c r="F2101" s="4">
        <v>4841</v>
      </c>
      <c r="G2101" s="2" t="s">
        <v>45</v>
      </c>
      <c r="H2101" s="2" t="s">
        <v>34</v>
      </c>
      <c r="I2101" s="2" t="s">
        <v>6775</v>
      </c>
      <c r="J2101" s="2" t="s">
        <v>6776</v>
      </c>
      <c r="K2101" s="2" t="s">
        <v>45</v>
      </c>
      <c r="L2101" s="2" t="s">
        <v>34</v>
      </c>
      <c r="M2101" s="7">
        <v>252.51300000000001</v>
      </c>
      <c r="N2101" s="4">
        <v>23</v>
      </c>
      <c r="O2101" s="4">
        <v>24</v>
      </c>
      <c r="P2101" s="2" t="s">
        <v>6777</v>
      </c>
      <c r="Q2101" s="6">
        <v>100</v>
      </c>
      <c r="R2101" s="6">
        <v>8.5</v>
      </c>
      <c r="S2101" s="5">
        <v>-8.8000000000000007</v>
      </c>
      <c r="T2101" s="6">
        <v>-2.25</v>
      </c>
      <c r="U2101" s="5">
        <v>4.4000000000000004</v>
      </c>
      <c r="V2101" s="7">
        <v>-1.121</v>
      </c>
      <c r="W2101" s="4">
        <v>7</v>
      </c>
      <c r="X2101" s="7">
        <v>6.875</v>
      </c>
      <c r="Y2101" s="5">
        <v>7.5</v>
      </c>
      <c r="Z2101" s="7">
        <v>7.375</v>
      </c>
      <c r="AA2101" s="6">
        <v>8.6</v>
      </c>
      <c r="AB2101" s="2" t="s">
        <v>86</v>
      </c>
      <c r="AC2101" s="6">
        <v>11.99</v>
      </c>
    </row>
    <row r="2102" spans="1:29" ht="130" x14ac:dyDescent="0.15">
      <c r="A2102" s="3">
        <f>DATE(1995,9,12)</f>
        <v>34954</v>
      </c>
      <c r="B2102" s="3">
        <f>DATE(1995,10,20)</f>
        <v>34992</v>
      </c>
      <c r="C2102" s="2" t="s">
        <v>95</v>
      </c>
      <c r="D2102" s="2" t="s">
        <v>6598</v>
      </c>
      <c r="E2102" s="2" t="s">
        <v>6599</v>
      </c>
      <c r="F2102" s="4">
        <v>3452</v>
      </c>
      <c r="G2102" s="2" t="s">
        <v>163</v>
      </c>
      <c r="H2102" s="2" t="s">
        <v>34</v>
      </c>
      <c r="I2102" s="2" t="s">
        <v>6778</v>
      </c>
      <c r="J2102" s="2" t="s">
        <v>6779</v>
      </c>
      <c r="K2102" s="2" t="s">
        <v>219</v>
      </c>
      <c r="L2102" s="2" t="s">
        <v>34</v>
      </c>
      <c r="M2102" s="12">
        <v>5796.5519999999997</v>
      </c>
      <c r="N2102" s="7">
        <v>69.375</v>
      </c>
      <c r="O2102" s="7">
        <v>68.875</v>
      </c>
      <c r="P2102" s="2" t="s">
        <v>6780</v>
      </c>
      <c r="Q2102" s="6">
        <v>100</v>
      </c>
      <c r="R2102" s="6">
        <v>36</v>
      </c>
      <c r="S2102" s="5">
        <v>10.3</v>
      </c>
      <c r="T2102" s="7">
        <v>30.545999999999999</v>
      </c>
      <c r="U2102" s="5">
        <v>14.8</v>
      </c>
      <c r="V2102" s="6">
        <v>2.08</v>
      </c>
      <c r="W2102" s="6">
        <v>18.25</v>
      </c>
      <c r="X2102" s="7">
        <v>18.625</v>
      </c>
      <c r="Y2102" s="6">
        <v>19.25</v>
      </c>
      <c r="Z2102" s="6">
        <v>30.75</v>
      </c>
      <c r="AA2102" s="6">
        <v>4.97</v>
      </c>
      <c r="AB2102" s="7">
        <v>11.565</v>
      </c>
      <c r="AC2102" s="8">
        <v>5343</v>
      </c>
    </row>
    <row r="2103" spans="1:29" ht="52" x14ac:dyDescent="0.15">
      <c r="A2103" s="3">
        <f>DATE(1995,9,12)</f>
        <v>34954</v>
      </c>
      <c r="B2103" s="2"/>
      <c r="C2103" s="2" t="s">
        <v>189</v>
      </c>
      <c r="D2103" s="2" t="s">
        <v>6781</v>
      </c>
      <c r="E2103" s="2" t="s">
        <v>1663</v>
      </c>
      <c r="F2103" s="4">
        <v>1041</v>
      </c>
      <c r="G2103" s="2" t="s">
        <v>166</v>
      </c>
      <c r="H2103" s="2" t="s">
        <v>34</v>
      </c>
      <c r="I2103" s="2" t="s">
        <v>143</v>
      </c>
      <c r="J2103" s="2" t="s">
        <v>144</v>
      </c>
      <c r="K2103" s="2" t="s">
        <v>53</v>
      </c>
      <c r="L2103" s="2" t="s">
        <v>139</v>
      </c>
      <c r="M2103" s="2"/>
      <c r="N2103" s="2"/>
      <c r="O2103" s="2"/>
      <c r="P2103" s="2" t="s">
        <v>6782</v>
      </c>
      <c r="Q2103" s="2"/>
      <c r="R2103" s="2"/>
      <c r="S2103" s="5">
        <v>0.2</v>
      </c>
      <c r="T2103" s="7">
        <v>7.1189999999999998</v>
      </c>
      <c r="U2103" s="5">
        <v>2.7</v>
      </c>
      <c r="V2103" s="2"/>
      <c r="W2103" s="6">
        <v>4.75</v>
      </c>
      <c r="X2103" s="6">
        <v>4.75</v>
      </c>
      <c r="Y2103" s="4">
        <v>5</v>
      </c>
      <c r="Z2103" s="7">
        <v>5.625</v>
      </c>
      <c r="AA2103" s="6">
        <v>73.48</v>
      </c>
      <c r="AB2103" s="2" t="s">
        <v>86</v>
      </c>
      <c r="AC2103" s="2"/>
    </row>
    <row r="2104" spans="1:29" ht="104" x14ac:dyDescent="0.15">
      <c r="A2104" s="3">
        <f>DATE(1995,9,12)</f>
        <v>34954</v>
      </c>
      <c r="B2104" s="2"/>
      <c r="C2104" s="2" t="s">
        <v>30</v>
      </c>
      <c r="D2104" s="2" t="s">
        <v>6665</v>
      </c>
      <c r="E2104" s="2" t="s">
        <v>1181</v>
      </c>
      <c r="F2104" s="4">
        <v>6022</v>
      </c>
      <c r="G2104" s="2" t="s">
        <v>37</v>
      </c>
      <c r="H2104" s="2" t="s">
        <v>34</v>
      </c>
      <c r="I2104" s="2" t="s">
        <v>6783</v>
      </c>
      <c r="J2104" s="2" t="s">
        <v>80</v>
      </c>
      <c r="K2104" s="2" t="s">
        <v>53</v>
      </c>
      <c r="L2104" s="2" t="s">
        <v>34</v>
      </c>
      <c r="M2104" s="2"/>
      <c r="N2104" s="2"/>
      <c r="O2104" s="2"/>
      <c r="P2104" s="2" t="s">
        <v>6784</v>
      </c>
      <c r="Q2104" s="2"/>
      <c r="R2104" s="6">
        <v>21.61</v>
      </c>
      <c r="S2104" s="5">
        <v>0.4</v>
      </c>
      <c r="T2104" s="2"/>
      <c r="U2104" s="5">
        <v>18.899999999999999</v>
      </c>
      <c r="V2104" s="2"/>
      <c r="W2104" s="6">
        <v>16.25</v>
      </c>
      <c r="X2104" s="7">
        <v>16.625</v>
      </c>
      <c r="Y2104" s="6">
        <v>17.75</v>
      </c>
      <c r="Z2104" s="5">
        <v>18.5</v>
      </c>
      <c r="AA2104" s="6">
        <v>0.37</v>
      </c>
      <c r="AB2104" s="2" t="s">
        <v>47</v>
      </c>
      <c r="AC2104" s="2"/>
    </row>
    <row r="2105" spans="1:29" ht="117" x14ac:dyDescent="0.15">
      <c r="A2105" s="3">
        <f>DATE(1995,9,13)</f>
        <v>34955</v>
      </c>
      <c r="B2105" s="3">
        <f>DATE(1996,1,19)</f>
        <v>35083</v>
      </c>
      <c r="C2105" s="2" t="s">
        <v>95</v>
      </c>
      <c r="D2105" s="2" t="s">
        <v>6785</v>
      </c>
      <c r="E2105" s="2" t="s">
        <v>32</v>
      </c>
      <c r="F2105" s="4">
        <v>6035</v>
      </c>
      <c r="G2105" s="2" t="s">
        <v>33</v>
      </c>
      <c r="H2105" s="2" t="s">
        <v>34</v>
      </c>
      <c r="I2105" s="2" t="s">
        <v>2895</v>
      </c>
      <c r="J2105" s="2" t="s">
        <v>1181</v>
      </c>
      <c r="K2105" s="2" t="s">
        <v>37</v>
      </c>
      <c r="L2105" s="2" t="s">
        <v>34</v>
      </c>
      <c r="M2105" s="12">
        <v>5293.5290000000005</v>
      </c>
      <c r="N2105" s="5">
        <v>58.5</v>
      </c>
      <c r="O2105" s="7">
        <v>58.875</v>
      </c>
      <c r="P2105" s="2" t="s">
        <v>6786</v>
      </c>
      <c r="Q2105" s="6">
        <v>100</v>
      </c>
      <c r="R2105" s="6">
        <v>15.51</v>
      </c>
      <c r="S2105" s="5">
        <v>15.2</v>
      </c>
      <c r="T2105" s="7">
        <v>26.303999999999998</v>
      </c>
      <c r="U2105" s="5">
        <v>22</v>
      </c>
      <c r="V2105" s="6">
        <v>3.03</v>
      </c>
      <c r="W2105" s="6">
        <v>13.75</v>
      </c>
      <c r="X2105" s="6">
        <v>14.25</v>
      </c>
      <c r="Y2105" s="6">
        <v>14.25</v>
      </c>
      <c r="Z2105" s="7">
        <v>14.375</v>
      </c>
      <c r="AA2105" s="6">
        <v>1.29</v>
      </c>
      <c r="AB2105" s="7">
        <v>19.663</v>
      </c>
      <c r="AC2105" s="2"/>
    </row>
    <row r="2106" spans="1:29" ht="156" x14ac:dyDescent="0.15">
      <c r="A2106" s="3">
        <f>DATE(1995,9,14)</f>
        <v>34956</v>
      </c>
      <c r="B2106" s="3">
        <f>DATE(1996,2,20)</f>
        <v>35115</v>
      </c>
      <c r="C2106" s="2" t="s">
        <v>95</v>
      </c>
      <c r="D2106" s="2" t="s">
        <v>6787</v>
      </c>
      <c r="E2106" s="2" t="s">
        <v>6788</v>
      </c>
      <c r="F2106" s="4">
        <v>4932</v>
      </c>
      <c r="G2106" s="2" t="s">
        <v>439</v>
      </c>
      <c r="H2106" s="2" t="s">
        <v>34</v>
      </c>
      <c r="I2106" s="2" t="s">
        <v>146</v>
      </c>
      <c r="J2106" s="2" t="s">
        <v>147</v>
      </c>
      <c r="K2106" s="2" t="s">
        <v>148</v>
      </c>
      <c r="L2106" s="2" t="s">
        <v>34</v>
      </c>
      <c r="M2106" s="7">
        <v>220.84200000000001</v>
      </c>
      <c r="N2106" s="7">
        <v>9.125</v>
      </c>
      <c r="O2106" s="4">
        <v>9</v>
      </c>
      <c r="P2106" s="2" t="s">
        <v>6789</v>
      </c>
      <c r="Q2106" s="6">
        <v>100</v>
      </c>
      <c r="R2106" s="6">
        <v>6.38</v>
      </c>
      <c r="S2106" s="5">
        <v>0.8</v>
      </c>
      <c r="T2106" s="7">
        <v>2.7440000000000002</v>
      </c>
      <c r="U2106" s="5">
        <v>5</v>
      </c>
      <c r="V2106" s="6">
        <v>0.31</v>
      </c>
      <c r="W2106" s="7">
        <v>5.3129999999999997</v>
      </c>
      <c r="X2106" s="7">
        <v>5.125</v>
      </c>
      <c r="Y2106" s="4">
        <v>6</v>
      </c>
      <c r="Z2106" s="7">
        <v>5.875</v>
      </c>
      <c r="AA2106" s="6">
        <v>1.81</v>
      </c>
      <c r="AB2106" s="7">
        <v>14.141</v>
      </c>
      <c r="AC2106" s="6">
        <v>14.02</v>
      </c>
    </row>
    <row r="2107" spans="1:29" ht="117" x14ac:dyDescent="0.15">
      <c r="A2107" s="3">
        <f>DATE(1995,9,14)</f>
        <v>34956</v>
      </c>
      <c r="B2107" s="3">
        <f>DATE(1995,11,11)</f>
        <v>35014</v>
      </c>
      <c r="C2107" s="2" t="s">
        <v>95</v>
      </c>
      <c r="D2107" s="2" t="s">
        <v>6790</v>
      </c>
      <c r="E2107" s="2" t="s">
        <v>6791</v>
      </c>
      <c r="F2107" s="4">
        <v>2782</v>
      </c>
      <c r="G2107" s="2" t="s">
        <v>186</v>
      </c>
      <c r="H2107" s="2" t="s">
        <v>34</v>
      </c>
      <c r="I2107" s="2" t="s">
        <v>6792</v>
      </c>
      <c r="J2107" s="2" t="s">
        <v>6793</v>
      </c>
      <c r="K2107" s="2" t="s">
        <v>186</v>
      </c>
      <c r="L2107" s="2" t="s">
        <v>34</v>
      </c>
      <c r="M2107" s="7">
        <v>386.95699999999999</v>
      </c>
      <c r="N2107" s="7">
        <v>25.125</v>
      </c>
      <c r="O2107" s="6">
        <v>24.75</v>
      </c>
      <c r="P2107" s="2" t="s">
        <v>6794</v>
      </c>
      <c r="Q2107" s="6">
        <v>100</v>
      </c>
      <c r="R2107" s="6">
        <v>9</v>
      </c>
      <c r="S2107" s="5">
        <v>-0.3</v>
      </c>
      <c r="T2107" s="5">
        <v>5.4</v>
      </c>
      <c r="U2107" s="5">
        <v>4</v>
      </c>
      <c r="V2107" s="7">
        <v>-2.8000000000000001E-2</v>
      </c>
      <c r="W2107" s="7">
        <v>8.875</v>
      </c>
      <c r="X2107" s="6">
        <v>8.75</v>
      </c>
      <c r="Y2107" s="7">
        <v>8.875</v>
      </c>
      <c r="Z2107" s="7">
        <v>8.875</v>
      </c>
      <c r="AA2107" s="6">
        <v>7.44</v>
      </c>
      <c r="AB2107" s="7">
        <v>54.948999999999998</v>
      </c>
      <c r="AC2107" s="6">
        <v>0.78</v>
      </c>
    </row>
    <row r="2108" spans="1:29" ht="39" x14ac:dyDescent="0.15">
      <c r="A2108" s="3">
        <f>DATE(1995,9,15)</f>
        <v>34957</v>
      </c>
      <c r="B2108" s="3">
        <f>DATE(1996,1,11)</f>
        <v>35075</v>
      </c>
      <c r="C2108" s="2" t="s">
        <v>95</v>
      </c>
      <c r="D2108" s="2" t="s">
        <v>6795</v>
      </c>
      <c r="E2108" s="2" t="s">
        <v>6796</v>
      </c>
      <c r="F2108" s="4">
        <v>3829</v>
      </c>
      <c r="G2108" s="2" t="s">
        <v>226</v>
      </c>
      <c r="H2108" s="2" t="s">
        <v>34</v>
      </c>
      <c r="I2108" s="2" t="s">
        <v>6797</v>
      </c>
      <c r="J2108" s="2" t="s">
        <v>6798</v>
      </c>
      <c r="K2108" s="2" t="s">
        <v>226</v>
      </c>
      <c r="L2108" s="2" t="s">
        <v>34</v>
      </c>
      <c r="M2108" s="7">
        <v>460.34399999999999</v>
      </c>
      <c r="N2108" s="6">
        <v>31.75</v>
      </c>
      <c r="O2108" s="5">
        <v>31.5</v>
      </c>
      <c r="P2108" s="2" t="s">
        <v>6799</v>
      </c>
      <c r="Q2108" s="6">
        <v>100</v>
      </c>
      <c r="R2108" s="6">
        <v>18.63</v>
      </c>
      <c r="S2108" s="5">
        <v>1.4</v>
      </c>
      <c r="T2108" s="7">
        <v>2.706</v>
      </c>
      <c r="U2108" s="5">
        <v>7.5</v>
      </c>
      <c r="V2108" s="7">
        <v>0.97799999999999998</v>
      </c>
      <c r="W2108" s="6">
        <v>15.75</v>
      </c>
      <c r="X2108" s="7">
        <v>18.187999999999999</v>
      </c>
      <c r="Y2108" s="6">
        <v>17.75</v>
      </c>
      <c r="Z2108" s="6">
        <v>17.75</v>
      </c>
      <c r="AA2108" s="6">
        <v>1.36</v>
      </c>
      <c r="AB2108" s="7">
        <v>14.263</v>
      </c>
      <c r="AC2108" s="6">
        <v>109.28</v>
      </c>
    </row>
    <row r="2109" spans="1:29" ht="104" x14ac:dyDescent="0.15">
      <c r="A2109" s="3">
        <f>DATE(1995,9,15)</f>
        <v>34957</v>
      </c>
      <c r="B2109" s="3">
        <f>DATE(1995,10,31)</f>
        <v>35003</v>
      </c>
      <c r="C2109" s="2" t="s">
        <v>95</v>
      </c>
      <c r="D2109" s="2" t="s">
        <v>6800</v>
      </c>
      <c r="E2109" s="2" t="s">
        <v>6801</v>
      </c>
      <c r="F2109" s="4">
        <v>2952</v>
      </c>
      <c r="G2109" s="2" t="s">
        <v>148</v>
      </c>
      <c r="H2109" s="2" t="s">
        <v>34</v>
      </c>
      <c r="I2109" s="2" t="s">
        <v>6802</v>
      </c>
      <c r="J2109" s="2" t="s">
        <v>6803</v>
      </c>
      <c r="K2109" s="2" t="s">
        <v>98</v>
      </c>
      <c r="L2109" s="2" t="s">
        <v>34</v>
      </c>
      <c r="M2109" s="2"/>
      <c r="N2109" s="2"/>
      <c r="O2109" s="2"/>
      <c r="P2109" s="2" t="s">
        <v>6804</v>
      </c>
      <c r="Q2109" s="6">
        <v>100</v>
      </c>
      <c r="R2109" s="6">
        <v>9.0500000000000007</v>
      </c>
      <c r="S2109" s="5">
        <v>1</v>
      </c>
      <c r="T2109" s="7">
        <v>5.4029999999999996</v>
      </c>
      <c r="U2109" s="5">
        <v>7.5</v>
      </c>
      <c r="V2109" s="6">
        <v>0.33</v>
      </c>
      <c r="W2109" s="7">
        <v>7.125</v>
      </c>
      <c r="X2109" s="7">
        <v>7.875</v>
      </c>
      <c r="Y2109" s="7">
        <v>8.875</v>
      </c>
      <c r="Z2109" s="7">
        <v>8.875</v>
      </c>
      <c r="AA2109" s="6">
        <v>3.04</v>
      </c>
      <c r="AB2109" s="7">
        <v>22.218</v>
      </c>
      <c r="AC2109" s="2"/>
    </row>
    <row r="2110" spans="1:29" ht="143" x14ac:dyDescent="0.15">
      <c r="A2110" s="3">
        <f>DATE(1995,9,18)</f>
        <v>34960</v>
      </c>
      <c r="B2110" s="3">
        <f>DATE(1996,4,2)</f>
        <v>35157</v>
      </c>
      <c r="C2110" s="2" t="s">
        <v>95</v>
      </c>
      <c r="D2110" s="2" t="s">
        <v>6805</v>
      </c>
      <c r="E2110" s="2" t="s">
        <v>6806</v>
      </c>
      <c r="F2110" s="4">
        <v>3312</v>
      </c>
      <c r="G2110" s="2" t="s">
        <v>163</v>
      </c>
      <c r="H2110" s="2" t="s">
        <v>34</v>
      </c>
      <c r="I2110" s="2" t="s">
        <v>6807</v>
      </c>
      <c r="J2110" s="2" t="s">
        <v>1637</v>
      </c>
      <c r="K2110" s="2" t="s">
        <v>163</v>
      </c>
      <c r="L2110" s="2" t="s">
        <v>34</v>
      </c>
      <c r="M2110" s="2"/>
      <c r="N2110" s="2"/>
      <c r="O2110" s="2"/>
      <c r="P2110" s="2" t="s">
        <v>6808</v>
      </c>
      <c r="Q2110" s="6">
        <v>100</v>
      </c>
      <c r="R2110" s="6">
        <v>9.5</v>
      </c>
      <c r="S2110" s="5">
        <v>5.2</v>
      </c>
      <c r="T2110" s="7">
        <v>9.7810000000000006</v>
      </c>
      <c r="U2110" s="5">
        <v>6.9</v>
      </c>
      <c r="V2110" s="7">
        <v>1.319</v>
      </c>
      <c r="W2110" s="7">
        <v>7.625</v>
      </c>
      <c r="X2110" s="5">
        <v>8.5</v>
      </c>
      <c r="Y2110" s="5">
        <v>7.5</v>
      </c>
      <c r="Z2110" s="6">
        <v>7.25</v>
      </c>
      <c r="AA2110" s="6">
        <v>3.97</v>
      </c>
      <c r="AB2110" s="7">
        <v>7.4829999999999997</v>
      </c>
      <c r="AC2110" s="2"/>
    </row>
    <row r="2111" spans="1:29" ht="104" x14ac:dyDescent="0.15">
      <c r="A2111" s="3">
        <f>DATE(1995,9,18)</f>
        <v>34960</v>
      </c>
      <c r="B2111" s="2"/>
      <c r="C2111" s="2" t="s">
        <v>30</v>
      </c>
      <c r="D2111" s="2" t="s">
        <v>6809</v>
      </c>
      <c r="E2111" s="2" t="s">
        <v>2208</v>
      </c>
      <c r="F2111" s="4">
        <v>3679</v>
      </c>
      <c r="G2111" s="2" t="s">
        <v>137</v>
      </c>
      <c r="H2111" s="2" t="s">
        <v>34</v>
      </c>
      <c r="I2111" s="2" t="s">
        <v>6810</v>
      </c>
      <c r="J2111" s="2" t="s">
        <v>6811</v>
      </c>
      <c r="K2111" s="2" t="s">
        <v>300</v>
      </c>
      <c r="L2111" s="2" t="s">
        <v>34</v>
      </c>
      <c r="M2111" s="7">
        <v>479.92399999999998</v>
      </c>
      <c r="N2111" s="7">
        <v>30.375</v>
      </c>
      <c r="O2111" s="7">
        <v>30.125</v>
      </c>
      <c r="P2111" s="2" t="s">
        <v>6812</v>
      </c>
      <c r="Q2111" s="2"/>
      <c r="R2111" s="6">
        <v>4.5</v>
      </c>
      <c r="S2111" s="5">
        <v>0.8</v>
      </c>
      <c r="T2111" s="7">
        <v>1.409</v>
      </c>
      <c r="U2111" s="5">
        <v>2.8</v>
      </c>
      <c r="V2111" s="7">
        <v>0.26500000000000001</v>
      </c>
      <c r="W2111" s="7">
        <v>3.125</v>
      </c>
      <c r="X2111" s="5">
        <v>3.5</v>
      </c>
      <c r="Y2111" s="4">
        <v>4</v>
      </c>
      <c r="Z2111" s="7">
        <v>3.875</v>
      </c>
      <c r="AA2111" s="6">
        <v>3.07</v>
      </c>
      <c r="AB2111" s="7">
        <v>11.047000000000001</v>
      </c>
      <c r="AC2111" s="6">
        <v>39.67</v>
      </c>
    </row>
    <row r="2112" spans="1:29" ht="65" x14ac:dyDescent="0.15">
      <c r="A2112" s="3">
        <f>DATE(1995,9,18)</f>
        <v>34960</v>
      </c>
      <c r="B2112" s="2"/>
      <c r="C2112" s="2" t="s">
        <v>141</v>
      </c>
      <c r="D2112" s="2" t="s">
        <v>6813</v>
      </c>
      <c r="E2112" s="2" t="s">
        <v>6814</v>
      </c>
      <c r="F2112" s="4">
        <v>2435</v>
      </c>
      <c r="G2112" s="2" t="s">
        <v>250</v>
      </c>
      <c r="H2112" s="2" t="s">
        <v>34</v>
      </c>
      <c r="I2112" s="2" t="s">
        <v>143</v>
      </c>
      <c r="J2112" s="2" t="s">
        <v>144</v>
      </c>
      <c r="K2112" s="2" t="s">
        <v>53</v>
      </c>
      <c r="L2112" s="2" t="s">
        <v>139</v>
      </c>
      <c r="M2112" s="2"/>
      <c r="N2112" s="2"/>
      <c r="O2112" s="2"/>
      <c r="P2112" s="2" t="s">
        <v>6815</v>
      </c>
      <c r="Q2112" s="2"/>
      <c r="R2112" s="2"/>
      <c r="S2112" s="5">
        <v>-8.5</v>
      </c>
      <c r="T2112" s="7">
        <v>50.283000000000001</v>
      </c>
      <c r="U2112" s="5">
        <v>11.1</v>
      </c>
      <c r="V2112" s="6">
        <v>-0.62</v>
      </c>
      <c r="W2112" s="5">
        <v>18.5</v>
      </c>
      <c r="X2112" s="7">
        <v>18.125</v>
      </c>
      <c r="Y2112" s="7">
        <v>18.125</v>
      </c>
      <c r="Z2112" s="5">
        <v>18.5</v>
      </c>
      <c r="AA2112" s="6">
        <v>14.56</v>
      </c>
      <c r="AB2112" s="2" t="s">
        <v>47</v>
      </c>
      <c r="AC2112" s="2"/>
    </row>
    <row r="2113" spans="1:29" ht="143" x14ac:dyDescent="0.15">
      <c r="A2113" s="3">
        <f>DATE(1995,9,19)</f>
        <v>34961</v>
      </c>
      <c r="B2113" s="3">
        <f>DATE(1995,10,31)</f>
        <v>35003</v>
      </c>
      <c r="C2113" s="2" t="s">
        <v>95</v>
      </c>
      <c r="D2113" s="2" t="s">
        <v>6816</v>
      </c>
      <c r="E2113" s="2" t="s">
        <v>6817</v>
      </c>
      <c r="F2113" s="4">
        <v>5712</v>
      </c>
      <c r="G2113" s="2" t="s">
        <v>1227</v>
      </c>
      <c r="H2113" s="2" t="s">
        <v>34</v>
      </c>
      <c r="I2113" s="2" t="s">
        <v>6818</v>
      </c>
      <c r="J2113" s="2" t="s">
        <v>6819</v>
      </c>
      <c r="K2113" s="2" t="s">
        <v>1227</v>
      </c>
      <c r="L2113" s="2" t="s">
        <v>34</v>
      </c>
      <c r="M2113" s="2"/>
      <c r="N2113" s="2"/>
      <c r="O2113" s="2"/>
      <c r="P2113" s="2" t="s">
        <v>6820</v>
      </c>
      <c r="Q2113" s="6">
        <v>100</v>
      </c>
      <c r="R2113" s="6">
        <v>9.3800000000000008</v>
      </c>
      <c r="S2113" s="5">
        <v>3.3</v>
      </c>
      <c r="T2113" s="2"/>
      <c r="U2113" s="5">
        <v>6.4</v>
      </c>
      <c r="V2113" s="7">
        <v>0.83399999999999996</v>
      </c>
      <c r="W2113" s="5">
        <v>6.5</v>
      </c>
      <c r="X2113" s="6">
        <v>6.25</v>
      </c>
      <c r="Y2113" s="6">
        <v>7.25</v>
      </c>
      <c r="Z2113" s="7">
        <v>6.875</v>
      </c>
      <c r="AA2113" s="6">
        <v>3.93</v>
      </c>
      <c r="AB2113" s="7">
        <v>9.3960000000000008</v>
      </c>
      <c r="AC2113" s="2"/>
    </row>
    <row r="2114" spans="1:29" ht="130" x14ac:dyDescent="0.15">
      <c r="A2114" s="3">
        <f>DATE(1995,9,20)</f>
        <v>34962</v>
      </c>
      <c r="B2114" s="3">
        <f>DATE(1996,2,5)</f>
        <v>35100</v>
      </c>
      <c r="C2114" s="2" t="s">
        <v>95</v>
      </c>
      <c r="D2114" s="2" t="s">
        <v>3281</v>
      </c>
      <c r="E2114" s="2" t="s">
        <v>3282</v>
      </c>
      <c r="F2114" s="4">
        <v>3572</v>
      </c>
      <c r="G2114" s="2" t="s">
        <v>50</v>
      </c>
      <c r="H2114" s="2" t="s">
        <v>34</v>
      </c>
      <c r="I2114" s="2" t="s">
        <v>6821</v>
      </c>
      <c r="J2114" s="2" t="s">
        <v>6822</v>
      </c>
      <c r="K2114" s="2" t="s">
        <v>50</v>
      </c>
      <c r="L2114" s="2" t="s">
        <v>34</v>
      </c>
      <c r="M2114" s="12">
        <v>4957.2470000000003</v>
      </c>
      <c r="N2114" s="6">
        <v>45.25</v>
      </c>
      <c r="O2114" s="7">
        <v>44.375</v>
      </c>
      <c r="P2114" s="2" t="s">
        <v>6823</v>
      </c>
      <c r="Q2114" s="6">
        <v>100</v>
      </c>
      <c r="R2114" s="6">
        <v>20.88</v>
      </c>
      <c r="S2114" s="5">
        <v>109.7</v>
      </c>
      <c r="T2114" s="7">
        <v>225.226</v>
      </c>
      <c r="U2114" s="5">
        <v>6.4</v>
      </c>
      <c r="V2114" s="6">
        <v>2.1</v>
      </c>
      <c r="W2114" s="4">
        <v>16</v>
      </c>
      <c r="X2114" s="7">
        <v>16.875</v>
      </c>
      <c r="Y2114" s="4">
        <v>19</v>
      </c>
      <c r="Z2114" s="6">
        <v>17.75</v>
      </c>
      <c r="AA2114" s="6">
        <v>53.35</v>
      </c>
      <c r="AB2114" s="7">
        <v>10.218999999999999</v>
      </c>
      <c r="AC2114" s="10">
        <v>1246.6300000000001</v>
      </c>
    </row>
    <row r="2115" spans="1:29" ht="117" x14ac:dyDescent="0.15">
      <c r="A2115" s="3">
        <f>DATE(1995,9,21)</f>
        <v>34963</v>
      </c>
      <c r="B2115" s="3">
        <f>DATE(1995,12,20)</f>
        <v>35053</v>
      </c>
      <c r="C2115" s="2" t="s">
        <v>95</v>
      </c>
      <c r="D2115" s="2" t="s">
        <v>6824</v>
      </c>
      <c r="E2115" s="2" t="s">
        <v>6825</v>
      </c>
      <c r="F2115" s="4">
        <v>3571</v>
      </c>
      <c r="G2115" s="2" t="s">
        <v>50</v>
      </c>
      <c r="H2115" s="2" t="s">
        <v>34</v>
      </c>
      <c r="I2115" s="2" t="s">
        <v>2209</v>
      </c>
      <c r="J2115" s="2" t="s">
        <v>2210</v>
      </c>
      <c r="K2115" s="2" t="s">
        <v>50</v>
      </c>
      <c r="L2115" s="2" t="s">
        <v>34</v>
      </c>
      <c r="M2115" s="10">
        <v>41496.33</v>
      </c>
      <c r="N2115" s="6">
        <v>83.25</v>
      </c>
      <c r="O2115" s="7">
        <v>82.875</v>
      </c>
      <c r="P2115" s="2" t="s">
        <v>6826</v>
      </c>
      <c r="Q2115" s="6">
        <v>95.1</v>
      </c>
      <c r="R2115" s="6">
        <v>4.83</v>
      </c>
      <c r="S2115" s="5">
        <v>-61</v>
      </c>
      <c r="T2115" s="7">
        <v>-19.593</v>
      </c>
      <c r="U2115" s="5">
        <v>2.2000000000000002</v>
      </c>
      <c r="V2115" s="6">
        <v>-2.35</v>
      </c>
      <c r="W2115" s="7">
        <v>5.125</v>
      </c>
      <c r="X2115" s="7">
        <v>5.125</v>
      </c>
      <c r="Y2115" s="7">
        <v>5.625</v>
      </c>
      <c r="Z2115" s="6">
        <v>4.75</v>
      </c>
      <c r="AA2115" s="6">
        <v>26.8</v>
      </c>
      <c r="AB2115" s="2" t="s">
        <v>86</v>
      </c>
      <c r="AC2115" s="8">
        <v>2478</v>
      </c>
    </row>
    <row r="2116" spans="1:29" ht="156" x14ac:dyDescent="0.15">
      <c r="A2116" s="3">
        <f>DATE(1995,9,21)</f>
        <v>34963</v>
      </c>
      <c r="B2116" s="2"/>
      <c r="C2116" s="2" t="s">
        <v>30</v>
      </c>
      <c r="D2116" s="2" t="s">
        <v>6149</v>
      </c>
      <c r="E2116" s="2" t="s">
        <v>6150</v>
      </c>
      <c r="F2116" s="4">
        <v>7363</v>
      </c>
      <c r="G2116" s="2" t="s">
        <v>223</v>
      </c>
      <c r="H2116" s="2" t="s">
        <v>34</v>
      </c>
      <c r="I2116" s="2" t="s">
        <v>6025</v>
      </c>
      <c r="J2116" s="2" t="s">
        <v>6026</v>
      </c>
      <c r="K2116" s="2" t="s">
        <v>454</v>
      </c>
      <c r="L2116" s="2" t="s">
        <v>34</v>
      </c>
      <c r="M2116" s="7">
        <v>8.8789999999999996</v>
      </c>
      <c r="N2116" s="9">
        <v>2.0625</v>
      </c>
      <c r="O2116" s="4">
        <v>2</v>
      </c>
      <c r="P2116" s="2" t="s">
        <v>6827</v>
      </c>
      <c r="Q2116" s="2"/>
      <c r="R2116" s="6">
        <v>1.65</v>
      </c>
      <c r="S2116" s="2"/>
      <c r="T2116" s="2"/>
      <c r="U2116" s="2"/>
      <c r="V2116" s="2"/>
      <c r="W2116" s="7">
        <v>1.4379999999999999</v>
      </c>
      <c r="X2116" s="7">
        <v>1.625</v>
      </c>
      <c r="Y2116" s="5">
        <v>1.5</v>
      </c>
      <c r="Z2116" s="7">
        <v>1.5629999999999999</v>
      </c>
      <c r="AA2116" s="6">
        <v>1.29</v>
      </c>
      <c r="AB2116" s="2" t="s">
        <v>47</v>
      </c>
      <c r="AC2116" s="2"/>
    </row>
    <row r="2117" spans="1:29" ht="130" x14ac:dyDescent="0.15">
      <c r="A2117" s="3">
        <f>DATE(1995,9,22)</f>
        <v>34964</v>
      </c>
      <c r="B2117" s="2"/>
      <c r="C2117" s="2" t="s">
        <v>30</v>
      </c>
      <c r="D2117" s="2" t="s">
        <v>6805</v>
      </c>
      <c r="E2117" s="2" t="s">
        <v>6806</v>
      </c>
      <c r="F2117" s="4">
        <v>3312</v>
      </c>
      <c r="G2117" s="2" t="s">
        <v>163</v>
      </c>
      <c r="H2117" s="2" t="s">
        <v>34</v>
      </c>
      <c r="I2117" s="2" t="s">
        <v>5176</v>
      </c>
      <c r="J2117" s="2" t="s">
        <v>5177</v>
      </c>
      <c r="K2117" s="2" t="s">
        <v>53</v>
      </c>
      <c r="L2117" s="2" t="s">
        <v>34</v>
      </c>
      <c r="M2117" s="2"/>
      <c r="N2117" s="2"/>
      <c r="O2117" s="2"/>
      <c r="P2117" s="2" t="s">
        <v>6828</v>
      </c>
      <c r="Q2117" s="2"/>
      <c r="R2117" s="6">
        <v>9.75</v>
      </c>
      <c r="S2117" s="5">
        <v>5.2</v>
      </c>
      <c r="T2117" s="7">
        <v>9.7810000000000006</v>
      </c>
      <c r="U2117" s="5">
        <v>6.9</v>
      </c>
      <c r="V2117" s="7">
        <v>1.319</v>
      </c>
      <c r="W2117" s="7">
        <v>7.625</v>
      </c>
      <c r="X2117" s="5">
        <v>8.5</v>
      </c>
      <c r="Y2117" s="5">
        <v>7.5</v>
      </c>
      <c r="Z2117" s="6">
        <v>7.25</v>
      </c>
      <c r="AA2117" s="6">
        <v>3.97</v>
      </c>
      <c r="AB2117" s="7">
        <v>7.6070000000000002</v>
      </c>
      <c r="AC2117" s="2"/>
    </row>
    <row r="2118" spans="1:29" ht="130" x14ac:dyDescent="0.15">
      <c r="A2118" s="3">
        <f>DATE(1995,9,22)</f>
        <v>34964</v>
      </c>
      <c r="B2118" s="3">
        <f>DATE(1996,3,1)</f>
        <v>35125</v>
      </c>
      <c r="C2118" s="2" t="s">
        <v>95</v>
      </c>
      <c r="D2118" s="2" t="s">
        <v>6829</v>
      </c>
      <c r="E2118" s="2" t="s">
        <v>1181</v>
      </c>
      <c r="F2118" s="4">
        <v>6021</v>
      </c>
      <c r="G2118" s="2" t="s">
        <v>37</v>
      </c>
      <c r="H2118" s="2" t="s">
        <v>34</v>
      </c>
      <c r="I2118" s="2" t="s">
        <v>6830</v>
      </c>
      <c r="J2118" s="2" t="s">
        <v>36</v>
      </c>
      <c r="K2118" s="2" t="s">
        <v>37</v>
      </c>
      <c r="L2118" s="2" t="s">
        <v>34</v>
      </c>
      <c r="M2118" s="12">
        <v>3057.2420000000002</v>
      </c>
      <c r="N2118" s="5">
        <v>57.5</v>
      </c>
      <c r="O2118" s="7">
        <v>57.625</v>
      </c>
      <c r="P2118" s="2" t="s">
        <v>6831</v>
      </c>
      <c r="Q2118" s="6">
        <v>100</v>
      </c>
      <c r="R2118" s="6">
        <v>41.5</v>
      </c>
      <c r="S2118" s="5">
        <v>35.9</v>
      </c>
      <c r="T2118" s="7">
        <v>67.751999999999995</v>
      </c>
      <c r="U2118" s="5">
        <v>30.3</v>
      </c>
      <c r="V2118" s="6">
        <v>2.89</v>
      </c>
      <c r="W2118" s="7">
        <v>37.875</v>
      </c>
      <c r="X2118" s="4">
        <v>38</v>
      </c>
      <c r="Y2118" s="7">
        <v>36.875</v>
      </c>
      <c r="Z2118" s="7">
        <v>38.875</v>
      </c>
      <c r="AA2118" s="6">
        <v>12</v>
      </c>
      <c r="AB2118" s="7">
        <v>43.69</v>
      </c>
      <c r="AC2118" s="2"/>
    </row>
    <row r="2119" spans="1:29" ht="39" x14ac:dyDescent="0.15">
      <c r="A2119" s="3">
        <f>DATE(1995,9,25)</f>
        <v>34967</v>
      </c>
      <c r="B2119" s="3">
        <f>DATE(1995,9,25)</f>
        <v>34967</v>
      </c>
      <c r="C2119" s="2" t="s">
        <v>95</v>
      </c>
      <c r="D2119" s="2" t="s">
        <v>5528</v>
      </c>
      <c r="E2119" s="2" t="s">
        <v>5529</v>
      </c>
      <c r="F2119" s="4">
        <v>3275</v>
      </c>
      <c r="G2119" s="2" t="s">
        <v>237</v>
      </c>
      <c r="H2119" s="2" t="s">
        <v>34</v>
      </c>
      <c r="I2119" s="2" t="s">
        <v>6832</v>
      </c>
      <c r="J2119" s="2" t="s">
        <v>80</v>
      </c>
      <c r="K2119" s="2" t="s">
        <v>53</v>
      </c>
      <c r="L2119" s="2" t="s">
        <v>34</v>
      </c>
      <c r="M2119" s="2"/>
      <c r="N2119" s="2"/>
      <c r="O2119" s="2"/>
      <c r="P2119" s="2" t="s">
        <v>6833</v>
      </c>
      <c r="Q2119" s="6">
        <v>100</v>
      </c>
      <c r="R2119" s="6">
        <v>54</v>
      </c>
      <c r="S2119" s="5">
        <v>43.3</v>
      </c>
      <c r="T2119" s="2"/>
      <c r="U2119" s="5">
        <v>17.7</v>
      </c>
      <c r="V2119" s="6">
        <v>1.99</v>
      </c>
      <c r="W2119" s="5">
        <v>53.5</v>
      </c>
      <c r="X2119" s="5">
        <v>53.5</v>
      </c>
      <c r="Y2119" s="2"/>
      <c r="Z2119" s="2"/>
      <c r="AA2119" s="6">
        <v>20.81</v>
      </c>
      <c r="AB2119" s="7">
        <v>6.6340000000000003</v>
      </c>
      <c r="AC2119" s="2"/>
    </row>
    <row r="2120" spans="1:29" ht="169" x14ac:dyDescent="0.15">
      <c r="A2120" s="3">
        <f>DATE(1995,9,25)</f>
        <v>34967</v>
      </c>
      <c r="B2120" s="2"/>
      <c r="C2120" s="2" t="s">
        <v>30</v>
      </c>
      <c r="D2120" s="2" t="s">
        <v>6834</v>
      </c>
      <c r="E2120" s="2" t="s">
        <v>1888</v>
      </c>
      <c r="F2120" s="4">
        <v>4911</v>
      </c>
      <c r="G2120" s="2" t="s">
        <v>439</v>
      </c>
      <c r="H2120" s="2" t="s">
        <v>34</v>
      </c>
      <c r="I2120" s="2" t="s">
        <v>6835</v>
      </c>
      <c r="J2120" s="2" t="s">
        <v>441</v>
      </c>
      <c r="K2120" s="2" t="s">
        <v>439</v>
      </c>
      <c r="L2120" s="2" t="s">
        <v>34</v>
      </c>
      <c r="M2120" s="12">
        <v>3872.587</v>
      </c>
      <c r="N2120" s="7">
        <v>25.125</v>
      </c>
      <c r="O2120" s="6">
        <v>25.75</v>
      </c>
      <c r="P2120" s="2" t="s">
        <v>6836</v>
      </c>
      <c r="Q2120" s="2"/>
      <c r="R2120" s="6">
        <v>26.05</v>
      </c>
      <c r="S2120" s="5">
        <v>87.6</v>
      </c>
      <c r="T2120" s="7">
        <v>612.84699999999998</v>
      </c>
      <c r="U2120" s="5">
        <v>15.3</v>
      </c>
      <c r="V2120" s="7">
        <v>0.60299999999999998</v>
      </c>
      <c r="W2120" s="7">
        <v>21.625</v>
      </c>
      <c r="X2120" s="5">
        <v>21.5</v>
      </c>
      <c r="Y2120" s="6">
        <v>23.25</v>
      </c>
      <c r="Z2120" s="7">
        <v>24.125</v>
      </c>
      <c r="AA2120" s="6">
        <v>118.49</v>
      </c>
      <c r="AB2120" s="7">
        <v>13.603999999999999</v>
      </c>
      <c r="AC2120" s="2"/>
    </row>
    <row r="2121" spans="1:29" ht="104" x14ac:dyDescent="0.15">
      <c r="A2121" s="3">
        <f>DATE(1995,9,25)</f>
        <v>34967</v>
      </c>
      <c r="B2121" s="3">
        <f>DATE(1995,11,6)</f>
        <v>35009</v>
      </c>
      <c r="C2121" s="2" t="s">
        <v>95</v>
      </c>
      <c r="D2121" s="2" t="s">
        <v>6837</v>
      </c>
      <c r="E2121" s="2" t="s">
        <v>6838</v>
      </c>
      <c r="F2121" s="4">
        <v>2836</v>
      </c>
      <c r="G2121" s="2" t="s">
        <v>130</v>
      </c>
      <c r="H2121" s="2" t="s">
        <v>34</v>
      </c>
      <c r="I2121" s="2" t="s">
        <v>6839</v>
      </c>
      <c r="J2121" s="2" t="s">
        <v>6840</v>
      </c>
      <c r="K2121" s="2" t="s">
        <v>577</v>
      </c>
      <c r="L2121" s="2" t="s">
        <v>34</v>
      </c>
      <c r="M2121" s="2"/>
      <c r="N2121" s="2"/>
      <c r="O2121" s="2"/>
      <c r="P2121" s="2" t="s">
        <v>6841</v>
      </c>
      <c r="Q2121" s="6">
        <v>100</v>
      </c>
      <c r="R2121" s="6">
        <v>3.55</v>
      </c>
      <c r="S2121" s="5">
        <v>-0.7</v>
      </c>
      <c r="T2121" s="7">
        <v>-0.35799999999999998</v>
      </c>
      <c r="U2121" s="5">
        <v>1</v>
      </c>
      <c r="V2121" s="7">
        <v>-6.4000000000000001E-2</v>
      </c>
      <c r="W2121" s="5">
        <v>2.5</v>
      </c>
      <c r="X2121" s="5">
        <v>2.5</v>
      </c>
      <c r="Y2121" s="7">
        <v>3.375</v>
      </c>
      <c r="Z2121" s="7">
        <v>3.3130000000000002</v>
      </c>
      <c r="AA2121" s="6">
        <v>11.4</v>
      </c>
      <c r="AB2121" s="2" t="s">
        <v>86</v>
      </c>
      <c r="AC2121" s="2"/>
    </row>
    <row r="2122" spans="1:29" ht="52" x14ac:dyDescent="0.15">
      <c r="A2122" s="3">
        <f>DATE(1995,9,26)</f>
        <v>34968</v>
      </c>
      <c r="B2122" s="2"/>
      <c r="C2122" s="2" t="s">
        <v>141</v>
      </c>
      <c r="D2122" s="2" t="s">
        <v>6842</v>
      </c>
      <c r="E2122" s="2" t="s">
        <v>6843</v>
      </c>
      <c r="F2122" s="4">
        <v>7331</v>
      </c>
      <c r="G2122" s="2" t="s">
        <v>223</v>
      </c>
      <c r="H2122" s="2" t="s">
        <v>34</v>
      </c>
      <c r="I2122" s="2" t="s">
        <v>143</v>
      </c>
      <c r="J2122" s="2" t="s">
        <v>144</v>
      </c>
      <c r="K2122" s="2" t="s">
        <v>53</v>
      </c>
      <c r="L2122" s="2" t="s">
        <v>139</v>
      </c>
      <c r="M2122" s="2"/>
      <c r="N2122" s="2"/>
      <c r="O2122" s="2"/>
      <c r="P2122" s="2" t="s">
        <v>6844</v>
      </c>
      <c r="Q2122" s="2"/>
      <c r="R2122" s="2"/>
      <c r="S2122" s="5">
        <v>25.2</v>
      </c>
      <c r="T2122" s="7">
        <v>53.369</v>
      </c>
      <c r="U2122" s="5">
        <v>3.5</v>
      </c>
      <c r="V2122" s="6">
        <v>0.7</v>
      </c>
      <c r="W2122" s="7">
        <v>19.125</v>
      </c>
      <c r="X2122" s="6">
        <v>19.25</v>
      </c>
      <c r="Y2122" s="6">
        <v>19.25</v>
      </c>
      <c r="Z2122" s="4">
        <v>22</v>
      </c>
      <c r="AA2122" s="6">
        <v>20.79</v>
      </c>
      <c r="AB2122" s="2" t="s">
        <v>47</v>
      </c>
      <c r="AC2122" s="2"/>
    </row>
    <row r="2123" spans="1:29" ht="52" x14ac:dyDescent="0.15">
      <c r="A2123" s="3">
        <f>DATE(1995,9,26)</f>
        <v>34968</v>
      </c>
      <c r="B2123" s="3">
        <f>DATE(1996,1,3)</f>
        <v>35067</v>
      </c>
      <c r="C2123" s="2" t="s">
        <v>95</v>
      </c>
      <c r="D2123" s="2" t="s">
        <v>6845</v>
      </c>
      <c r="E2123" s="2" t="s">
        <v>6846</v>
      </c>
      <c r="F2123" s="4">
        <v>3465</v>
      </c>
      <c r="G2123" s="2" t="s">
        <v>163</v>
      </c>
      <c r="H2123" s="2" t="s">
        <v>34</v>
      </c>
      <c r="I2123" s="2" t="s">
        <v>6847</v>
      </c>
      <c r="J2123" s="2" t="s">
        <v>6848</v>
      </c>
      <c r="K2123" s="2" t="s">
        <v>708</v>
      </c>
      <c r="L2123" s="2" t="s">
        <v>34</v>
      </c>
      <c r="M2123" s="7">
        <v>608.24400000000003</v>
      </c>
      <c r="N2123" s="5">
        <v>8.5</v>
      </c>
      <c r="O2123" s="5">
        <v>8.5</v>
      </c>
      <c r="P2123" s="2" t="s">
        <v>6849</v>
      </c>
      <c r="Q2123" s="6">
        <v>100</v>
      </c>
      <c r="R2123" s="6">
        <v>6.5</v>
      </c>
      <c r="S2123" s="5">
        <v>14</v>
      </c>
      <c r="T2123" s="5">
        <v>26.3</v>
      </c>
      <c r="U2123" s="5">
        <v>0.5</v>
      </c>
      <c r="V2123" s="6">
        <v>0.68</v>
      </c>
      <c r="W2123" s="6">
        <v>4.75</v>
      </c>
      <c r="X2123" s="7">
        <v>5.875</v>
      </c>
      <c r="Y2123" s="7">
        <v>6.1879999999999997</v>
      </c>
      <c r="Z2123" s="7">
        <v>6.1879999999999997</v>
      </c>
      <c r="AA2123" s="6">
        <v>22.09</v>
      </c>
      <c r="AB2123" s="7">
        <v>7.9610000000000003</v>
      </c>
      <c r="AC2123" s="6">
        <v>3.32</v>
      </c>
    </row>
    <row r="2124" spans="1:29" ht="143" x14ac:dyDescent="0.15">
      <c r="A2124" s="3">
        <f>DATE(1995,9,26)</f>
        <v>34968</v>
      </c>
      <c r="B2124" s="3">
        <f>DATE(1995,12,21)</f>
        <v>35054</v>
      </c>
      <c r="C2124" s="2" t="s">
        <v>95</v>
      </c>
      <c r="D2124" s="2" t="s">
        <v>6850</v>
      </c>
      <c r="E2124" s="2" t="s">
        <v>6851</v>
      </c>
      <c r="F2124" s="4">
        <v>6311</v>
      </c>
      <c r="G2124" s="2" t="s">
        <v>125</v>
      </c>
      <c r="H2124" s="2" t="s">
        <v>34</v>
      </c>
      <c r="I2124" s="2" t="s">
        <v>6852</v>
      </c>
      <c r="J2124" s="2" t="s">
        <v>6853</v>
      </c>
      <c r="K2124" s="2" t="s">
        <v>125</v>
      </c>
      <c r="L2124" s="2" t="s">
        <v>133</v>
      </c>
      <c r="M2124" s="2"/>
      <c r="N2124" s="2"/>
      <c r="O2124" s="2"/>
      <c r="P2124" s="2" t="s">
        <v>6854</v>
      </c>
      <c r="Q2124" s="6">
        <v>25.2</v>
      </c>
      <c r="R2124" s="6">
        <v>15.25</v>
      </c>
      <c r="S2124" s="5">
        <v>14.3</v>
      </c>
      <c r="T2124" s="2"/>
      <c r="U2124" s="5">
        <v>15</v>
      </c>
      <c r="V2124" s="7">
        <v>0.78400000000000003</v>
      </c>
      <c r="W2124" s="6">
        <v>11.25</v>
      </c>
      <c r="X2124" s="7">
        <v>11.125</v>
      </c>
      <c r="Y2124" s="4">
        <v>15</v>
      </c>
      <c r="Z2124" s="7">
        <v>15.125</v>
      </c>
      <c r="AA2124" s="6">
        <v>18.16</v>
      </c>
      <c r="AB2124" s="7">
        <v>13.826000000000001</v>
      </c>
      <c r="AC2124" s="2"/>
    </row>
    <row r="2125" spans="1:29" ht="156" x14ac:dyDescent="0.15">
      <c r="A2125" s="3">
        <f>DATE(1995,9,26)</f>
        <v>34968</v>
      </c>
      <c r="B2125" s="3">
        <f>DATE(1996,5,31)</f>
        <v>35216</v>
      </c>
      <c r="C2125" s="2" t="s">
        <v>95</v>
      </c>
      <c r="D2125" s="2" t="s">
        <v>6855</v>
      </c>
      <c r="E2125" s="2" t="s">
        <v>1181</v>
      </c>
      <c r="F2125" s="4">
        <v>6021</v>
      </c>
      <c r="G2125" s="2" t="s">
        <v>37</v>
      </c>
      <c r="H2125" s="2" t="s">
        <v>34</v>
      </c>
      <c r="I2125" s="2" t="s">
        <v>1745</v>
      </c>
      <c r="J2125" s="2" t="s">
        <v>1746</v>
      </c>
      <c r="K2125" s="2" t="s">
        <v>33</v>
      </c>
      <c r="L2125" s="2" t="s">
        <v>34</v>
      </c>
      <c r="M2125" s="5">
        <v>461.1</v>
      </c>
      <c r="N2125" s="7">
        <v>10.625</v>
      </c>
      <c r="O2125" s="6">
        <v>10.75</v>
      </c>
      <c r="P2125" s="2" t="s">
        <v>6856</v>
      </c>
      <c r="Q2125" s="6">
        <v>100</v>
      </c>
      <c r="R2125" s="6">
        <v>8.86</v>
      </c>
      <c r="S2125" s="5">
        <v>0.8</v>
      </c>
      <c r="T2125" s="2"/>
      <c r="U2125" s="5">
        <v>4</v>
      </c>
      <c r="V2125" s="6">
        <v>0.39</v>
      </c>
      <c r="W2125" s="6">
        <v>6.75</v>
      </c>
      <c r="X2125" s="6">
        <v>7.25</v>
      </c>
      <c r="Y2125" s="4">
        <v>8</v>
      </c>
      <c r="Z2125" s="7">
        <v>7.125</v>
      </c>
      <c r="AA2125" s="6">
        <v>1.96</v>
      </c>
      <c r="AB2125" s="2" t="s">
        <v>47</v>
      </c>
      <c r="AC2125" s="2"/>
    </row>
    <row r="2126" spans="1:29" ht="78" x14ac:dyDescent="0.15">
      <c r="A2126" s="3">
        <f>DATE(1995,9,27)</f>
        <v>34969</v>
      </c>
      <c r="B2126" s="2"/>
      <c r="C2126" s="2" t="s">
        <v>30</v>
      </c>
      <c r="D2126" s="2" t="s">
        <v>6857</v>
      </c>
      <c r="E2126" s="2" t="s">
        <v>3336</v>
      </c>
      <c r="F2126" s="4">
        <v>3714</v>
      </c>
      <c r="G2126" s="2" t="s">
        <v>105</v>
      </c>
      <c r="H2126" s="2" t="s">
        <v>34</v>
      </c>
      <c r="I2126" s="2" t="s">
        <v>6858</v>
      </c>
      <c r="J2126" s="2" t="s">
        <v>6859</v>
      </c>
      <c r="K2126" s="2" t="s">
        <v>300</v>
      </c>
      <c r="L2126" s="2" t="s">
        <v>34</v>
      </c>
      <c r="M2126" s="12">
        <v>1866.463</v>
      </c>
      <c r="N2126" s="7">
        <v>43.375</v>
      </c>
      <c r="O2126" s="6">
        <v>44.25</v>
      </c>
      <c r="P2126" s="2" t="s">
        <v>6860</v>
      </c>
      <c r="Q2126" s="2"/>
      <c r="R2126" s="6">
        <v>25</v>
      </c>
      <c r="S2126" s="5">
        <v>29.9</v>
      </c>
      <c r="T2126" s="5">
        <v>92.1</v>
      </c>
      <c r="U2126" s="5">
        <v>4.8</v>
      </c>
      <c r="V2126" s="9">
        <v>0.33169999999999999</v>
      </c>
      <c r="W2126" s="4">
        <v>21</v>
      </c>
      <c r="X2126" s="7">
        <v>20.875</v>
      </c>
      <c r="Y2126" s="5">
        <v>26.5</v>
      </c>
      <c r="Z2126" s="6">
        <v>26.75</v>
      </c>
      <c r="AA2126" s="6">
        <v>17.57</v>
      </c>
      <c r="AB2126" s="7">
        <v>19.974</v>
      </c>
      <c r="AC2126" s="5">
        <v>189.7</v>
      </c>
    </row>
    <row r="2127" spans="1:29" ht="156" x14ac:dyDescent="0.15">
      <c r="A2127" s="3">
        <f>DATE(1995,9,28)</f>
        <v>34970</v>
      </c>
      <c r="B2127" s="2"/>
      <c r="C2127" s="2" t="s">
        <v>30</v>
      </c>
      <c r="D2127" s="2" t="s">
        <v>6861</v>
      </c>
      <c r="E2127" s="2" t="s">
        <v>6862</v>
      </c>
      <c r="F2127" s="4">
        <v>1021</v>
      </c>
      <c r="G2127" s="2" t="s">
        <v>166</v>
      </c>
      <c r="H2127" s="2" t="s">
        <v>34</v>
      </c>
      <c r="I2127" s="2" t="s">
        <v>6863</v>
      </c>
      <c r="J2127" s="2" t="s">
        <v>6864</v>
      </c>
      <c r="K2127" s="2" t="s">
        <v>166</v>
      </c>
      <c r="L2127" s="2" t="s">
        <v>902</v>
      </c>
      <c r="M2127" s="2"/>
      <c r="N2127" s="2"/>
      <c r="O2127" s="2"/>
      <c r="P2127" s="2" t="s">
        <v>6865</v>
      </c>
      <c r="Q2127" s="2"/>
      <c r="R2127" s="2"/>
      <c r="S2127" s="5">
        <v>-4.7</v>
      </c>
      <c r="T2127" s="7">
        <v>-2.3460000000000001</v>
      </c>
      <c r="U2127" s="5">
        <v>0.5</v>
      </c>
      <c r="V2127" s="6">
        <v>-0.19</v>
      </c>
      <c r="W2127" s="7">
        <v>1.4379999999999999</v>
      </c>
      <c r="X2127" s="7">
        <v>1.4379999999999999</v>
      </c>
      <c r="Y2127" s="7">
        <v>1.0629999999999999</v>
      </c>
      <c r="Z2127" s="7">
        <v>1.125</v>
      </c>
      <c r="AA2127" s="6">
        <v>25.51</v>
      </c>
      <c r="AB2127" s="2" t="s">
        <v>86</v>
      </c>
      <c r="AC2127" s="2"/>
    </row>
    <row r="2128" spans="1:29" ht="104" x14ac:dyDescent="0.15">
      <c r="A2128" s="3">
        <f>DATE(1995,9,29)</f>
        <v>34971</v>
      </c>
      <c r="B2128" s="2"/>
      <c r="C2128" s="2" t="s">
        <v>30</v>
      </c>
      <c r="D2128" s="2" t="s">
        <v>6866</v>
      </c>
      <c r="E2128" s="2" t="s">
        <v>6867</v>
      </c>
      <c r="F2128" s="4">
        <v>8711</v>
      </c>
      <c r="G2128" s="2" t="s">
        <v>223</v>
      </c>
      <c r="H2128" s="2" t="s">
        <v>34</v>
      </c>
      <c r="I2128" s="2" t="s">
        <v>6868</v>
      </c>
      <c r="J2128" s="2" t="s">
        <v>6869</v>
      </c>
      <c r="K2128" s="2" t="s">
        <v>226</v>
      </c>
      <c r="L2128" s="2" t="s">
        <v>133</v>
      </c>
      <c r="M2128" s="2"/>
      <c r="N2128" s="2"/>
      <c r="O2128" s="2"/>
      <c r="P2128" s="2" t="s">
        <v>6870</v>
      </c>
      <c r="Q2128" s="2"/>
      <c r="R2128" s="6">
        <v>3.5</v>
      </c>
      <c r="S2128" s="5">
        <v>-0.2</v>
      </c>
      <c r="T2128" s="7">
        <v>0.44400000000000001</v>
      </c>
      <c r="U2128" s="5">
        <v>5.4</v>
      </c>
      <c r="V2128" s="7">
        <v>-0.154</v>
      </c>
      <c r="W2128" s="6">
        <v>2.25</v>
      </c>
      <c r="X2128" s="7">
        <v>2.125</v>
      </c>
      <c r="Y2128" s="7">
        <v>2.875</v>
      </c>
      <c r="Z2128" s="5">
        <v>2.5</v>
      </c>
      <c r="AA2128" s="6">
        <v>1.34</v>
      </c>
      <c r="AB2128" s="7">
        <v>173.91499999999999</v>
      </c>
      <c r="AC2128" s="2"/>
    </row>
    <row r="2129" spans="1:29" ht="91" x14ac:dyDescent="0.15">
      <c r="A2129" s="3">
        <f>DATE(1995,9,29)</f>
        <v>34971</v>
      </c>
      <c r="B2129" s="3">
        <f>DATE(1996,3,8)</f>
        <v>35132</v>
      </c>
      <c r="C2129" s="2" t="s">
        <v>95</v>
      </c>
      <c r="D2129" s="2" t="s">
        <v>6871</v>
      </c>
      <c r="E2129" s="2" t="s">
        <v>1181</v>
      </c>
      <c r="F2129" s="4">
        <v>6021</v>
      </c>
      <c r="G2129" s="2" t="s">
        <v>37</v>
      </c>
      <c r="H2129" s="2" t="s">
        <v>34</v>
      </c>
      <c r="I2129" s="2" t="s">
        <v>6872</v>
      </c>
      <c r="J2129" s="2" t="s">
        <v>36</v>
      </c>
      <c r="K2129" s="2" t="s">
        <v>37</v>
      </c>
      <c r="L2129" s="2" t="s">
        <v>34</v>
      </c>
      <c r="M2129" s="7">
        <v>489.81700000000001</v>
      </c>
      <c r="N2129" s="5">
        <v>31.5</v>
      </c>
      <c r="O2129" s="5">
        <v>31.5</v>
      </c>
      <c r="P2129" s="2" t="s">
        <v>6873</v>
      </c>
      <c r="Q2129" s="6">
        <v>100</v>
      </c>
      <c r="R2129" s="6">
        <v>49.95</v>
      </c>
      <c r="S2129" s="5">
        <v>3.7</v>
      </c>
      <c r="T2129" s="2"/>
      <c r="U2129" s="5">
        <v>18.899999999999999</v>
      </c>
      <c r="V2129" s="6">
        <v>2.95</v>
      </c>
      <c r="W2129" s="7">
        <v>29.625</v>
      </c>
      <c r="X2129" s="6">
        <v>31.25</v>
      </c>
      <c r="Y2129" s="4">
        <v>47</v>
      </c>
      <c r="Z2129" s="4">
        <v>47</v>
      </c>
      <c r="AA2129" s="6">
        <v>1.27</v>
      </c>
      <c r="AB2129" s="2" t="s">
        <v>47</v>
      </c>
      <c r="AC2129" s="2"/>
    </row>
    <row r="2130" spans="1:29" ht="130" x14ac:dyDescent="0.15">
      <c r="A2130" s="3">
        <f>DATE(1995,10,2)</f>
        <v>34974</v>
      </c>
      <c r="B2130" s="3">
        <f>DATE(1996,2,22)</f>
        <v>35117</v>
      </c>
      <c r="C2130" s="2" t="s">
        <v>95</v>
      </c>
      <c r="D2130" s="2" t="s">
        <v>6874</v>
      </c>
      <c r="E2130" s="2" t="s">
        <v>6875</v>
      </c>
      <c r="F2130" s="4">
        <v>3812</v>
      </c>
      <c r="G2130" s="2" t="s">
        <v>226</v>
      </c>
      <c r="H2130" s="2" t="s">
        <v>34</v>
      </c>
      <c r="I2130" s="2" t="s">
        <v>6876</v>
      </c>
      <c r="J2130" s="2" t="s">
        <v>6065</v>
      </c>
      <c r="K2130" s="2" t="s">
        <v>226</v>
      </c>
      <c r="L2130" s="2" t="s">
        <v>34</v>
      </c>
      <c r="M2130" s="6">
        <v>222.44</v>
      </c>
      <c r="N2130" s="7">
        <v>15.875</v>
      </c>
      <c r="O2130" s="7">
        <v>15.375</v>
      </c>
      <c r="P2130" s="2" t="s">
        <v>6877</v>
      </c>
      <c r="Q2130" s="6">
        <v>100</v>
      </c>
      <c r="R2130" s="6">
        <v>24.25</v>
      </c>
      <c r="S2130" s="5">
        <v>1.8</v>
      </c>
      <c r="T2130" s="7">
        <v>10.755000000000001</v>
      </c>
      <c r="U2130" s="5">
        <v>15.8</v>
      </c>
      <c r="V2130" s="6">
        <v>0.46</v>
      </c>
      <c r="W2130" s="6">
        <v>10.25</v>
      </c>
      <c r="X2130" s="6">
        <v>12.25</v>
      </c>
      <c r="Y2130" s="6">
        <v>16.25</v>
      </c>
      <c r="Z2130" s="4">
        <v>15</v>
      </c>
      <c r="AA2130" s="6">
        <v>4</v>
      </c>
      <c r="AB2130" s="7">
        <v>27.114999999999998</v>
      </c>
      <c r="AC2130" s="6">
        <v>59.48</v>
      </c>
    </row>
    <row r="2131" spans="1:29" ht="52" x14ac:dyDescent="0.15">
      <c r="A2131" s="3">
        <f>DATE(1995,10,2)</f>
        <v>34974</v>
      </c>
      <c r="B2131" s="2"/>
      <c r="C2131" s="2" t="s">
        <v>30</v>
      </c>
      <c r="D2131" s="2" t="s">
        <v>6878</v>
      </c>
      <c r="E2131" s="2" t="s">
        <v>6879</v>
      </c>
      <c r="F2131" s="4">
        <v>3321</v>
      </c>
      <c r="G2131" s="2" t="s">
        <v>163</v>
      </c>
      <c r="H2131" s="2" t="s">
        <v>34</v>
      </c>
      <c r="I2131" s="2" t="s">
        <v>51</v>
      </c>
      <c r="J2131" s="2" t="s">
        <v>52</v>
      </c>
      <c r="K2131" s="2" t="s">
        <v>53</v>
      </c>
      <c r="L2131" s="2" t="s">
        <v>34</v>
      </c>
      <c r="M2131" s="2"/>
      <c r="N2131" s="2"/>
      <c r="O2131" s="2"/>
      <c r="P2131" s="2" t="s">
        <v>6880</v>
      </c>
      <c r="Q2131" s="2"/>
      <c r="R2131" s="6">
        <v>13.5</v>
      </c>
      <c r="S2131" s="5">
        <v>-11</v>
      </c>
      <c r="T2131" s="6">
        <v>45.02</v>
      </c>
      <c r="U2131" s="5">
        <v>2.8</v>
      </c>
      <c r="V2131" s="6">
        <v>-0.45</v>
      </c>
      <c r="W2131" s="7">
        <v>11.125</v>
      </c>
      <c r="X2131" s="6">
        <v>11.25</v>
      </c>
      <c r="Y2131" s="7">
        <v>13.125</v>
      </c>
      <c r="Z2131" s="6">
        <v>13.25</v>
      </c>
      <c r="AA2131" s="6">
        <v>25</v>
      </c>
      <c r="AB2131" s="7">
        <v>26.672999999999998</v>
      </c>
      <c r="AC2131" s="2"/>
    </row>
    <row r="2132" spans="1:29" ht="143" x14ac:dyDescent="0.15">
      <c r="A2132" s="3">
        <f>DATE(1995,10,2)</f>
        <v>34974</v>
      </c>
      <c r="B2132" s="2"/>
      <c r="C2132" s="2" t="s">
        <v>30</v>
      </c>
      <c r="D2132" s="2" t="s">
        <v>6644</v>
      </c>
      <c r="E2132" s="2" t="s">
        <v>92</v>
      </c>
      <c r="F2132" s="4">
        <v>6798</v>
      </c>
      <c r="G2132" s="2" t="s">
        <v>53</v>
      </c>
      <c r="H2132" s="2" t="s">
        <v>34</v>
      </c>
      <c r="I2132" s="2" t="s">
        <v>51</v>
      </c>
      <c r="J2132" s="2" t="s">
        <v>52</v>
      </c>
      <c r="K2132" s="2" t="s">
        <v>53</v>
      </c>
      <c r="L2132" s="2" t="s">
        <v>34</v>
      </c>
      <c r="M2132" s="2"/>
      <c r="N2132" s="2"/>
      <c r="O2132" s="2"/>
      <c r="P2132" s="2" t="s">
        <v>6881</v>
      </c>
      <c r="Q2132" s="2"/>
      <c r="R2132" s="6">
        <v>7.75</v>
      </c>
      <c r="S2132" s="5">
        <v>25</v>
      </c>
      <c r="T2132" s="2"/>
      <c r="U2132" s="5">
        <v>13.5</v>
      </c>
      <c r="V2132" s="6">
        <v>0.66</v>
      </c>
      <c r="W2132" s="6">
        <v>6.75</v>
      </c>
      <c r="X2132" s="5">
        <v>6.5</v>
      </c>
      <c r="Y2132" s="7">
        <v>6.875</v>
      </c>
      <c r="Z2132" s="7">
        <v>7.625</v>
      </c>
      <c r="AA2132" s="6">
        <v>38.26</v>
      </c>
      <c r="AB2132" s="7">
        <v>39.17</v>
      </c>
      <c r="AC2132" s="2"/>
    </row>
    <row r="2133" spans="1:29" ht="143" x14ac:dyDescent="0.15">
      <c r="A2133" s="3">
        <f>DATE(1995,10,3)</f>
        <v>34975</v>
      </c>
      <c r="B2133" s="3">
        <f>DATE(1996,3,8)</f>
        <v>35132</v>
      </c>
      <c r="C2133" s="2" t="s">
        <v>95</v>
      </c>
      <c r="D2133" s="2" t="s">
        <v>6882</v>
      </c>
      <c r="E2133" s="2" t="s">
        <v>6883</v>
      </c>
      <c r="F2133" s="4">
        <v>3841</v>
      </c>
      <c r="G2133" s="2" t="s">
        <v>226</v>
      </c>
      <c r="H2133" s="2" t="s">
        <v>34</v>
      </c>
      <c r="I2133" s="2" t="s">
        <v>6884</v>
      </c>
      <c r="J2133" s="2" t="s">
        <v>1332</v>
      </c>
      <c r="K2133" s="2" t="s">
        <v>454</v>
      </c>
      <c r="L2133" s="2" t="s">
        <v>34</v>
      </c>
      <c r="M2133" s="7">
        <v>194.68799999999999</v>
      </c>
      <c r="N2133" s="7">
        <v>9.875</v>
      </c>
      <c r="O2133" s="7">
        <v>10.125</v>
      </c>
      <c r="P2133" s="2" t="s">
        <v>6885</v>
      </c>
      <c r="Q2133" s="6">
        <v>100</v>
      </c>
      <c r="R2133" s="6">
        <v>10.63</v>
      </c>
      <c r="S2133" s="5">
        <v>0.7</v>
      </c>
      <c r="T2133" s="5">
        <v>9.8000000000000007</v>
      </c>
      <c r="U2133" s="5">
        <v>6.1</v>
      </c>
      <c r="V2133" s="6">
        <v>0.04</v>
      </c>
      <c r="W2133" s="7">
        <v>8.875</v>
      </c>
      <c r="X2133" s="6">
        <v>9.75</v>
      </c>
      <c r="Y2133" s="5">
        <v>9.5</v>
      </c>
      <c r="Z2133" s="5">
        <v>10.5</v>
      </c>
      <c r="AA2133" s="6">
        <v>15.4</v>
      </c>
      <c r="AB2133" s="7">
        <v>55.969000000000001</v>
      </c>
      <c r="AC2133" s="2"/>
    </row>
    <row r="2134" spans="1:29" ht="65" x14ac:dyDescent="0.15">
      <c r="A2134" s="3">
        <f>DATE(1995,10,3)</f>
        <v>34975</v>
      </c>
      <c r="B2134" s="2"/>
      <c r="C2134" s="2" t="s">
        <v>87</v>
      </c>
      <c r="D2134" s="2" t="s">
        <v>6886</v>
      </c>
      <c r="E2134" s="2" t="s">
        <v>6887</v>
      </c>
      <c r="F2134" s="4">
        <v>3541</v>
      </c>
      <c r="G2134" s="2" t="s">
        <v>300</v>
      </c>
      <c r="H2134" s="2" t="s">
        <v>34</v>
      </c>
      <c r="I2134" s="2" t="s">
        <v>51</v>
      </c>
      <c r="J2134" s="2" t="s">
        <v>52</v>
      </c>
      <c r="K2134" s="2" t="s">
        <v>53</v>
      </c>
      <c r="L2134" s="2" t="s">
        <v>34</v>
      </c>
      <c r="M2134" s="2"/>
      <c r="N2134" s="2"/>
      <c r="O2134" s="2"/>
      <c r="P2134" s="2" t="s">
        <v>6888</v>
      </c>
      <c r="Q2134" s="2"/>
      <c r="R2134" s="2"/>
      <c r="S2134" s="5">
        <v>1.2</v>
      </c>
      <c r="T2134" s="7">
        <v>3.661</v>
      </c>
      <c r="U2134" s="5">
        <v>4.7</v>
      </c>
      <c r="V2134" s="6">
        <v>0.3</v>
      </c>
      <c r="W2134" s="5">
        <v>2.5</v>
      </c>
      <c r="X2134" s="7">
        <v>2.375</v>
      </c>
      <c r="Y2134" s="7">
        <v>2.375</v>
      </c>
      <c r="Z2134" s="7">
        <v>2.5630000000000002</v>
      </c>
      <c r="AA2134" s="2"/>
      <c r="AB2134" s="2" t="s">
        <v>47</v>
      </c>
      <c r="AC2134" s="2"/>
    </row>
    <row r="2135" spans="1:29" ht="104" x14ac:dyDescent="0.15">
      <c r="A2135" s="3">
        <f>DATE(1995,10,4)</f>
        <v>34976</v>
      </c>
      <c r="B2135" s="2"/>
      <c r="C2135" s="2" t="s">
        <v>30</v>
      </c>
      <c r="D2135" s="2" t="s">
        <v>6889</v>
      </c>
      <c r="E2135" s="2" t="s">
        <v>2486</v>
      </c>
      <c r="F2135" s="4">
        <v>8734</v>
      </c>
      <c r="G2135" s="2" t="s">
        <v>223</v>
      </c>
      <c r="H2135" s="2" t="s">
        <v>34</v>
      </c>
      <c r="I2135" s="2" t="s">
        <v>6890</v>
      </c>
      <c r="J2135" s="2" t="s">
        <v>6891</v>
      </c>
      <c r="K2135" s="2" t="s">
        <v>300</v>
      </c>
      <c r="L2135" s="2" t="s">
        <v>34</v>
      </c>
      <c r="M2135" s="5">
        <v>10.199999999999999</v>
      </c>
      <c r="N2135" s="6">
        <v>1.75</v>
      </c>
      <c r="O2135" s="4">
        <v>2</v>
      </c>
      <c r="P2135" s="2" t="s">
        <v>6892</v>
      </c>
      <c r="Q2135" s="2"/>
      <c r="R2135" s="6">
        <v>4.75</v>
      </c>
      <c r="S2135" s="5">
        <v>-0.6</v>
      </c>
      <c r="T2135" s="2"/>
      <c r="U2135" s="5">
        <v>2</v>
      </c>
      <c r="V2135" s="7">
        <v>-0.28199999999999997</v>
      </c>
      <c r="W2135" s="7">
        <v>1.625</v>
      </c>
      <c r="X2135" s="7">
        <v>1.375</v>
      </c>
      <c r="Y2135" s="4">
        <v>2</v>
      </c>
      <c r="Z2135" s="6">
        <v>2.75</v>
      </c>
      <c r="AA2135" s="6">
        <v>1.89</v>
      </c>
      <c r="AB2135" s="2" t="s">
        <v>86</v>
      </c>
      <c r="AC2135" s="2"/>
    </row>
    <row r="2136" spans="1:29" ht="39" x14ac:dyDescent="0.15">
      <c r="A2136" s="3">
        <f>DATE(1995,10,4)</f>
        <v>34976</v>
      </c>
      <c r="B2136" s="3">
        <f>DATE(1995,12,22)</f>
        <v>35055</v>
      </c>
      <c r="C2136" s="2" t="s">
        <v>95</v>
      </c>
      <c r="D2136" s="2" t="s">
        <v>6893</v>
      </c>
      <c r="E2136" s="2" t="s">
        <v>6894</v>
      </c>
      <c r="F2136" s="4">
        <v>6162</v>
      </c>
      <c r="G2136" s="2" t="s">
        <v>109</v>
      </c>
      <c r="H2136" s="2" t="s">
        <v>34</v>
      </c>
      <c r="I2136" s="2" t="s">
        <v>6895</v>
      </c>
      <c r="J2136" s="2" t="s">
        <v>6896</v>
      </c>
      <c r="K2136" s="2" t="s">
        <v>33</v>
      </c>
      <c r="L2136" s="2" t="s">
        <v>34</v>
      </c>
      <c r="M2136" s="7">
        <v>541.49800000000005</v>
      </c>
      <c r="N2136" s="6">
        <v>19.25</v>
      </c>
      <c r="O2136" s="6">
        <v>19.25</v>
      </c>
      <c r="P2136" s="2" t="s">
        <v>6897</v>
      </c>
      <c r="Q2136" s="6">
        <v>80</v>
      </c>
      <c r="R2136" s="2"/>
      <c r="S2136" s="5">
        <v>-0.3</v>
      </c>
      <c r="T2136" s="2"/>
      <c r="U2136" s="5">
        <v>3.9</v>
      </c>
      <c r="V2136" s="6">
        <v>0.28000000000000003</v>
      </c>
      <c r="W2136" s="6">
        <v>3.25</v>
      </c>
      <c r="X2136" s="6">
        <v>3.25</v>
      </c>
      <c r="Y2136" s="4">
        <v>4</v>
      </c>
      <c r="Z2136" s="4">
        <v>4</v>
      </c>
      <c r="AA2136" s="2"/>
      <c r="AB2136" s="2" t="s">
        <v>47</v>
      </c>
      <c r="AC2136" s="2"/>
    </row>
    <row r="2137" spans="1:29" ht="143" x14ac:dyDescent="0.15">
      <c r="A2137" s="3">
        <f>DATE(1995,10,5)</f>
        <v>34977</v>
      </c>
      <c r="B2137" s="2"/>
      <c r="C2137" s="2" t="s">
        <v>30</v>
      </c>
      <c r="D2137" s="2" t="s">
        <v>6644</v>
      </c>
      <c r="E2137" s="2" t="s">
        <v>92</v>
      </c>
      <c r="F2137" s="4">
        <v>6798</v>
      </c>
      <c r="G2137" s="2" t="s">
        <v>53</v>
      </c>
      <c r="H2137" s="2" t="s">
        <v>34</v>
      </c>
      <c r="I2137" s="2" t="s">
        <v>51</v>
      </c>
      <c r="J2137" s="2" t="s">
        <v>52</v>
      </c>
      <c r="K2137" s="2" t="s">
        <v>53</v>
      </c>
      <c r="L2137" s="2" t="s">
        <v>34</v>
      </c>
      <c r="M2137" s="2"/>
      <c r="N2137" s="2"/>
      <c r="O2137" s="2"/>
      <c r="P2137" s="2" t="s">
        <v>6898</v>
      </c>
      <c r="Q2137" s="2"/>
      <c r="R2137" s="6">
        <v>5.5</v>
      </c>
      <c r="S2137" s="5">
        <v>25</v>
      </c>
      <c r="T2137" s="2"/>
      <c r="U2137" s="5">
        <v>13.5</v>
      </c>
      <c r="V2137" s="6">
        <v>0.66</v>
      </c>
      <c r="W2137" s="6">
        <v>6.75</v>
      </c>
      <c r="X2137" s="5">
        <v>6.5</v>
      </c>
      <c r="Y2137" s="7">
        <v>6.875</v>
      </c>
      <c r="Z2137" s="7">
        <v>7.625</v>
      </c>
      <c r="AA2137" s="6">
        <v>103.9</v>
      </c>
      <c r="AB2137" s="7">
        <v>35.970999999999997</v>
      </c>
      <c r="AC2137" s="2"/>
    </row>
    <row r="2138" spans="1:29" ht="78" x14ac:dyDescent="0.15">
      <c r="A2138" s="3">
        <f>DATE(1995,10,5)</f>
        <v>34977</v>
      </c>
      <c r="B2138" s="2"/>
      <c r="C2138" s="2" t="s">
        <v>30</v>
      </c>
      <c r="D2138" s="2" t="s">
        <v>6899</v>
      </c>
      <c r="E2138" s="2" t="s">
        <v>58</v>
      </c>
      <c r="F2138" s="4">
        <v>4512</v>
      </c>
      <c r="G2138" s="2" t="s">
        <v>59</v>
      </c>
      <c r="H2138" s="2" t="s">
        <v>34</v>
      </c>
      <c r="I2138" s="2" t="s">
        <v>6900</v>
      </c>
      <c r="J2138" s="2" t="s">
        <v>6901</v>
      </c>
      <c r="K2138" s="2" t="s">
        <v>59</v>
      </c>
      <c r="L2138" s="2" t="s">
        <v>34</v>
      </c>
      <c r="M2138" s="2"/>
      <c r="N2138" s="2"/>
      <c r="O2138" s="2"/>
      <c r="P2138" s="2" t="s">
        <v>6902</v>
      </c>
      <c r="Q2138" s="2"/>
      <c r="R2138" s="2"/>
      <c r="S2138" s="5">
        <v>-263</v>
      </c>
      <c r="T2138" s="7">
        <v>328.572</v>
      </c>
      <c r="U2138" s="5">
        <v>-16.600000000000001</v>
      </c>
      <c r="V2138" s="7">
        <v>-5.7640000000000002</v>
      </c>
      <c r="W2138" s="6">
        <v>10.75</v>
      </c>
      <c r="X2138" s="5">
        <v>11.5</v>
      </c>
      <c r="Y2138" s="7">
        <v>11.625</v>
      </c>
      <c r="Z2138" s="7">
        <v>12.625</v>
      </c>
      <c r="AA2138" s="6">
        <v>62.47</v>
      </c>
      <c r="AB2138" s="2" t="s">
        <v>86</v>
      </c>
      <c r="AC2138" s="2"/>
    </row>
    <row r="2139" spans="1:29" ht="78" x14ac:dyDescent="0.15">
      <c r="A2139" s="3">
        <f>DATE(1995,10,5)</f>
        <v>34977</v>
      </c>
      <c r="B2139" s="2"/>
      <c r="C2139" s="2" t="s">
        <v>30</v>
      </c>
      <c r="D2139" s="2" t="s">
        <v>6899</v>
      </c>
      <c r="E2139" s="2" t="s">
        <v>58</v>
      </c>
      <c r="F2139" s="4">
        <v>4512</v>
      </c>
      <c r="G2139" s="2" t="s">
        <v>59</v>
      </c>
      <c r="H2139" s="2" t="s">
        <v>34</v>
      </c>
      <c r="I2139" s="2" t="s">
        <v>6903</v>
      </c>
      <c r="J2139" s="2" t="s">
        <v>58</v>
      </c>
      <c r="K2139" s="2" t="s">
        <v>59</v>
      </c>
      <c r="L2139" s="2" t="s">
        <v>34</v>
      </c>
      <c r="M2139" s="2"/>
      <c r="N2139" s="2"/>
      <c r="O2139" s="2"/>
      <c r="P2139" s="2" t="s">
        <v>6904</v>
      </c>
      <c r="Q2139" s="2"/>
      <c r="R2139" s="2"/>
      <c r="S2139" s="5">
        <v>-263</v>
      </c>
      <c r="T2139" s="7">
        <v>328.572</v>
      </c>
      <c r="U2139" s="5">
        <v>-16.600000000000001</v>
      </c>
      <c r="V2139" s="7">
        <v>-5.7640000000000002</v>
      </c>
      <c r="W2139" s="6">
        <v>10.75</v>
      </c>
      <c r="X2139" s="5">
        <v>11.5</v>
      </c>
      <c r="Y2139" s="7">
        <v>11.625</v>
      </c>
      <c r="Z2139" s="7">
        <v>12.625</v>
      </c>
      <c r="AA2139" s="6">
        <v>62.47</v>
      </c>
      <c r="AB2139" s="2" t="s">
        <v>86</v>
      </c>
      <c r="AC2139" s="2"/>
    </row>
    <row r="2140" spans="1:29" ht="39" x14ac:dyDescent="0.15">
      <c r="A2140" s="3">
        <f>DATE(1995,10,6)</f>
        <v>34978</v>
      </c>
      <c r="B2140" s="2"/>
      <c r="C2140" s="2" t="s">
        <v>87</v>
      </c>
      <c r="D2140" s="2" t="s">
        <v>6905</v>
      </c>
      <c r="E2140" s="2" t="s">
        <v>6906</v>
      </c>
      <c r="F2140" s="4">
        <v>8051</v>
      </c>
      <c r="G2140" s="2" t="s">
        <v>454</v>
      </c>
      <c r="H2140" s="2" t="s">
        <v>34</v>
      </c>
      <c r="I2140" s="2" t="s">
        <v>5752</v>
      </c>
      <c r="J2140" s="2" t="s">
        <v>5753</v>
      </c>
      <c r="K2140" s="2" t="s">
        <v>454</v>
      </c>
      <c r="L2140" s="2" t="s">
        <v>34</v>
      </c>
      <c r="M2140" s="7">
        <v>653.43899999999996</v>
      </c>
      <c r="N2140" s="2"/>
      <c r="O2140" s="4">
        <v>25</v>
      </c>
      <c r="P2140" s="2" t="s">
        <v>6907</v>
      </c>
      <c r="Q2140" s="2"/>
      <c r="R2140" s="2"/>
      <c r="S2140" s="5">
        <v>76.900000000000006</v>
      </c>
      <c r="T2140" s="7">
        <v>257.98399999999998</v>
      </c>
      <c r="U2140" s="5">
        <v>7.9</v>
      </c>
      <c r="V2140" s="6">
        <v>0.79</v>
      </c>
      <c r="W2140" s="6">
        <v>13.75</v>
      </c>
      <c r="X2140" s="7">
        <v>12.875</v>
      </c>
      <c r="Y2140" s="6">
        <v>13.75</v>
      </c>
      <c r="Z2140" s="4">
        <v>14</v>
      </c>
      <c r="AA2140" s="6">
        <v>98.21</v>
      </c>
      <c r="AB2140" s="2" t="s">
        <v>47</v>
      </c>
      <c r="AC2140" s="5">
        <v>59.6</v>
      </c>
    </row>
    <row r="2141" spans="1:29" ht="39" x14ac:dyDescent="0.15">
      <c r="A2141" s="3">
        <f>DATE(1995,10,6)</f>
        <v>34978</v>
      </c>
      <c r="B2141" s="3">
        <f>DATE(1995,10,6)</f>
        <v>34978</v>
      </c>
      <c r="C2141" s="2" t="s">
        <v>95</v>
      </c>
      <c r="D2141" s="2" t="s">
        <v>3734</v>
      </c>
      <c r="E2141" s="2" t="s">
        <v>3735</v>
      </c>
      <c r="F2141" s="4">
        <v>3792</v>
      </c>
      <c r="G2141" s="2" t="s">
        <v>105</v>
      </c>
      <c r="H2141" s="2" t="s">
        <v>34</v>
      </c>
      <c r="I2141" s="2" t="s">
        <v>51</v>
      </c>
      <c r="J2141" s="2" t="s">
        <v>52</v>
      </c>
      <c r="K2141" s="2" t="s">
        <v>53</v>
      </c>
      <c r="L2141" s="2" t="s">
        <v>34</v>
      </c>
      <c r="M2141" s="2"/>
      <c r="N2141" s="2"/>
      <c r="O2141" s="2"/>
      <c r="P2141" s="2" t="s">
        <v>6908</v>
      </c>
      <c r="Q2141" s="6">
        <v>100</v>
      </c>
      <c r="R2141" s="2"/>
      <c r="S2141" s="5">
        <v>-1.5</v>
      </c>
      <c r="T2141" s="7">
        <v>7.9530000000000003</v>
      </c>
      <c r="U2141" s="2"/>
      <c r="V2141" s="2"/>
      <c r="W2141" s="4">
        <v>3</v>
      </c>
      <c r="X2141" s="4">
        <v>3</v>
      </c>
      <c r="Y2141" s="7">
        <v>3.125</v>
      </c>
      <c r="Z2141" s="4">
        <v>3</v>
      </c>
      <c r="AA2141" s="2"/>
      <c r="AB2141" s="2" t="s">
        <v>47</v>
      </c>
      <c r="AC2141" s="2"/>
    </row>
    <row r="2142" spans="1:29" ht="91" x14ac:dyDescent="0.15">
      <c r="A2142" s="3">
        <f>DATE(1995,10,6)</f>
        <v>34978</v>
      </c>
      <c r="B2142" s="3">
        <f>DATE(1996,1,23)</f>
        <v>35087</v>
      </c>
      <c r="C2142" s="2" t="s">
        <v>95</v>
      </c>
      <c r="D2142" s="2" t="s">
        <v>6909</v>
      </c>
      <c r="E2142" s="2" t="s">
        <v>6910</v>
      </c>
      <c r="F2142" s="4">
        <v>3845</v>
      </c>
      <c r="G2142" s="2" t="s">
        <v>226</v>
      </c>
      <c r="H2142" s="2" t="s">
        <v>34</v>
      </c>
      <c r="I2142" s="2" t="s">
        <v>5268</v>
      </c>
      <c r="J2142" s="2" t="s">
        <v>5269</v>
      </c>
      <c r="K2142" s="2" t="s">
        <v>226</v>
      </c>
      <c r="L2142" s="2" t="s">
        <v>34</v>
      </c>
      <c r="M2142" s="12">
        <v>6627.4229999999998</v>
      </c>
      <c r="N2142" s="6">
        <v>41.75</v>
      </c>
      <c r="O2142" s="7">
        <v>40.625</v>
      </c>
      <c r="P2142" s="2" t="s">
        <v>6911</v>
      </c>
      <c r="Q2142" s="6">
        <v>100</v>
      </c>
      <c r="R2142" s="6">
        <v>13</v>
      </c>
      <c r="S2142" s="2"/>
      <c r="T2142" s="2"/>
      <c r="U2142" s="5">
        <v>1.8</v>
      </c>
      <c r="V2142" s="7">
        <v>-1.2E-2</v>
      </c>
      <c r="W2142" s="7">
        <v>14.375</v>
      </c>
      <c r="X2142" s="4">
        <v>16</v>
      </c>
      <c r="Y2142" s="6">
        <v>12.75</v>
      </c>
      <c r="Z2142" s="5">
        <v>12.5</v>
      </c>
      <c r="AA2142" s="6">
        <v>11.23</v>
      </c>
      <c r="AB2142" s="2" t="s">
        <v>47</v>
      </c>
      <c r="AC2142" s="6">
        <v>118.36</v>
      </c>
    </row>
    <row r="2143" spans="1:29" ht="117" x14ac:dyDescent="0.15">
      <c r="A2143" s="3">
        <f>DATE(1995,10,9)</f>
        <v>34981</v>
      </c>
      <c r="B2143" s="3">
        <f>DATE(1995,12,28)</f>
        <v>35061</v>
      </c>
      <c r="C2143" s="2" t="s">
        <v>95</v>
      </c>
      <c r="D2143" s="2" t="s">
        <v>6912</v>
      </c>
      <c r="E2143" s="2" t="s">
        <v>6913</v>
      </c>
      <c r="F2143" s="4">
        <v>3613</v>
      </c>
      <c r="G2143" s="2" t="s">
        <v>137</v>
      </c>
      <c r="H2143" s="2" t="s">
        <v>34</v>
      </c>
      <c r="I2143" s="2" t="s">
        <v>6914</v>
      </c>
      <c r="J2143" s="2" t="s">
        <v>6915</v>
      </c>
      <c r="K2143" s="2" t="s">
        <v>105</v>
      </c>
      <c r="L2143" s="2" t="s">
        <v>34</v>
      </c>
      <c r="M2143" s="12">
        <v>2144.9520000000002</v>
      </c>
      <c r="N2143" s="4">
        <v>35</v>
      </c>
      <c r="O2143" s="6">
        <v>34.75</v>
      </c>
      <c r="P2143" s="2" t="s">
        <v>6916</v>
      </c>
      <c r="Q2143" s="6">
        <v>100</v>
      </c>
      <c r="R2143" s="6">
        <v>14.2</v>
      </c>
      <c r="S2143" s="2"/>
      <c r="T2143" s="2"/>
      <c r="U2143" s="5">
        <v>5.0999999999999996</v>
      </c>
      <c r="V2143" s="2"/>
      <c r="W2143" s="6">
        <v>9.75</v>
      </c>
      <c r="X2143" s="5">
        <v>10.5</v>
      </c>
      <c r="Y2143" s="6">
        <v>12.25</v>
      </c>
      <c r="Z2143" s="7">
        <v>12.625</v>
      </c>
      <c r="AA2143" s="6">
        <v>3.73</v>
      </c>
      <c r="AB2143" s="2" t="s">
        <v>47</v>
      </c>
      <c r="AC2143" s="6">
        <v>29.83</v>
      </c>
    </row>
    <row r="2144" spans="1:29" ht="156" x14ac:dyDescent="0.15">
      <c r="A2144" s="3">
        <f>DATE(1995,10,10)</f>
        <v>34982</v>
      </c>
      <c r="B2144" s="3">
        <f>DATE(1996,4,9)</f>
        <v>35164</v>
      </c>
      <c r="C2144" s="2" t="s">
        <v>95</v>
      </c>
      <c r="D2144" s="2" t="s">
        <v>3660</v>
      </c>
      <c r="E2144" s="2" t="s">
        <v>36</v>
      </c>
      <c r="F2144" s="4">
        <v>6021</v>
      </c>
      <c r="G2144" s="2" t="s">
        <v>37</v>
      </c>
      <c r="H2144" s="2" t="s">
        <v>34</v>
      </c>
      <c r="I2144" s="2" t="s">
        <v>1698</v>
      </c>
      <c r="J2144" s="2" t="s">
        <v>36</v>
      </c>
      <c r="K2144" s="2" t="s">
        <v>37</v>
      </c>
      <c r="L2144" s="2" t="s">
        <v>34</v>
      </c>
      <c r="M2144" s="12">
        <v>5313.2920000000004</v>
      </c>
      <c r="N2144" s="4">
        <v>37</v>
      </c>
      <c r="O2144" s="7">
        <v>38.125</v>
      </c>
      <c r="P2144" s="2" t="s">
        <v>6917</v>
      </c>
      <c r="Q2144" s="6">
        <v>100</v>
      </c>
      <c r="R2144" s="6">
        <v>47.16</v>
      </c>
      <c r="S2144" s="5">
        <v>162.1</v>
      </c>
      <c r="T2144" s="7">
        <v>271.75599999999997</v>
      </c>
      <c r="U2144" s="5">
        <v>21</v>
      </c>
      <c r="V2144" s="6">
        <v>2.8</v>
      </c>
      <c r="W2144" s="7">
        <v>38.563000000000002</v>
      </c>
      <c r="X2144" s="7">
        <v>38.813000000000002</v>
      </c>
      <c r="Y2144" s="7">
        <v>42.875</v>
      </c>
      <c r="Z2144" s="7">
        <v>43.625</v>
      </c>
      <c r="AA2144" s="6">
        <v>58.34</v>
      </c>
      <c r="AB2144" s="7">
        <v>21.347000000000001</v>
      </c>
      <c r="AC2144" s="2"/>
    </row>
    <row r="2145" spans="1:29" ht="117" x14ac:dyDescent="0.15">
      <c r="A2145" s="3">
        <f>DATE(1995,10,10)</f>
        <v>34982</v>
      </c>
      <c r="B2145" s="3">
        <f>DATE(1996,2,1)</f>
        <v>35096</v>
      </c>
      <c r="C2145" s="2" t="s">
        <v>95</v>
      </c>
      <c r="D2145" s="2" t="s">
        <v>6918</v>
      </c>
      <c r="E2145" s="2" t="s">
        <v>1550</v>
      </c>
      <c r="F2145" s="4">
        <v>7372</v>
      </c>
      <c r="G2145" s="2" t="s">
        <v>551</v>
      </c>
      <c r="H2145" s="2" t="s">
        <v>34</v>
      </c>
      <c r="I2145" s="2" t="s">
        <v>6919</v>
      </c>
      <c r="J2145" s="2" t="s">
        <v>6920</v>
      </c>
      <c r="K2145" s="2" t="s">
        <v>223</v>
      </c>
      <c r="L2145" s="2" t="s">
        <v>34</v>
      </c>
      <c r="M2145" s="12">
        <v>1140.615</v>
      </c>
      <c r="N2145" s="6">
        <v>18.25</v>
      </c>
      <c r="O2145" s="7">
        <v>18.375</v>
      </c>
      <c r="P2145" s="2" t="s">
        <v>6921</v>
      </c>
      <c r="Q2145" s="6">
        <v>100</v>
      </c>
      <c r="R2145" s="6">
        <v>13.21</v>
      </c>
      <c r="S2145" s="5">
        <v>3.7</v>
      </c>
      <c r="T2145" s="6">
        <v>7.05</v>
      </c>
      <c r="U2145" s="5">
        <v>2.5</v>
      </c>
      <c r="V2145" s="6">
        <v>0.41</v>
      </c>
      <c r="W2145" s="4">
        <v>11</v>
      </c>
      <c r="X2145" s="6">
        <v>11.25</v>
      </c>
      <c r="Y2145" s="6">
        <v>12.25</v>
      </c>
      <c r="Z2145" s="7">
        <v>12.188000000000001</v>
      </c>
      <c r="AA2145" s="6">
        <v>8.68</v>
      </c>
      <c r="AB2145" s="7">
        <v>25.446999999999999</v>
      </c>
      <c r="AC2145" s="6">
        <v>137.86000000000001</v>
      </c>
    </row>
    <row r="2146" spans="1:29" ht="65" x14ac:dyDescent="0.15">
      <c r="A2146" s="3">
        <f>DATE(1995,10,10)</f>
        <v>34982</v>
      </c>
      <c r="B2146" s="2"/>
      <c r="C2146" s="2" t="s">
        <v>30</v>
      </c>
      <c r="D2146" s="2" t="s">
        <v>6922</v>
      </c>
      <c r="E2146" s="2" t="s">
        <v>6923</v>
      </c>
      <c r="F2146" s="4">
        <v>5961</v>
      </c>
      <c r="G2146" s="2" t="s">
        <v>73</v>
      </c>
      <c r="H2146" s="2" t="s">
        <v>34</v>
      </c>
      <c r="I2146" s="2" t="s">
        <v>6924</v>
      </c>
      <c r="J2146" s="2" t="s">
        <v>6925</v>
      </c>
      <c r="K2146" s="2" t="s">
        <v>45</v>
      </c>
      <c r="L2146" s="2" t="s">
        <v>34</v>
      </c>
      <c r="M2146" s="7">
        <v>504.00200000000001</v>
      </c>
      <c r="N2146" s="7">
        <v>13.375</v>
      </c>
      <c r="O2146" s="4">
        <v>13</v>
      </c>
      <c r="P2146" s="2" t="s">
        <v>6926</v>
      </c>
      <c r="Q2146" s="2"/>
      <c r="R2146" s="2"/>
      <c r="S2146" s="2"/>
      <c r="T2146" s="2"/>
      <c r="U2146" s="2"/>
      <c r="V2146" s="2"/>
      <c r="W2146" s="9">
        <v>3.6875</v>
      </c>
      <c r="X2146" s="9">
        <v>3.9375</v>
      </c>
      <c r="Y2146" s="7">
        <v>3.875</v>
      </c>
      <c r="Z2146" s="6">
        <v>4.25</v>
      </c>
      <c r="AA2146" s="6">
        <v>10.14</v>
      </c>
      <c r="AB2146" s="2" t="s">
        <v>47</v>
      </c>
      <c r="AC2146" s="6">
        <v>21.57</v>
      </c>
    </row>
    <row r="2147" spans="1:29" ht="130" x14ac:dyDescent="0.15">
      <c r="A2147" s="3">
        <f>DATE(1995,10,10)</f>
        <v>34982</v>
      </c>
      <c r="B2147" s="3">
        <f>DATE(1996,1,17)</f>
        <v>35081</v>
      </c>
      <c r="C2147" s="2" t="s">
        <v>95</v>
      </c>
      <c r="D2147" s="2" t="s">
        <v>4357</v>
      </c>
      <c r="E2147" s="2" t="s">
        <v>4358</v>
      </c>
      <c r="F2147" s="4">
        <v>8062</v>
      </c>
      <c r="G2147" s="2" t="s">
        <v>454</v>
      </c>
      <c r="H2147" s="2" t="s">
        <v>34</v>
      </c>
      <c r="I2147" s="2" t="s">
        <v>6927</v>
      </c>
      <c r="J2147" s="2" t="s">
        <v>6928</v>
      </c>
      <c r="K2147" s="2" t="s">
        <v>454</v>
      </c>
      <c r="L2147" s="2" t="s">
        <v>34</v>
      </c>
      <c r="M2147" s="12">
        <v>2161.4110000000001</v>
      </c>
      <c r="N2147" s="7">
        <v>23.125</v>
      </c>
      <c r="O2147" s="7">
        <v>24.125</v>
      </c>
      <c r="P2147" s="2" t="s">
        <v>6929</v>
      </c>
      <c r="Q2147" s="6">
        <v>100</v>
      </c>
      <c r="R2147" s="6">
        <v>36.64</v>
      </c>
      <c r="S2147" s="5">
        <v>31.4</v>
      </c>
      <c r="T2147" s="7">
        <v>104.81699999999999</v>
      </c>
      <c r="U2147" s="5">
        <v>5.0999999999999996</v>
      </c>
      <c r="V2147" s="6">
        <v>0.81</v>
      </c>
      <c r="W2147" s="6">
        <v>22.75</v>
      </c>
      <c r="X2147" s="4">
        <v>23</v>
      </c>
      <c r="Y2147" s="4">
        <v>27</v>
      </c>
      <c r="Z2147" s="6">
        <v>27.75</v>
      </c>
      <c r="AA2147" s="6">
        <v>38.99</v>
      </c>
      <c r="AB2147" s="7">
        <v>16.858000000000001</v>
      </c>
      <c r="AC2147" s="6">
        <v>82.58</v>
      </c>
    </row>
    <row r="2148" spans="1:29" ht="156" x14ac:dyDescent="0.15">
      <c r="A2148" s="3">
        <f>DATE(1995,10,11)</f>
        <v>34983</v>
      </c>
      <c r="B2148" s="3">
        <f>DATE(1996,6,28)</f>
        <v>35244</v>
      </c>
      <c r="C2148" s="2" t="s">
        <v>95</v>
      </c>
      <c r="D2148" s="2" t="s">
        <v>6930</v>
      </c>
      <c r="E2148" s="2" t="s">
        <v>36</v>
      </c>
      <c r="F2148" s="4">
        <v>6036</v>
      </c>
      <c r="G2148" s="2" t="s">
        <v>33</v>
      </c>
      <c r="H2148" s="2" t="s">
        <v>34</v>
      </c>
      <c r="I2148" s="2" t="s">
        <v>2321</v>
      </c>
      <c r="J2148" s="2" t="s">
        <v>36</v>
      </c>
      <c r="K2148" s="2" t="s">
        <v>37</v>
      </c>
      <c r="L2148" s="2" t="s">
        <v>34</v>
      </c>
      <c r="M2148" s="12">
        <v>5025.5259999999998</v>
      </c>
      <c r="N2148" s="5">
        <v>47.5</v>
      </c>
      <c r="O2148" s="7">
        <v>47.875</v>
      </c>
      <c r="P2148" s="2" t="s">
        <v>6931</v>
      </c>
      <c r="Q2148" s="6">
        <v>100</v>
      </c>
      <c r="R2148" s="6">
        <v>42.96</v>
      </c>
      <c r="S2148" s="5">
        <v>28.3</v>
      </c>
      <c r="T2148" s="7">
        <v>39.515999999999998</v>
      </c>
      <c r="U2148" s="5">
        <v>37.299999999999997</v>
      </c>
      <c r="V2148" s="6">
        <v>5.34</v>
      </c>
      <c r="W2148" s="4">
        <v>38</v>
      </c>
      <c r="X2148" s="5">
        <v>36.5</v>
      </c>
      <c r="Y2148" s="5">
        <v>37.5</v>
      </c>
      <c r="Z2148" s="6">
        <v>38.25</v>
      </c>
      <c r="AA2148" s="6">
        <v>5.22</v>
      </c>
      <c r="AB2148" s="7">
        <v>49.642000000000003</v>
      </c>
      <c r="AC2148" s="2"/>
    </row>
    <row r="2149" spans="1:29" ht="26" x14ac:dyDescent="0.15">
      <c r="A2149" s="3">
        <f>DATE(1995,10,12)</f>
        <v>34984</v>
      </c>
      <c r="B2149" s="2"/>
      <c r="C2149" s="2" t="s">
        <v>189</v>
      </c>
      <c r="D2149" s="2" t="s">
        <v>6932</v>
      </c>
      <c r="E2149" s="2" t="s">
        <v>6933</v>
      </c>
      <c r="F2149" s="4">
        <v>6552</v>
      </c>
      <c r="G2149" s="2" t="s">
        <v>109</v>
      </c>
      <c r="H2149" s="2" t="s">
        <v>34</v>
      </c>
      <c r="I2149" s="2" t="s">
        <v>143</v>
      </c>
      <c r="J2149" s="2" t="s">
        <v>144</v>
      </c>
      <c r="K2149" s="2" t="s">
        <v>53</v>
      </c>
      <c r="L2149" s="2" t="s">
        <v>139</v>
      </c>
      <c r="M2149" s="2"/>
      <c r="N2149" s="2"/>
      <c r="O2149" s="2"/>
      <c r="P2149" s="2" t="s">
        <v>6934</v>
      </c>
      <c r="Q2149" s="2"/>
      <c r="R2149" s="2"/>
      <c r="S2149" s="2"/>
      <c r="T2149" s="2"/>
      <c r="U2149" s="2"/>
      <c r="V2149" s="2"/>
      <c r="W2149" s="7">
        <v>1.9379999999999999</v>
      </c>
      <c r="X2149" s="7">
        <v>1.9379999999999999</v>
      </c>
      <c r="Y2149" s="7">
        <v>2.0630000000000002</v>
      </c>
      <c r="Z2149" s="6">
        <v>2.25</v>
      </c>
      <c r="AA2149" s="6">
        <v>6.89</v>
      </c>
      <c r="AB2149" s="2" t="s">
        <v>47</v>
      </c>
      <c r="AC2149" s="2"/>
    </row>
    <row r="2150" spans="1:29" ht="143" x14ac:dyDescent="0.15">
      <c r="A2150" s="3">
        <f>DATE(1995,10,12)</f>
        <v>34984</v>
      </c>
      <c r="B2150" s="3">
        <f>DATE(1996,3,15)</f>
        <v>35139</v>
      </c>
      <c r="C2150" s="2" t="s">
        <v>95</v>
      </c>
      <c r="D2150" s="2" t="s">
        <v>6935</v>
      </c>
      <c r="E2150" s="2" t="s">
        <v>92</v>
      </c>
      <c r="F2150" s="4">
        <v>6798</v>
      </c>
      <c r="G2150" s="2" t="s">
        <v>53</v>
      </c>
      <c r="H2150" s="2" t="s">
        <v>34</v>
      </c>
      <c r="I2150" s="2" t="s">
        <v>6936</v>
      </c>
      <c r="J2150" s="2" t="s">
        <v>92</v>
      </c>
      <c r="K2150" s="2" t="s">
        <v>53</v>
      </c>
      <c r="L2150" s="2" t="s">
        <v>34</v>
      </c>
      <c r="M2150" s="7">
        <v>363.99900000000002</v>
      </c>
      <c r="N2150" s="5">
        <v>33.5</v>
      </c>
      <c r="O2150" s="7">
        <v>33.375</v>
      </c>
      <c r="P2150" s="2" t="s">
        <v>6937</v>
      </c>
      <c r="Q2150" s="6">
        <v>100</v>
      </c>
      <c r="R2150" s="6">
        <v>19.02</v>
      </c>
      <c r="S2150" s="5">
        <v>10.7</v>
      </c>
      <c r="T2150" s="6">
        <v>14.79</v>
      </c>
      <c r="U2150" s="5">
        <v>11.3</v>
      </c>
      <c r="V2150" s="6">
        <v>1.1599999999999999</v>
      </c>
      <c r="W2150" s="7">
        <v>16.625</v>
      </c>
      <c r="X2150" s="7">
        <v>16.375</v>
      </c>
      <c r="Y2150" s="6">
        <v>17.75</v>
      </c>
      <c r="Z2150" s="4">
        <v>18</v>
      </c>
      <c r="AA2150" s="6">
        <v>9.36</v>
      </c>
      <c r="AB2150" s="7">
        <v>25.254000000000001</v>
      </c>
      <c r="AC2150" s="6">
        <v>28.94</v>
      </c>
    </row>
    <row r="2151" spans="1:29" ht="143" x14ac:dyDescent="0.15">
      <c r="A2151" s="3">
        <f>DATE(1995,10,12)</f>
        <v>34984</v>
      </c>
      <c r="B2151" s="3">
        <f>DATE(1996,7,10)</f>
        <v>35256</v>
      </c>
      <c r="C2151" s="2" t="s">
        <v>95</v>
      </c>
      <c r="D2151" s="2" t="s">
        <v>6644</v>
      </c>
      <c r="E2151" s="2" t="s">
        <v>92</v>
      </c>
      <c r="F2151" s="4">
        <v>6798</v>
      </c>
      <c r="G2151" s="2" t="s">
        <v>53</v>
      </c>
      <c r="H2151" s="2" t="s">
        <v>34</v>
      </c>
      <c r="I2151" s="2" t="s">
        <v>51</v>
      </c>
      <c r="J2151" s="2" t="s">
        <v>52</v>
      </c>
      <c r="K2151" s="2" t="s">
        <v>53</v>
      </c>
      <c r="L2151" s="2" t="s">
        <v>34</v>
      </c>
      <c r="M2151" s="2"/>
      <c r="N2151" s="2"/>
      <c r="O2151" s="2"/>
      <c r="P2151" s="2" t="s">
        <v>6938</v>
      </c>
      <c r="Q2151" s="6">
        <v>100</v>
      </c>
      <c r="R2151" s="6">
        <v>8</v>
      </c>
      <c r="S2151" s="5">
        <v>25</v>
      </c>
      <c r="T2151" s="2"/>
      <c r="U2151" s="5">
        <v>13.5</v>
      </c>
      <c r="V2151" s="6">
        <v>0.66</v>
      </c>
      <c r="W2151" s="6">
        <v>6.75</v>
      </c>
      <c r="X2151" s="5">
        <v>6.5</v>
      </c>
      <c r="Y2151" s="7">
        <v>6.875</v>
      </c>
      <c r="Z2151" s="7">
        <v>7.625</v>
      </c>
      <c r="AA2151" s="6">
        <v>38.26</v>
      </c>
      <c r="AB2151" s="7">
        <v>39.524999999999999</v>
      </c>
      <c r="AC2151" s="2"/>
    </row>
    <row r="2152" spans="1:29" ht="156" x14ac:dyDescent="0.15">
      <c r="A2152" s="3">
        <f>DATE(1995,10,12)</f>
        <v>34984</v>
      </c>
      <c r="B2152" s="3">
        <f>DATE(1996,2,1)</f>
        <v>35096</v>
      </c>
      <c r="C2152" s="2" t="s">
        <v>95</v>
      </c>
      <c r="D2152" s="2" t="s">
        <v>3683</v>
      </c>
      <c r="E2152" s="2" t="s">
        <v>1181</v>
      </c>
      <c r="F2152" s="4">
        <v>6022</v>
      </c>
      <c r="G2152" s="2" t="s">
        <v>37</v>
      </c>
      <c r="H2152" s="2" t="s">
        <v>34</v>
      </c>
      <c r="I2152" s="2" t="s">
        <v>2324</v>
      </c>
      <c r="J2152" s="2" t="s">
        <v>672</v>
      </c>
      <c r="K2152" s="2" t="s">
        <v>33</v>
      </c>
      <c r="L2152" s="2" t="s">
        <v>34</v>
      </c>
      <c r="M2152" s="12">
        <v>1631.4110000000001</v>
      </c>
      <c r="N2152" s="7">
        <v>25.875</v>
      </c>
      <c r="O2152" s="7">
        <v>27.375</v>
      </c>
      <c r="P2152" s="2" t="s">
        <v>6939</v>
      </c>
      <c r="Q2152" s="6">
        <v>100</v>
      </c>
      <c r="R2152" s="6">
        <v>20.9</v>
      </c>
      <c r="S2152" s="5">
        <v>9</v>
      </c>
      <c r="T2152" s="7">
        <v>16.762</v>
      </c>
      <c r="U2152" s="5">
        <v>7</v>
      </c>
      <c r="V2152" s="7">
        <v>1.0620000000000001</v>
      </c>
      <c r="W2152" s="7">
        <v>14.625</v>
      </c>
      <c r="X2152" s="5">
        <v>15.5</v>
      </c>
      <c r="Y2152" s="4">
        <v>18</v>
      </c>
      <c r="Z2152" s="7">
        <v>18.125</v>
      </c>
      <c r="AA2152" s="6">
        <v>8.48</v>
      </c>
      <c r="AB2152" s="7">
        <v>53.805</v>
      </c>
      <c r="AC2152" s="2"/>
    </row>
    <row r="2153" spans="1:29" ht="78" x14ac:dyDescent="0.15">
      <c r="A2153" s="3">
        <f>DATE(1995,10,13)</f>
        <v>34985</v>
      </c>
      <c r="B2153" s="3">
        <f>DATE(1996,3,8)</f>
        <v>35132</v>
      </c>
      <c r="C2153" s="2" t="s">
        <v>95</v>
      </c>
      <c r="D2153" s="2" t="s">
        <v>6809</v>
      </c>
      <c r="E2153" s="2" t="s">
        <v>2208</v>
      </c>
      <c r="F2153" s="4">
        <v>3679</v>
      </c>
      <c r="G2153" s="2" t="s">
        <v>137</v>
      </c>
      <c r="H2153" s="2" t="s">
        <v>34</v>
      </c>
      <c r="I2153" s="2" t="s">
        <v>6940</v>
      </c>
      <c r="J2153" s="2" t="s">
        <v>6941</v>
      </c>
      <c r="K2153" s="2" t="s">
        <v>137</v>
      </c>
      <c r="L2153" s="2" t="s">
        <v>303</v>
      </c>
      <c r="M2153" s="2"/>
      <c r="N2153" s="2"/>
      <c r="O2153" s="2"/>
      <c r="P2153" s="2" t="s">
        <v>6942</v>
      </c>
      <c r="Q2153" s="6">
        <v>100</v>
      </c>
      <c r="R2153" s="6">
        <v>4.54</v>
      </c>
      <c r="S2153" s="5">
        <v>0.6</v>
      </c>
      <c r="T2153" s="7">
        <v>1.165</v>
      </c>
      <c r="U2153" s="5">
        <v>2.8</v>
      </c>
      <c r="V2153" s="7">
        <v>0.193</v>
      </c>
      <c r="W2153" s="7">
        <v>4.0629999999999997</v>
      </c>
      <c r="X2153" s="4">
        <v>4</v>
      </c>
      <c r="Y2153" s="6">
        <v>4.25</v>
      </c>
      <c r="Z2153" s="7">
        <v>4.125</v>
      </c>
      <c r="AA2153" s="6">
        <v>3.07</v>
      </c>
      <c r="AB2153" s="7">
        <v>14.9</v>
      </c>
      <c r="AC2153" s="2"/>
    </row>
    <row r="2154" spans="1:29" ht="65" x14ac:dyDescent="0.15">
      <c r="A2154" s="3">
        <f>DATE(1995,10,13)</f>
        <v>34985</v>
      </c>
      <c r="B2154" s="2"/>
      <c r="C2154" s="2" t="s">
        <v>30</v>
      </c>
      <c r="D2154" s="2" t="s">
        <v>4249</v>
      </c>
      <c r="E2154" s="2" t="s">
        <v>4250</v>
      </c>
      <c r="F2154" s="4">
        <v>8071</v>
      </c>
      <c r="G2154" s="2" t="s">
        <v>454</v>
      </c>
      <c r="H2154" s="2" t="s">
        <v>34</v>
      </c>
      <c r="I2154" s="2" t="s">
        <v>4961</v>
      </c>
      <c r="J2154" s="2" t="s">
        <v>4962</v>
      </c>
      <c r="K2154" s="2" t="s">
        <v>125</v>
      </c>
      <c r="L2154" s="2" t="s">
        <v>34</v>
      </c>
      <c r="M2154" s="2"/>
      <c r="N2154" s="4">
        <v>4</v>
      </c>
      <c r="O2154" s="4">
        <v>4</v>
      </c>
      <c r="P2154" s="2" t="s">
        <v>6943</v>
      </c>
      <c r="Q2154" s="2"/>
      <c r="R2154" s="2"/>
      <c r="S2154" s="5">
        <v>-1.1000000000000001</v>
      </c>
      <c r="T2154" s="7">
        <v>6.0209999999999999</v>
      </c>
      <c r="U2154" s="5">
        <v>5.0999999999999996</v>
      </c>
      <c r="V2154" s="6">
        <v>-0.63</v>
      </c>
      <c r="W2154" s="6">
        <v>2.75</v>
      </c>
      <c r="X2154" s="5">
        <v>2.5</v>
      </c>
      <c r="Y2154" s="6">
        <v>2.75</v>
      </c>
      <c r="Z2154" s="6">
        <v>2.75</v>
      </c>
      <c r="AA2154" s="2"/>
      <c r="AB2154" s="2" t="s">
        <v>47</v>
      </c>
      <c r="AC2154" s="6">
        <v>2.31</v>
      </c>
    </row>
    <row r="2155" spans="1:29" ht="78" x14ac:dyDescent="0.15">
      <c r="A2155" s="3">
        <f>DATE(1995,10,16)</f>
        <v>34988</v>
      </c>
      <c r="B2155" s="2"/>
      <c r="C2155" s="2" t="s">
        <v>30</v>
      </c>
      <c r="D2155" s="2" t="s">
        <v>4422</v>
      </c>
      <c r="E2155" s="2" t="s">
        <v>36</v>
      </c>
      <c r="F2155" s="4">
        <v>6021</v>
      </c>
      <c r="G2155" s="2" t="s">
        <v>37</v>
      </c>
      <c r="H2155" s="2" t="s">
        <v>34</v>
      </c>
      <c r="I2155" s="2" t="s">
        <v>138</v>
      </c>
      <c r="J2155" s="2" t="s">
        <v>139</v>
      </c>
      <c r="K2155" s="2" t="s">
        <v>53</v>
      </c>
      <c r="L2155" s="2" t="s">
        <v>139</v>
      </c>
      <c r="M2155" s="2"/>
      <c r="N2155" s="2"/>
      <c r="O2155" s="2"/>
      <c r="P2155" s="2" t="s">
        <v>6944</v>
      </c>
      <c r="Q2155" s="2"/>
      <c r="R2155" s="2"/>
      <c r="S2155" s="5">
        <v>41</v>
      </c>
      <c r="T2155" s="7">
        <v>69.471000000000004</v>
      </c>
      <c r="U2155" s="5">
        <v>14.6</v>
      </c>
      <c r="V2155" s="6">
        <v>2.54</v>
      </c>
      <c r="W2155" s="4">
        <v>34</v>
      </c>
      <c r="X2155" s="4">
        <v>35</v>
      </c>
      <c r="Y2155" s="7">
        <v>37.875</v>
      </c>
      <c r="Z2155" s="5">
        <v>35.5</v>
      </c>
      <c r="AA2155" s="6">
        <v>16.059999999999999</v>
      </c>
      <c r="AB2155" s="2" t="s">
        <v>47</v>
      </c>
      <c r="AC2155" s="2"/>
    </row>
    <row r="2156" spans="1:29" ht="143" x14ac:dyDescent="0.15">
      <c r="A2156" s="3">
        <f>DATE(1995,10,18)</f>
        <v>34990</v>
      </c>
      <c r="B2156" s="3">
        <f>DATE(1996,1,11)</f>
        <v>35075</v>
      </c>
      <c r="C2156" s="2" t="s">
        <v>95</v>
      </c>
      <c r="D2156" s="2" t="s">
        <v>1186</v>
      </c>
      <c r="E2156" s="2" t="s">
        <v>1187</v>
      </c>
      <c r="F2156" s="4">
        <v>3564</v>
      </c>
      <c r="G2156" s="2" t="s">
        <v>300</v>
      </c>
      <c r="H2156" s="2" t="s">
        <v>34</v>
      </c>
      <c r="I2156" s="2" t="s">
        <v>2373</v>
      </c>
      <c r="J2156" s="2" t="s">
        <v>268</v>
      </c>
      <c r="K2156" s="2" t="s">
        <v>269</v>
      </c>
      <c r="L2156" s="2" t="s">
        <v>34</v>
      </c>
      <c r="M2156" s="12">
        <v>6312.375</v>
      </c>
      <c r="N2156" s="7">
        <v>35.125</v>
      </c>
      <c r="O2156" s="7">
        <v>34.875</v>
      </c>
      <c r="P2156" s="2" t="s">
        <v>6945</v>
      </c>
      <c r="Q2156" s="6">
        <v>100</v>
      </c>
      <c r="R2156" s="6">
        <v>29.27</v>
      </c>
      <c r="S2156" s="5">
        <v>8.3000000000000007</v>
      </c>
      <c r="T2156" s="7">
        <v>18.103000000000002</v>
      </c>
      <c r="U2156" s="5">
        <v>4.8</v>
      </c>
      <c r="V2156" s="7">
        <v>0.96499999999999997</v>
      </c>
      <c r="W2156" s="7">
        <v>17.125</v>
      </c>
      <c r="X2156" s="7">
        <v>16.375</v>
      </c>
      <c r="Y2156" s="7">
        <v>27.625</v>
      </c>
      <c r="Z2156" s="7">
        <v>27.375</v>
      </c>
      <c r="AA2156" s="6">
        <v>7.08</v>
      </c>
      <c r="AB2156" s="7">
        <v>13.302</v>
      </c>
      <c r="AC2156" s="6">
        <v>180.65</v>
      </c>
    </row>
    <row r="2157" spans="1:29" ht="104" x14ac:dyDescent="0.15">
      <c r="A2157" s="3">
        <f>DATE(1995,10,18)</f>
        <v>34990</v>
      </c>
      <c r="B2157" s="3">
        <f>DATE(1995,11,28)</f>
        <v>35031</v>
      </c>
      <c r="C2157" s="2" t="s">
        <v>95</v>
      </c>
      <c r="D2157" s="2" t="s">
        <v>3825</v>
      </c>
      <c r="E2157" s="2" t="s">
        <v>3826</v>
      </c>
      <c r="F2157" s="4">
        <v>3841</v>
      </c>
      <c r="G2157" s="2" t="s">
        <v>226</v>
      </c>
      <c r="H2157" s="2" t="s">
        <v>34</v>
      </c>
      <c r="I2157" s="2" t="s">
        <v>3827</v>
      </c>
      <c r="J2157" s="2" t="s">
        <v>129</v>
      </c>
      <c r="K2157" s="2" t="s">
        <v>130</v>
      </c>
      <c r="L2157" s="2" t="s">
        <v>34</v>
      </c>
      <c r="M2157" s="12">
        <v>6212.3360000000002</v>
      </c>
      <c r="N2157" s="7">
        <v>48.875</v>
      </c>
      <c r="O2157" s="4">
        <v>49</v>
      </c>
      <c r="P2157" s="2" t="s">
        <v>6946</v>
      </c>
      <c r="Q2157" s="6">
        <v>54</v>
      </c>
      <c r="R2157" s="6">
        <v>11.75</v>
      </c>
      <c r="S2157" s="5">
        <v>-28.8</v>
      </c>
      <c r="T2157" s="7">
        <v>-26.783999999999999</v>
      </c>
      <c r="U2157" s="5">
        <v>4.2</v>
      </c>
      <c r="V2157" s="7">
        <v>-2.3889999999999998</v>
      </c>
      <c r="W2157" s="6">
        <v>7.75</v>
      </c>
      <c r="X2157" s="4">
        <v>7</v>
      </c>
      <c r="Y2157" s="7">
        <v>11.531000000000001</v>
      </c>
      <c r="Z2157" s="5">
        <v>11.5</v>
      </c>
      <c r="AA2157" s="6">
        <v>13.33</v>
      </c>
      <c r="AB2157" s="2" t="s">
        <v>86</v>
      </c>
      <c r="AC2157" s="5">
        <v>118.8</v>
      </c>
    </row>
    <row r="2158" spans="1:29" ht="143" x14ac:dyDescent="0.15">
      <c r="A2158" s="3">
        <f>DATE(1995,10,18)</f>
        <v>34990</v>
      </c>
      <c r="B2158" s="3">
        <f>DATE(1996,4,1)</f>
        <v>35156</v>
      </c>
      <c r="C2158" s="2" t="s">
        <v>95</v>
      </c>
      <c r="D2158" s="2" t="s">
        <v>153</v>
      </c>
      <c r="E2158" s="2" t="s">
        <v>36</v>
      </c>
      <c r="F2158" s="4">
        <v>6021</v>
      </c>
      <c r="G2158" s="2" t="s">
        <v>37</v>
      </c>
      <c r="H2158" s="2" t="s">
        <v>34</v>
      </c>
      <c r="I2158" s="2" t="s">
        <v>154</v>
      </c>
      <c r="J2158" s="2" t="s">
        <v>36</v>
      </c>
      <c r="K2158" s="2" t="s">
        <v>37</v>
      </c>
      <c r="L2158" s="2" t="s">
        <v>34</v>
      </c>
      <c r="M2158" s="2"/>
      <c r="N2158" s="2"/>
      <c r="O2158" s="2"/>
      <c r="P2158" s="2" t="s">
        <v>6947</v>
      </c>
      <c r="Q2158" s="6">
        <v>100</v>
      </c>
      <c r="R2158" s="6">
        <v>144.30000000000001</v>
      </c>
      <c r="S2158" s="5">
        <v>733.5</v>
      </c>
      <c r="T2158" s="8">
        <v>1476.3</v>
      </c>
      <c r="U2158" s="5">
        <v>41.6</v>
      </c>
      <c r="V2158" s="6">
        <v>8.7100000000000009</v>
      </c>
      <c r="W2158" s="7">
        <v>105.875</v>
      </c>
      <c r="X2158" s="4">
        <v>106</v>
      </c>
      <c r="Y2158" s="6">
        <v>140.25</v>
      </c>
      <c r="Z2158" s="7">
        <v>139.875</v>
      </c>
      <c r="AA2158" s="6">
        <v>75.739999999999995</v>
      </c>
      <c r="AB2158" s="7">
        <v>10.586</v>
      </c>
      <c r="AC2158" s="2"/>
    </row>
    <row r="2159" spans="1:29" ht="52" x14ac:dyDescent="0.15">
      <c r="A2159" s="3">
        <f>DATE(1995,10,18)</f>
        <v>34990</v>
      </c>
      <c r="B2159" s="3">
        <f>DATE(1996,3,29)</f>
        <v>35153</v>
      </c>
      <c r="C2159" s="2" t="s">
        <v>95</v>
      </c>
      <c r="D2159" s="2" t="s">
        <v>6948</v>
      </c>
      <c r="E2159" s="2" t="s">
        <v>6949</v>
      </c>
      <c r="F2159" s="4">
        <v>8711</v>
      </c>
      <c r="G2159" s="2" t="s">
        <v>223</v>
      </c>
      <c r="H2159" s="2" t="s">
        <v>34</v>
      </c>
      <c r="I2159" s="2" t="s">
        <v>6950</v>
      </c>
      <c r="J2159" s="2" t="s">
        <v>6951</v>
      </c>
      <c r="K2159" s="2" t="s">
        <v>223</v>
      </c>
      <c r="L2159" s="2" t="s">
        <v>34</v>
      </c>
      <c r="M2159" s="7">
        <v>197.584</v>
      </c>
      <c r="N2159" s="5">
        <v>23.5</v>
      </c>
      <c r="O2159" s="7">
        <v>22.875</v>
      </c>
      <c r="P2159" s="2" t="s">
        <v>6952</v>
      </c>
      <c r="Q2159" s="6">
        <v>100</v>
      </c>
      <c r="R2159" s="6">
        <v>10.76</v>
      </c>
      <c r="S2159" s="5">
        <v>1.9</v>
      </c>
      <c r="T2159" s="7">
        <v>5.1929999999999996</v>
      </c>
      <c r="U2159" s="5">
        <v>11.7</v>
      </c>
      <c r="V2159" s="7">
        <v>0.72499999999999998</v>
      </c>
      <c r="W2159" s="7">
        <v>9.125</v>
      </c>
      <c r="X2159" s="7">
        <v>9.125</v>
      </c>
      <c r="Y2159" s="6">
        <v>9.25</v>
      </c>
      <c r="Z2159" s="5">
        <v>10.5</v>
      </c>
      <c r="AA2159" s="6">
        <v>2.66</v>
      </c>
      <c r="AB2159" s="7">
        <v>10.875999999999999</v>
      </c>
      <c r="AC2159" s="6">
        <v>40.770000000000003</v>
      </c>
    </row>
    <row r="2160" spans="1:29" ht="143" x14ac:dyDescent="0.15">
      <c r="A2160" s="3">
        <f>DATE(1995,10,18)</f>
        <v>34990</v>
      </c>
      <c r="B2160" s="3">
        <f>DATE(1997,2,10)</f>
        <v>35471</v>
      </c>
      <c r="C2160" s="2" t="s">
        <v>95</v>
      </c>
      <c r="D2160" s="2" t="s">
        <v>6953</v>
      </c>
      <c r="E2160" s="2" t="s">
        <v>1387</v>
      </c>
      <c r="F2160" s="4">
        <v>4924</v>
      </c>
      <c r="G2160" s="2" t="s">
        <v>439</v>
      </c>
      <c r="H2160" s="2" t="s">
        <v>34</v>
      </c>
      <c r="I2160" s="2" t="s">
        <v>6954</v>
      </c>
      <c r="J2160" s="2" t="s">
        <v>1888</v>
      </c>
      <c r="K2160" s="2" t="s">
        <v>439</v>
      </c>
      <c r="L2160" s="2" t="s">
        <v>34</v>
      </c>
      <c r="M2160" s="12">
        <v>1431.923</v>
      </c>
      <c r="N2160" s="7">
        <v>23.625</v>
      </c>
      <c r="O2160" s="7">
        <v>22.625</v>
      </c>
      <c r="P2160" s="2" t="s">
        <v>6955</v>
      </c>
      <c r="Q2160" s="6">
        <v>100</v>
      </c>
      <c r="R2160" s="6">
        <v>20.43</v>
      </c>
      <c r="S2160" s="5">
        <v>-33.9</v>
      </c>
      <c r="T2160" s="7">
        <v>91.087000000000003</v>
      </c>
      <c r="U2160" s="5">
        <v>8.1999999999999993</v>
      </c>
      <c r="V2160" s="6">
        <v>-1.72</v>
      </c>
      <c r="W2160" s="4">
        <v>17</v>
      </c>
      <c r="X2160" s="4">
        <v>17</v>
      </c>
      <c r="Y2160" s="4">
        <v>17</v>
      </c>
      <c r="Z2160" s="7">
        <v>18.375</v>
      </c>
      <c r="AA2160" s="6">
        <v>23.94</v>
      </c>
      <c r="AB2160" s="7">
        <v>18.757000000000001</v>
      </c>
      <c r="AC2160" s="6">
        <v>5.28</v>
      </c>
    </row>
    <row r="2161" spans="1:29" ht="130" x14ac:dyDescent="0.15">
      <c r="A2161" s="3">
        <f>DATE(1995,10,19)</f>
        <v>34991</v>
      </c>
      <c r="B2161" s="3">
        <f>DATE(1996,2,23)</f>
        <v>35118</v>
      </c>
      <c r="C2161" s="2" t="s">
        <v>95</v>
      </c>
      <c r="D2161" s="2" t="s">
        <v>6956</v>
      </c>
      <c r="E2161" s="2" t="s">
        <v>6957</v>
      </c>
      <c r="F2161" s="4">
        <v>3844</v>
      </c>
      <c r="G2161" s="2" t="s">
        <v>226</v>
      </c>
      <c r="H2161" s="2" t="s">
        <v>34</v>
      </c>
      <c r="I2161" s="2" t="s">
        <v>5669</v>
      </c>
      <c r="J2161" s="2" t="s">
        <v>5670</v>
      </c>
      <c r="K2161" s="2" t="s">
        <v>130</v>
      </c>
      <c r="L2161" s="2" t="s">
        <v>34</v>
      </c>
      <c r="M2161" s="12">
        <v>47594.341</v>
      </c>
      <c r="N2161" s="4">
        <v>79</v>
      </c>
      <c r="O2161" s="6">
        <v>79.75</v>
      </c>
      <c r="P2161" s="2" t="s">
        <v>6958</v>
      </c>
      <c r="Q2161" s="6">
        <v>100</v>
      </c>
      <c r="R2161" s="6">
        <v>109</v>
      </c>
      <c r="S2161" s="5">
        <v>50.2</v>
      </c>
      <c r="T2161" s="7">
        <v>101.319</v>
      </c>
      <c r="U2161" s="5">
        <v>17.2</v>
      </c>
      <c r="V2161" s="6">
        <v>3</v>
      </c>
      <c r="W2161" s="4">
        <v>85</v>
      </c>
      <c r="X2161" s="4">
        <v>86</v>
      </c>
      <c r="Y2161" s="7">
        <v>107.625</v>
      </c>
      <c r="Z2161" s="7">
        <v>109.625</v>
      </c>
      <c r="AA2161" s="6">
        <v>16.39</v>
      </c>
      <c r="AB2161" s="7">
        <v>20.876999999999999</v>
      </c>
      <c r="AC2161" s="5">
        <v>704</v>
      </c>
    </row>
    <row r="2162" spans="1:29" ht="130" x14ac:dyDescent="0.15">
      <c r="A2162" s="3">
        <f>DATE(1995,10,19)</f>
        <v>34991</v>
      </c>
      <c r="B2162" s="3">
        <f>DATE(1996,4,10)</f>
        <v>35165</v>
      </c>
      <c r="C2162" s="2" t="s">
        <v>95</v>
      </c>
      <c r="D2162" s="2" t="s">
        <v>6959</v>
      </c>
      <c r="E2162" s="2" t="s">
        <v>36</v>
      </c>
      <c r="F2162" s="4">
        <v>6022</v>
      </c>
      <c r="G2162" s="2" t="s">
        <v>37</v>
      </c>
      <c r="H2162" s="2" t="s">
        <v>34</v>
      </c>
      <c r="I2162" s="2" t="s">
        <v>6960</v>
      </c>
      <c r="J2162" s="2" t="s">
        <v>36</v>
      </c>
      <c r="K2162" s="2" t="s">
        <v>33</v>
      </c>
      <c r="L2162" s="2" t="s">
        <v>34</v>
      </c>
      <c r="M2162" s="7">
        <v>49.223999999999997</v>
      </c>
      <c r="N2162" s="7">
        <v>15.063000000000001</v>
      </c>
      <c r="O2162" s="6">
        <v>15.75</v>
      </c>
      <c r="P2162" s="2" t="s">
        <v>6961</v>
      </c>
      <c r="Q2162" s="6">
        <v>100</v>
      </c>
      <c r="R2162" s="6">
        <v>26.78</v>
      </c>
      <c r="S2162" s="5">
        <v>0.8</v>
      </c>
      <c r="T2162" s="7">
        <v>1.3180000000000001</v>
      </c>
      <c r="U2162" s="2"/>
      <c r="V2162" s="2"/>
      <c r="W2162" s="7">
        <v>21.312999999999999</v>
      </c>
      <c r="X2162" s="7">
        <v>21.375</v>
      </c>
      <c r="Y2162" s="4">
        <v>22</v>
      </c>
      <c r="Z2162" s="4">
        <v>23</v>
      </c>
      <c r="AA2162" s="6">
        <v>0.82</v>
      </c>
      <c r="AB2162" s="7">
        <v>64.915999999999997</v>
      </c>
      <c r="AC2162" s="2"/>
    </row>
    <row r="2163" spans="1:29" ht="104" x14ac:dyDescent="0.15">
      <c r="A2163" s="3">
        <f>DATE(1995,10,19)</f>
        <v>34991</v>
      </c>
      <c r="B2163" s="3">
        <f>DATE(1996,2,29)</f>
        <v>35124</v>
      </c>
      <c r="C2163" s="2" t="s">
        <v>95</v>
      </c>
      <c r="D2163" s="2" t="s">
        <v>6962</v>
      </c>
      <c r="E2163" s="2" t="s">
        <v>854</v>
      </c>
      <c r="F2163" s="4">
        <v>6311</v>
      </c>
      <c r="G2163" s="2" t="s">
        <v>125</v>
      </c>
      <c r="H2163" s="2" t="s">
        <v>34</v>
      </c>
      <c r="I2163" s="2" t="s">
        <v>514</v>
      </c>
      <c r="J2163" s="2" t="s">
        <v>515</v>
      </c>
      <c r="K2163" s="2" t="s">
        <v>125</v>
      </c>
      <c r="L2163" s="2" t="s">
        <v>34</v>
      </c>
      <c r="M2163" s="12">
        <v>7634.348</v>
      </c>
      <c r="N2163" s="6">
        <v>38.75</v>
      </c>
      <c r="O2163" s="7">
        <v>39.125</v>
      </c>
      <c r="P2163" s="2" t="s">
        <v>6963</v>
      </c>
      <c r="Q2163" s="6">
        <v>100</v>
      </c>
      <c r="R2163" s="6">
        <v>27.5</v>
      </c>
      <c r="S2163" s="5">
        <v>11.1</v>
      </c>
      <c r="T2163" s="2"/>
      <c r="U2163" s="5">
        <v>22.7</v>
      </c>
      <c r="V2163" s="6">
        <v>0.84</v>
      </c>
      <c r="W2163" s="5">
        <v>23.5</v>
      </c>
      <c r="X2163" s="4">
        <v>23</v>
      </c>
      <c r="Y2163" s="6">
        <v>26.25</v>
      </c>
      <c r="Z2163" s="7">
        <v>26.375</v>
      </c>
      <c r="AA2163" s="6">
        <v>5.69</v>
      </c>
      <c r="AB2163" s="7">
        <v>22.792000000000002</v>
      </c>
      <c r="AC2163" s="5">
        <v>45</v>
      </c>
    </row>
    <row r="2164" spans="1:29" ht="143" x14ac:dyDescent="0.15">
      <c r="A2164" s="3">
        <f>DATE(1995,10,19)</f>
        <v>34991</v>
      </c>
      <c r="B2164" s="3">
        <f>DATE(1996,5,20)</f>
        <v>35205</v>
      </c>
      <c r="C2164" s="2" t="s">
        <v>95</v>
      </c>
      <c r="D2164" s="2" t="s">
        <v>6964</v>
      </c>
      <c r="E2164" s="2" t="s">
        <v>6965</v>
      </c>
      <c r="F2164" s="4">
        <v>7812</v>
      </c>
      <c r="G2164" s="2" t="s">
        <v>42</v>
      </c>
      <c r="H2164" s="2" t="s">
        <v>34</v>
      </c>
      <c r="I2164" s="2" t="s">
        <v>4559</v>
      </c>
      <c r="J2164" s="2" t="s">
        <v>4560</v>
      </c>
      <c r="K2164" s="2" t="s">
        <v>73</v>
      </c>
      <c r="L2164" s="2" t="s">
        <v>34</v>
      </c>
      <c r="M2164" s="7">
        <v>197.59399999999999</v>
      </c>
      <c r="N2164" s="6">
        <v>14.25</v>
      </c>
      <c r="O2164" s="6">
        <v>14.75</v>
      </c>
      <c r="P2164" s="2" t="s">
        <v>6966</v>
      </c>
      <c r="Q2164" s="6">
        <v>100</v>
      </c>
      <c r="R2164" s="6">
        <v>10.199999999999999</v>
      </c>
      <c r="S2164" s="5">
        <v>-0.6</v>
      </c>
      <c r="T2164" s="7">
        <v>-0.14799999999999999</v>
      </c>
      <c r="U2164" s="5">
        <v>3.7</v>
      </c>
      <c r="V2164" s="6">
        <v>-0.21</v>
      </c>
      <c r="W2164" s="7">
        <v>6.125</v>
      </c>
      <c r="X2164" s="7">
        <v>6.625</v>
      </c>
      <c r="Y2164" s="7">
        <v>6.375</v>
      </c>
      <c r="Z2164" s="7">
        <v>6.875</v>
      </c>
      <c r="AA2164" s="6">
        <v>3.55</v>
      </c>
      <c r="AB2164" s="2" t="s">
        <v>86</v>
      </c>
      <c r="AC2164" s="6">
        <v>18.41</v>
      </c>
    </row>
    <row r="2165" spans="1:29" ht="52" x14ac:dyDescent="0.15">
      <c r="A2165" s="3">
        <f>DATE(1995,10,20)</f>
        <v>34992</v>
      </c>
      <c r="B2165" s="2"/>
      <c r="C2165" s="2" t="s">
        <v>87</v>
      </c>
      <c r="D2165" s="2" t="s">
        <v>6967</v>
      </c>
      <c r="E2165" s="2" t="s">
        <v>6968</v>
      </c>
      <c r="F2165" s="4">
        <v>6035</v>
      </c>
      <c r="G2165" s="2" t="s">
        <v>33</v>
      </c>
      <c r="H2165" s="2" t="s">
        <v>34</v>
      </c>
      <c r="I2165" s="2" t="s">
        <v>6969</v>
      </c>
      <c r="J2165" s="2" t="s">
        <v>1181</v>
      </c>
      <c r="K2165" s="2" t="s">
        <v>37</v>
      </c>
      <c r="L2165" s="2" t="s">
        <v>34</v>
      </c>
      <c r="M2165" s="2"/>
      <c r="N2165" s="2"/>
      <c r="O2165" s="2"/>
      <c r="P2165" s="2" t="s">
        <v>6970</v>
      </c>
      <c r="Q2165" s="2"/>
      <c r="R2165" s="2"/>
      <c r="S2165" s="2"/>
      <c r="T2165" s="2"/>
      <c r="U2165" s="2"/>
      <c r="V2165" s="2"/>
      <c r="W2165" s="5">
        <v>16.5</v>
      </c>
      <c r="X2165" s="5">
        <v>16.5</v>
      </c>
      <c r="Y2165" s="6">
        <v>15.25</v>
      </c>
      <c r="Z2165" s="4">
        <v>16</v>
      </c>
      <c r="AA2165" s="6">
        <v>1.45</v>
      </c>
      <c r="AB2165" s="2" t="s">
        <v>47</v>
      </c>
      <c r="AC2165" s="2"/>
    </row>
    <row r="2166" spans="1:29" ht="130" x14ac:dyDescent="0.15">
      <c r="A2166" s="3">
        <f>DATE(1995,10,20)</f>
        <v>34992</v>
      </c>
      <c r="B2166" s="3">
        <f>DATE(1996,1,17)</f>
        <v>35081</v>
      </c>
      <c r="C2166" s="2" t="s">
        <v>95</v>
      </c>
      <c r="D2166" s="2" t="s">
        <v>6971</v>
      </c>
      <c r="E2166" s="2" t="s">
        <v>6972</v>
      </c>
      <c r="F2166" s="4">
        <v>3674</v>
      </c>
      <c r="G2166" s="2" t="s">
        <v>137</v>
      </c>
      <c r="H2166" s="2" t="s">
        <v>34</v>
      </c>
      <c r="I2166" s="2" t="s">
        <v>6973</v>
      </c>
      <c r="J2166" s="2" t="s">
        <v>6974</v>
      </c>
      <c r="K2166" s="2" t="s">
        <v>137</v>
      </c>
      <c r="L2166" s="2" t="s">
        <v>34</v>
      </c>
      <c r="M2166" s="12">
        <v>3493.558</v>
      </c>
      <c r="N2166" s="7">
        <v>26.125</v>
      </c>
      <c r="O2166" s="5">
        <v>27.5</v>
      </c>
      <c r="P2166" s="2" t="s">
        <v>6975</v>
      </c>
      <c r="Q2166" s="6">
        <v>100</v>
      </c>
      <c r="R2166" s="6">
        <v>21.5</v>
      </c>
      <c r="S2166" s="5">
        <v>-45.8</v>
      </c>
      <c r="T2166" s="7">
        <v>-42.423000000000002</v>
      </c>
      <c r="U2166" s="5">
        <v>1.4</v>
      </c>
      <c r="V2166" s="6">
        <v>-1.82</v>
      </c>
      <c r="W2166" s="5">
        <v>20.5</v>
      </c>
      <c r="X2166" s="7">
        <v>21.625</v>
      </c>
      <c r="Y2166" s="6">
        <v>21.25</v>
      </c>
      <c r="Z2166" s="6">
        <v>21.75</v>
      </c>
      <c r="AA2166" s="6">
        <v>33.200000000000003</v>
      </c>
      <c r="AB2166" s="2" t="s">
        <v>86</v>
      </c>
      <c r="AC2166" s="6">
        <v>377.85</v>
      </c>
    </row>
    <row r="2167" spans="1:29" ht="91" x14ac:dyDescent="0.15">
      <c r="A2167" s="3">
        <f>DATE(1995,10,20)</f>
        <v>34992</v>
      </c>
      <c r="B2167" s="3">
        <f>DATE(1995,10,20)</f>
        <v>34992</v>
      </c>
      <c r="C2167" s="2" t="s">
        <v>95</v>
      </c>
      <c r="D2167" s="2" t="s">
        <v>6976</v>
      </c>
      <c r="E2167" s="2" t="s">
        <v>389</v>
      </c>
      <c r="F2167" s="4">
        <v>6035</v>
      </c>
      <c r="G2167" s="2" t="s">
        <v>33</v>
      </c>
      <c r="H2167" s="2" t="s">
        <v>34</v>
      </c>
      <c r="I2167" s="2" t="s">
        <v>6977</v>
      </c>
      <c r="J2167" s="2" t="s">
        <v>32</v>
      </c>
      <c r="K2167" s="2" t="s">
        <v>33</v>
      </c>
      <c r="L2167" s="2" t="s">
        <v>34</v>
      </c>
      <c r="M2167" s="2"/>
      <c r="N2167" s="2"/>
      <c r="O2167" s="2"/>
      <c r="P2167" s="2" t="s">
        <v>6978</v>
      </c>
      <c r="Q2167" s="6">
        <v>100</v>
      </c>
      <c r="R2167" s="6">
        <v>22.75</v>
      </c>
      <c r="S2167" s="5">
        <v>2.2000000000000002</v>
      </c>
      <c r="T2167" s="7">
        <v>3.0419999999999998</v>
      </c>
      <c r="U2167" s="5">
        <v>3</v>
      </c>
      <c r="V2167" s="9">
        <v>0.33329999999999999</v>
      </c>
      <c r="W2167" s="7">
        <v>4.8129999999999997</v>
      </c>
      <c r="X2167" s="7">
        <v>4.9379999999999997</v>
      </c>
      <c r="Y2167" s="7">
        <v>4.9379999999999997</v>
      </c>
      <c r="Z2167" s="7">
        <v>4.875</v>
      </c>
      <c r="AA2167" s="6">
        <v>4.22</v>
      </c>
      <c r="AB2167" s="7">
        <v>51.47</v>
      </c>
      <c r="AC2167" s="2"/>
    </row>
    <row r="2168" spans="1:29" ht="78" x14ac:dyDescent="0.15">
      <c r="A2168" s="3">
        <f>DATE(1995,10,23)</f>
        <v>34995</v>
      </c>
      <c r="B2168" s="3">
        <f>DATE(1996,2,21)</f>
        <v>35116</v>
      </c>
      <c r="C2168" s="2" t="s">
        <v>95</v>
      </c>
      <c r="D2168" s="2" t="s">
        <v>6979</v>
      </c>
      <c r="E2168" s="2" t="s">
        <v>6980</v>
      </c>
      <c r="F2168" s="4">
        <v>7331</v>
      </c>
      <c r="G2168" s="2" t="s">
        <v>223</v>
      </c>
      <c r="H2168" s="2" t="s">
        <v>34</v>
      </c>
      <c r="I2168" s="2" t="s">
        <v>6981</v>
      </c>
      <c r="J2168" s="2" t="s">
        <v>6925</v>
      </c>
      <c r="K2168" s="2" t="s">
        <v>45</v>
      </c>
      <c r="L2168" s="2" t="s">
        <v>34</v>
      </c>
      <c r="M2168" s="7">
        <v>597.928</v>
      </c>
      <c r="N2168" s="7">
        <v>29.625</v>
      </c>
      <c r="O2168" s="6">
        <v>29.75</v>
      </c>
      <c r="P2168" s="2" t="s">
        <v>6982</v>
      </c>
      <c r="Q2168" s="6">
        <v>100</v>
      </c>
      <c r="R2168" s="6">
        <v>28</v>
      </c>
      <c r="S2168" s="5">
        <v>6.4</v>
      </c>
      <c r="T2168" s="7">
        <v>19.236999999999998</v>
      </c>
      <c r="U2168" s="5">
        <v>0.4</v>
      </c>
      <c r="V2168" s="7">
        <v>0.95299999999999996</v>
      </c>
      <c r="W2168" s="7">
        <v>20.375</v>
      </c>
      <c r="X2168" s="6">
        <v>23.25</v>
      </c>
      <c r="Y2168" s="7">
        <v>26.125</v>
      </c>
      <c r="Z2168" s="6">
        <v>26.25</v>
      </c>
      <c r="AA2168" s="6">
        <v>6.49</v>
      </c>
      <c r="AB2168" s="7">
        <v>16.082000000000001</v>
      </c>
      <c r="AC2168" s="6">
        <v>4.2699999999999996</v>
      </c>
    </row>
    <row r="2169" spans="1:29" ht="143" x14ac:dyDescent="0.15">
      <c r="A2169" s="3">
        <f>DATE(1995,10,23)</f>
        <v>34995</v>
      </c>
      <c r="B2169" s="3">
        <f>DATE(1996,3,1)</f>
        <v>35125</v>
      </c>
      <c r="C2169" s="2" t="s">
        <v>95</v>
      </c>
      <c r="D2169" s="2" t="s">
        <v>5415</v>
      </c>
      <c r="E2169" s="2" t="s">
        <v>36</v>
      </c>
      <c r="F2169" s="4">
        <v>6021</v>
      </c>
      <c r="G2169" s="2" t="s">
        <v>37</v>
      </c>
      <c r="H2169" s="2" t="s">
        <v>34</v>
      </c>
      <c r="I2169" s="2" t="s">
        <v>6678</v>
      </c>
      <c r="J2169" s="2" t="s">
        <v>159</v>
      </c>
      <c r="K2169" s="2" t="s">
        <v>37</v>
      </c>
      <c r="L2169" s="2" t="s">
        <v>34</v>
      </c>
      <c r="M2169" s="10">
        <v>1791.88</v>
      </c>
      <c r="N2169" s="7">
        <v>40.375</v>
      </c>
      <c r="O2169" s="5">
        <v>40.5</v>
      </c>
      <c r="P2169" s="2" t="s">
        <v>6983</v>
      </c>
      <c r="Q2169" s="6">
        <v>100</v>
      </c>
      <c r="R2169" s="6">
        <v>31.54</v>
      </c>
      <c r="S2169" s="5">
        <v>28.1</v>
      </c>
      <c r="T2169" s="7">
        <v>43.609000000000002</v>
      </c>
      <c r="U2169" s="5">
        <v>13.7</v>
      </c>
      <c r="V2169" s="6">
        <v>1.72</v>
      </c>
      <c r="W2169" s="5">
        <v>27.5</v>
      </c>
      <c r="X2169" s="6">
        <v>28.75</v>
      </c>
      <c r="Y2169" s="4">
        <v>29</v>
      </c>
      <c r="Z2169" s="4">
        <v>29</v>
      </c>
      <c r="AA2169" s="6">
        <v>20.48</v>
      </c>
      <c r="AB2169" s="7">
        <v>18.873000000000001</v>
      </c>
      <c r="AC2169" s="2"/>
    </row>
    <row r="2170" spans="1:29" ht="78" x14ac:dyDescent="0.15">
      <c r="A2170" s="3">
        <f>DATE(1995,10,23)</f>
        <v>34995</v>
      </c>
      <c r="B2170" s="2"/>
      <c r="C2170" s="2" t="s">
        <v>87</v>
      </c>
      <c r="D2170" s="2" t="s">
        <v>6984</v>
      </c>
      <c r="E2170" s="2" t="s">
        <v>6060</v>
      </c>
      <c r="F2170" s="4">
        <v>6512</v>
      </c>
      <c r="G2170" s="2" t="s">
        <v>109</v>
      </c>
      <c r="H2170" s="2" t="s">
        <v>34</v>
      </c>
      <c r="I2170" s="2" t="s">
        <v>6985</v>
      </c>
      <c r="J2170" s="2" t="s">
        <v>6986</v>
      </c>
      <c r="K2170" s="2" t="s">
        <v>109</v>
      </c>
      <c r="L2170" s="2" t="s">
        <v>34</v>
      </c>
      <c r="M2170" s="2"/>
      <c r="N2170" s="2"/>
      <c r="O2170" s="2"/>
      <c r="P2170" s="2" t="s">
        <v>6987</v>
      </c>
      <c r="Q2170" s="2"/>
      <c r="R2170" s="6">
        <v>5</v>
      </c>
      <c r="S2170" s="5">
        <v>1.3</v>
      </c>
      <c r="T2170" s="7">
        <v>5.3360000000000003</v>
      </c>
      <c r="U2170" s="5">
        <v>32.299999999999997</v>
      </c>
      <c r="V2170" s="6">
        <v>-1.28</v>
      </c>
      <c r="W2170" s="6">
        <v>2.75</v>
      </c>
      <c r="X2170" s="7">
        <v>2.375</v>
      </c>
      <c r="Y2170" s="4">
        <v>2</v>
      </c>
      <c r="Z2170" s="4">
        <v>2</v>
      </c>
      <c r="AA2170" s="6">
        <v>1.2</v>
      </c>
      <c r="AB2170" s="7">
        <v>100.875</v>
      </c>
      <c r="AC2170" s="2"/>
    </row>
    <row r="2171" spans="1:29" ht="39" x14ac:dyDescent="0.15">
      <c r="A2171" s="3">
        <f>DATE(1995,10,23)</f>
        <v>34995</v>
      </c>
      <c r="B2171" s="2"/>
      <c r="C2171" s="2" t="s">
        <v>39</v>
      </c>
      <c r="D2171" s="2" t="s">
        <v>3047</v>
      </c>
      <c r="E2171" s="2" t="s">
        <v>3048</v>
      </c>
      <c r="F2171" s="4">
        <v>6021</v>
      </c>
      <c r="G2171" s="2" t="s">
        <v>37</v>
      </c>
      <c r="H2171" s="2" t="s">
        <v>34</v>
      </c>
      <c r="I2171" s="2" t="s">
        <v>1610</v>
      </c>
      <c r="J2171" s="2" t="s">
        <v>36</v>
      </c>
      <c r="K2171" s="2" t="s">
        <v>37</v>
      </c>
      <c r="L2171" s="2" t="s">
        <v>34</v>
      </c>
      <c r="M2171" s="10">
        <v>21989.42</v>
      </c>
      <c r="N2171" s="7">
        <v>64.125</v>
      </c>
      <c r="O2171" s="6">
        <v>62.75</v>
      </c>
      <c r="P2171" s="2" t="s">
        <v>6988</v>
      </c>
      <c r="Q2171" s="2"/>
      <c r="R2171" s="2"/>
      <c r="S2171" s="8">
        <v>1690</v>
      </c>
      <c r="T2171" s="8">
        <v>2820</v>
      </c>
      <c r="U2171" s="5">
        <v>9.9</v>
      </c>
      <c r="V2171" s="6">
        <v>1.53</v>
      </c>
      <c r="W2171" s="6">
        <v>71.25</v>
      </c>
      <c r="X2171" s="4">
        <v>70</v>
      </c>
      <c r="Y2171" s="6">
        <v>70.75</v>
      </c>
      <c r="Z2171" s="7">
        <v>69.375</v>
      </c>
      <c r="AA2171" s="6">
        <v>271.41000000000003</v>
      </c>
      <c r="AB2171" s="2" t="s">
        <v>47</v>
      </c>
      <c r="AC2171" s="2"/>
    </row>
    <row r="2172" spans="1:29" ht="156" x14ac:dyDescent="0.15">
      <c r="A2172" s="3">
        <f>DATE(1995,10,23)</f>
        <v>34995</v>
      </c>
      <c r="B2172" s="3">
        <f>DATE(1996,2,5)</f>
        <v>35100</v>
      </c>
      <c r="C2172" s="2" t="s">
        <v>95</v>
      </c>
      <c r="D2172" s="2" t="s">
        <v>5424</v>
      </c>
      <c r="E2172" s="2" t="s">
        <v>5425</v>
      </c>
      <c r="F2172" s="4">
        <v>5311</v>
      </c>
      <c r="G2172" s="2" t="s">
        <v>756</v>
      </c>
      <c r="H2172" s="2" t="s">
        <v>34</v>
      </c>
      <c r="I2172" s="2" t="s">
        <v>6989</v>
      </c>
      <c r="J2172" s="2" t="s">
        <v>5427</v>
      </c>
      <c r="K2172" s="2" t="s">
        <v>756</v>
      </c>
      <c r="L2172" s="2" t="s">
        <v>34</v>
      </c>
      <c r="M2172" s="7">
        <v>428.48599999999999</v>
      </c>
      <c r="N2172" s="7">
        <v>23.625</v>
      </c>
      <c r="O2172" s="7">
        <v>23.875</v>
      </c>
      <c r="P2172" s="2" t="s">
        <v>6990</v>
      </c>
      <c r="Q2172" s="6">
        <v>100</v>
      </c>
      <c r="R2172" s="6">
        <v>28.18</v>
      </c>
      <c r="S2172" s="5">
        <v>13.5</v>
      </c>
      <c r="T2172" s="7">
        <v>39.610999999999997</v>
      </c>
      <c r="U2172" s="5">
        <v>19.899999999999999</v>
      </c>
      <c r="V2172" s="6">
        <v>1.47</v>
      </c>
      <c r="W2172" s="4">
        <v>15</v>
      </c>
      <c r="X2172" s="6">
        <v>15.75</v>
      </c>
      <c r="Y2172" s="4">
        <v>19</v>
      </c>
      <c r="Z2172" s="5">
        <v>19.5</v>
      </c>
      <c r="AA2172" s="6">
        <v>8.99</v>
      </c>
      <c r="AB2172" s="7">
        <v>12.695</v>
      </c>
      <c r="AC2172" s="6">
        <v>1.1299999999999999</v>
      </c>
    </row>
    <row r="2173" spans="1:29" ht="143" x14ac:dyDescent="0.15">
      <c r="A2173" s="3">
        <f>DATE(1995,10,25)</f>
        <v>34997</v>
      </c>
      <c r="B2173" s="3">
        <f>DATE(1996,4,30)</f>
        <v>35185</v>
      </c>
      <c r="C2173" s="2" t="s">
        <v>95</v>
      </c>
      <c r="D2173" s="2" t="s">
        <v>6991</v>
      </c>
      <c r="E2173" s="2" t="s">
        <v>36</v>
      </c>
      <c r="F2173" s="4">
        <v>6021</v>
      </c>
      <c r="G2173" s="2" t="s">
        <v>37</v>
      </c>
      <c r="H2173" s="2" t="s">
        <v>34</v>
      </c>
      <c r="I2173" s="2" t="s">
        <v>4433</v>
      </c>
      <c r="J2173" s="2" t="s">
        <v>4434</v>
      </c>
      <c r="K2173" s="2" t="s">
        <v>37</v>
      </c>
      <c r="L2173" s="2" t="s">
        <v>34</v>
      </c>
      <c r="M2173" s="7">
        <v>312.98500000000001</v>
      </c>
      <c r="N2173" s="6">
        <v>20.75</v>
      </c>
      <c r="O2173" s="6">
        <v>18.75</v>
      </c>
      <c r="P2173" s="2" t="s">
        <v>6992</v>
      </c>
      <c r="Q2173" s="6">
        <v>100</v>
      </c>
      <c r="R2173" s="6">
        <v>42</v>
      </c>
      <c r="S2173" s="5">
        <v>8.6</v>
      </c>
      <c r="T2173" s="7">
        <v>15.712999999999999</v>
      </c>
      <c r="U2173" s="5">
        <v>18.5</v>
      </c>
      <c r="V2173" s="6">
        <v>2.12</v>
      </c>
      <c r="W2173" s="5">
        <v>33.5</v>
      </c>
      <c r="X2173" s="6">
        <v>35.25</v>
      </c>
      <c r="Y2173" s="6">
        <v>34.25</v>
      </c>
      <c r="Z2173" s="4">
        <v>36</v>
      </c>
      <c r="AA2173" s="6">
        <v>4.0599999999999996</v>
      </c>
      <c r="AB2173" s="7">
        <v>82.027000000000001</v>
      </c>
      <c r="AC2173" s="2"/>
    </row>
    <row r="2174" spans="1:29" ht="104" x14ac:dyDescent="0.15">
      <c r="A2174" s="3">
        <f>DATE(1995,10,25)</f>
        <v>34997</v>
      </c>
      <c r="B2174" s="3">
        <f>DATE(1996,6,27)</f>
        <v>35243</v>
      </c>
      <c r="C2174" s="2" t="s">
        <v>95</v>
      </c>
      <c r="D2174" s="2" t="s">
        <v>6993</v>
      </c>
      <c r="E2174" s="2" t="s">
        <v>6994</v>
      </c>
      <c r="F2174" s="4">
        <v>2337</v>
      </c>
      <c r="G2174" s="2" t="s">
        <v>708</v>
      </c>
      <c r="H2174" s="2" t="s">
        <v>34</v>
      </c>
      <c r="I2174" s="2" t="s">
        <v>6995</v>
      </c>
      <c r="J2174" s="2" t="s">
        <v>6996</v>
      </c>
      <c r="K2174" s="2" t="s">
        <v>112</v>
      </c>
      <c r="L2174" s="2" t="s">
        <v>34</v>
      </c>
      <c r="M2174" s="7">
        <v>19.916</v>
      </c>
      <c r="N2174" s="6">
        <v>5.75</v>
      </c>
      <c r="O2174" s="6">
        <v>5.75</v>
      </c>
      <c r="P2174" s="2" t="s">
        <v>6997</v>
      </c>
      <c r="Q2174" s="6">
        <v>10</v>
      </c>
      <c r="R2174" s="6">
        <v>0.96</v>
      </c>
      <c r="S2174" s="5">
        <v>-13.9</v>
      </c>
      <c r="T2174" s="7">
        <v>4.8739999999999997</v>
      </c>
      <c r="U2174" s="5">
        <v>3.8</v>
      </c>
      <c r="V2174" s="6">
        <v>-3.59</v>
      </c>
      <c r="W2174" s="7">
        <v>1.125</v>
      </c>
      <c r="X2174" s="7">
        <v>1.125</v>
      </c>
      <c r="Y2174" s="7">
        <v>1.125</v>
      </c>
      <c r="Z2174" s="7">
        <v>0.96899999999999997</v>
      </c>
      <c r="AA2174" s="6">
        <v>4.93</v>
      </c>
      <c r="AB2174" s="2" t="s">
        <v>86</v>
      </c>
      <c r="AC2174" s="2"/>
    </row>
    <row r="2175" spans="1:29" ht="143" x14ac:dyDescent="0.15">
      <c r="A2175" s="3">
        <f>DATE(1995,10,26)</f>
        <v>34998</v>
      </c>
      <c r="B2175" s="3">
        <f>DATE(1996,1,17)</f>
        <v>35081</v>
      </c>
      <c r="C2175" s="2" t="s">
        <v>95</v>
      </c>
      <c r="D2175" s="2" t="s">
        <v>6998</v>
      </c>
      <c r="E2175" s="2" t="s">
        <v>6999</v>
      </c>
      <c r="F2175" s="4">
        <v>3572</v>
      </c>
      <c r="G2175" s="2" t="s">
        <v>50</v>
      </c>
      <c r="H2175" s="2" t="s">
        <v>34</v>
      </c>
      <c r="I2175" s="2" t="s">
        <v>7000</v>
      </c>
      <c r="J2175" s="2" t="s">
        <v>7001</v>
      </c>
      <c r="K2175" s="2" t="s">
        <v>137</v>
      </c>
      <c r="L2175" s="2" t="s">
        <v>1502</v>
      </c>
      <c r="M2175" s="2"/>
      <c r="N2175" s="2"/>
      <c r="O2175" s="2"/>
      <c r="P2175" s="2" t="s">
        <v>7002</v>
      </c>
      <c r="Q2175" s="6">
        <v>66.900000000000006</v>
      </c>
      <c r="R2175" s="6">
        <v>6.7</v>
      </c>
      <c r="S2175" s="5">
        <v>-82.2</v>
      </c>
      <c r="T2175" s="7">
        <v>-51.374000000000002</v>
      </c>
      <c r="U2175" s="5">
        <v>0.8</v>
      </c>
      <c r="V2175" s="9">
        <v>-1.6254999999999999</v>
      </c>
      <c r="W2175" s="9">
        <v>4.0625</v>
      </c>
      <c r="X2175" s="9">
        <v>4.6875</v>
      </c>
      <c r="Y2175" s="9">
        <v>4.8125</v>
      </c>
      <c r="Z2175" s="9">
        <v>4.8125</v>
      </c>
      <c r="AA2175" s="6">
        <v>52.97</v>
      </c>
      <c r="AB2175" s="2" t="s">
        <v>86</v>
      </c>
      <c r="AC2175" s="2"/>
    </row>
    <row r="2176" spans="1:29" ht="143" x14ac:dyDescent="0.15">
      <c r="A2176" s="3">
        <f>DATE(1995,10,27)</f>
        <v>34999</v>
      </c>
      <c r="B2176" s="3">
        <f>DATE(1996,3,12)</f>
        <v>35136</v>
      </c>
      <c r="C2176" s="2" t="s">
        <v>95</v>
      </c>
      <c r="D2176" s="2" t="s">
        <v>7003</v>
      </c>
      <c r="E2176" s="2" t="s">
        <v>7004</v>
      </c>
      <c r="F2176" s="4">
        <v>2813</v>
      </c>
      <c r="G2176" s="2" t="s">
        <v>98</v>
      </c>
      <c r="H2176" s="2" t="s">
        <v>34</v>
      </c>
      <c r="I2176" s="2" t="s">
        <v>7005</v>
      </c>
      <c r="J2176" s="2" t="s">
        <v>7006</v>
      </c>
      <c r="K2176" s="2" t="s">
        <v>98</v>
      </c>
      <c r="L2176" s="2" t="s">
        <v>34</v>
      </c>
      <c r="M2176" s="12">
        <v>3680.0509999999999</v>
      </c>
      <c r="N2176" s="7">
        <v>26.875</v>
      </c>
      <c r="O2176" s="7">
        <v>26.375</v>
      </c>
      <c r="P2176" s="2" t="s">
        <v>7007</v>
      </c>
      <c r="Q2176" s="6">
        <v>99.82</v>
      </c>
      <c r="R2176" s="6">
        <v>33</v>
      </c>
      <c r="S2176" s="5">
        <v>51.5</v>
      </c>
      <c r="T2176" s="7">
        <v>267.66300000000001</v>
      </c>
      <c r="U2176" s="5">
        <v>17.8</v>
      </c>
      <c r="V2176" s="6">
        <v>1.2</v>
      </c>
      <c r="W2176" s="7">
        <v>22.125</v>
      </c>
      <c r="X2176" s="5">
        <v>19.5</v>
      </c>
      <c r="Y2176" s="7">
        <v>20.125</v>
      </c>
      <c r="Z2176" s="6">
        <v>30.75</v>
      </c>
      <c r="AA2176" s="6">
        <v>38.299999999999997</v>
      </c>
      <c r="AB2176" s="7">
        <v>12.531000000000001</v>
      </c>
      <c r="AC2176" s="5">
        <v>63</v>
      </c>
    </row>
    <row r="2177" spans="1:29" ht="156" x14ac:dyDescent="0.15">
      <c r="A2177" s="3">
        <f>DATE(1995,10,27)</f>
        <v>34999</v>
      </c>
      <c r="B2177" s="2"/>
      <c r="C2177" s="2" t="s">
        <v>30</v>
      </c>
      <c r="D2177" s="2" t="s">
        <v>6644</v>
      </c>
      <c r="E2177" s="2" t="s">
        <v>92</v>
      </c>
      <c r="F2177" s="4">
        <v>6798</v>
      </c>
      <c r="G2177" s="2" t="s">
        <v>53</v>
      </c>
      <c r="H2177" s="2" t="s">
        <v>34</v>
      </c>
      <c r="I2177" s="2" t="s">
        <v>51</v>
      </c>
      <c r="J2177" s="2" t="s">
        <v>52</v>
      </c>
      <c r="K2177" s="2" t="s">
        <v>53</v>
      </c>
      <c r="L2177" s="2" t="s">
        <v>34</v>
      </c>
      <c r="M2177" s="2"/>
      <c r="N2177" s="2"/>
      <c r="O2177" s="2"/>
      <c r="P2177" s="2" t="s">
        <v>7008</v>
      </c>
      <c r="Q2177" s="2"/>
      <c r="R2177" s="6">
        <v>9</v>
      </c>
      <c r="S2177" s="5">
        <v>25</v>
      </c>
      <c r="T2177" s="2"/>
      <c r="U2177" s="5">
        <v>13.5</v>
      </c>
      <c r="V2177" s="6">
        <v>0.66</v>
      </c>
      <c r="W2177" s="6">
        <v>6.75</v>
      </c>
      <c r="X2177" s="5">
        <v>6.5</v>
      </c>
      <c r="Y2177" s="7">
        <v>6.875</v>
      </c>
      <c r="Z2177" s="7">
        <v>7.625</v>
      </c>
      <c r="AA2177" s="6">
        <v>38.26</v>
      </c>
      <c r="AB2177" s="7">
        <v>40.947000000000003</v>
      </c>
      <c r="AC2177" s="2"/>
    </row>
    <row r="2178" spans="1:29" ht="39" x14ac:dyDescent="0.15">
      <c r="A2178" s="3">
        <f>DATE(1995,10,30)</f>
        <v>35002</v>
      </c>
      <c r="B2178" s="3">
        <f>DATE(1995,11,3)</f>
        <v>35006</v>
      </c>
      <c r="C2178" s="2" t="s">
        <v>95</v>
      </c>
      <c r="D2178" s="2" t="s">
        <v>7009</v>
      </c>
      <c r="E2178" s="2" t="s">
        <v>4841</v>
      </c>
      <c r="F2178" s="4">
        <v>1541</v>
      </c>
      <c r="G2178" s="2" t="s">
        <v>341</v>
      </c>
      <c r="H2178" s="2" t="s">
        <v>34</v>
      </c>
      <c r="I2178" s="2" t="s">
        <v>7010</v>
      </c>
      <c r="J2178" s="2" t="s">
        <v>7011</v>
      </c>
      <c r="K2178" s="2" t="s">
        <v>300</v>
      </c>
      <c r="L2178" s="2" t="s">
        <v>34</v>
      </c>
      <c r="M2178" s="2"/>
      <c r="N2178" s="4">
        <v>42</v>
      </c>
      <c r="O2178" s="7">
        <v>43.375</v>
      </c>
      <c r="P2178" s="2" t="s">
        <v>7012</v>
      </c>
      <c r="Q2178" s="6">
        <v>100</v>
      </c>
      <c r="R2178" s="2"/>
      <c r="S2178" s="2"/>
      <c r="T2178" s="2"/>
      <c r="U2178" s="2"/>
      <c r="V2178" s="2"/>
      <c r="W2178" s="4">
        <v>51</v>
      </c>
      <c r="X2178" s="6">
        <v>49.75</v>
      </c>
      <c r="Y2178" s="6">
        <v>49.75</v>
      </c>
      <c r="Z2178" s="6">
        <v>49.75</v>
      </c>
      <c r="AA2178" s="2"/>
      <c r="AB2178" s="2" t="s">
        <v>47</v>
      </c>
      <c r="AC2178" s="6">
        <v>42.58</v>
      </c>
    </row>
    <row r="2179" spans="1:29" ht="143" x14ac:dyDescent="0.15">
      <c r="A2179" s="3">
        <f>DATE(1995,10,30)</f>
        <v>35002</v>
      </c>
      <c r="B2179" s="3">
        <f>DATE(1995,12,28)</f>
        <v>35061</v>
      </c>
      <c r="C2179" s="2" t="s">
        <v>95</v>
      </c>
      <c r="D2179" s="2" t="s">
        <v>6544</v>
      </c>
      <c r="E2179" s="2" t="s">
        <v>6545</v>
      </c>
      <c r="F2179" s="4">
        <v>7372</v>
      </c>
      <c r="G2179" s="2" t="s">
        <v>551</v>
      </c>
      <c r="H2179" s="2" t="s">
        <v>34</v>
      </c>
      <c r="I2179" s="2" t="s">
        <v>7013</v>
      </c>
      <c r="J2179" s="2" t="s">
        <v>7014</v>
      </c>
      <c r="K2179" s="2" t="s">
        <v>551</v>
      </c>
      <c r="L2179" s="2" t="s">
        <v>34</v>
      </c>
      <c r="M2179" s="7">
        <v>968.08199999999999</v>
      </c>
      <c r="N2179" s="7">
        <v>32.125</v>
      </c>
      <c r="O2179" s="5">
        <v>31.5</v>
      </c>
      <c r="P2179" s="2" t="s">
        <v>7015</v>
      </c>
      <c r="Q2179" s="6">
        <v>100</v>
      </c>
      <c r="R2179" s="6">
        <v>67.5</v>
      </c>
      <c r="S2179" s="5">
        <v>7.3</v>
      </c>
      <c r="T2179" s="7">
        <v>13.728999999999999</v>
      </c>
      <c r="U2179" s="5">
        <v>8.6</v>
      </c>
      <c r="V2179" s="7">
        <v>0.89800000000000002</v>
      </c>
      <c r="W2179" s="5">
        <v>34.5</v>
      </c>
      <c r="X2179" s="5">
        <v>37.5</v>
      </c>
      <c r="Y2179" s="4">
        <v>39</v>
      </c>
      <c r="Z2179" s="5">
        <v>53.5</v>
      </c>
      <c r="AA2179" s="6">
        <v>7.43</v>
      </c>
      <c r="AB2179" s="7">
        <v>55.506999999999998</v>
      </c>
      <c r="AC2179" s="6">
        <v>12.21</v>
      </c>
    </row>
    <row r="2180" spans="1:29" ht="78" x14ac:dyDescent="0.15">
      <c r="A2180" s="3">
        <f>DATE(1995,10,30)</f>
        <v>35002</v>
      </c>
      <c r="B2180" s="3">
        <f>DATE(1996,6,7)</f>
        <v>35223</v>
      </c>
      <c r="C2180" s="2" t="s">
        <v>95</v>
      </c>
      <c r="D2180" s="2" t="s">
        <v>7016</v>
      </c>
      <c r="E2180" s="2" t="s">
        <v>1181</v>
      </c>
      <c r="F2180" s="4">
        <v>6021</v>
      </c>
      <c r="G2180" s="2" t="s">
        <v>37</v>
      </c>
      <c r="H2180" s="2" t="s">
        <v>34</v>
      </c>
      <c r="I2180" s="2" t="s">
        <v>7017</v>
      </c>
      <c r="J2180" s="2" t="s">
        <v>36</v>
      </c>
      <c r="K2180" s="2" t="s">
        <v>33</v>
      </c>
      <c r="L2180" s="2" t="s">
        <v>34</v>
      </c>
      <c r="M2180" s="6">
        <v>343.16</v>
      </c>
      <c r="N2180" s="4">
        <v>21</v>
      </c>
      <c r="O2180" s="5">
        <v>20.5</v>
      </c>
      <c r="P2180" s="2" t="s">
        <v>7018</v>
      </c>
      <c r="Q2180" s="6">
        <v>100</v>
      </c>
      <c r="R2180" s="6">
        <v>19.5</v>
      </c>
      <c r="S2180" s="5">
        <v>2.2000000000000002</v>
      </c>
      <c r="T2180" s="6">
        <v>3.62</v>
      </c>
      <c r="U2180" s="2"/>
      <c r="V2180" s="6">
        <v>0.67</v>
      </c>
      <c r="W2180" s="7">
        <v>18.187999999999999</v>
      </c>
      <c r="X2180" s="6">
        <v>16.75</v>
      </c>
      <c r="Y2180" s="6">
        <v>19.25</v>
      </c>
      <c r="Z2180" s="7">
        <v>18.375</v>
      </c>
      <c r="AA2180" s="6">
        <v>3.35</v>
      </c>
      <c r="AB2180" s="7">
        <v>28.931999999999999</v>
      </c>
      <c r="AC2180" s="2"/>
    </row>
    <row r="2181" spans="1:29" ht="130" x14ac:dyDescent="0.15">
      <c r="A2181" s="3">
        <f>DATE(1995,10,30)</f>
        <v>35002</v>
      </c>
      <c r="B2181" s="3">
        <f>DATE(1996,5,16)</f>
        <v>35201</v>
      </c>
      <c r="C2181" s="2" t="s">
        <v>95</v>
      </c>
      <c r="D2181" s="2" t="s">
        <v>7019</v>
      </c>
      <c r="E2181" s="2" t="s">
        <v>6545</v>
      </c>
      <c r="F2181" s="4">
        <v>7372</v>
      </c>
      <c r="G2181" s="2" t="s">
        <v>551</v>
      </c>
      <c r="H2181" s="2" t="s">
        <v>34</v>
      </c>
      <c r="I2181" s="2" t="s">
        <v>7013</v>
      </c>
      <c r="J2181" s="2" t="s">
        <v>7014</v>
      </c>
      <c r="K2181" s="2" t="s">
        <v>551</v>
      </c>
      <c r="L2181" s="2" t="s">
        <v>34</v>
      </c>
      <c r="M2181" s="12">
        <v>1017.472</v>
      </c>
      <c r="N2181" s="7">
        <v>32.125</v>
      </c>
      <c r="O2181" s="5">
        <v>31.5</v>
      </c>
      <c r="P2181" s="2" t="s">
        <v>7020</v>
      </c>
      <c r="Q2181" s="6">
        <v>100</v>
      </c>
      <c r="R2181" s="6">
        <v>34.29</v>
      </c>
      <c r="S2181" s="5">
        <v>4.0999999999999996</v>
      </c>
      <c r="T2181" s="7">
        <v>6.6159999999999997</v>
      </c>
      <c r="U2181" s="5">
        <v>2.8</v>
      </c>
      <c r="V2181" s="7">
        <v>0.498</v>
      </c>
      <c r="W2181" s="7">
        <v>23.375</v>
      </c>
      <c r="X2181" s="6">
        <v>21.25</v>
      </c>
      <c r="Y2181" s="6">
        <v>31.25</v>
      </c>
      <c r="Z2181" s="4">
        <v>31</v>
      </c>
      <c r="AA2181" s="6">
        <v>8.0399999999999991</v>
      </c>
      <c r="AB2181" s="7">
        <v>54.963000000000001</v>
      </c>
      <c r="AC2181" s="6">
        <v>77.83</v>
      </c>
    </row>
    <row r="2182" spans="1:29" ht="143" x14ac:dyDescent="0.15">
      <c r="A2182" s="3">
        <f>DATE(1995,10,30)</f>
        <v>35002</v>
      </c>
      <c r="B2182" s="3">
        <f>DATE(1996,3,15)</f>
        <v>35139</v>
      </c>
      <c r="C2182" s="2" t="s">
        <v>95</v>
      </c>
      <c r="D2182" s="2" t="s">
        <v>7021</v>
      </c>
      <c r="E2182" s="2" t="s">
        <v>92</v>
      </c>
      <c r="F2182" s="4">
        <v>6798</v>
      </c>
      <c r="G2182" s="2" t="s">
        <v>53</v>
      </c>
      <c r="H2182" s="2" t="s">
        <v>34</v>
      </c>
      <c r="I2182" s="2" t="s">
        <v>7022</v>
      </c>
      <c r="J2182" s="2" t="s">
        <v>92</v>
      </c>
      <c r="K2182" s="2" t="s">
        <v>53</v>
      </c>
      <c r="L2182" s="2" t="s">
        <v>34</v>
      </c>
      <c r="M2182" s="7">
        <v>185.83199999999999</v>
      </c>
      <c r="N2182" s="6">
        <v>14.75</v>
      </c>
      <c r="O2182" s="7">
        <v>14.375</v>
      </c>
      <c r="P2182" s="2" t="s">
        <v>7023</v>
      </c>
      <c r="Q2182" s="6">
        <v>100</v>
      </c>
      <c r="R2182" s="6">
        <v>9.26</v>
      </c>
      <c r="S2182" s="5">
        <v>5.6</v>
      </c>
      <c r="T2182" s="7">
        <v>29.045000000000002</v>
      </c>
      <c r="U2182" s="5">
        <v>11.6</v>
      </c>
      <c r="V2182" s="7">
        <v>0.495</v>
      </c>
      <c r="W2182" s="7">
        <v>10.375</v>
      </c>
      <c r="X2182" s="7">
        <v>10.375</v>
      </c>
      <c r="Y2182" s="6">
        <v>9.75</v>
      </c>
      <c r="Z2182" s="6">
        <v>9.25</v>
      </c>
      <c r="AA2182" s="6">
        <v>10.83</v>
      </c>
      <c r="AB2182" s="7">
        <v>15.097</v>
      </c>
      <c r="AC2182" s="5">
        <v>0.7</v>
      </c>
    </row>
    <row r="2183" spans="1:29" ht="156" x14ac:dyDescent="0.15">
      <c r="A2183" s="3">
        <f>DATE(1995,10,31)</f>
        <v>35003</v>
      </c>
      <c r="B2183" s="3">
        <f>DATE(1996,3,15)</f>
        <v>35139</v>
      </c>
      <c r="C2183" s="2" t="s">
        <v>95</v>
      </c>
      <c r="D2183" s="2" t="s">
        <v>3987</v>
      </c>
      <c r="E2183" s="2" t="s">
        <v>36</v>
      </c>
      <c r="F2183" s="4">
        <v>6036</v>
      </c>
      <c r="G2183" s="2" t="s">
        <v>33</v>
      </c>
      <c r="H2183" s="2" t="s">
        <v>34</v>
      </c>
      <c r="I2183" s="2" t="s">
        <v>2336</v>
      </c>
      <c r="J2183" s="2" t="s">
        <v>2337</v>
      </c>
      <c r="K2183" s="2" t="s">
        <v>37</v>
      </c>
      <c r="L2183" s="2" t="s">
        <v>34</v>
      </c>
      <c r="M2183" s="12">
        <v>2194.0830000000001</v>
      </c>
      <c r="N2183" s="7">
        <v>25.125</v>
      </c>
      <c r="O2183" s="5">
        <v>24.5</v>
      </c>
      <c r="P2183" s="2" t="s">
        <v>7024</v>
      </c>
      <c r="Q2183" s="6">
        <v>100</v>
      </c>
      <c r="R2183" s="6">
        <v>28.71</v>
      </c>
      <c r="S2183" s="5">
        <v>11.7</v>
      </c>
      <c r="T2183" s="7">
        <v>21.282</v>
      </c>
      <c r="U2183" s="5">
        <v>18.8</v>
      </c>
      <c r="V2183" s="6">
        <v>2.37</v>
      </c>
      <c r="W2183" s="4">
        <v>27</v>
      </c>
      <c r="X2183" s="5">
        <v>28.5</v>
      </c>
      <c r="Y2183" s="4">
        <v>29</v>
      </c>
      <c r="Z2183" s="4">
        <v>29</v>
      </c>
      <c r="AA2183" s="6">
        <v>4.75</v>
      </c>
      <c r="AB2183" s="7">
        <v>22.832999999999998</v>
      </c>
      <c r="AC2183" s="2"/>
    </row>
    <row r="2184" spans="1:29" ht="78" x14ac:dyDescent="0.15">
      <c r="A2184" s="3">
        <f>DATE(1995,10,31)</f>
        <v>35003</v>
      </c>
      <c r="B2184" s="3">
        <f>DATE(1996,8,13)</f>
        <v>35290</v>
      </c>
      <c r="C2184" s="2" t="s">
        <v>95</v>
      </c>
      <c r="D2184" s="2" t="s">
        <v>1352</v>
      </c>
      <c r="E2184" s="2" t="s">
        <v>1353</v>
      </c>
      <c r="F2184" s="4">
        <v>3585</v>
      </c>
      <c r="G2184" s="2" t="s">
        <v>300</v>
      </c>
      <c r="H2184" s="2" t="s">
        <v>34</v>
      </c>
      <c r="I2184" s="2" t="s">
        <v>7025</v>
      </c>
      <c r="J2184" s="2" t="s">
        <v>7026</v>
      </c>
      <c r="K2184" s="2" t="s">
        <v>300</v>
      </c>
      <c r="L2184" s="2" t="s">
        <v>34</v>
      </c>
      <c r="M2184" s="7">
        <v>244.136</v>
      </c>
      <c r="N2184" s="7">
        <v>5.875</v>
      </c>
      <c r="O2184" s="7">
        <v>5.875</v>
      </c>
      <c r="P2184" s="2" t="s">
        <v>7027</v>
      </c>
      <c r="Q2184" s="6">
        <v>100</v>
      </c>
      <c r="R2184" s="6">
        <v>6.25</v>
      </c>
      <c r="S2184" s="5">
        <v>-2.5</v>
      </c>
      <c r="T2184" s="7">
        <v>2.3159999999999998</v>
      </c>
      <c r="U2184" s="5">
        <v>11</v>
      </c>
      <c r="V2184" s="7">
        <v>-4.0000000000000001E-3</v>
      </c>
      <c r="W2184" s="6">
        <v>2.25</v>
      </c>
      <c r="X2184" s="7">
        <v>2.125</v>
      </c>
      <c r="Y2184" s="4">
        <v>5</v>
      </c>
      <c r="Z2184" s="7">
        <v>5.125</v>
      </c>
      <c r="AA2184" s="6">
        <v>7.56</v>
      </c>
      <c r="AB2184" s="2" t="s">
        <v>86</v>
      </c>
      <c r="AC2184" s="6">
        <v>57.71</v>
      </c>
    </row>
    <row r="2185" spans="1:29" ht="39" x14ac:dyDescent="0.15">
      <c r="A2185" s="3">
        <f>DATE(1995,10,31)</f>
        <v>35003</v>
      </c>
      <c r="B2185" s="3">
        <f>DATE(1996,2,6)</f>
        <v>35101</v>
      </c>
      <c r="C2185" s="2" t="s">
        <v>95</v>
      </c>
      <c r="D2185" s="2" t="s">
        <v>7028</v>
      </c>
      <c r="E2185" s="2" t="s">
        <v>6479</v>
      </c>
      <c r="F2185" s="4">
        <v>2844</v>
      </c>
      <c r="G2185" s="2" t="s">
        <v>358</v>
      </c>
      <c r="H2185" s="2" t="s">
        <v>34</v>
      </c>
      <c r="I2185" s="2" t="s">
        <v>7029</v>
      </c>
      <c r="J2185" s="2" t="s">
        <v>7030</v>
      </c>
      <c r="K2185" s="2" t="s">
        <v>358</v>
      </c>
      <c r="L2185" s="2" t="s">
        <v>34</v>
      </c>
      <c r="M2185" s="6">
        <v>845.69</v>
      </c>
      <c r="N2185" s="7">
        <v>31.375</v>
      </c>
      <c r="O2185" s="7">
        <v>31.125</v>
      </c>
      <c r="P2185" s="2" t="s">
        <v>7031</v>
      </c>
      <c r="Q2185" s="6">
        <v>100</v>
      </c>
      <c r="R2185" s="6">
        <v>15</v>
      </c>
      <c r="S2185" s="5">
        <v>2.4</v>
      </c>
      <c r="T2185" s="7">
        <v>6.8949999999999996</v>
      </c>
      <c r="U2185" s="5">
        <v>6</v>
      </c>
      <c r="V2185" s="6">
        <v>0.35</v>
      </c>
      <c r="W2185" s="4">
        <v>10</v>
      </c>
      <c r="X2185" s="5">
        <v>12.5</v>
      </c>
      <c r="Y2185" s="7">
        <v>14.375</v>
      </c>
      <c r="Z2185" s="5">
        <v>14.5</v>
      </c>
      <c r="AA2185" s="6">
        <v>7.03</v>
      </c>
      <c r="AB2185" s="7">
        <v>26.751000000000001</v>
      </c>
      <c r="AC2185" s="2"/>
    </row>
    <row r="2186" spans="1:29" ht="65" x14ac:dyDescent="0.15">
      <c r="A2186" s="3">
        <f>DATE(1995,11,1)</f>
        <v>35004</v>
      </c>
      <c r="B2186" s="2"/>
      <c r="C2186" s="2" t="s">
        <v>189</v>
      </c>
      <c r="D2186" s="2" t="s">
        <v>7032</v>
      </c>
      <c r="E2186" s="2" t="s">
        <v>7033</v>
      </c>
      <c r="F2186" s="4">
        <v>3629</v>
      </c>
      <c r="G2186" s="2" t="s">
        <v>137</v>
      </c>
      <c r="H2186" s="2" t="s">
        <v>34</v>
      </c>
      <c r="I2186" s="2" t="s">
        <v>143</v>
      </c>
      <c r="J2186" s="2" t="s">
        <v>144</v>
      </c>
      <c r="K2186" s="2" t="s">
        <v>53</v>
      </c>
      <c r="L2186" s="2" t="s">
        <v>139</v>
      </c>
      <c r="M2186" s="2"/>
      <c r="N2186" s="2"/>
      <c r="O2186" s="2"/>
      <c r="P2186" s="2" t="s">
        <v>7034</v>
      </c>
      <c r="Q2186" s="2"/>
      <c r="R2186" s="2"/>
      <c r="S2186" s="2"/>
      <c r="T2186" s="2"/>
      <c r="U2186" s="2"/>
      <c r="V2186" s="2"/>
      <c r="W2186" s="6">
        <v>4.75</v>
      </c>
      <c r="X2186" s="6">
        <v>4.25</v>
      </c>
      <c r="Y2186" s="7">
        <v>5.875</v>
      </c>
      <c r="Z2186" s="4">
        <v>6</v>
      </c>
      <c r="AA2186" s="6">
        <v>4.57</v>
      </c>
      <c r="AB2186" s="2" t="s">
        <v>47</v>
      </c>
      <c r="AC2186" s="2"/>
    </row>
    <row r="2187" spans="1:29" ht="143" x14ac:dyDescent="0.15">
      <c r="A2187" s="3">
        <f>DATE(1995,11,1)</f>
        <v>35004</v>
      </c>
      <c r="B2187" s="3">
        <f>DATE(1996,4,26)</f>
        <v>35181</v>
      </c>
      <c r="C2187" s="2" t="s">
        <v>95</v>
      </c>
      <c r="D2187" s="2" t="s">
        <v>7035</v>
      </c>
      <c r="E2187" s="2" t="s">
        <v>7036</v>
      </c>
      <c r="F2187" s="4">
        <v>2434</v>
      </c>
      <c r="G2187" s="2" t="s">
        <v>250</v>
      </c>
      <c r="H2187" s="2" t="s">
        <v>34</v>
      </c>
      <c r="I2187" s="2" t="s">
        <v>7037</v>
      </c>
      <c r="J2187" s="2" t="s">
        <v>7038</v>
      </c>
      <c r="K2187" s="2" t="s">
        <v>341</v>
      </c>
      <c r="L2187" s="2" t="s">
        <v>34</v>
      </c>
      <c r="M2187" s="7">
        <v>54.613</v>
      </c>
      <c r="N2187" s="6">
        <v>9.25</v>
      </c>
      <c r="O2187" s="4">
        <v>10</v>
      </c>
      <c r="P2187" s="2" t="s">
        <v>7039</v>
      </c>
      <c r="Q2187" s="6">
        <v>100</v>
      </c>
      <c r="R2187" s="6">
        <v>19</v>
      </c>
      <c r="S2187" s="5">
        <v>0.9</v>
      </c>
      <c r="T2187" s="7">
        <v>1.4430000000000001</v>
      </c>
      <c r="U2187" s="5">
        <v>1.7</v>
      </c>
      <c r="V2187" s="6">
        <v>0.31</v>
      </c>
      <c r="W2187" s="6">
        <v>10.25</v>
      </c>
      <c r="X2187" s="7">
        <v>10.625</v>
      </c>
      <c r="Y2187" s="6">
        <v>10.75</v>
      </c>
      <c r="Z2187" s="7">
        <v>10.625</v>
      </c>
      <c r="AA2187" s="6">
        <v>3.4</v>
      </c>
      <c r="AB2187" s="7">
        <v>90.307000000000002</v>
      </c>
      <c r="AC2187" s="6">
        <v>19.14</v>
      </c>
    </row>
    <row r="2188" spans="1:29" ht="156" x14ac:dyDescent="0.15">
      <c r="A2188" s="3">
        <f>DATE(1995,11,1)</f>
        <v>35004</v>
      </c>
      <c r="B2188" s="3">
        <f>DATE(1996,3,13)</f>
        <v>35137</v>
      </c>
      <c r="C2188" s="2" t="s">
        <v>95</v>
      </c>
      <c r="D2188" s="2" t="s">
        <v>7040</v>
      </c>
      <c r="E2188" s="2" t="s">
        <v>7041</v>
      </c>
      <c r="F2188" s="4">
        <v>3826</v>
      </c>
      <c r="G2188" s="2" t="s">
        <v>226</v>
      </c>
      <c r="H2188" s="2" t="s">
        <v>34</v>
      </c>
      <c r="I2188" s="2" t="s">
        <v>7042</v>
      </c>
      <c r="J2188" s="2" t="s">
        <v>7043</v>
      </c>
      <c r="K2188" s="2" t="s">
        <v>226</v>
      </c>
      <c r="L2188" s="2" t="s">
        <v>34</v>
      </c>
      <c r="M2188" s="7">
        <v>117.974</v>
      </c>
      <c r="N2188" s="7">
        <v>10.625</v>
      </c>
      <c r="O2188" s="7">
        <v>9.875</v>
      </c>
      <c r="P2188" s="2" t="s">
        <v>7044</v>
      </c>
      <c r="Q2188" s="6">
        <v>100</v>
      </c>
      <c r="R2188" s="6">
        <v>10.63</v>
      </c>
      <c r="S2188" s="2"/>
      <c r="T2188" s="2"/>
      <c r="U2188" s="5">
        <v>9.6</v>
      </c>
      <c r="V2188" s="2"/>
      <c r="W2188" s="6">
        <v>8.75</v>
      </c>
      <c r="X2188" s="5">
        <v>8.5</v>
      </c>
      <c r="Y2188" s="5">
        <v>8.5</v>
      </c>
      <c r="Z2188" s="6">
        <v>9.75</v>
      </c>
      <c r="AA2188" s="6">
        <v>2.65</v>
      </c>
      <c r="AB2188" s="2" t="s">
        <v>47</v>
      </c>
      <c r="AC2188" s="2"/>
    </row>
    <row r="2189" spans="1:29" ht="65" x14ac:dyDescent="0.15">
      <c r="A2189" s="3">
        <f>DATE(1995,11,2)</f>
        <v>35005</v>
      </c>
      <c r="B2189" s="2"/>
      <c r="C2189" s="2" t="s">
        <v>30</v>
      </c>
      <c r="D2189" s="2" t="s">
        <v>3409</v>
      </c>
      <c r="E2189" s="2" t="s">
        <v>540</v>
      </c>
      <c r="F2189" s="4">
        <v>2836</v>
      </c>
      <c r="G2189" s="2" t="s">
        <v>130</v>
      </c>
      <c r="H2189" s="2" t="s">
        <v>34</v>
      </c>
      <c r="I2189" s="2" t="s">
        <v>2318</v>
      </c>
      <c r="J2189" s="2" t="s">
        <v>2319</v>
      </c>
      <c r="K2189" s="2" t="s">
        <v>130</v>
      </c>
      <c r="L2189" s="2" t="s">
        <v>34</v>
      </c>
      <c r="M2189" s="12">
        <v>27231.371999999999</v>
      </c>
      <c r="N2189" s="6">
        <v>88.75</v>
      </c>
      <c r="O2189" s="7">
        <v>87.625</v>
      </c>
      <c r="P2189" s="2" t="s">
        <v>7045</v>
      </c>
      <c r="Q2189" s="2"/>
      <c r="R2189" s="6">
        <v>14.5</v>
      </c>
      <c r="S2189" s="5">
        <v>-33.1</v>
      </c>
      <c r="T2189" s="7">
        <v>-14.571</v>
      </c>
      <c r="U2189" s="5">
        <v>0.3</v>
      </c>
      <c r="V2189" s="9">
        <v>-7.0800000000000002E-2</v>
      </c>
      <c r="W2189" s="5">
        <v>13.5</v>
      </c>
      <c r="X2189" s="4">
        <v>12</v>
      </c>
      <c r="Y2189" s="7">
        <v>15.688000000000001</v>
      </c>
      <c r="Z2189" s="6">
        <v>16.25</v>
      </c>
      <c r="AA2189" s="6">
        <v>39.6</v>
      </c>
      <c r="AB2189" s="2" t="s">
        <v>86</v>
      </c>
      <c r="AC2189" s="10">
        <v>1944.17</v>
      </c>
    </row>
    <row r="2190" spans="1:29" ht="78" x14ac:dyDescent="0.15">
      <c r="A2190" s="3">
        <f>DATE(1995,11,2)</f>
        <v>35005</v>
      </c>
      <c r="B2190" s="3">
        <f>DATE(1996,6,20)</f>
        <v>35236</v>
      </c>
      <c r="C2190" s="2" t="s">
        <v>95</v>
      </c>
      <c r="D2190" s="2" t="s">
        <v>7046</v>
      </c>
      <c r="E2190" s="2" t="s">
        <v>7047</v>
      </c>
      <c r="F2190" s="4">
        <v>5211</v>
      </c>
      <c r="G2190" s="2" t="s">
        <v>73</v>
      </c>
      <c r="H2190" s="2" t="s">
        <v>34</v>
      </c>
      <c r="I2190" s="2" t="s">
        <v>7048</v>
      </c>
      <c r="J2190" s="2" t="s">
        <v>7049</v>
      </c>
      <c r="K2190" s="2" t="s">
        <v>125</v>
      </c>
      <c r="L2190" s="2" t="s">
        <v>34</v>
      </c>
      <c r="M2190" s="7">
        <v>28.696999999999999</v>
      </c>
      <c r="N2190" s="7">
        <v>4.8129999999999997</v>
      </c>
      <c r="O2190" s="7">
        <v>4.625</v>
      </c>
      <c r="P2190" s="2" t="s">
        <v>7050</v>
      </c>
      <c r="Q2190" s="6">
        <v>24.39</v>
      </c>
      <c r="R2190" s="6">
        <v>5</v>
      </c>
      <c r="S2190" s="5">
        <v>28.1</v>
      </c>
      <c r="T2190" s="7">
        <v>38.569000000000003</v>
      </c>
      <c r="U2190" s="5">
        <v>4.9000000000000004</v>
      </c>
      <c r="V2190" s="6">
        <v>4.59</v>
      </c>
      <c r="W2190" s="6">
        <v>8.25</v>
      </c>
      <c r="X2190" s="7">
        <v>7.875</v>
      </c>
      <c r="Y2190" s="6">
        <v>6.75</v>
      </c>
      <c r="Z2190" s="5">
        <v>7.5</v>
      </c>
      <c r="AA2190" s="6">
        <v>8.1999999999999993</v>
      </c>
      <c r="AB2190" s="7">
        <v>7.4530000000000003</v>
      </c>
      <c r="AC2190" s="6">
        <v>0.19</v>
      </c>
    </row>
    <row r="2191" spans="1:29" ht="117" x14ac:dyDescent="0.15">
      <c r="A2191" s="3">
        <f>DATE(1995,11,3)</f>
        <v>35006</v>
      </c>
      <c r="B2191" s="3">
        <f>DATE(1996,6,26)</f>
        <v>35242</v>
      </c>
      <c r="C2191" s="2" t="s">
        <v>95</v>
      </c>
      <c r="D2191" s="2" t="s">
        <v>7051</v>
      </c>
      <c r="E2191" s="2" t="s">
        <v>2898</v>
      </c>
      <c r="F2191" s="4">
        <v>6021</v>
      </c>
      <c r="G2191" s="2" t="s">
        <v>37</v>
      </c>
      <c r="H2191" s="2" t="s">
        <v>34</v>
      </c>
      <c r="I2191" s="2" t="s">
        <v>7052</v>
      </c>
      <c r="J2191" s="2" t="s">
        <v>32</v>
      </c>
      <c r="K2191" s="2" t="s">
        <v>33</v>
      </c>
      <c r="L2191" s="2" t="s">
        <v>34</v>
      </c>
      <c r="M2191" s="2"/>
      <c r="N2191" s="2"/>
      <c r="O2191" s="2"/>
      <c r="P2191" s="2" t="s">
        <v>7053</v>
      </c>
      <c r="Q2191" s="6">
        <v>100</v>
      </c>
      <c r="R2191" s="6">
        <v>21.25</v>
      </c>
      <c r="S2191" s="5">
        <v>3.6</v>
      </c>
      <c r="T2191" s="7">
        <v>8.1929999999999996</v>
      </c>
      <c r="U2191" s="5">
        <v>16.399999999999999</v>
      </c>
      <c r="V2191" s="6">
        <v>0.82</v>
      </c>
      <c r="W2191" s="6">
        <v>18.75</v>
      </c>
      <c r="X2191" s="4">
        <v>19</v>
      </c>
      <c r="Y2191" s="7">
        <v>19.875</v>
      </c>
      <c r="Z2191" s="6">
        <v>19.75</v>
      </c>
      <c r="AA2191" s="6">
        <v>4.7300000000000004</v>
      </c>
      <c r="AB2191" s="7">
        <v>68.028999999999996</v>
      </c>
      <c r="AC2191" s="2"/>
    </row>
    <row r="2192" spans="1:29" ht="39" x14ac:dyDescent="0.15">
      <c r="A2192" s="3">
        <f>DATE(1995,11,3)</f>
        <v>35006</v>
      </c>
      <c r="B2192" s="2"/>
      <c r="C2192" s="2" t="s">
        <v>30</v>
      </c>
      <c r="D2192" s="2" t="s">
        <v>7054</v>
      </c>
      <c r="E2192" s="2" t="s">
        <v>203</v>
      </c>
      <c r="F2192" s="4">
        <v>6036</v>
      </c>
      <c r="G2192" s="2" t="s">
        <v>33</v>
      </c>
      <c r="H2192" s="2" t="s">
        <v>34</v>
      </c>
      <c r="I2192" s="2" t="s">
        <v>4381</v>
      </c>
      <c r="J2192" s="2" t="s">
        <v>263</v>
      </c>
      <c r="K2192" s="2" t="s">
        <v>37</v>
      </c>
      <c r="L2192" s="2" t="s">
        <v>34</v>
      </c>
      <c r="M2192" s="7">
        <v>197.52600000000001</v>
      </c>
      <c r="N2192" s="4">
        <v>20</v>
      </c>
      <c r="O2192" s="5">
        <v>19.5</v>
      </c>
      <c r="P2192" s="2" t="s">
        <v>7055</v>
      </c>
      <c r="Q2192" s="2"/>
      <c r="R2192" s="6">
        <v>35</v>
      </c>
      <c r="S2192" s="5">
        <v>1</v>
      </c>
      <c r="T2192" s="7">
        <v>2.105</v>
      </c>
      <c r="U2192" s="5">
        <v>25.6</v>
      </c>
      <c r="V2192" s="6">
        <v>0.6</v>
      </c>
      <c r="W2192" s="6">
        <v>19.25</v>
      </c>
      <c r="X2192" s="4">
        <v>18</v>
      </c>
      <c r="Y2192" s="6">
        <v>27.25</v>
      </c>
      <c r="Z2192" s="4">
        <v>23</v>
      </c>
      <c r="AA2192" s="6">
        <v>1.62</v>
      </c>
      <c r="AB2192" s="7">
        <v>257.041</v>
      </c>
      <c r="AC2192" s="2"/>
    </row>
    <row r="2193" spans="1:29" ht="65" x14ac:dyDescent="0.15">
      <c r="A2193" s="3">
        <f>DATE(1995,11,3)</f>
        <v>35006</v>
      </c>
      <c r="B2193" s="2"/>
      <c r="C2193" s="2" t="s">
        <v>30</v>
      </c>
      <c r="D2193" s="2" t="s">
        <v>7056</v>
      </c>
      <c r="E2193" s="2" t="s">
        <v>263</v>
      </c>
      <c r="F2193" s="4">
        <v>6035</v>
      </c>
      <c r="G2193" s="2" t="s">
        <v>33</v>
      </c>
      <c r="H2193" s="2" t="s">
        <v>34</v>
      </c>
      <c r="I2193" s="2" t="s">
        <v>7057</v>
      </c>
      <c r="J2193" s="2" t="s">
        <v>1181</v>
      </c>
      <c r="K2193" s="2" t="s">
        <v>37</v>
      </c>
      <c r="L2193" s="2" t="s">
        <v>34</v>
      </c>
      <c r="M2193" s="2"/>
      <c r="N2193" s="2"/>
      <c r="O2193" s="2"/>
      <c r="P2193" s="2" t="s">
        <v>7058</v>
      </c>
      <c r="Q2193" s="2"/>
      <c r="R2193" s="6">
        <v>16.75</v>
      </c>
      <c r="S2193" s="5">
        <v>0.7</v>
      </c>
      <c r="T2193" s="7">
        <v>1.3220000000000001</v>
      </c>
      <c r="U2193" s="5">
        <v>13.5</v>
      </c>
      <c r="V2193" s="6">
        <v>1.01</v>
      </c>
      <c r="W2193" s="6">
        <v>14.25</v>
      </c>
      <c r="X2193" s="6">
        <v>15.25</v>
      </c>
      <c r="Y2193" s="6">
        <v>15.25</v>
      </c>
      <c r="Z2193" s="6">
        <v>15.75</v>
      </c>
      <c r="AA2193" s="6">
        <v>1.41</v>
      </c>
      <c r="AB2193" s="7">
        <v>105.85</v>
      </c>
      <c r="AC2193" s="2"/>
    </row>
    <row r="2194" spans="1:29" ht="104" x14ac:dyDescent="0.15">
      <c r="A2194" s="3">
        <f t="shared" ref="A2194:A2203" si="12">DATE(1995,11,6)</f>
        <v>35009</v>
      </c>
      <c r="B2194" s="3">
        <f>DATE(1996,1,10)</f>
        <v>35074</v>
      </c>
      <c r="C2194" s="2" t="s">
        <v>95</v>
      </c>
      <c r="D2194" s="2" t="s">
        <v>7059</v>
      </c>
      <c r="E2194" s="2" t="s">
        <v>7060</v>
      </c>
      <c r="F2194" s="4">
        <v>3651</v>
      </c>
      <c r="G2194" s="2" t="s">
        <v>137</v>
      </c>
      <c r="H2194" s="2" t="s">
        <v>34</v>
      </c>
      <c r="I2194" s="2" t="s">
        <v>7061</v>
      </c>
      <c r="J2194" s="2" t="s">
        <v>7062</v>
      </c>
      <c r="K2194" s="2" t="s">
        <v>226</v>
      </c>
      <c r="L2194" s="2" t="s">
        <v>34</v>
      </c>
      <c r="M2194" s="7">
        <v>685.70100000000002</v>
      </c>
      <c r="N2194" s="6">
        <v>18.75</v>
      </c>
      <c r="O2194" s="6">
        <v>18.25</v>
      </c>
      <c r="P2194" s="2" t="s">
        <v>7063</v>
      </c>
      <c r="Q2194" s="6">
        <v>100</v>
      </c>
      <c r="R2194" s="6">
        <v>12</v>
      </c>
      <c r="S2194" s="5">
        <v>1.4</v>
      </c>
      <c r="T2194" s="7">
        <v>8.6349999999999998</v>
      </c>
      <c r="U2194" s="5">
        <v>5</v>
      </c>
      <c r="V2194" s="7">
        <v>0.127</v>
      </c>
      <c r="W2194" s="6">
        <v>8.75</v>
      </c>
      <c r="X2194" s="6">
        <v>9.25</v>
      </c>
      <c r="Y2194" s="7">
        <v>11.625</v>
      </c>
      <c r="Z2194" s="7">
        <v>11.625</v>
      </c>
      <c r="AA2194" s="6">
        <v>7</v>
      </c>
      <c r="AB2194" s="7">
        <v>40.786999999999999</v>
      </c>
      <c r="AC2194" s="6">
        <v>3.33</v>
      </c>
    </row>
    <row r="2195" spans="1:29" ht="117" x14ac:dyDescent="0.15">
      <c r="A2195" s="3">
        <f t="shared" si="12"/>
        <v>35009</v>
      </c>
      <c r="B2195" s="3">
        <f>DATE(1996,3,12)</f>
        <v>35136</v>
      </c>
      <c r="C2195" s="2" t="s">
        <v>95</v>
      </c>
      <c r="D2195" s="2" t="s">
        <v>7064</v>
      </c>
      <c r="E2195" s="2" t="s">
        <v>7065</v>
      </c>
      <c r="F2195" s="4">
        <v>2631</v>
      </c>
      <c r="G2195" s="2" t="s">
        <v>282</v>
      </c>
      <c r="H2195" s="2" t="s">
        <v>34</v>
      </c>
      <c r="I2195" s="2" t="s">
        <v>1981</v>
      </c>
      <c r="J2195" s="2" t="s">
        <v>1982</v>
      </c>
      <c r="K2195" s="2" t="s">
        <v>282</v>
      </c>
      <c r="L2195" s="2" t="s">
        <v>34</v>
      </c>
      <c r="M2195" s="12">
        <v>10478.694</v>
      </c>
      <c r="N2195" s="7">
        <v>36.125</v>
      </c>
      <c r="O2195" s="7">
        <v>35.625</v>
      </c>
      <c r="P2195" s="2" t="s">
        <v>7066</v>
      </c>
      <c r="Q2195" s="6">
        <v>100</v>
      </c>
      <c r="R2195" s="6">
        <v>55</v>
      </c>
      <c r="S2195" s="5">
        <v>72</v>
      </c>
      <c r="T2195" s="7">
        <v>352.00799999999998</v>
      </c>
      <c r="U2195" s="5">
        <v>19.100000000000001</v>
      </c>
      <c r="V2195" s="6">
        <v>1.55</v>
      </c>
      <c r="W2195" s="7">
        <v>39.875</v>
      </c>
      <c r="X2195" s="5">
        <v>45.5</v>
      </c>
      <c r="Y2195" s="4">
        <v>52</v>
      </c>
      <c r="Z2195" s="7">
        <v>51.125</v>
      </c>
      <c r="AA2195" s="6">
        <v>47.18</v>
      </c>
      <c r="AB2195" s="7">
        <v>18.474</v>
      </c>
      <c r="AC2195" s="5">
        <v>372</v>
      </c>
    </row>
    <row r="2196" spans="1:29" ht="143" x14ac:dyDescent="0.15">
      <c r="A2196" s="3">
        <f t="shared" si="12"/>
        <v>35009</v>
      </c>
      <c r="B2196" s="2"/>
      <c r="C2196" s="2" t="s">
        <v>30</v>
      </c>
      <c r="D2196" s="2" t="s">
        <v>153</v>
      </c>
      <c r="E2196" s="2" t="s">
        <v>36</v>
      </c>
      <c r="F2196" s="4">
        <v>6021</v>
      </c>
      <c r="G2196" s="2" t="s">
        <v>37</v>
      </c>
      <c r="H2196" s="2" t="s">
        <v>34</v>
      </c>
      <c r="I2196" s="2" t="s">
        <v>2830</v>
      </c>
      <c r="J2196" s="2" t="s">
        <v>36</v>
      </c>
      <c r="K2196" s="2" t="s">
        <v>37</v>
      </c>
      <c r="L2196" s="2" t="s">
        <v>34</v>
      </c>
      <c r="M2196" s="12">
        <v>7731.0919999999996</v>
      </c>
      <c r="N2196" s="7">
        <v>49.875</v>
      </c>
      <c r="O2196" s="7">
        <v>50.625</v>
      </c>
      <c r="P2196" s="2" t="s">
        <v>7067</v>
      </c>
      <c r="Q2196" s="2"/>
      <c r="R2196" s="6">
        <v>132.28</v>
      </c>
      <c r="S2196" s="5">
        <v>733.5</v>
      </c>
      <c r="T2196" s="8">
        <v>1476.3</v>
      </c>
      <c r="U2196" s="5">
        <v>41.6</v>
      </c>
      <c r="V2196" s="6">
        <v>8.7100000000000009</v>
      </c>
      <c r="W2196" s="7">
        <v>105.875</v>
      </c>
      <c r="X2196" s="4">
        <v>106</v>
      </c>
      <c r="Y2196" s="6">
        <v>140.25</v>
      </c>
      <c r="Z2196" s="7">
        <v>139.875</v>
      </c>
      <c r="AA2196" s="6">
        <v>75.739999999999995</v>
      </c>
      <c r="AB2196" s="7">
        <v>10.164</v>
      </c>
      <c r="AC2196" s="2"/>
    </row>
    <row r="2197" spans="1:29" ht="130" x14ac:dyDescent="0.15">
      <c r="A2197" s="3">
        <f t="shared" si="12"/>
        <v>35009</v>
      </c>
      <c r="B2197" s="2"/>
      <c r="C2197" s="2" t="s">
        <v>30</v>
      </c>
      <c r="D2197" s="2" t="s">
        <v>7068</v>
      </c>
      <c r="E2197" s="2" t="s">
        <v>7069</v>
      </c>
      <c r="F2197" s="4">
        <v>5045</v>
      </c>
      <c r="G2197" s="2" t="s">
        <v>76</v>
      </c>
      <c r="H2197" s="2" t="s">
        <v>34</v>
      </c>
      <c r="I2197" s="2" t="s">
        <v>7070</v>
      </c>
      <c r="J2197" s="2" t="s">
        <v>7071</v>
      </c>
      <c r="K2197" s="2" t="s">
        <v>50</v>
      </c>
      <c r="L2197" s="2" t="s">
        <v>34</v>
      </c>
      <c r="M2197" s="7">
        <v>76.659000000000006</v>
      </c>
      <c r="N2197" s="5">
        <v>1.5</v>
      </c>
      <c r="O2197" s="7">
        <v>1.4059999999999999</v>
      </c>
      <c r="P2197" s="2" t="s">
        <v>7072</v>
      </c>
      <c r="Q2197" s="2"/>
      <c r="R2197" s="6">
        <v>14.63</v>
      </c>
      <c r="S2197" s="5">
        <v>-11.1</v>
      </c>
      <c r="T2197" s="7">
        <v>-6.7889999999999997</v>
      </c>
      <c r="U2197" s="5">
        <v>5.4</v>
      </c>
      <c r="V2197" s="9">
        <v>-1.8767</v>
      </c>
      <c r="W2197" s="7">
        <v>14.375</v>
      </c>
      <c r="X2197" s="6">
        <v>12.75</v>
      </c>
      <c r="Y2197" s="7">
        <v>13.125</v>
      </c>
      <c r="Z2197" s="6">
        <v>10.75</v>
      </c>
      <c r="AA2197" s="6">
        <v>1.97</v>
      </c>
      <c r="AB2197" s="2" t="s">
        <v>86</v>
      </c>
      <c r="AC2197" s="6">
        <v>5.73</v>
      </c>
    </row>
    <row r="2198" spans="1:29" ht="52" x14ac:dyDescent="0.15">
      <c r="A2198" s="3">
        <f t="shared" si="12"/>
        <v>35009</v>
      </c>
      <c r="B2198" s="3">
        <f>DATE(1996,2,1)</f>
        <v>35096</v>
      </c>
      <c r="C2198" s="2" t="s">
        <v>95</v>
      </c>
      <c r="D2198" s="2" t="s">
        <v>7073</v>
      </c>
      <c r="E2198" s="2" t="s">
        <v>58</v>
      </c>
      <c r="F2198" s="4">
        <v>4512</v>
      </c>
      <c r="G2198" s="2" t="s">
        <v>59</v>
      </c>
      <c r="H2198" s="2" t="s">
        <v>34</v>
      </c>
      <c r="I2198" s="2" t="s">
        <v>7074</v>
      </c>
      <c r="J2198" s="2" t="s">
        <v>80</v>
      </c>
      <c r="K2198" s="2" t="s">
        <v>53</v>
      </c>
      <c r="L2198" s="2" t="s">
        <v>34</v>
      </c>
      <c r="M2198" s="2"/>
      <c r="N2198" s="2"/>
      <c r="O2198" s="2"/>
      <c r="P2198" s="2" t="s">
        <v>7075</v>
      </c>
      <c r="Q2198" s="6">
        <v>61</v>
      </c>
      <c r="R2198" s="2"/>
      <c r="S2198" s="5">
        <v>169.6</v>
      </c>
      <c r="T2198" s="7">
        <v>-0.20799999999999999</v>
      </c>
      <c r="U2198" s="5">
        <v>3.8</v>
      </c>
      <c r="V2198" s="2"/>
      <c r="W2198" s="7">
        <v>2.8130000000000002</v>
      </c>
      <c r="X2198" s="7">
        <v>3.125</v>
      </c>
      <c r="Y2198" s="7">
        <v>3.375</v>
      </c>
      <c r="Z2198" s="6">
        <v>2.75</v>
      </c>
      <c r="AA2198" s="6">
        <v>29.81</v>
      </c>
      <c r="AB2198" s="2" t="s">
        <v>86</v>
      </c>
      <c r="AC2198" s="2"/>
    </row>
    <row r="2199" spans="1:29" ht="78" x14ac:dyDescent="0.15">
      <c r="A2199" s="3">
        <f t="shared" si="12"/>
        <v>35009</v>
      </c>
      <c r="B2199" s="2"/>
      <c r="C2199" s="2" t="s">
        <v>39</v>
      </c>
      <c r="D2199" s="2" t="s">
        <v>7076</v>
      </c>
      <c r="E2199" s="2" t="s">
        <v>7077</v>
      </c>
      <c r="F2199" s="4">
        <v>3721</v>
      </c>
      <c r="G2199" s="2" t="s">
        <v>219</v>
      </c>
      <c r="H2199" s="2" t="s">
        <v>34</v>
      </c>
      <c r="I2199" s="2" t="s">
        <v>7078</v>
      </c>
      <c r="J2199" s="2" t="s">
        <v>7079</v>
      </c>
      <c r="K2199" s="2" t="s">
        <v>219</v>
      </c>
      <c r="L2199" s="2" t="s">
        <v>34</v>
      </c>
      <c r="M2199" s="10">
        <v>21916.39</v>
      </c>
      <c r="N2199" s="6">
        <v>69.75</v>
      </c>
      <c r="O2199" s="6">
        <v>69.75</v>
      </c>
      <c r="P2199" s="2" t="s">
        <v>7080</v>
      </c>
      <c r="Q2199" s="2"/>
      <c r="R2199" s="2"/>
      <c r="S2199" s="5">
        <v>598</v>
      </c>
      <c r="T2199" s="8">
        <v>1448</v>
      </c>
      <c r="U2199" s="5">
        <v>16.600000000000001</v>
      </c>
      <c r="V2199" s="9">
        <v>0.8417</v>
      </c>
      <c r="W2199" s="5">
        <v>81.5</v>
      </c>
      <c r="X2199" s="6">
        <v>84.75</v>
      </c>
      <c r="Y2199" s="7">
        <v>86.125</v>
      </c>
      <c r="Z2199" s="7">
        <v>85.375</v>
      </c>
      <c r="AA2199" s="6">
        <v>112.98</v>
      </c>
      <c r="AB2199" s="2" t="s">
        <v>47</v>
      </c>
      <c r="AC2199" s="8">
        <v>2643</v>
      </c>
    </row>
    <row r="2200" spans="1:29" ht="91" x14ac:dyDescent="0.15">
      <c r="A2200" s="3">
        <f t="shared" si="12"/>
        <v>35009</v>
      </c>
      <c r="B2200" s="2"/>
      <c r="C2200" s="2" t="s">
        <v>30</v>
      </c>
      <c r="D2200" s="2" t="s">
        <v>7081</v>
      </c>
      <c r="E2200" s="2" t="s">
        <v>7082</v>
      </c>
      <c r="F2200" s="4">
        <v>5812</v>
      </c>
      <c r="G2200" s="2" t="s">
        <v>230</v>
      </c>
      <c r="H2200" s="2" t="s">
        <v>34</v>
      </c>
      <c r="I2200" s="2" t="s">
        <v>51</v>
      </c>
      <c r="J2200" s="2" t="s">
        <v>52</v>
      </c>
      <c r="K2200" s="2" t="s">
        <v>53</v>
      </c>
      <c r="L2200" s="2" t="s">
        <v>34</v>
      </c>
      <c r="M2200" s="2"/>
      <c r="N2200" s="2"/>
      <c r="O2200" s="2"/>
      <c r="P2200" s="2" t="s">
        <v>7083</v>
      </c>
      <c r="Q2200" s="2"/>
      <c r="R2200" s="6">
        <v>9</v>
      </c>
      <c r="S2200" s="5">
        <v>-15.6</v>
      </c>
      <c r="T2200" s="6">
        <v>44.78</v>
      </c>
      <c r="U2200" s="5">
        <v>3.3</v>
      </c>
      <c r="V2200" s="6">
        <v>-0.63</v>
      </c>
      <c r="W2200" s="6">
        <v>6.25</v>
      </c>
      <c r="X2200" s="6">
        <v>6.25</v>
      </c>
      <c r="Y2200" s="6">
        <v>8.25</v>
      </c>
      <c r="Z2200" s="7">
        <v>8.125</v>
      </c>
      <c r="AA2200" s="6">
        <v>24.51</v>
      </c>
      <c r="AB2200" s="7">
        <v>12.718</v>
      </c>
      <c r="AC2200" s="2"/>
    </row>
    <row r="2201" spans="1:29" ht="91" x14ac:dyDescent="0.15">
      <c r="A2201" s="3">
        <f t="shared" si="12"/>
        <v>35009</v>
      </c>
      <c r="B2201" s="3">
        <f>DATE(1996,1,8)</f>
        <v>35072</v>
      </c>
      <c r="C2201" s="2" t="s">
        <v>95</v>
      </c>
      <c r="D2201" s="2" t="s">
        <v>7084</v>
      </c>
      <c r="E2201" s="2" t="s">
        <v>7085</v>
      </c>
      <c r="F2201" s="4">
        <v>3577</v>
      </c>
      <c r="G2201" s="2" t="s">
        <v>50</v>
      </c>
      <c r="H2201" s="2" t="s">
        <v>34</v>
      </c>
      <c r="I2201" s="2" t="s">
        <v>1711</v>
      </c>
      <c r="J2201" s="2" t="s">
        <v>1712</v>
      </c>
      <c r="K2201" s="2" t="s">
        <v>50</v>
      </c>
      <c r="L2201" s="2" t="s">
        <v>34</v>
      </c>
      <c r="M2201" s="10">
        <v>11955.05</v>
      </c>
      <c r="N2201" s="7">
        <v>54.625</v>
      </c>
      <c r="O2201" s="7">
        <v>52.875</v>
      </c>
      <c r="P2201" s="2" t="s">
        <v>7086</v>
      </c>
      <c r="Q2201" s="6">
        <v>100</v>
      </c>
      <c r="R2201" s="6">
        <v>42</v>
      </c>
      <c r="S2201" s="5">
        <v>2.2000000000000002</v>
      </c>
      <c r="T2201" s="7">
        <v>4.452</v>
      </c>
      <c r="U2201" s="5">
        <v>5</v>
      </c>
      <c r="V2201" s="7">
        <v>0.318</v>
      </c>
      <c r="W2201" s="6">
        <v>28.25</v>
      </c>
      <c r="X2201" s="5">
        <v>34.5</v>
      </c>
      <c r="Y2201" s="7">
        <v>41.375</v>
      </c>
      <c r="Z2201" s="5">
        <v>41.5</v>
      </c>
      <c r="AA2201" s="6">
        <v>7.66</v>
      </c>
      <c r="AB2201" s="7">
        <v>137.232</v>
      </c>
      <c r="AC2201" s="5">
        <v>471</v>
      </c>
    </row>
    <row r="2202" spans="1:29" ht="104" x14ac:dyDescent="0.15">
      <c r="A2202" s="3">
        <f t="shared" si="12"/>
        <v>35009</v>
      </c>
      <c r="B2202" s="3">
        <f>DATE(1996,1,10)</f>
        <v>35074</v>
      </c>
      <c r="C2202" s="2" t="s">
        <v>95</v>
      </c>
      <c r="D2202" s="2" t="s">
        <v>7087</v>
      </c>
      <c r="E2202" s="2" t="s">
        <v>7088</v>
      </c>
      <c r="F2202" s="4">
        <v>2851</v>
      </c>
      <c r="G2202" s="2" t="s">
        <v>98</v>
      </c>
      <c r="H2202" s="2" t="s">
        <v>34</v>
      </c>
      <c r="I2202" s="2" t="s">
        <v>6199</v>
      </c>
      <c r="J2202" s="2" t="s">
        <v>6200</v>
      </c>
      <c r="K2202" s="2" t="s">
        <v>98</v>
      </c>
      <c r="L2202" s="2" t="s">
        <v>34</v>
      </c>
      <c r="M2202" s="12">
        <v>3026.9140000000002</v>
      </c>
      <c r="N2202" s="5">
        <v>37.5</v>
      </c>
      <c r="O2202" s="4">
        <v>38</v>
      </c>
      <c r="P2202" s="2" t="s">
        <v>7089</v>
      </c>
      <c r="Q2202" s="6">
        <v>100</v>
      </c>
      <c r="R2202" s="6">
        <v>35</v>
      </c>
      <c r="S2202" s="5">
        <v>5.5</v>
      </c>
      <c r="T2202" s="6">
        <v>19.28</v>
      </c>
      <c r="U2202" s="5">
        <v>13.2</v>
      </c>
      <c r="V2202" s="6">
        <v>0.71</v>
      </c>
      <c r="W2202" s="6">
        <v>21.75</v>
      </c>
      <c r="X2202" s="6">
        <v>20.75</v>
      </c>
      <c r="Y2202" s="7">
        <v>34.625</v>
      </c>
      <c r="Z2202" s="6">
        <v>34.75</v>
      </c>
      <c r="AA2202" s="6">
        <v>11.08</v>
      </c>
      <c r="AB2202" s="7">
        <v>38.171999999999997</v>
      </c>
      <c r="AC2202" s="6">
        <v>251.42</v>
      </c>
    </row>
    <row r="2203" spans="1:29" ht="52" x14ac:dyDescent="0.15">
      <c r="A2203" s="3">
        <f t="shared" si="12"/>
        <v>35009</v>
      </c>
      <c r="B2203" s="2"/>
      <c r="C2203" s="2" t="s">
        <v>87</v>
      </c>
      <c r="D2203" s="2" t="s">
        <v>7090</v>
      </c>
      <c r="E2203" s="2" t="s">
        <v>849</v>
      </c>
      <c r="F2203" s="4">
        <v>7371</v>
      </c>
      <c r="G2203" s="2" t="s">
        <v>223</v>
      </c>
      <c r="H2203" s="2" t="s">
        <v>34</v>
      </c>
      <c r="I2203" s="2" t="s">
        <v>7091</v>
      </c>
      <c r="J2203" s="2" t="s">
        <v>7092</v>
      </c>
      <c r="K2203" s="2" t="s">
        <v>300</v>
      </c>
      <c r="L2203" s="2" t="s">
        <v>34</v>
      </c>
      <c r="M2203" s="2"/>
      <c r="N2203" s="2"/>
      <c r="O2203" s="2"/>
      <c r="P2203" s="2" t="s">
        <v>7093</v>
      </c>
      <c r="Q2203" s="2"/>
      <c r="R2203" s="2"/>
      <c r="S2203" s="5">
        <v>1.6</v>
      </c>
      <c r="T2203" s="7">
        <v>3.1840000000000002</v>
      </c>
      <c r="U2203" s="5">
        <v>0.7</v>
      </c>
      <c r="V2203" s="6">
        <v>0.39</v>
      </c>
      <c r="W2203" s="5">
        <v>5.5</v>
      </c>
      <c r="X2203" s="6">
        <v>5.75</v>
      </c>
      <c r="Y2203" s="7">
        <v>6.125</v>
      </c>
      <c r="Z2203" s="6">
        <v>5.75</v>
      </c>
      <c r="AA2203" s="6">
        <v>4.38</v>
      </c>
      <c r="AB2203" s="2" t="s">
        <v>47</v>
      </c>
      <c r="AC2203" s="2"/>
    </row>
    <row r="2204" spans="1:29" ht="156" x14ac:dyDescent="0.15">
      <c r="A2204" s="3">
        <f>DATE(1995,11,7)</f>
        <v>35010</v>
      </c>
      <c r="B2204" s="3">
        <f>DATE(1996,5,9)</f>
        <v>35194</v>
      </c>
      <c r="C2204" s="2" t="s">
        <v>95</v>
      </c>
      <c r="D2204" s="2" t="s">
        <v>7094</v>
      </c>
      <c r="E2204" s="2" t="s">
        <v>1906</v>
      </c>
      <c r="F2204" s="4">
        <v>6722</v>
      </c>
      <c r="G2204" s="2" t="s">
        <v>53</v>
      </c>
      <c r="H2204" s="2" t="s">
        <v>34</v>
      </c>
      <c r="I2204" s="2" t="s">
        <v>7095</v>
      </c>
      <c r="J2204" s="2" t="s">
        <v>92</v>
      </c>
      <c r="K2204" s="2" t="s">
        <v>53</v>
      </c>
      <c r="L2204" s="2" t="s">
        <v>34</v>
      </c>
      <c r="M2204" s="2"/>
      <c r="N2204" s="2"/>
      <c r="O2204" s="2"/>
      <c r="P2204" s="2" t="s">
        <v>7096</v>
      </c>
      <c r="Q2204" s="6">
        <v>100</v>
      </c>
      <c r="R2204" s="6">
        <v>5.7</v>
      </c>
      <c r="S2204" s="2"/>
      <c r="T2204" s="2"/>
      <c r="U2204" s="2"/>
      <c r="V2204" s="2"/>
      <c r="W2204" s="7">
        <v>5.375</v>
      </c>
      <c r="X2204" s="6">
        <v>5.25</v>
      </c>
      <c r="Y2204" s="6">
        <v>5.25</v>
      </c>
      <c r="Z2204" s="7">
        <v>5.375</v>
      </c>
      <c r="AA2204" s="6">
        <v>3.13</v>
      </c>
      <c r="AB2204" s="2" t="s">
        <v>47</v>
      </c>
      <c r="AC2204" s="2"/>
    </row>
    <row r="2205" spans="1:29" ht="91" x14ac:dyDescent="0.15">
      <c r="A2205" s="3">
        <f>DATE(1995,11,7)</f>
        <v>35010</v>
      </c>
      <c r="B2205" s="3">
        <f>DATE(1996,10,1)</f>
        <v>35339</v>
      </c>
      <c r="C2205" s="2" t="s">
        <v>95</v>
      </c>
      <c r="D2205" s="2" t="s">
        <v>7097</v>
      </c>
      <c r="E2205" s="2" t="s">
        <v>1181</v>
      </c>
      <c r="F2205" s="4">
        <v>6021</v>
      </c>
      <c r="G2205" s="2" t="s">
        <v>37</v>
      </c>
      <c r="H2205" s="2" t="s">
        <v>34</v>
      </c>
      <c r="I2205" s="2" t="s">
        <v>7098</v>
      </c>
      <c r="J2205" s="2" t="s">
        <v>1181</v>
      </c>
      <c r="K2205" s="2" t="s">
        <v>37</v>
      </c>
      <c r="L2205" s="2" t="s">
        <v>34</v>
      </c>
      <c r="M2205" s="2"/>
      <c r="N2205" s="2"/>
      <c r="O2205" s="2"/>
      <c r="P2205" s="2" t="s">
        <v>7099</v>
      </c>
      <c r="Q2205" s="6">
        <v>100</v>
      </c>
      <c r="R2205" s="6">
        <v>23.25</v>
      </c>
      <c r="S2205" s="5">
        <v>1.4</v>
      </c>
      <c r="T2205" s="7">
        <v>3.327</v>
      </c>
      <c r="U2205" s="5">
        <v>21.2</v>
      </c>
      <c r="V2205" s="6">
        <v>0.59</v>
      </c>
      <c r="W2205" s="7">
        <v>21.125</v>
      </c>
      <c r="X2205" s="6">
        <v>21.75</v>
      </c>
      <c r="Y2205" s="6">
        <v>22.25</v>
      </c>
      <c r="Z2205" s="4">
        <v>22</v>
      </c>
      <c r="AA2205" s="6">
        <v>1.7</v>
      </c>
      <c r="AB2205" s="7">
        <v>101.74299999999999</v>
      </c>
      <c r="AC2205" s="2"/>
    </row>
    <row r="2206" spans="1:29" ht="104" x14ac:dyDescent="0.15">
      <c r="A2206" s="3">
        <f>DATE(1995,11,8)</f>
        <v>35011</v>
      </c>
      <c r="B2206" s="3">
        <f>DATE(1996,2,15)</f>
        <v>35110</v>
      </c>
      <c r="C2206" s="2" t="s">
        <v>95</v>
      </c>
      <c r="D2206" s="2" t="s">
        <v>7100</v>
      </c>
      <c r="E2206" s="2" t="s">
        <v>7101</v>
      </c>
      <c r="F2206" s="4">
        <v>7382</v>
      </c>
      <c r="G2206" s="2" t="s">
        <v>223</v>
      </c>
      <c r="H2206" s="2" t="s">
        <v>34</v>
      </c>
      <c r="I2206" s="2" t="s">
        <v>7102</v>
      </c>
      <c r="J2206" s="2" t="s">
        <v>7103</v>
      </c>
      <c r="K2206" s="2" t="s">
        <v>223</v>
      </c>
      <c r="L2206" s="2" t="s">
        <v>1791</v>
      </c>
      <c r="M2206" s="2"/>
      <c r="N2206" s="2"/>
      <c r="O2206" s="2"/>
      <c r="P2206" s="2" t="s">
        <v>7104</v>
      </c>
      <c r="Q2206" s="6">
        <v>100</v>
      </c>
      <c r="R2206" s="6">
        <v>9.25</v>
      </c>
      <c r="S2206" s="5">
        <v>-0.8</v>
      </c>
      <c r="T2206" s="7">
        <v>10.901</v>
      </c>
      <c r="U2206" s="5">
        <v>7.3</v>
      </c>
      <c r="V2206" s="6">
        <v>-0.08</v>
      </c>
      <c r="W2206" s="6">
        <v>4.25</v>
      </c>
      <c r="X2206" s="6">
        <v>4.75</v>
      </c>
      <c r="Y2206" s="7">
        <v>9.0630000000000006</v>
      </c>
      <c r="Z2206" s="4">
        <v>9</v>
      </c>
      <c r="AA2206" s="6">
        <v>9.8000000000000007</v>
      </c>
      <c r="AB2206" s="7">
        <v>329.28699999999998</v>
      </c>
      <c r="AC2206" s="2"/>
    </row>
    <row r="2207" spans="1:29" ht="130" x14ac:dyDescent="0.15">
      <c r="A2207" s="3">
        <f>DATE(1995,11,8)</f>
        <v>35011</v>
      </c>
      <c r="B2207" s="3">
        <f>DATE(1996,4,23)</f>
        <v>35178</v>
      </c>
      <c r="C2207" s="2" t="s">
        <v>95</v>
      </c>
      <c r="D2207" s="2" t="s">
        <v>7105</v>
      </c>
      <c r="E2207" s="2" t="s">
        <v>7106</v>
      </c>
      <c r="F2207" s="4">
        <v>3083</v>
      </c>
      <c r="G2207" s="2" t="s">
        <v>447</v>
      </c>
      <c r="H2207" s="2" t="s">
        <v>34</v>
      </c>
      <c r="I2207" s="2" t="s">
        <v>7107</v>
      </c>
      <c r="J2207" s="2" t="s">
        <v>7108</v>
      </c>
      <c r="K2207" s="2" t="s">
        <v>447</v>
      </c>
      <c r="L2207" s="2" t="s">
        <v>34</v>
      </c>
      <c r="M2207" s="7">
        <v>847.46699999999998</v>
      </c>
      <c r="N2207" s="4">
        <v>26</v>
      </c>
      <c r="O2207" s="5">
        <v>26.5</v>
      </c>
      <c r="P2207" s="2" t="s">
        <v>7109</v>
      </c>
      <c r="Q2207" s="6">
        <v>97.17</v>
      </c>
      <c r="R2207" s="6">
        <v>10.5</v>
      </c>
      <c r="S2207" s="5">
        <v>-1.4</v>
      </c>
      <c r="T2207" s="7">
        <v>2.883</v>
      </c>
      <c r="U2207" s="5">
        <v>8.5</v>
      </c>
      <c r="V2207" s="7">
        <v>-0.46700000000000003</v>
      </c>
      <c r="W2207" s="7">
        <v>4.125</v>
      </c>
      <c r="X2207" s="7">
        <v>5.125</v>
      </c>
      <c r="Y2207" s="6">
        <v>5.75</v>
      </c>
      <c r="Z2207" s="7">
        <v>5.625</v>
      </c>
      <c r="AA2207" s="6">
        <v>2.96</v>
      </c>
      <c r="AB2207" s="2" t="s">
        <v>86</v>
      </c>
      <c r="AC2207" s="6">
        <v>23.11</v>
      </c>
    </row>
    <row r="2208" spans="1:29" ht="65" x14ac:dyDescent="0.15">
      <c r="A2208" s="3">
        <f>DATE(1995,11,8)</f>
        <v>35011</v>
      </c>
      <c r="B2208" s="3">
        <f>DATE(1996,2,23)</f>
        <v>35118</v>
      </c>
      <c r="C2208" s="2" t="s">
        <v>95</v>
      </c>
      <c r="D2208" s="2" t="s">
        <v>2161</v>
      </c>
      <c r="E2208" s="2" t="s">
        <v>2162</v>
      </c>
      <c r="F2208" s="4">
        <v>3086</v>
      </c>
      <c r="G2208" s="2" t="s">
        <v>447</v>
      </c>
      <c r="H2208" s="2" t="s">
        <v>34</v>
      </c>
      <c r="I2208" s="2" t="s">
        <v>7110</v>
      </c>
      <c r="J2208" s="2" t="s">
        <v>80</v>
      </c>
      <c r="K2208" s="2" t="s">
        <v>53</v>
      </c>
      <c r="L2208" s="2" t="s">
        <v>34</v>
      </c>
      <c r="M2208" s="2"/>
      <c r="N2208" s="2"/>
      <c r="O2208" s="2"/>
      <c r="P2208" s="2" t="s">
        <v>7111</v>
      </c>
      <c r="Q2208" s="6">
        <v>100</v>
      </c>
      <c r="R2208" s="6">
        <v>21</v>
      </c>
      <c r="S2208" s="5">
        <v>5.0999999999999996</v>
      </c>
      <c r="T2208" s="7">
        <v>7.9180000000000001</v>
      </c>
      <c r="U2208" s="5">
        <v>6.9</v>
      </c>
      <c r="V2208" s="7">
        <v>2.9159999999999999</v>
      </c>
      <c r="W2208" s="6">
        <v>23.75</v>
      </c>
      <c r="X2208" s="6">
        <v>23.25</v>
      </c>
      <c r="Y2208" s="4">
        <v>20</v>
      </c>
      <c r="Z2208" s="5">
        <v>20.5</v>
      </c>
      <c r="AA2208" s="6">
        <v>1.47</v>
      </c>
      <c r="AB2208" s="7">
        <v>7.8159999999999998</v>
      </c>
      <c r="AC2208" s="2"/>
    </row>
    <row r="2209" spans="1:29" ht="104" x14ac:dyDescent="0.15">
      <c r="A2209" s="3">
        <f>DATE(1995,11,9)</f>
        <v>35012</v>
      </c>
      <c r="B2209" s="2"/>
      <c r="C2209" s="2" t="s">
        <v>30</v>
      </c>
      <c r="D2209" s="2" t="s">
        <v>7112</v>
      </c>
      <c r="E2209" s="2" t="s">
        <v>844</v>
      </c>
      <c r="F2209" s="4">
        <v>6552</v>
      </c>
      <c r="G2209" s="2" t="s">
        <v>109</v>
      </c>
      <c r="H2209" s="2" t="s">
        <v>34</v>
      </c>
      <c r="I2209" s="2" t="s">
        <v>7113</v>
      </c>
      <c r="J2209" s="2" t="s">
        <v>7114</v>
      </c>
      <c r="K2209" s="2" t="s">
        <v>42</v>
      </c>
      <c r="L2209" s="2" t="s">
        <v>34</v>
      </c>
      <c r="M2209" s="7">
        <v>7.4509999999999996</v>
      </c>
      <c r="N2209" s="7">
        <v>1.375</v>
      </c>
      <c r="O2209" s="7">
        <v>1.3129999999999999</v>
      </c>
      <c r="P2209" s="2" t="s">
        <v>7115</v>
      </c>
      <c r="Q2209" s="2"/>
      <c r="R2209" s="6">
        <v>8</v>
      </c>
      <c r="S2209" s="5">
        <v>0.6</v>
      </c>
      <c r="T2209" s="7">
        <v>1.5960000000000001</v>
      </c>
      <c r="U2209" s="5">
        <v>12.5</v>
      </c>
      <c r="V2209" s="6">
        <v>0.43</v>
      </c>
      <c r="W2209" s="7">
        <v>5.625</v>
      </c>
      <c r="X2209" s="7">
        <v>5.5629999999999997</v>
      </c>
      <c r="Y2209" s="5">
        <v>6.5</v>
      </c>
      <c r="Z2209" s="7">
        <v>6.375</v>
      </c>
      <c r="AA2209" s="6">
        <v>1.44</v>
      </c>
      <c r="AB2209" s="7">
        <v>33.789000000000001</v>
      </c>
      <c r="AC2209" s="2"/>
    </row>
    <row r="2210" spans="1:29" ht="143" x14ac:dyDescent="0.15">
      <c r="A2210" s="3">
        <f>DATE(1995,11,10)</f>
        <v>35013</v>
      </c>
      <c r="B2210" s="3">
        <f>DATE(1998,4,21)</f>
        <v>35906</v>
      </c>
      <c r="C2210" s="2" t="s">
        <v>95</v>
      </c>
      <c r="D2210" s="2" t="s">
        <v>7116</v>
      </c>
      <c r="E2210" s="2" t="s">
        <v>441</v>
      </c>
      <c r="F2210" s="4">
        <v>4931</v>
      </c>
      <c r="G2210" s="2" t="s">
        <v>439</v>
      </c>
      <c r="H2210" s="2" t="s">
        <v>34</v>
      </c>
      <c r="I2210" s="2" t="s">
        <v>7117</v>
      </c>
      <c r="J2210" s="2" t="s">
        <v>2754</v>
      </c>
      <c r="K2210" s="2" t="s">
        <v>439</v>
      </c>
      <c r="L2210" s="2" t="s">
        <v>34</v>
      </c>
      <c r="M2210" s="7">
        <v>934.74800000000005</v>
      </c>
      <c r="N2210" s="6">
        <v>30.75</v>
      </c>
      <c r="O2210" s="5">
        <v>30.5</v>
      </c>
      <c r="P2210" s="2" t="s">
        <v>7118</v>
      </c>
      <c r="Q2210" s="6">
        <v>100</v>
      </c>
      <c r="R2210" s="6">
        <v>34.130000000000003</v>
      </c>
      <c r="S2210" s="5">
        <v>20.7</v>
      </c>
      <c r="T2210" s="7">
        <v>71.647000000000006</v>
      </c>
      <c r="U2210" s="5">
        <v>20.100000000000001</v>
      </c>
      <c r="V2210" s="6">
        <v>1.92</v>
      </c>
      <c r="W2210" s="5">
        <v>29.5</v>
      </c>
      <c r="X2210" s="7">
        <v>29.875</v>
      </c>
      <c r="Y2210" s="7">
        <v>29.625</v>
      </c>
      <c r="Z2210" s="6">
        <v>31.75</v>
      </c>
      <c r="AA2210" s="6">
        <v>9.56</v>
      </c>
      <c r="AB2210" s="7">
        <v>13.773999999999999</v>
      </c>
      <c r="AC2210" s="6">
        <v>7.27</v>
      </c>
    </row>
    <row r="2211" spans="1:29" ht="78" x14ac:dyDescent="0.15">
      <c r="A2211" s="3">
        <f>DATE(1995,11,10)</f>
        <v>35013</v>
      </c>
      <c r="B2211" s="3">
        <f>DATE(1996,4,29)</f>
        <v>35184</v>
      </c>
      <c r="C2211" s="2" t="s">
        <v>95</v>
      </c>
      <c r="D2211" s="2" t="s">
        <v>1993</v>
      </c>
      <c r="E2211" s="2" t="s">
        <v>1994</v>
      </c>
      <c r="F2211" s="4">
        <v>6035</v>
      </c>
      <c r="G2211" s="2" t="s">
        <v>33</v>
      </c>
      <c r="H2211" s="2" t="s">
        <v>34</v>
      </c>
      <c r="I2211" s="2" t="s">
        <v>7119</v>
      </c>
      <c r="J2211" s="2" t="s">
        <v>7120</v>
      </c>
      <c r="K2211" s="2" t="s">
        <v>37</v>
      </c>
      <c r="L2211" s="2" t="s">
        <v>34</v>
      </c>
      <c r="M2211" s="2"/>
      <c r="N2211" s="2"/>
      <c r="O2211" s="2"/>
      <c r="P2211" s="2" t="s">
        <v>7121</v>
      </c>
      <c r="Q2211" s="6">
        <v>100</v>
      </c>
      <c r="R2211" s="6">
        <v>15.75</v>
      </c>
      <c r="S2211" s="5">
        <v>1.9</v>
      </c>
      <c r="T2211" s="7">
        <v>3.8109999999999999</v>
      </c>
      <c r="U2211" s="5">
        <v>12.6</v>
      </c>
      <c r="V2211" s="7">
        <v>0.66500000000000004</v>
      </c>
      <c r="W2211" s="4">
        <v>13</v>
      </c>
      <c r="X2211" s="4">
        <v>13</v>
      </c>
      <c r="Y2211" s="7">
        <v>14.875</v>
      </c>
      <c r="Z2211" s="7">
        <v>15.125</v>
      </c>
      <c r="AA2211" s="6">
        <v>2.75</v>
      </c>
      <c r="AB2211" s="7">
        <v>108.29900000000001</v>
      </c>
      <c r="AC2211" s="2"/>
    </row>
    <row r="2212" spans="1:29" ht="143" x14ac:dyDescent="0.15">
      <c r="A2212" s="3">
        <f>DATE(1995,11,10)</f>
        <v>35013</v>
      </c>
      <c r="B2212" s="2"/>
      <c r="C2212" s="2" t="s">
        <v>30</v>
      </c>
      <c r="D2212" s="2" t="s">
        <v>7122</v>
      </c>
      <c r="E2212" s="2" t="s">
        <v>7123</v>
      </c>
      <c r="F2212" s="4">
        <v>8049</v>
      </c>
      <c r="G2212" s="2" t="s">
        <v>454</v>
      </c>
      <c r="H2212" s="2" t="s">
        <v>34</v>
      </c>
      <c r="I2212" s="2" t="s">
        <v>6062</v>
      </c>
      <c r="J2212" s="2" t="s">
        <v>4031</v>
      </c>
      <c r="K2212" s="2" t="s">
        <v>454</v>
      </c>
      <c r="L2212" s="2" t="s">
        <v>34</v>
      </c>
      <c r="M2212" s="8">
        <v>1021.5</v>
      </c>
      <c r="N2212" s="7">
        <v>21.625</v>
      </c>
      <c r="O2212" s="7">
        <v>21.375</v>
      </c>
      <c r="P2212" s="2" t="s">
        <v>7124</v>
      </c>
      <c r="Q2212" s="2"/>
      <c r="R2212" s="6">
        <v>7.18</v>
      </c>
      <c r="S2212" s="5">
        <v>2.5</v>
      </c>
      <c r="T2212" s="7">
        <v>5.9050000000000002</v>
      </c>
      <c r="U2212" s="5">
        <v>4.8</v>
      </c>
      <c r="V2212" s="6">
        <v>0.35</v>
      </c>
      <c r="W2212" s="7">
        <v>6.125</v>
      </c>
      <c r="X2212" s="7">
        <v>6.1879999999999997</v>
      </c>
      <c r="Y2212" s="7">
        <v>6.8129999999999997</v>
      </c>
      <c r="Z2212" s="6">
        <v>6.75</v>
      </c>
      <c r="AA2212" s="6">
        <v>7.51</v>
      </c>
      <c r="AB2212" s="7">
        <v>12.423999999999999</v>
      </c>
      <c r="AC2212" s="6">
        <v>20.440000000000001</v>
      </c>
    </row>
    <row r="2213" spans="1:29" ht="104" x14ac:dyDescent="0.15">
      <c r="A2213" s="3">
        <f>DATE(1995,11,10)</f>
        <v>35013</v>
      </c>
      <c r="B2213" s="2"/>
      <c r="C2213" s="2" t="s">
        <v>30</v>
      </c>
      <c r="D2213" s="2" t="s">
        <v>7125</v>
      </c>
      <c r="E2213" s="2" t="s">
        <v>7126</v>
      </c>
      <c r="F2213" s="4">
        <v>5812</v>
      </c>
      <c r="G2213" s="2" t="s">
        <v>230</v>
      </c>
      <c r="H2213" s="2" t="s">
        <v>34</v>
      </c>
      <c r="I2213" s="2" t="s">
        <v>7127</v>
      </c>
      <c r="J2213" s="2" t="s">
        <v>7128</v>
      </c>
      <c r="K2213" s="2" t="s">
        <v>577</v>
      </c>
      <c r="L2213" s="2" t="s">
        <v>34</v>
      </c>
      <c r="M2213" s="2"/>
      <c r="N2213" s="2"/>
      <c r="O2213" s="2"/>
      <c r="P2213" s="2" t="s">
        <v>7129</v>
      </c>
      <c r="Q2213" s="2"/>
      <c r="R2213" s="6">
        <v>7.25</v>
      </c>
      <c r="S2213" s="5">
        <v>4.0999999999999996</v>
      </c>
      <c r="T2213" s="7">
        <v>2.4060000000000001</v>
      </c>
      <c r="U2213" s="5">
        <v>9.1</v>
      </c>
      <c r="V2213" s="6">
        <v>0.72</v>
      </c>
      <c r="W2213" s="5">
        <v>4.5</v>
      </c>
      <c r="X2213" s="6">
        <v>4.75</v>
      </c>
      <c r="Y2213" s="6">
        <v>4.75</v>
      </c>
      <c r="Z2213" s="7">
        <v>5.625</v>
      </c>
      <c r="AA2213" s="6">
        <v>4.8</v>
      </c>
      <c r="AB2213" s="2" t="s">
        <v>86</v>
      </c>
      <c r="AC2213" s="2"/>
    </row>
    <row r="2214" spans="1:29" ht="104" x14ac:dyDescent="0.15">
      <c r="A2214" s="3">
        <f>DATE(1995,11,13)</f>
        <v>35016</v>
      </c>
      <c r="B2214" s="3">
        <f>DATE(1996,4,22)</f>
        <v>35177</v>
      </c>
      <c r="C2214" s="2" t="s">
        <v>95</v>
      </c>
      <c r="D2214" s="2" t="s">
        <v>5275</v>
      </c>
      <c r="E2214" s="2" t="s">
        <v>389</v>
      </c>
      <c r="F2214" s="4">
        <v>6035</v>
      </c>
      <c r="G2214" s="2" t="s">
        <v>33</v>
      </c>
      <c r="H2214" s="2" t="s">
        <v>34</v>
      </c>
      <c r="I2214" s="2" t="s">
        <v>7130</v>
      </c>
      <c r="J2214" s="2" t="s">
        <v>32</v>
      </c>
      <c r="K2214" s="2" t="s">
        <v>33</v>
      </c>
      <c r="L2214" s="2" t="s">
        <v>34</v>
      </c>
      <c r="M2214" s="7">
        <v>209.84800000000001</v>
      </c>
      <c r="N2214" s="6">
        <v>19.25</v>
      </c>
      <c r="O2214" s="5">
        <v>19.5</v>
      </c>
      <c r="P2214" s="2" t="s">
        <v>7131</v>
      </c>
      <c r="Q2214" s="6">
        <v>100</v>
      </c>
      <c r="R2214" s="6">
        <v>14.77</v>
      </c>
      <c r="S2214" s="5">
        <v>2.6</v>
      </c>
      <c r="T2214" s="7">
        <v>4.6429999999999998</v>
      </c>
      <c r="U2214" s="5">
        <v>9.1999999999999993</v>
      </c>
      <c r="V2214" s="7">
        <v>0.97399999999999998</v>
      </c>
      <c r="W2214" s="7">
        <v>11.563000000000001</v>
      </c>
      <c r="X2214" s="6">
        <v>11.25</v>
      </c>
      <c r="Y2214" s="4">
        <v>14</v>
      </c>
      <c r="Z2214" s="6">
        <v>13.75</v>
      </c>
      <c r="AA2214" s="6">
        <v>2.34</v>
      </c>
      <c r="AB2214" s="7">
        <v>62.207999999999998</v>
      </c>
      <c r="AC2214" s="2"/>
    </row>
    <row r="2215" spans="1:29" ht="143" x14ac:dyDescent="0.15">
      <c r="A2215" s="3">
        <f>DATE(1995,11,13)</f>
        <v>35016</v>
      </c>
      <c r="B2215" s="3">
        <f>DATE(1995,12,19)</f>
        <v>35052</v>
      </c>
      <c r="C2215" s="2" t="s">
        <v>95</v>
      </c>
      <c r="D2215" s="2" t="s">
        <v>7132</v>
      </c>
      <c r="E2215" s="2" t="s">
        <v>7133</v>
      </c>
      <c r="F2215" s="4">
        <v>5049</v>
      </c>
      <c r="G2215" s="2" t="s">
        <v>76</v>
      </c>
      <c r="H2215" s="2" t="s">
        <v>34</v>
      </c>
      <c r="I2215" s="2" t="s">
        <v>7134</v>
      </c>
      <c r="J2215" s="2" t="s">
        <v>7133</v>
      </c>
      <c r="K2215" s="2" t="s">
        <v>76</v>
      </c>
      <c r="L2215" s="2" t="s">
        <v>34</v>
      </c>
      <c r="M2215" s="2"/>
      <c r="N2215" s="2"/>
      <c r="O2215" s="2"/>
      <c r="P2215" s="2" t="s">
        <v>7135</v>
      </c>
      <c r="Q2215" s="6">
        <v>100</v>
      </c>
      <c r="R2215" s="6">
        <v>10.4</v>
      </c>
      <c r="S2215" s="5">
        <v>5.4</v>
      </c>
      <c r="T2215" s="7">
        <v>4.0410000000000004</v>
      </c>
      <c r="U2215" s="5">
        <v>5.8</v>
      </c>
      <c r="V2215" s="7">
        <v>1.655</v>
      </c>
      <c r="W2215" s="4">
        <v>6</v>
      </c>
      <c r="X2215" s="6">
        <v>6.25</v>
      </c>
      <c r="Y2215" s="6">
        <v>10.25</v>
      </c>
      <c r="Z2215" s="7">
        <v>10.188000000000001</v>
      </c>
      <c r="AA2215" s="6">
        <v>3.29</v>
      </c>
      <c r="AB2215" s="7">
        <v>12.372</v>
      </c>
      <c r="AC2215" s="2"/>
    </row>
    <row r="2216" spans="1:29" ht="130" x14ac:dyDescent="0.15">
      <c r="A2216" s="3">
        <f>DATE(1995,11,13)</f>
        <v>35016</v>
      </c>
      <c r="B2216" s="3">
        <f>DATE(1996,4,11)</f>
        <v>35166</v>
      </c>
      <c r="C2216" s="2" t="s">
        <v>95</v>
      </c>
      <c r="D2216" s="2" t="s">
        <v>7136</v>
      </c>
      <c r="E2216" s="2" t="s">
        <v>265</v>
      </c>
      <c r="F2216" s="4">
        <v>6022</v>
      </c>
      <c r="G2216" s="2" t="s">
        <v>37</v>
      </c>
      <c r="H2216" s="2" t="s">
        <v>34</v>
      </c>
      <c r="I2216" s="2" t="s">
        <v>450</v>
      </c>
      <c r="J2216" s="2" t="s">
        <v>36</v>
      </c>
      <c r="K2216" s="2" t="s">
        <v>37</v>
      </c>
      <c r="L2216" s="2" t="s">
        <v>34</v>
      </c>
      <c r="M2216" s="12">
        <v>11818.733</v>
      </c>
      <c r="N2216" s="7">
        <v>31.875</v>
      </c>
      <c r="O2216" s="6">
        <v>31.75</v>
      </c>
      <c r="P2216" s="2" t="s">
        <v>7137</v>
      </c>
      <c r="Q2216" s="6">
        <v>100</v>
      </c>
      <c r="R2216" s="6">
        <v>34.130000000000003</v>
      </c>
      <c r="S2216" s="5">
        <v>15.3</v>
      </c>
      <c r="T2216" s="7">
        <v>37.606999999999999</v>
      </c>
      <c r="U2216" s="5">
        <v>22.7</v>
      </c>
      <c r="V2216" s="6">
        <v>1.93</v>
      </c>
      <c r="W2216" s="6">
        <v>29.75</v>
      </c>
      <c r="X2216" s="4">
        <v>36</v>
      </c>
      <c r="Y2216" s="6">
        <v>31.75</v>
      </c>
      <c r="Z2216" s="6">
        <v>31.75</v>
      </c>
      <c r="AA2216" s="6">
        <v>8.27</v>
      </c>
      <c r="AB2216" s="7">
        <v>63.706000000000003</v>
      </c>
      <c r="AC2216" s="2"/>
    </row>
    <row r="2217" spans="1:29" ht="156" x14ac:dyDescent="0.15">
      <c r="A2217" s="3">
        <f>DATE(1995,11,13)</f>
        <v>35016</v>
      </c>
      <c r="B2217" s="3">
        <f>DATE(1996,3,1)</f>
        <v>35125</v>
      </c>
      <c r="C2217" s="2" t="s">
        <v>95</v>
      </c>
      <c r="D2217" s="2" t="s">
        <v>7138</v>
      </c>
      <c r="E2217" s="2" t="s">
        <v>7139</v>
      </c>
      <c r="F2217" s="4">
        <v>2873</v>
      </c>
      <c r="G2217" s="2" t="s">
        <v>98</v>
      </c>
      <c r="H2217" s="2" t="s">
        <v>34</v>
      </c>
      <c r="I2217" s="2" t="s">
        <v>7140</v>
      </c>
      <c r="J2217" s="2" t="s">
        <v>7141</v>
      </c>
      <c r="K2217" s="2" t="s">
        <v>98</v>
      </c>
      <c r="L2217" s="2" t="s">
        <v>34</v>
      </c>
      <c r="M2217" s="12">
        <v>2155.9639999999999</v>
      </c>
      <c r="N2217" s="4">
        <v>73</v>
      </c>
      <c r="O2217" s="7">
        <v>73.375</v>
      </c>
      <c r="P2217" s="2" t="s">
        <v>7142</v>
      </c>
      <c r="Q2217" s="6">
        <v>100</v>
      </c>
      <c r="R2217" s="6">
        <v>59.7</v>
      </c>
      <c r="S2217" s="5">
        <v>48.4</v>
      </c>
      <c r="T2217" s="7">
        <v>104.851</v>
      </c>
      <c r="U2217" s="5">
        <v>10.199999999999999</v>
      </c>
      <c r="V2217" s="6">
        <v>2.4300000000000002</v>
      </c>
      <c r="W2217" s="4">
        <v>44</v>
      </c>
      <c r="X2217" s="6">
        <v>45.25</v>
      </c>
      <c r="Y2217" s="4">
        <v>55</v>
      </c>
      <c r="Z2217" s="7">
        <v>53.375</v>
      </c>
      <c r="AA2217" s="6">
        <v>19.88</v>
      </c>
      <c r="AB2217" s="7">
        <v>17.327000000000002</v>
      </c>
      <c r="AC2217" s="5">
        <v>196.1</v>
      </c>
    </row>
    <row r="2218" spans="1:29" ht="104" x14ac:dyDescent="0.15">
      <c r="A2218" s="3">
        <f>DATE(1995,11,14)</f>
        <v>35017</v>
      </c>
      <c r="B2218" s="2"/>
      <c r="C2218" s="2" t="s">
        <v>30</v>
      </c>
      <c r="D2218" s="2" t="s">
        <v>7143</v>
      </c>
      <c r="E2218" s="2" t="s">
        <v>7144</v>
      </c>
      <c r="F2218" s="4">
        <v>3724</v>
      </c>
      <c r="G2218" s="2" t="s">
        <v>219</v>
      </c>
      <c r="H2218" s="2" t="s">
        <v>34</v>
      </c>
      <c r="I2218" s="2" t="s">
        <v>51</v>
      </c>
      <c r="J2218" s="2" t="s">
        <v>52</v>
      </c>
      <c r="K2218" s="2" t="s">
        <v>53</v>
      </c>
      <c r="L2218" s="2" t="s">
        <v>34</v>
      </c>
      <c r="M2218" s="2"/>
      <c r="N2218" s="2"/>
      <c r="O2218" s="2"/>
      <c r="P2218" s="2" t="s">
        <v>7145</v>
      </c>
      <c r="Q2218" s="2"/>
      <c r="R2218" s="6">
        <v>36</v>
      </c>
      <c r="S2218" s="5">
        <v>-24.7</v>
      </c>
      <c r="T2218" s="7">
        <v>143.727</v>
      </c>
      <c r="U2218" s="5">
        <v>54.7</v>
      </c>
      <c r="V2218" s="6">
        <v>-2.87</v>
      </c>
      <c r="W2218" s="7">
        <v>24.625</v>
      </c>
      <c r="X2218" s="7">
        <v>24.375</v>
      </c>
      <c r="Y2218" s="4">
        <v>25</v>
      </c>
      <c r="Z2218" s="7">
        <v>30.875</v>
      </c>
      <c r="AA2218" s="6">
        <v>9.8699999999999992</v>
      </c>
      <c r="AB2218" s="7">
        <v>25.242999999999999</v>
      </c>
      <c r="AC2218" s="2"/>
    </row>
    <row r="2219" spans="1:29" ht="117" x14ac:dyDescent="0.15">
      <c r="A2219" s="3">
        <f>DATE(1995,11,15)</f>
        <v>35018</v>
      </c>
      <c r="B2219" s="2"/>
      <c r="C2219" s="2" t="s">
        <v>30</v>
      </c>
      <c r="D2219" s="2" t="s">
        <v>7146</v>
      </c>
      <c r="E2219" s="2" t="s">
        <v>7147</v>
      </c>
      <c r="F2219" s="4">
        <v>5411</v>
      </c>
      <c r="G2219" s="2" t="s">
        <v>1461</v>
      </c>
      <c r="H2219" s="2" t="s">
        <v>34</v>
      </c>
      <c r="I2219" s="2" t="s">
        <v>1459</v>
      </c>
      <c r="J2219" s="2" t="s">
        <v>7147</v>
      </c>
      <c r="K2219" s="2" t="s">
        <v>1461</v>
      </c>
      <c r="L2219" s="2" t="s">
        <v>34</v>
      </c>
      <c r="M2219" s="7">
        <v>47.302</v>
      </c>
      <c r="N2219" s="7">
        <v>9.375</v>
      </c>
      <c r="O2219" s="4">
        <v>9</v>
      </c>
      <c r="P2219" s="2" t="s">
        <v>7148</v>
      </c>
      <c r="Q2219" s="2"/>
      <c r="R2219" s="6">
        <v>8.1999999999999993</v>
      </c>
      <c r="S2219" s="5">
        <v>-10.8</v>
      </c>
      <c r="T2219" s="7">
        <v>19.257000000000001</v>
      </c>
      <c r="U2219" s="5">
        <v>4.0999999999999996</v>
      </c>
      <c r="V2219" s="9">
        <v>-1.9420999999999999</v>
      </c>
      <c r="W2219" s="6">
        <v>5.75</v>
      </c>
      <c r="X2219" s="6">
        <v>6.25</v>
      </c>
      <c r="Y2219" s="6">
        <v>5.75</v>
      </c>
      <c r="Z2219" s="4">
        <v>7</v>
      </c>
      <c r="AA2219" s="6">
        <v>5.58</v>
      </c>
      <c r="AB2219" s="7">
        <v>19.545999999999999</v>
      </c>
      <c r="AC2219" s="6">
        <v>7.76</v>
      </c>
    </row>
    <row r="2220" spans="1:29" ht="104" x14ac:dyDescent="0.15">
      <c r="A2220" s="3">
        <f>DATE(1995,11,15)</f>
        <v>35018</v>
      </c>
      <c r="B2220" s="3">
        <f>DATE(1996,3,15)</f>
        <v>35139</v>
      </c>
      <c r="C2220" s="2" t="s">
        <v>95</v>
      </c>
      <c r="D2220" s="2" t="s">
        <v>7149</v>
      </c>
      <c r="E2220" s="2" t="s">
        <v>4591</v>
      </c>
      <c r="F2220" s="4">
        <v>3841</v>
      </c>
      <c r="G2220" s="2" t="s">
        <v>226</v>
      </c>
      <c r="H2220" s="2" t="s">
        <v>34</v>
      </c>
      <c r="I2220" s="2" t="s">
        <v>7150</v>
      </c>
      <c r="J2220" s="2" t="s">
        <v>7151</v>
      </c>
      <c r="K2220" s="2" t="s">
        <v>76</v>
      </c>
      <c r="L2220" s="2" t="s">
        <v>34</v>
      </c>
      <c r="M2220" s="7">
        <v>31.385000000000002</v>
      </c>
      <c r="N2220" s="6">
        <v>9.25</v>
      </c>
      <c r="O2220" s="6">
        <v>10.25</v>
      </c>
      <c r="P2220" s="2" t="s">
        <v>7152</v>
      </c>
      <c r="Q2220" s="6">
        <v>100</v>
      </c>
      <c r="R2220" s="6">
        <v>2.57</v>
      </c>
      <c r="S2220" s="5">
        <v>-0.6</v>
      </c>
      <c r="T2220" s="7">
        <v>-0.372</v>
      </c>
      <c r="U2220" s="5">
        <v>0.9</v>
      </c>
      <c r="V2220" s="6">
        <v>-0.15</v>
      </c>
      <c r="W2220" s="6">
        <v>2.25</v>
      </c>
      <c r="X2220" s="6">
        <v>2.25</v>
      </c>
      <c r="Y2220" s="7">
        <v>2.125</v>
      </c>
      <c r="Z2220" s="7">
        <v>2.1880000000000002</v>
      </c>
      <c r="AA2220" s="6">
        <v>3.85</v>
      </c>
      <c r="AB2220" s="2" t="s">
        <v>86</v>
      </c>
      <c r="AC2220" s="6">
        <v>0.52</v>
      </c>
    </row>
    <row r="2221" spans="1:29" ht="104" x14ac:dyDescent="0.15">
      <c r="A2221" s="3">
        <f>DATE(1995,11,16)</f>
        <v>35019</v>
      </c>
      <c r="B2221" s="3">
        <f>DATE(1996,4,16)</f>
        <v>35171</v>
      </c>
      <c r="C2221" s="2" t="s">
        <v>95</v>
      </c>
      <c r="D2221" s="2" t="s">
        <v>7153</v>
      </c>
      <c r="E2221" s="2" t="s">
        <v>2071</v>
      </c>
      <c r="F2221" s="4">
        <v>6531</v>
      </c>
      <c r="G2221" s="2" t="s">
        <v>109</v>
      </c>
      <c r="H2221" s="2" t="s">
        <v>34</v>
      </c>
      <c r="I2221" s="2" t="s">
        <v>7154</v>
      </c>
      <c r="J2221" s="2" t="s">
        <v>7155</v>
      </c>
      <c r="K2221" s="2" t="s">
        <v>109</v>
      </c>
      <c r="L2221" s="2" t="s">
        <v>902</v>
      </c>
      <c r="M2221" s="2"/>
      <c r="N2221" s="2"/>
      <c r="O2221" s="2"/>
      <c r="P2221" s="2" t="s">
        <v>7156</v>
      </c>
      <c r="Q2221" s="6">
        <v>100</v>
      </c>
      <c r="R2221" s="6">
        <v>2.95</v>
      </c>
      <c r="S2221" s="5">
        <v>-0.1</v>
      </c>
      <c r="T2221" s="7">
        <v>0.373</v>
      </c>
      <c r="U2221" s="5">
        <v>1.5</v>
      </c>
      <c r="V2221" s="6">
        <v>-0.16</v>
      </c>
      <c r="W2221" s="7">
        <v>2.375</v>
      </c>
      <c r="X2221" s="6">
        <v>2.75</v>
      </c>
      <c r="Y2221" s="6">
        <v>2.75</v>
      </c>
      <c r="Z2221" s="6">
        <v>2.75</v>
      </c>
      <c r="AA2221" s="6">
        <v>2.23</v>
      </c>
      <c r="AB2221" s="7">
        <v>109.12</v>
      </c>
      <c r="AC2221" s="2"/>
    </row>
    <row r="2222" spans="1:29" ht="39" x14ac:dyDescent="0.15">
      <c r="A2222" s="3">
        <f>DATE(1995,11,17)</f>
        <v>35020</v>
      </c>
      <c r="B2222" s="2"/>
      <c r="C2222" s="2" t="s">
        <v>30</v>
      </c>
      <c r="D2222" s="2" t="s">
        <v>7157</v>
      </c>
      <c r="E2222" s="2" t="s">
        <v>612</v>
      </c>
      <c r="F2222" s="4">
        <v>1311</v>
      </c>
      <c r="G2222" s="2" t="s">
        <v>148</v>
      </c>
      <c r="H2222" s="2" t="s">
        <v>34</v>
      </c>
      <c r="I2222" s="2" t="s">
        <v>7158</v>
      </c>
      <c r="J2222" s="2" t="s">
        <v>612</v>
      </c>
      <c r="K2222" s="2" t="s">
        <v>148</v>
      </c>
      <c r="L2222" s="2" t="s">
        <v>34</v>
      </c>
      <c r="M2222" s="7">
        <v>22.984000000000002</v>
      </c>
      <c r="N2222" s="7">
        <v>1.875</v>
      </c>
      <c r="O2222" s="7">
        <v>1.625</v>
      </c>
      <c r="P2222" s="2" t="s">
        <v>7159</v>
      </c>
      <c r="Q2222" s="2"/>
      <c r="R2222" s="2"/>
      <c r="S2222" s="2"/>
      <c r="T2222" s="2"/>
      <c r="U2222" s="2"/>
      <c r="V2222" s="2"/>
      <c r="W2222" s="6">
        <v>4.25</v>
      </c>
      <c r="X2222" s="6">
        <v>4.25</v>
      </c>
      <c r="Y2222" s="5">
        <v>4.5</v>
      </c>
      <c r="Z2222" s="7">
        <v>4.875</v>
      </c>
      <c r="AA2222" s="6">
        <v>31.48</v>
      </c>
      <c r="AB2222" s="2" t="s">
        <v>47</v>
      </c>
      <c r="AC2222" s="2"/>
    </row>
    <row r="2223" spans="1:29" ht="117" x14ac:dyDescent="0.15">
      <c r="A2223" s="3">
        <f>DATE(1995,11,21)</f>
        <v>35024</v>
      </c>
      <c r="B2223" s="3">
        <f>DATE(1996,6,25)</f>
        <v>35241</v>
      </c>
      <c r="C2223" s="2" t="s">
        <v>95</v>
      </c>
      <c r="D2223" s="2" t="s">
        <v>7160</v>
      </c>
      <c r="E2223" s="2" t="s">
        <v>36</v>
      </c>
      <c r="F2223" s="4">
        <v>6022</v>
      </c>
      <c r="G2223" s="2" t="s">
        <v>37</v>
      </c>
      <c r="H2223" s="2" t="s">
        <v>34</v>
      </c>
      <c r="I2223" s="2" t="s">
        <v>7161</v>
      </c>
      <c r="J2223" s="2" t="s">
        <v>265</v>
      </c>
      <c r="K2223" s="2" t="s">
        <v>37</v>
      </c>
      <c r="L2223" s="2" t="s">
        <v>34</v>
      </c>
      <c r="M2223" s="6">
        <v>142.54</v>
      </c>
      <c r="N2223" s="5">
        <v>35.5</v>
      </c>
      <c r="O2223" s="6">
        <v>35.25</v>
      </c>
      <c r="P2223" s="2" t="s">
        <v>7162</v>
      </c>
      <c r="Q2223" s="6">
        <v>100</v>
      </c>
      <c r="R2223" s="6">
        <v>42.55</v>
      </c>
      <c r="S2223" s="5">
        <v>1.5</v>
      </c>
      <c r="T2223" s="5">
        <v>2.2999999999999998</v>
      </c>
      <c r="U2223" s="5">
        <v>20</v>
      </c>
      <c r="V2223" s="6">
        <v>1.59</v>
      </c>
      <c r="W2223" s="7">
        <v>32.375</v>
      </c>
      <c r="X2223" s="6">
        <v>33.25</v>
      </c>
      <c r="Y2223" s="5">
        <v>34.5</v>
      </c>
      <c r="Z2223" s="6">
        <v>37.25</v>
      </c>
      <c r="AA2223" s="6">
        <v>0.9</v>
      </c>
      <c r="AB2223" s="7">
        <v>110.33</v>
      </c>
      <c r="AC2223" s="2"/>
    </row>
    <row r="2224" spans="1:29" ht="52" x14ac:dyDescent="0.15">
      <c r="A2224" s="3">
        <f>DATE(1995,11,22)</f>
        <v>35025</v>
      </c>
      <c r="B2224" s="2"/>
      <c r="C2224" s="2" t="s">
        <v>87</v>
      </c>
      <c r="D2224" s="2" t="s">
        <v>6325</v>
      </c>
      <c r="E2224" s="2" t="s">
        <v>92</v>
      </c>
      <c r="F2224" s="4">
        <v>6798</v>
      </c>
      <c r="G2224" s="2" t="s">
        <v>53</v>
      </c>
      <c r="H2224" s="2" t="s">
        <v>34</v>
      </c>
      <c r="I2224" s="2" t="s">
        <v>7163</v>
      </c>
      <c r="J2224" s="2" t="s">
        <v>2044</v>
      </c>
      <c r="K2224" s="2" t="s">
        <v>53</v>
      </c>
      <c r="L2224" s="2" t="s">
        <v>34</v>
      </c>
      <c r="M2224" s="2"/>
      <c r="N2224" s="7">
        <v>18.375</v>
      </c>
      <c r="O2224" s="7">
        <v>18.375</v>
      </c>
      <c r="P2224" s="2" t="s">
        <v>7164</v>
      </c>
      <c r="Q2224" s="2"/>
      <c r="R2224" s="2"/>
      <c r="S2224" s="5">
        <v>-4.3</v>
      </c>
      <c r="T2224" s="7">
        <v>-0.90500000000000003</v>
      </c>
      <c r="U2224" s="5">
        <v>13.3</v>
      </c>
      <c r="V2224" s="6">
        <v>-2.35</v>
      </c>
      <c r="W2224" s="4">
        <v>2</v>
      </c>
      <c r="X2224" s="4">
        <v>2</v>
      </c>
      <c r="Y2224" s="4">
        <v>2</v>
      </c>
      <c r="Z2224" s="4">
        <v>2</v>
      </c>
      <c r="AA2224" s="6">
        <v>1.28</v>
      </c>
      <c r="AB2224" s="2" t="s">
        <v>86</v>
      </c>
      <c r="AC2224" s="6">
        <v>20.149999999999999</v>
      </c>
    </row>
    <row r="2225" spans="1:29" ht="143" x14ac:dyDescent="0.15">
      <c r="A2225" s="3">
        <f>DATE(1995,11,22)</f>
        <v>35025</v>
      </c>
      <c r="B2225" s="3">
        <f>DATE(1996,3,29)</f>
        <v>35153</v>
      </c>
      <c r="C2225" s="2" t="s">
        <v>95</v>
      </c>
      <c r="D2225" s="2" t="s">
        <v>7165</v>
      </c>
      <c r="E2225" s="2" t="s">
        <v>1181</v>
      </c>
      <c r="F2225" s="4">
        <v>6022</v>
      </c>
      <c r="G2225" s="2" t="s">
        <v>37</v>
      </c>
      <c r="H2225" s="2" t="s">
        <v>34</v>
      </c>
      <c r="I2225" s="2" t="s">
        <v>7166</v>
      </c>
      <c r="J2225" s="2" t="s">
        <v>7167</v>
      </c>
      <c r="K2225" s="2" t="s">
        <v>37</v>
      </c>
      <c r="L2225" s="2" t="s">
        <v>34</v>
      </c>
      <c r="M2225" s="7">
        <v>295.74200000000002</v>
      </c>
      <c r="N2225" s="4">
        <v>18</v>
      </c>
      <c r="O2225" s="4">
        <v>18</v>
      </c>
      <c r="P2225" s="2" t="s">
        <v>7168</v>
      </c>
      <c r="Q2225" s="6">
        <v>100</v>
      </c>
      <c r="R2225" s="6">
        <v>34.200000000000003</v>
      </c>
      <c r="S2225" s="5">
        <v>2.4</v>
      </c>
      <c r="T2225" s="7">
        <v>4.0439999999999996</v>
      </c>
      <c r="U2225" s="5">
        <v>13.6</v>
      </c>
      <c r="V2225" s="7">
        <v>1.968</v>
      </c>
      <c r="W2225" s="4">
        <v>23</v>
      </c>
      <c r="X2225" s="4">
        <v>24</v>
      </c>
      <c r="Y2225" s="5">
        <v>23.5</v>
      </c>
      <c r="Z2225" s="5">
        <v>23.5</v>
      </c>
      <c r="AA2225" s="6">
        <v>1.27</v>
      </c>
      <c r="AB2225" s="7">
        <v>58.606000000000002</v>
      </c>
      <c r="AC2225" s="2"/>
    </row>
    <row r="2226" spans="1:29" ht="143" x14ac:dyDescent="0.15">
      <c r="A2226" s="3">
        <f>DATE(1995,11,22)</f>
        <v>35025</v>
      </c>
      <c r="B2226" s="3">
        <f>DATE(1996,1,31)</f>
        <v>35095</v>
      </c>
      <c r="C2226" s="2" t="s">
        <v>95</v>
      </c>
      <c r="D2226" s="2" t="s">
        <v>7169</v>
      </c>
      <c r="E2226" s="2" t="s">
        <v>7170</v>
      </c>
      <c r="F2226" s="4">
        <v>8099</v>
      </c>
      <c r="G2226" s="2" t="s">
        <v>454</v>
      </c>
      <c r="H2226" s="2" t="s">
        <v>34</v>
      </c>
      <c r="I2226" s="2" t="s">
        <v>7171</v>
      </c>
      <c r="J2226" s="2" t="s">
        <v>7172</v>
      </c>
      <c r="K2226" s="2" t="s">
        <v>130</v>
      </c>
      <c r="L2226" s="2" t="s">
        <v>34</v>
      </c>
      <c r="M2226" s="2"/>
      <c r="N2226" s="2"/>
      <c r="O2226" s="2"/>
      <c r="P2226" s="2" t="s">
        <v>7173</v>
      </c>
      <c r="Q2226" s="6">
        <v>100</v>
      </c>
      <c r="R2226" s="6">
        <v>17.5</v>
      </c>
      <c r="S2226" s="5">
        <v>4.5</v>
      </c>
      <c r="T2226" s="7">
        <v>12.423999999999999</v>
      </c>
      <c r="U2226" s="5">
        <v>8.9</v>
      </c>
      <c r="V2226" s="6">
        <v>1.02</v>
      </c>
      <c r="W2226" s="4">
        <v>14</v>
      </c>
      <c r="X2226" s="6">
        <v>15.25</v>
      </c>
      <c r="Y2226" s="6">
        <v>17.25</v>
      </c>
      <c r="Z2226" s="6">
        <v>17.25</v>
      </c>
      <c r="AA2226" s="6">
        <v>4.3499999999999996</v>
      </c>
      <c r="AB2226" s="7">
        <v>11.374000000000001</v>
      </c>
      <c r="AC2226" s="2"/>
    </row>
    <row r="2227" spans="1:29" ht="104" x14ac:dyDescent="0.15">
      <c r="A2227" s="3">
        <f>DATE(1995,11,27)</f>
        <v>35030</v>
      </c>
      <c r="B2227" s="3">
        <f>DATE(1996,1,11)</f>
        <v>35075</v>
      </c>
      <c r="C2227" s="2" t="s">
        <v>95</v>
      </c>
      <c r="D2227" s="2" t="s">
        <v>7174</v>
      </c>
      <c r="E2227" s="2" t="s">
        <v>7175</v>
      </c>
      <c r="F2227" s="4">
        <v>2731</v>
      </c>
      <c r="G2227" s="2" t="s">
        <v>186</v>
      </c>
      <c r="H2227" s="2" t="s">
        <v>34</v>
      </c>
      <c r="I2227" s="2" t="s">
        <v>7176</v>
      </c>
      <c r="J2227" s="2" t="s">
        <v>417</v>
      </c>
      <c r="K2227" s="2" t="s">
        <v>186</v>
      </c>
      <c r="L2227" s="2" t="s">
        <v>2105</v>
      </c>
      <c r="M2227" s="2"/>
      <c r="N2227" s="2"/>
      <c r="O2227" s="2"/>
      <c r="P2227" s="2" t="s">
        <v>7177</v>
      </c>
      <c r="Q2227" s="6">
        <v>100</v>
      </c>
      <c r="R2227" s="6">
        <v>55.5</v>
      </c>
      <c r="S2227" s="5">
        <v>18.899999999999999</v>
      </c>
      <c r="T2227" s="7">
        <v>52.274999999999999</v>
      </c>
      <c r="U2227" s="5">
        <v>2.7</v>
      </c>
      <c r="V2227" s="6">
        <v>0.55000000000000004</v>
      </c>
      <c r="W2227" s="6">
        <v>25.75</v>
      </c>
      <c r="X2227" s="6">
        <v>27.75</v>
      </c>
      <c r="Y2227" s="7">
        <v>54.625</v>
      </c>
      <c r="Z2227" s="7">
        <v>54.563000000000002</v>
      </c>
      <c r="AA2227" s="6">
        <v>33.04</v>
      </c>
      <c r="AB2227" s="7">
        <v>71.233000000000004</v>
      </c>
      <c r="AC2227" s="5">
        <v>210.7</v>
      </c>
    </row>
    <row r="2228" spans="1:29" ht="156" x14ac:dyDescent="0.15">
      <c r="A2228" s="3">
        <f>DATE(1995,11,27)</f>
        <v>35030</v>
      </c>
      <c r="B2228" s="3">
        <f>DATE(1996,8,26)</f>
        <v>35303</v>
      </c>
      <c r="C2228" s="2" t="s">
        <v>95</v>
      </c>
      <c r="D2228" s="2" t="s">
        <v>7178</v>
      </c>
      <c r="E2228" s="2" t="s">
        <v>36</v>
      </c>
      <c r="F2228" s="4">
        <v>6022</v>
      </c>
      <c r="G2228" s="2" t="s">
        <v>37</v>
      </c>
      <c r="H2228" s="2" t="s">
        <v>34</v>
      </c>
      <c r="I2228" s="2" t="s">
        <v>5846</v>
      </c>
      <c r="J2228" s="2" t="s">
        <v>5847</v>
      </c>
      <c r="K2228" s="2" t="s">
        <v>37</v>
      </c>
      <c r="L2228" s="2" t="s">
        <v>34</v>
      </c>
      <c r="M2228" s="12">
        <v>1167.454</v>
      </c>
      <c r="N2228" s="4">
        <v>32</v>
      </c>
      <c r="O2228" s="7">
        <v>31.375</v>
      </c>
      <c r="P2228" s="2" t="s">
        <v>7179</v>
      </c>
      <c r="Q2228" s="6">
        <v>100</v>
      </c>
      <c r="R2228" s="6">
        <v>22.58</v>
      </c>
      <c r="S2228" s="5">
        <v>1.9</v>
      </c>
      <c r="T2228" s="7">
        <v>4.4560000000000004</v>
      </c>
      <c r="U2228" s="5">
        <v>9.5</v>
      </c>
      <c r="V2228" s="6">
        <v>0.92</v>
      </c>
      <c r="W2228" s="7">
        <v>13.875</v>
      </c>
      <c r="X2228" s="6">
        <v>14.25</v>
      </c>
      <c r="Y2228" s="6">
        <v>13.75</v>
      </c>
      <c r="Z2228" s="4">
        <v>18</v>
      </c>
      <c r="AA2228" s="6">
        <v>1.96</v>
      </c>
      <c r="AB2228" s="7">
        <v>91.111000000000004</v>
      </c>
      <c r="AC2228" s="2"/>
    </row>
    <row r="2229" spans="1:29" ht="130" x14ac:dyDescent="0.15">
      <c r="A2229" s="3">
        <f>DATE(1995,11,27)</f>
        <v>35030</v>
      </c>
      <c r="B2229" s="2"/>
      <c r="C2229" s="2" t="s">
        <v>30</v>
      </c>
      <c r="D2229" s="2" t="s">
        <v>3953</v>
      </c>
      <c r="E2229" s="2" t="s">
        <v>3954</v>
      </c>
      <c r="F2229" s="4">
        <v>5961</v>
      </c>
      <c r="G2229" s="2" t="s">
        <v>73</v>
      </c>
      <c r="H2229" s="2" t="s">
        <v>34</v>
      </c>
      <c r="I2229" s="2" t="s">
        <v>7180</v>
      </c>
      <c r="J2229" s="2" t="s">
        <v>981</v>
      </c>
      <c r="K2229" s="2" t="s">
        <v>45</v>
      </c>
      <c r="L2229" s="2" t="s">
        <v>34</v>
      </c>
      <c r="M2229" s="7">
        <v>265.25099999999998</v>
      </c>
      <c r="N2229" s="4">
        <v>35</v>
      </c>
      <c r="O2229" s="6">
        <v>36.75</v>
      </c>
      <c r="P2229" s="2" t="s">
        <v>7181</v>
      </c>
      <c r="Q2229" s="2"/>
      <c r="R2229" s="6">
        <v>8.5</v>
      </c>
      <c r="S2229" s="5">
        <v>17.7</v>
      </c>
      <c r="T2229" s="7">
        <v>55.945</v>
      </c>
      <c r="U2229" s="5">
        <v>2.2000000000000002</v>
      </c>
      <c r="V2229" s="6">
        <v>0.19</v>
      </c>
      <c r="W2229" s="7">
        <v>8.125</v>
      </c>
      <c r="X2229" s="5">
        <v>9.5</v>
      </c>
      <c r="Y2229" s="6">
        <v>9.75</v>
      </c>
      <c r="Z2229" s="4">
        <v>9</v>
      </c>
      <c r="AA2229" s="6">
        <v>85.37</v>
      </c>
      <c r="AB2229" s="7">
        <v>29.279</v>
      </c>
      <c r="AC2229" s="6">
        <v>22.21</v>
      </c>
    </row>
    <row r="2230" spans="1:29" ht="143" x14ac:dyDescent="0.15">
      <c r="A2230" s="3">
        <f>DATE(1995,11,27)</f>
        <v>35030</v>
      </c>
      <c r="B2230" s="3">
        <f>DATE(1996,12,19)</f>
        <v>35418</v>
      </c>
      <c r="C2230" s="2" t="s">
        <v>95</v>
      </c>
      <c r="D2230" s="2" t="s">
        <v>2795</v>
      </c>
      <c r="E2230" s="2" t="s">
        <v>2796</v>
      </c>
      <c r="F2230" s="4">
        <v>7819</v>
      </c>
      <c r="G2230" s="2" t="s">
        <v>42</v>
      </c>
      <c r="H2230" s="2" t="s">
        <v>34</v>
      </c>
      <c r="I2230" s="2" t="s">
        <v>7180</v>
      </c>
      <c r="J2230" s="2" t="s">
        <v>981</v>
      </c>
      <c r="K2230" s="2" t="s">
        <v>45</v>
      </c>
      <c r="L2230" s="2" t="s">
        <v>34</v>
      </c>
      <c r="M2230" s="7">
        <v>347.69299999999998</v>
      </c>
      <c r="N2230" s="4">
        <v>35</v>
      </c>
      <c r="O2230" s="6">
        <v>36.75</v>
      </c>
      <c r="P2230" s="2" t="s">
        <v>7182</v>
      </c>
      <c r="Q2230" s="6">
        <v>100</v>
      </c>
      <c r="R2230" s="6">
        <v>3.61</v>
      </c>
      <c r="S2230" s="5">
        <v>-53.8</v>
      </c>
      <c r="T2230" s="7">
        <v>60.795000000000002</v>
      </c>
      <c r="U2230" s="5">
        <v>8.9</v>
      </c>
      <c r="V2230" s="7">
        <v>-2.2280000000000002</v>
      </c>
      <c r="W2230" s="7">
        <v>4.875</v>
      </c>
      <c r="X2230" s="7">
        <v>5.125</v>
      </c>
      <c r="Y2230" s="7">
        <v>5.125</v>
      </c>
      <c r="Z2230" s="7">
        <v>6.375</v>
      </c>
      <c r="AA2230" s="6">
        <v>30.04</v>
      </c>
      <c r="AB2230" s="2" t="s">
        <v>86</v>
      </c>
      <c r="AC2230" s="6">
        <v>22.21</v>
      </c>
    </row>
    <row r="2231" spans="1:29" ht="52" x14ac:dyDescent="0.15">
      <c r="A2231" s="3">
        <f>DATE(1995,11,28)</f>
        <v>35031</v>
      </c>
      <c r="B2231" s="3">
        <f>DATE(1996,5,21)</f>
        <v>35206</v>
      </c>
      <c r="C2231" s="2" t="s">
        <v>95</v>
      </c>
      <c r="D2231" s="2" t="s">
        <v>6177</v>
      </c>
      <c r="E2231" s="2" t="s">
        <v>265</v>
      </c>
      <c r="F2231" s="4">
        <v>6036</v>
      </c>
      <c r="G2231" s="2" t="s">
        <v>33</v>
      </c>
      <c r="H2231" s="2" t="s">
        <v>34</v>
      </c>
      <c r="I2231" s="2" t="s">
        <v>5846</v>
      </c>
      <c r="J2231" s="2" t="s">
        <v>5847</v>
      </c>
      <c r="K2231" s="2" t="s">
        <v>37</v>
      </c>
      <c r="L2231" s="2" t="s">
        <v>34</v>
      </c>
      <c r="M2231" s="12">
        <v>1181.751</v>
      </c>
      <c r="N2231" s="7">
        <v>31.375</v>
      </c>
      <c r="O2231" s="6">
        <v>31.75</v>
      </c>
      <c r="P2231" s="2" t="s">
        <v>7183</v>
      </c>
      <c r="Q2231" s="6">
        <v>100</v>
      </c>
      <c r="R2231" s="2"/>
      <c r="S2231" s="5">
        <v>2</v>
      </c>
      <c r="T2231" s="7">
        <v>2.2370000000000001</v>
      </c>
      <c r="U2231" s="5">
        <v>7.4</v>
      </c>
      <c r="V2231" s="6">
        <v>0.84</v>
      </c>
      <c r="W2231" s="7">
        <v>7.875</v>
      </c>
      <c r="X2231" s="7">
        <v>7.875</v>
      </c>
      <c r="Y2231" s="7">
        <v>7.9379999999999997</v>
      </c>
      <c r="Z2231" s="7">
        <v>7.875</v>
      </c>
      <c r="AA2231" s="2"/>
      <c r="AB2231" s="2" t="s">
        <v>47</v>
      </c>
      <c r="AC2231" s="2"/>
    </row>
    <row r="2232" spans="1:29" ht="156" x14ac:dyDescent="0.15">
      <c r="A2232" s="3">
        <f>DATE(1995,11,29)</f>
        <v>35032</v>
      </c>
      <c r="B2232" s="3">
        <f>DATE(1996,2,16)</f>
        <v>35111</v>
      </c>
      <c r="C2232" s="2" t="s">
        <v>95</v>
      </c>
      <c r="D2232" s="2" t="s">
        <v>5096</v>
      </c>
      <c r="E2232" s="2" t="s">
        <v>5097</v>
      </c>
      <c r="F2232" s="4">
        <v>3357</v>
      </c>
      <c r="G2232" s="2" t="s">
        <v>163</v>
      </c>
      <c r="H2232" s="2" t="s">
        <v>34</v>
      </c>
      <c r="I2232" s="2" t="s">
        <v>5098</v>
      </c>
      <c r="J2232" s="2" t="s">
        <v>5099</v>
      </c>
      <c r="K2232" s="2" t="s">
        <v>137</v>
      </c>
      <c r="L2232" s="2" t="s">
        <v>34</v>
      </c>
      <c r="M2232" s="7">
        <v>151.47800000000001</v>
      </c>
      <c r="N2232" s="5">
        <v>12.5</v>
      </c>
      <c r="O2232" s="5">
        <v>11.5</v>
      </c>
      <c r="P2232" s="2" t="s">
        <v>7184</v>
      </c>
      <c r="Q2232" s="6">
        <v>92.62</v>
      </c>
      <c r="R2232" s="6">
        <v>14</v>
      </c>
      <c r="S2232" s="5">
        <v>1.2</v>
      </c>
      <c r="T2232" s="7">
        <v>3.2440000000000002</v>
      </c>
      <c r="U2232" s="5">
        <v>7.4</v>
      </c>
      <c r="V2232" s="7">
        <v>0.46500000000000002</v>
      </c>
      <c r="W2232" s="4">
        <v>9</v>
      </c>
      <c r="X2232" s="4">
        <v>9</v>
      </c>
      <c r="Y2232" s="5">
        <v>11.5</v>
      </c>
      <c r="Z2232" s="5">
        <v>11.5</v>
      </c>
      <c r="AA2232" s="6">
        <v>3.18</v>
      </c>
      <c r="AB2232" s="7">
        <v>22.417999999999999</v>
      </c>
      <c r="AC2232" s="6">
        <v>0.57999999999999996</v>
      </c>
    </row>
    <row r="2233" spans="1:29" ht="104" x14ac:dyDescent="0.15">
      <c r="A2233" s="3">
        <f>DATE(1995,11,29)</f>
        <v>35032</v>
      </c>
      <c r="B2233" s="3">
        <f>DATE(1995,11,29)</f>
        <v>35032</v>
      </c>
      <c r="C2233" s="2" t="s">
        <v>95</v>
      </c>
      <c r="D2233" s="2" t="s">
        <v>7185</v>
      </c>
      <c r="E2233" s="2" t="s">
        <v>7186</v>
      </c>
      <c r="F2233" s="4">
        <v>4581</v>
      </c>
      <c r="G2233" s="2" t="s">
        <v>59</v>
      </c>
      <c r="H2233" s="2" t="s">
        <v>34</v>
      </c>
      <c r="I2233" s="2" t="s">
        <v>51</v>
      </c>
      <c r="J2233" s="2" t="s">
        <v>52</v>
      </c>
      <c r="K2233" s="2" t="s">
        <v>53</v>
      </c>
      <c r="L2233" s="2" t="s">
        <v>34</v>
      </c>
      <c r="M2233" s="2"/>
      <c r="N2233" s="2"/>
      <c r="O2233" s="2"/>
      <c r="P2233" s="2" t="s">
        <v>7187</v>
      </c>
      <c r="Q2233" s="6">
        <v>0.36</v>
      </c>
      <c r="R2233" s="6">
        <v>101</v>
      </c>
      <c r="S2233" s="5">
        <v>4.5999999999999996</v>
      </c>
      <c r="T2233" s="7">
        <v>15.077</v>
      </c>
      <c r="U2233" s="5">
        <v>18.7</v>
      </c>
      <c r="V2233" s="6">
        <v>3.69</v>
      </c>
      <c r="W2233" s="6">
        <v>28.75</v>
      </c>
      <c r="X2233" s="5">
        <v>28.5</v>
      </c>
      <c r="Y2233" s="6">
        <v>29.75</v>
      </c>
      <c r="Z2233" s="7">
        <v>31.625</v>
      </c>
      <c r="AA2233" s="6">
        <v>1.1499999999999999</v>
      </c>
      <c r="AB2233" s="7">
        <v>17.652999999999999</v>
      </c>
      <c r="AC2233" s="2"/>
    </row>
    <row r="2234" spans="1:29" ht="156" x14ac:dyDescent="0.15">
      <c r="A2234" s="3">
        <f>DATE(1995,11,29)</f>
        <v>35032</v>
      </c>
      <c r="B2234" s="3">
        <f>DATE(1996,5,30)</f>
        <v>35215</v>
      </c>
      <c r="C2234" s="2" t="s">
        <v>95</v>
      </c>
      <c r="D2234" s="2" t="s">
        <v>7188</v>
      </c>
      <c r="E2234" s="2" t="s">
        <v>36</v>
      </c>
      <c r="F2234" s="4">
        <v>6035</v>
      </c>
      <c r="G2234" s="2" t="s">
        <v>33</v>
      </c>
      <c r="H2234" s="2" t="s">
        <v>34</v>
      </c>
      <c r="I2234" s="2" t="s">
        <v>7189</v>
      </c>
      <c r="J2234" s="2" t="s">
        <v>7190</v>
      </c>
      <c r="K2234" s="2" t="s">
        <v>37</v>
      </c>
      <c r="L2234" s="2" t="s">
        <v>34</v>
      </c>
      <c r="M2234" s="7">
        <v>153.76900000000001</v>
      </c>
      <c r="N2234" s="4">
        <v>26</v>
      </c>
      <c r="O2234" s="6">
        <v>25.25</v>
      </c>
      <c r="P2234" s="2" t="s">
        <v>7191</v>
      </c>
      <c r="Q2234" s="6">
        <v>100</v>
      </c>
      <c r="R2234" s="6">
        <v>41.29</v>
      </c>
      <c r="S2234" s="5">
        <v>17.2</v>
      </c>
      <c r="T2234" s="7">
        <v>23.146000000000001</v>
      </c>
      <c r="U2234" s="5">
        <v>36.9</v>
      </c>
      <c r="V2234" s="7">
        <v>2.573</v>
      </c>
      <c r="W2234" s="4">
        <v>36</v>
      </c>
      <c r="X2234" s="6">
        <v>36.25</v>
      </c>
      <c r="Y2234" s="6">
        <v>36.25</v>
      </c>
      <c r="Z2234" s="7">
        <v>38.938000000000002</v>
      </c>
      <c r="AA2234" s="6">
        <v>6.14</v>
      </c>
      <c r="AB2234" s="7">
        <v>41.491999999999997</v>
      </c>
      <c r="AC2234" s="2"/>
    </row>
    <row r="2235" spans="1:29" ht="156" x14ac:dyDescent="0.15">
      <c r="A2235" s="3">
        <f>DATE(1995,11,29)</f>
        <v>35032</v>
      </c>
      <c r="B2235" s="2"/>
      <c r="C2235" s="2" t="s">
        <v>30</v>
      </c>
      <c r="D2235" s="2" t="s">
        <v>4793</v>
      </c>
      <c r="E2235" s="2" t="s">
        <v>4794</v>
      </c>
      <c r="F2235" s="4">
        <v>2834</v>
      </c>
      <c r="G2235" s="2" t="s">
        <v>130</v>
      </c>
      <c r="H2235" s="2" t="s">
        <v>34</v>
      </c>
      <c r="I2235" s="2" t="s">
        <v>7192</v>
      </c>
      <c r="J2235" s="2" t="s">
        <v>4794</v>
      </c>
      <c r="K2235" s="2" t="s">
        <v>73</v>
      </c>
      <c r="L2235" s="2" t="s">
        <v>34</v>
      </c>
      <c r="M2235" s="12">
        <v>2324.297</v>
      </c>
      <c r="N2235" s="7">
        <v>28.625</v>
      </c>
      <c r="O2235" s="6">
        <v>31.25</v>
      </c>
      <c r="P2235" s="2" t="s">
        <v>7193</v>
      </c>
      <c r="Q2235" s="2"/>
      <c r="R2235" s="6">
        <v>27.5</v>
      </c>
      <c r="S2235" s="5">
        <v>61.1</v>
      </c>
      <c r="T2235" s="5">
        <v>266.10000000000002</v>
      </c>
      <c r="U2235" s="5">
        <v>11.5</v>
      </c>
      <c r="V2235" s="6">
        <v>0.95</v>
      </c>
      <c r="W2235" s="6">
        <v>25.25</v>
      </c>
      <c r="X2235" s="4">
        <v>25</v>
      </c>
      <c r="Y2235" s="5">
        <v>25.5</v>
      </c>
      <c r="Z2235" s="5">
        <v>27.5</v>
      </c>
      <c r="AA2235" s="6">
        <v>70.150000000000006</v>
      </c>
      <c r="AB2235" s="7">
        <v>14.715999999999999</v>
      </c>
      <c r="AC2235" s="6">
        <v>7.15</v>
      </c>
    </row>
    <row r="2236" spans="1:29" ht="156" x14ac:dyDescent="0.15">
      <c r="A2236" s="3">
        <f>DATE(1995,11,30)</f>
        <v>35033</v>
      </c>
      <c r="B2236" s="2"/>
      <c r="C2236" s="2" t="s">
        <v>30</v>
      </c>
      <c r="D2236" s="2" t="s">
        <v>7194</v>
      </c>
      <c r="E2236" s="2" t="s">
        <v>7195</v>
      </c>
      <c r="F2236" s="4">
        <v>5099</v>
      </c>
      <c r="G2236" s="2" t="s">
        <v>76</v>
      </c>
      <c r="H2236" s="2" t="s">
        <v>34</v>
      </c>
      <c r="I2236" s="2" t="s">
        <v>7196</v>
      </c>
      <c r="J2236" s="2" t="s">
        <v>1604</v>
      </c>
      <c r="K2236" s="2" t="s">
        <v>63</v>
      </c>
      <c r="L2236" s="2" t="s">
        <v>34</v>
      </c>
      <c r="M2236" s="7">
        <v>809.65300000000002</v>
      </c>
      <c r="N2236" s="4">
        <v>18</v>
      </c>
      <c r="O2236" s="4">
        <v>17</v>
      </c>
      <c r="P2236" s="2" t="s">
        <v>7197</v>
      </c>
      <c r="Q2236" s="2"/>
      <c r="R2236" s="6">
        <v>9.98</v>
      </c>
      <c r="S2236" s="5">
        <v>11.4</v>
      </c>
      <c r="T2236" s="7">
        <v>53.911000000000001</v>
      </c>
      <c r="U2236" s="5">
        <v>2.2999999999999998</v>
      </c>
      <c r="V2236" s="7">
        <v>0.315</v>
      </c>
      <c r="W2236" s="7">
        <v>7.375</v>
      </c>
      <c r="X2236" s="6">
        <v>8.25</v>
      </c>
      <c r="Y2236" s="7">
        <v>9.375</v>
      </c>
      <c r="Z2236" s="6">
        <v>10.75</v>
      </c>
      <c r="AA2236" s="6">
        <v>35.57</v>
      </c>
      <c r="AB2236" s="7">
        <v>18.321999999999999</v>
      </c>
      <c r="AC2236" s="2"/>
    </row>
    <row r="2237" spans="1:29" ht="104" x14ac:dyDescent="0.15">
      <c r="A2237" s="3">
        <f>DATE(1995,11,30)</f>
        <v>35033</v>
      </c>
      <c r="B2237" s="2"/>
      <c r="C2237" s="2" t="s">
        <v>30</v>
      </c>
      <c r="D2237" s="2" t="s">
        <v>7198</v>
      </c>
      <c r="E2237" s="2" t="s">
        <v>36</v>
      </c>
      <c r="F2237" s="4">
        <v>6021</v>
      </c>
      <c r="G2237" s="2" t="s">
        <v>37</v>
      </c>
      <c r="H2237" s="2" t="s">
        <v>34</v>
      </c>
      <c r="I2237" s="2" t="s">
        <v>7199</v>
      </c>
      <c r="J2237" s="2" t="s">
        <v>36</v>
      </c>
      <c r="K2237" s="2" t="s">
        <v>37</v>
      </c>
      <c r="L2237" s="2" t="s">
        <v>34</v>
      </c>
      <c r="M2237" s="2"/>
      <c r="N2237" s="2"/>
      <c r="O2237" s="2"/>
      <c r="P2237" s="2" t="s">
        <v>7200</v>
      </c>
      <c r="Q2237" s="2"/>
      <c r="R2237" s="6">
        <v>15.5</v>
      </c>
      <c r="S2237" s="5">
        <v>1</v>
      </c>
      <c r="T2237" s="7">
        <v>1.675</v>
      </c>
      <c r="U2237" s="5">
        <v>13.2</v>
      </c>
      <c r="V2237" s="6">
        <v>1.6</v>
      </c>
      <c r="W2237" s="4">
        <v>16</v>
      </c>
      <c r="X2237" s="4">
        <v>16</v>
      </c>
      <c r="Y2237" s="4">
        <v>16</v>
      </c>
      <c r="Z2237" s="4">
        <v>21</v>
      </c>
      <c r="AA2237" s="6">
        <v>0.78</v>
      </c>
      <c r="AB2237" s="2" t="s">
        <v>47</v>
      </c>
      <c r="AC2237" s="2"/>
    </row>
    <row r="2238" spans="1:29" ht="117" x14ac:dyDescent="0.15">
      <c r="A2238" s="3">
        <f>DATE(1995,11,30)</f>
        <v>35033</v>
      </c>
      <c r="B2238" s="3">
        <f>DATE(1996,1,25)</f>
        <v>35089</v>
      </c>
      <c r="C2238" s="2" t="s">
        <v>95</v>
      </c>
      <c r="D2238" s="2" t="s">
        <v>7201</v>
      </c>
      <c r="E2238" s="2" t="s">
        <v>7202</v>
      </c>
      <c r="F2238" s="4">
        <v>5734</v>
      </c>
      <c r="G2238" s="2" t="s">
        <v>1227</v>
      </c>
      <c r="H2238" s="2" t="s">
        <v>34</v>
      </c>
      <c r="I2238" s="2" t="s">
        <v>7203</v>
      </c>
      <c r="J2238" s="2" t="s">
        <v>7204</v>
      </c>
      <c r="K2238" s="2" t="s">
        <v>73</v>
      </c>
      <c r="L2238" s="2" t="s">
        <v>34</v>
      </c>
      <c r="M2238" s="12">
        <v>1674.9949999999999</v>
      </c>
      <c r="N2238" s="4">
        <v>47</v>
      </c>
      <c r="O2238" s="6">
        <v>48.25</v>
      </c>
      <c r="P2238" s="2" t="s">
        <v>7205</v>
      </c>
      <c r="Q2238" s="6">
        <v>100</v>
      </c>
      <c r="R2238" s="6">
        <v>10.56</v>
      </c>
      <c r="S2238" s="5">
        <v>4.5</v>
      </c>
      <c r="T2238" s="7">
        <v>15.347</v>
      </c>
      <c r="U2238" s="5">
        <v>4.0999999999999996</v>
      </c>
      <c r="V2238" s="6">
        <v>0.42</v>
      </c>
      <c r="W2238" s="4">
        <v>8</v>
      </c>
      <c r="X2238" s="7">
        <v>9.875</v>
      </c>
      <c r="Y2238" s="6">
        <v>9.75</v>
      </c>
      <c r="Z2238" s="7">
        <v>11.125</v>
      </c>
      <c r="AA2238" s="6">
        <v>10.58</v>
      </c>
      <c r="AB2238" s="7">
        <v>11.755000000000001</v>
      </c>
      <c r="AC2238" s="6">
        <v>74.47</v>
      </c>
    </row>
    <row r="2239" spans="1:29" ht="143" x14ac:dyDescent="0.15">
      <c r="A2239" s="3">
        <f>DATE(1995,11,30)</f>
        <v>35033</v>
      </c>
      <c r="B2239" s="3">
        <f>DATE(1996,1,19)</f>
        <v>35083</v>
      </c>
      <c r="C2239" s="2" t="s">
        <v>95</v>
      </c>
      <c r="D2239" s="2" t="s">
        <v>7206</v>
      </c>
      <c r="E2239" s="2" t="s">
        <v>7207</v>
      </c>
      <c r="F2239" s="4">
        <v>1021</v>
      </c>
      <c r="G2239" s="2" t="s">
        <v>166</v>
      </c>
      <c r="H2239" s="2" t="s">
        <v>34</v>
      </c>
      <c r="I2239" s="2" t="s">
        <v>7208</v>
      </c>
      <c r="J2239" s="2" t="s">
        <v>7209</v>
      </c>
      <c r="K2239" s="2" t="s">
        <v>166</v>
      </c>
      <c r="L2239" s="2" t="s">
        <v>885</v>
      </c>
      <c r="M2239" s="2"/>
      <c r="N2239" s="2"/>
      <c r="O2239" s="2"/>
      <c r="P2239" s="2" t="s">
        <v>7210</v>
      </c>
      <c r="Q2239" s="6">
        <v>100</v>
      </c>
      <c r="R2239" s="6">
        <v>28</v>
      </c>
      <c r="S2239" s="5">
        <v>87.4</v>
      </c>
      <c r="T2239" s="7">
        <v>198.87299999999999</v>
      </c>
      <c r="U2239" s="5">
        <v>12.2</v>
      </c>
      <c r="V2239" s="6">
        <v>1.54</v>
      </c>
      <c r="W2239" s="6">
        <v>19.25</v>
      </c>
      <c r="X2239" s="7">
        <v>20.125</v>
      </c>
      <c r="Y2239" s="7">
        <v>21.375</v>
      </c>
      <c r="Z2239" s="7">
        <v>27.625</v>
      </c>
      <c r="AA2239" s="6">
        <v>46.38</v>
      </c>
      <c r="AB2239" s="7">
        <v>15.741</v>
      </c>
      <c r="AC2239" s="6">
        <v>798.19</v>
      </c>
    </row>
    <row r="2240" spans="1:29" ht="117" x14ac:dyDescent="0.15">
      <c r="A2240" s="3">
        <f>DATE(1995,12,1)</f>
        <v>35034</v>
      </c>
      <c r="B2240" s="3">
        <f>DATE(1996,3,15)</f>
        <v>35139</v>
      </c>
      <c r="C2240" s="2" t="s">
        <v>95</v>
      </c>
      <c r="D2240" s="2" t="s">
        <v>7211</v>
      </c>
      <c r="E2240" s="2" t="s">
        <v>7212</v>
      </c>
      <c r="F2240" s="4">
        <v>6411</v>
      </c>
      <c r="G2240" s="2" t="s">
        <v>125</v>
      </c>
      <c r="H2240" s="2" t="s">
        <v>34</v>
      </c>
      <c r="I2240" s="2" t="s">
        <v>7213</v>
      </c>
      <c r="J2240" s="2" t="s">
        <v>515</v>
      </c>
      <c r="K2240" s="2" t="s">
        <v>125</v>
      </c>
      <c r="L2240" s="2" t="s">
        <v>34</v>
      </c>
      <c r="M2240" s="7">
        <v>35.929000000000002</v>
      </c>
      <c r="N2240" s="7">
        <v>17.125</v>
      </c>
      <c r="O2240" s="5">
        <v>16.5</v>
      </c>
      <c r="P2240" s="2" t="s">
        <v>7214</v>
      </c>
      <c r="Q2240" s="6">
        <v>100</v>
      </c>
      <c r="R2240" s="6">
        <v>8.8800000000000008</v>
      </c>
      <c r="S2240" s="5">
        <v>1.5</v>
      </c>
      <c r="T2240" s="7">
        <v>2.6520000000000001</v>
      </c>
      <c r="U2240" s="5">
        <v>6.3</v>
      </c>
      <c r="V2240" s="7">
        <v>0.77900000000000003</v>
      </c>
      <c r="W2240" s="7">
        <v>3.8130000000000002</v>
      </c>
      <c r="X2240" s="5">
        <v>3.5</v>
      </c>
      <c r="Y2240" s="4">
        <v>7</v>
      </c>
      <c r="Z2240" s="7">
        <v>7.125</v>
      </c>
      <c r="AA2240" s="6">
        <v>1.94</v>
      </c>
      <c r="AB2240" s="7">
        <v>8.0359999999999996</v>
      </c>
      <c r="AC2240" s="6">
        <v>3.95</v>
      </c>
    </row>
    <row r="2241" spans="1:29" ht="52" x14ac:dyDescent="0.15">
      <c r="A2241" s="3">
        <f>DATE(1995,12,1)</f>
        <v>35034</v>
      </c>
      <c r="B2241" s="2"/>
      <c r="C2241" s="2" t="s">
        <v>82</v>
      </c>
      <c r="D2241" s="2" t="s">
        <v>7215</v>
      </c>
      <c r="E2241" s="2" t="s">
        <v>7216</v>
      </c>
      <c r="F2241" s="4">
        <v>3827</v>
      </c>
      <c r="G2241" s="2" t="s">
        <v>226</v>
      </c>
      <c r="H2241" s="2" t="s">
        <v>34</v>
      </c>
      <c r="I2241" s="2" t="s">
        <v>51</v>
      </c>
      <c r="J2241" s="2" t="s">
        <v>52</v>
      </c>
      <c r="K2241" s="2" t="s">
        <v>53</v>
      </c>
      <c r="L2241" s="2" t="s">
        <v>34</v>
      </c>
      <c r="M2241" s="2"/>
      <c r="N2241" s="2"/>
      <c r="O2241" s="2"/>
      <c r="P2241" s="2" t="s">
        <v>7217</v>
      </c>
      <c r="Q2241" s="2"/>
      <c r="R2241" s="6">
        <v>14</v>
      </c>
      <c r="S2241" s="5">
        <v>-0.1</v>
      </c>
      <c r="T2241" s="7">
        <v>0.755</v>
      </c>
      <c r="U2241" s="5">
        <v>10.8</v>
      </c>
      <c r="V2241" s="7">
        <v>-0.14399999999999999</v>
      </c>
      <c r="W2241" s="7">
        <v>10.625</v>
      </c>
      <c r="X2241" s="5">
        <v>10.5</v>
      </c>
      <c r="Y2241" s="4">
        <v>11</v>
      </c>
      <c r="Z2241" s="6">
        <v>11.75</v>
      </c>
      <c r="AA2241" s="6">
        <v>0.53</v>
      </c>
      <c r="AB2241" s="7">
        <v>52.621000000000002</v>
      </c>
      <c r="AC2241" s="2"/>
    </row>
    <row r="2242" spans="1:29" ht="130" x14ac:dyDescent="0.15">
      <c r="A2242" s="3">
        <f>DATE(1995,12,1)</f>
        <v>35034</v>
      </c>
      <c r="B2242" s="3">
        <f>DATE(1996,5,10)</f>
        <v>35195</v>
      </c>
      <c r="C2242" s="2" t="s">
        <v>95</v>
      </c>
      <c r="D2242" s="2" t="s">
        <v>7218</v>
      </c>
      <c r="E2242" s="2" t="s">
        <v>7219</v>
      </c>
      <c r="F2242" s="4">
        <v>4953</v>
      </c>
      <c r="G2242" s="2" t="s">
        <v>116</v>
      </c>
      <c r="H2242" s="2" t="s">
        <v>34</v>
      </c>
      <c r="I2242" s="2" t="s">
        <v>7220</v>
      </c>
      <c r="J2242" s="2" t="s">
        <v>4189</v>
      </c>
      <c r="K2242" s="2" t="s">
        <v>223</v>
      </c>
      <c r="L2242" s="2" t="s">
        <v>34</v>
      </c>
      <c r="M2242" s="2"/>
      <c r="N2242" s="2"/>
      <c r="O2242" s="2"/>
      <c r="P2242" s="2" t="s">
        <v>7221</v>
      </c>
      <c r="Q2242" s="6">
        <v>55</v>
      </c>
      <c r="R2242" s="2"/>
      <c r="S2242" s="5">
        <v>5.6</v>
      </c>
      <c r="T2242" s="7">
        <v>15.531000000000001</v>
      </c>
      <c r="U2242" s="5">
        <v>14</v>
      </c>
      <c r="V2242" s="6">
        <v>0.8</v>
      </c>
      <c r="W2242" s="7">
        <v>13.125</v>
      </c>
      <c r="X2242" s="4">
        <v>14</v>
      </c>
      <c r="Y2242" s="6">
        <v>18.25</v>
      </c>
      <c r="Z2242" s="6">
        <v>15.75</v>
      </c>
      <c r="AA2242" s="6">
        <v>8</v>
      </c>
      <c r="AB2242" s="7">
        <v>5.7380000000000004</v>
      </c>
      <c r="AC2242" s="2"/>
    </row>
    <row r="2243" spans="1:29" ht="143" x14ac:dyDescent="0.15">
      <c r="A2243" s="3">
        <f>DATE(1995,12,1)</f>
        <v>35034</v>
      </c>
      <c r="B2243" s="3">
        <f>DATE(1996,7,16)</f>
        <v>35262</v>
      </c>
      <c r="C2243" s="2" t="s">
        <v>95</v>
      </c>
      <c r="D2243" s="2" t="s">
        <v>7125</v>
      </c>
      <c r="E2243" s="2" t="s">
        <v>7126</v>
      </c>
      <c r="F2243" s="4">
        <v>5812</v>
      </c>
      <c r="G2243" s="2" t="s">
        <v>230</v>
      </c>
      <c r="H2243" s="2" t="s">
        <v>34</v>
      </c>
      <c r="I2243" s="2" t="s">
        <v>7222</v>
      </c>
      <c r="J2243" s="2" t="s">
        <v>7082</v>
      </c>
      <c r="K2243" s="2" t="s">
        <v>230</v>
      </c>
      <c r="L2243" s="2" t="s">
        <v>34</v>
      </c>
      <c r="M2243" s="7">
        <v>275.53899999999999</v>
      </c>
      <c r="N2243" s="7">
        <v>17.125</v>
      </c>
      <c r="O2243" s="7">
        <v>17.375</v>
      </c>
      <c r="P2243" s="2" t="s">
        <v>7223</v>
      </c>
      <c r="Q2243" s="6">
        <v>100</v>
      </c>
      <c r="R2243" s="6">
        <v>5.38</v>
      </c>
      <c r="S2243" s="5">
        <v>4.0999999999999996</v>
      </c>
      <c r="T2243" s="7">
        <v>2.4060000000000001</v>
      </c>
      <c r="U2243" s="5">
        <v>9.1</v>
      </c>
      <c r="V2243" s="6">
        <v>0.72</v>
      </c>
      <c r="W2243" s="5">
        <v>4.5</v>
      </c>
      <c r="X2243" s="6">
        <v>4.75</v>
      </c>
      <c r="Y2243" s="6">
        <v>4.75</v>
      </c>
      <c r="Z2243" s="7">
        <v>5.625</v>
      </c>
      <c r="AA2243" s="6">
        <v>4.8</v>
      </c>
      <c r="AB2243" s="2" t="s">
        <v>86</v>
      </c>
      <c r="AC2243" s="6">
        <v>25.94</v>
      </c>
    </row>
    <row r="2244" spans="1:29" ht="39" x14ac:dyDescent="0.15">
      <c r="A2244" s="3">
        <f>DATE(1995,12,4)</f>
        <v>35037</v>
      </c>
      <c r="B2244" s="2"/>
      <c r="C2244" s="2" t="s">
        <v>189</v>
      </c>
      <c r="D2244" s="2" t="s">
        <v>3861</v>
      </c>
      <c r="E2244" s="2" t="s">
        <v>1181</v>
      </c>
      <c r="F2244" s="4">
        <v>6021</v>
      </c>
      <c r="G2244" s="2" t="s">
        <v>37</v>
      </c>
      <c r="H2244" s="2" t="s">
        <v>34</v>
      </c>
      <c r="I2244" s="2" t="s">
        <v>143</v>
      </c>
      <c r="J2244" s="2" t="s">
        <v>144</v>
      </c>
      <c r="K2244" s="2" t="s">
        <v>53</v>
      </c>
      <c r="L2244" s="2" t="s">
        <v>139</v>
      </c>
      <c r="M2244" s="2"/>
      <c r="N2244" s="2"/>
      <c r="O2244" s="2"/>
      <c r="P2244" s="2" t="s">
        <v>7224</v>
      </c>
      <c r="Q2244" s="2"/>
      <c r="R2244" s="2"/>
      <c r="S2244" s="5">
        <v>27.5</v>
      </c>
      <c r="T2244" s="7">
        <v>53.237000000000002</v>
      </c>
      <c r="U2244" s="5">
        <v>10.7</v>
      </c>
      <c r="V2244" s="9">
        <v>0.93779999999999997</v>
      </c>
      <c r="W2244" s="7">
        <v>34.875</v>
      </c>
      <c r="X2244" s="4">
        <v>37</v>
      </c>
      <c r="Y2244" s="6">
        <v>37.75</v>
      </c>
      <c r="Z2244" s="4">
        <v>37</v>
      </c>
      <c r="AA2244" s="6">
        <v>12.88</v>
      </c>
      <c r="AB2244" s="2" t="s">
        <v>47</v>
      </c>
      <c r="AC2244" s="2"/>
    </row>
    <row r="2245" spans="1:29" ht="117" x14ac:dyDescent="0.15">
      <c r="A2245" s="3">
        <f>DATE(1995,12,4)</f>
        <v>35037</v>
      </c>
      <c r="B2245" s="3">
        <f>DATE(1996,4,1)</f>
        <v>35156</v>
      </c>
      <c r="C2245" s="2" t="s">
        <v>95</v>
      </c>
      <c r="D2245" s="2" t="s">
        <v>7225</v>
      </c>
      <c r="E2245" s="2" t="s">
        <v>3322</v>
      </c>
      <c r="F2245" s="4">
        <v>8711</v>
      </c>
      <c r="G2245" s="2" t="s">
        <v>223</v>
      </c>
      <c r="H2245" s="2" t="s">
        <v>34</v>
      </c>
      <c r="I2245" s="2" t="s">
        <v>7226</v>
      </c>
      <c r="J2245" s="2" t="s">
        <v>7227</v>
      </c>
      <c r="K2245" s="2" t="s">
        <v>223</v>
      </c>
      <c r="L2245" s="2" t="s">
        <v>34</v>
      </c>
      <c r="M2245" s="7">
        <v>46.424999999999997</v>
      </c>
      <c r="N2245" s="4">
        <v>7</v>
      </c>
      <c r="O2245" s="4">
        <v>7</v>
      </c>
      <c r="P2245" s="2" t="s">
        <v>7228</v>
      </c>
      <c r="Q2245" s="6">
        <v>100</v>
      </c>
      <c r="R2245" s="6">
        <v>15.55</v>
      </c>
      <c r="S2245" s="5">
        <v>4</v>
      </c>
      <c r="T2245" s="7">
        <v>9.4130000000000003</v>
      </c>
      <c r="U2245" s="5">
        <v>11.4</v>
      </c>
      <c r="V2245" s="6">
        <v>0.82</v>
      </c>
      <c r="W2245" s="4">
        <v>9</v>
      </c>
      <c r="X2245" s="6">
        <v>9.25</v>
      </c>
      <c r="Y2245" s="7">
        <v>12.875</v>
      </c>
      <c r="Z2245" s="7">
        <v>12.875</v>
      </c>
      <c r="AA2245" s="6">
        <v>4.7</v>
      </c>
      <c r="AB2245" s="7">
        <v>9.5489999999999995</v>
      </c>
      <c r="AC2245" s="6">
        <v>8.84</v>
      </c>
    </row>
    <row r="2246" spans="1:29" ht="52" x14ac:dyDescent="0.15">
      <c r="A2246" s="3">
        <f>DATE(1995,12,5)</f>
        <v>35038</v>
      </c>
      <c r="B2246" s="2"/>
      <c r="C2246" s="2" t="s">
        <v>30</v>
      </c>
      <c r="D2246" s="2" t="s">
        <v>7229</v>
      </c>
      <c r="E2246" s="2" t="s">
        <v>386</v>
      </c>
      <c r="F2246" s="4">
        <v>6726</v>
      </c>
      <c r="G2246" s="2" t="s">
        <v>53</v>
      </c>
      <c r="H2246" s="2" t="s">
        <v>34</v>
      </c>
      <c r="I2246" s="2" t="s">
        <v>7230</v>
      </c>
      <c r="J2246" s="2" t="s">
        <v>6588</v>
      </c>
      <c r="K2246" s="2" t="s">
        <v>76</v>
      </c>
      <c r="L2246" s="2" t="s">
        <v>2105</v>
      </c>
      <c r="M2246" s="2"/>
      <c r="N2246" s="2"/>
      <c r="O2246" s="2"/>
      <c r="P2246" s="2" t="s">
        <v>7231</v>
      </c>
      <c r="Q2246" s="2"/>
      <c r="R2246" s="2"/>
      <c r="S2246" s="5">
        <v>-8.6999999999999993</v>
      </c>
      <c r="T2246" s="7">
        <v>-3.4369999999999998</v>
      </c>
      <c r="U2246" s="5">
        <v>-0.9</v>
      </c>
      <c r="V2246" s="7">
        <v>-2.3559999999999999</v>
      </c>
      <c r="W2246" s="5">
        <v>2.5</v>
      </c>
      <c r="X2246" s="5">
        <v>2.5</v>
      </c>
      <c r="Y2246" s="7">
        <v>2.625</v>
      </c>
      <c r="Z2246" s="7">
        <v>2.625</v>
      </c>
      <c r="AA2246" s="2"/>
      <c r="AB2246" s="2" t="s">
        <v>86</v>
      </c>
      <c r="AC2246" s="2"/>
    </row>
    <row r="2247" spans="1:29" ht="117" x14ac:dyDescent="0.15">
      <c r="A2247" s="3">
        <f>DATE(1995,12,6)</f>
        <v>35039</v>
      </c>
      <c r="B2247" s="3">
        <f>DATE(1999,2,10)</f>
        <v>36201</v>
      </c>
      <c r="C2247" s="2" t="s">
        <v>95</v>
      </c>
      <c r="D2247" s="2" t="s">
        <v>5976</v>
      </c>
      <c r="E2247" s="2" t="s">
        <v>5977</v>
      </c>
      <c r="F2247" s="4">
        <v>5045</v>
      </c>
      <c r="G2247" s="2" t="s">
        <v>76</v>
      </c>
      <c r="H2247" s="2" t="s">
        <v>34</v>
      </c>
      <c r="I2247" s="2" t="s">
        <v>7232</v>
      </c>
      <c r="J2247" s="2" t="s">
        <v>5014</v>
      </c>
      <c r="K2247" s="2" t="s">
        <v>76</v>
      </c>
      <c r="L2247" s="2" t="s">
        <v>902</v>
      </c>
      <c r="M2247" s="2"/>
      <c r="N2247" s="2"/>
      <c r="O2247" s="2"/>
      <c r="P2247" s="2" t="s">
        <v>7233</v>
      </c>
      <c r="Q2247" s="6">
        <v>96.14</v>
      </c>
      <c r="R2247" s="6">
        <v>9.5</v>
      </c>
      <c r="S2247" s="5">
        <v>5.0999999999999996</v>
      </c>
      <c r="T2247" s="7">
        <v>10.747999999999999</v>
      </c>
      <c r="U2247" s="5">
        <v>9.8000000000000007</v>
      </c>
      <c r="V2247" s="6">
        <v>0.83</v>
      </c>
      <c r="W2247" s="6">
        <v>8.25</v>
      </c>
      <c r="X2247" s="7">
        <v>8.875</v>
      </c>
      <c r="Y2247" s="7">
        <v>9.125</v>
      </c>
      <c r="Z2247" s="7">
        <v>9.125</v>
      </c>
      <c r="AA2247" s="6">
        <v>6.43</v>
      </c>
      <c r="AB2247" s="7">
        <v>8.0619999999999994</v>
      </c>
      <c r="AC2247" s="2"/>
    </row>
    <row r="2248" spans="1:29" ht="65" x14ac:dyDescent="0.15">
      <c r="A2248" s="3">
        <f>DATE(1995,12,7)</f>
        <v>35040</v>
      </c>
      <c r="B2248" s="3">
        <f>DATE(1996,2,16)</f>
        <v>35111</v>
      </c>
      <c r="C2248" s="2" t="s">
        <v>95</v>
      </c>
      <c r="D2248" s="2" t="s">
        <v>470</v>
      </c>
      <c r="E2248" s="2" t="s">
        <v>471</v>
      </c>
      <c r="F2248" s="4">
        <v>3231</v>
      </c>
      <c r="G2248" s="2" t="s">
        <v>237</v>
      </c>
      <c r="H2248" s="2" t="s">
        <v>34</v>
      </c>
      <c r="I2248" s="2" t="s">
        <v>7234</v>
      </c>
      <c r="J2248" s="2" t="s">
        <v>7235</v>
      </c>
      <c r="K2248" s="2" t="s">
        <v>112</v>
      </c>
      <c r="L2248" s="2" t="s">
        <v>34</v>
      </c>
      <c r="M2248" s="7">
        <v>246.249</v>
      </c>
      <c r="N2248" s="7">
        <v>20.625</v>
      </c>
      <c r="O2248" s="6">
        <v>20.75</v>
      </c>
      <c r="P2248" s="2" t="s">
        <v>7236</v>
      </c>
      <c r="Q2248" s="6">
        <v>100</v>
      </c>
      <c r="R2248" s="6">
        <v>13</v>
      </c>
      <c r="S2248" s="5">
        <v>3.2</v>
      </c>
      <c r="T2248" s="7">
        <v>0.14899999999999999</v>
      </c>
      <c r="U2248" s="5">
        <v>8.1</v>
      </c>
      <c r="V2248" s="7">
        <v>0.876</v>
      </c>
      <c r="W2248" s="7">
        <v>9.8130000000000006</v>
      </c>
      <c r="X2248" s="7">
        <v>9.625</v>
      </c>
      <c r="Y2248" s="6">
        <v>12.25</v>
      </c>
      <c r="Z2248" s="6">
        <v>12.25</v>
      </c>
      <c r="AA2248" s="6">
        <v>3.7</v>
      </c>
      <c r="AB2248" s="2" t="s">
        <v>86</v>
      </c>
      <c r="AC2248" s="5">
        <v>1.9</v>
      </c>
    </row>
    <row r="2249" spans="1:29" ht="117" x14ac:dyDescent="0.15">
      <c r="A2249" s="3">
        <f>DATE(1995,12,8)</f>
        <v>35041</v>
      </c>
      <c r="B2249" s="2"/>
      <c r="C2249" s="2" t="s">
        <v>30</v>
      </c>
      <c r="D2249" s="2" t="s">
        <v>7237</v>
      </c>
      <c r="E2249" s="2" t="s">
        <v>1098</v>
      </c>
      <c r="F2249" s="4">
        <v>8051</v>
      </c>
      <c r="G2249" s="2" t="s">
        <v>454</v>
      </c>
      <c r="H2249" s="2" t="s">
        <v>34</v>
      </c>
      <c r="I2249" s="2" t="s">
        <v>7238</v>
      </c>
      <c r="J2249" s="2" t="s">
        <v>3632</v>
      </c>
      <c r="K2249" s="2" t="s">
        <v>454</v>
      </c>
      <c r="L2249" s="2" t="s">
        <v>34</v>
      </c>
      <c r="M2249" s="7">
        <v>108.845</v>
      </c>
      <c r="N2249" s="4">
        <v>12</v>
      </c>
      <c r="O2249" s="6">
        <v>11.75</v>
      </c>
      <c r="P2249" s="2" t="s">
        <v>7239</v>
      </c>
      <c r="Q2249" s="2"/>
      <c r="R2249" s="2"/>
      <c r="S2249" s="5">
        <v>-0.3</v>
      </c>
      <c r="T2249" s="7">
        <v>0.86299999999999999</v>
      </c>
      <c r="U2249" s="5">
        <v>0.7</v>
      </c>
      <c r="V2249" s="6">
        <v>-0.06</v>
      </c>
      <c r="W2249" s="7">
        <v>3.375</v>
      </c>
      <c r="X2249" s="7">
        <v>2.875</v>
      </c>
      <c r="Y2249" s="5">
        <v>3.5</v>
      </c>
      <c r="Z2249" s="6">
        <v>3.75</v>
      </c>
      <c r="AA2249" s="6">
        <v>10.66</v>
      </c>
      <c r="AB2249" s="2" t="s">
        <v>86</v>
      </c>
      <c r="AC2249" s="6">
        <v>5.21</v>
      </c>
    </row>
    <row r="2250" spans="1:29" ht="104" x14ac:dyDescent="0.15">
      <c r="A2250" s="3">
        <f t="shared" ref="A2250:A2257" si="13">DATE(1995,12,11)</f>
        <v>35044</v>
      </c>
      <c r="B2250" s="3">
        <f>DATE(1996,1,19)</f>
        <v>35083</v>
      </c>
      <c r="C2250" s="2" t="s">
        <v>95</v>
      </c>
      <c r="D2250" s="2" t="s">
        <v>7240</v>
      </c>
      <c r="E2250" s="2" t="s">
        <v>7241</v>
      </c>
      <c r="F2250" s="4">
        <v>8711</v>
      </c>
      <c r="G2250" s="2" t="s">
        <v>223</v>
      </c>
      <c r="H2250" s="2" t="s">
        <v>34</v>
      </c>
      <c r="I2250" s="2" t="s">
        <v>5088</v>
      </c>
      <c r="J2250" s="2" t="s">
        <v>5089</v>
      </c>
      <c r="K2250" s="2" t="s">
        <v>300</v>
      </c>
      <c r="L2250" s="2" t="s">
        <v>1791</v>
      </c>
      <c r="M2250" s="2"/>
      <c r="N2250" s="2"/>
      <c r="O2250" s="2"/>
      <c r="P2250" s="2" t="s">
        <v>7242</v>
      </c>
      <c r="Q2250" s="6">
        <v>100</v>
      </c>
      <c r="R2250" s="6">
        <v>8</v>
      </c>
      <c r="S2250" s="5">
        <v>-0.4</v>
      </c>
      <c r="T2250" s="7">
        <v>7.6609999999999996</v>
      </c>
      <c r="U2250" s="5">
        <v>2.8</v>
      </c>
      <c r="V2250" s="7">
        <v>-4.0000000000000001E-3</v>
      </c>
      <c r="W2250" s="4">
        <v>6</v>
      </c>
      <c r="X2250" s="7">
        <v>5.875</v>
      </c>
      <c r="Y2250" s="7">
        <v>7.8280000000000003</v>
      </c>
      <c r="Z2250" s="7">
        <v>7.8440000000000003</v>
      </c>
      <c r="AA2250" s="6">
        <v>8.6999999999999993</v>
      </c>
      <c r="AB2250" s="7">
        <v>31.233000000000001</v>
      </c>
      <c r="AC2250" s="6">
        <v>66.02</v>
      </c>
    </row>
    <row r="2251" spans="1:29" ht="78" x14ac:dyDescent="0.15">
      <c r="A2251" s="3">
        <f t="shared" si="13"/>
        <v>35044</v>
      </c>
      <c r="B2251" s="3">
        <f>DATE(1996,7,1)</f>
        <v>35247</v>
      </c>
      <c r="C2251" s="2" t="s">
        <v>95</v>
      </c>
      <c r="D2251" s="2" t="s">
        <v>7243</v>
      </c>
      <c r="E2251" s="2" t="s">
        <v>7244</v>
      </c>
      <c r="F2251" s="4">
        <v>6035</v>
      </c>
      <c r="G2251" s="2" t="s">
        <v>33</v>
      </c>
      <c r="H2251" s="2" t="s">
        <v>34</v>
      </c>
      <c r="I2251" s="2" t="s">
        <v>7245</v>
      </c>
      <c r="J2251" s="2" t="s">
        <v>265</v>
      </c>
      <c r="K2251" s="2" t="s">
        <v>37</v>
      </c>
      <c r="L2251" s="2" t="s">
        <v>34</v>
      </c>
      <c r="M2251" s="2"/>
      <c r="N2251" s="2"/>
      <c r="O2251" s="2"/>
      <c r="P2251" s="2" t="s">
        <v>7246</v>
      </c>
      <c r="Q2251" s="6">
        <v>100</v>
      </c>
      <c r="R2251" s="6">
        <v>22</v>
      </c>
      <c r="S2251" s="5">
        <v>29</v>
      </c>
      <c r="T2251" s="7">
        <v>45.829000000000001</v>
      </c>
      <c r="U2251" s="5">
        <v>17</v>
      </c>
      <c r="V2251" s="7">
        <v>2.3780000000000001</v>
      </c>
      <c r="W2251" s="6">
        <v>19.25</v>
      </c>
      <c r="X2251" s="6">
        <v>19.75</v>
      </c>
      <c r="Y2251" s="5">
        <v>20.5</v>
      </c>
      <c r="Z2251" s="5">
        <v>20.5</v>
      </c>
      <c r="AA2251" s="6">
        <v>0.47</v>
      </c>
      <c r="AB2251" s="7">
        <v>44.029000000000003</v>
      </c>
      <c r="AC2251" s="2"/>
    </row>
    <row r="2252" spans="1:29" ht="78" x14ac:dyDescent="0.15">
      <c r="A2252" s="3">
        <f t="shared" si="13"/>
        <v>35044</v>
      </c>
      <c r="B2252" s="3">
        <f>DATE(1996,6,28)</f>
        <v>35244</v>
      </c>
      <c r="C2252" s="2" t="s">
        <v>95</v>
      </c>
      <c r="D2252" s="2" t="s">
        <v>7247</v>
      </c>
      <c r="E2252" s="2" t="s">
        <v>1181</v>
      </c>
      <c r="F2252" s="4">
        <v>6022</v>
      </c>
      <c r="G2252" s="2" t="s">
        <v>37</v>
      </c>
      <c r="H2252" s="2" t="s">
        <v>34</v>
      </c>
      <c r="I2252" s="2" t="s">
        <v>7248</v>
      </c>
      <c r="J2252" s="2" t="s">
        <v>1181</v>
      </c>
      <c r="K2252" s="2" t="s">
        <v>37</v>
      </c>
      <c r="L2252" s="2" t="s">
        <v>34</v>
      </c>
      <c r="M2252" s="2"/>
      <c r="N2252" s="2"/>
      <c r="O2252" s="2"/>
      <c r="P2252" s="2" t="s">
        <v>7249</v>
      </c>
      <c r="Q2252" s="6">
        <v>100</v>
      </c>
      <c r="R2252" s="6">
        <v>8.75</v>
      </c>
      <c r="S2252" s="5">
        <v>0.5</v>
      </c>
      <c r="T2252" s="6">
        <v>0.89</v>
      </c>
      <c r="U2252" s="5">
        <v>7.8</v>
      </c>
      <c r="V2252" s="6">
        <v>-0.5</v>
      </c>
      <c r="W2252" s="7">
        <v>8.625</v>
      </c>
      <c r="X2252" s="4">
        <v>9</v>
      </c>
      <c r="Y2252" s="5">
        <v>8.9</v>
      </c>
      <c r="Z2252" s="5">
        <v>8.5</v>
      </c>
      <c r="AA2252" s="6">
        <v>1.38</v>
      </c>
      <c r="AB2252" s="7">
        <v>78.135999999999996</v>
      </c>
      <c r="AC2252" s="2"/>
    </row>
    <row r="2253" spans="1:29" ht="169" x14ac:dyDescent="0.15">
      <c r="A2253" s="3">
        <f t="shared" si="13"/>
        <v>35044</v>
      </c>
      <c r="B2253" s="3">
        <f>DATE(1996,3,15)</f>
        <v>35139</v>
      </c>
      <c r="C2253" s="2" t="s">
        <v>95</v>
      </c>
      <c r="D2253" s="2" t="s">
        <v>7250</v>
      </c>
      <c r="E2253" s="2" t="s">
        <v>1550</v>
      </c>
      <c r="F2253" s="4">
        <v>7372</v>
      </c>
      <c r="G2253" s="2" t="s">
        <v>551</v>
      </c>
      <c r="H2253" s="2" t="s">
        <v>34</v>
      </c>
      <c r="I2253" s="2" t="s">
        <v>7251</v>
      </c>
      <c r="J2253" s="2" t="s">
        <v>1550</v>
      </c>
      <c r="K2253" s="2" t="s">
        <v>551</v>
      </c>
      <c r="L2253" s="2" t="s">
        <v>34</v>
      </c>
      <c r="M2253" s="7">
        <v>869.274</v>
      </c>
      <c r="N2253" s="7">
        <v>36.875</v>
      </c>
      <c r="O2253" s="7">
        <v>35.375</v>
      </c>
      <c r="P2253" s="2" t="s">
        <v>7252</v>
      </c>
      <c r="Q2253" s="6">
        <v>100</v>
      </c>
      <c r="R2253" s="6">
        <v>12.44</v>
      </c>
      <c r="S2253" s="5">
        <v>6.3</v>
      </c>
      <c r="T2253" s="7">
        <v>15.336</v>
      </c>
      <c r="U2253" s="5">
        <v>3.9</v>
      </c>
      <c r="V2253" s="6">
        <v>0.43</v>
      </c>
      <c r="W2253" s="7">
        <v>8.375</v>
      </c>
      <c r="X2253" s="6">
        <v>10.75</v>
      </c>
      <c r="Y2253" s="6">
        <v>10.25</v>
      </c>
      <c r="Z2253" s="4">
        <v>10</v>
      </c>
      <c r="AA2253" s="6">
        <v>14.51</v>
      </c>
      <c r="AB2253" s="7">
        <v>20.527999999999999</v>
      </c>
      <c r="AC2253" s="6">
        <v>44.53</v>
      </c>
    </row>
    <row r="2254" spans="1:29" ht="117" x14ac:dyDescent="0.15">
      <c r="A2254" s="3">
        <f t="shared" si="13"/>
        <v>35044</v>
      </c>
      <c r="B2254" s="3">
        <f>DATE(1996,1,22)</f>
        <v>35086</v>
      </c>
      <c r="C2254" s="2" t="s">
        <v>95</v>
      </c>
      <c r="D2254" s="2" t="s">
        <v>7253</v>
      </c>
      <c r="E2254" s="2" t="s">
        <v>7254</v>
      </c>
      <c r="F2254" s="4">
        <v>2675</v>
      </c>
      <c r="G2254" s="2" t="s">
        <v>282</v>
      </c>
      <c r="H2254" s="2" t="s">
        <v>34</v>
      </c>
      <c r="I2254" s="2" t="s">
        <v>578</v>
      </c>
      <c r="J2254" s="2" t="s">
        <v>579</v>
      </c>
      <c r="K2254" s="2" t="s">
        <v>237</v>
      </c>
      <c r="L2254" s="2" t="s">
        <v>34</v>
      </c>
      <c r="M2254" s="12">
        <v>3751.4079999999999</v>
      </c>
      <c r="N2254" s="7">
        <v>26.875</v>
      </c>
      <c r="O2254" s="5">
        <v>26.5</v>
      </c>
      <c r="P2254" s="2" t="s">
        <v>7255</v>
      </c>
      <c r="Q2254" s="6">
        <v>100</v>
      </c>
      <c r="R2254" s="6">
        <v>5.5</v>
      </c>
      <c r="S2254" s="5">
        <v>5.3</v>
      </c>
      <c r="T2254" s="7">
        <v>7.6420000000000003</v>
      </c>
      <c r="U2254" s="5">
        <v>5.4</v>
      </c>
      <c r="V2254" s="7">
        <v>0.84499999999999997</v>
      </c>
      <c r="W2254" s="7">
        <v>3.875</v>
      </c>
      <c r="X2254" s="6">
        <v>5.25</v>
      </c>
      <c r="Y2254" s="7">
        <v>5.3440000000000003</v>
      </c>
      <c r="Z2254" s="7">
        <v>5.375</v>
      </c>
      <c r="AA2254" s="6">
        <v>6.08</v>
      </c>
      <c r="AB2254" s="7">
        <v>14.904</v>
      </c>
      <c r="AC2254" s="6">
        <v>14.89</v>
      </c>
    </row>
    <row r="2255" spans="1:29" ht="156" x14ac:dyDescent="0.15">
      <c r="A2255" s="3">
        <f t="shared" si="13"/>
        <v>35044</v>
      </c>
      <c r="B2255" s="3">
        <f>DATE(1996,2,14)</f>
        <v>35109</v>
      </c>
      <c r="C2255" s="2" t="s">
        <v>95</v>
      </c>
      <c r="D2255" s="2" t="s">
        <v>7256</v>
      </c>
      <c r="E2255" s="2" t="s">
        <v>7257</v>
      </c>
      <c r="F2255" s="4">
        <v>2844</v>
      </c>
      <c r="G2255" s="2" t="s">
        <v>358</v>
      </c>
      <c r="H2255" s="2" t="s">
        <v>34</v>
      </c>
      <c r="I2255" s="2" t="s">
        <v>7258</v>
      </c>
      <c r="J2255" s="2" t="s">
        <v>7259</v>
      </c>
      <c r="K2255" s="2" t="s">
        <v>358</v>
      </c>
      <c r="L2255" s="2" t="s">
        <v>133</v>
      </c>
      <c r="M2255" s="2"/>
      <c r="N2255" s="2"/>
      <c r="O2255" s="2"/>
      <c r="P2255" s="2" t="s">
        <v>7260</v>
      </c>
      <c r="Q2255" s="6">
        <v>100</v>
      </c>
      <c r="R2255" s="6">
        <v>44</v>
      </c>
      <c r="S2255" s="5">
        <v>16.600000000000001</v>
      </c>
      <c r="T2255" s="7">
        <v>45.936999999999998</v>
      </c>
      <c r="U2255" s="5">
        <v>0.7</v>
      </c>
      <c r="V2255" s="6">
        <v>1.07</v>
      </c>
      <c r="W2255" s="7">
        <v>26.375</v>
      </c>
      <c r="X2255" s="4">
        <v>31</v>
      </c>
      <c r="Y2255" s="6">
        <v>36.25</v>
      </c>
      <c r="Z2255" s="7">
        <v>36.313000000000002</v>
      </c>
      <c r="AA2255" s="6">
        <v>13.33</v>
      </c>
      <c r="AB2255" s="7">
        <v>22.106000000000002</v>
      </c>
      <c r="AC2255" s="6">
        <v>751.23</v>
      </c>
    </row>
    <row r="2256" spans="1:29" ht="39" x14ac:dyDescent="0.15">
      <c r="A2256" s="3">
        <f t="shared" si="13"/>
        <v>35044</v>
      </c>
      <c r="B2256" s="2"/>
      <c r="C2256" s="2" t="s">
        <v>189</v>
      </c>
      <c r="D2256" s="2" t="s">
        <v>7261</v>
      </c>
      <c r="E2256" s="2" t="s">
        <v>7262</v>
      </c>
      <c r="F2256" s="4">
        <v>3089</v>
      </c>
      <c r="G2256" s="2" t="s">
        <v>447</v>
      </c>
      <c r="H2256" s="2" t="s">
        <v>34</v>
      </c>
      <c r="I2256" s="2" t="s">
        <v>143</v>
      </c>
      <c r="J2256" s="2" t="s">
        <v>144</v>
      </c>
      <c r="K2256" s="2" t="s">
        <v>53</v>
      </c>
      <c r="L2256" s="2" t="s">
        <v>139</v>
      </c>
      <c r="M2256" s="2"/>
      <c r="N2256" s="2"/>
      <c r="O2256" s="2"/>
      <c r="P2256" s="2" t="s">
        <v>7263</v>
      </c>
      <c r="Q2256" s="2"/>
      <c r="R2256" s="2"/>
      <c r="S2256" s="5">
        <v>-0.8</v>
      </c>
      <c r="T2256" s="7">
        <v>0.51700000000000002</v>
      </c>
      <c r="U2256" s="5">
        <v>2.5</v>
      </c>
      <c r="V2256" s="6">
        <v>-0.14000000000000001</v>
      </c>
      <c r="W2256" s="7">
        <v>2.4380000000000002</v>
      </c>
      <c r="X2256" s="6">
        <v>2.25</v>
      </c>
      <c r="Y2256" s="4">
        <v>3</v>
      </c>
      <c r="Z2256" s="7">
        <v>3.875</v>
      </c>
      <c r="AA2256" s="6">
        <v>2.27</v>
      </c>
      <c r="AB2256" s="2" t="s">
        <v>86</v>
      </c>
      <c r="AC2256" s="2"/>
    </row>
    <row r="2257" spans="1:29" ht="26" x14ac:dyDescent="0.15">
      <c r="A2257" s="3">
        <f t="shared" si="13"/>
        <v>35044</v>
      </c>
      <c r="B2257" s="2"/>
      <c r="C2257" s="2" t="s">
        <v>87</v>
      </c>
      <c r="D2257" s="2" t="s">
        <v>7264</v>
      </c>
      <c r="E2257" s="2" t="s">
        <v>3322</v>
      </c>
      <c r="F2257" s="4">
        <v>8711</v>
      </c>
      <c r="G2257" s="2" t="s">
        <v>223</v>
      </c>
      <c r="H2257" s="2" t="s">
        <v>34</v>
      </c>
      <c r="I2257" s="2" t="s">
        <v>6066</v>
      </c>
      <c r="J2257" s="2" t="s">
        <v>6067</v>
      </c>
      <c r="K2257" s="2" t="s">
        <v>226</v>
      </c>
      <c r="L2257" s="2" t="s">
        <v>34</v>
      </c>
      <c r="M2257" s="2"/>
      <c r="N2257" s="7">
        <v>45.125</v>
      </c>
      <c r="O2257" s="6">
        <v>45.25</v>
      </c>
      <c r="P2257" s="2" t="s">
        <v>7265</v>
      </c>
      <c r="Q2257" s="2"/>
      <c r="R2257" s="2"/>
      <c r="S2257" s="5">
        <v>-7.8</v>
      </c>
      <c r="T2257" s="7">
        <v>-37.023000000000003</v>
      </c>
      <c r="U2257" s="5">
        <v>25.7</v>
      </c>
      <c r="V2257" s="6">
        <v>-0.52</v>
      </c>
      <c r="W2257" s="7">
        <v>36.375</v>
      </c>
      <c r="X2257" s="7">
        <v>36.125</v>
      </c>
      <c r="Y2257" s="4">
        <v>36</v>
      </c>
      <c r="Z2257" s="7">
        <v>35.875</v>
      </c>
      <c r="AA2257" s="6">
        <v>14.23</v>
      </c>
      <c r="AB2257" s="2" t="s">
        <v>86</v>
      </c>
      <c r="AC2257" s="6">
        <v>202.18</v>
      </c>
    </row>
    <row r="2258" spans="1:29" ht="156" x14ac:dyDescent="0.15">
      <c r="A2258" s="3">
        <f>DATE(1995,12,12)</f>
        <v>35045</v>
      </c>
      <c r="B2258" s="3">
        <f>DATE(1996,7,29)</f>
        <v>35275</v>
      </c>
      <c r="C2258" s="2" t="s">
        <v>95</v>
      </c>
      <c r="D2258" s="2" t="s">
        <v>6023</v>
      </c>
      <c r="E2258" s="2" t="s">
        <v>36</v>
      </c>
      <c r="F2258" s="4">
        <v>6022</v>
      </c>
      <c r="G2258" s="2" t="s">
        <v>37</v>
      </c>
      <c r="H2258" s="2" t="s">
        <v>34</v>
      </c>
      <c r="I2258" s="2" t="s">
        <v>2321</v>
      </c>
      <c r="J2258" s="2" t="s">
        <v>36</v>
      </c>
      <c r="K2258" s="2" t="s">
        <v>37</v>
      </c>
      <c r="L2258" s="2" t="s">
        <v>34</v>
      </c>
      <c r="M2258" s="12">
        <v>5107.7110000000002</v>
      </c>
      <c r="N2258" s="7">
        <v>45.375</v>
      </c>
      <c r="O2258" s="7">
        <v>43.625</v>
      </c>
      <c r="P2258" s="2" t="s">
        <v>7266</v>
      </c>
      <c r="Q2258" s="6">
        <v>100</v>
      </c>
      <c r="R2258" s="6">
        <v>102.58</v>
      </c>
      <c r="S2258" s="5">
        <v>130.30000000000001</v>
      </c>
      <c r="T2258" s="6">
        <v>249.27</v>
      </c>
      <c r="U2258" s="5">
        <v>46.2</v>
      </c>
      <c r="V2258" s="7">
        <v>6.7009999999999996</v>
      </c>
      <c r="W2258" s="6">
        <v>84.25</v>
      </c>
      <c r="X2258" s="6">
        <v>84.25</v>
      </c>
      <c r="Y2258" s="4">
        <v>85</v>
      </c>
      <c r="Z2258" s="5">
        <v>92.5</v>
      </c>
      <c r="AA2258" s="6">
        <v>19.63</v>
      </c>
      <c r="AB2258" s="7">
        <v>52.667999999999999</v>
      </c>
      <c r="AC2258" s="2"/>
    </row>
    <row r="2259" spans="1:29" ht="130" x14ac:dyDescent="0.15">
      <c r="A2259" s="3">
        <f>DATE(1995,12,12)</f>
        <v>35045</v>
      </c>
      <c r="B2259" s="2"/>
      <c r="C2259" s="2" t="s">
        <v>30</v>
      </c>
      <c r="D2259" s="2" t="s">
        <v>7267</v>
      </c>
      <c r="E2259" s="2" t="s">
        <v>7268</v>
      </c>
      <c r="F2259" s="4">
        <v>5713</v>
      </c>
      <c r="G2259" s="2" t="s">
        <v>1227</v>
      </c>
      <c r="H2259" s="2" t="s">
        <v>34</v>
      </c>
      <c r="I2259" s="2" t="s">
        <v>2623</v>
      </c>
      <c r="J2259" s="2" t="s">
        <v>2624</v>
      </c>
      <c r="K2259" s="2" t="s">
        <v>708</v>
      </c>
      <c r="L2259" s="2" t="s">
        <v>34</v>
      </c>
      <c r="M2259" s="12">
        <v>2089.3530000000001</v>
      </c>
      <c r="N2259" s="7">
        <v>15.125</v>
      </c>
      <c r="O2259" s="7">
        <v>15.625</v>
      </c>
      <c r="P2259" s="2" t="s">
        <v>7269</v>
      </c>
      <c r="Q2259" s="2"/>
      <c r="R2259" s="6">
        <v>15.25</v>
      </c>
      <c r="S2259" s="5">
        <v>2.4</v>
      </c>
      <c r="T2259" s="7">
        <v>5.2789999999999999</v>
      </c>
      <c r="U2259" s="5">
        <v>3.7</v>
      </c>
      <c r="V2259" s="6">
        <v>0.34</v>
      </c>
      <c r="W2259" s="7">
        <v>12.375</v>
      </c>
      <c r="X2259" s="4">
        <v>13</v>
      </c>
      <c r="Y2259" s="6">
        <v>13.75</v>
      </c>
      <c r="Z2259" s="6">
        <v>14.25</v>
      </c>
      <c r="AA2259" s="6">
        <v>7.13</v>
      </c>
      <c r="AB2259" s="7">
        <v>32.090000000000003</v>
      </c>
      <c r="AC2259" s="6">
        <v>34.369999999999997</v>
      </c>
    </row>
    <row r="2260" spans="1:29" ht="143" x14ac:dyDescent="0.15">
      <c r="A2260" s="3">
        <f>DATE(1995,12,12)</f>
        <v>35045</v>
      </c>
      <c r="B2260" s="3">
        <f>DATE(1996,2,22)</f>
        <v>35117</v>
      </c>
      <c r="C2260" s="2" t="s">
        <v>95</v>
      </c>
      <c r="D2260" s="2" t="s">
        <v>7270</v>
      </c>
      <c r="E2260" s="2" t="s">
        <v>7271</v>
      </c>
      <c r="F2260" s="4">
        <v>8011</v>
      </c>
      <c r="G2260" s="2" t="s">
        <v>454</v>
      </c>
      <c r="H2260" s="2" t="s">
        <v>34</v>
      </c>
      <c r="I2260" s="2" t="s">
        <v>7272</v>
      </c>
      <c r="J2260" s="2" t="s">
        <v>7273</v>
      </c>
      <c r="K2260" s="2" t="s">
        <v>454</v>
      </c>
      <c r="L2260" s="2" t="s">
        <v>34</v>
      </c>
      <c r="M2260" s="2"/>
      <c r="N2260" s="6">
        <v>33.25</v>
      </c>
      <c r="O2260" s="4">
        <v>32</v>
      </c>
      <c r="P2260" s="2" t="s">
        <v>7274</v>
      </c>
      <c r="Q2260" s="6">
        <v>100</v>
      </c>
      <c r="R2260" s="6">
        <v>19.170000000000002</v>
      </c>
      <c r="S2260" s="5">
        <v>10.9</v>
      </c>
      <c r="T2260" s="7">
        <v>36.433999999999997</v>
      </c>
      <c r="U2260" s="5">
        <v>6</v>
      </c>
      <c r="V2260" s="7">
        <v>0.66400000000000003</v>
      </c>
      <c r="W2260" s="7">
        <v>16.625</v>
      </c>
      <c r="X2260" s="7">
        <v>17.875</v>
      </c>
      <c r="Y2260" s="7">
        <v>17.875</v>
      </c>
      <c r="Z2260" s="7">
        <v>17.875</v>
      </c>
      <c r="AA2260" s="6">
        <v>16.260000000000002</v>
      </c>
      <c r="AB2260" s="7">
        <v>15.247</v>
      </c>
      <c r="AC2260" s="2"/>
    </row>
    <row r="2261" spans="1:29" ht="26" x14ac:dyDescent="0.15">
      <c r="A2261" s="3">
        <f>DATE(1995,12,13)</f>
        <v>35046</v>
      </c>
      <c r="B2261" s="2"/>
      <c r="C2261" s="2" t="s">
        <v>189</v>
      </c>
      <c r="D2261" s="2" t="s">
        <v>7275</v>
      </c>
      <c r="E2261" s="2" t="s">
        <v>7276</v>
      </c>
      <c r="F2261" s="4">
        <v>3724</v>
      </c>
      <c r="G2261" s="2" t="s">
        <v>219</v>
      </c>
      <c r="H2261" s="2" t="s">
        <v>34</v>
      </c>
      <c r="I2261" s="2" t="s">
        <v>143</v>
      </c>
      <c r="J2261" s="2" t="s">
        <v>144</v>
      </c>
      <c r="K2261" s="2" t="s">
        <v>53</v>
      </c>
      <c r="L2261" s="2" t="s">
        <v>139</v>
      </c>
      <c r="M2261" s="2"/>
      <c r="N2261" s="2"/>
      <c r="O2261" s="2"/>
      <c r="P2261" s="2" t="s">
        <v>7277</v>
      </c>
      <c r="Q2261" s="2"/>
      <c r="R2261" s="2"/>
      <c r="S2261" s="5">
        <v>4.3</v>
      </c>
      <c r="T2261" s="7">
        <v>19.646000000000001</v>
      </c>
      <c r="U2261" s="5">
        <v>4</v>
      </c>
      <c r="V2261" s="6">
        <v>-0.03</v>
      </c>
      <c r="W2261" s="6">
        <v>1.75</v>
      </c>
      <c r="X2261" s="7">
        <v>2.1880000000000002</v>
      </c>
      <c r="Y2261" s="4">
        <v>2</v>
      </c>
      <c r="Z2261" s="4">
        <v>2</v>
      </c>
      <c r="AA2261" s="6">
        <v>36.4</v>
      </c>
      <c r="AB2261" s="2" t="s">
        <v>47</v>
      </c>
      <c r="AC2261" s="2"/>
    </row>
    <row r="2262" spans="1:29" ht="130" x14ac:dyDescent="0.15">
      <c r="A2262" s="3">
        <f>DATE(1995,12,14)</f>
        <v>35047</v>
      </c>
      <c r="B2262" s="3">
        <f>DATE(1996,2,26)</f>
        <v>35121</v>
      </c>
      <c r="C2262" s="2" t="s">
        <v>95</v>
      </c>
      <c r="D2262" s="2" t="s">
        <v>7278</v>
      </c>
      <c r="E2262" s="2" t="s">
        <v>7279</v>
      </c>
      <c r="F2262" s="4">
        <v>7373</v>
      </c>
      <c r="G2262" s="2" t="s">
        <v>223</v>
      </c>
      <c r="H2262" s="2" t="s">
        <v>34</v>
      </c>
      <c r="I2262" s="2" t="s">
        <v>7280</v>
      </c>
      <c r="J2262" s="2" t="s">
        <v>7281</v>
      </c>
      <c r="K2262" s="2" t="s">
        <v>50</v>
      </c>
      <c r="L2262" s="2" t="s">
        <v>34</v>
      </c>
      <c r="M2262" s="12">
        <v>1794.721</v>
      </c>
      <c r="N2262" s="5">
        <v>59.5</v>
      </c>
      <c r="O2262" s="4">
        <v>57</v>
      </c>
      <c r="P2262" s="2" t="s">
        <v>7282</v>
      </c>
      <c r="Q2262" s="6">
        <v>100</v>
      </c>
      <c r="R2262" s="6">
        <v>64.5</v>
      </c>
      <c r="S2262" s="5">
        <v>9.1</v>
      </c>
      <c r="T2262" s="7">
        <v>10.194000000000001</v>
      </c>
      <c r="U2262" s="5">
        <v>11.9</v>
      </c>
      <c r="V2262" s="7">
        <v>0.875</v>
      </c>
      <c r="W2262" s="6">
        <v>52.25</v>
      </c>
      <c r="X2262" s="5">
        <v>53.5</v>
      </c>
      <c r="Y2262" s="4">
        <v>57</v>
      </c>
      <c r="Z2262" s="6">
        <v>55.75</v>
      </c>
      <c r="AA2262" s="6">
        <v>10.91</v>
      </c>
      <c r="AB2262" s="7">
        <v>75.695999999999998</v>
      </c>
      <c r="AC2262" s="6">
        <v>33.74</v>
      </c>
    </row>
    <row r="2263" spans="1:29" ht="130" x14ac:dyDescent="0.15">
      <c r="A2263" s="3">
        <f>DATE(1995,12,14)</f>
        <v>35047</v>
      </c>
      <c r="B2263" s="3">
        <f>DATE(1996,6,10)</f>
        <v>35226</v>
      </c>
      <c r="C2263" s="2" t="s">
        <v>95</v>
      </c>
      <c r="D2263" s="2" t="s">
        <v>7283</v>
      </c>
      <c r="E2263" s="2" t="s">
        <v>36</v>
      </c>
      <c r="F2263" s="4">
        <v>6035</v>
      </c>
      <c r="G2263" s="2" t="s">
        <v>33</v>
      </c>
      <c r="H2263" s="2" t="s">
        <v>34</v>
      </c>
      <c r="I2263" s="2" t="s">
        <v>2631</v>
      </c>
      <c r="J2263" s="2" t="s">
        <v>32</v>
      </c>
      <c r="K2263" s="2" t="s">
        <v>33</v>
      </c>
      <c r="L2263" s="2" t="s">
        <v>34</v>
      </c>
      <c r="M2263" s="2"/>
      <c r="N2263" s="2"/>
      <c r="O2263" s="2"/>
      <c r="P2263" s="2" t="s">
        <v>7284</v>
      </c>
      <c r="Q2263" s="6">
        <v>100</v>
      </c>
      <c r="R2263" s="6">
        <v>37.5</v>
      </c>
      <c r="S2263" s="5">
        <v>13</v>
      </c>
      <c r="T2263" s="7">
        <v>23.353999999999999</v>
      </c>
      <c r="U2263" s="5">
        <v>32.700000000000003</v>
      </c>
      <c r="V2263" s="7">
        <v>1.337</v>
      </c>
      <c r="W2263" s="4">
        <v>34</v>
      </c>
      <c r="X2263" s="4">
        <v>33</v>
      </c>
      <c r="Y2263" s="6">
        <v>32.25</v>
      </c>
      <c r="Z2263" s="7">
        <v>35.719000000000001</v>
      </c>
      <c r="AA2263" s="6">
        <v>9.15</v>
      </c>
      <c r="AB2263" s="7">
        <v>91.54</v>
      </c>
      <c r="AC2263" s="2"/>
    </row>
    <row r="2264" spans="1:29" ht="26" x14ac:dyDescent="0.15">
      <c r="A2264" s="3">
        <f>DATE(1995,12,14)</f>
        <v>35047</v>
      </c>
      <c r="B2264" s="2"/>
      <c r="C2264" s="2" t="s">
        <v>30</v>
      </c>
      <c r="D2264" s="2" t="s">
        <v>7285</v>
      </c>
      <c r="E2264" s="2" t="s">
        <v>3426</v>
      </c>
      <c r="F2264" s="4">
        <v>6021</v>
      </c>
      <c r="G2264" s="2" t="s">
        <v>37</v>
      </c>
      <c r="H2264" s="2" t="s">
        <v>34</v>
      </c>
      <c r="I2264" s="2" t="s">
        <v>7286</v>
      </c>
      <c r="J2264" s="2" t="s">
        <v>7287</v>
      </c>
      <c r="K2264" s="2" t="s">
        <v>33</v>
      </c>
      <c r="L2264" s="2" t="s">
        <v>34</v>
      </c>
      <c r="M2264" s="2"/>
      <c r="N2264" s="2"/>
      <c r="O2264" s="2"/>
      <c r="P2264" s="2" t="s">
        <v>7288</v>
      </c>
      <c r="Q2264" s="2"/>
      <c r="R2264" s="2"/>
      <c r="S2264" s="5">
        <v>60.3</v>
      </c>
      <c r="T2264" s="7">
        <v>93.903999999999996</v>
      </c>
      <c r="U2264" s="5">
        <v>7.9</v>
      </c>
      <c r="V2264" s="9">
        <v>1.1026</v>
      </c>
      <c r="W2264" s="7">
        <v>27.875</v>
      </c>
      <c r="X2264" s="4">
        <v>29</v>
      </c>
      <c r="Y2264" s="6">
        <v>29.75</v>
      </c>
      <c r="Z2264" s="6">
        <v>29.75</v>
      </c>
      <c r="AA2264" s="2"/>
      <c r="AB2264" s="2" t="s">
        <v>47</v>
      </c>
      <c r="AC2264" s="2"/>
    </row>
    <row r="2265" spans="1:29" ht="104" x14ac:dyDescent="0.15">
      <c r="A2265" s="3">
        <f>DATE(1995,12,14)</f>
        <v>35047</v>
      </c>
      <c r="B2265" s="3">
        <f>DATE(1996,3,26)</f>
        <v>35150</v>
      </c>
      <c r="C2265" s="2" t="s">
        <v>95</v>
      </c>
      <c r="D2265" s="2" t="s">
        <v>7289</v>
      </c>
      <c r="E2265" s="2" t="s">
        <v>92</v>
      </c>
      <c r="F2265" s="4">
        <v>6798</v>
      </c>
      <c r="G2265" s="2" t="s">
        <v>53</v>
      </c>
      <c r="H2265" s="2" t="s">
        <v>34</v>
      </c>
      <c r="I2265" s="2" t="s">
        <v>7163</v>
      </c>
      <c r="J2265" s="2" t="s">
        <v>2044</v>
      </c>
      <c r="K2265" s="2" t="s">
        <v>53</v>
      </c>
      <c r="L2265" s="2" t="s">
        <v>34</v>
      </c>
      <c r="M2265" s="2"/>
      <c r="N2265" s="4">
        <v>19</v>
      </c>
      <c r="O2265" s="4">
        <v>19</v>
      </c>
      <c r="P2265" s="2" t="s">
        <v>7290</v>
      </c>
      <c r="Q2265" s="6">
        <v>100</v>
      </c>
      <c r="R2265" s="6">
        <v>18</v>
      </c>
      <c r="S2265" s="5">
        <v>3.4</v>
      </c>
      <c r="T2265" s="7">
        <v>4.4539999999999997</v>
      </c>
      <c r="U2265" s="5">
        <v>9.8000000000000007</v>
      </c>
      <c r="V2265" s="7">
        <v>1.359</v>
      </c>
      <c r="W2265" s="6">
        <v>16.75</v>
      </c>
      <c r="X2265" s="7">
        <v>17.125</v>
      </c>
      <c r="Y2265" s="4">
        <v>18</v>
      </c>
      <c r="Z2265" s="4">
        <v>18</v>
      </c>
      <c r="AA2265" s="6">
        <v>2.4500000000000002</v>
      </c>
      <c r="AB2265" s="7">
        <v>12.797000000000001</v>
      </c>
      <c r="AC2265" s="6">
        <v>80.44</v>
      </c>
    </row>
    <row r="2266" spans="1:29" ht="104" x14ac:dyDescent="0.15">
      <c r="A2266" s="3">
        <f>DATE(1995,12,14)</f>
        <v>35047</v>
      </c>
      <c r="B2266" s="2"/>
      <c r="C2266" s="2" t="s">
        <v>87</v>
      </c>
      <c r="D2266" s="2" t="s">
        <v>7291</v>
      </c>
      <c r="E2266" s="2" t="s">
        <v>5544</v>
      </c>
      <c r="F2266" s="4">
        <v>6512</v>
      </c>
      <c r="G2266" s="2" t="s">
        <v>109</v>
      </c>
      <c r="H2266" s="2" t="s">
        <v>34</v>
      </c>
      <c r="I2266" s="2" t="s">
        <v>7163</v>
      </c>
      <c r="J2266" s="2" t="s">
        <v>2044</v>
      </c>
      <c r="K2266" s="2" t="s">
        <v>53</v>
      </c>
      <c r="L2266" s="2" t="s">
        <v>34</v>
      </c>
      <c r="M2266" s="2"/>
      <c r="N2266" s="4">
        <v>19</v>
      </c>
      <c r="O2266" s="4">
        <v>19</v>
      </c>
      <c r="P2266" s="2" t="s">
        <v>7292</v>
      </c>
      <c r="Q2266" s="2"/>
      <c r="R2266" s="6">
        <v>19.52</v>
      </c>
      <c r="S2266" s="5">
        <v>2.8</v>
      </c>
      <c r="T2266" s="7">
        <v>3.9009999999999998</v>
      </c>
      <c r="U2266" s="5">
        <v>10.5</v>
      </c>
      <c r="V2266" s="6">
        <v>1.37</v>
      </c>
      <c r="W2266" s="5">
        <v>17.5</v>
      </c>
      <c r="X2266" s="5">
        <v>17.5</v>
      </c>
      <c r="Y2266" s="5">
        <v>17.5</v>
      </c>
      <c r="Z2266" s="5">
        <v>17.5</v>
      </c>
      <c r="AA2266" s="6">
        <v>0.53</v>
      </c>
      <c r="AB2266" s="7">
        <v>17.629000000000001</v>
      </c>
      <c r="AC2266" s="6">
        <v>80.44</v>
      </c>
    </row>
    <row r="2267" spans="1:29" ht="78" x14ac:dyDescent="0.15">
      <c r="A2267" s="3">
        <f>DATE(1995,12,15)</f>
        <v>35048</v>
      </c>
      <c r="B2267" s="2"/>
      <c r="C2267" s="2" t="s">
        <v>30</v>
      </c>
      <c r="D2267" s="2" t="s">
        <v>4729</v>
      </c>
      <c r="E2267" s="2" t="s">
        <v>4730</v>
      </c>
      <c r="F2267" s="4">
        <v>3944</v>
      </c>
      <c r="G2267" s="2" t="s">
        <v>112</v>
      </c>
      <c r="H2267" s="2" t="s">
        <v>34</v>
      </c>
      <c r="I2267" s="2" t="s">
        <v>7293</v>
      </c>
      <c r="J2267" s="2" t="s">
        <v>7294</v>
      </c>
      <c r="K2267" s="2" t="s">
        <v>551</v>
      </c>
      <c r="L2267" s="2" t="s">
        <v>902</v>
      </c>
      <c r="M2267" s="2"/>
      <c r="N2267" s="2"/>
      <c r="O2267" s="2"/>
      <c r="P2267" s="2" t="s">
        <v>7295</v>
      </c>
      <c r="Q2267" s="2"/>
      <c r="R2267" s="2"/>
      <c r="S2267" s="5">
        <v>-1.6</v>
      </c>
      <c r="T2267" s="7">
        <v>3.4180000000000001</v>
      </c>
      <c r="U2267" s="5">
        <v>4.5999999999999996</v>
      </c>
      <c r="V2267" s="6">
        <v>-0.45</v>
      </c>
      <c r="W2267" s="4">
        <v>7</v>
      </c>
      <c r="X2267" s="5">
        <v>7.5</v>
      </c>
      <c r="Y2267" s="5">
        <v>7.5</v>
      </c>
      <c r="Z2267" s="5">
        <v>7.5</v>
      </c>
      <c r="AA2267" s="6">
        <v>6.7</v>
      </c>
      <c r="AB2267" s="2" t="s">
        <v>47</v>
      </c>
      <c r="AC2267" s="6">
        <v>4.16</v>
      </c>
    </row>
    <row r="2268" spans="1:29" ht="130" x14ac:dyDescent="0.15">
      <c r="A2268" s="3">
        <f>DATE(1995,12,18)</f>
        <v>35051</v>
      </c>
      <c r="B2268" s="3">
        <f>DATE(1996,3,15)</f>
        <v>35139</v>
      </c>
      <c r="C2268" s="2" t="s">
        <v>95</v>
      </c>
      <c r="D2268" s="2" t="s">
        <v>7296</v>
      </c>
      <c r="E2268" s="2" t="s">
        <v>7297</v>
      </c>
      <c r="F2268" s="4">
        <v>8069</v>
      </c>
      <c r="G2268" s="2" t="s">
        <v>454</v>
      </c>
      <c r="H2268" s="2" t="s">
        <v>34</v>
      </c>
      <c r="I2268" s="2" t="s">
        <v>6927</v>
      </c>
      <c r="J2268" s="2" t="s">
        <v>6928</v>
      </c>
      <c r="K2268" s="2" t="s">
        <v>454</v>
      </c>
      <c r="L2268" s="2" t="s">
        <v>34</v>
      </c>
      <c r="M2268" s="12">
        <v>3180.1640000000002</v>
      </c>
      <c r="N2268" s="5">
        <v>30.5</v>
      </c>
      <c r="O2268" s="6">
        <v>29.75</v>
      </c>
      <c r="P2268" s="2" t="s">
        <v>7298</v>
      </c>
      <c r="Q2268" s="6">
        <v>100</v>
      </c>
      <c r="R2268" s="6">
        <v>47.16</v>
      </c>
      <c r="S2268" s="5">
        <v>10.3</v>
      </c>
      <c r="T2268" s="7">
        <v>26.196000000000002</v>
      </c>
      <c r="U2268" s="5">
        <v>10.6</v>
      </c>
      <c r="V2268" s="7">
        <v>1.6919999999999999</v>
      </c>
      <c r="W2268" s="6">
        <v>35.75</v>
      </c>
      <c r="X2268" s="6">
        <v>36.75</v>
      </c>
      <c r="Y2268" s="4">
        <v>45</v>
      </c>
      <c r="Z2268" s="6">
        <v>44.75</v>
      </c>
      <c r="AA2268" s="6">
        <v>5.65</v>
      </c>
      <c r="AB2268" s="7">
        <v>15.186</v>
      </c>
      <c r="AC2268" s="6">
        <v>82.58</v>
      </c>
    </row>
    <row r="2269" spans="1:29" ht="130" x14ac:dyDescent="0.15">
      <c r="A2269" s="3">
        <f>DATE(1995,12,18)</f>
        <v>35051</v>
      </c>
      <c r="B2269" s="3">
        <f>DATE(1996,5,14)</f>
        <v>35199</v>
      </c>
      <c r="C2269" s="2" t="s">
        <v>95</v>
      </c>
      <c r="D2269" s="2" t="s">
        <v>7299</v>
      </c>
      <c r="E2269" s="2" t="s">
        <v>7300</v>
      </c>
      <c r="F2269" s="4">
        <v>3841</v>
      </c>
      <c r="G2269" s="2" t="s">
        <v>226</v>
      </c>
      <c r="H2269" s="2" t="s">
        <v>34</v>
      </c>
      <c r="I2269" s="2" t="s">
        <v>7301</v>
      </c>
      <c r="J2269" s="2" t="s">
        <v>7302</v>
      </c>
      <c r="K2269" s="2" t="s">
        <v>226</v>
      </c>
      <c r="L2269" s="2" t="s">
        <v>34</v>
      </c>
      <c r="M2269" s="7">
        <v>754.43899999999996</v>
      </c>
      <c r="N2269" s="5">
        <v>32.5</v>
      </c>
      <c r="O2269" s="6">
        <v>29.25</v>
      </c>
      <c r="P2269" s="2" t="s">
        <v>7303</v>
      </c>
      <c r="Q2269" s="6">
        <v>100</v>
      </c>
      <c r="R2269" s="6">
        <v>19.09</v>
      </c>
      <c r="S2269" s="5">
        <v>4.3</v>
      </c>
      <c r="T2269" s="7">
        <v>66.406000000000006</v>
      </c>
      <c r="U2269" s="5">
        <v>6.1</v>
      </c>
      <c r="V2269" s="6">
        <v>0.13</v>
      </c>
      <c r="W2269" s="7">
        <v>17.125</v>
      </c>
      <c r="X2269" s="6">
        <v>17.75</v>
      </c>
      <c r="Y2269" s="7">
        <v>15.125</v>
      </c>
      <c r="Z2269" s="7">
        <v>14.625</v>
      </c>
      <c r="AA2269" s="6">
        <v>32.450000000000003</v>
      </c>
      <c r="AB2269" s="7">
        <v>14.17</v>
      </c>
      <c r="AC2269" s="6">
        <v>14.72</v>
      </c>
    </row>
    <row r="2270" spans="1:29" ht="104" x14ac:dyDescent="0.15">
      <c r="A2270" s="3">
        <f>DATE(1995,12,18)</f>
        <v>35051</v>
      </c>
      <c r="B2270" s="3">
        <f>DATE(1996,1,29)</f>
        <v>35093</v>
      </c>
      <c r="C2270" s="2" t="s">
        <v>95</v>
      </c>
      <c r="D2270" s="2" t="s">
        <v>7304</v>
      </c>
      <c r="E2270" s="2" t="s">
        <v>3959</v>
      </c>
      <c r="F2270" s="4">
        <v>3949</v>
      </c>
      <c r="G2270" s="2" t="s">
        <v>112</v>
      </c>
      <c r="H2270" s="2" t="s">
        <v>34</v>
      </c>
      <c r="I2270" s="2" t="s">
        <v>193</v>
      </c>
      <c r="J2270" s="2" t="s">
        <v>194</v>
      </c>
      <c r="K2270" s="2" t="s">
        <v>163</v>
      </c>
      <c r="L2270" s="2" t="s">
        <v>34</v>
      </c>
      <c r="M2270" s="12">
        <v>7690.6909999999998</v>
      </c>
      <c r="N2270" s="7">
        <v>44.125</v>
      </c>
      <c r="O2270" s="7">
        <v>44.625</v>
      </c>
      <c r="P2270" s="2" t="s">
        <v>7305</v>
      </c>
      <c r="Q2270" s="6">
        <v>100</v>
      </c>
      <c r="R2270" s="6">
        <v>36</v>
      </c>
      <c r="S2270" s="5">
        <v>33.200000000000003</v>
      </c>
      <c r="T2270" s="6">
        <v>56.08</v>
      </c>
      <c r="U2270" s="5">
        <v>5.4</v>
      </c>
      <c r="V2270" s="7">
        <v>1.714</v>
      </c>
      <c r="W2270" s="6">
        <v>27.25</v>
      </c>
      <c r="X2270" s="7">
        <v>27.625</v>
      </c>
      <c r="Y2270" s="5">
        <v>35.5</v>
      </c>
      <c r="Z2270" s="5">
        <v>35.5</v>
      </c>
      <c r="AA2270" s="6">
        <v>18.62</v>
      </c>
      <c r="AB2270" s="7">
        <v>11.734999999999999</v>
      </c>
      <c r="AC2270" s="5">
        <v>110.1</v>
      </c>
    </row>
    <row r="2271" spans="1:29" ht="52" x14ac:dyDescent="0.15">
      <c r="A2271" s="3">
        <f>DATE(1995,12,18)</f>
        <v>35051</v>
      </c>
      <c r="B2271" s="3">
        <f>DATE(1996,4,26)</f>
        <v>35181</v>
      </c>
      <c r="C2271" s="2" t="s">
        <v>95</v>
      </c>
      <c r="D2271" s="2" t="s">
        <v>7306</v>
      </c>
      <c r="E2271" s="2" t="s">
        <v>7307</v>
      </c>
      <c r="F2271" s="4">
        <v>3728</v>
      </c>
      <c r="G2271" s="2" t="s">
        <v>219</v>
      </c>
      <c r="H2271" s="2" t="s">
        <v>34</v>
      </c>
      <c r="I2271" s="2" t="s">
        <v>682</v>
      </c>
      <c r="J2271" s="2" t="s">
        <v>683</v>
      </c>
      <c r="K2271" s="2" t="s">
        <v>226</v>
      </c>
      <c r="L2271" s="2" t="s">
        <v>34</v>
      </c>
      <c r="M2271" s="7">
        <v>13.398</v>
      </c>
      <c r="N2271" s="7">
        <v>1.0629999999999999</v>
      </c>
      <c r="O2271" s="4">
        <v>1</v>
      </c>
      <c r="P2271" s="2" t="s">
        <v>7308</v>
      </c>
      <c r="Q2271" s="6">
        <v>100</v>
      </c>
      <c r="R2271" s="6">
        <v>5</v>
      </c>
      <c r="S2271" s="5">
        <v>0.1</v>
      </c>
      <c r="T2271" s="7">
        <v>4.0709999999999997</v>
      </c>
      <c r="U2271" s="5">
        <v>1</v>
      </c>
      <c r="V2271" s="6">
        <v>0.08</v>
      </c>
      <c r="W2271" s="5">
        <v>1.5</v>
      </c>
      <c r="X2271" s="5">
        <v>1.5</v>
      </c>
      <c r="Y2271" s="5">
        <v>2.5</v>
      </c>
      <c r="Z2271" s="5">
        <v>2.5</v>
      </c>
      <c r="AA2271" s="6">
        <v>0.79</v>
      </c>
      <c r="AB2271" s="7">
        <v>10.955</v>
      </c>
      <c r="AC2271" s="2"/>
    </row>
    <row r="2272" spans="1:29" ht="104" x14ac:dyDescent="0.15">
      <c r="A2272" s="3">
        <f>DATE(1995,12,19)</f>
        <v>35052</v>
      </c>
      <c r="B2272" s="3">
        <f>DATE(1996,5,31)</f>
        <v>35216</v>
      </c>
      <c r="C2272" s="2" t="s">
        <v>95</v>
      </c>
      <c r="D2272" s="2" t="s">
        <v>7309</v>
      </c>
      <c r="E2272" s="2" t="s">
        <v>36</v>
      </c>
      <c r="F2272" s="4">
        <v>6035</v>
      </c>
      <c r="G2272" s="2" t="s">
        <v>33</v>
      </c>
      <c r="H2272" s="2" t="s">
        <v>34</v>
      </c>
      <c r="I2272" s="2" t="s">
        <v>7310</v>
      </c>
      <c r="J2272" s="2" t="s">
        <v>389</v>
      </c>
      <c r="K2272" s="2" t="s">
        <v>33</v>
      </c>
      <c r="L2272" s="2" t="s">
        <v>34</v>
      </c>
      <c r="M2272" s="2"/>
      <c r="N2272" s="2"/>
      <c r="O2272" s="2"/>
      <c r="P2272" s="2" t="s">
        <v>7311</v>
      </c>
      <c r="Q2272" s="6">
        <v>100</v>
      </c>
      <c r="R2272" s="6">
        <v>18.5</v>
      </c>
      <c r="S2272" s="5">
        <v>1.9</v>
      </c>
      <c r="T2272" s="7">
        <v>4.657</v>
      </c>
      <c r="U2272" s="5">
        <v>14.5</v>
      </c>
      <c r="V2272" s="7">
        <v>0.51400000000000001</v>
      </c>
      <c r="W2272" s="4">
        <v>17</v>
      </c>
      <c r="X2272" s="4">
        <v>17</v>
      </c>
      <c r="Y2272" s="4">
        <v>17</v>
      </c>
      <c r="Z2272" s="7">
        <v>17.375</v>
      </c>
      <c r="AA2272" s="6">
        <v>3.67</v>
      </c>
      <c r="AB2272" s="7">
        <v>206.90899999999999</v>
      </c>
      <c r="AC2272" s="2"/>
    </row>
    <row r="2273" spans="1:29" ht="130" x14ac:dyDescent="0.15">
      <c r="A2273" s="3">
        <f>DATE(1995,12,19)</f>
        <v>35052</v>
      </c>
      <c r="B2273" s="3">
        <f>DATE(1996,5,7)</f>
        <v>35192</v>
      </c>
      <c r="C2273" s="2" t="s">
        <v>95</v>
      </c>
      <c r="D2273" s="2" t="s">
        <v>4151</v>
      </c>
      <c r="E2273" s="2" t="s">
        <v>4152</v>
      </c>
      <c r="F2273" s="4">
        <v>4953</v>
      </c>
      <c r="G2273" s="2" t="s">
        <v>116</v>
      </c>
      <c r="H2273" s="2" t="s">
        <v>34</v>
      </c>
      <c r="I2273" s="2" t="s">
        <v>5555</v>
      </c>
      <c r="J2273" s="2" t="s">
        <v>5556</v>
      </c>
      <c r="K2273" s="2" t="s">
        <v>116</v>
      </c>
      <c r="L2273" s="2" t="s">
        <v>34</v>
      </c>
      <c r="M2273" s="12">
        <v>1165.7809999999999</v>
      </c>
      <c r="N2273" s="7">
        <v>18.125</v>
      </c>
      <c r="O2273" s="7">
        <v>17.875</v>
      </c>
      <c r="P2273" s="2" t="s">
        <v>7312</v>
      </c>
      <c r="Q2273" s="6">
        <v>100</v>
      </c>
      <c r="R2273" s="6">
        <v>28.31</v>
      </c>
      <c r="S2273" s="5">
        <v>17.100000000000001</v>
      </c>
      <c r="T2273" s="7">
        <v>62.225000000000001</v>
      </c>
      <c r="U2273" s="5">
        <v>11</v>
      </c>
      <c r="V2273" s="6">
        <v>1.1000000000000001</v>
      </c>
      <c r="W2273" s="6">
        <v>23.25</v>
      </c>
      <c r="X2273" s="7">
        <v>24.375</v>
      </c>
      <c r="Y2273" s="4">
        <v>26</v>
      </c>
      <c r="Z2273" s="6">
        <v>25.75</v>
      </c>
      <c r="AA2273" s="6">
        <v>14.66</v>
      </c>
      <c r="AB2273" s="7">
        <v>15.215999999999999</v>
      </c>
      <c r="AC2273" s="6">
        <v>6.61</v>
      </c>
    </row>
    <row r="2274" spans="1:29" ht="39" x14ac:dyDescent="0.15">
      <c r="A2274" s="3">
        <f>DATE(1995,12,20)</f>
        <v>35053</v>
      </c>
      <c r="B2274" s="2"/>
      <c r="C2274" s="2" t="s">
        <v>56</v>
      </c>
      <c r="D2274" s="2" t="s">
        <v>2268</v>
      </c>
      <c r="E2274" s="2" t="s">
        <v>2269</v>
      </c>
      <c r="F2274" s="4">
        <v>8063</v>
      </c>
      <c r="G2274" s="2" t="s">
        <v>454</v>
      </c>
      <c r="H2274" s="2" t="s">
        <v>34</v>
      </c>
      <c r="I2274" s="2" t="s">
        <v>278</v>
      </c>
      <c r="J2274" s="2" t="s">
        <v>52</v>
      </c>
      <c r="K2274" s="2" t="s">
        <v>53</v>
      </c>
      <c r="L2274" s="2" t="s">
        <v>34</v>
      </c>
      <c r="M2274" s="2"/>
      <c r="N2274" s="2"/>
      <c r="O2274" s="2"/>
      <c r="P2274" s="2" t="s">
        <v>7313</v>
      </c>
      <c r="Q2274" s="2"/>
      <c r="R2274" s="2"/>
      <c r="S2274" s="2"/>
      <c r="T2274" s="2"/>
      <c r="U2274" s="2"/>
      <c r="V2274" s="2"/>
      <c r="W2274" s="6">
        <v>11.75</v>
      </c>
      <c r="X2274" s="7">
        <v>11.375</v>
      </c>
      <c r="Y2274" s="4">
        <v>11</v>
      </c>
      <c r="Z2274" s="7">
        <v>12.125</v>
      </c>
      <c r="AA2274" s="2"/>
      <c r="AB2274" s="2" t="s">
        <v>47</v>
      </c>
      <c r="AC2274" s="2"/>
    </row>
    <row r="2275" spans="1:29" ht="143" x14ac:dyDescent="0.15">
      <c r="A2275" s="3">
        <f>DATE(1995,12,20)</f>
        <v>35053</v>
      </c>
      <c r="B2275" s="3">
        <f>DATE(1996,2,5)</f>
        <v>35100</v>
      </c>
      <c r="C2275" s="2" t="s">
        <v>95</v>
      </c>
      <c r="D2275" s="2" t="s">
        <v>7314</v>
      </c>
      <c r="E2275" s="2" t="s">
        <v>7315</v>
      </c>
      <c r="F2275" s="4">
        <v>7374</v>
      </c>
      <c r="G2275" s="2" t="s">
        <v>223</v>
      </c>
      <c r="H2275" s="2" t="s">
        <v>34</v>
      </c>
      <c r="I2275" s="2" t="s">
        <v>7316</v>
      </c>
      <c r="J2275" s="2" t="s">
        <v>4673</v>
      </c>
      <c r="K2275" s="2" t="s">
        <v>186</v>
      </c>
      <c r="L2275" s="2" t="s">
        <v>34</v>
      </c>
      <c r="M2275" s="2"/>
      <c r="N2275" s="2"/>
      <c r="O2275" s="2"/>
      <c r="P2275" s="2" t="s">
        <v>7317</v>
      </c>
      <c r="Q2275" s="6">
        <v>100</v>
      </c>
      <c r="R2275" s="6">
        <v>6.75</v>
      </c>
      <c r="S2275" s="5">
        <v>0.5</v>
      </c>
      <c r="T2275" s="7">
        <v>3.7050000000000001</v>
      </c>
      <c r="U2275" s="5">
        <v>0.2</v>
      </c>
      <c r="V2275" s="7">
        <v>0.114</v>
      </c>
      <c r="W2275" s="7">
        <v>2.625</v>
      </c>
      <c r="X2275" s="7">
        <v>2.875</v>
      </c>
      <c r="Y2275" s="7">
        <v>6.375</v>
      </c>
      <c r="Z2275" s="7">
        <v>6.4379999999999997</v>
      </c>
      <c r="AA2275" s="6">
        <v>2.57</v>
      </c>
      <c r="AB2275" s="7">
        <v>19.192</v>
      </c>
      <c r="AC2275" s="2"/>
    </row>
    <row r="2276" spans="1:29" ht="117" x14ac:dyDescent="0.15">
      <c r="A2276" s="3">
        <f>DATE(1995,12,20)</f>
        <v>35053</v>
      </c>
      <c r="B2276" s="3">
        <f>DATE(1996,9,17)</f>
        <v>35325</v>
      </c>
      <c r="C2276" s="2" t="s">
        <v>95</v>
      </c>
      <c r="D2276" s="2" t="s">
        <v>3646</v>
      </c>
      <c r="E2276" s="2" t="s">
        <v>124</v>
      </c>
      <c r="F2276" s="4">
        <v>6311</v>
      </c>
      <c r="G2276" s="2" t="s">
        <v>125</v>
      </c>
      <c r="H2276" s="2" t="s">
        <v>34</v>
      </c>
      <c r="I2276" s="2" t="s">
        <v>3647</v>
      </c>
      <c r="J2276" s="2" t="s">
        <v>3648</v>
      </c>
      <c r="K2276" s="2" t="s">
        <v>125</v>
      </c>
      <c r="L2276" s="2" t="s">
        <v>34</v>
      </c>
      <c r="M2276" s="6">
        <v>50.69</v>
      </c>
      <c r="N2276" s="5">
        <v>17.5</v>
      </c>
      <c r="O2276" s="5">
        <v>17.5</v>
      </c>
      <c r="P2276" s="2" t="s">
        <v>7318</v>
      </c>
      <c r="Q2276" s="6">
        <v>16</v>
      </c>
      <c r="R2276" s="6">
        <v>8.6300000000000008</v>
      </c>
      <c r="S2276" s="5">
        <v>8.1</v>
      </c>
      <c r="T2276" s="6">
        <v>12.51</v>
      </c>
      <c r="U2276" s="5">
        <v>5.7</v>
      </c>
      <c r="V2276" s="7">
        <v>0.77600000000000002</v>
      </c>
      <c r="W2276" s="7">
        <v>6.375</v>
      </c>
      <c r="X2276" s="6">
        <v>6.75</v>
      </c>
      <c r="Y2276" s="4">
        <v>7</v>
      </c>
      <c r="Z2276" s="5">
        <v>7.5</v>
      </c>
      <c r="AA2276" s="6">
        <v>10.3</v>
      </c>
      <c r="AB2276" s="7">
        <v>8.4009999999999998</v>
      </c>
      <c r="AC2276" s="6">
        <v>5.47</v>
      </c>
    </row>
    <row r="2277" spans="1:29" ht="104" x14ac:dyDescent="0.15">
      <c r="A2277" s="3">
        <f>DATE(1995,12,21)</f>
        <v>35054</v>
      </c>
      <c r="B2277" s="3">
        <f>DATE(1996,5,31)</f>
        <v>35216</v>
      </c>
      <c r="C2277" s="2" t="s">
        <v>95</v>
      </c>
      <c r="D2277" s="2" t="s">
        <v>7319</v>
      </c>
      <c r="E2277" s="2" t="s">
        <v>1085</v>
      </c>
      <c r="F2277" s="4">
        <v>6159</v>
      </c>
      <c r="G2277" s="2" t="s">
        <v>370</v>
      </c>
      <c r="H2277" s="2" t="s">
        <v>34</v>
      </c>
      <c r="I2277" s="2" t="s">
        <v>450</v>
      </c>
      <c r="J2277" s="2" t="s">
        <v>36</v>
      </c>
      <c r="K2277" s="2" t="s">
        <v>37</v>
      </c>
      <c r="L2277" s="2" t="s">
        <v>34</v>
      </c>
      <c r="M2277" s="12">
        <v>10125.188</v>
      </c>
      <c r="N2277" s="6">
        <v>33.25</v>
      </c>
      <c r="O2277" s="7">
        <v>33.375</v>
      </c>
      <c r="P2277" s="2" t="s">
        <v>7320</v>
      </c>
      <c r="Q2277" s="6">
        <v>100</v>
      </c>
      <c r="R2277" s="2"/>
      <c r="S2277" s="5">
        <v>5</v>
      </c>
      <c r="T2277" s="7">
        <v>9.3529999999999998</v>
      </c>
      <c r="U2277" s="5">
        <v>11</v>
      </c>
      <c r="V2277" s="7">
        <v>0.95899999999999996</v>
      </c>
      <c r="W2277" s="7">
        <v>14.625</v>
      </c>
      <c r="X2277" s="6">
        <v>14.75</v>
      </c>
      <c r="Y2277" s="7">
        <v>14.375</v>
      </c>
      <c r="Z2277" s="6">
        <v>17.25</v>
      </c>
      <c r="AA2277" s="6">
        <v>3.72</v>
      </c>
      <c r="AB2277" s="7">
        <v>63.137</v>
      </c>
      <c r="AC2277" s="2"/>
    </row>
    <row r="2278" spans="1:29" ht="130" x14ac:dyDescent="0.15">
      <c r="A2278" s="3">
        <f>DATE(1995,12,21)</f>
        <v>35054</v>
      </c>
      <c r="B2278" s="2"/>
      <c r="C2278" s="2" t="s">
        <v>30</v>
      </c>
      <c r="D2278" s="2" t="s">
        <v>5678</v>
      </c>
      <c r="E2278" s="2" t="s">
        <v>5679</v>
      </c>
      <c r="F2278" s="4">
        <v>2062</v>
      </c>
      <c r="G2278" s="2" t="s">
        <v>577</v>
      </c>
      <c r="H2278" s="2" t="s">
        <v>34</v>
      </c>
      <c r="I2278" s="2" t="s">
        <v>7321</v>
      </c>
      <c r="J2278" s="2" t="s">
        <v>80</v>
      </c>
      <c r="K2278" s="2" t="s">
        <v>53</v>
      </c>
      <c r="L2278" s="2" t="s">
        <v>34</v>
      </c>
      <c r="M2278" s="2"/>
      <c r="N2278" s="2"/>
      <c r="O2278" s="2"/>
      <c r="P2278" s="2" t="s">
        <v>7322</v>
      </c>
      <c r="Q2278" s="2"/>
      <c r="R2278" s="6">
        <v>16.5</v>
      </c>
      <c r="S2278" s="5">
        <v>-2.1</v>
      </c>
      <c r="T2278" s="7">
        <v>13.544</v>
      </c>
      <c r="U2278" s="5">
        <v>12.1</v>
      </c>
      <c r="V2278" s="7">
        <v>-0.35299999999999998</v>
      </c>
      <c r="W2278" s="7">
        <v>13.875</v>
      </c>
      <c r="X2278" s="7">
        <v>14.125</v>
      </c>
      <c r="Y2278" s="5">
        <v>13.5</v>
      </c>
      <c r="Z2278" s="7">
        <v>13.375</v>
      </c>
      <c r="AA2278" s="6">
        <v>6</v>
      </c>
      <c r="AB2278" s="2" t="s">
        <v>47</v>
      </c>
      <c r="AC2278" s="2"/>
    </row>
    <row r="2279" spans="1:29" ht="117" x14ac:dyDescent="0.15">
      <c r="A2279" s="3">
        <f>DATE(1995,12,22)</f>
        <v>35055</v>
      </c>
      <c r="B2279" s="3">
        <f>DATE(1996,3,29)</f>
        <v>35153</v>
      </c>
      <c r="C2279" s="2" t="s">
        <v>95</v>
      </c>
      <c r="D2279" s="2" t="s">
        <v>7323</v>
      </c>
      <c r="E2279" s="2" t="s">
        <v>177</v>
      </c>
      <c r="F2279" s="4">
        <v>1311</v>
      </c>
      <c r="G2279" s="2" t="s">
        <v>148</v>
      </c>
      <c r="H2279" s="2" t="s">
        <v>34</v>
      </c>
      <c r="I2279" s="2" t="s">
        <v>7324</v>
      </c>
      <c r="J2279" s="2" t="s">
        <v>612</v>
      </c>
      <c r="K2279" s="2" t="s">
        <v>148</v>
      </c>
      <c r="L2279" s="2" t="s">
        <v>34</v>
      </c>
      <c r="M2279" s="2"/>
      <c r="N2279" s="7">
        <v>5.125</v>
      </c>
      <c r="O2279" s="7">
        <v>4.875</v>
      </c>
      <c r="P2279" s="2" t="s">
        <v>7325</v>
      </c>
      <c r="Q2279" s="6">
        <v>100</v>
      </c>
      <c r="R2279" s="6">
        <v>3.45</v>
      </c>
      <c r="S2279" s="5">
        <v>0.3</v>
      </c>
      <c r="T2279" s="7">
        <v>4.5049999999999999</v>
      </c>
      <c r="U2279" s="5">
        <v>2.2999999999999998</v>
      </c>
      <c r="V2279" s="7">
        <v>7.3999999999999996E-2</v>
      </c>
      <c r="W2279" s="9">
        <v>2.8125</v>
      </c>
      <c r="X2279" s="7">
        <v>3.125</v>
      </c>
      <c r="Y2279" s="5">
        <v>3.5</v>
      </c>
      <c r="Z2279" s="4">
        <v>4</v>
      </c>
      <c r="AA2279" s="6">
        <v>3.83</v>
      </c>
      <c r="AB2279" s="7">
        <v>15.914999999999999</v>
      </c>
      <c r="AC2279" s="6">
        <v>0.28000000000000003</v>
      </c>
    </row>
    <row r="2280" spans="1:29" ht="156" x14ac:dyDescent="0.15">
      <c r="A2280" s="3">
        <f>DATE(1995,12,22)</f>
        <v>35055</v>
      </c>
      <c r="B2280" s="3">
        <f>DATE(1996,7,2)</f>
        <v>35248</v>
      </c>
      <c r="C2280" s="2" t="s">
        <v>95</v>
      </c>
      <c r="D2280" s="2" t="s">
        <v>1198</v>
      </c>
      <c r="E2280" s="2" t="s">
        <v>398</v>
      </c>
      <c r="F2280" s="4">
        <v>7812</v>
      </c>
      <c r="G2280" s="2" t="s">
        <v>42</v>
      </c>
      <c r="H2280" s="2" t="s">
        <v>34</v>
      </c>
      <c r="I2280" s="2" t="s">
        <v>7196</v>
      </c>
      <c r="J2280" s="2" t="s">
        <v>1604</v>
      </c>
      <c r="K2280" s="2" t="s">
        <v>63</v>
      </c>
      <c r="L2280" s="2" t="s">
        <v>34</v>
      </c>
      <c r="M2280" s="2"/>
      <c r="N2280" s="7">
        <v>13.875</v>
      </c>
      <c r="O2280" s="7">
        <v>13.875</v>
      </c>
      <c r="P2280" s="2" t="s">
        <v>7326</v>
      </c>
      <c r="Q2280" s="6">
        <v>100</v>
      </c>
      <c r="R2280" s="6">
        <v>4.17</v>
      </c>
      <c r="S2280" s="5">
        <v>-34.200000000000003</v>
      </c>
      <c r="T2280" s="7">
        <v>25.859000000000002</v>
      </c>
      <c r="U2280" s="5">
        <v>-1.1000000000000001</v>
      </c>
      <c r="V2280" s="7">
        <v>-4.0229999999999997</v>
      </c>
      <c r="W2280" s="7">
        <v>5.625</v>
      </c>
      <c r="X2280" s="7">
        <v>7.125</v>
      </c>
      <c r="Y2280" s="7">
        <v>7.125</v>
      </c>
      <c r="Z2280" s="7">
        <v>7.125</v>
      </c>
      <c r="AA2280" s="6">
        <v>8.49</v>
      </c>
      <c r="AB2280" s="2" t="s">
        <v>86</v>
      </c>
      <c r="AC2280" s="6">
        <v>32.26</v>
      </c>
    </row>
    <row r="2281" spans="1:29" ht="104" x14ac:dyDescent="0.15">
      <c r="A2281" s="3">
        <f>DATE(1995,12,28)</f>
        <v>35061</v>
      </c>
      <c r="B2281" s="2"/>
      <c r="C2281" s="2" t="s">
        <v>87</v>
      </c>
      <c r="D2281" s="2" t="s">
        <v>7327</v>
      </c>
      <c r="E2281" s="2" t="s">
        <v>7328</v>
      </c>
      <c r="F2281" s="4">
        <v>7929</v>
      </c>
      <c r="G2281" s="2" t="s">
        <v>364</v>
      </c>
      <c r="H2281" s="2" t="s">
        <v>34</v>
      </c>
      <c r="I2281" s="2" t="s">
        <v>51</v>
      </c>
      <c r="J2281" s="2" t="s">
        <v>52</v>
      </c>
      <c r="K2281" s="2" t="s">
        <v>53</v>
      </c>
      <c r="L2281" s="2" t="s">
        <v>34</v>
      </c>
      <c r="M2281" s="2"/>
      <c r="N2281" s="2"/>
      <c r="O2281" s="2"/>
      <c r="P2281" s="2" t="s">
        <v>7329</v>
      </c>
      <c r="Q2281" s="2"/>
      <c r="R2281" s="6">
        <v>6</v>
      </c>
      <c r="S2281" s="5">
        <v>-2.6</v>
      </c>
      <c r="T2281" s="7">
        <v>1.1970000000000001</v>
      </c>
      <c r="U2281" s="5">
        <v>4.5</v>
      </c>
      <c r="V2281" s="6">
        <v>-0.34</v>
      </c>
      <c r="W2281" s="7">
        <v>4.625</v>
      </c>
      <c r="X2281" s="7">
        <v>4.375</v>
      </c>
      <c r="Y2281" s="7">
        <v>5.1879999999999997</v>
      </c>
      <c r="Z2281" s="7">
        <v>4.8129999999999997</v>
      </c>
      <c r="AA2281" s="6">
        <v>7.85</v>
      </c>
      <c r="AB2281" s="2" t="s">
        <v>86</v>
      </c>
      <c r="AC2281" s="2"/>
    </row>
    <row r="2282" spans="1:29" ht="52" x14ac:dyDescent="0.15">
      <c r="A2282" s="3">
        <f>DATE(1996,1,2)</f>
        <v>35066</v>
      </c>
      <c r="B2282" s="2"/>
      <c r="C2282" s="2" t="s">
        <v>7330</v>
      </c>
      <c r="D2282" s="2" t="s">
        <v>7054</v>
      </c>
      <c r="E2282" s="2" t="s">
        <v>203</v>
      </c>
      <c r="F2282" s="4">
        <v>6036</v>
      </c>
      <c r="G2282" s="2" t="s">
        <v>33</v>
      </c>
      <c r="H2282" s="2" t="s">
        <v>34</v>
      </c>
      <c r="I2282" s="2" t="s">
        <v>7331</v>
      </c>
      <c r="J2282" s="2" t="s">
        <v>36</v>
      </c>
      <c r="K2282" s="2" t="s">
        <v>37</v>
      </c>
      <c r="L2282" s="2" t="s">
        <v>34</v>
      </c>
      <c r="M2282" s="12">
        <v>1333.867</v>
      </c>
      <c r="N2282" s="6">
        <v>216.25</v>
      </c>
      <c r="O2282" s="6">
        <v>216.25</v>
      </c>
      <c r="P2282" s="2" t="s">
        <v>7332</v>
      </c>
      <c r="Q2282" s="2"/>
      <c r="R2282" s="6">
        <v>26</v>
      </c>
      <c r="S2282" s="5">
        <v>1.3</v>
      </c>
      <c r="T2282" s="7">
        <v>2.9060000000000001</v>
      </c>
      <c r="U2282" s="5">
        <v>26.1</v>
      </c>
      <c r="V2282" s="6">
        <v>0.77</v>
      </c>
      <c r="W2282" s="5">
        <v>19.5</v>
      </c>
      <c r="X2282" s="5">
        <v>18.5</v>
      </c>
      <c r="Y2282" s="4">
        <v>22</v>
      </c>
      <c r="Z2282" s="5">
        <v>21.5</v>
      </c>
      <c r="AA2282" s="6">
        <v>1.62</v>
      </c>
      <c r="AB2282" s="7">
        <v>174.03100000000001</v>
      </c>
      <c r="AC2282" s="2"/>
    </row>
    <row r="2283" spans="1:29" ht="156" x14ac:dyDescent="0.15">
      <c r="A2283" s="3">
        <f>DATE(1996,1,3)</f>
        <v>35067</v>
      </c>
      <c r="B2283" s="3">
        <f>DATE(1996,8,28)</f>
        <v>35305</v>
      </c>
      <c r="C2283" s="2" t="s">
        <v>95</v>
      </c>
      <c r="D2283" s="2" t="s">
        <v>7333</v>
      </c>
      <c r="E2283" s="2" t="s">
        <v>7334</v>
      </c>
      <c r="F2283" s="4">
        <v>3679</v>
      </c>
      <c r="G2283" s="2" t="s">
        <v>137</v>
      </c>
      <c r="H2283" s="2" t="s">
        <v>34</v>
      </c>
      <c r="I2283" s="2" t="s">
        <v>7335</v>
      </c>
      <c r="J2283" s="2" t="s">
        <v>5889</v>
      </c>
      <c r="K2283" s="2" t="s">
        <v>137</v>
      </c>
      <c r="L2283" s="2" t="s">
        <v>34</v>
      </c>
      <c r="M2283" s="7">
        <v>219.863</v>
      </c>
      <c r="N2283" s="5">
        <v>18.5</v>
      </c>
      <c r="O2283" s="5">
        <v>18.5</v>
      </c>
      <c r="P2283" s="2" t="s">
        <v>7336</v>
      </c>
      <c r="Q2283" s="6">
        <v>100</v>
      </c>
      <c r="R2283" s="6">
        <v>11</v>
      </c>
      <c r="S2283" s="5">
        <v>-0.9</v>
      </c>
      <c r="T2283" s="7">
        <v>6.8150000000000004</v>
      </c>
      <c r="U2283" s="5">
        <v>9.6</v>
      </c>
      <c r="V2283" s="6">
        <v>-0.15</v>
      </c>
      <c r="W2283" s="4">
        <v>7</v>
      </c>
      <c r="X2283" s="5">
        <v>8.5</v>
      </c>
      <c r="Y2283" s="7">
        <v>8.375</v>
      </c>
      <c r="Z2283" s="7">
        <v>8.3439999999999994</v>
      </c>
      <c r="AA2283" s="6">
        <v>5.71</v>
      </c>
      <c r="AB2283" s="7">
        <v>40.366</v>
      </c>
      <c r="AC2283" s="6">
        <v>12.39</v>
      </c>
    </row>
    <row r="2284" spans="1:29" ht="156" x14ac:dyDescent="0.15">
      <c r="A2284" s="3">
        <f>DATE(1996,1,5)</f>
        <v>35069</v>
      </c>
      <c r="B2284" s="3">
        <f>DATE(1996,9,9)</f>
        <v>35317</v>
      </c>
      <c r="C2284" s="2" t="s">
        <v>95</v>
      </c>
      <c r="D2284" s="2" t="s">
        <v>6657</v>
      </c>
      <c r="E2284" s="2" t="s">
        <v>1072</v>
      </c>
      <c r="F2284" s="4">
        <v>6799</v>
      </c>
      <c r="G2284" s="2" t="s">
        <v>53</v>
      </c>
      <c r="H2284" s="2" t="s">
        <v>34</v>
      </c>
      <c r="I2284" s="2" t="s">
        <v>51</v>
      </c>
      <c r="J2284" s="2" t="s">
        <v>52</v>
      </c>
      <c r="K2284" s="2" t="s">
        <v>53</v>
      </c>
      <c r="L2284" s="2" t="s">
        <v>34</v>
      </c>
      <c r="M2284" s="2"/>
      <c r="N2284" s="2"/>
      <c r="O2284" s="2"/>
      <c r="P2284" s="2" t="s">
        <v>7337</v>
      </c>
      <c r="Q2284" s="6">
        <v>100</v>
      </c>
      <c r="R2284" s="6">
        <v>16</v>
      </c>
      <c r="S2284" s="5">
        <v>4.5</v>
      </c>
      <c r="T2284" s="2"/>
      <c r="U2284" s="5">
        <v>13.4</v>
      </c>
      <c r="V2284" s="6">
        <v>1.91</v>
      </c>
      <c r="W2284" s="7">
        <v>15.875</v>
      </c>
      <c r="X2284" s="7">
        <v>14.625</v>
      </c>
      <c r="Y2284" s="6">
        <v>15.25</v>
      </c>
      <c r="Z2284" s="7">
        <v>17.125</v>
      </c>
      <c r="AA2284" s="6">
        <v>3.21</v>
      </c>
      <c r="AB2284" s="2" t="s">
        <v>47</v>
      </c>
      <c r="AC2284" s="2"/>
    </row>
    <row r="2285" spans="1:29" ht="143" x14ac:dyDescent="0.15">
      <c r="A2285" s="3">
        <f>DATE(1996,1,5)</f>
        <v>35069</v>
      </c>
      <c r="B2285" s="2"/>
      <c r="C2285" s="2" t="s">
        <v>30</v>
      </c>
      <c r="D2285" s="2" t="s">
        <v>7338</v>
      </c>
      <c r="E2285" s="2" t="s">
        <v>7339</v>
      </c>
      <c r="F2285" s="4">
        <v>7372</v>
      </c>
      <c r="G2285" s="2" t="s">
        <v>551</v>
      </c>
      <c r="H2285" s="2" t="s">
        <v>34</v>
      </c>
      <c r="I2285" s="2" t="s">
        <v>7340</v>
      </c>
      <c r="J2285" s="2" t="s">
        <v>4801</v>
      </c>
      <c r="K2285" s="2" t="s">
        <v>50</v>
      </c>
      <c r="L2285" s="2" t="s">
        <v>34</v>
      </c>
      <c r="M2285" s="2"/>
      <c r="N2285" s="2"/>
      <c r="O2285" s="2"/>
      <c r="P2285" s="2" t="s">
        <v>7341</v>
      </c>
      <c r="Q2285" s="2"/>
      <c r="R2285" s="2"/>
      <c r="S2285" s="5">
        <v>-4.2</v>
      </c>
      <c r="T2285" s="7">
        <v>-3.1040000000000001</v>
      </c>
      <c r="U2285" s="5">
        <v>1</v>
      </c>
      <c r="V2285" s="6">
        <v>-1.77</v>
      </c>
      <c r="W2285" s="4">
        <v>5</v>
      </c>
      <c r="X2285" s="5">
        <v>5.5</v>
      </c>
      <c r="Y2285" s="6">
        <v>5.25</v>
      </c>
      <c r="Z2285" s="7">
        <v>5.5629999999999997</v>
      </c>
      <c r="AA2285" s="6">
        <v>7.72</v>
      </c>
      <c r="AB2285" s="2" t="s">
        <v>86</v>
      </c>
      <c r="AC2285" s="2"/>
    </row>
    <row r="2286" spans="1:29" ht="143" x14ac:dyDescent="0.15">
      <c r="A2286" s="3">
        <f>DATE(1996,1,5)</f>
        <v>35069</v>
      </c>
      <c r="B2286" s="3">
        <f>DATE(1996,7,1)</f>
        <v>35247</v>
      </c>
      <c r="C2286" s="2" t="s">
        <v>95</v>
      </c>
      <c r="D2286" s="2" t="s">
        <v>7342</v>
      </c>
      <c r="E2286" s="2" t="s">
        <v>36</v>
      </c>
      <c r="F2286" s="4">
        <v>6021</v>
      </c>
      <c r="G2286" s="2" t="s">
        <v>37</v>
      </c>
      <c r="H2286" s="2" t="s">
        <v>34</v>
      </c>
      <c r="I2286" s="2" t="s">
        <v>5142</v>
      </c>
      <c r="J2286" s="2" t="s">
        <v>159</v>
      </c>
      <c r="K2286" s="2" t="s">
        <v>33</v>
      </c>
      <c r="L2286" s="2" t="s">
        <v>34</v>
      </c>
      <c r="M2286" s="7">
        <v>112.637</v>
      </c>
      <c r="N2286" s="7">
        <v>15.188000000000001</v>
      </c>
      <c r="O2286" s="7">
        <v>15.375</v>
      </c>
      <c r="P2286" s="2" t="s">
        <v>7343</v>
      </c>
      <c r="Q2286" s="6">
        <v>100</v>
      </c>
      <c r="R2286" s="6">
        <v>26.14</v>
      </c>
      <c r="S2286" s="5">
        <v>1.6</v>
      </c>
      <c r="T2286" s="7">
        <v>3.4489999999999998</v>
      </c>
      <c r="U2286" s="5">
        <v>18.100000000000001</v>
      </c>
      <c r="V2286" s="6">
        <v>1.44</v>
      </c>
      <c r="W2286" s="6">
        <v>23.75</v>
      </c>
      <c r="X2286" s="6">
        <v>25.25</v>
      </c>
      <c r="Y2286" s="4">
        <v>25</v>
      </c>
      <c r="Z2286" s="6">
        <v>22.75</v>
      </c>
      <c r="AA2286" s="6">
        <v>1.08</v>
      </c>
      <c r="AB2286" s="7">
        <v>91.587000000000003</v>
      </c>
      <c r="AC2286" s="2"/>
    </row>
    <row r="2287" spans="1:29" ht="91" x14ac:dyDescent="0.15">
      <c r="A2287" s="3">
        <f>DATE(1996,1,5)</f>
        <v>35069</v>
      </c>
      <c r="B2287" s="3">
        <f>DATE(1996,2,15)</f>
        <v>35110</v>
      </c>
      <c r="C2287" s="2" t="s">
        <v>95</v>
      </c>
      <c r="D2287" s="2" t="s">
        <v>7344</v>
      </c>
      <c r="E2287" s="2" t="s">
        <v>7345</v>
      </c>
      <c r="F2287" s="4">
        <v>3949</v>
      </c>
      <c r="G2287" s="2" t="s">
        <v>112</v>
      </c>
      <c r="H2287" s="2" t="s">
        <v>34</v>
      </c>
      <c r="I2287" s="2" t="s">
        <v>7346</v>
      </c>
      <c r="J2287" s="2" t="s">
        <v>1072</v>
      </c>
      <c r="K2287" s="2" t="s">
        <v>53</v>
      </c>
      <c r="L2287" s="2" t="s">
        <v>34</v>
      </c>
      <c r="M2287" s="2"/>
      <c r="N2287" s="2"/>
      <c r="O2287" s="2"/>
      <c r="P2287" s="2" t="s">
        <v>7347</v>
      </c>
      <c r="Q2287" s="6">
        <v>58.5</v>
      </c>
      <c r="R2287" s="6">
        <v>6.5</v>
      </c>
      <c r="S2287" s="5">
        <v>4.0999999999999996</v>
      </c>
      <c r="T2287" s="7">
        <v>13.468999999999999</v>
      </c>
      <c r="U2287" s="5">
        <v>-0.1</v>
      </c>
      <c r="V2287" s="6">
        <v>0.67</v>
      </c>
      <c r="W2287" s="6">
        <v>6.25</v>
      </c>
      <c r="X2287" s="4">
        <v>2</v>
      </c>
      <c r="Y2287" s="5">
        <v>8.5</v>
      </c>
      <c r="Z2287" s="6">
        <v>9.25</v>
      </c>
      <c r="AA2287" s="6">
        <v>6</v>
      </c>
      <c r="AB2287" s="7">
        <v>7.2530000000000001</v>
      </c>
      <c r="AC2287" s="2"/>
    </row>
    <row r="2288" spans="1:29" ht="39" x14ac:dyDescent="0.15">
      <c r="A2288" s="3">
        <f>DATE(1996,1,8)</f>
        <v>35072</v>
      </c>
      <c r="B2288" s="2"/>
      <c r="C2288" s="2" t="s">
        <v>30</v>
      </c>
      <c r="D2288" s="2" t="s">
        <v>7348</v>
      </c>
      <c r="E2288" s="2" t="s">
        <v>7349</v>
      </c>
      <c r="F2288" s="4">
        <v>8731</v>
      </c>
      <c r="G2288" s="2" t="s">
        <v>223</v>
      </c>
      <c r="H2288" s="2" t="s">
        <v>34</v>
      </c>
      <c r="I2288" s="2" t="s">
        <v>7350</v>
      </c>
      <c r="J2288" s="2" t="s">
        <v>7351</v>
      </c>
      <c r="K2288" s="2" t="s">
        <v>130</v>
      </c>
      <c r="L2288" s="2" t="s">
        <v>34</v>
      </c>
      <c r="M2288" s="2"/>
      <c r="N2288" s="2"/>
      <c r="O2288" s="2"/>
      <c r="P2288" s="2" t="s">
        <v>7352</v>
      </c>
      <c r="Q2288" s="2"/>
      <c r="R2288" s="2"/>
      <c r="S2288" s="5">
        <v>-19.899999999999999</v>
      </c>
      <c r="T2288" s="7">
        <v>-20.573</v>
      </c>
      <c r="U2288" s="8">
        <v>1099.2</v>
      </c>
      <c r="V2288" s="7">
        <v>-453.33300000000003</v>
      </c>
      <c r="W2288" s="7">
        <v>5.5629999999999997</v>
      </c>
      <c r="X2288" s="7">
        <v>5.625</v>
      </c>
      <c r="Y2288" s="7">
        <v>5.875</v>
      </c>
      <c r="Z2288" s="7">
        <v>5.625</v>
      </c>
      <c r="AA2288" s="6">
        <v>16.760000000000002</v>
      </c>
      <c r="AB2288" s="2" t="s">
        <v>86</v>
      </c>
      <c r="AC2288" s="2"/>
    </row>
    <row r="2289" spans="1:29" ht="117" x14ac:dyDescent="0.15">
      <c r="A2289" s="3">
        <f>DATE(1996,1,8)</f>
        <v>35072</v>
      </c>
      <c r="B2289" s="3">
        <f>DATE(1996,4,30)</f>
        <v>35185</v>
      </c>
      <c r="C2289" s="2" t="s">
        <v>95</v>
      </c>
      <c r="D2289" s="2" t="s">
        <v>7353</v>
      </c>
      <c r="E2289" s="2" t="s">
        <v>6065</v>
      </c>
      <c r="F2289" s="4">
        <v>3812</v>
      </c>
      <c r="G2289" s="2" t="s">
        <v>226</v>
      </c>
      <c r="H2289" s="2" t="s">
        <v>34</v>
      </c>
      <c r="I2289" s="2" t="s">
        <v>7354</v>
      </c>
      <c r="J2289" s="2" t="s">
        <v>7355</v>
      </c>
      <c r="K2289" s="2" t="s">
        <v>219</v>
      </c>
      <c r="L2289" s="2" t="s">
        <v>34</v>
      </c>
      <c r="M2289" s="12">
        <v>14687.495999999999</v>
      </c>
      <c r="N2289" s="6">
        <v>80.25</v>
      </c>
      <c r="O2289" s="7">
        <v>78.875</v>
      </c>
      <c r="P2289" s="2" t="s">
        <v>7356</v>
      </c>
      <c r="Q2289" s="6">
        <v>100</v>
      </c>
      <c r="R2289" s="6">
        <v>38</v>
      </c>
      <c r="S2289" s="5">
        <v>288.39999999999998</v>
      </c>
      <c r="T2289" s="7">
        <v>814.63300000000004</v>
      </c>
      <c r="U2289" s="5">
        <v>9.9</v>
      </c>
      <c r="V2289" s="6">
        <v>1.69</v>
      </c>
      <c r="W2289" s="7">
        <v>35.375</v>
      </c>
      <c r="X2289" s="6">
        <v>36.25</v>
      </c>
      <c r="Y2289" s="5">
        <v>44.5</v>
      </c>
      <c r="Z2289" s="6">
        <v>43.75</v>
      </c>
      <c r="AA2289" s="6">
        <v>173.07</v>
      </c>
      <c r="AB2289" s="7">
        <v>13.702</v>
      </c>
      <c r="AC2289" s="5">
        <v>653</v>
      </c>
    </row>
    <row r="2290" spans="1:29" ht="117" x14ac:dyDescent="0.15">
      <c r="A2290" s="3">
        <f>DATE(1996,1,8)</f>
        <v>35072</v>
      </c>
      <c r="B2290" s="3">
        <f>DATE(1996,5,31)</f>
        <v>35216</v>
      </c>
      <c r="C2290" s="2" t="s">
        <v>95</v>
      </c>
      <c r="D2290" s="2" t="s">
        <v>7357</v>
      </c>
      <c r="E2290" s="2" t="s">
        <v>7358</v>
      </c>
      <c r="F2290" s="4">
        <v>3452</v>
      </c>
      <c r="G2290" s="2" t="s">
        <v>163</v>
      </c>
      <c r="H2290" s="2" t="s">
        <v>34</v>
      </c>
      <c r="I2290" s="2" t="s">
        <v>506</v>
      </c>
      <c r="J2290" s="2" t="s">
        <v>507</v>
      </c>
      <c r="K2290" s="2" t="s">
        <v>300</v>
      </c>
      <c r="L2290" s="2" t="s">
        <v>34</v>
      </c>
      <c r="M2290" s="12">
        <v>7038.6310000000003</v>
      </c>
      <c r="N2290" s="7">
        <v>57.125</v>
      </c>
      <c r="O2290" s="5">
        <v>55.5</v>
      </c>
      <c r="P2290" s="2" t="s">
        <v>7359</v>
      </c>
      <c r="Q2290" s="6">
        <v>100</v>
      </c>
      <c r="R2290" s="6">
        <v>14.2</v>
      </c>
      <c r="S2290" s="5">
        <v>0.1</v>
      </c>
      <c r="T2290" s="7">
        <v>7.6109999999999998</v>
      </c>
      <c r="U2290" s="5">
        <v>7.7</v>
      </c>
      <c r="V2290" s="6">
        <v>0.02</v>
      </c>
      <c r="W2290" s="4">
        <v>6</v>
      </c>
      <c r="X2290" s="6">
        <v>6.25</v>
      </c>
      <c r="Y2290" s="6">
        <v>6.75</v>
      </c>
      <c r="Z2290" s="7">
        <v>13.766</v>
      </c>
      <c r="AA2290" s="6">
        <v>3.87</v>
      </c>
      <c r="AB2290" s="7">
        <v>27.375</v>
      </c>
      <c r="AC2290" s="5">
        <v>116.6</v>
      </c>
    </row>
    <row r="2291" spans="1:29" ht="143" x14ac:dyDescent="0.15">
      <c r="A2291" s="3">
        <f>DATE(1996,1,8)</f>
        <v>35072</v>
      </c>
      <c r="B2291" s="3">
        <f>DATE(1996,3,4)</f>
        <v>35128</v>
      </c>
      <c r="C2291" s="2" t="s">
        <v>95</v>
      </c>
      <c r="D2291" s="2" t="s">
        <v>7360</v>
      </c>
      <c r="E2291" s="2" t="s">
        <v>7361</v>
      </c>
      <c r="F2291" s="4">
        <v>4215</v>
      </c>
      <c r="G2291" s="2" t="s">
        <v>173</v>
      </c>
      <c r="H2291" s="2" t="s">
        <v>34</v>
      </c>
      <c r="I2291" s="2" t="s">
        <v>7362</v>
      </c>
      <c r="J2291" s="2" t="s">
        <v>7363</v>
      </c>
      <c r="K2291" s="2" t="s">
        <v>593</v>
      </c>
      <c r="L2291" s="2" t="s">
        <v>34</v>
      </c>
      <c r="M2291" s="8">
        <v>1373.4</v>
      </c>
      <c r="N2291" s="7">
        <v>26.125</v>
      </c>
      <c r="O2291" s="7">
        <v>24.875</v>
      </c>
      <c r="P2291" s="2" t="s">
        <v>7364</v>
      </c>
      <c r="Q2291" s="6">
        <v>100</v>
      </c>
      <c r="R2291" s="6">
        <v>31.5</v>
      </c>
      <c r="S2291" s="5">
        <v>10.1</v>
      </c>
      <c r="T2291" s="6">
        <v>23.39</v>
      </c>
      <c r="U2291" s="5">
        <v>3.6</v>
      </c>
      <c r="V2291" s="7">
        <v>0.93799999999999994</v>
      </c>
      <c r="W2291" s="4">
        <v>29</v>
      </c>
      <c r="X2291" s="6">
        <v>28.75</v>
      </c>
      <c r="Y2291" s="6">
        <v>29.75</v>
      </c>
      <c r="Z2291" s="7">
        <v>28.125</v>
      </c>
      <c r="AA2291" s="6">
        <v>12.6</v>
      </c>
      <c r="AB2291" s="7">
        <v>24.806000000000001</v>
      </c>
      <c r="AC2291" s="6">
        <v>11.55</v>
      </c>
    </row>
    <row r="2292" spans="1:29" ht="26" x14ac:dyDescent="0.15">
      <c r="A2292" s="3">
        <f>DATE(1996,1,9)</f>
        <v>35073</v>
      </c>
      <c r="B2292" s="3">
        <f>DATE(1996,4,30)</f>
        <v>35185</v>
      </c>
      <c r="C2292" s="2" t="s">
        <v>95</v>
      </c>
      <c r="D2292" s="2" t="s">
        <v>3637</v>
      </c>
      <c r="E2292" s="2" t="s">
        <v>781</v>
      </c>
      <c r="F2292" s="4">
        <v>7372</v>
      </c>
      <c r="G2292" s="2" t="s">
        <v>551</v>
      </c>
      <c r="H2292" s="2" t="s">
        <v>34</v>
      </c>
      <c r="I2292" s="2" t="s">
        <v>3638</v>
      </c>
      <c r="J2292" s="2" t="s">
        <v>3639</v>
      </c>
      <c r="K2292" s="2" t="s">
        <v>551</v>
      </c>
      <c r="L2292" s="2" t="s">
        <v>34</v>
      </c>
      <c r="M2292" s="7">
        <v>858.76199999999994</v>
      </c>
      <c r="N2292" s="5">
        <v>16.5</v>
      </c>
      <c r="O2292" s="4">
        <v>16</v>
      </c>
      <c r="P2292" s="2" t="s">
        <v>7365</v>
      </c>
      <c r="Q2292" s="6">
        <v>100</v>
      </c>
      <c r="R2292" s="6">
        <v>14</v>
      </c>
      <c r="S2292" s="5">
        <v>0.7</v>
      </c>
      <c r="T2292" s="2"/>
      <c r="U2292" s="5">
        <v>3.5</v>
      </c>
      <c r="V2292" s="7">
        <v>0.308</v>
      </c>
      <c r="W2292" s="4">
        <v>12</v>
      </c>
      <c r="X2292" s="6">
        <v>12.25</v>
      </c>
      <c r="Y2292" s="5">
        <v>12.5</v>
      </c>
      <c r="Z2292" s="5">
        <v>13.5</v>
      </c>
      <c r="AA2292" s="6">
        <v>2.2999999999999998</v>
      </c>
      <c r="AB2292" s="7">
        <v>33.479999999999997</v>
      </c>
      <c r="AC2292" s="6">
        <v>165.12</v>
      </c>
    </row>
    <row r="2293" spans="1:29" ht="91" x14ac:dyDescent="0.15">
      <c r="A2293" s="3">
        <f>DATE(1996,1,10)</f>
        <v>35074</v>
      </c>
      <c r="B2293" s="3">
        <f>DATE(1996,6,26)</f>
        <v>35242</v>
      </c>
      <c r="C2293" s="2" t="s">
        <v>95</v>
      </c>
      <c r="D2293" s="2" t="s">
        <v>7366</v>
      </c>
      <c r="E2293" s="2" t="s">
        <v>1248</v>
      </c>
      <c r="F2293" s="4">
        <v>1041</v>
      </c>
      <c r="G2293" s="2" t="s">
        <v>166</v>
      </c>
      <c r="H2293" s="2" t="s">
        <v>34</v>
      </c>
      <c r="I2293" s="2" t="s">
        <v>7367</v>
      </c>
      <c r="J2293" s="2" t="s">
        <v>1248</v>
      </c>
      <c r="K2293" s="2" t="s">
        <v>166</v>
      </c>
      <c r="L2293" s="2" t="s">
        <v>902</v>
      </c>
      <c r="M2293" s="2"/>
      <c r="N2293" s="2"/>
      <c r="O2293" s="2"/>
      <c r="P2293" s="2" t="s">
        <v>7368</v>
      </c>
      <c r="Q2293" s="6">
        <v>100</v>
      </c>
      <c r="R2293" s="6">
        <v>5.56</v>
      </c>
      <c r="S2293" s="5">
        <v>9.6</v>
      </c>
      <c r="T2293" s="7">
        <v>9.0939999999999994</v>
      </c>
      <c r="U2293" s="5">
        <v>2.8</v>
      </c>
      <c r="V2293" s="6">
        <v>0.71</v>
      </c>
      <c r="W2293" s="5">
        <v>4.5</v>
      </c>
      <c r="X2293" s="6">
        <v>4.25</v>
      </c>
      <c r="Y2293" s="5">
        <v>4.5</v>
      </c>
      <c r="Z2293" s="7">
        <v>4.875</v>
      </c>
      <c r="AA2293" s="6">
        <v>13.56</v>
      </c>
      <c r="AB2293" s="7">
        <v>16.445</v>
      </c>
      <c r="AC2293" s="2"/>
    </row>
    <row r="2294" spans="1:29" ht="130" x14ac:dyDescent="0.15">
      <c r="A2294" s="3">
        <f>DATE(1996,1,11)</f>
        <v>35075</v>
      </c>
      <c r="B2294" s="3">
        <f>DATE(1996,7,30)</f>
        <v>35276</v>
      </c>
      <c r="C2294" s="2" t="s">
        <v>95</v>
      </c>
      <c r="D2294" s="2" t="s">
        <v>7369</v>
      </c>
      <c r="E2294" s="2" t="s">
        <v>7370</v>
      </c>
      <c r="F2294" s="4">
        <v>5812</v>
      </c>
      <c r="G2294" s="2" t="s">
        <v>230</v>
      </c>
      <c r="H2294" s="2" t="s">
        <v>34</v>
      </c>
      <c r="I2294" s="2" t="s">
        <v>7371</v>
      </c>
      <c r="J2294" s="2" t="s">
        <v>6321</v>
      </c>
      <c r="K2294" s="2" t="s">
        <v>53</v>
      </c>
      <c r="L2294" s="2" t="s">
        <v>34</v>
      </c>
      <c r="M2294" s="7">
        <v>253.10900000000001</v>
      </c>
      <c r="N2294" s="4">
        <v>23</v>
      </c>
      <c r="O2294" s="6">
        <v>22.75</v>
      </c>
      <c r="P2294" s="2" t="s">
        <v>7372</v>
      </c>
      <c r="Q2294" s="6">
        <v>100</v>
      </c>
      <c r="R2294" s="6">
        <v>12</v>
      </c>
      <c r="S2294" s="5">
        <v>4.8</v>
      </c>
      <c r="T2294" s="7">
        <v>17.654</v>
      </c>
      <c r="U2294" s="5">
        <v>6.8</v>
      </c>
      <c r="V2294" s="6">
        <v>0.72</v>
      </c>
      <c r="W2294" s="6">
        <v>8.25</v>
      </c>
      <c r="X2294" s="6">
        <v>8.75</v>
      </c>
      <c r="Y2294" s="4">
        <v>11</v>
      </c>
      <c r="Z2294" s="7">
        <v>10.375</v>
      </c>
      <c r="AA2294" s="6">
        <v>6.59</v>
      </c>
      <c r="AB2294" s="7">
        <v>13.992000000000001</v>
      </c>
      <c r="AC2294" s="5">
        <v>7.9</v>
      </c>
    </row>
    <row r="2295" spans="1:29" ht="39" x14ac:dyDescent="0.15">
      <c r="A2295" s="3">
        <f>DATE(1996,1,12)</f>
        <v>35076</v>
      </c>
      <c r="B2295" s="2"/>
      <c r="C2295" s="2" t="s">
        <v>7330</v>
      </c>
      <c r="D2295" s="2" t="s">
        <v>7373</v>
      </c>
      <c r="E2295" s="2" t="s">
        <v>5309</v>
      </c>
      <c r="F2295" s="4">
        <v>1311</v>
      </c>
      <c r="G2295" s="2" t="s">
        <v>148</v>
      </c>
      <c r="H2295" s="2" t="s">
        <v>34</v>
      </c>
      <c r="I2295" s="2" t="s">
        <v>7374</v>
      </c>
      <c r="J2295" s="2" t="s">
        <v>7375</v>
      </c>
      <c r="K2295" s="2" t="s">
        <v>4563</v>
      </c>
      <c r="L2295" s="2" t="s">
        <v>34</v>
      </c>
      <c r="M2295" s="2"/>
      <c r="N2295" s="2"/>
      <c r="O2295" s="2"/>
      <c r="P2295" s="2" t="s">
        <v>7376</v>
      </c>
      <c r="Q2295" s="2"/>
      <c r="R2295" s="2"/>
      <c r="S2295" s="2"/>
      <c r="T2295" s="2"/>
      <c r="U2295" s="2"/>
      <c r="V2295" s="2"/>
      <c r="W2295" s="7">
        <v>1.5629999999999999</v>
      </c>
      <c r="X2295" s="7">
        <v>1.4059999999999999</v>
      </c>
      <c r="Y2295" s="7">
        <v>1.4379999999999999</v>
      </c>
      <c r="Z2295" s="6">
        <v>1.25</v>
      </c>
      <c r="AA2295" s="2"/>
      <c r="AB2295" s="2" t="s">
        <v>47</v>
      </c>
      <c r="AC2295" s="2"/>
    </row>
    <row r="2296" spans="1:29" ht="130" x14ac:dyDescent="0.15">
      <c r="A2296" s="3">
        <f>DATE(1996,1,12)</f>
        <v>35076</v>
      </c>
      <c r="B2296" s="2"/>
      <c r="C2296" s="2" t="s">
        <v>30</v>
      </c>
      <c r="D2296" s="2" t="s">
        <v>7256</v>
      </c>
      <c r="E2296" s="2" t="s">
        <v>7257</v>
      </c>
      <c r="F2296" s="4">
        <v>2844</v>
      </c>
      <c r="G2296" s="2" t="s">
        <v>358</v>
      </c>
      <c r="H2296" s="2" t="s">
        <v>34</v>
      </c>
      <c r="I2296" s="2" t="s">
        <v>7377</v>
      </c>
      <c r="J2296" s="2" t="s">
        <v>7378</v>
      </c>
      <c r="K2296" s="2" t="s">
        <v>358</v>
      </c>
      <c r="L2296" s="2" t="s">
        <v>1049</v>
      </c>
      <c r="M2296" s="2"/>
      <c r="N2296" s="2"/>
      <c r="O2296" s="2"/>
      <c r="P2296" s="2" t="s">
        <v>7379</v>
      </c>
      <c r="Q2296" s="2"/>
      <c r="R2296" s="6">
        <v>42</v>
      </c>
      <c r="S2296" s="5">
        <v>16.600000000000001</v>
      </c>
      <c r="T2296" s="7">
        <v>45.936999999999998</v>
      </c>
      <c r="U2296" s="5">
        <v>0.7</v>
      </c>
      <c r="V2296" s="6">
        <v>1.07</v>
      </c>
      <c r="W2296" s="7">
        <v>26.375</v>
      </c>
      <c r="X2296" s="4">
        <v>31</v>
      </c>
      <c r="Y2296" s="6">
        <v>36.25</v>
      </c>
      <c r="Z2296" s="7">
        <v>36.313000000000002</v>
      </c>
      <c r="AA2296" s="6">
        <v>13.91</v>
      </c>
      <c r="AB2296" s="7">
        <v>21.276</v>
      </c>
      <c r="AC2296" s="2"/>
    </row>
    <row r="2297" spans="1:29" ht="91" x14ac:dyDescent="0.15">
      <c r="A2297" s="3">
        <f>DATE(1996,1,15)</f>
        <v>35079</v>
      </c>
      <c r="B2297" s="2"/>
      <c r="C2297" s="2" t="s">
        <v>30</v>
      </c>
      <c r="D2297" s="2" t="s">
        <v>7380</v>
      </c>
      <c r="E2297" s="2" t="s">
        <v>1098</v>
      </c>
      <c r="F2297" s="4">
        <v>8059</v>
      </c>
      <c r="G2297" s="2" t="s">
        <v>454</v>
      </c>
      <c r="H2297" s="2" t="s">
        <v>34</v>
      </c>
      <c r="I2297" s="2" t="s">
        <v>5752</v>
      </c>
      <c r="J2297" s="2" t="s">
        <v>5753</v>
      </c>
      <c r="K2297" s="2" t="s">
        <v>454</v>
      </c>
      <c r="L2297" s="2" t="s">
        <v>34</v>
      </c>
      <c r="M2297" s="6">
        <v>494.72</v>
      </c>
      <c r="N2297" s="6">
        <v>24.25</v>
      </c>
      <c r="O2297" s="7">
        <v>23.875</v>
      </c>
      <c r="P2297" s="2" t="s">
        <v>7381</v>
      </c>
      <c r="Q2297" s="2"/>
      <c r="R2297" s="6">
        <v>4.8</v>
      </c>
      <c r="S2297" s="5">
        <v>-2.2999999999999998</v>
      </c>
      <c r="T2297" s="7">
        <v>-0.56100000000000005</v>
      </c>
      <c r="U2297" s="5">
        <v>-6.6</v>
      </c>
      <c r="V2297" s="9">
        <v>-12.2523</v>
      </c>
      <c r="W2297" s="7">
        <v>4.125</v>
      </c>
      <c r="X2297" s="6">
        <v>3.75</v>
      </c>
      <c r="Y2297" s="6">
        <v>4.25</v>
      </c>
      <c r="Z2297" s="7">
        <v>4.3129999999999997</v>
      </c>
      <c r="AA2297" s="6">
        <v>3.4</v>
      </c>
      <c r="AB2297" s="2" t="s">
        <v>86</v>
      </c>
      <c r="AC2297" s="6">
        <v>41.3</v>
      </c>
    </row>
    <row r="2298" spans="1:29" ht="65" x14ac:dyDescent="0.15">
      <c r="A2298" s="3">
        <f>DATE(1996,1,16)</f>
        <v>35080</v>
      </c>
      <c r="B2298" s="3">
        <f>DATE(1996,2,26)</f>
        <v>35121</v>
      </c>
      <c r="C2298" s="2" t="s">
        <v>95</v>
      </c>
      <c r="D2298" s="2" t="s">
        <v>7382</v>
      </c>
      <c r="E2298" s="2" t="s">
        <v>7383</v>
      </c>
      <c r="F2298" s="4">
        <v>8741</v>
      </c>
      <c r="G2298" s="2" t="s">
        <v>223</v>
      </c>
      <c r="H2298" s="2" t="s">
        <v>34</v>
      </c>
      <c r="I2298" s="2" t="s">
        <v>4625</v>
      </c>
      <c r="J2298" s="2" t="s">
        <v>4626</v>
      </c>
      <c r="K2298" s="2" t="s">
        <v>454</v>
      </c>
      <c r="L2298" s="2" t="s">
        <v>34</v>
      </c>
      <c r="M2298" s="5">
        <v>388.9</v>
      </c>
      <c r="N2298" s="6">
        <v>22.75</v>
      </c>
      <c r="O2298" s="7">
        <v>22.625</v>
      </c>
      <c r="P2298" s="2" t="s">
        <v>7384</v>
      </c>
      <c r="Q2298" s="6">
        <v>100</v>
      </c>
      <c r="R2298" s="6">
        <v>7.35</v>
      </c>
      <c r="S2298" s="2"/>
      <c r="T2298" s="2"/>
      <c r="U2298" s="2"/>
      <c r="V2298" s="2"/>
      <c r="W2298" s="7">
        <v>5.125</v>
      </c>
      <c r="X2298" s="4">
        <v>5</v>
      </c>
      <c r="Y2298" s="7">
        <v>7.125</v>
      </c>
      <c r="Z2298" s="7">
        <v>7.1879999999999997</v>
      </c>
      <c r="AA2298" s="6">
        <v>9.4499999999999993</v>
      </c>
      <c r="AB2298" s="2" t="s">
        <v>47</v>
      </c>
      <c r="AC2298" s="6">
        <v>4.13</v>
      </c>
    </row>
    <row r="2299" spans="1:29" ht="104" x14ac:dyDescent="0.15">
      <c r="A2299" s="3">
        <f>DATE(1996,1,16)</f>
        <v>35080</v>
      </c>
      <c r="B2299" s="3">
        <f>DATE(1996,4,10)</f>
        <v>35165</v>
      </c>
      <c r="C2299" s="2" t="s">
        <v>95</v>
      </c>
      <c r="D2299" s="2" t="s">
        <v>7385</v>
      </c>
      <c r="E2299" s="2" t="s">
        <v>7386</v>
      </c>
      <c r="F2299" s="4">
        <v>3842</v>
      </c>
      <c r="G2299" s="2" t="s">
        <v>226</v>
      </c>
      <c r="H2299" s="2" t="s">
        <v>34</v>
      </c>
      <c r="I2299" s="2" t="s">
        <v>7387</v>
      </c>
      <c r="J2299" s="2" t="s">
        <v>7388</v>
      </c>
      <c r="K2299" s="2" t="s">
        <v>226</v>
      </c>
      <c r="L2299" s="2" t="s">
        <v>34</v>
      </c>
      <c r="M2299" s="2"/>
      <c r="N2299" s="2"/>
      <c r="O2299" s="2"/>
      <c r="P2299" s="2" t="s">
        <v>7389</v>
      </c>
      <c r="Q2299" s="6">
        <v>100</v>
      </c>
      <c r="R2299" s="6">
        <v>10.43</v>
      </c>
      <c r="S2299" s="5">
        <v>0.7</v>
      </c>
      <c r="T2299" s="6">
        <v>1.66</v>
      </c>
      <c r="U2299" s="5">
        <v>2.2999999999999998</v>
      </c>
      <c r="V2299" s="7">
        <v>0.17799999999999999</v>
      </c>
      <c r="W2299" s="6">
        <v>7.25</v>
      </c>
      <c r="X2299" s="7">
        <v>8.109</v>
      </c>
      <c r="Y2299" s="7">
        <v>9.375</v>
      </c>
      <c r="Z2299" s="7">
        <v>9.4380000000000006</v>
      </c>
      <c r="AA2299" s="6">
        <v>3.93</v>
      </c>
      <c r="AB2299" s="7">
        <v>32.280999999999999</v>
      </c>
      <c r="AC2299" s="2"/>
    </row>
    <row r="2300" spans="1:29" ht="117" x14ac:dyDescent="0.15">
      <c r="A2300" s="3">
        <f>DATE(1996,1,18)</f>
        <v>35082</v>
      </c>
      <c r="B2300" s="3">
        <f>DATE(1996,8,23)</f>
        <v>35300</v>
      </c>
      <c r="C2300" s="2" t="s">
        <v>95</v>
      </c>
      <c r="D2300" s="2" t="s">
        <v>5501</v>
      </c>
      <c r="E2300" s="2" t="s">
        <v>5502</v>
      </c>
      <c r="F2300" s="4">
        <v>7361</v>
      </c>
      <c r="G2300" s="2" t="s">
        <v>223</v>
      </c>
      <c r="H2300" s="2" t="s">
        <v>34</v>
      </c>
      <c r="I2300" s="2" t="s">
        <v>7390</v>
      </c>
      <c r="J2300" s="2" t="s">
        <v>3600</v>
      </c>
      <c r="K2300" s="2" t="s">
        <v>454</v>
      </c>
      <c r="L2300" s="2" t="s">
        <v>34</v>
      </c>
      <c r="M2300" s="6">
        <v>16.329999999999998</v>
      </c>
      <c r="N2300" s="6">
        <v>6.75</v>
      </c>
      <c r="O2300" s="7">
        <v>7.125</v>
      </c>
      <c r="P2300" s="2" t="s">
        <v>7391</v>
      </c>
      <c r="Q2300" s="6">
        <v>100</v>
      </c>
      <c r="R2300" s="6">
        <v>2.86</v>
      </c>
      <c r="S2300" s="5">
        <v>0.1</v>
      </c>
      <c r="T2300" s="7">
        <v>0.42699999999999999</v>
      </c>
      <c r="U2300" s="5">
        <v>1.4</v>
      </c>
      <c r="V2300" s="6">
        <v>0.02</v>
      </c>
      <c r="W2300" s="6">
        <v>2.25</v>
      </c>
      <c r="X2300" s="5">
        <v>2.5</v>
      </c>
      <c r="Y2300" s="6">
        <v>2.75</v>
      </c>
      <c r="Z2300" s="6">
        <v>2.75</v>
      </c>
      <c r="AA2300" s="6">
        <v>3.16</v>
      </c>
      <c r="AB2300" s="7">
        <v>633.65800000000002</v>
      </c>
      <c r="AC2300" s="6">
        <v>0.27</v>
      </c>
    </row>
    <row r="2301" spans="1:29" ht="117" x14ac:dyDescent="0.15">
      <c r="A2301" s="3">
        <f>DATE(1996,1,18)</f>
        <v>35082</v>
      </c>
      <c r="B2301" s="3">
        <f>DATE(1996,7,2)</f>
        <v>35248</v>
      </c>
      <c r="C2301" s="2" t="s">
        <v>95</v>
      </c>
      <c r="D2301" s="2" t="s">
        <v>7392</v>
      </c>
      <c r="E2301" s="2" t="s">
        <v>4591</v>
      </c>
      <c r="F2301" s="4">
        <v>3842</v>
      </c>
      <c r="G2301" s="2" t="s">
        <v>226</v>
      </c>
      <c r="H2301" s="2" t="s">
        <v>34</v>
      </c>
      <c r="I2301" s="2" t="s">
        <v>7393</v>
      </c>
      <c r="J2301" s="2" t="s">
        <v>5670</v>
      </c>
      <c r="K2301" s="2" t="s">
        <v>130</v>
      </c>
      <c r="L2301" s="2" t="s">
        <v>34</v>
      </c>
      <c r="M2301" s="12">
        <v>40763.567000000003</v>
      </c>
      <c r="N2301" s="7">
        <v>62.875</v>
      </c>
      <c r="O2301" s="7">
        <v>61.875</v>
      </c>
      <c r="P2301" s="2" t="s">
        <v>7394</v>
      </c>
      <c r="Q2301" s="6">
        <v>100</v>
      </c>
      <c r="R2301" s="6">
        <v>10.25</v>
      </c>
      <c r="S2301" s="5">
        <v>-9.1999999999999993</v>
      </c>
      <c r="T2301" s="7">
        <v>-9.4939999999999998</v>
      </c>
      <c r="U2301" s="5">
        <v>0</v>
      </c>
      <c r="V2301" s="7">
        <v>-1.4790000000000001</v>
      </c>
      <c r="W2301" s="4">
        <v>10</v>
      </c>
      <c r="X2301" s="5">
        <v>10.5</v>
      </c>
      <c r="Y2301" s="6">
        <v>8.75</v>
      </c>
      <c r="Z2301" s="4">
        <v>9</v>
      </c>
      <c r="AA2301" s="6">
        <v>7.11</v>
      </c>
      <c r="AB2301" s="2" t="s">
        <v>86</v>
      </c>
      <c r="AC2301" s="8">
        <v>1512</v>
      </c>
    </row>
    <row r="2302" spans="1:29" ht="169" x14ac:dyDescent="0.15">
      <c r="A2302" s="3">
        <f>DATE(1996,1,18)</f>
        <v>35082</v>
      </c>
      <c r="B2302" s="3">
        <f>DATE(1996,8,22)</f>
        <v>35299</v>
      </c>
      <c r="C2302" s="2" t="s">
        <v>95</v>
      </c>
      <c r="D2302" s="2" t="s">
        <v>7395</v>
      </c>
      <c r="E2302" s="2" t="s">
        <v>265</v>
      </c>
      <c r="F2302" s="4">
        <v>6022</v>
      </c>
      <c r="G2302" s="2" t="s">
        <v>37</v>
      </c>
      <c r="H2302" s="2" t="s">
        <v>34</v>
      </c>
      <c r="I2302" s="2" t="s">
        <v>7396</v>
      </c>
      <c r="J2302" s="2" t="s">
        <v>1181</v>
      </c>
      <c r="K2302" s="2" t="s">
        <v>37</v>
      </c>
      <c r="L2302" s="2" t="s">
        <v>34</v>
      </c>
      <c r="M2302" s="2"/>
      <c r="N2302" s="2"/>
      <c r="O2302" s="2"/>
      <c r="P2302" s="2" t="s">
        <v>7397</v>
      </c>
      <c r="Q2302" s="6">
        <v>100</v>
      </c>
      <c r="R2302" s="6">
        <v>12.34</v>
      </c>
      <c r="S2302" s="5">
        <v>6.6</v>
      </c>
      <c r="T2302" s="6">
        <v>14.51</v>
      </c>
      <c r="U2302" s="5">
        <v>6.7</v>
      </c>
      <c r="V2302" s="6">
        <v>0.81</v>
      </c>
      <c r="W2302" s="7">
        <v>8.625</v>
      </c>
      <c r="X2302" s="7">
        <v>8.625</v>
      </c>
      <c r="Y2302" s="5">
        <v>9.5</v>
      </c>
      <c r="Z2302" s="6">
        <v>9.75</v>
      </c>
      <c r="AA2302" s="6">
        <v>6.53</v>
      </c>
      <c r="AB2302" s="7">
        <v>66.533000000000001</v>
      </c>
      <c r="AC2302" s="2"/>
    </row>
    <row r="2303" spans="1:29" ht="26" x14ac:dyDescent="0.15">
      <c r="A2303" s="3">
        <f>DATE(1996,1,19)</f>
        <v>35083</v>
      </c>
      <c r="B2303" s="2"/>
      <c r="C2303" s="2" t="s">
        <v>30</v>
      </c>
      <c r="D2303" s="2" t="s">
        <v>7398</v>
      </c>
      <c r="E2303" s="2" t="s">
        <v>7399</v>
      </c>
      <c r="F2303" s="4">
        <v>8062</v>
      </c>
      <c r="G2303" s="2" t="s">
        <v>454</v>
      </c>
      <c r="H2303" s="2" t="s">
        <v>34</v>
      </c>
      <c r="I2303" s="2" t="s">
        <v>138</v>
      </c>
      <c r="J2303" s="2" t="s">
        <v>139</v>
      </c>
      <c r="K2303" s="2" t="s">
        <v>53</v>
      </c>
      <c r="L2303" s="2" t="s">
        <v>139</v>
      </c>
      <c r="M2303" s="2"/>
      <c r="N2303" s="2"/>
      <c r="O2303" s="2"/>
      <c r="P2303" s="2" t="s">
        <v>7400</v>
      </c>
      <c r="Q2303" s="2"/>
      <c r="R2303" s="2"/>
      <c r="S2303" s="5">
        <v>56</v>
      </c>
      <c r="T2303" s="7">
        <v>157.14400000000001</v>
      </c>
      <c r="U2303" s="5">
        <v>5</v>
      </c>
      <c r="V2303" s="6">
        <v>0.76</v>
      </c>
      <c r="W2303" s="5">
        <v>23.5</v>
      </c>
      <c r="X2303" s="7">
        <v>25.875</v>
      </c>
      <c r="Y2303" s="4">
        <v>27</v>
      </c>
      <c r="Z2303" s="6">
        <v>27.75</v>
      </c>
      <c r="AA2303" s="6">
        <v>47.87</v>
      </c>
      <c r="AB2303" s="2" t="s">
        <v>47</v>
      </c>
      <c r="AC2303" s="2"/>
    </row>
    <row r="2304" spans="1:29" ht="104" x14ac:dyDescent="0.15">
      <c r="A2304" s="3">
        <f>DATE(1996,1,19)</f>
        <v>35083</v>
      </c>
      <c r="B2304" s="2"/>
      <c r="C2304" s="2" t="s">
        <v>30</v>
      </c>
      <c r="D2304" s="2" t="s">
        <v>7401</v>
      </c>
      <c r="E2304" s="2" t="s">
        <v>7402</v>
      </c>
      <c r="F2304" s="4">
        <v>3089</v>
      </c>
      <c r="G2304" s="2" t="s">
        <v>447</v>
      </c>
      <c r="H2304" s="2" t="s">
        <v>34</v>
      </c>
      <c r="I2304" s="2" t="s">
        <v>7403</v>
      </c>
      <c r="J2304" s="2" t="s">
        <v>7404</v>
      </c>
      <c r="K2304" s="2" t="s">
        <v>708</v>
      </c>
      <c r="L2304" s="2" t="s">
        <v>303</v>
      </c>
      <c r="M2304" s="2"/>
      <c r="N2304" s="7">
        <v>7.3179999999999996</v>
      </c>
      <c r="O2304" s="7">
        <v>7.407</v>
      </c>
      <c r="P2304" s="2" t="s">
        <v>7405</v>
      </c>
      <c r="Q2304" s="2"/>
      <c r="R2304" s="6">
        <v>2.34</v>
      </c>
      <c r="S2304" s="5">
        <v>3.3</v>
      </c>
      <c r="T2304" s="7">
        <v>5.3049999999999997</v>
      </c>
      <c r="U2304" s="5">
        <v>1.2</v>
      </c>
      <c r="V2304" s="6">
        <v>0.24</v>
      </c>
      <c r="W2304" s="7">
        <v>1.6879999999999999</v>
      </c>
      <c r="X2304" s="7">
        <v>1.6879999999999999</v>
      </c>
      <c r="Y2304" s="7">
        <v>1.6879999999999999</v>
      </c>
      <c r="Z2304" s="7">
        <v>1.6879999999999999</v>
      </c>
      <c r="AA2304" s="6">
        <v>14.16</v>
      </c>
      <c r="AB2304" s="7">
        <v>10.994999999999999</v>
      </c>
      <c r="AC2304" s="6">
        <v>64.319999999999993</v>
      </c>
    </row>
    <row r="2305" spans="1:29" ht="39" x14ac:dyDescent="0.15">
      <c r="A2305" s="3">
        <f>DATE(1996,1,22)</f>
        <v>35086</v>
      </c>
      <c r="B2305" s="2"/>
      <c r="C2305" s="2" t="s">
        <v>189</v>
      </c>
      <c r="D2305" s="2" t="s">
        <v>7406</v>
      </c>
      <c r="E2305" s="2" t="s">
        <v>7407</v>
      </c>
      <c r="F2305" s="4">
        <v>5085</v>
      </c>
      <c r="G2305" s="2" t="s">
        <v>76</v>
      </c>
      <c r="H2305" s="2" t="s">
        <v>34</v>
      </c>
      <c r="I2305" s="2" t="s">
        <v>143</v>
      </c>
      <c r="J2305" s="2" t="s">
        <v>144</v>
      </c>
      <c r="K2305" s="2" t="s">
        <v>53</v>
      </c>
      <c r="L2305" s="2" t="s">
        <v>139</v>
      </c>
      <c r="M2305" s="2"/>
      <c r="N2305" s="2"/>
      <c r="O2305" s="2"/>
      <c r="P2305" s="2" t="s">
        <v>7408</v>
      </c>
      <c r="Q2305" s="2"/>
      <c r="R2305" s="2"/>
      <c r="S2305" s="2"/>
      <c r="T2305" s="2"/>
      <c r="U2305" s="2"/>
      <c r="V2305" s="2"/>
      <c r="W2305" s="4">
        <v>3</v>
      </c>
      <c r="X2305" s="6">
        <v>2.75</v>
      </c>
      <c r="Y2305" s="6">
        <v>2.75</v>
      </c>
      <c r="Z2305" s="7">
        <v>2.625</v>
      </c>
      <c r="AA2305" s="6">
        <v>5.05</v>
      </c>
      <c r="AB2305" s="2" t="s">
        <v>47</v>
      </c>
      <c r="AC2305" s="2"/>
    </row>
    <row r="2306" spans="1:29" ht="39" x14ac:dyDescent="0.15">
      <c r="A2306" s="3">
        <f>DATE(1996,1,22)</f>
        <v>35086</v>
      </c>
      <c r="B2306" s="2"/>
      <c r="C2306" s="2" t="s">
        <v>189</v>
      </c>
      <c r="D2306" s="2" t="s">
        <v>7409</v>
      </c>
      <c r="E2306" s="2" t="s">
        <v>7410</v>
      </c>
      <c r="F2306" s="4">
        <v>7372</v>
      </c>
      <c r="G2306" s="2" t="s">
        <v>551</v>
      </c>
      <c r="H2306" s="2" t="s">
        <v>34</v>
      </c>
      <c r="I2306" s="2" t="s">
        <v>143</v>
      </c>
      <c r="J2306" s="2" t="s">
        <v>144</v>
      </c>
      <c r="K2306" s="2" t="s">
        <v>53</v>
      </c>
      <c r="L2306" s="2" t="s">
        <v>139</v>
      </c>
      <c r="M2306" s="2"/>
      <c r="N2306" s="2"/>
      <c r="O2306" s="2"/>
      <c r="P2306" s="2" t="s">
        <v>7411</v>
      </c>
      <c r="Q2306" s="2"/>
      <c r="R2306" s="2"/>
      <c r="S2306" s="5">
        <v>-11.4</v>
      </c>
      <c r="T2306" s="7">
        <v>-5.9340000000000002</v>
      </c>
      <c r="U2306" s="5">
        <v>3.7</v>
      </c>
      <c r="V2306" s="6">
        <v>-1.26</v>
      </c>
      <c r="W2306" s="6">
        <v>15.25</v>
      </c>
      <c r="X2306" s="7">
        <v>14.625</v>
      </c>
      <c r="Y2306" s="7">
        <v>14.125</v>
      </c>
      <c r="Z2306" s="5">
        <v>13.5</v>
      </c>
      <c r="AA2306" s="6">
        <v>8.7899999999999991</v>
      </c>
      <c r="AB2306" s="2" t="s">
        <v>86</v>
      </c>
      <c r="AC2306" s="2"/>
    </row>
    <row r="2307" spans="1:29" ht="156" x14ac:dyDescent="0.15">
      <c r="A2307" s="3">
        <f>DATE(1996,1,22)</f>
        <v>35086</v>
      </c>
      <c r="B2307" s="2"/>
      <c r="C2307" s="2" t="s">
        <v>30</v>
      </c>
      <c r="D2307" s="2" t="s">
        <v>7412</v>
      </c>
      <c r="E2307" s="2" t="s">
        <v>7413</v>
      </c>
      <c r="F2307" s="4">
        <v>4911</v>
      </c>
      <c r="G2307" s="2" t="s">
        <v>439</v>
      </c>
      <c r="H2307" s="2" t="s">
        <v>34</v>
      </c>
      <c r="I2307" s="2" t="s">
        <v>7414</v>
      </c>
      <c r="J2307" s="2" t="s">
        <v>2754</v>
      </c>
      <c r="K2307" s="2" t="s">
        <v>439</v>
      </c>
      <c r="L2307" s="2" t="s">
        <v>34</v>
      </c>
      <c r="M2307" s="10">
        <v>1810.83</v>
      </c>
      <c r="N2307" s="7">
        <v>28.875</v>
      </c>
      <c r="O2307" s="7">
        <v>28.875</v>
      </c>
      <c r="P2307" s="2" t="s">
        <v>7415</v>
      </c>
      <c r="Q2307" s="2"/>
      <c r="R2307" s="6">
        <v>27.25</v>
      </c>
      <c r="S2307" s="5">
        <v>122.6</v>
      </c>
      <c r="T2307" s="7">
        <v>376.77300000000002</v>
      </c>
      <c r="U2307" s="5">
        <v>14.5</v>
      </c>
      <c r="V2307" s="6">
        <v>1.92</v>
      </c>
      <c r="W2307" s="4">
        <v>26</v>
      </c>
      <c r="X2307" s="6">
        <v>26.25</v>
      </c>
      <c r="Y2307" s="6">
        <v>26.75</v>
      </c>
      <c r="Z2307" s="7">
        <v>26.625</v>
      </c>
      <c r="AA2307" s="6">
        <v>61.9</v>
      </c>
      <c r="AB2307" s="7">
        <v>10.974</v>
      </c>
      <c r="AC2307" s="2"/>
    </row>
    <row r="2308" spans="1:29" ht="156" x14ac:dyDescent="0.15">
      <c r="A2308" s="3">
        <f>DATE(1996,1,22)</f>
        <v>35086</v>
      </c>
      <c r="B2308" s="3">
        <f>DATE(1996,4,11)</f>
        <v>35166</v>
      </c>
      <c r="C2308" s="2" t="s">
        <v>95</v>
      </c>
      <c r="D2308" s="2" t="s">
        <v>7416</v>
      </c>
      <c r="E2308" s="2" t="s">
        <v>7417</v>
      </c>
      <c r="F2308" s="4">
        <v>5065</v>
      </c>
      <c r="G2308" s="2" t="s">
        <v>76</v>
      </c>
      <c r="H2308" s="2" t="s">
        <v>34</v>
      </c>
      <c r="I2308" s="2" t="s">
        <v>7418</v>
      </c>
      <c r="J2308" s="2" t="s">
        <v>7419</v>
      </c>
      <c r="K2308" s="2" t="s">
        <v>76</v>
      </c>
      <c r="L2308" s="2" t="s">
        <v>303</v>
      </c>
      <c r="M2308" s="2"/>
      <c r="N2308" s="7">
        <v>10.244999999999999</v>
      </c>
      <c r="O2308" s="7">
        <v>9.3439999999999994</v>
      </c>
      <c r="P2308" s="2" t="s">
        <v>7420</v>
      </c>
      <c r="Q2308" s="6">
        <v>100</v>
      </c>
      <c r="R2308" s="6">
        <v>32.92</v>
      </c>
      <c r="S2308" s="5">
        <v>108.1</v>
      </c>
      <c r="T2308" s="7">
        <v>175.553</v>
      </c>
      <c r="U2308" s="5">
        <v>5.6</v>
      </c>
      <c r="V2308" s="6">
        <v>1.28</v>
      </c>
      <c r="W2308" s="5">
        <v>24.5</v>
      </c>
      <c r="X2308" s="4">
        <v>24</v>
      </c>
      <c r="Y2308" s="7">
        <v>24.125</v>
      </c>
      <c r="Z2308" s="6">
        <v>30.75</v>
      </c>
      <c r="AA2308" s="6">
        <v>82.2</v>
      </c>
      <c r="AB2308" s="7">
        <v>15.749000000000001</v>
      </c>
      <c r="AC2308" s="6">
        <v>20.2</v>
      </c>
    </row>
    <row r="2309" spans="1:29" ht="130" x14ac:dyDescent="0.15">
      <c r="A2309" s="3">
        <f>DATE(1996,1,22)</f>
        <v>35086</v>
      </c>
      <c r="B2309" s="2"/>
      <c r="C2309" s="2" t="s">
        <v>30</v>
      </c>
      <c r="D2309" s="2" t="s">
        <v>7421</v>
      </c>
      <c r="E2309" s="2" t="s">
        <v>7422</v>
      </c>
      <c r="F2309" s="4">
        <v>5812</v>
      </c>
      <c r="G2309" s="2" t="s">
        <v>230</v>
      </c>
      <c r="H2309" s="2" t="s">
        <v>34</v>
      </c>
      <c r="I2309" s="2" t="s">
        <v>7423</v>
      </c>
      <c r="J2309" s="2" t="s">
        <v>7424</v>
      </c>
      <c r="K2309" s="2" t="s">
        <v>53</v>
      </c>
      <c r="L2309" s="2" t="s">
        <v>34</v>
      </c>
      <c r="M2309" s="7">
        <v>42.991</v>
      </c>
      <c r="N2309" s="4">
        <v>9</v>
      </c>
      <c r="O2309" s="4">
        <v>9</v>
      </c>
      <c r="P2309" s="2" t="s">
        <v>7425</v>
      </c>
      <c r="Q2309" s="2"/>
      <c r="R2309" s="2"/>
      <c r="S2309" s="5">
        <v>-46.9</v>
      </c>
      <c r="T2309" s="7">
        <v>7.5810000000000004</v>
      </c>
      <c r="U2309" s="5">
        <v>0.4</v>
      </c>
      <c r="V2309" s="6">
        <v>-3</v>
      </c>
      <c r="W2309" s="5">
        <v>1.5</v>
      </c>
      <c r="X2309" s="7">
        <v>1.4379999999999999</v>
      </c>
      <c r="Y2309" s="7">
        <v>1.5629999999999999</v>
      </c>
      <c r="Z2309" s="5">
        <v>1.5</v>
      </c>
      <c r="AA2309" s="6">
        <v>15.65</v>
      </c>
      <c r="AB2309" s="2" t="s">
        <v>86</v>
      </c>
      <c r="AC2309" s="6">
        <v>42.64</v>
      </c>
    </row>
    <row r="2310" spans="1:29" ht="91" x14ac:dyDescent="0.15">
      <c r="A2310" s="3">
        <f>DATE(1996,1,23)</f>
        <v>35087</v>
      </c>
      <c r="B2310" s="2"/>
      <c r="C2310" s="2" t="s">
        <v>7330</v>
      </c>
      <c r="D2310" s="2" t="s">
        <v>7426</v>
      </c>
      <c r="E2310" s="2" t="s">
        <v>612</v>
      </c>
      <c r="F2310" s="4">
        <v>1311</v>
      </c>
      <c r="G2310" s="2" t="s">
        <v>148</v>
      </c>
      <c r="H2310" s="2" t="s">
        <v>34</v>
      </c>
      <c r="I2310" s="2" t="s">
        <v>7427</v>
      </c>
      <c r="J2310" s="2" t="s">
        <v>612</v>
      </c>
      <c r="K2310" s="2" t="s">
        <v>148</v>
      </c>
      <c r="L2310" s="2" t="s">
        <v>34</v>
      </c>
      <c r="M2310" s="2"/>
      <c r="N2310" s="2"/>
      <c r="O2310" s="2"/>
      <c r="P2310" s="2" t="s">
        <v>7428</v>
      </c>
      <c r="Q2310" s="2"/>
      <c r="R2310" s="6">
        <v>1</v>
      </c>
      <c r="S2310" s="5">
        <v>-211.3</v>
      </c>
      <c r="T2310" s="7">
        <v>-3.2349999999999999</v>
      </c>
      <c r="U2310" s="5">
        <v>-24.2</v>
      </c>
      <c r="V2310" s="6">
        <v>-53.1</v>
      </c>
      <c r="W2310" s="9">
        <v>1.0625</v>
      </c>
      <c r="X2310" s="9">
        <v>1.0625</v>
      </c>
      <c r="Y2310" s="5">
        <v>1.5</v>
      </c>
      <c r="Z2310" s="6">
        <v>1.75</v>
      </c>
      <c r="AA2310" s="6">
        <v>96.39</v>
      </c>
      <c r="AB2310" s="2" t="s">
        <v>86</v>
      </c>
      <c r="AC2310" s="2"/>
    </row>
    <row r="2311" spans="1:29" ht="65" x14ac:dyDescent="0.15">
      <c r="A2311" s="3">
        <f>DATE(1996,1,23)</f>
        <v>35087</v>
      </c>
      <c r="B2311" s="3">
        <f>DATE(1996,5,9)</f>
        <v>35194</v>
      </c>
      <c r="C2311" s="2" t="s">
        <v>95</v>
      </c>
      <c r="D2311" s="2" t="s">
        <v>7261</v>
      </c>
      <c r="E2311" s="2" t="s">
        <v>7262</v>
      </c>
      <c r="F2311" s="4">
        <v>3089</v>
      </c>
      <c r="G2311" s="2" t="s">
        <v>447</v>
      </c>
      <c r="H2311" s="2" t="s">
        <v>34</v>
      </c>
      <c r="I2311" s="2" t="s">
        <v>7429</v>
      </c>
      <c r="J2311" s="2" t="s">
        <v>7430</v>
      </c>
      <c r="K2311" s="2" t="s">
        <v>447</v>
      </c>
      <c r="L2311" s="2" t="s">
        <v>34</v>
      </c>
      <c r="M2311" s="5">
        <v>150.80000000000001</v>
      </c>
      <c r="N2311" s="4">
        <v>7</v>
      </c>
      <c r="O2311" s="4">
        <v>7</v>
      </c>
      <c r="P2311" s="2" t="s">
        <v>7431</v>
      </c>
      <c r="Q2311" s="6">
        <v>100</v>
      </c>
      <c r="R2311" s="6">
        <v>6.6</v>
      </c>
      <c r="S2311" s="5">
        <v>0.5</v>
      </c>
      <c r="T2311" s="7">
        <v>2.2730000000000001</v>
      </c>
      <c r="U2311" s="5">
        <v>3.3</v>
      </c>
      <c r="V2311" s="7">
        <v>0.21199999999999999</v>
      </c>
      <c r="W2311" s="7">
        <v>3.6880000000000002</v>
      </c>
      <c r="X2311" s="5">
        <v>4.5</v>
      </c>
      <c r="Y2311" s="7">
        <v>5.8129999999999997</v>
      </c>
      <c r="Z2311" s="4">
        <v>6</v>
      </c>
      <c r="AA2311" s="6">
        <v>2.27</v>
      </c>
      <c r="AB2311" s="7">
        <v>16.47</v>
      </c>
      <c r="AC2311" s="6">
        <v>3.51</v>
      </c>
    </row>
    <row r="2312" spans="1:29" ht="78" x14ac:dyDescent="0.15">
      <c r="A2312" s="3">
        <f t="shared" ref="A2312:A2317" si="14">DATE(1996,1,24)</f>
        <v>35088</v>
      </c>
      <c r="B2312" s="2"/>
      <c r="C2312" s="2" t="s">
        <v>39</v>
      </c>
      <c r="D2312" s="2" t="s">
        <v>5686</v>
      </c>
      <c r="E2312" s="2" t="s">
        <v>5687</v>
      </c>
      <c r="F2312" s="4">
        <v>3571</v>
      </c>
      <c r="G2312" s="2" t="s">
        <v>50</v>
      </c>
      <c r="H2312" s="2" t="s">
        <v>34</v>
      </c>
      <c r="I2312" s="2" t="s">
        <v>7432</v>
      </c>
      <c r="J2312" s="2" t="s">
        <v>7433</v>
      </c>
      <c r="K2312" s="2" t="s">
        <v>50</v>
      </c>
      <c r="L2312" s="2" t="s">
        <v>34</v>
      </c>
      <c r="M2312" s="12">
        <v>4217.1450000000004</v>
      </c>
      <c r="N2312" s="5">
        <v>43.5</v>
      </c>
      <c r="O2312" s="7">
        <v>43.875</v>
      </c>
      <c r="P2312" s="2" t="s">
        <v>7434</v>
      </c>
      <c r="Q2312" s="2"/>
      <c r="R2312" s="2"/>
      <c r="S2312" s="5">
        <v>424</v>
      </c>
      <c r="T2312" s="5">
        <v>788</v>
      </c>
      <c r="U2312" s="5">
        <v>0.8</v>
      </c>
      <c r="V2312" s="9">
        <v>0.1232</v>
      </c>
      <c r="W2312" s="4">
        <v>34</v>
      </c>
      <c r="X2312" s="7">
        <v>31.625</v>
      </c>
      <c r="Y2312" s="6">
        <v>32.25</v>
      </c>
      <c r="Z2312" s="6">
        <v>30.25</v>
      </c>
      <c r="AA2312" s="6">
        <v>122.69</v>
      </c>
      <c r="AB2312" s="2" t="s">
        <v>47</v>
      </c>
      <c r="AC2312" s="10">
        <v>1228.02</v>
      </c>
    </row>
    <row r="2313" spans="1:29" ht="117" x14ac:dyDescent="0.15">
      <c r="A2313" s="3">
        <f t="shared" si="14"/>
        <v>35088</v>
      </c>
      <c r="B2313" s="3">
        <f>DATE(1996,7,16)</f>
        <v>35262</v>
      </c>
      <c r="C2313" s="2" t="s">
        <v>95</v>
      </c>
      <c r="D2313" s="2" t="s">
        <v>7435</v>
      </c>
      <c r="E2313" s="2" t="s">
        <v>36</v>
      </c>
      <c r="F2313" s="4">
        <v>6035</v>
      </c>
      <c r="G2313" s="2" t="s">
        <v>33</v>
      </c>
      <c r="H2313" s="2" t="s">
        <v>34</v>
      </c>
      <c r="I2313" s="2" t="s">
        <v>668</v>
      </c>
      <c r="J2313" s="2" t="s">
        <v>36</v>
      </c>
      <c r="K2313" s="2" t="s">
        <v>37</v>
      </c>
      <c r="L2313" s="2" t="s">
        <v>34</v>
      </c>
      <c r="M2313" s="2"/>
      <c r="N2313" s="2"/>
      <c r="O2313" s="2"/>
      <c r="P2313" s="2" t="s">
        <v>7436</v>
      </c>
      <c r="Q2313" s="6">
        <v>100</v>
      </c>
      <c r="R2313" s="6">
        <v>8.1300000000000008</v>
      </c>
      <c r="S2313" s="5">
        <v>5.3</v>
      </c>
      <c r="T2313" s="7">
        <v>7.7670000000000003</v>
      </c>
      <c r="U2313" s="5">
        <v>4.5999999999999996</v>
      </c>
      <c r="V2313" s="6">
        <v>0.54</v>
      </c>
      <c r="W2313" s="7">
        <v>6.875</v>
      </c>
      <c r="X2313" s="4">
        <v>7</v>
      </c>
      <c r="Y2313" s="7">
        <v>6.875</v>
      </c>
      <c r="Z2313" s="4">
        <v>7</v>
      </c>
      <c r="AA2313" s="6">
        <v>9.8800000000000008</v>
      </c>
      <c r="AB2313" s="2" t="s">
        <v>47</v>
      </c>
      <c r="AC2313" s="2"/>
    </row>
    <row r="2314" spans="1:29" ht="130" x14ac:dyDescent="0.15">
      <c r="A2314" s="3">
        <f t="shared" si="14"/>
        <v>35088</v>
      </c>
      <c r="B2314" s="2"/>
      <c r="C2314" s="2" t="s">
        <v>30</v>
      </c>
      <c r="D2314" s="2" t="s">
        <v>1291</v>
      </c>
      <c r="E2314" s="2" t="s">
        <v>1292</v>
      </c>
      <c r="F2314" s="4">
        <v>3944</v>
      </c>
      <c r="G2314" s="2" t="s">
        <v>112</v>
      </c>
      <c r="H2314" s="2" t="s">
        <v>34</v>
      </c>
      <c r="I2314" s="2" t="s">
        <v>1670</v>
      </c>
      <c r="J2314" s="2" t="s">
        <v>1671</v>
      </c>
      <c r="K2314" s="2" t="s">
        <v>112</v>
      </c>
      <c r="L2314" s="2" t="s">
        <v>34</v>
      </c>
      <c r="M2314" s="12">
        <v>8240.1389999999992</v>
      </c>
      <c r="N2314" s="4">
        <v>32</v>
      </c>
      <c r="O2314" s="5">
        <v>31.5</v>
      </c>
      <c r="P2314" s="2" t="s">
        <v>7437</v>
      </c>
      <c r="Q2314" s="2"/>
      <c r="R2314" s="6">
        <v>53.23</v>
      </c>
      <c r="S2314" s="5">
        <v>155.6</v>
      </c>
      <c r="T2314" s="6">
        <v>434.58</v>
      </c>
      <c r="U2314" s="5">
        <v>7.8</v>
      </c>
      <c r="V2314" s="9">
        <v>0.78220000000000001</v>
      </c>
      <c r="W2314" s="6">
        <v>29.25</v>
      </c>
      <c r="X2314" s="6">
        <v>30.75</v>
      </c>
      <c r="Y2314" s="7">
        <v>30.625</v>
      </c>
      <c r="Z2314" s="5">
        <v>40.5</v>
      </c>
      <c r="AA2314" s="6">
        <v>87.33</v>
      </c>
      <c r="AB2314" s="7">
        <v>35.226999999999997</v>
      </c>
      <c r="AC2314" s="6">
        <v>483.46</v>
      </c>
    </row>
    <row r="2315" spans="1:29" ht="78" x14ac:dyDescent="0.15">
      <c r="A2315" s="3">
        <f t="shared" si="14"/>
        <v>35088</v>
      </c>
      <c r="B2315" s="3">
        <f>DATE(1996,8,8)</f>
        <v>35285</v>
      </c>
      <c r="C2315" s="2" t="s">
        <v>95</v>
      </c>
      <c r="D2315" s="2" t="s">
        <v>7438</v>
      </c>
      <c r="E2315" s="2" t="s">
        <v>5735</v>
      </c>
      <c r="F2315" s="4">
        <v>7011</v>
      </c>
      <c r="G2315" s="2" t="s">
        <v>269</v>
      </c>
      <c r="H2315" s="2" t="s">
        <v>34</v>
      </c>
      <c r="I2315" s="2" t="s">
        <v>7439</v>
      </c>
      <c r="J2315" s="2" t="s">
        <v>1882</v>
      </c>
      <c r="K2315" s="2" t="s">
        <v>269</v>
      </c>
      <c r="L2315" s="2" t="s">
        <v>34</v>
      </c>
      <c r="M2315" s="2"/>
      <c r="N2315" s="2"/>
      <c r="O2315" s="2"/>
      <c r="P2315" s="2" t="s">
        <v>7440</v>
      </c>
      <c r="Q2315" s="6">
        <v>52</v>
      </c>
      <c r="R2315" s="6">
        <v>14.25</v>
      </c>
      <c r="S2315" s="5">
        <v>-1.8</v>
      </c>
      <c r="T2315" s="7">
        <v>-2.903</v>
      </c>
      <c r="U2315" s="5">
        <v>20.9</v>
      </c>
      <c r="V2315" s="2"/>
      <c r="W2315" s="6">
        <v>11.25</v>
      </c>
      <c r="X2315" s="7">
        <v>10.625</v>
      </c>
      <c r="Y2315" s="6">
        <v>12.25</v>
      </c>
      <c r="Z2315" s="4">
        <v>12</v>
      </c>
      <c r="AA2315" s="6">
        <v>7.69</v>
      </c>
      <c r="AB2315" s="2" t="s">
        <v>86</v>
      </c>
      <c r="AC2315" s="2"/>
    </row>
    <row r="2316" spans="1:29" ht="91" x14ac:dyDescent="0.15">
      <c r="A2316" s="3">
        <f t="shared" si="14"/>
        <v>35088</v>
      </c>
      <c r="B2316" s="2"/>
      <c r="C2316" s="2" t="s">
        <v>30</v>
      </c>
      <c r="D2316" s="2" t="s">
        <v>7441</v>
      </c>
      <c r="E2316" s="2" t="s">
        <v>2898</v>
      </c>
      <c r="F2316" s="4">
        <v>6021</v>
      </c>
      <c r="G2316" s="2" t="s">
        <v>37</v>
      </c>
      <c r="H2316" s="2" t="s">
        <v>34</v>
      </c>
      <c r="I2316" s="2" t="s">
        <v>6872</v>
      </c>
      <c r="J2316" s="2" t="s">
        <v>36</v>
      </c>
      <c r="K2316" s="2" t="s">
        <v>37</v>
      </c>
      <c r="L2316" s="2" t="s">
        <v>34</v>
      </c>
      <c r="M2316" s="7">
        <v>460.25700000000001</v>
      </c>
      <c r="N2316" s="4">
        <v>31</v>
      </c>
      <c r="O2316" s="6">
        <v>30.25</v>
      </c>
      <c r="P2316" s="2" t="s">
        <v>7442</v>
      </c>
      <c r="Q2316" s="2"/>
      <c r="R2316" s="6">
        <v>27</v>
      </c>
      <c r="S2316" s="5">
        <v>2.2999999999999998</v>
      </c>
      <c r="T2316" s="2"/>
      <c r="U2316" s="5">
        <v>11.2</v>
      </c>
      <c r="V2316" s="6">
        <v>54.64</v>
      </c>
      <c r="W2316" s="7">
        <v>23.187999999999999</v>
      </c>
      <c r="X2316" s="4">
        <v>23</v>
      </c>
      <c r="Y2316" s="4">
        <v>23</v>
      </c>
      <c r="Z2316" s="6">
        <v>26.25</v>
      </c>
      <c r="AA2316" s="6">
        <v>2</v>
      </c>
      <c r="AB2316" s="2" t="s">
        <v>47</v>
      </c>
      <c r="AC2316" s="2"/>
    </row>
    <row r="2317" spans="1:29" ht="169" x14ac:dyDescent="0.15">
      <c r="A2317" s="3">
        <f t="shared" si="14"/>
        <v>35088</v>
      </c>
      <c r="B2317" s="3">
        <f>DATE(1996,3,29)</f>
        <v>35153</v>
      </c>
      <c r="C2317" s="2" t="s">
        <v>95</v>
      </c>
      <c r="D2317" s="2" t="s">
        <v>7443</v>
      </c>
      <c r="E2317" s="2" t="s">
        <v>781</v>
      </c>
      <c r="F2317" s="4">
        <v>7372</v>
      </c>
      <c r="G2317" s="2" t="s">
        <v>551</v>
      </c>
      <c r="H2317" s="2" t="s">
        <v>34</v>
      </c>
      <c r="I2317" s="2" t="s">
        <v>7444</v>
      </c>
      <c r="J2317" s="2" t="s">
        <v>7445</v>
      </c>
      <c r="K2317" s="2" t="s">
        <v>50</v>
      </c>
      <c r="L2317" s="2" t="s">
        <v>34</v>
      </c>
      <c r="M2317" s="12">
        <v>21470.205000000002</v>
      </c>
      <c r="N2317" s="6">
        <v>80.75</v>
      </c>
      <c r="O2317" s="6">
        <v>79.25</v>
      </c>
      <c r="P2317" s="2" t="s">
        <v>7446</v>
      </c>
      <c r="Q2317" s="6">
        <v>100</v>
      </c>
      <c r="R2317" s="6">
        <v>15.57</v>
      </c>
      <c r="S2317" s="5">
        <v>2.9</v>
      </c>
      <c r="T2317" s="6">
        <v>3.98</v>
      </c>
      <c r="U2317" s="5">
        <v>7.1</v>
      </c>
      <c r="V2317" s="7">
        <v>0.49099999999999999</v>
      </c>
      <c r="W2317" s="7">
        <v>9.125</v>
      </c>
      <c r="X2317" s="4">
        <v>11</v>
      </c>
      <c r="Y2317" s="5">
        <v>15.5</v>
      </c>
      <c r="Z2317" s="7">
        <v>15.375</v>
      </c>
      <c r="AA2317" s="6">
        <v>5.81</v>
      </c>
      <c r="AB2317" s="7">
        <v>25.350999999999999</v>
      </c>
      <c r="AC2317" s="6">
        <v>439.53</v>
      </c>
    </row>
    <row r="2318" spans="1:29" ht="130" x14ac:dyDescent="0.15">
      <c r="A2318" s="3">
        <f>DATE(1996,1,25)</f>
        <v>35089</v>
      </c>
      <c r="B2318" s="3">
        <f>DATE(1996,6,12)</f>
        <v>35228</v>
      </c>
      <c r="C2318" s="2" t="s">
        <v>95</v>
      </c>
      <c r="D2318" s="2" t="s">
        <v>5417</v>
      </c>
      <c r="E2318" s="2" t="s">
        <v>5418</v>
      </c>
      <c r="F2318" s="4">
        <v>1389</v>
      </c>
      <c r="G2318" s="2" t="s">
        <v>148</v>
      </c>
      <c r="H2318" s="2" t="s">
        <v>34</v>
      </c>
      <c r="I2318" s="2" t="s">
        <v>7447</v>
      </c>
      <c r="J2318" s="2" t="s">
        <v>7448</v>
      </c>
      <c r="K2318" s="2" t="s">
        <v>148</v>
      </c>
      <c r="L2318" s="2" t="s">
        <v>34</v>
      </c>
      <c r="M2318" s="2"/>
      <c r="N2318" s="2"/>
      <c r="O2318" s="2"/>
      <c r="P2318" s="2" t="s">
        <v>7449</v>
      </c>
      <c r="Q2318" s="6">
        <v>100</v>
      </c>
      <c r="R2318" s="6">
        <v>14.22</v>
      </c>
      <c r="S2318" s="5">
        <v>-16.3</v>
      </c>
      <c r="T2318" s="7">
        <v>14.125999999999999</v>
      </c>
      <c r="U2318" s="5">
        <v>8.8000000000000007</v>
      </c>
      <c r="V2318" s="7">
        <v>-1.0309999999999999</v>
      </c>
      <c r="W2318" s="7">
        <v>12.563000000000001</v>
      </c>
      <c r="X2318" s="7">
        <v>13.063000000000001</v>
      </c>
      <c r="Y2318" s="7">
        <v>13.093999999999999</v>
      </c>
      <c r="Z2318" s="7">
        <v>13.625</v>
      </c>
      <c r="AA2318" s="6">
        <v>15.77</v>
      </c>
      <c r="AB2318" s="2" t="s">
        <v>86</v>
      </c>
      <c r="AC2318" s="6">
        <v>52.85</v>
      </c>
    </row>
    <row r="2319" spans="1:29" ht="39" x14ac:dyDescent="0.15">
      <c r="A2319" s="3">
        <f>DATE(1996,1,25)</f>
        <v>35089</v>
      </c>
      <c r="B2319" s="2"/>
      <c r="C2319" s="2" t="s">
        <v>7330</v>
      </c>
      <c r="D2319" s="2" t="s">
        <v>7416</v>
      </c>
      <c r="E2319" s="2" t="s">
        <v>7417</v>
      </c>
      <c r="F2319" s="4">
        <v>5065</v>
      </c>
      <c r="G2319" s="2" t="s">
        <v>76</v>
      </c>
      <c r="H2319" s="2" t="s">
        <v>34</v>
      </c>
      <c r="I2319" s="2" t="s">
        <v>51</v>
      </c>
      <c r="J2319" s="2" t="s">
        <v>52</v>
      </c>
      <c r="K2319" s="2" t="s">
        <v>53</v>
      </c>
      <c r="L2319" s="2" t="s">
        <v>34</v>
      </c>
      <c r="M2319" s="2"/>
      <c r="N2319" s="2"/>
      <c r="O2319" s="2"/>
      <c r="P2319" s="2" t="s">
        <v>7450</v>
      </c>
      <c r="Q2319" s="2"/>
      <c r="R2319" s="2"/>
      <c r="S2319" s="5">
        <v>108.1</v>
      </c>
      <c r="T2319" s="7">
        <v>175.553</v>
      </c>
      <c r="U2319" s="5">
        <v>5.6</v>
      </c>
      <c r="V2319" s="6">
        <v>1.28</v>
      </c>
      <c r="W2319" s="5">
        <v>24.5</v>
      </c>
      <c r="X2319" s="6">
        <v>30.25</v>
      </c>
      <c r="Y2319" s="7">
        <v>30.375</v>
      </c>
      <c r="Z2319" s="7">
        <v>30.375</v>
      </c>
      <c r="AA2319" s="6">
        <v>82.2</v>
      </c>
      <c r="AB2319" s="2" t="s">
        <v>47</v>
      </c>
      <c r="AC2319" s="2"/>
    </row>
    <row r="2320" spans="1:29" ht="91" x14ac:dyDescent="0.15">
      <c r="A2320" s="3">
        <f>DATE(1996,1,25)</f>
        <v>35089</v>
      </c>
      <c r="B2320" s="2"/>
      <c r="C2320" s="2" t="s">
        <v>30</v>
      </c>
      <c r="D2320" s="2" t="s">
        <v>7344</v>
      </c>
      <c r="E2320" s="2" t="s">
        <v>7345</v>
      </c>
      <c r="F2320" s="4">
        <v>3949</v>
      </c>
      <c r="G2320" s="2" t="s">
        <v>112</v>
      </c>
      <c r="H2320" s="2" t="s">
        <v>34</v>
      </c>
      <c r="I2320" s="2" t="s">
        <v>7451</v>
      </c>
      <c r="J2320" s="2" t="s">
        <v>4110</v>
      </c>
      <c r="K2320" s="2" t="s">
        <v>112</v>
      </c>
      <c r="L2320" s="2" t="s">
        <v>34</v>
      </c>
      <c r="M2320" s="2"/>
      <c r="N2320" s="2"/>
      <c r="O2320" s="2"/>
      <c r="P2320" s="2" t="s">
        <v>7452</v>
      </c>
      <c r="Q2320" s="2"/>
      <c r="R2320" s="2"/>
      <c r="S2320" s="5">
        <v>4.0999999999999996</v>
      </c>
      <c r="T2320" s="7">
        <v>13.468999999999999</v>
      </c>
      <c r="U2320" s="5">
        <v>-0.1</v>
      </c>
      <c r="V2320" s="6">
        <v>0.67</v>
      </c>
      <c r="W2320" s="6">
        <v>9.25</v>
      </c>
      <c r="X2320" s="6">
        <v>8.75</v>
      </c>
      <c r="Y2320" s="5">
        <v>8.5</v>
      </c>
      <c r="Z2320" s="6">
        <v>9.25</v>
      </c>
      <c r="AA2320" s="6">
        <v>6</v>
      </c>
      <c r="AB2320" s="2" t="s">
        <v>47</v>
      </c>
      <c r="AC2320" s="2"/>
    </row>
    <row r="2321" spans="1:29" ht="130" x14ac:dyDescent="0.15">
      <c r="A2321" s="3">
        <f>DATE(1996,1,26)</f>
        <v>35090</v>
      </c>
      <c r="B2321" s="3">
        <f>DATE(1996,6,6)</f>
        <v>35222</v>
      </c>
      <c r="C2321" s="2" t="s">
        <v>95</v>
      </c>
      <c r="D2321" s="2" t="s">
        <v>7453</v>
      </c>
      <c r="E2321" s="2" t="s">
        <v>1181</v>
      </c>
      <c r="F2321" s="4">
        <v>6022</v>
      </c>
      <c r="G2321" s="2" t="s">
        <v>37</v>
      </c>
      <c r="H2321" s="2" t="s">
        <v>34</v>
      </c>
      <c r="I2321" s="2" t="s">
        <v>7454</v>
      </c>
      <c r="J2321" s="2" t="s">
        <v>36</v>
      </c>
      <c r="K2321" s="2" t="s">
        <v>37</v>
      </c>
      <c r="L2321" s="2" t="s">
        <v>34</v>
      </c>
      <c r="M2321" s="12">
        <v>12671.877</v>
      </c>
      <c r="N2321" s="7">
        <v>37.375</v>
      </c>
      <c r="O2321" s="4">
        <v>38</v>
      </c>
      <c r="P2321" s="2" t="s">
        <v>7455</v>
      </c>
      <c r="Q2321" s="6">
        <v>100</v>
      </c>
      <c r="R2321" s="6">
        <v>22.38</v>
      </c>
      <c r="S2321" s="5">
        <v>0.5</v>
      </c>
      <c r="T2321" s="7">
        <v>0.92300000000000004</v>
      </c>
      <c r="U2321" s="5">
        <v>17.399999999999999</v>
      </c>
      <c r="V2321" s="6">
        <v>0.72</v>
      </c>
      <c r="W2321" s="5">
        <v>19.5</v>
      </c>
      <c r="X2321" s="7">
        <v>19.125</v>
      </c>
      <c r="Y2321" s="4">
        <v>24</v>
      </c>
      <c r="Z2321" s="6">
        <v>23.25</v>
      </c>
      <c r="AA2321" s="6">
        <v>0.66</v>
      </c>
      <c r="AB2321" s="7">
        <v>94.48</v>
      </c>
      <c r="AC2321" s="2"/>
    </row>
    <row r="2322" spans="1:29" ht="130" x14ac:dyDescent="0.15">
      <c r="A2322" s="3">
        <f>DATE(1996,1,26)</f>
        <v>35090</v>
      </c>
      <c r="B2322" s="3">
        <f>DATE(1996,5,1)</f>
        <v>35186</v>
      </c>
      <c r="C2322" s="2" t="s">
        <v>95</v>
      </c>
      <c r="D2322" s="2" t="s">
        <v>7456</v>
      </c>
      <c r="E2322" s="2" t="s">
        <v>36</v>
      </c>
      <c r="F2322" s="4">
        <v>6022</v>
      </c>
      <c r="G2322" s="2" t="s">
        <v>37</v>
      </c>
      <c r="H2322" s="2" t="s">
        <v>34</v>
      </c>
      <c r="I2322" s="2" t="s">
        <v>7457</v>
      </c>
      <c r="J2322" s="2" t="s">
        <v>36</v>
      </c>
      <c r="K2322" s="2" t="s">
        <v>37</v>
      </c>
      <c r="L2322" s="2" t="s">
        <v>34</v>
      </c>
      <c r="M2322" s="7">
        <v>535.43600000000004</v>
      </c>
      <c r="N2322" s="5">
        <v>32.5</v>
      </c>
      <c r="O2322" s="5">
        <v>32.5</v>
      </c>
      <c r="P2322" s="2" t="s">
        <v>7458</v>
      </c>
      <c r="Q2322" s="6">
        <v>100</v>
      </c>
      <c r="R2322" s="6">
        <v>21.84</v>
      </c>
      <c r="S2322" s="5">
        <v>2.1</v>
      </c>
      <c r="T2322" s="7">
        <v>3.6659999999999999</v>
      </c>
      <c r="U2322" s="5">
        <v>17.3</v>
      </c>
      <c r="V2322" s="6">
        <v>0.86</v>
      </c>
      <c r="W2322" s="6">
        <v>17.25</v>
      </c>
      <c r="X2322" s="6">
        <v>17.25</v>
      </c>
      <c r="Y2322" s="6">
        <v>17.75</v>
      </c>
      <c r="Z2322" s="6">
        <v>17.75</v>
      </c>
      <c r="AA2322" s="6">
        <v>2.64</v>
      </c>
      <c r="AB2322" s="7">
        <v>74.683999999999997</v>
      </c>
      <c r="AC2322" s="2"/>
    </row>
    <row r="2323" spans="1:29" ht="156" x14ac:dyDescent="0.15">
      <c r="A2323" s="3">
        <f>DATE(1996,1,26)</f>
        <v>35090</v>
      </c>
      <c r="B2323" s="3">
        <f>DATE(1996,5,31)</f>
        <v>35216</v>
      </c>
      <c r="C2323" s="2" t="s">
        <v>95</v>
      </c>
      <c r="D2323" s="2" t="s">
        <v>7459</v>
      </c>
      <c r="E2323" s="2" t="s">
        <v>1181</v>
      </c>
      <c r="F2323" s="4">
        <v>6021</v>
      </c>
      <c r="G2323" s="2" t="s">
        <v>37</v>
      </c>
      <c r="H2323" s="2" t="s">
        <v>34</v>
      </c>
      <c r="I2323" s="2" t="s">
        <v>3047</v>
      </c>
      <c r="J2323" s="2" t="s">
        <v>3048</v>
      </c>
      <c r="K2323" s="2" t="s">
        <v>37</v>
      </c>
      <c r="L2323" s="2" t="s">
        <v>34</v>
      </c>
      <c r="M2323" s="12">
        <v>18932.571</v>
      </c>
      <c r="N2323" s="4">
        <v>67</v>
      </c>
      <c r="O2323" s="5">
        <v>68.5</v>
      </c>
      <c r="P2323" s="2" t="s">
        <v>7460</v>
      </c>
      <c r="Q2323" s="6">
        <v>58</v>
      </c>
      <c r="R2323" s="6">
        <v>25.8</v>
      </c>
      <c r="S2323" s="5">
        <v>9.9</v>
      </c>
      <c r="T2323" s="7">
        <v>18.521999999999998</v>
      </c>
      <c r="U2323" s="5">
        <v>9.5</v>
      </c>
      <c r="V2323" s="7">
        <v>1.5580000000000001</v>
      </c>
      <c r="W2323" s="6">
        <v>22.25</v>
      </c>
      <c r="X2323" s="5">
        <v>25.5</v>
      </c>
      <c r="Y2323" s="6">
        <v>24.25</v>
      </c>
      <c r="Z2323" s="7">
        <v>25.125</v>
      </c>
      <c r="AA2323" s="6">
        <v>6.33</v>
      </c>
      <c r="AB2323" s="7">
        <v>53.329000000000001</v>
      </c>
      <c r="AC2323" s="2"/>
    </row>
    <row r="2324" spans="1:29" ht="156" x14ac:dyDescent="0.15">
      <c r="A2324" s="3">
        <f>DATE(1996,1,29)</f>
        <v>35093</v>
      </c>
      <c r="B2324" s="3">
        <f>DATE(1996,5,31)</f>
        <v>35216</v>
      </c>
      <c r="C2324" s="2" t="s">
        <v>95</v>
      </c>
      <c r="D2324" s="2" t="s">
        <v>2908</v>
      </c>
      <c r="E2324" s="2" t="s">
        <v>2909</v>
      </c>
      <c r="F2324" s="4">
        <v>2834</v>
      </c>
      <c r="G2324" s="2" t="s">
        <v>130</v>
      </c>
      <c r="H2324" s="2" t="s">
        <v>34</v>
      </c>
      <c r="I2324" s="2" t="s">
        <v>7461</v>
      </c>
      <c r="J2324" s="2" t="s">
        <v>7462</v>
      </c>
      <c r="K2324" s="2" t="s">
        <v>130</v>
      </c>
      <c r="L2324" s="2" t="s">
        <v>4242</v>
      </c>
      <c r="M2324" s="2"/>
      <c r="N2324" s="2"/>
      <c r="O2324" s="2"/>
      <c r="P2324" s="2" t="s">
        <v>7463</v>
      </c>
      <c r="Q2324" s="6">
        <v>100</v>
      </c>
      <c r="R2324" s="6">
        <v>20.86</v>
      </c>
      <c r="S2324" s="5">
        <v>-2.4</v>
      </c>
      <c r="T2324" s="7">
        <v>6.7729999999999997</v>
      </c>
      <c r="U2324" s="5">
        <v>6.6</v>
      </c>
      <c r="V2324" s="6">
        <v>-0.17</v>
      </c>
      <c r="W2324" s="7">
        <v>13.375</v>
      </c>
      <c r="X2324" s="7">
        <v>13.625</v>
      </c>
      <c r="Y2324" s="7">
        <v>19.125</v>
      </c>
      <c r="Z2324" s="7">
        <v>19.375</v>
      </c>
      <c r="AA2324" s="6">
        <v>14.18</v>
      </c>
      <c r="AB2324" s="2" t="s">
        <v>86</v>
      </c>
      <c r="AC2324" s="6">
        <v>231.91</v>
      </c>
    </row>
    <row r="2325" spans="1:29" ht="156" x14ac:dyDescent="0.15">
      <c r="A2325" s="3">
        <f>DATE(1996,1,29)</f>
        <v>35093</v>
      </c>
      <c r="B2325" s="3">
        <f>DATE(1996,4,8)</f>
        <v>35163</v>
      </c>
      <c r="C2325" s="2" t="s">
        <v>95</v>
      </c>
      <c r="D2325" s="2" t="s">
        <v>7464</v>
      </c>
      <c r="E2325" s="2" t="s">
        <v>7465</v>
      </c>
      <c r="F2325" s="4">
        <v>3579</v>
      </c>
      <c r="G2325" s="2" t="s">
        <v>50</v>
      </c>
      <c r="H2325" s="2" t="s">
        <v>34</v>
      </c>
      <c r="I2325" s="2" t="s">
        <v>7466</v>
      </c>
      <c r="J2325" s="2" t="s">
        <v>7467</v>
      </c>
      <c r="K2325" s="2" t="s">
        <v>300</v>
      </c>
      <c r="L2325" s="2" t="s">
        <v>34</v>
      </c>
      <c r="M2325" s="2"/>
      <c r="N2325" s="2"/>
      <c r="O2325" s="2"/>
      <c r="P2325" s="2" t="s">
        <v>7468</v>
      </c>
      <c r="Q2325" s="6">
        <v>100</v>
      </c>
      <c r="R2325" s="6">
        <v>17.5</v>
      </c>
      <c r="S2325" s="5">
        <v>0.5</v>
      </c>
      <c r="T2325" s="7">
        <v>2.7549999999999999</v>
      </c>
      <c r="U2325" s="5">
        <v>8</v>
      </c>
      <c r="V2325" s="6">
        <v>0.23</v>
      </c>
      <c r="W2325" s="6">
        <v>9.75</v>
      </c>
      <c r="X2325" s="6">
        <v>9.75</v>
      </c>
      <c r="Y2325" s="7">
        <v>9.875</v>
      </c>
      <c r="Z2325" s="7">
        <v>12.625</v>
      </c>
      <c r="AA2325" s="6">
        <v>2.3199999999999998</v>
      </c>
      <c r="AB2325" s="7">
        <v>48.716000000000001</v>
      </c>
      <c r="AC2325" s="6">
        <v>89.07</v>
      </c>
    </row>
    <row r="2326" spans="1:29" ht="117" x14ac:dyDescent="0.15">
      <c r="A2326" s="3">
        <f>DATE(1996,1,30)</f>
        <v>35094</v>
      </c>
      <c r="B2326" s="3">
        <f>DATE(1996,5,31)</f>
        <v>35216</v>
      </c>
      <c r="C2326" s="2" t="s">
        <v>95</v>
      </c>
      <c r="D2326" s="2" t="s">
        <v>7469</v>
      </c>
      <c r="E2326" s="2" t="s">
        <v>7470</v>
      </c>
      <c r="F2326" s="4">
        <v>3845</v>
      </c>
      <c r="G2326" s="2" t="s">
        <v>226</v>
      </c>
      <c r="H2326" s="2" t="s">
        <v>34</v>
      </c>
      <c r="I2326" s="2" t="s">
        <v>4475</v>
      </c>
      <c r="J2326" s="2" t="s">
        <v>4476</v>
      </c>
      <c r="K2326" s="2" t="s">
        <v>226</v>
      </c>
      <c r="L2326" s="2" t="s">
        <v>34</v>
      </c>
      <c r="M2326" s="12">
        <v>3498.7150000000001</v>
      </c>
      <c r="N2326" s="6">
        <v>42.75</v>
      </c>
      <c r="O2326" s="7">
        <v>44.125</v>
      </c>
      <c r="P2326" s="2" t="s">
        <v>7471</v>
      </c>
      <c r="Q2326" s="6">
        <v>100</v>
      </c>
      <c r="R2326" s="6">
        <v>28.84</v>
      </c>
      <c r="S2326" s="5">
        <v>11</v>
      </c>
      <c r="T2326" s="7">
        <v>15.733000000000001</v>
      </c>
      <c r="U2326" s="5">
        <v>2.4</v>
      </c>
      <c r="V2326" s="6">
        <v>0.72</v>
      </c>
      <c r="W2326" s="5">
        <v>23.5</v>
      </c>
      <c r="X2326" s="4">
        <v>24</v>
      </c>
      <c r="Y2326" s="6">
        <v>26.75</v>
      </c>
      <c r="Z2326" s="7">
        <v>28.062999999999999</v>
      </c>
      <c r="AA2326" s="6">
        <v>15.24</v>
      </c>
      <c r="AB2326" s="7">
        <v>28.946000000000002</v>
      </c>
      <c r="AC2326" s="6">
        <v>166.05</v>
      </c>
    </row>
    <row r="2327" spans="1:29" ht="91" x14ac:dyDescent="0.15">
      <c r="A2327" s="3">
        <f>DATE(1996,1,31)</f>
        <v>35095</v>
      </c>
      <c r="B2327" s="2"/>
      <c r="C2327" s="2" t="s">
        <v>7472</v>
      </c>
      <c r="D2327" s="2" t="s">
        <v>7473</v>
      </c>
      <c r="E2327" s="2" t="s">
        <v>7474</v>
      </c>
      <c r="F2327" s="4">
        <v>7377</v>
      </c>
      <c r="G2327" s="2" t="s">
        <v>223</v>
      </c>
      <c r="H2327" s="2" t="s">
        <v>34</v>
      </c>
      <c r="I2327" s="2" t="s">
        <v>143</v>
      </c>
      <c r="J2327" s="2" t="s">
        <v>144</v>
      </c>
      <c r="K2327" s="2" t="s">
        <v>53</v>
      </c>
      <c r="L2327" s="2" t="s">
        <v>139</v>
      </c>
      <c r="M2327" s="2"/>
      <c r="N2327" s="2"/>
      <c r="O2327" s="2"/>
      <c r="P2327" s="2" t="s">
        <v>7475</v>
      </c>
      <c r="Q2327" s="2"/>
      <c r="R2327" s="2"/>
      <c r="S2327" s="5">
        <v>-19.899999999999999</v>
      </c>
      <c r="T2327" s="7">
        <v>15.807</v>
      </c>
      <c r="U2327" s="5">
        <v>7</v>
      </c>
      <c r="V2327" s="6">
        <v>-2.96</v>
      </c>
      <c r="W2327" s="7">
        <v>2.875</v>
      </c>
      <c r="X2327" s="5">
        <v>3.5</v>
      </c>
      <c r="Y2327" s="5">
        <v>3.5</v>
      </c>
      <c r="Z2327" s="7">
        <v>3.625</v>
      </c>
      <c r="AA2327" s="2"/>
      <c r="AB2327" s="2" t="s">
        <v>86</v>
      </c>
      <c r="AC2327" s="2"/>
    </row>
    <row r="2328" spans="1:29" ht="78" x14ac:dyDescent="0.15">
      <c r="A2328" s="3">
        <f>DATE(1996,1,31)</f>
        <v>35095</v>
      </c>
      <c r="B2328" s="3">
        <f>DATE(1996,2,28)</f>
        <v>35123</v>
      </c>
      <c r="C2328" s="2" t="s">
        <v>95</v>
      </c>
      <c r="D2328" s="2" t="s">
        <v>7476</v>
      </c>
      <c r="E2328" s="2" t="s">
        <v>92</v>
      </c>
      <c r="F2328" s="4">
        <v>6798</v>
      </c>
      <c r="G2328" s="2" t="s">
        <v>53</v>
      </c>
      <c r="H2328" s="2" t="s">
        <v>34</v>
      </c>
      <c r="I2328" s="2" t="s">
        <v>7477</v>
      </c>
      <c r="J2328" s="2" t="s">
        <v>92</v>
      </c>
      <c r="K2328" s="2" t="s">
        <v>53</v>
      </c>
      <c r="L2328" s="2" t="s">
        <v>34</v>
      </c>
      <c r="M2328" s="2"/>
      <c r="N2328" s="2"/>
      <c r="O2328" s="2"/>
      <c r="P2328" s="2" t="s">
        <v>7478</v>
      </c>
      <c r="Q2328" s="6">
        <v>72.540000000000006</v>
      </c>
      <c r="R2328" s="6">
        <v>0.47</v>
      </c>
      <c r="S2328" s="2"/>
      <c r="T2328" s="2"/>
      <c r="U2328" s="2"/>
      <c r="V2328" s="2"/>
      <c r="W2328" s="7">
        <v>2.625</v>
      </c>
      <c r="X2328" s="7">
        <v>2.375</v>
      </c>
      <c r="Y2328" s="7">
        <v>2.375</v>
      </c>
      <c r="Z2328" s="9">
        <v>2.4375</v>
      </c>
      <c r="AA2328" s="6">
        <v>8.65</v>
      </c>
      <c r="AB2328" s="2" t="s">
        <v>47</v>
      </c>
      <c r="AC2328" s="2"/>
    </row>
    <row r="2329" spans="1:29" ht="130" x14ac:dyDescent="0.15">
      <c r="A2329" s="3">
        <f>DATE(1996,1,31)</f>
        <v>35095</v>
      </c>
      <c r="B2329" s="3">
        <f>DATE(1996,3,4)</f>
        <v>35128</v>
      </c>
      <c r="C2329" s="2" t="s">
        <v>95</v>
      </c>
      <c r="D2329" s="2" t="s">
        <v>7479</v>
      </c>
      <c r="E2329" s="2" t="s">
        <v>7480</v>
      </c>
      <c r="F2329" s="4">
        <v>7372</v>
      </c>
      <c r="G2329" s="2" t="s">
        <v>551</v>
      </c>
      <c r="H2329" s="2" t="s">
        <v>34</v>
      </c>
      <c r="I2329" s="2" t="s">
        <v>5443</v>
      </c>
      <c r="J2329" s="2" t="s">
        <v>5444</v>
      </c>
      <c r="K2329" s="2" t="s">
        <v>50</v>
      </c>
      <c r="L2329" s="2" t="s">
        <v>34</v>
      </c>
      <c r="M2329" s="12">
        <v>49829.623</v>
      </c>
      <c r="N2329" s="5">
        <v>108.5</v>
      </c>
      <c r="O2329" s="4">
        <v>109</v>
      </c>
      <c r="P2329" s="2" t="s">
        <v>7481</v>
      </c>
      <c r="Q2329" s="6">
        <v>100</v>
      </c>
      <c r="R2329" s="6">
        <v>47.5</v>
      </c>
      <c r="S2329" s="5">
        <v>3.7</v>
      </c>
      <c r="T2329" s="7">
        <v>4.9219999999999997</v>
      </c>
      <c r="U2329" s="5">
        <v>2.9</v>
      </c>
      <c r="V2329" s="7">
        <v>0.23599999999999999</v>
      </c>
      <c r="W2329" s="4">
        <v>38</v>
      </c>
      <c r="X2329" s="6">
        <v>37.75</v>
      </c>
      <c r="Y2329" s="7">
        <v>47.030999999999999</v>
      </c>
      <c r="Z2329" s="4">
        <v>47</v>
      </c>
      <c r="AA2329" s="6">
        <v>14.94</v>
      </c>
      <c r="AB2329" s="7">
        <v>205.934</v>
      </c>
      <c r="AC2329" s="8">
        <v>7701</v>
      </c>
    </row>
    <row r="2330" spans="1:29" ht="130" x14ac:dyDescent="0.15">
      <c r="A2330" s="3">
        <f>DATE(1996,2,1)</f>
        <v>35096</v>
      </c>
      <c r="B2330" s="3">
        <f>DATE(1996,4,12)</f>
        <v>35167</v>
      </c>
      <c r="C2330" s="2" t="s">
        <v>95</v>
      </c>
      <c r="D2330" s="2" t="s">
        <v>7482</v>
      </c>
      <c r="E2330" s="2" t="s">
        <v>4335</v>
      </c>
      <c r="F2330" s="4">
        <v>6324</v>
      </c>
      <c r="G2330" s="2" t="s">
        <v>125</v>
      </c>
      <c r="H2330" s="2" t="s">
        <v>34</v>
      </c>
      <c r="I2330" s="2" t="s">
        <v>3765</v>
      </c>
      <c r="J2330" s="2" t="s">
        <v>1334</v>
      </c>
      <c r="K2330" s="2" t="s">
        <v>125</v>
      </c>
      <c r="L2330" s="2" t="s">
        <v>34</v>
      </c>
      <c r="M2330" s="12">
        <v>11523.699000000001</v>
      </c>
      <c r="N2330" s="7">
        <v>63.125</v>
      </c>
      <c r="O2330" s="5">
        <v>63.5</v>
      </c>
      <c r="P2330" s="2" t="s">
        <v>7483</v>
      </c>
      <c r="Q2330" s="6">
        <v>100</v>
      </c>
      <c r="R2330" s="6">
        <v>40.630000000000003</v>
      </c>
      <c r="S2330" s="5">
        <v>8.1999999999999993</v>
      </c>
      <c r="T2330" s="7">
        <v>15.666</v>
      </c>
      <c r="U2330" s="5">
        <v>4.8</v>
      </c>
      <c r="V2330" s="7">
        <v>1.228</v>
      </c>
      <c r="W2330" s="6">
        <v>37.25</v>
      </c>
      <c r="X2330" s="5">
        <v>37.5</v>
      </c>
      <c r="Y2330" s="7">
        <v>39.875</v>
      </c>
      <c r="Z2330" s="6">
        <v>40.25</v>
      </c>
      <c r="AA2330" s="6">
        <v>5.92</v>
      </c>
      <c r="AB2330" s="7">
        <v>18.382000000000001</v>
      </c>
      <c r="AC2330" s="6">
        <v>940.11</v>
      </c>
    </row>
    <row r="2331" spans="1:29" ht="39" x14ac:dyDescent="0.15">
      <c r="A2331" s="3">
        <f>DATE(1996,2,1)</f>
        <v>35096</v>
      </c>
      <c r="B2331" s="2"/>
      <c r="C2331" s="2" t="s">
        <v>7330</v>
      </c>
      <c r="D2331" s="2" t="s">
        <v>7484</v>
      </c>
      <c r="E2331" s="2" t="s">
        <v>7485</v>
      </c>
      <c r="F2331" s="2" t="s">
        <v>3218</v>
      </c>
      <c r="G2331" s="2" t="s">
        <v>426</v>
      </c>
      <c r="H2331" s="2" t="s">
        <v>34</v>
      </c>
      <c r="I2331" s="2" t="s">
        <v>51</v>
      </c>
      <c r="J2331" s="2" t="s">
        <v>52</v>
      </c>
      <c r="K2331" s="2" t="s">
        <v>53</v>
      </c>
      <c r="L2331" s="2" t="s">
        <v>34</v>
      </c>
      <c r="M2331" s="2"/>
      <c r="N2331" s="2"/>
      <c r="O2331" s="2"/>
      <c r="P2331" s="2" t="s">
        <v>7486</v>
      </c>
      <c r="Q2331" s="2"/>
      <c r="R2331" s="2"/>
      <c r="S2331" s="5">
        <v>261.10000000000002</v>
      </c>
      <c r="T2331" s="7">
        <v>264.64100000000002</v>
      </c>
      <c r="U2331" s="5">
        <v>7.9</v>
      </c>
      <c r="V2331" s="6">
        <v>5.5</v>
      </c>
      <c r="W2331" s="6">
        <v>23.75</v>
      </c>
      <c r="X2331" s="5">
        <v>22.5</v>
      </c>
      <c r="Y2331" s="5">
        <v>22.5</v>
      </c>
      <c r="Z2331" s="5">
        <v>22.5</v>
      </c>
      <c r="AA2331" s="2"/>
      <c r="AB2331" s="2" t="s">
        <v>47</v>
      </c>
      <c r="AC2331" s="2"/>
    </row>
    <row r="2332" spans="1:29" ht="117" x14ac:dyDescent="0.15">
      <c r="A2332" s="3">
        <f>DATE(1996,2,2)</f>
        <v>35097</v>
      </c>
      <c r="B2332" s="3">
        <f>DATE(1996,8,30)</f>
        <v>35307</v>
      </c>
      <c r="C2332" s="2" t="s">
        <v>95</v>
      </c>
      <c r="D2332" s="2" t="s">
        <v>7487</v>
      </c>
      <c r="E2332" s="2" t="s">
        <v>7488</v>
      </c>
      <c r="F2332" s="4">
        <v>6321</v>
      </c>
      <c r="G2332" s="2" t="s">
        <v>125</v>
      </c>
      <c r="H2332" s="2" t="s">
        <v>34</v>
      </c>
      <c r="I2332" s="2" t="s">
        <v>7489</v>
      </c>
      <c r="J2332" s="2" t="s">
        <v>124</v>
      </c>
      <c r="K2332" s="2" t="s">
        <v>125</v>
      </c>
      <c r="L2332" s="2" t="s">
        <v>34</v>
      </c>
      <c r="M2332" s="7">
        <v>114.59399999999999</v>
      </c>
      <c r="N2332" s="4">
        <v>17</v>
      </c>
      <c r="O2332" s="5">
        <v>16.5</v>
      </c>
      <c r="P2332" s="2" t="s">
        <v>7490</v>
      </c>
      <c r="Q2332" s="6">
        <v>100</v>
      </c>
      <c r="R2332" s="6">
        <v>20</v>
      </c>
      <c r="S2332" s="5">
        <v>0.2</v>
      </c>
      <c r="T2332" s="7">
        <v>0.318</v>
      </c>
      <c r="U2332" s="5">
        <v>15.9</v>
      </c>
      <c r="V2332" s="6">
        <v>0.35</v>
      </c>
      <c r="W2332" s="6">
        <v>7.25</v>
      </c>
      <c r="X2332" s="6">
        <v>7.25</v>
      </c>
      <c r="Y2332" s="6">
        <v>7.25</v>
      </c>
      <c r="Z2332" s="6">
        <v>7.25</v>
      </c>
      <c r="AA2332" s="6">
        <v>0.55000000000000004</v>
      </c>
      <c r="AB2332" s="7">
        <v>43.27</v>
      </c>
      <c r="AC2332" s="6">
        <v>8.8800000000000008</v>
      </c>
    </row>
    <row r="2333" spans="1:29" ht="156" x14ac:dyDescent="0.15">
      <c r="A2333" s="3">
        <f>DATE(1996,2,5)</f>
        <v>35100</v>
      </c>
      <c r="B2333" s="2"/>
      <c r="C2333" s="2" t="s">
        <v>30</v>
      </c>
      <c r="D2333" s="2" t="s">
        <v>7491</v>
      </c>
      <c r="E2333" s="2" t="s">
        <v>7492</v>
      </c>
      <c r="F2333" s="4">
        <v>8093</v>
      </c>
      <c r="G2333" s="2" t="s">
        <v>454</v>
      </c>
      <c r="H2333" s="2" t="s">
        <v>34</v>
      </c>
      <c r="I2333" s="2" t="s">
        <v>6188</v>
      </c>
      <c r="J2333" s="2" t="s">
        <v>6189</v>
      </c>
      <c r="K2333" s="2" t="s">
        <v>226</v>
      </c>
      <c r="L2333" s="2" t="s">
        <v>34</v>
      </c>
      <c r="M2333" s="7">
        <v>50.116999999999997</v>
      </c>
      <c r="N2333" s="9">
        <v>1.9375</v>
      </c>
      <c r="O2333" s="9">
        <v>1.9375</v>
      </c>
      <c r="P2333" s="2" t="s">
        <v>7493</v>
      </c>
      <c r="Q2333" s="2"/>
      <c r="R2333" s="6">
        <v>2.76</v>
      </c>
      <c r="S2333" s="5">
        <v>-2.4</v>
      </c>
      <c r="T2333" s="7">
        <v>-2.4020000000000001</v>
      </c>
      <c r="U2333" s="5">
        <v>0.5</v>
      </c>
      <c r="V2333" s="6">
        <v>-0.69</v>
      </c>
      <c r="W2333" s="7">
        <v>1.6879999999999999</v>
      </c>
      <c r="X2333" s="7">
        <v>2.625</v>
      </c>
      <c r="Y2333" s="7">
        <v>2.375</v>
      </c>
      <c r="Z2333" s="7">
        <v>2.375</v>
      </c>
      <c r="AA2333" s="6">
        <v>6.6</v>
      </c>
      <c r="AB2333" s="2" t="s">
        <v>86</v>
      </c>
      <c r="AC2333" s="2"/>
    </row>
    <row r="2334" spans="1:29" ht="78" x14ac:dyDescent="0.15">
      <c r="A2334" s="3">
        <f>DATE(1996,2,5)</f>
        <v>35100</v>
      </c>
      <c r="B2334" s="3">
        <f>DATE(1996,6,19)</f>
        <v>35235</v>
      </c>
      <c r="C2334" s="2" t="s">
        <v>95</v>
      </c>
      <c r="D2334" s="2" t="s">
        <v>7494</v>
      </c>
      <c r="E2334" s="2" t="s">
        <v>36</v>
      </c>
      <c r="F2334" s="4">
        <v>6036</v>
      </c>
      <c r="G2334" s="2" t="s">
        <v>33</v>
      </c>
      <c r="H2334" s="2" t="s">
        <v>34</v>
      </c>
      <c r="I2334" s="2" t="s">
        <v>7495</v>
      </c>
      <c r="J2334" s="2" t="s">
        <v>36</v>
      </c>
      <c r="K2334" s="2" t="s">
        <v>37</v>
      </c>
      <c r="L2334" s="2" t="s">
        <v>34</v>
      </c>
      <c r="M2334" s="7">
        <v>207.10499999999999</v>
      </c>
      <c r="N2334" s="5">
        <v>27.5</v>
      </c>
      <c r="O2334" s="6">
        <v>29.25</v>
      </c>
      <c r="P2334" s="2" t="s">
        <v>7496</v>
      </c>
      <c r="Q2334" s="6">
        <v>100</v>
      </c>
      <c r="R2334" s="6">
        <v>18</v>
      </c>
      <c r="S2334" s="5">
        <v>4.8</v>
      </c>
      <c r="T2334" s="6">
        <v>28.13</v>
      </c>
      <c r="U2334" s="5">
        <v>13.3</v>
      </c>
      <c r="V2334" s="7">
        <v>1.3759999999999999</v>
      </c>
      <c r="W2334" s="7">
        <v>9.875</v>
      </c>
      <c r="X2334" s="6">
        <v>11.75</v>
      </c>
      <c r="Y2334" s="5">
        <v>13.5</v>
      </c>
      <c r="Z2334" s="6">
        <v>14.75</v>
      </c>
      <c r="AA2334" s="6">
        <v>3.46</v>
      </c>
      <c r="AB2334" s="7">
        <v>2.3220000000000001</v>
      </c>
      <c r="AC2334" s="2"/>
    </row>
    <row r="2335" spans="1:29" ht="117" x14ac:dyDescent="0.15">
      <c r="A2335" s="3">
        <f>DATE(1996,2,5)</f>
        <v>35100</v>
      </c>
      <c r="B2335" s="3">
        <f>DATE(1996,9,30)</f>
        <v>35338</v>
      </c>
      <c r="C2335" s="2" t="s">
        <v>95</v>
      </c>
      <c r="D2335" s="2" t="s">
        <v>7497</v>
      </c>
      <c r="E2335" s="2" t="s">
        <v>7498</v>
      </c>
      <c r="F2335" s="4">
        <v>3841</v>
      </c>
      <c r="G2335" s="2" t="s">
        <v>226</v>
      </c>
      <c r="H2335" s="2" t="s">
        <v>34</v>
      </c>
      <c r="I2335" s="2" t="s">
        <v>7499</v>
      </c>
      <c r="J2335" s="2" t="s">
        <v>302</v>
      </c>
      <c r="K2335" s="2" t="s">
        <v>53</v>
      </c>
      <c r="L2335" s="2" t="s">
        <v>34</v>
      </c>
      <c r="M2335" s="2"/>
      <c r="N2335" s="2"/>
      <c r="O2335" s="2"/>
      <c r="P2335" s="2" t="s">
        <v>7500</v>
      </c>
      <c r="Q2335" s="6">
        <v>45.4</v>
      </c>
      <c r="R2335" s="6">
        <v>2.38</v>
      </c>
      <c r="S2335" s="5">
        <v>0.4</v>
      </c>
      <c r="T2335" s="7">
        <v>0.92900000000000005</v>
      </c>
      <c r="U2335" s="5">
        <v>3.2</v>
      </c>
      <c r="V2335" s="7">
        <v>0.11899999999999999</v>
      </c>
      <c r="W2335" s="7">
        <v>1.875</v>
      </c>
      <c r="X2335" s="7">
        <v>1.9379999999999999</v>
      </c>
      <c r="Y2335" s="7">
        <v>1.9379999999999999</v>
      </c>
      <c r="Z2335" s="7">
        <v>1.875</v>
      </c>
      <c r="AA2335" s="6">
        <v>3.3</v>
      </c>
      <c r="AB2335" s="2" t="s">
        <v>86</v>
      </c>
      <c r="AC2335" s="2"/>
    </row>
    <row r="2336" spans="1:29" ht="130" x14ac:dyDescent="0.15">
      <c r="A2336" s="3">
        <f>DATE(1996,2,5)</f>
        <v>35100</v>
      </c>
      <c r="B2336" s="3">
        <f>DATE(1996,4,30)</f>
        <v>35185</v>
      </c>
      <c r="C2336" s="2" t="s">
        <v>95</v>
      </c>
      <c r="D2336" s="2" t="s">
        <v>7501</v>
      </c>
      <c r="E2336" s="2" t="s">
        <v>7502</v>
      </c>
      <c r="F2336" s="4">
        <v>8732</v>
      </c>
      <c r="G2336" s="2" t="s">
        <v>223</v>
      </c>
      <c r="H2336" s="2" t="s">
        <v>34</v>
      </c>
      <c r="I2336" s="2" t="s">
        <v>7503</v>
      </c>
      <c r="J2336" s="2" t="s">
        <v>7504</v>
      </c>
      <c r="K2336" s="2" t="s">
        <v>223</v>
      </c>
      <c r="L2336" s="2" t="s">
        <v>34</v>
      </c>
      <c r="M2336" s="2"/>
      <c r="N2336" s="2"/>
      <c r="O2336" s="2"/>
      <c r="P2336" s="2" t="s">
        <v>7505</v>
      </c>
      <c r="Q2336" s="6">
        <v>100</v>
      </c>
      <c r="R2336" s="6">
        <v>5</v>
      </c>
      <c r="S2336" s="5">
        <v>6</v>
      </c>
      <c r="T2336" s="7">
        <v>12.968</v>
      </c>
      <c r="U2336" s="5">
        <v>4</v>
      </c>
      <c r="V2336" s="7">
        <v>0.60599999999999998</v>
      </c>
      <c r="W2336" s="6">
        <v>14.75</v>
      </c>
      <c r="X2336" s="6">
        <v>14.75</v>
      </c>
      <c r="Y2336" s="7">
        <v>14.125</v>
      </c>
      <c r="Z2336" s="7">
        <v>13.875</v>
      </c>
      <c r="AA2336" s="6">
        <v>9.19</v>
      </c>
      <c r="AB2336" s="7">
        <v>5.52</v>
      </c>
      <c r="AC2336" s="6">
        <v>6.71</v>
      </c>
    </row>
    <row r="2337" spans="1:29" ht="143" x14ac:dyDescent="0.15">
      <c r="A2337" s="3">
        <f>DATE(1996,2,7)</f>
        <v>35102</v>
      </c>
      <c r="B2337" s="3">
        <f>DATE(1996,5,7)</f>
        <v>35192</v>
      </c>
      <c r="C2337" s="2" t="s">
        <v>95</v>
      </c>
      <c r="D2337" s="2" t="s">
        <v>7506</v>
      </c>
      <c r="E2337" s="2" t="s">
        <v>7507</v>
      </c>
      <c r="F2337" s="4">
        <v>7352</v>
      </c>
      <c r="G2337" s="2" t="s">
        <v>223</v>
      </c>
      <c r="H2337" s="2" t="s">
        <v>34</v>
      </c>
      <c r="I2337" s="2" t="s">
        <v>6702</v>
      </c>
      <c r="J2337" s="2" t="s">
        <v>6703</v>
      </c>
      <c r="K2337" s="2" t="s">
        <v>593</v>
      </c>
      <c r="L2337" s="2" t="s">
        <v>34</v>
      </c>
      <c r="M2337" s="12">
        <v>2782.8890000000001</v>
      </c>
      <c r="N2337" s="7">
        <v>56.875</v>
      </c>
      <c r="O2337" s="7">
        <v>57.125</v>
      </c>
      <c r="P2337" s="2" t="s">
        <v>7508</v>
      </c>
      <c r="Q2337" s="6">
        <v>100</v>
      </c>
      <c r="R2337" s="6">
        <v>24.14</v>
      </c>
      <c r="S2337" s="5">
        <v>34.9</v>
      </c>
      <c r="T2337" s="7">
        <v>59.012999999999998</v>
      </c>
      <c r="U2337" s="5">
        <v>5.4</v>
      </c>
      <c r="V2337" s="6">
        <v>0.93</v>
      </c>
      <c r="W2337" s="4">
        <v>15</v>
      </c>
      <c r="X2337" s="6">
        <v>15.75</v>
      </c>
      <c r="Y2337" s="7">
        <v>22.125</v>
      </c>
      <c r="Z2337" s="7">
        <v>22.375</v>
      </c>
      <c r="AA2337" s="6">
        <v>36.56</v>
      </c>
      <c r="AB2337" s="7">
        <v>15.801</v>
      </c>
      <c r="AC2337" s="5">
        <v>63.2</v>
      </c>
    </row>
    <row r="2338" spans="1:29" ht="78" x14ac:dyDescent="0.15">
      <c r="A2338" s="3">
        <f>DATE(1996,2,8)</f>
        <v>35103</v>
      </c>
      <c r="B2338" s="3">
        <f>DATE(1996,7,31)</f>
        <v>35277</v>
      </c>
      <c r="C2338" s="2" t="s">
        <v>95</v>
      </c>
      <c r="D2338" s="2" t="s">
        <v>7509</v>
      </c>
      <c r="E2338" s="2" t="s">
        <v>515</v>
      </c>
      <c r="F2338" s="4">
        <v>6311</v>
      </c>
      <c r="G2338" s="2" t="s">
        <v>125</v>
      </c>
      <c r="H2338" s="2" t="s">
        <v>34</v>
      </c>
      <c r="I2338" s="2" t="s">
        <v>7510</v>
      </c>
      <c r="J2338" s="2" t="s">
        <v>1563</v>
      </c>
      <c r="K2338" s="2" t="s">
        <v>125</v>
      </c>
      <c r="L2338" s="2" t="s">
        <v>34</v>
      </c>
      <c r="M2338" s="5">
        <v>98.6</v>
      </c>
      <c r="N2338" s="6">
        <v>14.25</v>
      </c>
      <c r="O2338" s="7">
        <v>14.438000000000001</v>
      </c>
      <c r="P2338" s="2" t="s">
        <v>7511</v>
      </c>
      <c r="Q2338" s="6">
        <v>88.95</v>
      </c>
      <c r="R2338" s="6">
        <v>12.5</v>
      </c>
      <c r="S2338" s="5">
        <v>1.4</v>
      </c>
      <c r="T2338" s="7">
        <v>2.2280000000000002</v>
      </c>
      <c r="U2338" s="5">
        <v>7.6</v>
      </c>
      <c r="V2338" s="7">
        <v>0.64300000000000002</v>
      </c>
      <c r="W2338" s="4">
        <v>6</v>
      </c>
      <c r="X2338" s="7">
        <v>6.625</v>
      </c>
      <c r="Y2338" s="6">
        <v>10.75</v>
      </c>
      <c r="Z2338" s="6">
        <v>10.75</v>
      </c>
      <c r="AA2338" s="6">
        <v>1.66</v>
      </c>
      <c r="AB2338" s="7">
        <v>12.679</v>
      </c>
      <c r="AC2338" s="6">
        <v>0.94</v>
      </c>
    </row>
    <row r="2339" spans="1:29" ht="156" x14ac:dyDescent="0.15">
      <c r="A2339" s="3">
        <f>DATE(1996,2,12)</f>
        <v>35107</v>
      </c>
      <c r="B2339" s="3">
        <f>DATE(1996,5,3)</f>
        <v>35188</v>
      </c>
      <c r="C2339" s="2" t="s">
        <v>95</v>
      </c>
      <c r="D2339" s="2" t="s">
        <v>4929</v>
      </c>
      <c r="E2339" s="2" t="s">
        <v>6535</v>
      </c>
      <c r="F2339" s="4">
        <v>5048</v>
      </c>
      <c r="G2339" s="2" t="s">
        <v>76</v>
      </c>
      <c r="H2339" s="2" t="s">
        <v>34</v>
      </c>
      <c r="I2339" s="2" t="s">
        <v>7512</v>
      </c>
      <c r="J2339" s="2" t="s">
        <v>7513</v>
      </c>
      <c r="K2339" s="2" t="s">
        <v>226</v>
      </c>
      <c r="L2339" s="2" t="s">
        <v>34</v>
      </c>
      <c r="M2339" s="2"/>
      <c r="N2339" s="2"/>
      <c r="O2339" s="2"/>
      <c r="P2339" s="2" t="s">
        <v>7514</v>
      </c>
      <c r="Q2339" s="6">
        <v>100</v>
      </c>
      <c r="R2339" s="6">
        <v>6.6</v>
      </c>
      <c r="S2339" s="5">
        <v>-6.8</v>
      </c>
      <c r="T2339" s="7">
        <v>37.375</v>
      </c>
      <c r="U2339" s="5">
        <v>4.0999999999999996</v>
      </c>
      <c r="V2339" s="6">
        <v>-0.22</v>
      </c>
      <c r="W2339" s="5">
        <v>9.5</v>
      </c>
      <c r="X2339" s="4">
        <v>9</v>
      </c>
      <c r="Y2339" s="6">
        <v>8.75</v>
      </c>
      <c r="Z2339" s="7">
        <v>8.375</v>
      </c>
      <c r="AA2339" s="6">
        <v>31.86</v>
      </c>
      <c r="AB2339" s="7">
        <v>15.297000000000001</v>
      </c>
      <c r="AC2339" s="2"/>
    </row>
    <row r="2340" spans="1:29" ht="156" x14ac:dyDescent="0.15">
      <c r="A2340" s="3">
        <f>DATE(1996,2,12)</f>
        <v>35107</v>
      </c>
      <c r="B2340" s="3">
        <f>DATE(1996,6,7)</f>
        <v>35223</v>
      </c>
      <c r="C2340" s="2" t="s">
        <v>95</v>
      </c>
      <c r="D2340" s="2" t="s">
        <v>7515</v>
      </c>
      <c r="E2340" s="2" t="s">
        <v>1181</v>
      </c>
      <c r="F2340" s="4">
        <v>6022</v>
      </c>
      <c r="G2340" s="2" t="s">
        <v>37</v>
      </c>
      <c r="H2340" s="2" t="s">
        <v>34</v>
      </c>
      <c r="I2340" s="2" t="s">
        <v>995</v>
      </c>
      <c r="J2340" s="2" t="s">
        <v>996</v>
      </c>
      <c r="K2340" s="2" t="s">
        <v>37</v>
      </c>
      <c r="L2340" s="2" t="s">
        <v>34</v>
      </c>
      <c r="M2340" s="2"/>
      <c r="N2340" s="2"/>
      <c r="O2340" s="2"/>
      <c r="P2340" s="2" t="s">
        <v>7516</v>
      </c>
      <c r="Q2340" s="6">
        <v>100</v>
      </c>
      <c r="R2340" s="6">
        <v>32.54</v>
      </c>
      <c r="S2340" s="5">
        <v>18</v>
      </c>
      <c r="T2340" s="7">
        <v>32.722000000000001</v>
      </c>
      <c r="U2340" s="5">
        <v>13</v>
      </c>
      <c r="V2340" s="7">
        <v>1.8009999999999999</v>
      </c>
      <c r="W2340" s="5">
        <v>26.5</v>
      </c>
      <c r="X2340" s="6">
        <v>27.75</v>
      </c>
      <c r="Y2340" s="7">
        <v>30.312999999999999</v>
      </c>
      <c r="Z2340" s="7">
        <v>29.140999999999998</v>
      </c>
      <c r="AA2340" s="6">
        <v>10.06</v>
      </c>
      <c r="AB2340" s="7">
        <v>57.222999999999999</v>
      </c>
      <c r="AC2340" s="2"/>
    </row>
    <row r="2341" spans="1:29" ht="156" x14ac:dyDescent="0.15">
      <c r="A2341" s="3">
        <f>DATE(1996,2,12)</f>
        <v>35107</v>
      </c>
      <c r="B2341" s="3">
        <f>DATE(1996,5,1)</f>
        <v>35186</v>
      </c>
      <c r="C2341" s="2" t="s">
        <v>95</v>
      </c>
      <c r="D2341" s="2" t="s">
        <v>7517</v>
      </c>
      <c r="E2341" s="2" t="s">
        <v>7518</v>
      </c>
      <c r="F2341" s="4">
        <v>3634</v>
      </c>
      <c r="G2341" s="2" t="s">
        <v>137</v>
      </c>
      <c r="H2341" s="2" t="s">
        <v>34</v>
      </c>
      <c r="I2341" s="2" t="s">
        <v>7519</v>
      </c>
      <c r="J2341" s="2" t="s">
        <v>7520</v>
      </c>
      <c r="K2341" s="2" t="s">
        <v>226</v>
      </c>
      <c r="L2341" s="2" t="s">
        <v>34</v>
      </c>
      <c r="M2341" s="12">
        <v>5967.9859999999999</v>
      </c>
      <c r="N2341" s="7">
        <v>53.875</v>
      </c>
      <c r="O2341" s="7">
        <v>53.875</v>
      </c>
      <c r="P2341" s="2" t="s">
        <v>7521</v>
      </c>
      <c r="Q2341" s="6">
        <v>100</v>
      </c>
      <c r="R2341" s="6">
        <v>43.5</v>
      </c>
      <c r="S2341" s="5">
        <v>10.6</v>
      </c>
      <c r="T2341" s="7">
        <v>18.753</v>
      </c>
      <c r="U2341" s="5">
        <v>13.3</v>
      </c>
      <c r="V2341" s="7">
        <v>1.635</v>
      </c>
      <c r="W2341" s="4">
        <v>29</v>
      </c>
      <c r="X2341" s="5">
        <v>27.5</v>
      </c>
      <c r="Y2341" s="7">
        <v>43.109000000000002</v>
      </c>
      <c r="Z2341" s="7">
        <v>43.125</v>
      </c>
      <c r="AA2341" s="6">
        <v>6.34</v>
      </c>
      <c r="AB2341" s="7">
        <v>18.251000000000001</v>
      </c>
      <c r="AC2341" s="5">
        <v>300.60000000000002</v>
      </c>
    </row>
    <row r="2342" spans="1:29" ht="143" x14ac:dyDescent="0.15">
      <c r="A2342" s="3">
        <f>DATE(1996,2,13)</f>
        <v>35108</v>
      </c>
      <c r="B2342" s="3">
        <f>DATE(1996,9,18)</f>
        <v>35326</v>
      </c>
      <c r="C2342" s="2" t="s">
        <v>95</v>
      </c>
      <c r="D2342" s="2" t="s">
        <v>7522</v>
      </c>
      <c r="E2342" s="2" t="s">
        <v>7523</v>
      </c>
      <c r="F2342" s="4">
        <v>4833</v>
      </c>
      <c r="G2342" s="2" t="s">
        <v>45</v>
      </c>
      <c r="H2342" s="2" t="s">
        <v>34</v>
      </c>
      <c r="I2342" s="2" t="s">
        <v>7524</v>
      </c>
      <c r="J2342" s="2" t="s">
        <v>5945</v>
      </c>
      <c r="K2342" s="2" t="s">
        <v>45</v>
      </c>
      <c r="L2342" s="2" t="s">
        <v>34</v>
      </c>
      <c r="M2342" s="7">
        <v>313.31900000000002</v>
      </c>
      <c r="N2342" s="7">
        <v>18.875</v>
      </c>
      <c r="O2342" s="6">
        <v>21.25</v>
      </c>
      <c r="P2342" s="2" t="s">
        <v>7525</v>
      </c>
      <c r="Q2342" s="6">
        <v>100</v>
      </c>
      <c r="R2342" s="6">
        <v>29.5</v>
      </c>
      <c r="S2342" s="5">
        <v>14.3</v>
      </c>
      <c r="T2342" s="7">
        <v>51.182000000000002</v>
      </c>
      <c r="U2342" s="5">
        <v>8</v>
      </c>
      <c r="V2342" s="7">
        <v>0.68100000000000005</v>
      </c>
      <c r="W2342" s="5">
        <v>25.5</v>
      </c>
      <c r="X2342" s="4">
        <v>27</v>
      </c>
      <c r="Y2342" s="7">
        <v>28.625</v>
      </c>
      <c r="Z2342" s="7">
        <v>28.875</v>
      </c>
      <c r="AA2342" s="6">
        <v>19.98</v>
      </c>
      <c r="AB2342" s="7">
        <v>20.427</v>
      </c>
      <c r="AC2342" s="6">
        <v>7.44</v>
      </c>
    </row>
    <row r="2343" spans="1:29" ht="117" x14ac:dyDescent="0.15">
      <c r="A2343" s="3">
        <f>DATE(1996,2,13)</f>
        <v>35108</v>
      </c>
      <c r="B2343" s="3">
        <f>DATE(1996,6,19)</f>
        <v>35235</v>
      </c>
      <c r="C2343" s="2" t="s">
        <v>95</v>
      </c>
      <c r="D2343" s="2" t="s">
        <v>7526</v>
      </c>
      <c r="E2343" s="2" t="s">
        <v>92</v>
      </c>
      <c r="F2343" s="4">
        <v>6798</v>
      </c>
      <c r="G2343" s="2" t="s">
        <v>53</v>
      </c>
      <c r="H2343" s="2" t="s">
        <v>34</v>
      </c>
      <c r="I2343" s="2" t="s">
        <v>4838</v>
      </c>
      <c r="J2343" s="2" t="s">
        <v>92</v>
      </c>
      <c r="K2343" s="2" t="s">
        <v>53</v>
      </c>
      <c r="L2343" s="2" t="s">
        <v>34</v>
      </c>
      <c r="M2343" s="6">
        <v>91.93</v>
      </c>
      <c r="N2343" s="5">
        <v>21.5</v>
      </c>
      <c r="O2343" s="7">
        <v>21.875</v>
      </c>
      <c r="P2343" s="2" t="s">
        <v>7527</v>
      </c>
      <c r="Q2343" s="6">
        <v>94.7</v>
      </c>
      <c r="R2343" s="2"/>
      <c r="S2343" s="5">
        <v>-0.5</v>
      </c>
      <c r="T2343" s="7">
        <v>4.3710000000000004</v>
      </c>
      <c r="U2343" s="5">
        <v>11.3</v>
      </c>
      <c r="V2343" s="6">
        <v>-0.15</v>
      </c>
      <c r="W2343" s="6">
        <v>10.25</v>
      </c>
      <c r="X2343" s="7">
        <v>9.6880000000000006</v>
      </c>
      <c r="Y2343" s="5">
        <v>10.5</v>
      </c>
      <c r="Z2343" s="5">
        <v>10.5</v>
      </c>
      <c r="AA2343" s="6">
        <v>3.58</v>
      </c>
      <c r="AB2343" s="7">
        <v>288.42899999999997</v>
      </c>
      <c r="AC2343" s="6">
        <v>0.3</v>
      </c>
    </row>
    <row r="2344" spans="1:29" ht="39" x14ac:dyDescent="0.15">
      <c r="A2344" s="3">
        <f>DATE(1996,2,13)</f>
        <v>35108</v>
      </c>
      <c r="B2344" s="2"/>
      <c r="C2344" s="2" t="s">
        <v>30</v>
      </c>
      <c r="D2344" s="2" t="s">
        <v>7528</v>
      </c>
      <c r="E2344" s="2" t="s">
        <v>7529</v>
      </c>
      <c r="F2344" s="4">
        <v>5198</v>
      </c>
      <c r="G2344" s="2" t="s">
        <v>593</v>
      </c>
      <c r="H2344" s="2" t="s">
        <v>34</v>
      </c>
      <c r="I2344" s="2" t="s">
        <v>138</v>
      </c>
      <c r="J2344" s="2" t="s">
        <v>139</v>
      </c>
      <c r="K2344" s="2" t="s">
        <v>53</v>
      </c>
      <c r="L2344" s="2" t="s">
        <v>139</v>
      </c>
      <c r="M2344" s="2"/>
      <c r="N2344" s="2"/>
      <c r="O2344" s="2"/>
      <c r="P2344" s="2" t="s">
        <v>7530</v>
      </c>
      <c r="Q2344" s="2"/>
      <c r="R2344" s="2"/>
      <c r="S2344" s="5">
        <v>3.5</v>
      </c>
      <c r="T2344" s="7">
        <v>6.492</v>
      </c>
      <c r="U2344" s="5">
        <v>4.8</v>
      </c>
      <c r="V2344" s="6">
        <v>0.57999999999999996</v>
      </c>
      <c r="W2344" s="5">
        <v>12.5</v>
      </c>
      <c r="X2344" s="4">
        <v>14</v>
      </c>
      <c r="Y2344" s="5">
        <v>14.5</v>
      </c>
      <c r="Z2344" s="6">
        <v>14.25</v>
      </c>
      <c r="AA2344" s="6">
        <v>6.04</v>
      </c>
      <c r="AB2344" s="2" t="s">
        <v>47</v>
      </c>
      <c r="AC2344" s="2"/>
    </row>
    <row r="2345" spans="1:29" ht="52" x14ac:dyDescent="0.15">
      <c r="A2345" s="3">
        <f>DATE(1996,2,13)</f>
        <v>35108</v>
      </c>
      <c r="B2345" s="3">
        <f>DATE(1996,7,12)</f>
        <v>35258</v>
      </c>
      <c r="C2345" s="2" t="s">
        <v>95</v>
      </c>
      <c r="D2345" s="2" t="s">
        <v>3599</v>
      </c>
      <c r="E2345" s="2" t="s">
        <v>3600</v>
      </c>
      <c r="F2345" s="4">
        <v>8082</v>
      </c>
      <c r="G2345" s="2" t="s">
        <v>454</v>
      </c>
      <c r="H2345" s="2" t="s">
        <v>34</v>
      </c>
      <c r="I2345" s="2" t="s">
        <v>6062</v>
      </c>
      <c r="J2345" s="2" t="s">
        <v>4031</v>
      </c>
      <c r="K2345" s="2" t="s">
        <v>454</v>
      </c>
      <c r="L2345" s="2" t="s">
        <v>34</v>
      </c>
      <c r="M2345" s="12">
        <v>1264.0820000000001</v>
      </c>
      <c r="N2345" s="5">
        <v>26.5</v>
      </c>
      <c r="O2345" s="7">
        <v>26.875</v>
      </c>
      <c r="P2345" s="2" t="s">
        <v>7531</v>
      </c>
      <c r="Q2345" s="6">
        <v>100</v>
      </c>
      <c r="R2345" s="6">
        <v>1.85</v>
      </c>
      <c r="S2345" s="5">
        <v>1.1000000000000001</v>
      </c>
      <c r="T2345" s="7">
        <v>3.8839999999999999</v>
      </c>
      <c r="U2345" s="5">
        <v>0.6</v>
      </c>
      <c r="V2345" s="7">
        <v>6.6000000000000003E-2</v>
      </c>
      <c r="W2345" s="7">
        <v>1.5629999999999999</v>
      </c>
      <c r="X2345" s="7">
        <v>1.625</v>
      </c>
      <c r="Y2345" s="7">
        <v>1.625</v>
      </c>
      <c r="Z2345" s="7">
        <v>1.5309999999999999</v>
      </c>
      <c r="AA2345" s="6">
        <v>15.93</v>
      </c>
      <c r="AB2345" s="7">
        <v>14.589</v>
      </c>
      <c r="AC2345" s="6">
        <v>20.440000000000001</v>
      </c>
    </row>
    <row r="2346" spans="1:29" ht="78" x14ac:dyDescent="0.15">
      <c r="A2346" s="3">
        <f>DATE(1996,2,13)</f>
        <v>35108</v>
      </c>
      <c r="B2346" s="3">
        <f>DATE(1996,7,1)</f>
        <v>35247</v>
      </c>
      <c r="C2346" s="2" t="s">
        <v>95</v>
      </c>
      <c r="D2346" s="2" t="s">
        <v>7532</v>
      </c>
      <c r="E2346" s="2" t="s">
        <v>7533</v>
      </c>
      <c r="F2346" s="4">
        <v>7999</v>
      </c>
      <c r="G2346" s="2" t="s">
        <v>364</v>
      </c>
      <c r="H2346" s="2" t="s">
        <v>34</v>
      </c>
      <c r="I2346" s="2" t="s">
        <v>7534</v>
      </c>
      <c r="J2346" s="2" t="s">
        <v>7535</v>
      </c>
      <c r="K2346" s="2" t="s">
        <v>364</v>
      </c>
      <c r="L2346" s="2" t="s">
        <v>34</v>
      </c>
      <c r="M2346" s="2"/>
      <c r="N2346" s="2"/>
      <c r="O2346" s="2"/>
      <c r="P2346" s="2" t="s">
        <v>7536</v>
      </c>
      <c r="Q2346" s="6">
        <v>100</v>
      </c>
      <c r="R2346" s="6">
        <v>18</v>
      </c>
      <c r="S2346" s="5">
        <v>1</v>
      </c>
      <c r="T2346" s="7">
        <v>19.602</v>
      </c>
      <c r="U2346" s="5">
        <v>9.9</v>
      </c>
      <c r="V2346" s="6">
        <v>0.18</v>
      </c>
      <c r="W2346" s="5">
        <v>12.5</v>
      </c>
      <c r="X2346" s="5">
        <v>12.5</v>
      </c>
      <c r="Y2346" s="7">
        <v>16.375</v>
      </c>
      <c r="Z2346" s="7">
        <v>16.625</v>
      </c>
      <c r="AA2346" s="6">
        <v>5.78</v>
      </c>
      <c r="AB2346" s="7">
        <v>28.236000000000001</v>
      </c>
      <c r="AC2346" s="2"/>
    </row>
    <row r="2347" spans="1:29" ht="91" x14ac:dyDescent="0.15">
      <c r="A2347" s="3">
        <f>DATE(1996,2,14)</f>
        <v>35109</v>
      </c>
      <c r="B2347" s="3">
        <f>DATE(1996,6,10)</f>
        <v>35226</v>
      </c>
      <c r="C2347" s="2" t="s">
        <v>95</v>
      </c>
      <c r="D2347" s="2" t="s">
        <v>7537</v>
      </c>
      <c r="E2347" s="2" t="s">
        <v>7538</v>
      </c>
      <c r="F2347" s="4">
        <v>6162</v>
      </c>
      <c r="G2347" s="2" t="s">
        <v>109</v>
      </c>
      <c r="H2347" s="2" t="s">
        <v>34</v>
      </c>
      <c r="I2347" s="2" t="s">
        <v>7539</v>
      </c>
      <c r="J2347" s="2" t="s">
        <v>7540</v>
      </c>
      <c r="K2347" s="2" t="s">
        <v>109</v>
      </c>
      <c r="L2347" s="2" t="s">
        <v>34</v>
      </c>
      <c r="M2347" s="2"/>
      <c r="N2347" s="2"/>
      <c r="O2347" s="2"/>
      <c r="P2347" s="2" t="s">
        <v>7541</v>
      </c>
      <c r="Q2347" s="6">
        <v>100</v>
      </c>
      <c r="R2347" s="6">
        <v>0.61</v>
      </c>
      <c r="S2347" s="5">
        <v>-9.9</v>
      </c>
      <c r="T2347" s="7">
        <v>-12.664999999999999</v>
      </c>
      <c r="U2347" s="5">
        <v>2.4</v>
      </c>
      <c r="V2347" s="6">
        <v>-1.66</v>
      </c>
      <c r="W2347" s="4">
        <v>4</v>
      </c>
      <c r="X2347" s="6">
        <v>3.75</v>
      </c>
      <c r="Y2347" s="4">
        <v>4</v>
      </c>
      <c r="Z2347" s="7">
        <v>3.875</v>
      </c>
      <c r="AA2347" s="6">
        <v>5.96</v>
      </c>
      <c r="AB2347" s="2" t="s">
        <v>86</v>
      </c>
      <c r="AC2347" s="2"/>
    </row>
    <row r="2348" spans="1:29" ht="156" x14ac:dyDescent="0.15">
      <c r="A2348" s="3">
        <f>DATE(1996,2,14)</f>
        <v>35109</v>
      </c>
      <c r="B2348" s="3">
        <f>DATE(1996,3,20)</f>
        <v>35144</v>
      </c>
      <c r="C2348" s="2" t="s">
        <v>95</v>
      </c>
      <c r="D2348" s="2" t="s">
        <v>7542</v>
      </c>
      <c r="E2348" s="2" t="s">
        <v>7543</v>
      </c>
      <c r="F2348" s="4">
        <v>2844</v>
      </c>
      <c r="G2348" s="2" t="s">
        <v>358</v>
      </c>
      <c r="H2348" s="2" t="s">
        <v>34</v>
      </c>
      <c r="I2348" s="2" t="s">
        <v>7544</v>
      </c>
      <c r="J2348" s="2" t="s">
        <v>7545</v>
      </c>
      <c r="K2348" s="2" t="s">
        <v>577</v>
      </c>
      <c r="L2348" s="2" t="s">
        <v>2105</v>
      </c>
      <c r="M2348" s="2"/>
      <c r="N2348" s="2"/>
      <c r="O2348" s="2"/>
      <c r="P2348" s="2" t="s">
        <v>7546</v>
      </c>
      <c r="Q2348" s="6">
        <v>100</v>
      </c>
      <c r="R2348" s="6">
        <v>70</v>
      </c>
      <c r="S2348" s="5">
        <v>19.2</v>
      </c>
      <c r="T2348" s="7">
        <v>76.120999999999995</v>
      </c>
      <c r="U2348" s="5">
        <v>22.3</v>
      </c>
      <c r="V2348" s="6">
        <v>2.02</v>
      </c>
      <c r="W2348" s="6">
        <v>53.75</v>
      </c>
      <c r="X2348" s="4">
        <v>59</v>
      </c>
      <c r="Y2348" s="7">
        <v>69.375</v>
      </c>
      <c r="Z2348" s="7">
        <v>69.375</v>
      </c>
      <c r="AA2348" s="6">
        <v>9.9</v>
      </c>
      <c r="AB2348" s="7">
        <v>19.376000000000001</v>
      </c>
      <c r="AC2348" s="10">
        <v>2305.38</v>
      </c>
    </row>
    <row r="2349" spans="1:29" ht="91" x14ac:dyDescent="0.15">
      <c r="A2349" s="3">
        <f>DATE(1996,2,15)</f>
        <v>35110</v>
      </c>
      <c r="B2349" s="3">
        <f>DATE(1996,5,14)</f>
        <v>35199</v>
      </c>
      <c r="C2349" s="2" t="s">
        <v>95</v>
      </c>
      <c r="D2349" s="2" t="s">
        <v>7547</v>
      </c>
      <c r="E2349" s="2" t="s">
        <v>7548</v>
      </c>
      <c r="F2349" s="4">
        <v>3823</v>
      </c>
      <c r="G2349" s="2" t="s">
        <v>226</v>
      </c>
      <c r="H2349" s="2" t="s">
        <v>34</v>
      </c>
      <c r="I2349" s="2" t="s">
        <v>7549</v>
      </c>
      <c r="J2349" s="2" t="s">
        <v>386</v>
      </c>
      <c r="K2349" s="2" t="s">
        <v>53</v>
      </c>
      <c r="L2349" s="2" t="s">
        <v>34</v>
      </c>
      <c r="M2349" s="2"/>
      <c r="N2349" s="2"/>
      <c r="O2349" s="2"/>
      <c r="P2349" s="2" t="s">
        <v>7550</v>
      </c>
      <c r="Q2349" s="6">
        <v>100</v>
      </c>
      <c r="R2349" s="6">
        <v>18</v>
      </c>
      <c r="S2349" s="5">
        <v>2.9</v>
      </c>
      <c r="T2349" s="7">
        <v>4.1989999999999998</v>
      </c>
      <c r="U2349" s="5">
        <v>12.8</v>
      </c>
      <c r="V2349" s="6">
        <v>0.59</v>
      </c>
      <c r="W2349" s="5">
        <v>14.5</v>
      </c>
      <c r="X2349" s="5">
        <v>15.5</v>
      </c>
      <c r="Y2349" s="6">
        <v>18.25</v>
      </c>
      <c r="Z2349" s="6">
        <v>17.75</v>
      </c>
      <c r="AA2349" s="6">
        <v>4.8600000000000003</v>
      </c>
      <c r="AB2349" s="7">
        <v>30.32</v>
      </c>
      <c r="AC2349" s="2"/>
    </row>
    <row r="2350" spans="1:29" ht="143" x14ac:dyDescent="0.15">
      <c r="A2350" s="3">
        <f>DATE(1996,2,15)</f>
        <v>35110</v>
      </c>
      <c r="B2350" s="2"/>
      <c r="C2350" s="2" t="s">
        <v>30</v>
      </c>
      <c r="D2350" s="2" t="s">
        <v>7423</v>
      </c>
      <c r="E2350" s="2" t="s">
        <v>7424</v>
      </c>
      <c r="F2350" s="4">
        <v>6799</v>
      </c>
      <c r="G2350" s="2" t="s">
        <v>53</v>
      </c>
      <c r="H2350" s="2" t="s">
        <v>34</v>
      </c>
      <c r="I2350" s="2" t="s">
        <v>7551</v>
      </c>
      <c r="J2350" s="2" t="s">
        <v>7552</v>
      </c>
      <c r="K2350" s="2" t="s">
        <v>125</v>
      </c>
      <c r="L2350" s="2" t="s">
        <v>34</v>
      </c>
      <c r="M2350" s="5">
        <v>209.1</v>
      </c>
      <c r="N2350" s="6">
        <v>17.25</v>
      </c>
      <c r="O2350" s="6">
        <v>17.25</v>
      </c>
      <c r="P2350" s="2" t="s">
        <v>7553</v>
      </c>
      <c r="Q2350" s="2"/>
      <c r="R2350" s="6">
        <v>12</v>
      </c>
      <c r="S2350" s="5">
        <v>-22.3</v>
      </c>
      <c r="T2350" s="7">
        <v>-0.17599999999999999</v>
      </c>
      <c r="U2350" s="8">
        <v>2703.8</v>
      </c>
      <c r="V2350" s="6">
        <v>-1312.31</v>
      </c>
      <c r="W2350" s="5">
        <v>6.5</v>
      </c>
      <c r="X2350" s="7">
        <v>7.625</v>
      </c>
      <c r="Y2350" s="6">
        <v>7.75</v>
      </c>
      <c r="Z2350" s="5">
        <v>8.5</v>
      </c>
      <c r="AA2350" s="6">
        <v>4.76</v>
      </c>
      <c r="AB2350" s="2" t="s">
        <v>86</v>
      </c>
      <c r="AC2350" s="6">
        <v>47.43</v>
      </c>
    </row>
    <row r="2351" spans="1:29" ht="52" x14ac:dyDescent="0.15">
      <c r="A2351" s="3">
        <f>DATE(1996,2,15)</f>
        <v>35110</v>
      </c>
      <c r="B2351" s="3">
        <f>DATE(1996,4,29)</f>
        <v>35184</v>
      </c>
      <c r="C2351" s="2" t="s">
        <v>95</v>
      </c>
      <c r="D2351" s="2" t="s">
        <v>7473</v>
      </c>
      <c r="E2351" s="2" t="s">
        <v>7474</v>
      </c>
      <c r="F2351" s="4">
        <v>7377</v>
      </c>
      <c r="G2351" s="2" t="s">
        <v>223</v>
      </c>
      <c r="H2351" s="2" t="s">
        <v>34</v>
      </c>
      <c r="I2351" s="2" t="s">
        <v>3047</v>
      </c>
      <c r="J2351" s="2" t="s">
        <v>3048</v>
      </c>
      <c r="K2351" s="2" t="s">
        <v>37</v>
      </c>
      <c r="L2351" s="2" t="s">
        <v>34</v>
      </c>
      <c r="M2351" s="12">
        <v>17846.989000000001</v>
      </c>
      <c r="N2351" s="4">
        <v>74</v>
      </c>
      <c r="O2351" s="6">
        <v>73.25</v>
      </c>
      <c r="P2351" s="2" t="s">
        <v>7554</v>
      </c>
      <c r="Q2351" s="6">
        <v>100</v>
      </c>
      <c r="R2351" s="6">
        <v>4.0999999999999996</v>
      </c>
      <c r="S2351" s="5">
        <v>-19.899999999999999</v>
      </c>
      <c r="T2351" s="7">
        <v>15.807</v>
      </c>
      <c r="U2351" s="5">
        <v>7</v>
      </c>
      <c r="V2351" s="6">
        <v>-2.96</v>
      </c>
      <c r="W2351" s="7">
        <v>3.375</v>
      </c>
      <c r="X2351" s="7">
        <v>3.125</v>
      </c>
      <c r="Y2351" s="7">
        <v>3.875</v>
      </c>
      <c r="Z2351" s="7">
        <v>3.875</v>
      </c>
      <c r="AA2351" s="6">
        <v>6.85</v>
      </c>
      <c r="AB2351" s="2" t="s">
        <v>86</v>
      </c>
      <c r="AC2351" s="2"/>
    </row>
    <row r="2352" spans="1:29" ht="156" x14ac:dyDescent="0.15">
      <c r="A2352" s="3">
        <f>DATE(1996,2,16)</f>
        <v>35111</v>
      </c>
      <c r="B2352" s="3">
        <f>DATE(1996,5,30)</f>
        <v>35215</v>
      </c>
      <c r="C2352" s="2" t="s">
        <v>95</v>
      </c>
      <c r="D2352" s="2" t="s">
        <v>7555</v>
      </c>
      <c r="E2352" s="2" t="s">
        <v>1460</v>
      </c>
      <c r="F2352" s="4">
        <v>5411</v>
      </c>
      <c r="G2352" s="2" t="s">
        <v>1461</v>
      </c>
      <c r="H2352" s="2" t="s">
        <v>34</v>
      </c>
      <c r="I2352" s="2" t="s">
        <v>7556</v>
      </c>
      <c r="J2352" s="2" t="s">
        <v>7557</v>
      </c>
      <c r="K2352" s="2" t="s">
        <v>148</v>
      </c>
      <c r="L2352" s="2" t="s">
        <v>34</v>
      </c>
      <c r="M2352" s="12">
        <v>1403.8330000000001</v>
      </c>
      <c r="N2352" s="6">
        <v>43.25</v>
      </c>
      <c r="O2352" s="6">
        <v>43.25</v>
      </c>
      <c r="P2352" s="2" t="s">
        <v>7558</v>
      </c>
      <c r="Q2352" s="6">
        <v>100</v>
      </c>
      <c r="R2352" s="6">
        <v>30.81</v>
      </c>
      <c r="S2352" s="5">
        <v>34.5</v>
      </c>
      <c r="T2352" s="7">
        <v>158.58699999999999</v>
      </c>
      <c r="U2352" s="5">
        <v>11.8</v>
      </c>
      <c r="V2352" s="7">
        <v>1.504</v>
      </c>
      <c r="W2352" s="7">
        <v>21.625</v>
      </c>
      <c r="X2352" s="7">
        <v>21.125</v>
      </c>
      <c r="Y2352" s="7">
        <v>28.875</v>
      </c>
      <c r="Z2352" s="7">
        <v>28.875</v>
      </c>
      <c r="AA2352" s="6">
        <v>24.38</v>
      </c>
      <c r="AB2352" s="7">
        <v>10.753</v>
      </c>
      <c r="AC2352" s="6">
        <v>48.27</v>
      </c>
    </row>
    <row r="2353" spans="1:29" ht="130" x14ac:dyDescent="0.15">
      <c r="A2353" s="3">
        <f>DATE(1996,2,16)</f>
        <v>35111</v>
      </c>
      <c r="B2353" s="3">
        <f>DATE(1996,6,13)</f>
        <v>35229</v>
      </c>
      <c r="C2353" s="2" t="s">
        <v>95</v>
      </c>
      <c r="D2353" s="2" t="s">
        <v>3631</v>
      </c>
      <c r="E2353" s="2" t="s">
        <v>3632</v>
      </c>
      <c r="F2353" s="4">
        <v>8052</v>
      </c>
      <c r="G2353" s="2" t="s">
        <v>454</v>
      </c>
      <c r="H2353" s="2" t="s">
        <v>34</v>
      </c>
      <c r="I2353" s="2" t="s">
        <v>7559</v>
      </c>
      <c r="J2353" s="2" t="s">
        <v>7560</v>
      </c>
      <c r="K2353" s="2" t="s">
        <v>269</v>
      </c>
      <c r="L2353" s="2" t="s">
        <v>34</v>
      </c>
      <c r="M2353" s="2"/>
      <c r="N2353" s="2"/>
      <c r="O2353" s="2"/>
      <c r="P2353" s="2" t="s">
        <v>7561</v>
      </c>
      <c r="Q2353" s="6">
        <v>100</v>
      </c>
      <c r="R2353" s="6">
        <v>13</v>
      </c>
      <c r="S2353" s="5">
        <v>12.5</v>
      </c>
      <c r="T2353" s="7">
        <v>42.747</v>
      </c>
      <c r="U2353" s="5">
        <v>2.9</v>
      </c>
      <c r="V2353" s="6">
        <v>0.54</v>
      </c>
      <c r="W2353" s="4">
        <v>12</v>
      </c>
      <c r="X2353" s="5">
        <v>12.5</v>
      </c>
      <c r="Y2353" s="7">
        <v>12.625</v>
      </c>
      <c r="Z2353" s="7">
        <v>12.625</v>
      </c>
      <c r="AA2353" s="6">
        <v>22.54</v>
      </c>
      <c r="AB2353" s="7">
        <v>16.831</v>
      </c>
      <c r="AC2353" s="2"/>
    </row>
    <row r="2354" spans="1:29" ht="130" x14ac:dyDescent="0.15">
      <c r="A2354" s="3">
        <f>DATE(1996,2,20)</f>
        <v>35115</v>
      </c>
      <c r="B2354" s="3">
        <f>DATE(1997,3,2)</f>
        <v>35491</v>
      </c>
      <c r="C2354" s="2" t="s">
        <v>95</v>
      </c>
      <c r="D2354" s="2" t="s">
        <v>7562</v>
      </c>
      <c r="E2354" s="2" t="s">
        <v>7563</v>
      </c>
      <c r="F2354" s="4">
        <v>6141</v>
      </c>
      <c r="G2354" s="2" t="s">
        <v>370</v>
      </c>
      <c r="H2354" s="2" t="s">
        <v>34</v>
      </c>
      <c r="I2354" s="2" t="s">
        <v>51</v>
      </c>
      <c r="J2354" s="2" t="s">
        <v>52</v>
      </c>
      <c r="K2354" s="2" t="s">
        <v>53</v>
      </c>
      <c r="L2354" s="2" t="s">
        <v>34</v>
      </c>
      <c r="M2354" s="2"/>
      <c r="N2354" s="2"/>
      <c r="O2354" s="2"/>
      <c r="P2354" s="2" t="s">
        <v>7564</v>
      </c>
      <c r="Q2354" s="6">
        <v>50.7</v>
      </c>
      <c r="R2354" s="2"/>
      <c r="S2354" s="5">
        <v>1.3</v>
      </c>
      <c r="T2354" s="7">
        <v>4.3739999999999997</v>
      </c>
      <c r="U2354" s="5">
        <v>1.1000000000000001</v>
      </c>
      <c r="V2354" s="6">
        <v>0.1</v>
      </c>
      <c r="W2354" s="4">
        <v>7</v>
      </c>
      <c r="X2354" s="4">
        <v>7</v>
      </c>
      <c r="Y2354" s="4">
        <v>7</v>
      </c>
      <c r="Z2354" s="4">
        <v>7</v>
      </c>
      <c r="AA2354" s="6">
        <v>14.79</v>
      </c>
      <c r="AB2354" s="7">
        <v>18.847999999999999</v>
      </c>
      <c r="AC2354" s="2"/>
    </row>
    <row r="2355" spans="1:29" ht="39" x14ac:dyDescent="0.15">
      <c r="A2355" s="3">
        <f>DATE(1996,2,20)</f>
        <v>35115</v>
      </c>
      <c r="B2355" s="2"/>
      <c r="C2355" s="2" t="s">
        <v>30</v>
      </c>
      <c r="D2355" s="2" t="s">
        <v>7565</v>
      </c>
      <c r="E2355" s="2" t="s">
        <v>7566</v>
      </c>
      <c r="F2355" s="4">
        <v>5063</v>
      </c>
      <c r="G2355" s="2" t="s">
        <v>76</v>
      </c>
      <c r="H2355" s="2" t="s">
        <v>34</v>
      </c>
      <c r="I2355" s="2" t="s">
        <v>7567</v>
      </c>
      <c r="J2355" s="2" t="s">
        <v>7568</v>
      </c>
      <c r="K2355" s="2" t="s">
        <v>63</v>
      </c>
      <c r="L2355" s="2" t="s">
        <v>34</v>
      </c>
      <c r="M2355" s="7">
        <v>8.5510000000000002</v>
      </c>
      <c r="N2355" s="6">
        <v>5.25</v>
      </c>
      <c r="O2355" s="5">
        <v>5.5</v>
      </c>
      <c r="P2355" s="2" t="s">
        <v>7569</v>
      </c>
      <c r="Q2355" s="2"/>
      <c r="R2355" s="2"/>
      <c r="S2355" s="2"/>
      <c r="T2355" s="2"/>
      <c r="U2355" s="2"/>
      <c r="V2355" s="2"/>
      <c r="W2355" s="4">
        <v>3</v>
      </c>
      <c r="X2355" s="7">
        <v>2.875</v>
      </c>
      <c r="Y2355" s="6">
        <v>3.25</v>
      </c>
      <c r="Z2355" s="6">
        <v>3.25</v>
      </c>
      <c r="AA2355" s="2"/>
      <c r="AB2355" s="2" t="s">
        <v>47</v>
      </c>
      <c r="AC2355" s="6">
        <v>0.13</v>
      </c>
    </row>
    <row r="2356" spans="1:29" ht="156" x14ac:dyDescent="0.15">
      <c r="A2356" s="3">
        <f>DATE(1996,2,20)</f>
        <v>35115</v>
      </c>
      <c r="B2356" s="3">
        <f>DATE(1996,7,24)</f>
        <v>35270</v>
      </c>
      <c r="C2356" s="2" t="s">
        <v>95</v>
      </c>
      <c r="D2356" s="2" t="s">
        <v>7570</v>
      </c>
      <c r="E2356" s="2" t="s">
        <v>6545</v>
      </c>
      <c r="F2356" s="4">
        <v>7372</v>
      </c>
      <c r="G2356" s="2" t="s">
        <v>551</v>
      </c>
      <c r="H2356" s="2" t="s">
        <v>34</v>
      </c>
      <c r="I2356" s="2" t="s">
        <v>2373</v>
      </c>
      <c r="J2356" s="2" t="s">
        <v>268</v>
      </c>
      <c r="K2356" s="2" t="s">
        <v>269</v>
      </c>
      <c r="L2356" s="2" t="s">
        <v>34</v>
      </c>
      <c r="M2356" s="12">
        <v>7572.4880000000003</v>
      </c>
      <c r="N2356" s="6">
        <v>31.25</v>
      </c>
      <c r="O2356" s="7">
        <v>31.875</v>
      </c>
      <c r="P2356" s="2" t="s">
        <v>7571</v>
      </c>
      <c r="Q2356" s="6">
        <v>100</v>
      </c>
      <c r="R2356" s="6">
        <v>31.88</v>
      </c>
      <c r="S2356" s="5">
        <v>13.4</v>
      </c>
      <c r="T2356" s="7">
        <v>23.521000000000001</v>
      </c>
      <c r="U2356" s="5">
        <v>1.7</v>
      </c>
      <c r="V2356" s="7">
        <v>0.371</v>
      </c>
      <c r="W2356" s="4">
        <v>17</v>
      </c>
      <c r="X2356" s="5">
        <v>18.5</v>
      </c>
      <c r="Y2356" s="5">
        <v>24.5</v>
      </c>
      <c r="Z2356" s="7">
        <v>25.375</v>
      </c>
      <c r="AA2356" s="6">
        <v>34.97</v>
      </c>
      <c r="AB2356" s="7">
        <v>54.119</v>
      </c>
      <c r="AC2356" s="6">
        <v>269.99</v>
      </c>
    </row>
    <row r="2357" spans="1:29" ht="117" x14ac:dyDescent="0.15">
      <c r="A2357" s="3">
        <f>DATE(1996,2,20)</f>
        <v>35115</v>
      </c>
      <c r="B2357" s="3">
        <f>DATE(1996,7,24)</f>
        <v>35270</v>
      </c>
      <c r="C2357" s="2" t="s">
        <v>95</v>
      </c>
      <c r="D2357" s="2" t="s">
        <v>7572</v>
      </c>
      <c r="E2357" s="2" t="s">
        <v>7573</v>
      </c>
      <c r="F2357" s="4">
        <v>7372</v>
      </c>
      <c r="G2357" s="2" t="s">
        <v>551</v>
      </c>
      <c r="H2357" s="2" t="s">
        <v>34</v>
      </c>
      <c r="I2357" s="2" t="s">
        <v>2373</v>
      </c>
      <c r="J2357" s="2" t="s">
        <v>268</v>
      </c>
      <c r="K2357" s="2" t="s">
        <v>269</v>
      </c>
      <c r="L2357" s="2" t="s">
        <v>34</v>
      </c>
      <c r="M2357" s="12">
        <v>6311.933</v>
      </c>
      <c r="N2357" s="6">
        <v>31.25</v>
      </c>
      <c r="O2357" s="7">
        <v>31.875</v>
      </c>
      <c r="P2357" s="2" t="s">
        <v>7574</v>
      </c>
      <c r="Q2357" s="6">
        <v>100</v>
      </c>
      <c r="R2357" s="6">
        <v>45.93</v>
      </c>
      <c r="S2357" s="5">
        <v>16.399999999999999</v>
      </c>
      <c r="T2357" s="7">
        <v>28.542999999999999</v>
      </c>
      <c r="U2357" s="5">
        <v>5.6</v>
      </c>
      <c r="V2357" s="6">
        <v>0.92</v>
      </c>
      <c r="W2357" s="6">
        <v>26.75</v>
      </c>
      <c r="X2357" s="7">
        <v>27.125</v>
      </c>
      <c r="Y2357" s="5">
        <v>34.5</v>
      </c>
      <c r="Z2357" s="4">
        <v>36</v>
      </c>
      <c r="AA2357" s="6">
        <v>18.63</v>
      </c>
      <c r="AB2357" s="7">
        <v>43.040999999999997</v>
      </c>
      <c r="AC2357" s="6">
        <v>269.99</v>
      </c>
    </row>
    <row r="2358" spans="1:29" ht="143" x14ac:dyDescent="0.15">
      <c r="A2358" s="3">
        <f>DATE(1996,2,21)</f>
        <v>35116</v>
      </c>
      <c r="B2358" s="3">
        <f>DATE(1996,3,29)</f>
        <v>35153</v>
      </c>
      <c r="C2358" s="2" t="s">
        <v>95</v>
      </c>
      <c r="D2358" s="2" t="s">
        <v>7575</v>
      </c>
      <c r="E2358" s="2" t="s">
        <v>7576</v>
      </c>
      <c r="F2358" s="4">
        <v>5093</v>
      </c>
      <c r="G2358" s="2" t="s">
        <v>76</v>
      </c>
      <c r="H2358" s="2" t="s">
        <v>34</v>
      </c>
      <c r="I2358" s="2" t="s">
        <v>7577</v>
      </c>
      <c r="J2358" s="2" t="s">
        <v>244</v>
      </c>
      <c r="K2358" s="2" t="s">
        <v>53</v>
      </c>
      <c r="L2358" s="2" t="s">
        <v>34</v>
      </c>
      <c r="M2358" s="2"/>
      <c r="N2358" s="2"/>
      <c r="O2358" s="2"/>
      <c r="P2358" s="2" t="s">
        <v>7578</v>
      </c>
      <c r="Q2358" s="2"/>
      <c r="R2358" s="2"/>
      <c r="S2358" s="5">
        <v>-15.8</v>
      </c>
      <c r="T2358" s="7">
        <v>0.72499999999999998</v>
      </c>
      <c r="U2358" s="5">
        <v>1.7</v>
      </c>
      <c r="V2358" s="7">
        <v>-1.893</v>
      </c>
      <c r="W2358" s="9">
        <v>1.6875</v>
      </c>
      <c r="X2358" s="9">
        <v>1.6875</v>
      </c>
      <c r="Y2358" s="6">
        <v>1.75</v>
      </c>
      <c r="Z2358" s="9">
        <v>2.5625</v>
      </c>
      <c r="AA2358" s="6">
        <v>8.3000000000000007</v>
      </c>
      <c r="AB2358" s="2" t="s">
        <v>86</v>
      </c>
      <c r="AC2358" s="2"/>
    </row>
    <row r="2359" spans="1:29" ht="156" x14ac:dyDescent="0.15">
      <c r="A2359" s="3">
        <f>DATE(1996,2,23)</f>
        <v>35118</v>
      </c>
      <c r="B2359" s="3">
        <f>DATE(1996,7,1)</f>
        <v>35247</v>
      </c>
      <c r="C2359" s="2" t="s">
        <v>95</v>
      </c>
      <c r="D2359" s="2" t="s">
        <v>2017</v>
      </c>
      <c r="E2359" s="2" t="s">
        <v>2018</v>
      </c>
      <c r="F2359" s="4">
        <v>3571</v>
      </c>
      <c r="G2359" s="2" t="s">
        <v>50</v>
      </c>
      <c r="H2359" s="2" t="s">
        <v>34</v>
      </c>
      <c r="I2359" s="2" t="s">
        <v>1709</v>
      </c>
      <c r="J2359" s="2" t="s">
        <v>1710</v>
      </c>
      <c r="K2359" s="2" t="s">
        <v>50</v>
      </c>
      <c r="L2359" s="2" t="s">
        <v>34</v>
      </c>
      <c r="M2359" s="12">
        <v>4401.2780000000002</v>
      </c>
      <c r="N2359" s="5">
        <v>27.5</v>
      </c>
      <c r="O2359" s="7">
        <v>25.375</v>
      </c>
      <c r="P2359" s="2" t="s">
        <v>7579</v>
      </c>
      <c r="Q2359" s="6">
        <v>100</v>
      </c>
      <c r="R2359" s="6">
        <v>30</v>
      </c>
      <c r="S2359" s="5">
        <v>-226.4</v>
      </c>
      <c r="T2359" s="7">
        <v>88.588999999999999</v>
      </c>
      <c r="U2359" s="5">
        <v>23.7</v>
      </c>
      <c r="V2359" s="6">
        <v>-8.9499999999999993</v>
      </c>
      <c r="W2359" s="6">
        <v>24.75</v>
      </c>
      <c r="X2359" s="6">
        <v>25.25</v>
      </c>
      <c r="Y2359" s="6">
        <v>25.25</v>
      </c>
      <c r="Z2359" s="5">
        <v>28.5</v>
      </c>
      <c r="AA2359" s="6">
        <v>25.62</v>
      </c>
      <c r="AB2359" s="2" t="s">
        <v>86</v>
      </c>
      <c r="AC2359" s="6">
        <v>515.97</v>
      </c>
    </row>
    <row r="2360" spans="1:29" ht="78" x14ac:dyDescent="0.15">
      <c r="A2360" s="3">
        <f>DATE(1996,2,23)</f>
        <v>35118</v>
      </c>
      <c r="B2360" s="2"/>
      <c r="C2360" s="2" t="s">
        <v>30</v>
      </c>
      <c r="D2360" s="2" t="s">
        <v>7464</v>
      </c>
      <c r="E2360" s="2" t="s">
        <v>7465</v>
      </c>
      <c r="F2360" s="4">
        <v>3579</v>
      </c>
      <c r="G2360" s="2" t="s">
        <v>50</v>
      </c>
      <c r="H2360" s="2" t="s">
        <v>34</v>
      </c>
      <c r="I2360" s="2" t="s">
        <v>51</v>
      </c>
      <c r="J2360" s="2" t="s">
        <v>52</v>
      </c>
      <c r="K2360" s="2" t="s">
        <v>53</v>
      </c>
      <c r="L2360" s="2" t="s">
        <v>34</v>
      </c>
      <c r="M2360" s="2"/>
      <c r="N2360" s="2"/>
      <c r="O2360" s="2"/>
      <c r="P2360" s="2" t="s">
        <v>7580</v>
      </c>
      <c r="Q2360" s="2"/>
      <c r="R2360" s="2"/>
      <c r="S2360" s="5">
        <v>0.5</v>
      </c>
      <c r="T2360" s="7">
        <v>2.7549999999999999</v>
      </c>
      <c r="U2360" s="5">
        <v>8</v>
      </c>
      <c r="V2360" s="6">
        <v>0.23</v>
      </c>
      <c r="W2360" s="6">
        <v>9.75</v>
      </c>
      <c r="X2360" s="6">
        <v>9.75</v>
      </c>
      <c r="Y2360" s="7">
        <v>9.875</v>
      </c>
      <c r="Z2360" s="7">
        <v>12.625</v>
      </c>
      <c r="AA2360" s="6">
        <v>2.3199999999999998</v>
      </c>
      <c r="AB2360" s="2" t="s">
        <v>47</v>
      </c>
      <c r="AC2360" s="2"/>
    </row>
    <row r="2361" spans="1:29" ht="130" x14ac:dyDescent="0.15">
      <c r="A2361" s="3">
        <f>DATE(1996,2,26)</f>
        <v>35121</v>
      </c>
      <c r="B2361" s="3">
        <f>DATE(1996,9,16)</f>
        <v>35324</v>
      </c>
      <c r="C2361" s="2" t="s">
        <v>95</v>
      </c>
      <c r="D2361" s="2" t="s">
        <v>7581</v>
      </c>
      <c r="E2361" s="2" t="s">
        <v>7582</v>
      </c>
      <c r="F2361" s="4">
        <v>3842</v>
      </c>
      <c r="G2361" s="2" t="s">
        <v>226</v>
      </c>
      <c r="H2361" s="2" t="s">
        <v>34</v>
      </c>
      <c r="I2361" s="2" t="s">
        <v>5082</v>
      </c>
      <c r="J2361" s="2" t="s">
        <v>563</v>
      </c>
      <c r="K2361" s="2" t="s">
        <v>226</v>
      </c>
      <c r="L2361" s="2" t="s">
        <v>34</v>
      </c>
      <c r="M2361" s="6">
        <v>161.85</v>
      </c>
      <c r="N2361" s="7">
        <v>18.875</v>
      </c>
      <c r="O2361" s="5">
        <v>19.5</v>
      </c>
      <c r="P2361" s="2" t="s">
        <v>7583</v>
      </c>
      <c r="Q2361" s="6">
        <v>100</v>
      </c>
      <c r="R2361" s="6">
        <v>20</v>
      </c>
      <c r="S2361" s="5">
        <v>6.6</v>
      </c>
      <c r="T2361" s="7">
        <v>14.803000000000001</v>
      </c>
      <c r="U2361" s="5">
        <v>6.5</v>
      </c>
      <c r="V2361" s="7">
        <v>1.2010000000000001</v>
      </c>
      <c r="W2361" s="5">
        <v>12.5</v>
      </c>
      <c r="X2361" s="4">
        <v>13</v>
      </c>
      <c r="Y2361" s="6">
        <v>16.75</v>
      </c>
      <c r="Z2361" s="7">
        <v>16.875</v>
      </c>
      <c r="AA2361" s="6">
        <v>5.53</v>
      </c>
      <c r="AB2361" s="7">
        <v>11.967000000000001</v>
      </c>
      <c r="AC2361" s="6">
        <v>5.07</v>
      </c>
    </row>
    <row r="2362" spans="1:29" ht="143" x14ac:dyDescent="0.15">
      <c r="A2362" s="3">
        <f>DATE(1996,2,26)</f>
        <v>35121</v>
      </c>
      <c r="B2362" s="3">
        <f>DATE(1996,6,18)</f>
        <v>35234</v>
      </c>
      <c r="C2362" s="2" t="s">
        <v>95</v>
      </c>
      <c r="D2362" s="2" t="s">
        <v>7584</v>
      </c>
      <c r="E2362" s="2" t="s">
        <v>177</v>
      </c>
      <c r="F2362" s="4">
        <v>1311</v>
      </c>
      <c r="G2362" s="2" t="s">
        <v>148</v>
      </c>
      <c r="H2362" s="2" t="s">
        <v>34</v>
      </c>
      <c r="I2362" s="2" t="s">
        <v>7585</v>
      </c>
      <c r="J2362" s="2" t="s">
        <v>612</v>
      </c>
      <c r="K2362" s="2" t="s">
        <v>148</v>
      </c>
      <c r="L2362" s="2" t="s">
        <v>34</v>
      </c>
      <c r="M2362" s="7">
        <v>141.49700000000001</v>
      </c>
      <c r="N2362" s="7">
        <v>10.875</v>
      </c>
      <c r="O2362" s="5">
        <v>10.5</v>
      </c>
      <c r="P2362" s="2" t="s">
        <v>7586</v>
      </c>
      <c r="Q2362" s="6">
        <v>100</v>
      </c>
      <c r="R2362" s="6">
        <v>15.91</v>
      </c>
      <c r="S2362" s="5">
        <v>6.7</v>
      </c>
      <c r="T2362" s="7">
        <v>23.972000000000001</v>
      </c>
      <c r="U2362" s="5">
        <v>7.6</v>
      </c>
      <c r="V2362" s="7">
        <v>0.67400000000000004</v>
      </c>
      <c r="W2362" s="7">
        <v>3.9380000000000002</v>
      </c>
      <c r="X2362" s="7">
        <v>3.9380000000000002</v>
      </c>
      <c r="Y2362" s="7">
        <v>3.9380000000000002</v>
      </c>
      <c r="Z2362" s="7">
        <v>3.9380000000000002</v>
      </c>
      <c r="AA2362" s="6">
        <v>9.7899999999999991</v>
      </c>
      <c r="AB2362" s="7">
        <v>15.833</v>
      </c>
      <c r="AC2362" s="6">
        <v>0.12</v>
      </c>
    </row>
    <row r="2363" spans="1:29" ht="169" x14ac:dyDescent="0.15">
      <c r="A2363" s="3">
        <f>DATE(1996,2,27)</f>
        <v>35122</v>
      </c>
      <c r="B2363" s="3">
        <f>DATE(1996,5,24)</f>
        <v>35209</v>
      </c>
      <c r="C2363" s="2" t="s">
        <v>95</v>
      </c>
      <c r="D2363" s="2" t="s">
        <v>7587</v>
      </c>
      <c r="E2363" s="2" t="s">
        <v>7588</v>
      </c>
      <c r="F2363" s="4">
        <v>7363</v>
      </c>
      <c r="G2363" s="2" t="s">
        <v>223</v>
      </c>
      <c r="H2363" s="2" t="s">
        <v>34</v>
      </c>
      <c r="I2363" s="2" t="s">
        <v>7589</v>
      </c>
      <c r="J2363" s="2" t="s">
        <v>7590</v>
      </c>
      <c r="K2363" s="2" t="s">
        <v>223</v>
      </c>
      <c r="L2363" s="2" t="s">
        <v>34</v>
      </c>
      <c r="M2363" s="7">
        <v>477.846</v>
      </c>
      <c r="N2363" s="6">
        <v>40.75</v>
      </c>
      <c r="O2363" s="7">
        <v>39.625</v>
      </c>
      <c r="P2363" s="2" t="s">
        <v>7591</v>
      </c>
      <c r="Q2363" s="6">
        <v>100</v>
      </c>
      <c r="R2363" s="6">
        <v>35.200000000000003</v>
      </c>
      <c r="S2363" s="5">
        <v>6.2</v>
      </c>
      <c r="T2363" s="7">
        <v>10.484</v>
      </c>
      <c r="U2363" s="5">
        <v>6.8</v>
      </c>
      <c r="V2363" s="7">
        <v>1.3620000000000001</v>
      </c>
      <c r="W2363" s="6">
        <v>25.25</v>
      </c>
      <c r="X2363" s="7">
        <v>26.625</v>
      </c>
      <c r="Y2363" s="5">
        <v>26.5</v>
      </c>
      <c r="Z2363" s="5">
        <v>34.5</v>
      </c>
      <c r="AA2363" s="6">
        <v>4.4000000000000004</v>
      </c>
      <c r="AB2363" s="7">
        <v>16.984999999999999</v>
      </c>
      <c r="AC2363" s="5">
        <v>2.1</v>
      </c>
    </row>
    <row r="2364" spans="1:29" ht="182" x14ac:dyDescent="0.15">
      <c r="A2364" s="3">
        <f>DATE(1996,2,27)</f>
        <v>35122</v>
      </c>
      <c r="B2364" s="3">
        <f>DATE(1996,6,27)</f>
        <v>35243</v>
      </c>
      <c r="C2364" s="2" t="s">
        <v>95</v>
      </c>
      <c r="D2364" s="2" t="s">
        <v>7592</v>
      </c>
      <c r="E2364" s="2" t="s">
        <v>7593</v>
      </c>
      <c r="F2364" s="4">
        <v>8071</v>
      </c>
      <c r="G2364" s="2" t="s">
        <v>454</v>
      </c>
      <c r="H2364" s="2" t="s">
        <v>34</v>
      </c>
      <c r="I2364" s="2" t="s">
        <v>7594</v>
      </c>
      <c r="J2364" s="2" t="s">
        <v>7595</v>
      </c>
      <c r="K2364" s="2" t="s">
        <v>454</v>
      </c>
      <c r="L2364" s="2" t="s">
        <v>34</v>
      </c>
      <c r="M2364" s="2"/>
      <c r="N2364" s="2"/>
      <c r="O2364" s="2"/>
      <c r="P2364" s="2" t="s">
        <v>7596</v>
      </c>
      <c r="Q2364" s="6">
        <v>100</v>
      </c>
      <c r="R2364" s="2"/>
      <c r="S2364" s="2"/>
      <c r="T2364" s="2"/>
      <c r="U2364" s="2"/>
      <c r="V2364" s="2"/>
      <c r="W2364" s="7">
        <v>0.875</v>
      </c>
      <c r="X2364" s="7">
        <v>1.3129999999999999</v>
      </c>
      <c r="Y2364" s="6">
        <v>1.75</v>
      </c>
      <c r="Z2364" s="6">
        <v>1.75</v>
      </c>
      <c r="AA2364" s="2"/>
      <c r="AB2364" s="2" t="s">
        <v>47</v>
      </c>
      <c r="AC2364" s="2"/>
    </row>
    <row r="2365" spans="1:29" ht="117" x14ac:dyDescent="0.15">
      <c r="A2365" s="3">
        <f>DATE(1996,2,28)</f>
        <v>35123</v>
      </c>
      <c r="B2365" s="3">
        <f>DATE(1996,7,11)</f>
        <v>35257</v>
      </c>
      <c r="C2365" s="2" t="s">
        <v>95</v>
      </c>
      <c r="D2365" s="2" t="s">
        <v>7597</v>
      </c>
      <c r="E2365" s="2" t="s">
        <v>7598</v>
      </c>
      <c r="F2365" s="4">
        <v>3634</v>
      </c>
      <c r="G2365" s="2" t="s">
        <v>137</v>
      </c>
      <c r="H2365" s="2" t="s">
        <v>34</v>
      </c>
      <c r="I2365" s="2" t="s">
        <v>7599</v>
      </c>
      <c r="J2365" s="2" t="s">
        <v>7600</v>
      </c>
      <c r="K2365" s="2" t="s">
        <v>137</v>
      </c>
      <c r="L2365" s="2" t="s">
        <v>34</v>
      </c>
      <c r="M2365" s="7">
        <v>119.47199999999999</v>
      </c>
      <c r="N2365" s="6">
        <v>9.75</v>
      </c>
      <c r="O2365" s="4">
        <v>10</v>
      </c>
      <c r="P2365" s="2" t="s">
        <v>7601</v>
      </c>
      <c r="Q2365" s="6">
        <v>50</v>
      </c>
      <c r="R2365" s="6">
        <v>3.24</v>
      </c>
      <c r="S2365" s="5">
        <v>0.7</v>
      </c>
      <c r="T2365" s="7">
        <v>5.7140000000000004</v>
      </c>
      <c r="U2365" s="5">
        <v>1.6</v>
      </c>
      <c r="V2365" s="9">
        <v>-0.12670000000000001</v>
      </c>
      <c r="W2365" s="7">
        <v>2.875</v>
      </c>
      <c r="X2365" s="6">
        <v>3.25</v>
      </c>
      <c r="Y2365" s="7">
        <v>3.375</v>
      </c>
      <c r="Z2365" s="7">
        <v>3.125</v>
      </c>
      <c r="AA2365" s="6">
        <v>13.02</v>
      </c>
      <c r="AB2365" s="7">
        <v>13.792999999999999</v>
      </c>
      <c r="AC2365" s="6">
        <v>17.77</v>
      </c>
    </row>
    <row r="2366" spans="1:29" ht="130" x14ac:dyDescent="0.15">
      <c r="A2366" s="3">
        <f>DATE(1996,2,29)</f>
        <v>35124</v>
      </c>
      <c r="B2366" s="3">
        <f>DATE(1996,7,10)</f>
        <v>35256</v>
      </c>
      <c r="C2366" s="2" t="s">
        <v>95</v>
      </c>
      <c r="D2366" s="2" t="s">
        <v>2626</v>
      </c>
      <c r="E2366" s="2" t="s">
        <v>2627</v>
      </c>
      <c r="F2366" s="4">
        <v>5531</v>
      </c>
      <c r="G2366" s="2" t="s">
        <v>73</v>
      </c>
      <c r="H2366" s="2" t="s">
        <v>34</v>
      </c>
      <c r="I2366" s="2" t="s">
        <v>7602</v>
      </c>
      <c r="J2366" s="2" t="s">
        <v>7603</v>
      </c>
      <c r="K2366" s="2" t="s">
        <v>447</v>
      </c>
      <c r="L2366" s="2" t="s">
        <v>34</v>
      </c>
      <c r="M2366" s="7">
        <v>166.488</v>
      </c>
      <c r="N2366" s="7">
        <v>7.125</v>
      </c>
      <c r="O2366" s="6">
        <v>6.75</v>
      </c>
      <c r="P2366" s="2" t="s">
        <v>7604</v>
      </c>
      <c r="Q2366" s="6">
        <v>100</v>
      </c>
      <c r="R2366" s="6">
        <v>16.5</v>
      </c>
      <c r="S2366" s="5">
        <v>2.7</v>
      </c>
      <c r="T2366" s="7">
        <v>9.5540000000000003</v>
      </c>
      <c r="U2366" s="5">
        <v>10.6</v>
      </c>
      <c r="V2366" s="6">
        <v>0.8</v>
      </c>
      <c r="W2366" s="7">
        <v>15.375</v>
      </c>
      <c r="X2366" s="7">
        <v>15.625</v>
      </c>
      <c r="Y2366" s="4">
        <v>16</v>
      </c>
      <c r="Z2366" s="5">
        <v>15.5</v>
      </c>
      <c r="AA2366" s="6">
        <v>3.32</v>
      </c>
      <c r="AB2366" s="7">
        <v>8.5809999999999995</v>
      </c>
      <c r="AC2366" s="2"/>
    </row>
    <row r="2367" spans="1:29" ht="52" x14ac:dyDescent="0.15">
      <c r="A2367" s="3">
        <f>DATE(1996,3,4)</f>
        <v>35128</v>
      </c>
      <c r="B2367" s="2"/>
      <c r="C2367" s="2" t="s">
        <v>141</v>
      </c>
      <c r="D2367" s="2" t="s">
        <v>4665</v>
      </c>
      <c r="E2367" s="2" t="s">
        <v>612</v>
      </c>
      <c r="F2367" s="4">
        <v>1311</v>
      </c>
      <c r="G2367" s="2" t="s">
        <v>148</v>
      </c>
      <c r="H2367" s="2" t="s">
        <v>34</v>
      </c>
      <c r="I2367" s="2" t="s">
        <v>143</v>
      </c>
      <c r="J2367" s="2" t="s">
        <v>144</v>
      </c>
      <c r="K2367" s="2" t="s">
        <v>53</v>
      </c>
      <c r="L2367" s="2" t="s">
        <v>139</v>
      </c>
      <c r="M2367" s="2"/>
      <c r="N2367" s="2"/>
      <c r="O2367" s="2"/>
      <c r="P2367" s="2" t="s">
        <v>7605</v>
      </c>
      <c r="Q2367" s="2"/>
      <c r="R2367" s="2"/>
      <c r="S2367" s="5">
        <v>5.4</v>
      </c>
      <c r="T2367" s="7">
        <v>23.283999999999999</v>
      </c>
      <c r="U2367" s="5">
        <v>3.9</v>
      </c>
      <c r="V2367" s="6">
        <v>0.26</v>
      </c>
      <c r="W2367" s="4">
        <v>12</v>
      </c>
      <c r="X2367" s="7">
        <v>12.625</v>
      </c>
      <c r="Y2367" s="4">
        <v>13</v>
      </c>
      <c r="Z2367" s="4">
        <v>13</v>
      </c>
      <c r="AA2367" s="6">
        <v>3.26</v>
      </c>
      <c r="AB2367" s="2" t="s">
        <v>47</v>
      </c>
      <c r="AC2367" s="2"/>
    </row>
    <row r="2368" spans="1:29" ht="130" x14ac:dyDescent="0.15">
      <c r="A2368" s="3">
        <f>DATE(1996,3,4)</f>
        <v>35128</v>
      </c>
      <c r="B2368" s="3">
        <f>DATE(1996,11,21)</f>
        <v>35390</v>
      </c>
      <c r="C2368" s="2" t="s">
        <v>95</v>
      </c>
      <c r="D2368" s="2" t="s">
        <v>7606</v>
      </c>
      <c r="E2368" s="2" t="s">
        <v>7607</v>
      </c>
      <c r="F2368" s="4">
        <v>6331</v>
      </c>
      <c r="G2368" s="2" t="s">
        <v>125</v>
      </c>
      <c r="H2368" s="2" t="s">
        <v>34</v>
      </c>
      <c r="I2368" s="2" t="s">
        <v>7608</v>
      </c>
      <c r="J2368" s="2" t="s">
        <v>3373</v>
      </c>
      <c r="K2368" s="2" t="s">
        <v>125</v>
      </c>
      <c r="L2368" s="2" t="s">
        <v>34</v>
      </c>
      <c r="M2368" s="7">
        <v>23.936</v>
      </c>
      <c r="N2368" s="7">
        <v>4.625</v>
      </c>
      <c r="O2368" s="11">
        <v>4.578125</v>
      </c>
      <c r="P2368" s="2" t="s">
        <v>7609</v>
      </c>
      <c r="Q2368" s="6">
        <v>100</v>
      </c>
      <c r="R2368" s="6">
        <v>20.04</v>
      </c>
      <c r="S2368" s="5">
        <v>0.9</v>
      </c>
      <c r="T2368" s="2"/>
      <c r="U2368" s="5">
        <v>35.200000000000003</v>
      </c>
      <c r="V2368" s="6">
        <v>3.75</v>
      </c>
      <c r="W2368" s="4">
        <v>29</v>
      </c>
      <c r="X2368" s="6">
        <v>27.25</v>
      </c>
      <c r="Y2368" s="6">
        <v>26.25</v>
      </c>
      <c r="Z2368" s="6">
        <v>26.25</v>
      </c>
      <c r="AA2368" s="6">
        <v>5.21</v>
      </c>
      <c r="AB2368" s="2" t="s">
        <v>47</v>
      </c>
      <c r="AC2368" s="2"/>
    </row>
    <row r="2369" spans="1:29" ht="65" x14ac:dyDescent="0.15">
      <c r="A2369" s="3">
        <f>DATE(1996,3,4)</f>
        <v>35128</v>
      </c>
      <c r="B2369" s="2"/>
      <c r="C2369" s="2" t="s">
        <v>56</v>
      </c>
      <c r="D2369" s="2" t="s">
        <v>7610</v>
      </c>
      <c r="E2369" s="2" t="s">
        <v>36</v>
      </c>
      <c r="F2369" s="4">
        <v>6036</v>
      </c>
      <c r="G2369" s="2" t="s">
        <v>33</v>
      </c>
      <c r="H2369" s="2" t="s">
        <v>34</v>
      </c>
      <c r="I2369" s="2" t="s">
        <v>7611</v>
      </c>
      <c r="J2369" s="2" t="s">
        <v>36</v>
      </c>
      <c r="K2369" s="2" t="s">
        <v>37</v>
      </c>
      <c r="L2369" s="2" t="s">
        <v>34</v>
      </c>
      <c r="M2369" s="2"/>
      <c r="N2369" s="2"/>
      <c r="O2369" s="2"/>
      <c r="P2369" s="2" t="s">
        <v>7612</v>
      </c>
      <c r="Q2369" s="2"/>
      <c r="R2369" s="2"/>
      <c r="S2369" s="5">
        <v>5.8</v>
      </c>
      <c r="T2369" s="2"/>
      <c r="U2369" s="5">
        <v>12.1</v>
      </c>
      <c r="V2369" s="7">
        <v>1.028</v>
      </c>
      <c r="W2369" s="7">
        <v>14.968999999999999</v>
      </c>
      <c r="X2369" s="4">
        <v>15</v>
      </c>
      <c r="Y2369" s="6">
        <v>14.75</v>
      </c>
      <c r="Z2369" s="7">
        <v>14.875</v>
      </c>
      <c r="AA2369" s="6">
        <v>5.62</v>
      </c>
      <c r="AB2369" s="2" t="s">
        <v>47</v>
      </c>
      <c r="AC2369" s="2"/>
    </row>
    <row r="2370" spans="1:29" ht="104" x14ac:dyDescent="0.15">
      <c r="A2370" s="3">
        <f>DATE(1996,3,4)</f>
        <v>35128</v>
      </c>
      <c r="B2370" s="3">
        <f>DATE(1996,6,27)</f>
        <v>35243</v>
      </c>
      <c r="C2370" s="2" t="s">
        <v>95</v>
      </c>
      <c r="D2370" s="2" t="s">
        <v>7613</v>
      </c>
      <c r="E2370" s="2" t="s">
        <v>7614</v>
      </c>
      <c r="F2370" s="4">
        <v>4225</v>
      </c>
      <c r="G2370" s="2" t="s">
        <v>173</v>
      </c>
      <c r="H2370" s="2" t="s">
        <v>34</v>
      </c>
      <c r="I2370" s="2" t="s">
        <v>7163</v>
      </c>
      <c r="J2370" s="2" t="s">
        <v>2044</v>
      </c>
      <c r="K2370" s="2" t="s">
        <v>53</v>
      </c>
      <c r="L2370" s="2" t="s">
        <v>34</v>
      </c>
      <c r="M2370" s="7">
        <v>851.37099999999998</v>
      </c>
      <c r="N2370" s="7">
        <v>21.875</v>
      </c>
      <c r="O2370" s="7">
        <v>21.875</v>
      </c>
      <c r="P2370" s="2" t="s">
        <v>7615</v>
      </c>
      <c r="Q2370" s="6">
        <v>92.62</v>
      </c>
      <c r="R2370" s="6">
        <v>7.35</v>
      </c>
      <c r="S2370" s="5">
        <v>89.5</v>
      </c>
      <c r="T2370" s="7">
        <v>154.62899999999999</v>
      </c>
      <c r="U2370" s="5">
        <v>13.7</v>
      </c>
      <c r="V2370" s="7">
        <v>0.95799999999999996</v>
      </c>
      <c r="W2370" s="7">
        <v>6.3129999999999997</v>
      </c>
      <c r="X2370" s="7">
        <v>6.625</v>
      </c>
      <c r="Y2370" s="7">
        <v>6.875</v>
      </c>
      <c r="Z2370" s="4">
        <v>7</v>
      </c>
      <c r="AA2370" s="6">
        <v>3.35</v>
      </c>
      <c r="AB2370" s="7">
        <v>12.808999999999999</v>
      </c>
      <c r="AC2370" s="6">
        <v>80.44</v>
      </c>
    </row>
    <row r="2371" spans="1:29" ht="26" x14ac:dyDescent="0.15">
      <c r="A2371" s="3">
        <f>DATE(1996,3,5)</f>
        <v>35129</v>
      </c>
      <c r="B2371" s="2"/>
      <c r="C2371" s="2" t="s">
        <v>30</v>
      </c>
      <c r="D2371" s="2" t="s">
        <v>255</v>
      </c>
      <c r="E2371" s="2" t="s">
        <v>256</v>
      </c>
      <c r="F2371" s="4">
        <v>2821</v>
      </c>
      <c r="G2371" s="2" t="s">
        <v>98</v>
      </c>
      <c r="H2371" s="2" t="s">
        <v>34</v>
      </c>
      <c r="I2371" s="2" t="s">
        <v>7616</v>
      </c>
      <c r="J2371" s="2" t="s">
        <v>7617</v>
      </c>
      <c r="K2371" s="2" t="s">
        <v>98</v>
      </c>
      <c r="L2371" s="2" t="s">
        <v>34</v>
      </c>
      <c r="M2371" s="12">
        <v>6158.3760000000002</v>
      </c>
      <c r="N2371" s="4">
        <v>62</v>
      </c>
      <c r="O2371" s="4">
        <v>63</v>
      </c>
      <c r="P2371" s="2" t="s">
        <v>7618</v>
      </c>
      <c r="Q2371" s="2"/>
      <c r="R2371" s="2"/>
      <c r="S2371" s="5">
        <v>-196.6</v>
      </c>
      <c r="T2371" s="5">
        <v>357.8</v>
      </c>
      <c r="U2371" s="5">
        <v>12.6</v>
      </c>
      <c r="V2371" s="6">
        <v>-3.4</v>
      </c>
      <c r="W2371" s="5">
        <v>68.5</v>
      </c>
      <c r="X2371" s="7">
        <v>68.625</v>
      </c>
      <c r="Y2371" s="7">
        <v>77.625</v>
      </c>
      <c r="Z2371" s="4">
        <v>81</v>
      </c>
      <c r="AA2371" s="6">
        <v>97.3</v>
      </c>
      <c r="AB2371" s="2" t="s">
        <v>47</v>
      </c>
      <c r="AC2371" s="6">
        <v>72.94</v>
      </c>
    </row>
    <row r="2372" spans="1:29" ht="39" x14ac:dyDescent="0.15">
      <c r="A2372" s="3">
        <f>DATE(1996,3,6)</f>
        <v>35130</v>
      </c>
      <c r="B2372" s="2"/>
      <c r="C2372" s="2" t="s">
        <v>189</v>
      </c>
      <c r="D2372" s="2" t="s">
        <v>7619</v>
      </c>
      <c r="E2372" s="2" t="s">
        <v>612</v>
      </c>
      <c r="F2372" s="4">
        <v>1311</v>
      </c>
      <c r="G2372" s="2" t="s">
        <v>148</v>
      </c>
      <c r="H2372" s="2" t="s">
        <v>34</v>
      </c>
      <c r="I2372" s="2" t="s">
        <v>143</v>
      </c>
      <c r="J2372" s="2" t="s">
        <v>144</v>
      </c>
      <c r="K2372" s="2" t="s">
        <v>53</v>
      </c>
      <c r="L2372" s="2" t="s">
        <v>139</v>
      </c>
      <c r="M2372" s="2"/>
      <c r="N2372" s="2"/>
      <c r="O2372" s="2"/>
      <c r="P2372" s="2" t="s">
        <v>7620</v>
      </c>
      <c r="Q2372" s="2"/>
      <c r="R2372" s="2"/>
      <c r="S2372" s="5">
        <v>-26</v>
      </c>
      <c r="T2372" s="7">
        <v>34.100999999999999</v>
      </c>
      <c r="U2372" s="5">
        <v>2.1</v>
      </c>
      <c r="V2372" s="6">
        <v>-1.28</v>
      </c>
      <c r="W2372" s="7">
        <v>7.875</v>
      </c>
      <c r="X2372" s="6">
        <v>8.75</v>
      </c>
      <c r="Y2372" s="4">
        <v>9</v>
      </c>
      <c r="Z2372" s="6">
        <v>8.25</v>
      </c>
      <c r="AA2372" s="6">
        <v>6.68</v>
      </c>
      <c r="AB2372" s="2" t="s">
        <v>47</v>
      </c>
      <c r="AC2372" s="2"/>
    </row>
    <row r="2373" spans="1:29" ht="39" x14ac:dyDescent="0.15">
      <c r="A2373" s="3">
        <f>DATE(1996,3,6)</f>
        <v>35130</v>
      </c>
      <c r="B2373" s="2"/>
      <c r="C2373" s="2" t="s">
        <v>87</v>
      </c>
      <c r="D2373" s="2" t="s">
        <v>6678</v>
      </c>
      <c r="E2373" s="2" t="s">
        <v>159</v>
      </c>
      <c r="F2373" s="4">
        <v>6022</v>
      </c>
      <c r="G2373" s="2" t="s">
        <v>37</v>
      </c>
      <c r="H2373" s="2" t="s">
        <v>34</v>
      </c>
      <c r="I2373" s="2" t="s">
        <v>143</v>
      </c>
      <c r="J2373" s="2" t="s">
        <v>144</v>
      </c>
      <c r="K2373" s="2" t="s">
        <v>53</v>
      </c>
      <c r="L2373" s="2" t="s">
        <v>139</v>
      </c>
      <c r="M2373" s="2"/>
      <c r="N2373" s="2"/>
      <c r="O2373" s="2"/>
      <c r="P2373" s="2" t="s">
        <v>7621</v>
      </c>
      <c r="Q2373" s="2"/>
      <c r="R2373" s="2"/>
      <c r="S2373" s="5">
        <v>172.8</v>
      </c>
      <c r="T2373" s="7">
        <v>278.63600000000002</v>
      </c>
      <c r="U2373" s="5">
        <v>8.3000000000000007</v>
      </c>
      <c r="V2373" s="6">
        <v>1.25</v>
      </c>
      <c r="W2373" s="7">
        <v>46.125</v>
      </c>
      <c r="X2373" s="4">
        <v>48</v>
      </c>
      <c r="Y2373" s="7">
        <v>47.125</v>
      </c>
      <c r="Z2373" s="5">
        <v>47.5</v>
      </c>
      <c r="AA2373" s="6">
        <v>46.03</v>
      </c>
      <c r="AB2373" s="2" t="s">
        <v>47</v>
      </c>
      <c r="AC2373" s="2"/>
    </row>
    <row r="2374" spans="1:29" ht="156" x14ac:dyDescent="0.15">
      <c r="A2374" s="3">
        <f>DATE(1996,3,7)</f>
        <v>35131</v>
      </c>
      <c r="B2374" s="3">
        <f>DATE(1996,7,3)</f>
        <v>35249</v>
      </c>
      <c r="C2374" s="2" t="s">
        <v>95</v>
      </c>
      <c r="D2374" s="2" t="s">
        <v>7622</v>
      </c>
      <c r="E2374" s="2" t="s">
        <v>7623</v>
      </c>
      <c r="F2374" s="4">
        <v>3541</v>
      </c>
      <c r="G2374" s="2" t="s">
        <v>300</v>
      </c>
      <c r="H2374" s="2" t="s">
        <v>34</v>
      </c>
      <c r="I2374" s="2" t="s">
        <v>315</v>
      </c>
      <c r="J2374" s="2" t="s">
        <v>316</v>
      </c>
      <c r="K2374" s="2" t="s">
        <v>226</v>
      </c>
      <c r="L2374" s="2" t="s">
        <v>34</v>
      </c>
      <c r="M2374" s="2"/>
      <c r="N2374" s="7">
        <v>34.625</v>
      </c>
      <c r="O2374" s="7">
        <v>34.375</v>
      </c>
      <c r="P2374" s="2" t="s">
        <v>7624</v>
      </c>
      <c r="Q2374" s="6">
        <v>95.91</v>
      </c>
      <c r="R2374" s="6">
        <v>30</v>
      </c>
      <c r="S2374" s="5">
        <v>12.8</v>
      </c>
      <c r="T2374" s="7">
        <v>18.013999999999999</v>
      </c>
      <c r="U2374" s="5">
        <v>12.6</v>
      </c>
      <c r="V2374" s="6">
        <v>2.63</v>
      </c>
      <c r="W2374" s="6">
        <v>19.25</v>
      </c>
      <c r="X2374" s="4">
        <v>20</v>
      </c>
      <c r="Y2374" s="4">
        <v>31</v>
      </c>
      <c r="Z2374" s="7">
        <v>30.125</v>
      </c>
      <c r="AA2374" s="6">
        <v>6.12</v>
      </c>
      <c r="AB2374" s="7">
        <v>12.587</v>
      </c>
      <c r="AC2374" s="6">
        <v>7.94</v>
      </c>
    </row>
    <row r="2375" spans="1:29" ht="143" x14ac:dyDescent="0.15">
      <c r="A2375" s="3">
        <f>DATE(1996,3,11)</f>
        <v>35135</v>
      </c>
      <c r="B2375" s="3">
        <f>DATE(1996,6,27)</f>
        <v>35243</v>
      </c>
      <c r="C2375" s="2" t="s">
        <v>95</v>
      </c>
      <c r="D2375" s="2" t="s">
        <v>7625</v>
      </c>
      <c r="E2375" s="2" t="s">
        <v>7626</v>
      </c>
      <c r="F2375" s="4">
        <v>3842</v>
      </c>
      <c r="G2375" s="2" t="s">
        <v>226</v>
      </c>
      <c r="H2375" s="2" t="s">
        <v>34</v>
      </c>
      <c r="I2375" s="2" t="s">
        <v>7627</v>
      </c>
      <c r="J2375" s="2" t="s">
        <v>6286</v>
      </c>
      <c r="K2375" s="2" t="s">
        <v>226</v>
      </c>
      <c r="L2375" s="2" t="s">
        <v>34</v>
      </c>
      <c r="M2375" s="12">
        <v>1786.3040000000001</v>
      </c>
      <c r="N2375" s="6">
        <v>71.25</v>
      </c>
      <c r="O2375" s="6">
        <v>72.75</v>
      </c>
      <c r="P2375" s="2" t="s">
        <v>7628</v>
      </c>
      <c r="Q2375" s="6">
        <v>100</v>
      </c>
      <c r="R2375" s="6">
        <v>5.73</v>
      </c>
      <c r="S2375" s="5">
        <v>0.4</v>
      </c>
      <c r="T2375" s="7">
        <v>1.869</v>
      </c>
      <c r="U2375" s="5">
        <v>2.5</v>
      </c>
      <c r="V2375" s="7">
        <v>3.6999999999999998E-2</v>
      </c>
      <c r="W2375" s="4">
        <v>6</v>
      </c>
      <c r="X2375" s="5">
        <v>5.5</v>
      </c>
      <c r="Y2375" s="5">
        <v>6.5</v>
      </c>
      <c r="Z2375" s="7">
        <v>6.6879999999999997</v>
      </c>
      <c r="AA2375" s="6">
        <v>10.44</v>
      </c>
      <c r="AB2375" s="7">
        <v>203.196</v>
      </c>
      <c r="AC2375" s="6">
        <v>140.68</v>
      </c>
    </row>
    <row r="2376" spans="1:29" ht="52" x14ac:dyDescent="0.15">
      <c r="A2376" s="3">
        <f>DATE(1996,3,13)</f>
        <v>35137</v>
      </c>
      <c r="B2376" s="3">
        <f>DATE(1996,3,13)</f>
        <v>35137</v>
      </c>
      <c r="C2376" s="2" t="s">
        <v>95</v>
      </c>
      <c r="D2376" s="2" t="s">
        <v>7629</v>
      </c>
      <c r="E2376" s="2" t="s">
        <v>7630</v>
      </c>
      <c r="F2376" s="4">
        <v>3533</v>
      </c>
      <c r="G2376" s="2" t="s">
        <v>300</v>
      </c>
      <c r="H2376" s="2" t="s">
        <v>34</v>
      </c>
      <c r="I2376" s="2" t="s">
        <v>7631</v>
      </c>
      <c r="J2376" s="2" t="s">
        <v>7632</v>
      </c>
      <c r="K2376" s="2" t="s">
        <v>148</v>
      </c>
      <c r="L2376" s="2" t="s">
        <v>303</v>
      </c>
      <c r="M2376" s="2"/>
      <c r="N2376" s="2"/>
      <c r="O2376" s="2"/>
      <c r="P2376" s="2" t="s">
        <v>7633</v>
      </c>
      <c r="Q2376" s="6">
        <v>5.63</v>
      </c>
      <c r="R2376" s="2"/>
      <c r="S2376" s="5">
        <v>-0.1</v>
      </c>
      <c r="T2376" s="7">
        <v>1.3380000000000001</v>
      </c>
      <c r="U2376" s="5">
        <v>0.8</v>
      </c>
      <c r="V2376" s="7">
        <v>-6.0000000000000001E-3</v>
      </c>
      <c r="W2376" s="7">
        <v>0.90600000000000003</v>
      </c>
      <c r="X2376" s="7">
        <v>1.0629999999999999</v>
      </c>
      <c r="Y2376" s="7">
        <v>0.875</v>
      </c>
      <c r="Z2376" s="7">
        <v>0.78100000000000003</v>
      </c>
      <c r="AA2376" s="6">
        <v>13.86</v>
      </c>
      <c r="AB2376" s="7">
        <v>54.253999999999998</v>
      </c>
      <c r="AC2376" s="2"/>
    </row>
    <row r="2377" spans="1:29" ht="156" x14ac:dyDescent="0.15">
      <c r="A2377" s="3">
        <f>DATE(1996,3,14)</f>
        <v>35138</v>
      </c>
      <c r="B2377" s="2"/>
      <c r="C2377" s="2" t="s">
        <v>30</v>
      </c>
      <c r="D2377" s="2" t="s">
        <v>7634</v>
      </c>
      <c r="E2377" s="2" t="s">
        <v>1040</v>
      </c>
      <c r="F2377" s="4">
        <v>6035</v>
      </c>
      <c r="G2377" s="2" t="s">
        <v>33</v>
      </c>
      <c r="H2377" s="2" t="s">
        <v>34</v>
      </c>
      <c r="I2377" s="2" t="s">
        <v>35</v>
      </c>
      <c r="J2377" s="2" t="s">
        <v>36</v>
      </c>
      <c r="K2377" s="2" t="s">
        <v>37</v>
      </c>
      <c r="L2377" s="2" t="s">
        <v>34</v>
      </c>
      <c r="M2377" s="7">
        <v>374.08600000000001</v>
      </c>
      <c r="N2377" s="7">
        <v>21.405999999999999</v>
      </c>
      <c r="O2377" s="5">
        <v>20.5</v>
      </c>
      <c r="P2377" s="2" t="s">
        <v>7635</v>
      </c>
      <c r="Q2377" s="2"/>
      <c r="R2377" s="6">
        <v>40</v>
      </c>
      <c r="S2377" s="5">
        <v>29.3</v>
      </c>
      <c r="T2377" s="7">
        <v>51.593000000000004</v>
      </c>
      <c r="U2377" s="5">
        <v>23.4</v>
      </c>
      <c r="V2377" s="9">
        <v>1.9417</v>
      </c>
      <c r="W2377" s="4">
        <v>28</v>
      </c>
      <c r="X2377" s="5">
        <v>23.5</v>
      </c>
      <c r="Y2377" s="4">
        <v>25</v>
      </c>
      <c r="Z2377" s="7">
        <v>26.875</v>
      </c>
      <c r="AA2377" s="6">
        <v>11.59</v>
      </c>
      <c r="AB2377" s="7">
        <v>12.257</v>
      </c>
      <c r="AC2377" s="2"/>
    </row>
    <row r="2378" spans="1:29" ht="143" x14ac:dyDescent="0.15">
      <c r="A2378" s="3">
        <f>DATE(1996,3,15)</f>
        <v>35139</v>
      </c>
      <c r="B2378" s="2"/>
      <c r="C2378" s="2" t="s">
        <v>30</v>
      </c>
      <c r="D2378" s="2" t="s">
        <v>7636</v>
      </c>
      <c r="E2378" s="2" t="s">
        <v>7637</v>
      </c>
      <c r="F2378" s="4">
        <v>2952</v>
      </c>
      <c r="G2378" s="2" t="s">
        <v>148</v>
      </c>
      <c r="H2378" s="2" t="s">
        <v>34</v>
      </c>
      <c r="I2378" s="2" t="s">
        <v>7638</v>
      </c>
      <c r="J2378" s="2" t="s">
        <v>7637</v>
      </c>
      <c r="K2378" s="2" t="s">
        <v>250</v>
      </c>
      <c r="L2378" s="2" t="s">
        <v>34</v>
      </c>
      <c r="M2378" s="2"/>
      <c r="N2378" s="2"/>
      <c r="O2378" s="2"/>
      <c r="P2378" s="2" t="s">
        <v>7639</v>
      </c>
      <c r="Q2378" s="2"/>
      <c r="R2378" s="6">
        <v>7.5</v>
      </c>
      <c r="S2378" s="5">
        <v>-0.8</v>
      </c>
      <c r="T2378" s="7">
        <v>-2.7829999999999999</v>
      </c>
      <c r="U2378" s="5">
        <v>1.8</v>
      </c>
      <c r="V2378" s="6">
        <v>-0.19</v>
      </c>
      <c r="W2378" s="6">
        <v>10.25</v>
      </c>
      <c r="X2378" s="4">
        <v>10</v>
      </c>
      <c r="Y2378" s="6">
        <v>8.75</v>
      </c>
      <c r="Z2378" s="4">
        <v>9</v>
      </c>
      <c r="AA2378" s="6">
        <v>4.12</v>
      </c>
      <c r="AB2378" s="2" t="s">
        <v>86</v>
      </c>
      <c r="AC2378" s="2"/>
    </row>
    <row r="2379" spans="1:29" ht="117" x14ac:dyDescent="0.15">
      <c r="A2379" s="3">
        <f>DATE(1996,3,15)</f>
        <v>35139</v>
      </c>
      <c r="B2379" s="2"/>
      <c r="C2379" s="2" t="s">
        <v>30</v>
      </c>
      <c r="D2379" s="2" t="s">
        <v>7380</v>
      </c>
      <c r="E2379" s="2" t="s">
        <v>1098</v>
      </c>
      <c r="F2379" s="4">
        <v>8059</v>
      </c>
      <c r="G2379" s="2" t="s">
        <v>454</v>
      </c>
      <c r="H2379" s="2" t="s">
        <v>34</v>
      </c>
      <c r="I2379" s="2" t="s">
        <v>7640</v>
      </c>
      <c r="J2379" s="2" t="s">
        <v>7641</v>
      </c>
      <c r="K2379" s="2" t="s">
        <v>454</v>
      </c>
      <c r="L2379" s="2" t="s">
        <v>34</v>
      </c>
      <c r="M2379" s="7">
        <v>213.125</v>
      </c>
      <c r="N2379" s="7">
        <v>21.125</v>
      </c>
      <c r="O2379" s="7">
        <v>20.875</v>
      </c>
      <c r="P2379" s="2" t="s">
        <v>7642</v>
      </c>
      <c r="Q2379" s="2"/>
      <c r="R2379" s="6">
        <v>3.9</v>
      </c>
      <c r="S2379" s="5">
        <v>-2.2999999999999998</v>
      </c>
      <c r="T2379" s="7">
        <v>-0.56100000000000005</v>
      </c>
      <c r="U2379" s="5">
        <v>-6.6</v>
      </c>
      <c r="V2379" s="9">
        <v>-12.2523</v>
      </c>
      <c r="W2379" s="7">
        <v>4.125</v>
      </c>
      <c r="X2379" s="6">
        <v>3.75</v>
      </c>
      <c r="Y2379" s="6">
        <v>4.25</v>
      </c>
      <c r="Z2379" s="7">
        <v>4.3129999999999997</v>
      </c>
      <c r="AA2379" s="6">
        <v>3.4</v>
      </c>
      <c r="AB2379" s="2" t="s">
        <v>86</v>
      </c>
      <c r="AC2379" s="6">
        <v>10.53</v>
      </c>
    </row>
    <row r="2380" spans="1:29" ht="143" x14ac:dyDescent="0.15">
      <c r="A2380" s="3">
        <f>DATE(1996,3,18)</f>
        <v>35142</v>
      </c>
      <c r="B2380" s="3">
        <f>DATE(1996,7,1)</f>
        <v>35247</v>
      </c>
      <c r="C2380" s="2" t="s">
        <v>95</v>
      </c>
      <c r="D2380" s="2" t="s">
        <v>7643</v>
      </c>
      <c r="E2380" s="2" t="s">
        <v>129</v>
      </c>
      <c r="F2380" s="4">
        <v>2834</v>
      </c>
      <c r="G2380" s="2" t="s">
        <v>130</v>
      </c>
      <c r="H2380" s="2" t="s">
        <v>34</v>
      </c>
      <c r="I2380" s="2" t="s">
        <v>7644</v>
      </c>
      <c r="J2380" s="2" t="s">
        <v>540</v>
      </c>
      <c r="K2380" s="2" t="s">
        <v>130</v>
      </c>
      <c r="L2380" s="2" t="s">
        <v>7645</v>
      </c>
      <c r="M2380" s="2"/>
      <c r="N2380" s="2"/>
      <c r="O2380" s="2"/>
      <c r="P2380" s="2" t="s">
        <v>7646</v>
      </c>
      <c r="Q2380" s="6">
        <v>91</v>
      </c>
      <c r="R2380" s="6">
        <v>18.25</v>
      </c>
      <c r="S2380" s="5">
        <v>-29.8</v>
      </c>
      <c r="T2380" s="7">
        <v>-23.786000000000001</v>
      </c>
      <c r="U2380" s="5">
        <v>2.1</v>
      </c>
      <c r="V2380" s="6">
        <v>-1.21</v>
      </c>
      <c r="W2380" s="7">
        <v>15.625</v>
      </c>
      <c r="X2380" s="7">
        <v>15.125</v>
      </c>
      <c r="Y2380" s="6">
        <v>17.25</v>
      </c>
      <c r="Z2380" s="7">
        <v>17.875</v>
      </c>
      <c r="AA2380" s="6">
        <v>36.21</v>
      </c>
      <c r="AB2380" s="2" t="s">
        <v>86</v>
      </c>
      <c r="AC2380" s="6">
        <v>179.01</v>
      </c>
    </row>
    <row r="2381" spans="1:29" ht="143" x14ac:dyDescent="0.15">
      <c r="A2381" s="3">
        <f>DATE(1996,3,18)</f>
        <v>35142</v>
      </c>
      <c r="B2381" s="3">
        <f>DATE(1996,8,30)</f>
        <v>35307</v>
      </c>
      <c r="C2381" s="2" t="s">
        <v>95</v>
      </c>
      <c r="D2381" s="2" t="s">
        <v>5160</v>
      </c>
      <c r="E2381" s="2" t="s">
        <v>5161</v>
      </c>
      <c r="F2381" s="4">
        <v>3841</v>
      </c>
      <c r="G2381" s="2" t="s">
        <v>226</v>
      </c>
      <c r="H2381" s="2" t="s">
        <v>34</v>
      </c>
      <c r="I2381" s="2" t="s">
        <v>7647</v>
      </c>
      <c r="J2381" s="2" t="s">
        <v>7648</v>
      </c>
      <c r="K2381" s="2" t="s">
        <v>226</v>
      </c>
      <c r="L2381" s="2" t="s">
        <v>34</v>
      </c>
      <c r="M2381" s="6">
        <v>588.65</v>
      </c>
      <c r="N2381" s="5">
        <v>17.5</v>
      </c>
      <c r="O2381" s="7">
        <v>17.375</v>
      </c>
      <c r="P2381" s="2" t="s">
        <v>7649</v>
      </c>
      <c r="Q2381" s="6">
        <v>100</v>
      </c>
      <c r="R2381" s="6">
        <v>15.47</v>
      </c>
      <c r="S2381" s="2"/>
      <c r="T2381" s="2"/>
      <c r="U2381" s="5">
        <v>4.4000000000000004</v>
      </c>
      <c r="V2381" s="2"/>
      <c r="W2381" s="4">
        <v>11</v>
      </c>
      <c r="X2381" s="6">
        <v>11.25</v>
      </c>
      <c r="Y2381" s="7">
        <v>15.625</v>
      </c>
      <c r="Z2381" s="7">
        <v>15.625</v>
      </c>
      <c r="AA2381" s="6">
        <v>5.3</v>
      </c>
      <c r="AB2381" s="2" t="s">
        <v>47</v>
      </c>
      <c r="AC2381" s="6">
        <v>54.51</v>
      </c>
    </row>
    <row r="2382" spans="1:29" ht="130" x14ac:dyDescent="0.15">
      <c r="A2382" s="3">
        <f>DATE(1996,3,19)</f>
        <v>35143</v>
      </c>
      <c r="B2382" s="3">
        <f>DATE(1996,4,16)</f>
        <v>35171</v>
      </c>
      <c r="C2382" s="2" t="s">
        <v>95</v>
      </c>
      <c r="D2382" s="2" t="s">
        <v>7650</v>
      </c>
      <c r="E2382" s="2" t="s">
        <v>7651</v>
      </c>
      <c r="F2382" s="4">
        <v>3841</v>
      </c>
      <c r="G2382" s="2" t="s">
        <v>226</v>
      </c>
      <c r="H2382" s="2" t="s">
        <v>34</v>
      </c>
      <c r="I2382" s="2" t="s">
        <v>7652</v>
      </c>
      <c r="J2382" s="2" t="s">
        <v>7653</v>
      </c>
      <c r="K2382" s="2" t="s">
        <v>226</v>
      </c>
      <c r="L2382" s="2" t="s">
        <v>34</v>
      </c>
      <c r="M2382" s="2"/>
      <c r="N2382" s="2"/>
      <c r="O2382" s="2"/>
      <c r="P2382" s="2" t="s">
        <v>7654</v>
      </c>
      <c r="Q2382" s="6">
        <v>61.15</v>
      </c>
      <c r="R2382" s="2"/>
      <c r="S2382" s="5">
        <v>0.5</v>
      </c>
      <c r="T2382" s="7">
        <v>3.145</v>
      </c>
      <c r="U2382" s="5">
        <v>5.2</v>
      </c>
      <c r="V2382" s="6">
        <v>0.15</v>
      </c>
      <c r="W2382" s="6">
        <v>11.25</v>
      </c>
      <c r="X2382" s="6">
        <v>11.75</v>
      </c>
      <c r="Y2382" s="4">
        <v>11</v>
      </c>
      <c r="Z2382" s="4">
        <v>13</v>
      </c>
      <c r="AA2382" s="6">
        <v>3.09</v>
      </c>
      <c r="AB2382" s="7">
        <v>29.966999999999999</v>
      </c>
      <c r="AC2382" s="2"/>
    </row>
    <row r="2383" spans="1:29" ht="117" x14ac:dyDescent="0.15">
      <c r="A2383" s="3">
        <f>DATE(1996,3,20)</f>
        <v>35144</v>
      </c>
      <c r="B2383" s="3">
        <f>DATE(1996,10,31)</f>
        <v>35369</v>
      </c>
      <c r="C2383" s="2" t="s">
        <v>95</v>
      </c>
      <c r="D2383" s="2" t="s">
        <v>7655</v>
      </c>
      <c r="E2383" s="2" t="s">
        <v>1181</v>
      </c>
      <c r="F2383" s="4">
        <v>6022</v>
      </c>
      <c r="G2383" s="2" t="s">
        <v>37</v>
      </c>
      <c r="H2383" s="2" t="s">
        <v>34</v>
      </c>
      <c r="I2383" s="2" t="s">
        <v>2452</v>
      </c>
      <c r="J2383" s="2" t="s">
        <v>265</v>
      </c>
      <c r="K2383" s="2" t="s">
        <v>37</v>
      </c>
      <c r="L2383" s="2" t="s">
        <v>34</v>
      </c>
      <c r="M2383" s="12">
        <v>2426.2040000000002</v>
      </c>
      <c r="N2383" s="5">
        <v>45.5</v>
      </c>
      <c r="O2383" s="7">
        <v>44.875</v>
      </c>
      <c r="P2383" s="2" t="s">
        <v>7656</v>
      </c>
      <c r="Q2383" s="6">
        <v>100</v>
      </c>
      <c r="R2383" s="6">
        <v>31.81</v>
      </c>
      <c r="S2383" s="5">
        <v>4.9000000000000004</v>
      </c>
      <c r="T2383" s="7">
        <v>9.4529999999999994</v>
      </c>
      <c r="U2383" s="5">
        <v>17</v>
      </c>
      <c r="V2383" s="7">
        <v>1.788</v>
      </c>
      <c r="W2383" s="6">
        <v>25.75</v>
      </c>
      <c r="X2383" s="6">
        <v>26.75</v>
      </c>
      <c r="Y2383" s="7">
        <v>29.625</v>
      </c>
      <c r="Z2383" s="4">
        <v>29</v>
      </c>
      <c r="AA2383" s="6">
        <v>2.74</v>
      </c>
      <c r="AB2383" s="7">
        <v>69.376999999999995</v>
      </c>
      <c r="AC2383" s="2"/>
    </row>
    <row r="2384" spans="1:29" ht="78" x14ac:dyDescent="0.15">
      <c r="A2384" s="3">
        <f>DATE(1996,3,22)</f>
        <v>35146</v>
      </c>
      <c r="B2384" s="2"/>
      <c r="C2384" s="2" t="s">
        <v>56</v>
      </c>
      <c r="D2384" s="2" t="s">
        <v>7657</v>
      </c>
      <c r="E2384" s="2" t="s">
        <v>7658</v>
      </c>
      <c r="F2384" s="4">
        <v>3663</v>
      </c>
      <c r="G2384" s="2" t="s">
        <v>921</v>
      </c>
      <c r="H2384" s="2" t="s">
        <v>34</v>
      </c>
      <c r="I2384" s="2" t="s">
        <v>7659</v>
      </c>
      <c r="J2384" s="2" t="s">
        <v>7660</v>
      </c>
      <c r="K2384" s="2" t="s">
        <v>226</v>
      </c>
      <c r="L2384" s="2" t="s">
        <v>34</v>
      </c>
      <c r="M2384" s="2"/>
      <c r="N2384" s="7">
        <v>11.125</v>
      </c>
      <c r="O2384" s="7">
        <v>11.375</v>
      </c>
      <c r="P2384" s="2" t="s">
        <v>7661</v>
      </c>
      <c r="Q2384" s="2"/>
      <c r="R2384" s="2"/>
      <c r="S2384" s="5">
        <v>-1.7</v>
      </c>
      <c r="T2384" s="7">
        <v>-2.677</v>
      </c>
      <c r="U2384" s="5">
        <v>0.7</v>
      </c>
      <c r="V2384" s="7">
        <v>-2.157</v>
      </c>
      <c r="W2384" s="7">
        <v>1.125</v>
      </c>
      <c r="X2384" s="6">
        <v>1.25</v>
      </c>
      <c r="Y2384" s="7">
        <v>1.625</v>
      </c>
      <c r="Z2384" s="6">
        <v>1.75</v>
      </c>
      <c r="AA2384" s="6">
        <v>5.27</v>
      </c>
      <c r="AB2384" s="2" t="s">
        <v>86</v>
      </c>
      <c r="AC2384" s="6">
        <v>17.760000000000002</v>
      </c>
    </row>
    <row r="2385" spans="1:29" ht="117" x14ac:dyDescent="0.15">
      <c r="A2385" s="3">
        <f>DATE(1996,3,25)</f>
        <v>35149</v>
      </c>
      <c r="B2385" s="3">
        <f>DATE(1996,7,1)</f>
        <v>35247</v>
      </c>
      <c r="C2385" s="2" t="s">
        <v>95</v>
      </c>
      <c r="D2385" s="2" t="s">
        <v>7662</v>
      </c>
      <c r="E2385" s="2" t="s">
        <v>7663</v>
      </c>
      <c r="F2385" s="4">
        <v>3841</v>
      </c>
      <c r="G2385" s="2" t="s">
        <v>226</v>
      </c>
      <c r="H2385" s="2" t="s">
        <v>34</v>
      </c>
      <c r="I2385" s="2" t="s">
        <v>769</v>
      </c>
      <c r="J2385" s="2" t="s">
        <v>770</v>
      </c>
      <c r="K2385" s="2" t="s">
        <v>226</v>
      </c>
      <c r="L2385" s="2" t="s">
        <v>34</v>
      </c>
      <c r="M2385" s="10">
        <v>14047.91</v>
      </c>
      <c r="N2385" s="4">
        <v>56</v>
      </c>
      <c r="O2385" s="4">
        <v>55</v>
      </c>
      <c r="P2385" s="2" t="s">
        <v>7664</v>
      </c>
      <c r="Q2385" s="6">
        <v>100</v>
      </c>
      <c r="R2385" s="6">
        <v>22.1</v>
      </c>
      <c r="S2385" s="5">
        <v>-1.8</v>
      </c>
      <c r="T2385" s="7">
        <v>-2.2589999999999999</v>
      </c>
      <c r="U2385" s="5">
        <v>4.5</v>
      </c>
      <c r="V2385" s="7">
        <v>-0.26200000000000001</v>
      </c>
      <c r="W2385" s="6">
        <v>20.25</v>
      </c>
      <c r="X2385" s="7">
        <v>21.875</v>
      </c>
      <c r="Y2385" s="7">
        <v>20.937999999999999</v>
      </c>
      <c r="Z2385" s="5">
        <v>20.5</v>
      </c>
      <c r="AA2385" s="6">
        <v>10.02</v>
      </c>
      <c r="AB2385" s="2" t="s">
        <v>86</v>
      </c>
      <c r="AC2385" s="6">
        <v>323.64999999999998</v>
      </c>
    </row>
    <row r="2386" spans="1:29" ht="156" x14ac:dyDescent="0.15">
      <c r="A2386" s="3">
        <f>DATE(1996,3,26)</f>
        <v>35150</v>
      </c>
      <c r="B2386" s="3">
        <f>DATE(1996,8,9)</f>
        <v>35286</v>
      </c>
      <c r="C2386" s="2" t="s">
        <v>95</v>
      </c>
      <c r="D2386" s="2" t="s">
        <v>7665</v>
      </c>
      <c r="E2386" s="2" t="s">
        <v>92</v>
      </c>
      <c r="F2386" s="4">
        <v>6798</v>
      </c>
      <c r="G2386" s="2" t="s">
        <v>53</v>
      </c>
      <c r="H2386" s="2" t="s">
        <v>34</v>
      </c>
      <c r="I2386" s="2" t="s">
        <v>4936</v>
      </c>
      <c r="J2386" s="2" t="s">
        <v>92</v>
      </c>
      <c r="K2386" s="2" t="s">
        <v>53</v>
      </c>
      <c r="L2386" s="2" t="s">
        <v>34</v>
      </c>
      <c r="M2386" s="12">
        <v>2264.424</v>
      </c>
      <c r="N2386" s="7">
        <v>23.625</v>
      </c>
      <c r="O2386" s="5">
        <v>23.5</v>
      </c>
      <c r="P2386" s="2" t="s">
        <v>7666</v>
      </c>
      <c r="Q2386" s="6">
        <v>100</v>
      </c>
      <c r="R2386" s="6">
        <v>16.32</v>
      </c>
      <c r="S2386" s="5">
        <v>26.7</v>
      </c>
      <c r="T2386" s="7">
        <v>360.27100000000002</v>
      </c>
      <c r="U2386" s="5">
        <v>27.7</v>
      </c>
      <c r="V2386" s="6">
        <v>0.53</v>
      </c>
      <c r="W2386" s="4">
        <v>14</v>
      </c>
      <c r="X2386" s="7">
        <v>14.625</v>
      </c>
      <c r="Y2386" s="7">
        <v>15.375</v>
      </c>
      <c r="Z2386" s="7">
        <v>15.125</v>
      </c>
      <c r="AA2386" s="6">
        <v>55.49</v>
      </c>
      <c r="AB2386" s="7">
        <v>9.2219999999999995</v>
      </c>
      <c r="AC2386" s="6">
        <v>62.72</v>
      </c>
    </row>
    <row r="2387" spans="1:29" ht="143" x14ac:dyDescent="0.15">
      <c r="A2387" s="3">
        <f>DATE(1996,3,26)</f>
        <v>35150</v>
      </c>
      <c r="B2387" s="3">
        <f>DATE(1996,10,4)</f>
        <v>35342</v>
      </c>
      <c r="C2387" s="2" t="s">
        <v>95</v>
      </c>
      <c r="D2387" s="2" t="s">
        <v>7667</v>
      </c>
      <c r="E2387" s="2" t="s">
        <v>203</v>
      </c>
      <c r="F2387" s="4">
        <v>6035</v>
      </c>
      <c r="G2387" s="2" t="s">
        <v>33</v>
      </c>
      <c r="H2387" s="2" t="s">
        <v>34</v>
      </c>
      <c r="I2387" s="2" t="s">
        <v>7668</v>
      </c>
      <c r="J2387" s="2" t="s">
        <v>7190</v>
      </c>
      <c r="K2387" s="2" t="s">
        <v>33</v>
      </c>
      <c r="L2387" s="2" t="s">
        <v>34</v>
      </c>
      <c r="M2387" s="6">
        <v>35.24</v>
      </c>
      <c r="N2387" s="7">
        <v>18.125</v>
      </c>
      <c r="O2387" s="6">
        <v>18.75</v>
      </c>
      <c r="P2387" s="2" t="s">
        <v>7669</v>
      </c>
      <c r="Q2387" s="6">
        <v>100</v>
      </c>
      <c r="R2387" s="6">
        <v>20.58</v>
      </c>
      <c r="S2387" s="5">
        <v>0.7</v>
      </c>
      <c r="T2387" s="7">
        <v>1.131</v>
      </c>
      <c r="U2387" s="5">
        <v>16.899999999999999</v>
      </c>
      <c r="V2387" s="7">
        <v>0.53800000000000003</v>
      </c>
      <c r="W2387" s="7">
        <v>15.625</v>
      </c>
      <c r="X2387" s="6">
        <v>16.25</v>
      </c>
      <c r="Y2387" s="6">
        <v>18.25</v>
      </c>
      <c r="Z2387" s="7">
        <v>18.375</v>
      </c>
      <c r="AA2387" s="6">
        <v>1.41</v>
      </c>
      <c r="AB2387" s="7">
        <v>80.347999999999999</v>
      </c>
      <c r="AC2387" s="2"/>
    </row>
    <row r="2388" spans="1:29" ht="26" x14ac:dyDescent="0.15">
      <c r="A2388" s="3">
        <f>DATE(1996,3,26)</f>
        <v>35150</v>
      </c>
      <c r="B2388" s="2"/>
      <c r="C2388" s="2" t="s">
        <v>39</v>
      </c>
      <c r="D2388" s="2" t="s">
        <v>7393</v>
      </c>
      <c r="E2388" s="2" t="s">
        <v>5670</v>
      </c>
      <c r="F2388" s="4">
        <v>2834</v>
      </c>
      <c r="G2388" s="2" t="s">
        <v>130</v>
      </c>
      <c r="H2388" s="2" t="s">
        <v>34</v>
      </c>
      <c r="I2388" s="2" t="s">
        <v>7670</v>
      </c>
      <c r="J2388" s="2" t="s">
        <v>129</v>
      </c>
      <c r="K2388" s="2" t="s">
        <v>130</v>
      </c>
      <c r="L2388" s="2" t="s">
        <v>303</v>
      </c>
      <c r="M2388" s="2"/>
      <c r="N2388" s="2"/>
      <c r="O2388" s="2"/>
      <c r="P2388" s="2" t="s">
        <v>7671</v>
      </c>
      <c r="Q2388" s="2"/>
      <c r="R2388" s="2"/>
      <c r="S2388" s="8">
        <v>1572.9</v>
      </c>
      <c r="T2388" s="8">
        <v>2929.3</v>
      </c>
      <c r="U2388" s="5">
        <v>1.4</v>
      </c>
      <c r="V2388" s="9">
        <v>0.41170000000000001</v>
      </c>
      <c r="W2388" s="7">
        <v>63.125</v>
      </c>
      <c r="X2388" s="6">
        <v>67.75</v>
      </c>
      <c r="Y2388" s="6">
        <v>68.75</v>
      </c>
      <c r="Z2388" s="7">
        <v>67.625</v>
      </c>
      <c r="AA2388" s="6">
        <v>636.15</v>
      </c>
      <c r="AB2388" s="2" t="s">
        <v>47</v>
      </c>
      <c r="AC2388" s="10">
        <v>1978.52</v>
      </c>
    </row>
    <row r="2389" spans="1:29" ht="91" x14ac:dyDescent="0.15">
      <c r="A2389" s="3">
        <f>DATE(1996,3,27)</f>
        <v>35151</v>
      </c>
      <c r="B2389" s="2"/>
      <c r="C2389" s="2" t="s">
        <v>7330</v>
      </c>
      <c r="D2389" s="2" t="s">
        <v>7672</v>
      </c>
      <c r="E2389" s="2" t="s">
        <v>92</v>
      </c>
      <c r="F2389" s="4">
        <v>6798</v>
      </c>
      <c r="G2389" s="2" t="s">
        <v>53</v>
      </c>
      <c r="H2389" s="2" t="s">
        <v>34</v>
      </c>
      <c r="I2389" s="2" t="s">
        <v>7673</v>
      </c>
      <c r="J2389" s="2" t="s">
        <v>1072</v>
      </c>
      <c r="K2389" s="2" t="s">
        <v>53</v>
      </c>
      <c r="L2389" s="2" t="s">
        <v>34</v>
      </c>
      <c r="M2389" s="7">
        <v>737.94299999999998</v>
      </c>
      <c r="N2389" s="7">
        <v>55.125</v>
      </c>
      <c r="O2389" s="7">
        <v>56.375</v>
      </c>
      <c r="P2389" s="2" t="s">
        <v>7674</v>
      </c>
      <c r="Q2389" s="2"/>
      <c r="R2389" s="2"/>
      <c r="S2389" s="5">
        <v>-0.8</v>
      </c>
      <c r="T2389" s="7">
        <v>0.58299999999999996</v>
      </c>
      <c r="U2389" s="5">
        <v>11.9</v>
      </c>
      <c r="V2389" s="6">
        <v>-1.32</v>
      </c>
      <c r="W2389" s="7">
        <v>4.0629999999999997</v>
      </c>
      <c r="X2389" s="5">
        <v>4.5</v>
      </c>
      <c r="Y2389" s="6">
        <v>4.75</v>
      </c>
      <c r="Z2389" s="7">
        <v>5.4379999999999997</v>
      </c>
      <c r="AA2389" s="6">
        <v>1.86</v>
      </c>
      <c r="AB2389" s="2" t="s">
        <v>86</v>
      </c>
      <c r="AC2389" s="6">
        <v>7.27</v>
      </c>
    </row>
    <row r="2390" spans="1:29" ht="91" x14ac:dyDescent="0.15">
      <c r="A2390" s="3">
        <f>DATE(1996,3,28)</f>
        <v>35152</v>
      </c>
      <c r="B2390" s="2"/>
      <c r="C2390" s="2" t="s">
        <v>30</v>
      </c>
      <c r="D2390" s="2" t="s">
        <v>7185</v>
      </c>
      <c r="E2390" s="2" t="s">
        <v>7186</v>
      </c>
      <c r="F2390" s="4">
        <v>4581</v>
      </c>
      <c r="G2390" s="2" t="s">
        <v>59</v>
      </c>
      <c r="H2390" s="2" t="s">
        <v>34</v>
      </c>
      <c r="I2390" s="2" t="s">
        <v>51</v>
      </c>
      <c r="J2390" s="2" t="s">
        <v>52</v>
      </c>
      <c r="K2390" s="2" t="s">
        <v>53</v>
      </c>
      <c r="L2390" s="2" t="s">
        <v>34</v>
      </c>
      <c r="M2390" s="2"/>
      <c r="N2390" s="2"/>
      <c r="O2390" s="2"/>
      <c r="P2390" s="2" t="s">
        <v>7675</v>
      </c>
      <c r="Q2390" s="2"/>
      <c r="R2390" s="6">
        <v>44</v>
      </c>
      <c r="S2390" s="5">
        <v>4.5999999999999996</v>
      </c>
      <c r="T2390" s="7">
        <v>15.077</v>
      </c>
      <c r="U2390" s="5">
        <v>18.7</v>
      </c>
      <c r="V2390" s="6">
        <v>3.69</v>
      </c>
      <c r="W2390" s="4">
        <v>38</v>
      </c>
      <c r="X2390" s="6">
        <v>42.25</v>
      </c>
      <c r="Y2390" s="6">
        <v>42.75</v>
      </c>
      <c r="Z2390" s="7">
        <v>43.375</v>
      </c>
      <c r="AA2390" s="6">
        <v>1.1499999999999999</v>
      </c>
      <c r="AB2390" s="7">
        <v>9.1359999999999992</v>
      </c>
      <c r="AC2390" s="2"/>
    </row>
    <row r="2391" spans="1:29" ht="39" x14ac:dyDescent="0.15">
      <c r="A2391" s="3">
        <f>DATE(1996,3,28)</f>
        <v>35152</v>
      </c>
      <c r="B2391" s="3">
        <f>DATE(1996,9,6)</f>
        <v>35314</v>
      </c>
      <c r="C2391" s="2" t="s">
        <v>95</v>
      </c>
      <c r="D2391" s="2" t="s">
        <v>7676</v>
      </c>
      <c r="E2391" s="2" t="s">
        <v>7677</v>
      </c>
      <c r="F2391" s="4">
        <v>2752</v>
      </c>
      <c r="G2391" s="2" t="s">
        <v>186</v>
      </c>
      <c r="H2391" s="2" t="s">
        <v>34</v>
      </c>
      <c r="I2391" s="2" t="s">
        <v>7678</v>
      </c>
      <c r="J2391" s="2" t="s">
        <v>7679</v>
      </c>
      <c r="K2391" s="2" t="s">
        <v>186</v>
      </c>
      <c r="L2391" s="2" t="s">
        <v>34</v>
      </c>
      <c r="M2391" s="2"/>
      <c r="N2391" s="2"/>
      <c r="O2391" s="2"/>
      <c r="P2391" s="2" t="s">
        <v>7680</v>
      </c>
      <c r="Q2391" s="6">
        <v>100</v>
      </c>
      <c r="R2391" s="2"/>
      <c r="S2391" s="2"/>
      <c r="T2391" s="2"/>
      <c r="U2391" s="2"/>
      <c r="V2391" s="2"/>
      <c r="W2391" s="7">
        <v>3.1560000000000001</v>
      </c>
      <c r="X2391" s="7">
        <v>2.875</v>
      </c>
      <c r="Y2391" s="7">
        <v>3.125</v>
      </c>
      <c r="Z2391" s="7">
        <v>2.875</v>
      </c>
      <c r="AA2391" s="6">
        <v>4.08</v>
      </c>
      <c r="AB2391" s="2" t="s">
        <v>47</v>
      </c>
      <c r="AC2391" s="2"/>
    </row>
    <row r="2392" spans="1:29" ht="130" x14ac:dyDescent="0.15">
      <c r="A2392" s="3">
        <f>DATE(1996,3,28)</f>
        <v>35152</v>
      </c>
      <c r="B2392" s="3">
        <f>DATE(1996,8,1)</f>
        <v>35278</v>
      </c>
      <c r="C2392" s="2" t="s">
        <v>95</v>
      </c>
      <c r="D2392" s="2" t="s">
        <v>7681</v>
      </c>
      <c r="E2392" s="2" t="s">
        <v>7682</v>
      </c>
      <c r="F2392" s="4">
        <v>5411</v>
      </c>
      <c r="G2392" s="2" t="s">
        <v>1461</v>
      </c>
      <c r="H2392" s="2" t="s">
        <v>34</v>
      </c>
      <c r="I2392" s="2" t="s">
        <v>7683</v>
      </c>
      <c r="J2392" s="2" t="s">
        <v>7684</v>
      </c>
      <c r="K2392" s="2" t="s">
        <v>1461</v>
      </c>
      <c r="L2392" s="2" t="s">
        <v>2105</v>
      </c>
      <c r="M2392" s="2"/>
      <c r="N2392" s="2"/>
      <c r="O2392" s="2"/>
      <c r="P2392" s="2" t="s">
        <v>7685</v>
      </c>
      <c r="Q2392" s="6">
        <v>100</v>
      </c>
      <c r="R2392" s="6">
        <v>33.5</v>
      </c>
      <c r="S2392" s="5">
        <v>81.599999999999994</v>
      </c>
      <c r="T2392" s="7">
        <v>323.80500000000001</v>
      </c>
      <c r="U2392" s="5">
        <v>6.6</v>
      </c>
      <c r="V2392" s="7">
        <v>1.5629999999999999</v>
      </c>
      <c r="W2392" s="7">
        <v>26.375</v>
      </c>
      <c r="X2392" s="6">
        <v>26.75</v>
      </c>
      <c r="Y2392" s="7">
        <v>33.125</v>
      </c>
      <c r="Z2392" s="4">
        <v>33</v>
      </c>
      <c r="AA2392" s="6">
        <v>50.47</v>
      </c>
      <c r="AB2392" s="7">
        <v>13.324</v>
      </c>
      <c r="AC2392" s="6">
        <v>325.61</v>
      </c>
    </row>
    <row r="2393" spans="1:29" ht="130" x14ac:dyDescent="0.15">
      <c r="A2393" s="3">
        <f t="shared" ref="A2393:A2398" si="15">DATE(1996,3,29)</f>
        <v>35153</v>
      </c>
      <c r="B2393" s="3">
        <f>DATE(1996,4,26)</f>
        <v>35181</v>
      </c>
      <c r="C2393" s="2" t="s">
        <v>95</v>
      </c>
      <c r="D2393" s="2" t="s">
        <v>7686</v>
      </c>
      <c r="E2393" s="2" t="s">
        <v>7687</v>
      </c>
      <c r="F2393" s="4">
        <v>6282</v>
      </c>
      <c r="G2393" s="2" t="s">
        <v>53</v>
      </c>
      <c r="H2393" s="2" t="s">
        <v>34</v>
      </c>
      <c r="I2393" s="2" t="s">
        <v>7688</v>
      </c>
      <c r="J2393" s="2" t="s">
        <v>7689</v>
      </c>
      <c r="K2393" s="2" t="s">
        <v>53</v>
      </c>
      <c r="L2393" s="2" t="s">
        <v>34</v>
      </c>
      <c r="M2393" s="2"/>
      <c r="N2393" s="2"/>
      <c r="O2393" s="2"/>
      <c r="P2393" s="2" t="s">
        <v>7690</v>
      </c>
      <c r="Q2393" s="6">
        <v>15.67</v>
      </c>
      <c r="R2393" s="6">
        <v>50</v>
      </c>
      <c r="S2393" s="5">
        <v>150.30000000000001</v>
      </c>
      <c r="T2393" s="5">
        <v>98.1</v>
      </c>
      <c r="U2393" s="5">
        <v>26.9</v>
      </c>
      <c r="V2393" s="7">
        <v>13.486000000000001</v>
      </c>
      <c r="W2393" s="5">
        <v>46.5</v>
      </c>
      <c r="X2393" s="7">
        <v>46.875</v>
      </c>
      <c r="Y2393" s="4">
        <v>48</v>
      </c>
      <c r="Z2393" s="7">
        <v>49.625</v>
      </c>
      <c r="AA2393" s="6">
        <v>9.1999999999999993</v>
      </c>
      <c r="AB2393" s="7">
        <v>12.847</v>
      </c>
      <c r="AC2393" s="2"/>
    </row>
    <row r="2394" spans="1:29" ht="156" x14ac:dyDescent="0.15">
      <c r="A2394" s="3">
        <f t="shared" si="15"/>
        <v>35153</v>
      </c>
      <c r="B2394" s="3">
        <f>DATE(1996,7,2)</f>
        <v>35248</v>
      </c>
      <c r="C2394" s="2" t="s">
        <v>95</v>
      </c>
      <c r="D2394" s="2" t="s">
        <v>6857</v>
      </c>
      <c r="E2394" s="2" t="s">
        <v>3336</v>
      </c>
      <c r="F2394" s="4">
        <v>3714</v>
      </c>
      <c r="G2394" s="2" t="s">
        <v>105</v>
      </c>
      <c r="H2394" s="2" t="s">
        <v>34</v>
      </c>
      <c r="I2394" s="2" t="s">
        <v>7691</v>
      </c>
      <c r="J2394" s="2" t="s">
        <v>7692</v>
      </c>
      <c r="K2394" s="2" t="s">
        <v>105</v>
      </c>
      <c r="L2394" s="2" t="s">
        <v>34</v>
      </c>
      <c r="M2394" s="2"/>
      <c r="N2394" s="2"/>
      <c r="O2394" s="2"/>
      <c r="P2394" s="2" t="s">
        <v>7693</v>
      </c>
      <c r="Q2394" s="6">
        <v>100</v>
      </c>
      <c r="R2394" s="6">
        <v>32</v>
      </c>
      <c r="S2394" s="5">
        <v>28.4</v>
      </c>
      <c r="T2394" s="5">
        <v>96</v>
      </c>
      <c r="U2394" s="5">
        <v>5.4</v>
      </c>
      <c r="V2394" s="9">
        <v>0.63219999999999998</v>
      </c>
      <c r="W2394" s="4">
        <v>24</v>
      </c>
      <c r="X2394" s="6">
        <v>24.75</v>
      </c>
      <c r="Y2394" s="6">
        <v>30.25</v>
      </c>
      <c r="Z2394" s="4">
        <v>30</v>
      </c>
      <c r="AA2394" s="6">
        <v>17.57</v>
      </c>
      <c r="AB2394" s="7">
        <v>24.861999999999998</v>
      </c>
      <c r="AC2394" s="5">
        <v>1.8</v>
      </c>
    </row>
    <row r="2395" spans="1:29" ht="104" x14ac:dyDescent="0.15">
      <c r="A2395" s="3">
        <f t="shared" si="15"/>
        <v>35153</v>
      </c>
      <c r="B2395" s="3">
        <f>DATE(1996,10,21)</f>
        <v>35359</v>
      </c>
      <c r="C2395" s="2" t="s">
        <v>95</v>
      </c>
      <c r="D2395" s="2" t="s">
        <v>7694</v>
      </c>
      <c r="E2395" s="2" t="s">
        <v>7695</v>
      </c>
      <c r="F2395" s="4">
        <v>6035</v>
      </c>
      <c r="G2395" s="2" t="s">
        <v>33</v>
      </c>
      <c r="H2395" s="2" t="s">
        <v>34</v>
      </c>
      <c r="I2395" s="2" t="s">
        <v>7696</v>
      </c>
      <c r="J2395" s="2" t="s">
        <v>7695</v>
      </c>
      <c r="K2395" s="2" t="s">
        <v>33</v>
      </c>
      <c r="L2395" s="2" t="s">
        <v>34</v>
      </c>
      <c r="M2395" s="7">
        <v>119.93600000000001</v>
      </c>
      <c r="N2395" s="7">
        <v>15.563000000000001</v>
      </c>
      <c r="O2395" s="7">
        <v>15.625</v>
      </c>
      <c r="P2395" s="2" t="s">
        <v>7697</v>
      </c>
      <c r="Q2395" s="6">
        <v>100</v>
      </c>
      <c r="R2395" s="6">
        <v>23</v>
      </c>
      <c r="S2395" s="5">
        <v>2.9</v>
      </c>
      <c r="T2395" s="7">
        <v>4.0650000000000004</v>
      </c>
      <c r="U2395" s="5">
        <v>15.6</v>
      </c>
      <c r="V2395" s="7">
        <v>1.413</v>
      </c>
      <c r="W2395" s="6">
        <v>19.75</v>
      </c>
      <c r="X2395" s="6">
        <v>19.75</v>
      </c>
      <c r="Y2395" s="6">
        <v>19.75</v>
      </c>
      <c r="Z2395" s="7">
        <v>21.875</v>
      </c>
      <c r="AA2395" s="6">
        <v>2.2000000000000002</v>
      </c>
      <c r="AB2395" s="7">
        <v>70.617000000000004</v>
      </c>
      <c r="AC2395" s="2"/>
    </row>
    <row r="2396" spans="1:29" ht="91" x14ac:dyDescent="0.15">
      <c r="A2396" s="3">
        <f t="shared" si="15"/>
        <v>35153</v>
      </c>
      <c r="B2396" s="3">
        <f>DATE(1996,8,7)</f>
        <v>35284</v>
      </c>
      <c r="C2396" s="2" t="s">
        <v>95</v>
      </c>
      <c r="D2396" s="2" t="s">
        <v>7698</v>
      </c>
      <c r="E2396" s="2" t="s">
        <v>7699</v>
      </c>
      <c r="F2396" s="4">
        <v>2835</v>
      </c>
      <c r="G2396" s="2" t="s">
        <v>130</v>
      </c>
      <c r="H2396" s="2" t="s">
        <v>34</v>
      </c>
      <c r="I2396" s="2" t="s">
        <v>7700</v>
      </c>
      <c r="J2396" s="2" t="s">
        <v>7701</v>
      </c>
      <c r="K2396" s="2" t="s">
        <v>130</v>
      </c>
      <c r="L2396" s="2" t="s">
        <v>34</v>
      </c>
      <c r="M2396" s="12">
        <v>33396.258999999998</v>
      </c>
      <c r="N2396" s="6">
        <v>40.75</v>
      </c>
      <c r="O2396" s="7">
        <v>41.875</v>
      </c>
      <c r="P2396" s="2" t="s">
        <v>7702</v>
      </c>
      <c r="Q2396" s="6">
        <v>100</v>
      </c>
      <c r="R2396" s="6">
        <v>45</v>
      </c>
      <c r="S2396" s="5">
        <v>29.8</v>
      </c>
      <c r="T2396" s="7">
        <v>35.625</v>
      </c>
      <c r="U2396" s="5">
        <v>4.4000000000000004</v>
      </c>
      <c r="V2396" s="6">
        <v>1.62</v>
      </c>
      <c r="W2396" s="6">
        <v>30.25</v>
      </c>
      <c r="X2396" s="6">
        <v>30.25</v>
      </c>
      <c r="Y2396" s="7">
        <v>44.563000000000002</v>
      </c>
      <c r="Z2396" s="7">
        <v>44.515999999999998</v>
      </c>
      <c r="AA2396" s="6">
        <v>16.79</v>
      </c>
      <c r="AB2396" s="7">
        <v>25.295000000000002</v>
      </c>
      <c r="AC2396" s="5">
        <v>315.7</v>
      </c>
    </row>
    <row r="2397" spans="1:29" ht="65" x14ac:dyDescent="0.15">
      <c r="A2397" s="3">
        <f t="shared" si="15"/>
        <v>35153</v>
      </c>
      <c r="B2397" s="2"/>
      <c r="C2397" s="2" t="s">
        <v>30</v>
      </c>
      <c r="D2397" s="2" t="s">
        <v>7703</v>
      </c>
      <c r="E2397" s="2" t="s">
        <v>7704</v>
      </c>
      <c r="F2397" s="4">
        <v>7011</v>
      </c>
      <c r="G2397" s="2" t="s">
        <v>269</v>
      </c>
      <c r="H2397" s="2" t="s">
        <v>34</v>
      </c>
      <c r="I2397" s="2" t="s">
        <v>7705</v>
      </c>
      <c r="J2397" s="2" t="s">
        <v>7706</v>
      </c>
      <c r="K2397" s="2" t="s">
        <v>269</v>
      </c>
      <c r="L2397" s="2" t="s">
        <v>34</v>
      </c>
      <c r="M2397" s="7">
        <v>100.437</v>
      </c>
      <c r="N2397" s="7">
        <v>3.4380000000000002</v>
      </c>
      <c r="O2397" s="7">
        <v>3.375</v>
      </c>
      <c r="P2397" s="2" t="s">
        <v>7707</v>
      </c>
      <c r="Q2397" s="2"/>
      <c r="R2397" s="6">
        <v>3.25</v>
      </c>
      <c r="S2397" s="5">
        <v>-5</v>
      </c>
      <c r="T2397" s="6">
        <v>59.55</v>
      </c>
      <c r="U2397" s="5">
        <v>-25.9</v>
      </c>
      <c r="V2397" s="7">
        <v>-0.97699999999999998</v>
      </c>
      <c r="W2397" s="7">
        <v>2.375</v>
      </c>
      <c r="X2397" s="7">
        <v>2.375</v>
      </c>
      <c r="Y2397" s="7">
        <v>2.875</v>
      </c>
      <c r="Z2397" s="7">
        <v>2.875</v>
      </c>
      <c r="AA2397" s="6">
        <v>5.19</v>
      </c>
      <c r="AB2397" s="7">
        <v>9.99</v>
      </c>
      <c r="AC2397" s="6">
        <v>56.54</v>
      </c>
    </row>
    <row r="2398" spans="1:29" ht="143" x14ac:dyDescent="0.15">
      <c r="A2398" s="3">
        <f t="shared" si="15"/>
        <v>35153</v>
      </c>
      <c r="B2398" s="3">
        <f>DATE(1996,9,3)</f>
        <v>35311</v>
      </c>
      <c r="C2398" s="2" t="s">
        <v>95</v>
      </c>
      <c r="D2398" s="2" t="s">
        <v>7708</v>
      </c>
      <c r="E2398" s="2" t="s">
        <v>7709</v>
      </c>
      <c r="F2398" s="4">
        <v>6141</v>
      </c>
      <c r="G2398" s="2" t="s">
        <v>370</v>
      </c>
      <c r="H2398" s="2" t="s">
        <v>34</v>
      </c>
      <c r="I2398" s="2" t="s">
        <v>1201</v>
      </c>
      <c r="J2398" s="2" t="s">
        <v>36</v>
      </c>
      <c r="K2398" s="2" t="s">
        <v>37</v>
      </c>
      <c r="L2398" s="2" t="s">
        <v>34</v>
      </c>
      <c r="M2398" s="8">
        <v>1446.2</v>
      </c>
      <c r="N2398" s="2"/>
      <c r="O2398" s="2"/>
      <c r="P2398" s="2" t="s">
        <v>7710</v>
      </c>
      <c r="Q2398" s="6">
        <v>100</v>
      </c>
      <c r="R2398" s="6">
        <v>10.66</v>
      </c>
      <c r="S2398" s="5">
        <v>8.1999999999999993</v>
      </c>
      <c r="T2398" s="7">
        <v>24.925999999999998</v>
      </c>
      <c r="U2398" s="5">
        <v>2.5</v>
      </c>
      <c r="V2398" s="7">
        <v>0.54700000000000004</v>
      </c>
      <c r="W2398" s="4">
        <v>10</v>
      </c>
      <c r="X2398" s="6">
        <v>9.75</v>
      </c>
      <c r="Y2398" s="7">
        <v>10.125</v>
      </c>
      <c r="Z2398" s="6">
        <v>10.25</v>
      </c>
      <c r="AA2398" s="6">
        <v>15.01</v>
      </c>
      <c r="AB2398" s="7">
        <v>10.606999999999999</v>
      </c>
      <c r="AC2398" s="2"/>
    </row>
    <row r="2399" spans="1:29" ht="130" x14ac:dyDescent="0.15">
      <c r="A2399" s="3">
        <f>DATE(1996,4,1)</f>
        <v>35156</v>
      </c>
      <c r="B2399" s="3">
        <f>DATE(1997,4,1)</f>
        <v>35521</v>
      </c>
      <c r="C2399" s="2" t="s">
        <v>95</v>
      </c>
      <c r="D2399" s="2" t="s">
        <v>1026</v>
      </c>
      <c r="E2399" s="2" t="s">
        <v>1027</v>
      </c>
      <c r="F2399" s="4">
        <v>4813</v>
      </c>
      <c r="G2399" s="2" t="s">
        <v>63</v>
      </c>
      <c r="H2399" s="2" t="s">
        <v>34</v>
      </c>
      <c r="I2399" s="2" t="s">
        <v>4689</v>
      </c>
      <c r="J2399" s="2" t="s">
        <v>1604</v>
      </c>
      <c r="K2399" s="2" t="s">
        <v>63</v>
      </c>
      <c r="L2399" s="2" t="s">
        <v>34</v>
      </c>
      <c r="M2399" s="12">
        <v>34185.756999999998</v>
      </c>
      <c r="N2399" s="7">
        <v>49.875</v>
      </c>
      <c r="O2399" s="6">
        <v>50.25</v>
      </c>
      <c r="P2399" s="2" t="s">
        <v>7711</v>
      </c>
      <c r="Q2399" s="6">
        <v>100</v>
      </c>
      <c r="R2399" s="6">
        <v>38.49</v>
      </c>
      <c r="S2399" s="8">
        <v>1048</v>
      </c>
      <c r="T2399" s="8">
        <v>3875</v>
      </c>
      <c r="U2399" s="5">
        <v>5.2</v>
      </c>
      <c r="V2399" s="6">
        <v>2.46</v>
      </c>
      <c r="W2399" s="6">
        <v>28.25</v>
      </c>
      <c r="X2399" s="6">
        <v>27.75</v>
      </c>
      <c r="Y2399" s="6">
        <v>33.75</v>
      </c>
      <c r="Z2399" s="7">
        <v>34.125</v>
      </c>
      <c r="AA2399" s="6">
        <v>428.43</v>
      </c>
      <c r="AB2399" s="7">
        <v>11.345000000000001</v>
      </c>
      <c r="AC2399" s="5">
        <v>489.9</v>
      </c>
    </row>
    <row r="2400" spans="1:29" ht="143" x14ac:dyDescent="0.15">
      <c r="A2400" s="3">
        <f>DATE(1996,4,1)</f>
        <v>35156</v>
      </c>
      <c r="B2400" s="3">
        <f>DATE(1996,7,19)</f>
        <v>35265</v>
      </c>
      <c r="C2400" s="2" t="s">
        <v>95</v>
      </c>
      <c r="D2400" s="2" t="s">
        <v>7712</v>
      </c>
      <c r="E2400" s="2" t="s">
        <v>2241</v>
      </c>
      <c r="F2400" s="4">
        <v>8011</v>
      </c>
      <c r="G2400" s="2" t="s">
        <v>454</v>
      </c>
      <c r="H2400" s="2" t="s">
        <v>34</v>
      </c>
      <c r="I2400" s="2" t="s">
        <v>7713</v>
      </c>
      <c r="J2400" s="2" t="s">
        <v>124</v>
      </c>
      <c r="K2400" s="2" t="s">
        <v>125</v>
      </c>
      <c r="L2400" s="2" t="s">
        <v>34</v>
      </c>
      <c r="M2400" s="12">
        <v>8716.5190000000002</v>
      </c>
      <c r="N2400" s="4">
        <v>72</v>
      </c>
      <c r="O2400" s="4">
        <v>72</v>
      </c>
      <c r="P2400" s="2" t="s">
        <v>7714</v>
      </c>
      <c r="Q2400" s="6">
        <v>100</v>
      </c>
      <c r="R2400" s="6">
        <v>57</v>
      </c>
      <c r="S2400" s="5">
        <v>380.7</v>
      </c>
      <c r="T2400" s="7">
        <v>560.37400000000002</v>
      </c>
      <c r="U2400" s="5">
        <v>6.3</v>
      </c>
      <c r="V2400" s="6">
        <v>2.42</v>
      </c>
      <c r="W2400" s="4">
        <v>47</v>
      </c>
      <c r="X2400" s="7">
        <v>45.875</v>
      </c>
      <c r="Y2400" s="7">
        <v>51.875</v>
      </c>
      <c r="Z2400" s="4">
        <v>52</v>
      </c>
      <c r="AA2400" s="6">
        <v>153.91</v>
      </c>
      <c r="AB2400" s="7">
        <v>14.548</v>
      </c>
      <c r="AC2400" s="2"/>
    </row>
    <row r="2401" spans="1:29" ht="65" x14ac:dyDescent="0.15">
      <c r="A2401" s="3">
        <f>DATE(1996,4,2)</f>
        <v>35157</v>
      </c>
      <c r="B2401" s="2"/>
      <c r="C2401" s="2" t="s">
        <v>39</v>
      </c>
      <c r="D2401" s="2" t="s">
        <v>7715</v>
      </c>
      <c r="E2401" s="2" t="s">
        <v>7716</v>
      </c>
      <c r="F2401" s="4">
        <v>7011</v>
      </c>
      <c r="G2401" s="2" t="s">
        <v>269</v>
      </c>
      <c r="H2401" s="2" t="s">
        <v>34</v>
      </c>
      <c r="I2401" s="2" t="s">
        <v>7717</v>
      </c>
      <c r="J2401" s="2" t="s">
        <v>1882</v>
      </c>
      <c r="K2401" s="2" t="s">
        <v>269</v>
      </c>
      <c r="L2401" s="2" t="s">
        <v>34</v>
      </c>
      <c r="M2401" s="2"/>
      <c r="N2401" s="2"/>
      <c r="O2401" s="2"/>
      <c r="P2401" s="2" t="s">
        <v>7718</v>
      </c>
      <c r="Q2401" s="2"/>
      <c r="R2401" s="2"/>
      <c r="S2401" s="5">
        <v>81.599999999999994</v>
      </c>
      <c r="T2401" s="7">
        <v>404.60500000000002</v>
      </c>
      <c r="U2401" s="5">
        <v>4.3</v>
      </c>
      <c r="V2401" s="7">
        <v>1.3680000000000001</v>
      </c>
      <c r="W2401" s="7">
        <v>16.375</v>
      </c>
      <c r="X2401" s="4">
        <v>18</v>
      </c>
      <c r="Y2401" s="7">
        <v>21.625</v>
      </c>
      <c r="Z2401" s="6">
        <v>21.75</v>
      </c>
      <c r="AA2401" s="6">
        <v>49.76</v>
      </c>
      <c r="AB2401" s="2" t="s">
        <v>47</v>
      </c>
      <c r="AC2401" s="2"/>
    </row>
    <row r="2402" spans="1:29" ht="130" x14ac:dyDescent="0.15">
      <c r="A2402" s="3">
        <f>DATE(1996,4,2)</f>
        <v>35157</v>
      </c>
      <c r="B2402" s="3">
        <f>DATE(1996,11,18)</f>
        <v>35387</v>
      </c>
      <c r="C2402" s="2" t="s">
        <v>95</v>
      </c>
      <c r="D2402" s="2" t="s">
        <v>7719</v>
      </c>
      <c r="E2402" s="2" t="s">
        <v>1181</v>
      </c>
      <c r="F2402" s="4">
        <v>6022</v>
      </c>
      <c r="G2402" s="2" t="s">
        <v>37</v>
      </c>
      <c r="H2402" s="2" t="s">
        <v>34</v>
      </c>
      <c r="I2402" s="2" t="s">
        <v>7720</v>
      </c>
      <c r="J2402" s="2" t="s">
        <v>36</v>
      </c>
      <c r="K2402" s="2" t="s">
        <v>37</v>
      </c>
      <c r="L2402" s="2" t="s">
        <v>34</v>
      </c>
      <c r="M2402" s="7">
        <v>131.27600000000001</v>
      </c>
      <c r="N2402" s="5">
        <v>29.5</v>
      </c>
      <c r="O2402" s="4">
        <v>29</v>
      </c>
      <c r="P2402" s="2" t="s">
        <v>7721</v>
      </c>
      <c r="Q2402" s="6">
        <v>100</v>
      </c>
      <c r="R2402" s="6">
        <v>11.76</v>
      </c>
      <c r="S2402" s="5">
        <v>1.6</v>
      </c>
      <c r="T2402" s="7">
        <v>3.1760000000000002</v>
      </c>
      <c r="U2402" s="5">
        <v>7.6</v>
      </c>
      <c r="V2402" s="7">
        <v>0.623</v>
      </c>
      <c r="W2402" s="6">
        <v>7.75</v>
      </c>
      <c r="X2402" s="4">
        <v>8</v>
      </c>
      <c r="Y2402" s="6">
        <v>8.25</v>
      </c>
      <c r="Z2402" s="4">
        <v>11</v>
      </c>
      <c r="AA2402" s="6">
        <v>2.52</v>
      </c>
      <c r="AB2402" s="7">
        <v>79.018000000000001</v>
      </c>
      <c r="AC2402" s="2"/>
    </row>
    <row r="2403" spans="1:29" ht="156" x14ac:dyDescent="0.15">
      <c r="A2403" s="3">
        <f>DATE(1996,4,2)</f>
        <v>35157</v>
      </c>
      <c r="B2403" s="3">
        <f>DATE(1996,8,15)</f>
        <v>35292</v>
      </c>
      <c r="C2403" s="2" t="s">
        <v>95</v>
      </c>
      <c r="D2403" s="2" t="s">
        <v>6046</v>
      </c>
      <c r="E2403" s="2" t="s">
        <v>6047</v>
      </c>
      <c r="F2403" s="4">
        <v>3812</v>
      </c>
      <c r="G2403" s="2" t="s">
        <v>226</v>
      </c>
      <c r="H2403" s="2" t="s">
        <v>34</v>
      </c>
      <c r="I2403" s="2" t="s">
        <v>3628</v>
      </c>
      <c r="J2403" s="2" t="s">
        <v>3629</v>
      </c>
      <c r="K2403" s="2" t="s">
        <v>163</v>
      </c>
      <c r="L2403" s="2" t="s">
        <v>34</v>
      </c>
      <c r="M2403" s="12">
        <v>1256.6310000000001</v>
      </c>
      <c r="N2403" s="7">
        <v>18.125</v>
      </c>
      <c r="O2403" s="6">
        <v>17.75</v>
      </c>
      <c r="P2403" s="2" t="s">
        <v>7722</v>
      </c>
      <c r="Q2403" s="6">
        <v>100</v>
      </c>
      <c r="R2403" s="6">
        <v>36.57</v>
      </c>
      <c r="S2403" s="5">
        <v>162</v>
      </c>
      <c r="T2403" s="5">
        <v>295.3</v>
      </c>
      <c r="U2403" s="5">
        <v>7.1</v>
      </c>
      <c r="V2403" s="6">
        <v>2.88</v>
      </c>
      <c r="W2403" s="4">
        <v>17</v>
      </c>
      <c r="X2403" s="7">
        <v>17.125</v>
      </c>
      <c r="Y2403" s="6">
        <v>20.75</v>
      </c>
      <c r="Z2403" s="6">
        <v>20.25</v>
      </c>
      <c r="AA2403" s="6">
        <v>55.81</v>
      </c>
      <c r="AB2403" s="7">
        <v>11.016</v>
      </c>
      <c r="AC2403" s="6">
        <v>70.91</v>
      </c>
    </row>
    <row r="2404" spans="1:29" ht="65" x14ac:dyDescent="0.15">
      <c r="A2404" s="3">
        <f>DATE(1996,4,3)</f>
        <v>35158</v>
      </c>
      <c r="B2404" s="2"/>
      <c r="C2404" s="2" t="s">
        <v>30</v>
      </c>
      <c r="D2404" s="2" t="s">
        <v>7723</v>
      </c>
      <c r="E2404" s="2" t="s">
        <v>263</v>
      </c>
      <c r="F2404" s="4">
        <v>6022</v>
      </c>
      <c r="G2404" s="2" t="s">
        <v>37</v>
      </c>
      <c r="H2404" s="2" t="s">
        <v>34</v>
      </c>
      <c r="I2404" s="2" t="s">
        <v>6706</v>
      </c>
      <c r="J2404" s="2" t="s">
        <v>32</v>
      </c>
      <c r="K2404" s="2" t="s">
        <v>33</v>
      </c>
      <c r="L2404" s="2" t="s">
        <v>34</v>
      </c>
      <c r="M2404" s="2"/>
      <c r="N2404" s="2"/>
      <c r="O2404" s="2"/>
      <c r="P2404" s="2" t="s">
        <v>7724</v>
      </c>
      <c r="Q2404" s="2"/>
      <c r="R2404" s="6">
        <v>24</v>
      </c>
      <c r="S2404" s="5">
        <v>1.9</v>
      </c>
      <c r="T2404" s="7">
        <v>6.0229999999999997</v>
      </c>
      <c r="U2404" s="5">
        <v>18.399999999999999</v>
      </c>
      <c r="V2404" s="6">
        <v>0.4</v>
      </c>
      <c r="W2404" s="4">
        <v>20</v>
      </c>
      <c r="X2404" s="4">
        <v>21</v>
      </c>
      <c r="Y2404" s="5">
        <v>21.5</v>
      </c>
      <c r="Z2404" s="6">
        <v>21.75</v>
      </c>
      <c r="AA2404" s="6">
        <v>4.66</v>
      </c>
      <c r="AB2404" s="7">
        <v>93.262</v>
      </c>
      <c r="AC2404" s="2"/>
    </row>
    <row r="2405" spans="1:29" ht="104" x14ac:dyDescent="0.15">
      <c r="A2405" s="3">
        <f>DATE(1996,4,3)</f>
        <v>35158</v>
      </c>
      <c r="B2405" s="3">
        <f>DATE(1996,6,17)</f>
        <v>35233</v>
      </c>
      <c r="C2405" s="2" t="s">
        <v>95</v>
      </c>
      <c r="D2405" s="2" t="s">
        <v>7725</v>
      </c>
      <c r="E2405" s="2" t="s">
        <v>7726</v>
      </c>
      <c r="F2405" s="4">
        <v>5961</v>
      </c>
      <c r="G2405" s="2" t="s">
        <v>73</v>
      </c>
      <c r="H2405" s="2" t="s">
        <v>34</v>
      </c>
      <c r="I2405" s="2" t="s">
        <v>7727</v>
      </c>
      <c r="J2405" s="2" t="s">
        <v>7728</v>
      </c>
      <c r="K2405" s="2" t="s">
        <v>73</v>
      </c>
      <c r="L2405" s="2" t="s">
        <v>34</v>
      </c>
      <c r="M2405" s="7">
        <v>364.315</v>
      </c>
      <c r="N2405" s="4">
        <v>54</v>
      </c>
      <c r="O2405" s="4">
        <v>53</v>
      </c>
      <c r="P2405" s="2" t="s">
        <v>7729</v>
      </c>
      <c r="Q2405" s="6">
        <v>100</v>
      </c>
      <c r="R2405" s="6">
        <v>7.5</v>
      </c>
      <c r="S2405" s="5">
        <v>5.7</v>
      </c>
      <c r="T2405" s="7">
        <v>5.6680000000000001</v>
      </c>
      <c r="U2405" s="5">
        <v>2.8</v>
      </c>
      <c r="V2405" s="6">
        <v>1.38</v>
      </c>
      <c r="W2405" s="6">
        <v>6.25</v>
      </c>
      <c r="X2405" s="7">
        <v>7.875</v>
      </c>
      <c r="Y2405" s="5">
        <v>7.5</v>
      </c>
      <c r="Z2405" s="5">
        <v>7.5</v>
      </c>
      <c r="AA2405" s="6">
        <v>3.8</v>
      </c>
      <c r="AB2405" s="7">
        <v>9.2780000000000005</v>
      </c>
      <c r="AC2405" s="5">
        <v>0.4</v>
      </c>
    </row>
    <row r="2406" spans="1:29" ht="156" x14ac:dyDescent="0.15">
      <c r="A2406" s="3">
        <f>DATE(1996,4,5)</f>
        <v>35160</v>
      </c>
      <c r="B2406" s="3">
        <f>DATE(1996,8,28)</f>
        <v>35305</v>
      </c>
      <c r="C2406" s="2" t="s">
        <v>95</v>
      </c>
      <c r="D2406" s="2" t="s">
        <v>7730</v>
      </c>
      <c r="E2406" s="2" t="s">
        <v>7731</v>
      </c>
      <c r="F2406" s="4">
        <v>5311</v>
      </c>
      <c r="G2406" s="2" t="s">
        <v>756</v>
      </c>
      <c r="H2406" s="2" t="s">
        <v>34</v>
      </c>
      <c r="I2406" s="2" t="s">
        <v>7732</v>
      </c>
      <c r="J2406" s="2" t="s">
        <v>7733</v>
      </c>
      <c r="K2406" s="2" t="s">
        <v>756</v>
      </c>
      <c r="L2406" s="2" t="s">
        <v>34</v>
      </c>
      <c r="M2406" s="12">
        <v>11786.023999999999</v>
      </c>
      <c r="N2406" s="7">
        <v>46.875</v>
      </c>
      <c r="O2406" s="7">
        <v>46.875</v>
      </c>
      <c r="P2406" s="2" t="s">
        <v>7734</v>
      </c>
      <c r="Q2406" s="6">
        <v>100</v>
      </c>
      <c r="R2406" s="2"/>
      <c r="S2406" s="5">
        <v>-8.8000000000000007</v>
      </c>
      <c r="T2406" s="7">
        <v>30.741</v>
      </c>
      <c r="U2406" s="5">
        <v>23.1</v>
      </c>
      <c r="V2406" s="6">
        <v>-0.83</v>
      </c>
      <c r="W2406" s="5">
        <v>16.5</v>
      </c>
      <c r="X2406" s="4">
        <v>15</v>
      </c>
      <c r="Y2406" s="6">
        <v>19.25</v>
      </c>
      <c r="Z2406" s="4">
        <v>19</v>
      </c>
      <c r="AA2406" s="6">
        <v>10.46</v>
      </c>
      <c r="AB2406" s="2" t="s">
        <v>86</v>
      </c>
      <c r="AC2406" s="5">
        <v>159</v>
      </c>
    </row>
    <row r="2407" spans="1:29" ht="91" x14ac:dyDescent="0.15">
      <c r="A2407" s="3">
        <f>DATE(1996,4,8)</f>
        <v>35163</v>
      </c>
      <c r="B2407" s="2"/>
      <c r="C2407" s="2" t="s">
        <v>30</v>
      </c>
      <c r="D2407" s="2" t="s">
        <v>7735</v>
      </c>
      <c r="E2407" s="2" t="s">
        <v>7736</v>
      </c>
      <c r="F2407" s="4">
        <v>3841</v>
      </c>
      <c r="G2407" s="2" t="s">
        <v>226</v>
      </c>
      <c r="H2407" s="2" t="s">
        <v>34</v>
      </c>
      <c r="I2407" s="2" t="s">
        <v>4475</v>
      </c>
      <c r="J2407" s="2" t="s">
        <v>4476</v>
      </c>
      <c r="K2407" s="2" t="s">
        <v>226</v>
      </c>
      <c r="L2407" s="2" t="s">
        <v>34</v>
      </c>
      <c r="M2407" s="12">
        <v>2798.8249999999998</v>
      </c>
      <c r="N2407" s="7">
        <v>36.625</v>
      </c>
      <c r="O2407" s="7">
        <v>37.875</v>
      </c>
      <c r="P2407" s="2" t="s">
        <v>7737</v>
      </c>
      <c r="Q2407" s="2"/>
      <c r="R2407" s="6">
        <v>7</v>
      </c>
      <c r="S2407" s="5">
        <v>-7.2</v>
      </c>
      <c r="T2407" s="7">
        <v>-7.6349999999999998</v>
      </c>
      <c r="U2407" s="5">
        <v>1.2</v>
      </c>
      <c r="V2407" s="6">
        <v>-0.79</v>
      </c>
      <c r="W2407" s="6">
        <v>4.75</v>
      </c>
      <c r="X2407" s="5">
        <v>5.5</v>
      </c>
      <c r="Y2407" s="7">
        <v>5.875</v>
      </c>
      <c r="Z2407" s="5">
        <v>5.5</v>
      </c>
      <c r="AA2407" s="6">
        <v>10.3</v>
      </c>
      <c r="AB2407" s="2" t="s">
        <v>86</v>
      </c>
      <c r="AC2407" s="6">
        <v>166.05</v>
      </c>
    </row>
    <row r="2408" spans="1:29" ht="104" x14ac:dyDescent="0.15">
      <c r="A2408" s="3">
        <f>DATE(1996,4,8)</f>
        <v>35163</v>
      </c>
      <c r="B2408" s="2"/>
      <c r="C2408" s="2" t="s">
        <v>30</v>
      </c>
      <c r="D2408" s="2" t="s">
        <v>7738</v>
      </c>
      <c r="E2408" s="2" t="s">
        <v>1181</v>
      </c>
      <c r="F2408" s="4">
        <v>6022</v>
      </c>
      <c r="G2408" s="2" t="s">
        <v>37</v>
      </c>
      <c r="H2408" s="2" t="s">
        <v>34</v>
      </c>
      <c r="I2408" s="2" t="s">
        <v>2386</v>
      </c>
      <c r="J2408" s="2" t="s">
        <v>36</v>
      </c>
      <c r="K2408" s="2" t="s">
        <v>37</v>
      </c>
      <c r="L2408" s="2" t="s">
        <v>34</v>
      </c>
      <c r="M2408" s="6">
        <v>151.61000000000001</v>
      </c>
      <c r="N2408" s="7">
        <v>15.875</v>
      </c>
      <c r="O2408" s="6">
        <v>15.25</v>
      </c>
      <c r="P2408" s="2" t="s">
        <v>7739</v>
      </c>
      <c r="Q2408" s="2"/>
      <c r="R2408" s="6">
        <v>4.83</v>
      </c>
      <c r="S2408" s="5">
        <v>-0.6</v>
      </c>
      <c r="T2408" s="7">
        <v>9.6000000000000002E-2</v>
      </c>
      <c r="U2408" s="5">
        <v>4.2</v>
      </c>
      <c r="V2408" s="7">
        <v>-0.14799999999999999</v>
      </c>
      <c r="W2408" s="7">
        <v>3.125</v>
      </c>
      <c r="X2408" s="4">
        <v>3</v>
      </c>
      <c r="Y2408" s="6">
        <v>3.75</v>
      </c>
      <c r="Z2408" s="4">
        <v>4</v>
      </c>
      <c r="AA2408" s="6">
        <v>4.26</v>
      </c>
      <c r="AB2408" s="2" t="s">
        <v>86</v>
      </c>
      <c r="AC2408" s="2"/>
    </row>
    <row r="2409" spans="1:29" ht="91" x14ac:dyDescent="0.15">
      <c r="A2409" s="3">
        <f>DATE(1996,4,9)</f>
        <v>35164</v>
      </c>
      <c r="B2409" s="3">
        <f>DATE(1996,10,28)</f>
        <v>35366</v>
      </c>
      <c r="C2409" s="2" t="s">
        <v>95</v>
      </c>
      <c r="D2409" s="2" t="s">
        <v>7740</v>
      </c>
      <c r="E2409" s="2" t="s">
        <v>7244</v>
      </c>
      <c r="F2409" s="4">
        <v>6035</v>
      </c>
      <c r="G2409" s="2" t="s">
        <v>33</v>
      </c>
      <c r="H2409" s="2" t="s">
        <v>34</v>
      </c>
      <c r="I2409" s="2" t="s">
        <v>4253</v>
      </c>
      <c r="J2409" s="2" t="s">
        <v>36</v>
      </c>
      <c r="K2409" s="2" t="s">
        <v>33</v>
      </c>
      <c r="L2409" s="2" t="s">
        <v>34</v>
      </c>
      <c r="M2409" s="7">
        <v>778.86099999999999</v>
      </c>
      <c r="N2409" s="7">
        <v>18.562999999999999</v>
      </c>
      <c r="O2409" s="5">
        <v>18.5</v>
      </c>
      <c r="P2409" s="2" t="s">
        <v>7741</v>
      </c>
      <c r="Q2409" s="6">
        <v>100</v>
      </c>
      <c r="R2409" s="6">
        <v>23</v>
      </c>
      <c r="S2409" s="5">
        <v>0.3</v>
      </c>
      <c r="T2409" s="7">
        <v>0.57099999999999995</v>
      </c>
      <c r="U2409" s="2"/>
      <c r="V2409" s="2"/>
      <c r="W2409" s="6">
        <v>16.75</v>
      </c>
      <c r="X2409" s="7">
        <v>17.375</v>
      </c>
      <c r="Y2409" s="7">
        <v>17.375</v>
      </c>
      <c r="Z2409" s="4">
        <v>21</v>
      </c>
      <c r="AA2409" s="6">
        <v>0.33</v>
      </c>
      <c r="AB2409" s="7">
        <v>101.209</v>
      </c>
      <c r="AC2409" s="2"/>
    </row>
    <row r="2410" spans="1:29" ht="78" x14ac:dyDescent="0.15">
      <c r="A2410" s="3">
        <f>DATE(1996,4,9)</f>
        <v>35164</v>
      </c>
      <c r="B2410" s="2"/>
      <c r="C2410" s="2" t="s">
        <v>7330</v>
      </c>
      <c r="D2410" s="2" t="s">
        <v>7401</v>
      </c>
      <c r="E2410" s="2" t="s">
        <v>7402</v>
      </c>
      <c r="F2410" s="4">
        <v>3089</v>
      </c>
      <c r="G2410" s="2" t="s">
        <v>447</v>
      </c>
      <c r="H2410" s="2" t="s">
        <v>34</v>
      </c>
      <c r="I2410" s="2" t="s">
        <v>138</v>
      </c>
      <c r="J2410" s="2" t="s">
        <v>139</v>
      </c>
      <c r="K2410" s="2" t="s">
        <v>53</v>
      </c>
      <c r="L2410" s="2" t="s">
        <v>139</v>
      </c>
      <c r="M2410" s="2"/>
      <c r="N2410" s="2"/>
      <c r="O2410" s="2"/>
      <c r="P2410" s="2" t="s">
        <v>7742</v>
      </c>
      <c r="Q2410" s="2"/>
      <c r="R2410" s="2"/>
      <c r="S2410" s="5">
        <v>3.3</v>
      </c>
      <c r="T2410" s="7">
        <v>5.3049999999999997</v>
      </c>
      <c r="U2410" s="5">
        <v>1.2</v>
      </c>
      <c r="V2410" s="6">
        <v>0.24</v>
      </c>
      <c r="W2410" s="7">
        <v>1.6879999999999999</v>
      </c>
      <c r="X2410" s="7">
        <v>1.6879999999999999</v>
      </c>
      <c r="Y2410" s="7">
        <v>1.6879999999999999</v>
      </c>
      <c r="Z2410" s="7">
        <v>1.6879999999999999</v>
      </c>
      <c r="AA2410" s="6">
        <v>14.16</v>
      </c>
      <c r="AB2410" s="2" t="s">
        <v>47</v>
      </c>
      <c r="AC2410" s="2"/>
    </row>
    <row r="2411" spans="1:29" ht="117" x14ac:dyDescent="0.15">
      <c r="A2411" s="3">
        <f>DATE(1996,4,9)</f>
        <v>35164</v>
      </c>
      <c r="B2411" s="3">
        <f>DATE(1996,10,19)</f>
        <v>35357</v>
      </c>
      <c r="C2411" s="2" t="s">
        <v>95</v>
      </c>
      <c r="D2411" s="2" t="s">
        <v>7743</v>
      </c>
      <c r="E2411" s="2" t="s">
        <v>602</v>
      </c>
      <c r="F2411" s="4">
        <v>6035</v>
      </c>
      <c r="G2411" s="2" t="s">
        <v>33</v>
      </c>
      <c r="H2411" s="2" t="s">
        <v>34</v>
      </c>
      <c r="I2411" s="2" t="s">
        <v>7744</v>
      </c>
      <c r="J2411" s="2" t="s">
        <v>36</v>
      </c>
      <c r="K2411" s="2" t="s">
        <v>37</v>
      </c>
      <c r="L2411" s="2" t="s">
        <v>34</v>
      </c>
      <c r="M2411" s="5">
        <v>749.1</v>
      </c>
      <c r="N2411" s="6">
        <v>33.25</v>
      </c>
      <c r="O2411" s="7">
        <v>33.375</v>
      </c>
      <c r="P2411" s="2" t="s">
        <v>7745</v>
      </c>
      <c r="Q2411" s="6">
        <v>100</v>
      </c>
      <c r="R2411" s="6">
        <v>21.28</v>
      </c>
      <c r="S2411" s="5">
        <v>2</v>
      </c>
      <c r="T2411" s="7">
        <v>3.3450000000000002</v>
      </c>
      <c r="U2411" s="5">
        <v>14.4</v>
      </c>
      <c r="V2411" s="7">
        <v>1.1080000000000001</v>
      </c>
      <c r="W2411" s="6">
        <v>16.75</v>
      </c>
      <c r="X2411" s="6">
        <v>16.25</v>
      </c>
      <c r="Y2411" s="4">
        <v>19</v>
      </c>
      <c r="Z2411" s="4">
        <v>20</v>
      </c>
      <c r="AA2411" s="6">
        <v>1.78</v>
      </c>
      <c r="AB2411" s="7">
        <v>59.463000000000001</v>
      </c>
      <c r="AC2411" s="2"/>
    </row>
    <row r="2412" spans="1:29" ht="104" x14ac:dyDescent="0.15">
      <c r="A2412" s="3">
        <f>DATE(1996,4,10)</f>
        <v>35165</v>
      </c>
      <c r="B2412" s="3">
        <f>DATE(1996,10,15)</f>
        <v>35353</v>
      </c>
      <c r="C2412" s="2" t="s">
        <v>95</v>
      </c>
      <c r="D2412" s="2" t="s">
        <v>7746</v>
      </c>
      <c r="E2412" s="2" t="s">
        <v>7747</v>
      </c>
      <c r="F2412" s="4">
        <v>6211</v>
      </c>
      <c r="G2412" s="2" t="s">
        <v>53</v>
      </c>
      <c r="H2412" s="2" t="s">
        <v>34</v>
      </c>
      <c r="I2412" s="2" t="s">
        <v>7748</v>
      </c>
      <c r="J2412" s="2" t="s">
        <v>265</v>
      </c>
      <c r="K2412" s="2" t="s">
        <v>37</v>
      </c>
      <c r="L2412" s="2" t="s">
        <v>902</v>
      </c>
      <c r="M2412" s="2"/>
      <c r="N2412" s="2"/>
      <c r="O2412" s="2"/>
      <c r="P2412" s="2" t="s">
        <v>7749</v>
      </c>
      <c r="Q2412" s="6">
        <v>100</v>
      </c>
      <c r="R2412" s="6">
        <v>38</v>
      </c>
      <c r="S2412" s="5">
        <v>21.9</v>
      </c>
      <c r="T2412" s="7">
        <v>75.570999999999998</v>
      </c>
      <c r="U2412" s="5">
        <v>6.4</v>
      </c>
      <c r="V2412" s="7">
        <v>1.8979999999999999</v>
      </c>
      <c r="W2412" s="6">
        <v>31.75</v>
      </c>
      <c r="X2412" s="4">
        <v>33</v>
      </c>
      <c r="Y2412" s="6">
        <v>36.25</v>
      </c>
      <c r="Z2412" s="7">
        <v>36.125</v>
      </c>
      <c r="AA2412" s="6">
        <v>13.84</v>
      </c>
      <c r="AB2412" s="7">
        <v>7.55</v>
      </c>
      <c r="AC2412" s="2"/>
    </row>
    <row r="2413" spans="1:29" ht="221" x14ac:dyDescent="0.15">
      <c r="A2413" s="3">
        <f>DATE(1996,4,12)</f>
        <v>35167</v>
      </c>
      <c r="B2413" s="2"/>
      <c r="C2413" s="2" t="s">
        <v>30</v>
      </c>
      <c r="D2413" s="2" t="s">
        <v>7412</v>
      </c>
      <c r="E2413" s="2" t="s">
        <v>7413</v>
      </c>
      <c r="F2413" s="4">
        <v>4911</v>
      </c>
      <c r="G2413" s="2" t="s">
        <v>439</v>
      </c>
      <c r="H2413" s="2" t="s">
        <v>34</v>
      </c>
      <c r="I2413" s="2" t="s">
        <v>7750</v>
      </c>
      <c r="J2413" s="2" t="s">
        <v>7751</v>
      </c>
      <c r="K2413" s="2" t="s">
        <v>439</v>
      </c>
      <c r="L2413" s="2" t="s">
        <v>34</v>
      </c>
      <c r="M2413" s="12">
        <v>1886.384</v>
      </c>
      <c r="N2413" s="7">
        <v>29.125</v>
      </c>
      <c r="O2413" s="7">
        <v>28.875</v>
      </c>
      <c r="P2413" s="2" t="s">
        <v>7752</v>
      </c>
      <c r="Q2413" s="2"/>
      <c r="R2413" s="6">
        <v>35.5</v>
      </c>
      <c r="S2413" s="5">
        <v>122.6</v>
      </c>
      <c r="T2413" s="7">
        <v>376.77300000000002</v>
      </c>
      <c r="U2413" s="5">
        <v>14.5</v>
      </c>
      <c r="V2413" s="6">
        <v>1.92</v>
      </c>
      <c r="W2413" s="4">
        <v>26</v>
      </c>
      <c r="X2413" s="6">
        <v>26.25</v>
      </c>
      <c r="Y2413" s="6">
        <v>26.75</v>
      </c>
      <c r="Z2413" s="7">
        <v>26.625</v>
      </c>
      <c r="AA2413" s="6">
        <v>61.9</v>
      </c>
      <c r="AB2413" s="7">
        <v>13.076000000000001</v>
      </c>
      <c r="AC2413" s="6">
        <v>2.41</v>
      </c>
    </row>
    <row r="2414" spans="1:29" ht="104" x14ac:dyDescent="0.15">
      <c r="A2414" s="3">
        <f t="shared" ref="A2414:A2419" si="16">DATE(1996,4,15)</f>
        <v>35170</v>
      </c>
      <c r="B2414" s="3">
        <f>DATE(1996,8,20)</f>
        <v>35297</v>
      </c>
      <c r="C2414" s="2" t="s">
        <v>95</v>
      </c>
      <c r="D2414" s="2" t="s">
        <v>7753</v>
      </c>
      <c r="E2414" s="2" t="s">
        <v>7754</v>
      </c>
      <c r="F2414" s="4">
        <v>8062</v>
      </c>
      <c r="G2414" s="2" t="s">
        <v>454</v>
      </c>
      <c r="H2414" s="2" t="s">
        <v>34</v>
      </c>
      <c r="I2414" s="2" t="s">
        <v>7755</v>
      </c>
      <c r="J2414" s="2" t="s">
        <v>7756</v>
      </c>
      <c r="K2414" s="2" t="s">
        <v>454</v>
      </c>
      <c r="L2414" s="2" t="s">
        <v>34</v>
      </c>
      <c r="M2414" s="7">
        <v>649.95899999999995</v>
      </c>
      <c r="N2414" s="7">
        <v>11.875</v>
      </c>
      <c r="O2414" s="7">
        <v>11.875</v>
      </c>
      <c r="P2414" s="2" t="s">
        <v>7757</v>
      </c>
      <c r="Q2414" s="6">
        <v>100</v>
      </c>
      <c r="R2414" s="6">
        <v>8.5</v>
      </c>
      <c r="S2414" s="5">
        <v>4.5999999999999996</v>
      </c>
      <c r="T2414" s="7">
        <v>24.954999999999998</v>
      </c>
      <c r="U2414" s="5">
        <v>2.8</v>
      </c>
      <c r="V2414" s="7">
        <v>-1.4419999999999999</v>
      </c>
      <c r="W2414" s="7">
        <v>10.375</v>
      </c>
      <c r="X2414" s="5">
        <v>10.5</v>
      </c>
      <c r="Y2414" s="4">
        <v>11</v>
      </c>
      <c r="Z2414" s="7">
        <v>11.625</v>
      </c>
      <c r="AA2414" s="6">
        <v>12.01</v>
      </c>
      <c r="AB2414" s="7">
        <v>27.62</v>
      </c>
      <c r="AC2414" s="2"/>
    </row>
    <row r="2415" spans="1:29" ht="91" x14ac:dyDescent="0.15">
      <c r="A2415" s="3">
        <f t="shared" si="16"/>
        <v>35170</v>
      </c>
      <c r="B2415" s="2"/>
      <c r="C2415" s="2" t="s">
        <v>30</v>
      </c>
      <c r="D2415" s="2" t="s">
        <v>7758</v>
      </c>
      <c r="E2415" s="2" t="s">
        <v>1550</v>
      </c>
      <c r="F2415" s="4">
        <v>7372</v>
      </c>
      <c r="G2415" s="2" t="s">
        <v>551</v>
      </c>
      <c r="H2415" s="2" t="s">
        <v>34</v>
      </c>
      <c r="I2415" s="2" t="s">
        <v>7759</v>
      </c>
      <c r="J2415" s="2" t="s">
        <v>7760</v>
      </c>
      <c r="K2415" s="2" t="s">
        <v>551</v>
      </c>
      <c r="L2415" s="2" t="s">
        <v>34</v>
      </c>
      <c r="M2415" s="12">
        <v>1289.9390000000001</v>
      </c>
      <c r="N2415" s="6">
        <v>58.75</v>
      </c>
      <c r="O2415" s="6">
        <v>57.75</v>
      </c>
      <c r="P2415" s="2" t="s">
        <v>7761</v>
      </c>
      <c r="Q2415" s="2"/>
      <c r="R2415" s="6">
        <v>27.5</v>
      </c>
      <c r="S2415" s="5">
        <v>28.8</v>
      </c>
      <c r="T2415" s="7">
        <v>62.499000000000002</v>
      </c>
      <c r="U2415" s="5">
        <v>3.7</v>
      </c>
      <c r="V2415" s="7">
        <v>0.73899999999999999</v>
      </c>
      <c r="W2415" s="6">
        <v>15.75</v>
      </c>
      <c r="X2415" s="6">
        <v>15.75</v>
      </c>
      <c r="Y2415" s="6">
        <v>21.75</v>
      </c>
      <c r="Z2415" s="7">
        <v>21.625</v>
      </c>
      <c r="AA2415" s="6">
        <v>37.5</v>
      </c>
      <c r="AB2415" s="7">
        <v>19.696000000000002</v>
      </c>
      <c r="AC2415" s="6">
        <v>55.36</v>
      </c>
    </row>
    <row r="2416" spans="1:29" ht="117" x14ac:dyDescent="0.15">
      <c r="A2416" s="3">
        <f t="shared" si="16"/>
        <v>35170</v>
      </c>
      <c r="B2416" s="3">
        <f>DATE(1997,8,5)</f>
        <v>35647</v>
      </c>
      <c r="C2416" s="2" t="s">
        <v>95</v>
      </c>
      <c r="D2416" s="2" t="s">
        <v>7762</v>
      </c>
      <c r="E2416" s="2" t="s">
        <v>612</v>
      </c>
      <c r="F2416" s="4">
        <v>1311</v>
      </c>
      <c r="G2416" s="2" t="s">
        <v>148</v>
      </c>
      <c r="H2416" s="2" t="s">
        <v>34</v>
      </c>
      <c r="I2416" s="2" t="s">
        <v>278</v>
      </c>
      <c r="J2416" s="2" t="s">
        <v>52</v>
      </c>
      <c r="K2416" s="2" t="s">
        <v>53</v>
      </c>
      <c r="L2416" s="2" t="s">
        <v>34</v>
      </c>
      <c r="M2416" s="2"/>
      <c r="N2416" s="2"/>
      <c r="O2416" s="2"/>
      <c r="P2416" s="2" t="s">
        <v>7763</v>
      </c>
      <c r="Q2416" s="6">
        <v>83</v>
      </c>
      <c r="R2416" s="6">
        <v>8</v>
      </c>
      <c r="S2416" s="5">
        <v>-2.6</v>
      </c>
      <c r="T2416" s="7">
        <v>155.46600000000001</v>
      </c>
      <c r="U2416" s="5">
        <v>7.4</v>
      </c>
      <c r="V2416" s="7">
        <v>-2.5999999999999999E-2</v>
      </c>
      <c r="W2416" s="6">
        <v>9.75</v>
      </c>
      <c r="X2416" s="6">
        <v>10.25</v>
      </c>
      <c r="Y2416" s="7">
        <v>9.875</v>
      </c>
      <c r="Z2416" s="7">
        <v>10.125</v>
      </c>
      <c r="AA2416" s="6">
        <v>125.87</v>
      </c>
      <c r="AB2416" s="7">
        <v>85.924000000000007</v>
      </c>
      <c r="AC2416" s="2"/>
    </row>
    <row r="2417" spans="1:29" ht="65" x14ac:dyDescent="0.15">
      <c r="A2417" s="3">
        <f t="shared" si="16"/>
        <v>35170</v>
      </c>
      <c r="B2417" s="2"/>
      <c r="C2417" s="2" t="s">
        <v>30</v>
      </c>
      <c r="D2417" s="2" t="s">
        <v>7764</v>
      </c>
      <c r="E2417" s="2" t="s">
        <v>6519</v>
      </c>
      <c r="F2417" s="4">
        <v>4899</v>
      </c>
      <c r="G2417" s="2" t="s">
        <v>63</v>
      </c>
      <c r="H2417" s="2" t="s">
        <v>34</v>
      </c>
      <c r="I2417" s="2" t="s">
        <v>7765</v>
      </c>
      <c r="J2417" s="2" t="s">
        <v>7766</v>
      </c>
      <c r="K2417" s="2" t="s">
        <v>63</v>
      </c>
      <c r="L2417" s="2" t="s">
        <v>902</v>
      </c>
      <c r="M2417" s="2"/>
      <c r="N2417" s="2"/>
      <c r="O2417" s="2"/>
      <c r="P2417" s="2" t="s">
        <v>7767</v>
      </c>
      <c r="Q2417" s="2"/>
      <c r="R2417" s="6">
        <v>5</v>
      </c>
      <c r="S2417" s="5">
        <v>-2</v>
      </c>
      <c r="T2417" s="7">
        <v>-0.68300000000000005</v>
      </c>
      <c r="U2417" s="5">
        <v>-0.1</v>
      </c>
      <c r="V2417" s="6">
        <v>-0.23</v>
      </c>
      <c r="W2417" s="7">
        <v>3.125</v>
      </c>
      <c r="X2417" s="7">
        <v>2.625</v>
      </c>
      <c r="Y2417" s="7">
        <v>3.2029999999999998</v>
      </c>
      <c r="Z2417" s="6">
        <v>2.88</v>
      </c>
      <c r="AA2417" s="6">
        <v>10.75</v>
      </c>
      <c r="AB2417" s="2" t="s">
        <v>86</v>
      </c>
      <c r="AC2417" s="2"/>
    </row>
    <row r="2418" spans="1:29" ht="117" x14ac:dyDescent="0.15">
      <c r="A2418" s="3">
        <f t="shared" si="16"/>
        <v>35170</v>
      </c>
      <c r="B2418" s="3">
        <f>DATE(1996,11,22)</f>
        <v>35391</v>
      </c>
      <c r="C2418" s="2" t="s">
        <v>95</v>
      </c>
      <c r="D2418" s="2" t="s">
        <v>4759</v>
      </c>
      <c r="E2418" s="2" t="s">
        <v>4760</v>
      </c>
      <c r="F2418" s="4">
        <v>4832</v>
      </c>
      <c r="G2418" s="2" t="s">
        <v>45</v>
      </c>
      <c r="H2418" s="2" t="s">
        <v>34</v>
      </c>
      <c r="I2418" s="2" t="s">
        <v>5944</v>
      </c>
      <c r="J2418" s="2" t="s">
        <v>5945</v>
      </c>
      <c r="K2418" s="2" t="s">
        <v>45</v>
      </c>
      <c r="L2418" s="2" t="s">
        <v>34</v>
      </c>
      <c r="M2418" s="7">
        <v>235.625</v>
      </c>
      <c r="N2418" s="5">
        <v>34.5</v>
      </c>
      <c r="O2418" s="7">
        <v>34.375</v>
      </c>
      <c r="P2418" s="2" t="s">
        <v>7768</v>
      </c>
      <c r="Q2418" s="6">
        <v>100</v>
      </c>
      <c r="R2418" s="6">
        <v>12.5</v>
      </c>
      <c r="S2418" s="5">
        <v>-4</v>
      </c>
      <c r="T2418" s="7">
        <v>6.1210000000000004</v>
      </c>
      <c r="U2418" s="5">
        <v>3.9</v>
      </c>
      <c r="V2418" s="6">
        <v>-1.06</v>
      </c>
      <c r="W2418" s="7">
        <v>9.625</v>
      </c>
      <c r="X2418" s="6">
        <v>11.25</v>
      </c>
      <c r="Y2418" s="5">
        <v>10.5</v>
      </c>
      <c r="Z2418" s="5">
        <v>10.5</v>
      </c>
      <c r="AA2418" s="6">
        <v>3.49</v>
      </c>
      <c r="AB2418" s="7">
        <v>21</v>
      </c>
      <c r="AC2418" s="6">
        <v>11.89</v>
      </c>
    </row>
    <row r="2419" spans="1:29" ht="156" x14ac:dyDescent="0.15">
      <c r="A2419" s="3">
        <f t="shared" si="16"/>
        <v>35170</v>
      </c>
      <c r="B2419" s="2"/>
      <c r="C2419" s="2" t="s">
        <v>30</v>
      </c>
      <c r="D2419" s="2" t="s">
        <v>7769</v>
      </c>
      <c r="E2419" s="2" t="s">
        <v>6070</v>
      </c>
      <c r="F2419" s="4">
        <v>4812</v>
      </c>
      <c r="G2419" s="2" t="s">
        <v>63</v>
      </c>
      <c r="H2419" s="2" t="s">
        <v>34</v>
      </c>
      <c r="I2419" s="2" t="s">
        <v>4362</v>
      </c>
      <c r="J2419" s="2" t="s">
        <v>4363</v>
      </c>
      <c r="K2419" s="2" t="s">
        <v>63</v>
      </c>
      <c r="L2419" s="2" t="s">
        <v>34</v>
      </c>
      <c r="M2419" s="7">
        <v>153.08699999999999</v>
      </c>
      <c r="N2419" s="7">
        <v>28.625</v>
      </c>
      <c r="O2419" s="7">
        <v>27.625</v>
      </c>
      <c r="P2419" s="2" t="s">
        <v>7770</v>
      </c>
      <c r="Q2419" s="2"/>
      <c r="R2419" s="6">
        <v>5.5</v>
      </c>
      <c r="S2419" s="5">
        <v>-1.4</v>
      </c>
      <c r="T2419" s="7">
        <v>1.831</v>
      </c>
      <c r="U2419" s="5">
        <v>2.1</v>
      </c>
      <c r="V2419" s="6">
        <v>-0.72</v>
      </c>
      <c r="W2419" s="7">
        <v>4.3129999999999997</v>
      </c>
      <c r="X2419" s="7">
        <v>4.375</v>
      </c>
      <c r="Y2419" s="7">
        <v>4.6879999999999997</v>
      </c>
      <c r="Z2419" s="7">
        <v>5.125</v>
      </c>
      <c r="AA2419" s="6">
        <v>13.64</v>
      </c>
      <c r="AB2419" s="2" t="s">
        <v>86</v>
      </c>
      <c r="AC2419" s="6">
        <v>10.15</v>
      </c>
    </row>
    <row r="2420" spans="1:29" ht="143" x14ac:dyDescent="0.15">
      <c r="A2420" s="3">
        <f>DATE(1996,4,17)</f>
        <v>35172</v>
      </c>
      <c r="B2420" s="3">
        <f>DATE(1996,8,30)</f>
        <v>35307</v>
      </c>
      <c r="C2420" s="2" t="s">
        <v>95</v>
      </c>
      <c r="D2420" s="2" t="s">
        <v>7198</v>
      </c>
      <c r="E2420" s="2" t="s">
        <v>36</v>
      </c>
      <c r="F2420" s="4">
        <v>6021</v>
      </c>
      <c r="G2420" s="2" t="s">
        <v>37</v>
      </c>
      <c r="H2420" s="2" t="s">
        <v>34</v>
      </c>
      <c r="I2420" s="2" t="s">
        <v>7771</v>
      </c>
      <c r="J2420" s="2" t="s">
        <v>3246</v>
      </c>
      <c r="K2420" s="2" t="s">
        <v>37</v>
      </c>
      <c r="L2420" s="2" t="s">
        <v>34</v>
      </c>
      <c r="M2420" s="7">
        <v>161.47900000000001</v>
      </c>
      <c r="N2420" s="5">
        <v>39.5</v>
      </c>
      <c r="O2420" s="4">
        <v>37</v>
      </c>
      <c r="P2420" s="2" t="s">
        <v>7772</v>
      </c>
      <c r="Q2420" s="6">
        <v>100</v>
      </c>
      <c r="R2420" s="6">
        <v>22.92</v>
      </c>
      <c r="S2420" s="5">
        <v>1.2</v>
      </c>
      <c r="T2420" s="6">
        <v>2.09</v>
      </c>
      <c r="U2420" s="5">
        <v>11.7</v>
      </c>
      <c r="V2420" s="6">
        <v>1.58</v>
      </c>
      <c r="W2420" s="4">
        <v>20</v>
      </c>
      <c r="X2420" s="6">
        <v>19.75</v>
      </c>
      <c r="Y2420" s="5">
        <v>20.5</v>
      </c>
      <c r="Z2420" s="4">
        <v>21</v>
      </c>
      <c r="AA2420" s="6">
        <v>0.79</v>
      </c>
      <c r="AB2420" s="7">
        <v>43.7</v>
      </c>
      <c r="AC2420" s="2"/>
    </row>
    <row r="2421" spans="1:29" ht="156" x14ac:dyDescent="0.15">
      <c r="A2421" s="3">
        <f>DATE(1996,4,17)</f>
        <v>35172</v>
      </c>
      <c r="B2421" s="2"/>
      <c r="C2421" s="2" t="s">
        <v>30</v>
      </c>
      <c r="D2421" s="2" t="s">
        <v>7333</v>
      </c>
      <c r="E2421" s="2" t="s">
        <v>7334</v>
      </c>
      <c r="F2421" s="4">
        <v>3679</v>
      </c>
      <c r="G2421" s="2" t="s">
        <v>137</v>
      </c>
      <c r="H2421" s="2" t="s">
        <v>34</v>
      </c>
      <c r="I2421" s="2" t="s">
        <v>4259</v>
      </c>
      <c r="J2421" s="2" t="s">
        <v>7773</v>
      </c>
      <c r="K2421" s="2" t="s">
        <v>137</v>
      </c>
      <c r="L2421" s="2" t="s">
        <v>34</v>
      </c>
      <c r="M2421" s="7">
        <v>105.664</v>
      </c>
      <c r="N2421" s="7">
        <v>2.5630000000000002</v>
      </c>
      <c r="O2421" s="6">
        <v>2.75</v>
      </c>
      <c r="P2421" s="2" t="s">
        <v>7774</v>
      </c>
      <c r="Q2421" s="2"/>
      <c r="R2421" s="6">
        <v>12</v>
      </c>
      <c r="S2421" s="5">
        <v>-0.9</v>
      </c>
      <c r="T2421" s="7">
        <v>6.8150000000000004</v>
      </c>
      <c r="U2421" s="5">
        <v>9.6</v>
      </c>
      <c r="V2421" s="6">
        <v>-0.15</v>
      </c>
      <c r="W2421" s="4">
        <v>7</v>
      </c>
      <c r="X2421" s="5">
        <v>8.5</v>
      </c>
      <c r="Y2421" s="7">
        <v>8.375</v>
      </c>
      <c r="Z2421" s="7">
        <v>8.3439999999999994</v>
      </c>
      <c r="AA2421" s="6">
        <v>5.71</v>
      </c>
      <c r="AB2421" s="7">
        <v>42.616</v>
      </c>
      <c r="AC2421" s="6">
        <v>16.13</v>
      </c>
    </row>
    <row r="2422" spans="1:29" ht="117" x14ac:dyDescent="0.15">
      <c r="A2422" s="3">
        <f>DATE(1996,4,17)</f>
        <v>35172</v>
      </c>
      <c r="B2422" s="3">
        <f>DATE(1996,7,31)</f>
        <v>35277</v>
      </c>
      <c r="C2422" s="2" t="s">
        <v>95</v>
      </c>
      <c r="D2422" s="2" t="s">
        <v>7775</v>
      </c>
      <c r="E2422" s="2" t="s">
        <v>7776</v>
      </c>
      <c r="F2422" s="4">
        <v>1381</v>
      </c>
      <c r="G2422" s="2" t="s">
        <v>148</v>
      </c>
      <c r="H2422" s="2" t="s">
        <v>34</v>
      </c>
      <c r="I2422" s="2" t="s">
        <v>7777</v>
      </c>
      <c r="J2422" s="2" t="s">
        <v>7778</v>
      </c>
      <c r="K2422" s="2" t="s">
        <v>148</v>
      </c>
      <c r="L2422" s="2" t="s">
        <v>34</v>
      </c>
      <c r="M2422" s="7">
        <v>41.862000000000002</v>
      </c>
      <c r="N2422" s="5">
        <v>14.5</v>
      </c>
      <c r="O2422" s="5">
        <v>14.5</v>
      </c>
      <c r="P2422" s="2" t="s">
        <v>7779</v>
      </c>
      <c r="Q2422" s="6">
        <v>100</v>
      </c>
      <c r="R2422" s="6">
        <v>10.73</v>
      </c>
      <c r="S2422" s="5">
        <v>1.5</v>
      </c>
      <c r="T2422" s="7">
        <v>2.4289999999999998</v>
      </c>
      <c r="U2422" s="5">
        <v>8.1999999999999993</v>
      </c>
      <c r="V2422" s="7">
        <v>0.70899999999999996</v>
      </c>
      <c r="W2422" s="7">
        <v>10.016</v>
      </c>
      <c r="X2422" s="6">
        <v>10.25</v>
      </c>
      <c r="Y2422" s="6">
        <v>10.25</v>
      </c>
      <c r="Z2422" s="7">
        <v>10.375</v>
      </c>
      <c r="AA2422" s="6">
        <v>2.1</v>
      </c>
      <c r="AB2422" s="7">
        <v>64.747</v>
      </c>
      <c r="AC2422" s="6">
        <v>2.4700000000000002</v>
      </c>
    </row>
    <row r="2423" spans="1:29" ht="156" x14ac:dyDescent="0.15">
      <c r="A2423" s="3">
        <f>DATE(1996,4,18)</f>
        <v>35173</v>
      </c>
      <c r="B2423" s="2"/>
      <c r="C2423" s="2" t="s">
        <v>30</v>
      </c>
      <c r="D2423" s="2" t="s">
        <v>7780</v>
      </c>
      <c r="E2423" s="2" t="s">
        <v>612</v>
      </c>
      <c r="F2423" s="4">
        <v>1311</v>
      </c>
      <c r="G2423" s="2" t="s">
        <v>148</v>
      </c>
      <c r="H2423" s="2" t="s">
        <v>34</v>
      </c>
      <c r="I2423" s="2" t="s">
        <v>7781</v>
      </c>
      <c r="J2423" s="2" t="s">
        <v>177</v>
      </c>
      <c r="K2423" s="2" t="s">
        <v>148</v>
      </c>
      <c r="L2423" s="2" t="s">
        <v>34</v>
      </c>
      <c r="M2423" s="7">
        <v>22.282</v>
      </c>
      <c r="N2423" s="7">
        <v>3.125</v>
      </c>
      <c r="O2423" s="6">
        <v>3.25</v>
      </c>
      <c r="P2423" s="2" t="s">
        <v>7782</v>
      </c>
      <c r="Q2423" s="2"/>
      <c r="R2423" s="6">
        <v>1.04</v>
      </c>
      <c r="S2423" s="5">
        <v>-0.7</v>
      </c>
      <c r="T2423" s="7">
        <v>-2.3E-2</v>
      </c>
      <c r="U2423" s="5">
        <v>-0.2</v>
      </c>
      <c r="V2423" s="7">
        <v>-0.23599999999999999</v>
      </c>
      <c r="W2423" s="6">
        <v>1.25</v>
      </c>
      <c r="X2423" s="7">
        <v>1.3440000000000001</v>
      </c>
      <c r="Y2423" s="7">
        <v>1.375</v>
      </c>
      <c r="Z2423" s="7">
        <v>1.375</v>
      </c>
      <c r="AA2423" s="6">
        <v>4.1100000000000003</v>
      </c>
      <c r="AB2423" s="2" t="s">
        <v>86</v>
      </c>
      <c r="AC2423" s="6">
        <v>1.89</v>
      </c>
    </row>
    <row r="2424" spans="1:29" ht="156" x14ac:dyDescent="0.15">
      <c r="A2424" s="3">
        <f>DATE(1996,4,19)</f>
        <v>35174</v>
      </c>
      <c r="B2424" s="3">
        <f>DATE(1996,8,9)</f>
        <v>35286</v>
      </c>
      <c r="C2424" s="2" t="s">
        <v>95</v>
      </c>
      <c r="D2424" s="2" t="s">
        <v>7783</v>
      </c>
      <c r="E2424" s="2" t="s">
        <v>229</v>
      </c>
      <c r="F2424" s="4">
        <v>5812</v>
      </c>
      <c r="G2424" s="2" t="s">
        <v>230</v>
      </c>
      <c r="H2424" s="2" t="s">
        <v>34</v>
      </c>
      <c r="I2424" s="2" t="s">
        <v>7784</v>
      </c>
      <c r="J2424" s="2" t="s">
        <v>7785</v>
      </c>
      <c r="K2424" s="2" t="s">
        <v>230</v>
      </c>
      <c r="L2424" s="2" t="s">
        <v>34</v>
      </c>
      <c r="M2424" s="6">
        <v>342.95</v>
      </c>
      <c r="N2424" s="7">
        <v>21.875</v>
      </c>
      <c r="O2424" s="4">
        <v>25</v>
      </c>
      <c r="P2424" s="2" t="s">
        <v>7786</v>
      </c>
      <c r="Q2424" s="6">
        <v>100</v>
      </c>
      <c r="R2424" s="2"/>
      <c r="S2424" s="5">
        <v>1.2</v>
      </c>
      <c r="T2424" s="7">
        <v>3.7160000000000002</v>
      </c>
      <c r="U2424" s="5">
        <v>2.4</v>
      </c>
      <c r="V2424" s="7">
        <v>0.114</v>
      </c>
      <c r="W2424" s="7">
        <v>3.4380000000000002</v>
      </c>
      <c r="X2424" s="4">
        <v>4</v>
      </c>
      <c r="Y2424" s="4">
        <v>4</v>
      </c>
      <c r="Z2424" s="7">
        <v>3.9380000000000002</v>
      </c>
      <c r="AA2424" s="6">
        <v>9.7200000000000006</v>
      </c>
      <c r="AB2424" s="7">
        <v>26.721</v>
      </c>
      <c r="AC2424" s="6">
        <v>16.63</v>
      </c>
    </row>
    <row r="2425" spans="1:29" ht="104" x14ac:dyDescent="0.15">
      <c r="A2425" s="3">
        <f t="shared" ref="A2425:A2434" si="17">DATE(1996,4,22)</f>
        <v>35177</v>
      </c>
      <c r="B2425" s="3">
        <f>DATE(1996,10,1)</f>
        <v>35339</v>
      </c>
      <c r="C2425" s="2" t="s">
        <v>95</v>
      </c>
      <c r="D2425" s="2" t="s">
        <v>7787</v>
      </c>
      <c r="E2425" s="2" t="s">
        <v>1181</v>
      </c>
      <c r="F2425" s="4">
        <v>6021</v>
      </c>
      <c r="G2425" s="2" t="s">
        <v>37</v>
      </c>
      <c r="H2425" s="2" t="s">
        <v>34</v>
      </c>
      <c r="I2425" s="2" t="s">
        <v>7166</v>
      </c>
      <c r="J2425" s="2" t="s">
        <v>7167</v>
      </c>
      <c r="K2425" s="2" t="s">
        <v>37</v>
      </c>
      <c r="L2425" s="2" t="s">
        <v>34</v>
      </c>
      <c r="M2425" s="7">
        <v>334.178</v>
      </c>
      <c r="N2425" s="4">
        <v>16</v>
      </c>
      <c r="O2425" s="7">
        <v>16.375</v>
      </c>
      <c r="P2425" s="2" t="s">
        <v>7788</v>
      </c>
      <c r="Q2425" s="6">
        <v>100</v>
      </c>
      <c r="R2425" s="6">
        <v>15</v>
      </c>
      <c r="S2425" s="5">
        <v>0.8</v>
      </c>
      <c r="T2425" s="2"/>
      <c r="U2425" s="5">
        <v>6.9</v>
      </c>
      <c r="V2425" s="6">
        <v>0.49</v>
      </c>
      <c r="W2425" s="6">
        <v>10.25</v>
      </c>
      <c r="X2425" s="6">
        <v>11.25</v>
      </c>
      <c r="Y2425" s="7">
        <v>13.875</v>
      </c>
      <c r="Z2425" s="7">
        <v>14.125</v>
      </c>
      <c r="AA2425" s="6">
        <v>1.73</v>
      </c>
      <c r="AB2425" s="2" t="s">
        <v>47</v>
      </c>
      <c r="AC2425" s="2"/>
    </row>
    <row r="2426" spans="1:29" ht="143" x14ac:dyDescent="0.15">
      <c r="A2426" s="3">
        <f t="shared" si="17"/>
        <v>35177</v>
      </c>
      <c r="B2426" s="3">
        <f>DATE(1996,6,4)</f>
        <v>35220</v>
      </c>
      <c r="C2426" s="2" t="s">
        <v>95</v>
      </c>
      <c r="D2426" s="2" t="s">
        <v>7789</v>
      </c>
      <c r="E2426" s="2" t="s">
        <v>7790</v>
      </c>
      <c r="F2426" s="4">
        <v>4923</v>
      </c>
      <c r="G2426" s="2" t="s">
        <v>439</v>
      </c>
      <c r="H2426" s="2" t="s">
        <v>34</v>
      </c>
      <c r="I2426" s="2" t="s">
        <v>7791</v>
      </c>
      <c r="J2426" s="2" t="s">
        <v>7792</v>
      </c>
      <c r="K2426" s="2" t="s">
        <v>148</v>
      </c>
      <c r="L2426" s="2" t="s">
        <v>34</v>
      </c>
      <c r="M2426" s="2"/>
      <c r="N2426" s="2"/>
      <c r="O2426" s="2"/>
      <c r="P2426" s="2" t="s">
        <v>7793</v>
      </c>
      <c r="Q2426" s="6">
        <v>100</v>
      </c>
      <c r="R2426" s="6">
        <v>6</v>
      </c>
      <c r="S2426" s="5">
        <v>0.3</v>
      </c>
      <c r="T2426" s="7">
        <v>4.1840000000000002</v>
      </c>
      <c r="U2426" s="5">
        <v>0.9</v>
      </c>
      <c r="V2426" s="6">
        <v>0.02</v>
      </c>
      <c r="W2426" s="7">
        <v>4.625</v>
      </c>
      <c r="X2426" s="7">
        <v>4.6879999999999997</v>
      </c>
      <c r="Y2426" s="7">
        <v>5.8129999999999997</v>
      </c>
      <c r="Z2426" s="7">
        <v>5.875</v>
      </c>
      <c r="AA2426" s="6">
        <v>12.52</v>
      </c>
      <c r="AB2426" s="7">
        <v>62.546999999999997</v>
      </c>
      <c r="AC2426" s="2"/>
    </row>
    <row r="2427" spans="1:29" ht="130" x14ac:dyDescent="0.15">
      <c r="A2427" s="3">
        <f t="shared" si="17"/>
        <v>35177</v>
      </c>
      <c r="B2427" s="3">
        <f>DATE(1996,7,18)</f>
        <v>35264</v>
      </c>
      <c r="C2427" s="2" t="s">
        <v>95</v>
      </c>
      <c r="D2427" s="2" t="s">
        <v>7794</v>
      </c>
      <c r="E2427" s="2" t="s">
        <v>7795</v>
      </c>
      <c r="F2427" s="4">
        <v>2761</v>
      </c>
      <c r="G2427" s="2" t="s">
        <v>186</v>
      </c>
      <c r="H2427" s="2" t="s">
        <v>34</v>
      </c>
      <c r="I2427" s="2" t="s">
        <v>7796</v>
      </c>
      <c r="J2427" s="2" t="s">
        <v>7797</v>
      </c>
      <c r="K2427" s="2" t="s">
        <v>551</v>
      </c>
      <c r="L2427" s="2" t="s">
        <v>34</v>
      </c>
      <c r="M2427" s="10">
        <v>1641.16</v>
      </c>
      <c r="N2427" s="5">
        <v>45.5</v>
      </c>
      <c r="O2427" s="5">
        <v>45.5</v>
      </c>
      <c r="P2427" s="2" t="s">
        <v>7798</v>
      </c>
      <c r="Q2427" s="6">
        <v>100</v>
      </c>
      <c r="R2427" s="6">
        <v>12</v>
      </c>
      <c r="S2427" s="5">
        <v>-1.9</v>
      </c>
      <c r="T2427" s="7">
        <v>1.474</v>
      </c>
      <c r="U2427" s="5">
        <v>13</v>
      </c>
      <c r="V2427" s="6">
        <v>-0.25</v>
      </c>
      <c r="W2427" s="7">
        <v>9.3130000000000006</v>
      </c>
      <c r="X2427" s="7">
        <v>11.875</v>
      </c>
      <c r="Y2427" s="4">
        <v>12</v>
      </c>
      <c r="Z2427" s="7">
        <v>11.875</v>
      </c>
      <c r="AA2427" s="6">
        <v>7.48</v>
      </c>
      <c r="AB2427" s="2" t="s">
        <v>86</v>
      </c>
      <c r="AC2427" s="6">
        <v>19.43</v>
      </c>
    </row>
    <row r="2428" spans="1:29" ht="130" x14ac:dyDescent="0.15">
      <c r="A2428" s="3">
        <f t="shared" si="17"/>
        <v>35177</v>
      </c>
      <c r="B2428" s="3">
        <f>DATE(1996,9,30)</f>
        <v>35338</v>
      </c>
      <c r="C2428" s="2" t="s">
        <v>95</v>
      </c>
      <c r="D2428" s="2" t="s">
        <v>7799</v>
      </c>
      <c r="E2428" s="2" t="s">
        <v>36</v>
      </c>
      <c r="F2428" s="4">
        <v>6035</v>
      </c>
      <c r="G2428" s="2" t="s">
        <v>33</v>
      </c>
      <c r="H2428" s="2" t="s">
        <v>34</v>
      </c>
      <c r="I2428" s="2" t="s">
        <v>7800</v>
      </c>
      <c r="J2428" s="2" t="s">
        <v>36</v>
      </c>
      <c r="K2428" s="2" t="s">
        <v>37</v>
      </c>
      <c r="L2428" s="2" t="s">
        <v>34</v>
      </c>
      <c r="M2428" s="7">
        <v>134.97800000000001</v>
      </c>
      <c r="N2428" s="6">
        <v>32.75</v>
      </c>
      <c r="O2428" s="5">
        <v>33.5</v>
      </c>
      <c r="P2428" s="2" t="s">
        <v>7801</v>
      </c>
      <c r="Q2428" s="6">
        <v>100</v>
      </c>
      <c r="R2428" s="6">
        <v>28.5</v>
      </c>
      <c r="S2428" s="5">
        <v>2.2000000000000002</v>
      </c>
      <c r="T2428" s="7">
        <v>2.3849999999999998</v>
      </c>
      <c r="U2428" s="5">
        <v>25.8</v>
      </c>
      <c r="V2428" s="7">
        <v>1.3819999999999999</v>
      </c>
      <c r="W2428" s="7">
        <v>24.375</v>
      </c>
      <c r="X2428" s="6">
        <v>24.25</v>
      </c>
      <c r="Y2428" s="6">
        <v>24.75</v>
      </c>
      <c r="Z2428" s="7">
        <v>26.062999999999999</v>
      </c>
      <c r="AA2428" s="6">
        <v>1.5</v>
      </c>
      <c r="AB2428" s="7">
        <v>98.947999999999993</v>
      </c>
      <c r="AC2428" s="2"/>
    </row>
    <row r="2429" spans="1:29" ht="117" x14ac:dyDescent="0.15">
      <c r="A2429" s="3">
        <f t="shared" si="17"/>
        <v>35177</v>
      </c>
      <c r="B2429" s="3">
        <f>DATE(1996,8,7)</f>
        <v>35284</v>
      </c>
      <c r="C2429" s="2" t="s">
        <v>95</v>
      </c>
      <c r="D2429" s="2" t="s">
        <v>7802</v>
      </c>
      <c r="E2429" s="2" t="s">
        <v>7803</v>
      </c>
      <c r="F2429" s="4">
        <v>5961</v>
      </c>
      <c r="G2429" s="2" t="s">
        <v>73</v>
      </c>
      <c r="H2429" s="2" t="s">
        <v>34</v>
      </c>
      <c r="I2429" s="2" t="s">
        <v>2373</v>
      </c>
      <c r="J2429" s="2" t="s">
        <v>268</v>
      </c>
      <c r="K2429" s="2" t="s">
        <v>269</v>
      </c>
      <c r="L2429" s="2" t="s">
        <v>34</v>
      </c>
      <c r="M2429" s="10">
        <v>5468.82</v>
      </c>
      <c r="N2429" s="6">
        <v>30.75</v>
      </c>
      <c r="O2429" s="4">
        <v>31</v>
      </c>
      <c r="P2429" s="2" t="s">
        <v>7804</v>
      </c>
      <c r="Q2429" s="6">
        <v>100</v>
      </c>
      <c r="R2429" s="6">
        <v>13.5</v>
      </c>
      <c r="S2429" s="5">
        <v>-49.4</v>
      </c>
      <c r="T2429" s="7">
        <v>139.47399999999999</v>
      </c>
      <c r="U2429" s="5">
        <v>3.7</v>
      </c>
      <c r="V2429" s="6">
        <v>-1.73</v>
      </c>
      <c r="W2429" s="6">
        <v>8.75</v>
      </c>
      <c r="X2429" s="6">
        <v>9.75</v>
      </c>
      <c r="Y2429" s="7">
        <v>10.625</v>
      </c>
      <c r="Z2429" s="7">
        <v>10.625</v>
      </c>
      <c r="AA2429" s="6">
        <v>27.98</v>
      </c>
      <c r="AB2429" s="7">
        <v>27.206</v>
      </c>
      <c r="AC2429" s="6">
        <v>269.99</v>
      </c>
    </row>
    <row r="2430" spans="1:29" ht="143" x14ac:dyDescent="0.15">
      <c r="A2430" s="3">
        <f t="shared" si="17"/>
        <v>35177</v>
      </c>
      <c r="B2430" s="3">
        <f>DATE(1997,8,15)</f>
        <v>35657</v>
      </c>
      <c r="C2430" s="2" t="s">
        <v>95</v>
      </c>
      <c r="D2430" s="2" t="s">
        <v>7805</v>
      </c>
      <c r="E2430" s="2" t="s">
        <v>375</v>
      </c>
      <c r="F2430" s="4">
        <v>4813</v>
      </c>
      <c r="G2430" s="2" t="s">
        <v>63</v>
      </c>
      <c r="H2430" s="2" t="s">
        <v>34</v>
      </c>
      <c r="I2430" s="2" t="s">
        <v>2331</v>
      </c>
      <c r="J2430" s="2" t="s">
        <v>1604</v>
      </c>
      <c r="K2430" s="2" t="s">
        <v>63</v>
      </c>
      <c r="L2430" s="2" t="s">
        <v>34</v>
      </c>
      <c r="M2430" s="12">
        <v>29094.527999999998</v>
      </c>
      <c r="N2430" s="6">
        <v>67.25</v>
      </c>
      <c r="O2430" s="6">
        <v>66.25</v>
      </c>
      <c r="P2430" s="2" t="s">
        <v>7806</v>
      </c>
      <c r="Q2430" s="6">
        <v>100</v>
      </c>
      <c r="R2430" s="6">
        <v>47.04</v>
      </c>
      <c r="S2430" s="8">
        <v>1069.5</v>
      </c>
      <c r="T2430" s="8">
        <v>4659</v>
      </c>
      <c r="U2430" s="5">
        <v>14.1</v>
      </c>
      <c r="V2430" s="6">
        <v>2.5</v>
      </c>
      <c r="W2430" s="6">
        <v>47.25</v>
      </c>
      <c r="X2430" s="5">
        <v>49.5</v>
      </c>
      <c r="Y2430" s="7">
        <v>49.625</v>
      </c>
      <c r="Z2430" s="7">
        <v>49.875</v>
      </c>
      <c r="AA2430" s="6">
        <v>449.83</v>
      </c>
      <c r="AB2430" s="7">
        <v>14.472</v>
      </c>
      <c r="AC2430" s="5">
        <v>356.8</v>
      </c>
    </row>
    <row r="2431" spans="1:29" ht="156" x14ac:dyDescent="0.15">
      <c r="A2431" s="3">
        <f t="shared" si="17"/>
        <v>35177</v>
      </c>
      <c r="B2431" s="2"/>
      <c r="C2431" s="2" t="s">
        <v>7330</v>
      </c>
      <c r="D2431" s="2" t="s">
        <v>7807</v>
      </c>
      <c r="E2431" s="2" t="s">
        <v>1181</v>
      </c>
      <c r="F2431" s="4">
        <v>6022</v>
      </c>
      <c r="G2431" s="2" t="s">
        <v>37</v>
      </c>
      <c r="H2431" s="2" t="s">
        <v>34</v>
      </c>
      <c r="I2431" s="2" t="s">
        <v>7808</v>
      </c>
      <c r="J2431" s="2" t="s">
        <v>1181</v>
      </c>
      <c r="K2431" s="2" t="s">
        <v>37</v>
      </c>
      <c r="L2431" s="2" t="s">
        <v>34</v>
      </c>
      <c r="M2431" s="2"/>
      <c r="N2431" s="2"/>
      <c r="O2431" s="2"/>
      <c r="P2431" s="2" t="s">
        <v>7809</v>
      </c>
      <c r="Q2431" s="2"/>
      <c r="R2431" s="6">
        <v>17.5</v>
      </c>
      <c r="S2431" s="5">
        <v>230.7</v>
      </c>
      <c r="T2431" s="7">
        <v>0.74399999999999999</v>
      </c>
      <c r="U2431" s="5">
        <v>15.2</v>
      </c>
      <c r="V2431" s="6">
        <v>0.38</v>
      </c>
      <c r="W2431" s="6">
        <v>15.75</v>
      </c>
      <c r="X2431" s="6">
        <v>15.25</v>
      </c>
      <c r="Y2431" s="6">
        <v>14.75</v>
      </c>
      <c r="Z2431" s="7">
        <v>16.875</v>
      </c>
      <c r="AA2431" s="6">
        <v>0.62</v>
      </c>
      <c r="AB2431" s="7">
        <v>61.591000000000001</v>
      </c>
      <c r="AC2431" s="2"/>
    </row>
    <row r="2432" spans="1:29" ht="143" x14ac:dyDescent="0.15">
      <c r="A2432" s="3">
        <f t="shared" si="17"/>
        <v>35177</v>
      </c>
      <c r="B2432" s="2"/>
      <c r="C2432" s="2" t="s">
        <v>30</v>
      </c>
      <c r="D2432" s="2" t="s">
        <v>7810</v>
      </c>
      <c r="E2432" s="2" t="s">
        <v>7811</v>
      </c>
      <c r="F2432" s="4">
        <v>2869</v>
      </c>
      <c r="G2432" s="2" t="s">
        <v>98</v>
      </c>
      <c r="H2432" s="2" t="s">
        <v>34</v>
      </c>
      <c r="I2432" s="2" t="s">
        <v>7812</v>
      </c>
      <c r="J2432" s="2" t="s">
        <v>7813</v>
      </c>
      <c r="K2432" s="2" t="s">
        <v>98</v>
      </c>
      <c r="L2432" s="2" t="s">
        <v>34</v>
      </c>
      <c r="M2432" s="2"/>
      <c r="N2432" s="2"/>
      <c r="O2432" s="2"/>
      <c r="P2432" s="2" t="s">
        <v>7814</v>
      </c>
      <c r="Q2432" s="2"/>
      <c r="R2432" s="6">
        <v>12</v>
      </c>
      <c r="S2432" s="5">
        <v>153.19999999999999</v>
      </c>
      <c r="T2432" s="7">
        <v>285.79500000000002</v>
      </c>
      <c r="U2432" s="5">
        <v>4.3</v>
      </c>
      <c r="V2432" s="6">
        <v>2.76</v>
      </c>
      <c r="W2432" s="7">
        <v>8.125</v>
      </c>
      <c r="X2432" s="6">
        <v>9.25</v>
      </c>
      <c r="Y2432" s="5">
        <v>12.5</v>
      </c>
      <c r="Z2432" s="6">
        <v>11.75</v>
      </c>
      <c r="AA2432" s="6">
        <v>55.7</v>
      </c>
      <c r="AB2432" s="7">
        <v>3.125</v>
      </c>
      <c r="AC2432" s="2"/>
    </row>
    <row r="2433" spans="1:29" ht="156" x14ac:dyDescent="0.15">
      <c r="A2433" s="3">
        <f t="shared" si="17"/>
        <v>35177</v>
      </c>
      <c r="B2433" s="3">
        <f>DATE(1996,7,10)</f>
        <v>35256</v>
      </c>
      <c r="C2433" s="2" t="s">
        <v>95</v>
      </c>
      <c r="D2433" s="2" t="s">
        <v>7815</v>
      </c>
      <c r="E2433" s="2" t="s">
        <v>7816</v>
      </c>
      <c r="F2433" s="4">
        <v>3661</v>
      </c>
      <c r="G2433" s="2" t="s">
        <v>921</v>
      </c>
      <c r="H2433" s="2" t="s">
        <v>34</v>
      </c>
      <c r="I2433" s="2" t="s">
        <v>7444</v>
      </c>
      <c r="J2433" s="2" t="s">
        <v>7445</v>
      </c>
      <c r="K2433" s="2" t="s">
        <v>50</v>
      </c>
      <c r="L2433" s="2" t="s">
        <v>34</v>
      </c>
      <c r="M2433" s="12">
        <v>23895.797999999999</v>
      </c>
      <c r="N2433" s="7">
        <v>46.875</v>
      </c>
      <c r="O2433" s="7">
        <v>48.625</v>
      </c>
      <c r="P2433" s="2" t="s">
        <v>7817</v>
      </c>
      <c r="Q2433" s="6">
        <v>100</v>
      </c>
      <c r="R2433" s="6">
        <v>57.5</v>
      </c>
      <c r="S2433" s="5">
        <v>57.3</v>
      </c>
      <c r="T2433" s="7">
        <v>105.83499999999999</v>
      </c>
      <c r="U2433" s="5">
        <v>3.5</v>
      </c>
      <c r="V2433" s="7">
        <v>0.71199999999999997</v>
      </c>
      <c r="W2433" s="4">
        <v>36</v>
      </c>
      <c r="X2433" s="6">
        <v>38.75</v>
      </c>
      <c r="Y2433" s="7">
        <v>47.938000000000002</v>
      </c>
      <c r="Z2433" s="7">
        <v>49.125</v>
      </c>
      <c r="AA2433" s="6">
        <v>76.150000000000006</v>
      </c>
      <c r="AB2433" s="7">
        <v>55.616</v>
      </c>
      <c r="AC2433" s="6">
        <v>439.53</v>
      </c>
    </row>
    <row r="2434" spans="1:29" ht="143" x14ac:dyDescent="0.15">
      <c r="A2434" s="3">
        <f t="shared" si="17"/>
        <v>35177</v>
      </c>
      <c r="B2434" s="3">
        <f>DATE(1996,6,3)</f>
        <v>35219</v>
      </c>
      <c r="C2434" s="2" t="s">
        <v>95</v>
      </c>
      <c r="D2434" s="2" t="s">
        <v>1594</v>
      </c>
      <c r="E2434" s="2" t="s">
        <v>398</v>
      </c>
      <c r="F2434" s="4">
        <v>7812</v>
      </c>
      <c r="G2434" s="2" t="s">
        <v>42</v>
      </c>
      <c r="H2434" s="2" t="s">
        <v>34</v>
      </c>
      <c r="I2434" s="2" t="s">
        <v>416</v>
      </c>
      <c r="J2434" s="2" t="s">
        <v>417</v>
      </c>
      <c r="K2434" s="2" t="s">
        <v>186</v>
      </c>
      <c r="L2434" s="2" t="s">
        <v>34</v>
      </c>
      <c r="M2434" s="12">
        <v>1490.674</v>
      </c>
      <c r="N2434" s="7">
        <v>11.625</v>
      </c>
      <c r="O2434" s="7">
        <v>12.875</v>
      </c>
      <c r="P2434" s="2" t="s">
        <v>7818</v>
      </c>
      <c r="Q2434" s="6">
        <v>100</v>
      </c>
      <c r="R2434" s="6">
        <v>21.5</v>
      </c>
      <c r="S2434" s="5">
        <v>14.2</v>
      </c>
      <c r="T2434" s="7">
        <v>34.615000000000002</v>
      </c>
      <c r="U2434" s="5">
        <v>5.3</v>
      </c>
      <c r="V2434" s="7">
        <v>0.72299999999999998</v>
      </c>
      <c r="W2434" s="7">
        <v>13.625</v>
      </c>
      <c r="X2434" s="4">
        <v>15</v>
      </c>
      <c r="Y2434" s="7">
        <v>17.062999999999999</v>
      </c>
      <c r="Z2434" s="6">
        <v>17.25</v>
      </c>
      <c r="AA2434" s="6">
        <v>19.82</v>
      </c>
      <c r="AB2434" s="7">
        <v>18.716000000000001</v>
      </c>
      <c r="AC2434" s="6">
        <v>27.23</v>
      </c>
    </row>
    <row r="2435" spans="1:29" ht="91" x14ac:dyDescent="0.15">
      <c r="A2435" s="3">
        <f>DATE(1996,4,23)</f>
        <v>35178</v>
      </c>
      <c r="B2435" s="3">
        <f>DATE(1996,10,21)</f>
        <v>35359</v>
      </c>
      <c r="C2435" s="2" t="s">
        <v>95</v>
      </c>
      <c r="D2435" s="2" t="s">
        <v>7819</v>
      </c>
      <c r="E2435" s="2" t="s">
        <v>36</v>
      </c>
      <c r="F2435" s="4">
        <v>6022</v>
      </c>
      <c r="G2435" s="2" t="s">
        <v>37</v>
      </c>
      <c r="H2435" s="2" t="s">
        <v>34</v>
      </c>
      <c r="I2435" s="2" t="s">
        <v>7820</v>
      </c>
      <c r="J2435" s="2" t="s">
        <v>7821</v>
      </c>
      <c r="K2435" s="2" t="s">
        <v>37</v>
      </c>
      <c r="L2435" s="2" t="s">
        <v>34</v>
      </c>
      <c r="M2435" s="2"/>
      <c r="N2435" s="2"/>
      <c r="O2435" s="2"/>
      <c r="P2435" s="2" t="s">
        <v>7822</v>
      </c>
      <c r="Q2435" s="6">
        <v>100</v>
      </c>
      <c r="R2435" s="6">
        <v>33.409999999999997</v>
      </c>
      <c r="S2435" s="5">
        <v>2.1</v>
      </c>
      <c r="T2435" s="6">
        <v>3.94</v>
      </c>
      <c r="U2435" s="5">
        <v>24.9</v>
      </c>
      <c r="V2435" s="7">
        <v>1.8069999999999999</v>
      </c>
      <c r="W2435" s="7">
        <v>29.375</v>
      </c>
      <c r="X2435" s="4">
        <v>30</v>
      </c>
      <c r="Y2435" s="6">
        <v>30.75</v>
      </c>
      <c r="Z2435" s="4">
        <v>30</v>
      </c>
      <c r="AA2435" s="6">
        <v>1.24</v>
      </c>
      <c r="AB2435" s="7">
        <v>46.487000000000002</v>
      </c>
      <c r="AC2435" s="2"/>
    </row>
    <row r="2436" spans="1:29" ht="26" x14ac:dyDescent="0.15">
      <c r="A2436" s="3">
        <f>DATE(1996,4,25)</f>
        <v>35180</v>
      </c>
      <c r="B2436" s="2"/>
      <c r="C2436" s="2" t="s">
        <v>141</v>
      </c>
      <c r="D2436" s="2" t="s">
        <v>7215</v>
      </c>
      <c r="E2436" s="2" t="s">
        <v>7216</v>
      </c>
      <c r="F2436" s="4">
        <v>3827</v>
      </c>
      <c r="G2436" s="2" t="s">
        <v>226</v>
      </c>
      <c r="H2436" s="2" t="s">
        <v>34</v>
      </c>
      <c r="I2436" s="2" t="s">
        <v>143</v>
      </c>
      <c r="J2436" s="2" t="s">
        <v>144</v>
      </c>
      <c r="K2436" s="2" t="s">
        <v>53</v>
      </c>
      <c r="L2436" s="2" t="s">
        <v>139</v>
      </c>
      <c r="M2436" s="2"/>
      <c r="N2436" s="2"/>
      <c r="O2436" s="2"/>
      <c r="P2436" s="2" t="s">
        <v>7823</v>
      </c>
      <c r="Q2436" s="2"/>
      <c r="R2436" s="2"/>
      <c r="S2436" s="5">
        <v>-0.1</v>
      </c>
      <c r="T2436" s="7">
        <v>0.755</v>
      </c>
      <c r="U2436" s="5">
        <v>10.8</v>
      </c>
      <c r="V2436" s="7">
        <v>-0.14399999999999999</v>
      </c>
      <c r="W2436" s="5">
        <v>12.5</v>
      </c>
      <c r="X2436" s="5">
        <v>12.5</v>
      </c>
      <c r="Y2436" s="5">
        <v>12.5</v>
      </c>
      <c r="Z2436" s="5">
        <v>12.5</v>
      </c>
      <c r="AA2436" s="6">
        <v>0.5</v>
      </c>
      <c r="AB2436" s="2" t="s">
        <v>47</v>
      </c>
      <c r="AC2436" s="2"/>
    </row>
    <row r="2437" spans="1:29" ht="104" x14ac:dyDescent="0.15">
      <c r="A2437" s="3">
        <f>DATE(1996,4,25)</f>
        <v>35180</v>
      </c>
      <c r="B2437" s="2"/>
      <c r="C2437" s="2" t="s">
        <v>30</v>
      </c>
      <c r="D2437" s="2" t="s">
        <v>7824</v>
      </c>
      <c r="E2437" s="2" t="s">
        <v>1367</v>
      </c>
      <c r="F2437" s="4">
        <v>5311</v>
      </c>
      <c r="G2437" s="2" t="s">
        <v>756</v>
      </c>
      <c r="H2437" s="2" t="s">
        <v>34</v>
      </c>
      <c r="I2437" s="2" t="s">
        <v>7825</v>
      </c>
      <c r="J2437" s="2" t="s">
        <v>7826</v>
      </c>
      <c r="K2437" s="2" t="s">
        <v>756</v>
      </c>
      <c r="L2437" s="2" t="s">
        <v>34</v>
      </c>
      <c r="M2437" s="12">
        <v>11214.184999999999</v>
      </c>
      <c r="N2437" s="6">
        <v>48.75</v>
      </c>
      <c r="O2437" s="6">
        <v>49.75</v>
      </c>
      <c r="P2437" s="2" t="s">
        <v>7827</v>
      </c>
      <c r="Q2437" s="2"/>
      <c r="R2437" s="6">
        <v>95</v>
      </c>
      <c r="S2437" s="5">
        <v>311</v>
      </c>
      <c r="T2437" s="8">
        <v>1537</v>
      </c>
      <c r="U2437" s="5">
        <v>3.7</v>
      </c>
      <c r="V2437" s="9">
        <v>0.33579999999999999</v>
      </c>
      <c r="W2437" s="7">
        <v>93.375</v>
      </c>
      <c r="X2437" s="7">
        <v>92.625</v>
      </c>
      <c r="Y2437" s="7">
        <v>92.625</v>
      </c>
      <c r="Z2437" s="7">
        <v>94.875</v>
      </c>
      <c r="AA2437" s="6">
        <v>72.02</v>
      </c>
      <c r="AB2437" s="7">
        <v>92.585999999999999</v>
      </c>
      <c r="AC2437" s="5">
        <v>173</v>
      </c>
    </row>
    <row r="2438" spans="1:29" ht="130" x14ac:dyDescent="0.15">
      <c r="A2438" s="3">
        <f>DATE(1996,4,25)</f>
        <v>35180</v>
      </c>
      <c r="B2438" s="3">
        <f>DATE(1996,10,1)</f>
        <v>35339</v>
      </c>
      <c r="C2438" s="2" t="s">
        <v>95</v>
      </c>
      <c r="D2438" s="2" t="s">
        <v>7810</v>
      </c>
      <c r="E2438" s="2" t="s">
        <v>7811</v>
      </c>
      <c r="F2438" s="4">
        <v>2869</v>
      </c>
      <c r="G2438" s="2" t="s">
        <v>98</v>
      </c>
      <c r="H2438" s="2" t="s">
        <v>34</v>
      </c>
      <c r="I2438" s="2" t="s">
        <v>51</v>
      </c>
      <c r="J2438" s="2" t="s">
        <v>52</v>
      </c>
      <c r="K2438" s="2" t="s">
        <v>53</v>
      </c>
      <c r="L2438" s="2" t="s">
        <v>34</v>
      </c>
      <c r="M2438" s="2"/>
      <c r="N2438" s="2"/>
      <c r="O2438" s="2"/>
      <c r="P2438" s="2" t="s">
        <v>7828</v>
      </c>
      <c r="Q2438" s="6">
        <v>100</v>
      </c>
      <c r="R2438" s="6">
        <v>12</v>
      </c>
      <c r="S2438" s="5">
        <v>153.19999999999999</v>
      </c>
      <c r="T2438" s="7">
        <v>285.79500000000002</v>
      </c>
      <c r="U2438" s="5">
        <v>4.3</v>
      </c>
      <c r="V2438" s="6">
        <v>2.76</v>
      </c>
      <c r="W2438" s="7">
        <v>8.125</v>
      </c>
      <c r="X2438" s="6">
        <v>9.25</v>
      </c>
      <c r="Y2438" s="5">
        <v>12.5</v>
      </c>
      <c r="Z2438" s="6">
        <v>11.75</v>
      </c>
      <c r="AA2438" s="6">
        <v>55.7</v>
      </c>
      <c r="AB2438" s="7">
        <v>3.125</v>
      </c>
      <c r="AC2438" s="2"/>
    </row>
    <row r="2439" spans="1:29" ht="65" x14ac:dyDescent="0.15">
      <c r="A2439" s="3">
        <f>DATE(1996,4,26)</f>
        <v>35181</v>
      </c>
      <c r="B2439" s="3">
        <f>DATE(1996,9,30)</f>
        <v>35338</v>
      </c>
      <c r="C2439" s="2" t="s">
        <v>95</v>
      </c>
      <c r="D2439" s="2" t="s">
        <v>7829</v>
      </c>
      <c r="E2439" s="2" t="s">
        <v>36</v>
      </c>
      <c r="F2439" s="4">
        <v>6021</v>
      </c>
      <c r="G2439" s="2" t="s">
        <v>37</v>
      </c>
      <c r="H2439" s="2" t="s">
        <v>34</v>
      </c>
      <c r="I2439" s="2" t="s">
        <v>7830</v>
      </c>
      <c r="J2439" s="2" t="s">
        <v>36</v>
      </c>
      <c r="K2439" s="2" t="s">
        <v>37</v>
      </c>
      <c r="L2439" s="2" t="s">
        <v>7831</v>
      </c>
      <c r="M2439" s="2"/>
      <c r="N2439" s="7">
        <v>44.875</v>
      </c>
      <c r="O2439" s="4">
        <v>46</v>
      </c>
      <c r="P2439" s="2" t="s">
        <v>7832</v>
      </c>
      <c r="Q2439" s="6">
        <v>100</v>
      </c>
      <c r="R2439" s="6">
        <v>18.34</v>
      </c>
      <c r="S2439" s="5">
        <v>0.3</v>
      </c>
      <c r="T2439" s="7">
        <v>0.80900000000000005</v>
      </c>
      <c r="U2439" s="5">
        <v>11.2</v>
      </c>
      <c r="V2439" s="6">
        <v>0.57999999999999996</v>
      </c>
      <c r="W2439" s="7">
        <v>9.5630000000000006</v>
      </c>
      <c r="X2439" s="7">
        <v>9.5630000000000006</v>
      </c>
      <c r="Y2439" s="4">
        <v>10</v>
      </c>
      <c r="Z2439" s="6">
        <v>15.75</v>
      </c>
      <c r="AA2439" s="6">
        <v>0.56999999999999995</v>
      </c>
      <c r="AB2439" s="7">
        <v>43.384</v>
      </c>
      <c r="AC2439" s="2"/>
    </row>
    <row r="2440" spans="1:29" ht="156" x14ac:dyDescent="0.15">
      <c r="A2440" s="3">
        <f>DATE(1996,4,29)</f>
        <v>35184</v>
      </c>
      <c r="B2440" s="3">
        <f>DATE(1996,10,14)</f>
        <v>35352</v>
      </c>
      <c r="C2440" s="2" t="s">
        <v>95</v>
      </c>
      <c r="D2440" s="2" t="s">
        <v>7833</v>
      </c>
      <c r="E2440" s="2" t="s">
        <v>32</v>
      </c>
      <c r="F2440" s="4">
        <v>6035</v>
      </c>
      <c r="G2440" s="2" t="s">
        <v>33</v>
      </c>
      <c r="H2440" s="2" t="s">
        <v>34</v>
      </c>
      <c r="I2440" s="2" t="s">
        <v>7834</v>
      </c>
      <c r="J2440" s="2" t="s">
        <v>36</v>
      </c>
      <c r="K2440" s="2" t="s">
        <v>33</v>
      </c>
      <c r="L2440" s="2" t="s">
        <v>34</v>
      </c>
      <c r="M2440" s="7">
        <v>41.241999999999997</v>
      </c>
      <c r="N2440" s="7">
        <v>10.625</v>
      </c>
      <c r="O2440" s="4">
        <v>10</v>
      </c>
      <c r="P2440" s="2" t="s">
        <v>7835</v>
      </c>
      <c r="Q2440" s="6">
        <v>100</v>
      </c>
      <c r="R2440" s="6">
        <v>38</v>
      </c>
      <c r="S2440" s="5">
        <v>1</v>
      </c>
      <c r="T2440" s="2"/>
      <c r="U2440" s="5">
        <v>34.5</v>
      </c>
      <c r="V2440" s="7">
        <v>1.4179999999999999</v>
      </c>
      <c r="W2440" s="5">
        <v>27.5</v>
      </c>
      <c r="X2440" s="4">
        <v>26</v>
      </c>
      <c r="Y2440" s="5">
        <v>27.5</v>
      </c>
      <c r="Z2440" s="7">
        <v>34.625</v>
      </c>
      <c r="AA2440" s="6">
        <v>0.71</v>
      </c>
      <c r="AB2440" s="7">
        <v>156.245</v>
      </c>
      <c r="AC2440" s="2"/>
    </row>
    <row r="2441" spans="1:29" ht="156" x14ac:dyDescent="0.15">
      <c r="A2441" s="3">
        <f>DATE(1996,4,29)</f>
        <v>35184</v>
      </c>
      <c r="B2441" s="3">
        <f>DATE(1996,8,1)</f>
        <v>35278</v>
      </c>
      <c r="C2441" s="2" t="s">
        <v>95</v>
      </c>
      <c r="D2441" s="2" t="s">
        <v>7251</v>
      </c>
      <c r="E2441" s="2" t="s">
        <v>1550</v>
      </c>
      <c r="F2441" s="4">
        <v>7372</v>
      </c>
      <c r="G2441" s="2" t="s">
        <v>551</v>
      </c>
      <c r="H2441" s="2" t="s">
        <v>34</v>
      </c>
      <c r="I2441" s="2" t="s">
        <v>7836</v>
      </c>
      <c r="J2441" s="2" t="s">
        <v>7837</v>
      </c>
      <c r="K2441" s="2" t="s">
        <v>223</v>
      </c>
      <c r="L2441" s="2" t="s">
        <v>34</v>
      </c>
      <c r="M2441" s="12">
        <v>4484.8509999999997</v>
      </c>
      <c r="N2441" s="7">
        <v>75.375</v>
      </c>
      <c r="O2441" s="4">
        <v>74</v>
      </c>
      <c r="P2441" s="2" t="s">
        <v>7838</v>
      </c>
      <c r="Q2441" s="6">
        <v>100</v>
      </c>
      <c r="R2441" s="6">
        <v>61.72</v>
      </c>
      <c r="S2441" s="5">
        <v>-32.299999999999997</v>
      </c>
      <c r="T2441" s="7">
        <v>68.546999999999997</v>
      </c>
      <c r="U2441" s="5">
        <v>4.5999999999999996</v>
      </c>
      <c r="V2441" s="6">
        <v>-1.35</v>
      </c>
      <c r="W2441" s="5">
        <v>45.5</v>
      </c>
      <c r="X2441" s="7">
        <v>45.375</v>
      </c>
      <c r="Y2441" s="7">
        <v>57.625</v>
      </c>
      <c r="Z2441" s="6">
        <v>57.25</v>
      </c>
      <c r="AA2441" s="6">
        <v>24.17</v>
      </c>
      <c r="AB2441" s="7">
        <v>36.883000000000003</v>
      </c>
      <c r="AC2441" s="6">
        <v>104.87</v>
      </c>
    </row>
    <row r="2442" spans="1:29" ht="117" x14ac:dyDescent="0.15">
      <c r="A2442" s="3">
        <f>DATE(1996,4,29)</f>
        <v>35184</v>
      </c>
      <c r="B2442" s="3">
        <f>DATE(1996,9,9)</f>
        <v>35317</v>
      </c>
      <c r="C2442" s="2" t="s">
        <v>95</v>
      </c>
      <c r="D2442" s="2" t="s">
        <v>7839</v>
      </c>
      <c r="E2442" s="2" t="s">
        <v>2044</v>
      </c>
      <c r="F2442" s="4">
        <v>6798</v>
      </c>
      <c r="G2442" s="2" t="s">
        <v>53</v>
      </c>
      <c r="H2442" s="2" t="s">
        <v>34</v>
      </c>
      <c r="I2442" s="2" t="s">
        <v>7840</v>
      </c>
      <c r="J2442" s="2" t="s">
        <v>92</v>
      </c>
      <c r="K2442" s="2" t="s">
        <v>53</v>
      </c>
      <c r="L2442" s="2" t="s">
        <v>34</v>
      </c>
      <c r="M2442" s="7">
        <v>533.52800000000002</v>
      </c>
      <c r="N2442" s="6">
        <v>28.75</v>
      </c>
      <c r="O2442" s="6">
        <v>30.25</v>
      </c>
      <c r="P2442" s="2" t="s">
        <v>7841</v>
      </c>
      <c r="Q2442" s="6">
        <v>77</v>
      </c>
      <c r="R2442" s="6">
        <v>11.02</v>
      </c>
      <c r="S2442" s="5">
        <v>4.9000000000000004</v>
      </c>
      <c r="T2442" s="7">
        <v>34.962000000000003</v>
      </c>
      <c r="U2442" s="5">
        <v>5.8</v>
      </c>
      <c r="V2442" s="6">
        <v>0.22</v>
      </c>
      <c r="W2442" s="7">
        <v>9.875</v>
      </c>
      <c r="X2442" s="4">
        <v>10</v>
      </c>
      <c r="Y2442" s="4">
        <v>10</v>
      </c>
      <c r="Z2442" s="7">
        <v>11.125</v>
      </c>
      <c r="AA2442" s="6">
        <v>27</v>
      </c>
      <c r="AB2442" s="7">
        <v>22.797999999999998</v>
      </c>
      <c r="AC2442" s="6">
        <v>6.84</v>
      </c>
    </row>
    <row r="2443" spans="1:29" ht="78" x14ac:dyDescent="0.15">
      <c r="A2443" s="3">
        <f>DATE(1996,4,29)</f>
        <v>35184</v>
      </c>
      <c r="B2443" s="3">
        <f>DATE(1996,9,3)</f>
        <v>35311</v>
      </c>
      <c r="C2443" s="2" t="s">
        <v>95</v>
      </c>
      <c r="D2443" s="2" t="s">
        <v>7842</v>
      </c>
      <c r="E2443" s="2" t="s">
        <v>36</v>
      </c>
      <c r="F2443" s="4">
        <v>6022</v>
      </c>
      <c r="G2443" s="2" t="s">
        <v>37</v>
      </c>
      <c r="H2443" s="2" t="s">
        <v>34</v>
      </c>
      <c r="I2443" s="2" t="s">
        <v>4381</v>
      </c>
      <c r="J2443" s="2" t="s">
        <v>263</v>
      </c>
      <c r="K2443" s="2" t="s">
        <v>37</v>
      </c>
      <c r="L2443" s="2" t="s">
        <v>34</v>
      </c>
      <c r="M2443" s="7">
        <v>266.28699999999998</v>
      </c>
      <c r="N2443" s="4">
        <v>19</v>
      </c>
      <c r="O2443" s="4">
        <v>19</v>
      </c>
      <c r="P2443" s="2" t="s">
        <v>7843</v>
      </c>
      <c r="Q2443" s="6">
        <v>100</v>
      </c>
      <c r="R2443" s="6">
        <v>17.75</v>
      </c>
      <c r="S2443" s="5">
        <v>1.3</v>
      </c>
      <c r="T2443" s="7">
        <v>2.1269999999999998</v>
      </c>
      <c r="U2443" s="5">
        <v>9.9</v>
      </c>
      <c r="V2443" s="6">
        <v>0.75</v>
      </c>
      <c r="W2443" s="6">
        <v>13.75</v>
      </c>
      <c r="X2443" s="6">
        <v>14.25</v>
      </c>
      <c r="Y2443" s="7">
        <v>16.812999999999999</v>
      </c>
      <c r="Z2443" s="7">
        <v>16.875</v>
      </c>
      <c r="AA2443" s="6">
        <v>1.71</v>
      </c>
      <c r="AB2443" s="7">
        <v>35.459000000000003</v>
      </c>
      <c r="AC2443" s="2"/>
    </row>
    <row r="2444" spans="1:29" ht="130" x14ac:dyDescent="0.15">
      <c r="A2444" s="3">
        <f>DATE(1996,4,29)</f>
        <v>35184</v>
      </c>
      <c r="B2444" s="3">
        <f>DATE(1997,3,27)</f>
        <v>35516</v>
      </c>
      <c r="C2444" s="2" t="s">
        <v>95</v>
      </c>
      <c r="D2444" s="2" t="s">
        <v>7844</v>
      </c>
      <c r="E2444" s="2" t="s">
        <v>7845</v>
      </c>
      <c r="F2444" s="4">
        <v>6321</v>
      </c>
      <c r="G2444" s="2" t="s">
        <v>125</v>
      </c>
      <c r="H2444" s="2" t="s">
        <v>34</v>
      </c>
      <c r="I2444" s="2" t="s">
        <v>7846</v>
      </c>
      <c r="J2444" s="2" t="s">
        <v>7847</v>
      </c>
      <c r="K2444" s="2" t="s">
        <v>125</v>
      </c>
      <c r="L2444" s="2" t="s">
        <v>34</v>
      </c>
      <c r="M2444" s="12">
        <v>1454.884</v>
      </c>
      <c r="N2444" s="4">
        <v>34</v>
      </c>
      <c r="O2444" s="7">
        <v>33.875</v>
      </c>
      <c r="P2444" s="2" t="s">
        <v>7848</v>
      </c>
      <c r="Q2444" s="6">
        <v>100</v>
      </c>
      <c r="R2444" s="6">
        <v>26</v>
      </c>
      <c r="S2444" s="5">
        <v>85.3</v>
      </c>
      <c r="T2444" s="2"/>
      <c r="U2444" s="5">
        <v>26.6</v>
      </c>
      <c r="V2444" s="6">
        <v>1.9</v>
      </c>
      <c r="W2444" s="7">
        <v>24.625</v>
      </c>
      <c r="X2444" s="6">
        <v>24.25</v>
      </c>
      <c r="Y2444" s="7">
        <v>25.875</v>
      </c>
      <c r="Z2444" s="7">
        <v>25.875</v>
      </c>
      <c r="AA2444" s="6">
        <v>45</v>
      </c>
      <c r="AB2444" s="7">
        <v>8.9160000000000004</v>
      </c>
      <c r="AC2444" s="2"/>
    </row>
    <row r="2445" spans="1:29" ht="91" x14ac:dyDescent="0.15">
      <c r="A2445" s="3">
        <f>DATE(1996,4,30)</f>
        <v>35185</v>
      </c>
      <c r="B2445" s="2"/>
      <c r="C2445" s="2" t="s">
        <v>30</v>
      </c>
      <c r="D2445" s="2" t="s">
        <v>7849</v>
      </c>
      <c r="E2445" s="2" t="s">
        <v>7850</v>
      </c>
      <c r="F2445" s="4">
        <v>7812</v>
      </c>
      <c r="G2445" s="2" t="s">
        <v>42</v>
      </c>
      <c r="H2445" s="2" t="s">
        <v>34</v>
      </c>
      <c r="I2445" s="2" t="s">
        <v>51</v>
      </c>
      <c r="J2445" s="2" t="s">
        <v>52</v>
      </c>
      <c r="K2445" s="2" t="s">
        <v>53</v>
      </c>
      <c r="L2445" s="2" t="s">
        <v>303</v>
      </c>
      <c r="M2445" s="2"/>
      <c r="N2445" s="2"/>
      <c r="O2445" s="2"/>
      <c r="P2445" s="2" t="s">
        <v>7851</v>
      </c>
      <c r="Q2445" s="2"/>
      <c r="R2445" s="6">
        <v>3.5</v>
      </c>
      <c r="S2445" s="5">
        <v>-3.1</v>
      </c>
      <c r="T2445" s="6">
        <v>-2.12</v>
      </c>
      <c r="U2445" s="5">
        <v>0.8</v>
      </c>
      <c r="V2445" s="7">
        <v>-0.55300000000000005</v>
      </c>
      <c r="W2445" s="7">
        <v>2.4380000000000002</v>
      </c>
      <c r="X2445" s="5">
        <v>2.5</v>
      </c>
      <c r="Y2445" s="7">
        <v>2.5630000000000002</v>
      </c>
      <c r="Z2445" s="7">
        <v>2.4380000000000002</v>
      </c>
      <c r="AA2445" s="6">
        <v>6</v>
      </c>
      <c r="AB2445" s="2" t="s">
        <v>86</v>
      </c>
      <c r="AC2445" s="2"/>
    </row>
    <row r="2446" spans="1:29" ht="156" x14ac:dyDescent="0.15">
      <c r="A2446" s="3">
        <f>DATE(1996,4,30)</f>
        <v>35185</v>
      </c>
      <c r="B2446" s="3">
        <f>DATE(1996,8,12)</f>
        <v>35289</v>
      </c>
      <c r="C2446" s="2" t="s">
        <v>95</v>
      </c>
      <c r="D2446" s="2" t="s">
        <v>7852</v>
      </c>
      <c r="E2446" s="2" t="s">
        <v>7853</v>
      </c>
      <c r="F2446" s="4">
        <v>7375</v>
      </c>
      <c r="G2446" s="2" t="s">
        <v>223</v>
      </c>
      <c r="H2446" s="2" t="s">
        <v>34</v>
      </c>
      <c r="I2446" s="2" t="s">
        <v>4735</v>
      </c>
      <c r="J2446" s="2" t="s">
        <v>4736</v>
      </c>
      <c r="K2446" s="2" t="s">
        <v>63</v>
      </c>
      <c r="L2446" s="2" t="s">
        <v>34</v>
      </c>
      <c r="M2446" s="12">
        <v>4788.8620000000001</v>
      </c>
      <c r="N2446" s="7">
        <v>34.688000000000002</v>
      </c>
      <c r="O2446" s="4">
        <v>37</v>
      </c>
      <c r="P2446" s="2" t="s">
        <v>7854</v>
      </c>
      <c r="Q2446" s="6">
        <v>100</v>
      </c>
      <c r="R2446" s="6">
        <v>61.56</v>
      </c>
      <c r="S2446" s="5">
        <v>-17.8</v>
      </c>
      <c r="T2446" s="7">
        <v>-8.5359999999999996</v>
      </c>
      <c r="U2446" s="5">
        <v>2.5</v>
      </c>
      <c r="V2446" s="7">
        <v>-0.61299999999999999</v>
      </c>
      <c r="W2446" s="4">
        <v>44</v>
      </c>
      <c r="X2446" s="6">
        <v>48.25</v>
      </c>
      <c r="Y2446" s="6">
        <v>58.75</v>
      </c>
      <c r="Z2446" s="4">
        <v>62</v>
      </c>
      <c r="AA2446" s="6">
        <v>32.26</v>
      </c>
      <c r="AB2446" s="2" t="s">
        <v>86</v>
      </c>
      <c r="AC2446" s="2"/>
    </row>
    <row r="2447" spans="1:29" ht="130" x14ac:dyDescent="0.15">
      <c r="A2447" s="3">
        <f>DATE(1996,5,1)</f>
        <v>35186</v>
      </c>
      <c r="B2447" s="3">
        <f>DATE(1996,6,28)</f>
        <v>35244</v>
      </c>
      <c r="C2447" s="2" t="s">
        <v>95</v>
      </c>
      <c r="D2447" s="2" t="s">
        <v>7855</v>
      </c>
      <c r="E2447" s="2" t="s">
        <v>1332</v>
      </c>
      <c r="F2447" s="4">
        <v>8082</v>
      </c>
      <c r="G2447" s="2" t="s">
        <v>454</v>
      </c>
      <c r="H2447" s="2" t="s">
        <v>34</v>
      </c>
      <c r="I2447" s="2" t="s">
        <v>3752</v>
      </c>
      <c r="J2447" s="2" t="s">
        <v>3753</v>
      </c>
      <c r="K2447" s="2" t="s">
        <v>223</v>
      </c>
      <c r="L2447" s="2" t="s">
        <v>34</v>
      </c>
      <c r="M2447" s="12">
        <v>2180.877</v>
      </c>
      <c r="N2447" s="4">
        <v>31</v>
      </c>
      <c r="O2447" s="7">
        <v>29.125</v>
      </c>
      <c r="P2447" s="2" t="s">
        <v>7856</v>
      </c>
      <c r="Q2447" s="6">
        <v>100</v>
      </c>
      <c r="R2447" s="6">
        <v>17.62</v>
      </c>
      <c r="S2447" s="5">
        <v>-5.3</v>
      </c>
      <c r="T2447" s="7">
        <v>-1.1679999999999999</v>
      </c>
      <c r="U2447" s="5">
        <v>7.1</v>
      </c>
      <c r="V2447" s="7">
        <v>-0.27100000000000002</v>
      </c>
      <c r="W2447" s="7">
        <v>13.625</v>
      </c>
      <c r="X2447" s="6">
        <v>14.25</v>
      </c>
      <c r="Y2447" s="5">
        <v>14.5</v>
      </c>
      <c r="Z2447" s="6">
        <v>16.25</v>
      </c>
      <c r="AA2447" s="6">
        <v>15.15</v>
      </c>
      <c r="AB2447" s="2" t="s">
        <v>86</v>
      </c>
      <c r="AC2447" s="6">
        <v>40.049999999999997</v>
      </c>
    </row>
    <row r="2448" spans="1:29" ht="117" x14ac:dyDescent="0.15">
      <c r="A2448" s="3">
        <f>DATE(1996,5,1)</f>
        <v>35186</v>
      </c>
      <c r="B2448" s="3">
        <f>DATE(1996,8,21)</f>
        <v>35298</v>
      </c>
      <c r="C2448" s="2" t="s">
        <v>95</v>
      </c>
      <c r="D2448" s="2" t="s">
        <v>7857</v>
      </c>
      <c r="E2448" s="2" t="s">
        <v>7858</v>
      </c>
      <c r="F2448" s="4">
        <v>2879</v>
      </c>
      <c r="G2448" s="2" t="s">
        <v>98</v>
      </c>
      <c r="H2448" s="2" t="s">
        <v>34</v>
      </c>
      <c r="I2448" s="2" t="s">
        <v>7859</v>
      </c>
      <c r="J2448" s="2" t="s">
        <v>7860</v>
      </c>
      <c r="K2448" s="2" t="s">
        <v>98</v>
      </c>
      <c r="L2448" s="2" t="s">
        <v>34</v>
      </c>
      <c r="M2448" s="7">
        <v>696.85599999999999</v>
      </c>
      <c r="N2448" s="4">
        <v>15</v>
      </c>
      <c r="O2448" s="5">
        <v>15.5</v>
      </c>
      <c r="P2448" s="2" t="s">
        <v>7861</v>
      </c>
      <c r="Q2448" s="6">
        <v>100</v>
      </c>
      <c r="R2448" s="6">
        <v>15</v>
      </c>
      <c r="S2448" s="5">
        <v>19.399999999999999</v>
      </c>
      <c r="T2448" s="7">
        <v>208.131</v>
      </c>
      <c r="U2448" s="5">
        <v>-12.5</v>
      </c>
      <c r="V2448" s="7">
        <v>-1.246</v>
      </c>
      <c r="W2448" s="7">
        <v>10.375</v>
      </c>
      <c r="X2448" s="6">
        <v>11.75</v>
      </c>
      <c r="Y2448" s="5">
        <v>14.5</v>
      </c>
      <c r="Z2448" s="7">
        <v>14.375</v>
      </c>
      <c r="AA2448" s="6">
        <v>24.23</v>
      </c>
      <c r="AB2448" s="7">
        <v>9.42</v>
      </c>
      <c r="AC2448" s="6">
        <v>0.92</v>
      </c>
    </row>
    <row r="2449" spans="1:29" ht="143" x14ac:dyDescent="0.15">
      <c r="A2449" s="3">
        <f>DATE(1996,5,3)</f>
        <v>35188</v>
      </c>
      <c r="B2449" s="3">
        <f>DATE(1996,11,14)</f>
        <v>35383</v>
      </c>
      <c r="C2449" s="2" t="s">
        <v>95</v>
      </c>
      <c r="D2449" s="2" t="s">
        <v>7862</v>
      </c>
      <c r="E2449" s="2" t="s">
        <v>1181</v>
      </c>
      <c r="F2449" s="4">
        <v>6029</v>
      </c>
      <c r="G2449" s="2" t="s">
        <v>37</v>
      </c>
      <c r="H2449" s="2" t="s">
        <v>34</v>
      </c>
      <c r="I2449" s="2" t="s">
        <v>7863</v>
      </c>
      <c r="J2449" s="2" t="s">
        <v>263</v>
      </c>
      <c r="K2449" s="2" t="s">
        <v>37</v>
      </c>
      <c r="L2449" s="2" t="s">
        <v>34</v>
      </c>
      <c r="M2449" s="7">
        <v>137.17500000000001</v>
      </c>
      <c r="N2449" s="6">
        <v>16.75</v>
      </c>
      <c r="O2449" s="6">
        <v>16.75</v>
      </c>
      <c r="P2449" s="2" t="s">
        <v>7864</v>
      </c>
      <c r="Q2449" s="6">
        <v>100</v>
      </c>
      <c r="R2449" s="6">
        <v>15.91</v>
      </c>
      <c r="S2449" s="5">
        <v>1.3</v>
      </c>
      <c r="T2449" s="2"/>
      <c r="U2449" s="5">
        <v>5.7</v>
      </c>
      <c r="V2449" s="6">
        <v>0.8</v>
      </c>
      <c r="W2449" s="6">
        <v>10.25</v>
      </c>
      <c r="X2449" s="6">
        <v>9.75</v>
      </c>
      <c r="Y2449" s="6">
        <v>11.25</v>
      </c>
      <c r="Z2449" s="7">
        <v>14.125</v>
      </c>
      <c r="AA2449" s="6">
        <v>1.47</v>
      </c>
      <c r="AB2449" s="2" t="s">
        <v>47</v>
      </c>
      <c r="AC2449" s="2"/>
    </row>
    <row r="2450" spans="1:29" ht="195" x14ac:dyDescent="0.15">
      <c r="A2450" s="3">
        <f>DATE(1996,5,3)</f>
        <v>35188</v>
      </c>
      <c r="B2450" s="3">
        <f>DATE(1998,3,17)</f>
        <v>35871</v>
      </c>
      <c r="C2450" s="2" t="s">
        <v>95</v>
      </c>
      <c r="D2450" s="2" t="s">
        <v>7865</v>
      </c>
      <c r="E2450" s="2" t="s">
        <v>7866</v>
      </c>
      <c r="F2450" s="4">
        <v>6531</v>
      </c>
      <c r="G2450" s="2" t="s">
        <v>109</v>
      </c>
      <c r="H2450" s="2" t="s">
        <v>34</v>
      </c>
      <c r="I2450" s="2" t="s">
        <v>7867</v>
      </c>
      <c r="J2450" s="2" t="s">
        <v>7868</v>
      </c>
      <c r="K2450" s="2" t="s">
        <v>3562</v>
      </c>
      <c r="L2450" s="2" t="s">
        <v>34</v>
      </c>
      <c r="M2450" s="2"/>
      <c r="N2450" s="2"/>
      <c r="O2450" s="2"/>
      <c r="P2450" s="2" t="s">
        <v>7869</v>
      </c>
      <c r="Q2450" s="6">
        <v>91.66</v>
      </c>
      <c r="R2450" s="6">
        <v>2.06</v>
      </c>
      <c r="S2450" s="5">
        <v>-2.5</v>
      </c>
      <c r="T2450" s="7">
        <v>1.3180000000000001</v>
      </c>
      <c r="U2450" s="5">
        <v>1.1000000000000001</v>
      </c>
      <c r="V2450" s="7">
        <v>-0.44400000000000001</v>
      </c>
      <c r="W2450" s="7">
        <v>1.625</v>
      </c>
      <c r="X2450" s="7">
        <v>1.6879999999999999</v>
      </c>
      <c r="Y2450" s="6">
        <v>1.75</v>
      </c>
      <c r="Z2450" s="7">
        <v>1.875</v>
      </c>
      <c r="AA2450" s="6">
        <v>5.56</v>
      </c>
      <c r="AB2450" s="7">
        <v>21.914999999999999</v>
      </c>
      <c r="AC2450" s="2"/>
    </row>
    <row r="2451" spans="1:29" ht="52" x14ac:dyDescent="0.15">
      <c r="A2451" s="3">
        <f>DATE(1996,5,3)</f>
        <v>35188</v>
      </c>
      <c r="B2451" s="2"/>
      <c r="C2451" s="2" t="s">
        <v>7330</v>
      </c>
      <c r="D2451" s="2" t="s">
        <v>7870</v>
      </c>
      <c r="E2451" s="2" t="s">
        <v>844</v>
      </c>
      <c r="F2451" s="4">
        <v>6552</v>
      </c>
      <c r="G2451" s="2" t="s">
        <v>109</v>
      </c>
      <c r="H2451" s="2" t="s">
        <v>34</v>
      </c>
      <c r="I2451" s="2" t="s">
        <v>2589</v>
      </c>
      <c r="J2451" s="2" t="s">
        <v>2590</v>
      </c>
      <c r="K2451" s="2" t="s">
        <v>42</v>
      </c>
      <c r="L2451" s="2" t="s">
        <v>34</v>
      </c>
      <c r="M2451" s="7">
        <v>65.183000000000007</v>
      </c>
      <c r="N2451" s="7">
        <v>10.875</v>
      </c>
      <c r="O2451" s="7">
        <v>10.875</v>
      </c>
      <c r="P2451" s="2" t="s">
        <v>7871</v>
      </c>
      <c r="Q2451" s="2"/>
      <c r="R2451" s="2"/>
      <c r="S2451" s="5">
        <v>-1.4</v>
      </c>
      <c r="T2451" s="7">
        <v>-0.29599999999999999</v>
      </c>
      <c r="U2451" s="5">
        <v>13.4</v>
      </c>
      <c r="V2451" s="7">
        <v>-0.27200000000000002</v>
      </c>
      <c r="W2451" s="4">
        <v>11</v>
      </c>
      <c r="X2451" s="6">
        <v>10.75</v>
      </c>
      <c r="Y2451" s="4">
        <v>11</v>
      </c>
      <c r="Z2451" s="7">
        <v>10.688000000000001</v>
      </c>
      <c r="AA2451" s="6">
        <v>4.96</v>
      </c>
      <c r="AB2451" s="2" t="s">
        <v>86</v>
      </c>
      <c r="AC2451" s="6">
        <v>21.06</v>
      </c>
    </row>
    <row r="2452" spans="1:29" ht="26" x14ac:dyDescent="0.15">
      <c r="A2452" s="3">
        <f>DATE(1996,5,6)</f>
        <v>35191</v>
      </c>
      <c r="B2452" s="2"/>
      <c r="C2452" s="2" t="s">
        <v>7330</v>
      </c>
      <c r="D2452" s="2" t="s">
        <v>7872</v>
      </c>
      <c r="E2452" s="2" t="s">
        <v>7873</v>
      </c>
      <c r="F2452" s="4">
        <v>7832</v>
      </c>
      <c r="G2452" s="2" t="s">
        <v>42</v>
      </c>
      <c r="H2452" s="2" t="s">
        <v>34</v>
      </c>
      <c r="I2452" s="2" t="s">
        <v>7874</v>
      </c>
      <c r="J2452" s="2" t="s">
        <v>7875</v>
      </c>
      <c r="K2452" s="2" t="s">
        <v>109</v>
      </c>
      <c r="L2452" s="2" t="s">
        <v>34</v>
      </c>
      <c r="M2452" s="2"/>
      <c r="N2452" s="2"/>
      <c r="O2452" s="2"/>
      <c r="P2452" s="2" t="s">
        <v>7876</v>
      </c>
      <c r="Q2452" s="2"/>
      <c r="R2452" s="2"/>
      <c r="S2452" s="5">
        <v>27.4</v>
      </c>
      <c r="T2452" s="7">
        <v>112.55500000000001</v>
      </c>
      <c r="U2452" s="5">
        <v>3.6</v>
      </c>
      <c r="V2452" s="6">
        <v>1.21</v>
      </c>
      <c r="W2452" s="4">
        <v>26</v>
      </c>
      <c r="X2452" s="6">
        <v>25.75</v>
      </c>
      <c r="Y2452" s="7">
        <v>25.625</v>
      </c>
      <c r="Z2452" s="7">
        <v>25.625</v>
      </c>
      <c r="AA2452" s="6">
        <v>17.899999999999999</v>
      </c>
      <c r="AB2452" s="2" t="s">
        <v>47</v>
      </c>
      <c r="AC2452" s="2"/>
    </row>
    <row r="2453" spans="1:29" ht="104" x14ac:dyDescent="0.15">
      <c r="A2453" s="3">
        <f>DATE(1996,5,6)</f>
        <v>35191</v>
      </c>
      <c r="B2453" s="3">
        <f>DATE(1996,9,27)</f>
        <v>35335</v>
      </c>
      <c r="C2453" s="2" t="s">
        <v>95</v>
      </c>
      <c r="D2453" s="2" t="s">
        <v>7877</v>
      </c>
      <c r="E2453" s="2" t="s">
        <v>2155</v>
      </c>
      <c r="F2453" s="4">
        <v>6799</v>
      </c>
      <c r="G2453" s="2" t="s">
        <v>53</v>
      </c>
      <c r="H2453" s="2" t="s">
        <v>34</v>
      </c>
      <c r="I2453" s="2" t="s">
        <v>7878</v>
      </c>
      <c r="J2453" s="2" t="s">
        <v>7879</v>
      </c>
      <c r="K2453" s="2" t="s">
        <v>577</v>
      </c>
      <c r="L2453" s="2" t="s">
        <v>34</v>
      </c>
      <c r="M2453" s="7">
        <v>7.7069999999999999</v>
      </c>
      <c r="N2453" s="6">
        <v>2.75</v>
      </c>
      <c r="O2453" s="6">
        <v>2.75</v>
      </c>
      <c r="P2453" s="2" t="s">
        <v>7880</v>
      </c>
      <c r="Q2453" s="6">
        <v>100</v>
      </c>
      <c r="R2453" s="6">
        <v>1.48</v>
      </c>
      <c r="S2453" s="5">
        <v>-0.9</v>
      </c>
      <c r="T2453" s="2"/>
      <c r="U2453" s="5">
        <v>0.3</v>
      </c>
      <c r="V2453" s="6">
        <v>-0.27</v>
      </c>
      <c r="W2453" s="7">
        <v>3.125</v>
      </c>
      <c r="X2453" s="7">
        <v>2.9380000000000002</v>
      </c>
      <c r="Y2453" s="6">
        <v>2.75</v>
      </c>
      <c r="Z2453" s="6">
        <v>2.75</v>
      </c>
      <c r="AA2453" s="6">
        <v>32.92</v>
      </c>
      <c r="AB2453" s="2" t="s">
        <v>86</v>
      </c>
      <c r="AC2453" s="2"/>
    </row>
    <row r="2454" spans="1:29" ht="52" x14ac:dyDescent="0.15">
      <c r="A2454" s="3">
        <f>DATE(1996,5,6)</f>
        <v>35191</v>
      </c>
      <c r="B2454" s="2"/>
      <c r="C2454" s="2" t="s">
        <v>30</v>
      </c>
      <c r="D2454" s="2" t="s">
        <v>6461</v>
      </c>
      <c r="E2454" s="2" t="s">
        <v>6462</v>
      </c>
      <c r="F2454" s="4">
        <v>3663</v>
      </c>
      <c r="G2454" s="2" t="s">
        <v>921</v>
      </c>
      <c r="H2454" s="2" t="s">
        <v>34</v>
      </c>
      <c r="I2454" s="2" t="s">
        <v>7881</v>
      </c>
      <c r="J2454" s="2" t="s">
        <v>7882</v>
      </c>
      <c r="K2454" s="2" t="s">
        <v>137</v>
      </c>
      <c r="L2454" s="2" t="s">
        <v>34</v>
      </c>
      <c r="M2454" s="5">
        <v>76.400000000000006</v>
      </c>
      <c r="N2454" s="7">
        <v>4.625</v>
      </c>
      <c r="O2454" s="6">
        <v>4.75</v>
      </c>
      <c r="P2454" s="2" t="s">
        <v>7883</v>
      </c>
      <c r="Q2454" s="2"/>
      <c r="R2454" s="2"/>
      <c r="S2454" s="5">
        <v>5</v>
      </c>
      <c r="T2454" s="7">
        <v>11.032999999999999</v>
      </c>
      <c r="U2454" s="5">
        <v>19.899999999999999</v>
      </c>
      <c r="V2454" s="6">
        <v>1.01</v>
      </c>
      <c r="W2454" s="7">
        <v>14.375</v>
      </c>
      <c r="X2454" s="4">
        <v>15</v>
      </c>
      <c r="Y2454" s="6">
        <v>17.75</v>
      </c>
      <c r="Z2454" s="7">
        <v>17.125</v>
      </c>
      <c r="AA2454" s="6">
        <v>5.0999999999999996</v>
      </c>
      <c r="AB2454" s="2" t="s">
        <v>47</v>
      </c>
      <c r="AC2454" s="2"/>
    </row>
    <row r="2455" spans="1:29" ht="104" x14ac:dyDescent="0.15">
      <c r="A2455" s="3">
        <f>DATE(1996,5,6)</f>
        <v>35191</v>
      </c>
      <c r="B2455" s="3">
        <f>DATE(1996,9,3)</f>
        <v>35311</v>
      </c>
      <c r="C2455" s="2" t="s">
        <v>95</v>
      </c>
      <c r="D2455" s="2" t="s">
        <v>6130</v>
      </c>
      <c r="E2455" s="2" t="s">
        <v>6131</v>
      </c>
      <c r="F2455" s="4">
        <v>3743</v>
      </c>
      <c r="G2455" s="2" t="s">
        <v>105</v>
      </c>
      <c r="H2455" s="2" t="s">
        <v>34</v>
      </c>
      <c r="I2455" s="2" t="s">
        <v>7884</v>
      </c>
      <c r="J2455" s="2" t="s">
        <v>7885</v>
      </c>
      <c r="K2455" s="2" t="s">
        <v>105</v>
      </c>
      <c r="L2455" s="2" t="s">
        <v>34</v>
      </c>
      <c r="M2455" s="12">
        <v>1402.3130000000001</v>
      </c>
      <c r="N2455" s="5">
        <v>33.5</v>
      </c>
      <c r="O2455" s="7">
        <v>33.125</v>
      </c>
      <c r="P2455" s="2" t="s">
        <v>7886</v>
      </c>
      <c r="Q2455" s="6">
        <v>100</v>
      </c>
      <c r="R2455" s="6">
        <v>6.5</v>
      </c>
      <c r="S2455" s="5">
        <v>6.7</v>
      </c>
      <c r="T2455" s="7">
        <v>5.8970000000000002</v>
      </c>
      <c r="U2455" s="5">
        <v>4.9000000000000004</v>
      </c>
      <c r="V2455" s="6">
        <v>1.0900000000000001</v>
      </c>
      <c r="W2455" s="6">
        <v>4.75</v>
      </c>
      <c r="X2455" s="7">
        <v>5.625</v>
      </c>
      <c r="Y2455" s="7">
        <v>5.625</v>
      </c>
      <c r="Z2455" s="7">
        <v>5.875</v>
      </c>
      <c r="AA2455" s="6">
        <v>5.27</v>
      </c>
      <c r="AB2455" s="7">
        <v>9.6910000000000007</v>
      </c>
      <c r="AC2455" s="5">
        <v>15.4</v>
      </c>
    </row>
    <row r="2456" spans="1:29" ht="78" x14ac:dyDescent="0.15">
      <c r="A2456" s="3">
        <f>DATE(1996,5,7)</f>
        <v>35192</v>
      </c>
      <c r="B2456" s="2"/>
      <c r="C2456" s="2" t="s">
        <v>30</v>
      </c>
      <c r="D2456" s="2" t="s">
        <v>7887</v>
      </c>
      <c r="E2456" s="2" t="s">
        <v>1181</v>
      </c>
      <c r="F2456" s="4">
        <v>6022</v>
      </c>
      <c r="G2456" s="2" t="s">
        <v>37</v>
      </c>
      <c r="H2456" s="2" t="s">
        <v>34</v>
      </c>
      <c r="I2456" s="2" t="s">
        <v>138</v>
      </c>
      <c r="J2456" s="2" t="s">
        <v>139</v>
      </c>
      <c r="K2456" s="2" t="s">
        <v>53</v>
      </c>
      <c r="L2456" s="2" t="s">
        <v>139</v>
      </c>
      <c r="M2456" s="2"/>
      <c r="N2456" s="2"/>
      <c r="O2456" s="2"/>
      <c r="P2456" s="2" t="s">
        <v>7888</v>
      </c>
      <c r="Q2456" s="2"/>
      <c r="R2456" s="2"/>
      <c r="S2456" s="2"/>
      <c r="T2456" s="2"/>
      <c r="U2456" s="2"/>
      <c r="V2456" s="2"/>
      <c r="W2456" s="4">
        <v>19</v>
      </c>
      <c r="X2456" s="5">
        <v>18.5</v>
      </c>
      <c r="Y2456" s="4">
        <v>18</v>
      </c>
      <c r="Z2456" s="4">
        <v>17</v>
      </c>
      <c r="AA2456" s="6">
        <v>3.22</v>
      </c>
      <c r="AB2456" s="2" t="s">
        <v>47</v>
      </c>
      <c r="AC2456" s="2"/>
    </row>
    <row r="2457" spans="1:29" ht="91" x14ac:dyDescent="0.15">
      <c r="A2457" s="3">
        <f>DATE(1996,5,7)</f>
        <v>35192</v>
      </c>
      <c r="B2457" s="3">
        <f>DATE(1996,8,14)</f>
        <v>35291</v>
      </c>
      <c r="C2457" s="2" t="s">
        <v>95</v>
      </c>
      <c r="D2457" s="2" t="s">
        <v>7889</v>
      </c>
      <c r="E2457" s="2" t="s">
        <v>92</v>
      </c>
      <c r="F2457" s="4">
        <v>6798</v>
      </c>
      <c r="G2457" s="2" t="s">
        <v>53</v>
      </c>
      <c r="H2457" s="2" t="s">
        <v>34</v>
      </c>
      <c r="I2457" s="2" t="s">
        <v>7890</v>
      </c>
      <c r="J2457" s="2" t="s">
        <v>92</v>
      </c>
      <c r="K2457" s="2" t="s">
        <v>53</v>
      </c>
      <c r="L2457" s="2" t="s">
        <v>34</v>
      </c>
      <c r="M2457" s="2"/>
      <c r="N2457" s="2"/>
      <c r="O2457" s="2"/>
      <c r="P2457" s="2" t="s">
        <v>7891</v>
      </c>
      <c r="Q2457" s="6">
        <v>100</v>
      </c>
      <c r="R2457" s="6">
        <v>17</v>
      </c>
      <c r="S2457" s="5">
        <v>2</v>
      </c>
      <c r="T2457" s="7">
        <v>20.111999999999998</v>
      </c>
      <c r="U2457" s="5">
        <v>4.7</v>
      </c>
      <c r="V2457" s="6">
        <v>0.49</v>
      </c>
      <c r="W2457" s="4">
        <v>15</v>
      </c>
      <c r="X2457" s="5">
        <v>15.5</v>
      </c>
      <c r="Y2457" s="6">
        <v>16.25</v>
      </c>
      <c r="Z2457" s="7">
        <v>16.375</v>
      </c>
      <c r="AA2457" s="6">
        <v>4.34</v>
      </c>
      <c r="AB2457" s="7">
        <v>15.821</v>
      </c>
      <c r="AC2457" s="2"/>
    </row>
    <row r="2458" spans="1:29" ht="104" x14ac:dyDescent="0.15">
      <c r="A2458" s="3">
        <f>DATE(1996,5,7)</f>
        <v>35192</v>
      </c>
      <c r="B2458" s="3">
        <f>DATE(1996,9,3)</f>
        <v>35311</v>
      </c>
      <c r="C2458" s="2" t="s">
        <v>95</v>
      </c>
      <c r="D2458" s="2" t="s">
        <v>4247</v>
      </c>
      <c r="E2458" s="2" t="s">
        <v>4248</v>
      </c>
      <c r="F2458" s="4">
        <v>8071</v>
      </c>
      <c r="G2458" s="2" t="s">
        <v>454</v>
      </c>
      <c r="H2458" s="2" t="s">
        <v>34</v>
      </c>
      <c r="I2458" s="2" t="s">
        <v>4249</v>
      </c>
      <c r="J2458" s="2" t="s">
        <v>4250</v>
      </c>
      <c r="K2458" s="2" t="s">
        <v>454</v>
      </c>
      <c r="L2458" s="2" t="s">
        <v>34</v>
      </c>
      <c r="M2458" s="5">
        <v>48.1</v>
      </c>
      <c r="N2458" s="4">
        <v>9</v>
      </c>
      <c r="O2458" s="6">
        <v>8.75</v>
      </c>
      <c r="P2458" s="2" t="s">
        <v>7892</v>
      </c>
      <c r="Q2458" s="6">
        <v>100</v>
      </c>
      <c r="R2458" s="6">
        <v>6.19</v>
      </c>
      <c r="S2458" s="5">
        <v>2.2000000000000002</v>
      </c>
      <c r="T2458" s="7">
        <v>7.7910000000000004</v>
      </c>
      <c r="U2458" s="5">
        <v>3</v>
      </c>
      <c r="V2458" s="7">
        <v>0.30299999999999999</v>
      </c>
      <c r="W2458" s="7">
        <v>3.3130000000000002</v>
      </c>
      <c r="X2458" s="7">
        <v>4.375</v>
      </c>
      <c r="Y2458" s="7">
        <v>4.875</v>
      </c>
      <c r="Z2458" s="5">
        <v>4.5</v>
      </c>
      <c r="AA2458" s="6">
        <v>6.28</v>
      </c>
      <c r="AB2458" s="7">
        <v>12.211</v>
      </c>
      <c r="AC2458" s="6">
        <v>3.94</v>
      </c>
    </row>
    <row r="2459" spans="1:29" ht="39" x14ac:dyDescent="0.15">
      <c r="A2459" s="3">
        <f>DATE(1996,5,7)</f>
        <v>35192</v>
      </c>
      <c r="B2459" s="2"/>
      <c r="C2459" s="2" t="s">
        <v>30</v>
      </c>
      <c r="D2459" s="2" t="s">
        <v>7893</v>
      </c>
      <c r="E2459" s="2" t="s">
        <v>7894</v>
      </c>
      <c r="F2459" s="4">
        <v>6311</v>
      </c>
      <c r="G2459" s="2" t="s">
        <v>125</v>
      </c>
      <c r="H2459" s="2" t="s">
        <v>34</v>
      </c>
      <c r="I2459" s="2" t="s">
        <v>2321</v>
      </c>
      <c r="J2459" s="2" t="s">
        <v>36</v>
      </c>
      <c r="K2459" s="2" t="s">
        <v>37</v>
      </c>
      <c r="L2459" s="2" t="s">
        <v>34</v>
      </c>
      <c r="M2459" s="10">
        <v>5359.59</v>
      </c>
      <c r="N2459" s="4">
        <v>46</v>
      </c>
      <c r="O2459" s="4">
        <v>47</v>
      </c>
      <c r="P2459" s="2" t="s">
        <v>7895</v>
      </c>
      <c r="Q2459" s="2"/>
      <c r="R2459" s="2"/>
      <c r="S2459" s="5">
        <v>73</v>
      </c>
      <c r="T2459" s="2"/>
      <c r="U2459" s="5">
        <v>10.1</v>
      </c>
      <c r="V2459" s="6">
        <v>2.36</v>
      </c>
      <c r="W2459" s="4">
        <v>32</v>
      </c>
      <c r="X2459" s="5">
        <v>31.5</v>
      </c>
      <c r="Y2459" s="6">
        <v>30.25</v>
      </c>
      <c r="Z2459" s="7">
        <v>29.625</v>
      </c>
      <c r="AA2459" s="6">
        <v>28.15</v>
      </c>
      <c r="AB2459" s="2" t="s">
        <v>47</v>
      </c>
      <c r="AC2459" s="2"/>
    </row>
    <row r="2460" spans="1:29" ht="156" x14ac:dyDescent="0.15">
      <c r="A2460" s="3">
        <f>DATE(1996,5,7)</f>
        <v>35192</v>
      </c>
      <c r="B2460" s="3">
        <f>DATE(1996,9,9)</f>
        <v>35317</v>
      </c>
      <c r="C2460" s="2" t="s">
        <v>95</v>
      </c>
      <c r="D2460" s="2" t="s">
        <v>6858</v>
      </c>
      <c r="E2460" s="2" t="s">
        <v>6859</v>
      </c>
      <c r="F2460" s="4">
        <v>3523</v>
      </c>
      <c r="G2460" s="2" t="s">
        <v>300</v>
      </c>
      <c r="H2460" s="2" t="s">
        <v>34</v>
      </c>
      <c r="I2460" s="2" t="s">
        <v>7896</v>
      </c>
      <c r="J2460" s="2" t="s">
        <v>7897</v>
      </c>
      <c r="K2460" s="2" t="s">
        <v>219</v>
      </c>
      <c r="L2460" s="2" t="s">
        <v>303</v>
      </c>
      <c r="M2460" s="2"/>
      <c r="N2460" s="2"/>
      <c r="O2460" s="2"/>
      <c r="P2460" s="2" t="s">
        <v>7898</v>
      </c>
      <c r="Q2460" s="6">
        <v>100</v>
      </c>
      <c r="R2460" s="6">
        <v>48.85</v>
      </c>
      <c r="S2460" s="5">
        <v>125.5</v>
      </c>
      <c r="T2460" s="5">
        <v>273.3</v>
      </c>
      <c r="U2460" s="5">
        <v>18.8</v>
      </c>
      <c r="V2460" s="6">
        <v>3</v>
      </c>
      <c r="W2460" s="6">
        <v>42.63</v>
      </c>
      <c r="X2460" s="6">
        <v>43.88</v>
      </c>
      <c r="Y2460" s="6">
        <v>44.75</v>
      </c>
      <c r="Z2460" s="7">
        <v>43.875</v>
      </c>
      <c r="AA2460" s="6">
        <v>39.33</v>
      </c>
      <c r="AB2460" s="7">
        <v>11.36</v>
      </c>
      <c r="AC2460" s="2"/>
    </row>
    <row r="2461" spans="1:29" ht="39" x14ac:dyDescent="0.15">
      <c r="A2461" s="3">
        <f>DATE(1996,5,9)</f>
        <v>35194</v>
      </c>
      <c r="B2461" s="2"/>
      <c r="C2461" s="2" t="s">
        <v>189</v>
      </c>
      <c r="D2461" s="2" t="s">
        <v>7899</v>
      </c>
      <c r="E2461" s="2" t="s">
        <v>7900</v>
      </c>
      <c r="F2461" s="4">
        <v>4812</v>
      </c>
      <c r="G2461" s="2" t="s">
        <v>63</v>
      </c>
      <c r="H2461" s="2" t="s">
        <v>34</v>
      </c>
      <c r="I2461" s="2" t="s">
        <v>143</v>
      </c>
      <c r="J2461" s="2" t="s">
        <v>144</v>
      </c>
      <c r="K2461" s="2" t="s">
        <v>53</v>
      </c>
      <c r="L2461" s="2" t="s">
        <v>139</v>
      </c>
      <c r="M2461" s="2"/>
      <c r="N2461" s="2"/>
      <c r="O2461" s="2"/>
      <c r="P2461" s="2" t="s">
        <v>7901</v>
      </c>
      <c r="Q2461" s="2"/>
      <c r="R2461" s="2"/>
      <c r="S2461" s="5">
        <v>-7.1</v>
      </c>
      <c r="T2461" s="7">
        <v>18.158000000000001</v>
      </c>
      <c r="U2461" s="5">
        <v>11.1</v>
      </c>
      <c r="V2461" s="7">
        <v>-0.71499999999999997</v>
      </c>
      <c r="W2461" s="7">
        <v>27.375</v>
      </c>
      <c r="X2461" s="6">
        <v>27.25</v>
      </c>
      <c r="Y2461" s="6">
        <v>31.25</v>
      </c>
      <c r="Z2461" s="7">
        <v>31.875</v>
      </c>
      <c r="AA2461" s="2"/>
      <c r="AB2461" s="2" t="s">
        <v>47</v>
      </c>
      <c r="AC2461" s="2"/>
    </row>
    <row r="2462" spans="1:29" ht="91" x14ac:dyDescent="0.15">
      <c r="A2462" s="3">
        <f>DATE(1996,5,9)</f>
        <v>35194</v>
      </c>
      <c r="B2462" s="2"/>
      <c r="C2462" s="2" t="s">
        <v>30</v>
      </c>
      <c r="D2462" s="2" t="s">
        <v>7902</v>
      </c>
      <c r="E2462" s="2" t="s">
        <v>2588</v>
      </c>
      <c r="F2462" s="4">
        <v>6513</v>
      </c>
      <c r="G2462" s="2" t="s">
        <v>109</v>
      </c>
      <c r="H2462" s="2" t="s">
        <v>34</v>
      </c>
      <c r="I2462" s="2" t="s">
        <v>138</v>
      </c>
      <c r="J2462" s="2" t="s">
        <v>139</v>
      </c>
      <c r="K2462" s="2" t="s">
        <v>53</v>
      </c>
      <c r="L2462" s="2" t="s">
        <v>139</v>
      </c>
      <c r="M2462" s="2"/>
      <c r="N2462" s="2"/>
      <c r="O2462" s="2"/>
      <c r="P2462" s="2" t="s">
        <v>7903</v>
      </c>
      <c r="Q2462" s="2"/>
      <c r="R2462" s="6">
        <v>5.05</v>
      </c>
      <c r="S2462" s="5">
        <v>-2.5</v>
      </c>
      <c r="T2462" s="7">
        <v>3.3639999999999999</v>
      </c>
      <c r="U2462" s="5">
        <v>-2.4</v>
      </c>
      <c r="V2462" s="6">
        <v>-0.6</v>
      </c>
      <c r="W2462" s="6">
        <v>3.75</v>
      </c>
      <c r="X2462" s="4">
        <v>4</v>
      </c>
      <c r="Y2462" s="7">
        <v>4.125</v>
      </c>
      <c r="Z2462" s="6">
        <v>4.25</v>
      </c>
      <c r="AA2462" s="6">
        <v>3.89</v>
      </c>
      <c r="AB2462" s="7">
        <v>910.32100000000003</v>
      </c>
      <c r="AC2462" s="2"/>
    </row>
    <row r="2463" spans="1:29" ht="26" x14ac:dyDescent="0.15">
      <c r="A2463" s="3">
        <f t="shared" ref="A2463:A2468" si="18">DATE(1996,5,10)</f>
        <v>35195</v>
      </c>
      <c r="B2463" s="2"/>
      <c r="C2463" s="2" t="s">
        <v>30</v>
      </c>
      <c r="D2463" s="2" t="s">
        <v>7904</v>
      </c>
      <c r="E2463" s="2" t="s">
        <v>7905</v>
      </c>
      <c r="F2463" s="4">
        <v>2834</v>
      </c>
      <c r="G2463" s="2" t="s">
        <v>130</v>
      </c>
      <c r="H2463" s="2" t="s">
        <v>34</v>
      </c>
      <c r="I2463" s="2" t="s">
        <v>7906</v>
      </c>
      <c r="J2463" s="2" t="s">
        <v>7907</v>
      </c>
      <c r="K2463" s="2" t="s">
        <v>130</v>
      </c>
      <c r="L2463" s="2" t="s">
        <v>303</v>
      </c>
      <c r="M2463" s="2"/>
      <c r="N2463" s="2"/>
      <c r="O2463" s="2"/>
      <c r="P2463" s="2" t="s">
        <v>7908</v>
      </c>
      <c r="Q2463" s="2"/>
      <c r="R2463" s="2"/>
      <c r="S2463" s="5">
        <v>72.5</v>
      </c>
      <c r="T2463" s="5">
        <v>231.8</v>
      </c>
      <c r="U2463" s="5">
        <v>2.6</v>
      </c>
      <c r="V2463" s="6">
        <v>0.28000000000000003</v>
      </c>
      <c r="W2463" s="7">
        <v>36.125</v>
      </c>
      <c r="X2463" s="7">
        <v>36.625</v>
      </c>
      <c r="Y2463" s="7">
        <v>37.875</v>
      </c>
      <c r="Z2463" s="6">
        <v>38.25</v>
      </c>
      <c r="AA2463" s="6">
        <v>64.47</v>
      </c>
      <c r="AB2463" s="2" t="s">
        <v>47</v>
      </c>
      <c r="AC2463" s="10">
        <v>1814.18</v>
      </c>
    </row>
    <row r="2464" spans="1:29" ht="143" x14ac:dyDescent="0.15">
      <c r="A2464" s="3">
        <f t="shared" si="18"/>
        <v>35195</v>
      </c>
      <c r="B2464" s="3">
        <f>DATE(1996,8,21)</f>
        <v>35298</v>
      </c>
      <c r="C2464" s="2" t="s">
        <v>95</v>
      </c>
      <c r="D2464" s="2" t="s">
        <v>7909</v>
      </c>
      <c r="E2464" s="2" t="s">
        <v>7910</v>
      </c>
      <c r="F2464" s="4">
        <v>8721</v>
      </c>
      <c r="G2464" s="2" t="s">
        <v>223</v>
      </c>
      <c r="H2464" s="2" t="s">
        <v>34</v>
      </c>
      <c r="I2464" s="2" t="s">
        <v>4939</v>
      </c>
      <c r="J2464" s="2" t="s">
        <v>4940</v>
      </c>
      <c r="K2464" s="2" t="s">
        <v>223</v>
      </c>
      <c r="L2464" s="2" t="s">
        <v>34</v>
      </c>
      <c r="M2464" s="12">
        <v>4755.6139999999996</v>
      </c>
      <c r="N2464" s="4">
        <v>120</v>
      </c>
      <c r="O2464" s="5">
        <v>130.5</v>
      </c>
      <c r="P2464" s="2" t="s">
        <v>7911</v>
      </c>
      <c r="Q2464" s="6">
        <v>100</v>
      </c>
      <c r="R2464" s="6">
        <v>48.5</v>
      </c>
      <c r="S2464" s="5">
        <v>2</v>
      </c>
      <c r="T2464" s="7">
        <v>3.7519999999999998</v>
      </c>
      <c r="U2464" s="5">
        <v>5.9</v>
      </c>
      <c r="V2464" s="6">
        <v>0.38</v>
      </c>
      <c r="W2464" s="7">
        <v>44.875</v>
      </c>
      <c r="X2464" s="4">
        <v>46</v>
      </c>
      <c r="Y2464" s="7">
        <v>47.625</v>
      </c>
      <c r="Z2464" s="7">
        <v>48.125</v>
      </c>
      <c r="AA2464" s="6">
        <v>5.5</v>
      </c>
      <c r="AB2464" s="7">
        <v>127.526</v>
      </c>
      <c r="AC2464" s="6">
        <v>65.260000000000005</v>
      </c>
    </row>
    <row r="2465" spans="1:29" ht="78" x14ac:dyDescent="0.15">
      <c r="A2465" s="3">
        <f t="shared" si="18"/>
        <v>35195</v>
      </c>
      <c r="B2465" s="3">
        <f>DATE(1996,10,1)</f>
        <v>35339</v>
      </c>
      <c r="C2465" s="2" t="s">
        <v>95</v>
      </c>
      <c r="D2465" s="2" t="s">
        <v>7912</v>
      </c>
      <c r="E2465" s="2" t="s">
        <v>32</v>
      </c>
      <c r="F2465" s="4">
        <v>6035</v>
      </c>
      <c r="G2465" s="2" t="s">
        <v>33</v>
      </c>
      <c r="H2465" s="2" t="s">
        <v>34</v>
      </c>
      <c r="I2465" s="2" t="s">
        <v>7913</v>
      </c>
      <c r="J2465" s="2" t="s">
        <v>7244</v>
      </c>
      <c r="K2465" s="2" t="s">
        <v>33</v>
      </c>
      <c r="L2465" s="2" t="s">
        <v>34</v>
      </c>
      <c r="M2465" s="6">
        <v>61.17</v>
      </c>
      <c r="N2465" s="7">
        <v>9.9380000000000006</v>
      </c>
      <c r="O2465" s="7">
        <v>9.875</v>
      </c>
      <c r="P2465" s="2" t="s">
        <v>7914</v>
      </c>
      <c r="Q2465" s="6">
        <v>100</v>
      </c>
      <c r="R2465" s="6">
        <v>14.38</v>
      </c>
      <c r="S2465" s="5">
        <v>1.2</v>
      </c>
      <c r="T2465" s="7">
        <v>1.645</v>
      </c>
      <c r="U2465" s="5">
        <v>9.1</v>
      </c>
      <c r="V2465" s="7">
        <v>1.016</v>
      </c>
      <c r="W2465" s="5">
        <v>8.5</v>
      </c>
      <c r="X2465" s="4">
        <v>13</v>
      </c>
      <c r="Y2465" s="7">
        <v>12.125</v>
      </c>
      <c r="Z2465" s="4">
        <v>13</v>
      </c>
      <c r="AA2465" s="6">
        <v>1.1299999999999999</v>
      </c>
      <c r="AB2465" s="7">
        <v>83.102000000000004</v>
      </c>
      <c r="AC2465" s="2"/>
    </row>
    <row r="2466" spans="1:29" ht="104" x14ac:dyDescent="0.15">
      <c r="A2466" s="3">
        <f t="shared" si="18"/>
        <v>35195</v>
      </c>
      <c r="B2466" s="2"/>
      <c r="C2466" s="2" t="s">
        <v>30</v>
      </c>
      <c r="D2466" s="2" t="s">
        <v>5446</v>
      </c>
      <c r="E2466" s="2" t="s">
        <v>5447</v>
      </c>
      <c r="F2466" s="4">
        <v>5084</v>
      </c>
      <c r="G2466" s="2" t="s">
        <v>76</v>
      </c>
      <c r="H2466" s="2" t="s">
        <v>34</v>
      </c>
      <c r="I2466" s="2" t="s">
        <v>51</v>
      </c>
      <c r="J2466" s="2" t="s">
        <v>52</v>
      </c>
      <c r="K2466" s="2" t="s">
        <v>53</v>
      </c>
      <c r="L2466" s="2" t="s">
        <v>34</v>
      </c>
      <c r="M2466" s="2"/>
      <c r="N2466" s="2"/>
      <c r="O2466" s="2"/>
      <c r="P2466" s="2" t="s">
        <v>7915</v>
      </c>
      <c r="Q2466" s="2"/>
      <c r="R2466" s="6">
        <v>22</v>
      </c>
      <c r="S2466" s="5">
        <v>2.9</v>
      </c>
      <c r="T2466" s="7">
        <v>7.149</v>
      </c>
      <c r="U2466" s="5">
        <v>20.9</v>
      </c>
      <c r="V2466" s="6">
        <v>1.56</v>
      </c>
      <c r="W2466" s="4">
        <v>23</v>
      </c>
      <c r="X2466" s="5">
        <v>23.5</v>
      </c>
      <c r="Y2466" s="5">
        <v>24.5</v>
      </c>
      <c r="Z2466" s="5">
        <v>24.5</v>
      </c>
      <c r="AA2466" s="6">
        <v>1.87</v>
      </c>
      <c r="AB2466" s="7">
        <v>4.1369999999999996</v>
      </c>
      <c r="AC2466" s="2"/>
    </row>
    <row r="2467" spans="1:29" ht="143" x14ac:dyDescent="0.15">
      <c r="A2467" s="3">
        <f t="shared" si="18"/>
        <v>35195</v>
      </c>
      <c r="B2467" s="2"/>
      <c r="C2467" s="2" t="s">
        <v>30</v>
      </c>
      <c r="D2467" s="2" t="s">
        <v>5446</v>
      </c>
      <c r="E2467" s="2" t="s">
        <v>5447</v>
      </c>
      <c r="F2467" s="4">
        <v>5084</v>
      </c>
      <c r="G2467" s="2" t="s">
        <v>76</v>
      </c>
      <c r="H2467" s="2" t="s">
        <v>34</v>
      </c>
      <c r="I2467" s="2" t="s">
        <v>149</v>
      </c>
      <c r="J2467" s="2" t="s">
        <v>150</v>
      </c>
      <c r="K2467" s="2" t="s">
        <v>53</v>
      </c>
      <c r="L2467" s="2" t="s">
        <v>151</v>
      </c>
      <c r="M2467" s="2"/>
      <c r="N2467" s="2"/>
      <c r="O2467" s="2"/>
      <c r="P2467" s="2" t="s">
        <v>7916</v>
      </c>
      <c r="Q2467" s="2"/>
      <c r="R2467" s="6">
        <v>22</v>
      </c>
      <c r="S2467" s="5">
        <v>2.9</v>
      </c>
      <c r="T2467" s="7">
        <v>7.149</v>
      </c>
      <c r="U2467" s="5">
        <v>20.9</v>
      </c>
      <c r="V2467" s="6">
        <v>1.56</v>
      </c>
      <c r="W2467" s="4">
        <v>23</v>
      </c>
      <c r="X2467" s="5">
        <v>23.5</v>
      </c>
      <c r="Y2467" s="5">
        <v>24.5</v>
      </c>
      <c r="Z2467" s="5">
        <v>24.5</v>
      </c>
      <c r="AA2467" s="6">
        <v>1.87</v>
      </c>
      <c r="AB2467" s="7">
        <v>4.1369999999999996</v>
      </c>
      <c r="AC2467" s="2"/>
    </row>
    <row r="2468" spans="1:29" ht="156" x14ac:dyDescent="0.15">
      <c r="A2468" s="3">
        <f t="shared" si="18"/>
        <v>35195</v>
      </c>
      <c r="B2468" s="3">
        <f>DATE(1996,12,11)</f>
        <v>35410</v>
      </c>
      <c r="C2468" s="2" t="s">
        <v>95</v>
      </c>
      <c r="D2468" s="2" t="s">
        <v>7917</v>
      </c>
      <c r="E2468" s="2" t="s">
        <v>1561</v>
      </c>
      <c r="F2468" s="4">
        <v>6311</v>
      </c>
      <c r="G2468" s="2" t="s">
        <v>125</v>
      </c>
      <c r="H2468" s="2" t="s">
        <v>34</v>
      </c>
      <c r="I2468" s="2" t="s">
        <v>7918</v>
      </c>
      <c r="J2468" s="2" t="s">
        <v>1561</v>
      </c>
      <c r="K2468" s="2" t="s">
        <v>125</v>
      </c>
      <c r="L2468" s="2" t="s">
        <v>34</v>
      </c>
      <c r="M2468" s="7">
        <v>225.184</v>
      </c>
      <c r="N2468" s="6">
        <v>24.75</v>
      </c>
      <c r="O2468" s="6">
        <v>24.25</v>
      </c>
      <c r="P2468" s="2" t="s">
        <v>7919</v>
      </c>
      <c r="Q2468" s="6">
        <v>78.010000000000005</v>
      </c>
      <c r="R2468" s="6">
        <v>24.32</v>
      </c>
      <c r="S2468" s="5">
        <v>27.2</v>
      </c>
      <c r="T2468" s="2"/>
      <c r="U2468" s="5">
        <v>24.1</v>
      </c>
      <c r="V2468" s="6">
        <v>3.87</v>
      </c>
      <c r="W2468" s="7">
        <v>20.875</v>
      </c>
      <c r="X2468" s="7">
        <v>21.625</v>
      </c>
      <c r="Y2468" s="7">
        <v>23.625</v>
      </c>
      <c r="Z2468" s="7">
        <v>23.625</v>
      </c>
      <c r="AA2468" s="6">
        <v>7.02</v>
      </c>
      <c r="AB2468" s="7">
        <v>4.048</v>
      </c>
      <c r="AC2468" s="2"/>
    </row>
    <row r="2469" spans="1:29" ht="143" x14ac:dyDescent="0.15">
      <c r="A2469" s="3">
        <f>DATE(1996,5,13)</f>
        <v>35198</v>
      </c>
      <c r="B2469" s="3">
        <f>DATE(1996,8,30)</f>
        <v>35307</v>
      </c>
      <c r="C2469" s="2" t="s">
        <v>95</v>
      </c>
      <c r="D2469" s="2" t="s">
        <v>7920</v>
      </c>
      <c r="E2469" s="2" t="s">
        <v>7921</v>
      </c>
      <c r="F2469" s="4">
        <v>3843</v>
      </c>
      <c r="G2469" s="2" t="s">
        <v>226</v>
      </c>
      <c r="H2469" s="2" t="s">
        <v>34</v>
      </c>
      <c r="I2469" s="2" t="s">
        <v>7922</v>
      </c>
      <c r="J2469" s="2" t="s">
        <v>7923</v>
      </c>
      <c r="K2469" s="2" t="s">
        <v>226</v>
      </c>
      <c r="L2469" s="2" t="s">
        <v>435</v>
      </c>
      <c r="M2469" s="2"/>
      <c r="N2469" s="2"/>
      <c r="O2469" s="2"/>
      <c r="P2469" s="2" t="s">
        <v>7924</v>
      </c>
      <c r="Q2469" s="6">
        <v>100</v>
      </c>
      <c r="R2469" s="6">
        <v>5.5</v>
      </c>
      <c r="S2469" s="5">
        <v>0.3</v>
      </c>
      <c r="T2469" s="7">
        <v>9.5039999999999996</v>
      </c>
      <c r="U2469" s="5">
        <v>6.7</v>
      </c>
      <c r="V2469" s="6">
        <v>0.04</v>
      </c>
      <c r="W2469" s="5">
        <v>4.5</v>
      </c>
      <c r="X2469" s="7">
        <v>4.875</v>
      </c>
      <c r="Y2469" s="7">
        <v>4.4379999999999997</v>
      </c>
      <c r="Z2469" s="7">
        <v>4.375</v>
      </c>
      <c r="AA2469" s="6">
        <v>6.77</v>
      </c>
      <c r="AB2469" s="7">
        <v>12.664</v>
      </c>
      <c r="AC2469" s="6">
        <v>41.21</v>
      </c>
    </row>
    <row r="2470" spans="1:29" ht="91" x14ac:dyDescent="0.15">
      <c r="A2470" s="3">
        <f>DATE(1996,5,13)</f>
        <v>35198</v>
      </c>
      <c r="B2470" s="3">
        <f>DATE(1996,8,15)</f>
        <v>35292</v>
      </c>
      <c r="C2470" s="2" t="s">
        <v>95</v>
      </c>
      <c r="D2470" s="2" t="s">
        <v>7925</v>
      </c>
      <c r="E2470" s="2" t="s">
        <v>7926</v>
      </c>
      <c r="F2470" s="4">
        <v>3669</v>
      </c>
      <c r="G2470" s="2" t="s">
        <v>921</v>
      </c>
      <c r="H2470" s="2" t="s">
        <v>34</v>
      </c>
      <c r="I2470" s="2" t="s">
        <v>7927</v>
      </c>
      <c r="J2470" s="2" t="s">
        <v>1402</v>
      </c>
      <c r="K2470" s="2" t="s">
        <v>921</v>
      </c>
      <c r="L2470" s="2" t="s">
        <v>902</v>
      </c>
      <c r="M2470" s="2"/>
      <c r="N2470" s="2"/>
      <c r="O2470" s="2"/>
      <c r="P2470" s="2" t="s">
        <v>7928</v>
      </c>
      <c r="Q2470" s="6">
        <v>100</v>
      </c>
      <c r="R2470" s="6">
        <v>12</v>
      </c>
      <c r="S2470" s="5">
        <v>2.2999999999999998</v>
      </c>
      <c r="T2470" s="7">
        <v>9.7089999999999996</v>
      </c>
      <c r="U2470" s="5">
        <v>3.9</v>
      </c>
      <c r="V2470" s="7">
        <v>0.19400000000000001</v>
      </c>
      <c r="W2470" s="4">
        <v>11</v>
      </c>
      <c r="X2470" s="4">
        <v>14</v>
      </c>
      <c r="Y2470" s="6">
        <v>11.75</v>
      </c>
      <c r="Z2470" s="7">
        <v>11.875</v>
      </c>
      <c r="AA2470" s="6">
        <v>11.53</v>
      </c>
      <c r="AB2470" s="7">
        <v>33.189</v>
      </c>
      <c r="AC2470" s="6">
        <v>202.01</v>
      </c>
    </row>
    <row r="2471" spans="1:29" ht="143" x14ac:dyDescent="0.15">
      <c r="A2471" s="3">
        <f>DATE(1996,5,14)</f>
        <v>35199</v>
      </c>
      <c r="B2471" s="3">
        <f>DATE(1996,9,5)</f>
        <v>35313</v>
      </c>
      <c r="C2471" s="2" t="s">
        <v>95</v>
      </c>
      <c r="D2471" s="2" t="s">
        <v>7929</v>
      </c>
      <c r="E2471" s="2" t="s">
        <v>7930</v>
      </c>
      <c r="F2471" s="4">
        <v>8082</v>
      </c>
      <c r="G2471" s="2" t="s">
        <v>454</v>
      </c>
      <c r="H2471" s="2" t="s">
        <v>34</v>
      </c>
      <c r="I2471" s="2" t="s">
        <v>7272</v>
      </c>
      <c r="J2471" s="2" t="s">
        <v>7273</v>
      </c>
      <c r="K2471" s="2" t="s">
        <v>454</v>
      </c>
      <c r="L2471" s="2" t="s">
        <v>34</v>
      </c>
      <c r="M2471" s="7">
        <v>723.64300000000003</v>
      </c>
      <c r="N2471" s="4">
        <v>25</v>
      </c>
      <c r="O2471" s="7">
        <v>24.297000000000001</v>
      </c>
      <c r="P2471" s="2" t="s">
        <v>7931</v>
      </c>
      <c r="Q2471" s="6">
        <v>100</v>
      </c>
      <c r="R2471" s="6">
        <v>31.61</v>
      </c>
      <c r="S2471" s="5">
        <v>-148.5</v>
      </c>
      <c r="T2471" s="5">
        <v>155.19999999999999</v>
      </c>
      <c r="U2471" s="5">
        <v>4.9000000000000004</v>
      </c>
      <c r="V2471" s="6">
        <v>-1.97</v>
      </c>
      <c r="W2471" s="6">
        <v>27.25</v>
      </c>
      <c r="X2471" s="6">
        <v>28.75</v>
      </c>
      <c r="Y2471" s="5">
        <v>29.5</v>
      </c>
      <c r="Z2471" s="7">
        <v>27.625</v>
      </c>
      <c r="AA2471" s="6">
        <v>80.89</v>
      </c>
      <c r="AB2471" s="7">
        <v>24.463000000000001</v>
      </c>
      <c r="AC2471" s="6">
        <v>26.6</v>
      </c>
    </row>
    <row r="2472" spans="1:29" ht="130" x14ac:dyDescent="0.15">
      <c r="A2472" s="3">
        <f>DATE(1996,5,15)</f>
        <v>35200</v>
      </c>
      <c r="B2472" s="3">
        <f>DATE(1996,8,23)</f>
        <v>35300</v>
      </c>
      <c r="C2472" s="2" t="s">
        <v>95</v>
      </c>
      <c r="D2472" s="2" t="s">
        <v>7932</v>
      </c>
      <c r="E2472" s="2" t="s">
        <v>7933</v>
      </c>
      <c r="F2472" s="4">
        <v>3589</v>
      </c>
      <c r="G2472" s="2" t="s">
        <v>300</v>
      </c>
      <c r="H2472" s="2" t="s">
        <v>34</v>
      </c>
      <c r="I2472" s="2" t="s">
        <v>7934</v>
      </c>
      <c r="J2472" s="2" t="s">
        <v>7935</v>
      </c>
      <c r="K2472" s="2" t="s">
        <v>300</v>
      </c>
      <c r="L2472" s="2" t="s">
        <v>34</v>
      </c>
      <c r="M2472" s="12">
        <v>1722.702</v>
      </c>
      <c r="N2472" s="5">
        <v>33.5</v>
      </c>
      <c r="O2472" s="7">
        <v>34.625</v>
      </c>
      <c r="P2472" s="2" t="s">
        <v>7936</v>
      </c>
      <c r="Q2472" s="6">
        <v>100</v>
      </c>
      <c r="R2472" s="6">
        <v>29.62</v>
      </c>
      <c r="S2472" s="5">
        <v>3.4</v>
      </c>
      <c r="T2472" s="7">
        <v>9.6219999999999999</v>
      </c>
      <c r="U2472" s="5">
        <v>7.8</v>
      </c>
      <c r="V2472" s="6">
        <v>1.06</v>
      </c>
      <c r="W2472" s="7">
        <v>18.625</v>
      </c>
      <c r="X2472" s="6">
        <v>21.75</v>
      </c>
      <c r="Y2472" s="7">
        <v>23.125</v>
      </c>
      <c r="Z2472" s="4">
        <v>25</v>
      </c>
      <c r="AA2472" s="6">
        <v>3.26</v>
      </c>
      <c r="AB2472" s="7">
        <v>14.868</v>
      </c>
      <c r="AC2472" s="6">
        <v>16.61</v>
      </c>
    </row>
    <row r="2473" spans="1:29" ht="65" x14ac:dyDescent="0.15">
      <c r="A2473" s="3">
        <f>DATE(1996,5,15)</f>
        <v>35200</v>
      </c>
      <c r="B2473" s="2"/>
      <c r="C2473" s="2" t="s">
        <v>189</v>
      </c>
      <c r="D2473" s="2" t="s">
        <v>7937</v>
      </c>
      <c r="E2473" s="2" t="s">
        <v>7938</v>
      </c>
      <c r="F2473" s="4">
        <v>7375</v>
      </c>
      <c r="G2473" s="2" t="s">
        <v>223</v>
      </c>
      <c r="H2473" s="2" t="s">
        <v>34</v>
      </c>
      <c r="I2473" s="2" t="s">
        <v>143</v>
      </c>
      <c r="J2473" s="2" t="s">
        <v>144</v>
      </c>
      <c r="K2473" s="2" t="s">
        <v>53</v>
      </c>
      <c r="L2473" s="2" t="s">
        <v>139</v>
      </c>
      <c r="M2473" s="2"/>
      <c r="N2473" s="2"/>
      <c r="O2473" s="2"/>
      <c r="P2473" s="2" t="s">
        <v>7939</v>
      </c>
      <c r="Q2473" s="2"/>
      <c r="R2473" s="2"/>
      <c r="S2473" s="5">
        <v>-53.2</v>
      </c>
      <c r="T2473" s="7">
        <v>-27.901</v>
      </c>
      <c r="U2473" s="5">
        <v>1.9</v>
      </c>
      <c r="V2473" s="6">
        <v>-0.89</v>
      </c>
      <c r="W2473" s="7">
        <v>15.625</v>
      </c>
      <c r="X2473" s="7">
        <v>17.375</v>
      </c>
      <c r="Y2473" s="7">
        <v>18.125</v>
      </c>
      <c r="Z2473" s="5">
        <v>18.5</v>
      </c>
      <c r="AA2473" s="6">
        <v>37.65</v>
      </c>
      <c r="AB2473" s="2" t="s">
        <v>86</v>
      </c>
      <c r="AC2473" s="2"/>
    </row>
    <row r="2474" spans="1:29" ht="117" x14ac:dyDescent="0.15">
      <c r="A2474" s="3">
        <f>DATE(1996,5,16)</f>
        <v>35201</v>
      </c>
      <c r="B2474" s="3">
        <f>DATE(1996,11,15)</f>
        <v>35384</v>
      </c>
      <c r="C2474" s="2" t="s">
        <v>95</v>
      </c>
      <c r="D2474" s="2" t="s">
        <v>7940</v>
      </c>
      <c r="E2474" s="2" t="s">
        <v>7941</v>
      </c>
      <c r="F2474" s="4">
        <v>4812</v>
      </c>
      <c r="G2474" s="2" t="s">
        <v>63</v>
      </c>
      <c r="H2474" s="2" t="s">
        <v>34</v>
      </c>
      <c r="I2474" s="2" t="s">
        <v>4364</v>
      </c>
      <c r="J2474" s="2" t="s">
        <v>4365</v>
      </c>
      <c r="K2474" s="2" t="s">
        <v>63</v>
      </c>
      <c r="L2474" s="2" t="s">
        <v>34</v>
      </c>
      <c r="M2474" s="7">
        <v>274.18099999999998</v>
      </c>
      <c r="N2474" s="7">
        <v>20.125</v>
      </c>
      <c r="O2474" s="4">
        <v>20</v>
      </c>
      <c r="P2474" s="2" t="s">
        <v>7942</v>
      </c>
      <c r="Q2474" s="6">
        <v>100</v>
      </c>
      <c r="R2474" s="6">
        <v>21.1</v>
      </c>
      <c r="S2474" s="2"/>
      <c r="T2474" s="2"/>
      <c r="U2474" s="5">
        <v>6.2</v>
      </c>
      <c r="V2474" s="2"/>
      <c r="W2474" s="4">
        <v>15</v>
      </c>
      <c r="X2474" s="5">
        <v>15.5</v>
      </c>
      <c r="Y2474" s="6">
        <v>20.25</v>
      </c>
      <c r="Z2474" s="6">
        <v>20.25</v>
      </c>
      <c r="AA2474" s="6">
        <v>10.26</v>
      </c>
      <c r="AB2474" s="2" t="s">
        <v>47</v>
      </c>
      <c r="AC2474" s="6">
        <v>123.57</v>
      </c>
    </row>
    <row r="2475" spans="1:29" ht="156" x14ac:dyDescent="0.15">
      <c r="A2475" s="3">
        <f>DATE(1996,5,16)</f>
        <v>35201</v>
      </c>
      <c r="B2475" s="3">
        <f>DATE(1996,9,11)</f>
        <v>35319</v>
      </c>
      <c r="C2475" s="2" t="s">
        <v>95</v>
      </c>
      <c r="D2475" s="2" t="s">
        <v>6242</v>
      </c>
      <c r="E2475" s="2" t="s">
        <v>6243</v>
      </c>
      <c r="F2475" s="4">
        <v>1629</v>
      </c>
      <c r="G2475" s="2" t="s">
        <v>341</v>
      </c>
      <c r="H2475" s="2" t="s">
        <v>34</v>
      </c>
      <c r="I2475" s="2" t="s">
        <v>7943</v>
      </c>
      <c r="J2475" s="2" t="s">
        <v>3499</v>
      </c>
      <c r="K2475" s="2" t="s">
        <v>341</v>
      </c>
      <c r="L2475" s="2" t="s">
        <v>34</v>
      </c>
      <c r="M2475" s="7">
        <v>455.22199999999998</v>
      </c>
      <c r="N2475" s="7">
        <v>8.375</v>
      </c>
      <c r="O2475" s="4">
        <v>10</v>
      </c>
      <c r="P2475" s="2" t="s">
        <v>7944</v>
      </c>
      <c r="Q2475" s="6">
        <v>100</v>
      </c>
      <c r="R2475" s="2"/>
      <c r="S2475" s="5">
        <v>-349.6</v>
      </c>
      <c r="T2475" s="6">
        <v>-342.67</v>
      </c>
      <c r="U2475" s="5">
        <v>1.8</v>
      </c>
      <c r="V2475" s="6">
        <v>-10.75</v>
      </c>
      <c r="W2475" s="7">
        <v>1.2809999999999999</v>
      </c>
      <c r="X2475" s="7">
        <v>2.625</v>
      </c>
      <c r="Y2475" s="5">
        <v>2.5</v>
      </c>
      <c r="Z2475" s="6">
        <v>1.25</v>
      </c>
      <c r="AA2475" s="6">
        <v>33.049999999999997</v>
      </c>
      <c r="AB2475" s="2" t="s">
        <v>86</v>
      </c>
      <c r="AC2475" s="6">
        <v>30.04</v>
      </c>
    </row>
    <row r="2476" spans="1:29" ht="130" x14ac:dyDescent="0.15">
      <c r="A2476" s="3">
        <f>DATE(1996,5,16)</f>
        <v>35201</v>
      </c>
      <c r="B2476" s="3">
        <f>DATE(1996,8,20)</f>
        <v>35297</v>
      </c>
      <c r="C2476" s="2" t="s">
        <v>95</v>
      </c>
      <c r="D2476" s="2" t="s">
        <v>7945</v>
      </c>
      <c r="E2476" s="2" t="s">
        <v>4348</v>
      </c>
      <c r="F2476" s="4">
        <v>8049</v>
      </c>
      <c r="G2476" s="2" t="s">
        <v>454</v>
      </c>
      <c r="H2476" s="2" t="s">
        <v>34</v>
      </c>
      <c r="I2476" s="2" t="s">
        <v>6927</v>
      </c>
      <c r="J2476" s="2" t="s">
        <v>6928</v>
      </c>
      <c r="K2476" s="2" t="s">
        <v>454</v>
      </c>
      <c r="L2476" s="2" t="s">
        <v>34</v>
      </c>
      <c r="M2476" s="12">
        <v>5419.3069999999998</v>
      </c>
      <c r="N2476" s="5">
        <v>35.5</v>
      </c>
      <c r="O2476" s="7">
        <v>36.125</v>
      </c>
      <c r="P2476" s="2" t="s">
        <v>7946</v>
      </c>
      <c r="Q2476" s="6">
        <v>100</v>
      </c>
      <c r="R2476" s="6">
        <v>8.39</v>
      </c>
      <c r="S2476" s="5">
        <v>2.2999999999999998</v>
      </c>
      <c r="T2476" s="7">
        <v>5.4740000000000002</v>
      </c>
      <c r="U2476" s="5">
        <v>5.3</v>
      </c>
      <c r="V2476" s="7">
        <v>0.34599999999999997</v>
      </c>
      <c r="W2476" s="5">
        <v>6.5</v>
      </c>
      <c r="X2476" s="7">
        <v>7.375</v>
      </c>
      <c r="Y2476" s="5">
        <v>7.5</v>
      </c>
      <c r="Z2476" s="4">
        <v>8</v>
      </c>
      <c r="AA2476" s="6">
        <v>7.67</v>
      </c>
      <c r="AB2476" s="7">
        <v>14.666</v>
      </c>
      <c r="AC2476" s="6">
        <v>108.97</v>
      </c>
    </row>
    <row r="2477" spans="1:29" ht="91" x14ac:dyDescent="0.15">
      <c r="A2477" s="3">
        <f>DATE(1996,5,16)</f>
        <v>35201</v>
      </c>
      <c r="B2477" s="2"/>
      <c r="C2477" s="2" t="s">
        <v>30</v>
      </c>
      <c r="D2477" s="2" t="s">
        <v>3543</v>
      </c>
      <c r="E2477" s="2" t="s">
        <v>3544</v>
      </c>
      <c r="F2477" s="4">
        <v>4841</v>
      </c>
      <c r="G2477" s="2" t="s">
        <v>45</v>
      </c>
      <c r="H2477" s="2" t="s">
        <v>34</v>
      </c>
      <c r="I2477" s="2" t="s">
        <v>3558</v>
      </c>
      <c r="J2477" s="2" t="s">
        <v>7947</v>
      </c>
      <c r="K2477" s="2" t="s">
        <v>45</v>
      </c>
      <c r="L2477" s="2" t="s">
        <v>34</v>
      </c>
      <c r="M2477" s="2"/>
      <c r="N2477" s="7">
        <v>30.125</v>
      </c>
      <c r="O2477" s="7">
        <v>30.187999999999999</v>
      </c>
      <c r="P2477" s="2" t="s">
        <v>7948</v>
      </c>
      <c r="Q2477" s="2"/>
      <c r="R2477" s="6">
        <v>2</v>
      </c>
      <c r="S2477" s="5">
        <v>0.7</v>
      </c>
      <c r="T2477" s="7">
        <v>1.851</v>
      </c>
      <c r="U2477" s="5">
        <v>0.4</v>
      </c>
      <c r="V2477" s="7">
        <v>8.0000000000000002E-3</v>
      </c>
      <c r="W2477" s="6">
        <v>1.25</v>
      </c>
      <c r="X2477" s="7">
        <v>1.5629999999999999</v>
      </c>
      <c r="Y2477" s="7">
        <v>1.6879999999999999</v>
      </c>
      <c r="Z2477" s="6">
        <v>1.75</v>
      </c>
      <c r="AA2477" s="6">
        <v>23.94</v>
      </c>
      <c r="AB2477" s="7">
        <v>58.384</v>
      </c>
      <c r="AC2477" s="2"/>
    </row>
    <row r="2478" spans="1:29" ht="52" x14ac:dyDescent="0.15">
      <c r="A2478" s="3">
        <f>DATE(1996,5,17)</f>
        <v>35202</v>
      </c>
      <c r="B2478" s="3">
        <f>DATE(1996,8,16)</f>
        <v>35293</v>
      </c>
      <c r="C2478" s="2" t="s">
        <v>95</v>
      </c>
      <c r="D2478" s="2" t="s">
        <v>7949</v>
      </c>
      <c r="E2478" s="2" t="s">
        <v>1289</v>
      </c>
      <c r="F2478" s="4">
        <v>3089</v>
      </c>
      <c r="G2478" s="2" t="s">
        <v>447</v>
      </c>
      <c r="H2478" s="2" t="s">
        <v>34</v>
      </c>
      <c r="I2478" s="2" t="s">
        <v>7950</v>
      </c>
      <c r="J2478" s="2" t="s">
        <v>7951</v>
      </c>
      <c r="K2478" s="2" t="s">
        <v>447</v>
      </c>
      <c r="L2478" s="2" t="s">
        <v>34</v>
      </c>
      <c r="M2478" s="2"/>
      <c r="N2478" s="2"/>
      <c r="O2478" s="2"/>
      <c r="P2478" s="2" t="s">
        <v>7952</v>
      </c>
      <c r="Q2478" s="6">
        <v>100</v>
      </c>
      <c r="R2478" s="6">
        <v>6.22</v>
      </c>
      <c r="S2478" s="5">
        <v>1.8</v>
      </c>
      <c r="T2478" s="7">
        <v>3.016</v>
      </c>
      <c r="U2478" s="5">
        <v>4.3</v>
      </c>
      <c r="V2478" s="6">
        <v>0.86</v>
      </c>
      <c r="W2478" s="7">
        <v>6.125</v>
      </c>
      <c r="X2478" s="7">
        <v>6.125</v>
      </c>
      <c r="Y2478" s="7">
        <v>6.125</v>
      </c>
      <c r="Z2478" s="7">
        <v>6.125</v>
      </c>
      <c r="AA2478" s="6">
        <v>2</v>
      </c>
      <c r="AB2478" s="7">
        <v>8.9670000000000005</v>
      </c>
      <c r="AC2478" s="2"/>
    </row>
    <row r="2479" spans="1:29" ht="39" x14ac:dyDescent="0.15">
      <c r="A2479" s="3">
        <f>DATE(1996,5,17)</f>
        <v>35202</v>
      </c>
      <c r="B2479" s="2"/>
      <c r="C2479" s="2" t="s">
        <v>189</v>
      </c>
      <c r="D2479" s="2" t="s">
        <v>7953</v>
      </c>
      <c r="E2479" s="2" t="s">
        <v>1266</v>
      </c>
      <c r="F2479" s="4">
        <v>4215</v>
      </c>
      <c r="G2479" s="2" t="s">
        <v>173</v>
      </c>
      <c r="H2479" s="2" t="s">
        <v>34</v>
      </c>
      <c r="I2479" s="2" t="s">
        <v>143</v>
      </c>
      <c r="J2479" s="2" t="s">
        <v>144</v>
      </c>
      <c r="K2479" s="2" t="s">
        <v>53</v>
      </c>
      <c r="L2479" s="2" t="s">
        <v>139</v>
      </c>
      <c r="M2479" s="2"/>
      <c r="N2479" s="2"/>
      <c r="O2479" s="2"/>
      <c r="P2479" s="2" t="s">
        <v>7954</v>
      </c>
      <c r="Q2479" s="2"/>
      <c r="R2479" s="2"/>
      <c r="S2479" s="2"/>
      <c r="T2479" s="2"/>
      <c r="U2479" s="2"/>
      <c r="V2479" s="2"/>
      <c r="W2479" s="4">
        <v>3</v>
      </c>
      <c r="X2479" s="7">
        <v>2.875</v>
      </c>
      <c r="Y2479" s="7">
        <v>2.625</v>
      </c>
      <c r="Z2479" s="4">
        <v>3</v>
      </c>
      <c r="AA2479" s="6">
        <v>3.76</v>
      </c>
      <c r="AB2479" s="2" t="s">
        <v>47</v>
      </c>
      <c r="AC2479" s="2"/>
    </row>
    <row r="2480" spans="1:29" ht="143" x14ac:dyDescent="0.15">
      <c r="A2480" s="3">
        <f>DATE(1996,5,20)</f>
        <v>35205</v>
      </c>
      <c r="B2480" s="3">
        <f>DATE(1996,7,23)</f>
        <v>35269</v>
      </c>
      <c r="C2480" s="2" t="s">
        <v>95</v>
      </c>
      <c r="D2480" s="2" t="s">
        <v>7955</v>
      </c>
      <c r="E2480" s="2" t="s">
        <v>5975</v>
      </c>
      <c r="F2480" s="4">
        <v>5045</v>
      </c>
      <c r="G2480" s="2" t="s">
        <v>76</v>
      </c>
      <c r="H2480" s="2" t="s">
        <v>34</v>
      </c>
      <c r="I2480" s="2" t="s">
        <v>7956</v>
      </c>
      <c r="J2480" s="2" t="s">
        <v>7957</v>
      </c>
      <c r="K2480" s="2" t="s">
        <v>370</v>
      </c>
      <c r="L2480" s="2" t="s">
        <v>34</v>
      </c>
      <c r="M2480" s="2"/>
      <c r="N2480" s="2"/>
      <c r="O2480" s="2"/>
      <c r="P2480" s="2" t="s">
        <v>7958</v>
      </c>
      <c r="Q2480" s="6">
        <v>100</v>
      </c>
      <c r="R2480" s="6">
        <v>16</v>
      </c>
      <c r="S2480" s="5">
        <v>17.3</v>
      </c>
      <c r="T2480" s="7">
        <v>68.027000000000001</v>
      </c>
      <c r="U2480" s="5">
        <v>7.3</v>
      </c>
      <c r="V2480" s="6">
        <v>0.79</v>
      </c>
      <c r="W2480" s="6">
        <v>12.75</v>
      </c>
      <c r="X2480" s="7">
        <v>15.375</v>
      </c>
      <c r="Y2480" s="6">
        <v>15.75</v>
      </c>
      <c r="Z2480" s="6">
        <v>15.75</v>
      </c>
      <c r="AA2480" s="6">
        <v>22.28</v>
      </c>
      <c r="AB2480" s="7">
        <v>14.43</v>
      </c>
      <c r="AC2480" s="2"/>
    </row>
    <row r="2481" spans="1:29" ht="143" x14ac:dyDescent="0.15">
      <c r="A2481" s="3">
        <f>DATE(1996,5,20)</f>
        <v>35205</v>
      </c>
      <c r="B2481" s="3">
        <f>DATE(1996,12,30)</f>
        <v>35429</v>
      </c>
      <c r="C2481" s="2" t="s">
        <v>95</v>
      </c>
      <c r="D2481" s="2" t="s">
        <v>7959</v>
      </c>
      <c r="E2481" s="2" t="s">
        <v>5556</v>
      </c>
      <c r="F2481" s="4">
        <v>4953</v>
      </c>
      <c r="G2481" s="2" t="s">
        <v>116</v>
      </c>
      <c r="H2481" s="2" t="s">
        <v>34</v>
      </c>
      <c r="I2481" s="2" t="s">
        <v>7960</v>
      </c>
      <c r="J2481" s="2" t="s">
        <v>1789</v>
      </c>
      <c r="K2481" s="2" t="s">
        <v>116</v>
      </c>
      <c r="L2481" s="2" t="s">
        <v>34</v>
      </c>
      <c r="M2481" s="12">
        <v>6405.3959999999997</v>
      </c>
      <c r="N2481" s="7">
        <v>43.875</v>
      </c>
      <c r="O2481" s="5">
        <v>48.5</v>
      </c>
      <c r="P2481" s="2" t="s">
        <v>7961</v>
      </c>
      <c r="Q2481" s="6">
        <v>100</v>
      </c>
      <c r="R2481" s="6">
        <v>22.3</v>
      </c>
      <c r="S2481" s="5">
        <v>4.9000000000000004</v>
      </c>
      <c r="T2481" s="7">
        <v>18.483000000000001</v>
      </c>
      <c r="U2481" s="5">
        <v>5.3</v>
      </c>
      <c r="V2481" s="7">
        <v>0.38600000000000001</v>
      </c>
      <c r="W2481" s="6">
        <v>13.75</v>
      </c>
      <c r="X2481" s="7">
        <v>13.375</v>
      </c>
      <c r="Y2481" s="6">
        <v>16.25</v>
      </c>
      <c r="Z2481" s="7">
        <v>16.875</v>
      </c>
      <c r="AA2481" s="6">
        <v>14.8</v>
      </c>
      <c r="AB2481" s="7">
        <v>33.703000000000003</v>
      </c>
      <c r="AC2481" s="2"/>
    </row>
    <row r="2482" spans="1:29" ht="52" x14ac:dyDescent="0.15">
      <c r="A2482" s="3">
        <f>DATE(1996,5,20)</f>
        <v>35205</v>
      </c>
      <c r="B2482" s="3">
        <f>DATE(1996,8,29)</f>
        <v>35306</v>
      </c>
      <c r="C2482" s="2" t="s">
        <v>95</v>
      </c>
      <c r="D2482" s="2" t="s">
        <v>7962</v>
      </c>
      <c r="E2482" s="2" t="s">
        <v>7963</v>
      </c>
      <c r="F2482" s="4">
        <v>6159</v>
      </c>
      <c r="G2482" s="2" t="s">
        <v>370</v>
      </c>
      <c r="H2482" s="2" t="s">
        <v>34</v>
      </c>
      <c r="I2482" s="2" t="s">
        <v>7964</v>
      </c>
      <c r="J2482" s="2" t="s">
        <v>4060</v>
      </c>
      <c r="K2482" s="2" t="s">
        <v>53</v>
      </c>
      <c r="L2482" s="2" t="s">
        <v>34</v>
      </c>
      <c r="M2482" s="12">
        <v>1513.152</v>
      </c>
      <c r="N2482" s="7">
        <v>53.875</v>
      </c>
      <c r="O2482" s="4">
        <v>54</v>
      </c>
      <c r="P2482" s="2" t="s">
        <v>7965</v>
      </c>
      <c r="Q2482" s="6">
        <v>100</v>
      </c>
      <c r="R2482" s="6">
        <v>6.4</v>
      </c>
      <c r="S2482" s="5">
        <v>0.1</v>
      </c>
      <c r="T2482" s="7">
        <v>16.893000000000001</v>
      </c>
      <c r="U2482" s="5">
        <v>5</v>
      </c>
      <c r="V2482" s="6">
        <v>0.01</v>
      </c>
      <c r="W2482" s="4">
        <v>6</v>
      </c>
      <c r="X2482" s="7">
        <v>6.125</v>
      </c>
      <c r="Y2482" s="7">
        <v>6.2030000000000003</v>
      </c>
      <c r="Z2482" s="7">
        <v>6.1879999999999997</v>
      </c>
      <c r="AA2482" s="6">
        <v>5.75</v>
      </c>
      <c r="AB2482" s="7">
        <v>14.801</v>
      </c>
      <c r="AC2482" s="6">
        <v>90.28</v>
      </c>
    </row>
    <row r="2483" spans="1:29" ht="143" x14ac:dyDescent="0.15">
      <c r="A2483" s="3">
        <f>DATE(1996,5,20)</f>
        <v>35205</v>
      </c>
      <c r="B2483" s="2"/>
      <c r="C2483" s="2" t="s">
        <v>30</v>
      </c>
      <c r="D2483" s="2" t="s">
        <v>7966</v>
      </c>
      <c r="E2483" s="2" t="s">
        <v>7967</v>
      </c>
      <c r="F2483" s="4">
        <v>3641</v>
      </c>
      <c r="G2483" s="2" t="s">
        <v>137</v>
      </c>
      <c r="H2483" s="2" t="s">
        <v>34</v>
      </c>
      <c r="I2483" s="2" t="s">
        <v>7968</v>
      </c>
      <c r="J2483" s="2" t="s">
        <v>7969</v>
      </c>
      <c r="K2483" s="2" t="s">
        <v>226</v>
      </c>
      <c r="L2483" s="2" t="s">
        <v>34</v>
      </c>
      <c r="M2483" s="5">
        <v>157.5</v>
      </c>
      <c r="N2483" s="5">
        <v>6.5</v>
      </c>
      <c r="O2483" s="6">
        <v>6.75</v>
      </c>
      <c r="P2483" s="2" t="s">
        <v>7970</v>
      </c>
      <c r="Q2483" s="2"/>
      <c r="R2483" s="6">
        <v>13.25</v>
      </c>
      <c r="S2483" s="5">
        <v>4.8</v>
      </c>
      <c r="T2483" s="7">
        <v>8.8149999999999995</v>
      </c>
      <c r="U2483" s="5">
        <v>6.6</v>
      </c>
      <c r="V2483" s="7">
        <v>0.997</v>
      </c>
      <c r="W2483" s="7">
        <v>12.375</v>
      </c>
      <c r="X2483" s="6">
        <v>12.75</v>
      </c>
      <c r="Y2483" s="7">
        <v>12.875</v>
      </c>
      <c r="Z2483" s="4">
        <v>13</v>
      </c>
      <c r="AA2483" s="6">
        <v>5</v>
      </c>
      <c r="AB2483" s="7">
        <v>10.949</v>
      </c>
      <c r="AC2483" s="2"/>
    </row>
    <row r="2484" spans="1:29" ht="130" x14ac:dyDescent="0.15">
      <c r="A2484" s="3">
        <f>DATE(1996,5,20)</f>
        <v>35205</v>
      </c>
      <c r="B2484" s="3">
        <f>DATE(1996,10,31)</f>
        <v>35369</v>
      </c>
      <c r="C2484" s="2" t="s">
        <v>95</v>
      </c>
      <c r="D2484" s="2" t="s">
        <v>7971</v>
      </c>
      <c r="E2484" s="2" t="s">
        <v>7972</v>
      </c>
      <c r="F2484" s="4">
        <v>8011</v>
      </c>
      <c r="G2484" s="2" t="s">
        <v>454</v>
      </c>
      <c r="H2484" s="2" t="s">
        <v>34</v>
      </c>
      <c r="I2484" s="2" t="s">
        <v>7973</v>
      </c>
      <c r="J2484" s="2" t="s">
        <v>7974</v>
      </c>
      <c r="K2484" s="2" t="s">
        <v>454</v>
      </c>
      <c r="L2484" s="2" t="s">
        <v>34</v>
      </c>
      <c r="M2484" s="7">
        <v>17.466000000000001</v>
      </c>
      <c r="N2484" s="6">
        <v>17.75</v>
      </c>
      <c r="O2484" s="7">
        <v>18.375</v>
      </c>
      <c r="P2484" s="2" t="s">
        <v>7975</v>
      </c>
      <c r="Q2484" s="6">
        <v>100</v>
      </c>
      <c r="R2484" s="6">
        <v>18.66</v>
      </c>
      <c r="S2484" s="5">
        <v>3.4</v>
      </c>
      <c r="T2484" s="6">
        <v>9.8800000000000008</v>
      </c>
      <c r="U2484" s="5">
        <v>6.5</v>
      </c>
      <c r="V2484" s="7">
        <v>0.46600000000000003</v>
      </c>
      <c r="W2484" s="4">
        <v>18</v>
      </c>
      <c r="X2484" s="6">
        <v>19.25</v>
      </c>
      <c r="Y2484" s="7">
        <v>20.875</v>
      </c>
      <c r="Z2484" s="5">
        <v>20.5</v>
      </c>
      <c r="AA2484" s="6">
        <v>7.85</v>
      </c>
      <c r="AB2484" s="7">
        <v>23.754000000000001</v>
      </c>
      <c r="AC2484" s="6">
        <v>9.33</v>
      </c>
    </row>
    <row r="2485" spans="1:29" ht="65" x14ac:dyDescent="0.15">
      <c r="A2485" s="3">
        <f>DATE(1996,5,21)</f>
        <v>35206</v>
      </c>
      <c r="B2485" s="2"/>
      <c r="C2485" s="2" t="s">
        <v>7330</v>
      </c>
      <c r="D2485" s="2" t="s">
        <v>7976</v>
      </c>
      <c r="E2485" s="2" t="s">
        <v>973</v>
      </c>
      <c r="F2485" s="4">
        <v>4813</v>
      </c>
      <c r="G2485" s="2" t="s">
        <v>63</v>
      </c>
      <c r="H2485" s="2" t="s">
        <v>34</v>
      </c>
      <c r="I2485" s="2" t="s">
        <v>7977</v>
      </c>
      <c r="J2485" s="2" t="s">
        <v>973</v>
      </c>
      <c r="K2485" s="2" t="s">
        <v>63</v>
      </c>
      <c r="L2485" s="2" t="s">
        <v>34</v>
      </c>
      <c r="M2485" s="7">
        <v>229.125</v>
      </c>
      <c r="N2485" s="6">
        <v>21.25</v>
      </c>
      <c r="O2485" s="6">
        <v>23.75</v>
      </c>
      <c r="P2485" s="2" t="s">
        <v>7978</v>
      </c>
      <c r="Q2485" s="2"/>
      <c r="R2485" s="6">
        <v>26</v>
      </c>
      <c r="S2485" s="5">
        <v>1.6</v>
      </c>
      <c r="T2485" s="7">
        <v>3.335</v>
      </c>
      <c r="U2485" s="5">
        <v>1.8</v>
      </c>
      <c r="V2485" s="9">
        <v>0.23749999999999999</v>
      </c>
      <c r="W2485" s="4">
        <v>20</v>
      </c>
      <c r="X2485" s="5">
        <v>19.5</v>
      </c>
      <c r="Y2485" s="4">
        <v>20</v>
      </c>
      <c r="Z2485" s="4">
        <v>25</v>
      </c>
      <c r="AA2485" s="6">
        <v>1.46</v>
      </c>
      <c r="AB2485" s="7">
        <v>66.262</v>
      </c>
      <c r="AC2485" s="6">
        <v>41.21</v>
      </c>
    </row>
    <row r="2486" spans="1:29" ht="143" x14ac:dyDescent="0.15">
      <c r="A2486" s="3">
        <f>DATE(1996,5,22)</f>
        <v>35207</v>
      </c>
      <c r="B2486" s="3">
        <f>DATE(1996,12,9)</f>
        <v>35408</v>
      </c>
      <c r="C2486" s="2" t="s">
        <v>95</v>
      </c>
      <c r="D2486" s="2" t="s">
        <v>7979</v>
      </c>
      <c r="E2486" s="2" t="s">
        <v>36</v>
      </c>
      <c r="F2486" s="4">
        <v>6712</v>
      </c>
      <c r="G2486" s="2" t="s">
        <v>37</v>
      </c>
      <c r="H2486" s="2" t="s">
        <v>34</v>
      </c>
      <c r="I2486" s="2" t="s">
        <v>7980</v>
      </c>
      <c r="J2486" s="2" t="s">
        <v>36</v>
      </c>
      <c r="K2486" s="2" t="s">
        <v>37</v>
      </c>
      <c r="L2486" s="2" t="s">
        <v>34</v>
      </c>
      <c r="M2486" s="12">
        <v>3226.377</v>
      </c>
      <c r="N2486" s="6">
        <v>37.25</v>
      </c>
      <c r="O2486" s="6">
        <v>37.25</v>
      </c>
      <c r="P2486" s="2" t="s">
        <v>7981</v>
      </c>
      <c r="Q2486" s="6">
        <v>100</v>
      </c>
      <c r="R2486" s="6">
        <v>33.799999999999997</v>
      </c>
      <c r="S2486" s="5">
        <v>5.2</v>
      </c>
      <c r="T2486" s="7">
        <v>9.0939999999999994</v>
      </c>
      <c r="U2486" s="5">
        <v>20.8</v>
      </c>
      <c r="V2486" s="7">
        <v>2.1480000000000001</v>
      </c>
      <c r="W2486" s="6">
        <v>25.75</v>
      </c>
      <c r="X2486" s="5">
        <v>26.5</v>
      </c>
      <c r="Y2486" s="7">
        <v>30.375</v>
      </c>
      <c r="Z2486" s="7">
        <v>31.312999999999999</v>
      </c>
      <c r="AA2486" s="6">
        <v>2.67</v>
      </c>
      <c r="AB2486" s="7">
        <v>58.05</v>
      </c>
      <c r="AC2486" s="2"/>
    </row>
    <row r="2487" spans="1:29" ht="65" x14ac:dyDescent="0.15">
      <c r="A2487" s="3">
        <f>DATE(1996,5,22)</f>
        <v>35207</v>
      </c>
      <c r="B2487" s="2"/>
      <c r="C2487" s="2" t="s">
        <v>7330</v>
      </c>
      <c r="D2487" s="2" t="s">
        <v>5122</v>
      </c>
      <c r="E2487" s="2" t="s">
        <v>5123</v>
      </c>
      <c r="F2487" s="4">
        <v>6792</v>
      </c>
      <c r="G2487" s="2" t="s">
        <v>53</v>
      </c>
      <c r="H2487" s="2" t="s">
        <v>34</v>
      </c>
      <c r="I2487" s="2" t="s">
        <v>7982</v>
      </c>
      <c r="J2487" s="2" t="s">
        <v>177</v>
      </c>
      <c r="K2487" s="2" t="s">
        <v>148</v>
      </c>
      <c r="L2487" s="2" t="s">
        <v>34</v>
      </c>
      <c r="M2487" s="7">
        <v>11.808999999999999</v>
      </c>
      <c r="N2487" s="4">
        <v>4</v>
      </c>
      <c r="O2487" s="7">
        <v>4.125</v>
      </c>
      <c r="P2487" s="2" t="s">
        <v>7983</v>
      </c>
      <c r="Q2487" s="2"/>
      <c r="R2487" s="2"/>
      <c r="S2487" s="5">
        <v>1.3</v>
      </c>
      <c r="T2487" s="7">
        <v>1.5609999999999999</v>
      </c>
      <c r="U2487" s="5">
        <v>11.6</v>
      </c>
      <c r="V2487" s="6">
        <v>0.9</v>
      </c>
      <c r="W2487" s="6">
        <v>10.75</v>
      </c>
      <c r="X2487" s="6">
        <v>10.75</v>
      </c>
      <c r="Y2487" s="6">
        <v>10.25</v>
      </c>
      <c r="Z2487" s="4">
        <v>10</v>
      </c>
      <c r="AA2487" s="2"/>
      <c r="AB2487" s="2" t="s">
        <v>47</v>
      </c>
      <c r="AC2487" s="6">
        <v>0.52</v>
      </c>
    </row>
    <row r="2488" spans="1:29" ht="117" x14ac:dyDescent="0.15">
      <c r="A2488" s="3">
        <f>DATE(1996,5,22)</f>
        <v>35207</v>
      </c>
      <c r="B2488" s="2"/>
      <c r="C2488" s="2" t="s">
        <v>30</v>
      </c>
      <c r="D2488" s="2" t="s">
        <v>7112</v>
      </c>
      <c r="E2488" s="2" t="s">
        <v>844</v>
      </c>
      <c r="F2488" s="4">
        <v>6552</v>
      </c>
      <c r="G2488" s="2" t="s">
        <v>109</v>
      </c>
      <c r="H2488" s="2" t="s">
        <v>34</v>
      </c>
      <c r="I2488" s="2" t="s">
        <v>7984</v>
      </c>
      <c r="J2488" s="2" t="s">
        <v>7985</v>
      </c>
      <c r="K2488" s="2" t="s">
        <v>130</v>
      </c>
      <c r="L2488" s="2" t="s">
        <v>34</v>
      </c>
      <c r="M2488" s="2"/>
      <c r="N2488" s="2"/>
      <c r="O2488" s="2"/>
      <c r="P2488" s="2" t="s">
        <v>7986</v>
      </c>
      <c r="Q2488" s="2"/>
      <c r="R2488" s="2"/>
      <c r="S2488" s="5">
        <v>1.2</v>
      </c>
      <c r="T2488" s="7">
        <v>2.081</v>
      </c>
      <c r="U2488" s="5">
        <v>13.4</v>
      </c>
      <c r="V2488" s="6">
        <v>0.84</v>
      </c>
      <c r="W2488" s="7">
        <v>8.625</v>
      </c>
      <c r="X2488" s="6">
        <v>9.75</v>
      </c>
      <c r="Y2488" s="5">
        <v>9.5</v>
      </c>
      <c r="Z2488" s="5">
        <v>9.5</v>
      </c>
      <c r="AA2488" s="6">
        <v>1.46</v>
      </c>
      <c r="AB2488" s="2" t="s">
        <v>47</v>
      </c>
      <c r="AC2488" s="2"/>
    </row>
    <row r="2489" spans="1:29" ht="130" x14ac:dyDescent="0.15">
      <c r="A2489" s="3">
        <f>DATE(1996,5,22)</f>
        <v>35207</v>
      </c>
      <c r="B2489" s="3">
        <f>DATE(1996,8,2)</f>
        <v>35279</v>
      </c>
      <c r="C2489" s="2" t="s">
        <v>95</v>
      </c>
      <c r="D2489" s="2" t="s">
        <v>7987</v>
      </c>
      <c r="E2489" s="2" t="s">
        <v>3405</v>
      </c>
      <c r="F2489" s="4">
        <v>3661</v>
      </c>
      <c r="G2489" s="2" t="s">
        <v>921</v>
      </c>
      <c r="H2489" s="2" t="s">
        <v>34</v>
      </c>
      <c r="I2489" s="2" t="s">
        <v>7988</v>
      </c>
      <c r="J2489" s="2" t="s">
        <v>7989</v>
      </c>
      <c r="K2489" s="2" t="s">
        <v>137</v>
      </c>
      <c r="L2489" s="2" t="s">
        <v>34</v>
      </c>
      <c r="M2489" s="10">
        <v>5223.45</v>
      </c>
      <c r="N2489" s="4">
        <v>77</v>
      </c>
      <c r="O2489" s="6">
        <v>76.75</v>
      </c>
      <c r="P2489" s="2" t="s">
        <v>7990</v>
      </c>
      <c r="Q2489" s="6">
        <v>100</v>
      </c>
      <c r="R2489" s="6">
        <v>10.95</v>
      </c>
      <c r="S2489" s="5">
        <v>-8.5</v>
      </c>
      <c r="T2489" s="7">
        <v>-8.9489999999999998</v>
      </c>
      <c r="U2489" s="5">
        <v>2.7</v>
      </c>
      <c r="V2489" s="7">
        <v>-0.90500000000000003</v>
      </c>
      <c r="W2489" s="7">
        <v>9.125</v>
      </c>
      <c r="X2489" s="6">
        <v>12.25</v>
      </c>
      <c r="Y2489" s="6">
        <v>10.25</v>
      </c>
      <c r="Z2489" s="6">
        <v>10.25</v>
      </c>
      <c r="AA2489" s="6">
        <v>10.65</v>
      </c>
      <c r="AB2489" s="2" t="s">
        <v>86</v>
      </c>
      <c r="AC2489" s="2"/>
    </row>
    <row r="2490" spans="1:29" ht="104" x14ac:dyDescent="0.15">
      <c r="A2490" s="3">
        <f>DATE(1996,5,23)</f>
        <v>35208</v>
      </c>
      <c r="B2490" s="3">
        <f>DATE(1996,9,30)</f>
        <v>35338</v>
      </c>
      <c r="C2490" s="2" t="s">
        <v>95</v>
      </c>
      <c r="D2490" s="2" t="s">
        <v>7991</v>
      </c>
      <c r="E2490" s="2" t="s">
        <v>7992</v>
      </c>
      <c r="F2490" s="4">
        <v>6021</v>
      </c>
      <c r="G2490" s="2" t="s">
        <v>37</v>
      </c>
      <c r="H2490" s="2" t="s">
        <v>34</v>
      </c>
      <c r="I2490" s="2" t="s">
        <v>5227</v>
      </c>
      <c r="J2490" s="2" t="s">
        <v>389</v>
      </c>
      <c r="K2490" s="2" t="s">
        <v>33</v>
      </c>
      <c r="L2490" s="2" t="s">
        <v>34</v>
      </c>
      <c r="M2490" s="2"/>
      <c r="N2490" s="2"/>
      <c r="O2490" s="2"/>
      <c r="P2490" s="2" t="s">
        <v>7993</v>
      </c>
      <c r="Q2490" s="6">
        <v>100</v>
      </c>
      <c r="R2490" s="6">
        <v>11.5</v>
      </c>
      <c r="S2490" s="5">
        <v>2.5</v>
      </c>
      <c r="T2490" s="7">
        <v>4.9470000000000001</v>
      </c>
      <c r="U2490" s="5">
        <v>9.5</v>
      </c>
      <c r="V2490" s="7">
        <v>1.0009999999999999</v>
      </c>
      <c r="W2490" s="6">
        <v>9.75</v>
      </c>
      <c r="X2490" s="6">
        <v>9.25</v>
      </c>
      <c r="Y2490" s="7">
        <v>10.625</v>
      </c>
      <c r="Z2490" s="4">
        <v>11</v>
      </c>
      <c r="AA2490" s="6">
        <v>2.52</v>
      </c>
      <c r="AB2490" s="7">
        <v>55.625999999999998</v>
      </c>
      <c r="AC2490" s="2"/>
    </row>
    <row r="2491" spans="1:29" ht="91" x14ac:dyDescent="0.15">
      <c r="A2491" s="3">
        <f>DATE(1996,5,24)</f>
        <v>35209</v>
      </c>
      <c r="B2491" s="3">
        <f>DATE(1996,9,4)</f>
        <v>35312</v>
      </c>
      <c r="C2491" s="2" t="s">
        <v>95</v>
      </c>
      <c r="D2491" s="2" t="s">
        <v>7994</v>
      </c>
      <c r="E2491" s="2" t="s">
        <v>177</v>
      </c>
      <c r="F2491" s="4">
        <v>1311</v>
      </c>
      <c r="G2491" s="2" t="s">
        <v>148</v>
      </c>
      <c r="H2491" s="2" t="s">
        <v>34</v>
      </c>
      <c r="I2491" s="2" t="s">
        <v>7995</v>
      </c>
      <c r="J2491" s="2" t="s">
        <v>80</v>
      </c>
      <c r="K2491" s="2" t="s">
        <v>53</v>
      </c>
      <c r="L2491" s="2" t="s">
        <v>34</v>
      </c>
      <c r="M2491" s="2"/>
      <c r="N2491" s="2"/>
      <c r="O2491" s="2"/>
      <c r="P2491" s="2" t="s">
        <v>7996</v>
      </c>
      <c r="Q2491" s="6">
        <v>100</v>
      </c>
      <c r="R2491" s="6">
        <v>6.75</v>
      </c>
      <c r="S2491" s="5">
        <v>2.4</v>
      </c>
      <c r="T2491" s="7">
        <v>8.9930000000000003</v>
      </c>
      <c r="U2491" s="5">
        <v>4.2</v>
      </c>
      <c r="V2491" s="7">
        <v>0.41699999999999998</v>
      </c>
      <c r="W2491" s="7">
        <v>5.875</v>
      </c>
      <c r="X2491" s="5">
        <v>6.5</v>
      </c>
      <c r="Y2491" s="7">
        <v>6.1879999999999997</v>
      </c>
      <c r="Z2491" s="7">
        <v>6.1879999999999997</v>
      </c>
      <c r="AA2491" s="6">
        <v>5.68</v>
      </c>
      <c r="AB2491" s="7">
        <v>12.476000000000001</v>
      </c>
      <c r="AC2491" s="2"/>
    </row>
    <row r="2492" spans="1:29" ht="130" x14ac:dyDescent="0.15">
      <c r="A2492" s="3">
        <f>DATE(1996,5,24)</f>
        <v>35209</v>
      </c>
      <c r="B2492" s="3">
        <f>DATE(1996,7,2)</f>
        <v>35248</v>
      </c>
      <c r="C2492" s="2" t="s">
        <v>95</v>
      </c>
      <c r="D2492" s="2" t="s">
        <v>7997</v>
      </c>
      <c r="E2492" s="2" t="s">
        <v>3336</v>
      </c>
      <c r="F2492" s="4">
        <v>6719</v>
      </c>
      <c r="G2492" s="2" t="s">
        <v>7998</v>
      </c>
      <c r="H2492" s="2" t="s">
        <v>34</v>
      </c>
      <c r="I2492" s="2" t="s">
        <v>7999</v>
      </c>
      <c r="J2492" s="2" t="s">
        <v>8000</v>
      </c>
      <c r="K2492" s="2" t="s">
        <v>105</v>
      </c>
      <c r="L2492" s="2" t="s">
        <v>34</v>
      </c>
      <c r="M2492" s="2"/>
      <c r="N2492" s="7">
        <v>37.625</v>
      </c>
      <c r="O2492" s="7">
        <v>37.625</v>
      </c>
      <c r="P2492" s="2" t="s">
        <v>8001</v>
      </c>
      <c r="Q2492" s="6">
        <v>100</v>
      </c>
      <c r="R2492" s="6">
        <v>26</v>
      </c>
      <c r="S2492" s="5">
        <v>20.7</v>
      </c>
      <c r="T2492" s="7">
        <v>49.051000000000002</v>
      </c>
      <c r="U2492" s="5">
        <v>6.9</v>
      </c>
      <c r="V2492" s="7">
        <v>1.248</v>
      </c>
      <c r="W2492" s="4">
        <v>22</v>
      </c>
      <c r="X2492" s="5">
        <v>24.5</v>
      </c>
      <c r="Y2492" s="6">
        <v>25.75</v>
      </c>
      <c r="Z2492" s="6">
        <v>25.75</v>
      </c>
      <c r="AA2492" s="6">
        <v>13.59</v>
      </c>
      <c r="AB2492" s="7">
        <v>11.46</v>
      </c>
      <c r="AC2492" s="5">
        <v>34.1</v>
      </c>
    </row>
    <row r="2493" spans="1:29" ht="104" x14ac:dyDescent="0.15">
      <c r="A2493" s="3">
        <f>DATE(1996,5,27)</f>
        <v>35212</v>
      </c>
      <c r="B2493" s="3">
        <f>DATE(1997,2,16)</f>
        <v>35477</v>
      </c>
      <c r="C2493" s="2" t="s">
        <v>95</v>
      </c>
      <c r="D2493" s="2" t="s">
        <v>8002</v>
      </c>
      <c r="E2493" s="2" t="s">
        <v>2535</v>
      </c>
      <c r="F2493" s="4">
        <v>2836</v>
      </c>
      <c r="G2493" s="2" t="s">
        <v>130</v>
      </c>
      <c r="H2493" s="2" t="s">
        <v>34</v>
      </c>
      <c r="I2493" s="2" t="s">
        <v>8003</v>
      </c>
      <c r="J2493" s="2" t="s">
        <v>7462</v>
      </c>
      <c r="K2493" s="2" t="s">
        <v>130</v>
      </c>
      <c r="L2493" s="2" t="s">
        <v>215</v>
      </c>
      <c r="M2493" s="2"/>
      <c r="N2493" s="2"/>
      <c r="O2493" s="2"/>
      <c r="P2493" s="2" t="s">
        <v>8004</v>
      </c>
      <c r="Q2493" s="6">
        <v>32.229999999999997</v>
      </c>
      <c r="R2493" s="6">
        <v>19.5</v>
      </c>
      <c r="S2493" s="5">
        <v>-45.9</v>
      </c>
      <c r="T2493" s="7">
        <v>-39.216000000000001</v>
      </c>
      <c r="U2493" s="5">
        <v>6.1</v>
      </c>
      <c r="V2493" s="7">
        <v>-3.1619999999999999</v>
      </c>
      <c r="W2493" s="5">
        <v>11.5</v>
      </c>
      <c r="X2493" s="7">
        <v>18.625</v>
      </c>
      <c r="Y2493" s="7">
        <v>18.625</v>
      </c>
      <c r="Z2493" s="6">
        <v>17.25</v>
      </c>
      <c r="AA2493" s="6">
        <v>14.47</v>
      </c>
      <c r="AB2493" s="2" t="s">
        <v>86</v>
      </c>
      <c r="AC2493" s="8">
        <v>14215.6</v>
      </c>
    </row>
    <row r="2494" spans="1:29" ht="78" x14ac:dyDescent="0.15">
      <c r="A2494" s="3">
        <f>DATE(1996,5,29)</f>
        <v>35214</v>
      </c>
      <c r="B2494" s="3">
        <f>DATE(1997,1,28)</f>
        <v>35458</v>
      </c>
      <c r="C2494" s="2" t="s">
        <v>95</v>
      </c>
      <c r="D2494" s="2" t="s">
        <v>8005</v>
      </c>
      <c r="E2494" s="2" t="s">
        <v>5900</v>
      </c>
      <c r="F2494" s="4">
        <v>6035</v>
      </c>
      <c r="G2494" s="2" t="s">
        <v>33</v>
      </c>
      <c r="H2494" s="2" t="s">
        <v>34</v>
      </c>
      <c r="I2494" s="2" t="s">
        <v>6678</v>
      </c>
      <c r="J2494" s="2" t="s">
        <v>159</v>
      </c>
      <c r="K2494" s="2" t="s">
        <v>37</v>
      </c>
      <c r="L2494" s="2" t="s">
        <v>34</v>
      </c>
      <c r="M2494" s="2"/>
      <c r="N2494" s="7">
        <v>47.125</v>
      </c>
      <c r="O2494" s="7">
        <v>47.375</v>
      </c>
      <c r="P2494" s="2" t="s">
        <v>8006</v>
      </c>
      <c r="Q2494" s="6">
        <v>100</v>
      </c>
      <c r="R2494" s="6">
        <v>11.65</v>
      </c>
      <c r="S2494" s="5">
        <v>2.5</v>
      </c>
      <c r="T2494" s="2"/>
      <c r="U2494" s="5">
        <v>6.2</v>
      </c>
      <c r="V2494" s="7">
        <v>0.75900000000000001</v>
      </c>
      <c r="W2494" s="6">
        <v>9.75</v>
      </c>
      <c r="X2494" s="7">
        <v>9.625</v>
      </c>
      <c r="Y2494" s="7">
        <v>9.625</v>
      </c>
      <c r="Z2494" s="4">
        <v>11</v>
      </c>
      <c r="AA2494" s="6">
        <v>3.43</v>
      </c>
      <c r="AB2494" s="7">
        <v>76.441999999999993</v>
      </c>
      <c r="AC2494" s="2"/>
    </row>
    <row r="2495" spans="1:29" ht="52" x14ac:dyDescent="0.15">
      <c r="A2495" s="3">
        <f>DATE(1996,5,29)</f>
        <v>35214</v>
      </c>
      <c r="B2495" s="2"/>
      <c r="C2495" s="2" t="s">
        <v>30</v>
      </c>
      <c r="D2495" s="2" t="s">
        <v>8007</v>
      </c>
      <c r="E2495" s="2" t="s">
        <v>177</v>
      </c>
      <c r="F2495" s="4">
        <v>1382</v>
      </c>
      <c r="G2495" s="2" t="s">
        <v>148</v>
      </c>
      <c r="H2495" s="2" t="s">
        <v>34</v>
      </c>
      <c r="I2495" s="2" t="s">
        <v>8008</v>
      </c>
      <c r="J2495" s="2" t="s">
        <v>302</v>
      </c>
      <c r="K2495" s="2" t="s">
        <v>53</v>
      </c>
      <c r="L2495" s="2" t="s">
        <v>34</v>
      </c>
      <c r="M2495" s="2"/>
      <c r="N2495" s="5">
        <v>16.5</v>
      </c>
      <c r="O2495" s="5">
        <v>16.5</v>
      </c>
      <c r="P2495" s="2" t="s">
        <v>8009</v>
      </c>
      <c r="Q2495" s="2"/>
      <c r="R2495" s="2"/>
      <c r="S2495" s="2"/>
      <c r="T2495" s="2"/>
      <c r="U2495" s="2"/>
      <c r="V2495" s="2"/>
      <c r="W2495" s="6">
        <v>2.25</v>
      </c>
      <c r="X2495" s="4">
        <v>2</v>
      </c>
      <c r="Y2495" s="5">
        <v>2.5</v>
      </c>
      <c r="Z2495" s="5">
        <v>2.5</v>
      </c>
      <c r="AA2495" s="6">
        <v>2.9</v>
      </c>
      <c r="AB2495" s="2" t="s">
        <v>47</v>
      </c>
      <c r="AC2495" s="2"/>
    </row>
    <row r="2496" spans="1:29" ht="156" x14ac:dyDescent="0.15">
      <c r="A2496" s="3">
        <f>DATE(1996,5,30)</f>
        <v>35215</v>
      </c>
      <c r="B2496" s="3">
        <f>DATE(1996,9,10)</f>
        <v>35318</v>
      </c>
      <c r="C2496" s="2" t="s">
        <v>95</v>
      </c>
      <c r="D2496" s="2" t="s">
        <v>8010</v>
      </c>
      <c r="E2496" s="2" t="s">
        <v>8011</v>
      </c>
      <c r="F2496" s="4">
        <v>3827</v>
      </c>
      <c r="G2496" s="2" t="s">
        <v>226</v>
      </c>
      <c r="H2496" s="2" t="s">
        <v>34</v>
      </c>
      <c r="I2496" s="2" t="s">
        <v>8012</v>
      </c>
      <c r="J2496" s="2" t="s">
        <v>7513</v>
      </c>
      <c r="K2496" s="2" t="s">
        <v>226</v>
      </c>
      <c r="L2496" s="2" t="s">
        <v>34</v>
      </c>
      <c r="M2496" s="5">
        <v>697.6</v>
      </c>
      <c r="N2496" s="6">
        <v>29.25</v>
      </c>
      <c r="O2496" s="6">
        <v>30.25</v>
      </c>
      <c r="P2496" s="2" t="s">
        <v>8013</v>
      </c>
      <c r="Q2496" s="6">
        <v>100</v>
      </c>
      <c r="R2496" s="6">
        <v>1.1399999999999999</v>
      </c>
      <c r="S2496" s="5">
        <v>-2.8</v>
      </c>
      <c r="T2496" s="7">
        <v>-2.1709999999999998</v>
      </c>
      <c r="U2496" s="5">
        <v>0.1</v>
      </c>
      <c r="V2496" s="7">
        <v>-0.58299999999999996</v>
      </c>
      <c r="W2496" s="6">
        <v>1.23</v>
      </c>
      <c r="X2496" s="7">
        <v>1.125</v>
      </c>
      <c r="Y2496" s="5">
        <v>1.1000000000000001</v>
      </c>
      <c r="Z2496" s="6">
        <v>1.06</v>
      </c>
      <c r="AA2496" s="6">
        <v>5.53</v>
      </c>
      <c r="AB2496" s="2" t="s">
        <v>86</v>
      </c>
      <c r="AC2496" s="6">
        <v>22.39</v>
      </c>
    </row>
    <row r="2497" spans="1:29" ht="65" x14ac:dyDescent="0.15">
      <c r="A2497" s="3">
        <f>DATE(1996,5,30)</f>
        <v>35215</v>
      </c>
      <c r="B2497" s="2"/>
      <c r="C2497" s="2" t="s">
        <v>30</v>
      </c>
      <c r="D2497" s="2" t="s">
        <v>6025</v>
      </c>
      <c r="E2497" s="2" t="s">
        <v>6026</v>
      </c>
      <c r="F2497" s="4">
        <v>8082</v>
      </c>
      <c r="G2497" s="2" t="s">
        <v>454</v>
      </c>
      <c r="H2497" s="2" t="s">
        <v>34</v>
      </c>
      <c r="I2497" s="2" t="s">
        <v>8014</v>
      </c>
      <c r="J2497" s="2" t="s">
        <v>3600</v>
      </c>
      <c r="K2497" s="2" t="s">
        <v>454</v>
      </c>
      <c r="L2497" s="2" t="s">
        <v>34</v>
      </c>
      <c r="M2497" s="2"/>
      <c r="N2497" s="2"/>
      <c r="O2497" s="2"/>
      <c r="P2497" s="2" t="s">
        <v>8015</v>
      </c>
      <c r="Q2497" s="2"/>
      <c r="R2497" s="6">
        <v>4</v>
      </c>
      <c r="S2497" s="5">
        <v>0.1</v>
      </c>
      <c r="T2497" s="7">
        <v>0.55400000000000005</v>
      </c>
      <c r="U2497" s="5">
        <v>2.1</v>
      </c>
      <c r="V2497" s="7">
        <v>1.2E-2</v>
      </c>
      <c r="W2497" s="9">
        <v>3.5625</v>
      </c>
      <c r="X2497" s="6">
        <v>3.75</v>
      </c>
      <c r="Y2497" s="7">
        <v>3.375</v>
      </c>
      <c r="Z2497" s="11">
        <v>3.65625</v>
      </c>
      <c r="AA2497" s="6">
        <v>4.9000000000000004</v>
      </c>
      <c r="AB2497" s="2" t="s">
        <v>86</v>
      </c>
      <c r="AC2497" s="2"/>
    </row>
    <row r="2498" spans="1:29" ht="104" x14ac:dyDescent="0.15">
      <c r="A2498" s="3">
        <f>DATE(1996,5,31)</f>
        <v>35216</v>
      </c>
      <c r="B2498" s="3">
        <f>DATE(1996,12,19)</f>
        <v>35418</v>
      </c>
      <c r="C2498" s="2" t="s">
        <v>95</v>
      </c>
      <c r="D2498" s="2" t="s">
        <v>8016</v>
      </c>
      <c r="E2498" s="2" t="s">
        <v>8017</v>
      </c>
      <c r="F2498" s="4">
        <v>1221</v>
      </c>
      <c r="G2498" s="2" t="s">
        <v>166</v>
      </c>
      <c r="H2498" s="2" t="s">
        <v>34</v>
      </c>
      <c r="I2498" s="2" t="s">
        <v>7960</v>
      </c>
      <c r="J2498" s="2" t="s">
        <v>1789</v>
      </c>
      <c r="K2498" s="2" t="s">
        <v>116</v>
      </c>
      <c r="L2498" s="2" t="s">
        <v>34</v>
      </c>
      <c r="M2498" s="12">
        <v>2131.9070000000002</v>
      </c>
      <c r="N2498" s="4">
        <v>52</v>
      </c>
      <c r="O2498" s="7">
        <v>49.938000000000002</v>
      </c>
      <c r="P2498" s="2" t="s">
        <v>8018</v>
      </c>
      <c r="Q2498" s="6">
        <v>100</v>
      </c>
      <c r="R2498" s="6">
        <v>21.23</v>
      </c>
      <c r="S2498" s="5">
        <v>12.8</v>
      </c>
      <c r="T2498" s="7">
        <v>19.533999999999999</v>
      </c>
      <c r="U2498" s="5">
        <v>6.1</v>
      </c>
      <c r="V2498" s="6">
        <v>0.45</v>
      </c>
      <c r="W2498" s="6">
        <v>14.75</v>
      </c>
      <c r="X2498" s="4">
        <v>17</v>
      </c>
      <c r="Y2498" s="5">
        <v>20.5</v>
      </c>
      <c r="Z2498" s="6">
        <v>20.25</v>
      </c>
      <c r="AA2498" s="6">
        <v>14.97</v>
      </c>
      <c r="AB2498" s="7">
        <v>27.64</v>
      </c>
      <c r="AC2498" s="2"/>
    </row>
    <row r="2499" spans="1:29" ht="156" x14ac:dyDescent="0.15">
      <c r="A2499" s="3">
        <f>DATE(1996,5,31)</f>
        <v>35216</v>
      </c>
      <c r="B2499" s="3">
        <f>DATE(1996,12,9)</f>
        <v>35408</v>
      </c>
      <c r="C2499" s="2" t="s">
        <v>95</v>
      </c>
      <c r="D2499" s="2" t="s">
        <v>8019</v>
      </c>
      <c r="E2499" s="2" t="s">
        <v>36</v>
      </c>
      <c r="F2499" s="4">
        <v>6036</v>
      </c>
      <c r="G2499" s="2" t="s">
        <v>33</v>
      </c>
      <c r="H2499" s="2" t="s">
        <v>34</v>
      </c>
      <c r="I2499" s="2" t="s">
        <v>4433</v>
      </c>
      <c r="J2499" s="2" t="s">
        <v>4434</v>
      </c>
      <c r="K2499" s="2" t="s">
        <v>37</v>
      </c>
      <c r="L2499" s="2" t="s">
        <v>34</v>
      </c>
      <c r="M2499" s="7">
        <v>353.72500000000002</v>
      </c>
      <c r="N2499" s="7">
        <v>19.875</v>
      </c>
      <c r="O2499" s="7">
        <v>19.875</v>
      </c>
      <c r="P2499" s="2" t="s">
        <v>8020</v>
      </c>
      <c r="Q2499" s="6">
        <v>100</v>
      </c>
      <c r="R2499" s="6">
        <v>24.88</v>
      </c>
      <c r="S2499" s="5">
        <v>8</v>
      </c>
      <c r="T2499" s="7">
        <v>15.715999999999999</v>
      </c>
      <c r="U2499" s="5">
        <v>16.8</v>
      </c>
      <c r="V2499" s="7">
        <v>1.903</v>
      </c>
      <c r="W2499" s="4">
        <v>24</v>
      </c>
      <c r="X2499" s="6">
        <v>22.25</v>
      </c>
      <c r="Y2499" s="6">
        <v>23.75</v>
      </c>
      <c r="Z2499" s="7">
        <v>23.875</v>
      </c>
      <c r="AA2499" s="6">
        <v>4.09</v>
      </c>
      <c r="AB2499" s="7">
        <v>59.813000000000002</v>
      </c>
      <c r="AC2499" s="2"/>
    </row>
    <row r="2500" spans="1:29" ht="91" x14ac:dyDescent="0.15">
      <c r="A2500" s="3">
        <f>DATE(1996,5,31)</f>
        <v>35216</v>
      </c>
      <c r="B2500" s="3">
        <f>DATE(1996,8,30)</f>
        <v>35307</v>
      </c>
      <c r="C2500" s="2" t="s">
        <v>95</v>
      </c>
      <c r="D2500" s="2" t="s">
        <v>8021</v>
      </c>
      <c r="E2500" s="2" t="s">
        <v>8022</v>
      </c>
      <c r="F2500" s="4">
        <v>5093</v>
      </c>
      <c r="G2500" s="2" t="s">
        <v>76</v>
      </c>
      <c r="H2500" s="2" t="s">
        <v>34</v>
      </c>
      <c r="I2500" s="2" t="s">
        <v>7267</v>
      </c>
      <c r="J2500" s="2" t="s">
        <v>7268</v>
      </c>
      <c r="K2500" s="2" t="s">
        <v>1227</v>
      </c>
      <c r="L2500" s="2" t="s">
        <v>34</v>
      </c>
      <c r="M2500" s="7">
        <v>89.123999999999995</v>
      </c>
      <c r="N2500" s="5">
        <v>15.5</v>
      </c>
      <c r="O2500" s="7">
        <v>14.625</v>
      </c>
      <c r="P2500" s="2" t="s">
        <v>8023</v>
      </c>
      <c r="Q2500" s="6">
        <v>100</v>
      </c>
      <c r="R2500" s="6">
        <v>14.63</v>
      </c>
      <c r="S2500" s="5">
        <v>4.7</v>
      </c>
      <c r="T2500" s="7">
        <v>15.448</v>
      </c>
      <c r="U2500" s="5">
        <v>10</v>
      </c>
      <c r="V2500" s="7">
        <v>0.78600000000000003</v>
      </c>
      <c r="W2500" s="7">
        <v>12.625</v>
      </c>
      <c r="X2500" s="5">
        <v>12.5</v>
      </c>
      <c r="Y2500" s="4">
        <v>13</v>
      </c>
      <c r="Z2500" s="4">
        <v>14</v>
      </c>
      <c r="AA2500" s="6">
        <v>5.25</v>
      </c>
      <c r="AB2500" s="7">
        <v>14.602</v>
      </c>
      <c r="AC2500" s="6">
        <v>2.2400000000000002</v>
      </c>
    </row>
    <row r="2501" spans="1:29" ht="117" x14ac:dyDescent="0.15">
      <c r="A2501" s="3">
        <f>DATE(1996,5,31)</f>
        <v>35216</v>
      </c>
      <c r="B2501" s="3">
        <f>DATE(1996,8,15)</f>
        <v>35292</v>
      </c>
      <c r="C2501" s="2" t="s">
        <v>95</v>
      </c>
      <c r="D2501" s="2" t="s">
        <v>8024</v>
      </c>
      <c r="E2501" s="2" t="s">
        <v>4801</v>
      </c>
      <c r="F2501" s="4">
        <v>3577</v>
      </c>
      <c r="G2501" s="2" t="s">
        <v>50</v>
      </c>
      <c r="H2501" s="2" t="s">
        <v>34</v>
      </c>
      <c r="I2501" s="2" t="s">
        <v>8025</v>
      </c>
      <c r="J2501" s="2" t="s">
        <v>8026</v>
      </c>
      <c r="K2501" s="2" t="s">
        <v>921</v>
      </c>
      <c r="L2501" s="2" t="s">
        <v>34</v>
      </c>
      <c r="M2501" s="12">
        <v>6534.5460000000003</v>
      </c>
      <c r="N2501" s="7">
        <v>66.875</v>
      </c>
      <c r="O2501" s="6">
        <v>66.25</v>
      </c>
      <c r="P2501" s="2" t="s">
        <v>8027</v>
      </c>
      <c r="Q2501" s="6">
        <v>100</v>
      </c>
      <c r="R2501" s="6">
        <v>23.41</v>
      </c>
      <c r="S2501" s="5">
        <v>-6.6</v>
      </c>
      <c r="T2501" s="7">
        <v>-5.3949999999999996</v>
      </c>
      <c r="U2501" s="5">
        <v>2.8</v>
      </c>
      <c r="V2501" s="7">
        <v>-0.92200000000000004</v>
      </c>
      <c r="W2501" s="4">
        <v>25</v>
      </c>
      <c r="X2501" s="6">
        <v>25.25</v>
      </c>
      <c r="Y2501" s="7">
        <v>22.875</v>
      </c>
      <c r="Z2501" s="6">
        <v>22.75</v>
      </c>
      <c r="AA2501" s="6">
        <v>10.15</v>
      </c>
      <c r="AB2501" s="2" t="s">
        <v>86</v>
      </c>
      <c r="AC2501" s="2"/>
    </row>
    <row r="2502" spans="1:29" ht="117" x14ac:dyDescent="0.15">
      <c r="A2502" s="3">
        <f>DATE(1996,6,3)</f>
        <v>35219</v>
      </c>
      <c r="B2502" s="3">
        <f>DATE(1997,1,9)</f>
        <v>35439</v>
      </c>
      <c r="C2502" s="2" t="s">
        <v>95</v>
      </c>
      <c r="D2502" s="2" t="s">
        <v>8028</v>
      </c>
      <c r="E2502" s="2" t="s">
        <v>8029</v>
      </c>
      <c r="F2502" s="4">
        <v>8072</v>
      </c>
      <c r="G2502" s="2" t="s">
        <v>454</v>
      </c>
      <c r="H2502" s="2" t="s">
        <v>34</v>
      </c>
      <c r="I2502" s="2" t="s">
        <v>8030</v>
      </c>
      <c r="J2502" s="2" t="s">
        <v>8031</v>
      </c>
      <c r="K2502" s="2" t="s">
        <v>130</v>
      </c>
      <c r="L2502" s="2" t="s">
        <v>34</v>
      </c>
      <c r="M2502" s="7">
        <v>196.45599999999999</v>
      </c>
      <c r="N2502" s="7">
        <v>8.5630000000000006</v>
      </c>
      <c r="O2502" s="6">
        <v>8.75</v>
      </c>
      <c r="P2502" s="2" t="s">
        <v>8032</v>
      </c>
      <c r="Q2502" s="6">
        <v>100</v>
      </c>
      <c r="R2502" s="6">
        <v>6.81</v>
      </c>
      <c r="S2502" s="5">
        <v>-2.2999999999999998</v>
      </c>
      <c r="T2502" s="7">
        <v>-2.9380000000000002</v>
      </c>
      <c r="U2502" s="5">
        <v>0.6</v>
      </c>
      <c r="V2502" s="7">
        <v>-0.36099999999999999</v>
      </c>
      <c r="W2502" s="6">
        <v>4.75</v>
      </c>
      <c r="X2502" s="7">
        <v>4.125</v>
      </c>
      <c r="Y2502" s="7">
        <v>5.375</v>
      </c>
      <c r="Z2502" s="5">
        <v>5.5</v>
      </c>
      <c r="AA2502" s="6">
        <v>6.42</v>
      </c>
      <c r="AB2502" s="2" t="s">
        <v>86</v>
      </c>
      <c r="AC2502" s="6">
        <v>1.1499999999999999</v>
      </c>
    </row>
    <row r="2503" spans="1:29" ht="130" x14ac:dyDescent="0.15">
      <c r="A2503" s="3">
        <f>DATE(1996,6,3)</f>
        <v>35219</v>
      </c>
      <c r="B2503" s="3">
        <f>DATE(1996,8,5)</f>
        <v>35282</v>
      </c>
      <c r="C2503" s="2" t="s">
        <v>95</v>
      </c>
      <c r="D2503" s="2" t="s">
        <v>8033</v>
      </c>
      <c r="E2503" s="2" t="s">
        <v>5945</v>
      </c>
      <c r="F2503" s="4">
        <v>4832</v>
      </c>
      <c r="G2503" s="2" t="s">
        <v>45</v>
      </c>
      <c r="H2503" s="2" t="s">
        <v>34</v>
      </c>
      <c r="I2503" s="2" t="s">
        <v>8034</v>
      </c>
      <c r="J2503" s="2" t="s">
        <v>8035</v>
      </c>
      <c r="K2503" s="2" t="s">
        <v>45</v>
      </c>
      <c r="L2503" s="2" t="s">
        <v>34</v>
      </c>
      <c r="M2503" s="10">
        <v>2248.48</v>
      </c>
      <c r="N2503" s="6">
        <v>80.25</v>
      </c>
      <c r="O2503" s="5">
        <v>80.5</v>
      </c>
      <c r="P2503" s="2" t="s">
        <v>8036</v>
      </c>
      <c r="Q2503" s="6">
        <v>80.760000000000005</v>
      </c>
      <c r="R2503" s="6">
        <v>23</v>
      </c>
      <c r="S2503" s="5">
        <v>3.7</v>
      </c>
      <c r="T2503" s="7">
        <v>15.534000000000001</v>
      </c>
      <c r="U2503" s="5">
        <v>1.1000000000000001</v>
      </c>
      <c r="V2503" s="7">
        <v>8.5000000000000006E-2</v>
      </c>
      <c r="W2503" s="4">
        <v>22</v>
      </c>
      <c r="X2503" s="5">
        <v>22.5</v>
      </c>
      <c r="Y2503" s="6">
        <v>22.25</v>
      </c>
      <c r="Z2503" s="5">
        <v>22.5</v>
      </c>
      <c r="AA2503" s="6">
        <v>10.06</v>
      </c>
      <c r="AB2503" s="7">
        <v>92.558000000000007</v>
      </c>
      <c r="AC2503" s="6">
        <v>5.39</v>
      </c>
    </row>
    <row r="2504" spans="1:29" ht="91" x14ac:dyDescent="0.15">
      <c r="A2504" s="3">
        <f>DATE(1996,6,3)</f>
        <v>35219</v>
      </c>
      <c r="B2504" s="3">
        <f>DATE(1996,9,30)</f>
        <v>35338</v>
      </c>
      <c r="C2504" s="2" t="s">
        <v>95</v>
      </c>
      <c r="D2504" s="2" t="s">
        <v>8037</v>
      </c>
      <c r="E2504" s="2" t="s">
        <v>8038</v>
      </c>
      <c r="F2504" s="4">
        <v>5169</v>
      </c>
      <c r="G2504" s="2" t="s">
        <v>593</v>
      </c>
      <c r="H2504" s="2" t="s">
        <v>34</v>
      </c>
      <c r="I2504" s="2" t="s">
        <v>8039</v>
      </c>
      <c r="J2504" s="2" t="s">
        <v>8040</v>
      </c>
      <c r="K2504" s="2" t="s">
        <v>173</v>
      </c>
      <c r="L2504" s="2" t="s">
        <v>2105</v>
      </c>
      <c r="M2504" s="2"/>
      <c r="N2504" s="2"/>
      <c r="O2504" s="2"/>
      <c r="P2504" s="2" t="s">
        <v>8041</v>
      </c>
      <c r="Q2504" s="6">
        <v>72.489999999999995</v>
      </c>
      <c r="R2504" s="6">
        <v>19.45</v>
      </c>
      <c r="S2504" s="5">
        <v>5.9</v>
      </c>
      <c r="T2504" s="7">
        <v>55.831000000000003</v>
      </c>
      <c r="U2504" s="5">
        <v>8.3000000000000007</v>
      </c>
      <c r="V2504" s="6">
        <v>0.27</v>
      </c>
      <c r="W2504" s="7">
        <v>12.625</v>
      </c>
      <c r="X2504" s="7">
        <v>12.375</v>
      </c>
      <c r="Y2504" s="6">
        <v>19.25</v>
      </c>
      <c r="Z2504" s="6">
        <v>19.25</v>
      </c>
      <c r="AA2504" s="6">
        <v>21.76</v>
      </c>
      <c r="AB2504" s="7">
        <v>23.468</v>
      </c>
      <c r="AC2504" s="6">
        <v>84.76</v>
      </c>
    </row>
    <row r="2505" spans="1:29" ht="130" x14ac:dyDescent="0.15">
      <c r="A2505" s="3">
        <f>DATE(1996,6,4)</f>
        <v>35220</v>
      </c>
      <c r="B2505" s="3">
        <f>DATE(1996,9,20)</f>
        <v>35328</v>
      </c>
      <c r="C2505" s="2" t="s">
        <v>95</v>
      </c>
      <c r="D2505" s="2" t="s">
        <v>8042</v>
      </c>
      <c r="E2505" s="2" t="s">
        <v>229</v>
      </c>
      <c r="F2505" s="4">
        <v>5812</v>
      </c>
      <c r="G2505" s="2" t="s">
        <v>230</v>
      </c>
      <c r="H2505" s="2" t="s">
        <v>34</v>
      </c>
      <c r="I2505" s="2" t="s">
        <v>8043</v>
      </c>
      <c r="J2505" s="2" t="s">
        <v>229</v>
      </c>
      <c r="K2505" s="2" t="s">
        <v>230</v>
      </c>
      <c r="L2505" s="2" t="s">
        <v>34</v>
      </c>
      <c r="M2505" s="7">
        <v>167.88800000000001</v>
      </c>
      <c r="N2505" s="7">
        <v>12.375</v>
      </c>
      <c r="O2505" s="7">
        <v>12.375</v>
      </c>
      <c r="P2505" s="2" t="s">
        <v>8044</v>
      </c>
      <c r="Q2505" s="6">
        <v>100</v>
      </c>
      <c r="R2505" s="6">
        <v>14.63</v>
      </c>
      <c r="S2505" s="5">
        <v>5.9</v>
      </c>
      <c r="T2505" s="7">
        <v>17.541</v>
      </c>
      <c r="U2505" s="5">
        <v>6.1</v>
      </c>
      <c r="V2505" s="7">
        <v>0.498</v>
      </c>
      <c r="W2505" s="7">
        <v>13.625</v>
      </c>
      <c r="X2505" s="7">
        <v>15.125</v>
      </c>
      <c r="Y2505" s="4">
        <v>14</v>
      </c>
      <c r="Z2505" s="6">
        <v>13.75</v>
      </c>
      <c r="AA2505" s="6">
        <v>11.58</v>
      </c>
      <c r="AB2505" s="7">
        <v>22.805</v>
      </c>
      <c r="AC2505" s="6">
        <v>13.38</v>
      </c>
    </row>
    <row r="2506" spans="1:29" ht="52" x14ac:dyDescent="0.15">
      <c r="A2506" s="3">
        <f>DATE(1996,6,5)</f>
        <v>35221</v>
      </c>
      <c r="B2506" s="2"/>
      <c r="C2506" s="2" t="s">
        <v>7330</v>
      </c>
      <c r="D2506" s="2" t="s">
        <v>8045</v>
      </c>
      <c r="E2506" s="2" t="s">
        <v>8046</v>
      </c>
      <c r="F2506" s="4">
        <v>3663</v>
      </c>
      <c r="G2506" s="2" t="s">
        <v>921</v>
      </c>
      <c r="H2506" s="2" t="s">
        <v>34</v>
      </c>
      <c r="I2506" s="2" t="s">
        <v>138</v>
      </c>
      <c r="J2506" s="2" t="s">
        <v>139</v>
      </c>
      <c r="K2506" s="2" t="s">
        <v>53</v>
      </c>
      <c r="L2506" s="2" t="s">
        <v>139</v>
      </c>
      <c r="M2506" s="2"/>
      <c r="N2506" s="2"/>
      <c r="O2506" s="2"/>
      <c r="P2506" s="2" t="s">
        <v>8047</v>
      </c>
      <c r="Q2506" s="2"/>
      <c r="R2506" s="6">
        <v>4</v>
      </c>
      <c r="S2506" s="5">
        <v>0.2</v>
      </c>
      <c r="T2506" s="7">
        <v>0.157</v>
      </c>
      <c r="U2506" s="5">
        <v>3.4</v>
      </c>
      <c r="V2506" s="6">
        <v>0.04</v>
      </c>
      <c r="W2506" s="6">
        <v>3.25</v>
      </c>
      <c r="X2506" s="7">
        <v>3.9380000000000002</v>
      </c>
      <c r="Y2506" s="7">
        <v>4.125</v>
      </c>
      <c r="Z2506" s="5">
        <v>3.5</v>
      </c>
      <c r="AA2506" s="6">
        <v>3.93</v>
      </c>
      <c r="AB2506" s="7">
        <v>219.221</v>
      </c>
      <c r="AC2506" s="2"/>
    </row>
    <row r="2507" spans="1:29" ht="65" x14ac:dyDescent="0.15">
      <c r="A2507" s="3">
        <f>DATE(1996,6,5)</f>
        <v>35221</v>
      </c>
      <c r="B2507" s="3">
        <f>DATE(1996,6,5)</f>
        <v>35221</v>
      </c>
      <c r="C2507" s="2" t="s">
        <v>95</v>
      </c>
      <c r="D2507" s="2" t="s">
        <v>5570</v>
      </c>
      <c r="E2507" s="2" t="s">
        <v>5571</v>
      </c>
      <c r="F2507" s="4">
        <v>2337</v>
      </c>
      <c r="G2507" s="2" t="s">
        <v>708</v>
      </c>
      <c r="H2507" s="2" t="s">
        <v>34</v>
      </c>
      <c r="I2507" s="2" t="s">
        <v>51</v>
      </c>
      <c r="J2507" s="2" t="s">
        <v>52</v>
      </c>
      <c r="K2507" s="2" t="s">
        <v>53</v>
      </c>
      <c r="L2507" s="2" t="s">
        <v>34</v>
      </c>
      <c r="M2507" s="2"/>
      <c r="N2507" s="2"/>
      <c r="O2507" s="2"/>
      <c r="P2507" s="2" t="s">
        <v>8048</v>
      </c>
      <c r="Q2507" s="6">
        <v>49.95</v>
      </c>
      <c r="R2507" s="2"/>
      <c r="S2507" s="5">
        <v>-7.8</v>
      </c>
      <c r="T2507" s="7">
        <v>-7.0540000000000003</v>
      </c>
      <c r="U2507" s="5">
        <v>-0.3</v>
      </c>
      <c r="V2507" s="7">
        <v>-1.2749999999999999</v>
      </c>
      <c r="W2507" s="7">
        <v>1.625</v>
      </c>
      <c r="X2507" s="7">
        <v>2.125</v>
      </c>
      <c r="Y2507" s="7">
        <v>1.625</v>
      </c>
      <c r="Z2507" s="7">
        <v>1.375</v>
      </c>
      <c r="AA2507" s="6">
        <v>7.04</v>
      </c>
      <c r="AB2507" s="2" t="s">
        <v>86</v>
      </c>
      <c r="AC2507" s="2"/>
    </row>
    <row r="2508" spans="1:29" ht="130" x14ac:dyDescent="0.15">
      <c r="A2508" s="3">
        <f t="shared" ref="A2508:A2513" si="19">DATE(1996,6,6)</f>
        <v>35222</v>
      </c>
      <c r="B2508" s="3">
        <f>DATE(1996,10,1)</f>
        <v>35339</v>
      </c>
      <c r="C2508" s="2" t="s">
        <v>95</v>
      </c>
      <c r="D2508" s="2" t="s">
        <v>8049</v>
      </c>
      <c r="E2508" s="2" t="s">
        <v>8050</v>
      </c>
      <c r="F2508" s="4">
        <v>6141</v>
      </c>
      <c r="G2508" s="2" t="s">
        <v>370</v>
      </c>
      <c r="H2508" s="2" t="s">
        <v>34</v>
      </c>
      <c r="I2508" s="2" t="s">
        <v>51</v>
      </c>
      <c r="J2508" s="2" t="s">
        <v>52</v>
      </c>
      <c r="K2508" s="2" t="s">
        <v>53</v>
      </c>
      <c r="L2508" s="2" t="s">
        <v>303</v>
      </c>
      <c r="M2508" s="2"/>
      <c r="N2508" s="2"/>
      <c r="O2508" s="2"/>
      <c r="P2508" s="2" t="s">
        <v>8051</v>
      </c>
      <c r="Q2508" s="6">
        <v>100</v>
      </c>
      <c r="R2508" s="6">
        <v>45</v>
      </c>
      <c r="S2508" s="5">
        <v>139.5</v>
      </c>
      <c r="T2508" s="10">
        <v>1074.3499999999999</v>
      </c>
      <c r="U2508" s="5">
        <v>24.5</v>
      </c>
      <c r="V2508" s="7">
        <v>2.9489999999999998</v>
      </c>
      <c r="W2508" s="5">
        <v>32.5</v>
      </c>
      <c r="X2508" s="6">
        <v>32.75</v>
      </c>
      <c r="Y2508" s="6">
        <v>35.25</v>
      </c>
      <c r="Z2508" s="7">
        <v>36.875</v>
      </c>
      <c r="AA2508" s="6">
        <v>46.98</v>
      </c>
      <c r="AB2508" s="7">
        <v>13.997</v>
      </c>
      <c r="AC2508" s="2"/>
    </row>
    <row r="2509" spans="1:29" ht="143" x14ac:dyDescent="0.15">
      <c r="A2509" s="3">
        <f t="shared" si="19"/>
        <v>35222</v>
      </c>
      <c r="B2509" s="3">
        <f>DATE(1996,8,26)</f>
        <v>35303</v>
      </c>
      <c r="C2509" s="2" t="s">
        <v>95</v>
      </c>
      <c r="D2509" s="2" t="s">
        <v>8052</v>
      </c>
      <c r="E2509" s="2" t="s">
        <v>8053</v>
      </c>
      <c r="F2509" s="4">
        <v>7372</v>
      </c>
      <c r="G2509" s="2" t="s">
        <v>551</v>
      </c>
      <c r="H2509" s="2" t="s">
        <v>34</v>
      </c>
      <c r="I2509" s="2" t="s">
        <v>8054</v>
      </c>
      <c r="J2509" s="2" t="s">
        <v>8055</v>
      </c>
      <c r="K2509" s="2" t="s">
        <v>223</v>
      </c>
      <c r="L2509" s="2" t="s">
        <v>34</v>
      </c>
      <c r="M2509" s="7">
        <v>802.18700000000001</v>
      </c>
      <c r="N2509" s="5">
        <v>39.5</v>
      </c>
      <c r="O2509" s="6">
        <v>40.75</v>
      </c>
      <c r="P2509" s="2" t="s">
        <v>8056</v>
      </c>
      <c r="Q2509" s="6">
        <v>100</v>
      </c>
      <c r="R2509" s="6">
        <v>61.01</v>
      </c>
      <c r="S2509" s="5">
        <v>5.2</v>
      </c>
      <c r="T2509" s="7">
        <v>7.3170000000000002</v>
      </c>
      <c r="U2509" s="5">
        <v>2.5</v>
      </c>
      <c r="V2509" s="7">
        <v>0.34499999999999997</v>
      </c>
      <c r="W2509" s="6">
        <v>64.75</v>
      </c>
      <c r="X2509" s="6">
        <v>62.75</v>
      </c>
      <c r="Y2509" s="4">
        <v>64</v>
      </c>
      <c r="Z2509" s="5">
        <v>60.5</v>
      </c>
      <c r="AA2509" s="6">
        <v>14.32</v>
      </c>
      <c r="AB2509" s="7">
        <v>158.17400000000001</v>
      </c>
      <c r="AC2509" s="2"/>
    </row>
    <row r="2510" spans="1:29" ht="156" x14ac:dyDescent="0.15">
      <c r="A2510" s="3">
        <f t="shared" si="19"/>
        <v>35222</v>
      </c>
      <c r="B2510" s="2"/>
      <c r="C2510" s="2" t="s">
        <v>30</v>
      </c>
      <c r="D2510" s="2" t="s">
        <v>8057</v>
      </c>
      <c r="E2510" s="2" t="s">
        <v>8058</v>
      </c>
      <c r="F2510" s="4">
        <v>3949</v>
      </c>
      <c r="G2510" s="2" t="s">
        <v>112</v>
      </c>
      <c r="H2510" s="2" t="s">
        <v>34</v>
      </c>
      <c r="I2510" s="2" t="s">
        <v>8059</v>
      </c>
      <c r="J2510" s="2" t="s">
        <v>8060</v>
      </c>
      <c r="K2510" s="2" t="s">
        <v>708</v>
      </c>
      <c r="L2510" s="2" t="s">
        <v>34</v>
      </c>
      <c r="M2510" s="12">
        <v>1566.557</v>
      </c>
      <c r="N2510" s="5">
        <v>29.5</v>
      </c>
      <c r="O2510" s="7">
        <v>28.625</v>
      </c>
      <c r="P2510" s="2" t="s">
        <v>8061</v>
      </c>
      <c r="Q2510" s="2"/>
      <c r="R2510" s="6">
        <v>19.78</v>
      </c>
      <c r="S2510" s="5">
        <v>19.5</v>
      </c>
      <c r="T2510" s="7">
        <v>45.118000000000002</v>
      </c>
      <c r="U2510" s="5">
        <v>8</v>
      </c>
      <c r="V2510" s="6">
        <v>0.9</v>
      </c>
      <c r="W2510" s="4">
        <v>19</v>
      </c>
      <c r="X2510" s="6">
        <v>18.25</v>
      </c>
      <c r="Y2510" s="5">
        <v>21.5</v>
      </c>
      <c r="Z2510" s="6">
        <v>20.75</v>
      </c>
      <c r="AA2510" s="6">
        <v>20.34</v>
      </c>
      <c r="AB2510" s="7">
        <v>11.457000000000001</v>
      </c>
      <c r="AC2510" s="6">
        <v>6.16</v>
      </c>
    </row>
    <row r="2511" spans="1:29" ht="143" x14ac:dyDescent="0.15">
      <c r="A2511" s="3">
        <f t="shared" si="19"/>
        <v>35222</v>
      </c>
      <c r="B2511" s="3">
        <f>DATE(1996,12,18)</f>
        <v>35417</v>
      </c>
      <c r="C2511" s="2" t="s">
        <v>95</v>
      </c>
      <c r="D2511" s="2" t="s">
        <v>7715</v>
      </c>
      <c r="E2511" s="2" t="s">
        <v>7716</v>
      </c>
      <c r="F2511" s="4">
        <v>7011</v>
      </c>
      <c r="G2511" s="2" t="s">
        <v>269</v>
      </c>
      <c r="H2511" s="2" t="s">
        <v>34</v>
      </c>
      <c r="I2511" s="2" t="s">
        <v>267</v>
      </c>
      <c r="J2511" s="2" t="s">
        <v>268</v>
      </c>
      <c r="K2511" s="2" t="s">
        <v>269</v>
      </c>
      <c r="L2511" s="2" t="s">
        <v>34</v>
      </c>
      <c r="M2511" s="12">
        <v>19740.353999999999</v>
      </c>
      <c r="N2511" s="6">
        <v>113.75</v>
      </c>
      <c r="O2511" s="4">
        <v>114</v>
      </c>
      <c r="P2511" s="2" t="s">
        <v>8062</v>
      </c>
      <c r="Q2511" s="6">
        <v>100</v>
      </c>
      <c r="R2511" s="6">
        <v>28.63</v>
      </c>
      <c r="S2511" s="5">
        <v>65.7</v>
      </c>
      <c r="T2511" s="7">
        <v>267.06900000000002</v>
      </c>
      <c r="U2511" s="5">
        <v>0.9</v>
      </c>
      <c r="V2511" s="6">
        <v>1.1399999999999999</v>
      </c>
      <c r="W2511" s="7">
        <v>16.375</v>
      </c>
      <c r="X2511" s="4">
        <v>18</v>
      </c>
      <c r="Y2511" s="7">
        <v>21.625</v>
      </c>
      <c r="Z2511" s="6">
        <v>21.75</v>
      </c>
      <c r="AA2511" s="6">
        <v>49.76</v>
      </c>
      <c r="AB2511" s="7">
        <v>17.515999999999998</v>
      </c>
      <c r="AC2511" s="5">
        <v>408.7</v>
      </c>
    </row>
    <row r="2512" spans="1:29" ht="117" x14ac:dyDescent="0.15">
      <c r="A2512" s="3">
        <f t="shared" si="19"/>
        <v>35222</v>
      </c>
      <c r="B2512" s="3">
        <f>DATE(1996,12,9)</f>
        <v>35408</v>
      </c>
      <c r="C2512" s="2" t="s">
        <v>95</v>
      </c>
      <c r="D2512" s="2" t="s">
        <v>8063</v>
      </c>
      <c r="E2512" s="2" t="s">
        <v>826</v>
      </c>
      <c r="F2512" s="4">
        <v>6021</v>
      </c>
      <c r="G2512" s="2" t="s">
        <v>37</v>
      </c>
      <c r="H2512" s="2" t="s">
        <v>34</v>
      </c>
      <c r="I2512" s="2" t="s">
        <v>8064</v>
      </c>
      <c r="J2512" s="2" t="s">
        <v>159</v>
      </c>
      <c r="K2512" s="2" t="s">
        <v>37</v>
      </c>
      <c r="L2512" s="2" t="s">
        <v>34</v>
      </c>
      <c r="M2512" s="2"/>
      <c r="N2512" s="2"/>
      <c r="O2512" s="2"/>
      <c r="P2512" s="2" t="s">
        <v>8065</v>
      </c>
      <c r="Q2512" s="6">
        <v>100</v>
      </c>
      <c r="R2512" s="6">
        <v>13.79</v>
      </c>
      <c r="S2512" s="5">
        <v>0.7</v>
      </c>
      <c r="T2512" s="7">
        <v>1.758</v>
      </c>
      <c r="U2512" s="5">
        <v>10.4</v>
      </c>
      <c r="V2512" s="7">
        <v>0.34300000000000003</v>
      </c>
      <c r="W2512" s="7">
        <v>13.625</v>
      </c>
      <c r="X2512" s="6">
        <v>13.75</v>
      </c>
      <c r="Y2512" s="6">
        <v>14.75</v>
      </c>
      <c r="Z2512" s="5">
        <v>14.5</v>
      </c>
      <c r="AA2512" s="6">
        <v>1.87</v>
      </c>
      <c r="AB2512" s="7">
        <v>229.81399999999999</v>
      </c>
      <c r="AC2512" s="2"/>
    </row>
    <row r="2513" spans="1:29" ht="78" x14ac:dyDescent="0.15">
      <c r="A2513" s="3">
        <f t="shared" si="19"/>
        <v>35222</v>
      </c>
      <c r="B2513" s="3">
        <f>DATE(1996,7,9)</f>
        <v>35255</v>
      </c>
      <c r="C2513" s="2" t="s">
        <v>95</v>
      </c>
      <c r="D2513" s="2" t="s">
        <v>7528</v>
      </c>
      <c r="E2513" s="2" t="s">
        <v>7529</v>
      </c>
      <c r="F2513" s="4">
        <v>5198</v>
      </c>
      <c r="G2513" s="2" t="s">
        <v>593</v>
      </c>
      <c r="H2513" s="2" t="s">
        <v>34</v>
      </c>
      <c r="I2513" s="2" t="s">
        <v>8066</v>
      </c>
      <c r="J2513" s="2" t="s">
        <v>8067</v>
      </c>
      <c r="K2513" s="2" t="s">
        <v>76</v>
      </c>
      <c r="L2513" s="2" t="s">
        <v>34</v>
      </c>
      <c r="M2513" s="2"/>
      <c r="N2513" s="2"/>
      <c r="O2513" s="2"/>
      <c r="P2513" s="2" t="s">
        <v>8068</v>
      </c>
      <c r="Q2513" s="6">
        <v>66.67</v>
      </c>
      <c r="R2513" s="6">
        <v>15.65</v>
      </c>
      <c r="S2513" s="5">
        <v>3.5</v>
      </c>
      <c r="T2513" s="7">
        <v>6.492</v>
      </c>
      <c r="U2513" s="5">
        <v>4.8</v>
      </c>
      <c r="V2513" s="6">
        <v>0.57999999999999996</v>
      </c>
      <c r="W2513" s="5">
        <v>11.5</v>
      </c>
      <c r="X2513" s="4">
        <v>12</v>
      </c>
      <c r="Y2513" s="4">
        <v>12</v>
      </c>
      <c r="Z2513" s="6">
        <v>11.75</v>
      </c>
      <c r="AA2513" s="6">
        <v>6</v>
      </c>
      <c r="AB2513" s="7">
        <v>18.978000000000002</v>
      </c>
      <c r="AC2513" s="2"/>
    </row>
    <row r="2514" spans="1:29" ht="104" x14ac:dyDescent="0.15">
      <c r="A2514" s="3">
        <f>DATE(1996,6,10)</f>
        <v>35226</v>
      </c>
      <c r="B2514" s="3">
        <f>DATE(1996,8,23)</f>
        <v>35300</v>
      </c>
      <c r="C2514" s="2" t="s">
        <v>95</v>
      </c>
      <c r="D2514" s="2" t="s">
        <v>8069</v>
      </c>
      <c r="E2514" s="2" t="s">
        <v>8070</v>
      </c>
      <c r="F2514" s="4">
        <v>3069</v>
      </c>
      <c r="G2514" s="2" t="s">
        <v>447</v>
      </c>
      <c r="H2514" s="2" t="s">
        <v>34</v>
      </c>
      <c r="I2514" s="2" t="s">
        <v>8071</v>
      </c>
      <c r="J2514" s="2" t="s">
        <v>1072</v>
      </c>
      <c r="K2514" s="2" t="s">
        <v>53</v>
      </c>
      <c r="L2514" s="2" t="s">
        <v>34</v>
      </c>
      <c r="M2514" s="2"/>
      <c r="N2514" s="2"/>
      <c r="O2514" s="2"/>
      <c r="P2514" s="2" t="s">
        <v>8072</v>
      </c>
      <c r="Q2514" s="6">
        <v>100</v>
      </c>
      <c r="R2514" s="6">
        <v>8.75</v>
      </c>
      <c r="S2514" s="5">
        <v>-9.6999999999999993</v>
      </c>
      <c r="T2514" s="7">
        <v>-7.8819999999999997</v>
      </c>
      <c r="U2514" s="5">
        <v>2.4</v>
      </c>
      <c r="V2514" s="7">
        <v>-1.7929999999999999</v>
      </c>
      <c r="W2514" s="6">
        <v>8.25</v>
      </c>
      <c r="X2514" s="7">
        <v>8.2970000000000006</v>
      </c>
      <c r="Y2514" s="7">
        <v>8.375</v>
      </c>
      <c r="Z2514" s="7">
        <v>8.375</v>
      </c>
      <c r="AA2514" s="6">
        <v>5.35</v>
      </c>
      <c r="AB2514" s="2" t="s">
        <v>86</v>
      </c>
      <c r="AC2514" s="2"/>
    </row>
    <row r="2515" spans="1:29" ht="104" x14ac:dyDescent="0.15">
      <c r="A2515" s="3">
        <f>DATE(1996,6,10)</f>
        <v>35226</v>
      </c>
      <c r="B2515" s="3">
        <f>DATE(1996,8,23)</f>
        <v>35300</v>
      </c>
      <c r="C2515" s="2" t="s">
        <v>95</v>
      </c>
      <c r="D2515" s="2" t="s">
        <v>8073</v>
      </c>
      <c r="E2515" s="2" t="s">
        <v>4865</v>
      </c>
      <c r="F2515" s="4">
        <v>3674</v>
      </c>
      <c r="G2515" s="2" t="s">
        <v>137</v>
      </c>
      <c r="H2515" s="2" t="s">
        <v>34</v>
      </c>
      <c r="I2515" s="2" t="s">
        <v>8074</v>
      </c>
      <c r="J2515" s="2" t="s">
        <v>500</v>
      </c>
      <c r="K2515" s="2" t="s">
        <v>137</v>
      </c>
      <c r="L2515" s="2" t="s">
        <v>34</v>
      </c>
      <c r="M2515" s="7">
        <v>280.90899999999999</v>
      </c>
      <c r="N2515" s="5">
        <v>27.5</v>
      </c>
      <c r="O2515" s="6">
        <v>27.25</v>
      </c>
      <c r="P2515" s="2" t="s">
        <v>8075</v>
      </c>
      <c r="Q2515" s="6">
        <v>100</v>
      </c>
      <c r="R2515" s="6">
        <v>13.95</v>
      </c>
      <c r="S2515" s="5">
        <v>5.3</v>
      </c>
      <c r="T2515" s="6">
        <v>9.65</v>
      </c>
      <c r="U2515" s="5">
        <v>5.0999999999999996</v>
      </c>
      <c r="V2515" s="7">
        <v>0.59199999999999997</v>
      </c>
      <c r="W2515" s="6">
        <v>10.25</v>
      </c>
      <c r="X2515" s="7">
        <v>10.125</v>
      </c>
      <c r="Y2515" s="4">
        <v>12</v>
      </c>
      <c r="Z2515" s="6">
        <v>11.75</v>
      </c>
      <c r="AA2515" s="6">
        <v>7.4</v>
      </c>
      <c r="AB2515" s="7">
        <v>14.183</v>
      </c>
      <c r="AC2515" s="6">
        <v>44.86</v>
      </c>
    </row>
    <row r="2516" spans="1:29" ht="91" x14ac:dyDescent="0.15">
      <c r="A2516" s="3">
        <f>DATE(1996,6,10)</f>
        <v>35226</v>
      </c>
      <c r="B2516" s="3">
        <f>DATE(1996,7,22)</f>
        <v>35268</v>
      </c>
      <c r="C2516" s="2" t="s">
        <v>95</v>
      </c>
      <c r="D2516" s="2" t="s">
        <v>8076</v>
      </c>
      <c r="E2516" s="2" t="s">
        <v>8077</v>
      </c>
      <c r="F2516" s="4">
        <v>6324</v>
      </c>
      <c r="G2516" s="2" t="s">
        <v>125</v>
      </c>
      <c r="H2516" s="2" t="s">
        <v>34</v>
      </c>
      <c r="I2516" s="2" t="s">
        <v>8078</v>
      </c>
      <c r="J2516" s="2" t="s">
        <v>8079</v>
      </c>
      <c r="K2516" s="2" t="s">
        <v>73</v>
      </c>
      <c r="L2516" s="2" t="s">
        <v>34</v>
      </c>
      <c r="M2516" s="2"/>
      <c r="N2516" s="2"/>
      <c r="O2516" s="2"/>
      <c r="P2516" s="2" t="s">
        <v>8080</v>
      </c>
      <c r="Q2516" s="6">
        <v>100</v>
      </c>
      <c r="R2516" s="6">
        <v>3</v>
      </c>
      <c r="S2516" s="5">
        <v>3.1</v>
      </c>
      <c r="T2516" s="7">
        <v>5.3659999999999997</v>
      </c>
      <c r="U2516" s="5">
        <v>1.5</v>
      </c>
      <c r="V2516" s="6">
        <v>0.14000000000000001</v>
      </c>
      <c r="W2516" s="7">
        <v>2.875</v>
      </c>
      <c r="X2516" s="7">
        <v>3.125</v>
      </c>
      <c r="Y2516" s="7">
        <v>2.8130000000000002</v>
      </c>
      <c r="Z2516" s="7">
        <v>2.8439999999999999</v>
      </c>
      <c r="AA2516" s="6">
        <v>21.6</v>
      </c>
      <c r="AB2516" s="7">
        <v>16.52</v>
      </c>
      <c r="AC2516" s="2"/>
    </row>
    <row r="2517" spans="1:29" ht="143" x14ac:dyDescent="0.15">
      <c r="A2517" s="3">
        <f>DATE(1996,6,11)</f>
        <v>35227</v>
      </c>
      <c r="B2517" s="3">
        <f>DATE(1996,7,23)</f>
        <v>35269</v>
      </c>
      <c r="C2517" s="2" t="s">
        <v>95</v>
      </c>
      <c r="D2517" s="2" t="s">
        <v>8081</v>
      </c>
      <c r="E2517" s="2" t="s">
        <v>8082</v>
      </c>
      <c r="F2517" s="4">
        <v>8062</v>
      </c>
      <c r="G2517" s="2" t="s">
        <v>454</v>
      </c>
      <c r="H2517" s="2" t="s">
        <v>34</v>
      </c>
      <c r="I2517" s="2" t="s">
        <v>952</v>
      </c>
      <c r="J2517" s="2" t="s">
        <v>244</v>
      </c>
      <c r="K2517" s="2" t="s">
        <v>53</v>
      </c>
      <c r="L2517" s="2" t="s">
        <v>34</v>
      </c>
      <c r="M2517" s="2"/>
      <c r="N2517" s="2"/>
      <c r="O2517" s="2"/>
      <c r="P2517" s="2" t="s">
        <v>8083</v>
      </c>
      <c r="Q2517" s="6">
        <v>100</v>
      </c>
      <c r="R2517" s="6">
        <v>52</v>
      </c>
      <c r="S2517" s="5">
        <v>22.2</v>
      </c>
      <c r="T2517" s="7">
        <v>88.945999999999998</v>
      </c>
      <c r="U2517" s="5">
        <v>12.6</v>
      </c>
      <c r="V2517" s="7">
        <v>1.105</v>
      </c>
      <c r="W2517" s="6">
        <v>43.38</v>
      </c>
      <c r="X2517" s="6">
        <v>43.25</v>
      </c>
      <c r="Y2517" s="7">
        <v>43.375</v>
      </c>
      <c r="Z2517" s="7">
        <v>51.875</v>
      </c>
      <c r="AA2517" s="6">
        <v>19.73</v>
      </c>
      <c r="AB2517" s="7">
        <v>24.015000000000001</v>
      </c>
      <c r="AC2517" s="2"/>
    </row>
    <row r="2518" spans="1:29" ht="117" x14ac:dyDescent="0.15">
      <c r="A2518" s="3">
        <f>DATE(1996,6,11)</f>
        <v>35227</v>
      </c>
      <c r="B2518" s="3">
        <f>DATE(1996,9,3)</f>
        <v>35311</v>
      </c>
      <c r="C2518" s="2" t="s">
        <v>95</v>
      </c>
      <c r="D2518" s="2" t="s">
        <v>8084</v>
      </c>
      <c r="E2518" s="2" t="s">
        <v>8085</v>
      </c>
      <c r="F2518" s="4">
        <v>3577</v>
      </c>
      <c r="G2518" s="2" t="s">
        <v>50</v>
      </c>
      <c r="H2518" s="2" t="s">
        <v>34</v>
      </c>
      <c r="I2518" s="2" t="s">
        <v>5778</v>
      </c>
      <c r="J2518" s="2" t="s">
        <v>5779</v>
      </c>
      <c r="K2518" s="2" t="s">
        <v>226</v>
      </c>
      <c r="L2518" s="2" t="s">
        <v>34</v>
      </c>
      <c r="M2518" s="7">
        <v>334.06799999999998</v>
      </c>
      <c r="N2518" s="6">
        <v>18.75</v>
      </c>
      <c r="O2518" s="6">
        <v>19.25</v>
      </c>
      <c r="P2518" s="2" t="s">
        <v>8086</v>
      </c>
      <c r="Q2518" s="6">
        <v>100</v>
      </c>
      <c r="R2518" s="6">
        <v>3.67</v>
      </c>
      <c r="S2518" s="5">
        <v>0.5</v>
      </c>
      <c r="T2518" s="7">
        <v>1.054</v>
      </c>
      <c r="U2518" s="5">
        <v>0.7</v>
      </c>
      <c r="V2518" s="7">
        <v>4.7E-2</v>
      </c>
      <c r="W2518" s="7">
        <v>2.375</v>
      </c>
      <c r="X2518" s="6">
        <v>2.25</v>
      </c>
      <c r="Y2518" s="4">
        <v>3</v>
      </c>
      <c r="Z2518" s="6">
        <v>2.75</v>
      </c>
      <c r="AA2518" s="6">
        <v>10.87</v>
      </c>
      <c r="AB2518" s="7">
        <v>76.129000000000005</v>
      </c>
      <c r="AC2518" s="6">
        <v>17.41</v>
      </c>
    </row>
    <row r="2519" spans="1:29" ht="91" x14ac:dyDescent="0.15">
      <c r="A2519" s="3">
        <f>DATE(1996,6,11)</f>
        <v>35227</v>
      </c>
      <c r="B2519" s="3">
        <f>DATE(1996,7,30)</f>
        <v>35276</v>
      </c>
      <c r="C2519" s="2" t="s">
        <v>95</v>
      </c>
      <c r="D2519" s="2" t="s">
        <v>6781</v>
      </c>
      <c r="E2519" s="2" t="s">
        <v>1663</v>
      </c>
      <c r="F2519" s="4">
        <v>1041</v>
      </c>
      <c r="G2519" s="2" t="s">
        <v>166</v>
      </c>
      <c r="H2519" s="2" t="s">
        <v>34</v>
      </c>
      <c r="I2519" s="2" t="s">
        <v>6781</v>
      </c>
      <c r="J2519" s="2" t="s">
        <v>1663</v>
      </c>
      <c r="K2519" s="2" t="s">
        <v>166</v>
      </c>
      <c r="L2519" s="2" t="s">
        <v>34</v>
      </c>
      <c r="M2519" s="2"/>
      <c r="N2519" s="5">
        <v>5.5</v>
      </c>
      <c r="O2519" s="5">
        <v>5.5</v>
      </c>
      <c r="P2519" s="2" t="s">
        <v>8087</v>
      </c>
      <c r="Q2519" s="6">
        <v>100</v>
      </c>
      <c r="R2519" s="2"/>
      <c r="S2519" s="5">
        <v>2.2999999999999998</v>
      </c>
      <c r="T2519" s="7">
        <v>11.509</v>
      </c>
      <c r="U2519" s="5">
        <v>2.6</v>
      </c>
      <c r="V2519" s="9">
        <v>3.0099999999999998E-2</v>
      </c>
      <c r="W2519" s="7">
        <v>5.625</v>
      </c>
      <c r="X2519" s="7">
        <v>5.625</v>
      </c>
      <c r="Y2519" s="5">
        <v>5.5</v>
      </c>
      <c r="Z2519" s="5">
        <v>5.5</v>
      </c>
      <c r="AA2519" s="6">
        <v>73.53</v>
      </c>
      <c r="AB2519" s="2" t="s">
        <v>47</v>
      </c>
      <c r="AC2519" s="2"/>
    </row>
    <row r="2520" spans="1:29" ht="52" x14ac:dyDescent="0.15">
      <c r="A2520" s="3">
        <f>DATE(1996,6,11)</f>
        <v>35227</v>
      </c>
      <c r="B2520" s="2"/>
      <c r="C2520" s="2" t="s">
        <v>7330</v>
      </c>
      <c r="D2520" s="2" t="s">
        <v>8088</v>
      </c>
      <c r="E2520" s="2" t="s">
        <v>8089</v>
      </c>
      <c r="F2520" s="4">
        <v>3646</v>
      </c>
      <c r="G2520" s="2" t="s">
        <v>137</v>
      </c>
      <c r="H2520" s="2" t="s">
        <v>34</v>
      </c>
      <c r="I2520" s="2" t="s">
        <v>8090</v>
      </c>
      <c r="J2520" s="2" t="s">
        <v>80</v>
      </c>
      <c r="K2520" s="2" t="s">
        <v>53</v>
      </c>
      <c r="L2520" s="2" t="s">
        <v>4389</v>
      </c>
      <c r="M2520" s="2"/>
      <c r="N2520" s="2"/>
      <c r="O2520" s="2"/>
      <c r="P2520" s="2" t="s">
        <v>8091</v>
      </c>
      <c r="Q2520" s="2"/>
      <c r="R2520" s="2"/>
      <c r="S2520" s="5">
        <v>-7.4</v>
      </c>
      <c r="T2520" s="7">
        <v>-5.7549999999999999</v>
      </c>
      <c r="U2520" s="5">
        <v>0.5</v>
      </c>
      <c r="V2520" s="2"/>
      <c r="W2520" s="7">
        <v>0.875</v>
      </c>
      <c r="X2520" s="7">
        <v>2.625</v>
      </c>
      <c r="Y2520" s="7">
        <v>3.875</v>
      </c>
      <c r="Z2520" s="7">
        <v>3.625</v>
      </c>
      <c r="AA2520" s="2"/>
      <c r="AB2520" s="2" t="s">
        <v>86</v>
      </c>
      <c r="AC2520" s="2"/>
    </row>
    <row r="2521" spans="1:29" ht="91" x14ac:dyDescent="0.15">
      <c r="A2521" s="3">
        <f>DATE(1996,6,13)</f>
        <v>35229</v>
      </c>
      <c r="B2521" s="3">
        <f>DATE(1996,11,7)</f>
        <v>35376</v>
      </c>
      <c r="C2521" s="2" t="s">
        <v>95</v>
      </c>
      <c r="D2521" s="2" t="s">
        <v>8092</v>
      </c>
      <c r="E2521" s="2" t="s">
        <v>1181</v>
      </c>
      <c r="F2521" s="4">
        <v>6021</v>
      </c>
      <c r="G2521" s="2" t="s">
        <v>37</v>
      </c>
      <c r="H2521" s="2" t="s">
        <v>34</v>
      </c>
      <c r="I2521" s="2" t="s">
        <v>295</v>
      </c>
      <c r="J2521" s="2" t="s">
        <v>296</v>
      </c>
      <c r="K2521" s="2" t="s">
        <v>37</v>
      </c>
      <c r="L2521" s="2" t="s">
        <v>34</v>
      </c>
      <c r="M2521" s="2"/>
      <c r="N2521" s="2"/>
      <c r="O2521" s="2"/>
      <c r="P2521" s="2" t="s">
        <v>8093</v>
      </c>
      <c r="Q2521" s="6">
        <v>100</v>
      </c>
      <c r="R2521" s="6">
        <v>32</v>
      </c>
      <c r="S2521" s="5">
        <v>0.3</v>
      </c>
      <c r="T2521" s="7">
        <v>-1.0289999999999999</v>
      </c>
      <c r="U2521" s="5">
        <v>17.899999999999999</v>
      </c>
      <c r="V2521" s="7">
        <v>0.20200000000000001</v>
      </c>
      <c r="W2521" s="6">
        <v>19.75</v>
      </c>
      <c r="X2521" s="6">
        <v>20.25</v>
      </c>
      <c r="Y2521" s="7">
        <v>30.125</v>
      </c>
      <c r="Z2521" s="6">
        <v>30.25</v>
      </c>
      <c r="AA2521" s="6">
        <v>1.66</v>
      </c>
      <c r="AB2521" s="2" t="s">
        <v>86</v>
      </c>
      <c r="AC2521" s="2"/>
    </row>
    <row r="2522" spans="1:29" ht="65" x14ac:dyDescent="0.15">
      <c r="A2522" s="3">
        <f>DATE(1996,6,13)</f>
        <v>35229</v>
      </c>
      <c r="B2522" s="2"/>
      <c r="C2522" s="2" t="s">
        <v>30</v>
      </c>
      <c r="D2522" s="2" t="s">
        <v>7920</v>
      </c>
      <c r="E2522" s="2" t="s">
        <v>7921</v>
      </c>
      <c r="F2522" s="4">
        <v>3843</v>
      </c>
      <c r="G2522" s="2" t="s">
        <v>226</v>
      </c>
      <c r="H2522" s="2" t="s">
        <v>34</v>
      </c>
      <c r="I2522" s="2" t="s">
        <v>8094</v>
      </c>
      <c r="J2522" s="2" t="s">
        <v>8095</v>
      </c>
      <c r="K2522" s="2" t="s">
        <v>163</v>
      </c>
      <c r="L2522" s="2" t="s">
        <v>34</v>
      </c>
      <c r="M2522" s="2"/>
      <c r="N2522" s="2"/>
      <c r="O2522" s="2"/>
      <c r="P2522" s="2" t="s">
        <v>8096</v>
      </c>
      <c r="Q2522" s="2"/>
      <c r="R2522" s="2"/>
      <c r="S2522" s="5">
        <v>0.3</v>
      </c>
      <c r="T2522" s="7">
        <v>9.5039999999999996</v>
      </c>
      <c r="U2522" s="5">
        <v>6.7</v>
      </c>
      <c r="V2522" s="6">
        <v>0.04</v>
      </c>
      <c r="W2522" s="5">
        <v>4.5</v>
      </c>
      <c r="X2522" s="7">
        <v>4.875</v>
      </c>
      <c r="Y2522" s="7">
        <v>4.4379999999999997</v>
      </c>
      <c r="Z2522" s="7">
        <v>4.375</v>
      </c>
      <c r="AA2522" s="6">
        <v>6.77</v>
      </c>
      <c r="AB2522" s="2" t="s">
        <v>47</v>
      </c>
      <c r="AC2522" s="2"/>
    </row>
    <row r="2523" spans="1:29" ht="52" x14ac:dyDescent="0.15">
      <c r="A2523" s="3">
        <f>DATE(1996,6,13)</f>
        <v>35229</v>
      </c>
      <c r="B2523" s="2"/>
      <c r="C2523" s="2" t="s">
        <v>189</v>
      </c>
      <c r="D2523" s="2" t="s">
        <v>8097</v>
      </c>
      <c r="E2523" s="2" t="s">
        <v>4801</v>
      </c>
      <c r="F2523" s="4">
        <v>3572</v>
      </c>
      <c r="G2523" s="2" t="s">
        <v>50</v>
      </c>
      <c r="H2523" s="2" t="s">
        <v>34</v>
      </c>
      <c r="I2523" s="2" t="s">
        <v>143</v>
      </c>
      <c r="J2523" s="2" t="s">
        <v>144</v>
      </c>
      <c r="K2523" s="2" t="s">
        <v>53</v>
      </c>
      <c r="L2523" s="2" t="s">
        <v>139</v>
      </c>
      <c r="M2523" s="2"/>
      <c r="N2523" s="2"/>
      <c r="O2523" s="2"/>
      <c r="P2523" s="2" t="s">
        <v>8098</v>
      </c>
      <c r="Q2523" s="2"/>
      <c r="R2523" s="2"/>
      <c r="S2523" s="5">
        <v>-11.8</v>
      </c>
      <c r="T2523" s="7">
        <v>3.9209999999999998</v>
      </c>
      <c r="U2523" s="5">
        <v>7.3</v>
      </c>
      <c r="V2523" s="6">
        <v>-1.07</v>
      </c>
      <c r="W2523" s="4">
        <v>10</v>
      </c>
      <c r="X2523" s="7">
        <v>9.875</v>
      </c>
      <c r="Y2523" s="7">
        <v>9.0630000000000006</v>
      </c>
      <c r="Z2523" s="7">
        <v>9.375</v>
      </c>
      <c r="AA2523" s="6">
        <v>11.33</v>
      </c>
      <c r="AB2523" s="2" t="s">
        <v>86</v>
      </c>
      <c r="AC2523" s="2"/>
    </row>
    <row r="2524" spans="1:29" ht="143" x14ac:dyDescent="0.15">
      <c r="A2524" s="3">
        <f>DATE(1996,6,14)</f>
        <v>35230</v>
      </c>
      <c r="B2524" s="3">
        <f>DATE(1997,1,31)</f>
        <v>35461</v>
      </c>
      <c r="C2524" s="2" t="s">
        <v>95</v>
      </c>
      <c r="D2524" s="2" t="s">
        <v>8099</v>
      </c>
      <c r="E2524" s="2" t="s">
        <v>36</v>
      </c>
      <c r="F2524" s="4">
        <v>6022</v>
      </c>
      <c r="G2524" s="2" t="s">
        <v>37</v>
      </c>
      <c r="H2524" s="2" t="s">
        <v>34</v>
      </c>
      <c r="I2524" s="2" t="s">
        <v>6678</v>
      </c>
      <c r="J2524" s="2" t="s">
        <v>159</v>
      </c>
      <c r="K2524" s="2" t="s">
        <v>37</v>
      </c>
      <c r="L2524" s="2" t="s">
        <v>34</v>
      </c>
      <c r="M2524" s="12">
        <v>2917.5129999999999</v>
      </c>
      <c r="N2524" s="4">
        <v>47</v>
      </c>
      <c r="O2524" s="4">
        <v>47</v>
      </c>
      <c r="P2524" s="2" t="s">
        <v>8100</v>
      </c>
      <c r="Q2524" s="6">
        <v>100</v>
      </c>
      <c r="R2524" s="6">
        <v>10.79</v>
      </c>
      <c r="S2524" s="5">
        <v>9.1</v>
      </c>
      <c r="T2524" s="2"/>
      <c r="U2524" s="5">
        <v>5.4</v>
      </c>
      <c r="V2524" s="7">
        <v>0.72199999999999998</v>
      </c>
      <c r="W2524" s="7">
        <v>11.625</v>
      </c>
      <c r="X2524" s="7">
        <v>11.625</v>
      </c>
      <c r="Y2524" s="6">
        <v>10.25</v>
      </c>
      <c r="Z2524" s="7">
        <v>10.125</v>
      </c>
      <c r="AA2524" s="6">
        <v>12.6</v>
      </c>
      <c r="AB2524" s="7">
        <v>42.728999999999999</v>
      </c>
      <c r="AC2524" s="2"/>
    </row>
    <row r="2525" spans="1:29" ht="143" x14ac:dyDescent="0.15">
      <c r="A2525" s="3">
        <f>DATE(1996,6,14)</f>
        <v>35230</v>
      </c>
      <c r="B2525" s="3">
        <f>DATE(1996,8,23)</f>
        <v>35300</v>
      </c>
      <c r="C2525" s="2" t="s">
        <v>95</v>
      </c>
      <c r="D2525" s="2" t="s">
        <v>8101</v>
      </c>
      <c r="E2525" s="2" t="s">
        <v>8102</v>
      </c>
      <c r="F2525" s="4">
        <v>3562</v>
      </c>
      <c r="G2525" s="2" t="s">
        <v>300</v>
      </c>
      <c r="H2525" s="2" t="s">
        <v>34</v>
      </c>
      <c r="I2525" s="2" t="s">
        <v>8103</v>
      </c>
      <c r="J2525" s="2" t="s">
        <v>8104</v>
      </c>
      <c r="K2525" s="2" t="s">
        <v>105</v>
      </c>
      <c r="L2525" s="2" t="s">
        <v>34</v>
      </c>
      <c r="M2525" s="7">
        <v>124.292</v>
      </c>
      <c r="N2525" s="4">
        <v>23</v>
      </c>
      <c r="O2525" s="6">
        <v>24.75</v>
      </c>
      <c r="P2525" s="2" t="s">
        <v>8105</v>
      </c>
      <c r="Q2525" s="6">
        <v>95.68</v>
      </c>
      <c r="R2525" s="6">
        <v>16.13</v>
      </c>
      <c r="S2525" s="5">
        <v>10.7</v>
      </c>
      <c r="T2525" s="7">
        <v>21.396000000000001</v>
      </c>
      <c r="U2525" s="5">
        <v>6.3</v>
      </c>
      <c r="V2525" s="6">
        <v>1.05</v>
      </c>
      <c r="W2525" s="7">
        <v>12.375</v>
      </c>
      <c r="X2525" s="7">
        <v>12.313000000000001</v>
      </c>
      <c r="Y2525" s="6">
        <v>12.25</v>
      </c>
      <c r="Z2525" s="4">
        <v>16</v>
      </c>
      <c r="AA2525" s="6">
        <v>10.210000000000001</v>
      </c>
      <c r="AB2525" s="7">
        <v>9.8559999999999999</v>
      </c>
      <c r="AC2525" s="6">
        <v>22.92</v>
      </c>
    </row>
    <row r="2526" spans="1:29" ht="130" x14ac:dyDescent="0.15">
      <c r="A2526" s="3">
        <f>DATE(1996,6,14)</f>
        <v>35230</v>
      </c>
      <c r="B2526" s="3">
        <f>DATE(1996,9,13)</f>
        <v>35321</v>
      </c>
      <c r="C2526" s="2" t="s">
        <v>95</v>
      </c>
      <c r="D2526" s="2" t="s">
        <v>8106</v>
      </c>
      <c r="E2526" s="2" t="s">
        <v>3900</v>
      </c>
      <c r="F2526" s="4">
        <v>5812</v>
      </c>
      <c r="G2526" s="2" t="s">
        <v>230</v>
      </c>
      <c r="H2526" s="2" t="s">
        <v>34</v>
      </c>
      <c r="I2526" s="2" t="s">
        <v>8107</v>
      </c>
      <c r="J2526" s="2" t="s">
        <v>8108</v>
      </c>
      <c r="K2526" s="2" t="s">
        <v>230</v>
      </c>
      <c r="L2526" s="2" t="s">
        <v>34</v>
      </c>
      <c r="M2526" s="7">
        <v>230.53399999999999</v>
      </c>
      <c r="N2526" s="4">
        <v>22</v>
      </c>
      <c r="O2526" s="7">
        <v>22.765999999999998</v>
      </c>
      <c r="P2526" s="2" t="s">
        <v>8109</v>
      </c>
      <c r="Q2526" s="6">
        <v>100</v>
      </c>
      <c r="R2526" s="6">
        <v>9.2799999999999994</v>
      </c>
      <c r="S2526" s="5">
        <v>2.1</v>
      </c>
      <c r="T2526" s="7">
        <v>4.7220000000000004</v>
      </c>
      <c r="U2526" s="5">
        <v>4.5999999999999996</v>
      </c>
      <c r="V2526" s="7">
        <v>0.40899999999999997</v>
      </c>
      <c r="W2526" s="4">
        <v>8</v>
      </c>
      <c r="X2526" s="5">
        <v>8.5</v>
      </c>
      <c r="Y2526" s="6">
        <v>8.75</v>
      </c>
      <c r="Z2526" s="6">
        <v>9.25</v>
      </c>
      <c r="AA2526" s="6">
        <v>5.23</v>
      </c>
      <c r="AB2526" s="7">
        <v>17.794</v>
      </c>
      <c r="AC2526" s="6">
        <v>1.45</v>
      </c>
    </row>
    <row r="2527" spans="1:29" ht="39" x14ac:dyDescent="0.15">
      <c r="A2527" s="3">
        <f>DATE(1996,6,14)</f>
        <v>35230</v>
      </c>
      <c r="B2527" s="3">
        <f>DATE(1996,7,12)</f>
        <v>35258</v>
      </c>
      <c r="C2527" s="2" t="s">
        <v>95</v>
      </c>
      <c r="D2527" s="2" t="s">
        <v>8110</v>
      </c>
      <c r="E2527" s="2" t="s">
        <v>8111</v>
      </c>
      <c r="F2527" s="4">
        <v>4841</v>
      </c>
      <c r="G2527" s="2" t="s">
        <v>45</v>
      </c>
      <c r="H2527" s="2" t="s">
        <v>34</v>
      </c>
      <c r="I2527" s="2" t="s">
        <v>8112</v>
      </c>
      <c r="J2527" s="2" t="s">
        <v>6039</v>
      </c>
      <c r="K2527" s="2" t="s">
        <v>45</v>
      </c>
      <c r="L2527" s="2" t="s">
        <v>34</v>
      </c>
      <c r="M2527" s="2"/>
      <c r="N2527" s="2"/>
      <c r="O2527" s="2"/>
      <c r="P2527" s="2" t="s">
        <v>8113</v>
      </c>
      <c r="Q2527" s="6">
        <v>100</v>
      </c>
      <c r="R2527" s="2"/>
      <c r="S2527" s="5">
        <v>-8.4</v>
      </c>
      <c r="T2527" s="7">
        <v>8.5370000000000008</v>
      </c>
      <c r="U2527" s="5">
        <v>-12.4</v>
      </c>
      <c r="V2527" s="6">
        <v>-1.3</v>
      </c>
      <c r="W2527" s="7">
        <v>9.375</v>
      </c>
      <c r="X2527" s="7">
        <v>9.375</v>
      </c>
      <c r="Y2527" s="4">
        <v>9</v>
      </c>
      <c r="Z2527" s="4">
        <v>9</v>
      </c>
      <c r="AA2527" s="6">
        <v>6.4</v>
      </c>
      <c r="AB2527" s="2" t="s">
        <v>86</v>
      </c>
      <c r="AC2527" s="2"/>
    </row>
    <row r="2528" spans="1:29" ht="65" x14ac:dyDescent="0.15">
      <c r="A2528" s="3">
        <f>DATE(1996,6,14)</f>
        <v>35230</v>
      </c>
      <c r="B2528" s="3">
        <f>DATE(1996,11,14)</f>
        <v>35383</v>
      </c>
      <c r="C2528" s="2" t="s">
        <v>95</v>
      </c>
      <c r="D2528" s="2" t="s">
        <v>8114</v>
      </c>
      <c r="E2528" s="2" t="s">
        <v>389</v>
      </c>
      <c r="F2528" s="4">
        <v>6035</v>
      </c>
      <c r="G2528" s="2" t="s">
        <v>33</v>
      </c>
      <c r="H2528" s="2" t="s">
        <v>34</v>
      </c>
      <c r="I2528" s="2" t="s">
        <v>8115</v>
      </c>
      <c r="J2528" s="2" t="s">
        <v>389</v>
      </c>
      <c r="K2528" s="2" t="s">
        <v>33</v>
      </c>
      <c r="L2528" s="2" t="s">
        <v>34</v>
      </c>
      <c r="M2528" s="7">
        <v>51.247999999999998</v>
      </c>
      <c r="N2528" s="6">
        <v>23.25</v>
      </c>
      <c r="O2528" s="6">
        <v>22.75</v>
      </c>
      <c r="P2528" s="2" t="s">
        <v>8116</v>
      </c>
      <c r="Q2528" s="6">
        <v>100</v>
      </c>
      <c r="R2528" s="6">
        <v>19.7</v>
      </c>
      <c r="S2528" s="5">
        <v>0.2</v>
      </c>
      <c r="T2528" s="7">
        <v>0.25800000000000001</v>
      </c>
      <c r="U2528" s="5">
        <v>18</v>
      </c>
      <c r="V2528" s="6">
        <v>0.31</v>
      </c>
      <c r="W2528" s="5">
        <v>15.5</v>
      </c>
      <c r="X2528" s="5">
        <v>15.5</v>
      </c>
      <c r="Y2528" s="5">
        <v>15.5</v>
      </c>
      <c r="Z2528" s="5">
        <v>18.5</v>
      </c>
      <c r="AA2528" s="6">
        <v>0.53</v>
      </c>
      <c r="AB2528" s="7">
        <v>202.625</v>
      </c>
      <c r="AC2528" s="2"/>
    </row>
    <row r="2529" spans="1:29" ht="143" x14ac:dyDescent="0.15">
      <c r="A2529" s="3">
        <f>DATE(1996,6,17)</f>
        <v>35233</v>
      </c>
      <c r="B2529" s="3">
        <f>DATE(1996,11,14)</f>
        <v>35383</v>
      </c>
      <c r="C2529" s="2" t="s">
        <v>95</v>
      </c>
      <c r="D2529" s="2" t="s">
        <v>6482</v>
      </c>
      <c r="E2529" s="2" t="s">
        <v>36</v>
      </c>
      <c r="F2529" s="4">
        <v>6036</v>
      </c>
      <c r="G2529" s="2" t="s">
        <v>33</v>
      </c>
      <c r="H2529" s="2" t="s">
        <v>34</v>
      </c>
      <c r="I2529" s="2" t="s">
        <v>2897</v>
      </c>
      <c r="J2529" s="2" t="s">
        <v>2898</v>
      </c>
      <c r="K2529" s="2" t="s">
        <v>37</v>
      </c>
      <c r="L2529" s="2" t="s">
        <v>34</v>
      </c>
      <c r="M2529" s="12">
        <v>18149.053</v>
      </c>
      <c r="N2529" s="5">
        <v>60.5</v>
      </c>
      <c r="O2529" s="7">
        <v>60.625</v>
      </c>
      <c r="P2529" s="2" t="s">
        <v>8117</v>
      </c>
      <c r="Q2529" s="6">
        <v>100</v>
      </c>
      <c r="R2529" s="6">
        <v>21.23</v>
      </c>
      <c r="S2529" s="5">
        <v>22.6</v>
      </c>
      <c r="T2529" s="7">
        <v>40.820999999999998</v>
      </c>
      <c r="U2529" s="5">
        <v>15.3</v>
      </c>
      <c r="V2529" s="7">
        <v>1.581</v>
      </c>
      <c r="W2529" s="6">
        <v>20.75</v>
      </c>
      <c r="X2529" s="7">
        <v>22.875</v>
      </c>
      <c r="Y2529" s="7">
        <v>24.125</v>
      </c>
      <c r="Z2529" s="7">
        <v>24.140999999999998</v>
      </c>
      <c r="AA2529" s="6">
        <v>14.93</v>
      </c>
      <c r="AB2529" s="7">
        <v>113.604</v>
      </c>
      <c r="AC2529" s="2"/>
    </row>
    <row r="2530" spans="1:29" ht="156" x14ac:dyDescent="0.15">
      <c r="A2530" s="3">
        <f>DATE(1996,6,17)</f>
        <v>35233</v>
      </c>
      <c r="B2530" s="3">
        <f>DATE(1996,11,25)</f>
        <v>35394</v>
      </c>
      <c r="C2530" s="2" t="s">
        <v>95</v>
      </c>
      <c r="D2530" s="2" t="s">
        <v>8118</v>
      </c>
      <c r="E2530" s="2" t="s">
        <v>36</v>
      </c>
      <c r="F2530" s="4">
        <v>6035</v>
      </c>
      <c r="G2530" s="2" t="s">
        <v>33</v>
      </c>
      <c r="H2530" s="2" t="s">
        <v>34</v>
      </c>
      <c r="I2530" s="2" t="s">
        <v>2897</v>
      </c>
      <c r="J2530" s="2" t="s">
        <v>2898</v>
      </c>
      <c r="K2530" s="2" t="s">
        <v>37</v>
      </c>
      <c r="L2530" s="2" t="s">
        <v>34</v>
      </c>
      <c r="M2530" s="12">
        <v>18149.053</v>
      </c>
      <c r="N2530" s="5">
        <v>60.5</v>
      </c>
      <c r="O2530" s="7">
        <v>60.625</v>
      </c>
      <c r="P2530" s="2" t="s">
        <v>8119</v>
      </c>
      <c r="Q2530" s="6">
        <v>100</v>
      </c>
      <c r="R2530" s="6">
        <v>17.100000000000001</v>
      </c>
      <c r="S2530" s="5">
        <v>20.6</v>
      </c>
      <c r="T2530" s="7">
        <v>34.084000000000003</v>
      </c>
      <c r="U2530" s="5">
        <v>12.6</v>
      </c>
      <c r="V2530" s="6">
        <v>0.88</v>
      </c>
      <c r="W2530" s="7">
        <v>15.125</v>
      </c>
      <c r="X2530" s="7">
        <v>14.875</v>
      </c>
      <c r="Y2530" s="7">
        <v>14.875</v>
      </c>
      <c r="Z2530" s="4">
        <v>15</v>
      </c>
      <c r="AA2530" s="6">
        <v>24.77</v>
      </c>
      <c r="AB2530" s="7">
        <v>38.094999999999999</v>
      </c>
      <c r="AC2530" s="2"/>
    </row>
    <row r="2531" spans="1:29" ht="65" x14ac:dyDescent="0.15">
      <c r="A2531" s="3">
        <f>DATE(1996,6,17)</f>
        <v>35233</v>
      </c>
      <c r="B2531" s="2"/>
      <c r="C2531" s="2" t="s">
        <v>30</v>
      </c>
      <c r="D2531" s="2" t="s">
        <v>6659</v>
      </c>
      <c r="E2531" s="2" t="s">
        <v>6660</v>
      </c>
      <c r="F2531" s="4">
        <v>7822</v>
      </c>
      <c r="G2531" s="2" t="s">
        <v>42</v>
      </c>
      <c r="H2531" s="2" t="s">
        <v>34</v>
      </c>
      <c r="I2531" s="2" t="s">
        <v>8120</v>
      </c>
      <c r="J2531" s="2" t="s">
        <v>981</v>
      </c>
      <c r="K2531" s="2" t="s">
        <v>45</v>
      </c>
      <c r="L2531" s="2" t="s">
        <v>34</v>
      </c>
      <c r="M2531" s="12">
        <v>1148.7650000000001</v>
      </c>
      <c r="N2531" s="6">
        <v>16.25</v>
      </c>
      <c r="O2531" s="6">
        <v>16.25</v>
      </c>
      <c r="P2531" s="2" t="s">
        <v>8121</v>
      </c>
      <c r="Q2531" s="2"/>
      <c r="R2531" s="2"/>
      <c r="S2531" s="5">
        <v>117.3</v>
      </c>
      <c r="T2531" s="7">
        <v>163.02199999999999</v>
      </c>
      <c r="U2531" s="5">
        <v>7.8</v>
      </c>
      <c r="V2531" s="6">
        <v>1.57</v>
      </c>
      <c r="W2531" s="7">
        <v>40.375</v>
      </c>
      <c r="X2531" s="7">
        <v>39.625</v>
      </c>
      <c r="Y2531" s="7">
        <v>39.875</v>
      </c>
      <c r="Z2531" s="6">
        <v>39.25</v>
      </c>
      <c r="AA2531" s="6">
        <v>37.49</v>
      </c>
      <c r="AB2531" s="2" t="s">
        <v>47</v>
      </c>
      <c r="AC2531" s="2"/>
    </row>
    <row r="2532" spans="1:29" ht="156" x14ac:dyDescent="0.15">
      <c r="A2532" s="3">
        <f>DATE(1996,6,17)</f>
        <v>35233</v>
      </c>
      <c r="B2532" s="3">
        <f>DATE(1996,11,19)</f>
        <v>35388</v>
      </c>
      <c r="C2532" s="2" t="s">
        <v>95</v>
      </c>
      <c r="D2532" s="2" t="s">
        <v>8122</v>
      </c>
      <c r="E2532" s="2" t="s">
        <v>1870</v>
      </c>
      <c r="F2532" s="4">
        <v>3661</v>
      </c>
      <c r="G2532" s="2" t="s">
        <v>921</v>
      </c>
      <c r="H2532" s="2" t="s">
        <v>34</v>
      </c>
      <c r="I2532" s="2" t="s">
        <v>6753</v>
      </c>
      <c r="J2532" s="2" t="s">
        <v>5065</v>
      </c>
      <c r="K2532" s="2" t="s">
        <v>50</v>
      </c>
      <c r="L2532" s="2" t="s">
        <v>34</v>
      </c>
      <c r="M2532" s="12">
        <v>6127.7910000000002</v>
      </c>
      <c r="N2532" s="7">
        <v>26.875</v>
      </c>
      <c r="O2532" s="6">
        <v>25.75</v>
      </c>
      <c r="P2532" s="2" t="s">
        <v>8123</v>
      </c>
      <c r="Q2532" s="6">
        <v>100</v>
      </c>
      <c r="R2532" s="6">
        <v>10</v>
      </c>
      <c r="S2532" s="5">
        <v>-8.6</v>
      </c>
      <c r="T2532" s="7">
        <v>-3.2120000000000002</v>
      </c>
      <c r="U2532" s="5">
        <v>2.4</v>
      </c>
      <c r="V2532" s="7">
        <v>-1.004</v>
      </c>
      <c r="W2532" s="7">
        <v>10.438000000000001</v>
      </c>
      <c r="X2532" s="4">
        <v>10</v>
      </c>
      <c r="Y2532" s="7">
        <v>13.625</v>
      </c>
      <c r="Z2532" s="7">
        <v>13.563000000000001</v>
      </c>
      <c r="AA2532" s="6">
        <v>10.54</v>
      </c>
      <c r="AB2532" s="2" t="s">
        <v>86</v>
      </c>
      <c r="AC2532" s="6">
        <v>589.85</v>
      </c>
    </row>
    <row r="2533" spans="1:29" ht="65" x14ac:dyDescent="0.15">
      <c r="A2533" s="3">
        <f>DATE(1996,6,17)</f>
        <v>35233</v>
      </c>
      <c r="B2533" s="3">
        <f>DATE(1996,10,7)</f>
        <v>35345</v>
      </c>
      <c r="C2533" s="2" t="s">
        <v>95</v>
      </c>
      <c r="D2533" s="2" t="s">
        <v>5902</v>
      </c>
      <c r="E2533" s="2" t="s">
        <v>5903</v>
      </c>
      <c r="F2533" s="4">
        <v>2761</v>
      </c>
      <c r="G2533" s="2" t="s">
        <v>186</v>
      </c>
      <c r="H2533" s="2" t="s">
        <v>34</v>
      </c>
      <c r="I2533" s="2" t="s">
        <v>8124</v>
      </c>
      <c r="J2533" s="2" t="s">
        <v>8125</v>
      </c>
      <c r="K2533" s="2" t="s">
        <v>4563</v>
      </c>
      <c r="L2533" s="2" t="s">
        <v>34</v>
      </c>
      <c r="M2533" s="7">
        <v>218.33600000000001</v>
      </c>
      <c r="N2533" s="7">
        <v>13.875</v>
      </c>
      <c r="O2533" s="4">
        <v>14</v>
      </c>
      <c r="P2533" s="2" t="s">
        <v>8126</v>
      </c>
      <c r="Q2533" s="6">
        <v>100</v>
      </c>
      <c r="R2533" s="6">
        <v>5.75</v>
      </c>
      <c r="S2533" s="5">
        <v>2.2000000000000002</v>
      </c>
      <c r="T2533" s="2"/>
      <c r="U2533" s="5">
        <v>2</v>
      </c>
      <c r="V2533" s="7">
        <v>0.60399999999999998</v>
      </c>
      <c r="W2533" s="7">
        <v>3.5630000000000002</v>
      </c>
      <c r="X2533" s="7">
        <v>3.5630000000000002</v>
      </c>
      <c r="Y2533" s="7">
        <v>5.125</v>
      </c>
      <c r="Z2533" s="7">
        <v>4.875</v>
      </c>
      <c r="AA2533" s="6">
        <v>3.2</v>
      </c>
      <c r="AB2533" s="7">
        <v>3.806</v>
      </c>
      <c r="AC2533" s="5">
        <v>4.5999999999999996</v>
      </c>
    </row>
    <row r="2534" spans="1:29" ht="104" x14ac:dyDescent="0.15">
      <c r="A2534" s="3">
        <f>DATE(1996,6,18)</f>
        <v>35234</v>
      </c>
      <c r="B2534" s="3">
        <f>DATE(1996,9,30)</f>
        <v>35338</v>
      </c>
      <c r="C2534" s="2" t="s">
        <v>95</v>
      </c>
      <c r="D2534" s="2" t="s">
        <v>8127</v>
      </c>
      <c r="E2534" s="2" t="s">
        <v>8128</v>
      </c>
      <c r="F2534" s="4">
        <v>7373</v>
      </c>
      <c r="G2534" s="2" t="s">
        <v>223</v>
      </c>
      <c r="H2534" s="2" t="s">
        <v>34</v>
      </c>
      <c r="I2534" s="2" t="s">
        <v>8129</v>
      </c>
      <c r="J2534" s="2" t="s">
        <v>7926</v>
      </c>
      <c r="K2534" s="2" t="s">
        <v>921</v>
      </c>
      <c r="L2534" s="2" t="s">
        <v>34</v>
      </c>
      <c r="M2534" s="7">
        <v>18.113</v>
      </c>
      <c r="N2534" s="7">
        <v>15.875</v>
      </c>
      <c r="O2534" s="7">
        <v>16.625</v>
      </c>
      <c r="P2534" s="2" t="s">
        <v>8130</v>
      </c>
      <c r="Q2534" s="6">
        <v>100</v>
      </c>
      <c r="R2534" s="6">
        <v>16.45</v>
      </c>
      <c r="S2534" s="5">
        <v>-2.5</v>
      </c>
      <c r="T2534" s="7">
        <v>-2.2549999999999999</v>
      </c>
      <c r="U2534" s="5">
        <v>0.8</v>
      </c>
      <c r="V2534" s="7">
        <v>-1.3109999999999999</v>
      </c>
      <c r="W2534" s="7">
        <v>14.188000000000001</v>
      </c>
      <c r="X2534" s="4">
        <v>15</v>
      </c>
      <c r="Y2534" s="6">
        <v>14.75</v>
      </c>
      <c r="Z2534" s="4">
        <v>15</v>
      </c>
      <c r="AA2534" s="6">
        <v>3.87</v>
      </c>
      <c r="AB2534" s="2" t="s">
        <v>86</v>
      </c>
      <c r="AC2534" s="2"/>
    </row>
    <row r="2535" spans="1:29" ht="39" x14ac:dyDescent="0.15">
      <c r="A2535" s="3">
        <f>DATE(1996,6,18)</f>
        <v>35234</v>
      </c>
      <c r="B2535" s="2"/>
      <c r="C2535" s="2" t="s">
        <v>7330</v>
      </c>
      <c r="D2535" s="2" t="s">
        <v>459</v>
      </c>
      <c r="E2535" s="2" t="s">
        <v>460</v>
      </c>
      <c r="F2535" s="4">
        <v>2511</v>
      </c>
      <c r="G2535" s="2" t="s">
        <v>250</v>
      </c>
      <c r="H2535" s="2" t="s">
        <v>34</v>
      </c>
      <c r="I2535" s="2" t="s">
        <v>51</v>
      </c>
      <c r="J2535" s="2" t="s">
        <v>52</v>
      </c>
      <c r="K2535" s="2" t="s">
        <v>53</v>
      </c>
      <c r="L2535" s="2" t="s">
        <v>34</v>
      </c>
      <c r="M2535" s="2"/>
      <c r="N2535" s="2"/>
      <c r="O2535" s="2"/>
      <c r="P2535" s="2" t="s">
        <v>8131</v>
      </c>
      <c r="Q2535" s="2"/>
      <c r="R2535" s="2"/>
      <c r="S2535" s="5">
        <v>134.9</v>
      </c>
      <c r="T2535" s="5">
        <v>303.3</v>
      </c>
      <c r="U2535" s="5">
        <v>4.4000000000000004</v>
      </c>
      <c r="V2535" s="7">
        <v>0.79500000000000004</v>
      </c>
      <c r="W2535" s="5">
        <v>28.5</v>
      </c>
      <c r="X2535" s="7">
        <v>28.125</v>
      </c>
      <c r="Y2535" s="7">
        <v>27.875</v>
      </c>
      <c r="Z2535" s="7">
        <v>27.625</v>
      </c>
      <c r="AA2535" s="2"/>
      <c r="AB2535" s="2" t="s">
        <v>47</v>
      </c>
      <c r="AC2535" s="2"/>
    </row>
    <row r="2536" spans="1:29" ht="130" x14ac:dyDescent="0.15">
      <c r="A2536" s="3">
        <f>DATE(1996,6,19)</f>
        <v>35235</v>
      </c>
      <c r="B2536" s="2"/>
      <c r="C2536" s="2" t="s">
        <v>30</v>
      </c>
      <c r="D2536" s="2" t="s">
        <v>8132</v>
      </c>
      <c r="E2536" s="2" t="s">
        <v>453</v>
      </c>
      <c r="F2536" s="4">
        <v>8093</v>
      </c>
      <c r="G2536" s="2" t="s">
        <v>454</v>
      </c>
      <c r="H2536" s="2" t="s">
        <v>34</v>
      </c>
      <c r="I2536" s="2" t="s">
        <v>8133</v>
      </c>
      <c r="J2536" s="2" t="s">
        <v>8134</v>
      </c>
      <c r="K2536" s="2" t="s">
        <v>226</v>
      </c>
      <c r="L2536" s="2" t="s">
        <v>34</v>
      </c>
      <c r="M2536" s="2"/>
      <c r="N2536" s="6">
        <v>4.1900000000000004</v>
      </c>
      <c r="O2536" s="6">
        <v>4.1900000000000004</v>
      </c>
      <c r="P2536" s="2" t="s">
        <v>8135</v>
      </c>
      <c r="Q2536" s="2"/>
      <c r="R2536" s="6">
        <v>11.5</v>
      </c>
      <c r="S2536" s="5">
        <v>4.7</v>
      </c>
      <c r="T2536" s="7">
        <v>16.974</v>
      </c>
      <c r="U2536" s="5">
        <v>1.6</v>
      </c>
      <c r="V2536" s="6">
        <v>1.79</v>
      </c>
      <c r="W2536" s="7">
        <v>7.3129999999999997</v>
      </c>
      <c r="X2536" s="5">
        <v>7.5</v>
      </c>
      <c r="Y2536" s="7">
        <v>9.125</v>
      </c>
      <c r="Z2536" s="7">
        <v>9.125</v>
      </c>
      <c r="AA2536" s="6">
        <v>2.48</v>
      </c>
      <c r="AB2536" s="7">
        <v>6.194</v>
      </c>
      <c r="AC2536" s="2"/>
    </row>
    <row r="2537" spans="1:29" ht="39" x14ac:dyDescent="0.15">
      <c r="A2537" s="3">
        <f>DATE(1996,6,19)</f>
        <v>35235</v>
      </c>
      <c r="B2537" s="2"/>
      <c r="C2537" s="2" t="s">
        <v>7330</v>
      </c>
      <c r="D2537" s="2" t="s">
        <v>8136</v>
      </c>
      <c r="E2537" s="2" t="s">
        <v>386</v>
      </c>
      <c r="F2537" s="4">
        <v>6726</v>
      </c>
      <c r="G2537" s="2" t="s">
        <v>53</v>
      </c>
      <c r="H2537" s="2" t="s">
        <v>34</v>
      </c>
      <c r="I2537" s="2" t="s">
        <v>8137</v>
      </c>
      <c r="J2537" s="2" t="s">
        <v>8138</v>
      </c>
      <c r="K2537" s="2" t="s">
        <v>53</v>
      </c>
      <c r="L2537" s="2" t="s">
        <v>34</v>
      </c>
      <c r="M2537" s="2"/>
      <c r="N2537" s="7">
        <v>13.375</v>
      </c>
      <c r="O2537" s="5">
        <v>13.5</v>
      </c>
      <c r="P2537" s="2" t="s">
        <v>8139</v>
      </c>
      <c r="Q2537" s="2"/>
      <c r="R2537" s="2"/>
      <c r="S2537" s="2"/>
      <c r="T2537" s="2"/>
      <c r="U2537" s="2"/>
      <c r="V2537" s="2"/>
      <c r="W2537" s="4">
        <v>13</v>
      </c>
      <c r="X2537" s="7">
        <v>12.875</v>
      </c>
      <c r="Y2537" s="6">
        <v>13.25</v>
      </c>
      <c r="Z2537" s="7">
        <v>13.188000000000001</v>
      </c>
      <c r="AA2537" s="2"/>
      <c r="AB2537" s="2" t="s">
        <v>47</v>
      </c>
      <c r="AC2537" s="2"/>
    </row>
    <row r="2538" spans="1:29" ht="130" x14ac:dyDescent="0.15">
      <c r="A2538" s="3">
        <f>DATE(1996,6,20)</f>
        <v>35236</v>
      </c>
      <c r="B2538" s="3">
        <f>DATE(1996,12,31)</f>
        <v>35430</v>
      </c>
      <c r="C2538" s="2" t="s">
        <v>95</v>
      </c>
      <c r="D2538" s="2" t="s">
        <v>8140</v>
      </c>
      <c r="E2538" s="2" t="s">
        <v>4760</v>
      </c>
      <c r="F2538" s="4">
        <v>4832</v>
      </c>
      <c r="G2538" s="2" t="s">
        <v>45</v>
      </c>
      <c r="H2538" s="2" t="s">
        <v>34</v>
      </c>
      <c r="I2538" s="2" t="s">
        <v>1885</v>
      </c>
      <c r="J2538" s="2" t="s">
        <v>1886</v>
      </c>
      <c r="K2538" s="2" t="s">
        <v>137</v>
      </c>
      <c r="L2538" s="2" t="s">
        <v>34</v>
      </c>
      <c r="M2538" s="12">
        <v>8256.8539999999994</v>
      </c>
      <c r="N2538" s="7">
        <v>18.125</v>
      </c>
      <c r="O2538" s="7">
        <v>19.125</v>
      </c>
      <c r="P2538" s="2" t="s">
        <v>8141</v>
      </c>
      <c r="Q2538" s="6">
        <v>100</v>
      </c>
      <c r="R2538" s="6">
        <v>32.28</v>
      </c>
      <c r="S2538" s="5">
        <v>54.5</v>
      </c>
      <c r="T2538" s="7">
        <v>154.34200000000001</v>
      </c>
      <c r="U2538" s="5">
        <v>2.2000000000000002</v>
      </c>
      <c r="V2538" s="9">
        <v>0.3533</v>
      </c>
      <c r="W2538" s="7">
        <v>29.125</v>
      </c>
      <c r="X2538" s="7">
        <v>28.625</v>
      </c>
      <c r="Y2538" s="7">
        <v>28.625</v>
      </c>
      <c r="Z2538" s="7">
        <v>29.125</v>
      </c>
      <c r="AA2538" s="6">
        <v>85.76</v>
      </c>
      <c r="AB2538" s="7">
        <v>51.61</v>
      </c>
      <c r="AC2538" s="5">
        <v>213</v>
      </c>
    </row>
    <row r="2539" spans="1:29" ht="39" x14ac:dyDescent="0.15">
      <c r="A2539" s="3">
        <f>DATE(1996,6,20)</f>
        <v>35236</v>
      </c>
      <c r="B2539" s="3">
        <f>DATE(1996,9,16)</f>
        <v>35324</v>
      </c>
      <c r="C2539" s="2" t="s">
        <v>95</v>
      </c>
      <c r="D2539" s="2" t="s">
        <v>8142</v>
      </c>
      <c r="E2539" s="2" t="s">
        <v>5326</v>
      </c>
      <c r="F2539" s="4">
        <v>4225</v>
      </c>
      <c r="G2539" s="2" t="s">
        <v>173</v>
      </c>
      <c r="H2539" s="2" t="s">
        <v>34</v>
      </c>
      <c r="I2539" s="2" t="s">
        <v>7163</v>
      </c>
      <c r="J2539" s="2" t="s">
        <v>2044</v>
      </c>
      <c r="K2539" s="2" t="s">
        <v>53</v>
      </c>
      <c r="L2539" s="2" t="s">
        <v>34</v>
      </c>
      <c r="M2539" s="12">
        <v>1630.556</v>
      </c>
      <c r="N2539" s="7">
        <v>20.625</v>
      </c>
      <c r="O2539" s="7">
        <v>20.625</v>
      </c>
      <c r="P2539" s="2" t="s">
        <v>8143</v>
      </c>
      <c r="Q2539" s="6">
        <v>100</v>
      </c>
      <c r="R2539" s="6">
        <v>20.92</v>
      </c>
      <c r="S2539" s="5">
        <v>3.2</v>
      </c>
      <c r="T2539" s="7">
        <v>4.4160000000000004</v>
      </c>
      <c r="U2539" s="5">
        <v>12.5</v>
      </c>
      <c r="V2539" s="7">
        <v>1.7150000000000001</v>
      </c>
      <c r="W2539" s="5">
        <v>18.5</v>
      </c>
      <c r="X2539" s="7">
        <v>18.375</v>
      </c>
      <c r="Y2539" s="7">
        <v>18.375</v>
      </c>
      <c r="Z2539" s="7">
        <v>19.625</v>
      </c>
      <c r="AA2539" s="6">
        <v>2.4</v>
      </c>
      <c r="AB2539" s="7">
        <v>11.686</v>
      </c>
      <c r="AC2539" s="6">
        <v>80.44</v>
      </c>
    </row>
    <row r="2540" spans="1:29" ht="39" x14ac:dyDescent="0.15">
      <c r="A2540" s="3">
        <f>DATE(1996,6,20)</f>
        <v>35236</v>
      </c>
      <c r="B2540" s="3">
        <f>DATE(1996,9,16)</f>
        <v>35324</v>
      </c>
      <c r="C2540" s="2" t="s">
        <v>95</v>
      </c>
      <c r="D2540" s="2" t="s">
        <v>8144</v>
      </c>
      <c r="E2540" s="2" t="s">
        <v>8145</v>
      </c>
      <c r="F2540" s="4">
        <v>4225</v>
      </c>
      <c r="G2540" s="2" t="s">
        <v>173</v>
      </c>
      <c r="H2540" s="2" t="s">
        <v>34</v>
      </c>
      <c r="I2540" s="2" t="s">
        <v>7163</v>
      </c>
      <c r="J2540" s="2" t="s">
        <v>2044</v>
      </c>
      <c r="K2540" s="2" t="s">
        <v>53</v>
      </c>
      <c r="L2540" s="2" t="s">
        <v>34</v>
      </c>
      <c r="M2540" s="12">
        <v>1630.556</v>
      </c>
      <c r="N2540" s="7">
        <v>20.625</v>
      </c>
      <c r="O2540" s="7">
        <v>20.625</v>
      </c>
      <c r="P2540" s="2" t="s">
        <v>8146</v>
      </c>
      <c r="Q2540" s="6">
        <v>100</v>
      </c>
      <c r="R2540" s="6">
        <v>22.34</v>
      </c>
      <c r="S2540" s="5">
        <v>3.3</v>
      </c>
      <c r="T2540" s="7">
        <v>4.4749999999999996</v>
      </c>
      <c r="U2540" s="5">
        <v>16</v>
      </c>
      <c r="V2540" s="6">
        <v>1.69</v>
      </c>
      <c r="W2540" s="5">
        <v>19.5</v>
      </c>
      <c r="X2540" s="5">
        <v>19.5</v>
      </c>
      <c r="Y2540" s="5">
        <v>19.5</v>
      </c>
      <c r="Z2540" s="6">
        <v>20.75</v>
      </c>
      <c r="AA2540" s="6">
        <v>2.4700000000000002</v>
      </c>
      <c r="AB2540" s="7">
        <v>11.518000000000001</v>
      </c>
      <c r="AC2540" s="6">
        <v>80.44</v>
      </c>
    </row>
    <row r="2541" spans="1:29" ht="52" x14ac:dyDescent="0.15">
      <c r="A2541" s="3">
        <f>DATE(1996,6,21)</f>
        <v>35237</v>
      </c>
      <c r="B2541" s="3">
        <f>DATE(1996,6,21)</f>
        <v>35237</v>
      </c>
      <c r="C2541" s="2" t="s">
        <v>95</v>
      </c>
      <c r="D2541" s="2" t="s">
        <v>8147</v>
      </c>
      <c r="E2541" s="2" t="s">
        <v>8148</v>
      </c>
      <c r="F2541" s="4">
        <v>6512</v>
      </c>
      <c r="G2541" s="2" t="s">
        <v>109</v>
      </c>
      <c r="H2541" s="2" t="s">
        <v>34</v>
      </c>
      <c r="I2541" s="2" t="s">
        <v>51</v>
      </c>
      <c r="J2541" s="2" t="s">
        <v>52</v>
      </c>
      <c r="K2541" s="2" t="s">
        <v>53</v>
      </c>
      <c r="L2541" s="2" t="s">
        <v>34</v>
      </c>
      <c r="M2541" s="2"/>
      <c r="N2541" s="2"/>
      <c r="O2541" s="2"/>
      <c r="P2541" s="2" t="s">
        <v>8149</v>
      </c>
      <c r="Q2541" s="6">
        <v>2.6</v>
      </c>
      <c r="R2541" s="2"/>
      <c r="S2541" s="5">
        <v>34.5</v>
      </c>
      <c r="T2541" s="7">
        <v>36.170999999999999</v>
      </c>
      <c r="U2541" s="5">
        <v>14</v>
      </c>
      <c r="V2541" s="9">
        <v>1.2758</v>
      </c>
      <c r="W2541" s="4">
        <v>9</v>
      </c>
      <c r="X2541" s="4">
        <v>9</v>
      </c>
      <c r="Y2541" s="7">
        <v>8.875</v>
      </c>
      <c r="Z2541" s="7">
        <v>8.875</v>
      </c>
      <c r="AA2541" s="6">
        <v>25.68</v>
      </c>
      <c r="AB2541" s="2" t="s">
        <v>47</v>
      </c>
      <c r="AC2541" s="2"/>
    </row>
    <row r="2542" spans="1:29" ht="130" x14ac:dyDescent="0.15">
      <c r="A2542" s="3">
        <f>DATE(1996,6,21)</f>
        <v>35237</v>
      </c>
      <c r="B2542" s="3">
        <f>DATE(1996,9,26)</f>
        <v>35334</v>
      </c>
      <c r="C2542" s="2" t="s">
        <v>95</v>
      </c>
      <c r="D2542" s="2" t="s">
        <v>8150</v>
      </c>
      <c r="E2542" s="2" t="s">
        <v>8151</v>
      </c>
      <c r="F2542" s="4">
        <v>8734</v>
      </c>
      <c r="G2542" s="2" t="s">
        <v>223</v>
      </c>
      <c r="H2542" s="2" t="s">
        <v>34</v>
      </c>
      <c r="I2542" s="2" t="s">
        <v>8152</v>
      </c>
      <c r="J2542" s="2" t="s">
        <v>8153</v>
      </c>
      <c r="K2542" s="2" t="s">
        <v>130</v>
      </c>
      <c r="L2542" s="2" t="s">
        <v>34</v>
      </c>
      <c r="M2542" s="7">
        <v>432.07299999999998</v>
      </c>
      <c r="N2542" s="4">
        <v>35</v>
      </c>
      <c r="O2542" s="6">
        <v>35.25</v>
      </c>
      <c r="P2542" s="2" t="s">
        <v>8154</v>
      </c>
      <c r="Q2542" s="6">
        <v>100</v>
      </c>
      <c r="R2542" s="6">
        <v>16</v>
      </c>
      <c r="S2542" s="5">
        <v>-7</v>
      </c>
      <c r="T2542" s="7">
        <v>17.398</v>
      </c>
      <c r="U2542" s="5">
        <v>2.2999999999999998</v>
      </c>
      <c r="V2542" s="6">
        <v>-0.25</v>
      </c>
      <c r="W2542" s="6">
        <v>8.75</v>
      </c>
      <c r="X2542" s="7">
        <v>9.125</v>
      </c>
      <c r="Y2542" s="7">
        <v>11.563000000000001</v>
      </c>
      <c r="Z2542" s="6">
        <v>11.25</v>
      </c>
      <c r="AA2542" s="6">
        <v>29.54</v>
      </c>
      <c r="AB2542" s="7">
        <v>83.75</v>
      </c>
      <c r="AC2542" s="6">
        <v>2.5</v>
      </c>
    </row>
    <row r="2543" spans="1:29" ht="52" x14ac:dyDescent="0.15">
      <c r="A2543" s="3">
        <f>DATE(1996,6,21)</f>
        <v>35237</v>
      </c>
      <c r="B2543" s="3">
        <f>DATE(1996,8,23)</f>
        <v>35300</v>
      </c>
      <c r="C2543" s="2" t="s">
        <v>95</v>
      </c>
      <c r="D2543" s="2" t="s">
        <v>5546</v>
      </c>
      <c r="E2543" s="2" t="s">
        <v>5547</v>
      </c>
      <c r="F2543" s="4">
        <v>7375</v>
      </c>
      <c r="G2543" s="2" t="s">
        <v>223</v>
      </c>
      <c r="H2543" s="2" t="s">
        <v>34</v>
      </c>
      <c r="I2543" s="2" t="s">
        <v>8155</v>
      </c>
      <c r="J2543" s="2" t="s">
        <v>8156</v>
      </c>
      <c r="K2543" s="2" t="s">
        <v>186</v>
      </c>
      <c r="L2543" s="2" t="s">
        <v>34</v>
      </c>
      <c r="M2543" s="2"/>
      <c r="N2543" s="2"/>
      <c r="O2543" s="2"/>
      <c r="P2543" s="2" t="s">
        <v>8157</v>
      </c>
      <c r="Q2543" s="6">
        <v>100</v>
      </c>
      <c r="R2543" s="6">
        <v>3.85</v>
      </c>
      <c r="S2543" s="5">
        <v>0.1</v>
      </c>
      <c r="T2543" s="7">
        <v>0.312</v>
      </c>
      <c r="U2543" s="5">
        <v>0.6</v>
      </c>
      <c r="V2543" s="7">
        <v>3.3000000000000002E-2</v>
      </c>
      <c r="W2543" s="7">
        <v>2.625</v>
      </c>
      <c r="X2543" s="4">
        <v>3</v>
      </c>
      <c r="Y2543" s="7">
        <v>3.125</v>
      </c>
      <c r="Z2543" s="6">
        <v>3.25</v>
      </c>
      <c r="AA2543" s="6">
        <v>3.12</v>
      </c>
      <c r="AB2543" s="7">
        <v>86.83</v>
      </c>
      <c r="AC2543" s="2"/>
    </row>
    <row r="2544" spans="1:29" ht="52" x14ac:dyDescent="0.15">
      <c r="A2544" s="3">
        <f>DATE(1996,6,21)</f>
        <v>35237</v>
      </c>
      <c r="B2544" s="2"/>
      <c r="C2544" s="2" t="s">
        <v>7330</v>
      </c>
      <c r="D2544" s="2" t="s">
        <v>8158</v>
      </c>
      <c r="E2544" s="2" t="s">
        <v>612</v>
      </c>
      <c r="F2544" s="4">
        <v>1311</v>
      </c>
      <c r="G2544" s="2" t="s">
        <v>148</v>
      </c>
      <c r="H2544" s="2" t="s">
        <v>34</v>
      </c>
      <c r="I2544" s="2" t="s">
        <v>8159</v>
      </c>
      <c r="J2544" s="2" t="s">
        <v>302</v>
      </c>
      <c r="K2544" s="2" t="s">
        <v>53</v>
      </c>
      <c r="L2544" s="2" t="s">
        <v>34</v>
      </c>
      <c r="M2544" s="2"/>
      <c r="N2544" s="2"/>
      <c r="O2544" s="2"/>
      <c r="P2544" s="2" t="s">
        <v>8160</v>
      </c>
      <c r="Q2544" s="2"/>
      <c r="R2544" s="6">
        <v>9.75</v>
      </c>
      <c r="S2544" s="5">
        <v>0.8</v>
      </c>
      <c r="T2544" s="7">
        <v>1.9239999999999999</v>
      </c>
      <c r="U2544" s="5">
        <v>8.6</v>
      </c>
      <c r="V2544" s="2"/>
      <c r="W2544" s="4">
        <v>8</v>
      </c>
      <c r="X2544" s="4">
        <v>8</v>
      </c>
      <c r="Y2544" s="4">
        <v>8</v>
      </c>
      <c r="Z2544" s="4">
        <v>9</v>
      </c>
      <c r="AA2544" s="6">
        <v>1.47</v>
      </c>
      <c r="AB2544" s="7">
        <v>13.215</v>
      </c>
      <c r="AC2544" s="2"/>
    </row>
    <row r="2545" spans="1:29" ht="130" x14ac:dyDescent="0.15">
      <c r="A2545" s="3">
        <f>DATE(1996,6,21)</f>
        <v>35237</v>
      </c>
      <c r="B2545" s="3">
        <f>DATE(1996,12,16)</f>
        <v>35415</v>
      </c>
      <c r="C2545" s="2" t="s">
        <v>95</v>
      </c>
      <c r="D2545" s="2" t="s">
        <v>8161</v>
      </c>
      <c r="E2545" s="2" t="s">
        <v>36</v>
      </c>
      <c r="F2545" s="4">
        <v>6022</v>
      </c>
      <c r="G2545" s="2" t="s">
        <v>37</v>
      </c>
      <c r="H2545" s="2" t="s">
        <v>34</v>
      </c>
      <c r="I2545" s="2" t="s">
        <v>4381</v>
      </c>
      <c r="J2545" s="2" t="s">
        <v>263</v>
      </c>
      <c r="K2545" s="2" t="s">
        <v>37</v>
      </c>
      <c r="L2545" s="2" t="s">
        <v>34</v>
      </c>
      <c r="M2545" s="6">
        <v>282.81</v>
      </c>
      <c r="N2545" s="6">
        <v>20.25</v>
      </c>
      <c r="O2545" s="7">
        <v>20.375</v>
      </c>
      <c r="P2545" s="2" t="s">
        <v>8162</v>
      </c>
      <c r="Q2545" s="6">
        <v>100</v>
      </c>
      <c r="R2545" s="6">
        <v>6.49</v>
      </c>
      <c r="S2545" s="5">
        <v>6.8</v>
      </c>
      <c r="T2545" s="7">
        <v>6.6879999999999997</v>
      </c>
      <c r="U2545" s="5">
        <v>4.5</v>
      </c>
      <c r="V2545" s="6">
        <v>0.66</v>
      </c>
      <c r="W2545" s="6">
        <v>5.75</v>
      </c>
      <c r="X2545" s="6">
        <v>5.75</v>
      </c>
      <c r="Y2545" s="4">
        <v>6</v>
      </c>
      <c r="Z2545" s="7">
        <v>6.1879999999999997</v>
      </c>
      <c r="AA2545" s="6">
        <v>5.74</v>
      </c>
      <c r="AB2545" s="7">
        <v>15.615</v>
      </c>
      <c r="AC2545" s="2"/>
    </row>
    <row r="2546" spans="1:29" ht="65" x14ac:dyDescent="0.15">
      <c r="A2546" s="3">
        <f>DATE(1996,6,24)</f>
        <v>35240</v>
      </c>
      <c r="B2546" s="3">
        <f>DATE(1996,12,5)</f>
        <v>35404</v>
      </c>
      <c r="C2546" s="2" t="s">
        <v>95</v>
      </c>
      <c r="D2546" s="2" t="s">
        <v>8163</v>
      </c>
      <c r="E2546" s="2" t="s">
        <v>8164</v>
      </c>
      <c r="F2546" s="4">
        <v>2844</v>
      </c>
      <c r="G2546" s="2" t="s">
        <v>358</v>
      </c>
      <c r="H2546" s="2" t="s">
        <v>34</v>
      </c>
      <c r="I2546" s="2" t="s">
        <v>8165</v>
      </c>
      <c r="J2546" s="2" t="s">
        <v>7259</v>
      </c>
      <c r="K2546" s="2" t="s">
        <v>358</v>
      </c>
      <c r="L2546" s="2" t="s">
        <v>34</v>
      </c>
      <c r="M2546" s="2"/>
      <c r="N2546" s="2"/>
      <c r="O2546" s="2"/>
      <c r="P2546" s="2" t="s">
        <v>8166</v>
      </c>
      <c r="Q2546" s="6">
        <v>100</v>
      </c>
      <c r="R2546" s="6">
        <v>7.5</v>
      </c>
      <c r="S2546" s="5">
        <v>-3</v>
      </c>
      <c r="T2546" s="7">
        <v>0.126</v>
      </c>
      <c r="U2546" s="5">
        <v>9.5</v>
      </c>
      <c r="V2546" s="6">
        <v>-1.1599999999999999</v>
      </c>
      <c r="W2546" s="4">
        <v>4</v>
      </c>
      <c r="X2546" s="7">
        <v>6.625</v>
      </c>
      <c r="Y2546" s="6">
        <v>6.75</v>
      </c>
      <c r="Z2546" s="7">
        <v>6.625</v>
      </c>
      <c r="AA2546" s="6">
        <v>2.6</v>
      </c>
      <c r="AB2546" s="2" t="s">
        <v>86</v>
      </c>
      <c r="AC2546" s="2"/>
    </row>
    <row r="2547" spans="1:29" ht="91" x14ac:dyDescent="0.15">
      <c r="A2547" s="3">
        <f>DATE(1996,6,24)</f>
        <v>35240</v>
      </c>
      <c r="B2547" s="3">
        <f>DATE(1996,9,3)</f>
        <v>35311</v>
      </c>
      <c r="C2547" s="2" t="s">
        <v>95</v>
      </c>
      <c r="D2547" s="2" t="s">
        <v>8167</v>
      </c>
      <c r="E2547" s="2" t="s">
        <v>3231</v>
      </c>
      <c r="F2547" s="4">
        <v>4953</v>
      </c>
      <c r="G2547" s="2" t="s">
        <v>116</v>
      </c>
      <c r="H2547" s="2" t="s">
        <v>34</v>
      </c>
      <c r="I2547" s="2" t="s">
        <v>5555</v>
      </c>
      <c r="J2547" s="2" t="s">
        <v>5556</v>
      </c>
      <c r="K2547" s="2" t="s">
        <v>116</v>
      </c>
      <c r="L2547" s="2" t="s">
        <v>34</v>
      </c>
      <c r="M2547" s="12">
        <v>2955.2310000000002</v>
      </c>
      <c r="N2547" s="7">
        <v>28.875</v>
      </c>
      <c r="O2547" s="4">
        <v>29</v>
      </c>
      <c r="P2547" s="2" t="s">
        <v>8168</v>
      </c>
      <c r="Q2547" s="6">
        <v>100</v>
      </c>
      <c r="R2547" s="6">
        <v>47.39</v>
      </c>
      <c r="S2547" s="5">
        <v>30.7</v>
      </c>
      <c r="T2547" s="7">
        <v>102.566</v>
      </c>
      <c r="U2547" s="5">
        <v>15.1</v>
      </c>
      <c r="V2547" s="7">
        <v>1.4490000000000001</v>
      </c>
      <c r="W2547" s="7">
        <v>45.625</v>
      </c>
      <c r="X2547" s="7">
        <v>47.875</v>
      </c>
      <c r="Y2547" s="5">
        <v>47.5</v>
      </c>
      <c r="Z2547" s="7">
        <v>47.938000000000002</v>
      </c>
      <c r="AA2547" s="6">
        <v>25.03</v>
      </c>
      <c r="AB2547" s="7">
        <v>25.74</v>
      </c>
      <c r="AC2547" s="6">
        <v>13.16</v>
      </c>
    </row>
    <row r="2548" spans="1:29" ht="78" x14ac:dyDescent="0.15">
      <c r="A2548" s="3">
        <f>DATE(1996,6,24)</f>
        <v>35240</v>
      </c>
      <c r="B2548" s="3">
        <f>DATE(1996,11,1)</f>
        <v>35370</v>
      </c>
      <c r="C2548" s="2" t="s">
        <v>95</v>
      </c>
      <c r="D2548" s="2" t="s">
        <v>7738</v>
      </c>
      <c r="E2548" s="2" t="s">
        <v>1181</v>
      </c>
      <c r="F2548" s="4">
        <v>6022</v>
      </c>
      <c r="G2548" s="2" t="s">
        <v>37</v>
      </c>
      <c r="H2548" s="2" t="s">
        <v>34</v>
      </c>
      <c r="I2548" s="2" t="s">
        <v>8169</v>
      </c>
      <c r="J2548" s="2" t="s">
        <v>36</v>
      </c>
      <c r="K2548" s="2" t="s">
        <v>37</v>
      </c>
      <c r="L2548" s="2" t="s">
        <v>34</v>
      </c>
      <c r="M2548" s="2"/>
      <c r="N2548" s="4">
        <v>10</v>
      </c>
      <c r="O2548" s="4">
        <v>10</v>
      </c>
      <c r="P2548" s="2" t="s">
        <v>8170</v>
      </c>
      <c r="Q2548" s="6">
        <v>100</v>
      </c>
      <c r="R2548" s="6">
        <v>4</v>
      </c>
      <c r="S2548" s="5">
        <v>-0.6</v>
      </c>
      <c r="T2548" s="7">
        <v>9.6000000000000002E-2</v>
      </c>
      <c r="U2548" s="5">
        <v>4.2</v>
      </c>
      <c r="V2548" s="7">
        <v>-0.14799999999999999</v>
      </c>
      <c r="W2548" s="7">
        <v>2.625</v>
      </c>
      <c r="X2548" s="7">
        <v>2.875</v>
      </c>
      <c r="Y2548" s="7">
        <v>2.625</v>
      </c>
      <c r="Z2548" s="5">
        <v>3.5</v>
      </c>
      <c r="AA2548" s="6">
        <v>4.53</v>
      </c>
      <c r="AB2548" s="2" t="s">
        <v>86</v>
      </c>
      <c r="AC2548" s="2"/>
    </row>
    <row r="2549" spans="1:29" ht="169" x14ac:dyDescent="0.15">
      <c r="A2549" s="3">
        <f>DATE(1996,6,25)</f>
        <v>35241</v>
      </c>
      <c r="B2549" s="3">
        <f>DATE(1997,2,18)</f>
        <v>35479</v>
      </c>
      <c r="C2549" s="2" t="s">
        <v>95</v>
      </c>
      <c r="D2549" s="2" t="s">
        <v>8171</v>
      </c>
      <c r="E2549" s="2" t="s">
        <v>8172</v>
      </c>
      <c r="F2549" s="4">
        <v>6036</v>
      </c>
      <c r="G2549" s="2" t="s">
        <v>33</v>
      </c>
      <c r="H2549" s="2" t="s">
        <v>34</v>
      </c>
      <c r="I2549" s="2" t="s">
        <v>1745</v>
      </c>
      <c r="J2549" s="2" t="s">
        <v>1746</v>
      </c>
      <c r="K2549" s="2" t="s">
        <v>33</v>
      </c>
      <c r="L2549" s="2" t="s">
        <v>34</v>
      </c>
      <c r="M2549" s="7">
        <v>489.78800000000001</v>
      </c>
      <c r="N2549" s="7">
        <v>10.063000000000001</v>
      </c>
      <c r="O2549" s="4">
        <v>10</v>
      </c>
      <c r="P2549" s="2" t="s">
        <v>8173</v>
      </c>
      <c r="Q2549" s="6">
        <v>100</v>
      </c>
      <c r="R2549" s="6">
        <v>12.48</v>
      </c>
      <c r="S2549" s="5">
        <v>3.9</v>
      </c>
      <c r="T2549" s="7">
        <v>5.8209999999999997</v>
      </c>
      <c r="U2549" s="5">
        <v>11</v>
      </c>
      <c r="V2549" s="7">
        <v>0.96299999999999997</v>
      </c>
      <c r="W2549" s="4">
        <v>10</v>
      </c>
      <c r="X2549" s="4">
        <v>10</v>
      </c>
      <c r="Y2549" s="7">
        <v>13.188000000000001</v>
      </c>
      <c r="Z2549" s="7">
        <v>13.125</v>
      </c>
      <c r="AA2549" s="6">
        <v>3.93</v>
      </c>
      <c r="AB2549" s="7">
        <v>122.03</v>
      </c>
      <c r="AC2549" s="2"/>
    </row>
    <row r="2550" spans="1:29" ht="247" x14ac:dyDescent="0.15">
      <c r="A2550" s="3">
        <f>DATE(1996,6,25)</f>
        <v>35241</v>
      </c>
      <c r="B2550" s="3">
        <f>DATE(1996,12,18)</f>
        <v>35417</v>
      </c>
      <c r="C2550" s="2" t="s">
        <v>95</v>
      </c>
      <c r="D2550" s="2" t="s">
        <v>8174</v>
      </c>
      <c r="E2550" s="2" t="s">
        <v>36</v>
      </c>
      <c r="F2550" s="4">
        <v>6021</v>
      </c>
      <c r="G2550" s="2" t="s">
        <v>37</v>
      </c>
      <c r="H2550" s="2" t="s">
        <v>34</v>
      </c>
      <c r="I2550" s="2" t="s">
        <v>8175</v>
      </c>
      <c r="J2550" s="2" t="s">
        <v>2337</v>
      </c>
      <c r="K2550" s="2" t="s">
        <v>37</v>
      </c>
      <c r="L2550" s="2" t="s">
        <v>34</v>
      </c>
      <c r="M2550" s="12">
        <v>2619.0479999999998</v>
      </c>
      <c r="N2550" s="6">
        <v>24.25</v>
      </c>
      <c r="O2550" s="5">
        <v>23.5</v>
      </c>
      <c r="P2550" s="2" t="s">
        <v>8176</v>
      </c>
      <c r="Q2550" s="6">
        <v>100</v>
      </c>
      <c r="R2550" s="6">
        <v>30.28</v>
      </c>
      <c r="S2550" s="5">
        <v>7.4</v>
      </c>
      <c r="T2550" s="7">
        <v>13.835000000000001</v>
      </c>
      <c r="U2550" s="5">
        <v>13.5</v>
      </c>
      <c r="V2550" s="6">
        <v>2.12</v>
      </c>
      <c r="W2550" s="4">
        <v>23</v>
      </c>
      <c r="X2550" s="5">
        <v>23.5</v>
      </c>
      <c r="Y2550" s="4">
        <v>25</v>
      </c>
      <c r="Z2550" s="7">
        <v>27.125</v>
      </c>
      <c r="AA2550" s="6">
        <v>3.74</v>
      </c>
      <c r="AB2550" s="7">
        <v>39.216999999999999</v>
      </c>
      <c r="AC2550" s="2"/>
    </row>
    <row r="2551" spans="1:29" ht="39" x14ac:dyDescent="0.15">
      <c r="A2551" s="3">
        <f>DATE(1996,6,26)</f>
        <v>35242</v>
      </c>
      <c r="B2551" s="2"/>
      <c r="C2551" s="2" t="s">
        <v>30</v>
      </c>
      <c r="D2551" s="2" t="s">
        <v>8177</v>
      </c>
      <c r="E2551" s="2" t="s">
        <v>8178</v>
      </c>
      <c r="F2551" s="4">
        <v>3675</v>
      </c>
      <c r="G2551" s="2" t="s">
        <v>137</v>
      </c>
      <c r="H2551" s="2" t="s">
        <v>34</v>
      </c>
      <c r="I2551" s="2" t="s">
        <v>8179</v>
      </c>
      <c r="J2551" s="2" t="s">
        <v>207</v>
      </c>
      <c r="K2551" s="2" t="s">
        <v>137</v>
      </c>
      <c r="L2551" s="2" t="s">
        <v>34</v>
      </c>
      <c r="M2551" s="12">
        <v>1605.8109999999999</v>
      </c>
      <c r="N2551" s="7">
        <v>21.375</v>
      </c>
      <c r="O2551" s="7">
        <v>21.625</v>
      </c>
      <c r="P2551" s="2" t="s">
        <v>8180</v>
      </c>
      <c r="Q2551" s="2"/>
      <c r="R2551" s="6">
        <v>22</v>
      </c>
      <c r="S2551" s="5">
        <v>65.2</v>
      </c>
      <c r="T2551" s="7">
        <v>158.316</v>
      </c>
      <c r="U2551" s="5">
        <v>8.1999999999999993</v>
      </c>
      <c r="V2551" s="7">
        <v>2.5049999999999999</v>
      </c>
      <c r="W2551" s="6">
        <v>16.25</v>
      </c>
      <c r="X2551" s="7">
        <v>16.875</v>
      </c>
      <c r="Y2551" s="4">
        <v>19</v>
      </c>
      <c r="Z2551" s="4">
        <v>20</v>
      </c>
      <c r="AA2551" s="6">
        <v>38.6</v>
      </c>
      <c r="AB2551" s="7">
        <v>5.3659999999999997</v>
      </c>
      <c r="AC2551" s="6">
        <v>19.579999999999998</v>
      </c>
    </row>
    <row r="2552" spans="1:29" ht="78" x14ac:dyDescent="0.15">
      <c r="A2552" s="3">
        <f>DATE(1996,6,27)</f>
        <v>35243</v>
      </c>
      <c r="B2552" s="3">
        <f>DATE(1997,2,21)</f>
        <v>35482</v>
      </c>
      <c r="C2552" s="2" t="s">
        <v>95</v>
      </c>
      <c r="D2552" s="2" t="s">
        <v>8181</v>
      </c>
      <c r="E2552" s="2" t="s">
        <v>32</v>
      </c>
      <c r="F2552" s="4">
        <v>6035</v>
      </c>
      <c r="G2552" s="2" t="s">
        <v>33</v>
      </c>
      <c r="H2552" s="2" t="s">
        <v>34</v>
      </c>
      <c r="I2552" s="2" t="s">
        <v>8182</v>
      </c>
      <c r="J2552" s="2" t="s">
        <v>389</v>
      </c>
      <c r="K2552" s="2" t="s">
        <v>33</v>
      </c>
      <c r="L2552" s="2" t="s">
        <v>34</v>
      </c>
      <c r="M2552" s="5">
        <v>146.1</v>
      </c>
      <c r="N2552" s="6">
        <v>11.25</v>
      </c>
      <c r="O2552" s="6">
        <v>11.25</v>
      </c>
      <c r="P2552" s="2" t="s">
        <v>8183</v>
      </c>
      <c r="Q2552" s="6">
        <v>100</v>
      </c>
      <c r="R2552" s="6">
        <v>16</v>
      </c>
      <c r="S2552" s="5">
        <v>0.7</v>
      </c>
      <c r="T2552" s="7">
        <v>82.093999999999994</v>
      </c>
      <c r="U2552" s="5">
        <v>14.1</v>
      </c>
      <c r="V2552" s="6">
        <v>0.6</v>
      </c>
      <c r="W2552" s="7">
        <v>14.125</v>
      </c>
      <c r="X2552" s="7">
        <v>14.125</v>
      </c>
      <c r="Y2552" s="6">
        <v>15.25</v>
      </c>
      <c r="Z2552" s="4">
        <v>15</v>
      </c>
      <c r="AA2552" s="6">
        <v>1.1200000000000001</v>
      </c>
      <c r="AB2552" s="7">
        <v>51.832999999999998</v>
      </c>
      <c r="AC2552" s="2"/>
    </row>
    <row r="2553" spans="1:29" ht="104" x14ac:dyDescent="0.15">
      <c r="A2553" s="3">
        <f>DATE(1996,6,28)</f>
        <v>35244</v>
      </c>
      <c r="B2553" s="3">
        <f>DATE(1996,10,2)</f>
        <v>35340</v>
      </c>
      <c r="C2553" s="2" t="s">
        <v>95</v>
      </c>
      <c r="D2553" s="2" t="s">
        <v>8184</v>
      </c>
      <c r="E2553" s="2" t="s">
        <v>1561</v>
      </c>
      <c r="F2553" s="4">
        <v>6311</v>
      </c>
      <c r="G2553" s="2" t="s">
        <v>125</v>
      </c>
      <c r="H2553" s="2" t="s">
        <v>34</v>
      </c>
      <c r="I2553" s="2" t="s">
        <v>8185</v>
      </c>
      <c r="J2553" s="2" t="s">
        <v>6853</v>
      </c>
      <c r="K2553" s="2" t="s">
        <v>125</v>
      </c>
      <c r="L2553" s="2" t="s">
        <v>34</v>
      </c>
      <c r="M2553" s="12">
        <v>11741.699000000001</v>
      </c>
      <c r="N2553" s="6">
        <v>152.25</v>
      </c>
      <c r="O2553" s="5">
        <v>154.5</v>
      </c>
      <c r="P2553" s="2" t="s">
        <v>8186</v>
      </c>
      <c r="Q2553" s="6">
        <v>100</v>
      </c>
      <c r="R2553" s="6">
        <v>53</v>
      </c>
      <c r="S2553" s="5">
        <v>51.7</v>
      </c>
      <c r="T2553" s="7">
        <v>93.138000000000005</v>
      </c>
      <c r="U2553" s="5">
        <v>22.3</v>
      </c>
      <c r="V2553" s="7">
        <v>3.0680000000000001</v>
      </c>
      <c r="W2553" s="4">
        <v>32</v>
      </c>
      <c r="X2553" s="5">
        <v>36.5</v>
      </c>
      <c r="Y2553" s="6">
        <v>37.75</v>
      </c>
      <c r="Z2553" s="7">
        <v>51.375</v>
      </c>
      <c r="AA2553" s="6">
        <v>16.68</v>
      </c>
      <c r="AB2553" s="7">
        <v>13.384</v>
      </c>
      <c r="AC2553" s="2"/>
    </row>
    <row r="2554" spans="1:29" ht="91" x14ac:dyDescent="0.15">
      <c r="A2554" s="3">
        <f>DATE(1996,6,28)</f>
        <v>35244</v>
      </c>
      <c r="B2554" s="2"/>
      <c r="C2554" s="2" t="s">
        <v>30</v>
      </c>
      <c r="D2554" s="2" t="s">
        <v>7902</v>
      </c>
      <c r="E2554" s="2" t="s">
        <v>2588</v>
      </c>
      <c r="F2554" s="4">
        <v>6513</v>
      </c>
      <c r="G2554" s="2" t="s">
        <v>109</v>
      </c>
      <c r="H2554" s="2" t="s">
        <v>34</v>
      </c>
      <c r="I2554" s="2" t="s">
        <v>138</v>
      </c>
      <c r="J2554" s="2" t="s">
        <v>139</v>
      </c>
      <c r="K2554" s="2" t="s">
        <v>53</v>
      </c>
      <c r="L2554" s="2" t="s">
        <v>139</v>
      </c>
      <c r="M2554" s="2"/>
      <c r="N2554" s="2"/>
      <c r="O2554" s="2"/>
      <c r="P2554" s="2" t="s">
        <v>8187</v>
      </c>
      <c r="Q2554" s="2"/>
      <c r="R2554" s="6">
        <v>5</v>
      </c>
      <c r="S2554" s="5">
        <v>-2.5</v>
      </c>
      <c r="T2554" s="7">
        <v>3.3639999999999999</v>
      </c>
      <c r="U2554" s="5">
        <v>-2.4</v>
      </c>
      <c r="V2554" s="6">
        <v>-0.6</v>
      </c>
      <c r="W2554" s="6">
        <v>3.75</v>
      </c>
      <c r="X2554" s="4">
        <v>4</v>
      </c>
      <c r="Y2554" s="7">
        <v>4.125</v>
      </c>
      <c r="Z2554" s="6">
        <v>4.25</v>
      </c>
      <c r="AA2554" s="6">
        <v>3.89</v>
      </c>
      <c r="AB2554" s="7">
        <v>908.13499999999999</v>
      </c>
      <c r="AC2554" s="2"/>
    </row>
    <row r="2555" spans="1:29" ht="78" x14ac:dyDescent="0.15">
      <c r="A2555" s="3">
        <f>DATE(1996,6,28)</f>
        <v>35244</v>
      </c>
      <c r="B2555" s="2"/>
      <c r="C2555" s="2" t="s">
        <v>30</v>
      </c>
      <c r="D2555" s="2" t="s">
        <v>4581</v>
      </c>
      <c r="E2555" s="2" t="s">
        <v>4582</v>
      </c>
      <c r="F2555" s="4">
        <v>5912</v>
      </c>
      <c r="G2555" s="2" t="s">
        <v>73</v>
      </c>
      <c r="H2555" s="2" t="s">
        <v>34</v>
      </c>
      <c r="I2555" s="2" t="s">
        <v>51</v>
      </c>
      <c r="J2555" s="2" t="s">
        <v>52</v>
      </c>
      <c r="K2555" s="2" t="s">
        <v>53</v>
      </c>
      <c r="L2555" s="2" t="s">
        <v>34</v>
      </c>
      <c r="M2555" s="2"/>
      <c r="N2555" s="2"/>
      <c r="O2555" s="2"/>
      <c r="P2555" s="2" t="s">
        <v>8188</v>
      </c>
      <c r="Q2555" s="2"/>
      <c r="R2555" s="6">
        <v>6</v>
      </c>
      <c r="S2555" s="5">
        <v>2</v>
      </c>
      <c r="T2555" s="7">
        <v>7.2539999999999996</v>
      </c>
      <c r="U2555" s="5">
        <v>6.8</v>
      </c>
      <c r="V2555" s="7">
        <v>0.28299999999999997</v>
      </c>
      <c r="W2555" s="4">
        <v>5</v>
      </c>
      <c r="X2555" s="5">
        <v>4.5</v>
      </c>
      <c r="Y2555" s="7">
        <v>4.625</v>
      </c>
      <c r="Z2555" s="7">
        <v>4.875</v>
      </c>
      <c r="AA2555" s="6">
        <v>6.71</v>
      </c>
      <c r="AB2555" s="7">
        <v>17.222000000000001</v>
      </c>
      <c r="AC2555" s="2"/>
    </row>
    <row r="2556" spans="1:29" ht="104" x14ac:dyDescent="0.15">
      <c r="A2556" s="3">
        <f>DATE(1996,6,28)</f>
        <v>35244</v>
      </c>
      <c r="B2556" s="3">
        <f>DATE(1996,9,27)</f>
        <v>35335</v>
      </c>
      <c r="C2556" s="2" t="s">
        <v>95</v>
      </c>
      <c r="D2556" s="2" t="s">
        <v>5446</v>
      </c>
      <c r="E2556" s="2" t="s">
        <v>5447</v>
      </c>
      <c r="F2556" s="4">
        <v>5084</v>
      </c>
      <c r="G2556" s="2" t="s">
        <v>76</v>
      </c>
      <c r="H2556" s="2" t="s">
        <v>34</v>
      </c>
      <c r="I2556" s="2" t="s">
        <v>51</v>
      </c>
      <c r="J2556" s="2" t="s">
        <v>52</v>
      </c>
      <c r="K2556" s="2" t="s">
        <v>53</v>
      </c>
      <c r="L2556" s="2" t="s">
        <v>34</v>
      </c>
      <c r="M2556" s="2"/>
      <c r="N2556" s="2"/>
      <c r="O2556" s="2"/>
      <c r="P2556" s="2" t="s">
        <v>8189</v>
      </c>
      <c r="Q2556" s="6">
        <v>100</v>
      </c>
      <c r="R2556" s="6">
        <v>25</v>
      </c>
      <c r="S2556" s="5">
        <v>2.9</v>
      </c>
      <c r="T2556" s="7">
        <v>7.149</v>
      </c>
      <c r="U2556" s="5">
        <v>20.9</v>
      </c>
      <c r="V2556" s="6">
        <v>1.56</v>
      </c>
      <c r="W2556" s="4">
        <v>23</v>
      </c>
      <c r="X2556" s="5">
        <v>23.5</v>
      </c>
      <c r="Y2556" s="5">
        <v>24.5</v>
      </c>
      <c r="Z2556" s="5">
        <v>24.5</v>
      </c>
      <c r="AA2556" s="6">
        <v>1.86</v>
      </c>
      <c r="AB2556" s="7">
        <v>5.1680000000000001</v>
      </c>
      <c r="AC2556" s="2"/>
    </row>
    <row r="2557" spans="1:29" ht="39" x14ac:dyDescent="0.15">
      <c r="A2557" s="3">
        <f>DATE(1996,7,1)</f>
        <v>35247</v>
      </c>
      <c r="B2557" s="3">
        <f>DATE(1996,9,25)</f>
        <v>35333</v>
      </c>
      <c r="C2557" s="2" t="s">
        <v>95</v>
      </c>
      <c r="D2557" s="2" t="s">
        <v>8190</v>
      </c>
      <c r="E2557" s="2" t="s">
        <v>4865</v>
      </c>
      <c r="F2557" s="4">
        <v>3674</v>
      </c>
      <c r="G2557" s="2" t="s">
        <v>137</v>
      </c>
      <c r="H2557" s="2" t="s">
        <v>34</v>
      </c>
      <c r="I2557" s="2" t="s">
        <v>5386</v>
      </c>
      <c r="J2557" s="2" t="s">
        <v>5387</v>
      </c>
      <c r="K2557" s="2" t="s">
        <v>219</v>
      </c>
      <c r="L2557" s="2" t="s">
        <v>34</v>
      </c>
      <c r="M2557" s="2"/>
      <c r="N2557" s="6">
        <v>56.75</v>
      </c>
      <c r="O2557" s="5">
        <v>55.5</v>
      </c>
      <c r="P2557" s="2" t="s">
        <v>8191</v>
      </c>
      <c r="Q2557" s="6">
        <v>100</v>
      </c>
      <c r="R2557" s="6">
        <v>15</v>
      </c>
      <c r="S2557" s="5">
        <v>12.5</v>
      </c>
      <c r="T2557" s="7">
        <v>22.094999999999999</v>
      </c>
      <c r="U2557" s="5">
        <v>8.6</v>
      </c>
      <c r="V2557" s="6">
        <v>0.72</v>
      </c>
      <c r="W2557" s="7">
        <v>9.125</v>
      </c>
      <c r="X2557" s="5">
        <v>10.5</v>
      </c>
      <c r="Y2557" s="6">
        <v>14.25</v>
      </c>
      <c r="Z2557" s="7">
        <v>14.375</v>
      </c>
      <c r="AA2557" s="6">
        <v>16.87</v>
      </c>
      <c r="AB2557" s="7">
        <v>27.434999999999999</v>
      </c>
      <c r="AC2557" s="5">
        <v>665</v>
      </c>
    </row>
    <row r="2558" spans="1:29" ht="65" x14ac:dyDescent="0.15">
      <c r="A2558" s="3">
        <f>DATE(1996,7,1)</f>
        <v>35247</v>
      </c>
      <c r="B2558" s="2"/>
      <c r="C2558" s="2" t="s">
        <v>7330</v>
      </c>
      <c r="D2558" s="2" t="s">
        <v>8192</v>
      </c>
      <c r="E2558" s="2" t="s">
        <v>36</v>
      </c>
      <c r="F2558" s="4">
        <v>6021</v>
      </c>
      <c r="G2558" s="2" t="s">
        <v>37</v>
      </c>
      <c r="H2558" s="2" t="s">
        <v>34</v>
      </c>
      <c r="I2558" s="2" t="s">
        <v>489</v>
      </c>
      <c r="J2558" s="2" t="s">
        <v>490</v>
      </c>
      <c r="K2558" s="2" t="s">
        <v>37</v>
      </c>
      <c r="L2558" s="2" t="s">
        <v>34</v>
      </c>
      <c r="M2558" s="7">
        <v>593.25300000000004</v>
      </c>
      <c r="N2558" s="7">
        <v>26.875</v>
      </c>
      <c r="O2558" s="6">
        <v>27.25</v>
      </c>
      <c r="P2558" s="2" t="s">
        <v>8193</v>
      </c>
      <c r="Q2558" s="2"/>
      <c r="R2558" s="2"/>
      <c r="S2558" s="5">
        <v>8.5</v>
      </c>
      <c r="T2558" s="7">
        <v>16.699000000000002</v>
      </c>
      <c r="U2558" s="5">
        <v>10.9</v>
      </c>
      <c r="V2558" s="7">
        <v>0.94499999999999995</v>
      </c>
      <c r="W2558" s="7">
        <v>27.625</v>
      </c>
      <c r="X2558" s="7">
        <v>28.125</v>
      </c>
      <c r="Y2558" s="6">
        <v>28.75</v>
      </c>
      <c r="Z2558" s="7">
        <v>28.125</v>
      </c>
      <c r="AA2558" s="6">
        <v>4.29</v>
      </c>
      <c r="AB2558" s="2" t="s">
        <v>47</v>
      </c>
      <c r="AC2558" s="2"/>
    </row>
    <row r="2559" spans="1:29" ht="143" x14ac:dyDescent="0.15">
      <c r="A2559" s="3">
        <f>DATE(1996,7,1)</f>
        <v>35247</v>
      </c>
      <c r="B2559" s="3">
        <f>DATE(1996,10,16)</f>
        <v>35354</v>
      </c>
      <c r="C2559" s="2" t="s">
        <v>95</v>
      </c>
      <c r="D2559" s="2" t="s">
        <v>8194</v>
      </c>
      <c r="E2559" s="2" t="s">
        <v>8195</v>
      </c>
      <c r="F2559" s="4">
        <v>3674</v>
      </c>
      <c r="G2559" s="2" t="s">
        <v>137</v>
      </c>
      <c r="H2559" s="2" t="s">
        <v>34</v>
      </c>
      <c r="I2559" s="2" t="s">
        <v>4651</v>
      </c>
      <c r="J2559" s="2" t="s">
        <v>4652</v>
      </c>
      <c r="K2559" s="2" t="s">
        <v>163</v>
      </c>
      <c r="L2559" s="2" t="s">
        <v>34</v>
      </c>
      <c r="M2559" s="12">
        <v>1266.846</v>
      </c>
      <c r="N2559" s="7">
        <v>40.875</v>
      </c>
      <c r="O2559" s="4">
        <v>41</v>
      </c>
      <c r="P2559" s="2" t="s">
        <v>8196</v>
      </c>
      <c r="Q2559" s="6">
        <v>100</v>
      </c>
      <c r="R2559" s="6">
        <v>4.1500000000000004</v>
      </c>
      <c r="S2559" s="5">
        <v>5.6</v>
      </c>
      <c r="T2559" s="7">
        <v>11.098000000000001</v>
      </c>
      <c r="U2559" s="5">
        <v>3.3</v>
      </c>
      <c r="V2559" s="7">
        <v>0.68200000000000005</v>
      </c>
      <c r="W2559" s="6">
        <v>27.75</v>
      </c>
      <c r="X2559" s="4">
        <v>14</v>
      </c>
      <c r="Y2559" s="4">
        <v>15</v>
      </c>
      <c r="Z2559" s="6">
        <v>16.25</v>
      </c>
      <c r="AA2559" s="6">
        <v>7.8</v>
      </c>
      <c r="AB2559" s="7">
        <v>5.2190000000000003</v>
      </c>
      <c r="AC2559" s="6">
        <v>5.48</v>
      </c>
    </row>
    <row r="2560" spans="1:29" ht="117" x14ac:dyDescent="0.15">
      <c r="A2560" s="3">
        <f>DATE(1996,7,1)</f>
        <v>35247</v>
      </c>
      <c r="B2560" s="3">
        <f>DATE(1996,10,4)</f>
        <v>35342</v>
      </c>
      <c r="C2560" s="2" t="s">
        <v>95</v>
      </c>
      <c r="D2560" s="2" t="s">
        <v>8197</v>
      </c>
      <c r="E2560" s="2" t="s">
        <v>8198</v>
      </c>
      <c r="F2560" s="4">
        <v>7373</v>
      </c>
      <c r="G2560" s="2" t="s">
        <v>223</v>
      </c>
      <c r="H2560" s="2" t="s">
        <v>34</v>
      </c>
      <c r="I2560" s="2" t="s">
        <v>8199</v>
      </c>
      <c r="J2560" s="2" t="s">
        <v>8200</v>
      </c>
      <c r="K2560" s="2" t="s">
        <v>148</v>
      </c>
      <c r="L2560" s="2" t="s">
        <v>34</v>
      </c>
      <c r="M2560" s="8">
        <v>6227.9</v>
      </c>
      <c r="N2560" s="7">
        <v>52.375</v>
      </c>
      <c r="O2560" s="6">
        <v>53.25</v>
      </c>
      <c r="P2560" s="2" t="s">
        <v>8201</v>
      </c>
      <c r="Q2560" s="6">
        <v>100</v>
      </c>
      <c r="R2560" s="6">
        <v>31.86</v>
      </c>
      <c r="S2560" s="5">
        <v>5.3</v>
      </c>
      <c r="T2560" s="7">
        <v>20.664000000000001</v>
      </c>
      <c r="U2560" s="5">
        <v>9.6</v>
      </c>
      <c r="V2560" s="7">
        <v>0.29899999999999999</v>
      </c>
      <c r="W2560" s="4">
        <v>18</v>
      </c>
      <c r="X2560" s="6">
        <v>19.25</v>
      </c>
      <c r="Y2560" s="6">
        <v>28.75</v>
      </c>
      <c r="Z2560" s="7">
        <v>29.375</v>
      </c>
      <c r="AA2560" s="6">
        <v>17.260000000000002</v>
      </c>
      <c r="AB2560" s="7">
        <v>134.55500000000001</v>
      </c>
      <c r="AC2560" s="5">
        <v>174.9</v>
      </c>
    </row>
    <row r="2561" spans="1:29" ht="65" x14ac:dyDescent="0.15">
      <c r="A2561" s="3">
        <f>DATE(1996,7,1)</f>
        <v>35247</v>
      </c>
      <c r="B2561" s="3">
        <f>DATE(1997,3,25)</f>
        <v>35514</v>
      </c>
      <c r="C2561" s="2" t="s">
        <v>95</v>
      </c>
      <c r="D2561" s="2" t="s">
        <v>6433</v>
      </c>
      <c r="E2561" s="2" t="s">
        <v>2862</v>
      </c>
      <c r="F2561" s="4">
        <v>4833</v>
      </c>
      <c r="G2561" s="2" t="s">
        <v>45</v>
      </c>
      <c r="H2561" s="2" t="s">
        <v>34</v>
      </c>
      <c r="I2561" s="2" t="s">
        <v>8202</v>
      </c>
      <c r="J2561" s="2" t="s">
        <v>4673</v>
      </c>
      <c r="K2561" s="2" t="s">
        <v>186</v>
      </c>
      <c r="L2561" s="2" t="s">
        <v>34</v>
      </c>
      <c r="M2561" s="12">
        <v>4532.1570000000002</v>
      </c>
      <c r="N2561" s="7">
        <v>73.625</v>
      </c>
      <c r="O2561" s="7">
        <v>73.875</v>
      </c>
      <c r="P2561" s="2" t="s">
        <v>8203</v>
      </c>
      <c r="Q2561" s="6">
        <v>100</v>
      </c>
      <c r="R2561" s="6">
        <v>36</v>
      </c>
      <c r="S2561" s="5">
        <v>30.4</v>
      </c>
      <c r="T2561" s="7">
        <v>113.29900000000001</v>
      </c>
      <c r="U2561" s="5">
        <v>6.1</v>
      </c>
      <c r="V2561" s="7">
        <v>0.98199999999999998</v>
      </c>
      <c r="W2561" s="6">
        <v>30.25</v>
      </c>
      <c r="X2561" s="6">
        <v>32.25</v>
      </c>
      <c r="Y2561" s="7">
        <v>33.875</v>
      </c>
      <c r="Z2561" s="4">
        <v>34</v>
      </c>
      <c r="AA2561" s="6">
        <v>30.04</v>
      </c>
      <c r="AB2561" s="7">
        <v>20.811</v>
      </c>
      <c r="AC2561" s="5">
        <v>22.9</v>
      </c>
    </row>
    <row r="2562" spans="1:29" ht="78" x14ac:dyDescent="0.15">
      <c r="A2562" s="3">
        <f>DATE(1996,7,2)</f>
        <v>35248</v>
      </c>
      <c r="B2562" s="3">
        <f>DATE(1996,8,8)</f>
        <v>35285</v>
      </c>
      <c r="C2562" s="2" t="s">
        <v>95</v>
      </c>
      <c r="D2562" s="2" t="s">
        <v>8204</v>
      </c>
      <c r="E2562" s="2" t="s">
        <v>5246</v>
      </c>
      <c r="F2562" s="4">
        <v>1389</v>
      </c>
      <c r="G2562" s="2" t="s">
        <v>148</v>
      </c>
      <c r="H2562" s="2" t="s">
        <v>34</v>
      </c>
      <c r="I2562" s="2" t="s">
        <v>8205</v>
      </c>
      <c r="J2562" s="2" t="s">
        <v>80</v>
      </c>
      <c r="K2562" s="2" t="s">
        <v>53</v>
      </c>
      <c r="L2562" s="2" t="s">
        <v>34</v>
      </c>
      <c r="M2562" s="2"/>
      <c r="N2562" s="2"/>
      <c r="O2562" s="2"/>
      <c r="P2562" s="2" t="s">
        <v>8206</v>
      </c>
      <c r="Q2562" s="6">
        <v>100</v>
      </c>
      <c r="R2562" s="6">
        <v>18</v>
      </c>
      <c r="S2562" s="5">
        <v>-0.7</v>
      </c>
      <c r="T2562" s="7">
        <v>1.6930000000000001</v>
      </c>
      <c r="U2562" s="5">
        <v>4</v>
      </c>
      <c r="V2562" s="6">
        <v>-0.18</v>
      </c>
      <c r="W2562" s="7">
        <v>15.375</v>
      </c>
      <c r="X2562" s="5">
        <v>14.5</v>
      </c>
      <c r="Y2562" s="7">
        <v>17.687999999999999</v>
      </c>
      <c r="Z2562" s="4">
        <v>18</v>
      </c>
      <c r="AA2562" s="6">
        <v>3.82</v>
      </c>
      <c r="AB2562" s="2" t="s">
        <v>86</v>
      </c>
      <c r="AC2562" s="2"/>
    </row>
    <row r="2563" spans="1:29" ht="78" x14ac:dyDescent="0.15">
      <c r="A2563" s="3">
        <f>DATE(1996,7,3)</f>
        <v>35249</v>
      </c>
      <c r="B2563" s="3">
        <f>DATE(1997,9,5)</f>
        <v>35678</v>
      </c>
      <c r="C2563" s="2" t="s">
        <v>95</v>
      </c>
      <c r="D2563" s="2" t="s">
        <v>8207</v>
      </c>
      <c r="E2563" s="2" t="s">
        <v>8208</v>
      </c>
      <c r="F2563" s="4">
        <v>2015</v>
      </c>
      <c r="G2563" s="2" t="s">
        <v>577</v>
      </c>
      <c r="H2563" s="2" t="s">
        <v>34</v>
      </c>
      <c r="I2563" s="2" t="s">
        <v>8209</v>
      </c>
      <c r="J2563" s="2" t="s">
        <v>8210</v>
      </c>
      <c r="K2563" s="2" t="s">
        <v>577</v>
      </c>
      <c r="L2563" s="2" t="s">
        <v>34</v>
      </c>
      <c r="M2563" s="2"/>
      <c r="N2563" s="2"/>
      <c r="O2563" s="2"/>
      <c r="P2563" s="2" t="s">
        <v>8211</v>
      </c>
      <c r="Q2563" s="6">
        <v>25</v>
      </c>
      <c r="R2563" s="6">
        <v>14.25</v>
      </c>
      <c r="S2563" s="5">
        <v>16</v>
      </c>
      <c r="T2563" s="7">
        <v>42.552999999999997</v>
      </c>
      <c r="U2563" s="5">
        <v>7.2</v>
      </c>
      <c r="V2563" s="6">
        <v>1.1000000000000001</v>
      </c>
      <c r="W2563" s="5">
        <v>9.5</v>
      </c>
      <c r="X2563" s="7">
        <v>9.375</v>
      </c>
      <c r="Y2563" s="6">
        <v>9.75</v>
      </c>
      <c r="Z2563" s="6">
        <v>9.75</v>
      </c>
      <c r="AA2563" s="6">
        <v>14.62</v>
      </c>
      <c r="AB2563" s="7">
        <v>7.7510000000000003</v>
      </c>
      <c r="AC2563" s="2"/>
    </row>
    <row r="2564" spans="1:29" ht="130" x14ac:dyDescent="0.15">
      <c r="A2564" s="3">
        <f>DATE(1996,7,3)</f>
        <v>35249</v>
      </c>
      <c r="B2564" s="2"/>
      <c r="C2564" s="2" t="s">
        <v>30</v>
      </c>
      <c r="D2564" s="2" t="s">
        <v>8212</v>
      </c>
      <c r="E2564" s="2" t="s">
        <v>8213</v>
      </c>
      <c r="F2564" s="4">
        <v>3823</v>
      </c>
      <c r="G2564" s="2" t="s">
        <v>226</v>
      </c>
      <c r="H2564" s="2" t="s">
        <v>34</v>
      </c>
      <c r="I2564" s="2" t="s">
        <v>315</v>
      </c>
      <c r="J2564" s="2" t="s">
        <v>316</v>
      </c>
      <c r="K2564" s="2" t="s">
        <v>226</v>
      </c>
      <c r="L2564" s="2" t="s">
        <v>34</v>
      </c>
      <c r="M2564" s="12">
        <v>2361.9769999999999</v>
      </c>
      <c r="N2564" s="7">
        <v>41.625</v>
      </c>
      <c r="O2564" s="6">
        <v>40.75</v>
      </c>
      <c r="P2564" s="2" t="s">
        <v>8214</v>
      </c>
      <c r="Q2564" s="2"/>
      <c r="R2564" s="2"/>
      <c r="S2564" s="5">
        <v>2</v>
      </c>
      <c r="T2564" s="7">
        <v>7.1050000000000004</v>
      </c>
      <c r="U2564" s="5">
        <v>6</v>
      </c>
      <c r="V2564" s="7">
        <v>0.42299999999999999</v>
      </c>
      <c r="W2564" s="6">
        <v>8.75</v>
      </c>
      <c r="X2564" s="7">
        <v>9.875</v>
      </c>
      <c r="Y2564" s="7">
        <v>12.125</v>
      </c>
      <c r="Z2564" s="6">
        <v>13.25</v>
      </c>
      <c r="AA2564" s="6">
        <v>6.48</v>
      </c>
      <c r="AB2564" s="2" t="s">
        <v>47</v>
      </c>
      <c r="AC2564" s="6">
        <v>7.94</v>
      </c>
    </row>
    <row r="2565" spans="1:29" ht="130" x14ac:dyDescent="0.15">
      <c r="A2565" s="3">
        <f>DATE(1996,7,8)</f>
        <v>35254</v>
      </c>
      <c r="B2565" s="3">
        <f>DATE(1996,10,11)</f>
        <v>35349</v>
      </c>
      <c r="C2565" s="2" t="s">
        <v>95</v>
      </c>
      <c r="D2565" s="2" t="s">
        <v>8215</v>
      </c>
      <c r="E2565" s="2" t="s">
        <v>8216</v>
      </c>
      <c r="F2565" s="4">
        <v>5651</v>
      </c>
      <c r="G2565" s="2" t="s">
        <v>756</v>
      </c>
      <c r="H2565" s="2" t="s">
        <v>34</v>
      </c>
      <c r="I2565" s="2" t="s">
        <v>6989</v>
      </c>
      <c r="J2565" s="2" t="s">
        <v>5427</v>
      </c>
      <c r="K2565" s="2" t="s">
        <v>756</v>
      </c>
      <c r="L2565" s="2" t="s">
        <v>34</v>
      </c>
      <c r="M2565" s="7">
        <v>743.41800000000001</v>
      </c>
      <c r="N2565" s="5">
        <v>34.5</v>
      </c>
      <c r="O2565" s="7">
        <v>35.875</v>
      </c>
      <c r="P2565" s="2" t="s">
        <v>8217</v>
      </c>
      <c r="Q2565" s="6">
        <v>100</v>
      </c>
      <c r="R2565" s="2"/>
      <c r="S2565" s="5">
        <v>8.9</v>
      </c>
      <c r="T2565" s="7">
        <v>36.365000000000002</v>
      </c>
      <c r="U2565" s="5">
        <v>11.5</v>
      </c>
      <c r="V2565" s="6">
        <v>1.2</v>
      </c>
      <c r="W2565" s="5">
        <v>30.5</v>
      </c>
      <c r="X2565" s="5">
        <v>30.5</v>
      </c>
      <c r="Y2565" s="5">
        <v>30.5</v>
      </c>
      <c r="Z2565" s="5">
        <v>30.5</v>
      </c>
      <c r="AA2565" s="6">
        <v>7.36</v>
      </c>
      <c r="AB2565" s="7">
        <v>15.287000000000001</v>
      </c>
      <c r="AC2565" s="6">
        <v>26.16</v>
      </c>
    </row>
    <row r="2566" spans="1:29" ht="52" x14ac:dyDescent="0.15">
      <c r="A2566" s="3">
        <f>DATE(1996,7,11)</f>
        <v>35257</v>
      </c>
      <c r="B2566" s="3">
        <f>DATE(1996,10,11)</f>
        <v>35349</v>
      </c>
      <c r="C2566" s="2" t="s">
        <v>95</v>
      </c>
      <c r="D2566" s="2" t="s">
        <v>8218</v>
      </c>
      <c r="E2566" s="2" t="s">
        <v>4792</v>
      </c>
      <c r="F2566" s="4">
        <v>5912</v>
      </c>
      <c r="G2566" s="2" t="s">
        <v>73</v>
      </c>
      <c r="H2566" s="2" t="s">
        <v>34</v>
      </c>
      <c r="I2566" s="2" t="s">
        <v>8219</v>
      </c>
      <c r="J2566" s="2" t="s">
        <v>4792</v>
      </c>
      <c r="K2566" s="2" t="s">
        <v>73</v>
      </c>
      <c r="L2566" s="2" t="s">
        <v>34</v>
      </c>
      <c r="M2566" s="2"/>
      <c r="N2566" s="2"/>
      <c r="O2566" s="2"/>
      <c r="P2566" s="2" t="s">
        <v>8220</v>
      </c>
      <c r="Q2566" s="6">
        <v>100</v>
      </c>
      <c r="R2566" s="6">
        <v>12.75</v>
      </c>
      <c r="S2566" s="5">
        <v>-5.6</v>
      </c>
      <c r="T2566" s="7">
        <v>33.683999999999997</v>
      </c>
      <c r="U2566" s="5">
        <v>4.5999999999999996</v>
      </c>
      <c r="V2566" s="6">
        <v>-0.27</v>
      </c>
      <c r="W2566" s="7">
        <v>7.875</v>
      </c>
      <c r="X2566" s="4">
        <v>10</v>
      </c>
      <c r="Y2566" s="7">
        <v>10.375</v>
      </c>
      <c r="Z2566" s="7">
        <v>10.375</v>
      </c>
      <c r="AA2566" s="6">
        <v>20.93</v>
      </c>
      <c r="AB2566" s="7">
        <v>20.143000000000001</v>
      </c>
      <c r="AC2566" s="2"/>
    </row>
    <row r="2567" spans="1:29" ht="65" x14ac:dyDescent="0.15">
      <c r="A2567" s="3">
        <f>DATE(1996,7,11)</f>
        <v>35257</v>
      </c>
      <c r="B2567" s="3">
        <f>DATE(1996,10,14)</f>
        <v>35352</v>
      </c>
      <c r="C2567" s="2" t="s">
        <v>95</v>
      </c>
      <c r="D2567" s="2" t="s">
        <v>8221</v>
      </c>
      <c r="E2567" s="2" t="s">
        <v>8222</v>
      </c>
      <c r="F2567" s="4">
        <v>8051</v>
      </c>
      <c r="G2567" s="2" t="s">
        <v>454</v>
      </c>
      <c r="H2567" s="2" t="s">
        <v>34</v>
      </c>
      <c r="I2567" s="2" t="s">
        <v>8223</v>
      </c>
      <c r="J2567" s="2" t="s">
        <v>8224</v>
      </c>
      <c r="K2567" s="2" t="s">
        <v>454</v>
      </c>
      <c r="L2567" s="2" t="s">
        <v>34</v>
      </c>
      <c r="M2567" s="2"/>
      <c r="N2567" s="4">
        <v>27</v>
      </c>
      <c r="O2567" s="4">
        <v>26</v>
      </c>
      <c r="P2567" s="2" t="s">
        <v>8225</v>
      </c>
      <c r="Q2567" s="6">
        <v>100</v>
      </c>
      <c r="R2567" s="2"/>
      <c r="S2567" s="5">
        <v>4.2</v>
      </c>
      <c r="T2567" s="7">
        <v>23.966000000000001</v>
      </c>
      <c r="U2567" s="5">
        <v>1.2</v>
      </c>
      <c r="V2567" s="6">
        <v>0.27</v>
      </c>
      <c r="W2567" s="4">
        <v>4</v>
      </c>
      <c r="X2567" s="4">
        <v>4</v>
      </c>
      <c r="Y2567" s="7">
        <v>5.3440000000000003</v>
      </c>
      <c r="Z2567" s="6">
        <v>5.25</v>
      </c>
      <c r="AA2567" s="6">
        <v>15.42</v>
      </c>
      <c r="AB2567" s="7">
        <v>14.904999999999999</v>
      </c>
      <c r="AC2567" s="6">
        <v>18.28</v>
      </c>
    </row>
    <row r="2568" spans="1:29" ht="91" x14ac:dyDescent="0.15">
      <c r="A2568" s="3">
        <f>DATE(1996,7,12)</f>
        <v>35258</v>
      </c>
      <c r="B2568" s="3">
        <f>DATE(1996,10,10)</f>
        <v>35348</v>
      </c>
      <c r="C2568" s="2" t="s">
        <v>95</v>
      </c>
      <c r="D2568" s="2" t="s">
        <v>8226</v>
      </c>
      <c r="E2568" s="2" t="s">
        <v>8227</v>
      </c>
      <c r="F2568" s="4">
        <v>2891</v>
      </c>
      <c r="G2568" s="2" t="s">
        <v>98</v>
      </c>
      <c r="H2568" s="2" t="s">
        <v>34</v>
      </c>
      <c r="I2568" s="2" t="s">
        <v>8228</v>
      </c>
      <c r="J2568" s="2" t="s">
        <v>676</v>
      </c>
      <c r="K2568" s="2" t="s">
        <v>98</v>
      </c>
      <c r="L2568" s="2" t="s">
        <v>34</v>
      </c>
      <c r="M2568" s="2"/>
      <c r="N2568" s="2"/>
      <c r="O2568" s="2"/>
      <c r="P2568" s="2" t="s">
        <v>8229</v>
      </c>
      <c r="Q2568" s="6">
        <v>100</v>
      </c>
      <c r="R2568" s="6">
        <v>10.25</v>
      </c>
      <c r="S2568" s="5">
        <v>4.4000000000000004</v>
      </c>
      <c r="T2568" s="7">
        <v>7.7240000000000002</v>
      </c>
      <c r="U2568" s="5">
        <v>4.9000000000000004</v>
      </c>
      <c r="V2568" s="6">
        <v>0.79</v>
      </c>
      <c r="W2568" s="6">
        <v>6.75</v>
      </c>
      <c r="X2568" s="4">
        <v>8</v>
      </c>
      <c r="Y2568" s="7">
        <v>7.125</v>
      </c>
      <c r="Z2568" s="6">
        <v>9.25</v>
      </c>
      <c r="AA2568" s="6">
        <v>5.15</v>
      </c>
      <c r="AB2568" s="7">
        <v>8.3309999999999995</v>
      </c>
      <c r="AC2568" s="2"/>
    </row>
    <row r="2569" spans="1:29" ht="117" x14ac:dyDescent="0.15">
      <c r="A2569" s="3">
        <f>DATE(1996,7,12)</f>
        <v>35258</v>
      </c>
      <c r="B2569" s="3">
        <f>DATE(1996,10,23)</f>
        <v>35361</v>
      </c>
      <c r="C2569" s="2" t="s">
        <v>95</v>
      </c>
      <c r="D2569" s="2" t="s">
        <v>8230</v>
      </c>
      <c r="E2569" s="2" t="s">
        <v>8231</v>
      </c>
      <c r="F2569" s="4">
        <v>7241</v>
      </c>
      <c r="G2569" s="2" t="s">
        <v>1517</v>
      </c>
      <c r="H2569" s="2" t="s">
        <v>34</v>
      </c>
      <c r="I2569" s="2" t="s">
        <v>8232</v>
      </c>
      <c r="J2569" s="2" t="s">
        <v>8233</v>
      </c>
      <c r="K2569" s="2" t="s">
        <v>1517</v>
      </c>
      <c r="L2569" s="2" t="s">
        <v>34</v>
      </c>
      <c r="M2569" s="7">
        <v>380.29199999999997</v>
      </c>
      <c r="N2569" s="4">
        <v>33</v>
      </c>
      <c r="O2569" s="7">
        <v>26.359000000000002</v>
      </c>
      <c r="P2569" s="2" t="s">
        <v>8234</v>
      </c>
      <c r="Q2569" s="6">
        <v>100</v>
      </c>
      <c r="R2569" s="6">
        <v>13.2</v>
      </c>
      <c r="S2569" s="5">
        <v>-6.4</v>
      </c>
      <c r="T2569" s="7">
        <v>-3.8660000000000001</v>
      </c>
      <c r="U2569" s="5">
        <v>3.7</v>
      </c>
      <c r="V2569" s="6">
        <v>-0.56999999999999995</v>
      </c>
      <c r="W2569" s="7">
        <v>8.625</v>
      </c>
      <c r="X2569" s="5">
        <v>8.5</v>
      </c>
      <c r="Y2569" s="6">
        <v>8.75</v>
      </c>
      <c r="Z2569" s="6">
        <v>9.75</v>
      </c>
      <c r="AA2569" s="6">
        <v>11.19</v>
      </c>
      <c r="AB2569" s="2" t="s">
        <v>86</v>
      </c>
      <c r="AC2569" s="6">
        <v>5.47</v>
      </c>
    </row>
    <row r="2570" spans="1:29" ht="143" x14ac:dyDescent="0.15">
      <c r="A2570" s="3">
        <f>DATE(1996,7,15)</f>
        <v>35261</v>
      </c>
      <c r="B2570" s="3">
        <f>DATE(1997,1,2)</f>
        <v>35432</v>
      </c>
      <c r="C2570" s="2" t="s">
        <v>95</v>
      </c>
      <c r="D2570" s="2" t="s">
        <v>8235</v>
      </c>
      <c r="E2570" s="2" t="s">
        <v>1181</v>
      </c>
      <c r="F2570" s="4">
        <v>6022</v>
      </c>
      <c r="G2570" s="2" t="s">
        <v>37</v>
      </c>
      <c r="H2570" s="2" t="s">
        <v>34</v>
      </c>
      <c r="I2570" s="2" t="s">
        <v>489</v>
      </c>
      <c r="J2570" s="2" t="s">
        <v>490</v>
      </c>
      <c r="K2570" s="2" t="s">
        <v>37</v>
      </c>
      <c r="L2570" s="2" t="s">
        <v>34</v>
      </c>
      <c r="M2570" s="7">
        <v>618.71600000000001</v>
      </c>
      <c r="N2570" s="7">
        <v>26.625</v>
      </c>
      <c r="O2570" s="5">
        <v>26.5</v>
      </c>
      <c r="P2570" s="2" t="s">
        <v>8236</v>
      </c>
      <c r="Q2570" s="6">
        <v>100</v>
      </c>
      <c r="R2570" s="6">
        <v>42.79</v>
      </c>
      <c r="S2570" s="5">
        <v>18.8</v>
      </c>
      <c r="T2570" s="6">
        <v>33.69</v>
      </c>
      <c r="U2570" s="5">
        <v>25.6</v>
      </c>
      <c r="V2570" s="7">
        <v>3.8479999999999999</v>
      </c>
      <c r="W2570" s="6">
        <v>35.25</v>
      </c>
      <c r="X2570" s="6">
        <v>35.25</v>
      </c>
      <c r="Y2570" s="5">
        <v>38.5</v>
      </c>
      <c r="Z2570" s="7">
        <v>38.688000000000002</v>
      </c>
      <c r="AA2570" s="6">
        <v>4.8</v>
      </c>
      <c r="AB2570" s="7">
        <v>52.591999999999999</v>
      </c>
      <c r="AC2570" s="2"/>
    </row>
    <row r="2571" spans="1:29" ht="65" x14ac:dyDescent="0.15">
      <c r="A2571" s="3">
        <f>DATE(1996,7,15)</f>
        <v>35261</v>
      </c>
      <c r="B2571" s="3">
        <f>DATE(1997,3,1)</f>
        <v>35490</v>
      </c>
      <c r="C2571" s="2" t="s">
        <v>95</v>
      </c>
      <c r="D2571" s="2" t="s">
        <v>8237</v>
      </c>
      <c r="E2571" s="2" t="s">
        <v>1181</v>
      </c>
      <c r="F2571" s="4">
        <v>6021</v>
      </c>
      <c r="G2571" s="2" t="s">
        <v>37</v>
      </c>
      <c r="H2571" s="2" t="s">
        <v>34</v>
      </c>
      <c r="I2571" s="2" t="s">
        <v>8238</v>
      </c>
      <c r="J2571" s="2" t="s">
        <v>36</v>
      </c>
      <c r="K2571" s="2" t="s">
        <v>37</v>
      </c>
      <c r="L2571" s="2" t="s">
        <v>34</v>
      </c>
      <c r="M2571" s="2"/>
      <c r="N2571" s="2"/>
      <c r="O2571" s="2"/>
      <c r="P2571" s="2" t="s">
        <v>8239</v>
      </c>
      <c r="Q2571" s="6">
        <v>100</v>
      </c>
      <c r="R2571" s="6">
        <v>8</v>
      </c>
      <c r="S2571" s="5">
        <v>0.3</v>
      </c>
      <c r="T2571" s="7">
        <v>1.258</v>
      </c>
      <c r="U2571" s="5">
        <v>5.4</v>
      </c>
      <c r="V2571" s="7">
        <v>9.4E-2</v>
      </c>
      <c r="W2571" s="7">
        <v>6.875</v>
      </c>
      <c r="X2571" s="7">
        <v>6.5629999999999997</v>
      </c>
      <c r="Y2571" s="6">
        <v>6.75</v>
      </c>
      <c r="Z2571" s="4">
        <v>7</v>
      </c>
      <c r="AA2571" s="6">
        <v>3.07</v>
      </c>
      <c r="AB2571" s="7">
        <v>598.13400000000001</v>
      </c>
      <c r="AC2571" s="2"/>
    </row>
    <row r="2572" spans="1:29" ht="130" x14ac:dyDescent="0.15">
      <c r="A2572" s="3">
        <f>DATE(1996,7,15)</f>
        <v>35261</v>
      </c>
      <c r="B2572" s="3">
        <f>DATE(1996,11,15)</f>
        <v>35384</v>
      </c>
      <c r="C2572" s="2" t="s">
        <v>95</v>
      </c>
      <c r="D2572" s="2" t="s">
        <v>609</v>
      </c>
      <c r="E2572" s="2" t="s">
        <v>389</v>
      </c>
      <c r="F2572" s="4">
        <v>6036</v>
      </c>
      <c r="G2572" s="2" t="s">
        <v>33</v>
      </c>
      <c r="H2572" s="2" t="s">
        <v>34</v>
      </c>
      <c r="I2572" s="2" t="s">
        <v>8240</v>
      </c>
      <c r="J2572" s="2" t="s">
        <v>159</v>
      </c>
      <c r="K2572" s="2" t="s">
        <v>37</v>
      </c>
      <c r="L2572" s="2" t="s">
        <v>34</v>
      </c>
      <c r="M2572" s="5">
        <v>40.5</v>
      </c>
      <c r="N2572" s="6">
        <v>7.25</v>
      </c>
      <c r="O2572" s="6">
        <v>7.25</v>
      </c>
      <c r="P2572" s="2" t="s">
        <v>8241</v>
      </c>
      <c r="Q2572" s="6">
        <v>100</v>
      </c>
      <c r="R2572" s="6">
        <v>7.25</v>
      </c>
      <c r="S2572" s="5">
        <v>2.2000000000000002</v>
      </c>
      <c r="T2572" s="7">
        <v>4.2969999999999997</v>
      </c>
      <c r="U2572" s="5">
        <v>10.4</v>
      </c>
      <c r="V2572" s="7">
        <v>0.51100000000000001</v>
      </c>
      <c r="W2572" s="7">
        <v>6.125</v>
      </c>
      <c r="X2572" s="7">
        <v>6.125</v>
      </c>
      <c r="Y2572" s="5">
        <v>6.5</v>
      </c>
      <c r="Z2572" s="7">
        <v>6.375</v>
      </c>
      <c r="AA2572" s="6">
        <v>2</v>
      </c>
      <c r="AB2572" s="7">
        <v>90.302999999999997</v>
      </c>
      <c r="AC2572" s="2"/>
    </row>
    <row r="2573" spans="1:29" ht="117" x14ac:dyDescent="0.15">
      <c r="A2573" s="3">
        <f>DATE(1996,7,16)</f>
        <v>35262</v>
      </c>
      <c r="B2573" s="2"/>
      <c r="C2573" s="2" t="s">
        <v>30</v>
      </c>
      <c r="D2573" s="2" t="s">
        <v>7229</v>
      </c>
      <c r="E2573" s="2" t="s">
        <v>386</v>
      </c>
      <c r="F2573" s="4">
        <v>6726</v>
      </c>
      <c r="G2573" s="2" t="s">
        <v>53</v>
      </c>
      <c r="H2573" s="2" t="s">
        <v>34</v>
      </c>
      <c r="I2573" s="2" t="s">
        <v>8242</v>
      </c>
      <c r="J2573" s="2" t="s">
        <v>8243</v>
      </c>
      <c r="K2573" s="2" t="s">
        <v>50</v>
      </c>
      <c r="L2573" s="2" t="s">
        <v>34</v>
      </c>
      <c r="M2573" s="2"/>
      <c r="N2573" s="2"/>
      <c r="O2573" s="2"/>
      <c r="P2573" s="2" t="s">
        <v>8244</v>
      </c>
      <c r="Q2573" s="2"/>
      <c r="R2573" s="2"/>
      <c r="S2573" s="5">
        <v>-8.6999999999999993</v>
      </c>
      <c r="T2573" s="7">
        <v>-3.4369999999999998</v>
      </c>
      <c r="U2573" s="5">
        <v>-0.9</v>
      </c>
      <c r="V2573" s="7">
        <v>-2.3559999999999999</v>
      </c>
      <c r="W2573" s="5">
        <v>2.5</v>
      </c>
      <c r="X2573" s="5">
        <v>2.5</v>
      </c>
      <c r="Y2573" s="7">
        <v>2.625</v>
      </c>
      <c r="Z2573" s="7">
        <v>2.625</v>
      </c>
      <c r="AA2573" s="2"/>
      <c r="AB2573" s="2" t="s">
        <v>86</v>
      </c>
      <c r="AC2573" s="2"/>
    </row>
    <row r="2574" spans="1:29" ht="130" x14ac:dyDescent="0.15">
      <c r="A2574" s="3">
        <f>DATE(1996,7,17)</f>
        <v>35263</v>
      </c>
      <c r="B2574" s="2"/>
      <c r="C2574" s="2" t="s">
        <v>7330</v>
      </c>
      <c r="D2574" s="2" t="s">
        <v>1443</v>
      </c>
      <c r="E2574" s="2" t="s">
        <v>1444</v>
      </c>
      <c r="F2574" s="4">
        <v>3429</v>
      </c>
      <c r="G2574" s="2" t="s">
        <v>163</v>
      </c>
      <c r="H2574" s="2" t="s">
        <v>34</v>
      </c>
      <c r="I2574" s="2" t="s">
        <v>51</v>
      </c>
      <c r="J2574" s="2" t="s">
        <v>52</v>
      </c>
      <c r="K2574" s="2" t="s">
        <v>53</v>
      </c>
      <c r="L2574" s="2" t="s">
        <v>34</v>
      </c>
      <c r="M2574" s="2"/>
      <c r="N2574" s="2"/>
      <c r="O2574" s="2"/>
      <c r="P2574" s="2" t="s">
        <v>8245</v>
      </c>
      <c r="Q2574" s="2"/>
      <c r="R2574" s="6">
        <v>15</v>
      </c>
      <c r="S2574" s="5">
        <v>2.8</v>
      </c>
      <c r="T2574" s="7">
        <v>6.3659999999999997</v>
      </c>
      <c r="U2574" s="5">
        <v>4.5999999999999996</v>
      </c>
      <c r="V2574" s="9">
        <v>0.44890000000000002</v>
      </c>
      <c r="W2574" s="7">
        <v>11.938000000000001</v>
      </c>
      <c r="X2574" s="6">
        <v>11.75</v>
      </c>
      <c r="Y2574" s="7">
        <v>14.375</v>
      </c>
      <c r="Z2574" s="7">
        <v>13.875</v>
      </c>
      <c r="AA2574" s="6">
        <v>2.7</v>
      </c>
      <c r="AB2574" s="7">
        <v>23.114000000000001</v>
      </c>
      <c r="AC2574" s="2"/>
    </row>
    <row r="2575" spans="1:29" ht="117" x14ac:dyDescent="0.15">
      <c r="A2575" s="3">
        <f>DATE(1996,7,17)</f>
        <v>35263</v>
      </c>
      <c r="B2575" s="3">
        <f>DATE(1996,11,12)</f>
        <v>35381</v>
      </c>
      <c r="C2575" s="2" t="s">
        <v>95</v>
      </c>
      <c r="D2575" s="2" t="s">
        <v>8132</v>
      </c>
      <c r="E2575" s="2" t="s">
        <v>453</v>
      </c>
      <c r="F2575" s="4">
        <v>8093</v>
      </c>
      <c r="G2575" s="2" t="s">
        <v>454</v>
      </c>
      <c r="H2575" s="2" t="s">
        <v>34</v>
      </c>
      <c r="I2575" s="2" t="s">
        <v>8246</v>
      </c>
      <c r="J2575" s="2" t="s">
        <v>8247</v>
      </c>
      <c r="K2575" s="2" t="s">
        <v>454</v>
      </c>
      <c r="L2575" s="2" t="s">
        <v>34</v>
      </c>
      <c r="M2575" s="7">
        <v>100.565</v>
      </c>
      <c r="N2575" s="7">
        <v>10.375</v>
      </c>
      <c r="O2575" s="7">
        <v>10.688000000000001</v>
      </c>
      <c r="P2575" s="2" t="s">
        <v>8248</v>
      </c>
      <c r="Q2575" s="6">
        <v>100</v>
      </c>
      <c r="R2575" s="6">
        <v>11.75</v>
      </c>
      <c r="S2575" s="5">
        <v>5.4</v>
      </c>
      <c r="T2575" s="7">
        <v>16.038</v>
      </c>
      <c r="U2575" s="5">
        <v>2.1</v>
      </c>
      <c r="V2575" s="6">
        <v>1.97</v>
      </c>
      <c r="W2575" s="7">
        <v>7.3129999999999997</v>
      </c>
      <c r="X2575" s="5">
        <v>7.5</v>
      </c>
      <c r="Y2575" s="7">
        <v>9.125</v>
      </c>
      <c r="Z2575" s="7">
        <v>9.125</v>
      </c>
      <c r="AA2575" s="6">
        <v>2.48</v>
      </c>
      <c r="AB2575" s="7">
        <v>5.6289999999999996</v>
      </c>
      <c r="AC2575" s="6">
        <v>4.37</v>
      </c>
    </row>
    <row r="2576" spans="1:29" ht="156" x14ac:dyDescent="0.15">
      <c r="A2576" s="3">
        <f>DATE(1996,7,17)</f>
        <v>35263</v>
      </c>
      <c r="B2576" s="3">
        <f>DATE(1997,1,22)</f>
        <v>35452</v>
      </c>
      <c r="C2576" s="2" t="s">
        <v>95</v>
      </c>
      <c r="D2576" s="2" t="s">
        <v>8120</v>
      </c>
      <c r="E2576" s="2" t="s">
        <v>981</v>
      </c>
      <c r="F2576" s="4">
        <v>4833</v>
      </c>
      <c r="G2576" s="2" t="s">
        <v>45</v>
      </c>
      <c r="H2576" s="2" t="s">
        <v>34</v>
      </c>
      <c r="I2576" s="2" t="s">
        <v>8249</v>
      </c>
      <c r="J2576" s="2" t="s">
        <v>8250</v>
      </c>
      <c r="K2576" s="2" t="s">
        <v>186</v>
      </c>
      <c r="L2576" s="2" t="s">
        <v>885</v>
      </c>
      <c r="M2576" s="2"/>
      <c r="N2576" s="2"/>
      <c r="O2576" s="2"/>
      <c r="P2576" s="2" t="s">
        <v>8251</v>
      </c>
      <c r="Q2576" s="6">
        <v>81.62</v>
      </c>
      <c r="R2576" s="6">
        <v>26.83</v>
      </c>
      <c r="S2576" s="5">
        <v>-31.2</v>
      </c>
      <c r="T2576" s="7">
        <v>97.671999999999997</v>
      </c>
      <c r="U2576" s="5">
        <v>5</v>
      </c>
      <c r="V2576" s="7">
        <v>-0.53900000000000003</v>
      </c>
      <c r="W2576" s="7">
        <v>15.625</v>
      </c>
      <c r="X2576" s="4">
        <v>16</v>
      </c>
      <c r="Y2576" s="4">
        <v>16</v>
      </c>
      <c r="Z2576" s="6">
        <v>16.25</v>
      </c>
      <c r="AA2576" s="6">
        <v>67.260000000000005</v>
      </c>
      <c r="AB2576" s="7">
        <v>82.504000000000005</v>
      </c>
      <c r="AC2576" s="10">
        <v>1809.22</v>
      </c>
    </row>
    <row r="2577" spans="1:29" ht="39" x14ac:dyDescent="0.15">
      <c r="A2577" s="3">
        <f>DATE(1996,7,18)</f>
        <v>35264</v>
      </c>
      <c r="B2577" s="2"/>
      <c r="C2577" s="2" t="s">
        <v>7330</v>
      </c>
      <c r="D2577" s="2" t="s">
        <v>6775</v>
      </c>
      <c r="E2577" s="2" t="s">
        <v>6776</v>
      </c>
      <c r="F2577" s="4">
        <v>4841</v>
      </c>
      <c r="G2577" s="2" t="s">
        <v>45</v>
      </c>
      <c r="H2577" s="2" t="s">
        <v>34</v>
      </c>
      <c r="I2577" s="2" t="s">
        <v>8252</v>
      </c>
      <c r="J2577" s="2" t="s">
        <v>1893</v>
      </c>
      <c r="K2577" s="2" t="s">
        <v>45</v>
      </c>
      <c r="L2577" s="2" t="s">
        <v>34</v>
      </c>
      <c r="M2577" s="6">
        <v>195.78</v>
      </c>
      <c r="N2577" s="7">
        <v>11.875</v>
      </c>
      <c r="O2577" s="6">
        <v>11.75</v>
      </c>
      <c r="P2577" s="2" t="s">
        <v>8253</v>
      </c>
      <c r="Q2577" s="2"/>
      <c r="R2577" s="2"/>
      <c r="S2577" s="5">
        <v>-15.9</v>
      </c>
      <c r="T2577" s="6">
        <v>-1.48</v>
      </c>
      <c r="U2577" s="5">
        <v>4.0999999999999996</v>
      </c>
      <c r="V2577" s="6">
        <v>-1.34</v>
      </c>
      <c r="W2577" s="6">
        <v>21.25</v>
      </c>
      <c r="X2577" s="5">
        <v>21.5</v>
      </c>
      <c r="Y2577" s="6">
        <v>20.25</v>
      </c>
      <c r="Z2577" s="4">
        <v>20</v>
      </c>
      <c r="AA2577" s="6">
        <v>19.36</v>
      </c>
      <c r="AB2577" s="2" t="s">
        <v>86</v>
      </c>
      <c r="AC2577" s="6">
        <v>32.51</v>
      </c>
    </row>
    <row r="2578" spans="1:29" ht="169" x14ac:dyDescent="0.15">
      <c r="A2578" s="3">
        <f>DATE(1996,7,18)</f>
        <v>35264</v>
      </c>
      <c r="B2578" s="3">
        <f>DATE(1997,2,12)</f>
        <v>35473</v>
      </c>
      <c r="C2578" s="2" t="s">
        <v>95</v>
      </c>
      <c r="D2578" s="2" t="s">
        <v>8254</v>
      </c>
      <c r="E2578" s="2" t="s">
        <v>92</v>
      </c>
      <c r="F2578" s="4">
        <v>6798</v>
      </c>
      <c r="G2578" s="2" t="s">
        <v>53</v>
      </c>
      <c r="H2578" s="2" t="s">
        <v>34</v>
      </c>
      <c r="I2578" s="2" t="s">
        <v>8255</v>
      </c>
      <c r="J2578" s="2" t="s">
        <v>92</v>
      </c>
      <c r="K2578" s="2" t="s">
        <v>53</v>
      </c>
      <c r="L2578" s="2" t="s">
        <v>34</v>
      </c>
      <c r="M2578" s="6">
        <v>137.16</v>
      </c>
      <c r="N2578" s="7">
        <v>23.125</v>
      </c>
      <c r="O2578" s="4">
        <v>23</v>
      </c>
      <c r="P2578" s="2" t="s">
        <v>8256</v>
      </c>
      <c r="Q2578" s="6">
        <v>100</v>
      </c>
      <c r="R2578" s="6">
        <v>23.19</v>
      </c>
      <c r="S2578" s="5">
        <v>11.5</v>
      </c>
      <c r="T2578" s="7">
        <v>23.434000000000001</v>
      </c>
      <c r="U2578" s="5">
        <v>15.4</v>
      </c>
      <c r="V2578" s="6">
        <v>0.93</v>
      </c>
      <c r="W2578" s="7">
        <v>23.375</v>
      </c>
      <c r="X2578" s="4">
        <v>22</v>
      </c>
      <c r="Y2578" s="4">
        <v>23</v>
      </c>
      <c r="Z2578" s="6">
        <v>23.25</v>
      </c>
      <c r="AA2578" s="6">
        <v>12.42</v>
      </c>
      <c r="AB2578" s="7">
        <v>32.319000000000003</v>
      </c>
      <c r="AC2578" s="2"/>
    </row>
    <row r="2579" spans="1:29" ht="104" x14ac:dyDescent="0.15">
      <c r="A2579" s="3">
        <f>DATE(1996,7,19)</f>
        <v>35265</v>
      </c>
      <c r="B2579" s="3">
        <f>DATE(1996,8,30)</f>
        <v>35307</v>
      </c>
      <c r="C2579" s="2" t="s">
        <v>95</v>
      </c>
      <c r="D2579" s="2" t="s">
        <v>8257</v>
      </c>
      <c r="E2579" s="2" t="s">
        <v>8258</v>
      </c>
      <c r="F2579" s="4">
        <v>3844</v>
      </c>
      <c r="G2579" s="2" t="s">
        <v>226</v>
      </c>
      <c r="H2579" s="2" t="s">
        <v>34</v>
      </c>
      <c r="I2579" s="2" t="s">
        <v>8259</v>
      </c>
      <c r="J2579" s="2" t="s">
        <v>8260</v>
      </c>
      <c r="K2579" s="2" t="s">
        <v>226</v>
      </c>
      <c r="L2579" s="2" t="s">
        <v>34</v>
      </c>
      <c r="M2579" s="5">
        <v>494.2</v>
      </c>
      <c r="N2579" s="5">
        <v>38.5</v>
      </c>
      <c r="O2579" s="6">
        <v>35.25</v>
      </c>
      <c r="P2579" s="2" t="s">
        <v>8261</v>
      </c>
      <c r="Q2579" s="6">
        <v>100</v>
      </c>
      <c r="R2579" s="6">
        <v>17.010000000000002</v>
      </c>
      <c r="S2579" s="5">
        <v>1.3</v>
      </c>
      <c r="T2579" s="5">
        <v>1.8</v>
      </c>
      <c r="U2579" s="5">
        <v>2.8</v>
      </c>
      <c r="V2579" s="7">
        <v>0.372</v>
      </c>
      <c r="W2579" s="7">
        <v>8.125</v>
      </c>
      <c r="X2579" s="7">
        <v>7.875</v>
      </c>
      <c r="Y2579" s="6">
        <v>10.75</v>
      </c>
      <c r="Z2579" s="6">
        <v>10.75</v>
      </c>
      <c r="AA2579" s="6">
        <v>3.47</v>
      </c>
      <c r="AB2579" s="7">
        <v>32.323</v>
      </c>
      <c r="AC2579" s="6">
        <v>9.94</v>
      </c>
    </row>
    <row r="2580" spans="1:29" ht="130" x14ac:dyDescent="0.15">
      <c r="A2580" s="3">
        <f>DATE(1996,7,19)</f>
        <v>35265</v>
      </c>
      <c r="B2580" s="3">
        <f>DATE(1997,7,1)</f>
        <v>35612</v>
      </c>
      <c r="C2580" s="2" t="s">
        <v>95</v>
      </c>
      <c r="D2580" s="2" t="s">
        <v>1897</v>
      </c>
      <c r="E2580" s="2" t="s">
        <v>438</v>
      </c>
      <c r="F2580" s="4">
        <v>4911</v>
      </c>
      <c r="G2580" s="2" t="s">
        <v>439</v>
      </c>
      <c r="H2580" s="2" t="s">
        <v>34</v>
      </c>
      <c r="I2580" s="2" t="s">
        <v>8262</v>
      </c>
      <c r="J2580" s="2" t="s">
        <v>8263</v>
      </c>
      <c r="K2580" s="2" t="s">
        <v>148</v>
      </c>
      <c r="L2580" s="2" t="s">
        <v>34</v>
      </c>
      <c r="M2580" s="10">
        <v>9986.8700000000008</v>
      </c>
      <c r="N2580" s="6">
        <v>41.75</v>
      </c>
      <c r="O2580" s="6">
        <v>39.75</v>
      </c>
      <c r="P2580" s="2" t="s">
        <v>8264</v>
      </c>
      <c r="Q2580" s="6">
        <v>100</v>
      </c>
      <c r="R2580" s="6">
        <v>35.25</v>
      </c>
      <c r="S2580" s="5">
        <v>90.7</v>
      </c>
      <c r="T2580" s="7">
        <v>428.25900000000001</v>
      </c>
      <c r="U2580" s="5">
        <v>17.5</v>
      </c>
      <c r="V2580" s="6">
        <v>1.6</v>
      </c>
      <c r="W2580" s="4">
        <v>29</v>
      </c>
      <c r="X2580" s="7">
        <v>28.625</v>
      </c>
      <c r="Y2580" s="7">
        <v>28.125</v>
      </c>
      <c r="Z2580" s="7">
        <v>34.875</v>
      </c>
      <c r="AA2580" s="6">
        <v>51.12</v>
      </c>
      <c r="AB2580" s="7">
        <v>10.512</v>
      </c>
      <c r="AC2580" s="6">
        <v>114.92</v>
      </c>
    </row>
    <row r="2581" spans="1:29" ht="169" x14ac:dyDescent="0.15">
      <c r="A2581" s="3">
        <f>DATE(1996,7,19)</f>
        <v>35265</v>
      </c>
      <c r="B2581" s="3">
        <f>DATE(1997,8,27)</f>
        <v>35669</v>
      </c>
      <c r="C2581" s="2" t="s">
        <v>95</v>
      </c>
      <c r="D2581" s="2" t="s">
        <v>2613</v>
      </c>
      <c r="E2581" s="2" t="s">
        <v>2614</v>
      </c>
      <c r="F2581" s="4">
        <v>2869</v>
      </c>
      <c r="G2581" s="2" t="s">
        <v>98</v>
      </c>
      <c r="H2581" s="2" t="s">
        <v>34</v>
      </c>
      <c r="I2581" s="2" t="s">
        <v>7812</v>
      </c>
      <c r="J2581" s="2" t="s">
        <v>7813</v>
      </c>
      <c r="K2581" s="2" t="s">
        <v>98</v>
      </c>
      <c r="L2581" s="2" t="s">
        <v>34</v>
      </c>
      <c r="M2581" s="2"/>
      <c r="N2581" s="2"/>
      <c r="O2581" s="2"/>
      <c r="P2581" s="2" t="s">
        <v>8265</v>
      </c>
      <c r="Q2581" s="6">
        <v>100</v>
      </c>
      <c r="R2581" s="6">
        <v>16</v>
      </c>
      <c r="S2581" s="5">
        <v>29.7</v>
      </c>
      <c r="T2581" s="7">
        <v>86.837999999999994</v>
      </c>
      <c r="U2581" s="5">
        <v>9</v>
      </c>
      <c r="V2581" s="6">
        <v>1.55</v>
      </c>
      <c r="W2581" s="4">
        <v>10</v>
      </c>
      <c r="X2581" s="7">
        <v>9.125</v>
      </c>
      <c r="Y2581" s="7">
        <v>9.125</v>
      </c>
      <c r="Z2581" s="7">
        <v>12.625</v>
      </c>
      <c r="AA2581" s="6">
        <v>18.77</v>
      </c>
      <c r="AB2581" s="7">
        <v>8.5380000000000003</v>
      </c>
      <c r="AC2581" s="2"/>
    </row>
    <row r="2582" spans="1:29" ht="143" x14ac:dyDescent="0.15">
      <c r="A2582" s="3">
        <f>DATE(1996,7,22)</f>
        <v>35268</v>
      </c>
      <c r="B2582" s="2"/>
      <c r="C2582" s="2" t="s">
        <v>30</v>
      </c>
      <c r="D2582" s="2" t="s">
        <v>8266</v>
      </c>
      <c r="E2582" s="2" t="s">
        <v>8267</v>
      </c>
      <c r="F2582" s="4">
        <v>3559</v>
      </c>
      <c r="G2582" s="2" t="s">
        <v>300</v>
      </c>
      <c r="H2582" s="2" t="s">
        <v>34</v>
      </c>
      <c r="I2582" s="2" t="s">
        <v>8268</v>
      </c>
      <c r="J2582" s="2" t="s">
        <v>8269</v>
      </c>
      <c r="K2582" s="2" t="s">
        <v>300</v>
      </c>
      <c r="L2582" s="2" t="s">
        <v>885</v>
      </c>
      <c r="M2582" s="2"/>
      <c r="N2582" s="2"/>
      <c r="O2582" s="2"/>
      <c r="P2582" s="2" t="s">
        <v>8270</v>
      </c>
      <c r="Q2582" s="2"/>
      <c r="R2582" s="6">
        <v>34.65</v>
      </c>
      <c r="S2582" s="5">
        <v>4.3</v>
      </c>
      <c r="T2582" s="7">
        <v>10.739000000000001</v>
      </c>
      <c r="U2582" s="5">
        <v>8.1</v>
      </c>
      <c r="V2582" s="7">
        <v>0.52500000000000002</v>
      </c>
      <c r="W2582" s="4">
        <v>22</v>
      </c>
      <c r="X2582" s="6">
        <v>19.25</v>
      </c>
      <c r="Y2582" s="4">
        <v>25</v>
      </c>
      <c r="Z2582" s="7">
        <v>25.375</v>
      </c>
      <c r="AA2582" s="6">
        <v>8.0500000000000007</v>
      </c>
      <c r="AB2582" s="7">
        <v>48.543999999999997</v>
      </c>
      <c r="AC2582" s="6">
        <v>28.06</v>
      </c>
    </row>
    <row r="2583" spans="1:29" ht="130" x14ac:dyDescent="0.15">
      <c r="A2583" s="3">
        <f>DATE(1996,7,22)</f>
        <v>35268</v>
      </c>
      <c r="B2583" s="3">
        <f>DATE(1996,10,3)</f>
        <v>35341</v>
      </c>
      <c r="C2583" s="2" t="s">
        <v>95</v>
      </c>
      <c r="D2583" s="2" t="s">
        <v>8271</v>
      </c>
      <c r="E2583" s="2" t="s">
        <v>612</v>
      </c>
      <c r="F2583" s="4">
        <v>1311</v>
      </c>
      <c r="G2583" s="2" t="s">
        <v>148</v>
      </c>
      <c r="H2583" s="2" t="s">
        <v>34</v>
      </c>
      <c r="I2583" s="2" t="s">
        <v>8272</v>
      </c>
      <c r="J2583" s="2" t="s">
        <v>8273</v>
      </c>
      <c r="K2583" s="2" t="s">
        <v>439</v>
      </c>
      <c r="L2583" s="2" t="s">
        <v>34</v>
      </c>
      <c r="M2583" s="5">
        <v>839.5</v>
      </c>
      <c r="N2583" s="7">
        <v>18.875</v>
      </c>
      <c r="O2583" s="7">
        <v>18.125</v>
      </c>
      <c r="P2583" s="2" t="s">
        <v>8274</v>
      </c>
      <c r="Q2583" s="6">
        <v>100</v>
      </c>
      <c r="R2583" s="6">
        <v>17.38</v>
      </c>
      <c r="S2583" s="5">
        <v>5.5</v>
      </c>
      <c r="T2583" s="7">
        <v>36.353000000000002</v>
      </c>
      <c r="U2583" s="5">
        <v>3.7</v>
      </c>
      <c r="V2583" s="7">
        <v>0.185</v>
      </c>
      <c r="W2583" s="7">
        <v>15.375</v>
      </c>
      <c r="X2583" s="7">
        <v>15.625</v>
      </c>
      <c r="Y2583" s="7">
        <v>15.875</v>
      </c>
      <c r="Z2583" s="7">
        <v>15.875</v>
      </c>
      <c r="AA2583" s="6">
        <v>29.75</v>
      </c>
      <c r="AB2583" s="7">
        <v>37.237000000000002</v>
      </c>
      <c r="AC2583" s="2"/>
    </row>
    <row r="2584" spans="1:29" ht="78" x14ac:dyDescent="0.15">
      <c r="A2584" s="3">
        <f>DATE(1996,7,22)</f>
        <v>35268</v>
      </c>
      <c r="B2584" s="3">
        <f>DATE(1996,10,25)</f>
        <v>35363</v>
      </c>
      <c r="C2584" s="2" t="s">
        <v>95</v>
      </c>
      <c r="D2584" s="2" t="s">
        <v>8275</v>
      </c>
      <c r="E2584" s="2" t="s">
        <v>8276</v>
      </c>
      <c r="F2584" s="4">
        <v>3661</v>
      </c>
      <c r="G2584" s="2" t="s">
        <v>921</v>
      </c>
      <c r="H2584" s="2" t="s">
        <v>34</v>
      </c>
      <c r="I2584" s="2" t="s">
        <v>7444</v>
      </c>
      <c r="J2584" s="2" t="s">
        <v>7445</v>
      </c>
      <c r="K2584" s="2" t="s">
        <v>50</v>
      </c>
      <c r="L2584" s="2" t="s">
        <v>34</v>
      </c>
      <c r="M2584" s="10">
        <v>30698.73</v>
      </c>
      <c r="N2584" s="7">
        <v>50.625</v>
      </c>
      <c r="O2584" s="7">
        <v>47.125</v>
      </c>
      <c r="P2584" s="2" t="s">
        <v>8277</v>
      </c>
      <c r="Q2584" s="6">
        <v>100</v>
      </c>
      <c r="R2584" s="6">
        <v>13.35</v>
      </c>
      <c r="S2584" s="5">
        <v>-8.1999999999999993</v>
      </c>
      <c r="T2584" s="7">
        <v>-7.3540000000000001</v>
      </c>
      <c r="U2584" s="5">
        <v>1.2</v>
      </c>
      <c r="V2584" s="7">
        <v>-0.59199999999999997</v>
      </c>
      <c r="W2584" s="7">
        <v>10.875</v>
      </c>
      <c r="X2584" s="7">
        <v>10.875</v>
      </c>
      <c r="Y2584" s="7">
        <v>12.813000000000001</v>
      </c>
      <c r="Z2584" s="7">
        <v>12.875</v>
      </c>
      <c r="AA2584" s="6">
        <v>13.68</v>
      </c>
      <c r="AB2584" s="2" t="s">
        <v>86</v>
      </c>
      <c r="AC2584" s="6">
        <v>439.53</v>
      </c>
    </row>
    <row r="2585" spans="1:29" ht="156" x14ac:dyDescent="0.15">
      <c r="A2585" s="3">
        <f>DATE(1996,7,22)</f>
        <v>35268</v>
      </c>
      <c r="B2585" s="3">
        <f>DATE(1997,7,29)</f>
        <v>35640</v>
      </c>
      <c r="C2585" s="2" t="s">
        <v>95</v>
      </c>
      <c r="D2585" s="2" t="s">
        <v>8278</v>
      </c>
      <c r="E2585" s="2" t="s">
        <v>1387</v>
      </c>
      <c r="F2585" s="4">
        <v>4924</v>
      </c>
      <c r="G2585" s="2" t="s">
        <v>439</v>
      </c>
      <c r="H2585" s="2" t="s">
        <v>34</v>
      </c>
      <c r="I2585" s="2" t="s">
        <v>8279</v>
      </c>
      <c r="J2585" s="2" t="s">
        <v>2529</v>
      </c>
      <c r="K2585" s="2" t="s">
        <v>439</v>
      </c>
      <c r="L2585" s="2" t="s">
        <v>34</v>
      </c>
      <c r="M2585" s="7">
        <v>414.85599999999999</v>
      </c>
      <c r="N2585" s="7">
        <v>22.625</v>
      </c>
      <c r="O2585" s="6">
        <v>21.75</v>
      </c>
      <c r="P2585" s="2" t="s">
        <v>8280</v>
      </c>
      <c r="Q2585" s="6">
        <v>100</v>
      </c>
      <c r="R2585" s="6">
        <v>25.88</v>
      </c>
      <c r="S2585" s="5">
        <v>9.9</v>
      </c>
      <c r="T2585" s="7">
        <v>49.904000000000003</v>
      </c>
      <c r="U2585" s="5">
        <v>11.5</v>
      </c>
      <c r="V2585" s="6">
        <v>0.84</v>
      </c>
      <c r="W2585" s="6">
        <v>15.75</v>
      </c>
      <c r="X2585" s="4">
        <v>17</v>
      </c>
      <c r="Y2585" s="7">
        <v>19.875</v>
      </c>
      <c r="Z2585" s="6">
        <v>19.75</v>
      </c>
      <c r="AA2585" s="6">
        <v>12.83</v>
      </c>
      <c r="AB2585" s="7">
        <v>17.593</v>
      </c>
      <c r="AC2585" s="6">
        <v>2.29</v>
      </c>
    </row>
    <row r="2586" spans="1:29" ht="65" x14ac:dyDescent="0.15">
      <c r="A2586" s="3">
        <f>DATE(1996,7,22)</f>
        <v>35268</v>
      </c>
      <c r="B2586" s="2"/>
      <c r="C2586" s="2" t="s">
        <v>87</v>
      </c>
      <c r="D2586" s="2" t="s">
        <v>6858</v>
      </c>
      <c r="E2586" s="2" t="s">
        <v>6859</v>
      </c>
      <c r="F2586" s="4">
        <v>3523</v>
      </c>
      <c r="G2586" s="2" t="s">
        <v>300</v>
      </c>
      <c r="H2586" s="2" t="s">
        <v>34</v>
      </c>
      <c r="I2586" s="2" t="s">
        <v>8281</v>
      </c>
      <c r="J2586" s="2" t="s">
        <v>8282</v>
      </c>
      <c r="K2586" s="2" t="s">
        <v>300</v>
      </c>
      <c r="L2586" s="2" t="s">
        <v>34</v>
      </c>
      <c r="M2586" s="12">
        <v>13425.082</v>
      </c>
      <c r="N2586" s="7">
        <v>65.625</v>
      </c>
      <c r="O2586" s="6">
        <v>64.75</v>
      </c>
      <c r="P2586" s="2" t="s">
        <v>8283</v>
      </c>
      <c r="Q2586" s="2"/>
      <c r="R2586" s="2"/>
      <c r="S2586" s="5">
        <v>125.5</v>
      </c>
      <c r="T2586" s="5">
        <v>273.3</v>
      </c>
      <c r="U2586" s="5">
        <v>18.8</v>
      </c>
      <c r="V2586" s="6">
        <v>3</v>
      </c>
      <c r="W2586" s="11">
        <v>31.29954</v>
      </c>
      <c r="X2586" s="11">
        <v>32.138440000000003</v>
      </c>
      <c r="Y2586" s="6">
        <v>44.75</v>
      </c>
      <c r="Z2586" s="7">
        <v>43.875</v>
      </c>
      <c r="AA2586" s="2"/>
      <c r="AB2586" s="2" t="s">
        <v>47</v>
      </c>
      <c r="AC2586" s="5">
        <v>638</v>
      </c>
    </row>
    <row r="2587" spans="1:29" ht="143" x14ac:dyDescent="0.15">
      <c r="A2587" s="3">
        <f>DATE(1996,7,24)</f>
        <v>35270</v>
      </c>
      <c r="B2587" s="3">
        <f>DATE(1996,10,11)</f>
        <v>35349</v>
      </c>
      <c r="C2587" s="2" t="s">
        <v>95</v>
      </c>
      <c r="D2587" s="2" t="s">
        <v>8284</v>
      </c>
      <c r="E2587" s="2" t="s">
        <v>8285</v>
      </c>
      <c r="F2587" s="4">
        <v>4783</v>
      </c>
      <c r="G2587" s="2" t="s">
        <v>173</v>
      </c>
      <c r="H2587" s="2" t="s">
        <v>34</v>
      </c>
      <c r="I2587" s="2" t="s">
        <v>6702</v>
      </c>
      <c r="J2587" s="2" t="s">
        <v>6703</v>
      </c>
      <c r="K2587" s="2" t="s">
        <v>593</v>
      </c>
      <c r="L2587" s="2" t="s">
        <v>34</v>
      </c>
      <c r="M2587" s="7">
        <v>460.13600000000002</v>
      </c>
      <c r="N2587" s="4">
        <v>67</v>
      </c>
      <c r="O2587" s="7">
        <v>67.375</v>
      </c>
      <c r="P2587" s="2" t="s">
        <v>8286</v>
      </c>
      <c r="Q2587" s="6">
        <v>100</v>
      </c>
      <c r="R2587" s="6">
        <v>23.22</v>
      </c>
      <c r="S2587" s="5">
        <v>9.3000000000000007</v>
      </c>
      <c r="T2587" s="7">
        <v>24.577999999999999</v>
      </c>
      <c r="U2587" s="5">
        <v>9.9</v>
      </c>
      <c r="V2587" s="7">
        <v>1.5049999999999999</v>
      </c>
      <c r="W2587" s="6">
        <v>16.25</v>
      </c>
      <c r="X2587" s="7">
        <v>16.125</v>
      </c>
      <c r="Y2587" s="5">
        <v>21.5</v>
      </c>
      <c r="Z2587" s="7">
        <v>21.875</v>
      </c>
      <c r="AA2587" s="6">
        <v>6.21</v>
      </c>
      <c r="AB2587" s="7">
        <v>11.875999999999999</v>
      </c>
      <c r="AC2587" s="6">
        <v>342.14</v>
      </c>
    </row>
    <row r="2588" spans="1:29" ht="156" x14ac:dyDescent="0.15">
      <c r="A2588" s="3">
        <f>DATE(1996,7,25)</f>
        <v>35271</v>
      </c>
      <c r="B2588" s="2"/>
      <c r="C2588" s="2" t="s">
        <v>30</v>
      </c>
      <c r="D2588" s="2" t="s">
        <v>8287</v>
      </c>
      <c r="E2588" s="2" t="s">
        <v>1181</v>
      </c>
      <c r="F2588" s="4">
        <v>6022</v>
      </c>
      <c r="G2588" s="2" t="s">
        <v>37</v>
      </c>
      <c r="H2588" s="2" t="s">
        <v>34</v>
      </c>
      <c r="I2588" s="2" t="s">
        <v>8288</v>
      </c>
      <c r="J2588" s="2" t="s">
        <v>36</v>
      </c>
      <c r="K2588" s="2" t="s">
        <v>37</v>
      </c>
      <c r="L2588" s="2" t="s">
        <v>34</v>
      </c>
      <c r="M2588" s="7">
        <v>155.96299999999999</v>
      </c>
      <c r="N2588" s="5">
        <v>24.5</v>
      </c>
      <c r="O2588" s="4">
        <v>24</v>
      </c>
      <c r="P2588" s="2" t="s">
        <v>8289</v>
      </c>
      <c r="Q2588" s="2"/>
      <c r="R2588" s="6">
        <v>27.2</v>
      </c>
      <c r="S2588" s="5">
        <v>1.4</v>
      </c>
      <c r="T2588" s="6">
        <v>1.51</v>
      </c>
      <c r="U2588" s="5">
        <v>10.7</v>
      </c>
      <c r="V2588" s="6">
        <v>1.55</v>
      </c>
      <c r="W2588" s="4">
        <v>13</v>
      </c>
      <c r="X2588" s="4">
        <v>13</v>
      </c>
      <c r="Y2588" s="4">
        <v>13</v>
      </c>
      <c r="Z2588" s="4">
        <v>13</v>
      </c>
      <c r="AA2588" s="6">
        <v>1.07</v>
      </c>
      <c r="AB2588" s="7">
        <v>112.059</v>
      </c>
      <c r="AC2588" s="2"/>
    </row>
    <row r="2589" spans="1:29" ht="117" x14ac:dyDescent="0.15">
      <c r="A2589" s="3">
        <f>DATE(1996,7,25)</f>
        <v>35271</v>
      </c>
      <c r="B2589" s="3">
        <f>DATE(1996,11,25)</f>
        <v>35394</v>
      </c>
      <c r="C2589" s="2" t="s">
        <v>95</v>
      </c>
      <c r="D2589" s="2" t="s">
        <v>8290</v>
      </c>
      <c r="E2589" s="2" t="s">
        <v>8291</v>
      </c>
      <c r="F2589" s="4">
        <v>2834</v>
      </c>
      <c r="G2589" s="2" t="s">
        <v>130</v>
      </c>
      <c r="H2589" s="2" t="s">
        <v>34</v>
      </c>
      <c r="I2589" s="2" t="s">
        <v>8292</v>
      </c>
      <c r="J2589" s="2" t="s">
        <v>8293</v>
      </c>
      <c r="K2589" s="2" t="s">
        <v>130</v>
      </c>
      <c r="L2589" s="2" t="s">
        <v>902</v>
      </c>
      <c r="M2589" s="2"/>
      <c r="N2589" s="2"/>
      <c r="O2589" s="2"/>
      <c r="P2589" s="2" t="s">
        <v>8294</v>
      </c>
      <c r="Q2589" s="6">
        <v>61.26</v>
      </c>
      <c r="R2589" s="6">
        <v>4.3499999999999996</v>
      </c>
      <c r="S2589" s="5">
        <v>-1.7</v>
      </c>
      <c r="T2589" s="7">
        <v>-1.637</v>
      </c>
      <c r="U2589" s="5">
        <v>-0.1</v>
      </c>
      <c r="V2589" s="6">
        <v>-0.25</v>
      </c>
      <c r="W2589" s="7">
        <v>3.375</v>
      </c>
      <c r="X2589" s="7">
        <v>3.375</v>
      </c>
      <c r="Y2589" s="6">
        <v>3.75</v>
      </c>
      <c r="Z2589" s="7">
        <v>4.125</v>
      </c>
      <c r="AA2589" s="6">
        <v>7.5</v>
      </c>
      <c r="AB2589" s="2" t="s">
        <v>86</v>
      </c>
      <c r="AC2589" s="6">
        <v>12.18</v>
      </c>
    </row>
    <row r="2590" spans="1:29" ht="104" x14ac:dyDescent="0.15">
      <c r="A2590" s="3">
        <f>DATE(1996,7,25)</f>
        <v>35271</v>
      </c>
      <c r="B2590" s="2"/>
      <c r="C2590" s="2" t="s">
        <v>7330</v>
      </c>
      <c r="D2590" s="2" t="s">
        <v>8295</v>
      </c>
      <c r="E2590" s="2" t="s">
        <v>1040</v>
      </c>
      <c r="F2590" s="4">
        <v>6035</v>
      </c>
      <c r="G2590" s="2" t="s">
        <v>33</v>
      </c>
      <c r="H2590" s="2" t="s">
        <v>34</v>
      </c>
      <c r="I2590" s="2" t="s">
        <v>8296</v>
      </c>
      <c r="J2590" s="2" t="s">
        <v>1181</v>
      </c>
      <c r="K2590" s="2" t="s">
        <v>37</v>
      </c>
      <c r="L2590" s="2" t="s">
        <v>34</v>
      </c>
      <c r="M2590" s="2"/>
      <c r="N2590" s="2"/>
      <c r="O2590" s="2"/>
      <c r="P2590" s="2" t="s">
        <v>8297</v>
      </c>
      <c r="Q2590" s="2"/>
      <c r="R2590" s="6">
        <v>23.5</v>
      </c>
      <c r="S2590" s="5">
        <v>1.4</v>
      </c>
      <c r="T2590" s="6">
        <v>2.29</v>
      </c>
      <c r="U2590" s="5">
        <v>16.399999999999999</v>
      </c>
      <c r="V2590" s="6">
        <v>2.57</v>
      </c>
      <c r="W2590" s="4">
        <v>22</v>
      </c>
      <c r="X2590" s="4">
        <v>22</v>
      </c>
      <c r="Y2590" s="4">
        <v>23</v>
      </c>
      <c r="Z2590" s="7">
        <v>22.125</v>
      </c>
      <c r="AA2590" s="6">
        <v>0.55000000000000004</v>
      </c>
      <c r="AB2590" s="7">
        <v>70.619</v>
      </c>
      <c r="AC2590" s="2"/>
    </row>
    <row r="2591" spans="1:29" ht="52" x14ac:dyDescent="0.15">
      <c r="A2591" s="3">
        <f>DATE(1996,7,25)</f>
        <v>35271</v>
      </c>
      <c r="B2591" s="2"/>
      <c r="C2591" s="2" t="s">
        <v>30</v>
      </c>
      <c r="D2591" s="2" t="s">
        <v>8298</v>
      </c>
      <c r="E2591" s="2" t="s">
        <v>2241</v>
      </c>
      <c r="F2591" s="4">
        <v>8011</v>
      </c>
      <c r="G2591" s="2" t="s">
        <v>454</v>
      </c>
      <c r="H2591" s="2" t="s">
        <v>34</v>
      </c>
      <c r="I2591" s="2" t="s">
        <v>8299</v>
      </c>
      <c r="J2591" s="2" t="s">
        <v>8300</v>
      </c>
      <c r="K2591" s="2" t="s">
        <v>454</v>
      </c>
      <c r="L2591" s="2" t="s">
        <v>34</v>
      </c>
      <c r="M2591" s="7">
        <v>696.52800000000002</v>
      </c>
      <c r="N2591" s="7">
        <v>25.875</v>
      </c>
      <c r="O2591" s="7">
        <v>28.687999999999999</v>
      </c>
      <c r="P2591" s="2" t="s">
        <v>8301</v>
      </c>
      <c r="Q2591" s="2"/>
      <c r="R2591" s="6">
        <v>7</v>
      </c>
      <c r="S2591" s="5">
        <v>1.3</v>
      </c>
      <c r="T2591" s="7">
        <v>2.7909999999999999</v>
      </c>
      <c r="U2591" s="5">
        <v>1.9</v>
      </c>
      <c r="V2591" s="7">
        <v>0.153</v>
      </c>
      <c r="W2591" s="6">
        <v>4.25</v>
      </c>
      <c r="X2591" s="4">
        <v>4</v>
      </c>
      <c r="Y2591" s="7">
        <v>4.875</v>
      </c>
      <c r="Z2591" s="7">
        <v>5.375</v>
      </c>
      <c r="AA2591" s="6">
        <v>8.5</v>
      </c>
      <c r="AB2591" s="7">
        <v>37.622999999999998</v>
      </c>
      <c r="AC2591" s="6">
        <v>6.83</v>
      </c>
    </row>
    <row r="2592" spans="1:29" ht="52" x14ac:dyDescent="0.15">
      <c r="A2592" s="3">
        <f>DATE(1996,7,26)</f>
        <v>35272</v>
      </c>
      <c r="B2592" s="3">
        <f>DATE(1996,7,26)</f>
        <v>35272</v>
      </c>
      <c r="C2592" s="2" t="s">
        <v>95</v>
      </c>
      <c r="D2592" s="2" t="s">
        <v>5630</v>
      </c>
      <c r="E2592" s="2" t="s">
        <v>5631</v>
      </c>
      <c r="F2592" s="4">
        <v>3089</v>
      </c>
      <c r="G2592" s="2" t="s">
        <v>447</v>
      </c>
      <c r="H2592" s="2" t="s">
        <v>34</v>
      </c>
      <c r="I2592" s="2" t="s">
        <v>5632</v>
      </c>
      <c r="J2592" s="2" t="s">
        <v>5633</v>
      </c>
      <c r="K2592" s="2" t="s">
        <v>447</v>
      </c>
      <c r="L2592" s="2" t="s">
        <v>34</v>
      </c>
      <c r="M2592" s="7">
        <v>91.754999999999995</v>
      </c>
      <c r="N2592" s="7">
        <v>18.625</v>
      </c>
      <c r="O2592" s="6">
        <v>18.25</v>
      </c>
      <c r="P2592" s="2" t="s">
        <v>8302</v>
      </c>
      <c r="Q2592" s="6">
        <v>14</v>
      </c>
      <c r="R2592" s="2"/>
      <c r="S2592" s="5">
        <v>-3.8</v>
      </c>
      <c r="T2592" s="7">
        <v>-2.0819999999999999</v>
      </c>
      <c r="U2592" s="5">
        <v>0.2</v>
      </c>
      <c r="V2592" s="7">
        <v>-1.9670000000000001</v>
      </c>
      <c r="W2592" s="4">
        <v>2</v>
      </c>
      <c r="X2592" s="4">
        <v>2</v>
      </c>
      <c r="Y2592" s="7">
        <v>2.0630000000000002</v>
      </c>
      <c r="Z2592" s="7">
        <v>2.125</v>
      </c>
      <c r="AA2592" s="6">
        <v>9.1999999999999993</v>
      </c>
      <c r="AB2592" s="2" t="s">
        <v>86</v>
      </c>
      <c r="AC2592" s="2"/>
    </row>
    <row r="2593" spans="1:29" ht="130" x14ac:dyDescent="0.15">
      <c r="A2593" s="3">
        <f>DATE(1996,7,26)</f>
        <v>35272</v>
      </c>
      <c r="B2593" s="2"/>
      <c r="C2593" s="2" t="s">
        <v>30</v>
      </c>
      <c r="D2593" s="2" t="s">
        <v>6320</v>
      </c>
      <c r="E2593" s="2" t="s">
        <v>6321</v>
      </c>
      <c r="F2593" s="4">
        <v>6798</v>
      </c>
      <c r="G2593" s="2" t="s">
        <v>53</v>
      </c>
      <c r="H2593" s="2" t="s">
        <v>34</v>
      </c>
      <c r="I2593" s="2" t="s">
        <v>8303</v>
      </c>
      <c r="J2593" s="2" t="s">
        <v>302</v>
      </c>
      <c r="K2593" s="2" t="s">
        <v>53</v>
      </c>
      <c r="L2593" s="2" t="s">
        <v>34</v>
      </c>
      <c r="M2593" s="2"/>
      <c r="N2593" s="2"/>
      <c r="O2593" s="2"/>
      <c r="P2593" s="2" t="s">
        <v>8304</v>
      </c>
      <c r="Q2593" s="2"/>
      <c r="R2593" s="6">
        <v>8</v>
      </c>
      <c r="S2593" s="5">
        <v>0.1</v>
      </c>
      <c r="T2593" s="7">
        <v>1.4470000000000001</v>
      </c>
      <c r="U2593" s="5">
        <v>10.3</v>
      </c>
      <c r="V2593" s="6">
        <v>0.04</v>
      </c>
      <c r="W2593" s="6">
        <v>6.75</v>
      </c>
      <c r="X2593" s="7">
        <v>6.6879999999999997</v>
      </c>
      <c r="Y2593" s="5">
        <v>7.5</v>
      </c>
      <c r="Z2593" s="5">
        <v>7.5</v>
      </c>
      <c r="AA2593" s="6">
        <v>1.37</v>
      </c>
      <c r="AB2593" s="7">
        <v>457.733</v>
      </c>
      <c r="AC2593" s="2"/>
    </row>
    <row r="2594" spans="1:29" ht="78" x14ac:dyDescent="0.15">
      <c r="A2594" s="3">
        <f>DATE(1996,7,26)</f>
        <v>35272</v>
      </c>
      <c r="B2594" s="2"/>
      <c r="C2594" s="2" t="s">
        <v>7330</v>
      </c>
      <c r="D2594" s="2" t="s">
        <v>8305</v>
      </c>
      <c r="E2594" s="2" t="s">
        <v>386</v>
      </c>
      <c r="F2594" s="4">
        <v>6726</v>
      </c>
      <c r="G2594" s="2" t="s">
        <v>53</v>
      </c>
      <c r="H2594" s="2" t="s">
        <v>34</v>
      </c>
      <c r="I2594" s="2" t="s">
        <v>8306</v>
      </c>
      <c r="J2594" s="2" t="s">
        <v>386</v>
      </c>
      <c r="K2594" s="2" t="s">
        <v>53</v>
      </c>
      <c r="L2594" s="2" t="s">
        <v>34</v>
      </c>
      <c r="M2594" s="2"/>
      <c r="N2594" s="5">
        <v>11.5</v>
      </c>
      <c r="O2594" s="5">
        <v>11.5</v>
      </c>
      <c r="P2594" s="2" t="s">
        <v>8307</v>
      </c>
      <c r="Q2594" s="2"/>
      <c r="R2594" s="2"/>
      <c r="S2594" s="2"/>
      <c r="T2594" s="2"/>
      <c r="U2594" s="2"/>
      <c r="V2594" s="2"/>
      <c r="W2594" s="4">
        <v>13</v>
      </c>
      <c r="X2594" s="6">
        <v>12.75</v>
      </c>
      <c r="Y2594" s="6">
        <v>12.75</v>
      </c>
      <c r="Z2594" s="7">
        <v>12.875</v>
      </c>
      <c r="AA2594" s="2"/>
      <c r="AB2594" s="2" t="s">
        <v>47</v>
      </c>
      <c r="AC2594" s="2"/>
    </row>
    <row r="2595" spans="1:29" ht="156" x14ac:dyDescent="0.15">
      <c r="A2595" s="3">
        <f>DATE(1996,7,29)</f>
        <v>35275</v>
      </c>
      <c r="B2595" s="3">
        <f>DATE(1997,1,3)</f>
        <v>35433</v>
      </c>
      <c r="C2595" s="2" t="s">
        <v>95</v>
      </c>
      <c r="D2595" s="2" t="s">
        <v>8308</v>
      </c>
      <c r="E2595" s="2" t="s">
        <v>36</v>
      </c>
      <c r="F2595" s="4">
        <v>6035</v>
      </c>
      <c r="G2595" s="2" t="s">
        <v>33</v>
      </c>
      <c r="H2595" s="2" t="s">
        <v>34</v>
      </c>
      <c r="I2595" s="2" t="s">
        <v>7310</v>
      </c>
      <c r="J2595" s="2" t="s">
        <v>389</v>
      </c>
      <c r="K2595" s="2" t="s">
        <v>33</v>
      </c>
      <c r="L2595" s="2" t="s">
        <v>34</v>
      </c>
      <c r="M2595" s="2"/>
      <c r="N2595" s="2"/>
      <c r="O2595" s="2"/>
      <c r="P2595" s="2" t="s">
        <v>8309</v>
      </c>
      <c r="Q2595" s="6">
        <v>100</v>
      </c>
      <c r="R2595" s="6">
        <v>23.5</v>
      </c>
      <c r="S2595" s="5">
        <v>93.6</v>
      </c>
      <c r="T2595" s="5">
        <v>106.7</v>
      </c>
      <c r="U2595" s="5">
        <v>12.6</v>
      </c>
      <c r="V2595" s="6">
        <v>1.36</v>
      </c>
      <c r="W2595" s="6">
        <v>17.75</v>
      </c>
      <c r="X2595" s="7">
        <v>19.875</v>
      </c>
      <c r="Y2595" s="7">
        <v>20.125</v>
      </c>
      <c r="Z2595" s="7">
        <v>21.375</v>
      </c>
      <c r="AA2595" s="6">
        <v>49.4</v>
      </c>
      <c r="AB2595" s="7">
        <v>55.83</v>
      </c>
      <c r="AC2595" s="2"/>
    </row>
    <row r="2596" spans="1:29" ht="39" x14ac:dyDescent="0.15">
      <c r="A2596" s="3">
        <f>DATE(1996,7,29)</f>
        <v>35275</v>
      </c>
      <c r="B2596" s="2"/>
      <c r="C2596" s="2" t="s">
        <v>87</v>
      </c>
      <c r="D2596" s="2" t="s">
        <v>7076</v>
      </c>
      <c r="E2596" s="2" t="s">
        <v>7077</v>
      </c>
      <c r="F2596" s="4">
        <v>3721</v>
      </c>
      <c r="G2596" s="2" t="s">
        <v>219</v>
      </c>
      <c r="H2596" s="2" t="s">
        <v>34</v>
      </c>
      <c r="I2596" s="2" t="s">
        <v>6066</v>
      </c>
      <c r="J2596" s="2" t="s">
        <v>6067</v>
      </c>
      <c r="K2596" s="2" t="s">
        <v>226</v>
      </c>
      <c r="L2596" s="2" t="s">
        <v>34</v>
      </c>
      <c r="M2596" s="12">
        <v>12235.031000000001</v>
      </c>
      <c r="N2596" s="6">
        <v>45.25</v>
      </c>
      <c r="O2596" s="7">
        <v>47.125</v>
      </c>
      <c r="P2596" s="2" t="s">
        <v>8310</v>
      </c>
      <c r="Q2596" s="2"/>
      <c r="R2596" s="2"/>
      <c r="S2596" s="5">
        <v>-416</v>
      </c>
      <c r="T2596" s="8">
        <v>1586</v>
      </c>
      <c r="U2596" s="5">
        <v>13.6</v>
      </c>
      <c r="V2596" s="6">
        <v>-1.83</v>
      </c>
      <c r="W2596" s="7">
        <v>46.125</v>
      </c>
      <c r="X2596" s="6">
        <v>44.75</v>
      </c>
      <c r="Y2596" s="7">
        <v>44.375</v>
      </c>
      <c r="Z2596" s="6">
        <v>44.75</v>
      </c>
      <c r="AA2596" s="6">
        <v>109.18</v>
      </c>
      <c r="AB2596" s="2" t="s">
        <v>47</v>
      </c>
      <c r="AC2596" s="6">
        <v>210.28</v>
      </c>
    </row>
    <row r="2597" spans="1:29" ht="52" x14ac:dyDescent="0.15">
      <c r="A2597" s="3">
        <f>DATE(1996,7,31)</f>
        <v>35277</v>
      </c>
      <c r="B2597" s="3">
        <f>DATE(1996,11,13)</f>
        <v>35382</v>
      </c>
      <c r="C2597" s="2" t="s">
        <v>95</v>
      </c>
      <c r="D2597" s="2" t="s">
        <v>8311</v>
      </c>
      <c r="E2597" s="2" t="s">
        <v>8312</v>
      </c>
      <c r="F2597" s="2" t="s">
        <v>8313</v>
      </c>
      <c r="G2597" s="2" t="s">
        <v>426</v>
      </c>
      <c r="H2597" s="2" t="s">
        <v>34</v>
      </c>
      <c r="I2597" s="2" t="s">
        <v>8314</v>
      </c>
      <c r="J2597" s="2" t="s">
        <v>8315</v>
      </c>
      <c r="K2597" s="2" t="s">
        <v>98</v>
      </c>
      <c r="L2597" s="2" t="s">
        <v>34</v>
      </c>
      <c r="M2597" s="2"/>
      <c r="N2597" s="6">
        <v>31.25</v>
      </c>
      <c r="O2597" s="6">
        <v>31.25</v>
      </c>
      <c r="P2597" s="2" t="s">
        <v>8316</v>
      </c>
      <c r="Q2597" s="6">
        <v>9.3699999999999992</v>
      </c>
      <c r="R2597" s="6">
        <v>8</v>
      </c>
      <c r="S2597" s="5">
        <v>-97</v>
      </c>
      <c r="T2597" s="7">
        <v>-14.147</v>
      </c>
      <c r="U2597" s="5">
        <v>1.5</v>
      </c>
      <c r="V2597" s="9">
        <v>-2.5608</v>
      </c>
      <c r="W2597" s="7">
        <v>4.4379999999999997</v>
      </c>
      <c r="X2597" s="7">
        <v>4.875</v>
      </c>
      <c r="Y2597" s="7">
        <v>6.1879999999999997</v>
      </c>
      <c r="Z2597" s="7">
        <v>6.125</v>
      </c>
      <c r="AA2597" s="6">
        <v>66.709999999999994</v>
      </c>
      <c r="AB2597" s="2" t="s">
        <v>86</v>
      </c>
      <c r="AC2597" s="2"/>
    </row>
    <row r="2598" spans="1:29" ht="65" x14ac:dyDescent="0.15">
      <c r="A2598" s="3">
        <f>DATE(1996,7,31)</f>
        <v>35277</v>
      </c>
      <c r="B2598" s="3">
        <f>DATE(1996,9,17)</f>
        <v>35325</v>
      </c>
      <c r="C2598" s="2" t="s">
        <v>95</v>
      </c>
      <c r="D2598" s="2" t="s">
        <v>8317</v>
      </c>
      <c r="E2598" s="2" t="s">
        <v>3439</v>
      </c>
      <c r="F2598" s="4">
        <v>5411</v>
      </c>
      <c r="G2598" s="2" t="s">
        <v>1461</v>
      </c>
      <c r="H2598" s="2" t="s">
        <v>34</v>
      </c>
      <c r="I2598" s="2" t="s">
        <v>51</v>
      </c>
      <c r="J2598" s="2" t="s">
        <v>52</v>
      </c>
      <c r="K2598" s="2" t="s">
        <v>53</v>
      </c>
      <c r="L2598" s="2" t="s">
        <v>34</v>
      </c>
      <c r="M2598" s="2"/>
      <c r="N2598" s="2"/>
      <c r="O2598" s="2"/>
      <c r="P2598" s="2" t="s">
        <v>8318</v>
      </c>
      <c r="Q2598" s="6">
        <v>60</v>
      </c>
      <c r="R2598" s="2"/>
      <c r="S2598" s="5">
        <v>-139.19999999999999</v>
      </c>
      <c r="T2598" s="7">
        <v>119.91800000000001</v>
      </c>
      <c r="U2598" s="5">
        <v>4.4000000000000004</v>
      </c>
      <c r="V2598" s="6">
        <v>-13.92</v>
      </c>
      <c r="W2598" s="7">
        <v>5.9379999999999997</v>
      </c>
      <c r="X2598" s="7">
        <v>5.625</v>
      </c>
      <c r="Y2598" s="7">
        <v>6.125</v>
      </c>
      <c r="Z2598" s="6">
        <v>6.25</v>
      </c>
      <c r="AA2598" s="2"/>
      <c r="AB2598" s="2" t="s">
        <v>86</v>
      </c>
      <c r="AC2598" s="2"/>
    </row>
    <row r="2599" spans="1:29" ht="52" x14ac:dyDescent="0.15">
      <c r="A2599" s="3">
        <f>DATE(1996,8,1)</f>
        <v>35278</v>
      </c>
      <c r="B2599" s="2"/>
      <c r="C2599" s="2" t="s">
        <v>141</v>
      </c>
      <c r="D2599" s="2" t="s">
        <v>8319</v>
      </c>
      <c r="E2599" s="2" t="s">
        <v>8320</v>
      </c>
      <c r="F2599" s="4">
        <v>4924</v>
      </c>
      <c r="G2599" s="2" t="s">
        <v>439</v>
      </c>
      <c r="H2599" s="2" t="s">
        <v>34</v>
      </c>
      <c r="I2599" s="2" t="s">
        <v>143</v>
      </c>
      <c r="J2599" s="2" t="s">
        <v>144</v>
      </c>
      <c r="K2599" s="2" t="s">
        <v>53</v>
      </c>
      <c r="L2599" s="2" t="s">
        <v>139</v>
      </c>
      <c r="M2599" s="2"/>
      <c r="N2599" s="2"/>
      <c r="O2599" s="2"/>
      <c r="P2599" s="2" t="s">
        <v>8321</v>
      </c>
      <c r="Q2599" s="2"/>
      <c r="R2599" s="2"/>
      <c r="S2599" s="2"/>
      <c r="T2599" s="2"/>
      <c r="U2599" s="2"/>
      <c r="V2599" s="2"/>
      <c r="W2599" s="6">
        <v>21.25</v>
      </c>
      <c r="X2599" s="6">
        <v>20.75</v>
      </c>
      <c r="Y2599" s="4">
        <v>22</v>
      </c>
      <c r="Z2599" s="7">
        <v>21.875</v>
      </c>
      <c r="AA2599" s="2"/>
      <c r="AB2599" s="2" t="s">
        <v>47</v>
      </c>
      <c r="AC2599" s="2"/>
    </row>
    <row r="2600" spans="1:29" ht="208" x14ac:dyDescent="0.15">
      <c r="A2600" s="3">
        <f>DATE(1996,8,2)</f>
        <v>35279</v>
      </c>
      <c r="B2600" s="2"/>
      <c r="C2600" s="2" t="s">
        <v>30</v>
      </c>
      <c r="D2600" s="2" t="s">
        <v>6145</v>
      </c>
      <c r="E2600" s="2" t="s">
        <v>6146</v>
      </c>
      <c r="F2600" s="4">
        <v>3845</v>
      </c>
      <c r="G2600" s="2" t="s">
        <v>226</v>
      </c>
      <c r="H2600" s="2" t="s">
        <v>34</v>
      </c>
      <c r="I2600" s="2" t="s">
        <v>4983</v>
      </c>
      <c r="J2600" s="2" t="s">
        <v>4984</v>
      </c>
      <c r="K2600" s="2" t="s">
        <v>76</v>
      </c>
      <c r="L2600" s="2" t="s">
        <v>34</v>
      </c>
      <c r="M2600" s="12">
        <v>1934.037</v>
      </c>
      <c r="N2600" s="4">
        <v>35</v>
      </c>
      <c r="O2600" s="6">
        <v>34.75</v>
      </c>
      <c r="P2600" s="2" t="s">
        <v>8322</v>
      </c>
      <c r="Q2600" s="2"/>
      <c r="R2600" s="6">
        <v>16.5</v>
      </c>
      <c r="S2600" s="5">
        <v>-5.4</v>
      </c>
      <c r="T2600" s="7">
        <v>12.417999999999999</v>
      </c>
      <c r="U2600" s="5">
        <v>6.9</v>
      </c>
      <c r="V2600" s="7">
        <v>-0.40699999999999997</v>
      </c>
      <c r="W2600" s="7">
        <v>10.563000000000001</v>
      </c>
      <c r="X2600" s="7">
        <v>12.125</v>
      </c>
      <c r="Y2600" s="6">
        <v>19.25</v>
      </c>
      <c r="Z2600" s="7">
        <v>19.125</v>
      </c>
      <c r="AA2600" s="6">
        <v>13.24</v>
      </c>
      <c r="AB2600" s="7">
        <v>70.388999999999996</v>
      </c>
      <c r="AC2600" s="5">
        <v>106.7</v>
      </c>
    </row>
    <row r="2601" spans="1:29" ht="130" x14ac:dyDescent="0.15">
      <c r="A2601" s="3">
        <f>DATE(1996,8,2)</f>
        <v>35279</v>
      </c>
      <c r="B2601" s="3">
        <f>DATE(1996,11,7)</f>
        <v>35376</v>
      </c>
      <c r="C2601" s="2" t="s">
        <v>95</v>
      </c>
      <c r="D2601" s="2" t="s">
        <v>8323</v>
      </c>
      <c r="E2601" s="2" t="s">
        <v>7816</v>
      </c>
      <c r="F2601" s="4">
        <v>3661</v>
      </c>
      <c r="G2601" s="2" t="s">
        <v>921</v>
      </c>
      <c r="H2601" s="2" t="s">
        <v>34</v>
      </c>
      <c r="I2601" s="2" t="s">
        <v>8324</v>
      </c>
      <c r="J2601" s="2" t="s">
        <v>8325</v>
      </c>
      <c r="K2601" s="2" t="s">
        <v>63</v>
      </c>
      <c r="L2601" s="2" t="s">
        <v>34</v>
      </c>
      <c r="M2601" s="7">
        <v>206.536</v>
      </c>
      <c r="N2601" s="4">
        <v>14</v>
      </c>
      <c r="O2601" s="9">
        <v>11.5625</v>
      </c>
      <c r="P2601" s="2" t="s">
        <v>8326</v>
      </c>
      <c r="Q2601" s="6">
        <v>100</v>
      </c>
      <c r="R2601" s="6">
        <v>12</v>
      </c>
      <c r="S2601" s="5">
        <v>12</v>
      </c>
      <c r="T2601" s="7">
        <v>21.975000000000001</v>
      </c>
      <c r="U2601" s="5">
        <v>5.5</v>
      </c>
      <c r="V2601" s="7">
        <v>0.77200000000000002</v>
      </c>
      <c r="W2601" s="4">
        <v>9</v>
      </c>
      <c r="X2601" s="4">
        <v>10</v>
      </c>
      <c r="Y2601" s="6">
        <v>10.25</v>
      </c>
      <c r="Z2601" s="7">
        <v>10.875</v>
      </c>
      <c r="AA2601" s="6">
        <v>15.43</v>
      </c>
      <c r="AB2601" s="7">
        <v>10.346</v>
      </c>
      <c r="AC2601" s="2"/>
    </row>
    <row r="2602" spans="1:29" ht="143" x14ac:dyDescent="0.15">
      <c r="A2602" s="3">
        <f>DATE(1996,8,2)</f>
        <v>35279</v>
      </c>
      <c r="B2602" s="3">
        <f>DATE(1996,11,29)</f>
        <v>35398</v>
      </c>
      <c r="C2602" s="2" t="s">
        <v>95</v>
      </c>
      <c r="D2602" s="2" t="s">
        <v>8327</v>
      </c>
      <c r="E2602" s="2" t="s">
        <v>515</v>
      </c>
      <c r="F2602" s="4">
        <v>6311</v>
      </c>
      <c r="G2602" s="2" t="s">
        <v>125</v>
      </c>
      <c r="H2602" s="2" t="s">
        <v>34</v>
      </c>
      <c r="I2602" s="2" t="s">
        <v>4726</v>
      </c>
      <c r="J2602" s="2" t="s">
        <v>4727</v>
      </c>
      <c r="K2602" s="2" t="s">
        <v>370</v>
      </c>
      <c r="L2602" s="2" t="s">
        <v>34</v>
      </c>
      <c r="M2602" s="2"/>
      <c r="N2602" s="2"/>
      <c r="O2602" s="2"/>
      <c r="P2602" s="2" t="s">
        <v>8328</v>
      </c>
      <c r="Q2602" s="6">
        <v>100</v>
      </c>
      <c r="R2602" s="6">
        <v>36.15</v>
      </c>
      <c r="S2602" s="5">
        <v>151.4</v>
      </c>
      <c r="T2602" s="2"/>
      <c r="U2602" s="5">
        <v>27.8</v>
      </c>
      <c r="V2602" s="6">
        <v>3</v>
      </c>
      <c r="W2602" s="6">
        <v>27.25</v>
      </c>
      <c r="X2602" s="6">
        <v>26.25</v>
      </c>
      <c r="Y2602" s="4">
        <v>27</v>
      </c>
      <c r="Z2602" s="7">
        <v>30.625</v>
      </c>
      <c r="AA2602" s="6">
        <v>49.3</v>
      </c>
      <c r="AB2602" s="7">
        <v>8.17</v>
      </c>
      <c r="AC2602" s="2"/>
    </row>
    <row r="2603" spans="1:29" ht="130" x14ac:dyDescent="0.15">
      <c r="A2603" s="3">
        <f>DATE(1996,8,5)</f>
        <v>35282</v>
      </c>
      <c r="B2603" s="3">
        <f>DATE(1997,4,7)</f>
        <v>35527</v>
      </c>
      <c r="C2603" s="2" t="s">
        <v>95</v>
      </c>
      <c r="D2603" s="2" t="s">
        <v>8329</v>
      </c>
      <c r="E2603" s="2" t="s">
        <v>8330</v>
      </c>
      <c r="F2603" s="4">
        <v>4832</v>
      </c>
      <c r="G2603" s="2" t="s">
        <v>45</v>
      </c>
      <c r="H2603" s="2" t="s">
        <v>34</v>
      </c>
      <c r="I2603" s="2" t="s">
        <v>8331</v>
      </c>
      <c r="J2603" s="2" t="s">
        <v>8332</v>
      </c>
      <c r="K2603" s="2" t="s">
        <v>45</v>
      </c>
      <c r="L2603" s="2" t="s">
        <v>34</v>
      </c>
      <c r="M2603" s="7">
        <v>753.19899999999996</v>
      </c>
      <c r="N2603" s="5">
        <v>36.5</v>
      </c>
      <c r="O2603" s="4">
        <v>37</v>
      </c>
      <c r="P2603" s="2" t="s">
        <v>8333</v>
      </c>
      <c r="Q2603" s="6">
        <v>100</v>
      </c>
      <c r="R2603" s="6">
        <v>47.3</v>
      </c>
      <c r="S2603" s="5">
        <v>2.6</v>
      </c>
      <c r="T2603" s="7">
        <v>29.477</v>
      </c>
      <c r="U2603" s="5">
        <v>4.5999999999999996</v>
      </c>
      <c r="V2603" s="7">
        <v>0.28399999999999997</v>
      </c>
      <c r="W2603" s="6">
        <v>30.25</v>
      </c>
      <c r="X2603" s="5">
        <v>32.5</v>
      </c>
      <c r="Y2603" s="7">
        <v>42.125</v>
      </c>
      <c r="Z2603" s="7">
        <v>42.625</v>
      </c>
      <c r="AA2603" s="6">
        <v>9.1</v>
      </c>
      <c r="AB2603" s="7">
        <v>28.712</v>
      </c>
      <c r="AC2603" s="6">
        <v>3.89</v>
      </c>
    </row>
    <row r="2604" spans="1:29" ht="156" x14ac:dyDescent="0.15">
      <c r="A2604" s="3">
        <f>DATE(1996,8,5)</f>
        <v>35282</v>
      </c>
      <c r="B2604" s="3">
        <f>DATE(1997,2,14)</f>
        <v>35475</v>
      </c>
      <c r="C2604" s="2" t="s">
        <v>95</v>
      </c>
      <c r="D2604" s="2" t="s">
        <v>4556</v>
      </c>
      <c r="E2604" s="2" t="s">
        <v>1334</v>
      </c>
      <c r="F2604" s="4">
        <v>8011</v>
      </c>
      <c r="G2604" s="2" t="s">
        <v>454</v>
      </c>
      <c r="H2604" s="2" t="s">
        <v>34</v>
      </c>
      <c r="I2604" s="2" t="s">
        <v>8334</v>
      </c>
      <c r="J2604" s="2" t="s">
        <v>8335</v>
      </c>
      <c r="K2604" s="2" t="s">
        <v>125</v>
      </c>
      <c r="L2604" s="2" t="s">
        <v>34</v>
      </c>
      <c r="M2604" s="12">
        <v>2376.962</v>
      </c>
      <c r="N2604" s="6">
        <v>71.75</v>
      </c>
      <c r="O2604" s="6">
        <v>72.25</v>
      </c>
      <c r="P2604" s="2" t="s">
        <v>8336</v>
      </c>
      <c r="Q2604" s="6">
        <v>100</v>
      </c>
      <c r="R2604" s="6">
        <v>33.270000000000003</v>
      </c>
      <c r="S2604" s="5">
        <v>44.2</v>
      </c>
      <c r="T2604" s="7">
        <v>209.48599999999999</v>
      </c>
      <c r="U2604" s="5">
        <v>15.7</v>
      </c>
      <c r="V2604" s="6">
        <v>0.43</v>
      </c>
      <c r="W2604" s="7">
        <v>26.125</v>
      </c>
      <c r="X2604" s="7">
        <v>27.875</v>
      </c>
      <c r="Y2604" s="6">
        <v>35.25</v>
      </c>
      <c r="Z2604" s="4">
        <v>35</v>
      </c>
      <c r="AA2604" s="6">
        <v>40.81</v>
      </c>
      <c r="AB2604" s="7">
        <v>16.734999999999999</v>
      </c>
      <c r="AC2604" s="6">
        <v>811.53</v>
      </c>
    </row>
    <row r="2605" spans="1:29" ht="169" x14ac:dyDescent="0.15">
      <c r="A2605" s="3">
        <f>DATE(1996,8,5)</f>
        <v>35282</v>
      </c>
      <c r="B2605" s="2"/>
      <c r="C2605" s="2" t="s">
        <v>30</v>
      </c>
      <c r="D2605" s="2" t="s">
        <v>1749</v>
      </c>
      <c r="E2605" s="2" t="s">
        <v>441</v>
      </c>
      <c r="F2605" s="4">
        <v>4931</v>
      </c>
      <c r="G2605" s="2" t="s">
        <v>439</v>
      </c>
      <c r="H2605" s="2" t="s">
        <v>34</v>
      </c>
      <c r="I2605" s="2" t="s">
        <v>8337</v>
      </c>
      <c r="J2605" s="2" t="s">
        <v>8338</v>
      </c>
      <c r="K2605" s="2" t="s">
        <v>439</v>
      </c>
      <c r="L2605" s="2" t="s">
        <v>34</v>
      </c>
      <c r="M2605" s="12">
        <v>1725.3779999999999</v>
      </c>
      <c r="N2605" s="7">
        <v>15.875</v>
      </c>
      <c r="O2605" s="6">
        <v>15.75</v>
      </c>
      <c r="P2605" s="2" t="s">
        <v>8339</v>
      </c>
      <c r="Q2605" s="2"/>
      <c r="R2605" s="6">
        <v>39</v>
      </c>
      <c r="S2605" s="5">
        <v>65.099999999999994</v>
      </c>
      <c r="T2605" s="7">
        <v>257.06099999999998</v>
      </c>
      <c r="U2605" s="5">
        <v>20.8</v>
      </c>
      <c r="V2605" s="6">
        <v>2.2000000000000002</v>
      </c>
      <c r="W2605" s="4">
        <v>27</v>
      </c>
      <c r="X2605" s="4">
        <v>27</v>
      </c>
      <c r="Y2605" s="7">
        <v>27.125</v>
      </c>
      <c r="Z2605" s="7">
        <v>27.375</v>
      </c>
      <c r="AA2605" s="6">
        <v>29.78</v>
      </c>
      <c r="AB2605" s="7">
        <v>12.638</v>
      </c>
      <c r="AC2605" s="2"/>
    </row>
    <row r="2606" spans="1:29" ht="143" x14ac:dyDescent="0.15">
      <c r="A2606" s="3">
        <f>DATE(1996,8,5)</f>
        <v>35282</v>
      </c>
      <c r="B2606" s="3">
        <f>DATE(1997,2,10)</f>
        <v>35471</v>
      </c>
      <c r="C2606" s="2" t="s">
        <v>95</v>
      </c>
      <c r="D2606" s="2" t="s">
        <v>5094</v>
      </c>
      <c r="E2606" s="2" t="s">
        <v>2898</v>
      </c>
      <c r="F2606" s="4">
        <v>6035</v>
      </c>
      <c r="G2606" s="2" t="s">
        <v>33</v>
      </c>
      <c r="H2606" s="2" t="s">
        <v>34</v>
      </c>
      <c r="I2606" s="2" t="s">
        <v>8340</v>
      </c>
      <c r="J2606" s="2" t="s">
        <v>5900</v>
      </c>
      <c r="K2606" s="2" t="s">
        <v>37</v>
      </c>
      <c r="L2606" s="2" t="s">
        <v>34</v>
      </c>
      <c r="M2606" s="7">
        <v>63.890999999999998</v>
      </c>
      <c r="N2606" s="4">
        <v>22</v>
      </c>
      <c r="O2606" s="7">
        <v>23.375</v>
      </c>
      <c r="P2606" s="2" t="s">
        <v>8341</v>
      </c>
      <c r="Q2606" s="6">
        <v>100</v>
      </c>
      <c r="R2606" s="6">
        <v>24.77</v>
      </c>
      <c r="S2606" s="5">
        <v>3.6</v>
      </c>
      <c r="T2606" s="7">
        <v>6.6040000000000001</v>
      </c>
      <c r="U2606" s="5">
        <v>25.8</v>
      </c>
      <c r="V2606" s="7">
        <v>1.339</v>
      </c>
      <c r="W2606" s="7">
        <v>23.125</v>
      </c>
      <c r="X2606" s="4">
        <v>25</v>
      </c>
      <c r="Y2606" s="6">
        <v>23.75</v>
      </c>
      <c r="Z2606" s="6">
        <v>23.75</v>
      </c>
      <c r="AA2606" s="6">
        <v>2.5</v>
      </c>
      <c r="AB2606" s="7">
        <v>96.823999999999998</v>
      </c>
      <c r="AC2606" s="2"/>
    </row>
    <row r="2607" spans="1:29" ht="143" x14ac:dyDescent="0.15">
      <c r="A2607" s="3">
        <f>DATE(1996,8,7)</f>
        <v>35284</v>
      </c>
      <c r="B2607" s="2"/>
      <c r="C2607" s="2" t="s">
        <v>30</v>
      </c>
      <c r="D2607" s="2" t="s">
        <v>5726</v>
      </c>
      <c r="E2607" s="2" t="s">
        <v>5725</v>
      </c>
      <c r="F2607" s="4">
        <v>2874</v>
      </c>
      <c r="G2607" s="2" t="s">
        <v>98</v>
      </c>
      <c r="H2607" s="2" t="s">
        <v>34</v>
      </c>
      <c r="I2607" s="2" t="s">
        <v>8342</v>
      </c>
      <c r="J2607" s="2" t="s">
        <v>8343</v>
      </c>
      <c r="K2607" s="2" t="s">
        <v>166</v>
      </c>
      <c r="L2607" s="2" t="s">
        <v>34</v>
      </c>
      <c r="M2607" s="12">
        <v>1012.526</v>
      </c>
      <c r="N2607" s="5">
        <v>35.5</v>
      </c>
      <c r="O2607" s="7">
        <v>35.125</v>
      </c>
      <c r="P2607" s="2" t="s">
        <v>8344</v>
      </c>
      <c r="Q2607" s="2"/>
      <c r="R2607" s="6">
        <v>24.02</v>
      </c>
      <c r="S2607" s="5">
        <v>153.5</v>
      </c>
      <c r="T2607" s="7">
        <v>358.28199999999998</v>
      </c>
      <c r="U2607" s="5">
        <v>9.5</v>
      </c>
      <c r="V2607" s="7">
        <v>2.6659999999999999</v>
      </c>
      <c r="W2607" s="6">
        <v>21.25</v>
      </c>
      <c r="X2607" s="7">
        <v>20.625</v>
      </c>
      <c r="Y2607" s="4">
        <v>22</v>
      </c>
      <c r="Z2607" s="6">
        <v>22.75</v>
      </c>
      <c r="AA2607" s="6">
        <v>32.39</v>
      </c>
      <c r="AB2607" s="7">
        <v>4.21</v>
      </c>
      <c r="AC2607" s="2"/>
    </row>
    <row r="2608" spans="1:29" ht="156" x14ac:dyDescent="0.15">
      <c r="A2608" s="3">
        <f>DATE(1996,8,7)</f>
        <v>35284</v>
      </c>
      <c r="B2608" s="3">
        <f>DATE(1996,10,3)</f>
        <v>35341</v>
      </c>
      <c r="C2608" s="2" t="s">
        <v>95</v>
      </c>
      <c r="D2608" s="2" t="s">
        <v>6196</v>
      </c>
      <c r="E2608" s="2" t="s">
        <v>6197</v>
      </c>
      <c r="F2608" s="4">
        <v>5012</v>
      </c>
      <c r="G2608" s="2" t="s">
        <v>76</v>
      </c>
      <c r="H2608" s="2" t="s">
        <v>34</v>
      </c>
      <c r="I2608" s="2" t="s">
        <v>8345</v>
      </c>
      <c r="J2608" s="2" t="s">
        <v>8346</v>
      </c>
      <c r="K2608" s="2" t="s">
        <v>105</v>
      </c>
      <c r="L2608" s="2" t="s">
        <v>902</v>
      </c>
      <c r="M2608" s="2"/>
      <c r="N2608" s="2"/>
      <c r="O2608" s="2"/>
      <c r="P2608" s="2" t="s">
        <v>8347</v>
      </c>
      <c r="Q2608" s="6">
        <v>100</v>
      </c>
      <c r="R2608" s="6">
        <v>31</v>
      </c>
      <c r="S2608" s="5">
        <v>4.2</v>
      </c>
      <c r="T2608" s="7">
        <v>22.071999999999999</v>
      </c>
      <c r="U2608" s="5">
        <v>20.399999999999999</v>
      </c>
      <c r="V2608" s="6">
        <v>0.99</v>
      </c>
      <c r="W2608" s="6">
        <v>16.25</v>
      </c>
      <c r="X2608" s="6">
        <v>22.25</v>
      </c>
      <c r="Y2608" s="6">
        <v>25.25</v>
      </c>
      <c r="Z2608" s="7">
        <v>24.875</v>
      </c>
      <c r="AA2608" s="6">
        <v>4.25</v>
      </c>
      <c r="AB2608" s="7">
        <v>25.716999999999999</v>
      </c>
      <c r="AC2608" s="6">
        <v>792.72</v>
      </c>
    </row>
    <row r="2609" spans="1:29" ht="39" x14ac:dyDescent="0.15">
      <c r="A2609" s="3">
        <f>DATE(1996,8,8)</f>
        <v>35285</v>
      </c>
      <c r="B2609" s="2"/>
      <c r="C2609" s="2" t="s">
        <v>189</v>
      </c>
      <c r="D2609" s="2" t="s">
        <v>8348</v>
      </c>
      <c r="E2609" s="2" t="s">
        <v>2241</v>
      </c>
      <c r="F2609" s="4">
        <v>8011</v>
      </c>
      <c r="G2609" s="2" t="s">
        <v>454</v>
      </c>
      <c r="H2609" s="2" t="s">
        <v>34</v>
      </c>
      <c r="I2609" s="2" t="s">
        <v>143</v>
      </c>
      <c r="J2609" s="2" t="s">
        <v>144</v>
      </c>
      <c r="K2609" s="2" t="s">
        <v>53</v>
      </c>
      <c r="L2609" s="2" t="s">
        <v>139</v>
      </c>
      <c r="M2609" s="2"/>
      <c r="N2609" s="2"/>
      <c r="O2609" s="2"/>
      <c r="P2609" s="2" t="s">
        <v>8349</v>
      </c>
      <c r="Q2609" s="2"/>
      <c r="R2609" s="2"/>
      <c r="S2609" s="5">
        <v>-63.1</v>
      </c>
      <c r="T2609" s="7">
        <v>-37.677</v>
      </c>
      <c r="U2609" s="5">
        <v>6.2</v>
      </c>
      <c r="V2609" s="6">
        <v>-2.67</v>
      </c>
      <c r="W2609" s="6">
        <v>4.75</v>
      </c>
      <c r="X2609" s="7">
        <v>4.625</v>
      </c>
      <c r="Y2609" s="7">
        <v>4.625</v>
      </c>
      <c r="Z2609" s="6">
        <v>4.75</v>
      </c>
      <c r="AA2609" s="6">
        <v>23.73</v>
      </c>
      <c r="AB2609" s="2" t="s">
        <v>86</v>
      </c>
      <c r="AC2609" s="2"/>
    </row>
    <row r="2610" spans="1:29" ht="117" x14ac:dyDescent="0.15">
      <c r="A2610" s="3">
        <f>DATE(1996,8,8)</f>
        <v>35285</v>
      </c>
      <c r="B2610" s="3">
        <f>DATE(1996,9,17)</f>
        <v>35325</v>
      </c>
      <c r="C2610" s="2" t="s">
        <v>95</v>
      </c>
      <c r="D2610" s="2" t="s">
        <v>6680</v>
      </c>
      <c r="E2610" s="2" t="s">
        <v>6681</v>
      </c>
      <c r="F2610" s="4">
        <v>7699</v>
      </c>
      <c r="G2610" s="2" t="s">
        <v>1327</v>
      </c>
      <c r="H2610" s="2" t="s">
        <v>34</v>
      </c>
      <c r="I2610" s="2" t="s">
        <v>6682</v>
      </c>
      <c r="J2610" s="2" t="s">
        <v>6683</v>
      </c>
      <c r="K2610" s="2" t="s">
        <v>98</v>
      </c>
      <c r="L2610" s="2" t="s">
        <v>34</v>
      </c>
      <c r="M2610" s="2"/>
      <c r="N2610" s="7">
        <v>38.125</v>
      </c>
      <c r="O2610" s="7">
        <v>38.125</v>
      </c>
      <c r="P2610" s="2" t="s">
        <v>8350</v>
      </c>
      <c r="Q2610" s="6">
        <v>45.06</v>
      </c>
      <c r="R2610" s="6">
        <v>41</v>
      </c>
      <c r="S2610" s="5">
        <v>9.6999999999999993</v>
      </c>
      <c r="T2610" s="7">
        <v>24.093</v>
      </c>
      <c r="U2610" s="5">
        <v>14.6</v>
      </c>
      <c r="V2610" s="6">
        <v>1.9</v>
      </c>
      <c r="W2610" s="5">
        <v>36.5</v>
      </c>
      <c r="X2610" s="5">
        <v>36.5</v>
      </c>
      <c r="Y2610" s="5">
        <v>41.5</v>
      </c>
      <c r="Z2610" s="6">
        <v>41.25</v>
      </c>
      <c r="AA2610" s="6">
        <v>5.14</v>
      </c>
      <c r="AB2610" s="7">
        <v>11.553000000000001</v>
      </c>
      <c r="AC2610" s="2"/>
    </row>
    <row r="2611" spans="1:29" ht="78" x14ac:dyDescent="0.15">
      <c r="A2611" s="3">
        <f>DATE(1996,8,9)</f>
        <v>35286</v>
      </c>
      <c r="B2611" s="2"/>
      <c r="C2611" s="2" t="s">
        <v>87</v>
      </c>
      <c r="D2611" s="2" t="s">
        <v>8351</v>
      </c>
      <c r="E2611" s="2" t="s">
        <v>5676</v>
      </c>
      <c r="F2611" s="4">
        <v>4911</v>
      </c>
      <c r="G2611" s="2" t="s">
        <v>439</v>
      </c>
      <c r="H2611" s="2" t="s">
        <v>34</v>
      </c>
      <c r="I2611" s="2" t="s">
        <v>1436</v>
      </c>
      <c r="J2611" s="2" t="s">
        <v>1437</v>
      </c>
      <c r="K2611" s="2" t="s">
        <v>439</v>
      </c>
      <c r="L2611" s="2" t="s">
        <v>34</v>
      </c>
      <c r="M2611" s="12">
        <v>5175.2790000000005</v>
      </c>
      <c r="N2611" s="7">
        <v>48.125</v>
      </c>
      <c r="O2611" s="6">
        <v>49.75</v>
      </c>
      <c r="P2611" s="2" t="s">
        <v>8352</v>
      </c>
      <c r="Q2611" s="2"/>
      <c r="R2611" s="2"/>
      <c r="S2611" s="5">
        <v>378</v>
      </c>
      <c r="T2611" s="12">
        <v>1078.8530000000001</v>
      </c>
      <c r="U2611" s="5">
        <v>16.2</v>
      </c>
      <c r="V2611" s="6">
        <v>2.2200000000000002</v>
      </c>
      <c r="W2611" s="5">
        <v>30.5</v>
      </c>
      <c r="X2611" s="7">
        <v>30.375</v>
      </c>
      <c r="Y2611" s="7">
        <v>30.875</v>
      </c>
      <c r="Z2611" s="7">
        <v>31.125</v>
      </c>
      <c r="AA2611" s="6">
        <v>157.68</v>
      </c>
      <c r="AB2611" s="2" t="s">
        <v>47</v>
      </c>
      <c r="AC2611" s="5">
        <v>90.4</v>
      </c>
    </row>
    <row r="2612" spans="1:29" ht="78" x14ac:dyDescent="0.15">
      <c r="A2612" s="3">
        <f>DATE(1996,8,9)</f>
        <v>35286</v>
      </c>
      <c r="B2612" s="2"/>
      <c r="C2612" s="2" t="s">
        <v>87</v>
      </c>
      <c r="D2612" s="2" t="s">
        <v>8351</v>
      </c>
      <c r="E2612" s="2" t="s">
        <v>5676</v>
      </c>
      <c r="F2612" s="4">
        <v>4911</v>
      </c>
      <c r="G2612" s="2" t="s">
        <v>439</v>
      </c>
      <c r="H2612" s="2" t="s">
        <v>34</v>
      </c>
      <c r="I2612" s="2" t="s">
        <v>8353</v>
      </c>
      <c r="J2612" s="2" t="s">
        <v>612</v>
      </c>
      <c r="K2612" s="2" t="s">
        <v>148</v>
      </c>
      <c r="L2612" s="2" t="s">
        <v>34</v>
      </c>
      <c r="M2612" s="12">
        <v>5030.4470000000001</v>
      </c>
      <c r="N2612" s="7">
        <v>32.875</v>
      </c>
      <c r="O2612" s="7">
        <v>33.625</v>
      </c>
      <c r="P2612" s="2" t="s">
        <v>8354</v>
      </c>
      <c r="Q2612" s="2"/>
      <c r="R2612" s="2"/>
      <c r="S2612" s="5">
        <v>378</v>
      </c>
      <c r="T2612" s="12">
        <v>1078.8530000000001</v>
      </c>
      <c r="U2612" s="5">
        <v>16.2</v>
      </c>
      <c r="V2612" s="6">
        <v>2.2200000000000002</v>
      </c>
      <c r="W2612" s="5">
        <v>30.5</v>
      </c>
      <c r="X2612" s="7">
        <v>30.375</v>
      </c>
      <c r="Y2612" s="7">
        <v>30.875</v>
      </c>
      <c r="Z2612" s="7">
        <v>31.125</v>
      </c>
      <c r="AA2612" s="6">
        <v>157.68</v>
      </c>
      <c r="AB2612" s="2" t="s">
        <v>47</v>
      </c>
      <c r="AC2612" s="5">
        <v>50.8</v>
      </c>
    </row>
    <row r="2613" spans="1:29" ht="52" x14ac:dyDescent="0.15">
      <c r="A2613" s="3">
        <f>DATE(1996,8,9)</f>
        <v>35286</v>
      </c>
      <c r="B2613" s="3">
        <f>DATE(1996,12,31)</f>
        <v>35430</v>
      </c>
      <c r="C2613" s="2" t="s">
        <v>95</v>
      </c>
      <c r="D2613" s="2" t="s">
        <v>8355</v>
      </c>
      <c r="E2613" s="2" t="s">
        <v>7684</v>
      </c>
      <c r="F2613" s="4">
        <v>5411</v>
      </c>
      <c r="G2613" s="2" t="s">
        <v>1461</v>
      </c>
      <c r="H2613" s="2" t="s">
        <v>34</v>
      </c>
      <c r="I2613" s="2" t="s">
        <v>8356</v>
      </c>
      <c r="J2613" s="2" t="s">
        <v>8357</v>
      </c>
      <c r="K2613" s="2" t="s">
        <v>1461</v>
      </c>
      <c r="L2613" s="2" t="s">
        <v>34</v>
      </c>
      <c r="M2613" s="12">
        <v>4178.3519999999999</v>
      </c>
      <c r="N2613" s="7">
        <v>8.625</v>
      </c>
      <c r="O2613" s="5">
        <v>8.5</v>
      </c>
      <c r="P2613" s="2" t="s">
        <v>8358</v>
      </c>
      <c r="Q2613" s="6">
        <v>100</v>
      </c>
      <c r="R2613" s="2"/>
      <c r="S2613" s="5">
        <v>3.1</v>
      </c>
      <c r="T2613" s="2"/>
      <c r="U2613" s="2"/>
      <c r="V2613" s="2"/>
      <c r="W2613" s="6">
        <v>28.25</v>
      </c>
      <c r="X2613" s="4">
        <v>29</v>
      </c>
      <c r="Y2613" s="4">
        <v>21</v>
      </c>
      <c r="Z2613" s="4">
        <v>24</v>
      </c>
      <c r="AA2613" s="6">
        <v>4.67</v>
      </c>
      <c r="AB2613" s="2" t="s">
        <v>47</v>
      </c>
      <c r="AC2613" s="6">
        <v>70.040000000000006</v>
      </c>
    </row>
    <row r="2614" spans="1:29" ht="143" x14ac:dyDescent="0.15">
      <c r="A2614" s="3">
        <f>DATE(1996,8,9)</f>
        <v>35286</v>
      </c>
      <c r="B2614" s="3">
        <f>DATE(1997,8,6)</f>
        <v>35648</v>
      </c>
      <c r="C2614" s="2" t="s">
        <v>95</v>
      </c>
      <c r="D2614" s="2" t="s">
        <v>8359</v>
      </c>
      <c r="E2614" s="2" t="s">
        <v>612</v>
      </c>
      <c r="F2614" s="4">
        <v>4923</v>
      </c>
      <c r="G2614" s="2" t="s">
        <v>439</v>
      </c>
      <c r="H2614" s="2" t="s">
        <v>34</v>
      </c>
      <c r="I2614" s="2" t="s">
        <v>8360</v>
      </c>
      <c r="J2614" s="2" t="s">
        <v>438</v>
      </c>
      <c r="K2614" s="2" t="s">
        <v>439</v>
      </c>
      <c r="L2614" s="2" t="s">
        <v>34</v>
      </c>
      <c r="M2614" s="12">
        <v>6240.1459999999997</v>
      </c>
      <c r="N2614" s="7">
        <v>23.625</v>
      </c>
      <c r="O2614" s="7">
        <v>22.875</v>
      </c>
      <c r="P2614" s="2" t="s">
        <v>8361</v>
      </c>
      <c r="Q2614" s="6">
        <v>100</v>
      </c>
      <c r="R2614" s="6">
        <v>16.12</v>
      </c>
      <c r="S2614" s="5">
        <v>95.1</v>
      </c>
      <c r="T2614" s="7">
        <v>479.17200000000003</v>
      </c>
      <c r="U2614" s="5">
        <v>5.8</v>
      </c>
      <c r="V2614" s="9">
        <v>0.72270000000000001</v>
      </c>
      <c r="W2614" s="4">
        <v>11</v>
      </c>
      <c r="X2614" s="7">
        <v>11.875</v>
      </c>
      <c r="Y2614" s="7">
        <v>11.625</v>
      </c>
      <c r="Z2614" s="5">
        <v>14.5</v>
      </c>
      <c r="AA2614" s="6">
        <v>137.07</v>
      </c>
      <c r="AB2614" s="7">
        <v>11.332000000000001</v>
      </c>
      <c r="AC2614" s="2"/>
    </row>
    <row r="2615" spans="1:29" ht="156" x14ac:dyDescent="0.15">
      <c r="A2615" s="3">
        <f>DATE(1996,8,12)</f>
        <v>35289</v>
      </c>
      <c r="B2615" s="3">
        <f>DATE(1998,3,2)</f>
        <v>35856</v>
      </c>
      <c r="C2615" s="2" t="s">
        <v>95</v>
      </c>
      <c r="D2615" s="2" t="s">
        <v>8362</v>
      </c>
      <c r="E2615" s="2" t="s">
        <v>8363</v>
      </c>
      <c r="F2615" s="4">
        <v>4911</v>
      </c>
      <c r="G2615" s="2" t="s">
        <v>439</v>
      </c>
      <c r="H2615" s="2" t="s">
        <v>34</v>
      </c>
      <c r="I2615" s="2" t="s">
        <v>8364</v>
      </c>
      <c r="J2615" s="2" t="s">
        <v>8365</v>
      </c>
      <c r="K2615" s="2" t="s">
        <v>439</v>
      </c>
      <c r="L2615" s="2" t="s">
        <v>34</v>
      </c>
      <c r="M2615" s="12">
        <v>1229.127</v>
      </c>
      <c r="N2615" s="4">
        <v>21</v>
      </c>
      <c r="O2615" s="5">
        <v>20.5</v>
      </c>
      <c r="P2615" s="2" t="s">
        <v>8366</v>
      </c>
      <c r="Q2615" s="6">
        <v>100</v>
      </c>
      <c r="R2615" s="6">
        <v>18.04</v>
      </c>
      <c r="S2615" s="5">
        <v>98.6</v>
      </c>
      <c r="T2615" s="7">
        <v>280.76600000000002</v>
      </c>
      <c r="U2615" s="5">
        <v>15.2</v>
      </c>
      <c r="V2615" s="7">
        <v>1.623</v>
      </c>
      <c r="W2615" s="7">
        <v>17.375</v>
      </c>
      <c r="X2615" s="7">
        <v>17.125</v>
      </c>
      <c r="Y2615" s="4">
        <v>18</v>
      </c>
      <c r="Z2615" s="6">
        <v>17.75</v>
      </c>
      <c r="AA2615" s="6">
        <v>52.7</v>
      </c>
      <c r="AB2615" s="7">
        <v>10.726000000000001</v>
      </c>
      <c r="AC2615" s="6">
        <v>28.95</v>
      </c>
    </row>
    <row r="2616" spans="1:29" ht="78" x14ac:dyDescent="0.15">
      <c r="A2616" s="3">
        <f>DATE(1996,8,12)</f>
        <v>35289</v>
      </c>
      <c r="B2616" s="3">
        <f>DATE(1997,1,31)</f>
        <v>35461</v>
      </c>
      <c r="C2616" s="2" t="s">
        <v>95</v>
      </c>
      <c r="D2616" s="2" t="s">
        <v>8367</v>
      </c>
      <c r="E2616" s="2" t="s">
        <v>844</v>
      </c>
      <c r="F2616" s="4">
        <v>6552</v>
      </c>
      <c r="G2616" s="2" t="s">
        <v>109</v>
      </c>
      <c r="H2616" s="2" t="s">
        <v>34</v>
      </c>
      <c r="I2616" s="2" t="s">
        <v>51</v>
      </c>
      <c r="J2616" s="2" t="s">
        <v>52</v>
      </c>
      <c r="K2616" s="2" t="s">
        <v>53</v>
      </c>
      <c r="L2616" s="2" t="s">
        <v>34</v>
      </c>
      <c r="M2616" s="2"/>
      <c r="N2616" s="2"/>
      <c r="O2616" s="2"/>
      <c r="P2616" s="2" t="s">
        <v>8368</v>
      </c>
      <c r="Q2616" s="6">
        <v>100</v>
      </c>
      <c r="R2616" s="6">
        <v>6</v>
      </c>
      <c r="S2616" s="5">
        <v>-0.4</v>
      </c>
      <c r="T2616" s="2"/>
      <c r="U2616" s="5">
        <v>0.8</v>
      </c>
      <c r="V2616" s="6">
        <v>-0.1</v>
      </c>
      <c r="W2616" s="7">
        <v>4.625</v>
      </c>
      <c r="X2616" s="6">
        <v>4.75</v>
      </c>
      <c r="Y2616" s="7">
        <v>5.125</v>
      </c>
      <c r="Z2616" s="7">
        <v>5.125</v>
      </c>
      <c r="AA2616" s="6">
        <v>2.4</v>
      </c>
      <c r="AB2616" s="2" t="s">
        <v>47</v>
      </c>
      <c r="AC2616" s="2"/>
    </row>
    <row r="2617" spans="1:29" ht="52" x14ac:dyDescent="0.15">
      <c r="A2617" s="3">
        <f>DATE(1996,8,12)</f>
        <v>35289</v>
      </c>
      <c r="B2617" s="3">
        <f>DATE(1996,9,11)</f>
        <v>35319</v>
      </c>
      <c r="C2617" s="2" t="s">
        <v>95</v>
      </c>
      <c r="D2617" s="2" t="s">
        <v>8369</v>
      </c>
      <c r="E2617" s="2" t="s">
        <v>8370</v>
      </c>
      <c r="F2617" s="4">
        <v>2752</v>
      </c>
      <c r="G2617" s="2" t="s">
        <v>186</v>
      </c>
      <c r="H2617" s="2" t="s">
        <v>34</v>
      </c>
      <c r="I2617" s="2" t="s">
        <v>8371</v>
      </c>
      <c r="J2617" s="2" t="s">
        <v>8372</v>
      </c>
      <c r="K2617" s="2" t="s">
        <v>454</v>
      </c>
      <c r="L2617" s="2" t="s">
        <v>34</v>
      </c>
      <c r="M2617" s="2"/>
      <c r="N2617" s="2"/>
      <c r="O2617" s="2"/>
      <c r="P2617" s="2" t="s">
        <v>8373</v>
      </c>
      <c r="Q2617" s="6">
        <v>100</v>
      </c>
      <c r="R2617" s="2"/>
      <c r="S2617" s="5">
        <v>0.6</v>
      </c>
      <c r="T2617" s="2"/>
      <c r="U2617" s="5">
        <v>0.2</v>
      </c>
      <c r="V2617" s="6">
        <v>0.1</v>
      </c>
      <c r="W2617" s="4">
        <v>5</v>
      </c>
      <c r="X2617" s="7">
        <v>5.125</v>
      </c>
      <c r="Y2617" s="6">
        <v>5.75</v>
      </c>
      <c r="Z2617" s="9">
        <v>5.3125</v>
      </c>
      <c r="AA2617" s="6">
        <v>2.9</v>
      </c>
      <c r="AB2617" s="2" t="s">
        <v>47</v>
      </c>
      <c r="AC2617" s="2"/>
    </row>
    <row r="2618" spans="1:29" ht="91" x14ac:dyDescent="0.15">
      <c r="A2618" s="3">
        <f>DATE(1996,8,13)</f>
        <v>35290</v>
      </c>
      <c r="B2618" s="3">
        <f>DATE(1997,1,2)</f>
        <v>35432</v>
      </c>
      <c r="C2618" s="2" t="s">
        <v>95</v>
      </c>
      <c r="D2618" s="2" t="s">
        <v>8374</v>
      </c>
      <c r="E2618" s="2" t="s">
        <v>1181</v>
      </c>
      <c r="F2618" s="4">
        <v>6022</v>
      </c>
      <c r="G2618" s="2" t="s">
        <v>37</v>
      </c>
      <c r="H2618" s="2" t="s">
        <v>34</v>
      </c>
      <c r="I2618" s="2" t="s">
        <v>8375</v>
      </c>
      <c r="J2618" s="2" t="s">
        <v>8376</v>
      </c>
      <c r="K2618" s="2" t="s">
        <v>33</v>
      </c>
      <c r="L2618" s="2" t="s">
        <v>34</v>
      </c>
      <c r="M2618" s="2"/>
      <c r="N2618" s="4">
        <v>13</v>
      </c>
      <c r="O2618" s="4">
        <v>13</v>
      </c>
      <c r="P2618" s="2" t="s">
        <v>8377</v>
      </c>
      <c r="Q2618" s="6">
        <v>100</v>
      </c>
      <c r="R2618" s="6">
        <v>17.75</v>
      </c>
      <c r="S2618" s="5">
        <v>0.1</v>
      </c>
      <c r="T2618" s="7">
        <v>0.127</v>
      </c>
      <c r="U2618" s="5">
        <v>18</v>
      </c>
      <c r="V2618" s="6">
        <v>0.68</v>
      </c>
      <c r="W2618" s="6">
        <v>15.75</v>
      </c>
      <c r="X2618" s="6">
        <v>15.75</v>
      </c>
      <c r="Y2618" s="6">
        <v>15.75</v>
      </c>
      <c r="Z2618" s="6">
        <v>15.75</v>
      </c>
      <c r="AA2618" s="6">
        <v>0.11</v>
      </c>
      <c r="AB2618" s="7">
        <v>104.52</v>
      </c>
      <c r="AC2618" s="2"/>
    </row>
    <row r="2619" spans="1:29" ht="91" x14ac:dyDescent="0.15">
      <c r="A2619" s="3">
        <f>DATE(1996,8,14)</f>
        <v>35291</v>
      </c>
      <c r="B2619" s="3">
        <f>DATE(1996,11,25)</f>
        <v>35394</v>
      </c>
      <c r="C2619" s="2" t="s">
        <v>95</v>
      </c>
      <c r="D2619" s="2" t="s">
        <v>8378</v>
      </c>
      <c r="E2619" s="2" t="s">
        <v>1561</v>
      </c>
      <c r="F2619" s="4">
        <v>6311</v>
      </c>
      <c r="G2619" s="2" t="s">
        <v>125</v>
      </c>
      <c r="H2619" s="2" t="s">
        <v>34</v>
      </c>
      <c r="I2619" s="2" t="s">
        <v>8379</v>
      </c>
      <c r="J2619" s="2" t="s">
        <v>124</v>
      </c>
      <c r="K2619" s="2" t="s">
        <v>125</v>
      </c>
      <c r="L2619" s="2" t="s">
        <v>1049</v>
      </c>
      <c r="M2619" s="2"/>
      <c r="N2619" s="2"/>
      <c r="O2619" s="2"/>
      <c r="P2619" s="2" t="s">
        <v>8380</v>
      </c>
      <c r="Q2619" s="6">
        <v>100</v>
      </c>
      <c r="R2619" s="6">
        <v>65</v>
      </c>
      <c r="S2619" s="5">
        <v>-82.9</v>
      </c>
      <c r="T2619" s="2"/>
      <c r="U2619" s="5">
        <v>16.5</v>
      </c>
      <c r="V2619" s="6">
        <v>-1.85</v>
      </c>
      <c r="W2619" s="7">
        <v>45.875</v>
      </c>
      <c r="X2619" s="5">
        <v>51.5</v>
      </c>
      <c r="Y2619" s="7">
        <v>50.875</v>
      </c>
      <c r="Z2619" s="4">
        <v>56</v>
      </c>
      <c r="AA2619" s="6">
        <v>47.28</v>
      </c>
      <c r="AB2619" s="2" t="s">
        <v>86</v>
      </c>
      <c r="AC2619" s="6">
        <v>336.37</v>
      </c>
    </row>
    <row r="2620" spans="1:29" ht="52" x14ac:dyDescent="0.15">
      <c r="A2620" s="3">
        <f>DATE(1996,8,14)</f>
        <v>35291</v>
      </c>
      <c r="B2620" s="3">
        <f>DATE(1996,12,21)</f>
        <v>35420</v>
      </c>
      <c r="C2620" s="2" t="s">
        <v>95</v>
      </c>
      <c r="D2620" s="2" t="s">
        <v>8381</v>
      </c>
      <c r="E2620" s="2" t="s">
        <v>8382</v>
      </c>
      <c r="F2620" s="4">
        <v>7812</v>
      </c>
      <c r="G2620" s="2" t="s">
        <v>42</v>
      </c>
      <c r="H2620" s="2" t="s">
        <v>34</v>
      </c>
      <c r="I2620" s="2" t="s">
        <v>8383</v>
      </c>
      <c r="J2620" s="2" t="s">
        <v>8384</v>
      </c>
      <c r="K2620" s="2" t="s">
        <v>63</v>
      </c>
      <c r="L2620" s="2" t="s">
        <v>34</v>
      </c>
      <c r="M2620" s="12">
        <v>2864.0309999999999</v>
      </c>
      <c r="N2620" s="7">
        <v>40.375</v>
      </c>
      <c r="O2620" s="6">
        <v>41.25</v>
      </c>
      <c r="P2620" s="2" t="s">
        <v>8385</v>
      </c>
      <c r="Q2620" s="6">
        <v>100</v>
      </c>
      <c r="R2620" s="2"/>
      <c r="S2620" s="2"/>
      <c r="T2620" s="2"/>
      <c r="U2620" s="2"/>
      <c r="V2620" s="2"/>
      <c r="W2620" s="6">
        <v>13.75</v>
      </c>
      <c r="X2620" s="7">
        <v>12.125</v>
      </c>
      <c r="Y2620" s="7">
        <v>12.625</v>
      </c>
      <c r="Z2620" s="6">
        <v>12.25</v>
      </c>
      <c r="AA2620" s="2"/>
      <c r="AB2620" s="2" t="s">
        <v>47</v>
      </c>
      <c r="AC2620" s="2"/>
    </row>
    <row r="2621" spans="1:29" ht="52" x14ac:dyDescent="0.15">
      <c r="A2621" s="3">
        <f>DATE(1996,8,14)</f>
        <v>35291</v>
      </c>
      <c r="B2621" s="3">
        <f>DATE(1996,11,7)</f>
        <v>35376</v>
      </c>
      <c r="C2621" s="2" t="s">
        <v>95</v>
      </c>
      <c r="D2621" s="2" t="s">
        <v>8386</v>
      </c>
      <c r="E2621" s="2" t="s">
        <v>5452</v>
      </c>
      <c r="F2621" s="4">
        <v>7322</v>
      </c>
      <c r="G2621" s="2" t="s">
        <v>223</v>
      </c>
      <c r="H2621" s="2" t="s">
        <v>34</v>
      </c>
      <c r="I2621" s="2" t="s">
        <v>8387</v>
      </c>
      <c r="J2621" s="2" t="s">
        <v>302</v>
      </c>
      <c r="K2621" s="2" t="s">
        <v>53</v>
      </c>
      <c r="L2621" s="2" t="s">
        <v>34</v>
      </c>
      <c r="M2621" s="2"/>
      <c r="N2621" s="2"/>
      <c r="O2621" s="2"/>
      <c r="P2621" s="2" t="s">
        <v>8388</v>
      </c>
      <c r="Q2621" s="6">
        <v>100</v>
      </c>
      <c r="R2621" s="6">
        <v>14</v>
      </c>
      <c r="S2621" s="5">
        <v>5.3</v>
      </c>
      <c r="T2621" s="7">
        <v>30.085999999999999</v>
      </c>
      <c r="U2621" s="5">
        <v>5.2</v>
      </c>
      <c r="V2621" s="6">
        <v>0.52</v>
      </c>
      <c r="W2621" s="7">
        <v>11.875</v>
      </c>
      <c r="X2621" s="6">
        <v>11.75</v>
      </c>
      <c r="Y2621" s="7">
        <v>13.563000000000001</v>
      </c>
      <c r="Z2621" s="5">
        <v>13.5</v>
      </c>
      <c r="AA2621" s="6">
        <v>10.16</v>
      </c>
      <c r="AB2621" s="7">
        <v>13.298999999999999</v>
      </c>
      <c r="AC2621" s="2"/>
    </row>
    <row r="2622" spans="1:29" ht="117" x14ac:dyDescent="0.15">
      <c r="A2622" s="3">
        <f>DATE(1996,8,14)</f>
        <v>35291</v>
      </c>
      <c r="B2622" s="3">
        <f>DATE(1996,10,24)</f>
        <v>35362</v>
      </c>
      <c r="C2622" s="2" t="s">
        <v>95</v>
      </c>
      <c r="D2622" s="2" t="s">
        <v>8389</v>
      </c>
      <c r="E2622" s="2" t="s">
        <v>6417</v>
      </c>
      <c r="F2622" s="4">
        <v>2451</v>
      </c>
      <c r="G2622" s="2" t="s">
        <v>250</v>
      </c>
      <c r="H2622" s="2" t="s">
        <v>34</v>
      </c>
      <c r="I2622" s="2" t="s">
        <v>8390</v>
      </c>
      <c r="J2622" s="2" t="s">
        <v>8391</v>
      </c>
      <c r="K2622" s="2" t="s">
        <v>250</v>
      </c>
      <c r="L2622" s="2" t="s">
        <v>34</v>
      </c>
      <c r="M2622" s="5">
        <v>688.5</v>
      </c>
      <c r="N2622" s="7">
        <v>19.875</v>
      </c>
      <c r="O2622" s="7">
        <v>20.625</v>
      </c>
      <c r="P2622" s="2" t="s">
        <v>8392</v>
      </c>
      <c r="Q2622" s="6">
        <v>100</v>
      </c>
      <c r="R2622" s="6">
        <v>24.65</v>
      </c>
      <c r="S2622" s="5">
        <v>25.3</v>
      </c>
      <c r="T2622" s="7">
        <v>46.551000000000002</v>
      </c>
      <c r="U2622" s="5">
        <v>5.2</v>
      </c>
      <c r="V2622" s="7">
        <v>1.8120000000000001</v>
      </c>
      <c r="W2622" s="7">
        <v>22.062999999999999</v>
      </c>
      <c r="X2622" s="7">
        <v>23.187999999999999</v>
      </c>
      <c r="Y2622" s="6">
        <v>24.75</v>
      </c>
      <c r="Z2622" s="4">
        <v>24</v>
      </c>
      <c r="AA2622" s="6">
        <v>13.6</v>
      </c>
      <c r="AB2622" s="7">
        <v>7.6849999999999996</v>
      </c>
      <c r="AC2622" s="5">
        <v>15</v>
      </c>
    </row>
    <row r="2623" spans="1:29" ht="234" x14ac:dyDescent="0.15">
      <c r="A2623" s="3">
        <f>DATE(1996,8,15)</f>
        <v>35292</v>
      </c>
      <c r="B2623" s="2"/>
      <c r="C2623" s="2" t="s">
        <v>30</v>
      </c>
      <c r="D2623" s="2" t="s">
        <v>8393</v>
      </c>
      <c r="E2623" s="2" t="s">
        <v>398</v>
      </c>
      <c r="F2623" s="4">
        <v>7812</v>
      </c>
      <c r="G2623" s="2" t="s">
        <v>42</v>
      </c>
      <c r="H2623" s="2" t="s">
        <v>34</v>
      </c>
      <c r="I2623" s="2" t="s">
        <v>1758</v>
      </c>
      <c r="J2623" s="2" t="s">
        <v>1759</v>
      </c>
      <c r="K2623" s="2" t="s">
        <v>364</v>
      </c>
      <c r="L2623" s="2" t="s">
        <v>34</v>
      </c>
      <c r="M2623" s="2"/>
      <c r="N2623" s="7">
        <v>57.875</v>
      </c>
      <c r="O2623" s="7">
        <v>58.125</v>
      </c>
      <c r="P2623" s="2" t="s">
        <v>8394</v>
      </c>
      <c r="Q2623" s="2"/>
      <c r="R2623" s="2"/>
      <c r="S2623" s="2"/>
      <c r="T2623" s="2"/>
      <c r="U2623" s="2"/>
      <c r="V2623" s="2"/>
      <c r="W2623" s="7">
        <v>1.2809999999999999</v>
      </c>
      <c r="X2623" s="7">
        <v>1.3129999999999999</v>
      </c>
      <c r="Y2623" s="7">
        <v>1.125</v>
      </c>
      <c r="Z2623" s="7">
        <v>1.125</v>
      </c>
      <c r="AA2623" s="2"/>
      <c r="AB2623" s="2" t="s">
        <v>47</v>
      </c>
      <c r="AC2623" s="8">
        <v>1942.8</v>
      </c>
    </row>
    <row r="2624" spans="1:29" ht="39" x14ac:dyDescent="0.15">
      <c r="A2624" s="3">
        <f>DATE(1996,8,15)</f>
        <v>35292</v>
      </c>
      <c r="B2624" s="2"/>
      <c r="C2624" s="2" t="s">
        <v>7330</v>
      </c>
      <c r="D2624" s="2" t="s">
        <v>8395</v>
      </c>
      <c r="E2624" s="2" t="s">
        <v>1893</v>
      </c>
      <c r="F2624" s="4">
        <v>4841</v>
      </c>
      <c r="G2624" s="2" t="s">
        <v>45</v>
      </c>
      <c r="H2624" s="2" t="s">
        <v>34</v>
      </c>
      <c r="I2624" s="2" t="s">
        <v>8396</v>
      </c>
      <c r="J2624" s="2" t="s">
        <v>8397</v>
      </c>
      <c r="K2624" s="2" t="s">
        <v>42</v>
      </c>
      <c r="L2624" s="2" t="s">
        <v>34</v>
      </c>
      <c r="M2624" s="2"/>
      <c r="N2624" s="2"/>
      <c r="O2624" s="2"/>
      <c r="P2624" s="2" t="s">
        <v>8398</v>
      </c>
      <c r="Q2624" s="2"/>
      <c r="R2624" s="2"/>
      <c r="S2624" s="2"/>
      <c r="T2624" s="2"/>
      <c r="U2624" s="2"/>
      <c r="V2624" s="2"/>
      <c r="W2624" s="7">
        <v>2.9380000000000002</v>
      </c>
      <c r="X2624" s="6">
        <v>1.25</v>
      </c>
      <c r="Y2624" s="7">
        <v>1.3129999999999999</v>
      </c>
      <c r="Z2624" s="7">
        <v>0.93799999999999994</v>
      </c>
      <c r="AA2624" s="2"/>
      <c r="AB2624" s="2" t="s">
        <v>47</v>
      </c>
      <c r="AC2624" s="2"/>
    </row>
    <row r="2625" spans="1:29" ht="117" x14ac:dyDescent="0.15">
      <c r="A2625" s="3">
        <f>DATE(1996,8,15)</f>
        <v>35292</v>
      </c>
      <c r="B2625" s="3">
        <f>DATE(1996,9,26)</f>
        <v>35334</v>
      </c>
      <c r="C2625" s="2" t="s">
        <v>95</v>
      </c>
      <c r="D2625" s="2" t="s">
        <v>8399</v>
      </c>
      <c r="E2625" s="2" t="s">
        <v>8400</v>
      </c>
      <c r="F2625" s="4">
        <v>5211</v>
      </c>
      <c r="G2625" s="2" t="s">
        <v>73</v>
      </c>
      <c r="H2625" s="2" t="s">
        <v>34</v>
      </c>
      <c r="I2625" s="2" t="s">
        <v>1060</v>
      </c>
      <c r="J2625" s="2" t="s">
        <v>1061</v>
      </c>
      <c r="K2625" s="2" t="s">
        <v>756</v>
      </c>
      <c r="L2625" s="2" t="s">
        <v>34</v>
      </c>
      <c r="M2625" s="12">
        <v>18103.174999999999</v>
      </c>
      <c r="N2625" s="7">
        <v>44.625</v>
      </c>
      <c r="O2625" s="6">
        <v>46.25</v>
      </c>
      <c r="P2625" s="2" t="s">
        <v>8401</v>
      </c>
      <c r="Q2625" s="6">
        <v>100</v>
      </c>
      <c r="R2625" s="6">
        <v>35</v>
      </c>
      <c r="S2625" s="5">
        <v>12.5</v>
      </c>
      <c r="T2625" s="7">
        <v>44.686</v>
      </c>
      <c r="U2625" s="5">
        <v>15.1</v>
      </c>
      <c r="V2625" s="7">
        <v>1.518</v>
      </c>
      <c r="W2625" s="7">
        <v>27.875</v>
      </c>
      <c r="X2625" s="6">
        <v>29.75</v>
      </c>
      <c r="Y2625" s="6">
        <v>34.75</v>
      </c>
      <c r="Z2625" s="7">
        <v>34.625</v>
      </c>
      <c r="AA2625" s="6">
        <v>7.54</v>
      </c>
      <c r="AB2625" s="7">
        <v>12.247999999999999</v>
      </c>
      <c r="AC2625" s="5">
        <v>606</v>
      </c>
    </row>
    <row r="2626" spans="1:29" ht="65" x14ac:dyDescent="0.15">
      <c r="A2626" s="3">
        <f>DATE(1996,8,16)</f>
        <v>35293</v>
      </c>
      <c r="B2626" s="2"/>
      <c r="C2626" s="2" t="s">
        <v>30</v>
      </c>
      <c r="D2626" s="2" t="s">
        <v>8402</v>
      </c>
      <c r="E2626" s="2" t="s">
        <v>5564</v>
      </c>
      <c r="F2626" s="4">
        <v>8071</v>
      </c>
      <c r="G2626" s="2" t="s">
        <v>454</v>
      </c>
      <c r="H2626" s="2" t="s">
        <v>34</v>
      </c>
      <c r="I2626" s="2" t="s">
        <v>8403</v>
      </c>
      <c r="J2626" s="2" t="s">
        <v>8247</v>
      </c>
      <c r="K2626" s="2" t="s">
        <v>454</v>
      </c>
      <c r="L2626" s="2" t="s">
        <v>34</v>
      </c>
      <c r="M2626" s="7">
        <v>244.375</v>
      </c>
      <c r="N2626" s="7">
        <v>9.625</v>
      </c>
      <c r="O2626" s="7">
        <v>10.063000000000001</v>
      </c>
      <c r="P2626" s="2" t="s">
        <v>8404</v>
      </c>
      <c r="Q2626" s="2"/>
      <c r="R2626" s="6">
        <v>6.5</v>
      </c>
      <c r="S2626" s="5">
        <v>5.0999999999999996</v>
      </c>
      <c r="T2626" s="7">
        <v>25.012</v>
      </c>
      <c r="U2626" s="5">
        <v>0.4</v>
      </c>
      <c r="V2626" s="7">
        <v>0.36299999999999999</v>
      </c>
      <c r="W2626" s="6">
        <v>4.75</v>
      </c>
      <c r="X2626" s="4">
        <v>6</v>
      </c>
      <c r="Y2626" s="7">
        <v>5.4379999999999997</v>
      </c>
      <c r="Z2626" s="7">
        <v>5.4379999999999997</v>
      </c>
      <c r="AA2626" s="6">
        <v>10.9</v>
      </c>
      <c r="AB2626" s="7">
        <v>14.853</v>
      </c>
      <c r="AC2626" s="6">
        <v>4.37</v>
      </c>
    </row>
    <row r="2627" spans="1:29" ht="78" x14ac:dyDescent="0.15">
      <c r="A2627" s="3">
        <f>DATE(1996,8,16)</f>
        <v>35293</v>
      </c>
      <c r="B2627" s="3">
        <f>DATE(1996,8,16)</f>
        <v>35293</v>
      </c>
      <c r="C2627" s="2" t="s">
        <v>95</v>
      </c>
      <c r="D2627" s="2" t="s">
        <v>8405</v>
      </c>
      <c r="E2627" s="2" t="s">
        <v>8406</v>
      </c>
      <c r="F2627" s="4">
        <v>1382</v>
      </c>
      <c r="G2627" s="2" t="s">
        <v>148</v>
      </c>
      <c r="H2627" s="2" t="s">
        <v>34</v>
      </c>
      <c r="I2627" s="2" t="s">
        <v>8407</v>
      </c>
      <c r="J2627" s="2" t="s">
        <v>8408</v>
      </c>
      <c r="K2627" s="2" t="s">
        <v>148</v>
      </c>
      <c r="L2627" s="2" t="s">
        <v>34</v>
      </c>
      <c r="M2627" s="2"/>
      <c r="N2627" s="5">
        <v>0.5</v>
      </c>
      <c r="O2627" s="5">
        <v>0.5</v>
      </c>
      <c r="P2627" s="2" t="s">
        <v>8409</v>
      </c>
      <c r="Q2627" s="6">
        <v>22.8</v>
      </c>
      <c r="R2627" s="2"/>
      <c r="S2627" s="5">
        <v>0.8</v>
      </c>
      <c r="T2627" s="7">
        <v>1.643</v>
      </c>
      <c r="U2627" s="5">
        <v>4.3</v>
      </c>
      <c r="V2627" s="7">
        <v>0.222</v>
      </c>
      <c r="W2627" s="5">
        <v>6.5</v>
      </c>
      <c r="X2627" s="5">
        <v>5.5</v>
      </c>
      <c r="Y2627" s="4">
        <v>7</v>
      </c>
      <c r="Z2627" s="5">
        <v>5.5</v>
      </c>
      <c r="AA2627" s="6">
        <v>6.58</v>
      </c>
      <c r="AB2627" s="7">
        <v>80.730999999999995</v>
      </c>
      <c r="AC2627" s="2"/>
    </row>
    <row r="2628" spans="1:29" ht="104" x14ac:dyDescent="0.15">
      <c r="A2628" s="3">
        <f>DATE(1996,8,19)</f>
        <v>35296</v>
      </c>
      <c r="B2628" s="2"/>
      <c r="C2628" s="2" t="s">
        <v>30</v>
      </c>
      <c r="D2628" s="2" t="s">
        <v>4738</v>
      </c>
      <c r="E2628" s="2" t="s">
        <v>4739</v>
      </c>
      <c r="F2628" s="4">
        <v>7948</v>
      </c>
      <c r="G2628" s="2" t="s">
        <v>364</v>
      </c>
      <c r="H2628" s="2" t="s">
        <v>34</v>
      </c>
      <c r="I2628" s="2" t="s">
        <v>8410</v>
      </c>
      <c r="J2628" s="2" t="s">
        <v>302</v>
      </c>
      <c r="K2628" s="2" t="s">
        <v>53</v>
      </c>
      <c r="L2628" s="2" t="s">
        <v>34</v>
      </c>
      <c r="M2628" s="2"/>
      <c r="N2628" s="2"/>
      <c r="O2628" s="2"/>
      <c r="P2628" s="2" t="s">
        <v>8411</v>
      </c>
      <c r="Q2628" s="2"/>
      <c r="R2628" s="2"/>
      <c r="S2628" s="5">
        <v>4.2</v>
      </c>
      <c r="T2628" s="7">
        <v>5.7409999999999997</v>
      </c>
      <c r="U2628" s="5">
        <v>2.1</v>
      </c>
      <c r="V2628" s="9">
        <v>0.37880000000000003</v>
      </c>
      <c r="W2628" s="5">
        <v>17.5</v>
      </c>
      <c r="X2628" s="7">
        <v>17.625</v>
      </c>
      <c r="Y2628" s="7">
        <v>17.875</v>
      </c>
      <c r="Z2628" s="5">
        <v>17.5</v>
      </c>
      <c r="AA2628" s="6">
        <v>5.9</v>
      </c>
      <c r="AB2628" s="2" t="s">
        <v>47</v>
      </c>
      <c r="AC2628" s="2"/>
    </row>
    <row r="2629" spans="1:29" ht="91" x14ac:dyDescent="0.15">
      <c r="A2629" s="3">
        <f>DATE(1996,8,19)</f>
        <v>35296</v>
      </c>
      <c r="B2629" s="3">
        <f>DATE(1996,9,20)</f>
        <v>35328</v>
      </c>
      <c r="C2629" s="2" t="s">
        <v>95</v>
      </c>
      <c r="D2629" s="2" t="s">
        <v>8412</v>
      </c>
      <c r="E2629" s="2" t="s">
        <v>8413</v>
      </c>
      <c r="F2629" s="4">
        <v>3353</v>
      </c>
      <c r="G2629" s="2" t="s">
        <v>163</v>
      </c>
      <c r="H2629" s="2" t="s">
        <v>34</v>
      </c>
      <c r="I2629" s="2" t="s">
        <v>8414</v>
      </c>
      <c r="J2629" s="2" t="s">
        <v>8415</v>
      </c>
      <c r="K2629" s="2" t="s">
        <v>163</v>
      </c>
      <c r="L2629" s="2" t="s">
        <v>34</v>
      </c>
      <c r="M2629" s="6">
        <v>142.66</v>
      </c>
      <c r="N2629" s="7">
        <v>15.875</v>
      </c>
      <c r="O2629" s="5">
        <v>15.5</v>
      </c>
      <c r="P2629" s="2" t="s">
        <v>8416</v>
      </c>
      <c r="Q2629" s="6">
        <v>100</v>
      </c>
      <c r="R2629" s="6">
        <v>20.5</v>
      </c>
      <c r="S2629" s="5">
        <v>23.1</v>
      </c>
      <c r="T2629" s="7">
        <v>42.091000000000001</v>
      </c>
      <c r="U2629" s="5">
        <v>7.5</v>
      </c>
      <c r="V2629" s="6">
        <v>2.1</v>
      </c>
      <c r="W2629" s="4">
        <v>13</v>
      </c>
      <c r="X2629" s="7">
        <v>14.875</v>
      </c>
      <c r="Y2629" s="6">
        <v>20.25</v>
      </c>
      <c r="Z2629" s="6">
        <v>20.25</v>
      </c>
      <c r="AA2629" s="6">
        <v>12.91</v>
      </c>
      <c r="AB2629" s="7">
        <v>9.9700000000000006</v>
      </c>
      <c r="AC2629" s="6">
        <v>2.67</v>
      </c>
    </row>
    <row r="2630" spans="1:29" ht="143" x14ac:dyDescent="0.15">
      <c r="A2630" s="3">
        <f>DATE(1996,8,19)</f>
        <v>35296</v>
      </c>
      <c r="B2630" s="2"/>
      <c r="C2630" s="2" t="s">
        <v>30</v>
      </c>
      <c r="D2630" s="2" t="s">
        <v>8417</v>
      </c>
      <c r="E2630" s="2" t="s">
        <v>92</v>
      </c>
      <c r="F2630" s="4">
        <v>6798</v>
      </c>
      <c r="G2630" s="2" t="s">
        <v>53</v>
      </c>
      <c r="H2630" s="2" t="s">
        <v>34</v>
      </c>
      <c r="I2630" s="2" t="s">
        <v>8418</v>
      </c>
      <c r="J2630" s="2" t="s">
        <v>92</v>
      </c>
      <c r="K2630" s="2" t="s">
        <v>53</v>
      </c>
      <c r="L2630" s="2" t="s">
        <v>34</v>
      </c>
      <c r="M2630" s="7">
        <v>448.221</v>
      </c>
      <c r="N2630" s="4">
        <v>19</v>
      </c>
      <c r="O2630" s="4">
        <v>19</v>
      </c>
      <c r="P2630" s="2" t="s">
        <v>8419</v>
      </c>
      <c r="Q2630" s="2"/>
      <c r="R2630" s="6">
        <v>26</v>
      </c>
      <c r="S2630" s="5">
        <v>14.9</v>
      </c>
      <c r="T2630" s="7">
        <v>39.125</v>
      </c>
      <c r="U2630" s="5">
        <v>-1.9</v>
      </c>
      <c r="V2630" s="7">
        <v>1.004</v>
      </c>
      <c r="W2630" s="7">
        <v>22.375</v>
      </c>
      <c r="X2630" s="6">
        <v>22.25</v>
      </c>
      <c r="Y2630" s="7">
        <v>23.125</v>
      </c>
      <c r="Z2630" s="4">
        <v>23</v>
      </c>
      <c r="AA2630" s="6">
        <v>6.1</v>
      </c>
      <c r="AB2630" s="7">
        <v>11.026</v>
      </c>
      <c r="AC2630" s="6">
        <v>2.44</v>
      </c>
    </row>
    <row r="2631" spans="1:29" ht="143" x14ac:dyDescent="0.15">
      <c r="A2631" s="3">
        <f>DATE(1996,8,19)</f>
        <v>35296</v>
      </c>
      <c r="B2631" s="3">
        <f>DATE(1996,12,16)</f>
        <v>35415</v>
      </c>
      <c r="C2631" s="2" t="s">
        <v>95</v>
      </c>
      <c r="D2631" s="2" t="s">
        <v>8420</v>
      </c>
      <c r="E2631" s="2" t="s">
        <v>8421</v>
      </c>
      <c r="F2631" s="4">
        <v>7011</v>
      </c>
      <c r="G2631" s="2" t="s">
        <v>269</v>
      </c>
      <c r="H2631" s="2" t="s">
        <v>34</v>
      </c>
      <c r="I2631" s="2" t="s">
        <v>8422</v>
      </c>
      <c r="J2631" s="2" t="s">
        <v>268</v>
      </c>
      <c r="K2631" s="2" t="s">
        <v>269</v>
      </c>
      <c r="L2631" s="2" t="s">
        <v>8423</v>
      </c>
      <c r="M2631" s="2"/>
      <c r="N2631" s="2"/>
      <c r="O2631" s="2"/>
      <c r="P2631" s="2" t="s">
        <v>8424</v>
      </c>
      <c r="Q2631" s="6">
        <v>100</v>
      </c>
      <c r="R2631" s="6">
        <v>22.43</v>
      </c>
      <c r="S2631" s="5">
        <v>9.9</v>
      </c>
      <c r="T2631" s="2"/>
      <c r="U2631" s="5">
        <v>3.2</v>
      </c>
      <c r="V2631" s="6">
        <v>1.1299999999999999</v>
      </c>
      <c r="W2631" s="7">
        <v>11.875</v>
      </c>
      <c r="X2631" s="7">
        <v>11.875</v>
      </c>
      <c r="Y2631" s="6">
        <v>12.25</v>
      </c>
      <c r="Z2631" s="7">
        <v>19.375</v>
      </c>
      <c r="AA2631" s="6">
        <v>7.98</v>
      </c>
      <c r="AB2631" s="7">
        <v>9.5980000000000008</v>
      </c>
      <c r="AC2631" s="2"/>
    </row>
    <row r="2632" spans="1:29" ht="156" x14ac:dyDescent="0.15">
      <c r="A2632" s="3">
        <f>DATE(1996,8,20)</f>
        <v>35297</v>
      </c>
      <c r="B2632" s="2"/>
      <c r="C2632" s="2" t="s">
        <v>30</v>
      </c>
      <c r="D2632" s="2" t="s">
        <v>8212</v>
      </c>
      <c r="E2632" s="2" t="s">
        <v>8213</v>
      </c>
      <c r="F2632" s="4">
        <v>3823</v>
      </c>
      <c r="G2632" s="2" t="s">
        <v>226</v>
      </c>
      <c r="H2632" s="2" t="s">
        <v>34</v>
      </c>
      <c r="I2632" s="2" t="s">
        <v>51</v>
      </c>
      <c r="J2632" s="2" t="s">
        <v>52</v>
      </c>
      <c r="K2632" s="2" t="s">
        <v>53</v>
      </c>
      <c r="L2632" s="2" t="s">
        <v>34</v>
      </c>
      <c r="M2632" s="2"/>
      <c r="N2632" s="2"/>
      <c r="O2632" s="2"/>
      <c r="P2632" s="2" t="s">
        <v>8425</v>
      </c>
      <c r="Q2632" s="2"/>
      <c r="R2632" s="2"/>
      <c r="S2632" s="5">
        <v>2</v>
      </c>
      <c r="T2632" s="7">
        <v>7.1050000000000004</v>
      </c>
      <c r="U2632" s="5">
        <v>6</v>
      </c>
      <c r="V2632" s="7">
        <v>0.42299999999999999</v>
      </c>
      <c r="W2632" s="6">
        <v>8.75</v>
      </c>
      <c r="X2632" s="7">
        <v>9.875</v>
      </c>
      <c r="Y2632" s="7">
        <v>12.125</v>
      </c>
      <c r="Z2632" s="6">
        <v>13.25</v>
      </c>
      <c r="AA2632" s="6">
        <v>7.86</v>
      </c>
      <c r="AB2632" s="2" t="s">
        <v>47</v>
      </c>
      <c r="AC2632" s="2"/>
    </row>
    <row r="2633" spans="1:29" ht="65" x14ac:dyDescent="0.15">
      <c r="A2633" s="3">
        <f>DATE(1996,8,21)</f>
        <v>35298</v>
      </c>
      <c r="B2633" s="3">
        <f>DATE(1996,12,6)</f>
        <v>35405</v>
      </c>
      <c r="C2633" s="2" t="s">
        <v>95</v>
      </c>
      <c r="D2633" s="2" t="s">
        <v>8426</v>
      </c>
      <c r="E2633" s="2" t="s">
        <v>8427</v>
      </c>
      <c r="F2633" s="4">
        <v>5621</v>
      </c>
      <c r="G2633" s="2" t="s">
        <v>756</v>
      </c>
      <c r="H2633" s="2" t="s">
        <v>34</v>
      </c>
      <c r="I2633" s="2" t="s">
        <v>8428</v>
      </c>
      <c r="J2633" s="2" t="s">
        <v>302</v>
      </c>
      <c r="K2633" s="2" t="s">
        <v>53</v>
      </c>
      <c r="L2633" s="2" t="s">
        <v>34</v>
      </c>
      <c r="M2633" s="2"/>
      <c r="N2633" s="2"/>
      <c r="O2633" s="2"/>
      <c r="P2633" s="2" t="s">
        <v>8429</v>
      </c>
      <c r="Q2633" s="6">
        <v>52.68</v>
      </c>
      <c r="R2633" s="2"/>
      <c r="S2633" s="2"/>
      <c r="T2633" s="2"/>
      <c r="U2633" s="2"/>
      <c r="V2633" s="2"/>
      <c r="W2633" s="7">
        <v>2.3130000000000002</v>
      </c>
      <c r="X2633" s="6">
        <v>2.75</v>
      </c>
      <c r="Y2633" s="6">
        <v>2.75</v>
      </c>
      <c r="Z2633" s="4">
        <v>2</v>
      </c>
      <c r="AA2633" s="6">
        <v>1</v>
      </c>
      <c r="AB2633" s="2" t="s">
        <v>47</v>
      </c>
      <c r="AC2633" s="2"/>
    </row>
    <row r="2634" spans="1:29" ht="143" x14ac:dyDescent="0.15">
      <c r="A2634" s="3">
        <f>DATE(1996,8,21)</f>
        <v>35298</v>
      </c>
      <c r="B2634" s="3">
        <f>DATE(1996,11,22)</f>
        <v>35391</v>
      </c>
      <c r="C2634" s="2" t="s">
        <v>95</v>
      </c>
      <c r="D2634" s="2" t="s">
        <v>4208</v>
      </c>
      <c r="E2634" s="2" t="s">
        <v>4209</v>
      </c>
      <c r="F2634" s="4">
        <v>3511</v>
      </c>
      <c r="G2634" s="2" t="s">
        <v>300</v>
      </c>
      <c r="H2634" s="2" t="s">
        <v>34</v>
      </c>
      <c r="I2634" s="2" t="s">
        <v>8430</v>
      </c>
      <c r="J2634" s="2" t="s">
        <v>8431</v>
      </c>
      <c r="K2634" s="2" t="s">
        <v>577</v>
      </c>
      <c r="L2634" s="2" t="s">
        <v>34</v>
      </c>
      <c r="M2634" s="2"/>
      <c r="N2634" s="2"/>
      <c r="O2634" s="2"/>
      <c r="P2634" s="2" t="s">
        <v>8432</v>
      </c>
      <c r="Q2634" s="6">
        <v>52</v>
      </c>
      <c r="R2634" s="2"/>
      <c r="S2634" s="5">
        <v>0.9</v>
      </c>
      <c r="T2634" s="7">
        <v>1.284</v>
      </c>
      <c r="U2634" s="5">
        <v>0.7</v>
      </c>
      <c r="V2634" s="6">
        <v>0.05</v>
      </c>
      <c r="W2634" s="7">
        <v>2.5630000000000002</v>
      </c>
      <c r="X2634" s="7">
        <v>2.5630000000000002</v>
      </c>
      <c r="Y2634" s="7">
        <v>2.5630000000000002</v>
      </c>
      <c r="Z2634" s="7">
        <v>2.5630000000000002</v>
      </c>
      <c r="AA2634" s="6">
        <v>16.54</v>
      </c>
      <c r="AB2634" s="7">
        <v>36.606000000000002</v>
      </c>
      <c r="AC2634" s="2"/>
    </row>
    <row r="2635" spans="1:29" ht="104" x14ac:dyDescent="0.15">
      <c r="A2635" s="3">
        <f>DATE(1996,8,22)</f>
        <v>35299</v>
      </c>
      <c r="B2635" s="2"/>
      <c r="C2635" s="2" t="s">
        <v>30</v>
      </c>
      <c r="D2635" s="2" t="s">
        <v>8417</v>
      </c>
      <c r="E2635" s="2" t="s">
        <v>92</v>
      </c>
      <c r="F2635" s="4">
        <v>6798</v>
      </c>
      <c r="G2635" s="2" t="s">
        <v>53</v>
      </c>
      <c r="H2635" s="2" t="s">
        <v>34</v>
      </c>
      <c r="I2635" s="2" t="s">
        <v>8433</v>
      </c>
      <c r="J2635" s="2" t="s">
        <v>92</v>
      </c>
      <c r="K2635" s="2" t="s">
        <v>53</v>
      </c>
      <c r="L2635" s="2" t="s">
        <v>34</v>
      </c>
      <c r="M2635" s="7">
        <v>404.608</v>
      </c>
      <c r="N2635" s="7">
        <v>27.625</v>
      </c>
      <c r="O2635" s="7">
        <v>27.562999999999999</v>
      </c>
      <c r="P2635" s="2" t="s">
        <v>8434</v>
      </c>
      <c r="Q2635" s="2"/>
      <c r="R2635" s="6">
        <v>24.75</v>
      </c>
      <c r="S2635" s="5">
        <v>14.9</v>
      </c>
      <c r="T2635" s="7">
        <v>39.125</v>
      </c>
      <c r="U2635" s="5">
        <v>-1.9</v>
      </c>
      <c r="V2635" s="7">
        <v>1.004</v>
      </c>
      <c r="W2635" s="7">
        <v>22.375</v>
      </c>
      <c r="X2635" s="6">
        <v>22.25</v>
      </c>
      <c r="Y2635" s="7">
        <v>23.125</v>
      </c>
      <c r="Z2635" s="4">
        <v>23</v>
      </c>
      <c r="AA2635" s="6">
        <v>15.35</v>
      </c>
      <c r="AB2635" s="7">
        <v>10.727</v>
      </c>
      <c r="AC2635" s="6">
        <v>0.12</v>
      </c>
    </row>
    <row r="2636" spans="1:29" ht="117" x14ac:dyDescent="0.15">
      <c r="A2636" s="3">
        <f>DATE(1996,8,22)</f>
        <v>35299</v>
      </c>
      <c r="B2636" s="3">
        <f>DATE(1996,10,29)</f>
        <v>35367</v>
      </c>
      <c r="C2636" s="2" t="s">
        <v>95</v>
      </c>
      <c r="D2636" s="2" t="s">
        <v>8435</v>
      </c>
      <c r="E2636" s="2" t="s">
        <v>781</v>
      </c>
      <c r="F2636" s="4">
        <v>7372</v>
      </c>
      <c r="G2636" s="2" t="s">
        <v>551</v>
      </c>
      <c r="H2636" s="2" t="s">
        <v>34</v>
      </c>
      <c r="I2636" s="2" t="s">
        <v>6623</v>
      </c>
      <c r="J2636" s="2" t="s">
        <v>781</v>
      </c>
      <c r="K2636" s="2" t="s">
        <v>551</v>
      </c>
      <c r="L2636" s="2" t="s">
        <v>34</v>
      </c>
      <c r="M2636" s="7">
        <v>505.29399999999998</v>
      </c>
      <c r="N2636" s="7">
        <v>30.125</v>
      </c>
      <c r="O2636" s="4">
        <v>32</v>
      </c>
      <c r="P2636" s="2" t="s">
        <v>8436</v>
      </c>
      <c r="Q2636" s="6">
        <v>100</v>
      </c>
      <c r="R2636" s="6">
        <v>12.69</v>
      </c>
      <c r="S2636" s="5">
        <v>5.0999999999999996</v>
      </c>
      <c r="T2636" s="6">
        <v>5.66</v>
      </c>
      <c r="U2636" s="5">
        <v>2.9</v>
      </c>
      <c r="V2636" s="7">
        <v>0.499</v>
      </c>
      <c r="W2636" s="7">
        <v>12.625</v>
      </c>
      <c r="X2636" s="6">
        <v>10.75</v>
      </c>
      <c r="Y2636" s="6">
        <v>12.25</v>
      </c>
      <c r="Z2636" s="5">
        <v>13.5</v>
      </c>
      <c r="AA2636" s="6">
        <v>10.16</v>
      </c>
      <c r="AB2636" s="7">
        <v>28.134</v>
      </c>
      <c r="AC2636" s="2"/>
    </row>
    <row r="2637" spans="1:29" ht="39" x14ac:dyDescent="0.15">
      <c r="A2637" s="3">
        <f>DATE(1996,8,23)</f>
        <v>35300</v>
      </c>
      <c r="B2637" s="2"/>
      <c r="C2637" s="2" t="s">
        <v>87</v>
      </c>
      <c r="D2637" s="2" t="s">
        <v>6753</v>
      </c>
      <c r="E2637" s="2" t="s">
        <v>5065</v>
      </c>
      <c r="F2637" s="4">
        <v>3577</v>
      </c>
      <c r="G2637" s="2" t="s">
        <v>50</v>
      </c>
      <c r="H2637" s="2" t="s">
        <v>34</v>
      </c>
      <c r="I2637" s="2" t="s">
        <v>8437</v>
      </c>
      <c r="J2637" s="2" t="s">
        <v>8438</v>
      </c>
      <c r="K2637" s="2" t="s">
        <v>921</v>
      </c>
      <c r="L2637" s="2" t="s">
        <v>34</v>
      </c>
      <c r="M2637" s="12">
        <v>22760.664000000001</v>
      </c>
      <c r="N2637" s="7">
        <v>37.375</v>
      </c>
      <c r="O2637" s="4">
        <v>37</v>
      </c>
      <c r="P2637" s="2" t="s">
        <v>8439</v>
      </c>
      <c r="Q2637" s="2"/>
      <c r="R2637" s="2"/>
      <c r="S2637" s="5">
        <v>206.3</v>
      </c>
      <c r="T2637" s="7">
        <v>416.35300000000001</v>
      </c>
      <c r="U2637" s="5">
        <v>5.8</v>
      </c>
      <c r="V2637" s="6">
        <v>1.04</v>
      </c>
      <c r="W2637" s="5">
        <v>23.5</v>
      </c>
      <c r="X2637" s="6">
        <v>25.25</v>
      </c>
      <c r="Y2637" s="7">
        <v>27.125</v>
      </c>
      <c r="Z2637" s="7">
        <v>26.625</v>
      </c>
      <c r="AA2637" s="6">
        <v>187.83</v>
      </c>
      <c r="AB2637" s="2" t="s">
        <v>47</v>
      </c>
      <c r="AC2637" s="5">
        <v>448</v>
      </c>
    </row>
    <row r="2638" spans="1:29" ht="130" x14ac:dyDescent="0.15">
      <c r="A2638" s="3">
        <f t="shared" ref="A2638:A2645" si="20">DATE(1996,8,26)</f>
        <v>35303</v>
      </c>
      <c r="B2638" s="3">
        <f>DATE(1996,12,17)</f>
        <v>35416</v>
      </c>
      <c r="C2638" s="2" t="s">
        <v>95</v>
      </c>
      <c r="D2638" s="2" t="s">
        <v>8440</v>
      </c>
      <c r="E2638" s="2" t="s">
        <v>124</v>
      </c>
      <c r="F2638" s="4">
        <v>6311</v>
      </c>
      <c r="G2638" s="2" t="s">
        <v>125</v>
      </c>
      <c r="H2638" s="2" t="s">
        <v>34</v>
      </c>
      <c r="I2638" s="2" t="s">
        <v>4081</v>
      </c>
      <c r="J2638" s="2" t="s">
        <v>4015</v>
      </c>
      <c r="K2638" s="2" t="s">
        <v>125</v>
      </c>
      <c r="L2638" s="2" t="s">
        <v>34</v>
      </c>
      <c r="M2638" s="12">
        <v>3693.424</v>
      </c>
      <c r="N2638" s="4">
        <v>44</v>
      </c>
      <c r="O2638" s="7">
        <v>43.828000000000003</v>
      </c>
      <c r="P2638" s="2" t="s">
        <v>8441</v>
      </c>
      <c r="Q2638" s="6">
        <v>100</v>
      </c>
      <c r="R2638" s="6">
        <v>36.909999999999997</v>
      </c>
      <c r="S2638" s="5">
        <v>29.8</v>
      </c>
      <c r="T2638" s="7">
        <v>72.593000000000004</v>
      </c>
      <c r="U2638" s="5">
        <v>10.5</v>
      </c>
      <c r="V2638" s="7">
        <v>1.7969999999999999</v>
      </c>
      <c r="W2638" s="7">
        <v>26.875</v>
      </c>
      <c r="X2638" s="7">
        <v>28.375</v>
      </c>
      <c r="Y2638" s="7">
        <v>31.562999999999999</v>
      </c>
      <c r="Z2638" s="7">
        <v>31.515999999999998</v>
      </c>
      <c r="AA2638" s="6">
        <v>16.28</v>
      </c>
      <c r="AB2638" s="7">
        <v>19.245000000000001</v>
      </c>
      <c r="AC2638" s="5">
        <v>189.9</v>
      </c>
    </row>
    <row r="2639" spans="1:29" ht="65" x14ac:dyDescent="0.15">
      <c r="A2639" s="3">
        <f t="shared" si="20"/>
        <v>35303</v>
      </c>
      <c r="B2639" s="3">
        <f>DATE(1996,12,31)</f>
        <v>35430</v>
      </c>
      <c r="C2639" s="2" t="s">
        <v>95</v>
      </c>
      <c r="D2639" s="2" t="s">
        <v>5866</v>
      </c>
      <c r="E2639" s="2" t="s">
        <v>4080</v>
      </c>
      <c r="F2639" s="4">
        <v>6311</v>
      </c>
      <c r="G2639" s="2" t="s">
        <v>125</v>
      </c>
      <c r="H2639" s="2" t="s">
        <v>34</v>
      </c>
      <c r="I2639" s="2" t="s">
        <v>4081</v>
      </c>
      <c r="J2639" s="2" t="s">
        <v>4015</v>
      </c>
      <c r="K2639" s="2" t="s">
        <v>125</v>
      </c>
      <c r="L2639" s="2" t="s">
        <v>34</v>
      </c>
      <c r="M2639" s="12">
        <v>1635.6990000000001</v>
      </c>
      <c r="N2639" s="4">
        <v>44</v>
      </c>
      <c r="O2639" s="7">
        <v>43.828000000000003</v>
      </c>
      <c r="P2639" s="2" t="s">
        <v>8442</v>
      </c>
      <c r="Q2639" s="6">
        <v>11.58</v>
      </c>
      <c r="R2639" s="6">
        <v>25</v>
      </c>
      <c r="S2639" s="5">
        <v>128.30000000000001</v>
      </c>
      <c r="T2639" s="2"/>
      <c r="U2639" s="5">
        <v>19.5</v>
      </c>
      <c r="V2639" s="6">
        <v>1.32</v>
      </c>
      <c r="W2639" s="7">
        <v>22.625</v>
      </c>
      <c r="X2639" s="6">
        <v>21.75</v>
      </c>
      <c r="Y2639" s="7">
        <v>24.125</v>
      </c>
      <c r="Z2639" s="5">
        <v>24.5</v>
      </c>
      <c r="AA2639" s="6">
        <v>49.33</v>
      </c>
      <c r="AB2639" s="7">
        <v>4.9859999999999998</v>
      </c>
      <c r="AC2639" s="5">
        <v>189.9</v>
      </c>
    </row>
    <row r="2640" spans="1:29" ht="104" x14ac:dyDescent="0.15">
      <c r="A2640" s="3">
        <f t="shared" si="20"/>
        <v>35303</v>
      </c>
      <c r="B2640" s="3">
        <f>DATE(1997,3,4)</f>
        <v>35493</v>
      </c>
      <c r="C2640" s="2" t="s">
        <v>95</v>
      </c>
      <c r="D2640" s="2" t="s">
        <v>8443</v>
      </c>
      <c r="E2640" s="2" t="s">
        <v>8444</v>
      </c>
      <c r="F2640" s="4">
        <v>6321</v>
      </c>
      <c r="G2640" s="2" t="s">
        <v>125</v>
      </c>
      <c r="H2640" s="2" t="s">
        <v>34</v>
      </c>
      <c r="I2640" s="2" t="s">
        <v>4081</v>
      </c>
      <c r="J2640" s="2" t="s">
        <v>4015</v>
      </c>
      <c r="K2640" s="2" t="s">
        <v>125</v>
      </c>
      <c r="L2640" s="2" t="s">
        <v>34</v>
      </c>
      <c r="M2640" s="12">
        <v>1635.6990000000001</v>
      </c>
      <c r="N2640" s="4">
        <v>44</v>
      </c>
      <c r="O2640" s="7">
        <v>43.828000000000003</v>
      </c>
      <c r="P2640" s="2" t="s">
        <v>8445</v>
      </c>
      <c r="Q2640" s="6">
        <v>100</v>
      </c>
      <c r="R2640" s="6">
        <v>37.71</v>
      </c>
      <c r="S2640" s="5">
        <v>50.2</v>
      </c>
      <c r="T2640" s="7">
        <v>80.718000000000004</v>
      </c>
      <c r="U2640" s="5">
        <v>16.8</v>
      </c>
      <c r="V2640" s="7">
        <v>2.871</v>
      </c>
      <c r="W2640" s="7">
        <v>24.875</v>
      </c>
      <c r="X2640" s="4">
        <v>25</v>
      </c>
      <c r="Y2640" s="7">
        <v>34.875</v>
      </c>
      <c r="Z2640" s="7">
        <v>35.125</v>
      </c>
      <c r="AA2640" s="6">
        <v>17.5</v>
      </c>
      <c r="AB2640" s="7">
        <v>8.77</v>
      </c>
      <c r="AC2640" s="5">
        <v>189.9</v>
      </c>
    </row>
    <row r="2641" spans="1:29" ht="117" x14ac:dyDescent="0.15">
      <c r="A2641" s="3">
        <f t="shared" si="20"/>
        <v>35303</v>
      </c>
      <c r="B2641" s="3">
        <f>DATE(1996,11,14)</f>
        <v>35383</v>
      </c>
      <c r="C2641" s="2" t="s">
        <v>95</v>
      </c>
      <c r="D2641" s="2" t="s">
        <v>8446</v>
      </c>
      <c r="E2641" s="2" t="s">
        <v>5291</v>
      </c>
      <c r="F2641" s="4">
        <v>7363</v>
      </c>
      <c r="G2641" s="2" t="s">
        <v>223</v>
      </c>
      <c r="H2641" s="2" t="s">
        <v>34</v>
      </c>
      <c r="I2641" s="2" t="s">
        <v>8447</v>
      </c>
      <c r="J2641" s="2" t="s">
        <v>8448</v>
      </c>
      <c r="K2641" s="2" t="s">
        <v>223</v>
      </c>
      <c r="L2641" s="2" t="s">
        <v>34</v>
      </c>
      <c r="M2641" s="12">
        <v>1819.4549999999999</v>
      </c>
      <c r="N2641" s="4">
        <v>25</v>
      </c>
      <c r="O2641" s="7">
        <v>23.625</v>
      </c>
      <c r="P2641" s="2" t="s">
        <v>8449</v>
      </c>
      <c r="Q2641" s="6">
        <v>100</v>
      </c>
      <c r="R2641" s="6">
        <v>42.84</v>
      </c>
      <c r="S2641" s="5">
        <v>9.4</v>
      </c>
      <c r="T2641" s="7">
        <v>19.382999999999999</v>
      </c>
      <c r="U2641" s="5">
        <v>10.8</v>
      </c>
      <c r="V2641" s="7">
        <v>0.57099999999999995</v>
      </c>
      <c r="W2641" s="4">
        <v>32</v>
      </c>
      <c r="X2641" s="7">
        <v>31.875</v>
      </c>
      <c r="Y2641" s="4">
        <v>37</v>
      </c>
      <c r="Z2641" s="4">
        <v>35</v>
      </c>
      <c r="AA2641" s="6">
        <v>17.649999999999999</v>
      </c>
      <c r="AB2641" s="7">
        <v>47.325000000000003</v>
      </c>
      <c r="AC2641" s="5">
        <v>31.9</v>
      </c>
    </row>
    <row r="2642" spans="1:29" ht="169" x14ac:dyDescent="0.15">
      <c r="A2642" s="3">
        <f t="shared" si="20"/>
        <v>35303</v>
      </c>
      <c r="B2642" s="3">
        <f>DATE(1996,12,20)</f>
        <v>35419</v>
      </c>
      <c r="C2642" s="2" t="s">
        <v>95</v>
      </c>
      <c r="D2642" s="2" t="s">
        <v>3953</v>
      </c>
      <c r="E2642" s="2" t="s">
        <v>3954</v>
      </c>
      <c r="F2642" s="4">
        <v>5961</v>
      </c>
      <c r="G2642" s="2" t="s">
        <v>73</v>
      </c>
      <c r="H2642" s="2" t="s">
        <v>34</v>
      </c>
      <c r="I2642" s="2" t="s">
        <v>7180</v>
      </c>
      <c r="J2642" s="2" t="s">
        <v>981</v>
      </c>
      <c r="K2642" s="2" t="s">
        <v>45</v>
      </c>
      <c r="L2642" s="2" t="s">
        <v>34</v>
      </c>
      <c r="M2642" s="6">
        <v>233.23</v>
      </c>
      <c r="N2642" s="4">
        <v>28</v>
      </c>
      <c r="O2642" s="5">
        <v>26.5</v>
      </c>
      <c r="P2642" s="2" t="s">
        <v>8450</v>
      </c>
      <c r="Q2642" s="6">
        <v>100</v>
      </c>
      <c r="R2642" s="6">
        <v>13.2</v>
      </c>
      <c r="S2642" s="5">
        <v>-61.9</v>
      </c>
      <c r="T2642" s="7">
        <v>-25.419</v>
      </c>
      <c r="U2642" s="5">
        <v>1.4</v>
      </c>
      <c r="V2642" s="6">
        <v>-0.69</v>
      </c>
      <c r="W2642" s="7">
        <v>8.125</v>
      </c>
      <c r="X2642" s="5">
        <v>9.5</v>
      </c>
      <c r="Y2642" s="6">
        <v>9.75</v>
      </c>
      <c r="Z2642" s="4">
        <v>9</v>
      </c>
      <c r="AA2642" s="6">
        <v>90.82</v>
      </c>
      <c r="AB2642" s="2" t="s">
        <v>86</v>
      </c>
      <c r="AC2642" s="6">
        <v>22.21</v>
      </c>
    </row>
    <row r="2643" spans="1:29" ht="143" x14ac:dyDescent="0.15">
      <c r="A2643" s="3">
        <f t="shared" si="20"/>
        <v>35303</v>
      </c>
      <c r="B2643" s="3">
        <f>DATE(1996,12,31)</f>
        <v>35430</v>
      </c>
      <c r="C2643" s="2" t="s">
        <v>95</v>
      </c>
      <c r="D2643" s="2" t="s">
        <v>4735</v>
      </c>
      <c r="E2643" s="2" t="s">
        <v>4736</v>
      </c>
      <c r="F2643" s="4">
        <v>4813</v>
      </c>
      <c r="G2643" s="2" t="s">
        <v>63</v>
      </c>
      <c r="H2643" s="2" t="s">
        <v>34</v>
      </c>
      <c r="I2643" s="2" t="s">
        <v>8451</v>
      </c>
      <c r="J2643" s="2" t="s">
        <v>375</v>
      </c>
      <c r="K2643" s="2" t="s">
        <v>63</v>
      </c>
      <c r="L2643" s="2" t="s">
        <v>34</v>
      </c>
      <c r="M2643" s="8">
        <v>8850</v>
      </c>
      <c r="N2643" s="6">
        <v>22.75</v>
      </c>
      <c r="O2643" s="4">
        <v>21</v>
      </c>
      <c r="P2643" s="2" t="s">
        <v>8452</v>
      </c>
      <c r="Q2643" s="6">
        <v>100</v>
      </c>
      <c r="R2643" s="6">
        <v>55.39</v>
      </c>
      <c r="S2643" s="5">
        <v>-318.10000000000002</v>
      </c>
      <c r="T2643" s="7">
        <v>-87.228999999999999</v>
      </c>
      <c r="U2643" s="5">
        <v>3</v>
      </c>
      <c r="V2643" s="7">
        <v>-2.7549999999999999</v>
      </c>
      <c r="W2643" s="7">
        <v>34.625</v>
      </c>
      <c r="X2643" s="7">
        <v>34.875</v>
      </c>
      <c r="Y2643" s="7">
        <v>44.813000000000002</v>
      </c>
      <c r="Z2643" s="7">
        <v>41.313000000000002</v>
      </c>
      <c r="AA2643" s="6">
        <v>222.7</v>
      </c>
      <c r="AB2643" s="2" t="s">
        <v>86</v>
      </c>
      <c r="AC2643" s="6">
        <v>41.68</v>
      </c>
    </row>
    <row r="2644" spans="1:29" ht="78" x14ac:dyDescent="0.15">
      <c r="A2644" s="3">
        <f t="shared" si="20"/>
        <v>35303</v>
      </c>
      <c r="B2644" s="3">
        <f>DATE(1998,4,1)</f>
        <v>35886</v>
      </c>
      <c r="C2644" s="2" t="s">
        <v>95</v>
      </c>
      <c r="D2644" s="2" t="s">
        <v>8453</v>
      </c>
      <c r="E2644" s="2" t="s">
        <v>8454</v>
      </c>
      <c r="F2644" s="4">
        <v>6517</v>
      </c>
      <c r="G2644" s="2" t="s">
        <v>109</v>
      </c>
      <c r="H2644" s="2" t="s">
        <v>34</v>
      </c>
      <c r="I2644" s="2" t="s">
        <v>8455</v>
      </c>
      <c r="J2644" s="2" t="s">
        <v>8456</v>
      </c>
      <c r="K2644" s="2" t="s">
        <v>8457</v>
      </c>
      <c r="L2644" s="2" t="s">
        <v>34</v>
      </c>
      <c r="M2644" s="2"/>
      <c r="N2644" s="2"/>
      <c r="O2644" s="2"/>
      <c r="P2644" s="2" t="s">
        <v>8458</v>
      </c>
      <c r="Q2644" s="6">
        <v>25</v>
      </c>
      <c r="R2644" s="6">
        <v>66</v>
      </c>
      <c r="S2644" s="2"/>
      <c r="T2644" s="2"/>
      <c r="U2644" s="5">
        <v>4.5999999999999996</v>
      </c>
      <c r="V2644" s="2"/>
      <c r="W2644" s="13">
        <v>0</v>
      </c>
      <c r="X2644" s="5">
        <v>27.5</v>
      </c>
      <c r="Y2644" s="6">
        <v>29.25</v>
      </c>
      <c r="Z2644" s="4">
        <v>37</v>
      </c>
      <c r="AA2644" s="6">
        <v>4.28</v>
      </c>
      <c r="AB2644" s="2" t="s">
        <v>47</v>
      </c>
      <c r="AC2644" s="2"/>
    </row>
    <row r="2645" spans="1:29" ht="39" x14ac:dyDescent="0.15">
      <c r="A2645" s="3">
        <f t="shared" si="20"/>
        <v>35303</v>
      </c>
      <c r="B2645" s="2"/>
      <c r="C2645" s="2" t="s">
        <v>189</v>
      </c>
      <c r="D2645" s="2" t="s">
        <v>8459</v>
      </c>
      <c r="E2645" s="2" t="s">
        <v>8460</v>
      </c>
      <c r="F2645" s="4">
        <v>6141</v>
      </c>
      <c r="G2645" s="2" t="s">
        <v>370</v>
      </c>
      <c r="H2645" s="2" t="s">
        <v>34</v>
      </c>
      <c r="I2645" s="2" t="s">
        <v>143</v>
      </c>
      <c r="J2645" s="2" t="s">
        <v>144</v>
      </c>
      <c r="K2645" s="2" t="s">
        <v>53</v>
      </c>
      <c r="L2645" s="2" t="s">
        <v>139</v>
      </c>
      <c r="M2645" s="2"/>
      <c r="N2645" s="2"/>
      <c r="O2645" s="2"/>
      <c r="P2645" s="2" t="s">
        <v>8461</v>
      </c>
      <c r="Q2645" s="2"/>
      <c r="R2645" s="2"/>
      <c r="S2645" s="2"/>
      <c r="T2645" s="2"/>
      <c r="U2645" s="2"/>
      <c r="V2645" s="2"/>
      <c r="W2645" s="7">
        <v>17.375</v>
      </c>
      <c r="X2645" s="7">
        <v>17.625</v>
      </c>
      <c r="Y2645" s="4">
        <v>24</v>
      </c>
      <c r="Z2645" s="6">
        <v>26.25</v>
      </c>
      <c r="AA2645" s="2"/>
      <c r="AB2645" s="2" t="s">
        <v>47</v>
      </c>
      <c r="AC2645" s="2"/>
    </row>
    <row r="2646" spans="1:29" ht="130" x14ac:dyDescent="0.15">
      <c r="A2646" s="3">
        <f>DATE(1996,8,28)</f>
        <v>35305</v>
      </c>
      <c r="B2646" s="2"/>
      <c r="C2646" s="2" t="s">
        <v>30</v>
      </c>
      <c r="D2646" s="2" t="s">
        <v>8462</v>
      </c>
      <c r="E2646" s="2" t="s">
        <v>8463</v>
      </c>
      <c r="F2646" s="4">
        <v>3812</v>
      </c>
      <c r="G2646" s="2" t="s">
        <v>226</v>
      </c>
      <c r="H2646" s="2" t="s">
        <v>34</v>
      </c>
      <c r="I2646" s="2" t="s">
        <v>138</v>
      </c>
      <c r="J2646" s="2" t="s">
        <v>302</v>
      </c>
      <c r="K2646" s="2" t="s">
        <v>53</v>
      </c>
      <c r="L2646" s="2" t="s">
        <v>8464</v>
      </c>
      <c r="M2646" s="2"/>
      <c r="N2646" s="2"/>
      <c r="O2646" s="2"/>
      <c r="P2646" s="2" t="s">
        <v>8465</v>
      </c>
      <c r="Q2646" s="2"/>
      <c r="R2646" s="2"/>
      <c r="S2646" s="5">
        <v>-0.6</v>
      </c>
      <c r="T2646" s="7">
        <v>-1.2E-2</v>
      </c>
      <c r="U2646" s="5">
        <v>3.5</v>
      </c>
      <c r="V2646" s="6">
        <v>-0.18</v>
      </c>
      <c r="W2646" s="7">
        <v>1.1879999999999999</v>
      </c>
      <c r="X2646" s="4">
        <v>2</v>
      </c>
      <c r="Y2646" s="7">
        <v>1.875</v>
      </c>
      <c r="Z2646" s="6">
        <v>1.75</v>
      </c>
      <c r="AA2646" s="6">
        <v>6.8</v>
      </c>
      <c r="AB2646" s="2" t="s">
        <v>86</v>
      </c>
      <c r="AC2646" s="2"/>
    </row>
    <row r="2647" spans="1:29" ht="130" x14ac:dyDescent="0.15">
      <c r="A2647" s="3">
        <f>DATE(1996,8,28)</f>
        <v>35305</v>
      </c>
      <c r="B2647" s="3">
        <f>DATE(1996,11,8)</f>
        <v>35377</v>
      </c>
      <c r="C2647" s="2" t="s">
        <v>95</v>
      </c>
      <c r="D2647" s="2" t="s">
        <v>8466</v>
      </c>
      <c r="E2647" s="2" t="s">
        <v>268</v>
      </c>
      <c r="F2647" s="4">
        <v>7011</v>
      </c>
      <c r="G2647" s="2" t="s">
        <v>269</v>
      </c>
      <c r="H2647" s="2" t="s">
        <v>34</v>
      </c>
      <c r="I2647" s="2" t="s">
        <v>8467</v>
      </c>
      <c r="J2647" s="2" t="s">
        <v>8468</v>
      </c>
      <c r="K2647" s="2" t="s">
        <v>269</v>
      </c>
      <c r="L2647" s="2" t="s">
        <v>34</v>
      </c>
      <c r="M2647" s="5">
        <v>634.4</v>
      </c>
      <c r="N2647" s="7">
        <v>38.125</v>
      </c>
      <c r="O2647" s="5">
        <v>37.5</v>
      </c>
      <c r="P2647" s="2" t="s">
        <v>8469</v>
      </c>
      <c r="Q2647" s="6">
        <v>100</v>
      </c>
      <c r="R2647" s="6">
        <v>30.38</v>
      </c>
      <c r="S2647" s="5">
        <v>16.3</v>
      </c>
      <c r="T2647" s="7">
        <v>30.091999999999999</v>
      </c>
      <c r="U2647" s="5">
        <v>7.4</v>
      </c>
      <c r="V2647" s="7">
        <v>0.997</v>
      </c>
      <c r="W2647" s="6">
        <v>22.75</v>
      </c>
      <c r="X2647" s="6">
        <v>23.63</v>
      </c>
      <c r="Y2647" s="7">
        <v>23.625</v>
      </c>
      <c r="Z2647" s="7">
        <v>28.125</v>
      </c>
      <c r="AA2647" s="6">
        <v>31.31</v>
      </c>
      <c r="AB2647" s="7">
        <v>55.658000000000001</v>
      </c>
      <c r="AC2647" s="2"/>
    </row>
    <row r="2648" spans="1:29" ht="78" x14ac:dyDescent="0.15">
      <c r="A2648" s="3">
        <f>DATE(1996,8,29)</f>
        <v>35306</v>
      </c>
      <c r="B2648" s="3">
        <f>DATE(1996,11,14)</f>
        <v>35383</v>
      </c>
      <c r="C2648" s="2" t="s">
        <v>95</v>
      </c>
      <c r="D2648" s="2" t="s">
        <v>8470</v>
      </c>
      <c r="E2648" s="2" t="s">
        <v>8471</v>
      </c>
      <c r="F2648" s="4">
        <v>3561</v>
      </c>
      <c r="G2648" s="2" t="s">
        <v>300</v>
      </c>
      <c r="H2648" s="2" t="s">
        <v>34</v>
      </c>
      <c r="I2648" s="2" t="s">
        <v>8472</v>
      </c>
      <c r="J2648" s="2" t="s">
        <v>244</v>
      </c>
      <c r="K2648" s="2" t="s">
        <v>53</v>
      </c>
      <c r="L2648" s="2" t="s">
        <v>34</v>
      </c>
      <c r="M2648" s="2"/>
      <c r="N2648" s="2"/>
      <c r="O2648" s="2"/>
      <c r="P2648" s="2" t="s">
        <v>8473</v>
      </c>
      <c r="Q2648" s="6">
        <v>100</v>
      </c>
      <c r="R2648" s="6">
        <v>28.25</v>
      </c>
      <c r="S2648" s="5">
        <v>9.1</v>
      </c>
      <c r="T2648" s="7">
        <v>22.881</v>
      </c>
      <c r="U2648" s="5">
        <v>9.5</v>
      </c>
      <c r="V2648" s="6">
        <v>1.2</v>
      </c>
      <c r="W2648" s="4">
        <v>18</v>
      </c>
      <c r="X2648" s="5">
        <v>16.5</v>
      </c>
      <c r="Y2648" s="6">
        <v>19.25</v>
      </c>
      <c r="Z2648" s="7">
        <v>19.625</v>
      </c>
      <c r="AA2648" s="6">
        <v>7.75</v>
      </c>
      <c r="AB2648" s="7">
        <v>11.484</v>
      </c>
      <c r="AC2648" s="2"/>
    </row>
    <row r="2649" spans="1:29" ht="156" x14ac:dyDescent="0.15">
      <c r="A2649" s="3">
        <f>DATE(1996,8,29)</f>
        <v>35306</v>
      </c>
      <c r="B2649" s="3">
        <f>DATE(1997,3,4)</f>
        <v>35493</v>
      </c>
      <c r="C2649" s="2" t="s">
        <v>95</v>
      </c>
      <c r="D2649" s="2" t="s">
        <v>8474</v>
      </c>
      <c r="E2649" s="2" t="s">
        <v>2898</v>
      </c>
      <c r="F2649" s="4">
        <v>6022</v>
      </c>
      <c r="G2649" s="2" t="s">
        <v>37</v>
      </c>
      <c r="H2649" s="2" t="s">
        <v>34</v>
      </c>
      <c r="I2649" s="2" t="s">
        <v>7980</v>
      </c>
      <c r="J2649" s="2" t="s">
        <v>36</v>
      </c>
      <c r="K2649" s="2" t="s">
        <v>37</v>
      </c>
      <c r="L2649" s="2" t="s">
        <v>34</v>
      </c>
      <c r="M2649" s="12">
        <v>3354.471</v>
      </c>
      <c r="N2649" s="6">
        <v>37.75</v>
      </c>
      <c r="O2649" s="6">
        <v>38.75</v>
      </c>
      <c r="P2649" s="2" t="s">
        <v>8475</v>
      </c>
      <c r="Q2649" s="6">
        <v>100</v>
      </c>
      <c r="R2649" s="6">
        <v>21.77</v>
      </c>
      <c r="S2649" s="5">
        <v>9</v>
      </c>
      <c r="T2649" s="7">
        <v>13.507999999999999</v>
      </c>
      <c r="U2649" s="5">
        <v>8.6999999999999993</v>
      </c>
      <c r="V2649" s="7">
        <v>1.173</v>
      </c>
      <c r="W2649" s="5">
        <v>13.5</v>
      </c>
      <c r="X2649" s="4">
        <v>14</v>
      </c>
      <c r="Y2649" s="7">
        <v>20.312999999999999</v>
      </c>
      <c r="Z2649" s="7">
        <v>20.875</v>
      </c>
      <c r="AA2649" s="6">
        <v>7.57</v>
      </c>
      <c r="AB2649" s="7">
        <v>52.972999999999999</v>
      </c>
      <c r="AC2649" s="2"/>
    </row>
    <row r="2650" spans="1:29" ht="156" x14ac:dyDescent="0.15">
      <c r="A2650" s="3">
        <f>DATE(1996,8,30)</f>
        <v>35307</v>
      </c>
      <c r="B2650" s="3">
        <f>DATE(1997,1,6)</f>
        <v>35436</v>
      </c>
      <c r="C2650" s="2" t="s">
        <v>95</v>
      </c>
      <c r="D2650" s="2" t="s">
        <v>2353</v>
      </c>
      <c r="E2650" s="2" t="s">
        <v>36</v>
      </c>
      <c r="F2650" s="4">
        <v>6022</v>
      </c>
      <c r="G2650" s="2" t="s">
        <v>37</v>
      </c>
      <c r="H2650" s="2" t="s">
        <v>34</v>
      </c>
      <c r="I2650" s="2" t="s">
        <v>3047</v>
      </c>
      <c r="J2650" s="2" t="s">
        <v>3048</v>
      </c>
      <c r="K2650" s="2" t="s">
        <v>37</v>
      </c>
      <c r="L2650" s="2" t="s">
        <v>34</v>
      </c>
      <c r="M2650" s="12">
        <v>25768.516</v>
      </c>
      <c r="N2650" s="7">
        <v>85.125</v>
      </c>
      <c r="O2650" s="4">
        <v>84</v>
      </c>
      <c r="P2650" s="2" t="s">
        <v>8476</v>
      </c>
      <c r="Q2650" s="6">
        <v>100</v>
      </c>
      <c r="R2650" s="6">
        <v>60.27</v>
      </c>
      <c r="S2650" s="5">
        <v>418.8</v>
      </c>
      <c r="T2650" s="7">
        <v>784.83799999999997</v>
      </c>
      <c r="U2650" s="5">
        <v>22.6</v>
      </c>
      <c r="V2650" s="6">
        <v>3.25</v>
      </c>
      <c r="W2650" s="7">
        <v>40.625</v>
      </c>
      <c r="X2650" s="7">
        <v>40.125</v>
      </c>
      <c r="Y2650" s="7">
        <v>40.125</v>
      </c>
      <c r="Z2650" s="4">
        <v>40</v>
      </c>
      <c r="AA2650" s="6">
        <v>157.19999999999999</v>
      </c>
      <c r="AB2650" s="7">
        <v>19.186</v>
      </c>
      <c r="AC2650" s="2"/>
    </row>
    <row r="2651" spans="1:29" ht="26" x14ac:dyDescent="0.15">
      <c r="A2651" s="3">
        <f>DATE(1996,8,30)</f>
        <v>35307</v>
      </c>
      <c r="B2651" s="2"/>
      <c r="C2651" s="2" t="s">
        <v>30</v>
      </c>
      <c r="D2651" s="2" t="s">
        <v>8477</v>
      </c>
      <c r="E2651" s="2" t="s">
        <v>6632</v>
      </c>
      <c r="F2651" s="4">
        <v>3672</v>
      </c>
      <c r="G2651" s="2" t="s">
        <v>137</v>
      </c>
      <c r="H2651" s="2" t="s">
        <v>34</v>
      </c>
      <c r="I2651" s="2" t="s">
        <v>8478</v>
      </c>
      <c r="J2651" s="2" t="s">
        <v>1471</v>
      </c>
      <c r="K2651" s="2" t="s">
        <v>137</v>
      </c>
      <c r="L2651" s="2" t="s">
        <v>34</v>
      </c>
      <c r="M2651" s="7">
        <v>32.988</v>
      </c>
      <c r="N2651" s="7">
        <v>1.375</v>
      </c>
      <c r="O2651" s="7">
        <v>1.375</v>
      </c>
      <c r="P2651" s="2" t="s">
        <v>8479</v>
      </c>
      <c r="Q2651" s="2"/>
      <c r="R2651" s="2"/>
      <c r="S2651" s="5">
        <v>3.1</v>
      </c>
      <c r="T2651" s="7">
        <v>8.5549999999999997</v>
      </c>
      <c r="U2651" s="5">
        <v>4</v>
      </c>
      <c r="V2651" s="6">
        <v>0.57999999999999996</v>
      </c>
      <c r="W2651" s="7">
        <v>4.875</v>
      </c>
      <c r="X2651" s="7">
        <v>4.625</v>
      </c>
      <c r="Y2651" s="6">
        <v>4.75</v>
      </c>
      <c r="Z2651" s="6">
        <v>4.75</v>
      </c>
      <c r="AA2651" s="6">
        <v>5.3</v>
      </c>
      <c r="AB2651" s="2" t="s">
        <v>47</v>
      </c>
      <c r="AC2651" s="6">
        <v>2.52</v>
      </c>
    </row>
    <row r="2652" spans="1:29" ht="143" x14ac:dyDescent="0.15">
      <c r="A2652" s="3">
        <f>DATE(1996,8,30)</f>
        <v>35307</v>
      </c>
      <c r="B2652" s="3">
        <f>DATE(1997,1,3)</f>
        <v>35433</v>
      </c>
      <c r="C2652" s="2" t="s">
        <v>95</v>
      </c>
      <c r="D2652" s="2" t="s">
        <v>8480</v>
      </c>
      <c r="E2652" s="2" t="s">
        <v>1040</v>
      </c>
      <c r="F2652" s="4">
        <v>6036</v>
      </c>
      <c r="G2652" s="2" t="s">
        <v>33</v>
      </c>
      <c r="H2652" s="2" t="s">
        <v>34</v>
      </c>
      <c r="I2652" s="2" t="s">
        <v>3433</v>
      </c>
      <c r="J2652" s="2" t="s">
        <v>2898</v>
      </c>
      <c r="K2652" s="2" t="s">
        <v>37</v>
      </c>
      <c r="L2652" s="2" t="s">
        <v>34</v>
      </c>
      <c r="M2652" s="7">
        <v>275.25900000000001</v>
      </c>
      <c r="N2652" s="6">
        <v>15.75</v>
      </c>
      <c r="O2652" s="6">
        <v>15.75</v>
      </c>
      <c r="P2652" s="2" t="s">
        <v>8481</v>
      </c>
      <c r="Q2652" s="6">
        <v>100</v>
      </c>
      <c r="R2652" s="6">
        <v>30.88</v>
      </c>
      <c r="S2652" s="5">
        <v>10.3</v>
      </c>
      <c r="T2652" s="7">
        <v>19.355</v>
      </c>
      <c r="U2652" s="5">
        <v>18.3</v>
      </c>
      <c r="V2652" s="6">
        <v>1.9</v>
      </c>
      <c r="W2652" s="4">
        <v>20</v>
      </c>
      <c r="X2652" s="5">
        <v>20.5</v>
      </c>
      <c r="Y2652" s="6">
        <v>28.25</v>
      </c>
      <c r="Z2652" s="6">
        <v>28.25</v>
      </c>
      <c r="AA2652" s="6">
        <v>5.32</v>
      </c>
      <c r="AB2652" s="7">
        <v>55.460999999999999</v>
      </c>
      <c r="AC2652" s="2"/>
    </row>
    <row r="2653" spans="1:29" ht="169" x14ac:dyDescent="0.15">
      <c r="A2653" s="3">
        <f>DATE(1996,9,2)</f>
        <v>35310</v>
      </c>
      <c r="B2653" s="3">
        <f>DATE(1997,3,6)</f>
        <v>35495</v>
      </c>
      <c r="C2653" s="2" t="s">
        <v>95</v>
      </c>
      <c r="D2653" s="2" t="s">
        <v>5726</v>
      </c>
      <c r="E2653" s="2" t="s">
        <v>5725</v>
      </c>
      <c r="F2653" s="4">
        <v>2874</v>
      </c>
      <c r="G2653" s="2" t="s">
        <v>98</v>
      </c>
      <c r="H2653" s="2" t="s">
        <v>34</v>
      </c>
      <c r="I2653" s="2" t="s">
        <v>8482</v>
      </c>
      <c r="J2653" s="2" t="s">
        <v>8483</v>
      </c>
      <c r="K2653" s="2" t="s">
        <v>166</v>
      </c>
      <c r="L2653" s="2" t="s">
        <v>902</v>
      </c>
      <c r="M2653" s="2"/>
      <c r="N2653" s="2"/>
      <c r="O2653" s="2"/>
      <c r="P2653" s="2" t="s">
        <v>8484</v>
      </c>
      <c r="Q2653" s="6">
        <v>100</v>
      </c>
      <c r="R2653" s="6">
        <v>25.71</v>
      </c>
      <c r="S2653" s="5">
        <v>88.3</v>
      </c>
      <c r="T2653" s="7">
        <v>362.27800000000002</v>
      </c>
      <c r="U2653" s="5">
        <v>7.3</v>
      </c>
      <c r="V2653" s="6">
        <v>3.08</v>
      </c>
      <c r="W2653" s="6">
        <v>21.25</v>
      </c>
      <c r="X2653" s="7">
        <v>20.625</v>
      </c>
      <c r="Y2653" s="4">
        <v>22</v>
      </c>
      <c r="Z2653" s="6">
        <v>22.75</v>
      </c>
      <c r="AA2653" s="6">
        <v>32.630000000000003</v>
      </c>
      <c r="AB2653" s="7">
        <v>5.625</v>
      </c>
      <c r="AC2653" s="6">
        <v>41.65</v>
      </c>
    </row>
    <row r="2654" spans="1:29" ht="130" x14ac:dyDescent="0.15">
      <c r="A2654" s="3">
        <f>DATE(1996,9,3)</f>
        <v>35311</v>
      </c>
      <c r="B2654" s="3">
        <f>DATE(1997,2,28)</f>
        <v>35489</v>
      </c>
      <c r="C2654" s="2" t="s">
        <v>95</v>
      </c>
      <c r="D2654" s="2" t="s">
        <v>8485</v>
      </c>
      <c r="E2654" s="2" t="s">
        <v>263</v>
      </c>
      <c r="F2654" s="4">
        <v>6021</v>
      </c>
      <c r="G2654" s="2" t="s">
        <v>37</v>
      </c>
      <c r="H2654" s="2" t="s">
        <v>34</v>
      </c>
      <c r="I2654" s="2" t="s">
        <v>1315</v>
      </c>
      <c r="J2654" s="2" t="s">
        <v>36</v>
      </c>
      <c r="K2654" s="2" t="s">
        <v>37</v>
      </c>
      <c r="L2654" s="2" t="s">
        <v>34</v>
      </c>
      <c r="M2654" s="7">
        <v>636.928</v>
      </c>
      <c r="N2654" s="7">
        <v>24.812999999999999</v>
      </c>
      <c r="O2654" s="4">
        <v>24</v>
      </c>
      <c r="P2654" s="2" t="s">
        <v>8486</v>
      </c>
      <c r="Q2654" s="6">
        <v>100</v>
      </c>
      <c r="R2654" s="2"/>
      <c r="S2654" s="5">
        <v>14.6</v>
      </c>
      <c r="T2654" s="7">
        <v>29.018000000000001</v>
      </c>
      <c r="U2654" s="5">
        <v>22.7</v>
      </c>
      <c r="V2654" s="7">
        <v>2.5489999999999999</v>
      </c>
      <c r="W2654" s="6">
        <v>33.25</v>
      </c>
      <c r="X2654" s="4">
        <v>34</v>
      </c>
      <c r="Y2654" s="6">
        <v>35.75</v>
      </c>
      <c r="Z2654" s="4">
        <v>36</v>
      </c>
      <c r="AA2654" s="6">
        <v>5.7</v>
      </c>
      <c r="AB2654" s="7">
        <v>48.554000000000002</v>
      </c>
      <c r="AC2654" s="2"/>
    </row>
    <row r="2655" spans="1:29" ht="39" x14ac:dyDescent="0.15">
      <c r="A2655" s="3">
        <f>DATE(1996,9,3)</f>
        <v>35311</v>
      </c>
      <c r="B2655" s="2"/>
      <c r="C2655" s="2" t="s">
        <v>30</v>
      </c>
      <c r="D2655" s="2" t="s">
        <v>8487</v>
      </c>
      <c r="E2655" s="2" t="s">
        <v>8488</v>
      </c>
      <c r="F2655" s="4">
        <v>3714</v>
      </c>
      <c r="G2655" s="2" t="s">
        <v>105</v>
      </c>
      <c r="H2655" s="2" t="s">
        <v>34</v>
      </c>
      <c r="I2655" s="2" t="s">
        <v>8489</v>
      </c>
      <c r="J2655" s="2" t="s">
        <v>8490</v>
      </c>
      <c r="K2655" s="2" t="s">
        <v>163</v>
      </c>
      <c r="L2655" s="2" t="s">
        <v>34</v>
      </c>
      <c r="M2655" s="7">
        <v>174.625</v>
      </c>
      <c r="N2655" s="7">
        <v>14.125</v>
      </c>
      <c r="O2655" s="6">
        <v>14.25</v>
      </c>
      <c r="P2655" s="2" t="s">
        <v>8491</v>
      </c>
      <c r="Q2655" s="2"/>
      <c r="R2655" s="6">
        <v>11</v>
      </c>
      <c r="S2655" s="5">
        <v>16</v>
      </c>
      <c r="T2655" s="6">
        <v>31.33</v>
      </c>
      <c r="U2655" s="5">
        <v>6.1</v>
      </c>
      <c r="V2655" s="6">
        <v>1.24</v>
      </c>
      <c r="W2655" s="4">
        <v>11</v>
      </c>
      <c r="X2655" s="6">
        <v>10.75</v>
      </c>
      <c r="Y2655" s="7">
        <v>10.625</v>
      </c>
      <c r="Z2655" s="7">
        <v>12.813000000000001</v>
      </c>
      <c r="AA2655" s="6">
        <v>11.31</v>
      </c>
      <c r="AB2655" s="7">
        <v>5.7789999999999999</v>
      </c>
      <c r="AC2655" s="6">
        <v>2.66</v>
      </c>
    </row>
    <row r="2656" spans="1:29" ht="117" x14ac:dyDescent="0.15">
      <c r="A2656" s="3">
        <f>DATE(1996,9,4)</f>
        <v>35312</v>
      </c>
      <c r="B2656" s="3">
        <f>DATE(1997,7,11)</f>
        <v>35622</v>
      </c>
      <c r="C2656" s="2" t="s">
        <v>95</v>
      </c>
      <c r="D2656" s="2" t="s">
        <v>8492</v>
      </c>
      <c r="E2656" s="2" t="s">
        <v>4285</v>
      </c>
      <c r="F2656" s="4">
        <v>4841</v>
      </c>
      <c r="G2656" s="2" t="s">
        <v>45</v>
      </c>
      <c r="H2656" s="2" t="s">
        <v>34</v>
      </c>
      <c r="I2656" s="2" t="s">
        <v>8493</v>
      </c>
      <c r="J2656" s="2" t="s">
        <v>3476</v>
      </c>
      <c r="K2656" s="2" t="s">
        <v>63</v>
      </c>
      <c r="L2656" s="2" t="s">
        <v>34</v>
      </c>
      <c r="M2656" s="2"/>
      <c r="N2656" s="7">
        <v>1.375</v>
      </c>
      <c r="O2656" s="7">
        <v>1.5629999999999999</v>
      </c>
      <c r="P2656" s="2" t="s">
        <v>8494</v>
      </c>
      <c r="Q2656" s="6">
        <v>55</v>
      </c>
      <c r="R2656" s="2"/>
      <c r="S2656" s="5">
        <v>-23.1</v>
      </c>
      <c r="T2656" s="7">
        <v>-9.3949999999999996</v>
      </c>
      <c r="U2656" s="5">
        <v>-0.1</v>
      </c>
      <c r="V2656" s="7">
        <v>-0.59899999999999998</v>
      </c>
      <c r="W2656" s="4">
        <v>1</v>
      </c>
      <c r="X2656" s="9">
        <v>1.1875</v>
      </c>
      <c r="Y2656" s="7">
        <v>1.375</v>
      </c>
      <c r="Z2656" s="9">
        <v>1.5625</v>
      </c>
      <c r="AA2656" s="6">
        <v>43.6</v>
      </c>
      <c r="AB2656" s="2" t="s">
        <v>86</v>
      </c>
      <c r="AC2656" s="2"/>
    </row>
    <row r="2657" spans="1:29" ht="156" x14ac:dyDescent="0.15">
      <c r="A2657" s="3">
        <f>DATE(1996,9,4)</f>
        <v>35312</v>
      </c>
      <c r="B2657" s="2"/>
      <c r="C2657" s="2" t="s">
        <v>30</v>
      </c>
      <c r="D2657" s="2" t="s">
        <v>1569</v>
      </c>
      <c r="E2657" s="2" t="s">
        <v>8495</v>
      </c>
      <c r="F2657" s="4">
        <v>5943</v>
      </c>
      <c r="G2657" s="2" t="s">
        <v>73</v>
      </c>
      <c r="H2657" s="2" t="s">
        <v>34</v>
      </c>
      <c r="I2657" s="2" t="s">
        <v>8496</v>
      </c>
      <c r="J2657" s="2" t="s">
        <v>7363</v>
      </c>
      <c r="K2657" s="2" t="s">
        <v>73</v>
      </c>
      <c r="L2657" s="2" t="s">
        <v>34</v>
      </c>
      <c r="M2657" s="12">
        <v>3030.4140000000002</v>
      </c>
      <c r="N2657" s="6">
        <v>18.75</v>
      </c>
      <c r="O2657" s="6">
        <v>18.25</v>
      </c>
      <c r="P2657" s="2" t="s">
        <v>8497</v>
      </c>
      <c r="Q2657" s="2"/>
      <c r="R2657" s="6">
        <v>22.23</v>
      </c>
      <c r="S2657" s="5">
        <v>132.4</v>
      </c>
      <c r="T2657" s="7">
        <v>308.90699999999998</v>
      </c>
      <c r="U2657" s="5">
        <v>4.3</v>
      </c>
      <c r="V2657" s="9">
        <v>0.56669999999999998</v>
      </c>
      <c r="W2657" s="5">
        <v>16.5</v>
      </c>
      <c r="X2657" s="7">
        <v>15.875</v>
      </c>
      <c r="Y2657" s="7">
        <v>20.452999999999999</v>
      </c>
      <c r="Z2657" s="7">
        <v>19.875</v>
      </c>
      <c r="AA2657" s="6">
        <v>156.66</v>
      </c>
      <c r="AB2657" s="7">
        <v>23.300999999999998</v>
      </c>
      <c r="AC2657" s="6">
        <v>110.82</v>
      </c>
    </row>
    <row r="2658" spans="1:29" ht="39" x14ac:dyDescent="0.15">
      <c r="A2658" s="3">
        <f>DATE(1996,9,5)</f>
        <v>35313</v>
      </c>
      <c r="B2658" s="3">
        <f>DATE(1996,10,9)</f>
        <v>35347</v>
      </c>
      <c r="C2658" s="2" t="s">
        <v>95</v>
      </c>
      <c r="D2658" s="2" t="s">
        <v>8498</v>
      </c>
      <c r="E2658" s="2" t="s">
        <v>3600</v>
      </c>
      <c r="F2658" s="4">
        <v>8082</v>
      </c>
      <c r="G2658" s="2" t="s">
        <v>454</v>
      </c>
      <c r="H2658" s="2" t="s">
        <v>34</v>
      </c>
      <c r="I2658" s="2" t="s">
        <v>8499</v>
      </c>
      <c r="J2658" s="2" t="s">
        <v>8500</v>
      </c>
      <c r="K2658" s="2" t="s">
        <v>223</v>
      </c>
      <c r="L2658" s="2" t="s">
        <v>34</v>
      </c>
      <c r="M2658" s="2"/>
      <c r="N2658" s="2"/>
      <c r="O2658" s="2"/>
      <c r="P2658" s="2" t="s">
        <v>8501</v>
      </c>
      <c r="Q2658" s="6">
        <v>100</v>
      </c>
      <c r="R2658" s="2"/>
      <c r="S2658" s="2"/>
      <c r="T2658" s="2"/>
      <c r="U2658" s="2"/>
      <c r="V2658" s="2"/>
      <c r="W2658" s="5">
        <v>4.5</v>
      </c>
      <c r="X2658" s="4">
        <v>5</v>
      </c>
      <c r="Y2658" s="5">
        <v>4.5</v>
      </c>
      <c r="Z2658" s="5">
        <v>4.5</v>
      </c>
      <c r="AA2658" s="2"/>
      <c r="AB2658" s="2" t="s">
        <v>47</v>
      </c>
      <c r="AC2658" s="2"/>
    </row>
    <row r="2659" spans="1:29" ht="130" x14ac:dyDescent="0.15">
      <c r="A2659" s="3">
        <f t="shared" ref="A2659:A2664" si="21">DATE(1996,9,9)</f>
        <v>35317</v>
      </c>
      <c r="B2659" s="3">
        <f>DATE(1996,12,23)</f>
        <v>35422</v>
      </c>
      <c r="C2659" s="2" t="s">
        <v>95</v>
      </c>
      <c r="D2659" s="2" t="s">
        <v>8502</v>
      </c>
      <c r="E2659" s="2" t="s">
        <v>8503</v>
      </c>
      <c r="F2659" s="4">
        <v>5912</v>
      </c>
      <c r="G2659" s="2" t="s">
        <v>73</v>
      </c>
      <c r="H2659" s="2" t="s">
        <v>34</v>
      </c>
      <c r="I2659" s="2" t="s">
        <v>4793</v>
      </c>
      <c r="J2659" s="2" t="s">
        <v>4794</v>
      </c>
      <c r="K2659" s="2" t="s">
        <v>130</v>
      </c>
      <c r="L2659" s="2" t="s">
        <v>34</v>
      </c>
      <c r="M2659" s="12">
        <v>1703.2639999999999</v>
      </c>
      <c r="N2659" s="6">
        <v>25.75</v>
      </c>
      <c r="O2659" s="5">
        <v>25.5</v>
      </c>
      <c r="P2659" s="2" t="s">
        <v>8504</v>
      </c>
      <c r="Q2659" s="6">
        <v>94.25</v>
      </c>
      <c r="R2659" s="6">
        <v>17.25</v>
      </c>
      <c r="S2659" s="5">
        <v>2.6</v>
      </c>
      <c r="T2659" s="6">
        <v>22.63</v>
      </c>
      <c r="U2659" s="5">
        <v>7.8</v>
      </c>
      <c r="V2659" s="6">
        <v>0.15</v>
      </c>
      <c r="W2659" s="7">
        <v>10.375</v>
      </c>
      <c r="X2659" s="7">
        <v>12.625</v>
      </c>
      <c r="Y2659" s="7">
        <v>15.875</v>
      </c>
      <c r="Z2659" s="6">
        <v>15.75</v>
      </c>
      <c r="AA2659" s="6">
        <v>20.58</v>
      </c>
      <c r="AB2659" s="7">
        <v>42.819000000000003</v>
      </c>
      <c r="AC2659" s="5">
        <v>8.4</v>
      </c>
    </row>
    <row r="2660" spans="1:29" ht="130" x14ac:dyDescent="0.15">
      <c r="A2660" s="3">
        <f t="shared" si="21"/>
        <v>35317</v>
      </c>
      <c r="B2660" s="3">
        <f>DATE(1996,9,23)</f>
        <v>35331</v>
      </c>
      <c r="C2660" s="2" t="s">
        <v>95</v>
      </c>
      <c r="D2660" s="2" t="s">
        <v>7839</v>
      </c>
      <c r="E2660" s="2" t="s">
        <v>2044</v>
      </c>
      <c r="F2660" s="4">
        <v>6798</v>
      </c>
      <c r="G2660" s="2" t="s">
        <v>53</v>
      </c>
      <c r="H2660" s="2" t="s">
        <v>34</v>
      </c>
      <c r="I2660" s="2" t="s">
        <v>7840</v>
      </c>
      <c r="J2660" s="2" t="s">
        <v>92</v>
      </c>
      <c r="K2660" s="2" t="s">
        <v>53</v>
      </c>
      <c r="L2660" s="2" t="s">
        <v>34</v>
      </c>
      <c r="M2660" s="7">
        <v>553.12800000000004</v>
      </c>
      <c r="N2660" s="5">
        <v>29.5</v>
      </c>
      <c r="O2660" s="6">
        <v>29.25</v>
      </c>
      <c r="P2660" s="2" t="s">
        <v>8505</v>
      </c>
      <c r="Q2660" s="6">
        <v>26.44</v>
      </c>
      <c r="R2660" s="6">
        <v>11.88</v>
      </c>
      <c r="S2660" s="5">
        <v>4.9000000000000004</v>
      </c>
      <c r="T2660" s="7">
        <v>34.962000000000003</v>
      </c>
      <c r="U2660" s="5">
        <v>5.8</v>
      </c>
      <c r="V2660" s="6">
        <v>0.22</v>
      </c>
      <c r="W2660" s="4">
        <v>11</v>
      </c>
      <c r="X2660" s="7">
        <v>10.875</v>
      </c>
      <c r="Y2660" s="4">
        <v>10</v>
      </c>
      <c r="Z2660" s="7">
        <v>11.125</v>
      </c>
      <c r="AA2660" s="6">
        <v>26.98</v>
      </c>
      <c r="AB2660" s="7">
        <v>23.896000000000001</v>
      </c>
      <c r="AC2660" s="6">
        <v>6.84</v>
      </c>
    </row>
    <row r="2661" spans="1:29" ht="91" x14ac:dyDescent="0.15">
      <c r="A2661" s="3">
        <f t="shared" si="21"/>
        <v>35317</v>
      </c>
      <c r="B2661" s="3">
        <f>DATE(1996,9,9)</f>
        <v>35317</v>
      </c>
      <c r="C2661" s="2" t="s">
        <v>95</v>
      </c>
      <c r="D2661" s="2" t="s">
        <v>8506</v>
      </c>
      <c r="E2661" s="2" t="s">
        <v>6709</v>
      </c>
      <c r="F2661" s="4">
        <v>2836</v>
      </c>
      <c r="G2661" s="2" t="s">
        <v>130</v>
      </c>
      <c r="H2661" s="2" t="s">
        <v>34</v>
      </c>
      <c r="I2661" s="2" t="s">
        <v>51</v>
      </c>
      <c r="J2661" s="2" t="s">
        <v>52</v>
      </c>
      <c r="K2661" s="2" t="s">
        <v>53</v>
      </c>
      <c r="L2661" s="2" t="s">
        <v>34</v>
      </c>
      <c r="M2661" s="2"/>
      <c r="N2661" s="2"/>
      <c r="O2661" s="2"/>
      <c r="P2661" s="2" t="s">
        <v>8507</v>
      </c>
      <c r="Q2661" s="6">
        <v>71.430000000000007</v>
      </c>
      <c r="R2661" s="2"/>
      <c r="S2661" s="5">
        <v>-8.5</v>
      </c>
      <c r="T2661" s="6">
        <v>-7.76</v>
      </c>
      <c r="U2661" s="5">
        <v>0.2</v>
      </c>
      <c r="V2661" s="7">
        <v>-1.788</v>
      </c>
      <c r="W2661" s="7">
        <v>1.2190000000000001</v>
      </c>
      <c r="X2661" s="7">
        <v>1.125</v>
      </c>
      <c r="Y2661" s="7">
        <v>1.3129999999999999</v>
      </c>
      <c r="Z2661" s="6">
        <v>1.25</v>
      </c>
      <c r="AA2661" s="6">
        <v>5.6</v>
      </c>
      <c r="AB2661" s="2" t="s">
        <v>86</v>
      </c>
      <c r="AC2661" s="2"/>
    </row>
    <row r="2662" spans="1:29" ht="130" x14ac:dyDescent="0.15">
      <c r="A2662" s="3">
        <f t="shared" si="21"/>
        <v>35317</v>
      </c>
      <c r="B2662" s="2"/>
      <c r="C2662" s="2" t="s">
        <v>30</v>
      </c>
      <c r="D2662" s="2" t="s">
        <v>8508</v>
      </c>
      <c r="E2662" s="2" t="s">
        <v>8509</v>
      </c>
      <c r="F2662" s="4">
        <v>5331</v>
      </c>
      <c r="G2662" s="2" t="s">
        <v>756</v>
      </c>
      <c r="H2662" s="2" t="s">
        <v>34</v>
      </c>
      <c r="I2662" s="2" t="s">
        <v>8510</v>
      </c>
      <c r="J2662" s="2" t="s">
        <v>8511</v>
      </c>
      <c r="K2662" s="2" t="s">
        <v>73</v>
      </c>
      <c r="L2662" s="2" t="s">
        <v>34</v>
      </c>
      <c r="M2662" s="7">
        <v>98.775999999999996</v>
      </c>
      <c r="N2662" s="7">
        <v>7.375</v>
      </c>
      <c r="O2662" s="6">
        <v>7.25</v>
      </c>
      <c r="P2662" s="2" t="s">
        <v>8512</v>
      </c>
      <c r="Q2662" s="2"/>
      <c r="R2662" s="6">
        <v>19.5</v>
      </c>
      <c r="S2662" s="5">
        <v>38.4</v>
      </c>
      <c r="T2662" s="7">
        <v>139.881</v>
      </c>
      <c r="U2662" s="5">
        <v>13.2</v>
      </c>
      <c r="V2662" s="6">
        <v>1.2</v>
      </c>
      <c r="W2662" s="6">
        <v>15.25</v>
      </c>
      <c r="X2662" s="6">
        <v>16.25</v>
      </c>
      <c r="Y2662" s="7">
        <v>16.125</v>
      </c>
      <c r="Z2662" s="7">
        <v>15.625</v>
      </c>
      <c r="AA2662" s="6">
        <v>32.08</v>
      </c>
      <c r="AB2662" s="7">
        <v>11.569000000000001</v>
      </c>
      <c r="AC2662" s="6">
        <v>104.27</v>
      </c>
    </row>
    <row r="2663" spans="1:29" ht="26" x14ac:dyDescent="0.15">
      <c r="A2663" s="3">
        <f t="shared" si="21"/>
        <v>35317</v>
      </c>
      <c r="B2663" s="2"/>
      <c r="C2663" s="2" t="s">
        <v>7330</v>
      </c>
      <c r="D2663" s="2" t="s">
        <v>8513</v>
      </c>
      <c r="E2663" s="2" t="s">
        <v>8514</v>
      </c>
      <c r="F2663" s="4">
        <v>3599</v>
      </c>
      <c r="G2663" s="2" t="s">
        <v>300</v>
      </c>
      <c r="H2663" s="2" t="s">
        <v>34</v>
      </c>
      <c r="I2663" s="2" t="s">
        <v>8515</v>
      </c>
      <c r="J2663" s="2" t="s">
        <v>8516</v>
      </c>
      <c r="K2663" s="2" t="s">
        <v>364</v>
      </c>
      <c r="L2663" s="2" t="s">
        <v>34</v>
      </c>
      <c r="M2663" s="7">
        <v>799.11300000000006</v>
      </c>
      <c r="N2663" s="6">
        <v>52.75</v>
      </c>
      <c r="O2663" s="6">
        <v>58.25</v>
      </c>
      <c r="P2663" s="2" t="s">
        <v>8517</v>
      </c>
      <c r="Q2663" s="2"/>
      <c r="R2663" s="2"/>
      <c r="S2663" s="5">
        <v>2.2999999999999998</v>
      </c>
      <c r="T2663" s="7">
        <v>2.911</v>
      </c>
      <c r="U2663" s="5">
        <v>0.6</v>
      </c>
      <c r="V2663" s="9">
        <v>4.7399999999999998E-2</v>
      </c>
      <c r="W2663" s="7">
        <v>10.625</v>
      </c>
      <c r="X2663" s="6">
        <v>11.75</v>
      </c>
      <c r="Y2663" s="7">
        <v>11.625</v>
      </c>
      <c r="Z2663" s="7">
        <v>11.313000000000001</v>
      </c>
      <c r="AA2663" s="6">
        <v>11.13</v>
      </c>
      <c r="AB2663" s="2" t="s">
        <v>47</v>
      </c>
      <c r="AC2663" s="6">
        <v>78.11</v>
      </c>
    </row>
    <row r="2664" spans="1:29" ht="39" x14ac:dyDescent="0.15">
      <c r="A2664" s="3">
        <f t="shared" si="21"/>
        <v>35317</v>
      </c>
      <c r="B2664" s="2"/>
      <c r="C2664" s="2" t="s">
        <v>30</v>
      </c>
      <c r="D2664" s="2" t="s">
        <v>2386</v>
      </c>
      <c r="E2664" s="2" t="s">
        <v>36</v>
      </c>
      <c r="F2664" s="4">
        <v>6022</v>
      </c>
      <c r="G2664" s="2" t="s">
        <v>37</v>
      </c>
      <c r="H2664" s="2" t="s">
        <v>34</v>
      </c>
      <c r="I2664" s="2" t="s">
        <v>138</v>
      </c>
      <c r="J2664" s="2" t="s">
        <v>139</v>
      </c>
      <c r="K2664" s="2" t="s">
        <v>53</v>
      </c>
      <c r="L2664" s="2" t="s">
        <v>139</v>
      </c>
      <c r="M2664" s="2"/>
      <c r="N2664" s="2"/>
      <c r="O2664" s="2"/>
      <c r="P2664" s="2" t="s">
        <v>8518</v>
      </c>
      <c r="Q2664" s="2"/>
      <c r="R2664" s="2"/>
      <c r="S2664" s="5">
        <v>7.5</v>
      </c>
      <c r="T2664" s="7">
        <v>19.614999999999998</v>
      </c>
      <c r="U2664" s="5">
        <v>9.8000000000000007</v>
      </c>
      <c r="V2664" s="7">
        <v>0.70699999999999996</v>
      </c>
      <c r="W2664" s="4">
        <v>16</v>
      </c>
      <c r="X2664" s="7">
        <v>18.125</v>
      </c>
      <c r="Y2664" s="6">
        <v>18.25</v>
      </c>
      <c r="Z2664" s="6">
        <v>18.75</v>
      </c>
      <c r="AA2664" s="6">
        <v>13.3</v>
      </c>
      <c r="AB2664" s="2" t="s">
        <v>47</v>
      </c>
      <c r="AC2664" s="2"/>
    </row>
    <row r="2665" spans="1:29" ht="143" x14ac:dyDescent="0.15">
      <c r="A2665" s="3">
        <f>DATE(1996,9,10)</f>
        <v>35318</v>
      </c>
      <c r="B2665" s="3">
        <f>DATE(1996,12,5)</f>
        <v>35404</v>
      </c>
      <c r="C2665" s="2" t="s">
        <v>95</v>
      </c>
      <c r="D2665" s="2" t="s">
        <v>8519</v>
      </c>
      <c r="E2665" s="2" t="s">
        <v>8520</v>
      </c>
      <c r="F2665" s="4">
        <v>3841</v>
      </c>
      <c r="G2665" s="2" t="s">
        <v>226</v>
      </c>
      <c r="H2665" s="2" t="s">
        <v>34</v>
      </c>
      <c r="I2665" s="2" t="s">
        <v>7627</v>
      </c>
      <c r="J2665" s="2" t="s">
        <v>6286</v>
      </c>
      <c r="K2665" s="2" t="s">
        <v>226</v>
      </c>
      <c r="L2665" s="2" t="s">
        <v>34</v>
      </c>
      <c r="M2665" s="7">
        <v>755.55399999999997</v>
      </c>
      <c r="N2665" s="6">
        <v>25.25</v>
      </c>
      <c r="O2665" s="7">
        <v>24.625</v>
      </c>
      <c r="P2665" s="2" t="s">
        <v>8521</v>
      </c>
      <c r="Q2665" s="6">
        <v>100</v>
      </c>
      <c r="R2665" s="6">
        <v>10.33</v>
      </c>
      <c r="S2665" s="5">
        <v>2.4</v>
      </c>
      <c r="T2665" s="7">
        <v>4.8579999999999997</v>
      </c>
      <c r="U2665" s="5">
        <v>3.4</v>
      </c>
      <c r="V2665" s="6">
        <v>0.45</v>
      </c>
      <c r="W2665" s="5">
        <v>8.5</v>
      </c>
      <c r="X2665" s="6">
        <v>8.75</v>
      </c>
      <c r="Y2665" s="6">
        <v>10.25</v>
      </c>
      <c r="Z2665" s="7">
        <v>9.875</v>
      </c>
      <c r="AA2665" s="6">
        <v>4.8899999999999997</v>
      </c>
      <c r="AB2665" s="7">
        <v>15.282</v>
      </c>
      <c r="AC2665" s="6">
        <v>74.37</v>
      </c>
    </row>
    <row r="2666" spans="1:29" ht="78" x14ac:dyDescent="0.15">
      <c r="A2666" s="3">
        <f>DATE(1996,9,10)</f>
        <v>35318</v>
      </c>
      <c r="B2666" s="3">
        <f>DATE(1997,1,3)</f>
        <v>35433</v>
      </c>
      <c r="C2666" s="2" t="s">
        <v>95</v>
      </c>
      <c r="D2666" s="2" t="s">
        <v>8522</v>
      </c>
      <c r="E2666" s="2" t="s">
        <v>8523</v>
      </c>
      <c r="F2666" s="4">
        <v>2678</v>
      </c>
      <c r="G2666" s="2" t="s">
        <v>282</v>
      </c>
      <c r="H2666" s="2" t="s">
        <v>34</v>
      </c>
      <c r="I2666" s="2" t="s">
        <v>8524</v>
      </c>
      <c r="J2666" s="2" t="s">
        <v>8525</v>
      </c>
      <c r="K2666" s="2" t="s">
        <v>250</v>
      </c>
      <c r="L2666" s="2" t="s">
        <v>34</v>
      </c>
      <c r="M2666" s="8">
        <v>2280.6</v>
      </c>
      <c r="N2666" s="7">
        <v>22.375</v>
      </c>
      <c r="O2666" s="7">
        <v>22.375</v>
      </c>
      <c r="P2666" s="2" t="s">
        <v>8526</v>
      </c>
      <c r="Q2666" s="6">
        <v>100</v>
      </c>
      <c r="R2666" s="6">
        <v>5.25</v>
      </c>
      <c r="S2666" s="5">
        <v>0.1</v>
      </c>
      <c r="T2666" s="7">
        <v>3.1480000000000001</v>
      </c>
      <c r="U2666" s="5">
        <v>1.8</v>
      </c>
      <c r="V2666" s="7">
        <v>1.7000000000000001E-2</v>
      </c>
      <c r="W2666" s="7">
        <v>3.4380000000000002</v>
      </c>
      <c r="X2666" s="7">
        <v>3.9380000000000002</v>
      </c>
      <c r="Y2666" s="6">
        <v>4.75</v>
      </c>
      <c r="Z2666" s="6">
        <v>4.75</v>
      </c>
      <c r="AA2666" s="6">
        <v>5.5</v>
      </c>
      <c r="AB2666" s="7">
        <v>39.442</v>
      </c>
      <c r="AC2666" s="5">
        <v>75.400000000000006</v>
      </c>
    </row>
    <row r="2667" spans="1:29" ht="65" x14ac:dyDescent="0.15">
      <c r="A2667" s="3">
        <f>DATE(1996,9,10)</f>
        <v>35318</v>
      </c>
      <c r="B2667" s="3">
        <f>DATE(1996,10,3)</f>
        <v>35341</v>
      </c>
      <c r="C2667" s="2" t="s">
        <v>95</v>
      </c>
      <c r="D2667" s="2" t="s">
        <v>8527</v>
      </c>
      <c r="E2667" s="2" t="s">
        <v>8528</v>
      </c>
      <c r="F2667" s="4">
        <v>3743</v>
      </c>
      <c r="G2667" s="2" t="s">
        <v>105</v>
      </c>
      <c r="H2667" s="2" t="s">
        <v>34</v>
      </c>
      <c r="I2667" s="2" t="s">
        <v>1526</v>
      </c>
      <c r="J2667" s="2" t="s">
        <v>302</v>
      </c>
      <c r="K2667" s="2" t="s">
        <v>53</v>
      </c>
      <c r="L2667" s="2" t="s">
        <v>34</v>
      </c>
      <c r="M2667" s="2"/>
      <c r="N2667" s="2"/>
      <c r="O2667" s="2"/>
      <c r="P2667" s="2" t="s">
        <v>8529</v>
      </c>
      <c r="Q2667" s="6">
        <v>63.48</v>
      </c>
      <c r="R2667" s="2"/>
      <c r="S2667" s="5">
        <v>-40.4</v>
      </c>
      <c r="T2667" s="7">
        <v>1.0569999999999999</v>
      </c>
      <c r="U2667" s="5">
        <v>3.6</v>
      </c>
      <c r="V2667" s="6">
        <v>-1.56</v>
      </c>
      <c r="W2667" s="7">
        <v>5.375</v>
      </c>
      <c r="X2667" s="7">
        <v>5.3129999999999997</v>
      </c>
      <c r="Y2667" s="7">
        <v>5.3129999999999997</v>
      </c>
      <c r="Z2667" s="6">
        <v>5.25</v>
      </c>
      <c r="AA2667" s="6">
        <v>17.559999999999999</v>
      </c>
      <c r="AB2667" s="2" t="s">
        <v>86</v>
      </c>
      <c r="AC2667" s="2"/>
    </row>
    <row r="2668" spans="1:29" ht="52" x14ac:dyDescent="0.15">
      <c r="A2668" s="3">
        <f>DATE(1996,9,11)</f>
        <v>35319</v>
      </c>
      <c r="B2668" s="3">
        <f>DATE(1997,3,4)</f>
        <v>35493</v>
      </c>
      <c r="C2668" s="2" t="s">
        <v>95</v>
      </c>
      <c r="D2668" s="2" t="s">
        <v>8530</v>
      </c>
      <c r="E2668" s="2" t="s">
        <v>8531</v>
      </c>
      <c r="F2668" s="4">
        <v>1799</v>
      </c>
      <c r="G2668" s="2" t="s">
        <v>341</v>
      </c>
      <c r="H2668" s="2" t="s">
        <v>34</v>
      </c>
      <c r="I2668" s="2" t="s">
        <v>8532</v>
      </c>
      <c r="J2668" s="2" t="s">
        <v>1756</v>
      </c>
      <c r="K2668" s="2" t="s">
        <v>223</v>
      </c>
      <c r="L2668" s="2" t="s">
        <v>902</v>
      </c>
      <c r="M2668" s="2"/>
      <c r="N2668" s="2"/>
      <c r="O2668" s="2"/>
      <c r="P2668" s="2" t="s">
        <v>8533</v>
      </c>
      <c r="Q2668" s="6">
        <v>100</v>
      </c>
      <c r="R2668" s="6">
        <v>6.2</v>
      </c>
      <c r="S2668" s="5">
        <v>1.5</v>
      </c>
      <c r="T2668" s="7">
        <v>2.5880000000000001</v>
      </c>
      <c r="U2668" s="5">
        <v>5</v>
      </c>
      <c r="V2668" s="7">
        <v>0.20300000000000001</v>
      </c>
      <c r="W2668" s="7">
        <v>4.1879999999999997</v>
      </c>
      <c r="X2668" s="7">
        <v>4.1879999999999997</v>
      </c>
      <c r="Y2668" s="6">
        <v>5.75</v>
      </c>
      <c r="Z2668" s="7">
        <v>5.875</v>
      </c>
      <c r="AA2668" s="6">
        <v>7.8</v>
      </c>
      <c r="AB2668" s="7">
        <v>22.89</v>
      </c>
      <c r="AC2668" s="2"/>
    </row>
    <row r="2669" spans="1:29" ht="117" x14ac:dyDescent="0.15">
      <c r="A2669" s="3">
        <f>DATE(1996,9,11)</f>
        <v>35319</v>
      </c>
      <c r="B2669" s="3">
        <f>DATE(1996,12,2)</f>
        <v>35401</v>
      </c>
      <c r="C2669" s="2" t="s">
        <v>95</v>
      </c>
      <c r="D2669" s="2" t="s">
        <v>8298</v>
      </c>
      <c r="E2669" s="2" t="s">
        <v>2241</v>
      </c>
      <c r="F2669" s="4">
        <v>8011</v>
      </c>
      <c r="G2669" s="2" t="s">
        <v>454</v>
      </c>
      <c r="H2669" s="2" t="s">
        <v>34</v>
      </c>
      <c r="I2669" s="2" t="s">
        <v>6927</v>
      </c>
      <c r="J2669" s="2" t="s">
        <v>6928</v>
      </c>
      <c r="K2669" s="2" t="s">
        <v>454</v>
      </c>
      <c r="L2669" s="2" t="s">
        <v>34</v>
      </c>
      <c r="M2669" s="10">
        <v>5318.99</v>
      </c>
      <c r="N2669" s="7">
        <v>35.125</v>
      </c>
      <c r="O2669" s="6">
        <v>35.25</v>
      </c>
      <c r="P2669" s="2" t="s">
        <v>8534</v>
      </c>
      <c r="Q2669" s="6">
        <v>100</v>
      </c>
      <c r="R2669" s="6">
        <v>8.5500000000000007</v>
      </c>
      <c r="S2669" s="5">
        <v>1.3</v>
      </c>
      <c r="T2669" s="7">
        <v>2.7909999999999999</v>
      </c>
      <c r="U2669" s="5">
        <v>1.9</v>
      </c>
      <c r="V2669" s="7">
        <v>0.153</v>
      </c>
      <c r="W2669" s="5">
        <v>5.5</v>
      </c>
      <c r="X2669" s="7">
        <v>5.125</v>
      </c>
      <c r="Y2669" s="7">
        <v>7.968</v>
      </c>
      <c r="Z2669" s="7">
        <v>7.8440000000000003</v>
      </c>
      <c r="AA2669" s="6">
        <v>8.25</v>
      </c>
      <c r="AB2669" s="7">
        <v>48.683</v>
      </c>
      <c r="AC2669" s="6">
        <v>108.97</v>
      </c>
    </row>
    <row r="2670" spans="1:29" ht="130" x14ac:dyDescent="0.15">
      <c r="A2670" s="3">
        <f>DATE(1996,9,11)</f>
        <v>35319</v>
      </c>
      <c r="B2670" s="3">
        <f>DATE(1996,11,11)</f>
        <v>35380</v>
      </c>
      <c r="C2670" s="2" t="s">
        <v>95</v>
      </c>
      <c r="D2670" s="2" t="s">
        <v>8535</v>
      </c>
      <c r="E2670" s="2" t="s">
        <v>1266</v>
      </c>
      <c r="F2670" s="4">
        <v>4215</v>
      </c>
      <c r="G2670" s="2" t="s">
        <v>173</v>
      </c>
      <c r="H2670" s="2" t="s">
        <v>34</v>
      </c>
      <c r="I2670" s="2" t="s">
        <v>7362</v>
      </c>
      <c r="J2670" s="2" t="s">
        <v>7363</v>
      </c>
      <c r="K2670" s="2" t="s">
        <v>593</v>
      </c>
      <c r="L2670" s="2" t="s">
        <v>34</v>
      </c>
      <c r="M2670" s="12">
        <v>2603.7060000000001</v>
      </c>
      <c r="N2670" s="7">
        <v>34.625</v>
      </c>
      <c r="O2670" s="7">
        <v>35.188000000000002</v>
      </c>
      <c r="P2670" s="2" t="s">
        <v>8536</v>
      </c>
      <c r="Q2670" s="6">
        <v>100</v>
      </c>
      <c r="R2670" s="6">
        <v>14.74</v>
      </c>
      <c r="S2670" s="5">
        <v>3.3</v>
      </c>
      <c r="T2670" s="6">
        <v>13.93</v>
      </c>
      <c r="U2670" s="5">
        <v>3.2</v>
      </c>
      <c r="V2670" s="6">
        <v>-1.4</v>
      </c>
      <c r="W2670" s="6">
        <v>14.75</v>
      </c>
      <c r="X2670" s="5">
        <v>15.5</v>
      </c>
      <c r="Y2670" s="4">
        <v>15</v>
      </c>
      <c r="Z2670" s="5">
        <v>15.5</v>
      </c>
      <c r="AA2670" s="6">
        <v>9.3800000000000008</v>
      </c>
      <c r="AB2670" s="7">
        <v>24.478000000000002</v>
      </c>
      <c r="AC2670" s="6">
        <v>28.66</v>
      </c>
    </row>
    <row r="2671" spans="1:29" ht="130" x14ac:dyDescent="0.15">
      <c r="A2671" s="3">
        <f>DATE(1996,9,12)</f>
        <v>35320</v>
      </c>
      <c r="B2671" s="3">
        <f>DATE(1997,6,30)</f>
        <v>35611</v>
      </c>
      <c r="C2671" s="2" t="s">
        <v>95</v>
      </c>
      <c r="D2671" s="2" t="s">
        <v>7723</v>
      </c>
      <c r="E2671" s="2" t="s">
        <v>263</v>
      </c>
      <c r="F2671" s="4">
        <v>6022</v>
      </c>
      <c r="G2671" s="2" t="s">
        <v>37</v>
      </c>
      <c r="H2671" s="2" t="s">
        <v>34</v>
      </c>
      <c r="I2671" s="2" t="s">
        <v>8537</v>
      </c>
      <c r="J2671" s="2" t="s">
        <v>8538</v>
      </c>
      <c r="K2671" s="2" t="s">
        <v>53</v>
      </c>
      <c r="L2671" s="2" t="s">
        <v>34</v>
      </c>
      <c r="M2671" s="2"/>
      <c r="N2671" s="2"/>
      <c r="O2671" s="2"/>
      <c r="P2671" s="2" t="s">
        <v>8539</v>
      </c>
      <c r="Q2671" s="6">
        <v>100</v>
      </c>
      <c r="R2671" s="6">
        <v>30</v>
      </c>
      <c r="S2671" s="5">
        <v>1.9</v>
      </c>
      <c r="T2671" s="7">
        <v>6.0229999999999997</v>
      </c>
      <c r="U2671" s="5">
        <v>18.399999999999999</v>
      </c>
      <c r="V2671" s="6">
        <v>0.4</v>
      </c>
      <c r="W2671" s="6">
        <v>22.75</v>
      </c>
      <c r="X2671" s="6">
        <v>23.75</v>
      </c>
      <c r="Y2671" s="7">
        <v>23.625</v>
      </c>
      <c r="Z2671" s="4">
        <v>24</v>
      </c>
      <c r="AA2671" s="6">
        <v>4.72</v>
      </c>
      <c r="AB2671" s="7">
        <v>101.83799999999999</v>
      </c>
      <c r="AC2671" s="2"/>
    </row>
    <row r="2672" spans="1:29" ht="156" x14ac:dyDescent="0.15">
      <c r="A2672" s="3">
        <f>DATE(1996,9,12)</f>
        <v>35320</v>
      </c>
      <c r="B2672" s="3">
        <f>DATE(1996,12,31)</f>
        <v>35430</v>
      </c>
      <c r="C2672" s="2" t="s">
        <v>95</v>
      </c>
      <c r="D2672" s="2" t="s">
        <v>8540</v>
      </c>
      <c r="E2672" s="2" t="s">
        <v>8541</v>
      </c>
      <c r="F2672" s="4">
        <v>3691</v>
      </c>
      <c r="G2672" s="2" t="s">
        <v>137</v>
      </c>
      <c r="H2672" s="2" t="s">
        <v>34</v>
      </c>
      <c r="I2672" s="2" t="s">
        <v>4184</v>
      </c>
      <c r="J2672" s="2" t="s">
        <v>4185</v>
      </c>
      <c r="K2672" s="2" t="s">
        <v>163</v>
      </c>
      <c r="L2672" s="2" t="s">
        <v>34</v>
      </c>
      <c r="M2672" s="10">
        <v>29885.27</v>
      </c>
      <c r="N2672" s="4">
        <v>66</v>
      </c>
      <c r="O2672" s="7">
        <v>70.375</v>
      </c>
      <c r="P2672" s="2" t="s">
        <v>8542</v>
      </c>
      <c r="Q2672" s="6">
        <v>100</v>
      </c>
      <c r="R2672" s="6">
        <v>58.87</v>
      </c>
      <c r="S2672" s="5">
        <v>254.6</v>
      </c>
      <c r="T2672" s="5">
        <v>542.1</v>
      </c>
      <c r="U2672" s="5">
        <v>11.8</v>
      </c>
      <c r="V2672" s="6">
        <v>2.1</v>
      </c>
      <c r="W2672" s="7">
        <v>45.375</v>
      </c>
      <c r="X2672" s="7">
        <v>49.125</v>
      </c>
      <c r="Y2672" s="7">
        <v>58.125</v>
      </c>
      <c r="Z2672" s="7">
        <v>62.421999999999997</v>
      </c>
      <c r="AA2672" s="6">
        <v>119.38</v>
      </c>
      <c r="AB2672" s="7">
        <v>17.449000000000002</v>
      </c>
      <c r="AC2672" s="5">
        <v>49.5</v>
      </c>
    </row>
    <row r="2673" spans="1:29" ht="91" x14ac:dyDescent="0.15">
      <c r="A2673" s="3">
        <f>DATE(1996,9,12)</f>
        <v>35320</v>
      </c>
      <c r="B2673" s="3">
        <f>DATE(1997,1,3)</f>
        <v>35433</v>
      </c>
      <c r="C2673" s="2" t="s">
        <v>95</v>
      </c>
      <c r="D2673" s="2" t="s">
        <v>8543</v>
      </c>
      <c r="E2673" s="2" t="s">
        <v>36</v>
      </c>
      <c r="F2673" s="4">
        <v>6022</v>
      </c>
      <c r="G2673" s="2" t="s">
        <v>37</v>
      </c>
      <c r="H2673" s="2" t="s">
        <v>34</v>
      </c>
      <c r="I2673" s="2" t="s">
        <v>4018</v>
      </c>
      <c r="J2673" s="2" t="s">
        <v>159</v>
      </c>
      <c r="K2673" s="2" t="s">
        <v>37</v>
      </c>
      <c r="L2673" s="2" t="s">
        <v>34</v>
      </c>
      <c r="M2673" s="7">
        <v>444.57600000000002</v>
      </c>
      <c r="N2673" s="4">
        <v>35</v>
      </c>
      <c r="O2673" s="7">
        <v>35.875</v>
      </c>
      <c r="P2673" s="2" t="s">
        <v>8544</v>
      </c>
      <c r="Q2673" s="6">
        <v>100</v>
      </c>
      <c r="R2673" s="6">
        <v>18.899999999999999</v>
      </c>
      <c r="S2673" s="5">
        <v>3</v>
      </c>
      <c r="T2673" s="7">
        <v>4.2919999999999998</v>
      </c>
      <c r="U2673" s="5">
        <v>8.1</v>
      </c>
      <c r="V2673" s="6">
        <v>0.83</v>
      </c>
      <c r="W2673" s="6">
        <v>14.25</v>
      </c>
      <c r="X2673" s="6">
        <v>15.25</v>
      </c>
      <c r="Y2673" s="7">
        <v>17.375</v>
      </c>
      <c r="Z2673" s="6">
        <v>17.25</v>
      </c>
      <c r="AA2673" s="6">
        <v>3.81</v>
      </c>
      <c r="AB2673" s="7">
        <v>27.46</v>
      </c>
      <c r="AC2673" s="2"/>
    </row>
    <row r="2674" spans="1:29" ht="130" x14ac:dyDescent="0.15">
      <c r="A2674" s="3">
        <f>DATE(1996,9,13)</f>
        <v>35321</v>
      </c>
      <c r="B2674" s="2"/>
      <c r="C2674" s="2" t="s">
        <v>30</v>
      </c>
      <c r="D2674" s="2" t="s">
        <v>8545</v>
      </c>
      <c r="E2674" s="2" t="s">
        <v>8546</v>
      </c>
      <c r="F2674" s="4">
        <v>8741</v>
      </c>
      <c r="G2674" s="2" t="s">
        <v>223</v>
      </c>
      <c r="H2674" s="2" t="s">
        <v>34</v>
      </c>
      <c r="I2674" s="2" t="s">
        <v>8547</v>
      </c>
      <c r="J2674" s="2" t="s">
        <v>8548</v>
      </c>
      <c r="K2674" s="2" t="s">
        <v>125</v>
      </c>
      <c r="L2674" s="2" t="s">
        <v>34</v>
      </c>
      <c r="M2674" s="7">
        <v>348.31599999999997</v>
      </c>
      <c r="N2674" s="6">
        <v>22.25</v>
      </c>
      <c r="O2674" s="6">
        <v>22.25</v>
      </c>
      <c r="P2674" s="2" t="s">
        <v>8549</v>
      </c>
      <c r="Q2674" s="2"/>
      <c r="R2674" s="6">
        <v>17.75</v>
      </c>
      <c r="S2674" s="5">
        <v>2</v>
      </c>
      <c r="T2674" s="7">
        <v>10.746</v>
      </c>
      <c r="U2674" s="5">
        <v>6.8</v>
      </c>
      <c r="V2674" s="6">
        <v>0.47</v>
      </c>
      <c r="W2674" s="6">
        <v>13.75</v>
      </c>
      <c r="X2674" s="5">
        <v>15.5</v>
      </c>
      <c r="Y2674" s="4">
        <v>16</v>
      </c>
      <c r="Z2674" s="7">
        <v>15.625</v>
      </c>
      <c r="AA2674" s="6">
        <v>4.17</v>
      </c>
      <c r="AB2674" s="7">
        <v>22.306000000000001</v>
      </c>
      <c r="AC2674" s="6">
        <v>42.47</v>
      </c>
    </row>
    <row r="2675" spans="1:29" ht="104" x14ac:dyDescent="0.15">
      <c r="A2675" s="3">
        <f>DATE(1996,9,13)</f>
        <v>35321</v>
      </c>
      <c r="B2675" s="2"/>
      <c r="C2675" s="2" t="s">
        <v>7330</v>
      </c>
      <c r="D2675" s="2" t="s">
        <v>8462</v>
      </c>
      <c r="E2675" s="2" t="s">
        <v>8463</v>
      </c>
      <c r="F2675" s="4">
        <v>3812</v>
      </c>
      <c r="G2675" s="2" t="s">
        <v>226</v>
      </c>
      <c r="H2675" s="2" t="s">
        <v>34</v>
      </c>
      <c r="I2675" s="2" t="s">
        <v>138</v>
      </c>
      <c r="J2675" s="2" t="s">
        <v>139</v>
      </c>
      <c r="K2675" s="2" t="s">
        <v>53</v>
      </c>
      <c r="L2675" s="2" t="s">
        <v>139</v>
      </c>
      <c r="M2675" s="2"/>
      <c r="N2675" s="2"/>
      <c r="O2675" s="2"/>
      <c r="P2675" s="2" t="s">
        <v>8550</v>
      </c>
      <c r="Q2675" s="2"/>
      <c r="R2675" s="2"/>
      <c r="S2675" s="5">
        <v>-0.6</v>
      </c>
      <c r="T2675" s="7">
        <v>-1.2E-2</v>
      </c>
      <c r="U2675" s="5">
        <v>3.5</v>
      </c>
      <c r="V2675" s="6">
        <v>-0.18</v>
      </c>
      <c r="W2675" s="4">
        <v>2</v>
      </c>
      <c r="X2675" s="7">
        <v>1.875</v>
      </c>
      <c r="Y2675" s="7">
        <v>1.875</v>
      </c>
      <c r="Z2675" s="7">
        <v>1.8129999999999999</v>
      </c>
      <c r="AA2675" s="6">
        <v>6.81</v>
      </c>
      <c r="AB2675" s="2" t="s">
        <v>86</v>
      </c>
      <c r="AC2675" s="2"/>
    </row>
    <row r="2676" spans="1:29" ht="143" x14ac:dyDescent="0.15">
      <c r="A2676" s="3">
        <f t="shared" ref="A2676:A2682" si="22">DATE(1996,9,16)</f>
        <v>35324</v>
      </c>
      <c r="B2676" s="3">
        <f>DATE(1997,11,7)</f>
        <v>35741</v>
      </c>
      <c r="C2676" s="2" t="s">
        <v>95</v>
      </c>
      <c r="D2676" s="2" t="s">
        <v>8551</v>
      </c>
      <c r="E2676" s="2" t="s">
        <v>438</v>
      </c>
      <c r="F2676" s="4">
        <v>4911</v>
      </c>
      <c r="G2676" s="2" t="s">
        <v>439</v>
      </c>
      <c r="H2676" s="2" t="s">
        <v>34</v>
      </c>
      <c r="I2676" s="2" t="s">
        <v>8552</v>
      </c>
      <c r="J2676" s="2" t="s">
        <v>1888</v>
      </c>
      <c r="K2676" s="2" t="s">
        <v>439</v>
      </c>
      <c r="L2676" s="2" t="s">
        <v>34</v>
      </c>
      <c r="M2676" s="12">
        <v>3203.9580000000001</v>
      </c>
      <c r="N2676" s="6">
        <v>19.75</v>
      </c>
      <c r="O2676" s="7">
        <v>19.625</v>
      </c>
      <c r="P2676" s="2" t="s">
        <v>8553</v>
      </c>
      <c r="Q2676" s="6">
        <v>100</v>
      </c>
      <c r="R2676" s="6">
        <v>10.89</v>
      </c>
      <c r="S2676" s="5">
        <v>221.5</v>
      </c>
      <c r="T2676" s="6">
        <v>892.67</v>
      </c>
      <c r="U2676" s="5">
        <v>13</v>
      </c>
      <c r="V2676" s="7">
        <v>1.103</v>
      </c>
      <c r="W2676" s="6">
        <v>7.75</v>
      </c>
      <c r="X2676" s="7">
        <v>7.625</v>
      </c>
      <c r="Y2676" s="6">
        <v>9.25</v>
      </c>
      <c r="Z2676" s="7">
        <v>9.125</v>
      </c>
      <c r="AA2676" s="6">
        <v>148.03</v>
      </c>
      <c r="AB2676" s="7">
        <v>9.2390000000000008</v>
      </c>
      <c r="AC2676" s="6">
        <v>29.83</v>
      </c>
    </row>
    <row r="2677" spans="1:29" ht="143" x14ac:dyDescent="0.15">
      <c r="A2677" s="3">
        <f t="shared" si="22"/>
        <v>35324</v>
      </c>
      <c r="B2677" s="3">
        <f>DATE(1996,12,31)</f>
        <v>35430</v>
      </c>
      <c r="C2677" s="2" t="s">
        <v>95</v>
      </c>
      <c r="D2677" s="2" t="s">
        <v>8554</v>
      </c>
      <c r="E2677" s="2" t="s">
        <v>36</v>
      </c>
      <c r="F2677" s="4">
        <v>6022</v>
      </c>
      <c r="G2677" s="2" t="s">
        <v>37</v>
      </c>
      <c r="H2677" s="2" t="s">
        <v>34</v>
      </c>
      <c r="I2677" s="2" t="s">
        <v>3427</v>
      </c>
      <c r="J2677" s="2" t="s">
        <v>36</v>
      </c>
      <c r="K2677" s="2" t="s">
        <v>37</v>
      </c>
      <c r="L2677" s="2" t="s">
        <v>34</v>
      </c>
      <c r="M2677" s="10">
        <v>2550.64</v>
      </c>
      <c r="N2677" s="7">
        <v>59.125</v>
      </c>
      <c r="O2677" s="4">
        <v>59</v>
      </c>
      <c r="P2677" s="2" t="s">
        <v>8555</v>
      </c>
      <c r="Q2677" s="6">
        <v>100</v>
      </c>
      <c r="R2677" s="6">
        <v>51.25</v>
      </c>
      <c r="S2677" s="5">
        <v>38.5</v>
      </c>
      <c r="T2677" s="7">
        <v>34.631999999999998</v>
      </c>
      <c r="U2677" s="5">
        <v>22.9</v>
      </c>
      <c r="V2677" s="7">
        <v>2.5579999999999998</v>
      </c>
      <c r="W2677" s="5">
        <v>30.5</v>
      </c>
      <c r="X2677" s="6">
        <v>32.25</v>
      </c>
      <c r="Y2677" s="4">
        <v>47</v>
      </c>
      <c r="Z2677" s="4">
        <v>47</v>
      </c>
      <c r="AA2677" s="6">
        <v>15.13</v>
      </c>
      <c r="AB2677" s="7">
        <v>72.034999999999997</v>
      </c>
      <c r="AC2677" s="2"/>
    </row>
    <row r="2678" spans="1:29" ht="91" x14ac:dyDescent="0.15">
      <c r="A2678" s="3">
        <f t="shared" si="22"/>
        <v>35324</v>
      </c>
      <c r="B2678" s="3">
        <f>DATE(1997,3,31)</f>
        <v>35520</v>
      </c>
      <c r="C2678" s="2" t="s">
        <v>95</v>
      </c>
      <c r="D2678" s="2" t="s">
        <v>8556</v>
      </c>
      <c r="E2678" s="2" t="s">
        <v>1181</v>
      </c>
      <c r="F2678" s="4">
        <v>6021</v>
      </c>
      <c r="G2678" s="2" t="s">
        <v>37</v>
      </c>
      <c r="H2678" s="2" t="s">
        <v>34</v>
      </c>
      <c r="I2678" s="2" t="s">
        <v>8557</v>
      </c>
      <c r="J2678" s="2" t="s">
        <v>389</v>
      </c>
      <c r="K2678" s="2" t="s">
        <v>33</v>
      </c>
      <c r="L2678" s="2" t="s">
        <v>34</v>
      </c>
      <c r="M2678" s="2"/>
      <c r="N2678" s="2"/>
      <c r="O2678" s="2"/>
      <c r="P2678" s="2" t="s">
        <v>8558</v>
      </c>
      <c r="Q2678" s="6">
        <v>100</v>
      </c>
      <c r="R2678" s="6">
        <v>18.850000000000001</v>
      </c>
      <c r="S2678" s="5">
        <v>5.5</v>
      </c>
      <c r="T2678" s="7">
        <v>11.938000000000001</v>
      </c>
      <c r="U2678" s="5">
        <v>14.6</v>
      </c>
      <c r="V2678" s="7">
        <v>0.85799999999999998</v>
      </c>
      <c r="W2678" s="4">
        <v>15</v>
      </c>
      <c r="X2678" s="4">
        <v>15</v>
      </c>
      <c r="Y2678" s="4">
        <v>18</v>
      </c>
      <c r="Z2678" s="7">
        <v>18.015999999999998</v>
      </c>
      <c r="AA2678" s="6">
        <v>6.86</v>
      </c>
      <c r="AB2678" s="7">
        <v>58.933</v>
      </c>
      <c r="AC2678" s="2"/>
    </row>
    <row r="2679" spans="1:29" ht="143" x14ac:dyDescent="0.15">
      <c r="A2679" s="3">
        <f t="shared" si="22"/>
        <v>35324</v>
      </c>
      <c r="B2679" s="3">
        <f>DATE(1997,4,11)</f>
        <v>35531</v>
      </c>
      <c r="C2679" s="2" t="s">
        <v>95</v>
      </c>
      <c r="D2679" s="2" t="s">
        <v>4833</v>
      </c>
      <c r="E2679" s="2" t="s">
        <v>4834</v>
      </c>
      <c r="F2679" s="4">
        <v>6371</v>
      </c>
      <c r="G2679" s="2" t="s">
        <v>125</v>
      </c>
      <c r="H2679" s="2" t="s">
        <v>34</v>
      </c>
      <c r="I2679" s="2" t="s">
        <v>8559</v>
      </c>
      <c r="J2679" s="2" t="s">
        <v>4834</v>
      </c>
      <c r="K2679" s="2" t="s">
        <v>125</v>
      </c>
      <c r="L2679" s="2" t="s">
        <v>34</v>
      </c>
      <c r="M2679" s="7">
        <v>25.745000000000001</v>
      </c>
      <c r="N2679" s="6">
        <v>8.25</v>
      </c>
      <c r="O2679" s="6">
        <v>8.75</v>
      </c>
      <c r="P2679" s="2" t="s">
        <v>8560</v>
      </c>
      <c r="Q2679" s="6">
        <v>100</v>
      </c>
      <c r="R2679" s="2"/>
      <c r="S2679" s="5">
        <v>-1.2</v>
      </c>
      <c r="T2679" s="7">
        <v>2.141</v>
      </c>
      <c r="U2679" s="5">
        <v>4.4000000000000004</v>
      </c>
      <c r="V2679" s="7">
        <v>-0.123</v>
      </c>
      <c r="W2679" s="7">
        <v>2.625</v>
      </c>
      <c r="X2679" s="4">
        <v>3</v>
      </c>
      <c r="Y2679" s="7">
        <v>2.625</v>
      </c>
      <c r="Z2679" s="7">
        <v>2.625</v>
      </c>
      <c r="AA2679" s="6">
        <v>9.5</v>
      </c>
      <c r="AB2679" s="7">
        <v>170.053</v>
      </c>
      <c r="AC2679" s="6">
        <v>100.49</v>
      </c>
    </row>
    <row r="2680" spans="1:29" ht="143" x14ac:dyDescent="0.15">
      <c r="A2680" s="3">
        <f t="shared" si="22"/>
        <v>35324</v>
      </c>
      <c r="B2680" s="3">
        <f>DATE(1996,12,6)</f>
        <v>35405</v>
      </c>
      <c r="C2680" s="2" t="s">
        <v>95</v>
      </c>
      <c r="D2680" s="2" t="s">
        <v>8561</v>
      </c>
      <c r="E2680" s="2" t="s">
        <v>8562</v>
      </c>
      <c r="F2680" s="4">
        <v>5093</v>
      </c>
      <c r="G2680" s="2" t="s">
        <v>76</v>
      </c>
      <c r="H2680" s="2" t="s">
        <v>34</v>
      </c>
      <c r="I2680" s="2" t="s">
        <v>8563</v>
      </c>
      <c r="J2680" s="2" t="s">
        <v>8564</v>
      </c>
      <c r="K2680" s="2" t="s">
        <v>163</v>
      </c>
      <c r="L2680" s="2" t="s">
        <v>34</v>
      </c>
      <c r="M2680" s="7">
        <v>267.517</v>
      </c>
      <c r="N2680" s="5">
        <v>26.5</v>
      </c>
      <c r="O2680" s="4">
        <v>29</v>
      </c>
      <c r="P2680" s="2" t="s">
        <v>8565</v>
      </c>
      <c r="Q2680" s="6">
        <v>100</v>
      </c>
      <c r="R2680" s="6">
        <v>9</v>
      </c>
      <c r="S2680" s="5">
        <v>-9</v>
      </c>
      <c r="T2680" s="7">
        <v>-5.1580000000000004</v>
      </c>
      <c r="U2680" s="5">
        <v>10.5</v>
      </c>
      <c r="V2680" s="6">
        <v>-1.92</v>
      </c>
      <c r="W2680" s="4">
        <v>4</v>
      </c>
      <c r="X2680" s="7">
        <v>3.875</v>
      </c>
      <c r="Y2680" s="7">
        <v>7.3129999999999997</v>
      </c>
      <c r="Z2680" s="7">
        <v>7.375</v>
      </c>
      <c r="AA2680" s="6">
        <v>4.72</v>
      </c>
      <c r="AB2680" s="2" t="s">
        <v>86</v>
      </c>
      <c r="AC2680" s="5">
        <v>1.9</v>
      </c>
    </row>
    <row r="2681" spans="1:29" ht="104" x14ac:dyDescent="0.15">
      <c r="A2681" s="3">
        <f t="shared" si="22"/>
        <v>35324</v>
      </c>
      <c r="B2681" s="3">
        <f>DATE(1997,4,3)</f>
        <v>35523</v>
      </c>
      <c r="C2681" s="2" t="s">
        <v>95</v>
      </c>
      <c r="D2681" s="2" t="s">
        <v>8566</v>
      </c>
      <c r="E2681" s="2" t="s">
        <v>8567</v>
      </c>
      <c r="F2681" s="4">
        <v>6035</v>
      </c>
      <c r="G2681" s="2" t="s">
        <v>33</v>
      </c>
      <c r="H2681" s="2" t="s">
        <v>34</v>
      </c>
      <c r="I2681" s="2" t="s">
        <v>4310</v>
      </c>
      <c r="J2681" s="2" t="s">
        <v>263</v>
      </c>
      <c r="K2681" s="2" t="s">
        <v>33</v>
      </c>
      <c r="L2681" s="2" t="s">
        <v>34</v>
      </c>
      <c r="M2681" s="7">
        <v>55.072000000000003</v>
      </c>
      <c r="N2681" s="5">
        <v>13.5</v>
      </c>
      <c r="O2681" s="6">
        <v>14.25</v>
      </c>
      <c r="P2681" s="2" t="s">
        <v>8568</v>
      </c>
      <c r="Q2681" s="6">
        <v>100</v>
      </c>
      <c r="R2681" s="6">
        <v>21.15</v>
      </c>
      <c r="S2681" s="5">
        <v>1.1000000000000001</v>
      </c>
      <c r="T2681" s="7">
        <v>1.6160000000000001</v>
      </c>
      <c r="U2681" s="5">
        <v>16.899999999999999</v>
      </c>
      <c r="V2681" s="7">
        <v>1.093</v>
      </c>
      <c r="W2681" s="7">
        <v>13.625</v>
      </c>
      <c r="X2681" s="5">
        <v>17.5</v>
      </c>
      <c r="Y2681" s="5">
        <v>19.5</v>
      </c>
      <c r="Z2681" s="4">
        <v>20</v>
      </c>
      <c r="AA2681" s="6">
        <v>1.07</v>
      </c>
      <c r="AB2681" s="7">
        <v>43.673999999999999</v>
      </c>
      <c r="AC2681" s="2"/>
    </row>
    <row r="2682" spans="1:29" ht="130" x14ac:dyDescent="0.15">
      <c r="A2682" s="3">
        <f t="shared" si="22"/>
        <v>35324</v>
      </c>
      <c r="B2682" s="3">
        <f>DATE(1997,1,27)</f>
        <v>35457</v>
      </c>
      <c r="C2682" s="2" t="s">
        <v>95</v>
      </c>
      <c r="D2682" s="2" t="s">
        <v>8569</v>
      </c>
      <c r="E2682" s="2" t="s">
        <v>1181</v>
      </c>
      <c r="F2682" s="4">
        <v>6022</v>
      </c>
      <c r="G2682" s="2" t="s">
        <v>37</v>
      </c>
      <c r="H2682" s="2" t="s">
        <v>34</v>
      </c>
      <c r="I2682" s="2" t="s">
        <v>8570</v>
      </c>
      <c r="J2682" s="2" t="s">
        <v>3780</v>
      </c>
      <c r="K2682" s="2" t="s">
        <v>37</v>
      </c>
      <c r="L2682" s="2" t="s">
        <v>34</v>
      </c>
      <c r="M2682" s="2"/>
      <c r="N2682" s="2"/>
      <c r="O2682" s="2"/>
      <c r="P2682" s="2" t="s">
        <v>8571</v>
      </c>
      <c r="Q2682" s="6">
        <v>100</v>
      </c>
      <c r="R2682" s="6">
        <v>5.03</v>
      </c>
      <c r="S2682" s="5">
        <v>2.4</v>
      </c>
      <c r="T2682" s="7">
        <v>0.95599999999999996</v>
      </c>
      <c r="U2682" s="5">
        <v>3.1</v>
      </c>
      <c r="V2682" s="7">
        <v>0.29499999999999998</v>
      </c>
      <c r="W2682" s="5">
        <v>3.5</v>
      </c>
      <c r="X2682" s="6">
        <v>3.63</v>
      </c>
      <c r="Y2682" s="5">
        <v>4.5</v>
      </c>
      <c r="Z2682" s="7">
        <v>4.6879999999999997</v>
      </c>
      <c r="AA2682" s="6">
        <v>9.23</v>
      </c>
      <c r="AB2682" s="2" t="s">
        <v>86</v>
      </c>
      <c r="AC2682" s="2"/>
    </row>
    <row r="2683" spans="1:29" ht="130" x14ac:dyDescent="0.15">
      <c r="A2683" s="3">
        <f>DATE(1996,9,17)</f>
        <v>35325</v>
      </c>
      <c r="B2683" s="3">
        <f>DATE(1996,12,12)</f>
        <v>35411</v>
      </c>
      <c r="C2683" s="2" t="s">
        <v>95</v>
      </c>
      <c r="D2683" s="2" t="s">
        <v>8572</v>
      </c>
      <c r="E2683" s="2" t="s">
        <v>8573</v>
      </c>
      <c r="F2683" s="4">
        <v>3492</v>
      </c>
      <c r="G2683" s="2" t="s">
        <v>163</v>
      </c>
      <c r="H2683" s="2" t="s">
        <v>34</v>
      </c>
      <c r="I2683" s="2" t="s">
        <v>5924</v>
      </c>
      <c r="J2683" s="2" t="s">
        <v>4113</v>
      </c>
      <c r="K2683" s="2" t="s">
        <v>226</v>
      </c>
      <c r="L2683" s="2" t="s">
        <v>34</v>
      </c>
      <c r="M2683" s="7">
        <v>158.589</v>
      </c>
      <c r="N2683" s="4">
        <v>13</v>
      </c>
      <c r="O2683" s="7">
        <v>12.875</v>
      </c>
      <c r="P2683" s="2" t="s">
        <v>8574</v>
      </c>
      <c r="Q2683" s="6">
        <v>100</v>
      </c>
      <c r="R2683" s="6">
        <v>7.54</v>
      </c>
      <c r="S2683" s="5">
        <v>2.4</v>
      </c>
      <c r="T2683" s="7">
        <v>8.2279999999999998</v>
      </c>
      <c r="U2683" s="5">
        <v>2.6</v>
      </c>
      <c r="V2683" s="7">
        <v>0.27900000000000003</v>
      </c>
      <c r="W2683" s="7">
        <v>5.875</v>
      </c>
      <c r="X2683" s="6">
        <v>6.88</v>
      </c>
      <c r="Y2683" s="4">
        <v>7</v>
      </c>
      <c r="Z2683" s="4">
        <v>7</v>
      </c>
      <c r="AA2683" s="6">
        <v>8.6</v>
      </c>
      <c r="AB2683" s="7">
        <v>15.832000000000001</v>
      </c>
      <c r="AC2683" s="5">
        <v>3.9</v>
      </c>
    </row>
    <row r="2684" spans="1:29" ht="156" x14ac:dyDescent="0.15">
      <c r="A2684" s="3">
        <f>DATE(1996,9,17)</f>
        <v>35325</v>
      </c>
      <c r="B2684" s="3">
        <f>DATE(1997,1,2)</f>
        <v>35432</v>
      </c>
      <c r="C2684" s="2" t="s">
        <v>95</v>
      </c>
      <c r="D2684" s="2" t="s">
        <v>8575</v>
      </c>
      <c r="E2684" s="2" t="s">
        <v>8576</v>
      </c>
      <c r="F2684" s="4">
        <v>5712</v>
      </c>
      <c r="G2684" s="2" t="s">
        <v>1227</v>
      </c>
      <c r="H2684" s="2" t="s">
        <v>34</v>
      </c>
      <c r="I2684" s="2" t="s">
        <v>8577</v>
      </c>
      <c r="J2684" s="2" t="s">
        <v>8578</v>
      </c>
      <c r="K2684" s="2" t="s">
        <v>1227</v>
      </c>
      <c r="L2684" s="2" t="s">
        <v>34</v>
      </c>
      <c r="M2684" s="6">
        <v>331.51</v>
      </c>
      <c r="N2684" s="6">
        <v>14.25</v>
      </c>
      <c r="O2684" s="7">
        <v>15.125</v>
      </c>
      <c r="P2684" s="2" t="s">
        <v>8579</v>
      </c>
      <c r="Q2684" s="6">
        <v>100</v>
      </c>
      <c r="R2684" s="6">
        <v>7.44</v>
      </c>
      <c r="S2684" s="5">
        <v>-3.8</v>
      </c>
      <c r="T2684" s="7">
        <v>17.413</v>
      </c>
      <c r="U2684" s="5">
        <v>7.1</v>
      </c>
      <c r="V2684" s="7">
        <v>-0.41799999999999998</v>
      </c>
      <c r="W2684" s="7">
        <v>9.375</v>
      </c>
      <c r="X2684" s="7">
        <v>9.875</v>
      </c>
      <c r="Y2684" s="6">
        <v>10.75</v>
      </c>
      <c r="Z2684" s="6">
        <v>11.25</v>
      </c>
      <c r="AA2684" s="6">
        <v>9.27</v>
      </c>
      <c r="AB2684" s="7">
        <v>39.271999999999998</v>
      </c>
      <c r="AC2684" s="6">
        <v>16.02</v>
      </c>
    </row>
    <row r="2685" spans="1:29" ht="130" x14ac:dyDescent="0.15">
      <c r="A2685" s="3">
        <f>DATE(1996,9,19)</f>
        <v>35327</v>
      </c>
      <c r="B2685" s="3">
        <f>DATE(1997,3,13)</f>
        <v>35502</v>
      </c>
      <c r="C2685" s="2" t="s">
        <v>95</v>
      </c>
      <c r="D2685" s="2" t="s">
        <v>8580</v>
      </c>
      <c r="E2685" s="2" t="s">
        <v>389</v>
      </c>
      <c r="F2685" s="4">
        <v>6035</v>
      </c>
      <c r="G2685" s="2" t="s">
        <v>33</v>
      </c>
      <c r="H2685" s="2" t="s">
        <v>34</v>
      </c>
      <c r="I2685" s="2" t="s">
        <v>5846</v>
      </c>
      <c r="J2685" s="2" t="s">
        <v>5847</v>
      </c>
      <c r="K2685" s="2" t="s">
        <v>37</v>
      </c>
      <c r="L2685" s="2" t="s">
        <v>34</v>
      </c>
      <c r="M2685" s="8">
        <v>1296.5</v>
      </c>
      <c r="N2685" s="4">
        <v>34</v>
      </c>
      <c r="O2685" s="7">
        <v>34.125</v>
      </c>
      <c r="P2685" s="2" t="s">
        <v>8581</v>
      </c>
      <c r="Q2685" s="6">
        <v>100</v>
      </c>
      <c r="R2685" s="6">
        <v>21.57</v>
      </c>
      <c r="S2685" s="5">
        <v>8.1</v>
      </c>
      <c r="T2685" s="7">
        <v>13.225</v>
      </c>
      <c r="U2685" s="5">
        <v>12.6</v>
      </c>
      <c r="V2685" s="7">
        <v>1.425</v>
      </c>
      <c r="W2685" s="6">
        <v>15.75</v>
      </c>
      <c r="X2685" s="4">
        <v>15</v>
      </c>
      <c r="Y2685" s="6">
        <v>16.75</v>
      </c>
      <c r="Z2685" s="4">
        <v>16</v>
      </c>
      <c r="AA2685" s="6">
        <v>1.39</v>
      </c>
      <c r="AB2685" s="7">
        <v>12.095000000000001</v>
      </c>
      <c r="AC2685" s="2"/>
    </row>
    <row r="2686" spans="1:29" ht="130" x14ac:dyDescent="0.15">
      <c r="A2686" s="3">
        <f>DATE(1996,9,23)</f>
        <v>35331</v>
      </c>
      <c r="B2686" s="3">
        <f>DATE(1996,12,4)</f>
        <v>35403</v>
      </c>
      <c r="C2686" s="2" t="s">
        <v>95</v>
      </c>
      <c r="D2686" s="2" t="s">
        <v>8582</v>
      </c>
      <c r="E2686" s="2" t="s">
        <v>8583</v>
      </c>
      <c r="F2686" s="4">
        <v>2911</v>
      </c>
      <c r="G2686" s="2" t="s">
        <v>148</v>
      </c>
      <c r="H2686" s="2" t="s">
        <v>34</v>
      </c>
      <c r="I2686" s="2" t="s">
        <v>8584</v>
      </c>
      <c r="J2686" s="2" t="s">
        <v>147</v>
      </c>
      <c r="K2686" s="2" t="s">
        <v>148</v>
      </c>
      <c r="L2686" s="2" t="s">
        <v>34</v>
      </c>
      <c r="M2686" s="12">
        <v>1228.0920000000001</v>
      </c>
      <c r="N2686" s="7">
        <v>29.875</v>
      </c>
      <c r="O2686" s="7">
        <v>30.125</v>
      </c>
      <c r="P2686" s="2" t="s">
        <v>8585</v>
      </c>
      <c r="Q2686" s="6">
        <v>100</v>
      </c>
      <c r="R2686" s="6">
        <v>29.07</v>
      </c>
      <c r="S2686" s="5">
        <v>47.3</v>
      </c>
      <c r="T2686" s="5">
        <v>178.9</v>
      </c>
      <c r="U2686" s="5">
        <v>21.5</v>
      </c>
      <c r="V2686" s="6">
        <v>1.48</v>
      </c>
      <c r="W2686" s="6">
        <v>28.75</v>
      </c>
      <c r="X2686" s="6">
        <v>30.25</v>
      </c>
      <c r="Y2686" s="7">
        <v>30.625</v>
      </c>
      <c r="Z2686" s="6">
        <v>31.25</v>
      </c>
      <c r="AA2686" s="6">
        <v>29.3</v>
      </c>
      <c r="AB2686" s="7">
        <v>17.472999999999999</v>
      </c>
      <c r="AC2686" s="6">
        <v>126.85</v>
      </c>
    </row>
    <row r="2687" spans="1:29" ht="65" x14ac:dyDescent="0.15">
      <c r="A2687" s="3">
        <f>DATE(1996,9,24)</f>
        <v>35332</v>
      </c>
      <c r="B2687" s="3">
        <f>DATE(1997,1,2)</f>
        <v>35432</v>
      </c>
      <c r="C2687" s="2" t="s">
        <v>95</v>
      </c>
      <c r="D2687" s="2" t="s">
        <v>8586</v>
      </c>
      <c r="E2687" s="2" t="s">
        <v>8587</v>
      </c>
      <c r="F2687" s="4">
        <v>7372</v>
      </c>
      <c r="G2687" s="2" t="s">
        <v>551</v>
      </c>
      <c r="H2687" s="2" t="s">
        <v>34</v>
      </c>
      <c r="I2687" s="2" t="s">
        <v>8588</v>
      </c>
      <c r="J2687" s="2" t="s">
        <v>8589</v>
      </c>
      <c r="K2687" s="2" t="s">
        <v>551</v>
      </c>
      <c r="L2687" s="2" t="s">
        <v>34</v>
      </c>
      <c r="M2687" s="2"/>
      <c r="N2687" s="6">
        <v>43.25</v>
      </c>
      <c r="O2687" s="7">
        <v>43.313000000000002</v>
      </c>
      <c r="P2687" s="2" t="s">
        <v>8590</v>
      </c>
      <c r="Q2687" s="6">
        <v>87.57</v>
      </c>
      <c r="R2687" s="6">
        <v>8</v>
      </c>
      <c r="S2687" s="5">
        <v>-8</v>
      </c>
      <c r="T2687" s="7">
        <v>-6.9889999999999999</v>
      </c>
      <c r="U2687" s="5">
        <v>3.7</v>
      </c>
      <c r="V2687" s="7">
        <v>-0.70299999999999996</v>
      </c>
      <c r="W2687" s="7">
        <v>5.625</v>
      </c>
      <c r="X2687" s="6">
        <v>6.25</v>
      </c>
      <c r="Y2687" s="7">
        <v>7.7190000000000003</v>
      </c>
      <c r="Z2687" s="6">
        <v>7.75</v>
      </c>
      <c r="AA2687" s="6">
        <v>11.1</v>
      </c>
      <c r="AB2687" s="2" t="s">
        <v>86</v>
      </c>
      <c r="AC2687" s="6">
        <v>840.91</v>
      </c>
    </row>
    <row r="2688" spans="1:29" ht="130" x14ac:dyDescent="0.15">
      <c r="A2688" s="3">
        <f>DATE(1996,9,24)</f>
        <v>35332</v>
      </c>
      <c r="B2688" s="3">
        <f>DATE(1996,12,9)</f>
        <v>35408</v>
      </c>
      <c r="C2688" s="2" t="s">
        <v>95</v>
      </c>
      <c r="D2688" s="2" t="s">
        <v>2593</v>
      </c>
      <c r="E2688" s="2" t="s">
        <v>781</v>
      </c>
      <c r="F2688" s="4">
        <v>7372</v>
      </c>
      <c r="G2688" s="2" t="s">
        <v>551</v>
      </c>
      <c r="H2688" s="2" t="s">
        <v>34</v>
      </c>
      <c r="I2688" s="2" t="s">
        <v>4939</v>
      </c>
      <c r="J2688" s="2" t="s">
        <v>4940</v>
      </c>
      <c r="K2688" s="2" t="s">
        <v>223</v>
      </c>
      <c r="L2688" s="2" t="s">
        <v>34</v>
      </c>
      <c r="M2688" s="12">
        <v>2322.1950000000002</v>
      </c>
      <c r="N2688" s="5">
        <v>62.5</v>
      </c>
      <c r="O2688" s="7">
        <v>66.125</v>
      </c>
      <c r="P2688" s="2" t="s">
        <v>8591</v>
      </c>
      <c r="Q2688" s="6">
        <v>100</v>
      </c>
      <c r="R2688" s="6">
        <v>26.78</v>
      </c>
      <c r="S2688" s="5">
        <v>2.9</v>
      </c>
      <c r="T2688" s="7">
        <v>10.228999999999999</v>
      </c>
      <c r="U2688" s="5">
        <v>6.6</v>
      </c>
      <c r="V2688" s="7">
        <v>0.34599999999999997</v>
      </c>
      <c r="W2688" s="4">
        <v>17</v>
      </c>
      <c r="X2688" s="7">
        <v>17.125</v>
      </c>
      <c r="Y2688" s="7">
        <v>23.312999999999999</v>
      </c>
      <c r="Z2688" s="7">
        <v>24.359000000000002</v>
      </c>
      <c r="AA2688" s="6">
        <v>8.18</v>
      </c>
      <c r="AB2688" s="7">
        <v>56.378</v>
      </c>
      <c r="AC2688" s="6">
        <v>65.260000000000005</v>
      </c>
    </row>
    <row r="2689" spans="1:29" ht="156" x14ac:dyDescent="0.15">
      <c r="A2689" s="3">
        <f>DATE(1996,9,26)</f>
        <v>35334</v>
      </c>
      <c r="B2689" s="3">
        <f>DATE(1997,2,28)</f>
        <v>35489</v>
      </c>
      <c r="C2689" s="2" t="s">
        <v>95</v>
      </c>
      <c r="D2689" s="2" t="s">
        <v>8592</v>
      </c>
      <c r="E2689" s="2" t="s">
        <v>984</v>
      </c>
      <c r="F2689" s="4">
        <v>4833</v>
      </c>
      <c r="G2689" s="2" t="s">
        <v>45</v>
      </c>
      <c r="H2689" s="2" t="s">
        <v>34</v>
      </c>
      <c r="I2689" s="2" t="s">
        <v>8593</v>
      </c>
      <c r="J2689" s="2" t="s">
        <v>2860</v>
      </c>
      <c r="K2689" s="2" t="s">
        <v>45</v>
      </c>
      <c r="L2689" s="2" t="s">
        <v>34</v>
      </c>
      <c r="M2689" s="12">
        <v>1798.0630000000001</v>
      </c>
      <c r="N2689" s="5">
        <v>37.5</v>
      </c>
      <c r="O2689" s="7">
        <v>34.078000000000003</v>
      </c>
      <c r="P2689" s="2" t="s">
        <v>8594</v>
      </c>
      <c r="Q2689" s="6">
        <v>100</v>
      </c>
      <c r="R2689" s="6">
        <v>32.270000000000003</v>
      </c>
      <c r="S2689" s="5">
        <v>-7.6</v>
      </c>
      <c r="T2689" s="7">
        <v>78.894999999999996</v>
      </c>
      <c r="U2689" s="8">
        <v>3084.9</v>
      </c>
      <c r="V2689" s="6">
        <v>-112.75</v>
      </c>
      <c r="W2689" s="7">
        <v>19.625</v>
      </c>
      <c r="X2689" s="7">
        <v>20.375</v>
      </c>
      <c r="Y2689" s="7">
        <v>20.875</v>
      </c>
      <c r="Z2689" s="4">
        <v>29</v>
      </c>
      <c r="AA2689" s="6">
        <v>44.3</v>
      </c>
      <c r="AB2689" s="7">
        <v>8.9380000000000006</v>
      </c>
      <c r="AC2689" s="6">
        <v>12.85</v>
      </c>
    </row>
    <row r="2690" spans="1:29" ht="130" x14ac:dyDescent="0.15">
      <c r="A2690" s="3">
        <f>DATE(1996,9,26)</f>
        <v>35334</v>
      </c>
      <c r="B2690" s="3">
        <f>DATE(1996,12,23)</f>
        <v>35422</v>
      </c>
      <c r="C2690" s="2" t="s">
        <v>95</v>
      </c>
      <c r="D2690" s="2" t="s">
        <v>8595</v>
      </c>
      <c r="E2690" s="2" t="s">
        <v>515</v>
      </c>
      <c r="F2690" s="4">
        <v>6311</v>
      </c>
      <c r="G2690" s="2" t="s">
        <v>125</v>
      </c>
      <c r="H2690" s="2" t="s">
        <v>34</v>
      </c>
      <c r="I2690" s="2" t="s">
        <v>4081</v>
      </c>
      <c r="J2690" s="2" t="s">
        <v>4015</v>
      </c>
      <c r="K2690" s="2" t="s">
        <v>125</v>
      </c>
      <c r="L2690" s="2" t="s">
        <v>34</v>
      </c>
      <c r="M2690" s="12">
        <v>2505.0929999999998</v>
      </c>
      <c r="N2690" s="7">
        <v>49.125</v>
      </c>
      <c r="O2690" s="7">
        <v>48.125</v>
      </c>
      <c r="P2690" s="2" t="s">
        <v>8596</v>
      </c>
      <c r="Q2690" s="6">
        <v>100</v>
      </c>
      <c r="R2690" s="6">
        <v>65.099999999999994</v>
      </c>
      <c r="S2690" s="5">
        <v>-31.9</v>
      </c>
      <c r="T2690" s="2"/>
      <c r="U2690" s="5">
        <v>91.3</v>
      </c>
      <c r="V2690" s="7">
        <v>-21.786000000000001</v>
      </c>
      <c r="W2690" s="7">
        <v>48.125</v>
      </c>
      <c r="X2690" s="6">
        <v>51.75</v>
      </c>
      <c r="Y2690" s="7">
        <v>70.125</v>
      </c>
      <c r="Z2690" s="5">
        <v>69.5</v>
      </c>
      <c r="AA2690" s="6">
        <v>1.59</v>
      </c>
      <c r="AB2690" s="2" t="s">
        <v>86</v>
      </c>
      <c r="AC2690" s="5">
        <v>189.9</v>
      </c>
    </row>
    <row r="2691" spans="1:29" ht="156" x14ac:dyDescent="0.15">
      <c r="A2691" s="3">
        <f>DATE(1996,9,27)</f>
        <v>35335</v>
      </c>
      <c r="B2691" s="2"/>
      <c r="C2691" s="2" t="s">
        <v>30</v>
      </c>
      <c r="D2691" s="2" t="s">
        <v>8597</v>
      </c>
      <c r="E2691" s="2" t="s">
        <v>92</v>
      </c>
      <c r="F2691" s="4">
        <v>6798</v>
      </c>
      <c r="G2691" s="2" t="s">
        <v>53</v>
      </c>
      <c r="H2691" s="2" t="s">
        <v>34</v>
      </c>
      <c r="I2691" s="2" t="s">
        <v>8598</v>
      </c>
      <c r="J2691" s="2" t="s">
        <v>185</v>
      </c>
      <c r="K2691" s="2" t="s">
        <v>186</v>
      </c>
      <c r="L2691" s="2" t="s">
        <v>34</v>
      </c>
      <c r="M2691" s="2"/>
      <c r="N2691" s="2"/>
      <c r="O2691" s="2"/>
      <c r="P2691" s="2" t="s">
        <v>8599</v>
      </c>
      <c r="Q2691" s="2"/>
      <c r="R2691" s="6">
        <v>23</v>
      </c>
      <c r="S2691" s="5">
        <v>2.5</v>
      </c>
      <c r="T2691" s="7">
        <v>8.8680000000000003</v>
      </c>
      <c r="U2691" s="5">
        <v>14.6</v>
      </c>
      <c r="V2691" s="7">
        <v>0.432</v>
      </c>
      <c r="W2691" s="6">
        <v>13.75</v>
      </c>
      <c r="X2691" s="5">
        <v>13.5</v>
      </c>
      <c r="Y2691" s="7">
        <v>14.063000000000001</v>
      </c>
      <c r="Z2691" s="6">
        <v>14.25</v>
      </c>
      <c r="AA2691" s="6">
        <v>5.8</v>
      </c>
      <c r="AB2691" s="7">
        <v>28.434000000000001</v>
      </c>
      <c r="AC2691" s="2"/>
    </row>
    <row r="2692" spans="1:29" ht="91" x14ac:dyDescent="0.15">
      <c r="A2692" s="3">
        <f>DATE(1996,9,27)</f>
        <v>35335</v>
      </c>
      <c r="B2692" s="3">
        <f>DATE(1996,9,27)</f>
        <v>35335</v>
      </c>
      <c r="C2692" s="2" t="s">
        <v>95</v>
      </c>
      <c r="D2692" s="2" t="s">
        <v>8561</v>
      </c>
      <c r="E2692" s="2" t="s">
        <v>8562</v>
      </c>
      <c r="F2692" s="4">
        <v>5093</v>
      </c>
      <c r="G2692" s="2" t="s">
        <v>76</v>
      </c>
      <c r="H2692" s="2" t="s">
        <v>34</v>
      </c>
      <c r="I2692" s="2" t="s">
        <v>51</v>
      </c>
      <c r="J2692" s="2" t="s">
        <v>52</v>
      </c>
      <c r="K2692" s="2" t="s">
        <v>53</v>
      </c>
      <c r="L2692" s="2" t="s">
        <v>34</v>
      </c>
      <c r="M2692" s="2"/>
      <c r="N2692" s="2"/>
      <c r="O2692" s="2"/>
      <c r="P2692" s="2" t="s">
        <v>8600</v>
      </c>
      <c r="Q2692" s="6">
        <v>76.92</v>
      </c>
      <c r="R2692" s="6">
        <v>7.38</v>
      </c>
      <c r="S2692" s="5">
        <v>-9</v>
      </c>
      <c r="T2692" s="7">
        <v>-5.1580000000000004</v>
      </c>
      <c r="U2692" s="5">
        <v>10.5</v>
      </c>
      <c r="V2692" s="6">
        <v>-1.92</v>
      </c>
      <c r="W2692" s="7">
        <v>7.375</v>
      </c>
      <c r="X2692" s="7">
        <v>7.125</v>
      </c>
      <c r="Y2692" s="6">
        <v>6.75</v>
      </c>
      <c r="Z2692" s="7">
        <v>6.875</v>
      </c>
      <c r="AA2692" s="6">
        <v>0.59</v>
      </c>
      <c r="AB2692" s="2" t="s">
        <v>86</v>
      </c>
      <c r="AC2692" s="2"/>
    </row>
    <row r="2693" spans="1:29" ht="65" x14ac:dyDescent="0.15">
      <c r="A2693" s="3">
        <f>DATE(1996,9,30)</f>
        <v>35338</v>
      </c>
      <c r="B2693" s="3">
        <f>DATE(1997,6,27)</f>
        <v>35608</v>
      </c>
      <c r="C2693" s="2" t="s">
        <v>95</v>
      </c>
      <c r="D2693" s="2" t="s">
        <v>8601</v>
      </c>
      <c r="E2693" s="2" t="s">
        <v>612</v>
      </c>
      <c r="F2693" s="4">
        <v>1311</v>
      </c>
      <c r="G2693" s="2" t="s">
        <v>148</v>
      </c>
      <c r="H2693" s="2" t="s">
        <v>34</v>
      </c>
      <c r="I2693" s="2" t="s">
        <v>8602</v>
      </c>
      <c r="J2693" s="2" t="s">
        <v>4655</v>
      </c>
      <c r="K2693" s="2" t="s">
        <v>53</v>
      </c>
      <c r="L2693" s="2" t="s">
        <v>34</v>
      </c>
      <c r="M2693" s="2"/>
      <c r="N2693" s="2"/>
      <c r="O2693" s="2"/>
      <c r="P2693" s="2" t="s">
        <v>8603</v>
      </c>
      <c r="Q2693" s="6">
        <v>100</v>
      </c>
      <c r="R2693" s="6">
        <v>27</v>
      </c>
      <c r="S2693" s="5">
        <v>12.9</v>
      </c>
      <c r="T2693" s="7">
        <v>48.343000000000004</v>
      </c>
      <c r="U2693" s="5">
        <v>13.7</v>
      </c>
      <c r="V2693" s="7">
        <v>1.173</v>
      </c>
      <c r="W2693" s="7">
        <v>21.125</v>
      </c>
      <c r="X2693" s="7">
        <v>20.375</v>
      </c>
      <c r="Y2693" s="6">
        <v>23.25</v>
      </c>
      <c r="Z2693" s="7">
        <v>22.875</v>
      </c>
      <c r="AA2693" s="6">
        <v>11.27</v>
      </c>
      <c r="AB2693" s="7">
        <v>20.718</v>
      </c>
      <c r="AC2693" s="2"/>
    </row>
    <row r="2694" spans="1:29" ht="78" x14ac:dyDescent="0.15">
      <c r="A2694" s="3">
        <f>DATE(1996,9,30)</f>
        <v>35338</v>
      </c>
      <c r="B2694" s="3">
        <f>DATE(1997,2,28)</f>
        <v>35489</v>
      </c>
      <c r="C2694" s="2" t="s">
        <v>95</v>
      </c>
      <c r="D2694" s="2" t="s">
        <v>8604</v>
      </c>
      <c r="E2694" s="2" t="s">
        <v>36</v>
      </c>
      <c r="F2694" s="4">
        <v>6022</v>
      </c>
      <c r="G2694" s="2" t="s">
        <v>37</v>
      </c>
      <c r="H2694" s="2" t="s">
        <v>34</v>
      </c>
      <c r="I2694" s="2" t="s">
        <v>8605</v>
      </c>
      <c r="J2694" s="2" t="s">
        <v>36</v>
      </c>
      <c r="K2694" s="2" t="s">
        <v>37</v>
      </c>
      <c r="L2694" s="2" t="s">
        <v>34</v>
      </c>
      <c r="M2694" s="7">
        <v>319.59899999999999</v>
      </c>
      <c r="N2694" s="7">
        <v>30.125</v>
      </c>
      <c r="O2694" s="6">
        <v>30.25</v>
      </c>
      <c r="P2694" s="2" t="s">
        <v>8606</v>
      </c>
      <c r="Q2694" s="6">
        <v>100</v>
      </c>
      <c r="R2694" s="6">
        <v>18.84</v>
      </c>
      <c r="S2694" s="5">
        <v>1.4</v>
      </c>
      <c r="T2694" s="7">
        <v>4.6959999999999997</v>
      </c>
      <c r="U2694" s="5">
        <v>10.3</v>
      </c>
      <c r="V2694" s="6">
        <v>1.35</v>
      </c>
      <c r="W2694" s="4">
        <v>16</v>
      </c>
      <c r="X2694" s="4">
        <v>16</v>
      </c>
      <c r="Y2694" s="7">
        <v>15.875</v>
      </c>
      <c r="Z2694" s="7">
        <v>17.875</v>
      </c>
      <c r="AA2694" s="6">
        <v>1.6</v>
      </c>
      <c r="AB2694" s="2" t="s">
        <v>47</v>
      </c>
      <c r="AC2694" s="2"/>
    </row>
    <row r="2695" spans="1:29" ht="117" x14ac:dyDescent="0.15">
      <c r="A2695" s="3">
        <f>DATE(1996,9,30)</f>
        <v>35338</v>
      </c>
      <c r="B2695" s="2"/>
      <c r="C2695" s="2" t="s">
        <v>30</v>
      </c>
      <c r="D2695" s="2" t="s">
        <v>8607</v>
      </c>
      <c r="E2695" s="2" t="s">
        <v>6632</v>
      </c>
      <c r="F2695" s="4">
        <v>3672</v>
      </c>
      <c r="G2695" s="2" t="s">
        <v>137</v>
      </c>
      <c r="H2695" s="2" t="s">
        <v>34</v>
      </c>
      <c r="I2695" s="2" t="s">
        <v>8608</v>
      </c>
      <c r="J2695" s="2" t="s">
        <v>6632</v>
      </c>
      <c r="K2695" s="2" t="s">
        <v>137</v>
      </c>
      <c r="L2695" s="2" t="s">
        <v>34</v>
      </c>
      <c r="M2695" s="7">
        <v>89.688999999999993</v>
      </c>
      <c r="N2695" s="6">
        <v>11.75</v>
      </c>
      <c r="O2695" s="7">
        <v>11.688000000000001</v>
      </c>
      <c r="P2695" s="2" t="s">
        <v>8609</v>
      </c>
      <c r="Q2695" s="2"/>
      <c r="R2695" s="6">
        <v>8.4</v>
      </c>
      <c r="S2695" s="5">
        <v>-1.1000000000000001</v>
      </c>
      <c r="T2695" s="7">
        <v>10.099</v>
      </c>
      <c r="U2695" s="5">
        <v>3.2</v>
      </c>
      <c r="V2695" s="6">
        <v>-0.28000000000000003</v>
      </c>
      <c r="W2695" s="7">
        <v>6.875</v>
      </c>
      <c r="X2695" s="7">
        <v>7.0629999999999997</v>
      </c>
      <c r="Y2695" s="6">
        <v>7.25</v>
      </c>
      <c r="Z2695" s="6">
        <v>7.25</v>
      </c>
      <c r="AA2695" s="6">
        <v>3.91</v>
      </c>
      <c r="AB2695" s="7">
        <v>14.172000000000001</v>
      </c>
      <c r="AC2695" s="2"/>
    </row>
    <row r="2696" spans="1:29" ht="143" x14ac:dyDescent="0.15">
      <c r="A2696" s="3">
        <f>DATE(1996,10,1)</f>
        <v>35339</v>
      </c>
      <c r="B2696" s="3">
        <f>DATE(1997,4,25)</f>
        <v>35545</v>
      </c>
      <c r="C2696" s="2" t="s">
        <v>95</v>
      </c>
      <c r="D2696" s="2" t="s">
        <v>6577</v>
      </c>
      <c r="E2696" s="2" t="s">
        <v>6578</v>
      </c>
      <c r="F2696" s="4">
        <v>7231</v>
      </c>
      <c r="G2696" s="2" t="s">
        <v>1517</v>
      </c>
      <c r="H2696" s="2" t="s">
        <v>34</v>
      </c>
      <c r="I2696" s="2" t="s">
        <v>8610</v>
      </c>
      <c r="J2696" s="2" t="s">
        <v>8611</v>
      </c>
      <c r="K2696" s="2" t="s">
        <v>73</v>
      </c>
      <c r="L2696" s="2" t="s">
        <v>34</v>
      </c>
      <c r="M2696" s="2"/>
      <c r="N2696" s="2"/>
      <c r="O2696" s="2"/>
      <c r="P2696" s="2" t="s">
        <v>8612</v>
      </c>
      <c r="Q2696" s="6">
        <v>100</v>
      </c>
      <c r="R2696" s="6">
        <v>7.63</v>
      </c>
      <c r="S2696" s="5">
        <v>-1</v>
      </c>
      <c r="T2696" s="7">
        <v>0.90600000000000003</v>
      </c>
      <c r="U2696" s="5">
        <v>15.3</v>
      </c>
      <c r="V2696" s="7">
        <v>-0.23400000000000001</v>
      </c>
      <c r="W2696" s="6">
        <v>5.25</v>
      </c>
      <c r="X2696" s="5">
        <v>6.5</v>
      </c>
      <c r="Y2696" s="5">
        <v>6.5</v>
      </c>
      <c r="Z2696" s="6">
        <v>6.25</v>
      </c>
      <c r="AA2696" s="6">
        <v>4.3</v>
      </c>
      <c r="AB2696" s="2" t="s">
        <v>86</v>
      </c>
      <c r="AC2696" s="2"/>
    </row>
    <row r="2697" spans="1:29" ht="169" x14ac:dyDescent="0.15">
      <c r="A2697" s="3">
        <f>DATE(1996,10,1)</f>
        <v>35339</v>
      </c>
      <c r="B2697" s="3">
        <f>DATE(1997,4,1)</f>
        <v>35521</v>
      </c>
      <c r="C2697" s="2" t="s">
        <v>95</v>
      </c>
      <c r="D2697" s="2" t="s">
        <v>5655</v>
      </c>
      <c r="E2697" s="2" t="s">
        <v>5656</v>
      </c>
      <c r="F2697" s="4">
        <v>6324</v>
      </c>
      <c r="G2697" s="2" t="s">
        <v>125</v>
      </c>
      <c r="H2697" s="2" t="s">
        <v>34</v>
      </c>
      <c r="I2697" s="2" t="s">
        <v>2240</v>
      </c>
      <c r="J2697" s="2" t="s">
        <v>2241</v>
      </c>
      <c r="K2697" s="2" t="s">
        <v>125</v>
      </c>
      <c r="L2697" s="2" t="s">
        <v>34</v>
      </c>
      <c r="M2697" s="12">
        <v>1746.6849999999999</v>
      </c>
      <c r="N2697" s="4">
        <v>34</v>
      </c>
      <c r="O2697" s="4">
        <v>36</v>
      </c>
      <c r="P2697" s="2" t="s">
        <v>8613</v>
      </c>
      <c r="Q2697" s="6">
        <v>100</v>
      </c>
      <c r="R2697" s="6">
        <v>26.05</v>
      </c>
      <c r="S2697" s="5">
        <v>89.6</v>
      </c>
      <c r="T2697" s="7">
        <v>211.452</v>
      </c>
      <c r="U2697" s="5">
        <v>5.9</v>
      </c>
      <c r="V2697" s="6">
        <v>1.83</v>
      </c>
      <c r="W2697" s="7">
        <v>26.625</v>
      </c>
      <c r="X2697" s="4">
        <v>26</v>
      </c>
      <c r="Y2697" s="7">
        <v>26.875</v>
      </c>
      <c r="Z2697" s="7">
        <v>26.875</v>
      </c>
      <c r="AA2697" s="6">
        <v>48.33</v>
      </c>
      <c r="AB2697" s="7">
        <v>6.3780000000000001</v>
      </c>
      <c r="AC2697" s="2"/>
    </row>
    <row r="2698" spans="1:29" ht="130" x14ac:dyDescent="0.15">
      <c r="A2698" s="3">
        <f>DATE(1996,10,1)</f>
        <v>35339</v>
      </c>
      <c r="B2698" s="3">
        <f>DATE(1996,12,31)</f>
        <v>35430</v>
      </c>
      <c r="C2698" s="2" t="s">
        <v>95</v>
      </c>
      <c r="D2698" s="2" t="s">
        <v>8614</v>
      </c>
      <c r="E2698" s="2" t="s">
        <v>92</v>
      </c>
      <c r="F2698" s="4">
        <v>6798</v>
      </c>
      <c r="G2698" s="2" t="s">
        <v>53</v>
      </c>
      <c r="H2698" s="2" t="s">
        <v>34</v>
      </c>
      <c r="I2698" s="2" t="s">
        <v>8615</v>
      </c>
      <c r="J2698" s="2" t="s">
        <v>92</v>
      </c>
      <c r="K2698" s="2" t="s">
        <v>53</v>
      </c>
      <c r="L2698" s="2" t="s">
        <v>34</v>
      </c>
      <c r="M2698" s="7">
        <v>780.37599999999998</v>
      </c>
      <c r="N2698" s="7">
        <v>14.125</v>
      </c>
      <c r="O2698" s="7">
        <v>14.125</v>
      </c>
      <c r="P2698" s="2" t="s">
        <v>8616</v>
      </c>
      <c r="Q2698" s="6">
        <v>100</v>
      </c>
      <c r="R2698" s="6">
        <v>15.17</v>
      </c>
      <c r="S2698" s="5">
        <v>15.6</v>
      </c>
      <c r="T2698" s="2"/>
      <c r="U2698" s="5">
        <v>8.8000000000000007</v>
      </c>
      <c r="V2698" s="7">
        <v>0.75600000000000001</v>
      </c>
      <c r="W2698" s="7">
        <v>13.875</v>
      </c>
      <c r="X2698" s="7">
        <v>13.875</v>
      </c>
      <c r="Y2698" s="7">
        <v>13.875</v>
      </c>
      <c r="Z2698" s="6">
        <v>14.75</v>
      </c>
      <c r="AA2698" s="6">
        <v>20.51</v>
      </c>
      <c r="AB2698" s="7">
        <v>21.981999999999999</v>
      </c>
      <c r="AC2698" s="6">
        <v>2.9</v>
      </c>
    </row>
    <row r="2699" spans="1:29" ht="130" x14ac:dyDescent="0.15">
      <c r="A2699" s="3">
        <f>DATE(1996,10,2)</f>
        <v>35340</v>
      </c>
      <c r="B2699" s="3">
        <f>DATE(1997,2,3)</f>
        <v>35464</v>
      </c>
      <c r="C2699" s="2" t="s">
        <v>95</v>
      </c>
      <c r="D2699" s="2" t="s">
        <v>8617</v>
      </c>
      <c r="E2699" s="2" t="s">
        <v>8618</v>
      </c>
      <c r="F2699" s="4">
        <v>5641</v>
      </c>
      <c r="G2699" s="2" t="s">
        <v>756</v>
      </c>
      <c r="H2699" s="2" t="s">
        <v>34</v>
      </c>
      <c r="I2699" s="2" t="s">
        <v>8619</v>
      </c>
      <c r="J2699" s="2" t="s">
        <v>8620</v>
      </c>
      <c r="K2699" s="2" t="s">
        <v>73</v>
      </c>
      <c r="L2699" s="2" t="s">
        <v>34</v>
      </c>
      <c r="M2699" s="10">
        <v>8073.43</v>
      </c>
      <c r="N2699" s="5">
        <v>31.5</v>
      </c>
      <c r="O2699" s="7">
        <v>30.875</v>
      </c>
      <c r="P2699" s="2" t="s">
        <v>8621</v>
      </c>
      <c r="Q2699" s="6">
        <v>100</v>
      </c>
      <c r="R2699" s="6">
        <v>23.45</v>
      </c>
      <c r="S2699" s="5">
        <v>11.7</v>
      </c>
      <c r="T2699" s="7">
        <v>23.173999999999999</v>
      </c>
      <c r="U2699" s="5">
        <v>5.0999999999999996</v>
      </c>
      <c r="V2699" s="7">
        <v>0.59599999999999997</v>
      </c>
      <c r="W2699" s="6">
        <v>19.25</v>
      </c>
      <c r="X2699" s="7">
        <v>19.875</v>
      </c>
      <c r="Y2699" s="7">
        <v>24.875</v>
      </c>
      <c r="Z2699" s="7">
        <v>24.375</v>
      </c>
      <c r="AA2699" s="6">
        <v>19.23</v>
      </c>
      <c r="AB2699" s="7">
        <v>28.062000000000001</v>
      </c>
      <c r="AC2699" s="5">
        <v>202.7</v>
      </c>
    </row>
    <row r="2700" spans="1:29" ht="117" x14ac:dyDescent="0.15">
      <c r="A2700" s="3">
        <f>DATE(1996,10,2)</f>
        <v>35340</v>
      </c>
      <c r="B2700" s="3">
        <f>DATE(1996,12,27)</f>
        <v>35426</v>
      </c>
      <c r="C2700" s="2" t="s">
        <v>95</v>
      </c>
      <c r="D2700" s="2" t="s">
        <v>8622</v>
      </c>
      <c r="E2700" s="2" t="s">
        <v>781</v>
      </c>
      <c r="F2700" s="4">
        <v>7372</v>
      </c>
      <c r="G2700" s="2" t="s">
        <v>551</v>
      </c>
      <c r="H2700" s="2" t="s">
        <v>34</v>
      </c>
      <c r="I2700" s="2" t="s">
        <v>8623</v>
      </c>
      <c r="J2700" s="2" t="s">
        <v>8624</v>
      </c>
      <c r="K2700" s="2" t="s">
        <v>551</v>
      </c>
      <c r="L2700" s="2" t="s">
        <v>34</v>
      </c>
      <c r="M2700" s="2"/>
      <c r="N2700" s="7">
        <v>7.625</v>
      </c>
      <c r="O2700" s="5">
        <v>7.5</v>
      </c>
      <c r="P2700" s="2" t="s">
        <v>8625</v>
      </c>
      <c r="Q2700" s="6">
        <v>100</v>
      </c>
      <c r="R2700" s="6">
        <v>2.0099999999999998</v>
      </c>
      <c r="S2700" s="5">
        <v>-16.5</v>
      </c>
      <c r="T2700" s="7">
        <v>-13.346</v>
      </c>
      <c r="U2700" s="5">
        <v>1.1000000000000001</v>
      </c>
      <c r="V2700" s="6">
        <v>-1.32</v>
      </c>
      <c r="W2700" s="7">
        <v>1.8129999999999999</v>
      </c>
      <c r="X2700" s="6">
        <v>1.75</v>
      </c>
      <c r="Y2700" s="7">
        <v>1.625</v>
      </c>
      <c r="Z2700" s="7">
        <v>1.5629999999999999</v>
      </c>
      <c r="AA2700" s="6">
        <v>12.55</v>
      </c>
      <c r="AB2700" s="2" t="s">
        <v>86</v>
      </c>
      <c r="AC2700" s="2"/>
    </row>
    <row r="2701" spans="1:29" ht="117" x14ac:dyDescent="0.15">
      <c r="A2701" s="3">
        <f>DATE(1996,10,2)</f>
        <v>35340</v>
      </c>
      <c r="B2701" s="3">
        <f>DATE(1997,2,7)</f>
        <v>35468</v>
      </c>
      <c r="C2701" s="2" t="s">
        <v>95</v>
      </c>
      <c r="D2701" s="2" t="s">
        <v>8626</v>
      </c>
      <c r="E2701" s="2" t="s">
        <v>7926</v>
      </c>
      <c r="F2701" s="4">
        <v>3669</v>
      </c>
      <c r="G2701" s="2" t="s">
        <v>921</v>
      </c>
      <c r="H2701" s="2" t="s">
        <v>34</v>
      </c>
      <c r="I2701" s="2" t="s">
        <v>5128</v>
      </c>
      <c r="J2701" s="2" t="s">
        <v>5129</v>
      </c>
      <c r="K2701" s="2" t="s">
        <v>921</v>
      </c>
      <c r="L2701" s="2" t="s">
        <v>34</v>
      </c>
      <c r="M2701" s="5">
        <v>334.9</v>
      </c>
      <c r="N2701" s="7">
        <v>16.625</v>
      </c>
      <c r="O2701" s="5">
        <v>16.5</v>
      </c>
      <c r="P2701" s="2" t="s">
        <v>8627</v>
      </c>
      <c r="Q2701" s="6">
        <v>100</v>
      </c>
      <c r="R2701" s="6">
        <v>15.13</v>
      </c>
      <c r="S2701" s="5">
        <v>16.7</v>
      </c>
      <c r="T2701" s="6">
        <v>22.37</v>
      </c>
      <c r="U2701" s="5">
        <v>3.9</v>
      </c>
      <c r="V2701" s="7">
        <v>1.042</v>
      </c>
      <c r="W2701" s="6">
        <v>12.75</v>
      </c>
      <c r="X2701" s="6">
        <v>13.75</v>
      </c>
      <c r="Y2701" s="7">
        <v>15.875</v>
      </c>
      <c r="Z2701" s="4">
        <v>16</v>
      </c>
      <c r="AA2701" s="6">
        <v>16.170000000000002</v>
      </c>
      <c r="AB2701" s="7">
        <v>10.281000000000001</v>
      </c>
      <c r="AC2701" s="6">
        <v>0.98</v>
      </c>
    </row>
    <row r="2702" spans="1:29" ht="130" x14ac:dyDescent="0.15">
      <c r="A2702" s="3">
        <f>DATE(1996,10,3)</f>
        <v>35341</v>
      </c>
      <c r="B2702" s="3">
        <f>DATE(1997,2,13)</f>
        <v>35474</v>
      </c>
      <c r="C2702" s="2" t="s">
        <v>95</v>
      </c>
      <c r="D2702" s="2" t="s">
        <v>8628</v>
      </c>
      <c r="E2702" s="2" t="s">
        <v>3967</v>
      </c>
      <c r="F2702" s="4">
        <v>8351</v>
      </c>
      <c r="G2702" s="2" t="s">
        <v>690</v>
      </c>
      <c r="H2702" s="2" t="s">
        <v>34</v>
      </c>
      <c r="I2702" s="2" t="s">
        <v>1626</v>
      </c>
      <c r="J2702" s="2" t="s">
        <v>244</v>
      </c>
      <c r="K2702" s="2" t="s">
        <v>53</v>
      </c>
      <c r="L2702" s="2" t="s">
        <v>34</v>
      </c>
      <c r="M2702" s="2"/>
      <c r="N2702" s="2"/>
      <c r="O2702" s="2"/>
      <c r="P2702" s="2" t="s">
        <v>8629</v>
      </c>
      <c r="Q2702" s="6">
        <v>93</v>
      </c>
      <c r="R2702" s="6">
        <v>19</v>
      </c>
      <c r="S2702" s="5">
        <v>21.7</v>
      </c>
      <c r="T2702" s="7">
        <v>87.213999999999999</v>
      </c>
      <c r="U2702" s="5">
        <v>13.3</v>
      </c>
      <c r="V2702" s="7">
        <v>1.0980000000000001</v>
      </c>
      <c r="W2702" s="4">
        <v>16</v>
      </c>
      <c r="X2702" s="7">
        <v>16.125</v>
      </c>
      <c r="Y2702" s="6">
        <v>16.25</v>
      </c>
      <c r="Z2702" s="6">
        <v>19.75</v>
      </c>
      <c r="AA2702" s="6">
        <v>24.96</v>
      </c>
      <c r="AB2702" s="7">
        <v>9.8629999999999995</v>
      </c>
      <c r="AC2702" s="2"/>
    </row>
    <row r="2703" spans="1:29" ht="143" x14ac:dyDescent="0.15">
      <c r="A2703" s="3">
        <f>DATE(1996,10,3)</f>
        <v>35341</v>
      </c>
      <c r="B2703" s="3">
        <f>DATE(1996,12,31)</f>
        <v>35430</v>
      </c>
      <c r="C2703" s="2" t="s">
        <v>95</v>
      </c>
      <c r="D2703" s="2" t="s">
        <v>8630</v>
      </c>
      <c r="E2703" s="2" t="s">
        <v>8631</v>
      </c>
      <c r="F2703" s="4">
        <v>3571</v>
      </c>
      <c r="G2703" s="2" t="s">
        <v>50</v>
      </c>
      <c r="H2703" s="2" t="s">
        <v>34</v>
      </c>
      <c r="I2703" s="2" t="s">
        <v>8632</v>
      </c>
      <c r="J2703" s="2" t="s">
        <v>2208</v>
      </c>
      <c r="K2703" s="2" t="s">
        <v>137</v>
      </c>
      <c r="L2703" s="2" t="s">
        <v>34</v>
      </c>
      <c r="M2703" s="7">
        <v>96.341999999999999</v>
      </c>
      <c r="N2703" s="6">
        <v>17.25</v>
      </c>
      <c r="O2703" s="4">
        <v>17</v>
      </c>
      <c r="P2703" s="2" t="s">
        <v>8633</v>
      </c>
      <c r="Q2703" s="6">
        <v>22.18</v>
      </c>
      <c r="R2703" s="6">
        <v>13.13</v>
      </c>
      <c r="S2703" s="5">
        <v>0.3</v>
      </c>
      <c r="T2703" s="7">
        <v>3.7749999999999999</v>
      </c>
      <c r="U2703" s="5">
        <v>5.9</v>
      </c>
      <c r="V2703" s="7">
        <v>6.8000000000000005E-2</v>
      </c>
      <c r="W2703" s="5">
        <v>11.5</v>
      </c>
      <c r="X2703" s="6">
        <v>10.75</v>
      </c>
      <c r="Y2703" s="7">
        <v>10.625</v>
      </c>
      <c r="Z2703" s="6">
        <v>11.75</v>
      </c>
      <c r="AA2703" s="6">
        <v>5.57</v>
      </c>
      <c r="AB2703" s="7">
        <v>80.430999999999997</v>
      </c>
      <c r="AC2703" s="2"/>
    </row>
    <row r="2704" spans="1:29" ht="130" x14ac:dyDescent="0.15">
      <c r="A2704" s="3">
        <f>DATE(1996,10,3)</f>
        <v>35341</v>
      </c>
      <c r="B2704" s="3">
        <f>DATE(1997,11,12)</f>
        <v>35746</v>
      </c>
      <c r="C2704" s="2" t="s">
        <v>95</v>
      </c>
      <c r="D2704" s="2" t="s">
        <v>4397</v>
      </c>
      <c r="E2704" s="2" t="s">
        <v>4398</v>
      </c>
      <c r="F2704" s="4">
        <v>4812</v>
      </c>
      <c r="G2704" s="2" t="s">
        <v>63</v>
      </c>
      <c r="H2704" s="2" t="s">
        <v>34</v>
      </c>
      <c r="I2704" s="2" t="s">
        <v>5092</v>
      </c>
      <c r="J2704" s="2" t="s">
        <v>2814</v>
      </c>
      <c r="K2704" s="2" t="s">
        <v>63</v>
      </c>
      <c r="L2704" s="2" t="s">
        <v>34</v>
      </c>
      <c r="M2704" s="12">
        <v>3437.491</v>
      </c>
      <c r="N2704" s="6">
        <v>17.75</v>
      </c>
      <c r="O2704" s="5">
        <v>18.5</v>
      </c>
      <c r="P2704" s="2" t="s">
        <v>8634</v>
      </c>
      <c r="Q2704" s="6">
        <v>100</v>
      </c>
      <c r="R2704" s="2"/>
      <c r="S2704" s="5">
        <v>-7.9</v>
      </c>
      <c r="T2704" s="7">
        <v>-0.83099999999999996</v>
      </c>
      <c r="U2704" s="5">
        <v>5.9</v>
      </c>
      <c r="V2704" s="7">
        <v>-0.39600000000000002</v>
      </c>
      <c r="W2704" s="4">
        <v>5</v>
      </c>
      <c r="X2704" s="6">
        <v>5.25</v>
      </c>
      <c r="Y2704" s="4">
        <v>5</v>
      </c>
      <c r="Z2704" s="7">
        <v>5.0309999999999997</v>
      </c>
      <c r="AA2704" s="6">
        <v>27.9</v>
      </c>
      <c r="AB2704" s="2" t="s">
        <v>86</v>
      </c>
      <c r="AC2704" s="6">
        <v>409.27</v>
      </c>
    </row>
    <row r="2705" spans="1:29" ht="143" x14ac:dyDescent="0.15">
      <c r="A2705" s="3">
        <f>DATE(1996,10,4)</f>
        <v>35342</v>
      </c>
      <c r="B2705" s="3">
        <f>DATE(1996,12,31)</f>
        <v>35430</v>
      </c>
      <c r="C2705" s="2" t="s">
        <v>95</v>
      </c>
      <c r="D2705" s="2" t="s">
        <v>8635</v>
      </c>
      <c r="E2705" s="2" t="s">
        <v>8636</v>
      </c>
      <c r="F2705" s="4">
        <v>5999</v>
      </c>
      <c r="G2705" s="2" t="s">
        <v>73</v>
      </c>
      <c r="H2705" s="2" t="s">
        <v>34</v>
      </c>
      <c r="I2705" s="2" t="s">
        <v>8637</v>
      </c>
      <c r="J2705" s="2" t="s">
        <v>8638</v>
      </c>
      <c r="K2705" s="2" t="s">
        <v>73</v>
      </c>
      <c r="L2705" s="2" t="s">
        <v>34</v>
      </c>
      <c r="M2705" s="7">
        <v>419.72500000000002</v>
      </c>
      <c r="N2705" s="6">
        <v>27.25</v>
      </c>
      <c r="O2705" s="6">
        <v>26.25</v>
      </c>
      <c r="P2705" s="2" t="s">
        <v>8639</v>
      </c>
      <c r="Q2705" s="6">
        <v>100</v>
      </c>
      <c r="R2705" s="6">
        <v>6.3</v>
      </c>
      <c r="S2705" s="5">
        <v>-2.7</v>
      </c>
      <c r="T2705" s="6">
        <v>1.83</v>
      </c>
      <c r="U2705" s="5">
        <v>1.8</v>
      </c>
      <c r="V2705" s="7">
        <v>-0.28799999999999998</v>
      </c>
      <c r="W2705" s="4">
        <v>5</v>
      </c>
      <c r="X2705" s="7">
        <v>5.125</v>
      </c>
      <c r="Y2705" s="7">
        <v>5.125</v>
      </c>
      <c r="Z2705" s="7">
        <v>5.375</v>
      </c>
      <c r="AA2705" s="6">
        <v>9.3800000000000008</v>
      </c>
      <c r="AB2705" s="7">
        <v>101.79300000000001</v>
      </c>
      <c r="AC2705" s="6">
        <v>9.4600000000000009</v>
      </c>
    </row>
    <row r="2706" spans="1:29" ht="130" x14ac:dyDescent="0.15">
      <c r="A2706" s="3">
        <f>DATE(1996,10,7)</f>
        <v>35345</v>
      </c>
      <c r="B2706" s="3">
        <f>DATE(1996,12,11)</f>
        <v>35410</v>
      </c>
      <c r="C2706" s="2" t="s">
        <v>95</v>
      </c>
      <c r="D2706" s="2" t="s">
        <v>8640</v>
      </c>
      <c r="E2706" s="2" t="s">
        <v>8641</v>
      </c>
      <c r="F2706" s="4">
        <v>3679</v>
      </c>
      <c r="G2706" s="2" t="s">
        <v>137</v>
      </c>
      <c r="H2706" s="2" t="s">
        <v>34</v>
      </c>
      <c r="I2706" s="2" t="s">
        <v>8642</v>
      </c>
      <c r="J2706" s="2" t="s">
        <v>8643</v>
      </c>
      <c r="K2706" s="2" t="s">
        <v>137</v>
      </c>
      <c r="L2706" s="2" t="s">
        <v>34</v>
      </c>
      <c r="M2706" s="10">
        <v>1525.16</v>
      </c>
      <c r="N2706" s="7">
        <v>37.875</v>
      </c>
      <c r="O2706" s="7">
        <v>38.875</v>
      </c>
      <c r="P2706" s="2" t="s">
        <v>8644</v>
      </c>
      <c r="Q2706" s="6">
        <v>100</v>
      </c>
      <c r="R2706" s="6">
        <v>27.73</v>
      </c>
      <c r="S2706" s="5">
        <v>15.6</v>
      </c>
      <c r="T2706" s="7">
        <v>43.564999999999998</v>
      </c>
      <c r="U2706" s="5">
        <v>10.6</v>
      </c>
      <c r="V2706" s="6">
        <v>0.83</v>
      </c>
      <c r="W2706" s="6">
        <v>21.25</v>
      </c>
      <c r="X2706" s="7">
        <v>20.875</v>
      </c>
      <c r="Y2706" s="6">
        <v>25.25</v>
      </c>
      <c r="Z2706" s="5">
        <v>25.5</v>
      </c>
      <c r="AA2706" s="6">
        <v>19.97</v>
      </c>
      <c r="AB2706" s="7">
        <v>21.027000000000001</v>
      </c>
      <c r="AC2706" s="6">
        <v>105.05</v>
      </c>
    </row>
    <row r="2707" spans="1:29" ht="78" x14ac:dyDescent="0.15">
      <c r="A2707" s="3">
        <f>DATE(1996,10,7)</f>
        <v>35345</v>
      </c>
      <c r="B2707" s="3">
        <f>DATE(1996,12,2)</f>
        <v>35401</v>
      </c>
      <c r="C2707" s="2" t="s">
        <v>95</v>
      </c>
      <c r="D2707" s="2" t="s">
        <v>7758</v>
      </c>
      <c r="E2707" s="2" t="s">
        <v>1550</v>
      </c>
      <c r="F2707" s="4">
        <v>7372</v>
      </c>
      <c r="G2707" s="2" t="s">
        <v>551</v>
      </c>
      <c r="H2707" s="2" t="s">
        <v>34</v>
      </c>
      <c r="I2707" s="2" t="s">
        <v>2244</v>
      </c>
      <c r="J2707" s="2" t="s">
        <v>2245</v>
      </c>
      <c r="K2707" s="2" t="s">
        <v>551</v>
      </c>
      <c r="L2707" s="2" t="s">
        <v>34</v>
      </c>
      <c r="M2707" s="12">
        <v>13381.203</v>
      </c>
      <c r="N2707" s="5">
        <v>64.5</v>
      </c>
      <c r="O2707" s="7">
        <v>62.625</v>
      </c>
      <c r="P2707" s="2" t="s">
        <v>8645</v>
      </c>
      <c r="Q2707" s="6">
        <v>100</v>
      </c>
      <c r="R2707" s="6">
        <v>30.5</v>
      </c>
      <c r="S2707" s="5">
        <v>21.5</v>
      </c>
      <c r="T2707" s="7">
        <v>65.093999999999994</v>
      </c>
      <c r="U2707" s="5">
        <v>3.9</v>
      </c>
      <c r="V2707" s="7">
        <v>0.55100000000000005</v>
      </c>
      <c r="W2707" s="7">
        <v>22.625</v>
      </c>
      <c r="X2707" s="4">
        <v>23</v>
      </c>
      <c r="Y2707" s="7">
        <v>14.875</v>
      </c>
      <c r="Z2707" s="6">
        <v>15.75</v>
      </c>
      <c r="AA2707" s="6">
        <v>38.520000000000003</v>
      </c>
      <c r="AB2707" s="7">
        <v>22.134</v>
      </c>
      <c r="AC2707" s="2"/>
    </row>
    <row r="2708" spans="1:29" ht="104" x14ac:dyDescent="0.15">
      <c r="A2708" s="3">
        <f>DATE(1996,10,8)</f>
        <v>35346</v>
      </c>
      <c r="B2708" s="2"/>
      <c r="C2708" s="2" t="s">
        <v>30</v>
      </c>
      <c r="D2708" s="2" t="s">
        <v>4738</v>
      </c>
      <c r="E2708" s="2" t="s">
        <v>4739</v>
      </c>
      <c r="F2708" s="4">
        <v>7948</v>
      </c>
      <c r="G2708" s="2" t="s">
        <v>364</v>
      </c>
      <c r="H2708" s="2" t="s">
        <v>34</v>
      </c>
      <c r="I2708" s="2" t="s">
        <v>8646</v>
      </c>
      <c r="J2708" s="2" t="s">
        <v>3941</v>
      </c>
      <c r="K2708" s="2" t="s">
        <v>53</v>
      </c>
      <c r="L2708" s="2" t="s">
        <v>34</v>
      </c>
      <c r="M2708" s="2"/>
      <c r="N2708" s="2"/>
      <c r="O2708" s="2"/>
      <c r="P2708" s="2" t="s">
        <v>8647</v>
      </c>
      <c r="Q2708" s="2"/>
      <c r="R2708" s="2"/>
      <c r="S2708" s="5">
        <v>4.2</v>
      </c>
      <c r="T2708" s="7">
        <v>5.7409999999999997</v>
      </c>
      <c r="U2708" s="5">
        <v>2.1</v>
      </c>
      <c r="V2708" s="9">
        <v>0.37880000000000003</v>
      </c>
      <c r="W2708" s="5">
        <v>17.5</v>
      </c>
      <c r="X2708" s="7">
        <v>17.625</v>
      </c>
      <c r="Y2708" s="7">
        <v>17.875</v>
      </c>
      <c r="Z2708" s="5">
        <v>17.5</v>
      </c>
      <c r="AA2708" s="6">
        <v>5.9</v>
      </c>
      <c r="AB2708" s="2" t="s">
        <v>47</v>
      </c>
      <c r="AC2708" s="2"/>
    </row>
    <row r="2709" spans="1:29" ht="143" x14ac:dyDescent="0.15">
      <c r="A2709" s="3">
        <f>DATE(1996,10,8)</f>
        <v>35346</v>
      </c>
      <c r="B2709" s="3">
        <f>DATE(1997,1,31)</f>
        <v>35461</v>
      </c>
      <c r="C2709" s="2" t="s">
        <v>95</v>
      </c>
      <c r="D2709" s="2" t="s">
        <v>930</v>
      </c>
      <c r="E2709" s="2" t="s">
        <v>36</v>
      </c>
      <c r="F2709" s="4">
        <v>6036</v>
      </c>
      <c r="G2709" s="2" t="s">
        <v>33</v>
      </c>
      <c r="H2709" s="2" t="s">
        <v>34</v>
      </c>
      <c r="I2709" s="2" t="s">
        <v>6399</v>
      </c>
      <c r="J2709" s="2" t="s">
        <v>263</v>
      </c>
      <c r="K2709" s="2" t="s">
        <v>33</v>
      </c>
      <c r="L2709" s="2" t="s">
        <v>34</v>
      </c>
      <c r="M2709" s="7">
        <v>261.947</v>
      </c>
      <c r="N2709" s="6">
        <v>34.75</v>
      </c>
      <c r="O2709" s="5">
        <v>35.5</v>
      </c>
      <c r="P2709" s="2" t="s">
        <v>8648</v>
      </c>
      <c r="Q2709" s="6">
        <v>100</v>
      </c>
      <c r="R2709" s="6">
        <v>40.24</v>
      </c>
      <c r="S2709" s="5">
        <v>9.3000000000000007</v>
      </c>
      <c r="T2709" s="7">
        <v>15.146000000000001</v>
      </c>
      <c r="U2709" s="5">
        <v>28.5</v>
      </c>
      <c r="V2709" s="7">
        <v>2.9390000000000001</v>
      </c>
      <c r="W2709" s="4">
        <v>38</v>
      </c>
      <c r="X2709" s="7">
        <v>38.375</v>
      </c>
      <c r="Y2709" s="7">
        <v>40.625</v>
      </c>
      <c r="Z2709" s="7">
        <v>41.063000000000002</v>
      </c>
      <c r="AA2709" s="6">
        <v>3.19</v>
      </c>
      <c r="AB2709" s="7">
        <v>75.569999999999993</v>
      </c>
      <c r="AC2709" s="2"/>
    </row>
    <row r="2710" spans="1:29" ht="65" x14ac:dyDescent="0.15">
      <c r="A2710" s="3">
        <f>DATE(1996,10,8)</f>
        <v>35346</v>
      </c>
      <c r="B2710" s="2"/>
      <c r="C2710" s="2" t="s">
        <v>30</v>
      </c>
      <c r="D2710" s="2" t="s">
        <v>8649</v>
      </c>
      <c r="E2710" s="2" t="s">
        <v>8650</v>
      </c>
      <c r="F2710" s="4">
        <v>3911</v>
      </c>
      <c r="G2710" s="2" t="s">
        <v>112</v>
      </c>
      <c r="H2710" s="2" t="s">
        <v>34</v>
      </c>
      <c r="I2710" s="2" t="s">
        <v>1931</v>
      </c>
      <c r="J2710" s="2" t="s">
        <v>1932</v>
      </c>
      <c r="K2710" s="2" t="s">
        <v>112</v>
      </c>
      <c r="L2710" s="2" t="s">
        <v>34</v>
      </c>
      <c r="M2710" s="7">
        <v>25.792999999999999</v>
      </c>
      <c r="N2710" s="7">
        <v>3.4380000000000002</v>
      </c>
      <c r="O2710" s="7">
        <v>3.375</v>
      </c>
      <c r="P2710" s="2" t="s">
        <v>8651</v>
      </c>
      <c r="Q2710" s="2"/>
      <c r="R2710" s="6">
        <v>7.5</v>
      </c>
      <c r="S2710" s="5">
        <v>0.3</v>
      </c>
      <c r="T2710" s="7">
        <v>6.7969999999999997</v>
      </c>
      <c r="U2710" s="5">
        <v>9.1999999999999993</v>
      </c>
      <c r="V2710" s="6">
        <v>0.06</v>
      </c>
      <c r="W2710" s="6">
        <v>6.25</v>
      </c>
      <c r="X2710" s="7">
        <v>5.875</v>
      </c>
      <c r="Y2710" s="5">
        <v>6.5</v>
      </c>
      <c r="Z2710" s="7">
        <v>6.125</v>
      </c>
      <c r="AA2710" s="6">
        <v>6.25</v>
      </c>
      <c r="AB2710" s="7">
        <v>9.1809999999999992</v>
      </c>
      <c r="AC2710" s="6">
        <v>6.67</v>
      </c>
    </row>
    <row r="2711" spans="1:29" ht="117" x14ac:dyDescent="0.15">
      <c r="A2711" s="3">
        <f>DATE(1996,10,8)</f>
        <v>35346</v>
      </c>
      <c r="B2711" s="3">
        <f>DATE(1996,11,22)</f>
        <v>35391</v>
      </c>
      <c r="C2711" s="2" t="s">
        <v>95</v>
      </c>
      <c r="D2711" s="2" t="s">
        <v>8652</v>
      </c>
      <c r="E2711" s="2" t="s">
        <v>8653</v>
      </c>
      <c r="F2711" s="4">
        <v>5141</v>
      </c>
      <c r="G2711" s="2" t="s">
        <v>593</v>
      </c>
      <c r="H2711" s="2" t="s">
        <v>34</v>
      </c>
      <c r="I2711" s="2" t="s">
        <v>8654</v>
      </c>
      <c r="J2711" s="2" t="s">
        <v>8655</v>
      </c>
      <c r="K2711" s="2" t="s">
        <v>593</v>
      </c>
      <c r="L2711" s="2" t="s">
        <v>34</v>
      </c>
      <c r="M2711" s="7">
        <v>177.46600000000001</v>
      </c>
      <c r="N2711" s="6">
        <v>16.75</v>
      </c>
      <c r="O2711" s="4">
        <v>17</v>
      </c>
      <c r="P2711" s="2" t="s">
        <v>8656</v>
      </c>
      <c r="Q2711" s="6">
        <v>100</v>
      </c>
      <c r="R2711" s="6">
        <v>15.5</v>
      </c>
      <c r="S2711" s="5">
        <v>9.1</v>
      </c>
      <c r="T2711" s="7">
        <v>25.677</v>
      </c>
      <c r="U2711" s="5">
        <v>12.6</v>
      </c>
      <c r="V2711" s="6">
        <v>0.83</v>
      </c>
      <c r="W2711" s="7">
        <v>11.375</v>
      </c>
      <c r="X2711" s="6">
        <v>11.25</v>
      </c>
      <c r="Y2711" s="7">
        <v>15.313000000000001</v>
      </c>
      <c r="Z2711" s="7">
        <v>15.625</v>
      </c>
      <c r="AA2711" s="6">
        <v>11.01</v>
      </c>
      <c r="AB2711" s="7">
        <v>12.526999999999999</v>
      </c>
      <c r="AC2711" s="6">
        <v>26.02</v>
      </c>
    </row>
    <row r="2712" spans="1:29" ht="39" x14ac:dyDescent="0.15">
      <c r="A2712" s="3">
        <f>DATE(1996,10,9)</f>
        <v>35347</v>
      </c>
      <c r="B2712" s="3">
        <f>DATE(1997,9,30)</f>
        <v>35703</v>
      </c>
      <c r="C2712" s="2" t="s">
        <v>95</v>
      </c>
      <c r="D2712" s="2" t="s">
        <v>8657</v>
      </c>
      <c r="E2712" s="2" t="s">
        <v>8658</v>
      </c>
      <c r="F2712" s="4">
        <v>3444</v>
      </c>
      <c r="G2712" s="2" t="s">
        <v>163</v>
      </c>
      <c r="H2712" s="2" t="s">
        <v>34</v>
      </c>
      <c r="I2712" s="2" t="s">
        <v>51</v>
      </c>
      <c r="J2712" s="2" t="s">
        <v>52</v>
      </c>
      <c r="K2712" s="2" t="s">
        <v>53</v>
      </c>
      <c r="L2712" s="2" t="s">
        <v>34</v>
      </c>
      <c r="M2712" s="2"/>
      <c r="N2712" s="2"/>
      <c r="O2712" s="2"/>
      <c r="P2712" s="2" t="s">
        <v>8659</v>
      </c>
      <c r="Q2712" s="6">
        <v>21.62</v>
      </c>
      <c r="R2712" s="2"/>
      <c r="S2712" s="5">
        <v>12.3</v>
      </c>
      <c r="T2712" s="7">
        <v>21.818999999999999</v>
      </c>
      <c r="U2712" s="5">
        <v>-1.9</v>
      </c>
      <c r="V2712" s="6">
        <v>0.77</v>
      </c>
      <c r="W2712" s="4">
        <v>8</v>
      </c>
      <c r="X2712" s="7">
        <v>8.125</v>
      </c>
      <c r="Y2712" s="4">
        <v>8</v>
      </c>
      <c r="Z2712" s="7">
        <v>7.875</v>
      </c>
      <c r="AA2712" s="6">
        <v>16.190000000000001</v>
      </c>
      <c r="AB2712" s="2" t="s">
        <v>47</v>
      </c>
      <c r="AC2712" s="2"/>
    </row>
    <row r="2713" spans="1:29" ht="208" x14ac:dyDescent="0.15">
      <c r="A2713" s="3">
        <f>DATE(1996,10,9)</f>
        <v>35347</v>
      </c>
      <c r="B2713" s="2"/>
      <c r="C2713" s="2" t="s">
        <v>30</v>
      </c>
      <c r="D2713" s="2" t="s">
        <v>4740</v>
      </c>
      <c r="E2713" s="2" t="s">
        <v>92</v>
      </c>
      <c r="F2713" s="4">
        <v>6798</v>
      </c>
      <c r="G2713" s="2" t="s">
        <v>53</v>
      </c>
      <c r="H2713" s="2" t="s">
        <v>34</v>
      </c>
      <c r="I2713" s="2" t="s">
        <v>51</v>
      </c>
      <c r="J2713" s="2" t="s">
        <v>52</v>
      </c>
      <c r="K2713" s="2" t="s">
        <v>53</v>
      </c>
      <c r="L2713" s="2" t="s">
        <v>34</v>
      </c>
      <c r="M2713" s="2"/>
      <c r="N2713" s="2"/>
      <c r="O2713" s="2"/>
      <c r="P2713" s="2" t="s">
        <v>8660</v>
      </c>
      <c r="Q2713" s="2"/>
      <c r="R2713" s="6">
        <v>30.5</v>
      </c>
      <c r="S2713" s="5">
        <v>-29.6</v>
      </c>
      <c r="T2713" s="6">
        <v>15.16</v>
      </c>
      <c r="U2713" s="5">
        <v>3.3</v>
      </c>
      <c r="V2713" s="7">
        <v>-2.645</v>
      </c>
      <c r="W2713" s="7">
        <v>13.125</v>
      </c>
      <c r="X2713" s="7">
        <v>13.625</v>
      </c>
      <c r="Y2713" s="6">
        <v>14.25</v>
      </c>
      <c r="Z2713" s="7">
        <v>14.125</v>
      </c>
      <c r="AA2713" s="6">
        <v>11.27</v>
      </c>
      <c r="AB2713" s="7">
        <v>27.222000000000001</v>
      </c>
      <c r="AC2713" s="2"/>
    </row>
    <row r="2714" spans="1:29" ht="78" x14ac:dyDescent="0.15">
      <c r="A2714" s="3">
        <f>DATE(1996,10,10)</f>
        <v>35348</v>
      </c>
      <c r="B2714" s="3">
        <f>DATE(1996,10,10)</f>
        <v>35348</v>
      </c>
      <c r="C2714" s="2" t="s">
        <v>95</v>
      </c>
      <c r="D2714" s="2" t="s">
        <v>8661</v>
      </c>
      <c r="E2714" s="2" t="s">
        <v>8662</v>
      </c>
      <c r="F2714" s="4">
        <v>2511</v>
      </c>
      <c r="G2714" s="2" t="s">
        <v>250</v>
      </c>
      <c r="H2714" s="2" t="s">
        <v>34</v>
      </c>
      <c r="I2714" s="2" t="s">
        <v>8663</v>
      </c>
      <c r="J2714" s="2" t="s">
        <v>8664</v>
      </c>
      <c r="K2714" s="2" t="s">
        <v>250</v>
      </c>
      <c r="L2714" s="2" t="s">
        <v>34</v>
      </c>
      <c r="M2714" s="2"/>
      <c r="N2714" s="5">
        <v>26.5</v>
      </c>
      <c r="O2714" s="4">
        <v>27</v>
      </c>
      <c r="P2714" s="2" t="s">
        <v>8665</v>
      </c>
      <c r="Q2714" s="6">
        <v>100</v>
      </c>
      <c r="R2714" s="2"/>
      <c r="S2714" s="2"/>
      <c r="T2714" s="2"/>
      <c r="U2714" s="2"/>
      <c r="V2714" s="2"/>
      <c r="W2714" s="4">
        <v>7</v>
      </c>
      <c r="X2714" s="4">
        <v>9</v>
      </c>
      <c r="Y2714" s="4">
        <v>9</v>
      </c>
      <c r="Z2714" s="4">
        <v>9</v>
      </c>
      <c r="AA2714" s="2"/>
      <c r="AB2714" s="2" t="s">
        <v>47</v>
      </c>
      <c r="AC2714" s="2"/>
    </row>
    <row r="2715" spans="1:29" ht="169" x14ac:dyDescent="0.15">
      <c r="A2715" s="3">
        <f>DATE(1996,10,10)</f>
        <v>35348</v>
      </c>
      <c r="B2715" s="3">
        <f>DATE(1997,1,31)</f>
        <v>35461</v>
      </c>
      <c r="C2715" s="2" t="s">
        <v>95</v>
      </c>
      <c r="D2715" s="2" t="s">
        <v>8266</v>
      </c>
      <c r="E2715" s="2" t="s">
        <v>8267</v>
      </c>
      <c r="F2715" s="4">
        <v>3559</v>
      </c>
      <c r="G2715" s="2" t="s">
        <v>300</v>
      </c>
      <c r="H2715" s="2" t="s">
        <v>34</v>
      </c>
      <c r="I2715" s="2" t="s">
        <v>8666</v>
      </c>
      <c r="J2715" s="2" t="s">
        <v>8667</v>
      </c>
      <c r="K2715" s="2" t="s">
        <v>300</v>
      </c>
      <c r="L2715" s="2" t="s">
        <v>34</v>
      </c>
      <c r="M2715" s="12">
        <v>2853.6750000000002</v>
      </c>
      <c r="N2715" s="5">
        <v>26.5</v>
      </c>
      <c r="O2715" s="5">
        <v>26.5</v>
      </c>
      <c r="P2715" s="2" t="s">
        <v>8668</v>
      </c>
      <c r="Q2715" s="6">
        <v>100</v>
      </c>
      <c r="R2715" s="6">
        <v>34.74</v>
      </c>
      <c r="S2715" s="5">
        <v>6.6</v>
      </c>
      <c r="T2715" s="7">
        <v>15.387</v>
      </c>
      <c r="U2715" s="5">
        <v>7.5</v>
      </c>
      <c r="V2715" s="6">
        <v>0.92</v>
      </c>
      <c r="W2715" s="4">
        <v>22</v>
      </c>
      <c r="X2715" s="6">
        <v>19.25</v>
      </c>
      <c r="Y2715" s="4">
        <v>25</v>
      </c>
      <c r="Z2715" s="7">
        <v>25.375</v>
      </c>
      <c r="AA2715" s="6">
        <v>8.0500000000000007</v>
      </c>
      <c r="AB2715" s="7">
        <v>26.911000000000001</v>
      </c>
      <c r="AC2715" s="6">
        <v>105.98</v>
      </c>
    </row>
    <row r="2716" spans="1:29" ht="156" x14ac:dyDescent="0.15">
      <c r="A2716" s="3">
        <f>DATE(1996,10,10)</f>
        <v>35348</v>
      </c>
      <c r="B2716" s="3">
        <f>DATE(1998,3,30)</f>
        <v>35884</v>
      </c>
      <c r="C2716" s="2" t="s">
        <v>95</v>
      </c>
      <c r="D2716" s="2" t="s">
        <v>8669</v>
      </c>
      <c r="E2716" s="2" t="s">
        <v>3726</v>
      </c>
      <c r="F2716" s="4">
        <v>3663</v>
      </c>
      <c r="G2716" s="2" t="s">
        <v>921</v>
      </c>
      <c r="H2716" s="2" t="s">
        <v>34</v>
      </c>
      <c r="I2716" s="2" t="s">
        <v>8670</v>
      </c>
      <c r="J2716" s="2" t="s">
        <v>302</v>
      </c>
      <c r="K2716" s="2" t="s">
        <v>53</v>
      </c>
      <c r="L2716" s="2" t="s">
        <v>34</v>
      </c>
      <c r="M2716" s="2"/>
      <c r="N2716" s="2"/>
      <c r="O2716" s="2"/>
      <c r="P2716" s="2" t="s">
        <v>8671</v>
      </c>
      <c r="Q2716" s="6">
        <v>20</v>
      </c>
      <c r="R2716" s="2"/>
      <c r="S2716" s="5">
        <v>-17.7</v>
      </c>
      <c r="T2716" s="7">
        <v>-3.7309999999999999</v>
      </c>
      <c r="U2716" s="5">
        <v>6.5</v>
      </c>
      <c r="V2716" s="6">
        <v>-4.5199999999999996</v>
      </c>
      <c r="W2716" s="4">
        <v>2</v>
      </c>
      <c r="X2716" s="4">
        <v>2</v>
      </c>
      <c r="Y2716" s="7">
        <v>2.125</v>
      </c>
      <c r="Z2716" s="7">
        <v>2.375</v>
      </c>
      <c r="AA2716" s="6">
        <v>16.22</v>
      </c>
      <c r="AB2716" s="2" t="s">
        <v>86</v>
      </c>
      <c r="AC2716" s="2"/>
    </row>
    <row r="2717" spans="1:29" ht="143" x14ac:dyDescent="0.15">
      <c r="A2717" s="3">
        <f>DATE(1996,10,10)</f>
        <v>35348</v>
      </c>
      <c r="B2717" s="3">
        <f>DATE(1997,2,12)</f>
        <v>35473</v>
      </c>
      <c r="C2717" s="2" t="s">
        <v>95</v>
      </c>
      <c r="D2717" s="2" t="s">
        <v>8672</v>
      </c>
      <c r="E2717" s="2" t="s">
        <v>8673</v>
      </c>
      <c r="F2717" s="4">
        <v>3812</v>
      </c>
      <c r="G2717" s="2" t="s">
        <v>226</v>
      </c>
      <c r="H2717" s="2" t="s">
        <v>34</v>
      </c>
      <c r="I2717" s="2" t="s">
        <v>8674</v>
      </c>
      <c r="J2717" s="2" t="s">
        <v>8675</v>
      </c>
      <c r="K2717" s="2" t="s">
        <v>341</v>
      </c>
      <c r="L2717" s="2" t="s">
        <v>34</v>
      </c>
      <c r="M2717" s="7">
        <v>14.872999999999999</v>
      </c>
      <c r="N2717" s="7">
        <v>4.375</v>
      </c>
      <c r="O2717" s="7">
        <v>4.375</v>
      </c>
      <c r="P2717" s="2" t="s">
        <v>8676</v>
      </c>
      <c r="Q2717" s="6">
        <v>100</v>
      </c>
      <c r="R2717" s="6">
        <v>7.79</v>
      </c>
      <c r="S2717" s="5">
        <v>3.1</v>
      </c>
      <c r="T2717" s="7">
        <v>4.9930000000000003</v>
      </c>
      <c r="U2717" s="5">
        <v>4.2</v>
      </c>
      <c r="V2717" s="6">
        <v>0.51</v>
      </c>
      <c r="W2717" s="7">
        <v>6.875</v>
      </c>
      <c r="X2717" s="7">
        <v>8.0630000000000006</v>
      </c>
      <c r="Y2717" s="7">
        <v>8.9380000000000006</v>
      </c>
      <c r="Z2717" s="4">
        <v>7</v>
      </c>
      <c r="AA2717" s="6">
        <v>5.77</v>
      </c>
      <c r="AB2717" s="7">
        <v>11.974</v>
      </c>
      <c r="AC2717" s="2"/>
    </row>
    <row r="2718" spans="1:29" ht="65" x14ac:dyDescent="0.15">
      <c r="A2718" s="3">
        <f>DATE(1996,10,10)</f>
        <v>35348</v>
      </c>
      <c r="B2718" s="3">
        <f>DATE(1996,10,16)</f>
        <v>35354</v>
      </c>
      <c r="C2718" s="2" t="s">
        <v>95</v>
      </c>
      <c r="D2718" s="2" t="s">
        <v>8677</v>
      </c>
      <c r="E2718" s="2" t="s">
        <v>8678</v>
      </c>
      <c r="F2718" s="4">
        <v>5074</v>
      </c>
      <c r="G2718" s="2" t="s">
        <v>76</v>
      </c>
      <c r="H2718" s="2" t="s">
        <v>34</v>
      </c>
      <c r="I2718" s="2" t="s">
        <v>8679</v>
      </c>
      <c r="J2718" s="2" t="s">
        <v>150</v>
      </c>
      <c r="K2718" s="2" t="s">
        <v>53</v>
      </c>
      <c r="L2718" s="2" t="s">
        <v>34</v>
      </c>
      <c r="M2718" s="2"/>
      <c r="N2718" s="2"/>
      <c r="O2718" s="2"/>
      <c r="P2718" s="2" t="s">
        <v>8680</v>
      </c>
      <c r="Q2718" s="6">
        <v>52.6</v>
      </c>
      <c r="R2718" s="6">
        <v>21</v>
      </c>
      <c r="S2718" s="5">
        <v>4.9000000000000004</v>
      </c>
      <c r="T2718" s="7">
        <v>12.353</v>
      </c>
      <c r="U2718" s="5">
        <v>30.2</v>
      </c>
      <c r="V2718" s="6">
        <v>1.34</v>
      </c>
      <c r="W2718" s="7">
        <v>21.625</v>
      </c>
      <c r="X2718" s="7">
        <v>20.875</v>
      </c>
      <c r="Y2718" s="5">
        <v>22.5</v>
      </c>
      <c r="Z2718" s="5">
        <v>22.5</v>
      </c>
      <c r="AA2718" s="6">
        <v>0.37</v>
      </c>
      <c r="AB2718" s="7">
        <v>21.488</v>
      </c>
      <c r="AC2718" s="2"/>
    </row>
    <row r="2719" spans="1:29" ht="104" x14ac:dyDescent="0.15">
      <c r="A2719" s="3">
        <f>DATE(1996,10,10)</f>
        <v>35348</v>
      </c>
      <c r="B2719" s="3">
        <f>DATE(1996,11,27)</f>
        <v>35396</v>
      </c>
      <c r="C2719" s="2" t="s">
        <v>95</v>
      </c>
      <c r="D2719" s="2" t="s">
        <v>8681</v>
      </c>
      <c r="E2719" s="2" t="s">
        <v>8682</v>
      </c>
      <c r="F2719" s="4">
        <v>3312</v>
      </c>
      <c r="G2719" s="2" t="s">
        <v>163</v>
      </c>
      <c r="H2719" s="2" t="s">
        <v>34</v>
      </c>
      <c r="I2719" s="2" t="s">
        <v>8683</v>
      </c>
      <c r="J2719" s="2" t="s">
        <v>1072</v>
      </c>
      <c r="K2719" s="2" t="s">
        <v>53</v>
      </c>
      <c r="L2719" s="2" t="s">
        <v>34</v>
      </c>
      <c r="M2719" s="2"/>
      <c r="N2719" s="2"/>
      <c r="O2719" s="2"/>
      <c r="P2719" s="2" t="s">
        <v>8684</v>
      </c>
      <c r="Q2719" s="6">
        <v>15.53</v>
      </c>
      <c r="R2719" s="6">
        <v>10</v>
      </c>
      <c r="S2719" s="5">
        <v>3.2</v>
      </c>
      <c r="T2719" s="7">
        <v>48.497999999999998</v>
      </c>
      <c r="U2719" s="5">
        <v>2</v>
      </c>
      <c r="V2719" s="7">
        <v>8.6999999999999994E-2</v>
      </c>
      <c r="W2719" s="6">
        <v>7.75</v>
      </c>
      <c r="X2719" s="5">
        <v>8.5</v>
      </c>
      <c r="Y2719" s="7">
        <v>9.625</v>
      </c>
      <c r="Z2719" s="7">
        <v>9.625</v>
      </c>
      <c r="AA2719" s="6">
        <v>36.4</v>
      </c>
      <c r="AB2719" s="7">
        <v>18.46</v>
      </c>
      <c r="AC2719" s="2"/>
    </row>
    <row r="2720" spans="1:29" ht="52" x14ac:dyDescent="0.15">
      <c r="A2720" s="3">
        <f>DATE(1996,10,11)</f>
        <v>35349</v>
      </c>
      <c r="B2720" s="3">
        <f>DATE(1996,10,11)</f>
        <v>35349</v>
      </c>
      <c r="C2720" s="2" t="s">
        <v>95</v>
      </c>
      <c r="D2720" s="2" t="s">
        <v>8685</v>
      </c>
      <c r="E2720" s="2" t="s">
        <v>8686</v>
      </c>
      <c r="F2720" s="4">
        <v>3949</v>
      </c>
      <c r="G2720" s="2" t="s">
        <v>112</v>
      </c>
      <c r="H2720" s="2" t="s">
        <v>34</v>
      </c>
      <c r="I2720" s="2" t="s">
        <v>51</v>
      </c>
      <c r="J2720" s="2" t="s">
        <v>52</v>
      </c>
      <c r="K2720" s="2" t="s">
        <v>53</v>
      </c>
      <c r="L2720" s="2" t="s">
        <v>34</v>
      </c>
      <c r="M2720" s="2"/>
      <c r="N2720" s="2"/>
      <c r="O2720" s="2"/>
      <c r="P2720" s="2" t="s">
        <v>8687</v>
      </c>
      <c r="Q2720" s="6">
        <v>100</v>
      </c>
      <c r="R2720" s="2"/>
      <c r="S2720" s="5">
        <v>6</v>
      </c>
      <c r="T2720" s="7">
        <v>8.734</v>
      </c>
      <c r="U2720" s="5">
        <v>4.4000000000000004</v>
      </c>
      <c r="V2720" s="6">
        <v>0.6</v>
      </c>
      <c r="W2720" s="7">
        <v>11.875</v>
      </c>
      <c r="X2720" s="7">
        <v>10.125</v>
      </c>
      <c r="Y2720" s="6">
        <v>9.75</v>
      </c>
      <c r="Z2720" s="7">
        <v>10.125</v>
      </c>
      <c r="AA2720" s="6">
        <v>11.7</v>
      </c>
      <c r="AB2720" s="2" t="s">
        <v>86</v>
      </c>
      <c r="AC2720" s="2"/>
    </row>
    <row r="2721" spans="1:29" ht="130" x14ac:dyDescent="0.15">
      <c r="A2721" s="3">
        <f>DATE(1996,10,14)</f>
        <v>35352</v>
      </c>
      <c r="B2721" s="3">
        <f>DATE(1997,1,21)</f>
        <v>35451</v>
      </c>
      <c r="C2721" s="2" t="s">
        <v>95</v>
      </c>
      <c r="D2721" s="2" t="s">
        <v>8688</v>
      </c>
      <c r="E2721" s="2" t="s">
        <v>2898</v>
      </c>
      <c r="F2721" s="4">
        <v>6022</v>
      </c>
      <c r="G2721" s="2" t="s">
        <v>37</v>
      </c>
      <c r="H2721" s="2" t="s">
        <v>34</v>
      </c>
      <c r="I2721" s="2" t="s">
        <v>8689</v>
      </c>
      <c r="J2721" s="2" t="s">
        <v>8690</v>
      </c>
      <c r="K2721" s="2" t="s">
        <v>37</v>
      </c>
      <c r="L2721" s="2" t="s">
        <v>34</v>
      </c>
      <c r="M2721" s="7">
        <v>302.577</v>
      </c>
      <c r="N2721" s="7">
        <v>26.625</v>
      </c>
      <c r="O2721" s="6">
        <v>25.75</v>
      </c>
      <c r="P2721" s="2" t="s">
        <v>8691</v>
      </c>
      <c r="Q2721" s="6">
        <v>100</v>
      </c>
      <c r="R2721" s="6">
        <v>31.42</v>
      </c>
      <c r="S2721" s="5">
        <v>3.7</v>
      </c>
      <c r="T2721" s="7">
        <v>6.0629999999999997</v>
      </c>
      <c r="U2721" s="5">
        <v>9.6999999999999993</v>
      </c>
      <c r="V2721" s="7">
        <v>2.0270000000000001</v>
      </c>
      <c r="W2721" s="6">
        <v>16.25</v>
      </c>
      <c r="X2721" s="4">
        <v>20</v>
      </c>
      <c r="Y2721" s="5">
        <v>21.5</v>
      </c>
      <c r="Z2721" s="7">
        <v>21.625</v>
      </c>
      <c r="AA2721" s="6">
        <v>2.84</v>
      </c>
      <c r="AB2721" s="7">
        <v>73.813000000000002</v>
      </c>
      <c r="AC2721" s="2"/>
    </row>
    <row r="2722" spans="1:29" ht="156" x14ac:dyDescent="0.15">
      <c r="A2722" s="3">
        <f>DATE(1996,10,14)</f>
        <v>35352</v>
      </c>
      <c r="B2722" s="3">
        <f>DATE(1998,6,26)</f>
        <v>35972</v>
      </c>
      <c r="C2722" s="2" t="s">
        <v>95</v>
      </c>
      <c r="D2722" s="2" t="s">
        <v>8692</v>
      </c>
      <c r="E2722" s="2" t="s">
        <v>8693</v>
      </c>
      <c r="F2722" s="4">
        <v>4923</v>
      </c>
      <c r="G2722" s="2" t="s">
        <v>439</v>
      </c>
      <c r="H2722" s="2" t="s">
        <v>34</v>
      </c>
      <c r="I2722" s="2" t="s">
        <v>8694</v>
      </c>
      <c r="J2722" s="2" t="s">
        <v>441</v>
      </c>
      <c r="K2722" s="2" t="s">
        <v>439</v>
      </c>
      <c r="L2722" s="2" t="s">
        <v>34</v>
      </c>
      <c r="M2722" s="12">
        <v>2549.8760000000002</v>
      </c>
      <c r="N2722" s="7">
        <v>22.375</v>
      </c>
      <c r="O2722" s="5">
        <v>22.5</v>
      </c>
      <c r="P2722" s="2" t="s">
        <v>8695</v>
      </c>
      <c r="Q2722" s="6">
        <v>100</v>
      </c>
      <c r="R2722" s="6">
        <v>33.840000000000003</v>
      </c>
      <c r="S2722" s="5">
        <v>185</v>
      </c>
      <c r="T2722" s="5">
        <v>643</v>
      </c>
      <c r="U2722" s="5">
        <v>15.7</v>
      </c>
      <c r="V2722" s="6">
        <v>2.12</v>
      </c>
      <c r="W2722" s="7">
        <v>31.125</v>
      </c>
      <c r="X2722" s="5">
        <v>31.5</v>
      </c>
      <c r="Y2722" s="6">
        <v>32.25</v>
      </c>
      <c r="Z2722" s="7">
        <v>32.125</v>
      </c>
      <c r="AA2722" s="6">
        <v>84.82</v>
      </c>
      <c r="AB2722" s="7">
        <v>10.83</v>
      </c>
      <c r="AC2722" s="6">
        <v>96.43</v>
      </c>
    </row>
    <row r="2723" spans="1:29" ht="156" x14ac:dyDescent="0.15">
      <c r="A2723" s="3">
        <f>DATE(1996,10,14)</f>
        <v>35352</v>
      </c>
      <c r="B2723" s="3">
        <f>DATE(1996,12,12)</f>
        <v>35411</v>
      </c>
      <c r="C2723" s="2" t="s">
        <v>95</v>
      </c>
      <c r="D2723" s="2" t="s">
        <v>8696</v>
      </c>
      <c r="E2723" s="2" t="s">
        <v>8697</v>
      </c>
      <c r="F2723" s="4">
        <v>5912</v>
      </c>
      <c r="G2723" s="2" t="s">
        <v>73</v>
      </c>
      <c r="H2723" s="2" t="s">
        <v>34</v>
      </c>
      <c r="I2723" s="2" t="s">
        <v>7192</v>
      </c>
      <c r="J2723" s="2" t="s">
        <v>4794</v>
      </c>
      <c r="K2723" s="2" t="s">
        <v>73</v>
      </c>
      <c r="L2723" s="2" t="s">
        <v>34</v>
      </c>
      <c r="M2723" s="12">
        <v>2795.4389999999999</v>
      </c>
      <c r="N2723" s="7">
        <v>34.375</v>
      </c>
      <c r="O2723" s="5">
        <v>33.5</v>
      </c>
      <c r="P2723" s="2" t="s">
        <v>8698</v>
      </c>
      <c r="Q2723" s="6">
        <v>100</v>
      </c>
      <c r="R2723" s="6">
        <v>23.32</v>
      </c>
      <c r="S2723" s="5">
        <v>-2.7</v>
      </c>
      <c r="T2723" s="5">
        <v>213.4</v>
      </c>
      <c r="U2723" s="5">
        <v>6.3</v>
      </c>
      <c r="V2723" s="6">
        <v>-3.42</v>
      </c>
      <c r="W2723" s="7">
        <v>18.125</v>
      </c>
      <c r="X2723" s="7">
        <v>18.375</v>
      </c>
      <c r="Y2723" s="7">
        <v>21.375</v>
      </c>
      <c r="Z2723" s="7">
        <v>21.030999999999999</v>
      </c>
      <c r="AA2723" s="6">
        <v>59.5</v>
      </c>
      <c r="AB2723" s="2" t="s">
        <v>47</v>
      </c>
      <c r="AC2723" s="6">
        <v>3.13</v>
      </c>
    </row>
    <row r="2724" spans="1:29" ht="156" x14ac:dyDescent="0.15">
      <c r="A2724" s="3">
        <f>DATE(1996,10,15)</f>
        <v>35353</v>
      </c>
      <c r="B2724" s="2"/>
      <c r="C2724" s="2" t="s">
        <v>30</v>
      </c>
      <c r="D2724" s="2" t="s">
        <v>5203</v>
      </c>
      <c r="E2724" s="2" t="s">
        <v>783</v>
      </c>
      <c r="F2724" s="4">
        <v>4011</v>
      </c>
      <c r="G2724" s="2" t="s">
        <v>173</v>
      </c>
      <c r="H2724" s="2" t="s">
        <v>34</v>
      </c>
      <c r="I2724" s="2" t="s">
        <v>8699</v>
      </c>
      <c r="J2724" s="2" t="s">
        <v>8700</v>
      </c>
      <c r="K2724" s="2" t="s">
        <v>173</v>
      </c>
      <c r="L2724" s="2" t="s">
        <v>34</v>
      </c>
      <c r="M2724" s="12">
        <v>10802.387000000001</v>
      </c>
      <c r="N2724" s="6">
        <v>46.75</v>
      </c>
      <c r="O2724" s="7">
        <v>46.375</v>
      </c>
      <c r="P2724" s="2" t="s">
        <v>8701</v>
      </c>
      <c r="Q2724" s="2"/>
      <c r="R2724" s="6">
        <v>115</v>
      </c>
      <c r="S2724" s="5">
        <v>342</v>
      </c>
      <c r="T2724" s="2"/>
      <c r="U2724" s="5">
        <v>37.799999999999997</v>
      </c>
      <c r="V2724" s="6">
        <v>4.25</v>
      </c>
      <c r="W2724" s="6">
        <v>71.75</v>
      </c>
      <c r="X2724" s="4">
        <v>71</v>
      </c>
      <c r="Y2724" s="7">
        <v>85.125</v>
      </c>
      <c r="Z2724" s="7">
        <v>85.296999999999997</v>
      </c>
      <c r="AA2724" s="6">
        <v>82.24</v>
      </c>
      <c r="AB2724" s="2" t="s">
        <v>47</v>
      </c>
      <c r="AC2724" s="5">
        <v>682</v>
      </c>
    </row>
    <row r="2725" spans="1:29" ht="169" x14ac:dyDescent="0.15">
      <c r="A2725" s="3">
        <f>DATE(1996,10,15)</f>
        <v>35353</v>
      </c>
      <c r="B2725" s="3">
        <f>DATE(1997,6,3)</f>
        <v>35584</v>
      </c>
      <c r="C2725" s="2" t="s">
        <v>95</v>
      </c>
      <c r="D2725" s="2" t="s">
        <v>5203</v>
      </c>
      <c r="E2725" s="2" t="s">
        <v>783</v>
      </c>
      <c r="F2725" s="4">
        <v>4011</v>
      </c>
      <c r="G2725" s="2" t="s">
        <v>173</v>
      </c>
      <c r="H2725" s="2" t="s">
        <v>34</v>
      </c>
      <c r="I2725" s="2" t="s">
        <v>51</v>
      </c>
      <c r="J2725" s="2" t="s">
        <v>52</v>
      </c>
      <c r="K2725" s="2" t="s">
        <v>53</v>
      </c>
      <c r="L2725" s="2" t="s">
        <v>34</v>
      </c>
      <c r="M2725" s="2"/>
      <c r="N2725" s="2"/>
      <c r="O2725" s="2"/>
      <c r="P2725" s="2" t="s">
        <v>8702</v>
      </c>
      <c r="Q2725" s="6">
        <v>91.02</v>
      </c>
      <c r="R2725" s="6">
        <v>115</v>
      </c>
      <c r="S2725" s="5">
        <v>342</v>
      </c>
      <c r="T2725" s="2"/>
      <c r="U2725" s="5">
        <v>37.799999999999997</v>
      </c>
      <c r="V2725" s="6">
        <v>4.25</v>
      </c>
      <c r="W2725" s="6">
        <v>71.75</v>
      </c>
      <c r="X2725" s="4">
        <v>71</v>
      </c>
      <c r="Y2725" s="7">
        <v>85.125</v>
      </c>
      <c r="Z2725" s="7">
        <v>85.296999999999997</v>
      </c>
      <c r="AA2725" s="6">
        <v>82.24</v>
      </c>
      <c r="AB2725" s="2" t="s">
        <v>47</v>
      </c>
      <c r="AC2725" s="2"/>
    </row>
    <row r="2726" spans="1:29" ht="104" x14ac:dyDescent="0.15">
      <c r="A2726" s="3">
        <f>DATE(1996,10,15)</f>
        <v>35353</v>
      </c>
      <c r="B2726" s="3">
        <f>DATE(1996,12,23)</f>
        <v>35422</v>
      </c>
      <c r="C2726" s="2" t="s">
        <v>95</v>
      </c>
      <c r="D2726" s="2" t="s">
        <v>8703</v>
      </c>
      <c r="E2726" s="2" t="s">
        <v>8704</v>
      </c>
      <c r="F2726" s="4">
        <v>3699</v>
      </c>
      <c r="G2726" s="2" t="s">
        <v>137</v>
      </c>
      <c r="H2726" s="2" t="s">
        <v>34</v>
      </c>
      <c r="I2726" s="2" t="s">
        <v>6692</v>
      </c>
      <c r="J2726" s="2" t="s">
        <v>4875</v>
      </c>
      <c r="K2726" s="2" t="s">
        <v>125</v>
      </c>
      <c r="L2726" s="2" t="s">
        <v>34</v>
      </c>
      <c r="M2726" s="12">
        <v>59500.527999999998</v>
      </c>
      <c r="N2726" s="4">
        <v>31700</v>
      </c>
      <c r="O2726" s="4">
        <v>32300</v>
      </c>
      <c r="P2726" s="2" t="s">
        <v>8705</v>
      </c>
      <c r="Q2726" s="6">
        <v>100</v>
      </c>
      <c r="R2726" s="6">
        <v>50</v>
      </c>
      <c r="S2726" s="5">
        <v>84.5</v>
      </c>
      <c r="T2726" s="7">
        <v>166.16900000000001</v>
      </c>
      <c r="U2726" s="5">
        <v>19.600000000000001</v>
      </c>
      <c r="V2726" s="6">
        <v>2.71</v>
      </c>
      <c r="W2726" s="7">
        <v>45.125</v>
      </c>
      <c r="X2726" s="7">
        <v>43.875</v>
      </c>
      <c r="Y2726" s="6">
        <v>49.25</v>
      </c>
      <c r="Z2726" s="6">
        <v>49.25</v>
      </c>
      <c r="AA2726" s="6">
        <v>30.17</v>
      </c>
      <c r="AB2726" s="7">
        <v>11.903</v>
      </c>
      <c r="AC2726" s="8">
        <v>2703.8</v>
      </c>
    </row>
    <row r="2727" spans="1:29" ht="52" x14ac:dyDescent="0.15">
      <c r="A2727" s="3">
        <f>DATE(1996,10,16)</f>
        <v>35354</v>
      </c>
      <c r="B2727" s="2"/>
      <c r="C2727" s="2" t="s">
        <v>7330</v>
      </c>
      <c r="D2727" s="2" t="s">
        <v>8706</v>
      </c>
      <c r="E2727" s="2" t="s">
        <v>373</v>
      </c>
      <c r="F2727" s="4">
        <v>7374</v>
      </c>
      <c r="G2727" s="2" t="s">
        <v>223</v>
      </c>
      <c r="H2727" s="2" t="s">
        <v>34</v>
      </c>
      <c r="I2727" s="2" t="s">
        <v>51</v>
      </c>
      <c r="J2727" s="2" t="s">
        <v>52</v>
      </c>
      <c r="K2727" s="2" t="s">
        <v>53</v>
      </c>
      <c r="L2727" s="2" t="s">
        <v>34</v>
      </c>
      <c r="M2727" s="2"/>
      <c r="N2727" s="2"/>
      <c r="O2727" s="2"/>
      <c r="P2727" s="2" t="s">
        <v>8707</v>
      </c>
      <c r="Q2727" s="2"/>
      <c r="R2727" s="2"/>
      <c r="S2727" s="5">
        <v>13</v>
      </c>
      <c r="T2727" s="7">
        <v>38.999000000000002</v>
      </c>
      <c r="U2727" s="5">
        <v>11.7</v>
      </c>
      <c r="V2727" s="7">
        <v>1.7949999999999999</v>
      </c>
      <c r="W2727" s="7">
        <v>15.375</v>
      </c>
      <c r="X2727" s="5">
        <v>15.5</v>
      </c>
      <c r="Y2727" s="6">
        <v>15.75</v>
      </c>
      <c r="Z2727" s="5">
        <v>16.5</v>
      </c>
      <c r="AA2727" s="6">
        <v>6.46</v>
      </c>
      <c r="AB2727" s="2" t="s">
        <v>47</v>
      </c>
      <c r="AC2727" s="2"/>
    </row>
    <row r="2728" spans="1:29" ht="104" x14ac:dyDescent="0.15">
      <c r="A2728" s="3">
        <f>DATE(1996,10,16)</f>
        <v>35354</v>
      </c>
      <c r="B2728" s="2"/>
      <c r="C2728" s="2" t="s">
        <v>141</v>
      </c>
      <c r="D2728" s="2" t="s">
        <v>8502</v>
      </c>
      <c r="E2728" s="2" t="s">
        <v>8503</v>
      </c>
      <c r="F2728" s="4">
        <v>5912</v>
      </c>
      <c r="G2728" s="2" t="s">
        <v>73</v>
      </c>
      <c r="H2728" s="2" t="s">
        <v>34</v>
      </c>
      <c r="I2728" s="2" t="s">
        <v>143</v>
      </c>
      <c r="J2728" s="2" t="s">
        <v>144</v>
      </c>
      <c r="K2728" s="2" t="s">
        <v>53</v>
      </c>
      <c r="L2728" s="2" t="s">
        <v>139</v>
      </c>
      <c r="M2728" s="2"/>
      <c r="N2728" s="2"/>
      <c r="O2728" s="2"/>
      <c r="P2728" s="2" t="s">
        <v>8708</v>
      </c>
      <c r="Q2728" s="2"/>
      <c r="R2728" s="2"/>
      <c r="S2728" s="5">
        <v>2.6</v>
      </c>
      <c r="T2728" s="6">
        <v>22.63</v>
      </c>
      <c r="U2728" s="5">
        <v>7.8</v>
      </c>
      <c r="V2728" s="6">
        <v>0.15</v>
      </c>
      <c r="W2728" s="7">
        <v>10.375</v>
      </c>
      <c r="X2728" s="7">
        <v>12.625</v>
      </c>
      <c r="Y2728" s="7">
        <v>15.875</v>
      </c>
      <c r="Z2728" s="6">
        <v>15.75</v>
      </c>
      <c r="AA2728" s="2"/>
      <c r="AB2728" s="2" t="s">
        <v>47</v>
      </c>
      <c r="AC2728" s="2"/>
    </row>
    <row r="2729" spans="1:29" ht="130" x14ac:dyDescent="0.15">
      <c r="A2729" s="3">
        <f>DATE(1996,10,16)</f>
        <v>35354</v>
      </c>
      <c r="B2729" s="3">
        <f>DATE(1997,1,27)</f>
        <v>35457</v>
      </c>
      <c r="C2729" s="2" t="s">
        <v>95</v>
      </c>
      <c r="D2729" s="2" t="s">
        <v>8709</v>
      </c>
      <c r="E2729" s="2" t="s">
        <v>1181</v>
      </c>
      <c r="F2729" s="4">
        <v>6022</v>
      </c>
      <c r="G2729" s="2" t="s">
        <v>37</v>
      </c>
      <c r="H2729" s="2" t="s">
        <v>34</v>
      </c>
      <c r="I2729" s="2" t="s">
        <v>8570</v>
      </c>
      <c r="J2729" s="2" t="s">
        <v>3780</v>
      </c>
      <c r="K2729" s="2" t="s">
        <v>37</v>
      </c>
      <c r="L2729" s="2" t="s">
        <v>34</v>
      </c>
      <c r="M2729" s="2"/>
      <c r="N2729" s="2"/>
      <c r="O2729" s="2"/>
      <c r="P2729" s="2" t="s">
        <v>8710</v>
      </c>
      <c r="Q2729" s="6">
        <v>100</v>
      </c>
      <c r="R2729" s="6">
        <v>18</v>
      </c>
      <c r="S2729" s="5">
        <v>2.7</v>
      </c>
      <c r="T2729" s="7">
        <v>4.9809999999999999</v>
      </c>
      <c r="U2729" s="5">
        <v>10.1</v>
      </c>
      <c r="V2729" s="6">
        <v>1.2</v>
      </c>
      <c r="W2729" s="5">
        <v>17.5</v>
      </c>
      <c r="X2729" s="6">
        <v>17.75</v>
      </c>
      <c r="Y2729" s="7">
        <v>17.375</v>
      </c>
      <c r="Z2729" s="6">
        <v>17.25</v>
      </c>
      <c r="AA2729" s="6">
        <v>2.17</v>
      </c>
      <c r="AB2729" s="7">
        <v>52.414000000000001</v>
      </c>
      <c r="AC2729" s="2"/>
    </row>
    <row r="2730" spans="1:29" ht="130" x14ac:dyDescent="0.15">
      <c r="A2730" s="3">
        <f>DATE(1996,10,16)</f>
        <v>35354</v>
      </c>
      <c r="B2730" s="2"/>
      <c r="C2730" s="2" t="s">
        <v>30</v>
      </c>
      <c r="D2730" s="2" t="s">
        <v>8711</v>
      </c>
      <c r="E2730" s="2" t="s">
        <v>8712</v>
      </c>
      <c r="F2730" s="4">
        <v>3569</v>
      </c>
      <c r="G2730" s="2" t="s">
        <v>300</v>
      </c>
      <c r="H2730" s="2" t="s">
        <v>34</v>
      </c>
      <c r="I2730" s="2" t="s">
        <v>8713</v>
      </c>
      <c r="J2730" s="2" t="s">
        <v>8714</v>
      </c>
      <c r="K2730" s="2" t="s">
        <v>50</v>
      </c>
      <c r="L2730" s="2" t="s">
        <v>34</v>
      </c>
      <c r="M2730" s="6">
        <v>230.52</v>
      </c>
      <c r="N2730" s="5">
        <v>33.5</v>
      </c>
      <c r="O2730" s="5">
        <v>37.5</v>
      </c>
      <c r="P2730" s="2" t="s">
        <v>8715</v>
      </c>
      <c r="Q2730" s="2"/>
      <c r="R2730" s="6">
        <v>27.93</v>
      </c>
      <c r="S2730" s="5">
        <v>22.6</v>
      </c>
      <c r="T2730" s="7">
        <v>40.771999999999998</v>
      </c>
      <c r="U2730" s="5">
        <v>2</v>
      </c>
      <c r="V2730" s="9">
        <v>0.4178</v>
      </c>
      <c r="W2730" s="4">
        <v>24</v>
      </c>
      <c r="X2730" s="7">
        <v>29.125</v>
      </c>
      <c r="Y2730" s="6">
        <v>28.75</v>
      </c>
      <c r="Z2730" s="7">
        <v>30.875</v>
      </c>
      <c r="AA2730" s="6">
        <v>24.2</v>
      </c>
      <c r="AB2730" s="7">
        <v>37.656999999999996</v>
      </c>
      <c r="AC2730" s="6">
        <v>16.28</v>
      </c>
    </row>
    <row r="2731" spans="1:29" ht="156" x14ac:dyDescent="0.15">
      <c r="A2731" s="3">
        <f>DATE(1996,10,17)</f>
        <v>35355</v>
      </c>
      <c r="B2731" s="3">
        <f>DATE(1997,1,30)</f>
        <v>35460</v>
      </c>
      <c r="C2731" s="2" t="s">
        <v>95</v>
      </c>
      <c r="D2731" s="2" t="s">
        <v>4414</v>
      </c>
      <c r="E2731" s="2" t="s">
        <v>4415</v>
      </c>
      <c r="F2731" s="4">
        <v>8062</v>
      </c>
      <c r="G2731" s="2" t="s">
        <v>454</v>
      </c>
      <c r="H2731" s="2" t="s">
        <v>34</v>
      </c>
      <c r="I2731" s="2" t="s">
        <v>8716</v>
      </c>
      <c r="J2731" s="2" t="s">
        <v>8717</v>
      </c>
      <c r="K2731" s="2" t="s">
        <v>454</v>
      </c>
      <c r="L2731" s="2" t="s">
        <v>34</v>
      </c>
      <c r="M2731" s="12">
        <v>4677.4880000000003</v>
      </c>
      <c r="N2731" s="6">
        <v>21.25</v>
      </c>
      <c r="O2731" s="6">
        <v>21.25</v>
      </c>
      <c r="P2731" s="2" t="s">
        <v>8718</v>
      </c>
      <c r="Q2731" s="6">
        <v>100</v>
      </c>
      <c r="R2731" s="6">
        <v>29.87</v>
      </c>
      <c r="S2731" s="5">
        <v>99.9</v>
      </c>
      <c r="T2731" s="7">
        <v>344.43799999999999</v>
      </c>
      <c r="U2731" s="5">
        <v>11</v>
      </c>
      <c r="V2731" s="6">
        <v>1.73</v>
      </c>
      <c r="W2731" s="4">
        <v>25</v>
      </c>
      <c r="X2731" s="6">
        <v>27.25</v>
      </c>
      <c r="Y2731" s="5">
        <v>27.5</v>
      </c>
      <c r="Z2731" s="7">
        <v>27.797000000000001</v>
      </c>
      <c r="AA2731" s="6">
        <v>58.17</v>
      </c>
      <c r="AB2731" s="7">
        <v>12.875999999999999</v>
      </c>
      <c r="AC2731" s="5">
        <v>201</v>
      </c>
    </row>
    <row r="2732" spans="1:29" ht="39" x14ac:dyDescent="0.15">
      <c r="A2732" s="3">
        <f>DATE(1996,10,17)</f>
        <v>35355</v>
      </c>
      <c r="B2732" s="2"/>
      <c r="C2732" s="2" t="s">
        <v>87</v>
      </c>
      <c r="D2732" s="2" t="s">
        <v>8719</v>
      </c>
      <c r="E2732" s="2" t="s">
        <v>8720</v>
      </c>
      <c r="F2732" s="4">
        <v>2086</v>
      </c>
      <c r="G2732" s="2" t="s">
        <v>577</v>
      </c>
      <c r="H2732" s="2" t="s">
        <v>34</v>
      </c>
      <c r="I2732" s="2" t="s">
        <v>8721</v>
      </c>
      <c r="J2732" s="2" t="s">
        <v>8722</v>
      </c>
      <c r="K2732" s="2" t="s">
        <v>5397</v>
      </c>
      <c r="L2732" s="2" t="s">
        <v>34</v>
      </c>
      <c r="M2732" s="12">
        <v>76750.998999999996</v>
      </c>
      <c r="N2732" s="7">
        <v>97.375</v>
      </c>
      <c r="O2732" s="4">
        <v>92</v>
      </c>
      <c r="P2732" s="2" t="s">
        <v>8723</v>
      </c>
      <c r="Q2732" s="2"/>
      <c r="R2732" s="2"/>
      <c r="S2732" s="8">
        <v>1606</v>
      </c>
      <c r="T2732" s="8">
        <v>5247</v>
      </c>
      <c r="U2732" s="5">
        <v>4.5999999999999996</v>
      </c>
      <c r="V2732" s="6">
        <v>1</v>
      </c>
      <c r="W2732" s="6">
        <v>28.75</v>
      </c>
      <c r="X2732" s="6">
        <v>29.25</v>
      </c>
      <c r="Y2732" s="7">
        <v>30.125</v>
      </c>
      <c r="Z2732" s="5">
        <v>30.5</v>
      </c>
      <c r="AA2732" s="10">
        <v>1566.44</v>
      </c>
      <c r="AB2732" s="2" t="s">
        <v>47</v>
      </c>
      <c r="AC2732" s="8">
        <v>1138</v>
      </c>
    </row>
    <row r="2733" spans="1:29" ht="143" x14ac:dyDescent="0.15">
      <c r="A2733" s="3">
        <f>DATE(1996,10,17)</f>
        <v>35355</v>
      </c>
      <c r="B2733" s="2"/>
      <c r="C2733" s="2" t="s">
        <v>30</v>
      </c>
      <c r="D2733" s="2" t="s">
        <v>8724</v>
      </c>
      <c r="E2733" s="2" t="s">
        <v>111</v>
      </c>
      <c r="F2733" s="4">
        <v>3942</v>
      </c>
      <c r="G2733" s="2" t="s">
        <v>112</v>
      </c>
      <c r="H2733" s="2" t="s">
        <v>34</v>
      </c>
      <c r="I2733" s="2" t="s">
        <v>3064</v>
      </c>
      <c r="J2733" s="2" t="s">
        <v>3065</v>
      </c>
      <c r="K2733" s="2" t="s">
        <v>186</v>
      </c>
      <c r="L2733" s="2" t="s">
        <v>34</v>
      </c>
      <c r="M2733" s="6">
        <v>839.85</v>
      </c>
      <c r="N2733" s="7">
        <v>4.625</v>
      </c>
      <c r="O2733" s="7">
        <v>4.375</v>
      </c>
      <c r="P2733" s="2" t="s">
        <v>8725</v>
      </c>
      <c r="Q2733" s="2"/>
      <c r="R2733" s="2"/>
      <c r="S2733" s="5">
        <v>28.4</v>
      </c>
      <c r="T2733" s="7">
        <v>59.764000000000003</v>
      </c>
      <c r="U2733" s="5">
        <v>2.7</v>
      </c>
      <c r="V2733" s="6">
        <v>0.7</v>
      </c>
      <c r="W2733" s="4">
        <v>17</v>
      </c>
      <c r="X2733" s="7">
        <v>18.625</v>
      </c>
      <c r="Y2733" s="7">
        <v>19.125</v>
      </c>
      <c r="Z2733" s="7">
        <v>18.125</v>
      </c>
      <c r="AA2733" s="6">
        <v>27.74</v>
      </c>
      <c r="AB2733" s="2" t="s">
        <v>47</v>
      </c>
      <c r="AC2733" s="5">
        <v>37</v>
      </c>
    </row>
    <row r="2734" spans="1:29" ht="169" x14ac:dyDescent="0.15">
      <c r="A2734" s="3">
        <f>DATE(1996,10,17)</f>
        <v>35355</v>
      </c>
      <c r="B2734" s="3">
        <f>DATE(1997,2,27)</f>
        <v>35488</v>
      </c>
      <c r="C2734" s="2" t="s">
        <v>95</v>
      </c>
      <c r="D2734" s="2" t="s">
        <v>8726</v>
      </c>
      <c r="E2734" s="2" t="s">
        <v>1166</v>
      </c>
      <c r="F2734" s="4">
        <v>7373</v>
      </c>
      <c r="G2734" s="2" t="s">
        <v>223</v>
      </c>
      <c r="H2734" s="2" t="s">
        <v>34</v>
      </c>
      <c r="I2734" s="2" t="s">
        <v>51</v>
      </c>
      <c r="J2734" s="2" t="s">
        <v>52</v>
      </c>
      <c r="K2734" s="2" t="s">
        <v>53</v>
      </c>
      <c r="L2734" s="2" t="s">
        <v>34</v>
      </c>
      <c r="M2734" s="2"/>
      <c r="N2734" s="2"/>
      <c r="O2734" s="2"/>
      <c r="P2734" s="2" t="s">
        <v>8727</v>
      </c>
      <c r="Q2734" s="6">
        <v>100</v>
      </c>
      <c r="R2734" s="6">
        <v>9.25</v>
      </c>
      <c r="S2734" s="5">
        <v>8.4</v>
      </c>
      <c r="T2734" s="7">
        <v>29.324999999999999</v>
      </c>
      <c r="U2734" s="5">
        <v>0.8</v>
      </c>
      <c r="V2734" s="6">
        <v>0.48</v>
      </c>
      <c r="W2734" s="6">
        <v>5.75</v>
      </c>
      <c r="X2734" s="5">
        <v>5.5</v>
      </c>
      <c r="Y2734" s="5">
        <v>9.5</v>
      </c>
      <c r="Z2734" s="7">
        <v>9.625</v>
      </c>
      <c r="AA2734" s="6">
        <v>19.71</v>
      </c>
      <c r="AB2734" s="7">
        <v>10.704000000000001</v>
      </c>
      <c r="AC2734" s="2"/>
    </row>
    <row r="2735" spans="1:29" ht="156" x14ac:dyDescent="0.15">
      <c r="A2735" s="3">
        <f>DATE(1996,10,21)</f>
        <v>35359</v>
      </c>
      <c r="B2735" s="2"/>
      <c r="C2735" s="2" t="s">
        <v>30</v>
      </c>
      <c r="D2735" s="2" t="s">
        <v>6124</v>
      </c>
      <c r="E2735" s="2" t="s">
        <v>1332</v>
      </c>
      <c r="F2735" s="4">
        <v>8082</v>
      </c>
      <c r="G2735" s="2" t="s">
        <v>454</v>
      </c>
      <c r="H2735" s="2" t="s">
        <v>34</v>
      </c>
      <c r="I2735" s="2" t="s">
        <v>5752</v>
      </c>
      <c r="J2735" s="2" t="s">
        <v>5753</v>
      </c>
      <c r="K2735" s="2" t="s">
        <v>454</v>
      </c>
      <c r="L2735" s="2" t="s">
        <v>34</v>
      </c>
      <c r="M2735" s="7">
        <v>17.338000000000001</v>
      </c>
      <c r="N2735" s="7">
        <v>0.93799999999999994</v>
      </c>
      <c r="O2735" s="6">
        <v>1.25</v>
      </c>
      <c r="P2735" s="2" t="s">
        <v>8728</v>
      </c>
      <c r="Q2735" s="2"/>
      <c r="R2735" s="6">
        <v>4.3499999999999996</v>
      </c>
      <c r="S2735" s="5">
        <v>-85</v>
      </c>
      <c r="T2735" s="7">
        <v>76.203000000000003</v>
      </c>
      <c r="U2735" s="5">
        <v>-0.5</v>
      </c>
      <c r="V2735" s="6">
        <v>-2.0499999999999998</v>
      </c>
      <c r="W2735" s="4">
        <v>5</v>
      </c>
      <c r="X2735" s="7">
        <v>4.875</v>
      </c>
      <c r="Y2735" s="4">
        <v>5</v>
      </c>
      <c r="Z2735" s="4">
        <v>5</v>
      </c>
      <c r="AA2735" s="6">
        <v>42.17</v>
      </c>
      <c r="AB2735" s="7">
        <v>53.786999999999999</v>
      </c>
      <c r="AC2735" s="6">
        <v>41.07</v>
      </c>
    </row>
    <row r="2736" spans="1:29" ht="91" x14ac:dyDescent="0.15">
      <c r="A2736" s="3">
        <f>DATE(1996,10,21)</f>
        <v>35359</v>
      </c>
      <c r="B2736" s="3">
        <f>DATE(1997,3,31)</f>
        <v>35520</v>
      </c>
      <c r="C2736" s="2" t="s">
        <v>95</v>
      </c>
      <c r="D2736" s="2" t="s">
        <v>8729</v>
      </c>
      <c r="E2736" s="2" t="s">
        <v>8730</v>
      </c>
      <c r="F2736" s="4">
        <v>4785</v>
      </c>
      <c r="G2736" s="2" t="s">
        <v>173</v>
      </c>
      <c r="H2736" s="2" t="s">
        <v>34</v>
      </c>
      <c r="I2736" s="2" t="s">
        <v>51</v>
      </c>
      <c r="J2736" s="2" t="s">
        <v>52</v>
      </c>
      <c r="K2736" s="2" t="s">
        <v>53</v>
      </c>
      <c r="L2736" s="2" t="s">
        <v>34</v>
      </c>
      <c r="M2736" s="2"/>
      <c r="N2736" s="2"/>
      <c r="O2736" s="2"/>
      <c r="P2736" s="2" t="s">
        <v>8731</v>
      </c>
      <c r="Q2736" s="6">
        <v>100</v>
      </c>
      <c r="R2736" s="6">
        <v>54</v>
      </c>
      <c r="S2736" s="5">
        <v>2.7</v>
      </c>
      <c r="T2736" s="6">
        <v>4.26</v>
      </c>
      <c r="U2736" s="5">
        <v>28.2</v>
      </c>
      <c r="V2736" s="7">
        <v>4.0060000000000002</v>
      </c>
      <c r="W2736" s="4">
        <v>31</v>
      </c>
      <c r="X2736" s="6">
        <v>32.75</v>
      </c>
      <c r="Y2736" s="6">
        <v>34.75</v>
      </c>
      <c r="Z2736" s="4">
        <v>34</v>
      </c>
      <c r="AA2736" s="6">
        <v>0.68</v>
      </c>
      <c r="AB2736" s="7">
        <v>8.6720000000000006</v>
      </c>
      <c r="AC2736" s="2"/>
    </row>
    <row r="2737" spans="1:29" ht="104" x14ac:dyDescent="0.15">
      <c r="A2737" s="3">
        <f>DATE(1996,10,22)</f>
        <v>35360</v>
      </c>
      <c r="B2737" s="2"/>
      <c r="C2737" s="2" t="s">
        <v>30</v>
      </c>
      <c r="D2737" s="2" t="s">
        <v>1933</v>
      </c>
      <c r="E2737" s="2" t="s">
        <v>1934</v>
      </c>
      <c r="F2737" s="4">
        <v>3911</v>
      </c>
      <c r="G2737" s="2" t="s">
        <v>112</v>
      </c>
      <c r="H2737" s="2" t="s">
        <v>34</v>
      </c>
      <c r="I2737" s="2" t="s">
        <v>8732</v>
      </c>
      <c r="J2737" s="2" t="s">
        <v>302</v>
      </c>
      <c r="K2737" s="2" t="s">
        <v>53</v>
      </c>
      <c r="L2737" s="2" t="s">
        <v>34</v>
      </c>
      <c r="M2737" s="2"/>
      <c r="N2737" s="2"/>
      <c r="O2737" s="2"/>
      <c r="P2737" s="2" t="s">
        <v>8733</v>
      </c>
      <c r="Q2737" s="2"/>
      <c r="R2737" s="6">
        <v>4</v>
      </c>
      <c r="S2737" s="5">
        <v>-3.4</v>
      </c>
      <c r="T2737" s="7">
        <v>7.7080000000000002</v>
      </c>
      <c r="U2737" s="5">
        <v>4.8</v>
      </c>
      <c r="V2737" s="6">
        <v>-0.13</v>
      </c>
      <c r="W2737" s="7">
        <v>2.1880000000000002</v>
      </c>
      <c r="X2737" s="7">
        <v>2.625</v>
      </c>
      <c r="Y2737" s="7">
        <v>3.0630000000000002</v>
      </c>
      <c r="Z2737" s="6">
        <v>3.25</v>
      </c>
      <c r="AA2737" s="6">
        <v>25.88</v>
      </c>
      <c r="AB2737" s="2" t="s">
        <v>86</v>
      </c>
      <c r="AC2737" s="2"/>
    </row>
    <row r="2738" spans="1:29" ht="156" x14ac:dyDescent="0.15">
      <c r="A2738" s="3">
        <f>DATE(1996,10,23)</f>
        <v>35361</v>
      </c>
      <c r="B2738" s="2"/>
      <c r="C2738" s="2" t="s">
        <v>30</v>
      </c>
      <c r="D2738" s="2" t="s">
        <v>5203</v>
      </c>
      <c r="E2738" s="2" t="s">
        <v>783</v>
      </c>
      <c r="F2738" s="4">
        <v>4011</v>
      </c>
      <c r="G2738" s="2" t="s">
        <v>173</v>
      </c>
      <c r="H2738" s="2" t="s">
        <v>34</v>
      </c>
      <c r="I2738" s="2" t="s">
        <v>5204</v>
      </c>
      <c r="J2738" s="2" t="s">
        <v>5205</v>
      </c>
      <c r="K2738" s="2" t="s">
        <v>173</v>
      </c>
      <c r="L2738" s="2" t="s">
        <v>34</v>
      </c>
      <c r="M2738" s="8">
        <v>11794.9</v>
      </c>
      <c r="N2738" s="7">
        <v>94.125</v>
      </c>
      <c r="O2738" s="5">
        <v>92.5</v>
      </c>
      <c r="P2738" s="2" t="s">
        <v>8734</v>
      </c>
      <c r="Q2738" s="2"/>
      <c r="R2738" s="6">
        <v>115</v>
      </c>
      <c r="S2738" s="5">
        <v>342</v>
      </c>
      <c r="T2738" s="2"/>
      <c r="U2738" s="5">
        <v>37.799999999999997</v>
      </c>
      <c r="V2738" s="6">
        <v>4.25</v>
      </c>
      <c r="W2738" s="6">
        <v>71.75</v>
      </c>
      <c r="X2738" s="4">
        <v>71</v>
      </c>
      <c r="Y2738" s="7">
        <v>85.125</v>
      </c>
      <c r="Z2738" s="7">
        <v>85.296999999999997</v>
      </c>
      <c r="AA2738" s="6">
        <v>82.24</v>
      </c>
      <c r="AB2738" s="2" t="s">
        <v>47</v>
      </c>
      <c r="AC2738" s="5">
        <v>403.4</v>
      </c>
    </row>
    <row r="2739" spans="1:29" ht="117" x14ac:dyDescent="0.15">
      <c r="A2739" s="3">
        <f>DATE(1996,10,23)</f>
        <v>35361</v>
      </c>
      <c r="B2739" s="3">
        <f>DATE(1997,4,16)</f>
        <v>35536</v>
      </c>
      <c r="C2739" s="2" t="s">
        <v>95</v>
      </c>
      <c r="D2739" s="2" t="s">
        <v>7234</v>
      </c>
      <c r="E2739" s="2" t="s">
        <v>7235</v>
      </c>
      <c r="F2739" s="4">
        <v>3914</v>
      </c>
      <c r="G2739" s="2" t="s">
        <v>112</v>
      </c>
      <c r="H2739" s="2" t="s">
        <v>34</v>
      </c>
      <c r="I2739" s="2" t="s">
        <v>8735</v>
      </c>
      <c r="J2739" s="2" t="s">
        <v>8736</v>
      </c>
      <c r="K2739" s="2" t="s">
        <v>53</v>
      </c>
      <c r="L2739" s="2" t="s">
        <v>34</v>
      </c>
      <c r="M2739" s="2"/>
      <c r="N2739" s="2"/>
      <c r="O2739" s="2"/>
      <c r="P2739" s="2" t="s">
        <v>8737</v>
      </c>
      <c r="Q2739" s="6">
        <v>100</v>
      </c>
      <c r="R2739" s="6">
        <v>32</v>
      </c>
      <c r="S2739" s="5">
        <v>13.2</v>
      </c>
      <c r="T2739" s="7">
        <v>18.698</v>
      </c>
      <c r="U2739" s="5">
        <v>16.899999999999999</v>
      </c>
      <c r="V2739" s="6">
        <v>1.1200000000000001</v>
      </c>
      <c r="W2739" s="4">
        <v>25</v>
      </c>
      <c r="X2739" s="6">
        <v>26.25</v>
      </c>
      <c r="Y2739" s="7">
        <v>31.125</v>
      </c>
      <c r="Z2739" s="7">
        <v>31.125</v>
      </c>
      <c r="AA2739" s="6">
        <v>8.7899999999999991</v>
      </c>
      <c r="AB2739" s="7">
        <v>15.734</v>
      </c>
      <c r="AC2739" s="2"/>
    </row>
    <row r="2740" spans="1:29" ht="169" x14ac:dyDescent="0.15">
      <c r="A2740" s="3">
        <f>DATE(1996,10,23)</f>
        <v>35361</v>
      </c>
      <c r="B2740" s="3">
        <f>DATE(1997,5,15)</f>
        <v>35565</v>
      </c>
      <c r="C2740" s="2" t="s">
        <v>95</v>
      </c>
      <c r="D2740" s="2" t="s">
        <v>8738</v>
      </c>
      <c r="E2740" s="2" t="s">
        <v>8739</v>
      </c>
      <c r="F2740" s="4">
        <v>3841</v>
      </c>
      <c r="G2740" s="2" t="s">
        <v>226</v>
      </c>
      <c r="H2740" s="2" t="s">
        <v>34</v>
      </c>
      <c r="I2740" s="2" t="s">
        <v>4475</v>
      </c>
      <c r="J2740" s="2" t="s">
        <v>4476</v>
      </c>
      <c r="K2740" s="2" t="s">
        <v>226</v>
      </c>
      <c r="L2740" s="2" t="s">
        <v>34</v>
      </c>
      <c r="M2740" s="12">
        <v>3324.9780000000001</v>
      </c>
      <c r="N2740" s="7">
        <v>37.375</v>
      </c>
      <c r="O2740" s="5">
        <v>41.5</v>
      </c>
      <c r="P2740" s="2" t="s">
        <v>8740</v>
      </c>
      <c r="Q2740" s="6">
        <v>100</v>
      </c>
      <c r="R2740" s="6">
        <v>17.309999999999999</v>
      </c>
      <c r="S2740" s="5">
        <v>-60</v>
      </c>
      <c r="T2740" s="7">
        <v>-50.241</v>
      </c>
      <c r="U2740" s="5">
        <v>2.6</v>
      </c>
      <c r="V2740" s="6">
        <v>-2.89</v>
      </c>
      <c r="W2740" s="7">
        <v>19.125</v>
      </c>
      <c r="X2740" s="7">
        <v>20.625</v>
      </c>
      <c r="Y2740" s="7">
        <v>21.562999999999999</v>
      </c>
      <c r="Z2740" s="7">
        <v>23.875</v>
      </c>
      <c r="AA2740" s="6">
        <v>20.9</v>
      </c>
      <c r="AB2740" s="2" t="s">
        <v>86</v>
      </c>
      <c r="AC2740" s="6">
        <v>184.57</v>
      </c>
    </row>
    <row r="2741" spans="1:29" ht="91" x14ac:dyDescent="0.15">
      <c r="A2741" s="3">
        <f>DATE(1996,10,24)</f>
        <v>35362</v>
      </c>
      <c r="B2741" s="2"/>
      <c r="C2741" s="2" t="s">
        <v>30</v>
      </c>
      <c r="D2741" s="2" t="s">
        <v>8741</v>
      </c>
      <c r="E2741" s="2" t="s">
        <v>8742</v>
      </c>
      <c r="F2741" s="4">
        <v>8082</v>
      </c>
      <c r="G2741" s="2" t="s">
        <v>454</v>
      </c>
      <c r="H2741" s="2" t="s">
        <v>34</v>
      </c>
      <c r="I2741" s="2" t="s">
        <v>8743</v>
      </c>
      <c r="J2741" s="2" t="s">
        <v>8744</v>
      </c>
      <c r="K2741" s="2" t="s">
        <v>223</v>
      </c>
      <c r="L2741" s="2" t="s">
        <v>34</v>
      </c>
      <c r="M2741" s="7">
        <v>120.026</v>
      </c>
      <c r="N2741" s="4">
        <v>15</v>
      </c>
      <c r="O2741" s="4">
        <v>15</v>
      </c>
      <c r="P2741" s="2" t="s">
        <v>8745</v>
      </c>
      <c r="Q2741" s="2"/>
      <c r="R2741" s="6">
        <v>9</v>
      </c>
      <c r="S2741" s="5">
        <v>0.9</v>
      </c>
      <c r="T2741" s="7">
        <v>2.0270000000000001</v>
      </c>
      <c r="U2741" s="5">
        <v>1.3</v>
      </c>
      <c r="V2741" s="9">
        <v>0.27750000000000002</v>
      </c>
      <c r="W2741" s="6">
        <v>5.75</v>
      </c>
      <c r="X2741" s="7">
        <v>6.875</v>
      </c>
      <c r="Y2741" s="5">
        <v>7.5</v>
      </c>
      <c r="Z2741" s="7">
        <v>7.875</v>
      </c>
      <c r="AA2741" s="6">
        <v>2.58</v>
      </c>
      <c r="AB2741" s="7">
        <v>25.175000000000001</v>
      </c>
      <c r="AC2741" s="2"/>
    </row>
    <row r="2742" spans="1:29" ht="130" x14ac:dyDescent="0.15">
      <c r="A2742" s="3">
        <f>DATE(1996,10,28)</f>
        <v>35366</v>
      </c>
      <c r="B2742" s="3">
        <f>DATE(1997,5,7)</f>
        <v>35557</v>
      </c>
      <c r="C2742" s="2" t="s">
        <v>95</v>
      </c>
      <c r="D2742" s="2" t="s">
        <v>8746</v>
      </c>
      <c r="E2742" s="2" t="s">
        <v>781</v>
      </c>
      <c r="F2742" s="4">
        <v>7372</v>
      </c>
      <c r="G2742" s="2" t="s">
        <v>551</v>
      </c>
      <c r="H2742" s="2" t="s">
        <v>34</v>
      </c>
      <c r="I2742" s="2" t="s">
        <v>569</v>
      </c>
      <c r="J2742" s="2" t="s">
        <v>2347</v>
      </c>
      <c r="K2742" s="2" t="s">
        <v>551</v>
      </c>
      <c r="L2742" s="2" t="s">
        <v>34</v>
      </c>
      <c r="M2742" s="12">
        <v>2802.6930000000002</v>
      </c>
      <c r="N2742" s="6">
        <v>35.75</v>
      </c>
      <c r="O2742" s="5">
        <v>34.5</v>
      </c>
      <c r="P2742" s="2" t="s">
        <v>8747</v>
      </c>
      <c r="Q2742" s="6">
        <v>100</v>
      </c>
      <c r="R2742" s="6">
        <v>32.299999999999997</v>
      </c>
      <c r="S2742" s="5">
        <v>3.1</v>
      </c>
      <c r="T2742" s="6">
        <v>5.01</v>
      </c>
      <c r="U2742" s="5">
        <v>2.7</v>
      </c>
      <c r="V2742" s="7">
        <v>0.23400000000000001</v>
      </c>
      <c r="W2742" s="6">
        <v>31.75</v>
      </c>
      <c r="X2742" s="5">
        <v>31.5</v>
      </c>
      <c r="Y2742" s="6">
        <v>30.25</v>
      </c>
      <c r="Z2742" s="4">
        <v>28</v>
      </c>
      <c r="AA2742" s="6">
        <v>12.99</v>
      </c>
      <c r="AB2742" s="7">
        <v>113.75</v>
      </c>
      <c r="AC2742" s="6">
        <v>96.64</v>
      </c>
    </row>
    <row r="2743" spans="1:29" ht="169" x14ac:dyDescent="0.15">
      <c r="A2743" s="3">
        <f>DATE(1996,10,28)</f>
        <v>35366</v>
      </c>
      <c r="B2743" s="3">
        <f>DATE(1997,1,15)</f>
        <v>35445</v>
      </c>
      <c r="C2743" s="2" t="s">
        <v>95</v>
      </c>
      <c r="D2743" s="2" t="s">
        <v>8748</v>
      </c>
      <c r="E2743" s="2" t="s">
        <v>8749</v>
      </c>
      <c r="F2743" s="4">
        <v>2891</v>
      </c>
      <c r="G2743" s="2" t="s">
        <v>98</v>
      </c>
      <c r="H2743" s="2" t="s">
        <v>34</v>
      </c>
      <c r="I2743" s="2" t="s">
        <v>8750</v>
      </c>
      <c r="J2743" s="2" t="s">
        <v>8751</v>
      </c>
      <c r="K2743" s="2" t="s">
        <v>358</v>
      </c>
      <c r="L2743" s="2" t="s">
        <v>1049</v>
      </c>
      <c r="M2743" s="2"/>
      <c r="N2743" s="2"/>
      <c r="O2743" s="2"/>
      <c r="P2743" s="2" t="s">
        <v>8752</v>
      </c>
      <c r="Q2743" s="6">
        <v>65.650000000000006</v>
      </c>
      <c r="R2743" s="6">
        <v>61</v>
      </c>
      <c r="S2743" s="5">
        <v>83.9</v>
      </c>
      <c r="T2743" s="7">
        <v>157.50299999999999</v>
      </c>
      <c r="U2743" s="5">
        <v>11.8</v>
      </c>
      <c r="V2743" s="6">
        <v>2.4</v>
      </c>
      <c r="W2743" s="7">
        <v>44.625</v>
      </c>
      <c r="X2743" s="6">
        <v>46.25</v>
      </c>
      <c r="Y2743" s="4">
        <v>58</v>
      </c>
      <c r="Z2743" s="5">
        <v>58.5</v>
      </c>
      <c r="AA2743" s="6">
        <v>32.020000000000003</v>
      </c>
      <c r="AB2743" s="7">
        <v>17.155999999999999</v>
      </c>
      <c r="AC2743" s="6">
        <v>236.67</v>
      </c>
    </row>
    <row r="2744" spans="1:29" ht="117" x14ac:dyDescent="0.15">
      <c r="A2744" s="3">
        <f>DATE(1996,10,28)</f>
        <v>35366</v>
      </c>
      <c r="B2744" s="3">
        <f>DATE(1997,4,25)</f>
        <v>35545</v>
      </c>
      <c r="C2744" s="2" t="s">
        <v>95</v>
      </c>
      <c r="D2744" s="2" t="s">
        <v>4422</v>
      </c>
      <c r="E2744" s="2" t="s">
        <v>36</v>
      </c>
      <c r="F2744" s="4">
        <v>6021</v>
      </c>
      <c r="G2744" s="2" t="s">
        <v>37</v>
      </c>
      <c r="H2744" s="2" t="s">
        <v>34</v>
      </c>
      <c r="I2744" s="2" t="s">
        <v>2452</v>
      </c>
      <c r="J2744" s="2" t="s">
        <v>265</v>
      </c>
      <c r="K2744" s="2" t="s">
        <v>37</v>
      </c>
      <c r="L2744" s="2" t="s">
        <v>34</v>
      </c>
      <c r="M2744" s="12">
        <v>3116.672</v>
      </c>
      <c r="N2744" s="4">
        <v>50</v>
      </c>
      <c r="O2744" s="7">
        <v>50.125</v>
      </c>
      <c r="P2744" s="2" t="s">
        <v>8753</v>
      </c>
      <c r="Q2744" s="6">
        <v>100</v>
      </c>
      <c r="R2744" s="6">
        <v>49.5</v>
      </c>
      <c r="S2744" s="5">
        <v>47.7</v>
      </c>
      <c r="T2744" s="7">
        <v>78.385000000000005</v>
      </c>
      <c r="U2744" s="5">
        <v>17.100000000000001</v>
      </c>
      <c r="V2744" s="6">
        <v>2.93</v>
      </c>
      <c r="W2744" s="6">
        <v>42.25</v>
      </c>
      <c r="X2744" s="7">
        <v>42.375</v>
      </c>
      <c r="Y2744" s="4">
        <v>46</v>
      </c>
      <c r="Z2744" s="5">
        <v>46.5</v>
      </c>
      <c r="AA2744" s="6">
        <v>16.010000000000002</v>
      </c>
      <c r="AB2744" s="7">
        <v>13.72</v>
      </c>
      <c r="AC2744" s="2"/>
    </row>
    <row r="2745" spans="1:29" ht="156" x14ac:dyDescent="0.15">
      <c r="A2745" s="3">
        <f>DATE(1996,10,28)</f>
        <v>35366</v>
      </c>
      <c r="B2745" s="3">
        <f>DATE(1997,5,30)</f>
        <v>35580</v>
      </c>
      <c r="C2745" s="2" t="s">
        <v>95</v>
      </c>
      <c r="D2745" s="2" t="s">
        <v>8754</v>
      </c>
      <c r="E2745" s="2" t="s">
        <v>36</v>
      </c>
      <c r="F2745" s="4">
        <v>6022</v>
      </c>
      <c r="G2745" s="2" t="s">
        <v>37</v>
      </c>
      <c r="H2745" s="2" t="s">
        <v>34</v>
      </c>
      <c r="I2745" s="2" t="s">
        <v>8755</v>
      </c>
      <c r="J2745" s="2" t="s">
        <v>2337</v>
      </c>
      <c r="K2745" s="2" t="s">
        <v>37</v>
      </c>
      <c r="L2745" s="2" t="s">
        <v>34</v>
      </c>
      <c r="M2745" s="12">
        <v>1421.588</v>
      </c>
      <c r="N2745" s="7">
        <v>44.625</v>
      </c>
      <c r="O2745" s="7">
        <v>44.875</v>
      </c>
      <c r="P2745" s="2" t="s">
        <v>8756</v>
      </c>
      <c r="Q2745" s="6">
        <v>100</v>
      </c>
      <c r="R2745" s="6">
        <v>24.12</v>
      </c>
      <c r="S2745" s="5">
        <v>10.4</v>
      </c>
      <c r="T2745" s="7">
        <v>16.303000000000001</v>
      </c>
      <c r="U2745" s="5">
        <v>11.5</v>
      </c>
      <c r="V2745" s="7">
        <v>1.5649999999999999</v>
      </c>
      <c r="W2745" s="6">
        <v>17.25</v>
      </c>
      <c r="X2745" s="4">
        <v>19</v>
      </c>
      <c r="Y2745" s="6">
        <v>19.25</v>
      </c>
      <c r="Z2745" s="4">
        <v>23</v>
      </c>
      <c r="AA2745" s="6">
        <v>6.65</v>
      </c>
      <c r="AB2745" s="7">
        <v>57.402999999999999</v>
      </c>
      <c r="AC2745" s="2"/>
    </row>
    <row r="2746" spans="1:29" ht="130" x14ac:dyDescent="0.15">
      <c r="A2746" s="3">
        <f>DATE(1996,10,28)</f>
        <v>35366</v>
      </c>
      <c r="B2746" s="3">
        <f>DATE(1997,5,29)</f>
        <v>35579</v>
      </c>
      <c r="C2746" s="2" t="s">
        <v>95</v>
      </c>
      <c r="D2746" s="2" t="s">
        <v>8757</v>
      </c>
      <c r="E2746" s="2" t="s">
        <v>8758</v>
      </c>
      <c r="F2746" s="4">
        <v>4841</v>
      </c>
      <c r="G2746" s="2" t="s">
        <v>45</v>
      </c>
      <c r="H2746" s="2" t="s">
        <v>34</v>
      </c>
      <c r="I2746" s="2" t="s">
        <v>4375</v>
      </c>
      <c r="J2746" s="2" t="s">
        <v>1604</v>
      </c>
      <c r="K2746" s="2" t="s">
        <v>63</v>
      </c>
      <c r="L2746" s="2" t="s">
        <v>34</v>
      </c>
      <c r="M2746" s="8">
        <v>36778</v>
      </c>
      <c r="N2746" s="6">
        <v>39.75</v>
      </c>
      <c r="O2746" s="7">
        <v>40.625</v>
      </c>
      <c r="P2746" s="2" t="s">
        <v>8759</v>
      </c>
      <c r="Q2746" s="6">
        <v>100</v>
      </c>
      <c r="R2746" s="6">
        <v>18.989999999999998</v>
      </c>
      <c r="S2746" s="5">
        <v>-0.5</v>
      </c>
      <c r="T2746" s="7">
        <v>-1.4E-2</v>
      </c>
      <c r="U2746" s="5">
        <v>1.4</v>
      </c>
      <c r="V2746" s="7">
        <v>-0.51100000000000001</v>
      </c>
      <c r="W2746" s="5">
        <v>10.5</v>
      </c>
      <c r="X2746" s="4">
        <v>10</v>
      </c>
      <c r="Y2746" s="5">
        <v>10.5</v>
      </c>
      <c r="Z2746" s="5">
        <v>10.5</v>
      </c>
      <c r="AA2746" s="6">
        <v>2</v>
      </c>
      <c r="AB2746" s="2" t="s">
        <v>86</v>
      </c>
      <c r="AC2746" s="8">
        <v>1782</v>
      </c>
    </row>
    <row r="2747" spans="1:29" ht="91" x14ac:dyDescent="0.15">
      <c r="A2747" s="3">
        <f>DATE(1996,10,29)</f>
        <v>35367</v>
      </c>
      <c r="B2747" s="2"/>
      <c r="C2747" s="2" t="s">
        <v>30</v>
      </c>
      <c r="D2747" s="2" t="s">
        <v>8760</v>
      </c>
      <c r="E2747" s="2" t="s">
        <v>8761</v>
      </c>
      <c r="F2747" s="4">
        <v>3555</v>
      </c>
      <c r="G2747" s="2" t="s">
        <v>300</v>
      </c>
      <c r="H2747" s="2" t="s">
        <v>34</v>
      </c>
      <c r="I2747" s="2" t="s">
        <v>8762</v>
      </c>
      <c r="J2747" s="2" t="s">
        <v>8763</v>
      </c>
      <c r="K2747" s="2" t="s">
        <v>53</v>
      </c>
      <c r="L2747" s="2" t="s">
        <v>34</v>
      </c>
      <c r="M2747" s="2"/>
      <c r="N2747" s="2"/>
      <c r="O2747" s="2"/>
      <c r="P2747" s="2" t="s">
        <v>8764</v>
      </c>
      <c r="Q2747" s="2"/>
      <c r="R2747" s="6">
        <v>4.5</v>
      </c>
      <c r="S2747" s="5">
        <v>-45.5</v>
      </c>
      <c r="T2747" s="7">
        <v>-5.2409999999999997</v>
      </c>
      <c r="U2747" s="5">
        <v>0.8</v>
      </c>
      <c r="V2747" s="7">
        <v>-16.225000000000001</v>
      </c>
      <c r="W2747" s="7">
        <v>2.125</v>
      </c>
      <c r="X2747" s="7">
        <v>3.8130000000000002</v>
      </c>
      <c r="Y2747" s="5">
        <v>3.5</v>
      </c>
      <c r="Z2747" s="4">
        <v>3</v>
      </c>
      <c r="AA2747" s="6">
        <v>7.01</v>
      </c>
      <c r="AB2747" s="2" t="s">
        <v>86</v>
      </c>
      <c r="AC2747" s="2"/>
    </row>
    <row r="2748" spans="1:29" ht="91" x14ac:dyDescent="0.15">
      <c r="A2748" s="3">
        <f>DATE(1996,10,29)</f>
        <v>35367</v>
      </c>
      <c r="B2748" s="2"/>
      <c r="C2748" s="2" t="s">
        <v>30</v>
      </c>
      <c r="D2748" s="2" t="s">
        <v>8765</v>
      </c>
      <c r="E2748" s="2" t="s">
        <v>129</v>
      </c>
      <c r="F2748" s="4">
        <v>2834</v>
      </c>
      <c r="G2748" s="2" t="s">
        <v>130</v>
      </c>
      <c r="H2748" s="2" t="s">
        <v>34</v>
      </c>
      <c r="I2748" s="2" t="s">
        <v>149</v>
      </c>
      <c r="J2748" s="2" t="s">
        <v>150</v>
      </c>
      <c r="K2748" s="2" t="s">
        <v>53</v>
      </c>
      <c r="L2748" s="2" t="s">
        <v>151</v>
      </c>
      <c r="M2748" s="2"/>
      <c r="N2748" s="2"/>
      <c r="O2748" s="2"/>
      <c r="P2748" s="2" t="s">
        <v>8766</v>
      </c>
      <c r="Q2748" s="2"/>
      <c r="R2748" s="6">
        <v>20</v>
      </c>
      <c r="S2748" s="5">
        <v>7.6</v>
      </c>
      <c r="T2748" s="7">
        <v>84.174000000000007</v>
      </c>
      <c r="U2748" s="5">
        <v>7.2</v>
      </c>
      <c r="V2748" s="6">
        <v>0.16</v>
      </c>
      <c r="W2748" s="7">
        <v>11.875</v>
      </c>
      <c r="X2748" s="7">
        <v>11.875</v>
      </c>
      <c r="Y2748" s="6">
        <v>11.75</v>
      </c>
      <c r="Z2748" s="4">
        <v>15</v>
      </c>
      <c r="AA2748" s="6">
        <v>46.39</v>
      </c>
      <c r="AB2748" s="7">
        <v>15.497</v>
      </c>
      <c r="AC2748" s="2"/>
    </row>
    <row r="2749" spans="1:29" ht="130" x14ac:dyDescent="0.15">
      <c r="A2749" s="3">
        <f>DATE(1996,10,29)</f>
        <v>35367</v>
      </c>
      <c r="B2749" s="3">
        <f>DATE(1997,5,5)</f>
        <v>35555</v>
      </c>
      <c r="C2749" s="2" t="s">
        <v>95</v>
      </c>
      <c r="D2749" s="2" t="s">
        <v>8767</v>
      </c>
      <c r="E2749" s="2" t="s">
        <v>36</v>
      </c>
      <c r="F2749" s="4">
        <v>6021</v>
      </c>
      <c r="G2749" s="2" t="s">
        <v>37</v>
      </c>
      <c r="H2749" s="2" t="s">
        <v>34</v>
      </c>
      <c r="I2749" s="2" t="s">
        <v>8768</v>
      </c>
      <c r="J2749" s="2" t="s">
        <v>3780</v>
      </c>
      <c r="K2749" s="2" t="s">
        <v>37</v>
      </c>
      <c r="L2749" s="2" t="s">
        <v>34</v>
      </c>
      <c r="M2749" s="7">
        <v>347.58800000000002</v>
      </c>
      <c r="N2749" s="7">
        <v>48.625</v>
      </c>
      <c r="O2749" s="4">
        <v>48</v>
      </c>
      <c r="P2749" s="2" t="s">
        <v>8769</v>
      </c>
      <c r="Q2749" s="6">
        <v>100</v>
      </c>
      <c r="R2749" s="6">
        <v>28.9</v>
      </c>
      <c r="S2749" s="5">
        <v>6.2</v>
      </c>
      <c r="T2749" s="2"/>
      <c r="U2749" s="5">
        <v>12.8</v>
      </c>
      <c r="V2749" s="6">
        <v>1.71</v>
      </c>
      <c r="W2749" s="7">
        <v>28.125</v>
      </c>
      <c r="X2749" s="4">
        <v>29</v>
      </c>
      <c r="Y2749" s="4">
        <v>27</v>
      </c>
      <c r="Z2749" s="4">
        <v>27</v>
      </c>
      <c r="AA2749" s="6">
        <v>3.57</v>
      </c>
      <c r="AB2749" s="7">
        <v>67.149000000000001</v>
      </c>
      <c r="AC2749" s="2"/>
    </row>
    <row r="2750" spans="1:29" ht="130" x14ac:dyDescent="0.15">
      <c r="A2750" s="3">
        <f>DATE(1996,10,29)</f>
        <v>35367</v>
      </c>
      <c r="B2750" s="2"/>
      <c r="C2750" s="2" t="s">
        <v>30</v>
      </c>
      <c r="D2750" s="2" t="s">
        <v>8770</v>
      </c>
      <c r="E2750" s="2" t="s">
        <v>8771</v>
      </c>
      <c r="F2750" s="4">
        <v>3663</v>
      </c>
      <c r="G2750" s="2" t="s">
        <v>921</v>
      </c>
      <c r="H2750" s="2" t="s">
        <v>34</v>
      </c>
      <c r="I2750" s="2" t="s">
        <v>8772</v>
      </c>
      <c r="J2750" s="2" t="s">
        <v>8773</v>
      </c>
      <c r="K2750" s="2" t="s">
        <v>921</v>
      </c>
      <c r="L2750" s="2" t="s">
        <v>34</v>
      </c>
      <c r="M2750" s="12">
        <v>1273.1959999999999</v>
      </c>
      <c r="N2750" s="6">
        <v>35.25</v>
      </c>
      <c r="O2750" s="6">
        <v>38.25</v>
      </c>
      <c r="P2750" s="2" t="s">
        <v>8774</v>
      </c>
      <c r="Q2750" s="2"/>
      <c r="R2750" s="6">
        <v>36.659999999999997</v>
      </c>
      <c r="S2750" s="5">
        <v>2.8</v>
      </c>
      <c r="T2750" s="7">
        <v>1.774</v>
      </c>
      <c r="U2750" s="5">
        <v>1.3</v>
      </c>
      <c r="V2750" s="7">
        <v>0.17499999999999999</v>
      </c>
      <c r="W2750" s="4">
        <v>21</v>
      </c>
      <c r="X2750" s="7">
        <v>18.702999999999999</v>
      </c>
      <c r="Y2750" s="5">
        <v>21.5</v>
      </c>
      <c r="Z2750" s="6">
        <v>23.25</v>
      </c>
      <c r="AA2750" s="6">
        <v>7.62</v>
      </c>
      <c r="AB2750" s="7">
        <v>445.75200000000001</v>
      </c>
      <c r="AC2750" s="6">
        <v>27.99</v>
      </c>
    </row>
    <row r="2751" spans="1:29" ht="130" x14ac:dyDescent="0.15">
      <c r="A2751" s="3">
        <f>DATE(1996,10,30)</f>
        <v>35368</v>
      </c>
      <c r="B2751" s="2"/>
      <c r="C2751" s="2" t="s">
        <v>30</v>
      </c>
      <c r="D2751" s="2" t="s">
        <v>8775</v>
      </c>
      <c r="E2751" s="2" t="s">
        <v>8776</v>
      </c>
      <c r="F2751" s="4">
        <v>6211</v>
      </c>
      <c r="G2751" s="2" t="s">
        <v>53</v>
      </c>
      <c r="H2751" s="2" t="s">
        <v>34</v>
      </c>
      <c r="I2751" s="2" t="s">
        <v>8777</v>
      </c>
      <c r="J2751" s="2" t="s">
        <v>124</v>
      </c>
      <c r="K2751" s="2" t="s">
        <v>125</v>
      </c>
      <c r="L2751" s="2" t="s">
        <v>34</v>
      </c>
      <c r="M2751" s="2"/>
      <c r="N2751" s="2"/>
      <c r="O2751" s="2"/>
      <c r="P2751" s="2" t="s">
        <v>8778</v>
      </c>
      <c r="Q2751" s="2"/>
      <c r="R2751" s="6">
        <v>3.78</v>
      </c>
      <c r="S2751" s="5">
        <v>-1.6</v>
      </c>
      <c r="T2751" s="2"/>
      <c r="U2751" s="8">
        <v>18314.900000000001</v>
      </c>
      <c r="V2751" s="6">
        <v>-3900</v>
      </c>
      <c r="W2751" s="7">
        <v>3.625</v>
      </c>
      <c r="X2751" s="7">
        <v>3.625</v>
      </c>
      <c r="Y2751" s="7">
        <v>3.6880000000000002</v>
      </c>
      <c r="Z2751" s="7">
        <v>3.6880000000000002</v>
      </c>
      <c r="AA2751" s="6">
        <v>2.62</v>
      </c>
      <c r="AB2751" s="2" t="s">
        <v>86</v>
      </c>
      <c r="AC2751" s="2"/>
    </row>
    <row r="2752" spans="1:29" ht="143" x14ac:dyDescent="0.15">
      <c r="A2752" s="3">
        <f>DATE(1996,10,30)</f>
        <v>35368</v>
      </c>
      <c r="B2752" s="2"/>
      <c r="C2752" s="2" t="s">
        <v>30</v>
      </c>
      <c r="D2752" s="2" t="s">
        <v>8779</v>
      </c>
      <c r="E2752" s="2" t="s">
        <v>6734</v>
      </c>
      <c r="F2752" s="4">
        <v>6141</v>
      </c>
      <c r="G2752" s="2" t="s">
        <v>370</v>
      </c>
      <c r="H2752" s="2" t="s">
        <v>34</v>
      </c>
      <c r="I2752" s="2" t="s">
        <v>8780</v>
      </c>
      <c r="J2752" s="2" t="s">
        <v>36</v>
      </c>
      <c r="K2752" s="2" t="s">
        <v>33</v>
      </c>
      <c r="L2752" s="2" t="s">
        <v>34</v>
      </c>
      <c r="M2752" s="2"/>
      <c r="N2752" s="2"/>
      <c r="O2752" s="2"/>
      <c r="P2752" s="2" t="s">
        <v>8781</v>
      </c>
      <c r="Q2752" s="2"/>
      <c r="R2752" s="6">
        <v>3.25</v>
      </c>
      <c r="S2752" s="5">
        <v>-0.2</v>
      </c>
      <c r="T2752" s="7">
        <v>1.7789999999999999</v>
      </c>
      <c r="U2752" s="5">
        <v>16.3</v>
      </c>
      <c r="V2752" s="6">
        <v>0.5</v>
      </c>
      <c r="W2752" s="4">
        <v>3</v>
      </c>
      <c r="X2752" s="7">
        <v>2.8130000000000002</v>
      </c>
      <c r="Y2752" s="7">
        <v>3.0630000000000002</v>
      </c>
      <c r="Z2752" s="7">
        <v>3.3130000000000002</v>
      </c>
      <c r="AA2752" s="6">
        <v>6.95</v>
      </c>
      <c r="AB2752" s="7">
        <v>57.865000000000002</v>
      </c>
      <c r="AC2752" s="2"/>
    </row>
    <row r="2753" spans="1:29" ht="143" x14ac:dyDescent="0.15">
      <c r="A2753" s="3">
        <f>DATE(1996,10,30)</f>
        <v>35368</v>
      </c>
      <c r="B2753" s="2"/>
      <c r="C2753" s="2" t="s">
        <v>30</v>
      </c>
      <c r="D2753" s="2" t="s">
        <v>8779</v>
      </c>
      <c r="E2753" s="2" t="s">
        <v>6734</v>
      </c>
      <c r="F2753" s="4">
        <v>6141</v>
      </c>
      <c r="G2753" s="2" t="s">
        <v>370</v>
      </c>
      <c r="H2753" s="2" t="s">
        <v>34</v>
      </c>
      <c r="I2753" s="2" t="s">
        <v>8780</v>
      </c>
      <c r="J2753" s="2" t="s">
        <v>36</v>
      </c>
      <c r="K2753" s="2" t="s">
        <v>33</v>
      </c>
      <c r="L2753" s="2" t="s">
        <v>34</v>
      </c>
      <c r="M2753" s="2"/>
      <c r="N2753" s="2"/>
      <c r="O2753" s="2"/>
      <c r="P2753" s="2" t="s">
        <v>8782</v>
      </c>
      <c r="Q2753" s="2"/>
      <c r="R2753" s="6">
        <v>7</v>
      </c>
      <c r="S2753" s="5">
        <v>-0.2</v>
      </c>
      <c r="T2753" s="7">
        <v>1.7789999999999999</v>
      </c>
      <c r="U2753" s="5">
        <v>16.3</v>
      </c>
      <c r="V2753" s="6">
        <v>0.5</v>
      </c>
      <c r="W2753" s="4">
        <v>3</v>
      </c>
      <c r="X2753" s="7">
        <v>2.8130000000000002</v>
      </c>
      <c r="Y2753" s="7">
        <v>3.0630000000000002</v>
      </c>
      <c r="Z2753" s="7">
        <v>3.3130000000000002</v>
      </c>
      <c r="AA2753" s="6">
        <v>6.95</v>
      </c>
      <c r="AB2753" s="7">
        <v>63.965000000000003</v>
      </c>
      <c r="AC2753" s="2"/>
    </row>
    <row r="2754" spans="1:29" ht="117" x14ac:dyDescent="0.15">
      <c r="A2754" s="3">
        <f>DATE(1996,10,30)</f>
        <v>35368</v>
      </c>
      <c r="B2754" s="3">
        <f>DATE(1996,12,20)</f>
        <v>35419</v>
      </c>
      <c r="C2754" s="2" t="s">
        <v>95</v>
      </c>
      <c r="D2754" s="2" t="s">
        <v>7122</v>
      </c>
      <c r="E2754" s="2" t="s">
        <v>7123</v>
      </c>
      <c r="F2754" s="4">
        <v>8049</v>
      </c>
      <c r="G2754" s="2" t="s">
        <v>454</v>
      </c>
      <c r="H2754" s="2" t="s">
        <v>34</v>
      </c>
      <c r="I2754" s="2" t="s">
        <v>6062</v>
      </c>
      <c r="J2754" s="2" t="s">
        <v>4031</v>
      </c>
      <c r="K2754" s="2" t="s">
        <v>454</v>
      </c>
      <c r="L2754" s="2" t="s">
        <v>34</v>
      </c>
      <c r="M2754" s="7">
        <v>618.68799999999999</v>
      </c>
      <c r="N2754" s="7">
        <v>10.125</v>
      </c>
      <c r="O2754" s="7">
        <v>10.375</v>
      </c>
      <c r="P2754" s="2" t="s">
        <v>8783</v>
      </c>
      <c r="Q2754" s="6">
        <v>93.9</v>
      </c>
      <c r="R2754" s="6">
        <v>6.5</v>
      </c>
      <c r="S2754" s="5">
        <v>-7.3</v>
      </c>
      <c r="T2754" s="7">
        <v>-2.448</v>
      </c>
      <c r="U2754" s="5">
        <v>4</v>
      </c>
      <c r="V2754" s="7">
        <v>-0.89200000000000002</v>
      </c>
      <c r="W2754" s="4">
        <v>4</v>
      </c>
      <c r="X2754" s="7">
        <v>3.875</v>
      </c>
      <c r="Y2754" s="7">
        <v>5.125</v>
      </c>
      <c r="Z2754" s="7">
        <v>5.375</v>
      </c>
      <c r="AA2754" s="6">
        <v>8.31</v>
      </c>
      <c r="AB2754" s="2" t="s">
        <v>86</v>
      </c>
      <c r="AC2754" s="6">
        <v>31.31</v>
      </c>
    </row>
    <row r="2755" spans="1:29" ht="143" x14ac:dyDescent="0.15">
      <c r="A2755" s="3">
        <f>DATE(1996,10,30)</f>
        <v>35368</v>
      </c>
      <c r="B2755" s="3">
        <f>DATE(1997,4,8)</f>
        <v>35528</v>
      </c>
      <c r="C2755" s="2" t="s">
        <v>95</v>
      </c>
      <c r="D2755" s="2" t="s">
        <v>8784</v>
      </c>
      <c r="E2755" s="2" t="s">
        <v>6423</v>
      </c>
      <c r="F2755" s="4">
        <v>5411</v>
      </c>
      <c r="G2755" s="2" t="s">
        <v>1461</v>
      </c>
      <c r="H2755" s="2" t="s">
        <v>34</v>
      </c>
      <c r="I2755" s="2" t="s">
        <v>8785</v>
      </c>
      <c r="J2755" s="2" t="s">
        <v>4522</v>
      </c>
      <c r="K2755" s="2" t="s">
        <v>1461</v>
      </c>
      <c r="L2755" s="2" t="s">
        <v>34</v>
      </c>
      <c r="M2755" s="12">
        <v>9514.6119999999992</v>
      </c>
      <c r="N2755" s="7">
        <v>42.125</v>
      </c>
      <c r="O2755" s="7">
        <v>42.875</v>
      </c>
      <c r="P2755" s="2" t="s">
        <v>8786</v>
      </c>
      <c r="Q2755" s="6">
        <v>67.69</v>
      </c>
      <c r="R2755" s="6">
        <v>54.68</v>
      </c>
      <c r="S2755" s="5">
        <v>68.099999999999994</v>
      </c>
      <c r="T2755" s="5">
        <v>316.89999999999998</v>
      </c>
      <c r="U2755" s="5">
        <v>14.3</v>
      </c>
      <c r="V2755" s="6">
        <v>1.55</v>
      </c>
      <c r="W2755" s="4">
        <v>45</v>
      </c>
      <c r="X2755" s="7">
        <v>43.125</v>
      </c>
      <c r="Y2755" s="7">
        <v>54.344000000000001</v>
      </c>
      <c r="Z2755" s="7">
        <v>55.453000000000003</v>
      </c>
      <c r="AA2755" s="6">
        <v>43.82</v>
      </c>
      <c r="AB2755" s="7">
        <v>16.353999999999999</v>
      </c>
      <c r="AC2755" s="5">
        <v>74.8</v>
      </c>
    </row>
    <row r="2756" spans="1:29" ht="130" x14ac:dyDescent="0.15">
      <c r="A2756" s="3">
        <f>DATE(1996,10,31)</f>
        <v>35369</v>
      </c>
      <c r="B2756" s="3">
        <f>DATE(1997,7,1)</f>
        <v>35612</v>
      </c>
      <c r="C2756" s="2" t="s">
        <v>95</v>
      </c>
      <c r="D2756" s="2" t="s">
        <v>4738</v>
      </c>
      <c r="E2756" s="2" t="s">
        <v>4739</v>
      </c>
      <c r="F2756" s="4">
        <v>7948</v>
      </c>
      <c r="G2756" s="2" t="s">
        <v>364</v>
      </c>
      <c r="H2756" s="2" t="s">
        <v>34</v>
      </c>
      <c r="I2756" s="2" t="s">
        <v>8787</v>
      </c>
      <c r="J2756" s="2" t="s">
        <v>92</v>
      </c>
      <c r="K2756" s="2" t="s">
        <v>53</v>
      </c>
      <c r="L2756" s="2" t="s">
        <v>34</v>
      </c>
      <c r="M2756" s="6">
        <v>687.75</v>
      </c>
      <c r="N2756" s="7">
        <v>35.125</v>
      </c>
      <c r="O2756" s="7">
        <v>34.625</v>
      </c>
      <c r="P2756" s="2" t="s">
        <v>8788</v>
      </c>
      <c r="Q2756" s="6">
        <v>100</v>
      </c>
      <c r="R2756" s="6">
        <v>33</v>
      </c>
      <c r="S2756" s="5">
        <v>4.2</v>
      </c>
      <c r="T2756" s="7">
        <v>5.7409999999999997</v>
      </c>
      <c r="U2756" s="5">
        <v>2.1</v>
      </c>
      <c r="V2756" s="9">
        <v>0.37880000000000003</v>
      </c>
      <c r="W2756" s="5">
        <v>17.5</v>
      </c>
      <c r="X2756" s="7">
        <v>17.625</v>
      </c>
      <c r="Y2756" s="7">
        <v>17.875</v>
      </c>
      <c r="Z2756" s="5">
        <v>17.5</v>
      </c>
      <c r="AA2756" s="6">
        <v>5.9</v>
      </c>
      <c r="AB2756" s="7">
        <v>85.567999999999998</v>
      </c>
      <c r="AC2756" s="6">
        <v>4.7699999999999996</v>
      </c>
    </row>
    <row r="2757" spans="1:29" ht="130" x14ac:dyDescent="0.15">
      <c r="A2757" s="3">
        <f>DATE(1996,10,31)</f>
        <v>35369</v>
      </c>
      <c r="B2757" s="3">
        <f>DATE(1996,12,18)</f>
        <v>35417</v>
      </c>
      <c r="C2757" s="2" t="s">
        <v>95</v>
      </c>
      <c r="D2757" s="2" t="s">
        <v>8355</v>
      </c>
      <c r="E2757" s="2" t="s">
        <v>7684</v>
      </c>
      <c r="F2757" s="4">
        <v>5411</v>
      </c>
      <c r="G2757" s="2" t="s">
        <v>1461</v>
      </c>
      <c r="H2757" s="2" t="s">
        <v>34</v>
      </c>
      <c r="I2757" s="2" t="s">
        <v>8356</v>
      </c>
      <c r="J2757" s="2" t="s">
        <v>8357</v>
      </c>
      <c r="K2757" s="2" t="s">
        <v>1461</v>
      </c>
      <c r="L2757" s="2" t="s">
        <v>34</v>
      </c>
      <c r="M2757" s="12">
        <v>4220.2839999999997</v>
      </c>
      <c r="N2757" s="7">
        <v>8.5630000000000006</v>
      </c>
      <c r="O2757" s="7">
        <v>9.125</v>
      </c>
      <c r="P2757" s="2" t="s">
        <v>8789</v>
      </c>
      <c r="Q2757" s="6">
        <v>100</v>
      </c>
      <c r="R2757" s="6">
        <v>26</v>
      </c>
      <c r="S2757" s="5">
        <v>2.6</v>
      </c>
      <c r="T2757" s="7">
        <v>59.337000000000003</v>
      </c>
      <c r="U2757" s="5">
        <v>11.3</v>
      </c>
      <c r="V2757" s="7">
        <v>0.55800000000000005</v>
      </c>
      <c r="W2757" s="5">
        <v>19.5</v>
      </c>
      <c r="X2757" s="6">
        <v>23.75</v>
      </c>
      <c r="Y2757" s="4">
        <v>24</v>
      </c>
      <c r="Z2757" s="5">
        <v>25.5</v>
      </c>
      <c r="AA2757" s="6">
        <v>4.67</v>
      </c>
      <c r="AB2757" s="7">
        <v>10.347</v>
      </c>
      <c r="AC2757" s="6">
        <v>70.040000000000006</v>
      </c>
    </row>
    <row r="2758" spans="1:29" ht="234" x14ac:dyDescent="0.15">
      <c r="A2758" s="3">
        <f>DATE(1996,11,1)</f>
        <v>35370</v>
      </c>
      <c r="B2758" s="2"/>
      <c r="C2758" s="2" t="s">
        <v>30</v>
      </c>
      <c r="D2758" s="2" t="s">
        <v>559</v>
      </c>
      <c r="E2758" s="2" t="s">
        <v>560</v>
      </c>
      <c r="F2758" s="4">
        <v>4813</v>
      </c>
      <c r="G2758" s="2" t="s">
        <v>63</v>
      </c>
      <c r="H2758" s="2" t="s">
        <v>34</v>
      </c>
      <c r="I2758" s="2" t="s">
        <v>8790</v>
      </c>
      <c r="J2758" s="2" t="s">
        <v>6519</v>
      </c>
      <c r="K2758" s="2" t="s">
        <v>63</v>
      </c>
      <c r="L2758" s="2" t="s">
        <v>303</v>
      </c>
      <c r="M2758" s="2"/>
      <c r="N2758" s="2"/>
      <c r="O2758" s="2"/>
      <c r="P2758" s="2" t="s">
        <v>8791</v>
      </c>
      <c r="Q2758" s="2"/>
      <c r="R2758" s="6">
        <v>32.64</v>
      </c>
      <c r="S2758" s="5">
        <v>548</v>
      </c>
      <c r="T2758" s="8">
        <v>3005</v>
      </c>
      <c r="U2758" s="5">
        <v>14</v>
      </c>
      <c r="V2758" s="6">
        <v>0.8</v>
      </c>
      <c r="W2758" s="7">
        <v>25.375</v>
      </c>
      <c r="X2758" s="7">
        <v>25.125</v>
      </c>
      <c r="Y2758" s="7">
        <v>30.187999999999999</v>
      </c>
      <c r="Z2758" s="6">
        <v>30.75</v>
      </c>
      <c r="AA2758" s="6">
        <v>691.85</v>
      </c>
      <c r="AB2758" s="7">
        <v>16.016999999999999</v>
      </c>
      <c r="AC2758" s="2"/>
    </row>
    <row r="2759" spans="1:29" ht="156" x14ac:dyDescent="0.15">
      <c r="A2759" s="3">
        <f>DATE(1996,11,4)</f>
        <v>35373</v>
      </c>
      <c r="B2759" s="3">
        <f>DATE(1997,2,27)</f>
        <v>35488</v>
      </c>
      <c r="C2759" s="2" t="s">
        <v>95</v>
      </c>
      <c r="D2759" s="2" t="s">
        <v>8792</v>
      </c>
      <c r="E2759" s="2" t="s">
        <v>8793</v>
      </c>
      <c r="F2759" s="4">
        <v>5912</v>
      </c>
      <c r="G2759" s="2" t="s">
        <v>73</v>
      </c>
      <c r="H2759" s="2" t="s">
        <v>34</v>
      </c>
      <c r="I2759" s="2" t="s">
        <v>7825</v>
      </c>
      <c r="J2759" s="2" t="s">
        <v>7826</v>
      </c>
      <c r="K2759" s="2" t="s">
        <v>756</v>
      </c>
      <c r="L2759" s="2" t="s">
        <v>34</v>
      </c>
      <c r="M2759" s="12">
        <v>11953.993</v>
      </c>
      <c r="N2759" s="7">
        <v>51.125</v>
      </c>
      <c r="O2759" s="6">
        <v>53.75</v>
      </c>
      <c r="P2759" s="2" t="s">
        <v>8794</v>
      </c>
      <c r="Q2759" s="6">
        <v>100</v>
      </c>
      <c r="R2759" s="6">
        <v>35</v>
      </c>
      <c r="S2759" s="5">
        <v>41.4</v>
      </c>
      <c r="T2759" s="7">
        <v>242.25200000000001</v>
      </c>
      <c r="U2759" s="5">
        <v>-2.8</v>
      </c>
      <c r="V2759" s="6">
        <v>0.62</v>
      </c>
      <c r="W2759" s="6">
        <v>27.25</v>
      </c>
      <c r="X2759" s="7">
        <v>28.875</v>
      </c>
      <c r="Y2759" s="7">
        <v>33.280999999999999</v>
      </c>
      <c r="Z2759" s="7">
        <v>34.140999999999998</v>
      </c>
      <c r="AA2759" s="6">
        <v>70.42</v>
      </c>
      <c r="AB2759" s="7">
        <v>21.818999999999999</v>
      </c>
      <c r="AC2759" s="5">
        <v>173</v>
      </c>
    </row>
    <row r="2760" spans="1:29" ht="78" x14ac:dyDescent="0.15">
      <c r="A2760" s="3">
        <f>DATE(1996,11,4)</f>
        <v>35373</v>
      </c>
      <c r="B2760" s="3">
        <f>DATE(1997,3,5)</f>
        <v>35494</v>
      </c>
      <c r="C2760" s="2" t="s">
        <v>95</v>
      </c>
      <c r="D2760" s="2" t="s">
        <v>547</v>
      </c>
      <c r="E2760" s="2" t="s">
        <v>32</v>
      </c>
      <c r="F2760" s="4">
        <v>6036</v>
      </c>
      <c r="G2760" s="2" t="s">
        <v>33</v>
      </c>
      <c r="H2760" s="2" t="s">
        <v>34</v>
      </c>
      <c r="I2760" s="2" t="s">
        <v>8795</v>
      </c>
      <c r="J2760" s="2" t="s">
        <v>8796</v>
      </c>
      <c r="K2760" s="2" t="s">
        <v>37</v>
      </c>
      <c r="L2760" s="2" t="s">
        <v>34</v>
      </c>
      <c r="M2760" s="2"/>
      <c r="N2760" s="2"/>
      <c r="O2760" s="2"/>
      <c r="P2760" s="2" t="s">
        <v>8797</v>
      </c>
      <c r="Q2760" s="6">
        <v>100</v>
      </c>
      <c r="R2760" s="6">
        <v>51</v>
      </c>
      <c r="S2760" s="5">
        <v>4.2</v>
      </c>
      <c r="T2760" s="7">
        <v>7.181</v>
      </c>
      <c r="U2760" s="5">
        <v>23.5</v>
      </c>
      <c r="V2760" s="7">
        <v>2.6819999999999999</v>
      </c>
      <c r="W2760" s="6">
        <v>34.75</v>
      </c>
      <c r="X2760" s="4">
        <v>37</v>
      </c>
      <c r="Y2760" s="7">
        <v>48.875</v>
      </c>
      <c r="Z2760" s="6">
        <v>48.75</v>
      </c>
      <c r="AA2760" s="6">
        <v>1.54</v>
      </c>
      <c r="AB2760" s="7">
        <v>77.671000000000006</v>
      </c>
      <c r="AC2760" s="2"/>
    </row>
    <row r="2761" spans="1:29" ht="104" x14ac:dyDescent="0.15">
      <c r="A2761" s="3">
        <f>DATE(1996,11,4)</f>
        <v>35373</v>
      </c>
      <c r="B2761" s="3">
        <f>DATE(1997,5,19)</f>
        <v>35569</v>
      </c>
      <c r="C2761" s="2" t="s">
        <v>95</v>
      </c>
      <c r="D2761" s="2" t="s">
        <v>8798</v>
      </c>
      <c r="E2761" s="2" t="s">
        <v>36</v>
      </c>
      <c r="F2761" s="4">
        <v>6022</v>
      </c>
      <c r="G2761" s="2" t="s">
        <v>37</v>
      </c>
      <c r="H2761" s="2" t="s">
        <v>34</v>
      </c>
      <c r="I2761" s="2" t="s">
        <v>8799</v>
      </c>
      <c r="J2761" s="2" t="s">
        <v>389</v>
      </c>
      <c r="K2761" s="2" t="s">
        <v>33</v>
      </c>
      <c r="L2761" s="2" t="s">
        <v>34</v>
      </c>
      <c r="M2761" s="7">
        <v>815.57299999999998</v>
      </c>
      <c r="N2761" s="7">
        <v>18.375</v>
      </c>
      <c r="O2761" s="5">
        <v>18.5</v>
      </c>
      <c r="P2761" s="2" t="s">
        <v>8800</v>
      </c>
      <c r="Q2761" s="6">
        <v>100</v>
      </c>
      <c r="R2761" s="6">
        <v>18.25</v>
      </c>
      <c r="S2761" s="5">
        <v>3.7</v>
      </c>
      <c r="T2761" s="7">
        <v>6.8630000000000004</v>
      </c>
      <c r="U2761" s="5">
        <v>9.3000000000000007</v>
      </c>
      <c r="V2761" s="7">
        <v>1.0840000000000001</v>
      </c>
      <c r="W2761" s="6">
        <v>16.25</v>
      </c>
      <c r="X2761" s="6">
        <v>15.63</v>
      </c>
      <c r="Y2761" s="7">
        <v>17.375</v>
      </c>
      <c r="Z2761" s="7">
        <v>17.625</v>
      </c>
      <c r="AA2761" s="6">
        <v>3.45</v>
      </c>
      <c r="AB2761" s="7">
        <v>62.62</v>
      </c>
      <c r="AC2761" s="2"/>
    </row>
    <row r="2762" spans="1:29" ht="52" x14ac:dyDescent="0.15">
      <c r="A2762" s="3">
        <f>DATE(1996,11,5)</f>
        <v>35374</v>
      </c>
      <c r="B2762" s="3">
        <f>DATE(1997,3,14)</f>
        <v>35503</v>
      </c>
      <c r="C2762" s="2" t="s">
        <v>95</v>
      </c>
      <c r="D2762" s="2" t="s">
        <v>8801</v>
      </c>
      <c r="E2762" s="2" t="s">
        <v>8802</v>
      </c>
      <c r="F2762" s="4">
        <v>5199</v>
      </c>
      <c r="G2762" s="2" t="s">
        <v>593</v>
      </c>
      <c r="H2762" s="2" t="s">
        <v>34</v>
      </c>
      <c r="I2762" s="2" t="s">
        <v>5273</v>
      </c>
      <c r="J2762" s="2" t="s">
        <v>244</v>
      </c>
      <c r="K2762" s="2" t="s">
        <v>53</v>
      </c>
      <c r="L2762" s="2" t="s">
        <v>34</v>
      </c>
      <c r="M2762" s="2"/>
      <c r="N2762" s="2"/>
      <c r="O2762" s="2"/>
      <c r="P2762" s="2" t="s">
        <v>8803</v>
      </c>
      <c r="Q2762" s="6">
        <v>100</v>
      </c>
      <c r="R2762" s="6">
        <v>7</v>
      </c>
      <c r="S2762" s="5">
        <v>1.5</v>
      </c>
      <c r="T2762" s="7">
        <v>2.9430000000000001</v>
      </c>
      <c r="U2762" s="5">
        <v>2</v>
      </c>
      <c r="V2762" s="7">
        <v>0.373</v>
      </c>
      <c r="W2762" s="5">
        <v>4.5</v>
      </c>
      <c r="X2762" s="5">
        <v>4.5</v>
      </c>
      <c r="Y2762" s="4">
        <v>6</v>
      </c>
      <c r="Z2762" s="7">
        <v>5.875</v>
      </c>
      <c r="AA2762" s="6">
        <v>3.98</v>
      </c>
      <c r="AB2762" s="7">
        <v>10.346</v>
      </c>
      <c r="AC2762" s="2"/>
    </row>
    <row r="2763" spans="1:29" ht="65" x14ac:dyDescent="0.15">
      <c r="A2763" s="3">
        <f>DATE(1996,11,6)</f>
        <v>35375</v>
      </c>
      <c r="B2763" s="2"/>
      <c r="C2763" s="2" t="s">
        <v>87</v>
      </c>
      <c r="D2763" s="2" t="s">
        <v>4138</v>
      </c>
      <c r="E2763" s="2" t="s">
        <v>658</v>
      </c>
      <c r="F2763" s="4">
        <v>7372</v>
      </c>
      <c r="G2763" s="2" t="s">
        <v>551</v>
      </c>
      <c r="H2763" s="2" t="s">
        <v>34</v>
      </c>
      <c r="I2763" s="2" t="s">
        <v>368</v>
      </c>
      <c r="J2763" s="2" t="s">
        <v>369</v>
      </c>
      <c r="K2763" s="2" t="s">
        <v>370</v>
      </c>
      <c r="L2763" s="2" t="s">
        <v>34</v>
      </c>
      <c r="M2763" s="12">
        <v>22235.109</v>
      </c>
      <c r="N2763" s="5">
        <v>48.5</v>
      </c>
      <c r="O2763" s="7">
        <v>48.375</v>
      </c>
      <c r="P2763" s="2" t="s">
        <v>8804</v>
      </c>
      <c r="Q2763" s="2"/>
      <c r="R2763" s="2"/>
      <c r="S2763" s="5">
        <v>-14.4</v>
      </c>
      <c r="T2763" s="7">
        <v>70.622</v>
      </c>
      <c r="U2763" s="5">
        <v>1.1000000000000001</v>
      </c>
      <c r="V2763" s="9">
        <v>-5.33E-2</v>
      </c>
      <c r="W2763" s="6">
        <v>27.25</v>
      </c>
      <c r="X2763" s="5">
        <v>29.5</v>
      </c>
      <c r="Y2763" s="5">
        <v>36.5</v>
      </c>
      <c r="Z2763" s="7">
        <v>33.625</v>
      </c>
      <c r="AA2763" s="6">
        <v>45.34</v>
      </c>
      <c r="AB2763" s="2" t="s">
        <v>47</v>
      </c>
      <c r="AC2763" s="8">
        <v>3200</v>
      </c>
    </row>
    <row r="2764" spans="1:29" ht="156" x14ac:dyDescent="0.15">
      <c r="A2764" s="3">
        <f>DATE(1996,11,6)</f>
        <v>35375</v>
      </c>
      <c r="B2764" s="2"/>
      <c r="C2764" s="2" t="s">
        <v>30</v>
      </c>
      <c r="D2764" s="2" t="s">
        <v>6642</v>
      </c>
      <c r="E2764" s="2" t="s">
        <v>1181</v>
      </c>
      <c r="F2764" s="4">
        <v>6021</v>
      </c>
      <c r="G2764" s="2" t="s">
        <v>37</v>
      </c>
      <c r="H2764" s="2" t="s">
        <v>34</v>
      </c>
      <c r="I2764" s="2" t="s">
        <v>2707</v>
      </c>
      <c r="J2764" s="2" t="s">
        <v>263</v>
      </c>
      <c r="K2764" s="2" t="s">
        <v>33</v>
      </c>
      <c r="L2764" s="2" t="s">
        <v>34</v>
      </c>
      <c r="M2764" s="8">
        <v>1933.9</v>
      </c>
      <c r="N2764" s="4">
        <v>42</v>
      </c>
      <c r="O2764" s="5">
        <v>41.5</v>
      </c>
      <c r="P2764" s="2" t="s">
        <v>8805</v>
      </c>
      <c r="Q2764" s="2"/>
      <c r="R2764" s="6">
        <v>60.29</v>
      </c>
      <c r="S2764" s="5">
        <v>119.5</v>
      </c>
      <c r="T2764" s="7">
        <v>208.75899999999999</v>
      </c>
      <c r="U2764" s="5">
        <v>29.4</v>
      </c>
      <c r="V2764" s="6">
        <v>3.7</v>
      </c>
      <c r="W2764" s="6">
        <v>52.25</v>
      </c>
      <c r="X2764" s="7">
        <v>53.125</v>
      </c>
      <c r="Y2764" s="7">
        <v>53.375</v>
      </c>
      <c r="Z2764" s="7">
        <v>53.875</v>
      </c>
      <c r="AA2764" s="6">
        <v>32.200000000000003</v>
      </c>
      <c r="AB2764" s="7">
        <v>24.495999999999999</v>
      </c>
      <c r="AC2764" s="2"/>
    </row>
    <row r="2765" spans="1:29" ht="169" x14ac:dyDescent="0.15">
      <c r="A2765" s="3">
        <f>DATE(1996,11,6)</f>
        <v>35375</v>
      </c>
      <c r="B2765" s="3">
        <f>DATE(1996,12,11)</f>
        <v>35410</v>
      </c>
      <c r="C2765" s="2" t="s">
        <v>95</v>
      </c>
      <c r="D2765" s="2" t="s">
        <v>8806</v>
      </c>
      <c r="E2765" s="2" t="s">
        <v>8807</v>
      </c>
      <c r="F2765" s="4">
        <v>3669</v>
      </c>
      <c r="G2765" s="2" t="s">
        <v>921</v>
      </c>
      <c r="H2765" s="2" t="s">
        <v>34</v>
      </c>
      <c r="I2765" s="2" t="s">
        <v>8808</v>
      </c>
      <c r="J2765" s="2" t="s">
        <v>8809</v>
      </c>
      <c r="K2765" s="2" t="s">
        <v>105</v>
      </c>
      <c r="L2765" s="2" t="s">
        <v>5907</v>
      </c>
      <c r="M2765" s="2"/>
      <c r="N2765" s="2"/>
      <c r="O2765" s="2"/>
      <c r="P2765" s="2" t="s">
        <v>8810</v>
      </c>
      <c r="Q2765" s="6">
        <v>38.4</v>
      </c>
      <c r="R2765" s="6">
        <v>7.25</v>
      </c>
      <c r="S2765" s="5">
        <v>-1.6</v>
      </c>
      <c r="T2765" s="7">
        <v>7.3220000000000001</v>
      </c>
      <c r="U2765" s="5">
        <v>7</v>
      </c>
      <c r="V2765" s="6">
        <v>-0.17</v>
      </c>
      <c r="W2765" s="4">
        <v>7</v>
      </c>
      <c r="X2765" s="4">
        <v>7</v>
      </c>
      <c r="Y2765" s="7">
        <v>7.375</v>
      </c>
      <c r="Z2765" s="6">
        <v>7.25</v>
      </c>
      <c r="AA2765" s="6">
        <v>9.74</v>
      </c>
      <c r="AB2765" s="7">
        <v>74.156000000000006</v>
      </c>
      <c r="AC2765" s="6">
        <v>14.78</v>
      </c>
    </row>
    <row r="2766" spans="1:29" ht="117" x14ac:dyDescent="0.15">
      <c r="A2766" s="3">
        <f>DATE(1996,11,7)</f>
        <v>35376</v>
      </c>
      <c r="B2766" s="2"/>
      <c r="C2766" s="2" t="s">
        <v>30</v>
      </c>
      <c r="D2766" s="2" t="s">
        <v>8811</v>
      </c>
      <c r="E2766" s="2" t="s">
        <v>8812</v>
      </c>
      <c r="F2766" s="4">
        <v>3569</v>
      </c>
      <c r="G2766" s="2" t="s">
        <v>300</v>
      </c>
      <c r="H2766" s="2" t="s">
        <v>34</v>
      </c>
      <c r="I2766" s="2" t="s">
        <v>8813</v>
      </c>
      <c r="J2766" s="2" t="s">
        <v>8812</v>
      </c>
      <c r="K2766" s="2" t="s">
        <v>300</v>
      </c>
      <c r="L2766" s="2" t="s">
        <v>34</v>
      </c>
      <c r="M2766" s="2"/>
      <c r="N2766" s="2"/>
      <c r="O2766" s="2"/>
      <c r="P2766" s="2" t="s">
        <v>8814</v>
      </c>
      <c r="Q2766" s="2"/>
      <c r="R2766" s="6">
        <v>46.52</v>
      </c>
      <c r="S2766" s="5">
        <v>12.4</v>
      </c>
      <c r="T2766" s="7">
        <v>23.463999999999999</v>
      </c>
      <c r="U2766" s="5">
        <v>24.9</v>
      </c>
      <c r="V2766" s="6">
        <v>3.32</v>
      </c>
      <c r="W2766" s="4">
        <v>33</v>
      </c>
      <c r="X2766" s="6">
        <v>32.75</v>
      </c>
      <c r="Y2766" s="6">
        <v>33.25</v>
      </c>
      <c r="Z2766" s="7">
        <v>43.875</v>
      </c>
      <c r="AA2766" s="6">
        <v>3.74</v>
      </c>
      <c r="AB2766" s="7">
        <v>7.7009999999999996</v>
      </c>
      <c r="AC2766" s="2"/>
    </row>
    <row r="2767" spans="1:29" ht="78" x14ac:dyDescent="0.15">
      <c r="A2767" s="3">
        <f>DATE(1996,11,7)</f>
        <v>35376</v>
      </c>
      <c r="B2767" s="3">
        <f>DATE(1997,6,13)</f>
        <v>35594</v>
      </c>
      <c r="C2767" s="2" t="s">
        <v>95</v>
      </c>
      <c r="D2767" s="2" t="s">
        <v>8815</v>
      </c>
      <c r="E2767" s="2" t="s">
        <v>2898</v>
      </c>
      <c r="F2767" s="4">
        <v>6021</v>
      </c>
      <c r="G2767" s="2" t="s">
        <v>37</v>
      </c>
      <c r="H2767" s="2" t="s">
        <v>34</v>
      </c>
      <c r="I2767" s="2" t="s">
        <v>8816</v>
      </c>
      <c r="J2767" s="2" t="s">
        <v>2898</v>
      </c>
      <c r="K2767" s="2" t="s">
        <v>37</v>
      </c>
      <c r="L2767" s="2" t="s">
        <v>34</v>
      </c>
      <c r="M2767" s="7">
        <v>118.777</v>
      </c>
      <c r="N2767" s="6">
        <v>21.25</v>
      </c>
      <c r="O2767" s="6">
        <v>20.75</v>
      </c>
      <c r="P2767" s="2" t="s">
        <v>8817</v>
      </c>
      <c r="Q2767" s="6">
        <v>100</v>
      </c>
      <c r="R2767" s="6">
        <v>27</v>
      </c>
      <c r="S2767" s="5">
        <v>0.3</v>
      </c>
      <c r="T2767" s="7">
        <v>0.16400000000000001</v>
      </c>
      <c r="U2767" s="5">
        <v>16.600000000000001</v>
      </c>
      <c r="V2767" s="6">
        <v>1.08</v>
      </c>
      <c r="W2767" s="6">
        <v>22.75</v>
      </c>
      <c r="X2767" s="6">
        <v>22.75</v>
      </c>
      <c r="Y2767" s="7">
        <v>25.625</v>
      </c>
      <c r="Z2767" s="5">
        <v>25.5</v>
      </c>
      <c r="AA2767" s="6">
        <v>0.98</v>
      </c>
      <c r="AB2767" s="7">
        <v>459.97300000000001</v>
      </c>
      <c r="AC2767" s="2"/>
    </row>
    <row r="2768" spans="1:29" ht="156" x14ac:dyDescent="0.15">
      <c r="A2768" s="3">
        <f>DATE(1996,11,8)</f>
        <v>35377</v>
      </c>
      <c r="B2768" s="3">
        <f>DATE(1997,1,17)</f>
        <v>35447</v>
      </c>
      <c r="C2768" s="2" t="s">
        <v>95</v>
      </c>
      <c r="D2768" s="2" t="s">
        <v>8818</v>
      </c>
      <c r="E2768" s="2" t="s">
        <v>8819</v>
      </c>
      <c r="F2768" s="4">
        <v>3732</v>
      </c>
      <c r="G2768" s="2" t="s">
        <v>105</v>
      </c>
      <c r="H2768" s="2" t="s">
        <v>34</v>
      </c>
      <c r="I2768" s="2" t="s">
        <v>8820</v>
      </c>
      <c r="J2768" s="2" t="s">
        <v>8821</v>
      </c>
      <c r="K2768" s="2" t="s">
        <v>105</v>
      </c>
      <c r="L2768" s="2" t="s">
        <v>34</v>
      </c>
      <c r="M2768" s="2"/>
      <c r="N2768" s="2"/>
      <c r="O2768" s="2"/>
      <c r="P2768" s="2" t="s">
        <v>8822</v>
      </c>
      <c r="Q2768" s="6">
        <v>80.95</v>
      </c>
      <c r="R2768" s="2"/>
      <c r="S2768" s="5">
        <v>-2.6</v>
      </c>
      <c r="T2768" s="2"/>
      <c r="U2768" s="5">
        <v>0.1</v>
      </c>
      <c r="V2768" s="6">
        <v>-0.83</v>
      </c>
      <c r="W2768" s="7">
        <v>2.875</v>
      </c>
      <c r="X2768" s="7">
        <v>2.375</v>
      </c>
      <c r="Y2768" s="4">
        <v>3</v>
      </c>
      <c r="Z2768" s="4">
        <v>3</v>
      </c>
      <c r="AA2768" s="6">
        <v>9.06</v>
      </c>
      <c r="AB2768" s="2" t="s">
        <v>47</v>
      </c>
      <c r="AC2768" s="2"/>
    </row>
    <row r="2769" spans="1:29" ht="39" x14ac:dyDescent="0.15">
      <c r="A2769" s="3">
        <f>DATE(1996,11,11)</f>
        <v>35380</v>
      </c>
      <c r="B2769" s="2"/>
      <c r="C2769" s="2" t="s">
        <v>189</v>
      </c>
      <c r="D2769" s="2" t="s">
        <v>4280</v>
      </c>
      <c r="E2769" s="2" t="s">
        <v>3461</v>
      </c>
      <c r="F2769" s="4">
        <v>2834</v>
      </c>
      <c r="G2769" s="2" t="s">
        <v>130</v>
      </c>
      <c r="H2769" s="2" t="s">
        <v>34</v>
      </c>
      <c r="I2769" s="2" t="s">
        <v>143</v>
      </c>
      <c r="J2769" s="2" t="s">
        <v>144</v>
      </c>
      <c r="K2769" s="2" t="s">
        <v>53</v>
      </c>
      <c r="L2769" s="2" t="s">
        <v>139</v>
      </c>
      <c r="M2769" s="2"/>
      <c r="N2769" s="2"/>
      <c r="O2769" s="2"/>
      <c r="P2769" s="2" t="s">
        <v>8823</v>
      </c>
      <c r="Q2769" s="2"/>
      <c r="R2769" s="2"/>
      <c r="S2769" s="5">
        <v>-2.5</v>
      </c>
      <c r="T2769" s="7">
        <v>17.420999999999999</v>
      </c>
      <c r="U2769" s="5">
        <v>5.9</v>
      </c>
      <c r="V2769" s="6">
        <v>-0.13</v>
      </c>
      <c r="W2769" s="6">
        <v>13.75</v>
      </c>
      <c r="X2769" s="6">
        <v>13.25</v>
      </c>
      <c r="Y2769" s="6">
        <v>13.75</v>
      </c>
      <c r="Z2769" s="7">
        <v>13.875</v>
      </c>
      <c r="AA2769" s="6">
        <v>19.07</v>
      </c>
      <c r="AB2769" s="2" t="s">
        <v>47</v>
      </c>
      <c r="AC2769" s="2"/>
    </row>
    <row r="2770" spans="1:29" ht="143" x14ac:dyDescent="0.15">
      <c r="A2770" s="3">
        <f>DATE(1996,11,11)</f>
        <v>35380</v>
      </c>
      <c r="B2770" s="2"/>
      <c r="C2770" s="2" t="s">
        <v>30</v>
      </c>
      <c r="D2770" s="2" t="s">
        <v>2304</v>
      </c>
      <c r="E2770" s="2" t="s">
        <v>2305</v>
      </c>
      <c r="F2770" s="4">
        <v>2834</v>
      </c>
      <c r="G2770" s="2" t="s">
        <v>130</v>
      </c>
      <c r="H2770" s="2" t="s">
        <v>34</v>
      </c>
      <c r="I2770" s="2" t="s">
        <v>3018</v>
      </c>
      <c r="J2770" s="2" t="s">
        <v>3019</v>
      </c>
      <c r="K2770" s="2" t="s">
        <v>593</v>
      </c>
      <c r="L2770" s="2" t="s">
        <v>34</v>
      </c>
      <c r="M2770" s="12">
        <v>1265.1990000000001</v>
      </c>
      <c r="N2770" s="7">
        <v>27.625</v>
      </c>
      <c r="O2770" s="5">
        <v>28.5</v>
      </c>
      <c r="P2770" s="2" t="s">
        <v>8824</v>
      </c>
      <c r="Q2770" s="2"/>
      <c r="R2770" s="6">
        <v>13.76</v>
      </c>
      <c r="S2770" s="5">
        <v>114.8</v>
      </c>
      <c r="T2770" s="7">
        <v>203.03800000000001</v>
      </c>
      <c r="U2770" s="5">
        <v>2.9</v>
      </c>
      <c r="V2770" s="9">
        <v>0.40960000000000002</v>
      </c>
      <c r="W2770" s="7">
        <v>16.125</v>
      </c>
      <c r="X2770" s="7">
        <v>15.875</v>
      </c>
      <c r="Y2770" s="5">
        <v>12.5</v>
      </c>
      <c r="Z2770" s="7">
        <v>12.375</v>
      </c>
      <c r="AA2770" s="6">
        <v>121.56</v>
      </c>
      <c r="AB2770" s="7">
        <v>26.474</v>
      </c>
      <c r="AC2770" s="6">
        <v>21.41</v>
      </c>
    </row>
    <row r="2771" spans="1:29" ht="78" x14ac:dyDescent="0.15">
      <c r="A2771" s="3">
        <f>DATE(1996,11,11)</f>
        <v>35380</v>
      </c>
      <c r="B2771" s="3">
        <f>DATE(1997,4,30)</f>
        <v>35550</v>
      </c>
      <c r="C2771" s="2" t="s">
        <v>95</v>
      </c>
      <c r="D2771" s="2" t="s">
        <v>8825</v>
      </c>
      <c r="E2771" s="2" t="s">
        <v>8826</v>
      </c>
      <c r="F2771" s="4">
        <v>7515</v>
      </c>
      <c r="G2771" s="2" t="s">
        <v>1327</v>
      </c>
      <c r="H2771" s="2" t="s">
        <v>34</v>
      </c>
      <c r="I2771" s="2" t="s">
        <v>5453</v>
      </c>
      <c r="J2771" s="2" t="s">
        <v>5454</v>
      </c>
      <c r="K2771" s="2" t="s">
        <v>269</v>
      </c>
      <c r="L2771" s="2" t="s">
        <v>34</v>
      </c>
      <c r="M2771" s="12">
        <v>9813.4079999999994</v>
      </c>
      <c r="N2771" s="7">
        <v>72.875</v>
      </c>
      <c r="O2771" s="4">
        <v>74</v>
      </c>
      <c r="P2771" s="2" t="s">
        <v>8827</v>
      </c>
      <c r="Q2771" s="6">
        <v>100</v>
      </c>
      <c r="R2771" s="6">
        <v>49.5</v>
      </c>
      <c r="S2771" s="5">
        <v>81.599999999999994</v>
      </c>
      <c r="T2771" s="12">
        <v>1113.355</v>
      </c>
      <c r="U2771" s="5">
        <v>17.600000000000001</v>
      </c>
      <c r="V2771" s="7">
        <v>1.165</v>
      </c>
      <c r="W2771" s="4">
        <v>30</v>
      </c>
      <c r="X2771" s="6">
        <v>30.75</v>
      </c>
      <c r="Y2771" s="5">
        <v>47.5</v>
      </c>
      <c r="Z2771" s="7">
        <v>47.875</v>
      </c>
      <c r="AA2771" s="6">
        <v>34.9</v>
      </c>
      <c r="AB2771" s="7">
        <v>44.057000000000002</v>
      </c>
      <c r="AC2771" s="6">
        <v>16.11</v>
      </c>
    </row>
    <row r="2772" spans="1:29" ht="65" x14ac:dyDescent="0.15">
      <c r="A2772" s="3">
        <f>DATE(1996,11,11)</f>
        <v>35380</v>
      </c>
      <c r="B2772" s="2"/>
      <c r="C2772" s="2" t="s">
        <v>30</v>
      </c>
      <c r="D2772" s="2" t="s">
        <v>8828</v>
      </c>
      <c r="E2772" s="2" t="s">
        <v>8829</v>
      </c>
      <c r="F2772" s="4">
        <v>5031</v>
      </c>
      <c r="G2772" s="2" t="s">
        <v>76</v>
      </c>
      <c r="H2772" s="2" t="s">
        <v>34</v>
      </c>
      <c r="I2772" s="2" t="s">
        <v>8830</v>
      </c>
      <c r="J2772" s="2" t="s">
        <v>1032</v>
      </c>
      <c r="K2772" s="2" t="s">
        <v>53</v>
      </c>
      <c r="L2772" s="2" t="s">
        <v>34</v>
      </c>
      <c r="M2772" s="2"/>
      <c r="N2772" s="2"/>
      <c r="O2772" s="2"/>
      <c r="P2772" s="2" t="s">
        <v>8831</v>
      </c>
      <c r="Q2772" s="2"/>
      <c r="R2772" s="6">
        <v>6</v>
      </c>
      <c r="S2772" s="5">
        <v>3.3</v>
      </c>
      <c r="T2772" s="7">
        <v>6.5590000000000002</v>
      </c>
      <c r="U2772" s="5">
        <v>7.2</v>
      </c>
      <c r="V2772" s="7">
        <v>0.64400000000000002</v>
      </c>
      <c r="W2772" s="6">
        <v>4.38</v>
      </c>
      <c r="X2772" s="6">
        <v>4.38</v>
      </c>
      <c r="Y2772" s="7">
        <v>4.625</v>
      </c>
      <c r="Z2772" s="6">
        <v>4.25</v>
      </c>
      <c r="AA2772" s="6">
        <v>5.07</v>
      </c>
      <c r="AB2772" s="7">
        <v>5.657</v>
      </c>
      <c r="AC2772" s="2"/>
    </row>
    <row r="2773" spans="1:29" ht="39" x14ac:dyDescent="0.15">
      <c r="A2773" s="3">
        <f>DATE(1996,11,12)</f>
        <v>35381</v>
      </c>
      <c r="B2773" s="2"/>
      <c r="C2773" s="2" t="s">
        <v>189</v>
      </c>
      <c r="D2773" s="2" t="s">
        <v>8832</v>
      </c>
      <c r="E2773" s="2" t="s">
        <v>8833</v>
      </c>
      <c r="F2773" s="4">
        <v>3669</v>
      </c>
      <c r="G2773" s="2" t="s">
        <v>921</v>
      </c>
      <c r="H2773" s="2" t="s">
        <v>34</v>
      </c>
      <c r="I2773" s="2" t="s">
        <v>143</v>
      </c>
      <c r="J2773" s="2" t="s">
        <v>144</v>
      </c>
      <c r="K2773" s="2" t="s">
        <v>53</v>
      </c>
      <c r="L2773" s="2" t="s">
        <v>139</v>
      </c>
      <c r="M2773" s="2"/>
      <c r="N2773" s="2"/>
      <c r="O2773" s="2"/>
      <c r="P2773" s="2" t="s">
        <v>8834</v>
      </c>
      <c r="Q2773" s="2"/>
      <c r="R2773" s="2"/>
      <c r="S2773" s="2"/>
      <c r="T2773" s="2"/>
      <c r="U2773" s="2"/>
      <c r="V2773" s="2"/>
      <c r="W2773" s="9">
        <v>2.3125</v>
      </c>
      <c r="X2773" s="9">
        <v>2.0625</v>
      </c>
      <c r="Y2773" s="9">
        <v>2.0625</v>
      </c>
      <c r="Z2773" s="6">
        <v>2.25</v>
      </c>
      <c r="AA2773" s="6">
        <v>10.51</v>
      </c>
      <c r="AB2773" s="2" t="s">
        <v>47</v>
      </c>
      <c r="AC2773" s="2"/>
    </row>
    <row r="2774" spans="1:29" ht="117" x14ac:dyDescent="0.15">
      <c r="A2774" s="3">
        <f>DATE(1996,11,12)</f>
        <v>35381</v>
      </c>
      <c r="B2774" s="3">
        <f>DATE(1997,6,12)</f>
        <v>35593</v>
      </c>
      <c r="C2774" s="2" t="s">
        <v>95</v>
      </c>
      <c r="D2774" s="2" t="s">
        <v>8835</v>
      </c>
      <c r="E2774" s="2" t="s">
        <v>8836</v>
      </c>
      <c r="F2774" s="4">
        <v>5091</v>
      </c>
      <c r="G2774" s="2" t="s">
        <v>76</v>
      </c>
      <c r="H2774" s="2" t="s">
        <v>34</v>
      </c>
      <c r="I2774" s="2" t="s">
        <v>51</v>
      </c>
      <c r="J2774" s="2" t="s">
        <v>52</v>
      </c>
      <c r="K2774" s="2" t="s">
        <v>53</v>
      </c>
      <c r="L2774" s="2" t="s">
        <v>34</v>
      </c>
      <c r="M2774" s="2"/>
      <c r="N2774" s="2"/>
      <c r="O2774" s="2"/>
      <c r="P2774" s="2" t="s">
        <v>8837</v>
      </c>
      <c r="Q2774" s="6">
        <v>100</v>
      </c>
      <c r="R2774" s="6">
        <v>14.5</v>
      </c>
      <c r="S2774" s="5">
        <v>4.5999999999999996</v>
      </c>
      <c r="T2774" s="7">
        <v>15.292</v>
      </c>
      <c r="U2774" s="5">
        <v>6.2</v>
      </c>
      <c r="V2774" s="7">
        <v>0.65200000000000002</v>
      </c>
      <c r="W2774" s="4">
        <v>11</v>
      </c>
      <c r="X2774" s="5">
        <v>11.5</v>
      </c>
      <c r="Y2774" s="6">
        <v>13.75</v>
      </c>
      <c r="Z2774" s="7">
        <v>13.625</v>
      </c>
      <c r="AA2774" s="6">
        <v>7.51</v>
      </c>
      <c r="AB2774" s="7">
        <v>11.428000000000001</v>
      </c>
      <c r="AC2774" s="2"/>
    </row>
    <row r="2775" spans="1:29" ht="117" x14ac:dyDescent="0.15">
      <c r="A2775" s="3">
        <f>DATE(1996,11,12)</f>
        <v>35381</v>
      </c>
      <c r="B2775" s="2"/>
      <c r="C2775" s="2" t="s">
        <v>30</v>
      </c>
      <c r="D2775" s="2" t="s">
        <v>8561</v>
      </c>
      <c r="E2775" s="2" t="s">
        <v>8562</v>
      </c>
      <c r="F2775" s="4">
        <v>5093</v>
      </c>
      <c r="G2775" s="2" t="s">
        <v>76</v>
      </c>
      <c r="H2775" s="2" t="s">
        <v>34</v>
      </c>
      <c r="I2775" s="2" t="s">
        <v>8838</v>
      </c>
      <c r="J2775" s="2" t="s">
        <v>8839</v>
      </c>
      <c r="K2775" s="2" t="s">
        <v>76</v>
      </c>
      <c r="L2775" s="2" t="s">
        <v>34</v>
      </c>
      <c r="M2775" s="2"/>
      <c r="N2775" s="2"/>
      <c r="O2775" s="2"/>
      <c r="P2775" s="2" t="s">
        <v>8840</v>
      </c>
      <c r="Q2775" s="2"/>
      <c r="R2775" s="6">
        <v>9</v>
      </c>
      <c r="S2775" s="5">
        <v>-9</v>
      </c>
      <c r="T2775" s="7">
        <v>-5.1580000000000004</v>
      </c>
      <c r="U2775" s="5">
        <v>10.5</v>
      </c>
      <c r="V2775" s="6">
        <v>-1.92</v>
      </c>
      <c r="W2775" s="4">
        <v>4</v>
      </c>
      <c r="X2775" s="7">
        <v>3.875</v>
      </c>
      <c r="Y2775" s="7">
        <v>7.3129999999999997</v>
      </c>
      <c r="Z2775" s="7">
        <v>7.375</v>
      </c>
      <c r="AA2775" s="6">
        <v>4.72</v>
      </c>
      <c r="AB2775" s="2" t="s">
        <v>86</v>
      </c>
      <c r="AC2775" s="2"/>
    </row>
    <row r="2776" spans="1:29" ht="65" x14ac:dyDescent="0.15">
      <c r="A2776" s="3">
        <f>DATE(1996,11,13)</f>
        <v>35382</v>
      </c>
      <c r="B2776" s="2"/>
      <c r="C2776" s="2" t="s">
        <v>30</v>
      </c>
      <c r="D2776" s="2" t="s">
        <v>8841</v>
      </c>
      <c r="E2776" s="2" t="s">
        <v>8842</v>
      </c>
      <c r="F2776" s="4">
        <v>3585</v>
      </c>
      <c r="G2776" s="2" t="s">
        <v>300</v>
      </c>
      <c r="H2776" s="2" t="s">
        <v>34</v>
      </c>
      <c r="I2776" s="2" t="s">
        <v>51</v>
      </c>
      <c r="J2776" s="2" t="s">
        <v>52</v>
      </c>
      <c r="K2776" s="2" t="s">
        <v>53</v>
      </c>
      <c r="L2776" s="2" t="s">
        <v>34</v>
      </c>
      <c r="M2776" s="2"/>
      <c r="N2776" s="2"/>
      <c r="O2776" s="2"/>
      <c r="P2776" s="2" t="s">
        <v>8843</v>
      </c>
      <c r="Q2776" s="2"/>
      <c r="R2776" s="6">
        <v>21</v>
      </c>
      <c r="S2776" s="5">
        <v>0.7</v>
      </c>
      <c r="T2776" s="7">
        <v>4.2839999999999998</v>
      </c>
      <c r="U2776" s="5">
        <v>12.1</v>
      </c>
      <c r="V2776" s="6">
        <v>0.3</v>
      </c>
      <c r="W2776" s="7">
        <v>18.875</v>
      </c>
      <c r="X2776" s="7">
        <v>18.375</v>
      </c>
      <c r="Y2776" s="7">
        <v>20.625</v>
      </c>
      <c r="Z2776" s="7">
        <v>20.625</v>
      </c>
      <c r="AA2776" s="6">
        <v>1.1000000000000001</v>
      </c>
      <c r="AB2776" s="7">
        <v>26.163</v>
      </c>
      <c r="AC2776" s="2"/>
    </row>
    <row r="2777" spans="1:29" ht="156" x14ac:dyDescent="0.15">
      <c r="A2777" s="3">
        <f>DATE(1996,11,13)</f>
        <v>35382</v>
      </c>
      <c r="B2777" s="3">
        <f>DATE(1997,2,28)</f>
        <v>35489</v>
      </c>
      <c r="C2777" s="2" t="s">
        <v>95</v>
      </c>
      <c r="D2777" s="2" t="s">
        <v>8844</v>
      </c>
      <c r="E2777" s="2" t="s">
        <v>1181</v>
      </c>
      <c r="F2777" s="4">
        <v>6022</v>
      </c>
      <c r="G2777" s="2" t="s">
        <v>37</v>
      </c>
      <c r="H2777" s="2" t="s">
        <v>34</v>
      </c>
      <c r="I2777" s="2" t="s">
        <v>8845</v>
      </c>
      <c r="J2777" s="2" t="s">
        <v>265</v>
      </c>
      <c r="K2777" s="2" t="s">
        <v>37</v>
      </c>
      <c r="L2777" s="2" t="s">
        <v>34</v>
      </c>
      <c r="M2777" s="7">
        <v>126.179</v>
      </c>
      <c r="N2777" s="4">
        <v>35</v>
      </c>
      <c r="O2777" s="6">
        <v>35.75</v>
      </c>
      <c r="P2777" s="2" t="s">
        <v>8846</v>
      </c>
      <c r="Q2777" s="6">
        <v>100</v>
      </c>
      <c r="R2777" s="6">
        <v>27.34</v>
      </c>
      <c r="S2777" s="2"/>
      <c r="T2777" s="2"/>
      <c r="U2777" s="2"/>
      <c r="V2777" s="2"/>
      <c r="W2777" s="4">
        <v>13</v>
      </c>
      <c r="X2777" s="4">
        <v>13</v>
      </c>
      <c r="Y2777" s="4">
        <v>16</v>
      </c>
      <c r="Z2777" s="4">
        <v>16</v>
      </c>
      <c r="AA2777" s="6">
        <v>0.67</v>
      </c>
      <c r="AB2777" s="2" t="s">
        <v>47</v>
      </c>
      <c r="AC2777" s="2"/>
    </row>
    <row r="2778" spans="1:29" ht="156" x14ac:dyDescent="0.15">
      <c r="A2778" s="3">
        <f>DATE(1996,11,13)</f>
        <v>35382</v>
      </c>
      <c r="B2778" s="3">
        <f>DATE(1997,1,20)</f>
        <v>35450</v>
      </c>
      <c r="C2778" s="2" t="s">
        <v>95</v>
      </c>
      <c r="D2778" s="2" t="s">
        <v>8847</v>
      </c>
      <c r="E2778" s="2" t="s">
        <v>8848</v>
      </c>
      <c r="F2778" s="4">
        <v>3841</v>
      </c>
      <c r="G2778" s="2" t="s">
        <v>226</v>
      </c>
      <c r="H2778" s="2" t="s">
        <v>34</v>
      </c>
      <c r="I2778" s="2" t="s">
        <v>8849</v>
      </c>
      <c r="J2778" s="2" t="s">
        <v>8850</v>
      </c>
      <c r="K2778" s="2" t="s">
        <v>447</v>
      </c>
      <c r="L2778" s="2" t="s">
        <v>34</v>
      </c>
      <c r="M2778" s="2"/>
      <c r="N2778" s="2"/>
      <c r="O2778" s="2"/>
      <c r="P2778" s="2" t="s">
        <v>8851</v>
      </c>
      <c r="Q2778" s="6">
        <v>100</v>
      </c>
      <c r="R2778" s="6">
        <v>23.5</v>
      </c>
      <c r="S2778" s="5">
        <v>0.4</v>
      </c>
      <c r="T2778" s="7">
        <v>11.118</v>
      </c>
      <c r="U2778" s="5">
        <v>12.1</v>
      </c>
      <c r="V2778" s="6">
        <v>0.06</v>
      </c>
      <c r="W2778" s="7">
        <v>14.875</v>
      </c>
      <c r="X2778" s="6">
        <v>15.25</v>
      </c>
      <c r="Y2778" s="6">
        <v>23.25</v>
      </c>
      <c r="Z2778" s="7">
        <v>23.125</v>
      </c>
      <c r="AA2778" s="6">
        <v>6.18</v>
      </c>
      <c r="AB2778" s="7">
        <v>22.463000000000001</v>
      </c>
      <c r="AC2778" s="2"/>
    </row>
    <row r="2779" spans="1:29" ht="91" x14ac:dyDescent="0.15">
      <c r="A2779" s="3">
        <f t="shared" ref="A2779:A2784" si="23">DATE(1996,11,14)</f>
        <v>35383</v>
      </c>
      <c r="B2779" s="3">
        <f>DATE(1997,6,27)</f>
        <v>35608</v>
      </c>
      <c r="C2779" s="2" t="s">
        <v>95</v>
      </c>
      <c r="D2779" s="2" t="s">
        <v>88</v>
      </c>
      <c r="E2779" s="2" t="s">
        <v>36</v>
      </c>
      <c r="F2779" s="4">
        <v>6035</v>
      </c>
      <c r="G2779" s="2" t="s">
        <v>33</v>
      </c>
      <c r="H2779" s="2" t="s">
        <v>34</v>
      </c>
      <c r="I2779" s="2" t="s">
        <v>4128</v>
      </c>
      <c r="J2779" s="2" t="s">
        <v>36</v>
      </c>
      <c r="K2779" s="2" t="s">
        <v>37</v>
      </c>
      <c r="L2779" s="2" t="s">
        <v>34</v>
      </c>
      <c r="M2779" s="7">
        <v>164.727</v>
      </c>
      <c r="N2779" s="7">
        <v>35.563000000000002</v>
      </c>
      <c r="O2779" s="5">
        <v>35.5</v>
      </c>
      <c r="P2779" s="2" t="s">
        <v>8852</v>
      </c>
      <c r="Q2779" s="6">
        <v>100</v>
      </c>
      <c r="R2779" s="6">
        <v>24.23</v>
      </c>
      <c r="S2779" s="5">
        <v>3.3</v>
      </c>
      <c r="T2779" s="6">
        <v>9.4600000000000009</v>
      </c>
      <c r="U2779" s="5">
        <v>17.399999999999999</v>
      </c>
      <c r="V2779" s="7">
        <v>0.86799999999999999</v>
      </c>
      <c r="W2779" s="6">
        <v>23.25</v>
      </c>
      <c r="X2779" s="7">
        <v>22.125</v>
      </c>
      <c r="Y2779" s="7">
        <v>22.625</v>
      </c>
      <c r="Z2779" s="6">
        <v>22.25</v>
      </c>
      <c r="AA2779" s="6">
        <v>3.68</v>
      </c>
      <c r="AB2779" s="7">
        <v>129.38499999999999</v>
      </c>
      <c r="AC2779" s="2"/>
    </row>
    <row r="2780" spans="1:29" ht="130" x14ac:dyDescent="0.15">
      <c r="A2780" s="3">
        <f t="shared" si="23"/>
        <v>35383</v>
      </c>
      <c r="B2780" s="2"/>
      <c r="C2780" s="2" t="s">
        <v>56</v>
      </c>
      <c r="D2780" s="2" t="s">
        <v>8853</v>
      </c>
      <c r="E2780" s="2" t="s">
        <v>8854</v>
      </c>
      <c r="F2780" s="4">
        <v>5912</v>
      </c>
      <c r="G2780" s="2" t="s">
        <v>73</v>
      </c>
      <c r="H2780" s="2" t="s">
        <v>34</v>
      </c>
      <c r="I2780" s="2" t="s">
        <v>8855</v>
      </c>
      <c r="J2780" s="2" t="s">
        <v>1332</v>
      </c>
      <c r="K2780" s="2" t="s">
        <v>454</v>
      </c>
      <c r="L2780" s="2" t="s">
        <v>34</v>
      </c>
      <c r="M2780" s="7">
        <v>110.491</v>
      </c>
      <c r="N2780" s="4">
        <v>11</v>
      </c>
      <c r="O2780" s="7">
        <v>11.125</v>
      </c>
      <c r="P2780" s="2" t="s">
        <v>8856</v>
      </c>
      <c r="Q2780" s="2"/>
      <c r="R2780" s="2"/>
      <c r="S2780" s="5">
        <v>-12.1</v>
      </c>
      <c r="T2780" s="6">
        <v>-10.42</v>
      </c>
      <c r="U2780" s="5">
        <v>4.0999999999999996</v>
      </c>
      <c r="V2780" s="7">
        <v>-1.2829999999999999</v>
      </c>
      <c r="W2780" s="7">
        <v>1.6879999999999999</v>
      </c>
      <c r="X2780" s="6">
        <v>2.25</v>
      </c>
      <c r="Y2780" s="7">
        <v>1.6879999999999999</v>
      </c>
      <c r="Z2780" s="7">
        <v>1.625</v>
      </c>
      <c r="AA2780" s="6">
        <v>9.33</v>
      </c>
      <c r="AB2780" s="2" t="s">
        <v>86</v>
      </c>
      <c r="AC2780" s="5">
        <v>4.5999999999999996</v>
      </c>
    </row>
    <row r="2781" spans="1:29" ht="182" x14ac:dyDescent="0.15">
      <c r="A2781" s="3">
        <f t="shared" si="23"/>
        <v>35383</v>
      </c>
      <c r="B2781" s="3">
        <f>DATE(1997,10,1)</f>
        <v>35704</v>
      </c>
      <c r="C2781" s="2" t="s">
        <v>95</v>
      </c>
      <c r="D2781" s="2" t="s">
        <v>8853</v>
      </c>
      <c r="E2781" s="2" t="s">
        <v>8854</v>
      </c>
      <c r="F2781" s="4">
        <v>5912</v>
      </c>
      <c r="G2781" s="2" t="s">
        <v>73</v>
      </c>
      <c r="H2781" s="2" t="s">
        <v>34</v>
      </c>
      <c r="I2781" s="2" t="s">
        <v>8857</v>
      </c>
      <c r="J2781" s="2" t="s">
        <v>1332</v>
      </c>
      <c r="K2781" s="2" t="s">
        <v>454</v>
      </c>
      <c r="L2781" s="2" t="s">
        <v>34</v>
      </c>
      <c r="M2781" s="7">
        <v>110.491</v>
      </c>
      <c r="N2781" s="4">
        <v>11</v>
      </c>
      <c r="O2781" s="7">
        <v>11.125</v>
      </c>
      <c r="P2781" s="2" t="s">
        <v>8858</v>
      </c>
      <c r="Q2781" s="6">
        <v>51</v>
      </c>
      <c r="R2781" s="6">
        <v>0.3</v>
      </c>
      <c r="S2781" s="5">
        <v>-12.1</v>
      </c>
      <c r="T2781" s="6">
        <v>-10.42</v>
      </c>
      <c r="U2781" s="5">
        <v>4.0999999999999996</v>
      </c>
      <c r="V2781" s="7">
        <v>-1.2829999999999999</v>
      </c>
      <c r="W2781" s="7">
        <v>1.6879999999999999</v>
      </c>
      <c r="X2781" s="6">
        <v>2.25</v>
      </c>
      <c r="Y2781" s="7">
        <v>1.6879999999999999</v>
      </c>
      <c r="Z2781" s="7">
        <v>1.625</v>
      </c>
      <c r="AA2781" s="6">
        <v>9.33</v>
      </c>
      <c r="AB2781" s="2" t="s">
        <v>86</v>
      </c>
      <c r="AC2781" s="5">
        <v>4.5999999999999996</v>
      </c>
    </row>
    <row r="2782" spans="1:29" ht="130" x14ac:dyDescent="0.15">
      <c r="A2782" s="3">
        <f t="shared" si="23"/>
        <v>35383</v>
      </c>
      <c r="B2782" s="3">
        <f>DATE(1997,8,4)</f>
        <v>35646</v>
      </c>
      <c r="C2782" s="2" t="s">
        <v>95</v>
      </c>
      <c r="D2782" s="2" t="s">
        <v>8859</v>
      </c>
      <c r="E2782" s="2" t="s">
        <v>2898</v>
      </c>
      <c r="F2782" s="4">
        <v>6035</v>
      </c>
      <c r="G2782" s="2" t="s">
        <v>33</v>
      </c>
      <c r="H2782" s="2" t="s">
        <v>34</v>
      </c>
      <c r="I2782" s="2" t="s">
        <v>8860</v>
      </c>
      <c r="J2782" s="2" t="s">
        <v>2898</v>
      </c>
      <c r="K2782" s="2" t="s">
        <v>37</v>
      </c>
      <c r="L2782" s="2" t="s">
        <v>34</v>
      </c>
      <c r="M2782" s="7">
        <v>143.16800000000001</v>
      </c>
      <c r="N2782" s="4">
        <v>24</v>
      </c>
      <c r="O2782" s="6">
        <v>23.75</v>
      </c>
      <c r="P2782" s="2" t="s">
        <v>8861</v>
      </c>
      <c r="Q2782" s="6">
        <v>100</v>
      </c>
      <c r="R2782" s="6">
        <v>24.75</v>
      </c>
      <c r="S2782" s="5">
        <v>5.0999999999999996</v>
      </c>
      <c r="T2782" s="7">
        <v>8.1760000000000002</v>
      </c>
      <c r="U2782" s="5">
        <v>14.8</v>
      </c>
      <c r="V2782" s="7">
        <v>1.054</v>
      </c>
      <c r="W2782" s="5">
        <v>19.5</v>
      </c>
      <c r="X2782" s="5">
        <v>19.5</v>
      </c>
      <c r="Y2782" s="6">
        <v>22.75</v>
      </c>
      <c r="Z2782" s="4">
        <v>23</v>
      </c>
      <c r="AA2782" s="6">
        <v>4.74</v>
      </c>
      <c r="AB2782" s="7">
        <v>112.633</v>
      </c>
      <c r="AC2782" s="2"/>
    </row>
    <row r="2783" spans="1:29" ht="130" x14ac:dyDescent="0.15">
      <c r="A2783" s="3">
        <f t="shared" si="23"/>
        <v>35383</v>
      </c>
      <c r="B2783" s="3">
        <f>DATE(1997,5,2)</f>
        <v>35552</v>
      </c>
      <c r="C2783" s="2" t="s">
        <v>95</v>
      </c>
      <c r="D2783" s="2" t="s">
        <v>8862</v>
      </c>
      <c r="E2783" s="2" t="s">
        <v>1040</v>
      </c>
      <c r="F2783" s="4">
        <v>6035</v>
      </c>
      <c r="G2783" s="2" t="s">
        <v>33</v>
      </c>
      <c r="H2783" s="2" t="s">
        <v>34</v>
      </c>
      <c r="I2783" s="2" t="s">
        <v>8863</v>
      </c>
      <c r="J2783" s="2" t="s">
        <v>263</v>
      </c>
      <c r="K2783" s="2" t="s">
        <v>33</v>
      </c>
      <c r="L2783" s="2" t="s">
        <v>34</v>
      </c>
      <c r="M2783" s="7">
        <v>47.354999999999997</v>
      </c>
      <c r="N2783" s="5">
        <v>19.5</v>
      </c>
      <c r="O2783" s="6">
        <v>19.25</v>
      </c>
      <c r="P2783" s="2" t="s">
        <v>8864</v>
      </c>
      <c r="Q2783" s="6">
        <v>100</v>
      </c>
      <c r="R2783" s="6">
        <v>28.11</v>
      </c>
      <c r="S2783" s="5">
        <v>0.1</v>
      </c>
      <c r="T2783" s="2"/>
      <c r="U2783" s="5">
        <v>26.8</v>
      </c>
      <c r="V2783" s="6">
        <v>0.11</v>
      </c>
      <c r="W2783" s="7">
        <v>24.375</v>
      </c>
      <c r="X2783" s="7">
        <v>24.375</v>
      </c>
      <c r="Y2783" s="4">
        <v>26</v>
      </c>
      <c r="Z2783" s="6">
        <v>25.75</v>
      </c>
      <c r="AA2783" s="6">
        <v>1.1100000000000001</v>
      </c>
      <c r="AB2783" s="7">
        <v>209.17</v>
      </c>
      <c r="AC2783" s="2"/>
    </row>
    <row r="2784" spans="1:29" ht="117" x14ac:dyDescent="0.15">
      <c r="A2784" s="3">
        <f t="shared" si="23"/>
        <v>35383</v>
      </c>
      <c r="B2784" s="2"/>
      <c r="C2784" s="2" t="s">
        <v>30</v>
      </c>
      <c r="D2784" s="2" t="s">
        <v>8865</v>
      </c>
      <c r="E2784" s="2" t="s">
        <v>124</v>
      </c>
      <c r="F2784" s="4">
        <v>6311</v>
      </c>
      <c r="G2784" s="2" t="s">
        <v>125</v>
      </c>
      <c r="H2784" s="2" t="s">
        <v>34</v>
      </c>
      <c r="I2784" s="2" t="s">
        <v>8866</v>
      </c>
      <c r="J2784" s="2" t="s">
        <v>991</v>
      </c>
      <c r="K2784" s="2" t="s">
        <v>125</v>
      </c>
      <c r="L2784" s="2" t="s">
        <v>34</v>
      </c>
      <c r="M2784" s="7">
        <v>969.19600000000003</v>
      </c>
      <c r="N2784" s="6">
        <v>35.25</v>
      </c>
      <c r="O2784" s="5">
        <v>33.5</v>
      </c>
      <c r="P2784" s="2" t="s">
        <v>8867</v>
      </c>
      <c r="Q2784" s="2"/>
      <c r="R2784" s="6">
        <v>29.5</v>
      </c>
      <c r="S2784" s="5">
        <v>33.9</v>
      </c>
      <c r="T2784" s="2"/>
      <c r="U2784" s="5">
        <v>31.2</v>
      </c>
      <c r="V2784" s="6">
        <v>2.73</v>
      </c>
      <c r="W2784" s="7">
        <v>27.875</v>
      </c>
      <c r="X2784" s="7">
        <v>28.375</v>
      </c>
      <c r="Y2784" s="7">
        <v>28.375</v>
      </c>
      <c r="Z2784" s="6">
        <v>30.25</v>
      </c>
      <c r="AA2784" s="6">
        <v>12.26</v>
      </c>
      <c r="AB2784" s="7">
        <v>7.5529999999999999</v>
      </c>
      <c r="AC2784" s="6">
        <v>27.78</v>
      </c>
    </row>
    <row r="2785" spans="1:29" ht="78" x14ac:dyDescent="0.15">
      <c r="A2785" s="3">
        <f>DATE(1996,11,15)</f>
        <v>35384</v>
      </c>
      <c r="B2785" s="2"/>
      <c r="C2785" s="2" t="s">
        <v>30</v>
      </c>
      <c r="D2785" s="2" t="s">
        <v>8868</v>
      </c>
      <c r="E2785" s="2" t="s">
        <v>8869</v>
      </c>
      <c r="F2785" s="4">
        <v>3577</v>
      </c>
      <c r="G2785" s="2" t="s">
        <v>50</v>
      </c>
      <c r="H2785" s="2" t="s">
        <v>34</v>
      </c>
      <c r="I2785" s="2" t="s">
        <v>51</v>
      </c>
      <c r="J2785" s="2" t="s">
        <v>52</v>
      </c>
      <c r="K2785" s="2" t="s">
        <v>53</v>
      </c>
      <c r="L2785" s="2" t="s">
        <v>34</v>
      </c>
      <c r="M2785" s="2"/>
      <c r="N2785" s="2"/>
      <c r="O2785" s="2"/>
      <c r="P2785" s="2" t="s">
        <v>8870</v>
      </c>
      <c r="Q2785" s="2"/>
      <c r="R2785" s="6">
        <v>6</v>
      </c>
      <c r="S2785" s="5">
        <v>-0.7</v>
      </c>
      <c r="T2785" s="7">
        <v>21.733000000000001</v>
      </c>
      <c r="U2785" s="5">
        <v>8.1</v>
      </c>
      <c r="V2785" s="6">
        <v>-0.06</v>
      </c>
      <c r="W2785" s="7">
        <v>3.125</v>
      </c>
      <c r="X2785" s="7">
        <v>3.734</v>
      </c>
      <c r="Y2785" s="5">
        <v>4.5</v>
      </c>
      <c r="Z2785" s="7">
        <v>4.625</v>
      </c>
      <c r="AA2785" s="6">
        <v>10.68</v>
      </c>
      <c r="AB2785" s="7">
        <v>30.125</v>
      </c>
      <c r="AC2785" s="2"/>
    </row>
    <row r="2786" spans="1:29" ht="130" x14ac:dyDescent="0.15">
      <c r="A2786" s="3">
        <f>DATE(1996,11,15)</f>
        <v>35384</v>
      </c>
      <c r="B2786" s="3">
        <f>DATE(1997,4,18)</f>
        <v>35538</v>
      </c>
      <c r="C2786" s="2" t="s">
        <v>95</v>
      </c>
      <c r="D2786" s="2" t="s">
        <v>8871</v>
      </c>
      <c r="E2786" s="2" t="s">
        <v>36</v>
      </c>
      <c r="F2786" s="4">
        <v>6021</v>
      </c>
      <c r="G2786" s="2" t="s">
        <v>37</v>
      </c>
      <c r="H2786" s="2" t="s">
        <v>34</v>
      </c>
      <c r="I2786" s="2" t="s">
        <v>8872</v>
      </c>
      <c r="J2786" s="2" t="s">
        <v>8873</v>
      </c>
      <c r="K2786" s="2" t="s">
        <v>37</v>
      </c>
      <c r="L2786" s="2" t="s">
        <v>34</v>
      </c>
      <c r="M2786" s="7">
        <v>213.19499999999999</v>
      </c>
      <c r="N2786" s="4">
        <v>24</v>
      </c>
      <c r="O2786" s="4">
        <v>24</v>
      </c>
      <c r="P2786" s="2" t="s">
        <v>8874</v>
      </c>
      <c r="Q2786" s="6">
        <v>100</v>
      </c>
      <c r="R2786" s="6">
        <v>19.059999999999999</v>
      </c>
      <c r="S2786" s="5">
        <v>7.4</v>
      </c>
      <c r="T2786" s="7">
        <v>11.366</v>
      </c>
      <c r="U2786" s="5">
        <v>4.4000000000000004</v>
      </c>
      <c r="V2786" s="9">
        <v>0.61309999999999998</v>
      </c>
      <c r="W2786" s="7">
        <v>15.875</v>
      </c>
      <c r="X2786" s="4">
        <v>16</v>
      </c>
      <c r="Y2786" s="4">
        <v>17</v>
      </c>
      <c r="Z2786" s="6">
        <v>16.75</v>
      </c>
      <c r="AA2786" s="6">
        <v>1.51</v>
      </c>
      <c r="AB2786" s="7">
        <v>67.492999999999995</v>
      </c>
      <c r="AC2786" s="2"/>
    </row>
    <row r="2787" spans="1:29" ht="117" x14ac:dyDescent="0.15">
      <c r="A2787" s="3">
        <f>DATE(1996,11,18)</f>
        <v>35387</v>
      </c>
      <c r="B2787" s="2"/>
      <c r="C2787" s="2" t="s">
        <v>141</v>
      </c>
      <c r="D2787" s="2" t="s">
        <v>8748</v>
      </c>
      <c r="E2787" s="2" t="s">
        <v>8749</v>
      </c>
      <c r="F2787" s="4">
        <v>2891</v>
      </c>
      <c r="G2787" s="2" t="s">
        <v>98</v>
      </c>
      <c r="H2787" s="2" t="s">
        <v>34</v>
      </c>
      <c r="I2787" s="2" t="s">
        <v>143</v>
      </c>
      <c r="J2787" s="2" t="s">
        <v>144</v>
      </c>
      <c r="K2787" s="2" t="s">
        <v>53</v>
      </c>
      <c r="L2787" s="2" t="s">
        <v>139</v>
      </c>
      <c r="M2787" s="2"/>
      <c r="N2787" s="2"/>
      <c r="O2787" s="2"/>
      <c r="P2787" s="2" t="s">
        <v>8875</v>
      </c>
      <c r="Q2787" s="2"/>
      <c r="R2787" s="2"/>
      <c r="S2787" s="5">
        <v>83.9</v>
      </c>
      <c r="T2787" s="7">
        <v>157.50299999999999</v>
      </c>
      <c r="U2787" s="5">
        <v>11.8</v>
      </c>
      <c r="V2787" s="6">
        <v>2.4</v>
      </c>
      <c r="W2787" s="7">
        <v>44.625</v>
      </c>
      <c r="X2787" s="6">
        <v>46.25</v>
      </c>
      <c r="Y2787" s="4">
        <v>58</v>
      </c>
      <c r="Z2787" s="5">
        <v>58.5</v>
      </c>
      <c r="AA2787" s="6">
        <v>32.020000000000003</v>
      </c>
      <c r="AB2787" s="2" t="s">
        <v>47</v>
      </c>
      <c r="AC2787" s="2"/>
    </row>
    <row r="2788" spans="1:29" ht="65" x14ac:dyDescent="0.15">
      <c r="A2788" s="3">
        <f>DATE(1996,11,18)</f>
        <v>35387</v>
      </c>
      <c r="B2788" s="3">
        <f>DATE(1996,12,16)</f>
        <v>35415</v>
      </c>
      <c r="C2788" s="2" t="s">
        <v>95</v>
      </c>
      <c r="D2788" s="2" t="s">
        <v>8876</v>
      </c>
      <c r="E2788" s="2" t="s">
        <v>8877</v>
      </c>
      <c r="F2788" s="4">
        <v>3089</v>
      </c>
      <c r="G2788" s="2" t="s">
        <v>447</v>
      </c>
      <c r="H2788" s="2" t="s">
        <v>34</v>
      </c>
      <c r="I2788" s="2" t="s">
        <v>8878</v>
      </c>
      <c r="J2788" s="2" t="s">
        <v>1085</v>
      </c>
      <c r="K2788" s="2" t="s">
        <v>370</v>
      </c>
      <c r="L2788" s="2" t="s">
        <v>34</v>
      </c>
      <c r="M2788" s="2"/>
      <c r="N2788" s="2"/>
      <c r="O2788" s="2"/>
      <c r="P2788" s="2" t="s">
        <v>8879</v>
      </c>
      <c r="Q2788" s="6">
        <v>62.7</v>
      </c>
      <c r="R2788" s="2"/>
      <c r="S2788" s="2"/>
      <c r="T2788" s="2"/>
      <c r="U2788" s="2"/>
      <c r="V2788" s="2"/>
      <c r="W2788" s="7">
        <v>3.0630000000000002</v>
      </c>
      <c r="X2788" s="6">
        <v>3.25</v>
      </c>
      <c r="Y2788" s="7">
        <v>3.125</v>
      </c>
      <c r="Z2788" s="7">
        <v>3.0630000000000002</v>
      </c>
      <c r="AA2788" s="6">
        <v>6.96</v>
      </c>
      <c r="AB2788" s="2" t="s">
        <v>47</v>
      </c>
      <c r="AC2788" s="2"/>
    </row>
    <row r="2789" spans="1:29" ht="91" x14ac:dyDescent="0.15">
      <c r="A2789" s="3">
        <f>DATE(1996,11,18)</f>
        <v>35387</v>
      </c>
      <c r="B2789" s="3">
        <f>DATE(1997,1,2)</f>
        <v>35432</v>
      </c>
      <c r="C2789" s="2" t="s">
        <v>95</v>
      </c>
      <c r="D2789" s="2" t="s">
        <v>8487</v>
      </c>
      <c r="E2789" s="2" t="s">
        <v>8488</v>
      </c>
      <c r="F2789" s="4">
        <v>3714</v>
      </c>
      <c r="G2789" s="2" t="s">
        <v>105</v>
      </c>
      <c r="H2789" s="2" t="s">
        <v>34</v>
      </c>
      <c r="I2789" s="2" t="s">
        <v>6878</v>
      </c>
      <c r="J2789" s="2" t="s">
        <v>6879</v>
      </c>
      <c r="K2789" s="2" t="s">
        <v>163</v>
      </c>
      <c r="L2789" s="2" t="s">
        <v>34</v>
      </c>
      <c r="M2789" s="7">
        <v>285.44900000000001</v>
      </c>
      <c r="N2789" s="6">
        <v>12.25</v>
      </c>
      <c r="O2789" s="4">
        <v>13</v>
      </c>
      <c r="P2789" s="2" t="s">
        <v>8880</v>
      </c>
      <c r="Q2789" s="6">
        <v>100</v>
      </c>
      <c r="R2789" s="6">
        <v>12.5</v>
      </c>
      <c r="S2789" s="5">
        <v>16</v>
      </c>
      <c r="T2789" s="6">
        <v>31.33</v>
      </c>
      <c r="U2789" s="5">
        <v>6.1</v>
      </c>
      <c r="V2789" s="6">
        <v>1.24</v>
      </c>
      <c r="W2789" s="4">
        <v>10</v>
      </c>
      <c r="X2789" s="5">
        <v>10.5</v>
      </c>
      <c r="Y2789" s="4">
        <v>10</v>
      </c>
      <c r="Z2789" s="7">
        <v>12.375</v>
      </c>
      <c r="AA2789" s="6">
        <v>12.43</v>
      </c>
      <c r="AB2789" s="7">
        <v>6.3769999999999998</v>
      </c>
      <c r="AC2789" s="6">
        <v>11.17</v>
      </c>
    </row>
    <row r="2790" spans="1:29" ht="130" x14ac:dyDescent="0.15">
      <c r="A2790" s="3">
        <f>DATE(1996,11,18)</f>
        <v>35387</v>
      </c>
      <c r="B2790" s="3">
        <f>DATE(1997,3,27)</f>
        <v>35516</v>
      </c>
      <c r="C2790" s="2" t="s">
        <v>95</v>
      </c>
      <c r="D2790" s="2" t="s">
        <v>835</v>
      </c>
      <c r="E2790" s="2" t="s">
        <v>836</v>
      </c>
      <c r="F2790" s="4">
        <v>3944</v>
      </c>
      <c r="G2790" s="2" t="s">
        <v>112</v>
      </c>
      <c r="H2790" s="2" t="s">
        <v>34</v>
      </c>
      <c r="I2790" s="2" t="s">
        <v>1670</v>
      </c>
      <c r="J2790" s="2" t="s">
        <v>1671</v>
      </c>
      <c r="K2790" s="2" t="s">
        <v>112</v>
      </c>
      <c r="L2790" s="2" t="s">
        <v>34</v>
      </c>
      <c r="M2790" s="12">
        <v>7446.9219999999996</v>
      </c>
      <c r="N2790" s="7">
        <v>29.875</v>
      </c>
      <c r="O2790" s="5">
        <v>30.5</v>
      </c>
      <c r="P2790" s="2" t="s">
        <v>8881</v>
      </c>
      <c r="Q2790" s="6">
        <v>100</v>
      </c>
      <c r="R2790" s="6">
        <v>12.16</v>
      </c>
      <c r="S2790" s="5">
        <v>-27.2</v>
      </c>
      <c r="T2790" s="7">
        <v>43.639000000000003</v>
      </c>
      <c r="U2790" s="5">
        <v>6</v>
      </c>
      <c r="V2790" s="6">
        <v>-0.87</v>
      </c>
      <c r="W2790" s="6">
        <v>6.75</v>
      </c>
      <c r="X2790" s="4">
        <v>7</v>
      </c>
      <c r="Y2790" s="5">
        <v>11.5</v>
      </c>
      <c r="Z2790" s="6">
        <v>11.25</v>
      </c>
      <c r="AA2790" s="6">
        <v>34.83</v>
      </c>
      <c r="AB2790" s="7">
        <v>164.07400000000001</v>
      </c>
      <c r="AC2790" s="6">
        <v>483.46</v>
      </c>
    </row>
    <row r="2791" spans="1:29" ht="130" x14ac:dyDescent="0.15">
      <c r="A2791" s="3">
        <f>DATE(1996,11,19)</f>
        <v>35388</v>
      </c>
      <c r="B2791" s="2"/>
      <c r="C2791" s="2" t="s">
        <v>87</v>
      </c>
      <c r="D2791" s="2" t="s">
        <v>4665</v>
      </c>
      <c r="E2791" s="2" t="s">
        <v>612</v>
      </c>
      <c r="F2791" s="4">
        <v>1311</v>
      </c>
      <c r="G2791" s="2" t="s">
        <v>148</v>
      </c>
      <c r="H2791" s="2" t="s">
        <v>34</v>
      </c>
      <c r="I2791" s="2" t="s">
        <v>2480</v>
      </c>
      <c r="J2791" s="2" t="s">
        <v>612</v>
      </c>
      <c r="K2791" s="2" t="s">
        <v>148</v>
      </c>
      <c r="L2791" s="2" t="s">
        <v>902</v>
      </c>
      <c r="M2791" s="2"/>
      <c r="N2791" s="2"/>
      <c r="O2791" s="2"/>
      <c r="P2791" s="2" t="s">
        <v>8882</v>
      </c>
      <c r="Q2791" s="2"/>
      <c r="R2791" s="6">
        <v>12</v>
      </c>
      <c r="S2791" s="5">
        <v>5.4</v>
      </c>
      <c r="T2791" s="7">
        <v>23.283999999999999</v>
      </c>
      <c r="U2791" s="5">
        <v>3.9</v>
      </c>
      <c r="V2791" s="6">
        <v>0.26</v>
      </c>
      <c r="W2791" s="4">
        <v>10</v>
      </c>
      <c r="X2791" s="5">
        <v>8.5</v>
      </c>
      <c r="Y2791" s="6">
        <v>9.25</v>
      </c>
      <c r="Z2791" s="4">
        <v>11</v>
      </c>
      <c r="AA2791" s="6">
        <v>20.8</v>
      </c>
      <c r="AB2791" s="7">
        <v>32.125999999999998</v>
      </c>
      <c r="AC2791" s="2"/>
    </row>
    <row r="2792" spans="1:29" ht="39" x14ac:dyDescent="0.15">
      <c r="A2792" s="3">
        <f>DATE(1996,11,19)</f>
        <v>35388</v>
      </c>
      <c r="B2792" s="2"/>
      <c r="C2792" s="2" t="s">
        <v>87</v>
      </c>
      <c r="D2792" s="2" t="s">
        <v>8883</v>
      </c>
      <c r="E2792" s="2" t="s">
        <v>5427</v>
      </c>
      <c r="F2792" s="4">
        <v>5399</v>
      </c>
      <c r="G2792" s="2" t="s">
        <v>756</v>
      </c>
      <c r="H2792" s="2" t="s">
        <v>34</v>
      </c>
      <c r="I2792" s="2" t="s">
        <v>1626</v>
      </c>
      <c r="J2792" s="2" t="s">
        <v>244</v>
      </c>
      <c r="K2792" s="2" t="s">
        <v>53</v>
      </c>
      <c r="L2792" s="2" t="s">
        <v>34</v>
      </c>
      <c r="M2792" s="2"/>
      <c r="N2792" s="2"/>
      <c r="O2792" s="2"/>
      <c r="P2792" s="2" t="s">
        <v>8884</v>
      </c>
      <c r="Q2792" s="2"/>
      <c r="R2792" s="2"/>
      <c r="S2792" s="5">
        <v>-490</v>
      </c>
      <c r="T2792" s="5">
        <v>833</v>
      </c>
      <c r="U2792" s="5">
        <v>10.9</v>
      </c>
      <c r="V2792" s="6">
        <v>-1.08</v>
      </c>
      <c r="W2792" s="6">
        <v>9.75</v>
      </c>
      <c r="X2792" s="7">
        <v>9.625</v>
      </c>
      <c r="Y2792" s="6">
        <v>11.25</v>
      </c>
      <c r="Z2792" s="5">
        <v>10.5</v>
      </c>
      <c r="AA2792" s="6">
        <v>17.399999999999999</v>
      </c>
      <c r="AB2792" s="2" t="s">
        <v>47</v>
      </c>
      <c r="AC2792" s="2"/>
    </row>
    <row r="2793" spans="1:29" ht="156" x14ac:dyDescent="0.15">
      <c r="A2793" s="3">
        <f>DATE(1996,11,20)</f>
        <v>35389</v>
      </c>
      <c r="B2793" s="3">
        <f>DATE(1997,5,15)</f>
        <v>35565</v>
      </c>
      <c r="C2793" s="2" t="s">
        <v>95</v>
      </c>
      <c r="D2793" s="2" t="s">
        <v>8885</v>
      </c>
      <c r="E2793" s="2" t="s">
        <v>36</v>
      </c>
      <c r="F2793" s="4">
        <v>6022</v>
      </c>
      <c r="G2793" s="2" t="s">
        <v>37</v>
      </c>
      <c r="H2793" s="2" t="s">
        <v>34</v>
      </c>
      <c r="I2793" s="2" t="s">
        <v>8886</v>
      </c>
      <c r="J2793" s="2" t="s">
        <v>3246</v>
      </c>
      <c r="K2793" s="2" t="s">
        <v>37</v>
      </c>
      <c r="L2793" s="2" t="s">
        <v>34</v>
      </c>
      <c r="M2793" s="12">
        <v>1333.354</v>
      </c>
      <c r="N2793" s="4">
        <v>94</v>
      </c>
      <c r="O2793" s="6">
        <v>95.25</v>
      </c>
      <c r="P2793" s="2" t="s">
        <v>8887</v>
      </c>
      <c r="Q2793" s="6">
        <v>100</v>
      </c>
      <c r="R2793" s="6">
        <v>24.19</v>
      </c>
      <c r="S2793" s="5">
        <v>4.4000000000000004</v>
      </c>
      <c r="T2793" s="7">
        <v>7.8029999999999999</v>
      </c>
      <c r="U2793" s="5">
        <v>8.1</v>
      </c>
      <c r="V2793" s="7">
        <v>1.2509999999999999</v>
      </c>
      <c r="W2793" s="4">
        <v>19</v>
      </c>
      <c r="X2793" s="7">
        <v>18.875</v>
      </c>
      <c r="Y2793" s="4">
        <v>18</v>
      </c>
      <c r="Z2793" s="4">
        <v>19</v>
      </c>
      <c r="AA2793" s="6">
        <v>3.72</v>
      </c>
      <c r="AB2793" s="7">
        <v>70.63</v>
      </c>
      <c r="AC2793" s="2"/>
    </row>
    <row r="2794" spans="1:29" ht="104" x14ac:dyDescent="0.15">
      <c r="A2794" s="3">
        <f>DATE(1996,11,20)</f>
        <v>35389</v>
      </c>
      <c r="B2794" s="2"/>
      <c r="C2794" s="2" t="s">
        <v>30</v>
      </c>
      <c r="D2794" s="2" t="s">
        <v>8828</v>
      </c>
      <c r="E2794" s="2" t="s">
        <v>8829</v>
      </c>
      <c r="F2794" s="4">
        <v>5031</v>
      </c>
      <c r="G2794" s="2" t="s">
        <v>76</v>
      </c>
      <c r="H2794" s="2" t="s">
        <v>34</v>
      </c>
      <c r="I2794" s="2" t="s">
        <v>138</v>
      </c>
      <c r="J2794" s="2" t="s">
        <v>139</v>
      </c>
      <c r="K2794" s="2" t="s">
        <v>53</v>
      </c>
      <c r="L2794" s="2" t="s">
        <v>139</v>
      </c>
      <c r="M2794" s="2"/>
      <c r="N2794" s="2"/>
      <c r="O2794" s="2"/>
      <c r="P2794" s="2" t="s">
        <v>8888</v>
      </c>
      <c r="Q2794" s="2"/>
      <c r="R2794" s="6">
        <v>6.5</v>
      </c>
      <c r="S2794" s="5">
        <v>3.3</v>
      </c>
      <c r="T2794" s="7">
        <v>6.5590000000000002</v>
      </c>
      <c r="U2794" s="5">
        <v>7.2</v>
      </c>
      <c r="V2794" s="7">
        <v>0.64400000000000002</v>
      </c>
      <c r="W2794" s="5">
        <v>4.5</v>
      </c>
      <c r="X2794" s="7">
        <v>4.375</v>
      </c>
      <c r="Y2794" s="7">
        <v>4.625</v>
      </c>
      <c r="Z2794" s="6">
        <v>4.25</v>
      </c>
      <c r="AA2794" s="6">
        <v>5.07</v>
      </c>
      <c r="AB2794" s="7">
        <v>6.1479999999999997</v>
      </c>
      <c r="AC2794" s="2"/>
    </row>
    <row r="2795" spans="1:29" ht="130" x14ac:dyDescent="0.15">
      <c r="A2795" s="3">
        <f>DATE(1996,11,20)</f>
        <v>35389</v>
      </c>
      <c r="B2795" s="2"/>
      <c r="C2795" s="2" t="s">
        <v>30</v>
      </c>
      <c r="D2795" s="2" t="s">
        <v>8724</v>
      </c>
      <c r="E2795" s="2" t="s">
        <v>111</v>
      </c>
      <c r="F2795" s="4">
        <v>3942</v>
      </c>
      <c r="G2795" s="2" t="s">
        <v>112</v>
      </c>
      <c r="H2795" s="2" t="s">
        <v>34</v>
      </c>
      <c r="I2795" s="2" t="s">
        <v>8889</v>
      </c>
      <c r="J2795" s="2" t="s">
        <v>8890</v>
      </c>
      <c r="K2795" s="2" t="s">
        <v>42</v>
      </c>
      <c r="L2795" s="2" t="s">
        <v>34</v>
      </c>
      <c r="M2795" s="2"/>
      <c r="N2795" s="2"/>
      <c r="O2795" s="2"/>
      <c r="P2795" s="2" t="s">
        <v>8891</v>
      </c>
      <c r="Q2795" s="2"/>
      <c r="R2795" s="6">
        <v>22.5</v>
      </c>
      <c r="S2795" s="5">
        <v>28.4</v>
      </c>
      <c r="T2795" s="7">
        <v>59.764000000000003</v>
      </c>
      <c r="U2795" s="5">
        <v>2.7</v>
      </c>
      <c r="V2795" s="6">
        <v>0.7</v>
      </c>
      <c r="W2795" s="7">
        <v>17.875</v>
      </c>
      <c r="X2795" s="7">
        <v>17.375</v>
      </c>
      <c r="Y2795" s="6">
        <v>18.25</v>
      </c>
      <c r="Z2795" s="5">
        <v>18.5</v>
      </c>
      <c r="AA2795" s="6">
        <v>27.74</v>
      </c>
      <c r="AB2795" s="7">
        <v>19.029</v>
      </c>
      <c r="AC2795" s="2"/>
    </row>
    <row r="2796" spans="1:29" ht="39" x14ac:dyDescent="0.15">
      <c r="A2796" s="3">
        <f>DATE(1996,11,21)</f>
        <v>35390</v>
      </c>
      <c r="B2796" s="2"/>
      <c r="C2796" s="2" t="s">
        <v>87</v>
      </c>
      <c r="D2796" s="2" t="s">
        <v>3530</v>
      </c>
      <c r="E2796" s="2" t="s">
        <v>3531</v>
      </c>
      <c r="F2796" s="4">
        <v>3851</v>
      </c>
      <c r="G2796" s="2" t="s">
        <v>226</v>
      </c>
      <c r="H2796" s="2" t="s">
        <v>34</v>
      </c>
      <c r="I2796" s="2" t="s">
        <v>5669</v>
      </c>
      <c r="J2796" s="2" t="s">
        <v>5670</v>
      </c>
      <c r="K2796" s="2" t="s">
        <v>130</v>
      </c>
      <c r="L2796" s="2" t="s">
        <v>34</v>
      </c>
      <c r="M2796" s="2"/>
      <c r="N2796" s="7">
        <v>52.125</v>
      </c>
      <c r="O2796" s="6">
        <v>52.25</v>
      </c>
      <c r="P2796" s="2" t="s">
        <v>8892</v>
      </c>
      <c r="Q2796" s="2"/>
      <c r="R2796" s="2"/>
      <c r="S2796" s="5">
        <v>112</v>
      </c>
      <c r="T2796" s="7">
        <v>342.70499999999998</v>
      </c>
      <c r="U2796" s="5">
        <v>16.3</v>
      </c>
      <c r="V2796" s="6">
        <v>1.94</v>
      </c>
      <c r="W2796" s="6">
        <v>33.25</v>
      </c>
      <c r="X2796" s="6">
        <v>33.25</v>
      </c>
      <c r="Y2796" s="5">
        <v>35.5</v>
      </c>
      <c r="Z2796" s="7">
        <v>34.625</v>
      </c>
      <c r="AA2796" s="2"/>
      <c r="AB2796" s="2" t="s">
        <v>47</v>
      </c>
      <c r="AC2796" s="8">
        <v>1364</v>
      </c>
    </row>
    <row r="2797" spans="1:29" ht="104" x14ac:dyDescent="0.15">
      <c r="A2797" s="3">
        <f>DATE(1996,11,22)</f>
        <v>35391</v>
      </c>
      <c r="B2797" s="3">
        <f>DATE(1997,5,1)</f>
        <v>35551</v>
      </c>
      <c r="C2797" s="2" t="s">
        <v>95</v>
      </c>
      <c r="D2797" s="2" t="s">
        <v>6642</v>
      </c>
      <c r="E2797" s="2" t="s">
        <v>1181</v>
      </c>
      <c r="F2797" s="4">
        <v>6021</v>
      </c>
      <c r="G2797" s="2" t="s">
        <v>37</v>
      </c>
      <c r="H2797" s="2" t="s">
        <v>34</v>
      </c>
      <c r="I2797" s="2" t="s">
        <v>3932</v>
      </c>
      <c r="J2797" s="2" t="s">
        <v>159</v>
      </c>
      <c r="K2797" s="2" t="s">
        <v>37</v>
      </c>
      <c r="L2797" s="2" t="s">
        <v>2105</v>
      </c>
      <c r="M2797" s="2"/>
      <c r="N2797" s="2"/>
      <c r="O2797" s="2"/>
      <c r="P2797" s="2" t="s">
        <v>8893</v>
      </c>
      <c r="Q2797" s="6">
        <v>100</v>
      </c>
      <c r="R2797" s="6">
        <v>59</v>
      </c>
      <c r="S2797" s="5">
        <v>119.5</v>
      </c>
      <c r="T2797" s="7">
        <v>208.75899999999999</v>
      </c>
      <c r="U2797" s="5">
        <v>29.4</v>
      </c>
      <c r="V2797" s="6">
        <v>3.7</v>
      </c>
      <c r="W2797" s="6">
        <v>52.25</v>
      </c>
      <c r="X2797" s="7">
        <v>53.125</v>
      </c>
      <c r="Y2797" s="7">
        <v>53.375</v>
      </c>
      <c r="Z2797" s="7">
        <v>53.875</v>
      </c>
      <c r="AA2797" s="6">
        <v>32.200000000000003</v>
      </c>
      <c r="AB2797" s="7">
        <v>24.277000000000001</v>
      </c>
      <c r="AC2797" s="2"/>
    </row>
    <row r="2798" spans="1:29" ht="130" x14ac:dyDescent="0.15">
      <c r="A2798" s="3">
        <f>DATE(1996,11,25)</f>
        <v>35394</v>
      </c>
      <c r="B2798" s="3">
        <f>DATE(1997,2,28)</f>
        <v>35489</v>
      </c>
      <c r="C2798" s="2" t="s">
        <v>95</v>
      </c>
      <c r="D2798" s="2" t="s">
        <v>8894</v>
      </c>
      <c r="E2798" s="2" t="s">
        <v>8895</v>
      </c>
      <c r="F2798" s="4">
        <v>7221</v>
      </c>
      <c r="G2798" s="2" t="s">
        <v>1517</v>
      </c>
      <c r="H2798" s="2" t="s">
        <v>34</v>
      </c>
      <c r="I2798" s="2" t="s">
        <v>8896</v>
      </c>
      <c r="J2798" s="2" t="s">
        <v>8897</v>
      </c>
      <c r="K2798" s="2" t="s">
        <v>1517</v>
      </c>
      <c r="L2798" s="2" t="s">
        <v>34</v>
      </c>
      <c r="M2798" s="6">
        <v>118.75</v>
      </c>
      <c r="N2798" s="4">
        <v>18</v>
      </c>
      <c r="O2798" s="7">
        <v>17.625</v>
      </c>
      <c r="P2798" s="2" t="s">
        <v>8898</v>
      </c>
      <c r="Q2798" s="6">
        <v>100</v>
      </c>
      <c r="R2798" s="6">
        <v>2.5</v>
      </c>
      <c r="S2798" s="5">
        <v>-4.8</v>
      </c>
      <c r="T2798" s="7">
        <v>4.5970000000000004</v>
      </c>
      <c r="U2798" s="5">
        <v>0.4</v>
      </c>
      <c r="V2798" s="7">
        <v>-0.22600000000000001</v>
      </c>
      <c r="W2798" s="7">
        <v>1.1879999999999999</v>
      </c>
      <c r="X2798" s="7">
        <v>1.3129999999999999</v>
      </c>
      <c r="Y2798" s="7">
        <v>2.125</v>
      </c>
      <c r="Z2798" s="7">
        <v>2.0630000000000002</v>
      </c>
      <c r="AA2798" s="6">
        <v>21.43</v>
      </c>
      <c r="AB2798" s="2" t="s">
        <v>86</v>
      </c>
      <c r="AC2798" s="6">
        <v>3.92</v>
      </c>
    </row>
    <row r="2799" spans="1:29" ht="117" x14ac:dyDescent="0.15">
      <c r="A2799" s="3">
        <f>DATE(1996,11,25)</f>
        <v>35394</v>
      </c>
      <c r="B2799" s="3">
        <f>DATE(1997,1,9)</f>
        <v>35439</v>
      </c>
      <c r="C2799" s="2" t="s">
        <v>95</v>
      </c>
      <c r="D2799" s="2" t="s">
        <v>8899</v>
      </c>
      <c r="E2799" s="2" t="s">
        <v>8900</v>
      </c>
      <c r="F2799" s="4">
        <v>3674</v>
      </c>
      <c r="G2799" s="2" t="s">
        <v>137</v>
      </c>
      <c r="H2799" s="2" t="s">
        <v>34</v>
      </c>
      <c r="I2799" s="2" t="s">
        <v>8901</v>
      </c>
      <c r="J2799" s="2" t="s">
        <v>207</v>
      </c>
      <c r="K2799" s="2" t="s">
        <v>137</v>
      </c>
      <c r="L2799" s="2" t="s">
        <v>34</v>
      </c>
      <c r="M2799" s="10">
        <v>4719.75</v>
      </c>
      <c r="N2799" s="7">
        <v>37.625</v>
      </c>
      <c r="O2799" s="7">
        <v>36.563000000000002</v>
      </c>
      <c r="P2799" s="2" t="s">
        <v>8902</v>
      </c>
      <c r="Q2799" s="6">
        <v>100</v>
      </c>
      <c r="R2799" s="6">
        <v>18.5</v>
      </c>
      <c r="S2799" s="5">
        <v>12.1</v>
      </c>
      <c r="T2799" s="7">
        <v>13.209</v>
      </c>
      <c r="U2799" s="5">
        <v>6.4</v>
      </c>
      <c r="V2799" s="6">
        <v>1.33</v>
      </c>
      <c r="W2799" s="6">
        <v>11.25</v>
      </c>
      <c r="X2799" s="7">
        <v>12.125</v>
      </c>
      <c r="Y2799" s="7">
        <v>18.125</v>
      </c>
      <c r="Z2799" s="6">
        <v>18.25</v>
      </c>
      <c r="AA2799" s="6">
        <v>8.74</v>
      </c>
      <c r="AB2799" s="7">
        <v>12.455</v>
      </c>
      <c r="AC2799" s="10">
        <v>1037.6300000000001</v>
      </c>
    </row>
    <row r="2800" spans="1:29" ht="130" x14ac:dyDescent="0.15">
      <c r="A2800" s="3">
        <f>DATE(1996,11,25)</f>
        <v>35394</v>
      </c>
      <c r="B2800" s="3">
        <f>DATE(1997,6,18)</f>
        <v>35599</v>
      </c>
      <c r="C2800" s="2" t="s">
        <v>95</v>
      </c>
      <c r="D2800" s="2" t="s">
        <v>8353</v>
      </c>
      <c r="E2800" s="2" t="s">
        <v>612</v>
      </c>
      <c r="F2800" s="4">
        <v>1311</v>
      </c>
      <c r="G2800" s="2" t="s">
        <v>148</v>
      </c>
      <c r="H2800" s="2" t="s">
        <v>34</v>
      </c>
      <c r="I2800" s="2" t="s">
        <v>8903</v>
      </c>
      <c r="J2800" s="2" t="s">
        <v>1888</v>
      </c>
      <c r="K2800" s="2" t="s">
        <v>439</v>
      </c>
      <c r="L2800" s="2" t="s">
        <v>34</v>
      </c>
      <c r="M2800" s="12">
        <v>9550.3070000000007</v>
      </c>
      <c r="N2800" s="7">
        <v>46.125</v>
      </c>
      <c r="O2800" s="7">
        <v>46.625</v>
      </c>
      <c r="P2800" s="2" t="s">
        <v>8904</v>
      </c>
      <c r="Q2800" s="6">
        <v>100</v>
      </c>
      <c r="R2800" s="6">
        <v>50</v>
      </c>
      <c r="S2800" s="5">
        <v>303.60000000000002</v>
      </c>
      <c r="T2800" s="5">
        <v>947.7</v>
      </c>
      <c r="U2800" s="5">
        <v>14.8</v>
      </c>
      <c r="V2800" s="6">
        <v>2.0299999999999998</v>
      </c>
      <c r="W2800" s="6">
        <v>40.75</v>
      </c>
      <c r="X2800" s="6">
        <v>42.25</v>
      </c>
      <c r="Y2800" s="4">
        <v>44</v>
      </c>
      <c r="Z2800" s="7">
        <v>44.125</v>
      </c>
      <c r="AA2800" s="6">
        <v>151.07</v>
      </c>
      <c r="AB2800" s="7">
        <v>14.923</v>
      </c>
      <c r="AC2800" s="6">
        <v>121.71</v>
      </c>
    </row>
    <row r="2801" spans="1:29" ht="143" x14ac:dyDescent="0.15">
      <c r="A2801" s="3">
        <f>DATE(1996,11,26)</f>
        <v>35395</v>
      </c>
      <c r="B2801" s="3">
        <f>DATE(1996,12,30)</f>
        <v>35429</v>
      </c>
      <c r="C2801" s="2" t="s">
        <v>95</v>
      </c>
      <c r="D2801" s="2" t="s">
        <v>8905</v>
      </c>
      <c r="E2801" s="2" t="s">
        <v>8906</v>
      </c>
      <c r="F2801" s="4">
        <v>2842</v>
      </c>
      <c r="G2801" s="2" t="s">
        <v>358</v>
      </c>
      <c r="H2801" s="2" t="s">
        <v>34</v>
      </c>
      <c r="I2801" s="2" t="s">
        <v>8907</v>
      </c>
      <c r="J2801" s="2" t="s">
        <v>8908</v>
      </c>
      <c r="K2801" s="2" t="s">
        <v>358</v>
      </c>
      <c r="L2801" s="2" t="s">
        <v>34</v>
      </c>
      <c r="M2801" s="12">
        <v>5447.9849999999997</v>
      </c>
      <c r="N2801" s="5">
        <v>105.5</v>
      </c>
      <c r="O2801" s="5">
        <v>105.5</v>
      </c>
      <c r="P2801" s="2" t="s">
        <v>8909</v>
      </c>
      <c r="Q2801" s="6">
        <v>100</v>
      </c>
      <c r="R2801" s="6">
        <v>19.09</v>
      </c>
      <c r="S2801" s="5">
        <v>7.2</v>
      </c>
      <c r="T2801" s="7">
        <v>14.996</v>
      </c>
      <c r="U2801" s="5">
        <v>5.8</v>
      </c>
      <c r="V2801" s="6">
        <v>0.34</v>
      </c>
      <c r="W2801" s="6">
        <v>16.75</v>
      </c>
      <c r="X2801" s="5">
        <v>17.5</v>
      </c>
      <c r="Y2801" s="5">
        <v>17.5</v>
      </c>
      <c r="Z2801" s="7">
        <v>18.890999999999998</v>
      </c>
      <c r="AA2801" s="6">
        <v>21.37</v>
      </c>
      <c r="AB2801" s="7">
        <v>35.195</v>
      </c>
      <c r="AC2801" s="6">
        <v>90.83</v>
      </c>
    </row>
    <row r="2802" spans="1:29" ht="156" x14ac:dyDescent="0.15">
      <c r="A2802" s="3">
        <f>DATE(1996,11,26)</f>
        <v>35395</v>
      </c>
      <c r="B2802" s="3">
        <f>DATE(1997,5,30)</f>
        <v>35580</v>
      </c>
      <c r="C2802" s="2" t="s">
        <v>95</v>
      </c>
      <c r="D2802" s="2" t="s">
        <v>8910</v>
      </c>
      <c r="E2802" s="2" t="s">
        <v>1181</v>
      </c>
      <c r="F2802" s="4">
        <v>6021</v>
      </c>
      <c r="G2802" s="2" t="s">
        <v>37</v>
      </c>
      <c r="H2802" s="2" t="s">
        <v>34</v>
      </c>
      <c r="I2802" s="2" t="s">
        <v>3924</v>
      </c>
      <c r="J2802" s="2" t="s">
        <v>3925</v>
      </c>
      <c r="K2802" s="2" t="s">
        <v>37</v>
      </c>
      <c r="L2802" s="2" t="s">
        <v>34</v>
      </c>
      <c r="M2802" s="7">
        <v>978.875</v>
      </c>
      <c r="N2802" s="6">
        <v>26.75</v>
      </c>
      <c r="O2802" s="6">
        <v>26.75</v>
      </c>
      <c r="P2802" s="2" t="s">
        <v>8911</v>
      </c>
      <c r="Q2802" s="6">
        <v>100</v>
      </c>
      <c r="R2802" s="6">
        <v>34.35</v>
      </c>
      <c r="S2802" s="5">
        <v>2.8</v>
      </c>
      <c r="T2802" s="7">
        <v>5.6230000000000002</v>
      </c>
      <c r="U2802" s="5">
        <v>18.5</v>
      </c>
      <c r="V2802" s="6">
        <v>1.3</v>
      </c>
      <c r="W2802" s="7">
        <v>22.875</v>
      </c>
      <c r="X2802" s="5">
        <v>24.5</v>
      </c>
      <c r="Y2802" s="7">
        <v>24.594000000000001</v>
      </c>
      <c r="Z2802" s="5">
        <v>24.5</v>
      </c>
      <c r="AA2802" s="6">
        <v>2.12</v>
      </c>
      <c r="AB2802" s="7">
        <v>76.691000000000003</v>
      </c>
      <c r="AC2802" s="2"/>
    </row>
    <row r="2803" spans="1:29" ht="143" x14ac:dyDescent="0.15">
      <c r="A2803" s="3">
        <f>DATE(1996,11,27)</f>
        <v>35396</v>
      </c>
      <c r="B2803" s="3">
        <f>DATE(1997,3,27)</f>
        <v>35516</v>
      </c>
      <c r="C2803" s="2" t="s">
        <v>95</v>
      </c>
      <c r="D2803" s="2" t="s">
        <v>8912</v>
      </c>
      <c r="E2803" s="2" t="s">
        <v>8913</v>
      </c>
      <c r="F2803" s="4">
        <v>5251</v>
      </c>
      <c r="G2803" s="2" t="s">
        <v>73</v>
      </c>
      <c r="H2803" s="2" t="s">
        <v>34</v>
      </c>
      <c r="I2803" s="2" t="s">
        <v>8914</v>
      </c>
      <c r="J2803" s="2" t="s">
        <v>678</v>
      </c>
      <c r="K2803" s="2" t="s">
        <v>53</v>
      </c>
      <c r="L2803" s="2" t="s">
        <v>34</v>
      </c>
      <c r="M2803" s="2"/>
      <c r="N2803" s="2"/>
      <c r="O2803" s="2"/>
      <c r="P2803" s="2" t="s">
        <v>8915</v>
      </c>
      <c r="Q2803" s="6">
        <v>38.75</v>
      </c>
      <c r="R2803" s="6">
        <v>14.25</v>
      </c>
      <c r="S2803" s="5">
        <v>8.6999999999999993</v>
      </c>
      <c r="T2803" s="7">
        <v>20.710999999999999</v>
      </c>
      <c r="U2803" s="5">
        <v>8.5</v>
      </c>
      <c r="V2803" s="7">
        <v>0.79600000000000004</v>
      </c>
      <c r="W2803" s="7">
        <v>12.125</v>
      </c>
      <c r="X2803" s="7">
        <v>12.125</v>
      </c>
      <c r="Y2803" s="6">
        <v>11.75</v>
      </c>
      <c r="Z2803" s="6">
        <v>11.75</v>
      </c>
      <c r="AA2803" s="6">
        <v>10.59</v>
      </c>
      <c r="AB2803" s="7">
        <v>10.37</v>
      </c>
      <c r="AC2803" s="2"/>
    </row>
    <row r="2804" spans="1:29" ht="130" x14ac:dyDescent="0.15">
      <c r="A2804" s="3">
        <f>DATE(1996,11,27)</f>
        <v>35396</v>
      </c>
      <c r="B2804" s="3">
        <f>DATE(1996,12,27)</f>
        <v>35426</v>
      </c>
      <c r="C2804" s="2" t="s">
        <v>95</v>
      </c>
      <c r="D2804" s="2" t="s">
        <v>8912</v>
      </c>
      <c r="E2804" s="2" t="s">
        <v>8913</v>
      </c>
      <c r="F2804" s="4">
        <v>5251</v>
      </c>
      <c r="G2804" s="2" t="s">
        <v>73</v>
      </c>
      <c r="H2804" s="2" t="s">
        <v>34</v>
      </c>
      <c r="I2804" s="2" t="s">
        <v>8914</v>
      </c>
      <c r="J2804" s="2" t="s">
        <v>678</v>
      </c>
      <c r="K2804" s="2" t="s">
        <v>53</v>
      </c>
      <c r="L2804" s="2" t="s">
        <v>34</v>
      </c>
      <c r="M2804" s="2"/>
      <c r="N2804" s="2"/>
      <c r="O2804" s="2"/>
      <c r="P2804" s="2" t="s">
        <v>8916</v>
      </c>
      <c r="Q2804" s="6">
        <v>54.62</v>
      </c>
      <c r="R2804" s="6">
        <v>14</v>
      </c>
      <c r="S2804" s="5">
        <v>8.6999999999999993</v>
      </c>
      <c r="T2804" s="7">
        <v>20.710999999999999</v>
      </c>
      <c r="U2804" s="5">
        <v>8.5</v>
      </c>
      <c r="V2804" s="7">
        <v>0.79600000000000004</v>
      </c>
      <c r="W2804" s="7">
        <v>12.125</v>
      </c>
      <c r="X2804" s="7">
        <v>12.125</v>
      </c>
      <c r="Y2804" s="6">
        <v>11.75</v>
      </c>
      <c r="Z2804" s="6">
        <v>11.75</v>
      </c>
      <c r="AA2804" s="6">
        <v>10.59</v>
      </c>
      <c r="AB2804" s="7">
        <v>10.023</v>
      </c>
      <c r="AC2804" s="2"/>
    </row>
    <row r="2805" spans="1:29" ht="130" x14ac:dyDescent="0.15">
      <c r="A2805" s="3">
        <f>DATE(1996,11,27)</f>
        <v>35396</v>
      </c>
      <c r="B2805" s="3">
        <f>DATE(1997,1,16)</f>
        <v>35446</v>
      </c>
      <c r="C2805" s="2" t="s">
        <v>95</v>
      </c>
      <c r="D2805" s="2" t="s">
        <v>8917</v>
      </c>
      <c r="E2805" s="2" t="s">
        <v>8918</v>
      </c>
      <c r="F2805" s="4">
        <v>5065</v>
      </c>
      <c r="G2805" s="2" t="s">
        <v>76</v>
      </c>
      <c r="H2805" s="2" t="s">
        <v>34</v>
      </c>
      <c r="I2805" s="2" t="s">
        <v>6738</v>
      </c>
      <c r="J2805" s="2" t="s">
        <v>6739</v>
      </c>
      <c r="K2805" s="2" t="s">
        <v>137</v>
      </c>
      <c r="L2805" s="2" t="s">
        <v>34</v>
      </c>
      <c r="M2805" s="7">
        <v>122.577</v>
      </c>
      <c r="N2805" s="4">
        <v>20</v>
      </c>
      <c r="O2805" s="4">
        <v>20</v>
      </c>
      <c r="P2805" s="2" t="s">
        <v>8919</v>
      </c>
      <c r="Q2805" s="6">
        <v>100</v>
      </c>
      <c r="R2805" s="6">
        <v>14.77</v>
      </c>
      <c r="S2805" s="5">
        <v>8.6</v>
      </c>
      <c r="T2805" s="7">
        <v>17.329000000000001</v>
      </c>
      <c r="U2805" s="5">
        <v>6.8</v>
      </c>
      <c r="V2805" s="7">
        <v>1.272</v>
      </c>
      <c r="W2805" s="7">
        <v>12.625</v>
      </c>
      <c r="X2805" s="7">
        <v>13.625</v>
      </c>
      <c r="Y2805" s="7">
        <v>14.375</v>
      </c>
      <c r="Z2805" s="7">
        <v>14.375</v>
      </c>
      <c r="AA2805" s="6">
        <v>6.77</v>
      </c>
      <c r="AB2805" s="7">
        <v>8.1310000000000002</v>
      </c>
      <c r="AC2805" s="6">
        <v>4.82</v>
      </c>
    </row>
    <row r="2806" spans="1:29" ht="156" x14ac:dyDescent="0.15">
      <c r="A2806" s="3">
        <f>DATE(1996,11,27)</f>
        <v>35396</v>
      </c>
      <c r="B2806" s="3">
        <f>DATE(1997,3,19)</f>
        <v>35508</v>
      </c>
      <c r="C2806" s="2" t="s">
        <v>95</v>
      </c>
      <c r="D2806" s="2" t="s">
        <v>8920</v>
      </c>
      <c r="E2806" s="2" t="s">
        <v>786</v>
      </c>
      <c r="F2806" s="4">
        <v>5122</v>
      </c>
      <c r="G2806" s="2" t="s">
        <v>593</v>
      </c>
      <c r="H2806" s="2" t="s">
        <v>34</v>
      </c>
      <c r="I2806" s="2" t="s">
        <v>6702</v>
      </c>
      <c r="J2806" s="2" t="s">
        <v>6703</v>
      </c>
      <c r="K2806" s="2" t="s">
        <v>593</v>
      </c>
      <c r="L2806" s="2" t="s">
        <v>34</v>
      </c>
      <c r="M2806" s="12">
        <v>5293.4319999999998</v>
      </c>
      <c r="N2806" s="5">
        <v>84.5</v>
      </c>
      <c r="O2806" s="5">
        <v>84.5</v>
      </c>
      <c r="P2806" s="2" t="s">
        <v>8921</v>
      </c>
      <c r="Q2806" s="6">
        <v>100</v>
      </c>
      <c r="R2806" s="6">
        <v>27.62</v>
      </c>
      <c r="S2806" s="5">
        <v>10.6</v>
      </c>
      <c r="T2806" s="2"/>
      <c r="U2806" s="5">
        <v>6.9</v>
      </c>
      <c r="V2806" s="7">
        <v>0.60799999999999998</v>
      </c>
      <c r="W2806" s="6">
        <v>13.75</v>
      </c>
      <c r="X2806" s="6">
        <v>16.75</v>
      </c>
      <c r="Y2806" s="7">
        <v>24.875</v>
      </c>
      <c r="Z2806" s="7">
        <v>24.875</v>
      </c>
      <c r="AA2806" s="6">
        <v>18.64</v>
      </c>
      <c r="AB2806" s="7">
        <v>26.867000000000001</v>
      </c>
      <c r="AC2806" s="6">
        <v>342.14</v>
      </c>
    </row>
    <row r="2807" spans="1:29" ht="143" x14ac:dyDescent="0.15">
      <c r="A2807" s="3">
        <f>DATE(1996,11,29)</f>
        <v>35398</v>
      </c>
      <c r="B2807" s="3">
        <f>DATE(1997,4,30)</f>
        <v>35550</v>
      </c>
      <c r="C2807" s="2" t="s">
        <v>95</v>
      </c>
      <c r="D2807" s="2" t="s">
        <v>8597</v>
      </c>
      <c r="E2807" s="2" t="s">
        <v>92</v>
      </c>
      <c r="F2807" s="4">
        <v>6798</v>
      </c>
      <c r="G2807" s="2" t="s">
        <v>53</v>
      </c>
      <c r="H2807" s="2" t="s">
        <v>34</v>
      </c>
      <c r="I2807" s="2" t="s">
        <v>8922</v>
      </c>
      <c r="J2807" s="2" t="s">
        <v>92</v>
      </c>
      <c r="K2807" s="2" t="s">
        <v>53</v>
      </c>
      <c r="L2807" s="2" t="s">
        <v>34</v>
      </c>
      <c r="M2807" s="2"/>
      <c r="N2807" s="2"/>
      <c r="O2807" s="2"/>
      <c r="P2807" s="2" t="s">
        <v>8923</v>
      </c>
      <c r="Q2807" s="6">
        <v>100</v>
      </c>
      <c r="R2807" s="6">
        <v>25</v>
      </c>
      <c r="S2807" s="5">
        <v>2.5</v>
      </c>
      <c r="T2807" s="7">
        <v>8.8680000000000003</v>
      </c>
      <c r="U2807" s="5">
        <v>14.6</v>
      </c>
      <c r="V2807" s="7">
        <v>0.432</v>
      </c>
      <c r="W2807" s="6">
        <v>13.75</v>
      </c>
      <c r="X2807" s="5">
        <v>13.5</v>
      </c>
      <c r="Y2807" s="7">
        <v>14.063000000000001</v>
      </c>
      <c r="Z2807" s="6">
        <v>14.25</v>
      </c>
      <c r="AA2807" s="6">
        <v>5.8</v>
      </c>
      <c r="AB2807" s="7">
        <v>30.628</v>
      </c>
      <c r="AC2807" s="2"/>
    </row>
    <row r="2808" spans="1:29" ht="91" x14ac:dyDescent="0.15">
      <c r="A2808" s="3">
        <f>DATE(1996,11,29)</f>
        <v>35398</v>
      </c>
      <c r="B2808" s="3">
        <f>DATE(1997,1,6)</f>
        <v>35436</v>
      </c>
      <c r="C2808" s="2" t="s">
        <v>95</v>
      </c>
      <c r="D2808" s="2" t="s">
        <v>8924</v>
      </c>
      <c r="E2808" s="2" t="s">
        <v>6632</v>
      </c>
      <c r="F2808" s="4">
        <v>3672</v>
      </c>
      <c r="G2808" s="2" t="s">
        <v>137</v>
      </c>
      <c r="H2808" s="2" t="s">
        <v>34</v>
      </c>
      <c r="I2808" s="2" t="s">
        <v>5088</v>
      </c>
      <c r="J2808" s="2" t="s">
        <v>5089</v>
      </c>
      <c r="K2808" s="2" t="s">
        <v>300</v>
      </c>
      <c r="L2808" s="2" t="s">
        <v>1791</v>
      </c>
      <c r="M2808" s="2"/>
      <c r="N2808" s="6">
        <v>54.75</v>
      </c>
      <c r="O2808" s="7">
        <v>54.625</v>
      </c>
      <c r="P2808" s="2" t="s">
        <v>8925</v>
      </c>
      <c r="Q2808" s="6">
        <v>100</v>
      </c>
      <c r="R2808" s="6">
        <v>14</v>
      </c>
      <c r="S2808" s="5">
        <v>3.8</v>
      </c>
      <c r="T2808" s="2"/>
      <c r="U2808" s="5">
        <v>3.6</v>
      </c>
      <c r="V2808" s="6">
        <v>0.42</v>
      </c>
      <c r="W2808" s="4">
        <v>11</v>
      </c>
      <c r="X2808" s="4">
        <v>13</v>
      </c>
      <c r="Y2808" s="9">
        <v>13.9375</v>
      </c>
      <c r="Z2808" s="6">
        <v>13.75</v>
      </c>
      <c r="AA2808" s="6">
        <v>8.0399999999999991</v>
      </c>
      <c r="AB2808" s="2" t="s">
        <v>47</v>
      </c>
      <c r="AC2808" s="6">
        <v>69.400000000000006</v>
      </c>
    </row>
    <row r="2809" spans="1:29" ht="117" x14ac:dyDescent="0.15">
      <c r="A2809" s="3">
        <f>DATE(1996,12,2)</f>
        <v>35401</v>
      </c>
      <c r="B2809" s="3">
        <f>DATE(1997,1,30)</f>
        <v>35460</v>
      </c>
      <c r="C2809" s="2" t="s">
        <v>95</v>
      </c>
      <c r="D2809" s="2" t="s">
        <v>8926</v>
      </c>
      <c r="E2809" s="2" t="s">
        <v>8927</v>
      </c>
      <c r="F2809" s="4">
        <v>5961</v>
      </c>
      <c r="G2809" s="2" t="s">
        <v>73</v>
      </c>
      <c r="H2809" s="2" t="s">
        <v>34</v>
      </c>
      <c r="I2809" s="2" t="s">
        <v>8928</v>
      </c>
      <c r="J2809" s="2" t="s">
        <v>8509</v>
      </c>
      <c r="K2809" s="2" t="s">
        <v>756</v>
      </c>
      <c r="L2809" s="2" t="s">
        <v>34</v>
      </c>
      <c r="M2809" s="12">
        <v>2786.4780000000001</v>
      </c>
      <c r="N2809" s="4">
        <v>24</v>
      </c>
      <c r="O2809" s="7">
        <v>23.875</v>
      </c>
      <c r="P2809" s="2" t="s">
        <v>8929</v>
      </c>
      <c r="Q2809" s="6">
        <v>100</v>
      </c>
      <c r="R2809" s="6">
        <v>24</v>
      </c>
      <c r="S2809" s="5">
        <v>6.1</v>
      </c>
      <c r="T2809" s="7">
        <v>10.135999999999999</v>
      </c>
      <c r="U2809" s="5">
        <v>6.6</v>
      </c>
      <c r="V2809" s="6">
        <v>1</v>
      </c>
      <c r="W2809" s="6">
        <v>18.75</v>
      </c>
      <c r="X2809" s="4">
        <v>19</v>
      </c>
      <c r="Y2809" s="6">
        <v>23.25</v>
      </c>
      <c r="Z2809" s="7">
        <v>23.375</v>
      </c>
      <c r="AA2809" s="6">
        <v>6.07</v>
      </c>
      <c r="AB2809" s="7">
        <v>15.794</v>
      </c>
      <c r="AC2809" s="5">
        <v>13</v>
      </c>
    </row>
    <row r="2810" spans="1:29" ht="143" x14ac:dyDescent="0.15">
      <c r="A2810" s="3">
        <f>DATE(1996,12,2)</f>
        <v>35401</v>
      </c>
      <c r="B2810" s="3">
        <f>DATE(1997,3,3)</f>
        <v>35492</v>
      </c>
      <c r="C2810" s="2" t="s">
        <v>95</v>
      </c>
      <c r="D2810" s="2" t="s">
        <v>3943</v>
      </c>
      <c r="E2810" s="2" t="s">
        <v>3944</v>
      </c>
      <c r="F2810" s="4">
        <v>8071</v>
      </c>
      <c r="G2810" s="2" t="s">
        <v>454</v>
      </c>
      <c r="H2810" s="2" t="s">
        <v>34</v>
      </c>
      <c r="I2810" s="2" t="s">
        <v>6927</v>
      </c>
      <c r="J2810" s="2" t="s">
        <v>6928</v>
      </c>
      <c r="K2810" s="2" t="s">
        <v>454</v>
      </c>
      <c r="L2810" s="2" t="s">
        <v>34</v>
      </c>
      <c r="M2810" s="12">
        <v>5717.5410000000002</v>
      </c>
      <c r="N2810" s="7">
        <v>36.875</v>
      </c>
      <c r="O2810" s="4">
        <v>37</v>
      </c>
      <c r="P2810" s="2" t="s">
        <v>8930</v>
      </c>
      <c r="Q2810" s="6">
        <v>100</v>
      </c>
      <c r="R2810" s="6">
        <v>16.78</v>
      </c>
      <c r="S2810" s="5">
        <v>6.9</v>
      </c>
      <c r="T2810" s="7">
        <v>33.066000000000003</v>
      </c>
      <c r="U2810" s="5">
        <v>7.3</v>
      </c>
      <c r="V2810" s="6">
        <v>0.59</v>
      </c>
      <c r="W2810" s="7">
        <v>13.125</v>
      </c>
      <c r="X2810" s="7">
        <v>15.625</v>
      </c>
      <c r="Y2810" s="4">
        <v>16</v>
      </c>
      <c r="Z2810" s="4">
        <v>16</v>
      </c>
      <c r="AA2810" s="6">
        <v>11.48</v>
      </c>
      <c r="AB2810" s="7">
        <v>16.702999999999999</v>
      </c>
      <c r="AC2810" s="6">
        <v>108.97</v>
      </c>
    </row>
    <row r="2811" spans="1:29" ht="52" x14ac:dyDescent="0.15">
      <c r="A2811" s="3">
        <f>DATE(1996,12,2)</f>
        <v>35401</v>
      </c>
      <c r="B2811" s="2"/>
      <c r="C2811" s="2" t="s">
        <v>30</v>
      </c>
      <c r="D2811" s="2" t="s">
        <v>8931</v>
      </c>
      <c r="E2811" s="2" t="s">
        <v>6632</v>
      </c>
      <c r="F2811" s="4">
        <v>3672</v>
      </c>
      <c r="G2811" s="2" t="s">
        <v>137</v>
      </c>
      <c r="H2811" s="2" t="s">
        <v>34</v>
      </c>
      <c r="I2811" s="2" t="s">
        <v>8932</v>
      </c>
      <c r="J2811" s="2" t="s">
        <v>244</v>
      </c>
      <c r="K2811" s="2" t="s">
        <v>53</v>
      </c>
      <c r="L2811" s="2" t="s">
        <v>34</v>
      </c>
      <c r="M2811" s="2"/>
      <c r="N2811" s="2"/>
      <c r="O2811" s="2"/>
      <c r="P2811" s="2" t="s">
        <v>8933</v>
      </c>
      <c r="Q2811" s="2"/>
      <c r="R2811" s="6">
        <v>16.25</v>
      </c>
      <c r="S2811" s="5">
        <v>11.7</v>
      </c>
      <c r="T2811" s="7">
        <v>31.847000000000001</v>
      </c>
      <c r="U2811" s="5">
        <v>5.8</v>
      </c>
      <c r="V2811" s="7">
        <v>1.113</v>
      </c>
      <c r="W2811" s="4">
        <v>12</v>
      </c>
      <c r="X2811" s="5">
        <v>12.5</v>
      </c>
      <c r="Y2811" s="4">
        <v>16</v>
      </c>
      <c r="Z2811" s="7">
        <v>16.125</v>
      </c>
      <c r="AA2811" s="6">
        <v>11.39</v>
      </c>
      <c r="AB2811" s="7">
        <v>10.48</v>
      </c>
      <c r="AC2811" s="2"/>
    </row>
    <row r="2812" spans="1:29" ht="91" x14ac:dyDescent="0.15">
      <c r="A2812" s="3">
        <f>DATE(1996,12,3)</f>
        <v>35402</v>
      </c>
      <c r="B2812" s="3">
        <f>DATE(1997,5,1)</f>
        <v>35551</v>
      </c>
      <c r="C2812" s="2" t="s">
        <v>95</v>
      </c>
      <c r="D2812" s="2" t="s">
        <v>78</v>
      </c>
      <c r="E2812" s="2" t="s">
        <v>36</v>
      </c>
      <c r="F2812" s="4">
        <v>6036</v>
      </c>
      <c r="G2812" s="2" t="s">
        <v>33</v>
      </c>
      <c r="H2812" s="2" t="s">
        <v>34</v>
      </c>
      <c r="I2812" s="2" t="s">
        <v>8934</v>
      </c>
      <c r="J2812" s="2" t="s">
        <v>5071</v>
      </c>
      <c r="K2812" s="2" t="s">
        <v>33</v>
      </c>
      <c r="L2812" s="2" t="s">
        <v>34</v>
      </c>
      <c r="M2812" s="12">
        <v>1608.4079999999999</v>
      </c>
      <c r="N2812" s="6">
        <v>14.75</v>
      </c>
      <c r="O2812" s="7">
        <v>14.875</v>
      </c>
      <c r="P2812" s="2" t="s">
        <v>8935</v>
      </c>
      <c r="Q2812" s="6">
        <v>100</v>
      </c>
      <c r="R2812" s="6">
        <v>52</v>
      </c>
      <c r="S2812" s="5">
        <v>10.4</v>
      </c>
      <c r="T2812" s="7">
        <v>17.594999999999999</v>
      </c>
      <c r="U2812" s="5">
        <v>29.7</v>
      </c>
      <c r="V2812" s="7">
        <v>5.9749999999999996</v>
      </c>
      <c r="W2812" s="5">
        <v>44.5</v>
      </c>
      <c r="X2812" s="5">
        <v>46.5</v>
      </c>
      <c r="Y2812" s="5">
        <v>49.5</v>
      </c>
      <c r="Z2812" s="4">
        <v>52</v>
      </c>
      <c r="AA2812" s="6">
        <v>1.64</v>
      </c>
      <c r="AB2812" s="7">
        <v>27.620999999999999</v>
      </c>
      <c r="AC2812" s="2"/>
    </row>
    <row r="2813" spans="1:29" ht="65" x14ac:dyDescent="0.15">
      <c r="A2813" s="3">
        <f>DATE(1996,12,3)</f>
        <v>35402</v>
      </c>
      <c r="B2813" s="2"/>
      <c r="C2813" s="2" t="s">
        <v>30</v>
      </c>
      <c r="D2813" s="2" t="s">
        <v>8936</v>
      </c>
      <c r="E2813" s="2" t="s">
        <v>3892</v>
      </c>
      <c r="F2813" s="4">
        <v>4841</v>
      </c>
      <c r="G2813" s="2" t="s">
        <v>45</v>
      </c>
      <c r="H2813" s="2" t="s">
        <v>34</v>
      </c>
      <c r="I2813" s="2" t="s">
        <v>278</v>
      </c>
      <c r="J2813" s="2" t="s">
        <v>52</v>
      </c>
      <c r="K2813" s="2" t="s">
        <v>53</v>
      </c>
      <c r="L2813" s="2" t="s">
        <v>34</v>
      </c>
      <c r="M2813" s="2"/>
      <c r="N2813" s="2"/>
      <c r="O2813" s="2"/>
      <c r="P2813" s="2" t="s">
        <v>8937</v>
      </c>
      <c r="Q2813" s="2"/>
      <c r="R2813" s="2"/>
      <c r="S2813" s="5">
        <v>30</v>
      </c>
      <c r="T2813" s="7">
        <v>29.181999999999999</v>
      </c>
      <c r="U2813" s="5">
        <v>10.3</v>
      </c>
      <c r="V2813" s="6">
        <v>0.28000000000000003</v>
      </c>
      <c r="W2813" s="7">
        <v>15.125</v>
      </c>
      <c r="X2813" s="4">
        <v>15</v>
      </c>
      <c r="Y2813" s="7">
        <v>14.875</v>
      </c>
      <c r="Z2813" s="7">
        <v>14.625</v>
      </c>
      <c r="AA2813" s="6">
        <v>106.96</v>
      </c>
      <c r="AB2813" s="2" t="s">
        <v>86</v>
      </c>
      <c r="AC2813" s="2"/>
    </row>
    <row r="2814" spans="1:29" ht="39" x14ac:dyDescent="0.15">
      <c r="A2814" s="3">
        <f t="shared" ref="A2814:A2819" si="24">DATE(1996,12,4)</f>
        <v>35403</v>
      </c>
      <c r="B2814" s="2"/>
      <c r="C2814" s="2" t="s">
        <v>189</v>
      </c>
      <c r="D2814" s="2" t="s">
        <v>8515</v>
      </c>
      <c r="E2814" s="2" t="s">
        <v>8516</v>
      </c>
      <c r="F2814" s="4">
        <v>7993</v>
      </c>
      <c r="G2814" s="2" t="s">
        <v>364</v>
      </c>
      <c r="H2814" s="2" t="s">
        <v>34</v>
      </c>
      <c r="I2814" s="2" t="s">
        <v>143</v>
      </c>
      <c r="J2814" s="2" t="s">
        <v>144</v>
      </c>
      <c r="K2814" s="2" t="s">
        <v>53</v>
      </c>
      <c r="L2814" s="2" t="s">
        <v>139</v>
      </c>
      <c r="M2814" s="2"/>
      <c r="N2814" s="2"/>
      <c r="O2814" s="2"/>
      <c r="P2814" s="2" t="s">
        <v>8938</v>
      </c>
      <c r="Q2814" s="2"/>
      <c r="R2814" s="2"/>
      <c r="S2814" s="5">
        <v>22.3</v>
      </c>
      <c r="T2814" s="7">
        <v>37.966999999999999</v>
      </c>
      <c r="U2814" s="5">
        <v>5.5</v>
      </c>
      <c r="V2814" s="6">
        <v>0.92</v>
      </c>
      <c r="W2814" s="7">
        <v>40.125</v>
      </c>
      <c r="X2814" s="6">
        <v>41.25</v>
      </c>
      <c r="Y2814" s="4">
        <v>41</v>
      </c>
      <c r="Z2814" s="4">
        <v>46</v>
      </c>
      <c r="AA2814" s="6">
        <v>13.74</v>
      </c>
      <c r="AB2814" s="2" t="s">
        <v>47</v>
      </c>
      <c r="AC2814" s="2"/>
    </row>
    <row r="2815" spans="1:29" ht="52" x14ac:dyDescent="0.15">
      <c r="A2815" s="3">
        <f t="shared" si="24"/>
        <v>35403</v>
      </c>
      <c r="B2815" s="2"/>
      <c r="C2815" s="2" t="s">
        <v>30</v>
      </c>
      <c r="D2815" s="2" t="s">
        <v>8939</v>
      </c>
      <c r="E2815" s="2" t="s">
        <v>8940</v>
      </c>
      <c r="F2815" s="4">
        <v>3812</v>
      </c>
      <c r="G2815" s="2" t="s">
        <v>226</v>
      </c>
      <c r="H2815" s="2" t="s">
        <v>34</v>
      </c>
      <c r="I2815" s="2" t="s">
        <v>8941</v>
      </c>
      <c r="J2815" s="2" t="s">
        <v>8942</v>
      </c>
      <c r="K2815" s="2" t="s">
        <v>137</v>
      </c>
      <c r="L2815" s="2" t="s">
        <v>34</v>
      </c>
      <c r="M2815" s="2"/>
      <c r="N2815" s="2"/>
      <c r="O2815" s="2"/>
      <c r="P2815" s="2" t="s">
        <v>8943</v>
      </c>
      <c r="Q2815" s="2"/>
      <c r="R2815" s="2"/>
      <c r="S2815" s="5">
        <v>-13</v>
      </c>
      <c r="T2815" s="7">
        <v>-8.4890000000000008</v>
      </c>
      <c r="U2815" s="5">
        <v>1.6</v>
      </c>
      <c r="V2815" s="6">
        <v>0.9</v>
      </c>
      <c r="W2815" s="4">
        <v>59</v>
      </c>
      <c r="X2815" s="4">
        <v>60</v>
      </c>
      <c r="Y2815" s="4">
        <v>59</v>
      </c>
      <c r="Z2815" s="5">
        <v>59.5</v>
      </c>
      <c r="AA2815" s="6">
        <v>1.07</v>
      </c>
      <c r="AB2815" s="2" t="s">
        <v>86</v>
      </c>
      <c r="AC2815" s="2"/>
    </row>
    <row r="2816" spans="1:29" ht="26" x14ac:dyDescent="0.15">
      <c r="A2816" s="3">
        <f t="shared" si="24"/>
        <v>35403</v>
      </c>
      <c r="B2816" s="2"/>
      <c r="C2816" s="2" t="s">
        <v>39</v>
      </c>
      <c r="D2816" s="2" t="s">
        <v>8944</v>
      </c>
      <c r="E2816" s="2" t="s">
        <v>8945</v>
      </c>
      <c r="F2816" s="4">
        <v>4512</v>
      </c>
      <c r="G2816" s="2" t="s">
        <v>59</v>
      </c>
      <c r="H2816" s="2" t="s">
        <v>34</v>
      </c>
      <c r="I2816" s="2" t="s">
        <v>8946</v>
      </c>
      <c r="J2816" s="2" t="s">
        <v>8945</v>
      </c>
      <c r="K2816" s="2" t="s">
        <v>59</v>
      </c>
      <c r="L2816" s="2" t="s">
        <v>34</v>
      </c>
      <c r="M2816" s="10">
        <v>3791.52</v>
      </c>
      <c r="N2816" s="5">
        <v>75.5</v>
      </c>
      <c r="O2816" s="5">
        <v>75.5</v>
      </c>
      <c r="P2816" s="2" t="s">
        <v>8947</v>
      </c>
      <c r="Q2816" s="2"/>
      <c r="R2816" s="2"/>
      <c r="S2816" s="5">
        <v>226</v>
      </c>
      <c r="T2816" s="5">
        <v>638</v>
      </c>
      <c r="U2816" s="5">
        <v>5.4</v>
      </c>
      <c r="V2816" s="6">
        <v>3.36</v>
      </c>
      <c r="W2816" s="7">
        <v>27.875</v>
      </c>
      <c r="X2816" s="5">
        <v>28.5</v>
      </c>
      <c r="Y2816" s="5">
        <v>30.5</v>
      </c>
      <c r="Z2816" s="4">
        <v>29</v>
      </c>
      <c r="AA2816" s="6">
        <v>56.05</v>
      </c>
      <c r="AB2816" s="2" t="s">
        <v>47</v>
      </c>
      <c r="AC2816" s="8">
        <v>1652</v>
      </c>
    </row>
    <row r="2817" spans="1:29" ht="91" x14ac:dyDescent="0.15">
      <c r="A2817" s="3">
        <f t="shared" si="24"/>
        <v>35403</v>
      </c>
      <c r="B2817" s="2"/>
      <c r="C2817" s="2" t="s">
        <v>87</v>
      </c>
      <c r="D2817" s="2" t="s">
        <v>8948</v>
      </c>
      <c r="E2817" s="2" t="s">
        <v>8949</v>
      </c>
      <c r="F2817" s="2" t="s">
        <v>8950</v>
      </c>
      <c r="G2817" s="2" t="s">
        <v>426</v>
      </c>
      <c r="H2817" s="2" t="s">
        <v>34</v>
      </c>
      <c r="I2817" s="2" t="s">
        <v>8314</v>
      </c>
      <c r="J2817" s="2" t="s">
        <v>8315</v>
      </c>
      <c r="K2817" s="2" t="s">
        <v>98</v>
      </c>
      <c r="L2817" s="2" t="s">
        <v>34</v>
      </c>
      <c r="M2817" s="12">
        <v>24255.838</v>
      </c>
      <c r="N2817" s="5">
        <v>39.5</v>
      </c>
      <c r="O2817" s="6">
        <v>41.75</v>
      </c>
      <c r="P2817" s="2" t="s">
        <v>8951</v>
      </c>
      <c r="Q2817" s="2"/>
      <c r="R2817" s="2"/>
      <c r="S2817" s="5">
        <v>-47.1</v>
      </c>
      <c r="T2817" s="7">
        <v>-15.853</v>
      </c>
      <c r="U2817" s="5">
        <v>5.9</v>
      </c>
      <c r="V2817" s="6">
        <v>1.81</v>
      </c>
      <c r="W2817" s="6">
        <v>16.75</v>
      </c>
      <c r="X2817" s="4">
        <v>17</v>
      </c>
      <c r="Y2817" s="6">
        <v>17.75</v>
      </c>
      <c r="Z2817" s="7">
        <v>18.875</v>
      </c>
      <c r="AA2817" s="6">
        <v>30.4</v>
      </c>
      <c r="AB2817" s="2" t="s">
        <v>86</v>
      </c>
      <c r="AC2817" s="2"/>
    </row>
    <row r="2818" spans="1:29" ht="117" x14ac:dyDescent="0.15">
      <c r="A2818" s="3">
        <f t="shared" si="24"/>
        <v>35403</v>
      </c>
      <c r="B2818" s="3">
        <f>DATE(1996,12,4)</f>
        <v>35403</v>
      </c>
      <c r="C2818" s="2" t="s">
        <v>95</v>
      </c>
      <c r="D2818" s="2" t="s">
        <v>8948</v>
      </c>
      <c r="E2818" s="2" t="s">
        <v>8949</v>
      </c>
      <c r="F2818" s="2" t="s">
        <v>8950</v>
      </c>
      <c r="G2818" s="2" t="s">
        <v>426</v>
      </c>
      <c r="H2818" s="2" t="s">
        <v>34</v>
      </c>
      <c r="I2818" s="2" t="s">
        <v>8952</v>
      </c>
      <c r="J2818" s="2" t="s">
        <v>8953</v>
      </c>
      <c r="K2818" s="2" t="s">
        <v>98</v>
      </c>
      <c r="L2818" s="2" t="s">
        <v>34</v>
      </c>
      <c r="M2818" s="2"/>
      <c r="N2818" s="2"/>
      <c r="O2818" s="2"/>
      <c r="P2818" s="2" t="s">
        <v>8954</v>
      </c>
      <c r="Q2818" s="6">
        <v>3.29</v>
      </c>
      <c r="R2818" s="6">
        <v>16.75</v>
      </c>
      <c r="S2818" s="5">
        <v>-47.1</v>
      </c>
      <c r="T2818" s="7">
        <v>-15.853</v>
      </c>
      <c r="U2818" s="5">
        <v>5.9</v>
      </c>
      <c r="V2818" s="6">
        <v>1.81</v>
      </c>
      <c r="W2818" s="6">
        <v>16.75</v>
      </c>
      <c r="X2818" s="4">
        <v>17</v>
      </c>
      <c r="Y2818" s="6">
        <v>17.75</v>
      </c>
      <c r="Z2818" s="7">
        <v>18.875</v>
      </c>
      <c r="AA2818" s="6">
        <v>30.4</v>
      </c>
      <c r="AB2818" s="2" t="s">
        <v>86</v>
      </c>
      <c r="AC2818" s="2"/>
    </row>
    <row r="2819" spans="1:29" ht="91" x14ac:dyDescent="0.15">
      <c r="A2819" s="3">
        <f t="shared" si="24"/>
        <v>35403</v>
      </c>
      <c r="B2819" s="3">
        <f>DATE(1997,3,17)</f>
        <v>35506</v>
      </c>
      <c r="C2819" s="2" t="s">
        <v>95</v>
      </c>
      <c r="D2819" s="2" t="s">
        <v>8955</v>
      </c>
      <c r="E2819" s="2" t="s">
        <v>1102</v>
      </c>
      <c r="F2819" s="4">
        <v>3841</v>
      </c>
      <c r="G2819" s="2" t="s">
        <v>226</v>
      </c>
      <c r="H2819" s="2" t="s">
        <v>34</v>
      </c>
      <c r="I2819" s="2" t="s">
        <v>4779</v>
      </c>
      <c r="J2819" s="2" t="s">
        <v>4780</v>
      </c>
      <c r="K2819" s="2" t="s">
        <v>226</v>
      </c>
      <c r="L2819" s="2" t="s">
        <v>34</v>
      </c>
      <c r="M2819" s="12">
        <v>11530.025</v>
      </c>
      <c r="N2819" s="5">
        <v>41.5</v>
      </c>
      <c r="O2819" s="6">
        <v>41.25</v>
      </c>
      <c r="P2819" s="2" t="s">
        <v>8956</v>
      </c>
      <c r="Q2819" s="6">
        <v>100</v>
      </c>
      <c r="R2819" s="6">
        <v>23.5</v>
      </c>
      <c r="S2819" s="2"/>
      <c r="T2819" s="2"/>
      <c r="U2819" s="2"/>
      <c r="V2819" s="2"/>
      <c r="W2819" s="7">
        <v>19.875</v>
      </c>
      <c r="X2819" s="4">
        <v>20</v>
      </c>
      <c r="Y2819" s="7">
        <v>22.765999999999998</v>
      </c>
      <c r="Z2819" s="7">
        <v>22.812999999999999</v>
      </c>
      <c r="AA2819" s="6">
        <v>10.039999999999999</v>
      </c>
      <c r="AB2819" s="2" t="s">
        <v>47</v>
      </c>
      <c r="AC2819" s="5">
        <v>761</v>
      </c>
    </row>
    <row r="2820" spans="1:29" ht="52" x14ac:dyDescent="0.15">
      <c r="A2820" s="3">
        <f t="shared" ref="A2820:A2827" si="25">DATE(1996,12,5)</f>
        <v>35404</v>
      </c>
      <c r="B2820" s="2"/>
      <c r="C2820" s="2" t="s">
        <v>189</v>
      </c>
      <c r="D2820" s="2" t="s">
        <v>8957</v>
      </c>
      <c r="E2820" s="2" t="s">
        <v>6674</v>
      </c>
      <c r="F2820" s="4">
        <v>3841</v>
      </c>
      <c r="G2820" s="2" t="s">
        <v>226</v>
      </c>
      <c r="H2820" s="2" t="s">
        <v>34</v>
      </c>
      <c r="I2820" s="2" t="s">
        <v>143</v>
      </c>
      <c r="J2820" s="2" t="s">
        <v>144</v>
      </c>
      <c r="K2820" s="2" t="s">
        <v>53</v>
      </c>
      <c r="L2820" s="2" t="s">
        <v>139</v>
      </c>
      <c r="M2820" s="2"/>
      <c r="N2820" s="2"/>
      <c r="O2820" s="2"/>
      <c r="P2820" s="2" t="s">
        <v>8958</v>
      </c>
      <c r="Q2820" s="2"/>
      <c r="R2820" s="2"/>
      <c r="S2820" s="2"/>
      <c r="T2820" s="2"/>
      <c r="U2820" s="2"/>
      <c r="V2820" s="2"/>
      <c r="W2820" s="7">
        <v>1.0940000000000001</v>
      </c>
      <c r="X2820" s="7">
        <v>1.4379999999999999</v>
      </c>
      <c r="Y2820" s="7">
        <v>1.6879999999999999</v>
      </c>
      <c r="Z2820" s="7">
        <v>1.7809999999999999</v>
      </c>
      <c r="AA2820" s="2"/>
      <c r="AB2820" s="2" t="s">
        <v>47</v>
      </c>
      <c r="AC2820" s="2"/>
    </row>
    <row r="2821" spans="1:29" ht="156" x14ac:dyDescent="0.15">
      <c r="A2821" s="3">
        <f t="shared" si="25"/>
        <v>35404</v>
      </c>
      <c r="B2821" s="3">
        <f>DATE(1997,2,26)</f>
        <v>35487</v>
      </c>
      <c r="C2821" s="2" t="s">
        <v>95</v>
      </c>
      <c r="D2821" s="2" t="s">
        <v>8959</v>
      </c>
      <c r="E2821" s="2" t="s">
        <v>8960</v>
      </c>
      <c r="F2821" s="2" t="s">
        <v>8961</v>
      </c>
      <c r="G2821" s="2" t="s">
        <v>426</v>
      </c>
      <c r="H2821" s="2" t="s">
        <v>34</v>
      </c>
      <c r="I2821" s="2" t="s">
        <v>8962</v>
      </c>
      <c r="J2821" s="2" t="s">
        <v>8963</v>
      </c>
      <c r="K2821" s="2" t="s">
        <v>223</v>
      </c>
      <c r="L2821" s="2" t="s">
        <v>34</v>
      </c>
      <c r="M2821" s="12">
        <v>3595.6379999999999</v>
      </c>
      <c r="N2821" s="7">
        <v>24.375</v>
      </c>
      <c r="O2821" s="7">
        <v>24.625</v>
      </c>
      <c r="P2821" s="2" t="s">
        <v>8964</v>
      </c>
      <c r="Q2821" s="6">
        <v>100</v>
      </c>
      <c r="R2821" s="6">
        <v>16</v>
      </c>
      <c r="S2821" s="5">
        <v>13.9</v>
      </c>
      <c r="T2821" s="7">
        <v>28.300999999999998</v>
      </c>
      <c r="U2821" s="5">
        <v>3</v>
      </c>
      <c r="V2821" s="6">
        <v>0.82</v>
      </c>
      <c r="W2821" s="5">
        <v>12.5</v>
      </c>
      <c r="X2821" s="6">
        <v>12.75</v>
      </c>
      <c r="Y2821" s="7">
        <v>15.343999999999999</v>
      </c>
      <c r="Z2821" s="7">
        <v>15.438000000000001</v>
      </c>
      <c r="AA2821" s="6">
        <v>14.29</v>
      </c>
      <c r="AB2821" s="7">
        <v>11.37</v>
      </c>
      <c r="AC2821" s="6">
        <v>114.41</v>
      </c>
    </row>
    <row r="2822" spans="1:29" ht="39" x14ac:dyDescent="0.15">
      <c r="A2822" s="3">
        <f t="shared" si="25"/>
        <v>35404</v>
      </c>
      <c r="B2822" s="3">
        <f>DATE(1997,3,27)</f>
        <v>35516</v>
      </c>
      <c r="C2822" s="2" t="s">
        <v>95</v>
      </c>
      <c r="D2822" s="2" t="s">
        <v>8965</v>
      </c>
      <c r="E2822" s="2" t="s">
        <v>8966</v>
      </c>
      <c r="F2822" s="4">
        <v>2451</v>
      </c>
      <c r="G2822" s="2" t="s">
        <v>250</v>
      </c>
      <c r="H2822" s="2" t="s">
        <v>34</v>
      </c>
      <c r="I2822" s="2" t="s">
        <v>8967</v>
      </c>
      <c r="J2822" s="2" t="s">
        <v>2692</v>
      </c>
      <c r="K2822" s="2" t="s">
        <v>341</v>
      </c>
      <c r="L2822" s="2" t="s">
        <v>34</v>
      </c>
      <c r="M2822" s="7">
        <v>952.27099999999996</v>
      </c>
      <c r="N2822" s="7">
        <v>35.125</v>
      </c>
      <c r="O2822" s="7">
        <v>34.875</v>
      </c>
      <c r="P2822" s="2" t="s">
        <v>8968</v>
      </c>
      <c r="Q2822" s="6">
        <v>80</v>
      </c>
      <c r="R2822" s="6">
        <v>26.75</v>
      </c>
      <c r="S2822" s="5">
        <v>6.3</v>
      </c>
      <c r="T2822" s="7">
        <v>13.926</v>
      </c>
      <c r="U2822" s="5">
        <v>8.5</v>
      </c>
      <c r="V2822" s="6">
        <v>2.0499999999999998</v>
      </c>
      <c r="W2822" s="6">
        <v>22.25</v>
      </c>
      <c r="X2822" s="7">
        <v>23.625</v>
      </c>
      <c r="Y2822" s="6">
        <v>25.75</v>
      </c>
      <c r="Z2822" s="7">
        <v>25.812999999999999</v>
      </c>
      <c r="AA2822" s="6">
        <v>3.56</v>
      </c>
      <c r="AB2822" s="7">
        <v>8.0060000000000002</v>
      </c>
      <c r="AC2822" s="6">
        <v>14.04</v>
      </c>
    </row>
    <row r="2823" spans="1:29" ht="117" x14ac:dyDescent="0.15">
      <c r="A2823" s="3">
        <f t="shared" si="25"/>
        <v>35404</v>
      </c>
      <c r="B2823" s="3">
        <f>DATE(1997,4,11)</f>
        <v>35531</v>
      </c>
      <c r="C2823" s="2" t="s">
        <v>95</v>
      </c>
      <c r="D2823" s="2" t="s">
        <v>8969</v>
      </c>
      <c r="E2823" s="2" t="s">
        <v>92</v>
      </c>
      <c r="F2823" s="4">
        <v>6798</v>
      </c>
      <c r="G2823" s="2" t="s">
        <v>53</v>
      </c>
      <c r="H2823" s="2" t="s">
        <v>34</v>
      </c>
      <c r="I2823" s="2" t="s">
        <v>7163</v>
      </c>
      <c r="J2823" s="2" t="s">
        <v>2044</v>
      </c>
      <c r="K2823" s="2" t="s">
        <v>53</v>
      </c>
      <c r="L2823" s="2" t="s">
        <v>34</v>
      </c>
      <c r="M2823" s="12">
        <v>2005.828</v>
      </c>
      <c r="N2823" s="6">
        <v>26.25</v>
      </c>
      <c r="O2823" s="7">
        <v>26.125</v>
      </c>
      <c r="P2823" s="2" t="s">
        <v>8970</v>
      </c>
      <c r="Q2823" s="6">
        <v>100</v>
      </c>
      <c r="R2823" s="6">
        <v>26</v>
      </c>
      <c r="S2823" s="5">
        <v>4</v>
      </c>
      <c r="T2823" s="7">
        <v>5.7080000000000002</v>
      </c>
      <c r="U2823" s="5">
        <v>16.3</v>
      </c>
      <c r="V2823" s="7">
        <v>1.6339999999999999</v>
      </c>
      <c r="W2823" s="7">
        <v>19.875</v>
      </c>
      <c r="X2823" s="7">
        <v>20.125</v>
      </c>
      <c r="Y2823" s="7">
        <v>19.875</v>
      </c>
      <c r="Z2823" s="6">
        <v>20.75</v>
      </c>
      <c r="AA2823" s="6">
        <v>3.17</v>
      </c>
      <c r="AB2823" s="7">
        <v>14.073</v>
      </c>
      <c r="AC2823" s="6">
        <v>80.44</v>
      </c>
    </row>
    <row r="2824" spans="1:29" ht="117" x14ac:dyDescent="0.15">
      <c r="A2824" s="3">
        <f t="shared" si="25"/>
        <v>35404</v>
      </c>
      <c r="B2824" s="3">
        <f>DATE(1997,4,11)</f>
        <v>35531</v>
      </c>
      <c r="C2824" s="2" t="s">
        <v>95</v>
      </c>
      <c r="D2824" s="2" t="s">
        <v>8971</v>
      </c>
      <c r="E2824" s="2" t="s">
        <v>92</v>
      </c>
      <c r="F2824" s="4">
        <v>6798</v>
      </c>
      <c r="G2824" s="2" t="s">
        <v>53</v>
      </c>
      <c r="H2824" s="2" t="s">
        <v>34</v>
      </c>
      <c r="I2824" s="2" t="s">
        <v>7163</v>
      </c>
      <c r="J2824" s="2" t="s">
        <v>2044</v>
      </c>
      <c r="K2824" s="2" t="s">
        <v>53</v>
      </c>
      <c r="L2824" s="2" t="s">
        <v>34</v>
      </c>
      <c r="M2824" s="12">
        <v>2005.828</v>
      </c>
      <c r="N2824" s="6">
        <v>26.25</v>
      </c>
      <c r="O2824" s="7">
        <v>26.125</v>
      </c>
      <c r="P2824" s="2" t="s">
        <v>8972</v>
      </c>
      <c r="Q2824" s="6">
        <v>100</v>
      </c>
      <c r="R2824" s="6">
        <v>26</v>
      </c>
      <c r="S2824" s="5">
        <v>3.7</v>
      </c>
      <c r="T2824" s="7">
        <v>5.1120000000000001</v>
      </c>
      <c r="U2824" s="5">
        <v>17.399999999999999</v>
      </c>
      <c r="V2824" s="7">
        <v>1.546</v>
      </c>
      <c r="W2824" s="6">
        <v>20.25</v>
      </c>
      <c r="X2824" s="7">
        <v>20.125</v>
      </c>
      <c r="Y2824" s="4">
        <v>20</v>
      </c>
      <c r="Z2824" s="7">
        <v>21.125</v>
      </c>
      <c r="AA2824" s="6">
        <v>3.04</v>
      </c>
      <c r="AB2824" s="7">
        <v>14.244999999999999</v>
      </c>
      <c r="AC2824" s="6">
        <v>80.44</v>
      </c>
    </row>
    <row r="2825" spans="1:29" ht="156" x14ac:dyDescent="0.15">
      <c r="A2825" s="3">
        <f t="shared" si="25"/>
        <v>35404</v>
      </c>
      <c r="B2825" s="3">
        <f>DATE(1997,5,5)</f>
        <v>35555</v>
      </c>
      <c r="C2825" s="2" t="s">
        <v>95</v>
      </c>
      <c r="D2825" s="2" t="s">
        <v>8973</v>
      </c>
      <c r="E2825" s="2" t="s">
        <v>8974</v>
      </c>
      <c r="F2825" s="4">
        <v>1041</v>
      </c>
      <c r="G2825" s="2" t="s">
        <v>166</v>
      </c>
      <c r="H2825" s="2" t="s">
        <v>34</v>
      </c>
      <c r="I2825" s="2" t="s">
        <v>1990</v>
      </c>
      <c r="J2825" s="2" t="s">
        <v>1248</v>
      </c>
      <c r="K2825" s="2" t="s">
        <v>166</v>
      </c>
      <c r="L2825" s="2" t="s">
        <v>34</v>
      </c>
      <c r="M2825" s="12">
        <v>4776.902</v>
      </c>
      <c r="N2825" s="7">
        <v>47.125</v>
      </c>
      <c r="O2825" s="7">
        <v>46.875</v>
      </c>
      <c r="P2825" s="2" t="s">
        <v>8975</v>
      </c>
      <c r="Q2825" s="6">
        <v>100</v>
      </c>
      <c r="R2825" s="6">
        <v>18.97</v>
      </c>
      <c r="S2825" s="5">
        <v>39.799999999999997</v>
      </c>
      <c r="T2825" s="6">
        <v>132.53</v>
      </c>
      <c r="U2825" s="5">
        <v>4.2</v>
      </c>
      <c r="V2825" s="6">
        <v>0.3</v>
      </c>
      <c r="W2825" s="7">
        <v>11.375</v>
      </c>
      <c r="X2825" s="7">
        <v>11.875</v>
      </c>
      <c r="Y2825" s="7">
        <v>14.875</v>
      </c>
      <c r="Z2825" s="7">
        <v>15.375</v>
      </c>
      <c r="AA2825" s="6">
        <v>131.47</v>
      </c>
      <c r="AB2825" s="7">
        <v>41.645000000000003</v>
      </c>
      <c r="AC2825" s="6">
        <v>198.41</v>
      </c>
    </row>
    <row r="2826" spans="1:29" ht="65" x14ac:dyDescent="0.15">
      <c r="A2826" s="3">
        <f t="shared" si="25"/>
        <v>35404</v>
      </c>
      <c r="B2826" s="2"/>
      <c r="C2826" s="2" t="s">
        <v>189</v>
      </c>
      <c r="D2826" s="2" t="s">
        <v>8976</v>
      </c>
      <c r="E2826" s="2" t="s">
        <v>813</v>
      </c>
      <c r="F2826" s="4">
        <v>2891</v>
      </c>
      <c r="G2826" s="2" t="s">
        <v>98</v>
      </c>
      <c r="H2826" s="2" t="s">
        <v>34</v>
      </c>
      <c r="I2826" s="2" t="s">
        <v>143</v>
      </c>
      <c r="J2826" s="2" t="s">
        <v>144</v>
      </c>
      <c r="K2826" s="2" t="s">
        <v>53</v>
      </c>
      <c r="L2826" s="2" t="s">
        <v>139</v>
      </c>
      <c r="M2826" s="2"/>
      <c r="N2826" s="2"/>
      <c r="O2826" s="2"/>
      <c r="P2826" s="2" t="s">
        <v>8977</v>
      </c>
      <c r="Q2826" s="2"/>
      <c r="R2826" s="2"/>
      <c r="S2826" s="5">
        <v>0.6</v>
      </c>
      <c r="T2826" s="6">
        <v>7.94</v>
      </c>
      <c r="U2826" s="5">
        <v>2.6</v>
      </c>
      <c r="V2826" s="9">
        <v>0.1133</v>
      </c>
      <c r="W2826" s="4">
        <v>56</v>
      </c>
      <c r="X2826" s="4">
        <v>59</v>
      </c>
      <c r="Y2826" s="6">
        <v>39.75</v>
      </c>
      <c r="Z2826" s="4">
        <v>59</v>
      </c>
      <c r="AA2826" s="6">
        <v>3.07</v>
      </c>
      <c r="AB2826" s="2" t="s">
        <v>47</v>
      </c>
      <c r="AC2826" s="2"/>
    </row>
    <row r="2827" spans="1:29" ht="78" x14ac:dyDescent="0.15">
      <c r="A2827" s="3">
        <f t="shared" si="25"/>
        <v>35404</v>
      </c>
      <c r="B2827" s="3">
        <f>DATE(1997,1,10)</f>
        <v>35440</v>
      </c>
      <c r="C2827" s="2" t="s">
        <v>95</v>
      </c>
      <c r="D2827" s="2" t="s">
        <v>8931</v>
      </c>
      <c r="E2827" s="2" t="s">
        <v>6632</v>
      </c>
      <c r="F2827" s="4">
        <v>3672</v>
      </c>
      <c r="G2827" s="2" t="s">
        <v>137</v>
      </c>
      <c r="H2827" s="2" t="s">
        <v>34</v>
      </c>
      <c r="I2827" s="2" t="s">
        <v>8978</v>
      </c>
      <c r="J2827" s="2" t="s">
        <v>568</v>
      </c>
      <c r="K2827" s="2" t="s">
        <v>137</v>
      </c>
      <c r="L2827" s="2" t="s">
        <v>34</v>
      </c>
      <c r="M2827" s="5">
        <v>338</v>
      </c>
      <c r="N2827" s="7">
        <v>47.125</v>
      </c>
      <c r="O2827" s="6">
        <v>47.25</v>
      </c>
      <c r="P2827" s="2" t="s">
        <v>8979</v>
      </c>
      <c r="Q2827" s="6">
        <v>100</v>
      </c>
      <c r="R2827" s="6">
        <v>18</v>
      </c>
      <c r="S2827" s="5">
        <v>11.7</v>
      </c>
      <c r="T2827" s="7">
        <v>31.847000000000001</v>
      </c>
      <c r="U2827" s="5">
        <v>5.8</v>
      </c>
      <c r="V2827" s="7">
        <v>1.113</v>
      </c>
      <c r="W2827" s="6">
        <v>12.25</v>
      </c>
      <c r="X2827" s="4">
        <v>16</v>
      </c>
      <c r="Y2827" s="7">
        <v>17.625</v>
      </c>
      <c r="Z2827" s="7">
        <v>17.655999999999999</v>
      </c>
      <c r="AA2827" s="6">
        <v>11.39</v>
      </c>
      <c r="AB2827" s="7">
        <v>11.46</v>
      </c>
      <c r="AC2827" s="6">
        <v>42.19</v>
      </c>
    </row>
    <row r="2828" spans="1:29" ht="156" x14ac:dyDescent="0.15">
      <c r="A2828" s="3">
        <f>DATE(1996,12,6)</f>
        <v>35405</v>
      </c>
      <c r="B2828" s="3">
        <f>DATE(1997,3,18)</f>
        <v>35507</v>
      </c>
      <c r="C2828" s="2" t="s">
        <v>95</v>
      </c>
      <c r="D2828" s="2" t="s">
        <v>8980</v>
      </c>
      <c r="E2828" s="2" t="s">
        <v>4916</v>
      </c>
      <c r="F2828" s="4">
        <v>7379</v>
      </c>
      <c r="G2828" s="2" t="s">
        <v>223</v>
      </c>
      <c r="H2828" s="2" t="s">
        <v>34</v>
      </c>
      <c r="I2828" s="2" t="s">
        <v>1060</v>
      </c>
      <c r="J2828" s="2" t="s">
        <v>1061</v>
      </c>
      <c r="K2828" s="2" t="s">
        <v>756</v>
      </c>
      <c r="L2828" s="2" t="s">
        <v>34</v>
      </c>
      <c r="M2828" s="10">
        <v>19233.45</v>
      </c>
      <c r="N2828" s="6">
        <v>48.75</v>
      </c>
      <c r="O2828" s="6">
        <v>48.75</v>
      </c>
      <c r="P2828" s="2" t="s">
        <v>8981</v>
      </c>
      <c r="Q2828" s="6">
        <v>47.6</v>
      </c>
      <c r="R2828" s="6">
        <v>7.75</v>
      </c>
      <c r="S2828" s="5">
        <v>3.1</v>
      </c>
      <c r="T2828" s="7">
        <v>9.2889999999999997</v>
      </c>
      <c r="U2828" s="5">
        <v>1.7</v>
      </c>
      <c r="V2828" s="6">
        <v>0.28000000000000003</v>
      </c>
      <c r="W2828" s="7">
        <v>4.625</v>
      </c>
      <c r="X2828" s="5">
        <v>6.5</v>
      </c>
      <c r="Y2828" s="5">
        <v>6.5</v>
      </c>
      <c r="Z2828" s="7">
        <v>6.125</v>
      </c>
      <c r="AA2828" s="6">
        <v>12.18</v>
      </c>
      <c r="AB2828" s="7">
        <v>19.04</v>
      </c>
      <c r="AC2828" s="5">
        <v>660</v>
      </c>
    </row>
    <row r="2829" spans="1:29" ht="169" x14ac:dyDescent="0.15">
      <c r="A2829" s="3">
        <f>DATE(1996,12,9)</f>
        <v>35408</v>
      </c>
      <c r="B2829" s="2"/>
      <c r="C2829" s="2" t="s">
        <v>30</v>
      </c>
      <c r="D2829" s="2" t="s">
        <v>8973</v>
      </c>
      <c r="E2829" s="2" t="s">
        <v>8974</v>
      </c>
      <c r="F2829" s="4">
        <v>1041</v>
      </c>
      <c r="G2829" s="2" t="s">
        <v>166</v>
      </c>
      <c r="H2829" s="2" t="s">
        <v>34</v>
      </c>
      <c r="I2829" s="2" t="s">
        <v>8982</v>
      </c>
      <c r="J2829" s="2" t="s">
        <v>6864</v>
      </c>
      <c r="K2829" s="2" t="s">
        <v>166</v>
      </c>
      <c r="L2829" s="2" t="s">
        <v>34</v>
      </c>
      <c r="M2829" s="12">
        <v>2292.1880000000001</v>
      </c>
      <c r="N2829" s="6">
        <v>14.75</v>
      </c>
      <c r="O2829" s="6">
        <v>14.75</v>
      </c>
      <c r="P2829" s="2" t="s">
        <v>8983</v>
      </c>
      <c r="Q2829" s="2"/>
      <c r="R2829" s="6">
        <v>17.420000000000002</v>
      </c>
      <c r="S2829" s="5">
        <v>39.799999999999997</v>
      </c>
      <c r="T2829" s="6">
        <v>132.53</v>
      </c>
      <c r="U2829" s="5">
        <v>4.2</v>
      </c>
      <c r="V2829" s="6">
        <v>0.3</v>
      </c>
      <c r="W2829" s="7">
        <v>11.375</v>
      </c>
      <c r="X2829" s="7">
        <v>11.875</v>
      </c>
      <c r="Y2829" s="7">
        <v>14.875</v>
      </c>
      <c r="Z2829" s="7">
        <v>15.375</v>
      </c>
      <c r="AA2829" s="6">
        <v>131.5</v>
      </c>
      <c r="AB2829" s="7">
        <v>38.423999999999999</v>
      </c>
      <c r="AC2829" s="6">
        <v>212.37</v>
      </c>
    </row>
    <row r="2830" spans="1:29" ht="117" x14ac:dyDescent="0.15">
      <c r="A2830" s="3">
        <f>DATE(1996,12,9)</f>
        <v>35408</v>
      </c>
      <c r="B2830" s="2"/>
      <c r="C2830" s="2" t="s">
        <v>30</v>
      </c>
      <c r="D2830" s="2" t="s">
        <v>8984</v>
      </c>
      <c r="E2830" s="2" t="s">
        <v>8985</v>
      </c>
      <c r="F2830" s="4">
        <v>6035</v>
      </c>
      <c r="G2830" s="2" t="s">
        <v>33</v>
      </c>
      <c r="H2830" s="2" t="s">
        <v>34</v>
      </c>
      <c r="I2830" s="2" t="s">
        <v>6783</v>
      </c>
      <c r="J2830" s="2" t="s">
        <v>80</v>
      </c>
      <c r="K2830" s="2" t="s">
        <v>53</v>
      </c>
      <c r="L2830" s="2" t="s">
        <v>34</v>
      </c>
      <c r="M2830" s="2"/>
      <c r="N2830" s="2"/>
      <c r="O2830" s="2"/>
      <c r="P2830" s="2" t="s">
        <v>8986</v>
      </c>
      <c r="Q2830" s="2"/>
      <c r="R2830" s="6">
        <v>18.2</v>
      </c>
      <c r="S2830" s="5">
        <v>0.3</v>
      </c>
      <c r="T2830" s="7">
        <v>0.65500000000000003</v>
      </c>
      <c r="U2830" s="5">
        <v>15.7</v>
      </c>
      <c r="V2830" s="6">
        <v>0.39</v>
      </c>
      <c r="W2830" s="7">
        <v>14.125</v>
      </c>
      <c r="X2830" s="4">
        <v>15</v>
      </c>
      <c r="Y2830" s="4">
        <v>16</v>
      </c>
      <c r="Z2830" s="7">
        <v>15.625</v>
      </c>
      <c r="AA2830" s="6">
        <v>0.88</v>
      </c>
      <c r="AB2830" s="7">
        <v>35.167999999999999</v>
      </c>
      <c r="AC2830" s="2"/>
    </row>
    <row r="2831" spans="1:29" ht="104" x14ac:dyDescent="0.15">
      <c r="A2831" s="3">
        <f>DATE(1996,12,9)</f>
        <v>35408</v>
      </c>
      <c r="B2831" s="3">
        <f>DATE(1997,1,24)</f>
        <v>35454</v>
      </c>
      <c r="C2831" s="2" t="s">
        <v>95</v>
      </c>
      <c r="D2831" s="2" t="s">
        <v>8987</v>
      </c>
      <c r="E2831" s="2" t="s">
        <v>8988</v>
      </c>
      <c r="F2831" s="4">
        <v>7521</v>
      </c>
      <c r="G2831" s="2" t="s">
        <v>1327</v>
      </c>
      <c r="H2831" s="2" t="s">
        <v>34</v>
      </c>
      <c r="I2831" s="2" t="s">
        <v>8989</v>
      </c>
      <c r="J2831" s="2" t="s">
        <v>8990</v>
      </c>
      <c r="K2831" s="2" t="s">
        <v>1327</v>
      </c>
      <c r="L2831" s="2" t="s">
        <v>34</v>
      </c>
      <c r="M2831" s="7">
        <v>624.22299999999996</v>
      </c>
      <c r="N2831" s="5">
        <v>35.5</v>
      </c>
      <c r="O2831" s="7">
        <v>34.375</v>
      </c>
      <c r="P2831" s="2" t="s">
        <v>8991</v>
      </c>
      <c r="Q2831" s="6">
        <v>100</v>
      </c>
      <c r="R2831" s="6">
        <v>31</v>
      </c>
      <c r="S2831" s="5">
        <v>3.3</v>
      </c>
      <c r="T2831" s="7">
        <v>4.625</v>
      </c>
      <c r="U2831" s="5">
        <v>6.7</v>
      </c>
      <c r="V2831" s="7">
        <v>2.3759999999999999</v>
      </c>
      <c r="W2831" s="4">
        <v>31</v>
      </c>
      <c r="X2831" s="6">
        <v>28.25</v>
      </c>
      <c r="Y2831" s="7">
        <v>28.375</v>
      </c>
      <c r="Z2831" s="9">
        <v>28.4375</v>
      </c>
      <c r="AA2831" s="6">
        <v>1.48</v>
      </c>
      <c r="AB2831" s="7">
        <v>22.716000000000001</v>
      </c>
      <c r="AC2831" s="6">
        <v>28.61</v>
      </c>
    </row>
    <row r="2832" spans="1:29" ht="117" x14ac:dyDescent="0.15">
      <c r="A2832" s="3">
        <f>DATE(1996,12,10)</f>
        <v>35409</v>
      </c>
      <c r="B2832" s="3">
        <f>DATE(1997,4,1)</f>
        <v>35521</v>
      </c>
      <c r="C2832" s="2" t="s">
        <v>95</v>
      </c>
      <c r="D2832" s="2" t="s">
        <v>8992</v>
      </c>
      <c r="E2832" s="2" t="s">
        <v>8993</v>
      </c>
      <c r="F2832" s="4">
        <v>7372</v>
      </c>
      <c r="G2832" s="2" t="s">
        <v>551</v>
      </c>
      <c r="H2832" s="2" t="s">
        <v>34</v>
      </c>
      <c r="I2832" s="2" t="s">
        <v>8994</v>
      </c>
      <c r="J2832" s="2" t="s">
        <v>8995</v>
      </c>
      <c r="K2832" s="2" t="s">
        <v>551</v>
      </c>
      <c r="L2832" s="2" t="s">
        <v>34</v>
      </c>
      <c r="M2832" s="7">
        <v>992.84400000000005</v>
      </c>
      <c r="N2832" s="7">
        <v>26.625</v>
      </c>
      <c r="O2832" s="7">
        <v>26.375</v>
      </c>
      <c r="P2832" s="2" t="s">
        <v>8996</v>
      </c>
      <c r="Q2832" s="6">
        <v>100</v>
      </c>
      <c r="R2832" s="6">
        <v>14.8</v>
      </c>
      <c r="S2832" s="5">
        <v>1.4</v>
      </c>
      <c r="T2832" s="7">
        <v>2.8420000000000001</v>
      </c>
      <c r="U2832" s="5">
        <v>4.2</v>
      </c>
      <c r="V2832" s="7">
        <v>0.22800000000000001</v>
      </c>
      <c r="W2832" s="7">
        <v>8.875</v>
      </c>
      <c r="X2832" s="6">
        <v>9.25</v>
      </c>
      <c r="Y2832" s="6">
        <v>9.75</v>
      </c>
      <c r="Z2832" s="5">
        <v>10.5</v>
      </c>
      <c r="AA2832" s="6">
        <v>6.01</v>
      </c>
      <c r="AB2832" s="7">
        <v>50.625</v>
      </c>
      <c r="AC2832" s="6">
        <v>193.31</v>
      </c>
    </row>
    <row r="2833" spans="1:29" ht="156" x14ac:dyDescent="0.15">
      <c r="A2833" s="3">
        <f>DATE(1996,12,11)</f>
        <v>35410</v>
      </c>
      <c r="B2833" s="3">
        <f>DATE(1997,2,21)</f>
        <v>35482</v>
      </c>
      <c r="C2833" s="2" t="s">
        <v>95</v>
      </c>
      <c r="D2833" s="2" t="s">
        <v>8997</v>
      </c>
      <c r="E2833" s="2" t="s">
        <v>8998</v>
      </c>
      <c r="F2833" s="4">
        <v>6411</v>
      </c>
      <c r="G2833" s="2" t="s">
        <v>125</v>
      </c>
      <c r="H2833" s="2" t="s">
        <v>34</v>
      </c>
      <c r="I2833" s="2" t="s">
        <v>1168</v>
      </c>
      <c r="J2833" s="2" t="s">
        <v>1169</v>
      </c>
      <c r="K2833" s="2" t="s">
        <v>125</v>
      </c>
      <c r="L2833" s="2" t="s">
        <v>34</v>
      </c>
      <c r="M2833" s="12">
        <v>6428.5910000000003</v>
      </c>
      <c r="N2833" s="7">
        <v>58.875</v>
      </c>
      <c r="O2833" s="6">
        <v>61.25</v>
      </c>
      <c r="P2833" s="2" t="s">
        <v>8999</v>
      </c>
      <c r="Q2833" s="6">
        <v>100</v>
      </c>
      <c r="R2833" s="6">
        <v>17.5</v>
      </c>
      <c r="S2833" s="5">
        <v>89.4</v>
      </c>
      <c r="T2833" s="5">
        <v>186.4</v>
      </c>
      <c r="U2833" s="5">
        <v>1.4</v>
      </c>
      <c r="V2833" s="6">
        <v>1.42</v>
      </c>
      <c r="W2833" s="7">
        <v>16.125</v>
      </c>
      <c r="X2833" s="5">
        <v>16.5</v>
      </c>
      <c r="Y2833" s="5">
        <v>16.5</v>
      </c>
      <c r="Z2833" s="7">
        <v>16.875</v>
      </c>
      <c r="AA2833" s="6">
        <v>45.01</v>
      </c>
      <c r="AB2833" s="7">
        <v>5.3380000000000001</v>
      </c>
      <c r="AC2833" s="5">
        <v>115.3</v>
      </c>
    </row>
    <row r="2834" spans="1:29" ht="130" x14ac:dyDescent="0.15">
      <c r="A2834" s="3">
        <f>DATE(1996,12,11)</f>
        <v>35410</v>
      </c>
      <c r="B2834" s="2"/>
      <c r="C2834" s="2" t="s">
        <v>30</v>
      </c>
      <c r="D2834" s="2" t="s">
        <v>9000</v>
      </c>
      <c r="E2834" s="2" t="s">
        <v>7595</v>
      </c>
      <c r="F2834" s="4">
        <v>8071</v>
      </c>
      <c r="G2834" s="2" t="s">
        <v>454</v>
      </c>
      <c r="H2834" s="2" t="s">
        <v>34</v>
      </c>
      <c r="I2834" s="2" t="s">
        <v>8246</v>
      </c>
      <c r="J2834" s="2" t="s">
        <v>8247</v>
      </c>
      <c r="K2834" s="2" t="s">
        <v>454</v>
      </c>
      <c r="L2834" s="2" t="s">
        <v>34</v>
      </c>
      <c r="M2834" s="7">
        <v>251.982</v>
      </c>
      <c r="N2834" s="7">
        <v>11.875</v>
      </c>
      <c r="O2834" s="7">
        <v>12.125</v>
      </c>
      <c r="P2834" s="2" t="s">
        <v>9001</v>
      </c>
      <c r="Q2834" s="2"/>
      <c r="R2834" s="6">
        <v>2.4</v>
      </c>
      <c r="S2834" s="5">
        <v>-0.4</v>
      </c>
      <c r="T2834" s="7">
        <v>10.587</v>
      </c>
      <c r="U2834" s="5">
        <v>-2.2000000000000002</v>
      </c>
      <c r="V2834" s="6">
        <v>-0.08</v>
      </c>
      <c r="W2834" s="6">
        <v>1.25</v>
      </c>
      <c r="X2834" s="7">
        <v>1.375</v>
      </c>
      <c r="Y2834" s="7">
        <v>1.9379999999999999</v>
      </c>
      <c r="Z2834" s="7">
        <v>1.9379999999999999</v>
      </c>
      <c r="AA2834" s="6">
        <v>4.7699999999999996</v>
      </c>
      <c r="AB2834" s="7">
        <v>14.436999999999999</v>
      </c>
      <c r="AC2834" s="6">
        <v>25.92</v>
      </c>
    </row>
    <row r="2835" spans="1:29" ht="65" x14ac:dyDescent="0.15">
      <c r="A2835" s="3">
        <f>DATE(1996,12,11)</f>
        <v>35410</v>
      </c>
      <c r="B2835" s="2"/>
      <c r="C2835" s="2" t="s">
        <v>30</v>
      </c>
      <c r="D2835" s="2" t="s">
        <v>9002</v>
      </c>
      <c r="E2835" s="2" t="s">
        <v>9003</v>
      </c>
      <c r="F2835" s="4">
        <v>5731</v>
      </c>
      <c r="G2835" s="2" t="s">
        <v>1227</v>
      </c>
      <c r="H2835" s="2" t="s">
        <v>34</v>
      </c>
      <c r="I2835" s="2" t="s">
        <v>9004</v>
      </c>
      <c r="J2835" s="2" t="s">
        <v>9005</v>
      </c>
      <c r="K2835" s="2" t="s">
        <v>1227</v>
      </c>
      <c r="L2835" s="2" t="s">
        <v>34</v>
      </c>
      <c r="M2835" s="2"/>
      <c r="N2835" s="2"/>
      <c r="O2835" s="2"/>
      <c r="P2835" s="2" t="s">
        <v>9006</v>
      </c>
      <c r="Q2835" s="2"/>
      <c r="R2835" s="6">
        <v>5</v>
      </c>
      <c r="S2835" s="5">
        <v>6.6</v>
      </c>
      <c r="T2835" s="7">
        <v>22.364999999999998</v>
      </c>
      <c r="U2835" s="5">
        <v>8.8000000000000007</v>
      </c>
      <c r="V2835" s="6">
        <v>0.38</v>
      </c>
      <c r="W2835" s="6">
        <v>3.75</v>
      </c>
      <c r="X2835" s="7">
        <v>4.125</v>
      </c>
      <c r="Y2835" s="7">
        <v>4.6559999999999997</v>
      </c>
      <c r="Z2835" s="7">
        <v>4.7190000000000003</v>
      </c>
      <c r="AA2835" s="6">
        <v>17.420000000000002</v>
      </c>
      <c r="AB2835" s="7">
        <v>8.3179999999999996</v>
      </c>
      <c r="AC2835" s="2"/>
    </row>
    <row r="2836" spans="1:29" ht="26" x14ac:dyDescent="0.15">
      <c r="A2836" s="3">
        <f>DATE(1996,12,12)</f>
        <v>35411</v>
      </c>
      <c r="B2836" s="2"/>
      <c r="C2836" s="2" t="s">
        <v>30</v>
      </c>
      <c r="D2836" s="2" t="s">
        <v>9007</v>
      </c>
      <c r="E2836" s="2" t="s">
        <v>9008</v>
      </c>
      <c r="F2836" s="4">
        <v>5499</v>
      </c>
      <c r="G2836" s="2" t="s">
        <v>1461</v>
      </c>
      <c r="H2836" s="2" t="s">
        <v>34</v>
      </c>
      <c r="I2836" s="2" t="s">
        <v>138</v>
      </c>
      <c r="J2836" s="2" t="s">
        <v>302</v>
      </c>
      <c r="K2836" s="2" t="s">
        <v>53</v>
      </c>
      <c r="L2836" s="2" t="s">
        <v>8464</v>
      </c>
      <c r="M2836" s="2"/>
      <c r="N2836" s="2"/>
      <c r="O2836" s="2"/>
      <c r="P2836" s="2" t="s">
        <v>9009</v>
      </c>
      <c r="Q2836" s="2"/>
      <c r="R2836" s="2"/>
      <c r="S2836" s="5">
        <v>4.0999999999999996</v>
      </c>
      <c r="T2836" s="7">
        <v>6.8769999999999998</v>
      </c>
      <c r="U2836" s="5">
        <v>4.5</v>
      </c>
      <c r="V2836" s="7">
        <v>0.80200000000000005</v>
      </c>
      <c r="W2836" s="5">
        <v>21.5</v>
      </c>
      <c r="X2836" s="7">
        <v>21.125</v>
      </c>
      <c r="Y2836" s="7">
        <v>21.875</v>
      </c>
      <c r="Z2836" s="6">
        <v>22.75</v>
      </c>
      <c r="AA2836" s="2"/>
      <c r="AB2836" s="2" t="s">
        <v>47</v>
      </c>
      <c r="AC2836" s="2"/>
    </row>
    <row r="2837" spans="1:29" ht="26" x14ac:dyDescent="0.15">
      <c r="A2837" s="3">
        <f>DATE(1996,12,13)</f>
        <v>35412</v>
      </c>
      <c r="B2837" s="2"/>
      <c r="C2837" s="2" t="s">
        <v>39</v>
      </c>
      <c r="D2837" s="2" t="s">
        <v>368</v>
      </c>
      <c r="E2837" s="2" t="s">
        <v>369</v>
      </c>
      <c r="F2837" s="4">
        <v>6141</v>
      </c>
      <c r="G2837" s="2" t="s">
        <v>370</v>
      </c>
      <c r="H2837" s="2" t="s">
        <v>34</v>
      </c>
      <c r="I2837" s="2" t="s">
        <v>888</v>
      </c>
      <c r="J2837" s="2" t="s">
        <v>672</v>
      </c>
      <c r="K2837" s="2" t="s">
        <v>37</v>
      </c>
      <c r="L2837" s="2" t="s">
        <v>34</v>
      </c>
      <c r="M2837" s="10">
        <v>49167.25</v>
      </c>
      <c r="N2837" s="6">
        <v>99.25</v>
      </c>
      <c r="O2837" s="6">
        <v>98.75</v>
      </c>
      <c r="P2837" s="2" t="s">
        <v>9010</v>
      </c>
      <c r="Q2837" s="2"/>
      <c r="R2837" s="2"/>
      <c r="S2837" s="8">
        <v>1564</v>
      </c>
      <c r="T2837" s="8">
        <v>2550</v>
      </c>
      <c r="U2837" s="5">
        <v>4.8</v>
      </c>
      <c r="V2837" s="9">
        <v>0.90739999999999998</v>
      </c>
      <c r="W2837" s="5">
        <v>51.5</v>
      </c>
      <c r="X2837" s="7">
        <v>53.875</v>
      </c>
      <c r="Y2837" s="5">
        <v>53.5</v>
      </c>
      <c r="Z2837" s="7">
        <v>53.375</v>
      </c>
      <c r="AA2837" s="6">
        <v>11.81</v>
      </c>
      <c r="AB2837" s="2" t="s">
        <v>47</v>
      </c>
      <c r="AC2837" s="2"/>
    </row>
    <row r="2838" spans="1:29" ht="117" x14ac:dyDescent="0.15">
      <c r="A2838" s="3">
        <f>DATE(1996,12,13)</f>
        <v>35412</v>
      </c>
      <c r="B2838" s="2"/>
      <c r="C2838" s="2" t="s">
        <v>39</v>
      </c>
      <c r="D2838" s="2" t="s">
        <v>9011</v>
      </c>
      <c r="E2838" s="2" t="s">
        <v>9012</v>
      </c>
      <c r="F2838" s="4">
        <v>7375</v>
      </c>
      <c r="G2838" s="2" t="s">
        <v>223</v>
      </c>
      <c r="H2838" s="2" t="s">
        <v>34</v>
      </c>
      <c r="I2838" s="2" t="s">
        <v>3738</v>
      </c>
      <c r="J2838" s="2" t="s">
        <v>9012</v>
      </c>
      <c r="K2838" s="2" t="s">
        <v>223</v>
      </c>
      <c r="L2838" s="2" t="s">
        <v>34</v>
      </c>
      <c r="M2838" s="2"/>
      <c r="N2838" s="6">
        <v>34.25</v>
      </c>
      <c r="O2838" s="7">
        <v>31.625</v>
      </c>
      <c r="P2838" s="2" t="s">
        <v>9013</v>
      </c>
      <c r="Q2838" s="2"/>
      <c r="R2838" s="2"/>
      <c r="S2838" s="2"/>
      <c r="T2838" s="2"/>
      <c r="U2838" s="2"/>
      <c r="V2838" s="2"/>
      <c r="W2838" s="7">
        <v>12.875</v>
      </c>
      <c r="X2838" s="4">
        <v>11</v>
      </c>
      <c r="Y2838" s="7">
        <v>10.625</v>
      </c>
      <c r="Z2838" s="6">
        <v>10.25</v>
      </c>
      <c r="AA2838" s="6">
        <v>92.6</v>
      </c>
      <c r="AB2838" s="2" t="s">
        <v>47</v>
      </c>
      <c r="AC2838" s="6">
        <v>129.13</v>
      </c>
    </row>
    <row r="2839" spans="1:29" ht="39" x14ac:dyDescent="0.15">
      <c r="A2839" s="3">
        <f>DATE(1996,12,13)</f>
        <v>35412</v>
      </c>
      <c r="B2839" s="2"/>
      <c r="C2839" s="2" t="s">
        <v>87</v>
      </c>
      <c r="D2839" s="2" t="s">
        <v>9014</v>
      </c>
      <c r="E2839" s="2" t="s">
        <v>595</v>
      </c>
      <c r="F2839" s="4">
        <v>6722</v>
      </c>
      <c r="G2839" s="2" t="s">
        <v>53</v>
      </c>
      <c r="H2839" s="2" t="s">
        <v>34</v>
      </c>
      <c r="I2839" s="2" t="s">
        <v>888</v>
      </c>
      <c r="J2839" s="2" t="s">
        <v>672</v>
      </c>
      <c r="K2839" s="2" t="s">
        <v>37</v>
      </c>
      <c r="L2839" s="2" t="s">
        <v>34</v>
      </c>
      <c r="M2839" s="12">
        <v>50228.656999999999</v>
      </c>
      <c r="N2839" s="6">
        <v>99.25</v>
      </c>
      <c r="O2839" s="6">
        <v>98.75</v>
      </c>
      <c r="P2839" s="2" t="s">
        <v>9015</v>
      </c>
      <c r="Q2839" s="2"/>
      <c r="R2839" s="2"/>
      <c r="S2839" s="5">
        <v>76.5</v>
      </c>
      <c r="T2839" s="7">
        <v>158.25200000000001</v>
      </c>
      <c r="U2839" s="5">
        <v>1.2</v>
      </c>
      <c r="V2839" s="7">
        <v>0.32500000000000001</v>
      </c>
      <c r="W2839" s="7">
        <v>37.125</v>
      </c>
      <c r="X2839" s="6">
        <v>38.75</v>
      </c>
      <c r="Y2839" s="5">
        <v>38.5</v>
      </c>
      <c r="Z2839" s="7">
        <v>38.375</v>
      </c>
      <c r="AA2839" s="6">
        <v>57.25</v>
      </c>
      <c r="AB2839" s="2" t="s">
        <v>47</v>
      </c>
      <c r="AC2839" s="2"/>
    </row>
    <row r="2840" spans="1:29" ht="104" x14ac:dyDescent="0.15">
      <c r="A2840" s="3">
        <f t="shared" ref="A2840:A2845" si="26">DATE(1996,12,16)</f>
        <v>35415</v>
      </c>
      <c r="B2840" s="3">
        <f>DATE(1997,1,27)</f>
        <v>35457</v>
      </c>
      <c r="C2840" s="2" t="s">
        <v>95</v>
      </c>
      <c r="D2840" s="2" t="s">
        <v>1916</v>
      </c>
      <c r="E2840" s="2" t="s">
        <v>1917</v>
      </c>
      <c r="F2840" s="4">
        <v>3432</v>
      </c>
      <c r="G2840" s="2" t="s">
        <v>163</v>
      </c>
      <c r="H2840" s="2" t="s">
        <v>34</v>
      </c>
      <c r="I2840" s="2" t="s">
        <v>9016</v>
      </c>
      <c r="J2840" s="2" t="s">
        <v>9017</v>
      </c>
      <c r="K2840" s="2" t="s">
        <v>163</v>
      </c>
      <c r="L2840" s="2" t="s">
        <v>34</v>
      </c>
      <c r="M2840" s="7">
        <v>341.202</v>
      </c>
      <c r="N2840" s="7">
        <v>24.125</v>
      </c>
      <c r="O2840" s="7">
        <v>23.625</v>
      </c>
      <c r="P2840" s="2" t="s">
        <v>9018</v>
      </c>
      <c r="Q2840" s="6">
        <v>100</v>
      </c>
      <c r="R2840" s="6">
        <v>24</v>
      </c>
      <c r="S2840" s="5">
        <v>4.9000000000000004</v>
      </c>
      <c r="T2840" s="7">
        <v>37.896000000000001</v>
      </c>
      <c r="U2840" s="5">
        <v>-4.8</v>
      </c>
      <c r="V2840" s="6">
        <v>0.69</v>
      </c>
      <c r="W2840" s="4">
        <v>13</v>
      </c>
      <c r="X2840" s="5">
        <v>13.5</v>
      </c>
      <c r="Y2840" s="7">
        <v>23.625</v>
      </c>
      <c r="Z2840" s="5">
        <v>23.5</v>
      </c>
      <c r="AA2840" s="6">
        <v>7.15</v>
      </c>
      <c r="AB2840" s="7">
        <v>9.0909999999999993</v>
      </c>
      <c r="AC2840" s="6">
        <v>30.03</v>
      </c>
    </row>
    <row r="2841" spans="1:29" ht="117" x14ac:dyDescent="0.15">
      <c r="A2841" s="3">
        <f t="shared" si="26"/>
        <v>35415</v>
      </c>
      <c r="B2841" s="3">
        <f>DATE(1997,6,2)</f>
        <v>35583</v>
      </c>
      <c r="C2841" s="2" t="s">
        <v>95</v>
      </c>
      <c r="D2841" s="2" t="s">
        <v>9019</v>
      </c>
      <c r="E2841" s="2" t="s">
        <v>672</v>
      </c>
      <c r="F2841" s="4">
        <v>6021</v>
      </c>
      <c r="G2841" s="2" t="s">
        <v>37</v>
      </c>
      <c r="H2841" s="2" t="s">
        <v>34</v>
      </c>
      <c r="I2841" s="2" t="s">
        <v>6678</v>
      </c>
      <c r="J2841" s="2" t="s">
        <v>159</v>
      </c>
      <c r="K2841" s="2" t="s">
        <v>37</v>
      </c>
      <c r="L2841" s="2" t="s">
        <v>34</v>
      </c>
      <c r="M2841" s="12">
        <v>3215.1170000000002</v>
      </c>
      <c r="N2841" s="7">
        <v>50.875</v>
      </c>
      <c r="O2841" s="4">
        <v>51</v>
      </c>
      <c r="P2841" s="2" t="s">
        <v>9020</v>
      </c>
      <c r="Q2841" s="6">
        <v>100</v>
      </c>
      <c r="R2841" s="6">
        <v>16.399999999999999</v>
      </c>
      <c r="S2841" s="5">
        <v>1.7</v>
      </c>
      <c r="T2841" s="2"/>
      <c r="U2841" s="5">
        <v>8.3000000000000007</v>
      </c>
      <c r="V2841" s="6">
        <v>1.54</v>
      </c>
      <c r="W2841" s="5">
        <v>17.5</v>
      </c>
      <c r="X2841" s="5">
        <v>18.5</v>
      </c>
      <c r="Y2841" s="5">
        <v>15.5</v>
      </c>
      <c r="Z2841" s="4">
        <v>16</v>
      </c>
      <c r="AA2841" s="6">
        <v>1.05</v>
      </c>
      <c r="AB2841" s="7">
        <v>29.448</v>
      </c>
      <c r="AC2841" s="2"/>
    </row>
    <row r="2842" spans="1:29" ht="52" x14ac:dyDescent="0.15">
      <c r="A2842" s="3">
        <f t="shared" si="26"/>
        <v>35415</v>
      </c>
      <c r="B2842" s="2"/>
      <c r="C2842" s="2" t="s">
        <v>56</v>
      </c>
      <c r="D2842" s="2" t="s">
        <v>9021</v>
      </c>
      <c r="E2842" s="2" t="s">
        <v>9022</v>
      </c>
      <c r="F2842" s="4">
        <v>3149</v>
      </c>
      <c r="G2842" s="2" t="s">
        <v>326</v>
      </c>
      <c r="H2842" s="2" t="s">
        <v>34</v>
      </c>
      <c r="I2842" s="2" t="s">
        <v>149</v>
      </c>
      <c r="J2842" s="2" t="s">
        <v>150</v>
      </c>
      <c r="K2842" s="2" t="s">
        <v>53</v>
      </c>
      <c r="L2842" s="2" t="s">
        <v>151</v>
      </c>
      <c r="M2842" s="2"/>
      <c r="N2842" s="2"/>
      <c r="O2842" s="2"/>
      <c r="P2842" s="2" t="s">
        <v>9023</v>
      </c>
      <c r="Q2842" s="2"/>
      <c r="R2842" s="2"/>
      <c r="S2842" s="5">
        <v>32.1</v>
      </c>
      <c r="T2842" s="7">
        <v>55.869</v>
      </c>
      <c r="U2842" s="5">
        <v>1.1000000000000001</v>
      </c>
      <c r="V2842" s="7">
        <v>0.47499999999999998</v>
      </c>
      <c r="W2842" s="6">
        <v>11.75</v>
      </c>
      <c r="X2842" s="4">
        <v>11</v>
      </c>
      <c r="Y2842" s="4">
        <v>11</v>
      </c>
      <c r="Z2842" s="7">
        <v>11.125</v>
      </c>
      <c r="AA2842" s="6">
        <v>71.06</v>
      </c>
      <c r="AB2842" s="2" t="s">
        <v>47</v>
      </c>
      <c r="AC2842" s="2"/>
    </row>
    <row r="2843" spans="1:29" ht="143" x14ac:dyDescent="0.15">
      <c r="A2843" s="3">
        <f t="shared" si="26"/>
        <v>35415</v>
      </c>
      <c r="B2843" s="3">
        <f>DATE(1997,4,16)</f>
        <v>35536</v>
      </c>
      <c r="C2843" s="2" t="s">
        <v>95</v>
      </c>
      <c r="D2843" s="2" t="s">
        <v>9024</v>
      </c>
      <c r="E2843" s="2" t="s">
        <v>92</v>
      </c>
      <c r="F2843" s="4">
        <v>6798</v>
      </c>
      <c r="G2843" s="2" t="s">
        <v>53</v>
      </c>
      <c r="H2843" s="2" t="s">
        <v>34</v>
      </c>
      <c r="I2843" s="2" t="s">
        <v>9025</v>
      </c>
      <c r="J2843" s="2" t="s">
        <v>92</v>
      </c>
      <c r="K2843" s="2" t="s">
        <v>53</v>
      </c>
      <c r="L2843" s="2" t="s">
        <v>34</v>
      </c>
      <c r="M2843" s="7">
        <v>456.86099999999999</v>
      </c>
      <c r="N2843" s="7">
        <v>28.625</v>
      </c>
      <c r="O2843" s="5">
        <v>28.5</v>
      </c>
      <c r="P2843" s="2" t="s">
        <v>9026</v>
      </c>
      <c r="Q2843" s="6">
        <v>100</v>
      </c>
      <c r="R2843" s="6">
        <v>18.239999999999998</v>
      </c>
      <c r="S2843" s="5">
        <v>17.399999999999999</v>
      </c>
      <c r="T2843" s="6">
        <v>50.32</v>
      </c>
      <c r="U2843" s="5">
        <v>8.4</v>
      </c>
      <c r="V2843" s="7">
        <v>0.94499999999999995</v>
      </c>
      <c r="W2843" s="6">
        <v>16.25</v>
      </c>
      <c r="X2843" s="7">
        <v>16.625</v>
      </c>
      <c r="Y2843" s="7">
        <v>16.375</v>
      </c>
      <c r="Z2843" s="5">
        <v>17.5</v>
      </c>
      <c r="AA2843" s="6">
        <v>14.79</v>
      </c>
      <c r="AB2843" s="7">
        <v>23.088999999999999</v>
      </c>
      <c r="AC2843" s="6">
        <v>2.87</v>
      </c>
    </row>
    <row r="2844" spans="1:29" ht="65" x14ac:dyDescent="0.15">
      <c r="A2844" s="3">
        <f t="shared" si="26"/>
        <v>35415</v>
      </c>
      <c r="B2844" s="3">
        <f>DATE(1997,5,30)</f>
        <v>35580</v>
      </c>
      <c r="C2844" s="2" t="s">
        <v>95</v>
      </c>
      <c r="D2844" s="2" t="s">
        <v>9027</v>
      </c>
      <c r="E2844" s="2" t="s">
        <v>9028</v>
      </c>
      <c r="F2844" s="4">
        <v>6311</v>
      </c>
      <c r="G2844" s="2" t="s">
        <v>125</v>
      </c>
      <c r="H2844" s="2" t="s">
        <v>34</v>
      </c>
      <c r="I2844" s="2" t="s">
        <v>4081</v>
      </c>
      <c r="J2844" s="2" t="s">
        <v>4015</v>
      </c>
      <c r="K2844" s="2" t="s">
        <v>125</v>
      </c>
      <c r="L2844" s="2" t="s">
        <v>34</v>
      </c>
      <c r="M2844" s="12">
        <v>3626.1210000000001</v>
      </c>
      <c r="N2844" s="6">
        <v>60.25</v>
      </c>
      <c r="O2844" s="7">
        <v>60.375</v>
      </c>
      <c r="P2844" s="2" t="s">
        <v>9029</v>
      </c>
      <c r="Q2844" s="6">
        <v>100</v>
      </c>
      <c r="R2844" s="6">
        <v>28</v>
      </c>
      <c r="S2844" s="5">
        <v>21</v>
      </c>
      <c r="T2844" s="2"/>
      <c r="U2844" s="5">
        <v>13.9</v>
      </c>
      <c r="V2844" s="6">
        <v>2.44</v>
      </c>
      <c r="W2844" s="7">
        <v>18.625</v>
      </c>
      <c r="X2844" s="4">
        <v>19</v>
      </c>
      <c r="Y2844" s="5">
        <v>24.5</v>
      </c>
      <c r="Z2844" s="7">
        <v>24.375</v>
      </c>
      <c r="AA2844" s="6">
        <v>12.73</v>
      </c>
      <c r="AB2844" s="7">
        <v>12.957000000000001</v>
      </c>
      <c r="AC2844" s="5">
        <v>189.9</v>
      </c>
    </row>
    <row r="2845" spans="1:29" ht="130" x14ac:dyDescent="0.15">
      <c r="A2845" s="3">
        <f t="shared" si="26"/>
        <v>35415</v>
      </c>
      <c r="B2845" s="3">
        <f>DATE(1997,1,27)</f>
        <v>35457</v>
      </c>
      <c r="C2845" s="2" t="s">
        <v>95</v>
      </c>
      <c r="D2845" s="2" t="s">
        <v>8212</v>
      </c>
      <c r="E2845" s="2" t="s">
        <v>8213</v>
      </c>
      <c r="F2845" s="4">
        <v>3823</v>
      </c>
      <c r="G2845" s="2" t="s">
        <v>226</v>
      </c>
      <c r="H2845" s="2" t="s">
        <v>34</v>
      </c>
      <c r="I2845" s="2" t="s">
        <v>9030</v>
      </c>
      <c r="J2845" s="2" t="s">
        <v>9031</v>
      </c>
      <c r="K2845" s="2" t="s">
        <v>226</v>
      </c>
      <c r="L2845" s="2" t="s">
        <v>34</v>
      </c>
      <c r="M2845" s="12">
        <v>1650.8130000000001</v>
      </c>
      <c r="N2845" s="6">
        <v>39.75</v>
      </c>
      <c r="O2845" s="6">
        <v>39.75</v>
      </c>
      <c r="P2845" s="2" t="s">
        <v>9032</v>
      </c>
      <c r="Q2845" s="6">
        <v>100</v>
      </c>
      <c r="R2845" s="6">
        <v>16</v>
      </c>
      <c r="S2845" s="5">
        <v>2</v>
      </c>
      <c r="T2845" s="7">
        <v>7.1050000000000004</v>
      </c>
      <c r="U2845" s="5">
        <v>6</v>
      </c>
      <c r="V2845" s="7">
        <v>0.42299999999999999</v>
      </c>
      <c r="W2845" s="6">
        <v>8.75</v>
      </c>
      <c r="X2845" s="7">
        <v>9.875</v>
      </c>
      <c r="Y2845" s="7">
        <v>12.125</v>
      </c>
      <c r="Z2845" s="6">
        <v>13.25</v>
      </c>
      <c r="AA2845" s="6">
        <v>8.5299999999999994</v>
      </c>
      <c r="AB2845" s="7">
        <v>35.774000000000001</v>
      </c>
      <c r="AC2845" s="6">
        <v>23.76</v>
      </c>
    </row>
    <row r="2846" spans="1:29" ht="130" x14ac:dyDescent="0.15">
      <c r="A2846" s="3">
        <f>DATE(1996,12,17)</f>
        <v>35416</v>
      </c>
      <c r="B2846" s="3">
        <f>DATE(1997,7,16)</f>
        <v>35627</v>
      </c>
      <c r="C2846" s="2" t="s">
        <v>95</v>
      </c>
      <c r="D2846" s="2" t="s">
        <v>4013</v>
      </c>
      <c r="E2846" s="2" t="s">
        <v>515</v>
      </c>
      <c r="F2846" s="4">
        <v>6311</v>
      </c>
      <c r="G2846" s="2" t="s">
        <v>125</v>
      </c>
      <c r="H2846" s="2" t="s">
        <v>34</v>
      </c>
      <c r="I2846" s="2" t="s">
        <v>9033</v>
      </c>
      <c r="J2846" s="2" t="s">
        <v>124</v>
      </c>
      <c r="K2846" s="2" t="s">
        <v>125</v>
      </c>
      <c r="L2846" s="2" t="s">
        <v>34</v>
      </c>
      <c r="M2846" s="12">
        <v>1654.443</v>
      </c>
      <c r="N2846" s="7">
        <v>31.625</v>
      </c>
      <c r="O2846" s="6">
        <v>32.75</v>
      </c>
      <c r="P2846" s="2" t="s">
        <v>9034</v>
      </c>
      <c r="Q2846" s="6">
        <v>40.69</v>
      </c>
      <c r="R2846" s="2"/>
      <c r="S2846" s="5">
        <v>146.4</v>
      </c>
      <c r="T2846" s="2"/>
      <c r="U2846" s="5">
        <v>24.9</v>
      </c>
      <c r="V2846" s="6">
        <v>2.44</v>
      </c>
      <c r="W2846" s="6">
        <v>29.25</v>
      </c>
      <c r="X2846" s="5">
        <v>28.5</v>
      </c>
      <c r="Y2846" s="6">
        <v>28.25</v>
      </c>
      <c r="Z2846" s="7">
        <v>30.125</v>
      </c>
      <c r="AA2846" s="6">
        <v>59.75</v>
      </c>
      <c r="AB2846" s="7">
        <v>9.8130000000000006</v>
      </c>
      <c r="AC2846" s="5">
        <v>289.5</v>
      </c>
    </row>
    <row r="2847" spans="1:29" ht="104" x14ac:dyDescent="0.15">
      <c r="A2847" s="3">
        <f>DATE(1996,12,17)</f>
        <v>35416</v>
      </c>
      <c r="B2847" s="3">
        <f>DATE(1996,12,17)</f>
        <v>35416</v>
      </c>
      <c r="C2847" s="2" t="s">
        <v>95</v>
      </c>
      <c r="D2847" s="2" t="s">
        <v>2316</v>
      </c>
      <c r="E2847" s="2" t="s">
        <v>2317</v>
      </c>
      <c r="F2847" s="4">
        <v>2834</v>
      </c>
      <c r="G2847" s="2" t="s">
        <v>130</v>
      </c>
      <c r="H2847" s="2" t="s">
        <v>34</v>
      </c>
      <c r="I2847" s="2" t="s">
        <v>2318</v>
      </c>
      <c r="J2847" s="2" t="s">
        <v>2319</v>
      </c>
      <c r="K2847" s="2" t="s">
        <v>130</v>
      </c>
      <c r="L2847" s="2" t="s">
        <v>34</v>
      </c>
      <c r="M2847" s="2"/>
      <c r="N2847" s="6">
        <v>59.25</v>
      </c>
      <c r="O2847" s="7">
        <v>59.125</v>
      </c>
      <c r="P2847" s="2" t="s">
        <v>9035</v>
      </c>
      <c r="Q2847" s="6">
        <v>40</v>
      </c>
      <c r="R2847" s="6">
        <v>85</v>
      </c>
      <c r="S2847" s="5">
        <v>-20.6</v>
      </c>
      <c r="T2847" s="7">
        <v>-16.027000000000001</v>
      </c>
      <c r="U2847" s="5">
        <v>10.9</v>
      </c>
      <c r="V2847" s="6">
        <v>-1.73</v>
      </c>
      <c r="W2847" s="4">
        <v>38</v>
      </c>
      <c r="X2847" s="4">
        <v>38</v>
      </c>
      <c r="Y2847" s="7">
        <v>37.875</v>
      </c>
      <c r="Z2847" s="6">
        <v>39.25</v>
      </c>
      <c r="AA2847" s="6">
        <v>29.59</v>
      </c>
      <c r="AB2847" s="2" t="s">
        <v>86</v>
      </c>
      <c r="AC2847" s="10">
        <v>2020.07</v>
      </c>
    </row>
    <row r="2848" spans="1:29" ht="104" x14ac:dyDescent="0.15">
      <c r="A2848" s="3">
        <f>DATE(1996,12,17)</f>
        <v>35416</v>
      </c>
      <c r="B2848" s="3">
        <f>DATE(1997,8,1)</f>
        <v>35643</v>
      </c>
      <c r="C2848" s="2" t="s">
        <v>95</v>
      </c>
      <c r="D2848" s="2" t="s">
        <v>7076</v>
      </c>
      <c r="E2848" s="2" t="s">
        <v>7077</v>
      </c>
      <c r="F2848" s="4">
        <v>3721</v>
      </c>
      <c r="G2848" s="2" t="s">
        <v>219</v>
      </c>
      <c r="H2848" s="2" t="s">
        <v>34</v>
      </c>
      <c r="I2848" s="2" t="s">
        <v>7078</v>
      </c>
      <c r="J2848" s="2" t="s">
        <v>7079</v>
      </c>
      <c r="K2848" s="2" t="s">
        <v>219</v>
      </c>
      <c r="L2848" s="2" t="s">
        <v>34</v>
      </c>
      <c r="M2848" s="12">
        <v>32822.063000000002</v>
      </c>
      <c r="N2848" s="4">
        <v>101</v>
      </c>
      <c r="O2848" s="5">
        <v>101.5</v>
      </c>
      <c r="P2848" s="2" t="s">
        <v>9036</v>
      </c>
      <c r="Q2848" s="6">
        <v>100</v>
      </c>
      <c r="R2848" s="6">
        <v>62.89</v>
      </c>
      <c r="S2848" s="5">
        <v>-416</v>
      </c>
      <c r="T2848" s="8">
        <v>1586</v>
      </c>
      <c r="U2848" s="5">
        <v>13.6</v>
      </c>
      <c r="V2848" s="6">
        <v>-1.83</v>
      </c>
      <c r="W2848" s="6">
        <v>51.25</v>
      </c>
      <c r="X2848" s="5">
        <v>62.5</v>
      </c>
      <c r="Y2848" s="7">
        <v>61.875</v>
      </c>
      <c r="Z2848" s="7">
        <v>62.375</v>
      </c>
      <c r="AA2848" s="6">
        <v>212.16</v>
      </c>
      <c r="AB2848" s="7">
        <v>12.188000000000001</v>
      </c>
      <c r="AC2848" s="8">
        <v>3730</v>
      </c>
    </row>
    <row r="2849" spans="1:29" ht="26" x14ac:dyDescent="0.15">
      <c r="A2849" s="3">
        <f>DATE(1996,12,17)</f>
        <v>35416</v>
      </c>
      <c r="B2849" s="3">
        <f>DATE(1996,12,23)</f>
        <v>35422</v>
      </c>
      <c r="C2849" s="2" t="s">
        <v>95</v>
      </c>
      <c r="D2849" s="2" t="s">
        <v>9037</v>
      </c>
      <c r="E2849" s="2" t="s">
        <v>92</v>
      </c>
      <c r="F2849" s="4">
        <v>6798</v>
      </c>
      <c r="G2849" s="2" t="s">
        <v>53</v>
      </c>
      <c r="H2849" s="2" t="s">
        <v>34</v>
      </c>
      <c r="I2849" s="2" t="s">
        <v>7163</v>
      </c>
      <c r="J2849" s="2" t="s">
        <v>2044</v>
      </c>
      <c r="K2849" s="2" t="s">
        <v>53</v>
      </c>
      <c r="L2849" s="2" t="s">
        <v>34</v>
      </c>
      <c r="M2849" s="12">
        <v>2366.1390000000001</v>
      </c>
      <c r="N2849" s="7">
        <v>25.875</v>
      </c>
      <c r="O2849" s="7">
        <v>25.875</v>
      </c>
      <c r="P2849" s="2" t="s">
        <v>9038</v>
      </c>
      <c r="Q2849" s="6">
        <v>100</v>
      </c>
      <c r="R2849" s="2"/>
      <c r="S2849" s="2"/>
      <c r="T2849" s="2"/>
      <c r="U2849" s="2"/>
      <c r="V2849" s="2"/>
      <c r="W2849" s="5">
        <v>19.5</v>
      </c>
      <c r="X2849" s="6">
        <v>19.25</v>
      </c>
      <c r="Y2849" s="7">
        <v>19.125</v>
      </c>
      <c r="Z2849" s="7">
        <v>19.125</v>
      </c>
      <c r="AA2849" s="2"/>
      <c r="AB2849" s="2" t="s">
        <v>47</v>
      </c>
      <c r="AC2849" s="6">
        <v>80.44</v>
      </c>
    </row>
    <row r="2850" spans="1:29" ht="117" x14ac:dyDescent="0.15">
      <c r="A2850" s="3">
        <f>DATE(1996,12,18)</f>
        <v>35417</v>
      </c>
      <c r="B2850" s="3">
        <f>DATE(1997,9,29)</f>
        <v>35702</v>
      </c>
      <c r="C2850" s="2" t="s">
        <v>95</v>
      </c>
      <c r="D2850" s="2" t="s">
        <v>9039</v>
      </c>
      <c r="E2850" s="2" t="s">
        <v>2071</v>
      </c>
      <c r="F2850" s="4">
        <v>6531</v>
      </c>
      <c r="G2850" s="2" t="s">
        <v>109</v>
      </c>
      <c r="H2850" s="2" t="s">
        <v>34</v>
      </c>
      <c r="I2850" s="2" t="s">
        <v>9040</v>
      </c>
      <c r="J2850" s="2" t="s">
        <v>268</v>
      </c>
      <c r="K2850" s="2" t="s">
        <v>269</v>
      </c>
      <c r="L2850" s="2" t="s">
        <v>34</v>
      </c>
      <c r="M2850" s="2"/>
      <c r="N2850" s="2"/>
      <c r="O2850" s="2"/>
      <c r="P2850" s="2" t="s">
        <v>9041</v>
      </c>
      <c r="Q2850" s="6">
        <v>25.54</v>
      </c>
      <c r="R2850" s="6">
        <v>3.1</v>
      </c>
      <c r="S2850" s="5">
        <v>-4.2</v>
      </c>
      <c r="T2850" s="2"/>
      <c r="U2850" s="2"/>
      <c r="V2850" s="2"/>
      <c r="W2850" s="7">
        <v>1.4379999999999999</v>
      </c>
      <c r="X2850" s="5">
        <v>1.5</v>
      </c>
      <c r="Y2850" s="4">
        <v>2</v>
      </c>
      <c r="Z2850" s="7">
        <v>1.875</v>
      </c>
      <c r="AA2850" s="6">
        <v>6.29</v>
      </c>
      <c r="AB2850" s="7">
        <v>117.47</v>
      </c>
      <c r="AC2850" s="2"/>
    </row>
    <row r="2851" spans="1:29" ht="91" x14ac:dyDescent="0.15">
      <c r="A2851" s="3">
        <f>DATE(1996,12,19)</f>
        <v>35418</v>
      </c>
      <c r="B2851" s="3">
        <f>DATE(1997,3,25)</f>
        <v>35514</v>
      </c>
      <c r="C2851" s="2" t="s">
        <v>95</v>
      </c>
      <c r="D2851" s="2" t="s">
        <v>9042</v>
      </c>
      <c r="E2851" s="2" t="s">
        <v>9043</v>
      </c>
      <c r="F2851" s="4">
        <v>4941</v>
      </c>
      <c r="G2851" s="2" t="s">
        <v>439</v>
      </c>
      <c r="H2851" s="2" t="s">
        <v>34</v>
      </c>
      <c r="I2851" s="2" t="s">
        <v>9044</v>
      </c>
      <c r="J2851" s="2" t="s">
        <v>9045</v>
      </c>
      <c r="K2851" s="2" t="s">
        <v>439</v>
      </c>
      <c r="L2851" s="2" t="s">
        <v>34</v>
      </c>
      <c r="M2851" s="12">
        <v>2392.3760000000002</v>
      </c>
      <c r="N2851" s="7">
        <v>39.375</v>
      </c>
      <c r="O2851" s="7">
        <v>38.875</v>
      </c>
      <c r="P2851" s="2" t="s">
        <v>9046</v>
      </c>
      <c r="Q2851" s="6">
        <v>100</v>
      </c>
      <c r="R2851" s="6">
        <v>32</v>
      </c>
      <c r="S2851" s="5">
        <v>12.4</v>
      </c>
      <c r="T2851" s="7">
        <v>48.329000000000001</v>
      </c>
      <c r="U2851" s="5">
        <v>12.9</v>
      </c>
      <c r="V2851" s="6">
        <v>1.64</v>
      </c>
      <c r="W2851" s="4">
        <v>23</v>
      </c>
      <c r="X2851" s="6">
        <v>24.25</v>
      </c>
      <c r="Y2851" s="4">
        <v>26</v>
      </c>
      <c r="Z2851" s="7">
        <v>31.125</v>
      </c>
      <c r="AA2851" s="6">
        <v>9.0299999999999994</v>
      </c>
      <c r="AB2851" s="7">
        <v>11.624000000000001</v>
      </c>
      <c r="AC2851" s="5">
        <v>28.5</v>
      </c>
    </row>
    <row r="2852" spans="1:29" ht="65" x14ac:dyDescent="0.15">
      <c r="A2852" s="3">
        <f>DATE(1996,12,19)</f>
        <v>35418</v>
      </c>
      <c r="B2852" s="2"/>
      <c r="C2852" s="2" t="s">
        <v>30</v>
      </c>
      <c r="D2852" s="2" t="s">
        <v>9047</v>
      </c>
      <c r="E2852" s="2" t="s">
        <v>9048</v>
      </c>
      <c r="F2852" s="4">
        <v>3651</v>
      </c>
      <c r="G2852" s="2" t="s">
        <v>137</v>
      </c>
      <c r="H2852" s="2" t="s">
        <v>34</v>
      </c>
      <c r="I2852" s="2" t="s">
        <v>9049</v>
      </c>
      <c r="J2852" s="2" t="s">
        <v>8942</v>
      </c>
      <c r="K2852" s="2" t="s">
        <v>50</v>
      </c>
      <c r="L2852" s="2" t="s">
        <v>34</v>
      </c>
      <c r="M2852" s="7">
        <v>5.2309999999999999</v>
      </c>
      <c r="N2852" s="7">
        <v>0.53100000000000003</v>
      </c>
      <c r="O2852" s="7">
        <v>0.375</v>
      </c>
      <c r="P2852" s="2" t="s">
        <v>9050</v>
      </c>
      <c r="Q2852" s="2"/>
      <c r="R2852" s="2"/>
      <c r="S2852" s="2"/>
      <c r="T2852" s="2"/>
      <c r="U2852" s="2"/>
      <c r="V2852" s="2"/>
      <c r="W2852" s="7">
        <v>1.1559999999999999</v>
      </c>
      <c r="X2852" s="7">
        <v>1.375</v>
      </c>
      <c r="Y2852" s="7">
        <v>1.375</v>
      </c>
      <c r="Z2852" s="7">
        <v>1.1879999999999999</v>
      </c>
      <c r="AA2852" s="6">
        <v>5.05</v>
      </c>
      <c r="AB2852" s="2" t="s">
        <v>47</v>
      </c>
      <c r="AC2852" s="2"/>
    </row>
    <row r="2853" spans="1:29" ht="130" x14ac:dyDescent="0.15">
      <c r="A2853" s="3">
        <f>DATE(1996,12,20)</f>
        <v>35419</v>
      </c>
      <c r="B2853" s="3">
        <f>DATE(1997,9,30)</f>
        <v>35703</v>
      </c>
      <c r="C2853" s="2" t="s">
        <v>95</v>
      </c>
      <c r="D2853" s="2" t="s">
        <v>9051</v>
      </c>
      <c r="E2853" s="2" t="s">
        <v>9052</v>
      </c>
      <c r="F2853" s="4">
        <v>6331</v>
      </c>
      <c r="G2853" s="2" t="s">
        <v>125</v>
      </c>
      <c r="H2853" s="2" t="s">
        <v>34</v>
      </c>
      <c r="I2853" s="2" t="s">
        <v>9053</v>
      </c>
      <c r="J2853" s="2" t="s">
        <v>9054</v>
      </c>
      <c r="K2853" s="2" t="s">
        <v>125</v>
      </c>
      <c r="L2853" s="2" t="s">
        <v>34</v>
      </c>
      <c r="M2853" s="2"/>
      <c r="N2853" s="7">
        <v>11.375</v>
      </c>
      <c r="O2853" s="7">
        <v>11.375</v>
      </c>
      <c r="P2853" s="2" t="s">
        <v>9055</v>
      </c>
      <c r="Q2853" s="6">
        <v>100</v>
      </c>
      <c r="R2853" s="2"/>
      <c r="S2853" s="5">
        <v>20.5</v>
      </c>
      <c r="T2853" s="2"/>
      <c r="U2853" s="5">
        <v>16.600000000000001</v>
      </c>
      <c r="V2853" s="6">
        <v>1.33</v>
      </c>
      <c r="W2853" s="7">
        <v>17.875</v>
      </c>
      <c r="X2853" s="4">
        <v>18</v>
      </c>
      <c r="Y2853" s="7">
        <v>17.875</v>
      </c>
      <c r="Z2853" s="7">
        <v>18.375</v>
      </c>
      <c r="AA2853" s="2"/>
      <c r="AB2853" s="2" t="s">
        <v>47</v>
      </c>
      <c r="AC2853" s="2"/>
    </row>
    <row r="2854" spans="1:29" ht="130" x14ac:dyDescent="0.15">
      <c r="A2854" s="3">
        <f>DATE(1996,12,20)</f>
        <v>35419</v>
      </c>
      <c r="B2854" s="3">
        <f>DATE(1997,6,2)</f>
        <v>35583</v>
      </c>
      <c r="C2854" s="2" t="s">
        <v>95</v>
      </c>
      <c r="D2854" s="2" t="s">
        <v>9056</v>
      </c>
      <c r="E2854" s="2" t="s">
        <v>36</v>
      </c>
      <c r="F2854" s="4">
        <v>6021</v>
      </c>
      <c r="G2854" s="2" t="s">
        <v>37</v>
      </c>
      <c r="H2854" s="2" t="s">
        <v>34</v>
      </c>
      <c r="I2854" s="2" t="s">
        <v>3924</v>
      </c>
      <c r="J2854" s="2" t="s">
        <v>3925</v>
      </c>
      <c r="K2854" s="2" t="s">
        <v>37</v>
      </c>
      <c r="L2854" s="2" t="s">
        <v>34</v>
      </c>
      <c r="M2854" s="12">
        <v>1011.895</v>
      </c>
      <c r="N2854" s="6">
        <v>25.75</v>
      </c>
      <c r="O2854" s="6">
        <v>25.25</v>
      </c>
      <c r="P2854" s="2" t="s">
        <v>9057</v>
      </c>
      <c r="Q2854" s="6">
        <v>100</v>
      </c>
      <c r="R2854" s="6">
        <v>44.13</v>
      </c>
      <c r="S2854" s="5">
        <v>18.100000000000001</v>
      </c>
      <c r="T2854" s="6">
        <v>25.94</v>
      </c>
      <c r="U2854" s="5">
        <v>16.5</v>
      </c>
      <c r="V2854" s="9">
        <v>2.1273</v>
      </c>
      <c r="W2854" s="6">
        <v>29.25</v>
      </c>
      <c r="X2854" s="6">
        <v>29.25</v>
      </c>
      <c r="Y2854" s="9">
        <v>40.0625</v>
      </c>
      <c r="Z2854" s="4">
        <v>40</v>
      </c>
      <c r="AA2854" s="6">
        <v>8.5</v>
      </c>
      <c r="AB2854" s="7">
        <v>17.768000000000001</v>
      </c>
      <c r="AC2854" s="2"/>
    </row>
    <row r="2855" spans="1:29" ht="117" x14ac:dyDescent="0.15">
      <c r="A2855" s="3">
        <f>DATE(1996,12,23)</f>
        <v>35422</v>
      </c>
      <c r="B2855" s="3">
        <f>DATE(1996,12,23)</f>
        <v>35422</v>
      </c>
      <c r="C2855" s="2" t="s">
        <v>95</v>
      </c>
      <c r="D2855" s="2" t="s">
        <v>9058</v>
      </c>
      <c r="E2855" s="2" t="s">
        <v>92</v>
      </c>
      <c r="F2855" s="4">
        <v>6798</v>
      </c>
      <c r="G2855" s="2" t="s">
        <v>53</v>
      </c>
      <c r="H2855" s="2" t="s">
        <v>34</v>
      </c>
      <c r="I2855" s="2" t="s">
        <v>7163</v>
      </c>
      <c r="J2855" s="2" t="s">
        <v>2044</v>
      </c>
      <c r="K2855" s="2" t="s">
        <v>53</v>
      </c>
      <c r="L2855" s="2" t="s">
        <v>34</v>
      </c>
      <c r="M2855" s="2"/>
      <c r="N2855" s="6">
        <v>27.25</v>
      </c>
      <c r="O2855" s="7">
        <v>28.125</v>
      </c>
      <c r="P2855" s="2" t="s">
        <v>9059</v>
      </c>
      <c r="Q2855" s="6">
        <v>100</v>
      </c>
      <c r="R2855" s="6">
        <v>19.54</v>
      </c>
      <c r="S2855" s="5">
        <v>4.5</v>
      </c>
      <c r="T2855" s="2"/>
      <c r="U2855" s="5">
        <v>11.9</v>
      </c>
      <c r="V2855" s="6">
        <v>1.2</v>
      </c>
      <c r="W2855" s="7">
        <v>20.625</v>
      </c>
      <c r="X2855" s="5">
        <v>21.5</v>
      </c>
      <c r="Y2855" s="5">
        <v>21.5</v>
      </c>
      <c r="Z2855" s="2"/>
      <c r="AA2855" s="6">
        <v>3.96</v>
      </c>
      <c r="AB2855" s="2" t="s">
        <v>47</v>
      </c>
      <c r="AC2855" s="6">
        <v>80.44</v>
      </c>
    </row>
    <row r="2856" spans="1:29" ht="104" x14ac:dyDescent="0.15">
      <c r="A2856" s="3">
        <f>DATE(1996,12,23)</f>
        <v>35422</v>
      </c>
      <c r="B2856" s="3">
        <f>DATE(1996,12,23)</f>
        <v>35422</v>
      </c>
      <c r="C2856" s="2" t="s">
        <v>95</v>
      </c>
      <c r="D2856" s="2" t="s">
        <v>9060</v>
      </c>
      <c r="E2856" s="2" t="s">
        <v>92</v>
      </c>
      <c r="F2856" s="4">
        <v>6798</v>
      </c>
      <c r="G2856" s="2" t="s">
        <v>53</v>
      </c>
      <c r="H2856" s="2" t="s">
        <v>34</v>
      </c>
      <c r="I2856" s="2" t="s">
        <v>7163</v>
      </c>
      <c r="J2856" s="2" t="s">
        <v>2044</v>
      </c>
      <c r="K2856" s="2" t="s">
        <v>53</v>
      </c>
      <c r="L2856" s="2" t="s">
        <v>34</v>
      </c>
      <c r="M2856" s="12">
        <v>2240.4079999999999</v>
      </c>
      <c r="N2856" s="6">
        <v>27.25</v>
      </c>
      <c r="O2856" s="7">
        <v>28.125</v>
      </c>
      <c r="P2856" s="2" t="s">
        <v>9061</v>
      </c>
      <c r="Q2856" s="6">
        <v>100</v>
      </c>
      <c r="R2856" s="6">
        <v>19.68</v>
      </c>
      <c r="S2856" s="5">
        <v>2</v>
      </c>
      <c r="T2856" s="2"/>
      <c r="U2856" s="5">
        <v>11.5</v>
      </c>
      <c r="V2856" s="6">
        <v>1.26</v>
      </c>
      <c r="W2856" s="7">
        <v>20.625</v>
      </c>
      <c r="X2856" s="7">
        <v>21.625</v>
      </c>
      <c r="Y2856" s="6">
        <v>21.75</v>
      </c>
      <c r="Z2856" s="2"/>
      <c r="AA2856" s="6">
        <v>1.65</v>
      </c>
      <c r="AB2856" s="2" t="s">
        <v>47</v>
      </c>
      <c r="AC2856" s="6">
        <v>80.44</v>
      </c>
    </row>
    <row r="2857" spans="1:29" ht="143" x14ac:dyDescent="0.15">
      <c r="A2857" s="3">
        <f>DATE(1996,12,23)</f>
        <v>35422</v>
      </c>
      <c r="B2857" s="3">
        <f>DATE(1997,7,1)</f>
        <v>35612</v>
      </c>
      <c r="C2857" s="2" t="s">
        <v>95</v>
      </c>
      <c r="D2857" s="2" t="s">
        <v>4253</v>
      </c>
      <c r="E2857" s="2" t="s">
        <v>36</v>
      </c>
      <c r="F2857" s="4">
        <v>6035</v>
      </c>
      <c r="G2857" s="2" t="s">
        <v>33</v>
      </c>
      <c r="H2857" s="2" t="s">
        <v>34</v>
      </c>
      <c r="I2857" s="2" t="s">
        <v>2452</v>
      </c>
      <c r="J2857" s="2" t="s">
        <v>265</v>
      </c>
      <c r="K2857" s="2" t="s">
        <v>37</v>
      </c>
      <c r="L2857" s="2" t="s">
        <v>34</v>
      </c>
      <c r="M2857" s="12">
        <v>3232.4839999999999</v>
      </c>
      <c r="N2857" s="6">
        <v>49.75</v>
      </c>
      <c r="O2857" s="7">
        <v>50.375</v>
      </c>
      <c r="P2857" s="2" t="s">
        <v>9062</v>
      </c>
      <c r="Q2857" s="6">
        <v>100</v>
      </c>
      <c r="R2857" s="6">
        <v>24.43</v>
      </c>
      <c r="S2857" s="5">
        <v>77.2</v>
      </c>
      <c r="T2857" s="7">
        <v>153.44399999999999</v>
      </c>
      <c r="U2857" s="5">
        <v>12</v>
      </c>
      <c r="V2857" s="7">
        <v>1.754</v>
      </c>
      <c r="W2857" s="5">
        <v>18.5</v>
      </c>
      <c r="X2857" s="7">
        <v>18.125</v>
      </c>
      <c r="Y2857" s="7">
        <v>20.515999999999998</v>
      </c>
      <c r="Z2857" s="7">
        <v>20.625</v>
      </c>
      <c r="AA2857" s="6">
        <v>48</v>
      </c>
      <c r="AB2857" s="7">
        <v>52.021000000000001</v>
      </c>
      <c r="AC2857" s="2"/>
    </row>
    <row r="2858" spans="1:29" ht="117" x14ac:dyDescent="0.15">
      <c r="A2858" s="3">
        <f>DATE(1996,12,23)</f>
        <v>35422</v>
      </c>
      <c r="B2858" s="3">
        <f>DATE(1997,5,9)</f>
        <v>35559</v>
      </c>
      <c r="C2858" s="2" t="s">
        <v>95</v>
      </c>
      <c r="D2858" s="2" t="s">
        <v>9063</v>
      </c>
      <c r="E2858" s="2" t="s">
        <v>9064</v>
      </c>
      <c r="F2858" s="4">
        <v>7812</v>
      </c>
      <c r="G2858" s="2" t="s">
        <v>42</v>
      </c>
      <c r="H2858" s="2" t="s">
        <v>34</v>
      </c>
      <c r="I2858" s="2" t="s">
        <v>9065</v>
      </c>
      <c r="J2858" s="2" t="s">
        <v>9066</v>
      </c>
      <c r="K2858" s="2" t="s">
        <v>137</v>
      </c>
      <c r="L2858" s="2" t="s">
        <v>34</v>
      </c>
      <c r="M2858" s="6">
        <v>510.23</v>
      </c>
      <c r="N2858" s="7">
        <v>16.875</v>
      </c>
      <c r="O2858" s="5">
        <v>16.5</v>
      </c>
      <c r="P2858" s="2" t="s">
        <v>9067</v>
      </c>
      <c r="Q2858" s="6">
        <v>100</v>
      </c>
      <c r="R2858" s="6">
        <v>10.46</v>
      </c>
      <c r="S2858" s="5">
        <v>-24.6</v>
      </c>
      <c r="T2858" s="6">
        <v>-22.21</v>
      </c>
      <c r="U2858" s="5">
        <v>0.6</v>
      </c>
      <c r="V2858" s="6">
        <v>-1.04</v>
      </c>
      <c r="W2858" s="7">
        <v>8.6560000000000006</v>
      </c>
      <c r="X2858" s="7">
        <v>8.875</v>
      </c>
      <c r="Y2858" s="4">
        <v>9</v>
      </c>
      <c r="Z2858" s="5">
        <v>9.5</v>
      </c>
      <c r="AA2858" s="6">
        <v>25.5</v>
      </c>
      <c r="AB2858" s="2" t="s">
        <v>86</v>
      </c>
      <c r="AC2858" s="2"/>
    </row>
    <row r="2859" spans="1:29" ht="156" x14ac:dyDescent="0.15">
      <c r="A2859" s="3">
        <f>DATE(1996,12,24)</f>
        <v>35423</v>
      </c>
      <c r="B2859" s="3">
        <f>DATE(1997,4,16)</f>
        <v>35536</v>
      </c>
      <c r="C2859" s="2" t="s">
        <v>95</v>
      </c>
      <c r="D2859" s="2" t="s">
        <v>9068</v>
      </c>
      <c r="E2859" s="2" t="s">
        <v>515</v>
      </c>
      <c r="F2859" s="4">
        <v>6311</v>
      </c>
      <c r="G2859" s="2" t="s">
        <v>125</v>
      </c>
      <c r="H2859" s="2" t="s">
        <v>34</v>
      </c>
      <c r="I2859" s="2" t="s">
        <v>514</v>
      </c>
      <c r="J2859" s="2" t="s">
        <v>515</v>
      </c>
      <c r="K2859" s="2" t="s">
        <v>125</v>
      </c>
      <c r="L2859" s="2" t="s">
        <v>34</v>
      </c>
      <c r="M2859" s="12">
        <v>8287.1370000000006</v>
      </c>
      <c r="N2859" s="7">
        <v>40.125</v>
      </c>
      <c r="O2859" s="7">
        <v>40.125</v>
      </c>
      <c r="P2859" s="2" t="s">
        <v>9069</v>
      </c>
      <c r="Q2859" s="6">
        <v>100</v>
      </c>
      <c r="R2859" s="6">
        <v>39</v>
      </c>
      <c r="S2859" s="5">
        <v>37.9</v>
      </c>
      <c r="T2859" s="2"/>
      <c r="U2859" s="5">
        <v>28.3</v>
      </c>
      <c r="V2859" s="6">
        <v>2.16</v>
      </c>
      <c r="W2859" s="4">
        <v>28</v>
      </c>
      <c r="X2859" s="7">
        <v>37.938000000000002</v>
      </c>
      <c r="Y2859" s="7">
        <v>38.063000000000002</v>
      </c>
      <c r="Z2859" s="7">
        <v>38.063000000000002</v>
      </c>
      <c r="AA2859" s="6">
        <v>17.05</v>
      </c>
      <c r="AB2859" s="7">
        <v>11.663</v>
      </c>
      <c r="AC2859" s="5">
        <v>161</v>
      </c>
    </row>
    <row r="2860" spans="1:29" ht="78" x14ac:dyDescent="0.15">
      <c r="A2860" s="3">
        <f>DATE(1996,12,26)</f>
        <v>35425</v>
      </c>
      <c r="B2860" s="3">
        <f>DATE(1997,6,9)</f>
        <v>35590</v>
      </c>
      <c r="C2860" s="2" t="s">
        <v>95</v>
      </c>
      <c r="D2860" s="2" t="s">
        <v>9070</v>
      </c>
      <c r="E2860" s="2" t="s">
        <v>36</v>
      </c>
      <c r="F2860" s="4">
        <v>6022</v>
      </c>
      <c r="G2860" s="2" t="s">
        <v>37</v>
      </c>
      <c r="H2860" s="2" t="s">
        <v>34</v>
      </c>
      <c r="I2860" s="2" t="s">
        <v>9071</v>
      </c>
      <c r="J2860" s="2" t="s">
        <v>2898</v>
      </c>
      <c r="K2860" s="2" t="s">
        <v>37</v>
      </c>
      <c r="L2860" s="2" t="s">
        <v>34</v>
      </c>
      <c r="M2860" s="2"/>
      <c r="N2860" s="2"/>
      <c r="O2860" s="2"/>
      <c r="P2860" s="2" t="s">
        <v>9072</v>
      </c>
      <c r="Q2860" s="6">
        <v>100</v>
      </c>
      <c r="R2860" s="6">
        <v>23</v>
      </c>
      <c r="S2860" s="5">
        <v>5.5</v>
      </c>
      <c r="T2860" s="7">
        <v>10.895</v>
      </c>
      <c r="U2860" s="5">
        <v>12</v>
      </c>
      <c r="V2860" s="7">
        <v>1.385</v>
      </c>
      <c r="W2860" s="7">
        <v>20.125</v>
      </c>
      <c r="X2860" s="7">
        <v>20.375</v>
      </c>
      <c r="Y2860" s="6">
        <v>22.25</v>
      </c>
      <c r="Z2860" s="6">
        <v>22.25</v>
      </c>
      <c r="AA2860" s="6">
        <v>3.79</v>
      </c>
      <c r="AB2860" s="7">
        <v>42.845999999999997</v>
      </c>
      <c r="AC2860" s="2"/>
    </row>
    <row r="2861" spans="1:29" ht="130" x14ac:dyDescent="0.15">
      <c r="A2861" s="3">
        <f>DATE(1996,12,26)</f>
        <v>35425</v>
      </c>
      <c r="B2861" s="3">
        <f>DATE(1997,9,19)</f>
        <v>35692</v>
      </c>
      <c r="C2861" s="2" t="s">
        <v>95</v>
      </c>
      <c r="D2861" s="2" t="s">
        <v>4229</v>
      </c>
      <c r="E2861" s="2" t="s">
        <v>36</v>
      </c>
      <c r="F2861" s="4">
        <v>6035</v>
      </c>
      <c r="G2861" s="2" t="s">
        <v>33</v>
      </c>
      <c r="H2861" s="2" t="s">
        <v>34</v>
      </c>
      <c r="I2861" s="2" t="s">
        <v>9073</v>
      </c>
      <c r="J2861" s="2" t="s">
        <v>9074</v>
      </c>
      <c r="K2861" s="2" t="s">
        <v>37</v>
      </c>
      <c r="L2861" s="2" t="s">
        <v>34</v>
      </c>
      <c r="M2861" s="7">
        <v>62.753</v>
      </c>
      <c r="N2861" s="5">
        <v>14.5</v>
      </c>
      <c r="O2861" s="7">
        <v>15.125</v>
      </c>
      <c r="P2861" s="2" t="s">
        <v>9075</v>
      </c>
      <c r="Q2861" s="6">
        <v>100</v>
      </c>
      <c r="R2861" s="6">
        <v>4.46</v>
      </c>
      <c r="S2861" s="2"/>
      <c r="T2861" s="2"/>
      <c r="U2861" s="2"/>
      <c r="V2861" s="2"/>
      <c r="W2861" s="6">
        <v>2.75</v>
      </c>
      <c r="X2861" s="4">
        <v>3</v>
      </c>
      <c r="Y2861" s="5">
        <v>3.5</v>
      </c>
      <c r="Z2861" s="7">
        <v>3.625</v>
      </c>
      <c r="AA2861" s="6">
        <v>8.43</v>
      </c>
      <c r="AB2861" s="2" t="s">
        <v>47</v>
      </c>
      <c r="AC2861" s="2"/>
    </row>
    <row r="2862" spans="1:29" ht="117" x14ac:dyDescent="0.15">
      <c r="A2862" s="3">
        <f>DATE(1996,12,26)</f>
        <v>35425</v>
      </c>
      <c r="B2862" s="3">
        <f>DATE(1997,4,16)</f>
        <v>35536</v>
      </c>
      <c r="C2862" s="2" t="s">
        <v>95</v>
      </c>
      <c r="D2862" s="2" t="s">
        <v>9076</v>
      </c>
      <c r="E2862" s="2" t="s">
        <v>9077</v>
      </c>
      <c r="F2862" s="4">
        <v>2834</v>
      </c>
      <c r="G2862" s="2" t="s">
        <v>130</v>
      </c>
      <c r="H2862" s="2" t="s">
        <v>34</v>
      </c>
      <c r="I2862" s="2" t="s">
        <v>6055</v>
      </c>
      <c r="J2862" s="2" t="s">
        <v>6056</v>
      </c>
      <c r="K2862" s="2" t="s">
        <v>130</v>
      </c>
      <c r="L2862" s="2" t="s">
        <v>34</v>
      </c>
      <c r="M2862" s="12">
        <v>1398.566</v>
      </c>
      <c r="N2862" s="7">
        <v>45.125</v>
      </c>
      <c r="O2862" s="7">
        <v>43.625</v>
      </c>
      <c r="P2862" s="2" t="s">
        <v>9078</v>
      </c>
      <c r="Q2862" s="6">
        <v>100</v>
      </c>
      <c r="R2862" s="6">
        <v>6.22</v>
      </c>
      <c r="S2862" s="5">
        <v>0.4</v>
      </c>
      <c r="T2862" s="7">
        <v>-1.409</v>
      </c>
      <c r="U2862" s="5">
        <v>1</v>
      </c>
      <c r="V2862" s="6">
        <v>0.02</v>
      </c>
      <c r="W2862" s="4">
        <v>130</v>
      </c>
      <c r="X2862" s="4">
        <v>130</v>
      </c>
      <c r="Y2862" s="4">
        <v>130</v>
      </c>
      <c r="Z2862" s="4">
        <v>130</v>
      </c>
      <c r="AA2862" s="6">
        <v>13.52</v>
      </c>
      <c r="AB2862" s="7">
        <v>309.238</v>
      </c>
      <c r="AC2862" s="6">
        <v>118.25</v>
      </c>
    </row>
    <row r="2863" spans="1:29" ht="78" x14ac:dyDescent="0.15">
      <c r="A2863" s="3">
        <f>DATE(1996,12,27)</f>
        <v>35426</v>
      </c>
      <c r="B2863" s="3">
        <f>DATE(1997,5,1)</f>
        <v>35551</v>
      </c>
      <c r="C2863" s="2" t="s">
        <v>95</v>
      </c>
      <c r="D2863" s="2" t="s">
        <v>9079</v>
      </c>
      <c r="E2863" s="2" t="s">
        <v>1181</v>
      </c>
      <c r="F2863" s="4">
        <v>6021</v>
      </c>
      <c r="G2863" s="2" t="s">
        <v>37</v>
      </c>
      <c r="H2863" s="2" t="s">
        <v>34</v>
      </c>
      <c r="I2863" s="2" t="s">
        <v>995</v>
      </c>
      <c r="J2863" s="2" t="s">
        <v>996</v>
      </c>
      <c r="K2863" s="2" t="s">
        <v>37</v>
      </c>
      <c r="L2863" s="2" t="s">
        <v>34</v>
      </c>
      <c r="M2863" s="2"/>
      <c r="N2863" s="2"/>
      <c r="O2863" s="2"/>
      <c r="P2863" s="2" t="s">
        <v>9080</v>
      </c>
      <c r="Q2863" s="6">
        <v>100</v>
      </c>
      <c r="R2863" s="6">
        <v>18</v>
      </c>
      <c r="S2863" s="5">
        <v>1.6</v>
      </c>
      <c r="T2863" s="7">
        <v>3.0009999999999999</v>
      </c>
      <c r="U2863" s="5">
        <v>10.199999999999999</v>
      </c>
      <c r="V2863" s="6">
        <v>0.89</v>
      </c>
      <c r="W2863" s="4">
        <v>15</v>
      </c>
      <c r="X2863" s="6">
        <v>15.75</v>
      </c>
      <c r="Y2863" s="6">
        <v>15.75</v>
      </c>
      <c r="Z2863" s="4">
        <v>17</v>
      </c>
      <c r="AA2863" s="6">
        <v>1.86</v>
      </c>
      <c r="AB2863" s="7">
        <v>60.704000000000001</v>
      </c>
      <c r="AC2863" s="2"/>
    </row>
    <row r="2864" spans="1:29" ht="117" x14ac:dyDescent="0.15">
      <c r="A2864" s="3">
        <f>DATE(1996,12,30)</f>
        <v>35429</v>
      </c>
      <c r="B2864" s="3">
        <f>DATE(1997,6,2)</f>
        <v>35583</v>
      </c>
      <c r="C2864" s="2" t="s">
        <v>95</v>
      </c>
      <c r="D2864" s="2" t="s">
        <v>9081</v>
      </c>
      <c r="E2864" s="2" t="s">
        <v>36</v>
      </c>
      <c r="F2864" s="4">
        <v>6021</v>
      </c>
      <c r="G2864" s="2" t="s">
        <v>37</v>
      </c>
      <c r="H2864" s="2" t="s">
        <v>34</v>
      </c>
      <c r="I2864" s="2" t="s">
        <v>1612</v>
      </c>
      <c r="J2864" s="2" t="s">
        <v>263</v>
      </c>
      <c r="K2864" s="2" t="s">
        <v>37</v>
      </c>
      <c r="L2864" s="2" t="s">
        <v>34</v>
      </c>
      <c r="M2864" s="12">
        <v>19979.804</v>
      </c>
      <c r="N2864" s="6">
        <v>44.75</v>
      </c>
      <c r="O2864" s="4">
        <v>43</v>
      </c>
      <c r="P2864" s="2" t="s">
        <v>9082</v>
      </c>
      <c r="Q2864" s="6">
        <v>100</v>
      </c>
      <c r="R2864" s="6">
        <v>52.73</v>
      </c>
      <c r="S2864" s="5">
        <v>26.2</v>
      </c>
      <c r="T2864" s="7">
        <v>46.731000000000002</v>
      </c>
      <c r="U2864" s="5">
        <v>28.5</v>
      </c>
      <c r="V2864" s="6">
        <v>2.66</v>
      </c>
      <c r="W2864" s="6">
        <v>41.25</v>
      </c>
      <c r="X2864" s="6">
        <v>41.75</v>
      </c>
      <c r="Y2864" s="6">
        <v>50.25</v>
      </c>
      <c r="Z2864" s="6">
        <v>49.75</v>
      </c>
      <c r="AA2864" s="6">
        <v>9.44</v>
      </c>
      <c r="AB2864" s="7">
        <v>21.568000000000001</v>
      </c>
      <c r="AC2864" s="2"/>
    </row>
    <row r="2865" spans="1:29" ht="234" x14ac:dyDescent="0.15">
      <c r="A2865" s="3">
        <f>DATE(1996,12,30)</f>
        <v>35429</v>
      </c>
      <c r="B2865" s="3">
        <f>DATE(1998,5,29)</f>
        <v>35944</v>
      </c>
      <c r="C2865" s="2" t="s">
        <v>95</v>
      </c>
      <c r="D2865" s="2" t="s">
        <v>5366</v>
      </c>
      <c r="E2865" s="2" t="s">
        <v>1888</v>
      </c>
      <c r="F2865" s="4">
        <v>4911</v>
      </c>
      <c r="G2865" s="2" t="s">
        <v>439</v>
      </c>
      <c r="H2865" s="2" t="s">
        <v>34</v>
      </c>
      <c r="I2865" s="2" t="s">
        <v>9083</v>
      </c>
      <c r="J2865" s="2" t="s">
        <v>1387</v>
      </c>
      <c r="K2865" s="2" t="s">
        <v>439</v>
      </c>
      <c r="L2865" s="2" t="s">
        <v>34</v>
      </c>
      <c r="M2865" s="12">
        <v>1556.0440000000001</v>
      </c>
      <c r="N2865" s="4">
        <v>30</v>
      </c>
      <c r="O2865" s="7">
        <v>30.125</v>
      </c>
      <c r="P2865" s="2" t="s">
        <v>9084</v>
      </c>
      <c r="Q2865" s="6">
        <v>100</v>
      </c>
      <c r="R2865" s="6">
        <v>25.63</v>
      </c>
      <c r="S2865" s="5">
        <v>316.5</v>
      </c>
      <c r="T2865" s="12">
        <v>1201.674</v>
      </c>
      <c r="U2865" s="5">
        <v>20.9</v>
      </c>
      <c r="V2865" s="6">
        <v>2.2000000000000002</v>
      </c>
      <c r="W2865" s="6">
        <v>19.25</v>
      </c>
      <c r="X2865" s="7">
        <v>19.375</v>
      </c>
      <c r="Y2865" s="4">
        <v>22</v>
      </c>
      <c r="Z2865" s="7">
        <v>22.125</v>
      </c>
      <c r="AA2865" s="6">
        <v>120.51</v>
      </c>
      <c r="AB2865" s="7">
        <v>8.6489999999999991</v>
      </c>
      <c r="AC2865" s="2"/>
    </row>
    <row r="2866" spans="1:29" ht="91" x14ac:dyDescent="0.15">
      <c r="A2866" s="3">
        <f>DATE(1997,1,2)</f>
        <v>35432</v>
      </c>
      <c r="B2866" s="3">
        <f>DATE(1997,2,26)</f>
        <v>35487</v>
      </c>
      <c r="C2866" s="2" t="s">
        <v>95</v>
      </c>
      <c r="D2866" s="2" t="s">
        <v>9085</v>
      </c>
      <c r="E2866" s="2" t="s">
        <v>9086</v>
      </c>
      <c r="F2866" s="4">
        <v>5651</v>
      </c>
      <c r="G2866" s="2" t="s">
        <v>756</v>
      </c>
      <c r="H2866" s="2" t="s">
        <v>34</v>
      </c>
      <c r="I2866" s="2" t="s">
        <v>9087</v>
      </c>
      <c r="J2866" s="2" t="s">
        <v>244</v>
      </c>
      <c r="K2866" s="2" t="s">
        <v>53</v>
      </c>
      <c r="L2866" s="2" t="s">
        <v>34</v>
      </c>
      <c r="M2866" s="2"/>
      <c r="N2866" s="2"/>
      <c r="O2866" s="2"/>
      <c r="P2866" s="2" t="s">
        <v>9088</v>
      </c>
      <c r="Q2866" s="6">
        <v>52</v>
      </c>
      <c r="R2866" s="2"/>
      <c r="S2866" s="5">
        <v>4.3</v>
      </c>
      <c r="T2866" s="7">
        <v>14.432</v>
      </c>
      <c r="U2866" s="5">
        <v>0</v>
      </c>
      <c r="V2866" s="7">
        <v>0.28100000000000003</v>
      </c>
      <c r="W2866" s="9">
        <v>2.0625</v>
      </c>
      <c r="X2866" s="6">
        <v>2.25</v>
      </c>
      <c r="Y2866" s="11">
        <v>2.34375</v>
      </c>
      <c r="Z2866" s="11">
        <v>2.15625</v>
      </c>
      <c r="AA2866" s="6">
        <v>4.6900000000000004</v>
      </c>
      <c r="AB2866" s="7">
        <v>18.489999999999998</v>
      </c>
      <c r="AC2866" s="2"/>
    </row>
    <row r="2867" spans="1:29" ht="104" x14ac:dyDescent="0.15">
      <c r="A2867" s="3">
        <f>DATE(1997,1,6)</f>
        <v>35436</v>
      </c>
      <c r="B2867" s="3">
        <f>DATE(1997,6,2)</f>
        <v>35583</v>
      </c>
      <c r="C2867" s="2" t="s">
        <v>95</v>
      </c>
      <c r="D2867" s="2" t="s">
        <v>9089</v>
      </c>
      <c r="E2867" s="2" t="s">
        <v>1663</v>
      </c>
      <c r="F2867" s="4">
        <v>1041</v>
      </c>
      <c r="G2867" s="2" t="s">
        <v>166</v>
      </c>
      <c r="H2867" s="2" t="s">
        <v>34</v>
      </c>
      <c r="I2867" s="2" t="s">
        <v>9090</v>
      </c>
      <c r="J2867" s="2" t="s">
        <v>1248</v>
      </c>
      <c r="K2867" s="2" t="s">
        <v>166</v>
      </c>
      <c r="L2867" s="2" t="s">
        <v>902</v>
      </c>
      <c r="M2867" s="2"/>
      <c r="N2867" s="7">
        <v>1.625</v>
      </c>
      <c r="O2867" s="7">
        <v>1.625</v>
      </c>
      <c r="P2867" s="2" t="s">
        <v>9091</v>
      </c>
      <c r="Q2867" s="6">
        <v>100</v>
      </c>
      <c r="R2867" s="6">
        <v>1.36</v>
      </c>
      <c r="S2867" s="5">
        <v>-11.9</v>
      </c>
      <c r="T2867" s="2"/>
      <c r="U2867" s="5">
        <v>1.1000000000000001</v>
      </c>
      <c r="V2867" s="6">
        <v>0.28000000000000003</v>
      </c>
      <c r="W2867" s="6">
        <v>1.75</v>
      </c>
      <c r="X2867" s="7">
        <v>1.8440000000000001</v>
      </c>
      <c r="Y2867" s="5">
        <v>1.5</v>
      </c>
      <c r="Z2867" s="7">
        <v>1.625</v>
      </c>
      <c r="AA2867" s="6">
        <v>16.18</v>
      </c>
      <c r="AB2867" s="2" t="s">
        <v>86</v>
      </c>
      <c r="AC2867" s="2"/>
    </row>
    <row r="2868" spans="1:29" ht="104" x14ac:dyDescent="0.15">
      <c r="A2868" s="3">
        <f>DATE(1997,1,7)</f>
        <v>35437</v>
      </c>
      <c r="B2868" s="3">
        <f>DATE(1997,2,25)</f>
        <v>35486</v>
      </c>
      <c r="C2868" s="2" t="s">
        <v>95</v>
      </c>
      <c r="D2868" s="2" t="s">
        <v>9092</v>
      </c>
      <c r="E2868" s="2" t="s">
        <v>9093</v>
      </c>
      <c r="F2868" s="4">
        <v>4119</v>
      </c>
      <c r="G2868" s="2" t="s">
        <v>173</v>
      </c>
      <c r="H2868" s="2" t="s">
        <v>34</v>
      </c>
      <c r="I2868" s="2" t="s">
        <v>9094</v>
      </c>
      <c r="J2868" s="2" t="s">
        <v>9095</v>
      </c>
      <c r="K2868" s="2" t="s">
        <v>173</v>
      </c>
      <c r="L2868" s="2" t="s">
        <v>34</v>
      </c>
      <c r="M2868" s="2"/>
      <c r="N2868" s="2"/>
      <c r="O2868" s="2"/>
      <c r="P2868" s="2" t="s">
        <v>9096</v>
      </c>
      <c r="Q2868" s="6">
        <v>100</v>
      </c>
      <c r="R2868" s="6">
        <v>40</v>
      </c>
      <c r="S2868" s="5">
        <v>10.4</v>
      </c>
      <c r="T2868" s="7">
        <v>68.483999999999995</v>
      </c>
      <c r="U2868" s="5">
        <v>12.6</v>
      </c>
      <c r="V2868" s="6">
        <v>0.6</v>
      </c>
      <c r="W2868" s="6">
        <v>32.25</v>
      </c>
      <c r="X2868" s="4">
        <v>33</v>
      </c>
      <c r="Y2868" s="7">
        <v>39.375</v>
      </c>
      <c r="Z2868" s="7">
        <v>39.375</v>
      </c>
      <c r="AA2868" s="6">
        <v>21.04</v>
      </c>
      <c r="AB2868" s="7">
        <v>22.533999999999999</v>
      </c>
      <c r="AC2868" s="2"/>
    </row>
    <row r="2869" spans="1:29" ht="65" x14ac:dyDescent="0.15">
      <c r="A2869" s="3">
        <f>DATE(1997,1,7)</f>
        <v>35437</v>
      </c>
      <c r="B2869" s="3">
        <f>DATE(1997,2,10)</f>
        <v>35471</v>
      </c>
      <c r="C2869" s="2" t="s">
        <v>95</v>
      </c>
      <c r="D2869" s="2" t="s">
        <v>9097</v>
      </c>
      <c r="E2869" s="2" t="s">
        <v>9098</v>
      </c>
      <c r="F2869" s="4">
        <v>1381</v>
      </c>
      <c r="G2869" s="2" t="s">
        <v>148</v>
      </c>
      <c r="H2869" s="2" t="s">
        <v>34</v>
      </c>
      <c r="I2869" s="2" t="s">
        <v>9099</v>
      </c>
      <c r="J2869" s="2" t="s">
        <v>612</v>
      </c>
      <c r="K2869" s="2" t="s">
        <v>148</v>
      </c>
      <c r="L2869" s="2" t="s">
        <v>34</v>
      </c>
      <c r="M2869" s="7">
        <v>123.26300000000001</v>
      </c>
      <c r="N2869" s="6">
        <v>12.25</v>
      </c>
      <c r="O2869" s="5">
        <v>12.5</v>
      </c>
      <c r="P2869" s="2" t="s">
        <v>9100</v>
      </c>
      <c r="Q2869" s="6">
        <v>100</v>
      </c>
      <c r="R2869" s="6">
        <v>30</v>
      </c>
      <c r="S2869" s="5">
        <v>0.2</v>
      </c>
      <c r="T2869" s="2"/>
      <c r="U2869" s="5">
        <v>0</v>
      </c>
      <c r="V2869" s="6">
        <v>0.41</v>
      </c>
      <c r="W2869" s="4">
        <v>24</v>
      </c>
      <c r="X2869" s="4">
        <v>24</v>
      </c>
      <c r="Y2869" s="7">
        <v>29.625</v>
      </c>
      <c r="Z2869" s="5">
        <v>29.5</v>
      </c>
      <c r="AA2869" s="6">
        <v>0.42</v>
      </c>
      <c r="AB2869" s="2" t="s">
        <v>47</v>
      </c>
      <c r="AC2869" s="6">
        <v>4.0599999999999996</v>
      </c>
    </row>
    <row r="2870" spans="1:29" ht="156" x14ac:dyDescent="0.15">
      <c r="A2870" s="3">
        <f>DATE(1997,1,7)</f>
        <v>35437</v>
      </c>
      <c r="B2870" s="3">
        <f>DATE(1997,5,27)</f>
        <v>35577</v>
      </c>
      <c r="C2870" s="2" t="s">
        <v>95</v>
      </c>
      <c r="D2870" s="2" t="s">
        <v>9101</v>
      </c>
      <c r="E2870" s="2" t="s">
        <v>1402</v>
      </c>
      <c r="F2870" s="4">
        <v>3663</v>
      </c>
      <c r="G2870" s="2" t="s">
        <v>921</v>
      </c>
      <c r="H2870" s="2" t="s">
        <v>34</v>
      </c>
      <c r="I2870" s="2" t="s">
        <v>9102</v>
      </c>
      <c r="J2870" s="2" t="s">
        <v>9103</v>
      </c>
      <c r="K2870" s="2" t="s">
        <v>921</v>
      </c>
      <c r="L2870" s="2" t="s">
        <v>34</v>
      </c>
      <c r="M2870" s="7">
        <v>150.31200000000001</v>
      </c>
      <c r="N2870" s="5">
        <v>9.5</v>
      </c>
      <c r="O2870" s="7">
        <v>9.1880000000000006</v>
      </c>
      <c r="P2870" s="2" t="s">
        <v>9104</v>
      </c>
      <c r="Q2870" s="6">
        <v>100</v>
      </c>
      <c r="R2870" s="6">
        <v>4.66</v>
      </c>
      <c r="S2870" s="5">
        <v>-21</v>
      </c>
      <c r="T2870" s="7">
        <v>-1.8779999999999999</v>
      </c>
      <c r="U2870" s="5">
        <v>2.2999999999999998</v>
      </c>
      <c r="V2870" s="6">
        <v>-1.37</v>
      </c>
      <c r="W2870" s="7">
        <v>3.8130000000000002</v>
      </c>
      <c r="X2870" s="6">
        <v>4.25</v>
      </c>
      <c r="Y2870" s="7">
        <v>4.3129999999999997</v>
      </c>
      <c r="Z2870" s="7">
        <v>4.0629999999999997</v>
      </c>
      <c r="AA2870" s="6">
        <v>15.86</v>
      </c>
      <c r="AB2870" s="2" t="s">
        <v>86</v>
      </c>
      <c r="AC2870" s="6">
        <v>50.28</v>
      </c>
    </row>
    <row r="2871" spans="1:29" ht="91" x14ac:dyDescent="0.15">
      <c r="A2871" s="3">
        <f>DATE(1997,1,7)</f>
        <v>35437</v>
      </c>
      <c r="B2871" s="3">
        <f>DATE(1997,5,30)</f>
        <v>35580</v>
      </c>
      <c r="C2871" s="2" t="s">
        <v>95</v>
      </c>
      <c r="D2871" s="2" t="s">
        <v>3572</v>
      </c>
      <c r="E2871" s="2" t="s">
        <v>3573</v>
      </c>
      <c r="F2871" s="4">
        <v>3442</v>
      </c>
      <c r="G2871" s="2" t="s">
        <v>163</v>
      </c>
      <c r="H2871" s="2" t="s">
        <v>34</v>
      </c>
      <c r="I2871" s="2" t="s">
        <v>9105</v>
      </c>
      <c r="J2871" s="2" t="s">
        <v>80</v>
      </c>
      <c r="K2871" s="2" t="s">
        <v>53</v>
      </c>
      <c r="L2871" s="2" t="s">
        <v>34</v>
      </c>
      <c r="M2871" s="2"/>
      <c r="N2871" s="2"/>
      <c r="O2871" s="2"/>
      <c r="P2871" s="2" t="s">
        <v>9106</v>
      </c>
      <c r="Q2871" s="6">
        <v>100</v>
      </c>
      <c r="R2871" s="6">
        <v>15</v>
      </c>
      <c r="S2871" s="5">
        <v>2.6</v>
      </c>
      <c r="T2871" s="2"/>
      <c r="U2871" s="5">
        <v>10.7</v>
      </c>
      <c r="V2871" s="6">
        <v>1.33</v>
      </c>
      <c r="W2871" s="4">
        <v>12</v>
      </c>
      <c r="X2871" s="7">
        <v>12.313000000000001</v>
      </c>
      <c r="Y2871" s="7">
        <v>14.375</v>
      </c>
      <c r="Z2871" s="7">
        <v>14.375</v>
      </c>
      <c r="AA2871" s="6">
        <v>1.96</v>
      </c>
      <c r="AB2871" s="7">
        <v>7.03</v>
      </c>
      <c r="AC2871" s="2"/>
    </row>
    <row r="2872" spans="1:29" ht="104" x14ac:dyDescent="0.15">
      <c r="A2872" s="3">
        <f>DATE(1997,1,10)</f>
        <v>35440</v>
      </c>
      <c r="B2872" s="2"/>
      <c r="C2872" s="2" t="s">
        <v>30</v>
      </c>
      <c r="D2872" s="2" t="s">
        <v>9107</v>
      </c>
      <c r="E2872" s="2" t="s">
        <v>9108</v>
      </c>
      <c r="F2872" s="4">
        <v>3585</v>
      </c>
      <c r="G2872" s="2" t="s">
        <v>300</v>
      </c>
      <c r="H2872" s="2" t="s">
        <v>34</v>
      </c>
      <c r="I2872" s="2" t="s">
        <v>5088</v>
      </c>
      <c r="J2872" s="2" t="s">
        <v>5089</v>
      </c>
      <c r="K2872" s="2" t="s">
        <v>300</v>
      </c>
      <c r="L2872" s="2" t="s">
        <v>1791</v>
      </c>
      <c r="M2872" s="2"/>
      <c r="N2872" s="2"/>
      <c r="O2872" s="2"/>
      <c r="P2872" s="2" t="s">
        <v>9109</v>
      </c>
      <c r="Q2872" s="2"/>
      <c r="R2872" s="6">
        <v>50</v>
      </c>
      <c r="S2872" s="5">
        <v>-46.7</v>
      </c>
      <c r="T2872" s="5">
        <v>664.9</v>
      </c>
      <c r="U2872" s="5">
        <v>-1.1000000000000001</v>
      </c>
      <c r="V2872" s="9">
        <v>-0.14080000000000001</v>
      </c>
      <c r="W2872" s="6">
        <v>38.75</v>
      </c>
      <c r="X2872" s="7">
        <v>40.875</v>
      </c>
      <c r="Y2872" s="6">
        <v>40.25</v>
      </c>
      <c r="Z2872" s="6">
        <v>43.25</v>
      </c>
      <c r="AA2872" s="6">
        <v>78.53</v>
      </c>
      <c r="AB2872" s="7">
        <v>36.078000000000003</v>
      </c>
      <c r="AC2872" s="6">
        <v>69.400000000000006</v>
      </c>
    </row>
    <row r="2873" spans="1:29" ht="143" x14ac:dyDescent="0.15">
      <c r="A2873" s="3">
        <f>DATE(1997,1,10)</f>
        <v>35440</v>
      </c>
      <c r="B2873" s="2"/>
      <c r="C2873" s="2" t="s">
        <v>30</v>
      </c>
      <c r="D2873" s="2" t="s">
        <v>5843</v>
      </c>
      <c r="E2873" s="2" t="s">
        <v>5844</v>
      </c>
      <c r="F2873" s="4">
        <v>3841</v>
      </c>
      <c r="G2873" s="2" t="s">
        <v>226</v>
      </c>
      <c r="H2873" s="2" t="s">
        <v>34</v>
      </c>
      <c r="I2873" s="2" t="s">
        <v>9110</v>
      </c>
      <c r="J2873" s="2" t="s">
        <v>5087</v>
      </c>
      <c r="K2873" s="2" t="s">
        <v>226</v>
      </c>
      <c r="L2873" s="2" t="s">
        <v>34</v>
      </c>
      <c r="M2873" s="7">
        <v>810.64700000000005</v>
      </c>
      <c r="N2873" s="4">
        <v>28</v>
      </c>
      <c r="O2873" s="6">
        <v>27.75</v>
      </c>
      <c r="P2873" s="2" t="s">
        <v>9111</v>
      </c>
      <c r="Q2873" s="2"/>
      <c r="R2873" s="6">
        <v>15</v>
      </c>
      <c r="S2873" s="5">
        <v>5.7</v>
      </c>
      <c r="T2873" s="7">
        <v>15.116</v>
      </c>
      <c r="U2873" s="5">
        <v>3.5</v>
      </c>
      <c r="V2873" s="6">
        <v>0.44</v>
      </c>
      <c r="W2873" s="4">
        <v>10</v>
      </c>
      <c r="X2873" s="6">
        <v>9.25</v>
      </c>
      <c r="Y2873" s="7">
        <v>12.938000000000001</v>
      </c>
      <c r="Z2873" s="6">
        <v>13.25</v>
      </c>
      <c r="AA2873" s="6">
        <v>12.63</v>
      </c>
      <c r="AB2873" s="7">
        <v>18.777999999999999</v>
      </c>
      <c r="AC2873" s="5">
        <v>8</v>
      </c>
    </row>
    <row r="2874" spans="1:29" ht="117" x14ac:dyDescent="0.15">
      <c r="A2874" s="3">
        <f>DATE(1997,1,13)</f>
        <v>35443</v>
      </c>
      <c r="B2874" s="3">
        <f>DATE(1997,4,25)</f>
        <v>35545</v>
      </c>
      <c r="C2874" s="2" t="s">
        <v>95</v>
      </c>
      <c r="D2874" s="2" t="s">
        <v>9112</v>
      </c>
      <c r="E2874" s="2" t="s">
        <v>9113</v>
      </c>
      <c r="F2874" s="4">
        <v>7371</v>
      </c>
      <c r="G2874" s="2" t="s">
        <v>223</v>
      </c>
      <c r="H2874" s="2" t="s">
        <v>34</v>
      </c>
      <c r="I2874" s="2" t="s">
        <v>9114</v>
      </c>
      <c r="J2874" s="2" t="s">
        <v>9115</v>
      </c>
      <c r="K2874" s="2" t="s">
        <v>551</v>
      </c>
      <c r="L2874" s="2" t="s">
        <v>34</v>
      </c>
      <c r="M2874" s="7">
        <v>648.67399999999998</v>
      </c>
      <c r="N2874" s="7">
        <v>56.125</v>
      </c>
      <c r="O2874" s="6">
        <v>47.25</v>
      </c>
      <c r="P2874" s="2" t="s">
        <v>9116</v>
      </c>
      <c r="Q2874" s="6">
        <v>100</v>
      </c>
      <c r="R2874" s="6">
        <v>18.86</v>
      </c>
      <c r="S2874" s="5">
        <v>2.4</v>
      </c>
      <c r="T2874" s="7">
        <v>4.0410000000000004</v>
      </c>
      <c r="U2874" s="5">
        <v>1.8</v>
      </c>
      <c r="V2874" s="7">
        <v>0.13600000000000001</v>
      </c>
      <c r="W2874" s="7">
        <v>12.875</v>
      </c>
      <c r="X2874" s="7">
        <v>13.125</v>
      </c>
      <c r="Y2874" s="5">
        <v>13.5</v>
      </c>
      <c r="Z2874" s="7">
        <v>15.875</v>
      </c>
      <c r="AA2874" s="6">
        <v>18.670000000000002</v>
      </c>
      <c r="AB2874" s="7">
        <v>171.84800000000001</v>
      </c>
      <c r="AC2874" s="6">
        <v>36.93</v>
      </c>
    </row>
    <row r="2875" spans="1:29" ht="91" x14ac:dyDescent="0.15">
      <c r="A2875" s="3">
        <f>DATE(1997,1,13)</f>
        <v>35443</v>
      </c>
      <c r="B2875" s="3">
        <f>DATE(1997,6,2)</f>
        <v>35583</v>
      </c>
      <c r="C2875" s="2" t="s">
        <v>95</v>
      </c>
      <c r="D2875" s="2" t="s">
        <v>3291</v>
      </c>
      <c r="E2875" s="2" t="s">
        <v>3292</v>
      </c>
      <c r="F2875" s="4">
        <v>2836</v>
      </c>
      <c r="G2875" s="2" t="s">
        <v>130</v>
      </c>
      <c r="H2875" s="2" t="s">
        <v>34</v>
      </c>
      <c r="I2875" s="2" t="s">
        <v>9117</v>
      </c>
      <c r="J2875" s="2" t="s">
        <v>9118</v>
      </c>
      <c r="K2875" s="2" t="s">
        <v>454</v>
      </c>
      <c r="L2875" s="2" t="s">
        <v>34</v>
      </c>
      <c r="M2875" s="7">
        <v>127.60299999999999</v>
      </c>
      <c r="N2875" s="7">
        <v>8.8130000000000006</v>
      </c>
      <c r="O2875" s="4">
        <v>9</v>
      </c>
      <c r="P2875" s="2" t="s">
        <v>9119</v>
      </c>
      <c r="Q2875" s="6">
        <v>100</v>
      </c>
      <c r="R2875" s="6">
        <v>3.51</v>
      </c>
      <c r="S2875" s="5">
        <v>-21.9</v>
      </c>
      <c r="T2875" s="7">
        <v>-20.803999999999998</v>
      </c>
      <c r="U2875" s="5">
        <v>0.3</v>
      </c>
      <c r="V2875" s="7">
        <v>-0.91300000000000003</v>
      </c>
      <c r="W2875" s="7">
        <v>3.625</v>
      </c>
      <c r="X2875" s="7">
        <v>3.8130000000000002</v>
      </c>
      <c r="Y2875" s="7">
        <v>3.1880000000000002</v>
      </c>
      <c r="Z2875" s="7">
        <v>3.0630000000000002</v>
      </c>
      <c r="AA2875" s="6">
        <v>24.39</v>
      </c>
      <c r="AB2875" s="2" t="s">
        <v>86</v>
      </c>
      <c r="AC2875" s="6">
        <v>85.58</v>
      </c>
    </row>
    <row r="2876" spans="1:29" ht="52" x14ac:dyDescent="0.15">
      <c r="A2876" s="3">
        <f>DATE(1997,1,13)</f>
        <v>35443</v>
      </c>
      <c r="B2876" s="2"/>
      <c r="C2876" s="2" t="s">
        <v>30</v>
      </c>
      <c r="D2876" s="2" t="s">
        <v>9120</v>
      </c>
      <c r="E2876" s="2" t="s">
        <v>2692</v>
      </c>
      <c r="F2876" s="4">
        <v>1521</v>
      </c>
      <c r="G2876" s="2" t="s">
        <v>341</v>
      </c>
      <c r="H2876" s="2" t="s">
        <v>34</v>
      </c>
      <c r="I2876" s="2" t="s">
        <v>9121</v>
      </c>
      <c r="J2876" s="2" t="s">
        <v>3536</v>
      </c>
      <c r="K2876" s="2" t="s">
        <v>370</v>
      </c>
      <c r="L2876" s="2" t="s">
        <v>34</v>
      </c>
      <c r="M2876" s="2"/>
      <c r="N2876" s="2"/>
      <c r="O2876" s="2"/>
      <c r="P2876" s="2" t="s">
        <v>9122</v>
      </c>
      <c r="Q2876" s="2"/>
      <c r="R2876" s="6">
        <v>12</v>
      </c>
      <c r="S2876" s="5">
        <v>4.4000000000000004</v>
      </c>
      <c r="T2876" s="7">
        <v>19.338999999999999</v>
      </c>
      <c r="U2876" s="5">
        <v>8.8000000000000007</v>
      </c>
      <c r="V2876" s="6">
        <v>0.7</v>
      </c>
      <c r="W2876" s="7">
        <v>10.875</v>
      </c>
      <c r="X2876" s="6">
        <v>10.75</v>
      </c>
      <c r="Y2876" s="4">
        <v>11</v>
      </c>
      <c r="Z2876" s="4">
        <v>11</v>
      </c>
      <c r="AA2876" s="6">
        <v>6.57</v>
      </c>
      <c r="AB2876" s="7">
        <v>7.3739999999999997</v>
      </c>
      <c r="AC2876" s="2"/>
    </row>
    <row r="2877" spans="1:29" ht="78" x14ac:dyDescent="0.15">
      <c r="A2877" s="3">
        <f>DATE(1997,1,13)</f>
        <v>35443</v>
      </c>
      <c r="B2877" s="3">
        <f>DATE(1997,9,2)</f>
        <v>35675</v>
      </c>
      <c r="C2877" s="2" t="s">
        <v>95</v>
      </c>
      <c r="D2877" s="2" t="s">
        <v>5714</v>
      </c>
      <c r="E2877" s="2" t="s">
        <v>1561</v>
      </c>
      <c r="F2877" s="4">
        <v>6311</v>
      </c>
      <c r="G2877" s="2" t="s">
        <v>125</v>
      </c>
      <c r="H2877" s="2" t="s">
        <v>34</v>
      </c>
      <c r="I2877" s="2" t="s">
        <v>9123</v>
      </c>
      <c r="J2877" s="2" t="s">
        <v>515</v>
      </c>
      <c r="K2877" s="2" t="s">
        <v>125</v>
      </c>
      <c r="L2877" s="2" t="s">
        <v>215</v>
      </c>
      <c r="M2877" s="2"/>
      <c r="N2877" s="2"/>
      <c r="O2877" s="2"/>
      <c r="P2877" s="2" t="s">
        <v>9124</v>
      </c>
      <c r="Q2877" s="6">
        <v>34</v>
      </c>
      <c r="R2877" s="6">
        <v>36</v>
      </c>
      <c r="S2877" s="5">
        <v>29.3</v>
      </c>
      <c r="T2877" s="2"/>
      <c r="U2877" s="5">
        <v>25.9</v>
      </c>
      <c r="V2877" s="6">
        <v>1.1200000000000001</v>
      </c>
      <c r="W2877" s="7">
        <v>30.375</v>
      </c>
      <c r="X2877" s="6">
        <v>30.75</v>
      </c>
      <c r="Y2877" s="7">
        <v>37.875</v>
      </c>
      <c r="Z2877" s="7">
        <v>37.875</v>
      </c>
      <c r="AA2877" s="6">
        <v>26.06</v>
      </c>
      <c r="AB2877" s="7">
        <v>15.529</v>
      </c>
      <c r="AC2877" s="2"/>
    </row>
    <row r="2878" spans="1:29" ht="130" x14ac:dyDescent="0.15">
      <c r="A2878" s="3">
        <f>DATE(1997,1,14)</f>
        <v>35444</v>
      </c>
      <c r="B2878" s="3">
        <f>DATE(1997,4,1)</f>
        <v>35521</v>
      </c>
      <c r="C2878" s="2" t="s">
        <v>95</v>
      </c>
      <c r="D2878" s="2" t="s">
        <v>9125</v>
      </c>
      <c r="E2878" s="2" t="s">
        <v>9126</v>
      </c>
      <c r="F2878" s="4">
        <v>7515</v>
      </c>
      <c r="G2878" s="2" t="s">
        <v>1327</v>
      </c>
      <c r="H2878" s="2" t="s">
        <v>34</v>
      </c>
      <c r="I2878" s="2" t="s">
        <v>2895</v>
      </c>
      <c r="J2878" s="2" t="s">
        <v>1181</v>
      </c>
      <c r="K2878" s="2" t="s">
        <v>37</v>
      </c>
      <c r="L2878" s="2" t="s">
        <v>34</v>
      </c>
      <c r="M2878" s="10">
        <v>7597.21</v>
      </c>
      <c r="N2878" s="6">
        <v>41.75</v>
      </c>
      <c r="O2878" s="4">
        <v>41</v>
      </c>
      <c r="P2878" s="2" t="s">
        <v>9127</v>
      </c>
      <c r="Q2878" s="6">
        <v>100</v>
      </c>
      <c r="R2878" s="6">
        <v>37.14</v>
      </c>
      <c r="S2878" s="5">
        <v>21.9</v>
      </c>
      <c r="T2878" s="7">
        <v>280.32100000000003</v>
      </c>
      <c r="U2878" s="5">
        <v>6.9</v>
      </c>
      <c r="V2878" s="7">
        <v>1.4570000000000001</v>
      </c>
      <c r="W2878" s="7">
        <v>30.062999999999999</v>
      </c>
      <c r="X2878" s="6">
        <v>33.75</v>
      </c>
      <c r="Y2878" s="5">
        <v>36.5</v>
      </c>
      <c r="Z2878" s="7">
        <v>35.625</v>
      </c>
      <c r="AA2878" s="6">
        <v>14.84</v>
      </c>
      <c r="AB2878" s="7">
        <v>14.804</v>
      </c>
      <c r="AC2878" s="2"/>
    </row>
    <row r="2879" spans="1:29" ht="117" x14ac:dyDescent="0.15">
      <c r="A2879" s="3">
        <f>DATE(1997,1,14)</f>
        <v>35444</v>
      </c>
      <c r="B2879" s="3">
        <f>DATE(1997,4,30)</f>
        <v>35550</v>
      </c>
      <c r="C2879" s="2" t="s">
        <v>95</v>
      </c>
      <c r="D2879" s="2" t="s">
        <v>9128</v>
      </c>
      <c r="E2879" s="2" t="s">
        <v>9129</v>
      </c>
      <c r="F2879" s="4">
        <v>3674</v>
      </c>
      <c r="G2879" s="2" t="s">
        <v>137</v>
      </c>
      <c r="H2879" s="2" t="s">
        <v>34</v>
      </c>
      <c r="I2879" s="2" t="s">
        <v>9130</v>
      </c>
      <c r="J2879" s="2" t="s">
        <v>2728</v>
      </c>
      <c r="K2879" s="2" t="s">
        <v>137</v>
      </c>
      <c r="L2879" s="2" t="s">
        <v>34</v>
      </c>
      <c r="M2879" s="10">
        <v>1742.59</v>
      </c>
      <c r="N2879" s="7">
        <v>40.875</v>
      </c>
      <c r="O2879" s="5">
        <v>40.5</v>
      </c>
      <c r="P2879" s="2" t="s">
        <v>9131</v>
      </c>
      <c r="Q2879" s="6">
        <v>100</v>
      </c>
      <c r="R2879" s="6">
        <v>40</v>
      </c>
      <c r="S2879" s="5">
        <v>67.2</v>
      </c>
      <c r="T2879" s="7">
        <v>116.736</v>
      </c>
      <c r="U2879" s="5">
        <v>11.2</v>
      </c>
      <c r="V2879" s="6">
        <v>2.12</v>
      </c>
      <c r="W2879" s="7">
        <v>28.125</v>
      </c>
      <c r="X2879" s="7">
        <v>30.062999999999999</v>
      </c>
      <c r="Y2879" s="5">
        <v>30.5</v>
      </c>
      <c r="Z2879" s="7">
        <v>35.875</v>
      </c>
      <c r="AA2879" s="6">
        <v>31</v>
      </c>
      <c r="AB2879" s="7">
        <v>12.332000000000001</v>
      </c>
      <c r="AC2879" s="6">
        <v>123.68</v>
      </c>
    </row>
    <row r="2880" spans="1:29" ht="195" x14ac:dyDescent="0.15">
      <c r="A2880" s="3">
        <f>DATE(1997,1,15)</f>
        <v>35445</v>
      </c>
      <c r="B2880" s="3">
        <f>DATE(1997,6,23)</f>
        <v>35604</v>
      </c>
      <c r="C2880" s="2" t="s">
        <v>95</v>
      </c>
      <c r="D2880" s="2" t="s">
        <v>3674</v>
      </c>
      <c r="E2880" s="2" t="s">
        <v>2898</v>
      </c>
      <c r="F2880" s="4">
        <v>6022</v>
      </c>
      <c r="G2880" s="2" t="s">
        <v>37</v>
      </c>
      <c r="H2880" s="2" t="s">
        <v>34</v>
      </c>
      <c r="I2880" s="2" t="s">
        <v>9132</v>
      </c>
      <c r="J2880" s="2" t="s">
        <v>826</v>
      </c>
      <c r="K2880" s="2" t="s">
        <v>37</v>
      </c>
      <c r="L2880" s="2" t="s">
        <v>34</v>
      </c>
      <c r="M2880" s="2"/>
      <c r="N2880" s="2"/>
      <c r="O2880" s="2"/>
      <c r="P2880" s="2" t="s">
        <v>9133</v>
      </c>
      <c r="Q2880" s="6">
        <v>100</v>
      </c>
      <c r="R2880" s="6">
        <v>13.54</v>
      </c>
      <c r="S2880" s="5">
        <v>2.9</v>
      </c>
      <c r="T2880" s="7">
        <v>3.9209999999999998</v>
      </c>
      <c r="U2880" s="5">
        <v>6.3</v>
      </c>
      <c r="V2880" s="7">
        <v>0.79600000000000004</v>
      </c>
      <c r="W2880" s="7">
        <v>11.438000000000001</v>
      </c>
      <c r="X2880" s="6">
        <v>11.75</v>
      </c>
      <c r="Y2880" s="6">
        <v>12.25</v>
      </c>
      <c r="Z2880" s="6">
        <v>11.75</v>
      </c>
      <c r="AA2880" s="6">
        <v>3.66</v>
      </c>
      <c r="AB2880" s="7">
        <v>65.518000000000001</v>
      </c>
      <c r="AC2880" s="2"/>
    </row>
    <row r="2881" spans="1:29" ht="91" x14ac:dyDescent="0.15">
      <c r="A2881" s="3">
        <f>DATE(1997,1,15)</f>
        <v>35445</v>
      </c>
      <c r="B2881" s="3">
        <f>DATE(1997,8,6)</f>
        <v>35648</v>
      </c>
      <c r="C2881" s="2" t="s">
        <v>95</v>
      </c>
      <c r="D2881" s="2" t="s">
        <v>4235</v>
      </c>
      <c r="E2881" s="2" t="s">
        <v>4236</v>
      </c>
      <c r="F2881" s="4">
        <v>6324</v>
      </c>
      <c r="G2881" s="2" t="s">
        <v>125</v>
      </c>
      <c r="H2881" s="2" t="s">
        <v>34</v>
      </c>
      <c r="I2881" s="2" t="s">
        <v>4959</v>
      </c>
      <c r="J2881" s="2" t="s">
        <v>1488</v>
      </c>
      <c r="K2881" s="2" t="s">
        <v>454</v>
      </c>
      <c r="L2881" s="2" t="s">
        <v>34</v>
      </c>
      <c r="M2881" s="12">
        <v>26601.030999999999</v>
      </c>
      <c r="N2881" s="6">
        <v>40.25</v>
      </c>
      <c r="O2881" s="6">
        <v>39.25</v>
      </c>
      <c r="P2881" s="2" t="s">
        <v>9134</v>
      </c>
      <c r="Q2881" s="6">
        <v>100</v>
      </c>
      <c r="R2881" s="6">
        <v>20.5</v>
      </c>
      <c r="S2881" s="5">
        <v>64.3</v>
      </c>
      <c r="T2881" s="7">
        <v>162.36699999999999</v>
      </c>
      <c r="U2881" s="5">
        <v>12.1</v>
      </c>
      <c r="V2881" s="6">
        <v>1.17</v>
      </c>
      <c r="W2881" s="7">
        <v>20.375</v>
      </c>
      <c r="X2881" s="6">
        <v>20.25</v>
      </c>
      <c r="Y2881" s="6">
        <v>20.25</v>
      </c>
      <c r="Z2881" s="7">
        <v>22.047000000000001</v>
      </c>
      <c r="AA2881" s="6">
        <v>54.41</v>
      </c>
      <c r="AB2881" s="7">
        <v>9.516</v>
      </c>
      <c r="AC2881" s="5">
        <v>113</v>
      </c>
    </row>
    <row r="2882" spans="1:29" ht="52" x14ac:dyDescent="0.15">
      <c r="A2882" s="3">
        <f>DATE(1997,1,15)</f>
        <v>35445</v>
      </c>
      <c r="B2882" s="2"/>
      <c r="C2882" s="2" t="s">
        <v>189</v>
      </c>
      <c r="D2882" s="2" t="s">
        <v>8868</v>
      </c>
      <c r="E2882" s="2" t="s">
        <v>8869</v>
      </c>
      <c r="F2882" s="4">
        <v>3577</v>
      </c>
      <c r="G2882" s="2" t="s">
        <v>50</v>
      </c>
      <c r="H2882" s="2" t="s">
        <v>34</v>
      </c>
      <c r="I2882" s="2" t="s">
        <v>143</v>
      </c>
      <c r="J2882" s="2" t="s">
        <v>144</v>
      </c>
      <c r="K2882" s="2" t="s">
        <v>53</v>
      </c>
      <c r="L2882" s="2" t="s">
        <v>139</v>
      </c>
      <c r="M2882" s="2"/>
      <c r="N2882" s="2"/>
      <c r="O2882" s="2"/>
      <c r="P2882" s="2" t="s">
        <v>9135</v>
      </c>
      <c r="Q2882" s="2"/>
      <c r="R2882" s="2"/>
      <c r="S2882" s="5">
        <v>-24.2</v>
      </c>
      <c r="T2882" s="7">
        <v>-6.468</v>
      </c>
      <c r="U2882" s="5">
        <v>6.7</v>
      </c>
      <c r="V2882" s="6">
        <v>-2.27</v>
      </c>
      <c r="W2882" s="7">
        <v>3.875</v>
      </c>
      <c r="X2882" s="5">
        <v>3.5</v>
      </c>
      <c r="Y2882" s="11">
        <v>3.734375</v>
      </c>
      <c r="Z2882" s="7">
        <v>3.875</v>
      </c>
      <c r="AA2882" s="6">
        <v>10.68</v>
      </c>
      <c r="AB2882" s="2" t="s">
        <v>86</v>
      </c>
      <c r="AC2882" s="2"/>
    </row>
    <row r="2883" spans="1:29" ht="117" x14ac:dyDescent="0.15">
      <c r="A2883" s="3">
        <f>DATE(1997,1,16)</f>
        <v>35446</v>
      </c>
      <c r="B2883" s="3">
        <f>DATE(1997,2,28)</f>
        <v>35489</v>
      </c>
      <c r="C2883" s="2" t="s">
        <v>95</v>
      </c>
      <c r="D2883" s="2" t="s">
        <v>9136</v>
      </c>
      <c r="E2883" s="2" t="s">
        <v>9137</v>
      </c>
      <c r="F2883" s="4">
        <v>7372</v>
      </c>
      <c r="G2883" s="2" t="s">
        <v>551</v>
      </c>
      <c r="H2883" s="2" t="s">
        <v>34</v>
      </c>
      <c r="I2883" s="2" t="s">
        <v>9138</v>
      </c>
      <c r="J2883" s="2" t="s">
        <v>9139</v>
      </c>
      <c r="K2883" s="2" t="s">
        <v>551</v>
      </c>
      <c r="L2883" s="2" t="s">
        <v>34</v>
      </c>
      <c r="M2883" s="12">
        <v>1754.913</v>
      </c>
      <c r="N2883" s="6">
        <v>41.75</v>
      </c>
      <c r="O2883" s="7">
        <v>41.375</v>
      </c>
      <c r="P2883" s="2" t="s">
        <v>9140</v>
      </c>
      <c r="Q2883" s="6">
        <v>100</v>
      </c>
      <c r="R2883" s="6">
        <v>31.06</v>
      </c>
      <c r="S2883" s="5">
        <v>-8.6</v>
      </c>
      <c r="T2883" s="7">
        <v>-1.2789999999999999</v>
      </c>
      <c r="U2883" s="5">
        <v>3</v>
      </c>
      <c r="V2883" s="7">
        <v>-0.70499999999999996</v>
      </c>
      <c r="W2883" s="7">
        <v>28.625</v>
      </c>
      <c r="X2883" s="6">
        <v>31.25</v>
      </c>
      <c r="Y2883" s="6">
        <v>30.25</v>
      </c>
      <c r="Z2883" s="7">
        <v>30.125</v>
      </c>
      <c r="AA2883" s="6">
        <v>13.76</v>
      </c>
      <c r="AB2883" s="2" t="s">
        <v>86</v>
      </c>
      <c r="AC2883" s="6">
        <v>236.57</v>
      </c>
    </row>
    <row r="2884" spans="1:29" ht="143" x14ac:dyDescent="0.15">
      <c r="A2884" s="3">
        <f>DATE(1997,1,16)</f>
        <v>35446</v>
      </c>
      <c r="B2884" s="3">
        <f>DATE(1997,5,30)</f>
        <v>35580</v>
      </c>
      <c r="C2884" s="2" t="s">
        <v>95</v>
      </c>
      <c r="D2884" s="2" t="s">
        <v>5210</v>
      </c>
      <c r="E2884" s="2" t="s">
        <v>92</v>
      </c>
      <c r="F2884" s="4">
        <v>6798</v>
      </c>
      <c r="G2884" s="2" t="s">
        <v>53</v>
      </c>
      <c r="H2884" s="2" t="s">
        <v>34</v>
      </c>
      <c r="I2884" s="2" t="s">
        <v>9141</v>
      </c>
      <c r="J2884" s="2" t="s">
        <v>92</v>
      </c>
      <c r="K2884" s="2" t="s">
        <v>53</v>
      </c>
      <c r="L2884" s="2" t="s">
        <v>34</v>
      </c>
      <c r="M2884" s="12">
        <v>2010.8510000000001</v>
      </c>
      <c r="N2884" s="7">
        <v>43.375</v>
      </c>
      <c r="O2884" s="7">
        <v>42.375</v>
      </c>
      <c r="P2884" s="2" t="s">
        <v>9142</v>
      </c>
      <c r="Q2884" s="6">
        <v>100</v>
      </c>
      <c r="R2884" s="6">
        <v>27.03</v>
      </c>
      <c r="S2884" s="5">
        <v>22.7</v>
      </c>
      <c r="T2884" s="7">
        <v>50.265999999999998</v>
      </c>
      <c r="U2884" s="5">
        <v>12.8</v>
      </c>
      <c r="V2884" s="6">
        <v>0.59</v>
      </c>
      <c r="W2884" s="6">
        <v>24.75</v>
      </c>
      <c r="X2884" s="7">
        <v>25.125</v>
      </c>
      <c r="Y2884" s="6">
        <v>25.75</v>
      </c>
      <c r="Z2884" s="7">
        <v>28.234000000000002</v>
      </c>
      <c r="AA2884" s="6">
        <v>17.100000000000001</v>
      </c>
      <c r="AB2884" s="7">
        <v>41.963999999999999</v>
      </c>
      <c r="AC2884" s="6">
        <v>147.27000000000001</v>
      </c>
    </row>
    <row r="2885" spans="1:29" ht="78" x14ac:dyDescent="0.15">
      <c r="A2885" s="3">
        <f>DATE(1997,1,17)</f>
        <v>35447</v>
      </c>
      <c r="B2885" s="3">
        <f>DATE(1997,4,24)</f>
        <v>35544</v>
      </c>
      <c r="C2885" s="2" t="s">
        <v>95</v>
      </c>
      <c r="D2885" s="2" t="s">
        <v>5961</v>
      </c>
      <c r="E2885" s="2" t="s">
        <v>5962</v>
      </c>
      <c r="F2885" s="4">
        <v>7933</v>
      </c>
      <c r="G2885" s="2" t="s">
        <v>364</v>
      </c>
      <c r="H2885" s="2" t="s">
        <v>34</v>
      </c>
      <c r="I2885" s="2" t="s">
        <v>9143</v>
      </c>
      <c r="J2885" s="2" t="s">
        <v>9144</v>
      </c>
      <c r="K2885" s="2" t="s">
        <v>364</v>
      </c>
      <c r="L2885" s="2" t="s">
        <v>34</v>
      </c>
      <c r="M2885" s="2"/>
      <c r="N2885" s="2"/>
      <c r="O2885" s="2"/>
      <c r="P2885" s="2" t="s">
        <v>9145</v>
      </c>
      <c r="Q2885" s="6">
        <v>100</v>
      </c>
      <c r="R2885" s="6">
        <v>8.5</v>
      </c>
      <c r="S2885" s="5">
        <v>0.9</v>
      </c>
      <c r="T2885" s="7">
        <v>7.3209999999999997</v>
      </c>
      <c r="U2885" s="5">
        <v>6.2</v>
      </c>
      <c r="V2885" s="6">
        <v>0.64</v>
      </c>
      <c r="W2885" s="7">
        <v>6.375</v>
      </c>
      <c r="X2885" s="7">
        <v>7.375</v>
      </c>
      <c r="Y2885" s="7">
        <v>8.375</v>
      </c>
      <c r="Z2885" s="7">
        <v>8.375</v>
      </c>
      <c r="AA2885" s="6">
        <v>4.6100000000000003</v>
      </c>
      <c r="AB2885" s="7">
        <v>17.686</v>
      </c>
      <c r="AC2885" s="2"/>
    </row>
    <row r="2886" spans="1:29" ht="117" x14ac:dyDescent="0.15">
      <c r="A2886" s="3">
        <f>DATE(1997,1,17)</f>
        <v>35447</v>
      </c>
      <c r="B2886" s="3">
        <f>DATE(1997,6,17)</f>
        <v>35598</v>
      </c>
      <c r="C2886" s="2" t="s">
        <v>95</v>
      </c>
      <c r="D2886" s="2" t="s">
        <v>9146</v>
      </c>
      <c r="E2886" s="2" t="s">
        <v>3591</v>
      </c>
      <c r="F2886" s="4">
        <v>6331</v>
      </c>
      <c r="G2886" s="2" t="s">
        <v>125</v>
      </c>
      <c r="H2886" s="2" t="s">
        <v>34</v>
      </c>
      <c r="I2886" s="2" t="s">
        <v>9147</v>
      </c>
      <c r="J2886" s="2" t="s">
        <v>515</v>
      </c>
      <c r="K2886" s="2" t="s">
        <v>125</v>
      </c>
      <c r="L2886" s="2" t="s">
        <v>34</v>
      </c>
      <c r="M2886" s="7">
        <v>896.27099999999996</v>
      </c>
      <c r="N2886" s="5">
        <v>27.5</v>
      </c>
      <c r="O2886" s="5">
        <v>27.5</v>
      </c>
      <c r="P2886" s="2" t="s">
        <v>9148</v>
      </c>
      <c r="Q2886" s="6">
        <v>100</v>
      </c>
      <c r="R2886" s="6">
        <v>28.63</v>
      </c>
      <c r="S2886" s="5">
        <v>7.9</v>
      </c>
      <c r="T2886" s="2"/>
      <c r="U2886" s="5">
        <v>6.6</v>
      </c>
      <c r="V2886" s="6">
        <v>0.9</v>
      </c>
      <c r="W2886" s="7">
        <v>18.375</v>
      </c>
      <c r="X2886" s="7">
        <v>19.375</v>
      </c>
      <c r="Y2886" s="5">
        <v>24.5</v>
      </c>
      <c r="Z2886" s="5">
        <v>24.5</v>
      </c>
      <c r="AA2886" s="6">
        <v>8.26</v>
      </c>
      <c r="AB2886" s="7">
        <v>23.215</v>
      </c>
      <c r="AC2886" s="6">
        <v>47.58</v>
      </c>
    </row>
    <row r="2887" spans="1:29" ht="104" x14ac:dyDescent="0.15">
      <c r="A2887" s="3">
        <f>DATE(1997,1,17)</f>
        <v>35447</v>
      </c>
      <c r="B2887" s="3">
        <f>DATE(1997,4,11)</f>
        <v>35531</v>
      </c>
      <c r="C2887" s="2" t="s">
        <v>95</v>
      </c>
      <c r="D2887" s="2" t="s">
        <v>9149</v>
      </c>
      <c r="E2887" s="2" t="s">
        <v>9150</v>
      </c>
      <c r="F2887" s="4">
        <v>7011</v>
      </c>
      <c r="G2887" s="2" t="s">
        <v>269</v>
      </c>
      <c r="H2887" s="2" t="s">
        <v>34</v>
      </c>
      <c r="I2887" s="2" t="s">
        <v>9151</v>
      </c>
      <c r="J2887" s="2" t="s">
        <v>268</v>
      </c>
      <c r="K2887" s="2" t="s">
        <v>269</v>
      </c>
      <c r="L2887" s="2" t="s">
        <v>34</v>
      </c>
      <c r="M2887" s="2"/>
      <c r="N2887" s="2"/>
      <c r="O2887" s="2"/>
      <c r="P2887" s="2" t="s">
        <v>9152</v>
      </c>
      <c r="Q2887" s="6">
        <v>100</v>
      </c>
      <c r="R2887" s="6">
        <v>22.86</v>
      </c>
      <c r="S2887" s="5">
        <v>5.2</v>
      </c>
      <c r="T2887" s="7">
        <v>9.2330000000000005</v>
      </c>
      <c r="U2887" s="5">
        <v>10.7</v>
      </c>
      <c r="V2887" s="7">
        <v>0.44700000000000001</v>
      </c>
      <c r="W2887" s="7">
        <v>15.125</v>
      </c>
      <c r="X2887" s="6">
        <v>14.75</v>
      </c>
      <c r="Y2887" s="7">
        <v>19.875</v>
      </c>
      <c r="Z2887" s="7">
        <v>19.875</v>
      </c>
      <c r="AA2887" s="6">
        <v>12.53</v>
      </c>
      <c r="AB2887" s="7">
        <v>41.622999999999998</v>
      </c>
      <c r="AC2887" s="6">
        <v>189.65</v>
      </c>
    </row>
    <row r="2888" spans="1:29" ht="130" x14ac:dyDescent="0.15">
      <c r="A2888" s="3">
        <f>DATE(1997,1,20)</f>
        <v>35450</v>
      </c>
      <c r="B2888" s="3">
        <f>DATE(1997,6,27)</f>
        <v>35608</v>
      </c>
      <c r="C2888" s="2" t="s">
        <v>95</v>
      </c>
      <c r="D2888" s="2" t="s">
        <v>9153</v>
      </c>
      <c r="E2888" s="2" t="s">
        <v>9154</v>
      </c>
      <c r="F2888" s="4">
        <v>6141</v>
      </c>
      <c r="G2888" s="2" t="s">
        <v>370</v>
      </c>
      <c r="H2888" s="2" t="s">
        <v>34</v>
      </c>
      <c r="I2888" s="2" t="s">
        <v>1612</v>
      </c>
      <c r="J2888" s="2" t="s">
        <v>263</v>
      </c>
      <c r="K2888" s="2" t="s">
        <v>37</v>
      </c>
      <c r="L2888" s="2" t="s">
        <v>34</v>
      </c>
      <c r="M2888" s="12">
        <v>18857.942999999999</v>
      </c>
      <c r="N2888" s="7">
        <v>45.125</v>
      </c>
      <c r="O2888" s="6">
        <v>43.25</v>
      </c>
      <c r="P2888" s="2" t="s">
        <v>9155</v>
      </c>
      <c r="Q2888" s="6">
        <v>100</v>
      </c>
      <c r="R2888" s="6">
        <v>52.61</v>
      </c>
      <c r="S2888" s="5">
        <v>246.7</v>
      </c>
      <c r="T2888" s="7">
        <v>501.27499999999998</v>
      </c>
      <c r="U2888" s="5">
        <v>8.8000000000000007</v>
      </c>
      <c r="V2888" s="7">
        <v>1.845</v>
      </c>
      <c r="W2888" s="7">
        <v>34.375</v>
      </c>
      <c r="X2888" s="6">
        <v>36.75</v>
      </c>
      <c r="Y2888" s="6">
        <v>36.75</v>
      </c>
      <c r="Z2888" s="7">
        <v>47.875</v>
      </c>
      <c r="AA2888" s="6">
        <v>136.9</v>
      </c>
      <c r="AB2888" s="7">
        <v>27.762</v>
      </c>
      <c r="AC2888" s="2"/>
    </row>
    <row r="2889" spans="1:29" ht="130" x14ac:dyDescent="0.15">
      <c r="A2889" s="3">
        <f>DATE(1997,1,20)</f>
        <v>35450</v>
      </c>
      <c r="B2889" s="3">
        <f>DATE(1997,4,8)</f>
        <v>35528</v>
      </c>
      <c r="C2889" s="2" t="s">
        <v>95</v>
      </c>
      <c r="D2889" s="2" t="s">
        <v>9156</v>
      </c>
      <c r="E2889" s="2" t="s">
        <v>9157</v>
      </c>
      <c r="F2889" s="4">
        <v>3841</v>
      </c>
      <c r="G2889" s="2" t="s">
        <v>226</v>
      </c>
      <c r="H2889" s="2" t="s">
        <v>34</v>
      </c>
      <c r="I2889" s="2" t="s">
        <v>5268</v>
      </c>
      <c r="J2889" s="2" t="s">
        <v>5269</v>
      </c>
      <c r="K2889" s="2" t="s">
        <v>226</v>
      </c>
      <c r="L2889" s="2" t="s">
        <v>34</v>
      </c>
      <c r="M2889" s="12">
        <v>10683.272000000001</v>
      </c>
      <c r="N2889" s="5">
        <v>71.5</v>
      </c>
      <c r="O2889" s="7">
        <v>68.938000000000002</v>
      </c>
      <c r="P2889" s="2" t="s">
        <v>9158</v>
      </c>
      <c r="Q2889" s="6">
        <v>100</v>
      </c>
      <c r="R2889" s="6">
        <v>76.510000000000005</v>
      </c>
      <c r="S2889" s="5">
        <v>0.6</v>
      </c>
      <c r="T2889" s="6">
        <v>8.59</v>
      </c>
      <c r="U2889" s="5">
        <v>5.9</v>
      </c>
      <c r="V2889" s="7">
        <v>-5.3999999999999999E-2</v>
      </c>
      <c r="W2889" s="7">
        <v>46.125</v>
      </c>
      <c r="X2889" s="6">
        <v>46.75</v>
      </c>
      <c r="Y2889" s="6">
        <v>46.75</v>
      </c>
      <c r="Z2889" s="6">
        <v>70.25</v>
      </c>
      <c r="AA2889" s="6">
        <v>14.92</v>
      </c>
      <c r="AB2889" s="7">
        <v>322.185</v>
      </c>
      <c r="AC2889" s="6">
        <v>80.55</v>
      </c>
    </row>
    <row r="2890" spans="1:29" ht="117" x14ac:dyDescent="0.15">
      <c r="A2890" s="3">
        <f>DATE(1997,1,21)</f>
        <v>35451</v>
      </c>
      <c r="B2890" s="3">
        <f>DATE(1997,7,8)</f>
        <v>35619</v>
      </c>
      <c r="C2890" s="2" t="s">
        <v>95</v>
      </c>
      <c r="D2890" s="2" t="s">
        <v>2603</v>
      </c>
      <c r="E2890" s="2" t="s">
        <v>36</v>
      </c>
      <c r="F2890" s="4">
        <v>6022</v>
      </c>
      <c r="G2890" s="2" t="s">
        <v>37</v>
      </c>
      <c r="H2890" s="2" t="s">
        <v>34</v>
      </c>
      <c r="I2890" s="2" t="s">
        <v>668</v>
      </c>
      <c r="J2890" s="2" t="s">
        <v>36</v>
      </c>
      <c r="K2890" s="2" t="s">
        <v>37</v>
      </c>
      <c r="L2890" s="2" t="s">
        <v>34</v>
      </c>
      <c r="M2890" s="2"/>
      <c r="N2890" s="2"/>
      <c r="O2890" s="2"/>
      <c r="P2890" s="2" t="s">
        <v>9159</v>
      </c>
      <c r="Q2890" s="6">
        <v>100</v>
      </c>
      <c r="R2890" s="6">
        <v>46.93</v>
      </c>
      <c r="S2890" s="5">
        <v>70.8</v>
      </c>
      <c r="T2890" s="7">
        <v>102.58199999999999</v>
      </c>
      <c r="U2890" s="5">
        <v>18.600000000000001</v>
      </c>
      <c r="V2890" s="6">
        <v>2.2999999999999998</v>
      </c>
      <c r="W2890" s="6">
        <v>32.75</v>
      </c>
      <c r="X2890" s="7">
        <v>33.188000000000002</v>
      </c>
      <c r="Y2890" s="7">
        <v>41.125</v>
      </c>
      <c r="Z2890" s="6">
        <v>41.25</v>
      </c>
      <c r="AA2890" s="6">
        <v>30.65</v>
      </c>
      <c r="AB2890" s="7">
        <v>28.434000000000001</v>
      </c>
      <c r="AC2890" s="2"/>
    </row>
    <row r="2891" spans="1:29" ht="65" x14ac:dyDescent="0.15">
      <c r="A2891" s="3">
        <f>DATE(1997,1,21)</f>
        <v>35451</v>
      </c>
      <c r="B2891" s="3">
        <f>DATE(1997,6,9)</f>
        <v>35590</v>
      </c>
      <c r="C2891" s="2" t="s">
        <v>95</v>
      </c>
      <c r="D2891" s="2" t="s">
        <v>9160</v>
      </c>
      <c r="E2891" s="2" t="s">
        <v>9161</v>
      </c>
      <c r="F2891" s="4">
        <v>3559</v>
      </c>
      <c r="G2891" s="2" t="s">
        <v>300</v>
      </c>
      <c r="H2891" s="2" t="s">
        <v>34</v>
      </c>
      <c r="I2891" s="2" t="s">
        <v>9162</v>
      </c>
      <c r="J2891" s="2" t="s">
        <v>9163</v>
      </c>
      <c r="K2891" s="2" t="s">
        <v>137</v>
      </c>
      <c r="L2891" s="2" t="s">
        <v>34</v>
      </c>
      <c r="M2891" s="6">
        <v>210.07</v>
      </c>
      <c r="N2891" s="7">
        <v>28.125</v>
      </c>
      <c r="O2891" s="7">
        <v>29.125</v>
      </c>
      <c r="P2891" s="2" t="s">
        <v>9164</v>
      </c>
      <c r="Q2891" s="6">
        <v>100</v>
      </c>
      <c r="R2891" s="2"/>
      <c r="S2891" s="5">
        <v>-3</v>
      </c>
      <c r="T2891" s="7">
        <v>-1.774</v>
      </c>
      <c r="U2891" s="5">
        <v>-0.1</v>
      </c>
      <c r="V2891" s="6">
        <v>-1.05</v>
      </c>
      <c r="W2891" s="7">
        <v>1.8129999999999999</v>
      </c>
      <c r="X2891" s="6">
        <v>1.75</v>
      </c>
      <c r="Y2891" s="7">
        <v>1.8129999999999999</v>
      </c>
      <c r="Z2891" s="7">
        <v>1.6879999999999999</v>
      </c>
      <c r="AA2891" s="6">
        <v>2.83</v>
      </c>
      <c r="AB2891" s="2" t="s">
        <v>86</v>
      </c>
      <c r="AC2891" s="6">
        <v>36.99</v>
      </c>
    </row>
    <row r="2892" spans="1:29" ht="143" x14ac:dyDescent="0.15">
      <c r="A2892" s="3">
        <f>DATE(1997,1,21)</f>
        <v>35451</v>
      </c>
      <c r="B2892" s="3">
        <f>DATE(1997,6,26)</f>
        <v>35607</v>
      </c>
      <c r="C2892" s="2" t="s">
        <v>95</v>
      </c>
      <c r="D2892" s="2" t="s">
        <v>9165</v>
      </c>
      <c r="E2892" s="2" t="s">
        <v>9166</v>
      </c>
      <c r="F2892" s="4">
        <v>8099</v>
      </c>
      <c r="G2892" s="2" t="s">
        <v>454</v>
      </c>
      <c r="H2892" s="2" t="s">
        <v>34</v>
      </c>
      <c r="I2892" s="2" t="s">
        <v>9167</v>
      </c>
      <c r="J2892" s="2" t="s">
        <v>9168</v>
      </c>
      <c r="K2892" s="2" t="s">
        <v>454</v>
      </c>
      <c r="L2892" s="2" t="s">
        <v>34</v>
      </c>
      <c r="M2892" s="12">
        <v>3323.7159999999999</v>
      </c>
      <c r="N2892" s="7">
        <v>20.125</v>
      </c>
      <c r="O2892" s="5">
        <v>19.5</v>
      </c>
      <c r="P2892" s="2" t="s">
        <v>9169</v>
      </c>
      <c r="Q2892" s="6">
        <v>100</v>
      </c>
      <c r="R2892" s="6">
        <v>22.57</v>
      </c>
      <c r="S2892" s="5">
        <v>15.9</v>
      </c>
      <c r="T2892" s="2"/>
      <c r="U2892" s="5">
        <v>6.1</v>
      </c>
      <c r="V2892" s="7">
        <v>1.004</v>
      </c>
      <c r="W2892" s="4">
        <v>20</v>
      </c>
      <c r="X2892" s="6">
        <v>22.25</v>
      </c>
      <c r="Y2892" s="7">
        <v>25.625</v>
      </c>
      <c r="Z2892" s="7">
        <v>24.625</v>
      </c>
      <c r="AA2892" s="6">
        <v>15.8</v>
      </c>
      <c r="AB2892" s="7">
        <v>13.332000000000001</v>
      </c>
      <c r="AC2892" s="6">
        <v>123.78</v>
      </c>
    </row>
    <row r="2893" spans="1:29" ht="143" x14ac:dyDescent="0.15">
      <c r="A2893" s="3">
        <f>DATE(1997,1,21)</f>
        <v>35451</v>
      </c>
      <c r="B2893" s="3">
        <f>DATE(1997,8,11)</f>
        <v>35653</v>
      </c>
      <c r="C2893" s="2" t="s">
        <v>95</v>
      </c>
      <c r="D2893" s="2" t="s">
        <v>9170</v>
      </c>
      <c r="E2893" s="2" t="s">
        <v>1181</v>
      </c>
      <c r="F2893" s="4">
        <v>6022</v>
      </c>
      <c r="G2893" s="2" t="s">
        <v>37</v>
      </c>
      <c r="H2893" s="2" t="s">
        <v>34</v>
      </c>
      <c r="I2893" s="2" t="s">
        <v>9171</v>
      </c>
      <c r="J2893" s="2" t="s">
        <v>159</v>
      </c>
      <c r="K2893" s="2" t="s">
        <v>37</v>
      </c>
      <c r="L2893" s="2" t="s">
        <v>34</v>
      </c>
      <c r="M2893" s="7">
        <v>108.333</v>
      </c>
      <c r="N2893" s="4">
        <v>19</v>
      </c>
      <c r="O2893" s="4">
        <v>19</v>
      </c>
      <c r="P2893" s="2" t="s">
        <v>9172</v>
      </c>
      <c r="Q2893" s="6">
        <v>100</v>
      </c>
      <c r="R2893" s="6">
        <v>19.7</v>
      </c>
      <c r="S2893" s="5">
        <v>1</v>
      </c>
      <c r="T2893" s="7">
        <v>1.8160000000000001</v>
      </c>
      <c r="U2893" s="5">
        <v>7.1</v>
      </c>
      <c r="V2893" s="6">
        <v>0.65</v>
      </c>
      <c r="W2893" s="6">
        <v>14.25</v>
      </c>
      <c r="X2893" s="6">
        <v>15.25</v>
      </c>
      <c r="Y2893" s="6">
        <v>18.25</v>
      </c>
      <c r="Z2893" s="4">
        <v>17</v>
      </c>
      <c r="AA2893" s="6">
        <v>1.58</v>
      </c>
      <c r="AB2893" s="7">
        <v>79.314999999999998</v>
      </c>
      <c r="AC2893" s="2"/>
    </row>
    <row r="2894" spans="1:29" ht="143" x14ac:dyDescent="0.15">
      <c r="A2894" s="3">
        <f>DATE(1997,1,22)</f>
        <v>35452</v>
      </c>
      <c r="B2894" s="3">
        <f>DATE(1997,3,5)</f>
        <v>35494</v>
      </c>
      <c r="C2894" s="2" t="s">
        <v>95</v>
      </c>
      <c r="D2894" s="2" t="s">
        <v>9173</v>
      </c>
      <c r="E2894" s="2" t="s">
        <v>9174</v>
      </c>
      <c r="F2894" s="4">
        <v>3577</v>
      </c>
      <c r="G2894" s="2" t="s">
        <v>50</v>
      </c>
      <c r="H2894" s="2" t="s">
        <v>34</v>
      </c>
      <c r="I2894" s="2" t="s">
        <v>9175</v>
      </c>
      <c r="J2894" s="2" t="s">
        <v>612</v>
      </c>
      <c r="K2894" s="2" t="s">
        <v>148</v>
      </c>
      <c r="L2894" s="2" t="s">
        <v>34</v>
      </c>
      <c r="M2894" s="12">
        <v>3787.625</v>
      </c>
      <c r="N2894" s="7">
        <v>70.125</v>
      </c>
      <c r="O2894" s="7">
        <v>70.125</v>
      </c>
      <c r="P2894" s="2" t="s">
        <v>9176</v>
      </c>
      <c r="Q2894" s="6">
        <v>100</v>
      </c>
      <c r="R2894" s="6">
        <v>33.5</v>
      </c>
      <c r="S2894" s="5">
        <v>-9.6</v>
      </c>
      <c r="T2894" s="7">
        <v>9.1959999999999997</v>
      </c>
      <c r="U2894" s="5">
        <v>5.6</v>
      </c>
      <c r="V2894" s="7">
        <v>-1.2689999999999999</v>
      </c>
      <c r="W2894" s="7">
        <v>17.875</v>
      </c>
      <c r="X2894" s="7">
        <v>19.375</v>
      </c>
      <c r="Y2894" s="4">
        <v>33</v>
      </c>
      <c r="Z2894" s="7">
        <v>32.875</v>
      </c>
      <c r="AA2894" s="6">
        <v>7.84</v>
      </c>
      <c r="AB2894" s="2" t="s">
        <v>86</v>
      </c>
      <c r="AC2894" s="6">
        <v>165.76</v>
      </c>
    </row>
    <row r="2895" spans="1:29" ht="65" x14ac:dyDescent="0.15">
      <c r="A2895" s="3">
        <f>DATE(1997,1,23)</f>
        <v>35453</v>
      </c>
      <c r="B2895" s="3">
        <f>DATE(1997,5,19)</f>
        <v>35569</v>
      </c>
      <c r="C2895" s="2" t="s">
        <v>95</v>
      </c>
      <c r="D2895" s="2" t="s">
        <v>9177</v>
      </c>
      <c r="E2895" s="2" t="s">
        <v>9178</v>
      </c>
      <c r="F2895" s="4">
        <v>3678</v>
      </c>
      <c r="G2895" s="2" t="s">
        <v>137</v>
      </c>
      <c r="H2895" s="2" t="s">
        <v>34</v>
      </c>
      <c r="I2895" s="2" t="s">
        <v>1626</v>
      </c>
      <c r="J2895" s="2" t="s">
        <v>244</v>
      </c>
      <c r="K2895" s="2" t="s">
        <v>53</v>
      </c>
      <c r="L2895" s="2" t="s">
        <v>34</v>
      </c>
      <c r="M2895" s="2"/>
      <c r="N2895" s="2"/>
      <c r="O2895" s="2"/>
      <c r="P2895" s="2" t="s">
        <v>9179</v>
      </c>
      <c r="Q2895" s="6">
        <v>90</v>
      </c>
      <c r="R2895" s="6">
        <v>26</v>
      </c>
      <c r="S2895" s="5">
        <v>67.599999999999994</v>
      </c>
      <c r="T2895" s="7">
        <v>167.477</v>
      </c>
      <c r="U2895" s="5">
        <v>0.5</v>
      </c>
      <c r="V2895" s="9">
        <v>9.06E-2</v>
      </c>
      <c r="W2895" s="6">
        <v>22.25</v>
      </c>
      <c r="X2895" s="7">
        <v>23.125</v>
      </c>
      <c r="Y2895" s="6">
        <v>25.75</v>
      </c>
      <c r="Z2895" s="4">
        <v>26</v>
      </c>
      <c r="AA2895" s="6">
        <v>46.6</v>
      </c>
      <c r="AB2895" s="7">
        <v>128.53399999999999</v>
      </c>
      <c r="AC2895" s="2"/>
    </row>
    <row r="2896" spans="1:29" ht="130" x14ac:dyDescent="0.15">
      <c r="A2896" s="3">
        <f>DATE(1997,1,23)</f>
        <v>35453</v>
      </c>
      <c r="B2896" s="3">
        <f>DATE(1998,6,2)</f>
        <v>35948</v>
      </c>
      <c r="C2896" s="2" t="s">
        <v>95</v>
      </c>
      <c r="D2896" s="2" t="s">
        <v>9180</v>
      </c>
      <c r="E2896" s="2" t="s">
        <v>1888</v>
      </c>
      <c r="F2896" s="4">
        <v>4931</v>
      </c>
      <c r="G2896" s="2" t="s">
        <v>439</v>
      </c>
      <c r="H2896" s="2" t="s">
        <v>34</v>
      </c>
      <c r="I2896" s="2" t="s">
        <v>3758</v>
      </c>
      <c r="J2896" s="2" t="s">
        <v>3759</v>
      </c>
      <c r="K2896" s="2" t="s">
        <v>439</v>
      </c>
      <c r="L2896" s="2" t="s">
        <v>34</v>
      </c>
      <c r="M2896" s="12">
        <v>3047.3780000000002</v>
      </c>
      <c r="N2896" s="5">
        <v>27.5</v>
      </c>
      <c r="O2896" s="7">
        <v>27.625</v>
      </c>
      <c r="P2896" s="2" t="s">
        <v>9181</v>
      </c>
      <c r="Q2896" s="6">
        <v>100</v>
      </c>
      <c r="R2896" s="6">
        <v>46.66</v>
      </c>
      <c r="S2896" s="5">
        <v>2.8</v>
      </c>
      <c r="T2896" s="7">
        <v>9.8559999999999999</v>
      </c>
      <c r="U2896" s="5">
        <v>13.1</v>
      </c>
      <c r="V2896" s="6">
        <v>1.85</v>
      </c>
      <c r="W2896" s="6">
        <v>29.75</v>
      </c>
      <c r="X2896" s="5">
        <v>29.5</v>
      </c>
      <c r="Y2896" s="5">
        <v>32.5</v>
      </c>
      <c r="Z2896" s="5">
        <v>30.5</v>
      </c>
      <c r="AA2896" s="6">
        <v>1.59</v>
      </c>
      <c r="AB2896" s="7">
        <v>13.378</v>
      </c>
      <c r="AC2896" s="6">
        <v>19.61</v>
      </c>
    </row>
    <row r="2897" spans="1:29" ht="65" x14ac:dyDescent="0.15">
      <c r="A2897" s="3">
        <f>DATE(1997,1,24)</f>
        <v>35454</v>
      </c>
      <c r="B2897" s="3">
        <f>DATE(1997,3,17)</f>
        <v>35506</v>
      </c>
      <c r="C2897" s="2" t="s">
        <v>95</v>
      </c>
      <c r="D2897" s="2" t="s">
        <v>9182</v>
      </c>
      <c r="E2897" s="2" t="s">
        <v>3900</v>
      </c>
      <c r="F2897" s="4">
        <v>5812</v>
      </c>
      <c r="G2897" s="2" t="s">
        <v>230</v>
      </c>
      <c r="H2897" s="2" t="s">
        <v>34</v>
      </c>
      <c r="I2897" s="2" t="s">
        <v>7222</v>
      </c>
      <c r="J2897" s="2" t="s">
        <v>7082</v>
      </c>
      <c r="K2897" s="2" t="s">
        <v>230</v>
      </c>
      <c r="L2897" s="2" t="s">
        <v>34</v>
      </c>
      <c r="M2897" s="2"/>
      <c r="N2897" s="7">
        <v>22.625</v>
      </c>
      <c r="O2897" s="6">
        <v>21.75</v>
      </c>
      <c r="P2897" s="2" t="s">
        <v>9183</v>
      </c>
      <c r="Q2897" s="6">
        <v>100</v>
      </c>
      <c r="R2897" s="2"/>
      <c r="S2897" s="5">
        <v>-33.200000000000003</v>
      </c>
      <c r="T2897" s="7">
        <v>3.4049999999999998</v>
      </c>
      <c r="U2897" s="5">
        <v>18.600000000000001</v>
      </c>
      <c r="V2897" s="9">
        <v>-7.8003</v>
      </c>
      <c r="W2897" s="7">
        <v>1.375</v>
      </c>
      <c r="X2897" s="7">
        <v>1.4379999999999999</v>
      </c>
      <c r="Y2897" s="5">
        <v>1.5</v>
      </c>
      <c r="Z2897" s="7">
        <v>1.7190000000000001</v>
      </c>
      <c r="AA2897" s="6">
        <v>51.77</v>
      </c>
      <c r="AB2897" s="2" t="s">
        <v>86</v>
      </c>
      <c r="AC2897" s="6">
        <v>39.78</v>
      </c>
    </row>
    <row r="2898" spans="1:29" ht="91" x14ac:dyDescent="0.15">
      <c r="A2898" s="3">
        <f>DATE(1997,1,24)</f>
        <v>35454</v>
      </c>
      <c r="B2898" s="2"/>
      <c r="C2898" s="2" t="s">
        <v>30</v>
      </c>
      <c r="D2898" s="2" t="s">
        <v>2186</v>
      </c>
      <c r="E2898" s="2" t="s">
        <v>2187</v>
      </c>
      <c r="F2898" s="4">
        <v>3677</v>
      </c>
      <c r="G2898" s="2" t="s">
        <v>137</v>
      </c>
      <c r="H2898" s="2" t="s">
        <v>34</v>
      </c>
      <c r="I2898" s="2" t="s">
        <v>9184</v>
      </c>
      <c r="J2898" s="2" t="s">
        <v>302</v>
      </c>
      <c r="K2898" s="2" t="s">
        <v>53</v>
      </c>
      <c r="L2898" s="2" t="s">
        <v>34</v>
      </c>
      <c r="M2898" s="2"/>
      <c r="N2898" s="2"/>
      <c r="O2898" s="2"/>
      <c r="P2898" s="2" t="s">
        <v>9185</v>
      </c>
      <c r="Q2898" s="2"/>
      <c r="R2898" s="2"/>
      <c r="S2898" s="5">
        <v>0.3</v>
      </c>
      <c r="T2898" s="7">
        <v>0.60799999999999998</v>
      </c>
      <c r="U2898" s="5">
        <v>1.3</v>
      </c>
      <c r="V2898" s="6">
        <v>0.12</v>
      </c>
      <c r="W2898" s="7">
        <v>1.0629999999999999</v>
      </c>
      <c r="X2898" s="7">
        <v>1.0629999999999999</v>
      </c>
      <c r="Y2898" s="6">
        <v>1.25</v>
      </c>
      <c r="Z2898" s="7">
        <v>1.125</v>
      </c>
      <c r="AA2898" s="6">
        <v>4.9400000000000004</v>
      </c>
      <c r="AB2898" s="2" t="s">
        <v>47</v>
      </c>
      <c r="AC2898" s="2"/>
    </row>
    <row r="2899" spans="1:29" ht="143" x14ac:dyDescent="0.15">
      <c r="A2899" s="3">
        <f t="shared" ref="A2899:A2904" si="27">DATE(1997,1,27)</f>
        <v>35457</v>
      </c>
      <c r="B2899" s="3">
        <f>DATE(1997,7,1)</f>
        <v>35612</v>
      </c>
      <c r="C2899" s="2" t="s">
        <v>95</v>
      </c>
      <c r="D2899" s="2" t="s">
        <v>9186</v>
      </c>
      <c r="E2899" s="2" t="s">
        <v>36</v>
      </c>
      <c r="F2899" s="4">
        <v>6021</v>
      </c>
      <c r="G2899" s="2" t="s">
        <v>37</v>
      </c>
      <c r="H2899" s="2" t="s">
        <v>34</v>
      </c>
      <c r="I2899" s="2" t="s">
        <v>9187</v>
      </c>
      <c r="J2899" s="2" t="s">
        <v>2337</v>
      </c>
      <c r="K2899" s="2" t="s">
        <v>37</v>
      </c>
      <c r="L2899" s="2" t="s">
        <v>34</v>
      </c>
      <c r="M2899" s="7">
        <v>463.06799999999998</v>
      </c>
      <c r="N2899" s="5">
        <v>30.5</v>
      </c>
      <c r="O2899" s="6">
        <v>31.25</v>
      </c>
      <c r="P2899" s="2" t="s">
        <v>9188</v>
      </c>
      <c r="Q2899" s="6">
        <v>100</v>
      </c>
      <c r="R2899" s="6">
        <v>46.53</v>
      </c>
      <c r="S2899" s="5">
        <v>4.5999999999999996</v>
      </c>
      <c r="T2899" s="2"/>
      <c r="U2899" s="5">
        <v>27.7</v>
      </c>
      <c r="V2899" s="7">
        <v>1.647</v>
      </c>
      <c r="W2899" s="5">
        <v>36.5</v>
      </c>
      <c r="X2899" s="4">
        <v>41</v>
      </c>
      <c r="Y2899" s="6">
        <v>42.25</v>
      </c>
      <c r="Z2899" s="5">
        <v>41.5</v>
      </c>
      <c r="AA2899" s="6">
        <v>2.8</v>
      </c>
      <c r="AB2899" s="7">
        <v>106.324</v>
      </c>
      <c r="AC2899" s="2"/>
    </row>
    <row r="2900" spans="1:29" ht="143" x14ac:dyDescent="0.15">
      <c r="A2900" s="3">
        <f t="shared" si="27"/>
        <v>35457</v>
      </c>
      <c r="B2900" s="3">
        <f>DATE(1997,7,24)</f>
        <v>35635</v>
      </c>
      <c r="C2900" s="2" t="s">
        <v>95</v>
      </c>
      <c r="D2900" s="2" t="s">
        <v>9189</v>
      </c>
      <c r="E2900" s="2" t="s">
        <v>9190</v>
      </c>
      <c r="F2900" s="4">
        <v>3841</v>
      </c>
      <c r="G2900" s="2" t="s">
        <v>226</v>
      </c>
      <c r="H2900" s="2" t="s">
        <v>34</v>
      </c>
      <c r="I2900" s="2" t="s">
        <v>9191</v>
      </c>
      <c r="J2900" s="2" t="s">
        <v>9192</v>
      </c>
      <c r="K2900" s="2" t="s">
        <v>226</v>
      </c>
      <c r="L2900" s="2" t="s">
        <v>34</v>
      </c>
      <c r="M2900" s="7">
        <v>198.90199999999999</v>
      </c>
      <c r="N2900" s="7">
        <v>12.125</v>
      </c>
      <c r="O2900" s="5">
        <v>12.5</v>
      </c>
      <c r="P2900" s="2" t="s">
        <v>9193</v>
      </c>
      <c r="Q2900" s="6">
        <v>100</v>
      </c>
      <c r="R2900" s="6">
        <v>7.54</v>
      </c>
      <c r="S2900" s="5">
        <v>-1.9</v>
      </c>
      <c r="T2900" s="7">
        <v>-2.2149999999999999</v>
      </c>
      <c r="U2900" s="5">
        <v>3.4</v>
      </c>
      <c r="V2900" s="7">
        <v>-0.26700000000000002</v>
      </c>
      <c r="W2900" s="5">
        <v>5.5</v>
      </c>
      <c r="X2900" s="7">
        <v>6.375</v>
      </c>
      <c r="Y2900" s="7">
        <v>7.4379999999999997</v>
      </c>
      <c r="Z2900" s="7">
        <v>7.375</v>
      </c>
      <c r="AA2900" s="6">
        <v>6.91</v>
      </c>
      <c r="AB2900" s="2" t="s">
        <v>86</v>
      </c>
      <c r="AC2900" s="6">
        <v>40.19</v>
      </c>
    </row>
    <row r="2901" spans="1:29" ht="208" x14ac:dyDescent="0.15">
      <c r="A2901" s="3">
        <f t="shared" si="27"/>
        <v>35457</v>
      </c>
      <c r="B2901" s="2"/>
      <c r="C2901" s="2" t="s">
        <v>30</v>
      </c>
      <c r="D2901" s="2" t="s">
        <v>5627</v>
      </c>
      <c r="E2901" s="2" t="s">
        <v>9194</v>
      </c>
      <c r="F2901" s="4">
        <v>7011</v>
      </c>
      <c r="G2901" s="2" t="s">
        <v>269</v>
      </c>
      <c r="H2901" s="2" t="s">
        <v>34</v>
      </c>
      <c r="I2901" s="2" t="s">
        <v>267</v>
      </c>
      <c r="J2901" s="2" t="s">
        <v>268</v>
      </c>
      <c r="K2901" s="2" t="s">
        <v>269</v>
      </c>
      <c r="L2901" s="2" t="s">
        <v>34</v>
      </c>
      <c r="M2901" s="12">
        <v>5106.0330000000004</v>
      </c>
      <c r="N2901" s="6">
        <v>25.25</v>
      </c>
      <c r="O2901" s="7">
        <v>27.875</v>
      </c>
      <c r="P2901" s="2" t="s">
        <v>9195</v>
      </c>
      <c r="Q2901" s="2"/>
      <c r="R2901" s="6">
        <v>80</v>
      </c>
      <c r="S2901" s="5">
        <v>249</v>
      </c>
      <c r="T2901" s="8">
        <v>1004</v>
      </c>
      <c r="U2901" s="5">
        <v>26.4</v>
      </c>
      <c r="V2901" s="6">
        <v>2.11</v>
      </c>
      <c r="W2901" s="4">
        <v>42</v>
      </c>
      <c r="X2901" s="6">
        <v>43.75</v>
      </c>
      <c r="Y2901" s="5">
        <v>58.5</v>
      </c>
      <c r="Z2901" s="7">
        <v>56.875</v>
      </c>
      <c r="AA2901" s="6">
        <v>116.64</v>
      </c>
      <c r="AB2901" s="7">
        <v>17.829999999999998</v>
      </c>
      <c r="AC2901" s="5">
        <v>438</v>
      </c>
    </row>
    <row r="2902" spans="1:29" ht="52" x14ac:dyDescent="0.15">
      <c r="A2902" s="3">
        <f t="shared" si="27"/>
        <v>35457</v>
      </c>
      <c r="B2902" s="3">
        <f>DATE(1997,1,27)</f>
        <v>35457</v>
      </c>
      <c r="C2902" s="2" t="s">
        <v>95</v>
      </c>
      <c r="D2902" s="2" t="s">
        <v>9196</v>
      </c>
      <c r="E2902" s="2" t="s">
        <v>9197</v>
      </c>
      <c r="F2902" s="4">
        <v>2024</v>
      </c>
      <c r="G2902" s="2" t="s">
        <v>577</v>
      </c>
      <c r="H2902" s="2" t="s">
        <v>34</v>
      </c>
      <c r="I2902" s="2" t="s">
        <v>664</v>
      </c>
      <c r="J2902" s="2" t="s">
        <v>665</v>
      </c>
      <c r="K2902" s="2" t="s">
        <v>577</v>
      </c>
      <c r="L2902" s="2" t="s">
        <v>34</v>
      </c>
      <c r="M2902" s="5">
        <v>122.5</v>
      </c>
      <c r="N2902" s="7">
        <v>12.125</v>
      </c>
      <c r="O2902" s="6">
        <v>12.25</v>
      </c>
      <c r="P2902" s="2" t="s">
        <v>9198</v>
      </c>
      <c r="Q2902" s="6">
        <v>100</v>
      </c>
      <c r="R2902" s="2"/>
      <c r="S2902" s="2"/>
      <c r="T2902" s="2"/>
      <c r="U2902" s="2"/>
      <c r="V2902" s="2"/>
      <c r="W2902" s="7">
        <v>2.5630000000000002</v>
      </c>
      <c r="X2902" s="7">
        <v>2.5630000000000002</v>
      </c>
      <c r="Y2902" s="7">
        <v>2.5630000000000002</v>
      </c>
      <c r="Z2902" s="7">
        <v>2.5630000000000002</v>
      </c>
      <c r="AA2902" s="6">
        <v>12.05</v>
      </c>
      <c r="AB2902" s="2" t="s">
        <v>47</v>
      </c>
      <c r="AC2902" s="6">
        <v>11.76</v>
      </c>
    </row>
    <row r="2903" spans="1:29" ht="117" x14ac:dyDescent="0.15">
      <c r="A2903" s="3">
        <f t="shared" si="27"/>
        <v>35457</v>
      </c>
      <c r="B2903" s="3">
        <f>DATE(1997,3,7)</f>
        <v>35496</v>
      </c>
      <c r="C2903" s="2" t="s">
        <v>95</v>
      </c>
      <c r="D2903" s="2" t="s">
        <v>6797</v>
      </c>
      <c r="E2903" s="2" t="s">
        <v>6798</v>
      </c>
      <c r="F2903" s="4">
        <v>3823</v>
      </c>
      <c r="G2903" s="2" t="s">
        <v>226</v>
      </c>
      <c r="H2903" s="2" t="s">
        <v>34</v>
      </c>
      <c r="I2903" s="2" t="s">
        <v>7519</v>
      </c>
      <c r="J2903" s="2" t="s">
        <v>7520</v>
      </c>
      <c r="K2903" s="2" t="s">
        <v>226</v>
      </c>
      <c r="L2903" s="2" t="s">
        <v>34</v>
      </c>
      <c r="M2903" s="12">
        <v>8681.0630000000001</v>
      </c>
      <c r="N2903" s="7">
        <v>69.375</v>
      </c>
      <c r="O2903" s="7">
        <v>69.625</v>
      </c>
      <c r="P2903" s="2" t="s">
        <v>9199</v>
      </c>
      <c r="Q2903" s="6">
        <v>100</v>
      </c>
      <c r="R2903" s="6">
        <v>35</v>
      </c>
      <c r="S2903" s="5">
        <v>26.9</v>
      </c>
      <c r="T2903" s="7">
        <v>52.261000000000003</v>
      </c>
      <c r="U2903" s="5">
        <v>10.6</v>
      </c>
      <c r="V2903" s="6">
        <v>1.6</v>
      </c>
      <c r="W2903" s="7">
        <v>24.125</v>
      </c>
      <c r="X2903" s="6">
        <v>24.25</v>
      </c>
      <c r="Y2903" s="5">
        <v>34.5</v>
      </c>
      <c r="Z2903" s="7">
        <v>34.625</v>
      </c>
      <c r="AA2903" s="6">
        <v>16.02</v>
      </c>
      <c r="AB2903" s="7">
        <v>14.772</v>
      </c>
      <c r="AC2903" s="5">
        <v>135.69999999999999</v>
      </c>
    </row>
    <row r="2904" spans="1:29" ht="130" x14ac:dyDescent="0.15">
      <c r="A2904" s="3">
        <f t="shared" si="27"/>
        <v>35457</v>
      </c>
      <c r="B2904" s="3">
        <f>DATE(1997,5,30)</f>
        <v>35580</v>
      </c>
      <c r="C2904" s="2" t="s">
        <v>95</v>
      </c>
      <c r="D2904" s="2" t="s">
        <v>4793</v>
      </c>
      <c r="E2904" s="2" t="s">
        <v>4794</v>
      </c>
      <c r="F2904" s="4">
        <v>2834</v>
      </c>
      <c r="G2904" s="2" t="s">
        <v>130</v>
      </c>
      <c r="H2904" s="2" t="s">
        <v>34</v>
      </c>
      <c r="I2904" s="2" t="s">
        <v>9200</v>
      </c>
      <c r="J2904" s="2" t="s">
        <v>9201</v>
      </c>
      <c r="K2904" s="2" t="s">
        <v>73</v>
      </c>
      <c r="L2904" s="2" t="s">
        <v>34</v>
      </c>
      <c r="M2904" s="12">
        <v>4387.2139999999999</v>
      </c>
      <c r="N2904" s="7">
        <v>42.875</v>
      </c>
      <c r="O2904" s="5">
        <v>42.5</v>
      </c>
      <c r="P2904" s="2" t="s">
        <v>9202</v>
      </c>
      <c r="Q2904" s="6">
        <v>100</v>
      </c>
      <c r="R2904" s="6">
        <v>42.22</v>
      </c>
      <c r="S2904" s="5">
        <v>76.2</v>
      </c>
      <c r="T2904" s="5">
        <v>325.89999999999998</v>
      </c>
      <c r="U2904" s="5">
        <v>12.7</v>
      </c>
      <c r="V2904" s="6">
        <v>1.1399999999999999</v>
      </c>
      <c r="W2904" s="7">
        <v>37.375</v>
      </c>
      <c r="X2904" s="6">
        <v>39.25</v>
      </c>
      <c r="Y2904" s="7">
        <v>38.875</v>
      </c>
      <c r="Z2904" s="7">
        <v>37.375</v>
      </c>
      <c r="AA2904" s="6">
        <v>68.77</v>
      </c>
      <c r="AB2904" s="7">
        <v>16.265000000000001</v>
      </c>
      <c r="AC2904" s="5">
        <v>603.29999999999995</v>
      </c>
    </row>
    <row r="2905" spans="1:29" ht="65" x14ac:dyDescent="0.15">
      <c r="A2905" s="3">
        <f>DATE(1997,1,28)</f>
        <v>35458</v>
      </c>
      <c r="B2905" s="3">
        <f>DATE(1997,3,14)</f>
        <v>35503</v>
      </c>
      <c r="C2905" s="2" t="s">
        <v>95</v>
      </c>
      <c r="D2905" s="2" t="s">
        <v>9203</v>
      </c>
      <c r="E2905" s="2" t="s">
        <v>367</v>
      </c>
      <c r="F2905" s="4">
        <v>6211</v>
      </c>
      <c r="G2905" s="2" t="s">
        <v>53</v>
      </c>
      <c r="H2905" s="2" t="s">
        <v>34</v>
      </c>
      <c r="I2905" s="2" t="s">
        <v>9204</v>
      </c>
      <c r="J2905" s="2" t="s">
        <v>3442</v>
      </c>
      <c r="K2905" s="2" t="s">
        <v>708</v>
      </c>
      <c r="L2905" s="2" t="s">
        <v>34</v>
      </c>
      <c r="M2905" s="7">
        <v>10.778</v>
      </c>
      <c r="N2905" s="7">
        <v>2.875</v>
      </c>
      <c r="O2905" s="6">
        <v>2.75</v>
      </c>
      <c r="P2905" s="2" t="s">
        <v>9205</v>
      </c>
      <c r="Q2905" s="6">
        <v>100</v>
      </c>
      <c r="R2905" s="2"/>
      <c r="S2905" s="2"/>
      <c r="T2905" s="2"/>
      <c r="U2905" s="2"/>
      <c r="V2905" s="2"/>
      <c r="W2905" s="7">
        <v>1.5629999999999999</v>
      </c>
      <c r="X2905" s="7">
        <v>1.5629999999999999</v>
      </c>
      <c r="Y2905" s="7">
        <v>1.5629999999999999</v>
      </c>
      <c r="Z2905" s="7">
        <v>1.5629999999999999</v>
      </c>
      <c r="AA2905" s="2"/>
      <c r="AB2905" s="2" t="s">
        <v>47</v>
      </c>
      <c r="AC2905" s="2"/>
    </row>
    <row r="2906" spans="1:29" ht="91" x14ac:dyDescent="0.15">
      <c r="A2906" s="3">
        <f>DATE(1997,1,28)</f>
        <v>35458</v>
      </c>
      <c r="B2906" s="3">
        <f>DATE(1997,5,21)</f>
        <v>35571</v>
      </c>
      <c r="C2906" s="2" t="s">
        <v>95</v>
      </c>
      <c r="D2906" s="2" t="s">
        <v>9206</v>
      </c>
      <c r="E2906" s="2" t="s">
        <v>8312</v>
      </c>
      <c r="F2906" s="2" t="s">
        <v>8313</v>
      </c>
      <c r="G2906" s="2" t="s">
        <v>426</v>
      </c>
      <c r="H2906" s="2" t="s">
        <v>34</v>
      </c>
      <c r="I2906" s="2" t="s">
        <v>8314</v>
      </c>
      <c r="J2906" s="2" t="s">
        <v>8315</v>
      </c>
      <c r="K2906" s="2" t="s">
        <v>98</v>
      </c>
      <c r="L2906" s="2" t="s">
        <v>34</v>
      </c>
      <c r="M2906" s="10">
        <v>22859.29</v>
      </c>
      <c r="N2906" s="7">
        <v>37.875</v>
      </c>
      <c r="O2906" s="6">
        <v>37.25</v>
      </c>
      <c r="P2906" s="2" t="s">
        <v>9207</v>
      </c>
      <c r="Q2906" s="6">
        <v>43.67</v>
      </c>
      <c r="R2906" s="6">
        <v>8</v>
      </c>
      <c r="S2906" s="5">
        <v>-97</v>
      </c>
      <c r="T2906" s="7">
        <v>-14.147</v>
      </c>
      <c r="U2906" s="5">
        <v>1.5</v>
      </c>
      <c r="V2906" s="9">
        <v>-2.5608</v>
      </c>
      <c r="W2906" s="4">
        <v>5</v>
      </c>
      <c r="X2906" s="7">
        <v>4.9379999999999997</v>
      </c>
      <c r="Y2906" s="5">
        <v>5.5</v>
      </c>
      <c r="Z2906" s="7">
        <v>7.4690000000000003</v>
      </c>
      <c r="AA2906" s="6">
        <v>66.25</v>
      </c>
      <c r="AB2906" s="2" t="s">
        <v>86</v>
      </c>
      <c r="AC2906" s="2"/>
    </row>
    <row r="2907" spans="1:29" ht="143" x14ac:dyDescent="0.15">
      <c r="A2907" s="3">
        <f>DATE(1997,1,28)</f>
        <v>35458</v>
      </c>
      <c r="B2907" s="3">
        <f>DATE(1997,6,2)</f>
        <v>35583</v>
      </c>
      <c r="C2907" s="2" t="s">
        <v>95</v>
      </c>
      <c r="D2907" s="2" t="s">
        <v>4395</v>
      </c>
      <c r="E2907" s="2" t="s">
        <v>389</v>
      </c>
      <c r="F2907" s="4">
        <v>6036</v>
      </c>
      <c r="G2907" s="2" t="s">
        <v>33</v>
      </c>
      <c r="H2907" s="2" t="s">
        <v>34</v>
      </c>
      <c r="I2907" s="2" t="s">
        <v>9208</v>
      </c>
      <c r="J2907" s="2" t="s">
        <v>9209</v>
      </c>
      <c r="K2907" s="2" t="s">
        <v>33</v>
      </c>
      <c r="L2907" s="2" t="s">
        <v>34</v>
      </c>
      <c r="M2907" s="7">
        <v>137.94499999999999</v>
      </c>
      <c r="N2907" s="6">
        <v>29.25</v>
      </c>
      <c r="O2907" s="4">
        <v>29</v>
      </c>
      <c r="P2907" s="2" t="s">
        <v>9210</v>
      </c>
      <c r="Q2907" s="6">
        <v>100</v>
      </c>
      <c r="R2907" s="6">
        <v>25.16</v>
      </c>
      <c r="S2907" s="5">
        <v>1.9</v>
      </c>
      <c r="T2907" s="7">
        <v>3.472</v>
      </c>
      <c r="U2907" s="5">
        <v>18</v>
      </c>
      <c r="V2907" s="6">
        <v>0.95</v>
      </c>
      <c r="W2907" s="5">
        <v>19.5</v>
      </c>
      <c r="X2907" s="4">
        <v>20</v>
      </c>
      <c r="Y2907" s="5">
        <v>23.5</v>
      </c>
      <c r="Z2907" s="7">
        <v>23.625</v>
      </c>
      <c r="AA2907" s="6">
        <v>1.91</v>
      </c>
      <c r="AB2907" s="7">
        <v>128.60400000000001</v>
      </c>
      <c r="AC2907" s="2"/>
    </row>
    <row r="2908" spans="1:29" ht="130" x14ac:dyDescent="0.15">
      <c r="A2908" s="3">
        <f>DATE(1997,1,30)</f>
        <v>35460</v>
      </c>
      <c r="B2908" s="3">
        <f>DATE(1997,8,12)</f>
        <v>35654</v>
      </c>
      <c r="C2908" s="2" t="s">
        <v>95</v>
      </c>
      <c r="D2908" s="2" t="s">
        <v>9211</v>
      </c>
      <c r="E2908" s="2" t="s">
        <v>9212</v>
      </c>
      <c r="F2908" s="4">
        <v>3571</v>
      </c>
      <c r="G2908" s="2" t="s">
        <v>50</v>
      </c>
      <c r="H2908" s="2" t="s">
        <v>34</v>
      </c>
      <c r="I2908" s="2" t="s">
        <v>1500</v>
      </c>
      <c r="J2908" s="2" t="s">
        <v>1501</v>
      </c>
      <c r="K2908" s="2" t="s">
        <v>921</v>
      </c>
      <c r="L2908" s="2" t="s">
        <v>1502</v>
      </c>
      <c r="M2908" s="2"/>
      <c r="N2908" s="2"/>
      <c r="O2908" s="2"/>
      <c r="P2908" s="2" t="s">
        <v>9213</v>
      </c>
      <c r="Q2908" s="6">
        <v>55.28</v>
      </c>
      <c r="R2908" s="6">
        <v>5.4</v>
      </c>
      <c r="S2908" s="5">
        <v>-417.7</v>
      </c>
      <c r="T2908" s="7">
        <v>-300.86599999999999</v>
      </c>
      <c r="U2908" s="5">
        <v>-0.3</v>
      </c>
      <c r="V2908" s="6">
        <v>-8.2200000000000006</v>
      </c>
      <c r="W2908" s="4">
        <v>5</v>
      </c>
      <c r="X2908" s="7">
        <v>4.625</v>
      </c>
      <c r="Y2908" s="6">
        <v>4.75</v>
      </c>
      <c r="Z2908" s="9">
        <v>5.0625</v>
      </c>
      <c r="AA2908" s="6">
        <v>57.73</v>
      </c>
      <c r="AB2908" s="2" t="s">
        <v>86</v>
      </c>
      <c r="AC2908" s="10">
        <v>1827.05</v>
      </c>
    </row>
    <row r="2909" spans="1:29" ht="91" x14ac:dyDescent="0.15">
      <c r="A2909" s="3">
        <f>DATE(1997,1,31)</f>
        <v>35461</v>
      </c>
      <c r="B2909" s="2"/>
      <c r="C2909" s="2" t="s">
        <v>30</v>
      </c>
      <c r="D2909" s="2" t="s">
        <v>9214</v>
      </c>
      <c r="E2909" s="2" t="s">
        <v>9215</v>
      </c>
      <c r="F2909" s="4">
        <v>5431</v>
      </c>
      <c r="G2909" s="2" t="s">
        <v>1461</v>
      </c>
      <c r="H2909" s="2" t="s">
        <v>34</v>
      </c>
      <c r="I2909" s="2" t="s">
        <v>9216</v>
      </c>
      <c r="J2909" s="2" t="s">
        <v>3439</v>
      </c>
      <c r="K2909" s="2" t="s">
        <v>1461</v>
      </c>
      <c r="L2909" s="2" t="s">
        <v>34</v>
      </c>
      <c r="M2909" s="2"/>
      <c r="N2909" s="2"/>
      <c r="O2909" s="2"/>
      <c r="P2909" s="2" t="s">
        <v>9217</v>
      </c>
      <c r="Q2909" s="2"/>
      <c r="R2909" s="2"/>
      <c r="S2909" s="5">
        <v>-1.7</v>
      </c>
      <c r="T2909" s="7">
        <v>4.6589999999999998</v>
      </c>
      <c r="U2909" s="5">
        <v>2.6</v>
      </c>
      <c r="V2909" s="6">
        <v>-0.28000000000000003</v>
      </c>
      <c r="W2909" s="4">
        <v>3</v>
      </c>
      <c r="X2909" s="7">
        <v>3.875</v>
      </c>
      <c r="Y2909" s="9">
        <v>6.3125</v>
      </c>
      <c r="Z2909" s="9">
        <v>6.9375</v>
      </c>
      <c r="AA2909" s="6">
        <v>6.17</v>
      </c>
      <c r="AB2909" s="2" t="s">
        <v>86</v>
      </c>
      <c r="AC2909" s="2"/>
    </row>
    <row r="2910" spans="1:29" ht="117" x14ac:dyDescent="0.15">
      <c r="A2910" s="3">
        <f>DATE(1997,2,3)</f>
        <v>35464</v>
      </c>
      <c r="B2910" s="3">
        <f>DATE(1997,3,10)</f>
        <v>35499</v>
      </c>
      <c r="C2910" s="2" t="s">
        <v>95</v>
      </c>
      <c r="D2910" s="2" t="s">
        <v>9218</v>
      </c>
      <c r="E2910" s="2" t="s">
        <v>6846</v>
      </c>
      <c r="F2910" s="4">
        <v>3714</v>
      </c>
      <c r="G2910" s="2" t="s">
        <v>105</v>
      </c>
      <c r="H2910" s="2" t="s">
        <v>34</v>
      </c>
      <c r="I2910" s="2" t="s">
        <v>9219</v>
      </c>
      <c r="J2910" s="2" t="s">
        <v>9220</v>
      </c>
      <c r="K2910" s="2" t="s">
        <v>300</v>
      </c>
      <c r="L2910" s="2" t="s">
        <v>34</v>
      </c>
      <c r="M2910" s="7">
        <v>244.262</v>
      </c>
      <c r="N2910" s="7">
        <v>26.125</v>
      </c>
      <c r="O2910" s="6">
        <v>26.25</v>
      </c>
      <c r="P2910" s="2" t="s">
        <v>9221</v>
      </c>
      <c r="Q2910" s="6">
        <v>100</v>
      </c>
      <c r="R2910" s="6">
        <v>43</v>
      </c>
      <c r="S2910" s="5">
        <v>17.399999999999999</v>
      </c>
      <c r="T2910" s="6">
        <v>38.270000000000003</v>
      </c>
      <c r="U2910" s="5">
        <v>13.5</v>
      </c>
      <c r="V2910" s="6">
        <v>2.78</v>
      </c>
      <c r="W2910" s="6">
        <v>36.75</v>
      </c>
      <c r="X2910" s="4">
        <v>37</v>
      </c>
      <c r="Y2910" s="7">
        <v>42.625</v>
      </c>
      <c r="Z2910" s="5">
        <v>42.5</v>
      </c>
      <c r="AA2910" s="6">
        <v>5.87</v>
      </c>
      <c r="AB2910" s="7">
        <v>11.319000000000001</v>
      </c>
      <c r="AC2910" s="6">
        <v>16.5</v>
      </c>
    </row>
    <row r="2911" spans="1:29" ht="65" x14ac:dyDescent="0.15">
      <c r="A2911" s="3">
        <f>DATE(1997,2,4)</f>
        <v>35465</v>
      </c>
      <c r="B2911" s="2"/>
      <c r="C2911" s="2" t="s">
        <v>30</v>
      </c>
      <c r="D2911" s="2" t="s">
        <v>9222</v>
      </c>
      <c r="E2911" s="2" t="s">
        <v>515</v>
      </c>
      <c r="F2911" s="4">
        <v>6331</v>
      </c>
      <c r="G2911" s="2" t="s">
        <v>125</v>
      </c>
      <c r="H2911" s="2" t="s">
        <v>34</v>
      </c>
      <c r="I2911" s="2" t="s">
        <v>9223</v>
      </c>
      <c r="J2911" s="2" t="s">
        <v>52</v>
      </c>
      <c r="K2911" s="2" t="s">
        <v>53</v>
      </c>
      <c r="L2911" s="2" t="s">
        <v>34</v>
      </c>
      <c r="M2911" s="2"/>
      <c r="N2911" s="2"/>
      <c r="O2911" s="2"/>
      <c r="P2911" s="2" t="s">
        <v>9224</v>
      </c>
      <c r="Q2911" s="2"/>
      <c r="R2911" s="6">
        <v>6.2</v>
      </c>
      <c r="S2911" s="5">
        <v>-0.8</v>
      </c>
      <c r="T2911" s="2"/>
      <c r="U2911" s="5">
        <v>4.5999999999999996</v>
      </c>
      <c r="V2911" s="6">
        <v>-0.17</v>
      </c>
      <c r="W2911" s="7">
        <v>5.1879999999999997</v>
      </c>
      <c r="X2911" s="7">
        <v>4.875</v>
      </c>
      <c r="Y2911" s="6">
        <v>5.25</v>
      </c>
      <c r="Z2911" s="4">
        <v>5</v>
      </c>
      <c r="AA2911" s="6">
        <v>4.68</v>
      </c>
      <c r="AB2911" s="2" t="s">
        <v>86</v>
      </c>
      <c r="AC2911" s="2"/>
    </row>
    <row r="2912" spans="1:29" ht="91" x14ac:dyDescent="0.15">
      <c r="A2912" s="3">
        <f>DATE(1997,2,4)</f>
        <v>35465</v>
      </c>
      <c r="B2912" s="2"/>
      <c r="C2912" s="2" t="s">
        <v>7330</v>
      </c>
      <c r="D2912" s="2" t="s">
        <v>3991</v>
      </c>
      <c r="E2912" s="2" t="s">
        <v>2712</v>
      </c>
      <c r="F2912" s="4">
        <v>6211</v>
      </c>
      <c r="G2912" s="2" t="s">
        <v>53</v>
      </c>
      <c r="H2912" s="2" t="s">
        <v>34</v>
      </c>
      <c r="I2912" s="2" t="s">
        <v>9225</v>
      </c>
      <c r="J2912" s="2" t="s">
        <v>9226</v>
      </c>
      <c r="K2912" s="2" t="s">
        <v>37</v>
      </c>
      <c r="L2912" s="2" t="s">
        <v>4389</v>
      </c>
      <c r="M2912" s="2"/>
      <c r="N2912" s="2"/>
      <c r="O2912" s="2"/>
      <c r="P2912" s="2" t="s">
        <v>9227</v>
      </c>
      <c r="Q2912" s="2"/>
      <c r="R2912" s="6">
        <v>0.3</v>
      </c>
      <c r="S2912" s="5">
        <v>-21.8</v>
      </c>
      <c r="T2912" s="7">
        <v>-20.318000000000001</v>
      </c>
      <c r="U2912" s="5">
        <v>-1.2</v>
      </c>
      <c r="V2912" s="6">
        <v>-3.28</v>
      </c>
      <c r="W2912" s="7">
        <v>1.125</v>
      </c>
      <c r="X2912" s="6">
        <v>1.25</v>
      </c>
      <c r="Y2912" s="6">
        <v>1.25</v>
      </c>
      <c r="Z2912" s="7">
        <v>0.46899999999999997</v>
      </c>
      <c r="AA2912" s="6">
        <v>6.65</v>
      </c>
      <c r="AB2912" s="2" t="s">
        <v>86</v>
      </c>
      <c r="AC2912" s="2"/>
    </row>
    <row r="2913" spans="1:29" ht="52" x14ac:dyDescent="0.15">
      <c r="A2913" s="3">
        <f>DATE(1997,2,5)</f>
        <v>35466</v>
      </c>
      <c r="B2913" s="3">
        <f>DATE(1997,7,31)</f>
        <v>35642</v>
      </c>
      <c r="C2913" s="2" t="s">
        <v>95</v>
      </c>
      <c r="D2913" s="2" t="s">
        <v>9228</v>
      </c>
      <c r="E2913" s="2" t="s">
        <v>9229</v>
      </c>
      <c r="F2913" s="4">
        <v>2819</v>
      </c>
      <c r="G2913" s="2" t="s">
        <v>98</v>
      </c>
      <c r="H2913" s="2" t="s">
        <v>34</v>
      </c>
      <c r="I2913" s="2" t="s">
        <v>9230</v>
      </c>
      <c r="J2913" s="2" t="s">
        <v>244</v>
      </c>
      <c r="K2913" s="2" t="s">
        <v>53</v>
      </c>
      <c r="L2913" s="2" t="s">
        <v>34</v>
      </c>
      <c r="M2913" s="2"/>
      <c r="N2913" s="2"/>
      <c r="O2913" s="2"/>
      <c r="P2913" s="2" t="s">
        <v>9231</v>
      </c>
      <c r="Q2913" s="6">
        <v>59.64</v>
      </c>
      <c r="R2913" s="2"/>
      <c r="S2913" s="5">
        <v>-5.2</v>
      </c>
      <c r="T2913" s="7">
        <v>-3.7290000000000001</v>
      </c>
      <c r="U2913" s="5">
        <v>0.7</v>
      </c>
      <c r="V2913" s="7">
        <v>-0.26100000000000001</v>
      </c>
      <c r="W2913" s="7">
        <v>4.125</v>
      </c>
      <c r="X2913" s="7">
        <v>4.125</v>
      </c>
      <c r="Y2913" s="7">
        <v>6.5629999999999997</v>
      </c>
      <c r="Z2913" s="7">
        <v>6.125</v>
      </c>
      <c r="AA2913" s="6">
        <v>20.3</v>
      </c>
      <c r="AB2913" s="2" t="s">
        <v>86</v>
      </c>
      <c r="AC2913" s="2"/>
    </row>
    <row r="2914" spans="1:29" ht="143" x14ac:dyDescent="0.15">
      <c r="A2914" s="3">
        <f>DATE(1997,2,5)</f>
        <v>35466</v>
      </c>
      <c r="B2914" s="3">
        <f>DATE(1997,5,31)</f>
        <v>35581</v>
      </c>
      <c r="C2914" s="2" t="s">
        <v>95</v>
      </c>
      <c r="D2914" s="2" t="s">
        <v>9232</v>
      </c>
      <c r="E2914" s="2" t="s">
        <v>2712</v>
      </c>
      <c r="F2914" s="4">
        <v>6211</v>
      </c>
      <c r="G2914" s="2" t="s">
        <v>53</v>
      </c>
      <c r="H2914" s="2" t="s">
        <v>34</v>
      </c>
      <c r="I2914" s="2" t="s">
        <v>9233</v>
      </c>
      <c r="J2914" s="2" t="s">
        <v>9234</v>
      </c>
      <c r="K2914" s="2" t="s">
        <v>53</v>
      </c>
      <c r="L2914" s="2" t="s">
        <v>34</v>
      </c>
      <c r="M2914" s="12">
        <v>10810.893</v>
      </c>
      <c r="N2914" s="7">
        <v>40.625</v>
      </c>
      <c r="O2914" s="7">
        <v>41.125</v>
      </c>
      <c r="P2914" s="2" t="s">
        <v>9235</v>
      </c>
      <c r="Q2914" s="6">
        <v>100</v>
      </c>
      <c r="R2914" s="6">
        <v>63.73</v>
      </c>
      <c r="S2914" s="8">
        <v>1029</v>
      </c>
      <c r="T2914" s="8">
        <v>1740</v>
      </c>
      <c r="U2914" s="5">
        <v>35.200000000000003</v>
      </c>
      <c r="V2914" s="6">
        <v>6.27</v>
      </c>
      <c r="W2914" s="5">
        <v>56.5</v>
      </c>
      <c r="X2914" s="7">
        <v>57.375</v>
      </c>
      <c r="Y2914" s="6">
        <v>65.25</v>
      </c>
      <c r="Z2914" s="5">
        <v>66.5</v>
      </c>
      <c r="AA2914" s="6">
        <v>152.43</v>
      </c>
      <c r="AB2914" s="7">
        <v>84.072999999999993</v>
      </c>
      <c r="AC2914" s="2"/>
    </row>
    <row r="2915" spans="1:29" ht="169" x14ac:dyDescent="0.15">
      <c r="A2915" s="3">
        <f>DATE(1997,2,6)</f>
        <v>35467</v>
      </c>
      <c r="B2915" s="3">
        <f>DATE(1997,8,29)</f>
        <v>35671</v>
      </c>
      <c r="C2915" s="2" t="s">
        <v>95</v>
      </c>
      <c r="D2915" s="2" t="s">
        <v>9236</v>
      </c>
      <c r="E2915" s="2" t="s">
        <v>36</v>
      </c>
      <c r="F2915" s="4">
        <v>6036</v>
      </c>
      <c r="G2915" s="2" t="s">
        <v>33</v>
      </c>
      <c r="H2915" s="2" t="s">
        <v>34</v>
      </c>
      <c r="I2915" s="2" t="s">
        <v>1745</v>
      </c>
      <c r="J2915" s="2" t="s">
        <v>1746</v>
      </c>
      <c r="K2915" s="2" t="s">
        <v>33</v>
      </c>
      <c r="L2915" s="2" t="s">
        <v>34</v>
      </c>
      <c r="M2915" s="7">
        <v>653.79100000000005</v>
      </c>
      <c r="N2915" s="6">
        <v>13.75</v>
      </c>
      <c r="O2915" s="7">
        <v>14.125</v>
      </c>
      <c r="P2915" s="2" t="s">
        <v>9237</v>
      </c>
      <c r="Q2915" s="6">
        <v>100</v>
      </c>
      <c r="R2915" s="6">
        <v>28.16</v>
      </c>
      <c r="S2915" s="5">
        <v>24.3</v>
      </c>
      <c r="T2915" s="7">
        <v>41.652999999999999</v>
      </c>
      <c r="U2915" s="5">
        <v>15.6</v>
      </c>
      <c r="V2915" s="6">
        <v>1.9</v>
      </c>
      <c r="W2915" s="7">
        <v>21.625</v>
      </c>
      <c r="X2915" s="6">
        <v>23.75</v>
      </c>
      <c r="Y2915" s="7">
        <v>24.375</v>
      </c>
      <c r="Z2915" s="6">
        <v>24.25</v>
      </c>
      <c r="AA2915" s="6">
        <v>12.38</v>
      </c>
      <c r="AB2915" s="7">
        <v>23.901</v>
      </c>
      <c r="AC2915" s="2"/>
    </row>
    <row r="2916" spans="1:29" ht="26" x14ac:dyDescent="0.15">
      <c r="A2916" s="3">
        <f>DATE(1997,2,7)</f>
        <v>35468</v>
      </c>
      <c r="B2916" s="2"/>
      <c r="C2916" s="2" t="s">
        <v>7330</v>
      </c>
      <c r="D2916" s="2" t="s">
        <v>9238</v>
      </c>
      <c r="E2916" s="2" t="s">
        <v>9239</v>
      </c>
      <c r="F2916" s="4">
        <v>7373</v>
      </c>
      <c r="G2916" s="2" t="s">
        <v>223</v>
      </c>
      <c r="H2916" s="2" t="s">
        <v>34</v>
      </c>
      <c r="I2916" s="2" t="s">
        <v>9240</v>
      </c>
      <c r="J2916" s="2" t="s">
        <v>9241</v>
      </c>
      <c r="K2916" s="2" t="s">
        <v>223</v>
      </c>
      <c r="L2916" s="2" t="s">
        <v>34</v>
      </c>
      <c r="M2916" s="2"/>
      <c r="N2916" s="2"/>
      <c r="O2916" s="2"/>
      <c r="P2916" s="2" t="s">
        <v>9242</v>
      </c>
      <c r="Q2916" s="2"/>
      <c r="R2916" s="2"/>
      <c r="S2916" s="5">
        <v>-2.4</v>
      </c>
      <c r="T2916" s="2"/>
      <c r="U2916" s="2"/>
      <c r="V2916" s="6">
        <v>-0.82</v>
      </c>
      <c r="W2916" s="7">
        <v>7.125</v>
      </c>
      <c r="X2916" s="4">
        <v>7</v>
      </c>
      <c r="Y2916" s="7">
        <v>7.125</v>
      </c>
      <c r="Z2916" s="7">
        <v>7.125</v>
      </c>
      <c r="AA2916" s="6">
        <v>2.65</v>
      </c>
      <c r="AB2916" s="2" t="s">
        <v>47</v>
      </c>
      <c r="AC2916" s="2"/>
    </row>
    <row r="2917" spans="1:29" ht="117" x14ac:dyDescent="0.15">
      <c r="A2917" s="3">
        <f>DATE(1997,2,10)</f>
        <v>35471</v>
      </c>
      <c r="B2917" s="3">
        <f>DATE(1997,3,31)</f>
        <v>35520</v>
      </c>
      <c r="C2917" s="2" t="s">
        <v>95</v>
      </c>
      <c r="D2917" s="2" t="s">
        <v>6724</v>
      </c>
      <c r="E2917" s="2" t="s">
        <v>4626</v>
      </c>
      <c r="F2917" s="4">
        <v>8051</v>
      </c>
      <c r="G2917" s="2" t="s">
        <v>454</v>
      </c>
      <c r="H2917" s="2" t="s">
        <v>34</v>
      </c>
      <c r="I2917" s="2" t="s">
        <v>5764</v>
      </c>
      <c r="J2917" s="2" t="s">
        <v>5765</v>
      </c>
      <c r="K2917" s="2" t="s">
        <v>454</v>
      </c>
      <c r="L2917" s="2" t="s">
        <v>34</v>
      </c>
      <c r="M2917" s="12">
        <v>2204.433</v>
      </c>
      <c r="N2917" s="5">
        <v>32.5</v>
      </c>
      <c r="O2917" s="7">
        <v>32.125</v>
      </c>
      <c r="P2917" s="2" t="s">
        <v>9243</v>
      </c>
      <c r="Q2917" s="6">
        <v>100</v>
      </c>
      <c r="R2917" s="6">
        <v>17.100000000000001</v>
      </c>
      <c r="S2917" s="5">
        <v>17.5</v>
      </c>
      <c r="T2917" s="7">
        <v>53.195999999999998</v>
      </c>
      <c r="U2917" s="5">
        <v>7.6</v>
      </c>
      <c r="V2917" s="7">
        <v>0.83699999999999997</v>
      </c>
      <c r="W2917" s="7">
        <v>12.625</v>
      </c>
      <c r="X2917" s="7">
        <v>13.125</v>
      </c>
      <c r="Y2917" s="7">
        <v>16.625</v>
      </c>
      <c r="Z2917" s="6">
        <v>16.75</v>
      </c>
      <c r="AA2917" s="6">
        <v>20.73</v>
      </c>
      <c r="AB2917" s="7">
        <v>12.866</v>
      </c>
      <c r="AC2917" s="6">
        <v>112.47</v>
      </c>
    </row>
    <row r="2918" spans="1:29" ht="104" x14ac:dyDescent="0.15">
      <c r="A2918" s="3">
        <f>DATE(1997,2,10)</f>
        <v>35471</v>
      </c>
      <c r="B2918" s="2"/>
      <c r="C2918" s="2" t="s">
        <v>30</v>
      </c>
      <c r="D2918" s="2" t="s">
        <v>9244</v>
      </c>
      <c r="E2918" s="2" t="s">
        <v>9245</v>
      </c>
      <c r="F2918" s="4">
        <v>7371</v>
      </c>
      <c r="G2918" s="2" t="s">
        <v>223</v>
      </c>
      <c r="H2918" s="2" t="s">
        <v>34</v>
      </c>
      <c r="I2918" s="2" t="s">
        <v>51</v>
      </c>
      <c r="J2918" s="2" t="s">
        <v>52</v>
      </c>
      <c r="K2918" s="2" t="s">
        <v>53</v>
      </c>
      <c r="L2918" s="2" t="s">
        <v>34</v>
      </c>
      <c r="M2918" s="2"/>
      <c r="N2918" s="2"/>
      <c r="O2918" s="2"/>
      <c r="P2918" s="2" t="s">
        <v>9246</v>
      </c>
      <c r="Q2918" s="2"/>
      <c r="R2918" s="6">
        <v>23</v>
      </c>
      <c r="S2918" s="5">
        <v>10.4</v>
      </c>
      <c r="T2918" s="7">
        <v>28.890999999999998</v>
      </c>
      <c r="U2918" s="5">
        <v>2.8</v>
      </c>
      <c r="V2918" s="6">
        <v>1.2</v>
      </c>
      <c r="W2918" s="7">
        <v>21.375</v>
      </c>
      <c r="X2918" s="5">
        <v>21.5</v>
      </c>
      <c r="Y2918" s="6">
        <v>22.25</v>
      </c>
      <c r="Z2918" s="7">
        <v>22.375</v>
      </c>
      <c r="AA2918" s="6">
        <v>8.83</v>
      </c>
      <c r="AB2918" s="7">
        <v>11.916</v>
      </c>
      <c r="AC2918" s="2"/>
    </row>
    <row r="2919" spans="1:29" ht="143" x14ac:dyDescent="0.15">
      <c r="A2919" s="3">
        <f t="shared" ref="A2919:A2925" si="28">DATE(1997,2,11)</f>
        <v>35472</v>
      </c>
      <c r="B2919" s="3">
        <f>DATE(1997,6,13)</f>
        <v>35594</v>
      </c>
      <c r="C2919" s="2" t="s">
        <v>95</v>
      </c>
      <c r="D2919" s="2" t="s">
        <v>9247</v>
      </c>
      <c r="E2919" s="2" t="s">
        <v>9248</v>
      </c>
      <c r="F2919" s="4">
        <v>7372</v>
      </c>
      <c r="G2919" s="2" t="s">
        <v>551</v>
      </c>
      <c r="H2919" s="2" t="s">
        <v>34</v>
      </c>
      <c r="I2919" s="2" t="s">
        <v>4939</v>
      </c>
      <c r="J2919" s="2" t="s">
        <v>4940</v>
      </c>
      <c r="K2919" s="2" t="s">
        <v>223</v>
      </c>
      <c r="L2919" s="2" t="s">
        <v>34</v>
      </c>
      <c r="M2919" s="10">
        <v>5918.79</v>
      </c>
      <c r="N2919" s="7">
        <v>58.813000000000002</v>
      </c>
      <c r="O2919" s="7">
        <v>61.625</v>
      </c>
      <c r="P2919" s="2" t="s">
        <v>9249</v>
      </c>
      <c r="Q2919" s="6">
        <v>100</v>
      </c>
      <c r="R2919" s="6">
        <v>22.01</v>
      </c>
      <c r="S2919" s="5">
        <v>4.7</v>
      </c>
      <c r="T2919" s="7">
        <v>6.3680000000000003</v>
      </c>
      <c r="U2919" s="5">
        <v>4.4000000000000004</v>
      </c>
      <c r="V2919" s="7">
        <v>0.56799999999999995</v>
      </c>
      <c r="W2919" s="6">
        <v>15.25</v>
      </c>
      <c r="X2919" s="7">
        <v>15.875</v>
      </c>
      <c r="Y2919" s="7">
        <v>19.875</v>
      </c>
      <c r="Z2919" s="4">
        <v>21</v>
      </c>
      <c r="AA2919" s="6">
        <v>7.75</v>
      </c>
      <c r="AB2919" s="7">
        <v>26.721</v>
      </c>
      <c r="AC2919" s="6">
        <v>183.61</v>
      </c>
    </row>
    <row r="2920" spans="1:29" ht="91" x14ac:dyDescent="0.15">
      <c r="A2920" s="3">
        <f t="shared" si="28"/>
        <v>35472</v>
      </c>
      <c r="B2920" s="3">
        <f>DATE(1997,8,14)</f>
        <v>35656</v>
      </c>
      <c r="C2920" s="2" t="s">
        <v>95</v>
      </c>
      <c r="D2920" s="2" t="s">
        <v>9250</v>
      </c>
      <c r="E2920" s="2" t="s">
        <v>9251</v>
      </c>
      <c r="F2920" s="4">
        <v>6552</v>
      </c>
      <c r="G2920" s="2" t="s">
        <v>109</v>
      </c>
      <c r="H2920" s="2" t="s">
        <v>34</v>
      </c>
      <c r="I2920" s="2" t="s">
        <v>9252</v>
      </c>
      <c r="J2920" s="2" t="s">
        <v>3941</v>
      </c>
      <c r="K2920" s="2" t="s">
        <v>53</v>
      </c>
      <c r="L2920" s="2" t="s">
        <v>34</v>
      </c>
      <c r="M2920" s="2"/>
      <c r="N2920" s="2"/>
      <c r="O2920" s="2"/>
      <c r="P2920" s="2" t="s">
        <v>9253</v>
      </c>
      <c r="Q2920" s="6">
        <v>51.49</v>
      </c>
      <c r="R2920" s="2"/>
      <c r="S2920" s="5">
        <v>-15.3</v>
      </c>
      <c r="T2920" s="7">
        <v>3.843</v>
      </c>
      <c r="U2920" s="5">
        <v>6</v>
      </c>
      <c r="V2920" s="7">
        <v>-1.575</v>
      </c>
      <c r="W2920" s="9">
        <v>4.6875</v>
      </c>
      <c r="X2920" s="9">
        <v>4.8125</v>
      </c>
      <c r="Y2920" s="6">
        <v>4.75</v>
      </c>
      <c r="Z2920" s="4">
        <v>5</v>
      </c>
      <c r="AA2920" s="6">
        <v>9.7100000000000009</v>
      </c>
      <c r="AB2920" s="2" t="s">
        <v>86</v>
      </c>
      <c r="AC2920" s="2"/>
    </row>
    <row r="2921" spans="1:29" ht="117" x14ac:dyDescent="0.15">
      <c r="A2921" s="3">
        <f t="shared" si="28"/>
        <v>35472</v>
      </c>
      <c r="B2921" s="3">
        <f>DATE(1997,5,29)</f>
        <v>35579</v>
      </c>
      <c r="C2921" s="2" t="s">
        <v>95</v>
      </c>
      <c r="D2921" s="2" t="s">
        <v>9254</v>
      </c>
      <c r="E2921" s="2" t="s">
        <v>9255</v>
      </c>
      <c r="F2921" s="4">
        <v>7372</v>
      </c>
      <c r="G2921" s="2" t="s">
        <v>551</v>
      </c>
      <c r="H2921" s="2" t="s">
        <v>34</v>
      </c>
      <c r="I2921" s="2" t="s">
        <v>9256</v>
      </c>
      <c r="J2921" s="2" t="s">
        <v>781</v>
      </c>
      <c r="K2921" s="2" t="s">
        <v>551</v>
      </c>
      <c r="L2921" s="2" t="s">
        <v>34</v>
      </c>
      <c r="M2921" s="6">
        <v>202.55</v>
      </c>
      <c r="N2921" s="4">
        <v>15</v>
      </c>
      <c r="O2921" s="7">
        <v>14.125</v>
      </c>
      <c r="P2921" s="2" t="s">
        <v>9257</v>
      </c>
      <c r="Q2921" s="6">
        <v>100</v>
      </c>
      <c r="R2921" s="6">
        <v>11.24</v>
      </c>
      <c r="S2921" s="5">
        <v>3.4</v>
      </c>
      <c r="T2921" s="7">
        <v>4.8620000000000001</v>
      </c>
      <c r="U2921" s="5">
        <v>2.9</v>
      </c>
      <c r="V2921" s="7">
        <v>0.379</v>
      </c>
      <c r="W2921" s="4">
        <v>8</v>
      </c>
      <c r="X2921" s="6">
        <v>7.75</v>
      </c>
      <c r="Y2921" s="7">
        <v>8.125</v>
      </c>
      <c r="Z2921" s="7">
        <v>10.375</v>
      </c>
      <c r="AA2921" s="6">
        <v>11.98</v>
      </c>
      <c r="AB2921" s="7">
        <v>30.834</v>
      </c>
      <c r="AC2921" s="2"/>
    </row>
    <row r="2922" spans="1:29" ht="104" x14ac:dyDescent="0.15">
      <c r="A2922" s="3">
        <f t="shared" si="28"/>
        <v>35472</v>
      </c>
      <c r="B2922" s="3">
        <f>DATE(1997,3,24)</f>
        <v>35513</v>
      </c>
      <c r="C2922" s="2" t="s">
        <v>95</v>
      </c>
      <c r="D2922" s="2" t="s">
        <v>9258</v>
      </c>
      <c r="E2922" s="2" t="s">
        <v>9259</v>
      </c>
      <c r="F2922" s="4">
        <v>3845</v>
      </c>
      <c r="G2922" s="2" t="s">
        <v>226</v>
      </c>
      <c r="H2922" s="2" t="s">
        <v>34</v>
      </c>
      <c r="I2922" s="2" t="s">
        <v>5669</v>
      </c>
      <c r="J2922" s="2" t="s">
        <v>5670</v>
      </c>
      <c r="K2922" s="2" t="s">
        <v>130</v>
      </c>
      <c r="L2922" s="2" t="s">
        <v>34</v>
      </c>
      <c r="M2922" s="12">
        <v>68250.599000000002</v>
      </c>
      <c r="N2922" s="4">
        <v>60</v>
      </c>
      <c r="O2922" s="7">
        <v>60.875</v>
      </c>
      <c r="P2922" s="2" t="s">
        <v>9260</v>
      </c>
      <c r="Q2922" s="6">
        <v>100</v>
      </c>
      <c r="R2922" s="6">
        <v>13.75</v>
      </c>
      <c r="S2922" s="5">
        <v>-11.2</v>
      </c>
      <c r="T2922" s="7">
        <v>-10.253</v>
      </c>
      <c r="U2922" s="5">
        <v>2.8</v>
      </c>
      <c r="V2922" s="7">
        <v>-1.702</v>
      </c>
      <c r="W2922" s="7">
        <v>8.375</v>
      </c>
      <c r="X2922" s="7">
        <v>8.875</v>
      </c>
      <c r="Y2922" s="7">
        <v>13.516</v>
      </c>
      <c r="Z2922" s="7">
        <v>13.563000000000001</v>
      </c>
      <c r="AA2922" s="6">
        <v>8.9499999999999993</v>
      </c>
      <c r="AB2922" s="2" t="s">
        <v>86</v>
      </c>
      <c r="AC2922" s="8">
        <v>2136</v>
      </c>
    </row>
    <row r="2923" spans="1:29" ht="117" x14ac:dyDescent="0.15">
      <c r="A2923" s="3">
        <f t="shared" si="28"/>
        <v>35472</v>
      </c>
      <c r="B2923" s="3">
        <f>DATE(1997,7,31)</f>
        <v>35642</v>
      </c>
      <c r="C2923" s="2" t="s">
        <v>95</v>
      </c>
      <c r="D2923" s="2" t="s">
        <v>9261</v>
      </c>
      <c r="E2923" s="2" t="s">
        <v>9262</v>
      </c>
      <c r="F2923" s="4">
        <v>1799</v>
      </c>
      <c r="G2923" s="2" t="s">
        <v>341</v>
      </c>
      <c r="H2923" s="2" t="s">
        <v>34</v>
      </c>
      <c r="I2923" s="2" t="s">
        <v>9263</v>
      </c>
      <c r="J2923" s="2" t="s">
        <v>3231</v>
      </c>
      <c r="K2923" s="2" t="s">
        <v>116</v>
      </c>
      <c r="L2923" s="2" t="s">
        <v>902</v>
      </c>
      <c r="M2923" s="2"/>
      <c r="N2923" s="2"/>
      <c r="O2923" s="2"/>
      <c r="P2923" s="2" t="s">
        <v>9264</v>
      </c>
      <c r="Q2923" s="6">
        <v>100</v>
      </c>
      <c r="R2923" s="6">
        <v>6.6</v>
      </c>
      <c r="S2923" s="5">
        <v>-10.5</v>
      </c>
      <c r="T2923" s="7">
        <v>7.8230000000000004</v>
      </c>
      <c r="U2923" s="5">
        <v>6.3</v>
      </c>
      <c r="V2923" s="7">
        <v>0.14099999999999999</v>
      </c>
      <c r="W2923" s="7">
        <v>4.125</v>
      </c>
      <c r="X2923" s="4">
        <v>5</v>
      </c>
      <c r="Y2923" s="6">
        <v>4.75</v>
      </c>
      <c r="Z2923" s="4">
        <v>5</v>
      </c>
      <c r="AA2923" s="6">
        <v>7.73</v>
      </c>
      <c r="AB2923" s="7">
        <v>33.146000000000001</v>
      </c>
      <c r="AC2923" s="2"/>
    </row>
    <row r="2924" spans="1:29" ht="91" x14ac:dyDescent="0.15">
      <c r="A2924" s="3">
        <f t="shared" si="28"/>
        <v>35472</v>
      </c>
      <c r="B2924" s="2"/>
      <c r="C2924" s="2" t="s">
        <v>30</v>
      </c>
      <c r="D2924" s="2" t="s">
        <v>9265</v>
      </c>
      <c r="E2924" s="2" t="s">
        <v>1637</v>
      </c>
      <c r="F2924" s="4">
        <v>3312</v>
      </c>
      <c r="G2924" s="2" t="s">
        <v>163</v>
      </c>
      <c r="H2924" s="2" t="s">
        <v>34</v>
      </c>
      <c r="I2924" s="2" t="s">
        <v>9266</v>
      </c>
      <c r="J2924" s="2" t="s">
        <v>8658</v>
      </c>
      <c r="K2924" s="2" t="s">
        <v>163</v>
      </c>
      <c r="L2924" s="2" t="s">
        <v>34</v>
      </c>
      <c r="M2924" s="2"/>
      <c r="N2924" s="2"/>
      <c r="O2924" s="2"/>
      <c r="P2924" s="2" t="s">
        <v>9267</v>
      </c>
      <c r="Q2924" s="2"/>
      <c r="R2924" s="6">
        <v>9</v>
      </c>
      <c r="S2924" s="5">
        <v>-2.9</v>
      </c>
      <c r="T2924" s="7">
        <v>12.423</v>
      </c>
      <c r="U2924" s="5">
        <v>8.1999999999999993</v>
      </c>
      <c r="V2924" s="6">
        <v>-0.49</v>
      </c>
      <c r="W2924" s="7">
        <v>6.5629999999999997</v>
      </c>
      <c r="X2924" s="6">
        <v>6.75</v>
      </c>
      <c r="Y2924" s="5">
        <v>6.5</v>
      </c>
      <c r="Z2924" s="7">
        <v>6.375</v>
      </c>
      <c r="AA2924" s="6">
        <v>5.99</v>
      </c>
      <c r="AB2924" s="7">
        <v>12.361000000000001</v>
      </c>
      <c r="AC2924" s="2"/>
    </row>
    <row r="2925" spans="1:29" ht="104" x14ac:dyDescent="0.15">
      <c r="A2925" s="3">
        <f t="shared" si="28"/>
        <v>35472</v>
      </c>
      <c r="B2925" s="2"/>
      <c r="C2925" s="2" t="s">
        <v>30</v>
      </c>
      <c r="D2925" s="2" t="s">
        <v>9268</v>
      </c>
      <c r="E2925" s="2" t="s">
        <v>9269</v>
      </c>
      <c r="F2925" s="4">
        <v>7352</v>
      </c>
      <c r="G2925" s="2" t="s">
        <v>223</v>
      </c>
      <c r="H2925" s="2" t="s">
        <v>34</v>
      </c>
      <c r="I2925" s="2" t="s">
        <v>5746</v>
      </c>
      <c r="J2925" s="2" t="s">
        <v>2466</v>
      </c>
      <c r="K2925" s="2" t="s">
        <v>454</v>
      </c>
      <c r="L2925" s="2" t="s">
        <v>34</v>
      </c>
      <c r="M2925" s="7">
        <v>118.575</v>
      </c>
      <c r="N2925" s="7">
        <v>7.125</v>
      </c>
      <c r="O2925" s="7">
        <v>7.625</v>
      </c>
      <c r="P2925" s="2" t="s">
        <v>9270</v>
      </c>
      <c r="Q2925" s="2"/>
      <c r="R2925" s="6">
        <v>17.5</v>
      </c>
      <c r="S2925" s="5">
        <v>2.1</v>
      </c>
      <c r="T2925" s="7">
        <v>18.731999999999999</v>
      </c>
      <c r="U2925" s="5">
        <v>5.5</v>
      </c>
      <c r="V2925" s="7">
        <v>0.379</v>
      </c>
      <c r="W2925" s="7">
        <v>7.625</v>
      </c>
      <c r="X2925" s="6">
        <v>7.75</v>
      </c>
      <c r="Y2925" s="4">
        <v>9</v>
      </c>
      <c r="Z2925" s="7">
        <v>9.125</v>
      </c>
      <c r="AA2925" s="6">
        <v>5.36</v>
      </c>
      <c r="AB2925" s="7">
        <v>23.606000000000002</v>
      </c>
      <c r="AC2925" s="6">
        <v>3.22</v>
      </c>
    </row>
    <row r="2926" spans="1:29" ht="52" x14ac:dyDescent="0.15">
      <c r="A2926" s="3">
        <f>DATE(1997,2,13)</f>
        <v>35474</v>
      </c>
      <c r="B2926" s="3">
        <f>DATE(1997,2,13)</f>
        <v>35474</v>
      </c>
      <c r="C2926" s="2" t="s">
        <v>95</v>
      </c>
      <c r="D2926" s="2" t="s">
        <v>9271</v>
      </c>
      <c r="E2926" s="2" t="s">
        <v>7648</v>
      </c>
      <c r="F2926" s="4">
        <v>3842</v>
      </c>
      <c r="G2926" s="2" t="s">
        <v>226</v>
      </c>
      <c r="H2926" s="2" t="s">
        <v>34</v>
      </c>
      <c r="I2926" s="2" t="s">
        <v>7238</v>
      </c>
      <c r="J2926" s="2" t="s">
        <v>3632</v>
      </c>
      <c r="K2926" s="2" t="s">
        <v>454</v>
      </c>
      <c r="L2926" s="2" t="s">
        <v>34</v>
      </c>
      <c r="M2926" s="7">
        <v>121.27500000000001</v>
      </c>
      <c r="N2926" s="6">
        <v>9.25</v>
      </c>
      <c r="O2926" s="4">
        <v>9</v>
      </c>
      <c r="P2926" s="2" t="s">
        <v>9272</v>
      </c>
      <c r="Q2926" s="6">
        <v>24.49</v>
      </c>
      <c r="R2926" s="6">
        <v>5</v>
      </c>
      <c r="S2926" s="5">
        <v>1.2</v>
      </c>
      <c r="T2926" s="7">
        <v>2.8420000000000001</v>
      </c>
      <c r="U2926" s="5">
        <v>1.1000000000000001</v>
      </c>
      <c r="V2926" s="6">
        <v>0.19</v>
      </c>
      <c r="W2926" s="7">
        <v>6.125</v>
      </c>
      <c r="X2926" s="7">
        <v>5.8129999999999997</v>
      </c>
      <c r="Y2926" s="6">
        <v>6.25</v>
      </c>
      <c r="Z2926" s="4">
        <v>7</v>
      </c>
      <c r="AA2926" s="6">
        <v>7.96</v>
      </c>
      <c r="AB2926" s="2" t="s">
        <v>47</v>
      </c>
      <c r="AC2926" s="6">
        <v>0.05</v>
      </c>
    </row>
    <row r="2927" spans="1:29" ht="143" x14ac:dyDescent="0.15">
      <c r="A2927" s="3">
        <f>DATE(1997,2,13)</f>
        <v>35474</v>
      </c>
      <c r="B2927" s="3">
        <f>DATE(1997,2,28)</f>
        <v>35489</v>
      </c>
      <c r="C2927" s="2" t="s">
        <v>95</v>
      </c>
      <c r="D2927" s="2" t="s">
        <v>694</v>
      </c>
      <c r="E2927" s="2" t="s">
        <v>695</v>
      </c>
      <c r="F2927" s="4">
        <v>3585</v>
      </c>
      <c r="G2927" s="2" t="s">
        <v>300</v>
      </c>
      <c r="H2927" s="2" t="s">
        <v>34</v>
      </c>
      <c r="I2927" s="2" t="s">
        <v>9273</v>
      </c>
      <c r="J2927" s="2" t="s">
        <v>9274</v>
      </c>
      <c r="K2927" s="2" t="s">
        <v>577</v>
      </c>
      <c r="L2927" s="2" t="s">
        <v>34</v>
      </c>
      <c r="M2927" s="7">
        <v>235.173</v>
      </c>
      <c r="N2927" s="7">
        <v>12.375</v>
      </c>
      <c r="O2927" s="4">
        <v>13</v>
      </c>
      <c r="P2927" s="2" t="s">
        <v>9275</v>
      </c>
      <c r="Q2927" s="6">
        <v>100</v>
      </c>
      <c r="R2927" s="6">
        <v>7.03</v>
      </c>
      <c r="S2927" s="5">
        <v>2.5</v>
      </c>
      <c r="T2927" s="7">
        <v>1.1279999999999999</v>
      </c>
      <c r="U2927" s="5">
        <v>4.2</v>
      </c>
      <c r="V2927" s="7">
        <v>1.2490000000000001</v>
      </c>
      <c r="W2927" s="7">
        <v>8.625</v>
      </c>
      <c r="X2927" s="7">
        <v>8.5630000000000006</v>
      </c>
      <c r="Y2927" s="7">
        <v>8.375</v>
      </c>
      <c r="Z2927" s="7">
        <v>8.875</v>
      </c>
      <c r="AA2927" s="6">
        <v>9.91</v>
      </c>
      <c r="AB2927" s="7">
        <v>332.02699999999999</v>
      </c>
      <c r="AC2927" s="6">
        <v>2.59</v>
      </c>
    </row>
    <row r="2928" spans="1:29" ht="156" x14ac:dyDescent="0.15">
      <c r="A2928" s="3">
        <f>DATE(1997,2,13)</f>
        <v>35474</v>
      </c>
      <c r="B2928" s="3">
        <f>DATE(1997,8,29)</f>
        <v>35671</v>
      </c>
      <c r="C2928" s="2" t="s">
        <v>95</v>
      </c>
      <c r="D2928" s="2" t="s">
        <v>7610</v>
      </c>
      <c r="E2928" s="2" t="s">
        <v>36</v>
      </c>
      <c r="F2928" s="4">
        <v>6036</v>
      </c>
      <c r="G2928" s="2" t="s">
        <v>33</v>
      </c>
      <c r="H2928" s="2" t="s">
        <v>34</v>
      </c>
      <c r="I2928" s="2" t="s">
        <v>5142</v>
      </c>
      <c r="J2928" s="2" t="s">
        <v>159</v>
      </c>
      <c r="K2928" s="2" t="s">
        <v>33</v>
      </c>
      <c r="L2928" s="2" t="s">
        <v>34</v>
      </c>
      <c r="M2928" s="7">
        <v>195.09899999999999</v>
      </c>
      <c r="N2928" s="6">
        <v>18.25</v>
      </c>
      <c r="O2928" s="6">
        <v>17.75</v>
      </c>
      <c r="P2928" s="2" t="s">
        <v>9276</v>
      </c>
      <c r="Q2928" s="6">
        <v>100</v>
      </c>
      <c r="R2928" s="6">
        <v>17.809999999999999</v>
      </c>
      <c r="S2928" s="5">
        <v>6</v>
      </c>
      <c r="T2928" s="7">
        <v>8.9369999999999994</v>
      </c>
      <c r="U2928" s="5">
        <v>11.6</v>
      </c>
      <c r="V2928" s="6">
        <v>1</v>
      </c>
      <c r="W2928" s="7">
        <v>12.875</v>
      </c>
      <c r="X2928" s="7">
        <v>13.375</v>
      </c>
      <c r="Y2928" s="7">
        <v>14.625</v>
      </c>
      <c r="Z2928" s="7">
        <v>14.875</v>
      </c>
      <c r="AA2928" s="6">
        <v>5.74</v>
      </c>
      <c r="AB2928" s="7">
        <v>34.951999999999998</v>
      </c>
      <c r="AC2928" s="2"/>
    </row>
    <row r="2929" spans="1:29" ht="65" x14ac:dyDescent="0.15">
      <c r="A2929" s="3">
        <f>DATE(1997,2,13)</f>
        <v>35474</v>
      </c>
      <c r="B2929" s="3">
        <f>DATE(1997,5,20)</f>
        <v>35570</v>
      </c>
      <c r="C2929" s="2" t="s">
        <v>95</v>
      </c>
      <c r="D2929" s="2" t="s">
        <v>9277</v>
      </c>
      <c r="E2929" s="2" t="s">
        <v>9278</v>
      </c>
      <c r="F2929" s="4">
        <v>3699</v>
      </c>
      <c r="G2929" s="2" t="s">
        <v>137</v>
      </c>
      <c r="H2929" s="2" t="s">
        <v>34</v>
      </c>
      <c r="I2929" s="2" t="s">
        <v>9279</v>
      </c>
      <c r="J2929" s="2" t="s">
        <v>9280</v>
      </c>
      <c r="K2929" s="2" t="s">
        <v>76</v>
      </c>
      <c r="L2929" s="2" t="s">
        <v>34</v>
      </c>
      <c r="M2929" s="2"/>
      <c r="N2929" s="2"/>
      <c r="O2929" s="2"/>
      <c r="P2929" s="2" t="s">
        <v>9281</v>
      </c>
      <c r="Q2929" s="6">
        <v>56.56</v>
      </c>
      <c r="R2929" s="6">
        <v>24</v>
      </c>
      <c r="S2929" s="5">
        <v>6.8</v>
      </c>
      <c r="T2929" s="7">
        <v>10.351000000000001</v>
      </c>
      <c r="U2929" s="5">
        <v>6.8</v>
      </c>
      <c r="V2929" s="7">
        <v>2.0630000000000002</v>
      </c>
      <c r="W2929" s="6">
        <v>19.75</v>
      </c>
      <c r="X2929" s="4">
        <v>20</v>
      </c>
      <c r="Y2929" s="7">
        <v>19.125</v>
      </c>
      <c r="Z2929" s="7">
        <v>23.265999999999998</v>
      </c>
      <c r="AA2929" s="6">
        <v>2.86</v>
      </c>
      <c r="AB2929" s="7">
        <v>11.667</v>
      </c>
      <c r="AC2929" s="2"/>
    </row>
    <row r="2930" spans="1:29" ht="117" x14ac:dyDescent="0.15">
      <c r="A2930" s="3">
        <f>DATE(1997,2,13)</f>
        <v>35474</v>
      </c>
      <c r="B2930" s="3">
        <f>DATE(1997,6,17)</f>
        <v>35598</v>
      </c>
      <c r="C2930" s="2" t="s">
        <v>95</v>
      </c>
      <c r="D2930" s="2" t="s">
        <v>9282</v>
      </c>
      <c r="E2930" s="2" t="s">
        <v>746</v>
      </c>
      <c r="F2930" s="4">
        <v>6311</v>
      </c>
      <c r="G2930" s="2" t="s">
        <v>125</v>
      </c>
      <c r="H2930" s="2" t="s">
        <v>34</v>
      </c>
      <c r="I2930" s="2" t="s">
        <v>514</v>
      </c>
      <c r="J2930" s="2" t="s">
        <v>515</v>
      </c>
      <c r="K2930" s="2" t="s">
        <v>125</v>
      </c>
      <c r="L2930" s="2" t="s">
        <v>34</v>
      </c>
      <c r="M2930" s="12">
        <v>8261.7170000000006</v>
      </c>
      <c r="N2930" s="7">
        <v>41.875</v>
      </c>
      <c r="O2930" s="7">
        <v>42.875</v>
      </c>
      <c r="P2930" s="2" t="s">
        <v>9283</v>
      </c>
      <c r="Q2930" s="6">
        <v>100</v>
      </c>
      <c r="R2930" s="6">
        <v>50.5</v>
      </c>
      <c r="S2930" s="5">
        <v>76</v>
      </c>
      <c r="T2930" s="2"/>
      <c r="U2930" s="5">
        <v>33.6</v>
      </c>
      <c r="V2930" s="6">
        <v>2.1800000000000002</v>
      </c>
      <c r="W2930" s="7">
        <v>41.125</v>
      </c>
      <c r="X2930" s="6">
        <v>41.75</v>
      </c>
      <c r="Y2930" s="4">
        <v>47</v>
      </c>
      <c r="Z2930" s="7">
        <v>47.375</v>
      </c>
      <c r="AA2930" s="6">
        <v>34.369999999999997</v>
      </c>
      <c r="AB2930" s="7">
        <v>14.601000000000001</v>
      </c>
      <c r="AC2930" s="5">
        <v>149</v>
      </c>
    </row>
    <row r="2931" spans="1:29" ht="117" x14ac:dyDescent="0.15">
      <c r="A2931" s="3">
        <f>DATE(1997,2,14)</f>
        <v>35475</v>
      </c>
      <c r="B2931" s="2"/>
      <c r="C2931" s="2" t="s">
        <v>30</v>
      </c>
      <c r="D2931" s="2" t="s">
        <v>9284</v>
      </c>
      <c r="E2931" s="2" t="s">
        <v>9285</v>
      </c>
      <c r="F2931" s="4">
        <v>3089</v>
      </c>
      <c r="G2931" s="2" t="s">
        <v>447</v>
      </c>
      <c r="H2931" s="2" t="s">
        <v>34</v>
      </c>
      <c r="I2931" s="2" t="s">
        <v>9286</v>
      </c>
      <c r="J2931" s="2" t="s">
        <v>9287</v>
      </c>
      <c r="K2931" s="2" t="s">
        <v>300</v>
      </c>
      <c r="L2931" s="2" t="s">
        <v>34</v>
      </c>
      <c r="M2931" s="7">
        <v>23.678999999999998</v>
      </c>
      <c r="N2931" s="7">
        <v>5.875</v>
      </c>
      <c r="O2931" s="7">
        <v>5.875</v>
      </c>
      <c r="P2931" s="2" t="s">
        <v>9288</v>
      </c>
      <c r="Q2931" s="2"/>
      <c r="R2931" s="6">
        <v>7.75</v>
      </c>
      <c r="S2931" s="5">
        <v>1.8</v>
      </c>
      <c r="T2931" s="7">
        <v>4.2480000000000002</v>
      </c>
      <c r="U2931" s="5">
        <v>3.1</v>
      </c>
      <c r="V2931" s="6">
        <v>0.57999999999999996</v>
      </c>
      <c r="W2931" s="7">
        <v>6.625</v>
      </c>
      <c r="X2931" s="6">
        <v>7.25</v>
      </c>
      <c r="Y2931" s="7">
        <v>7.375</v>
      </c>
      <c r="Z2931" s="4">
        <v>7</v>
      </c>
      <c r="AA2931" s="6">
        <v>2.97</v>
      </c>
      <c r="AB2931" s="7">
        <v>7.94</v>
      </c>
      <c r="AC2931" s="6">
        <v>0.56999999999999995</v>
      </c>
    </row>
    <row r="2932" spans="1:29" ht="130" x14ac:dyDescent="0.15">
      <c r="A2932" s="3">
        <f>DATE(1997,2,14)</f>
        <v>35475</v>
      </c>
      <c r="B2932" s="3">
        <f>DATE(1997,6,2)</f>
        <v>35583</v>
      </c>
      <c r="C2932" s="2" t="s">
        <v>95</v>
      </c>
      <c r="D2932" s="2" t="s">
        <v>7441</v>
      </c>
      <c r="E2932" s="2" t="s">
        <v>2898</v>
      </c>
      <c r="F2932" s="4">
        <v>6021</v>
      </c>
      <c r="G2932" s="2" t="s">
        <v>37</v>
      </c>
      <c r="H2932" s="2" t="s">
        <v>34</v>
      </c>
      <c r="I2932" s="2" t="s">
        <v>6678</v>
      </c>
      <c r="J2932" s="2" t="s">
        <v>159</v>
      </c>
      <c r="K2932" s="2" t="s">
        <v>37</v>
      </c>
      <c r="L2932" s="2" t="s">
        <v>34</v>
      </c>
      <c r="M2932" s="10">
        <v>3371.57</v>
      </c>
      <c r="N2932" s="6">
        <v>57.75</v>
      </c>
      <c r="O2932" s="6">
        <v>57.75</v>
      </c>
      <c r="P2932" s="2" t="s">
        <v>9289</v>
      </c>
      <c r="Q2932" s="6">
        <v>100</v>
      </c>
      <c r="R2932" s="6">
        <v>20.7</v>
      </c>
      <c r="S2932" s="5">
        <v>3.6</v>
      </c>
      <c r="T2932" s="2"/>
      <c r="U2932" s="5">
        <v>8.3000000000000007</v>
      </c>
      <c r="V2932" s="6">
        <v>1.69</v>
      </c>
      <c r="W2932" s="7">
        <v>20.312999999999999</v>
      </c>
      <c r="X2932" s="4">
        <v>21</v>
      </c>
      <c r="Y2932" s="4">
        <v>21</v>
      </c>
      <c r="Z2932" s="4">
        <v>21</v>
      </c>
      <c r="AA2932" s="6">
        <v>3</v>
      </c>
      <c r="AB2932" s="2" t="s">
        <v>47</v>
      </c>
      <c r="AC2932" s="2"/>
    </row>
    <row r="2933" spans="1:29" ht="117" x14ac:dyDescent="0.15">
      <c r="A2933" s="3">
        <f>DATE(1997,2,14)</f>
        <v>35475</v>
      </c>
      <c r="B2933" s="3">
        <f>DATE(1997,9,17)</f>
        <v>35690</v>
      </c>
      <c r="C2933" s="2" t="s">
        <v>95</v>
      </c>
      <c r="D2933" s="2" t="s">
        <v>9290</v>
      </c>
      <c r="E2933" s="2" t="s">
        <v>9291</v>
      </c>
      <c r="F2933" s="4">
        <v>3728</v>
      </c>
      <c r="G2933" s="2" t="s">
        <v>219</v>
      </c>
      <c r="H2933" s="2" t="s">
        <v>34</v>
      </c>
      <c r="I2933" s="2" t="s">
        <v>9292</v>
      </c>
      <c r="J2933" s="2" t="s">
        <v>9293</v>
      </c>
      <c r="K2933" s="2" t="s">
        <v>219</v>
      </c>
      <c r="L2933" s="2" t="s">
        <v>34</v>
      </c>
      <c r="M2933" s="7">
        <v>511.44299999999998</v>
      </c>
      <c r="N2933" s="6">
        <v>22.75</v>
      </c>
      <c r="O2933" s="4">
        <v>25</v>
      </c>
      <c r="P2933" s="2" t="s">
        <v>9294</v>
      </c>
      <c r="Q2933" s="6">
        <v>100</v>
      </c>
      <c r="R2933" s="6">
        <v>15</v>
      </c>
      <c r="S2933" s="5">
        <v>7.6</v>
      </c>
      <c r="T2933" s="7">
        <v>57.435000000000002</v>
      </c>
      <c r="U2933" s="5">
        <v>6.1</v>
      </c>
      <c r="V2933" s="6">
        <v>0.35</v>
      </c>
      <c r="W2933" s="7">
        <v>10.625</v>
      </c>
      <c r="X2933" s="7">
        <v>10.875</v>
      </c>
      <c r="Y2933" s="7">
        <v>13.375</v>
      </c>
      <c r="Z2933" s="7">
        <v>13.375</v>
      </c>
      <c r="AA2933" s="6">
        <v>22.9</v>
      </c>
      <c r="AB2933" s="7">
        <v>19.433</v>
      </c>
      <c r="AC2933" s="2"/>
    </row>
    <row r="2934" spans="1:29" ht="130" x14ac:dyDescent="0.15">
      <c r="A2934" s="3">
        <f>DATE(1997,2,14)</f>
        <v>35475</v>
      </c>
      <c r="B2934" s="3">
        <f>DATE(1997,6,25)</f>
        <v>35606</v>
      </c>
      <c r="C2934" s="2" t="s">
        <v>95</v>
      </c>
      <c r="D2934" s="2" t="s">
        <v>9295</v>
      </c>
      <c r="E2934" s="2" t="s">
        <v>9296</v>
      </c>
      <c r="F2934" s="4">
        <v>7377</v>
      </c>
      <c r="G2934" s="2" t="s">
        <v>223</v>
      </c>
      <c r="H2934" s="2" t="s">
        <v>34</v>
      </c>
      <c r="I2934" s="2" t="s">
        <v>3346</v>
      </c>
      <c r="J2934" s="2" t="s">
        <v>36</v>
      </c>
      <c r="K2934" s="2" t="s">
        <v>37</v>
      </c>
      <c r="L2934" s="2" t="s">
        <v>34</v>
      </c>
      <c r="M2934" s="12">
        <v>1460.3589999999999</v>
      </c>
      <c r="N2934" s="5">
        <v>46.5</v>
      </c>
      <c r="O2934" s="5">
        <v>46.5</v>
      </c>
      <c r="P2934" s="2" t="s">
        <v>9297</v>
      </c>
      <c r="Q2934" s="6">
        <v>100</v>
      </c>
      <c r="R2934" s="6">
        <v>36.6</v>
      </c>
      <c r="S2934" s="5">
        <v>13.1</v>
      </c>
      <c r="T2934" s="7">
        <v>37.606000000000002</v>
      </c>
      <c r="U2934" s="5">
        <v>9</v>
      </c>
      <c r="V2934" s="7">
        <v>1.6120000000000001</v>
      </c>
      <c r="W2934" s="5">
        <v>30.5</v>
      </c>
      <c r="X2934" s="4">
        <v>34</v>
      </c>
      <c r="Y2934" s="7">
        <v>34.375</v>
      </c>
      <c r="Z2934" s="7">
        <v>34.375</v>
      </c>
      <c r="AA2934" s="6">
        <v>8.89</v>
      </c>
      <c r="AB2934" s="7">
        <v>9.4870000000000001</v>
      </c>
      <c r="AC2934" s="2"/>
    </row>
    <row r="2935" spans="1:29" ht="91" x14ac:dyDescent="0.15">
      <c r="A2935" s="3">
        <f>DATE(1997,2,17)</f>
        <v>35478</v>
      </c>
      <c r="B2935" s="2"/>
      <c r="C2935" s="2" t="s">
        <v>30</v>
      </c>
      <c r="D2935" s="2" t="s">
        <v>9298</v>
      </c>
      <c r="E2935" s="2" t="s">
        <v>9299</v>
      </c>
      <c r="F2935" s="4">
        <v>6799</v>
      </c>
      <c r="G2935" s="2" t="s">
        <v>53</v>
      </c>
      <c r="H2935" s="2" t="s">
        <v>34</v>
      </c>
      <c r="I2935" s="2" t="s">
        <v>149</v>
      </c>
      <c r="J2935" s="2" t="s">
        <v>150</v>
      </c>
      <c r="K2935" s="2" t="s">
        <v>53</v>
      </c>
      <c r="L2935" s="2" t="s">
        <v>151</v>
      </c>
      <c r="M2935" s="2"/>
      <c r="N2935" s="2"/>
      <c r="O2935" s="2"/>
      <c r="P2935" s="2" t="s">
        <v>9300</v>
      </c>
      <c r="Q2935" s="2"/>
      <c r="R2935" s="6">
        <v>5.5</v>
      </c>
      <c r="S2935" s="5">
        <v>-2.5</v>
      </c>
      <c r="T2935" s="7">
        <v>12.186999999999999</v>
      </c>
      <c r="U2935" s="5">
        <v>6.4</v>
      </c>
      <c r="V2935" s="6">
        <v>-0.1</v>
      </c>
      <c r="W2935" s="7">
        <v>4.375</v>
      </c>
      <c r="X2935" s="5">
        <v>4.5</v>
      </c>
      <c r="Y2935" s="7">
        <v>4.875</v>
      </c>
      <c r="Z2935" s="7">
        <v>4.875</v>
      </c>
      <c r="AA2935" s="6">
        <v>29.55</v>
      </c>
      <c r="AB2935" s="7">
        <v>20.036999999999999</v>
      </c>
      <c r="AC2935" s="2"/>
    </row>
    <row r="2936" spans="1:29" ht="143" x14ac:dyDescent="0.15">
      <c r="A2936" s="3">
        <f t="shared" ref="A2936:A2941" si="29">DATE(1997,2,18)</f>
        <v>35479</v>
      </c>
      <c r="B2936" s="3">
        <f>DATE(1997,7,31)</f>
        <v>35642</v>
      </c>
      <c r="C2936" s="2" t="s">
        <v>95</v>
      </c>
      <c r="D2936" s="2" t="s">
        <v>9301</v>
      </c>
      <c r="E2936" s="2" t="s">
        <v>32</v>
      </c>
      <c r="F2936" s="4">
        <v>6035</v>
      </c>
      <c r="G2936" s="2" t="s">
        <v>33</v>
      </c>
      <c r="H2936" s="2" t="s">
        <v>34</v>
      </c>
      <c r="I2936" s="2" t="s">
        <v>640</v>
      </c>
      <c r="J2936" s="2" t="s">
        <v>36</v>
      </c>
      <c r="K2936" s="2" t="s">
        <v>37</v>
      </c>
      <c r="L2936" s="2" t="s">
        <v>34</v>
      </c>
      <c r="M2936" s="2"/>
      <c r="N2936" s="4">
        <v>66</v>
      </c>
      <c r="O2936" s="7">
        <v>66.625</v>
      </c>
      <c r="P2936" s="2" t="s">
        <v>9302</v>
      </c>
      <c r="Q2936" s="6">
        <v>100</v>
      </c>
      <c r="R2936" s="6">
        <v>30.26</v>
      </c>
      <c r="S2936" s="5">
        <v>14.2</v>
      </c>
      <c r="T2936" s="7">
        <v>28.314</v>
      </c>
      <c r="U2936" s="5">
        <v>9.9</v>
      </c>
      <c r="V2936" s="7">
        <v>1.246</v>
      </c>
      <c r="W2936" s="5">
        <v>22.5</v>
      </c>
      <c r="X2936" s="5">
        <v>21.5</v>
      </c>
      <c r="Y2936" s="5">
        <v>27.5</v>
      </c>
      <c r="Z2936" s="7">
        <v>28.375</v>
      </c>
      <c r="AA2936" s="6">
        <v>10.96</v>
      </c>
      <c r="AB2936" s="7">
        <v>66.789000000000001</v>
      </c>
      <c r="AC2936" s="2"/>
    </row>
    <row r="2937" spans="1:29" ht="156" x14ac:dyDescent="0.15">
      <c r="A2937" s="3">
        <f t="shared" si="29"/>
        <v>35479</v>
      </c>
      <c r="B2937" s="3">
        <f>DATE(1997,9,5)</f>
        <v>35678</v>
      </c>
      <c r="C2937" s="2" t="s">
        <v>95</v>
      </c>
      <c r="D2937" s="2" t="s">
        <v>9303</v>
      </c>
      <c r="E2937" s="2" t="s">
        <v>5391</v>
      </c>
      <c r="F2937" s="4">
        <v>4832</v>
      </c>
      <c r="G2937" s="2" t="s">
        <v>45</v>
      </c>
      <c r="H2937" s="2" t="s">
        <v>34</v>
      </c>
      <c r="I2937" s="2" t="s">
        <v>5389</v>
      </c>
      <c r="J2937" s="2" t="s">
        <v>4760</v>
      </c>
      <c r="K2937" s="2" t="s">
        <v>45</v>
      </c>
      <c r="L2937" s="2" t="s">
        <v>34</v>
      </c>
      <c r="M2937" s="12">
        <v>1100.4069999999999</v>
      </c>
      <c r="N2937" s="5">
        <v>31.5</v>
      </c>
      <c r="O2937" s="7">
        <v>32.688000000000002</v>
      </c>
      <c r="P2937" s="2" t="s">
        <v>9304</v>
      </c>
      <c r="Q2937" s="6">
        <v>100</v>
      </c>
      <c r="R2937" s="6">
        <v>29.77</v>
      </c>
      <c r="S2937" s="5">
        <v>-5</v>
      </c>
      <c r="T2937" s="7">
        <v>47.268999999999998</v>
      </c>
      <c r="U2937" s="5">
        <v>11</v>
      </c>
      <c r="V2937" s="7">
        <v>-2.2789999999999999</v>
      </c>
      <c r="W2937" s="7">
        <v>31.437999999999999</v>
      </c>
      <c r="X2937" s="6">
        <v>29.25</v>
      </c>
      <c r="Y2937" s="6">
        <v>28.75</v>
      </c>
      <c r="Z2937" s="6">
        <v>29.25</v>
      </c>
      <c r="AA2937" s="6">
        <v>18.43</v>
      </c>
      <c r="AB2937" s="7">
        <v>37.951999999999998</v>
      </c>
      <c r="AC2937" s="6">
        <v>3.06</v>
      </c>
    </row>
    <row r="2938" spans="1:29" ht="130" x14ac:dyDescent="0.15">
      <c r="A2938" s="3">
        <f t="shared" si="29"/>
        <v>35479</v>
      </c>
      <c r="B2938" s="3">
        <f>DATE(1997,6,27)</f>
        <v>35608</v>
      </c>
      <c r="C2938" s="2" t="s">
        <v>95</v>
      </c>
      <c r="D2938" s="2" t="s">
        <v>9305</v>
      </c>
      <c r="E2938" s="2" t="s">
        <v>1888</v>
      </c>
      <c r="F2938" s="4">
        <v>4911</v>
      </c>
      <c r="G2938" s="2" t="s">
        <v>439</v>
      </c>
      <c r="H2938" s="2" t="s">
        <v>34</v>
      </c>
      <c r="I2938" s="2" t="s">
        <v>9306</v>
      </c>
      <c r="J2938" s="2" t="s">
        <v>5218</v>
      </c>
      <c r="K2938" s="2" t="s">
        <v>593</v>
      </c>
      <c r="L2938" s="2" t="s">
        <v>34</v>
      </c>
      <c r="M2938" s="12">
        <v>3351.8270000000002</v>
      </c>
      <c r="N2938" s="7">
        <v>19.625</v>
      </c>
      <c r="O2938" s="7">
        <v>19.375</v>
      </c>
      <c r="P2938" s="2" t="s">
        <v>9307</v>
      </c>
      <c r="Q2938" s="6">
        <v>100</v>
      </c>
      <c r="R2938" s="6">
        <v>21.65</v>
      </c>
      <c r="S2938" s="5">
        <v>42.8</v>
      </c>
      <c r="T2938" s="7">
        <v>34.518000000000001</v>
      </c>
      <c r="U2938" s="5">
        <v>14</v>
      </c>
      <c r="V2938" s="6">
        <v>0.75</v>
      </c>
      <c r="W2938" s="4">
        <v>12</v>
      </c>
      <c r="X2938" s="7">
        <v>11.875</v>
      </c>
      <c r="Y2938" s="7">
        <v>13.625</v>
      </c>
      <c r="Z2938" s="6">
        <v>14.75</v>
      </c>
      <c r="AA2938" s="6">
        <v>56.06</v>
      </c>
      <c r="AB2938" s="7">
        <v>54.478000000000002</v>
      </c>
      <c r="AC2938" s="6">
        <v>148.63999999999999</v>
      </c>
    </row>
    <row r="2939" spans="1:29" ht="52" x14ac:dyDescent="0.15">
      <c r="A2939" s="3">
        <f t="shared" si="29"/>
        <v>35479</v>
      </c>
      <c r="B2939" s="2"/>
      <c r="C2939" s="2" t="s">
        <v>141</v>
      </c>
      <c r="D2939" s="2" t="s">
        <v>9308</v>
      </c>
      <c r="E2939" s="2" t="s">
        <v>3780</v>
      </c>
      <c r="F2939" s="4">
        <v>6021</v>
      </c>
      <c r="G2939" s="2" t="s">
        <v>37</v>
      </c>
      <c r="H2939" s="2" t="s">
        <v>34</v>
      </c>
      <c r="I2939" s="2" t="s">
        <v>143</v>
      </c>
      <c r="J2939" s="2" t="s">
        <v>144</v>
      </c>
      <c r="K2939" s="2" t="s">
        <v>53</v>
      </c>
      <c r="L2939" s="2" t="s">
        <v>139</v>
      </c>
      <c r="M2939" s="2"/>
      <c r="N2939" s="2"/>
      <c r="O2939" s="2"/>
      <c r="P2939" s="2" t="s">
        <v>9309</v>
      </c>
      <c r="Q2939" s="2"/>
      <c r="R2939" s="2"/>
      <c r="S2939" s="5">
        <v>12.5</v>
      </c>
      <c r="T2939" s="7">
        <v>25.071000000000002</v>
      </c>
      <c r="U2939" s="5">
        <v>6.9</v>
      </c>
      <c r="V2939" s="9">
        <v>0.6089</v>
      </c>
      <c r="W2939" s="4">
        <v>20</v>
      </c>
      <c r="X2939" s="6">
        <v>20.75</v>
      </c>
      <c r="Y2939" s="7">
        <v>23.625</v>
      </c>
      <c r="Z2939" s="7">
        <v>24.625</v>
      </c>
      <c r="AA2939" s="6">
        <v>7.42</v>
      </c>
      <c r="AB2939" s="2" t="s">
        <v>47</v>
      </c>
      <c r="AC2939" s="2"/>
    </row>
    <row r="2940" spans="1:29" ht="130" x14ac:dyDescent="0.15">
      <c r="A2940" s="3">
        <f t="shared" si="29"/>
        <v>35479</v>
      </c>
      <c r="B2940" s="2"/>
      <c r="C2940" s="2" t="s">
        <v>30</v>
      </c>
      <c r="D2940" s="2" t="s">
        <v>9310</v>
      </c>
      <c r="E2940" s="2" t="s">
        <v>36</v>
      </c>
      <c r="F2940" s="4">
        <v>6035</v>
      </c>
      <c r="G2940" s="2" t="s">
        <v>33</v>
      </c>
      <c r="H2940" s="2" t="s">
        <v>34</v>
      </c>
      <c r="I2940" s="2" t="s">
        <v>9311</v>
      </c>
      <c r="J2940" s="2" t="s">
        <v>9312</v>
      </c>
      <c r="K2940" s="2" t="s">
        <v>33</v>
      </c>
      <c r="L2940" s="2" t="s">
        <v>34</v>
      </c>
      <c r="M2940" s="12">
        <v>3837.4229999999998</v>
      </c>
      <c r="N2940" s="7">
        <v>44.875</v>
      </c>
      <c r="O2940" s="7">
        <v>43.125</v>
      </c>
      <c r="P2940" s="2" t="s">
        <v>9313</v>
      </c>
      <c r="Q2940" s="2"/>
      <c r="R2940" s="6">
        <v>50</v>
      </c>
      <c r="S2940" s="5">
        <v>115.8</v>
      </c>
      <c r="T2940" s="7">
        <v>530.62400000000002</v>
      </c>
      <c r="U2940" s="5">
        <v>17.600000000000001</v>
      </c>
      <c r="V2940" s="6">
        <v>0.69</v>
      </c>
      <c r="W2940" s="4">
        <v>33</v>
      </c>
      <c r="X2940" s="6">
        <v>34.25</v>
      </c>
      <c r="Y2940" s="7">
        <v>44.875</v>
      </c>
      <c r="Z2940" s="4">
        <v>45</v>
      </c>
      <c r="AA2940" s="6">
        <v>137.71</v>
      </c>
      <c r="AB2940" s="7">
        <v>40.442999999999998</v>
      </c>
      <c r="AC2940" s="2"/>
    </row>
    <row r="2941" spans="1:29" ht="104" x14ac:dyDescent="0.15">
      <c r="A2941" s="3">
        <f t="shared" si="29"/>
        <v>35479</v>
      </c>
      <c r="B2941" s="2"/>
      <c r="C2941" s="2" t="s">
        <v>7330</v>
      </c>
      <c r="D2941" s="2" t="s">
        <v>9314</v>
      </c>
      <c r="E2941" s="2" t="s">
        <v>9315</v>
      </c>
      <c r="F2941" s="4">
        <v>8731</v>
      </c>
      <c r="G2941" s="2" t="s">
        <v>223</v>
      </c>
      <c r="H2941" s="2" t="s">
        <v>34</v>
      </c>
      <c r="I2941" s="2" t="s">
        <v>9316</v>
      </c>
      <c r="J2941" s="2" t="s">
        <v>9317</v>
      </c>
      <c r="K2941" s="2" t="s">
        <v>223</v>
      </c>
      <c r="L2941" s="2" t="s">
        <v>34</v>
      </c>
      <c r="M2941" s="2"/>
      <c r="N2941" s="7">
        <v>1.625</v>
      </c>
      <c r="O2941" s="7">
        <v>1.625</v>
      </c>
      <c r="P2941" s="2" t="s">
        <v>9318</v>
      </c>
      <c r="Q2941" s="2"/>
      <c r="R2941" s="6">
        <v>2.63</v>
      </c>
      <c r="S2941" s="2"/>
      <c r="T2941" s="2"/>
      <c r="U2941" s="2"/>
      <c r="V2941" s="2"/>
      <c r="W2941" s="5">
        <v>1.5</v>
      </c>
      <c r="X2941" s="7">
        <v>1.625</v>
      </c>
      <c r="Y2941" s="7">
        <v>1.625</v>
      </c>
      <c r="Z2941" s="4">
        <v>2</v>
      </c>
      <c r="AA2941" s="6">
        <v>1.72</v>
      </c>
      <c r="AB2941" s="2" t="s">
        <v>47</v>
      </c>
      <c r="AC2941" s="2"/>
    </row>
    <row r="2942" spans="1:29" ht="78" x14ac:dyDescent="0.15">
      <c r="A2942" s="3">
        <f>DATE(1997,2,19)</f>
        <v>35480</v>
      </c>
      <c r="B2942" s="3">
        <f>DATE(1997,8,6)</f>
        <v>35648</v>
      </c>
      <c r="C2942" s="2" t="s">
        <v>95</v>
      </c>
      <c r="D2942" s="2" t="s">
        <v>9319</v>
      </c>
      <c r="E2942" s="2" t="s">
        <v>36</v>
      </c>
      <c r="F2942" s="4">
        <v>6021</v>
      </c>
      <c r="G2942" s="2" t="s">
        <v>37</v>
      </c>
      <c r="H2942" s="2" t="s">
        <v>34</v>
      </c>
      <c r="I2942" s="2" t="s">
        <v>2392</v>
      </c>
      <c r="J2942" s="2" t="s">
        <v>36</v>
      </c>
      <c r="K2942" s="2" t="s">
        <v>37</v>
      </c>
      <c r="L2942" s="2" t="s">
        <v>34</v>
      </c>
      <c r="M2942" s="7">
        <v>500.202</v>
      </c>
      <c r="N2942" s="5">
        <v>33.5</v>
      </c>
      <c r="O2942" s="4">
        <v>34</v>
      </c>
      <c r="P2942" s="2" t="s">
        <v>9320</v>
      </c>
      <c r="Q2942" s="6">
        <v>100</v>
      </c>
      <c r="R2942" s="6">
        <v>17</v>
      </c>
      <c r="S2942" s="5">
        <v>1.9</v>
      </c>
      <c r="T2942" s="7">
        <v>3.7509999999999999</v>
      </c>
      <c r="U2942" s="5">
        <v>6.8</v>
      </c>
      <c r="V2942" s="7">
        <v>0.871</v>
      </c>
      <c r="W2942" s="5">
        <v>15.5</v>
      </c>
      <c r="X2942" s="6">
        <v>14.75</v>
      </c>
      <c r="Y2942" s="6">
        <v>16.25</v>
      </c>
      <c r="Z2942" s="6">
        <v>16.25</v>
      </c>
      <c r="AA2942" s="6">
        <v>2.02</v>
      </c>
      <c r="AB2942" s="7">
        <v>55.417000000000002</v>
      </c>
      <c r="AC2942" s="2"/>
    </row>
    <row r="2943" spans="1:29" ht="78" x14ac:dyDescent="0.15">
      <c r="A2943" s="3">
        <f>DATE(1997,2,20)</f>
        <v>35481</v>
      </c>
      <c r="B2943" s="2"/>
      <c r="C2943" s="2" t="s">
        <v>30</v>
      </c>
      <c r="D2943" s="2" t="s">
        <v>9321</v>
      </c>
      <c r="E2943" s="2" t="s">
        <v>92</v>
      </c>
      <c r="F2943" s="4">
        <v>6162</v>
      </c>
      <c r="G2943" s="2" t="s">
        <v>109</v>
      </c>
      <c r="H2943" s="2" t="s">
        <v>34</v>
      </c>
      <c r="I2943" s="2" t="s">
        <v>9322</v>
      </c>
      <c r="J2943" s="2" t="s">
        <v>3941</v>
      </c>
      <c r="K2943" s="2" t="s">
        <v>53</v>
      </c>
      <c r="L2943" s="2" t="s">
        <v>34</v>
      </c>
      <c r="M2943" s="2"/>
      <c r="N2943" s="2"/>
      <c r="O2943" s="2"/>
      <c r="P2943" s="2" t="s">
        <v>9323</v>
      </c>
      <c r="Q2943" s="2"/>
      <c r="R2943" s="6">
        <v>6.42</v>
      </c>
      <c r="S2943" s="5">
        <v>-2.1</v>
      </c>
      <c r="T2943" s="5">
        <v>2.8</v>
      </c>
      <c r="U2943" s="5">
        <v>4.3</v>
      </c>
      <c r="V2943" s="6">
        <v>-0.4</v>
      </c>
      <c r="W2943" s="6">
        <v>5.75</v>
      </c>
      <c r="X2943" s="7">
        <v>5.625</v>
      </c>
      <c r="Y2943" s="4">
        <v>6</v>
      </c>
      <c r="Z2943" s="11">
        <v>6.03125</v>
      </c>
      <c r="AA2943" s="6">
        <v>10.48</v>
      </c>
      <c r="AB2943" s="7">
        <v>52.704000000000001</v>
      </c>
      <c r="AC2943" s="2"/>
    </row>
    <row r="2944" spans="1:29" ht="143" x14ac:dyDescent="0.15">
      <c r="A2944" s="3">
        <f>DATE(1997,2,20)</f>
        <v>35481</v>
      </c>
      <c r="B2944" s="3">
        <f>DATE(1997,5,6)</f>
        <v>35556</v>
      </c>
      <c r="C2944" s="2" t="s">
        <v>95</v>
      </c>
      <c r="D2944" s="2" t="s">
        <v>9324</v>
      </c>
      <c r="E2944" s="2" t="s">
        <v>2588</v>
      </c>
      <c r="F2944" s="4">
        <v>6513</v>
      </c>
      <c r="G2944" s="2" t="s">
        <v>109</v>
      </c>
      <c r="H2944" s="2" t="s">
        <v>34</v>
      </c>
      <c r="I2944" s="2" t="s">
        <v>9325</v>
      </c>
      <c r="J2944" s="2" t="s">
        <v>92</v>
      </c>
      <c r="K2944" s="2" t="s">
        <v>53</v>
      </c>
      <c r="L2944" s="2" t="s">
        <v>34</v>
      </c>
      <c r="M2944" s="7">
        <v>355.71699999999998</v>
      </c>
      <c r="N2944" s="4">
        <v>26</v>
      </c>
      <c r="O2944" s="6">
        <v>27.75</v>
      </c>
      <c r="P2944" s="2" t="s">
        <v>9326</v>
      </c>
      <c r="Q2944" s="6">
        <v>55.15</v>
      </c>
      <c r="R2944" s="2"/>
      <c r="S2944" s="5">
        <v>11.6</v>
      </c>
      <c r="T2944" s="5">
        <v>33.5</v>
      </c>
      <c r="U2944" s="5">
        <v>4.5</v>
      </c>
      <c r="V2944" s="6">
        <v>0.91</v>
      </c>
      <c r="W2944" s="6">
        <v>15.75</v>
      </c>
      <c r="X2944" s="7">
        <v>15.375</v>
      </c>
      <c r="Y2944" s="9">
        <v>19.9375</v>
      </c>
      <c r="Z2944" s="7">
        <v>23.375</v>
      </c>
      <c r="AA2944" s="6">
        <v>12.57</v>
      </c>
      <c r="AB2944" s="7">
        <v>13.862</v>
      </c>
      <c r="AC2944" s="6">
        <v>29</v>
      </c>
    </row>
    <row r="2945" spans="1:29" ht="156" x14ac:dyDescent="0.15">
      <c r="A2945" s="3">
        <f>DATE(1997,2,20)</f>
        <v>35481</v>
      </c>
      <c r="B2945" s="3">
        <f>DATE(1997,12,9)</f>
        <v>35773</v>
      </c>
      <c r="C2945" s="2" t="s">
        <v>95</v>
      </c>
      <c r="D2945" s="2" t="s">
        <v>9324</v>
      </c>
      <c r="E2945" s="2" t="s">
        <v>2588</v>
      </c>
      <c r="F2945" s="4">
        <v>6513</v>
      </c>
      <c r="G2945" s="2" t="s">
        <v>109</v>
      </c>
      <c r="H2945" s="2" t="s">
        <v>34</v>
      </c>
      <c r="I2945" s="2" t="s">
        <v>9325</v>
      </c>
      <c r="J2945" s="2" t="s">
        <v>92</v>
      </c>
      <c r="K2945" s="2" t="s">
        <v>53</v>
      </c>
      <c r="L2945" s="2" t="s">
        <v>34</v>
      </c>
      <c r="M2945" s="7">
        <v>355.71699999999998</v>
      </c>
      <c r="N2945" s="4">
        <v>26</v>
      </c>
      <c r="O2945" s="6">
        <v>27.75</v>
      </c>
      <c r="P2945" s="2" t="s">
        <v>9327</v>
      </c>
      <c r="Q2945" s="6">
        <v>46.68</v>
      </c>
      <c r="R2945" s="6">
        <v>19.72</v>
      </c>
      <c r="S2945" s="5">
        <v>11.6</v>
      </c>
      <c r="T2945" s="5">
        <v>33.5</v>
      </c>
      <c r="U2945" s="5">
        <v>4.5</v>
      </c>
      <c r="V2945" s="6">
        <v>0.91</v>
      </c>
      <c r="W2945" s="6">
        <v>15.75</v>
      </c>
      <c r="X2945" s="7">
        <v>15.375</v>
      </c>
      <c r="Y2945" s="9">
        <v>19.9375</v>
      </c>
      <c r="Z2945" s="7">
        <v>23.375</v>
      </c>
      <c r="AA2945" s="6">
        <v>12.57</v>
      </c>
      <c r="AB2945" s="7">
        <v>14.581</v>
      </c>
      <c r="AC2945" s="6">
        <v>29</v>
      </c>
    </row>
    <row r="2946" spans="1:29" ht="117" x14ac:dyDescent="0.15">
      <c r="A2946" s="3">
        <f>DATE(1997,2,21)</f>
        <v>35482</v>
      </c>
      <c r="B2946" s="2"/>
      <c r="C2946" s="2" t="s">
        <v>30</v>
      </c>
      <c r="D2946" s="2" t="s">
        <v>9324</v>
      </c>
      <c r="E2946" s="2" t="s">
        <v>2588</v>
      </c>
      <c r="F2946" s="4">
        <v>6513</v>
      </c>
      <c r="G2946" s="2" t="s">
        <v>109</v>
      </c>
      <c r="H2946" s="2" t="s">
        <v>34</v>
      </c>
      <c r="I2946" s="2" t="s">
        <v>9328</v>
      </c>
      <c r="J2946" s="2" t="s">
        <v>483</v>
      </c>
      <c r="K2946" s="2" t="s">
        <v>53</v>
      </c>
      <c r="L2946" s="2" t="s">
        <v>34</v>
      </c>
      <c r="M2946" s="6">
        <v>655.11</v>
      </c>
      <c r="N2946" s="6">
        <v>21.75</v>
      </c>
      <c r="O2946" s="5">
        <v>21.5</v>
      </c>
      <c r="P2946" s="2" t="s">
        <v>9329</v>
      </c>
      <c r="Q2946" s="2"/>
      <c r="R2946" s="6">
        <v>24</v>
      </c>
      <c r="S2946" s="5">
        <v>11.6</v>
      </c>
      <c r="T2946" s="5">
        <v>33.5</v>
      </c>
      <c r="U2946" s="5">
        <v>4.5</v>
      </c>
      <c r="V2946" s="6">
        <v>0.91</v>
      </c>
      <c r="W2946" s="6">
        <v>15.75</v>
      </c>
      <c r="X2946" s="7">
        <v>15.375</v>
      </c>
      <c r="Y2946" s="9">
        <v>19.9375</v>
      </c>
      <c r="Z2946" s="7">
        <v>23.375</v>
      </c>
      <c r="AA2946" s="6">
        <v>12.57</v>
      </c>
      <c r="AB2946" s="7">
        <v>16.806000000000001</v>
      </c>
      <c r="AC2946" s="6">
        <v>54.61</v>
      </c>
    </row>
    <row r="2947" spans="1:29" ht="117" x14ac:dyDescent="0.15">
      <c r="A2947" s="3">
        <f>DATE(1997,2,21)</f>
        <v>35482</v>
      </c>
      <c r="B2947" s="2"/>
      <c r="C2947" s="2" t="s">
        <v>30</v>
      </c>
      <c r="D2947" s="2" t="s">
        <v>9330</v>
      </c>
      <c r="E2947" s="2" t="s">
        <v>9331</v>
      </c>
      <c r="F2947" s="4">
        <v>5812</v>
      </c>
      <c r="G2947" s="2" t="s">
        <v>230</v>
      </c>
      <c r="H2947" s="2" t="s">
        <v>34</v>
      </c>
      <c r="I2947" s="2" t="s">
        <v>9332</v>
      </c>
      <c r="J2947" s="2" t="s">
        <v>9333</v>
      </c>
      <c r="K2947" s="2" t="s">
        <v>269</v>
      </c>
      <c r="L2947" s="2" t="s">
        <v>34</v>
      </c>
      <c r="M2947" s="2"/>
      <c r="N2947" s="7">
        <v>5.5629999999999997</v>
      </c>
      <c r="O2947" s="5">
        <v>5.5</v>
      </c>
      <c r="P2947" s="2" t="s">
        <v>9334</v>
      </c>
      <c r="Q2947" s="2"/>
      <c r="R2947" s="6">
        <v>9.5</v>
      </c>
      <c r="S2947" s="5">
        <v>1.4</v>
      </c>
      <c r="T2947" s="6">
        <v>4.29</v>
      </c>
      <c r="U2947" s="5">
        <v>3.2</v>
      </c>
      <c r="V2947" s="7">
        <v>0.40699999999999997</v>
      </c>
      <c r="W2947" s="4">
        <v>7</v>
      </c>
      <c r="X2947" s="7">
        <v>7.9379999999999997</v>
      </c>
      <c r="Y2947" s="4">
        <v>9</v>
      </c>
      <c r="Z2947" s="7">
        <v>7.6879999999999997</v>
      </c>
      <c r="AA2947" s="6">
        <v>3.39</v>
      </c>
      <c r="AB2947" s="7">
        <v>15.093</v>
      </c>
      <c r="AC2947" s="2"/>
    </row>
    <row r="2948" spans="1:29" ht="117" x14ac:dyDescent="0.15">
      <c r="A2948" s="3">
        <f>DATE(1997,2,24)</f>
        <v>35485</v>
      </c>
      <c r="B2948" s="2"/>
      <c r="C2948" s="2" t="s">
        <v>30</v>
      </c>
      <c r="D2948" s="2" t="s">
        <v>9335</v>
      </c>
      <c r="E2948" s="2" t="s">
        <v>9336</v>
      </c>
      <c r="F2948" s="4">
        <v>4841</v>
      </c>
      <c r="G2948" s="2" t="s">
        <v>45</v>
      </c>
      <c r="H2948" s="2" t="s">
        <v>34</v>
      </c>
      <c r="I2948" s="2" t="s">
        <v>8249</v>
      </c>
      <c r="J2948" s="2" t="s">
        <v>8250</v>
      </c>
      <c r="K2948" s="2" t="s">
        <v>186</v>
      </c>
      <c r="L2948" s="2" t="s">
        <v>885</v>
      </c>
      <c r="M2948" s="2"/>
      <c r="N2948" s="2"/>
      <c r="O2948" s="2"/>
      <c r="P2948" s="2" t="s">
        <v>9337</v>
      </c>
      <c r="Q2948" s="2"/>
      <c r="R2948" s="2"/>
      <c r="S2948" s="5">
        <v>-101</v>
      </c>
      <c r="T2948" s="7">
        <v>-81.921999999999997</v>
      </c>
      <c r="U2948" s="5">
        <v>0.1</v>
      </c>
      <c r="V2948" s="7">
        <v>-0.315</v>
      </c>
      <c r="W2948" s="6">
        <v>16.75</v>
      </c>
      <c r="X2948" s="4">
        <v>15</v>
      </c>
      <c r="Y2948" s="4">
        <v>18</v>
      </c>
      <c r="Z2948" s="6">
        <v>26.75</v>
      </c>
      <c r="AA2948" s="6">
        <v>42.44</v>
      </c>
      <c r="AB2948" s="2" t="s">
        <v>86</v>
      </c>
      <c r="AC2948" s="10">
        <v>1809.22</v>
      </c>
    </row>
    <row r="2949" spans="1:29" ht="117" x14ac:dyDescent="0.15">
      <c r="A2949" s="3">
        <f>DATE(1997,2,24)</f>
        <v>35485</v>
      </c>
      <c r="B2949" s="2"/>
      <c r="C2949" s="2" t="s">
        <v>30</v>
      </c>
      <c r="D2949" s="2" t="s">
        <v>9338</v>
      </c>
      <c r="E2949" s="2" t="s">
        <v>9339</v>
      </c>
      <c r="F2949" s="4">
        <v>3679</v>
      </c>
      <c r="G2949" s="2" t="s">
        <v>137</v>
      </c>
      <c r="H2949" s="2" t="s">
        <v>34</v>
      </c>
      <c r="I2949" s="2" t="s">
        <v>9340</v>
      </c>
      <c r="J2949" s="2" t="s">
        <v>9339</v>
      </c>
      <c r="K2949" s="2" t="s">
        <v>50</v>
      </c>
      <c r="L2949" s="2" t="s">
        <v>34</v>
      </c>
      <c r="M2949" s="12">
        <v>1273.6110000000001</v>
      </c>
      <c r="N2949" s="4">
        <v>53</v>
      </c>
      <c r="O2949" s="7">
        <v>48.125</v>
      </c>
      <c r="P2949" s="2" t="s">
        <v>9341</v>
      </c>
      <c r="Q2949" s="2"/>
      <c r="R2949" s="6">
        <v>37.51</v>
      </c>
      <c r="S2949" s="5">
        <v>-43</v>
      </c>
      <c r="T2949" s="7">
        <v>186.803</v>
      </c>
      <c r="U2949" s="5">
        <v>48.5</v>
      </c>
      <c r="V2949" s="6">
        <v>-4.5999999999999996</v>
      </c>
      <c r="W2949" s="7">
        <v>27.125</v>
      </c>
      <c r="X2949" s="7">
        <v>28.187999999999999</v>
      </c>
      <c r="Y2949" s="4">
        <v>32</v>
      </c>
      <c r="Z2949" s="7">
        <v>32.875</v>
      </c>
      <c r="AA2949" s="6">
        <v>47.12</v>
      </c>
      <c r="AB2949" s="7">
        <v>8.0280000000000005</v>
      </c>
      <c r="AC2949" s="5">
        <v>127.4</v>
      </c>
    </row>
    <row r="2950" spans="1:29" ht="117" x14ac:dyDescent="0.15">
      <c r="A2950" s="3">
        <f>DATE(1997,2,24)</f>
        <v>35485</v>
      </c>
      <c r="B2950" s="3">
        <f>DATE(1997,7,1)</f>
        <v>35612</v>
      </c>
      <c r="C2950" s="2" t="s">
        <v>95</v>
      </c>
      <c r="D2950" s="2" t="s">
        <v>9342</v>
      </c>
      <c r="E2950" s="2" t="s">
        <v>515</v>
      </c>
      <c r="F2950" s="4">
        <v>6311</v>
      </c>
      <c r="G2950" s="2" t="s">
        <v>125</v>
      </c>
      <c r="H2950" s="2" t="s">
        <v>34</v>
      </c>
      <c r="I2950" s="2" t="s">
        <v>9343</v>
      </c>
      <c r="J2950" s="2" t="s">
        <v>124</v>
      </c>
      <c r="K2950" s="2" t="s">
        <v>125</v>
      </c>
      <c r="L2950" s="2" t="s">
        <v>34</v>
      </c>
      <c r="M2950" s="12">
        <v>2101.721</v>
      </c>
      <c r="N2950" s="7">
        <v>58.625</v>
      </c>
      <c r="O2950" s="7">
        <v>61.625</v>
      </c>
      <c r="P2950" s="2" t="s">
        <v>9344</v>
      </c>
      <c r="Q2950" s="6">
        <v>100</v>
      </c>
      <c r="R2950" s="6">
        <v>53.87</v>
      </c>
      <c r="S2950" s="5">
        <v>32.9</v>
      </c>
      <c r="T2950" s="7">
        <v>51.268999999999998</v>
      </c>
      <c r="U2950" s="5">
        <v>39.9</v>
      </c>
      <c r="V2950" s="7">
        <v>3.819</v>
      </c>
      <c r="W2950" s="7">
        <v>37.125</v>
      </c>
      <c r="X2950" s="5">
        <v>37.5</v>
      </c>
      <c r="Y2950" s="7">
        <v>45.375</v>
      </c>
      <c r="Z2950" s="7">
        <v>46.875</v>
      </c>
      <c r="AA2950" s="6">
        <v>8.56</v>
      </c>
      <c r="AB2950" s="7">
        <v>10.137</v>
      </c>
      <c r="AC2950" s="5">
        <v>32.4</v>
      </c>
    </row>
    <row r="2951" spans="1:29" ht="78" x14ac:dyDescent="0.15">
      <c r="A2951" s="3">
        <f>DATE(1997,2,24)</f>
        <v>35485</v>
      </c>
      <c r="B2951" s="2"/>
      <c r="C2951" s="2" t="s">
        <v>30</v>
      </c>
      <c r="D2951" s="2" t="s">
        <v>9345</v>
      </c>
      <c r="E2951" s="2" t="s">
        <v>9346</v>
      </c>
      <c r="F2951" s="4">
        <v>3949</v>
      </c>
      <c r="G2951" s="2" t="s">
        <v>112</v>
      </c>
      <c r="H2951" s="2" t="s">
        <v>34</v>
      </c>
      <c r="I2951" s="2" t="s">
        <v>149</v>
      </c>
      <c r="J2951" s="2" t="s">
        <v>150</v>
      </c>
      <c r="K2951" s="2" t="s">
        <v>53</v>
      </c>
      <c r="L2951" s="2" t="s">
        <v>151</v>
      </c>
      <c r="M2951" s="2"/>
      <c r="N2951" s="2"/>
      <c r="O2951" s="2"/>
      <c r="P2951" s="2" t="s">
        <v>9347</v>
      </c>
      <c r="Q2951" s="2"/>
      <c r="R2951" s="2"/>
      <c r="S2951" s="5">
        <v>-1.9</v>
      </c>
      <c r="T2951" s="7">
        <v>0.60399999999999998</v>
      </c>
      <c r="U2951" s="5">
        <v>1.1000000000000001</v>
      </c>
      <c r="V2951" s="7">
        <v>-0.496</v>
      </c>
      <c r="W2951" s="9">
        <v>1.3125</v>
      </c>
      <c r="X2951" s="7">
        <v>1.875</v>
      </c>
      <c r="Y2951" s="11">
        <v>2.28125</v>
      </c>
      <c r="Z2951" s="9">
        <v>2.9375</v>
      </c>
      <c r="AA2951" s="6">
        <v>3.8</v>
      </c>
      <c r="AB2951" s="2" t="s">
        <v>47</v>
      </c>
      <c r="AC2951" s="2"/>
    </row>
    <row r="2952" spans="1:29" ht="130" x14ac:dyDescent="0.15">
      <c r="A2952" s="3">
        <f>DATE(1997,2,25)</f>
        <v>35486</v>
      </c>
      <c r="B2952" s="3">
        <f>DATE(1997,7,7)</f>
        <v>35618</v>
      </c>
      <c r="C2952" s="2" t="s">
        <v>95</v>
      </c>
      <c r="D2952" s="2" t="s">
        <v>9348</v>
      </c>
      <c r="E2952" s="2" t="s">
        <v>263</v>
      </c>
      <c r="F2952" s="4">
        <v>6021</v>
      </c>
      <c r="G2952" s="2" t="s">
        <v>37</v>
      </c>
      <c r="H2952" s="2" t="s">
        <v>34</v>
      </c>
      <c r="I2952" s="2" t="s">
        <v>9349</v>
      </c>
      <c r="J2952" s="2" t="s">
        <v>263</v>
      </c>
      <c r="K2952" s="2" t="s">
        <v>37</v>
      </c>
      <c r="L2952" s="2" t="s">
        <v>34</v>
      </c>
      <c r="M2952" s="12">
        <v>1723.9459999999999</v>
      </c>
      <c r="N2952" s="5">
        <v>45.5</v>
      </c>
      <c r="O2952" s="7">
        <v>45.125</v>
      </c>
      <c r="P2952" s="2" t="s">
        <v>9350</v>
      </c>
      <c r="Q2952" s="6">
        <v>100</v>
      </c>
      <c r="R2952" s="6">
        <v>15.34</v>
      </c>
      <c r="S2952" s="5">
        <v>-3.6</v>
      </c>
      <c r="T2952" s="7">
        <v>-4.0780000000000003</v>
      </c>
      <c r="U2952" s="5">
        <v>7.7</v>
      </c>
      <c r="V2952" s="7">
        <v>-4.2999999999999997E-2</v>
      </c>
      <c r="W2952" s="4">
        <v>13</v>
      </c>
      <c r="X2952" s="6">
        <v>13.25</v>
      </c>
      <c r="Y2952" s="7">
        <v>14.375</v>
      </c>
      <c r="Z2952" s="7">
        <v>14.375</v>
      </c>
      <c r="AA2952" s="6">
        <v>11.27</v>
      </c>
      <c r="AB2952" s="2" t="s">
        <v>86</v>
      </c>
      <c r="AC2952" s="2"/>
    </row>
    <row r="2953" spans="1:29" ht="156" x14ac:dyDescent="0.15">
      <c r="A2953" s="3">
        <f>DATE(1997,2,25)</f>
        <v>35486</v>
      </c>
      <c r="B2953" s="3">
        <f>DATE(1998,8,5)</f>
        <v>36012</v>
      </c>
      <c r="C2953" s="2" t="s">
        <v>95</v>
      </c>
      <c r="D2953" s="2" t="s">
        <v>9351</v>
      </c>
      <c r="E2953" s="2" t="s">
        <v>9352</v>
      </c>
      <c r="F2953" s="4">
        <v>2911</v>
      </c>
      <c r="G2953" s="2" t="s">
        <v>148</v>
      </c>
      <c r="H2953" s="2" t="s">
        <v>34</v>
      </c>
      <c r="I2953" s="2" t="s">
        <v>9353</v>
      </c>
      <c r="J2953" s="2" t="s">
        <v>9354</v>
      </c>
      <c r="K2953" s="2" t="s">
        <v>148</v>
      </c>
      <c r="L2953" s="2" t="s">
        <v>926</v>
      </c>
      <c r="M2953" s="2"/>
      <c r="N2953" s="2"/>
      <c r="O2953" s="2"/>
      <c r="P2953" s="2" t="s">
        <v>9355</v>
      </c>
      <c r="Q2953" s="6">
        <v>14.72</v>
      </c>
      <c r="R2953" s="6">
        <v>60</v>
      </c>
      <c r="S2953" s="5">
        <v>153.19999999999999</v>
      </c>
      <c r="T2953" s="7">
        <v>440.565</v>
      </c>
      <c r="U2953" s="5">
        <v>40</v>
      </c>
      <c r="V2953" s="6">
        <v>4.91</v>
      </c>
      <c r="W2953" s="7">
        <v>50.625</v>
      </c>
      <c r="X2953" s="7">
        <v>50.125</v>
      </c>
      <c r="Y2953" s="5">
        <v>62.5</v>
      </c>
      <c r="Z2953" s="6">
        <v>62.25</v>
      </c>
      <c r="AA2953" s="6">
        <v>29.22</v>
      </c>
      <c r="AB2953" s="7">
        <v>9.5399999999999991</v>
      </c>
      <c r="AC2953" s="6">
        <v>128.71</v>
      </c>
    </row>
    <row r="2954" spans="1:29" ht="78" x14ac:dyDescent="0.15">
      <c r="A2954" s="3">
        <f>DATE(1997,2,26)</f>
        <v>35487</v>
      </c>
      <c r="B2954" s="3">
        <f>DATE(1997,7,21)</f>
        <v>35632</v>
      </c>
      <c r="C2954" s="2" t="s">
        <v>95</v>
      </c>
      <c r="D2954" s="2" t="s">
        <v>9356</v>
      </c>
      <c r="E2954" s="2" t="s">
        <v>1181</v>
      </c>
      <c r="F2954" s="4">
        <v>6022</v>
      </c>
      <c r="G2954" s="2" t="s">
        <v>37</v>
      </c>
      <c r="H2954" s="2" t="s">
        <v>34</v>
      </c>
      <c r="I2954" s="2" t="s">
        <v>9357</v>
      </c>
      <c r="J2954" s="2" t="s">
        <v>3246</v>
      </c>
      <c r="K2954" s="2" t="s">
        <v>37</v>
      </c>
      <c r="L2954" s="2" t="s">
        <v>34</v>
      </c>
      <c r="M2954" s="7">
        <v>106.04600000000001</v>
      </c>
      <c r="N2954" s="4">
        <v>41</v>
      </c>
      <c r="O2954" s="6">
        <v>40.75</v>
      </c>
      <c r="P2954" s="2" t="s">
        <v>9358</v>
      </c>
      <c r="Q2954" s="6">
        <v>100</v>
      </c>
      <c r="R2954" s="6">
        <v>28</v>
      </c>
      <c r="S2954" s="5">
        <v>0.3</v>
      </c>
      <c r="T2954" s="2"/>
      <c r="U2954" s="5">
        <v>24.5</v>
      </c>
      <c r="V2954" s="6">
        <v>1.1000000000000001</v>
      </c>
      <c r="W2954" s="4">
        <v>21</v>
      </c>
      <c r="X2954" s="4">
        <v>22</v>
      </c>
      <c r="Y2954" s="6">
        <v>26.25</v>
      </c>
      <c r="Z2954" s="6">
        <v>26.75</v>
      </c>
      <c r="AA2954" s="6">
        <v>0.25</v>
      </c>
      <c r="AB2954" s="7">
        <v>35.052</v>
      </c>
      <c r="AC2954" s="2"/>
    </row>
    <row r="2955" spans="1:29" ht="130" x14ac:dyDescent="0.15">
      <c r="A2955" s="3">
        <f>DATE(1997,2,26)</f>
        <v>35487</v>
      </c>
      <c r="B2955" s="3">
        <f>DATE(1997,7,2)</f>
        <v>35613</v>
      </c>
      <c r="C2955" s="2" t="s">
        <v>95</v>
      </c>
      <c r="D2955" s="2" t="s">
        <v>9359</v>
      </c>
      <c r="E2955" s="2" t="s">
        <v>9360</v>
      </c>
      <c r="F2955" s="4">
        <v>2899</v>
      </c>
      <c r="G2955" s="2" t="s">
        <v>98</v>
      </c>
      <c r="H2955" s="2" t="s">
        <v>34</v>
      </c>
      <c r="I2955" s="2" t="s">
        <v>9361</v>
      </c>
      <c r="J2955" s="2" t="s">
        <v>9362</v>
      </c>
      <c r="K2955" s="2" t="s">
        <v>300</v>
      </c>
      <c r="L2955" s="2" t="s">
        <v>34</v>
      </c>
      <c r="M2955" s="12">
        <v>5671.7150000000001</v>
      </c>
      <c r="N2955" s="5">
        <v>35.5</v>
      </c>
      <c r="O2955" s="7">
        <v>34.625</v>
      </c>
      <c r="P2955" s="2" t="s">
        <v>9363</v>
      </c>
      <c r="Q2955" s="6">
        <v>100</v>
      </c>
      <c r="R2955" s="6">
        <v>61</v>
      </c>
      <c r="S2955" s="5">
        <v>19</v>
      </c>
      <c r="T2955" s="7">
        <v>39.390999999999998</v>
      </c>
      <c r="U2955" s="5">
        <v>14.7</v>
      </c>
      <c r="V2955" s="6">
        <v>1.68</v>
      </c>
      <c r="W2955" s="5">
        <v>32.5</v>
      </c>
      <c r="X2955" s="5">
        <v>37.5</v>
      </c>
      <c r="Y2955" s="6">
        <v>42.25</v>
      </c>
      <c r="Z2955" s="4">
        <v>41</v>
      </c>
      <c r="AA2955" s="6">
        <v>11.34</v>
      </c>
      <c r="AB2955" s="7">
        <v>33.167000000000002</v>
      </c>
      <c r="AC2955" s="6">
        <v>7.71</v>
      </c>
    </row>
    <row r="2956" spans="1:29" ht="130" x14ac:dyDescent="0.15">
      <c r="A2956" s="3">
        <f>DATE(1997,2,27)</f>
        <v>35488</v>
      </c>
      <c r="B2956" s="3">
        <f>DATE(1997,8,1)</f>
        <v>35643</v>
      </c>
      <c r="C2956" s="2" t="s">
        <v>95</v>
      </c>
      <c r="D2956" s="2" t="s">
        <v>3225</v>
      </c>
      <c r="E2956" s="2" t="s">
        <v>389</v>
      </c>
      <c r="F2956" s="4">
        <v>6035</v>
      </c>
      <c r="G2956" s="2" t="s">
        <v>33</v>
      </c>
      <c r="H2956" s="2" t="s">
        <v>34</v>
      </c>
      <c r="I2956" s="2" t="s">
        <v>7980</v>
      </c>
      <c r="J2956" s="2" t="s">
        <v>36</v>
      </c>
      <c r="K2956" s="2" t="s">
        <v>37</v>
      </c>
      <c r="L2956" s="2" t="s">
        <v>34</v>
      </c>
      <c r="M2956" s="12">
        <v>4044.3470000000002</v>
      </c>
      <c r="N2956" s="5">
        <v>47.5</v>
      </c>
      <c r="O2956" s="7">
        <v>47.813000000000002</v>
      </c>
      <c r="P2956" s="2" t="s">
        <v>9364</v>
      </c>
      <c r="Q2956" s="6">
        <v>100</v>
      </c>
      <c r="R2956" s="6">
        <v>44.08</v>
      </c>
      <c r="S2956" s="5">
        <v>54.5</v>
      </c>
      <c r="T2956" s="7">
        <v>89.495000000000005</v>
      </c>
      <c r="U2956" s="5">
        <v>17.899999999999999</v>
      </c>
      <c r="V2956" s="6">
        <v>2.67</v>
      </c>
      <c r="W2956" s="7">
        <v>35.875</v>
      </c>
      <c r="X2956" s="7">
        <v>38.125</v>
      </c>
      <c r="Y2956" s="4">
        <v>42</v>
      </c>
      <c r="Z2956" s="7">
        <v>41.125</v>
      </c>
      <c r="AA2956" s="6">
        <v>20.440000000000001</v>
      </c>
      <c r="AB2956" s="7">
        <v>28.143000000000001</v>
      </c>
      <c r="AC2956" s="2"/>
    </row>
    <row r="2957" spans="1:29" ht="130" x14ac:dyDescent="0.15">
      <c r="A2957" s="3">
        <f>DATE(1997,2,27)</f>
        <v>35488</v>
      </c>
      <c r="B2957" s="3">
        <f>DATE(1997,6,13)</f>
        <v>35594</v>
      </c>
      <c r="C2957" s="2" t="s">
        <v>95</v>
      </c>
      <c r="D2957" s="2" t="s">
        <v>9365</v>
      </c>
      <c r="E2957" s="2" t="s">
        <v>9366</v>
      </c>
      <c r="F2957" s="4">
        <v>3533</v>
      </c>
      <c r="G2957" s="2" t="s">
        <v>300</v>
      </c>
      <c r="H2957" s="2" t="s">
        <v>34</v>
      </c>
      <c r="I2957" s="2" t="s">
        <v>9367</v>
      </c>
      <c r="J2957" s="2" t="s">
        <v>9368</v>
      </c>
      <c r="K2957" s="2" t="s">
        <v>300</v>
      </c>
      <c r="L2957" s="2" t="s">
        <v>34</v>
      </c>
      <c r="M2957" s="12">
        <v>1147.6780000000001</v>
      </c>
      <c r="N2957" s="7">
        <v>41.875</v>
      </c>
      <c r="O2957" s="6">
        <v>38.75</v>
      </c>
      <c r="P2957" s="2" t="s">
        <v>9369</v>
      </c>
      <c r="Q2957" s="6">
        <v>100</v>
      </c>
      <c r="R2957" s="6">
        <v>56.23</v>
      </c>
      <c r="S2957" s="5">
        <v>17.5</v>
      </c>
      <c r="T2957" s="7">
        <v>43.179000000000002</v>
      </c>
      <c r="U2957" s="5">
        <v>15.2</v>
      </c>
      <c r="V2957" s="6">
        <v>1.7</v>
      </c>
      <c r="W2957" s="6">
        <v>49.75</v>
      </c>
      <c r="X2957" s="6">
        <v>45.75</v>
      </c>
      <c r="Y2957" s="5">
        <v>45.5</v>
      </c>
      <c r="Z2957" s="7">
        <v>48.875</v>
      </c>
      <c r="AA2957" s="6">
        <v>10.210000000000001</v>
      </c>
      <c r="AB2957" s="7">
        <v>22.513000000000002</v>
      </c>
      <c r="AC2957" s="6">
        <v>41.18</v>
      </c>
    </row>
    <row r="2958" spans="1:29" ht="78" x14ac:dyDescent="0.15">
      <c r="A2958" s="3">
        <f>DATE(1997,2,28)</f>
        <v>35489</v>
      </c>
      <c r="B2958" s="3">
        <f>DATE(1997,8,1)</f>
        <v>35643</v>
      </c>
      <c r="C2958" s="2" t="s">
        <v>95</v>
      </c>
      <c r="D2958" s="2" t="s">
        <v>9370</v>
      </c>
      <c r="E2958" s="2" t="s">
        <v>2241</v>
      </c>
      <c r="F2958" s="4">
        <v>8011</v>
      </c>
      <c r="G2958" s="2" t="s">
        <v>454</v>
      </c>
      <c r="H2958" s="2" t="s">
        <v>34</v>
      </c>
      <c r="I2958" s="2" t="s">
        <v>9371</v>
      </c>
      <c r="J2958" s="2" t="s">
        <v>9372</v>
      </c>
      <c r="K2958" s="2" t="s">
        <v>125</v>
      </c>
      <c r="L2958" s="2" t="s">
        <v>34</v>
      </c>
      <c r="M2958" s="10">
        <v>11399.28</v>
      </c>
      <c r="N2958" s="7">
        <v>152.875</v>
      </c>
      <c r="O2958" s="7">
        <v>152.875</v>
      </c>
      <c r="P2958" s="2" t="s">
        <v>9373</v>
      </c>
      <c r="Q2958" s="6">
        <v>100</v>
      </c>
      <c r="R2958" s="6">
        <v>21.75</v>
      </c>
      <c r="S2958" s="5">
        <v>-3.9</v>
      </c>
      <c r="T2958" s="6">
        <v>75.849999999999994</v>
      </c>
      <c r="U2958" s="5">
        <v>6</v>
      </c>
      <c r="V2958" s="6">
        <v>-0.08</v>
      </c>
      <c r="W2958" s="7">
        <v>16.375</v>
      </c>
      <c r="X2958" s="7">
        <v>16.875</v>
      </c>
      <c r="Y2958" s="7">
        <v>20.875</v>
      </c>
      <c r="Z2958" s="7">
        <v>20.875</v>
      </c>
      <c r="AA2958" s="6">
        <v>63.8</v>
      </c>
      <c r="AB2958" s="7">
        <v>40.395000000000003</v>
      </c>
      <c r="AC2958" s="8">
        <v>1287</v>
      </c>
    </row>
    <row r="2959" spans="1:29" ht="91" x14ac:dyDescent="0.15">
      <c r="A2959" s="3">
        <f>DATE(1997,3,3)</f>
        <v>35492</v>
      </c>
      <c r="B2959" s="3">
        <f>DATE(1997,12,3)</f>
        <v>35767</v>
      </c>
      <c r="C2959" s="2" t="s">
        <v>95</v>
      </c>
      <c r="D2959" s="2" t="s">
        <v>9374</v>
      </c>
      <c r="E2959" s="2" t="s">
        <v>9375</v>
      </c>
      <c r="F2959" s="4">
        <v>6211</v>
      </c>
      <c r="G2959" s="2" t="s">
        <v>53</v>
      </c>
      <c r="H2959" s="2" t="s">
        <v>34</v>
      </c>
      <c r="I2959" s="2" t="s">
        <v>9376</v>
      </c>
      <c r="J2959" s="2" t="s">
        <v>124</v>
      </c>
      <c r="K2959" s="2" t="s">
        <v>125</v>
      </c>
      <c r="L2959" s="2" t="s">
        <v>34</v>
      </c>
      <c r="M2959" s="12">
        <v>2877.252</v>
      </c>
      <c r="N2959" s="6">
        <v>37.25</v>
      </c>
      <c r="O2959" s="5">
        <v>37.5</v>
      </c>
      <c r="P2959" s="2" t="s">
        <v>9377</v>
      </c>
      <c r="Q2959" s="6">
        <v>17</v>
      </c>
      <c r="R2959" s="6">
        <v>37</v>
      </c>
      <c r="S2959" s="5">
        <v>-46.7</v>
      </c>
      <c r="T2959" s="7">
        <v>401.32900000000001</v>
      </c>
      <c r="U2959" s="5">
        <v>-4.8</v>
      </c>
      <c r="V2959" s="7">
        <v>-0.59899999999999998</v>
      </c>
      <c r="W2959" s="4">
        <v>25</v>
      </c>
      <c r="X2959" s="5">
        <v>27.5</v>
      </c>
      <c r="Y2959" s="4">
        <v>36</v>
      </c>
      <c r="Z2959" s="4">
        <v>36</v>
      </c>
      <c r="AA2959" s="6">
        <v>13.29</v>
      </c>
      <c r="AB2959" s="7">
        <v>18.651</v>
      </c>
      <c r="AC2959" s="5">
        <v>448.3</v>
      </c>
    </row>
    <row r="2960" spans="1:29" ht="91" x14ac:dyDescent="0.15">
      <c r="A2960" s="3">
        <f>DATE(1997,3,3)</f>
        <v>35492</v>
      </c>
      <c r="B2960" s="3">
        <f>DATE(1997,5,30)</f>
        <v>35580</v>
      </c>
      <c r="C2960" s="2" t="s">
        <v>95</v>
      </c>
      <c r="D2960" s="2" t="s">
        <v>8706</v>
      </c>
      <c r="E2960" s="2" t="s">
        <v>373</v>
      </c>
      <c r="F2960" s="4">
        <v>7374</v>
      </c>
      <c r="G2960" s="2" t="s">
        <v>223</v>
      </c>
      <c r="H2960" s="2" t="s">
        <v>34</v>
      </c>
      <c r="I2960" s="2" t="s">
        <v>9378</v>
      </c>
      <c r="J2960" s="2" t="s">
        <v>9379</v>
      </c>
      <c r="K2960" s="2" t="s">
        <v>223</v>
      </c>
      <c r="L2960" s="2" t="s">
        <v>34</v>
      </c>
      <c r="M2960" s="12">
        <v>1519.5709999999999</v>
      </c>
      <c r="N2960" s="7">
        <v>36.625</v>
      </c>
      <c r="O2960" s="7">
        <v>37.625</v>
      </c>
      <c r="P2960" s="2" t="s">
        <v>9380</v>
      </c>
      <c r="Q2960" s="6">
        <v>100</v>
      </c>
      <c r="R2960" s="6">
        <v>33.5</v>
      </c>
      <c r="S2960" s="5">
        <v>17.5</v>
      </c>
      <c r="T2960" s="6">
        <v>46.76</v>
      </c>
      <c r="U2960" s="5">
        <v>14.1</v>
      </c>
      <c r="V2960" s="7">
        <v>2.5529999999999999</v>
      </c>
      <c r="W2960" s="7">
        <v>20.937999999999999</v>
      </c>
      <c r="X2960" s="4">
        <v>20</v>
      </c>
      <c r="Y2960" s="7">
        <v>31.875</v>
      </c>
      <c r="Z2960" s="6">
        <v>32.25</v>
      </c>
      <c r="AA2960" s="6">
        <v>6.33</v>
      </c>
      <c r="AB2960" s="7">
        <v>5.5359999999999996</v>
      </c>
      <c r="AC2960" s="6">
        <v>80.83</v>
      </c>
    </row>
    <row r="2961" spans="1:29" ht="91" x14ac:dyDescent="0.15">
      <c r="A2961" s="3">
        <f>DATE(1997,3,3)</f>
        <v>35492</v>
      </c>
      <c r="B2961" s="3">
        <f>DATE(1997,8,4)</f>
        <v>35646</v>
      </c>
      <c r="C2961" s="2" t="s">
        <v>95</v>
      </c>
      <c r="D2961" s="2" t="s">
        <v>9381</v>
      </c>
      <c r="E2961" s="2" t="s">
        <v>263</v>
      </c>
      <c r="F2961" s="4">
        <v>6021</v>
      </c>
      <c r="G2961" s="2" t="s">
        <v>37</v>
      </c>
      <c r="H2961" s="2" t="s">
        <v>34</v>
      </c>
      <c r="I2961" s="2" t="s">
        <v>8860</v>
      </c>
      <c r="J2961" s="2" t="s">
        <v>2898</v>
      </c>
      <c r="K2961" s="2" t="s">
        <v>37</v>
      </c>
      <c r="L2961" s="2" t="s">
        <v>34</v>
      </c>
      <c r="M2961" s="7">
        <v>152.75299999999999</v>
      </c>
      <c r="N2961" s="6">
        <v>27.25</v>
      </c>
      <c r="O2961" s="6">
        <v>27.25</v>
      </c>
      <c r="P2961" s="2" t="s">
        <v>9382</v>
      </c>
      <c r="Q2961" s="6">
        <v>100</v>
      </c>
      <c r="R2961" s="6">
        <v>35</v>
      </c>
      <c r="S2961" s="5">
        <v>2.2000000000000002</v>
      </c>
      <c r="T2961" s="6">
        <v>3.41</v>
      </c>
      <c r="U2961" s="5">
        <v>16.7</v>
      </c>
      <c r="V2961" s="7">
        <v>1.746</v>
      </c>
      <c r="W2961" s="7">
        <v>28.625</v>
      </c>
      <c r="X2961" s="7">
        <v>28.625</v>
      </c>
      <c r="Y2961" s="4">
        <v>33</v>
      </c>
      <c r="Z2961" s="6">
        <v>32.75</v>
      </c>
      <c r="AA2961" s="6">
        <v>1.1599999999999999</v>
      </c>
      <c r="AB2961" s="7">
        <v>52.223999999999997</v>
      </c>
      <c r="AC2961" s="2"/>
    </row>
    <row r="2962" spans="1:29" ht="117" x14ac:dyDescent="0.15">
      <c r="A2962" s="3">
        <f>DATE(1997,3,4)</f>
        <v>35493</v>
      </c>
      <c r="B2962" s="3">
        <f>DATE(1997,6,27)</f>
        <v>35608</v>
      </c>
      <c r="C2962" s="2" t="s">
        <v>95</v>
      </c>
      <c r="D2962" s="2" t="s">
        <v>9383</v>
      </c>
      <c r="E2962" s="2" t="s">
        <v>9384</v>
      </c>
      <c r="F2962" s="4">
        <v>5731</v>
      </c>
      <c r="G2962" s="2" t="s">
        <v>1227</v>
      </c>
      <c r="H2962" s="2" t="s">
        <v>34</v>
      </c>
      <c r="I2962" s="2" t="s">
        <v>9385</v>
      </c>
      <c r="J2962" s="2" t="s">
        <v>9386</v>
      </c>
      <c r="K2962" s="2" t="s">
        <v>1227</v>
      </c>
      <c r="L2962" s="2" t="s">
        <v>34</v>
      </c>
      <c r="M2962" s="7">
        <v>18.361999999999998</v>
      </c>
      <c r="N2962" s="7">
        <v>2.625</v>
      </c>
      <c r="O2962" s="7">
        <v>2.625</v>
      </c>
      <c r="P2962" s="2" t="s">
        <v>9387</v>
      </c>
      <c r="Q2962" s="6">
        <v>100</v>
      </c>
      <c r="R2962" s="6">
        <v>2.1</v>
      </c>
      <c r="S2962" s="5">
        <v>-0.5</v>
      </c>
      <c r="T2962" s="7">
        <v>0.51500000000000001</v>
      </c>
      <c r="U2962" s="5">
        <v>2.4</v>
      </c>
      <c r="V2962" s="7">
        <v>-0.186</v>
      </c>
      <c r="W2962" s="6">
        <v>1.25</v>
      </c>
      <c r="X2962" s="7">
        <v>1.3129999999999999</v>
      </c>
      <c r="Y2962" s="6">
        <v>1.25</v>
      </c>
      <c r="Z2962" s="7">
        <v>1.625</v>
      </c>
      <c r="AA2962" s="6">
        <v>2.8</v>
      </c>
      <c r="AB2962" s="2" t="s">
        <v>86</v>
      </c>
      <c r="AC2962" s="6">
        <v>0.76</v>
      </c>
    </row>
    <row r="2963" spans="1:29" ht="130" x14ac:dyDescent="0.15">
      <c r="A2963" s="3">
        <f>DATE(1997,3,6)</f>
        <v>35495</v>
      </c>
      <c r="B2963" s="3">
        <f>DATE(1997,7,31)</f>
        <v>35642</v>
      </c>
      <c r="C2963" s="2" t="s">
        <v>95</v>
      </c>
      <c r="D2963" s="2" t="s">
        <v>9388</v>
      </c>
      <c r="E2963" s="2" t="s">
        <v>9389</v>
      </c>
      <c r="F2963" s="4">
        <v>4953</v>
      </c>
      <c r="G2963" s="2" t="s">
        <v>116</v>
      </c>
      <c r="H2963" s="2" t="s">
        <v>34</v>
      </c>
      <c r="I2963" s="2" t="s">
        <v>9263</v>
      </c>
      <c r="J2963" s="2" t="s">
        <v>3231</v>
      </c>
      <c r="K2963" s="2" t="s">
        <v>116</v>
      </c>
      <c r="L2963" s="2" t="s">
        <v>902</v>
      </c>
      <c r="M2963" s="2"/>
      <c r="N2963" s="2"/>
      <c r="O2963" s="2"/>
      <c r="P2963" s="2" t="s">
        <v>9390</v>
      </c>
      <c r="Q2963" s="6">
        <v>100</v>
      </c>
      <c r="R2963" s="6">
        <v>10.01</v>
      </c>
      <c r="S2963" s="5">
        <v>6.7</v>
      </c>
      <c r="T2963" s="7">
        <v>50.290999999999997</v>
      </c>
      <c r="U2963" s="5">
        <v>3.6</v>
      </c>
      <c r="V2963" s="7">
        <v>0.17599999999999999</v>
      </c>
      <c r="W2963" s="7">
        <v>6.125</v>
      </c>
      <c r="X2963" s="6">
        <v>6.75</v>
      </c>
      <c r="Y2963" s="7">
        <v>9.0470000000000006</v>
      </c>
      <c r="Z2963" s="7">
        <v>9.375</v>
      </c>
      <c r="AA2963" s="6">
        <v>36.229999999999997</v>
      </c>
      <c r="AB2963" s="7">
        <v>26.004999999999999</v>
      </c>
      <c r="AC2963" s="2"/>
    </row>
    <row r="2964" spans="1:29" ht="78" x14ac:dyDescent="0.15">
      <c r="A2964" s="3">
        <f>DATE(1997,3,6)</f>
        <v>35495</v>
      </c>
      <c r="B2964" s="3">
        <f>DATE(1997,8,13)</f>
        <v>35655</v>
      </c>
      <c r="C2964" s="2" t="s">
        <v>95</v>
      </c>
      <c r="D2964" s="2" t="s">
        <v>9391</v>
      </c>
      <c r="E2964" s="2" t="s">
        <v>1563</v>
      </c>
      <c r="F2964" s="4">
        <v>6411</v>
      </c>
      <c r="G2964" s="2" t="s">
        <v>125</v>
      </c>
      <c r="H2964" s="2" t="s">
        <v>34</v>
      </c>
      <c r="I2964" s="2" t="s">
        <v>9392</v>
      </c>
      <c r="J2964" s="2" t="s">
        <v>124</v>
      </c>
      <c r="K2964" s="2" t="s">
        <v>125</v>
      </c>
      <c r="L2964" s="2" t="s">
        <v>34</v>
      </c>
      <c r="M2964" s="2"/>
      <c r="N2964" s="2"/>
      <c r="O2964" s="2"/>
      <c r="P2964" s="2" t="s">
        <v>9393</v>
      </c>
      <c r="Q2964" s="6">
        <v>100</v>
      </c>
      <c r="R2964" s="6">
        <v>10.25</v>
      </c>
      <c r="S2964" s="5">
        <v>-3.1</v>
      </c>
      <c r="T2964" s="6">
        <v>-3.41</v>
      </c>
      <c r="U2964" s="5">
        <v>5.4</v>
      </c>
      <c r="V2964" s="7">
        <v>-0.44800000000000001</v>
      </c>
      <c r="W2964" s="7">
        <v>8.875</v>
      </c>
      <c r="X2964" s="5">
        <v>8.5</v>
      </c>
      <c r="Y2964" s="7">
        <v>9.9060000000000006</v>
      </c>
      <c r="Z2964" s="7">
        <v>9.9060000000000006</v>
      </c>
      <c r="AA2964" s="6">
        <v>7.99</v>
      </c>
      <c r="AB2964" s="2" t="s">
        <v>86</v>
      </c>
      <c r="AC2964" s="2"/>
    </row>
    <row r="2965" spans="1:29" ht="143" x14ac:dyDescent="0.15">
      <c r="A2965" s="3">
        <f>DATE(1997,3,6)</f>
        <v>35495</v>
      </c>
      <c r="B2965" s="3">
        <f>DATE(1997,7,2)</f>
        <v>35613</v>
      </c>
      <c r="C2965" s="2" t="s">
        <v>95</v>
      </c>
      <c r="D2965" s="2" t="s">
        <v>9310</v>
      </c>
      <c r="E2965" s="2" t="s">
        <v>36</v>
      </c>
      <c r="F2965" s="4">
        <v>6035</v>
      </c>
      <c r="G2965" s="2" t="s">
        <v>33</v>
      </c>
      <c r="H2965" s="2" t="s">
        <v>34</v>
      </c>
      <c r="I2965" s="2" t="s">
        <v>2324</v>
      </c>
      <c r="J2965" s="2" t="s">
        <v>672</v>
      </c>
      <c r="K2965" s="2" t="s">
        <v>33</v>
      </c>
      <c r="L2965" s="2" t="s">
        <v>34</v>
      </c>
      <c r="M2965" s="12">
        <v>6649.2209999999995</v>
      </c>
      <c r="N2965" s="4">
        <v>53</v>
      </c>
      <c r="O2965" s="7">
        <v>52.875</v>
      </c>
      <c r="P2965" s="2" t="s">
        <v>9394</v>
      </c>
      <c r="Q2965" s="6">
        <v>100</v>
      </c>
      <c r="R2965" s="6">
        <v>47.93</v>
      </c>
      <c r="S2965" s="5">
        <v>115.8</v>
      </c>
      <c r="T2965" s="7">
        <v>530.62400000000002</v>
      </c>
      <c r="U2965" s="5">
        <v>17.600000000000001</v>
      </c>
      <c r="V2965" s="6">
        <v>0.69</v>
      </c>
      <c r="W2965" s="4">
        <v>33</v>
      </c>
      <c r="X2965" s="6">
        <v>34.25</v>
      </c>
      <c r="Y2965" s="7">
        <v>44.875</v>
      </c>
      <c r="Z2965" s="4">
        <v>45</v>
      </c>
      <c r="AA2965" s="6">
        <v>137.71</v>
      </c>
      <c r="AB2965" s="7">
        <v>39.755000000000003</v>
      </c>
      <c r="AC2965" s="2"/>
    </row>
    <row r="2966" spans="1:29" ht="130" x14ac:dyDescent="0.15">
      <c r="A2966" s="3">
        <f>DATE(1997,3,7)</f>
        <v>35496</v>
      </c>
      <c r="B2966" s="2"/>
      <c r="C2966" s="2" t="s">
        <v>30</v>
      </c>
      <c r="D2966" s="2" t="s">
        <v>9395</v>
      </c>
      <c r="E2966" s="2" t="s">
        <v>9396</v>
      </c>
      <c r="F2966" s="4">
        <v>6021</v>
      </c>
      <c r="G2966" s="2" t="s">
        <v>37</v>
      </c>
      <c r="H2966" s="2" t="s">
        <v>34</v>
      </c>
      <c r="I2966" s="2" t="s">
        <v>4381</v>
      </c>
      <c r="J2966" s="2" t="s">
        <v>263</v>
      </c>
      <c r="K2966" s="2" t="s">
        <v>37</v>
      </c>
      <c r="L2966" s="2" t="s">
        <v>34</v>
      </c>
      <c r="M2966" s="7">
        <v>488.79399999999998</v>
      </c>
      <c r="N2966" s="6">
        <v>26.25</v>
      </c>
      <c r="O2966" s="6">
        <v>26.25</v>
      </c>
      <c r="P2966" s="2" t="s">
        <v>9397</v>
      </c>
      <c r="Q2966" s="2"/>
      <c r="R2966" s="6">
        <v>19.670000000000002</v>
      </c>
      <c r="S2966" s="5">
        <v>5.3</v>
      </c>
      <c r="T2966" s="6">
        <v>9.93</v>
      </c>
      <c r="U2966" s="5">
        <v>7.4</v>
      </c>
      <c r="V2966" s="9">
        <v>1.0248999999999999</v>
      </c>
      <c r="W2966" s="4">
        <v>14</v>
      </c>
      <c r="X2966" s="4">
        <v>14</v>
      </c>
      <c r="Y2966" s="4">
        <v>14</v>
      </c>
      <c r="Z2966" s="6">
        <v>15.75</v>
      </c>
      <c r="AA2966" s="6">
        <v>4.68</v>
      </c>
      <c r="AB2966" s="7">
        <v>14.807</v>
      </c>
      <c r="AC2966" s="2"/>
    </row>
    <row r="2967" spans="1:29" ht="143" x14ac:dyDescent="0.15">
      <c r="A2967" s="3">
        <f>DATE(1997,3,7)</f>
        <v>35496</v>
      </c>
      <c r="B2967" s="3">
        <f>DATE(1997,8,1)</f>
        <v>35643</v>
      </c>
      <c r="C2967" s="2" t="s">
        <v>95</v>
      </c>
      <c r="D2967" s="2" t="s">
        <v>9398</v>
      </c>
      <c r="E2967" s="2" t="s">
        <v>9399</v>
      </c>
      <c r="F2967" s="4">
        <v>5047</v>
      </c>
      <c r="G2967" s="2" t="s">
        <v>76</v>
      </c>
      <c r="H2967" s="2" t="s">
        <v>34</v>
      </c>
      <c r="I2967" s="2" t="s">
        <v>9400</v>
      </c>
      <c r="J2967" s="2" t="s">
        <v>9401</v>
      </c>
      <c r="K2967" s="2" t="s">
        <v>76</v>
      </c>
      <c r="L2967" s="2" t="s">
        <v>34</v>
      </c>
      <c r="M2967" s="7">
        <v>754.05499999999995</v>
      </c>
      <c r="N2967" s="7">
        <v>28.625</v>
      </c>
      <c r="O2967" s="5">
        <v>27.5</v>
      </c>
      <c r="P2967" s="2" t="s">
        <v>9402</v>
      </c>
      <c r="Q2967" s="6">
        <v>100</v>
      </c>
      <c r="R2967" s="6">
        <v>17.670000000000002</v>
      </c>
      <c r="S2967" s="5">
        <v>2</v>
      </c>
      <c r="T2967" s="7">
        <v>5.3940000000000001</v>
      </c>
      <c r="U2967" s="5">
        <v>6.2</v>
      </c>
      <c r="V2967" s="7">
        <v>0.38100000000000001</v>
      </c>
      <c r="W2967" s="6">
        <v>15.75</v>
      </c>
      <c r="X2967" s="6">
        <v>15.75</v>
      </c>
      <c r="Y2967" s="6">
        <v>15.75</v>
      </c>
      <c r="Z2967" s="7">
        <v>16.375</v>
      </c>
      <c r="AA2967" s="6">
        <v>5.04</v>
      </c>
      <c r="AB2967" s="7">
        <v>26.277000000000001</v>
      </c>
      <c r="AC2967" s="6">
        <v>41.67</v>
      </c>
    </row>
    <row r="2968" spans="1:29" ht="104" x14ac:dyDescent="0.15">
      <c r="A2968" s="3">
        <f>DATE(1997,3,10)</f>
        <v>35499</v>
      </c>
      <c r="B2968" s="3">
        <f>DATE(1997,9,2)</f>
        <v>35675</v>
      </c>
      <c r="C2968" s="2" t="s">
        <v>95</v>
      </c>
      <c r="D2968" s="2" t="s">
        <v>9292</v>
      </c>
      <c r="E2968" s="2" t="s">
        <v>9293</v>
      </c>
      <c r="F2968" s="4">
        <v>3724</v>
      </c>
      <c r="G2968" s="2" t="s">
        <v>219</v>
      </c>
      <c r="H2968" s="2" t="s">
        <v>34</v>
      </c>
      <c r="I2968" s="2" t="s">
        <v>350</v>
      </c>
      <c r="J2968" s="2" t="s">
        <v>351</v>
      </c>
      <c r="K2968" s="2" t="s">
        <v>137</v>
      </c>
      <c r="L2968" s="2" t="s">
        <v>34</v>
      </c>
      <c r="M2968" s="12">
        <v>170374.03700000001</v>
      </c>
      <c r="N2968" s="7">
        <v>105.875</v>
      </c>
      <c r="O2968" s="7">
        <v>105.125</v>
      </c>
      <c r="P2968" s="2" t="s">
        <v>9403</v>
      </c>
      <c r="Q2968" s="6">
        <v>100</v>
      </c>
      <c r="R2968" s="6">
        <v>31</v>
      </c>
      <c r="S2968" s="5">
        <v>15.2</v>
      </c>
      <c r="T2968" s="7">
        <v>50.372</v>
      </c>
      <c r="U2968" s="5">
        <v>8.8000000000000007</v>
      </c>
      <c r="V2968" s="7">
        <v>1.0089999999999999</v>
      </c>
      <c r="W2968" s="6">
        <v>23.25</v>
      </c>
      <c r="X2968" s="5">
        <v>25.5</v>
      </c>
      <c r="Y2968" s="4">
        <v>29</v>
      </c>
      <c r="Z2968" s="6">
        <v>29.25</v>
      </c>
      <c r="AA2968" s="6">
        <v>16.75</v>
      </c>
      <c r="AB2968" s="7">
        <v>18.623999999999999</v>
      </c>
      <c r="AC2968" s="8">
        <v>64080</v>
      </c>
    </row>
    <row r="2969" spans="1:29" ht="143" x14ac:dyDescent="0.15">
      <c r="A2969" s="3">
        <f>DATE(1997,3,11)</f>
        <v>35500</v>
      </c>
      <c r="B2969" s="3">
        <f>DATE(1997,8,25)</f>
        <v>35667</v>
      </c>
      <c r="C2969" s="2" t="s">
        <v>95</v>
      </c>
      <c r="D2969" s="2" t="s">
        <v>9404</v>
      </c>
      <c r="E2969" s="2" t="s">
        <v>36</v>
      </c>
      <c r="F2969" s="4">
        <v>6035</v>
      </c>
      <c r="G2969" s="2" t="s">
        <v>33</v>
      </c>
      <c r="H2969" s="2" t="s">
        <v>34</v>
      </c>
      <c r="I2969" s="2" t="s">
        <v>9405</v>
      </c>
      <c r="J2969" s="2" t="s">
        <v>159</v>
      </c>
      <c r="K2969" s="2" t="s">
        <v>37</v>
      </c>
      <c r="L2969" s="2" t="s">
        <v>34</v>
      </c>
      <c r="M2969" s="6">
        <v>342.27</v>
      </c>
      <c r="N2969" s="7">
        <v>41.938000000000002</v>
      </c>
      <c r="O2969" s="7">
        <v>41.375</v>
      </c>
      <c r="P2969" s="2" t="s">
        <v>9406</v>
      </c>
      <c r="Q2969" s="6">
        <v>100</v>
      </c>
      <c r="R2969" s="6">
        <v>31.3</v>
      </c>
      <c r="S2969" s="5">
        <v>2.9</v>
      </c>
      <c r="T2969" s="7">
        <v>5.3339999999999996</v>
      </c>
      <c r="U2969" s="5">
        <v>13.5</v>
      </c>
      <c r="V2969" s="7">
        <v>0.90600000000000003</v>
      </c>
      <c r="W2969" s="4">
        <v>22</v>
      </c>
      <c r="X2969" s="6">
        <v>24.75</v>
      </c>
      <c r="Y2969" s="7">
        <v>28.625</v>
      </c>
      <c r="Z2969" s="6">
        <v>27.75</v>
      </c>
      <c r="AA2969" s="6">
        <v>3.19</v>
      </c>
      <c r="AB2969" s="7">
        <v>133.96899999999999</v>
      </c>
      <c r="AC2969" s="2"/>
    </row>
    <row r="2970" spans="1:29" ht="117" x14ac:dyDescent="0.15">
      <c r="A2970" s="3">
        <f>DATE(1997,3,11)</f>
        <v>35500</v>
      </c>
      <c r="B2970" s="3">
        <f>DATE(1997,4,15)</f>
        <v>35535</v>
      </c>
      <c r="C2970" s="2" t="s">
        <v>95</v>
      </c>
      <c r="D2970" s="2" t="s">
        <v>9407</v>
      </c>
      <c r="E2970" s="2" t="s">
        <v>4880</v>
      </c>
      <c r="F2970" s="4">
        <v>4923</v>
      </c>
      <c r="G2970" s="2" t="s">
        <v>439</v>
      </c>
      <c r="H2970" s="2" t="s">
        <v>34</v>
      </c>
      <c r="I2970" s="2" t="s">
        <v>9408</v>
      </c>
      <c r="J2970" s="2" t="s">
        <v>1786</v>
      </c>
      <c r="K2970" s="2" t="s">
        <v>63</v>
      </c>
      <c r="L2970" s="2" t="s">
        <v>34</v>
      </c>
      <c r="M2970" s="2"/>
      <c r="N2970" s="2"/>
      <c r="O2970" s="2"/>
      <c r="P2970" s="2" t="s">
        <v>9409</v>
      </c>
      <c r="Q2970" s="6">
        <v>100</v>
      </c>
      <c r="R2970" s="6">
        <v>13.41</v>
      </c>
      <c r="S2970" s="5">
        <v>4.2</v>
      </c>
      <c r="T2970" s="7">
        <v>26.341999999999999</v>
      </c>
      <c r="U2970" s="5">
        <v>5.8</v>
      </c>
      <c r="V2970" s="7">
        <v>0.22500000000000001</v>
      </c>
      <c r="W2970" s="7">
        <v>8.125</v>
      </c>
      <c r="X2970" s="7">
        <v>8.8130000000000006</v>
      </c>
      <c r="Y2970" s="7">
        <v>8.875</v>
      </c>
      <c r="Z2970" s="4">
        <v>9</v>
      </c>
      <c r="AA2970" s="6">
        <v>18</v>
      </c>
      <c r="AB2970" s="7">
        <v>26.568000000000001</v>
      </c>
      <c r="AC2970" s="2"/>
    </row>
    <row r="2971" spans="1:29" ht="130" x14ac:dyDescent="0.15">
      <c r="A2971" s="3">
        <f>DATE(1997,3,11)</f>
        <v>35500</v>
      </c>
      <c r="B2971" s="2"/>
      <c r="C2971" s="2" t="s">
        <v>30</v>
      </c>
      <c r="D2971" s="2" t="s">
        <v>9410</v>
      </c>
      <c r="E2971" s="2" t="s">
        <v>9411</v>
      </c>
      <c r="F2971" s="4">
        <v>5065</v>
      </c>
      <c r="G2971" s="2" t="s">
        <v>76</v>
      </c>
      <c r="H2971" s="2" t="s">
        <v>34</v>
      </c>
      <c r="I2971" s="2" t="s">
        <v>9412</v>
      </c>
      <c r="J2971" s="2" t="s">
        <v>9413</v>
      </c>
      <c r="K2971" s="2" t="s">
        <v>226</v>
      </c>
      <c r="L2971" s="2" t="s">
        <v>34</v>
      </c>
      <c r="M2971" s="7">
        <v>637.98900000000003</v>
      </c>
      <c r="N2971" s="4">
        <v>23</v>
      </c>
      <c r="O2971" s="4">
        <v>20</v>
      </c>
      <c r="P2971" s="2" t="s">
        <v>9414</v>
      </c>
      <c r="Q2971" s="2"/>
      <c r="R2971" s="6">
        <v>25.88</v>
      </c>
      <c r="S2971" s="5">
        <v>7.6</v>
      </c>
      <c r="T2971" s="7">
        <v>13.212999999999999</v>
      </c>
      <c r="U2971" s="5">
        <v>111.8</v>
      </c>
      <c r="V2971" s="6">
        <v>7.5</v>
      </c>
      <c r="W2971" s="7">
        <v>18.312999999999999</v>
      </c>
      <c r="X2971" s="6">
        <v>22.25</v>
      </c>
      <c r="Y2971" s="7">
        <v>21.875</v>
      </c>
      <c r="Z2971" s="7">
        <v>19.625</v>
      </c>
      <c r="AA2971" s="6">
        <v>10.62</v>
      </c>
      <c r="AB2971" s="2" t="s">
        <v>86</v>
      </c>
      <c r="AC2971" s="6">
        <v>185.84</v>
      </c>
    </row>
    <row r="2972" spans="1:29" ht="91" x14ac:dyDescent="0.15">
      <c r="A2972" s="3">
        <f>DATE(1997,3,12)</f>
        <v>35501</v>
      </c>
      <c r="B2972" s="2"/>
      <c r="C2972" s="2" t="s">
        <v>30</v>
      </c>
      <c r="D2972" s="2" t="s">
        <v>9415</v>
      </c>
      <c r="E2972" s="2" t="s">
        <v>9416</v>
      </c>
      <c r="F2972" s="4">
        <v>2335</v>
      </c>
      <c r="G2972" s="2" t="s">
        <v>708</v>
      </c>
      <c r="H2972" s="2" t="s">
        <v>34</v>
      </c>
      <c r="I2972" s="2" t="s">
        <v>51</v>
      </c>
      <c r="J2972" s="2" t="s">
        <v>52</v>
      </c>
      <c r="K2972" s="2" t="s">
        <v>53</v>
      </c>
      <c r="L2972" s="2" t="s">
        <v>34</v>
      </c>
      <c r="M2972" s="2"/>
      <c r="N2972" s="2"/>
      <c r="O2972" s="2"/>
      <c r="P2972" s="2" t="s">
        <v>9417</v>
      </c>
      <c r="Q2972" s="2"/>
      <c r="R2972" s="2"/>
      <c r="S2972" s="5">
        <v>-3.9</v>
      </c>
      <c r="T2972" s="7">
        <v>-0.33500000000000002</v>
      </c>
      <c r="U2972" s="5">
        <v>0.4</v>
      </c>
      <c r="V2972" s="6">
        <v>-0.57999999999999996</v>
      </c>
      <c r="W2972" s="6">
        <v>1.25</v>
      </c>
      <c r="X2972" s="7">
        <v>1.125</v>
      </c>
      <c r="Y2972" s="5">
        <v>1.5</v>
      </c>
      <c r="Z2972" s="7">
        <v>1.125</v>
      </c>
      <c r="AA2972" s="2"/>
      <c r="AB2972" s="2" t="s">
        <v>86</v>
      </c>
      <c r="AC2972" s="2"/>
    </row>
    <row r="2973" spans="1:29" ht="143" x14ac:dyDescent="0.15">
      <c r="A2973" s="3">
        <f>DATE(1997,3,12)</f>
        <v>35501</v>
      </c>
      <c r="B2973" s="2"/>
      <c r="C2973" s="2" t="s">
        <v>30</v>
      </c>
      <c r="D2973" s="2" t="s">
        <v>9418</v>
      </c>
      <c r="E2973" s="2" t="s">
        <v>9419</v>
      </c>
      <c r="F2973" s="4">
        <v>8249</v>
      </c>
      <c r="G2973" s="2" t="s">
        <v>415</v>
      </c>
      <c r="H2973" s="2" t="s">
        <v>34</v>
      </c>
      <c r="I2973" s="2" t="s">
        <v>9420</v>
      </c>
      <c r="J2973" s="2" t="s">
        <v>9421</v>
      </c>
      <c r="K2973" s="2" t="s">
        <v>415</v>
      </c>
      <c r="L2973" s="2" t="s">
        <v>34</v>
      </c>
      <c r="M2973" s="5">
        <v>561.70000000000005</v>
      </c>
      <c r="N2973" s="7">
        <v>29.875</v>
      </c>
      <c r="O2973" s="6">
        <v>29.25</v>
      </c>
      <c r="P2973" s="2" t="s">
        <v>9422</v>
      </c>
      <c r="Q2973" s="2"/>
      <c r="R2973" s="6">
        <v>20.37</v>
      </c>
      <c r="S2973" s="5">
        <v>21.4</v>
      </c>
      <c r="T2973" s="2"/>
      <c r="U2973" s="5">
        <v>0.9</v>
      </c>
      <c r="V2973" s="6">
        <v>0.57999999999999996</v>
      </c>
      <c r="W2973" s="7">
        <v>13.625</v>
      </c>
      <c r="X2973" s="7">
        <v>17.125</v>
      </c>
      <c r="Y2973" s="6">
        <v>16.25</v>
      </c>
      <c r="Z2973" s="7">
        <v>15.625</v>
      </c>
      <c r="AA2973" s="6">
        <v>35.65</v>
      </c>
      <c r="AB2973" s="2" t="s">
        <v>47</v>
      </c>
      <c r="AC2973" s="6">
        <v>27.38</v>
      </c>
    </row>
    <row r="2974" spans="1:29" ht="143" x14ac:dyDescent="0.15">
      <c r="A2974" s="3">
        <f>DATE(1997,3,13)</f>
        <v>35502</v>
      </c>
      <c r="B2974" s="3">
        <f>DATE(1997,7,25)</f>
        <v>35636</v>
      </c>
      <c r="C2974" s="2" t="s">
        <v>95</v>
      </c>
      <c r="D2974" s="2" t="s">
        <v>9423</v>
      </c>
      <c r="E2974" s="2" t="s">
        <v>263</v>
      </c>
      <c r="F2974" s="4">
        <v>6035</v>
      </c>
      <c r="G2974" s="2" t="s">
        <v>33</v>
      </c>
      <c r="H2974" s="2" t="s">
        <v>34</v>
      </c>
      <c r="I2974" s="2" t="s">
        <v>1963</v>
      </c>
      <c r="J2974" s="2" t="s">
        <v>36</v>
      </c>
      <c r="K2974" s="2" t="s">
        <v>37</v>
      </c>
      <c r="L2974" s="2" t="s">
        <v>34</v>
      </c>
      <c r="M2974" s="12">
        <v>8575.5969999999998</v>
      </c>
      <c r="N2974" s="6">
        <v>84.75</v>
      </c>
      <c r="O2974" s="6">
        <v>85.75</v>
      </c>
      <c r="P2974" s="2" t="s">
        <v>9424</v>
      </c>
      <c r="Q2974" s="6">
        <v>100</v>
      </c>
      <c r="R2974" s="6">
        <v>21.42</v>
      </c>
      <c r="S2974" s="5">
        <v>0.3</v>
      </c>
      <c r="T2974" s="7">
        <v>0.55500000000000005</v>
      </c>
      <c r="U2974" s="5">
        <v>17.2</v>
      </c>
      <c r="V2974" s="7">
        <v>0.224</v>
      </c>
      <c r="W2974" s="6">
        <v>17.25</v>
      </c>
      <c r="X2974" s="4">
        <v>17</v>
      </c>
      <c r="Y2974" s="6">
        <v>17.25</v>
      </c>
      <c r="Z2974" s="7">
        <v>19.375</v>
      </c>
      <c r="AA2974" s="6">
        <v>1.47</v>
      </c>
      <c r="AB2974" s="7">
        <v>353.11200000000002</v>
      </c>
      <c r="AC2974" s="2"/>
    </row>
    <row r="2975" spans="1:29" ht="104" x14ac:dyDescent="0.15">
      <c r="A2975" s="3">
        <f>DATE(1997,3,14)</f>
        <v>35503</v>
      </c>
      <c r="B2975" s="2"/>
      <c r="C2975" s="2" t="s">
        <v>30</v>
      </c>
      <c r="D2975" s="2" t="s">
        <v>9425</v>
      </c>
      <c r="E2975" s="2" t="s">
        <v>973</v>
      </c>
      <c r="F2975" s="4">
        <v>4813</v>
      </c>
      <c r="G2975" s="2" t="s">
        <v>63</v>
      </c>
      <c r="H2975" s="2" t="s">
        <v>34</v>
      </c>
      <c r="I2975" s="2" t="s">
        <v>9426</v>
      </c>
      <c r="J2975" s="2" t="s">
        <v>9427</v>
      </c>
      <c r="K2975" s="2" t="s">
        <v>63</v>
      </c>
      <c r="L2975" s="2" t="s">
        <v>34</v>
      </c>
      <c r="M2975" s="7">
        <v>33.423999999999999</v>
      </c>
      <c r="N2975" s="5">
        <v>3.5</v>
      </c>
      <c r="O2975" s="7">
        <v>3.625</v>
      </c>
      <c r="P2975" s="2" t="s">
        <v>9428</v>
      </c>
      <c r="Q2975" s="2"/>
      <c r="R2975" s="6">
        <v>12.85</v>
      </c>
      <c r="S2975" s="5">
        <v>-19.600000000000001</v>
      </c>
      <c r="T2975" s="7">
        <v>-1.7569999999999999</v>
      </c>
      <c r="U2975" s="5">
        <v>4.5999999999999996</v>
      </c>
      <c r="V2975" s="7">
        <v>-3.234</v>
      </c>
      <c r="W2975" s="7">
        <v>8.875</v>
      </c>
      <c r="X2975" s="7">
        <v>8.875</v>
      </c>
      <c r="Y2975" s="7">
        <v>11.125</v>
      </c>
      <c r="Z2975" s="6">
        <v>10.75</v>
      </c>
      <c r="AA2975" s="6">
        <v>6.28</v>
      </c>
      <c r="AB2975" s="2" t="s">
        <v>86</v>
      </c>
      <c r="AC2975" s="6">
        <v>46.44</v>
      </c>
    </row>
    <row r="2976" spans="1:29" ht="143" x14ac:dyDescent="0.15">
      <c r="A2976" s="3">
        <f>DATE(1997,3,14)</f>
        <v>35503</v>
      </c>
      <c r="B2976" s="3">
        <f>DATE(1997,6,26)</f>
        <v>35607</v>
      </c>
      <c r="C2976" s="2" t="s">
        <v>95</v>
      </c>
      <c r="D2976" s="2" t="s">
        <v>9429</v>
      </c>
      <c r="E2976" s="2" t="s">
        <v>9430</v>
      </c>
      <c r="F2976" s="4">
        <v>7372</v>
      </c>
      <c r="G2976" s="2" t="s">
        <v>551</v>
      </c>
      <c r="H2976" s="2" t="s">
        <v>34</v>
      </c>
      <c r="I2976" s="2" t="s">
        <v>4939</v>
      </c>
      <c r="J2976" s="2" t="s">
        <v>4940</v>
      </c>
      <c r="K2976" s="2" t="s">
        <v>223</v>
      </c>
      <c r="L2976" s="2" t="s">
        <v>34</v>
      </c>
      <c r="M2976" s="10">
        <v>6161.25</v>
      </c>
      <c r="N2976" s="7">
        <v>54.125</v>
      </c>
      <c r="O2976" s="6">
        <v>51.25</v>
      </c>
      <c r="P2976" s="2" t="s">
        <v>9431</v>
      </c>
      <c r="Q2976" s="6">
        <v>100</v>
      </c>
      <c r="R2976" s="6">
        <v>31.85</v>
      </c>
      <c r="S2976" s="5">
        <v>-0.9</v>
      </c>
      <c r="T2976" s="7">
        <v>1.371</v>
      </c>
      <c r="U2976" s="5">
        <v>6.7</v>
      </c>
      <c r="V2976" s="6">
        <v>-0.12</v>
      </c>
      <c r="W2976" s="4">
        <v>28</v>
      </c>
      <c r="X2976" s="7">
        <v>27.625</v>
      </c>
      <c r="Y2976" s="4">
        <v>25</v>
      </c>
      <c r="Z2976" s="7">
        <v>24.125</v>
      </c>
      <c r="AA2976" s="6">
        <v>8.1199999999999992</v>
      </c>
      <c r="AB2976" s="2" t="s">
        <v>86</v>
      </c>
      <c r="AC2976" s="6">
        <v>183.61</v>
      </c>
    </row>
    <row r="2977" spans="1:29" ht="65" x14ac:dyDescent="0.15">
      <c r="A2977" s="3">
        <f>DATE(1997,3,14)</f>
        <v>35503</v>
      </c>
      <c r="B2977" s="3">
        <f>DATE(1997,6,28)</f>
        <v>35609</v>
      </c>
      <c r="C2977" s="2" t="s">
        <v>95</v>
      </c>
      <c r="D2977" s="2" t="s">
        <v>2060</v>
      </c>
      <c r="E2977" s="2" t="s">
        <v>2061</v>
      </c>
      <c r="F2977" s="4">
        <v>3842</v>
      </c>
      <c r="G2977" s="2" t="s">
        <v>226</v>
      </c>
      <c r="H2977" s="2" t="s">
        <v>34</v>
      </c>
      <c r="I2977" s="2" t="s">
        <v>2427</v>
      </c>
      <c r="J2977" s="2" t="s">
        <v>2428</v>
      </c>
      <c r="K2977" s="2" t="s">
        <v>226</v>
      </c>
      <c r="L2977" s="2" t="s">
        <v>34</v>
      </c>
      <c r="M2977" s="7">
        <v>296.815</v>
      </c>
      <c r="N2977" s="5">
        <v>24.5</v>
      </c>
      <c r="O2977" s="6">
        <v>24.25</v>
      </c>
      <c r="P2977" s="2" t="s">
        <v>9432</v>
      </c>
      <c r="Q2977" s="6">
        <v>100</v>
      </c>
      <c r="R2977" s="6">
        <v>0.8</v>
      </c>
      <c r="S2977" s="5">
        <v>-0.1</v>
      </c>
      <c r="T2977" s="6">
        <v>0.99</v>
      </c>
      <c r="U2977" s="5">
        <v>0.3</v>
      </c>
      <c r="V2977" s="7">
        <v>2.4E-2</v>
      </c>
      <c r="W2977" s="4">
        <v>1</v>
      </c>
      <c r="X2977" s="6">
        <v>1.25</v>
      </c>
      <c r="Y2977" s="7">
        <v>1.125</v>
      </c>
      <c r="Z2977" s="7">
        <v>0.71899999999999997</v>
      </c>
      <c r="AA2977" s="6">
        <v>14.3</v>
      </c>
      <c r="AB2977" s="7">
        <v>114.54300000000001</v>
      </c>
      <c r="AC2977" s="6">
        <v>18.350000000000001</v>
      </c>
    </row>
    <row r="2978" spans="1:29" ht="169" x14ac:dyDescent="0.15">
      <c r="A2978" s="3">
        <f>DATE(1997,3,14)</f>
        <v>35503</v>
      </c>
      <c r="B2978" s="3">
        <f>DATE(1997,10,1)</f>
        <v>35704</v>
      </c>
      <c r="C2978" s="2" t="s">
        <v>95</v>
      </c>
      <c r="D2978" s="2" t="s">
        <v>9433</v>
      </c>
      <c r="E2978" s="2" t="s">
        <v>36</v>
      </c>
      <c r="F2978" s="4">
        <v>6021</v>
      </c>
      <c r="G2978" s="2" t="s">
        <v>37</v>
      </c>
      <c r="H2978" s="2" t="s">
        <v>34</v>
      </c>
      <c r="I2978" s="2" t="s">
        <v>4219</v>
      </c>
      <c r="J2978" s="2" t="s">
        <v>36</v>
      </c>
      <c r="K2978" s="2" t="s">
        <v>37</v>
      </c>
      <c r="L2978" s="2" t="s">
        <v>34</v>
      </c>
      <c r="M2978" s="12">
        <v>3641.7060000000001</v>
      </c>
      <c r="N2978" s="7">
        <v>37.313000000000002</v>
      </c>
      <c r="O2978" s="7">
        <v>37.375</v>
      </c>
      <c r="P2978" s="2" t="s">
        <v>9434</v>
      </c>
      <c r="Q2978" s="6">
        <v>100</v>
      </c>
      <c r="R2978" s="6">
        <v>111.06</v>
      </c>
      <c r="S2978" s="5">
        <v>32.5</v>
      </c>
      <c r="T2978" s="7">
        <v>56.231999999999999</v>
      </c>
      <c r="U2978" s="5">
        <v>60</v>
      </c>
      <c r="V2978" s="6">
        <v>3.4</v>
      </c>
      <c r="W2978" s="6">
        <v>83.75</v>
      </c>
      <c r="X2978" s="5">
        <v>84.5</v>
      </c>
      <c r="Y2978" s="6">
        <v>84.75</v>
      </c>
      <c r="Z2978" s="9">
        <v>86.0625</v>
      </c>
      <c r="AA2978" s="6">
        <v>9.1999999999999993</v>
      </c>
      <c r="AB2978" s="7">
        <v>33.783000000000001</v>
      </c>
      <c r="AC2978" s="2"/>
    </row>
    <row r="2979" spans="1:29" ht="143" x14ac:dyDescent="0.15">
      <c r="A2979" s="3">
        <f>DATE(1997,3,17)</f>
        <v>35506</v>
      </c>
      <c r="B2979" s="3">
        <f>DATE(1997,7,1)</f>
        <v>35612</v>
      </c>
      <c r="C2979" s="2" t="s">
        <v>95</v>
      </c>
      <c r="D2979" s="2" t="s">
        <v>7887</v>
      </c>
      <c r="E2979" s="2" t="s">
        <v>1181</v>
      </c>
      <c r="F2979" s="4">
        <v>6022</v>
      </c>
      <c r="G2979" s="2" t="s">
        <v>37</v>
      </c>
      <c r="H2979" s="2" t="s">
        <v>34</v>
      </c>
      <c r="I2979" s="2" t="s">
        <v>9435</v>
      </c>
      <c r="J2979" s="2" t="s">
        <v>1181</v>
      </c>
      <c r="K2979" s="2" t="s">
        <v>37</v>
      </c>
      <c r="L2979" s="2" t="s">
        <v>34</v>
      </c>
      <c r="M2979" s="2"/>
      <c r="N2979" s="2"/>
      <c r="O2979" s="2"/>
      <c r="P2979" s="2" t="s">
        <v>9436</v>
      </c>
      <c r="Q2979" s="6">
        <v>100</v>
      </c>
      <c r="R2979" s="6">
        <v>24.73</v>
      </c>
      <c r="S2979" s="5">
        <v>5</v>
      </c>
      <c r="T2979" s="2"/>
      <c r="U2979" s="5">
        <v>8.6999999999999993</v>
      </c>
      <c r="V2979" s="7">
        <v>1.3129999999999999</v>
      </c>
      <c r="W2979" s="6">
        <v>19.75</v>
      </c>
      <c r="X2979" s="4">
        <v>20</v>
      </c>
      <c r="Y2979" s="5">
        <v>19.5</v>
      </c>
      <c r="Z2979" s="4">
        <v>22</v>
      </c>
      <c r="AA2979" s="6">
        <v>3.72</v>
      </c>
      <c r="AB2979" s="7">
        <v>43.978999999999999</v>
      </c>
      <c r="AC2979" s="2"/>
    </row>
    <row r="2980" spans="1:29" ht="156" x14ac:dyDescent="0.15">
      <c r="A2980" s="3">
        <f>DATE(1997,3,17)</f>
        <v>35506</v>
      </c>
      <c r="B2980" s="3">
        <f>DATE(1997,12,16)</f>
        <v>35780</v>
      </c>
      <c r="C2980" s="2" t="s">
        <v>95</v>
      </c>
      <c r="D2980" s="2" t="s">
        <v>9437</v>
      </c>
      <c r="E2980" s="2" t="s">
        <v>263</v>
      </c>
      <c r="F2980" s="4">
        <v>6022</v>
      </c>
      <c r="G2980" s="2" t="s">
        <v>37</v>
      </c>
      <c r="H2980" s="2" t="s">
        <v>34</v>
      </c>
      <c r="I2980" s="2" t="s">
        <v>9438</v>
      </c>
      <c r="J2980" s="2" t="s">
        <v>265</v>
      </c>
      <c r="K2980" s="2" t="s">
        <v>37</v>
      </c>
      <c r="L2980" s="2" t="s">
        <v>34</v>
      </c>
      <c r="M2980" s="7">
        <v>159.113</v>
      </c>
      <c r="N2980" s="5">
        <v>18.5</v>
      </c>
      <c r="O2980" s="7">
        <v>18.625</v>
      </c>
      <c r="P2980" s="2" t="s">
        <v>9439</v>
      </c>
      <c r="Q2980" s="6">
        <v>100</v>
      </c>
      <c r="R2980" s="6">
        <v>24.94</v>
      </c>
      <c r="S2980" s="5">
        <v>3.4</v>
      </c>
      <c r="T2980" s="6">
        <v>5.17</v>
      </c>
      <c r="U2980" s="2"/>
      <c r="V2980" s="6">
        <v>1.4</v>
      </c>
      <c r="W2980" s="5">
        <v>20.5</v>
      </c>
      <c r="X2980" s="4">
        <v>20</v>
      </c>
      <c r="Y2980" s="5">
        <v>23.5</v>
      </c>
      <c r="Z2980" s="5">
        <v>24.5</v>
      </c>
      <c r="AA2980" s="6">
        <v>2.2599999999999998</v>
      </c>
      <c r="AB2980" s="7">
        <v>62.828000000000003</v>
      </c>
      <c r="AC2980" s="2"/>
    </row>
    <row r="2981" spans="1:29" ht="143" x14ac:dyDescent="0.15">
      <c r="A2981" s="3">
        <f>DATE(1997,3,17)</f>
        <v>35506</v>
      </c>
      <c r="B2981" s="3">
        <f>DATE(1997,8,20)</f>
        <v>35662</v>
      </c>
      <c r="C2981" s="2" t="s">
        <v>95</v>
      </c>
      <c r="D2981" s="2" t="s">
        <v>6981</v>
      </c>
      <c r="E2981" s="2" t="s">
        <v>6925</v>
      </c>
      <c r="F2981" s="4">
        <v>4833</v>
      </c>
      <c r="G2981" s="2" t="s">
        <v>45</v>
      </c>
      <c r="H2981" s="2" t="s">
        <v>34</v>
      </c>
      <c r="I2981" s="2" t="s">
        <v>8249</v>
      </c>
      <c r="J2981" s="2" t="s">
        <v>8250</v>
      </c>
      <c r="K2981" s="2" t="s">
        <v>186</v>
      </c>
      <c r="L2981" s="2" t="s">
        <v>885</v>
      </c>
      <c r="M2981" s="2"/>
      <c r="N2981" s="2"/>
      <c r="O2981" s="2"/>
      <c r="P2981" s="2" t="s">
        <v>9440</v>
      </c>
      <c r="Q2981" s="6">
        <v>100</v>
      </c>
      <c r="R2981" s="6">
        <v>20.5</v>
      </c>
      <c r="S2981" s="5">
        <v>22</v>
      </c>
      <c r="T2981" s="7">
        <v>143.56700000000001</v>
      </c>
      <c r="U2981" s="5">
        <v>3.9</v>
      </c>
      <c r="V2981" s="6">
        <v>0.3</v>
      </c>
      <c r="W2981" s="6">
        <v>11.87</v>
      </c>
      <c r="X2981" s="6">
        <v>12.12</v>
      </c>
      <c r="Y2981" s="4">
        <v>18</v>
      </c>
      <c r="Z2981" s="6">
        <v>17.75</v>
      </c>
      <c r="AA2981" s="6">
        <v>36.51</v>
      </c>
      <c r="AB2981" s="7">
        <v>13.925000000000001</v>
      </c>
      <c r="AC2981" s="10">
        <v>1809.22</v>
      </c>
    </row>
    <row r="2982" spans="1:29" ht="182" x14ac:dyDescent="0.15">
      <c r="A2982" s="3">
        <f>DATE(1997,3,17)</f>
        <v>35506</v>
      </c>
      <c r="B2982" s="3">
        <f>DATE(1997,9,4)</f>
        <v>35677</v>
      </c>
      <c r="C2982" s="2" t="s">
        <v>95</v>
      </c>
      <c r="D2982" s="2" t="s">
        <v>9441</v>
      </c>
      <c r="E2982" s="2" t="s">
        <v>263</v>
      </c>
      <c r="F2982" s="4">
        <v>6035</v>
      </c>
      <c r="G2982" s="2" t="s">
        <v>33</v>
      </c>
      <c r="H2982" s="2" t="s">
        <v>34</v>
      </c>
      <c r="I2982" s="2" t="s">
        <v>3346</v>
      </c>
      <c r="J2982" s="2" t="s">
        <v>36</v>
      </c>
      <c r="K2982" s="2" t="s">
        <v>37</v>
      </c>
      <c r="L2982" s="2" t="s">
        <v>34</v>
      </c>
      <c r="M2982" s="12">
        <v>1616.826</v>
      </c>
      <c r="N2982" s="7">
        <v>43.375</v>
      </c>
      <c r="O2982" s="6">
        <v>43.75</v>
      </c>
      <c r="P2982" s="2" t="s">
        <v>9442</v>
      </c>
      <c r="Q2982" s="6">
        <v>100</v>
      </c>
      <c r="R2982" s="6">
        <v>25.81</v>
      </c>
      <c r="S2982" s="5">
        <v>11.9</v>
      </c>
      <c r="T2982" s="7">
        <v>30.841000000000001</v>
      </c>
      <c r="U2982" s="5">
        <v>16.600000000000001</v>
      </c>
      <c r="V2982" s="6">
        <v>0.76</v>
      </c>
      <c r="W2982" s="7">
        <v>20.125</v>
      </c>
      <c r="X2982" s="7">
        <v>21.125</v>
      </c>
      <c r="Y2982" s="7">
        <v>23.562999999999999</v>
      </c>
      <c r="Z2982" s="7">
        <v>23.625</v>
      </c>
      <c r="AA2982" s="6">
        <v>16.2</v>
      </c>
      <c r="AB2982" s="7">
        <v>28.846</v>
      </c>
      <c r="AC2982" s="2"/>
    </row>
    <row r="2983" spans="1:29" ht="117" x14ac:dyDescent="0.15">
      <c r="A2983" s="3">
        <f>DATE(1997,3,19)</f>
        <v>35508</v>
      </c>
      <c r="B2983" s="3">
        <f>DATE(1997,7,11)</f>
        <v>35622</v>
      </c>
      <c r="C2983" s="2" t="s">
        <v>95</v>
      </c>
      <c r="D2983" s="2" t="s">
        <v>9443</v>
      </c>
      <c r="E2983" s="2" t="s">
        <v>9444</v>
      </c>
      <c r="F2983" s="4">
        <v>7331</v>
      </c>
      <c r="G2983" s="2" t="s">
        <v>223</v>
      </c>
      <c r="H2983" s="2" t="s">
        <v>34</v>
      </c>
      <c r="I2983" s="2" t="s">
        <v>9445</v>
      </c>
      <c r="J2983" s="2" t="s">
        <v>9446</v>
      </c>
      <c r="K2983" s="2" t="s">
        <v>223</v>
      </c>
      <c r="L2983" s="2" t="s">
        <v>34</v>
      </c>
      <c r="M2983" s="12">
        <v>1034.2059999999999</v>
      </c>
      <c r="N2983" s="7">
        <v>26.625</v>
      </c>
      <c r="O2983" s="6">
        <v>26.75</v>
      </c>
      <c r="P2983" s="2" t="s">
        <v>9447</v>
      </c>
      <c r="Q2983" s="6">
        <v>100</v>
      </c>
      <c r="R2983" s="6">
        <v>26.25</v>
      </c>
      <c r="S2983" s="5">
        <v>7.6</v>
      </c>
      <c r="T2983" s="7">
        <v>12.477</v>
      </c>
      <c r="U2983" s="5">
        <v>4.2</v>
      </c>
      <c r="V2983" s="6">
        <v>1.68</v>
      </c>
      <c r="W2983" s="5">
        <v>20.5</v>
      </c>
      <c r="X2983" s="7">
        <v>22.375</v>
      </c>
      <c r="Y2983" s="7">
        <v>25.625</v>
      </c>
      <c r="Z2983" s="7">
        <v>26.625</v>
      </c>
      <c r="AA2983" s="6">
        <v>4.41</v>
      </c>
      <c r="AB2983" s="7">
        <v>9.4909999999999997</v>
      </c>
      <c r="AC2983" s="6">
        <v>50.41</v>
      </c>
    </row>
    <row r="2984" spans="1:29" ht="143" x14ac:dyDescent="0.15">
      <c r="A2984" s="3">
        <f>DATE(1997,3,20)</f>
        <v>35509</v>
      </c>
      <c r="B2984" s="3">
        <f>DATE(1997,6,17)</f>
        <v>35598</v>
      </c>
      <c r="C2984" s="2" t="s">
        <v>95</v>
      </c>
      <c r="D2984" s="2" t="s">
        <v>9448</v>
      </c>
      <c r="E2984" s="2" t="s">
        <v>9449</v>
      </c>
      <c r="F2984" s="4">
        <v>3261</v>
      </c>
      <c r="G2984" s="2" t="s">
        <v>237</v>
      </c>
      <c r="H2984" s="2" t="s">
        <v>34</v>
      </c>
      <c r="I2984" s="2" t="s">
        <v>9450</v>
      </c>
      <c r="J2984" s="2" t="s">
        <v>9451</v>
      </c>
      <c r="K2984" s="2" t="s">
        <v>53</v>
      </c>
      <c r="L2984" s="2" t="s">
        <v>9452</v>
      </c>
      <c r="M2984" s="2"/>
      <c r="N2984" s="2"/>
      <c r="O2984" s="2"/>
      <c r="P2984" s="2" t="s">
        <v>9453</v>
      </c>
      <c r="Q2984" s="6">
        <v>100</v>
      </c>
      <c r="R2984" s="6">
        <v>17.75</v>
      </c>
      <c r="S2984" s="5">
        <v>30</v>
      </c>
      <c r="T2984" s="5">
        <v>79.400000000000006</v>
      </c>
      <c r="U2984" s="5">
        <v>1.4</v>
      </c>
      <c r="V2984" s="6">
        <v>1.5</v>
      </c>
      <c r="W2984" s="7">
        <v>11.875</v>
      </c>
      <c r="X2984" s="7">
        <v>12.375</v>
      </c>
      <c r="Y2984" s="4">
        <v>14</v>
      </c>
      <c r="Z2984" s="6">
        <v>14.25</v>
      </c>
      <c r="AA2984" s="6">
        <v>20.05</v>
      </c>
      <c r="AB2984" s="7">
        <v>7.516</v>
      </c>
      <c r="AC2984" s="2"/>
    </row>
    <row r="2985" spans="1:29" ht="143" x14ac:dyDescent="0.15">
      <c r="A2985" s="3">
        <f>DATE(1997,3,20)</f>
        <v>35509</v>
      </c>
      <c r="B2985" s="3">
        <f>DATE(1997,8,1)</f>
        <v>35643</v>
      </c>
      <c r="C2985" s="2" t="s">
        <v>95</v>
      </c>
      <c r="D2985" s="2" t="s">
        <v>995</v>
      </c>
      <c r="E2985" s="2" t="s">
        <v>996</v>
      </c>
      <c r="F2985" s="4">
        <v>6021</v>
      </c>
      <c r="G2985" s="2" t="s">
        <v>37</v>
      </c>
      <c r="H2985" s="2" t="s">
        <v>34</v>
      </c>
      <c r="I2985" s="2" t="s">
        <v>9454</v>
      </c>
      <c r="J2985" s="2" t="s">
        <v>36</v>
      </c>
      <c r="K2985" s="2" t="s">
        <v>37</v>
      </c>
      <c r="L2985" s="2" t="s">
        <v>34</v>
      </c>
      <c r="M2985" s="12">
        <v>10862.331</v>
      </c>
      <c r="N2985" s="5">
        <v>75.5</v>
      </c>
      <c r="O2985" s="7">
        <v>78.016000000000005</v>
      </c>
      <c r="P2985" s="2" t="s">
        <v>9455</v>
      </c>
      <c r="Q2985" s="6">
        <v>100</v>
      </c>
      <c r="R2985" s="6">
        <v>59.08</v>
      </c>
      <c r="S2985" s="5">
        <v>379.6</v>
      </c>
      <c r="T2985" s="7">
        <v>749.48199999999997</v>
      </c>
      <c r="U2985" s="5">
        <v>17.5</v>
      </c>
      <c r="V2985" s="7">
        <v>2.427</v>
      </c>
      <c r="W2985" s="9">
        <v>32.9375</v>
      </c>
      <c r="X2985" s="4">
        <v>31</v>
      </c>
      <c r="Y2985" s="2"/>
      <c r="Z2985" s="2"/>
      <c r="AA2985" s="6">
        <v>147.93</v>
      </c>
      <c r="AB2985" s="7">
        <v>57.84</v>
      </c>
      <c r="AC2985" s="2"/>
    </row>
    <row r="2986" spans="1:29" ht="143" x14ac:dyDescent="0.15">
      <c r="A2986" s="3">
        <f>DATE(1997,3,21)</f>
        <v>35510</v>
      </c>
      <c r="B2986" s="3">
        <f>DATE(1997,6,12)</f>
        <v>35593</v>
      </c>
      <c r="C2986" s="2" t="s">
        <v>95</v>
      </c>
      <c r="D2986" s="2" t="s">
        <v>9456</v>
      </c>
      <c r="E2986" s="2" t="s">
        <v>3110</v>
      </c>
      <c r="F2986" s="4">
        <v>3669</v>
      </c>
      <c r="G2986" s="2" t="s">
        <v>921</v>
      </c>
      <c r="H2986" s="2" t="s">
        <v>34</v>
      </c>
      <c r="I2986" s="2" t="s">
        <v>9457</v>
      </c>
      <c r="J2986" s="2" t="s">
        <v>781</v>
      </c>
      <c r="K2986" s="2" t="s">
        <v>551</v>
      </c>
      <c r="L2986" s="2" t="s">
        <v>734</v>
      </c>
      <c r="M2986" s="2"/>
      <c r="N2986" s="2"/>
      <c r="O2986" s="2"/>
      <c r="P2986" s="2" t="s">
        <v>9458</v>
      </c>
      <c r="Q2986" s="6">
        <v>100</v>
      </c>
      <c r="R2986" s="6">
        <v>8.93</v>
      </c>
      <c r="S2986" s="5">
        <v>-14.8</v>
      </c>
      <c r="T2986" s="7">
        <v>-12.388</v>
      </c>
      <c r="U2986" s="5">
        <v>6.2</v>
      </c>
      <c r="V2986" s="7">
        <v>-1.6259999999999999</v>
      </c>
      <c r="W2986" s="6">
        <v>5.25</v>
      </c>
      <c r="X2986" s="7">
        <v>5.125</v>
      </c>
      <c r="Y2986" s="4">
        <v>6</v>
      </c>
      <c r="Z2986" s="7">
        <v>6.375</v>
      </c>
      <c r="AA2986" s="6">
        <v>9.27</v>
      </c>
      <c r="AB2986" s="2" t="s">
        <v>86</v>
      </c>
      <c r="AC2986" s="6">
        <v>51.54</v>
      </c>
    </row>
    <row r="2987" spans="1:29" ht="156" x14ac:dyDescent="0.15">
      <c r="A2987" s="3">
        <f>DATE(1997,3,24)</f>
        <v>35513</v>
      </c>
      <c r="B2987" s="3">
        <f>DATE(1997,8,29)</f>
        <v>35671</v>
      </c>
      <c r="C2987" s="2" t="s">
        <v>95</v>
      </c>
      <c r="D2987" s="2" t="s">
        <v>9459</v>
      </c>
      <c r="E2987" s="2" t="s">
        <v>36</v>
      </c>
      <c r="F2987" s="4">
        <v>6022</v>
      </c>
      <c r="G2987" s="2" t="s">
        <v>37</v>
      </c>
      <c r="H2987" s="2" t="s">
        <v>34</v>
      </c>
      <c r="I2987" s="2" t="s">
        <v>5142</v>
      </c>
      <c r="J2987" s="2" t="s">
        <v>159</v>
      </c>
      <c r="K2987" s="2" t="s">
        <v>33</v>
      </c>
      <c r="L2987" s="2" t="s">
        <v>34</v>
      </c>
      <c r="M2987" s="7">
        <v>216.60599999999999</v>
      </c>
      <c r="N2987" s="7">
        <v>16.875</v>
      </c>
      <c r="O2987" s="7">
        <v>16.875</v>
      </c>
      <c r="P2987" s="2" t="s">
        <v>9460</v>
      </c>
      <c r="Q2987" s="6">
        <v>100</v>
      </c>
      <c r="R2987" s="6">
        <v>40.409999999999997</v>
      </c>
      <c r="S2987" s="5">
        <v>4</v>
      </c>
      <c r="T2987" s="6">
        <v>6.84</v>
      </c>
      <c r="U2987" s="5">
        <v>10.5</v>
      </c>
      <c r="V2987" s="6">
        <v>1.93</v>
      </c>
      <c r="W2987" s="7">
        <v>24.625</v>
      </c>
      <c r="X2987" s="6">
        <v>24.75</v>
      </c>
      <c r="Y2987" s="6">
        <v>33.25</v>
      </c>
      <c r="Z2987" s="7">
        <v>33.875</v>
      </c>
      <c r="AA2987" s="6">
        <v>2.44</v>
      </c>
      <c r="AB2987" s="7">
        <v>62.505000000000003</v>
      </c>
      <c r="AC2987" s="2"/>
    </row>
    <row r="2988" spans="1:29" ht="104" x14ac:dyDescent="0.15">
      <c r="A2988" s="3">
        <f>DATE(1997,3,24)</f>
        <v>35513</v>
      </c>
      <c r="B2988" s="3">
        <f>DATE(1997,4,28)</f>
        <v>35548</v>
      </c>
      <c r="C2988" s="2" t="s">
        <v>95</v>
      </c>
      <c r="D2988" s="2" t="s">
        <v>9461</v>
      </c>
      <c r="E2988" s="2" t="s">
        <v>9462</v>
      </c>
      <c r="F2988" s="4">
        <v>7376</v>
      </c>
      <c r="G2988" s="2" t="s">
        <v>223</v>
      </c>
      <c r="H2988" s="2" t="s">
        <v>34</v>
      </c>
      <c r="I2988" s="2" t="s">
        <v>9463</v>
      </c>
      <c r="J2988" s="2" t="s">
        <v>9464</v>
      </c>
      <c r="K2988" s="2" t="s">
        <v>186</v>
      </c>
      <c r="L2988" s="2" t="s">
        <v>34</v>
      </c>
      <c r="M2988" s="2"/>
      <c r="N2988" s="2"/>
      <c r="O2988" s="2"/>
      <c r="P2988" s="2" t="s">
        <v>9465</v>
      </c>
      <c r="Q2988" s="6">
        <v>100</v>
      </c>
      <c r="R2988" s="6">
        <v>32</v>
      </c>
      <c r="S2988" s="5">
        <v>13.5</v>
      </c>
      <c r="T2988" s="7">
        <v>17.001000000000001</v>
      </c>
      <c r="U2988" s="5">
        <v>5.3</v>
      </c>
      <c r="V2988" s="7">
        <v>1.4419999999999999</v>
      </c>
      <c r="W2988" s="6">
        <v>22.25</v>
      </c>
      <c r="X2988" s="6">
        <v>17.25</v>
      </c>
      <c r="Y2988" s="6">
        <v>31.25</v>
      </c>
      <c r="Z2988" s="7">
        <v>31.327999999999999</v>
      </c>
      <c r="AA2988" s="6">
        <v>8.76</v>
      </c>
      <c r="AB2988" s="7">
        <v>27.599</v>
      </c>
      <c r="AC2988" s="2"/>
    </row>
    <row r="2989" spans="1:29" ht="117" x14ac:dyDescent="0.15">
      <c r="A2989" s="3">
        <f>DATE(1997,3,24)</f>
        <v>35513</v>
      </c>
      <c r="B2989" s="3">
        <f>DATE(1997,8,5)</f>
        <v>35647</v>
      </c>
      <c r="C2989" s="2" t="s">
        <v>95</v>
      </c>
      <c r="D2989" s="2" t="s">
        <v>9466</v>
      </c>
      <c r="E2989" s="2" t="s">
        <v>9467</v>
      </c>
      <c r="F2989" s="4">
        <v>3559</v>
      </c>
      <c r="G2989" s="2" t="s">
        <v>300</v>
      </c>
      <c r="H2989" s="2" t="s">
        <v>34</v>
      </c>
      <c r="I2989" s="2" t="s">
        <v>9468</v>
      </c>
      <c r="J2989" s="2" t="s">
        <v>9469</v>
      </c>
      <c r="K2989" s="2" t="s">
        <v>300</v>
      </c>
      <c r="L2989" s="2" t="s">
        <v>34</v>
      </c>
      <c r="M2989" s="12">
        <v>1187.6780000000001</v>
      </c>
      <c r="N2989" s="5">
        <v>31.5</v>
      </c>
      <c r="O2989" s="5">
        <v>33.5</v>
      </c>
      <c r="P2989" s="2" t="s">
        <v>9470</v>
      </c>
      <c r="Q2989" s="6">
        <v>100</v>
      </c>
      <c r="R2989" s="6">
        <v>26.77</v>
      </c>
      <c r="S2989" s="5">
        <v>4.7</v>
      </c>
      <c r="T2989" s="7">
        <v>7.9390000000000001</v>
      </c>
      <c r="U2989" s="5">
        <v>7.2</v>
      </c>
      <c r="V2989" s="7">
        <v>0.57199999999999995</v>
      </c>
      <c r="W2989" s="4">
        <v>26</v>
      </c>
      <c r="X2989" s="4">
        <v>27</v>
      </c>
      <c r="Y2989" s="4">
        <v>28</v>
      </c>
      <c r="Z2989" s="7">
        <v>26.875</v>
      </c>
      <c r="AA2989" s="6">
        <v>7.62</v>
      </c>
      <c r="AB2989" s="7">
        <v>35.719000000000001</v>
      </c>
      <c r="AC2989" s="6">
        <v>130.47999999999999</v>
      </c>
    </row>
    <row r="2990" spans="1:29" ht="130" x14ac:dyDescent="0.15">
      <c r="A2990" s="3">
        <f>DATE(1997,3,25)</f>
        <v>35514</v>
      </c>
      <c r="B2990" s="3">
        <f>DATE(1997,5,7)</f>
        <v>35557</v>
      </c>
      <c r="C2990" s="2" t="s">
        <v>95</v>
      </c>
      <c r="D2990" s="2" t="s">
        <v>9471</v>
      </c>
      <c r="E2990" s="2" t="s">
        <v>1853</v>
      </c>
      <c r="F2990" s="4">
        <v>2013</v>
      </c>
      <c r="G2990" s="2" t="s">
        <v>577</v>
      </c>
      <c r="H2990" s="2" t="s">
        <v>34</v>
      </c>
      <c r="I2990" s="2" t="s">
        <v>9472</v>
      </c>
      <c r="J2990" s="2" t="s">
        <v>2278</v>
      </c>
      <c r="K2990" s="2" t="s">
        <v>577</v>
      </c>
      <c r="L2990" s="2" t="s">
        <v>34</v>
      </c>
      <c r="M2990" s="12">
        <v>2188.9659999999999</v>
      </c>
      <c r="N2990" s="4">
        <v>25</v>
      </c>
      <c r="O2990" s="5">
        <v>25.5</v>
      </c>
      <c r="P2990" s="2" t="s">
        <v>9473</v>
      </c>
      <c r="Q2990" s="6">
        <v>100</v>
      </c>
      <c r="R2990" s="6">
        <v>23.4</v>
      </c>
      <c r="S2990" s="5">
        <v>5.5</v>
      </c>
      <c r="T2990" s="7">
        <v>51.106999999999999</v>
      </c>
      <c r="U2990" s="5">
        <v>3.5</v>
      </c>
      <c r="V2990" s="6">
        <v>0.77</v>
      </c>
      <c r="W2990" s="5">
        <v>15.5</v>
      </c>
      <c r="X2990" s="7">
        <v>15.875</v>
      </c>
      <c r="Y2990" s="6">
        <v>15.75</v>
      </c>
      <c r="Z2990" s="7">
        <v>23.125</v>
      </c>
      <c r="AA2990" s="6">
        <v>12.46</v>
      </c>
      <c r="AB2990" s="7">
        <v>17.774999999999999</v>
      </c>
      <c r="AC2990" s="6">
        <v>263.64</v>
      </c>
    </row>
    <row r="2991" spans="1:29" ht="104" x14ac:dyDescent="0.15">
      <c r="A2991" s="3">
        <f>DATE(1997,3,25)</f>
        <v>35514</v>
      </c>
      <c r="B2991" s="3">
        <f>DATE(1997,7,10)</f>
        <v>35621</v>
      </c>
      <c r="C2991" s="2" t="s">
        <v>95</v>
      </c>
      <c r="D2991" s="2" t="s">
        <v>9474</v>
      </c>
      <c r="E2991" s="2" t="s">
        <v>9475</v>
      </c>
      <c r="F2991" s="4">
        <v>7373</v>
      </c>
      <c r="G2991" s="2" t="s">
        <v>223</v>
      </c>
      <c r="H2991" s="2" t="s">
        <v>34</v>
      </c>
      <c r="I2991" s="2" t="s">
        <v>9476</v>
      </c>
      <c r="J2991" s="2" t="s">
        <v>9477</v>
      </c>
      <c r="K2991" s="2" t="s">
        <v>551</v>
      </c>
      <c r="L2991" s="2" t="s">
        <v>34</v>
      </c>
      <c r="M2991" s="7">
        <v>730.779</v>
      </c>
      <c r="N2991" s="6">
        <v>31.75</v>
      </c>
      <c r="O2991" s="4">
        <v>28</v>
      </c>
      <c r="P2991" s="2" t="s">
        <v>9478</v>
      </c>
      <c r="Q2991" s="6">
        <v>100</v>
      </c>
      <c r="R2991" s="6">
        <v>22.45</v>
      </c>
      <c r="S2991" s="5">
        <v>1.8</v>
      </c>
      <c r="T2991" s="7">
        <v>4.6280000000000001</v>
      </c>
      <c r="U2991" s="5">
        <v>5.0999999999999996</v>
      </c>
      <c r="V2991" s="6">
        <v>0.28000000000000003</v>
      </c>
      <c r="W2991" s="6">
        <v>18.25</v>
      </c>
      <c r="X2991" s="7">
        <v>18.875</v>
      </c>
      <c r="Y2991" s="6">
        <v>22.25</v>
      </c>
      <c r="Z2991" s="4">
        <v>20</v>
      </c>
      <c r="AA2991" s="6">
        <v>6.14</v>
      </c>
      <c r="AB2991" s="7">
        <v>62.262999999999998</v>
      </c>
      <c r="AC2991" s="6">
        <v>94.55</v>
      </c>
    </row>
    <row r="2992" spans="1:29" ht="143" x14ac:dyDescent="0.15">
      <c r="A2992" s="3">
        <f>DATE(1997,3,25)</f>
        <v>35514</v>
      </c>
      <c r="B2992" s="2"/>
      <c r="C2992" s="2" t="s">
        <v>30</v>
      </c>
      <c r="D2992" s="2" t="s">
        <v>7421</v>
      </c>
      <c r="E2992" s="2" t="s">
        <v>7422</v>
      </c>
      <c r="F2992" s="4">
        <v>5812</v>
      </c>
      <c r="G2992" s="2" t="s">
        <v>230</v>
      </c>
      <c r="H2992" s="2" t="s">
        <v>34</v>
      </c>
      <c r="I2992" s="2" t="s">
        <v>9182</v>
      </c>
      <c r="J2992" s="2" t="s">
        <v>3900</v>
      </c>
      <c r="K2992" s="2" t="s">
        <v>230</v>
      </c>
      <c r="L2992" s="2" t="s">
        <v>34</v>
      </c>
      <c r="M2992" s="7">
        <v>105.142</v>
      </c>
      <c r="N2992" s="7">
        <v>1.8440000000000001</v>
      </c>
      <c r="O2992" s="7">
        <v>1.7809999999999999</v>
      </c>
      <c r="P2992" s="2" t="s">
        <v>9479</v>
      </c>
      <c r="Q2992" s="2"/>
      <c r="R2992" s="6">
        <v>5.39</v>
      </c>
      <c r="S2992" s="5">
        <v>-3.3</v>
      </c>
      <c r="T2992" s="7">
        <v>14.592000000000001</v>
      </c>
      <c r="U2992" s="5">
        <v>0.9</v>
      </c>
      <c r="V2992" s="6">
        <v>-0.19</v>
      </c>
      <c r="W2992" s="6">
        <v>3.25</v>
      </c>
      <c r="X2992" s="7">
        <v>3.375</v>
      </c>
      <c r="Y2992" s="9">
        <v>3.4375</v>
      </c>
      <c r="Z2992" s="9">
        <v>4.0625</v>
      </c>
      <c r="AA2992" s="6">
        <v>20.54</v>
      </c>
      <c r="AB2992" s="7">
        <v>42.664000000000001</v>
      </c>
      <c r="AC2992" s="6">
        <v>3.06</v>
      </c>
    </row>
    <row r="2993" spans="1:29" ht="156" x14ac:dyDescent="0.15">
      <c r="A2993" s="3">
        <f>DATE(1997,3,26)</f>
        <v>35515</v>
      </c>
      <c r="B2993" s="3">
        <f>DATE(1997,9,3)</f>
        <v>35676</v>
      </c>
      <c r="C2993" s="2" t="s">
        <v>95</v>
      </c>
      <c r="D2993" s="2" t="s">
        <v>9480</v>
      </c>
      <c r="E2993" s="2" t="s">
        <v>2860</v>
      </c>
      <c r="F2993" s="4">
        <v>4833</v>
      </c>
      <c r="G2993" s="2" t="s">
        <v>45</v>
      </c>
      <c r="H2993" s="2" t="s">
        <v>34</v>
      </c>
      <c r="I2993" s="2" t="s">
        <v>9481</v>
      </c>
      <c r="J2993" s="2" t="s">
        <v>2860</v>
      </c>
      <c r="K2993" s="2" t="s">
        <v>45</v>
      </c>
      <c r="L2993" s="2" t="s">
        <v>34</v>
      </c>
      <c r="M2993" s="2"/>
      <c r="N2993" s="2"/>
      <c r="O2993" s="2"/>
      <c r="P2993" s="2" t="s">
        <v>9482</v>
      </c>
      <c r="Q2993" s="6">
        <v>100</v>
      </c>
      <c r="R2993" s="6">
        <v>26.5</v>
      </c>
      <c r="S2993" s="5">
        <v>-18</v>
      </c>
      <c r="T2993" s="7">
        <v>15.404999999999999</v>
      </c>
      <c r="U2993" s="5">
        <v>11.5</v>
      </c>
      <c r="V2993" s="7">
        <v>-2.2330000000000001</v>
      </c>
      <c r="W2993" s="6">
        <v>22.75</v>
      </c>
      <c r="X2993" s="4">
        <v>23</v>
      </c>
      <c r="Y2993" s="4">
        <v>23</v>
      </c>
      <c r="Z2993" s="6">
        <v>28.25</v>
      </c>
      <c r="AA2993" s="6">
        <v>11.45</v>
      </c>
      <c r="AB2993" s="2" t="s">
        <v>86</v>
      </c>
      <c r="AC2993" s="2"/>
    </row>
    <row r="2994" spans="1:29" ht="78" x14ac:dyDescent="0.15">
      <c r="A2994" s="3">
        <f>DATE(1997,3,26)</f>
        <v>35515</v>
      </c>
      <c r="B2994" s="3">
        <f>DATE(1997,8,1)</f>
        <v>35643</v>
      </c>
      <c r="C2994" s="2" t="s">
        <v>95</v>
      </c>
      <c r="D2994" s="2" t="s">
        <v>9483</v>
      </c>
      <c r="E2994" s="2" t="s">
        <v>263</v>
      </c>
      <c r="F2994" s="4">
        <v>6141</v>
      </c>
      <c r="G2994" s="2" t="s">
        <v>370</v>
      </c>
      <c r="H2994" s="2" t="s">
        <v>34</v>
      </c>
      <c r="I2994" s="2" t="s">
        <v>9484</v>
      </c>
      <c r="J2994" s="2" t="s">
        <v>263</v>
      </c>
      <c r="K2994" s="2" t="s">
        <v>37</v>
      </c>
      <c r="L2994" s="2" t="s">
        <v>34</v>
      </c>
      <c r="M2994" s="6">
        <v>609.67999999999995</v>
      </c>
      <c r="N2994" s="7">
        <v>32.125</v>
      </c>
      <c r="O2994" s="7">
        <v>31.875</v>
      </c>
      <c r="P2994" s="2" t="s">
        <v>9485</v>
      </c>
      <c r="Q2994" s="6">
        <v>100</v>
      </c>
      <c r="R2994" s="6">
        <v>20.5</v>
      </c>
      <c r="S2994" s="5">
        <v>0.6</v>
      </c>
      <c r="T2994" s="7">
        <v>0.97399999999999998</v>
      </c>
      <c r="U2994" s="5">
        <v>12.5</v>
      </c>
      <c r="V2994" s="7">
        <v>0.68700000000000006</v>
      </c>
      <c r="W2994" s="7">
        <v>13.625</v>
      </c>
      <c r="X2994" s="4">
        <v>14</v>
      </c>
      <c r="Y2994" s="4">
        <v>14</v>
      </c>
      <c r="Z2994" s="7">
        <v>19.625</v>
      </c>
      <c r="AA2994" s="6">
        <v>0.96</v>
      </c>
      <c r="AB2994" s="7">
        <v>86.83</v>
      </c>
      <c r="AC2994" s="2"/>
    </row>
    <row r="2995" spans="1:29" ht="143" x14ac:dyDescent="0.15">
      <c r="A2995" s="3">
        <f>DATE(1997,3,26)</f>
        <v>35515</v>
      </c>
      <c r="B2995" s="2"/>
      <c r="C2995" s="2" t="s">
        <v>30</v>
      </c>
      <c r="D2995" s="2" t="s">
        <v>9486</v>
      </c>
      <c r="E2995" s="2" t="s">
        <v>1181</v>
      </c>
      <c r="F2995" s="4">
        <v>6021</v>
      </c>
      <c r="G2995" s="2" t="s">
        <v>37</v>
      </c>
      <c r="H2995" s="2" t="s">
        <v>34</v>
      </c>
      <c r="I2995" s="2" t="s">
        <v>9487</v>
      </c>
      <c r="J2995" s="2" t="s">
        <v>263</v>
      </c>
      <c r="K2995" s="2" t="s">
        <v>37</v>
      </c>
      <c r="L2995" s="2" t="s">
        <v>34</v>
      </c>
      <c r="M2995" s="2"/>
      <c r="N2995" s="2"/>
      <c r="O2995" s="2"/>
      <c r="P2995" s="2" t="s">
        <v>9488</v>
      </c>
      <c r="Q2995" s="2"/>
      <c r="R2995" s="6">
        <v>10.039999999999999</v>
      </c>
      <c r="S2995" s="5">
        <v>1.1000000000000001</v>
      </c>
      <c r="T2995" s="7">
        <v>2.383</v>
      </c>
      <c r="U2995" s="5">
        <v>6.8</v>
      </c>
      <c r="V2995" s="6">
        <v>0.86</v>
      </c>
      <c r="W2995" s="5">
        <v>13.5</v>
      </c>
      <c r="X2995" s="5">
        <v>15.5</v>
      </c>
      <c r="Y2995" s="5">
        <v>16.5</v>
      </c>
      <c r="Z2995" s="5">
        <v>16.5</v>
      </c>
      <c r="AA2995" s="6">
        <v>1.47</v>
      </c>
      <c r="AB2995" s="7">
        <v>36.844999999999999</v>
      </c>
      <c r="AC2995" s="2"/>
    </row>
    <row r="2996" spans="1:29" ht="26" x14ac:dyDescent="0.15">
      <c r="A2996" s="3">
        <f>DATE(1997,3,27)</f>
        <v>35516</v>
      </c>
      <c r="B2996" s="2"/>
      <c r="C2996" s="2" t="s">
        <v>189</v>
      </c>
      <c r="D2996" s="2" t="s">
        <v>9489</v>
      </c>
      <c r="E2996" s="2" t="s">
        <v>124</v>
      </c>
      <c r="F2996" s="4">
        <v>6351</v>
      </c>
      <c r="G2996" s="2" t="s">
        <v>125</v>
      </c>
      <c r="H2996" s="2" t="s">
        <v>34</v>
      </c>
      <c r="I2996" s="2" t="s">
        <v>143</v>
      </c>
      <c r="J2996" s="2" t="s">
        <v>144</v>
      </c>
      <c r="K2996" s="2" t="s">
        <v>53</v>
      </c>
      <c r="L2996" s="2" t="s">
        <v>139</v>
      </c>
      <c r="M2996" s="2"/>
      <c r="N2996" s="2"/>
      <c r="O2996" s="2"/>
      <c r="P2996" s="2" t="s">
        <v>9490</v>
      </c>
      <c r="Q2996" s="2"/>
      <c r="R2996" s="2"/>
      <c r="S2996" s="5">
        <v>513.6</v>
      </c>
      <c r="T2996" s="2"/>
      <c r="U2996" s="5">
        <v>19.5</v>
      </c>
      <c r="V2996" s="7">
        <v>2.4550000000000001</v>
      </c>
      <c r="W2996" s="6">
        <v>57.75</v>
      </c>
      <c r="X2996" s="7">
        <v>56.625</v>
      </c>
      <c r="Y2996" s="7">
        <v>53.375</v>
      </c>
      <c r="Z2996" s="5">
        <v>53.5</v>
      </c>
      <c r="AA2996" s="6">
        <v>103.21</v>
      </c>
      <c r="AB2996" s="2" t="s">
        <v>47</v>
      </c>
      <c r="AC2996" s="2"/>
    </row>
    <row r="2997" spans="1:29" ht="65" x14ac:dyDescent="0.15">
      <c r="A2997" s="3">
        <f>DATE(1997,3,27)</f>
        <v>35516</v>
      </c>
      <c r="B2997" s="3">
        <f>DATE(1997,3,27)</f>
        <v>35516</v>
      </c>
      <c r="C2997" s="2" t="s">
        <v>95</v>
      </c>
      <c r="D2997" s="2" t="s">
        <v>8828</v>
      </c>
      <c r="E2997" s="2" t="s">
        <v>8829</v>
      </c>
      <c r="F2997" s="4">
        <v>5031</v>
      </c>
      <c r="G2997" s="2" t="s">
        <v>76</v>
      </c>
      <c r="H2997" s="2" t="s">
        <v>34</v>
      </c>
      <c r="I2997" s="2" t="s">
        <v>9491</v>
      </c>
      <c r="J2997" s="2" t="s">
        <v>302</v>
      </c>
      <c r="K2997" s="2" t="s">
        <v>53</v>
      </c>
      <c r="L2997" s="2" t="s">
        <v>34</v>
      </c>
      <c r="M2997" s="2"/>
      <c r="N2997" s="2"/>
      <c r="O2997" s="2"/>
      <c r="P2997" s="2" t="s">
        <v>9492</v>
      </c>
      <c r="Q2997" s="6">
        <v>100</v>
      </c>
      <c r="R2997" s="6">
        <v>6</v>
      </c>
      <c r="S2997" s="5">
        <v>3.3</v>
      </c>
      <c r="T2997" s="7">
        <v>6.5590000000000002</v>
      </c>
      <c r="U2997" s="5">
        <v>7.2</v>
      </c>
      <c r="V2997" s="7">
        <v>0.64400000000000002</v>
      </c>
      <c r="W2997" s="7">
        <v>5.8129999999999997</v>
      </c>
      <c r="X2997" s="7">
        <v>5.9379999999999997</v>
      </c>
      <c r="Y2997" s="4">
        <v>6</v>
      </c>
      <c r="Z2997" s="4">
        <v>6</v>
      </c>
      <c r="AA2997" s="6">
        <v>5.24</v>
      </c>
      <c r="AB2997" s="7">
        <v>6.0339999999999998</v>
      </c>
      <c r="AC2997" s="2"/>
    </row>
    <row r="2998" spans="1:29" ht="117" x14ac:dyDescent="0.15">
      <c r="A2998" s="3">
        <f>DATE(1997,3,28)</f>
        <v>35517</v>
      </c>
      <c r="B2998" s="3">
        <f>DATE(1997,6,4)</f>
        <v>35585</v>
      </c>
      <c r="C2998" s="2" t="s">
        <v>95</v>
      </c>
      <c r="D2998" s="2" t="s">
        <v>9493</v>
      </c>
      <c r="E2998" s="2" t="s">
        <v>9494</v>
      </c>
      <c r="F2998" s="4">
        <v>3496</v>
      </c>
      <c r="G2998" s="2" t="s">
        <v>163</v>
      </c>
      <c r="H2998" s="2" t="s">
        <v>34</v>
      </c>
      <c r="I2998" s="2" t="s">
        <v>9495</v>
      </c>
      <c r="J2998" s="2" t="s">
        <v>302</v>
      </c>
      <c r="K2998" s="2" t="s">
        <v>53</v>
      </c>
      <c r="L2998" s="2" t="s">
        <v>34</v>
      </c>
      <c r="M2998" s="2"/>
      <c r="N2998" s="2"/>
      <c r="O2998" s="2"/>
      <c r="P2998" s="2" t="s">
        <v>9496</v>
      </c>
      <c r="Q2998" s="6">
        <v>83.64</v>
      </c>
      <c r="R2998" s="6">
        <v>1.67</v>
      </c>
      <c r="S2998" s="5">
        <v>-0.2</v>
      </c>
      <c r="T2998" s="7">
        <v>3.2530000000000001</v>
      </c>
      <c r="U2998" s="5">
        <v>0.3</v>
      </c>
      <c r="V2998" s="9">
        <v>-7.4999999999999997E-3</v>
      </c>
      <c r="W2998" s="6">
        <v>1.75</v>
      </c>
      <c r="X2998" s="7">
        <v>1.625</v>
      </c>
      <c r="Y2998" s="7">
        <v>1.625</v>
      </c>
      <c r="Z2998" s="7">
        <v>1.625</v>
      </c>
      <c r="AA2998" s="6">
        <v>6.27</v>
      </c>
      <c r="AB2998" s="7">
        <v>49.686999999999998</v>
      </c>
      <c r="AC2998" s="2"/>
    </row>
    <row r="2999" spans="1:29" ht="117" x14ac:dyDescent="0.15">
      <c r="A2999" s="3">
        <f t="shared" ref="A2999:A3004" si="30">DATE(1997,3,31)</f>
        <v>35520</v>
      </c>
      <c r="B2999" s="3">
        <f>DATE(1997,6,30)</f>
        <v>35611</v>
      </c>
      <c r="C2999" s="2" t="s">
        <v>95</v>
      </c>
      <c r="D2999" s="2" t="s">
        <v>9497</v>
      </c>
      <c r="E2999" s="2" t="s">
        <v>9498</v>
      </c>
      <c r="F2999" s="4">
        <v>3679</v>
      </c>
      <c r="G2999" s="2" t="s">
        <v>137</v>
      </c>
      <c r="H2999" s="2" t="s">
        <v>34</v>
      </c>
      <c r="I2999" s="2" t="s">
        <v>8025</v>
      </c>
      <c r="J2999" s="2" t="s">
        <v>8026</v>
      </c>
      <c r="K2999" s="2" t="s">
        <v>921</v>
      </c>
      <c r="L2999" s="2" t="s">
        <v>34</v>
      </c>
      <c r="M2999" s="12">
        <v>6587.3379999999997</v>
      </c>
      <c r="N2999" s="6">
        <v>40.75</v>
      </c>
      <c r="O2999" s="7">
        <v>40.625</v>
      </c>
      <c r="P2999" s="2" t="s">
        <v>9499</v>
      </c>
      <c r="Q2999" s="6">
        <v>100</v>
      </c>
      <c r="R2999" s="6">
        <v>36.4</v>
      </c>
      <c r="S2999" s="5">
        <v>70.8</v>
      </c>
      <c r="T2999" s="7">
        <v>123.944</v>
      </c>
      <c r="U2999" s="5">
        <v>2.4</v>
      </c>
      <c r="V2999" s="6">
        <v>0.72</v>
      </c>
      <c r="W2999" s="7">
        <v>24.812999999999999</v>
      </c>
      <c r="X2999" s="7">
        <v>28.375</v>
      </c>
      <c r="Y2999" s="7">
        <v>26.375</v>
      </c>
      <c r="Z2999" s="5">
        <v>26.5</v>
      </c>
      <c r="AA2999" s="6">
        <v>89.86</v>
      </c>
      <c r="AB2999" s="7">
        <v>31.082000000000001</v>
      </c>
      <c r="AC2999" s="2"/>
    </row>
    <row r="3000" spans="1:29" ht="156" x14ac:dyDescent="0.15">
      <c r="A3000" s="3">
        <f t="shared" si="30"/>
        <v>35520</v>
      </c>
      <c r="B3000" s="2"/>
      <c r="C3000" s="2" t="s">
        <v>30</v>
      </c>
      <c r="D3000" s="2" t="s">
        <v>9500</v>
      </c>
      <c r="E3000" s="2" t="s">
        <v>9501</v>
      </c>
      <c r="F3000" s="4">
        <v>3634</v>
      </c>
      <c r="G3000" s="2" t="s">
        <v>137</v>
      </c>
      <c r="H3000" s="2" t="s">
        <v>34</v>
      </c>
      <c r="I3000" s="2" t="s">
        <v>9502</v>
      </c>
      <c r="J3000" s="2" t="s">
        <v>9503</v>
      </c>
      <c r="K3000" s="2" t="s">
        <v>163</v>
      </c>
      <c r="L3000" s="2" t="s">
        <v>34</v>
      </c>
      <c r="M3000" s="7">
        <v>191.31200000000001</v>
      </c>
      <c r="N3000" s="6">
        <v>6.75</v>
      </c>
      <c r="O3000" s="7">
        <v>6.875</v>
      </c>
      <c r="P3000" s="2" t="s">
        <v>9504</v>
      </c>
      <c r="Q3000" s="2"/>
      <c r="R3000" s="6">
        <v>45</v>
      </c>
      <c r="S3000" s="5">
        <v>0.1</v>
      </c>
      <c r="T3000" s="6">
        <v>1.86</v>
      </c>
      <c r="U3000" s="5">
        <v>30.2</v>
      </c>
      <c r="V3000" s="7">
        <v>2.7109999999999999</v>
      </c>
      <c r="W3000" s="4">
        <v>33</v>
      </c>
      <c r="X3000" s="5">
        <v>33.5</v>
      </c>
      <c r="Y3000" s="7">
        <v>33.125</v>
      </c>
      <c r="Z3000" s="7">
        <v>38.125</v>
      </c>
      <c r="AA3000" s="6">
        <v>3.82</v>
      </c>
      <c r="AB3000" s="7">
        <v>743.70899999999995</v>
      </c>
      <c r="AC3000" s="6">
        <v>482.58</v>
      </c>
    </row>
    <row r="3001" spans="1:29" ht="91" x14ac:dyDescent="0.15">
      <c r="A3001" s="3">
        <f t="shared" si="30"/>
        <v>35520</v>
      </c>
      <c r="B3001" s="2"/>
      <c r="C3001" s="2" t="s">
        <v>30</v>
      </c>
      <c r="D3001" s="2" t="s">
        <v>110</v>
      </c>
      <c r="E3001" s="2" t="s">
        <v>111</v>
      </c>
      <c r="F3001" s="4">
        <v>3944</v>
      </c>
      <c r="G3001" s="2" t="s">
        <v>112</v>
      </c>
      <c r="H3001" s="2" t="s">
        <v>34</v>
      </c>
      <c r="I3001" s="2" t="s">
        <v>9505</v>
      </c>
      <c r="J3001" s="2" t="s">
        <v>6402</v>
      </c>
      <c r="K3001" s="2" t="s">
        <v>112</v>
      </c>
      <c r="L3001" s="2" t="s">
        <v>34</v>
      </c>
      <c r="M3001" s="2"/>
      <c r="N3001" s="2"/>
      <c r="O3001" s="2"/>
      <c r="P3001" s="2" t="s">
        <v>9506</v>
      </c>
      <c r="Q3001" s="2"/>
      <c r="R3001" s="2"/>
      <c r="S3001" s="5">
        <v>-46.2</v>
      </c>
      <c r="T3001" s="7">
        <v>-16.632999999999999</v>
      </c>
      <c r="U3001" s="5">
        <v>0.2</v>
      </c>
      <c r="V3001" s="6">
        <v>-7.39</v>
      </c>
      <c r="W3001" s="5">
        <v>3.5</v>
      </c>
      <c r="X3001" s="9">
        <v>3.1875</v>
      </c>
      <c r="Y3001" s="6">
        <v>3.25</v>
      </c>
      <c r="Z3001" s="7">
        <v>2.625</v>
      </c>
      <c r="AA3001" s="6">
        <v>7.4</v>
      </c>
      <c r="AB3001" s="2" t="s">
        <v>86</v>
      </c>
      <c r="AC3001" s="2"/>
    </row>
    <row r="3002" spans="1:29" ht="182" x14ac:dyDescent="0.15">
      <c r="A3002" s="3">
        <f t="shared" si="30"/>
        <v>35520</v>
      </c>
      <c r="B3002" s="3">
        <f>DATE(1997,10,1)</f>
        <v>35704</v>
      </c>
      <c r="C3002" s="2" t="s">
        <v>95</v>
      </c>
      <c r="D3002" s="2" t="s">
        <v>9507</v>
      </c>
      <c r="E3002" s="2" t="s">
        <v>389</v>
      </c>
      <c r="F3002" s="4">
        <v>6035</v>
      </c>
      <c r="G3002" s="2" t="s">
        <v>33</v>
      </c>
      <c r="H3002" s="2" t="s">
        <v>34</v>
      </c>
      <c r="I3002" s="2" t="s">
        <v>9508</v>
      </c>
      <c r="J3002" s="2" t="s">
        <v>9509</v>
      </c>
      <c r="K3002" s="2" t="s">
        <v>33</v>
      </c>
      <c r="L3002" s="2" t="s">
        <v>34</v>
      </c>
      <c r="M3002" s="7">
        <v>912.97699999999998</v>
      </c>
      <c r="N3002" s="4">
        <v>36</v>
      </c>
      <c r="O3002" s="7">
        <v>35.813000000000002</v>
      </c>
      <c r="P3002" s="2" t="s">
        <v>9510</v>
      </c>
      <c r="Q3002" s="6">
        <v>100</v>
      </c>
      <c r="R3002" s="6">
        <v>25.16</v>
      </c>
      <c r="S3002" s="5">
        <v>18.5</v>
      </c>
      <c r="T3002" s="7">
        <v>31.827999999999999</v>
      </c>
      <c r="U3002" s="5">
        <v>10.6</v>
      </c>
      <c r="V3002" s="6">
        <v>0.83</v>
      </c>
      <c r="W3002" s="7">
        <v>16.125</v>
      </c>
      <c r="X3002" s="7">
        <v>17.875</v>
      </c>
      <c r="Y3002" s="6">
        <v>17.25</v>
      </c>
      <c r="Z3002" s="7">
        <v>17.125</v>
      </c>
      <c r="AA3002" s="6">
        <v>13.47</v>
      </c>
      <c r="AB3002" s="7">
        <v>35.453000000000003</v>
      </c>
      <c r="AC3002" s="2"/>
    </row>
    <row r="3003" spans="1:29" ht="104" x14ac:dyDescent="0.15">
      <c r="A3003" s="3">
        <f t="shared" si="30"/>
        <v>35520</v>
      </c>
      <c r="B3003" s="3">
        <f>DATE(1997,6,3)</f>
        <v>35584</v>
      </c>
      <c r="C3003" s="2" t="s">
        <v>95</v>
      </c>
      <c r="D3003" s="2" t="s">
        <v>9511</v>
      </c>
      <c r="E3003" s="2" t="s">
        <v>9512</v>
      </c>
      <c r="F3003" s="4">
        <v>5045</v>
      </c>
      <c r="G3003" s="2" t="s">
        <v>76</v>
      </c>
      <c r="H3003" s="2" t="s">
        <v>34</v>
      </c>
      <c r="I3003" s="2" t="s">
        <v>9513</v>
      </c>
      <c r="J3003" s="2" t="s">
        <v>9514</v>
      </c>
      <c r="K3003" s="2" t="s">
        <v>186</v>
      </c>
      <c r="L3003" s="2" t="s">
        <v>902</v>
      </c>
      <c r="M3003" s="2"/>
      <c r="N3003" s="2"/>
      <c r="O3003" s="2"/>
      <c r="P3003" s="2" t="s">
        <v>9515</v>
      </c>
      <c r="Q3003" s="6">
        <v>100</v>
      </c>
      <c r="R3003" s="6">
        <v>18</v>
      </c>
      <c r="S3003" s="5">
        <v>5.2</v>
      </c>
      <c r="T3003" s="7">
        <v>14.358000000000001</v>
      </c>
      <c r="U3003" s="5">
        <v>8.3000000000000007</v>
      </c>
      <c r="V3003" s="7">
        <v>0.55100000000000005</v>
      </c>
      <c r="W3003" s="7">
        <v>9.125</v>
      </c>
      <c r="X3003" s="7">
        <v>8.625</v>
      </c>
      <c r="Y3003" s="5">
        <v>10.5</v>
      </c>
      <c r="Z3003" s="7">
        <v>11.625</v>
      </c>
      <c r="AA3003" s="6">
        <v>9.31</v>
      </c>
      <c r="AB3003" s="7">
        <v>17.422999999999998</v>
      </c>
      <c r="AC3003" s="6">
        <v>694.56</v>
      </c>
    </row>
    <row r="3004" spans="1:29" ht="91" x14ac:dyDescent="0.15">
      <c r="A3004" s="3">
        <f t="shared" si="30"/>
        <v>35520</v>
      </c>
      <c r="B3004" s="2"/>
      <c r="C3004" s="2" t="s">
        <v>30</v>
      </c>
      <c r="D3004" s="2" t="s">
        <v>3572</v>
      </c>
      <c r="E3004" s="2" t="s">
        <v>3573</v>
      </c>
      <c r="F3004" s="4">
        <v>3442</v>
      </c>
      <c r="G3004" s="2" t="s">
        <v>163</v>
      </c>
      <c r="H3004" s="2" t="s">
        <v>34</v>
      </c>
      <c r="I3004" s="2" t="s">
        <v>9516</v>
      </c>
      <c r="J3004" s="2" t="s">
        <v>386</v>
      </c>
      <c r="K3004" s="2" t="s">
        <v>53</v>
      </c>
      <c r="L3004" s="2" t="s">
        <v>34</v>
      </c>
      <c r="M3004" s="2"/>
      <c r="N3004" s="2"/>
      <c r="O3004" s="2"/>
      <c r="P3004" s="2" t="s">
        <v>9517</v>
      </c>
      <c r="Q3004" s="2"/>
      <c r="R3004" s="6">
        <v>19</v>
      </c>
      <c r="S3004" s="5">
        <v>2.6</v>
      </c>
      <c r="T3004" s="2"/>
      <c r="U3004" s="5">
        <v>10.7</v>
      </c>
      <c r="V3004" s="6">
        <v>1.33</v>
      </c>
      <c r="W3004" s="4">
        <v>12</v>
      </c>
      <c r="X3004" s="7">
        <v>12.313000000000001</v>
      </c>
      <c r="Y3004" s="7">
        <v>14.375</v>
      </c>
      <c r="Z3004" s="7">
        <v>14.375</v>
      </c>
      <c r="AA3004" s="6">
        <v>1.96</v>
      </c>
      <c r="AB3004" s="7">
        <v>9.1129999999999995</v>
      </c>
      <c r="AC3004" s="2"/>
    </row>
    <row r="3005" spans="1:29" ht="78" x14ac:dyDescent="0.15">
      <c r="A3005" s="3">
        <f>DATE(1997,4,3)</f>
        <v>35523</v>
      </c>
      <c r="B3005" s="3">
        <f>DATE(1998,9,17)</f>
        <v>36055</v>
      </c>
      <c r="C3005" s="2" t="s">
        <v>95</v>
      </c>
      <c r="D3005" s="2" t="s">
        <v>9518</v>
      </c>
      <c r="E3005" s="2" t="s">
        <v>92</v>
      </c>
      <c r="F3005" s="4">
        <v>6798</v>
      </c>
      <c r="G3005" s="2" t="s">
        <v>53</v>
      </c>
      <c r="H3005" s="2" t="s">
        <v>34</v>
      </c>
      <c r="I3005" s="2" t="s">
        <v>9328</v>
      </c>
      <c r="J3005" s="2" t="s">
        <v>483</v>
      </c>
      <c r="K3005" s="2" t="s">
        <v>53</v>
      </c>
      <c r="L3005" s="2" t="s">
        <v>34</v>
      </c>
      <c r="M3005" s="5">
        <v>608.4</v>
      </c>
      <c r="N3005" s="7">
        <v>17.375</v>
      </c>
      <c r="O3005" s="6">
        <v>17.25</v>
      </c>
      <c r="P3005" s="2" t="s">
        <v>9519</v>
      </c>
      <c r="Q3005" s="6">
        <v>94</v>
      </c>
      <c r="R3005" s="2"/>
      <c r="S3005" s="5">
        <v>9.3000000000000007</v>
      </c>
      <c r="T3005" s="7">
        <v>9.452</v>
      </c>
      <c r="U3005" s="5">
        <v>16.600000000000001</v>
      </c>
      <c r="V3005" s="7">
        <v>3.411</v>
      </c>
      <c r="W3005" s="7">
        <v>9.375</v>
      </c>
      <c r="X3005" s="5">
        <v>9.5</v>
      </c>
      <c r="Y3005" s="7">
        <v>11.625</v>
      </c>
      <c r="Z3005" s="7">
        <v>11.625</v>
      </c>
      <c r="AA3005" s="6">
        <v>2.6</v>
      </c>
      <c r="AB3005" s="7">
        <v>20.812000000000001</v>
      </c>
      <c r="AC3005" s="6">
        <v>54.61</v>
      </c>
    </row>
    <row r="3006" spans="1:29" ht="26" x14ac:dyDescent="0.15">
      <c r="A3006" s="3">
        <f>DATE(1997,4,3)</f>
        <v>35523</v>
      </c>
      <c r="B3006" s="2"/>
      <c r="C3006" s="2" t="s">
        <v>39</v>
      </c>
      <c r="D3006" s="2" t="s">
        <v>5686</v>
      </c>
      <c r="E3006" s="2" t="s">
        <v>5687</v>
      </c>
      <c r="F3006" s="4">
        <v>3571</v>
      </c>
      <c r="G3006" s="2" t="s">
        <v>50</v>
      </c>
      <c r="H3006" s="2" t="s">
        <v>34</v>
      </c>
      <c r="I3006" s="2" t="s">
        <v>7432</v>
      </c>
      <c r="J3006" s="2" t="s">
        <v>7433</v>
      </c>
      <c r="K3006" s="2" t="s">
        <v>50</v>
      </c>
      <c r="L3006" s="2" t="s">
        <v>34</v>
      </c>
      <c r="M3006" s="12">
        <v>11226.715</v>
      </c>
      <c r="N3006" s="7">
        <v>28.375</v>
      </c>
      <c r="O3006" s="6">
        <v>29.25</v>
      </c>
      <c r="P3006" s="2" t="s">
        <v>9520</v>
      </c>
      <c r="Q3006" s="2"/>
      <c r="R3006" s="2"/>
      <c r="S3006" s="5">
        <v>-816</v>
      </c>
      <c r="T3006" s="8">
        <v>-1048</v>
      </c>
      <c r="U3006" s="5">
        <v>0.6</v>
      </c>
      <c r="V3006" s="9">
        <v>-0.2354</v>
      </c>
      <c r="W3006" s="7">
        <v>18.625</v>
      </c>
      <c r="X3006" s="4">
        <v>18</v>
      </c>
      <c r="Y3006" s="7">
        <v>18.875</v>
      </c>
      <c r="Z3006" s="6">
        <v>19.25</v>
      </c>
      <c r="AA3006" s="6">
        <v>124.67</v>
      </c>
      <c r="AB3006" s="2" t="s">
        <v>86</v>
      </c>
      <c r="AC3006" s="5">
        <v>989.6</v>
      </c>
    </row>
    <row r="3007" spans="1:29" ht="78" x14ac:dyDescent="0.15">
      <c r="A3007" s="3">
        <f>DATE(1997,4,3)</f>
        <v>35523</v>
      </c>
      <c r="B3007" s="3">
        <f>DATE(1997,4,3)</f>
        <v>35523</v>
      </c>
      <c r="C3007" s="2" t="s">
        <v>95</v>
      </c>
      <c r="D3007" s="2" t="s">
        <v>8362</v>
      </c>
      <c r="E3007" s="2" t="s">
        <v>8363</v>
      </c>
      <c r="F3007" s="4">
        <v>4911</v>
      </c>
      <c r="G3007" s="2" t="s">
        <v>439</v>
      </c>
      <c r="H3007" s="2" t="s">
        <v>34</v>
      </c>
      <c r="I3007" s="2" t="s">
        <v>9521</v>
      </c>
      <c r="J3007" s="2" t="s">
        <v>9352</v>
      </c>
      <c r="K3007" s="2" t="s">
        <v>148</v>
      </c>
      <c r="L3007" s="2" t="s">
        <v>34</v>
      </c>
      <c r="M3007" s="2"/>
      <c r="N3007" s="2"/>
      <c r="O3007" s="2"/>
      <c r="P3007" s="2" t="s">
        <v>9522</v>
      </c>
      <c r="Q3007" s="6">
        <v>50</v>
      </c>
      <c r="R3007" s="2"/>
      <c r="S3007" s="5">
        <v>70.099999999999994</v>
      </c>
      <c r="T3007" s="7">
        <v>245.54499999999999</v>
      </c>
      <c r="U3007" s="5">
        <v>15</v>
      </c>
      <c r="V3007" s="6">
        <v>1.1200000000000001</v>
      </c>
      <c r="W3007" s="5">
        <v>16.5</v>
      </c>
      <c r="X3007" s="5">
        <v>16.5</v>
      </c>
      <c r="Y3007" s="7">
        <v>16.375</v>
      </c>
      <c r="Z3007" s="6">
        <v>16.25</v>
      </c>
      <c r="AA3007" s="6">
        <v>0.05</v>
      </c>
      <c r="AB3007" s="2" t="s">
        <v>47</v>
      </c>
      <c r="AC3007" s="5">
        <v>846</v>
      </c>
    </row>
    <row r="3008" spans="1:29" ht="52" x14ac:dyDescent="0.15">
      <c r="A3008" s="3">
        <f>DATE(1997,4,3)</f>
        <v>35523</v>
      </c>
      <c r="B3008" s="2"/>
      <c r="C3008" s="2" t="s">
        <v>30</v>
      </c>
      <c r="D3008" s="2" t="s">
        <v>8246</v>
      </c>
      <c r="E3008" s="2" t="s">
        <v>8247</v>
      </c>
      <c r="F3008" s="4">
        <v>8071</v>
      </c>
      <c r="G3008" s="2" t="s">
        <v>454</v>
      </c>
      <c r="H3008" s="2" t="s">
        <v>34</v>
      </c>
      <c r="I3008" s="2" t="s">
        <v>4249</v>
      </c>
      <c r="J3008" s="2" t="s">
        <v>4250</v>
      </c>
      <c r="K3008" s="2" t="s">
        <v>454</v>
      </c>
      <c r="L3008" s="2" t="s">
        <v>34</v>
      </c>
      <c r="M3008" s="6">
        <v>189.64</v>
      </c>
      <c r="N3008" s="7">
        <v>10.375</v>
      </c>
      <c r="O3008" s="7">
        <v>10.625</v>
      </c>
      <c r="P3008" s="2" t="s">
        <v>9523</v>
      </c>
      <c r="Q3008" s="2"/>
      <c r="R3008" s="6">
        <v>6.25</v>
      </c>
      <c r="S3008" s="5">
        <v>-6.3</v>
      </c>
      <c r="T3008" s="7">
        <v>23.677</v>
      </c>
      <c r="U3008" s="5">
        <v>5.6</v>
      </c>
      <c r="V3008" s="6">
        <v>-0.47</v>
      </c>
      <c r="W3008" s="5">
        <v>7.5</v>
      </c>
      <c r="X3008" s="7">
        <v>5.875</v>
      </c>
      <c r="Y3008" s="5">
        <v>5.5</v>
      </c>
      <c r="Z3008" s="7">
        <v>7.125</v>
      </c>
      <c r="AA3008" s="6">
        <v>23.44</v>
      </c>
      <c r="AB3008" s="7">
        <v>23.129000000000001</v>
      </c>
      <c r="AC3008" s="6">
        <v>21.51</v>
      </c>
    </row>
    <row r="3009" spans="1:29" ht="104" x14ac:dyDescent="0.15">
      <c r="A3009" s="3">
        <f>DATE(1997,4,4)</f>
        <v>35524</v>
      </c>
      <c r="B3009" s="3">
        <f>DATE(1997,7,31)</f>
        <v>35642</v>
      </c>
      <c r="C3009" s="2" t="s">
        <v>95</v>
      </c>
      <c r="D3009" s="2" t="s">
        <v>9524</v>
      </c>
      <c r="E3009" s="2" t="s">
        <v>36</v>
      </c>
      <c r="F3009" s="4">
        <v>6036</v>
      </c>
      <c r="G3009" s="2" t="s">
        <v>33</v>
      </c>
      <c r="H3009" s="2" t="s">
        <v>34</v>
      </c>
      <c r="I3009" s="2" t="s">
        <v>6399</v>
      </c>
      <c r="J3009" s="2" t="s">
        <v>263</v>
      </c>
      <c r="K3009" s="2" t="s">
        <v>33</v>
      </c>
      <c r="L3009" s="2" t="s">
        <v>34</v>
      </c>
      <c r="M3009" s="2"/>
      <c r="N3009" s="7">
        <v>35.625</v>
      </c>
      <c r="O3009" s="7">
        <v>35.938000000000002</v>
      </c>
      <c r="P3009" s="2" t="s">
        <v>9525</v>
      </c>
      <c r="Q3009" s="6">
        <v>100</v>
      </c>
      <c r="R3009" s="6">
        <v>34</v>
      </c>
      <c r="S3009" s="5">
        <v>4</v>
      </c>
      <c r="T3009" s="7">
        <v>6.9950000000000001</v>
      </c>
      <c r="U3009" s="5">
        <v>24.2</v>
      </c>
      <c r="V3009" s="7">
        <v>2.0529999999999999</v>
      </c>
      <c r="W3009" s="7">
        <v>32.875</v>
      </c>
      <c r="X3009" s="4">
        <v>32</v>
      </c>
      <c r="Y3009" s="7">
        <v>31.875</v>
      </c>
      <c r="Z3009" s="4">
        <v>32</v>
      </c>
      <c r="AA3009" s="6">
        <v>1.91</v>
      </c>
      <c r="AB3009" s="7">
        <v>70.171999999999997</v>
      </c>
      <c r="AC3009" s="2"/>
    </row>
    <row r="3010" spans="1:29" ht="130" x14ac:dyDescent="0.15">
      <c r="A3010" s="3">
        <f>DATE(1997,4,7)</f>
        <v>35527</v>
      </c>
      <c r="B3010" s="3">
        <f>DATE(1997,9,2)</f>
        <v>35675</v>
      </c>
      <c r="C3010" s="2" t="s">
        <v>95</v>
      </c>
      <c r="D3010" s="2" t="s">
        <v>9526</v>
      </c>
      <c r="E3010" s="2" t="s">
        <v>367</v>
      </c>
      <c r="F3010" s="4">
        <v>6211</v>
      </c>
      <c r="G3010" s="2" t="s">
        <v>53</v>
      </c>
      <c r="H3010" s="2" t="s">
        <v>34</v>
      </c>
      <c r="I3010" s="2" t="s">
        <v>9527</v>
      </c>
      <c r="J3010" s="2" t="s">
        <v>36</v>
      </c>
      <c r="K3010" s="2" t="s">
        <v>37</v>
      </c>
      <c r="L3010" s="2" t="s">
        <v>34</v>
      </c>
      <c r="M3010" s="12">
        <v>7837.6639999999998</v>
      </c>
      <c r="N3010" s="5">
        <v>79.5</v>
      </c>
      <c r="O3010" s="7">
        <v>79.875</v>
      </c>
      <c r="P3010" s="2" t="s">
        <v>9528</v>
      </c>
      <c r="Q3010" s="6">
        <v>100</v>
      </c>
      <c r="R3010" s="6">
        <v>68.27</v>
      </c>
      <c r="S3010" s="5">
        <v>154.1</v>
      </c>
      <c r="T3010" s="7">
        <v>272.303</v>
      </c>
      <c r="U3010" s="5">
        <v>26.8</v>
      </c>
      <c r="V3010" s="6">
        <v>6.28</v>
      </c>
      <c r="W3010" s="5">
        <v>45.5</v>
      </c>
      <c r="X3010" s="7">
        <v>41.375</v>
      </c>
      <c r="Y3010" s="7">
        <v>44.625</v>
      </c>
      <c r="Z3010" s="7">
        <v>53.125</v>
      </c>
      <c r="AA3010" s="6">
        <v>24.85</v>
      </c>
      <c r="AB3010" s="7">
        <v>7.3760000000000003</v>
      </c>
      <c r="AC3010" s="2"/>
    </row>
    <row r="3011" spans="1:29" ht="130" x14ac:dyDescent="0.15">
      <c r="A3011" s="3">
        <f>DATE(1997,4,7)</f>
        <v>35527</v>
      </c>
      <c r="B3011" s="2"/>
      <c r="C3011" s="2" t="s">
        <v>30</v>
      </c>
      <c r="D3011" s="2" t="s">
        <v>9529</v>
      </c>
      <c r="E3011" s="2" t="s">
        <v>9530</v>
      </c>
      <c r="F3011" s="4">
        <v>4911</v>
      </c>
      <c r="G3011" s="2" t="s">
        <v>439</v>
      </c>
      <c r="H3011" s="2" t="s">
        <v>34</v>
      </c>
      <c r="I3011" s="2" t="s">
        <v>9531</v>
      </c>
      <c r="J3011" s="2" t="s">
        <v>438</v>
      </c>
      <c r="K3011" s="2" t="s">
        <v>439</v>
      </c>
      <c r="L3011" s="2" t="s">
        <v>34</v>
      </c>
      <c r="M3011" s="10">
        <v>3777.05</v>
      </c>
      <c r="N3011" s="4">
        <v>29</v>
      </c>
      <c r="O3011" s="7">
        <v>28.375</v>
      </c>
      <c r="P3011" s="2" t="s">
        <v>9532</v>
      </c>
      <c r="Q3011" s="2"/>
      <c r="R3011" s="6">
        <v>33.32</v>
      </c>
      <c r="S3011" s="5">
        <v>181.9</v>
      </c>
      <c r="T3011" s="7">
        <v>528.93499999999995</v>
      </c>
      <c r="U3011" s="5">
        <v>18.2</v>
      </c>
      <c r="V3011" s="7">
        <v>2.355</v>
      </c>
      <c r="W3011" s="6">
        <v>27.75</v>
      </c>
      <c r="X3011" s="7">
        <v>27.125</v>
      </c>
      <c r="Y3011" s="7">
        <v>28.875</v>
      </c>
      <c r="Z3011" s="6">
        <v>28.75</v>
      </c>
      <c r="AA3011" s="6">
        <v>77.28</v>
      </c>
      <c r="AB3011" s="7">
        <v>13.028</v>
      </c>
      <c r="AC3011" s="2"/>
    </row>
    <row r="3012" spans="1:29" ht="156" x14ac:dyDescent="0.15">
      <c r="A3012" s="3">
        <f>DATE(1997,4,7)</f>
        <v>35527</v>
      </c>
      <c r="B3012" s="3">
        <f>DATE(1997,8,8)</f>
        <v>35650</v>
      </c>
      <c r="C3012" s="2" t="s">
        <v>95</v>
      </c>
      <c r="D3012" s="2" t="s">
        <v>9533</v>
      </c>
      <c r="E3012" s="2" t="s">
        <v>177</v>
      </c>
      <c r="F3012" s="4">
        <v>1311</v>
      </c>
      <c r="G3012" s="2" t="s">
        <v>148</v>
      </c>
      <c r="H3012" s="2" t="s">
        <v>34</v>
      </c>
      <c r="I3012" s="2" t="s">
        <v>9534</v>
      </c>
      <c r="J3012" s="2" t="s">
        <v>1435</v>
      </c>
      <c r="K3012" s="2" t="s">
        <v>148</v>
      </c>
      <c r="L3012" s="2" t="s">
        <v>34</v>
      </c>
      <c r="M3012" s="12">
        <v>1454.415</v>
      </c>
      <c r="N3012" s="7">
        <v>31.875</v>
      </c>
      <c r="O3012" s="7">
        <v>31.875</v>
      </c>
      <c r="P3012" s="2" t="s">
        <v>9535</v>
      </c>
      <c r="Q3012" s="6">
        <v>100</v>
      </c>
      <c r="R3012" s="6">
        <v>4.2699999999999996</v>
      </c>
      <c r="S3012" s="5">
        <v>8.3000000000000007</v>
      </c>
      <c r="T3012" s="7">
        <v>199.989</v>
      </c>
      <c r="U3012" s="5">
        <v>-0.1</v>
      </c>
      <c r="V3012" s="6">
        <v>-0.02</v>
      </c>
      <c r="W3012" s="4">
        <v>6</v>
      </c>
      <c r="X3012" s="6">
        <v>5.75</v>
      </c>
      <c r="Y3012" s="6">
        <v>5.75</v>
      </c>
      <c r="Z3012" s="6">
        <v>5.25</v>
      </c>
      <c r="AA3012" s="6">
        <v>64.28</v>
      </c>
      <c r="AB3012" s="7">
        <v>20.74</v>
      </c>
      <c r="AC3012" s="6">
        <v>20.46</v>
      </c>
    </row>
    <row r="3013" spans="1:29" ht="117" x14ac:dyDescent="0.15">
      <c r="A3013" s="3">
        <f>DATE(1997,4,7)</f>
        <v>35527</v>
      </c>
      <c r="B3013" s="3">
        <f>DATE(1997,7,30)</f>
        <v>35641</v>
      </c>
      <c r="C3013" s="2" t="s">
        <v>95</v>
      </c>
      <c r="D3013" s="2" t="s">
        <v>9536</v>
      </c>
      <c r="E3013" s="2" t="s">
        <v>8055</v>
      </c>
      <c r="F3013" s="4">
        <v>7371</v>
      </c>
      <c r="G3013" s="2" t="s">
        <v>223</v>
      </c>
      <c r="H3013" s="2" t="s">
        <v>34</v>
      </c>
      <c r="I3013" s="2" t="s">
        <v>4367</v>
      </c>
      <c r="J3013" s="2" t="s">
        <v>4368</v>
      </c>
      <c r="K3013" s="2" t="s">
        <v>551</v>
      </c>
      <c r="L3013" s="2" t="s">
        <v>34</v>
      </c>
      <c r="M3013" s="7">
        <v>981.19100000000003</v>
      </c>
      <c r="N3013" s="7">
        <v>13.625</v>
      </c>
      <c r="O3013" s="5">
        <v>14.5</v>
      </c>
      <c r="P3013" s="2" t="s">
        <v>9537</v>
      </c>
      <c r="Q3013" s="6">
        <v>100</v>
      </c>
      <c r="R3013" s="6">
        <v>21.04</v>
      </c>
      <c r="S3013" s="5">
        <v>-53.7</v>
      </c>
      <c r="T3013" s="7">
        <v>-50.573999999999998</v>
      </c>
      <c r="U3013" s="5">
        <v>1.8</v>
      </c>
      <c r="V3013" s="7">
        <v>-1.276</v>
      </c>
      <c r="W3013" s="7">
        <v>17.062999999999999</v>
      </c>
      <c r="X3013" s="6">
        <v>17.75</v>
      </c>
      <c r="Y3013" s="4">
        <v>10</v>
      </c>
      <c r="Z3013" s="7">
        <v>9.8130000000000006</v>
      </c>
      <c r="AA3013" s="6">
        <v>42.8</v>
      </c>
      <c r="AB3013" s="2" t="s">
        <v>86</v>
      </c>
      <c r="AC3013" s="6">
        <v>230.02</v>
      </c>
    </row>
    <row r="3014" spans="1:29" ht="104" x14ac:dyDescent="0.15">
      <c r="A3014" s="3">
        <f>DATE(1997,4,8)</f>
        <v>35528</v>
      </c>
      <c r="B3014" s="3">
        <f>DATE(1997,8,28)</f>
        <v>35670</v>
      </c>
      <c r="C3014" s="2" t="s">
        <v>95</v>
      </c>
      <c r="D3014" s="2" t="s">
        <v>9538</v>
      </c>
      <c r="E3014" s="2" t="s">
        <v>36</v>
      </c>
      <c r="F3014" s="4">
        <v>6022</v>
      </c>
      <c r="G3014" s="2" t="s">
        <v>37</v>
      </c>
      <c r="H3014" s="2" t="s">
        <v>34</v>
      </c>
      <c r="I3014" s="2" t="s">
        <v>295</v>
      </c>
      <c r="J3014" s="2" t="s">
        <v>296</v>
      </c>
      <c r="K3014" s="2" t="s">
        <v>37</v>
      </c>
      <c r="L3014" s="2" t="s">
        <v>34</v>
      </c>
      <c r="M3014" s="2"/>
      <c r="N3014" s="2"/>
      <c r="O3014" s="2"/>
      <c r="P3014" s="2" t="s">
        <v>9539</v>
      </c>
      <c r="Q3014" s="6">
        <v>100</v>
      </c>
      <c r="R3014" s="6">
        <v>15.5</v>
      </c>
      <c r="S3014" s="5">
        <v>9.6999999999999993</v>
      </c>
      <c r="T3014" s="7">
        <v>2.8839999999999999</v>
      </c>
      <c r="U3014" s="5">
        <v>7</v>
      </c>
      <c r="V3014" s="7">
        <v>2.6440000000000001</v>
      </c>
      <c r="W3014" s="6">
        <v>12.25</v>
      </c>
      <c r="X3014" s="5">
        <v>13.5</v>
      </c>
      <c r="Y3014" s="6">
        <v>14.75</v>
      </c>
      <c r="Z3014" s="6">
        <v>14.75</v>
      </c>
      <c r="AA3014" s="6">
        <v>3.69</v>
      </c>
      <c r="AB3014" s="7">
        <v>132.97800000000001</v>
      </c>
      <c r="AC3014" s="2"/>
    </row>
    <row r="3015" spans="1:29" ht="130" x14ac:dyDescent="0.15">
      <c r="A3015" s="3">
        <f>DATE(1997,4,8)</f>
        <v>35528</v>
      </c>
      <c r="B3015" s="2"/>
      <c r="C3015" s="2" t="s">
        <v>30</v>
      </c>
      <c r="D3015" s="2" t="s">
        <v>9540</v>
      </c>
      <c r="E3015" s="2" t="s">
        <v>124</v>
      </c>
      <c r="F3015" s="4">
        <v>6311</v>
      </c>
      <c r="G3015" s="2" t="s">
        <v>125</v>
      </c>
      <c r="H3015" s="2" t="s">
        <v>34</v>
      </c>
      <c r="I3015" s="2" t="s">
        <v>9541</v>
      </c>
      <c r="J3015" s="2" t="s">
        <v>124</v>
      </c>
      <c r="K3015" s="2" t="s">
        <v>125</v>
      </c>
      <c r="L3015" s="2" t="s">
        <v>34</v>
      </c>
      <c r="M3015" s="2"/>
      <c r="N3015" s="2"/>
      <c r="O3015" s="2"/>
      <c r="P3015" s="2" t="s">
        <v>9542</v>
      </c>
      <c r="Q3015" s="2"/>
      <c r="R3015" s="6">
        <v>7</v>
      </c>
      <c r="S3015" s="5">
        <v>-0.1</v>
      </c>
      <c r="T3015" s="2"/>
      <c r="U3015" s="5">
        <v>3.7</v>
      </c>
      <c r="V3015" s="7">
        <v>-7.4999999999999997E-2</v>
      </c>
      <c r="W3015" s="5">
        <v>4.5</v>
      </c>
      <c r="X3015" s="5">
        <v>4.5</v>
      </c>
      <c r="Y3015" s="5">
        <v>4.5</v>
      </c>
      <c r="Z3015" s="5">
        <v>4.5</v>
      </c>
      <c r="AA3015" s="6">
        <v>1.25</v>
      </c>
      <c r="AB3015" s="2" t="s">
        <v>86</v>
      </c>
      <c r="AC3015" s="2"/>
    </row>
    <row r="3016" spans="1:29" ht="104" x14ac:dyDescent="0.15">
      <c r="A3016" s="3">
        <f t="shared" ref="A3016:A3021" si="31">DATE(1997,4,9)</f>
        <v>35529</v>
      </c>
      <c r="B3016" s="3">
        <f>DATE(1997,6,24)</f>
        <v>35605</v>
      </c>
      <c r="C3016" s="2" t="s">
        <v>95</v>
      </c>
      <c r="D3016" s="2" t="s">
        <v>9543</v>
      </c>
      <c r="E3016" s="2" t="s">
        <v>92</v>
      </c>
      <c r="F3016" s="4">
        <v>6798</v>
      </c>
      <c r="G3016" s="2" t="s">
        <v>53</v>
      </c>
      <c r="H3016" s="2" t="s">
        <v>34</v>
      </c>
      <c r="I3016" s="2" t="s">
        <v>7163</v>
      </c>
      <c r="J3016" s="2" t="s">
        <v>2044</v>
      </c>
      <c r="K3016" s="2" t="s">
        <v>53</v>
      </c>
      <c r="L3016" s="2" t="s">
        <v>34</v>
      </c>
      <c r="M3016" s="12">
        <v>2657.4670000000001</v>
      </c>
      <c r="N3016" s="7">
        <v>28.125</v>
      </c>
      <c r="O3016" s="7">
        <v>27.875</v>
      </c>
      <c r="P3016" s="2" t="s">
        <v>9544</v>
      </c>
      <c r="Q3016" s="6">
        <v>100</v>
      </c>
      <c r="R3016" s="6">
        <v>20.010000000000002</v>
      </c>
      <c r="S3016" s="5">
        <v>5.3</v>
      </c>
      <c r="T3016" s="7">
        <v>6.9349999999999996</v>
      </c>
      <c r="U3016" s="5">
        <v>11.6</v>
      </c>
      <c r="V3016" s="7">
        <v>1.6379999999999999</v>
      </c>
      <c r="W3016" s="4">
        <v>19</v>
      </c>
      <c r="X3016" s="7">
        <v>18.875</v>
      </c>
      <c r="Y3016" s="7">
        <v>18.875</v>
      </c>
      <c r="Z3016" s="7">
        <v>20.125</v>
      </c>
      <c r="AA3016" s="6">
        <v>4.21</v>
      </c>
      <c r="AB3016" s="7">
        <v>15.393000000000001</v>
      </c>
      <c r="AC3016" s="6">
        <v>26.86</v>
      </c>
    </row>
    <row r="3017" spans="1:29" ht="104" x14ac:dyDescent="0.15">
      <c r="A3017" s="3">
        <f t="shared" si="31"/>
        <v>35529</v>
      </c>
      <c r="B3017" s="3">
        <f>DATE(1997,6,24)</f>
        <v>35605</v>
      </c>
      <c r="C3017" s="2" t="s">
        <v>95</v>
      </c>
      <c r="D3017" s="2" t="s">
        <v>9545</v>
      </c>
      <c r="E3017" s="2" t="s">
        <v>92</v>
      </c>
      <c r="F3017" s="4">
        <v>6798</v>
      </c>
      <c r="G3017" s="2" t="s">
        <v>53</v>
      </c>
      <c r="H3017" s="2" t="s">
        <v>34</v>
      </c>
      <c r="I3017" s="2" t="s">
        <v>7163</v>
      </c>
      <c r="J3017" s="2" t="s">
        <v>2044</v>
      </c>
      <c r="K3017" s="2" t="s">
        <v>53</v>
      </c>
      <c r="L3017" s="2" t="s">
        <v>34</v>
      </c>
      <c r="M3017" s="12">
        <v>2657.4670000000001</v>
      </c>
      <c r="N3017" s="7">
        <v>28.125</v>
      </c>
      <c r="O3017" s="7">
        <v>27.875</v>
      </c>
      <c r="P3017" s="2" t="s">
        <v>9546</v>
      </c>
      <c r="Q3017" s="6">
        <v>100</v>
      </c>
      <c r="R3017" s="6">
        <v>18.62</v>
      </c>
      <c r="S3017" s="5">
        <v>4.3</v>
      </c>
      <c r="T3017" s="7">
        <v>6.4710000000000001</v>
      </c>
      <c r="U3017" s="5">
        <v>10.4</v>
      </c>
      <c r="V3017" s="7">
        <v>1.3839999999999999</v>
      </c>
      <c r="W3017" s="7">
        <v>18.625</v>
      </c>
      <c r="X3017" s="6">
        <v>18.75</v>
      </c>
      <c r="Y3017" s="6">
        <v>18.75</v>
      </c>
      <c r="Z3017" s="4">
        <v>19</v>
      </c>
      <c r="AA3017" s="6">
        <v>4.0199999999999996</v>
      </c>
      <c r="AB3017" s="7">
        <v>18.68</v>
      </c>
      <c r="AC3017" s="6">
        <v>26.86</v>
      </c>
    </row>
    <row r="3018" spans="1:29" ht="104" x14ac:dyDescent="0.15">
      <c r="A3018" s="3">
        <f t="shared" si="31"/>
        <v>35529</v>
      </c>
      <c r="B3018" s="3">
        <f>DATE(1997,6,24)</f>
        <v>35605</v>
      </c>
      <c r="C3018" s="2" t="s">
        <v>95</v>
      </c>
      <c r="D3018" s="2" t="s">
        <v>9547</v>
      </c>
      <c r="E3018" s="2" t="s">
        <v>92</v>
      </c>
      <c r="F3018" s="4">
        <v>6798</v>
      </c>
      <c r="G3018" s="2" t="s">
        <v>53</v>
      </c>
      <c r="H3018" s="2" t="s">
        <v>34</v>
      </c>
      <c r="I3018" s="2" t="s">
        <v>7163</v>
      </c>
      <c r="J3018" s="2" t="s">
        <v>2044</v>
      </c>
      <c r="K3018" s="2" t="s">
        <v>53</v>
      </c>
      <c r="L3018" s="2" t="s">
        <v>34</v>
      </c>
      <c r="M3018" s="12">
        <v>1229.317</v>
      </c>
      <c r="N3018" s="7">
        <v>28.125</v>
      </c>
      <c r="O3018" s="7">
        <v>27.875</v>
      </c>
      <c r="P3018" s="2" t="s">
        <v>9548</v>
      </c>
      <c r="Q3018" s="6">
        <v>100</v>
      </c>
      <c r="R3018" s="6">
        <v>19.55</v>
      </c>
      <c r="S3018" s="5">
        <v>4.7</v>
      </c>
      <c r="T3018" s="7">
        <v>7.0049999999999999</v>
      </c>
      <c r="U3018" s="5">
        <v>11.8</v>
      </c>
      <c r="V3018" s="7">
        <v>1.5109999999999999</v>
      </c>
      <c r="W3018" s="6">
        <v>18.25</v>
      </c>
      <c r="X3018" s="7">
        <v>18.625</v>
      </c>
      <c r="Y3018" s="7">
        <v>18.625</v>
      </c>
      <c r="Z3018" s="7">
        <v>19.625</v>
      </c>
      <c r="AA3018" s="6">
        <v>4.0199999999999996</v>
      </c>
      <c r="AB3018" s="7">
        <v>16.204000000000001</v>
      </c>
      <c r="AC3018" s="6">
        <v>26.86</v>
      </c>
    </row>
    <row r="3019" spans="1:29" ht="104" x14ac:dyDescent="0.15">
      <c r="A3019" s="3">
        <f t="shared" si="31"/>
        <v>35529</v>
      </c>
      <c r="B3019" s="3">
        <f>DATE(1997,6,24)</f>
        <v>35605</v>
      </c>
      <c r="C3019" s="2" t="s">
        <v>95</v>
      </c>
      <c r="D3019" s="2" t="s">
        <v>9549</v>
      </c>
      <c r="E3019" s="2" t="s">
        <v>92</v>
      </c>
      <c r="F3019" s="4">
        <v>6798</v>
      </c>
      <c r="G3019" s="2" t="s">
        <v>53</v>
      </c>
      <c r="H3019" s="2" t="s">
        <v>34</v>
      </c>
      <c r="I3019" s="2" t="s">
        <v>7163</v>
      </c>
      <c r="J3019" s="2" t="s">
        <v>2044</v>
      </c>
      <c r="K3019" s="2" t="s">
        <v>53</v>
      </c>
      <c r="L3019" s="2" t="s">
        <v>34</v>
      </c>
      <c r="M3019" s="12">
        <v>2657.4670000000001</v>
      </c>
      <c r="N3019" s="7">
        <v>28.125</v>
      </c>
      <c r="O3019" s="7">
        <v>27.875</v>
      </c>
      <c r="P3019" s="2" t="s">
        <v>9550</v>
      </c>
      <c r="Q3019" s="6">
        <v>100</v>
      </c>
      <c r="R3019" s="6">
        <v>16.52</v>
      </c>
      <c r="S3019" s="5">
        <v>2.9</v>
      </c>
      <c r="T3019" s="7">
        <v>4.7939999999999996</v>
      </c>
      <c r="U3019" s="5">
        <v>11.4</v>
      </c>
      <c r="V3019" s="7">
        <v>0.86699999999999999</v>
      </c>
      <c r="W3019" s="4">
        <v>16</v>
      </c>
      <c r="X3019" s="6">
        <v>15.75</v>
      </c>
      <c r="Y3019" s="6">
        <v>15.75</v>
      </c>
      <c r="Z3019" s="6">
        <v>16.25</v>
      </c>
      <c r="AA3019" s="6">
        <v>4.1100000000000003</v>
      </c>
      <c r="AB3019" s="7">
        <v>22.57</v>
      </c>
      <c r="AC3019" s="6">
        <v>26.86</v>
      </c>
    </row>
    <row r="3020" spans="1:29" ht="130" x14ac:dyDescent="0.15">
      <c r="A3020" s="3">
        <f t="shared" si="31"/>
        <v>35529</v>
      </c>
      <c r="B3020" s="3">
        <f>DATE(1997,5,13)</f>
        <v>35563</v>
      </c>
      <c r="C3020" s="2" t="s">
        <v>95</v>
      </c>
      <c r="D3020" s="2" t="s">
        <v>5485</v>
      </c>
      <c r="E3020" s="2" t="s">
        <v>5486</v>
      </c>
      <c r="F3020" s="4">
        <v>3465</v>
      </c>
      <c r="G3020" s="2" t="s">
        <v>163</v>
      </c>
      <c r="H3020" s="2" t="s">
        <v>34</v>
      </c>
      <c r="I3020" s="2" t="s">
        <v>863</v>
      </c>
      <c r="J3020" s="2" t="s">
        <v>864</v>
      </c>
      <c r="K3020" s="2" t="s">
        <v>300</v>
      </c>
      <c r="L3020" s="2" t="s">
        <v>303</v>
      </c>
      <c r="M3020" s="2"/>
      <c r="N3020" s="2"/>
      <c r="O3020" s="2"/>
      <c r="P3020" s="2" t="s">
        <v>9551</v>
      </c>
      <c r="Q3020" s="6">
        <v>100</v>
      </c>
      <c r="R3020" s="6">
        <v>21.5</v>
      </c>
      <c r="S3020" s="5">
        <v>21.4</v>
      </c>
      <c r="T3020" s="7">
        <v>84.899000000000001</v>
      </c>
      <c r="U3020" s="5">
        <v>12.4</v>
      </c>
      <c r="V3020" s="7">
        <v>1.286</v>
      </c>
      <c r="W3020" s="5">
        <v>14.5</v>
      </c>
      <c r="X3020" s="7">
        <v>16.625</v>
      </c>
      <c r="Y3020" s="5">
        <v>21.5</v>
      </c>
      <c r="Z3020" s="7">
        <v>21.265999999999998</v>
      </c>
      <c r="AA3020" s="6">
        <v>16.23</v>
      </c>
      <c r="AB3020" s="7">
        <v>10.481</v>
      </c>
      <c r="AC3020" s="6">
        <v>872.4</v>
      </c>
    </row>
    <row r="3021" spans="1:29" ht="78" x14ac:dyDescent="0.15">
      <c r="A3021" s="3">
        <f t="shared" si="31"/>
        <v>35529</v>
      </c>
      <c r="B3021" s="3">
        <f>DATE(1997,7,21)</f>
        <v>35632</v>
      </c>
      <c r="C3021" s="2" t="s">
        <v>95</v>
      </c>
      <c r="D3021" s="2" t="s">
        <v>4182</v>
      </c>
      <c r="E3021" s="2" t="s">
        <v>4183</v>
      </c>
      <c r="F3021" s="4">
        <v>2676</v>
      </c>
      <c r="G3021" s="2" t="s">
        <v>282</v>
      </c>
      <c r="H3021" s="2" t="s">
        <v>34</v>
      </c>
      <c r="I3021" s="2" t="s">
        <v>9552</v>
      </c>
      <c r="J3021" s="2" t="s">
        <v>9553</v>
      </c>
      <c r="K3021" s="2" t="s">
        <v>358</v>
      </c>
      <c r="L3021" s="2" t="s">
        <v>34</v>
      </c>
      <c r="M3021" s="12">
        <v>84933.100999999995</v>
      </c>
      <c r="N3021" s="6">
        <v>119.75</v>
      </c>
      <c r="O3021" s="7">
        <v>119.625</v>
      </c>
      <c r="P3021" s="2" t="s">
        <v>9554</v>
      </c>
      <c r="Q3021" s="6">
        <v>100</v>
      </c>
      <c r="R3021" s="6">
        <v>50</v>
      </c>
      <c r="S3021" s="5">
        <v>45.8</v>
      </c>
      <c r="T3021" s="7">
        <v>166.05199999999999</v>
      </c>
      <c r="U3021" s="5">
        <v>2.6</v>
      </c>
      <c r="V3021" s="6">
        <v>1.24</v>
      </c>
      <c r="W3021" s="5">
        <v>43.5</v>
      </c>
      <c r="X3021" s="7">
        <v>46.125</v>
      </c>
      <c r="Y3021" s="7">
        <v>48.125</v>
      </c>
      <c r="Z3021" s="6">
        <v>47.75</v>
      </c>
      <c r="AA3021" s="6">
        <v>36.950000000000003</v>
      </c>
      <c r="AB3021" s="7">
        <v>14.263999999999999</v>
      </c>
      <c r="AC3021" s="8">
        <v>2520</v>
      </c>
    </row>
    <row r="3022" spans="1:29" ht="130" x14ac:dyDescent="0.15">
      <c r="A3022" s="3">
        <f>DATE(1997,4,10)</f>
        <v>35530</v>
      </c>
      <c r="B3022" s="3">
        <f>DATE(1997,6,13)</f>
        <v>35594</v>
      </c>
      <c r="C3022" s="2" t="s">
        <v>95</v>
      </c>
      <c r="D3022" s="2" t="s">
        <v>6401</v>
      </c>
      <c r="E3022" s="2" t="s">
        <v>6402</v>
      </c>
      <c r="F3022" s="4">
        <v>3944</v>
      </c>
      <c r="G3022" s="2" t="s">
        <v>112</v>
      </c>
      <c r="H3022" s="2" t="s">
        <v>34</v>
      </c>
      <c r="I3022" s="2" t="s">
        <v>7451</v>
      </c>
      <c r="J3022" s="2" t="s">
        <v>4110</v>
      </c>
      <c r="K3022" s="2" t="s">
        <v>112</v>
      </c>
      <c r="L3022" s="2" t="s">
        <v>34</v>
      </c>
      <c r="M3022" s="2"/>
      <c r="N3022" s="2"/>
      <c r="O3022" s="2"/>
      <c r="P3022" s="2" t="s">
        <v>9555</v>
      </c>
      <c r="Q3022" s="6">
        <v>100</v>
      </c>
      <c r="R3022" s="6">
        <v>11.25</v>
      </c>
      <c r="S3022" s="5">
        <v>7.8</v>
      </c>
      <c r="T3022" s="7">
        <v>27.623999999999999</v>
      </c>
      <c r="U3022" s="5">
        <v>4</v>
      </c>
      <c r="V3022" s="7">
        <v>0.76500000000000001</v>
      </c>
      <c r="W3022" s="7">
        <v>9.625</v>
      </c>
      <c r="X3022" s="4">
        <v>10</v>
      </c>
      <c r="Y3022" s="6">
        <v>10.25</v>
      </c>
      <c r="Z3022" s="7">
        <v>10.875</v>
      </c>
      <c r="AA3022" s="6">
        <v>10.27</v>
      </c>
      <c r="AB3022" s="7">
        <v>9.3780000000000001</v>
      </c>
      <c r="AC3022" s="2"/>
    </row>
    <row r="3023" spans="1:29" ht="117" x14ac:dyDescent="0.15">
      <c r="A3023" s="3">
        <f>DATE(1997,4,10)</f>
        <v>35530</v>
      </c>
      <c r="B3023" s="3">
        <f>DATE(1997,6,26)</f>
        <v>35607</v>
      </c>
      <c r="C3023" s="2" t="s">
        <v>95</v>
      </c>
      <c r="D3023" s="2" t="s">
        <v>6102</v>
      </c>
      <c r="E3023" s="2" t="s">
        <v>6103</v>
      </c>
      <c r="F3023" s="4">
        <v>3661</v>
      </c>
      <c r="G3023" s="2" t="s">
        <v>921</v>
      </c>
      <c r="H3023" s="2" t="s">
        <v>34</v>
      </c>
      <c r="I3023" s="2" t="s">
        <v>1711</v>
      </c>
      <c r="J3023" s="2" t="s">
        <v>1712</v>
      </c>
      <c r="K3023" s="2" t="s">
        <v>50</v>
      </c>
      <c r="L3023" s="2" t="s">
        <v>34</v>
      </c>
      <c r="M3023" s="8">
        <v>21190.1</v>
      </c>
      <c r="N3023" s="7">
        <v>75.375</v>
      </c>
      <c r="O3023" s="7">
        <v>72.875</v>
      </c>
      <c r="P3023" s="2" t="s">
        <v>9556</v>
      </c>
      <c r="Q3023" s="6">
        <v>100</v>
      </c>
      <c r="R3023" s="6">
        <v>16.25</v>
      </c>
      <c r="S3023" s="5">
        <v>12.5</v>
      </c>
      <c r="T3023" s="7">
        <v>21.312000000000001</v>
      </c>
      <c r="U3023" s="5">
        <v>6.5</v>
      </c>
      <c r="V3023" s="6">
        <v>0.8</v>
      </c>
      <c r="W3023" s="5">
        <v>8.5</v>
      </c>
      <c r="X3023" s="5">
        <v>10.5</v>
      </c>
      <c r="Y3023" s="7">
        <v>15.938000000000001</v>
      </c>
      <c r="Z3023" s="7">
        <v>15.938000000000001</v>
      </c>
      <c r="AA3023" s="6">
        <v>16.12</v>
      </c>
      <c r="AB3023" s="7">
        <v>16.122</v>
      </c>
      <c r="AC3023" s="8">
        <v>3993</v>
      </c>
    </row>
    <row r="3024" spans="1:29" ht="52" x14ac:dyDescent="0.15">
      <c r="A3024" s="3">
        <f>DATE(1997,4,11)</f>
        <v>35531</v>
      </c>
      <c r="B3024" s="2"/>
      <c r="C3024" s="2" t="s">
        <v>39</v>
      </c>
      <c r="D3024" s="2" t="s">
        <v>9557</v>
      </c>
      <c r="E3024" s="2" t="s">
        <v>9558</v>
      </c>
      <c r="F3024" s="4">
        <v>3571</v>
      </c>
      <c r="G3024" s="2" t="s">
        <v>50</v>
      </c>
      <c r="H3024" s="2" t="s">
        <v>34</v>
      </c>
      <c r="I3024" s="2" t="s">
        <v>1711</v>
      </c>
      <c r="J3024" s="2" t="s">
        <v>1712</v>
      </c>
      <c r="K3024" s="2" t="s">
        <v>50</v>
      </c>
      <c r="L3024" s="2" t="s">
        <v>34</v>
      </c>
      <c r="M3024" s="8">
        <v>20580.8</v>
      </c>
      <c r="N3024" s="7">
        <v>72.875</v>
      </c>
      <c r="O3024" s="6">
        <v>73.75</v>
      </c>
      <c r="P3024" s="2" t="s">
        <v>9559</v>
      </c>
      <c r="Q3024" s="2"/>
      <c r="R3024" s="2"/>
      <c r="S3024" s="5">
        <v>44.6</v>
      </c>
      <c r="T3024" s="7">
        <v>123.42400000000001</v>
      </c>
      <c r="U3024" s="5">
        <v>24.7</v>
      </c>
      <c r="V3024" s="6">
        <v>4.8</v>
      </c>
      <c r="W3024" s="7">
        <v>21.937999999999999</v>
      </c>
      <c r="X3024" s="6">
        <v>22.25</v>
      </c>
      <c r="Y3024" s="7">
        <v>22.875</v>
      </c>
      <c r="Z3024" s="4">
        <v>23</v>
      </c>
      <c r="AA3024" s="6">
        <v>92.45</v>
      </c>
      <c r="AB3024" s="2" t="s">
        <v>47</v>
      </c>
      <c r="AC3024" s="8">
        <v>3993</v>
      </c>
    </row>
    <row r="3025" spans="1:29" ht="130" x14ac:dyDescent="0.15">
      <c r="A3025" s="3">
        <f>DATE(1997,4,11)</f>
        <v>35531</v>
      </c>
      <c r="B3025" s="2"/>
      <c r="C3025" s="2" t="s">
        <v>30</v>
      </c>
      <c r="D3025" s="2" t="s">
        <v>9560</v>
      </c>
      <c r="E3025" s="2" t="s">
        <v>9561</v>
      </c>
      <c r="F3025" s="4">
        <v>7011</v>
      </c>
      <c r="G3025" s="2" t="s">
        <v>269</v>
      </c>
      <c r="H3025" s="2" t="s">
        <v>34</v>
      </c>
      <c r="I3025" s="2" t="s">
        <v>9562</v>
      </c>
      <c r="J3025" s="2" t="s">
        <v>7716</v>
      </c>
      <c r="K3025" s="2" t="s">
        <v>269</v>
      </c>
      <c r="L3025" s="2" t="s">
        <v>34</v>
      </c>
      <c r="M3025" s="2"/>
      <c r="N3025" s="2"/>
      <c r="O3025" s="2"/>
      <c r="P3025" s="2" t="s">
        <v>9563</v>
      </c>
      <c r="Q3025" s="2"/>
      <c r="R3025" s="6">
        <v>15</v>
      </c>
      <c r="S3025" s="5">
        <v>8.4</v>
      </c>
      <c r="T3025" s="7">
        <v>31.492999999999999</v>
      </c>
      <c r="U3025" s="5">
        <v>2.4</v>
      </c>
      <c r="V3025" s="9">
        <v>0.54330000000000001</v>
      </c>
      <c r="W3025" s="7">
        <v>12.875</v>
      </c>
      <c r="X3025" s="6">
        <v>12.75</v>
      </c>
      <c r="Y3025" s="6">
        <v>12.75</v>
      </c>
      <c r="Z3025" s="7">
        <v>13.125</v>
      </c>
      <c r="AA3025" s="6">
        <v>4.92</v>
      </c>
      <c r="AB3025" s="7">
        <v>13.095000000000001</v>
      </c>
      <c r="AC3025" s="2"/>
    </row>
    <row r="3026" spans="1:29" ht="221" x14ac:dyDescent="0.15">
      <c r="A3026" s="3">
        <f>DATE(1997,4,13)</f>
        <v>35533</v>
      </c>
      <c r="B3026" s="3">
        <f>DATE(1997,11,5)</f>
        <v>35739</v>
      </c>
      <c r="C3026" s="2" t="s">
        <v>95</v>
      </c>
      <c r="D3026" s="2" t="s">
        <v>4740</v>
      </c>
      <c r="E3026" s="2" t="s">
        <v>92</v>
      </c>
      <c r="F3026" s="4">
        <v>6798</v>
      </c>
      <c r="G3026" s="2" t="s">
        <v>53</v>
      </c>
      <c r="H3026" s="2" t="s">
        <v>34</v>
      </c>
      <c r="I3026" s="2" t="s">
        <v>9564</v>
      </c>
      <c r="J3026" s="2" t="s">
        <v>92</v>
      </c>
      <c r="K3026" s="2" t="s">
        <v>53</v>
      </c>
      <c r="L3026" s="2" t="s">
        <v>34</v>
      </c>
      <c r="M3026" s="12">
        <v>2373.2919999999999</v>
      </c>
      <c r="N3026" s="6">
        <v>36.25</v>
      </c>
      <c r="O3026" s="6">
        <v>36.25</v>
      </c>
      <c r="P3026" s="2" t="s">
        <v>9565</v>
      </c>
      <c r="Q3026" s="6">
        <v>89.98</v>
      </c>
      <c r="R3026" s="6">
        <v>31.1</v>
      </c>
      <c r="S3026" s="5">
        <v>-29.6</v>
      </c>
      <c r="T3026" s="6">
        <v>15.16</v>
      </c>
      <c r="U3026" s="5">
        <v>3.3</v>
      </c>
      <c r="V3026" s="7">
        <v>-2.645</v>
      </c>
      <c r="W3026" s="7">
        <v>13.125</v>
      </c>
      <c r="X3026" s="7">
        <v>13.625</v>
      </c>
      <c r="Y3026" s="6">
        <v>14.25</v>
      </c>
      <c r="Z3026" s="7">
        <v>14.125</v>
      </c>
      <c r="AA3026" s="6">
        <v>11.27</v>
      </c>
      <c r="AB3026" s="7">
        <v>27.721</v>
      </c>
      <c r="AC3026" s="6">
        <v>42.73</v>
      </c>
    </row>
    <row r="3027" spans="1:29" ht="65" x14ac:dyDescent="0.15">
      <c r="A3027" s="3">
        <f>DATE(1997,4,14)</f>
        <v>35534</v>
      </c>
      <c r="B3027" s="3">
        <f>DATE(1997,11,12)</f>
        <v>35746</v>
      </c>
      <c r="C3027" s="2" t="s">
        <v>95</v>
      </c>
      <c r="D3027" s="2" t="s">
        <v>9566</v>
      </c>
      <c r="E3027" s="2" t="s">
        <v>9567</v>
      </c>
      <c r="F3027" s="4">
        <v>4412</v>
      </c>
      <c r="G3027" s="2" t="s">
        <v>173</v>
      </c>
      <c r="H3027" s="2" t="s">
        <v>34</v>
      </c>
      <c r="I3027" s="2" t="s">
        <v>9568</v>
      </c>
      <c r="J3027" s="2" t="s">
        <v>9569</v>
      </c>
      <c r="K3027" s="2" t="s">
        <v>173</v>
      </c>
      <c r="L3027" s="2" t="s">
        <v>54</v>
      </c>
      <c r="M3027" s="2"/>
      <c r="N3027" s="2"/>
      <c r="O3027" s="2"/>
      <c r="P3027" s="2" t="s">
        <v>9570</v>
      </c>
      <c r="Q3027" s="6">
        <v>100</v>
      </c>
      <c r="R3027" s="6">
        <v>33.5</v>
      </c>
      <c r="S3027" s="5">
        <v>69.5</v>
      </c>
      <c r="T3027" s="6">
        <v>213.52</v>
      </c>
      <c r="U3027" s="5">
        <v>20.5</v>
      </c>
      <c r="V3027" s="6">
        <v>2.67</v>
      </c>
      <c r="W3027" s="6">
        <v>20.25</v>
      </c>
      <c r="X3027" s="5">
        <v>21.5</v>
      </c>
      <c r="Y3027" s="6">
        <v>29.75</v>
      </c>
      <c r="Z3027" s="4">
        <v>29</v>
      </c>
      <c r="AA3027" s="6">
        <v>24.59</v>
      </c>
      <c r="AB3027" s="7">
        <v>12.983000000000001</v>
      </c>
      <c r="AC3027" s="6">
        <v>131.09</v>
      </c>
    </row>
    <row r="3028" spans="1:29" ht="117" x14ac:dyDescent="0.15">
      <c r="A3028" s="3">
        <f>DATE(1997,4,14)</f>
        <v>35534</v>
      </c>
      <c r="B3028" s="3">
        <f>DATE(1997,9,3)</f>
        <v>35676</v>
      </c>
      <c r="C3028" s="2" t="s">
        <v>95</v>
      </c>
      <c r="D3028" s="2" t="s">
        <v>3831</v>
      </c>
      <c r="E3028" s="2" t="s">
        <v>3231</v>
      </c>
      <c r="F3028" s="4">
        <v>4953</v>
      </c>
      <c r="G3028" s="2" t="s">
        <v>116</v>
      </c>
      <c r="H3028" s="2" t="s">
        <v>34</v>
      </c>
      <c r="I3028" s="2" t="s">
        <v>5555</v>
      </c>
      <c r="J3028" s="2" t="s">
        <v>5556</v>
      </c>
      <c r="K3028" s="2" t="s">
        <v>116</v>
      </c>
      <c r="L3028" s="2" t="s">
        <v>34</v>
      </c>
      <c r="M3028" s="12">
        <v>5933.2489999999998</v>
      </c>
      <c r="N3028" s="7">
        <v>31.875</v>
      </c>
      <c r="O3028" s="5">
        <v>32.5</v>
      </c>
      <c r="P3028" s="2" t="s">
        <v>9571</v>
      </c>
      <c r="Q3028" s="6">
        <v>100</v>
      </c>
      <c r="R3028" s="6">
        <v>37.89</v>
      </c>
      <c r="S3028" s="5">
        <v>35</v>
      </c>
      <c r="T3028" s="7">
        <v>113.726</v>
      </c>
      <c r="U3028" s="5">
        <v>8.1999999999999993</v>
      </c>
      <c r="V3028" s="6">
        <v>0.88</v>
      </c>
      <c r="W3028" s="5">
        <v>37.5</v>
      </c>
      <c r="X3028" s="7">
        <v>37.625</v>
      </c>
      <c r="Y3028" s="7">
        <v>33.375</v>
      </c>
      <c r="Z3028" s="5">
        <v>34.5</v>
      </c>
      <c r="AA3028" s="6">
        <v>42.64</v>
      </c>
      <c r="AB3028" s="7">
        <v>24.561</v>
      </c>
      <c r="AC3028" s="6">
        <v>23.51</v>
      </c>
    </row>
    <row r="3029" spans="1:29" ht="169" x14ac:dyDescent="0.15">
      <c r="A3029" s="3">
        <f>DATE(1997,4,14)</f>
        <v>35534</v>
      </c>
      <c r="B3029" s="3">
        <f>DATE(1998,1,5)</f>
        <v>35800</v>
      </c>
      <c r="C3029" s="2" t="s">
        <v>95</v>
      </c>
      <c r="D3029" s="2" t="s">
        <v>9572</v>
      </c>
      <c r="E3029" s="2" t="s">
        <v>1882</v>
      </c>
      <c r="F3029" s="4">
        <v>7011</v>
      </c>
      <c r="G3029" s="2" t="s">
        <v>269</v>
      </c>
      <c r="H3029" s="2" t="s">
        <v>34</v>
      </c>
      <c r="I3029" s="2" t="s">
        <v>9573</v>
      </c>
      <c r="J3029" s="2" t="s">
        <v>268</v>
      </c>
      <c r="K3029" s="2" t="s">
        <v>269</v>
      </c>
      <c r="L3029" s="2" t="s">
        <v>34</v>
      </c>
      <c r="M3029" s="10">
        <v>1003.11</v>
      </c>
      <c r="N3029" s="5">
        <v>39.5</v>
      </c>
      <c r="O3029" s="6">
        <v>39.75</v>
      </c>
      <c r="P3029" s="2" t="s">
        <v>9574</v>
      </c>
      <c r="Q3029" s="6">
        <v>100</v>
      </c>
      <c r="R3029" s="6">
        <v>30.53</v>
      </c>
      <c r="S3029" s="5">
        <v>25.1</v>
      </c>
      <c r="T3029" s="7">
        <v>33.331000000000003</v>
      </c>
      <c r="U3029" s="5">
        <v>4.8</v>
      </c>
      <c r="V3029" s="6">
        <v>1.26</v>
      </c>
      <c r="W3029" s="6">
        <v>29.75</v>
      </c>
      <c r="X3029" s="6">
        <v>29.62</v>
      </c>
      <c r="Y3029" s="7">
        <v>20.125</v>
      </c>
      <c r="Z3029" s="7">
        <v>19.875</v>
      </c>
      <c r="AA3029" s="6">
        <v>20.02</v>
      </c>
      <c r="AB3029" s="7">
        <v>28.428000000000001</v>
      </c>
      <c r="AC3029" s="6">
        <v>15.57</v>
      </c>
    </row>
    <row r="3030" spans="1:29" ht="104" x14ac:dyDescent="0.15">
      <c r="A3030" s="3">
        <f>DATE(1997,4,15)</f>
        <v>35535</v>
      </c>
      <c r="B3030" s="3">
        <f>DATE(1997,6,30)</f>
        <v>35611</v>
      </c>
      <c r="C3030" s="2" t="s">
        <v>95</v>
      </c>
      <c r="D3030" s="2" t="s">
        <v>9575</v>
      </c>
      <c r="E3030" s="2" t="s">
        <v>9576</v>
      </c>
      <c r="F3030" s="4">
        <v>3571</v>
      </c>
      <c r="G3030" s="2" t="s">
        <v>50</v>
      </c>
      <c r="H3030" s="2" t="s">
        <v>34</v>
      </c>
      <c r="I3030" s="2" t="s">
        <v>9577</v>
      </c>
      <c r="J3030" s="2" t="s">
        <v>9578</v>
      </c>
      <c r="K3030" s="2" t="s">
        <v>551</v>
      </c>
      <c r="L3030" s="2" t="s">
        <v>926</v>
      </c>
      <c r="M3030" s="2"/>
      <c r="N3030" s="2"/>
      <c r="O3030" s="2"/>
      <c r="P3030" s="2" t="s">
        <v>9579</v>
      </c>
      <c r="Q3030" s="6">
        <v>100</v>
      </c>
      <c r="R3030" s="6">
        <v>5.52</v>
      </c>
      <c r="S3030" s="5">
        <v>-4.0999999999999996</v>
      </c>
      <c r="T3030" s="7">
        <v>-1.722</v>
      </c>
      <c r="U3030" s="5">
        <v>0.3</v>
      </c>
      <c r="V3030" s="7">
        <v>-0.496</v>
      </c>
      <c r="W3030" s="6">
        <v>3.88</v>
      </c>
      <c r="X3030" s="6">
        <v>4.13</v>
      </c>
      <c r="Y3030" s="7">
        <v>4.1879999999999997</v>
      </c>
      <c r="Z3030" s="7">
        <v>4.125</v>
      </c>
      <c r="AA3030" s="6">
        <v>9.06</v>
      </c>
      <c r="AB3030" s="2" t="s">
        <v>86</v>
      </c>
      <c r="AC3030" s="6">
        <v>28.65</v>
      </c>
    </row>
    <row r="3031" spans="1:29" ht="143" x14ac:dyDescent="0.15">
      <c r="A3031" s="3">
        <f>DATE(1997,4,15)</f>
        <v>35535</v>
      </c>
      <c r="B3031" s="3">
        <f>DATE(1997,9,25)</f>
        <v>35698</v>
      </c>
      <c r="C3031" s="2" t="s">
        <v>95</v>
      </c>
      <c r="D3031" s="2" t="s">
        <v>9580</v>
      </c>
      <c r="E3031" s="2" t="s">
        <v>612</v>
      </c>
      <c r="F3031" s="4">
        <v>1311</v>
      </c>
      <c r="G3031" s="2" t="s">
        <v>148</v>
      </c>
      <c r="H3031" s="2" t="s">
        <v>34</v>
      </c>
      <c r="I3031" s="2" t="s">
        <v>8584</v>
      </c>
      <c r="J3031" s="2" t="s">
        <v>147</v>
      </c>
      <c r="K3031" s="2" t="s">
        <v>148</v>
      </c>
      <c r="L3031" s="2" t="s">
        <v>34</v>
      </c>
      <c r="M3031" s="12">
        <v>2364.614</v>
      </c>
      <c r="N3031" s="4">
        <v>31</v>
      </c>
      <c r="O3031" s="7">
        <v>30.875</v>
      </c>
      <c r="P3031" s="2" t="s">
        <v>9581</v>
      </c>
      <c r="Q3031" s="6">
        <v>100</v>
      </c>
      <c r="R3031" s="6">
        <v>9.94</v>
      </c>
      <c r="S3031" s="5">
        <v>-5.4</v>
      </c>
      <c r="T3031" s="7">
        <v>74.825000000000003</v>
      </c>
      <c r="U3031" s="5">
        <v>9.8000000000000007</v>
      </c>
      <c r="V3031" s="9">
        <v>-0.13930000000000001</v>
      </c>
      <c r="W3031" s="5">
        <v>10.5</v>
      </c>
      <c r="X3031" s="6">
        <v>11.25</v>
      </c>
      <c r="Y3031" s="6">
        <v>10.25</v>
      </c>
      <c r="Z3031" s="6">
        <v>10.75</v>
      </c>
      <c r="AA3031" s="6">
        <v>39.1</v>
      </c>
      <c r="AB3031" s="2" t="s">
        <v>47</v>
      </c>
      <c r="AC3031" s="5">
        <v>197.9</v>
      </c>
    </row>
    <row r="3032" spans="1:29" ht="117" x14ac:dyDescent="0.15">
      <c r="A3032" s="3">
        <f>DATE(1997,4,16)</f>
        <v>35536</v>
      </c>
      <c r="B3032" s="3">
        <f>DATE(1998,1,30)</f>
        <v>35825</v>
      </c>
      <c r="C3032" s="2" t="s">
        <v>95</v>
      </c>
      <c r="D3032" s="2" t="s">
        <v>9582</v>
      </c>
      <c r="E3032" s="2" t="s">
        <v>9583</v>
      </c>
      <c r="F3032" s="4">
        <v>2731</v>
      </c>
      <c r="G3032" s="2" t="s">
        <v>186</v>
      </c>
      <c r="H3032" s="2" t="s">
        <v>34</v>
      </c>
      <c r="I3032" s="2" t="s">
        <v>9584</v>
      </c>
      <c r="J3032" s="2" t="s">
        <v>417</v>
      </c>
      <c r="K3032" s="2" t="s">
        <v>186</v>
      </c>
      <c r="L3032" s="2" t="s">
        <v>34</v>
      </c>
      <c r="M3032" s="12">
        <v>3262.9279999999999</v>
      </c>
      <c r="N3032" s="4">
        <v>45</v>
      </c>
      <c r="O3032" s="7">
        <v>45.125</v>
      </c>
      <c r="P3032" s="2" t="s">
        <v>9585</v>
      </c>
      <c r="Q3032" s="6">
        <v>17</v>
      </c>
      <c r="R3032" s="6">
        <v>14.75</v>
      </c>
      <c r="S3032" s="5">
        <v>3.2</v>
      </c>
      <c r="T3032" s="7">
        <v>15.166</v>
      </c>
      <c r="U3032" s="5">
        <v>4.2</v>
      </c>
      <c r="V3032" s="6">
        <v>0.22</v>
      </c>
      <c r="W3032" s="7">
        <v>11.125</v>
      </c>
      <c r="X3032" s="7">
        <v>11.688000000000001</v>
      </c>
      <c r="Y3032" s="6">
        <v>11.25</v>
      </c>
      <c r="Z3032" s="6">
        <v>11.75</v>
      </c>
      <c r="AA3032" s="6">
        <v>14.35</v>
      </c>
      <c r="AB3032" s="7">
        <v>18.77</v>
      </c>
      <c r="AC3032" s="6">
        <v>774.92</v>
      </c>
    </row>
    <row r="3033" spans="1:29" ht="91" x14ac:dyDescent="0.15">
      <c r="A3033" s="3">
        <f>DATE(1997,4,17)</f>
        <v>35537</v>
      </c>
      <c r="B3033" s="3">
        <f>DATE(1997,7,14)</f>
        <v>35625</v>
      </c>
      <c r="C3033" s="2" t="s">
        <v>95</v>
      </c>
      <c r="D3033" s="2" t="s">
        <v>9586</v>
      </c>
      <c r="E3033" s="2" t="s">
        <v>9587</v>
      </c>
      <c r="F3033" s="4">
        <v>1389</v>
      </c>
      <c r="G3033" s="2" t="s">
        <v>148</v>
      </c>
      <c r="H3033" s="2" t="s">
        <v>34</v>
      </c>
      <c r="I3033" s="2" t="s">
        <v>9361</v>
      </c>
      <c r="J3033" s="2" t="s">
        <v>9362</v>
      </c>
      <c r="K3033" s="2" t="s">
        <v>300</v>
      </c>
      <c r="L3033" s="2" t="s">
        <v>34</v>
      </c>
      <c r="M3033" s="12">
        <v>5635.3580000000002</v>
      </c>
      <c r="N3033" s="7">
        <v>35.375</v>
      </c>
      <c r="O3033" s="6">
        <v>35.75</v>
      </c>
      <c r="P3033" s="2" t="s">
        <v>9588</v>
      </c>
      <c r="Q3033" s="6">
        <v>100</v>
      </c>
      <c r="R3033" s="6">
        <v>17.579999999999998</v>
      </c>
      <c r="S3033" s="5">
        <v>3.1</v>
      </c>
      <c r="T3033" s="7">
        <v>13.506</v>
      </c>
      <c r="U3033" s="5">
        <v>8.4</v>
      </c>
      <c r="V3033" s="7">
        <v>0.53300000000000003</v>
      </c>
      <c r="W3033" s="6">
        <v>12.75</v>
      </c>
      <c r="X3033" s="7">
        <v>13.375</v>
      </c>
      <c r="Y3033" s="7">
        <v>14.125</v>
      </c>
      <c r="Z3033" s="6">
        <v>14.25</v>
      </c>
      <c r="AA3033" s="6">
        <v>6.66</v>
      </c>
      <c r="AB3033" s="7">
        <v>19.280999999999999</v>
      </c>
      <c r="AC3033" s="6">
        <v>7.71</v>
      </c>
    </row>
    <row r="3034" spans="1:29" ht="91" x14ac:dyDescent="0.15">
      <c r="A3034" s="3">
        <f>DATE(1997,4,18)</f>
        <v>35538</v>
      </c>
      <c r="B3034" s="3">
        <f>DATE(1997,7,10)</f>
        <v>35621</v>
      </c>
      <c r="C3034" s="2" t="s">
        <v>95</v>
      </c>
      <c r="D3034" s="2" t="s">
        <v>2025</v>
      </c>
      <c r="E3034" s="2" t="s">
        <v>2026</v>
      </c>
      <c r="F3034" s="4">
        <v>7822</v>
      </c>
      <c r="G3034" s="2" t="s">
        <v>42</v>
      </c>
      <c r="H3034" s="2" t="s">
        <v>34</v>
      </c>
      <c r="I3034" s="2" t="s">
        <v>51</v>
      </c>
      <c r="J3034" s="2" t="s">
        <v>52</v>
      </c>
      <c r="K3034" s="2" t="s">
        <v>53</v>
      </c>
      <c r="L3034" s="2" t="s">
        <v>34</v>
      </c>
      <c r="M3034" s="2"/>
      <c r="N3034" s="2"/>
      <c r="O3034" s="2"/>
      <c r="P3034" s="2" t="s">
        <v>9589</v>
      </c>
      <c r="Q3034" s="6">
        <v>100</v>
      </c>
      <c r="R3034" s="2"/>
      <c r="S3034" s="2"/>
      <c r="T3034" s="2"/>
      <c r="U3034" s="2"/>
      <c r="V3034" s="2"/>
      <c r="W3034" s="7">
        <v>1.375</v>
      </c>
      <c r="X3034" s="7">
        <v>1.375</v>
      </c>
      <c r="Y3034" s="7">
        <v>1.375</v>
      </c>
      <c r="Z3034" s="7">
        <v>1.375</v>
      </c>
      <c r="AA3034" s="6">
        <v>2.4500000000000002</v>
      </c>
      <c r="AB3034" s="2" t="s">
        <v>47</v>
      </c>
      <c r="AC3034" s="2"/>
    </row>
    <row r="3035" spans="1:29" ht="104" x14ac:dyDescent="0.15">
      <c r="A3035" s="3">
        <f>DATE(1997,4,18)</f>
        <v>35538</v>
      </c>
      <c r="B3035" s="3">
        <f>DATE(1997,4,21)</f>
        <v>35541</v>
      </c>
      <c r="C3035" s="2" t="s">
        <v>95</v>
      </c>
      <c r="D3035" s="2" t="s">
        <v>9590</v>
      </c>
      <c r="E3035" s="2" t="s">
        <v>9591</v>
      </c>
      <c r="F3035" s="4">
        <v>8099</v>
      </c>
      <c r="G3035" s="2" t="s">
        <v>454</v>
      </c>
      <c r="H3035" s="2" t="s">
        <v>34</v>
      </c>
      <c r="I3035" s="2" t="s">
        <v>9592</v>
      </c>
      <c r="J3035" s="2" t="s">
        <v>9593</v>
      </c>
      <c r="K3035" s="2" t="s">
        <v>454</v>
      </c>
      <c r="L3035" s="2" t="s">
        <v>34</v>
      </c>
      <c r="M3035" s="12">
        <v>1616.9380000000001</v>
      </c>
      <c r="N3035" s="7">
        <v>23.125</v>
      </c>
      <c r="O3035" s="6">
        <v>22.75</v>
      </c>
      <c r="P3035" s="2" t="s">
        <v>9594</v>
      </c>
      <c r="Q3035" s="6">
        <v>5.91</v>
      </c>
      <c r="R3035" s="6">
        <v>20</v>
      </c>
      <c r="S3035" s="5">
        <v>13.9</v>
      </c>
      <c r="T3035" s="7">
        <v>26.664000000000001</v>
      </c>
      <c r="U3035" s="5">
        <v>6.2</v>
      </c>
      <c r="V3035" s="6">
        <v>0.99</v>
      </c>
      <c r="W3035" s="5">
        <v>18.5</v>
      </c>
      <c r="X3035" s="5">
        <v>17.5</v>
      </c>
      <c r="Y3035" s="5">
        <v>18.5</v>
      </c>
      <c r="Z3035" s="6">
        <v>18.75</v>
      </c>
      <c r="AA3035" s="6">
        <v>25.37</v>
      </c>
      <c r="AB3035" s="7">
        <v>12.497</v>
      </c>
      <c r="AC3035" s="6">
        <v>62.53</v>
      </c>
    </row>
    <row r="3036" spans="1:29" ht="130" x14ac:dyDescent="0.15">
      <c r="A3036" s="3">
        <f>DATE(1997,4,21)</f>
        <v>35541</v>
      </c>
      <c r="B3036" s="3">
        <f>DATE(1997,8,29)</f>
        <v>35671</v>
      </c>
      <c r="C3036" s="2" t="s">
        <v>95</v>
      </c>
      <c r="D3036" s="2" t="s">
        <v>8299</v>
      </c>
      <c r="E3036" s="2" t="s">
        <v>8300</v>
      </c>
      <c r="F3036" s="4">
        <v>8093</v>
      </c>
      <c r="G3036" s="2" t="s">
        <v>454</v>
      </c>
      <c r="H3036" s="2" t="s">
        <v>34</v>
      </c>
      <c r="I3036" s="2" t="s">
        <v>9595</v>
      </c>
      <c r="J3036" s="2" t="s">
        <v>9596</v>
      </c>
      <c r="K3036" s="2" t="s">
        <v>125</v>
      </c>
      <c r="L3036" s="2" t="s">
        <v>34</v>
      </c>
      <c r="M3036" s="7">
        <v>376.40300000000002</v>
      </c>
      <c r="N3036" s="7">
        <v>37.875</v>
      </c>
      <c r="O3036" s="5">
        <v>32.5</v>
      </c>
      <c r="P3036" s="2" t="s">
        <v>9597</v>
      </c>
      <c r="Q3036" s="6">
        <v>100</v>
      </c>
      <c r="R3036" s="6">
        <v>22.26</v>
      </c>
      <c r="S3036" s="5">
        <v>11</v>
      </c>
      <c r="T3036" s="7">
        <v>26.890999999999998</v>
      </c>
      <c r="U3036" s="5">
        <v>6.2</v>
      </c>
      <c r="V3036" s="6">
        <v>0.51</v>
      </c>
      <c r="W3036" s="6">
        <v>16.13</v>
      </c>
      <c r="X3036" s="6">
        <v>16.13</v>
      </c>
      <c r="Y3036" s="7">
        <v>19.125</v>
      </c>
      <c r="Z3036" s="6">
        <v>18.25</v>
      </c>
      <c r="AA3036" s="6">
        <v>21.58</v>
      </c>
      <c r="AB3036" s="7">
        <v>26.759</v>
      </c>
      <c r="AC3036" s="5">
        <v>2.6</v>
      </c>
    </row>
    <row r="3037" spans="1:29" ht="143" x14ac:dyDescent="0.15">
      <c r="A3037" s="3">
        <f>DATE(1997,4,21)</f>
        <v>35541</v>
      </c>
      <c r="B3037" s="3">
        <f>DATE(1997,5,28)</f>
        <v>35578</v>
      </c>
      <c r="C3037" s="2" t="s">
        <v>95</v>
      </c>
      <c r="D3037" s="2" t="s">
        <v>9598</v>
      </c>
      <c r="E3037" s="2" t="s">
        <v>9599</v>
      </c>
      <c r="F3037" s="4">
        <v>3561</v>
      </c>
      <c r="G3037" s="2" t="s">
        <v>300</v>
      </c>
      <c r="H3037" s="2" t="s">
        <v>34</v>
      </c>
      <c r="I3037" s="2" t="s">
        <v>9600</v>
      </c>
      <c r="J3037" s="2" t="s">
        <v>9601</v>
      </c>
      <c r="K3037" s="2" t="s">
        <v>105</v>
      </c>
      <c r="L3037" s="2" t="s">
        <v>34</v>
      </c>
      <c r="M3037" s="12">
        <v>2827.6729999999998</v>
      </c>
      <c r="N3037" s="6">
        <v>24.25</v>
      </c>
      <c r="O3037" s="7">
        <v>25.625</v>
      </c>
      <c r="P3037" s="2" t="s">
        <v>9602</v>
      </c>
      <c r="Q3037" s="6">
        <v>100</v>
      </c>
      <c r="R3037" s="6">
        <v>37</v>
      </c>
      <c r="S3037" s="5">
        <v>18.100000000000001</v>
      </c>
      <c r="T3037" s="7">
        <v>79.998999999999995</v>
      </c>
      <c r="U3037" s="5">
        <v>8.9</v>
      </c>
      <c r="V3037" s="6">
        <v>0.85</v>
      </c>
      <c r="W3037" s="5">
        <v>23.5</v>
      </c>
      <c r="X3037" s="7">
        <v>22.875</v>
      </c>
      <c r="Y3037" s="7">
        <v>36.188000000000002</v>
      </c>
      <c r="Z3037" s="6">
        <v>36.25</v>
      </c>
      <c r="AA3037" s="6">
        <v>21.38</v>
      </c>
      <c r="AB3037" s="7">
        <v>17.856000000000002</v>
      </c>
      <c r="AC3037" s="5">
        <v>121.9</v>
      </c>
    </row>
    <row r="3038" spans="1:29" ht="156" x14ac:dyDescent="0.15">
      <c r="A3038" s="3">
        <f>DATE(1997,4,21)</f>
        <v>35541</v>
      </c>
      <c r="B3038" s="3">
        <f>DATE(1997,9,30)</f>
        <v>35703</v>
      </c>
      <c r="C3038" s="2" t="s">
        <v>95</v>
      </c>
      <c r="D3038" s="2" t="s">
        <v>9603</v>
      </c>
      <c r="E3038" s="2" t="s">
        <v>9604</v>
      </c>
      <c r="F3038" s="4">
        <v>3845</v>
      </c>
      <c r="G3038" s="2" t="s">
        <v>226</v>
      </c>
      <c r="H3038" s="2" t="s">
        <v>34</v>
      </c>
      <c r="I3038" s="2" t="s">
        <v>6771</v>
      </c>
      <c r="J3038" s="2" t="s">
        <v>4591</v>
      </c>
      <c r="K3038" s="2" t="s">
        <v>226</v>
      </c>
      <c r="L3038" s="2" t="s">
        <v>34</v>
      </c>
      <c r="M3038" s="6">
        <v>212.96</v>
      </c>
      <c r="N3038" s="4">
        <v>8</v>
      </c>
      <c r="O3038" s="6">
        <v>7.75</v>
      </c>
      <c r="P3038" s="2" t="s">
        <v>9605</v>
      </c>
      <c r="Q3038" s="6">
        <v>100</v>
      </c>
      <c r="R3038" s="6">
        <v>6.91</v>
      </c>
      <c r="S3038" s="5">
        <v>-4.4000000000000004</v>
      </c>
      <c r="T3038" s="7">
        <v>-5.9960000000000004</v>
      </c>
      <c r="U3038" s="5">
        <v>6.2</v>
      </c>
      <c r="V3038" s="7">
        <v>-0.61299999999999999</v>
      </c>
      <c r="W3038" s="4">
        <v>9</v>
      </c>
      <c r="X3038" s="7">
        <v>9.125</v>
      </c>
      <c r="Y3038" s="5">
        <v>7.5</v>
      </c>
      <c r="Z3038" s="7">
        <v>7.125</v>
      </c>
      <c r="AA3038" s="6">
        <v>7.99</v>
      </c>
      <c r="AB3038" s="2" t="s">
        <v>86</v>
      </c>
      <c r="AC3038" s="6">
        <v>2.59</v>
      </c>
    </row>
    <row r="3039" spans="1:29" ht="182" x14ac:dyDescent="0.15">
      <c r="A3039" s="3">
        <f>DATE(1997,4,21)</f>
        <v>35541</v>
      </c>
      <c r="B3039" s="3">
        <f>DATE(1997,6,10)</f>
        <v>35591</v>
      </c>
      <c r="C3039" s="2" t="s">
        <v>95</v>
      </c>
      <c r="D3039" s="2" t="s">
        <v>9418</v>
      </c>
      <c r="E3039" s="2" t="s">
        <v>9419</v>
      </c>
      <c r="F3039" s="4">
        <v>8249</v>
      </c>
      <c r="G3039" s="2" t="s">
        <v>415</v>
      </c>
      <c r="H3039" s="2" t="s">
        <v>34</v>
      </c>
      <c r="I3039" s="2" t="s">
        <v>9584</v>
      </c>
      <c r="J3039" s="2" t="s">
        <v>417</v>
      </c>
      <c r="K3039" s="2" t="s">
        <v>186</v>
      </c>
      <c r="L3039" s="2" t="s">
        <v>34</v>
      </c>
      <c r="M3039" s="12">
        <v>3254.085</v>
      </c>
      <c r="N3039" s="4">
        <v>44</v>
      </c>
      <c r="O3039" s="6">
        <v>44.75</v>
      </c>
      <c r="P3039" s="2" t="s">
        <v>9606</v>
      </c>
      <c r="Q3039" s="6">
        <v>100</v>
      </c>
      <c r="R3039" s="6">
        <v>21</v>
      </c>
      <c r="S3039" s="5">
        <v>21.4</v>
      </c>
      <c r="T3039" s="2"/>
      <c r="U3039" s="5">
        <v>0.9</v>
      </c>
      <c r="V3039" s="6">
        <v>0.57999999999999996</v>
      </c>
      <c r="W3039" s="7">
        <v>13.625</v>
      </c>
      <c r="X3039" s="7">
        <v>17.125</v>
      </c>
      <c r="Y3039" s="6">
        <v>16.25</v>
      </c>
      <c r="Z3039" s="7">
        <v>15.625</v>
      </c>
      <c r="AA3039" s="6">
        <v>35.54</v>
      </c>
      <c r="AB3039" s="2" t="s">
        <v>47</v>
      </c>
      <c r="AC3039" s="6">
        <v>774.92</v>
      </c>
    </row>
    <row r="3040" spans="1:29" ht="156" x14ac:dyDescent="0.15">
      <c r="A3040" s="3">
        <f>DATE(1997,4,22)</f>
        <v>35542</v>
      </c>
      <c r="B3040" s="3">
        <f>DATE(1997,9,4)</f>
        <v>35677</v>
      </c>
      <c r="C3040" s="2" t="s">
        <v>95</v>
      </c>
      <c r="D3040" s="2" t="s">
        <v>4284</v>
      </c>
      <c r="E3040" s="2" t="s">
        <v>4285</v>
      </c>
      <c r="F3040" s="4">
        <v>4841</v>
      </c>
      <c r="G3040" s="2" t="s">
        <v>45</v>
      </c>
      <c r="H3040" s="2" t="s">
        <v>34</v>
      </c>
      <c r="I3040" s="2" t="s">
        <v>9607</v>
      </c>
      <c r="J3040" s="2" t="s">
        <v>398</v>
      </c>
      <c r="K3040" s="2" t="s">
        <v>45</v>
      </c>
      <c r="L3040" s="2" t="s">
        <v>34</v>
      </c>
      <c r="M3040" s="2"/>
      <c r="N3040" s="2"/>
      <c r="O3040" s="2"/>
      <c r="P3040" s="2" t="s">
        <v>9608</v>
      </c>
      <c r="Q3040" s="6">
        <v>100</v>
      </c>
      <c r="R3040" s="6">
        <v>35</v>
      </c>
      <c r="S3040" s="5">
        <v>32.1</v>
      </c>
      <c r="T3040" s="7">
        <v>212.48099999999999</v>
      </c>
      <c r="U3040" s="5">
        <v>4.5</v>
      </c>
      <c r="V3040" s="6">
        <v>0.69</v>
      </c>
      <c r="W3040" s="6">
        <v>17.88</v>
      </c>
      <c r="X3040" s="4">
        <v>18</v>
      </c>
      <c r="Y3040" s="5">
        <v>19.5</v>
      </c>
      <c r="Z3040" s="7">
        <v>20.875</v>
      </c>
      <c r="AA3040" s="6">
        <v>44.87</v>
      </c>
      <c r="AB3040" s="7">
        <v>34.515000000000001</v>
      </c>
      <c r="AC3040" s="2"/>
    </row>
    <row r="3041" spans="1:29" ht="130" x14ac:dyDescent="0.15">
      <c r="A3041" s="3">
        <f>DATE(1997,4,23)</f>
        <v>35543</v>
      </c>
      <c r="B3041" s="3">
        <f>DATE(1997,9,1)</f>
        <v>35674</v>
      </c>
      <c r="C3041" s="2" t="s">
        <v>95</v>
      </c>
      <c r="D3041" s="2" t="s">
        <v>9609</v>
      </c>
      <c r="E3041" s="2" t="s">
        <v>194</v>
      </c>
      <c r="F3041" s="4">
        <v>6021</v>
      </c>
      <c r="G3041" s="2" t="s">
        <v>37</v>
      </c>
      <c r="H3041" s="2" t="s">
        <v>34</v>
      </c>
      <c r="I3041" s="2" t="s">
        <v>2707</v>
      </c>
      <c r="J3041" s="2" t="s">
        <v>263</v>
      </c>
      <c r="K3041" s="2" t="s">
        <v>33</v>
      </c>
      <c r="L3041" s="2" t="s">
        <v>34</v>
      </c>
      <c r="M3041" s="12">
        <v>2196.299</v>
      </c>
      <c r="N3041" s="5">
        <v>42.5</v>
      </c>
      <c r="O3041" s="5">
        <v>42.5</v>
      </c>
      <c r="P3041" s="2" t="s">
        <v>9610</v>
      </c>
      <c r="Q3041" s="6">
        <v>100</v>
      </c>
      <c r="R3041" s="6">
        <v>29.22</v>
      </c>
      <c r="S3041" s="5">
        <v>1.5</v>
      </c>
      <c r="T3041" s="7">
        <v>2.9449999999999998</v>
      </c>
      <c r="U3041" s="5">
        <v>14.9</v>
      </c>
      <c r="V3041" s="7">
        <v>0.79300000000000004</v>
      </c>
      <c r="W3041" s="7">
        <v>21.625</v>
      </c>
      <c r="X3041" s="5">
        <v>23.5</v>
      </c>
      <c r="Y3041" s="6">
        <v>24.25</v>
      </c>
      <c r="Z3041" s="6">
        <v>24.25</v>
      </c>
      <c r="AA3041" s="6">
        <v>1.91</v>
      </c>
      <c r="AB3041" s="7">
        <v>144.756</v>
      </c>
      <c r="AC3041" s="2"/>
    </row>
    <row r="3042" spans="1:29" ht="91" x14ac:dyDescent="0.15">
      <c r="A3042" s="3">
        <f>DATE(1997,4,23)</f>
        <v>35543</v>
      </c>
      <c r="B3042" s="3">
        <f>DATE(1997,6,25)</f>
        <v>35606</v>
      </c>
      <c r="C3042" s="2" t="s">
        <v>95</v>
      </c>
      <c r="D3042" s="2" t="s">
        <v>9611</v>
      </c>
      <c r="E3042" s="2" t="s">
        <v>9612</v>
      </c>
      <c r="F3042" s="4">
        <v>3578</v>
      </c>
      <c r="G3042" s="2" t="s">
        <v>50</v>
      </c>
      <c r="H3042" s="2" t="s">
        <v>34</v>
      </c>
      <c r="I3042" s="2" t="s">
        <v>2209</v>
      </c>
      <c r="J3042" s="2" t="s">
        <v>2210</v>
      </c>
      <c r="K3042" s="2" t="s">
        <v>50</v>
      </c>
      <c r="L3042" s="2" t="s">
        <v>34</v>
      </c>
      <c r="M3042" s="8">
        <v>66900</v>
      </c>
      <c r="N3042" s="7">
        <v>49.375</v>
      </c>
      <c r="O3042" s="6">
        <v>50.25</v>
      </c>
      <c r="P3042" s="2" t="s">
        <v>9613</v>
      </c>
      <c r="Q3042" s="6">
        <v>100</v>
      </c>
      <c r="R3042" s="6">
        <v>50.5</v>
      </c>
      <c r="S3042" s="5">
        <v>39.299999999999997</v>
      </c>
      <c r="T3042" s="7">
        <v>76.808000000000007</v>
      </c>
      <c r="U3042" s="5">
        <v>11.2</v>
      </c>
      <c r="V3042" s="6">
        <v>1.53</v>
      </c>
      <c r="W3042" s="7">
        <v>33.625</v>
      </c>
      <c r="X3042" s="7">
        <v>30.125</v>
      </c>
      <c r="Y3042" s="6">
        <v>47.25</v>
      </c>
      <c r="Z3042" s="7">
        <v>48.625</v>
      </c>
      <c r="AA3042" s="6">
        <v>23.3</v>
      </c>
      <c r="AB3042" s="7">
        <v>21.324999999999999</v>
      </c>
      <c r="AC3042" s="8">
        <v>3327</v>
      </c>
    </row>
    <row r="3043" spans="1:29" ht="143" x14ac:dyDescent="0.15">
      <c r="A3043" s="3">
        <f>DATE(1997,4,25)</f>
        <v>35545</v>
      </c>
      <c r="B3043" s="3">
        <f>DATE(1997,12,12)</f>
        <v>35776</v>
      </c>
      <c r="C3043" s="2" t="s">
        <v>95</v>
      </c>
      <c r="D3043" s="2" t="s">
        <v>9614</v>
      </c>
      <c r="E3043" s="2" t="s">
        <v>263</v>
      </c>
      <c r="F3043" s="4">
        <v>6022</v>
      </c>
      <c r="G3043" s="2" t="s">
        <v>37</v>
      </c>
      <c r="H3043" s="2" t="s">
        <v>34</v>
      </c>
      <c r="I3043" s="2" t="s">
        <v>9615</v>
      </c>
      <c r="J3043" s="2" t="s">
        <v>8873</v>
      </c>
      <c r="K3043" s="2" t="s">
        <v>37</v>
      </c>
      <c r="L3043" s="2" t="s">
        <v>34</v>
      </c>
      <c r="M3043" s="7">
        <v>66.956999999999994</v>
      </c>
      <c r="N3043" s="4">
        <v>32</v>
      </c>
      <c r="O3043" s="4">
        <v>32</v>
      </c>
      <c r="P3043" s="2" t="s">
        <v>9616</v>
      </c>
      <c r="Q3043" s="6">
        <v>100</v>
      </c>
      <c r="R3043" s="6">
        <v>18.75</v>
      </c>
      <c r="S3043" s="5">
        <v>0.6</v>
      </c>
      <c r="T3043" s="7">
        <v>0.755</v>
      </c>
      <c r="U3043" s="5">
        <v>16</v>
      </c>
      <c r="V3043" s="7">
        <v>0.52200000000000002</v>
      </c>
      <c r="W3043" s="6">
        <v>16.25</v>
      </c>
      <c r="X3043" s="4">
        <v>17</v>
      </c>
      <c r="Y3043" s="6">
        <v>16.75</v>
      </c>
      <c r="Z3043" s="4">
        <v>18</v>
      </c>
      <c r="AA3043" s="6">
        <v>1.08</v>
      </c>
      <c r="AB3043" s="7">
        <v>81.212000000000003</v>
      </c>
      <c r="AC3043" s="2"/>
    </row>
    <row r="3044" spans="1:29" ht="143" x14ac:dyDescent="0.15">
      <c r="A3044" s="3">
        <f>DATE(1997,4,25)</f>
        <v>35545</v>
      </c>
      <c r="B3044" s="2"/>
      <c r="C3044" s="2" t="s">
        <v>30</v>
      </c>
      <c r="D3044" s="2" t="s">
        <v>2022</v>
      </c>
      <c r="E3044" s="2" t="s">
        <v>2023</v>
      </c>
      <c r="F3044" s="4">
        <v>3541</v>
      </c>
      <c r="G3044" s="2" t="s">
        <v>300</v>
      </c>
      <c r="H3044" s="2" t="s">
        <v>34</v>
      </c>
      <c r="I3044" s="2" t="s">
        <v>9617</v>
      </c>
      <c r="J3044" s="2" t="s">
        <v>9618</v>
      </c>
      <c r="K3044" s="2" t="s">
        <v>300</v>
      </c>
      <c r="L3044" s="2" t="s">
        <v>34</v>
      </c>
      <c r="M3044" s="12">
        <v>2351.5459999999998</v>
      </c>
      <c r="N3044" s="7">
        <v>45.375</v>
      </c>
      <c r="O3044" s="6">
        <v>42.25</v>
      </c>
      <c r="P3044" s="2" t="s">
        <v>9619</v>
      </c>
      <c r="Q3044" s="2"/>
      <c r="R3044" s="6">
        <v>19</v>
      </c>
      <c r="S3044" s="5">
        <v>-12.5</v>
      </c>
      <c r="T3044" s="7">
        <v>70.078000000000003</v>
      </c>
      <c r="U3044" s="5">
        <v>13.9</v>
      </c>
      <c r="V3044" s="6">
        <v>-0.37</v>
      </c>
      <c r="W3044" s="7">
        <v>13.625</v>
      </c>
      <c r="X3044" s="7">
        <v>13.625</v>
      </c>
      <c r="Y3044" s="7">
        <v>13.625</v>
      </c>
      <c r="Z3044" s="7">
        <v>20.359000000000002</v>
      </c>
      <c r="AA3044" s="6">
        <v>33.19</v>
      </c>
      <c r="AB3044" s="7">
        <v>13.992000000000001</v>
      </c>
      <c r="AC3044" s="6">
        <v>36.94</v>
      </c>
    </row>
    <row r="3045" spans="1:29" ht="104" x14ac:dyDescent="0.15">
      <c r="A3045" s="3">
        <f>DATE(1997,4,25)</f>
        <v>35545</v>
      </c>
      <c r="B3045" s="2"/>
      <c r="C3045" s="2" t="s">
        <v>30</v>
      </c>
      <c r="D3045" s="2" t="s">
        <v>9620</v>
      </c>
      <c r="E3045" s="2" t="s">
        <v>9621</v>
      </c>
      <c r="F3045" s="4">
        <v>7992</v>
      </c>
      <c r="G3045" s="2" t="s">
        <v>364</v>
      </c>
      <c r="H3045" s="2" t="s">
        <v>34</v>
      </c>
      <c r="I3045" s="2" t="s">
        <v>9622</v>
      </c>
      <c r="J3045" s="2" t="s">
        <v>302</v>
      </c>
      <c r="K3045" s="2" t="s">
        <v>53</v>
      </c>
      <c r="L3045" s="2" t="s">
        <v>34</v>
      </c>
      <c r="M3045" s="2"/>
      <c r="N3045" s="2"/>
      <c r="O3045" s="2"/>
      <c r="P3045" s="2" t="s">
        <v>9623</v>
      </c>
      <c r="Q3045" s="2"/>
      <c r="R3045" s="2"/>
      <c r="S3045" s="5">
        <v>-2.9</v>
      </c>
      <c r="T3045" s="7">
        <v>-1.681</v>
      </c>
      <c r="U3045" s="5">
        <v>1</v>
      </c>
      <c r="V3045" s="7">
        <v>-2.0259999999999998</v>
      </c>
      <c r="W3045" s="7">
        <v>1.875</v>
      </c>
      <c r="X3045" s="5">
        <v>1.5</v>
      </c>
      <c r="Y3045" s="7">
        <v>1.625</v>
      </c>
      <c r="Z3045" s="7">
        <v>2.1880000000000002</v>
      </c>
      <c r="AA3045" s="6">
        <v>2.21</v>
      </c>
      <c r="AB3045" s="2" t="s">
        <v>86</v>
      </c>
      <c r="AC3045" s="2"/>
    </row>
    <row r="3046" spans="1:29" ht="117" x14ac:dyDescent="0.15">
      <c r="A3046" s="3">
        <f>DATE(1997,4,28)</f>
        <v>35548</v>
      </c>
      <c r="B3046" s="2"/>
      <c r="C3046" s="2" t="s">
        <v>30</v>
      </c>
      <c r="D3046" s="2" t="s">
        <v>3064</v>
      </c>
      <c r="E3046" s="2" t="s">
        <v>3065</v>
      </c>
      <c r="F3046" s="4">
        <v>2721</v>
      </c>
      <c r="G3046" s="2" t="s">
        <v>186</v>
      </c>
      <c r="H3046" s="2" t="s">
        <v>34</v>
      </c>
      <c r="I3046" s="2" t="s">
        <v>8724</v>
      </c>
      <c r="J3046" s="2" t="s">
        <v>111</v>
      </c>
      <c r="K3046" s="2" t="s">
        <v>112</v>
      </c>
      <c r="L3046" s="2" t="s">
        <v>34</v>
      </c>
      <c r="M3046" s="7">
        <v>263.55700000000002</v>
      </c>
      <c r="N3046" s="6">
        <v>10.25</v>
      </c>
      <c r="O3046" s="4">
        <v>10</v>
      </c>
      <c r="P3046" s="2" t="s">
        <v>9624</v>
      </c>
      <c r="Q3046" s="2"/>
      <c r="R3046" s="2"/>
      <c r="S3046" s="5">
        <v>-464.4</v>
      </c>
      <c r="T3046" s="5">
        <v>-35.4</v>
      </c>
      <c r="U3046" s="5">
        <v>-2.5</v>
      </c>
      <c r="V3046" s="6">
        <v>-4.5599999999999996</v>
      </c>
      <c r="W3046" s="5">
        <v>2.5</v>
      </c>
      <c r="X3046" s="6">
        <v>2.25</v>
      </c>
      <c r="Y3046" s="7">
        <v>2.375</v>
      </c>
      <c r="Z3046" s="6">
        <v>2.25</v>
      </c>
      <c r="AA3046" s="6">
        <v>101.81</v>
      </c>
      <c r="AB3046" s="2" t="s">
        <v>86</v>
      </c>
      <c r="AC3046" s="6">
        <v>6.02</v>
      </c>
    </row>
    <row r="3047" spans="1:29" ht="52" x14ac:dyDescent="0.15">
      <c r="A3047" s="3">
        <f>DATE(1997,4,29)</f>
        <v>35549</v>
      </c>
      <c r="B3047" s="2"/>
      <c r="C3047" s="2" t="s">
        <v>30</v>
      </c>
      <c r="D3047" s="2" t="s">
        <v>9625</v>
      </c>
      <c r="E3047" s="2" t="s">
        <v>9626</v>
      </c>
      <c r="F3047" s="4">
        <v>4741</v>
      </c>
      <c r="G3047" s="2" t="s">
        <v>173</v>
      </c>
      <c r="H3047" s="2" t="s">
        <v>34</v>
      </c>
      <c r="I3047" s="2" t="s">
        <v>9627</v>
      </c>
      <c r="J3047" s="2" t="s">
        <v>302</v>
      </c>
      <c r="K3047" s="2" t="s">
        <v>53</v>
      </c>
      <c r="L3047" s="2" t="s">
        <v>34</v>
      </c>
      <c r="M3047" s="2"/>
      <c r="N3047" s="2"/>
      <c r="O3047" s="2"/>
      <c r="P3047" s="2" t="s">
        <v>9628</v>
      </c>
      <c r="Q3047" s="2"/>
      <c r="R3047" s="6">
        <v>5</v>
      </c>
      <c r="S3047" s="5">
        <v>4.0999999999999996</v>
      </c>
      <c r="T3047" s="7">
        <v>14.653</v>
      </c>
      <c r="U3047" s="5">
        <v>5.0999999999999996</v>
      </c>
      <c r="V3047" s="6">
        <v>0.4</v>
      </c>
      <c r="W3047" s="7">
        <v>4.0629999999999997</v>
      </c>
      <c r="X3047" s="7">
        <v>4.1879999999999997</v>
      </c>
      <c r="Y3047" s="9">
        <v>4.8125</v>
      </c>
      <c r="Z3047" s="7">
        <v>4.625</v>
      </c>
      <c r="AA3047" s="6">
        <v>9.1999999999999993</v>
      </c>
      <c r="AB3047" s="7">
        <v>42.045999999999999</v>
      </c>
      <c r="AC3047" s="2"/>
    </row>
    <row r="3048" spans="1:29" ht="117" x14ac:dyDescent="0.15">
      <c r="A3048" s="3">
        <f>DATE(1997,4,29)</f>
        <v>35549</v>
      </c>
      <c r="B3048" s="3">
        <f>DATE(1997,10,13)</f>
        <v>35716</v>
      </c>
      <c r="C3048" s="2" t="s">
        <v>95</v>
      </c>
      <c r="D3048" s="2" t="s">
        <v>9629</v>
      </c>
      <c r="E3048" s="2" t="s">
        <v>263</v>
      </c>
      <c r="F3048" s="4">
        <v>6022</v>
      </c>
      <c r="G3048" s="2" t="s">
        <v>37</v>
      </c>
      <c r="H3048" s="2" t="s">
        <v>34</v>
      </c>
      <c r="I3048" s="2" t="s">
        <v>9630</v>
      </c>
      <c r="J3048" s="2" t="s">
        <v>263</v>
      </c>
      <c r="K3048" s="2" t="s">
        <v>37</v>
      </c>
      <c r="L3048" s="2" t="s">
        <v>34</v>
      </c>
      <c r="M3048" s="2"/>
      <c r="N3048" s="2"/>
      <c r="O3048" s="2"/>
      <c r="P3048" s="2" t="s">
        <v>9631</v>
      </c>
      <c r="Q3048" s="6">
        <v>100</v>
      </c>
      <c r="R3048" s="6">
        <v>14.25</v>
      </c>
      <c r="S3048" s="5">
        <v>4.5</v>
      </c>
      <c r="T3048" s="7">
        <v>11.023999999999999</v>
      </c>
      <c r="U3048" s="5">
        <v>6.7</v>
      </c>
      <c r="V3048" s="7">
        <v>0.59599999999999997</v>
      </c>
      <c r="W3048" s="7">
        <v>10.875</v>
      </c>
      <c r="X3048" s="7">
        <v>11.875</v>
      </c>
      <c r="Y3048" s="7">
        <v>11.875</v>
      </c>
      <c r="Z3048" s="7">
        <v>11.875</v>
      </c>
      <c r="AA3048" s="6">
        <v>7.37</v>
      </c>
      <c r="AB3048" s="7">
        <v>64.335999999999999</v>
      </c>
      <c r="AC3048" s="2"/>
    </row>
    <row r="3049" spans="1:29" ht="78" x14ac:dyDescent="0.15">
      <c r="A3049" s="3">
        <f>DATE(1997,4,30)</f>
        <v>35550</v>
      </c>
      <c r="B3049" s="3">
        <f>DATE(1997,7,25)</f>
        <v>35636</v>
      </c>
      <c r="C3049" s="2" t="s">
        <v>95</v>
      </c>
      <c r="D3049" s="2" t="s">
        <v>9632</v>
      </c>
      <c r="E3049" s="2" t="s">
        <v>9633</v>
      </c>
      <c r="F3049" s="4">
        <v>5072</v>
      </c>
      <c r="G3049" s="2" t="s">
        <v>76</v>
      </c>
      <c r="H3049" s="2" t="s">
        <v>34</v>
      </c>
      <c r="I3049" s="2" t="s">
        <v>8489</v>
      </c>
      <c r="J3049" s="2" t="s">
        <v>8490</v>
      </c>
      <c r="K3049" s="2" t="s">
        <v>163</v>
      </c>
      <c r="L3049" s="2" t="s">
        <v>34</v>
      </c>
      <c r="M3049" s="5">
        <v>141.30000000000001</v>
      </c>
      <c r="N3049" s="7">
        <v>12.125</v>
      </c>
      <c r="O3049" s="4">
        <v>12</v>
      </c>
      <c r="P3049" s="2" t="s">
        <v>9634</v>
      </c>
      <c r="Q3049" s="6">
        <v>98.08</v>
      </c>
      <c r="R3049" s="6">
        <v>6</v>
      </c>
      <c r="S3049" s="5">
        <v>-0.6</v>
      </c>
      <c r="T3049" s="7">
        <v>0.80800000000000005</v>
      </c>
      <c r="U3049" s="5">
        <v>4.3</v>
      </c>
      <c r="V3049" s="6">
        <v>-0.08</v>
      </c>
      <c r="W3049" s="4">
        <v>4</v>
      </c>
      <c r="X3049" s="6">
        <v>4.25</v>
      </c>
      <c r="Y3049" s="7">
        <v>5.3129999999999997</v>
      </c>
      <c r="Z3049" s="5">
        <v>5.5</v>
      </c>
      <c r="AA3049" s="6">
        <v>6.99</v>
      </c>
      <c r="AB3049" s="2" t="s">
        <v>86</v>
      </c>
      <c r="AC3049" s="6">
        <v>4.66</v>
      </c>
    </row>
    <row r="3050" spans="1:29" ht="130" x14ac:dyDescent="0.15">
      <c r="A3050" s="3">
        <f>DATE(1997,4,30)</f>
        <v>35550</v>
      </c>
      <c r="B3050" s="3">
        <f>DATE(1997,6,3)</f>
        <v>35584</v>
      </c>
      <c r="C3050" s="2" t="s">
        <v>95</v>
      </c>
      <c r="D3050" s="2" t="s">
        <v>9635</v>
      </c>
      <c r="E3050" s="2" t="s">
        <v>9636</v>
      </c>
      <c r="F3050" s="4">
        <v>3499</v>
      </c>
      <c r="G3050" s="2" t="s">
        <v>163</v>
      </c>
      <c r="H3050" s="2" t="s">
        <v>34</v>
      </c>
      <c r="I3050" s="2" t="s">
        <v>9637</v>
      </c>
      <c r="J3050" s="2" t="s">
        <v>9638</v>
      </c>
      <c r="K3050" s="2" t="s">
        <v>105</v>
      </c>
      <c r="L3050" s="2" t="s">
        <v>303</v>
      </c>
      <c r="M3050" s="2"/>
      <c r="N3050" s="2"/>
      <c r="O3050" s="2"/>
      <c r="P3050" s="2" t="s">
        <v>9639</v>
      </c>
      <c r="Q3050" s="6">
        <v>100</v>
      </c>
      <c r="R3050" s="6">
        <v>37</v>
      </c>
      <c r="S3050" s="5">
        <v>9.4</v>
      </c>
      <c r="T3050" s="7">
        <v>20.033000000000001</v>
      </c>
      <c r="U3050" s="5">
        <v>6.7</v>
      </c>
      <c r="V3050" s="7">
        <v>1.2390000000000001</v>
      </c>
      <c r="W3050" s="6">
        <v>26.75</v>
      </c>
      <c r="X3050" s="4">
        <v>27</v>
      </c>
      <c r="Y3050" s="7">
        <v>36.546999999999997</v>
      </c>
      <c r="Z3050" s="7">
        <v>36.625</v>
      </c>
      <c r="AA3050" s="6">
        <v>7.55</v>
      </c>
      <c r="AB3050" s="7">
        <v>34.854999999999997</v>
      </c>
      <c r="AC3050" s="8">
        <v>1469.5</v>
      </c>
    </row>
    <row r="3051" spans="1:29" ht="130" x14ac:dyDescent="0.15">
      <c r="A3051" s="3">
        <f>DATE(1997,5,1)</f>
        <v>35551</v>
      </c>
      <c r="B3051" s="3">
        <f>DATE(1997,10,1)</f>
        <v>35704</v>
      </c>
      <c r="C3051" s="2" t="s">
        <v>95</v>
      </c>
      <c r="D3051" s="2" t="s">
        <v>9640</v>
      </c>
      <c r="E3051" s="2" t="s">
        <v>263</v>
      </c>
      <c r="F3051" s="4">
        <v>6022</v>
      </c>
      <c r="G3051" s="2" t="s">
        <v>37</v>
      </c>
      <c r="H3051" s="2" t="s">
        <v>34</v>
      </c>
      <c r="I3051" s="2" t="s">
        <v>9641</v>
      </c>
      <c r="J3051" s="2" t="s">
        <v>263</v>
      </c>
      <c r="K3051" s="2" t="s">
        <v>37</v>
      </c>
      <c r="L3051" s="2" t="s">
        <v>34</v>
      </c>
      <c r="M3051" s="7">
        <v>170.446</v>
      </c>
      <c r="N3051" s="5">
        <v>22.5</v>
      </c>
      <c r="O3051" s="5">
        <v>22.5</v>
      </c>
      <c r="P3051" s="2" t="s">
        <v>9642</v>
      </c>
      <c r="Q3051" s="6">
        <v>100</v>
      </c>
      <c r="R3051" s="6">
        <v>60.26</v>
      </c>
      <c r="S3051" s="2"/>
      <c r="T3051" s="2"/>
      <c r="U3051" s="5">
        <v>32.1</v>
      </c>
      <c r="V3051" s="2"/>
      <c r="W3051" s="4">
        <v>45</v>
      </c>
      <c r="X3051" s="5">
        <v>47.5</v>
      </c>
      <c r="Y3051" s="5">
        <v>53.5</v>
      </c>
      <c r="Z3051" s="5">
        <v>53.5</v>
      </c>
      <c r="AA3051" s="6">
        <v>1.59</v>
      </c>
      <c r="AB3051" s="2" t="s">
        <v>47</v>
      </c>
      <c r="AC3051" s="2"/>
    </row>
    <row r="3052" spans="1:29" ht="52" x14ac:dyDescent="0.15">
      <c r="A3052" s="3">
        <f>DATE(1997,5,1)</f>
        <v>35551</v>
      </c>
      <c r="B3052" s="3">
        <f>DATE(1997,8,1)</f>
        <v>35643</v>
      </c>
      <c r="C3052" s="2" t="s">
        <v>95</v>
      </c>
      <c r="D3052" s="2" t="s">
        <v>9643</v>
      </c>
      <c r="E3052" s="2" t="s">
        <v>9644</v>
      </c>
      <c r="F3052" s="4">
        <v>3443</v>
      </c>
      <c r="G3052" s="2" t="s">
        <v>163</v>
      </c>
      <c r="H3052" s="2" t="s">
        <v>34</v>
      </c>
      <c r="I3052" s="2" t="s">
        <v>9645</v>
      </c>
      <c r="J3052" s="2" t="s">
        <v>5510</v>
      </c>
      <c r="K3052" s="2" t="s">
        <v>226</v>
      </c>
      <c r="L3052" s="2" t="s">
        <v>34</v>
      </c>
      <c r="M3052" s="7">
        <v>201.863</v>
      </c>
      <c r="N3052" s="5">
        <v>20.5</v>
      </c>
      <c r="O3052" s="6">
        <v>20.25</v>
      </c>
      <c r="P3052" s="2" t="s">
        <v>9646</v>
      </c>
      <c r="Q3052" s="6">
        <v>100</v>
      </c>
      <c r="R3052" s="6">
        <v>2.75</v>
      </c>
      <c r="S3052" s="5">
        <v>0.6</v>
      </c>
      <c r="T3052" s="7">
        <v>3.0569999999999999</v>
      </c>
      <c r="U3052" s="5">
        <v>1.7</v>
      </c>
      <c r="V3052" s="6">
        <v>7.0000000000000007E-2</v>
      </c>
      <c r="W3052" s="7">
        <v>1.5629999999999999</v>
      </c>
      <c r="X3052" s="7">
        <v>1.625</v>
      </c>
      <c r="Y3052" s="7">
        <v>2.375</v>
      </c>
      <c r="Z3052" s="7">
        <v>2.375</v>
      </c>
      <c r="AA3052" s="6">
        <v>7</v>
      </c>
      <c r="AB3052" s="7">
        <v>15.14</v>
      </c>
      <c r="AC3052" s="6">
        <v>9.41</v>
      </c>
    </row>
    <row r="3053" spans="1:29" ht="39" x14ac:dyDescent="0.15">
      <c r="A3053" s="3">
        <f>DATE(1997,5,1)</f>
        <v>35551</v>
      </c>
      <c r="B3053" s="3">
        <f>DATE(1997,7,30)</f>
        <v>35641</v>
      </c>
      <c r="C3053" s="2" t="s">
        <v>95</v>
      </c>
      <c r="D3053" s="2" t="s">
        <v>7215</v>
      </c>
      <c r="E3053" s="2" t="s">
        <v>7216</v>
      </c>
      <c r="F3053" s="4">
        <v>3827</v>
      </c>
      <c r="G3053" s="2" t="s">
        <v>226</v>
      </c>
      <c r="H3053" s="2" t="s">
        <v>34</v>
      </c>
      <c r="I3053" s="2" t="s">
        <v>9647</v>
      </c>
      <c r="J3053" s="2" t="s">
        <v>302</v>
      </c>
      <c r="K3053" s="2" t="s">
        <v>53</v>
      </c>
      <c r="L3053" s="2" t="s">
        <v>34</v>
      </c>
      <c r="M3053" s="2"/>
      <c r="N3053" s="2"/>
      <c r="O3053" s="2"/>
      <c r="P3053" s="2" t="s">
        <v>9648</v>
      </c>
      <c r="Q3053" s="6">
        <v>100</v>
      </c>
      <c r="R3053" s="6">
        <v>12</v>
      </c>
      <c r="S3053" s="5">
        <v>-0.5</v>
      </c>
      <c r="T3053" s="7">
        <v>8.3000000000000004E-2</v>
      </c>
      <c r="U3053" s="5">
        <v>10.6</v>
      </c>
      <c r="V3053" s="7">
        <v>-1.0149999999999999</v>
      </c>
      <c r="W3053" s="7">
        <v>9.125</v>
      </c>
      <c r="X3053" s="6">
        <v>9.25</v>
      </c>
      <c r="Y3053" s="7">
        <v>11.313000000000001</v>
      </c>
      <c r="Z3053" s="5">
        <v>10.5</v>
      </c>
      <c r="AA3053" s="6">
        <v>0.46</v>
      </c>
      <c r="AB3053" s="2" t="s">
        <v>86</v>
      </c>
      <c r="AC3053" s="2"/>
    </row>
    <row r="3054" spans="1:29" ht="39" x14ac:dyDescent="0.15">
      <c r="A3054" s="3">
        <f>DATE(1997,5,1)</f>
        <v>35551</v>
      </c>
      <c r="B3054" s="2"/>
      <c r="C3054" s="2" t="s">
        <v>189</v>
      </c>
      <c r="D3054" s="2" t="s">
        <v>9649</v>
      </c>
      <c r="E3054" s="2" t="s">
        <v>9650</v>
      </c>
      <c r="F3054" s="4">
        <v>6141</v>
      </c>
      <c r="G3054" s="2" t="s">
        <v>370</v>
      </c>
      <c r="H3054" s="2" t="s">
        <v>34</v>
      </c>
      <c r="I3054" s="2" t="s">
        <v>143</v>
      </c>
      <c r="J3054" s="2" t="s">
        <v>144</v>
      </c>
      <c r="K3054" s="2" t="s">
        <v>53</v>
      </c>
      <c r="L3054" s="2" t="s">
        <v>139</v>
      </c>
      <c r="M3054" s="2"/>
      <c r="N3054" s="2"/>
      <c r="O3054" s="2"/>
      <c r="P3054" s="2" t="s">
        <v>9651</v>
      </c>
      <c r="Q3054" s="2"/>
      <c r="R3054" s="2"/>
      <c r="S3054" s="5">
        <v>11</v>
      </c>
      <c r="T3054" s="2"/>
      <c r="U3054" s="5">
        <v>14.4</v>
      </c>
      <c r="V3054" s="7">
        <v>1.702</v>
      </c>
      <c r="W3054" s="6">
        <v>2.75</v>
      </c>
      <c r="X3054" s="4">
        <v>3</v>
      </c>
      <c r="Y3054" s="7">
        <v>3.3130000000000002</v>
      </c>
      <c r="Z3054" s="6">
        <v>3.25</v>
      </c>
      <c r="AA3054" s="6">
        <v>6.44</v>
      </c>
      <c r="AB3054" s="2" t="s">
        <v>47</v>
      </c>
      <c r="AC3054" s="2"/>
    </row>
    <row r="3055" spans="1:29" ht="52" x14ac:dyDescent="0.15">
      <c r="A3055" s="3">
        <f>DATE(1997,5,2)</f>
        <v>35552</v>
      </c>
      <c r="B3055" s="3">
        <f>DATE(1997,6,9)</f>
        <v>35590</v>
      </c>
      <c r="C3055" s="2" t="s">
        <v>95</v>
      </c>
      <c r="D3055" s="2" t="s">
        <v>9652</v>
      </c>
      <c r="E3055" s="2" t="s">
        <v>9653</v>
      </c>
      <c r="F3055" s="4">
        <v>7371</v>
      </c>
      <c r="G3055" s="2" t="s">
        <v>223</v>
      </c>
      <c r="H3055" s="2" t="s">
        <v>34</v>
      </c>
      <c r="I3055" s="2" t="s">
        <v>9654</v>
      </c>
      <c r="J3055" s="2" t="s">
        <v>1032</v>
      </c>
      <c r="K3055" s="2" t="s">
        <v>53</v>
      </c>
      <c r="L3055" s="2" t="s">
        <v>34</v>
      </c>
      <c r="M3055" s="2"/>
      <c r="N3055" s="2"/>
      <c r="O3055" s="2"/>
      <c r="P3055" s="2" t="s">
        <v>9655</v>
      </c>
      <c r="Q3055" s="6">
        <v>51.69</v>
      </c>
      <c r="R3055" s="6">
        <v>1.03</v>
      </c>
      <c r="S3055" s="5">
        <v>-12.3</v>
      </c>
      <c r="T3055" s="7">
        <v>-12.532</v>
      </c>
      <c r="U3055" s="5">
        <v>2.8</v>
      </c>
      <c r="V3055" s="6">
        <v>-0.88</v>
      </c>
      <c r="W3055" s="4">
        <v>2</v>
      </c>
      <c r="X3055" s="7">
        <v>1.8129999999999999</v>
      </c>
      <c r="Y3055" s="7">
        <v>1.625</v>
      </c>
      <c r="Z3055" s="4">
        <v>2</v>
      </c>
      <c r="AA3055" s="6">
        <v>14.99</v>
      </c>
      <c r="AB3055" s="2" t="s">
        <v>86</v>
      </c>
      <c r="AC3055" s="2"/>
    </row>
    <row r="3056" spans="1:29" ht="130" x14ac:dyDescent="0.15">
      <c r="A3056" s="3">
        <f t="shared" ref="A3056:A3063" si="32">DATE(1997,5,5)</f>
        <v>35555</v>
      </c>
      <c r="B3056" s="3">
        <f>DATE(1997,8,7)</f>
        <v>35649</v>
      </c>
      <c r="C3056" s="2" t="s">
        <v>95</v>
      </c>
      <c r="D3056" s="2" t="s">
        <v>9656</v>
      </c>
      <c r="E3056" s="2" t="s">
        <v>9657</v>
      </c>
      <c r="F3056" s="4">
        <v>3577</v>
      </c>
      <c r="G3056" s="2" t="s">
        <v>50</v>
      </c>
      <c r="H3056" s="2" t="s">
        <v>34</v>
      </c>
      <c r="I3056" s="2" t="s">
        <v>9658</v>
      </c>
      <c r="J3056" s="2" t="s">
        <v>3197</v>
      </c>
      <c r="K3056" s="2" t="s">
        <v>53</v>
      </c>
      <c r="L3056" s="2" t="s">
        <v>34</v>
      </c>
      <c r="M3056" s="2"/>
      <c r="N3056" s="2"/>
      <c r="O3056" s="2"/>
      <c r="P3056" s="2" t="s">
        <v>9659</v>
      </c>
      <c r="Q3056" s="6">
        <v>77.36</v>
      </c>
      <c r="R3056" s="6">
        <v>23</v>
      </c>
      <c r="S3056" s="5">
        <v>26.2</v>
      </c>
      <c r="T3056" s="7">
        <v>147.92500000000001</v>
      </c>
      <c r="U3056" s="5">
        <v>6.9</v>
      </c>
      <c r="V3056" s="7">
        <v>0.95699999999999996</v>
      </c>
      <c r="W3056" s="4">
        <v>15</v>
      </c>
      <c r="X3056" s="5">
        <v>16.5</v>
      </c>
      <c r="Y3056" s="7">
        <v>21.875</v>
      </c>
      <c r="Z3056" s="7">
        <v>21.875</v>
      </c>
      <c r="AA3056" s="6">
        <v>27.82</v>
      </c>
      <c r="AB3056" s="7">
        <v>14.374000000000001</v>
      </c>
      <c r="AC3056" s="2"/>
    </row>
    <row r="3057" spans="1:29" ht="156" x14ac:dyDescent="0.15">
      <c r="A3057" s="3">
        <f t="shared" si="32"/>
        <v>35555</v>
      </c>
      <c r="B3057" s="3">
        <f>DATE(1997,9,30)</f>
        <v>35703</v>
      </c>
      <c r="C3057" s="2" t="s">
        <v>95</v>
      </c>
      <c r="D3057" s="2" t="s">
        <v>9660</v>
      </c>
      <c r="E3057" s="2" t="s">
        <v>36</v>
      </c>
      <c r="F3057" s="4">
        <v>6022</v>
      </c>
      <c r="G3057" s="2" t="s">
        <v>37</v>
      </c>
      <c r="H3057" s="2" t="s">
        <v>34</v>
      </c>
      <c r="I3057" s="2" t="s">
        <v>390</v>
      </c>
      <c r="J3057" s="2" t="s">
        <v>159</v>
      </c>
      <c r="K3057" s="2" t="s">
        <v>37</v>
      </c>
      <c r="L3057" s="2" t="s">
        <v>34</v>
      </c>
      <c r="M3057" s="12">
        <v>3820.7150000000001</v>
      </c>
      <c r="N3057" s="7">
        <v>29.625</v>
      </c>
      <c r="O3057" s="7">
        <v>29.375</v>
      </c>
      <c r="P3057" s="2" t="s">
        <v>9661</v>
      </c>
      <c r="Q3057" s="6">
        <v>100</v>
      </c>
      <c r="R3057" s="6">
        <v>41.87</v>
      </c>
      <c r="S3057" s="5">
        <v>42.2</v>
      </c>
      <c r="T3057" s="7">
        <v>64.712000000000003</v>
      </c>
      <c r="U3057" s="5">
        <v>9.9</v>
      </c>
      <c r="V3057" s="9">
        <v>1.4952000000000001</v>
      </c>
      <c r="W3057" s="5">
        <v>28.5</v>
      </c>
      <c r="X3057" s="6">
        <v>30.75</v>
      </c>
      <c r="Y3057" s="6">
        <v>29.75</v>
      </c>
      <c r="Z3057" s="7">
        <v>29.875</v>
      </c>
      <c r="AA3057" s="6">
        <v>26.38</v>
      </c>
      <c r="AB3057" s="7">
        <v>23.539000000000001</v>
      </c>
      <c r="AC3057" s="2"/>
    </row>
    <row r="3058" spans="1:29" ht="52" x14ac:dyDescent="0.15">
      <c r="A3058" s="3">
        <f t="shared" si="32"/>
        <v>35555</v>
      </c>
      <c r="B3058" s="2"/>
      <c r="C3058" s="2" t="s">
        <v>30</v>
      </c>
      <c r="D3058" s="2" t="s">
        <v>9662</v>
      </c>
      <c r="E3058" s="2" t="s">
        <v>1072</v>
      </c>
      <c r="F3058" s="4">
        <v>6799</v>
      </c>
      <c r="G3058" s="2" t="s">
        <v>53</v>
      </c>
      <c r="H3058" s="2" t="s">
        <v>34</v>
      </c>
      <c r="I3058" s="2" t="s">
        <v>9663</v>
      </c>
      <c r="J3058" s="2" t="s">
        <v>9664</v>
      </c>
      <c r="K3058" s="2" t="s">
        <v>109</v>
      </c>
      <c r="L3058" s="2" t="s">
        <v>34</v>
      </c>
      <c r="M3058" s="2"/>
      <c r="N3058" s="6">
        <v>81.75</v>
      </c>
      <c r="O3058" s="6">
        <v>78.75</v>
      </c>
      <c r="P3058" s="2" t="s">
        <v>9665</v>
      </c>
      <c r="Q3058" s="2"/>
      <c r="R3058" s="6">
        <v>102</v>
      </c>
      <c r="S3058" s="5">
        <v>30.4</v>
      </c>
      <c r="T3058" s="7">
        <v>61.112000000000002</v>
      </c>
      <c r="U3058" s="5">
        <v>16.8</v>
      </c>
      <c r="V3058" s="6">
        <v>0.84</v>
      </c>
      <c r="W3058" s="5">
        <v>87.5</v>
      </c>
      <c r="X3058" s="6">
        <v>88.75</v>
      </c>
      <c r="Y3058" s="7">
        <v>107.875</v>
      </c>
      <c r="Z3058" s="5">
        <v>106.5</v>
      </c>
      <c r="AA3058" s="6">
        <v>9.1300000000000008</v>
      </c>
      <c r="AB3058" s="7">
        <v>97.421999999999997</v>
      </c>
      <c r="AC3058" s="6">
        <v>537.02</v>
      </c>
    </row>
    <row r="3059" spans="1:29" ht="156" x14ac:dyDescent="0.15">
      <c r="A3059" s="3">
        <f t="shared" si="32"/>
        <v>35555</v>
      </c>
      <c r="B3059" s="3">
        <f>DATE(1997,8,13)</f>
        <v>35655</v>
      </c>
      <c r="C3059" s="2" t="s">
        <v>95</v>
      </c>
      <c r="D3059" s="2" t="s">
        <v>9666</v>
      </c>
      <c r="E3059" s="2" t="s">
        <v>9667</v>
      </c>
      <c r="F3059" s="4">
        <v>2621</v>
      </c>
      <c r="G3059" s="2" t="s">
        <v>282</v>
      </c>
      <c r="H3059" s="2" t="s">
        <v>34</v>
      </c>
      <c r="I3059" s="2" t="s">
        <v>9668</v>
      </c>
      <c r="J3059" s="2" t="s">
        <v>9669</v>
      </c>
      <c r="K3059" s="2" t="s">
        <v>282</v>
      </c>
      <c r="L3059" s="2" t="s">
        <v>34</v>
      </c>
      <c r="M3059" s="12">
        <v>2461.0010000000002</v>
      </c>
      <c r="N3059" s="7">
        <v>32.625</v>
      </c>
      <c r="O3059" s="6">
        <v>31.75</v>
      </c>
      <c r="P3059" s="2" t="s">
        <v>9670</v>
      </c>
      <c r="Q3059" s="6">
        <v>100</v>
      </c>
      <c r="R3059" s="6">
        <v>42.45</v>
      </c>
      <c r="S3059" s="5">
        <v>170.7</v>
      </c>
      <c r="T3059" s="7">
        <v>596.01800000000003</v>
      </c>
      <c r="U3059" s="5">
        <v>-19.600000000000001</v>
      </c>
      <c r="V3059" s="6">
        <v>2.44</v>
      </c>
      <c r="W3059" s="6">
        <v>33.18</v>
      </c>
      <c r="X3059" s="5">
        <v>36.5</v>
      </c>
      <c r="Y3059" s="5">
        <v>42.5</v>
      </c>
      <c r="Z3059" s="6">
        <v>41.25</v>
      </c>
      <c r="AA3059" s="6">
        <v>74.64</v>
      </c>
      <c r="AB3059" s="7">
        <v>11.599</v>
      </c>
      <c r="AC3059" s="5">
        <v>33.799999999999997</v>
      </c>
    </row>
    <row r="3060" spans="1:29" ht="130" x14ac:dyDescent="0.15">
      <c r="A3060" s="3">
        <f t="shared" si="32"/>
        <v>35555</v>
      </c>
      <c r="B3060" s="3">
        <f>DATE(1997,8,1)</f>
        <v>35643</v>
      </c>
      <c r="C3060" s="2" t="s">
        <v>95</v>
      </c>
      <c r="D3060" s="2" t="s">
        <v>6950</v>
      </c>
      <c r="E3060" s="2" t="s">
        <v>6951</v>
      </c>
      <c r="F3060" s="4">
        <v>7371</v>
      </c>
      <c r="G3060" s="2" t="s">
        <v>223</v>
      </c>
      <c r="H3060" s="2" t="s">
        <v>34</v>
      </c>
      <c r="I3060" s="2" t="s">
        <v>9671</v>
      </c>
      <c r="J3060" s="2" t="s">
        <v>9672</v>
      </c>
      <c r="K3060" s="2" t="s">
        <v>226</v>
      </c>
      <c r="L3060" s="2" t="s">
        <v>34</v>
      </c>
      <c r="M3060" s="12">
        <v>4434.9129999999996</v>
      </c>
      <c r="N3060" s="5">
        <v>84.5</v>
      </c>
      <c r="O3060" s="4">
        <v>85</v>
      </c>
      <c r="P3060" s="2" t="s">
        <v>9673</v>
      </c>
      <c r="Q3060" s="6">
        <v>100</v>
      </c>
      <c r="R3060" s="6">
        <v>70.930000000000007</v>
      </c>
      <c r="S3060" s="5">
        <v>32.700000000000003</v>
      </c>
      <c r="T3060" s="2"/>
      <c r="U3060" s="5">
        <v>11.7</v>
      </c>
      <c r="V3060" s="6">
        <v>2.29</v>
      </c>
      <c r="W3060" s="5">
        <v>38.5</v>
      </c>
      <c r="X3060" s="7">
        <v>40.375</v>
      </c>
      <c r="Y3060" s="6">
        <v>49.75</v>
      </c>
      <c r="Z3060" s="6">
        <v>49.75</v>
      </c>
      <c r="AA3060" s="6">
        <v>13.98</v>
      </c>
      <c r="AB3060" s="2" t="s">
        <v>47</v>
      </c>
      <c r="AC3060" s="5">
        <v>44</v>
      </c>
    </row>
    <row r="3061" spans="1:29" ht="117" x14ac:dyDescent="0.15">
      <c r="A3061" s="3">
        <f t="shared" si="32"/>
        <v>35555</v>
      </c>
      <c r="B3061" s="3">
        <f>DATE(1997,8,19)</f>
        <v>35661</v>
      </c>
      <c r="C3061" s="2" t="s">
        <v>95</v>
      </c>
      <c r="D3061" s="2" t="s">
        <v>9674</v>
      </c>
      <c r="E3061" s="2" t="s">
        <v>3439</v>
      </c>
      <c r="F3061" s="4">
        <v>5411</v>
      </c>
      <c r="G3061" s="2" t="s">
        <v>1461</v>
      </c>
      <c r="H3061" s="2" t="s">
        <v>34</v>
      </c>
      <c r="I3061" s="2" t="s">
        <v>9675</v>
      </c>
      <c r="J3061" s="2" t="s">
        <v>9676</v>
      </c>
      <c r="K3061" s="2" t="s">
        <v>1461</v>
      </c>
      <c r="L3061" s="2" t="s">
        <v>34</v>
      </c>
      <c r="M3061" s="2"/>
      <c r="N3061" s="2"/>
      <c r="O3061" s="2"/>
      <c r="P3061" s="2" t="s">
        <v>9677</v>
      </c>
      <c r="Q3061" s="6">
        <v>100</v>
      </c>
      <c r="R3061" s="6">
        <v>42</v>
      </c>
      <c r="S3061" s="5">
        <v>16.600000000000001</v>
      </c>
      <c r="T3061" s="7">
        <v>50.908000000000001</v>
      </c>
      <c r="U3061" s="5">
        <v>11.1</v>
      </c>
      <c r="V3061" s="6">
        <v>2.0499999999999998</v>
      </c>
      <c r="W3061" s="5">
        <v>32.5</v>
      </c>
      <c r="X3061" s="7">
        <v>37.625</v>
      </c>
      <c r="Y3061" s="7">
        <v>41.125</v>
      </c>
      <c r="Z3061" s="7">
        <v>40.625</v>
      </c>
      <c r="AA3061" s="6">
        <v>9.7200000000000006</v>
      </c>
      <c r="AB3061" s="7">
        <v>11.983000000000001</v>
      </c>
      <c r="AC3061" s="2"/>
    </row>
    <row r="3062" spans="1:29" ht="91" x14ac:dyDescent="0.15">
      <c r="A3062" s="3">
        <f t="shared" si="32"/>
        <v>35555</v>
      </c>
      <c r="B3062" s="2"/>
      <c r="C3062" s="2" t="s">
        <v>30</v>
      </c>
      <c r="D3062" s="2" t="s">
        <v>9678</v>
      </c>
      <c r="E3062" s="2" t="s">
        <v>2269</v>
      </c>
      <c r="F3062" s="4">
        <v>8063</v>
      </c>
      <c r="G3062" s="2" t="s">
        <v>454</v>
      </c>
      <c r="H3062" s="2" t="s">
        <v>34</v>
      </c>
      <c r="I3062" s="2" t="s">
        <v>9679</v>
      </c>
      <c r="J3062" s="2" t="s">
        <v>9680</v>
      </c>
      <c r="K3062" s="2" t="s">
        <v>454</v>
      </c>
      <c r="L3062" s="2" t="s">
        <v>34</v>
      </c>
      <c r="M3062" s="2"/>
      <c r="N3062" s="2"/>
      <c r="O3062" s="2"/>
      <c r="P3062" s="2" t="s">
        <v>9681</v>
      </c>
      <c r="Q3062" s="2"/>
      <c r="R3062" s="6">
        <v>14.55</v>
      </c>
      <c r="S3062" s="5">
        <v>-5.4</v>
      </c>
      <c r="T3062" s="6">
        <v>47.45</v>
      </c>
      <c r="U3062" s="5">
        <v>9.1</v>
      </c>
      <c r="V3062" s="6">
        <v>-0.12</v>
      </c>
      <c r="W3062" s="4">
        <v>10</v>
      </c>
      <c r="X3062" s="4">
        <v>10</v>
      </c>
      <c r="Y3062" s="6">
        <v>14.25</v>
      </c>
      <c r="Z3062" s="7">
        <v>14.375</v>
      </c>
      <c r="AA3062" s="6">
        <v>38.83</v>
      </c>
      <c r="AB3062" s="7">
        <v>21.361999999999998</v>
      </c>
      <c r="AC3062" s="2"/>
    </row>
    <row r="3063" spans="1:29" ht="117" x14ac:dyDescent="0.15">
      <c r="A3063" s="3">
        <f t="shared" si="32"/>
        <v>35555</v>
      </c>
      <c r="B3063" s="3">
        <f>DATE(1997,6,13)</f>
        <v>35594</v>
      </c>
      <c r="C3063" s="2" t="s">
        <v>95</v>
      </c>
      <c r="D3063" s="2" t="s">
        <v>9682</v>
      </c>
      <c r="E3063" s="2" t="s">
        <v>1332</v>
      </c>
      <c r="F3063" s="4">
        <v>8082</v>
      </c>
      <c r="G3063" s="2" t="s">
        <v>454</v>
      </c>
      <c r="H3063" s="2" t="s">
        <v>34</v>
      </c>
      <c r="I3063" s="2" t="s">
        <v>9683</v>
      </c>
      <c r="J3063" s="2" t="s">
        <v>9684</v>
      </c>
      <c r="K3063" s="2" t="s">
        <v>226</v>
      </c>
      <c r="L3063" s="2" t="s">
        <v>435</v>
      </c>
      <c r="M3063" s="2"/>
      <c r="N3063" s="2"/>
      <c r="O3063" s="2"/>
      <c r="P3063" s="2" t="s">
        <v>9685</v>
      </c>
      <c r="Q3063" s="6">
        <v>100</v>
      </c>
      <c r="R3063" s="6">
        <v>35.619999999999997</v>
      </c>
      <c r="S3063" s="5">
        <v>50.3</v>
      </c>
      <c r="T3063" s="2"/>
      <c r="U3063" s="5">
        <v>10</v>
      </c>
      <c r="V3063" s="6">
        <v>1.27</v>
      </c>
      <c r="W3063" s="6">
        <v>25.12</v>
      </c>
      <c r="X3063" s="6">
        <v>28.25</v>
      </c>
      <c r="Y3063" s="4">
        <v>35</v>
      </c>
      <c r="Z3063" s="7">
        <v>34.625</v>
      </c>
      <c r="AA3063" s="6">
        <v>41.07</v>
      </c>
      <c r="AB3063" s="2" t="s">
        <v>47</v>
      </c>
      <c r="AC3063" s="2"/>
    </row>
    <row r="3064" spans="1:29" ht="117" x14ac:dyDescent="0.15">
      <c r="A3064" s="3">
        <f>DATE(1997,5,6)</f>
        <v>35556</v>
      </c>
      <c r="B3064" s="3">
        <f>DATE(1997,8,15)</f>
        <v>35657</v>
      </c>
      <c r="C3064" s="2" t="s">
        <v>95</v>
      </c>
      <c r="D3064" s="2" t="s">
        <v>9686</v>
      </c>
      <c r="E3064" s="2" t="s">
        <v>2016</v>
      </c>
      <c r="F3064" s="4">
        <v>7373</v>
      </c>
      <c r="G3064" s="2" t="s">
        <v>223</v>
      </c>
      <c r="H3064" s="2" t="s">
        <v>34</v>
      </c>
      <c r="I3064" s="2" t="s">
        <v>972</v>
      </c>
      <c r="J3064" s="2" t="s">
        <v>973</v>
      </c>
      <c r="K3064" s="2" t="s">
        <v>63</v>
      </c>
      <c r="L3064" s="2" t="s">
        <v>34</v>
      </c>
      <c r="M3064" s="12">
        <v>43400.762999999999</v>
      </c>
      <c r="N3064" s="4">
        <v>45</v>
      </c>
      <c r="O3064" s="7">
        <v>43.625</v>
      </c>
      <c r="P3064" s="2" t="s">
        <v>9687</v>
      </c>
      <c r="Q3064" s="6">
        <v>100</v>
      </c>
      <c r="R3064" s="6">
        <v>29</v>
      </c>
      <c r="S3064" s="5">
        <v>-60.9</v>
      </c>
      <c r="T3064" s="7">
        <v>-49.441000000000003</v>
      </c>
      <c r="U3064" s="5">
        <v>4.2</v>
      </c>
      <c r="V3064" s="7">
        <v>-3.226</v>
      </c>
      <c r="W3064" s="7">
        <v>21.875</v>
      </c>
      <c r="X3064" s="4">
        <v>23</v>
      </c>
      <c r="Y3064" s="7">
        <v>22.625</v>
      </c>
      <c r="Z3064" s="7">
        <v>28.875</v>
      </c>
      <c r="AA3064" s="6">
        <v>21.22</v>
      </c>
      <c r="AB3064" s="2" t="s">
        <v>86</v>
      </c>
      <c r="AC3064" s="2"/>
    </row>
    <row r="3065" spans="1:29" ht="130" x14ac:dyDescent="0.15">
      <c r="A3065" s="3">
        <f>DATE(1997,5,6)</f>
        <v>35556</v>
      </c>
      <c r="B3065" s="3">
        <f>DATE(1997,7,22)</f>
        <v>35633</v>
      </c>
      <c r="C3065" s="2" t="s">
        <v>95</v>
      </c>
      <c r="D3065" s="2" t="s">
        <v>9688</v>
      </c>
      <c r="E3065" s="2" t="s">
        <v>9689</v>
      </c>
      <c r="F3065" s="4">
        <v>3561</v>
      </c>
      <c r="G3065" s="2" t="s">
        <v>300</v>
      </c>
      <c r="H3065" s="2" t="s">
        <v>34</v>
      </c>
      <c r="I3065" s="2" t="s">
        <v>9690</v>
      </c>
      <c r="J3065" s="2" t="s">
        <v>9691</v>
      </c>
      <c r="K3065" s="2" t="s">
        <v>300</v>
      </c>
      <c r="L3065" s="2" t="s">
        <v>34</v>
      </c>
      <c r="M3065" s="2"/>
      <c r="N3065" s="6">
        <v>25.75</v>
      </c>
      <c r="O3065" s="4">
        <v>26</v>
      </c>
      <c r="P3065" s="2" t="s">
        <v>9692</v>
      </c>
      <c r="Q3065" s="6">
        <v>100</v>
      </c>
      <c r="R3065" s="6">
        <v>18.55</v>
      </c>
      <c r="S3065" s="5">
        <v>27.5</v>
      </c>
      <c r="T3065" s="7">
        <v>65.588999999999999</v>
      </c>
      <c r="U3065" s="5">
        <v>7.6</v>
      </c>
      <c r="V3065" s="7">
        <v>1.1339999999999999</v>
      </c>
      <c r="W3065" s="6">
        <v>16.25</v>
      </c>
      <c r="X3065" s="7">
        <v>19.625</v>
      </c>
      <c r="Y3065" s="7">
        <v>18.375</v>
      </c>
      <c r="Z3065" s="5">
        <v>17.5</v>
      </c>
      <c r="AA3065" s="6">
        <v>24.28</v>
      </c>
      <c r="AB3065" s="7">
        <v>10.596</v>
      </c>
      <c r="AC3065" s="6">
        <v>29.47</v>
      </c>
    </row>
    <row r="3066" spans="1:29" ht="130" x14ac:dyDescent="0.15">
      <c r="A3066" s="3">
        <f>DATE(1997,5,6)</f>
        <v>35556</v>
      </c>
      <c r="B3066" s="3">
        <f>DATE(1998,1,5)</f>
        <v>35800</v>
      </c>
      <c r="C3066" s="2" t="s">
        <v>95</v>
      </c>
      <c r="D3066" s="2" t="s">
        <v>5917</v>
      </c>
      <c r="E3066" s="2" t="s">
        <v>2241</v>
      </c>
      <c r="F3066" s="4">
        <v>8011</v>
      </c>
      <c r="G3066" s="2" t="s">
        <v>454</v>
      </c>
      <c r="H3066" s="2" t="s">
        <v>34</v>
      </c>
      <c r="I3066" s="2" t="s">
        <v>9693</v>
      </c>
      <c r="J3066" s="2" t="s">
        <v>5656</v>
      </c>
      <c r="K3066" s="2" t="s">
        <v>125</v>
      </c>
      <c r="L3066" s="2" t="s">
        <v>34</v>
      </c>
      <c r="M3066" s="12">
        <v>3402.3270000000002</v>
      </c>
      <c r="N3066" s="4">
        <v>27</v>
      </c>
      <c r="O3066" s="4">
        <v>27</v>
      </c>
      <c r="P3066" s="2" t="s">
        <v>9694</v>
      </c>
      <c r="Q3066" s="6">
        <v>100</v>
      </c>
      <c r="R3066" s="6">
        <v>28.25</v>
      </c>
      <c r="S3066" s="5">
        <v>-13</v>
      </c>
      <c r="T3066" s="2"/>
      <c r="U3066" s="5">
        <v>10.4</v>
      </c>
      <c r="V3066" s="6">
        <v>-1.39</v>
      </c>
      <c r="W3066" s="6">
        <v>22.25</v>
      </c>
      <c r="X3066" s="7">
        <v>22.875</v>
      </c>
      <c r="Y3066" s="7">
        <v>26.625</v>
      </c>
      <c r="Z3066" s="7">
        <v>26.937999999999999</v>
      </c>
      <c r="AA3066" s="6">
        <v>9.31</v>
      </c>
      <c r="AB3066" s="2" t="s">
        <v>86</v>
      </c>
      <c r="AC3066" s="6">
        <v>224.84</v>
      </c>
    </row>
    <row r="3067" spans="1:29" ht="91" x14ac:dyDescent="0.15">
      <c r="A3067" s="3">
        <f>DATE(1997,5,6)</f>
        <v>35556</v>
      </c>
      <c r="B3067" s="3">
        <f>DATE(1997,7,25)</f>
        <v>35636</v>
      </c>
      <c r="C3067" s="2" t="s">
        <v>95</v>
      </c>
      <c r="D3067" s="2" t="s">
        <v>9695</v>
      </c>
      <c r="E3067" s="2" t="s">
        <v>9696</v>
      </c>
      <c r="F3067" s="4">
        <v>2329</v>
      </c>
      <c r="G3067" s="2" t="s">
        <v>708</v>
      </c>
      <c r="H3067" s="2" t="s">
        <v>34</v>
      </c>
      <c r="I3067" s="2" t="s">
        <v>9697</v>
      </c>
      <c r="J3067" s="2" t="s">
        <v>9698</v>
      </c>
      <c r="K3067" s="2" t="s">
        <v>112</v>
      </c>
      <c r="L3067" s="2" t="s">
        <v>34</v>
      </c>
      <c r="M3067" s="7">
        <v>29.245999999999999</v>
      </c>
      <c r="N3067" s="7">
        <v>4.375</v>
      </c>
      <c r="O3067" s="7">
        <v>4.625</v>
      </c>
      <c r="P3067" s="2" t="s">
        <v>9699</v>
      </c>
      <c r="Q3067" s="6">
        <v>100</v>
      </c>
      <c r="R3067" s="6">
        <v>18.899999999999999</v>
      </c>
      <c r="S3067" s="5">
        <v>5</v>
      </c>
      <c r="T3067" s="7">
        <v>9.5210000000000008</v>
      </c>
      <c r="U3067" s="5">
        <v>6.1</v>
      </c>
      <c r="V3067" s="7">
        <v>1.056</v>
      </c>
      <c r="W3067" s="6">
        <v>14.75</v>
      </c>
      <c r="X3067" s="5">
        <v>14.5</v>
      </c>
      <c r="Y3067" s="5">
        <v>18.5</v>
      </c>
      <c r="Z3067" s="5">
        <v>18.5</v>
      </c>
      <c r="AA3067" s="6">
        <v>4.5599999999999996</v>
      </c>
      <c r="AB3067" s="7">
        <v>11.076000000000001</v>
      </c>
      <c r="AC3067" s="6">
        <v>0.36</v>
      </c>
    </row>
    <row r="3068" spans="1:29" ht="143" x14ac:dyDescent="0.15">
      <c r="A3068" s="3">
        <f>DATE(1997,5,6)</f>
        <v>35556</v>
      </c>
      <c r="B3068" s="3">
        <f>DATE(1997,12,1)</f>
        <v>35765</v>
      </c>
      <c r="C3068" s="2" t="s">
        <v>95</v>
      </c>
      <c r="D3068" s="2" t="s">
        <v>9700</v>
      </c>
      <c r="E3068" s="2" t="s">
        <v>263</v>
      </c>
      <c r="F3068" s="4">
        <v>6035</v>
      </c>
      <c r="G3068" s="2" t="s">
        <v>33</v>
      </c>
      <c r="H3068" s="2" t="s">
        <v>34</v>
      </c>
      <c r="I3068" s="2" t="s">
        <v>9701</v>
      </c>
      <c r="J3068" s="2" t="s">
        <v>672</v>
      </c>
      <c r="K3068" s="2" t="s">
        <v>37</v>
      </c>
      <c r="L3068" s="2" t="s">
        <v>34</v>
      </c>
      <c r="M3068" s="12">
        <v>4146.0469999999996</v>
      </c>
      <c r="N3068" s="5">
        <v>40.5</v>
      </c>
      <c r="O3068" s="7">
        <v>39.625</v>
      </c>
      <c r="P3068" s="2" t="s">
        <v>9702</v>
      </c>
      <c r="Q3068" s="6">
        <v>100</v>
      </c>
      <c r="R3068" s="6">
        <v>24.38</v>
      </c>
      <c r="S3068" s="5">
        <v>10.5</v>
      </c>
      <c r="T3068" s="7">
        <v>17.582000000000001</v>
      </c>
      <c r="U3068" s="5">
        <v>11</v>
      </c>
      <c r="V3068" s="7">
        <v>1.802</v>
      </c>
      <c r="W3068" s="6">
        <v>13.75</v>
      </c>
      <c r="X3068" s="6">
        <v>13.75</v>
      </c>
      <c r="Y3068" s="6">
        <v>21.75</v>
      </c>
      <c r="Z3068" s="7">
        <v>21.375</v>
      </c>
      <c r="AA3068" s="6">
        <v>5.81</v>
      </c>
      <c r="AB3068" s="7">
        <v>43.654000000000003</v>
      </c>
      <c r="AC3068" s="2"/>
    </row>
    <row r="3069" spans="1:29" ht="78" x14ac:dyDescent="0.15">
      <c r="A3069" s="3">
        <f>DATE(1997,5,7)</f>
        <v>35557</v>
      </c>
      <c r="B3069" s="2"/>
      <c r="C3069" s="2" t="s">
        <v>87</v>
      </c>
      <c r="D3069" s="2" t="s">
        <v>9703</v>
      </c>
      <c r="E3069" s="2" t="s">
        <v>9704</v>
      </c>
      <c r="F3069" s="4">
        <v>6211</v>
      </c>
      <c r="G3069" s="2" t="s">
        <v>53</v>
      </c>
      <c r="H3069" s="2" t="s">
        <v>34</v>
      </c>
      <c r="I3069" s="2" t="s">
        <v>9705</v>
      </c>
      <c r="J3069" s="2" t="s">
        <v>2712</v>
      </c>
      <c r="K3069" s="2" t="s">
        <v>53</v>
      </c>
      <c r="L3069" s="2" t="s">
        <v>34</v>
      </c>
      <c r="M3069" s="12">
        <v>18124.239000000001</v>
      </c>
      <c r="N3069" s="7">
        <v>101.375</v>
      </c>
      <c r="O3069" s="7">
        <v>102.875</v>
      </c>
      <c r="P3069" s="2" t="s">
        <v>9706</v>
      </c>
      <c r="Q3069" s="2"/>
      <c r="R3069" s="2"/>
      <c r="S3069" s="5">
        <v>416</v>
      </c>
      <c r="T3069" s="5">
        <v>812</v>
      </c>
      <c r="U3069" s="5">
        <v>8.4</v>
      </c>
      <c r="V3069" s="6">
        <v>0.81</v>
      </c>
      <c r="W3069" s="4">
        <v>34</v>
      </c>
      <c r="X3069" s="7">
        <v>34.125</v>
      </c>
      <c r="Y3069" s="4">
        <v>38</v>
      </c>
      <c r="Z3069" s="7">
        <v>38.125</v>
      </c>
      <c r="AA3069" s="6">
        <v>101.32</v>
      </c>
      <c r="AB3069" s="2" t="s">
        <v>47</v>
      </c>
      <c r="AC3069" s="2"/>
    </row>
    <row r="3070" spans="1:29" ht="195" x14ac:dyDescent="0.15">
      <c r="A3070" s="3">
        <f>DATE(1997,5,7)</f>
        <v>35557</v>
      </c>
      <c r="B3070" s="3">
        <f>DATE(1998,6,3)</f>
        <v>35949</v>
      </c>
      <c r="C3070" s="2" t="s">
        <v>95</v>
      </c>
      <c r="D3070" s="2" t="s">
        <v>9707</v>
      </c>
      <c r="E3070" s="2" t="s">
        <v>124</v>
      </c>
      <c r="F3070" s="4">
        <v>6311</v>
      </c>
      <c r="G3070" s="2" t="s">
        <v>125</v>
      </c>
      <c r="H3070" s="2" t="s">
        <v>34</v>
      </c>
      <c r="I3070" s="2" t="s">
        <v>5195</v>
      </c>
      <c r="J3070" s="2" t="s">
        <v>124</v>
      </c>
      <c r="K3070" s="2" t="s">
        <v>125</v>
      </c>
      <c r="L3070" s="2" t="s">
        <v>34</v>
      </c>
      <c r="M3070" s="12">
        <v>1866.7619999999999</v>
      </c>
      <c r="N3070" s="7">
        <v>52.875</v>
      </c>
      <c r="O3070" s="6">
        <v>53.25</v>
      </c>
      <c r="P3070" s="2" t="s">
        <v>9708</v>
      </c>
      <c r="Q3070" s="6">
        <v>100</v>
      </c>
      <c r="R3070" s="6">
        <v>120.13</v>
      </c>
      <c r="S3070" s="5">
        <v>12.4</v>
      </c>
      <c r="T3070" s="7">
        <v>29.632000000000001</v>
      </c>
      <c r="U3070" s="5">
        <v>106.7</v>
      </c>
      <c r="V3070" s="7">
        <v>6.5369999999999999</v>
      </c>
      <c r="W3070" s="5">
        <v>72.5</v>
      </c>
      <c r="X3070" s="5">
        <v>72.5</v>
      </c>
      <c r="Y3070" s="4">
        <v>76</v>
      </c>
      <c r="Z3070" s="4">
        <v>110</v>
      </c>
      <c r="AA3070" s="6">
        <v>1.68</v>
      </c>
      <c r="AB3070" s="7">
        <v>8.3859999999999992</v>
      </c>
      <c r="AC3070" s="5">
        <v>17</v>
      </c>
    </row>
    <row r="3071" spans="1:29" ht="169" x14ac:dyDescent="0.15">
      <c r="A3071" s="3">
        <f>DATE(1997,5,7)</f>
        <v>35557</v>
      </c>
      <c r="B3071" s="3">
        <f>DATE(1997,8,26)</f>
        <v>35668</v>
      </c>
      <c r="C3071" s="2" t="s">
        <v>95</v>
      </c>
      <c r="D3071" s="2" t="s">
        <v>9678</v>
      </c>
      <c r="E3071" s="2" t="s">
        <v>2269</v>
      </c>
      <c r="F3071" s="4">
        <v>8063</v>
      </c>
      <c r="G3071" s="2" t="s">
        <v>454</v>
      </c>
      <c r="H3071" s="2" t="s">
        <v>34</v>
      </c>
      <c r="I3071" s="2" t="s">
        <v>5764</v>
      </c>
      <c r="J3071" s="2" t="s">
        <v>5765</v>
      </c>
      <c r="K3071" s="2" t="s">
        <v>454</v>
      </c>
      <c r="L3071" s="2" t="s">
        <v>34</v>
      </c>
      <c r="M3071" s="12">
        <v>2671.3589999999999</v>
      </c>
      <c r="N3071" s="7">
        <v>39.875</v>
      </c>
      <c r="O3071" s="6">
        <v>37.75</v>
      </c>
      <c r="P3071" s="2" t="s">
        <v>9709</v>
      </c>
      <c r="Q3071" s="6">
        <v>100</v>
      </c>
      <c r="R3071" s="6">
        <v>16</v>
      </c>
      <c r="S3071" s="5">
        <v>-5.4</v>
      </c>
      <c r="T3071" s="6">
        <v>47.45</v>
      </c>
      <c r="U3071" s="5">
        <v>9.1</v>
      </c>
      <c r="V3071" s="6">
        <v>-0.12</v>
      </c>
      <c r="W3071" s="4">
        <v>10</v>
      </c>
      <c r="X3071" s="6">
        <v>14.38</v>
      </c>
      <c r="Y3071" s="6">
        <v>14.25</v>
      </c>
      <c r="Z3071" s="7">
        <v>14.375</v>
      </c>
      <c r="AA3071" s="6">
        <v>38.83</v>
      </c>
      <c r="AB3071" s="7">
        <v>23.87</v>
      </c>
      <c r="AC3071" s="6">
        <v>112.47</v>
      </c>
    </row>
    <row r="3072" spans="1:29" ht="91" x14ac:dyDescent="0.15">
      <c r="A3072" s="3">
        <f>DATE(1997,5,8)</f>
        <v>35558</v>
      </c>
      <c r="B3072" s="3">
        <f>DATE(1997,9,10)</f>
        <v>35683</v>
      </c>
      <c r="C3072" s="2" t="s">
        <v>95</v>
      </c>
      <c r="D3072" s="2" t="s">
        <v>9710</v>
      </c>
      <c r="E3072" s="2" t="s">
        <v>9711</v>
      </c>
      <c r="F3072" s="4">
        <v>3841</v>
      </c>
      <c r="G3072" s="2" t="s">
        <v>226</v>
      </c>
      <c r="H3072" s="2" t="s">
        <v>34</v>
      </c>
      <c r="I3072" s="2" t="s">
        <v>9712</v>
      </c>
      <c r="J3072" s="2" t="s">
        <v>9713</v>
      </c>
      <c r="K3072" s="2" t="s">
        <v>112</v>
      </c>
      <c r="L3072" s="2" t="s">
        <v>34</v>
      </c>
      <c r="M3072" s="2"/>
      <c r="N3072" s="2"/>
      <c r="O3072" s="2"/>
      <c r="P3072" s="2" t="s">
        <v>9714</v>
      </c>
      <c r="Q3072" s="6">
        <v>100</v>
      </c>
      <c r="R3072" s="6">
        <v>1.35</v>
      </c>
      <c r="S3072" s="5">
        <v>0</v>
      </c>
      <c r="T3072" s="6">
        <v>0.47</v>
      </c>
      <c r="U3072" s="5">
        <v>0.5</v>
      </c>
      <c r="V3072" s="7">
        <v>-7.0000000000000001E-3</v>
      </c>
      <c r="W3072" s="7">
        <v>1.3129999999999999</v>
      </c>
      <c r="X3072" s="6">
        <v>1.25</v>
      </c>
      <c r="Y3072" s="7">
        <v>1.5629999999999999</v>
      </c>
      <c r="Z3072" s="7">
        <v>1.4059999999999999</v>
      </c>
      <c r="AA3072" s="6">
        <v>6.9</v>
      </c>
      <c r="AB3072" s="2" t="s">
        <v>86</v>
      </c>
      <c r="AC3072" s="2"/>
    </row>
    <row r="3073" spans="1:29" ht="156" x14ac:dyDescent="0.15">
      <c r="A3073" s="3">
        <f>DATE(1997,5,8)</f>
        <v>35558</v>
      </c>
      <c r="B3073" s="3">
        <f>DATE(1997,11,4)</f>
        <v>35738</v>
      </c>
      <c r="C3073" s="2" t="s">
        <v>95</v>
      </c>
      <c r="D3073" s="2" t="s">
        <v>3853</v>
      </c>
      <c r="E3073" s="2" t="s">
        <v>3854</v>
      </c>
      <c r="F3073" s="4">
        <v>8099</v>
      </c>
      <c r="G3073" s="2" t="s">
        <v>454</v>
      </c>
      <c r="H3073" s="2" t="s">
        <v>34</v>
      </c>
      <c r="I3073" s="2" t="s">
        <v>9715</v>
      </c>
      <c r="J3073" s="2" t="s">
        <v>244</v>
      </c>
      <c r="K3073" s="2" t="s">
        <v>53</v>
      </c>
      <c r="L3073" s="2" t="s">
        <v>34</v>
      </c>
      <c r="M3073" s="2"/>
      <c r="N3073" s="2"/>
      <c r="O3073" s="2"/>
      <c r="P3073" s="2" t="s">
        <v>9716</v>
      </c>
      <c r="Q3073" s="6">
        <v>100</v>
      </c>
      <c r="R3073" s="6">
        <v>40.5</v>
      </c>
      <c r="S3073" s="5">
        <v>44.6</v>
      </c>
      <c r="T3073" s="6">
        <v>127.71</v>
      </c>
      <c r="U3073" s="5">
        <v>16.899999999999999</v>
      </c>
      <c r="V3073" s="6">
        <v>2.1800000000000002</v>
      </c>
      <c r="W3073" s="4">
        <v>36</v>
      </c>
      <c r="X3073" s="5">
        <v>36.5</v>
      </c>
      <c r="Y3073" s="7">
        <v>34.125</v>
      </c>
      <c r="Z3073" s="7">
        <v>35.375</v>
      </c>
      <c r="AA3073" s="6">
        <v>19.510000000000002</v>
      </c>
      <c r="AB3073" s="7">
        <v>12.013</v>
      </c>
      <c r="AC3073" s="2"/>
    </row>
    <row r="3074" spans="1:29" ht="130" x14ac:dyDescent="0.15">
      <c r="A3074" s="3">
        <f>DATE(1997,5,8)</f>
        <v>35558</v>
      </c>
      <c r="B3074" s="3">
        <f>DATE(1997,11,7)</f>
        <v>35741</v>
      </c>
      <c r="C3074" s="2" t="s">
        <v>95</v>
      </c>
      <c r="D3074" s="2" t="s">
        <v>9717</v>
      </c>
      <c r="E3074" s="2" t="s">
        <v>263</v>
      </c>
      <c r="F3074" s="4">
        <v>6035</v>
      </c>
      <c r="G3074" s="2" t="s">
        <v>33</v>
      </c>
      <c r="H3074" s="2" t="s">
        <v>34</v>
      </c>
      <c r="I3074" s="2" t="s">
        <v>1955</v>
      </c>
      <c r="J3074" s="2" t="s">
        <v>672</v>
      </c>
      <c r="K3074" s="2" t="s">
        <v>37</v>
      </c>
      <c r="L3074" s="2" t="s">
        <v>34</v>
      </c>
      <c r="M3074" s="12">
        <v>2886.0050000000001</v>
      </c>
      <c r="N3074" s="5">
        <v>45.5</v>
      </c>
      <c r="O3074" s="4">
        <v>46</v>
      </c>
      <c r="P3074" s="2" t="s">
        <v>9718</v>
      </c>
      <c r="Q3074" s="6">
        <v>100</v>
      </c>
      <c r="R3074" s="6">
        <v>23.82</v>
      </c>
      <c r="S3074" s="5">
        <v>21.1</v>
      </c>
      <c r="T3074" s="7">
        <v>41.478000000000002</v>
      </c>
      <c r="U3074" s="5">
        <v>9.1999999999999993</v>
      </c>
      <c r="V3074" s="6">
        <v>1.5</v>
      </c>
      <c r="W3074" s="7">
        <v>18.125</v>
      </c>
      <c r="X3074" s="5">
        <v>17.5</v>
      </c>
      <c r="Y3074" s="6">
        <v>18.25</v>
      </c>
      <c r="Z3074" s="7">
        <v>22.937999999999999</v>
      </c>
      <c r="AA3074" s="6">
        <v>13.74</v>
      </c>
      <c r="AB3074" s="7">
        <v>17.202000000000002</v>
      </c>
      <c r="AC3074" s="2"/>
    </row>
    <row r="3075" spans="1:29" ht="156" x14ac:dyDescent="0.15">
      <c r="A3075" s="3">
        <f>DATE(1997,5,12)</f>
        <v>35562</v>
      </c>
      <c r="B3075" s="3">
        <f>DATE(1997,10,16)</f>
        <v>35719</v>
      </c>
      <c r="C3075" s="2" t="s">
        <v>95</v>
      </c>
      <c r="D3075" s="2" t="s">
        <v>9500</v>
      </c>
      <c r="E3075" s="2" t="s">
        <v>9501</v>
      </c>
      <c r="F3075" s="4">
        <v>3634</v>
      </c>
      <c r="G3075" s="2" t="s">
        <v>137</v>
      </c>
      <c r="H3075" s="2" t="s">
        <v>34</v>
      </c>
      <c r="I3075" s="2" t="s">
        <v>9719</v>
      </c>
      <c r="J3075" s="2" t="s">
        <v>3526</v>
      </c>
      <c r="K3075" s="2" t="s">
        <v>137</v>
      </c>
      <c r="L3075" s="2" t="s">
        <v>34</v>
      </c>
      <c r="M3075" s="7">
        <v>416.923</v>
      </c>
      <c r="N3075" s="6">
        <v>61.25</v>
      </c>
      <c r="O3075" s="6">
        <v>62.25</v>
      </c>
      <c r="P3075" s="2" t="s">
        <v>9720</v>
      </c>
      <c r="Q3075" s="6">
        <v>100</v>
      </c>
      <c r="R3075" s="6">
        <v>64.08</v>
      </c>
      <c r="S3075" s="5">
        <v>0.1</v>
      </c>
      <c r="T3075" s="6">
        <v>1.86</v>
      </c>
      <c r="U3075" s="5">
        <v>30.2</v>
      </c>
      <c r="V3075" s="7">
        <v>2.7109999999999999</v>
      </c>
      <c r="W3075" s="4">
        <v>33</v>
      </c>
      <c r="X3075" s="5">
        <v>33.5</v>
      </c>
      <c r="Y3075" s="7">
        <v>33.125</v>
      </c>
      <c r="Z3075" s="7">
        <v>38.125</v>
      </c>
      <c r="AA3075" s="6">
        <v>3.82</v>
      </c>
      <c r="AB3075" s="7">
        <v>1088.835</v>
      </c>
      <c r="AC3075" s="6">
        <v>44.96</v>
      </c>
    </row>
    <row r="3076" spans="1:29" ht="52" x14ac:dyDescent="0.15">
      <c r="A3076" s="3">
        <f>DATE(1997,5,12)</f>
        <v>35562</v>
      </c>
      <c r="B3076" s="2"/>
      <c r="C3076" s="2" t="s">
        <v>7330</v>
      </c>
      <c r="D3076" s="2" t="s">
        <v>9721</v>
      </c>
      <c r="E3076" s="2" t="s">
        <v>2034</v>
      </c>
      <c r="F3076" s="4">
        <v>4841</v>
      </c>
      <c r="G3076" s="2" t="s">
        <v>45</v>
      </c>
      <c r="H3076" s="2" t="s">
        <v>34</v>
      </c>
      <c r="I3076" s="2" t="s">
        <v>6625</v>
      </c>
      <c r="J3076" s="2" t="s">
        <v>973</v>
      </c>
      <c r="K3076" s="2" t="s">
        <v>63</v>
      </c>
      <c r="L3076" s="2" t="s">
        <v>34</v>
      </c>
      <c r="M3076" s="7">
        <v>734.93399999999997</v>
      </c>
      <c r="N3076" s="7">
        <v>29.125</v>
      </c>
      <c r="O3076" s="9">
        <v>28.9375</v>
      </c>
      <c r="P3076" s="2" t="s">
        <v>9722</v>
      </c>
      <c r="Q3076" s="2"/>
      <c r="R3076" s="2"/>
      <c r="S3076" s="5">
        <v>1.7</v>
      </c>
      <c r="T3076" s="2"/>
      <c r="U3076" s="5">
        <v>0.2</v>
      </c>
      <c r="V3076" s="6">
        <v>0.35</v>
      </c>
      <c r="W3076" s="5">
        <v>5.5</v>
      </c>
      <c r="X3076" s="5">
        <v>5.5</v>
      </c>
      <c r="Y3076" s="5">
        <v>6.5</v>
      </c>
      <c r="Z3076" s="6">
        <v>6.75</v>
      </c>
      <c r="AA3076" s="6">
        <v>4.79</v>
      </c>
      <c r="AB3076" s="2" t="s">
        <v>47</v>
      </c>
      <c r="AC3076" s="6">
        <v>122.97</v>
      </c>
    </row>
    <row r="3077" spans="1:29" ht="143" x14ac:dyDescent="0.15">
      <c r="A3077" s="3">
        <f>DATE(1997,5,12)</f>
        <v>35562</v>
      </c>
      <c r="B3077" s="3">
        <f>DATE(1997,9,9)</f>
        <v>35682</v>
      </c>
      <c r="C3077" s="2" t="s">
        <v>95</v>
      </c>
      <c r="D3077" s="2" t="s">
        <v>9723</v>
      </c>
      <c r="E3077" s="2" t="s">
        <v>6423</v>
      </c>
      <c r="F3077" s="4">
        <v>5411</v>
      </c>
      <c r="G3077" s="2" t="s">
        <v>1461</v>
      </c>
      <c r="H3077" s="2" t="s">
        <v>34</v>
      </c>
      <c r="I3077" s="2" t="s">
        <v>9724</v>
      </c>
      <c r="J3077" s="2" t="s">
        <v>1063</v>
      </c>
      <c r="K3077" s="2" t="s">
        <v>756</v>
      </c>
      <c r="L3077" s="2" t="s">
        <v>34</v>
      </c>
      <c r="M3077" s="12">
        <v>1022.365</v>
      </c>
      <c r="N3077" s="7">
        <v>42.625</v>
      </c>
      <c r="O3077" s="7">
        <v>45.375</v>
      </c>
      <c r="P3077" s="2" t="s">
        <v>9725</v>
      </c>
      <c r="Q3077" s="6">
        <v>100</v>
      </c>
      <c r="R3077" s="6">
        <v>43.97</v>
      </c>
      <c r="S3077" s="5">
        <v>-122.4</v>
      </c>
      <c r="T3077" s="7">
        <v>197.54599999999999</v>
      </c>
      <c r="U3077" s="5">
        <v>-7.7</v>
      </c>
      <c r="V3077" s="6">
        <v>-6.28</v>
      </c>
      <c r="W3077" s="6">
        <v>37.75</v>
      </c>
      <c r="X3077" s="4">
        <v>40</v>
      </c>
      <c r="Y3077" s="6">
        <v>43.75</v>
      </c>
      <c r="Z3077" s="6">
        <v>47.75</v>
      </c>
      <c r="AA3077" s="6">
        <v>15.8</v>
      </c>
      <c r="AB3077" s="7">
        <v>19.782</v>
      </c>
      <c r="AC3077" s="6">
        <v>48.77</v>
      </c>
    </row>
    <row r="3078" spans="1:29" ht="104" x14ac:dyDescent="0.15">
      <c r="A3078" s="3">
        <f>DATE(1997,5,13)</f>
        <v>35563</v>
      </c>
      <c r="B3078" s="3">
        <f>DATE(1997,8,26)</f>
        <v>35668</v>
      </c>
      <c r="C3078" s="2" t="s">
        <v>95</v>
      </c>
      <c r="D3078" s="2" t="s">
        <v>9726</v>
      </c>
      <c r="E3078" s="2" t="s">
        <v>9727</v>
      </c>
      <c r="F3078" s="4">
        <v>7372</v>
      </c>
      <c r="G3078" s="2" t="s">
        <v>551</v>
      </c>
      <c r="H3078" s="2" t="s">
        <v>34</v>
      </c>
      <c r="I3078" s="2" t="s">
        <v>9728</v>
      </c>
      <c r="J3078" s="2" t="s">
        <v>781</v>
      </c>
      <c r="K3078" s="2" t="s">
        <v>551</v>
      </c>
      <c r="L3078" s="2" t="s">
        <v>2105</v>
      </c>
      <c r="M3078" s="2"/>
      <c r="N3078" s="2"/>
      <c r="O3078" s="2"/>
      <c r="P3078" s="2" t="s">
        <v>9729</v>
      </c>
      <c r="Q3078" s="6">
        <v>100</v>
      </c>
      <c r="R3078" s="6">
        <v>22.11</v>
      </c>
      <c r="S3078" s="5">
        <v>1.4</v>
      </c>
      <c r="T3078" s="7">
        <v>2.2090000000000001</v>
      </c>
      <c r="U3078" s="5">
        <v>4.0999999999999996</v>
      </c>
      <c r="V3078" s="7">
        <v>0.14299999999999999</v>
      </c>
      <c r="W3078" s="6">
        <v>15.75</v>
      </c>
      <c r="X3078" s="7">
        <v>16.625</v>
      </c>
      <c r="Y3078" s="7">
        <v>17.125</v>
      </c>
      <c r="Z3078" s="4">
        <v>19</v>
      </c>
      <c r="AA3078" s="6">
        <v>11.57</v>
      </c>
      <c r="AB3078" s="7">
        <v>226.39500000000001</v>
      </c>
      <c r="AC3078" s="6">
        <v>201.91</v>
      </c>
    </row>
    <row r="3079" spans="1:29" ht="117" x14ac:dyDescent="0.15">
      <c r="A3079" s="3">
        <f>DATE(1997,5,13)</f>
        <v>35563</v>
      </c>
      <c r="B3079" s="3">
        <f>DATE(1997,8,28)</f>
        <v>35670</v>
      </c>
      <c r="C3079" s="2" t="s">
        <v>95</v>
      </c>
      <c r="D3079" s="2" t="s">
        <v>9730</v>
      </c>
      <c r="E3079" s="2" t="s">
        <v>9731</v>
      </c>
      <c r="F3079" s="4">
        <v>2676</v>
      </c>
      <c r="G3079" s="2" t="s">
        <v>282</v>
      </c>
      <c r="H3079" s="2" t="s">
        <v>34</v>
      </c>
      <c r="I3079" s="2" t="s">
        <v>9732</v>
      </c>
      <c r="J3079" s="2" t="s">
        <v>9733</v>
      </c>
      <c r="K3079" s="2" t="s">
        <v>300</v>
      </c>
      <c r="L3079" s="2" t="s">
        <v>1791</v>
      </c>
      <c r="M3079" s="2"/>
      <c r="N3079" s="2"/>
      <c r="O3079" s="2"/>
      <c r="P3079" s="2" t="s">
        <v>9734</v>
      </c>
      <c r="Q3079" s="6">
        <v>100</v>
      </c>
      <c r="R3079" s="6">
        <v>27.2</v>
      </c>
      <c r="S3079" s="5">
        <v>5.5</v>
      </c>
      <c r="T3079" s="7">
        <v>18.512</v>
      </c>
      <c r="U3079" s="5">
        <v>3.4</v>
      </c>
      <c r="V3079" s="9">
        <v>0.4667</v>
      </c>
      <c r="W3079" s="6">
        <v>15.25</v>
      </c>
      <c r="X3079" s="4">
        <v>16</v>
      </c>
      <c r="Y3079" s="7">
        <v>26.875</v>
      </c>
      <c r="Z3079" s="6">
        <v>26.75</v>
      </c>
      <c r="AA3079" s="6">
        <v>11.76</v>
      </c>
      <c r="AB3079" s="7">
        <v>25.638999999999999</v>
      </c>
      <c r="AC3079" s="6">
        <v>69.400000000000006</v>
      </c>
    </row>
    <row r="3080" spans="1:29" ht="130" x14ac:dyDescent="0.15">
      <c r="A3080" s="3">
        <f>DATE(1997,5,14)</f>
        <v>35564</v>
      </c>
      <c r="B3080" s="3">
        <f>DATE(1997,11,18)</f>
        <v>35752</v>
      </c>
      <c r="C3080" s="2" t="s">
        <v>95</v>
      </c>
      <c r="D3080" s="2" t="s">
        <v>9735</v>
      </c>
      <c r="E3080" s="2" t="s">
        <v>4880</v>
      </c>
      <c r="F3080" s="4">
        <v>4922</v>
      </c>
      <c r="G3080" s="2" t="s">
        <v>439</v>
      </c>
      <c r="H3080" s="2" t="s">
        <v>34</v>
      </c>
      <c r="I3080" s="2" t="s">
        <v>8262</v>
      </c>
      <c r="J3080" s="2" t="s">
        <v>8263</v>
      </c>
      <c r="K3080" s="2" t="s">
        <v>148</v>
      </c>
      <c r="L3080" s="2" t="s">
        <v>34</v>
      </c>
      <c r="M3080" s="2"/>
      <c r="N3080" s="7">
        <v>40.875</v>
      </c>
      <c r="O3080" s="5">
        <v>40.5</v>
      </c>
      <c r="P3080" s="2" t="s">
        <v>9736</v>
      </c>
      <c r="Q3080" s="6">
        <v>49.45</v>
      </c>
      <c r="R3080" s="6">
        <v>33.83</v>
      </c>
      <c r="S3080" s="5">
        <v>52.5</v>
      </c>
      <c r="T3080" s="2"/>
      <c r="U3080" s="5">
        <v>12.5</v>
      </c>
      <c r="V3080" s="7">
        <v>2.1440000000000001</v>
      </c>
      <c r="W3080" s="6">
        <v>29.75</v>
      </c>
      <c r="X3080" s="6">
        <v>30.25</v>
      </c>
      <c r="Y3080" s="7">
        <v>32.375</v>
      </c>
      <c r="Z3080" s="6">
        <v>33.25</v>
      </c>
      <c r="AA3080" s="6">
        <v>25.98</v>
      </c>
      <c r="AB3080" s="7">
        <v>16.844000000000001</v>
      </c>
      <c r="AC3080" s="5">
        <v>256</v>
      </c>
    </row>
    <row r="3081" spans="1:29" ht="91" x14ac:dyDescent="0.15">
      <c r="A3081" s="3">
        <f>DATE(1997,5,14)</f>
        <v>35564</v>
      </c>
      <c r="B3081" s="2"/>
      <c r="C3081" s="2" t="s">
        <v>30</v>
      </c>
      <c r="D3081" s="2" t="s">
        <v>9737</v>
      </c>
      <c r="E3081" s="2" t="s">
        <v>9738</v>
      </c>
      <c r="F3081" s="4">
        <v>3081</v>
      </c>
      <c r="G3081" s="2" t="s">
        <v>447</v>
      </c>
      <c r="H3081" s="2" t="s">
        <v>34</v>
      </c>
      <c r="I3081" s="2" t="s">
        <v>9298</v>
      </c>
      <c r="J3081" s="2" t="s">
        <v>9299</v>
      </c>
      <c r="K3081" s="2" t="s">
        <v>53</v>
      </c>
      <c r="L3081" s="2" t="s">
        <v>34</v>
      </c>
      <c r="M3081" s="7">
        <v>125.58199999999999</v>
      </c>
      <c r="N3081" s="7">
        <v>4.375</v>
      </c>
      <c r="O3081" s="7">
        <v>4.125</v>
      </c>
      <c r="P3081" s="2" t="s">
        <v>9739</v>
      </c>
      <c r="Q3081" s="2"/>
      <c r="R3081" s="6">
        <v>8</v>
      </c>
      <c r="S3081" s="5">
        <v>-13.7</v>
      </c>
      <c r="T3081" s="7">
        <v>100.38200000000001</v>
      </c>
      <c r="U3081" s="5">
        <v>7.1</v>
      </c>
      <c r="V3081" s="7">
        <v>-0.95499999999999996</v>
      </c>
      <c r="W3081" s="5">
        <v>6.5</v>
      </c>
      <c r="X3081" s="9">
        <v>6.0625</v>
      </c>
      <c r="Y3081" s="9">
        <v>6.6875</v>
      </c>
      <c r="Z3081" s="7">
        <v>6.625</v>
      </c>
      <c r="AA3081" s="6">
        <v>14.56</v>
      </c>
      <c r="AB3081" s="7">
        <v>15.371</v>
      </c>
      <c r="AC3081" s="6">
        <v>99.94</v>
      </c>
    </row>
    <row r="3082" spans="1:29" ht="65" x14ac:dyDescent="0.15">
      <c r="A3082" s="3">
        <f>DATE(1997,5,14)</f>
        <v>35564</v>
      </c>
      <c r="B3082" s="2"/>
      <c r="C3082" s="2" t="s">
        <v>30</v>
      </c>
      <c r="D3082" s="2" t="s">
        <v>9740</v>
      </c>
      <c r="E3082" s="2" t="s">
        <v>9741</v>
      </c>
      <c r="F3082" s="4">
        <v>3497</v>
      </c>
      <c r="G3082" s="2" t="s">
        <v>163</v>
      </c>
      <c r="H3082" s="2" t="s">
        <v>34</v>
      </c>
      <c r="I3082" s="2" t="s">
        <v>9742</v>
      </c>
      <c r="J3082" s="2" t="s">
        <v>9743</v>
      </c>
      <c r="K3082" s="2" t="s">
        <v>163</v>
      </c>
      <c r="L3082" s="2" t="s">
        <v>34</v>
      </c>
      <c r="M3082" s="7">
        <v>17.617999999999999</v>
      </c>
      <c r="N3082" s="9">
        <v>3.8125</v>
      </c>
      <c r="O3082" s="7">
        <v>4.125</v>
      </c>
      <c r="P3082" s="2" t="s">
        <v>9744</v>
      </c>
      <c r="Q3082" s="2"/>
      <c r="R3082" s="2"/>
      <c r="S3082" s="5">
        <v>-1</v>
      </c>
      <c r="T3082" s="7">
        <v>1.786</v>
      </c>
      <c r="U3082" s="5">
        <v>4.4000000000000004</v>
      </c>
      <c r="V3082" s="6">
        <v>-0.25</v>
      </c>
      <c r="W3082" s="6">
        <v>3.75</v>
      </c>
      <c r="X3082" s="7">
        <v>4.125</v>
      </c>
      <c r="Y3082" s="7">
        <v>4.016</v>
      </c>
      <c r="Z3082" s="7">
        <v>4.125</v>
      </c>
      <c r="AA3082" s="6">
        <v>0.05</v>
      </c>
      <c r="AB3082" s="2" t="s">
        <v>47</v>
      </c>
      <c r="AC3082" s="2"/>
    </row>
    <row r="3083" spans="1:29" ht="130" x14ac:dyDescent="0.15">
      <c r="A3083" s="3">
        <f>DATE(1997,5,14)</f>
        <v>35564</v>
      </c>
      <c r="B3083" s="2"/>
      <c r="C3083" s="2" t="s">
        <v>7330</v>
      </c>
      <c r="D3083" s="2" t="s">
        <v>9540</v>
      </c>
      <c r="E3083" s="2" t="s">
        <v>124</v>
      </c>
      <c r="F3083" s="4">
        <v>6311</v>
      </c>
      <c r="G3083" s="2" t="s">
        <v>125</v>
      </c>
      <c r="H3083" s="2" t="s">
        <v>34</v>
      </c>
      <c r="I3083" s="2" t="s">
        <v>9745</v>
      </c>
      <c r="J3083" s="2" t="s">
        <v>9746</v>
      </c>
      <c r="K3083" s="2" t="s">
        <v>125</v>
      </c>
      <c r="L3083" s="2" t="s">
        <v>34</v>
      </c>
      <c r="M3083" s="2"/>
      <c r="N3083" s="2"/>
      <c r="O3083" s="2"/>
      <c r="P3083" s="2" t="s">
        <v>9747</v>
      </c>
      <c r="Q3083" s="2"/>
      <c r="R3083" s="6">
        <v>8.75</v>
      </c>
      <c r="S3083" s="5">
        <v>-0.1</v>
      </c>
      <c r="T3083" s="2"/>
      <c r="U3083" s="5">
        <v>3.7</v>
      </c>
      <c r="V3083" s="7">
        <v>-7.4999999999999997E-2</v>
      </c>
      <c r="W3083" s="5">
        <v>4.5</v>
      </c>
      <c r="X3083" s="5">
        <v>4.5</v>
      </c>
      <c r="Y3083" s="5">
        <v>4.5</v>
      </c>
      <c r="Z3083" s="5">
        <v>4.5</v>
      </c>
      <c r="AA3083" s="6">
        <v>1.25</v>
      </c>
      <c r="AB3083" s="2" t="s">
        <v>86</v>
      </c>
      <c r="AC3083" s="2"/>
    </row>
    <row r="3084" spans="1:29" ht="156" x14ac:dyDescent="0.15">
      <c r="A3084" s="3">
        <f>DATE(1997,5,15)</f>
        <v>35565</v>
      </c>
      <c r="B3084" s="3">
        <f>DATE(1997,10,29)</f>
        <v>35732</v>
      </c>
      <c r="C3084" s="2" t="s">
        <v>95</v>
      </c>
      <c r="D3084" s="2" t="s">
        <v>9748</v>
      </c>
      <c r="E3084" s="2" t="s">
        <v>36</v>
      </c>
      <c r="F3084" s="4">
        <v>6035</v>
      </c>
      <c r="G3084" s="2" t="s">
        <v>33</v>
      </c>
      <c r="H3084" s="2" t="s">
        <v>34</v>
      </c>
      <c r="I3084" s="2" t="s">
        <v>2248</v>
      </c>
      <c r="J3084" s="2" t="s">
        <v>36</v>
      </c>
      <c r="K3084" s="2" t="s">
        <v>37</v>
      </c>
      <c r="L3084" s="2" t="s">
        <v>34</v>
      </c>
      <c r="M3084" s="7">
        <v>813.33500000000004</v>
      </c>
      <c r="N3084" s="6">
        <v>36.75</v>
      </c>
      <c r="O3084" s="5">
        <v>37.5</v>
      </c>
      <c r="P3084" s="2" t="s">
        <v>9749</v>
      </c>
      <c r="Q3084" s="6">
        <v>100</v>
      </c>
      <c r="R3084" s="6">
        <v>28.88</v>
      </c>
      <c r="S3084" s="5">
        <v>64</v>
      </c>
      <c r="T3084" s="7">
        <v>111.292</v>
      </c>
      <c r="U3084" s="5">
        <v>10.4</v>
      </c>
      <c r="V3084" s="7">
        <v>1.696</v>
      </c>
      <c r="W3084" s="6">
        <v>27.25</v>
      </c>
      <c r="X3084" s="5">
        <v>27.5</v>
      </c>
      <c r="Y3084" s="7">
        <v>26.625</v>
      </c>
      <c r="Z3084" s="6">
        <v>27.25</v>
      </c>
      <c r="AA3084" s="6">
        <v>36.19</v>
      </c>
      <c r="AB3084" s="7">
        <v>15.836</v>
      </c>
      <c r="AC3084" s="2"/>
    </row>
    <row r="3085" spans="1:29" ht="143" x14ac:dyDescent="0.15">
      <c r="A3085" s="3">
        <f>DATE(1997,5,16)</f>
        <v>35566</v>
      </c>
      <c r="B3085" s="2"/>
      <c r="C3085" s="2" t="s">
        <v>189</v>
      </c>
      <c r="D3085" s="2" t="s">
        <v>8775</v>
      </c>
      <c r="E3085" s="2" t="s">
        <v>8776</v>
      </c>
      <c r="F3085" s="4">
        <v>6211</v>
      </c>
      <c r="G3085" s="2" t="s">
        <v>53</v>
      </c>
      <c r="H3085" s="2" t="s">
        <v>34</v>
      </c>
      <c r="I3085" s="2" t="s">
        <v>143</v>
      </c>
      <c r="J3085" s="2" t="s">
        <v>144</v>
      </c>
      <c r="K3085" s="2" t="s">
        <v>53</v>
      </c>
      <c r="L3085" s="2" t="s">
        <v>139</v>
      </c>
      <c r="M3085" s="2"/>
      <c r="N3085" s="2"/>
      <c r="O3085" s="2"/>
      <c r="P3085" s="2" t="s">
        <v>9750</v>
      </c>
      <c r="Q3085" s="2"/>
      <c r="R3085" s="2"/>
      <c r="S3085" s="5">
        <v>-2.7</v>
      </c>
      <c r="T3085" s="2"/>
      <c r="U3085" s="8">
        <v>16561.2</v>
      </c>
      <c r="V3085" s="6">
        <v>-6000</v>
      </c>
      <c r="W3085" s="7">
        <v>3.625</v>
      </c>
      <c r="X3085" s="7">
        <v>3.625</v>
      </c>
      <c r="Y3085" s="7">
        <v>3.6880000000000002</v>
      </c>
      <c r="Z3085" s="7">
        <v>3.6880000000000002</v>
      </c>
      <c r="AA3085" s="6">
        <v>2.61</v>
      </c>
      <c r="AB3085" s="2" t="s">
        <v>86</v>
      </c>
      <c r="AC3085" s="2"/>
    </row>
    <row r="3086" spans="1:29" ht="130" x14ac:dyDescent="0.15">
      <c r="A3086" s="3">
        <f>DATE(1997,5,16)</f>
        <v>35566</v>
      </c>
      <c r="B3086" s="2"/>
      <c r="C3086" s="2" t="s">
        <v>30</v>
      </c>
      <c r="D3086" s="2" t="s">
        <v>9560</v>
      </c>
      <c r="E3086" s="2" t="s">
        <v>9561</v>
      </c>
      <c r="F3086" s="4">
        <v>7011</v>
      </c>
      <c r="G3086" s="2" t="s">
        <v>269</v>
      </c>
      <c r="H3086" s="2" t="s">
        <v>34</v>
      </c>
      <c r="I3086" s="2" t="s">
        <v>9562</v>
      </c>
      <c r="J3086" s="2" t="s">
        <v>7716</v>
      </c>
      <c r="K3086" s="2" t="s">
        <v>269</v>
      </c>
      <c r="L3086" s="2" t="s">
        <v>34</v>
      </c>
      <c r="M3086" s="2"/>
      <c r="N3086" s="2"/>
      <c r="O3086" s="2"/>
      <c r="P3086" s="2" t="s">
        <v>9751</v>
      </c>
      <c r="Q3086" s="2"/>
      <c r="R3086" s="6">
        <v>15</v>
      </c>
      <c r="S3086" s="5">
        <v>8.4</v>
      </c>
      <c r="T3086" s="7">
        <v>31.492999999999999</v>
      </c>
      <c r="U3086" s="5">
        <v>2.4</v>
      </c>
      <c r="V3086" s="9">
        <v>0.54330000000000001</v>
      </c>
      <c r="W3086" s="7">
        <v>12.875</v>
      </c>
      <c r="X3086" s="6">
        <v>12.75</v>
      </c>
      <c r="Y3086" s="6">
        <v>12.75</v>
      </c>
      <c r="Z3086" s="7">
        <v>13.125</v>
      </c>
      <c r="AA3086" s="6">
        <v>4.92</v>
      </c>
      <c r="AB3086" s="7">
        <v>13.095000000000001</v>
      </c>
      <c r="AC3086" s="2"/>
    </row>
    <row r="3087" spans="1:29" ht="130" x14ac:dyDescent="0.15">
      <c r="A3087" s="3">
        <f>DATE(1997,5,20)</f>
        <v>35570</v>
      </c>
      <c r="B3087" s="3">
        <f>DATE(1997,9,2)</f>
        <v>35675</v>
      </c>
      <c r="C3087" s="2" t="s">
        <v>95</v>
      </c>
      <c r="D3087" s="2" t="s">
        <v>9752</v>
      </c>
      <c r="E3087" s="2" t="s">
        <v>9753</v>
      </c>
      <c r="F3087" s="4">
        <v>3492</v>
      </c>
      <c r="G3087" s="2" t="s">
        <v>163</v>
      </c>
      <c r="H3087" s="2" t="s">
        <v>34</v>
      </c>
      <c r="I3087" s="2" t="s">
        <v>9732</v>
      </c>
      <c r="J3087" s="2" t="s">
        <v>9733</v>
      </c>
      <c r="K3087" s="2" t="s">
        <v>300</v>
      </c>
      <c r="L3087" s="2" t="s">
        <v>1791</v>
      </c>
      <c r="M3087" s="2"/>
      <c r="N3087" s="6">
        <v>62.75</v>
      </c>
      <c r="O3087" s="7">
        <v>61.625</v>
      </c>
      <c r="P3087" s="2" t="s">
        <v>9754</v>
      </c>
      <c r="Q3087" s="6">
        <v>100</v>
      </c>
      <c r="R3087" s="6">
        <v>38.22</v>
      </c>
      <c r="S3087" s="5">
        <v>41.9</v>
      </c>
      <c r="T3087" s="5">
        <v>110</v>
      </c>
      <c r="U3087" s="5">
        <v>8.4</v>
      </c>
      <c r="V3087" s="6">
        <v>1.18</v>
      </c>
      <c r="W3087" s="7">
        <v>20.625</v>
      </c>
      <c r="X3087" s="6">
        <v>20.75</v>
      </c>
      <c r="Y3087" s="5">
        <v>20.5</v>
      </c>
      <c r="Z3087" s="7">
        <v>31.125</v>
      </c>
      <c r="AA3087" s="6">
        <v>35.619999999999997</v>
      </c>
      <c r="AB3087" s="7">
        <v>17.946999999999999</v>
      </c>
      <c r="AC3087" s="6">
        <v>69.400000000000006</v>
      </c>
    </row>
    <row r="3088" spans="1:29" ht="117" x14ac:dyDescent="0.15">
      <c r="A3088" s="3">
        <f>DATE(1997,5,20)</f>
        <v>35570</v>
      </c>
      <c r="B3088" s="3">
        <f>DATE(1997,12,31)</f>
        <v>35795</v>
      </c>
      <c r="C3088" s="2" t="s">
        <v>95</v>
      </c>
      <c r="D3088" s="2" t="s">
        <v>3971</v>
      </c>
      <c r="E3088" s="2" t="s">
        <v>2683</v>
      </c>
      <c r="F3088" s="4">
        <v>8071</v>
      </c>
      <c r="G3088" s="2" t="s">
        <v>454</v>
      </c>
      <c r="H3088" s="2" t="s">
        <v>34</v>
      </c>
      <c r="I3088" s="2" t="s">
        <v>9755</v>
      </c>
      <c r="J3088" s="2" t="s">
        <v>9756</v>
      </c>
      <c r="K3088" s="2" t="s">
        <v>226</v>
      </c>
      <c r="L3088" s="2" t="s">
        <v>3961</v>
      </c>
      <c r="M3088" s="2"/>
      <c r="N3088" s="2"/>
      <c r="O3088" s="2"/>
      <c r="P3088" s="2" t="s">
        <v>9757</v>
      </c>
      <c r="Q3088" s="6">
        <v>36.700000000000003</v>
      </c>
      <c r="R3088" s="6">
        <v>2.7</v>
      </c>
      <c r="S3088" s="5">
        <v>-0.3</v>
      </c>
      <c r="T3088" s="7">
        <v>1.373</v>
      </c>
      <c r="U3088" s="5">
        <v>0.7</v>
      </c>
      <c r="V3088" s="7">
        <v>-9.2999999999999999E-2</v>
      </c>
      <c r="W3088" s="6">
        <v>2.75</v>
      </c>
      <c r="X3088" s="6">
        <v>3.25</v>
      </c>
      <c r="Y3088" s="7">
        <v>4.625</v>
      </c>
      <c r="Z3088" s="7">
        <v>4.875</v>
      </c>
      <c r="AA3088" s="6">
        <v>4.3099999999999996</v>
      </c>
      <c r="AB3088" s="7">
        <v>38.811</v>
      </c>
      <c r="AC3088" s="2"/>
    </row>
    <row r="3089" spans="1:29" ht="91" x14ac:dyDescent="0.15">
      <c r="A3089" s="3">
        <f>DATE(1997,5,20)</f>
        <v>35570</v>
      </c>
      <c r="B3089" s="3">
        <f>DATE(1997,7,31)</f>
        <v>35642</v>
      </c>
      <c r="C3089" s="2" t="s">
        <v>95</v>
      </c>
      <c r="D3089" s="2" t="s">
        <v>9758</v>
      </c>
      <c r="E3089" s="2" t="s">
        <v>9759</v>
      </c>
      <c r="F3089" s="4">
        <v>7379</v>
      </c>
      <c r="G3089" s="2" t="s">
        <v>223</v>
      </c>
      <c r="H3089" s="2" t="s">
        <v>34</v>
      </c>
      <c r="I3089" s="2" t="s">
        <v>9760</v>
      </c>
      <c r="J3089" s="2" t="s">
        <v>9761</v>
      </c>
      <c r="K3089" s="2" t="s">
        <v>223</v>
      </c>
      <c r="L3089" s="2" t="s">
        <v>34</v>
      </c>
      <c r="M3089" s="7">
        <v>603.78700000000003</v>
      </c>
      <c r="N3089" s="4">
        <v>49</v>
      </c>
      <c r="O3089" s="5">
        <v>48.5</v>
      </c>
      <c r="P3089" s="2" t="s">
        <v>9762</v>
      </c>
      <c r="Q3089" s="6">
        <v>100</v>
      </c>
      <c r="R3089" s="6">
        <v>45.2</v>
      </c>
      <c r="S3089" s="5">
        <v>3.5</v>
      </c>
      <c r="T3089" s="7">
        <v>7.3440000000000003</v>
      </c>
      <c r="U3089" s="5">
        <v>8.1</v>
      </c>
      <c r="V3089" s="7">
        <v>0.59799999999999998</v>
      </c>
      <c r="W3089" s="6">
        <v>28.75</v>
      </c>
      <c r="X3089" s="6">
        <v>34.75</v>
      </c>
      <c r="Y3089" s="7">
        <v>36.125</v>
      </c>
      <c r="Z3089" s="6">
        <v>35.75</v>
      </c>
      <c r="AA3089" s="6">
        <v>9.4700000000000006</v>
      </c>
      <c r="AB3089" s="7">
        <v>71.531999999999996</v>
      </c>
      <c r="AC3089" s="6">
        <v>12.04</v>
      </c>
    </row>
    <row r="3090" spans="1:29" ht="65" x14ac:dyDescent="0.15">
      <c r="A3090" s="3">
        <f>DATE(1997,5,21)</f>
        <v>35571</v>
      </c>
      <c r="B3090" s="3">
        <f>DATE(1997,5,21)</f>
        <v>35571</v>
      </c>
      <c r="C3090" s="2" t="s">
        <v>95</v>
      </c>
      <c r="D3090" s="2" t="s">
        <v>9763</v>
      </c>
      <c r="E3090" s="2" t="s">
        <v>9764</v>
      </c>
      <c r="F3090" s="4">
        <v>2834</v>
      </c>
      <c r="G3090" s="2" t="s">
        <v>130</v>
      </c>
      <c r="H3090" s="2" t="s">
        <v>34</v>
      </c>
      <c r="I3090" s="2" t="s">
        <v>149</v>
      </c>
      <c r="J3090" s="2" t="s">
        <v>150</v>
      </c>
      <c r="K3090" s="2" t="s">
        <v>53</v>
      </c>
      <c r="L3090" s="2" t="s">
        <v>151</v>
      </c>
      <c r="M3090" s="2"/>
      <c r="N3090" s="2"/>
      <c r="O3090" s="2"/>
      <c r="P3090" s="2" t="s">
        <v>9765</v>
      </c>
      <c r="Q3090" s="6">
        <v>31.48</v>
      </c>
      <c r="R3090" s="2"/>
      <c r="S3090" s="5">
        <v>-6.1</v>
      </c>
      <c r="T3090" s="7">
        <v>7.181</v>
      </c>
      <c r="U3090" s="5">
        <v>1.6</v>
      </c>
      <c r="V3090" s="6">
        <v>-1.55</v>
      </c>
      <c r="W3090" s="7">
        <v>3.625</v>
      </c>
      <c r="X3090" s="7">
        <v>4.125</v>
      </c>
      <c r="Y3090" s="9">
        <v>4.4375</v>
      </c>
      <c r="Z3090" s="7">
        <v>3.375</v>
      </c>
      <c r="AA3090" s="6">
        <v>4.1100000000000003</v>
      </c>
      <c r="AB3090" s="2" t="s">
        <v>47</v>
      </c>
      <c r="AC3090" s="2"/>
    </row>
    <row r="3091" spans="1:29" ht="78" x14ac:dyDescent="0.15">
      <c r="A3091" s="3">
        <f>DATE(1997,5,21)</f>
        <v>35571</v>
      </c>
      <c r="B3091" s="3">
        <f>DATE(1997,8,14)</f>
        <v>35656</v>
      </c>
      <c r="C3091" s="2" t="s">
        <v>95</v>
      </c>
      <c r="D3091" s="2" t="s">
        <v>9766</v>
      </c>
      <c r="E3091" s="2" t="s">
        <v>8488</v>
      </c>
      <c r="F3091" s="4">
        <v>3465</v>
      </c>
      <c r="G3091" s="2" t="s">
        <v>163</v>
      </c>
      <c r="H3091" s="2" t="s">
        <v>34</v>
      </c>
      <c r="I3091" s="2" t="s">
        <v>9767</v>
      </c>
      <c r="J3091" s="2" t="s">
        <v>3336</v>
      </c>
      <c r="K3091" s="2" t="s">
        <v>105</v>
      </c>
      <c r="L3091" s="2" t="s">
        <v>34</v>
      </c>
      <c r="M3091" s="2"/>
      <c r="N3091" s="2"/>
      <c r="O3091" s="2"/>
      <c r="P3091" s="2" t="s">
        <v>9768</v>
      </c>
      <c r="Q3091" s="6">
        <v>100</v>
      </c>
      <c r="R3091" s="6">
        <v>37</v>
      </c>
      <c r="S3091" s="5">
        <v>0.7</v>
      </c>
      <c r="T3091" s="7">
        <v>2.6920000000000002</v>
      </c>
      <c r="U3091" s="5">
        <v>31.3</v>
      </c>
      <c r="V3091" s="7">
        <v>1.137</v>
      </c>
      <c r="W3091" s="7">
        <v>28.375</v>
      </c>
      <c r="X3091" s="6">
        <v>28.75</v>
      </c>
      <c r="Y3091" s="6">
        <v>33.25</v>
      </c>
      <c r="Z3091" s="7">
        <v>33.375</v>
      </c>
      <c r="AA3091" s="6">
        <v>0.62</v>
      </c>
      <c r="AB3091" s="7">
        <v>15.353999999999999</v>
      </c>
      <c r="AC3091" s="2"/>
    </row>
    <row r="3092" spans="1:29" ht="117" x14ac:dyDescent="0.15">
      <c r="A3092" s="3">
        <f>DATE(1997,5,21)</f>
        <v>35571</v>
      </c>
      <c r="B3092" s="3">
        <f>DATE(1998,5,4)</f>
        <v>35919</v>
      </c>
      <c r="C3092" s="2" t="s">
        <v>95</v>
      </c>
      <c r="D3092" s="2" t="s">
        <v>9769</v>
      </c>
      <c r="E3092" s="2" t="s">
        <v>438</v>
      </c>
      <c r="F3092" s="4">
        <v>4911</v>
      </c>
      <c r="G3092" s="2" t="s">
        <v>439</v>
      </c>
      <c r="H3092" s="2" t="s">
        <v>34</v>
      </c>
      <c r="I3092" s="2" t="s">
        <v>5806</v>
      </c>
      <c r="J3092" s="2" t="s">
        <v>441</v>
      </c>
      <c r="K3092" s="2" t="s">
        <v>439</v>
      </c>
      <c r="L3092" s="2" t="s">
        <v>34</v>
      </c>
      <c r="M3092" s="12">
        <v>1612.258</v>
      </c>
      <c r="N3092" s="7">
        <v>22.625</v>
      </c>
      <c r="O3092" s="7">
        <v>22.625</v>
      </c>
      <c r="P3092" s="2" t="s">
        <v>9770</v>
      </c>
      <c r="Q3092" s="6">
        <v>100</v>
      </c>
      <c r="R3092" s="6">
        <v>40.71</v>
      </c>
      <c r="S3092" s="5">
        <v>81.900000000000006</v>
      </c>
      <c r="T3092" s="7">
        <v>246.428</v>
      </c>
      <c r="U3092" s="5">
        <v>17.100000000000001</v>
      </c>
      <c r="V3092" s="6">
        <v>2.17</v>
      </c>
      <c r="W3092" s="6">
        <v>30.87</v>
      </c>
      <c r="X3092" s="6">
        <v>30.37</v>
      </c>
      <c r="Y3092" s="4">
        <v>34</v>
      </c>
      <c r="Z3092" s="6">
        <v>34.25</v>
      </c>
      <c r="AA3092" s="6">
        <v>37.82</v>
      </c>
      <c r="AB3092" s="7">
        <v>12.965</v>
      </c>
      <c r="AC3092" s="6">
        <v>120.48</v>
      </c>
    </row>
    <row r="3093" spans="1:29" ht="156" x14ac:dyDescent="0.15">
      <c r="A3093" s="3">
        <f>DATE(1997,5,21)</f>
        <v>35571</v>
      </c>
      <c r="B3093" s="3">
        <f>DATE(1997,10,3)</f>
        <v>35706</v>
      </c>
      <c r="C3093" s="2" t="s">
        <v>95</v>
      </c>
      <c r="D3093" s="2" t="s">
        <v>9771</v>
      </c>
      <c r="E3093" s="2" t="s">
        <v>263</v>
      </c>
      <c r="F3093" s="4">
        <v>6022</v>
      </c>
      <c r="G3093" s="2" t="s">
        <v>37</v>
      </c>
      <c r="H3093" s="2" t="s">
        <v>34</v>
      </c>
      <c r="I3093" s="2" t="s">
        <v>2707</v>
      </c>
      <c r="J3093" s="2" t="s">
        <v>263</v>
      </c>
      <c r="K3093" s="2" t="s">
        <v>33</v>
      </c>
      <c r="L3093" s="2" t="s">
        <v>34</v>
      </c>
      <c r="M3093" s="12">
        <v>1980.713</v>
      </c>
      <c r="N3093" s="6">
        <v>46.75</v>
      </c>
      <c r="O3093" s="7">
        <v>46.313000000000002</v>
      </c>
      <c r="P3093" s="2" t="s">
        <v>9772</v>
      </c>
      <c r="Q3093" s="6">
        <v>100</v>
      </c>
      <c r="R3093" s="6">
        <v>42.32</v>
      </c>
      <c r="S3093" s="5">
        <v>39.700000000000003</v>
      </c>
      <c r="T3093" s="5">
        <v>63.6</v>
      </c>
      <c r="U3093" s="5">
        <v>21.1</v>
      </c>
      <c r="V3093" s="6">
        <v>2.36</v>
      </c>
      <c r="W3093" s="5">
        <v>33.5</v>
      </c>
      <c r="X3093" s="6">
        <v>34.75</v>
      </c>
      <c r="Y3093" s="4">
        <v>34</v>
      </c>
      <c r="Z3093" s="6">
        <v>40.25</v>
      </c>
      <c r="AA3093" s="6">
        <v>14.48</v>
      </c>
      <c r="AB3093" s="7">
        <v>30.928999999999998</v>
      </c>
      <c r="AC3093" s="2"/>
    </row>
    <row r="3094" spans="1:29" ht="78" x14ac:dyDescent="0.15">
      <c r="A3094" s="3">
        <f>DATE(1997,5,21)</f>
        <v>35571</v>
      </c>
      <c r="B3094" s="2"/>
      <c r="C3094" s="2" t="s">
        <v>30</v>
      </c>
      <c r="D3094" s="2" t="s">
        <v>4771</v>
      </c>
      <c r="E3094" s="2" t="s">
        <v>1781</v>
      </c>
      <c r="F3094" s="4">
        <v>3661</v>
      </c>
      <c r="G3094" s="2" t="s">
        <v>921</v>
      </c>
      <c r="H3094" s="2" t="s">
        <v>34</v>
      </c>
      <c r="I3094" s="2" t="s">
        <v>9773</v>
      </c>
      <c r="J3094" s="2" t="s">
        <v>9774</v>
      </c>
      <c r="K3094" s="2" t="s">
        <v>173</v>
      </c>
      <c r="L3094" s="2" t="s">
        <v>34</v>
      </c>
      <c r="M3094" s="2"/>
      <c r="N3094" s="2"/>
      <c r="O3094" s="2"/>
      <c r="P3094" s="2" t="s">
        <v>9775</v>
      </c>
      <c r="Q3094" s="2"/>
      <c r="R3094" s="2"/>
      <c r="S3094" s="5">
        <v>-16.3</v>
      </c>
      <c r="T3094" s="7">
        <v>-10.999000000000001</v>
      </c>
      <c r="U3094" s="5">
        <v>5.4</v>
      </c>
      <c r="V3094" s="6">
        <v>-6.4</v>
      </c>
      <c r="W3094" s="7">
        <v>1.375</v>
      </c>
      <c r="X3094" s="7">
        <v>1.9379999999999999</v>
      </c>
      <c r="Y3094" s="7">
        <v>1.3129999999999999</v>
      </c>
      <c r="Z3094" s="7">
        <v>1.2809999999999999</v>
      </c>
      <c r="AA3094" s="6">
        <v>8.1999999999999993</v>
      </c>
      <c r="AB3094" s="2" t="s">
        <v>86</v>
      </c>
      <c r="AC3094" s="2"/>
    </row>
    <row r="3095" spans="1:29" ht="117" x14ac:dyDescent="0.15">
      <c r="A3095" s="3">
        <f>DATE(1997,5,22)</f>
        <v>35572</v>
      </c>
      <c r="B3095" s="3">
        <f>DATE(1997,7,31)</f>
        <v>35642</v>
      </c>
      <c r="C3095" s="2" t="s">
        <v>95</v>
      </c>
      <c r="D3095" s="2" t="s">
        <v>9776</v>
      </c>
      <c r="E3095" s="2" t="s">
        <v>9604</v>
      </c>
      <c r="F3095" s="4">
        <v>3841</v>
      </c>
      <c r="G3095" s="2" t="s">
        <v>226</v>
      </c>
      <c r="H3095" s="2" t="s">
        <v>34</v>
      </c>
      <c r="I3095" s="2" t="s">
        <v>5669</v>
      </c>
      <c r="J3095" s="2" t="s">
        <v>5670</v>
      </c>
      <c r="K3095" s="2" t="s">
        <v>130</v>
      </c>
      <c r="L3095" s="2" t="s">
        <v>34</v>
      </c>
      <c r="M3095" s="12">
        <v>77416.384000000005</v>
      </c>
      <c r="N3095" s="5">
        <v>59.5</v>
      </c>
      <c r="O3095" s="7">
        <v>59.875</v>
      </c>
      <c r="P3095" s="2" t="s">
        <v>9777</v>
      </c>
      <c r="Q3095" s="6">
        <v>100</v>
      </c>
      <c r="R3095" s="6">
        <v>27.55</v>
      </c>
      <c r="S3095" s="5">
        <v>-1.9</v>
      </c>
      <c r="T3095" s="7">
        <v>-3.0680000000000001</v>
      </c>
      <c r="U3095" s="5">
        <v>4</v>
      </c>
      <c r="V3095" s="7">
        <v>-0.23300000000000001</v>
      </c>
      <c r="W3095" s="6">
        <v>25.75</v>
      </c>
      <c r="X3095" s="6">
        <v>25.75</v>
      </c>
      <c r="Y3095" s="7">
        <v>26.687999999999999</v>
      </c>
      <c r="Z3095" s="6">
        <v>26.75</v>
      </c>
      <c r="AA3095" s="6">
        <v>9.89</v>
      </c>
      <c r="AB3095" s="2" t="s">
        <v>86</v>
      </c>
      <c r="AC3095" s="8">
        <v>2136</v>
      </c>
    </row>
    <row r="3096" spans="1:29" ht="65" x14ac:dyDescent="0.15">
      <c r="A3096" s="3">
        <f>DATE(1997,5,22)</f>
        <v>35572</v>
      </c>
      <c r="B3096" s="3">
        <f>DATE(1998,7,9)</f>
        <v>35985</v>
      </c>
      <c r="C3096" s="2" t="s">
        <v>95</v>
      </c>
      <c r="D3096" s="2" t="s">
        <v>9778</v>
      </c>
      <c r="E3096" s="2" t="s">
        <v>9779</v>
      </c>
      <c r="F3096" s="4">
        <v>3312</v>
      </c>
      <c r="G3096" s="2" t="s">
        <v>163</v>
      </c>
      <c r="H3096" s="2" t="s">
        <v>34</v>
      </c>
      <c r="I3096" s="2" t="s">
        <v>9780</v>
      </c>
      <c r="J3096" s="2" t="s">
        <v>9781</v>
      </c>
      <c r="K3096" s="2" t="s">
        <v>237</v>
      </c>
      <c r="L3096" s="2" t="s">
        <v>34</v>
      </c>
      <c r="M3096" s="6">
        <v>511.75</v>
      </c>
      <c r="N3096" s="7">
        <v>23.625</v>
      </c>
      <c r="O3096" s="7">
        <v>23.875</v>
      </c>
      <c r="P3096" s="2" t="s">
        <v>9782</v>
      </c>
      <c r="Q3096" s="6">
        <v>18.71</v>
      </c>
      <c r="R3096" s="6">
        <v>15.5</v>
      </c>
      <c r="S3096" s="5">
        <v>42</v>
      </c>
      <c r="T3096" s="7">
        <v>103.95099999999999</v>
      </c>
      <c r="U3096" s="5">
        <v>9.9</v>
      </c>
      <c r="V3096" s="6">
        <v>1.43</v>
      </c>
      <c r="W3096" s="7">
        <v>12.375</v>
      </c>
      <c r="X3096" s="7">
        <v>12.875</v>
      </c>
      <c r="Y3096" s="7">
        <v>14.875</v>
      </c>
      <c r="Z3096" s="6">
        <v>15.25</v>
      </c>
      <c r="AA3096" s="6">
        <v>28.39</v>
      </c>
      <c r="AB3096" s="7">
        <v>7.36</v>
      </c>
      <c r="AC3096" s="6">
        <v>19.829999999999998</v>
      </c>
    </row>
    <row r="3097" spans="1:29" ht="104" x14ac:dyDescent="0.15">
      <c r="A3097" s="3">
        <f>DATE(1997,5,22)</f>
        <v>35572</v>
      </c>
      <c r="B3097" s="3">
        <f>DATE(1997,11,20)</f>
        <v>35754</v>
      </c>
      <c r="C3097" s="2" t="s">
        <v>95</v>
      </c>
      <c r="D3097" s="2" t="s">
        <v>9783</v>
      </c>
      <c r="E3097" s="2" t="s">
        <v>9784</v>
      </c>
      <c r="F3097" s="4">
        <v>6794</v>
      </c>
      <c r="G3097" s="2" t="s">
        <v>53</v>
      </c>
      <c r="H3097" s="2" t="s">
        <v>34</v>
      </c>
      <c r="I3097" s="2" t="s">
        <v>9785</v>
      </c>
      <c r="J3097" s="2" t="s">
        <v>9786</v>
      </c>
      <c r="K3097" s="2" t="s">
        <v>593</v>
      </c>
      <c r="L3097" s="2" t="s">
        <v>34</v>
      </c>
      <c r="M3097" s="12">
        <v>1392.4760000000001</v>
      </c>
      <c r="N3097" s="7">
        <v>23.625</v>
      </c>
      <c r="O3097" s="7">
        <v>24.375</v>
      </c>
      <c r="P3097" s="2" t="s">
        <v>9787</v>
      </c>
      <c r="Q3097" s="6">
        <v>100</v>
      </c>
      <c r="R3097" s="6">
        <v>27.32</v>
      </c>
      <c r="S3097" s="5">
        <v>8</v>
      </c>
      <c r="T3097" s="7">
        <v>17.908000000000001</v>
      </c>
      <c r="U3097" s="5">
        <v>6.3</v>
      </c>
      <c r="V3097" s="6">
        <v>0.68</v>
      </c>
      <c r="W3097" s="7">
        <v>19.375</v>
      </c>
      <c r="X3097" s="7">
        <v>19.625</v>
      </c>
      <c r="Y3097" s="7">
        <v>22.625</v>
      </c>
      <c r="Z3097" s="6">
        <v>22.75</v>
      </c>
      <c r="AA3097" s="6">
        <v>11.26</v>
      </c>
      <c r="AB3097" s="7">
        <v>17.616</v>
      </c>
      <c r="AC3097" s="6">
        <v>44.03</v>
      </c>
    </row>
    <row r="3098" spans="1:29" ht="104" x14ac:dyDescent="0.15">
      <c r="A3098" s="3">
        <f>DATE(1997,5,23)</f>
        <v>35573</v>
      </c>
      <c r="B3098" s="3">
        <f>DATE(1997,10,6)</f>
        <v>35709</v>
      </c>
      <c r="C3098" s="2" t="s">
        <v>95</v>
      </c>
      <c r="D3098" s="2" t="s">
        <v>9788</v>
      </c>
      <c r="E3098" s="2" t="s">
        <v>9789</v>
      </c>
      <c r="F3098" s="4">
        <v>4812</v>
      </c>
      <c r="G3098" s="2" t="s">
        <v>63</v>
      </c>
      <c r="H3098" s="2" t="s">
        <v>34</v>
      </c>
      <c r="I3098" s="2" t="s">
        <v>2261</v>
      </c>
      <c r="J3098" s="2" t="s">
        <v>2262</v>
      </c>
      <c r="K3098" s="2" t="s">
        <v>45</v>
      </c>
      <c r="L3098" s="2" t="s">
        <v>34</v>
      </c>
      <c r="M3098" s="7">
        <v>64.622</v>
      </c>
      <c r="N3098" s="7">
        <v>8.375</v>
      </c>
      <c r="O3098" s="7">
        <v>8.375</v>
      </c>
      <c r="P3098" s="2" t="s">
        <v>9790</v>
      </c>
      <c r="Q3098" s="6">
        <v>100</v>
      </c>
      <c r="R3098" s="6">
        <v>17.5</v>
      </c>
      <c r="S3098" s="5">
        <v>4.7</v>
      </c>
      <c r="T3098" s="7">
        <v>66.603999999999999</v>
      </c>
      <c r="U3098" s="5">
        <v>5.9</v>
      </c>
      <c r="V3098" s="6">
        <v>0.18</v>
      </c>
      <c r="W3098" s="6">
        <v>11.25</v>
      </c>
      <c r="X3098" s="7">
        <v>12.063000000000001</v>
      </c>
      <c r="Y3098" s="7">
        <v>16.125</v>
      </c>
      <c r="Z3098" s="7">
        <v>16.125</v>
      </c>
      <c r="AA3098" s="6">
        <v>27.81</v>
      </c>
      <c r="AB3098" s="7">
        <v>19.977</v>
      </c>
      <c r="AC3098" s="5">
        <v>96.1</v>
      </c>
    </row>
    <row r="3099" spans="1:29" ht="65" x14ac:dyDescent="0.15">
      <c r="A3099" s="3">
        <f>DATE(1997,5,27)</f>
        <v>35577</v>
      </c>
      <c r="B3099" s="3">
        <f>DATE(1997,8,8)</f>
        <v>35650</v>
      </c>
      <c r="C3099" s="2" t="s">
        <v>95</v>
      </c>
      <c r="D3099" s="2" t="s">
        <v>9791</v>
      </c>
      <c r="E3099" s="2" t="s">
        <v>612</v>
      </c>
      <c r="F3099" s="4">
        <v>1311</v>
      </c>
      <c r="G3099" s="2" t="s">
        <v>148</v>
      </c>
      <c r="H3099" s="2" t="s">
        <v>34</v>
      </c>
      <c r="I3099" s="2" t="s">
        <v>9792</v>
      </c>
      <c r="J3099" s="2" t="s">
        <v>9793</v>
      </c>
      <c r="K3099" s="2" t="s">
        <v>148</v>
      </c>
      <c r="L3099" s="2" t="s">
        <v>34</v>
      </c>
      <c r="M3099" s="2"/>
      <c r="N3099" s="2"/>
      <c r="O3099" s="2"/>
      <c r="P3099" s="2" t="s">
        <v>9794</v>
      </c>
      <c r="Q3099" s="6">
        <v>100</v>
      </c>
      <c r="R3099" s="6">
        <v>15.75</v>
      </c>
      <c r="S3099" s="5">
        <v>2.7</v>
      </c>
      <c r="T3099" s="7">
        <v>9.8010000000000002</v>
      </c>
      <c r="U3099" s="5">
        <v>7</v>
      </c>
      <c r="V3099" s="6">
        <v>0.54</v>
      </c>
      <c r="W3099" s="7">
        <v>13.875</v>
      </c>
      <c r="X3099" s="7">
        <v>14.625</v>
      </c>
      <c r="Y3099" s="6">
        <v>15.25</v>
      </c>
      <c r="Z3099" s="6">
        <v>15.25</v>
      </c>
      <c r="AA3099" s="6">
        <v>4.7699999999999996</v>
      </c>
      <c r="AB3099" s="7">
        <v>20.14</v>
      </c>
      <c r="AC3099" s="2"/>
    </row>
    <row r="3100" spans="1:29" ht="130" x14ac:dyDescent="0.15">
      <c r="A3100" s="3">
        <f>DATE(1997,5,27)</f>
        <v>35577</v>
      </c>
      <c r="B3100" s="3">
        <f>DATE(1997,12,18)</f>
        <v>35782</v>
      </c>
      <c r="C3100" s="2" t="s">
        <v>95</v>
      </c>
      <c r="D3100" s="2" t="s">
        <v>5453</v>
      </c>
      <c r="E3100" s="2" t="s">
        <v>5454</v>
      </c>
      <c r="F3100" s="4">
        <v>7011</v>
      </c>
      <c r="G3100" s="2" t="s">
        <v>269</v>
      </c>
      <c r="H3100" s="2" t="s">
        <v>34</v>
      </c>
      <c r="I3100" s="2" t="s">
        <v>9795</v>
      </c>
      <c r="J3100" s="2" t="s">
        <v>2071</v>
      </c>
      <c r="K3100" s="2" t="s">
        <v>109</v>
      </c>
      <c r="L3100" s="2" t="s">
        <v>34</v>
      </c>
      <c r="M3100" s="12">
        <v>8475.5720000000001</v>
      </c>
      <c r="N3100" s="4">
        <v>25</v>
      </c>
      <c r="O3100" s="6">
        <v>23.25</v>
      </c>
      <c r="P3100" s="2" t="s">
        <v>9796</v>
      </c>
      <c r="Q3100" s="6">
        <v>100</v>
      </c>
      <c r="R3100" s="6">
        <v>60.38</v>
      </c>
      <c r="S3100" s="5">
        <v>169.6</v>
      </c>
      <c r="T3100" s="7">
        <v>369.47300000000001</v>
      </c>
      <c r="U3100" s="5">
        <v>19.100000000000001</v>
      </c>
      <c r="V3100" s="6">
        <v>1.29</v>
      </c>
      <c r="W3100" s="7">
        <v>58.625</v>
      </c>
      <c r="X3100" s="4">
        <v>57</v>
      </c>
      <c r="Y3100" s="4">
        <v>59</v>
      </c>
      <c r="Z3100" s="6">
        <v>54.75</v>
      </c>
      <c r="AA3100" s="6">
        <v>158.1</v>
      </c>
      <c r="AB3100" s="7">
        <v>35.034999999999997</v>
      </c>
      <c r="AC3100" s="6">
        <v>622.28</v>
      </c>
    </row>
    <row r="3101" spans="1:29" ht="104" x14ac:dyDescent="0.15">
      <c r="A3101" s="3">
        <f>DATE(1997,5,27)</f>
        <v>35577</v>
      </c>
      <c r="B3101" s="2"/>
      <c r="C3101" s="2" t="s">
        <v>39</v>
      </c>
      <c r="D3101" s="2" t="s">
        <v>4284</v>
      </c>
      <c r="E3101" s="2" t="s">
        <v>4285</v>
      </c>
      <c r="F3101" s="4">
        <v>4841</v>
      </c>
      <c r="G3101" s="2" t="s">
        <v>45</v>
      </c>
      <c r="H3101" s="2" t="s">
        <v>34</v>
      </c>
      <c r="I3101" s="2" t="s">
        <v>1758</v>
      </c>
      <c r="J3101" s="2" t="s">
        <v>1759</v>
      </c>
      <c r="K3101" s="2" t="s">
        <v>364</v>
      </c>
      <c r="L3101" s="2" t="s">
        <v>34</v>
      </c>
      <c r="M3101" s="12">
        <v>54517.067999999999</v>
      </c>
      <c r="N3101" s="6">
        <v>83.75</v>
      </c>
      <c r="O3101" s="7">
        <v>83.875</v>
      </c>
      <c r="P3101" s="2" t="s">
        <v>9797</v>
      </c>
      <c r="Q3101" s="2"/>
      <c r="R3101" s="2"/>
      <c r="S3101" s="5">
        <v>32.1</v>
      </c>
      <c r="T3101" s="7">
        <v>212.48099999999999</v>
      </c>
      <c r="U3101" s="5">
        <v>4.5</v>
      </c>
      <c r="V3101" s="6">
        <v>0.69</v>
      </c>
      <c r="W3101" s="7">
        <v>17.875</v>
      </c>
      <c r="X3101" s="4">
        <v>18</v>
      </c>
      <c r="Y3101" s="5">
        <v>19.5</v>
      </c>
      <c r="Z3101" s="7">
        <v>20.875</v>
      </c>
      <c r="AA3101" s="6">
        <v>44.87</v>
      </c>
      <c r="AB3101" s="2" t="s">
        <v>47</v>
      </c>
      <c r="AC3101" s="5">
        <v>732</v>
      </c>
    </row>
    <row r="3102" spans="1:29" ht="26" x14ac:dyDescent="0.15">
      <c r="A3102" s="3">
        <f>DATE(1997,5,27)</f>
        <v>35577</v>
      </c>
      <c r="B3102" s="2"/>
      <c r="C3102" s="2" t="s">
        <v>39</v>
      </c>
      <c r="D3102" s="2" t="s">
        <v>4689</v>
      </c>
      <c r="E3102" s="2" t="s">
        <v>1604</v>
      </c>
      <c r="F3102" s="4">
        <v>4813</v>
      </c>
      <c r="G3102" s="2" t="s">
        <v>63</v>
      </c>
      <c r="H3102" s="2" t="s">
        <v>34</v>
      </c>
      <c r="I3102" s="2" t="s">
        <v>5691</v>
      </c>
      <c r="J3102" s="2" t="s">
        <v>5692</v>
      </c>
      <c r="K3102" s="2" t="s">
        <v>63</v>
      </c>
      <c r="L3102" s="2" t="s">
        <v>34</v>
      </c>
      <c r="M3102" s="12">
        <v>54023.635999999999</v>
      </c>
      <c r="N3102" s="5">
        <v>37.5</v>
      </c>
      <c r="O3102" s="4">
        <v>37</v>
      </c>
      <c r="P3102" s="2" t="s">
        <v>9798</v>
      </c>
      <c r="Q3102" s="2"/>
      <c r="R3102" s="2"/>
      <c r="S3102" s="8">
        <v>2101</v>
      </c>
      <c r="T3102" s="8">
        <v>5796</v>
      </c>
      <c r="U3102" s="5">
        <v>5.7</v>
      </c>
      <c r="V3102" s="6">
        <v>1.73</v>
      </c>
      <c r="W3102" s="7">
        <v>57.875</v>
      </c>
      <c r="X3102" s="7">
        <v>56.875</v>
      </c>
      <c r="Y3102" s="7">
        <v>57.625</v>
      </c>
      <c r="Z3102" s="4">
        <v>58</v>
      </c>
      <c r="AA3102" s="6">
        <v>912.22</v>
      </c>
      <c r="AB3102" s="2" t="s">
        <v>47</v>
      </c>
      <c r="AC3102" s="5">
        <v>134</v>
      </c>
    </row>
    <row r="3103" spans="1:29" ht="130" x14ac:dyDescent="0.15">
      <c r="A3103" s="3">
        <f>DATE(1997,5,28)</f>
        <v>35578</v>
      </c>
      <c r="B3103" s="3">
        <f>DATE(1998,2,10)</f>
        <v>35836</v>
      </c>
      <c r="C3103" s="2" t="s">
        <v>95</v>
      </c>
      <c r="D3103" s="2" t="s">
        <v>9799</v>
      </c>
      <c r="E3103" s="2" t="s">
        <v>9800</v>
      </c>
      <c r="F3103" s="4">
        <v>4812</v>
      </c>
      <c r="G3103" s="2" t="s">
        <v>63</v>
      </c>
      <c r="H3103" s="2" t="s">
        <v>34</v>
      </c>
      <c r="I3103" s="2" t="s">
        <v>9801</v>
      </c>
      <c r="J3103" s="2" t="s">
        <v>9802</v>
      </c>
      <c r="K3103" s="2" t="s">
        <v>53</v>
      </c>
      <c r="L3103" s="2" t="s">
        <v>34</v>
      </c>
      <c r="M3103" s="2"/>
      <c r="N3103" s="2"/>
      <c r="O3103" s="2"/>
      <c r="P3103" s="2" t="s">
        <v>9803</v>
      </c>
      <c r="Q3103" s="6">
        <v>87</v>
      </c>
      <c r="R3103" s="6">
        <v>36</v>
      </c>
      <c r="S3103" s="5">
        <v>-4.4000000000000004</v>
      </c>
      <c r="T3103" s="7">
        <v>31.727</v>
      </c>
      <c r="U3103" s="5">
        <v>4.5</v>
      </c>
      <c r="V3103" s="6">
        <v>-0.32</v>
      </c>
      <c r="W3103" s="7">
        <v>27.984000000000002</v>
      </c>
      <c r="X3103" s="7">
        <v>29.562999999999999</v>
      </c>
      <c r="Y3103" s="7">
        <v>34.375</v>
      </c>
      <c r="Z3103" s="7">
        <v>34.375</v>
      </c>
      <c r="AA3103" s="6">
        <v>13.77</v>
      </c>
      <c r="AB3103" s="7">
        <v>74.540999999999997</v>
      </c>
      <c r="AC3103" s="2"/>
    </row>
    <row r="3104" spans="1:29" ht="143" x14ac:dyDescent="0.15">
      <c r="A3104" s="3">
        <f>DATE(1997,5,28)</f>
        <v>35578</v>
      </c>
      <c r="B3104" s="3">
        <f>DATE(1997,7,17)</f>
        <v>35628</v>
      </c>
      <c r="C3104" s="2" t="s">
        <v>95</v>
      </c>
      <c r="D3104" s="2" t="s">
        <v>9804</v>
      </c>
      <c r="E3104" s="2" t="s">
        <v>4601</v>
      </c>
      <c r="F3104" s="4">
        <v>5812</v>
      </c>
      <c r="G3104" s="2" t="s">
        <v>230</v>
      </c>
      <c r="H3104" s="2" t="s">
        <v>34</v>
      </c>
      <c r="I3104" s="2" t="s">
        <v>9805</v>
      </c>
      <c r="J3104" s="2" t="s">
        <v>9806</v>
      </c>
      <c r="K3104" s="2" t="s">
        <v>230</v>
      </c>
      <c r="L3104" s="2" t="s">
        <v>303</v>
      </c>
      <c r="M3104" s="2"/>
      <c r="N3104" s="2"/>
      <c r="O3104" s="2"/>
      <c r="P3104" s="2" t="s">
        <v>9807</v>
      </c>
      <c r="Q3104" s="6">
        <v>100</v>
      </c>
      <c r="R3104" s="6">
        <v>7.5</v>
      </c>
      <c r="S3104" s="5">
        <v>-11.9</v>
      </c>
      <c r="T3104" s="7">
        <v>13.651</v>
      </c>
      <c r="U3104" s="5">
        <v>6.8</v>
      </c>
      <c r="V3104" s="7">
        <v>-1.109</v>
      </c>
      <c r="W3104" s="7">
        <v>11.625</v>
      </c>
      <c r="X3104" s="6">
        <v>11.25</v>
      </c>
      <c r="Y3104" s="7">
        <v>12.875</v>
      </c>
      <c r="Z3104" s="6">
        <v>12.75</v>
      </c>
      <c r="AA3104" s="6">
        <v>11.15</v>
      </c>
      <c r="AB3104" s="2" t="s">
        <v>86</v>
      </c>
      <c r="AC3104" s="2"/>
    </row>
    <row r="3105" spans="1:29" ht="78" x14ac:dyDescent="0.15">
      <c r="A3105" s="3">
        <f>DATE(1997,5,28)</f>
        <v>35578</v>
      </c>
      <c r="B3105" s="3">
        <f>DATE(1997,7,3)</f>
        <v>35614</v>
      </c>
      <c r="C3105" s="2" t="s">
        <v>95</v>
      </c>
      <c r="D3105" s="2" t="s">
        <v>4503</v>
      </c>
      <c r="E3105" s="2" t="s">
        <v>4504</v>
      </c>
      <c r="F3105" s="4">
        <v>2421</v>
      </c>
      <c r="G3105" s="2" t="s">
        <v>250</v>
      </c>
      <c r="H3105" s="2" t="s">
        <v>34</v>
      </c>
      <c r="I3105" s="2" t="s">
        <v>9808</v>
      </c>
      <c r="J3105" s="2" t="s">
        <v>9809</v>
      </c>
      <c r="K3105" s="2" t="s">
        <v>237</v>
      </c>
      <c r="L3105" s="2" t="s">
        <v>34</v>
      </c>
      <c r="M3105" s="12">
        <v>2157.181</v>
      </c>
      <c r="N3105" s="7">
        <v>41.625</v>
      </c>
      <c r="O3105" s="7">
        <v>41.875</v>
      </c>
      <c r="P3105" s="2" t="s">
        <v>9810</v>
      </c>
      <c r="Q3105" s="6">
        <v>100</v>
      </c>
      <c r="R3105" s="6">
        <v>55</v>
      </c>
      <c r="S3105" s="5">
        <v>18.2</v>
      </c>
      <c r="T3105" s="7">
        <v>42.923000000000002</v>
      </c>
      <c r="U3105" s="5">
        <v>34.6</v>
      </c>
      <c r="V3105" s="6">
        <v>1.77</v>
      </c>
      <c r="W3105" s="4">
        <v>45</v>
      </c>
      <c r="X3105" s="5">
        <v>47.5</v>
      </c>
      <c r="Y3105" s="7">
        <v>54.313000000000002</v>
      </c>
      <c r="Z3105" s="6">
        <v>54.25</v>
      </c>
      <c r="AA3105" s="6">
        <v>8.49</v>
      </c>
      <c r="AB3105" s="7">
        <v>15.396000000000001</v>
      </c>
      <c r="AC3105" s="5">
        <v>45</v>
      </c>
    </row>
    <row r="3106" spans="1:29" ht="65" x14ac:dyDescent="0.15">
      <c r="A3106" s="3">
        <f>DATE(1997,5,28)</f>
        <v>35578</v>
      </c>
      <c r="B3106" s="3">
        <f>DATE(1997,9,2)</f>
        <v>35675</v>
      </c>
      <c r="C3106" s="2" t="s">
        <v>95</v>
      </c>
      <c r="D3106" s="2" t="s">
        <v>6320</v>
      </c>
      <c r="E3106" s="2" t="s">
        <v>6321</v>
      </c>
      <c r="F3106" s="4">
        <v>6798</v>
      </c>
      <c r="G3106" s="2" t="s">
        <v>53</v>
      </c>
      <c r="H3106" s="2" t="s">
        <v>34</v>
      </c>
      <c r="I3106" s="2" t="s">
        <v>51</v>
      </c>
      <c r="J3106" s="2" t="s">
        <v>52</v>
      </c>
      <c r="K3106" s="2" t="s">
        <v>53</v>
      </c>
      <c r="L3106" s="2" t="s">
        <v>34</v>
      </c>
      <c r="M3106" s="2"/>
      <c r="N3106" s="2"/>
      <c r="O3106" s="2"/>
      <c r="P3106" s="2" t="s">
        <v>9811</v>
      </c>
      <c r="Q3106" s="6">
        <v>79.650000000000006</v>
      </c>
      <c r="R3106" s="6">
        <v>0.15</v>
      </c>
      <c r="S3106" s="5">
        <v>0</v>
      </c>
      <c r="T3106" s="7">
        <v>1.4379999999999999</v>
      </c>
      <c r="U3106" s="5">
        <v>10.3</v>
      </c>
      <c r="V3106" s="6">
        <v>0.02</v>
      </c>
      <c r="W3106" s="7">
        <v>2.2189999999999999</v>
      </c>
      <c r="X3106" s="7">
        <v>2.3130000000000002</v>
      </c>
      <c r="Y3106" s="7">
        <v>3.0630000000000002</v>
      </c>
      <c r="Z3106" s="4">
        <v>3</v>
      </c>
      <c r="AA3106" s="6">
        <v>7.53</v>
      </c>
      <c r="AB3106" s="7">
        <v>471.99400000000003</v>
      </c>
      <c r="AC3106" s="2"/>
    </row>
    <row r="3107" spans="1:29" ht="104" x14ac:dyDescent="0.15">
      <c r="A3107" s="3">
        <f>DATE(1997,5,30)</f>
        <v>35580</v>
      </c>
      <c r="B3107" s="3">
        <f>DATE(1997,7,9)</f>
        <v>35620</v>
      </c>
      <c r="C3107" s="2" t="s">
        <v>95</v>
      </c>
      <c r="D3107" s="2" t="s">
        <v>9812</v>
      </c>
      <c r="E3107" s="2" t="s">
        <v>9813</v>
      </c>
      <c r="F3107" s="4">
        <v>8059</v>
      </c>
      <c r="G3107" s="2" t="s">
        <v>454</v>
      </c>
      <c r="H3107" s="2" t="s">
        <v>34</v>
      </c>
      <c r="I3107" s="2" t="s">
        <v>9814</v>
      </c>
      <c r="J3107" s="2" t="s">
        <v>844</v>
      </c>
      <c r="K3107" s="2" t="s">
        <v>109</v>
      </c>
      <c r="L3107" s="2" t="s">
        <v>34</v>
      </c>
      <c r="M3107" s="2"/>
      <c r="N3107" s="2"/>
      <c r="O3107" s="2"/>
      <c r="P3107" s="2" t="s">
        <v>9815</v>
      </c>
      <c r="Q3107" s="6">
        <v>100</v>
      </c>
      <c r="R3107" s="6">
        <v>11.5</v>
      </c>
      <c r="S3107" s="5">
        <v>0.4</v>
      </c>
      <c r="T3107" s="7">
        <v>2.2040000000000002</v>
      </c>
      <c r="U3107" s="5">
        <v>8.6999999999999993</v>
      </c>
      <c r="V3107" s="7">
        <v>9.8000000000000004E-2</v>
      </c>
      <c r="W3107" s="5">
        <v>9.5</v>
      </c>
      <c r="X3107" s="7">
        <v>9.0630000000000006</v>
      </c>
      <c r="Y3107" s="7">
        <v>11.125</v>
      </c>
      <c r="Z3107" s="7">
        <v>11.188000000000001</v>
      </c>
      <c r="AA3107" s="6">
        <v>6.7</v>
      </c>
      <c r="AB3107" s="7">
        <v>79.83</v>
      </c>
      <c r="AC3107" s="2"/>
    </row>
    <row r="3108" spans="1:29" ht="65" x14ac:dyDescent="0.15">
      <c r="A3108" s="3">
        <f>DATE(1997,5,30)</f>
        <v>35580</v>
      </c>
      <c r="B3108" s="3">
        <f>DATE(1997,10,16)</f>
        <v>35719</v>
      </c>
      <c r="C3108" s="2" t="s">
        <v>95</v>
      </c>
      <c r="D3108" s="2" t="s">
        <v>9816</v>
      </c>
      <c r="E3108" s="2" t="s">
        <v>9817</v>
      </c>
      <c r="F3108" s="4">
        <v>2499</v>
      </c>
      <c r="G3108" s="2" t="s">
        <v>250</v>
      </c>
      <c r="H3108" s="2" t="s">
        <v>34</v>
      </c>
      <c r="I3108" s="2" t="s">
        <v>9818</v>
      </c>
      <c r="J3108" s="2" t="s">
        <v>244</v>
      </c>
      <c r="K3108" s="2" t="s">
        <v>53</v>
      </c>
      <c r="L3108" s="2" t="s">
        <v>34</v>
      </c>
      <c r="M3108" s="2"/>
      <c r="N3108" s="2"/>
      <c r="O3108" s="2"/>
      <c r="P3108" s="2" t="s">
        <v>9819</v>
      </c>
      <c r="Q3108" s="6">
        <v>100</v>
      </c>
      <c r="R3108" s="6">
        <v>12</v>
      </c>
      <c r="S3108" s="5">
        <v>5.3</v>
      </c>
      <c r="T3108" s="7">
        <v>11.442</v>
      </c>
      <c r="U3108" s="5">
        <v>7.6</v>
      </c>
      <c r="V3108" s="7">
        <v>1.075</v>
      </c>
      <c r="W3108" s="7">
        <v>9.375</v>
      </c>
      <c r="X3108" s="7">
        <v>9.125</v>
      </c>
      <c r="Y3108" s="4">
        <v>11</v>
      </c>
      <c r="Z3108" s="7">
        <v>10.875</v>
      </c>
      <c r="AA3108" s="6">
        <v>4.97</v>
      </c>
      <c r="AB3108" s="7">
        <v>7.33</v>
      </c>
      <c r="AC3108" s="2"/>
    </row>
    <row r="3109" spans="1:29" ht="104" x14ac:dyDescent="0.15">
      <c r="A3109" s="3">
        <f>DATE(1997,6,2)</f>
        <v>35583</v>
      </c>
      <c r="B3109" s="3">
        <f>DATE(1997,7,15)</f>
        <v>35626</v>
      </c>
      <c r="C3109" s="2" t="s">
        <v>95</v>
      </c>
      <c r="D3109" s="2" t="s">
        <v>9820</v>
      </c>
      <c r="E3109" s="2" t="s">
        <v>9821</v>
      </c>
      <c r="F3109" s="4">
        <v>6411</v>
      </c>
      <c r="G3109" s="2" t="s">
        <v>125</v>
      </c>
      <c r="H3109" s="2" t="s">
        <v>34</v>
      </c>
      <c r="I3109" s="2" t="s">
        <v>9822</v>
      </c>
      <c r="J3109" s="2" t="s">
        <v>5189</v>
      </c>
      <c r="K3109" s="2" t="s">
        <v>454</v>
      </c>
      <c r="L3109" s="2" t="s">
        <v>34</v>
      </c>
      <c r="M3109" s="2"/>
      <c r="N3109" s="2"/>
      <c r="O3109" s="2"/>
      <c r="P3109" s="2" t="s">
        <v>9823</v>
      </c>
      <c r="Q3109" s="6">
        <v>39.17</v>
      </c>
      <c r="R3109" s="6">
        <v>40</v>
      </c>
      <c r="S3109" s="5">
        <v>29.9</v>
      </c>
      <c r="T3109" s="7">
        <v>92.808000000000007</v>
      </c>
      <c r="U3109" s="5">
        <v>15.6</v>
      </c>
      <c r="V3109" s="6">
        <v>2.09</v>
      </c>
      <c r="W3109" s="6">
        <v>35.869999999999997</v>
      </c>
      <c r="X3109" s="5">
        <v>35.5</v>
      </c>
      <c r="Y3109" s="5">
        <v>39.5</v>
      </c>
      <c r="Z3109" s="5">
        <v>39.5</v>
      </c>
      <c r="AA3109" s="6">
        <v>13.01</v>
      </c>
      <c r="AB3109" s="7">
        <v>12.071</v>
      </c>
      <c r="AC3109" s="2"/>
    </row>
    <row r="3110" spans="1:29" ht="65" x14ac:dyDescent="0.15">
      <c r="A3110" s="3">
        <f>DATE(1997,6,3)</f>
        <v>35584</v>
      </c>
      <c r="B3110" s="3">
        <f>DATE(1998,1,15)</f>
        <v>35810</v>
      </c>
      <c r="C3110" s="2" t="s">
        <v>95</v>
      </c>
      <c r="D3110" s="2" t="s">
        <v>9824</v>
      </c>
      <c r="E3110" s="2" t="s">
        <v>9825</v>
      </c>
      <c r="F3110" s="4">
        <v>2834</v>
      </c>
      <c r="G3110" s="2" t="s">
        <v>130</v>
      </c>
      <c r="H3110" s="2" t="s">
        <v>34</v>
      </c>
      <c r="I3110" s="2" t="s">
        <v>9826</v>
      </c>
      <c r="J3110" s="2" t="s">
        <v>9827</v>
      </c>
      <c r="K3110" s="2" t="s">
        <v>130</v>
      </c>
      <c r="L3110" s="2" t="s">
        <v>885</v>
      </c>
      <c r="M3110" s="2"/>
      <c r="N3110" s="2"/>
      <c r="O3110" s="2"/>
      <c r="P3110" s="2" t="s">
        <v>9828</v>
      </c>
      <c r="Q3110" s="6">
        <v>38</v>
      </c>
      <c r="R3110" s="6">
        <v>13.5</v>
      </c>
      <c r="S3110" s="5">
        <v>2.2999999999999998</v>
      </c>
      <c r="T3110" s="7">
        <v>7.0609999999999999</v>
      </c>
      <c r="U3110" s="5">
        <v>5.5</v>
      </c>
      <c r="V3110" s="7">
        <v>-2.8000000000000001E-2</v>
      </c>
      <c r="W3110" s="4">
        <v>11</v>
      </c>
      <c r="X3110" s="6">
        <v>10.75</v>
      </c>
      <c r="Y3110" s="6">
        <v>12.25</v>
      </c>
      <c r="Z3110" s="9">
        <v>12.3125</v>
      </c>
      <c r="AA3110" s="6">
        <v>15.06</v>
      </c>
      <c r="AB3110" s="7">
        <v>55.259</v>
      </c>
      <c r="AC3110" s="6">
        <v>13.37</v>
      </c>
    </row>
    <row r="3111" spans="1:29" ht="78" x14ac:dyDescent="0.15">
      <c r="A3111" s="3">
        <f>DATE(1997,6,3)</f>
        <v>35584</v>
      </c>
      <c r="B3111" s="3">
        <f>DATE(1997,9,8)</f>
        <v>35681</v>
      </c>
      <c r="C3111" s="2" t="s">
        <v>95</v>
      </c>
      <c r="D3111" s="2" t="s">
        <v>9829</v>
      </c>
      <c r="E3111" s="2" t="s">
        <v>2241</v>
      </c>
      <c r="F3111" s="4">
        <v>8011</v>
      </c>
      <c r="G3111" s="2" t="s">
        <v>454</v>
      </c>
      <c r="H3111" s="2" t="s">
        <v>34</v>
      </c>
      <c r="I3111" s="2" t="s">
        <v>6602</v>
      </c>
      <c r="J3111" s="2" t="s">
        <v>5765</v>
      </c>
      <c r="K3111" s="2" t="s">
        <v>125</v>
      </c>
      <c r="L3111" s="2" t="s">
        <v>34</v>
      </c>
      <c r="M3111" s="12">
        <v>3503.4180000000001</v>
      </c>
      <c r="N3111" s="7">
        <v>23.625</v>
      </c>
      <c r="O3111" s="6">
        <v>23.25</v>
      </c>
      <c r="P3111" s="2" t="s">
        <v>9830</v>
      </c>
      <c r="Q3111" s="6">
        <v>100</v>
      </c>
      <c r="R3111" s="6">
        <v>7</v>
      </c>
      <c r="S3111" s="5">
        <v>-268.10000000000002</v>
      </c>
      <c r="T3111" s="7">
        <v>-272.60399999999998</v>
      </c>
      <c r="U3111" s="5">
        <v>-1.7</v>
      </c>
      <c r="V3111" s="7">
        <v>-6.9219999999999997</v>
      </c>
      <c r="W3111" s="6">
        <v>6.25</v>
      </c>
      <c r="X3111" s="6">
        <v>6.25</v>
      </c>
      <c r="Y3111" s="7">
        <v>6.625</v>
      </c>
      <c r="Z3111" s="7">
        <v>6.625</v>
      </c>
      <c r="AA3111" s="6">
        <v>38.840000000000003</v>
      </c>
      <c r="AB3111" s="2" t="s">
        <v>86</v>
      </c>
      <c r="AC3111" s="8">
        <v>1584</v>
      </c>
    </row>
    <row r="3112" spans="1:29" ht="26" x14ac:dyDescent="0.15">
      <c r="A3112" s="3">
        <f>DATE(1997,6,4)</f>
        <v>35585</v>
      </c>
      <c r="B3112" s="2"/>
      <c r="C3112" s="2" t="s">
        <v>30</v>
      </c>
      <c r="D3112" s="2" t="s">
        <v>9831</v>
      </c>
      <c r="E3112" s="2" t="s">
        <v>9832</v>
      </c>
      <c r="F3112" s="4">
        <v>3572</v>
      </c>
      <c r="G3112" s="2" t="s">
        <v>50</v>
      </c>
      <c r="H3112" s="2" t="s">
        <v>34</v>
      </c>
      <c r="I3112" s="2" t="s">
        <v>2209</v>
      </c>
      <c r="J3112" s="2" t="s">
        <v>2210</v>
      </c>
      <c r="K3112" s="2" t="s">
        <v>50</v>
      </c>
      <c r="L3112" s="2" t="s">
        <v>34</v>
      </c>
      <c r="M3112" s="8">
        <v>54825</v>
      </c>
      <c r="N3112" s="7">
        <v>51.625</v>
      </c>
      <c r="O3112" s="7">
        <v>50.875</v>
      </c>
      <c r="P3112" s="2" t="s">
        <v>9833</v>
      </c>
      <c r="Q3112" s="2"/>
      <c r="R3112" s="2"/>
      <c r="S3112" s="5">
        <v>-54.2</v>
      </c>
      <c r="T3112" s="7">
        <v>12.814</v>
      </c>
      <c r="U3112" s="5">
        <v>7.8</v>
      </c>
      <c r="V3112" s="6">
        <v>-1</v>
      </c>
      <c r="W3112" s="4">
        <v>18</v>
      </c>
      <c r="X3112" s="6">
        <v>19.25</v>
      </c>
      <c r="Y3112" s="6">
        <v>20.25</v>
      </c>
      <c r="Z3112" s="6">
        <v>20.25</v>
      </c>
      <c r="AA3112" s="6">
        <v>129.38</v>
      </c>
      <c r="AB3112" s="2" t="s">
        <v>86</v>
      </c>
      <c r="AC3112" s="8">
        <v>3698</v>
      </c>
    </row>
    <row r="3113" spans="1:29" ht="91" x14ac:dyDescent="0.15">
      <c r="A3113" s="3">
        <f>DATE(1997,6,4)</f>
        <v>35585</v>
      </c>
      <c r="B3113" s="3">
        <f>DATE(1997,7,28)</f>
        <v>35639</v>
      </c>
      <c r="C3113" s="2" t="s">
        <v>95</v>
      </c>
      <c r="D3113" s="2" t="s">
        <v>9834</v>
      </c>
      <c r="E3113" s="2" t="s">
        <v>6545</v>
      </c>
      <c r="F3113" s="4">
        <v>7372</v>
      </c>
      <c r="G3113" s="2" t="s">
        <v>551</v>
      </c>
      <c r="H3113" s="2" t="s">
        <v>34</v>
      </c>
      <c r="I3113" s="2" t="s">
        <v>4641</v>
      </c>
      <c r="J3113" s="2" t="s">
        <v>4642</v>
      </c>
      <c r="K3113" s="2" t="s">
        <v>551</v>
      </c>
      <c r="L3113" s="2" t="s">
        <v>34</v>
      </c>
      <c r="M3113" s="12">
        <v>1522.9680000000001</v>
      </c>
      <c r="N3113" s="7">
        <v>30.375</v>
      </c>
      <c r="O3113" s="4">
        <v>31</v>
      </c>
      <c r="P3113" s="2" t="s">
        <v>9835</v>
      </c>
      <c r="Q3113" s="6">
        <v>100</v>
      </c>
      <c r="R3113" s="6">
        <v>11.25</v>
      </c>
      <c r="S3113" s="5">
        <v>-2.1</v>
      </c>
      <c r="T3113" s="7">
        <v>-3.855</v>
      </c>
      <c r="U3113" s="5">
        <v>5.0999999999999996</v>
      </c>
      <c r="V3113" s="7">
        <v>-0.186</v>
      </c>
      <c r="W3113" s="4">
        <v>11</v>
      </c>
      <c r="X3113" s="4">
        <v>11</v>
      </c>
      <c r="Y3113" s="7">
        <v>10.875</v>
      </c>
      <c r="Z3113" s="7">
        <v>11.063000000000001</v>
      </c>
      <c r="AA3113" s="6">
        <v>11.26</v>
      </c>
      <c r="AB3113" s="2" t="s">
        <v>86</v>
      </c>
      <c r="AC3113" s="6">
        <v>235.64</v>
      </c>
    </row>
    <row r="3114" spans="1:29" ht="104" x14ac:dyDescent="0.15">
      <c r="A3114" s="3">
        <f>DATE(1997,6,5)</f>
        <v>35586</v>
      </c>
      <c r="B3114" s="3">
        <f>DATE(1997,7,14)</f>
        <v>35625</v>
      </c>
      <c r="C3114" s="2" t="s">
        <v>95</v>
      </c>
      <c r="D3114" s="2" t="s">
        <v>9836</v>
      </c>
      <c r="E3114" s="2" t="s">
        <v>9837</v>
      </c>
      <c r="F3114" s="4">
        <v>4813</v>
      </c>
      <c r="G3114" s="2" t="s">
        <v>63</v>
      </c>
      <c r="H3114" s="2" t="s">
        <v>34</v>
      </c>
      <c r="I3114" s="2" t="s">
        <v>9838</v>
      </c>
      <c r="J3114" s="2" t="s">
        <v>973</v>
      </c>
      <c r="K3114" s="2" t="s">
        <v>63</v>
      </c>
      <c r="L3114" s="2" t="s">
        <v>34</v>
      </c>
      <c r="M3114" s="7">
        <v>366.94400000000002</v>
      </c>
      <c r="N3114" s="5">
        <v>28.5</v>
      </c>
      <c r="O3114" s="7">
        <v>28.875</v>
      </c>
      <c r="P3114" s="2" t="s">
        <v>9839</v>
      </c>
      <c r="Q3114" s="6">
        <v>100</v>
      </c>
      <c r="R3114" s="6">
        <v>13</v>
      </c>
      <c r="S3114" s="5">
        <v>-31.1</v>
      </c>
      <c r="T3114" s="7">
        <v>-25.812000000000001</v>
      </c>
      <c r="U3114" s="5">
        <v>2.2000000000000002</v>
      </c>
      <c r="V3114" s="7">
        <v>-4.4029999999999996</v>
      </c>
      <c r="W3114" s="7">
        <v>9.5630000000000006</v>
      </c>
      <c r="X3114" s="7">
        <v>10.875</v>
      </c>
      <c r="Y3114" s="7">
        <v>12.875</v>
      </c>
      <c r="Z3114" s="7">
        <v>12.843999999999999</v>
      </c>
      <c r="AA3114" s="6">
        <v>11.49</v>
      </c>
      <c r="AB3114" s="2" t="s">
        <v>86</v>
      </c>
      <c r="AC3114" s="6">
        <v>222.26</v>
      </c>
    </row>
    <row r="3115" spans="1:29" ht="156" x14ac:dyDescent="0.15">
      <c r="A3115" s="3">
        <f>DATE(1997,6,5)</f>
        <v>35586</v>
      </c>
      <c r="B3115" s="2"/>
      <c r="C3115" s="2" t="s">
        <v>30</v>
      </c>
      <c r="D3115" s="2" t="s">
        <v>9840</v>
      </c>
      <c r="E3115" s="2" t="s">
        <v>9841</v>
      </c>
      <c r="F3115" s="4">
        <v>3841</v>
      </c>
      <c r="G3115" s="2" t="s">
        <v>226</v>
      </c>
      <c r="H3115" s="2" t="s">
        <v>34</v>
      </c>
      <c r="I3115" s="2" t="s">
        <v>9842</v>
      </c>
      <c r="J3115" s="2" t="s">
        <v>80</v>
      </c>
      <c r="K3115" s="2" t="s">
        <v>53</v>
      </c>
      <c r="L3115" s="2" t="s">
        <v>34</v>
      </c>
      <c r="M3115" s="2"/>
      <c r="N3115" s="2"/>
      <c r="O3115" s="2"/>
      <c r="P3115" s="2" t="s">
        <v>9843</v>
      </c>
      <c r="Q3115" s="2"/>
      <c r="R3115" s="6">
        <v>48</v>
      </c>
      <c r="S3115" s="5">
        <v>36.799999999999997</v>
      </c>
      <c r="T3115" s="5">
        <v>139.19999999999999</v>
      </c>
      <c r="U3115" s="5">
        <v>3.8</v>
      </c>
      <c r="V3115" s="7">
        <v>0.39200000000000002</v>
      </c>
      <c r="W3115" s="7">
        <v>35.625</v>
      </c>
      <c r="X3115" s="7">
        <v>37.875</v>
      </c>
      <c r="Y3115" s="7">
        <v>45.375</v>
      </c>
      <c r="Z3115" s="7">
        <v>45.625</v>
      </c>
      <c r="AA3115" s="6">
        <v>20.23</v>
      </c>
      <c r="AB3115" s="7">
        <v>54.558999999999997</v>
      </c>
      <c r="AC3115" s="2"/>
    </row>
    <row r="3116" spans="1:29" ht="156" x14ac:dyDescent="0.15">
      <c r="A3116" s="3">
        <f>DATE(1997,6,6)</f>
        <v>35587</v>
      </c>
      <c r="B3116" s="3">
        <f>DATE(1997,10,14)</f>
        <v>35717</v>
      </c>
      <c r="C3116" s="2" t="s">
        <v>95</v>
      </c>
      <c r="D3116" s="2" t="s">
        <v>9844</v>
      </c>
      <c r="E3116" s="2" t="s">
        <v>9845</v>
      </c>
      <c r="F3116" s="4">
        <v>4813</v>
      </c>
      <c r="G3116" s="2" t="s">
        <v>63</v>
      </c>
      <c r="H3116" s="2" t="s">
        <v>34</v>
      </c>
      <c r="I3116" s="2" t="s">
        <v>9846</v>
      </c>
      <c r="J3116" s="2" t="s">
        <v>5364</v>
      </c>
      <c r="K3116" s="2" t="s">
        <v>63</v>
      </c>
      <c r="L3116" s="2" t="s">
        <v>34</v>
      </c>
      <c r="M3116" s="12">
        <v>2039.0920000000001</v>
      </c>
      <c r="N3116" s="6">
        <v>20.75</v>
      </c>
      <c r="O3116" s="7">
        <v>22.875</v>
      </c>
      <c r="P3116" s="2" t="s">
        <v>9847</v>
      </c>
      <c r="Q3116" s="6">
        <v>100</v>
      </c>
      <c r="R3116" s="6">
        <v>29.24</v>
      </c>
      <c r="S3116" s="5">
        <v>23.6</v>
      </c>
      <c r="T3116" s="7">
        <v>50.942</v>
      </c>
      <c r="U3116" s="5">
        <v>4.4000000000000004</v>
      </c>
      <c r="V3116" s="7">
        <v>0.749</v>
      </c>
      <c r="W3116" s="7">
        <v>23.625</v>
      </c>
      <c r="X3116" s="4">
        <v>22</v>
      </c>
      <c r="Y3116" s="7">
        <v>25.875</v>
      </c>
      <c r="Z3116" s="6">
        <v>27.75</v>
      </c>
      <c r="AA3116" s="6">
        <v>33.08</v>
      </c>
      <c r="AB3116" s="7">
        <v>23.68</v>
      </c>
      <c r="AC3116" s="6">
        <v>169.85</v>
      </c>
    </row>
    <row r="3117" spans="1:29" ht="78" x14ac:dyDescent="0.15">
      <c r="A3117" s="3">
        <f>DATE(1997,6,9)</f>
        <v>35590</v>
      </c>
      <c r="B3117" s="3">
        <f>DATE(1997,10,1)</f>
        <v>35704</v>
      </c>
      <c r="C3117" s="2" t="s">
        <v>95</v>
      </c>
      <c r="D3117" s="2" t="s">
        <v>9848</v>
      </c>
      <c r="E3117" s="2" t="s">
        <v>9849</v>
      </c>
      <c r="F3117" s="4">
        <v>6331</v>
      </c>
      <c r="G3117" s="2" t="s">
        <v>125</v>
      </c>
      <c r="H3117" s="2" t="s">
        <v>34</v>
      </c>
      <c r="I3117" s="2" t="s">
        <v>9850</v>
      </c>
      <c r="J3117" s="2" t="s">
        <v>9851</v>
      </c>
      <c r="K3117" s="2" t="s">
        <v>125</v>
      </c>
      <c r="L3117" s="2" t="s">
        <v>34</v>
      </c>
      <c r="M3117" s="12">
        <v>5242.0950000000003</v>
      </c>
      <c r="N3117" s="5">
        <v>44.5</v>
      </c>
      <c r="O3117" s="6">
        <v>45.25</v>
      </c>
      <c r="P3117" s="2" t="s">
        <v>9852</v>
      </c>
      <c r="Q3117" s="6">
        <v>100</v>
      </c>
      <c r="R3117" s="6">
        <v>47</v>
      </c>
      <c r="S3117" s="5">
        <v>176.8</v>
      </c>
      <c r="T3117" s="7">
        <v>232.423</v>
      </c>
      <c r="U3117" s="5">
        <v>22.1</v>
      </c>
      <c r="V3117" s="7">
        <v>2.9940000000000002</v>
      </c>
      <c r="W3117" s="7">
        <v>31.625</v>
      </c>
      <c r="X3117" s="6">
        <v>32.25</v>
      </c>
      <c r="Y3117" s="4">
        <v>35</v>
      </c>
      <c r="Z3117" s="7">
        <v>33.875</v>
      </c>
      <c r="AA3117" s="6">
        <v>60.05</v>
      </c>
      <c r="AB3117" s="7">
        <v>13.785</v>
      </c>
      <c r="AC3117" s="5">
        <v>55.5</v>
      </c>
    </row>
    <row r="3118" spans="1:29" ht="143" x14ac:dyDescent="0.15">
      <c r="A3118" s="3">
        <f>DATE(1997,6,9)</f>
        <v>35590</v>
      </c>
      <c r="B3118" s="3">
        <f>DATE(1997,9,23)</f>
        <v>35696</v>
      </c>
      <c r="C3118" s="2" t="s">
        <v>95</v>
      </c>
      <c r="D3118" s="2" t="s">
        <v>7229</v>
      </c>
      <c r="E3118" s="2" t="s">
        <v>386</v>
      </c>
      <c r="F3118" s="4">
        <v>6726</v>
      </c>
      <c r="G3118" s="2" t="s">
        <v>53</v>
      </c>
      <c r="H3118" s="2" t="s">
        <v>34</v>
      </c>
      <c r="I3118" s="2" t="s">
        <v>9853</v>
      </c>
      <c r="J3118" s="2" t="s">
        <v>9854</v>
      </c>
      <c r="K3118" s="2" t="s">
        <v>53</v>
      </c>
      <c r="L3118" s="2" t="s">
        <v>34</v>
      </c>
      <c r="M3118" s="2"/>
      <c r="N3118" s="7">
        <v>8.875</v>
      </c>
      <c r="O3118" s="7">
        <v>9.125</v>
      </c>
      <c r="P3118" s="2" t="s">
        <v>9855</v>
      </c>
      <c r="Q3118" s="6">
        <v>75</v>
      </c>
      <c r="R3118" s="6">
        <v>3.34</v>
      </c>
      <c r="S3118" s="5">
        <v>-8.6999999999999993</v>
      </c>
      <c r="T3118" s="7">
        <v>-3.4369999999999998</v>
      </c>
      <c r="U3118" s="5">
        <v>-0.9</v>
      </c>
      <c r="V3118" s="7">
        <v>-2.3559999999999999</v>
      </c>
      <c r="W3118" s="6">
        <v>2.75</v>
      </c>
      <c r="X3118" s="6">
        <v>2.75</v>
      </c>
      <c r="Y3118" s="6">
        <v>2.75</v>
      </c>
      <c r="Z3118" s="6">
        <v>3.25</v>
      </c>
      <c r="AA3118" s="6">
        <v>1.27</v>
      </c>
      <c r="AB3118" s="2" t="s">
        <v>86</v>
      </c>
      <c r="AC3118" s="6">
        <v>11.84</v>
      </c>
    </row>
    <row r="3119" spans="1:29" ht="104" x14ac:dyDescent="0.15">
      <c r="A3119" s="3">
        <f>DATE(1997,6,9)</f>
        <v>35590</v>
      </c>
      <c r="B3119" s="3">
        <f>DATE(1997,9,12)</f>
        <v>35685</v>
      </c>
      <c r="C3119" s="2" t="s">
        <v>95</v>
      </c>
      <c r="D3119" s="2" t="s">
        <v>9007</v>
      </c>
      <c r="E3119" s="2" t="s">
        <v>9008</v>
      </c>
      <c r="F3119" s="4">
        <v>5499</v>
      </c>
      <c r="G3119" s="2" t="s">
        <v>1461</v>
      </c>
      <c r="H3119" s="2" t="s">
        <v>34</v>
      </c>
      <c r="I3119" s="2" t="s">
        <v>9856</v>
      </c>
      <c r="J3119" s="2" t="s">
        <v>9676</v>
      </c>
      <c r="K3119" s="2" t="s">
        <v>1461</v>
      </c>
      <c r="L3119" s="2" t="s">
        <v>34</v>
      </c>
      <c r="M3119" s="7">
        <v>511.60899999999998</v>
      </c>
      <c r="N3119" s="6">
        <v>31.75</v>
      </c>
      <c r="O3119" s="4">
        <v>30</v>
      </c>
      <c r="P3119" s="2" t="s">
        <v>9857</v>
      </c>
      <c r="Q3119" s="6">
        <v>100</v>
      </c>
      <c r="R3119" s="6">
        <v>27.57</v>
      </c>
      <c r="S3119" s="5">
        <v>5.2</v>
      </c>
      <c r="T3119" s="6">
        <v>8.67</v>
      </c>
      <c r="U3119" s="5">
        <v>4.8</v>
      </c>
      <c r="V3119" s="7">
        <v>0.98399999999999999</v>
      </c>
      <c r="W3119" s="7">
        <v>23.125</v>
      </c>
      <c r="X3119" s="5">
        <v>25.5</v>
      </c>
      <c r="Y3119" s="7">
        <v>25.375</v>
      </c>
      <c r="Z3119" s="7">
        <v>24.875</v>
      </c>
      <c r="AA3119" s="6">
        <v>5.25</v>
      </c>
      <c r="AB3119" s="7">
        <v>21.513999999999999</v>
      </c>
      <c r="AC3119" s="6">
        <v>1.72</v>
      </c>
    </row>
    <row r="3120" spans="1:29" ht="117" x14ac:dyDescent="0.15">
      <c r="A3120" s="3">
        <f>DATE(1997,6,9)</f>
        <v>35590</v>
      </c>
      <c r="B3120" s="3">
        <f>DATE(1997,7,15)</f>
        <v>35626</v>
      </c>
      <c r="C3120" s="2" t="s">
        <v>95</v>
      </c>
      <c r="D3120" s="2" t="s">
        <v>9858</v>
      </c>
      <c r="E3120" s="2" t="s">
        <v>9859</v>
      </c>
      <c r="F3120" s="4">
        <v>7359</v>
      </c>
      <c r="G3120" s="2" t="s">
        <v>223</v>
      </c>
      <c r="H3120" s="2" t="s">
        <v>34</v>
      </c>
      <c r="I3120" s="2" t="s">
        <v>9860</v>
      </c>
      <c r="J3120" s="2" t="s">
        <v>9861</v>
      </c>
      <c r="K3120" s="2" t="s">
        <v>300</v>
      </c>
      <c r="L3120" s="2" t="s">
        <v>34</v>
      </c>
      <c r="M3120" s="2"/>
      <c r="N3120" s="2"/>
      <c r="O3120" s="2"/>
      <c r="P3120" s="2" t="s">
        <v>9862</v>
      </c>
      <c r="Q3120" s="6">
        <v>100</v>
      </c>
      <c r="R3120" s="6">
        <v>32</v>
      </c>
      <c r="S3120" s="5">
        <v>6.9</v>
      </c>
      <c r="T3120" s="7">
        <v>96.203999999999994</v>
      </c>
      <c r="U3120" s="5">
        <v>8.1999999999999993</v>
      </c>
      <c r="V3120" s="7">
        <v>0.31900000000000001</v>
      </c>
      <c r="W3120" s="6">
        <v>24.62</v>
      </c>
      <c r="X3120" s="6">
        <v>24.87</v>
      </c>
      <c r="Y3120" s="6">
        <v>31.75</v>
      </c>
      <c r="Z3120" s="6">
        <v>31.75</v>
      </c>
      <c r="AA3120" s="6">
        <v>27.99</v>
      </c>
      <c r="AB3120" s="7">
        <v>21.791</v>
      </c>
      <c r="AC3120" s="2"/>
    </row>
    <row r="3121" spans="1:29" ht="143" x14ac:dyDescent="0.15">
      <c r="A3121" s="3">
        <f>DATE(1997,6,10)</f>
        <v>35591</v>
      </c>
      <c r="B3121" s="3">
        <f>DATE(1997,11,3)</f>
        <v>35737</v>
      </c>
      <c r="C3121" s="2" t="s">
        <v>95</v>
      </c>
      <c r="D3121" s="2" t="s">
        <v>9863</v>
      </c>
      <c r="E3121" s="2" t="s">
        <v>265</v>
      </c>
      <c r="F3121" s="4">
        <v>6021</v>
      </c>
      <c r="G3121" s="2" t="s">
        <v>37</v>
      </c>
      <c r="H3121" s="2" t="s">
        <v>34</v>
      </c>
      <c r="I3121" s="2" t="s">
        <v>2050</v>
      </c>
      <c r="J3121" s="2" t="s">
        <v>36</v>
      </c>
      <c r="K3121" s="2" t="s">
        <v>37</v>
      </c>
      <c r="L3121" s="2" t="s">
        <v>34</v>
      </c>
      <c r="M3121" s="12">
        <v>9794.5010000000002</v>
      </c>
      <c r="N3121" s="6">
        <v>62.25</v>
      </c>
      <c r="O3121" s="4">
        <v>63</v>
      </c>
      <c r="P3121" s="2" t="s">
        <v>9864</v>
      </c>
      <c r="Q3121" s="6">
        <v>100</v>
      </c>
      <c r="R3121" s="6">
        <v>38.83</v>
      </c>
      <c r="S3121" s="5">
        <v>27.8</v>
      </c>
      <c r="T3121" s="7">
        <v>49.305</v>
      </c>
      <c r="U3121" s="5">
        <v>14.7</v>
      </c>
      <c r="V3121" s="6">
        <v>1.86</v>
      </c>
      <c r="W3121" s="4">
        <v>29</v>
      </c>
      <c r="X3121" s="4">
        <v>30</v>
      </c>
      <c r="Y3121" s="6">
        <v>37.75</v>
      </c>
      <c r="Z3121" s="6">
        <v>38.75</v>
      </c>
      <c r="AA3121" s="6">
        <v>13.93</v>
      </c>
      <c r="AB3121" s="7">
        <v>14.023</v>
      </c>
      <c r="AC3121" s="2"/>
    </row>
    <row r="3122" spans="1:29" ht="104" x14ac:dyDescent="0.15">
      <c r="A3122" s="3">
        <f>DATE(1997,6,10)</f>
        <v>35591</v>
      </c>
      <c r="B3122" s="3">
        <f>DATE(1997,8,28)</f>
        <v>35670</v>
      </c>
      <c r="C3122" s="2" t="s">
        <v>95</v>
      </c>
      <c r="D3122" s="2" t="s">
        <v>9865</v>
      </c>
      <c r="E3122" s="2" t="s">
        <v>9866</v>
      </c>
      <c r="F3122" s="4">
        <v>3571</v>
      </c>
      <c r="G3122" s="2" t="s">
        <v>50</v>
      </c>
      <c r="H3122" s="2" t="s">
        <v>34</v>
      </c>
      <c r="I3122" s="2" t="s">
        <v>9557</v>
      </c>
      <c r="J3122" s="2" t="s">
        <v>9558</v>
      </c>
      <c r="K3122" s="2" t="s">
        <v>50</v>
      </c>
      <c r="L3122" s="2" t="s">
        <v>34</v>
      </c>
      <c r="M3122" s="12">
        <v>1778.2239999999999</v>
      </c>
      <c r="N3122" s="7">
        <v>16.625</v>
      </c>
      <c r="O3122" s="7">
        <v>16.812999999999999</v>
      </c>
      <c r="P3122" s="2" t="s">
        <v>9867</v>
      </c>
      <c r="Q3122" s="6">
        <v>100</v>
      </c>
      <c r="R3122" s="6">
        <v>1</v>
      </c>
      <c r="S3122" s="5">
        <v>-36.299999999999997</v>
      </c>
      <c r="T3122" s="7">
        <v>-28.475999999999999</v>
      </c>
      <c r="U3122" s="5">
        <v>1.5</v>
      </c>
      <c r="V3122" s="7">
        <v>-2.6320000000000001</v>
      </c>
      <c r="W3122" s="7">
        <v>1.1879999999999999</v>
      </c>
      <c r="X3122" s="7">
        <v>1.3129999999999999</v>
      </c>
      <c r="Y3122" s="7">
        <v>0.96899999999999997</v>
      </c>
      <c r="Z3122" s="7">
        <v>0.96899999999999997</v>
      </c>
      <c r="AA3122" s="6">
        <v>13.98</v>
      </c>
      <c r="AB3122" s="2" t="s">
        <v>86</v>
      </c>
      <c r="AC3122" s="6">
        <v>115.84</v>
      </c>
    </row>
    <row r="3123" spans="1:29" ht="143" x14ac:dyDescent="0.15">
      <c r="A3123" s="3">
        <f>DATE(1997,6,10)</f>
        <v>35591</v>
      </c>
      <c r="B3123" s="3">
        <f>DATE(1997,9,30)</f>
        <v>35703</v>
      </c>
      <c r="C3123" s="2" t="s">
        <v>95</v>
      </c>
      <c r="D3123" s="2" t="s">
        <v>9868</v>
      </c>
      <c r="E3123" s="2" t="s">
        <v>9869</v>
      </c>
      <c r="F3123" s="4">
        <v>3826</v>
      </c>
      <c r="G3123" s="2" t="s">
        <v>226</v>
      </c>
      <c r="H3123" s="2" t="s">
        <v>34</v>
      </c>
      <c r="I3123" s="2" t="s">
        <v>8199</v>
      </c>
      <c r="J3123" s="2" t="s">
        <v>8200</v>
      </c>
      <c r="K3123" s="2" t="s">
        <v>148</v>
      </c>
      <c r="L3123" s="2" t="s">
        <v>34</v>
      </c>
      <c r="M3123" s="12">
        <v>9627.4670000000006</v>
      </c>
      <c r="N3123" s="7">
        <v>80.875</v>
      </c>
      <c r="O3123" s="7">
        <v>79.125</v>
      </c>
      <c r="P3123" s="2" t="s">
        <v>9870</v>
      </c>
      <c r="Q3123" s="6">
        <v>100</v>
      </c>
      <c r="R3123" s="6">
        <v>39.619999999999997</v>
      </c>
      <c r="S3123" s="5">
        <v>0.7</v>
      </c>
      <c r="T3123" s="7">
        <v>5.2370000000000001</v>
      </c>
      <c r="U3123" s="5">
        <v>2.4</v>
      </c>
      <c r="V3123" s="7">
        <v>7.4999999999999997E-2</v>
      </c>
      <c r="W3123" s="7">
        <v>19.875</v>
      </c>
      <c r="X3123" s="6">
        <v>20.75</v>
      </c>
      <c r="Y3123" s="6">
        <v>20.75</v>
      </c>
      <c r="Z3123" s="7">
        <v>36.938000000000002</v>
      </c>
      <c r="AA3123" s="6">
        <v>8.4</v>
      </c>
      <c r="AB3123" s="7">
        <v>465.47300000000001</v>
      </c>
      <c r="AC3123" s="5">
        <v>213.6</v>
      </c>
    </row>
    <row r="3124" spans="1:29" ht="156" x14ac:dyDescent="0.15">
      <c r="A3124" s="3">
        <f>DATE(1997,6,11)</f>
        <v>35592</v>
      </c>
      <c r="B3124" s="3">
        <f>DATE(1997,10,31)</f>
        <v>35734</v>
      </c>
      <c r="C3124" s="2" t="s">
        <v>95</v>
      </c>
      <c r="D3124" s="2" t="s">
        <v>9871</v>
      </c>
      <c r="E3124" s="2" t="s">
        <v>9872</v>
      </c>
      <c r="F3124" s="4">
        <v>1521</v>
      </c>
      <c r="G3124" s="2" t="s">
        <v>341</v>
      </c>
      <c r="H3124" s="2" t="s">
        <v>34</v>
      </c>
      <c r="I3124" s="2" t="s">
        <v>9873</v>
      </c>
      <c r="J3124" s="2" t="s">
        <v>2692</v>
      </c>
      <c r="K3124" s="2" t="s">
        <v>341</v>
      </c>
      <c r="L3124" s="2" t="s">
        <v>34</v>
      </c>
      <c r="M3124" s="7">
        <v>967.09900000000005</v>
      </c>
      <c r="N3124" s="7">
        <v>30.625</v>
      </c>
      <c r="O3124" s="4">
        <v>32</v>
      </c>
      <c r="P3124" s="2" t="s">
        <v>9874</v>
      </c>
      <c r="Q3124" s="6">
        <v>100</v>
      </c>
      <c r="R3124" s="6">
        <v>30.02</v>
      </c>
      <c r="S3124" s="5">
        <v>19.7</v>
      </c>
      <c r="T3124" s="7">
        <v>32.558999999999997</v>
      </c>
      <c r="U3124" s="5">
        <v>9</v>
      </c>
      <c r="V3124" s="9">
        <v>1.1598999999999999</v>
      </c>
      <c r="W3124" s="7">
        <v>16.375</v>
      </c>
      <c r="X3124" s="7">
        <v>17.125</v>
      </c>
      <c r="Y3124" s="7">
        <v>15.125</v>
      </c>
      <c r="Z3124" s="7">
        <v>16.125</v>
      </c>
      <c r="AA3124" s="6">
        <v>14.96</v>
      </c>
      <c r="AB3124" s="7">
        <v>20.719000000000001</v>
      </c>
      <c r="AC3124" s="6">
        <v>12.96</v>
      </c>
    </row>
    <row r="3125" spans="1:29" ht="143" x14ac:dyDescent="0.15">
      <c r="A3125" s="3">
        <f>DATE(1997,6,12)</f>
        <v>35593</v>
      </c>
      <c r="B3125" s="2"/>
      <c r="C3125" s="2" t="s">
        <v>30</v>
      </c>
      <c r="D3125" s="2" t="s">
        <v>9737</v>
      </c>
      <c r="E3125" s="2" t="s">
        <v>9738</v>
      </c>
      <c r="F3125" s="4">
        <v>3081</v>
      </c>
      <c r="G3125" s="2" t="s">
        <v>447</v>
      </c>
      <c r="H3125" s="2" t="s">
        <v>34</v>
      </c>
      <c r="I3125" s="2" t="s">
        <v>9875</v>
      </c>
      <c r="J3125" s="2" t="s">
        <v>302</v>
      </c>
      <c r="K3125" s="2" t="s">
        <v>53</v>
      </c>
      <c r="L3125" s="2" t="s">
        <v>34</v>
      </c>
      <c r="M3125" s="2"/>
      <c r="N3125" s="2"/>
      <c r="O3125" s="2"/>
      <c r="P3125" s="2" t="s">
        <v>9876</v>
      </c>
      <c r="Q3125" s="2"/>
      <c r="R3125" s="6">
        <v>8.5</v>
      </c>
      <c r="S3125" s="5">
        <v>-13.7</v>
      </c>
      <c r="T3125" s="7">
        <v>100.38200000000001</v>
      </c>
      <c r="U3125" s="5">
        <v>7.1</v>
      </c>
      <c r="V3125" s="7">
        <v>-0.95499999999999996</v>
      </c>
      <c r="W3125" s="7">
        <v>7.375</v>
      </c>
      <c r="X3125" s="6">
        <v>7.25</v>
      </c>
      <c r="Y3125" s="9">
        <v>8.1875</v>
      </c>
      <c r="Z3125" s="7">
        <v>8.375</v>
      </c>
      <c r="AA3125" s="6">
        <v>14.56</v>
      </c>
      <c r="AB3125" s="7">
        <v>15.523</v>
      </c>
      <c r="AC3125" s="2"/>
    </row>
    <row r="3126" spans="1:29" ht="104" x14ac:dyDescent="0.15">
      <c r="A3126" s="3">
        <f>DATE(1997,6,12)</f>
        <v>35593</v>
      </c>
      <c r="B3126" s="3">
        <f>DATE(1997,7,31)</f>
        <v>35642</v>
      </c>
      <c r="C3126" s="2" t="s">
        <v>95</v>
      </c>
      <c r="D3126" s="2" t="s">
        <v>3463</v>
      </c>
      <c r="E3126" s="2" t="s">
        <v>367</v>
      </c>
      <c r="F3126" s="4">
        <v>6211</v>
      </c>
      <c r="G3126" s="2" t="s">
        <v>53</v>
      </c>
      <c r="H3126" s="2" t="s">
        <v>34</v>
      </c>
      <c r="I3126" s="2" t="s">
        <v>1804</v>
      </c>
      <c r="J3126" s="2" t="s">
        <v>367</v>
      </c>
      <c r="K3126" s="2" t="s">
        <v>53</v>
      </c>
      <c r="L3126" s="2" t="s">
        <v>902</v>
      </c>
      <c r="M3126" s="2"/>
      <c r="N3126" s="2"/>
      <c r="O3126" s="2"/>
      <c r="P3126" s="2" t="s">
        <v>9877</v>
      </c>
      <c r="Q3126" s="6">
        <v>100</v>
      </c>
      <c r="R3126" s="6">
        <v>15</v>
      </c>
      <c r="S3126" s="5">
        <v>3.3</v>
      </c>
      <c r="T3126" s="7">
        <v>8.4589999999999996</v>
      </c>
      <c r="U3126" s="5">
        <v>12.1</v>
      </c>
      <c r="V3126" s="6">
        <v>1.26</v>
      </c>
      <c r="W3126" s="7">
        <v>9.875</v>
      </c>
      <c r="X3126" s="6">
        <v>8.75</v>
      </c>
      <c r="Y3126" s="7">
        <v>14.125</v>
      </c>
      <c r="Z3126" s="7">
        <v>14.125</v>
      </c>
      <c r="AA3126" s="6">
        <v>2.5</v>
      </c>
      <c r="AB3126" s="7">
        <v>8.484</v>
      </c>
      <c r="AC3126" s="6">
        <v>11.27</v>
      </c>
    </row>
    <row r="3127" spans="1:29" ht="104" x14ac:dyDescent="0.15">
      <c r="A3127" s="3">
        <f>DATE(1997,6,12)</f>
        <v>35593</v>
      </c>
      <c r="B3127" s="3">
        <f>DATE(1997,10,1)</f>
        <v>35704</v>
      </c>
      <c r="C3127" s="2" t="s">
        <v>95</v>
      </c>
      <c r="D3127" s="2" t="s">
        <v>2022</v>
      </c>
      <c r="E3127" s="2" t="s">
        <v>2023</v>
      </c>
      <c r="F3127" s="4">
        <v>3541</v>
      </c>
      <c r="G3127" s="2" t="s">
        <v>300</v>
      </c>
      <c r="H3127" s="2" t="s">
        <v>34</v>
      </c>
      <c r="I3127" s="2" t="s">
        <v>9878</v>
      </c>
      <c r="J3127" s="2" t="s">
        <v>9879</v>
      </c>
      <c r="K3127" s="2" t="s">
        <v>163</v>
      </c>
      <c r="L3127" s="2" t="s">
        <v>1049</v>
      </c>
      <c r="M3127" s="2"/>
      <c r="N3127" s="2"/>
      <c r="O3127" s="2"/>
      <c r="P3127" s="2" t="s">
        <v>9880</v>
      </c>
      <c r="Q3127" s="6">
        <v>100</v>
      </c>
      <c r="R3127" s="6">
        <v>21</v>
      </c>
      <c r="S3127" s="5">
        <v>-15.6</v>
      </c>
      <c r="T3127" s="7">
        <v>-6.7460000000000004</v>
      </c>
      <c r="U3127" s="5">
        <v>14</v>
      </c>
      <c r="V3127" s="7">
        <v>-0.44700000000000001</v>
      </c>
      <c r="W3127" s="6">
        <v>19.12</v>
      </c>
      <c r="X3127" s="4">
        <v>19</v>
      </c>
      <c r="Y3127" s="7">
        <v>13.625</v>
      </c>
      <c r="Z3127" s="7">
        <v>20.359000000000002</v>
      </c>
      <c r="AA3127" s="6">
        <v>31.96</v>
      </c>
      <c r="AB3127" s="2" t="s">
        <v>86</v>
      </c>
      <c r="AC3127" s="6">
        <v>733.66</v>
      </c>
    </row>
    <row r="3128" spans="1:29" ht="39" x14ac:dyDescent="0.15">
      <c r="A3128" s="3">
        <f>DATE(1997,6,12)</f>
        <v>35593</v>
      </c>
      <c r="B3128" s="2"/>
      <c r="C3128" s="2" t="s">
        <v>7330</v>
      </c>
      <c r="D3128" s="2" t="s">
        <v>9881</v>
      </c>
      <c r="E3128" s="2" t="s">
        <v>9882</v>
      </c>
      <c r="F3128" s="4">
        <v>2022</v>
      </c>
      <c r="G3128" s="2" t="s">
        <v>577</v>
      </c>
      <c r="H3128" s="2" t="s">
        <v>34</v>
      </c>
      <c r="I3128" s="2" t="s">
        <v>9883</v>
      </c>
      <c r="J3128" s="2" t="s">
        <v>9884</v>
      </c>
      <c r="K3128" s="2" t="s">
        <v>593</v>
      </c>
      <c r="L3128" s="2" t="s">
        <v>34</v>
      </c>
      <c r="M3128" s="7">
        <v>19.391999999999999</v>
      </c>
      <c r="N3128" s="4">
        <v>4</v>
      </c>
      <c r="O3128" s="7">
        <v>4.125</v>
      </c>
      <c r="P3128" s="2" t="s">
        <v>9885</v>
      </c>
      <c r="Q3128" s="2"/>
      <c r="R3128" s="6">
        <v>2.5</v>
      </c>
      <c r="S3128" s="5">
        <v>0.2</v>
      </c>
      <c r="T3128" s="7">
        <v>0.92400000000000004</v>
      </c>
      <c r="U3128" s="5">
        <v>1.7</v>
      </c>
      <c r="V3128" s="7">
        <v>7.8E-2</v>
      </c>
      <c r="W3128" s="4">
        <v>1</v>
      </c>
      <c r="X3128" s="7">
        <v>1.2809999999999999</v>
      </c>
      <c r="Y3128" s="9">
        <v>1.8125</v>
      </c>
      <c r="Z3128" s="9">
        <v>1.8125</v>
      </c>
      <c r="AA3128" s="6">
        <v>3</v>
      </c>
      <c r="AB3128" s="7">
        <v>16.888999999999999</v>
      </c>
      <c r="AC3128" s="6">
        <v>0.53</v>
      </c>
    </row>
    <row r="3129" spans="1:29" ht="91" x14ac:dyDescent="0.15">
      <c r="A3129" s="3">
        <f>DATE(1997,6,12)</f>
        <v>35593</v>
      </c>
      <c r="B3129" s="2"/>
      <c r="C3129" s="2" t="s">
        <v>30</v>
      </c>
      <c r="D3129" s="2" t="s">
        <v>9886</v>
      </c>
      <c r="E3129" s="2" t="s">
        <v>9887</v>
      </c>
      <c r="F3129" s="4">
        <v>3465</v>
      </c>
      <c r="G3129" s="2" t="s">
        <v>163</v>
      </c>
      <c r="H3129" s="2" t="s">
        <v>34</v>
      </c>
      <c r="I3129" s="2" t="s">
        <v>9888</v>
      </c>
      <c r="J3129" s="2" t="s">
        <v>9889</v>
      </c>
      <c r="K3129" s="2" t="s">
        <v>300</v>
      </c>
      <c r="L3129" s="2" t="s">
        <v>34</v>
      </c>
      <c r="M3129" s="2"/>
      <c r="N3129" s="2"/>
      <c r="O3129" s="2"/>
      <c r="P3129" s="2" t="s">
        <v>9890</v>
      </c>
      <c r="Q3129" s="2"/>
      <c r="R3129" s="6">
        <v>19</v>
      </c>
      <c r="S3129" s="5">
        <v>17.3</v>
      </c>
      <c r="T3129" s="6">
        <v>35.71</v>
      </c>
      <c r="U3129" s="5">
        <v>9.6999999999999993</v>
      </c>
      <c r="V3129" s="6">
        <v>1.35</v>
      </c>
      <c r="W3129" s="6">
        <v>16.25</v>
      </c>
      <c r="X3129" s="7">
        <v>16.812999999999999</v>
      </c>
      <c r="Y3129" s="6">
        <v>20.25</v>
      </c>
      <c r="Z3129" s="6">
        <v>20.25</v>
      </c>
      <c r="AA3129" s="6">
        <v>13.04</v>
      </c>
      <c r="AB3129" s="7">
        <v>10.455</v>
      </c>
      <c r="AC3129" s="2"/>
    </row>
    <row r="3130" spans="1:29" ht="39" x14ac:dyDescent="0.15">
      <c r="A3130" s="3">
        <f>DATE(1997,6,13)</f>
        <v>35594</v>
      </c>
      <c r="B3130" s="2"/>
      <c r="C3130" s="2" t="s">
        <v>87</v>
      </c>
      <c r="D3130" s="2" t="s">
        <v>9891</v>
      </c>
      <c r="E3130" s="2" t="s">
        <v>367</v>
      </c>
      <c r="F3130" s="4">
        <v>6211</v>
      </c>
      <c r="G3130" s="2" t="s">
        <v>53</v>
      </c>
      <c r="H3130" s="2" t="s">
        <v>34</v>
      </c>
      <c r="I3130" s="2" t="s">
        <v>4293</v>
      </c>
      <c r="J3130" s="2" t="s">
        <v>36</v>
      </c>
      <c r="K3130" s="2" t="s">
        <v>37</v>
      </c>
      <c r="L3130" s="2" t="s">
        <v>34</v>
      </c>
      <c r="M3130" s="12">
        <v>15605.409</v>
      </c>
      <c r="N3130" s="4">
        <v>64</v>
      </c>
      <c r="O3130" s="7">
        <v>63.875</v>
      </c>
      <c r="P3130" s="2" t="s">
        <v>9892</v>
      </c>
      <c r="Q3130" s="2"/>
      <c r="R3130" s="2"/>
      <c r="S3130" s="5">
        <v>11.8</v>
      </c>
      <c r="T3130" s="7">
        <v>28.661999999999999</v>
      </c>
      <c r="U3130" s="5">
        <v>10.6</v>
      </c>
      <c r="V3130" s="6">
        <v>1.35</v>
      </c>
      <c r="W3130" s="5">
        <v>16.5</v>
      </c>
      <c r="X3130" s="7">
        <v>18.125</v>
      </c>
      <c r="Y3130" s="6">
        <v>23.25</v>
      </c>
      <c r="Z3130" s="4">
        <v>26</v>
      </c>
      <c r="AA3130" s="6">
        <v>8.5500000000000007</v>
      </c>
      <c r="AB3130" s="2" t="s">
        <v>47</v>
      </c>
      <c r="AC3130" s="2"/>
    </row>
    <row r="3131" spans="1:29" ht="39" x14ac:dyDescent="0.15">
      <c r="A3131" s="3">
        <f>DATE(1997,6,13)</f>
        <v>35594</v>
      </c>
      <c r="B3131" s="2"/>
      <c r="C3131" s="2" t="s">
        <v>87</v>
      </c>
      <c r="D3131" s="2" t="s">
        <v>368</v>
      </c>
      <c r="E3131" s="2" t="s">
        <v>369</v>
      </c>
      <c r="F3131" s="4">
        <v>6141</v>
      </c>
      <c r="G3131" s="2" t="s">
        <v>370</v>
      </c>
      <c r="H3131" s="2" t="s">
        <v>34</v>
      </c>
      <c r="I3131" s="2" t="s">
        <v>888</v>
      </c>
      <c r="J3131" s="2" t="s">
        <v>672</v>
      </c>
      <c r="K3131" s="2" t="s">
        <v>37</v>
      </c>
      <c r="L3131" s="2" t="s">
        <v>34</v>
      </c>
      <c r="M3131" s="12">
        <v>55107.313000000002</v>
      </c>
      <c r="N3131" s="7">
        <v>120.625</v>
      </c>
      <c r="O3131" s="6">
        <v>122.75</v>
      </c>
      <c r="P3131" s="2" t="s">
        <v>9893</v>
      </c>
      <c r="Q3131" s="2"/>
      <c r="R3131" s="2"/>
      <c r="S3131" s="8">
        <v>1901</v>
      </c>
      <c r="T3131" s="8">
        <v>3146</v>
      </c>
      <c r="U3131" s="5">
        <v>5.3</v>
      </c>
      <c r="V3131" s="9">
        <v>1.1378999999999999</v>
      </c>
      <c r="W3131" s="6">
        <v>71.75</v>
      </c>
      <c r="X3131" s="7">
        <v>73.125</v>
      </c>
      <c r="Y3131" s="7">
        <v>76.625</v>
      </c>
      <c r="Z3131" s="6">
        <v>75.25</v>
      </c>
      <c r="AA3131" s="6">
        <v>11.81</v>
      </c>
      <c r="AB3131" s="2" t="s">
        <v>47</v>
      </c>
      <c r="AC3131" s="2"/>
    </row>
    <row r="3132" spans="1:29" ht="130" x14ac:dyDescent="0.15">
      <c r="A3132" s="3">
        <f>DATE(1997,6,13)</f>
        <v>35594</v>
      </c>
      <c r="B3132" s="3">
        <f>DATE(1998,3,26)</f>
        <v>35880</v>
      </c>
      <c r="C3132" s="2" t="s">
        <v>95</v>
      </c>
      <c r="D3132" s="2" t="s">
        <v>9894</v>
      </c>
      <c r="E3132" s="2" t="s">
        <v>7706</v>
      </c>
      <c r="F3132" s="4">
        <v>7993</v>
      </c>
      <c r="G3132" s="2" t="s">
        <v>364</v>
      </c>
      <c r="H3132" s="2" t="s">
        <v>34</v>
      </c>
      <c r="I3132" s="2" t="s">
        <v>267</v>
      </c>
      <c r="J3132" s="2" t="s">
        <v>268</v>
      </c>
      <c r="K3132" s="2" t="s">
        <v>269</v>
      </c>
      <c r="L3132" s="2" t="s">
        <v>34</v>
      </c>
      <c r="M3132" s="8">
        <v>7327.5</v>
      </c>
      <c r="N3132" s="6">
        <v>28.75</v>
      </c>
      <c r="O3132" s="7">
        <v>28.875</v>
      </c>
      <c r="P3132" s="2" t="s">
        <v>9895</v>
      </c>
      <c r="Q3132" s="6">
        <v>9.98</v>
      </c>
      <c r="R3132" s="6">
        <v>52.75</v>
      </c>
      <c r="S3132" s="5">
        <v>23</v>
      </c>
      <c r="T3132" s="7">
        <v>88.915000000000006</v>
      </c>
      <c r="U3132" s="5">
        <v>11.1</v>
      </c>
      <c r="V3132" s="6">
        <v>2.58</v>
      </c>
      <c r="W3132" s="6">
        <v>40.630000000000003</v>
      </c>
      <c r="X3132" s="6">
        <v>38.25</v>
      </c>
      <c r="Y3132" s="7">
        <v>50.375</v>
      </c>
      <c r="Z3132" s="5">
        <v>49.5</v>
      </c>
      <c r="AA3132" s="6">
        <v>8.5299999999999994</v>
      </c>
      <c r="AB3132" s="7">
        <v>11.903</v>
      </c>
      <c r="AC3132" s="5">
        <v>438</v>
      </c>
    </row>
    <row r="3133" spans="1:29" ht="117" x14ac:dyDescent="0.15">
      <c r="A3133" s="3">
        <f>DATE(1997,6,16)</f>
        <v>35597</v>
      </c>
      <c r="B3133" s="3">
        <f>DATE(1997,8,29)</f>
        <v>35671</v>
      </c>
      <c r="C3133" s="2" t="s">
        <v>95</v>
      </c>
      <c r="D3133" s="2" t="s">
        <v>9896</v>
      </c>
      <c r="E3133" s="2" t="s">
        <v>9897</v>
      </c>
      <c r="F3133" s="4">
        <v>3825</v>
      </c>
      <c r="G3133" s="2" t="s">
        <v>226</v>
      </c>
      <c r="H3133" s="2" t="s">
        <v>34</v>
      </c>
      <c r="I3133" s="2" t="s">
        <v>9898</v>
      </c>
      <c r="J3133" s="2" t="s">
        <v>9899</v>
      </c>
      <c r="K3133" s="2" t="s">
        <v>300</v>
      </c>
      <c r="L3133" s="2" t="s">
        <v>34</v>
      </c>
      <c r="M3133" s="10">
        <v>1221.48</v>
      </c>
      <c r="N3133" s="7">
        <v>25.625</v>
      </c>
      <c r="O3133" s="7">
        <v>25.375</v>
      </c>
      <c r="P3133" s="2" t="s">
        <v>9900</v>
      </c>
      <c r="Q3133" s="6">
        <v>100</v>
      </c>
      <c r="R3133" s="6">
        <v>25</v>
      </c>
      <c r="S3133" s="5">
        <v>12.9</v>
      </c>
      <c r="T3133" s="7">
        <v>28.641999999999999</v>
      </c>
      <c r="U3133" s="5">
        <v>9.6</v>
      </c>
      <c r="V3133" s="6">
        <v>1.24</v>
      </c>
      <c r="W3133" s="7">
        <v>18.125</v>
      </c>
      <c r="X3133" s="6">
        <v>19.75</v>
      </c>
      <c r="Y3133" s="6">
        <v>23.25</v>
      </c>
      <c r="Z3133" s="6">
        <v>23.25</v>
      </c>
      <c r="AA3133" s="6">
        <v>10.72</v>
      </c>
      <c r="AB3133" s="7">
        <v>13.430999999999999</v>
      </c>
      <c r="AC3133" s="6">
        <v>227.96</v>
      </c>
    </row>
    <row r="3134" spans="1:29" ht="26" x14ac:dyDescent="0.15">
      <c r="A3134" s="3">
        <f>DATE(1997,6,16)</f>
        <v>35597</v>
      </c>
      <c r="B3134" s="3">
        <f>DATE(1999,9,30)</f>
        <v>36433</v>
      </c>
      <c r="C3134" s="2" t="s">
        <v>95</v>
      </c>
      <c r="D3134" s="2" t="s">
        <v>9901</v>
      </c>
      <c r="E3134" s="2" t="s">
        <v>9299</v>
      </c>
      <c r="F3134" s="4">
        <v>6799</v>
      </c>
      <c r="G3134" s="2" t="s">
        <v>53</v>
      </c>
      <c r="H3134" s="2" t="s">
        <v>34</v>
      </c>
      <c r="I3134" s="2" t="s">
        <v>51</v>
      </c>
      <c r="J3134" s="2" t="s">
        <v>52</v>
      </c>
      <c r="K3134" s="2" t="s">
        <v>53</v>
      </c>
      <c r="L3134" s="2" t="s">
        <v>34</v>
      </c>
      <c r="M3134" s="2"/>
      <c r="N3134" s="2"/>
      <c r="O3134" s="2"/>
      <c r="P3134" s="2" t="s">
        <v>9902</v>
      </c>
      <c r="Q3134" s="6">
        <v>100</v>
      </c>
      <c r="R3134" s="2"/>
      <c r="S3134" s="2"/>
      <c r="T3134" s="2"/>
      <c r="U3134" s="2"/>
      <c r="V3134" s="2"/>
      <c r="W3134" s="7">
        <v>1.2969999999999999</v>
      </c>
      <c r="X3134" s="7">
        <v>1.2190000000000001</v>
      </c>
      <c r="Y3134" s="7">
        <v>1.625</v>
      </c>
      <c r="Z3134" s="7">
        <v>1.6879999999999999</v>
      </c>
      <c r="AA3134" s="2"/>
      <c r="AB3134" s="2" t="s">
        <v>47</v>
      </c>
      <c r="AC3134" s="2"/>
    </row>
    <row r="3135" spans="1:29" ht="169" x14ac:dyDescent="0.15">
      <c r="A3135" s="3">
        <f>DATE(1997,6,16)</f>
        <v>35597</v>
      </c>
      <c r="B3135" s="3">
        <f>DATE(1997,9,30)</f>
        <v>35703</v>
      </c>
      <c r="C3135" s="2" t="s">
        <v>95</v>
      </c>
      <c r="D3135" s="2" t="s">
        <v>9903</v>
      </c>
      <c r="E3135" s="2" t="s">
        <v>9904</v>
      </c>
      <c r="F3135" s="4">
        <v>5632</v>
      </c>
      <c r="G3135" s="2" t="s">
        <v>756</v>
      </c>
      <c r="H3135" s="2" t="s">
        <v>34</v>
      </c>
      <c r="I3135" s="2" t="s">
        <v>51</v>
      </c>
      <c r="J3135" s="2" t="s">
        <v>52</v>
      </c>
      <c r="K3135" s="2" t="s">
        <v>53</v>
      </c>
      <c r="L3135" s="2" t="s">
        <v>34</v>
      </c>
      <c r="M3135" s="2"/>
      <c r="N3135" s="2"/>
      <c r="O3135" s="2"/>
      <c r="P3135" s="2" t="s">
        <v>9905</v>
      </c>
      <c r="Q3135" s="6">
        <v>100</v>
      </c>
      <c r="R3135" s="6">
        <v>7.75</v>
      </c>
      <c r="S3135" s="5">
        <v>2.7</v>
      </c>
      <c r="T3135" s="7">
        <v>7.8760000000000003</v>
      </c>
      <c r="U3135" s="5">
        <v>4.0999999999999996</v>
      </c>
      <c r="V3135" s="6">
        <v>0.31</v>
      </c>
      <c r="W3135" s="6">
        <v>4.25</v>
      </c>
      <c r="X3135" s="6">
        <v>4.13</v>
      </c>
      <c r="Y3135" s="7">
        <v>4.1879999999999997</v>
      </c>
      <c r="Z3135" s="4">
        <v>5</v>
      </c>
      <c r="AA3135" s="6">
        <v>8.9</v>
      </c>
      <c r="AB3135" s="7">
        <v>15.772</v>
      </c>
      <c r="AC3135" s="2"/>
    </row>
    <row r="3136" spans="1:29" ht="143" x14ac:dyDescent="0.15">
      <c r="A3136" s="3">
        <f>DATE(1997,6,16)</f>
        <v>35597</v>
      </c>
      <c r="B3136" s="3">
        <f>DATE(1997,10,10)</f>
        <v>35713</v>
      </c>
      <c r="C3136" s="2" t="s">
        <v>95</v>
      </c>
      <c r="D3136" s="2" t="s">
        <v>4625</v>
      </c>
      <c r="E3136" s="2" t="s">
        <v>4626</v>
      </c>
      <c r="F3136" s="4">
        <v>8051</v>
      </c>
      <c r="G3136" s="2" t="s">
        <v>454</v>
      </c>
      <c r="H3136" s="2" t="s">
        <v>34</v>
      </c>
      <c r="I3136" s="2" t="s">
        <v>9906</v>
      </c>
      <c r="J3136" s="2" t="s">
        <v>9907</v>
      </c>
      <c r="K3136" s="2" t="s">
        <v>454</v>
      </c>
      <c r="L3136" s="2" t="s">
        <v>34</v>
      </c>
      <c r="M3136" s="2"/>
      <c r="N3136" s="2"/>
      <c r="O3136" s="2"/>
      <c r="P3136" s="2" t="s">
        <v>9908</v>
      </c>
      <c r="Q3136" s="6">
        <v>100</v>
      </c>
      <c r="R3136" s="6">
        <v>28</v>
      </c>
      <c r="S3136" s="5">
        <v>28.7</v>
      </c>
      <c r="T3136" s="5">
        <v>93.5</v>
      </c>
      <c r="U3136" s="5">
        <v>6.9</v>
      </c>
      <c r="V3136" s="6">
        <v>1.02</v>
      </c>
      <c r="W3136" s="7">
        <v>24.625</v>
      </c>
      <c r="X3136" s="6">
        <v>25.62</v>
      </c>
      <c r="Y3136" s="7">
        <v>26.875</v>
      </c>
      <c r="Z3136" s="6">
        <v>26.75</v>
      </c>
      <c r="AA3136" s="6">
        <v>30.8</v>
      </c>
      <c r="AB3136" s="7">
        <v>18.420000000000002</v>
      </c>
      <c r="AC3136" s="2"/>
    </row>
    <row r="3137" spans="1:29" ht="117" x14ac:dyDescent="0.15">
      <c r="A3137" s="3">
        <f>DATE(1997,6,16)</f>
        <v>35597</v>
      </c>
      <c r="B3137" s="3">
        <f>DATE(1997,8,7)</f>
        <v>35649</v>
      </c>
      <c r="C3137" s="2" t="s">
        <v>95</v>
      </c>
      <c r="D3137" s="2" t="s">
        <v>9909</v>
      </c>
      <c r="E3137" s="2" t="s">
        <v>9910</v>
      </c>
      <c r="F3137" s="4">
        <v>3537</v>
      </c>
      <c r="G3137" s="2" t="s">
        <v>300</v>
      </c>
      <c r="H3137" s="2" t="s">
        <v>34</v>
      </c>
      <c r="I3137" s="2" t="s">
        <v>9911</v>
      </c>
      <c r="J3137" s="2" t="s">
        <v>9912</v>
      </c>
      <c r="K3137" s="2" t="s">
        <v>300</v>
      </c>
      <c r="L3137" s="2" t="s">
        <v>435</v>
      </c>
      <c r="M3137" s="2"/>
      <c r="N3137" s="2"/>
      <c r="O3137" s="2"/>
      <c r="P3137" s="2" t="s">
        <v>9913</v>
      </c>
      <c r="Q3137" s="6">
        <v>100</v>
      </c>
      <c r="R3137" s="6">
        <v>33</v>
      </c>
      <c r="S3137" s="5">
        <v>15</v>
      </c>
      <c r="T3137" s="7">
        <v>41.893999999999998</v>
      </c>
      <c r="U3137" s="5">
        <v>15.6</v>
      </c>
      <c r="V3137" s="6">
        <v>2</v>
      </c>
      <c r="W3137" s="5">
        <v>33.5</v>
      </c>
      <c r="X3137" s="7">
        <v>35.125</v>
      </c>
      <c r="Y3137" s="6">
        <v>32.75</v>
      </c>
      <c r="Z3137" s="7">
        <v>32.563000000000002</v>
      </c>
      <c r="AA3137" s="6">
        <v>10.74</v>
      </c>
      <c r="AB3137" s="7">
        <v>11.191000000000001</v>
      </c>
      <c r="AC3137" s="6">
        <v>24.52</v>
      </c>
    </row>
    <row r="3138" spans="1:29" ht="104" x14ac:dyDescent="0.15">
      <c r="A3138" s="3">
        <f>DATE(1997,6,17)</f>
        <v>35598</v>
      </c>
      <c r="B3138" s="3">
        <f>DATE(1997,9,25)</f>
        <v>35698</v>
      </c>
      <c r="C3138" s="2" t="s">
        <v>95</v>
      </c>
      <c r="D3138" s="2" t="s">
        <v>9914</v>
      </c>
      <c r="E3138" s="2" t="s">
        <v>9915</v>
      </c>
      <c r="F3138" s="4">
        <v>5211</v>
      </c>
      <c r="G3138" s="2" t="s">
        <v>73</v>
      </c>
      <c r="H3138" s="2" t="s">
        <v>34</v>
      </c>
      <c r="I3138" s="2" t="s">
        <v>9916</v>
      </c>
      <c r="J3138" s="2" t="s">
        <v>244</v>
      </c>
      <c r="K3138" s="2" t="s">
        <v>53</v>
      </c>
      <c r="L3138" s="2" t="s">
        <v>34</v>
      </c>
      <c r="M3138" s="2"/>
      <c r="N3138" s="2"/>
      <c r="O3138" s="2"/>
      <c r="P3138" s="2" t="s">
        <v>9917</v>
      </c>
      <c r="Q3138" s="6">
        <v>100</v>
      </c>
      <c r="R3138" s="6">
        <v>3</v>
      </c>
      <c r="S3138" s="5">
        <v>-25.1</v>
      </c>
      <c r="T3138" s="7">
        <v>69.259</v>
      </c>
      <c r="U3138" s="5">
        <v>8.9</v>
      </c>
      <c r="V3138" s="6">
        <v>-0.59</v>
      </c>
      <c r="W3138" s="6">
        <v>3.25</v>
      </c>
      <c r="X3138" s="5">
        <v>3.5</v>
      </c>
      <c r="Y3138" s="7">
        <v>3.625</v>
      </c>
      <c r="Z3138" s="7">
        <v>3.0630000000000002</v>
      </c>
      <c r="AA3138" s="6">
        <v>42.32</v>
      </c>
      <c r="AB3138" s="7">
        <v>46.344000000000001</v>
      </c>
      <c r="AC3138" s="2"/>
    </row>
    <row r="3139" spans="1:29" ht="130" x14ac:dyDescent="0.15">
      <c r="A3139" s="3">
        <f>DATE(1997,6,17)</f>
        <v>35598</v>
      </c>
      <c r="B3139" s="3">
        <f>DATE(1997,7,24)</f>
        <v>35635</v>
      </c>
      <c r="C3139" s="2" t="s">
        <v>95</v>
      </c>
      <c r="D3139" s="2" t="s">
        <v>9918</v>
      </c>
      <c r="E3139" s="2" t="s">
        <v>177</v>
      </c>
      <c r="F3139" s="4">
        <v>1311</v>
      </c>
      <c r="G3139" s="2" t="s">
        <v>148</v>
      </c>
      <c r="H3139" s="2" t="s">
        <v>34</v>
      </c>
      <c r="I3139" s="2" t="s">
        <v>9919</v>
      </c>
      <c r="J3139" s="2" t="s">
        <v>177</v>
      </c>
      <c r="K3139" s="2" t="s">
        <v>148</v>
      </c>
      <c r="L3139" s="2" t="s">
        <v>34</v>
      </c>
      <c r="M3139" s="7">
        <v>883.15800000000002</v>
      </c>
      <c r="N3139" s="7">
        <v>15.125</v>
      </c>
      <c r="O3139" s="6">
        <v>15.25</v>
      </c>
      <c r="P3139" s="2" t="s">
        <v>9920</v>
      </c>
      <c r="Q3139" s="6">
        <v>100</v>
      </c>
      <c r="R3139" s="6">
        <v>18.55</v>
      </c>
      <c r="S3139" s="5">
        <v>7.1</v>
      </c>
      <c r="T3139" s="7">
        <v>12.407</v>
      </c>
      <c r="U3139" s="5">
        <v>7.5</v>
      </c>
      <c r="V3139" s="6">
        <v>1.26</v>
      </c>
      <c r="W3139" s="7">
        <v>13.125</v>
      </c>
      <c r="X3139" s="7">
        <v>16.625</v>
      </c>
      <c r="Y3139" s="7">
        <v>18.375</v>
      </c>
      <c r="Z3139" s="7">
        <v>18.344000000000001</v>
      </c>
      <c r="AA3139" s="6">
        <v>5.73</v>
      </c>
      <c r="AB3139" s="7">
        <v>12.686999999999999</v>
      </c>
      <c r="AC3139" s="5">
        <v>9.3000000000000007</v>
      </c>
    </row>
    <row r="3140" spans="1:29" ht="39" x14ac:dyDescent="0.15">
      <c r="A3140" s="3">
        <f>DATE(1997,6,17)</f>
        <v>35598</v>
      </c>
      <c r="B3140" s="2"/>
      <c r="C3140" s="2" t="s">
        <v>30</v>
      </c>
      <c r="D3140" s="2" t="s">
        <v>6459</v>
      </c>
      <c r="E3140" s="2" t="s">
        <v>612</v>
      </c>
      <c r="F3140" s="4">
        <v>1311</v>
      </c>
      <c r="G3140" s="2" t="s">
        <v>148</v>
      </c>
      <c r="H3140" s="2" t="s">
        <v>34</v>
      </c>
      <c r="I3140" s="2" t="s">
        <v>5558</v>
      </c>
      <c r="J3140" s="2" t="s">
        <v>612</v>
      </c>
      <c r="K3140" s="2" t="s">
        <v>148</v>
      </c>
      <c r="L3140" s="2" t="s">
        <v>34</v>
      </c>
      <c r="M3140" s="7">
        <v>37.232999999999997</v>
      </c>
      <c r="N3140" s="7">
        <v>3.1880000000000002</v>
      </c>
      <c r="O3140" s="7">
        <v>3.2189999999999999</v>
      </c>
      <c r="P3140" s="2" t="s">
        <v>9921</v>
      </c>
      <c r="Q3140" s="2"/>
      <c r="R3140" s="2"/>
      <c r="S3140" s="5">
        <v>-2</v>
      </c>
      <c r="T3140" s="7">
        <v>10.255000000000001</v>
      </c>
      <c r="U3140" s="5">
        <v>1.2</v>
      </c>
      <c r="V3140" s="6">
        <v>-0.16</v>
      </c>
      <c r="W3140" s="4">
        <v>4</v>
      </c>
      <c r="X3140" s="4">
        <v>4</v>
      </c>
      <c r="Y3140" s="7">
        <v>3.875</v>
      </c>
      <c r="Z3140" s="7">
        <v>4.375</v>
      </c>
      <c r="AA3140" s="6">
        <v>20.38</v>
      </c>
      <c r="AB3140" s="2" t="s">
        <v>47</v>
      </c>
      <c r="AC3140" s="6">
        <v>14.18</v>
      </c>
    </row>
    <row r="3141" spans="1:29" ht="104" x14ac:dyDescent="0.15">
      <c r="A3141" s="3">
        <f>DATE(1997,6,17)</f>
        <v>35598</v>
      </c>
      <c r="B3141" s="3">
        <f>DATE(1997,7,25)</f>
        <v>35636</v>
      </c>
      <c r="C3141" s="2" t="s">
        <v>95</v>
      </c>
      <c r="D3141" s="2" t="s">
        <v>5632</v>
      </c>
      <c r="E3141" s="2" t="s">
        <v>5633</v>
      </c>
      <c r="F3141" s="4">
        <v>3089</v>
      </c>
      <c r="G3141" s="2" t="s">
        <v>447</v>
      </c>
      <c r="H3141" s="2" t="s">
        <v>34</v>
      </c>
      <c r="I3141" s="2" t="s">
        <v>9922</v>
      </c>
      <c r="J3141" s="2" t="s">
        <v>9923</v>
      </c>
      <c r="K3141" s="2" t="s">
        <v>282</v>
      </c>
      <c r="L3141" s="2" t="s">
        <v>902</v>
      </c>
      <c r="M3141" s="2"/>
      <c r="N3141" s="2"/>
      <c r="O3141" s="2"/>
      <c r="P3141" s="2" t="s">
        <v>9924</v>
      </c>
      <c r="Q3141" s="6">
        <v>100</v>
      </c>
      <c r="R3141" s="6">
        <v>29</v>
      </c>
      <c r="S3141" s="5">
        <v>7.1</v>
      </c>
      <c r="T3141" s="7">
        <v>17.279</v>
      </c>
      <c r="U3141" s="5">
        <v>8.9</v>
      </c>
      <c r="V3141" s="7">
        <v>1.3009999999999999</v>
      </c>
      <c r="W3141" s="6">
        <v>21.25</v>
      </c>
      <c r="X3141" s="4">
        <v>22</v>
      </c>
      <c r="Y3141" s="5">
        <v>28.5</v>
      </c>
      <c r="Z3141" s="7">
        <v>28.640999999999998</v>
      </c>
      <c r="AA3141" s="6">
        <v>5.26</v>
      </c>
      <c r="AB3141" s="7">
        <v>15.867000000000001</v>
      </c>
      <c r="AC3141" s="6">
        <v>13.97</v>
      </c>
    </row>
    <row r="3142" spans="1:29" ht="130" x14ac:dyDescent="0.15">
      <c r="A3142" s="3">
        <f>DATE(1997,6,18)</f>
        <v>35599</v>
      </c>
      <c r="B3142" s="3">
        <f>DATE(1998,3,6)</f>
        <v>35860</v>
      </c>
      <c r="C3142" s="2" t="s">
        <v>95</v>
      </c>
      <c r="D3142" s="2" t="s">
        <v>9925</v>
      </c>
      <c r="E3142" s="2" t="s">
        <v>9926</v>
      </c>
      <c r="F3142" s="4">
        <v>7841</v>
      </c>
      <c r="G3142" s="2" t="s">
        <v>42</v>
      </c>
      <c r="H3142" s="2" t="s">
        <v>34</v>
      </c>
      <c r="I3142" s="2" t="s">
        <v>9927</v>
      </c>
      <c r="J3142" s="2" t="s">
        <v>9928</v>
      </c>
      <c r="K3142" s="2" t="s">
        <v>1227</v>
      </c>
      <c r="L3142" s="2" t="s">
        <v>34</v>
      </c>
      <c r="M3142" s="7">
        <v>95.566999999999993</v>
      </c>
      <c r="N3142" s="6">
        <v>4.75</v>
      </c>
      <c r="O3142" s="7">
        <v>4.625</v>
      </c>
      <c r="P3142" s="2" t="s">
        <v>9929</v>
      </c>
      <c r="Q3142" s="6">
        <v>100</v>
      </c>
      <c r="R3142" s="6">
        <v>2.39</v>
      </c>
      <c r="S3142" s="5">
        <v>2.2999999999999998</v>
      </c>
      <c r="T3142" s="7">
        <v>25.411999999999999</v>
      </c>
      <c r="U3142" s="5">
        <v>5.2</v>
      </c>
      <c r="V3142" s="7">
        <v>0.223</v>
      </c>
      <c r="W3142" s="7">
        <v>5.0629999999999997</v>
      </c>
      <c r="X3142" s="7">
        <v>5.9379999999999997</v>
      </c>
      <c r="Y3142" s="5">
        <v>5.5</v>
      </c>
      <c r="Z3142" s="7">
        <v>5.5629999999999997</v>
      </c>
      <c r="AA3142" s="6">
        <v>12.36</v>
      </c>
      <c r="AB3142" s="7">
        <v>8.8559999999999999</v>
      </c>
      <c r="AC3142" s="6">
        <v>2.42</v>
      </c>
    </row>
    <row r="3143" spans="1:29" ht="78" x14ac:dyDescent="0.15">
      <c r="A3143" s="3">
        <f>DATE(1997,6,18)</f>
        <v>35599</v>
      </c>
      <c r="B3143" s="2"/>
      <c r="C3143" s="2" t="s">
        <v>30</v>
      </c>
      <c r="D3143" s="2" t="s">
        <v>9930</v>
      </c>
      <c r="E3143" s="2" t="s">
        <v>9931</v>
      </c>
      <c r="F3143" s="4">
        <v>7373</v>
      </c>
      <c r="G3143" s="2" t="s">
        <v>223</v>
      </c>
      <c r="H3143" s="2" t="s">
        <v>34</v>
      </c>
      <c r="I3143" s="2" t="s">
        <v>9932</v>
      </c>
      <c r="J3143" s="2" t="s">
        <v>9933</v>
      </c>
      <c r="K3143" s="2" t="s">
        <v>112</v>
      </c>
      <c r="L3143" s="2" t="s">
        <v>34</v>
      </c>
      <c r="M3143" s="2"/>
      <c r="N3143" s="2"/>
      <c r="O3143" s="2"/>
      <c r="P3143" s="2" t="s">
        <v>9934</v>
      </c>
      <c r="Q3143" s="2"/>
      <c r="R3143" s="6">
        <v>5.13</v>
      </c>
      <c r="S3143" s="5">
        <v>-25.9</v>
      </c>
      <c r="T3143" s="7">
        <v>-12.226000000000001</v>
      </c>
      <c r="U3143" s="5">
        <v>0.4</v>
      </c>
      <c r="V3143" s="6">
        <v>-1.1499999999999999</v>
      </c>
      <c r="W3143" s="6">
        <v>3.25</v>
      </c>
      <c r="X3143" s="7">
        <v>3.375</v>
      </c>
      <c r="Y3143" s="7">
        <v>4.375</v>
      </c>
      <c r="Z3143" s="7">
        <v>4.375</v>
      </c>
      <c r="AA3143" s="6">
        <v>23.31</v>
      </c>
      <c r="AB3143" s="2" t="s">
        <v>86</v>
      </c>
      <c r="AC3143" s="2"/>
    </row>
    <row r="3144" spans="1:29" ht="156" x14ac:dyDescent="0.15">
      <c r="A3144" s="3">
        <f>DATE(1997,6,19)</f>
        <v>35600</v>
      </c>
      <c r="B3144" s="3">
        <f>DATE(1997,8,15)</f>
        <v>35657</v>
      </c>
      <c r="C3144" s="2" t="s">
        <v>95</v>
      </c>
      <c r="D3144" s="2" t="s">
        <v>9935</v>
      </c>
      <c r="E3144" s="2" t="s">
        <v>936</v>
      </c>
      <c r="F3144" s="4">
        <v>3571</v>
      </c>
      <c r="G3144" s="2" t="s">
        <v>50</v>
      </c>
      <c r="H3144" s="2" t="s">
        <v>34</v>
      </c>
      <c r="I3144" s="2" t="s">
        <v>9936</v>
      </c>
      <c r="J3144" s="2" t="s">
        <v>5687</v>
      </c>
      <c r="K3144" s="2" t="s">
        <v>76</v>
      </c>
      <c r="L3144" s="2" t="s">
        <v>34</v>
      </c>
      <c r="M3144" s="12">
        <v>2641.509</v>
      </c>
      <c r="N3144" s="7">
        <v>33.125</v>
      </c>
      <c r="O3144" s="6">
        <v>33.75</v>
      </c>
      <c r="P3144" s="2" t="s">
        <v>9937</v>
      </c>
      <c r="Q3144" s="6">
        <v>100</v>
      </c>
      <c r="R3144" s="6">
        <v>15.5</v>
      </c>
      <c r="S3144" s="5">
        <v>10.6</v>
      </c>
      <c r="T3144" s="7">
        <v>12.916</v>
      </c>
      <c r="U3144" s="5">
        <v>7.9</v>
      </c>
      <c r="V3144" s="6">
        <v>0.87</v>
      </c>
      <c r="W3144" s="7">
        <v>11.875</v>
      </c>
      <c r="X3144" s="4">
        <v>12</v>
      </c>
      <c r="Y3144" s="7">
        <v>14.125</v>
      </c>
      <c r="Z3144" s="7">
        <v>15.327999999999999</v>
      </c>
      <c r="AA3144" s="6">
        <v>12.54</v>
      </c>
      <c r="AB3144" s="7">
        <v>12.298999999999999</v>
      </c>
      <c r="AC3144" s="2"/>
    </row>
    <row r="3145" spans="1:29" x14ac:dyDescent="0.15">
      <c r="A3145" s="3">
        <f>DATE(1997,6,19)</f>
        <v>35600</v>
      </c>
      <c r="B3145" s="3">
        <f>DATE(1997,6,19)</f>
        <v>35600</v>
      </c>
      <c r="C3145" s="2" t="s">
        <v>95</v>
      </c>
      <c r="D3145" s="2" t="s">
        <v>9938</v>
      </c>
      <c r="E3145" s="2" t="s">
        <v>386</v>
      </c>
      <c r="F3145" s="4">
        <v>6726</v>
      </c>
      <c r="G3145" s="2" t="s">
        <v>53</v>
      </c>
      <c r="H3145" s="2" t="s">
        <v>34</v>
      </c>
      <c r="I3145" s="2" t="s">
        <v>9939</v>
      </c>
      <c r="J3145" s="2" t="s">
        <v>9940</v>
      </c>
      <c r="K3145" s="2" t="s">
        <v>53</v>
      </c>
      <c r="L3145" s="2" t="s">
        <v>34</v>
      </c>
      <c r="M3145" s="2"/>
      <c r="N3145" s="2"/>
      <c r="O3145" s="2"/>
      <c r="P3145" s="2" t="s">
        <v>9941</v>
      </c>
      <c r="Q3145" s="6">
        <v>100</v>
      </c>
      <c r="R3145" s="2"/>
      <c r="S3145" s="2"/>
      <c r="T3145" s="2"/>
      <c r="U3145" s="2"/>
      <c r="V3145" s="2"/>
      <c r="W3145" s="6">
        <v>33.53</v>
      </c>
      <c r="X3145" s="6">
        <v>33.56</v>
      </c>
      <c r="Y3145" s="6">
        <v>28.51</v>
      </c>
      <c r="Z3145" s="2"/>
      <c r="AA3145" s="6">
        <v>8.49</v>
      </c>
      <c r="AB3145" s="2" t="s">
        <v>47</v>
      </c>
      <c r="AC3145" s="2"/>
    </row>
    <row r="3146" spans="1:29" x14ac:dyDescent="0.15">
      <c r="A3146" s="3">
        <f>DATE(1997,6,19)</f>
        <v>35600</v>
      </c>
      <c r="B3146" s="3">
        <f>DATE(1998,1,26)</f>
        <v>35821</v>
      </c>
      <c r="C3146" s="2" t="s">
        <v>95</v>
      </c>
      <c r="D3146" s="2" t="s">
        <v>9942</v>
      </c>
      <c r="E3146" s="2" t="s">
        <v>9943</v>
      </c>
      <c r="F3146" s="4">
        <v>5611</v>
      </c>
      <c r="G3146" s="2" t="s">
        <v>756</v>
      </c>
      <c r="H3146" s="2" t="s">
        <v>34</v>
      </c>
      <c r="I3146" s="2" t="s">
        <v>9944</v>
      </c>
      <c r="J3146" s="2" t="s">
        <v>9945</v>
      </c>
      <c r="K3146" s="2" t="s">
        <v>756</v>
      </c>
      <c r="L3146" s="2" t="s">
        <v>34</v>
      </c>
      <c r="M3146" s="7">
        <v>633.42600000000004</v>
      </c>
      <c r="N3146" s="7">
        <v>30.875</v>
      </c>
      <c r="O3146" s="7">
        <v>30.875</v>
      </c>
      <c r="P3146" s="2" t="s">
        <v>9946</v>
      </c>
      <c r="Q3146" s="6">
        <v>100</v>
      </c>
      <c r="R3146" s="2"/>
      <c r="S3146" s="5">
        <v>-5.8</v>
      </c>
      <c r="T3146" s="7">
        <v>7.6020000000000003</v>
      </c>
      <c r="U3146" s="5">
        <v>1.4</v>
      </c>
      <c r="V3146" s="6">
        <v>-0.54</v>
      </c>
      <c r="W3146" s="7">
        <v>4.0629999999999997</v>
      </c>
      <c r="X3146" s="7">
        <v>3.8130000000000002</v>
      </c>
      <c r="Y3146" s="7">
        <v>3.5630000000000002</v>
      </c>
      <c r="Z3146" s="7">
        <v>3.9060000000000001</v>
      </c>
      <c r="AA3146" s="6">
        <v>10.86</v>
      </c>
      <c r="AB3146" s="2" t="s">
        <v>47</v>
      </c>
      <c r="AC3146" s="6">
        <v>34.11</v>
      </c>
    </row>
    <row r="3147" spans="1:29" ht="26" x14ac:dyDescent="0.15">
      <c r="A3147" s="3">
        <f>DATE(1997,6,20)</f>
        <v>35601</v>
      </c>
      <c r="B3147" s="2"/>
      <c r="C3147" s="2" t="s">
        <v>189</v>
      </c>
      <c r="D3147" s="2" t="s">
        <v>9947</v>
      </c>
      <c r="E3147" s="2" t="s">
        <v>9948</v>
      </c>
      <c r="F3147" s="4">
        <v>8741</v>
      </c>
      <c r="G3147" s="2" t="s">
        <v>223</v>
      </c>
      <c r="H3147" s="2" t="s">
        <v>34</v>
      </c>
      <c r="I3147" s="2" t="s">
        <v>143</v>
      </c>
      <c r="J3147" s="2" t="s">
        <v>144</v>
      </c>
      <c r="K3147" s="2" t="s">
        <v>53</v>
      </c>
      <c r="L3147" s="2" t="s">
        <v>139</v>
      </c>
      <c r="M3147" s="2"/>
      <c r="N3147" s="2"/>
      <c r="O3147" s="2"/>
      <c r="P3147" s="2" t="s">
        <v>9949</v>
      </c>
      <c r="Q3147" s="2"/>
      <c r="R3147" s="2"/>
      <c r="S3147" s="5">
        <v>-2</v>
      </c>
      <c r="T3147" s="7">
        <v>-2.0459999999999998</v>
      </c>
      <c r="U3147" s="5">
        <v>0.3</v>
      </c>
      <c r="V3147" s="7">
        <v>-0.20799999999999999</v>
      </c>
      <c r="W3147" s="7">
        <v>7.375</v>
      </c>
      <c r="X3147" s="6">
        <v>6.75</v>
      </c>
      <c r="Y3147" s="9">
        <v>7.4375</v>
      </c>
      <c r="Z3147" s="5">
        <v>7.5</v>
      </c>
      <c r="AA3147" s="6">
        <v>13.76</v>
      </c>
      <c r="AB3147" s="2" t="s">
        <v>86</v>
      </c>
      <c r="AC3147" s="2"/>
    </row>
    <row r="3148" spans="1:29" ht="130" x14ac:dyDescent="0.15">
      <c r="A3148" s="3">
        <f>DATE(1997,6,20)</f>
        <v>35601</v>
      </c>
      <c r="B3148" s="3">
        <f>DATE(1997,10,23)</f>
        <v>35726</v>
      </c>
      <c r="C3148" s="2" t="s">
        <v>95</v>
      </c>
      <c r="D3148" s="2" t="s">
        <v>9950</v>
      </c>
      <c r="E3148" s="2" t="s">
        <v>612</v>
      </c>
      <c r="F3148" s="4">
        <v>1311</v>
      </c>
      <c r="G3148" s="2" t="s">
        <v>148</v>
      </c>
      <c r="H3148" s="2" t="s">
        <v>34</v>
      </c>
      <c r="I3148" s="2" t="s">
        <v>9951</v>
      </c>
      <c r="J3148" s="2" t="s">
        <v>612</v>
      </c>
      <c r="K3148" s="2" t="s">
        <v>148</v>
      </c>
      <c r="L3148" s="2" t="s">
        <v>34</v>
      </c>
      <c r="M3148" s="7">
        <v>753.70299999999997</v>
      </c>
      <c r="N3148" s="5">
        <v>29.5</v>
      </c>
      <c r="O3148" s="5">
        <v>29.5</v>
      </c>
      <c r="P3148" s="2" t="s">
        <v>9952</v>
      </c>
      <c r="Q3148" s="6">
        <v>100</v>
      </c>
      <c r="R3148" s="6">
        <v>9.44</v>
      </c>
      <c r="S3148" s="5">
        <v>8.1</v>
      </c>
      <c r="T3148" s="7">
        <v>25.788</v>
      </c>
      <c r="U3148" s="5">
        <v>4.0999999999999996</v>
      </c>
      <c r="V3148" s="7">
        <v>0.77500000000000002</v>
      </c>
      <c r="W3148" s="5">
        <v>9.5</v>
      </c>
      <c r="X3148" s="5">
        <v>9.5</v>
      </c>
      <c r="Y3148" s="5">
        <v>9.5</v>
      </c>
      <c r="Z3148" s="5">
        <v>9.5</v>
      </c>
      <c r="AA3148" s="6">
        <v>10.51</v>
      </c>
      <c r="AB3148" s="7">
        <v>10.926</v>
      </c>
      <c r="AC3148" s="6">
        <v>9.67</v>
      </c>
    </row>
    <row r="3149" spans="1:29" ht="156" x14ac:dyDescent="0.15">
      <c r="A3149" s="3">
        <f>DATE(1997,6,20)</f>
        <v>35601</v>
      </c>
      <c r="B3149" s="3">
        <f>DATE(1997,10,23)</f>
        <v>35726</v>
      </c>
      <c r="C3149" s="2" t="s">
        <v>95</v>
      </c>
      <c r="D3149" s="2" t="s">
        <v>3272</v>
      </c>
      <c r="E3149" s="2" t="s">
        <v>612</v>
      </c>
      <c r="F3149" s="4">
        <v>1311</v>
      </c>
      <c r="G3149" s="2" t="s">
        <v>148</v>
      </c>
      <c r="H3149" s="2" t="s">
        <v>34</v>
      </c>
      <c r="I3149" s="2" t="s">
        <v>9951</v>
      </c>
      <c r="J3149" s="2" t="s">
        <v>612</v>
      </c>
      <c r="K3149" s="2" t="s">
        <v>148</v>
      </c>
      <c r="L3149" s="2" t="s">
        <v>34</v>
      </c>
      <c r="M3149" s="7">
        <v>753.70299999999997</v>
      </c>
      <c r="N3149" s="5">
        <v>29.5</v>
      </c>
      <c r="O3149" s="5">
        <v>29.5</v>
      </c>
      <c r="P3149" s="2" t="s">
        <v>9953</v>
      </c>
      <c r="Q3149" s="6">
        <v>100</v>
      </c>
      <c r="R3149" s="6">
        <v>10.27</v>
      </c>
      <c r="S3149" s="5">
        <v>7.8</v>
      </c>
      <c r="T3149" s="7">
        <v>24.085000000000001</v>
      </c>
      <c r="U3149" s="5">
        <v>7.2</v>
      </c>
      <c r="V3149" s="7">
        <v>0.56100000000000005</v>
      </c>
      <c r="W3149" s="4">
        <v>11</v>
      </c>
      <c r="X3149" s="4">
        <v>11</v>
      </c>
      <c r="Y3149" s="6">
        <v>9.25</v>
      </c>
      <c r="Z3149" s="7">
        <v>9.1880000000000006</v>
      </c>
      <c r="AA3149" s="6">
        <v>14.12</v>
      </c>
      <c r="AB3149" s="7">
        <v>9.4450000000000003</v>
      </c>
      <c r="AC3149" s="6">
        <v>9.67</v>
      </c>
    </row>
    <row r="3150" spans="1:29" ht="169" x14ac:dyDescent="0.15">
      <c r="A3150" s="3">
        <f>DATE(1997,6,23)</f>
        <v>35604</v>
      </c>
      <c r="B3150" s="3">
        <f>DATE(1997,11,13)</f>
        <v>35747</v>
      </c>
      <c r="C3150" s="2" t="s">
        <v>95</v>
      </c>
      <c r="D3150" s="2" t="s">
        <v>9954</v>
      </c>
      <c r="E3150" s="2" t="s">
        <v>36</v>
      </c>
      <c r="F3150" s="4">
        <v>6021</v>
      </c>
      <c r="G3150" s="2" t="s">
        <v>37</v>
      </c>
      <c r="H3150" s="2" t="s">
        <v>34</v>
      </c>
      <c r="I3150" s="2" t="s">
        <v>3427</v>
      </c>
      <c r="J3150" s="2" t="s">
        <v>36</v>
      </c>
      <c r="K3150" s="2" t="s">
        <v>37</v>
      </c>
      <c r="L3150" s="2" t="s">
        <v>34</v>
      </c>
      <c r="M3150" s="12">
        <v>4137.3789999999999</v>
      </c>
      <c r="N3150" s="6">
        <v>39.75</v>
      </c>
      <c r="O3150" s="4">
        <v>41</v>
      </c>
      <c r="P3150" s="2" t="s">
        <v>9955</v>
      </c>
      <c r="Q3150" s="6">
        <v>100</v>
      </c>
      <c r="R3150" s="6">
        <v>20.32</v>
      </c>
      <c r="S3150" s="5">
        <v>1.3</v>
      </c>
      <c r="T3150" s="7">
        <v>3.2349999999999999</v>
      </c>
      <c r="U3150" s="5">
        <v>12.5</v>
      </c>
      <c r="V3150" s="6">
        <v>0.26</v>
      </c>
      <c r="W3150" s="6">
        <v>15.25</v>
      </c>
      <c r="X3150" s="7">
        <v>16.125</v>
      </c>
      <c r="Y3150" s="7">
        <v>19.312999999999999</v>
      </c>
      <c r="Z3150" s="7">
        <v>19.375</v>
      </c>
      <c r="AA3150" s="6">
        <v>3.61</v>
      </c>
      <c r="AB3150" s="7">
        <v>239.197</v>
      </c>
      <c r="AC3150" s="2"/>
    </row>
    <row r="3151" spans="1:29" ht="130" x14ac:dyDescent="0.15">
      <c r="A3151" s="3">
        <f>DATE(1997,6,23)</f>
        <v>35604</v>
      </c>
      <c r="B3151" s="3">
        <f>DATE(1997,10,15)</f>
        <v>35718</v>
      </c>
      <c r="C3151" s="2" t="s">
        <v>95</v>
      </c>
      <c r="D3151" s="2" t="s">
        <v>5221</v>
      </c>
      <c r="E3151" s="2" t="s">
        <v>2800</v>
      </c>
      <c r="F3151" s="4">
        <v>6162</v>
      </c>
      <c r="G3151" s="2" t="s">
        <v>109</v>
      </c>
      <c r="H3151" s="2" t="s">
        <v>34</v>
      </c>
      <c r="I3151" s="2" t="s">
        <v>8934</v>
      </c>
      <c r="J3151" s="2" t="s">
        <v>5071</v>
      </c>
      <c r="K3151" s="2" t="s">
        <v>33</v>
      </c>
      <c r="L3151" s="2" t="s">
        <v>34</v>
      </c>
      <c r="M3151" s="12">
        <v>1801.6010000000001</v>
      </c>
      <c r="N3151" s="7">
        <v>17.875</v>
      </c>
      <c r="O3151" s="7">
        <v>17.937999999999999</v>
      </c>
      <c r="P3151" s="2" t="s">
        <v>9956</v>
      </c>
      <c r="Q3151" s="6">
        <v>100</v>
      </c>
      <c r="R3151" s="6">
        <v>26.03</v>
      </c>
      <c r="S3151" s="5">
        <v>33</v>
      </c>
      <c r="T3151" s="7">
        <v>76.423000000000002</v>
      </c>
      <c r="U3151" s="5">
        <v>14.5</v>
      </c>
      <c r="V3151" s="6">
        <v>2.2999999999999998</v>
      </c>
      <c r="W3151" s="7">
        <v>21.875</v>
      </c>
      <c r="X3151" s="6">
        <v>23.25</v>
      </c>
      <c r="Y3151" s="7">
        <v>23.875</v>
      </c>
      <c r="Z3151" s="7">
        <v>23.812999999999999</v>
      </c>
      <c r="AA3151" s="6">
        <v>14.06</v>
      </c>
      <c r="AB3151" s="7">
        <v>17.077000000000002</v>
      </c>
      <c r="AC3151" s="2"/>
    </row>
    <row r="3152" spans="1:29" ht="182" x14ac:dyDescent="0.15">
      <c r="A3152" s="3">
        <f>DATE(1997,6,23)</f>
        <v>35604</v>
      </c>
      <c r="B3152" s="2"/>
      <c r="C3152" s="2" t="s">
        <v>30</v>
      </c>
      <c r="D3152" s="2" t="s">
        <v>2167</v>
      </c>
      <c r="E3152" s="2" t="s">
        <v>2168</v>
      </c>
      <c r="F3152" s="4">
        <v>2911</v>
      </c>
      <c r="G3152" s="2" t="s">
        <v>148</v>
      </c>
      <c r="H3152" s="2" t="s">
        <v>34</v>
      </c>
      <c r="I3152" s="2" t="s">
        <v>9957</v>
      </c>
      <c r="J3152" s="2" t="s">
        <v>612</v>
      </c>
      <c r="K3152" s="2" t="s">
        <v>148</v>
      </c>
      <c r="L3152" s="2" t="s">
        <v>34</v>
      </c>
      <c r="M3152" s="12">
        <v>7423.0349999999999</v>
      </c>
      <c r="N3152" s="6">
        <v>25.25</v>
      </c>
      <c r="O3152" s="7">
        <v>24.875</v>
      </c>
      <c r="P3152" s="2" t="s">
        <v>9958</v>
      </c>
      <c r="Q3152" s="2"/>
      <c r="R3152" s="6">
        <v>84</v>
      </c>
      <c r="S3152" s="5">
        <v>175.7</v>
      </c>
      <c r="T3152" s="6">
        <v>485.18</v>
      </c>
      <c r="U3152" s="5">
        <v>22</v>
      </c>
      <c r="V3152" s="6">
        <v>3.77</v>
      </c>
      <c r="W3152" s="7">
        <v>60.875</v>
      </c>
      <c r="X3152" s="7">
        <v>59.625</v>
      </c>
      <c r="Y3152" s="7">
        <v>77.375</v>
      </c>
      <c r="Z3152" s="7">
        <v>76.875</v>
      </c>
      <c r="AA3152" s="6">
        <v>46.95</v>
      </c>
      <c r="AB3152" s="7">
        <v>28.882999999999999</v>
      </c>
      <c r="AC3152" s="5">
        <v>118.9</v>
      </c>
    </row>
    <row r="3153" spans="1:29" ht="130" x14ac:dyDescent="0.15">
      <c r="A3153" s="3">
        <f>DATE(1997,6,23)</f>
        <v>35604</v>
      </c>
      <c r="B3153" s="3">
        <f>DATE(1997,8,29)</f>
        <v>35671</v>
      </c>
      <c r="C3153" s="2" t="s">
        <v>95</v>
      </c>
      <c r="D3153" s="2" t="s">
        <v>9959</v>
      </c>
      <c r="E3153" s="2" t="s">
        <v>9960</v>
      </c>
      <c r="F3153" s="4">
        <v>3571</v>
      </c>
      <c r="G3153" s="2" t="s">
        <v>50</v>
      </c>
      <c r="H3153" s="2" t="s">
        <v>34</v>
      </c>
      <c r="I3153" s="2" t="s">
        <v>1711</v>
      </c>
      <c r="J3153" s="2" t="s">
        <v>1712</v>
      </c>
      <c r="K3153" s="2" t="s">
        <v>50</v>
      </c>
      <c r="L3153" s="2" t="s">
        <v>34</v>
      </c>
      <c r="M3153" s="8">
        <v>72662.399999999994</v>
      </c>
      <c r="N3153" s="7">
        <v>103.875</v>
      </c>
      <c r="O3153" s="6">
        <v>102.75</v>
      </c>
      <c r="P3153" s="2" t="s">
        <v>9961</v>
      </c>
      <c r="Q3153" s="6">
        <v>100</v>
      </c>
      <c r="R3153" s="6">
        <v>22.4</v>
      </c>
      <c r="S3153" s="5">
        <v>-22.8</v>
      </c>
      <c r="T3153" s="7">
        <v>272.274</v>
      </c>
      <c r="U3153" s="5">
        <v>9</v>
      </c>
      <c r="V3153" s="6">
        <v>-0.04</v>
      </c>
      <c r="W3153" s="6">
        <v>14.75</v>
      </c>
      <c r="X3153" s="4">
        <v>15</v>
      </c>
      <c r="Y3153" s="6">
        <v>20.75</v>
      </c>
      <c r="Z3153" s="7">
        <v>20.780999999999999</v>
      </c>
      <c r="AA3153" s="6">
        <v>115.86</v>
      </c>
      <c r="AB3153" s="7">
        <v>39.994</v>
      </c>
      <c r="AC3153" s="8">
        <v>3993</v>
      </c>
    </row>
    <row r="3154" spans="1:29" ht="143" x14ac:dyDescent="0.15">
      <c r="A3154" s="3">
        <f>DATE(1997,6,24)</f>
        <v>35605</v>
      </c>
      <c r="B3154" s="3">
        <f>DATE(1997,10,14)</f>
        <v>35717</v>
      </c>
      <c r="C3154" s="2" t="s">
        <v>95</v>
      </c>
      <c r="D3154" s="2" t="s">
        <v>752</v>
      </c>
      <c r="E3154" s="2" t="s">
        <v>177</v>
      </c>
      <c r="F3154" s="4">
        <v>1311</v>
      </c>
      <c r="G3154" s="2" t="s">
        <v>148</v>
      </c>
      <c r="H3154" s="2" t="s">
        <v>34</v>
      </c>
      <c r="I3154" s="2" t="s">
        <v>9962</v>
      </c>
      <c r="J3154" s="2" t="s">
        <v>612</v>
      </c>
      <c r="K3154" s="2" t="s">
        <v>148</v>
      </c>
      <c r="L3154" s="2" t="s">
        <v>34</v>
      </c>
      <c r="M3154" s="7">
        <v>444.82400000000001</v>
      </c>
      <c r="N3154" s="7">
        <v>17.875</v>
      </c>
      <c r="O3154" s="7">
        <v>17.375</v>
      </c>
      <c r="P3154" s="2" t="s">
        <v>9963</v>
      </c>
      <c r="Q3154" s="6">
        <v>100</v>
      </c>
      <c r="R3154" s="6">
        <v>15.96</v>
      </c>
      <c r="S3154" s="5">
        <v>-8.6</v>
      </c>
      <c r="T3154" s="7">
        <v>24.789000000000001</v>
      </c>
      <c r="U3154" s="5">
        <v>8.3000000000000007</v>
      </c>
      <c r="V3154" s="6">
        <v>-0.84</v>
      </c>
      <c r="W3154" s="7">
        <v>13.875</v>
      </c>
      <c r="X3154" s="7">
        <v>14.125</v>
      </c>
      <c r="Y3154" s="7">
        <v>14.375</v>
      </c>
      <c r="Z3154" s="5">
        <v>14.5</v>
      </c>
      <c r="AA3154" s="6">
        <v>15.7</v>
      </c>
      <c r="AB3154" s="2" t="s">
        <v>86</v>
      </c>
      <c r="AC3154" s="6">
        <v>7.75</v>
      </c>
    </row>
    <row r="3155" spans="1:29" ht="130" x14ac:dyDescent="0.15">
      <c r="A3155" s="3">
        <f>DATE(1997,6,24)</f>
        <v>35605</v>
      </c>
      <c r="B3155" s="3">
        <f>DATE(1997,11,25)</f>
        <v>35759</v>
      </c>
      <c r="C3155" s="2" t="s">
        <v>95</v>
      </c>
      <c r="D3155" s="2" t="s">
        <v>9964</v>
      </c>
      <c r="E3155" s="2" t="s">
        <v>9965</v>
      </c>
      <c r="F3155" s="4">
        <v>2086</v>
      </c>
      <c r="G3155" s="2" t="s">
        <v>577</v>
      </c>
      <c r="H3155" s="2" t="s">
        <v>34</v>
      </c>
      <c r="I3155" s="2" t="s">
        <v>3722</v>
      </c>
      <c r="J3155" s="2" t="s">
        <v>3723</v>
      </c>
      <c r="K3155" s="2" t="s">
        <v>230</v>
      </c>
      <c r="L3155" s="2" t="s">
        <v>34</v>
      </c>
      <c r="M3155" s="7">
        <v>688.83199999999999</v>
      </c>
      <c r="N3155" s="7">
        <v>20.375</v>
      </c>
      <c r="O3155" s="5">
        <v>19.5</v>
      </c>
      <c r="P3155" s="2" t="s">
        <v>9966</v>
      </c>
      <c r="Q3155" s="6">
        <v>100</v>
      </c>
      <c r="R3155" s="6">
        <v>3.57</v>
      </c>
      <c r="S3155" s="5">
        <v>1.4</v>
      </c>
      <c r="T3155" s="7">
        <v>2.3959999999999999</v>
      </c>
      <c r="U3155" s="5">
        <v>0.7</v>
      </c>
      <c r="V3155" s="7">
        <v>0.154</v>
      </c>
      <c r="W3155" s="7">
        <v>3.6880000000000002</v>
      </c>
      <c r="X3155" s="7">
        <v>4.0309999999999997</v>
      </c>
      <c r="Y3155" s="6">
        <v>3.25</v>
      </c>
      <c r="Z3155" s="4">
        <v>3</v>
      </c>
      <c r="AA3155" s="6">
        <v>8.91</v>
      </c>
      <c r="AB3155" s="7">
        <v>14.167999999999999</v>
      </c>
      <c r="AC3155" s="6">
        <v>209.17</v>
      </c>
    </row>
    <row r="3156" spans="1:29" ht="143" x14ac:dyDescent="0.15">
      <c r="A3156" s="3">
        <f>DATE(1997,6,24)</f>
        <v>35605</v>
      </c>
      <c r="B3156" s="3">
        <f>DATE(1997,12,16)</f>
        <v>35780</v>
      </c>
      <c r="C3156" s="2" t="s">
        <v>95</v>
      </c>
      <c r="D3156" s="2" t="s">
        <v>9967</v>
      </c>
      <c r="E3156" s="2" t="s">
        <v>36</v>
      </c>
      <c r="F3156" s="4">
        <v>6022</v>
      </c>
      <c r="G3156" s="2" t="s">
        <v>37</v>
      </c>
      <c r="H3156" s="2" t="s">
        <v>34</v>
      </c>
      <c r="I3156" s="2" t="s">
        <v>2050</v>
      </c>
      <c r="J3156" s="2" t="s">
        <v>36</v>
      </c>
      <c r="K3156" s="2" t="s">
        <v>37</v>
      </c>
      <c r="L3156" s="2" t="s">
        <v>34</v>
      </c>
      <c r="M3156" s="12">
        <v>9693.527</v>
      </c>
      <c r="N3156" s="7">
        <v>61.938000000000002</v>
      </c>
      <c r="O3156" s="7">
        <v>60.375</v>
      </c>
      <c r="P3156" s="2" t="s">
        <v>9968</v>
      </c>
      <c r="Q3156" s="6">
        <v>100</v>
      </c>
      <c r="R3156" s="6">
        <v>39.450000000000003</v>
      </c>
      <c r="S3156" s="5">
        <v>112.7</v>
      </c>
      <c r="T3156" s="6">
        <v>181.68</v>
      </c>
      <c r="U3156" s="5">
        <v>14.3</v>
      </c>
      <c r="V3156" s="6">
        <v>1.89</v>
      </c>
      <c r="W3156" s="4">
        <v>32</v>
      </c>
      <c r="X3156" s="7">
        <v>31.875</v>
      </c>
      <c r="Y3156" s="7">
        <v>37.813000000000002</v>
      </c>
      <c r="Z3156" s="7">
        <v>36.875</v>
      </c>
      <c r="AA3156" s="6">
        <v>56.6</v>
      </c>
      <c r="AB3156" s="7">
        <v>72.697999999999993</v>
      </c>
      <c r="AC3156" s="2"/>
    </row>
    <row r="3157" spans="1:29" ht="65" x14ac:dyDescent="0.15">
      <c r="A3157" s="3">
        <f>DATE(1997,6,24)</f>
        <v>35605</v>
      </c>
      <c r="B3157" s="2"/>
      <c r="C3157" s="2" t="s">
        <v>30</v>
      </c>
      <c r="D3157" s="2" t="s">
        <v>9969</v>
      </c>
      <c r="E3157" s="2" t="s">
        <v>9970</v>
      </c>
      <c r="F3157" s="4">
        <v>8099</v>
      </c>
      <c r="G3157" s="2" t="s">
        <v>454</v>
      </c>
      <c r="H3157" s="2" t="s">
        <v>34</v>
      </c>
      <c r="I3157" s="2" t="s">
        <v>5808</v>
      </c>
      <c r="J3157" s="2" t="s">
        <v>5809</v>
      </c>
      <c r="K3157" s="2" t="s">
        <v>454</v>
      </c>
      <c r="L3157" s="2" t="s">
        <v>34</v>
      </c>
      <c r="M3157" s="7">
        <v>212.518</v>
      </c>
      <c r="N3157" s="5">
        <v>34.5</v>
      </c>
      <c r="O3157" s="5">
        <v>34.5</v>
      </c>
      <c r="P3157" s="2" t="s">
        <v>9971</v>
      </c>
      <c r="Q3157" s="2"/>
      <c r="R3157" s="2"/>
      <c r="S3157" s="5">
        <v>-5</v>
      </c>
      <c r="T3157" s="7">
        <v>10.249000000000001</v>
      </c>
      <c r="U3157" s="5">
        <v>17.899999999999999</v>
      </c>
      <c r="V3157" s="9">
        <v>0.36670000000000003</v>
      </c>
      <c r="W3157" s="6">
        <v>33.75</v>
      </c>
      <c r="X3157" s="5">
        <v>33.5</v>
      </c>
      <c r="Y3157" s="5">
        <v>34.5</v>
      </c>
      <c r="Z3157" s="5">
        <v>34.5</v>
      </c>
      <c r="AA3157" s="6">
        <v>1.9</v>
      </c>
      <c r="AB3157" s="2" t="s">
        <v>86</v>
      </c>
      <c r="AC3157" s="6">
        <v>60.58</v>
      </c>
    </row>
    <row r="3158" spans="1:29" ht="130" x14ac:dyDescent="0.15">
      <c r="A3158" s="3">
        <f>DATE(1997,6,24)</f>
        <v>35605</v>
      </c>
      <c r="B3158" s="3">
        <f>DATE(1997,9,29)</f>
        <v>35702</v>
      </c>
      <c r="C3158" s="2" t="s">
        <v>95</v>
      </c>
      <c r="D3158" s="2" t="s">
        <v>9972</v>
      </c>
      <c r="E3158" s="2" t="s">
        <v>9973</v>
      </c>
      <c r="F3158" s="4">
        <v>8093</v>
      </c>
      <c r="G3158" s="2" t="s">
        <v>454</v>
      </c>
      <c r="H3158" s="2" t="s">
        <v>34</v>
      </c>
      <c r="I3158" s="2" t="s">
        <v>9974</v>
      </c>
      <c r="J3158" s="2" t="s">
        <v>302</v>
      </c>
      <c r="K3158" s="2" t="s">
        <v>53</v>
      </c>
      <c r="L3158" s="2" t="s">
        <v>34</v>
      </c>
      <c r="M3158" s="2"/>
      <c r="N3158" s="2"/>
      <c r="O3158" s="2"/>
      <c r="P3158" s="2" t="s">
        <v>9975</v>
      </c>
      <c r="Q3158" s="6">
        <v>100</v>
      </c>
      <c r="R3158" s="6">
        <v>11.75</v>
      </c>
      <c r="S3158" s="5">
        <v>2.7</v>
      </c>
      <c r="T3158" s="7">
        <v>11.635999999999999</v>
      </c>
      <c r="U3158" s="5">
        <v>4.2</v>
      </c>
      <c r="V3158" s="7">
        <v>0.63600000000000001</v>
      </c>
      <c r="W3158" s="5">
        <v>11.5</v>
      </c>
      <c r="X3158" s="6">
        <v>11.25</v>
      </c>
      <c r="Y3158" s="7">
        <v>11.531000000000001</v>
      </c>
      <c r="Z3158" s="5">
        <v>11.5</v>
      </c>
      <c r="AA3158" s="6">
        <v>5.68</v>
      </c>
      <c r="AB3158" s="7">
        <v>13.106</v>
      </c>
      <c r="AC3158" s="2"/>
    </row>
    <row r="3159" spans="1:29" ht="117" x14ac:dyDescent="0.15">
      <c r="A3159" s="3">
        <f>DATE(1997,6,25)</f>
        <v>35606</v>
      </c>
      <c r="B3159" s="2"/>
      <c r="C3159" s="2" t="s">
        <v>30</v>
      </c>
      <c r="D3159" s="2" t="s">
        <v>6813</v>
      </c>
      <c r="E3159" s="2" t="s">
        <v>6814</v>
      </c>
      <c r="F3159" s="4">
        <v>2435</v>
      </c>
      <c r="G3159" s="2" t="s">
        <v>250</v>
      </c>
      <c r="H3159" s="2" t="s">
        <v>34</v>
      </c>
      <c r="I3159" s="2" t="s">
        <v>9976</v>
      </c>
      <c r="J3159" s="2" t="s">
        <v>9977</v>
      </c>
      <c r="K3159" s="2" t="s">
        <v>163</v>
      </c>
      <c r="L3159" s="2" t="s">
        <v>34</v>
      </c>
      <c r="M3159" s="2"/>
      <c r="N3159" s="2"/>
      <c r="O3159" s="2"/>
      <c r="P3159" s="2" t="s">
        <v>9978</v>
      </c>
      <c r="Q3159" s="2"/>
      <c r="R3159" s="6">
        <v>18.75</v>
      </c>
      <c r="S3159" s="5">
        <v>10.5</v>
      </c>
      <c r="T3159" s="7">
        <v>43.963000000000001</v>
      </c>
      <c r="U3159" s="5">
        <v>10.4</v>
      </c>
      <c r="V3159" s="6">
        <v>0.74</v>
      </c>
      <c r="W3159" s="6">
        <v>16.75</v>
      </c>
      <c r="X3159" s="6">
        <v>16.25</v>
      </c>
      <c r="Y3159" s="4">
        <v>18</v>
      </c>
      <c r="Z3159" s="4">
        <v>18</v>
      </c>
      <c r="AA3159" s="6">
        <v>13.93</v>
      </c>
      <c r="AB3159" s="7">
        <v>12.544</v>
      </c>
      <c r="AC3159" s="2"/>
    </row>
    <row r="3160" spans="1:29" ht="130" x14ac:dyDescent="0.15">
      <c r="A3160" s="3">
        <f>DATE(1997,6,26)</f>
        <v>35607</v>
      </c>
      <c r="B3160" s="3">
        <f>DATE(1997,12,17)</f>
        <v>35781</v>
      </c>
      <c r="C3160" s="2" t="s">
        <v>95</v>
      </c>
      <c r="D3160" s="2" t="s">
        <v>9979</v>
      </c>
      <c r="E3160" s="2" t="s">
        <v>9980</v>
      </c>
      <c r="F3160" s="4">
        <v>7832</v>
      </c>
      <c r="G3160" s="2" t="s">
        <v>42</v>
      </c>
      <c r="H3160" s="2" t="s">
        <v>34</v>
      </c>
      <c r="I3160" s="2" t="s">
        <v>51</v>
      </c>
      <c r="J3160" s="2" t="s">
        <v>52</v>
      </c>
      <c r="K3160" s="2" t="s">
        <v>53</v>
      </c>
      <c r="L3160" s="2" t="s">
        <v>34</v>
      </c>
      <c r="M3160" s="2"/>
      <c r="N3160" s="2"/>
      <c r="O3160" s="2"/>
      <c r="P3160" s="2" t="s">
        <v>9981</v>
      </c>
      <c r="Q3160" s="6">
        <v>64.7</v>
      </c>
      <c r="R3160" s="6">
        <v>0.85</v>
      </c>
      <c r="S3160" s="5">
        <v>-1.6</v>
      </c>
      <c r="T3160" s="7">
        <v>0.23599999999999999</v>
      </c>
      <c r="U3160" s="5">
        <v>0.4</v>
      </c>
      <c r="V3160" s="7">
        <v>-0.24099999999999999</v>
      </c>
      <c r="W3160" s="7">
        <v>1.0629999999999999</v>
      </c>
      <c r="X3160" s="6">
        <v>1.25</v>
      </c>
      <c r="Y3160" s="9">
        <v>1.5625</v>
      </c>
      <c r="Z3160" s="7">
        <v>1.125</v>
      </c>
      <c r="AA3160" s="6">
        <v>8.02</v>
      </c>
      <c r="AB3160" s="2" t="s">
        <v>86</v>
      </c>
      <c r="AC3160" s="2"/>
    </row>
    <row r="3161" spans="1:29" ht="52" x14ac:dyDescent="0.15">
      <c r="A3161" s="3">
        <f>DATE(1997,6,26)</f>
        <v>35607</v>
      </c>
      <c r="B3161" s="3">
        <f>DATE(1997,6,29)</f>
        <v>35610</v>
      </c>
      <c r="C3161" s="2" t="s">
        <v>95</v>
      </c>
      <c r="D3161" s="2" t="s">
        <v>9982</v>
      </c>
      <c r="E3161" s="2" t="s">
        <v>32</v>
      </c>
      <c r="F3161" s="4">
        <v>6035</v>
      </c>
      <c r="G3161" s="2" t="s">
        <v>33</v>
      </c>
      <c r="H3161" s="2" t="s">
        <v>34</v>
      </c>
      <c r="I3161" s="2" t="s">
        <v>9983</v>
      </c>
      <c r="J3161" s="2" t="s">
        <v>389</v>
      </c>
      <c r="K3161" s="2" t="s">
        <v>33</v>
      </c>
      <c r="L3161" s="2" t="s">
        <v>34</v>
      </c>
      <c r="M3161" s="6">
        <v>190.47</v>
      </c>
      <c r="N3161" s="7">
        <v>10.375</v>
      </c>
      <c r="O3161" s="7">
        <v>10.625</v>
      </c>
      <c r="P3161" s="2" t="s">
        <v>9984</v>
      </c>
      <c r="Q3161" s="6">
        <v>100</v>
      </c>
      <c r="R3161" s="2"/>
      <c r="S3161" s="2"/>
      <c r="T3161" s="2"/>
      <c r="U3161" s="2"/>
      <c r="V3161" s="2"/>
      <c r="W3161" s="6">
        <v>8.25</v>
      </c>
      <c r="X3161" s="7">
        <v>8.3130000000000006</v>
      </c>
      <c r="Y3161" s="7">
        <v>8.3130000000000006</v>
      </c>
      <c r="Z3161" s="7">
        <v>8.4380000000000006</v>
      </c>
      <c r="AA3161" s="2"/>
      <c r="AB3161" s="2" t="s">
        <v>47</v>
      </c>
      <c r="AC3161" s="2"/>
    </row>
    <row r="3162" spans="1:29" ht="143" x14ac:dyDescent="0.15">
      <c r="A3162" s="3">
        <f>DATE(1997,6,26)</f>
        <v>35607</v>
      </c>
      <c r="B3162" s="2"/>
      <c r="C3162" s="2" t="s">
        <v>30</v>
      </c>
      <c r="D3162" s="2" t="s">
        <v>9985</v>
      </c>
      <c r="E3162" s="2" t="s">
        <v>9986</v>
      </c>
      <c r="F3162" s="4">
        <v>3561</v>
      </c>
      <c r="G3162" s="2" t="s">
        <v>300</v>
      </c>
      <c r="H3162" s="2" t="s">
        <v>34</v>
      </c>
      <c r="I3162" s="2" t="s">
        <v>9898</v>
      </c>
      <c r="J3162" s="2" t="s">
        <v>9899</v>
      </c>
      <c r="K3162" s="2" t="s">
        <v>300</v>
      </c>
      <c r="L3162" s="2" t="s">
        <v>34</v>
      </c>
      <c r="M3162" s="8">
        <v>1159.2</v>
      </c>
      <c r="N3162" s="6">
        <v>25.25</v>
      </c>
      <c r="O3162" s="6">
        <v>24.75</v>
      </c>
      <c r="P3162" s="2" t="s">
        <v>9987</v>
      </c>
      <c r="Q3162" s="2"/>
      <c r="R3162" s="6">
        <v>6</v>
      </c>
      <c r="S3162" s="5">
        <v>-41.8</v>
      </c>
      <c r="T3162" s="6">
        <v>47.94</v>
      </c>
      <c r="U3162" s="5">
        <v>-3.2</v>
      </c>
      <c r="V3162" s="6">
        <v>-2.44</v>
      </c>
      <c r="W3162" s="7">
        <v>3.125</v>
      </c>
      <c r="X3162" s="6">
        <v>3.25</v>
      </c>
      <c r="Y3162" s="7">
        <v>5.875</v>
      </c>
      <c r="Z3162" s="6">
        <v>5.75</v>
      </c>
      <c r="AA3162" s="6">
        <v>17.13</v>
      </c>
      <c r="AB3162" s="7">
        <v>14.522</v>
      </c>
      <c r="AC3162" s="6">
        <v>227.96</v>
      </c>
    </row>
    <row r="3163" spans="1:29" ht="130" x14ac:dyDescent="0.15">
      <c r="A3163" s="3">
        <f>DATE(1997,6,26)</f>
        <v>35607</v>
      </c>
      <c r="B3163" s="3">
        <f>DATE(1997,11,26)</f>
        <v>35760</v>
      </c>
      <c r="C3163" s="2" t="s">
        <v>95</v>
      </c>
      <c r="D3163" s="2" t="s">
        <v>3827</v>
      </c>
      <c r="E3163" s="2" t="s">
        <v>129</v>
      </c>
      <c r="F3163" s="4">
        <v>2834</v>
      </c>
      <c r="G3163" s="2" t="s">
        <v>130</v>
      </c>
      <c r="H3163" s="2" t="s">
        <v>34</v>
      </c>
      <c r="I3163" s="2" t="s">
        <v>131</v>
      </c>
      <c r="J3163" s="2" t="s">
        <v>132</v>
      </c>
      <c r="K3163" s="2" t="s">
        <v>98</v>
      </c>
      <c r="L3163" s="2" t="s">
        <v>133</v>
      </c>
      <c r="M3163" s="2"/>
      <c r="N3163" s="2"/>
      <c r="O3163" s="2"/>
      <c r="P3163" s="2" t="s">
        <v>9988</v>
      </c>
      <c r="Q3163" s="6">
        <v>36.89</v>
      </c>
      <c r="R3163" s="6">
        <v>97</v>
      </c>
      <c r="S3163" s="5">
        <v>473.5</v>
      </c>
      <c r="T3163" s="8">
        <v>1101.8</v>
      </c>
      <c r="U3163" s="5">
        <v>14.5</v>
      </c>
      <c r="V3163" s="6">
        <v>3.16</v>
      </c>
      <c r="W3163" s="4">
        <v>79</v>
      </c>
      <c r="X3163" s="6">
        <v>79.430000000000007</v>
      </c>
      <c r="Y3163" s="4">
        <v>91</v>
      </c>
      <c r="Z3163" s="7">
        <v>91.125</v>
      </c>
      <c r="AA3163" s="6">
        <v>137.18</v>
      </c>
      <c r="AB3163" s="7">
        <v>21.997</v>
      </c>
      <c r="AC3163" s="10">
        <v>1133.8499999999999</v>
      </c>
    </row>
    <row r="3164" spans="1:29" ht="52" x14ac:dyDescent="0.15">
      <c r="A3164" s="3">
        <f>DATE(1997,6,26)</f>
        <v>35607</v>
      </c>
      <c r="B3164" s="2"/>
      <c r="C3164" s="2" t="s">
        <v>30</v>
      </c>
      <c r="D3164" s="2" t="s">
        <v>9120</v>
      </c>
      <c r="E3164" s="2" t="s">
        <v>2692</v>
      </c>
      <c r="F3164" s="4">
        <v>1521</v>
      </c>
      <c r="G3164" s="2" t="s">
        <v>341</v>
      </c>
      <c r="H3164" s="2" t="s">
        <v>34</v>
      </c>
      <c r="I3164" s="2" t="s">
        <v>9989</v>
      </c>
      <c r="J3164" s="2" t="s">
        <v>3814</v>
      </c>
      <c r="K3164" s="2" t="s">
        <v>53</v>
      </c>
      <c r="L3164" s="2" t="s">
        <v>34</v>
      </c>
      <c r="M3164" s="2"/>
      <c r="N3164" s="2"/>
      <c r="O3164" s="2"/>
      <c r="P3164" s="2" t="s">
        <v>9990</v>
      </c>
      <c r="Q3164" s="2"/>
      <c r="R3164" s="6">
        <v>12.25</v>
      </c>
      <c r="S3164" s="5">
        <v>4.4000000000000004</v>
      </c>
      <c r="T3164" s="7">
        <v>19.338999999999999</v>
      </c>
      <c r="U3164" s="5">
        <v>8.8000000000000007</v>
      </c>
      <c r="V3164" s="6">
        <v>0.7</v>
      </c>
      <c r="W3164" s="6">
        <v>9.8800000000000008</v>
      </c>
      <c r="X3164" s="5">
        <v>10.5</v>
      </c>
      <c r="Y3164" s="7">
        <v>11.125</v>
      </c>
      <c r="Z3164" s="6">
        <v>11.25</v>
      </c>
      <c r="AA3164" s="6">
        <v>6.57</v>
      </c>
      <c r="AB3164" s="7">
        <v>7.4669999999999996</v>
      </c>
      <c r="AC3164" s="2"/>
    </row>
    <row r="3165" spans="1:29" ht="130" x14ac:dyDescent="0.15">
      <c r="A3165" s="3">
        <f>DATE(1997,6,30)</f>
        <v>35611</v>
      </c>
      <c r="B3165" s="3">
        <f>DATE(1997,12,22)</f>
        <v>35786</v>
      </c>
      <c r="C3165" s="2" t="s">
        <v>95</v>
      </c>
      <c r="D3165" s="2" t="s">
        <v>8287</v>
      </c>
      <c r="E3165" s="2" t="s">
        <v>1181</v>
      </c>
      <c r="F3165" s="4">
        <v>6022</v>
      </c>
      <c r="G3165" s="2" t="s">
        <v>37</v>
      </c>
      <c r="H3165" s="2" t="s">
        <v>34</v>
      </c>
      <c r="I3165" s="2" t="s">
        <v>9991</v>
      </c>
      <c r="J3165" s="2" t="s">
        <v>159</v>
      </c>
      <c r="K3165" s="2" t="s">
        <v>37</v>
      </c>
      <c r="L3165" s="2" t="s">
        <v>34</v>
      </c>
      <c r="M3165" s="7">
        <v>98.584999999999994</v>
      </c>
      <c r="N3165" s="6">
        <v>21.75</v>
      </c>
      <c r="O3165" s="6">
        <v>24.25</v>
      </c>
      <c r="P3165" s="2" t="s">
        <v>9992</v>
      </c>
      <c r="Q3165" s="6">
        <v>100</v>
      </c>
      <c r="R3165" s="6">
        <v>22.25</v>
      </c>
      <c r="S3165" s="5">
        <v>1.2</v>
      </c>
      <c r="T3165" s="7">
        <v>2.1749999999999998</v>
      </c>
      <c r="U3165" s="5">
        <v>8.1</v>
      </c>
      <c r="V3165" s="6">
        <v>1.2</v>
      </c>
      <c r="W3165" s="6">
        <v>12.75</v>
      </c>
      <c r="X3165" s="5">
        <v>14.5</v>
      </c>
      <c r="Y3165" s="5">
        <v>14.5</v>
      </c>
      <c r="Z3165" s="4">
        <v>15</v>
      </c>
      <c r="AA3165" s="6">
        <v>1.72</v>
      </c>
      <c r="AB3165" s="7">
        <v>77.453000000000003</v>
      </c>
      <c r="AC3165" s="2"/>
    </row>
    <row r="3166" spans="1:29" ht="104" x14ac:dyDescent="0.15">
      <c r="A3166" s="3">
        <f>DATE(1997,6,30)</f>
        <v>35611</v>
      </c>
      <c r="B3166" s="2"/>
      <c r="C3166" s="2" t="s">
        <v>30</v>
      </c>
      <c r="D3166" s="2" t="s">
        <v>9993</v>
      </c>
      <c r="E3166" s="2" t="s">
        <v>58</v>
      </c>
      <c r="F3166" s="4">
        <v>4512</v>
      </c>
      <c r="G3166" s="2" t="s">
        <v>59</v>
      </c>
      <c r="H3166" s="2" t="s">
        <v>34</v>
      </c>
      <c r="I3166" s="2" t="s">
        <v>9994</v>
      </c>
      <c r="J3166" s="2" t="s">
        <v>58</v>
      </c>
      <c r="K3166" s="2" t="s">
        <v>59</v>
      </c>
      <c r="L3166" s="2" t="s">
        <v>34</v>
      </c>
      <c r="M3166" s="7">
        <v>75.451999999999998</v>
      </c>
      <c r="N3166" s="5">
        <v>5.5</v>
      </c>
      <c r="O3166" s="4">
        <v>6</v>
      </c>
      <c r="P3166" s="2" t="s">
        <v>9995</v>
      </c>
      <c r="Q3166" s="2"/>
      <c r="R3166" s="6">
        <v>4.03</v>
      </c>
      <c r="S3166" s="5">
        <v>-8.1</v>
      </c>
      <c r="T3166" s="7">
        <v>-7.5940000000000003</v>
      </c>
      <c r="U3166" s="5">
        <v>1.5</v>
      </c>
      <c r="V3166" s="7">
        <v>-0.90200000000000002</v>
      </c>
      <c r="W3166" s="6">
        <v>4.25</v>
      </c>
      <c r="X3166" s="4">
        <v>4</v>
      </c>
      <c r="Y3166" s="7">
        <v>3.875</v>
      </c>
      <c r="Z3166" s="9">
        <v>3.9375</v>
      </c>
      <c r="AA3166" s="6">
        <v>8.84</v>
      </c>
      <c r="AB3166" s="2" t="s">
        <v>86</v>
      </c>
      <c r="AC3166" s="6">
        <v>20.39</v>
      </c>
    </row>
    <row r="3167" spans="1:29" ht="78" x14ac:dyDescent="0.15">
      <c r="A3167" s="3">
        <f>DATE(1997,6,30)</f>
        <v>35611</v>
      </c>
      <c r="B3167" s="2"/>
      <c r="C3167" s="2" t="s">
        <v>30</v>
      </c>
      <c r="D3167" s="2" t="s">
        <v>9996</v>
      </c>
      <c r="E3167" s="2" t="s">
        <v>612</v>
      </c>
      <c r="F3167" s="4">
        <v>1311</v>
      </c>
      <c r="G3167" s="2" t="s">
        <v>148</v>
      </c>
      <c r="H3167" s="2" t="s">
        <v>34</v>
      </c>
      <c r="I3167" s="2" t="s">
        <v>9997</v>
      </c>
      <c r="J3167" s="2" t="s">
        <v>612</v>
      </c>
      <c r="K3167" s="2" t="s">
        <v>148</v>
      </c>
      <c r="L3167" s="2" t="s">
        <v>34</v>
      </c>
      <c r="M3167" s="7">
        <v>738.23599999999999</v>
      </c>
      <c r="N3167" s="7">
        <v>21.437999999999999</v>
      </c>
      <c r="O3167" s="7">
        <v>21.437999999999999</v>
      </c>
      <c r="P3167" s="2" t="s">
        <v>9998</v>
      </c>
      <c r="Q3167" s="2"/>
      <c r="R3167" s="6">
        <v>15</v>
      </c>
      <c r="S3167" s="5">
        <v>4.2</v>
      </c>
      <c r="T3167" s="7">
        <v>36.536000000000001</v>
      </c>
      <c r="U3167" s="5">
        <v>6.7</v>
      </c>
      <c r="V3167" s="6">
        <v>0.21</v>
      </c>
      <c r="W3167" s="5">
        <v>12.5</v>
      </c>
      <c r="X3167" s="4">
        <v>13</v>
      </c>
      <c r="Y3167" s="7">
        <v>13.875</v>
      </c>
      <c r="Z3167" s="4">
        <v>14</v>
      </c>
      <c r="AA3167" s="6">
        <v>19.77</v>
      </c>
      <c r="AB3167" s="7">
        <v>30.309000000000001</v>
      </c>
      <c r="AC3167" s="6">
        <v>43.47</v>
      </c>
    </row>
    <row r="3168" spans="1:29" ht="143" x14ac:dyDescent="0.15">
      <c r="A3168" s="3">
        <f>DATE(1997,6,30)</f>
        <v>35611</v>
      </c>
      <c r="B3168" s="2"/>
      <c r="C3168" s="2" t="s">
        <v>30</v>
      </c>
      <c r="D3168" s="2" t="s">
        <v>9999</v>
      </c>
      <c r="E3168" s="2" t="s">
        <v>10000</v>
      </c>
      <c r="F3168" s="4">
        <v>2821</v>
      </c>
      <c r="G3168" s="2" t="s">
        <v>98</v>
      </c>
      <c r="H3168" s="2" t="s">
        <v>34</v>
      </c>
      <c r="I3168" s="2" t="s">
        <v>5593</v>
      </c>
      <c r="J3168" s="2" t="s">
        <v>5594</v>
      </c>
      <c r="K3168" s="2" t="s">
        <v>98</v>
      </c>
      <c r="L3168" s="2" t="s">
        <v>34</v>
      </c>
      <c r="M3168" s="12">
        <v>3535.902</v>
      </c>
      <c r="N3168" s="7">
        <v>46.375</v>
      </c>
      <c r="O3168" s="7">
        <v>47.313000000000002</v>
      </c>
      <c r="P3168" s="2" t="s">
        <v>10001</v>
      </c>
      <c r="Q3168" s="2"/>
      <c r="R3168" s="6">
        <v>14.75</v>
      </c>
      <c r="S3168" s="5">
        <v>3.3</v>
      </c>
      <c r="T3168" s="7">
        <v>10.377000000000001</v>
      </c>
      <c r="U3168" s="5">
        <v>7</v>
      </c>
      <c r="V3168" s="7">
        <v>0.61099999999999999</v>
      </c>
      <c r="W3168" s="7">
        <v>11.875</v>
      </c>
      <c r="X3168" s="4">
        <v>12</v>
      </c>
      <c r="Y3168" s="6">
        <v>13.75</v>
      </c>
      <c r="Z3168" s="7">
        <v>14.063000000000001</v>
      </c>
      <c r="AA3168" s="6">
        <v>5.46</v>
      </c>
      <c r="AB3168" s="7">
        <v>11.266999999999999</v>
      </c>
      <c r="AC3168" s="5">
        <v>268</v>
      </c>
    </row>
    <row r="3169" spans="1:29" ht="169" x14ac:dyDescent="0.15">
      <c r="A3169" s="3">
        <f>DATE(1997,6,30)</f>
        <v>35611</v>
      </c>
      <c r="B3169" s="3">
        <f>DATE(1997,12,23)</f>
        <v>35787</v>
      </c>
      <c r="C3169" s="2" t="s">
        <v>95</v>
      </c>
      <c r="D3169" s="2" t="s">
        <v>1160</v>
      </c>
      <c r="E3169" s="2" t="s">
        <v>1161</v>
      </c>
      <c r="F3169" s="4">
        <v>5141</v>
      </c>
      <c r="G3169" s="2" t="s">
        <v>593</v>
      </c>
      <c r="H3169" s="2" t="s">
        <v>34</v>
      </c>
      <c r="I3169" s="2" t="s">
        <v>10002</v>
      </c>
      <c r="J3169" s="2" t="s">
        <v>2945</v>
      </c>
      <c r="K3169" s="2" t="s">
        <v>593</v>
      </c>
      <c r="L3169" s="2" t="s">
        <v>34</v>
      </c>
      <c r="M3169" s="7">
        <v>635.80100000000004</v>
      </c>
      <c r="N3169" s="7">
        <v>28.687999999999999</v>
      </c>
      <c r="O3169" s="7">
        <v>29.062999999999999</v>
      </c>
      <c r="P3169" s="2" t="s">
        <v>10003</v>
      </c>
      <c r="Q3169" s="6">
        <v>100</v>
      </c>
      <c r="R3169" s="6">
        <v>24.41</v>
      </c>
      <c r="S3169" s="5">
        <v>16</v>
      </c>
      <c r="T3169" s="7">
        <v>128.166</v>
      </c>
      <c r="U3169" s="5">
        <v>12.6</v>
      </c>
      <c r="V3169" s="6">
        <v>0.56000000000000005</v>
      </c>
      <c r="W3169" s="7">
        <v>19.375</v>
      </c>
      <c r="X3169" s="7">
        <v>19.625</v>
      </c>
      <c r="Y3169" s="7">
        <v>23.312999999999999</v>
      </c>
      <c r="Z3169" s="7">
        <v>23.875</v>
      </c>
      <c r="AA3169" s="6">
        <v>27.96</v>
      </c>
      <c r="AB3169" s="7">
        <v>13.329000000000001</v>
      </c>
      <c r="AC3169" s="6">
        <v>11.14</v>
      </c>
    </row>
    <row r="3170" spans="1:29" ht="143" x14ac:dyDescent="0.15">
      <c r="A3170" s="3">
        <f>DATE(1997,7,1)</f>
        <v>35612</v>
      </c>
      <c r="B3170" s="3">
        <f>DATE(1997,11,21)</f>
        <v>35755</v>
      </c>
      <c r="C3170" s="2" t="s">
        <v>95</v>
      </c>
      <c r="D3170" s="2" t="s">
        <v>10004</v>
      </c>
      <c r="E3170" s="2" t="s">
        <v>263</v>
      </c>
      <c r="F3170" s="4">
        <v>6035</v>
      </c>
      <c r="G3170" s="2" t="s">
        <v>33</v>
      </c>
      <c r="H3170" s="2" t="s">
        <v>34</v>
      </c>
      <c r="I3170" s="2" t="s">
        <v>10005</v>
      </c>
      <c r="J3170" s="2" t="s">
        <v>672</v>
      </c>
      <c r="K3170" s="2" t="s">
        <v>37</v>
      </c>
      <c r="L3170" s="2" t="s">
        <v>34</v>
      </c>
      <c r="M3170" s="7">
        <v>175.56399999999999</v>
      </c>
      <c r="N3170" s="4">
        <v>15</v>
      </c>
      <c r="O3170" s="4">
        <v>15</v>
      </c>
      <c r="P3170" s="2" t="s">
        <v>10006</v>
      </c>
      <c r="Q3170" s="6">
        <v>100</v>
      </c>
      <c r="R3170" s="6">
        <v>16.09</v>
      </c>
      <c r="S3170" s="5">
        <v>0</v>
      </c>
      <c r="T3170" s="7">
        <v>1.0680000000000001</v>
      </c>
      <c r="U3170" s="5">
        <v>7.8</v>
      </c>
      <c r="V3170" s="7">
        <v>-2.5999999999999999E-2</v>
      </c>
      <c r="W3170" s="7">
        <v>10.375</v>
      </c>
      <c r="X3170" s="4">
        <v>10</v>
      </c>
      <c r="Y3170" s="7">
        <v>13.438000000000001</v>
      </c>
      <c r="Z3170" s="6">
        <v>13.75</v>
      </c>
      <c r="AA3170" s="6">
        <v>4.3899999999999997</v>
      </c>
      <c r="AB3170" s="7">
        <v>532.26199999999994</v>
      </c>
      <c r="AC3170" s="2"/>
    </row>
    <row r="3171" spans="1:29" ht="156" x14ac:dyDescent="0.15">
      <c r="A3171" s="3">
        <f>DATE(1997,7,1)</f>
        <v>35612</v>
      </c>
      <c r="B3171" s="3">
        <f>DATE(1997,9,22)</f>
        <v>35695</v>
      </c>
      <c r="C3171" s="2" t="s">
        <v>95</v>
      </c>
      <c r="D3171" s="2" t="s">
        <v>10007</v>
      </c>
      <c r="E3171" s="2" t="s">
        <v>10008</v>
      </c>
      <c r="F3171" s="4">
        <v>3089</v>
      </c>
      <c r="G3171" s="2" t="s">
        <v>447</v>
      </c>
      <c r="H3171" s="2" t="s">
        <v>34</v>
      </c>
      <c r="I3171" s="2" t="s">
        <v>10009</v>
      </c>
      <c r="J3171" s="2" t="s">
        <v>10010</v>
      </c>
      <c r="K3171" s="2" t="s">
        <v>53</v>
      </c>
      <c r="L3171" s="2" t="s">
        <v>34</v>
      </c>
      <c r="M3171" s="2"/>
      <c r="N3171" s="2"/>
      <c r="O3171" s="2"/>
      <c r="P3171" s="2" t="s">
        <v>10011</v>
      </c>
      <c r="Q3171" s="6">
        <v>100</v>
      </c>
      <c r="R3171" s="2"/>
      <c r="S3171" s="5">
        <v>-24.3</v>
      </c>
      <c r="T3171" s="7">
        <v>8.2870000000000008</v>
      </c>
      <c r="U3171" s="5">
        <v>-1.7</v>
      </c>
      <c r="V3171" s="6">
        <v>-6.38</v>
      </c>
      <c r="W3171" s="7">
        <v>6.625</v>
      </c>
      <c r="X3171" s="5">
        <v>6.5</v>
      </c>
      <c r="Y3171" s="7">
        <v>8.125</v>
      </c>
      <c r="Z3171" s="4">
        <v>8</v>
      </c>
      <c r="AA3171" s="6">
        <v>3.93</v>
      </c>
      <c r="AB3171" s="2" t="s">
        <v>86</v>
      </c>
      <c r="AC3171" s="2"/>
    </row>
    <row r="3172" spans="1:29" ht="52" x14ac:dyDescent="0.15">
      <c r="A3172" s="3">
        <f>DATE(1997,7,1)</f>
        <v>35612</v>
      </c>
      <c r="B3172" s="3">
        <f>DATE(1997,12,18)</f>
        <v>35782</v>
      </c>
      <c r="C3172" s="2" t="s">
        <v>95</v>
      </c>
      <c r="D3172" s="2" t="s">
        <v>7056</v>
      </c>
      <c r="E3172" s="2" t="s">
        <v>263</v>
      </c>
      <c r="F3172" s="4">
        <v>6035</v>
      </c>
      <c r="G3172" s="2" t="s">
        <v>33</v>
      </c>
      <c r="H3172" s="2" t="s">
        <v>34</v>
      </c>
      <c r="I3172" s="2" t="s">
        <v>10012</v>
      </c>
      <c r="J3172" s="2" t="s">
        <v>159</v>
      </c>
      <c r="K3172" s="2" t="s">
        <v>37</v>
      </c>
      <c r="L3172" s="2" t="s">
        <v>34</v>
      </c>
      <c r="M3172" s="7">
        <v>89.501999999999995</v>
      </c>
      <c r="N3172" s="4">
        <v>23</v>
      </c>
      <c r="O3172" s="5">
        <v>22.5</v>
      </c>
      <c r="P3172" s="2" t="s">
        <v>10013</v>
      </c>
      <c r="Q3172" s="6">
        <v>100</v>
      </c>
      <c r="R3172" s="6">
        <v>17.510000000000002</v>
      </c>
      <c r="S3172" s="5">
        <v>0.2</v>
      </c>
      <c r="T3172" s="7">
        <v>0.39500000000000002</v>
      </c>
      <c r="U3172" s="5">
        <v>13.9</v>
      </c>
      <c r="V3172" s="7">
        <v>0.16600000000000001</v>
      </c>
      <c r="W3172" s="6">
        <v>15.25</v>
      </c>
      <c r="X3172" s="5">
        <v>15.5</v>
      </c>
      <c r="Y3172" s="5">
        <v>15.5</v>
      </c>
      <c r="Z3172" s="7">
        <v>16.812999999999999</v>
      </c>
      <c r="AA3172" s="6">
        <v>1.41</v>
      </c>
      <c r="AB3172" s="7">
        <v>403.15199999999999</v>
      </c>
      <c r="AC3172" s="2"/>
    </row>
    <row r="3173" spans="1:29" ht="117" x14ac:dyDescent="0.15">
      <c r="A3173" s="3">
        <f>DATE(1997,7,1)</f>
        <v>35612</v>
      </c>
      <c r="B3173" s="2"/>
      <c r="C3173" s="2" t="s">
        <v>30</v>
      </c>
      <c r="D3173" s="2" t="s">
        <v>10014</v>
      </c>
      <c r="E3173" s="2" t="s">
        <v>10015</v>
      </c>
      <c r="F3173" s="4">
        <v>2833</v>
      </c>
      <c r="G3173" s="2" t="s">
        <v>130</v>
      </c>
      <c r="H3173" s="2" t="s">
        <v>34</v>
      </c>
      <c r="I3173" s="2" t="s">
        <v>10016</v>
      </c>
      <c r="J3173" s="2" t="s">
        <v>10017</v>
      </c>
      <c r="K3173" s="2" t="s">
        <v>130</v>
      </c>
      <c r="L3173" s="2" t="s">
        <v>34</v>
      </c>
      <c r="M3173" s="7">
        <v>905.43799999999999</v>
      </c>
      <c r="N3173" s="7">
        <v>35.375</v>
      </c>
      <c r="O3173" s="7">
        <v>36.375</v>
      </c>
      <c r="P3173" s="2" t="s">
        <v>10018</v>
      </c>
      <c r="Q3173" s="2"/>
      <c r="R3173" s="6">
        <v>28.86</v>
      </c>
      <c r="S3173" s="5">
        <v>8.9</v>
      </c>
      <c r="T3173" s="7">
        <v>41.344000000000001</v>
      </c>
      <c r="U3173" s="5">
        <v>0.1</v>
      </c>
      <c r="V3173" s="9">
        <v>0.33029999999999998</v>
      </c>
      <c r="W3173" s="5">
        <v>21.5</v>
      </c>
      <c r="X3173" s="4">
        <v>24</v>
      </c>
      <c r="Y3173" s="7">
        <v>24.125</v>
      </c>
      <c r="Z3173" s="7">
        <v>24.625</v>
      </c>
      <c r="AA3173" s="6">
        <v>27</v>
      </c>
      <c r="AB3173" s="7">
        <v>22.706</v>
      </c>
      <c r="AC3173" s="6">
        <v>21.72</v>
      </c>
    </row>
    <row r="3174" spans="1:29" ht="78" x14ac:dyDescent="0.15">
      <c r="A3174" s="3">
        <f>DATE(1997,7,2)</f>
        <v>35613</v>
      </c>
      <c r="B3174" s="3">
        <f>DATE(1997,9,23)</f>
        <v>35696</v>
      </c>
      <c r="C3174" s="2" t="s">
        <v>95</v>
      </c>
      <c r="D3174" s="2" t="s">
        <v>8811</v>
      </c>
      <c r="E3174" s="2" t="s">
        <v>8812</v>
      </c>
      <c r="F3174" s="4">
        <v>3569</v>
      </c>
      <c r="G3174" s="2" t="s">
        <v>300</v>
      </c>
      <c r="H3174" s="2" t="s">
        <v>34</v>
      </c>
      <c r="I3174" s="2" t="s">
        <v>10019</v>
      </c>
      <c r="J3174" s="2" t="s">
        <v>10020</v>
      </c>
      <c r="K3174" s="2" t="s">
        <v>173</v>
      </c>
      <c r="L3174" s="2" t="s">
        <v>303</v>
      </c>
      <c r="M3174" s="2"/>
      <c r="N3174" s="2"/>
      <c r="O3174" s="2"/>
      <c r="P3174" s="2" t="s">
        <v>10021</v>
      </c>
      <c r="Q3174" s="6">
        <v>100</v>
      </c>
      <c r="R3174" s="6">
        <v>46.52</v>
      </c>
      <c r="S3174" s="5">
        <v>12.4</v>
      </c>
      <c r="T3174" s="7">
        <v>23.463999999999999</v>
      </c>
      <c r="U3174" s="5">
        <v>24.9</v>
      </c>
      <c r="V3174" s="6">
        <v>3.32</v>
      </c>
      <c r="W3174" s="4">
        <v>45</v>
      </c>
      <c r="X3174" s="6">
        <v>42.75</v>
      </c>
      <c r="Y3174" s="4">
        <v>45</v>
      </c>
      <c r="Z3174" s="7">
        <v>44.875</v>
      </c>
      <c r="AA3174" s="6">
        <v>3.82</v>
      </c>
      <c r="AB3174" s="7">
        <v>7.6829999999999998</v>
      </c>
      <c r="AC3174" s="6">
        <v>60.97</v>
      </c>
    </row>
    <row r="3175" spans="1:29" ht="39" x14ac:dyDescent="0.15">
      <c r="A3175" s="3">
        <f>DATE(1997,7,2)</f>
        <v>35613</v>
      </c>
      <c r="B3175" s="3">
        <f>DATE(1997,10,28)</f>
        <v>35731</v>
      </c>
      <c r="C3175" s="2" t="s">
        <v>95</v>
      </c>
      <c r="D3175" s="2" t="s">
        <v>9284</v>
      </c>
      <c r="E3175" s="2" t="s">
        <v>9285</v>
      </c>
      <c r="F3175" s="4">
        <v>3089</v>
      </c>
      <c r="G3175" s="2" t="s">
        <v>447</v>
      </c>
      <c r="H3175" s="2" t="s">
        <v>34</v>
      </c>
      <c r="I3175" s="2" t="s">
        <v>9286</v>
      </c>
      <c r="J3175" s="2" t="s">
        <v>9287</v>
      </c>
      <c r="K3175" s="2" t="s">
        <v>300</v>
      </c>
      <c r="L3175" s="2" t="s">
        <v>34</v>
      </c>
      <c r="M3175" s="7">
        <v>20.548999999999999</v>
      </c>
      <c r="N3175" s="7">
        <v>5.4379999999999997</v>
      </c>
      <c r="O3175" s="7">
        <v>5.8129999999999997</v>
      </c>
      <c r="P3175" s="2" t="s">
        <v>10022</v>
      </c>
      <c r="Q3175" s="6">
        <v>100</v>
      </c>
      <c r="R3175" s="6">
        <v>7.35</v>
      </c>
      <c r="S3175" s="5">
        <v>1.9</v>
      </c>
      <c r="T3175" s="6">
        <v>4.4400000000000004</v>
      </c>
      <c r="U3175" s="5">
        <v>3.2</v>
      </c>
      <c r="V3175" s="7">
        <v>0.60599999999999998</v>
      </c>
      <c r="W3175" s="5">
        <v>5.5</v>
      </c>
      <c r="X3175" s="7">
        <v>5.625</v>
      </c>
      <c r="Y3175" s="7">
        <v>5.7190000000000003</v>
      </c>
      <c r="Z3175" s="7">
        <v>6.625</v>
      </c>
      <c r="AA3175" s="6">
        <v>3.02</v>
      </c>
      <c r="AB3175" s="7">
        <v>7.3250000000000002</v>
      </c>
      <c r="AC3175" s="6">
        <v>0.56999999999999995</v>
      </c>
    </row>
    <row r="3176" spans="1:29" ht="78" x14ac:dyDescent="0.15">
      <c r="A3176" s="3">
        <f>DATE(1997,7,2)</f>
        <v>35613</v>
      </c>
      <c r="B3176" s="2"/>
      <c r="C3176" s="2" t="s">
        <v>30</v>
      </c>
      <c r="D3176" s="2" t="s">
        <v>10023</v>
      </c>
      <c r="E3176" s="2" t="s">
        <v>973</v>
      </c>
      <c r="F3176" s="4">
        <v>4813</v>
      </c>
      <c r="G3176" s="2" t="s">
        <v>63</v>
      </c>
      <c r="H3176" s="2" t="s">
        <v>34</v>
      </c>
      <c r="I3176" s="2" t="s">
        <v>10024</v>
      </c>
      <c r="J3176" s="2" t="s">
        <v>10025</v>
      </c>
      <c r="K3176" s="2" t="s">
        <v>63</v>
      </c>
      <c r="L3176" s="2" t="s">
        <v>34</v>
      </c>
      <c r="M3176" s="2"/>
      <c r="N3176" s="2"/>
      <c r="O3176" s="2"/>
      <c r="P3176" s="2" t="s">
        <v>10026</v>
      </c>
      <c r="Q3176" s="2"/>
      <c r="R3176" s="2"/>
      <c r="S3176" s="5">
        <v>-15</v>
      </c>
      <c r="T3176" s="7">
        <v>9.6539999999999999</v>
      </c>
      <c r="U3176" s="5">
        <v>-0.3</v>
      </c>
      <c r="V3176" s="6">
        <v>-2.46</v>
      </c>
      <c r="W3176" s="6">
        <v>1.75</v>
      </c>
      <c r="X3176" s="6">
        <v>2.25</v>
      </c>
      <c r="Y3176" s="9">
        <v>2.4375</v>
      </c>
      <c r="Z3176" s="9">
        <v>2.4375</v>
      </c>
      <c r="AA3176" s="6">
        <v>6.15</v>
      </c>
      <c r="AB3176" s="2" t="s">
        <v>47</v>
      </c>
      <c r="AC3176" s="2"/>
    </row>
    <row r="3177" spans="1:29" ht="117" x14ac:dyDescent="0.15">
      <c r="A3177" s="3">
        <f t="shared" ref="A3177:A3182" si="33">DATE(1997,7,3)</f>
        <v>35614</v>
      </c>
      <c r="B3177" s="3">
        <f>DATE(1997,8,5)</f>
        <v>35647</v>
      </c>
      <c r="C3177" s="2" t="s">
        <v>95</v>
      </c>
      <c r="D3177" s="2" t="s">
        <v>10027</v>
      </c>
      <c r="E3177" s="2" t="s">
        <v>10028</v>
      </c>
      <c r="F3177" s="4">
        <v>5399</v>
      </c>
      <c r="G3177" s="2" t="s">
        <v>756</v>
      </c>
      <c r="H3177" s="2" t="s">
        <v>34</v>
      </c>
      <c r="I3177" s="2" t="s">
        <v>10029</v>
      </c>
      <c r="J3177" s="2" t="s">
        <v>10030</v>
      </c>
      <c r="K3177" s="2" t="s">
        <v>59</v>
      </c>
      <c r="L3177" s="2" t="s">
        <v>303</v>
      </c>
      <c r="M3177" s="2"/>
      <c r="N3177" s="2"/>
      <c r="O3177" s="2"/>
      <c r="P3177" s="2" t="s">
        <v>10031</v>
      </c>
      <c r="Q3177" s="6">
        <v>100</v>
      </c>
      <c r="R3177" s="6">
        <v>24</v>
      </c>
      <c r="S3177" s="5">
        <v>21.9</v>
      </c>
      <c r="T3177" s="5">
        <v>50.6</v>
      </c>
      <c r="U3177" s="5">
        <v>8.4</v>
      </c>
      <c r="V3177" s="7">
        <v>0.80200000000000005</v>
      </c>
      <c r="W3177" s="6">
        <v>17.25</v>
      </c>
      <c r="X3177" s="7">
        <v>20.125</v>
      </c>
      <c r="Y3177" s="6">
        <v>23.75</v>
      </c>
      <c r="Z3177" s="6">
        <v>23.75</v>
      </c>
      <c r="AA3177" s="6">
        <v>27.32</v>
      </c>
      <c r="AB3177" s="7">
        <v>20.984999999999999</v>
      </c>
      <c r="AC3177" s="6">
        <v>501.69</v>
      </c>
    </row>
    <row r="3178" spans="1:29" ht="52" x14ac:dyDescent="0.15">
      <c r="A3178" s="3">
        <f t="shared" si="33"/>
        <v>35614</v>
      </c>
      <c r="B3178" s="3">
        <f>DATE(1997,9,26)</f>
        <v>35699</v>
      </c>
      <c r="C3178" s="2" t="s">
        <v>95</v>
      </c>
      <c r="D3178" s="2" t="s">
        <v>10032</v>
      </c>
      <c r="E3178" s="2" t="s">
        <v>3171</v>
      </c>
      <c r="F3178" s="4">
        <v>5812</v>
      </c>
      <c r="G3178" s="2" t="s">
        <v>230</v>
      </c>
      <c r="H3178" s="2" t="s">
        <v>34</v>
      </c>
      <c r="I3178" s="2" t="s">
        <v>10033</v>
      </c>
      <c r="J3178" s="2" t="s">
        <v>302</v>
      </c>
      <c r="K3178" s="2" t="s">
        <v>53</v>
      </c>
      <c r="L3178" s="2" t="s">
        <v>34</v>
      </c>
      <c r="M3178" s="2"/>
      <c r="N3178" s="2"/>
      <c r="O3178" s="2"/>
      <c r="P3178" s="2" t="s">
        <v>10034</v>
      </c>
      <c r="Q3178" s="6">
        <v>100</v>
      </c>
      <c r="R3178" s="6">
        <v>14.5</v>
      </c>
      <c r="S3178" s="5">
        <v>-1</v>
      </c>
      <c r="T3178" s="7">
        <v>16.838000000000001</v>
      </c>
      <c r="U3178" s="5">
        <v>6.1</v>
      </c>
      <c r="V3178" s="7">
        <v>-0.13900000000000001</v>
      </c>
      <c r="W3178" s="7">
        <v>5.375</v>
      </c>
      <c r="X3178" s="6">
        <v>6.25</v>
      </c>
      <c r="Y3178" s="5">
        <v>13.5</v>
      </c>
      <c r="Z3178" s="5">
        <v>13.5</v>
      </c>
      <c r="AA3178" s="6">
        <v>7.48</v>
      </c>
      <c r="AB3178" s="7">
        <v>25.26</v>
      </c>
      <c r="AC3178" s="2"/>
    </row>
    <row r="3179" spans="1:29" ht="130" x14ac:dyDescent="0.15">
      <c r="A3179" s="3">
        <f t="shared" si="33"/>
        <v>35614</v>
      </c>
      <c r="B3179" s="2"/>
      <c r="C3179" s="2" t="s">
        <v>30</v>
      </c>
      <c r="D3179" s="2" t="s">
        <v>9671</v>
      </c>
      <c r="E3179" s="2" t="s">
        <v>9672</v>
      </c>
      <c r="F3179" s="4">
        <v>3812</v>
      </c>
      <c r="G3179" s="2" t="s">
        <v>226</v>
      </c>
      <c r="H3179" s="2" t="s">
        <v>34</v>
      </c>
      <c r="I3179" s="2" t="s">
        <v>7354</v>
      </c>
      <c r="J3179" s="2" t="s">
        <v>7355</v>
      </c>
      <c r="K3179" s="2" t="s">
        <v>219</v>
      </c>
      <c r="L3179" s="2" t="s">
        <v>34</v>
      </c>
      <c r="M3179" s="12">
        <v>18057.485000000001</v>
      </c>
      <c r="N3179" s="7">
        <v>99.125</v>
      </c>
      <c r="O3179" s="7">
        <v>99.125</v>
      </c>
      <c r="P3179" s="2" t="s">
        <v>10035</v>
      </c>
      <c r="Q3179" s="2"/>
      <c r="R3179" s="6">
        <v>124</v>
      </c>
      <c r="S3179" s="5">
        <v>234</v>
      </c>
      <c r="T3179" s="8">
        <v>1025</v>
      </c>
      <c r="U3179" s="5">
        <v>18.399999999999999</v>
      </c>
      <c r="V3179" s="7">
        <v>2.165</v>
      </c>
      <c r="W3179" s="7">
        <v>87.813000000000002</v>
      </c>
      <c r="X3179" s="7">
        <v>88.875</v>
      </c>
      <c r="Y3179" s="4">
        <v>110</v>
      </c>
      <c r="Z3179" s="6">
        <v>111.75</v>
      </c>
      <c r="AA3179" s="6">
        <v>58.02</v>
      </c>
      <c r="AB3179" s="7">
        <v>27.309000000000001</v>
      </c>
      <c r="AC3179" s="2"/>
    </row>
    <row r="3180" spans="1:29" ht="26" x14ac:dyDescent="0.15">
      <c r="A3180" s="3">
        <f t="shared" si="33"/>
        <v>35614</v>
      </c>
      <c r="B3180" s="2"/>
      <c r="C3180" s="2" t="s">
        <v>30</v>
      </c>
      <c r="D3180" s="2" t="s">
        <v>10036</v>
      </c>
      <c r="E3180" s="2" t="s">
        <v>10037</v>
      </c>
      <c r="F3180" s="4">
        <v>2431</v>
      </c>
      <c r="G3180" s="2" t="s">
        <v>250</v>
      </c>
      <c r="H3180" s="2" t="s">
        <v>34</v>
      </c>
      <c r="I3180" s="2" t="s">
        <v>138</v>
      </c>
      <c r="J3180" s="2" t="s">
        <v>139</v>
      </c>
      <c r="K3180" s="2" t="s">
        <v>53</v>
      </c>
      <c r="L3180" s="2" t="s">
        <v>139</v>
      </c>
      <c r="M3180" s="2"/>
      <c r="N3180" s="2"/>
      <c r="O3180" s="2"/>
      <c r="P3180" s="2" t="s">
        <v>10038</v>
      </c>
      <c r="Q3180" s="2"/>
      <c r="R3180" s="2"/>
      <c r="S3180" s="5">
        <v>10.8</v>
      </c>
      <c r="T3180" s="7">
        <v>23.314</v>
      </c>
      <c r="U3180" s="5">
        <v>7</v>
      </c>
      <c r="V3180" s="9">
        <v>1.2067000000000001</v>
      </c>
      <c r="W3180" s="7">
        <v>15.375</v>
      </c>
      <c r="X3180" s="6">
        <v>16.25</v>
      </c>
      <c r="Y3180" s="7">
        <v>16.625</v>
      </c>
      <c r="Z3180" s="7">
        <v>19.375</v>
      </c>
      <c r="AA3180" s="6">
        <v>5.97</v>
      </c>
      <c r="AB3180" s="2" t="s">
        <v>47</v>
      </c>
      <c r="AC3180" s="2"/>
    </row>
    <row r="3181" spans="1:29" ht="52" x14ac:dyDescent="0.15">
      <c r="A3181" s="3">
        <f t="shared" si="33"/>
        <v>35614</v>
      </c>
      <c r="B3181" s="3">
        <f>DATE(1997,11,20)</f>
        <v>35754</v>
      </c>
      <c r="C3181" s="2" t="s">
        <v>95</v>
      </c>
      <c r="D3181" s="2" t="s">
        <v>8007</v>
      </c>
      <c r="E3181" s="2" t="s">
        <v>177</v>
      </c>
      <c r="F3181" s="4">
        <v>1382</v>
      </c>
      <c r="G3181" s="2" t="s">
        <v>148</v>
      </c>
      <c r="H3181" s="2" t="s">
        <v>34</v>
      </c>
      <c r="I3181" s="2" t="s">
        <v>10039</v>
      </c>
      <c r="J3181" s="2" t="s">
        <v>1620</v>
      </c>
      <c r="K3181" s="2" t="s">
        <v>53</v>
      </c>
      <c r="L3181" s="2" t="s">
        <v>34</v>
      </c>
      <c r="M3181" s="2"/>
      <c r="N3181" s="2"/>
      <c r="O3181" s="2"/>
      <c r="P3181" s="2" t="s">
        <v>10040</v>
      </c>
      <c r="Q3181" s="6">
        <v>52</v>
      </c>
      <c r="R3181" s="2"/>
      <c r="S3181" s="5">
        <v>0.4</v>
      </c>
      <c r="T3181" s="7">
        <v>0.61399999999999999</v>
      </c>
      <c r="U3181" s="5">
        <v>0.9</v>
      </c>
      <c r="V3181" s="6">
        <v>0.08</v>
      </c>
      <c r="W3181" s="6">
        <v>2.25</v>
      </c>
      <c r="X3181" s="6">
        <v>6.25</v>
      </c>
      <c r="Y3181" s="6">
        <v>7.25</v>
      </c>
      <c r="Z3181" s="9">
        <v>6.3125</v>
      </c>
      <c r="AA3181" s="6">
        <v>3.12</v>
      </c>
      <c r="AB3181" s="7">
        <v>13.388999999999999</v>
      </c>
      <c r="AC3181" s="2"/>
    </row>
    <row r="3182" spans="1:29" ht="130" x14ac:dyDescent="0.15">
      <c r="A3182" s="3">
        <f t="shared" si="33"/>
        <v>35614</v>
      </c>
      <c r="B3182" s="3">
        <f>DATE(1997,8,6)</f>
        <v>35648</v>
      </c>
      <c r="C3182" s="2" t="s">
        <v>95</v>
      </c>
      <c r="D3182" s="2" t="s">
        <v>10041</v>
      </c>
      <c r="E3182" s="2" t="s">
        <v>10042</v>
      </c>
      <c r="F3182" s="4">
        <v>5065</v>
      </c>
      <c r="G3182" s="2" t="s">
        <v>76</v>
      </c>
      <c r="H3182" s="2" t="s">
        <v>34</v>
      </c>
      <c r="I3182" s="2" t="s">
        <v>10043</v>
      </c>
      <c r="J3182" s="2" t="s">
        <v>4841</v>
      </c>
      <c r="K3182" s="2" t="s">
        <v>341</v>
      </c>
      <c r="L3182" s="2" t="s">
        <v>1049</v>
      </c>
      <c r="M3182" s="2"/>
      <c r="N3182" s="2"/>
      <c r="O3182" s="2"/>
      <c r="P3182" s="2" t="s">
        <v>10044</v>
      </c>
      <c r="Q3182" s="6">
        <v>100</v>
      </c>
      <c r="R3182" s="6">
        <v>50</v>
      </c>
      <c r="S3182" s="5">
        <v>40.200000000000003</v>
      </c>
      <c r="T3182" s="6">
        <v>83.03</v>
      </c>
      <c r="U3182" s="5">
        <v>18.8</v>
      </c>
      <c r="V3182" s="6">
        <v>3.12</v>
      </c>
      <c r="W3182" s="6">
        <v>36.119999999999997</v>
      </c>
      <c r="X3182" s="6">
        <v>42.81</v>
      </c>
      <c r="Y3182" s="7">
        <v>49.313000000000002</v>
      </c>
      <c r="Z3182" s="7">
        <v>49.313000000000002</v>
      </c>
      <c r="AA3182" s="6">
        <v>12.19</v>
      </c>
      <c r="AB3182" s="7">
        <v>10.353999999999999</v>
      </c>
      <c r="AC3182" s="6">
        <v>90.72</v>
      </c>
    </row>
    <row r="3183" spans="1:29" ht="39" x14ac:dyDescent="0.15">
      <c r="A3183" s="3">
        <f>DATE(1997,7,5)</f>
        <v>35616</v>
      </c>
      <c r="B3183" s="2"/>
      <c r="C3183" s="2" t="s">
        <v>30</v>
      </c>
      <c r="D3183" s="2" t="s">
        <v>10045</v>
      </c>
      <c r="E3183" s="2" t="s">
        <v>10046</v>
      </c>
      <c r="F3183" s="4">
        <v>6153</v>
      </c>
      <c r="G3183" s="2" t="s">
        <v>370</v>
      </c>
      <c r="H3183" s="2" t="s">
        <v>34</v>
      </c>
      <c r="I3183" s="2" t="s">
        <v>5793</v>
      </c>
      <c r="J3183" s="2" t="s">
        <v>2855</v>
      </c>
      <c r="K3183" s="2" t="s">
        <v>37</v>
      </c>
      <c r="L3183" s="2" t="s">
        <v>885</v>
      </c>
      <c r="M3183" s="2"/>
      <c r="N3183" s="2"/>
      <c r="O3183" s="2"/>
      <c r="P3183" s="2" t="s">
        <v>10047</v>
      </c>
      <c r="Q3183" s="2"/>
      <c r="R3183" s="2"/>
      <c r="S3183" s="5">
        <v>175.7</v>
      </c>
      <c r="T3183" s="7">
        <v>284.096</v>
      </c>
      <c r="U3183" s="5">
        <v>13</v>
      </c>
      <c r="V3183" s="9">
        <v>2.5933000000000002</v>
      </c>
      <c r="W3183" s="6">
        <v>36.25</v>
      </c>
      <c r="X3183" s="4">
        <v>36</v>
      </c>
      <c r="Y3183" s="6">
        <v>34.25</v>
      </c>
      <c r="Z3183" s="6">
        <v>34.25</v>
      </c>
      <c r="AA3183" s="6">
        <v>44.02</v>
      </c>
      <c r="AB3183" s="2" t="s">
        <v>47</v>
      </c>
      <c r="AC3183" s="2"/>
    </row>
    <row r="3184" spans="1:29" ht="143" x14ac:dyDescent="0.15">
      <c r="A3184" s="3">
        <f>DATE(1997,7,7)</f>
        <v>35618</v>
      </c>
      <c r="B3184" s="3">
        <f>DATE(1997,11,6)</f>
        <v>35740</v>
      </c>
      <c r="C3184" s="2" t="s">
        <v>95</v>
      </c>
      <c r="D3184" s="2" t="s">
        <v>10048</v>
      </c>
      <c r="E3184" s="2" t="s">
        <v>612</v>
      </c>
      <c r="F3184" s="4">
        <v>1311</v>
      </c>
      <c r="G3184" s="2" t="s">
        <v>148</v>
      </c>
      <c r="H3184" s="2" t="s">
        <v>34</v>
      </c>
      <c r="I3184" s="2" t="s">
        <v>10049</v>
      </c>
      <c r="J3184" s="2" t="s">
        <v>1435</v>
      </c>
      <c r="K3184" s="2" t="s">
        <v>148</v>
      </c>
      <c r="L3184" s="2" t="s">
        <v>34</v>
      </c>
      <c r="M3184" s="2"/>
      <c r="N3184" s="6">
        <v>11.25</v>
      </c>
      <c r="O3184" s="7">
        <v>11.125</v>
      </c>
      <c r="P3184" s="2" t="s">
        <v>10050</v>
      </c>
      <c r="Q3184" s="6">
        <v>100</v>
      </c>
      <c r="R3184" s="6">
        <v>13.3</v>
      </c>
      <c r="S3184" s="5">
        <v>6.6</v>
      </c>
      <c r="T3184" s="6">
        <v>24.85</v>
      </c>
      <c r="U3184" s="5">
        <v>5.2</v>
      </c>
      <c r="V3184" s="6">
        <v>0.38</v>
      </c>
      <c r="W3184" s="7">
        <v>10.313000000000001</v>
      </c>
      <c r="X3184" s="7">
        <v>10.875</v>
      </c>
      <c r="Y3184" s="7">
        <v>11.375</v>
      </c>
      <c r="Z3184" s="4">
        <v>11</v>
      </c>
      <c r="AA3184" s="6">
        <v>17.57</v>
      </c>
      <c r="AB3184" s="7">
        <v>30.48</v>
      </c>
      <c r="AC3184" s="6">
        <v>17.27</v>
      </c>
    </row>
    <row r="3185" spans="1:29" ht="130" x14ac:dyDescent="0.15">
      <c r="A3185" s="3">
        <f>DATE(1997,7,7)</f>
        <v>35618</v>
      </c>
      <c r="B3185" s="3">
        <f>DATE(1997,10,21)</f>
        <v>35724</v>
      </c>
      <c r="C3185" s="2" t="s">
        <v>95</v>
      </c>
      <c r="D3185" s="2" t="s">
        <v>10051</v>
      </c>
      <c r="E3185" s="2" t="s">
        <v>8742</v>
      </c>
      <c r="F3185" s="4">
        <v>8082</v>
      </c>
      <c r="G3185" s="2" t="s">
        <v>454</v>
      </c>
      <c r="H3185" s="2" t="s">
        <v>34</v>
      </c>
      <c r="I3185" s="2" t="s">
        <v>5752</v>
      </c>
      <c r="J3185" s="2" t="s">
        <v>5753</v>
      </c>
      <c r="K3185" s="2" t="s">
        <v>454</v>
      </c>
      <c r="L3185" s="2" t="s">
        <v>34</v>
      </c>
      <c r="M3185" s="7">
        <v>2.9609999999999999</v>
      </c>
      <c r="N3185" s="6">
        <v>0.25</v>
      </c>
      <c r="O3185" s="6">
        <v>0.25</v>
      </c>
      <c r="P3185" s="2" t="s">
        <v>10052</v>
      </c>
      <c r="Q3185" s="6">
        <v>100</v>
      </c>
      <c r="R3185" s="6">
        <v>22.61</v>
      </c>
      <c r="S3185" s="5">
        <v>20.6</v>
      </c>
      <c r="T3185" s="6">
        <v>64.66</v>
      </c>
      <c r="U3185" s="5">
        <v>7.5</v>
      </c>
      <c r="V3185" s="6">
        <v>0.83</v>
      </c>
      <c r="W3185" s="7">
        <v>20.062999999999999</v>
      </c>
      <c r="X3185" s="7">
        <v>18.875</v>
      </c>
      <c r="Y3185" s="4">
        <v>20</v>
      </c>
      <c r="Z3185" s="7">
        <v>19.437999999999999</v>
      </c>
      <c r="AA3185" s="6">
        <v>26.17</v>
      </c>
      <c r="AB3185" s="7">
        <v>18.649000000000001</v>
      </c>
      <c r="AC3185" s="6">
        <v>41.07</v>
      </c>
    </row>
    <row r="3186" spans="1:29" ht="39" x14ac:dyDescent="0.15">
      <c r="A3186" s="3">
        <f>DATE(1997,7,8)</f>
        <v>35619</v>
      </c>
      <c r="B3186" s="3">
        <f>DATE(1997,11,1)</f>
        <v>35735</v>
      </c>
      <c r="C3186" s="2" t="s">
        <v>95</v>
      </c>
      <c r="D3186" s="2" t="s">
        <v>9011</v>
      </c>
      <c r="E3186" s="2" t="s">
        <v>9012</v>
      </c>
      <c r="F3186" s="4">
        <v>7375</v>
      </c>
      <c r="G3186" s="2" t="s">
        <v>223</v>
      </c>
      <c r="H3186" s="2" t="s">
        <v>34</v>
      </c>
      <c r="I3186" s="2" t="s">
        <v>7577</v>
      </c>
      <c r="J3186" s="2" t="s">
        <v>244</v>
      </c>
      <c r="K3186" s="2" t="s">
        <v>53</v>
      </c>
      <c r="L3186" s="2" t="s">
        <v>34</v>
      </c>
      <c r="M3186" s="2"/>
      <c r="N3186" s="2"/>
      <c r="O3186" s="2"/>
      <c r="P3186" s="2" t="s">
        <v>10053</v>
      </c>
      <c r="Q3186" s="6">
        <v>100</v>
      </c>
      <c r="R3186" s="2"/>
      <c r="S3186" s="5">
        <v>-94.3</v>
      </c>
      <c r="T3186" s="7">
        <v>82.506</v>
      </c>
      <c r="U3186" s="5">
        <v>7</v>
      </c>
      <c r="V3186" s="7">
        <v>-1.018</v>
      </c>
      <c r="W3186" s="7">
        <v>10.875</v>
      </c>
      <c r="X3186" s="7">
        <v>12.063000000000001</v>
      </c>
      <c r="Y3186" s="9">
        <v>12.1875</v>
      </c>
      <c r="Z3186" s="4">
        <v>12</v>
      </c>
      <c r="AA3186" s="6">
        <v>92.6</v>
      </c>
      <c r="AB3186" s="2" t="s">
        <v>86</v>
      </c>
      <c r="AC3186" s="2"/>
    </row>
    <row r="3187" spans="1:29" ht="143" x14ac:dyDescent="0.15">
      <c r="A3187" s="3">
        <f>DATE(1997,7,8)</f>
        <v>35619</v>
      </c>
      <c r="B3187" s="3">
        <f>DATE(1997,9,30)</f>
        <v>35703</v>
      </c>
      <c r="C3187" s="2" t="s">
        <v>95</v>
      </c>
      <c r="D3187" s="2" t="s">
        <v>10054</v>
      </c>
      <c r="E3187" s="2" t="s">
        <v>6423</v>
      </c>
      <c r="F3187" s="4">
        <v>5411</v>
      </c>
      <c r="G3187" s="2" t="s">
        <v>1461</v>
      </c>
      <c r="H3187" s="2" t="s">
        <v>34</v>
      </c>
      <c r="I3187" s="2" t="s">
        <v>10055</v>
      </c>
      <c r="J3187" s="2" t="s">
        <v>10056</v>
      </c>
      <c r="K3187" s="2" t="s">
        <v>1461</v>
      </c>
      <c r="L3187" s="2" t="s">
        <v>34</v>
      </c>
      <c r="M3187" s="2"/>
      <c r="N3187" s="2"/>
      <c r="O3187" s="2"/>
      <c r="P3187" s="2" t="s">
        <v>10057</v>
      </c>
      <c r="Q3187" s="6">
        <v>100</v>
      </c>
      <c r="R3187" s="6">
        <v>30</v>
      </c>
      <c r="S3187" s="5">
        <v>8</v>
      </c>
      <c r="T3187" s="7">
        <v>44.706000000000003</v>
      </c>
      <c r="U3187" s="5">
        <v>16.600000000000001</v>
      </c>
      <c r="V3187" s="6">
        <v>1.1200000000000001</v>
      </c>
      <c r="W3187" s="6">
        <v>30.25</v>
      </c>
      <c r="X3187" s="6">
        <v>30.75</v>
      </c>
      <c r="Y3187" s="4">
        <v>32</v>
      </c>
      <c r="Z3187" s="7">
        <v>31.687999999999999</v>
      </c>
      <c r="AA3187" s="6">
        <v>7.12</v>
      </c>
      <c r="AB3187" s="7">
        <v>11.141</v>
      </c>
      <c r="AC3187" s="2"/>
    </row>
    <row r="3188" spans="1:29" ht="78" x14ac:dyDescent="0.15">
      <c r="A3188" s="3">
        <f>DATE(1997,7,8)</f>
        <v>35619</v>
      </c>
      <c r="B3188" s="3">
        <f>DATE(1997,10,24)</f>
        <v>35727</v>
      </c>
      <c r="C3188" s="2" t="s">
        <v>95</v>
      </c>
      <c r="D3188" s="2" t="s">
        <v>10058</v>
      </c>
      <c r="E3188" s="2" t="s">
        <v>746</v>
      </c>
      <c r="F3188" s="4">
        <v>6311</v>
      </c>
      <c r="G3188" s="2" t="s">
        <v>125</v>
      </c>
      <c r="H3188" s="2" t="s">
        <v>34</v>
      </c>
      <c r="I3188" s="2" t="s">
        <v>10059</v>
      </c>
      <c r="J3188" s="2" t="s">
        <v>1085</v>
      </c>
      <c r="K3188" s="2" t="s">
        <v>125</v>
      </c>
      <c r="L3188" s="2" t="s">
        <v>2105</v>
      </c>
      <c r="M3188" s="2"/>
      <c r="N3188" s="2"/>
      <c r="O3188" s="2"/>
      <c r="P3188" s="2" t="s">
        <v>10060</v>
      </c>
      <c r="Q3188" s="6">
        <v>100</v>
      </c>
      <c r="R3188" s="6">
        <v>68</v>
      </c>
      <c r="S3188" s="5">
        <v>128</v>
      </c>
      <c r="T3188" s="2"/>
      <c r="U3188" s="5">
        <v>24.7</v>
      </c>
      <c r="V3188" s="6">
        <v>3.86</v>
      </c>
      <c r="W3188" s="4">
        <v>54</v>
      </c>
      <c r="X3188" s="4">
        <v>54</v>
      </c>
      <c r="Y3188" s="4">
        <v>54</v>
      </c>
      <c r="Z3188" s="4">
        <v>54</v>
      </c>
      <c r="AA3188" s="6">
        <v>32.049999999999997</v>
      </c>
      <c r="AB3188" s="7">
        <v>10.994</v>
      </c>
      <c r="AC3188" s="10">
        <v>1768</v>
      </c>
    </row>
    <row r="3189" spans="1:29" ht="65" x14ac:dyDescent="0.15">
      <c r="A3189" s="3">
        <f t="shared" ref="A3189:A3194" si="34">DATE(1997,7,9)</f>
        <v>35620</v>
      </c>
      <c r="B3189" s="2"/>
      <c r="C3189" s="2" t="s">
        <v>30</v>
      </c>
      <c r="D3189" s="2" t="s">
        <v>10061</v>
      </c>
      <c r="E3189" s="2" t="s">
        <v>8421</v>
      </c>
      <c r="F3189" s="4">
        <v>7999</v>
      </c>
      <c r="G3189" s="2" t="s">
        <v>364</v>
      </c>
      <c r="H3189" s="2" t="s">
        <v>34</v>
      </c>
      <c r="I3189" s="2" t="s">
        <v>4819</v>
      </c>
      <c r="J3189" s="2" t="s">
        <v>4820</v>
      </c>
      <c r="K3189" s="2" t="s">
        <v>364</v>
      </c>
      <c r="L3189" s="2" t="s">
        <v>34</v>
      </c>
      <c r="M3189" s="7">
        <v>107.76900000000001</v>
      </c>
      <c r="N3189" s="9">
        <v>10.8125</v>
      </c>
      <c r="O3189" s="9">
        <v>10.6875</v>
      </c>
      <c r="P3189" s="2" t="s">
        <v>10062</v>
      </c>
      <c r="Q3189" s="2"/>
      <c r="R3189" s="2"/>
      <c r="S3189" s="5">
        <v>-115.9</v>
      </c>
      <c r="T3189" s="7">
        <v>-20.439</v>
      </c>
      <c r="U3189" s="5">
        <v>0.9</v>
      </c>
      <c r="V3189" s="6">
        <v>7.0000000000000007E-2</v>
      </c>
      <c r="W3189" s="6">
        <v>4.25</v>
      </c>
      <c r="X3189" s="6">
        <v>4.25</v>
      </c>
      <c r="Y3189" s="6">
        <v>4.25</v>
      </c>
      <c r="Z3189" s="6">
        <v>4.25</v>
      </c>
      <c r="AA3189" s="6">
        <v>5.14</v>
      </c>
      <c r="AB3189" s="2" t="s">
        <v>86</v>
      </c>
      <c r="AC3189" s="2"/>
    </row>
    <row r="3190" spans="1:29" ht="130" x14ac:dyDescent="0.15">
      <c r="A3190" s="3">
        <f t="shared" si="34"/>
        <v>35620</v>
      </c>
      <c r="B3190" s="3">
        <f>DATE(1997,9,23)</f>
        <v>35696</v>
      </c>
      <c r="C3190" s="2" t="s">
        <v>95</v>
      </c>
      <c r="D3190" s="2" t="s">
        <v>10063</v>
      </c>
      <c r="E3190" s="2" t="s">
        <v>10064</v>
      </c>
      <c r="F3190" s="4">
        <v>3571</v>
      </c>
      <c r="G3190" s="2" t="s">
        <v>50</v>
      </c>
      <c r="H3190" s="2" t="s">
        <v>34</v>
      </c>
      <c r="I3190" s="2" t="s">
        <v>10065</v>
      </c>
      <c r="J3190" s="2" t="s">
        <v>9299</v>
      </c>
      <c r="K3190" s="2" t="s">
        <v>53</v>
      </c>
      <c r="L3190" s="2" t="s">
        <v>34</v>
      </c>
      <c r="M3190" s="2"/>
      <c r="N3190" s="2"/>
      <c r="O3190" s="2"/>
      <c r="P3190" s="2" t="s">
        <v>10066</v>
      </c>
      <c r="Q3190" s="6">
        <v>100</v>
      </c>
      <c r="R3190" s="6">
        <v>20.25</v>
      </c>
      <c r="S3190" s="5">
        <v>16</v>
      </c>
      <c r="T3190" s="7">
        <v>12.897</v>
      </c>
      <c r="U3190" s="5">
        <v>8</v>
      </c>
      <c r="V3190" s="6">
        <v>1.0900000000000001</v>
      </c>
      <c r="W3190" s="5">
        <v>15.5</v>
      </c>
      <c r="X3190" s="7">
        <v>15.688000000000001</v>
      </c>
      <c r="Y3190" s="6">
        <v>20.25</v>
      </c>
      <c r="Z3190" s="7">
        <v>20.280999999999999</v>
      </c>
      <c r="AA3190" s="6">
        <v>12.6</v>
      </c>
      <c r="AB3190" s="7">
        <v>42.402000000000001</v>
      </c>
      <c r="AC3190" s="2"/>
    </row>
    <row r="3191" spans="1:29" ht="182" x14ac:dyDescent="0.15">
      <c r="A3191" s="3">
        <f t="shared" si="34"/>
        <v>35620</v>
      </c>
      <c r="B3191" s="2"/>
      <c r="C3191" s="2" t="s">
        <v>30</v>
      </c>
      <c r="D3191" s="2" t="s">
        <v>10067</v>
      </c>
      <c r="E3191" s="2" t="s">
        <v>10068</v>
      </c>
      <c r="F3191" s="4">
        <v>3691</v>
      </c>
      <c r="G3191" s="2" t="s">
        <v>137</v>
      </c>
      <c r="H3191" s="2" t="s">
        <v>34</v>
      </c>
      <c r="I3191" s="2" t="s">
        <v>315</v>
      </c>
      <c r="J3191" s="2" t="s">
        <v>316</v>
      </c>
      <c r="K3191" s="2" t="s">
        <v>226</v>
      </c>
      <c r="L3191" s="2" t="s">
        <v>34</v>
      </c>
      <c r="M3191" s="12">
        <v>2907.3049999999998</v>
      </c>
      <c r="N3191" s="7">
        <v>49.875</v>
      </c>
      <c r="O3191" s="7">
        <v>49.938000000000002</v>
      </c>
      <c r="P3191" s="2" t="s">
        <v>10069</v>
      </c>
      <c r="Q3191" s="2"/>
      <c r="R3191" s="6">
        <v>20</v>
      </c>
      <c r="S3191" s="5">
        <v>-10.3</v>
      </c>
      <c r="T3191" s="6">
        <v>44.37</v>
      </c>
      <c r="U3191" s="5">
        <v>10.199999999999999</v>
      </c>
      <c r="V3191" s="6">
        <v>-1.1499999999999999</v>
      </c>
      <c r="W3191" s="7">
        <v>12.438000000000001</v>
      </c>
      <c r="X3191" s="7">
        <v>12.875</v>
      </c>
      <c r="Y3191" s="7">
        <v>20.625</v>
      </c>
      <c r="Z3191" s="5">
        <v>21.5</v>
      </c>
      <c r="AA3191" s="6">
        <v>10.050000000000001</v>
      </c>
      <c r="AB3191" s="7">
        <v>21.882999999999999</v>
      </c>
      <c r="AC3191" s="6">
        <v>26.44</v>
      </c>
    </row>
    <row r="3192" spans="1:29" ht="208" x14ac:dyDescent="0.15">
      <c r="A3192" s="3">
        <f t="shared" si="34"/>
        <v>35620</v>
      </c>
      <c r="B3192" s="2"/>
      <c r="C3192" s="2" t="s">
        <v>30</v>
      </c>
      <c r="D3192" s="2" t="s">
        <v>10070</v>
      </c>
      <c r="E3192" s="2" t="s">
        <v>10071</v>
      </c>
      <c r="F3192" s="4">
        <v>3519</v>
      </c>
      <c r="G3192" s="2" t="s">
        <v>300</v>
      </c>
      <c r="H3192" s="2" t="s">
        <v>34</v>
      </c>
      <c r="I3192" s="2" t="s">
        <v>10072</v>
      </c>
      <c r="J3192" s="2" t="s">
        <v>10073</v>
      </c>
      <c r="K3192" s="2" t="s">
        <v>300</v>
      </c>
      <c r="L3192" s="2" t="s">
        <v>34</v>
      </c>
      <c r="M3192" s="7">
        <v>586.59699999999998</v>
      </c>
      <c r="N3192" s="7">
        <v>25.875</v>
      </c>
      <c r="O3192" s="7">
        <v>25.625</v>
      </c>
      <c r="P3192" s="2" t="s">
        <v>10074</v>
      </c>
      <c r="Q3192" s="2"/>
      <c r="R3192" s="6">
        <v>16</v>
      </c>
      <c r="S3192" s="5">
        <v>-7.3</v>
      </c>
      <c r="T3192" s="5">
        <v>73.7</v>
      </c>
      <c r="U3192" s="5">
        <v>11.8</v>
      </c>
      <c r="V3192" s="6">
        <v>0.36</v>
      </c>
      <c r="W3192" s="7">
        <v>12.625</v>
      </c>
      <c r="X3192" s="6">
        <v>12.25</v>
      </c>
      <c r="Y3192" s="4">
        <v>12</v>
      </c>
      <c r="Z3192" s="7">
        <v>10.875</v>
      </c>
      <c r="AA3192" s="6">
        <v>20.21</v>
      </c>
      <c r="AB3192" s="7">
        <v>21.321000000000002</v>
      </c>
      <c r="AC3192" s="5">
        <v>3</v>
      </c>
    </row>
    <row r="3193" spans="1:29" ht="130" x14ac:dyDescent="0.15">
      <c r="A3193" s="3">
        <f t="shared" si="34"/>
        <v>35620</v>
      </c>
      <c r="B3193" s="3">
        <f>DATE(1997,12,23)</f>
        <v>35787</v>
      </c>
      <c r="C3193" s="2" t="s">
        <v>95</v>
      </c>
      <c r="D3193" s="2" t="s">
        <v>10075</v>
      </c>
      <c r="E3193" s="2" t="s">
        <v>10076</v>
      </c>
      <c r="F3193" s="4">
        <v>5712</v>
      </c>
      <c r="G3193" s="2" t="s">
        <v>1227</v>
      </c>
      <c r="H3193" s="2" t="s">
        <v>34</v>
      </c>
      <c r="I3193" s="2" t="s">
        <v>51</v>
      </c>
      <c r="J3193" s="2" t="s">
        <v>52</v>
      </c>
      <c r="K3193" s="2" t="s">
        <v>53</v>
      </c>
      <c r="L3193" s="2" t="s">
        <v>34</v>
      </c>
      <c r="M3193" s="2"/>
      <c r="N3193" s="2"/>
      <c r="O3193" s="2"/>
      <c r="P3193" s="2" t="s">
        <v>10077</v>
      </c>
      <c r="Q3193" s="6">
        <v>33.08</v>
      </c>
      <c r="R3193" s="6">
        <v>25.05</v>
      </c>
      <c r="S3193" s="5">
        <v>4.0999999999999996</v>
      </c>
      <c r="T3193" s="7">
        <v>14.465999999999999</v>
      </c>
      <c r="U3193" s="5">
        <v>23.3</v>
      </c>
      <c r="V3193" s="7">
        <v>0.81799999999999995</v>
      </c>
      <c r="W3193" s="4">
        <v>20</v>
      </c>
      <c r="X3193" s="7">
        <v>19.625</v>
      </c>
      <c r="Y3193" s="4">
        <v>23</v>
      </c>
      <c r="Z3193" s="7">
        <v>22.530999999999999</v>
      </c>
      <c r="AA3193" s="6">
        <v>4.54</v>
      </c>
      <c r="AB3193" s="7">
        <v>13.919</v>
      </c>
      <c r="AC3193" s="2"/>
    </row>
    <row r="3194" spans="1:29" ht="52" x14ac:dyDescent="0.15">
      <c r="A3194" s="3">
        <f t="shared" si="34"/>
        <v>35620</v>
      </c>
      <c r="B3194" s="2"/>
      <c r="C3194" s="2" t="s">
        <v>87</v>
      </c>
      <c r="D3194" s="2" t="s">
        <v>10078</v>
      </c>
      <c r="E3194" s="2" t="s">
        <v>10079</v>
      </c>
      <c r="F3194" s="4">
        <v>4924</v>
      </c>
      <c r="G3194" s="2" t="s">
        <v>439</v>
      </c>
      <c r="H3194" s="2" t="s">
        <v>34</v>
      </c>
      <c r="I3194" s="2" t="s">
        <v>2752</v>
      </c>
      <c r="J3194" s="2" t="s">
        <v>1888</v>
      </c>
      <c r="K3194" s="2" t="s">
        <v>439</v>
      </c>
      <c r="L3194" s="2" t="s">
        <v>34</v>
      </c>
      <c r="M3194" s="6">
        <v>440.53</v>
      </c>
      <c r="N3194" s="6">
        <v>6.25</v>
      </c>
      <c r="O3194" s="7">
        <v>6.4379999999999997</v>
      </c>
      <c r="P3194" s="2" t="s">
        <v>10080</v>
      </c>
      <c r="Q3194" s="2"/>
      <c r="R3194" s="2"/>
      <c r="S3194" s="5">
        <v>28.5</v>
      </c>
      <c r="T3194" s="7">
        <v>106.29900000000001</v>
      </c>
      <c r="U3194" s="5">
        <v>6.7</v>
      </c>
      <c r="V3194" s="9">
        <v>0.4607</v>
      </c>
      <c r="W3194" s="7">
        <v>22.875</v>
      </c>
      <c r="X3194" s="7">
        <v>23.125</v>
      </c>
      <c r="Y3194" s="7">
        <v>22.625</v>
      </c>
      <c r="Z3194" s="4">
        <v>23</v>
      </c>
      <c r="AA3194" s="6">
        <v>17.12</v>
      </c>
      <c r="AB3194" s="2" t="s">
        <v>47</v>
      </c>
      <c r="AC3194" s="6">
        <v>68.77</v>
      </c>
    </row>
    <row r="3195" spans="1:29" ht="117" x14ac:dyDescent="0.15">
      <c r="A3195" s="3">
        <f>DATE(1997,7,10)</f>
        <v>35621</v>
      </c>
      <c r="B3195" s="3">
        <f>DATE(1997,11,18)</f>
        <v>35752</v>
      </c>
      <c r="C3195" s="2" t="s">
        <v>95</v>
      </c>
      <c r="D3195" s="2" t="s">
        <v>10081</v>
      </c>
      <c r="E3195" s="2" t="s">
        <v>58</v>
      </c>
      <c r="F3195" s="4">
        <v>4512</v>
      </c>
      <c r="G3195" s="2" t="s">
        <v>59</v>
      </c>
      <c r="H3195" s="2" t="s">
        <v>34</v>
      </c>
      <c r="I3195" s="2" t="s">
        <v>10082</v>
      </c>
      <c r="J3195" s="2" t="s">
        <v>58</v>
      </c>
      <c r="K3195" s="2" t="s">
        <v>59</v>
      </c>
      <c r="L3195" s="2" t="s">
        <v>34</v>
      </c>
      <c r="M3195" s="7">
        <v>392.709</v>
      </c>
      <c r="N3195" s="7">
        <v>7.3129999999999997</v>
      </c>
      <c r="O3195" s="7">
        <v>7.5629999999999997</v>
      </c>
      <c r="P3195" s="2" t="s">
        <v>10083</v>
      </c>
      <c r="Q3195" s="6">
        <v>100</v>
      </c>
      <c r="R3195" s="6">
        <v>6.81</v>
      </c>
      <c r="S3195" s="5">
        <v>-6.5</v>
      </c>
      <c r="T3195" s="7">
        <v>-7.4240000000000004</v>
      </c>
      <c r="U3195" s="5">
        <v>1.9</v>
      </c>
      <c r="V3195" s="7">
        <v>-0.72299999999999998</v>
      </c>
      <c r="W3195" s="6">
        <v>5.25</v>
      </c>
      <c r="X3195" s="7">
        <v>5.375</v>
      </c>
      <c r="Y3195" s="7">
        <v>6.625</v>
      </c>
      <c r="Z3195" s="5">
        <v>6.5</v>
      </c>
      <c r="AA3195" s="6">
        <v>9.07</v>
      </c>
      <c r="AB3195" s="2" t="s">
        <v>86</v>
      </c>
      <c r="AC3195" s="6">
        <v>150.01</v>
      </c>
    </row>
    <row r="3196" spans="1:29" ht="104" x14ac:dyDescent="0.15">
      <c r="A3196" s="3">
        <f>DATE(1997,7,10)</f>
        <v>35621</v>
      </c>
      <c r="B3196" s="3">
        <f>DATE(1997,11,18)</f>
        <v>35752</v>
      </c>
      <c r="C3196" s="2" t="s">
        <v>95</v>
      </c>
      <c r="D3196" s="2" t="s">
        <v>10084</v>
      </c>
      <c r="E3196" s="2" t="s">
        <v>10085</v>
      </c>
      <c r="F3196" s="4">
        <v>3841</v>
      </c>
      <c r="G3196" s="2" t="s">
        <v>226</v>
      </c>
      <c r="H3196" s="2" t="s">
        <v>34</v>
      </c>
      <c r="I3196" s="2" t="s">
        <v>51</v>
      </c>
      <c r="J3196" s="2" t="s">
        <v>52</v>
      </c>
      <c r="K3196" s="2" t="s">
        <v>53</v>
      </c>
      <c r="L3196" s="2" t="s">
        <v>34</v>
      </c>
      <c r="M3196" s="2"/>
      <c r="N3196" s="2"/>
      <c r="O3196" s="2"/>
      <c r="P3196" s="2" t="s">
        <v>10086</v>
      </c>
      <c r="Q3196" s="6">
        <v>91.19</v>
      </c>
      <c r="R3196" s="6">
        <v>19.25</v>
      </c>
      <c r="S3196" s="5">
        <v>39</v>
      </c>
      <c r="T3196" s="7">
        <v>77.147999999999996</v>
      </c>
      <c r="U3196" s="5">
        <v>5</v>
      </c>
      <c r="V3196" s="6">
        <v>0.86</v>
      </c>
      <c r="W3196" s="6">
        <v>17.87</v>
      </c>
      <c r="X3196" s="4">
        <v>18</v>
      </c>
      <c r="Y3196" s="4">
        <v>18</v>
      </c>
      <c r="Z3196" s="5">
        <v>18.5</v>
      </c>
      <c r="AA3196" s="6">
        <v>42.44</v>
      </c>
      <c r="AB3196" s="7">
        <v>14.346</v>
      </c>
      <c r="AC3196" s="2"/>
    </row>
    <row r="3197" spans="1:29" ht="130" x14ac:dyDescent="0.15">
      <c r="A3197" s="3">
        <f>DATE(1997,7,10)</f>
        <v>35621</v>
      </c>
      <c r="B3197" s="3">
        <f>DATE(1997,12,31)</f>
        <v>35795</v>
      </c>
      <c r="C3197" s="2" t="s">
        <v>95</v>
      </c>
      <c r="D3197" s="2" t="s">
        <v>1524</v>
      </c>
      <c r="E3197" s="2" t="s">
        <v>1525</v>
      </c>
      <c r="F3197" s="4">
        <v>1381</v>
      </c>
      <c r="G3197" s="2" t="s">
        <v>148</v>
      </c>
      <c r="H3197" s="2" t="s">
        <v>34</v>
      </c>
      <c r="I3197" s="2" t="s">
        <v>10087</v>
      </c>
      <c r="J3197" s="2" t="s">
        <v>5471</v>
      </c>
      <c r="K3197" s="2" t="s">
        <v>148</v>
      </c>
      <c r="L3197" s="2" t="s">
        <v>34</v>
      </c>
      <c r="M3197" s="12">
        <v>1850.597</v>
      </c>
      <c r="N3197" s="4">
        <v>31</v>
      </c>
      <c r="O3197" s="5">
        <v>33.5</v>
      </c>
      <c r="P3197" s="2" t="s">
        <v>10088</v>
      </c>
      <c r="Q3197" s="6">
        <v>100</v>
      </c>
      <c r="R3197" s="6">
        <v>32.78</v>
      </c>
      <c r="S3197" s="5">
        <v>77.900000000000006</v>
      </c>
      <c r="T3197" s="7">
        <v>140.93600000000001</v>
      </c>
      <c r="U3197" s="5">
        <v>6.2</v>
      </c>
      <c r="V3197" s="6">
        <v>1.1499999999999999</v>
      </c>
      <c r="W3197" s="7">
        <v>28.625</v>
      </c>
      <c r="X3197" s="7">
        <v>28.125</v>
      </c>
      <c r="Y3197" s="4">
        <v>31</v>
      </c>
      <c r="Z3197" s="5">
        <v>33.5</v>
      </c>
      <c r="AA3197" s="6">
        <v>72.05</v>
      </c>
      <c r="AB3197" s="7">
        <v>23.838999999999999</v>
      </c>
      <c r="AC3197" s="6">
        <v>85.05</v>
      </c>
    </row>
    <row r="3198" spans="1:29" ht="117" x14ac:dyDescent="0.15">
      <c r="A3198" s="3">
        <f>DATE(1997,7,10)</f>
        <v>35621</v>
      </c>
      <c r="B3198" s="3">
        <f>DATE(1998,9,29)</f>
        <v>36067</v>
      </c>
      <c r="C3198" s="2" t="s">
        <v>95</v>
      </c>
      <c r="D3198" s="2" t="s">
        <v>10089</v>
      </c>
      <c r="E3198" s="2" t="s">
        <v>1888</v>
      </c>
      <c r="F3198" s="4">
        <v>4911</v>
      </c>
      <c r="G3198" s="2" t="s">
        <v>439</v>
      </c>
      <c r="H3198" s="2" t="s">
        <v>34</v>
      </c>
      <c r="I3198" s="2" t="s">
        <v>10090</v>
      </c>
      <c r="J3198" s="2" t="s">
        <v>441</v>
      </c>
      <c r="K3198" s="2" t="s">
        <v>439</v>
      </c>
      <c r="L3198" s="2" t="s">
        <v>34</v>
      </c>
      <c r="M3198" s="7">
        <v>651.19200000000001</v>
      </c>
      <c r="N3198" s="7">
        <v>27.375</v>
      </c>
      <c r="O3198" s="5">
        <v>27.5</v>
      </c>
      <c r="P3198" s="2" t="s">
        <v>10091</v>
      </c>
      <c r="Q3198" s="6">
        <v>100</v>
      </c>
      <c r="R3198" s="6">
        <v>24.64</v>
      </c>
      <c r="S3198" s="5">
        <v>5.2</v>
      </c>
      <c r="T3198" s="7">
        <v>17.414999999999999</v>
      </c>
      <c r="U3198" s="5">
        <v>14.5</v>
      </c>
      <c r="V3198" s="6">
        <v>1.73</v>
      </c>
      <c r="W3198" s="4">
        <v>19</v>
      </c>
      <c r="X3198" s="5">
        <v>18.5</v>
      </c>
      <c r="Y3198" s="6">
        <v>18.25</v>
      </c>
      <c r="Z3198" s="5">
        <v>21.5</v>
      </c>
      <c r="AA3198" s="6">
        <v>2.97</v>
      </c>
      <c r="AB3198" s="7">
        <v>10.147</v>
      </c>
      <c r="AC3198" s="6">
        <v>5.98</v>
      </c>
    </row>
    <row r="3199" spans="1:29" ht="143" x14ac:dyDescent="0.15">
      <c r="A3199" s="3">
        <f>DATE(1997,7,14)</f>
        <v>35625</v>
      </c>
      <c r="B3199" s="3">
        <f>DATE(1997,10,28)</f>
        <v>35731</v>
      </c>
      <c r="C3199" s="2" t="s">
        <v>95</v>
      </c>
      <c r="D3199" s="2" t="s">
        <v>10092</v>
      </c>
      <c r="E3199" s="2" t="s">
        <v>7375</v>
      </c>
      <c r="F3199" s="4">
        <v>7319</v>
      </c>
      <c r="G3199" s="2" t="s">
        <v>4563</v>
      </c>
      <c r="H3199" s="2" t="s">
        <v>34</v>
      </c>
      <c r="I3199" s="2" t="s">
        <v>51</v>
      </c>
      <c r="J3199" s="2" t="s">
        <v>52</v>
      </c>
      <c r="K3199" s="2" t="s">
        <v>53</v>
      </c>
      <c r="L3199" s="2" t="s">
        <v>34</v>
      </c>
      <c r="M3199" s="2"/>
      <c r="N3199" s="2"/>
      <c r="O3199" s="2"/>
      <c r="P3199" s="2" t="s">
        <v>10093</v>
      </c>
      <c r="Q3199" s="6">
        <v>100</v>
      </c>
      <c r="R3199" s="6">
        <v>11</v>
      </c>
      <c r="S3199" s="5">
        <v>2.4</v>
      </c>
      <c r="T3199" s="7">
        <v>45.581000000000003</v>
      </c>
      <c r="U3199" s="5">
        <v>7.5</v>
      </c>
      <c r="V3199" s="6">
        <v>0.17</v>
      </c>
      <c r="W3199" s="5">
        <v>6.5</v>
      </c>
      <c r="X3199" s="7">
        <v>7.625</v>
      </c>
      <c r="Y3199" s="7">
        <v>9.0630000000000006</v>
      </c>
      <c r="Z3199" s="7">
        <v>10.813000000000001</v>
      </c>
      <c r="AA3199" s="6">
        <v>13.68</v>
      </c>
      <c r="AB3199" s="7">
        <v>11.387</v>
      </c>
      <c r="AC3199" s="2"/>
    </row>
    <row r="3200" spans="1:29" ht="91" x14ac:dyDescent="0.15">
      <c r="A3200" s="3">
        <f t="shared" ref="A3200:A3205" si="35">DATE(1997,7,15)</f>
        <v>35626</v>
      </c>
      <c r="B3200" s="3">
        <f>DATE(1997,10,2)</f>
        <v>35705</v>
      </c>
      <c r="C3200" s="2" t="s">
        <v>95</v>
      </c>
      <c r="D3200" s="2" t="s">
        <v>10094</v>
      </c>
      <c r="E3200" s="2" t="s">
        <v>10095</v>
      </c>
      <c r="F3200" s="4">
        <v>5045</v>
      </c>
      <c r="G3200" s="2" t="s">
        <v>76</v>
      </c>
      <c r="H3200" s="2" t="s">
        <v>34</v>
      </c>
      <c r="I3200" s="2" t="s">
        <v>10096</v>
      </c>
      <c r="J3200" s="2" t="s">
        <v>10095</v>
      </c>
      <c r="K3200" s="2" t="s">
        <v>50</v>
      </c>
      <c r="L3200" s="2" t="s">
        <v>133</v>
      </c>
      <c r="M3200" s="2"/>
      <c r="N3200" s="2"/>
      <c r="O3200" s="2"/>
      <c r="P3200" s="2" t="s">
        <v>10097</v>
      </c>
      <c r="Q3200" s="6">
        <v>87.77</v>
      </c>
      <c r="R3200" s="6">
        <v>25</v>
      </c>
      <c r="S3200" s="5">
        <v>2.1</v>
      </c>
      <c r="T3200" s="7">
        <v>8.6449999999999996</v>
      </c>
      <c r="U3200" s="5">
        <v>9.3000000000000007</v>
      </c>
      <c r="V3200" s="7">
        <v>0.249</v>
      </c>
      <c r="W3200" s="4">
        <v>16</v>
      </c>
      <c r="X3200" s="7">
        <v>15.875</v>
      </c>
      <c r="Y3200" s="4">
        <v>23</v>
      </c>
      <c r="Z3200" s="7">
        <v>22.875</v>
      </c>
      <c r="AA3200" s="6">
        <v>7.98</v>
      </c>
      <c r="AB3200" s="7">
        <v>36.348999999999997</v>
      </c>
      <c r="AC3200" s="2"/>
    </row>
    <row r="3201" spans="1:29" ht="130" x14ac:dyDescent="0.15">
      <c r="A3201" s="3">
        <f t="shared" si="35"/>
        <v>35626</v>
      </c>
      <c r="B3201" s="3">
        <f>DATE(1997,10,28)</f>
        <v>35731</v>
      </c>
      <c r="C3201" s="2" t="s">
        <v>95</v>
      </c>
      <c r="D3201" s="2" t="s">
        <v>10098</v>
      </c>
      <c r="E3201" s="2" t="s">
        <v>10099</v>
      </c>
      <c r="F3201" s="4">
        <v>3955</v>
      </c>
      <c r="G3201" s="2" t="s">
        <v>112</v>
      </c>
      <c r="H3201" s="2" t="s">
        <v>34</v>
      </c>
      <c r="I3201" s="2" t="s">
        <v>10100</v>
      </c>
      <c r="J3201" s="2" t="s">
        <v>10101</v>
      </c>
      <c r="K3201" s="2" t="s">
        <v>186</v>
      </c>
      <c r="L3201" s="2" t="s">
        <v>34</v>
      </c>
      <c r="M3201" s="6">
        <v>538.85</v>
      </c>
      <c r="N3201" s="7">
        <v>18.312999999999999</v>
      </c>
      <c r="O3201" s="7">
        <v>18.937999999999999</v>
      </c>
      <c r="P3201" s="2" t="s">
        <v>10102</v>
      </c>
      <c r="Q3201" s="6">
        <v>100</v>
      </c>
      <c r="R3201" s="6">
        <v>28.03</v>
      </c>
      <c r="S3201" s="5">
        <v>11.3</v>
      </c>
      <c r="T3201" s="7">
        <v>26.157</v>
      </c>
      <c r="U3201" s="5">
        <v>10.3</v>
      </c>
      <c r="V3201" s="6">
        <v>1.26</v>
      </c>
      <c r="W3201" s="5">
        <v>17.5</v>
      </c>
      <c r="X3201" s="6">
        <v>16.75</v>
      </c>
      <c r="Y3201" s="5">
        <v>16.5</v>
      </c>
      <c r="Z3201" s="4">
        <v>23</v>
      </c>
      <c r="AA3201" s="6">
        <v>8.15</v>
      </c>
      <c r="AB3201" s="7">
        <v>14.85</v>
      </c>
      <c r="AC3201" s="6">
        <v>6.67</v>
      </c>
    </row>
    <row r="3202" spans="1:29" ht="65" x14ac:dyDescent="0.15">
      <c r="A3202" s="3">
        <f t="shared" si="35"/>
        <v>35626</v>
      </c>
      <c r="B3202" s="3">
        <f>DATE(1997,12,19)</f>
        <v>35783</v>
      </c>
      <c r="C3202" s="2" t="s">
        <v>95</v>
      </c>
      <c r="D3202" s="2" t="s">
        <v>10103</v>
      </c>
      <c r="E3202" s="2" t="s">
        <v>10104</v>
      </c>
      <c r="F3202" s="4">
        <v>5045</v>
      </c>
      <c r="G3202" s="2" t="s">
        <v>76</v>
      </c>
      <c r="H3202" s="2" t="s">
        <v>34</v>
      </c>
      <c r="I3202" s="2" t="s">
        <v>10105</v>
      </c>
      <c r="J3202" s="2" t="s">
        <v>244</v>
      </c>
      <c r="K3202" s="2" t="s">
        <v>53</v>
      </c>
      <c r="L3202" s="2" t="s">
        <v>34</v>
      </c>
      <c r="M3202" s="2"/>
      <c r="N3202" s="2"/>
      <c r="O3202" s="2"/>
      <c r="P3202" s="2" t="s">
        <v>10106</v>
      </c>
      <c r="Q3202" s="6">
        <v>45.8</v>
      </c>
      <c r="R3202" s="2"/>
      <c r="S3202" s="5">
        <v>-140.4</v>
      </c>
      <c r="T3202" s="7">
        <v>13.022</v>
      </c>
      <c r="U3202" s="5">
        <v>5</v>
      </c>
      <c r="V3202" s="6">
        <v>-46.8</v>
      </c>
      <c r="W3202" s="11">
        <v>1.96875</v>
      </c>
      <c r="X3202" s="11">
        <v>2.03125</v>
      </c>
      <c r="Y3202" s="11">
        <v>2.96875</v>
      </c>
      <c r="Z3202" s="7">
        <v>2.625</v>
      </c>
      <c r="AA3202" s="6">
        <v>96.1</v>
      </c>
      <c r="AB3202" s="2" t="s">
        <v>86</v>
      </c>
      <c r="AC3202" s="2"/>
    </row>
    <row r="3203" spans="1:29" ht="143" x14ac:dyDescent="0.15">
      <c r="A3203" s="3">
        <f t="shared" si="35"/>
        <v>35626</v>
      </c>
      <c r="B3203" s="2"/>
      <c r="C3203" s="2" t="s">
        <v>82</v>
      </c>
      <c r="D3203" s="2" t="s">
        <v>10107</v>
      </c>
      <c r="E3203" s="2" t="s">
        <v>441</v>
      </c>
      <c r="F3203" s="4">
        <v>4931</v>
      </c>
      <c r="G3203" s="2" t="s">
        <v>439</v>
      </c>
      <c r="H3203" s="2" t="s">
        <v>34</v>
      </c>
      <c r="I3203" s="2" t="s">
        <v>10108</v>
      </c>
      <c r="J3203" s="2" t="s">
        <v>1888</v>
      </c>
      <c r="K3203" s="2" t="s">
        <v>439</v>
      </c>
      <c r="L3203" s="2" t="s">
        <v>34</v>
      </c>
      <c r="M3203" s="12">
        <v>2563.7280000000001</v>
      </c>
      <c r="N3203" s="7">
        <v>37.875</v>
      </c>
      <c r="O3203" s="7">
        <v>37.875</v>
      </c>
      <c r="P3203" s="2" t="s">
        <v>10109</v>
      </c>
      <c r="Q3203" s="2"/>
      <c r="R3203" s="6">
        <v>27.5</v>
      </c>
      <c r="S3203" s="5">
        <v>166.9</v>
      </c>
      <c r="T3203" s="6">
        <v>628.11</v>
      </c>
      <c r="U3203" s="5">
        <v>26.4</v>
      </c>
      <c r="V3203" s="7">
        <v>2.2650000000000001</v>
      </c>
      <c r="W3203" s="7">
        <v>21.562999999999999</v>
      </c>
      <c r="X3203" s="7">
        <v>21.375</v>
      </c>
      <c r="Y3203" s="9">
        <v>24.5625</v>
      </c>
      <c r="Z3203" s="9">
        <v>25.0625</v>
      </c>
      <c r="AA3203" s="6">
        <v>68.5</v>
      </c>
      <c r="AB3203" s="7">
        <v>8.1549999999999994</v>
      </c>
      <c r="AC3203" s="6">
        <v>584.65</v>
      </c>
    </row>
    <row r="3204" spans="1:29" ht="156" x14ac:dyDescent="0.15">
      <c r="A3204" s="3">
        <f t="shared" si="35"/>
        <v>35626</v>
      </c>
      <c r="B3204" s="3">
        <f>DATE(1997,9,4)</f>
        <v>35677</v>
      </c>
      <c r="C3204" s="2" t="s">
        <v>95</v>
      </c>
      <c r="D3204" s="2" t="s">
        <v>6813</v>
      </c>
      <c r="E3204" s="2" t="s">
        <v>6814</v>
      </c>
      <c r="F3204" s="4">
        <v>2435</v>
      </c>
      <c r="G3204" s="2" t="s">
        <v>250</v>
      </c>
      <c r="H3204" s="2" t="s">
        <v>34</v>
      </c>
      <c r="I3204" s="2" t="s">
        <v>10110</v>
      </c>
      <c r="J3204" s="2" t="s">
        <v>10111</v>
      </c>
      <c r="K3204" s="2" t="s">
        <v>300</v>
      </c>
      <c r="L3204" s="2" t="s">
        <v>34</v>
      </c>
      <c r="M3204" s="7">
        <v>229.05600000000001</v>
      </c>
      <c r="N3204" s="7">
        <v>26.437999999999999</v>
      </c>
      <c r="O3204" s="5">
        <v>26.5</v>
      </c>
      <c r="P3204" s="2" t="s">
        <v>10112</v>
      </c>
      <c r="Q3204" s="6">
        <v>100</v>
      </c>
      <c r="R3204" s="6">
        <v>19.5</v>
      </c>
      <c r="S3204" s="5">
        <v>10.5</v>
      </c>
      <c r="T3204" s="7">
        <v>43.963000000000001</v>
      </c>
      <c r="U3204" s="5">
        <v>10.4</v>
      </c>
      <c r="V3204" s="6">
        <v>0.74</v>
      </c>
      <c r="W3204" s="6">
        <v>16.75</v>
      </c>
      <c r="X3204" s="6">
        <v>16.25</v>
      </c>
      <c r="Y3204" s="4">
        <v>18</v>
      </c>
      <c r="Z3204" s="4">
        <v>18</v>
      </c>
      <c r="AA3204" s="6">
        <v>13.93</v>
      </c>
      <c r="AB3204" s="7">
        <v>13.076000000000001</v>
      </c>
      <c r="AC3204" s="6">
        <v>97.77</v>
      </c>
    </row>
    <row r="3205" spans="1:29" ht="26" x14ac:dyDescent="0.15">
      <c r="A3205" s="3">
        <f t="shared" si="35"/>
        <v>35626</v>
      </c>
      <c r="B3205" s="3">
        <f>DATE(1997,12,31)</f>
        <v>35795</v>
      </c>
      <c r="C3205" s="2" t="s">
        <v>95</v>
      </c>
      <c r="D3205" s="2" t="s">
        <v>10113</v>
      </c>
      <c r="E3205" s="2" t="s">
        <v>844</v>
      </c>
      <c r="F3205" s="4">
        <v>6552</v>
      </c>
      <c r="G3205" s="2" t="s">
        <v>109</v>
      </c>
      <c r="H3205" s="2" t="s">
        <v>34</v>
      </c>
      <c r="I3205" s="2" t="s">
        <v>138</v>
      </c>
      <c r="J3205" s="2" t="s">
        <v>139</v>
      </c>
      <c r="K3205" s="2" t="s">
        <v>53</v>
      </c>
      <c r="L3205" s="2" t="s">
        <v>139</v>
      </c>
      <c r="M3205" s="2"/>
      <c r="N3205" s="2"/>
      <c r="O3205" s="2"/>
      <c r="P3205" s="2" t="s">
        <v>10114</v>
      </c>
      <c r="Q3205" s="6">
        <v>100</v>
      </c>
      <c r="R3205" s="2"/>
      <c r="S3205" s="5">
        <v>5.9</v>
      </c>
      <c r="T3205" s="7">
        <v>13.374000000000001</v>
      </c>
      <c r="U3205" s="5">
        <v>3.4</v>
      </c>
      <c r="V3205" s="6">
        <v>0.67</v>
      </c>
      <c r="W3205" s="7">
        <v>9.0630000000000006</v>
      </c>
      <c r="X3205" s="7">
        <v>10.125</v>
      </c>
      <c r="Y3205" s="6">
        <v>12.25</v>
      </c>
      <c r="Z3205" s="6">
        <v>12.25</v>
      </c>
      <c r="AA3205" s="6">
        <v>8.61</v>
      </c>
      <c r="AB3205" s="2" t="s">
        <v>47</v>
      </c>
      <c r="AC3205" s="2"/>
    </row>
    <row r="3206" spans="1:29" ht="143" x14ac:dyDescent="0.15">
      <c r="A3206" s="3">
        <f>DATE(1997,7,16)</f>
        <v>35627</v>
      </c>
      <c r="B3206" s="3">
        <f>DATE(1998,2,1)</f>
        <v>35827</v>
      </c>
      <c r="C3206" s="2" t="s">
        <v>95</v>
      </c>
      <c r="D3206" s="2" t="s">
        <v>10115</v>
      </c>
      <c r="E3206" s="2" t="s">
        <v>1181</v>
      </c>
      <c r="F3206" s="4">
        <v>6021</v>
      </c>
      <c r="G3206" s="2" t="s">
        <v>37</v>
      </c>
      <c r="H3206" s="2" t="s">
        <v>34</v>
      </c>
      <c r="I3206" s="2" t="s">
        <v>2150</v>
      </c>
      <c r="J3206" s="2" t="s">
        <v>263</v>
      </c>
      <c r="K3206" s="2" t="s">
        <v>37</v>
      </c>
      <c r="L3206" s="2" t="s">
        <v>34</v>
      </c>
      <c r="M3206" s="12">
        <v>1854.048</v>
      </c>
      <c r="N3206" s="7">
        <v>14.063000000000001</v>
      </c>
      <c r="O3206" s="7">
        <v>13.813000000000001</v>
      </c>
      <c r="P3206" s="2" t="s">
        <v>10116</v>
      </c>
      <c r="Q3206" s="6">
        <v>100</v>
      </c>
      <c r="R3206" s="6">
        <v>29.2</v>
      </c>
      <c r="S3206" s="5">
        <v>7.8</v>
      </c>
      <c r="T3206" s="7">
        <v>12.509</v>
      </c>
      <c r="U3206" s="5">
        <v>13.9</v>
      </c>
      <c r="V3206" s="6">
        <v>1.33</v>
      </c>
      <c r="W3206" s="6">
        <v>22.25</v>
      </c>
      <c r="X3206" s="5">
        <v>22.5</v>
      </c>
      <c r="Y3206" s="6">
        <v>27.25</v>
      </c>
      <c r="Z3206" s="7">
        <v>27.375</v>
      </c>
      <c r="AA3206" s="6">
        <v>5.86</v>
      </c>
      <c r="AB3206" s="7">
        <v>51.396000000000001</v>
      </c>
      <c r="AC3206" s="2"/>
    </row>
    <row r="3207" spans="1:29" ht="91" x14ac:dyDescent="0.15">
      <c r="A3207" s="3">
        <f>DATE(1997,7,16)</f>
        <v>35627</v>
      </c>
      <c r="B3207" s="3">
        <f>DATE(1997,8,27)</f>
        <v>35669</v>
      </c>
      <c r="C3207" s="2" t="s">
        <v>95</v>
      </c>
      <c r="D3207" s="2" t="s">
        <v>10117</v>
      </c>
      <c r="E3207" s="2" t="s">
        <v>10118</v>
      </c>
      <c r="F3207" s="4">
        <v>5621</v>
      </c>
      <c r="G3207" s="2" t="s">
        <v>756</v>
      </c>
      <c r="H3207" s="2" t="s">
        <v>34</v>
      </c>
      <c r="I3207" s="2" t="s">
        <v>10119</v>
      </c>
      <c r="J3207" s="2" t="s">
        <v>9299</v>
      </c>
      <c r="K3207" s="2" t="s">
        <v>7998</v>
      </c>
      <c r="L3207" s="2" t="s">
        <v>34</v>
      </c>
      <c r="M3207" s="7">
        <v>6.7729999999999997</v>
      </c>
      <c r="N3207" s="7">
        <v>0.65600000000000003</v>
      </c>
      <c r="O3207" s="7">
        <v>0.625</v>
      </c>
      <c r="P3207" s="2" t="s">
        <v>10120</v>
      </c>
      <c r="Q3207" s="6">
        <v>100</v>
      </c>
      <c r="R3207" s="2"/>
      <c r="S3207" s="2"/>
      <c r="T3207" s="2"/>
      <c r="U3207" s="2"/>
      <c r="V3207" s="2"/>
      <c r="W3207" s="7">
        <v>1.0629999999999999</v>
      </c>
      <c r="X3207" s="7">
        <v>1.0629999999999999</v>
      </c>
      <c r="Y3207" s="7">
        <v>1.0629999999999999</v>
      </c>
      <c r="Z3207" s="7">
        <v>1.125</v>
      </c>
      <c r="AA3207" s="2"/>
      <c r="AB3207" s="2" t="s">
        <v>47</v>
      </c>
      <c r="AC3207" s="2"/>
    </row>
    <row r="3208" spans="1:29" ht="130" x14ac:dyDescent="0.15">
      <c r="A3208" s="3">
        <f>DATE(1997,7,16)</f>
        <v>35627</v>
      </c>
      <c r="B3208" s="3">
        <f>DATE(1998,5,5)</f>
        <v>35920</v>
      </c>
      <c r="C3208" s="2" t="s">
        <v>95</v>
      </c>
      <c r="D3208" s="2" t="s">
        <v>10121</v>
      </c>
      <c r="E3208" s="2" t="s">
        <v>10122</v>
      </c>
      <c r="F3208" s="4">
        <v>8299</v>
      </c>
      <c r="G3208" s="2" t="s">
        <v>415</v>
      </c>
      <c r="H3208" s="2" t="s">
        <v>34</v>
      </c>
      <c r="I3208" s="2" t="s">
        <v>278</v>
      </c>
      <c r="J3208" s="2" t="s">
        <v>52</v>
      </c>
      <c r="K3208" s="2" t="s">
        <v>53</v>
      </c>
      <c r="L3208" s="2" t="s">
        <v>34</v>
      </c>
      <c r="M3208" s="2"/>
      <c r="N3208" s="2"/>
      <c r="O3208" s="2"/>
      <c r="P3208" s="2" t="s">
        <v>10123</v>
      </c>
      <c r="Q3208" s="6">
        <v>48.33</v>
      </c>
      <c r="R3208" s="2"/>
      <c r="S3208" s="5">
        <v>19.100000000000001</v>
      </c>
      <c r="T3208" s="7">
        <v>34.161999999999999</v>
      </c>
      <c r="U3208" s="5">
        <v>1.6</v>
      </c>
      <c r="V3208" s="7">
        <v>0.35499999999999998</v>
      </c>
      <c r="W3208" s="7">
        <v>26.125</v>
      </c>
      <c r="X3208" s="6">
        <v>23.75</v>
      </c>
      <c r="Y3208" s="6">
        <v>25.25</v>
      </c>
      <c r="Z3208" s="6">
        <v>26.25</v>
      </c>
      <c r="AA3208" s="6">
        <v>27</v>
      </c>
      <c r="AB3208" s="7">
        <v>24.937000000000001</v>
      </c>
      <c r="AC3208" s="2"/>
    </row>
    <row r="3209" spans="1:29" ht="117" x14ac:dyDescent="0.15">
      <c r="A3209" s="3">
        <f>DATE(1997,7,16)</f>
        <v>35627</v>
      </c>
      <c r="B3209" s="2"/>
      <c r="C3209" s="2" t="s">
        <v>30</v>
      </c>
      <c r="D3209" s="2" t="s">
        <v>5627</v>
      </c>
      <c r="E3209" s="2" t="s">
        <v>9194</v>
      </c>
      <c r="F3209" s="4">
        <v>7011</v>
      </c>
      <c r="G3209" s="2" t="s">
        <v>269</v>
      </c>
      <c r="H3209" s="2" t="s">
        <v>34</v>
      </c>
      <c r="I3209" s="2" t="s">
        <v>278</v>
      </c>
      <c r="J3209" s="2" t="s">
        <v>52</v>
      </c>
      <c r="K3209" s="2" t="s">
        <v>53</v>
      </c>
      <c r="L3209" s="2" t="s">
        <v>34</v>
      </c>
      <c r="M3209" s="2"/>
      <c r="N3209" s="2"/>
      <c r="O3209" s="2"/>
      <c r="P3209" s="2" t="s">
        <v>10124</v>
      </c>
      <c r="Q3209" s="2"/>
      <c r="R3209" s="2"/>
      <c r="S3209" s="5">
        <v>249</v>
      </c>
      <c r="T3209" s="8">
        <v>1004</v>
      </c>
      <c r="U3209" s="5">
        <v>26.4</v>
      </c>
      <c r="V3209" s="6">
        <v>2.11</v>
      </c>
      <c r="W3209" s="4">
        <v>42</v>
      </c>
      <c r="X3209" s="6">
        <v>43.75</v>
      </c>
      <c r="Y3209" s="5">
        <v>58.5</v>
      </c>
      <c r="Z3209" s="7">
        <v>56.875</v>
      </c>
      <c r="AA3209" s="2"/>
      <c r="AB3209" s="2" t="s">
        <v>47</v>
      </c>
      <c r="AC3209" s="2"/>
    </row>
    <row r="3210" spans="1:29" ht="91" x14ac:dyDescent="0.15">
      <c r="A3210" s="3">
        <f>DATE(1997,7,16)</f>
        <v>35627</v>
      </c>
      <c r="B3210" s="2"/>
      <c r="C3210" s="2" t="s">
        <v>30</v>
      </c>
      <c r="D3210" s="2" t="s">
        <v>9603</v>
      </c>
      <c r="E3210" s="2" t="s">
        <v>9604</v>
      </c>
      <c r="F3210" s="4">
        <v>3845</v>
      </c>
      <c r="G3210" s="2" t="s">
        <v>226</v>
      </c>
      <c r="H3210" s="2" t="s">
        <v>34</v>
      </c>
      <c r="I3210" s="2" t="s">
        <v>4983</v>
      </c>
      <c r="J3210" s="2" t="s">
        <v>4984</v>
      </c>
      <c r="K3210" s="2" t="s">
        <v>76</v>
      </c>
      <c r="L3210" s="2" t="s">
        <v>34</v>
      </c>
      <c r="M3210" s="12">
        <v>2485.4430000000002</v>
      </c>
      <c r="N3210" s="7">
        <v>36.875</v>
      </c>
      <c r="O3210" s="7">
        <v>39.375</v>
      </c>
      <c r="P3210" s="2" t="s">
        <v>10125</v>
      </c>
      <c r="Q3210" s="2"/>
      <c r="R3210" s="6">
        <v>7.19</v>
      </c>
      <c r="S3210" s="5">
        <v>-4.4000000000000004</v>
      </c>
      <c r="T3210" s="7">
        <v>-5.9960000000000004</v>
      </c>
      <c r="U3210" s="5">
        <v>6.2</v>
      </c>
      <c r="V3210" s="7">
        <v>-0.61299999999999999</v>
      </c>
      <c r="W3210" s="4">
        <v>9</v>
      </c>
      <c r="X3210" s="7">
        <v>9.125</v>
      </c>
      <c r="Y3210" s="5">
        <v>7.5</v>
      </c>
      <c r="Z3210" s="7">
        <v>7.125</v>
      </c>
      <c r="AA3210" s="6">
        <v>8</v>
      </c>
      <c r="AB3210" s="2" t="s">
        <v>86</v>
      </c>
      <c r="AC3210" s="5">
        <v>106.7</v>
      </c>
    </row>
    <row r="3211" spans="1:29" ht="130" x14ac:dyDescent="0.15">
      <c r="A3211" s="3">
        <f>DATE(1997,7,17)</f>
        <v>35628</v>
      </c>
      <c r="B3211" s="3">
        <f>DATE(1997,10,22)</f>
        <v>35725</v>
      </c>
      <c r="C3211" s="2" t="s">
        <v>95</v>
      </c>
      <c r="D3211" s="2" t="s">
        <v>2341</v>
      </c>
      <c r="E3211" s="2" t="s">
        <v>612</v>
      </c>
      <c r="F3211" s="4">
        <v>1311</v>
      </c>
      <c r="G3211" s="2" t="s">
        <v>148</v>
      </c>
      <c r="H3211" s="2" t="s">
        <v>34</v>
      </c>
      <c r="I3211" s="2" t="s">
        <v>4853</v>
      </c>
      <c r="J3211" s="2" t="s">
        <v>1435</v>
      </c>
      <c r="K3211" s="2" t="s">
        <v>148</v>
      </c>
      <c r="L3211" s="2" t="s">
        <v>34</v>
      </c>
      <c r="M3211" s="12">
        <v>5543.1610000000001</v>
      </c>
      <c r="N3211" s="7">
        <v>44.375</v>
      </c>
      <c r="O3211" s="6">
        <v>45.25</v>
      </c>
      <c r="P3211" s="2" t="s">
        <v>10126</v>
      </c>
      <c r="Q3211" s="6">
        <v>100</v>
      </c>
      <c r="R3211" s="6">
        <v>70.34</v>
      </c>
      <c r="S3211" s="5">
        <v>80.2</v>
      </c>
      <c r="T3211" s="5">
        <v>320</v>
      </c>
      <c r="U3211" s="5">
        <v>13.9</v>
      </c>
      <c r="V3211" s="6">
        <v>2.35</v>
      </c>
      <c r="W3211" s="7">
        <v>56.063000000000002</v>
      </c>
      <c r="X3211" s="6">
        <v>58.25</v>
      </c>
      <c r="Y3211" s="7">
        <v>65.625</v>
      </c>
      <c r="Z3211" s="7">
        <v>67.125</v>
      </c>
      <c r="AA3211" s="6">
        <v>34.270000000000003</v>
      </c>
      <c r="AB3211" s="7">
        <v>20.757999999999999</v>
      </c>
      <c r="AC3211" s="5">
        <v>68</v>
      </c>
    </row>
    <row r="3212" spans="1:29" ht="104" x14ac:dyDescent="0.15">
      <c r="A3212" s="3">
        <f>DATE(1997,7,17)</f>
        <v>35628</v>
      </c>
      <c r="B3212" s="3">
        <f>DATE(1997,9,29)</f>
        <v>35702</v>
      </c>
      <c r="C3212" s="2" t="s">
        <v>95</v>
      </c>
      <c r="D3212" s="2" t="s">
        <v>4619</v>
      </c>
      <c r="E3212" s="2" t="s">
        <v>4620</v>
      </c>
      <c r="F3212" s="4">
        <v>3661</v>
      </c>
      <c r="G3212" s="2" t="s">
        <v>921</v>
      </c>
      <c r="H3212" s="2" t="s">
        <v>34</v>
      </c>
      <c r="I3212" s="2" t="s">
        <v>8437</v>
      </c>
      <c r="J3212" s="2" t="s">
        <v>6519</v>
      </c>
      <c r="K3212" s="2" t="s">
        <v>63</v>
      </c>
      <c r="L3212" s="2" t="s">
        <v>34</v>
      </c>
      <c r="M3212" s="12">
        <v>46314.656999999999</v>
      </c>
      <c r="N3212" s="7">
        <v>86.063000000000002</v>
      </c>
      <c r="O3212" s="6">
        <v>84.25</v>
      </c>
      <c r="P3212" s="2" t="s">
        <v>10127</v>
      </c>
      <c r="Q3212" s="6">
        <v>100</v>
      </c>
      <c r="R3212" s="6">
        <v>31</v>
      </c>
      <c r="S3212" s="5">
        <v>50.8</v>
      </c>
      <c r="T3212" s="7">
        <v>116.25700000000001</v>
      </c>
      <c r="U3212" s="5">
        <v>7.1</v>
      </c>
      <c r="V3212" s="6">
        <v>0.95</v>
      </c>
      <c r="W3212" s="7">
        <v>22.562999999999999</v>
      </c>
      <c r="X3212" s="6">
        <v>26.75</v>
      </c>
      <c r="Y3212" s="7">
        <v>30.125</v>
      </c>
      <c r="Z3212" s="7">
        <v>30.312999999999999</v>
      </c>
      <c r="AA3212" s="6">
        <v>52.43</v>
      </c>
      <c r="AB3212" s="7">
        <v>22.452000000000002</v>
      </c>
      <c r="AC3212" s="8">
        <v>2241</v>
      </c>
    </row>
    <row r="3213" spans="1:29" ht="182" x14ac:dyDescent="0.15">
      <c r="A3213" s="3">
        <f>DATE(1997,7,17)</f>
        <v>35628</v>
      </c>
      <c r="B3213" s="2"/>
      <c r="C3213" s="2" t="s">
        <v>30</v>
      </c>
      <c r="D3213" s="2" t="s">
        <v>10128</v>
      </c>
      <c r="E3213" s="2" t="s">
        <v>1402</v>
      </c>
      <c r="F3213" s="4">
        <v>3661</v>
      </c>
      <c r="G3213" s="2" t="s">
        <v>921</v>
      </c>
      <c r="H3213" s="2" t="s">
        <v>34</v>
      </c>
      <c r="I3213" s="2" t="s">
        <v>7977</v>
      </c>
      <c r="J3213" s="2" t="s">
        <v>973</v>
      </c>
      <c r="K3213" s="2" t="s">
        <v>63</v>
      </c>
      <c r="L3213" s="2" t="s">
        <v>34</v>
      </c>
      <c r="M3213" s="12">
        <v>1020.109</v>
      </c>
      <c r="N3213" s="7">
        <v>19.094000000000001</v>
      </c>
      <c r="O3213" s="4">
        <v>19</v>
      </c>
      <c r="P3213" s="2" t="s">
        <v>10129</v>
      </c>
      <c r="Q3213" s="2"/>
      <c r="R3213" s="6">
        <v>11.25</v>
      </c>
      <c r="S3213" s="5">
        <v>-4.5999999999999996</v>
      </c>
      <c r="T3213" s="6">
        <v>49.39</v>
      </c>
      <c r="U3213" s="5">
        <v>2.6</v>
      </c>
      <c r="V3213" s="7">
        <v>-0.58499999999999996</v>
      </c>
      <c r="W3213" s="6">
        <v>7.25</v>
      </c>
      <c r="X3213" s="4">
        <v>9</v>
      </c>
      <c r="Y3213" s="7">
        <v>9.375</v>
      </c>
      <c r="Z3213" s="4">
        <v>9</v>
      </c>
      <c r="AA3213" s="6">
        <v>17.170000000000002</v>
      </c>
      <c r="AB3213" s="7">
        <v>17.684999999999999</v>
      </c>
      <c r="AC3213" s="6">
        <v>157.26</v>
      </c>
    </row>
    <row r="3214" spans="1:29" ht="52" x14ac:dyDescent="0.15">
      <c r="A3214" s="3">
        <f>DATE(1997,7,18)</f>
        <v>35629</v>
      </c>
      <c r="B3214" s="2"/>
      <c r="C3214" s="2" t="s">
        <v>30</v>
      </c>
      <c r="D3214" s="2" t="s">
        <v>10130</v>
      </c>
      <c r="E3214" s="2" t="s">
        <v>10131</v>
      </c>
      <c r="F3214" s="4">
        <v>5734</v>
      </c>
      <c r="G3214" s="2" t="s">
        <v>1227</v>
      </c>
      <c r="H3214" s="2" t="s">
        <v>34</v>
      </c>
      <c r="I3214" s="2" t="s">
        <v>10132</v>
      </c>
      <c r="J3214" s="2" t="s">
        <v>302</v>
      </c>
      <c r="K3214" s="2" t="s">
        <v>53</v>
      </c>
      <c r="L3214" s="2" t="s">
        <v>34</v>
      </c>
      <c r="M3214" s="2"/>
      <c r="N3214" s="2"/>
      <c r="O3214" s="2"/>
      <c r="P3214" s="2" t="s">
        <v>10133</v>
      </c>
      <c r="Q3214" s="2"/>
      <c r="R3214" s="6">
        <v>3</v>
      </c>
      <c r="S3214" s="5">
        <v>-7.2</v>
      </c>
      <c r="T3214" s="7">
        <v>-0.58299999999999996</v>
      </c>
      <c r="U3214" s="5">
        <v>1.2</v>
      </c>
      <c r="V3214" s="7">
        <v>-1.149</v>
      </c>
      <c r="W3214" s="7">
        <v>2.9380000000000002</v>
      </c>
      <c r="X3214" s="5">
        <v>2.5</v>
      </c>
      <c r="Y3214" s="5">
        <v>2.5</v>
      </c>
      <c r="Z3214" s="5">
        <v>2.5</v>
      </c>
      <c r="AA3214" s="6">
        <v>6.31</v>
      </c>
      <c r="AB3214" s="2" t="s">
        <v>86</v>
      </c>
      <c r="AC3214" s="2"/>
    </row>
    <row r="3215" spans="1:29" ht="104" x14ac:dyDescent="0.15">
      <c r="A3215" s="3">
        <f>DATE(1997,7,21)</f>
        <v>35632</v>
      </c>
      <c r="B3215" s="3">
        <f>DATE(1998,8,24)</f>
        <v>36031</v>
      </c>
      <c r="C3215" s="2" t="s">
        <v>95</v>
      </c>
      <c r="D3215" s="2" t="s">
        <v>10061</v>
      </c>
      <c r="E3215" s="2" t="s">
        <v>8421</v>
      </c>
      <c r="F3215" s="4">
        <v>7999</v>
      </c>
      <c r="G3215" s="2" t="s">
        <v>364</v>
      </c>
      <c r="H3215" s="2" t="s">
        <v>34</v>
      </c>
      <c r="I3215" s="2" t="s">
        <v>10134</v>
      </c>
      <c r="J3215" s="2" t="s">
        <v>844</v>
      </c>
      <c r="K3215" s="2" t="s">
        <v>269</v>
      </c>
      <c r="L3215" s="2" t="s">
        <v>303</v>
      </c>
      <c r="M3215" s="2"/>
      <c r="N3215" s="2"/>
      <c r="O3215" s="2"/>
      <c r="P3215" s="2" t="s">
        <v>10135</v>
      </c>
      <c r="Q3215" s="6">
        <v>100</v>
      </c>
      <c r="R3215" s="6">
        <v>6.25</v>
      </c>
      <c r="S3215" s="5">
        <v>-115.9</v>
      </c>
      <c r="T3215" s="7">
        <v>-20.439</v>
      </c>
      <c r="U3215" s="5">
        <v>0.9</v>
      </c>
      <c r="V3215" s="6">
        <v>7.0000000000000007E-2</v>
      </c>
      <c r="W3215" s="6">
        <v>4.25</v>
      </c>
      <c r="X3215" s="6">
        <v>4.25</v>
      </c>
      <c r="Y3215" s="6">
        <v>4.25</v>
      </c>
      <c r="Z3215" s="6">
        <v>4.25</v>
      </c>
      <c r="AA3215" s="6">
        <v>5.14</v>
      </c>
      <c r="AB3215" s="2" t="s">
        <v>86</v>
      </c>
      <c r="AC3215" s="2"/>
    </row>
    <row r="3216" spans="1:29" ht="104" x14ac:dyDescent="0.15">
      <c r="A3216" s="3">
        <f>DATE(1997,7,21)</f>
        <v>35632</v>
      </c>
      <c r="B3216" s="3">
        <f>DATE(1998,2,25)</f>
        <v>35851</v>
      </c>
      <c r="C3216" s="2" t="s">
        <v>95</v>
      </c>
      <c r="D3216" s="2" t="s">
        <v>10136</v>
      </c>
      <c r="E3216" s="2" t="s">
        <v>389</v>
      </c>
      <c r="F3216" s="4">
        <v>6035</v>
      </c>
      <c r="G3216" s="2" t="s">
        <v>33</v>
      </c>
      <c r="H3216" s="2" t="s">
        <v>34</v>
      </c>
      <c r="I3216" s="2" t="s">
        <v>10137</v>
      </c>
      <c r="J3216" s="2" t="s">
        <v>263</v>
      </c>
      <c r="K3216" s="2" t="s">
        <v>37</v>
      </c>
      <c r="L3216" s="2" t="s">
        <v>34</v>
      </c>
      <c r="M3216" s="7">
        <v>36.948999999999998</v>
      </c>
      <c r="N3216" s="4">
        <v>18</v>
      </c>
      <c r="O3216" s="6">
        <v>18.75</v>
      </c>
      <c r="P3216" s="2" t="s">
        <v>10138</v>
      </c>
      <c r="Q3216" s="6">
        <v>100</v>
      </c>
      <c r="R3216" s="6">
        <v>18.5</v>
      </c>
      <c r="S3216" s="5">
        <v>0.3</v>
      </c>
      <c r="T3216" s="7">
        <v>2.653</v>
      </c>
      <c r="U3216" s="5">
        <v>0.7</v>
      </c>
      <c r="V3216" s="6">
        <v>-0.02</v>
      </c>
      <c r="W3216" s="6">
        <v>14.25</v>
      </c>
      <c r="X3216" s="6">
        <v>14.25</v>
      </c>
      <c r="Y3216" s="7">
        <v>14.625</v>
      </c>
      <c r="Z3216" s="6">
        <v>15.25</v>
      </c>
      <c r="AA3216" s="6">
        <v>0.4</v>
      </c>
      <c r="AB3216" s="7">
        <v>164.386</v>
      </c>
      <c r="AC3216" s="2"/>
    </row>
    <row r="3217" spans="1:29" ht="143" x14ac:dyDescent="0.15">
      <c r="A3217" s="3">
        <f>DATE(1997,7,21)</f>
        <v>35632</v>
      </c>
      <c r="B3217" s="3">
        <f>DATE(1997,12,1)</f>
        <v>35765</v>
      </c>
      <c r="C3217" s="2" t="s">
        <v>95</v>
      </c>
      <c r="D3217" s="2" t="s">
        <v>4668</v>
      </c>
      <c r="E3217" s="2" t="s">
        <v>36</v>
      </c>
      <c r="F3217" s="4">
        <v>6021</v>
      </c>
      <c r="G3217" s="2" t="s">
        <v>37</v>
      </c>
      <c r="H3217" s="2" t="s">
        <v>34</v>
      </c>
      <c r="I3217" s="2" t="s">
        <v>2897</v>
      </c>
      <c r="J3217" s="2" t="s">
        <v>2898</v>
      </c>
      <c r="K3217" s="2" t="s">
        <v>37</v>
      </c>
      <c r="L3217" s="2" t="s">
        <v>34</v>
      </c>
      <c r="M3217" s="12">
        <v>26588.008999999998</v>
      </c>
      <c r="N3217" s="7">
        <v>94.438000000000002</v>
      </c>
      <c r="O3217" s="7">
        <v>96.063000000000002</v>
      </c>
      <c r="P3217" s="2" t="s">
        <v>10139</v>
      </c>
      <c r="Q3217" s="6">
        <v>100</v>
      </c>
      <c r="R3217" s="6">
        <v>53.59</v>
      </c>
      <c r="S3217" s="5">
        <v>124.9</v>
      </c>
      <c r="T3217" s="7">
        <v>224.672</v>
      </c>
      <c r="U3217" s="5">
        <v>15.4</v>
      </c>
      <c r="V3217" s="6">
        <v>2.06</v>
      </c>
      <c r="W3217" s="5">
        <v>37.5</v>
      </c>
      <c r="X3217" s="7">
        <v>36.688000000000002</v>
      </c>
      <c r="Y3217" s="7">
        <v>50.188000000000002</v>
      </c>
      <c r="Z3217" s="6">
        <v>51.25</v>
      </c>
      <c r="AA3217" s="6">
        <v>60.29</v>
      </c>
      <c r="AB3217" s="7">
        <v>31.088000000000001</v>
      </c>
      <c r="AC3217" s="2"/>
    </row>
    <row r="3218" spans="1:29" ht="143" x14ac:dyDescent="0.15">
      <c r="A3218" s="3">
        <f>DATE(1997,7,21)</f>
        <v>35632</v>
      </c>
      <c r="B3218" s="3">
        <f>DATE(1998,2,27)</f>
        <v>35853</v>
      </c>
      <c r="C3218" s="2" t="s">
        <v>95</v>
      </c>
      <c r="D3218" s="2" t="s">
        <v>10140</v>
      </c>
      <c r="E3218" s="2" t="s">
        <v>2728</v>
      </c>
      <c r="F3218" s="4">
        <v>3674</v>
      </c>
      <c r="G3218" s="2" t="s">
        <v>137</v>
      </c>
      <c r="H3218" s="2" t="s">
        <v>34</v>
      </c>
      <c r="I3218" s="2" t="s">
        <v>8602</v>
      </c>
      <c r="J3218" s="2" t="s">
        <v>4655</v>
      </c>
      <c r="K3218" s="2" t="s">
        <v>53</v>
      </c>
      <c r="L3218" s="2" t="s">
        <v>34</v>
      </c>
      <c r="M3218" s="2"/>
      <c r="N3218" s="2"/>
      <c r="O3218" s="2"/>
      <c r="P3218" s="2" t="s">
        <v>10141</v>
      </c>
      <c r="Q3218" s="6">
        <v>98.39</v>
      </c>
      <c r="R3218" s="6">
        <v>20</v>
      </c>
      <c r="S3218" s="5">
        <v>30</v>
      </c>
      <c r="T3218" s="7">
        <v>92.938999999999993</v>
      </c>
      <c r="U3218" s="5">
        <v>32.299999999999997</v>
      </c>
      <c r="V3218" s="6">
        <v>2.94</v>
      </c>
      <c r="W3218" s="4">
        <v>22</v>
      </c>
      <c r="X3218" s="7">
        <v>22.375</v>
      </c>
      <c r="Y3218" s="9">
        <v>24.1875</v>
      </c>
      <c r="Z3218" s="6">
        <v>24.25</v>
      </c>
      <c r="AA3218" s="6">
        <v>20.22</v>
      </c>
      <c r="AB3218" s="7">
        <v>3.0790000000000002</v>
      </c>
      <c r="AC3218" s="2"/>
    </row>
    <row r="3219" spans="1:29" ht="104" x14ac:dyDescent="0.15">
      <c r="A3219" s="3">
        <f>DATE(1997,7,22)</f>
        <v>35633</v>
      </c>
      <c r="B3219" s="3">
        <f>DATE(1997,12,16)</f>
        <v>35780</v>
      </c>
      <c r="C3219" s="2" t="s">
        <v>95</v>
      </c>
      <c r="D3219" s="2" t="s">
        <v>10142</v>
      </c>
      <c r="E3219" s="2" t="s">
        <v>3544</v>
      </c>
      <c r="F3219" s="4">
        <v>4841</v>
      </c>
      <c r="G3219" s="2" t="s">
        <v>45</v>
      </c>
      <c r="H3219" s="2" t="s">
        <v>34</v>
      </c>
      <c r="I3219" s="2" t="s">
        <v>8493</v>
      </c>
      <c r="J3219" s="2" t="s">
        <v>3476</v>
      </c>
      <c r="K3219" s="2" t="s">
        <v>63</v>
      </c>
      <c r="L3219" s="2" t="s">
        <v>34</v>
      </c>
      <c r="M3219" s="2"/>
      <c r="N3219" s="7">
        <v>7.375</v>
      </c>
      <c r="O3219" s="7">
        <v>7.125</v>
      </c>
      <c r="P3219" s="2" t="s">
        <v>10143</v>
      </c>
      <c r="Q3219" s="6">
        <v>100</v>
      </c>
      <c r="R3219" s="6">
        <v>1.5</v>
      </c>
      <c r="S3219" s="5">
        <v>1</v>
      </c>
      <c r="T3219" s="7">
        <v>2.992</v>
      </c>
      <c r="U3219" s="5">
        <v>0.4</v>
      </c>
      <c r="V3219" s="7">
        <v>1.9E-2</v>
      </c>
      <c r="W3219" s="7">
        <v>0.96899999999999997</v>
      </c>
      <c r="X3219" s="6">
        <v>1.25</v>
      </c>
      <c r="Y3219" s="6">
        <v>1.25</v>
      </c>
      <c r="Z3219" s="7">
        <v>1.125</v>
      </c>
      <c r="AA3219" s="6">
        <v>24</v>
      </c>
      <c r="AB3219" s="7">
        <v>35.427999999999997</v>
      </c>
      <c r="AC3219" s="2"/>
    </row>
    <row r="3220" spans="1:29" ht="104" x14ac:dyDescent="0.15">
      <c r="A3220" s="3">
        <f>DATE(1997,7,22)</f>
        <v>35633</v>
      </c>
      <c r="B3220" s="3">
        <f>DATE(1997,11,7)</f>
        <v>35741</v>
      </c>
      <c r="C3220" s="2" t="s">
        <v>95</v>
      </c>
      <c r="D3220" s="2" t="s">
        <v>10144</v>
      </c>
      <c r="E3220" s="2" t="s">
        <v>1471</v>
      </c>
      <c r="F3220" s="4">
        <v>3672</v>
      </c>
      <c r="G3220" s="2" t="s">
        <v>137</v>
      </c>
      <c r="H3220" s="2" t="s">
        <v>34</v>
      </c>
      <c r="I3220" s="2" t="s">
        <v>10145</v>
      </c>
      <c r="J3220" s="2" t="s">
        <v>10146</v>
      </c>
      <c r="K3220" s="2" t="s">
        <v>223</v>
      </c>
      <c r="L3220" s="2" t="s">
        <v>34</v>
      </c>
      <c r="M3220" s="12">
        <v>1080.143</v>
      </c>
      <c r="N3220" s="7">
        <v>67.313000000000002</v>
      </c>
      <c r="O3220" s="6">
        <v>74.75</v>
      </c>
      <c r="P3220" s="2" t="s">
        <v>10147</v>
      </c>
      <c r="Q3220" s="6">
        <v>100</v>
      </c>
      <c r="R3220" s="6">
        <v>21.82</v>
      </c>
      <c r="S3220" s="5">
        <v>8.5</v>
      </c>
      <c r="T3220" s="7">
        <v>15.526999999999999</v>
      </c>
      <c r="U3220" s="5">
        <v>2.6</v>
      </c>
      <c r="V3220" s="6">
        <v>0.89</v>
      </c>
      <c r="W3220" s="7">
        <v>23.875</v>
      </c>
      <c r="X3220" s="5">
        <v>21.5</v>
      </c>
      <c r="Y3220" s="7">
        <v>23.125</v>
      </c>
      <c r="Z3220" s="6">
        <v>24.25</v>
      </c>
      <c r="AA3220" s="6">
        <v>9.51</v>
      </c>
      <c r="AB3220" s="7">
        <v>23.294</v>
      </c>
      <c r="AC3220" s="6">
        <v>114.94</v>
      </c>
    </row>
    <row r="3221" spans="1:29" ht="39" x14ac:dyDescent="0.15">
      <c r="A3221" s="3">
        <f>DATE(1997,7,22)</f>
        <v>35633</v>
      </c>
      <c r="B3221" s="2"/>
      <c r="C3221" s="2" t="s">
        <v>87</v>
      </c>
      <c r="D3221" s="2" t="s">
        <v>8716</v>
      </c>
      <c r="E3221" s="2" t="s">
        <v>8717</v>
      </c>
      <c r="F3221" s="4">
        <v>8062</v>
      </c>
      <c r="G3221" s="2" t="s">
        <v>454</v>
      </c>
      <c r="H3221" s="2" t="s">
        <v>34</v>
      </c>
      <c r="I3221" s="2" t="s">
        <v>4959</v>
      </c>
      <c r="J3221" s="2" t="s">
        <v>1488</v>
      </c>
      <c r="K3221" s="2" t="s">
        <v>454</v>
      </c>
      <c r="L3221" s="2" t="s">
        <v>34</v>
      </c>
      <c r="M3221" s="12">
        <v>26670.120999999999</v>
      </c>
      <c r="N3221" s="7">
        <v>33.063000000000002</v>
      </c>
      <c r="O3221" s="7">
        <v>36.313000000000002</v>
      </c>
      <c r="P3221" s="2" t="s">
        <v>10148</v>
      </c>
      <c r="Q3221" s="2"/>
      <c r="R3221" s="2"/>
      <c r="S3221" s="5">
        <v>-207</v>
      </c>
      <c r="T3221" s="8">
        <v>1597</v>
      </c>
      <c r="U3221" s="5">
        <v>28.4</v>
      </c>
      <c r="V3221" s="9">
        <v>-0.64059999999999995</v>
      </c>
      <c r="W3221" s="6">
        <v>29.75</v>
      </c>
      <c r="X3221" s="6">
        <v>26.75</v>
      </c>
      <c r="Y3221" s="5">
        <v>27.5</v>
      </c>
      <c r="Z3221" s="7">
        <v>30.125</v>
      </c>
      <c r="AA3221" s="6">
        <v>301.48</v>
      </c>
      <c r="AB3221" s="2" t="s">
        <v>47</v>
      </c>
      <c r="AC3221" s="5">
        <v>113</v>
      </c>
    </row>
    <row r="3222" spans="1:29" ht="104" x14ac:dyDescent="0.15">
      <c r="A3222" s="3">
        <f>DATE(1997,7,23)</f>
        <v>35634</v>
      </c>
      <c r="B3222" s="3">
        <f>DATE(1997,12,18)</f>
        <v>35782</v>
      </c>
      <c r="C3222" s="2" t="s">
        <v>95</v>
      </c>
      <c r="D3222" s="2" t="s">
        <v>8402</v>
      </c>
      <c r="E3222" s="2" t="s">
        <v>5564</v>
      </c>
      <c r="F3222" s="4">
        <v>8071</v>
      </c>
      <c r="G3222" s="2" t="s">
        <v>454</v>
      </c>
      <c r="H3222" s="2" t="s">
        <v>34</v>
      </c>
      <c r="I3222" s="2" t="s">
        <v>10149</v>
      </c>
      <c r="J3222" s="2" t="s">
        <v>10150</v>
      </c>
      <c r="K3222" s="2" t="s">
        <v>53</v>
      </c>
      <c r="L3222" s="2" t="s">
        <v>34</v>
      </c>
      <c r="M3222" s="2"/>
      <c r="N3222" s="2"/>
      <c r="O3222" s="2"/>
      <c r="P3222" s="2" t="s">
        <v>10151</v>
      </c>
      <c r="Q3222" s="6">
        <v>95</v>
      </c>
      <c r="R3222" s="6">
        <v>11</v>
      </c>
      <c r="S3222" s="5">
        <v>7.5</v>
      </c>
      <c r="T3222" s="7">
        <v>33.223999999999997</v>
      </c>
      <c r="U3222" s="5">
        <v>2.1</v>
      </c>
      <c r="V3222" s="7">
        <v>0.86899999999999999</v>
      </c>
      <c r="W3222" s="7">
        <v>10.625</v>
      </c>
      <c r="X3222" s="6">
        <v>10.25</v>
      </c>
      <c r="Y3222" s="7">
        <v>10.375</v>
      </c>
      <c r="Z3222" s="7">
        <v>10.313000000000001</v>
      </c>
      <c r="AA3222" s="6">
        <v>10.93</v>
      </c>
      <c r="AB3222" s="7">
        <v>12.241</v>
      </c>
      <c r="AC3222" s="2"/>
    </row>
    <row r="3223" spans="1:29" ht="52" x14ac:dyDescent="0.15">
      <c r="A3223" s="3">
        <f>DATE(1997,7,23)</f>
        <v>35634</v>
      </c>
      <c r="B3223" s="3">
        <f>DATE(1997,12,2)</f>
        <v>35766</v>
      </c>
      <c r="C3223" s="2" t="s">
        <v>95</v>
      </c>
      <c r="D3223" s="2" t="s">
        <v>10152</v>
      </c>
      <c r="E3223" s="2" t="s">
        <v>229</v>
      </c>
      <c r="F3223" s="4">
        <v>5812</v>
      </c>
      <c r="G3223" s="2" t="s">
        <v>230</v>
      </c>
      <c r="H3223" s="2" t="s">
        <v>34</v>
      </c>
      <c r="I3223" s="2" t="s">
        <v>10153</v>
      </c>
      <c r="J3223" s="2" t="s">
        <v>229</v>
      </c>
      <c r="K3223" s="2" t="s">
        <v>230</v>
      </c>
      <c r="L3223" s="2" t="s">
        <v>34</v>
      </c>
      <c r="M3223" s="7">
        <v>35.271000000000001</v>
      </c>
      <c r="N3223" s="5">
        <v>11.5</v>
      </c>
      <c r="O3223" s="6">
        <v>11.25</v>
      </c>
      <c r="P3223" s="2" t="s">
        <v>10154</v>
      </c>
      <c r="Q3223" s="6">
        <v>100</v>
      </c>
      <c r="R3223" s="6">
        <v>5</v>
      </c>
      <c r="S3223" s="5">
        <v>-0.2</v>
      </c>
      <c r="T3223" s="7">
        <v>0.85899999999999999</v>
      </c>
      <c r="U3223" s="5">
        <v>0.3</v>
      </c>
      <c r="V3223" s="7">
        <v>-5.0999999999999997E-2</v>
      </c>
      <c r="W3223" s="7">
        <v>2.9380000000000002</v>
      </c>
      <c r="X3223" s="7">
        <v>3.3130000000000002</v>
      </c>
      <c r="Y3223" s="7">
        <v>4.625</v>
      </c>
      <c r="Z3223" s="6">
        <v>4.25</v>
      </c>
      <c r="AA3223" s="6">
        <v>3.77</v>
      </c>
      <c r="AB3223" s="7">
        <v>36.485999999999997</v>
      </c>
      <c r="AC3223" s="6">
        <v>7.04</v>
      </c>
    </row>
    <row r="3224" spans="1:29" ht="104" x14ac:dyDescent="0.15">
      <c r="A3224" s="3">
        <f>DATE(1997,7,24)</f>
        <v>35635</v>
      </c>
      <c r="B3224" s="3">
        <f>DATE(1997,10,28)</f>
        <v>35731</v>
      </c>
      <c r="C3224" s="2" t="s">
        <v>95</v>
      </c>
      <c r="D3224" s="2" t="s">
        <v>10155</v>
      </c>
      <c r="E3224" s="2" t="s">
        <v>10156</v>
      </c>
      <c r="F3224" s="4">
        <v>7699</v>
      </c>
      <c r="G3224" s="2" t="s">
        <v>1327</v>
      </c>
      <c r="H3224" s="2" t="s">
        <v>34</v>
      </c>
      <c r="I3224" s="2" t="s">
        <v>10157</v>
      </c>
      <c r="J3224" s="2" t="s">
        <v>10158</v>
      </c>
      <c r="K3224" s="2" t="s">
        <v>300</v>
      </c>
      <c r="L3224" s="2" t="s">
        <v>34</v>
      </c>
      <c r="M3224" s="7">
        <v>108.093</v>
      </c>
      <c r="N3224" s="6">
        <v>11.25</v>
      </c>
      <c r="O3224" s="7">
        <v>10.938000000000001</v>
      </c>
      <c r="P3224" s="2" t="s">
        <v>10159</v>
      </c>
      <c r="Q3224" s="6">
        <v>100</v>
      </c>
      <c r="R3224" s="6">
        <v>10.93</v>
      </c>
      <c r="S3224" s="5">
        <v>4.7</v>
      </c>
      <c r="T3224" s="7">
        <v>13.135999999999999</v>
      </c>
      <c r="U3224" s="5">
        <v>4.0999999999999996</v>
      </c>
      <c r="V3224" s="7">
        <v>0.46100000000000002</v>
      </c>
      <c r="W3224" s="7">
        <v>6.6879999999999997</v>
      </c>
      <c r="X3224" s="5">
        <v>7.5</v>
      </c>
      <c r="Y3224" s="7">
        <v>9.9380000000000006</v>
      </c>
      <c r="Z3224" s="6">
        <v>9.25</v>
      </c>
      <c r="AA3224" s="6">
        <v>10.06</v>
      </c>
      <c r="AB3224" s="7">
        <v>16.387</v>
      </c>
      <c r="AC3224" s="6">
        <v>6.48</v>
      </c>
    </row>
    <row r="3225" spans="1:29" ht="104" x14ac:dyDescent="0.15">
      <c r="A3225" s="3">
        <f>DATE(1997,7,24)</f>
        <v>35635</v>
      </c>
      <c r="B3225" s="3">
        <f>DATE(1997,9,15)</f>
        <v>35688</v>
      </c>
      <c r="C3225" s="2" t="s">
        <v>95</v>
      </c>
      <c r="D3225" s="2" t="s">
        <v>7627</v>
      </c>
      <c r="E3225" s="2" t="s">
        <v>6286</v>
      </c>
      <c r="F3225" s="4">
        <v>3845</v>
      </c>
      <c r="G3225" s="2" t="s">
        <v>226</v>
      </c>
      <c r="H3225" s="2" t="s">
        <v>34</v>
      </c>
      <c r="I3225" s="2" t="s">
        <v>10160</v>
      </c>
      <c r="J3225" s="2" t="s">
        <v>10161</v>
      </c>
      <c r="K3225" s="2" t="s">
        <v>130</v>
      </c>
      <c r="L3225" s="2" t="s">
        <v>34</v>
      </c>
      <c r="M3225" s="12">
        <v>2907.3649999999998</v>
      </c>
      <c r="N3225" s="6">
        <v>38.25</v>
      </c>
      <c r="O3225" s="7">
        <v>37.313000000000002</v>
      </c>
      <c r="P3225" s="2" t="s">
        <v>10162</v>
      </c>
      <c r="Q3225" s="6">
        <v>100</v>
      </c>
      <c r="R3225" s="6">
        <v>28.5</v>
      </c>
      <c r="S3225" s="5">
        <v>38.799999999999997</v>
      </c>
      <c r="T3225" s="2"/>
      <c r="U3225" s="2"/>
      <c r="V3225" s="6">
        <v>0.61</v>
      </c>
      <c r="W3225" s="7">
        <v>19.875</v>
      </c>
      <c r="X3225" s="7">
        <v>20.937999999999999</v>
      </c>
      <c r="Y3225" s="7">
        <v>28.094000000000001</v>
      </c>
      <c r="Z3225" s="7">
        <v>28.062999999999999</v>
      </c>
      <c r="AA3225" s="6">
        <v>63.34</v>
      </c>
      <c r="AB3225" s="2" t="s">
        <v>47</v>
      </c>
      <c r="AC3225" s="5">
        <v>808.5</v>
      </c>
    </row>
    <row r="3226" spans="1:29" ht="169" x14ac:dyDescent="0.15">
      <c r="A3226" s="3">
        <f>DATE(1997,7,25)</f>
        <v>35636</v>
      </c>
      <c r="B3226" s="3">
        <f>DATE(1997,12,12)</f>
        <v>35776</v>
      </c>
      <c r="C3226" s="2" t="s">
        <v>95</v>
      </c>
      <c r="D3226" s="2" t="s">
        <v>10163</v>
      </c>
      <c r="E3226" s="2" t="s">
        <v>32</v>
      </c>
      <c r="F3226" s="4">
        <v>6036</v>
      </c>
      <c r="G3226" s="2" t="s">
        <v>33</v>
      </c>
      <c r="H3226" s="2" t="s">
        <v>34</v>
      </c>
      <c r="I3226" s="2" t="s">
        <v>489</v>
      </c>
      <c r="J3226" s="2" t="s">
        <v>490</v>
      </c>
      <c r="K3226" s="2" t="s">
        <v>37</v>
      </c>
      <c r="L3226" s="2" t="s">
        <v>34</v>
      </c>
      <c r="M3226" s="7">
        <v>716.62699999999995</v>
      </c>
      <c r="N3226" s="7">
        <v>25.312999999999999</v>
      </c>
      <c r="O3226" s="4">
        <v>25</v>
      </c>
      <c r="P3226" s="2" t="s">
        <v>10164</v>
      </c>
      <c r="Q3226" s="6">
        <v>100</v>
      </c>
      <c r="R3226" s="6">
        <v>6.37</v>
      </c>
      <c r="S3226" s="5">
        <v>2</v>
      </c>
      <c r="T3226" s="7">
        <v>2.2370000000000001</v>
      </c>
      <c r="U3226" s="5">
        <v>3.3</v>
      </c>
      <c r="V3226" s="7">
        <v>0.30499999999999999</v>
      </c>
      <c r="W3226" s="6">
        <v>4.75</v>
      </c>
      <c r="X3226" s="4">
        <v>5</v>
      </c>
      <c r="Y3226" s="7">
        <v>4.9379999999999997</v>
      </c>
      <c r="Z3226" s="7">
        <v>4.9379999999999997</v>
      </c>
      <c r="AA3226" s="6">
        <v>6.56</v>
      </c>
      <c r="AB3226" s="7">
        <v>91.912999999999997</v>
      </c>
      <c r="AC3226" s="2"/>
    </row>
    <row r="3227" spans="1:29" ht="169" x14ac:dyDescent="0.15">
      <c r="A3227" s="3">
        <f>DATE(1997,7,25)</f>
        <v>35636</v>
      </c>
      <c r="B3227" s="3">
        <f>DATE(1998,2,2)</f>
        <v>35828</v>
      </c>
      <c r="C3227" s="2" t="s">
        <v>95</v>
      </c>
      <c r="D3227" s="2" t="s">
        <v>10165</v>
      </c>
      <c r="E3227" s="2" t="s">
        <v>1181</v>
      </c>
      <c r="F3227" s="4">
        <v>6022</v>
      </c>
      <c r="G3227" s="2" t="s">
        <v>37</v>
      </c>
      <c r="H3227" s="2" t="s">
        <v>34</v>
      </c>
      <c r="I3227" s="2" t="s">
        <v>8169</v>
      </c>
      <c r="J3227" s="2" t="s">
        <v>36</v>
      </c>
      <c r="K3227" s="2" t="s">
        <v>37</v>
      </c>
      <c r="L3227" s="2" t="s">
        <v>34</v>
      </c>
      <c r="M3227" s="7">
        <v>67.721000000000004</v>
      </c>
      <c r="N3227" s="7">
        <v>12.813000000000001</v>
      </c>
      <c r="O3227" s="4">
        <v>13</v>
      </c>
      <c r="P3227" s="2" t="s">
        <v>10166</v>
      </c>
      <c r="Q3227" s="6">
        <v>100</v>
      </c>
      <c r="R3227" s="6">
        <v>11.44</v>
      </c>
      <c r="S3227" s="5">
        <v>-0.6</v>
      </c>
      <c r="T3227" s="7">
        <v>-0.79700000000000004</v>
      </c>
      <c r="U3227" s="5">
        <v>7.5</v>
      </c>
      <c r="V3227" s="6">
        <v>-0.77</v>
      </c>
      <c r="W3227" s="6">
        <v>9.25</v>
      </c>
      <c r="X3227" s="7">
        <v>10.125</v>
      </c>
      <c r="Y3227" s="5">
        <v>10.5</v>
      </c>
      <c r="Z3227" s="7">
        <v>10.438000000000001</v>
      </c>
      <c r="AA3227" s="6">
        <v>0.85</v>
      </c>
      <c r="AB3227" s="2" t="s">
        <v>86</v>
      </c>
      <c r="AC3227" s="2"/>
    </row>
    <row r="3228" spans="1:29" ht="117" x14ac:dyDescent="0.15">
      <c r="A3228" s="3">
        <f>DATE(1997,7,25)</f>
        <v>35636</v>
      </c>
      <c r="B3228" s="3">
        <f>DATE(1997,12,1)</f>
        <v>35765</v>
      </c>
      <c r="C3228" s="2" t="s">
        <v>95</v>
      </c>
      <c r="D3228" s="2" t="s">
        <v>10167</v>
      </c>
      <c r="E3228" s="2" t="s">
        <v>1882</v>
      </c>
      <c r="F3228" s="4">
        <v>7011</v>
      </c>
      <c r="G3228" s="2" t="s">
        <v>269</v>
      </c>
      <c r="H3228" s="2" t="s">
        <v>34</v>
      </c>
      <c r="I3228" s="2" t="s">
        <v>10168</v>
      </c>
      <c r="J3228" s="2" t="s">
        <v>10169</v>
      </c>
      <c r="K3228" s="2" t="s">
        <v>269</v>
      </c>
      <c r="L3228" s="2" t="s">
        <v>34</v>
      </c>
      <c r="M3228" s="7">
        <v>791.64499999999998</v>
      </c>
      <c r="N3228" s="6">
        <v>18.75</v>
      </c>
      <c r="O3228" s="7">
        <v>17.812999999999999</v>
      </c>
      <c r="P3228" s="2" t="s">
        <v>10170</v>
      </c>
      <c r="Q3228" s="6">
        <v>100</v>
      </c>
      <c r="R3228" s="6">
        <v>12.37</v>
      </c>
      <c r="S3228" s="5">
        <v>-0.9</v>
      </c>
      <c r="T3228" s="6">
        <v>0.08</v>
      </c>
      <c r="U3228" s="5">
        <v>6</v>
      </c>
      <c r="V3228" s="7">
        <v>-8.1000000000000003E-2</v>
      </c>
      <c r="W3228" s="6">
        <v>9.25</v>
      </c>
      <c r="X3228" s="5">
        <v>9.5</v>
      </c>
      <c r="Y3228" s="4">
        <v>11</v>
      </c>
      <c r="Z3228" s="6">
        <v>10.25</v>
      </c>
      <c r="AA3228" s="6">
        <v>10.73</v>
      </c>
      <c r="AB3228" s="2" t="s">
        <v>86</v>
      </c>
      <c r="AC3228" s="6">
        <v>18.87</v>
      </c>
    </row>
    <row r="3229" spans="1:29" ht="143" x14ac:dyDescent="0.15">
      <c r="A3229" s="3">
        <f>DATE(1997,7,25)</f>
        <v>35636</v>
      </c>
      <c r="B3229" s="3">
        <f>DATE(1997,8,28)</f>
        <v>35670</v>
      </c>
      <c r="C3229" s="2" t="s">
        <v>95</v>
      </c>
      <c r="D3229" s="2" t="s">
        <v>9985</v>
      </c>
      <c r="E3229" s="2" t="s">
        <v>9986</v>
      </c>
      <c r="F3229" s="4">
        <v>3561</v>
      </c>
      <c r="G3229" s="2" t="s">
        <v>300</v>
      </c>
      <c r="H3229" s="2" t="s">
        <v>34</v>
      </c>
      <c r="I3229" s="2" t="s">
        <v>10171</v>
      </c>
      <c r="J3229" s="2" t="s">
        <v>302</v>
      </c>
      <c r="K3229" s="2" t="s">
        <v>53</v>
      </c>
      <c r="L3229" s="2" t="s">
        <v>34</v>
      </c>
      <c r="M3229" s="2"/>
      <c r="N3229" s="2"/>
      <c r="O3229" s="2"/>
      <c r="P3229" s="2" t="s">
        <v>10172</v>
      </c>
      <c r="Q3229" s="6">
        <v>92.8</v>
      </c>
      <c r="R3229" s="6">
        <v>7.05</v>
      </c>
      <c r="S3229" s="5">
        <v>-41.8</v>
      </c>
      <c r="T3229" s="6">
        <v>47.94</v>
      </c>
      <c r="U3229" s="5">
        <v>-3.2</v>
      </c>
      <c r="V3229" s="6">
        <v>-2.44</v>
      </c>
      <c r="W3229" s="7">
        <v>3.125</v>
      </c>
      <c r="X3229" s="6">
        <v>3.25</v>
      </c>
      <c r="Y3229" s="7">
        <v>5.875</v>
      </c>
      <c r="Z3229" s="6">
        <v>5.75</v>
      </c>
      <c r="AA3229" s="6">
        <v>17.13</v>
      </c>
      <c r="AB3229" s="7">
        <v>15.159000000000001</v>
      </c>
      <c r="AC3229" s="2"/>
    </row>
    <row r="3230" spans="1:29" ht="91" x14ac:dyDescent="0.15">
      <c r="A3230" s="3">
        <f>DATE(1997,7,25)</f>
        <v>35636</v>
      </c>
      <c r="B3230" s="3">
        <f>DATE(1998,2,28)</f>
        <v>35854</v>
      </c>
      <c r="C3230" s="2" t="s">
        <v>95</v>
      </c>
      <c r="D3230" s="2" t="s">
        <v>10173</v>
      </c>
      <c r="E3230" s="2" t="s">
        <v>36</v>
      </c>
      <c r="F3230" s="4">
        <v>6021</v>
      </c>
      <c r="G3230" s="2" t="s">
        <v>37</v>
      </c>
      <c r="H3230" s="2" t="s">
        <v>34</v>
      </c>
      <c r="I3230" s="2" t="s">
        <v>7863</v>
      </c>
      <c r="J3230" s="2" t="s">
        <v>263</v>
      </c>
      <c r="K3230" s="2" t="s">
        <v>37</v>
      </c>
      <c r="L3230" s="2" t="s">
        <v>34</v>
      </c>
      <c r="M3230" s="7">
        <v>292.94299999999998</v>
      </c>
      <c r="N3230" s="7">
        <v>27.625</v>
      </c>
      <c r="O3230" s="6">
        <v>28.25</v>
      </c>
      <c r="P3230" s="2" t="s">
        <v>10174</v>
      </c>
      <c r="Q3230" s="6">
        <v>100</v>
      </c>
      <c r="R3230" s="6">
        <v>14.5</v>
      </c>
      <c r="S3230" s="5">
        <v>0.9</v>
      </c>
      <c r="T3230" s="7">
        <v>1.3859999999999999</v>
      </c>
      <c r="U3230" s="5">
        <v>8</v>
      </c>
      <c r="V3230" s="6">
        <v>0.75</v>
      </c>
      <c r="W3230" s="4">
        <v>14</v>
      </c>
      <c r="X3230" s="4">
        <v>14</v>
      </c>
      <c r="Y3230" s="4">
        <v>14</v>
      </c>
      <c r="Z3230" s="5">
        <v>13.5</v>
      </c>
      <c r="AA3230" s="6">
        <v>1.07</v>
      </c>
      <c r="AB3230" s="7">
        <v>64.164000000000001</v>
      </c>
      <c r="AC3230" s="2"/>
    </row>
    <row r="3231" spans="1:29" ht="104" x14ac:dyDescent="0.15">
      <c r="A3231" s="3">
        <f>DATE(1997,7,28)</f>
        <v>35639</v>
      </c>
      <c r="B3231" s="3">
        <f>DATE(1998,2,2)</f>
        <v>35828</v>
      </c>
      <c r="C3231" s="2" t="s">
        <v>95</v>
      </c>
      <c r="D3231" s="2" t="s">
        <v>10175</v>
      </c>
      <c r="E3231" s="2" t="s">
        <v>10176</v>
      </c>
      <c r="F3231" s="4">
        <v>3674</v>
      </c>
      <c r="G3231" s="2" t="s">
        <v>137</v>
      </c>
      <c r="H3231" s="2" t="s">
        <v>34</v>
      </c>
      <c r="I3231" s="2" t="s">
        <v>10177</v>
      </c>
      <c r="J3231" s="2" t="s">
        <v>10178</v>
      </c>
      <c r="K3231" s="2" t="s">
        <v>137</v>
      </c>
      <c r="L3231" s="2" t="s">
        <v>34</v>
      </c>
      <c r="M3231" s="12">
        <v>58072.423000000003</v>
      </c>
      <c r="N3231" s="7">
        <v>88.563000000000002</v>
      </c>
      <c r="O3231" s="7">
        <v>88.125</v>
      </c>
      <c r="P3231" s="2" t="s">
        <v>10179</v>
      </c>
      <c r="Q3231" s="6">
        <v>100</v>
      </c>
      <c r="R3231" s="6">
        <v>17.5</v>
      </c>
      <c r="S3231" s="5">
        <v>36.200000000000003</v>
      </c>
      <c r="T3231" s="7">
        <v>32.177999999999997</v>
      </c>
      <c r="U3231" s="5">
        <v>5.8</v>
      </c>
      <c r="V3231" s="6">
        <v>1.58</v>
      </c>
      <c r="W3231" s="6">
        <v>13.25</v>
      </c>
      <c r="X3231" s="4">
        <v>14</v>
      </c>
      <c r="Y3231" s="7">
        <v>17.062999999999999</v>
      </c>
      <c r="Z3231" s="4">
        <v>17</v>
      </c>
      <c r="AA3231" s="6">
        <v>26.42</v>
      </c>
      <c r="AB3231" s="7">
        <v>11.664</v>
      </c>
      <c r="AC3231" s="8">
        <v>7994</v>
      </c>
    </row>
    <row r="3232" spans="1:29" ht="104" x14ac:dyDescent="0.15">
      <c r="A3232" s="3">
        <f>DATE(1997,7,28)</f>
        <v>35639</v>
      </c>
      <c r="B3232" s="3">
        <f>DATE(1997,11,17)</f>
        <v>35751</v>
      </c>
      <c r="C3232" s="2" t="s">
        <v>95</v>
      </c>
      <c r="D3232" s="2" t="s">
        <v>10180</v>
      </c>
      <c r="E3232" s="2" t="s">
        <v>10181</v>
      </c>
      <c r="F3232" s="4">
        <v>3674</v>
      </c>
      <c r="G3232" s="2" t="s">
        <v>137</v>
      </c>
      <c r="H3232" s="2" t="s">
        <v>34</v>
      </c>
      <c r="I3232" s="2" t="s">
        <v>10182</v>
      </c>
      <c r="J3232" s="2" t="s">
        <v>2827</v>
      </c>
      <c r="K3232" s="2" t="s">
        <v>137</v>
      </c>
      <c r="L3232" s="2" t="s">
        <v>34</v>
      </c>
      <c r="M3232" s="12">
        <v>4310.3289999999997</v>
      </c>
      <c r="N3232" s="4">
        <v>33</v>
      </c>
      <c r="O3232" s="4">
        <v>31</v>
      </c>
      <c r="P3232" s="2" t="s">
        <v>10183</v>
      </c>
      <c r="Q3232" s="6">
        <v>100</v>
      </c>
      <c r="R3232" s="6">
        <v>27.69</v>
      </c>
      <c r="S3232" s="5">
        <v>-24.8</v>
      </c>
      <c r="T3232" s="7">
        <v>-6.0069999999999997</v>
      </c>
      <c r="U3232" s="5">
        <v>6.3</v>
      </c>
      <c r="V3232" s="6">
        <v>-1.27</v>
      </c>
      <c r="W3232" s="7">
        <v>21.375</v>
      </c>
      <c r="X3232" s="6">
        <v>21.25</v>
      </c>
      <c r="Y3232" s="7">
        <v>23.062999999999999</v>
      </c>
      <c r="Z3232" s="7">
        <v>24.937999999999999</v>
      </c>
      <c r="AA3232" s="6">
        <v>19.63</v>
      </c>
      <c r="AB3232" s="2" t="s">
        <v>86</v>
      </c>
      <c r="AC3232" s="5">
        <v>889.7</v>
      </c>
    </row>
    <row r="3233" spans="1:29" ht="195" x14ac:dyDescent="0.15">
      <c r="A3233" s="3">
        <f>DATE(1997,7,28)</f>
        <v>35639</v>
      </c>
      <c r="B3233" s="3">
        <f>DATE(1997,12,22)</f>
        <v>35786</v>
      </c>
      <c r="C3233" s="2" t="s">
        <v>95</v>
      </c>
      <c r="D3233" s="2" t="s">
        <v>8342</v>
      </c>
      <c r="E3233" s="2" t="s">
        <v>8343</v>
      </c>
      <c r="F3233" s="4">
        <v>1081</v>
      </c>
      <c r="G3233" s="2" t="s">
        <v>166</v>
      </c>
      <c r="H3233" s="2" t="s">
        <v>34</v>
      </c>
      <c r="I3233" s="2" t="s">
        <v>7140</v>
      </c>
      <c r="J3233" s="2" t="s">
        <v>7141</v>
      </c>
      <c r="K3233" s="2" t="s">
        <v>98</v>
      </c>
      <c r="L3233" s="2" t="s">
        <v>34</v>
      </c>
      <c r="M3233" s="12">
        <v>3289.0810000000001</v>
      </c>
      <c r="N3233" s="7">
        <v>33.125</v>
      </c>
      <c r="O3233" s="7">
        <v>32.188000000000002</v>
      </c>
      <c r="P3233" s="2" t="s">
        <v>10184</v>
      </c>
      <c r="Q3233" s="6">
        <v>100</v>
      </c>
      <c r="R3233" s="6">
        <v>30.38</v>
      </c>
      <c r="S3233" s="5">
        <v>45.1</v>
      </c>
      <c r="T3233" s="7">
        <v>244.28299999999999</v>
      </c>
      <c r="U3233" s="5">
        <v>1.8</v>
      </c>
      <c r="V3233" s="6">
        <v>1.55</v>
      </c>
      <c r="W3233" s="6">
        <v>26.75</v>
      </c>
      <c r="X3233" s="7">
        <v>26.562999999999999</v>
      </c>
      <c r="Y3233" s="7">
        <v>31.187999999999999</v>
      </c>
      <c r="Z3233" s="5">
        <v>30.5</v>
      </c>
      <c r="AA3233" s="6">
        <v>23.68</v>
      </c>
      <c r="AB3233" s="7">
        <v>6.2270000000000003</v>
      </c>
      <c r="AC3233" s="5">
        <v>9.6</v>
      </c>
    </row>
    <row r="3234" spans="1:29" ht="130" x14ac:dyDescent="0.15">
      <c r="A3234" s="3">
        <f>DATE(1997,7,28)</f>
        <v>35639</v>
      </c>
      <c r="B3234" s="3">
        <f>DATE(1997,10,8)</f>
        <v>35711</v>
      </c>
      <c r="C3234" s="2" t="s">
        <v>95</v>
      </c>
      <c r="D3234" s="2" t="s">
        <v>4509</v>
      </c>
      <c r="E3234" s="2" t="s">
        <v>4510</v>
      </c>
      <c r="F3234" s="4">
        <v>8051</v>
      </c>
      <c r="G3234" s="2" t="s">
        <v>454</v>
      </c>
      <c r="H3234" s="2" t="s">
        <v>34</v>
      </c>
      <c r="I3234" s="2" t="s">
        <v>10185</v>
      </c>
      <c r="J3234" s="2" t="s">
        <v>10186</v>
      </c>
      <c r="K3234" s="2" t="s">
        <v>454</v>
      </c>
      <c r="L3234" s="2" t="s">
        <v>34</v>
      </c>
      <c r="M3234" s="12">
        <v>1022.633</v>
      </c>
      <c r="N3234" s="7">
        <v>21.625</v>
      </c>
      <c r="O3234" s="5">
        <v>21.5</v>
      </c>
      <c r="P3234" s="2" t="s">
        <v>10187</v>
      </c>
      <c r="Q3234" s="6">
        <v>100</v>
      </c>
      <c r="R3234" s="6">
        <v>22</v>
      </c>
      <c r="S3234" s="5">
        <v>6.4</v>
      </c>
      <c r="T3234" s="7">
        <v>55.670999999999999</v>
      </c>
      <c r="U3234" s="5">
        <v>5.0999999999999996</v>
      </c>
      <c r="V3234" s="6">
        <v>0.39</v>
      </c>
      <c r="W3234" s="7">
        <v>14.625</v>
      </c>
      <c r="X3234" s="7">
        <v>16.375</v>
      </c>
      <c r="Y3234" s="7">
        <v>21.187999999999999</v>
      </c>
      <c r="Z3234" s="6">
        <v>21.25</v>
      </c>
      <c r="AA3234" s="6">
        <v>15.87</v>
      </c>
      <c r="AB3234" s="7">
        <v>13.047000000000001</v>
      </c>
      <c r="AC3234" s="6">
        <v>17.12</v>
      </c>
    </row>
    <row r="3235" spans="1:29" ht="169" x14ac:dyDescent="0.15">
      <c r="A3235" s="3">
        <f>DATE(1997,7,29)</f>
        <v>35640</v>
      </c>
      <c r="B3235" s="3">
        <f>DATE(1998,4,10)</f>
        <v>35895</v>
      </c>
      <c r="C3235" s="2" t="s">
        <v>95</v>
      </c>
      <c r="D3235" s="2" t="s">
        <v>10188</v>
      </c>
      <c r="E3235" s="2" t="s">
        <v>302</v>
      </c>
      <c r="F3235" s="4">
        <v>6799</v>
      </c>
      <c r="G3235" s="2" t="s">
        <v>53</v>
      </c>
      <c r="H3235" s="2" t="s">
        <v>34</v>
      </c>
      <c r="I3235" s="2" t="s">
        <v>10189</v>
      </c>
      <c r="J3235" s="2" t="s">
        <v>302</v>
      </c>
      <c r="K3235" s="2" t="s">
        <v>53</v>
      </c>
      <c r="L3235" s="2" t="s">
        <v>34</v>
      </c>
      <c r="M3235" s="7">
        <v>49.816000000000003</v>
      </c>
      <c r="N3235" s="4">
        <v>9</v>
      </c>
      <c r="O3235" s="4">
        <v>10</v>
      </c>
      <c r="P3235" s="2" t="s">
        <v>10190</v>
      </c>
      <c r="Q3235" s="6">
        <v>100</v>
      </c>
      <c r="R3235" s="6">
        <v>11.34</v>
      </c>
      <c r="S3235" s="5">
        <v>1.5</v>
      </c>
      <c r="T3235" s="7">
        <v>1.4470000000000001</v>
      </c>
      <c r="U3235" s="5">
        <v>10.5</v>
      </c>
      <c r="V3235" s="7">
        <v>0.92500000000000004</v>
      </c>
      <c r="W3235" s="4">
        <v>13</v>
      </c>
      <c r="X3235" s="7">
        <v>13.063000000000001</v>
      </c>
      <c r="Y3235" s="7">
        <v>13.125</v>
      </c>
      <c r="Z3235" s="4">
        <v>13</v>
      </c>
      <c r="AA3235" s="6">
        <v>1.6</v>
      </c>
      <c r="AB3235" s="7">
        <v>10.504</v>
      </c>
      <c r="AC3235" s="2"/>
    </row>
    <row r="3236" spans="1:29" ht="78" x14ac:dyDescent="0.15">
      <c r="A3236" s="3">
        <f>DATE(1997,7,29)</f>
        <v>35640</v>
      </c>
      <c r="B3236" s="3">
        <f>DATE(1998,1,30)</f>
        <v>35825</v>
      </c>
      <c r="C3236" s="2" t="s">
        <v>95</v>
      </c>
      <c r="D3236" s="2" t="s">
        <v>10191</v>
      </c>
      <c r="E3236" s="2" t="s">
        <v>36</v>
      </c>
      <c r="F3236" s="4">
        <v>6035</v>
      </c>
      <c r="G3236" s="2" t="s">
        <v>33</v>
      </c>
      <c r="H3236" s="2" t="s">
        <v>34</v>
      </c>
      <c r="I3236" s="2" t="s">
        <v>10192</v>
      </c>
      <c r="J3236" s="2" t="s">
        <v>159</v>
      </c>
      <c r="K3236" s="2" t="s">
        <v>37</v>
      </c>
      <c r="L3236" s="2" t="s">
        <v>34</v>
      </c>
      <c r="M3236" s="2"/>
      <c r="N3236" s="2"/>
      <c r="O3236" s="2"/>
      <c r="P3236" s="2" t="s">
        <v>10193</v>
      </c>
      <c r="Q3236" s="6">
        <v>100</v>
      </c>
      <c r="R3236" s="2"/>
      <c r="S3236" s="5">
        <v>0.6</v>
      </c>
      <c r="T3236" s="2"/>
      <c r="U3236" s="5">
        <v>10.4</v>
      </c>
      <c r="V3236" s="6">
        <v>0.37</v>
      </c>
      <c r="W3236" s="4">
        <v>14</v>
      </c>
      <c r="X3236" s="5">
        <v>13.5</v>
      </c>
      <c r="Y3236" s="5">
        <v>13.5</v>
      </c>
      <c r="Z3236" s="4">
        <v>14</v>
      </c>
      <c r="AA3236" s="6">
        <v>0.55000000000000004</v>
      </c>
      <c r="AB3236" s="7">
        <v>27.741</v>
      </c>
      <c r="AC3236" s="2"/>
    </row>
    <row r="3237" spans="1:29" ht="39" x14ac:dyDescent="0.15">
      <c r="A3237" s="3">
        <f>DATE(1997,7,29)</f>
        <v>35640</v>
      </c>
      <c r="B3237" s="3">
        <f>DATE(1997,10,8)</f>
        <v>35711</v>
      </c>
      <c r="C3237" s="2" t="s">
        <v>95</v>
      </c>
      <c r="D3237" s="2" t="s">
        <v>10194</v>
      </c>
      <c r="E3237" s="2" t="s">
        <v>10195</v>
      </c>
      <c r="F3237" s="4">
        <v>7389</v>
      </c>
      <c r="G3237" s="2" t="s">
        <v>223</v>
      </c>
      <c r="H3237" s="2" t="s">
        <v>34</v>
      </c>
      <c r="I3237" s="2" t="s">
        <v>10196</v>
      </c>
      <c r="J3237" s="2" t="s">
        <v>1032</v>
      </c>
      <c r="K3237" s="2" t="s">
        <v>53</v>
      </c>
      <c r="L3237" s="2" t="s">
        <v>34</v>
      </c>
      <c r="M3237" s="2"/>
      <c r="N3237" s="2"/>
      <c r="O3237" s="2"/>
      <c r="P3237" s="2" t="s">
        <v>10197</v>
      </c>
      <c r="Q3237" s="2"/>
      <c r="R3237" s="2"/>
      <c r="S3237" s="2"/>
      <c r="T3237" s="2"/>
      <c r="U3237" s="2"/>
      <c r="V3237" s="2"/>
      <c r="W3237" s="7">
        <v>1.625</v>
      </c>
      <c r="X3237" s="7">
        <v>1.4379999999999999</v>
      </c>
      <c r="Y3237" s="7">
        <v>1.3129999999999999</v>
      </c>
      <c r="Z3237" s="6">
        <v>1.25</v>
      </c>
      <c r="AA3237" s="2"/>
      <c r="AB3237" s="2" t="s">
        <v>47</v>
      </c>
      <c r="AC3237" s="2"/>
    </row>
    <row r="3238" spans="1:29" ht="26" x14ac:dyDescent="0.15">
      <c r="A3238" s="3">
        <f>DATE(1997,7,29)</f>
        <v>35640</v>
      </c>
      <c r="B3238" s="3">
        <f>DATE(1997,7,29)</f>
        <v>35640</v>
      </c>
      <c r="C3238" s="2" t="s">
        <v>95</v>
      </c>
      <c r="D3238" s="2" t="s">
        <v>10198</v>
      </c>
      <c r="E3238" s="2" t="s">
        <v>10199</v>
      </c>
      <c r="F3238" s="4">
        <v>7922</v>
      </c>
      <c r="G3238" s="2" t="s">
        <v>364</v>
      </c>
      <c r="H3238" s="2" t="s">
        <v>34</v>
      </c>
      <c r="I3238" s="2" t="s">
        <v>7180</v>
      </c>
      <c r="J3238" s="2" t="s">
        <v>981</v>
      </c>
      <c r="K3238" s="2" t="s">
        <v>45</v>
      </c>
      <c r="L3238" s="2" t="s">
        <v>34</v>
      </c>
      <c r="M3238" s="12">
        <v>1155.027</v>
      </c>
      <c r="N3238" s="7">
        <v>35.625</v>
      </c>
      <c r="O3238" s="4">
        <v>36</v>
      </c>
      <c r="P3238" s="2" t="s">
        <v>10200</v>
      </c>
      <c r="Q3238" s="6">
        <v>2.6</v>
      </c>
      <c r="R3238" s="2"/>
      <c r="S3238" s="5">
        <v>1.8</v>
      </c>
      <c r="T3238" s="7">
        <v>22.602</v>
      </c>
      <c r="U3238" s="5">
        <v>0.9</v>
      </c>
      <c r="V3238" s="6">
        <v>0.1</v>
      </c>
      <c r="W3238" s="7">
        <v>17.625</v>
      </c>
      <c r="X3238" s="6">
        <v>16.75</v>
      </c>
      <c r="Y3238" s="5">
        <v>17.5</v>
      </c>
      <c r="Z3238" s="7">
        <v>16.875</v>
      </c>
      <c r="AA3238" s="6">
        <v>24.74</v>
      </c>
      <c r="AB3238" s="2" t="s">
        <v>47</v>
      </c>
      <c r="AC3238" s="6">
        <v>42.61</v>
      </c>
    </row>
    <row r="3239" spans="1:29" ht="143" x14ac:dyDescent="0.15">
      <c r="A3239" s="3">
        <f>DATE(1997,7,30)</f>
        <v>35641</v>
      </c>
      <c r="B3239" s="3">
        <f>DATE(1997,9,18)</f>
        <v>35691</v>
      </c>
      <c r="C3239" s="2" t="s">
        <v>95</v>
      </c>
      <c r="D3239" s="2" t="s">
        <v>10201</v>
      </c>
      <c r="E3239" s="2" t="s">
        <v>10202</v>
      </c>
      <c r="F3239" s="4">
        <v>3571</v>
      </c>
      <c r="G3239" s="2" t="s">
        <v>50</v>
      </c>
      <c r="H3239" s="2" t="s">
        <v>34</v>
      </c>
      <c r="I3239" s="2" t="s">
        <v>10203</v>
      </c>
      <c r="J3239" s="2" t="s">
        <v>10204</v>
      </c>
      <c r="K3239" s="2" t="s">
        <v>50</v>
      </c>
      <c r="L3239" s="2" t="s">
        <v>99</v>
      </c>
      <c r="M3239" s="2"/>
      <c r="N3239" s="2"/>
      <c r="O3239" s="2"/>
      <c r="P3239" s="2" t="s">
        <v>10205</v>
      </c>
      <c r="Q3239" s="6">
        <v>60.64</v>
      </c>
      <c r="R3239" s="6">
        <v>12.4</v>
      </c>
      <c r="S3239" s="5">
        <v>-326.7</v>
      </c>
      <c r="T3239" s="7">
        <v>-36.613999999999997</v>
      </c>
      <c r="U3239" s="5">
        <v>5</v>
      </c>
      <c r="V3239" s="6">
        <v>-2.71</v>
      </c>
      <c r="W3239" s="6">
        <v>10.119999999999999</v>
      </c>
      <c r="X3239" s="6">
        <v>11.81</v>
      </c>
      <c r="Y3239" s="7">
        <v>11.875</v>
      </c>
      <c r="Z3239" s="7">
        <v>11.813000000000001</v>
      </c>
      <c r="AA3239" s="6">
        <v>122.28</v>
      </c>
      <c r="AB3239" s="2" t="s">
        <v>86</v>
      </c>
      <c r="AC3239" s="10">
        <v>3653.74</v>
      </c>
    </row>
    <row r="3240" spans="1:29" ht="78" x14ac:dyDescent="0.15">
      <c r="A3240" s="3">
        <f>DATE(1997,7,30)</f>
        <v>35641</v>
      </c>
      <c r="B3240" s="3">
        <f>DATE(1997,9,4)</f>
        <v>35677</v>
      </c>
      <c r="C3240" s="2" t="s">
        <v>95</v>
      </c>
      <c r="D3240" s="2" t="s">
        <v>10206</v>
      </c>
      <c r="E3240" s="2" t="s">
        <v>7273</v>
      </c>
      <c r="F3240" s="4">
        <v>8741</v>
      </c>
      <c r="G3240" s="2" t="s">
        <v>223</v>
      </c>
      <c r="H3240" s="2" t="s">
        <v>34</v>
      </c>
      <c r="I3240" s="2" t="s">
        <v>6510</v>
      </c>
      <c r="J3240" s="2" t="s">
        <v>6511</v>
      </c>
      <c r="K3240" s="2" t="s">
        <v>173</v>
      </c>
      <c r="L3240" s="2" t="s">
        <v>902</v>
      </c>
      <c r="M3240" s="2"/>
      <c r="N3240" s="2"/>
      <c r="O3240" s="2"/>
      <c r="P3240" s="2" t="s">
        <v>10207</v>
      </c>
      <c r="Q3240" s="6">
        <v>100</v>
      </c>
      <c r="R3240" s="6">
        <v>38</v>
      </c>
      <c r="S3240" s="5">
        <v>5.4</v>
      </c>
      <c r="T3240" s="7">
        <v>21.745999999999999</v>
      </c>
      <c r="U3240" s="5">
        <v>7.6</v>
      </c>
      <c r="V3240" s="6">
        <v>0.64</v>
      </c>
      <c r="W3240" s="7">
        <v>38.375</v>
      </c>
      <c r="X3240" s="6">
        <v>38.25</v>
      </c>
      <c r="Y3240" s="7">
        <v>37.563000000000002</v>
      </c>
      <c r="Z3240" s="7">
        <v>37.563000000000002</v>
      </c>
      <c r="AA3240" s="6">
        <v>8.19</v>
      </c>
      <c r="AB3240" s="7">
        <v>20.751000000000001</v>
      </c>
      <c r="AC3240" s="6">
        <v>309.12</v>
      </c>
    </row>
    <row r="3241" spans="1:29" ht="104" x14ac:dyDescent="0.15">
      <c r="A3241" s="3">
        <f>DATE(1997,7,30)</f>
        <v>35641</v>
      </c>
      <c r="B3241" s="3">
        <f>DATE(1998,2,2)</f>
        <v>35828</v>
      </c>
      <c r="C3241" s="2" t="s">
        <v>95</v>
      </c>
      <c r="D3241" s="2" t="s">
        <v>10208</v>
      </c>
      <c r="E3241" s="2" t="s">
        <v>10209</v>
      </c>
      <c r="F3241" s="4">
        <v>3993</v>
      </c>
      <c r="G3241" s="2" t="s">
        <v>112</v>
      </c>
      <c r="H3241" s="2" t="s">
        <v>34</v>
      </c>
      <c r="I3241" s="2" t="s">
        <v>10210</v>
      </c>
      <c r="J3241" s="2" t="s">
        <v>10211</v>
      </c>
      <c r="K3241" s="2" t="s">
        <v>53</v>
      </c>
      <c r="L3241" s="2" t="s">
        <v>34</v>
      </c>
      <c r="M3241" s="2"/>
      <c r="N3241" s="2"/>
      <c r="O3241" s="2"/>
      <c r="P3241" s="2" t="s">
        <v>10212</v>
      </c>
      <c r="Q3241" s="6">
        <v>55.76</v>
      </c>
      <c r="R3241" s="6">
        <v>14.5</v>
      </c>
      <c r="S3241" s="5">
        <v>3.8</v>
      </c>
      <c r="T3241" s="7">
        <v>9.0579999999999998</v>
      </c>
      <c r="U3241" s="5">
        <v>7.4</v>
      </c>
      <c r="V3241" s="6">
        <v>0.99</v>
      </c>
      <c r="W3241" s="7">
        <v>10.625</v>
      </c>
      <c r="X3241" s="7">
        <v>10.625</v>
      </c>
      <c r="Y3241" s="5">
        <v>12.5</v>
      </c>
      <c r="Z3241" s="6">
        <v>12.25</v>
      </c>
      <c r="AA3241" s="6">
        <v>3.81</v>
      </c>
      <c r="AB3241" s="7">
        <v>9.49</v>
      </c>
      <c r="AC3241" s="2"/>
    </row>
    <row r="3242" spans="1:29" ht="78" x14ac:dyDescent="0.15">
      <c r="A3242" s="3">
        <f>DATE(1997,7,30)</f>
        <v>35641</v>
      </c>
      <c r="B3242" s="3">
        <f>DATE(1997,11,25)</f>
        <v>35759</v>
      </c>
      <c r="C3242" s="2" t="s">
        <v>95</v>
      </c>
      <c r="D3242" s="2" t="s">
        <v>10213</v>
      </c>
      <c r="E3242" s="2" t="s">
        <v>10214</v>
      </c>
      <c r="F3242" s="4">
        <v>3669</v>
      </c>
      <c r="G3242" s="2" t="s">
        <v>921</v>
      </c>
      <c r="H3242" s="2" t="s">
        <v>34</v>
      </c>
      <c r="I3242" s="2" t="s">
        <v>7750</v>
      </c>
      <c r="J3242" s="2" t="s">
        <v>7751</v>
      </c>
      <c r="K3242" s="2" t="s">
        <v>439</v>
      </c>
      <c r="L3242" s="2" t="s">
        <v>34</v>
      </c>
      <c r="M3242" s="10">
        <v>2117.89</v>
      </c>
      <c r="N3242" s="7">
        <v>34.563000000000002</v>
      </c>
      <c r="O3242" s="7">
        <v>34.625</v>
      </c>
      <c r="P3242" s="2" t="s">
        <v>10215</v>
      </c>
      <c r="Q3242" s="6">
        <v>82.98</v>
      </c>
      <c r="R3242" s="2"/>
      <c r="S3242" s="5">
        <v>-15.5</v>
      </c>
      <c r="T3242" s="5">
        <v>36.4</v>
      </c>
      <c r="U3242" s="5">
        <v>111.6</v>
      </c>
      <c r="V3242" s="6">
        <v>-70</v>
      </c>
      <c r="W3242" s="6">
        <v>14.25</v>
      </c>
      <c r="X3242" s="6">
        <v>15.25</v>
      </c>
      <c r="Y3242" s="4">
        <v>18</v>
      </c>
      <c r="Z3242" s="7">
        <v>18.125</v>
      </c>
      <c r="AA3242" s="6">
        <v>14.08</v>
      </c>
      <c r="AB3242" s="2" t="s">
        <v>86</v>
      </c>
      <c r="AC3242" s="6">
        <v>3.72</v>
      </c>
    </row>
    <row r="3243" spans="1:29" ht="52" x14ac:dyDescent="0.15">
      <c r="A3243" s="3">
        <f>DATE(1997,7,30)</f>
        <v>35641</v>
      </c>
      <c r="B3243" s="2"/>
      <c r="C3243" s="2" t="s">
        <v>7330</v>
      </c>
      <c r="D3243" s="2" t="s">
        <v>8045</v>
      </c>
      <c r="E3243" s="2" t="s">
        <v>8046</v>
      </c>
      <c r="F3243" s="4">
        <v>3663</v>
      </c>
      <c r="G3243" s="2" t="s">
        <v>921</v>
      </c>
      <c r="H3243" s="2" t="s">
        <v>34</v>
      </c>
      <c r="I3243" s="2" t="s">
        <v>138</v>
      </c>
      <c r="J3243" s="2" t="s">
        <v>139</v>
      </c>
      <c r="K3243" s="2" t="s">
        <v>53</v>
      </c>
      <c r="L3243" s="2" t="s">
        <v>139</v>
      </c>
      <c r="M3243" s="2"/>
      <c r="N3243" s="2"/>
      <c r="O3243" s="2"/>
      <c r="P3243" s="2" t="s">
        <v>10216</v>
      </c>
      <c r="Q3243" s="2"/>
      <c r="R3243" s="6">
        <v>4.25</v>
      </c>
      <c r="S3243" s="5">
        <v>-1</v>
      </c>
      <c r="T3243" s="6">
        <v>-0.22</v>
      </c>
      <c r="U3243" s="5">
        <v>3.1</v>
      </c>
      <c r="V3243" s="6">
        <v>-0.26</v>
      </c>
      <c r="W3243" s="7">
        <v>2.5630000000000002</v>
      </c>
      <c r="X3243" s="5">
        <v>3.5</v>
      </c>
      <c r="Y3243" s="4">
        <v>3</v>
      </c>
      <c r="Z3243" s="9">
        <v>3.1875</v>
      </c>
      <c r="AA3243" s="6">
        <v>3.93</v>
      </c>
      <c r="AB3243" s="2" t="s">
        <v>86</v>
      </c>
      <c r="AC3243" s="2"/>
    </row>
    <row r="3244" spans="1:29" ht="169" x14ac:dyDescent="0.15">
      <c r="A3244" s="3">
        <f>DATE(1997,7,31)</f>
        <v>35642</v>
      </c>
      <c r="B3244" s="3">
        <f>DATE(1997,10,3)</f>
        <v>35706</v>
      </c>
      <c r="C3244" s="2" t="s">
        <v>95</v>
      </c>
      <c r="D3244" s="2" t="s">
        <v>10217</v>
      </c>
      <c r="E3244" s="2" t="s">
        <v>10218</v>
      </c>
      <c r="F3244" s="4">
        <v>4011</v>
      </c>
      <c r="G3244" s="2" t="s">
        <v>173</v>
      </c>
      <c r="H3244" s="2" t="s">
        <v>34</v>
      </c>
      <c r="I3244" s="2" t="s">
        <v>51</v>
      </c>
      <c r="J3244" s="2" t="s">
        <v>52</v>
      </c>
      <c r="K3244" s="2" t="s">
        <v>53</v>
      </c>
      <c r="L3244" s="2" t="s">
        <v>34</v>
      </c>
      <c r="M3244" s="2"/>
      <c r="N3244" s="2"/>
      <c r="O3244" s="2"/>
      <c r="P3244" s="2" t="s">
        <v>10219</v>
      </c>
      <c r="Q3244" s="6">
        <v>82.41</v>
      </c>
      <c r="R3244" s="6">
        <v>22</v>
      </c>
      <c r="S3244" s="5">
        <v>-1</v>
      </c>
      <c r="T3244" s="5">
        <v>4.3</v>
      </c>
      <c r="U3244" s="5">
        <v>18.8</v>
      </c>
      <c r="V3244" s="7">
        <v>-0.47099999999999997</v>
      </c>
      <c r="W3244" s="7">
        <v>19.125</v>
      </c>
      <c r="X3244" s="4">
        <v>22</v>
      </c>
      <c r="Y3244" s="6">
        <v>23.25</v>
      </c>
      <c r="Z3244" s="4">
        <v>24</v>
      </c>
      <c r="AA3244" s="6">
        <v>1.84</v>
      </c>
      <c r="AB3244" s="2" t="s">
        <v>86</v>
      </c>
      <c r="AC3244" s="2"/>
    </row>
    <row r="3245" spans="1:29" ht="104" x14ac:dyDescent="0.15">
      <c r="A3245" s="3">
        <f>DATE(1997,7,31)</f>
        <v>35642</v>
      </c>
      <c r="B3245" s="3">
        <f>DATE(1997,9,29)</f>
        <v>35702</v>
      </c>
      <c r="C3245" s="2" t="s">
        <v>95</v>
      </c>
      <c r="D3245" s="2" t="s">
        <v>10220</v>
      </c>
      <c r="E3245" s="2" t="s">
        <v>10221</v>
      </c>
      <c r="F3245" s="4">
        <v>7373</v>
      </c>
      <c r="G3245" s="2" t="s">
        <v>223</v>
      </c>
      <c r="H3245" s="2" t="s">
        <v>34</v>
      </c>
      <c r="I3245" s="2" t="s">
        <v>10222</v>
      </c>
      <c r="J3245" s="2" t="s">
        <v>10223</v>
      </c>
      <c r="K3245" s="2" t="s">
        <v>223</v>
      </c>
      <c r="L3245" s="2" t="s">
        <v>34</v>
      </c>
      <c r="M3245" s="7">
        <v>211.745</v>
      </c>
      <c r="N3245" s="7">
        <v>14.375</v>
      </c>
      <c r="O3245" s="7">
        <v>13.125</v>
      </c>
      <c r="P3245" s="2" t="s">
        <v>10224</v>
      </c>
      <c r="Q3245" s="6">
        <v>100</v>
      </c>
      <c r="R3245" s="6">
        <v>11.58</v>
      </c>
      <c r="S3245" s="5">
        <v>0.7</v>
      </c>
      <c r="T3245" s="7">
        <v>2.8130000000000002</v>
      </c>
      <c r="U3245" s="5">
        <v>2.4</v>
      </c>
      <c r="V3245" s="7">
        <v>0.159</v>
      </c>
      <c r="W3245" s="4">
        <v>8</v>
      </c>
      <c r="X3245" s="5">
        <v>7.5</v>
      </c>
      <c r="Y3245" s="5">
        <v>7.5</v>
      </c>
      <c r="Z3245" s="4">
        <v>10</v>
      </c>
      <c r="AA3245" s="6">
        <v>4.49</v>
      </c>
      <c r="AB3245" s="7">
        <v>49.128999999999998</v>
      </c>
      <c r="AC3245" s="6">
        <v>47.14</v>
      </c>
    </row>
    <row r="3246" spans="1:29" ht="156" x14ac:dyDescent="0.15">
      <c r="A3246" s="3">
        <f>DATE(1997,7,31)</f>
        <v>35642</v>
      </c>
      <c r="B3246" s="3">
        <f>DATE(1998,1,27)</f>
        <v>35822</v>
      </c>
      <c r="C3246" s="2" t="s">
        <v>95</v>
      </c>
      <c r="D3246" s="2" t="s">
        <v>10225</v>
      </c>
      <c r="E3246" s="2" t="s">
        <v>1181</v>
      </c>
      <c r="F3246" s="4">
        <v>6022</v>
      </c>
      <c r="G3246" s="2" t="s">
        <v>37</v>
      </c>
      <c r="H3246" s="2" t="s">
        <v>34</v>
      </c>
      <c r="I3246" s="2" t="s">
        <v>9630</v>
      </c>
      <c r="J3246" s="2" t="s">
        <v>263</v>
      </c>
      <c r="K3246" s="2" t="s">
        <v>37</v>
      </c>
      <c r="L3246" s="2" t="s">
        <v>34</v>
      </c>
      <c r="M3246" s="7">
        <v>205.90700000000001</v>
      </c>
      <c r="N3246" s="4">
        <v>32</v>
      </c>
      <c r="O3246" s="6">
        <v>31.25</v>
      </c>
      <c r="P3246" s="2" t="s">
        <v>10226</v>
      </c>
      <c r="Q3246" s="6">
        <v>100</v>
      </c>
      <c r="R3246" s="6">
        <v>28</v>
      </c>
      <c r="S3246" s="5">
        <v>9.6</v>
      </c>
      <c r="T3246" s="7">
        <v>14.374000000000001</v>
      </c>
      <c r="U3246" s="5">
        <v>10.3</v>
      </c>
      <c r="V3246" s="6">
        <v>1.36</v>
      </c>
      <c r="W3246" s="7">
        <v>23.812999999999999</v>
      </c>
      <c r="X3246" s="5">
        <v>24.5</v>
      </c>
      <c r="Y3246" s="4">
        <v>27</v>
      </c>
      <c r="Z3246" s="7">
        <v>27.187999999999999</v>
      </c>
      <c r="AA3246" s="6">
        <v>7.08</v>
      </c>
      <c r="AB3246" s="7">
        <v>15.298</v>
      </c>
      <c r="AC3246" s="2"/>
    </row>
    <row r="3247" spans="1:29" ht="143" x14ac:dyDescent="0.15">
      <c r="A3247" s="3">
        <f>DATE(1997,7,31)</f>
        <v>35642</v>
      </c>
      <c r="B3247" s="3">
        <f>DATE(1997,10,23)</f>
        <v>35726</v>
      </c>
      <c r="C3247" s="2" t="s">
        <v>95</v>
      </c>
      <c r="D3247" s="2" t="s">
        <v>10227</v>
      </c>
      <c r="E3247" s="2" t="s">
        <v>3677</v>
      </c>
      <c r="F3247" s="4">
        <v>8059</v>
      </c>
      <c r="G3247" s="2" t="s">
        <v>454</v>
      </c>
      <c r="H3247" s="2" t="s">
        <v>34</v>
      </c>
      <c r="I3247" s="2" t="s">
        <v>10228</v>
      </c>
      <c r="J3247" s="2" t="s">
        <v>10229</v>
      </c>
      <c r="K3247" s="2" t="s">
        <v>690</v>
      </c>
      <c r="L3247" s="2" t="s">
        <v>34</v>
      </c>
      <c r="M3247" s="7">
        <v>289.17200000000003</v>
      </c>
      <c r="N3247" s="7">
        <v>21.562999999999999</v>
      </c>
      <c r="O3247" s="7">
        <v>21.875</v>
      </c>
      <c r="P3247" s="2" t="s">
        <v>10230</v>
      </c>
      <c r="Q3247" s="6">
        <v>95.31</v>
      </c>
      <c r="R3247" s="6">
        <v>23.79</v>
      </c>
      <c r="S3247" s="5">
        <v>-0.7</v>
      </c>
      <c r="T3247" s="7">
        <v>-0.57199999999999995</v>
      </c>
      <c r="U3247" s="5">
        <v>4.8</v>
      </c>
      <c r="V3247" s="6">
        <v>-0.13</v>
      </c>
      <c r="W3247" s="7">
        <v>18.375</v>
      </c>
      <c r="X3247" s="6">
        <v>18.25</v>
      </c>
      <c r="Y3247" s="7">
        <v>22.375</v>
      </c>
      <c r="Z3247" s="7">
        <v>22.875</v>
      </c>
      <c r="AA3247" s="6">
        <v>5.04</v>
      </c>
      <c r="AB3247" s="2" t="s">
        <v>86</v>
      </c>
      <c r="AC3247" s="5">
        <v>25.8</v>
      </c>
    </row>
    <row r="3248" spans="1:29" ht="169" x14ac:dyDescent="0.15">
      <c r="A3248" s="3">
        <f>DATE(1997,8,1)</f>
        <v>35643</v>
      </c>
      <c r="B3248" s="3">
        <f>DATE(1997,9,26)</f>
        <v>35699</v>
      </c>
      <c r="C3248" s="2" t="s">
        <v>95</v>
      </c>
      <c r="D3248" s="2" t="s">
        <v>10231</v>
      </c>
      <c r="E3248" s="2" t="s">
        <v>3677</v>
      </c>
      <c r="F3248" s="4">
        <v>8059</v>
      </c>
      <c r="G3248" s="2" t="s">
        <v>454</v>
      </c>
      <c r="H3248" s="2" t="s">
        <v>34</v>
      </c>
      <c r="I3248" s="2" t="s">
        <v>5752</v>
      </c>
      <c r="J3248" s="2" t="s">
        <v>5753</v>
      </c>
      <c r="K3248" s="2" t="s">
        <v>454</v>
      </c>
      <c r="L3248" s="2" t="s">
        <v>34</v>
      </c>
      <c r="M3248" s="7">
        <v>6.1870000000000003</v>
      </c>
      <c r="N3248" s="6">
        <v>0.25</v>
      </c>
      <c r="O3248" s="6">
        <v>0.25</v>
      </c>
      <c r="P3248" s="2" t="s">
        <v>10232</v>
      </c>
      <c r="Q3248" s="6">
        <v>100</v>
      </c>
      <c r="R3248" s="6">
        <v>4</v>
      </c>
      <c r="S3248" s="5">
        <v>-20.7</v>
      </c>
      <c r="T3248" s="7">
        <v>-22.082000000000001</v>
      </c>
      <c r="U3248" s="5">
        <v>2</v>
      </c>
      <c r="V3248" s="7">
        <v>-2.8109999999999999</v>
      </c>
      <c r="W3248" s="7">
        <v>3.375</v>
      </c>
      <c r="X3248" s="6">
        <v>3.25</v>
      </c>
      <c r="Y3248" s="7">
        <v>3.625</v>
      </c>
      <c r="Z3248" s="7">
        <v>3.6880000000000002</v>
      </c>
      <c r="AA3248" s="6">
        <v>7.6</v>
      </c>
      <c r="AB3248" s="2" t="s">
        <v>86</v>
      </c>
      <c r="AC3248" s="6">
        <v>41.07</v>
      </c>
    </row>
    <row r="3249" spans="1:29" ht="65" x14ac:dyDescent="0.15">
      <c r="A3249" s="3">
        <f>DATE(1997,8,1)</f>
        <v>35643</v>
      </c>
      <c r="B3249" s="3">
        <f>DATE(1998,10,1)</f>
        <v>36069</v>
      </c>
      <c r="C3249" s="2" t="s">
        <v>95</v>
      </c>
      <c r="D3249" s="2" t="s">
        <v>10233</v>
      </c>
      <c r="E3249" s="2" t="s">
        <v>177</v>
      </c>
      <c r="F3249" s="4">
        <v>1311</v>
      </c>
      <c r="G3249" s="2" t="s">
        <v>148</v>
      </c>
      <c r="H3249" s="2" t="s">
        <v>34</v>
      </c>
      <c r="I3249" s="2" t="s">
        <v>10234</v>
      </c>
      <c r="J3249" s="2" t="s">
        <v>1888</v>
      </c>
      <c r="K3249" s="2" t="s">
        <v>439</v>
      </c>
      <c r="L3249" s="2" t="s">
        <v>2105</v>
      </c>
      <c r="M3249" s="2"/>
      <c r="N3249" s="2"/>
      <c r="O3249" s="2"/>
      <c r="P3249" s="2" t="s">
        <v>10235</v>
      </c>
      <c r="Q3249" s="6">
        <v>25.54</v>
      </c>
      <c r="R3249" s="2"/>
      <c r="S3249" s="5">
        <v>0.3</v>
      </c>
      <c r="T3249" s="7">
        <v>2.6859999999999999</v>
      </c>
      <c r="U3249" s="5">
        <v>0.7</v>
      </c>
      <c r="V3249" s="7">
        <v>1.6E-2</v>
      </c>
      <c r="W3249" s="4">
        <v>1</v>
      </c>
      <c r="X3249" s="4">
        <v>1</v>
      </c>
      <c r="Y3249" s="7">
        <v>1.0629999999999999</v>
      </c>
      <c r="Z3249" s="4">
        <v>1</v>
      </c>
      <c r="AA3249" s="6">
        <v>16.62</v>
      </c>
      <c r="AB3249" s="7">
        <v>18.704999999999998</v>
      </c>
      <c r="AC3249" s="2"/>
    </row>
    <row r="3250" spans="1:29" ht="104" x14ac:dyDescent="0.15">
      <c r="A3250" s="3">
        <f>DATE(1997,8,4)</f>
        <v>35646</v>
      </c>
      <c r="B3250" s="3">
        <f>DATE(1997,12,31)</f>
        <v>35795</v>
      </c>
      <c r="C3250" s="2" t="s">
        <v>95</v>
      </c>
      <c r="D3250" s="2" t="s">
        <v>10236</v>
      </c>
      <c r="E3250" s="2" t="s">
        <v>10237</v>
      </c>
      <c r="F3250" s="4">
        <v>2452</v>
      </c>
      <c r="G3250" s="2" t="s">
        <v>250</v>
      </c>
      <c r="H3250" s="2" t="s">
        <v>34</v>
      </c>
      <c r="I3250" s="2" t="s">
        <v>10238</v>
      </c>
      <c r="J3250" s="2" t="s">
        <v>8966</v>
      </c>
      <c r="K3250" s="2" t="s">
        <v>250</v>
      </c>
      <c r="L3250" s="2" t="s">
        <v>34</v>
      </c>
      <c r="M3250" s="7">
        <v>122.133</v>
      </c>
      <c r="N3250" s="4">
        <v>10</v>
      </c>
      <c r="O3250" s="4">
        <v>10</v>
      </c>
      <c r="P3250" s="2" t="s">
        <v>10239</v>
      </c>
      <c r="Q3250" s="6">
        <v>100</v>
      </c>
      <c r="R3250" s="6">
        <v>7.8</v>
      </c>
      <c r="S3250" s="5">
        <v>10.1</v>
      </c>
      <c r="T3250" s="7">
        <v>16.545000000000002</v>
      </c>
      <c r="U3250" s="5">
        <v>6.1</v>
      </c>
      <c r="V3250" s="7">
        <v>1.0589999999999999</v>
      </c>
      <c r="W3250" s="6">
        <v>7.75</v>
      </c>
      <c r="X3250" s="5">
        <v>9.5</v>
      </c>
      <c r="Y3250" s="4">
        <v>8</v>
      </c>
      <c r="Z3250" s="4">
        <v>8</v>
      </c>
      <c r="AA3250" s="6">
        <v>9.4700000000000006</v>
      </c>
      <c r="AB3250" s="7">
        <v>4.9740000000000002</v>
      </c>
      <c r="AC3250" s="6">
        <v>25.63</v>
      </c>
    </row>
    <row r="3251" spans="1:29" ht="104" x14ac:dyDescent="0.15">
      <c r="A3251" s="3">
        <f>DATE(1997,8,4)</f>
        <v>35646</v>
      </c>
      <c r="B3251" s="3">
        <f>DATE(1997,10,24)</f>
        <v>35727</v>
      </c>
      <c r="C3251" s="2" t="s">
        <v>95</v>
      </c>
      <c r="D3251" s="2" t="s">
        <v>10240</v>
      </c>
      <c r="E3251" s="2" t="s">
        <v>92</v>
      </c>
      <c r="F3251" s="4">
        <v>6798</v>
      </c>
      <c r="G3251" s="2" t="s">
        <v>53</v>
      </c>
      <c r="H3251" s="2" t="s">
        <v>34</v>
      </c>
      <c r="I3251" s="2" t="s">
        <v>10241</v>
      </c>
      <c r="J3251" s="2" t="s">
        <v>92</v>
      </c>
      <c r="K3251" s="2" t="s">
        <v>53</v>
      </c>
      <c r="L3251" s="2" t="s">
        <v>34</v>
      </c>
      <c r="M3251" s="7">
        <v>898.03399999999999</v>
      </c>
      <c r="N3251" s="7">
        <v>40.313000000000002</v>
      </c>
      <c r="O3251" s="6">
        <v>40.25</v>
      </c>
      <c r="P3251" s="2" t="s">
        <v>10242</v>
      </c>
      <c r="Q3251" s="6">
        <v>100</v>
      </c>
      <c r="R3251" s="6">
        <v>24.56</v>
      </c>
      <c r="S3251" s="5">
        <v>11.5</v>
      </c>
      <c r="T3251" s="7">
        <v>21.815000000000001</v>
      </c>
      <c r="U3251" s="5">
        <v>13.8</v>
      </c>
      <c r="V3251" s="6">
        <v>0.94</v>
      </c>
      <c r="W3251" s="7">
        <v>23.562999999999999</v>
      </c>
      <c r="X3251" s="7">
        <v>23.562999999999999</v>
      </c>
      <c r="Y3251" s="7">
        <v>24.312999999999999</v>
      </c>
      <c r="Z3251" s="7">
        <v>24.125</v>
      </c>
      <c r="AA3251" s="6">
        <v>13.41</v>
      </c>
      <c r="AB3251" s="7">
        <v>45.360999999999997</v>
      </c>
      <c r="AC3251" s="6">
        <v>1.38</v>
      </c>
    </row>
    <row r="3252" spans="1:29" ht="65" x14ac:dyDescent="0.15">
      <c r="A3252" s="3">
        <f>DATE(1997,8,4)</f>
        <v>35646</v>
      </c>
      <c r="B3252" s="3">
        <f>DATE(1997,11,19)</f>
        <v>35753</v>
      </c>
      <c r="C3252" s="2" t="s">
        <v>95</v>
      </c>
      <c r="D3252" s="2" t="s">
        <v>10243</v>
      </c>
      <c r="E3252" s="2" t="s">
        <v>10244</v>
      </c>
      <c r="F3252" s="4">
        <v>8071</v>
      </c>
      <c r="G3252" s="2" t="s">
        <v>454</v>
      </c>
      <c r="H3252" s="2" t="s">
        <v>34</v>
      </c>
      <c r="I3252" s="2" t="s">
        <v>5669</v>
      </c>
      <c r="J3252" s="2" t="s">
        <v>5670</v>
      </c>
      <c r="K3252" s="2" t="s">
        <v>130</v>
      </c>
      <c r="L3252" s="2" t="s">
        <v>34</v>
      </c>
      <c r="M3252" s="12">
        <v>86347.588000000003</v>
      </c>
      <c r="N3252" s="7">
        <v>60.938000000000002</v>
      </c>
      <c r="O3252" s="7">
        <v>61.438000000000002</v>
      </c>
      <c r="P3252" s="2" t="s">
        <v>10245</v>
      </c>
      <c r="Q3252" s="6">
        <v>100</v>
      </c>
      <c r="R3252" s="6">
        <v>8.26</v>
      </c>
      <c r="S3252" s="5">
        <v>-11.5</v>
      </c>
      <c r="T3252" s="7">
        <v>-11.367000000000001</v>
      </c>
      <c r="U3252" s="5">
        <v>1.3</v>
      </c>
      <c r="V3252" s="7">
        <v>-1.393</v>
      </c>
      <c r="W3252" s="7">
        <v>8.125</v>
      </c>
      <c r="X3252" s="5">
        <v>8.5</v>
      </c>
      <c r="Y3252" s="7">
        <v>8.125</v>
      </c>
      <c r="Z3252" s="7">
        <v>8.1560000000000006</v>
      </c>
      <c r="AA3252" s="6">
        <v>8.3000000000000007</v>
      </c>
      <c r="AB3252" s="2" t="s">
        <v>86</v>
      </c>
      <c r="AC3252" s="8">
        <v>2136</v>
      </c>
    </row>
    <row r="3253" spans="1:29" ht="78" x14ac:dyDescent="0.15">
      <c r="A3253" s="3">
        <f>DATE(1997,8,4)</f>
        <v>35646</v>
      </c>
      <c r="B3253" s="3">
        <f>DATE(1997,12,23)</f>
        <v>35787</v>
      </c>
      <c r="C3253" s="2" t="s">
        <v>95</v>
      </c>
      <c r="D3253" s="2" t="s">
        <v>10246</v>
      </c>
      <c r="E3253" s="2" t="s">
        <v>10247</v>
      </c>
      <c r="F3253" s="4">
        <v>5812</v>
      </c>
      <c r="G3253" s="2" t="s">
        <v>230</v>
      </c>
      <c r="H3253" s="2" t="s">
        <v>34</v>
      </c>
      <c r="I3253" s="2" t="s">
        <v>10248</v>
      </c>
      <c r="J3253" s="2" t="s">
        <v>3900</v>
      </c>
      <c r="K3253" s="2" t="s">
        <v>230</v>
      </c>
      <c r="L3253" s="2" t="s">
        <v>34</v>
      </c>
      <c r="M3253" s="2"/>
      <c r="N3253" s="2"/>
      <c r="O3253" s="2"/>
      <c r="P3253" s="2" t="s">
        <v>10249</v>
      </c>
      <c r="Q3253" s="6">
        <v>52</v>
      </c>
      <c r="R3253" s="6">
        <v>14</v>
      </c>
      <c r="S3253" s="5">
        <v>13.4</v>
      </c>
      <c r="T3253" s="7">
        <v>33.341999999999999</v>
      </c>
      <c r="U3253" s="5">
        <v>5.8</v>
      </c>
      <c r="V3253" s="6">
        <v>1.3</v>
      </c>
      <c r="W3253" s="7">
        <v>11.063000000000001</v>
      </c>
      <c r="X3253" s="7">
        <v>10.875</v>
      </c>
      <c r="Y3253" s="4">
        <v>13</v>
      </c>
      <c r="Z3253" s="7">
        <v>13.188000000000001</v>
      </c>
      <c r="AA3253" s="6">
        <v>10.48</v>
      </c>
      <c r="AB3253" s="7">
        <v>11.766999999999999</v>
      </c>
      <c r="AC3253" s="2"/>
    </row>
    <row r="3254" spans="1:29" ht="117" x14ac:dyDescent="0.15">
      <c r="A3254" s="3">
        <f>DATE(1997,8,5)</f>
        <v>35647</v>
      </c>
      <c r="B3254" s="3">
        <f>DATE(1998,1,16)</f>
        <v>35811</v>
      </c>
      <c r="C3254" s="2" t="s">
        <v>95</v>
      </c>
      <c r="D3254" s="2" t="s">
        <v>10250</v>
      </c>
      <c r="E3254" s="2" t="s">
        <v>2898</v>
      </c>
      <c r="F3254" s="4">
        <v>6022</v>
      </c>
      <c r="G3254" s="2" t="s">
        <v>37</v>
      </c>
      <c r="H3254" s="2" t="s">
        <v>34</v>
      </c>
      <c r="I3254" s="2" t="s">
        <v>2897</v>
      </c>
      <c r="J3254" s="2" t="s">
        <v>2898</v>
      </c>
      <c r="K3254" s="2" t="s">
        <v>37</v>
      </c>
      <c r="L3254" s="2" t="s">
        <v>34</v>
      </c>
      <c r="M3254" s="12">
        <v>13668.994000000001</v>
      </c>
      <c r="N3254" s="7">
        <v>48.875</v>
      </c>
      <c r="O3254" s="7">
        <v>48.875</v>
      </c>
      <c r="P3254" s="2" t="s">
        <v>10251</v>
      </c>
      <c r="Q3254" s="6">
        <v>100</v>
      </c>
      <c r="R3254" s="6">
        <v>18.87</v>
      </c>
      <c r="S3254" s="5">
        <v>2.2000000000000002</v>
      </c>
      <c r="T3254" s="7">
        <v>4.0209999999999999</v>
      </c>
      <c r="U3254" s="5">
        <v>7.9</v>
      </c>
      <c r="V3254" s="6">
        <v>0.53</v>
      </c>
      <c r="W3254" s="6">
        <v>19.25</v>
      </c>
      <c r="X3254" s="4">
        <v>21</v>
      </c>
      <c r="Y3254" s="4">
        <v>18</v>
      </c>
      <c r="Z3254" s="6">
        <v>18.75</v>
      </c>
      <c r="AA3254" s="6">
        <v>2.94</v>
      </c>
      <c r="AB3254" s="7">
        <v>54.350999999999999</v>
      </c>
      <c r="AC3254" s="2"/>
    </row>
    <row r="3255" spans="1:29" ht="130" x14ac:dyDescent="0.15">
      <c r="A3255" s="3">
        <f>DATE(1997,8,5)</f>
        <v>35647</v>
      </c>
      <c r="B3255" s="2"/>
      <c r="C3255" s="2" t="s">
        <v>30</v>
      </c>
      <c r="D3255" s="2" t="s">
        <v>10252</v>
      </c>
      <c r="E3255" s="2" t="s">
        <v>398</v>
      </c>
      <c r="F3255" s="4">
        <v>7812</v>
      </c>
      <c r="G3255" s="2" t="s">
        <v>42</v>
      </c>
      <c r="H3255" s="2" t="s">
        <v>34</v>
      </c>
      <c r="I3255" s="2" t="s">
        <v>4849</v>
      </c>
      <c r="J3255" s="2" t="s">
        <v>4850</v>
      </c>
      <c r="K3255" s="2" t="s">
        <v>226</v>
      </c>
      <c r="L3255" s="2" t="s">
        <v>34</v>
      </c>
      <c r="M3255" s="7">
        <v>53.930999999999997</v>
      </c>
      <c r="N3255" s="7">
        <v>4.3129999999999997</v>
      </c>
      <c r="O3255" s="7">
        <v>4.016</v>
      </c>
      <c r="P3255" s="2" t="s">
        <v>10253</v>
      </c>
      <c r="Q3255" s="2"/>
      <c r="R3255" s="6">
        <v>1.4</v>
      </c>
      <c r="S3255" s="5">
        <v>-3.9</v>
      </c>
      <c r="T3255" s="7">
        <v>0.56599999999999995</v>
      </c>
      <c r="U3255" s="5">
        <v>0.9</v>
      </c>
      <c r="V3255" s="6">
        <v>-0.7</v>
      </c>
      <c r="W3255" s="7">
        <v>2.625</v>
      </c>
      <c r="X3255" s="7">
        <v>2.6880000000000002</v>
      </c>
      <c r="Y3255" s="9">
        <v>2.9375</v>
      </c>
      <c r="Z3255" s="9">
        <v>2.8125</v>
      </c>
      <c r="AA3255" s="6">
        <v>5.64</v>
      </c>
      <c r="AB3255" s="2" t="s">
        <v>86</v>
      </c>
      <c r="AC3255" s="6">
        <v>19.07</v>
      </c>
    </row>
    <row r="3256" spans="1:29" ht="65" x14ac:dyDescent="0.15">
      <c r="A3256" s="3">
        <f>DATE(1997,8,6)</f>
        <v>35648</v>
      </c>
      <c r="B3256" s="2"/>
      <c r="C3256" s="2" t="s">
        <v>7330</v>
      </c>
      <c r="D3256" s="2" t="s">
        <v>10254</v>
      </c>
      <c r="E3256" s="2" t="s">
        <v>10255</v>
      </c>
      <c r="F3256" s="4">
        <v>7699</v>
      </c>
      <c r="G3256" s="2" t="s">
        <v>1327</v>
      </c>
      <c r="H3256" s="2" t="s">
        <v>34</v>
      </c>
      <c r="I3256" s="2" t="s">
        <v>10256</v>
      </c>
      <c r="J3256" s="2" t="s">
        <v>244</v>
      </c>
      <c r="K3256" s="2" t="s">
        <v>53</v>
      </c>
      <c r="L3256" s="2" t="s">
        <v>34</v>
      </c>
      <c r="M3256" s="2"/>
      <c r="N3256" s="2"/>
      <c r="O3256" s="2"/>
      <c r="P3256" s="2" t="s">
        <v>10257</v>
      </c>
      <c r="Q3256" s="2"/>
      <c r="R3256" s="6">
        <v>3.13</v>
      </c>
      <c r="S3256" s="5">
        <v>0.8</v>
      </c>
      <c r="T3256" s="7">
        <v>3.827</v>
      </c>
      <c r="U3256" s="5">
        <v>1.1000000000000001</v>
      </c>
      <c r="V3256" s="7">
        <v>7.4999999999999997E-2</v>
      </c>
      <c r="W3256" s="7">
        <v>2.4380000000000002</v>
      </c>
      <c r="X3256" s="6">
        <v>3.25</v>
      </c>
      <c r="Y3256" s="6">
        <v>3.25</v>
      </c>
      <c r="Z3256" s="6">
        <v>3.25</v>
      </c>
      <c r="AA3256" s="6">
        <v>5.16</v>
      </c>
      <c r="AB3256" s="7">
        <v>15.987</v>
      </c>
      <c r="AC3256" s="2"/>
    </row>
    <row r="3257" spans="1:29" ht="130" x14ac:dyDescent="0.15">
      <c r="A3257" s="3">
        <f>DATE(1997,8,7)</f>
        <v>35649</v>
      </c>
      <c r="B3257" s="3">
        <f>DATE(1998,1,8)</f>
        <v>35803</v>
      </c>
      <c r="C3257" s="2" t="s">
        <v>95</v>
      </c>
      <c r="D3257" s="2" t="s">
        <v>10258</v>
      </c>
      <c r="E3257" s="2" t="s">
        <v>10259</v>
      </c>
      <c r="F3257" s="4">
        <v>6022</v>
      </c>
      <c r="G3257" s="2" t="s">
        <v>37</v>
      </c>
      <c r="H3257" s="2" t="s">
        <v>34</v>
      </c>
      <c r="I3257" s="2" t="s">
        <v>4381</v>
      </c>
      <c r="J3257" s="2" t="s">
        <v>263</v>
      </c>
      <c r="K3257" s="2" t="s">
        <v>37</v>
      </c>
      <c r="L3257" s="2" t="s">
        <v>34</v>
      </c>
      <c r="M3257" s="7">
        <v>615.577</v>
      </c>
      <c r="N3257" s="4">
        <v>31</v>
      </c>
      <c r="O3257" s="4">
        <v>31</v>
      </c>
      <c r="P3257" s="2" t="s">
        <v>10260</v>
      </c>
      <c r="Q3257" s="6">
        <v>100</v>
      </c>
      <c r="R3257" s="6">
        <v>21</v>
      </c>
      <c r="S3257" s="5">
        <v>1.1000000000000001</v>
      </c>
      <c r="T3257" s="7">
        <v>2.089</v>
      </c>
      <c r="U3257" s="5">
        <v>8.9</v>
      </c>
      <c r="V3257" s="7">
        <v>0.92600000000000005</v>
      </c>
      <c r="W3257" s="5">
        <v>16.5</v>
      </c>
      <c r="X3257" s="6">
        <v>23.25</v>
      </c>
      <c r="Y3257" s="6">
        <v>20.75</v>
      </c>
      <c r="Z3257" s="4">
        <v>22</v>
      </c>
      <c r="AA3257" s="6">
        <v>1.24</v>
      </c>
      <c r="AB3257" s="7">
        <v>75.688000000000002</v>
      </c>
      <c r="AC3257" s="2"/>
    </row>
    <row r="3258" spans="1:29" ht="156" x14ac:dyDescent="0.15">
      <c r="A3258" s="3">
        <f>DATE(1997,8,7)</f>
        <v>35649</v>
      </c>
      <c r="B3258" s="3">
        <f>DATE(1998,1,21)</f>
        <v>35816</v>
      </c>
      <c r="C3258" s="2" t="s">
        <v>95</v>
      </c>
      <c r="D3258" s="2" t="s">
        <v>9840</v>
      </c>
      <c r="E3258" s="2" t="s">
        <v>9841</v>
      </c>
      <c r="F3258" s="4">
        <v>3841</v>
      </c>
      <c r="G3258" s="2" t="s">
        <v>226</v>
      </c>
      <c r="H3258" s="2" t="s">
        <v>34</v>
      </c>
      <c r="I3258" s="2" t="s">
        <v>51</v>
      </c>
      <c r="J3258" s="2" t="s">
        <v>52</v>
      </c>
      <c r="K3258" s="2" t="s">
        <v>53</v>
      </c>
      <c r="L3258" s="2" t="s">
        <v>34</v>
      </c>
      <c r="M3258" s="2"/>
      <c r="N3258" s="2"/>
      <c r="O3258" s="2"/>
      <c r="P3258" s="2" t="s">
        <v>10261</v>
      </c>
      <c r="Q3258" s="6">
        <v>97</v>
      </c>
      <c r="R3258" s="6">
        <v>48.25</v>
      </c>
      <c r="S3258" s="5">
        <v>36.799999999999997</v>
      </c>
      <c r="T3258" s="5">
        <v>139.19999999999999</v>
      </c>
      <c r="U3258" s="5">
        <v>3.8</v>
      </c>
      <c r="V3258" s="7">
        <v>0.39200000000000002</v>
      </c>
      <c r="W3258" s="6">
        <v>48.43</v>
      </c>
      <c r="X3258" s="6">
        <v>50.87</v>
      </c>
      <c r="Y3258" s="5">
        <v>49.5</v>
      </c>
      <c r="Z3258" s="6">
        <v>49.25</v>
      </c>
      <c r="AA3258" s="6">
        <v>20.309999999999999</v>
      </c>
      <c r="AB3258" s="7">
        <v>54.207999999999998</v>
      </c>
      <c r="AC3258" s="2"/>
    </row>
    <row r="3259" spans="1:29" ht="91" x14ac:dyDescent="0.15">
      <c r="A3259" s="3">
        <f>DATE(1997,8,7)</f>
        <v>35649</v>
      </c>
      <c r="B3259" s="3">
        <f>DATE(1997,12,2)</f>
        <v>35766</v>
      </c>
      <c r="C3259" s="2" t="s">
        <v>95</v>
      </c>
      <c r="D3259" s="2" t="s">
        <v>10262</v>
      </c>
      <c r="E3259" s="2" t="s">
        <v>10263</v>
      </c>
      <c r="F3259" s="4">
        <v>3679</v>
      </c>
      <c r="G3259" s="2" t="s">
        <v>137</v>
      </c>
      <c r="H3259" s="2" t="s">
        <v>34</v>
      </c>
      <c r="I3259" s="2" t="s">
        <v>1631</v>
      </c>
      <c r="J3259" s="2" t="s">
        <v>1632</v>
      </c>
      <c r="K3259" s="2" t="s">
        <v>163</v>
      </c>
      <c r="L3259" s="2" t="s">
        <v>34</v>
      </c>
      <c r="M3259" s="7">
        <v>459.80099999999999</v>
      </c>
      <c r="N3259" s="4">
        <v>83</v>
      </c>
      <c r="O3259" s="7">
        <v>82.375</v>
      </c>
      <c r="P3259" s="2" t="s">
        <v>10264</v>
      </c>
      <c r="Q3259" s="6">
        <v>100</v>
      </c>
      <c r="R3259" s="6">
        <v>5</v>
      </c>
      <c r="S3259" s="5">
        <v>0.7</v>
      </c>
      <c r="T3259" s="7">
        <v>1.5409999999999999</v>
      </c>
      <c r="U3259" s="5">
        <v>1.4</v>
      </c>
      <c r="V3259" s="7">
        <v>0.25900000000000001</v>
      </c>
      <c r="W3259" s="7">
        <v>3.625</v>
      </c>
      <c r="X3259" s="7">
        <v>3.625</v>
      </c>
      <c r="Y3259" s="7">
        <v>3.875</v>
      </c>
      <c r="Z3259" s="4">
        <v>5</v>
      </c>
      <c r="AA3259" s="6">
        <v>2.79</v>
      </c>
      <c r="AB3259" s="7">
        <v>16.427</v>
      </c>
      <c r="AC3259" s="6">
        <v>33.31</v>
      </c>
    </row>
    <row r="3260" spans="1:29" ht="143" x14ac:dyDescent="0.15">
      <c r="A3260" s="3">
        <f>DATE(1997,8,7)</f>
        <v>35649</v>
      </c>
      <c r="B3260" s="3">
        <f>DATE(1997,9,30)</f>
        <v>35703</v>
      </c>
      <c r="C3260" s="2" t="s">
        <v>95</v>
      </c>
      <c r="D3260" s="2" t="s">
        <v>10070</v>
      </c>
      <c r="E3260" s="2" t="s">
        <v>10071</v>
      </c>
      <c r="F3260" s="4">
        <v>3519</v>
      </c>
      <c r="G3260" s="2" t="s">
        <v>300</v>
      </c>
      <c r="H3260" s="2" t="s">
        <v>34</v>
      </c>
      <c r="I3260" s="2" t="s">
        <v>51</v>
      </c>
      <c r="J3260" s="2" t="s">
        <v>52</v>
      </c>
      <c r="K3260" s="2" t="s">
        <v>53</v>
      </c>
      <c r="L3260" s="2" t="s">
        <v>34</v>
      </c>
      <c r="M3260" s="2"/>
      <c r="N3260" s="2"/>
      <c r="O3260" s="2"/>
      <c r="P3260" s="2" t="s">
        <v>10265</v>
      </c>
      <c r="Q3260" s="6">
        <v>90.36</v>
      </c>
      <c r="R3260" s="6">
        <v>18</v>
      </c>
      <c r="S3260" s="5">
        <v>-7.3</v>
      </c>
      <c r="T3260" s="5">
        <v>73.7</v>
      </c>
      <c r="U3260" s="5">
        <v>11.8</v>
      </c>
      <c r="V3260" s="6">
        <v>0.36</v>
      </c>
      <c r="W3260" s="7">
        <v>12.625</v>
      </c>
      <c r="X3260" s="6">
        <v>12.25</v>
      </c>
      <c r="Y3260" s="4">
        <v>12</v>
      </c>
      <c r="Z3260" s="7">
        <v>10.875</v>
      </c>
      <c r="AA3260" s="6">
        <v>20.21</v>
      </c>
      <c r="AB3260" s="7">
        <v>23.486000000000001</v>
      </c>
      <c r="AC3260" s="2"/>
    </row>
    <row r="3261" spans="1:29" ht="78" x14ac:dyDescent="0.15">
      <c r="A3261" s="3">
        <f>DATE(1997,8,8)</f>
        <v>35650</v>
      </c>
      <c r="B3261" s="3">
        <f>DATE(1997,12,29)</f>
        <v>35793</v>
      </c>
      <c r="C3261" s="2" t="s">
        <v>95</v>
      </c>
      <c r="D3261" s="2" t="s">
        <v>8818</v>
      </c>
      <c r="E3261" s="2" t="s">
        <v>8819</v>
      </c>
      <c r="F3261" s="4">
        <v>3732</v>
      </c>
      <c r="G3261" s="2" t="s">
        <v>105</v>
      </c>
      <c r="H3261" s="2" t="s">
        <v>34</v>
      </c>
      <c r="I3261" s="2" t="s">
        <v>8820</v>
      </c>
      <c r="J3261" s="2" t="s">
        <v>8821</v>
      </c>
      <c r="K3261" s="2" t="s">
        <v>105</v>
      </c>
      <c r="L3261" s="2" t="s">
        <v>34</v>
      </c>
      <c r="M3261" s="2"/>
      <c r="N3261" s="2"/>
      <c r="O3261" s="2"/>
      <c r="P3261" s="2" t="s">
        <v>10266</v>
      </c>
      <c r="Q3261" s="6">
        <v>19.18</v>
      </c>
      <c r="R3261" s="6">
        <v>1.25</v>
      </c>
      <c r="S3261" s="5">
        <v>-4</v>
      </c>
      <c r="T3261" s="6">
        <v>-2.91</v>
      </c>
      <c r="U3261" s="5">
        <v>0.9</v>
      </c>
      <c r="V3261" s="7">
        <v>-0.68500000000000005</v>
      </c>
      <c r="W3261" s="7">
        <v>1.1879999999999999</v>
      </c>
      <c r="X3261" s="6">
        <v>1.25</v>
      </c>
      <c r="Y3261" s="6">
        <v>1.25</v>
      </c>
      <c r="Z3261" s="7">
        <v>1.1879999999999999</v>
      </c>
      <c r="AA3261" s="6">
        <v>9.06</v>
      </c>
      <c r="AB3261" s="2" t="s">
        <v>86</v>
      </c>
      <c r="AC3261" s="2"/>
    </row>
    <row r="3262" spans="1:29" ht="130" x14ac:dyDescent="0.15">
      <c r="A3262" s="3">
        <f>DATE(1997,8,8)</f>
        <v>35650</v>
      </c>
      <c r="B3262" s="3">
        <f>DATE(1997,12,22)</f>
        <v>35786</v>
      </c>
      <c r="C3262" s="2" t="s">
        <v>95</v>
      </c>
      <c r="D3262" s="2" t="s">
        <v>2864</v>
      </c>
      <c r="E3262" s="2" t="s">
        <v>124</v>
      </c>
      <c r="F3262" s="4">
        <v>6331</v>
      </c>
      <c r="G3262" s="2" t="s">
        <v>125</v>
      </c>
      <c r="H3262" s="2" t="s">
        <v>34</v>
      </c>
      <c r="I3262" s="2" t="s">
        <v>10267</v>
      </c>
      <c r="J3262" s="2" t="s">
        <v>515</v>
      </c>
      <c r="K3262" s="2" t="s">
        <v>125</v>
      </c>
      <c r="L3262" s="2" t="s">
        <v>34</v>
      </c>
      <c r="M3262" s="12">
        <v>2759.7359999999999</v>
      </c>
      <c r="N3262" s="5">
        <v>22.5</v>
      </c>
      <c r="O3262" s="7">
        <v>22.875</v>
      </c>
      <c r="P3262" s="2" t="s">
        <v>10268</v>
      </c>
      <c r="Q3262" s="6">
        <v>100</v>
      </c>
      <c r="R3262" s="6">
        <v>22.47</v>
      </c>
      <c r="S3262" s="5">
        <v>14.2</v>
      </c>
      <c r="T3262" s="2"/>
      <c r="U3262" s="5">
        <v>11.8</v>
      </c>
      <c r="V3262" s="6">
        <v>1.48</v>
      </c>
      <c r="W3262" s="7">
        <v>18.875</v>
      </c>
      <c r="X3262" s="7">
        <v>19.375</v>
      </c>
      <c r="Y3262" s="7">
        <v>21.125</v>
      </c>
      <c r="Z3262" s="7">
        <v>21.375</v>
      </c>
      <c r="AA3262" s="6">
        <v>9.57</v>
      </c>
      <c r="AB3262" s="7">
        <v>12.708</v>
      </c>
      <c r="AC3262" s="5">
        <v>73</v>
      </c>
    </row>
    <row r="3263" spans="1:29" ht="182" x14ac:dyDescent="0.15">
      <c r="A3263" s="3">
        <f>DATE(1997,8,8)</f>
        <v>35650</v>
      </c>
      <c r="B3263" s="2"/>
      <c r="C3263" s="2" t="s">
        <v>30</v>
      </c>
      <c r="D3263" s="2" t="s">
        <v>9244</v>
      </c>
      <c r="E3263" s="2" t="s">
        <v>9245</v>
      </c>
      <c r="F3263" s="4">
        <v>7371</v>
      </c>
      <c r="G3263" s="2" t="s">
        <v>223</v>
      </c>
      <c r="H3263" s="2" t="s">
        <v>34</v>
      </c>
      <c r="I3263" s="2" t="s">
        <v>51</v>
      </c>
      <c r="J3263" s="2" t="s">
        <v>52</v>
      </c>
      <c r="K3263" s="2" t="s">
        <v>53</v>
      </c>
      <c r="L3263" s="2" t="s">
        <v>34</v>
      </c>
      <c r="M3263" s="2"/>
      <c r="N3263" s="2"/>
      <c r="O3263" s="2"/>
      <c r="P3263" s="2" t="s">
        <v>10269</v>
      </c>
      <c r="Q3263" s="2"/>
      <c r="R3263" s="6">
        <v>23.25</v>
      </c>
      <c r="S3263" s="5">
        <v>10.4</v>
      </c>
      <c r="T3263" s="7">
        <v>28.890999999999998</v>
      </c>
      <c r="U3263" s="5">
        <v>2.8</v>
      </c>
      <c r="V3263" s="6">
        <v>1.2</v>
      </c>
      <c r="W3263" s="7">
        <v>21.125</v>
      </c>
      <c r="X3263" s="7">
        <v>21.625</v>
      </c>
      <c r="Y3263" s="7">
        <v>21.625</v>
      </c>
      <c r="Z3263" s="7">
        <v>22.375</v>
      </c>
      <c r="AA3263" s="6">
        <v>9.0299999999999994</v>
      </c>
      <c r="AB3263" s="7">
        <v>12.08</v>
      </c>
      <c r="AC3263" s="2"/>
    </row>
    <row r="3264" spans="1:29" ht="117" x14ac:dyDescent="0.15">
      <c r="A3264" s="3">
        <f t="shared" ref="A3264:A3270" si="36">DATE(1997,8,11)</f>
        <v>35653</v>
      </c>
      <c r="B3264" s="3">
        <f>DATE(1997,12,19)</f>
        <v>35783</v>
      </c>
      <c r="C3264" s="2" t="s">
        <v>95</v>
      </c>
      <c r="D3264" s="2" t="s">
        <v>10270</v>
      </c>
      <c r="E3264" s="2" t="s">
        <v>10271</v>
      </c>
      <c r="F3264" s="4">
        <v>5113</v>
      </c>
      <c r="G3264" s="2" t="s">
        <v>593</v>
      </c>
      <c r="H3264" s="2" t="s">
        <v>34</v>
      </c>
      <c r="I3264" s="2" t="s">
        <v>10272</v>
      </c>
      <c r="J3264" s="2" t="s">
        <v>302</v>
      </c>
      <c r="K3264" s="2" t="s">
        <v>53</v>
      </c>
      <c r="L3264" s="2" t="s">
        <v>34</v>
      </c>
      <c r="M3264" s="2"/>
      <c r="N3264" s="2"/>
      <c r="O3264" s="2"/>
      <c r="P3264" s="2" t="s">
        <v>10273</v>
      </c>
      <c r="Q3264" s="6">
        <v>100</v>
      </c>
      <c r="R3264" s="6">
        <v>16.5</v>
      </c>
      <c r="S3264" s="5">
        <v>2.2999999999999998</v>
      </c>
      <c r="T3264" s="7">
        <v>39.451999999999998</v>
      </c>
      <c r="U3264" s="5">
        <v>3.3</v>
      </c>
      <c r="V3264" s="6">
        <v>0.6</v>
      </c>
      <c r="W3264" s="4">
        <v>12</v>
      </c>
      <c r="X3264" s="7">
        <v>12.125</v>
      </c>
      <c r="Y3264" s="7">
        <v>15.938000000000001</v>
      </c>
      <c r="Z3264" s="4">
        <v>16</v>
      </c>
      <c r="AA3264" s="6">
        <v>21.1</v>
      </c>
      <c r="AB3264" s="7">
        <v>11.371</v>
      </c>
      <c r="AC3264" s="2"/>
    </row>
    <row r="3265" spans="1:29" ht="156" x14ac:dyDescent="0.15">
      <c r="A3265" s="3">
        <f t="shared" si="36"/>
        <v>35653</v>
      </c>
      <c r="B3265" s="2"/>
      <c r="C3265" s="2" t="s">
        <v>30</v>
      </c>
      <c r="D3265" s="2" t="s">
        <v>9737</v>
      </c>
      <c r="E3265" s="2" t="s">
        <v>9738</v>
      </c>
      <c r="F3265" s="4">
        <v>3081</v>
      </c>
      <c r="G3265" s="2" t="s">
        <v>447</v>
      </c>
      <c r="H3265" s="2" t="s">
        <v>34</v>
      </c>
      <c r="I3265" s="2" t="s">
        <v>10274</v>
      </c>
      <c r="J3265" s="2" t="s">
        <v>302</v>
      </c>
      <c r="K3265" s="2" t="s">
        <v>53</v>
      </c>
      <c r="L3265" s="2" t="s">
        <v>34</v>
      </c>
      <c r="M3265" s="2"/>
      <c r="N3265" s="2"/>
      <c r="O3265" s="2"/>
      <c r="P3265" s="2" t="s">
        <v>10275</v>
      </c>
      <c r="Q3265" s="2"/>
      <c r="R3265" s="6">
        <v>8.5</v>
      </c>
      <c r="S3265" s="5">
        <v>-10.6</v>
      </c>
      <c r="T3265" s="7">
        <v>94.200999999999993</v>
      </c>
      <c r="U3265" s="5">
        <v>6.4</v>
      </c>
      <c r="V3265" s="6">
        <v>-0.72</v>
      </c>
      <c r="W3265" s="7">
        <v>7.375</v>
      </c>
      <c r="X3265" s="6">
        <v>7.25</v>
      </c>
      <c r="Y3265" s="9">
        <v>8.1875</v>
      </c>
      <c r="Z3265" s="7">
        <v>8.375</v>
      </c>
      <c r="AA3265" s="6">
        <v>14.64</v>
      </c>
      <c r="AB3265" s="7">
        <v>17.57</v>
      </c>
      <c r="AC3265" s="2"/>
    </row>
    <row r="3266" spans="1:29" ht="26" x14ac:dyDescent="0.15">
      <c r="A3266" s="3">
        <f t="shared" si="36"/>
        <v>35653</v>
      </c>
      <c r="B3266" s="2"/>
      <c r="C3266" s="2" t="s">
        <v>189</v>
      </c>
      <c r="D3266" s="2" t="s">
        <v>7982</v>
      </c>
      <c r="E3266" s="2" t="s">
        <v>177</v>
      </c>
      <c r="F3266" s="4">
        <v>1311</v>
      </c>
      <c r="G3266" s="2" t="s">
        <v>148</v>
      </c>
      <c r="H3266" s="2" t="s">
        <v>34</v>
      </c>
      <c r="I3266" s="2" t="s">
        <v>143</v>
      </c>
      <c r="J3266" s="2" t="s">
        <v>144</v>
      </c>
      <c r="K3266" s="2" t="s">
        <v>53</v>
      </c>
      <c r="L3266" s="2" t="s">
        <v>139</v>
      </c>
      <c r="M3266" s="2"/>
      <c r="N3266" s="2"/>
      <c r="O3266" s="2"/>
      <c r="P3266" s="2" t="s">
        <v>10276</v>
      </c>
      <c r="Q3266" s="2"/>
      <c r="R3266" s="2"/>
      <c r="S3266" s="5">
        <v>0</v>
      </c>
      <c r="T3266" s="7">
        <v>1.9830000000000001</v>
      </c>
      <c r="U3266" s="5">
        <v>1.9</v>
      </c>
      <c r="V3266" s="6">
        <v>0.01</v>
      </c>
      <c r="W3266" s="4">
        <v>4</v>
      </c>
      <c r="X3266" s="7">
        <v>3.625</v>
      </c>
      <c r="Y3266" s="4">
        <v>4</v>
      </c>
      <c r="Z3266" s="7">
        <v>4.125</v>
      </c>
      <c r="AA3266" s="6">
        <v>2.2599999999999998</v>
      </c>
      <c r="AB3266" s="2" t="s">
        <v>47</v>
      </c>
      <c r="AC3266" s="2"/>
    </row>
    <row r="3267" spans="1:29" ht="130" x14ac:dyDescent="0.15">
      <c r="A3267" s="3">
        <f t="shared" si="36"/>
        <v>35653</v>
      </c>
      <c r="B3267" s="3">
        <f>DATE(1998,4,6)</f>
        <v>35891</v>
      </c>
      <c r="C3267" s="2" t="s">
        <v>95</v>
      </c>
      <c r="D3267" s="2" t="s">
        <v>10277</v>
      </c>
      <c r="E3267" s="2" t="s">
        <v>10278</v>
      </c>
      <c r="F3267" s="4">
        <v>7372</v>
      </c>
      <c r="G3267" s="2" t="s">
        <v>551</v>
      </c>
      <c r="H3267" s="2" t="s">
        <v>34</v>
      </c>
      <c r="I3267" s="2" t="s">
        <v>278</v>
      </c>
      <c r="J3267" s="2" t="s">
        <v>52</v>
      </c>
      <c r="K3267" s="2" t="s">
        <v>53</v>
      </c>
      <c r="L3267" s="2" t="s">
        <v>34</v>
      </c>
      <c r="M3267" s="2"/>
      <c r="N3267" s="2"/>
      <c r="O3267" s="2"/>
      <c r="P3267" s="2" t="s">
        <v>10279</v>
      </c>
      <c r="Q3267" s="6">
        <v>86.7</v>
      </c>
      <c r="R3267" s="2"/>
      <c r="S3267" s="5">
        <v>38.9</v>
      </c>
      <c r="T3267" s="6">
        <v>66.83</v>
      </c>
      <c r="U3267" s="5">
        <v>3.7</v>
      </c>
      <c r="V3267" s="9">
        <v>1.0557000000000001</v>
      </c>
      <c r="W3267" s="5">
        <v>20.5</v>
      </c>
      <c r="X3267" s="7">
        <v>20.562999999999999</v>
      </c>
      <c r="Y3267" s="6">
        <v>19.75</v>
      </c>
      <c r="Z3267" s="7">
        <v>19.625</v>
      </c>
      <c r="AA3267" s="6">
        <v>38.5</v>
      </c>
      <c r="AB3267" s="7">
        <v>16.574999999999999</v>
      </c>
      <c r="AC3267" s="2"/>
    </row>
    <row r="3268" spans="1:29" ht="52" x14ac:dyDescent="0.15">
      <c r="A3268" s="3">
        <f t="shared" si="36"/>
        <v>35653</v>
      </c>
      <c r="B3268" s="3">
        <f>DATE(1997,9,30)</f>
        <v>35703</v>
      </c>
      <c r="C3268" s="2" t="s">
        <v>95</v>
      </c>
      <c r="D3268" s="2" t="s">
        <v>10280</v>
      </c>
      <c r="E3268" s="2" t="s">
        <v>10281</v>
      </c>
      <c r="F3268" s="4">
        <v>5169</v>
      </c>
      <c r="G3268" s="2" t="s">
        <v>593</v>
      </c>
      <c r="H3268" s="2" t="s">
        <v>34</v>
      </c>
      <c r="I3268" s="2" t="s">
        <v>10282</v>
      </c>
      <c r="J3268" s="2" t="s">
        <v>10283</v>
      </c>
      <c r="K3268" s="2" t="s">
        <v>593</v>
      </c>
      <c r="L3268" s="2" t="s">
        <v>34</v>
      </c>
      <c r="M3268" s="10">
        <v>1106.8800000000001</v>
      </c>
      <c r="N3268" s="6">
        <v>18.75</v>
      </c>
      <c r="O3268" s="5">
        <v>18.5</v>
      </c>
      <c r="P3268" s="2" t="s">
        <v>10284</v>
      </c>
      <c r="Q3268" s="6">
        <v>100</v>
      </c>
      <c r="R3268" s="6">
        <v>21</v>
      </c>
      <c r="S3268" s="5">
        <v>4.8</v>
      </c>
      <c r="T3268" s="7">
        <v>13.135</v>
      </c>
      <c r="U3268" s="5">
        <v>10.7</v>
      </c>
      <c r="V3268" s="6">
        <v>0.78</v>
      </c>
      <c r="W3268" s="6">
        <v>16.75</v>
      </c>
      <c r="X3268" s="7">
        <v>20.125</v>
      </c>
      <c r="Y3268" s="4">
        <v>22</v>
      </c>
      <c r="Z3268" s="7">
        <v>18.625</v>
      </c>
      <c r="AA3268" s="6">
        <v>6.22</v>
      </c>
      <c r="AB3268" s="7">
        <v>15.289</v>
      </c>
      <c r="AC3268" s="5">
        <v>14.6</v>
      </c>
    </row>
    <row r="3269" spans="1:29" ht="130" x14ac:dyDescent="0.15">
      <c r="A3269" s="3">
        <f t="shared" si="36"/>
        <v>35653</v>
      </c>
      <c r="B3269" s="3">
        <f>DATE(1997,12,30)</f>
        <v>35794</v>
      </c>
      <c r="C3269" s="2" t="s">
        <v>95</v>
      </c>
      <c r="D3269" s="2" t="s">
        <v>4362</v>
      </c>
      <c r="E3269" s="2" t="s">
        <v>4363</v>
      </c>
      <c r="F3269" s="4">
        <v>4812</v>
      </c>
      <c r="G3269" s="2" t="s">
        <v>63</v>
      </c>
      <c r="H3269" s="2" t="s">
        <v>34</v>
      </c>
      <c r="I3269" s="2" t="s">
        <v>4364</v>
      </c>
      <c r="J3269" s="2" t="s">
        <v>4365</v>
      </c>
      <c r="K3269" s="2" t="s">
        <v>63</v>
      </c>
      <c r="L3269" s="2" t="s">
        <v>34</v>
      </c>
      <c r="M3269" s="7">
        <v>131.36799999999999</v>
      </c>
      <c r="N3269" s="7">
        <v>5.9379999999999997</v>
      </c>
      <c r="O3269" s="7">
        <v>5.875</v>
      </c>
      <c r="P3269" s="2" t="s">
        <v>10285</v>
      </c>
      <c r="Q3269" s="6">
        <v>100</v>
      </c>
      <c r="R3269" s="6">
        <v>5.4</v>
      </c>
      <c r="S3269" s="5">
        <v>-40</v>
      </c>
      <c r="T3269" s="7">
        <v>24.797999999999998</v>
      </c>
      <c r="U3269" s="5">
        <v>10.7</v>
      </c>
      <c r="V3269" s="6">
        <v>-4.07</v>
      </c>
      <c r="W3269" s="7">
        <v>5.4379999999999997</v>
      </c>
      <c r="X3269" s="4">
        <v>6</v>
      </c>
      <c r="Y3269" s="4">
        <v>5</v>
      </c>
      <c r="Z3269" s="7">
        <v>4.9379999999999997</v>
      </c>
      <c r="AA3269" s="6">
        <v>12.62</v>
      </c>
      <c r="AB3269" s="2" t="s">
        <v>86</v>
      </c>
      <c r="AC3269" s="6">
        <v>10.92</v>
      </c>
    </row>
    <row r="3270" spans="1:29" ht="104" x14ac:dyDescent="0.15">
      <c r="A3270" s="3">
        <f t="shared" si="36"/>
        <v>35653</v>
      </c>
      <c r="B3270" s="3">
        <f>DATE(1997,12,22)</f>
        <v>35786</v>
      </c>
      <c r="C3270" s="2" t="s">
        <v>95</v>
      </c>
      <c r="D3270" s="2" t="s">
        <v>10113</v>
      </c>
      <c r="E3270" s="2" t="s">
        <v>844</v>
      </c>
      <c r="F3270" s="4">
        <v>6552</v>
      </c>
      <c r="G3270" s="2" t="s">
        <v>109</v>
      </c>
      <c r="H3270" s="2" t="s">
        <v>34</v>
      </c>
      <c r="I3270" s="2" t="s">
        <v>10286</v>
      </c>
      <c r="J3270" s="2" t="s">
        <v>10287</v>
      </c>
      <c r="K3270" s="2" t="s">
        <v>341</v>
      </c>
      <c r="L3270" s="2" t="s">
        <v>34</v>
      </c>
      <c r="M3270" s="7">
        <v>270.15699999999998</v>
      </c>
      <c r="N3270" s="4">
        <v>31</v>
      </c>
      <c r="O3270" s="5">
        <v>31.5</v>
      </c>
      <c r="P3270" s="2" t="s">
        <v>10288</v>
      </c>
      <c r="Q3270" s="6">
        <v>100</v>
      </c>
      <c r="R3270" s="6">
        <v>19.82</v>
      </c>
      <c r="S3270" s="5">
        <v>5.9</v>
      </c>
      <c r="T3270" s="6">
        <v>16.989999999999998</v>
      </c>
      <c r="U3270" s="5">
        <v>3.8</v>
      </c>
      <c r="V3270" s="6">
        <v>0.64</v>
      </c>
      <c r="W3270" s="6">
        <v>14.25</v>
      </c>
      <c r="X3270" s="4">
        <v>14</v>
      </c>
      <c r="Y3270" s="7">
        <v>17.375</v>
      </c>
      <c r="Z3270" s="7">
        <v>17.625</v>
      </c>
      <c r="AA3270" s="6">
        <v>8.6199999999999992</v>
      </c>
      <c r="AB3270" s="7">
        <v>15.805999999999999</v>
      </c>
      <c r="AC3270" s="6">
        <v>14.79</v>
      </c>
    </row>
    <row r="3271" spans="1:29" ht="78" x14ac:dyDescent="0.15">
      <c r="A3271" s="3">
        <f>DATE(1997,8,12)</f>
        <v>35654</v>
      </c>
      <c r="B3271" s="3">
        <f>DATE(1997,9,17)</f>
        <v>35690</v>
      </c>
      <c r="C3271" s="2" t="s">
        <v>95</v>
      </c>
      <c r="D3271" s="2" t="s">
        <v>10289</v>
      </c>
      <c r="E3271" s="2" t="s">
        <v>10290</v>
      </c>
      <c r="F3271" s="4">
        <v>7389</v>
      </c>
      <c r="G3271" s="2" t="s">
        <v>223</v>
      </c>
      <c r="H3271" s="2" t="s">
        <v>34</v>
      </c>
      <c r="I3271" s="2" t="s">
        <v>7301</v>
      </c>
      <c r="J3271" s="2" t="s">
        <v>7302</v>
      </c>
      <c r="K3271" s="2" t="s">
        <v>226</v>
      </c>
      <c r="L3271" s="2" t="s">
        <v>34</v>
      </c>
      <c r="M3271" s="12">
        <v>1256.0820000000001</v>
      </c>
      <c r="N3271" s="6">
        <v>36.75</v>
      </c>
      <c r="O3271" s="6">
        <v>37.25</v>
      </c>
      <c r="P3271" s="2" t="s">
        <v>10291</v>
      </c>
      <c r="Q3271" s="6">
        <v>100</v>
      </c>
      <c r="R3271" s="6">
        <v>20.5</v>
      </c>
      <c r="S3271" s="5">
        <v>4.3</v>
      </c>
      <c r="T3271" s="7">
        <v>18.321000000000002</v>
      </c>
      <c r="U3271" s="5">
        <v>13.8</v>
      </c>
      <c r="V3271" s="6">
        <v>0.94</v>
      </c>
      <c r="W3271" s="6">
        <v>17.75</v>
      </c>
      <c r="X3271" s="7">
        <v>19.375</v>
      </c>
      <c r="Y3271" s="7">
        <v>18.812999999999999</v>
      </c>
      <c r="Z3271" s="7">
        <v>20.187999999999999</v>
      </c>
      <c r="AA3271" s="6">
        <v>6.46</v>
      </c>
      <c r="AB3271" s="7">
        <v>12.475</v>
      </c>
      <c r="AC3271" s="6">
        <v>23.55</v>
      </c>
    </row>
    <row r="3272" spans="1:29" ht="195" x14ac:dyDescent="0.15">
      <c r="A3272" s="3">
        <f>DATE(1997,8,12)</f>
        <v>35654</v>
      </c>
      <c r="B3272" s="3">
        <f>DATE(1998,3,3)</f>
        <v>35857</v>
      </c>
      <c r="C3272" s="2" t="s">
        <v>95</v>
      </c>
      <c r="D3272" s="2" t="s">
        <v>10292</v>
      </c>
      <c r="E3272" s="2" t="s">
        <v>10293</v>
      </c>
      <c r="F3272" s="4">
        <v>4833</v>
      </c>
      <c r="G3272" s="2" t="s">
        <v>45</v>
      </c>
      <c r="H3272" s="2" t="s">
        <v>34</v>
      </c>
      <c r="I3272" s="2" t="s">
        <v>8932</v>
      </c>
      <c r="J3272" s="2" t="s">
        <v>244</v>
      </c>
      <c r="K3272" s="2" t="s">
        <v>53</v>
      </c>
      <c r="L3272" s="2" t="s">
        <v>34</v>
      </c>
      <c r="M3272" s="2"/>
      <c r="N3272" s="2"/>
      <c r="O3272" s="2"/>
      <c r="P3272" s="2" t="s">
        <v>10294</v>
      </c>
      <c r="Q3272" s="6">
        <v>100</v>
      </c>
      <c r="R3272" s="6">
        <v>55</v>
      </c>
      <c r="S3272" s="5">
        <v>46.5</v>
      </c>
      <c r="T3272" s="7">
        <v>138.44200000000001</v>
      </c>
      <c r="U3272" s="5">
        <v>4.7</v>
      </c>
      <c r="V3272" s="6">
        <v>1.54</v>
      </c>
      <c r="W3272" s="5">
        <v>48.5</v>
      </c>
      <c r="X3272" s="6">
        <v>47.87</v>
      </c>
      <c r="Y3272" s="7">
        <v>41.625</v>
      </c>
      <c r="Z3272" s="5">
        <v>43.5</v>
      </c>
      <c r="AA3272" s="6">
        <v>29.78</v>
      </c>
      <c r="AB3272" s="7">
        <v>20.260000000000002</v>
      </c>
      <c r="AC3272" s="2"/>
    </row>
    <row r="3273" spans="1:29" ht="26" x14ac:dyDescent="0.15">
      <c r="A3273" s="3">
        <f>DATE(1997,8,12)</f>
        <v>35654</v>
      </c>
      <c r="B3273" s="2"/>
      <c r="C3273" s="2" t="s">
        <v>30</v>
      </c>
      <c r="D3273" s="2" t="s">
        <v>10295</v>
      </c>
      <c r="E3273" s="2" t="s">
        <v>10296</v>
      </c>
      <c r="F3273" s="4">
        <v>7812</v>
      </c>
      <c r="G3273" s="2" t="s">
        <v>42</v>
      </c>
      <c r="H3273" s="2" t="s">
        <v>34</v>
      </c>
      <c r="I3273" s="2" t="s">
        <v>138</v>
      </c>
      <c r="J3273" s="2" t="s">
        <v>139</v>
      </c>
      <c r="K3273" s="2" t="s">
        <v>53</v>
      </c>
      <c r="L3273" s="2" t="s">
        <v>139</v>
      </c>
      <c r="M3273" s="2"/>
      <c r="N3273" s="2"/>
      <c r="O3273" s="2"/>
      <c r="P3273" s="2" t="s">
        <v>10297</v>
      </c>
      <c r="Q3273" s="2"/>
      <c r="R3273" s="2"/>
      <c r="S3273" s="5">
        <v>-5.0999999999999996</v>
      </c>
      <c r="T3273" s="7">
        <v>9.6029999999999998</v>
      </c>
      <c r="U3273" s="5">
        <v>6.7</v>
      </c>
      <c r="V3273" s="6">
        <v>-1.96</v>
      </c>
      <c r="W3273" s="6">
        <v>5.25</v>
      </c>
      <c r="X3273" s="7">
        <v>6.625</v>
      </c>
      <c r="Y3273" s="7">
        <v>7.125</v>
      </c>
      <c r="Z3273" s="9">
        <v>7.4375</v>
      </c>
      <c r="AA3273" s="6">
        <v>2.67</v>
      </c>
      <c r="AB3273" s="2" t="s">
        <v>47</v>
      </c>
      <c r="AC3273" s="2"/>
    </row>
    <row r="3274" spans="1:29" ht="156" x14ac:dyDescent="0.15">
      <c r="A3274" s="3">
        <f>DATE(1997,8,13)</f>
        <v>35655</v>
      </c>
      <c r="B3274" s="2"/>
      <c r="C3274" s="2" t="s">
        <v>30</v>
      </c>
      <c r="D3274" s="2" t="s">
        <v>10298</v>
      </c>
      <c r="E3274" s="2" t="s">
        <v>973</v>
      </c>
      <c r="F3274" s="4">
        <v>4813</v>
      </c>
      <c r="G3274" s="2" t="s">
        <v>63</v>
      </c>
      <c r="H3274" s="2" t="s">
        <v>34</v>
      </c>
      <c r="I3274" s="2" t="s">
        <v>10299</v>
      </c>
      <c r="J3274" s="2" t="s">
        <v>3478</v>
      </c>
      <c r="K3274" s="2" t="s">
        <v>63</v>
      </c>
      <c r="L3274" s="2" t="s">
        <v>34</v>
      </c>
      <c r="M3274" s="6">
        <v>90.41</v>
      </c>
      <c r="N3274" s="6">
        <v>8.75</v>
      </c>
      <c r="O3274" s="7">
        <v>9.125</v>
      </c>
      <c r="P3274" s="2" t="s">
        <v>10300</v>
      </c>
      <c r="Q3274" s="2"/>
      <c r="R3274" s="6">
        <v>2.72</v>
      </c>
      <c r="S3274" s="5">
        <v>-15.1</v>
      </c>
      <c r="T3274" s="2"/>
      <c r="U3274" s="5">
        <v>0.6</v>
      </c>
      <c r="V3274" s="7">
        <v>-0.69799999999999995</v>
      </c>
      <c r="W3274" s="7">
        <v>1.8129999999999999</v>
      </c>
      <c r="X3274" s="6">
        <v>1.75</v>
      </c>
      <c r="Y3274" s="7">
        <v>1.9379999999999999</v>
      </c>
      <c r="Z3274" s="7">
        <v>1.875</v>
      </c>
      <c r="AA3274" s="6">
        <v>29.18</v>
      </c>
      <c r="AB3274" s="2" t="s">
        <v>86</v>
      </c>
      <c r="AC3274" s="6">
        <v>30.96</v>
      </c>
    </row>
    <row r="3275" spans="1:29" ht="91" x14ac:dyDescent="0.15">
      <c r="A3275" s="3">
        <f>DATE(1997,8,13)</f>
        <v>35655</v>
      </c>
      <c r="B3275" s="3">
        <f>DATE(1997,9,30)</f>
        <v>35703</v>
      </c>
      <c r="C3275" s="2" t="s">
        <v>95</v>
      </c>
      <c r="D3275" s="2" t="s">
        <v>10301</v>
      </c>
      <c r="E3275" s="2" t="s">
        <v>9761</v>
      </c>
      <c r="F3275" s="4">
        <v>7376</v>
      </c>
      <c r="G3275" s="2" t="s">
        <v>223</v>
      </c>
      <c r="H3275" s="2" t="s">
        <v>34</v>
      </c>
      <c r="I3275" s="2" t="s">
        <v>10302</v>
      </c>
      <c r="J3275" s="2" t="s">
        <v>10303</v>
      </c>
      <c r="K3275" s="2" t="s">
        <v>137</v>
      </c>
      <c r="L3275" s="2" t="s">
        <v>34</v>
      </c>
      <c r="M3275" s="7">
        <v>7.782</v>
      </c>
      <c r="N3275" s="4">
        <v>2</v>
      </c>
      <c r="O3275" s="6">
        <v>1.75</v>
      </c>
      <c r="P3275" s="2" t="s">
        <v>10304</v>
      </c>
      <c r="Q3275" s="6">
        <v>100</v>
      </c>
      <c r="R3275" s="2"/>
      <c r="S3275" s="2"/>
      <c r="T3275" s="2"/>
      <c r="U3275" s="2"/>
      <c r="V3275" s="2"/>
      <c r="W3275" s="7">
        <v>1.5629999999999999</v>
      </c>
      <c r="X3275" s="7">
        <v>2.0630000000000002</v>
      </c>
      <c r="Y3275" s="4">
        <v>2</v>
      </c>
      <c r="Z3275" s="6">
        <v>1.75</v>
      </c>
      <c r="AA3275" s="2"/>
      <c r="AB3275" s="2" t="s">
        <v>47</v>
      </c>
      <c r="AC3275" s="2"/>
    </row>
    <row r="3276" spans="1:29" ht="156" x14ac:dyDescent="0.15">
      <c r="A3276" s="3">
        <f t="shared" ref="A3276:A3284" si="37">DATE(1997,8,14)</f>
        <v>35656</v>
      </c>
      <c r="B3276" s="3">
        <f>DATE(1997,12,31)</f>
        <v>35795</v>
      </c>
      <c r="C3276" s="2" t="s">
        <v>95</v>
      </c>
      <c r="D3276" s="2" t="s">
        <v>10305</v>
      </c>
      <c r="E3276" s="2" t="s">
        <v>10306</v>
      </c>
      <c r="F3276" s="4">
        <v>6282</v>
      </c>
      <c r="G3276" s="2" t="s">
        <v>53</v>
      </c>
      <c r="H3276" s="2" t="s">
        <v>34</v>
      </c>
      <c r="I3276" s="2" t="s">
        <v>10307</v>
      </c>
      <c r="J3276" s="2" t="s">
        <v>10308</v>
      </c>
      <c r="K3276" s="2" t="s">
        <v>53</v>
      </c>
      <c r="L3276" s="2" t="s">
        <v>34</v>
      </c>
      <c r="M3276" s="7">
        <v>82.222999999999999</v>
      </c>
      <c r="N3276" s="6">
        <v>16.25</v>
      </c>
      <c r="O3276" s="6">
        <v>15.75</v>
      </c>
      <c r="P3276" s="2" t="s">
        <v>10309</v>
      </c>
      <c r="Q3276" s="6">
        <v>100</v>
      </c>
      <c r="R3276" s="6">
        <v>5.04</v>
      </c>
      <c r="S3276" s="5">
        <v>2.8</v>
      </c>
      <c r="T3276" s="7">
        <v>5.1550000000000002</v>
      </c>
      <c r="U3276" s="5">
        <v>1.4</v>
      </c>
      <c r="V3276" s="7">
        <v>0.28599999999999998</v>
      </c>
      <c r="W3276" s="7">
        <v>4.8129999999999997</v>
      </c>
      <c r="X3276" s="7">
        <v>4.5629999999999997</v>
      </c>
      <c r="Y3276" s="6">
        <v>4.75</v>
      </c>
      <c r="Z3276" s="7">
        <v>4.5629999999999997</v>
      </c>
      <c r="AA3276" s="6">
        <v>9.14</v>
      </c>
      <c r="AB3276" s="7">
        <v>9.3610000000000007</v>
      </c>
      <c r="AC3276" s="2"/>
    </row>
    <row r="3277" spans="1:29" ht="156" x14ac:dyDescent="0.15">
      <c r="A3277" s="3">
        <f t="shared" si="37"/>
        <v>35656</v>
      </c>
      <c r="B3277" s="3">
        <f>DATE(1997,12,31)</f>
        <v>35795</v>
      </c>
      <c r="C3277" s="2" t="s">
        <v>95</v>
      </c>
      <c r="D3277" s="2" t="s">
        <v>10310</v>
      </c>
      <c r="E3277" s="2" t="s">
        <v>10311</v>
      </c>
      <c r="F3277" s="4">
        <v>6798</v>
      </c>
      <c r="G3277" s="2" t="s">
        <v>53</v>
      </c>
      <c r="H3277" s="2" t="s">
        <v>34</v>
      </c>
      <c r="I3277" s="2" t="s">
        <v>10307</v>
      </c>
      <c r="J3277" s="2" t="s">
        <v>10308</v>
      </c>
      <c r="K3277" s="2" t="s">
        <v>53</v>
      </c>
      <c r="L3277" s="2" t="s">
        <v>34</v>
      </c>
      <c r="M3277" s="7">
        <v>82.222999999999999</v>
      </c>
      <c r="N3277" s="6">
        <v>16.25</v>
      </c>
      <c r="O3277" s="6">
        <v>15.75</v>
      </c>
      <c r="P3277" s="2" t="s">
        <v>10312</v>
      </c>
      <c r="Q3277" s="6">
        <v>100</v>
      </c>
      <c r="R3277" s="6">
        <v>26</v>
      </c>
      <c r="S3277" s="5">
        <v>27.9</v>
      </c>
      <c r="T3277" s="7">
        <v>26.074000000000002</v>
      </c>
      <c r="U3277" s="5">
        <v>14.7</v>
      </c>
      <c r="V3277" s="6">
        <v>1.99</v>
      </c>
      <c r="W3277" s="7">
        <v>24.125</v>
      </c>
      <c r="X3277" s="9">
        <v>24.1875</v>
      </c>
      <c r="Y3277" s="4">
        <v>24</v>
      </c>
      <c r="Z3277" s="7">
        <v>24.125</v>
      </c>
      <c r="AA3277" s="6">
        <v>14.49</v>
      </c>
      <c r="AB3277" s="7">
        <v>20.526</v>
      </c>
      <c r="AC3277" s="2"/>
    </row>
    <row r="3278" spans="1:29" ht="156" x14ac:dyDescent="0.15">
      <c r="A3278" s="3">
        <f t="shared" si="37"/>
        <v>35656</v>
      </c>
      <c r="B3278" s="3">
        <f>DATE(1997,12,31)</f>
        <v>35795</v>
      </c>
      <c r="C3278" s="2" t="s">
        <v>95</v>
      </c>
      <c r="D3278" s="2" t="s">
        <v>10313</v>
      </c>
      <c r="E3278" s="2" t="s">
        <v>10314</v>
      </c>
      <c r="F3278" s="4">
        <v>6141</v>
      </c>
      <c r="G3278" s="2" t="s">
        <v>370</v>
      </c>
      <c r="H3278" s="2" t="s">
        <v>34</v>
      </c>
      <c r="I3278" s="2" t="s">
        <v>10307</v>
      </c>
      <c r="J3278" s="2" t="s">
        <v>10308</v>
      </c>
      <c r="K3278" s="2" t="s">
        <v>53</v>
      </c>
      <c r="L3278" s="2" t="s">
        <v>34</v>
      </c>
      <c r="M3278" s="7">
        <v>82.222999999999999</v>
      </c>
      <c r="N3278" s="6">
        <v>16.25</v>
      </c>
      <c r="O3278" s="6">
        <v>15.75</v>
      </c>
      <c r="P3278" s="2" t="s">
        <v>10315</v>
      </c>
      <c r="Q3278" s="6">
        <v>100</v>
      </c>
      <c r="R3278" s="6">
        <v>17.39</v>
      </c>
      <c r="S3278" s="5">
        <v>12</v>
      </c>
      <c r="T3278" s="7">
        <v>8.1690000000000005</v>
      </c>
      <c r="U3278" s="5">
        <v>8.6</v>
      </c>
      <c r="V3278" s="7">
        <v>1.597</v>
      </c>
      <c r="W3278" s="7">
        <v>16.125</v>
      </c>
      <c r="X3278" s="7">
        <v>16.125</v>
      </c>
      <c r="Y3278" s="6">
        <v>16.25</v>
      </c>
      <c r="Z3278" s="5">
        <v>16.5</v>
      </c>
      <c r="AA3278" s="6">
        <v>7.34</v>
      </c>
      <c r="AB3278" s="7">
        <v>17.677</v>
      </c>
      <c r="AC3278" s="2"/>
    </row>
    <row r="3279" spans="1:29" ht="156" x14ac:dyDescent="0.15">
      <c r="A3279" s="3">
        <f t="shared" si="37"/>
        <v>35656</v>
      </c>
      <c r="B3279" s="3">
        <f>DATE(1997,12,31)</f>
        <v>35795</v>
      </c>
      <c r="C3279" s="2" t="s">
        <v>95</v>
      </c>
      <c r="D3279" s="2" t="s">
        <v>868</v>
      </c>
      <c r="E3279" s="2" t="s">
        <v>869</v>
      </c>
      <c r="F3279" s="4">
        <v>6726</v>
      </c>
      <c r="G3279" s="2" t="s">
        <v>53</v>
      </c>
      <c r="H3279" s="2" t="s">
        <v>34</v>
      </c>
      <c r="I3279" s="2" t="s">
        <v>10307</v>
      </c>
      <c r="J3279" s="2" t="s">
        <v>10308</v>
      </c>
      <c r="K3279" s="2" t="s">
        <v>53</v>
      </c>
      <c r="L3279" s="2" t="s">
        <v>34</v>
      </c>
      <c r="M3279" s="7">
        <v>82.222999999999999</v>
      </c>
      <c r="N3279" s="6">
        <v>16.25</v>
      </c>
      <c r="O3279" s="6">
        <v>15.75</v>
      </c>
      <c r="P3279" s="2" t="s">
        <v>10316</v>
      </c>
      <c r="Q3279" s="6">
        <v>100</v>
      </c>
      <c r="R3279" s="6">
        <v>22.75</v>
      </c>
      <c r="S3279" s="5">
        <v>11.6</v>
      </c>
      <c r="T3279" s="7">
        <v>8.9260000000000002</v>
      </c>
      <c r="U3279" s="5">
        <v>13.9</v>
      </c>
      <c r="V3279" s="7">
        <v>1.478</v>
      </c>
      <c r="W3279" s="5">
        <v>21.5</v>
      </c>
      <c r="X3279" s="5">
        <v>21.5</v>
      </c>
      <c r="Y3279" s="6">
        <v>21.25</v>
      </c>
      <c r="Z3279" s="6">
        <v>21.25</v>
      </c>
      <c r="AA3279" s="6">
        <v>7.6</v>
      </c>
      <c r="AB3279" s="7">
        <v>16.425999999999998</v>
      </c>
      <c r="AC3279" s="2"/>
    </row>
    <row r="3280" spans="1:29" ht="104" x14ac:dyDescent="0.15">
      <c r="A3280" s="3">
        <f t="shared" si="37"/>
        <v>35656</v>
      </c>
      <c r="B3280" s="3">
        <f>DATE(1997,9,16)</f>
        <v>35689</v>
      </c>
      <c r="C3280" s="2" t="s">
        <v>95</v>
      </c>
      <c r="D3280" s="2" t="s">
        <v>10317</v>
      </c>
      <c r="E3280" s="2" t="s">
        <v>10318</v>
      </c>
      <c r="F3280" s="4">
        <v>5122</v>
      </c>
      <c r="G3280" s="2" t="s">
        <v>593</v>
      </c>
      <c r="H3280" s="2" t="s">
        <v>34</v>
      </c>
      <c r="I3280" s="2" t="s">
        <v>10319</v>
      </c>
      <c r="J3280" s="2" t="s">
        <v>10320</v>
      </c>
      <c r="K3280" s="2" t="s">
        <v>73</v>
      </c>
      <c r="L3280" s="2" t="s">
        <v>34</v>
      </c>
      <c r="M3280" s="12">
        <v>2402.2759999999998</v>
      </c>
      <c r="N3280" s="7">
        <v>28.437999999999999</v>
      </c>
      <c r="O3280" s="7">
        <v>28.125</v>
      </c>
      <c r="P3280" s="2" t="s">
        <v>10321</v>
      </c>
      <c r="Q3280" s="6">
        <v>94.86</v>
      </c>
      <c r="R3280" s="6">
        <v>18</v>
      </c>
      <c r="S3280" s="5">
        <v>-0.5</v>
      </c>
      <c r="T3280" s="7">
        <v>2.1850000000000001</v>
      </c>
      <c r="U3280" s="5">
        <v>7.8</v>
      </c>
      <c r="V3280" s="7">
        <v>-0.182</v>
      </c>
      <c r="W3280" s="5">
        <v>15.5</v>
      </c>
      <c r="X3280" s="7">
        <v>17.562999999999999</v>
      </c>
      <c r="Y3280" s="6">
        <v>17.75</v>
      </c>
      <c r="Z3280" s="7">
        <v>17.812999999999999</v>
      </c>
      <c r="AA3280" s="6">
        <v>12.19</v>
      </c>
      <c r="AB3280" s="7">
        <v>276.40100000000001</v>
      </c>
      <c r="AC3280" s="6">
        <v>216.52</v>
      </c>
    </row>
    <row r="3281" spans="1:29" ht="91" x14ac:dyDescent="0.15">
      <c r="A3281" s="3">
        <f t="shared" si="37"/>
        <v>35656</v>
      </c>
      <c r="B3281" s="3">
        <f>DATE(1997,9,24)</f>
        <v>35697</v>
      </c>
      <c r="C3281" s="2" t="s">
        <v>95</v>
      </c>
      <c r="D3281" s="2" t="s">
        <v>10322</v>
      </c>
      <c r="E3281" s="2" t="s">
        <v>10323</v>
      </c>
      <c r="F3281" s="4">
        <v>8099</v>
      </c>
      <c r="G3281" s="2" t="s">
        <v>454</v>
      </c>
      <c r="H3281" s="2" t="s">
        <v>34</v>
      </c>
      <c r="I3281" s="2" t="s">
        <v>9167</v>
      </c>
      <c r="J3281" s="2" t="s">
        <v>9168</v>
      </c>
      <c r="K3281" s="2" t="s">
        <v>454</v>
      </c>
      <c r="L3281" s="2" t="s">
        <v>34</v>
      </c>
      <c r="M3281" s="12">
        <v>4525.9639999999999</v>
      </c>
      <c r="N3281" s="7">
        <v>22.937999999999999</v>
      </c>
      <c r="O3281" s="4">
        <v>22</v>
      </c>
      <c r="P3281" s="2" t="s">
        <v>10324</v>
      </c>
      <c r="Q3281" s="6">
        <v>100</v>
      </c>
      <c r="R3281" s="6">
        <v>63</v>
      </c>
      <c r="S3281" s="2"/>
      <c r="T3281" s="2"/>
      <c r="U3281" s="2"/>
      <c r="V3281" s="2"/>
      <c r="W3281" s="4">
        <v>53</v>
      </c>
      <c r="X3281" s="4">
        <v>57</v>
      </c>
      <c r="Y3281" s="7">
        <v>62.375</v>
      </c>
      <c r="Z3281" s="6">
        <v>62.25</v>
      </c>
      <c r="AA3281" s="6">
        <v>3</v>
      </c>
      <c r="AB3281" s="2" t="s">
        <v>47</v>
      </c>
      <c r="AC3281" s="6">
        <v>123.78</v>
      </c>
    </row>
    <row r="3282" spans="1:29" ht="117" x14ac:dyDescent="0.15">
      <c r="A3282" s="3">
        <f t="shared" si="37"/>
        <v>35656</v>
      </c>
      <c r="B3282" s="3">
        <f>DATE(1997,12,18)</f>
        <v>35782</v>
      </c>
      <c r="C3282" s="2" t="s">
        <v>95</v>
      </c>
      <c r="D3282" s="2" t="s">
        <v>10325</v>
      </c>
      <c r="E3282" s="2" t="s">
        <v>10326</v>
      </c>
      <c r="F3282" s="4">
        <v>3661</v>
      </c>
      <c r="G3282" s="2" t="s">
        <v>921</v>
      </c>
      <c r="H3282" s="2" t="s">
        <v>34</v>
      </c>
      <c r="I3282" s="2" t="s">
        <v>10327</v>
      </c>
      <c r="J3282" s="2" t="s">
        <v>10328</v>
      </c>
      <c r="K3282" s="2" t="s">
        <v>223</v>
      </c>
      <c r="L3282" s="2" t="s">
        <v>34</v>
      </c>
      <c r="M3282" s="7">
        <v>50.116</v>
      </c>
      <c r="N3282" s="5">
        <v>6.5</v>
      </c>
      <c r="O3282" s="7">
        <v>7.125</v>
      </c>
      <c r="P3282" s="2" t="s">
        <v>10329</v>
      </c>
      <c r="Q3282" s="6">
        <v>100</v>
      </c>
      <c r="R3282" s="6">
        <v>6.56</v>
      </c>
      <c r="S3282" s="5">
        <v>0.5</v>
      </c>
      <c r="T3282" s="7">
        <v>2.1339999999999999</v>
      </c>
      <c r="U3282" s="5">
        <v>2.8</v>
      </c>
      <c r="V3282" s="6">
        <v>0.11</v>
      </c>
      <c r="W3282" s="7">
        <v>6.125</v>
      </c>
      <c r="X3282" s="7">
        <v>6.875</v>
      </c>
      <c r="Y3282" s="4">
        <v>6</v>
      </c>
      <c r="Z3282" s="7">
        <v>6.375</v>
      </c>
      <c r="AA3282" s="6">
        <v>4.71</v>
      </c>
      <c r="AB3282" s="7">
        <v>31.599</v>
      </c>
      <c r="AC3282" s="6">
        <v>1.01</v>
      </c>
    </row>
    <row r="3283" spans="1:29" ht="52" x14ac:dyDescent="0.15">
      <c r="A3283" s="3">
        <f t="shared" si="37"/>
        <v>35656</v>
      </c>
      <c r="B3283" s="3">
        <f>DATE(1997,12,29)</f>
        <v>35793</v>
      </c>
      <c r="C3283" s="2" t="s">
        <v>95</v>
      </c>
      <c r="D3283" s="2" t="s">
        <v>10330</v>
      </c>
      <c r="E3283" s="2" t="s">
        <v>10331</v>
      </c>
      <c r="F3283" s="4">
        <v>5947</v>
      </c>
      <c r="G3283" s="2" t="s">
        <v>73</v>
      </c>
      <c r="H3283" s="2" t="s">
        <v>34</v>
      </c>
      <c r="I3283" s="2" t="s">
        <v>10332</v>
      </c>
      <c r="J3283" s="2" t="s">
        <v>244</v>
      </c>
      <c r="K3283" s="2" t="s">
        <v>53</v>
      </c>
      <c r="L3283" s="2" t="s">
        <v>34</v>
      </c>
      <c r="M3283" s="2"/>
      <c r="N3283" s="2"/>
      <c r="O3283" s="2"/>
      <c r="P3283" s="2" t="s">
        <v>10333</v>
      </c>
      <c r="Q3283" s="6">
        <v>100</v>
      </c>
      <c r="R3283" s="6">
        <v>25</v>
      </c>
      <c r="S3283" s="5">
        <v>11.5</v>
      </c>
      <c r="T3283" s="7">
        <v>25.306999999999999</v>
      </c>
      <c r="U3283" s="5">
        <v>6.4</v>
      </c>
      <c r="V3283" s="9">
        <v>0.93330000000000002</v>
      </c>
      <c r="W3283" s="7">
        <v>19.875</v>
      </c>
      <c r="X3283" s="7">
        <v>20.375</v>
      </c>
      <c r="Y3283" s="4">
        <v>22</v>
      </c>
      <c r="Z3283" s="6">
        <v>22.25</v>
      </c>
      <c r="AA3283" s="6">
        <v>11.95</v>
      </c>
      <c r="AB3283" s="7">
        <v>14.332000000000001</v>
      </c>
      <c r="AC3283" s="2"/>
    </row>
    <row r="3284" spans="1:29" ht="169" x14ac:dyDescent="0.15">
      <c r="A3284" s="3">
        <f t="shared" si="37"/>
        <v>35656</v>
      </c>
      <c r="B3284" s="3">
        <f>DATE(1997,12,5)</f>
        <v>35769</v>
      </c>
      <c r="C3284" s="2" t="s">
        <v>95</v>
      </c>
      <c r="D3284" s="2" t="s">
        <v>10334</v>
      </c>
      <c r="E3284" s="2" t="s">
        <v>5291</v>
      </c>
      <c r="F3284" s="4">
        <v>7363</v>
      </c>
      <c r="G3284" s="2" t="s">
        <v>223</v>
      </c>
      <c r="H3284" s="2" t="s">
        <v>34</v>
      </c>
      <c r="I3284" s="2" t="s">
        <v>10335</v>
      </c>
      <c r="J3284" s="2" t="s">
        <v>10336</v>
      </c>
      <c r="K3284" s="2" t="s">
        <v>223</v>
      </c>
      <c r="L3284" s="2" t="s">
        <v>34</v>
      </c>
      <c r="M3284" s="7">
        <v>91.753</v>
      </c>
      <c r="N3284" s="5">
        <v>7.5</v>
      </c>
      <c r="O3284" s="7">
        <v>7.4379999999999997</v>
      </c>
      <c r="P3284" s="2" t="s">
        <v>10337</v>
      </c>
      <c r="Q3284" s="6">
        <v>100</v>
      </c>
      <c r="R3284" s="6">
        <v>32.24</v>
      </c>
      <c r="S3284" s="5">
        <v>3.7</v>
      </c>
      <c r="T3284" s="7">
        <v>9.4139999999999997</v>
      </c>
      <c r="U3284" s="5">
        <v>4.7</v>
      </c>
      <c r="V3284" s="6">
        <v>1.1299999999999999</v>
      </c>
      <c r="W3284" s="7">
        <v>23.437999999999999</v>
      </c>
      <c r="X3284" s="7">
        <v>23.437999999999999</v>
      </c>
      <c r="Y3284" s="7">
        <v>29.937999999999999</v>
      </c>
      <c r="Z3284" s="6">
        <v>29.75</v>
      </c>
      <c r="AA3284" s="6">
        <v>3.03</v>
      </c>
      <c r="AB3284" s="7">
        <v>15.31</v>
      </c>
      <c r="AC3284" s="6">
        <v>3.61</v>
      </c>
    </row>
    <row r="3285" spans="1:29" ht="130" x14ac:dyDescent="0.15">
      <c r="A3285" s="3">
        <f>DATE(1997,8,15)</f>
        <v>35657</v>
      </c>
      <c r="B3285" s="3">
        <f>DATE(1998,3,27)</f>
        <v>35881</v>
      </c>
      <c r="C3285" s="2" t="s">
        <v>95</v>
      </c>
      <c r="D3285" s="2" t="s">
        <v>10338</v>
      </c>
      <c r="E3285" s="2" t="s">
        <v>36</v>
      </c>
      <c r="F3285" s="4">
        <v>6021</v>
      </c>
      <c r="G3285" s="2" t="s">
        <v>37</v>
      </c>
      <c r="H3285" s="2" t="s">
        <v>34</v>
      </c>
      <c r="I3285" s="2" t="s">
        <v>4525</v>
      </c>
      <c r="J3285" s="2" t="s">
        <v>36</v>
      </c>
      <c r="K3285" s="2" t="s">
        <v>37</v>
      </c>
      <c r="L3285" s="2" t="s">
        <v>34</v>
      </c>
      <c r="M3285" s="12">
        <v>1081.816</v>
      </c>
      <c r="N3285" s="5">
        <v>27.5</v>
      </c>
      <c r="O3285" s="4">
        <v>28</v>
      </c>
      <c r="P3285" s="2" t="s">
        <v>10339</v>
      </c>
      <c r="Q3285" s="6">
        <v>100</v>
      </c>
      <c r="R3285" s="6">
        <v>52.84</v>
      </c>
      <c r="S3285" s="5">
        <v>8.6999999999999993</v>
      </c>
      <c r="T3285" s="7">
        <v>14.013</v>
      </c>
      <c r="U3285" s="5">
        <v>15.3</v>
      </c>
      <c r="V3285" s="6">
        <v>2.15</v>
      </c>
      <c r="W3285" s="6">
        <v>35.25</v>
      </c>
      <c r="X3285" s="6">
        <v>36.75</v>
      </c>
      <c r="Y3285" s="6">
        <v>47.75</v>
      </c>
      <c r="Z3285" s="5">
        <v>48.5</v>
      </c>
      <c r="AA3285" s="6">
        <v>3.95</v>
      </c>
      <c r="AB3285" s="7">
        <v>18.744</v>
      </c>
      <c r="AC3285" s="2"/>
    </row>
    <row r="3286" spans="1:29" ht="52" x14ac:dyDescent="0.15">
      <c r="A3286" s="3">
        <f>DATE(1997,8,15)</f>
        <v>35657</v>
      </c>
      <c r="B3286" s="3">
        <f>DATE(1997,10,9)</f>
        <v>35712</v>
      </c>
      <c r="C3286" s="2" t="s">
        <v>95</v>
      </c>
      <c r="D3286" s="2" t="s">
        <v>10340</v>
      </c>
      <c r="E3286" s="2" t="s">
        <v>10341</v>
      </c>
      <c r="F3286" s="4">
        <v>7375</v>
      </c>
      <c r="G3286" s="2" t="s">
        <v>223</v>
      </c>
      <c r="H3286" s="2" t="s">
        <v>34</v>
      </c>
      <c r="I3286" s="2" t="s">
        <v>10342</v>
      </c>
      <c r="J3286" s="2" t="s">
        <v>1032</v>
      </c>
      <c r="K3286" s="2" t="s">
        <v>53</v>
      </c>
      <c r="L3286" s="2" t="s">
        <v>34</v>
      </c>
      <c r="M3286" s="2"/>
      <c r="N3286" s="2"/>
      <c r="O3286" s="2"/>
      <c r="P3286" s="2" t="s">
        <v>10343</v>
      </c>
      <c r="Q3286" s="6">
        <v>85.37</v>
      </c>
      <c r="R3286" s="6">
        <v>40.5</v>
      </c>
      <c r="S3286" s="5">
        <v>5.8</v>
      </c>
      <c r="T3286" s="7">
        <v>14.712</v>
      </c>
      <c r="U3286" s="5">
        <v>11.8</v>
      </c>
      <c r="V3286" s="7">
        <v>1.647</v>
      </c>
      <c r="W3286" s="7">
        <v>38.625</v>
      </c>
      <c r="X3286" s="6">
        <v>38.75</v>
      </c>
      <c r="Y3286" s="7">
        <v>38.875</v>
      </c>
      <c r="Z3286" s="6">
        <v>39.75</v>
      </c>
      <c r="AA3286" s="6">
        <v>3.33</v>
      </c>
      <c r="AB3286" s="7">
        <v>13.56</v>
      </c>
      <c r="AC3286" s="2"/>
    </row>
    <row r="3287" spans="1:29" ht="117" x14ac:dyDescent="0.15">
      <c r="A3287" s="3">
        <f>DATE(1997,8,18)</f>
        <v>35660</v>
      </c>
      <c r="B3287" s="3">
        <f>DATE(1998,4,23)</f>
        <v>35908</v>
      </c>
      <c r="C3287" s="2" t="s">
        <v>95</v>
      </c>
      <c r="D3287" s="2" t="s">
        <v>10344</v>
      </c>
      <c r="E3287" s="2" t="s">
        <v>36</v>
      </c>
      <c r="F3287" s="4">
        <v>6035</v>
      </c>
      <c r="G3287" s="2" t="s">
        <v>33</v>
      </c>
      <c r="H3287" s="2" t="s">
        <v>34</v>
      </c>
      <c r="I3287" s="2" t="s">
        <v>10345</v>
      </c>
      <c r="J3287" s="2" t="s">
        <v>10346</v>
      </c>
      <c r="K3287" s="2" t="s">
        <v>33</v>
      </c>
      <c r="L3287" s="2" t="s">
        <v>34</v>
      </c>
      <c r="M3287" s="12">
        <v>1358.2619999999999</v>
      </c>
      <c r="N3287" s="7">
        <v>28.187999999999999</v>
      </c>
      <c r="O3287" s="7">
        <v>28.125</v>
      </c>
      <c r="P3287" s="2" t="s">
        <v>10347</v>
      </c>
      <c r="Q3287" s="6">
        <v>100</v>
      </c>
      <c r="R3287" s="6">
        <v>34.43</v>
      </c>
      <c r="S3287" s="5">
        <v>11.3</v>
      </c>
      <c r="T3287" s="7">
        <v>14.781000000000001</v>
      </c>
      <c r="U3287" s="5">
        <v>20.9</v>
      </c>
      <c r="V3287" s="7">
        <v>1.921</v>
      </c>
      <c r="W3287" s="6">
        <v>34.25</v>
      </c>
      <c r="X3287" s="4">
        <v>34</v>
      </c>
      <c r="Y3287" s="7">
        <v>33.375</v>
      </c>
      <c r="Z3287" s="5">
        <v>33.5</v>
      </c>
      <c r="AA3287" s="6">
        <v>5.73</v>
      </c>
      <c r="AB3287" s="7">
        <v>163.84100000000001</v>
      </c>
      <c r="AC3287" s="2"/>
    </row>
    <row r="3288" spans="1:29" ht="26" x14ac:dyDescent="0.15">
      <c r="A3288" s="3">
        <f>DATE(1997,8,18)</f>
        <v>35660</v>
      </c>
      <c r="B3288" s="2"/>
      <c r="C3288" s="2" t="s">
        <v>189</v>
      </c>
      <c r="D3288" s="2" t="s">
        <v>10348</v>
      </c>
      <c r="E3288" s="2" t="s">
        <v>612</v>
      </c>
      <c r="F3288" s="4">
        <v>1311</v>
      </c>
      <c r="G3288" s="2" t="s">
        <v>148</v>
      </c>
      <c r="H3288" s="2" t="s">
        <v>34</v>
      </c>
      <c r="I3288" s="2" t="s">
        <v>143</v>
      </c>
      <c r="J3288" s="2" t="s">
        <v>144</v>
      </c>
      <c r="K3288" s="2" t="s">
        <v>53</v>
      </c>
      <c r="L3288" s="2" t="s">
        <v>139</v>
      </c>
      <c r="M3288" s="2"/>
      <c r="N3288" s="2"/>
      <c r="O3288" s="2"/>
      <c r="P3288" s="2" t="s">
        <v>10349</v>
      </c>
      <c r="Q3288" s="2"/>
      <c r="R3288" s="2"/>
      <c r="S3288" s="5">
        <v>-6.7</v>
      </c>
      <c r="T3288" s="7">
        <v>-3.802</v>
      </c>
      <c r="U3288" s="5">
        <v>0.4</v>
      </c>
      <c r="V3288" s="7">
        <v>-0.78900000000000003</v>
      </c>
      <c r="W3288" s="5">
        <v>1.5</v>
      </c>
      <c r="X3288" s="7">
        <v>1.3129999999999999</v>
      </c>
      <c r="Y3288" s="4">
        <v>1</v>
      </c>
      <c r="Z3288" s="11">
        <v>0.71875</v>
      </c>
      <c r="AA3288" s="6">
        <v>9.8699999999999992</v>
      </c>
      <c r="AB3288" s="2" t="s">
        <v>86</v>
      </c>
      <c r="AC3288" s="2"/>
    </row>
    <row r="3289" spans="1:29" ht="156" x14ac:dyDescent="0.15">
      <c r="A3289" s="3">
        <f>DATE(1997,8,18)</f>
        <v>35660</v>
      </c>
      <c r="B3289" s="3">
        <f>DATE(1997,12,19)</f>
        <v>35783</v>
      </c>
      <c r="C3289" s="2" t="s">
        <v>95</v>
      </c>
      <c r="D3289" s="2" t="s">
        <v>10350</v>
      </c>
      <c r="E3289" s="2" t="s">
        <v>10351</v>
      </c>
      <c r="F3289" s="4">
        <v>6022</v>
      </c>
      <c r="G3289" s="2" t="s">
        <v>37</v>
      </c>
      <c r="H3289" s="2" t="s">
        <v>34</v>
      </c>
      <c r="I3289" s="2" t="s">
        <v>10352</v>
      </c>
      <c r="J3289" s="2" t="s">
        <v>5900</v>
      </c>
      <c r="K3289" s="2" t="s">
        <v>33</v>
      </c>
      <c r="L3289" s="2" t="s">
        <v>34</v>
      </c>
      <c r="M3289" s="7">
        <v>160.334</v>
      </c>
      <c r="N3289" s="7">
        <v>29.875</v>
      </c>
      <c r="O3289" s="7">
        <v>30.125</v>
      </c>
      <c r="P3289" s="2" t="s">
        <v>10353</v>
      </c>
      <c r="Q3289" s="6">
        <v>100</v>
      </c>
      <c r="R3289" s="6">
        <v>22.2</v>
      </c>
      <c r="S3289" s="5">
        <v>2.7</v>
      </c>
      <c r="T3289" s="2"/>
      <c r="U3289" s="5">
        <v>9.8000000000000007</v>
      </c>
      <c r="V3289" s="6">
        <v>1.47</v>
      </c>
      <c r="W3289" s="7">
        <v>20.125</v>
      </c>
      <c r="X3289" s="4">
        <v>20</v>
      </c>
      <c r="Y3289" s="6">
        <v>21.25</v>
      </c>
      <c r="Z3289" s="4">
        <v>21</v>
      </c>
      <c r="AA3289" s="6">
        <v>1.83</v>
      </c>
      <c r="AB3289" s="7">
        <v>80.545000000000002</v>
      </c>
      <c r="AC3289" s="2"/>
    </row>
    <row r="3290" spans="1:29" ht="78" x14ac:dyDescent="0.15">
      <c r="A3290" s="3">
        <f>DATE(1997,8,18)</f>
        <v>35660</v>
      </c>
      <c r="B3290" s="3">
        <f>DATE(1997,11,4)</f>
        <v>35738</v>
      </c>
      <c r="C3290" s="2" t="s">
        <v>95</v>
      </c>
      <c r="D3290" s="2" t="s">
        <v>9919</v>
      </c>
      <c r="E3290" s="2" t="s">
        <v>177</v>
      </c>
      <c r="F3290" s="4">
        <v>1311</v>
      </c>
      <c r="G3290" s="2" t="s">
        <v>148</v>
      </c>
      <c r="H3290" s="2" t="s">
        <v>34</v>
      </c>
      <c r="I3290" s="2" t="s">
        <v>10354</v>
      </c>
      <c r="J3290" s="2" t="s">
        <v>7557</v>
      </c>
      <c r="K3290" s="2" t="s">
        <v>148</v>
      </c>
      <c r="L3290" s="2" t="s">
        <v>34</v>
      </c>
      <c r="M3290" s="10">
        <v>29216.880000000001</v>
      </c>
      <c r="N3290" s="5">
        <v>111.5</v>
      </c>
      <c r="O3290" s="7">
        <v>113.875</v>
      </c>
      <c r="P3290" s="2" t="s">
        <v>10355</v>
      </c>
      <c r="Q3290" s="6">
        <v>100</v>
      </c>
      <c r="R3290" s="6">
        <v>21</v>
      </c>
      <c r="S3290" s="5">
        <v>54.8</v>
      </c>
      <c r="T3290" s="5">
        <v>144.30000000000001</v>
      </c>
      <c r="U3290" s="5">
        <v>3.2</v>
      </c>
      <c r="V3290" s="6">
        <v>1</v>
      </c>
      <c r="W3290" s="7">
        <v>15.063000000000001</v>
      </c>
      <c r="X3290" s="7">
        <v>15.063000000000001</v>
      </c>
      <c r="Y3290" s="7">
        <v>20.375</v>
      </c>
      <c r="Z3290" s="7">
        <v>20.405999999999999</v>
      </c>
      <c r="AA3290" s="6">
        <v>54.78</v>
      </c>
      <c r="AB3290" s="7">
        <v>12.307</v>
      </c>
      <c r="AC3290" s="5">
        <v>552</v>
      </c>
    </row>
    <row r="3291" spans="1:29" ht="78" x14ac:dyDescent="0.15">
      <c r="A3291" s="3">
        <f>DATE(1997,8,18)</f>
        <v>35660</v>
      </c>
      <c r="B3291" s="3">
        <f>DATE(1997,12,18)</f>
        <v>35782</v>
      </c>
      <c r="C3291" s="2" t="s">
        <v>95</v>
      </c>
      <c r="D3291" s="2" t="s">
        <v>10356</v>
      </c>
      <c r="E3291" s="2" t="s">
        <v>10357</v>
      </c>
      <c r="F3291" s="4">
        <v>3531</v>
      </c>
      <c r="G3291" s="2" t="s">
        <v>300</v>
      </c>
      <c r="H3291" s="2" t="s">
        <v>34</v>
      </c>
      <c r="I3291" s="2" t="s">
        <v>10358</v>
      </c>
      <c r="J3291" s="2" t="s">
        <v>10357</v>
      </c>
      <c r="K3291" s="2" t="s">
        <v>300</v>
      </c>
      <c r="L3291" s="2" t="s">
        <v>34</v>
      </c>
      <c r="M3291" s="2"/>
      <c r="N3291" s="2"/>
      <c r="O3291" s="2"/>
      <c r="P3291" s="2" t="s">
        <v>10359</v>
      </c>
      <c r="Q3291" s="6">
        <v>100</v>
      </c>
      <c r="R3291" s="2"/>
      <c r="S3291" s="5">
        <v>-0.8</v>
      </c>
      <c r="T3291" s="7">
        <v>0.77900000000000003</v>
      </c>
      <c r="U3291" s="5">
        <v>4.0999999999999996</v>
      </c>
      <c r="V3291" s="7">
        <v>-0.40699999999999997</v>
      </c>
      <c r="W3291" s="7">
        <v>3.125</v>
      </c>
      <c r="X3291" s="5">
        <v>4.5</v>
      </c>
      <c r="Y3291" s="7">
        <v>4.4379999999999997</v>
      </c>
      <c r="Z3291" s="7">
        <v>4.375</v>
      </c>
      <c r="AA3291" s="6">
        <v>1.9</v>
      </c>
      <c r="AB3291" s="2" t="s">
        <v>86</v>
      </c>
      <c r="AC3291" s="2"/>
    </row>
    <row r="3292" spans="1:29" ht="65" x14ac:dyDescent="0.15">
      <c r="A3292" s="3">
        <f>DATE(1997,8,20)</f>
        <v>35662</v>
      </c>
      <c r="B3292" s="2"/>
      <c r="C3292" s="2" t="s">
        <v>7330</v>
      </c>
      <c r="D3292" s="2" t="s">
        <v>10360</v>
      </c>
      <c r="E3292" s="2" t="s">
        <v>10361</v>
      </c>
      <c r="F3292" s="4">
        <v>7379</v>
      </c>
      <c r="G3292" s="2" t="s">
        <v>223</v>
      </c>
      <c r="H3292" s="2" t="s">
        <v>34</v>
      </c>
      <c r="I3292" s="2" t="s">
        <v>10362</v>
      </c>
      <c r="J3292" s="2" t="s">
        <v>10363</v>
      </c>
      <c r="K3292" s="2" t="s">
        <v>454</v>
      </c>
      <c r="L3292" s="2" t="s">
        <v>34</v>
      </c>
      <c r="M3292" s="2"/>
      <c r="N3292" s="2"/>
      <c r="O3292" s="2"/>
      <c r="P3292" s="2" t="s">
        <v>10364</v>
      </c>
      <c r="Q3292" s="2"/>
      <c r="R3292" s="2"/>
      <c r="S3292" s="5">
        <v>-24.9</v>
      </c>
      <c r="T3292" s="7">
        <v>-20.431000000000001</v>
      </c>
      <c r="U3292" s="5">
        <v>42.3</v>
      </c>
      <c r="V3292" s="6">
        <v>-68.75</v>
      </c>
      <c r="W3292" s="5">
        <v>7.5</v>
      </c>
      <c r="X3292" s="7">
        <v>7.1879999999999997</v>
      </c>
      <c r="Y3292" s="7">
        <v>6.875</v>
      </c>
      <c r="Z3292" s="7">
        <v>6.875</v>
      </c>
      <c r="AA3292" s="6">
        <v>8.2100000000000009</v>
      </c>
      <c r="AB3292" s="2" t="s">
        <v>86</v>
      </c>
      <c r="AC3292" s="2"/>
    </row>
    <row r="3293" spans="1:29" ht="26" x14ac:dyDescent="0.15">
      <c r="A3293" s="3">
        <f>DATE(1997,8,20)</f>
        <v>35662</v>
      </c>
      <c r="B3293" s="2"/>
      <c r="C3293" s="2" t="s">
        <v>189</v>
      </c>
      <c r="D3293" s="2" t="s">
        <v>1901</v>
      </c>
      <c r="E3293" s="2" t="s">
        <v>1902</v>
      </c>
      <c r="F3293" s="4">
        <v>7993</v>
      </c>
      <c r="G3293" s="2" t="s">
        <v>364</v>
      </c>
      <c r="H3293" s="2" t="s">
        <v>34</v>
      </c>
      <c r="I3293" s="2" t="s">
        <v>143</v>
      </c>
      <c r="J3293" s="2" t="s">
        <v>144</v>
      </c>
      <c r="K3293" s="2" t="s">
        <v>53</v>
      </c>
      <c r="L3293" s="2" t="s">
        <v>139</v>
      </c>
      <c r="M3293" s="2"/>
      <c r="N3293" s="2"/>
      <c r="O3293" s="2"/>
      <c r="P3293" s="2" t="s">
        <v>10365</v>
      </c>
      <c r="Q3293" s="2"/>
      <c r="R3293" s="2"/>
      <c r="S3293" s="5">
        <v>-4.2</v>
      </c>
      <c r="T3293" s="7">
        <v>14.353</v>
      </c>
      <c r="U3293" s="5">
        <v>8.6</v>
      </c>
      <c r="V3293" s="6">
        <v>-0.33</v>
      </c>
      <c r="W3293" s="6">
        <v>17.75</v>
      </c>
      <c r="X3293" s="7">
        <v>17.375</v>
      </c>
      <c r="Y3293" s="6">
        <v>18.25</v>
      </c>
      <c r="Z3293" s="4">
        <v>18</v>
      </c>
      <c r="AA3293" s="6">
        <v>26.21</v>
      </c>
      <c r="AB3293" s="2" t="s">
        <v>47</v>
      </c>
      <c r="AC3293" s="2"/>
    </row>
    <row r="3294" spans="1:29" ht="104" x14ac:dyDescent="0.15">
      <c r="A3294" s="3">
        <f>DATE(1997,8,21)</f>
        <v>35663</v>
      </c>
      <c r="B3294" s="3">
        <f>DATE(1998,1,14)</f>
        <v>35809</v>
      </c>
      <c r="C3294" s="2" t="s">
        <v>95</v>
      </c>
      <c r="D3294" s="2" t="s">
        <v>10366</v>
      </c>
      <c r="E3294" s="2" t="s">
        <v>4620</v>
      </c>
      <c r="F3294" s="4">
        <v>3679</v>
      </c>
      <c r="G3294" s="2" t="s">
        <v>137</v>
      </c>
      <c r="H3294" s="2" t="s">
        <v>34</v>
      </c>
      <c r="I3294" s="2" t="s">
        <v>10367</v>
      </c>
      <c r="J3294" s="2" t="s">
        <v>10368</v>
      </c>
      <c r="K3294" s="2" t="s">
        <v>551</v>
      </c>
      <c r="L3294" s="2" t="s">
        <v>34</v>
      </c>
      <c r="M3294" s="12">
        <v>1244.722</v>
      </c>
      <c r="N3294" s="7">
        <v>47.625</v>
      </c>
      <c r="O3294" s="7">
        <v>47.375</v>
      </c>
      <c r="P3294" s="2" t="s">
        <v>10369</v>
      </c>
      <c r="Q3294" s="6">
        <v>100</v>
      </c>
      <c r="R3294" s="6">
        <v>31.53</v>
      </c>
      <c r="S3294" s="5">
        <v>14.1</v>
      </c>
      <c r="T3294" s="7">
        <v>30.492000000000001</v>
      </c>
      <c r="U3294" s="5">
        <v>3</v>
      </c>
      <c r="V3294" s="6">
        <v>0.51</v>
      </c>
      <c r="W3294" s="7">
        <v>27.125</v>
      </c>
      <c r="X3294" s="7">
        <v>31.625</v>
      </c>
      <c r="Y3294" s="7">
        <v>29.625</v>
      </c>
      <c r="Z3294" s="7">
        <v>29.875</v>
      </c>
      <c r="AA3294" s="6">
        <v>25.85</v>
      </c>
      <c r="AB3294" s="7">
        <v>38.441000000000003</v>
      </c>
      <c r="AC3294" s="6">
        <v>246.19</v>
      </c>
    </row>
    <row r="3295" spans="1:29" ht="117" x14ac:dyDescent="0.15">
      <c r="A3295" s="3">
        <f t="shared" ref="A3295:A3300" si="38">DATE(1997,8,25)</f>
        <v>35667</v>
      </c>
      <c r="B3295" s="3">
        <f>DATE(1997,10,21)</f>
        <v>35724</v>
      </c>
      <c r="C3295" s="2" t="s">
        <v>95</v>
      </c>
      <c r="D3295" s="2" t="s">
        <v>10370</v>
      </c>
      <c r="E3295" s="2" t="s">
        <v>10371</v>
      </c>
      <c r="F3295" s="4">
        <v>6141</v>
      </c>
      <c r="G3295" s="2" t="s">
        <v>370</v>
      </c>
      <c r="H3295" s="2" t="s">
        <v>34</v>
      </c>
      <c r="I3295" s="2" t="s">
        <v>10372</v>
      </c>
      <c r="J3295" s="2" t="s">
        <v>10373</v>
      </c>
      <c r="K3295" s="2" t="s">
        <v>370</v>
      </c>
      <c r="L3295" s="2" t="s">
        <v>34</v>
      </c>
      <c r="M3295" s="12">
        <v>12723.486999999999</v>
      </c>
      <c r="N3295" s="4">
        <v>115</v>
      </c>
      <c r="O3295" s="7">
        <v>111.938</v>
      </c>
      <c r="P3295" s="2" t="s">
        <v>10374</v>
      </c>
      <c r="Q3295" s="6">
        <v>100</v>
      </c>
      <c r="R3295" s="6">
        <v>21.39</v>
      </c>
      <c r="S3295" s="5">
        <v>6.4</v>
      </c>
      <c r="T3295" s="7">
        <v>-2.097</v>
      </c>
      <c r="U3295" s="5">
        <v>3.3</v>
      </c>
      <c r="V3295" s="7">
        <v>0.79600000000000004</v>
      </c>
      <c r="W3295" s="7">
        <v>15.875</v>
      </c>
      <c r="X3295" s="6">
        <v>15.75</v>
      </c>
      <c r="Y3295" s="7">
        <v>21.125</v>
      </c>
      <c r="Z3295" s="4">
        <v>21</v>
      </c>
      <c r="AA3295" s="6">
        <v>8.48</v>
      </c>
      <c r="AB3295" s="2" t="s">
        <v>86</v>
      </c>
      <c r="AC3295" s="5">
        <v>239.2</v>
      </c>
    </row>
    <row r="3296" spans="1:29" ht="143" x14ac:dyDescent="0.15">
      <c r="A3296" s="3">
        <f t="shared" si="38"/>
        <v>35667</v>
      </c>
      <c r="B3296" s="3">
        <f>DATE(1997,12,16)</f>
        <v>35780</v>
      </c>
      <c r="C3296" s="2" t="s">
        <v>95</v>
      </c>
      <c r="D3296" s="2" t="s">
        <v>5814</v>
      </c>
      <c r="E3296" s="2" t="s">
        <v>92</v>
      </c>
      <c r="F3296" s="4">
        <v>6798</v>
      </c>
      <c r="G3296" s="2" t="s">
        <v>53</v>
      </c>
      <c r="H3296" s="2" t="s">
        <v>34</v>
      </c>
      <c r="I3296" s="2" t="s">
        <v>10375</v>
      </c>
      <c r="J3296" s="2" t="s">
        <v>92</v>
      </c>
      <c r="K3296" s="2" t="s">
        <v>53</v>
      </c>
      <c r="L3296" s="2" t="s">
        <v>34</v>
      </c>
      <c r="M3296" s="12">
        <v>1825.7919999999999</v>
      </c>
      <c r="N3296" s="7">
        <v>68.313000000000002</v>
      </c>
      <c r="O3296" s="4">
        <v>69</v>
      </c>
      <c r="P3296" s="2" t="s">
        <v>10376</v>
      </c>
      <c r="Q3296" s="6">
        <v>100</v>
      </c>
      <c r="R3296" s="6">
        <v>10.5</v>
      </c>
      <c r="S3296" s="5">
        <v>2.1</v>
      </c>
      <c r="T3296" s="6">
        <v>8.58</v>
      </c>
      <c r="U3296" s="5">
        <v>1.5</v>
      </c>
      <c r="V3296" s="6">
        <v>0.18</v>
      </c>
      <c r="W3296" s="7">
        <v>8.1880000000000006</v>
      </c>
      <c r="X3296" s="7">
        <v>8.0630000000000006</v>
      </c>
      <c r="Y3296" s="4">
        <v>8</v>
      </c>
      <c r="Z3296" s="7">
        <v>7.875</v>
      </c>
      <c r="AA3296" s="6">
        <v>12.29</v>
      </c>
      <c r="AB3296" s="7">
        <v>62.006999999999998</v>
      </c>
      <c r="AC3296" s="6">
        <v>117.25</v>
      </c>
    </row>
    <row r="3297" spans="1:29" ht="143" x14ac:dyDescent="0.15">
      <c r="A3297" s="3">
        <f t="shared" si="38"/>
        <v>35667</v>
      </c>
      <c r="B3297" s="2"/>
      <c r="C3297" s="2" t="s">
        <v>30</v>
      </c>
      <c r="D3297" s="2" t="s">
        <v>3018</v>
      </c>
      <c r="E3297" s="2" t="s">
        <v>3019</v>
      </c>
      <c r="F3297" s="4">
        <v>5122</v>
      </c>
      <c r="G3297" s="2" t="s">
        <v>593</v>
      </c>
      <c r="H3297" s="2" t="s">
        <v>34</v>
      </c>
      <c r="I3297" s="2" t="s">
        <v>6702</v>
      </c>
      <c r="J3297" s="2" t="s">
        <v>6703</v>
      </c>
      <c r="K3297" s="2" t="s">
        <v>593</v>
      </c>
      <c r="L3297" s="2" t="s">
        <v>34</v>
      </c>
      <c r="M3297" s="12">
        <v>6769.741</v>
      </c>
      <c r="N3297" s="7">
        <v>65.563000000000002</v>
      </c>
      <c r="O3297" s="5">
        <v>64.5</v>
      </c>
      <c r="P3297" s="2" t="s">
        <v>10377</v>
      </c>
      <c r="Q3297" s="2"/>
      <c r="R3297" s="6">
        <v>48.29</v>
      </c>
      <c r="S3297" s="5">
        <v>73.5</v>
      </c>
      <c r="T3297" s="7">
        <v>193.82599999999999</v>
      </c>
      <c r="U3297" s="5">
        <v>5.8</v>
      </c>
      <c r="V3297" s="7">
        <v>0.73199999999999998</v>
      </c>
      <c r="W3297" s="6">
        <v>28.75</v>
      </c>
      <c r="X3297" s="7">
        <v>29.937999999999999</v>
      </c>
      <c r="Y3297" s="4">
        <v>42</v>
      </c>
      <c r="Z3297" s="4">
        <v>42</v>
      </c>
      <c r="AA3297" s="6">
        <v>50.39</v>
      </c>
      <c r="AB3297" s="7">
        <v>33.911999999999999</v>
      </c>
      <c r="AC3297" s="6">
        <v>243.06</v>
      </c>
    </row>
    <row r="3298" spans="1:29" ht="130" x14ac:dyDescent="0.15">
      <c r="A3298" s="3">
        <f t="shared" si="38"/>
        <v>35667</v>
      </c>
      <c r="B3298" s="3">
        <f>DATE(1997,10,3)</f>
        <v>35706</v>
      </c>
      <c r="C3298" s="2" t="s">
        <v>95</v>
      </c>
      <c r="D3298" s="2" t="s">
        <v>10378</v>
      </c>
      <c r="E3298" s="2" t="s">
        <v>10379</v>
      </c>
      <c r="F3298" s="4">
        <v>2835</v>
      </c>
      <c r="G3298" s="2" t="s">
        <v>130</v>
      </c>
      <c r="H3298" s="2" t="s">
        <v>34</v>
      </c>
      <c r="I3298" s="2" t="s">
        <v>10380</v>
      </c>
      <c r="J3298" s="2" t="s">
        <v>10381</v>
      </c>
      <c r="K3298" s="2" t="s">
        <v>98</v>
      </c>
      <c r="L3298" s="2" t="s">
        <v>34</v>
      </c>
      <c r="M3298" s="7">
        <v>573.524</v>
      </c>
      <c r="N3298" s="7">
        <v>47.875</v>
      </c>
      <c r="O3298" s="7">
        <v>48.438000000000002</v>
      </c>
      <c r="P3298" s="2" t="s">
        <v>10382</v>
      </c>
      <c r="Q3298" s="6">
        <v>100</v>
      </c>
      <c r="R3298" s="6">
        <v>11.63</v>
      </c>
      <c r="S3298" s="5">
        <v>0.8</v>
      </c>
      <c r="T3298" s="7">
        <v>11.647</v>
      </c>
      <c r="U3298" s="5">
        <v>4.3</v>
      </c>
      <c r="V3298" s="6">
        <v>0.08</v>
      </c>
      <c r="W3298" s="7">
        <v>8.375</v>
      </c>
      <c r="X3298" s="7">
        <v>9.875</v>
      </c>
      <c r="Y3298" s="6">
        <v>10.75</v>
      </c>
      <c r="Z3298" s="6">
        <v>10.75</v>
      </c>
      <c r="AA3298" s="6">
        <v>11.76</v>
      </c>
      <c r="AB3298" s="7">
        <v>16.222000000000001</v>
      </c>
      <c r="AC3298" s="6">
        <v>7.35</v>
      </c>
    </row>
    <row r="3299" spans="1:29" ht="130" x14ac:dyDescent="0.15">
      <c r="A3299" s="3">
        <f t="shared" si="38"/>
        <v>35667</v>
      </c>
      <c r="B3299" s="3">
        <f>DATE(1997,12,17)</f>
        <v>35781</v>
      </c>
      <c r="C3299" s="2" t="s">
        <v>95</v>
      </c>
      <c r="D3299" s="2" t="s">
        <v>10383</v>
      </c>
      <c r="E3299" s="2" t="s">
        <v>10384</v>
      </c>
      <c r="F3299" s="4">
        <v>2621</v>
      </c>
      <c r="G3299" s="2" t="s">
        <v>282</v>
      </c>
      <c r="H3299" s="2" t="s">
        <v>34</v>
      </c>
      <c r="I3299" s="2" t="s">
        <v>10385</v>
      </c>
      <c r="J3299" s="2" t="s">
        <v>10386</v>
      </c>
      <c r="K3299" s="2" t="s">
        <v>282</v>
      </c>
      <c r="L3299" s="2" t="s">
        <v>34</v>
      </c>
      <c r="M3299" s="7">
        <v>707.47799999999995</v>
      </c>
      <c r="N3299" s="7">
        <v>22.375</v>
      </c>
      <c r="O3299" s="7">
        <v>22.062999999999999</v>
      </c>
      <c r="P3299" s="2" t="s">
        <v>10387</v>
      </c>
      <c r="Q3299" s="6">
        <v>100</v>
      </c>
      <c r="R3299" s="6">
        <v>29.05</v>
      </c>
      <c r="S3299" s="5">
        <v>26.9</v>
      </c>
      <c r="T3299" s="6">
        <v>67.59</v>
      </c>
      <c r="U3299" s="5">
        <v>7.9</v>
      </c>
      <c r="V3299" s="9">
        <v>1.7067000000000001</v>
      </c>
      <c r="W3299" s="7">
        <v>25.062999999999999</v>
      </c>
      <c r="X3299" s="7">
        <v>25.125</v>
      </c>
      <c r="Y3299" s="5">
        <v>30.5</v>
      </c>
      <c r="Z3299" s="4">
        <v>30</v>
      </c>
      <c r="AA3299" s="6">
        <v>15.2</v>
      </c>
      <c r="AB3299" s="7">
        <v>10.23</v>
      </c>
      <c r="AC3299" s="6">
        <v>2.37</v>
      </c>
    </row>
    <row r="3300" spans="1:29" ht="130" x14ac:dyDescent="0.15">
      <c r="A3300" s="3">
        <f t="shared" si="38"/>
        <v>35667</v>
      </c>
      <c r="B3300" s="3">
        <f>DATE(1998,1,23)</f>
        <v>35818</v>
      </c>
      <c r="C3300" s="2" t="s">
        <v>95</v>
      </c>
      <c r="D3300" s="2" t="s">
        <v>7042</v>
      </c>
      <c r="E3300" s="2" t="s">
        <v>7043</v>
      </c>
      <c r="F3300" s="4">
        <v>3826</v>
      </c>
      <c r="G3300" s="2" t="s">
        <v>226</v>
      </c>
      <c r="H3300" s="2" t="s">
        <v>34</v>
      </c>
      <c r="I3300" s="2" t="s">
        <v>871</v>
      </c>
      <c r="J3300" s="2" t="s">
        <v>872</v>
      </c>
      <c r="K3300" s="2" t="s">
        <v>226</v>
      </c>
      <c r="L3300" s="2" t="s">
        <v>34</v>
      </c>
      <c r="M3300" s="10">
        <v>3602.14</v>
      </c>
      <c r="N3300" s="9">
        <v>78.6875</v>
      </c>
      <c r="O3300" s="6">
        <v>77.75</v>
      </c>
      <c r="P3300" s="2" t="s">
        <v>10388</v>
      </c>
      <c r="Q3300" s="6">
        <v>100</v>
      </c>
      <c r="R3300" s="6">
        <v>12.41</v>
      </c>
      <c r="S3300" s="5">
        <v>-2.1</v>
      </c>
      <c r="T3300" s="7">
        <v>16.744</v>
      </c>
      <c r="U3300" s="5">
        <v>2.2000000000000002</v>
      </c>
      <c r="V3300" s="7">
        <v>-0.39500000000000002</v>
      </c>
      <c r="W3300" s="7">
        <v>9.9380000000000006</v>
      </c>
      <c r="X3300" s="7">
        <v>10.625</v>
      </c>
      <c r="Y3300" s="7">
        <v>12.438000000000001</v>
      </c>
      <c r="Z3300" s="7">
        <v>12.375</v>
      </c>
      <c r="AA3300" s="6">
        <v>21.51</v>
      </c>
      <c r="AB3300" s="2" t="s">
        <v>86</v>
      </c>
      <c r="AC3300" s="6">
        <v>195.97</v>
      </c>
    </row>
    <row r="3301" spans="1:29" ht="182" x14ac:dyDescent="0.15">
      <c r="A3301" s="3">
        <f>DATE(1997,8,26)</f>
        <v>35668</v>
      </c>
      <c r="B3301" s="3">
        <f>DATE(1997,12,22)</f>
        <v>35786</v>
      </c>
      <c r="C3301" s="2" t="s">
        <v>95</v>
      </c>
      <c r="D3301" s="2" t="s">
        <v>10389</v>
      </c>
      <c r="E3301" s="2" t="s">
        <v>10390</v>
      </c>
      <c r="F3301" s="4">
        <v>2062</v>
      </c>
      <c r="G3301" s="2" t="s">
        <v>577</v>
      </c>
      <c r="H3301" s="2" t="s">
        <v>34</v>
      </c>
      <c r="I3301" s="2" t="s">
        <v>10391</v>
      </c>
      <c r="J3301" s="2" t="s">
        <v>5684</v>
      </c>
      <c r="K3301" s="2" t="s">
        <v>577</v>
      </c>
      <c r="L3301" s="2" t="s">
        <v>34</v>
      </c>
      <c r="M3301" s="7">
        <v>198.994</v>
      </c>
      <c r="N3301" s="7">
        <v>14.563000000000001</v>
      </c>
      <c r="O3301" s="6">
        <v>15.25</v>
      </c>
      <c r="P3301" s="2" t="s">
        <v>10392</v>
      </c>
      <c r="Q3301" s="6">
        <v>100</v>
      </c>
      <c r="R3301" s="6">
        <v>20.25</v>
      </c>
      <c r="S3301" s="5">
        <v>6.9</v>
      </c>
      <c r="T3301" s="7">
        <v>62.723999999999997</v>
      </c>
      <c r="U3301" s="5">
        <v>6.6</v>
      </c>
      <c r="V3301" s="6">
        <v>0.27</v>
      </c>
      <c r="W3301" s="7">
        <v>17.625</v>
      </c>
      <c r="X3301" s="7">
        <v>18.687999999999999</v>
      </c>
      <c r="Y3301" s="6">
        <v>15.75</v>
      </c>
      <c r="Z3301" s="7">
        <v>14.875</v>
      </c>
      <c r="AA3301" s="6">
        <v>28.74</v>
      </c>
      <c r="AB3301" s="7">
        <v>16.884</v>
      </c>
      <c r="AC3301" s="6">
        <v>39.299999999999997</v>
      </c>
    </row>
    <row r="3302" spans="1:29" ht="130" x14ac:dyDescent="0.15">
      <c r="A3302" s="3">
        <f>DATE(1997,8,28)</f>
        <v>35670</v>
      </c>
      <c r="B3302" s="3">
        <f>DATE(1997,12,23)</f>
        <v>35787</v>
      </c>
      <c r="C3302" s="2" t="s">
        <v>95</v>
      </c>
      <c r="D3302" s="2" t="s">
        <v>10393</v>
      </c>
      <c r="E3302" s="2" t="s">
        <v>92</v>
      </c>
      <c r="F3302" s="4">
        <v>6798</v>
      </c>
      <c r="G3302" s="2" t="s">
        <v>53</v>
      </c>
      <c r="H3302" s="2" t="s">
        <v>34</v>
      </c>
      <c r="I3302" s="2" t="s">
        <v>9141</v>
      </c>
      <c r="J3302" s="2" t="s">
        <v>92</v>
      </c>
      <c r="K3302" s="2" t="s">
        <v>53</v>
      </c>
      <c r="L3302" s="2" t="s">
        <v>34</v>
      </c>
      <c r="M3302" s="12">
        <v>3715.4180000000001</v>
      </c>
      <c r="N3302" s="6">
        <v>48.75</v>
      </c>
      <c r="O3302" s="7">
        <v>48.688000000000002</v>
      </c>
      <c r="P3302" s="2" t="s">
        <v>10394</v>
      </c>
      <c r="Q3302" s="6">
        <v>100</v>
      </c>
      <c r="R3302" s="6">
        <v>25.19</v>
      </c>
      <c r="S3302" s="5">
        <v>14.6</v>
      </c>
      <c r="T3302" s="7">
        <v>40.148000000000003</v>
      </c>
      <c r="U3302" s="5">
        <v>12.5</v>
      </c>
      <c r="V3302" s="6">
        <v>0.84</v>
      </c>
      <c r="W3302" s="6">
        <v>20.75</v>
      </c>
      <c r="X3302" s="7">
        <v>22.062999999999999</v>
      </c>
      <c r="Y3302" s="7">
        <v>23.734000000000002</v>
      </c>
      <c r="Z3302" s="7">
        <v>23.812999999999999</v>
      </c>
      <c r="AA3302" s="6">
        <v>20.34</v>
      </c>
      <c r="AB3302" s="7">
        <v>48.173999999999999</v>
      </c>
      <c r="AC3302" s="6">
        <v>147.27000000000001</v>
      </c>
    </row>
    <row r="3303" spans="1:29" ht="143" x14ac:dyDescent="0.15">
      <c r="A3303" s="3">
        <f>DATE(1997,8,28)</f>
        <v>35670</v>
      </c>
      <c r="B3303" s="3">
        <f>DATE(1998,2,25)</f>
        <v>35851</v>
      </c>
      <c r="C3303" s="2" t="s">
        <v>95</v>
      </c>
      <c r="D3303" s="2" t="s">
        <v>10395</v>
      </c>
      <c r="E3303" s="2" t="s">
        <v>92</v>
      </c>
      <c r="F3303" s="4">
        <v>6798</v>
      </c>
      <c r="G3303" s="2" t="s">
        <v>53</v>
      </c>
      <c r="H3303" s="2" t="s">
        <v>34</v>
      </c>
      <c r="I3303" s="2" t="s">
        <v>10396</v>
      </c>
      <c r="J3303" s="2" t="s">
        <v>3941</v>
      </c>
      <c r="K3303" s="2" t="s">
        <v>53</v>
      </c>
      <c r="L3303" s="2" t="s">
        <v>34</v>
      </c>
      <c r="M3303" s="7">
        <v>194.72200000000001</v>
      </c>
      <c r="N3303" s="4">
        <v>12</v>
      </c>
      <c r="O3303" s="4">
        <v>13</v>
      </c>
      <c r="P3303" s="2" t="s">
        <v>10397</v>
      </c>
      <c r="Q3303" s="6">
        <v>100</v>
      </c>
      <c r="R3303" s="6">
        <v>16.170000000000002</v>
      </c>
      <c r="S3303" s="5">
        <v>7</v>
      </c>
      <c r="T3303" s="6">
        <v>9.32</v>
      </c>
      <c r="U3303" s="5">
        <v>9.5</v>
      </c>
      <c r="V3303" s="6">
        <v>0.62</v>
      </c>
      <c r="W3303" s="7">
        <v>13.156000000000001</v>
      </c>
      <c r="X3303" s="7">
        <v>12.938000000000001</v>
      </c>
      <c r="Y3303" s="7">
        <v>13.063000000000001</v>
      </c>
      <c r="Z3303" s="7">
        <v>15.375</v>
      </c>
      <c r="AA3303" s="6">
        <v>11.23</v>
      </c>
      <c r="AB3303" s="7">
        <v>29.844999999999999</v>
      </c>
      <c r="AC3303" s="2"/>
    </row>
    <row r="3304" spans="1:29" ht="182" x14ac:dyDescent="0.15">
      <c r="A3304" s="3">
        <f>DATE(1997,8,29)</f>
        <v>35671</v>
      </c>
      <c r="B3304" s="3">
        <f>DATE(1998,1,9)</f>
        <v>35804</v>
      </c>
      <c r="C3304" s="2" t="s">
        <v>95</v>
      </c>
      <c r="D3304" s="2" t="s">
        <v>2895</v>
      </c>
      <c r="E3304" s="2" t="s">
        <v>1181</v>
      </c>
      <c r="F3304" s="4">
        <v>6022</v>
      </c>
      <c r="G3304" s="2" t="s">
        <v>37</v>
      </c>
      <c r="H3304" s="2" t="s">
        <v>34</v>
      </c>
      <c r="I3304" s="2" t="s">
        <v>3047</v>
      </c>
      <c r="J3304" s="2" t="s">
        <v>3048</v>
      </c>
      <c r="K3304" s="2" t="s">
        <v>37</v>
      </c>
      <c r="L3304" s="2" t="s">
        <v>34</v>
      </c>
      <c r="M3304" s="12">
        <v>50103.267</v>
      </c>
      <c r="N3304" s="6">
        <v>59.75</v>
      </c>
      <c r="O3304" s="6">
        <v>59.75</v>
      </c>
      <c r="P3304" s="2" t="s">
        <v>10398</v>
      </c>
      <c r="Q3304" s="6">
        <v>100</v>
      </c>
      <c r="R3304" s="6">
        <v>75.180000000000007</v>
      </c>
      <c r="S3304" s="5">
        <v>564.5</v>
      </c>
      <c r="T3304" s="12">
        <v>1183.5350000000001</v>
      </c>
      <c r="U3304" s="5">
        <v>17.8</v>
      </c>
      <c r="V3304" s="6">
        <v>2.89</v>
      </c>
      <c r="W3304" s="6">
        <v>52.25</v>
      </c>
      <c r="X3304" s="7">
        <v>54.813000000000002</v>
      </c>
      <c r="Y3304" s="7">
        <v>68.125</v>
      </c>
      <c r="Z3304" s="7">
        <v>68.125</v>
      </c>
      <c r="AA3304" s="6">
        <v>190.67</v>
      </c>
      <c r="AB3304" s="7">
        <v>18.533999999999999</v>
      </c>
      <c r="AC3304" s="2"/>
    </row>
    <row r="3305" spans="1:29" ht="52" x14ac:dyDescent="0.15">
      <c r="A3305" s="3">
        <f>DATE(1997,8,29)</f>
        <v>35671</v>
      </c>
      <c r="B3305" s="2"/>
      <c r="C3305" s="2" t="s">
        <v>30</v>
      </c>
      <c r="D3305" s="2" t="s">
        <v>10399</v>
      </c>
      <c r="E3305" s="2" t="s">
        <v>185</v>
      </c>
      <c r="F3305" s="4">
        <v>2759</v>
      </c>
      <c r="G3305" s="2" t="s">
        <v>186</v>
      </c>
      <c r="H3305" s="2" t="s">
        <v>34</v>
      </c>
      <c r="I3305" s="2" t="s">
        <v>10400</v>
      </c>
      <c r="J3305" s="2" t="s">
        <v>244</v>
      </c>
      <c r="K3305" s="2" t="s">
        <v>53</v>
      </c>
      <c r="L3305" s="2" t="s">
        <v>34</v>
      </c>
      <c r="M3305" s="2"/>
      <c r="N3305" s="2"/>
      <c r="O3305" s="2"/>
      <c r="P3305" s="2" t="s">
        <v>10401</v>
      </c>
      <c r="Q3305" s="2"/>
      <c r="R3305" s="6">
        <v>8.25</v>
      </c>
      <c r="S3305" s="5">
        <v>-1.5</v>
      </c>
      <c r="T3305" s="7">
        <v>6.9340000000000002</v>
      </c>
      <c r="U3305" s="5">
        <v>7.2</v>
      </c>
      <c r="V3305" s="6">
        <v>-0.12</v>
      </c>
      <c r="W3305" s="6">
        <v>4.75</v>
      </c>
      <c r="X3305" s="4">
        <v>6</v>
      </c>
      <c r="Y3305" s="6">
        <v>7.25</v>
      </c>
      <c r="Z3305" s="6">
        <v>7.25</v>
      </c>
      <c r="AA3305" s="6">
        <v>4.6500000000000004</v>
      </c>
      <c r="AB3305" s="7">
        <v>64.418000000000006</v>
      </c>
      <c r="AC3305" s="2"/>
    </row>
    <row r="3306" spans="1:29" ht="117" x14ac:dyDescent="0.15">
      <c r="A3306" s="3">
        <f>DATE(1997,8,29)</f>
        <v>35671</v>
      </c>
      <c r="B3306" s="3">
        <f>DATE(1997,12,29)</f>
        <v>35793</v>
      </c>
      <c r="C3306" s="2" t="s">
        <v>95</v>
      </c>
      <c r="D3306" s="2" t="s">
        <v>10402</v>
      </c>
      <c r="E3306" s="2" t="s">
        <v>10403</v>
      </c>
      <c r="F3306" s="4">
        <v>5063</v>
      </c>
      <c r="G3306" s="2" t="s">
        <v>76</v>
      </c>
      <c r="H3306" s="2" t="s">
        <v>34</v>
      </c>
      <c r="I3306" s="2" t="s">
        <v>10404</v>
      </c>
      <c r="J3306" s="2" t="s">
        <v>10405</v>
      </c>
      <c r="K3306" s="2" t="s">
        <v>73</v>
      </c>
      <c r="L3306" s="2" t="s">
        <v>133</v>
      </c>
      <c r="M3306" s="2"/>
      <c r="N3306" s="2"/>
      <c r="O3306" s="2"/>
      <c r="P3306" s="2" t="s">
        <v>10406</v>
      </c>
      <c r="Q3306" s="6">
        <v>51.28</v>
      </c>
      <c r="R3306" s="6">
        <v>22.5</v>
      </c>
      <c r="S3306" s="5">
        <v>29.4</v>
      </c>
      <c r="T3306" s="7">
        <v>64.334000000000003</v>
      </c>
      <c r="U3306" s="5">
        <v>7.6</v>
      </c>
      <c r="V3306" s="6">
        <v>1.1299999999999999</v>
      </c>
      <c r="W3306" s="7">
        <v>17.812999999999999</v>
      </c>
      <c r="X3306" s="7">
        <v>18.875</v>
      </c>
      <c r="Y3306" s="7">
        <v>20.812999999999999</v>
      </c>
      <c r="Z3306" s="7">
        <v>20.812999999999999</v>
      </c>
      <c r="AA3306" s="6">
        <v>26.04</v>
      </c>
      <c r="AB3306" s="7">
        <v>11.445</v>
      </c>
      <c r="AC3306" s="6">
        <v>107.41</v>
      </c>
    </row>
    <row r="3307" spans="1:29" ht="65" x14ac:dyDescent="0.15">
      <c r="A3307" s="3">
        <f>DATE(1997,9,1)</f>
        <v>35674</v>
      </c>
      <c r="B3307" s="2"/>
      <c r="C3307" s="2" t="s">
        <v>30</v>
      </c>
      <c r="D3307" s="2" t="s">
        <v>10407</v>
      </c>
      <c r="E3307" s="2" t="s">
        <v>10408</v>
      </c>
      <c r="F3307" s="4">
        <v>2621</v>
      </c>
      <c r="G3307" s="2" t="s">
        <v>282</v>
      </c>
      <c r="H3307" s="2" t="s">
        <v>34</v>
      </c>
      <c r="I3307" s="2" t="s">
        <v>149</v>
      </c>
      <c r="J3307" s="2" t="s">
        <v>150</v>
      </c>
      <c r="K3307" s="2" t="s">
        <v>53</v>
      </c>
      <c r="L3307" s="2" t="s">
        <v>151</v>
      </c>
      <c r="M3307" s="2"/>
      <c r="N3307" s="2"/>
      <c r="O3307" s="2"/>
      <c r="P3307" s="2" t="s">
        <v>10409</v>
      </c>
      <c r="Q3307" s="2"/>
      <c r="R3307" s="6">
        <v>10.050000000000001</v>
      </c>
      <c r="S3307" s="5">
        <v>-2.2000000000000002</v>
      </c>
      <c r="T3307" s="7">
        <v>2.472</v>
      </c>
      <c r="U3307" s="5">
        <v>9.6999999999999993</v>
      </c>
      <c r="V3307" s="6">
        <v>-1.1399999999999999</v>
      </c>
      <c r="W3307" s="6">
        <v>8.25</v>
      </c>
      <c r="X3307" s="6">
        <v>7.75</v>
      </c>
      <c r="Y3307" s="6">
        <v>8.25</v>
      </c>
      <c r="Z3307" s="6">
        <v>8.25</v>
      </c>
      <c r="AA3307" s="6">
        <v>1.95</v>
      </c>
      <c r="AB3307" s="2" t="s">
        <v>86</v>
      </c>
      <c r="AC3307" s="2"/>
    </row>
    <row r="3308" spans="1:29" ht="208" x14ac:dyDescent="0.15">
      <c r="A3308" s="3">
        <f>DATE(1997,9,2)</f>
        <v>35675</v>
      </c>
      <c r="B3308" s="3">
        <f>DATE(1997,12,19)</f>
        <v>35783</v>
      </c>
      <c r="C3308" s="2" t="s">
        <v>95</v>
      </c>
      <c r="D3308" s="2" t="s">
        <v>8467</v>
      </c>
      <c r="E3308" s="2" t="s">
        <v>8468</v>
      </c>
      <c r="F3308" s="4">
        <v>7011</v>
      </c>
      <c r="G3308" s="2" t="s">
        <v>269</v>
      </c>
      <c r="H3308" s="2" t="s">
        <v>34</v>
      </c>
      <c r="I3308" s="2" t="s">
        <v>10410</v>
      </c>
      <c r="J3308" s="2" t="s">
        <v>6078</v>
      </c>
      <c r="K3308" s="2" t="s">
        <v>269</v>
      </c>
      <c r="L3308" s="2" t="s">
        <v>34</v>
      </c>
      <c r="M3308" s="12">
        <v>1994.058</v>
      </c>
      <c r="N3308" s="6">
        <v>40.75</v>
      </c>
      <c r="O3308" s="7">
        <v>43.188000000000002</v>
      </c>
      <c r="P3308" s="2" t="s">
        <v>10411</v>
      </c>
      <c r="Q3308" s="6">
        <v>100</v>
      </c>
      <c r="R3308" s="6">
        <v>41.96</v>
      </c>
      <c r="S3308" s="5">
        <v>48.7</v>
      </c>
      <c r="T3308" s="7">
        <v>129.45099999999999</v>
      </c>
      <c r="U3308" s="5">
        <v>21.1</v>
      </c>
      <c r="V3308" s="7">
        <v>1.296</v>
      </c>
      <c r="W3308" s="6">
        <v>44.75</v>
      </c>
      <c r="X3308" s="5">
        <v>50.1</v>
      </c>
      <c r="Y3308" s="7">
        <v>44.875</v>
      </c>
      <c r="Z3308" s="7">
        <v>46.938000000000002</v>
      </c>
      <c r="AA3308" s="6">
        <v>39.659999999999997</v>
      </c>
      <c r="AB3308" s="7">
        <v>23.053000000000001</v>
      </c>
      <c r="AC3308" s="5">
        <v>3.7</v>
      </c>
    </row>
    <row r="3309" spans="1:29" ht="143" x14ac:dyDescent="0.15">
      <c r="A3309" s="3">
        <f>DATE(1997,9,2)</f>
        <v>35675</v>
      </c>
      <c r="B3309" s="3">
        <f>DATE(1997,12,3)</f>
        <v>35767</v>
      </c>
      <c r="C3309" s="2" t="s">
        <v>95</v>
      </c>
      <c r="D3309" s="2" t="s">
        <v>5242</v>
      </c>
      <c r="E3309" s="2" t="s">
        <v>229</v>
      </c>
      <c r="F3309" s="4">
        <v>5812</v>
      </c>
      <c r="G3309" s="2" t="s">
        <v>230</v>
      </c>
      <c r="H3309" s="2" t="s">
        <v>34</v>
      </c>
      <c r="I3309" s="2" t="s">
        <v>10412</v>
      </c>
      <c r="J3309" s="2" t="s">
        <v>302</v>
      </c>
      <c r="K3309" s="2" t="s">
        <v>53</v>
      </c>
      <c r="L3309" s="2" t="s">
        <v>34</v>
      </c>
      <c r="M3309" s="2"/>
      <c r="N3309" s="2"/>
      <c r="O3309" s="2"/>
      <c r="P3309" s="2" t="s">
        <v>10413</v>
      </c>
      <c r="Q3309" s="6">
        <v>95.03</v>
      </c>
      <c r="R3309" s="6">
        <v>1.65</v>
      </c>
      <c r="S3309" s="5">
        <v>-17.600000000000001</v>
      </c>
      <c r="T3309" s="7">
        <v>-0.17499999999999999</v>
      </c>
      <c r="U3309" s="5">
        <v>2.1</v>
      </c>
      <c r="V3309" s="7">
        <v>-1.5740000000000001</v>
      </c>
      <c r="W3309" s="5">
        <v>1.5</v>
      </c>
      <c r="X3309" s="5">
        <v>1.5</v>
      </c>
      <c r="Y3309" s="7">
        <v>1.625</v>
      </c>
      <c r="Z3309" s="7">
        <v>1.6879999999999999</v>
      </c>
      <c r="AA3309" s="6">
        <v>11.17</v>
      </c>
      <c r="AB3309" s="2" t="s">
        <v>86</v>
      </c>
      <c r="AC3309" s="2"/>
    </row>
    <row r="3310" spans="1:29" ht="78" x14ac:dyDescent="0.15">
      <c r="A3310" s="3">
        <f>DATE(1997,9,2)</f>
        <v>35675</v>
      </c>
      <c r="B3310" s="2"/>
      <c r="C3310" s="2" t="s">
        <v>30</v>
      </c>
      <c r="D3310" s="2" t="s">
        <v>10414</v>
      </c>
      <c r="E3310" s="2" t="s">
        <v>6588</v>
      </c>
      <c r="F3310" s="4">
        <v>5045</v>
      </c>
      <c r="G3310" s="2" t="s">
        <v>76</v>
      </c>
      <c r="H3310" s="2" t="s">
        <v>34</v>
      </c>
      <c r="I3310" s="2" t="s">
        <v>10415</v>
      </c>
      <c r="J3310" s="2" t="s">
        <v>781</v>
      </c>
      <c r="K3310" s="2" t="s">
        <v>223</v>
      </c>
      <c r="L3310" s="2" t="s">
        <v>34</v>
      </c>
      <c r="M3310" s="7">
        <v>110.60299999999999</v>
      </c>
      <c r="N3310" s="5">
        <v>13.5</v>
      </c>
      <c r="O3310" s="7">
        <v>13.563000000000001</v>
      </c>
      <c r="P3310" s="2" t="s">
        <v>10416</v>
      </c>
      <c r="Q3310" s="2"/>
      <c r="R3310" s="2"/>
      <c r="S3310" s="5">
        <v>0.9</v>
      </c>
      <c r="T3310" s="6">
        <v>1.62</v>
      </c>
      <c r="U3310" s="5">
        <v>41.6</v>
      </c>
      <c r="V3310" s="9">
        <v>3.1497999999999999</v>
      </c>
      <c r="W3310" s="6">
        <v>4.75</v>
      </c>
      <c r="X3310" s="7">
        <v>4.8129999999999997</v>
      </c>
      <c r="Y3310" s="7">
        <v>4.9379999999999997</v>
      </c>
      <c r="Z3310" s="7">
        <v>4.875</v>
      </c>
      <c r="AA3310" s="6">
        <v>4.45</v>
      </c>
      <c r="AB3310" s="2" t="s">
        <v>47</v>
      </c>
      <c r="AC3310" s="2"/>
    </row>
    <row r="3311" spans="1:29" ht="156" x14ac:dyDescent="0.15">
      <c r="A3311" s="3">
        <f>DATE(1997,9,2)</f>
        <v>35675</v>
      </c>
      <c r="B3311" s="3">
        <f>DATE(1998,3,2)</f>
        <v>35856</v>
      </c>
      <c r="C3311" s="2" t="s">
        <v>95</v>
      </c>
      <c r="D3311" s="2" t="s">
        <v>10417</v>
      </c>
      <c r="E3311" s="2" t="s">
        <v>389</v>
      </c>
      <c r="F3311" s="4">
        <v>6035</v>
      </c>
      <c r="G3311" s="2" t="s">
        <v>33</v>
      </c>
      <c r="H3311" s="2" t="s">
        <v>34</v>
      </c>
      <c r="I3311" s="2" t="s">
        <v>3861</v>
      </c>
      <c r="J3311" s="2" t="s">
        <v>1181</v>
      </c>
      <c r="K3311" s="2" t="s">
        <v>37</v>
      </c>
      <c r="L3311" s="2" t="s">
        <v>34</v>
      </c>
      <c r="M3311" s="7">
        <v>858.58699999999999</v>
      </c>
      <c r="N3311" s="4">
        <v>44</v>
      </c>
      <c r="O3311" s="7">
        <v>44.375</v>
      </c>
      <c r="P3311" s="2" t="s">
        <v>10418</v>
      </c>
      <c r="Q3311" s="6">
        <v>100</v>
      </c>
      <c r="R3311" s="6">
        <v>38.25</v>
      </c>
      <c r="S3311" s="5">
        <v>3.7</v>
      </c>
      <c r="T3311" s="7">
        <v>6.2859999999999996</v>
      </c>
      <c r="U3311" s="5">
        <v>19.600000000000001</v>
      </c>
      <c r="V3311" s="7">
        <v>1.8919999999999999</v>
      </c>
      <c r="W3311" s="4">
        <v>30</v>
      </c>
      <c r="X3311" s="6">
        <v>29.75</v>
      </c>
      <c r="Y3311" s="4">
        <v>30</v>
      </c>
      <c r="Z3311" s="7">
        <v>36.125</v>
      </c>
      <c r="AA3311" s="6">
        <v>1.96</v>
      </c>
      <c r="AB3311" s="7">
        <v>52.972000000000001</v>
      </c>
      <c r="AC3311" s="2"/>
    </row>
    <row r="3312" spans="1:29" ht="91" x14ac:dyDescent="0.15">
      <c r="A3312" s="3">
        <f>DATE(1997,9,2)</f>
        <v>35675</v>
      </c>
      <c r="B3312" s="3">
        <f>DATE(1997,12,18)</f>
        <v>35782</v>
      </c>
      <c r="C3312" s="2" t="s">
        <v>95</v>
      </c>
      <c r="D3312" s="2" t="s">
        <v>10419</v>
      </c>
      <c r="E3312" s="2" t="s">
        <v>10420</v>
      </c>
      <c r="F3312" s="4">
        <v>8351</v>
      </c>
      <c r="G3312" s="2" t="s">
        <v>690</v>
      </c>
      <c r="H3312" s="2" t="s">
        <v>34</v>
      </c>
      <c r="I3312" s="2" t="s">
        <v>10421</v>
      </c>
      <c r="J3312" s="2" t="s">
        <v>10422</v>
      </c>
      <c r="K3312" s="2" t="s">
        <v>223</v>
      </c>
      <c r="L3312" s="2" t="s">
        <v>34</v>
      </c>
      <c r="M3312" s="6">
        <v>34.64</v>
      </c>
      <c r="N3312" s="11">
        <v>5.53125</v>
      </c>
      <c r="O3312" s="7">
        <v>5.125</v>
      </c>
      <c r="P3312" s="2" t="s">
        <v>10423</v>
      </c>
      <c r="Q3312" s="6">
        <v>100</v>
      </c>
      <c r="R3312" s="2"/>
      <c r="S3312" s="5">
        <v>-1.1000000000000001</v>
      </c>
      <c r="T3312" s="7">
        <v>-0.61399999999999999</v>
      </c>
      <c r="U3312" s="5">
        <v>0.8</v>
      </c>
      <c r="V3312" s="6">
        <v>-0.52</v>
      </c>
      <c r="W3312" s="7">
        <v>1.625</v>
      </c>
      <c r="X3312" s="7">
        <v>1.6879999999999999</v>
      </c>
      <c r="Y3312" s="7">
        <v>1.625</v>
      </c>
      <c r="Z3312" s="7">
        <v>1.625</v>
      </c>
      <c r="AA3312" s="6">
        <v>3.15</v>
      </c>
      <c r="AB3312" s="2" t="s">
        <v>86</v>
      </c>
      <c r="AC3312" s="6">
        <v>23.25</v>
      </c>
    </row>
    <row r="3313" spans="1:29" ht="78" x14ac:dyDescent="0.15">
      <c r="A3313" s="3">
        <f>DATE(1997,9,3)</f>
        <v>35676</v>
      </c>
      <c r="B3313" s="3">
        <f>DATE(1998,2,24)</f>
        <v>35850</v>
      </c>
      <c r="C3313" s="2" t="s">
        <v>95</v>
      </c>
      <c r="D3313" s="2" t="s">
        <v>10424</v>
      </c>
      <c r="E3313" s="2" t="s">
        <v>10346</v>
      </c>
      <c r="F3313" s="4">
        <v>6035</v>
      </c>
      <c r="G3313" s="2" t="s">
        <v>33</v>
      </c>
      <c r="H3313" s="2" t="s">
        <v>34</v>
      </c>
      <c r="I3313" s="2" t="s">
        <v>10425</v>
      </c>
      <c r="J3313" s="2" t="s">
        <v>10426</v>
      </c>
      <c r="K3313" s="2" t="s">
        <v>37</v>
      </c>
      <c r="L3313" s="2" t="s">
        <v>34</v>
      </c>
      <c r="M3313" s="2"/>
      <c r="N3313" s="5">
        <v>29.5</v>
      </c>
      <c r="O3313" s="6">
        <v>28.75</v>
      </c>
      <c r="P3313" s="2" t="s">
        <v>10427</v>
      </c>
      <c r="Q3313" s="6">
        <v>100</v>
      </c>
      <c r="R3313" s="6">
        <v>28.85</v>
      </c>
      <c r="S3313" s="5">
        <v>7.7</v>
      </c>
      <c r="T3313" s="6">
        <v>11.22</v>
      </c>
      <c r="U3313" s="5">
        <v>14.7</v>
      </c>
      <c r="V3313" s="7">
        <v>1.3740000000000001</v>
      </c>
      <c r="W3313" s="4">
        <v>25</v>
      </c>
      <c r="X3313" s="4">
        <v>29</v>
      </c>
      <c r="Y3313" s="5">
        <v>28.5</v>
      </c>
      <c r="Z3313" s="7">
        <v>27.625</v>
      </c>
      <c r="AA3313" s="6">
        <v>5.42</v>
      </c>
      <c r="AB3313" s="7">
        <v>58.218000000000004</v>
      </c>
      <c r="AC3313" s="2"/>
    </row>
    <row r="3314" spans="1:29" ht="117" x14ac:dyDescent="0.15">
      <c r="A3314" s="3">
        <f>DATE(1997,9,3)</f>
        <v>35676</v>
      </c>
      <c r="B3314" s="3">
        <f>DATE(1997,12,31)</f>
        <v>35795</v>
      </c>
      <c r="C3314" s="2" t="s">
        <v>95</v>
      </c>
      <c r="D3314" s="2" t="s">
        <v>10428</v>
      </c>
      <c r="E3314" s="2" t="s">
        <v>10429</v>
      </c>
      <c r="F3314" s="4">
        <v>3567</v>
      </c>
      <c r="G3314" s="2" t="s">
        <v>300</v>
      </c>
      <c r="H3314" s="2" t="s">
        <v>34</v>
      </c>
      <c r="I3314" s="2" t="s">
        <v>10430</v>
      </c>
      <c r="J3314" s="2" t="s">
        <v>10431</v>
      </c>
      <c r="K3314" s="2" t="s">
        <v>300</v>
      </c>
      <c r="L3314" s="2" t="s">
        <v>34</v>
      </c>
      <c r="M3314" s="2"/>
      <c r="N3314" s="2"/>
      <c r="O3314" s="2"/>
      <c r="P3314" s="2" t="s">
        <v>10432</v>
      </c>
      <c r="Q3314" s="6">
        <v>100</v>
      </c>
      <c r="R3314" s="6">
        <v>1.9</v>
      </c>
      <c r="S3314" s="5">
        <v>0.6</v>
      </c>
      <c r="T3314" s="7">
        <v>1.173</v>
      </c>
      <c r="U3314" s="5">
        <v>0.7</v>
      </c>
      <c r="V3314" s="7">
        <v>6.5000000000000002E-2</v>
      </c>
      <c r="W3314" s="7">
        <v>1.375</v>
      </c>
      <c r="X3314" s="7">
        <v>1.375</v>
      </c>
      <c r="Y3314" s="7">
        <v>1.375</v>
      </c>
      <c r="Z3314" s="7">
        <v>1.8129999999999999</v>
      </c>
      <c r="AA3314" s="6">
        <v>9.86</v>
      </c>
      <c r="AB3314" s="7">
        <v>19.376000000000001</v>
      </c>
      <c r="AC3314" s="2"/>
    </row>
    <row r="3315" spans="1:29" ht="117" x14ac:dyDescent="0.15">
      <c r="A3315" s="3">
        <f>DATE(1997,9,3)</f>
        <v>35676</v>
      </c>
      <c r="B3315" s="3">
        <f>DATE(1997,12,30)</f>
        <v>35794</v>
      </c>
      <c r="C3315" s="2" t="s">
        <v>95</v>
      </c>
      <c r="D3315" s="2" t="s">
        <v>10433</v>
      </c>
      <c r="E3315" s="2" t="s">
        <v>10434</v>
      </c>
      <c r="F3315" s="4">
        <v>3679</v>
      </c>
      <c r="G3315" s="2" t="s">
        <v>137</v>
      </c>
      <c r="H3315" s="2" t="s">
        <v>34</v>
      </c>
      <c r="I3315" s="2" t="s">
        <v>10435</v>
      </c>
      <c r="J3315" s="2" t="s">
        <v>10436</v>
      </c>
      <c r="K3315" s="2" t="s">
        <v>137</v>
      </c>
      <c r="L3315" s="2" t="s">
        <v>34</v>
      </c>
      <c r="M3315" s="7">
        <v>675.29399999999998</v>
      </c>
      <c r="N3315" s="7">
        <v>28.375</v>
      </c>
      <c r="O3315" s="7">
        <v>29.062999999999999</v>
      </c>
      <c r="P3315" s="2" t="s">
        <v>10437</v>
      </c>
      <c r="Q3315" s="6">
        <v>100</v>
      </c>
      <c r="R3315" s="6">
        <v>42.15</v>
      </c>
      <c r="S3315" s="5">
        <v>10.5</v>
      </c>
      <c r="T3315" s="7">
        <v>16.619</v>
      </c>
      <c r="U3315" s="5">
        <v>3.6</v>
      </c>
      <c r="V3315" s="6">
        <v>1.04</v>
      </c>
      <c r="W3315" s="7">
        <v>28.437999999999999</v>
      </c>
      <c r="X3315" s="4">
        <v>29</v>
      </c>
      <c r="Y3315" s="7">
        <v>36.438000000000002</v>
      </c>
      <c r="Z3315" s="7">
        <v>37.125</v>
      </c>
      <c r="AA3315" s="6">
        <v>9.5</v>
      </c>
      <c r="AB3315" s="7">
        <v>33.521999999999998</v>
      </c>
      <c r="AC3315" s="2"/>
    </row>
    <row r="3316" spans="1:29" ht="234" x14ac:dyDescent="0.15">
      <c r="A3316" s="3">
        <f>DATE(1997,9,4)</f>
        <v>35677</v>
      </c>
      <c r="B3316" s="3">
        <f>DATE(1997,12,30)</f>
        <v>35794</v>
      </c>
      <c r="C3316" s="2" t="s">
        <v>95</v>
      </c>
      <c r="D3316" s="2" t="s">
        <v>8393</v>
      </c>
      <c r="E3316" s="2" t="s">
        <v>398</v>
      </c>
      <c r="F3316" s="4">
        <v>7812</v>
      </c>
      <c r="G3316" s="2" t="s">
        <v>42</v>
      </c>
      <c r="H3316" s="2" t="s">
        <v>34</v>
      </c>
      <c r="I3316" s="2" t="s">
        <v>51</v>
      </c>
      <c r="J3316" s="2" t="s">
        <v>52</v>
      </c>
      <c r="K3316" s="2" t="s">
        <v>53</v>
      </c>
      <c r="L3316" s="2" t="s">
        <v>34</v>
      </c>
      <c r="M3316" s="2"/>
      <c r="N3316" s="2"/>
      <c r="O3316" s="2"/>
      <c r="P3316" s="2" t="s">
        <v>10438</v>
      </c>
      <c r="Q3316" s="6">
        <v>48.21</v>
      </c>
      <c r="R3316" s="6">
        <v>2.52</v>
      </c>
      <c r="S3316" s="5">
        <v>-27.5</v>
      </c>
      <c r="T3316" s="7">
        <v>90.867999999999995</v>
      </c>
      <c r="U3316" s="5">
        <v>1.9</v>
      </c>
      <c r="V3316" s="7">
        <v>-1.9910000000000001</v>
      </c>
      <c r="W3316" s="7">
        <v>1.2809999999999999</v>
      </c>
      <c r="X3316" s="7">
        <v>1.3129999999999999</v>
      </c>
      <c r="Y3316" s="7">
        <v>1.125</v>
      </c>
      <c r="Z3316" s="7">
        <v>1.125</v>
      </c>
      <c r="AA3316" s="6">
        <v>13.45</v>
      </c>
      <c r="AB3316" s="2" t="s">
        <v>86</v>
      </c>
      <c r="AC3316" s="2"/>
    </row>
    <row r="3317" spans="1:29" ht="91" x14ac:dyDescent="0.15">
      <c r="A3317" s="3">
        <f>DATE(1997,9,4)</f>
        <v>35677</v>
      </c>
      <c r="B3317" s="3">
        <f>DATE(1998,1,9)</f>
        <v>35804</v>
      </c>
      <c r="C3317" s="2" t="s">
        <v>95</v>
      </c>
      <c r="D3317" s="2" t="s">
        <v>10439</v>
      </c>
      <c r="E3317" s="2" t="s">
        <v>10440</v>
      </c>
      <c r="F3317" s="4">
        <v>2015</v>
      </c>
      <c r="G3317" s="2" t="s">
        <v>577</v>
      </c>
      <c r="H3317" s="2" t="s">
        <v>34</v>
      </c>
      <c r="I3317" s="2" t="s">
        <v>2960</v>
      </c>
      <c r="J3317" s="2" t="s">
        <v>2961</v>
      </c>
      <c r="K3317" s="2" t="s">
        <v>577</v>
      </c>
      <c r="L3317" s="2" t="s">
        <v>34</v>
      </c>
      <c r="M3317" s="12">
        <v>4349.4560000000001</v>
      </c>
      <c r="N3317" s="5">
        <v>23.5</v>
      </c>
      <c r="O3317" s="7">
        <v>22.937999999999999</v>
      </c>
      <c r="P3317" s="2" t="s">
        <v>10441</v>
      </c>
      <c r="Q3317" s="6">
        <v>100</v>
      </c>
      <c r="R3317" s="6">
        <v>21.23</v>
      </c>
      <c r="S3317" s="5">
        <v>23</v>
      </c>
      <c r="T3317" s="7">
        <v>66.575999999999993</v>
      </c>
      <c r="U3317" s="5">
        <v>10.8</v>
      </c>
      <c r="V3317" s="6">
        <v>0.76</v>
      </c>
      <c r="W3317" s="7">
        <v>16.125</v>
      </c>
      <c r="X3317" s="7">
        <v>17.187999999999999</v>
      </c>
      <c r="Y3317" s="7">
        <v>21.125</v>
      </c>
      <c r="Z3317" s="4">
        <v>21</v>
      </c>
      <c r="AA3317" s="6">
        <v>30.27</v>
      </c>
      <c r="AB3317" s="7">
        <v>22.279</v>
      </c>
      <c r="AC3317" s="5">
        <v>36.6</v>
      </c>
    </row>
    <row r="3318" spans="1:29" ht="52" x14ac:dyDescent="0.15">
      <c r="A3318" s="3">
        <f>DATE(1997,9,4)</f>
        <v>35677</v>
      </c>
      <c r="B3318" s="2"/>
      <c r="C3318" s="2" t="s">
        <v>7330</v>
      </c>
      <c r="D3318" s="2" t="s">
        <v>10442</v>
      </c>
      <c r="E3318" s="2" t="s">
        <v>10443</v>
      </c>
      <c r="F3318" s="4">
        <v>3679</v>
      </c>
      <c r="G3318" s="2" t="s">
        <v>137</v>
      </c>
      <c r="H3318" s="2" t="s">
        <v>34</v>
      </c>
      <c r="I3318" s="2" t="s">
        <v>138</v>
      </c>
      <c r="J3318" s="2" t="s">
        <v>139</v>
      </c>
      <c r="K3318" s="2" t="s">
        <v>53</v>
      </c>
      <c r="L3318" s="2" t="s">
        <v>139</v>
      </c>
      <c r="M3318" s="2"/>
      <c r="N3318" s="2"/>
      <c r="O3318" s="2"/>
      <c r="P3318" s="2" t="s">
        <v>10444</v>
      </c>
      <c r="Q3318" s="2"/>
      <c r="R3318" s="2"/>
      <c r="S3318" s="5">
        <v>-0.2</v>
      </c>
      <c r="T3318" s="7">
        <v>10.082000000000001</v>
      </c>
      <c r="U3318" s="5">
        <v>1.7</v>
      </c>
      <c r="V3318" s="6">
        <v>-0.03</v>
      </c>
      <c r="W3318" s="5">
        <v>1.5</v>
      </c>
      <c r="X3318" s="6">
        <v>2.25</v>
      </c>
      <c r="Y3318" s="7">
        <v>2.375</v>
      </c>
      <c r="Z3318" s="4">
        <v>2</v>
      </c>
      <c r="AA3318" s="6">
        <v>13.64</v>
      </c>
      <c r="AB3318" s="2" t="s">
        <v>47</v>
      </c>
      <c r="AC3318" s="2"/>
    </row>
    <row r="3319" spans="1:29" ht="117" x14ac:dyDescent="0.15">
      <c r="A3319" s="3">
        <f>DATE(1997,9,4)</f>
        <v>35677</v>
      </c>
      <c r="B3319" s="3">
        <f>DATE(1997,12,18)</f>
        <v>35782</v>
      </c>
      <c r="C3319" s="2" t="s">
        <v>95</v>
      </c>
      <c r="D3319" s="2" t="s">
        <v>10445</v>
      </c>
      <c r="E3319" s="2" t="s">
        <v>10446</v>
      </c>
      <c r="F3319" s="4">
        <v>3842</v>
      </c>
      <c r="G3319" s="2" t="s">
        <v>226</v>
      </c>
      <c r="H3319" s="2" t="s">
        <v>34</v>
      </c>
      <c r="I3319" s="2" t="s">
        <v>6503</v>
      </c>
      <c r="J3319" s="2" t="s">
        <v>6504</v>
      </c>
      <c r="K3319" s="2" t="s">
        <v>282</v>
      </c>
      <c r="L3319" s="2" t="s">
        <v>34</v>
      </c>
      <c r="M3319" s="12">
        <v>28669.694</v>
      </c>
      <c r="N3319" s="7">
        <v>49.125</v>
      </c>
      <c r="O3319" s="6">
        <v>47.75</v>
      </c>
      <c r="P3319" s="2" t="s">
        <v>10447</v>
      </c>
      <c r="Q3319" s="6">
        <v>100</v>
      </c>
      <c r="R3319" s="6">
        <v>20</v>
      </c>
      <c r="S3319" s="5">
        <v>16</v>
      </c>
      <c r="T3319" s="7">
        <v>31.747</v>
      </c>
      <c r="U3319" s="5">
        <v>6.4</v>
      </c>
      <c r="V3319" s="6">
        <v>0.8</v>
      </c>
      <c r="W3319" s="5">
        <v>21.5</v>
      </c>
      <c r="X3319" s="4">
        <v>22</v>
      </c>
      <c r="Y3319" s="5">
        <v>20.5</v>
      </c>
      <c r="Z3319" s="7">
        <v>19.812999999999999</v>
      </c>
      <c r="AA3319" s="6">
        <v>20.010000000000002</v>
      </c>
      <c r="AB3319" s="7">
        <v>16.802</v>
      </c>
      <c r="AC3319" s="5">
        <v>83.2</v>
      </c>
    </row>
    <row r="3320" spans="1:29" ht="117" x14ac:dyDescent="0.15">
      <c r="A3320" s="3">
        <f>DATE(1997,9,5)</f>
        <v>35678</v>
      </c>
      <c r="B3320" s="3">
        <f>DATE(1998,4,3)</f>
        <v>35888</v>
      </c>
      <c r="C3320" s="2" t="s">
        <v>95</v>
      </c>
      <c r="D3320" s="2" t="s">
        <v>10448</v>
      </c>
      <c r="E3320" s="2" t="s">
        <v>10449</v>
      </c>
      <c r="F3320" s="4">
        <v>5812</v>
      </c>
      <c r="G3320" s="2" t="s">
        <v>230</v>
      </c>
      <c r="H3320" s="2" t="s">
        <v>34</v>
      </c>
      <c r="I3320" s="2" t="s">
        <v>51</v>
      </c>
      <c r="J3320" s="2" t="s">
        <v>52</v>
      </c>
      <c r="K3320" s="2" t="s">
        <v>53</v>
      </c>
      <c r="L3320" s="2" t="s">
        <v>34</v>
      </c>
      <c r="M3320" s="2"/>
      <c r="N3320" s="2"/>
      <c r="O3320" s="2"/>
      <c r="P3320" s="2" t="s">
        <v>10450</v>
      </c>
      <c r="Q3320" s="6">
        <v>100</v>
      </c>
      <c r="R3320" s="6">
        <v>20</v>
      </c>
      <c r="S3320" s="5">
        <v>4</v>
      </c>
      <c r="T3320" s="7">
        <v>17.609000000000002</v>
      </c>
      <c r="U3320" s="5">
        <v>7.8</v>
      </c>
      <c r="V3320" s="7">
        <v>0.57399999999999995</v>
      </c>
      <c r="W3320" s="7">
        <v>13.375</v>
      </c>
      <c r="X3320" s="7">
        <v>13.375</v>
      </c>
      <c r="Y3320" s="7">
        <v>17.875</v>
      </c>
      <c r="Z3320" s="7">
        <v>17.625</v>
      </c>
      <c r="AA3320" s="6">
        <v>6.43</v>
      </c>
      <c r="AB3320" s="7">
        <v>18.893000000000001</v>
      </c>
      <c r="AC3320" s="2"/>
    </row>
    <row r="3321" spans="1:29" ht="65" x14ac:dyDescent="0.15">
      <c r="A3321" s="3">
        <f>DATE(1997,9,5)</f>
        <v>35678</v>
      </c>
      <c r="B3321" s="3">
        <f>DATE(1997,11,26)</f>
        <v>35760</v>
      </c>
      <c r="C3321" s="2" t="s">
        <v>95</v>
      </c>
      <c r="D3321" s="2" t="s">
        <v>10451</v>
      </c>
      <c r="E3321" s="2" t="s">
        <v>10452</v>
      </c>
      <c r="F3321" s="4">
        <v>7373</v>
      </c>
      <c r="G3321" s="2" t="s">
        <v>223</v>
      </c>
      <c r="H3321" s="2" t="s">
        <v>34</v>
      </c>
      <c r="I3321" s="2" t="s">
        <v>10453</v>
      </c>
      <c r="J3321" s="2" t="s">
        <v>5922</v>
      </c>
      <c r="K3321" s="2" t="s">
        <v>551</v>
      </c>
      <c r="L3321" s="2" t="s">
        <v>303</v>
      </c>
      <c r="M3321" s="2"/>
      <c r="N3321" s="2"/>
      <c r="O3321" s="2"/>
      <c r="P3321" s="2" t="s">
        <v>10454</v>
      </c>
      <c r="Q3321" s="6">
        <v>100</v>
      </c>
      <c r="R3321" s="6">
        <v>35</v>
      </c>
      <c r="S3321" s="5">
        <v>24</v>
      </c>
      <c r="T3321" s="7">
        <v>40.911000000000001</v>
      </c>
      <c r="U3321" s="5">
        <v>5.3</v>
      </c>
      <c r="V3321" s="6">
        <v>0.95</v>
      </c>
      <c r="W3321" s="6">
        <v>31.25</v>
      </c>
      <c r="X3321" s="5">
        <v>32.5</v>
      </c>
      <c r="Y3321" s="7">
        <v>34.063000000000002</v>
      </c>
      <c r="Z3321" s="7">
        <v>34.063000000000002</v>
      </c>
      <c r="AA3321" s="6">
        <v>25.77</v>
      </c>
      <c r="AB3321" s="7">
        <v>22.2</v>
      </c>
      <c r="AC3321" s="6">
        <v>45.37</v>
      </c>
    </row>
    <row r="3322" spans="1:29" ht="169" x14ac:dyDescent="0.15">
      <c r="A3322" s="3">
        <f>DATE(1997,9,8)</f>
        <v>35681</v>
      </c>
      <c r="B3322" s="3">
        <f>DATE(1998,2,2)</f>
        <v>35828</v>
      </c>
      <c r="C3322" s="2" t="s">
        <v>95</v>
      </c>
      <c r="D3322" s="2" t="s">
        <v>9011</v>
      </c>
      <c r="E3322" s="2" t="s">
        <v>9012</v>
      </c>
      <c r="F3322" s="4">
        <v>7375</v>
      </c>
      <c r="G3322" s="2" t="s">
        <v>223</v>
      </c>
      <c r="H3322" s="2" t="s">
        <v>34</v>
      </c>
      <c r="I3322" s="2" t="s">
        <v>8451</v>
      </c>
      <c r="J3322" s="2" t="s">
        <v>375</v>
      </c>
      <c r="K3322" s="2" t="s">
        <v>63</v>
      </c>
      <c r="L3322" s="2" t="s">
        <v>34</v>
      </c>
      <c r="M3322" s="12">
        <v>29936.662</v>
      </c>
      <c r="N3322" s="6">
        <v>33.75</v>
      </c>
      <c r="O3322" s="7">
        <v>35.688000000000002</v>
      </c>
      <c r="P3322" s="2" t="s">
        <v>10455</v>
      </c>
      <c r="Q3322" s="6">
        <v>100</v>
      </c>
      <c r="R3322" s="6">
        <v>12.8</v>
      </c>
      <c r="S3322" s="5">
        <v>-94.3</v>
      </c>
      <c r="T3322" s="7">
        <v>82.506</v>
      </c>
      <c r="U3322" s="5">
        <v>7</v>
      </c>
      <c r="V3322" s="7">
        <v>-1.018</v>
      </c>
      <c r="W3322" s="7">
        <v>12.438000000000001</v>
      </c>
      <c r="X3322" s="7">
        <v>12.625</v>
      </c>
      <c r="Y3322" s="7">
        <v>12.875</v>
      </c>
      <c r="Z3322" s="5">
        <v>13.5</v>
      </c>
      <c r="AA3322" s="6">
        <v>92.6</v>
      </c>
      <c r="AB3322" s="2" t="s">
        <v>86</v>
      </c>
      <c r="AC3322" s="6">
        <v>995.24</v>
      </c>
    </row>
    <row r="3323" spans="1:29" ht="143" x14ac:dyDescent="0.15">
      <c r="A3323" s="3">
        <f>DATE(1997,9,8)</f>
        <v>35681</v>
      </c>
      <c r="B3323" s="3">
        <f>DATE(1997,12,31)</f>
        <v>35795</v>
      </c>
      <c r="C3323" s="2" t="s">
        <v>95</v>
      </c>
      <c r="D3323" s="2" t="s">
        <v>10456</v>
      </c>
      <c r="E3323" s="2" t="s">
        <v>10457</v>
      </c>
      <c r="F3323" s="4">
        <v>3111</v>
      </c>
      <c r="G3323" s="2" t="s">
        <v>326</v>
      </c>
      <c r="H3323" s="2" t="s">
        <v>34</v>
      </c>
      <c r="I3323" s="2" t="s">
        <v>10458</v>
      </c>
      <c r="J3323" s="2" t="s">
        <v>10459</v>
      </c>
      <c r="K3323" s="2" t="s">
        <v>76</v>
      </c>
      <c r="L3323" s="2" t="s">
        <v>34</v>
      </c>
      <c r="M3323" s="7">
        <v>258.536</v>
      </c>
      <c r="N3323" s="4">
        <v>17</v>
      </c>
      <c r="O3323" s="7">
        <v>17.187999999999999</v>
      </c>
      <c r="P3323" s="2" t="s">
        <v>10460</v>
      </c>
      <c r="Q3323" s="6">
        <v>100</v>
      </c>
      <c r="R3323" s="6">
        <v>37.54</v>
      </c>
      <c r="S3323" s="5">
        <v>6.8</v>
      </c>
      <c r="T3323" s="7">
        <v>17.777999999999999</v>
      </c>
      <c r="U3323" s="5">
        <v>20.6</v>
      </c>
      <c r="V3323" s="7">
        <v>1.4950000000000001</v>
      </c>
      <c r="W3323" s="7">
        <v>24.562999999999999</v>
      </c>
      <c r="X3323" s="7">
        <v>26.375</v>
      </c>
      <c r="Y3323" s="7">
        <v>32.313000000000002</v>
      </c>
      <c r="Z3323" s="5">
        <v>32.5</v>
      </c>
      <c r="AA3323" s="6">
        <v>4.4800000000000004</v>
      </c>
      <c r="AB3323" s="7">
        <v>16.93</v>
      </c>
      <c r="AC3323" s="6">
        <v>1.55</v>
      </c>
    </row>
    <row r="3324" spans="1:29" ht="117" x14ac:dyDescent="0.15">
      <c r="A3324" s="3">
        <f>DATE(1997,9,8)</f>
        <v>35681</v>
      </c>
      <c r="B3324" s="3">
        <f>DATE(1997,10,31)</f>
        <v>35734</v>
      </c>
      <c r="C3324" s="2" t="s">
        <v>95</v>
      </c>
      <c r="D3324" s="2" t="s">
        <v>10461</v>
      </c>
      <c r="E3324" s="2" t="s">
        <v>10462</v>
      </c>
      <c r="F3324" s="4">
        <v>5149</v>
      </c>
      <c r="G3324" s="2" t="s">
        <v>593</v>
      </c>
      <c r="H3324" s="2" t="s">
        <v>34</v>
      </c>
      <c r="I3324" s="2" t="s">
        <v>10463</v>
      </c>
      <c r="J3324" s="2" t="s">
        <v>10464</v>
      </c>
      <c r="K3324" s="2" t="s">
        <v>593</v>
      </c>
      <c r="L3324" s="2" t="s">
        <v>34</v>
      </c>
      <c r="M3324" s="7">
        <v>67.385999999999996</v>
      </c>
      <c r="N3324" s="4">
        <v>10</v>
      </c>
      <c r="O3324" s="6">
        <v>9.75</v>
      </c>
      <c r="P3324" s="2" t="s">
        <v>10465</v>
      </c>
      <c r="Q3324" s="6">
        <v>100</v>
      </c>
      <c r="R3324" s="6">
        <v>3.63</v>
      </c>
      <c r="S3324" s="5">
        <v>1.3</v>
      </c>
      <c r="T3324" s="7">
        <v>2.0720000000000001</v>
      </c>
      <c r="U3324" s="5">
        <v>1.6</v>
      </c>
      <c r="V3324" s="7">
        <v>0.21199999999999999</v>
      </c>
      <c r="W3324" s="7">
        <v>3.375</v>
      </c>
      <c r="X3324" s="7">
        <v>3.625</v>
      </c>
      <c r="Y3324" s="7">
        <v>3.625</v>
      </c>
      <c r="Z3324" s="7">
        <v>3.4380000000000002</v>
      </c>
      <c r="AA3324" s="6">
        <v>5.95</v>
      </c>
      <c r="AB3324" s="7">
        <v>13.28</v>
      </c>
      <c r="AC3324" s="6">
        <v>0.22</v>
      </c>
    </row>
    <row r="3325" spans="1:29" ht="143" x14ac:dyDescent="0.15">
      <c r="A3325" s="3">
        <f>DATE(1997,9,9)</f>
        <v>35682</v>
      </c>
      <c r="B3325" s="3">
        <f>DATE(1997,12,15)</f>
        <v>35779</v>
      </c>
      <c r="C3325" s="2" t="s">
        <v>95</v>
      </c>
      <c r="D3325" s="2" t="s">
        <v>10466</v>
      </c>
      <c r="E3325" s="2" t="s">
        <v>612</v>
      </c>
      <c r="F3325" s="4">
        <v>1311</v>
      </c>
      <c r="G3325" s="2" t="s">
        <v>148</v>
      </c>
      <c r="H3325" s="2" t="s">
        <v>34</v>
      </c>
      <c r="I3325" s="2" t="s">
        <v>10467</v>
      </c>
      <c r="J3325" s="2" t="s">
        <v>612</v>
      </c>
      <c r="K3325" s="2" t="s">
        <v>148</v>
      </c>
      <c r="L3325" s="2" t="s">
        <v>34</v>
      </c>
      <c r="M3325" s="7">
        <v>377.62200000000001</v>
      </c>
      <c r="N3325" s="7">
        <v>10.875</v>
      </c>
      <c r="O3325" s="4">
        <v>11</v>
      </c>
      <c r="P3325" s="2" t="s">
        <v>10468</v>
      </c>
      <c r="Q3325" s="6">
        <v>100</v>
      </c>
      <c r="R3325" s="6">
        <v>8.51</v>
      </c>
      <c r="S3325" s="5">
        <v>-6.2</v>
      </c>
      <c r="T3325" s="6">
        <v>-2.4900000000000002</v>
      </c>
      <c r="U3325" s="5">
        <v>4.5</v>
      </c>
      <c r="V3325" s="6">
        <v>-1.28</v>
      </c>
      <c r="W3325" s="4">
        <v>9</v>
      </c>
      <c r="X3325" s="7">
        <v>4.375</v>
      </c>
      <c r="Y3325" s="6">
        <v>4.25</v>
      </c>
      <c r="Z3325" s="4">
        <v>4</v>
      </c>
      <c r="AA3325" s="6">
        <v>8.6999999999999993</v>
      </c>
      <c r="AB3325" s="2" t="s">
        <v>86</v>
      </c>
      <c r="AC3325" s="6">
        <v>6.29</v>
      </c>
    </row>
    <row r="3326" spans="1:29" ht="117" x14ac:dyDescent="0.15">
      <c r="A3326" s="3">
        <f>DATE(1997,9,10)</f>
        <v>35683</v>
      </c>
      <c r="B3326" s="3">
        <f>DATE(1997,11,28)</f>
        <v>35762</v>
      </c>
      <c r="C3326" s="2" t="s">
        <v>95</v>
      </c>
      <c r="D3326" s="2" t="s">
        <v>10469</v>
      </c>
      <c r="E3326" s="2" t="s">
        <v>10470</v>
      </c>
      <c r="F3326" s="4">
        <v>2675</v>
      </c>
      <c r="G3326" s="2" t="s">
        <v>282</v>
      </c>
      <c r="H3326" s="2" t="s">
        <v>34</v>
      </c>
      <c r="I3326" s="2" t="s">
        <v>7362</v>
      </c>
      <c r="J3326" s="2" t="s">
        <v>7363</v>
      </c>
      <c r="K3326" s="2" t="s">
        <v>593</v>
      </c>
      <c r="L3326" s="2" t="s">
        <v>34</v>
      </c>
      <c r="M3326" s="12">
        <v>2191.4720000000002</v>
      </c>
      <c r="N3326" s="4">
        <v>20</v>
      </c>
      <c r="O3326" s="7">
        <v>19.937999999999999</v>
      </c>
      <c r="P3326" s="2" t="s">
        <v>10471</v>
      </c>
      <c r="Q3326" s="6">
        <v>100</v>
      </c>
      <c r="R3326" s="6">
        <v>16.079999999999998</v>
      </c>
      <c r="S3326" s="5">
        <v>10.9</v>
      </c>
      <c r="T3326" s="7">
        <v>33.063000000000002</v>
      </c>
      <c r="U3326" s="5">
        <v>4.5</v>
      </c>
      <c r="V3326" s="7">
        <v>1.095</v>
      </c>
      <c r="W3326" s="4">
        <v>14</v>
      </c>
      <c r="X3326" s="5">
        <v>14.5</v>
      </c>
      <c r="Y3326" s="7">
        <v>14.875</v>
      </c>
      <c r="Z3326" s="7">
        <v>18.875</v>
      </c>
      <c r="AA3326" s="6">
        <v>9.6199999999999992</v>
      </c>
      <c r="AB3326" s="7">
        <v>7.6680000000000001</v>
      </c>
      <c r="AC3326" s="6">
        <v>28.66</v>
      </c>
    </row>
    <row r="3327" spans="1:29" ht="117" x14ac:dyDescent="0.15">
      <c r="A3327" s="3">
        <f>DATE(1997,9,10)</f>
        <v>35683</v>
      </c>
      <c r="B3327" s="3">
        <f>DATE(1997,12,2)</f>
        <v>35766</v>
      </c>
      <c r="C3327" s="2" t="s">
        <v>95</v>
      </c>
      <c r="D3327" s="2" t="s">
        <v>10472</v>
      </c>
      <c r="E3327" s="2" t="s">
        <v>10473</v>
      </c>
      <c r="F3327" s="4">
        <v>3827</v>
      </c>
      <c r="G3327" s="2" t="s">
        <v>226</v>
      </c>
      <c r="H3327" s="2" t="s">
        <v>34</v>
      </c>
      <c r="I3327" s="2" t="s">
        <v>10474</v>
      </c>
      <c r="J3327" s="2" t="s">
        <v>10475</v>
      </c>
      <c r="K3327" s="2" t="s">
        <v>137</v>
      </c>
      <c r="L3327" s="2" t="s">
        <v>34</v>
      </c>
      <c r="M3327" s="12">
        <v>1059.6679999999999</v>
      </c>
      <c r="N3327" s="7">
        <v>33.688000000000002</v>
      </c>
      <c r="O3327" s="7">
        <v>33.938000000000002</v>
      </c>
      <c r="P3327" s="2" t="s">
        <v>10476</v>
      </c>
      <c r="Q3327" s="6">
        <v>100</v>
      </c>
      <c r="R3327" s="6">
        <v>22.09</v>
      </c>
      <c r="S3327" s="5">
        <v>1.5</v>
      </c>
      <c r="T3327" s="7">
        <v>3.6160000000000001</v>
      </c>
      <c r="U3327" s="5">
        <v>6.3</v>
      </c>
      <c r="V3327" s="7">
        <v>0.83899999999999997</v>
      </c>
      <c r="W3327" s="6">
        <v>8.25</v>
      </c>
      <c r="X3327" s="6">
        <v>8.25</v>
      </c>
      <c r="Y3327" s="6">
        <v>21.25</v>
      </c>
      <c r="Z3327" s="4">
        <v>21</v>
      </c>
      <c r="AA3327" s="6">
        <v>1.56</v>
      </c>
      <c r="AB3327" s="7">
        <v>15.792999999999999</v>
      </c>
      <c r="AC3327" s="6">
        <v>262.06</v>
      </c>
    </row>
    <row r="3328" spans="1:29" ht="169" x14ac:dyDescent="0.15">
      <c r="A3328" s="3">
        <f>DATE(1997,9,10)</f>
        <v>35683</v>
      </c>
      <c r="B3328" s="2"/>
      <c r="C3328" s="2" t="s">
        <v>30</v>
      </c>
      <c r="D3328" s="2" t="s">
        <v>10477</v>
      </c>
      <c r="E3328" s="2" t="s">
        <v>10478</v>
      </c>
      <c r="F3328" s="4">
        <v>6512</v>
      </c>
      <c r="G3328" s="2" t="s">
        <v>109</v>
      </c>
      <c r="H3328" s="2" t="s">
        <v>34</v>
      </c>
      <c r="I3328" s="2" t="s">
        <v>51</v>
      </c>
      <c r="J3328" s="2" t="s">
        <v>52</v>
      </c>
      <c r="K3328" s="2" t="s">
        <v>53</v>
      </c>
      <c r="L3328" s="2" t="s">
        <v>34</v>
      </c>
      <c r="M3328" s="2"/>
      <c r="N3328" s="2"/>
      <c r="O3328" s="2"/>
      <c r="P3328" s="2" t="s">
        <v>10479</v>
      </c>
      <c r="Q3328" s="2"/>
      <c r="R3328" s="6">
        <v>1.84</v>
      </c>
      <c r="S3328" s="5">
        <v>0.6</v>
      </c>
      <c r="T3328" s="7">
        <v>3.0550000000000002</v>
      </c>
      <c r="U3328" s="5">
        <v>1.2</v>
      </c>
      <c r="V3328" s="2"/>
      <c r="W3328" s="7">
        <v>0.93799999999999994</v>
      </c>
      <c r="X3328" s="6">
        <v>1.1399999999999999</v>
      </c>
      <c r="Y3328" s="6">
        <v>1.26</v>
      </c>
      <c r="Z3328" s="6">
        <v>1.25</v>
      </c>
      <c r="AA3328" s="6">
        <v>19.71</v>
      </c>
      <c r="AB3328" s="7">
        <v>24.26</v>
      </c>
      <c r="AC3328" s="2"/>
    </row>
    <row r="3329" spans="1:29" ht="65" x14ac:dyDescent="0.15">
      <c r="A3329" s="3">
        <f>DATE(1997,9,10)</f>
        <v>35683</v>
      </c>
      <c r="B3329" s="3">
        <f>DATE(1998,2,27)</f>
        <v>35853</v>
      </c>
      <c r="C3329" s="2" t="s">
        <v>95</v>
      </c>
      <c r="D3329" s="2" t="s">
        <v>10480</v>
      </c>
      <c r="E3329" s="2" t="s">
        <v>36</v>
      </c>
      <c r="F3329" s="4">
        <v>6022</v>
      </c>
      <c r="G3329" s="2" t="s">
        <v>37</v>
      </c>
      <c r="H3329" s="2" t="s">
        <v>34</v>
      </c>
      <c r="I3329" s="2" t="s">
        <v>10481</v>
      </c>
      <c r="J3329" s="2" t="s">
        <v>32</v>
      </c>
      <c r="K3329" s="2" t="s">
        <v>33</v>
      </c>
      <c r="L3329" s="2" t="s">
        <v>34</v>
      </c>
      <c r="M3329" s="7">
        <v>74.543000000000006</v>
      </c>
      <c r="N3329" s="6">
        <v>35.75</v>
      </c>
      <c r="O3329" s="4">
        <v>36</v>
      </c>
      <c r="P3329" s="2" t="s">
        <v>10482</v>
      </c>
      <c r="Q3329" s="6">
        <v>100</v>
      </c>
      <c r="R3329" s="6">
        <v>29.25</v>
      </c>
      <c r="S3329" s="5">
        <v>0.5</v>
      </c>
      <c r="T3329" s="7">
        <v>1.0489999999999999</v>
      </c>
      <c r="U3329" s="5">
        <v>15.8</v>
      </c>
      <c r="V3329" s="2"/>
      <c r="W3329" s="6">
        <v>24.25</v>
      </c>
      <c r="X3329" s="6">
        <v>21.25</v>
      </c>
      <c r="Y3329" s="7">
        <v>26.625</v>
      </c>
      <c r="Z3329" s="4">
        <v>27</v>
      </c>
      <c r="AA3329" s="6">
        <v>0.65</v>
      </c>
      <c r="AB3329" s="7">
        <v>116.529</v>
      </c>
      <c r="AC3329" s="2"/>
    </row>
    <row r="3330" spans="1:29" ht="117" x14ac:dyDescent="0.15">
      <c r="A3330" s="3">
        <f>DATE(1997,9,11)</f>
        <v>35684</v>
      </c>
      <c r="B3330" s="3">
        <f>DATE(1997,12,22)</f>
        <v>35786</v>
      </c>
      <c r="C3330" s="2" t="s">
        <v>95</v>
      </c>
      <c r="D3330" s="2" t="s">
        <v>3808</v>
      </c>
      <c r="E3330" s="2" t="s">
        <v>10483</v>
      </c>
      <c r="F3330" s="4">
        <v>2262</v>
      </c>
      <c r="G3330" s="2" t="s">
        <v>708</v>
      </c>
      <c r="H3330" s="2" t="s">
        <v>34</v>
      </c>
      <c r="I3330" s="2" t="s">
        <v>10484</v>
      </c>
      <c r="J3330" s="2" t="s">
        <v>10485</v>
      </c>
      <c r="K3330" s="2" t="s">
        <v>708</v>
      </c>
      <c r="L3330" s="2" t="s">
        <v>34</v>
      </c>
      <c r="M3330" s="6">
        <v>257.36</v>
      </c>
      <c r="N3330" s="6">
        <v>28.25</v>
      </c>
      <c r="O3330" s="9">
        <v>28.4375</v>
      </c>
      <c r="P3330" s="2" t="s">
        <v>10486</v>
      </c>
      <c r="Q3330" s="6">
        <v>100</v>
      </c>
      <c r="R3330" s="6">
        <v>34</v>
      </c>
      <c r="S3330" s="5">
        <v>1.1000000000000001</v>
      </c>
      <c r="T3330" s="7">
        <v>67.247</v>
      </c>
      <c r="U3330" s="5">
        <v>15.4</v>
      </c>
      <c r="V3330" s="6">
        <v>-0.38</v>
      </c>
      <c r="W3330" s="7">
        <v>31.312999999999999</v>
      </c>
      <c r="X3330" s="5">
        <v>33.5</v>
      </c>
      <c r="Y3330" s="7">
        <v>34.125</v>
      </c>
      <c r="Z3330" s="7">
        <v>34.125</v>
      </c>
      <c r="AA3330" s="6">
        <v>9.23</v>
      </c>
      <c r="AB3330" s="7">
        <v>27.882999999999999</v>
      </c>
      <c r="AC3330" s="6">
        <v>0.02</v>
      </c>
    </row>
    <row r="3331" spans="1:29" ht="104" x14ac:dyDescent="0.15">
      <c r="A3331" s="3">
        <f>DATE(1997,9,11)</f>
        <v>35684</v>
      </c>
      <c r="B3331" s="2"/>
      <c r="C3331" s="2" t="s">
        <v>30</v>
      </c>
      <c r="D3331" s="2" t="s">
        <v>9903</v>
      </c>
      <c r="E3331" s="2" t="s">
        <v>9904</v>
      </c>
      <c r="F3331" s="4">
        <v>5632</v>
      </c>
      <c r="G3331" s="2" t="s">
        <v>756</v>
      </c>
      <c r="H3331" s="2" t="s">
        <v>34</v>
      </c>
      <c r="I3331" s="2" t="s">
        <v>10487</v>
      </c>
      <c r="J3331" s="2" t="s">
        <v>3197</v>
      </c>
      <c r="K3331" s="2" t="s">
        <v>53</v>
      </c>
      <c r="L3331" s="2" t="s">
        <v>34</v>
      </c>
      <c r="M3331" s="2"/>
      <c r="N3331" s="2"/>
      <c r="O3331" s="2"/>
      <c r="P3331" s="2" t="s">
        <v>10488</v>
      </c>
      <c r="Q3331" s="2"/>
      <c r="R3331" s="6">
        <v>9</v>
      </c>
      <c r="S3331" s="5">
        <v>2.7</v>
      </c>
      <c r="T3331" s="7">
        <v>7.8760000000000003</v>
      </c>
      <c r="U3331" s="5">
        <v>4.0999999999999996</v>
      </c>
      <c r="V3331" s="6">
        <v>0.31</v>
      </c>
      <c r="W3331" s="6">
        <v>4.25</v>
      </c>
      <c r="X3331" s="7">
        <v>4.125</v>
      </c>
      <c r="Y3331" s="7">
        <v>4.1879999999999997</v>
      </c>
      <c r="Z3331" s="4">
        <v>5</v>
      </c>
      <c r="AA3331" s="6">
        <v>9.3699999999999992</v>
      </c>
      <c r="AB3331" s="7">
        <v>19.085000000000001</v>
      </c>
      <c r="AC3331" s="2"/>
    </row>
    <row r="3332" spans="1:29" ht="143" x14ac:dyDescent="0.15">
      <c r="A3332" s="3">
        <f>DATE(1997,9,11)</f>
        <v>35684</v>
      </c>
      <c r="B3332" s="3">
        <f>DATE(1998,4,1)</f>
        <v>35886</v>
      </c>
      <c r="C3332" s="2" t="s">
        <v>95</v>
      </c>
      <c r="D3332" s="2" t="s">
        <v>10489</v>
      </c>
      <c r="E3332" s="2" t="s">
        <v>36</v>
      </c>
      <c r="F3332" s="4">
        <v>6022</v>
      </c>
      <c r="G3332" s="2" t="s">
        <v>37</v>
      </c>
      <c r="H3332" s="2" t="s">
        <v>34</v>
      </c>
      <c r="I3332" s="2" t="s">
        <v>2392</v>
      </c>
      <c r="J3332" s="2" t="s">
        <v>36</v>
      </c>
      <c r="K3332" s="2" t="s">
        <v>37</v>
      </c>
      <c r="L3332" s="2" t="s">
        <v>34</v>
      </c>
      <c r="M3332" s="7">
        <v>646.88300000000004</v>
      </c>
      <c r="N3332" s="7">
        <v>43.563000000000002</v>
      </c>
      <c r="O3332" s="6">
        <v>43.25</v>
      </c>
      <c r="P3332" s="2" t="s">
        <v>10490</v>
      </c>
      <c r="Q3332" s="6">
        <v>100</v>
      </c>
      <c r="R3332" s="6">
        <v>38.68</v>
      </c>
      <c r="S3332" s="5">
        <v>7.7</v>
      </c>
      <c r="T3332" s="7">
        <v>18.872</v>
      </c>
      <c r="U3332" s="5">
        <v>13.2</v>
      </c>
      <c r="V3332" s="7">
        <v>1.4770000000000001</v>
      </c>
      <c r="W3332" s="4">
        <v>32</v>
      </c>
      <c r="X3332" s="5">
        <v>34.5</v>
      </c>
      <c r="Y3332" s="6">
        <v>35.75</v>
      </c>
      <c r="Z3332" s="4">
        <v>36</v>
      </c>
      <c r="AA3332" s="6">
        <v>5.1100000000000003</v>
      </c>
      <c r="AB3332" s="7">
        <v>83.17</v>
      </c>
      <c r="AC3332" s="2"/>
    </row>
    <row r="3333" spans="1:29" ht="26" x14ac:dyDescent="0.15">
      <c r="A3333" s="3">
        <f>DATE(1997,9,11)</f>
        <v>35684</v>
      </c>
      <c r="B3333" s="2"/>
      <c r="C3333" s="2" t="s">
        <v>189</v>
      </c>
      <c r="D3333" s="2" t="s">
        <v>10491</v>
      </c>
      <c r="E3333" s="2" t="s">
        <v>10492</v>
      </c>
      <c r="F3333" s="4">
        <v>3569</v>
      </c>
      <c r="G3333" s="2" t="s">
        <v>300</v>
      </c>
      <c r="H3333" s="2" t="s">
        <v>34</v>
      </c>
      <c r="I3333" s="2" t="s">
        <v>143</v>
      </c>
      <c r="J3333" s="2" t="s">
        <v>144</v>
      </c>
      <c r="K3333" s="2" t="s">
        <v>53</v>
      </c>
      <c r="L3333" s="2" t="s">
        <v>139</v>
      </c>
      <c r="M3333" s="2"/>
      <c r="N3333" s="2"/>
      <c r="O3333" s="2"/>
      <c r="P3333" s="2" t="s">
        <v>10493</v>
      </c>
      <c r="Q3333" s="2"/>
      <c r="R3333" s="2"/>
      <c r="S3333" s="5">
        <v>-3</v>
      </c>
      <c r="T3333" s="6">
        <v>-2.39</v>
      </c>
      <c r="U3333" s="5">
        <v>0.9</v>
      </c>
      <c r="V3333" s="6">
        <v>-0.76</v>
      </c>
      <c r="W3333" s="7">
        <v>1.375</v>
      </c>
      <c r="X3333" s="5">
        <v>1.5</v>
      </c>
      <c r="Y3333" s="7">
        <v>1.375</v>
      </c>
      <c r="Z3333" s="7">
        <v>1.375</v>
      </c>
      <c r="AA3333" s="6">
        <v>4.01</v>
      </c>
      <c r="AB3333" s="2" t="s">
        <v>86</v>
      </c>
      <c r="AC3333" s="2"/>
    </row>
    <row r="3334" spans="1:29" ht="156" x14ac:dyDescent="0.15">
      <c r="A3334" s="3">
        <f>DATE(1997,9,12)</f>
        <v>35685</v>
      </c>
      <c r="B3334" s="3">
        <f>DATE(1998,4,1)</f>
        <v>35886</v>
      </c>
      <c r="C3334" s="2" t="s">
        <v>95</v>
      </c>
      <c r="D3334" s="2" t="s">
        <v>10494</v>
      </c>
      <c r="E3334" s="2" t="s">
        <v>36</v>
      </c>
      <c r="F3334" s="4">
        <v>6029</v>
      </c>
      <c r="G3334" s="2" t="s">
        <v>37</v>
      </c>
      <c r="H3334" s="2" t="s">
        <v>34</v>
      </c>
      <c r="I3334" s="2" t="s">
        <v>4131</v>
      </c>
      <c r="J3334" s="2" t="s">
        <v>36</v>
      </c>
      <c r="K3334" s="2" t="s">
        <v>37</v>
      </c>
      <c r="L3334" s="2" t="s">
        <v>34</v>
      </c>
      <c r="M3334" s="7">
        <v>417.86799999999999</v>
      </c>
      <c r="N3334" s="4">
        <v>28</v>
      </c>
      <c r="O3334" s="5">
        <v>29.5</v>
      </c>
      <c r="P3334" s="2" t="s">
        <v>10495</v>
      </c>
      <c r="Q3334" s="6">
        <v>100</v>
      </c>
      <c r="R3334" s="6">
        <v>78.38</v>
      </c>
      <c r="S3334" s="5">
        <v>5</v>
      </c>
      <c r="T3334" s="7">
        <v>8.4190000000000005</v>
      </c>
      <c r="U3334" s="5">
        <v>26.3</v>
      </c>
      <c r="V3334" s="6">
        <v>3.41</v>
      </c>
      <c r="W3334" s="7">
        <v>52.813000000000002</v>
      </c>
      <c r="X3334" s="4">
        <v>53</v>
      </c>
      <c r="Y3334" s="4">
        <v>73</v>
      </c>
      <c r="Z3334" s="4">
        <v>75</v>
      </c>
      <c r="AA3334" s="6">
        <v>1.62</v>
      </c>
      <c r="AB3334" s="7">
        <v>55.186999999999998</v>
      </c>
      <c r="AC3334" s="2"/>
    </row>
    <row r="3335" spans="1:29" ht="117" x14ac:dyDescent="0.15">
      <c r="A3335" s="3">
        <f>DATE(1997,9,12)</f>
        <v>35685</v>
      </c>
      <c r="B3335" s="3">
        <f>DATE(1997,12,9)</f>
        <v>35773</v>
      </c>
      <c r="C3335" s="2" t="s">
        <v>95</v>
      </c>
      <c r="D3335" s="2" t="s">
        <v>10496</v>
      </c>
      <c r="E3335" s="2" t="s">
        <v>10497</v>
      </c>
      <c r="F3335" s="4">
        <v>7372</v>
      </c>
      <c r="G3335" s="2" t="s">
        <v>551</v>
      </c>
      <c r="H3335" s="2" t="s">
        <v>34</v>
      </c>
      <c r="I3335" s="2" t="s">
        <v>10498</v>
      </c>
      <c r="J3335" s="2" t="s">
        <v>7480</v>
      </c>
      <c r="K3335" s="2" t="s">
        <v>551</v>
      </c>
      <c r="L3335" s="2" t="s">
        <v>34</v>
      </c>
      <c r="M3335" s="2"/>
      <c r="N3335" s="2"/>
      <c r="O3335" s="2"/>
      <c r="P3335" s="2" t="s">
        <v>10499</v>
      </c>
      <c r="Q3335" s="6">
        <v>100</v>
      </c>
      <c r="R3335" s="6">
        <v>15</v>
      </c>
      <c r="S3335" s="5">
        <v>5.4</v>
      </c>
      <c r="T3335" s="7">
        <v>8.1150000000000002</v>
      </c>
      <c r="U3335" s="5">
        <v>2.5</v>
      </c>
      <c r="V3335" s="6">
        <v>0.45</v>
      </c>
      <c r="W3335" s="4">
        <v>12</v>
      </c>
      <c r="X3335" s="6">
        <v>13.75</v>
      </c>
      <c r="Y3335" s="4">
        <v>14</v>
      </c>
      <c r="Z3335" s="5">
        <v>14.5</v>
      </c>
      <c r="AA3335" s="6">
        <v>11.97</v>
      </c>
      <c r="AB3335" s="7">
        <v>20.521999999999998</v>
      </c>
      <c r="AC3335" s="2"/>
    </row>
    <row r="3336" spans="1:29" ht="169" x14ac:dyDescent="0.15">
      <c r="A3336" s="3">
        <f>DATE(1997,9,12)</f>
        <v>35685</v>
      </c>
      <c r="B3336" s="3">
        <f>DATE(1998,2,25)</f>
        <v>35851</v>
      </c>
      <c r="C3336" s="2" t="s">
        <v>95</v>
      </c>
      <c r="D3336" s="2" t="s">
        <v>5561</v>
      </c>
      <c r="E3336" s="2" t="s">
        <v>3484</v>
      </c>
      <c r="F3336" s="4">
        <v>6311</v>
      </c>
      <c r="G3336" s="2" t="s">
        <v>125</v>
      </c>
      <c r="H3336" s="2" t="s">
        <v>34</v>
      </c>
      <c r="I3336" s="2" t="s">
        <v>514</v>
      </c>
      <c r="J3336" s="2" t="s">
        <v>515</v>
      </c>
      <c r="K3336" s="2" t="s">
        <v>125</v>
      </c>
      <c r="L3336" s="2" t="s">
        <v>34</v>
      </c>
      <c r="M3336" s="12">
        <v>12100.963</v>
      </c>
      <c r="N3336" s="5">
        <v>50.5</v>
      </c>
      <c r="O3336" s="7">
        <v>49.813000000000002</v>
      </c>
      <c r="P3336" s="2" t="s">
        <v>10500</v>
      </c>
      <c r="Q3336" s="6">
        <v>55.34</v>
      </c>
      <c r="R3336" s="6">
        <v>30.82</v>
      </c>
      <c r="S3336" s="5">
        <v>99.4</v>
      </c>
      <c r="T3336" s="2"/>
      <c r="U3336" s="5">
        <v>14</v>
      </c>
      <c r="V3336" s="6">
        <v>1.53</v>
      </c>
      <c r="W3336" s="6">
        <v>28.68</v>
      </c>
      <c r="X3336" s="6">
        <v>28.12</v>
      </c>
      <c r="Y3336" s="7">
        <v>28.437999999999999</v>
      </c>
      <c r="Z3336" s="5">
        <v>28.5</v>
      </c>
      <c r="AA3336" s="6">
        <v>69.77</v>
      </c>
      <c r="AB3336" s="7">
        <v>13.000999999999999</v>
      </c>
      <c r="AC3336" s="5">
        <v>149</v>
      </c>
    </row>
    <row r="3337" spans="1:29" ht="143" x14ac:dyDescent="0.15">
      <c r="A3337" s="3">
        <f>DATE(1997,9,15)</f>
        <v>35688</v>
      </c>
      <c r="B3337" s="3">
        <f>DATE(1997,12,19)</f>
        <v>35783</v>
      </c>
      <c r="C3337" s="2" t="s">
        <v>95</v>
      </c>
      <c r="D3337" s="2" t="s">
        <v>10501</v>
      </c>
      <c r="E3337" s="2" t="s">
        <v>92</v>
      </c>
      <c r="F3337" s="4">
        <v>6798</v>
      </c>
      <c r="G3337" s="2" t="s">
        <v>53</v>
      </c>
      <c r="H3337" s="2" t="s">
        <v>34</v>
      </c>
      <c r="I3337" s="2" t="s">
        <v>10502</v>
      </c>
      <c r="J3337" s="2" t="s">
        <v>6321</v>
      </c>
      <c r="K3337" s="2" t="s">
        <v>53</v>
      </c>
      <c r="L3337" s="2" t="s">
        <v>34</v>
      </c>
      <c r="M3337" s="12">
        <v>4736.6260000000002</v>
      </c>
      <c r="N3337" s="7">
        <v>31.687999999999999</v>
      </c>
      <c r="O3337" s="6">
        <v>31.25</v>
      </c>
      <c r="P3337" s="2" t="s">
        <v>10503</v>
      </c>
      <c r="Q3337" s="6">
        <v>100</v>
      </c>
      <c r="R3337" s="6">
        <v>47.02</v>
      </c>
      <c r="S3337" s="5">
        <v>39.700000000000003</v>
      </c>
      <c r="T3337" s="7">
        <v>78.825000000000003</v>
      </c>
      <c r="U3337" s="5">
        <v>20.8</v>
      </c>
      <c r="V3337" s="6">
        <v>1.32</v>
      </c>
      <c r="W3337" s="4">
        <v>36</v>
      </c>
      <c r="X3337" s="7">
        <v>36.625</v>
      </c>
      <c r="Y3337" s="7">
        <v>42.625</v>
      </c>
      <c r="Z3337" s="6">
        <v>42.25</v>
      </c>
      <c r="AA3337" s="6">
        <v>55.38</v>
      </c>
      <c r="AB3337" s="7">
        <v>71.093999999999994</v>
      </c>
      <c r="AC3337" s="2"/>
    </row>
    <row r="3338" spans="1:29" ht="143" x14ac:dyDescent="0.15">
      <c r="A3338" s="3">
        <f>DATE(1997,9,15)</f>
        <v>35688</v>
      </c>
      <c r="B3338" s="3">
        <f>DATE(1998,2,6)</f>
        <v>35832</v>
      </c>
      <c r="C3338" s="2" t="s">
        <v>95</v>
      </c>
      <c r="D3338" s="2" t="s">
        <v>7017</v>
      </c>
      <c r="E3338" s="2" t="s">
        <v>36</v>
      </c>
      <c r="F3338" s="4">
        <v>6035</v>
      </c>
      <c r="G3338" s="2" t="s">
        <v>33</v>
      </c>
      <c r="H3338" s="2" t="s">
        <v>34</v>
      </c>
      <c r="I3338" s="2" t="s">
        <v>2809</v>
      </c>
      <c r="J3338" s="2" t="s">
        <v>2898</v>
      </c>
      <c r="K3338" s="2" t="s">
        <v>37</v>
      </c>
      <c r="L3338" s="2" t="s">
        <v>34</v>
      </c>
      <c r="M3338" s="12">
        <v>3835.1550000000002</v>
      </c>
      <c r="N3338" s="9">
        <v>44.8125</v>
      </c>
      <c r="O3338" s="9">
        <v>45.3125</v>
      </c>
      <c r="P3338" s="2" t="s">
        <v>10504</v>
      </c>
      <c r="Q3338" s="6">
        <v>100</v>
      </c>
      <c r="R3338" s="6">
        <v>44</v>
      </c>
      <c r="S3338" s="5">
        <v>19.5</v>
      </c>
      <c r="T3338" s="7">
        <v>33.948</v>
      </c>
      <c r="U3338" s="5">
        <v>19.899999999999999</v>
      </c>
      <c r="V3338" s="6">
        <v>1.36</v>
      </c>
      <c r="W3338" s="7">
        <v>35.625</v>
      </c>
      <c r="X3338" s="6">
        <v>42.75</v>
      </c>
      <c r="Y3338" s="7">
        <v>41.375</v>
      </c>
      <c r="Z3338" s="4">
        <v>42</v>
      </c>
      <c r="AA3338" s="6">
        <v>13.8</v>
      </c>
      <c r="AB3338" s="7">
        <v>107.095</v>
      </c>
      <c r="AC3338" s="2"/>
    </row>
    <row r="3339" spans="1:29" ht="104" x14ac:dyDescent="0.15">
      <c r="A3339" s="3">
        <f>DATE(1997,9,16)</f>
        <v>35689</v>
      </c>
      <c r="B3339" s="3">
        <f>DATE(1997,11,4)</f>
        <v>35738</v>
      </c>
      <c r="C3339" s="2" t="s">
        <v>95</v>
      </c>
      <c r="D3339" s="2" t="s">
        <v>10505</v>
      </c>
      <c r="E3339" s="2" t="s">
        <v>10506</v>
      </c>
      <c r="F3339" s="4">
        <v>7812</v>
      </c>
      <c r="G3339" s="2" t="s">
        <v>42</v>
      </c>
      <c r="H3339" s="2" t="s">
        <v>34</v>
      </c>
      <c r="I3339" s="2" t="s">
        <v>4783</v>
      </c>
      <c r="J3339" s="2" t="s">
        <v>4784</v>
      </c>
      <c r="K3339" s="2" t="s">
        <v>186</v>
      </c>
      <c r="L3339" s="2" t="s">
        <v>303</v>
      </c>
      <c r="M3339" s="2"/>
      <c r="N3339" s="2"/>
      <c r="O3339" s="2"/>
      <c r="P3339" s="2" t="s">
        <v>10507</v>
      </c>
      <c r="Q3339" s="6">
        <v>76.83</v>
      </c>
      <c r="R3339" s="6">
        <v>25.5</v>
      </c>
      <c r="S3339" s="5">
        <v>14.1</v>
      </c>
      <c r="T3339" s="7">
        <v>134.285</v>
      </c>
      <c r="U3339" s="5">
        <v>7.3</v>
      </c>
      <c r="V3339" s="6">
        <v>1.18</v>
      </c>
      <c r="W3339" s="4">
        <v>18</v>
      </c>
      <c r="X3339" s="7">
        <v>22.625</v>
      </c>
      <c r="Y3339" s="5">
        <v>22.5</v>
      </c>
      <c r="Z3339" s="4">
        <v>22</v>
      </c>
      <c r="AA3339" s="6">
        <v>12.17</v>
      </c>
      <c r="AB3339" s="7">
        <v>14.292</v>
      </c>
      <c r="AC3339" s="6">
        <v>525.57000000000005</v>
      </c>
    </row>
    <row r="3340" spans="1:29" ht="117" x14ac:dyDescent="0.15">
      <c r="A3340" s="3">
        <f>DATE(1997,9,16)</f>
        <v>35689</v>
      </c>
      <c r="B3340" s="3">
        <f>DATE(1998,2,2)</f>
        <v>35828</v>
      </c>
      <c r="C3340" s="2" t="s">
        <v>95</v>
      </c>
      <c r="D3340" s="2" t="s">
        <v>10508</v>
      </c>
      <c r="E3340" s="2" t="s">
        <v>367</v>
      </c>
      <c r="F3340" s="4">
        <v>6211</v>
      </c>
      <c r="G3340" s="2" t="s">
        <v>53</v>
      </c>
      <c r="H3340" s="2" t="s">
        <v>34</v>
      </c>
      <c r="I3340" s="2" t="s">
        <v>4293</v>
      </c>
      <c r="J3340" s="2" t="s">
        <v>36</v>
      </c>
      <c r="K3340" s="2" t="s">
        <v>37</v>
      </c>
      <c r="L3340" s="2" t="s">
        <v>34</v>
      </c>
      <c r="M3340" s="12">
        <v>16296.359</v>
      </c>
      <c r="N3340" s="6">
        <v>70.75</v>
      </c>
      <c r="O3340" s="4">
        <v>69</v>
      </c>
      <c r="P3340" s="2" t="s">
        <v>10509</v>
      </c>
      <c r="Q3340" s="6">
        <v>100</v>
      </c>
      <c r="R3340" s="6">
        <v>39.020000000000003</v>
      </c>
      <c r="S3340" s="5">
        <v>82</v>
      </c>
      <c r="T3340" s="7">
        <v>147.47300000000001</v>
      </c>
      <c r="U3340" s="5">
        <v>9.6999999999999993</v>
      </c>
      <c r="V3340" s="9">
        <v>1.4467000000000001</v>
      </c>
      <c r="W3340" s="7">
        <v>29.312999999999999</v>
      </c>
      <c r="X3340" s="4">
        <v>33</v>
      </c>
      <c r="Y3340" s="7">
        <v>34.563000000000002</v>
      </c>
      <c r="Z3340" s="7">
        <v>35.063000000000002</v>
      </c>
      <c r="AA3340" s="6">
        <v>38.659999999999997</v>
      </c>
      <c r="AB3340" s="7">
        <v>10.887</v>
      </c>
      <c r="AC3340" s="2"/>
    </row>
    <row r="3341" spans="1:29" ht="117" x14ac:dyDescent="0.15">
      <c r="A3341" s="3">
        <f>DATE(1997,9,17)</f>
        <v>35690</v>
      </c>
      <c r="B3341" s="3">
        <f>DATE(1997,12,12)</f>
        <v>35776</v>
      </c>
      <c r="C3341" s="2" t="s">
        <v>95</v>
      </c>
      <c r="D3341" s="2" t="s">
        <v>10510</v>
      </c>
      <c r="E3341" s="2" t="s">
        <v>10511</v>
      </c>
      <c r="F3341" s="4">
        <v>2339</v>
      </c>
      <c r="G3341" s="2" t="s">
        <v>708</v>
      </c>
      <c r="H3341" s="2" t="s">
        <v>34</v>
      </c>
      <c r="I3341" s="2" t="s">
        <v>8059</v>
      </c>
      <c r="J3341" s="2" t="s">
        <v>8060</v>
      </c>
      <c r="K3341" s="2" t="s">
        <v>708</v>
      </c>
      <c r="L3341" s="2" t="s">
        <v>34</v>
      </c>
      <c r="M3341" s="12">
        <v>1680.5940000000001</v>
      </c>
      <c r="N3341" s="6">
        <v>34.75</v>
      </c>
      <c r="O3341" s="7">
        <v>34.125</v>
      </c>
      <c r="P3341" s="2" t="s">
        <v>10512</v>
      </c>
      <c r="Q3341" s="6">
        <v>100</v>
      </c>
      <c r="R3341" s="6">
        <v>11</v>
      </c>
      <c r="S3341" s="5">
        <v>27.5</v>
      </c>
      <c r="T3341" s="7">
        <v>69.046999999999997</v>
      </c>
      <c r="U3341" s="5">
        <v>7.7</v>
      </c>
      <c r="V3341" s="6">
        <v>0.93</v>
      </c>
      <c r="W3341" s="7">
        <v>7.3129999999999997</v>
      </c>
      <c r="X3341" s="7">
        <v>9.375</v>
      </c>
      <c r="Y3341" s="4">
        <v>10</v>
      </c>
      <c r="Z3341" s="7">
        <v>9.875</v>
      </c>
      <c r="AA3341" s="6">
        <v>32.159999999999997</v>
      </c>
      <c r="AB3341" s="7">
        <v>5.4080000000000004</v>
      </c>
      <c r="AC3341" s="6">
        <v>11.84</v>
      </c>
    </row>
    <row r="3342" spans="1:29" ht="143" x14ac:dyDescent="0.15">
      <c r="A3342" s="3">
        <f>DATE(1997,9,17)</f>
        <v>35690</v>
      </c>
      <c r="B3342" s="3">
        <f>DATE(1998,3,31)</f>
        <v>35885</v>
      </c>
      <c r="C3342" s="2" t="s">
        <v>95</v>
      </c>
      <c r="D3342" s="2" t="s">
        <v>10513</v>
      </c>
      <c r="E3342" s="2" t="s">
        <v>10514</v>
      </c>
      <c r="F3342" s="4">
        <v>3533</v>
      </c>
      <c r="G3342" s="2" t="s">
        <v>300</v>
      </c>
      <c r="H3342" s="2" t="s">
        <v>34</v>
      </c>
      <c r="I3342" s="2" t="s">
        <v>10515</v>
      </c>
      <c r="J3342" s="2" t="s">
        <v>1893</v>
      </c>
      <c r="K3342" s="2" t="s">
        <v>45</v>
      </c>
      <c r="L3342" s="2" t="s">
        <v>5881</v>
      </c>
      <c r="M3342" s="2"/>
      <c r="N3342" s="2"/>
      <c r="O3342" s="2"/>
      <c r="P3342" s="2" t="s">
        <v>10516</v>
      </c>
      <c r="Q3342" s="6">
        <v>100</v>
      </c>
      <c r="R3342" s="6">
        <v>4.5</v>
      </c>
      <c r="S3342" s="5">
        <v>-3.9</v>
      </c>
      <c r="T3342" s="7">
        <v>3.1659999999999999</v>
      </c>
      <c r="U3342" s="5">
        <v>2.2999999999999998</v>
      </c>
      <c r="V3342" s="7">
        <v>-0.41599999999999998</v>
      </c>
      <c r="W3342" s="7">
        <v>3.375</v>
      </c>
      <c r="X3342" s="7">
        <v>4.1879999999999997</v>
      </c>
      <c r="Y3342" s="7">
        <v>4.1879999999999997</v>
      </c>
      <c r="Z3342" s="7">
        <v>4.141</v>
      </c>
      <c r="AA3342" s="6">
        <v>13.19</v>
      </c>
      <c r="AB3342" s="2" t="s">
        <v>86</v>
      </c>
      <c r="AC3342" s="2"/>
    </row>
    <row r="3343" spans="1:29" ht="143" x14ac:dyDescent="0.15">
      <c r="A3343" s="3">
        <f>DATE(1997,9,18)</f>
        <v>35691</v>
      </c>
      <c r="B3343" s="3">
        <f>DATE(1997,12,16)</f>
        <v>35780</v>
      </c>
      <c r="C3343" s="2" t="s">
        <v>95</v>
      </c>
      <c r="D3343" s="2" t="s">
        <v>10517</v>
      </c>
      <c r="E3343" s="2" t="s">
        <v>124</v>
      </c>
      <c r="F3343" s="4">
        <v>6331</v>
      </c>
      <c r="G3343" s="2" t="s">
        <v>125</v>
      </c>
      <c r="H3343" s="2" t="s">
        <v>34</v>
      </c>
      <c r="I3343" s="2" t="s">
        <v>5488</v>
      </c>
      <c r="J3343" s="2" t="s">
        <v>3373</v>
      </c>
      <c r="K3343" s="2" t="s">
        <v>125</v>
      </c>
      <c r="L3343" s="2" t="s">
        <v>34</v>
      </c>
      <c r="M3343" s="12">
        <v>1151.422</v>
      </c>
      <c r="N3343" s="7">
        <v>44.125</v>
      </c>
      <c r="O3343" s="4">
        <v>44</v>
      </c>
      <c r="P3343" s="2" t="s">
        <v>10518</v>
      </c>
      <c r="Q3343" s="6">
        <v>22.74</v>
      </c>
      <c r="R3343" s="6">
        <v>36</v>
      </c>
      <c r="S3343" s="5">
        <v>27.5</v>
      </c>
      <c r="T3343" s="7">
        <v>50.286999999999999</v>
      </c>
      <c r="U3343" s="5">
        <v>14.8</v>
      </c>
      <c r="V3343" s="6">
        <v>1.84</v>
      </c>
      <c r="W3343" s="7">
        <v>29.062999999999999</v>
      </c>
      <c r="X3343" s="5">
        <v>32.5</v>
      </c>
      <c r="Y3343" s="7">
        <v>34.563000000000002</v>
      </c>
      <c r="Z3343" s="7">
        <v>34.563000000000002</v>
      </c>
      <c r="AA3343" s="6">
        <v>15.04</v>
      </c>
      <c r="AB3343" s="7">
        <v>14.154999999999999</v>
      </c>
      <c r="AC3343" s="6">
        <v>11.61</v>
      </c>
    </row>
    <row r="3344" spans="1:29" ht="143" x14ac:dyDescent="0.15">
      <c r="A3344" s="3">
        <f>DATE(1997,9,18)</f>
        <v>35691</v>
      </c>
      <c r="B3344" s="2"/>
      <c r="C3344" s="2" t="s">
        <v>30</v>
      </c>
      <c r="D3344" s="2" t="s">
        <v>10519</v>
      </c>
      <c r="E3344" s="2" t="s">
        <v>10520</v>
      </c>
      <c r="F3344" s="4">
        <v>3089</v>
      </c>
      <c r="G3344" s="2" t="s">
        <v>447</v>
      </c>
      <c r="H3344" s="2" t="s">
        <v>34</v>
      </c>
      <c r="I3344" s="2" t="s">
        <v>10521</v>
      </c>
      <c r="J3344" s="2" t="s">
        <v>7430</v>
      </c>
      <c r="K3344" s="2" t="s">
        <v>447</v>
      </c>
      <c r="L3344" s="2" t="s">
        <v>4242</v>
      </c>
      <c r="M3344" s="2"/>
      <c r="N3344" s="2"/>
      <c r="O3344" s="2"/>
      <c r="P3344" s="2" t="s">
        <v>10522</v>
      </c>
      <c r="Q3344" s="2"/>
      <c r="R3344" s="6">
        <v>13.61</v>
      </c>
      <c r="S3344" s="5">
        <v>0.8</v>
      </c>
      <c r="T3344" s="7">
        <v>3.5790000000000002</v>
      </c>
      <c r="U3344" s="5">
        <v>3.1</v>
      </c>
      <c r="V3344" s="6">
        <v>0.21</v>
      </c>
      <c r="W3344" s="6">
        <v>14.25</v>
      </c>
      <c r="X3344" s="4">
        <v>15</v>
      </c>
      <c r="Y3344" s="6">
        <v>15.75</v>
      </c>
      <c r="Z3344" s="7">
        <v>15.125</v>
      </c>
      <c r="AA3344" s="6">
        <v>6.66</v>
      </c>
      <c r="AB3344" s="7">
        <v>45.4</v>
      </c>
      <c r="AC3344" s="2"/>
    </row>
    <row r="3345" spans="1:29" ht="156" x14ac:dyDescent="0.15">
      <c r="A3345" s="3">
        <f>DATE(1997,9,18)</f>
        <v>35691</v>
      </c>
      <c r="B3345" s="3">
        <f>DATE(1998,2,27)</f>
        <v>35853</v>
      </c>
      <c r="C3345" s="2" t="s">
        <v>95</v>
      </c>
      <c r="D3345" s="2" t="s">
        <v>10523</v>
      </c>
      <c r="E3345" s="2" t="s">
        <v>36</v>
      </c>
      <c r="F3345" s="4">
        <v>6022</v>
      </c>
      <c r="G3345" s="2" t="s">
        <v>37</v>
      </c>
      <c r="H3345" s="2" t="s">
        <v>34</v>
      </c>
      <c r="I3345" s="2" t="s">
        <v>1745</v>
      </c>
      <c r="J3345" s="2" t="s">
        <v>1746</v>
      </c>
      <c r="K3345" s="2" t="s">
        <v>33</v>
      </c>
      <c r="L3345" s="2" t="s">
        <v>34</v>
      </c>
      <c r="M3345" s="7">
        <v>981.11800000000005</v>
      </c>
      <c r="N3345" s="7">
        <v>16.437999999999999</v>
      </c>
      <c r="O3345" s="4">
        <v>16</v>
      </c>
      <c r="P3345" s="2" t="s">
        <v>10524</v>
      </c>
      <c r="Q3345" s="6">
        <v>100</v>
      </c>
      <c r="R3345" s="6">
        <v>31.49</v>
      </c>
      <c r="S3345" s="5">
        <v>13.8</v>
      </c>
      <c r="T3345" s="7">
        <v>18.969000000000001</v>
      </c>
      <c r="U3345" s="5">
        <v>12</v>
      </c>
      <c r="V3345" s="6">
        <v>1.23</v>
      </c>
      <c r="W3345" s="7">
        <v>21.125</v>
      </c>
      <c r="X3345" s="7">
        <v>23.125</v>
      </c>
      <c r="Y3345" s="6">
        <v>25.25</v>
      </c>
      <c r="Z3345" s="7">
        <v>25.937999999999999</v>
      </c>
      <c r="AA3345" s="6">
        <v>11.29</v>
      </c>
      <c r="AB3345" s="7">
        <v>83.766999999999996</v>
      </c>
      <c r="AC3345" s="2"/>
    </row>
    <row r="3346" spans="1:29" ht="65" x14ac:dyDescent="0.15">
      <c r="A3346" s="3">
        <f>DATE(1997,9,18)</f>
        <v>35691</v>
      </c>
      <c r="B3346" s="3">
        <f>DATE(1998,1,16)</f>
        <v>35811</v>
      </c>
      <c r="C3346" s="2" t="s">
        <v>95</v>
      </c>
      <c r="D3346" s="2" t="s">
        <v>10525</v>
      </c>
      <c r="E3346" s="2" t="s">
        <v>10526</v>
      </c>
      <c r="F3346" s="4">
        <v>2033</v>
      </c>
      <c r="G3346" s="2" t="s">
        <v>577</v>
      </c>
      <c r="H3346" s="2" t="s">
        <v>34</v>
      </c>
      <c r="I3346" s="2" t="s">
        <v>1854</v>
      </c>
      <c r="J3346" s="2" t="s">
        <v>10527</v>
      </c>
      <c r="K3346" s="2" t="s">
        <v>593</v>
      </c>
      <c r="L3346" s="2" t="s">
        <v>34</v>
      </c>
      <c r="M3346" s="7">
        <v>802.08900000000006</v>
      </c>
      <c r="N3346" s="7">
        <v>14.813000000000001</v>
      </c>
      <c r="O3346" s="7">
        <v>14.813000000000001</v>
      </c>
      <c r="P3346" s="2" t="s">
        <v>10528</v>
      </c>
      <c r="Q3346" s="6">
        <v>100</v>
      </c>
      <c r="R3346" s="6">
        <v>1</v>
      </c>
      <c r="S3346" s="5">
        <v>-20.9</v>
      </c>
      <c r="T3346" s="7">
        <v>9.9239999999999995</v>
      </c>
      <c r="U3346" s="5">
        <v>0.8</v>
      </c>
      <c r="V3346" s="6">
        <v>-1.84</v>
      </c>
      <c r="W3346" s="7">
        <v>1.4379999999999999</v>
      </c>
      <c r="X3346" s="7">
        <v>1.5629999999999999</v>
      </c>
      <c r="Y3346" s="4">
        <v>1</v>
      </c>
      <c r="Z3346" s="7">
        <v>1.1559999999999999</v>
      </c>
      <c r="AA3346" s="6">
        <v>11.39</v>
      </c>
      <c r="AB3346" s="7">
        <v>29.369</v>
      </c>
      <c r="AC3346" s="2"/>
    </row>
    <row r="3347" spans="1:29" ht="156" x14ac:dyDescent="0.15">
      <c r="A3347" s="3">
        <f>DATE(1997,9,18)</f>
        <v>35691</v>
      </c>
      <c r="B3347" s="3">
        <f>DATE(1997,12,22)</f>
        <v>35786</v>
      </c>
      <c r="C3347" s="2" t="s">
        <v>95</v>
      </c>
      <c r="D3347" s="2" t="s">
        <v>10529</v>
      </c>
      <c r="E3347" s="2" t="s">
        <v>3478</v>
      </c>
      <c r="F3347" s="4">
        <v>4813</v>
      </c>
      <c r="G3347" s="2" t="s">
        <v>63</v>
      </c>
      <c r="H3347" s="2" t="s">
        <v>34</v>
      </c>
      <c r="I3347" s="2" t="s">
        <v>10530</v>
      </c>
      <c r="J3347" s="2" t="s">
        <v>973</v>
      </c>
      <c r="K3347" s="2" t="s">
        <v>63</v>
      </c>
      <c r="L3347" s="2" t="s">
        <v>34</v>
      </c>
      <c r="M3347" s="12">
        <v>1911.7929999999999</v>
      </c>
      <c r="N3347" s="7">
        <v>24.125</v>
      </c>
      <c r="O3347" s="7">
        <v>26.125</v>
      </c>
      <c r="P3347" s="2" t="s">
        <v>10531</v>
      </c>
      <c r="Q3347" s="6">
        <v>100</v>
      </c>
      <c r="R3347" s="6">
        <v>21.54</v>
      </c>
      <c r="S3347" s="5">
        <v>1.4</v>
      </c>
      <c r="T3347" s="7">
        <v>11.131</v>
      </c>
      <c r="U3347" s="5">
        <v>3.9</v>
      </c>
      <c r="V3347" s="6">
        <v>-0.89</v>
      </c>
      <c r="W3347" s="7">
        <v>16.062999999999999</v>
      </c>
      <c r="X3347" s="7">
        <v>18.125</v>
      </c>
      <c r="Y3347" s="6">
        <v>19.25</v>
      </c>
      <c r="Z3347" s="7">
        <v>19.687999999999999</v>
      </c>
      <c r="AA3347" s="6">
        <v>16.59</v>
      </c>
      <c r="AB3347" s="2" t="s">
        <v>86</v>
      </c>
      <c r="AC3347" s="2"/>
    </row>
    <row r="3348" spans="1:29" ht="117" x14ac:dyDescent="0.15">
      <c r="A3348" s="3">
        <f>DATE(1997,9,19)</f>
        <v>35692</v>
      </c>
      <c r="B3348" s="3">
        <f>DATE(1998,6,5)</f>
        <v>35951</v>
      </c>
      <c r="C3348" s="2" t="s">
        <v>95</v>
      </c>
      <c r="D3348" s="2" t="s">
        <v>8331</v>
      </c>
      <c r="E3348" s="2" t="s">
        <v>8332</v>
      </c>
      <c r="F3348" s="4">
        <v>4832</v>
      </c>
      <c r="G3348" s="2" t="s">
        <v>45</v>
      </c>
      <c r="H3348" s="2" t="s">
        <v>34</v>
      </c>
      <c r="I3348" s="2" t="s">
        <v>10532</v>
      </c>
      <c r="J3348" s="2" t="s">
        <v>10533</v>
      </c>
      <c r="K3348" s="2" t="s">
        <v>45</v>
      </c>
      <c r="L3348" s="2" t="s">
        <v>34</v>
      </c>
      <c r="M3348" s="12">
        <v>16776.894</v>
      </c>
      <c r="N3348" s="7">
        <v>26.125</v>
      </c>
      <c r="O3348" s="7">
        <v>26.687999999999999</v>
      </c>
      <c r="P3348" s="2" t="s">
        <v>10534</v>
      </c>
      <c r="Q3348" s="6">
        <v>100</v>
      </c>
      <c r="R3348" s="6">
        <v>44</v>
      </c>
      <c r="S3348" s="5">
        <v>5.0999999999999996</v>
      </c>
      <c r="T3348" s="7">
        <v>45.709000000000003</v>
      </c>
      <c r="U3348" s="5">
        <v>12.3</v>
      </c>
      <c r="V3348" s="6">
        <v>0.01</v>
      </c>
      <c r="W3348" s="7">
        <v>49.375</v>
      </c>
      <c r="X3348" s="7">
        <v>51.875</v>
      </c>
      <c r="Y3348" s="7">
        <v>47.938000000000002</v>
      </c>
      <c r="Z3348" s="6">
        <v>47.75</v>
      </c>
      <c r="AA3348" s="6">
        <v>29.48</v>
      </c>
      <c r="AB3348" s="7">
        <v>56.505000000000003</v>
      </c>
      <c r="AC3348" s="5">
        <v>220</v>
      </c>
    </row>
    <row r="3349" spans="1:29" ht="78" x14ac:dyDescent="0.15">
      <c r="A3349" s="3">
        <f>DATE(1997,9,19)</f>
        <v>35692</v>
      </c>
      <c r="B3349" s="3">
        <f>DATE(1998,1,16)</f>
        <v>35811</v>
      </c>
      <c r="C3349" s="2" t="s">
        <v>95</v>
      </c>
      <c r="D3349" s="2" t="s">
        <v>2194</v>
      </c>
      <c r="E3349" s="2" t="s">
        <v>2195</v>
      </c>
      <c r="F3349" s="4">
        <v>5065</v>
      </c>
      <c r="G3349" s="2" t="s">
        <v>76</v>
      </c>
      <c r="H3349" s="2" t="s">
        <v>34</v>
      </c>
      <c r="I3349" s="2" t="s">
        <v>10535</v>
      </c>
      <c r="J3349" s="2" t="s">
        <v>2195</v>
      </c>
      <c r="K3349" s="2" t="s">
        <v>76</v>
      </c>
      <c r="L3349" s="2" t="s">
        <v>34</v>
      </c>
      <c r="M3349" s="2"/>
      <c r="N3349" s="7">
        <v>38.688000000000002</v>
      </c>
      <c r="O3349" s="4">
        <v>39</v>
      </c>
      <c r="P3349" s="2" t="s">
        <v>10536</v>
      </c>
      <c r="Q3349" s="6">
        <v>100</v>
      </c>
      <c r="R3349" s="6">
        <v>21</v>
      </c>
      <c r="S3349" s="5">
        <v>9.6</v>
      </c>
      <c r="T3349" s="7">
        <v>20.553000000000001</v>
      </c>
      <c r="U3349" s="5">
        <v>8</v>
      </c>
      <c r="V3349" s="6">
        <v>1.32</v>
      </c>
      <c r="W3349" s="7">
        <v>16.125</v>
      </c>
      <c r="X3349" s="7">
        <v>18.062999999999999</v>
      </c>
      <c r="Y3349" s="7">
        <v>20.312999999999999</v>
      </c>
      <c r="Z3349" s="7">
        <v>20.312999999999999</v>
      </c>
      <c r="AA3349" s="6">
        <v>7.17</v>
      </c>
      <c r="AB3349" s="7">
        <v>10.725</v>
      </c>
      <c r="AC3349" s="6">
        <v>1.69</v>
      </c>
    </row>
    <row r="3350" spans="1:29" ht="130" x14ac:dyDescent="0.15">
      <c r="A3350" s="3">
        <f>DATE(1997,9,21)</f>
        <v>35694</v>
      </c>
      <c r="B3350" s="3">
        <f>DATE(1997,12,16)</f>
        <v>35780</v>
      </c>
      <c r="C3350" s="2" t="s">
        <v>95</v>
      </c>
      <c r="D3350" s="2" t="s">
        <v>10537</v>
      </c>
      <c r="E3350" s="2" t="s">
        <v>10538</v>
      </c>
      <c r="F3350" s="4">
        <v>7372</v>
      </c>
      <c r="G3350" s="2" t="s">
        <v>551</v>
      </c>
      <c r="H3350" s="2" t="s">
        <v>34</v>
      </c>
      <c r="I3350" s="2" t="s">
        <v>10539</v>
      </c>
      <c r="J3350" s="2" t="s">
        <v>10540</v>
      </c>
      <c r="K3350" s="2" t="s">
        <v>223</v>
      </c>
      <c r="L3350" s="2" t="s">
        <v>34</v>
      </c>
      <c r="M3350" s="7">
        <v>978.19799999999998</v>
      </c>
      <c r="N3350" s="7">
        <v>27.375</v>
      </c>
      <c r="O3350" s="7">
        <v>27.375</v>
      </c>
      <c r="P3350" s="2" t="s">
        <v>10541</v>
      </c>
      <c r="Q3350" s="6">
        <v>100</v>
      </c>
      <c r="R3350" s="6">
        <v>51.67</v>
      </c>
      <c r="S3350" s="5">
        <v>11.2</v>
      </c>
      <c r="T3350" s="7">
        <v>22.969000000000001</v>
      </c>
      <c r="U3350" s="5">
        <v>12.6</v>
      </c>
      <c r="V3350" s="7">
        <v>1.8029999999999999</v>
      </c>
      <c r="W3350" s="4">
        <v>35</v>
      </c>
      <c r="X3350" s="6">
        <v>36.25</v>
      </c>
      <c r="Y3350" s="2"/>
      <c r="Z3350" s="7">
        <v>46.563000000000002</v>
      </c>
      <c r="AA3350" s="6">
        <v>6.06</v>
      </c>
      <c r="AB3350" s="7">
        <v>20.805</v>
      </c>
      <c r="AC3350" s="6">
        <v>21.32</v>
      </c>
    </row>
    <row r="3351" spans="1:29" ht="39" x14ac:dyDescent="0.15">
      <c r="A3351" s="3">
        <f>DATE(1997,9,21)</f>
        <v>35694</v>
      </c>
      <c r="B3351" s="2"/>
      <c r="C3351" s="2" t="s">
        <v>189</v>
      </c>
      <c r="D3351" s="2" t="s">
        <v>10542</v>
      </c>
      <c r="E3351" s="2" t="s">
        <v>2712</v>
      </c>
      <c r="F3351" s="4">
        <v>6211</v>
      </c>
      <c r="G3351" s="2" t="s">
        <v>53</v>
      </c>
      <c r="H3351" s="2" t="s">
        <v>34</v>
      </c>
      <c r="I3351" s="2" t="s">
        <v>143</v>
      </c>
      <c r="J3351" s="2" t="s">
        <v>144</v>
      </c>
      <c r="K3351" s="2" t="s">
        <v>53</v>
      </c>
      <c r="L3351" s="2" t="s">
        <v>139</v>
      </c>
      <c r="M3351" s="2"/>
      <c r="N3351" s="2"/>
      <c r="O3351" s="2"/>
      <c r="P3351" s="2" t="s">
        <v>10543</v>
      </c>
      <c r="Q3351" s="2"/>
      <c r="R3351" s="2"/>
      <c r="S3351" s="5">
        <v>56.8</v>
      </c>
      <c r="T3351" s="7">
        <v>96.965000000000003</v>
      </c>
      <c r="U3351" s="5">
        <v>22.7</v>
      </c>
      <c r="V3351" s="6">
        <v>4.46</v>
      </c>
      <c r="W3351" s="7">
        <v>48.938000000000002</v>
      </c>
      <c r="X3351" s="6">
        <v>54.75</v>
      </c>
      <c r="Y3351" s="6">
        <v>55.75</v>
      </c>
      <c r="Z3351" s="6">
        <v>55.75</v>
      </c>
      <c r="AA3351" s="6">
        <v>12.29</v>
      </c>
      <c r="AB3351" s="2" t="s">
        <v>47</v>
      </c>
      <c r="AC3351" s="2"/>
    </row>
    <row r="3352" spans="1:29" ht="104" x14ac:dyDescent="0.15">
      <c r="A3352" s="3">
        <f>DATE(1997,9,22)</f>
        <v>35695</v>
      </c>
      <c r="B3352" s="3">
        <f>DATE(1998,6,30)</f>
        <v>35976</v>
      </c>
      <c r="C3352" s="2" t="s">
        <v>95</v>
      </c>
      <c r="D3352" s="2" t="s">
        <v>10544</v>
      </c>
      <c r="E3352" s="2" t="s">
        <v>1888</v>
      </c>
      <c r="F3352" s="4">
        <v>4911</v>
      </c>
      <c r="G3352" s="2" t="s">
        <v>439</v>
      </c>
      <c r="H3352" s="2" t="s">
        <v>34</v>
      </c>
      <c r="I3352" s="2" t="s">
        <v>10545</v>
      </c>
      <c r="J3352" s="2" t="s">
        <v>612</v>
      </c>
      <c r="K3352" s="2" t="s">
        <v>148</v>
      </c>
      <c r="L3352" s="2" t="s">
        <v>34</v>
      </c>
      <c r="M3352" s="7">
        <v>45.603999999999999</v>
      </c>
      <c r="N3352" s="7">
        <v>6.125</v>
      </c>
      <c r="O3352" s="7">
        <v>5.875</v>
      </c>
      <c r="P3352" s="2" t="s">
        <v>10546</v>
      </c>
      <c r="Q3352" s="6">
        <v>100</v>
      </c>
      <c r="R3352" s="2"/>
      <c r="S3352" s="5">
        <v>-0.2</v>
      </c>
      <c r="T3352" s="7">
        <v>4.1159999999999997</v>
      </c>
      <c r="U3352" s="5">
        <v>3.4</v>
      </c>
      <c r="V3352" s="7">
        <v>-2.415</v>
      </c>
      <c r="W3352" s="7">
        <v>5.125</v>
      </c>
      <c r="X3352" s="7">
        <v>5.5629999999999997</v>
      </c>
      <c r="Y3352" s="6">
        <v>5.25</v>
      </c>
      <c r="Z3352" s="4">
        <v>5</v>
      </c>
      <c r="AA3352" s="6">
        <v>3.89</v>
      </c>
      <c r="AB3352" s="7">
        <v>39.646000000000001</v>
      </c>
      <c r="AC3352" s="6">
        <v>0.47</v>
      </c>
    </row>
    <row r="3353" spans="1:29" ht="130" x14ac:dyDescent="0.15">
      <c r="A3353" s="3">
        <f>DATE(1997,9,22)</f>
        <v>35695</v>
      </c>
      <c r="B3353" s="2"/>
      <c r="C3353" s="2" t="s">
        <v>30</v>
      </c>
      <c r="D3353" s="2" t="s">
        <v>10547</v>
      </c>
      <c r="E3353" s="2" t="s">
        <v>10548</v>
      </c>
      <c r="F3353" s="4">
        <v>5122</v>
      </c>
      <c r="G3353" s="2" t="s">
        <v>593</v>
      </c>
      <c r="H3353" s="2" t="s">
        <v>34</v>
      </c>
      <c r="I3353" s="2" t="s">
        <v>10549</v>
      </c>
      <c r="J3353" s="2" t="s">
        <v>10550</v>
      </c>
      <c r="K3353" s="2" t="s">
        <v>593</v>
      </c>
      <c r="L3353" s="2" t="s">
        <v>34</v>
      </c>
      <c r="M3353" s="12">
        <v>4110.3040000000001</v>
      </c>
      <c r="N3353" s="7">
        <v>99.813000000000002</v>
      </c>
      <c r="O3353" s="6">
        <v>103.75</v>
      </c>
      <c r="P3353" s="2" t="s">
        <v>10551</v>
      </c>
      <c r="Q3353" s="2"/>
      <c r="R3353" s="6">
        <v>70.87</v>
      </c>
      <c r="S3353" s="5">
        <v>42.7</v>
      </c>
      <c r="T3353" s="7">
        <v>109.471</v>
      </c>
      <c r="U3353" s="5">
        <v>-0.2</v>
      </c>
      <c r="V3353" s="9">
        <v>0.18679999999999999</v>
      </c>
      <c r="W3353" s="7">
        <v>55.188000000000002</v>
      </c>
      <c r="X3353" s="7">
        <v>53.875</v>
      </c>
      <c r="Y3353" s="9">
        <v>53.6875</v>
      </c>
      <c r="Z3353" s="6">
        <v>60.25</v>
      </c>
      <c r="AA3353" s="6">
        <v>23.74</v>
      </c>
      <c r="AB3353" s="7">
        <v>165.14699999999999</v>
      </c>
      <c r="AC3353" s="5">
        <v>229.8</v>
      </c>
    </row>
    <row r="3354" spans="1:29" ht="143" x14ac:dyDescent="0.15">
      <c r="A3354" s="3">
        <f>DATE(1997,9,22)</f>
        <v>35695</v>
      </c>
      <c r="B3354" s="3">
        <f>DATE(1997,12,19)</f>
        <v>35783</v>
      </c>
      <c r="C3354" s="2" t="s">
        <v>95</v>
      </c>
      <c r="D3354" s="2" t="s">
        <v>6761</v>
      </c>
      <c r="E3354" s="2" t="s">
        <v>169</v>
      </c>
      <c r="F3354" s="4">
        <v>6311</v>
      </c>
      <c r="G3354" s="2" t="s">
        <v>125</v>
      </c>
      <c r="H3354" s="2" t="s">
        <v>34</v>
      </c>
      <c r="I3354" s="2" t="s">
        <v>10552</v>
      </c>
      <c r="J3354" s="2" t="s">
        <v>124</v>
      </c>
      <c r="K3354" s="2" t="s">
        <v>125</v>
      </c>
      <c r="L3354" s="2" t="s">
        <v>34</v>
      </c>
      <c r="M3354" s="7">
        <v>657.05100000000004</v>
      </c>
      <c r="N3354" s="6">
        <v>31.75</v>
      </c>
      <c r="O3354" s="7">
        <v>30.375</v>
      </c>
      <c r="P3354" s="2" t="s">
        <v>10553</v>
      </c>
      <c r="Q3354" s="6">
        <v>100</v>
      </c>
      <c r="R3354" s="6">
        <v>23.41</v>
      </c>
      <c r="S3354" s="5">
        <v>21.1</v>
      </c>
      <c r="T3354" s="2"/>
      <c r="U3354" s="5">
        <v>14.2</v>
      </c>
      <c r="V3354" s="6">
        <v>1.65</v>
      </c>
      <c r="W3354" s="7">
        <v>25.125</v>
      </c>
      <c r="X3354" s="7">
        <v>24.937999999999999</v>
      </c>
      <c r="Y3354" s="7">
        <v>21.062999999999999</v>
      </c>
      <c r="Z3354" s="5">
        <v>20.5</v>
      </c>
      <c r="AA3354" s="6">
        <v>13.29</v>
      </c>
      <c r="AB3354" s="7">
        <v>7.4390000000000001</v>
      </c>
      <c r="AC3354" s="2"/>
    </row>
    <row r="3355" spans="1:29" ht="117" x14ac:dyDescent="0.15">
      <c r="A3355" s="3">
        <f>DATE(1997,9,22)</f>
        <v>35695</v>
      </c>
      <c r="B3355" s="3">
        <f>DATE(1997,12,22)</f>
        <v>35786</v>
      </c>
      <c r="C3355" s="2" t="s">
        <v>95</v>
      </c>
      <c r="D3355" s="2" t="s">
        <v>10554</v>
      </c>
      <c r="E3355" s="2" t="s">
        <v>10555</v>
      </c>
      <c r="F3355" s="4">
        <v>3724</v>
      </c>
      <c r="G3355" s="2" t="s">
        <v>219</v>
      </c>
      <c r="H3355" s="2" t="s">
        <v>34</v>
      </c>
      <c r="I3355" s="2" t="s">
        <v>10556</v>
      </c>
      <c r="J3355" s="2" t="s">
        <v>10557</v>
      </c>
      <c r="K3355" s="2" t="s">
        <v>219</v>
      </c>
      <c r="L3355" s="2" t="s">
        <v>34</v>
      </c>
      <c r="M3355" s="12">
        <v>2299.5340000000001</v>
      </c>
      <c r="N3355" s="7">
        <v>44.563000000000002</v>
      </c>
      <c r="O3355" s="5">
        <v>44.5</v>
      </c>
      <c r="P3355" s="2" t="s">
        <v>10558</v>
      </c>
      <c r="Q3355" s="6">
        <v>100</v>
      </c>
      <c r="R3355" s="6">
        <v>31.54</v>
      </c>
      <c r="S3355" s="5">
        <v>-3.4</v>
      </c>
      <c r="T3355" s="7">
        <v>140.71299999999999</v>
      </c>
      <c r="U3355" s="5">
        <v>9.6999999999999993</v>
      </c>
      <c r="V3355" s="6">
        <v>-0.13</v>
      </c>
      <c r="W3355" s="9">
        <v>28.9375</v>
      </c>
      <c r="X3355" s="4">
        <v>30</v>
      </c>
      <c r="Y3355" s="4">
        <v>30</v>
      </c>
      <c r="Z3355" s="2"/>
      <c r="AA3355" s="6">
        <v>25.37</v>
      </c>
      <c r="AB3355" s="7">
        <v>10.307</v>
      </c>
      <c r="AC3355" s="2"/>
    </row>
    <row r="3356" spans="1:29" ht="65" x14ac:dyDescent="0.15">
      <c r="A3356" s="3">
        <f>DATE(1997,9,22)</f>
        <v>35695</v>
      </c>
      <c r="B3356" s="3">
        <f>DATE(1997,12,5)</f>
        <v>35769</v>
      </c>
      <c r="C3356" s="2" t="s">
        <v>95</v>
      </c>
      <c r="D3356" s="2" t="s">
        <v>8865</v>
      </c>
      <c r="E3356" s="2" t="s">
        <v>124</v>
      </c>
      <c r="F3356" s="4">
        <v>6311</v>
      </c>
      <c r="G3356" s="2" t="s">
        <v>125</v>
      </c>
      <c r="H3356" s="2" t="s">
        <v>34</v>
      </c>
      <c r="I3356" s="2" t="s">
        <v>4081</v>
      </c>
      <c r="J3356" s="2" t="s">
        <v>4015</v>
      </c>
      <c r="K3356" s="2" t="s">
        <v>125</v>
      </c>
      <c r="L3356" s="2" t="s">
        <v>34</v>
      </c>
      <c r="M3356" s="12">
        <v>7510.1660000000002</v>
      </c>
      <c r="N3356" s="7">
        <v>47.625</v>
      </c>
      <c r="O3356" s="7">
        <v>48.813000000000002</v>
      </c>
      <c r="P3356" s="2" t="s">
        <v>10559</v>
      </c>
      <c r="Q3356" s="6">
        <v>100</v>
      </c>
      <c r="R3356" s="6">
        <v>33.25</v>
      </c>
      <c r="S3356" s="5">
        <v>32.299999999999997</v>
      </c>
      <c r="T3356" s="2"/>
      <c r="U3356" s="5">
        <v>30.7</v>
      </c>
      <c r="V3356" s="6">
        <v>2.57</v>
      </c>
      <c r="W3356" s="7">
        <v>31.937999999999999</v>
      </c>
      <c r="X3356" s="7">
        <v>32.375</v>
      </c>
      <c r="Y3356" s="7">
        <v>32.438000000000002</v>
      </c>
      <c r="Z3356" s="5">
        <v>32.5</v>
      </c>
      <c r="AA3356" s="6">
        <v>12.46</v>
      </c>
      <c r="AB3356" s="7">
        <v>8.8780000000000001</v>
      </c>
      <c r="AC3356" s="5">
        <v>281.60000000000002</v>
      </c>
    </row>
    <row r="3357" spans="1:29" ht="104" x14ac:dyDescent="0.15">
      <c r="A3357" s="3">
        <f>DATE(1997,9,23)</f>
        <v>35696</v>
      </c>
      <c r="B3357" s="3">
        <f>DATE(1998,1,22)</f>
        <v>35817</v>
      </c>
      <c r="C3357" s="2" t="s">
        <v>95</v>
      </c>
      <c r="D3357" s="2" t="s">
        <v>10560</v>
      </c>
      <c r="E3357" s="2" t="s">
        <v>229</v>
      </c>
      <c r="F3357" s="4">
        <v>5812</v>
      </c>
      <c r="G3357" s="2" t="s">
        <v>230</v>
      </c>
      <c r="H3357" s="2" t="s">
        <v>34</v>
      </c>
      <c r="I3357" s="2" t="s">
        <v>51</v>
      </c>
      <c r="J3357" s="2" t="s">
        <v>52</v>
      </c>
      <c r="K3357" s="2" t="s">
        <v>53</v>
      </c>
      <c r="L3357" s="2" t="s">
        <v>34</v>
      </c>
      <c r="M3357" s="2"/>
      <c r="N3357" s="2"/>
      <c r="O3357" s="2"/>
      <c r="P3357" s="2" t="s">
        <v>10561</v>
      </c>
      <c r="Q3357" s="6">
        <v>100</v>
      </c>
      <c r="R3357" s="6">
        <v>12.75</v>
      </c>
      <c r="S3357" s="5">
        <v>-3.1</v>
      </c>
      <c r="T3357" s="7">
        <v>1.5720000000000001</v>
      </c>
      <c r="U3357" s="5">
        <v>7.1</v>
      </c>
      <c r="V3357" s="7">
        <v>-0.78700000000000003</v>
      </c>
      <c r="W3357" s="7">
        <v>10.875</v>
      </c>
      <c r="X3357" s="5">
        <v>10.5</v>
      </c>
      <c r="Y3357" s="5">
        <v>9.5</v>
      </c>
      <c r="Z3357" s="9">
        <v>9.5625</v>
      </c>
      <c r="AA3357" s="6">
        <v>3.71</v>
      </c>
      <c r="AB3357" s="2" t="s">
        <v>86</v>
      </c>
      <c r="AC3357" s="2"/>
    </row>
    <row r="3358" spans="1:29" ht="143" x14ac:dyDescent="0.15">
      <c r="A3358" s="3">
        <f>DATE(1997,9,23)</f>
        <v>35696</v>
      </c>
      <c r="B3358" s="3">
        <f>DATE(1998,4,20)</f>
        <v>35905</v>
      </c>
      <c r="C3358" s="2" t="s">
        <v>95</v>
      </c>
      <c r="D3358" s="2" t="s">
        <v>10562</v>
      </c>
      <c r="E3358" s="2" t="s">
        <v>36</v>
      </c>
      <c r="F3358" s="4">
        <v>6021</v>
      </c>
      <c r="G3358" s="2" t="s">
        <v>37</v>
      </c>
      <c r="H3358" s="2" t="s">
        <v>34</v>
      </c>
      <c r="I3358" s="2" t="s">
        <v>6678</v>
      </c>
      <c r="J3358" s="2" t="s">
        <v>159</v>
      </c>
      <c r="K3358" s="2" t="s">
        <v>37</v>
      </c>
      <c r="L3358" s="2" t="s">
        <v>34</v>
      </c>
      <c r="M3358" s="12">
        <v>4665.8680000000004</v>
      </c>
      <c r="N3358" s="7">
        <v>36.688000000000002</v>
      </c>
      <c r="O3358" s="7">
        <v>36.938000000000002</v>
      </c>
      <c r="P3358" s="2" t="s">
        <v>10563</v>
      </c>
      <c r="Q3358" s="6">
        <v>100</v>
      </c>
      <c r="R3358" s="6">
        <v>20.239999999999998</v>
      </c>
      <c r="S3358" s="5">
        <v>2.7</v>
      </c>
      <c r="T3358" s="6">
        <v>5.07</v>
      </c>
      <c r="U3358" s="5">
        <v>7.7</v>
      </c>
      <c r="V3358" s="7">
        <v>0.67200000000000004</v>
      </c>
      <c r="W3358" s="7">
        <v>17.062999999999999</v>
      </c>
      <c r="X3358" s="6">
        <v>16.75</v>
      </c>
      <c r="Y3358" s="4">
        <v>18</v>
      </c>
      <c r="Z3358" s="5">
        <v>18.5</v>
      </c>
      <c r="AA3358" s="6">
        <v>2.63</v>
      </c>
      <c r="AB3358" s="7">
        <v>70.641999999999996</v>
      </c>
      <c r="AC3358" s="2"/>
    </row>
    <row r="3359" spans="1:29" ht="143" x14ac:dyDescent="0.15">
      <c r="A3359" s="3">
        <f>DATE(1997,9,23)</f>
        <v>35696</v>
      </c>
      <c r="B3359" s="3">
        <f>DATE(1998,2,23)</f>
        <v>35849</v>
      </c>
      <c r="C3359" s="2" t="s">
        <v>95</v>
      </c>
      <c r="D3359" s="2" t="s">
        <v>10564</v>
      </c>
      <c r="E3359" s="2" t="s">
        <v>5900</v>
      </c>
      <c r="F3359" s="4">
        <v>6035</v>
      </c>
      <c r="G3359" s="2" t="s">
        <v>33</v>
      </c>
      <c r="H3359" s="2" t="s">
        <v>34</v>
      </c>
      <c r="I3359" s="2" t="s">
        <v>6678</v>
      </c>
      <c r="J3359" s="2" t="s">
        <v>159</v>
      </c>
      <c r="K3359" s="2" t="s">
        <v>37</v>
      </c>
      <c r="L3359" s="2" t="s">
        <v>34</v>
      </c>
      <c r="M3359" s="12">
        <v>2267.116</v>
      </c>
      <c r="N3359" s="7">
        <v>36.688000000000002</v>
      </c>
      <c r="O3359" s="7">
        <v>36.938000000000002</v>
      </c>
      <c r="P3359" s="2" t="s">
        <v>10565</v>
      </c>
      <c r="Q3359" s="6">
        <v>100</v>
      </c>
      <c r="R3359" s="6">
        <v>27.39</v>
      </c>
      <c r="S3359" s="5">
        <v>0.7</v>
      </c>
      <c r="T3359" s="7">
        <v>3.3780000000000001</v>
      </c>
      <c r="U3359" s="5">
        <v>10.4</v>
      </c>
      <c r="V3359" s="7">
        <v>0.123</v>
      </c>
      <c r="W3359" s="4">
        <v>18</v>
      </c>
      <c r="X3359" s="5">
        <v>21.5</v>
      </c>
      <c r="Y3359" s="7">
        <v>21.375</v>
      </c>
      <c r="Z3359" s="5">
        <v>21.5</v>
      </c>
      <c r="AA3359" s="6">
        <v>5.28</v>
      </c>
      <c r="AB3359" s="7">
        <v>280.149</v>
      </c>
      <c r="AC3359" s="2"/>
    </row>
    <row r="3360" spans="1:29" ht="91" x14ac:dyDescent="0.15">
      <c r="A3360" s="3">
        <f>DATE(1997,9,23)</f>
        <v>35696</v>
      </c>
      <c r="B3360" s="3">
        <f>DATE(1998,1,12)</f>
        <v>35807</v>
      </c>
      <c r="C3360" s="2" t="s">
        <v>95</v>
      </c>
      <c r="D3360" s="2" t="s">
        <v>10566</v>
      </c>
      <c r="E3360" s="2" t="s">
        <v>10567</v>
      </c>
      <c r="F3360" s="4">
        <v>4922</v>
      </c>
      <c r="G3360" s="2" t="s">
        <v>439</v>
      </c>
      <c r="H3360" s="2" t="s">
        <v>34</v>
      </c>
      <c r="I3360" s="2" t="s">
        <v>10568</v>
      </c>
      <c r="J3360" s="2" t="s">
        <v>10569</v>
      </c>
      <c r="K3360" s="2" t="s">
        <v>148</v>
      </c>
      <c r="L3360" s="2" t="s">
        <v>34</v>
      </c>
      <c r="M3360" s="2"/>
      <c r="N3360" s="2"/>
      <c r="O3360" s="2"/>
      <c r="P3360" s="2" t="s">
        <v>10570</v>
      </c>
      <c r="Q3360" s="6">
        <v>100</v>
      </c>
      <c r="R3360" s="6">
        <v>61.5</v>
      </c>
      <c r="S3360" s="5">
        <v>43.5</v>
      </c>
      <c r="T3360" s="7">
        <v>152.559</v>
      </c>
      <c r="U3360" s="5">
        <v>15.9</v>
      </c>
      <c r="V3360" s="6">
        <v>1.87</v>
      </c>
      <c r="W3360" s="6">
        <v>50.25</v>
      </c>
      <c r="X3360" s="6">
        <v>49.56</v>
      </c>
      <c r="Y3360" s="4">
        <v>50</v>
      </c>
      <c r="Z3360" s="7">
        <v>59.813000000000002</v>
      </c>
      <c r="AA3360" s="6">
        <v>20.58</v>
      </c>
      <c r="AB3360" s="7">
        <v>21.068000000000001</v>
      </c>
      <c r="AC3360" s="2"/>
    </row>
    <row r="3361" spans="1:29" ht="130" x14ac:dyDescent="0.15">
      <c r="A3361" s="3">
        <f>DATE(1997,9,24)</f>
        <v>35697</v>
      </c>
      <c r="B3361" s="3">
        <f>DATE(1997,11,24)</f>
        <v>35758</v>
      </c>
      <c r="C3361" s="2" t="s">
        <v>95</v>
      </c>
      <c r="D3361" s="2" t="s">
        <v>10571</v>
      </c>
      <c r="E3361" s="2" t="s">
        <v>129</v>
      </c>
      <c r="F3361" s="4">
        <v>2834</v>
      </c>
      <c r="G3361" s="2" t="s">
        <v>130</v>
      </c>
      <c r="H3361" s="2" t="s">
        <v>34</v>
      </c>
      <c r="I3361" s="2" t="s">
        <v>5797</v>
      </c>
      <c r="J3361" s="2" t="s">
        <v>540</v>
      </c>
      <c r="K3361" s="2" t="s">
        <v>130</v>
      </c>
      <c r="L3361" s="2" t="s">
        <v>34</v>
      </c>
      <c r="M3361" s="7">
        <v>484.678</v>
      </c>
      <c r="N3361" s="7">
        <v>16.375</v>
      </c>
      <c r="O3361" s="7">
        <v>16.937999999999999</v>
      </c>
      <c r="P3361" s="2" t="s">
        <v>10572</v>
      </c>
      <c r="Q3361" s="6">
        <v>100</v>
      </c>
      <c r="R3361" s="6">
        <v>21.97</v>
      </c>
      <c r="S3361" s="2"/>
      <c r="T3361" s="2"/>
      <c r="U3361" s="5">
        <v>8.6</v>
      </c>
      <c r="V3361" s="2"/>
      <c r="W3361" s="7">
        <v>19.687999999999999</v>
      </c>
      <c r="X3361" s="7">
        <v>19.437999999999999</v>
      </c>
      <c r="Y3361" s="7">
        <v>19.437999999999999</v>
      </c>
      <c r="Z3361" s="7">
        <v>21.187999999999999</v>
      </c>
      <c r="AA3361" s="6">
        <v>3.25</v>
      </c>
      <c r="AB3361" s="2" t="s">
        <v>47</v>
      </c>
      <c r="AC3361" s="6">
        <v>80.650000000000006</v>
      </c>
    </row>
    <row r="3362" spans="1:29" ht="78" x14ac:dyDescent="0.15">
      <c r="A3362" s="3">
        <f>DATE(1997,9,24)</f>
        <v>35697</v>
      </c>
      <c r="B3362" s="3">
        <f>DATE(1997,12,12)</f>
        <v>35776</v>
      </c>
      <c r="C3362" s="2" t="s">
        <v>95</v>
      </c>
      <c r="D3362" s="2" t="s">
        <v>10573</v>
      </c>
      <c r="E3362" s="2" t="s">
        <v>10574</v>
      </c>
      <c r="F3362" s="4">
        <v>6099</v>
      </c>
      <c r="G3362" s="2" t="s">
        <v>3583</v>
      </c>
      <c r="H3362" s="2" t="s">
        <v>34</v>
      </c>
      <c r="I3362" s="2" t="s">
        <v>10575</v>
      </c>
      <c r="J3362" s="2" t="s">
        <v>10576</v>
      </c>
      <c r="K3362" s="2" t="s">
        <v>3583</v>
      </c>
      <c r="L3362" s="2" t="s">
        <v>34</v>
      </c>
      <c r="M3362" s="2"/>
      <c r="N3362" s="2"/>
      <c r="O3362" s="2"/>
      <c r="P3362" s="2" t="s">
        <v>10577</v>
      </c>
      <c r="Q3362" s="6">
        <v>100</v>
      </c>
      <c r="R3362" s="6">
        <v>10.75</v>
      </c>
      <c r="S3362" s="5">
        <v>2</v>
      </c>
      <c r="T3362" s="7">
        <v>4.194</v>
      </c>
      <c r="U3362" s="5">
        <v>2</v>
      </c>
      <c r="V3362" s="7">
        <v>0.41899999999999998</v>
      </c>
      <c r="W3362" s="6">
        <v>10.25</v>
      </c>
      <c r="X3362" s="6">
        <v>10.25</v>
      </c>
      <c r="Y3362" s="7">
        <v>10.625</v>
      </c>
      <c r="Z3362" s="7">
        <v>10.125</v>
      </c>
      <c r="AA3362" s="6">
        <v>4.5199999999999996</v>
      </c>
      <c r="AB3362" s="7">
        <v>12.307</v>
      </c>
      <c r="AC3362" s="2"/>
    </row>
    <row r="3363" spans="1:29" ht="182" x14ac:dyDescent="0.15">
      <c r="A3363" s="3">
        <f>DATE(1997,9,24)</f>
        <v>35697</v>
      </c>
      <c r="B3363" s="3">
        <f>DATE(1997,11,28)</f>
        <v>35762</v>
      </c>
      <c r="C3363" s="2" t="s">
        <v>95</v>
      </c>
      <c r="D3363" s="2" t="s">
        <v>10578</v>
      </c>
      <c r="E3363" s="2" t="s">
        <v>2712</v>
      </c>
      <c r="F3363" s="4">
        <v>6211</v>
      </c>
      <c r="G3363" s="2" t="s">
        <v>53</v>
      </c>
      <c r="H3363" s="2" t="s">
        <v>34</v>
      </c>
      <c r="I3363" s="2" t="s">
        <v>10579</v>
      </c>
      <c r="J3363" s="2" t="s">
        <v>124</v>
      </c>
      <c r="K3363" s="2" t="s">
        <v>125</v>
      </c>
      <c r="L3363" s="2" t="s">
        <v>34</v>
      </c>
      <c r="M3363" s="12">
        <v>41191.637999999999</v>
      </c>
      <c r="N3363" s="7">
        <v>69.438000000000002</v>
      </c>
      <c r="O3363" s="7">
        <v>68.563000000000002</v>
      </c>
      <c r="P3363" s="2" t="s">
        <v>10580</v>
      </c>
      <c r="Q3363" s="6">
        <v>100</v>
      </c>
      <c r="R3363" s="6">
        <v>81.430000000000007</v>
      </c>
      <c r="S3363" s="5">
        <v>982</v>
      </c>
      <c r="T3363" s="8">
        <v>1774</v>
      </c>
      <c r="U3363" s="5">
        <v>40.4</v>
      </c>
      <c r="V3363" s="6">
        <v>8.59</v>
      </c>
      <c r="W3363" s="7">
        <v>65.625</v>
      </c>
      <c r="X3363" s="7">
        <v>67.063000000000002</v>
      </c>
      <c r="Y3363" s="5">
        <v>71.5</v>
      </c>
      <c r="Z3363" s="6">
        <v>76.25</v>
      </c>
      <c r="AA3363" s="6">
        <v>107.42</v>
      </c>
      <c r="AB3363" s="7">
        <v>67.495999999999995</v>
      </c>
      <c r="AC3363" s="8">
        <v>1868</v>
      </c>
    </row>
    <row r="3364" spans="1:29" ht="143" x14ac:dyDescent="0.15">
      <c r="A3364" s="3">
        <f>DATE(1997,9,24)</f>
        <v>35697</v>
      </c>
      <c r="B3364" s="3">
        <f>DATE(1998,1,6)</f>
        <v>35801</v>
      </c>
      <c r="C3364" s="2" t="s">
        <v>95</v>
      </c>
      <c r="D3364" s="2" t="s">
        <v>10581</v>
      </c>
      <c r="E3364" s="2" t="s">
        <v>36</v>
      </c>
      <c r="F3364" s="4">
        <v>6022</v>
      </c>
      <c r="G3364" s="2" t="s">
        <v>37</v>
      </c>
      <c r="H3364" s="2" t="s">
        <v>34</v>
      </c>
      <c r="I3364" s="2" t="s">
        <v>8886</v>
      </c>
      <c r="J3364" s="2" t="s">
        <v>3246</v>
      </c>
      <c r="K3364" s="2" t="s">
        <v>37</v>
      </c>
      <c r="L3364" s="2" t="s">
        <v>34</v>
      </c>
      <c r="M3364" s="7">
        <v>511.10599999999999</v>
      </c>
      <c r="N3364" s="6">
        <v>40.75</v>
      </c>
      <c r="O3364" s="7">
        <v>40.125</v>
      </c>
      <c r="P3364" s="2" t="s">
        <v>10582</v>
      </c>
      <c r="Q3364" s="6">
        <v>100</v>
      </c>
      <c r="R3364" s="6">
        <v>28.17</v>
      </c>
      <c r="S3364" s="5">
        <v>6.7</v>
      </c>
      <c r="T3364" s="2"/>
      <c r="U3364" s="5">
        <v>6.1</v>
      </c>
      <c r="V3364" s="7">
        <v>1.0069999999999999</v>
      </c>
      <c r="W3364" s="6">
        <v>23.75</v>
      </c>
      <c r="X3364" s="7">
        <v>23.625</v>
      </c>
      <c r="Y3364" s="5">
        <v>26.5</v>
      </c>
      <c r="Z3364" s="6">
        <v>26.25</v>
      </c>
      <c r="AA3364" s="6">
        <v>4.8</v>
      </c>
      <c r="AB3364" s="7">
        <v>45.642000000000003</v>
      </c>
      <c r="AC3364" s="2"/>
    </row>
    <row r="3365" spans="1:29" ht="104" x14ac:dyDescent="0.15">
      <c r="A3365" s="3">
        <f>DATE(1997,9,25)</f>
        <v>35698</v>
      </c>
      <c r="B3365" s="3">
        <f>DATE(1997,12,31)</f>
        <v>35795</v>
      </c>
      <c r="C3365" s="2" t="s">
        <v>95</v>
      </c>
      <c r="D3365" s="2" t="s">
        <v>1755</v>
      </c>
      <c r="E3365" s="2" t="s">
        <v>1756</v>
      </c>
      <c r="F3365" s="4">
        <v>8711</v>
      </c>
      <c r="G3365" s="2" t="s">
        <v>223</v>
      </c>
      <c r="H3365" s="2" t="s">
        <v>34</v>
      </c>
      <c r="I3365" s="2" t="s">
        <v>10583</v>
      </c>
      <c r="J3365" s="2" t="s">
        <v>10584</v>
      </c>
      <c r="K3365" s="2" t="s">
        <v>439</v>
      </c>
      <c r="L3365" s="2" t="s">
        <v>133</v>
      </c>
      <c r="M3365" s="2"/>
      <c r="N3365" s="2"/>
      <c r="O3365" s="2"/>
      <c r="P3365" s="2" t="s">
        <v>10585</v>
      </c>
      <c r="Q3365" s="6">
        <v>40.5</v>
      </c>
      <c r="R3365" s="2"/>
      <c r="S3365" s="5">
        <v>-5.3</v>
      </c>
      <c r="T3365" s="7">
        <v>37.749000000000002</v>
      </c>
      <c r="U3365" s="5">
        <v>-0.2</v>
      </c>
      <c r="V3365" s="6">
        <v>-0.27</v>
      </c>
      <c r="W3365" s="7">
        <v>1.625</v>
      </c>
      <c r="X3365" s="5">
        <v>1.5</v>
      </c>
      <c r="Y3365" s="6">
        <v>1.75</v>
      </c>
      <c r="Z3365" s="7">
        <v>1.9379999999999999</v>
      </c>
      <c r="AA3365" s="6">
        <v>32.020000000000003</v>
      </c>
      <c r="AB3365" s="7">
        <v>28.33</v>
      </c>
      <c r="AC3365" s="10">
        <v>2473.92</v>
      </c>
    </row>
    <row r="3366" spans="1:29" ht="117" x14ac:dyDescent="0.15">
      <c r="A3366" s="3">
        <f>DATE(1997,9,25)</f>
        <v>35698</v>
      </c>
      <c r="B3366" s="3">
        <f>DATE(1998,2,19)</f>
        <v>35845</v>
      </c>
      <c r="C3366" s="2" t="s">
        <v>95</v>
      </c>
      <c r="D3366" s="2" t="s">
        <v>10586</v>
      </c>
      <c r="E3366" s="2" t="s">
        <v>10587</v>
      </c>
      <c r="F3366" s="4">
        <v>3764</v>
      </c>
      <c r="G3366" s="2" t="s">
        <v>219</v>
      </c>
      <c r="H3366" s="2" t="s">
        <v>34</v>
      </c>
      <c r="I3366" s="2" t="s">
        <v>10588</v>
      </c>
      <c r="J3366" s="2" t="s">
        <v>10589</v>
      </c>
      <c r="K3366" s="2" t="s">
        <v>163</v>
      </c>
      <c r="L3366" s="2" t="s">
        <v>34</v>
      </c>
      <c r="M3366" s="7">
        <v>867.46799999999996</v>
      </c>
      <c r="N3366" s="7">
        <v>46.313000000000002</v>
      </c>
      <c r="O3366" s="7">
        <v>47.563000000000002</v>
      </c>
      <c r="P3366" s="2" t="s">
        <v>10590</v>
      </c>
      <c r="Q3366" s="6">
        <v>100</v>
      </c>
      <c r="R3366" s="6">
        <v>12</v>
      </c>
      <c r="S3366" s="5">
        <v>30.8</v>
      </c>
      <c r="T3366" s="7">
        <v>135.61799999999999</v>
      </c>
      <c r="U3366" s="5">
        <v>4</v>
      </c>
      <c r="V3366" s="6">
        <v>2.13</v>
      </c>
      <c r="W3366" s="7">
        <v>10.813000000000001</v>
      </c>
      <c r="X3366" s="6">
        <v>11.25</v>
      </c>
      <c r="Y3366" s="7">
        <v>11.438000000000001</v>
      </c>
      <c r="Z3366" s="7">
        <v>12.563000000000001</v>
      </c>
      <c r="AA3366" s="6">
        <v>14.11</v>
      </c>
      <c r="AB3366" s="7">
        <v>2.2389999999999999</v>
      </c>
      <c r="AC3366" s="6">
        <v>18.62</v>
      </c>
    </row>
    <row r="3367" spans="1:29" ht="26" x14ac:dyDescent="0.15">
      <c r="A3367" s="3">
        <f>DATE(1997,9,26)</f>
        <v>35699</v>
      </c>
      <c r="B3367" s="3">
        <f>DATE(1997,9,26)</f>
        <v>35699</v>
      </c>
      <c r="C3367" s="2" t="s">
        <v>95</v>
      </c>
      <c r="D3367" s="2" t="s">
        <v>10591</v>
      </c>
      <c r="E3367" s="2" t="s">
        <v>10592</v>
      </c>
      <c r="F3367" s="4">
        <v>3841</v>
      </c>
      <c r="G3367" s="2" t="s">
        <v>226</v>
      </c>
      <c r="H3367" s="2" t="s">
        <v>34</v>
      </c>
      <c r="I3367" s="2" t="s">
        <v>10593</v>
      </c>
      <c r="J3367" s="2" t="s">
        <v>10594</v>
      </c>
      <c r="K3367" s="2" t="s">
        <v>173</v>
      </c>
      <c r="L3367" s="2" t="s">
        <v>10595</v>
      </c>
      <c r="M3367" s="2"/>
      <c r="N3367" s="2"/>
      <c r="O3367" s="2"/>
      <c r="P3367" s="2" t="s">
        <v>10596</v>
      </c>
      <c r="Q3367" s="6">
        <v>50</v>
      </c>
      <c r="R3367" s="2"/>
      <c r="S3367" s="5">
        <v>-1.9</v>
      </c>
      <c r="T3367" s="7">
        <v>-2.117</v>
      </c>
      <c r="U3367" s="5">
        <v>1</v>
      </c>
      <c r="V3367" s="6">
        <v>-0.4</v>
      </c>
      <c r="W3367" s="7">
        <v>13.063000000000001</v>
      </c>
      <c r="X3367" s="4">
        <v>13</v>
      </c>
      <c r="Y3367" s="4">
        <v>13</v>
      </c>
      <c r="Z3367" s="7">
        <v>13.125</v>
      </c>
      <c r="AA3367" s="2"/>
      <c r="AB3367" s="2" t="s">
        <v>86</v>
      </c>
      <c r="AC3367" s="2"/>
    </row>
    <row r="3368" spans="1:29" ht="117" x14ac:dyDescent="0.15">
      <c r="A3368" s="3">
        <f>DATE(1997,9,26)</f>
        <v>35699</v>
      </c>
      <c r="B3368" s="3">
        <f>DATE(1998,2,3)</f>
        <v>35829</v>
      </c>
      <c r="C3368" s="2" t="s">
        <v>95</v>
      </c>
      <c r="D3368" s="2" t="s">
        <v>10597</v>
      </c>
      <c r="E3368" s="2" t="s">
        <v>10598</v>
      </c>
      <c r="F3368" s="4">
        <v>5812</v>
      </c>
      <c r="G3368" s="2" t="s">
        <v>230</v>
      </c>
      <c r="H3368" s="2" t="s">
        <v>34</v>
      </c>
      <c r="I3368" s="2" t="s">
        <v>10599</v>
      </c>
      <c r="J3368" s="2" t="s">
        <v>10600</v>
      </c>
      <c r="K3368" s="2" t="s">
        <v>577</v>
      </c>
      <c r="L3368" s="2" t="s">
        <v>34</v>
      </c>
      <c r="M3368" s="7">
        <v>47.268999999999998</v>
      </c>
      <c r="N3368" s="5">
        <v>20.5</v>
      </c>
      <c r="O3368" s="7">
        <v>20.125</v>
      </c>
      <c r="P3368" s="2" t="s">
        <v>10601</v>
      </c>
      <c r="Q3368" s="6">
        <v>100</v>
      </c>
      <c r="R3368" s="6">
        <v>6.59</v>
      </c>
      <c r="S3368" s="5">
        <v>2.6</v>
      </c>
      <c r="T3368" s="7">
        <v>6.1109999999999998</v>
      </c>
      <c r="U3368" s="5">
        <v>2.2000000000000002</v>
      </c>
      <c r="V3368" s="6">
        <v>0.41</v>
      </c>
      <c r="W3368" s="7">
        <v>5.8129999999999997</v>
      </c>
      <c r="X3368" s="7">
        <v>5.6879999999999997</v>
      </c>
      <c r="Y3368" s="7">
        <v>6.375</v>
      </c>
      <c r="Z3368" s="7">
        <v>6.125</v>
      </c>
      <c r="AA3368" s="6">
        <v>5.98</v>
      </c>
      <c r="AB3368" s="7">
        <v>9.6829999999999998</v>
      </c>
      <c r="AC3368" s="5">
        <v>2.6</v>
      </c>
    </row>
    <row r="3369" spans="1:29" ht="65" x14ac:dyDescent="0.15">
      <c r="A3369" s="3">
        <f>DATE(1997,9,26)</f>
        <v>35699</v>
      </c>
      <c r="B3369" s="3">
        <f>DATE(1998,4,28)</f>
        <v>35913</v>
      </c>
      <c r="C3369" s="2" t="s">
        <v>95</v>
      </c>
      <c r="D3369" s="2" t="s">
        <v>9330</v>
      </c>
      <c r="E3369" s="2" t="s">
        <v>9331</v>
      </c>
      <c r="F3369" s="4">
        <v>5812</v>
      </c>
      <c r="G3369" s="2" t="s">
        <v>230</v>
      </c>
      <c r="H3369" s="2" t="s">
        <v>34</v>
      </c>
      <c r="I3369" s="2" t="s">
        <v>51</v>
      </c>
      <c r="J3369" s="2" t="s">
        <v>52</v>
      </c>
      <c r="K3369" s="2" t="s">
        <v>53</v>
      </c>
      <c r="L3369" s="2" t="s">
        <v>34</v>
      </c>
      <c r="M3369" s="2"/>
      <c r="N3369" s="2"/>
      <c r="O3369" s="2"/>
      <c r="P3369" s="2" t="s">
        <v>10602</v>
      </c>
      <c r="Q3369" s="6">
        <v>100</v>
      </c>
      <c r="R3369" s="6">
        <v>6.75</v>
      </c>
      <c r="S3369" s="5">
        <v>1.6</v>
      </c>
      <c r="T3369" s="7">
        <v>5.0679999999999996</v>
      </c>
      <c r="U3369" s="5">
        <v>3.4</v>
      </c>
      <c r="V3369" s="7">
        <v>0.45700000000000002</v>
      </c>
      <c r="W3369" s="7">
        <v>6.625</v>
      </c>
      <c r="X3369" s="6">
        <v>6.75</v>
      </c>
      <c r="Y3369" s="7">
        <v>6.625</v>
      </c>
      <c r="Z3369" s="7">
        <v>6.625</v>
      </c>
      <c r="AA3369" s="6">
        <v>3.4</v>
      </c>
      <c r="AB3369" s="7">
        <v>9.0310000000000006</v>
      </c>
      <c r="AC3369" s="2"/>
    </row>
    <row r="3370" spans="1:29" ht="104" x14ac:dyDescent="0.15">
      <c r="A3370" s="3">
        <f t="shared" ref="A3370:A3376" si="39">DATE(1997,9,29)</f>
        <v>35702</v>
      </c>
      <c r="B3370" s="3">
        <f>DATE(1997,11,26)</f>
        <v>35760</v>
      </c>
      <c r="C3370" s="2" t="s">
        <v>95</v>
      </c>
      <c r="D3370" s="2" t="s">
        <v>10603</v>
      </c>
      <c r="E3370" s="2" t="s">
        <v>10604</v>
      </c>
      <c r="F3370" s="4">
        <v>7371</v>
      </c>
      <c r="G3370" s="2" t="s">
        <v>223</v>
      </c>
      <c r="H3370" s="2" t="s">
        <v>34</v>
      </c>
      <c r="I3370" s="2" t="s">
        <v>10605</v>
      </c>
      <c r="J3370" s="2" t="s">
        <v>10606</v>
      </c>
      <c r="K3370" s="2" t="s">
        <v>226</v>
      </c>
      <c r="L3370" s="2" t="s">
        <v>34</v>
      </c>
      <c r="M3370" s="7">
        <v>47.561999999999998</v>
      </c>
      <c r="N3370" s="4">
        <v>7</v>
      </c>
      <c r="O3370" s="7">
        <v>6.875</v>
      </c>
      <c r="P3370" s="2" t="s">
        <v>10607</v>
      </c>
      <c r="Q3370" s="6">
        <v>100</v>
      </c>
      <c r="R3370" s="6">
        <v>6.21</v>
      </c>
      <c r="S3370" s="5">
        <v>-1.1000000000000001</v>
      </c>
      <c r="T3370" s="7">
        <v>-1.018</v>
      </c>
      <c r="U3370" s="5">
        <v>1.1000000000000001</v>
      </c>
      <c r="V3370" s="6">
        <v>-0.27</v>
      </c>
      <c r="W3370" s="4">
        <v>6</v>
      </c>
      <c r="X3370" s="7">
        <v>6.125</v>
      </c>
      <c r="Y3370" s="7">
        <v>6.375</v>
      </c>
      <c r="Z3370" s="7">
        <v>6.125</v>
      </c>
      <c r="AA3370" s="6">
        <v>3.86</v>
      </c>
      <c r="AB3370" s="2" t="s">
        <v>86</v>
      </c>
      <c r="AC3370" s="6">
        <v>18.440000000000001</v>
      </c>
    </row>
    <row r="3371" spans="1:29" ht="117" x14ac:dyDescent="0.15">
      <c r="A3371" s="3">
        <f t="shared" si="39"/>
        <v>35702</v>
      </c>
      <c r="B3371" s="3">
        <f>DATE(1997,12,22)</f>
        <v>35786</v>
      </c>
      <c r="C3371" s="2" t="s">
        <v>95</v>
      </c>
      <c r="D3371" s="2" t="s">
        <v>10608</v>
      </c>
      <c r="E3371" s="2" t="s">
        <v>10609</v>
      </c>
      <c r="F3371" s="4">
        <v>2759</v>
      </c>
      <c r="G3371" s="2" t="s">
        <v>186</v>
      </c>
      <c r="H3371" s="2" t="s">
        <v>34</v>
      </c>
      <c r="I3371" s="2" t="s">
        <v>10610</v>
      </c>
      <c r="J3371" s="2" t="s">
        <v>9514</v>
      </c>
      <c r="K3371" s="2" t="s">
        <v>186</v>
      </c>
      <c r="L3371" s="2" t="s">
        <v>34</v>
      </c>
      <c r="M3371" s="12">
        <v>1339.115</v>
      </c>
      <c r="N3371" s="7">
        <v>35.813000000000002</v>
      </c>
      <c r="O3371" s="7">
        <v>36.875</v>
      </c>
      <c r="P3371" s="2" t="s">
        <v>10611</v>
      </c>
      <c r="Q3371" s="6">
        <v>100</v>
      </c>
      <c r="R3371" s="6">
        <v>21.75</v>
      </c>
      <c r="S3371" s="5">
        <v>7.3</v>
      </c>
      <c r="T3371" s="7">
        <v>48.237000000000002</v>
      </c>
      <c r="U3371" s="5">
        <v>8.6999999999999993</v>
      </c>
      <c r="V3371" s="6">
        <v>0.62</v>
      </c>
      <c r="W3371" s="6">
        <v>18.25</v>
      </c>
      <c r="X3371" s="4">
        <v>20</v>
      </c>
      <c r="Y3371" s="7">
        <v>18.437999999999999</v>
      </c>
      <c r="Z3371" s="7">
        <v>18.437999999999999</v>
      </c>
      <c r="AA3371" s="6">
        <v>12.35</v>
      </c>
      <c r="AB3371" s="7">
        <v>13.388999999999999</v>
      </c>
      <c r="AC3371" s="6">
        <v>15.87</v>
      </c>
    </row>
    <row r="3372" spans="1:29" ht="117" x14ac:dyDescent="0.15">
      <c r="A3372" s="3">
        <f t="shared" si="39"/>
        <v>35702</v>
      </c>
      <c r="B3372" s="3">
        <f>DATE(1997,12,23)</f>
        <v>35787</v>
      </c>
      <c r="C3372" s="2" t="s">
        <v>95</v>
      </c>
      <c r="D3372" s="2" t="s">
        <v>10612</v>
      </c>
      <c r="E3372" s="2" t="s">
        <v>5549</v>
      </c>
      <c r="F3372" s="4">
        <v>7371</v>
      </c>
      <c r="G3372" s="2" t="s">
        <v>223</v>
      </c>
      <c r="H3372" s="2" t="s">
        <v>34</v>
      </c>
      <c r="I3372" s="2" t="s">
        <v>4939</v>
      </c>
      <c r="J3372" s="2" t="s">
        <v>4940</v>
      </c>
      <c r="K3372" s="2" t="s">
        <v>223</v>
      </c>
      <c r="L3372" s="2" t="s">
        <v>34</v>
      </c>
      <c r="M3372" s="12">
        <v>3544.6550000000002</v>
      </c>
      <c r="N3372" s="7">
        <v>38.125</v>
      </c>
      <c r="O3372" s="6">
        <v>37.75</v>
      </c>
      <c r="P3372" s="2" t="s">
        <v>10613</v>
      </c>
      <c r="Q3372" s="6">
        <v>100</v>
      </c>
      <c r="R3372" s="6">
        <v>23.66</v>
      </c>
      <c r="S3372" s="5">
        <v>7</v>
      </c>
      <c r="T3372" s="7">
        <v>12.212</v>
      </c>
      <c r="U3372" s="5">
        <v>2.5</v>
      </c>
      <c r="V3372" s="6">
        <v>0.44</v>
      </c>
      <c r="W3372" s="4">
        <v>19</v>
      </c>
      <c r="X3372" s="6">
        <v>19.25</v>
      </c>
      <c r="Y3372" s="7">
        <v>22.030999999999999</v>
      </c>
      <c r="Z3372" s="7">
        <v>21.875</v>
      </c>
      <c r="AA3372" s="6">
        <v>15.31</v>
      </c>
      <c r="AB3372" s="7">
        <v>33.988</v>
      </c>
      <c r="AC3372" s="6">
        <v>183.61</v>
      </c>
    </row>
    <row r="3373" spans="1:29" ht="130" x14ac:dyDescent="0.15">
      <c r="A3373" s="3">
        <f t="shared" si="39"/>
        <v>35702</v>
      </c>
      <c r="B3373" s="3">
        <f>DATE(1997,12,1)</f>
        <v>35765</v>
      </c>
      <c r="C3373" s="2" t="s">
        <v>95</v>
      </c>
      <c r="D3373" s="2" t="s">
        <v>10614</v>
      </c>
      <c r="E3373" s="2" t="s">
        <v>10615</v>
      </c>
      <c r="F3373" s="4">
        <v>2026</v>
      </c>
      <c r="G3373" s="2" t="s">
        <v>577</v>
      </c>
      <c r="H3373" s="2" t="s">
        <v>34</v>
      </c>
      <c r="I3373" s="2" t="s">
        <v>10616</v>
      </c>
      <c r="J3373" s="2" t="s">
        <v>10617</v>
      </c>
      <c r="K3373" s="2" t="s">
        <v>593</v>
      </c>
      <c r="L3373" s="2" t="s">
        <v>34</v>
      </c>
      <c r="M3373" s="6">
        <v>658.02</v>
      </c>
      <c r="N3373" s="5">
        <v>51.5</v>
      </c>
      <c r="O3373" s="5">
        <v>51.5</v>
      </c>
      <c r="P3373" s="2" t="s">
        <v>10618</v>
      </c>
      <c r="Q3373" s="6">
        <v>100</v>
      </c>
      <c r="R3373" s="6">
        <v>45.85</v>
      </c>
      <c r="S3373" s="5">
        <v>14.6</v>
      </c>
      <c r="T3373" s="6">
        <v>35.450000000000003</v>
      </c>
      <c r="U3373" s="5">
        <v>5.8</v>
      </c>
      <c r="V3373" s="6">
        <v>0.96</v>
      </c>
      <c r="W3373" s="7">
        <v>41.125</v>
      </c>
      <c r="X3373" s="4">
        <v>40</v>
      </c>
      <c r="Y3373" s="7">
        <v>42.625</v>
      </c>
      <c r="Z3373" s="4">
        <v>43</v>
      </c>
      <c r="AA3373" s="6">
        <v>15.44</v>
      </c>
      <c r="AB3373" s="7">
        <v>37.465000000000003</v>
      </c>
      <c r="AC3373" s="6">
        <v>8.9499999999999993</v>
      </c>
    </row>
    <row r="3374" spans="1:29" ht="52" x14ac:dyDescent="0.15">
      <c r="A3374" s="3">
        <f t="shared" si="39"/>
        <v>35702</v>
      </c>
      <c r="B3374" s="3">
        <f>DATE(1997,11,5)</f>
        <v>35739</v>
      </c>
      <c r="C3374" s="2" t="s">
        <v>95</v>
      </c>
      <c r="D3374" s="2" t="s">
        <v>4740</v>
      </c>
      <c r="E3374" s="2" t="s">
        <v>92</v>
      </c>
      <c r="F3374" s="4">
        <v>6798</v>
      </c>
      <c r="G3374" s="2" t="s">
        <v>53</v>
      </c>
      <c r="H3374" s="2" t="s">
        <v>34</v>
      </c>
      <c r="I3374" s="2" t="s">
        <v>278</v>
      </c>
      <c r="J3374" s="2" t="s">
        <v>52</v>
      </c>
      <c r="K3374" s="2" t="s">
        <v>53</v>
      </c>
      <c r="L3374" s="2" t="s">
        <v>34</v>
      </c>
      <c r="M3374" s="2"/>
      <c r="N3374" s="2"/>
      <c r="O3374" s="2"/>
      <c r="P3374" s="2" t="s">
        <v>10619</v>
      </c>
      <c r="Q3374" s="6">
        <v>100</v>
      </c>
      <c r="R3374" s="2"/>
      <c r="S3374" s="2"/>
      <c r="T3374" s="2"/>
      <c r="U3374" s="2"/>
      <c r="V3374" s="2"/>
      <c r="W3374" s="5">
        <v>33.5</v>
      </c>
      <c r="X3374" s="7">
        <v>33.438000000000002</v>
      </c>
      <c r="Y3374" s="7">
        <v>33.313000000000002</v>
      </c>
      <c r="Z3374" s="6">
        <v>33.75</v>
      </c>
      <c r="AA3374" s="6">
        <v>61.59</v>
      </c>
      <c r="AB3374" s="2" t="s">
        <v>47</v>
      </c>
      <c r="AC3374" s="2"/>
    </row>
    <row r="3375" spans="1:29" ht="130" x14ac:dyDescent="0.15">
      <c r="A3375" s="3">
        <f t="shared" si="39"/>
        <v>35702</v>
      </c>
      <c r="B3375" s="3">
        <f>DATE(1998,1,9)</f>
        <v>35804</v>
      </c>
      <c r="C3375" s="2" t="s">
        <v>95</v>
      </c>
      <c r="D3375" s="2" t="s">
        <v>10620</v>
      </c>
      <c r="E3375" s="2" t="s">
        <v>10621</v>
      </c>
      <c r="F3375" s="4">
        <v>5941</v>
      </c>
      <c r="G3375" s="2" t="s">
        <v>73</v>
      </c>
      <c r="H3375" s="2" t="s">
        <v>34</v>
      </c>
      <c r="I3375" s="2" t="s">
        <v>10622</v>
      </c>
      <c r="J3375" s="2" t="s">
        <v>10623</v>
      </c>
      <c r="K3375" s="2" t="s">
        <v>73</v>
      </c>
      <c r="L3375" s="2" t="s">
        <v>34</v>
      </c>
      <c r="M3375" s="2"/>
      <c r="N3375" s="2"/>
      <c r="O3375" s="2"/>
      <c r="P3375" s="2" t="s">
        <v>10624</v>
      </c>
      <c r="Q3375" s="6">
        <v>100</v>
      </c>
      <c r="R3375" s="6">
        <v>2.31</v>
      </c>
      <c r="S3375" s="5">
        <v>-26.5</v>
      </c>
      <c r="T3375" s="7">
        <v>-22.094999999999999</v>
      </c>
      <c r="U3375" s="5">
        <v>14.4</v>
      </c>
      <c r="V3375" s="7">
        <v>-2.0670000000000002</v>
      </c>
      <c r="W3375" s="7">
        <v>2.9380000000000002</v>
      </c>
      <c r="X3375" s="7">
        <v>3.4689999999999999</v>
      </c>
      <c r="Y3375" s="7">
        <v>3.125</v>
      </c>
      <c r="Z3375" s="7">
        <v>3.0630000000000002</v>
      </c>
      <c r="AA3375" s="6">
        <v>12.89</v>
      </c>
      <c r="AB3375" s="2" t="s">
        <v>86</v>
      </c>
      <c r="AC3375" s="6">
        <v>12.96</v>
      </c>
    </row>
    <row r="3376" spans="1:29" ht="117" x14ac:dyDescent="0.15">
      <c r="A3376" s="3">
        <f t="shared" si="39"/>
        <v>35702</v>
      </c>
      <c r="B3376" s="2"/>
      <c r="C3376" s="2" t="s">
        <v>30</v>
      </c>
      <c r="D3376" s="2" t="s">
        <v>4660</v>
      </c>
      <c r="E3376" s="2" t="s">
        <v>1332</v>
      </c>
      <c r="F3376" s="4">
        <v>8082</v>
      </c>
      <c r="G3376" s="2" t="s">
        <v>454</v>
      </c>
      <c r="H3376" s="2" t="s">
        <v>34</v>
      </c>
      <c r="I3376" s="2" t="s">
        <v>10625</v>
      </c>
      <c r="J3376" s="2" t="s">
        <v>8742</v>
      </c>
      <c r="K3376" s="2" t="s">
        <v>454</v>
      </c>
      <c r="L3376" s="2" t="s">
        <v>34</v>
      </c>
      <c r="M3376" s="7">
        <v>113.312</v>
      </c>
      <c r="N3376" s="7">
        <v>12.875</v>
      </c>
      <c r="O3376" s="4">
        <v>13</v>
      </c>
      <c r="P3376" s="2" t="s">
        <v>10626</v>
      </c>
      <c r="Q3376" s="2"/>
      <c r="R3376" s="6">
        <v>3.53</v>
      </c>
      <c r="S3376" s="5">
        <v>-5.4</v>
      </c>
      <c r="T3376" s="7">
        <v>-2.5880000000000001</v>
      </c>
      <c r="U3376" s="5">
        <v>-0.5</v>
      </c>
      <c r="V3376" s="7">
        <v>-0.64600000000000002</v>
      </c>
      <c r="W3376" s="6">
        <v>1.25</v>
      </c>
      <c r="X3376" s="5">
        <v>1.5</v>
      </c>
      <c r="Y3376" s="5">
        <v>1.5</v>
      </c>
      <c r="Z3376" s="7">
        <v>1.4379999999999999</v>
      </c>
      <c r="AA3376" s="6">
        <v>10.01</v>
      </c>
      <c r="AB3376" s="2" t="s">
        <v>86</v>
      </c>
      <c r="AC3376" s="6">
        <v>0.46</v>
      </c>
    </row>
    <row r="3377" spans="1:29" ht="117" x14ac:dyDescent="0.15">
      <c r="A3377" s="3">
        <f>DATE(1997,9,30)</f>
        <v>35703</v>
      </c>
      <c r="B3377" s="3">
        <f>DATE(1997,11,26)</f>
        <v>35760</v>
      </c>
      <c r="C3377" s="2" t="s">
        <v>95</v>
      </c>
      <c r="D3377" s="2" t="s">
        <v>10627</v>
      </c>
      <c r="E3377" s="2" t="s">
        <v>3677</v>
      </c>
      <c r="F3377" s="4">
        <v>8051</v>
      </c>
      <c r="G3377" s="2" t="s">
        <v>454</v>
      </c>
      <c r="H3377" s="2" t="s">
        <v>34</v>
      </c>
      <c r="I3377" s="2" t="s">
        <v>10628</v>
      </c>
      <c r="J3377" s="2" t="s">
        <v>1072</v>
      </c>
      <c r="K3377" s="2" t="s">
        <v>53</v>
      </c>
      <c r="L3377" s="2" t="s">
        <v>34</v>
      </c>
      <c r="M3377" s="2"/>
      <c r="N3377" s="2"/>
      <c r="O3377" s="2"/>
      <c r="P3377" s="2" t="s">
        <v>10629</v>
      </c>
      <c r="Q3377" s="6">
        <v>100</v>
      </c>
      <c r="R3377" s="6">
        <v>45</v>
      </c>
      <c r="S3377" s="5">
        <v>11.3</v>
      </c>
      <c r="T3377" s="7">
        <v>37.212000000000003</v>
      </c>
      <c r="U3377" s="5">
        <v>10.4</v>
      </c>
      <c r="V3377" s="7">
        <v>1.6140000000000001</v>
      </c>
      <c r="W3377" s="7">
        <v>37.625</v>
      </c>
      <c r="X3377" s="4">
        <v>39</v>
      </c>
      <c r="Y3377" s="7">
        <v>44.125</v>
      </c>
      <c r="Z3377" s="4">
        <v>44</v>
      </c>
      <c r="AA3377" s="6">
        <v>6.93</v>
      </c>
      <c r="AB3377" s="7">
        <v>15.492000000000001</v>
      </c>
      <c r="AC3377" s="2"/>
    </row>
    <row r="3378" spans="1:29" ht="78" x14ac:dyDescent="0.15">
      <c r="A3378" s="3">
        <f t="shared" ref="A3378:A3383" si="40">DATE(1997,10,1)</f>
        <v>35704</v>
      </c>
      <c r="B3378" s="3">
        <f>DATE(1997,12,5)</f>
        <v>35769</v>
      </c>
      <c r="C3378" s="2" t="s">
        <v>95</v>
      </c>
      <c r="D3378" s="2" t="s">
        <v>10630</v>
      </c>
      <c r="E3378" s="2" t="s">
        <v>10631</v>
      </c>
      <c r="F3378" s="4">
        <v>5141</v>
      </c>
      <c r="G3378" s="2" t="s">
        <v>593</v>
      </c>
      <c r="H3378" s="2" t="s">
        <v>34</v>
      </c>
      <c r="I3378" s="2" t="s">
        <v>2142</v>
      </c>
      <c r="J3378" s="2" t="s">
        <v>2143</v>
      </c>
      <c r="K3378" s="2" t="s">
        <v>577</v>
      </c>
      <c r="L3378" s="2" t="s">
        <v>34</v>
      </c>
      <c r="M3378" s="2"/>
      <c r="N3378" s="2"/>
      <c r="O3378" s="2"/>
      <c r="P3378" s="2" t="s">
        <v>10632</v>
      </c>
      <c r="Q3378" s="6">
        <v>100</v>
      </c>
      <c r="R3378" s="6">
        <v>9.1300000000000008</v>
      </c>
      <c r="S3378" s="5">
        <v>1.9</v>
      </c>
      <c r="T3378" s="7">
        <v>4.5179999999999998</v>
      </c>
      <c r="U3378" s="5">
        <v>1</v>
      </c>
      <c r="V3378" s="6">
        <v>0.31</v>
      </c>
      <c r="W3378" s="7">
        <v>8.625</v>
      </c>
      <c r="X3378" s="4">
        <v>10</v>
      </c>
      <c r="Y3378" s="5">
        <v>8.5</v>
      </c>
      <c r="Z3378" s="7">
        <v>8.125</v>
      </c>
      <c r="AA3378" s="6">
        <v>5.09</v>
      </c>
      <c r="AB3378" s="7">
        <v>15.234999999999999</v>
      </c>
      <c r="AC3378" s="2"/>
    </row>
    <row r="3379" spans="1:29" ht="117" x14ac:dyDescent="0.15">
      <c r="A3379" s="3">
        <f t="shared" si="40"/>
        <v>35704</v>
      </c>
      <c r="B3379" s="2"/>
      <c r="C3379" s="2" t="s">
        <v>30</v>
      </c>
      <c r="D3379" s="2" t="s">
        <v>10633</v>
      </c>
      <c r="E3379" s="2" t="s">
        <v>1870</v>
      </c>
      <c r="F3379" s="4">
        <v>3577</v>
      </c>
      <c r="G3379" s="2" t="s">
        <v>50</v>
      </c>
      <c r="H3379" s="2" t="s">
        <v>34</v>
      </c>
      <c r="I3379" s="2" t="s">
        <v>10634</v>
      </c>
      <c r="J3379" s="2" t="s">
        <v>10635</v>
      </c>
      <c r="K3379" s="2" t="s">
        <v>921</v>
      </c>
      <c r="L3379" s="2" t="s">
        <v>34</v>
      </c>
      <c r="M3379" s="7">
        <v>840.00699999999995</v>
      </c>
      <c r="N3379" s="7">
        <v>23.187999999999999</v>
      </c>
      <c r="O3379" s="7">
        <v>22.875</v>
      </c>
      <c r="P3379" s="2" t="s">
        <v>10636</v>
      </c>
      <c r="Q3379" s="2"/>
      <c r="R3379" s="6">
        <v>19.97</v>
      </c>
      <c r="S3379" s="5">
        <v>-12.2</v>
      </c>
      <c r="T3379" s="7">
        <v>-10.614000000000001</v>
      </c>
      <c r="U3379" s="5">
        <v>0.3</v>
      </c>
      <c r="V3379" s="6">
        <v>-0.66</v>
      </c>
      <c r="W3379" s="7">
        <v>15.375</v>
      </c>
      <c r="X3379" s="7">
        <v>18.687999999999999</v>
      </c>
      <c r="Y3379" s="7">
        <v>19.125</v>
      </c>
      <c r="Z3379" s="7">
        <v>19.062999999999999</v>
      </c>
      <c r="AA3379" s="6">
        <v>19.149999999999999</v>
      </c>
      <c r="AB3379" s="2" t="s">
        <v>86</v>
      </c>
      <c r="AC3379" s="6">
        <v>39.29</v>
      </c>
    </row>
    <row r="3380" spans="1:29" ht="169" x14ac:dyDescent="0.15">
      <c r="A3380" s="3">
        <f t="shared" si="40"/>
        <v>35704</v>
      </c>
      <c r="B3380" s="2"/>
      <c r="C3380" s="2" t="s">
        <v>30</v>
      </c>
      <c r="D3380" s="2" t="s">
        <v>5188</v>
      </c>
      <c r="E3380" s="2" t="s">
        <v>5189</v>
      </c>
      <c r="F3380" s="4">
        <v>8099</v>
      </c>
      <c r="G3380" s="2" t="s">
        <v>454</v>
      </c>
      <c r="H3380" s="2" t="s">
        <v>34</v>
      </c>
      <c r="I3380" s="2" t="s">
        <v>9167</v>
      </c>
      <c r="J3380" s="2" t="s">
        <v>9168</v>
      </c>
      <c r="K3380" s="2" t="s">
        <v>454</v>
      </c>
      <c r="L3380" s="2" t="s">
        <v>34</v>
      </c>
      <c r="M3380" s="12">
        <v>4173.2309999999998</v>
      </c>
      <c r="N3380" s="7">
        <v>21.875</v>
      </c>
      <c r="O3380" s="7">
        <v>22.125</v>
      </c>
      <c r="P3380" s="2" t="s">
        <v>10637</v>
      </c>
      <c r="Q3380" s="2"/>
      <c r="R3380" s="6">
        <v>15.22</v>
      </c>
      <c r="S3380" s="5">
        <v>-8.9</v>
      </c>
      <c r="T3380" s="7">
        <v>-2.8679999999999999</v>
      </c>
      <c r="U3380" s="5">
        <v>0.5</v>
      </c>
      <c r="V3380" s="9">
        <v>-1.8733</v>
      </c>
      <c r="W3380" s="7">
        <v>5.875</v>
      </c>
      <c r="X3380" s="7">
        <v>5.875</v>
      </c>
      <c r="Y3380" s="6">
        <v>6.25</v>
      </c>
      <c r="Z3380" s="7">
        <v>6.625</v>
      </c>
      <c r="AA3380" s="6">
        <v>3.52</v>
      </c>
      <c r="AB3380" s="2" t="s">
        <v>86</v>
      </c>
      <c r="AC3380" s="6">
        <v>123.78</v>
      </c>
    </row>
    <row r="3381" spans="1:29" ht="104" x14ac:dyDescent="0.15">
      <c r="A3381" s="3">
        <f t="shared" si="40"/>
        <v>35704</v>
      </c>
      <c r="B3381" s="3">
        <f>DATE(1998,1,29)</f>
        <v>35824</v>
      </c>
      <c r="C3381" s="2" t="s">
        <v>95</v>
      </c>
      <c r="D3381" s="2" t="s">
        <v>10638</v>
      </c>
      <c r="E3381" s="2" t="s">
        <v>10639</v>
      </c>
      <c r="F3381" s="4">
        <v>4813</v>
      </c>
      <c r="G3381" s="2" t="s">
        <v>63</v>
      </c>
      <c r="H3381" s="2" t="s">
        <v>34</v>
      </c>
      <c r="I3381" s="2" t="s">
        <v>8451</v>
      </c>
      <c r="J3381" s="2" t="s">
        <v>375</v>
      </c>
      <c r="K3381" s="2" t="s">
        <v>63</v>
      </c>
      <c r="L3381" s="2" t="s">
        <v>34</v>
      </c>
      <c r="M3381" s="12">
        <v>28583.613000000001</v>
      </c>
      <c r="N3381" s="7">
        <v>34.375</v>
      </c>
      <c r="O3381" s="7">
        <v>37.875</v>
      </c>
      <c r="P3381" s="2" t="s">
        <v>10640</v>
      </c>
      <c r="Q3381" s="6">
        <v>100</v>
      </c>
      <c r="R3381" s="6">
        <v>63.36</v>
      </c>
      <c r="S3381" s="5">
        <v>-43.8</v>
      </c>
      <c r="T3381" s="6">
        <v>-14.49</v>
      </c>
      <c r="U3381" s="5">
        <v>9.1999999999999993</v>
      </c>
      <c r="V3381" s="6">
        <v>-1.71</v>
      </c>
      <c r="W3381" s="4">
        <v>40</v>
      </c>
      <c r="X3381" s="7">
        <v>46.688000000000002</v>
      </c>
      <c r="Y3381" s="7">
        <v>54.688000000000002</v>
      </c>
      <c r="Z3381" s="7">
        <v>60.188000000000002</v>
      </c>
      <c r="AA3381" s="6">
        <v>38.04</v>
      </c>
      <c r="AB3381" s="2" t="s">
        <v>86</v>
      </c>
      <c r="AC3381" s="6">
        <v>995.24</v>
      </c>
    </row>
    <row r="3382" spans="1:29" ht="39" x14ac:dyDescent="0.15">
      <c r="A3382" s="3">
        <f t="shared" si="40"/>
        <v>35704</v>
      </c>
      <c r="B3382" s="2"/>
      <c r="C3382" s="2" t="s">
        <v>39</v>
      </c>
      <c r="D3382" s="2" t="s">
        <v>10641</v>
      </c>
      <c r="E3382" s="2" t="s">
        <v>10642</v>
      </c>
      <c r="F3382" s="4">
        <v>4812</v>
      </c>
      <c r="G3382" s="2" t="s">
        <v>63</v>
      </c>
      <c r="H3382" s="2" t="s">
        <v>34</v>
      </c>
      <c r="I3382" s="2" t="s">
        <v>138</v>
      </c>
      <c r="J3382" s="2" t="s">
        <v>139</v>
      </c>
      <c r="K3382" s="2" t="s">
        <v>53</v>
      </c>
      <c r="L3382" s="2" t="s">
        <v>139</v>
      </c>
      <c r="M3382" s="2"/>
      <c r="N3382" s="2"/>
      <c r="O3382" s="2"/>
      <c r="P3382" s="2" t="s">
        <v>10643</v>
      </c>
      <c r="Q3382" s="2"/>
      <c r="R3382" s="2"/>
      <c r="S3382" s="2"/>
      <c r="T3382" s="2"/>
      <c r="U3382" s="2"/>
      <c r="V3382" s="2"/>
      <c r="W3382" s="7">
        <v>18.875</v>
      </c>
      <c r="X3382" s="7">
        <v>19.375</v>
      </c>
      <c r="Y3382" s="6">
        <v>21.25</v>
      </c>
      <c r="Z3382" s="6">
        <v>21.75</v>
      </c>
      <c r="AA3382" s="6">
        <v>9.9</v>
      </c>
      <c r="AB3382" s="2" t="s">
        <v>47</v>
      </c>
      <c r="AC3382" s="2"/>
    </row>
    <row r="3383" spans="1:29" ht="234" x14ac:dyDescent="0.15">
      <c r="A3383" s="3">
        <f t="shared" si="40"/>
        <v>35704</v>
      </c>
      <c r="B3383" s="3">
        <f>DATE(1998,9,14)</f>
        <v>36052</v>
      </c>
      <c r="C3383" s="2" t="s">
        <v>95</v>
      </c>
      <c r="D3383" s="2" t="s">
        <v>559</v>
      </c>
      <c r="E3383" s="2" t="s">
        <v>560</v>
      </c>
      <c r="F3383" s="4">
        <v>4813</v>
      </c>
      <c r="G3383" s="2" t="s">
        <v>63</v>
      </c>
      <c r="H3383" s="2" t="s">
        <v>34</v>
      </c>
      <c r="I3383" s="2" t="s">
        <v>8451</v>
      </c>
      <c r="J3383" s="2" t="s">
        <v>375</v>
      </c>
      <c r="K3383" s="2" t="s">
        <v>63</v>
      </c>
      <c r="L3383" s="2" t="s">
        <v>34</v>
      </c>
      <c r="M3383" s="12">
        <v>28583.613000000001</v>
      </c>
      <c r="N3383" s="7">
        <v>34.375</v>
      </c>
      <c r="O3383" s="7">
        <v>37.875</v>
      </c>
      <c r="P3383" s="2" t="s">
        <v>10644</v>
      </c>
      <c r="Q3383" s="6">
        <v>100</v>
      </c>
      <c r="R3383" s="6">
        <v>51</v>
      </c>
      <c r="S3383" s="8">
        <v>1237</v>
      </c>
      <c r="T3383" s="8">
        <v>4035</v>
      </c>
      <c r="U3383" s="5">
        <v>15.6</v>
      </c>
      <c r="V3383" s="6">
        <v>1.73</v>
      </c>
      <c r="W3383" s="7">
        <v>25.375</v>
      </c>
      <c r="X3383" s="7">
        <v>25.125</v>
      </c>
      <c r="Y3383" s="7">
        <v>30.187999999999999</v>
      </c>
      <c r="Z3383" s="6">
        <v>30.75</v>
      </c>
      <c r="AA3383" s="6">
        <v>691.85</v>
      </c>
      <c r="AB3383" s="7">
        <v>18.356999999999999</v>
      </c>
      <c r="AC3383" s="6">
        <v>995.24</v>
      </c>
    </row>
    <row r="3384" spans="1:29" ht="182" x14ac:dyDescent="0.15">
      <c r="A3384" s="3">
        <f>DATE(1997,10,2)</f>
        <v>35705</v>
      </c>
      <c r="B3384" s="3">
        <f>DATE(1998,4,30)</f>
        <v>35915</v>
      </c>
      <c r="C3384" s="2" t="s">
        <v>95</v>
      </c>
      <c r="D3384" s="2" t="s">
        <v>10645</v>
      </c>
      <c r="E3384" s="2" t="s">
        <v>10646</v>
      </c>
      <c r="F3384" s="4">
        <v>8361</v>
      </c>
      <c r="G3384" s="2" t="s">
        <v>690</v>
      </c>
      <c r="H3384" s="2" t="s">
        <v>34</v>
      </c>
      <c r="I3384" s="2" t="s">
        <v>10647</v>
      </c>
      <c r="J3384" s="2" t="s">
        <v>10648</v>
      </c>
      <c r="K3384" s="2" t="s">
        <v>454</v>
      </c>
      <c r="L3384" s="2" t="s">
        <v>34</v>
      </c>
      <c r="M3384" s="2"/>
      <c r="N3384" s="2"/>
      <c r="O3384" s="2"/>
      <c r="P3384" s="2" t="s">
        <v>10649</v>
      </c>
      <c r="Q3384" s="6">
        <v>100</v>
      </c>
      <c r="R3384" s="6">
        <v>14.5</v>
      </c>
      <c r="S3384" s="5">
        <v>-2.2999999999999998</v>
      </c>
      <c r="T3384" s="7">
        <v>5.5179999999999998</v>
      </c>
      <c r="U3384" s="5">
        <v>7.5</v>
      </c>
      <c r="V3384" s="7">
        <v>-0.38200000000000001</v>
      </c>
      <c r="W3384" s="6">
        <v>13.25</v>
      </c>
      <c r="X3384" s="7">
        <v>14.625</v>
      </c>
      <c r="Y3384" s="6">
        <v>15.25</v>
      </c>
      <c r="Z3384" s="7">
        <v>15.063000000000001</v>
      </c>
      <c r="AA3384" s="6">
        <v>7.75</v>
      </c>
      <c r="AB3384" s="7">
        <v>88.022999999999996</v>
      </c>
      <c r="AC3384" s="2"/>
    </row>
    <row r="3385" spans="1:29" ht="78" x14ac:dyDescent="0.15">
      <c r="A3385" s="3">
        <f>DATE(1997,10,3)</f>
        <v>35706</v>
      </c>
      <c r="B3385" s="3">
        <f>DATE(1998,7,3)</f>
        <v>35979</v>
      </c>
      <c r="C3385" s="2" t="s">
        <v>95</v>
      </c>
      <c r="D3385" s="2" t="s">
        <v>10650</v>
      </c>
      <c r="E3385" s="2" t="s">
        <v>124</v>
      </c>
      <c r="F3385" s="4">
        <v>6311</v>
      </c>
      <c r="G3385" s="2" t="s">
        <v>125</v>
      </c>
      <c r="H3385" s="2" t="s">
        <v>34</v>
      </c>
      <c r="I3385" s="2" t="s">
        <v>10651</v>
      </c>
      <c r="J3385" s="2" t="s">
        <v>80</v>
      </c>
      <c r="K3385" s="2" t="s">
        <v>53</v>
      </c>
      <c r="L3385" s="2" t="s">
        <v>34</v>
      </c>
      <c r="M3385" s="2"/>
      <c r="N3385" s="2"/>
      <c r="O3385" s="2"/>
      <c r="P3385" s="2" t="s">
        <v>10652</v>
      </c>
      <c r="Q3385" s="6">
        <v>64.13</v>
      </c>
      <c r="R3385" s="2"/>
      <c r="S3385" s="5">
        <v>-11.4</v>
      </c>
      <c r="T3385" s="7">
        <v>-10.992000000000001</v>
      </c>
      <c r="U3385" s="5">
        <v>3</v>
      </c>
      <c r="V3385" s="7">
        <v>-2.6960000000000002</v>
      </c>
      <c r="W3385" s="5">
        <v>6.5</v>
      </c>
      <c r="X3385" s="7">
        <v>6.6879999999999997</v>
      </c>
      <c r="Y3385" s="5">
        <v>6.5</v>
      </c>
      <c r="Z3385" s="7">
        <v>6.625</v>
      </c>
      <c r="AA3385" s="6">
        <v>4.2</v>
      </c>
      <c r="AB3385" s="2" t="s">
        <v>86</v>
      </c>
      <c r="AC3385" s="2"/>
    </row>
    <row r="3386" spans="1:29" ht="130" x14ac:dyDescent="0.15">
      <c r="A3386" s="3">
        <f>DATE(1997,10,3)</f>
        <v>35706</v>
      </c>
      <c r="B3386" s="3">
        <f>DATE(1997,12,29)</f>
        <v>35793</v>
      </c>
      <c r="C3386" s="2" t="s">
        <v>95</v>
      </c>
      <c r="D3386" s="2" t="s">
        <v>10653</v>
      </c>
      <c r="E3386" s="2" t="s">
        <v>10654</v>
      </c>
      <c r="F3386" s="4">
        <v>7372</v>
      </c>
      <c r="G3386" s="2" t="s">
        <v>551</v>
      </c>
      <c r="H3386" s="2" t="s">
        <v>34</v>
      </c>
      <c r="I3386" s="2" t="s">
        <v>4939</v>
      </c>
      <c r="J3386" s="2" t="s">
        <v>4940</v>
      </c>
      <c r="K3386" s="2" t="s">
        <v>223</v>
      </c>
      <c r="L3386" s="2" t="s">
        <v>34</v>
      </c>
      <c r="M3386" s="10">
        <v>3680.29</v>
      </c>
      <c r="N3386" s="7">
        <v>40.625</v>
      </c>
      <c r="O3386" s="4">
        <v>41</v>
      </c>
      <c r="P3386" s="2" t="s">
        <v>10655</v>
      </c>
      <c r="Q3386" s="6">
        <v>100</v>
      </c>
      <c r="R3386" s="6">
        <v>14.15</v>
      </c>
      <c r="S3386" s="5">
        <v>1.7</v>
      </c>
      <c r="T3386" s="7">
        <v>3.605</v>
      </c>
      <c r="U3386" s="5">
        <v>1.1000000000000001</v>
      </c>
      <c r="V3386" s="6">
        <v>0.31</v>
      </c>
      <c r="W3386" s="4">
        <v>10</v>
      </c>
      <c r="X3386" s="7">
        <v>12.125</v>
      </c>
      <c r="Y3386" s="7">
        <v>11.938000000000001</v>
      </c>
      <c r="Z3386" s="4">
        <v>12</v>
      </c>
      <c r="AA3386" s="6">
        <v>5.58</v>
      </c>
      <c r="AB3386" s="7">
        <v>46.832000000000001</v>
      </c>
      <c r="AC3386" s="6">
        <v>183.61</v>
      </c>
    </row>
    <row r="3387" spans="1:29" ht="143" x14ac:dyDescent="0.15">
      <c r="A3387" s="3">
        <f>DATE(1997,10,6)</f>
        <v>35709</v>
      </c>
      <c r="B3387" s="3">
        <f>DATE(1998,1,28)</f>
        <v>35823</v>
      </c>
      <c r="C3387" s="2" t="s">
        <v>95</v>
      </c>
      <c r="D3387" s="2" t="s">
        <v>10656</v>
      </c>
      <c r="E3387" s="2" t="s">
        <v>3352</v>
      </c>
      <c r="F3387" s="4">
        <v>4213</v>
      </c>
      <c r="G3387" s="2" t="s">
        <v>173</v>
      </c>
      <c r="H3387" s="2" t="s">
        <v>34</v>
      </c>
      <c r="I3387" s="2" t="s">
        <v>10657</v>
      </c>
      <c r="J3387" s="2" t="s">
        <v>10658</v>
      </c>
      <c r="K3387" s="2" t="s">
        <v>59</v>
      </c>
      <c r="L3387" s="2" t="s">
        <v>34</v>
      </c>
      <c r="M3387" s="12">
        <v>8006.7629999999999</v>
      </c>
      <c r="N3387" s="6">
        <v>75.25</v>
      </c>
      <c r="O3387" s="7">
        <v>76.125</v>
      </c>
      <c r="P3387" s="2" t="s">
        <v>10659</v>
      </c>
      <c r="Q3387" s="6">
        <v>100</v>
      </c>
      <c r="R3387" s="6">
        <v>63</v>
      </c>
      <c r="S3387" s="5">
        <v>-165.1</v>
      </c>
      <c r="T3387" s="7">
        <v>184.42099999999999</v>
      </c>
      <c r="U3387" s="5">
        <v>13.7</v>
      </c>
      <c r="V3387" s="6">
        <v>-4.18</v>
      </c>
      <c r="W3387" s="6">
        <v>52.62</v>
      </c>
      <c r="X3387" s="6">
        <v>55.31</v>
      </c>
      <c r="Y3387" s="6">
        <v>59.25</v>
      </c>
      <c r="Z3387" s="5">
        <v>59.5</v>
      </c>
      <c r="AA3387" s="6">
        <v>38.94</v>
      </c>
      <c r="AB3387" s="7">
        <v>87.435000000000002</v>
      </c>
      <c r="AC3387" s="6">
        <v>122.02</v>
      </c>
    </row>
    <row r="3388" spans="1:29" ht="117" x14ac:dyDescent="0.15">
      <c r="A3388" s="3">
        <f>DATE(1997,10,6)</f>
        <v>35709</v>
      </c>
      <c r="B3388" s="3">
        <f>DATE(1998,2,17)</f>
        <v>35843</v>
      </c>
      <c r="C3388" s="2" t="s">
        <v>95</v>
      </c>
      <c r="D3388" s="2" t="s">
        <v>1839</v>
      </c>
      <c r="E3388" s="2" t="s">
        <v>36</v>
      </c>
      <c r="F3388" s="4">
        <v>6035</v>
      </c>
      <c r="G3388" s="2" t="s">
        <v>33</v>
      </c>
      <c r="H3388" s="2" t="s">
        <v>34</v>
      </c>
      <c r="I3388" s="2" t="s">
        <v>9311</v>
      </c>
      <c r="J3388" s="2" t="s">
        <v>9312</v>
      </c>
      <c r="K3388" s="2" t="s">
        <v>33</v>
      </c>
      <c r="L3388" s="2" t="s">
        <v>34</v>
      </c>
      <c r="M3388" s="12">
        <v>5323.1040000000003</v>
      </c>
      <c r="N3388" s="7">
        <v>58.625</v>
      </c>
      <c r="O3388" s="7">
        <v>58.938000000000002</v>
      </c>
      <c r="P3388" s="2" t="s">
        <v>10660</v>
      </c>
      <c r="Q3388" s="6">
        <v>100</v>
      </c>
      <c r="R3388" s="6">
        <v>46.17</v>
      </c>
      <c r="S3388" s="5">
        <v>10.8</v>
      </c>
      <c r="T3388" s="7">
        <v>43.122</v>
      </c>
      <c r="U3388" s="5">
        <v>22.8</v>
      </c>
      <c r="V3388" s="6">
        <v>0.56000000000000005</v>
      </c>
      <c r="W3388" s="6">
        <v>52.75</v>
      </c>
      <c r="X3388" s="4">
        <v>54</v>
      </c>
      <c r="Y3388" s="7">
        <v>58.813000000000002</v>
      </c>
      <c r="Z3388" s="7">
        <v>58.875</v>
      </c>
      <c r="AA3388" s="6">
        <v>18.63</v>
      </c>
      <c r="AB3388" s="7">
        <v>86.319000000000003</v>
      </c>
      <c r="AC3388" s="2"/>
    </row>
    <row r="3389" spans="1:29" ht="78" x14ac:dyDescent="0.15">
      <c r="A3389" s="3">
        <f>DATE(1997,10,6)</f>
        <v>35709</v>
      </c>
      <c r="B3389" s="3">
        <f>DATE(1997,12,19)</f>
        <v>35783</v>
      </c>
      <c r="C3389" s="2" t="s">
        <v>95</v>
      </c>
      <c r="D3389" s="2" t="s">
        <v>10661</v>
      </c>
      <c r="E3389" s="2" t="s">
        <v>563</v>
      </c>
      <c r="F3389" s="4">
        <v>3841</v>
      </c>
      <c r="G3389" s="2" t="s">
        <v>226</v>
      </c>
      <c r="H3389" s="2" t="s">
        <v>34</v>
      </c>
      <c r="I3389" s="2" t="s">
        <v>10662</v>
      </c>
      <c r="J3389" s="2" t="s">
        <v>10663</v>
      </c>
      <c r="K3389" s="2" t="s">
        <v>226</v>
      </c>
      <c r="L3389" s="2" t="s">
        <v>34</v>
      </c>
      <c r="M3389" s="12">
        <v>3440.8780000000002</v>
      </c>
      <c r="N3389" s="7">
        <v>60.625</v>
      </c>
      <c r="O3389" s="7">
        <v>61.563000000000002</v>
      </c>
      <c r="P3389" s="2" t="s">
        <v>10664</v>
      </c>
      <c r="Q3389" s="6">
        <v>100</v>
      </c>
      <c r="R3389" s="6">
        <v>20</v>
      </c>
      <c r="S3389" s="5">
        <v>-19.5</v>
      </c>
      <c r="T3389" s="7">
        <v>-19.625</v>
      </c>
      <c r="U3389" s="5">
        <v>0.5</v>
      </c>
      <c r="V3389" s="7">
        <v>-2.3159999999999998</v>
      </c>
      <c r="W3389" s="7">
        <v>16.375</v>
      </c>
      <c r="X3389" s="7">
        <v>16.375</v>
      </c>
      <c r="Y3389" s="4">
        <v>19</v>
      </c>
      <c r="Z3389" s="7">
        <v>19.125</v>
      </c>
      <c r="AA3389" s="6">
        <v>8.5399999999999991</v>
      </c>
      <c r="AB3389" s="2" t="s">
        <v>86</v>
      </c>
      <c r="AC3389" s="5">
        <v>1.5</v>
      </c>
    </row>
    <row r="3390" spans="1:29" ht="143" x14ac:dyDescent="0.15">
      <c r="A3390" s="3">
        <f>DATE(1997,10,6)</f>
        <v>35709</v>
      </c>
      <c r="B3390" s="3">
        <f>DATE(1998,3,20)</f>
        <v>35874</v>
      </c>
      <c r="C3390" s="2" t="s">
        <v>95</v>
      </c>
      <c r="D3390" s="2" t="s">
        <v>10665</v>
      </c>
      <c r="E3390" s="2" t="s">
        <v>10666</v>
      </c>
      <c r="F3390" s="4">
        <v>4899</v>
      </c>
      <c r="G3390" s="2" t="s">
        <v>63</v>
      </c>
      <c r="H3390" s="2" t="s">
        <v>34</v>
      </c>
      <c r="I3390" s="2" t="s">
        <v>10667</v>
      </c>
      <c r="J3390" s="2" t="s">
        <v>10668</v>
      </c>
      <c r="K3390" s="2" t="s">
        <v>921</v>
      </c>
      <c r="L3390" s="2" t="s">
        <v>34</v>
      </c>
      <c r="M3390" s="12">
        <v>3734.9989999999998</v>
      </c>
      <c r="N3390" s="6">
        <v>22.25</v>
      </c>
      <c r="O3390" s="7">
        <v>22.437999999999999</v>
      </c>
      <c r="P3390" s="2" t="s">
        <v>10669</v>
      </c>
      <c r="Q3390" s="6">
        <v>100</v>
      </c>
      <c r="R3390" s="6">
        <v>20.39</v>
      </c>
      <c r="S3390" s="5">
        <v>-92.4</v>
      </c>
      <c r="T3390" s="7">
        <v>8.6920000000000002</v>
      </c>
      <c r="U3390" s="5">
        <v>-6.2</v>
      </c>
      <c r="V3390" s="7">
        <v>-6.8239999999999998</v>
      </c>
      <c r="W3390" s="7">
        <v>15.938000000000001</v>
      </c>
      <c r="X3390" s="7">
        <v>16.969000000000001</v>
      </c>
      <c r="Y3390" s="7">
        <v>16.937999999999999</v>
      </c>
      <c r="Z3390" s="7">
        <v>16.875</v>
      </c>
      <c r="AA3390" s="6">
        <v>11.18</v>
      </c>
      <c r="AB3390" s="2" t="s">
        <v>86</v>
      </c>
      <c r="AC3390" s="10">
        <v>1180.75</v>
      </c>
    </row>
    <row r="3391" spans="1:29" ht="143" x14ac:dyDescent="0.15">
      <c r="A3391" s="3">
        <f>DATE(1997,10,7)</f>
        <v>35710</v>
      </c>
      <c r="B3391" s="3">
        <f>DATE(1998,3,30)</f>
        <v>35884</v>
      </c>
      <c r="C3391" s="2" t="s">
        <v>95</v>
      </c>
      <c r="D3391" s="2" t="s">
        <v>655</v>
      </c>
      <c r="E3391" s="2" t="s">
        <v>159</v>
      </c>
      <c r="F3391" s="4">
        <v>6035</v>
      </c>
      <c r="G3391" s="2" t="s">
        <v>33</v>
      </c>
      <c r="H3391" s="2" t="s">
        <v>34</v>
      </c>
      <c r="I3391" s="2" t="s">
        <v>489</v>
      </c>
      <c r="J3391" s="2" t="s">
        <v>490</v>
      </c>
      <c r="K3391" s="2" t="s">
        <v>37</v>
      </c>
      <c r="L3391" s="2" t="s">
        <v>34</v>
      </c>
      <c r="M3391" s="12">
        <v>1731.2929999999999</v>
      </c>
      <c r="N3391" s="6">
        <v>31.25</v>
      </c>
      <c r="O3391" s="7">
        <v>30.375</v>
      </c>
      <c r="P3391" s="2" t="s">
        <v>10670</v>
      </c>
      <c r="Q3391" s="6">
        <v>100</v>
      </c>
      <c r="R3391" s="6">
        <v>37.11</v>
      </c>
      <c r="S3391" s="5">
        <v>51.2</v>
      </c>
      <c r="T3391" s="7">
        <v>86.227999999999994</v>
      </c>
      <c r="U3391" s="5">
        <v>7.9</v>
      </c>
      <c r="V3391" s="6">
        <v>2.25</v>
      </c>
      <c r="W3391" s="7">
        <v>29.937999999999999</v>
      </c>
      <c r="X3391" s="6">
        <v>32.75</v>
      </c>
      <c r="Y3391" s="6">
        <v>33.25</v>
      </c>
      <c r="Z3391" s="7">
        <v>34.938000000000002</v>
      </c>
      <c r="AA3391" s="6">
        <v>21.62</v>
      </c>
      <c r="AB3391" s="7">
        <v>24.613</v>
      </c>
      <c r="AC3391" s="2"/>
    </row>
    <row r="3392" spans="1:29" ht="143" x14ac:dyDescent="0.15">
      <c r="A3392" s="3">
        <f>DATE(1997,10,8)</f>
        <v>35711</v>
      </c>
      <c r="B3392" s="3">
        <f>DATE(1998,4,7)</f>
        <v>35892</v>
      </c>
      <c r="C3392" s="2" t="s">
        <v>95</v>
      </c>
      <c r="D3392" s="2" t="s">
        <v>10671</v>
      </c>
      <c r="E3392" s="2" t="s">
        <v>10672</v>
      </c>
      <c r="F3392" s="4">
        <v>6141</v>
      </c>
      <c r="G3392" s="2" t="s">
        <v>370</v>
      </c>
      <c r="H3392" s="2" t="s">
        <v>34</v>
      </c>
      <c r="I3392" s="2" t="s">
        <v>278</v>
      </c>
      <c r="J3392" s="2" t="s">
        <v>52</v>
      </c>
      <c r="K3392" s="2" t="s">
        <v>53</v>
      </c>
      <c r="L3392" s="2" t="s">
        <v>34</v>
      </c>
      <c r="M3392" s="2"/>
      <c r="N3392" s="2"/>
      <c r="O3392" s="2"/>
      <c r="P3392" s="2" t="s">
        <v>10673</v>
      </c>
      <c r="Q3392" s="6">
        <v>80.7</v>
      </c>
      <c r="R3392" s="6">
        <v>83.75</v>
      </c>
      <c r="S3392" s="5">
        <v>988</v>
      </c>
      <c r="T3392" s="8">
        <v>4555.6000000000004</v>
      </c>
      <c r="U3392" s="5">
        <v>17.399999999999999</v>
      </c>
      <c r="V3392" s="7">
        <v>2.851</v>
      </c>
      <c r="W3392" s="7">
        <v>61.438000000000002</v>
      </c>
      <c r="X3392" s="7">
        <v>63.125</v>
      </c>
      <c r="Y3392" s="4">
        <v>64</v>
      </c>
      <c r="Z3392" s="7">
        <v>63.125</v>
      </c>
      <c r="AA3392" s="6">
        <v>393.94</v>
      </c>
      <c r="AB3392" s="7">
        <v>17.655999999999999</v>
      </c>
      <c r="AC3392" s="2"/>
    </row>
    <row r="3393" spans="1:29" ht="91" x14ac:dyDescent="0.15">
      <c r="A3393" s="3">
        <f>DATE(1997,10,8)</f>
        <v>35711</v>
      </c>
      <c r="B3393" s="2"/>
      <c r="C3393" s="2" t="s">
        <v>30</v>
      </c>
      <c r="D3393" s="2" t="s">
        <v>10650</v>
      </c>
      <c r="E3393" s="2" t="s">
        <v>124</v>
      </c>
      <c r="F3393" s="4">
        <v>6311</v>
      </c>
      <c r="G3393" s="2" t="s">
        <v>125</v>
      </c>
      <c r="H3393" s="2" t="s">
        <v>34</v>
      </c>
      <c r="I3393" s="2" t="s">
        <v>10674</v>
      </c>
      <c r="J3393" s="2" t="s">
        <v>10675</v>
      </c>
      <c r="K3393" s="2" t="s">
        <v>73</v>
      </c>
      <c r="L3393" s="2" t="s">
        <v>34</v>
      </c>
      <c r="M3393" s="7">
        <v>36.225000000000001</v>
      </c>
      <c r="N3393" s="7">
        <v>7.875</v>
      </c>
      <c r="O3393" s="7">
        <v>7.625</v>
      </c>
      <c r="P3393" s="2" t="s">
        <v>10676</v>
      </c>
      <c r="Q3393" s="2"/>
      <c r="R3393" s="6">
        <v>7</v>
      </c>
      <c r="S3393" s="5">
        <v>-11.4</v>
      </c>
      <c r="T3393" s="7">
        <v>-10.992000000000001</v>
      </c>
      <c r="U3393" s="5">
        <v>3</v>
      </c>
      <c r="V3393" s="7">
        <v>-2.6960000000000002</v>
      </c>
      <c r="W3393" s="4">
        <v>7</v>
      </c>
      <c r="X3393" s="5">
        <v>6.5</v>
      </c>
      <c r="Y3393" s="7">
        <v>6.625</v>
      </c>
      <c r="Z3393" s="7">
        <v>6.375</v>
      </c>
      <c r="AA3393" s="6">
        <v>4.2</v>
      </c>
      <c r="AB3393" s="2" t="s">
        <v>86</v>
      </c>
      <c r="AC3393" s="6">
        <v>5.1100000000000003</v>
      </c>
    </row>
    <row r="3394" spans="1:29" ht="91" x14ac:dyDescent="0.15">
      <c r="A3394" s="3">
        <f>DATE(1997,10,9)</f>
        <v>35712</v>
      </c>
      <c r="B3394" s="2"/>
      <c r="C3394" s="2" t="s">
        <v>30</v>
      </c>
      <c r="D3394" s="2" t="s">
        <v>1698</v>
      </c>
      <c r="E3394" s="2" t="s">
        <v>36</v>
      </c>
      <c r="F3394" s="4">
        <v>6022</v>
      </c>
      <c r="G3394" s="2" t="s">
        <v>37</v>
      </c>
      <c r="H3394" s="2" t="s">
        <v>34</v>
      </c>
      <c r="I3394" s="2" t="s">
        <v>2930</v>
      </c>
      <c r="J3394" s="2" t="s">
        <v>263</v>
      </c>
      <c r="K3394" s="2" t="s">
        <v>37</v>
      </c>
      <c r="L3394" s="2" t="s">
        <v>34</v>
      </c>
      <c r="M3394" s="12">
        <v>13333.511</v>
      </c>
      <c r="N3394" s="7">
        <v>54.875</v>
      </c>
      <c r="O3394" s="7">
        <v>52.938000000000002</v>
      </c>
      <c r="P3394" s="2" t="s">
        <v>10677</v>
      </c>
      <c r="Q3394" s="2"/>
      <c r="R3394" s="2"/>
      <c r="S3394" s="5">
        <v>649.1</v>
      </c>
      <c r="T3394" s="12">
        <v>1285.1780000000001</v>
      </c>
      <c r="U3394" s="5">
        <v>17.2</v>
      </c>
      <c r="V3394" s="6">
        <v>2.97</v>
      </c>
      <c r="W3394" s="7">
        <v>67.625</v>
      </c>
      <c r="X3394" s="4">
        <v>72</v>
      </c>
      <c r="Y3394" s="7">
        <v>72.375</v>
      </c>
      <c r="Z3394" s="9">
        <v>73.8125</v>
      </c>
      <c r="AA3394" s="6">
        <v>197.81</v>
      </c>
      <c r="AB3394" s="2" t="s">
        <v>47</v>
      </c>
      <c r="AC3394" s="2"/>
    </row>
    <row r="3395" spans="1:29" ht="104" x14ac:dyDescent="0.15">
      <c r="A3395" s="3">
        <f>DATE(1997,10,9)</f>
        <v>35712</v>
      </c>
      <c r="B3395" s="2"/>
      <c r="C3395" s="2" t="s">
        <v>30</v>
      </c>
      <c r="D3395" s="2" t="s">
        <v>10608</v>
      </c>
      <c r="E3395" s="2" t="s">
        <v>10609</v>
      </c>
      <c r="F3395" s="4">
        <v>2759</v>
      </c>
      <c r="G3395" s="2" t="s">
        <v>186</v>
      </c>
      <c r="H3395" s="2" t="s">
        <v>34</v>
      </c>
      <c r="I3395" s="2" t="s">
        <v>10678</v>
      </c>
      <c r="J3395" s="2" t="s">
        <v>10679</v>
      </c>
      <c r="K3395" s="2" t="s">
        <v>282</v>
      </c>
      <c r="L3395" s="2" t="s">
        <v>34</v>
      </c>
      <c r="M3395" s="7">
        <v>533.88599999999997</v>
      </c>
      <c r="N3395" s="7">
        <v>33.125</v>
      </c>
      <c r="O3395" s="6">
        <v>34.25</v>
      </c>
      <c r="P3395" s="2" t="s">
        <v>10680</v>
      </c>
      <c r="Q3395" s="2"/>
      <c r="R3395" s="6">
        <v>20</v>
      </c>
      <c r="S3395" s="5">
        <v>7.3</v>
      </c>
      <c r="T3395" s="7">
        <v>48.237000000000002</v>
      </c>
      <c r="U3395" s="5">
        <v>8.6999999999999993</v>
      </c>
      <c r="V3395" s="6">
        <v>0.62</v>
      </c>
      <c r="W3395" s="6">
        <v>18.38</v>
      </c>
      <c r="X3395" s="6">
        <v>18.440000000000001</v>
      </c>
      <c r="Y3395" s="7">
        <v>18.437999999999999</v>
      </c>
      <c r="Z3395" s="7">
        <v>18.375</v>
      </c>
      <c r="AA3395" s="6">
        <v>12.35</v>
      </c>
      <c r="AB3395" s="7">
        <v>11.797000000000001</v>
      </c>
      <c r="AC3395" s="6">
        <v>9.66</v>
      </c>
    </row>
    <row r="3396" spans="1:29" ht="182" x14ac:dyDescent="0.15">
      <c r="A3396" s="3">
        <f>DATE(1997,10,9)</f>
        <v>35712</v>
      </c>
      <c r="B3396" s="3">
        <f>DATE(1997,12,23)</f>
        <v>35787</v>
      </c>
      <c r="C3396" s="2" t="s">
        <v>95</v>
      </c>
      <c r="D3396" s="2" t="s">
        <v>9999</v>
      </c>
      <c r="E3396" s="2" t="s">
        <v>10000</v>
      </c>
      <c r="F3396" s="4">
        <v>2821</v>
      </c>
      <c r="G3396" s="2" t="s">
        <v>98</v>
      </c>
      <c r="H3396" s="2" t="s">
        <v>34</v>
      </c>
      <c r="I3396" s="2" t="s">
        <v>10681</v>
      </c>
      <c r="J3396" s="2" t="s">
        <v>10682</v>
      </c>
      <c r="K3396" s="2" t="s">
        <v>98</v>
      </c>
      <c r="L3396" s="2" t="s">
        <v>34</v>
      </c>
      <c r="M3396" s="2"/>
      <c r="N3396" s="2"/>
      <c r="O3396" s="2"/>
      <c r="P3396" s="2" t="s">
        <v>10683</v>
      </c>
      <c r="Q3396" s="6">
        <v>100</v>
      </c>
      <c r="R3396" s="6">
        <v>20.5</v>
      </c>
      <c r="S3396" s="5">
        <v>13.8</v>
      </c>
      <c r="T3396" s="7">
        <v>7.7450000000000001</v>
      </c>
      <c r="U3396" s="5">
        <v>9.1</v>
      </c>
      <c r="V3396" s="7">
        <v>2.4660000000000002</v>
      </c>
      <c r="W3396" s="7">
        <v>11.875</v>
      </c>
      <c r="X3396" s="4">
        <v>12</v>
      </c>
      <c r="Y3396" s="6">
        <v>13.75</v>
      </c>
      <c r="Z3396" s="7">
        <v>14.063000000000001</v>
      </c>
      <c r="AA3396" s="6">
        <v>5.63</v>
      </c>
      <c r="AB3396" s="7">
        <v>25.917000000000002</v>
      </c>
      <c r="AC3396" s="2"/>
    </row>
    <row r="3397" spans="1:29" ht="130" x14ac:dyDescent="0.15">
      <c r="A3397" s="3">
        <f>DATE(1997,10,9)</f>
        <v>35712</v>
      </c>
      <c r="B3397" s="3">
        <f>DATE(1998,9,24)</f>
        <v>36062</v>
      </c>
      <c r="C3397" s="2" t="s">
        <v>95</v>
      </c>
      <c r="D3397" s="2" t="s">
        <v>10684</v>
      </c>
      <c r="E3397" s="4">
        <v>92</v>
      </c>
      <c r="F3397" s="4">
        <v>6141</v>
      </c>
      <c r="G3397" s="2" t="s">
        <v>370</v>
      </c>
      <c r="H3397" s="2" t="s">
        <v>34</v>
      </c>
      <c r="I3397" s="2" t="s">
        <v>278</v>
      </c>
      <c r="J3397" s="2" t="s">
        <v>52</v>
      </c>
      <c r="K3397" s="2" t="s">
        <v>53</v>
      </c>
      <c r="L3397" s="2" t="s">
        <v>34</v>
      </c>
      <c r="M3397" s="2"/>
      <c r="N3397" s="2"/>
      <c r="O3397" s="2"/>
      <c r="P3397" s="2" t="s">
        <v>10685</v>
      </c>
      <c r="Q3397" s="6">
        <v>83</v>
      </c>
      <c r="R3397" s="6">
        <v>50</v>
      </c>
      <c r="S3397" s="5">
        <v>38.1</v>
      </c>
      <c r="T3397" s="7">
        <v>77.825000000000003</v>
      </c>
      <c r="U3397" s="5">
        <v>3.1</v>
      </c>
      <c r="V3397" s="9">
        <v>0.62670000000000003</v>
      </c>
      <c r="W3397" s="6">
        <v>14.04</v>
      </c>
      <c r="X3397" s="6">
        <v>12.83</v>
      </c>
      <c r="Y3397" s="7">
        <v>40.125</v>
      </c>
      <c r="Z3397" s="4">
        <v>42</v>
      </c>
      <c r="AA3397" s="6">
        <v>19.23</v>
      </c>
      <c r="AB3397" s="7">
        <v>49.764000000000003</v>
      </c>
      <c r="AC3397" s="2"/>
    </row>
    <row r="3398" spans="1:29" ht="39" x14ac:dyDescent="0.15">
      <c r="A3398" s="3">
        <f>DATE(1997,10,9)</f>
        <v>35712</v>
      </c>
      <c r="B3398" s="3">
        <f>DATE(1998,1,26)</f>
        <v>35821</v>
      </c>
      <c r="C3398" s="2" t="s">
        <v>95</v>
      </c>
      <c r="D3398" s="2" t="s">
        <v>10686</v>
      </c>
      <c r="E3398" s="2" t="s">
        <v>386</v>
      </c>
      <c r="F3398" s="4">
        <v>6726</v>
      </c>
      <c r="G3398" s="2" t="s">
        <v>53</v>
      </c>
      <c r="H3398" s="2" t="s">
        <v>34</v>
      </c>
      <c r="I3398" s="2" t="s">
        <v>10687</v>
      </c>
      <c r="J3398" s="2" t="s">
        <v>386</v>
      </c>
      <c r="K3398" s="2" t="s">
        <v>53</v>
      </c>
      <c r="L3398" s="2" t="s">
        <v>34</v>
      </c>
      <c r="M3398" s="2"/>
      <c r="N3398" s="6">
        <v>8.25</v>
      </c>
      <c r="O3398" s="7">
        <v>8.125</v>
      </c>
      <c r="P3398" s="2" t="s">
        <v>10688</v>
      </c>
      <c r="Q3398" s="6">
        <v>100</v>
      </c>
      <c r="R3398" s="2"/>
      <c r="S3398" s="5">
        <v>35.299999999999997</v>
      </c>
      <c r="T3398" s="7">
        <v>27.748999999999999</v>
      </c>
      <c r="U3398" s="5">
        <v>8.6999999999999993</v>
      </c>
      <c r="V3398" s="7">
        <v>0.54700000000000004</v>
      </c>
      <c r="W3398" s="7">
        <v>7.625</v>
      </c>
      <c r="X3398" s="7">
        <v>7.625</v>
      </c>
      <c r="Y3398" s="7">
        <v>7.625</v>
      </c>
      <c r="Z3398" s="7">
        <v>7.5629999999999997</v>
      </c>
      <c r="AA3398" s="2"/>
      <c r="AB3398" s="2" t="s">
        <v>47</v>
      </c>
      <c r="AC3398" s="2"/>
    </row>
    <row r="3399" spans="1:29" ht="130" x14ac:dyDescent="0.15">
      <c r="A3399" s="3">
        <f>DATE(1997,10,10)</f>
        <v>35713</v>
      </c>
      <c r="B3399" s="3">
        <f>DATE(1997,11,19)</f>
        <v>35753</v>
      </c>
      <c r="C3399" s="2" t="s">
        <v>95</v>
      </c>
      <c r="D3399" s="2" t="s">
        <v>6525</v>
      </c>
      <c r="E3399" s="2" t="s">
        <v>6526</v>
      </c>
      <c r="F3399" s="4">
        <v>3545</v>
      </c>
      <c r="G3399" s="2" t="s">
        <v>300</v>
      </c>
      <c r="H3399" s="2" t="s">
        <v>34</v>
      </c>
      <c r="I3399" s="2" t="s">
        <v>10689</v>
      </c>
      <c r="J3399" s="2" t="s">
        <v>10690</v>
      </c>
      <c r="K3399" s="2" t="s">
        <v>300</v>
      </c>
      <c r="L3399" s="2" t="s">
        <v>34</v>
      </c>
      <c r="M3399" s="12">
        <v>1191.6010000000001</v>
      </c>
      <c r="N3399" s="7">
        <v>52.438000000000002</v>
      </c>
      <c r="O3399" s="7">
        <v>51.563000000000002</v>
      </c>
      <c r="P3399" s="2" t="s">
        <v>10691</v>
      </c>
      <c r="Q3399" s="6">
        <v>100</v>
      </c>
      <c r="R3399" s="6">
        <v>38</v>
      </c>
      <c r="S3399" s="5">
        <v>30.9</v>
      </c>
      <c r="T3399" s="7">
        <v>82.825999999999993</v>
      </c>
      <c r="U3399" s="5">
        <v>12.3</v>
      </c>
      <c r="V3399" s="6">
        <v>1.6</v>
      </c>
      <c r="W3399" s="4">
        <v>30</v>
      </c>
      <c r="X3399" s="6">
        <v>31.75</v>
      </c>
      <c r="Y3399" s="7">
        <v>32.188000000000002</v>
      </c>
      <c r="Z3399" s="5">
        <v>37.5</v>
      </c>
      <c r="AA3399" s="6">
        <v>16.45</v>
      </c>
      <c r="AB3399" s="7">
        <v>15.920999999999999</v>
      </c>
      <c r="AC3399" s="6">
        <v>21.87</v>
      </c>
    </row>
    <row r="3400" spans="1:29" ht="65" x14ac:dyDescent="0.15">
      <c r="A3400" s="3">
        <f>DATE(1997,10,10)</f>
        <v>35713</v>
      </c>
      <c r="B3400" s="3">
        <f>DATE(1998,1,7)</f>
        <v>35802</v>
      </c>
      <c r="C3400" s="2" t="s">
        <v>95</v>
      </c>
      <c r="D3400" s="2" t="s">
        <v>10692</v>
      </c>
      <c r="E3400" s="2" t="s">
        <v>10693</v>
      </c>
      <c r="F3400" s="4">
        <v>5149</v>
      </c>
      <c r="G3400" s="2" t="s">
        <v>593</v>
      </c>
      <c r="H3400" s="2" t="s">
        <v>34</v>
      </c>
      <c r="I3400" s="2" t="s">
        <v>7934</v>
      </c>
      <c r="J3400" s="2" t="s">
        <v>7935</v>
      </c>
      <c r="K3400" s="2" t="s">
        <v>300</v>
      </c>
      <c r="L3400" s="2" t="s">
        <v>34</v>
      </c>
      <c r="M3400" s="12">
        <v>2712.7159999999999</v>
      </c>
      <c r="N3400" s="4">
        <v>42</v>
      </c>
      <c r="O3400" s="4">
        <v>42</v>
      </c>
      <c r="P3400" s="2" t="s">
        <v>10694</v>
      </c>
      <c r="Q3400" s="6">
        <v>100</v>
      </c>
      <c r="R3400" s="6">
        <v>7.2</v>
      </c>
      <c r="S3400" s="5">
        <v>0.7</v>
      </c>
      <c r="T3400" s="7">
        <v>2.806</v>
      </c>
      <c r="U3400" s="5">
        <v>3.3</v>
      </c>
      <c r="V3400" s="7">
        <v>0.22700000000000001</v>
      </c>
      <c r="W3400" s="7">
        <v>4.875</v>
      </c>
      <c r="X3400" s="7">
        <v>5.375</v>
      </c>
      <c r="Y3400" s="7">
        <v>6.8129999999999997</v>
      </c>
      <c r="Z3400" s="6">
        <v>6.75</v>
      </c>
      <c r="AA3400" s="6">
        <v>3.48</v>
      </c>
      <c r="AB3400" s="7">
        <v>17.756</v>
      </c>
      <c r="AC3400" s="5">
        <v>128.4</v>
      </c>
    </row>
    <row r="3401" spans="1:29" ht="156" x14ac:dyDescent="0.15">
      <c r="A3401" s="3">
        <f t="shared" ref="A3401:A3407" si="41">DATE(1997,10,13)</f>
        <v>35716</v>
      </c>
      <c r="B3401" s="2"/>
      <c r="C3401" s="2" t="s">
        <v>30</v>
      </c>
      <c r="D3401" s="2" t="s">
        <v>10695</v>
      </c>
      <c r="E3401" s="2" t="s">
        <v>10696</v>
      </c>
      <c r="F3401" s="4">
        <v>8051</v>
      </c>
      <c r="G3401" s="2" t="s">
        <v>454</v>
      </c>
      <c r="H3401" s="2" t="s">
        <v>34</v>
      </c>
      <c r="I3401" s="2" t="s">
        <v>7640</v>
      </c>
      <c r="J3401" s="2" t="s">
        <v>7641</v>
      </c>
      <c r="K3401" s="2" t="s">
        <v>454</v>
      </c>
      <c r="L3401" s="2" t="s">
        <v>34</v>
      </c>
      <c r="M3401" s="7">
        <v>155.375</v>
      </c>
      <c r="N3401" s="4">
        <v>16</v>
      </c>
      <c r="O3401" s="6">
        <v>15.75</v>
      </c>
      <c r="P3401" s="2" t="s">
        <v>10697</v>
      </c>
      <c r="Q3401" s="2"/>
      <c r="R3401" s="6">
        <v>17.5</v>
      </c>
      <c r="S3401" s="5">
        <v>1</v>
      </c>
      <c r="T3401" s="6">
        <v>2.38</v>
      </c>
      <c r="U3401" s="5">
        <v>4.8</v>
      </c>
      <c r="V3401" s="6">
        <v>0.21</v>
      </c>
      <c r="W3401" s="7">
        <v>11.125</v>
      </c>
      <c r="X3401" s="6">
        <v>11.25</v>
      </c>
      <c r="Y3401" s="7">
        <v>11.375</v>
      </c>
      <c r="Z3401" s="7">
        <v>12.313000000000001</v>
      </c>
      <c r="AA3401" s="6">
        <v>11.58</v>
      </c>
      <c r="AB3401" s="7">
        <v>123.514</v>
      </c>
      <c r="AC3401" s="6">
        <v>23.97</v>
      </c>
    </row>
    <row r="3402" spans="1:29" ht="104" x14ac:dyDescent="0.15">
      <c r="A3402" s="3">
        <f t="shared" si="41"/>
        <v>35716</v>
      </c>
      <c r="B3402" s="2"/>
      <c r="C3402" s="2" t="s">
        <v>82</v>
      </c>
      <c r="D3402" s="2" t="s">
        <v>10698</v>
      </c>
      <c r="E3402" s="2" t="s">
        <v>10699</v>
      </c>
      <c r="F3402" s="4">
        <v>8099</v>
      </c>
      <c r="G3402" s="2" t="s">
        <v>454</v>
      </c>
      <c r="H3402" s="2" t="s">
        <v>34</v>
      </c>
      <c r="I3402" s="2" t="s">
        <v>51</v>
      </c>
      <c r="J3402" s="2" t="s">
        <v>52</v>
      </c>
      <c r="K3402" s="2" t="s">
        <v>53</v>
      </c>
      <c r="L3402" s="2" t="s">
        <v>34</v>
      </c>
      <c r="M3402" s="2"/>
      <c r="N3402" s="2"/>
      <c r="O3402" s="2"/>
      <c r="P3402" s="2" t="s">
        <v>10700</v>
      </c>
      <c r="Q3402" s="2"/>
      <c r="R3402" s="6">
        <v>18</v>
      </c>
      <c r="S3402" s="2"/>
      <c r="T3402" s="2"/>
      <c r="U3402" s="2"/>
      <c r="V3402" s="2"/>
      <c r="W3402" s="6">
        <v>17.75</v>
      </c>
      <c r="X3402" s="4">
        <v>18</v>
      </c>
      <c r="Y3402" s="7">
        <v>17.312999999999999</v>
      </c>
      <c r="Z3402" s="7">
        <v>17.562999999999999</v>
      </c>
      <c r="AA3402" s="6">
        <v>51.08</v>
      </c>
      <c r="AB3402" s="2" t="s">
        <v>47</v>
      </c>
      <c r="AC3402" s="2"/>
    </row>
    <row r="3403" spans="1:29" ht="91" x14ac:dyDescent="0.15">
      <c r="A3403" s="3">
        <f t="shared" si="41"/>
        <v>35716</v>
      </c>
      <c r="B3403" s="3">
        <f>DATE(1997,10,13)</f>
        <v>35716</v>
      </c>
      <c r="C3403" s="2" t="s">
        <v>95</v>
      </c>
      <c r="D3403" s="2" t="s">
        <v>10701</v>
      </c>
      <c r="E3403" s="2" t="s">
        <v>10702</v>
      </c>
      <c r="F3403" s="4">
        <v>4822</v>
      </c>
      <c r="G3403" s="2" t="s">
        <v>63</v>
      </c>
      <c r="H3403" s="2" t="s">
        <v>34</v>
      </c>
      <c r="I3403" s="2" t="s">
        <v>10703</v>
      </c>
      <c r="J3403" s="2" t="s">
        <v>302</v>
      </c>
      <c r="K3403" s="2" t="s">
        <v>53</v>
      </c>
      <c r="L3403" s="2" t="s">
        <v>34</v>
      </c>
      <c r="M3403" s="2"/>
      <c r="N3403" s="2"/>
      <c r="O3403" s="2"/>
      <c r="P3403" s="2" t="s">
        <v>10704</v>
      </c>
      <c r="Q3403" s="6">
        <v>69.59</v>
      </c>
      <c r="R3403" s="6">
        <v>4.03</v>
      </c>
      <c r="S3403" s="5">
        <v>-22.5</v>
      </c>
      <c r="T3403" s="7">
        <v>-15.798</v>
      </c>
      <c r="U3403" s="5">
        <v>0.8</v>
      </c>
      <c r="V3403" s="6">
        <v>-4.57</v>
      </c>
      <c r="W3403" s="7">
        <v>8.125</v>
      </c>
      <c r="X3403" s="7">
        <v>7.9379999999999997</v>
      </c>
      <c r="Y3403" s="7">
        <v>8.625</v>
      </c>
      <c r="Z3403" s="5">
        <v>8.5</v>
      </c>
      <c r="AA3403" s="6">
        <v>14.37</v>
      </c>
      <c r="AB3403" s="2" t="s">
        <v>86</v>
      </c>
      <c r="AC3403" s="2"/>
    </row>
    <row r="3404" spans="1:29" ht="117" x14ac:dyDescent="0.15">
      <c r="A3404" s="3">
        <f t="shared" si="41"/>
        <v>35716</v>
      </c>
      <c r="B3404" s="3">
        <f>DATE(1998,3,19)</f>
        <v>35873</v>
      </c>
      <c r="C3404" s="2" t="s">
        <v>95</v>
      </c>
      <c r="D3404" s="2" t="s">
        <v>10705</v>
      </c>
      <c r="E3404" s="2" t="s">
        <v>10706</v>
      </c>
      <c r="F3404" s="4">
        <v>2024</v>
      </c>
      <c r="G3404" s="2" t="s">
        <v>577</v>
      </c>
      <c r="H3404" s="2" t="s">
        <v>34</v>
      </c>
      <c r="I3404" s="2" t="s">
        <v>10707</v>
      </c>
      <c r="J3404" s="2" t="s">
        <v>10708</v>
      </c>
      <c r="K3404" s="2" t="s">
        <v>577</v>
      </c>
      <c r="L3404" s="2" t="s">
        <v>902</v>
      </c>
      <c r="M3404" s="2"/>
      <c r="N3404" s="2"/>
      <c r="O3404" s="2"/>
      <c r="P3404" s="2" t="s">
        <v>10709</v>
      </c>
      <c r="Q3404" s="6">
        <v>100</v>
      </c>
      <c r="R3404" s="6">
        <v>4.51</v>
      </c>
      <c r="S3404" s="5">
        <v>0</v>
      </c>
      <c r="T3404" s="7">
        <v>1.8979999999999999</v>
      </c>
      <c r="U3404" s="5">
        <v>1.2</v>
      </c>
      <c r="V3404" s="7">
        <v>5.0000000000000001E-3</v>
      </c>
      <c r="W3404" s="7">
        <v>2.1880000000000002</v>
      </c>
      <c r="X3404" s="7">
        <v>2.6560000000000001</v>
      </c>
      <c r="Y3404" s="7">
        <v>2.625</v>
      </c>
      <c r="Z3404" s="7">
        <v>3.1880000000000002</v>
      </c>
      <c r="AA3404" s="6">
        <v>10</v>
      </c>
      <c r="AB3404" s="7">
        <v>61.478999999999999</v>
      </c>
      <c r="AC3404" s="6">
        <v>20.51</v>
      </c>
    </row>
    <row r="3405" spans="1:29" ht="117" x14ac:dyDescent="0.15">
      <c r="A3405" s="3">
        <f t="shared" si="41"/>
        <v>35716</v>
      </c>
      <c r="B3405" s="3">
        <f>DATE(1998,1,22)</f>
        <v>35817</v>
      </c>
      <c r="C3405" s="2" t="s">
        <v>95</v>
      </c>
      <c r="D3405" s="2" t="s">
        <v>10710</v>
      </c>
      <c r="E3405" s="2" t="s">
        <v>10711</v>
      </c>
      <c r="F3405" s="4">
        <v>7375</v>
      </c>
      <c r="G3405" s="2" t="s">
        <v>223</v>
      </c>
      <c r="H3405" s="2" t="s">
        <v>34</v>
      </c>
      <c r="I3405" s="2" t="s">
        <v>10712</v>
      </c>
      <c r="J3405" s="2" t="s">
        <v>973</v>
      </c>
      <c r="K3405" s="2" t="s">
        <v>63</v>
      </c>
      <c r="L3405" s="2" t="s">
        <v>34</v>
      </c>
      <c r="M3405" s="12">
        <v>1300.7550000000001</v>
      </c>
      <c r="N3405" s="7">
        <v>25.187999999999999</v>
      </c>
      <c r="O3405" s="7">
        <v>24.375</v>
      </c>
      <c r="P3405" s="2" t="s">
        <v>10713</v>
      </c>
      <c r="Q3405" s="6">
        <v>100</v>
      </c>
      <c r="R3405" s="6">
        <v>22.65</v>
      </c>
      <c r="S3405" s="5">
        <v>-44.3</v>
      </c>
      <c r="T3405" s="7">
        <v>-19.097000000000001</v>
      </c>
      <c r="U3405" s="5">
        <v>12.4</v>
      </c>
      <c r="V3405" s="6">
        <v>-3.85</v>
      </c>
      <c r="W3405" s="6">
        <v>13.25</v>
      </c>
      <c r="X3405" s="7">
        <v>15.125</v>
      </c>
      <c r="Y3405" s="7">
        <v>21.187999999999999</v>
      </c>
      <c r="Z3405" s="7">
        <v>20.562999999999999</v>
      </c>
      <c r="AA3405" s="6">
        <v>11.73</v>
      </c>
      <c r="AB3405" s="2" t="s">
        <v>86</v>
      </c>
      <c r="AC3405" s="6">
        <v>457.91</v>
      </c>
    </row>
    <row r="3406" spans="1:29" ht="117" x14ac:dyDescent="0.15">
      <c r="A3406" s="3">
        <f t="shared" si="41"/>
        <v>35716</v>
      </c>
      <c r="B3406" s="3">
        <f>DATE(1997,12,1)</f>
        <v>35765</v>
      </c>
      <c r="C3406" s="2" t="s">
        <v>95</v>
      </c>
      <c r="D3406" s="2" t="s">
        <v>10714</v>
      </c>
      <c r="E3406" s="2" t="s">
        <v>10715</v>
      </c>
      <c r="F3406" s="4">
        <v>7373</v>
      </c>
      <c r="G3406" s="2" t="s">
        <v>223</v>
      </c>
      <c r="H3406" s="2" t="s">
        <v>34</v>
      </c>
      <c r="I3406" s="2" t="s">
        <v>7759</v>
      </c>
      <c r="J3406" s="2" t="s">
        <v>7760</v>
      </c>
      <c r="K3406" s="2" t="s">
        <v>551</v>
      </c>
      <c r="L3406" s="2" t="s">
        <v>34</v>
      </c>
      <c r="M3406" s="12">
        <v>2900.2379999999998</v>
      </c>
      <c r="N3406" s="7">
        <v>66.375</v>
      </c>
      <c r="O3406" s="7">
        <v>59.813000000000002</v>
      </c>
      <c r="P3406" s="2" t="s">
        <v>10716</v>
      </c>
      <c r="Q3406" s="6">
        <v>100</v>
      </c>
      <c r="R3406" s="6">
        <v>24.98</v>
      </c>
      <c r="S3406" s="5">
        <v>25.1</v>
      </c>
      <c r="T3406" s="7">
        <v>69.605000000000004</v>
      </c>
      <c r="U3406" s="5">
        <v>4.0999999999999996</v>
      </c>
      <c r="V3406" s="6">
        <v>0.55000000000000004</v>
      </c>
      <c r="W3406" s="7">
        <v>19.937999999999999</v>
      </c>
      <c r="X3406" s="7">
        <v>20.875</v>
      </c>
      <c r="Y3406" s="7">
        <v>23.375</v>
      </c>
      <c r="Z3406" s="7">
        <v>24.312999999999999</v>
      </c>
      <c r="AA3406" s="6">
        <v>42.72</v>
      </c>
      <c r="AB3406" s="7">
        <v>17.616</v>
      </c>
      <c r="AC3406" s="6">
        <v>126.73</v>
      </c>
    </row>
    <row r="3407" spans="1:29" ht="195" x14ac:dyDescent="0.15">
      <c r="A3407" s="3">
        <f t="shared" si="41"/>
        <v>35716</v>
      </c>
      <c r="B3407" s="2"/>
      <c r="C3407" s="2" t="s">
        <v>7330</v>
      </c>
      <c r="D3407" s="2" t="s">
        <v>10717</v>
      </c>
      <c r="E3407" s="2" t="s">
        <v>10718</v>
      </c>
      <c r="F3407" s="4">
        <v>6794</v>
      </c>
      <c r="G3407" s="2" t="s">
        <v>53</v>
      </c>
      <c r="H3407" s="2" t="s">
        <v>34</v>
      </c>
      <c r="I3407" s="2" t="s">
        <v>10719</v>
      </c>
      <c r="J3407" s="2" t="s">
        <v>10720</v>
      </c>
      <c r="K3407" s="2" t="s">
        <v>73</v>
      </c>
      <c r="L3407" s="2" t="s">
        <v>34</v>
      </c>
      <c r="M3407" s="7">
        <v>9.2260000000000009</v>
      </c>
      <c r="N3407" s="7">
        <v>1.125</v>
      </c>
      <c r="O3407" s="7">
        <v>1.1559999999999999</v>
      </c>
      <c r="P3407" s="2" t="s">
        <v>10721</v>
      </c>
      <c r="Q3407" s="2"/>
      <c r="R3407" s="6">
        <v>2.7</v>
      </c>
      <c r="S3407" s="5">
        <v>-0.4</v>
      </c>
      <c r="T3407" s="7">
        <v>-0.34699999999999998</v>
      </c>
      <c r="U3407" s="5">
        <v>1.3</v>
      </c>
      <c r="V3407" s="7">
        <v>-0.11700000000000001</v>
      </c>
      <c r="W3407" s="6">
        <v>3.25</v>
      </c>
      <c r="X3407" s="7">
        <v>3.125</v>
      </c>
      <c r="Y3407" s="7">
        <v>3.125</v>
      </c>
      <c r="Z3407" s="6">
        <v>3.25</v>
      </c>
      <c r="AA3407" s="6">
        <v>3</v>
      </c>
      <c r="AB3407" s="2" t="s">
        <v>86</v>
      </c>
      <c r="AC3407" s="2"/>
    </row>
    <row r="3408" spans="1:29" ht="130" x14ac:dyDescent="0.15">
      <c r="A3408" s="3">
        <f>DATE(1997,10,14)</f>
        <v>35717</v>
      </c>
      <c r="B3408" s="3">
        <f>DATE(1997,12,19)</f>
        <v>35783</v>
      </c>
      <c r="C3408" s="2" t="s">
        <v>95</v>
      </c>
      <c r="D3408" s="2" t="s">
        <v>10722</v>
      </c>
      <c r="E3408" s="2" t="s">
        <v>10723</v>
      </c>
      <c r="F3408" s="4">
        <v>8741</v>
      </c>
      <c r="G3408" s="2" t="s">
        <v>223</v>
      </c>
      <c r="H3408" s="2" t="s">
        <v>34</v>
      </c>
      <c r="I3408" s="2" t="s">
        <v>10724</v>
      </c>
      <c r="J3408" s="2" t="s">
        <v>10725</v>
      </c>
      <c r="K3408" s="2" t="s">
        <v>223</v>
      </c>
      <c r="L3408" s="2" t="s">
        <v>34</v>
      </c>
      <c r="M3408" s="10">
        <v>1035.27</v>
      </c>
      <c r="N3408" s="7">
        <v>41.688000000000002</v>
      </c>
      <c r="O3408" s="7">
        <v>39.188000000000002</v>
      </c>
      <c r="P3408" s="2" t="s">
        <v>10726</v>
      </c>
      <c r="Q3408" s="6">
        <v>100</v>
      </c>
      <c r="R3408" s="6">
        <v>17.940000000000001</v>
      </c>
      <c r="S3408" s="5">
        <v>-3.5</v>
      </c>
      <c r="T3408" s="7">
        <v>7.7119999999999997</v>
      </c>
      <c r="U3408" s="5">
        <v>5.3</v>
      </c>
      <c r="V3408" s="7">
        <v>-0.499</v>
      </c>
      <c r="W3408" s="7">
        <v>18.625</v>
      </c>
      <c r="X3408" s="7">
        <v>18.125</v>
      </c>
      <c r="Y3408" s="7">
        <v>17.875</v>
      </c>
      <c r="Z3408" s="7">
        <v>16.625</v>
      </c>
      <c r="AA3408" s="6">
        <v>9.7200000000000006</v>
      </c>
      <c r="AB3408" s="7">
        <v>118.874</v>
      </c>
      <c r="AC3408" s="6">
        <v>19.239999999999998</v>
      </c>
    </row>
    <row r="3409" spans="1:29" ht="91" x14ac:dyDescent="0.15">
      <c r="A3409" s="3">
        <f>DATE(1997,10,14)</f>
        <v>35717</v>
      </c>
      <c r="B3409" s="2"/>
      <c r="C3409" s="2" t="s">
        <v>82</v>
      </c>
      <c r="D3409" s="2" t="s">
        <v>10727</v>
      </c>
      <c r="E3409" s="2" t="s">
        <v>10728</v>
      </c>
      <c r="F3409" s="4">
        <v>2844</v>
      </c>
      <c r="G3409" s="2" t="s">
        <v>358</v>
      </c>
      <c r="H3409" s="2" t="s">
        <v>34</v>
      </c>
      <c r="I3409" s="2" t="s">
        <v>10729</v>
      </c>
      <c r="J3409" s="2" t="s">
        <v>10730</v>
      </c>
      <c r="K3409" s="2" t="s">
        <v>364</v>
      </c>
      <c r="L3409" s="2" t="s">
        <v>34</v>
      </c>
      <c r="M3409" s="7">
        <v>9.0980000000000008</v>
      </c>
      <c r="N3409" s="7">
        <v>4.625</v>
      </c>
      <c r="O3409" s="7">
        <v>5.125</v>
      </c>
      <c r="P3409" s="2" t="s">
        <v>10731</v>
      </c>
      <c r="Q3409" s="2"/>
      <c r="R3409" s="2"/>
      <c r="S3409" s="5">
        <v>-0.7</v>
      </c>
      <c r="T3409" s="7">
        <v>0.127</v>
      </c>
      <c r="U3409" s="5">
        <v>0.4</v>
      </c>
      <c r="V3409" s="7">
        <v>-9.5000000000000001E-2</v>
      </c>
      <c r="W3409" s="9">
        <v>0.9375</v>
      </c>
      <c r="X3409" s="11">
        <v>1.03125</v>
      </c>
      <c r="Y3409" s="6">
        <v>1.25</v>
      </c>
      <c r="Z3409" s="4">
        <v>1</v>
      </c>
      <c r="AA3409" s="2"/>
      <c r="AB3409" s="2" t="s">
        <v>86</v>
      </c>
      <c r="AC3409" s="2"/>
    </row>
    <row r="3410" spans="1:29" ht="65" x14ac:dyDescent="0.15">
      <c r="A3410" s="3">
        <f>DATE(1997,10,15)</f>
        <v>35718</v>
      </c>
      <c r="B3410" s="2"/>
      <c r="C3410" s="2" t="s">
        <v>30</v>
      </c>
      <c r="D3410" s="2" t="s">
        <v>10732</v>
      </c>
      <c r="E3410" s="2" t="s">
        <v>10733</v>
      </c>
      <c r="F3410" s="4">
        <v>4813</v>
      </c>
      <c r="G3410" s="2" t="s">
        <v>63</v>
      </c>
      <c r="H3410" s="2" t="s">
        <v>34</v>
      </c>
      <c r="I3410" s="2" t="s">
        <v>10734</v>
      </c>
      <c r="J3410" s="2" t="s">
        <v>781</v>
      </c>
      <c r="K3410" s="2" t="s">
        <v>551</v>
      </c>
      <c r="L3410" s="2" t="s">
        <v>34</v>
      </c>
      <c r="M3410" s="2"/>
      <c r="N3410" s="2"/>
      <c r="O3410" s="2"/>
      <c r="P3410" s="2" t="s">
        <v>10735</v>
      </c>
      <c r="Q3410" s="2"/>
      <c r="R3410" s="6">
        <v>10</v>
      </c>
      <c r="S3410" s="5">
        <v>1.2</v>
      </c>
      <c r="T3410" s="6">
        <v>12.21</v>
      </c>
      <c r="U3410" s="5">
        <v>5.0999999999999996</v>
      </c>
      <c r="V3410" s="6">
        <v>0.53</v>
      </c>
      <c r="W3410" s="7">
        <v>9.875</v>
      </c>
      <c r="X3410" s="7">
        <v>9.6880000000000006</v>
      </c>
      <c r="Y3410" s="4">
        <v>10</v>
      </c>
      <c r="Z3410" s="6">
        <v>9.75</v>
      </c>
      <c r="AA3410" s="6">
        <v>1.89</v>
      </c>
      <c r="AB3410" s="7">
        <v>17.407</v>
      </c>
      <c r="AC3410" s="2"/>
    </row>
    <row r="3411" spans="1:29" ht="169" x14ac:dyDescent="0.15">
      <c r="A3411" s="3">
        <f>DATE(1997,10,15)</f>
        <v>35718</v>
      </c>
      <c r="B3411" s="2"/>
      <c r="C3411" s="2" t="s">
        <v>30</v>
      </c>
      <c r="D3411" s="2" t="s">
        <v>559</v>
      </c>
      <c r="E3411" s="2" t="s">
        <v>560</v>
      </c>
      <c r="F3411" s="4">
        <v>4813</v>
      </c>
      <c r="G3411" s="2" t="s">
        <v>63</v>
      </c>
      <c r="H3411" s="2" t="s">
        <v>34</v>
      </c>
      <c r="I3411" s="2" t="s">
        <v>972</v>
      </c>
      <c r="J3411" s="2" t="s">
        <v>973</v>
      </c>
      <c r="K3411" s="2" t="s">
        <v>63</v>
      </c>
      <c r="L3411" s="2" t="s">
        <v>34</v>
      </c>
      <c r="M3411" s="12">
        <v>43028.137999999999</v>
      </c>
      <c r="N3411" s="4">
        <v>48</v>
      </c>
      <c r="O3411" s="6">
        <v>44.75</v>
      </c>
      <c r="P3411" s="2" t="s">
        <v>10736</v>
      </c>
      <c r="Q3411" s="2"/>
      <c r="R3411" s="6">
        <v>40</v>
      </c>
      <c r="S3411" s="8">
        <v>1237</v>
      </c>
      <c r="T3411" s="8">
        <v>4035</v>
      </c>
      <c r="U3411" s="5">
        <v>15.6</v>
      </c>
      <c r="V3411" s="6">
        <v>1.73</v>
      </c>
      <c r="W3411" s="7">
        <v>25.375</v>
      </c>
      <c r="X3411" s="7">
        <v>25.125</v>
      </c>
      <c r="Y3411" s="7">
        <v>36.875</v>
      </c>
      <c r="Z3411" s="7">
        <v>38.125</v>
      </c>
      <c r="AA3411" s="6">
        <v>691.85</v>
      </c>
      <c r="AB3411" s="7">
        <v>14.743</v>
      </c>
      <c r="AC3411" s="2"/>
    </row>
    <row r="3412" spans="1:29" ht="130" x14ac:dyDescent="0.15">
      <c r="A3412" s="3">
        <f>DATE(1997,10,15)</f>
        <v>35718</v>
      </c>
      <c r="B3412" s="3">
        <f>DATE(1998,4,17)</f>
        <v>35902</v>
      </c>
      <c r="C3412" s="2" t="s">
        <v>95</v>
      </c>
      <c r="D3412" s="2" t="s">
        <v>8860</v>
      </c>
      <c r="E3412" s="2" t="s">
        <v>2898</v>
      </c>
      <c r="F3412" s="4">
        <v>6022</v>
      </c>
      <c r="G3412" s="2" t="s">
        <v>37</v>
      </c>
      <c r="H3412" s="2" t="s">
        <v>34</v>
      </c>
      <c r="I3412" s="2" t="s">
        <v>2419</v>
      </c>
      <c r="J3412" s="2" t="s">
        <v>36</v>
      </c>
      <c r="K3412" s="2" t="s">
        <v>37</v>
      </c>
      <c r="L3412" s="2" t="s">
        <v>34</v>
      </c>
      <c r="M3412" s="6">
        <v>828.91</v>
      </c>
      <c r="N3412" s="7">
        <v>42.188000000000002</v>
      </c>
      <c r="O3412" s="6">
        <v>42.75</v>
      </c>
      <c r="P3412" s="2" t="s">
        <v>10737</v>
      </c>
      <c r="Q3412" s="6">
        <v>100</v>
      </c>
      <c r="R3412" s="6">
        <v>46.38</v>
      </c>
      <c r="S3412" s="5">
        <v>8.9</v>
      </c>
      <c r="T3412" s="7">
        <v>18.446000000000002</v>
      </c>
      <c r="U3412" s="5">
        <v>14.2</v>
      </c>
      <c r="V3412" s="7">
        <v>1.498</v>
      </c>
      <c r="W3412" s="5">
        <v>36.5</v>
      </c>
      <c r="X3412" s="7">
        <v>40.125</v>
      </c>
      <c r="Y3412" s="6">
        <v>42.25</v>
      </c>
      <c r="Z3412" s="7">
        <v>42.438000000000002</v>
      </c>
      <c r="AA3412" s="6">
        <v>12.34</v>
      </c>
      <c r="AB3412" s="7">
        <v>123.142</v>
      </c>
      <c r="AC3412" s="2"/>
    </row>
    <row r="3413" spans="1:29" ht="104" x14ac:dyDescent="0.15">
      <c r="A3413" s="3">
        <f>DATE(1997,10,15)</f>
        <v>35718</v>
      </c>
      <c r="B3413" s="3">
        <f>DATE(1997,11,21)</f>
        <v>35755</v>
      </c>
      <c r="C3413" s="2" t="s">
        <v>95</v>
      </c>
      <c r="D3413" s="2" t="s">
        <v>10738</v>
      </c>
      <c r="E3413" s="2" t="s">
        <v>10739</v>
      </c>
      <c r="F3413" s="4">
        <v>5198</v>
      </c>
      <c r="G3413" s="2" t="s">
        <v>593</v>
      </c>
      <c r="H3413" s="2" t="s">
        <v>34</v>
      </c>
      <c r="I3413" s="2" t="s">
        <v>10740</v>
      </c>
      <c r="J3413" s="2" t="s">
        <v>7529</v>
      </c>
      <c r="K3413" s="2" t="s">
        <v>593</v>
      </c>
      <c r="L3413" s="2" t="s">
        <v>34</v>
      </c>
      <c r="M3413" s="7">
        <v>33.709000000000003</v>
      </c>
      <c r="N3413" s="5">
        <v>6.5</v>
      </c>
      <c r="O3413" s="4">
        <v>7</v>
      </c>
      <c r="P3413" s="2" t="s">
        <v>10741</v>
      </c>
      <c r="Q3413" s="6">
        <v>100</v>
      </c>
      <c r="R3413" s="6">
        <v>8</v>
      </c>
      <c r="S3413" s="5">
        <v>-4.2</v>
      </c>
      <c r="T3413" s="7">
        <v>4.3140000000000001</v>
      </c>
      <c r="U3413" s="5">
        <v>5.7</v>
      </c>
      <c r="V3413" s="7">
        <v>-0.48099999999999998</v>
      </c>
      <c r="W3413" s="4">
        <v>6</v>
      </c>
      <c r="X3413" s="7">
        <v>6.375</v>
      </c>
      <c r="Y3413" s="7">
        <v>7.7190000000000003</v>
      </c>
      <c r="Z3413" s="6">
        <v>7.75</v>
      </c>
      <c r="AA3413" s="6">
        <v>8.65</v>
      </c>
      <c r="AB3413" s="2" t="s">
        <v>86</v>
      </c>
      <c r="AC3413" s="5">
        <v>0.3</v>
      </c>
    </row>
    <row r="3414" spans="1:29" ht="104" x14ac:dyDescent="0.15">
      <c r="A3414" s="3">
        <f>DATE(1997,10,15)</f>
        <v>35718</v>
      </c>
      <c r="B3414" s="3">
        <f>DATE(1997,12,4)</f>
        <v>35768</v>
      </c>
      <c r="C3414" s="2" t="s">
        <v>95</v>
      </c>
      <c r="D3414" s="2" t="s">
        <v>10742</v>
      </c>
      <c r="E3414" s="2" t="s">
        <v>10743</v>
      </c>
      <c r="F3414" s="4">
        <v>7372</v>
      </c>
      <c r="G3414" s="2" t="s">
        <v>551</v>
      </c>
      <c r="H3414" s="2" t="s">
        <v>34</v>
      </c>
      <c r="I3414" s="2" t="s">
        <v>9138</v>
      </c>
      <c r="J3414" s="2" t="s">
        <v>9139</v>
      </c>
      <c r="K3414" s="2" t="s">
        <v>551</v>
      </c>
      <c r="L3414" s="2" t="s">
        <v>34</v>
      </c>
      <c r="M3414" s="12">
        <v>2052.8139999999999</v>
      </c>
      <c r="N3414" s="7">
        <v>39.813000000000002</v>
      </c>
      <c r="O3414" s="7">
        <v>40.625</v>
      </c>
      <c r="P3414" s="2" t="s">
        <v>10744</v>
      </c>
      <c r="Q3414" s="6">
        <v>100</v>
      </c>
      <c r="R3414" s="6">
        <v>28</v>
      </c>
      <c r="S3414" s="5">
        <v>11.3</v>
      </c>
      <c r="T3414" s="7">
        <v>17.568000000000001</v>
      </c>
      <c r="U3414" s="5">
        <v>5</v>
      </c>
      <c r="V3414" s="6">
        <v>0.66</v>
      </c>
      <c r="W3414" s="7">
        <v>22.375</v>
      </c>
      <c r="X3414" s="5">
        <v>22.5</v>
      </c>
      <c r="Y3414" s="7">
        <v>25.187999999999999</v>
      </c>
      <c r="Z3414" s="7">
        <v>25.375</v>
      </c>
      <c r="AA3414" s="6">
        <v>16.73</v>
      </c>
      <c r="AB3414" s="7">
        <v>37.936999999999998</v>
      </c>
      <c r="AC3414" s="6">
        <v>362.77</v>
      </c>
    </row>
    <row r="3415" spans="1:29" ht="65" x14ac:dyDescent="0.15">
      <c r="A3415" s="3">
        <f>DATE(1997,10,16)</f>
        <v>35719</v>
      </c>
      <c r="B3415" s="3">
        <f>DATE(1998,2,12)</f>
        <v>35838</v>
      </c>
      <c r="C3415" s="2" t="s">
        <v>95</v>
      </c>
      <c r="D3415" s="2" t="s">
        <v>10745</v>
      </c>
      <c r="E3415" s="2" t="s">
        <v>4015</v>
      </c>
      <c r="F3415" s="4">
        <v>6311</v>
      </c>
      <c r="G3415" s="2" t="s">
        <v>125</v>
      </c>
      <c r="H3415" s="2" t="s">
        <v>34</v>
      </c>
      <c r="I3415" s="2" t="s">
        <v>10746</v>
      </c>
      <c r="J3415" s="2" t="s">
        <v>10747</v>
      </c>
      <c r="K3415" s="2" t="s">
        <v>53</v>
      </c>
      <c r="L3415" s="2" t="s">
        <v>34</v>
      </c>
      <c r="M3415" s="12">
        <v>10167.425999999999</v>
      </c>
      <c r="N3415" s="7">
        <v>83.188000000000002</v>
      </c>
      <c r="O3415" s="7">
        <v>82.625</v>
      </c>
      <c r="P3415" s="2" t="s">
        <v>10748</v>
      </c>
      <c r="Q3415" s="6">
        <v>100</v>
      </c>
      <c r="R3415" s="6">
        <v>31.75</v>
      </c>
      <c r="S3415" s="5">
        <v>5.6</v>
      </c>
      <c r="T3415" s="7">
        <v>8.3130000000000006</v>
      </c>
      <c r="U3415" s="5">
        <v>10</v>
      </c>
      <c r="V3415" s="7">
        <v>0.97599999999999998</v>
      </c>
      <c r="W3415" s="7">
        <v>18.062999999999999</v>
      </c>
      <c r="X3415" s="6">
        <v>17.75</v>
      </c>
      <c r="Y3415" s="7">
        <v>17.625</v>
      </c>
      <c r="Z3415" s="7">
        <v>30.875</v>
      </c>
      <c r="AA3415" s="6">
        <v>5.7</v>
      </c>
      <c r="AB3415" s="7">
        <v>26.587</v>
      </c>
      <c r="AC3415" s="5">
        <v>112</v>
      </c>
    </row>
    <row r="3416" spans="1:29" ht="169" x14ac:dyDescent="0.15">
      <c r="A3416" s="3">
        <f t="shared" ref="A3416:A3422" si="42">DATE(1997,10,17)</f>
        <v>35720</v>
      </c>
      <c r="B3416" s="3">
        <f>DATE(1998,2,27)</f>
        <v>35853</v>
      </c>
      <c r="C3416" s="2" t="s">
        <v>95</v>
      </c>
      <c r="D3416" s="2" t="s">
        <v>10749</v>
      </c>
      <c r="E3416" s="2" t="s">
        <v>4189</v>
      </c>
      <c r="F3416" s="4">
        <v>8711</v>
      </c>
      <c r="G3416" s="2" t="s">
        <v>223</v>
      </c>
      <c r="H3416" s="2" t="s">
        <v>34</v>
      </c>
      <c r="I3416" s="2" t="s">
        <v>51</v>
      </c>
      <c r="J3416" s="2" t="s">
        <v>52</v>
      </c>
      <c r="K3416" s="2" t="s">
        <v>53</v>
      </c>
      <c r="L3416" s="2" t="s">
        <v>34</v>
      </c>
      <c r="M3416" s="2"/>
      <c r="N3416" s="2"/>
      <c r="O3416" s="2"/>
      <c r="P3416" s="2" t="s">
        <v>10750</v>
      </c>
      <c r="Q3416" s="6">
        <v>100</v>
      </c>
      <c r="R3416" s="6">
        <v>12</v>
      </c>
      <c r="S3416" s="5">
        <v>4.9000000000000004</v>
      </c>
      <c r="T3416" s="7">
        <v>11.598000000000001</v>
      </c>
      <c r="U3416" s="5">
        <v>6.1</v>
      </c>
      <c r="V3416" s="7">
        <v>0.58399999999999996</v>
      </c>
      <c r="W3416" s="7">
        <v>13.063000000000001</v>
      </c>
      <c r="X3416" s="4">
        <v>12</v>
      </c>
      <c r="Y3416" s="7">
        <v>11.563000000000001</v>
      </c>
      <c r="Z3416" s="7">
        <v>11.563000000000001</v>
      </c>
      <c r="AA3416" s="6">
        <v>7.8</v>
      </c>
      <c r="AB3416" s="7">
        <v>13.058999999999999</v>
      </c>
      <c r="AC3416" s="2"/>
    </row>
    <row r="3417" spans="1:29" ht="78" x14ac:dyDescent="0.15">
      <c r="A3417" s="3">
        <f t="shared" si="42"/>
        <v>35720</v>
      </c>
      <c r="B3417" s="3">
        <f>DATE(1997,12,29)</f>
        <v>35793</v>
      </c>
      <c r="C3417" s="2" t="s">
        <v>95</v>
      </c>
      <c r="D3417" s="2" t="s">
        <v>10751</v>
      </c>
      <c r="E3417" s="2" t="s">
        <v>10752</v>
      </c>
      <c r="F3417" s="4">
        <v>3829</v>
      </c>
      <c r="G3417" s="2" t="s">
        <v>226</v>
      </c>
      <c r="H3417" s="2" t="s">
        <v>34</v>
      </c>
      <c r="I3417" s="2" t="s">
        <v>10753</v>
      </c>
      <c r="J3417" s="2" t="s">
        <v>10754</v>
      </c>
      <c r="K3417" s="2" t="s">
        <v>226</v>
      </c>
      <c r="L3417" s="2" t="s">
        <v>34</v>
      </c>
      <c r="M3417" s="12">
        <v>25304.919000000002</v>
      </c>
      <c r="N3417" s="7">
        <v>55.375</v>
      </c>
      <c r="O3417" s="7">
        <v>55.938000000000002</v>
      </c>
      <c r="P3417" s="2" t="s">
        <v>10755</v>
      </c>
      <c r="Q3417" s="6">
        <v>100</v>
      </c>
      <c r="R3417" s="6">
        <v>29.65</v>
      </c>
      <c r="S3417" s="5">
        <v>4.0999999999999996</v>
      </c>
      <c r="T3417" s="7">
        <v>9.0939999999999994</v>
      </c>
      <c r="U3417" s="5">
        <v>6.9</v>
      </c>
      <c r="V3417" s="7">
        <v>0.79800000000000004</v>
      </c>
      <c r="W3417" s="4">
        <v>20</v>
      </c>
      <c r="X3417" s="7">
        <v>20.437999999999999</v>
      </c>
      <c r="Y3417" s="6">
        <v>28.25</v>
      </c>
      <c r="Z3417" s="7">
        <v>28.625</v>
      </c>
      <c r="AA3417" s="6">
        <v>5.0199999999999996</v>
      </c>
      <c r="AB3417" s="7">
        <v>25.803999999999998</v>
      </c>
      <c r="AC3417" s="5">
        <v>221.1</v>
      </c>
    </row>
    <row r="3418" spans="1:29" ht="208" x14ac:dyDescent="0.15">
      <c r="A3418" s="3">
        <f t="shared" si="42"/>
        <v>35720</v>
      </c>
      <c r="B3418" s="3">
        <f>DATE(1997,11,19)</f>
        <v>35753</v>
      </c>
      <c r="C3418" s="2" t="s">
        <v>95</v>
      </c>
      <c r="D3418" s="2" t="s">
        <v>10067</v>
      </c>
      <c r="E3418" s="2" t="s">
        <v>10068</v>
      </c>
      <c r="F3418" s="4">
        <v>3691</v>
      </c>
      <c r="G3418" s="2" t="s">
        <v>137</v>
      </c>
      <c r="H3418" s="2" t="s">
        <v>34</v>
      </c>
      <c r="I3418" s="2" t="s">
        <v>445</v>
      </c>
      <c r="J3418" s="2" t="s">
        <v>446</v>
      </c>
      <c r="K3418" s="2" t="s">
        <v>447</v>
      </c>
      <c r="L3418" s="2" t="s">
        <v>303</v>
      </c>
      <c r="M3418" s="2"/>
      <c r="N3418" s="2"/>
      <c r="O3418" s="2"/>
      <c r="P3418" s="2" t="s">
        <v>10756</v>
      </c>
      <c r="Q3418" s="6">
        <v>100</v>
      </c>
      <c r="R3418" s="6">
        <v>29</v>
      </c>
      <c r="S3418" s="5">
        <v>-10.3</v>
      </c>
      <c r="T3418" s="6">
        <v>44.37</v>
      </c>
      <c r="U3418" s="5">
        <v>10.199999999999999</v>
      </c>
      <c r="V3418" s="6">
        <v>-1.1499999999999999</v>
      </c>
      <c r="W3418" s="7">
        <v>22.437999999999999</v>
      </c>
      <c r="X3418" s="7">
        <v>28.577999999999999</v>
      </c>
      <c r="Y3418" s="7">
        <v>20.625</v>
      </c>
      <c r="Z3418" s="5">
        <v>21.5</v>
      </c>
      <c r="AA3418" s="6">
        <v>10.32</v>
      </c>
      <c r="AB3418" s="7">
        <v>26.925000000000001</v>
      </c>
      <c r="AC3418" s="2"/>
    </row>
    <row r="3419" spans="1:29" ht="91" x14ac:dyDescent="0.15">
      <c r="A3419" s="3">
        <f t="shared" si="42"/>
        <v>35720</v>
      </c>
      <c r="B3419" s="3">
        <f>DATE(1998,3,31)</f>
        <v>35885</v>
      </c>
      <c r="C3419" s="2" t="s">
        <v>95</v>
      </c>
      <c r="D3419" s="2" t="s">
        <v>10757</v>
      </c>
      <c r="E3419" s="2" t="s">
        <v>6652</v>
      </c>
      <c r="F3419" s="4">
        <v>6036</v>
      </c>
      <c r="G3419" s="2" t="s">
        <v>33</v>
      </c>
      <c r="H3419" s="2" t="s">
        <v>34</v>
      </c>
      <c r="I3419" s="2" t="s">
        <v>10758</v>
      </c>
      <c r="J3419" s="2" t="s">
        <v>32</v>
      </c>
      <c r="K3419" s="2" t="s">
        <v>33</v>
      </c>
      <c r="L3419" s="2" t="s">
        <v>34</v>
      </c>
      <c r="M3419" s="2"/>
      <c r="N3419" s="7">
        <v>32.875</v>
      </c>
      <c r="O3419" s="7">
        <v>32.875</v>
      </c>
      <c r="P3419" s="2" t="s">
        <v>10759</v>
      </c>
      <c r="Q3419" s="6">
        <v>100</v>
      </c>
      <c r="R3419" s="6">
        <v>17.649999999999999</v>
      </c>
      <c r="S3419" s="5">
        <v>1.1000000000000001</v>
      </c>
      <c r="T3419" s="7">
        <v>1.8280000000000001</v>
      </c>
      <c r="U3419" s="5">
        <v>11</v>
      </c>
      <c r="V3419" s="6">
        <v>1.1000000000000001</v>
      </c>
      <c r="W3419" s="7">
        <v>16.437999999999999</v>
      </c>
      <c r="X3419" s="4">
        <v>17</v>
      </c>
      <c r="Y3419" s="7">
        <v>16.625</v>
      </c>
      <c r="Z3419" s="7">
        <v>16.875</v>
      </c>
      <c r="AA3419" s="6">
        <v>0.99</v>
      </c>
      <c r="AB3419" s="7">
        <v>46.305</v>
      </c>
      <c r="AC3419" s="2"/>
    </row>
    <row r="3420" spans="1:29" ht="130" x14ac:dyDescent="0.15">
      <c r="A3420" s="3">
        <f t="shared" si="42"/>
        <v>35720</v>
      </c>
      <c r="B3420" s="3">
        <f>DATE(1998,1,2)</f>
        <v>35797</v>
      </c>
      <c r="C3420" s="2" t="s">
        <v>95</v>
      </c>
      <c r="D3420" s="2" t="s">
        <v>10760</v>
      </c>
      <c r="E3420" s="2" t="s">
        <v>10761</v>
      </c>
      <c r="F3420" s="4">
        <v>7372</v>
      </c>
      <c r="G3420" s="2" t="s">
        <v>551</v>
      </c>
      <c r="H3420" s="2" t="s">
        <v>34</v>
      </c>
      <c r="I3420" s="2" t="s">
        <v>10762</v>
      </c>
      <c r="J3420" s="2" t="s">
        <v>10763</v>
      </c>
      <c r="K3420" s="2" t="s">
        <v>223</v>
      </c>
      <c r="L3420" s="2" t="s">
        <v>34</v>
      </c>
      <c r="M3420" s="12">
        <v>1126.8119999999999</v>
      </c>
      <c r="N3420" s="7">
        <v>24.875</v>
      </c>
      <c r="O3420" s="7">
        <v>25.562999999999999</v>
      </c>
      <c r="P3420" s="2" t="s">
        <v>10764</v>
      </c>
      <c r="Q3420" s="6">
        <v>100</v>
      </c>
      <c r="R3420" s="6">
        <v>16.36</v>
      </c>
      <c r="S3420" s="5">
        <v>5.4</v>
      </c>
      <c r="T3420" s="7">
        <v>9.6050000000000004</v>
      </c>
      <c r="U3420" s="5">
        <v>2.2999999999999998</v>
      </c>
      <c r="V3420" s="6">
        <v>0.28000000000000003</v>
      </c>
      <c r="W3420" s="7">
        <v>13.875</v>
      </c>
      <c r="X3420" s="6">
        <v>13.75</v>
      </c>
      <c r="Y3420" s="7">
        <v>16.375</v>
      </c>
      <c r="Z3420" s="7">
        <v>16.625</v>
      </c>
      <c r="AA3420" s="6">
        <v>18.850000000000001</v>
      </c>
      <c r="AB3420" s="7">
        <v>36.554000000000002</v>
      </c>
      <c r="AC3420" s="6">
        <v>46.07</v>
      </c>
    </row>
    <row r="3421" spans="1:29" ht="130" x14ac:dyDescent="0.15">
      <c r="A3421" s="3">
        <f t="shared" si="42"/>
        <v>35720</v>
      </c>
      <c r="B3421" s="3">
        <f>DATE(1997,12,30)</f>
        <v>35794</v>
      </c>
      <c r="C3421" s="2" t="s">
        <v>95</v>
      </c>
      <c r="D3421" s="2" t="s">
        <v>9120</v>
      </c>
      <c r="E3421" s="2" t="s">
        <v>2692</v>
      </c>
      <c r="F3421" s="4">
        <v>1521</v>
      </c>
      <c r="G3421" s="2" t="s">
        <v>341</v>
      </c>
      <c r="H3421" s="2" t="s">
        <v>34</v>
      </c>
      <c r="I3421" s="2" t="s">
        <v>10765</v>
      </c>
      <c r="J3421" s="2" t="s">
        <v>52</v>
      </c>
      <c r="K3421" s="2" t="s">
        <v>53</v>
      </c>
      <c r="L3421" s="2" t="s">
        <v>34</v>
      </c>
      <c r="M3421" s="2"/>
      <c r="N3421" s="2"/>
      <c r="O3421" s="2"/>
      <c r="P3421" s="2" t="s">
        <v>10766</v>
      </c>
      <c r="Q3421" s="6">
        <v>100</v>
      </c>
      <c r="R3421" s="6">
        <v>12.25</v>
      </c>
      <c r="S3421" s="5">
        <v>4.4000000000000004</v>
      </c>
      <c r="T3421" s="7">
        <v>19.338999999999999</v>
      </c>
      <c r="U3421" s="5">
        <v>8.8000000000000007</v>
      </c>
      <c r="V3421" s="6">
        <v>0.7</v>
      </c>
      <c r="W3421" s="7">
        <v>10.875</v>
      </c>
      <c r="X3421" s="4">
        <v>11</v>
      </c>
      <c r="Y3421" s="6">
        <v>11.75</v>
      </c>
      <c r="Z3421" s="7">
        <v>11.813000000000001</v>
      </c>
      <c r="AA3421" s="6">
        <v>6.57</v>
      </c>
      <c r="AB3421" s="7">
        <v>7.4669999999999996</v>
      </c>
      <c r="AC3421" s="2"/>
    </row>
    <row r="3422" spans="1:29" ht="39" x14ac:dyDescent="0.15">
      <c r="A3422" s="3">
        <f t="shared" si="42"/>
        <v>35720</v>
      </c>
      <c r="B3422" s="3">
        <f>DATE(1998,2,9)</f>
        <v>35835</v>
      </c>
      <c r="C3422" s="2" t="s">
        <v>95</v>
      </c>
      <c r="D3422" s="2" t="s">
        <v>10767</v>
      </c>
      <c r="E3422" s="2" t="s">
        <v>10768</v>
      </c>
      <c r="F3422" s="4">
        <v>2676</v>
      </c>
      <c r="G3422" s="2" t="s">
        <v>282</v>
      </c>
      <c r="H3422" s="2" t="s">
        <v>34</v>
      </c>
      <c r="I3422" s="2" t="s">
        <v>10769</v>
      </c>
      <c r="J3422" s="2" t="s">
        <v>3197</v>
      </c>
      <c r="K3422" s="2" t="s">
        <v>53</v>
      </c>
      <c r="L3422" s="2" t="s">
        <v>34</v>
      </c>
      <c r="M3422" s="2"/>
      <c r="N3422" s="2"/>
      <c r="O3422" s="2"/>
      <c r="P3422" s="2" t="s">
        <v>10770</v>
      </c>
      <c r="Q3422" s="6">
        <v>100</v>
      </c>
      <c r="R3422" s="6">
        <v>29</v>
      </c>
      <c r="S3422" s="5">
        <v>7</v>
      </c>
      <c r="T3422" s="7">
        <v>13.901999999999999</v>
      </c>
      <c r="U3422" s="5">
        <v>15.8</v>
      </c>
      <c r="V3422" s="6">
        <v>2</v>
      </c>
      <c r="W3422" s="7">
        <v>29.875</v>
      </c>
      <c r="X3422" s="7">
        <v>29.437999999999999</v>
      </c>
      <c r="Y3422" s="5">
        <v>28.5</v>
      </c>
      <c r="Z3422" s="7">
        <v>28.125</v>
      </c>
      <c r="AA3422" s="6">
        <v>3.5</v>
      </c>
      <c r="AB3422" s="7">
        <v>8.9269999999999996</v>
      </c>
      <c r="AC3422" s="2"/>
    </row>
    <row r="3423" spans="1:29" ht="104" x14ac:dyDescent="0.15">
      <c r="A3423" s="3">
        <f t="shared" ref="A3423:A3430" si="43">DATE(1997,10,20)</f>
        <v>35723</v>
      </c>
      <c r="B3423" s="3">
        <f>DATE(1998,1,29)</f>
        <v>35824</v>
      </c>
      <c r="C3423" s="2" t="s">
        <v>95</v>
      </c>
      <c r="D3423" s="2" t="s">
        <v>10771</v>
      </c>
      <c r="E3423" s="2" t="s">
        <v>10772</v>
      </c>
      <c r="F3423" s="4">
        <v>7513</v>
      </c>
      <c r="G3423" s="2" t="s">
        <v>1327</v>
      </c>
      <c r="H3423" s="2" t="s">
        <v>34</v>
      </c>
      <c r="I3423" s="2" t="s">
        <v>10773</v>
      </c>
      <c r="J3423" s="2" t="s">
        <v>10774</v>
      </c>
      <c r="K3423" s="2" t="s">
        <v>1327</v>
      </c>
      <c r="L3423" s="2" t="s">
        <v>34</v>
      </c>
      <c r="M3423" s="7">
        <v>686.14800000000002</v>
      </c>
      <c r="N3423" s="7">
        <v>34.688000000000002</v>
      </c>
      <c r="O3423" s="6">
        <v>34.75</v>
      </c>
      <c r="P3423" s="2" t="s">
        <v>10775</v>
      </c>
      <c r="Q3423" s="6">
        <v>100</v>
      </c>
      <c r="R3423" s="6">
        <v>9.8800000000000008</v>
      </c>
      <c r="S3423" s="5">
        <v>2.7</v>
      </c>
      <c r="T3423" s="7">
        <v>16.792000000000002</v>
      </c>
      <c r="U3423" s="5">
        <v>4.5</v>
      </c>
      <c r="V3423" s="6">
        <v>0.46</v>
      </c>
      <c r="W3423" s="7">
        <v>8.6880000000000006</v>
      </c>
      <c r="X3423" s="7">
        <v>8.375</v>
      </c>
      <c r="Y3423" s="7">
        <v>8.5630000000000006</v>
      </c>
      <c r="Z3423" s="7">
        <v>8.9380000000000006</v>
      </c>
      <c r="AA3423" s="6">
        <v>5.77</v>
      </c>
      <c r="AB3423" s="7">
        <v>36.930999999999997</v>
      </c>
      <c r="AC3423" s="6">
        <v>116.83</v>
      </c>
    </row>
    <row r="3424" spans="1:29" ht="143" x14ac:dyDescent="0.15">
      <c r="A3424" s="3">
        <f t="shared" si="43"/>
        <v>35723</v>
      </c>
      <c r="B3424" s="3">
        <f>DATE(1998,6,12)</f>
        <v>35958</v>
      </c>
      <c r="C3424" s="2" t="s">
        <v>95</v>
      </c>
      <c r="D3424" s="2" t="s">
        <v>2257</v>
      </c>
      <c r="E3424" s="2" t="s">
        <v>36</v>
      </c>
      <c r="F3424" s="4">
        <v>6021</v>
      </c>
      <c r="G3424" s="2" t="s">
        <v>37</v>
      </c>
      <c r="H3424" s="2" t="s">
        <v>34</v>
      </c>
      <c r="I3424" s="2" t="s">
        <v>1612</v>
      </c>
      <c r="J3424" s="2" t="s">
        <v>263</v>
      </c>
      <c r="K3424" s="2" t="s">
        <v>37</v>
      </c>
      <c r="L3424" s="2" t="s">
        <v>34</v>
      </c>
      <c r="M3424" s="12">
        <v>31618.074000000001</v>
      </c>
      <c r="N3424" s="7">
        <v>53.563000000000002</v>
      </c>
      <c r="O3424" s="7">
        <v>53.688000000000002</v>
      </c>
      <c r="P3424" s="2" t="s">
        <v>10776</v>
      </c>
      <c r="Q3424" s="6">
        <v>100</v>
      </c>
      <c r="R3424" s="6">
        <v>80.010000000000005</v>
      </c>
      <c r="S3424" s="5">
        <v>125.6</v>
      </c>
      <c r="T3424" s="7">
        <v>212.154</v>
      </c>
      <c r="U3424" s="5">
        <v>20.9</v>
      </c>
      <c r="V3424" s="6">
        <v>3.1</v>
      </c>
      <c r="W3424" s="7">
        <v>59.875</v>
      </c>
      <c r="X3424" s="7">
        <v>58.125</v>
      </c>
      <c r="Y3424" s="7">
        <v>66.375</v>
      </c>
      <c r="Z3424" s="7">
        <v>66.438000000000002</v>
      </c>
      <c r="AA3424" s="6">
        <v>39</v>
      </c>
      <c r="AB3424" s="7">
        <v>21.103000000000002</v>
      </c>
      <c r="AC3424" s="2"/>
    </row>
    <row r="3425" spans="1:29" ht="156" x14ac:dyDescent="0.15">
      <c r="A3425" s="3">
        <f t="shared" si="43"/>
        <v>35723</v>
      </c>
      <c r="B3425" s="2"/>
      <c r="C3425" s="2" t="s">
        <v>30</v>
      </c>
      <c r="D3425" s="2" t="s">
        <v>6341</v>
      </c>
      <c r="E3425" s="2" t="s">
        <v>6342</v>
      </c>
      <c r="F3425" s="4">
        <v>5531</v>
      </c>
      <c r="G3425" s="2" t="s">
        <v>73</v>
      </c>
      <c r="H3425" s="2" t="s">
        <v>34</v>
      </c>
      <c r="I3425" s="2" t="s">
        <v>10777</v>
      </c>
      <c r="J3425" s="2" t="s">
        <v>10778</v>
      </c>
      <c r="K3425" s="2" t="s">
        <v>73</v>
      </c>
      <c r="L3425" s="2" t="s">
        <v>34</v>
      </c>
      <c r="M3425" s="7">
        <v>405.524</v>
      </c>
      <c r="N3425" s="7">
        <v>23.187999999999999</v>
      </c>
      <c r="O3425" s="7">
        <v>22.937999999999999</v>
      </c>
      <c r="P3425" s="2" t="s">
        <v>10779</v>
      </c>
      <c r="Q3425" s="2"/>
      <c r="R3425" s="6">
        <v>3.34</v>
      </c>
      <c r="S3425" s="5">
        <v>-53.7</v>
      </c>
      <c r="T3425" s="7">
        <v>-1.3759999999999999</v>
      </c>
      <c r="U3425" s="5">
        <v>5.5</v>
      </c>
      <c r="V3425" s="6">
        <v>-4.99</v>
      </c>
      <c r="W3425" s="6">
        <v>5.0599999999999996</v>
      </c>
      <c r="X3425" s="6">
        <v>3.56</v>
      </c>
      <c r="Y3425" s="7">
        <v>5.1879999999999997</v>
      </c>
      <c r="Z3425" s="7">
        <v>3.4380000000000002</v>
      </c>
      <c r="AA3425" s="6">
        <v>10.76</v>
      </c>
      <c r="AB3425" s="2" t="s">
        <v>86</v>
      </c>
      <c r="AC3425" s="2"/>
    </row>
    <row r="3426" spans="1:29" ht="208" x14ac:dyDescent="0.15">
      <c r="A3426" s="3">
        <f t="shared" si="43"/>
        <v>35723</v>
      </c>
      <c r="B3426" s="3">
        <f>DATE(1998,2,24)</f>
        <v>35850</v>
      </c>
      <c r="C3426" s="2" t="s">
        <v>95</v>
      </c>
      <c r="D3426" s="2" t="s">
        <v>5627</v>
      </c>
      <c r="E3426" s="2" t="s">
        <v>9194</v>
      </c>
      <c r="F3426" s="4">
        <v>7011</v>
      </c>
      <c r="G3426" s="2" t="s">
        <v>269</v>
      </c>
      <c r="H3426" s="2" t="s">
        <v>34</v>
      </c>
      <c r="I3426" s="2" t="s">
        <v>10780</v>
      </c>
      <c r="J3426" s="2" t="s">
        <v>92</v>
      </c>
      <c r="K3426" s="2" t="s">
        <v>53</v>
      </c>
      <c r="L3426" s="2" t="s">
        <v>34</v>
      </c>
      <c r="M3426" s="12">
        <v>2366.1239999999998</v>
      </c>
      <c r="N3426" s="7">
        <v>57.625</v>
      </c>
      <c r="O3426" s="9">
        <v>59.1875</v>
      </c>
      <c r="P3426" s="2" t="s">
        <v>10781</v>
      </c>
      <c r="Q3426" s="6">
        <v>100</v>
      </c>
      <c r="R3426" s="6">
        <v>85</v>
      </c>
      <c r="S3426" s="5">
        <v>249</v>
      </c>
      <c r="T3426" s="8">
        <v>1004</v>
      </c>
      <c r="U3426" s="5">
        <v>26.4</v>
      </c>
      <c r="V3426" s="6">
        <v>2.11</v>
      </c>
      <c r="W3426" s="4">
        <v>42</v>
      </c>
      <c r="X3426" s="6">
        <v>43.75</v>
      </c>
      <c r="Y3426" s="5">
        <v>58.5</v>
      </c>
      <c r="Z3426" s="7">
        <v>56.875</v>
      </c>
      <c r="AA3426" s="6">
        <v>116.64</v>
      </c>
      <c r="AB3426" s="7">
        <v>18.672000000000001</v>
      </c>
      <c r="AC3426" s="2"/>
    </row>
    <row r="3427" spans="1:29" ht="91" x14ac:dyDescent="0.15">
      <c r="A3427" s="3">
        <f t="shared" si="43"/>
        <v>35723</v>
      </c>
      <c r="B3427" s="2"/>
      <c r="C3427" s="2" t="s">
        <v>30</v>
      </c>
      <c r="D3427" s="2" t="s">
        <v>10292</v>
      </c>
      <c r="E3427" s="2" t="s">
        <v>10293</v>
      </c>
      <c r="F3427" s="4">
        <v>4833</v>
      </c>
      <c r="G3427" s="2" t="s">
        <v>45</v>
      </c>
      <c r="H3427" s="2" t="s">
        <v>34</v>
      </c>
      <c r="I3427" s="2" t="s">
        <v>10782</v>
      </c>
      <c r="J3427" s="2" t="s">
        <v>10783</v>
      </c>
      <c r="K3427" s="2" t="s">
        <v>45</v>
      </c>
      <c r="L3427" s="2" t="s">
        <v>34</v>
      </c>
      <c r="M3427" s="2"/>
      <c r="N3427" s="2"/>
      <c r="O3427" s="2"/>
      <c r="P3427" s="2" t="s">
        <v>10784</v>
      </c>
      <c r="Q3427" s="2"/>
      <c r="R3427" s="6">
        <v>52.5</v>
      </c>
      <c r="S3427" s="5">
        <v>46.5</v>
      </c>
      <c r="T3427" s="7">
        <v>138.44200000000001</v>
      </c>
      <c r="U3427" s="5">
        <v>4.7</v>
      </c>
      <c r="V3427" s="6">
        <v>1.54</v>
      </c>
      <c r="W3427" s="4">
        <v>40</v>
      </c>
      <c r="X3427" s="4">
        <v>41</v>
      </c>
      <c r="Y3427" s="7">
        <v>41.625</v>
      </c>
      <c r="Z3427" s="5">
        <v>43.5</v>
      </c>
      <c r="AA3427" s="6">
        <v>29.78</v>
      </c>
      <c r="AB3427" s="7">
        <v>19.463999999999999</v>
      </c>
      <c r="AC3427" s="2"/>
    </row>
    <row r="3428" spans="1:29" ht="143" x14ac:dyDescent="0.15">
      <c r="A3428" s="3">
        <f t="shared" si="43"/>
        <v>35723</v>
      </c>
      <c r="B3428" s="3">
        <f>DATE(1998,3,6)</f>
        <v>35860</v>
      </c>
      <c r="C3428" s="2" t="s">
        <v>95</v>
      </c>
      <c r="D3428" s="2" t="s">
        <v>10785</v>
      </c>
      <c r="E3428" s="2" t="s">
        <v>10786</v>
      </c>
      <c r="F3428" s="4">
        <v>4612</v>
      </c>
      <c r="G3428" s="2" t="s">
        <v>148</v>
      </c>
      <c r="H3428" s="2" t="s">
        <v>34</v>
      </c>
      <c r="I3428" s="2" t="s">
        <v>10787</v>
      </c>
      <c r="J3428" s="2" t="s">
        <v>4767</v>
      </c>
      <c r="K3428" s="2" t="s">
        <v>439</v>
      </c>
      <c r="L3428" s="2" t="s">
        <v>34</v>
      </c>
      <c r="M3428" s="7">
        <v>228.05500000000001</v>
      </c>
      <c r="N3428" s="7">
        <v>39.813000000000002</v>
      </c>
      <c r="O3428" s="6">
        <v>38.25</v>
      </c>
      <c r="P3428" s="2" t="s">
        <v>10788</v>
      </c>
      <c r="Q3428" s="6">
        <v>100</v>
      </c>
      <c r="R3428" s="6">
        <v>54.21</v>
      </c>
      <c r="S3428" s="5">
        <v>50.5</v>
      </c>
      <c r="T3428" s="7">
        <v>132.20099999999999</v>
      </c>
      <c r="U3428" s="5">
        <v>13.7</v>
      </c>
      <c r="V3428" s="6">
        <v>2.64</v>
      </c>
      <c r="W3428" s="7">
        <v>40.688000000000002</v>
      </c>
      <c r="X3428" s="7">
        <v>41.125</v>
      </c>
      <c r="Y3428" s="6">
        <v>50.25</v>
      </c>
      <c r="Z3428" s="7">
        <v>48.625</v>
      </c>
      <c r="AA3428" s="6">
        <v>19.149999999999999</v>
      </c>
      <c r="AB3428" s="7">
        <v>12.157</v>
      </c>
      <c r="AC3428" s="5">
        <v>14.3</v>
      </c>
    </row>
    <row r="3429" spans="1:29" ht="156" x14ac:dyDescent="0.15">
      <c r="A3429" s="3">
        <f t="shared" si="43"/>
        <v>35723</v>
      </c>
      <c r="B3429" s="2"/>
      <c r="C3429" s="2" t="s">
        <v>30</v>
      </c>
      <c r="D3429" s="2" t="s">
        <v>10789</v>
      </c>
      <c r="E3429" s="2" t="s">
        <v>676</v>
      </c>
      <c r="F3429" s="4">
        <v>2899</v>
      </c>
      <c r="G3429" s="2" t="s">
        <v>98</v>
      </c>
      <c r="H3429" s="2" t="s">
        <v>34</v>
      </c>
      <c r="I3429" s="2" t="s">
        <v>51</v>
      </c>
      <c r="J3429" s="2" t="s">
        <v>52</v>
      </c>
      <c r="K3429" s="2" t="s">
        <v>53</v>
      </c>
      <c r="L3429" s="2" t="s">
        <v>34</v>
      </c>
      <c r="M3429" s="2"/>
      <c r="N3429" s="2"/>
      <c r="O3429" s="2"/>
      <c r="P3429" s="2" t="s">
        <v>10790</v>
      </c>
      <c r="Q3429" s="2"/>
      <c r="R3429" s="6">
        <v>34.5</v>
      </c>
      <c r="S3429" s="5">
        <v>8.5</v>
      </c>
      <c r="T3429" s="7">
        <v>22.771000000000001</v>
      </c>
      <c r="U3429" s="5">
        <v>9.9</v>
      </c>
      <c r="V3429" s="6">
        <v>1.51</v>
      </c>
      <c r="W3429" s="6">
        <v>26.25</v>
      </c>
      <c r="X3429" s="6">
        <v>26.25</v>
      </c>
      <c r="Y3429" s="5">
        <v>32.5</v>
      </c>
      <c r="Z3429" s="6">
        <v>33.75</v>
      </c>
      <c r="AA3429" s="6">
        <v>5.67</v>
      </c>
      <c r="AB3429" s="7">
        <v>12.756</v>
      </c>
      <c r="AC3429" s="2"/>
    </row>
    <row r="3430" spans="1:29" ht="195" x14ac:dyDescent="0.15">
      <c r="A3430" s="3">
        <f t="shared" si="43"/>
        <v>35723</v>
      </c>
      <c r="B3430" s="3">
        <f>DATE(1998,6,24)</f>
        <v>35970</v>
      </c>
      <c r="C3430" s="2" t="s">
        <v>95</v>
      </c>
      <c r="D3430" s="2" t="s">
        <v>10198</v>
      </c>
      <c r="E3430" s="2" t="s">
        <v>10199</v>
      </c>
      <c r="F3430" s="4">
        <v>7922</v>
      </c>
      <c r="G3430" s="2" t="s">
        <v>364</v>
      </c>
      <c r="H3430" s="2" t="s">
        <v>34</v>
      </c>
      <c r="I3430" s="2" t="s">
        <v>7180</v>
      </c>
      <c r="J3430" s="2" t="s">
        <v>981</v>
      </c>
      <c r="K3430" s="2" t="s">
        <v>45</v>
      </c>
      <c r="L3430" s="2" t="s">
        <v>34</v>
      </c>
      <c r="M3430" s="12">
        <v>2226.7040000000002</v>
      </c>
      <c r="N3430" s="7">
        <v>41.875</v>
      </c>
      <c r="O3430" s="7">
        <v>44.125</v>
      </c>
      <c r="P3430" s="2" t="s">
        <v>10791</v>
      </c>
      <c r="Q3430" s="6">
        <v>55.41</v>
      </c>
      <c r="R3430" s="6">
        <v>29.7</v>
      </c>
      <c r="S3430" s="5">
        <v>1.8</v>
      </c>
      <c r="T3430" s="7">
        <v>22.602</v>
      </c>
      <c r="U3430" s="5">
        <v>0.9</v>
      </c>
      <c r="V3430" s="6">
        <v>0.1</v>
      </c>
      <c r="W3430" s="7">
        <v>23.125</v>
      </c>
      <c r="X3430" s="5">
        <v>22.5</v>
      </c>
      <c r="Y3430" s="6">
        <v>23.75</v>
      </c>
      <c r="Z3430" s="4">
        <v>25</v>
      </c>
      <c r="AA3430" s="6">
        <v>24.74</v>
      </c>
      <c r="AB3430" s="7">
        <v>84.325999999999993</v>
      </c>
      <c r="AC3430" s="6">
        <v>42.61</v>
      </c>
    </row>
    <row r="3431" spans="1:29" ht="104" x14ac:dyDescent="0.15">
      <c r="A3431" s="3">
        <f>DATE(1997,10,21)</f>
        <v>35724</v>
      </c>
      <c r="B3431" s="3">
        <f>DATE(1998,1,7)</f>
        <v>35802</v>
      </c>
      <c r="C3431" s="2" t="s">
        <v>95</v>
      </c>
      <c r="D3431" s="2" t="s">
        <v>10792</v>
      </c>
      <c r="E3431" s="2" t="s">
        <v>10793</v>
      </c>
      <c r="F3431" s="4">
        <v>5143</v>
      </c>
      <c r="G3431" s="2" t="s">
        <v>593</v>
      </c>
      <c r="H3431" s="2" t="s">
        <v>34</v>
      </c>
      <c r="I3431" s="2" t="s">
        <v>6692</v>
      </c>
      <c r="J3431" s="2" t="s">
        <v>4875</v>
      </c>
      <c r="K3431" s="2" t="s">
        <v>125</v>
      </c>
      <c r="L3431" s="2" t="s">
        <v>34</v>
      </c>
      <c r="M3431" s="12">
        <v>100364.818</v>
      </c>
      <c r="N3431" s="4">
        <v>45000</v>
      </c>
      <c r="O3431" s="4">
        <v>44800</v>
      </c>
      <c r="P3431" s="2" t="s">
        <v>10794</v>
      </c>
      <c r="Q3431" s="6">
        <v>100</v>
      </c>
      <c r="R3431" s="6">
        <v>27</v>
      </c>
      <c r="S3431" s="5">
        <v>34.4</v>
      </c>
      <c r="T3431" s="7">
        <v>61.716000000000001</v>
      </c>
      <c r="U3431" s="5">
        <v>7.6</v>
      </c>
      <c r="V3431" s="6">
        <v>1.52</v>
      </c>
      <c r="W3431" s="6">
        <v>24.75</v>
      </c>
      <c r="X3431" s="7">
        <v>24.125</v>
      </c>
      <c r="Y3431" s="6">
        <v>26.75</v>
      </c>
      <c r="Z3431" s="7">
        <v>26.625</v>
      </c>
      <c r="AA3431" s="6">
        <v>22.04</v>
      </c>
      <c r="AB3431" s="7">
        <v>10.523999999999999</v>
      </c>
      <c r="AC3431" s="8">
        <v>1339.8</v>
      </c>
    </row>
    <row r="3432" spans="1:29" ht="117" x14ac:dyDescent="0.15">
      <c r="A3432" s="3">
        <f>DATE(1997,10,21)</f>
        <v>35724</v>
      </c>
      <c r="B3432" s="3">
        <f>DATE(1997,12,30)</f>
        <v>35794</v>
      </c>
      <c r="C3432" s="2" t="s">
        <v>95</v>
      </c>
      <c r="D3432" s="2" t="s">
        <v>10795</v>
      </c>
      <c r="E3432" s="2" t="s">
        <v>10796</v>
      </c>
      <c r="F3432" s="4">
        <v>5023</v>
      </c>
      <c r="G3432" s="2" t="s">
        <v>76</v>
      </c>
      <c r="H3432" s="2" t="s">
        <v>34</v>
      </c>
      <c r="I3432" s="2" t="s">
        <v>10797</v>
      </c>
      <c r="J3432" s="2" t="s">
        <v>10798</v>
      </c>
      <c r="K3432" s="2" t="s">
        <v>76</v>
      </c>
      <c r="L3432" s="2" t="s">
        <v>34</v>
      </c>
      <c r="M3432" s="7">
        <v>88.524000000000001</v>
      </c>
      <c r="N3432" s="5">
        <v>12.5</v>
      </c>
      <c r="O3432" s="6">
        <v>14.75</v>
      </c>
      <c r="P3432" s="2" t="s">
        <v>10799</v>
      </c>
      <c r="Q3432" s="6">
        <v>100</v>
      </c>
      <c r="R3432" s="6">
        <v>17.5</v>
      </c>
      <c r="S3432" s="5">
        <v>10.199999999999999</v>
      </c>
      <c r="T3432" s="7">
        <v>14.234</v>
      </c>
      <c r="U3432" s="5">
        <v>9</v>
      </c>
      <c r="V3432" s="7">
        <v>1.3129999999999999</v>
      </c>
      <c r="W3432" s="7">
        <v>13.938000000000001</v>
      </c>
      <c r="X3432" s="5">
        <v>14.5</v>
      </c>
      <c r="Y3432" s="7">
        <v>14.938000000000001</v>
      </c>
      <c r="Z3432" s="6">
        <v>17.25</v>
      </c>
      <c r="AA3432" s="6">
        <v>7.73</v>
      </c>
      <c r="AB3432" s="7">
        <v>12.132999999999999</v>
      </c>
      <c r="AC3432" s="6">
        <v>2.08</v>
      </c>
    </row>
    <row r="3433" spans="1:29" ht="91" x14ac:dyDescent="0.15">
      <c r="A3433" s="3">
        <f>DATE(1997,10,22)</f>
        <v>35725</v>
      </c>
      <c r="B3433" s="3">
        <f>DATE(1997,11,26)</f>
        <v>35760</v>
      </c>
      <c r="C3433" s="2" t="s">
        <v>95</v>
      </c>
      <c r="D3433" s="2" t="s">
        <v>10800</v>
      </c>
      <c r="E3433" s="2" t="s">
        <v>10801</v>
      </c>
      <c r="F3433" s="4">
        <v>1311</v>
      </c>
      <c r="G3433" s="2" t="s">
        <v>148</v>
      </c>
      <c r="H3433" s="2" t="s">
        <v>34</v>
      </c>
      <c r="I3433" s="2" t="s">
        <v>10802</v>
      </c>
      <c r="J3433" s="2" t="s">
        <v>612</v>
      </c>
      <c r="K3433" s="2" t="s">
        <v>148</v>
      </c>
      <c r="L3433" s="2" t="s">
        <v>34</v>
      </c>
      <c r="M3433" s="2"/>
      <c r="N3433" s="2"/>
      <c r="O3433" s="2"/>
      <c r="P3433" s="2" t="s">
        <v>10803</v>
      </c>
      <c r="Q3433" s="6">
        <v>100</v>
      </c>
      <c r="R3433" s="2"/>
      <c r="S3433" s="5">
        <v>6.4</v>
      </c>
      <c r="T3433" s="5">
        <v>57.9</v>
      </c>
      <c r="U3433" s="5">
        <v>12.3</v>
      </c>
      <c r="V3433" s="6">
        <v>6.4</v>
      </c>
      <c r="W3433" s="7">
        <v>16.625</v>
      </c>
      <c r="X3433" s="5">
        <v>16.5</v>
      </c>
      <c r="Y3433" s="7">
        <v>19.187999999999999</v>
      </c>
      <c r="Z3433" s="7">
        <v>18.937999999999999</v>
      </c>
      <c r="AA3433" s="6">
        <v>9.4499999999999993</v>
      </c>
      <c r="AB3433" s="7">
        <v>32.53</v>
      </c>
      <c r="AC3433" s="2"/>
    </row>
    <row r="3434" spans="1:29" ht="78" x14ac:dyDescent="0.15">
      <c r="A3434" s="3">
        <f t="shared" ref="A3434:A3439" si="44">DATE(1997,10,23)</f>
        <v>35726</v>
      </c>
      <c r="B3434" s="3">
        <f>DATE(1998,2,27)</f>
        <v>35853</v>
      </c>
      <c r="C3434" s="2" t="s">
        <v>95</v>
      </c>
      <c r="D3434" s="2" t="s">
        <v>10804</v>
      </c>
      <c r="E3434" s="2" t="s">
        <v>389</v>
      </c>
      <c r="F3434" s="4">
        <v>6035</v>
      </c>
      <c r="G3434" s="2" t="s">
        <v>33</v>
      </c>
      <c r="H3434" s="2" t="s">
        <v>34</v>
      </c>
      <c r="I3434" s="2" t="s">
        <v>10805</v>
      </c>
      <c r="J3434" s="2" t="s">
        <v>1304</v>
      </c>
      <c r="K3434" s="2" t="s">
        <v>37</v>
      </c>
      <c r="L3434" s="2" t="s">
        <v>34</v>
      </c>
      <c r="M3434" s="2"/>
      <c r="N3434" s="2"/>
      <c r="O3434" s="2"/>
      <c r="P3434" s="2" t="s">
        <v>10806</v>
      </c>
      <c r="Q3434" s="6">
        <v>100</v>
      </c>
      <c r="R3434" s="6">
        <v>33</v>
      </c>
      <c r="S3434" s="5">
        <v>3.6</v>
      </c>
      <c r="T3434" s="6">
        <v>6.21</v>
      </c>
      <c r="U3434" s="5">
        <v>13.8</v>
      </c>
      <c r="V3434" s="7">
        <v>1.5980000000000001</v>
      </c>
      <c r="W3434" s="7">
        <v>25.625</v>
      </c>
      <c r="X3434" s="5">
        <v>25.5</v>
      </c>
      <c r="Y3434" s="7">
        <v>31.875</v>
      </c>
      <c r="Z3434" s="6">
        <v>31.75</v>
      </c>
      <c r="AA3434" s="6">
        <v>2.25</v>
      </c>
      <c r="AB3434" s="7">
        <v>78.745000000000005</v>
      </c>
      <c r="AC3434" s="2"/>
    </row>
    <row r="3435" spans="1:29" ht="221" x14ac:dyDescent="0.15">
      <c r="A3435" s="3">
        <f t="shared" si="44"/>
        <v>35726</v>
      </c>
      <c r="B3435" s="3">
        <f>DATE(1998,4,24)</f>
        <v>35909</v>
      </c>
      <c r="C3435" s="2" t="s">
        <v>95</v>
      </c>
      <c r="D3435" s="2" t="s">
        <v>10807</v>
      </c>
      <c r="E3435" s="2" t="s">
        <v>7695</v>
      </c>
      <c r="F3435" s="4">
        <v>6035</v>
      </c>
      <c r="G3435" s="2" t="s">
        <v>33</v>
      </c>
      <c r="H3435" s="2" t="s">
        <v>34</v>
      </c>
      <c r="I3435" s="2" t="s">
        <v>4381</v>
      </c>
      <c r="J3435" s="2" t="s">
        <v>263</v>
      </c>
      <c r="K3435" s="2" t="s">
        <v>37</v>
      </c>
      <c r="L3435" s="2" t="s">
        <v>34</v>
      </c>
      <c r="M3435" s="7">
        <v>678.87400000000002</v>
      </c>
      <c r="N3435" s="7">
        <v>34.313000000000002</v>
      </c>
      <c r="O3435" s="7">
        <v>34.813000000000002</v>
      </c>
      <c r="P3435" s="2" t="s">
        <v>10808</v>
      </c>
      <c r="Q3435" s="6">
        <v>100</v>
      </c>
      <c r="R3435" s="6">
        <v>10.61</v>
      </c>
      <c r="S3435" s="5">
        <v>4.5999999999999996</v>
      </c>
      <c r="T3435" s="7">
        <v>9.1579999999999995</v>
      </c>
      <c r="U3435" s="5">
        <v>5.9</v>
      </c>
      <c r="V3435" s="7">
        <v>0.35199999999999998</v>
      </c>
      <c r="W3435" s="7">
        <v>10.313000000000001</v>
      </c>
      <c r="X3435" s="5">
        <v>10.5</v>
      </c>
      <c r="Y3435" s="7">
        <v>9.875</v>
      </c>
      <c r="Z3435" s="4">
        <v>10</v>
      </c>
      <c r="AA3435" s="6">
        <v>12.59</v>
      </c>
      <c r="AB3435" s="7">
        <v>96.337000000000003</v>
      </c>
      <c r="AC3435" s="2"/>
    </row>
    <row r="3436" spans="1:29" ht="117" x14ac:dyDescent="0.15">
      <c r="A3436" s="3">
        <f t="shared" si="44"/>
        <v>35726</v>
      </c>
      <c r="B3436" s="3">
        <f>DATE(1997,12,19)</f>
        <v>35783</v>
      </c>
      <c r="C3436" s="2" t="s">
        <v>95</v>
      </c>
      <c r="D3436" s="2" t="s">
        <v>10809</v>
      </c>
      <c r="E3436" s="2" t="s">
        <v>10810</v>
      </c>
      <c r="F3436" s="4">
        <v>7372</v>
      </c>
      <c r="G3436" s="2" t="s">
        <v>551</v>
      </c>
      <c r="H3436" s="2" t="s">
        <v>34</v>
      </c>
      <c r="I3436" s="2" t="s">
        <v>10811</v>
      </c>
      <c r="J3436" s="2" t="s">
        <v>10812</v>
      </c>
      <c r="K3436" s="2" t="s">
        <v>551</v>
      </c>
      <c r="L3436" s="2" t="s">
        <v>34</v>
      </c>
      <c r="M3436" s="7">
        <v>754.69500000000005</v>
      </c>
      <c r="N3436" s="7">
        <v>40.375</v>
      </c>
      <c r="O3436" s="7">
        <v>31.875</v>
      </c>
      <c r="P3436" s="2" t="s">
        <v>10813</v>
      </c>
      <c r="Q3436" s="6">
        <v>100</v>
      </c>
      <c r="R3436" s="6">
        <v>19.010000000000002</v>
      </c>
      <c r="S3436" s="5">
        <v>-3</v>
      </c>
      <c r="T3436" s="7">
        <v>2.9969999999999999</v>
      </c>
      <c r="U3436" s="5">
        <v>6</v>
      </c>
      <c r="V3436" s="6">
        <v>-0.27</v>
      </c>
      <c r="W3436" s="6">
        <v>12.75</v>
      </c>
      <c r="X3436" s="6">
        <v>12.25</v>
      </c>
      <c r="Y3436" s="7">
        <v>11.625</v>
      </c>
      <c r="Z3436" s="7">
        <v>14.375</v>
      </c>
      <c r="AA3436" s="6">
        <v>11.78</v>
      </c>
      <c r="AB3436" s="2" t="s">
        <v>86</v>
      </c>
      <c r="AC3436" s="5">
        <v>8.4</v>
      </c>
    </row>
    <row r="3437" spans="1:29" ht="78" x14ac:dyDescent="0.15">
      <c r="A3437" s="3">
        <f t="shared" si="44"/>
        <v>35726</v>
      </c>
      <c r="B3437" s="3">
        <f>DATE(1999,1,8)</f>
        <v>36168</v>
      </c>
      <c r="C3437" s="2" t="s">
        <v>95</v>
      </c>
      <c r="D3437" s="2" t="s">
        <v>1374</v>
      </c>
      <c r="E3437" s="2" t="s">
        <v>1375</v>
      </c>
      <c r="F3437" s="4">
        <v>5014</v>
      </c>
      <c r="G3437" s="2" t="s">
        <v>76</v>
      </c>
      <c r="H3437" s="2" t="s">
        <v>34</v>
      </c>
      <c r="I3437" s="2" t="s">
        <v>1376</v>
      </c>
      <c r="J3437" s="2" t="s">
        <v>1377</v>
      </c>
      <c r="K3437" s="2" t="s">
        <v>447</v>
      </c>
      <c r="L3437" s="2" t="s">
        <v>34</v>
      </c>
      <c r="M3437" s="12">
        <v>10605.023999999999</v>
      </c>
      <c r="N3437" s="5">
        <v>66.5</v>
      </c>
      <c r="O3437" s="7">
        <v>65.813000000000002</v>
      </c>
      <c r="P3437" s="2" t="s">
        <v>10814</v>
      </c>
      <c r="Q3437" s="6">
        <v>25.42</v>
      </c>
      <c r="R3437" s="6">
        <v>37.25</v>
      </c>
      <c r="S3437" s="5">
        <v>1.4</v>
      </c>
      <c r="T3437" s="7">
        <v>6.8609999999999998</v>
      </c>
      <c r="U3437" s="5">
        <v>22</v>
      </c>
      <c r="V3437" s="6">
        <v>0.65</v>
      </c>
      <c r="W3437" s="4">
        <v>31</v>
      </c>
      <c r="X3437" s="4">
        <v>30</v>
      </c>
      <c r="Y3437" s="7">
        <v>31.375</v>
      </c>
      <c r="Z3437" s="5">
        <v>33.5</v>
      </c>
      <c r="AA3437" s="6">
        <v>2.19</v>
      </c>
      <c r="AB3437" s="7">
        <v>25.462</v>
      </c>
      <c r="AC3437" s="5">
        <v>238.5</v>
      </c>
    </row>
    <row r="3438" spans="1:29" ht="26" x14ac:dyDescent="0.15">
      <c r="A3438" s="3">
        <f t="shared" si="44"/>
        <v>35726</v>
      </c>
      <c r="B3438" s="2"/>
      <c r="C3438" s="2" t="s">
        <v>189</v>
      </c>
      <c r="D3438" s="2" t="s">
        <v>10815</v>
      </c>
      <c r="E3438" s="2" t="s">
        <v>10816</v>
      </c>
      <c r="F3438" s="4">
        <v>5722</v>
      </c>
      <c r="G3438" s="2" t="s">
        <v>1227</v>
      </c>
      <c r="H3438" s="2" t="s">
        <v>34</v>
      </c>
      <c r="I3438" s="2" t="s">
        <v>143</v>
      </c>
      <c r="J3438" s="2" t="s">
        <v>144</v>
      </c>
      <c r="K3438" s="2" t="s">
        <v>53</v>
      </c>
      <c r="L3438" s="2" t="s">
        <v>139</v>
      </c>
      <c r="M3438" s="2"/>
      <c r="N3438" s="2"/>
      <c r="O3438" s="2"/>
      <c r="P3438" s="2" t="s">
        <v>10817</v>
      </c>
      <c r="Q3438" s="2"/>
      <c r="R3438" s="2"/>
      <c r="S3438" s="5">
        <v>-196.7</v>
      </c>
      <c r="T3438" s="7">
        <v>-85.037000000000006</v>
      </c>
      <c r="U3438" s="5">
        <v>4.7</v>
      </c>
      <c r="V3438" s="6">
        <v>-2.37</v>
      </c>
      <c r="W3438" s="4">
        <v>48</v>
      </c>
      <c r="X3438" s="7">
        <v>48.375</v>
      </c>
      <c r="Y3438" s="5">
        <v>47.5</v>
      </c>
      <c r="Z3438" s="9">
        <v>48.0625</v>
      </c>
      <c r="AA3438" s="6">
        <v>84.73</v>
      </c>
      <c r="AB3438" s="2" t="s">
        <v>86</v>
      </c>
      <c r="AC3438" s="2"/>
    </row>
    <row r="3439" spans="1:29" ht="130" x14ac:dyDescent="0.15">
      <c r="A3439" s="3">
        <f t="shared" si="44"/>
        <v>35726</v>
      </c>
      <c r="B3439" s="3">
        <f>DATE(1998,4,2)</f>
        <v>35887</v>
      </c>
      <c r="C3439" s="2" t="s">
        <v>95</v>
      </c>
      <c r="D3439" s="2" t="s">
        <v>10818</v>
      </c>
      <c r="E3439" s="2" t="s">
        <v>10819</v>
      </c>
      <c r="F3439" s="4">
        <v>7312</v>
      </c>
      <c r="G3439" s="2" t="s">
        <v>4563</v>
      </c>
      <c r="H3439" s="2" t="s">
        <v>34</v>
      </c>
      <c r="I3439" s="2" t="s">
        <v>8034</v>
      </c>
      <c r="J3439" s="2" t="s">
        <v>8035</v>
      </c>
      <c r="K3439" s="2" t="s">
        <v>45</v>
      </c>
      <c r="L3439" s="2" t="s">
        <v>34</v>
      </c>
      <c r="M3439" s="12">
        <v>5718.0339999999997</v>
      </c>
      <c r="N3439" s="7">
        <v>62.313000000000002</v>
      </c>
      <c r="O3439" s="7">
        <v>63.688000000000002</v>
      </c>
      <c r="P3439" s="2" t="s">
        <v>10820</v>
      </c>
      <c r="Q3439" s="6">
        <v>100</v>
      </c>
      <c r="R3439" s="6">
        <v>42.46</v>
      </c>
      <c r="S3439" s="5">
        <v>-9.1999999999999993</v>
      </c>
      <c r="T3439" s="7">
        <v>39.021999999999998</v>
      </c>
      <c r="U3439" s="5">
        <v>9.5</v>
      </c>
      <c r="V3439" s="6">
        <v>-0.57999999999999996</v>
      </c>
      <c r="W3439" s="7">
        <v>40.375</v>
      </c>
      <c r="X3439" s="5">
        <v>41.5</v>
      </c>
      <c r="Y3439" s="5">
        <v>41.5</v>
      </c>
      <c r="Z3439" s="6">
        <v>41.25</v>
      </c>
      <c r="AA3439" s="6">
        <v>24.11</v>
      </c>
      <c r="AB3439" s="7">
        <v>70.206999999999994</v>
      </c>
      <c r="AC3439" s="6">
        <v>16.7</v>
      </c>
    </row>
    <row r="3440" spans="1:29" ht="195" x14ac:dyDescent="0.15">
      <c r="A3440" s="3">
        <f t="shared" ref="A3440:A3445" si="45">DATE(1997,10,27)</f>
        <v>35730</v>
      </c>
      <c r="B3440" s="3">
        <f>DATE(1998,4,10)</f>
        <v>35895</v>
      </c>
      <c r="C3440" s="2" t="s">
        <v>95</v>
      </c>
      <c r="D3440" s="2" t="s">
        <v>5142</v>
      </c>
      <c r="E3440" s="2" t="s">
        <v>159</v>
      </c>
      <c r="F3440" s="4">
        <v>6036</v>
      </c>
      <c r="G3440" s="2" t="s">
        <v>33</v>
      </c>
      <c r="H3440" s="2" t="s">
        <v>34</v>
      </c>
      <c r="I3440" s="2" t="s">
        <v>4433</v>
      </c>
      <c r="J3440" s="2" t="s">
        <v>4434</v>
      </c>
      <c r="K3440" s="2" t="s">
        <v>37</v>
      </c>
      <c r="L3440" s="2" t="s">
        <v>34</v>
      </c>
      <c r="M3440" s="12">
        <v>1184.088</v>
      </c>
      <c r="N3440" s="7">
        <v>39.125</v>
      </c>
      <c r="O3440" s="6">
        <v>39.25</v>
      </c>
      <c r="P3440" s="2" t="s">
        <v>10821</v>
      </c>
      <c r="Q3440" s="6">
        <v>100</v>
      </c>
      <c r="R3440" s="6">
        <v>28.76</v>
      </c>
      <c r="S3440" s="5">
        <v>12.6</v>
      </c>
      <c r="T3440" s="7">
        <v>27.021999999999998</v>
      </c>
      <c r="U3440" s="5">
        <v>10.199999999999999</v>
      </c>
      <c r="V3440" s="6">
        <v>0.99</v>
      </c>
      <c r="W3440" s="7">
        <v>21.375</v>
      </c>
      <c r="X3440" s="7">
        <v>22.687999999999999</v>
      </c>
      <c r="Y3440" s="7">
        <v>24.625</v>
      </c>
      <c r="Z3440" s="7">
        <v>24.875</v>
      </c>
      <c r="AA3440" s="6">
        <v>24.06</v>
      </c>
      <c r="AB3440" s="7">
        <v>26.506</v>
      </c>
      <c r="AC3440" s="2"/>
    </row>
    <row r="3441" spans="1:29" ht="117" x14ac:dyDescent="0.15">
      <c r="A3441" s="3">
        <f t="shared" si="45"/>
        <v>35730</v>
      </c>
      <c r="B3441" s="3">
        <f>DATE(1998,4,15)</f>
        <v>35900</v>
      </c>
      <c r="C3441" s="2" t="s">
        <v>95</v>
      </c>
      <c r="D3441" s="2" t="s">
        <v>9208</v>
      </c>
      <c r="E3441" s="2" t="s">
        <v>9209</v>
      </c>
      <c r="F3441" s="4">
        <v>6035</v>
      </c>
      <c r="G3441" s="2" t="s">
        <v>33</v>
      </c>
      <c r="H3441" s="2" t="s">
        <v>34</v>
      </c>
      <c r="I3441" s="2" t="s">
        <v>6399</v>
      </c>
      <c r="J3441" s="2" t="s">
        <v>263</v>
      </c>
      <c r="K3441" s="2" t="s">
        <v>33</v>
      </c>
      <c r="L3441" s="2" t="s">
        <v>34</v>
      </c>
      <c r="M3441" s="7">
        <v>788.12599999999998</v>
      </c>
      <c r="N3441" s="6">
        <v>58.75</v>
      </c>
      <c r="O3441" s="7">
        <v>59.938000000000002</v>
      </c>
      <c r="P3441" s="2" t="s">
        <v>10822</v>
      </c>
      <c r="Q3441" s="6">
        <v>100</v>
      </c>
      <c r="R3441" s="6">
        <v>55.44</v>
      </c>
      <c r="S3441" s="5">
        <v>7.3</v>
      </c>
      <c r="T3441" s="7">
        <v>19.478999999999999</v>
      </c>
      <c r="U3441" s="5">
        <v>22.9</v>
      </c>
      <c r="V3441" s="7">
        <v>1.131</v>
      </c>
      <c r="W3441" s="6">
        <v>41.25</v>
      </c>
      <c r="X3441" s="4">
        <v>43</v>
      </c>
      <c r="Y3441" s="5">
        <v>47.5</v>
      </c>
      <c r="Z3441" s="7">
        <v>48.375</v>
      </c>
      <c r="AA3441" s="6">
        <v>6.29</v>
      </c>
      <c r="AB3441" s="7">
        <v>127.211</v>
      </c>
      <c r="AC3441" s="2"/>
    </row>
    <row r="3442" spans="1:29" ht="91" x14ac:dyDescent="0.15">
      <c r="A3442" s="3">
        <f t="shared" si="45"/>
        <v>35730</v>
      </c>
      <c r="B3442" s="3">
        <f>DATE(1998,2,10)</f>
        <v>35836</v>
      </c>
      <c r="C3442" s="2" t="s">
        <v>95</v>
      </c>
      <c r="D3442" s="2" t="s">
        <v>10823</v>
      </c>
      <c r="E3442" s="2" t="s">
        <v>2800</v>
      </c>
      <c r="F3442" s="4">
        <v>6162</v>
      </c>
      <c r="G3442" s="2" t="s">
        <v>109</v>
      </c>
      <c r="H3442" s="2" t="s">
        <v>34</v>
      </c>
      <c r="I3442" s="2" t="s">
        <v>5793</v>
      </c>
      <c r="J3442" s="2" t="s">
        <v>2855</v>
      </c>
      <c r="K3442" s="2" t="s">
        <v>37</v>
      </c>
      <c r="L3442" s="2" t="s">
        <v>885</v>
      </c>
      <c r="M3442" s="2"/>
      <c r="N3442" s="2"/>
      <c r="O3442" s="2"/>
      <c r="P3442" s="2" t="s">
        <v>10824</v>
      </c>
      <c r="Q3442" s="6">
        <v>100</v>
      </c>
      <c r="R3442" s="6">
        <v>27.83</v>
      </c>
      <c r="S3442" s="5">
        <v>55.9</v>
      </c>
      <c r="T3442" s="7">
        <v>255.06200000000001</v>
      </c>
      <c r="U3442" s="5">
        <v>6120440</v>
      </c>
      <c r="V3442" s="2"/>
      <c r="W3442" s="7">
        <v>24.812999999999999</v>
      </c>
      <c r="X3442" s="6">
        <v>24.25</v>
      </c>
      <c r="Y3442" s="6">
        <v>26.75</v>
      </c>
      <c r="Z3442" s="7">
        <v>26.687999999999999</v>
      </c>
      <c r="AA3442" s="6">
        <v>43.38</v>
      </c>
      <c r="AB3442" s="7">
        <v>19.422999999999998</v>
      </c>
      <c r="AC3442" s="2"/>
    </row>
    <row r="3443" spans="1:29" ht="104" x14ac:dyDescent="0.15">
      <c r="A3443" s="3">
        <f t="shared" si="45"/>
        <v>35730</v>
      </c>
      <c r="B3443" s="2"/>
      <c r="C3443" s="2" t="s">
        <v>30</v>
      </c>
      <c r="D3443" s="2" t="s">
        <v>10825</v>
      </c>
      <c r="E3443" s="2" t="s">
        <v>10826</v>
      </c>
      <c r="F3443" s="4">
        <v>3559</v>
      </c>
      <c r="G3443" s="2" t="s">
        <v>300</v>
      </c>
      <c r="H3443" s="2" t="s">
        <v>34</v>
      </c>
      <c r="I3443" s="2" t="s">
        <v>10827</v>
      </c>
      <c r="J3443" s="2" t="s">
        <v>10828</v>
      </c>
      <c r="K3443" s="2" t="s">
        <v>300</v>
      </c>
      <c r="L3443" s="2" t="s">
        <v>34</v>
      </c>
      <c r="M3443" s="7">
        <v>44.540999999999997</v>
      </c>
      <c r="N3443" s="5">
        <v>19.5</v>
      </c>
      <c r="O3443" s="5">
        <v>20.5</v>
      </c>
      <c r="P3443" s="2" t="s">
        <v>10829</v>
      </c>
      <c r="Q3443" s="2"/>
      <c r="R3443" s="6">
        <v>17.5</v>
      </c>
      <c r="S3443" s="5">
        <v>2.2000000000000002</v>
      </c>
      <c r="T3443" s="7">
        <v>3.4119999999999999</v>
      </c>
      <c r="U3443" s="5">
        <v>9.6</v>
      </c>
      <c r="V3443" s="6">
        <v>1.31</v>
      </c>
      <c r="W3443" s="7">
        <v>16.625</v>
      </c>
      <c r="X3443" s="7">
        <v>15.438000000000001</v>
      </c>
      <c r="Y3443" s="7">
        <v>14.875</v>
      </c>
      <c r="Z3443" s="7">
        <v>15.375</v>
      </c>
      <c r="AA3443" s="6">
        <v>1.57</v>
      </c>
      <c r="AB3443" s="7">
        <v>7.4779999999999998</v>
      </c>
      <c r="AC3443" s="6">
        <v>5.59</v>
      </c>
    </row>
    <row r="3444" spans="1:29" ht="52" x14ac:dyDescent="0.15">
      <c r="A3444" s="3">
        <f t="shared" si="45"/>
        <v>35730</v>
      </c>
      <c r="B3444" s="3">
        <f>DATE(1998,3,11)</f>
        <v>35865</v>
      </c>
      <c r="C3444" s="2" t="s">
        <v>95</v>
      </c>
      <c r="D3444" s="2" t="s">
        <v>10830</v>
      </c>
      <c r="E3444" s="2" t="s">
        <v>1181</v>
      </c>
      <c r="F3444" s="4">
        <v>6022</v>
      </c>
      <c r="G3444" s="2" t="s">
        <v>37</v>
      </c>
      <c r="H3444" s="2" t="s">
        <v>34</v>
      </c>
      <c r="I3444" s="2" t="s">
        <v>7863</v>
      </c>
      <c r="J3444" s="2" t="s">
        <v>263</v>
      </c>
      <c r="K3444" s="2" t="s">
        <v>37</v>
      </c>
      <c r="L3444" s="2" t="s">
        <v>34</v>
      </c>
      <c r="M3444" s="7">
        <v>333.36200000000002</v>
      </c>
      <c r="N3444" s="5">
        <v>28.5</v>
      </c>
      <c r="O3444" s="5">
        <v>28.5</v>
      </c>
      <c r="P3444" s="2" t="s">
        <v>10831</v>
      </c>
      <c r="Q3444" s="6">
        <v>100</v>
      </c>
      <c r="R3444" s="6">
        <v>13</v>
      </c>
      <c r="S3444" s="5">
        <v>0.2</v>
      </c>
      <c r="T3444" s="7">
        <v>78.174999999999997</v>
      </c>
      <c r="U3444" s="5">
        <v>5.2</v>
      </c>
      <c r="V3444" s="6">
        <v>0.17</v>
      </c>
      <c r="W3444" s="4">
        <v>7</v>
      </c>
      <c r="X3444" s="6">
        <v>7.75</v>
      </c>
      <c r="Y3444" s="5">
        <v>7.5</v>
      </c>
      <c r="Z3444" s="4">
        <v>10</v>
      </c>
      <c r="AA3444" s="6">
        <v>1.32</v>
      </c>
      <c r="AB3444" s="7">
        <v>171.72200000000001</v>
      </c>
      <c r="AC3444" s="2"/>
    </row>
    <row r="3445" spans="1:29" ht="195" x14ac:dyDescent="0.15">
      <c r="A3445" s="3">
        <f t="shared" si="45"/>
        <v>35730</v>
      </c>
      <c r="B3445" s="3">
        <f>DATE(1998,6,12)</f>
        <v>35958</v>
      </c>
      <c r="C3445" s="2" t="s">
        <v>95</v>
      </c>
      <c r="D3445" s="2" t="s">
        <v>10832</v>
      </c>
      <c r="E3445" s="2" t="s">
        <v>10833</v>
      </c>
      <c r="F3445" s="4">
        <v>4841</v>
      </c>
      <c r="G3445" s="2" t="s">
        <v>45</v>
      </c>
      <c r="H3445" s="2" t="s">
        <v>34</v>
      </c>
      <c r="I3445" s="2" t="s">
        <v>278</v>
      </c>
      <c r="J3445" s="2" t="s">
        <v>52</v>
      </c>
      <c r="K3445" s="2" t="s">
        <v>53</v>
      </c>
      <c r="L3445" s="2" t="s">
        <v>34</v>
      </c>
      <c r="M3445" s="2"/>
      <c r="N3445" s="2"/>
      <c r="O3445" s="2"/>
      <c r="P3445" s="2" t="s">
        <v>10834</v>
      </c>
      <c r="Q3445" s="6">
        <v>100</v>
      </c>
      <c r="R3445" s="6">
        <v>35.94</v>
      </c>
      <c r="S3445" s="5">
        <v>-71</v>
      </c>
      <c r="T3445" s="5">
        <v>918</v>
      </c>
      <c r="U3445" s="5">
        <v>12.5</v>
      </c>
      <c r="V3445" s="6">
        <v>-0.16</v>
      </c>
      <c r="W3445" s="7">
        <v>24.437999999999999</v>
      </c>
      <c r="X3445" s="7">
        <v>26.562999999999999</v>
      </c>
      <c r="Y3445" s="6">
        <v>24.25</v>
      </c>
      <c r="Z3445" s="7">
        <v>26.375</v>
      </c>
      <c r="AA3445" s="6">
        <v>607.04999999999995</v>
      </c>
      <c r="AB3445" s="7">
        <v>63.883000000000003</v>
      </c>
      <c r="AC3445" s="2"/>
    </row>
    <row r="3446" spans="1:29" ht="143" x14ac:dyDescent="0.15">
      <c r="A3446" s="3">
        <f>DATE(1997,10,28)</f>
        <v>35731</v>
      </c>
      <c r="B3446" s="3">
        <f>DATE(1998,4,1)</f>
        <v>35886</v>
      </c>
      <c r="C3446" s="2" t="s">
        <v>95</v>
      </c>
      <c r="D3446" s="2" t="s">
        <v>3331</v>
      </c>
      <c r="E3446" s="2" t="s">
        <v>36</v>
      </c>
      <c r="F3446" s="4">
        <v>6022</v>
      </c>
      <c r="G3446" s="2" t="s">
        <v>37</v>
      </c>
      <c r="H3446" s="2" t="s">
        <v>34</v>
      </c>
      <c r="I3446" s="2" t="s">
        <v>7331</v>
      </c>
      <c r="J3446" s="2" t="s">
        <v>36</v>
      </c>
      <c r="K3446" s="2" t="s">
        <v>37</v>
      </c>
      <c r="L3446" s="2" t="s">
        <v>34</v>
      </c>
      <c r="M3446" s="12">
        <v>2738.1109999999999</v>
      </c>
      <c r="N3446" s="6">
        <v>412.25</v>
      </c>
      <c r="O3446" s="4">
        <v>414</v>
      </c>
      <c r="P3446" s="2" t="s">
        <v>10835</v>
      </c>
      <c r="Q3446" s="6">
        <v>100</v>
      </c>
      <c r="R3446" s="6">
        <v>69.5</v>
      </c>
      <c r="S3446" s="5">
        <v>43</v>
      </c>
      <c r="T3446" s="6">
        <v>84.61</v>
      </c>
      <c r="U3446" s="5">
        <v>24.8</v>
      </c>
      <c r="V3446" s="6">
        <v>2.98</v>
      </c>
      <c r="W3446" s="7">
        <v>61.563000000000002</v>
      </c>
      <c r="X3446" s="7">
        <v>58.875</v>
      </c>
      <c r="Y3446" s="6">
        <v>65.25</v>
      </c>
      <c r="Z3446" s="7">
        <v>65.625</v>
      </c>
      <c r="AA3446" s="6">
        <v>12.79</v>
      </c>
      <c r="AB3446" s="7">
        <v>26.416</v>
      </c>
      <c r="AC3446" s="2"/>
    </row>
    <row r="3447" spans="1:29" ht="130" x14ac:dyDescent="0.15">
      <c r="A3447" s="3">
        <f>DATE(1997,10,28)</f>
        <v>35731</v>
      </c>
      <c r="B3447" s="2"/>
      <c r="C3447" s="2" t="s">
        <v>30</v>
      </c>
      <c r="D3447" s="2" t="s">
        <v>10836</v>
      </c>
      <c r="E3447" s="2" t="s">
        <v>5364</v>
      </c>
      <c r="F3447" s="4">
        <v>4813</v>
      </c>
      <c r="G3447" s="2" t="s">
        <v>63</v>
      </c>
      <c r="H3447" s="2" t="s">
        <v>34</v>
      </c>
      <c r="I3447" s="2" t="s">
        <v>4752</v>
      </c>
      <c r="J3447" s="2" t="s">
        <v>973</v>
      </c>
      <c r="K3447" s="2" t="s">
        <v>63</v>
      </c>
      <c r="L3447" s="2" t="s">
        <v>34</v>
      </c>
      <c r="M3447" s="6">
        <v>552.41999999999996</v>
      </c>
      <c r="N3447" s="7">
        <v>26.125</v>
      </c>
      <c r="O3447" s="7">
        <v>27.125</v>
      </c>
      <c r="P3447" s="2" t="s">
        <v>10837</v>
      </c>
      <c r="Q3447" s="2"/>
      <c r="R3447" s="6">
        <v>2.2799999999999998</v>
      </c>
      <c r="S3447" s="5">
        <v>-1.6</v>
      </c>
      <c r="T3447" s="7">
        <v>-0.33800000000000002</v>
      </c>
      <c r="U3447" s="5">
        <v>0</v>
      </c>
      <c r="V3447" s="7">
        <v>-0.10299999999999999</v>
      </c>
      <c r="W3447" s="11">
        <v>1.34375</v>
      </c>
      <c r="X3447" s="7">
        <v>1.375</v>
      </c>
      <c r="Y3447" s="9">
        <v>1.8125</v>
      </c>
      <c r="Z3447" s="7">
        <v>1.875</v>
      </c>
      <c r="AA3447" s="6">
        <v>15.93</v>
      </c>
      <c r="AB3447" s="2" t="s">
        <v>86</v>
      </c>
      <c r="AC3447" s="6">
        <v>2.04</v>
      </c>
    </row>
    <row r="3448" spans="1:29" ht="169" x14ac:dyDescent="0.15">
      <c r="A3448" s="3">
        <f t="shared" ref="A3448:A3454" si="46">DATE(1997,10,29)</f>
        <v>35732</v>
      </c>
      <c r="B3448" s="2"/>
      <c r="C3448" s="2" t="s">
        <v>56</v>
      </c>
      <c r="D3448" s="2" t="s">
        <v>10695</v>
      </c>
      <c r="E3448" s="2" t="s">
        <v>10696</v>
      </c>
      <c r="F3448" s="4">
        <v>8051</v>
      </c>
      <c r="G3448" s="2" t="s">
        <v>454</v>
      </c>
      <c r="H3448" s="2" t="s">
        <v>34</v>
      </c>
      <c r="I3448" s="2" t="s">
        <v>10838</v>
      </c>
      <c r="J3448" s="2" t="s">
        <v>10648</v>
      </c>
      <c r="K3448" s="2" t="s">
        <v>454</v>
      </c>
      <c r="L3448" s="2" t="s">
        <v>34</v>
      </c>
      <c r="M3448" s="2"/>
      <c r="N3448" s="2"/>
      <c r="O3448" s="2"/>
      <c r="P3448" s="2" t="s">
        <v>10839</v>
      </c>
      <c r="Q3448" s="2"/>
      <c r="R3448" s="2"/>
      <c r="S3448" s="5">
        <v>1</v>
      </c>
      <c r="T3448" s="6">
        <v>2.38</v>
      </c>
      <c r="U3448" s="5">
        <v>4.8</v>
      </c>
      <c r="V3448" s="6">
        <v>0.21</v>
      </c>
      <c r="W3448" s="7">
        <v>11.125</v>
      </c>
      <c r="X3448" s="6">
        <v>11.25</v>
      </c>
      <c r="Y3448" s="7">
        <v>11.375</v>
      </c>
      <c r="Z3448" s="7">
        <v>12.313000000000001</v>
      </c>
      <c r="AA3448" s="6">
        <v>11.58</v>
      </c>
      <c r="AB3448" s="2" t="s">
        <v>47</v>
      </c>
      <c r="AC3448" s="2"/>
    </row>
    <row r="3449" spans="1:29" ht="169" x14ac:dyDescent="0.15">
      <c r="A3449" s="3">
        <f t="shared" si="46"/>
        <v>35732</v>
      </c>
      <c r="B3449" s="3">
        <f>DATE(1997,12,5)</f>
        <v>35769</v>
      </c>
      <c r="C3449" s="2" t="s">
        <v>95</v>
      </c>
      <c r="D3449" s="2" t="s">
        <v>10695</v>
      </c>
      <c r="E3449" s="2" t="s">
        <v>10696</v>
      </c>
      <c r="F3449" s="4">
        <v>8051</v>
      </c>
      <c r="G3449" s="2" t="s">
        <v>454</v>
      </c>
      <c r="H3449" s="2" t="s">
        <v>34</v>
      </c>
      <c r="I3449" s="2" t="s">
        <v>10838</v>
      </c>
      <c r="J3449" s="2" t="s">
        <v>10648</v>
      </c>
      <c r="K3449" s="2" t="s">
        <v>454</v>
      </c>
      <c r="L3449" s="2" t="s">
        <v>34</v>
      </c>
      <c r="M3449" s="2"/>
      <c r="N3449" s="2"/>
      <c r="O3449" s="2"/>
      <c r="P3449" s="2" t="s">
        <v>10840</v>
      </c>
      <c r="Q3449" s="6">
        <v>36.99</v>
      </c>
      <c r="R3449" s="2"/>
      <c r="S3449" s="5">
        <v>1</v>
      </c>
      <c r="T3449" s="6">
        <v>2.38</v>
      </c>
      <c r="U3449" s="5">
        <v>4.8</v>
      </c>
      <c r="V3449" s="6">
        <v>0.21</v>
      </c>
      <c r="W3449" s="7">
        <v>11.125</v>
      </c>
      <c r="X3449" s="6">
        <v>11.25</v>
      </c>
      <c r="Y3449" s="7">
        <v>11.375</v>
      </c>
      <c r="Z3449" s="7">
        <v>12.313000000000001</v>
      </c>
      <c r="AA3449" s="6">
        <v>11.58</v>
      </c>
      <c r="AB3449" s="7">
        <v>176.98099999999999</v>
      </c>
      <c r="AC3449" s="2"/>
    </row>
    <row r="3450" spans="1:29" ht="104" x14ac:dyDescent="0.15">
      <c r="A3450" s="3">
        <f t="shared" si="46"/>
        <v>35732</v>
      </c>
      <c r="B3450" s="3">
        <f>DATE(1998,2,17)</f>
        <v>35843</v>
      </c>
      <c r="C3450" s="2" t="s">
        <v>95</v>
      </c>
      <c r="D3450" s="2" t="s">
        <v>10841</v>
      </c>
      <c r="E3450" s="2" t="s">
        <v>9054</v>
      </c>
      <c r="F3450" s="4">
        <v>6351</v>
      </c>
      <c r="G3450" s="2" t="s">
        <v>125</v>
      </c>
      <c r="H3450" s="2" t="s">
        <v>34</v>
      </c>
      <c r="I3450" s="2" t="s">
        <v>10842</v>
      </c>
      <c r="J3450" s="2" t="s">
        <v>10843</v>
      </c>
      <c r="K3450" s="2" t="s">
        <v>125</v>
      </c>
      <c r="L3450" s="2" t="s">
        <v>34</v>
      </c>
      <c r="M3450" s="12">
        <v>5712.2730000000001</v>
      </c>
      <c r="N3450" s="6">
        <v>123.75</v>
      </c>
      <c r="O3450" s="7">
        <v>60.625</v>
      </c>
      <c r="P3450" s="2" t="s">
        <v>10844</v>
      </c>
      <c r="Q3450" s="6">
        <v>100</v>
      </c>
      <c r="R3450" s="6">
        <v>31</v>
      </c>
      <c r="S3450" s="5">
        <v>33.6</v>
      </c>
      <c r="T3450" s="2"/>
      <c r="U3450" s="5">
        <v>18.899999999999999</v>
      </c>
      <c r="V3450" s="6">
        <v>1.92</v>
      </c>
      <c r="W3450" s="4">
        <v>33</v>
      </c>
      <c r="X3450" s="6">
        <v>30.75</v>
      </c>
      <c r="Y3450" s="4">
        <v>32</v>
      </c>
      <c r="Z3450" s="4">
        <v>30</v>
      </c>
      <c r="AA3450" s="6">
        <v>17.32</v>
      </c>
      <c r="AB3450" s="7">
        <v>11.917999999999999</v>
      </c>
      <c r="AC3450" s="6">
        <v>7.36</v>
      </c>
    </row>
    <row r="3451" spans="1:29" ht="117" x14ac:dyDescent="0.15">
      <c r="A3451" s="3">
        <f t="shared" si="46"/>
        <v>35732</v>
      </c>
      <c r="B3451" s="3">
        <f>DATE(1998,1,30)</f>
        <v>35825</v>
      </c>
      <c r="C3451" s="2" t="s">
        <v>95</v>
      </c>
      <c r="D3451" s="2" t="s">
        <v>5426</v>
      </c>
      <c r="E3451" s="2" t="s">
        <v>5427</v>
      </c>
      <c r="F3451" s="4">
        <v>5311</v>
      </c>
      <c r="G3451" s="2" t="s">
        <v>756</v>
      </c>
      <c r="H3451" s="2" t="s">
        <v>34</v>
      </c>
      <c r="I3451" s="2" t="s">
        <v>6989</v>
      </c>
      <c r="J3451" s="2" t="s">
        <v>5427</v>
      </c>
      <c r="K3451" s="2" t="s">
        <v>756</v>
      </c>
      <c r="L3451" s="2" t="s">
        <v>34</v>
      </c>
      <c r="M3451" s="7">
        <v>855.65800000000002</v>
      </c>
      <c r="N3451" s="7">
        <v>28.125</v>
      </c>
      <c r="O3451" s="5">
        <v>27.5</v>
      </c>
      <c r="P3451" s="2" t="s">
        <v>10845</v>
      </c>
      <c r="Q3451" s="6">
        <v>100</v>
      </c>
      <c r="R3451" s="6">
        <v>52.06</v>
      </c>
      <c r="S3451" s="5">
        <v>39.799999999999997</v>
      </c>
      <c r="T3451" s="7">
        <v>94.521000000000001</v>
      </c>
      <c r="U3451" s="5">
        <v>22.5</v>
      </c>
      <c r="V3451" s="6">
        <v>2.39</v>
      </c>
      <c r="W3451" s="7">
        <v>37.375</v>
      </c>
      <c r="X3451" s="5">
        <v>37.5</v>
      </c>
      <c r="Y3451" s="7">
        <v>45.125</v>
      </c>
      <c r="Z3451" s="7">
        <v>46.125</v>
      </c>
      <c r="AA3451" s="6">
        <v>15.8</v>
      </c>
      <c r="AB3451" s="7">
        <v>12.865</v>
      </c>
      <c r="AC3451" s="6">
        <v>52.96</v>
      </c>
    </row>
    <row r="3452" spans="1:29" ht="130" x14ac:dyDescent="0.15">
      <c r="A3452" s="3">
        <f t="shared" si="46"/>
        <v>35732</v>
      </c>
      <c r="B3452" s="3">
        <f>DATE(1998,3,2)</f>
        <v>35856</v>
      </c>
      <c r="C3452" s="2" t="s">
        <v>95</v>
      </c>
      <c r="D3452" s="2" t="s">
        <v>10846</v>
      </c>
      <c r="E3452" s="2" t="s">
        <v>389</v>
      </c>
      <c r="F3452" s="4">
        <v>6035</v>
      </c>
      <c r="G3452" s="2" t="s">
        <v>33</v>
      </c>
      <c r="H3452" s="2" t="s">
        <v>34</v>
      </c>
      <c r="I3452" s="2" t="s">
        <v>2452</v>
      </c>
      <c r="J3452" s="2" t="s">
        <v>265</v>
      </c>
      <c r="K3452" s="2" t="s">
        <v>37</v>
      </c>
      <c r="L3452" s="2" t="s">
        <v>34</v>
      </c>
      <c r="M3452" s="12">
        <v>6675.3050000000003</v>
      </c>
      <c r="N3452" s="7">
        <v>49.438000000000002</v>
      </c>
      <c r="O3452" s="7">
        <v>48.188000000000002</v>
      </c>
      <c r="P3452" s="2" t="s">
        <v>10847</v>
      </c>
      <c r="Q3452" s="6">
        <v>100</v>
      </c>
      <c r="R3452" s="6">
        <v>23.85</v>
      </c>
      <c r="S3452" s="5">
        <v>1.7</v>
      </c>
      <c r="T3452" s="7">
        <v>3.2549999999999999</v>
      </c>
      <c r="U3452" s="5">
        <v>13.1</v>
      </c>
      <c r="V3452" s="7">
        <v>0.94699999999999995</v>
      </c>
      <c r="W3452" s="7">
        <v>19.125</v>
      </c>
      <c r="X3452" s="7">
        <v>19.625</v>
      </c>
      <c r="Y3452" s="7">
        <v>19.625</v>
      </c>
      <c r="Z3452" s="5">
        <v>23.5</v>
      </c>
      <c r="AA3452" s="6">
        <v>1.69</v>
      </c>
      <c r="AB3452" s="7">
        <v>120.788</v>
      </c>
      <c r="AC3452" s="2"/>
    </row>
    <row r="3453" spans="1:29" ht="130" x14ac:dyDescent="0.15">
      <c r="A3453" s="3">
        <f t="shared" si="46"/>
        <v>35732</v>
      </c>
      <c r="B3453" s="3">
        <f>DATE(1998,3,3)</f>
        <v>35857</v>
      </c>
      <c r="C3453" s="2" t="s">
        <v>95</v>
      </c>
      <c r="D3453" s="2" t="s">
        <v>6613</v>
      </c>
      <c r="E3453" s="2" t="s">
        <v>36</v>
      </c>
      <c r="F3453" s="4">
        <v>6021</v>
      </c>
      <c r="G3453" s="2" t="s">
        <v>37</v>
      </c>
      <c r="H3453" s="2" t="s">
        <v>34</v>
      </c>
      <c r="I3453" s="2" t="s">
        <v>9701</v>
      </c>
      <c r="J3453" s="2" t="s">
        <v>672</v>
      </c>
      <c r="K3453" s="2" t="s">
        <v>37</v>
      </c>
      <c r="L3453" s="2" t="s">
        <v>34</v>
      </c>
      <c r="M3453" s="12">
        <v>7476.9409999999998</v>
      </c>
      <c r="N3453" s="7">
        <v>56.188000000000002</v>
      </c>
      <c r="O3453" s="5">
        <v>54.5</v>
      </c>
      <c r="P3453" s="2" t="s">
        <v>10848</v>
      </c>
      <c r="Q3453" s="6">
        <v>99.1</v>
      </c>
      <c r="R3453" s="6">
        <v>31.83</v>
      </c>
      <c r="S3453" s="5">
        <v>8.6</v>
      </c>
      <c r="T3453" s="7">
        <v>19.356000000000002</v>
      </c>
      <c r="U3453" s="5">
        <v>15.3</v>
      </c>
      <c r="V3453" s="6">
        <v>0.89</v>
      </c>
      <c r="W3453" s="4">
        <v>25</v>
      </c>
      <c r="X3453" s="7">
        <v>23.625</v>
      </c>
      <c r="Y3453" s="7">
        <v>25.375</v>
      </c>
      <c r="Z3453" s="7">
        <v>29.937999999999999</v>
      </c>
      <c r="AA3453" s="6">
        <v>9.85</v>
      </c>
      <c r="AB3453" s="7">
        <v>45.029000000000003</v>
      </c>
      <c r="AC3453" s="2"/>
    </row>
    <row r="3454" spans="1:29" ht="143" x14ac:dyDescent="0.15">
      <c r="A3454" s="3">
        <f t="shared" si="46"/>
        <v>35732</v>
      </c>
      <c r="B3454" s="2"/>
      <c r="C3454" s="2" t="s">
        <v>30</v>
      </c>
      <c r="D3454" s="2" t="s">
        <v>9167</v>
      </c>
      <c r="E3454" s="2" t="s">
        <v>9168</v>
      </c>
      <c r="F3454" s="4">
        <v>8099</v>
      </c>
      <c r="G3454" s="2" t="s">
        <v>454</v>
      </c>
      <c r="H3454" s="2" t="s">
        <v>34</v>
      </c>
      <c r="I3454" s="2" t="s">
        <v>10849</v>
      </c>
      <c r="J3454" s="2" t="s">
        <v>10850</v>
      </c>
      <c r="K3454" s="2" t="s">
        <v>454</v>
      </c>
      <c r="L3454" s="2" t="s">
        <v>34</v>
      </c>
      <c r="M3454" s="12">
        <v>1807.174</v>
      </c>
      <c r="N3454" s="7">
        <v>29.562999999999999</v>
      </c>
      <c r="O3454" s="4">
        <v>24</v>
      </c>
      <c r="P3454" s="2" t="s">
        <v>10851</v>
      </c>
      <c r="Q3454" s="2"/>
      <c r="R3454" s="6">
        <v>34.15</v>
      </c>
      <c r="S3454" s="5">
        <v>-158.5</v>
      </c>
      <c r="T3454" s="7">
        <v>317.85700000000003</v>
      </c>
      <c r="U3454" s="5">
        <v>4.8</v>
      </c>
      <c r="V3454" s="6">
        <v>-0.57999999999999996</v>
      </c>
      <c r="W3454" s="6">
        <v>27.25</v>
      </c>
      <c r="X3454" s="7">
        <v>25.375</v>
      </c>
      <c r="Y3454" s="7">
        <v>26.875</v>
      </c>
      <c r="Z3454" s="6">
        <v>25.75</v>
      </c>
      <c r="AA3454" s="6">
        <v>187.03</v>
      </c>
      <c r="AB3454" s="7">
        <v>26.599</v>
      </c>
      <c r="AC3454" s="6">
        <v>30.53</v>
      </c>
    </row>
    <row r="3455" spans="1:29" ht="130" x14ac:dyDescent="0.15">
      <c r="A3455" s="3">
        <f>DATE(1997,10,30)</f>
        <v>35733</v>
      </c>
      <c r="B3455" s="2"/>
      <c r="C3455" s="2" t="s">
        <v>30</v>
      </c>
      <c r="D3455" s="2" t="s">
        <v>4752</v>
      </c>
      <c r="E3455" s="2" t="s">
        <v>973</v>
      </c>
      <c r="F3455" s="4">
        <v>4813</v>
      </c>
      <c r="G3455" s="2" t="s">
        <v>63</v>
      </c>
      <c r="H3455" s="2" t="s">
        <v>34</v>
      </c>
      <c r="I3455" s="2" t="s">
        <v>7977</v>
      </c>
      <c r="J3455" s="2" t="s">
        <v>973</v>
      </c>
      <c r="K3455" s="2" t="s">
        <v>63</v>
      </c>
      <c r="L3455" s="2" t="s">
        <v>34</v>
      </c>
      <c r="M3455" s="12">
        <v>1554.2460000000001</v>
      </c>
      <c r="N3455" s="5">
        <v>22.5</v>
      </c>
      <c r="O3455" s="5">
        <v>21.5</v>
      </c>
      <c r="P3455" s="2" t="s">
        <v>10852</v>
      </c>
      <c r="Q3455" s="2"/>
      <c r="R3455" s="6">
        <v>50</v>
      </c>
      <c r="S3455" s="5">
        <v>7.8</v>
      </c>
      <c r="T3455" s="7">
        <v>30.657</v>
      </c>
      <c r="U3455" s="5">
        <v>7.1</v>
      </c>
      <c r="V3455" s="6">
        <v>0.34</v>
      </c>
      <c r="W3455" s="7">
        <v>31.125</v>
      </c>
      <c r="X3455" s="7">
        <v>27.125</v>
      </c>
      <c r="Y3455" s="7">
        <v>39.375</v>
      </c>
      <c r="Z3455" s="7">
        <v>39.625</v>
      </c>
      <c r="AA3455" s="6">
        <v>16.8</v>
      </c>
      <c r="AB3455" s="7">
        <v>59.029000000000003</v>
      </c>
      <c r="AC3455" s="6">
        <v>157.26</v>
      </c>
    </row>
    <row r="3456" spans="1:29" ht="169" x14ac:dyDescent="0.15">
      <c r="A3456" s="3">
        <f>DATE(1997,10,31)</f>
        <v>35734</v>
      </c>
      <c r="B3456" s="3">
        <f>DATE(1998,3,12)</f>
        <v>35866</v>
      </c>
      <c r="C3456" s="2" t="s">
        <v>95</v>
      </c>
      <c r="D3456" s="2" t="s">
        <v>7966</v>
      </c>
      <c r="E3456" s="2" t="s">
        <v>7967</v>
      </c>
      <c r="F3456" s="4">
        <v>3641</v>
      </c>
      <c r="G3456" s="2" t="s">
        <v>137</v>
      </c>
      <c r="H3456" s="2" t="s">
        <v>34</v>
      </c>
      <c r="I3456" s="2" t="s">
        <v>10853</v>
      </c>
      <c r="J3456" s="2" t="s">
        <v>7969</v>
      </c>
      <c r="K3456" s="2" t="s">
        <v>137</v>
      </c>
      <c r="L3456" s="2" t="s">
        <v>34</v>
      </c>
      <c r="M3456" s="7">
        <v>88.155000000000001</v>
      </c>
      <c r="N3456" s="6">
        <v>5.75</v>
      </c>
      <c r="O3456" s="7">
        <v>5.875</v>
      </c>
      <c r="P3456" s="2" t="s">
        <v>10854</v>
      </c>
      <c r="Q3456" s="6">
        <v>100</v>
      </c>
      <c r="R3456" s="6">
        <v>24.53</v>
      </c>
      <c r="S3456" s="5">
        <v>4.8</v>
      </c>
      <c r="T3456" s="7">
        <v>6.5659999999999998</v>
      </c>
      <c r="U3456" s="5">
        <v>7.2</v>
      </c>
      <c r="V3456" s="7">
        <v>0.95899999999999996</v>
      </c>
      <c r="W3456" s="7">
        <v>11.813000000000001</v>
      </c>
      <c r="X3456" s="6">
        <v>11.75</v>
      </c>
      <c r="Y3456" s="6">
        <v>14.25</v>
      </c>
      <c r="Z3456" s="5">
        <v>14.5</v>
      </c>
      <c r="AA3456" s="6">
        <v>4.87</v>
      </c>
      <c r="AB3456" s="7">
        <v>29.706</v>
      </c>
      <c r="AC3456" s="6">
        <v>2.48</v>
      </c>
    </row>
    <row r="3457" spans="1:29" ht="65" x14ac:dyDescent="0.15">
      <c r="A3457" s="3">
        <f>DATE(1997,10,31)</f>
        <v>35734</v>
      </c>
      <c r="B3457" s="2"/>
      <c r="C3457" s="2" t="s">
        <v>30</v>
      </c>
      <c r="D3457" s="2" t="s">
        <v>10855</v>
      </c>
      <c r="E3457" s="2" t="s">
        <v>10856</v>
      </c>
      <c r="F3457" s="4">
        <v>4899</v>
      </c>
      <c r="G3457" s="2" t="s">
        <v>63</v>
      </c>
      <c r="H3457" s="2" t="s">
        <v>34</v>
      </c>
      <c r="I3457" s="2" t="s">
        <v>10857</v>
      </c>
      <c r="J3457" s="2" t="s">
        <v>10858</v>
      </c>
      <c r="K3457" s="2" t="s">
        <v>223</v>
      </c>
      <c r="L3457" s="2" t="s">
        <v>34</v>
      </c>
      <c r="M3457" s="2"/>
      <c r="N3457" s="2"/>
      <c r="O3457" s="2"/>
      <c r="P3457" s="2" t="s">
        <v>10859</v>
      </c>
      <c r="Q3457" s="2"/>
      <c r="R3457" s="6">
        <v>3.93</v>
      </c>
      <c r="S3457" s="5">
        <v>1</v>
      </c>
      <c r="T3457" s="7">
        <v>1.3460000000000001</v>
      </c>
      <c r="U3457" s="5">
        <v>2.2000000000000002</v>
      </c>
      <c r="V3457" s="6">
        <v>0.2</v>
      </c>
      <c r="W3457" s="7">
        <v>2.875</v>
      </c>
      <c r="X3457" s="5">
        <v>2.5</v>
      </c>
      <c r="Y3457" s="4">
        <v>3</v>
      </c>
      <c r="Z3457" s="7">
        <v>3.3130000000000002</v>
      </c>
      <c r="AA3457" s="6">
        <v>5.22</v>
      </c>
      <c r="AB3457" s="7">
        <v>21.442</v>
      </c>
      <c r="AC3457" s="2"/>
    </row>
    <row r="3458" spans="1:29" ht="234" x14ac:dyDescent="0.15">
      <c r="A3458" s="3">
        <f>DATE(1997,10,31)</f>
        <v>35734</v>
      </c>
      <c r="B3458" s="3">
        <f>DATE(1998,2,27)</f>
        <v>35853</v>
      </c>
      <c r="C3458" s="2" t="s">
        <v>95</v>
      </c>
      <c r="D3458" s="2" t="s">
        <v>9244</v>
      </c>
      <c r="E3458" s="2" t="s">
        <v>9245</v>
      </c>
      <c r="F3458" s="4">
        <v>7371</v>
      </c>
      <c r="G3458" s="2" t="s">
        <v>223</v>
      </c>
      <c r="H3458" s="2" t="s">
        <v>34</v>
      </c>
      <c r="I3458" s="2" t="s">
        <v>10860</v>
      </c>
      <c r="J3458" s="2" t="s">
        <v>10861</v>
      </c>
      <c r="K3458" s="2" t="s">
        <v>63</v>
      </c>
      <c r="L3458" s="2" t="s">
        <v>34</v>
      </c>
      <c r="M3458" s="12">
        <v>1135.538</v>
      </c>
      <c r="N3458" s="4">
        <v>34</v>
      </c>
      <c r="O3458" s="6">
        <v>34.75</v>
      </c>
      <c r="P3458" s="2" t="s">
        <v>10862</v>
      </c>
      <c r="Q3458" s="6">
        <v>100</v>
      </c>
      <c r="R3458" s="6">
        <v>36.549999999999997</v>
      </c>
      <c r="S3458" s="5">
        <v>10.4</v>
      </c>
      <c r="T3458" s="7">
        <v>28.890999999999998</v>
      </c>
      <c r="U3458" s="5">
        <v>2.8</v>
      </c>
      <c r="V3458" s="6">
        <v>1.2</v>
      </c>
      <c r="W3458" s="7">
        <v>21.125</v>
      </c>
      <c r="X3458" s="7">
        <v>21.625</v>
      </c>
      <c r="Y3458" s="7">
        <v>21.625</v>
      </c>
      <c r="Z3458" s="7">
        <v>22.375</v>
      </c>
      <c r="AA3458" s="6">
        <v>9.0299999999999994</v>
      </c>
      <c r="AB3458" s="7">
        <v>18.474</v>
      </c>
      <c r="AC3458" s="6">
        <v>74.13</v>
      </c>
    </row>
    <row r="3459" spans="1:29" ht="117" x14ac:dyDescent="0.15">
      <c r="A3459" s="3">
        <f t="shared" ref="A3459:A3465" si="47">DATE(1997,11,3)</f>
        <v>35737</v>
      </c>
      <c r="B3459" s="3">
        <f>DATE(1998,4,1)</f>
        <v>35886</v>
      </c>
      <c r="C3459" s="2" t="s">
        <v>95</v>
      </c>
      <c r="D3459" s="2" t="s">
        <v>4888</v>
      </c>
      <c r="E3459" s="2" t="s">
        <v>1295</v>
      </c>
      <c r="F3459" s="4">
        <v>6036</v>
      </c>
      <c r="G3459" s="2" t="s">
        <v>33</v>
      </c>
      <c r="H3459" s="2" t="s">
        <v>34</v>
      </c>
      <c r="I3459" s="2" t="s">
        <v>4219</v>
      </c>
      <c r="J3459" s="2" t="s">
        <v>36</v>
      </c>
      <c r="K3459" s="2" t="s">
        <v>37</v>
      </c>
      <c r="L3459" s="2" t="s">
        <v>34</v>
      </c>
      <c r="M3459" s="12">
        <v>4594.6559999999999</v>
      </c>
      <c r="N3459" s="7">
        <v>51.375</v>
      </c>
      <c r="O3459" s="7">
        <v>52.125</v>
      </c>
      <c r="P3459" s="2" t="s">
        <v>10863</v>
      </c>
      <c r="Q3459" s="6">
        <v>100</v>
      </c>
      <c r="R3459" s="6">
        <v>62.25</v>
      </c>
      <c r="S3459" s="5">
        <v>10.7</v>
      </c>
      <c r="T3459" s="7">
        <v>18.556000000000001</v>
      </c>
      <c r="U3459" s="5">
        <v>30.6</v>
      </c>
      <c r="V3459" s="7">
        <v>3.0859999999999999</v>
      </c>
      <c r="W3459" s="5">
        <v>55.5</v>
      </c>
      <c r="X3459" s="4">
        <v>56</v>
      </c>
      <c r="Y3459" s="7">
        <v>59.375</v>
      </c>
      <c r="Z3459" s="4">
        <v>60</v>
      </c>
      <c r="AA3459" s="6">
        <v>3.23</v>
      </c>
      <c r="AB3459" s="7">
        <v>61.298000000000002</v>
      </c>
      <c r="AC3459" s="2"/>
    </row>
    <row r="3460" spans="1:29" ht="130" x14ac:dyDescent="0.15">
      <c r="A3460" s="3">
        <f t="shared" si="47"/>
        <v>35737</v>
      </c>
      <c r="B3460" s="3">
        <f>DATE(1998,1,20)</f>
        <v>35815</v>
      </c>
      <c r="C3460" s="2" t="s">
        <v>95</v>
      </c>
      <c r="D3460" s="2" t="s">
        <v>10864</v>
      </c>
      <c r="E3460" s="2" t="s">
        <v>10865</v>
      </c>
      <c r="F3460" s="4">
        <v>3651</v>
      </c>
      <c r="G3460" s="2" t="s">
        <v>137</v>
      </c>
      <c r="H3460" s="2" t="s">
        <v>34</v>
      </c>
      <c r="I3460" s="2" t="s">
        <v>10866</v>
      </c>
      <c r="J3460" s="2" t="s">
        <v>10867</v>
      </c>
      <c r="K3460" s="2" t="s">
        <v>50</v>
      </c>
      <c r="L3460" s="2" t="s">
        <v>54</v>
      </c>
      <c r="M3460" s="2"/>
      <c r="N3460" s="2"/>
      <c r="O3460" s="2"/>
      <c r="P3460" s="2" t="s">
        <v>10868</v>
      </c>
      <c r="Q3460" s="6">
        <v>79.180000000000007</v>
      </c>
      <c r="R3460" s="6">
        <v>10.68</v>
      </c>
      <c r="S3460" s="5">
        <v>-0.9</v>
      </c>
      <c r="T3460" s="7">
        <v>-0.191</v>
      </c>
      <c r="U3460" s="5">
        <v>4</v>
      </c>
      <c r="V3460" s="7">
        <v>-0.26700000000000002</v>
      </c>
      <c r="W3460" s="7">
        <v>9.0630000000000006</v>
      </c>
      <c r="X3460" s="6">
        <v>9.25</v>
      </c>
      <c r="Y3460" s="6">
        <v>9.25</v>
      </c>
      <c r="Z3460" s="7">
        <v>10.375</v>
      </c>
      <c r="AA3460" s="6">
        <v>3.8</v>
      </c>
      <c r="AB3460" s="2" t="s">
        <v>86</v>
      </c>
      <c r="AC3460" s="6">
        <v>415.04</v>
      </c>
    </row>
    <row r="3461" spans="1:29" ht="143" x14ac:dyDescent="0.15">
      <c r="A3461" s="3">
        <f t="shared" si="47"/>
        <v>35737</v>
      </c>
      <c r="B3461" s="3">
        <f>DATE(1998,5,22)</f>
        <v>35937</v>
      </c>
      <c r="C3461" s="2" t="s">
        <v>95</v>
      </c>
      <c r="D3461" s="2" t="s">
        <v>10869</v>
      </c>
      <c r="E3461" s="2" t="s">
        <v>1181</v>
      </c>
      <c r="F3461" s="4">
        <v>6022</v>
      </c>
      <c r="G3461" s="2" t="s">
        <v>37</v>
      </c>
      <c r="H3461" s="2" t="s">
        <v>34</v>
      </c>
      <c r="I3461" s="2" t="s">
        <v>7285</v>
      </c>
      <c r="J3461" s="2" t="s">
        <v>3426</v>
      </c>
      <c r="K3461" s="2" t="s">
        <v>37</v>
      </c>
      <c r="L3461" s="2" t="s">
        <v>34</v>
      </c>
      <c r="M3461" s="7">
        <v>885.81700000000001</v>
      </c>
      <c r="N3461" s="7">
        <v>25.625</v>
      </c>
      <c r="O3461" s="7">
        <v>25.625</v>
      </c>
      <c r="P3461" s="2" t="s">
        <v>10870</v>
      </c>
      <c r="Q3461" s="6">
        <v>100</v>
      </c>
      <c r="R3461" s="6">
        <v>44.5</v>
      </c>
      <c r="S3461" s="5">
        <v>7.2</v>
      </c>
      <c r="T3461" s="7">
        <v>11.587999999999999</v>
      </c>
      <c r="U3461" s="5">
        <v>16.8</v>
      </c>
      <c r="V3461" s="7">
        <v>2.093</v>
      </c>
      <c r="W3461" s="4">
        <v>34</v>
      </c>
      <c r="X3461" s="6">
        <v>40.25</v>
      </c>
      <c r="Y3461" s="5">
        <v>42.5</v>
      </c>
      <c r="Z3461" s="7">
        <v>42.625</v>
      </c>
      <c r="AA3461" s="6">
        <v>3.45</v>
      </c>
      <c r="AB3461" s="7">
        <v>76.054000000000002</v>
      </c>
      <c r="AC3461" s="2"/>
    </row>
    <row r="3462" spans="1:29" ht="104" x14ac:dyDescent="0.15">
      <c r="A3462" s="3">
        <f t="shared" si="47"/>
        <v>35737</v>
      </c>
      <c r="B3462" s="2"/>
      <c r="C3462" s="2" t="s">
        <v>7330</v>
      </c>
      <c r="D3462" s="2" t="s">
        <v>10871</v>
      </c>
      <c r="E3462" s="2" t="s">
        <v>389</v>
      </c>
      <c r="F3462" s="4">
        <v>6035</v>
      </c>
      <c r="G3462" s="2" t="s">
        <v>33</v>
      </c>
      <c r="H3462" s="2" t="s">
        <v>34</v>
      </c>
      <c r="I3462" s="2" t="s">
        <v>10872</v>
      </c>
      <c r="J3462" s="2" t="s">
        <v>10873</v>
      </c>
      <c r="K3462" s="2" t="s">
        <v>33</v>
      </c>
      <c r="L3462" s="2" t="s">
        <v>34</v>
      </c>
      <c r="M3462" s="2"/>
      <c r="N3462" s="2"/>
      <c r="O3462" s="2"/>
      <c r="P3462" s="2" t="s">
        <v>10874</v>
      </c>
      <c r="Q3462" s="2"/>
      <c r="R3462" s="6">
        <v>21.65</v>
      </c>
      <c r="S3462" s="5">
        <v>0.2</v>
      </c>
      <c r="T3462" s="2"/>
      <c r="U3462" s="5">
        <v>12.4</v>
      </c>
      <c r="V3462" s="2"/>
      <c r="W3462" s="4">
        <v>15</v>
      </c>
      <c r="X3462" s="6">
        <v>15.75</v>
      </c>
      <c r="Y3462" s="7">
        <v>20.375</v>
      </c>
      <c r="Z3462" s="7">
        <v>20.375</v>
      </c>
      <c r="AA3462" s="6">
        <v>1.02</v>
      </c>
      <c r="AB3462" s="2" t="s">
        <v>47</v>
      </c>
      <c r="AC3462" s="2"/>
    </row>
    <row r="3463" spans="1:29" ht="117" x14ac:dyDescent="0.15">
      <c r="A3463" s="3">
        <f t="shared" si="47"/>
        <v>35737</v>
      </c>
      <c r="B3463" s="3">
        <f>DATE(1998,2,25)</f>
        <v>35851</v>
      </c>
      <c r="C3463" s="2" t="s">
        <v>95</v>
      </c>
      <c r="D3463" s="2" t="s">
        <v>10875</v>
      </c>
      <c r="E3463" s="2" t="s">
        <v>10876</v>
      </c>
      <c r="F3463" s="4">
        <v>7375</v>
      </c>
      <c r="G3463" s="2" t="s">
        <v>223</v>
      </c>
      <c r="H3463" s="2" t="s">
        <v>34</v>
      </c>
      <c r="I3463" s="2" t="s">
        <v>10877</v>
      </c>
      <c r="J3463" s="2" t="s">
        <v>8500</v>
      </c>
      <c r="K3463" s="2" t="s">
        <v>223</v>
      </c>
      <c r="L3463" s="2" t="s">
        <v>34</v>
      </c>
      <c r="M3463" s="6">
        <v>90.95</v>
      </c>
      <c r="N3463" s="7">
        <v>10.125</v>
      </c>
      <c r="O3463" s="7">
        <v>9.8130000000000006</v>
      </c>
      <c r="P3463" s="2" t="s">
        <v>10878</v>
      </c>
      <c r="Q3463" s="6">
        <v>100</v>
      </c>
      <c r="R3463" s="6">
        <v>5.17</v>
      </c>
      <c r="S3463" s="5">
        <v>-51</v>
      </c>
      <c r="T3463" s="6">
        <v>-9.51</v>
      </c>
      <c r="U3463" s="5">
        <v>1.4</v>
      </c>
      <c r="V3463" s="6">
        <v>-4.03</v>
      </c>
      <c r="W3463" s="5">
        <v>4.5</v>
      </c>
      <c r="X3463" s="7">
        <v>5.125</v>
      </c>
      <c r="Y3463" s="6">
        <v>5.25</v>
      </c>
      <c r="Z3463" s="7">
        <v>4.8440000000000003</v>
      </c>
      <c r="AA3463" s="6">
        <v>16.09</v>
      </c>
      <c r="AB3463" s="2" t="s">
        <v>86</v>
      </c>
      <c r="AC3463" s="6">
        <v>28.86</v>
      </c>
    </row>
    <row r="3464" spans="1:29" ht="117" x14ac:dyDescent="0.15">
      <c r="A3464" s="3">
        <f t="shared" si="47"/>
        <v>35737</v>
      </c>
      <c r="B3464" s="3">
        <f>DATE(1998,3,24)</f>
        <v>35878</v>
      </c>
      <c r="C3464" s="2" t="s">
        <v>95</v>
      </c>
      <c r="D3464" s="2" t="s">
        <v>10879</v>
      </c>
      <c r="E3464" s="2" t="s">
        <v>10880</v>
      </c>
      <c r="F3464" s="4">
        <v>3356</v>
      </c>
      <c r="G3464" s="2" t="s">
        <v>163</v>
      </c>
      <c r="H3464" s="2" t="s">
        <v>34</v>
      </c>
      <c r="I3464" s="2" t="s">
        <v>10881</v>
      </c>
      <c r="J3464" s="2" t="s">
        <v>10882</v>
      </c>
      <c r="K3464" s="2" t="s">
        <v>163</v>
      </c>
      <c r="L3464" s="2" t="s">
        <v>34</v>
      </c>
      <c r="M3464" s="10">
        <v>5091.0600000000004</v>
      </c>
      <c r="N3464" s="7">
        <v>27.812999999999999</v>
      </c>
      <c r="O3464" s="7">
        <v>27.125</v>
      </c>
      <c r="P3464" s="2" t="s">
        <v>10883</v>
      </c>
      <c r="Q3464" s="6">
        <v>100</v>
      </c>
      <c r="R3464" s="6">
        <v>34.1</v>
      </c>
      <c r="S3464" s="5">
        <v>22.3</v>
      </c>
      <c r="T3464" s="7">
        <v>39.514000000000003</v>
      </c>
      <c r="U3464" s="5">
        <v>12.6</v>
      </c>
      <c r="V3464" s="6">
        <v>1.69</v>
      </c>
      <c r="W3464" s="7">
        <v>21.094000000000001</v>
      </c>
      <c r="X3464" s="7">
        <v>23.437999999999999</v>
      </c>
      <c r="Y3464" s="7">
        <v>33.875</v>
      </c>
      <c r="Z3464" s="5">
        <v>33.5</v>
      </c>
      <c r="AA3464" s="6">
        <v>16.309999999999999</v>
      </c>
      <c r="AB3464" s="7">
        <v>14.084</v>
      </c>
      <c r="AC3464" s="5">
        <v>62.5</v>
      </c>
    </row>
    <row r="3465" spans="1:29" ht="117" x14ac:dyDescent="0.15">
      <c r="A3465" s="3">
        <f t="shared" si="47"/>
        <v>35737</v>
      </c>
      <c r="B3465" s="3">
        <f>DATE(1998,1,9)</f>
        <v>35804</v>
      </c>
      <c r="C3465" s="2" t="s">
        <v>95</v>
      </c>
      <c r="D3465" s="2" t="s">
        <v>10884</v>
      </c>
      <c r="E3465" s="2" t="s">
        <v>10885</v>
      </c>
      <c r="F3465" s="4">
        <v>2835</v>
      </c>
      <c r="G3465" s="2" t="s">
        <v>130</v>
      </c>
      <c r="H3465" s="2" t="s">
        <v>34</v>
      </c>
      <c r="I3465" s="2" t="s">
        <v>10886</v>
      </c>
      <c r="J3465" s="2" t="s">
        <v>10887</v>
      </c>
      <c r="K3465" s="2" t="s">
        <v>130</v>
      </c>
      <c r="L3465" s="2" t="s">
        <v>34</v>
      </c>
      <c r="M3465" s="7">
        <v>202.47200000000001</v>
      </c>
      <c r="N3465" s="7">
        <v>11.125</v>
      </c>
      <c r="O3465" s="7">
        <v>11.188000000000001</v>
      </c>
      <c r="P3465" s="2" t="s">
        <v>10888</v>
      </c>
      <c r="Q3465" s="6">
        <v>100</v>
      </c>
      <c r="R3465" s="6">
        <v>16.2</v>
      </c>
      <c r="S3465" s="5">
        <v>-21</v>
      </c>
      <c r="T3465" s="7">
        <v>-19.468</v>
      </c>
      <c r="U3465" s="5">
        <v>4.8</v>
      </c>
      <c r="V3465" s="7">
        <v>-2.1789999999999998</v>
      </c>
      <c r="W3465" s="4">
        <v>11</v>
      </c>
      <c r="X3465" s="6">
        <v>11.25</v>
      </c>
      <c r="Y3465" s="7">
        <v>13.938000000000001</v>
      </c>
      <c r="Z3465" s="5">
        <v>14.5</v>
      </c>
      <c r="AA3465" s="6">
        <v>10.24</v>
      </c>
      <c r="AB3465" s="2" t="s">
        <v>86</v>
      </c>
      <c r="AC3465" s="2"/>
    </row>
    <row r="3466" spans="1:29" ht="117" x14ac:dyDescent="0.15">
      <c r="A3466" s="3">
        <f>DATE(1997,11,4)</f>
        <v>35738</v>
      </c>
      <c r="B3466" s="3">
        <f>DATE(1998,1,12)</f>
        <v>35807</v>
      </c>
      <c r="C3466" s="2" t="s">
        <v>95</v>
      </c>
      <c r="D3466" s="2" t="s">
        <v>10889</v>
      </c>
      <c r="E3466" s="2" t="s">
        <v>10064</v>
      </c>
      <c r="F3466" s="4">
        <v>3571</v>
      </c>
      <c r="G3466" s="2" t="s">
        <v>50</v>
      </c>
      <c r="H3466" s="2" t="s">
        <v>34</v>
      </c>
      <c r="I3466" s="2" t="s">
        <v>10890</v>
      </c>
      <c r="J3466" s="2" t="s">
        <v>10891</v>
      </c>
      <c r="K3466" s="2" t="s">
        <v>551</v>
      </c>
      <c r="L3466" s="2" t="s">
        <v>34</v>
      </c>
      <c r="M3466" s="12">
        <v>6376.8029999999999</v>
      </c>
      <c r="N3466" s="5">
        <v>46.5</v>
      </c>
      <c r="O3466" s="4">
        <v>46</v>
      </c>
      <c r="P3466" s="2" t="s">
        <v>10892</v>
      </c>
      <c r="Q3466" s="6">
        <v>100</v>
      </c>
      <c r="R3466" s="6">
        <v>3.93</v>
      </c>
      <c r="S3466" s="5">
        <v>21.7</v>
      </c>
      <c r="T3466" s="7">
        <v>100.947</v>
      </c>
      <c r="U3466" s="5">
        <v>-5</v>
      </c>
      <c r="V3466" s="6">
        <v>0.33</v>
      </c>
      <c r="W3466" s="7">
        <v>2.3130000000000002</v>
      </c>
      <c r="X3466" s="7">
        <v>3.0630000000000002</v>
      </c>
      <c r="Y3466" s="7">
        <v>3.625</v>
      </c>
      <c r="Z3466" s="5">
        <v>3.5</v>
      </c>
      <c r="AA3466" s="6">
        <v>63.7</v>
      </c>
      <c r="AB3466" s="7">
        <v>5.8769999999999998</v>
      </c>
      <c r="AC3466" s="6">
        <v>508.74</v>
      </c>
    </row>
    <row r="3467" spans="1:29" ht="195" x14ac:dyDescent="0.15">
      <c r="A3467" s="3">
        <f>DATE(1997,11,4)</f>
        <v>35738</v>
      </c>
      <c r="B3467" s="3">
        <f>DATE(1998,5,20)</f>
        <v>35935</v>
      </c>
      <c r="C3467" s="2" t="s">
        <v>95</v>
      </c>
      <c r="D3467" s="2" t="s">
        <v>10893</v>
      </c>
      <c r="E3467" s="2" t="s">
        <v>10894</v>
      </c>
      <c r="F3467" s="4">
        <v>7389</v>
      </c>
      <c r="G3467" s="2" t="s">
        <v>223</v>
      </c>
      <c r="H3467" s="2" t="s">
        <v>34</v>
      </c>
      <c r="I3467" s="2" t="s">
        <v>6427</v>
      </c>
      <c r="J3467" s="2" t="s">
        <v>10895</v>
      </c>
      <c r="K3467" s="2" t="s">
        <v>116</v>
      </c>
      <c r="L3467" s="2" t="s">
        <v>34</v>
      </c>
      <c r="M3467" s="7">
        <v>993.02499999999998</v>
      </c>
      <c r="N3467" s="4">
        <v>5</v>
      </c>
      <c r="O3467" s="7">
        <v>4.9379999999999997</v>
      </c>
      <c r="P3467" s="2" t="s">
        <v>10896</v>
      </c>
      <c r="Q3467" s="6">
        <v>99.05</v>
      </c>
      <c r="R3467" s="6">
        <v>30.2</v>
      </c>
      <c r="S3467" s="5">
        <v>63.2</v>
      </c>
      <c r="T3467" s="7">
        <v>204.035</v>
      </c>
      <c r="U3467" s="5">
        <v>8.9</v>
      </c>
      <c r="V3467" s="6">
        <v>1.07</v>
      </c>
      <c r="W3467" s="7">
        <v>21.875</v>
      </c>
      <c r="X3467" s="7">
        <v>23.937999999999999</v>
      </c>
      <c r="Y3467" s="7">
        <v>23.875</v>
      </c>
      <c r="Z3467" s="7">
        <v>23.687999999999999</v>
      </c>
      <c r="AA3467" s="6">
        <v>58.4</v>
      </c>
      <c r="AB3467" s="7">
        <v>16.655999999999999</v>
      </c>
      <c r="AC3467" s="6">
        <v>11.16</v>
      </c>
    </row>
    <row r="3468" spans="1:29" ht="130" x14ac:dyDescent="0.15">
      <c r="A3468" s="3">
        <f>DATE(1997,11,5)</f>
        <v>35739</v>
      </c>
      <c r="B3468" s="3">
        <f>DATE(1998,1,16)</f>
        <v>35811</v>
      </c>
      <c r="C3468" s="2" t="s">
        <v>95</v>
      </c>
      <c r="D3468" s="2" t="s">
        <v>10897</v>
      </c>
      <c r="E3468" s="2" t="s">
        <v>592</v>
      </c>
      <c r="F3468" s="4">
        <v>5199</v>
      </c>
      <c r="G3468" s="2" t="s">
        <v>593</v>
      </c>
      <c r="H3468" s="2" t="s">
        <v>34</v>
      </c>
      <c r="I3468" s="2" t="s">
        <v>10898</v>
      </c>
      <c r="J3468" s="2" t="s">
        <v>10899</v>
      </c>
      <c r="K3468" s="2" t="s">
        <v>756</v>
      </c>
      <c r="L3468" s="2" t="s">
        <v>34</v>
      </c>
      <c r="M3468" s="12">
        <v>3409.7139999999999</v>
      </c>
      <c r="N3468" s="7">
        <v>45.438000000000002</v>
      </c>
      <c r="O3468" s="4">
        <v>48</v>
      </c>
      <c r="P3468" s="2" t="s">
        <v>10900</v>
      </c>
      <c r="Q3468" s="6">
        <v>100</v>
      </c>
      <c r="R3468" s="6">
        <v>38.659999999999997</v>
      </c>
      <c r="S3468" s="5">
        <v>43.1</v>
      </c>
      <c r="T3468" s="7">
        <v>87.930999999999997</v>
      </c>
      <c r="U3468" s="5">
        <v>10.199999999999999</v>
      </c>
      <c r="V3468" s="6">
        <v>1.67</v>
      </c>
      <c r="W3468" s="7">
        <v>32.625</v>
      </c>
      <c r="X3468" s="7">
        <v>37.563000000000002</v>
      </c>
      <c r="Y3468" s="7">
        <v>40.813000000000002</v>
      </c>
      <c r="Z3468" s="4">
        <v>42</v>
      </c>
      <c r="AA3468" s="6">
        <v>24.46</v>
      </c>
      <c r="AB3468" s="7">
        <v>14.657</v>
      </c>
      <c r="AC3468" s="6">
        <v>30.04</v>
      </c>
    </row>
    <row r="3469" spans="1:29" ht="143" x14ac:dyDescent="0.15">
      <c r="A3469" s="3">
        <f>DATE(1997,11,5)</f>
        <v>35739</v>
      </c>
      <c r="B3469" s="3">
        <f>DATE(1997,12,1)</f>
        <v>35765</v>
      </c>
      <c r="C3469" s="2" t="s">
        <v>95</v>
      </c>
      <c r="D3469" s="2" t="s">
        <v>10901</v>
      </c>
      <c r="E3469" s="2" t="s">
        <v>9854</v>
      </c>
      <c r="F3469" s="4">
        <v>6282</v>
      </c>
      <c r="G3469" s="2" t="s">
        <v>53</v>
      </c>
      <c r="H3469" s="2" t="s">
        <v>34</v>
      </c>
      <c r="I3469" s="2" t="s">
        <v>10902</v>
      </c>
      <c r="J3469" s="2" t="s">
        <v>10903</v>
      </c>
      <c r="K3469" s="2" t="s">
        <v>53</v>
      </c>
      <c r="L3469" s="2" t="s">
        <v>34</v>
      </c>
      <c r="M3469" s="12">
        <v>2537.058</v>
      </c>
      <c r="N3469" s="7">
        <v>32.563000000000002</v>
      </c>
      <c r="O3469" s="7">
        <v>32.875</v>
      </c>
      <c r="P3469" s="2" t="s">
        <v>10904</v>
      </c>
      <c r="Q3469" s="6">
        <v>68.849999999999994</v>
      </c>
      <c r="R3469" s="2"/>
      <c r="S3469" s="5">
        <v>58</v>
      </c>
      <c r="T3469" s="6">
        <v>43.45</v>
      </c>
      <c r="U3469" s="5">
        <v>3.8</v>
      </c>
      <c r="V3469" s="9">
        <v>2.2814000000000001</v>
      </c>
      <c r="W3469" s="7">
        <v>52.125</v>
      </c>
      <c r="X3469" s="7">
        <v>52.188000000000002</v>
      </c>
      <c r="Y3469" s="7">
        <v>51.313000000000002</v>
      </c>
      <c r="Z3469" s="6">
        <v>52.25</v>
      </c>
      <c r="AA3469" s="6">
        <v>15.43</v>
      </c>
      <c r="AB3469" s="7">
        <v>31.625</v>
      </c>
      <c r="AC3469" s="6">
        <v>0.04</v>
      </c>
    </row>
    <row r="3470" spans="1:29" ht="39" x14ac:dyDescent="0.15">
      <c r="A3470" s="3">
        <f>DATE(1997,11,5)</f>
        <v>35739</v>
      </c>
      <c r="B3470" s="3">
        <f>DATE(1997,11,6)</f>
        <v>35740</v>
      </c>
      <c r="C3470" s="2" t="s">
        <v>95</v>
      </c>
      <c r="D3470" s="2" t="s">
        <v>10905</v>
      </c>
      <c r="E3470" s="2" t="s">
        <v>386</v>
      </c>
      <c r="F3470" s="4">
        <v>6726</v>
      </c>
      <c r="G3470" s="2" t="s">
        <v>53</v>
      </c>
      <c r="H3470" s="2" t="s">
        <v>34</v>
      </c>
      <c r="I3470" s="2" t="s">
        <v>10906</v>
      </c>
      <c r="J3470" s="2" t="s">
        <v>386</v>
      </c>
      <c r="K3470" s="2" t="s">
        <v>53</v>
      </c>
      <c r="L3470" s="2" t="s">
        <v>34</v>
      </c>
      <c r="M3470" s="2"/>
      <c r="N3470" s="6">
        <v>13.75</v>
      </c>
      <c r="O3470" s="7">
        <v>13.938000000000001</v>
      </c>
      <c r="P3470" s="2" t="s">
        <v>10907</v>
      </c>
      <c r="Q3470" s="6">
        <v>100</v>
      </c>
      <c r="R3470" s="2"/>
      <c r="S3470" s="2"/>
      <c r="T3470" s="2"/>
      <c r="U3470" s="2"/>
      <c r="V3470" s="2"/>
      <c r="W3470" s="7">
        <v>14.375</v>
      </c>
      <c r="X3470" s="7">
        <v>13.563000000000001</v>
      </c>
      <c r="Y3470" s="7">
        <v>13.813000000000001</v>
      </c>
      <c r="Z3470" s="7">
        <v>13.813000000000001</v>
      </c>
      <c r="AA3470" s="6">
        <v>3.41</v>
      </c>
      <c r="AB3470" s="2" t="s">
        <v>47</v>
      </c>
      <c r="AC3470" s="2"/>
    </row>
    <row r="3471" spans="1:29" ht="91" x14ac:dyDescent="0.15">
      <c r="A3471" s="3">
        <f>DATE(1997,11,6)</f>
        <v>35740</v>
      </c>
      <c r="B3471" s="2"/>
      <c r="C3471" s="2" t="s">
        <v>30</v>
      </c>
      <c r="D3471" s="2" t="s">
        <v>10908</v>
      </c>
      <c r="E3471" s="2" t="s">
        <v>10909</v>
      </c>
      <c r="F3471" s="4">
        <v>1521</v>
      </c>
      <c r="G3471" s="2" t="s">
        <v>341</v>
      </c>
      <c r="H3471" s="2" t="s">
        <v>34</v>
      </c>
      <c r="I3471" s="2" t="s">
        <v>10910</v>
      </c>
      <c r="J3471" s="2" t="s">
        <v>10911</v>
      </c>
      <c r="K3471" s="2" t="s">
        <v>577</v>
      </c>
      <c r="L3471" s="2" t="s">
        <v>34</v>
      </c>
      <c r="M3471" s="7">
        <v>31.875</v>
      </c>
      <c r="N3471" s="7">
        <v>4.125</v>
      </c>
      <c r="O3471" s="4">
        <v>4</v>
      </c>
      <c r="P3471" s="2" t="s">
        <v>10912</v>
      </c>
      <c r="Q3471" s="2"/>
      <c r="R3471" s="6">
        <v>2.75</v>
      </c>
      <c r="S3471" s="5">
        <v>-3</v>
      </c>
      <c r="T3471" s="6">
        <v>-0.93</v>
      </c>
      <c r="U3471" s="5">
        <v>1</v>
      </c>
      <c r="V3471" s="6">
        <v>-0.36</v>
      </c>
      <c r="W3471" s="7">
        <v>2.125</v>
      </c>
      <c r="X3471" s="6">
        <v>2.25</v>
      </c>
      <c r="Y3471" s="7">
        <v>2.125</v>
      </c>
      <c r="Z3471" s="5">
        <v>2.5</v>
      </c>
      <c r="AA3471" s="6">
        <v>8.34</v>
      </c>
      <c r="AB3471" s="2" t="s">
        <v>86</v>
      </c>
      <c r="AC3471" s="6">
        <v>0.68</v>
      </c>
    </row>
    <row r="3472" spans="1:29" ht="65" x14ac:dyDescent="0.15">
      <c r="A3472" s="3">
        <f>DATE(1997,11,7)</f>
        <v>35741</v>
      </c>
      <c r="B3472" s="2"/>
      <c r="C3472" s="2" t="s">
        <v>7330</v>
      </c>
      <c r="D3472" s="2" t="s">
        <v>10913</v>
      </c>
      <c r="E3472" s="2" t="s">
        <v>10914</v>
      </c>
      <c r="F3472" s="4">
        <v>3661</v>
      </c>
      <c r="G3472" s="2" t="s">
        <v>921</v>
      </c>
      <c r="H3472" s="2" t="s">
        <v>34</v>
      </c>
      <c r="I3472" s="2" t="s">
        <v>51</v>
      </c>
      <c r="J3472" s="2" t="s">
        <v>52</v>
      </c>
      <c r="K3472" s="2" t="s">
        <v>53</v>
      </c>
      <c r="L3472" s="2" t="s">
        <v>34</v>
      </c>
      <c r="M3472" s="2"/>
      <c r="N3472" s="2"/>
      <c r="O3472" s="2"/>
      <c r="P3472" s="2" t="s">
        <v>10915</v>
      </c>
      <c r="Q3472" s="2"/>
      <c r="R3472" s="2"/>
      <c r="S3472" s="5">
        <v>2</v>
      </c>
      <c r="T3472" s="7">
        <v>4.9909999999999997</v>
      </c>
      <c r="U3472" s="5">
        <v>3.1</v>
      </c>
      <c r="V3472" s="6">
        <v>0.35</v>
      </c>
      <c r="W3472" s="7">
        <v>4.625</v>
      </c>
      <c r="X3472" s="6">
        <v>4.75</v>
      </c>
      <c r="Y3472" s="4">
        <v>5</v>
      </c>
      <c r="Z3472" s="7">
        <v>5.125</v>
      </c>
      <c r="AA3472" s="6">
        <v>5.76</v>
      </c>
      <c r="AB3472" s="7">
        <v>9.5210000000000008</v>
      </c>
      <c r="AC3472" s="2"/>
    </row>
    <row r="3473" spans="1:29" ht="143" x14ac:dyDescent="0.15">
      <c r="A3473" s="3">
        <f>DATE(1997,11,7)</f>
        <v>35741</v>
      </c>
      <c r="B3473" s="3">
        <f>DATE(1998,3,23)</f>
        <v>35877</v>
      </c>
      <c r="C3473" s="2" t="s">
        <v>95</v>
      </c>
      <c r="D3473" s="2" t="s">
        <v>10916</v>
      </c>
      <c r="E3473" s="2" t="s">
        <v>10917</v>
      </c>
      <c r="F3473" s="4">
        <v>6035</v>
      </c>
      <c r="G3473" s="2" t="s">
        <v>33</v>
      </c>
      <c r="H3473" s="2" t="s">
        <v>34</v>
      </c>
      <c r="I3473" s="2" t="s">
        <v>6678</v>
      </c>
      <c r="J3473" s="2" t="s">
        <v>159</v>
      </c>
      <c r="K3473" s="2" t="s">
        <v>37</v>
      </c>
      <c r="L3473" s="2" t="s">
        <v>34</v>
      </c>
      <c r="M3473" s="12">
        <v>5195.692</v>
      </c>
      <c r="N3473" s="4">
        <v>37</v>
      </c>
      <c r="O3473" s="7">
        <v>37.625</v>
      </c>
      <c r="P3473" s="2" t="s">
        <v>10918</v>
      </c>
      <c r="Q3473" s="6">
        <v>100</v>
      </c>
      <c r="R3473" s="6">
        <v>13.98</v>
      </c>
      <c r="S3473" s="5">
        <v>0.5</v>
      </c>
      <c r="T3473" s="7">
        <v>1.323</v>
      </c>
      <c r="U3473" s="5">
        <v>4.8</v>
      </c>
      <c r="V3473" s="6">
        <v>0.28000000000000003</v>
      </c>
      <c r="W3473" s="6">
        <v>9.75</v>
      </c>
      <c r="X3473" s="5">
        <v>12.5</v>
      </c>
      <c r="Y3473" s="6">
        <v>12.75</v>
      </c>
      <c r="Z3473" s="6">
        <v>12.25</v>
      </c>
      <c r="AA3473" s="6">
        <v>2.76</v>
      </c>
      <c r="AB3473" s="7">
        <v>231.965</v>
      </c>
      <c r="AC3473" s="2"/>
    </row>
    <row r="3474" spans="1:29" ht="91" x14ac:dyDescent="0.15">
      <c r="A3474" s="3">
        <f>DATE(1997,11,7)</f>
        <v>35741</v>
      </c>
      <c r="B3474" s="3">
        <f>DATE(1998,5,28)</f>
        <v>35943</v>
      </c>
      <c r="C3474" s="2" t="s">
        <v>95</v>
      </c>
      <c r="D3474" s="2" t="s">
        <v>10919</v>
      </c>
      <c r="E3474" s="2" t="s">
        <v>10920</v>
      </c>
      <c r="F3474" s="4">
        <v>7372</v>
      </c>
      <c r="G3474" s="2" t="s">
        <v>551</v>
      </c>
      <c r="H3474" s="2" t="s">
        <v>34</v>
      </c>
      <c r="I3474" s="2" t="s">
        <v>10921</v>
      </c>
      <c r="J3474" s="2" t="s">
        <v>10922</v>
      </c>
      <c r="K3474" s="2" t="s">
        <v>223</v>
      </c>
      <c r="L3474" s="2" t="s">
        <v>34</v>
      </c>
      <c r="M3474" s="6">
        <v>134.35</v>
      </c>
      <c r="N3474" s="4">
        <v>24</v>
      </c>
      <c r="O3474" s="5">
        <v>22.5</v>
      </c>
      <c r="P3474" s="2" t="s">
        <v>10923</v>
      </c>
      <c r="Q3474" s="6">
        <v>56.72</v>
      </c>
      <c r="R3474" s="6">
        <v>7.5</v>
      </c>
      <c r="S3474" s="5">
        <v>-4.2</v>
      </c>
      <c r="T3474" s="7">
        <v>-1.768</v>
      </c>
      <c r="U3474" s="5">
        <v>1.7</v>
      </c>
      <c r="V3474" s="6">
        <v>-0.73</v>
      </c>
      <c r="W3474" s="7">
        <v>5.375</v>
      </c>
      <c r="X3474" s="5">
        <v>5.5</v>
      </c>
      <c r="Y3474" s="5">
        <v>5.5</v>
      </c>
      <c r="Z3474" s="4">
        <v>7</v>
      </c>
      <c r="AA3474" s="6">
        <v>5.49</v>
      </c>
      <c r="AB3474" s="2" t="s">
        <v>86</v>
      </c>
      <c r="AC3474" s="6">
        <v>18.52</v>
      </c>
    </row>
    <row r="3475" spans="1:29" ht="156" x14ac:dyDescent="0.15">
      <c r="A3475" s="3">
        <f>DATE(1997,11,7)</f>
        <v>35741</v>
      </c>
      <c r="B3475" s="3">
        <f>DATE(1998,3,10)</f>
        <v>35864</v>
      </c>
      <c r="C3475" s="2" t="s">
        <v>95</v>
      </c>
      <c r="D3475" s="2" t="s">
        <v>10924</v>
      </c>
      <c r="E3475" s="2" t="s">
        <v>6423</v>
      </c>
      <c r="F3475" s="4">
        <v>5411</v>
      </c>
      <c r="G3475" s="2" t="s">
        <v>1461</v>
      </c>
      <c r="H3475" s="2" t="s">
        <v>34</v>
      </c>
      <c r="I3475" s="2" t="s">
        <v>9724</v>
      </c>
      <c r="J3475" s="2" t="s">
        <v>1063</v>
      </c>
      <c r="K3475" s="2" t="s">
        <v>756</v>
      </c>
      <c r="L3475" s="2" t="s">
        <v>34</v>
      </c>
      <c r="M3475" s="7">
        <v>717.52800000000002</v>
      </c>
      <c r="N3475" s="7">
        <v>32.188000000000002</v>
      </c>
      <c r="O3475" s="7">
        <v>29.312999999999999</v>
      </c>
      <c r="P3475" s="2" t="s">
        <v>10925</v>
      </c>
      <c r="Q3475" s="6">
        <v>100</v>
      </c>
      <c r="R3475" s="6">
        <v>58.78</v>
      </c>
      <c r="S3475" s="5">
        <v>25.4</v>
      </c>
      <c r="T3475" s="7">
        <v>68.659000000000006</v>
      </c>
      <c r="U3475" s="5">
        <v>5.2</v>
      </c>
      <c r="V3475" s="6">
        <v>1.71</v>
      </c>
      <c r="W3475" s="7">
        <v>47.625</v>
      </c>
      <c r="X3475" s="7">
        <v>51.625</v>
      </c>
      <c r="Y3475" s="5">
        <v>58.5</v>
      </c>
      <c r="Z3475" s="6">
        <v>54.75</v>
      </c>
      <c r="AA3475" s="6">
        <v>20.99</v>
      </c>
      <c r="AB3475" s="7">
        <v>21.73</v>
      </c>
      <c r="AC3475" s="6">
        <v>48.77</v>
      </c>
    </row>
    <row r="3476" spans="1:29" ht="117" x14ac:dyDescent="0.15">
      <c r="A3476" s="3">
        <f>DATE(1997,11,11)</f>
        <v>35745</v>
      </c>
      <c r="B3476" s="3">
        <f>DATE(1998,2,11)</f>
        <v>35837</v>
      </c>
      <c r="C3476" s="2" t="s">
        <v>95</v>
      </c>
      <c r="D3476" s="2" t="s">
        <v>5843</v>
      </c>
      <c r="E3476" s="2" t="s">
        <v>5844</v>
      </c>
      <c r="F3476" s="4">
        <v>3841</v>
      </c>
      <c r="G3476" s="2" t="s">
        <v>226</v>
      </c>
      <c r="H3476" s="2" t="s">
        <v>34</v>
      </c>
      <c r="I3476" s="2" t="s">
        <v>10926</v>
      </c>
      <c r="J3476" s="2" t="s">
        <v>10927</v>
      </c>
      <c r="K3476" s="2" t="s">
        <v>226</v>
      </c>
      <c r="L3476" s="2" t="s">
        <v>34</v>
      </c>
      <c r="M3476" s="7">
        <v>595.20899999999995</v>
      </c>
      <c r="N3476" s="6">
        <v>26.25</v>
      </c>
      <c r="O3476" s="7">
        <v>26.875</v>
      </c>
      <c r="P3476" s="2" t="s">
        <v>10928</v>
      </c>
      <c r="Q3476" s="6">
        <v>100</v>
      </c>
      <c r="R3476" s="6">
        <v>24</v>
      </c>
      <c r="S3476" s="5">
        <v>5.7</v>
      </c>
      <c r="T3476" s="7">
        <v>15.116</v>
      </c>
      <c r="U3476" s="5">
        <v>3.5</v>
      </c>
      <c r="V3476" s="6">
        <v>0.44</v>
      </c>
      <c r="W3476" s="7">
        <v>17.125</v>
      </c>
      <c r="X3476" s="7">
        <v>16.625</v>
      </c>
      <c r="Y3476" s="4">
        <v>17</v>
      </c>
      <c r="Z3476" s="7">
        <v>16.812999999999999</v>
      </c>
      <c r="AA3476" s="6">
        <v>12.96</v>
      </c>
      <c r="AB3476" s="7">
        <v>28.562000000000001</v>
      </c>
      <c r="AC3476" s="6">
        <v>15.71</v>
      </c>
    </row>
    <row r="3477" spans="1:29" ht="143" x14ac:dyDescent="0.15">
      <c r="A3477" s="3">
        <f>DATE(1997,11,12)</f>
        <v>35746</v>
      </c>
      <c r="B3477" s="3">
        <f>DATE(1998,3,27)</f>
        <v>35881</v>
      </c>
      <c r="C3477" s="2" t="s">
        <v>95</v>
      </c>
      <c r="D3477" s="2" t="s">
        <v>10929</v>
      </c>
      <c r="E3477" s="2" t="s">
        <v>203</v>
      </c>
      <c r="F3477" s="4">
        <v>6035</v>
      </c>
      <c r="G3477" s="2" t="s">
        <v>33</v>
      </c>
      <c r="H3477" s="2" t="s">
        <v>34</v>
      </c>
      <c r="I3477" s="2" t="s">
        <v>10930</v>
      </c>
      <c r="J3477" s="2" t="s">
        <v>159</v>
      </c>
      <c r="K3477" s="2" t="s">
        <v>37</v>
      </c>
      <c r="L3477" s="2" t="s">
        <v>34</v>
      </c>
      <c r="M3477" s="7">
        <v>436.36200000000002</v>
      </c>
      <c r="N3477" s="6">
        <v>23.75</v>
      </c>
      <c r="O3477" s="5">
        <v>23.5</v>
      </c>
      <c r="P3477" s="2" t="s">
        <v>10931</v>
      </c>
      <c r="Q3477" s="6">
        <v>100</v>
      </c>
      <c r="R3477" s="6">
        <v>27.59</v>
      </c>
      <c r="S3477" s="5">
        <v>2.9</v>
      </c>
      <c r="T3477" s="6">
        <v>5.23</v>
      </c>
      <c r="U3477" s="5">
        <v>11.7</v>
      </c>
      <c r="V3477" s="7">
        <v>1.698</v>
      </c>
      <c r="W3477" s="7">
        <v>24.687999999999999</v>
      </c>
      <c r="X3477" s="5">
        <v>27.5</v>
      </c>
      <c r="Y3477" s="4">
        <v>27</v>
      </c>
      <c r="Z3477" s="5">
        <v>26.5</v>
      </c>
      <c r="AA3477" s="6">
        <v>1.63</v>
      </c>
      <c r="AB3477" s="7">
        <v>47.369</v>
      </c>
      <c r="AC3477" s="2"/>
    </row>
    <row r="3478" spans="1:29" ht="65" x14ac:dyDescent="0.15">
      <c r="A3478" s="3">
        <f>DATE(1997,11,12)</f>
        <v>35746</v>
      </c>
      <c r="B3478" s="3">
        <f>DATE(1998,3,3)</f>
        <v>35857</v>
      </c>
      <c r="C3478" s="2" t="s">
        <v>95</v>
      </c>
      <c r="D3478" s="2" t="s">
        <v>10932</v>
      </c>
      <c r="E3478" s="2" t="s">
        <v>9285</v>
      </c>
      <c r="F3478" s="4">
        <v>3089</v>
      </c>
      <c r="G3478" s="2" t="s">
        <v>447</v>
      </c>
      <c r="H3478" s="2" t="s">
        <v>34</v>
      </c>
      <c r="I3478" s="2" t="s">
        <v>10933</v>
      </c>
      <c r="J3478" s="2" t="s">
        <v>10934</v>
      </c>
      <c r="K3478" s="2" t="s">
        <v>447</v>
      </c>
      <c r="L3478" s="2" t="s">
        <v>34</v>
      </c>
      <c r="M3478" s="2"/>
      <c r="N3478" s="2"/>
      <c r="O3478" s="2"/>
      <c r="P3478" s="2" t="s">
        <v>10935</v>
      </c>
      <c r="Q3478" s="6">
        <v>100</v>
      </c>
      <c r="R3478" s="6">
        <v>3.5</v>
      </c>
      <c r="S3478" s="5">
        <v>2.2000000000000002</v>
      </c>
      <c r="T3478" s="7">
        <v>41.466999999999999</v>
      </c>
      <c r="U3478" s="5">
        <v>2.1</v>
      </c>
      <c r="V3478" s="7">
        <v>6.6000000000000003E-2</v>
      </c>
      <c r="W3478" s="7">
        <v>2.5939999999999999</v>
      </c>
      <c r="X3478" s="7">
        <v>2.7189999999999999</v>
      </c>
      <c r="Y3478" s="7">
        <v>3.0630000000000002</v>
      </c>
      <c r="Z3478" s="7">
        <v>3.0630000000000002</v>
      </c>
      <c r="AA3478" s="6">
        <v>31.24</v>
      </c>
      <c r="AB3478" s="7">
        <v>9.9580000000000002</v>
      </c>
      <c r="AC3478" s="2"/>
    </row>
    <row r="3479" spans="1:29" ht="91" x14ac:dyDescent="0.15">
      <c r="A3479" s="3">
        <f>DATE(1997,11,13)</f>
        <v>35747</v>
      </c>
      <c r="B3479" s="3">
        <f>DATE(1998,3,25)</f>
        <v>35879</v>
      </c>
      <c r="C3479" s="2" t="s">
        <v>95</v>
      </c>
      <c r="D3479" s="2" t="s">
        <v>10936</v>
      </c>
      <c r="E3479" s="2" t="s">
        <v>10937</v>
      </c>
      <c r="F3479" s="4">
        <v>7011</v>
      </c>
      <c r="G3479" s="2" t="s">
        <v>269</v>
      </c>
      <c r="H3479" s="2" t="s">
        <v>34</v>
      </c>
      <c r="I3479" s="2" t="s">
        <v>51</v>
      </c>
      <c r="J3479" s="2" t="s">
        <v>52</v>
      </c>
      <c r="K3479" s="2" t="s">
        <v>53</v>
      </c>
      <c r="L3479" s="2" t="s">
        <v>34</v>
      </c>
      <c r="M3479" s="2"/>
      <c r="N3479" s="2"/>
      <c r="O3479" s="2"/>
      <c r="P3479" s="2" t="s">
        <v>10938</v>
      </c>
      <c r="Q3479" s="6">
        <v>100</v>
      </c>
      <c r="R3479" s="6">
        <v>17.25</v>
      </c>
      <c r="S3479" s="5">
        <v>-3.8</v>
      </c>
      <c r="T3479" s="7">
        <v>9.7919999999999998</v>
      </c>
      <c r="U3479" s="5">
        <v>12.7</v>
      </c>
      <c r="V3479" s="7">
        <v>-0.871</v>
      </c>
      <c r="W3479" s="5">
        <v>16.5</v>
      </c>
      <c r="X3479" s="5">
        <v>15.5</v>
      </c>
      <c r="Y3479" s="7">
        <v>15.875</v>
      </c>
      <c r="Z3479" s="7">
        <v>16.625</v>
      </c>
      <c r="AA3479" s="6">
        <v>13.48</v>
      </c>
      <c r="AB3479" s="7">
        <v>287.10500000000002</v>
      </c>
      <c r="AC3479" s="2"/>
    </row>
    <row r="3480" spans="1:29" ht="130" x14ac:dyDescent="0.15">
      <c r="A3480" s="3">
        <f>DATE(1997,11,13)</f>
        <v>35747</v>
      </c>
      <c r="B3480" s="3">
        <f>DATE(1998,6,15)</f>
        <v>35961</v>
      </c>
      <c r="C3480" s="2" t="s">
        <v>95</v>
      </c>
      <c r="D3480" s="2" t="s">
        <v>10939</v>
      </c>
      <c r="E3480" s="2" t="s">
        <v>10940</v>
      </c>
      <c r="F3480" s="4">
        <v>6798</v>
      </c>
      <c r="G3480" s="2" t="s">
        <v>53</v>
      </c>
      <c r="H3480" s="2" t="s">
        <v>34</v>
      </c>
      <c r="I3480" s="2" t="s">
        <v>10941</v>
      </c>
      <c r="J3480" s="2" t="s">
        <v>92</v>
      </c>
      <c r="K3480" s="2" t="s">
        <v>53</v>
      </c>
      <c r="L3480" s="2" t="s">
        <v>34</v>
      </c>
      <c r="M3480" s="7">
        <v>417.96800000000002</v>
      </c>
      <c r="N3480" s="7">
        <v>14.188000000000001</v>
      </c>
      <c r="O3480" s="7">
        <v>14.438000000000001</v>
      </c>
      <c r="P3480" s="2" t="s">
        <v>10942</v>
      </c>
      <c r="Q3480" s="6">
        <v>100</v>
      </c>
      <c r="R3480" s="6">
        <v>12.9</v>
      </c>
      <c r="S3480" s="5">
        <v>-4.3</v>
      </c>
      <c r="T3480" s="7">
        <v>51.698</v>
      </c>
      <c r="U3480" s="5">
        <v>14.6</v>
      </c>
      <c r="V3480" s="6">
        <v>-0.18</v>
      </c>
      <c r="W3480" s="7">
        <v>13.188000000000001</v>
      </c>
      <c r="X3480" s="7">
        <v>12.563000000000001</v>
      </c>
      <c r="Y3480" s="4">
        <v>12</v>
      </c>
      <c r="Z3480" s="4">
        <v>12</v>
      </c>
      <c r="AA3480" s="6">
        <v>24.07</v>
      </c>
      <c r="AB3480" s="7">
        <v>132.02699999999999</v>
      </c>
      <c r="AC3480" s="6">
        <v>48.11</v>
      </c>
    </row>
    <row r="3481" spans="1:29" ht="156" x14ac:dyDescent="0.15">
      <c r="A3481" s="3">
        <f>DATE(1997,11,13)</f>
        <v>35747</v>
      </c>
      <c r="B3481" s="3">
        <f>DATE(1998,3,11)</f>
        <v>35865</v>
      </c>
      <c r="C3481" s="2" t="s">
        <v>95</v>
      </c>
      <c r="D3481" s="2" t="s">
        <v>9996</v>
      </c>
      <c r="E3481" s="2" t="s">
        <v>612</v>
      </c>
      <c r="F3481" s="4">
        <v>1311</v>
      </c>
      <c r="G3481" s="2" t="s">
        <v>148</v>
      </c>
      <c r="H3481" s="2" t="s">
        <v>34</v>
      </c>
      <c r="I3481" s="2" t="s">
        <v>10943</v>
      </c>
      <c r="J3481" s="2" t="s">
        <v>1608</v>
      </c>
      <c r="K3481" s="2" t="s">
        <v>148</v>
      </c>
      <c r="L3481" s="2" t="s">
        <v>34</v>
      </c>
      <c r="M3481" s="2"/>
      <c r="N3481" s="7">
        <v>9.5630000000000006</v>
      </c>
      <c r="O3481" s="7">
        <v>9.5630000000000006</v>
      </c>
      <c r="P3481" s="2" t="s">
        <v>10944</v>
      </c>
      <c r="Q3481" s="6">
        <v>100</v>
      </c>
      <c r="R3481" s="6">
        <v>13.33</v>
      </c>
      <c r="S3481" s="5">
        <v>4.2</v>
      </c>
      <c r="T3481" s="7">
        <v>36.536000000000001</v>
      </c>
      <c r="U3481" s="5">
        <v>6.7</v>
      </c>
      <c r="V3481" s="6">
        <v>0.21</v>
      </c>
      <c r="W3481" s="4">
        <v>12</v>
      </c>
      <c r="X3481" s="7">
        <v>12.375</v>
      </c>
      <c r="Y3481" s="7">
        <v>12.859</v>
      </c>
      <c r="Z3481" s="7">
        <v>12.813000000000001</v>
      </c>
      <c r="AA3481" s="6">
        <v>19.77</v>
      </c>
      <c r="AB3481" s="7">
        <v>27.635999999999999</v>
      </c>
      <c r="AC3481" s="6">
        <v>51.64</v>
      </c>
    </row>
    <row r="3482" spans="1:29" ht="104" x14ac:dyDescent="0.15">
      <c r="A3482" s="3">
        <f>DATE(1997,11,14)</f>
        <v>35748</v>
      </c>
      <c r="B3482" s="3">
        <f>DATE(1998,4,15)</f>
        <v>35900</v>
      </c>
      <c r="C3482" s="2" t="s">
        <v>95</v>
      </c>
      <c r="D3482" s="2" t="s">
        <v>10945</v>
      </c>
      <c r="E3482" s="2" t="s">
        <v>389</v>
      </c>
      <c r="F3482" s="4">
        <v>6035</v>
      </c>
      <c r="G3482" s="2" t="s">
        <v>33</v>
      </c>
      <c r="H3482" s="2" t="s">
        <v>34</v>
      </c>
      <c r="I3482" s="2" t="s">
        <v>10946</v>
      </c>
      <c r="J3482" s="2" t="s">
        <v>2898</v>
      </c>
      <c r="K3482" s="2" t="s">
        <v>37</v>
      </c>
      <c r="L3482" s="2" t="s">
        <v>34</v>
      </c>
      <c r="M3482" s="7">
        <v>106.30500000000001</v>
      </c>
      <c r="N3482" s="5">
        <v>28.5</v>
      </c>
      <c r="O3482" s="7">
        <v>28.875</v>
      </c>
      <c r="P3482" s="2" t="s">
        <v>10947</v>
      </c>
      <c r="Q3482" s="6">
        <v>100</v>
      </c>
      <c r="R3482" s="2"/>
      <c r="S3482" s="5">
        <v>1.7</v>
      </c>
      <c r="T3482" s="7">
        <v>3.258</v>
      </c>
      <c r="U3482" s="5">
        <v>14.1</v>
      </c>
      <c r="V3482" s="7">
        <v>1.5289999999999999</v>
      </c>
      <c r="W3482" s="4">
        <v>26</v>
      </c>
      <c r="X3482" s="4">
        <v>25</v>
      </c>
      <c r="Y3482" s="4">
        <v>27</v>
      </c>
      <c r="Z3482" s="7">
        <v>26.625</v>
      </c>
      <c r="AA3482" s="6">
        <v>1.1000000000000001</v>
      </c>
      <c r="AB3482" s="7">
        <v>76.697000000000003</v>
      </c>
      <c r="AC3482" s="2"/>
    </row>
    <row r="3483" spans="1:29" ht="143" x14ac:dyDescent="0.15">
      <c r="A3483" s="3">
        <f t="shared" ref="A3483:A3488" si="48">DATE(1997,11,17)</f>
        <v>35751</v>
      </c>
      <c r="B3483" s="3">
        <f>DATE(1998,5,12)</f>
        <v>35927</v>
      </c>
      <c r="C3483" s="2" t="s">
        <v>95</v>
      </c>
      <c r="D3483" s="2" t="s">
        <v>10948</v>
      </c>
      <c r="E3483" s="2" t="s">
        <v>1181</v>
      </c>
      <c r="F3483" s="4">
        <v>6021</v>
      </c>
      <c r="G3483" s="2" t="s">
        <v>37</v>
      </c>
      <c r="H3483" s="2" t="s">
        <v>34</v>
      </c>
      <c r="I3483" s="2" t="s">
        <v>10949</v>
      </c>
      <c r="J3483" s="2" t="s">
        <v>1181</v>
      </c>
      <c r="K3483" s="2" t="s">
        <v>37</v>
      </c>
      <c r="L3483" s="2" t="s">
        <v>34</v>
      </c>
      <c r="M3483" s="6">
        <v>336.16</v>
      </c>
      <c r="N3483" s="6">
        <v>61.75</v>
      </c>
      <c r="O3483" s="4">
        <v>62</v>
      </c>
      <c r="P3483" s="2" t="s">
        <v>10950</v>
      </c>
      <c r="Q3483" s="6">
        <v>100</v>
      </c>
      <c r="R3483" s="6">
        <v>26.56</v>
      </c>
      <c r="S3483" s="5">
        <v>5.4</v>
      </c>
      <c r="T3483" s="7">
        <v>7.3970000000000002</v>
      </c>
      <c r="U3483" s="5">
        <v>7.2</v>
      </c>
      <c r="V3483" s="7">
        <v>1.0609999999999999</v>
      </c>
      <c r="W3483" s="6">
        <v>18.75</v>
      </c>
      <c r="X3483" s="6">
        <v>18.25</v>
      </c>
      <c r="Y3483" s="6">
        <v>19.25</v>
      </c>
      <c r="Z3483" s="6">
        <v>23.75</v>
      </c>
      <c r="AA3483" s="6">
        <v>5.08</v>
      </c>
      <c r="AB3483" s="7">
        <v>77.680000000000007</v>
      </c>
      <c r="AC3483" s="2"/>
    </row>
    <row r="3484" spans="1:29" ht="130" x14ac:dyDescent="0.15">
      <c r="A3484" s="3">
        <f t="shared" si="48"/>
        <v>35751</v>
      </c>
      <c r="B3484" s="3">
        <f>DATE(1998,2,26)</f>
        <v>35852</v>
      </c>
      <c r="C3484" s="2" t="s">
        <v>95</v>
      </c>
      <c r="D3484" s="2" t="s">
        <v>10951</v>
      </c>
      <c r="E3484" s="2" t="s">
        <v>7963</v>
      </c>
      <c r="F3484" s="4">
        <v>6153</v>
      </c>
      <c r="G3484" s="2" t="s">
        <v>370</v>
      </c>
      <c r="H3484" s="2" t="s">
        <v>34</v>
      </c>
      <c r="I3484" s="2" t="s">
        <v>7551</v>
      </c>
      <c r="J3484" s="2" t="s">
        <v>7552</v>
      </c>
      <c r="K3484" s="2" t="s">
        <v>125</v>
      </c>
      <c r="L3484" s="2" t="s">
        <v>34</v>
      </c>
      <c r="M3484" s="7">
        <v>380.45299999999997</v>
      </c>
      <c r="N3484" s="7">
        <v>25.687999999999999</v>
      </c>
      <c r="O3484" s="7">
        <v>24.562999999999999</v>
      </c>
      <c r="P3484" s="2" t="s">
        <v>10952</v>
      </c>
      <c r="Q3484" s="6">
        <v>100</v>
      </c>
      <c r="R3484" s="6">
        <v>20.399999999999999</v>
      </c>
      <c r="S3484" s="5">
        <v>2.6</v>
      </c>
      <c r="T3484" s="7">
        <v>7.5339999999999998</v>
      </c>
      <c r="U3484" s="5">
        <v>5.6</v>
      </c>
      <c r="V3484" s="7">
        <v>0.61599999999999999</v>
      </c>
      <c r="W3484" s="6">
        <v>10.75</v>
      </c>
      <c r="X3484" s="6">
        <v>10.75</v>
      </c>
      <c r="Y3484" s="5">
        <v>12.5</v>
      </c>
      <c r="Z3484" s="7">
        <v>15.875</v>
      </c>
      <c r="AA3484" s="6">
        <v>6.14</v>
      </c>
      <c r="AB3484" s="7">
        <v>23.576000000000001</v>
      </c>
      <c r="AC3484" s="6">
        <v>48.79</v>
      </c>
    </row>
    <row r="3485" spans="1:29" ht="65" x14ac:dyDescent="0.15">
      <c r="A3485" s="3">
        <f t="shared" si="48"/>
        <v>35751</v>
      </c>
      <c r="B3485" s="2"/>
      <c r="C3485" s="2" t="s">
        <v>30</v>
      </c>
      <c r="D3485" s="2" t="s">
        <v>10953</v>
      </c>
      <c r="E3485" s="2" t="s">
        <v>92</v>
      </c>
      <c r="F3485" s="4">
        <v>6798</v>
      </c>
      <c r="G3485" s="2" t="s">
        <v>53</v>
      </c>
      <c r="H3485" s="2" t="s">
        <v>34</v>
      </c>
      <c r="I3485" s="2" t="s">
        <v>10954</v>
      </c>
      <c r="J3485" s="2" t="s">
        <v>92</v>
      </c>
      <c r="K3485" s="2" t="s">
        <v>53</v>
      </c>
      <c r="L3485" s="2" t="s">
        <v>34</v>
      </c>
      <c r="M3485" s="7">
        <v>435.928</v>
      </c>
      <c r="N3485" s="7">
        <v>18.875</v>
      </c>
      <c r="O3485" s="6">
        <v>18.75</v>
      </c>
      <c r="P3485" s="2" t="s">
        <v>10955</v>
      </c>
      <c r="Q3485" s="2"/>
      <c r="R3485" s="6">
        <v>42</v>
      </c>
      <c r="S3485" s="5">
        <v>16.899999999999999</v>
      </c>
      <c r="T3485" s="7">
        <v>27.239000000000001</v>
      </c>
      <c r="U3485" s="5">
        <v>26.1</v>
      </c>
      <c r="V3485" s="6">
        <v>1.98</v>
      </c>
      <c r="W3485" s="6">
        <v>39.25</v>
      </c>
      <c r="X3485" s="7">
        <v>39.688000000000002</v>
      </c>
      <c r="Y3485" s="7">
        <v>39.813000000000002</v>
      </c>
      <c r="Z3485" s="4">
        <v>40</v>
      </c>
      <c r="AA3485" s="6">
        <v>11.69</v>
      </c>
      <c r="AB3485" s="7">
        <v>36.503</v>
      </c>
      <c r="AC3485" s="2"/>
    </row>
    <row r="3486" spans="1:29" ht="169" x14ac:dyDescent="0.15">
      <c r="A3486" s="3">
        <f t="shared" si="48"/>
        <v>35751</v>
      </c>
      <c r="B3486" s="3">
        <f>DATE(1998,3,10)</f>
        <v>35864</v>
      </c>
      <c r="C3486" s="2" t="s">
        <v>95</v>
      </c>
      <c r="D3486" s="2" t="s">
        <v>10128</v>
      </c>
      <c r="E3486" s="2" t="s">
        <v>1402</v>
      </c>
      <c r="F3486" s="4">
        <v>3661</v>
      </c>
      <c r="G3486" s="2" t="s">
        <v>921</v>
      </c>
      <c r="H3486" s="2" t="s">
        <v>34</v>
      </c>
      <c r="I3486" s="2" t="s">
        <v>9838</v>
      </c>
      <c r="J3486" s="2" t="s">
        <v>973</v>
      </c>
      <c r="K3486" s="2" t="s">
        <v>63</v>
      </c>
      <c r="L3486" s="2" t="s">
        <v>34</v>
      </c>
      <c r="M3486" s="7">
        <v>869.14599999999996</v>
      </c>
      <c r="N3486" s="6">
        <v>44.75</v>
      </c>
      <c r="O3486" s="7">
        <v>43.625</v>
      </c>
      <c r="P3486" s="2" t="s">
        <v>10956</v>
      </c>
      <c r="Q3486" s="6">
        <v>79.94</v>
      </c>
      <c r="R3486" s="6">
        <v>15</v>
      </c>
      <c r="S3486" s="5">
        <v>-4.5999999999999996</v>
      </c>
      <c r="T3486" s="6">
        <v>49.39</v>
      </c>
      <c r="U3486" s="5">
        <v>2.6</v>
      </c>
      <c r="V3486" s="7">
        <v>-0.58499999999999996</v>
      </c>
      <c r="W3486" s="6">
        <v>7.25</v>
      </c>
      <c r="X3486" s="4">
        <v>9</v>
      </c>
      <c r="Y3486" s="7">
        <v>9.375</v>
      </c>
      <c r="Z3486" s="4">
        <v>9</v>
      </c>
      <c r="AA3486" s="6">
        <v>17.170000000000002</v>
      </c>
      <c r="AB3486" s="7">
        <v>20.187000000000001</v>
      </c>
      <c r="AC3486" s="6">
        <v>222.26</v>
      </c>
    </row>
    <row r="3487" spans="1:29" ht="221" x14ac:dyDescent="0.15">
      <c r="A3487" s="3">
        <f t="shared" si="48"/>
        <v>35751</v>
      </c>
      <c r="B3487" s="2"/>
      <c r="C3487" s="2" t="s">
        <v>30</v>
      </c>
      <c r="D3487" s="2" t="s">
        <v>10957</v>
      </c>
      <c r="E3487" s="2" t="s">
        <v>10958</v>
      </c>
      <c r="F3487" s="4">
        <v>7311</v>
      </c>
      <c r="G3487" s="2" t="s">
        <v>4563</v>
      </c>
      <c r="H3487" s="2" t="s">
        <v>34</v>
      </c>
      <c r="I3487" s="2" t="s">
        <v>10959</v>
      </c>
      <c r="J3487" s="2" t="s">
        <v>10960</v>
      </c>
      <c r="K3487" s="2" t="s">
        <v>4563</v>
      </c>
      <c r="L3487" s="2" t="s">
        <v>133</v>
      </c>
      <c r="M3487" s="2"/>
      <c r="N3487" s="2"/>
      <c r="O3487" s="2"/>
      <c r="P3487" s="2" t="s">
        <v>10961</v>
      </c>
      <c r="Q3487" s="2"/>
      <c r="R3487" s="6">
        <v>28</v>
      </c>
      <c r="S3487" s="5">
        <v>27.8</v>
      </c>
      <c r="T3487" s="7">
        <v>42.747</v>
      </c>
      <c r="U3487" s="5">
        <v>10.1</v>
      </c>
      <c r="V3487" s="6">
        <v>1.2</v>
      </c>
      <c r="W3487" s="6">
        <v>22.25</v>
      </c>
      <c r="X3487" s="7">
        <v>23.062999999999999</v>
      </c>
      <c r="Y3487" s="7">
        <v>24.875</v>
      </c>
      <c r="Z3487" s="7">
        <v>25.875</v>
      </c>
      <c r="AA3487" s="6">
        <v>25.27</v>
      </c>
      <c r="AB3487" s="7">
        <v>30.411000000000001</v>
      </c>
      <c r="AC3487" s="6">
        <v>256.75</v>
      </c>
    </row>
    <row r="3488" spans="1:29" ht="117" x14ac:dyDescent="0.15">
      <c r="A3488" s="3">
        <f t="shared" si="48"/>
        <v>35751</v>
      </c>
      <c r="B3488" s="3">
        <f>DATE(1998,3,2)</f>
        <v>35856</v>
      </c>
      <c r="C3488" s="2" t="s">
        <v>95</v>
      </c>
      <c r="D3488" s="2" t="s">
        <v>10962</v>
      </c>
      <c r="E3488" s="2" t="s">
        <v>10963</v>
      </c>
      <c r="F3488" s="4">
        <v>7372</v>
      </c>
      <c r="G3488" s="2" t="s">
        <v>551</v>
      </c>
      <c r="H3488" s="2" t="s">
        <v>34</v>
      </c>
      <c r="I3488" s="2" t="s">
        <v>2091</v>
      </c>
      <c r="J3488" s="2" t="s">
        <v>781</v>
      </c>
      <c r="K3488" s="2" t="s">
        <v>551</v>
      </c>
      <c r="L3488" s="2" t="s">
        <v>34</v>
      </c>
      <c r="M3488" s="7">
        <v>382.964</v>
      </c>
      <c r="N3488" s="4">
        <v>12</v>
      </c>
      <c r="O3488" s="7">
        <v>10.375</v>
      </c>
      <c r="P3488" s="2" t="s">
        <v>10964</v>
      </c>
      <c r="Q3488" s="6">
        <v>100</v>
      </c>
      <c r="R3488" s="6">
        <v>9.84</v>
      </c>
      <c r="S3488" s="5">
        <v>-10.6</v>
      </c>
      <c r="T3488" s="7">
        <v>-9.282</v>
      </c>
      <c r="U3488" s="5">
        <v>1.5</v>
      </c>
      <c r="V3488" s="7">
        <v>-0.76800000000000002</v>
      </c>
      <c r="W3488" s="4">
        <v>6</v>
      </c>
      <c r="X3488" s="7">
        <v>5.125</v>
      </c>
      <c r="Y3488" s="6">
        <v>5.25</v>
      </c>
      <c r="Z3488" s="6">
        <v>7.75</v>
      </c>
      <c r="AA3488" s="6">
        <v>14.52</v>
      </c>
      <c r="AB3488" s="2" t="s">
        <v>86</v>
      </c>
      <c r="AC3488" s="6">
        <v>54.36</v>
      </c>
    </row>
    <row r="3489" spans="1:29" ht="156" x14ac:dyDescent="0.15">
      <c r="A3489" s="3">
        <f>DATE(1997,11,18)</f>
        <v>35752</v>
      </c>
      <c r="B3489" s="3">
        <f>DATE(1998,4,28)</f>
        <v>35913</v>
      </c>
      <c r="C3489" s="2" t="s">
        <v>95</v>
      </c>
      <c r="D3489" s="2" t="s">
        <v>1698</v>
      </c>
      <c r="E3489" s="2" t="s">
        <v>36</v>
      </c>
      <c r="F3489" s="4">
        <v>6022</v>
      </c>
      <c r="G3489" s="2" t="s">
        <v>37</v>
      </c>
      <c r="H3489" s="2" t="s">
        <v>34</v>
      </c>
      <c r="I3489" s="2" t="s">
        <v>2897</v>
      </c>
      <c r="J3489" s="2" t="s">
        <v>2898</v>
      </c>
      <c r="K3489" s="2" t="s">
        <v>37</v>
      </c>
      <c r="L3489" s="2" t="s">
        <v>34</v>
      </c>
      <c r="M3489" s="12">
        <v>28782.405999999999</v>
      </c>
      <c r="N3489" s="6">
        <v>50.25</v>
      </c>
      <c r="O3489" s="5">
        <v>49.5</v>
      </c>
      <c r="P3489" s="2" t="s">
        <v>10965</v>
      </c>
      <c r="Q3489" s="6">
        <v>100</v>
      </c>
      <c r="R3489" s="6">
        <v>84.95</v>
      </c>
      <c r="S3489" s="5">
        <v>649.1</v>
      </c>
      <c r="T3489" s="12">
        <v>1285.1780000000001</v>
      </c>
      <c r="U3489" s="5">
        <v>17.2</v>
      </c>
      <c r="V3489" s="6">
        <v>2.97</v>
      </c>
      <c r="W3489" s="7">
        <v>71.875</v>
      </c>
      <c r="X3489" s="5">
        <v>72.5</v>
      </c>
      <c r="Y3489" s="4">
        <v>79</v>
      </c>
      <c r="Z3489" s="7">
        <v>78.063000000000002</v>
      </c>
      <c r="AA3489" s="6">
        <v>197.81</v>
      </c>
      <c r="AB3489" s="7">
        <v>20.635000000000002</v>
      </c>
      <c r="AC3489" s="2"/>
    </row>
    <row r="3490" spans="1:29" ht="143" x14ac:dyDescent="0.15">
      <c r="A3490" s="3">
        <f>DATE(1997,11,18)</f>
        <v>35752</v>
      </c>
      <c r="B3490" s="3">
        <f>DATE(1998,1,8)</f>
        <v>35803</v>
      </c>
      <c r="C3490" s="2" t="s">
        <v>95</v>
      </c>
      <c r="D3490" s="2" t="s">
        <v>10966</v>
      </c>
      <c r="E3490" s="2" t="s">
        <v>10967</v>
      </c>
      <c r="F3490" s="4">
        <v>7291</v>
      </c>
      <c r="G3490" s="2" t="s">
        <v>1517</v>
      </c>
      <c r="H3490" s="2" t="s">
        <v>34</v>
      </c>
      <c r="I3490" s="2" t="s">
        <v>9795</v>
      </c>
      <c r="J3490" s="2" t="s">
        <v>2071</v>
      </c>
      <c r="K3490" s="2" t="s">
        <v>109</v>
      </c>
      <c r="L3490" s="2" t="s">
        <v>34</v>
      </c>
      <c r="M3490" s="12">
        <v>5013.3109999999997</v>
      </c>
      <c r="N3490" s="7">
        <v>28.312999999999999</v>
      </c>
      <c r="O3490" s="6">
        <v>28.25</v>
      </c>
      <c r="P3490" s="2" t="s">
        <v>10968</v>
      </c>
      <c r="Q3490" s="6">
        <v>100</v>
      </c>
      <c r="R3490" s="6">
        <v>68</v>
      </c>
      <c r="S3490" s="5">
        <v>9.5</v>
      </c>
      <c r="T3490" s="2"/>
      <c r="U3490" s="5">
        <v>6.7</v>
      </c>
      <c r="V3490" s="7">
        <v>1.7110000000000001</v>
      </c>
      <c r="W3490" s="7">
        <v>55.875</v>
      </c>
      <c r="X3490" s="6">
        <v>53.75</v>
      </c>
      <c r="Y3490" s="5">
        <v>51.5</v>
      </c>
      <c r="Z3490" s="7">
        <v>66.938000000000002</v>
      </c>
      <c r="AA3490" s="6">
        <v>6.66</v>
      </c>
      <c r="AB3490" s="7">
        <v>32.859000000000002</v>
      </c>
      <c r="AC3490" s="6">
        <v>622.28</v>
      </c>
    </row>
    <row r="3491" spans="1:29" ht="26" x14ac:dyDescent="0.15">
      <c r="A3491" s="3">
        <f>DATE(1997,11,18)</f>
        <v>35752</v>
      </c>
      <c r="B3491" s="2"/>
      <c r="C3491" s="2" t="s">
        <v>189</v>
      </c>
      <c r="D3491" s="2" t="s">
        <v>10969</v>
      </c>
      <c r="E3491" s="2" t="s">
        <v>3322</v>
      </c>
      <c r="F3491" s="4">
        <v>8711</v>
      </c>
      <c r="G3491" s="2" t="s">
        <v>223</v>
      </c>
      <c r="H3491" s="2" t="s">
        <v>34</v>
      </c>
      <c r="I3491" s="2" t="s">
        <v>143</v>
      </c>
      <c r="J3491" s="2" t="s">
        <v>144</v>
      </c>
      <c r="K3491" s="2" t="s">
        <v>53</v>
      </c>
      <c r="L3491" s="2" t="s">
        <v>139</v>
      </c>
      <c r="M3491" s="2"/>
      <c r="N3491" s="2"/>
      <c r="O3491" s="2"/>
      <c r="P3491" s="2" t="s">
        <v>10970</v>
      </c>
      <c r="Q3491" s="2"/>
      <c r="R3491" s="2"/>
      <c r="S3491" s="5">
        <v>-61.2</v>
      </c>
      <c r="T3491" s="7">
        <v>-25.113</v>
      </c>
      <c r="U3491" s="5">
        <v>2.7</v>
      </c>
      <c r="V3491" s="6">
        <v>2.62</v>
      </c>
      <c r="W3491" s="7">
        <v>1.9379999999999999</v>
      </c>
      <c r="X3491" s="7">
        <v>1.125</v>
      </c>
      <c r="Y3491" s="6">
        <v>0.75</v>
      </c>
      <c r="Z3491" s="7">
        <v>0.56299999999999994</v>
      </c>
      <c r="AA3491" s="6">
        <v>23.67</v>
      </c>
      <c r="AB3491" s="2" t="s">
        <v>86</v>
      </c>
      <c r="AC3491" s="2"/>
    </row>
    <row r="3492" spans="1:29" ht="130" x14ac:dyDescent="0.15">
      <c r="A3492" s="3">
        <f>DATE(1997,11,18)</f>
        <v>35752</v>
      </c>
      <c r="B3492" s="3">
        <f>DATE(1998,7,1)</f>
        <v>35977</v>
      </c>
      <c r="C3492" s="2" t="s">
        <v>95</v>
      </c>
      <c r="D3492" s="2" t="s">
        <v>10971</v>
      </c>
      <c r="E3492" s="2" t="s">
        <v>36</v>
      </c>
      <c r="F3492" s="4">
        <v>6021</v>
      </c>
      <c r="G3492" s="2" t="s">
        <v>37</v>
      </c>
      <c r="H3492" s="2" t="s">
        <v>34</v>
      </c>
      <c r="I3492" s="2" t="s">
        <v>1955</v>
      </c>
      <c r="J3492" s="2" t="s">
        <v>672</v>
      </c>
      <c r="K3492" s="2" t="s">
        <v>37</v>
      </c>
      <c r="L3492" s="2" t="s">
        <v>34</v>
      </c>
      <c r="M3492" s="12">
        <v>4288.8620000000001</v>
      </c>
      <c r="N3492" s="7">
        <v>59.375</v>
      </c>
      <c r="O3492" s="6">
        <v>60.25</v>
      </c>
      <c r="P3492" s="2" t="s">
        <v>10972</v>
      </c>
      <c r="Q3492" s="6">
        <v>100</v>
      </c>
      <c r="R3492" s="6">
        <v>36</v>
      </c>
      <c r="S3492" s="5">
        <v>17.2</v>
      </c>
      <c r="T3492" s="6">
        <v>29.47</v>
      </c>
      <c r="U3492" s="5">
        <v>14.5</v>
      </c>
      <c r="V3492" s="6">
        <v>1.71</v>
      </c>
      <c r="W3492" s="5">
        <v>31.5</v>
      </c>
      <c r="X3492" s="7">
        <v>31.875</v>
      </c>
      <c r="Y3492" s="9">
        <v>34.3125</v>
      </c>
      <c r="Z3492" s="6">
        <v>34.75</v>
      </c>
      <c r="AA3492" s="6">
        <v>9.99</v>
      </c>
      <c r="AB3492" s="7">
        <v>19.611999999999998</v>
      </c>
      <c r="AC3492" s="2"/>
    </row>
    <row r="3493" spans="1:29" ht="156" x14ac:dyDescent="0.15">
      <c r="A3493" s="3">
        <f t="shared" ref="A3493:A3498" si="49">DATE(1997,11,19)</f>
        <v>35753</v>
      </c>
      <c r="B3493" s="3">
        <f>DATE(1998,2,27)</f>
        <v>35853</v>
      </c>
      <c r="C3493" s="2" t="s">
        <v>95</v>
      </c>
      <c r="D3493" s="2" t="s">
        <v>10633</v>
      </c>
      <c r="E3493" s="2" t="s">
        <v>1870</v>
      </c>
      <c r="F3493" s="4">
        <v>3577</v>
      </c>
      <c r="G3493" s="2" t="s">
        <v>50</v>
      </c>
      <c r="H3493" s="2" t="s">
        <v>34</v>
      </c>
      <c r="I3493" s="2" t="s">
        <v>10973</v>
      </c>
      <c r="J3493" s="2" t="s">
        <v>10974</v>
      </c>
      <c r="K3493" s="2" t="s">
        <v>137</v>
      </c>
      <c r="L3493" s="2" t="s">
        <v>34</v>
      </c>
      <c r="M3493" s="12">
        <v>24391.157999999999</v>
      </c>
      <c r="N3493" s="4">
        <v>98</v>
      </c>
      <c r="O3493" s="6">
        <v>103.75</v>
      </c>
      <c r="P3493" s="2" t="s">
        <v>10975</v>
      </c>
      <c r="Q3493" s="6">
        <v>100</v>
      </c>
      <c r="R3493" s="6">
        <v>20</v>
      </c>
      <c r="S3493" s="5">
        <v>-12.2</v>
      </c>
      <c r="T3493" s="7">
        <v>-10.614000000000001</v>
      </c>
      <c r="U3493" s="5">
        <v>0.3</v>
      </c>
      <c r="V3493" s="6">
        <v>-0.66</v>
      </c>
      <c r="W3493" s="7">
        <v>13.875</v>
      </c>
      <c r="X3493" s="7">
        <v>15.188000000000001</v>
      </c>
      <c r="Y3493" s="6">
        <v>19.75</v>
      </c>
      <c r="Z3493" s="7">
        <v>19.687999999999999</v>
      </c>
      <c r="AA3493" s="6">
        <v>19.75</v>
      </c>
      <c r="AB3493" s="2" t="s">
        <v>86</v>
      </c>
      <c r="AC3493" s="5">
        <v>978</v>
      </c>
    </row>
    <row r="3494" spans="1:29" ht="182" x14ac:dyDescent="0.15">
      <c r="A3494" s="3">
        <f t="shared" si="49"/>
        <v>35753</v>
      </c>
      <c r="B3494" s="3">
        <f>DATE(1998,5,1)</f>
        <v>35916</v>
      </c>
      <c r="C3494" s="2" t="s">
        <v>95</v>
      </c>
      <c r="D3494" s="2" t="s">
        <v>10976</v>
      </c>
      <c r="E3494" s="2" t="s">
        <v>1181</v>
      </c>
      <c r="F3494" s="4">
        <v>6022</v>
      </c>
      <c r="G3494" s="2" t="s">
        <v>37</v>
      </c>
      <c r="H3494" s="2" t="s">
        <v>34</v>
      </c>
      <c r="I3494" s="2" t="s">
        <v>10977</v>
      </c>
      <c r="J3494" s="2" t="s">
        <v>1181</v>
      </c>
      <c r="K3494" s="2" t="s">
        <v>37</v>
      </c>
      <c r="L3494" s="2" t="s">
        <v>34</v>
      </c>
      <c r="M3494" s="7">
        <v>109.41800000000001</v>
      </c>
      <c r="N3494" s="4">
        <v>20</v>
      </c>
      <c r="O3494" s="4">
        <v>21</v>
      </c>
      <c r="P3494" s="2" t="s">
        <v>10978</v>
      </c>
      <c r="Q3494" s="6">
        <v>100</v>
      </c>
      <c r="R3494" s="6">
        <v>29.85</v>
      </c>
      <c r="S3494" s="5">
        <v>2.8</v>
      </c>
      <c r="T3494" s="7">
        <v>3.8740000000000001</v>
      </c>
      <c r="U3494" s="5">
        <v>12.4</v>
      </c>
      <c r="V3494" s="7">
        <v>1.1539999999999999</v>
      </c>
      <c r="W3494" s="7">
        <v>21.875</v>
      </c>
      <c r="X3494" s="4">
        <v>22</v>
      </c>
      <c r="Y3494" s="6">
        <v>23.75</v>
      </c>
      <c r="Z3494" s="4">
        <v>25</v>
      </c>
      <c r="AA3494" s="6">
        <v>3.47</v>
      </c>
      <c r="AB3494" s="7">
        <v>142.94200000000001</v>
      </c>
      <c r="AC3494" s="2"/>
    </row>
    <row r="3495" spans="1:29" ht="117" x14ac:dyDescent="0.15">
      <c r="A3495" s="3">
        <f t="shared" si="49"/>
        <v>35753</v>
      </c>
      <c r="B3495" s="3">
        <f>DATE(1998,5,1)</f>
        <v>35916</v>
      </c>
      <c r="C3495" s="2" t="s">
        <v>95</v>
      </c>
      <c r="D3495" s="2" t="s">
        <v>10979</v>
      </c>
      <c r="E3495" s="2" t="s">
        <v>1040</v>
      </c>
      <c r="F3495" s="4">
        <v>6035</v>
      </c>
      <c r="G3495" s="2" t="s">
        <v>33</v>
      </c>
      <c r="H3495" s="2" t="s">
        <v>34</v>
      </c>
      <c r="I3495" s="2" t="s">
        <v>1315</v>
      </c>
      <c r="J3495" s="2" t="s">
        <v>36</v>
      </c>
      <c r="K3495" s="2" t="s">
        <v>37</v>
      </c>
      <c r="L3495" s="2" t="s">
        <v>34</v>
      </c>
      <c r="M3495" s="12">
        <v>1319.8520000000001</v>
      </c>
      <c r="N3495" s="7">
        <v>39.813000000000002</v>
      </c>
      <c r="O3495" s="4">
        <v>39</v>
      </c>
      <c r="P3495" s="2" t="s">
        <v>10980</v>
      </c>
      <c r="Q3495" s="6">
        <v>100</v>
      </c>
      <c r="R3495" s="6">
        <v>22.89</v>
      </c>
      <c r="S3495" s="5">
        <v>5.4</v>
      </c>
      <c r="T3495" s="7">
        <v>9.4640000000000004</v>
      </c>
      <c r="U3495" s="5">
        <v>14.1</v>
      </c>
      <c r="V3495" s="7">
        <v>1.2669999999999999</v>
      </c>
      <c r="W3495" s="5">
        <v>21.5</v>
      </c>
      <c r="X3495" s="7">
        <v>21.062999999999999</v>
      </c>
      <c r="Y3495" s="7">
        <v>20.875</v>
      </c>
      <c r="Z3495" s="7">
        <v>21.625</v>
      </c>
      <c r="AA3495" s="6">
        <v>4.1500000000000004</v>
      </c>
      <c r="AB3495" s="7">
        <v>41.109000000000002</v>
      </c>
      <c r="AC3495" s="2"/>
    </row>
    <row r="3496" spans="1:29" ht="143" x14ac:dyDescent="0.15">
      <c r="A3496" s="3">
        <f t="shared" si="49"/>
        <v>35753</v>
      </c>
      <c r="B3496" s="3">
        <f>DATE(1998,4,1)</f>
        <v>35886</v>
      </c>
      <c r="C3496" s="2" t="s">
        <v>95</v>
      </c>
      <c r="D3496" s="2" t="s">
        <v>10981</v>
      </c>
      <c r="E3496" s="2" t="s">
        <v>5637</v>
      </c>
      <c r="F3496" s="4">
        <v>8093</v>
      </c>
      <c r="G3496" s="2" t="s">
        <v>454</v>
      </c>
      <c r="H3496" s="2" t="s">
        <v>34</v>
      </c>
      <c r="I3496" s="2" t="s">
        <v>10982</v>
      </c>
      <c r="J3496" s="2" t="s">
        <v>10983</v>
      </c>
      <c r="K3496" s="2" t="s">
        <v>454</v>
      </c>
      <c r="L3496" s="2" t="s">
        <v>34</v>
      </c>
      <c r="M3496" s="12">
        <v>1440.4349999999999</v>
      </c>
      <c r="N3496" s="7">
        <v>27.812999999999999</v>
      </c>
      <c r="O3496" s="7">
        <v>28.125</v>
      </c>
      <c r="P3496" s="2" t="s">
        <v>10984</v>
      </c>
      <c r="Q3496" s="6">
        <v>100</v>
      </c>
      <c r="R3496" s="6">
        <v>41.55</v>
      </c>
      <c r="S3496" s="5">
        <v>19.3</v>
      </c>
      <c r="T3496" s="7">
        <v>55.542999999999999</v>
      </c>
      <c r="U3496" s="5">
        <v>5.6</v>
      </c>
      <c r="V3496" s="6">
        <v>0.77</v>
      </c>
      <c r="W3496" s="5">
        <v>35.5</v>
      </c>
      <c r="X3496" s="6">
        <v>38.25</v>
      </c>
      <c r="Y3496" s="4">
        <v>36</v>
      </c>
      <c r="Z3496" s="7">
        <v>36.438000000000002</v>
      </c>
      <c r="AA3496" s="6">
        <v>22.76</v>
      </c>
      <c r="AB3496" s="7">
        <v>34.152000000000001</v>
      </c>
      <c r="AC3496" s="6">
        <v>19.88</v>
      </c>
    </row>
    <row r="3497" spans="1:29" ht="169" x14ac:dyDescent="0.15">
      <c r="A3497" s="3">
        <f t="shared" si="49"/>
        <v>35753</v>
      </c>
      <c r="B3497" s="2"/>
      <c r="C3497" s="2" t="s">
        <v>30</v>
      </c>
      <c r="D3497" s="2" t="s">
        <v>10893</v>
      </c>
      <c r="E3497" s="2" t="s">
        <v>10894</v>
      </c>
      <c r="F3497" s="4">
        <v>7389</v>
      </c>
      <c r="G3497" s="2" t="s">
        <v>223</v>
      </c>
      <c r="H3497" s="2" t="s">
        <v>34</v>
      </c>
      <c r="I3497" s="2" t="s">
        <v>51</v>
      </c>
      <c r="J3497" s="2" t="s">
        <v>52</v>
      </c>
      <c r="K3497" s="2" t="s">
        <v>53</v>
      </c>
      <c r="L3497" s="2" t="s">
        <v>34</v>
      </c>
      <c r="M3497" s="2"/>
      <c r="N3497" s="2"/>
      <c r="O3497" s="2"/>
      <c r="P3497" s="2" t="s">
        <v>10985</v>
      </c>
      <c r="Q3497" s="2"/>
      <c r="R3497" s="6">
        <v>27</v>
      </c>
      <c r="S3497" s="5">
        <v>61.1</v>
      </c>
      <c r="T3497" s="7">
        <v>197.23099999999999</v>
      </c>
      <c r="U3497" s="5">
        <v>8.1999999999999993</v>
      </c>
      <c r="V3497" s="6">
        <v>1.05</v>
      </c>
      <c r="W3497" s="7">
        <v>21.875</v>
      </c>
      <c r="X3497" s="7">
        <v>23.937999999999999</v>
      </c>
      <c r="Y3497" s="7">
        <v>23.875</v>
      </c>
      <c r="Z3497" s="7">
        <v>23.687999999999999</v>
      </c>
      <c r="AA3497" s="6">
        <v>58.4</v>
      </c>
      <c r="AB3497" s="7">
        <v>16.076000000000001</v>
      </c>
      <c r="AC3497" s="2"/>
    </row>
    <row r="3498" spans="1:29" ht="195" x14ac:dyDescent="0.15">
      <c r="A3498" s="3">
        <f t="shared" si="49"/>
        <v>35753</v>
      </c>
      <c r="B3498" s="3">
        <f>DATE(1998,8,12)</f>
        <v>36019</v>
      </c>
      <c r="C3498" s="2" t="s">
        <v>95</v>
      </c>
      <c r="D3498" s="2" t="s">
        <v>4020</v>
      </c>
      <c r="E3498" s="2" t="s">
        <v>4021</v>
      </c>
      <c r="F3498" s="4">
        <v>4832</v>
      </c>
      <c r="G3498" s="2" t="s">
        <v>45</v>
      </c>
      <c r="H3498" s="2" t="s">
        <v>34</v>
      </c>
      <c r="I3498" s="2" t="s">
        <v>51</v>
      </c>
      <c r="J3498" s="2" t="s">
        <v>52</v>
      </c>
      <c r="K3498" s="2" t="s">
        <v>53</v>
      </c>
      <c r="L3498" s="2" t="s">
        <v>34</v>
      </c>
      <c r="M3498" s="2"/>
      <c r="N3498" s="2"/>
      <c r="O3498" s="2"/>
      <c r="P3498" s="2" t="s">
        <v>10986</v>
      </c>
      <c r="Q3498" s="6">
        <v>65.819999999999993</v>
      </c>
      <c r="R3498" s="6">
        <v>44.13</v>
      </c>
      <c r="S3498" s="5">
        <v>-1.2</v>
      </c>
      <c r="T3498" s="7">
        <v>42.603000000000002</v>
      </c>
      <c r="U3498" s="5">
        <v>4.2</v>
      </c>
      <c r="V3498" s="6">
        <v>-0.12</v>
      </c>
      <c r="W3498" s="6">
        <v>34.18</v>
      </c>
      <c r="X3498" s="6">
        <v>36.869999999999997</v>
      </c>
      <c r="Y3498" s="9">
        <v>38.8125</v>
      </c>
      <c r="Z3498" s="6">
        <v>39.75</v>
      </c>
      <c r="AA3498" s="6">
        <v>10.17</v>
      </c>
      <c r="AB3498" s="7">
        <v>23.344999999999999</v>
      </c>
      <c r="AC3498" s="2"/>
    </row>
    <row r="3499" spans="1:29" ht="104" x14ac:dyDescent="0.15">
      <c r="A3499" s="3">
        <f>DATE(1997,11,20)</f>
        <v>35754</v>
      </c>
      <c r="B3499" s="2"/>
      <c r="C3499" s="2" t="s">
        <v>30</v>
      </c>
      <c r="D3499" s="2" t="s">
        <v>10987</v>
      </c>
      <c r="E3499" s="2" t="s">
        <v>10937</v>
      </c>
      <c r="F3499" s="4">
        <v>7011</v>
      </c>
      <c r="G3499" s="2" t="s">
        <v>269</v>
      </c>
      <c r="H3499" s="2" t="s">
        <v>34</v>
      </c>
      <c r="I3499" s="2" t="s">
        <v>9564</v>
      </c>
      <c r="J3499" s="2" t="s">
        <v>92</v>
      </c>
      <c r="K3499" s="2" t="s">
        <v>53</v>
      </c>
      <c r="L3499" s="2" t="s">
        <v>34</v>
      </c>
      <c r="M3499" s="2"/>
      <c r="N3499" s="7">
        <v>38.125</v>
      </c>
      <c r="O3499" s="7">
        <v>38.375</v>
      </c>
      <c r="P3499" s="2" t="s">
        <v>10988</v>
      </c>
      <c r="Q3499" s="2"/>
      <c r="R3499" s="2"/>
      <c r="S3499" s="5">
        <v>6.1</v>
      </c>
      <c r="T3499" s="7">
        <v>60.890999999999998</v>
      </c>
      <c r="U3499" s="5">
        <v>11.8</v>
      </c>
      <c r="V3499" s="6">
        <v>0.2</v>
      </c>
      <c r="W3499" s="6">
        <v>32.75</v>
      </c>
      <c r="X3499" s="7">
        <v>35.563000000000002</v>
      </c>
      <c r="Y3499" s="7">
        <v>35.563000000000002</v>
      </c>
      <c r="Z3499" s="6">
        <v>36.75</v>
      </c>
      <c r="AA3499" s="6">
        <v>35.42</v>
      </c>
      <c r="AB3499" s="2" t="s">
        <v>47</v>
      </c>
      <c r="AC3499" s="6">
        <v>42.73</v>
      </c>
    </row>
    <row r="3500" spans="1:29" ht="91" x14ac:dyDescent="0.15">
      <c r="A3500" s="3">
        <f>DATE(1997,11,20)</f>
        <v>35754</v>
      </c>
      <c r="B3500" s="3">
        <f>DATE(1998,4,24)</f>
        <v>35909</v>
      </c>
      <c r="C3500" s="2" t="s">
        <v>95</v>
      </c>
      <c r="D3500" s="2" t="s">
        <v>10989</v>
      </c>
      <c r="E3500" s="2" t="s">
        <v>389</v>
      </c>
      <c r="F3500" s="4">
        <v>6035</v>
      </c>
      <c r="G3500" s="2" t="s">
        <v>33</v>
      </c>
      <c r="H3500" s="2" t="s">
        <v>34</v>
      </c>
      <c r="I3500" s="2" t="s">
        <v>6872</v>
      </c>
      <c r="J3500" s="2" t="s">
        <v>36</v>
      </c>
      <c r="K3500" s="2" t="s">
        <v>37</v>
      </c>
      <c r="L3500" s="2" t="s">
        <v>34</v>
      </c>
      <c r="M3500" s="12">
        <v>1037.4390000000001</v>
      </c>
      <c r="N3500" s="5">
        <v>50.5</v>
      </c>
      <c r="O3500" s="4">
        <v>50</v>
      </c>
      <c r="P3500" s="2" t="s">
        <v>10990</v>
      </c>
      <c r="Q3500" s="6">
        <v>100</v>
      </c>
      <c r="R3500" s="6">
        <v>73</v>
      </c>
      <c r="S3500" s="5">
        <v>2.6</v>
      </c>
      <c r="T3500" s="7">
        <v>4.2839999999999998</v>
      </c>
      <c r="U3500" s="5">
        <v>24.9</v>
      </c>
      <c r="V3500" s="7">
        <v>3.2490000000000001</v>
      </c>
      <c r="W3500" s="7">
        <v>50.375</v>
      </c>
      <c r="X3500" s="7">
        <v>51.219000000000001</v>
      </c>
      <c r="Y3500" s="7">
        <v>51.344000000000001</v>
      </c>
      <c r="Z3500" s="4">
        <v>67</v>
      </c>
      <c r="AA3500" s="6">
        <v>0.77</v>
      </c>
      <c r="AB3500" s="7">
        <v>64.891000000000005</v>
      </c>
      <c r="AC3500" s="2"/>
    </row>
    <row r="3501" spans="1:29" ht="143" x14ac:dyDescent="0.15">
      <c r="A3501" s="3">
        <f>DATE(1997,11,21)</f>
        <v>35755</v>
      </c>
      <c r="B3501" s="3">
        <f>DATE(1998,1,28)</f>
        <v>35823</v>
      </c>
      <c r="C3501" s="2" t="s">
        <v>95</v>
      </c>
      <c r="D3501" s="2" t="s">
        <v>10991</v>
      </c>
      <c r="E3501" s="2" t="s">
        <v>10992</v>
      </c>
      <c r="F3501" s="4">
        <v>7373</v>
      </c>
      <c r="G3501" s="2" t="s">
        <v>223</v>
      </c>
      <c r="H3501" s="2" t="s">
        <v>34</v>
      </c>
      <c r="I3501" s="2" t="s">
        <v>10993</v>
      </c>
      <c r="J3501" s="2" t="s">
        <v>10994</v>
      </c>
      <c r="K3501" s="2" t="s">
        <v>105</v>
      </c>
      <c r="L3501" s="2" t="s">
        <v>34</v>
      </c>
      <c r="M3501" s="2"/>
      <c r="N3501" s="7">
        <v>58.438000000000002</v>
      </c>
      <c r="O3501" s="7">
        <v>57.625</v>
      </c>
      <c r="P3501" s="2" t="s">
        <v>10995</v>
      </c>
      <c r="Q3501" s="6">
        <v>100</v>
      </c>
      <c r="R3501" s="6">
        <v>29.5</v>
      </c>
      <c r="S3501" s="2"/>
      <c r="T3501" s="2"/>
      <c r="U3501" s="2"/>
      <c r="V3501" s="2"/>
      <c r="W3501" s="7">
        <v>20.562999999999999</v>
      </c>
      <c r="X3501" s="5">
        <v>22.5</v>
      </c>
      <c r="Y3501" s="5">
        <v>29.5</v>
      </c>
      <c r="Z3501" s="7">
        <v>29.312999999999999</v>
      </c>
      <c r="AA3501" s="6">
        <v>29.71</v>
      </c>
      <c r="AB3501" s="2" t="s">
        <v>47</v>
      </c>
      <c r="AC3501" s="5">
        <v>386</v>
      </c>
    </row>
    <row r="3502" spans="1:29" ht="143" x14ac:dyDescent="0.15">
      <c r="A3502" s="3">
        <f>DATE(1997,11,21)</f>
        <v>35755</v>
      </c>
      <c r="B3502" s="3">
        <f>DATE(1998,1,20)</f>
        <v>35815</v>
      </c>
      <c r="C3502" s="2" t="s">
        <v>95</v>
      </c>
      <c r="D3502" s="2" t="s">
        <v>5174</v>
      </c>
      <c r="E3502" s="2" t="s">
        <v>5175</v>
      </c>
      <c r="F3502" s="4">
        <v>3312</v>
      </c>
      <c r="G3502" s="2" t="s">
        <v>163</v>
      </c>
      <c r="H3502" s="2" t="s">
        <v>34</v>
      </c>
      <c r="I3502" s="2" t="s">
        <v>10996</v>
      </c>
      <c r="J3502" s="2" t="s">
        <v>4024</v>
      </c>
      <c r="K3502" s="2" t="s">
        <v>163</v>
      </c>
      <c r="L3502" s="2" t="s">
        <v>902</v>
      </c>
      <c r="M3502" s="2"/>
      <c r="N3502" s="2"/>
      <c r="O3502" s="2"/>
      <c r="P3502" s="2" t="s">
        <v>10997</v>
      </c>
      <c r="Q3502" s="6">
        <v>100</v>
      </c>
      <c r="R3502" s="6">
        <v>23</v>
      </c>
      <c r="S3502" s="5">
        <v>-14.9</v>
      </c>
      <c r="T3502" s="7">
        <v>-5.1040000000000001</v>
      </c>
      <c r="U3502" s="5">
        <v>12.7</v>
      </c>
      <c r="V3502" s="6">
        <v>-2.52</v>
      </c>
      <c r="W3502" s="5">
        <v>8.5</v>
      </c>
      <c r="X3502" s="6">
        <v>8.75</v>
      </c>
      <c r="Y3502" s="7">
        <v>9.125</v>
      </c>
      <c r="Z3502" s="6">
        <v>8.75</v>
      </c>
      <c r="AA3502" s="6">
        <v>5.92</v>
      </c>
      <c r="AB3502" s="2" t="s">
        <v>86</v>
      </c>
      <c r="AC3502" s="6">
        <v>7.25</v>
      </c>
    </row>
    <row r="3503" spans="1:29" ht="78" x14ac:dyDescent="0.15">
      <c r="A3503" s="3">
        <f>DATE(1997,11,24)</f>
        <v>35758</v>
      </c>
      <c r="B3503" s="3">
        <f>DATE(1998,2,3)</f>
        <v>35829</v>
      </c>
      <c r="C3503" s="2" t="s">
        <v>95</v>
      </c>
      <c r="D3503" s="2" t="s">
        <v>9425</v>
      </c>
      <c r="E3503" s="2" t="s">
        <v>973</v>
      </c>
      <c r="F3503" s="4">
        <v>4813</v>
      </c>
      <c r="G3503" s="2" t="s">
        <v>63</v>
      </c>
      <c r="H3503" s="2" t="s">
        <v>34</v>
      </c>
      <c r="I3503" s="2" t="s">
        <v>10998</v>
      </c>
      <c r="J3503" s="2" t="s">
        <v>10999</v>
      </c>
      <c r="K3503" s="2" t="s">
        <v>63</v>
      </c>
      <c r="L3503" s="2" t="s">
        <v>34</v>
      </c>
      <c r="M3503" s="7">
        <v>122.511</v>
      </c>
      <c r="N3503" s="5">
        <v>24.5</v>
      </c>
      <c r="O3503" s="6">
        <v>23.75</v>
      </c>
      <c r="P3503" s="2" t="s">
        <v>11000</v>
      </c>
      <c r="Q3503" s="6">
        <v>100</v>
      </c>
      <c r="R3503" s="6">
        <v>10.5</v>
      </c>
      <c r="S3503" s="5">
        <v>-11.2</v>
      </c>
      <c r="T3503" s="7">
        <v>3.1520000000000001</v>
      </c>
      <c r="U3503" s="5">
        <v>2.7</v>
      </c>
      <c r="V3503" s="7">
        <v>-1.829</v>
      </c>
      <c r="W3503" s="7">
        <v>8.0630000000000006</v>
      </c>
      <c r="X3503" s="7">
        <v>8.0630000000000006</v>
      </c>
      <c r="Y3503" s="5">
        <v>8.5</v>
      </c>
      <c r="Z3503" s="4">
        <v>10</v>
      </c>
      <c r="AA3503" s="6">
        <v>6.26</v>
      </c>
      <c r="AB3503" s="2" t="s">
        <v>86</v>
      </c>
      <c r="AC3503" s="6">
        <v>4.63</v>
      </c>
    </row>
    <row r="3504" spans="1:29" ht="143" x14ac:dyDescent="0.15">
      <c r="A3504" s="3">
        <f>DATE(1997,11,24)</f>
        <v>35758</v>
      </c>
      <c r="B3504" s="3">
        <f>DATE(1998,1,7)</f>
        <v>35802</v>
      </c>
      <c r="C3504" s="2" t="s">
        <v>95</v>
      </c>
      <c r="D3504" s="2" t="s">
        <v>4002</v>
      </c>
      <c r="E3504" s="2" t="s">
        <v>4003</v>
      </c>
      <c r="F3504" s="4">
        <v>5261</v>
      </c>
      <c r="G3504" s="2" t="s">
        <v>73</v>
      </c>
      <c r="H3504" s="2" t="s">
        <v>34</v>
      </c>
      <c r="I3504" s="2" t="s">
        <v>8472</v>
      </c>
      <c r="J3504" s="2" t="s">
        <v>244</v>
      </c>
      <c r="K3504" s="2" t="s">
        <v>53</v>
      </c>
      <c r="L3504" s="2" t="s">
        <v>34</v>
      </c>
      <c r="M3504" s="2"/>
      <c r="N3504" s="2"/>
      <c r="O3504" s="2"/>
      <c r="P3504" s="2" t="s">
        <v>11001</v>
      </c>
      <c r="Q3504" s="6">
        <v>100</v>
      </c>
      <c r="R3504" s="6">
        <v>5.5</v>
      </c>
      <c r="S3504" s="5">
        <v>-10.9</v>
      </c>
      <c r="T3504" s="7">
        <v>31.678999999999998</v>
      </c>
      <c r="U3504" s="5">
        <v>4.2</v>
      </c>
      <c r="V3504" s="7">
        <v>-0.44500000000000001</v>
      </c>
      <c r="W3504" s="7">
        <v>3.375</v>
      </c>
      <c r="X3504" s="7">
        <v>3.4380000000000002</v>
      </c>
      <c r="Y3504" s="7">
        <v>5.3129999999999997</v>
      </c>
      <c r="Z3504" s="7">
        <v>5.375</v>
      </c>
      <c r="AA3504" s="6">
        <v>24.41</v>
      </c>
      <c r="AB3504" s="7">
        <v>27.788</v>
      </c>
      <c r="AC3504" s="2"/>
    </row>
    <row r="3505" spans="1:29" ht="52" x14ac:dyDescent="0.15">
      <c r="A3505" s="3">
        <f>DATE(1997,11,24)</f>
        <v>35758</v>
      </c>
      <c r="B3505" s="2"/>
      <c r="C3505" s="2" t="s">
        <v>30</v>
      </c>
      <c r="D3505" s="2" t="s">
        <v>11002</v>
      </c>
      <c r="E3505" s="2" t="s">
        <v>367</v>
      </c>
      <c r="F3505" s="4">
        <v>6211</v>
      </c>
      <c r="G3505" s="2" t="s">
        <v>53</v>
      </c>
      <c r="H3505" s="2" t="s">
        <v>34</v>
      </c>
      <c r="I3505" s="2" t="s">
        <v>11003</v>
      </c>
      <c r="J3505" s="2" t="s">
        <v>11004</v>
      </c>
      <c r="K3505" s="2" t="s">
        <v>53</v>
      </c>
      <c r="L3505" s="2" t="s">
        <v>34</v>
      </c>
      <c r="M3505" s="2"/>
      <c r="N3505" s="6">
        <v>68.75</v>
      </c>
      <c r="O3505" s="7">
        <v>68.875</v>
      </c>
      <c r="P3505" s="2" t="s">
        <v>11005</v>
      </c>
      <c r="Q3505" s="2"/>
      <c r="R3505" s="2"/>
      <c r="S3505" s="5">
        <v>43.2</v>
      </c>
      <c r="T3505" s="7">
        <v>104.721</v>
      </c>
      <c r="U3505" s="5">
        <v>12.5</v>
      </c>
      <c r="V3505" s="6">
        <v>1.68</v>
      </c>
      <c r="W3505" s="7">
        <v>28.937999999999999</v>
      </c>
      <c r="X3505" s="7">
        <v>39.375</v>
      </c>
      <c r="Y3505" s="9">
        <v>37.5625</v>
      </c>
      <c r="Z3505" s="7">
        <v>37.375</v>
      </c>
      <c r="AA3505" s="2"/>
      <c r="AB3505" s="2" t="s">
        <v>47</v>
      </c>
      <c r="AC3505" s="8">
        <v>11183</v>
      </c>
    </row>
    <row r="3506" spans="1:29" ht="143" x14ac:dyDescent="0.15">
      <c r="A3506" s="3">
        <f>DATE(1997,11,24)</f>
        <v>35758</v>
      </c>
      <c r="B3506" s="3">
        <f>DATE(1998,3,30)</f>
        <v>35884</v>
      </c>
      <c r="C3506" s="2" t="s">
        <v>95</v>
      </c>
      <c r="D3506" s="2" t="s">
        <v>11006</v>
      </c>
      <c r="E3506" s="2" t="s">
        <v>11007</v>
      </c>
      <c r="F3506" s="4">
        <v>2911</v>
      </c>
      <c r="G3506" s="2" t="s">
        <v>148</v>
      </c>
      <c r="H3506" s="2" t="s">
        <v>34</v>
      </c>
      <c r="I3506" s="2" t="s">
        <v>11008</v>
      </c>
      <c r="J3506" s="2" t="s">
        <v>8273</v>
      </c>
      <c r="K3506" s="2" t="s">
        <v>439</v>
      </c>
      <c r="L3506" s="2" t="s">
        <v>34</v>
      </c>
      <c r="M3506" s="2"/>
      <c r="N3506" s="9">
        <v>53.8125</v>
      </c>
      <c r="O3506" s="6">
        <v>53.25</v>
      </c>
      <c r="P3506" s="2" t="s">
        <v>11009</v>
      </c>
      <c r="Q3506" s="6">
        <v>100</v>
      </c>
      <c r="R3506" s="6">
        <v>46.15</v>
      </c>
      <c r="S3506" s="5">
        <v>97.5</v>
      </c>
      <c r="T3506" s="5">
        <v>323.7</v>
      </c>
      <c r="U3506" s="5">
        <v>11.2</v>
      </c>
      <c r="V3506" s="6">
        <v>2.27</v>
      </c>
      <c r="W3506" s="7">
        <v>33.938000000000002</v>
      </c>
      <c r="X3506" s="7">
        <v>38.125</v>
      </c>
      <c r="Y3506" s="7">
        <v>43.438000000000002</v>
      </c>
      <c r="Z3506" s="7">
        <v>43.125</v>
      </c>
      <c r="AA3506" s="6">
        <v>54.85</v>
      </c>
      <c r="AB3506" s="7">
        <v>13.125</v>
      </c>
      <c r="AC3506" s="2"/>
    </row>
    <row r="3507" spans="1:29" ht="117" x14ac:dyDescent="0.15">
      <c r="A3507" s="3">
        <f>DATE(1997,11,25)</f>
        <v>35759</v>
      </c>
      <c r="B3507" s="3">
        <f>DATE(1998,7,8)</f>
        <v>35984</v>
      </c>
      <c r="C3507" s="2" t="s">
        <v>95</v>
      </c>
      <c r="D3507" s="2" t="s">
        <v>11010</v>
      </c>
      <c r="E3507" s="2" t="s">
        <v>389</v>
      </c>
      <c r="F3507" s="4">
        <v>6035</v>
      </c>
      <c r="G3507" s="2" t="s">
        <v>33</v>
      </c>
      <c r="H3507" s="2" t="s">
        <v>34</v>
      </c>
      <c r="I3507" s="2" t="s">
        <v>1955</v>
      </c>
      <c r="J3507" s="2" t="s">
        <v>672</v>
      </c>
      <c r="K3507" s="2" t="s">
        <v>37</v>
      </c>
      <c r="L3507" s="2" t="s">
        <v>34</v>
      </c>
      <c r="M3507" s="12">
        <v>4029.3519999999999</v>
      </c>
      <c r="N3507" s="7">
        <v>60.688000000000002</v>
      </c>
      <c r="O3507" s="7">
        <v>61.063000000000002</v>
      </c>
      <c r="P3507" s="2" t="s">
        <v>11011</v>
      </c>
      <c r="Q3507" s="6">
        <v>100</v>
      </c>
      <c r="R3507" s="6">
        <v>22.85</v>
      </c>
      <c r="S3507" s="5">
        <v>1.6</v>
      </c>
      <c r="T3507" s="7">
        <v>2.8780000000000001</v>
      </c>
      <c r="U3507" s="5">
        <v>11.3</v>
      </c>
      <c r="V3507" s="6">
        <v>0.82</v>
      </c>
      <c r="W3507" s="7">
        <v>18.375</v>
      </c>
      <c r="X3507" s="6">
        <v>18.25</v>
      </c>
      <c r="Y3507" s="5">
        <v>18.5</v>
      </c>
      <c r="Z3507" s="5">
        <v>22.5</v>
      </c>
      <c r="AA3507" s="6">
        <v>1.89</v>
      </c>
      <c r="AB3507" s="7">
        <v>36.276000000000003</v>
      </c>
      <c r="AC3507" s="2"/>
    </row>
    <row r="3508" spans="1:29" ht="78" x14ac:dyDescent="0.15">
      <c r="A3508" s="3">
        <f>DATE(1997,11,26)</f>
        <v>35760</v>
      </c>
      <c r="B3508" s="3">
        <f>DATE(1998,4,23)</f>
        <v>35908</v>
      </c>
      <c r="C3508" s="2" t="s">
        <v>95</v>
      </c>
      <c r="D3508" s="2" t="s">
        <v>4752</v>
      </c>
      <c r="E3508" s="2" t="s">
        <v>973</v>
      </c>
      <c r="F3508" s="4">
        <v>4813</v>
      </c>
      <c r="G3508" s="2" t="s">
        <v>63</v>
      </c>
      <c r="H3508" s="2" t="s">
        <v>34</v>
      </c>
      <c r="I3508" s="2" t="s">
        <v>11012</v>
      </c>
      <c r="J3508" s="2" t="s">
        <v>560</v>
      </c>
      <c r="K3508" s="2" t="s">
        <v>63</v>
      </c>
      <c r="L3508" s="2" t="s">
        <v>34</v>
      </c>
      <c r="M3508" s="12">
        <v>8648.1980000000003</v>
      </c>
      <c r="N3508" s="5">
        <v>50.5</v>
      </c>
      <c r="O3508" s="5">
        <v>50.5</v>
      </c>
      <c r="P3508" s="2" t="s">
        <v>11013</v>
      </c>
      <c r="Q3508" s="6">
        <v>100</v>
      </c>
      <c r="R3508" s="6">
        <v>50</v>
      </c>
      <c r="S3508" s="5">
        <v>7.8</v>
      </c>
      <c r="T3508" s="7">
        <v>30.657</v>
      </c>
      <c r="U3508" s="5">
        <v>7.1</v>
      </c>
      <c r="V3508" s="6">
        <v>0.34</v>
      </c>
      <c r="W3508" s="4">
        <v>42</v>
      </c>
      <c r="X3508" s="5">
        <v>43.5</v>
      </c>
      <c r="Y3508" s="6">
        <v>44.25</v>
      </c>
      <c r="Z3508" s="6">
        <v>44.25</v>
      </c>
      <c r="AA3508" s="6">
        <v>16.98</v>
      </c>
      <c r="AB3508" s="7">
        <v>62.959000000000003</v>
      </c>
      <c r="AC3508" s="6">
        <v>718.35</v>
      </c>
    </row>
    <row r="3509" spans="1:29" ht="52" x14ac:dyDescent="0.15">
      <c r="A3509" s="3">
        <f>DATE(1997,11,26)</f>
        <v>35760</v>
      </c>
      <c r="B3509" s="3">
        <f>DATE(1997,11,26)</f>
        <v>35760</v>
      </c>
      <c r="C3509" s="2" t="s">
        <v>95</v>
      </c>
      <c r="D3509" s="2" t="s">
        <v>11014</v>
      </c>
      <c r="E3509" s="2" t="s">
        <v>386</v>
      </c>
      <c r="F3509" s="4">
        <v>6726</v>
      </c>
      <c r="G3509" s="2" t="s">
        <v>53</v>
      </c>
      <c r="H3509" s="2" t="s">
        <v>34</v>
      </c>
      <c r="I3509" s="2" t="s">
        <v>11015</v>
      </c>
      <c r="J3509" s="2" t="s">
        <v>386</v>
      </c>
      <c r="K3509" s="2" t="s">
        <v>53</v>
      </c>
      <c r="L3509" s="2" t="s">
        <v>34</v>
      </c>
      <c r="M3509" s="7">
        <v>59.518999999999998</v>
      </c>
      <c r="N3509" s="7">
        <v>12.063000000000001</v>
      </c>
      <c r="O3509" s="7">
        <v>12.063000000000001</v>
      </c>
      <c r="P3509" s="2" t="s">
        <v>11016</v>
      </c>
      <c r="Q3509" s="6">
        <v>100</v>
      </c>
      <c r="R3509" s="2"/>
      <c r="S3509" s="2"/>
      <c r="T3509" s="2"/>
      <c r="U3509" s="2"/>
      <c r="V3509" s="2"/>
      <c r="W3509" s="4">
        <v>16</v>
      </c>
      <c r="X3509" s="7">
        <v>16.062999999999999</v>
      </c>
      <c r="Y3509" s="4">
        <v>16</v>
      </c>
      <c r="Z3509" s="4">
        <v>16</v>
      </c>
      <c r="AA3509" s="2"/>
      <c r="AB3509" s="2" t="s">
        <v>47</v>
      </c>
      <c r="AC3509" s="2"/>
    </row>
    <row r="3510" spans="1:29" ht="117" x14ac:dyDescent="0.15">
      <c r="A3510" s="3">
        <f>DATE(1997,11,26)</f>
        <v>35760</v>
      </c>
      <c r="B3510" s="3">
        <f>DATE(1998,2,25)</f>
        <v>35851</v>
      </c>
      <c r="C3510" s="2" t="s">
        <v>95</v>
      </c>
      <c r="D3510" s="2" t="s">
        <v>9268</v>
      </c>
      <c r="E3510" s="2" t="s">
        <v>9269</v>
      </c>
      <c r="F3510" s="4">
        <v>7352</v>
      </c>
      <c r="G3510" s="2" t="s">
        <v>223</v>
      </c>
      <c r="H3510" s="2" t="s">
        <v>34</v>
      </c>
      <c r="I3510" s="2" t="s">
        <v>51</v>
      </c>
      <c r="J3510" s="2" t="s">
        <v>52</v>
      </c>
      <c r="K3510" s="2" t="s">
        <v>53</v>
      </c>
      <c r="L3510" s="2" t="s">
        <v>34</v>
      </c>
      <c r="M3510" s="2"/>
      <c r="N3510" s="2"/>
      <c r="O3510" s="2"/>
      <c r="P3510" s="2" t="s">
        <v>11017</v>
      </c>
      <c r="Q3510" s="6">
        <v>100</v>
      </c>
      <c r="R3510" s="6">
        <v>15.5</v>
      </c>
      <c r="S3510" s="2"/>
      <c r="T3510" s="2"/>
      <c r="U3510" s="2"/>
      <c r="V3510" s="2"/>
      <c r="W3510" s="4">
        <v>12</v>
      </c>
      <c r="X3510" s="4">
        <v>12</v>
      </c>
      <c r="Y3510" s="6">
        <v>14.75</v>
      </c>
      <c r="Z3510" s="6">
        <v>14.75</v>
      </c>
      <c r="AA3510" s="6">
        <v>5.48</v>
      </c>
      <c r="AB3510" s="2" t="s">
        <v>47</v>
      </c>
      <c r="AC3510" s="2"/>
    </row>
    <row r="3511" spans="1:29" ht="104" x14ac:dyDescent="0.15">
      <c r="A3511" s="3">
        <f>DATE(1997,11,28)</f>
        <v>35762</v>
      </c>
      <c r="B3511" s="3">
        <f>DATE(1997,12,30)</f>
        <v>35794</v>
      </c>
      <c r="C3511" s="2" t="s">
        <v>95</v>
      </c>
      <c r="D3511" s="2" t="s">
        <v>11018</v>
      </c>
      <c r="E3511" s="2" t="s">
        <v>11019</v>
      </c>
      <c r="F3511" s="4">
        <v>3714</v>
      </c>
      <c r="G3511" s="2" t="s">
        <v>105</v>
      </c>
      <c r="H3511" s="2" t="s">
        <v>34</v>
      </c>
      <c r="I3511" s="2" t="s">
        <v>11020</v>
      </c>
      <c r="J3511" s="2" t="s">
        <v>11021</v>
      </c>
      <c r="K3511" s="2" t="s">
        <v>105</v>
      </c>
      <c r="L3511" s="2" t="s">
        <v>34</v>
      </c>
      <c r="M3511" s="7">
        <v>54.924999999999997</v>
      </c>
      <c r="N3511" s="4">
        <v>13</v>
      </c>
      <c r="O3511" s="6">
        <v>12.75</v>
      </c>
      <c r="P3511" s="2" t="s">
        <v>11022</v>
      </c>
      <c r="Q3511" s="6">
        <v>100</v>
      </c>
      <c r="R3511" s="6">
        <v>16</v>
      </c>
      <c r="S3511" s="5">
        <v>3.7</v>
      </c>
      <c r="T3511" s="7">
        <v>9.6039999999999992</v>
      </c>
      <c r="U3511" s="5">
        <v>6.5</v>
      </c>
      <c r="V3511" s="7">
        <v>0.76500000000000001</v>
      </c>
      <c r="W3511" s="4">
        <v>12</v>
      </c>
      <c r="X3511" s="4">
        <v>12</v>
      </c>
      <c r="Y3511" s="7">
        <v>15.563000000000001</v>
      </c>
      <c r="Z3511" s="7">
        <v>15.563000000000001</v>
      </c>
      <c r="AA3511" s="6">
        <v>4.8</v>
      </c>
      <c r="AB3511" s="7">
        <v>12.728</v>
      </c>
      <c r="AC3511" s="6">
        <v>11.37</v>
      </c>
    </row>
    <row r="3512" spans="1:29" ht="117" x14ac:dyDescent="0.15">
      <c r="A3512" s="3">
        <f>DATE(1997,11,28)</f>
        <v>35762</v>
      </c>
      <c r="B3512" s="3">
        <f>DATE(1998,7,13)</f>
        <v>35989</v>
      </c>
      <c r="C3512" s="2" t="s">
        <v>95</v>
      </c>
      <c r="D3512" s="2" t="s">
        <v>11023</v>
      </c>
      <c r="E3512" s="2" t="s">
        <v>389</v>
      </c>
      <c r="F3512" s="4">
        <v>6035</v>
      </c>
      <c r="G3512" s="2" t="s">
        <v>33</v>
      </c>
      <c r="H3512" s="2" t="s">
        <v>34</v>
      </c>
      <c r="I3512" s="2" t="s">
        <v>10345</v>
      </c>
      <c r="J3512" s="2" t="s">
        <v>10346</v>
      </c>
      <c r="K3512" s="2" t="s">
        <v>33</v>
      </c>
      <c r="L3512" s="2" t="s">
        <v>34</v>
      </c>
      <c r="M3512" s="10">
        <v>1677.65</v>
      </c>
      <c r="N3512" s="7">
        <v>33.313000000000002</v>
      </c>
      <c r="O3512" s="7">
        <v>33.875</v>
      </c>
      <c r="P3512" s="2" t="s">
        <v>11024</v>
      </c>
      <c r="Q3512" s="6">
        <v>100</v>
      </c>
      <c r="R3512" s="6">
        <v>20.75</v>
      </c>
      <c r="S3512" s="5">
        <v>-0.4</v>
      </c>
      <c r="T3512" s="2"/>
      <c r="U3512" s="5">
        <v>9.9</v>
      </c>
      <c r="V3512" s="6">
        <v>-7.0000000000000007E-2</v>
      </c>
      <c r="W3512" s="7">
        <v>20.375</v>
      </c>
      <c r="X3512" s="7">
        <v>20.375</v>
      </c>
      <c r="Y3512" s="4">
        <v>20</v>
      </c>
      <c r="Z3512" s="4">
        <v>20</v>
      </c>
      <c r="AA3512" s="6">
        <v>7.41</v>
      </c>
      <c r="AB3512" s="7">
        <v>31.928999999999998</v>
      </c>
      <c r="AC3512" s="2"/>
    </row>
    <row r="3513" spans="1:29" ht="78" x14ac:dyDescent="0.15">
      <c r="A3513" s="3">
        <f>DATE(1997,12,1)</f>
        <v>35765</v>
      </c>
      <c r="B3513" s="2"/>
      <c r="C3513" s="2" t="s">
        <v>30</v>
      </c>
      <c r="D3513" s="2" t="s">
        <v>11025</v>
      </c>
      <c r="E3513" s="2" t="s">
        <v>11026</v>
      </c>
      <c r="F3513" s="4">
        <v>1611</v>
      </c>
      <c r="G3513" s="2" t="s">
        <v>341</v>
      </c>
      <c r="H3513" s="2" t="s">
        <v>34</v>
      </c>
      <c r="I3513" s="2" t="s">
        <v>6242</v>
      </c>
      <c r="J3513" s="2" t="s">
        <v>6243</v>
      </c>
      <c r="K3513" s="2" t="s">
        <v>341</v>
      </c>
      <c r="L3513" s="2" t="s">
        <v>34</v>
      </c>
      <c r="M3513" s="2"/>
      <c r="N3513" s="2"/>
      <c r="O3513" s="2"/>
      <c r="P3513" s="2" t="s">
        <v>11027</v>
      </c>
      <c r="Q3513" s="2"/>
      <c r="R3513" s="2"/>
      <c r="S3513" s="5">
        <v>-45.3</v>
      </c>
      <c r="T3513" s="7">
        <v>-34.143000000000001</v>
      </c>
      <c r="U3513" s="5">
        <v>4.5</v>
      </c>
      <c r="V3513" s="7">
        <v>-5.0490000000000004</v>
      </c>
      <c r="W3513" s="6">
        <v>3.75</v>
      </c>
      <c r="X3513" s="6">
        <v>3.25</v>
      </c>
      <c r="Y3513" s="6">
        <v>3.25</v>
      </c>
      <c r="Z3513" s="5">
        <v>3.5</v>
      </c>
      <c r="AA3513" s="6">
        <v>8.99</v>
      </c>
      <c r="AB3513" s="2" t="s">
        <v>86</v>
      </c>
      <c r="AC3513" s="5">
        <v>79.400000000000006</v>
      </c>
    </row>
    <row r="3514" spans="1:29" ht="130" x14ac:dyDescent="0.15">
      <c r="A3514" s="3">
        <f>DATE(1997,12,1)</f>
        <v>35765</v>
      </c>
      <c r="B3514" s="3">
        <f>DATE(1998,3,31)</f>
        <v>35885</v>
      </c>
      <c r="C3514" s="2" t="s">
        <v>95</v>
      </c>
      <c r="D3514" s="2" t="s">
        <v>2291</v>
      </c>
      <c r="E3514" s="2" t="s">
        <v>36</v>
      </c>
      <c r="F3514" s="4">
        <v>6021</v>
      </c>
      <c r="G3514" s="2" t="s">
        <v>37</v>
      </c>
      <c r="H3514" s="2" t="s">
        <v>34</v>
      </c>
      <c r="I3514" s="2" t="s">
        <v>158</v>
      </c>
      <c r="J3514" s="2" t="s">
        <v>159</v>
      </c>
      <c r="K3514" s="2" t="s">
        <v>37</v>
      </c>
      <c r="L3514" s="2" t="s">
        <v>34</v>
      </c>
      <c r="M3514" s="12">
        <v>12874.075000000001</v>
      </c>
      <c r="N3514" s="7">
        <v>62.813000000000002</v>
      </c>
      <c r="O3514" s="5">
        <v>62.5</v>
      </c>
      <c r="P3514" s="2" t="s">
        <v>11028</v>
      </c>
      <c r="Q3514" s="6">
        <v>100</v>
      </c>
      <c r="R3514" s="6">
        <v>80.099999999999994</v>
      </c>
      <c r="S3514" s="5">
        <v>256.89999999999998</v>
      </c>
      <c r="T3514" s="7">
        <v>430.38299999999998</v>
      </c>
      <c r="U3514" s="5">
        <v>19.899999999999999</v>
      </c>
      <c r="V3514" s="9">
        <v>1.8489</v>
      </c>
      <c r="W3514" s="7">
        <v>57.125</v>
      </c>
      <c r="X3514" s="6">
        <v>58.75</v>
      </c>
      <c r="Y3514" s="6">
        <v>72.75</v>
      </c>
      <c r="Z3514" s="7">
        <v>72.375</v>
      </c>
      <c r="AA3514" s="6">
        <v>87.14</v>
      </c>
      <c r="AB3514" s="7">
        <v>25.09</v>
      </c>
      <c r="AC3514" s="2"/>
    </row>
    <row r="3515" spans="1:29" ht="117" x14ac:dyDescent="0.15">
      <c r="A3515" s="3">
        <f>DATE(1997,12,1)</f>
        <v>35765</v>
      </c>
      <c r="B3515" s="3">
        <f>DATE(1998,2,19)</f>
        <v>35845</v>
      </c>
      <c r="C3515" s="2" t="s">
        <v>95</v>
      </c>
      <c r="D3515" s="2" t="s">
        <v>11029</v>
      </c>
      <c r="E3515" s="2" t="s">
        <v>11030</v>
      </c>
      <c r="F3515" s="4">
        <v>7372</v>
      </c>
      <c r="G3515" s="2" t="s">
        <v>551</v>
      </c>
      <c r="H3515" s="2" t="s">
        <v>34</v>
      </c>
      <c r="I3515" s="2" t="s">
        <v>11031</v>
      </c>
      <c r="J3515" s="2" t="s">
        <v>781</v>
      </c>
      <c r="K3515" s="2" t="s">
        <v>551</v>
      </c>
      <c r="L3515" s="2" t="s">
        <v>34</v>
      </c>
      <c r="M3515" s="7">
        <v>289.00799999999998</v>
      </c>
      <c r="N3515" s="4">
        <v>19</v>
      </c>
      <c r="O3515" s="6">
        <v>17.75</v>
      </c>
      <c r="P3515" s="2" t="s">
        <v>11032</v>
      </c>
      <c r="Q3515" s="6">
        <v>100</v>
      </c>
      <c r="R3515" s="6">
        <v>16.600000000000001</v>
      </c>
      <c r="S3515" s="5">
        <v>1.8</v>
      </c>
      <c r="T3515" s="7">
        <v>-0.17699999999999999</v>
      </c>
      <c r="U3515" s="5">
        <v>4.5</v>
      </c>
      <c r="V3515" s="6">
        <v>0.13</v>
      </c>
      <c r="W3515" s="6">
        <v>13.75</v>
      </c>
      <c r="X3515" s="6">
        <v>15.75</v>
      </c>
      <c r="Y3515" s="7">
        <v>14.625</v>
      </c>
      <c r="Z3515" s="6">
        <v>13.75</v>
      </c>
      <c r="AA3515" s="6">
        <v>13.55</v>
      </c>
      <c r="AB3515" s="2" t="s">
        <v>86</v>
      </c>
      <c r="AC3515" s="2"/>
    </row>
    <row r="3516" spans="1:29" ht="221" x14ac:dyDescent="0.15">
      <c r="A3516" s="3">
        <f>DATE(1997,12,2)</f>
        <v>35766</v>
      </c>
      <c r="B3516" s="3">
        <f>DATE(1998,6,2)</f>
        <v>35948</v>
      </c>
      <c r="C3516" s="2" t="s">
        <v>95</v>
      </c>
      <c r="D3516" s="2" t="s">
        <v>10987</v>
      </c>
      <c r="E3516" s="2" t="s">
        <v>10937</v>
      </c>
      <c r="F3516" s="4">
        <v>7011</v>
      </c>
      <c r="G3516" s="2" t="s">
        <v>269</v>
      </c>
      <c r="H3516" s="2" t="s">
        <v>34</v>
      </c>
      <c r="I3516" s="2" t="s">
        <v>9573</v>
      </c>
      <c r="J3516" s="2" t="s">
        <v>268</v>
      </c>
      <c r="K3516" s="2" t="s">
        <v>269</v>
      </c>
      <c r="L3516" s="2" t="s">
        <v>34</v>
      </c>
      <c r="M3516" s="7">
        <v>476.64299999999997</v>
      </c>
      <c r="N3516" s="7">
        <v>30.812999999999999</v>
      </c>
      <c r="O3516" s="5">
        <v>31.5</v>
      </c>
      <c r="P3516" s="2" t="s">
        <v>11033</v>
      </c>
      <c r="Q3516" s="6">
        <v>100</v>
      </c>
      <c r="R3516" s="6">
        <v>37.5</v>
      </c>
      <c r="S3516" s="5">
        <v>6.1</v>
      </c>
      <c r="T3516" s="7">
        <v>60.890999999999998</v>
      </c>
      <c r="U3516" s="5">
        <v>11.8</v>
      </c>
      <c r="V3516" s="6">
        <v>0.2</v>
      </c>
      <c r="W3516" s="4">
        <v>25</v>
      </c>
      <c r="X3516" s="7">
        <v>24.625</v>
      </c>
      <c r="Y3516" s="5">
        <v>24.5</v>
      </c>
      <c r="Z3516" s="4">
        <v>24</v>
      </c>
      <c r="AA3516" s="6">
        <v>35.42</v>
      </c>
      <c r="AB3516" s="7">
        <v>36.887</v>
      </c>
      <c r="AC3516" s="6">
        <v>6.6</v>
      </c>
    </row>
    <row r="3517" spans="1:29" ht="104" x14ac:dyDescent="0.15">
      <c r="A3517" s="3">
        <f>DATE(1997,12,2)</f>
        <v>35766</v>
      </c>
      <c r="B3517" s="3">
        <f>DATE(1998,3,17)</f>
        <v>35871</v>
      </c>
      <c r="C3517" s="2" t="s">
        <v>95</v>
      </c>
      <c r="D3517" s="2" t="s">
        <v>11034</v>
      </c>
      <c r="E3517" s="2" t="s">
        <v>2455</v>
      </c>
      <c r="F3517" s="4">
        <v>3845</v>
      </c>
      <c r="G3517" s="2" t="s">
        <v>226</v>
      </c>
      <c r="H3517" s="2" t="s">
        <v>34</v>
      </c>
      <c r="I3517" s="2" t="s">
        <v>11035</v>
      </c>
      <c r="J3517" s="2" t="s">
        <v>11036</v>
      </c>
      <c r="K3517" s="2" t="s">
        <v>226</v>
      </c>
      <c r="L3517" s="2" t="s">
        <v>34</v>
      </c>
      <c r="M3517" s="6">
        <v>19.48</v>
      </c>
      <c r="N3517" s="7">
        <v>3.9380000000000002</v>
      </c>
      <c r="O3517" s="7">
        <v>3.4380000000000002</v>
      </c>
      <c r="P3517" s="2" t="s">
        <v>11037</v>
      </c>
      <c r="Q3517" s="6">
        <v>100</v>
      </c>
      <c r="R3517" s="6">
        <v>3.32</v>
      </c>
      <c r="S3517" s="5">
        <v>0.4</v>
      </c>
      <c r="T3517" s="7">
        <v>1.462</v>
      </c>
      <c r="U3517" s="5">
        <v>1.9</v>
      </c>
      <c r="V3517" s="7">
        <v>6.2E-2</v>
      </c>
      <c r="W3517" s="6">
        <v>2.25</v>
      </c>
      <c r="X3517" s="6">
        <v>2.25</v>
      </c>
      <c r="Y3517" s="5">
        <v>2.5</v>
      </c>
      <c r="Z3517" s="7">
        <v>2.3439999999999999</v>
      </c>
      <c r="AA3517" s="6">
        <v>6.71</v>
      </c>
      <c r="AB3517" s="7">
        <v>49.281999999999996</v>
      </c>
      <c r="AC3517" s="6">
        <v>0.05</v>
      </c>
    </row>
    <row r="3518" spans="1:29" ht="104" x14ac:dyDescent="0.15">
      <c r="A3518" s="3">
        <f>DATE(1997,12,3)</f>
        <v>35767</v>
      </c>
      <c r="B3518" s="2"/>
      <c r="C3518" s="2" t="s">
        <v>30</v>
      </c>
      <c r="D3518" s="2" t="s">
        <v>7112</v>
      </c>
      <c r="E3518" s="2" t="s">
        <v>844</v>
      </c>
      <c r="F3518" s="4">
        <v>6552</v>
      </c>
      <c r="G3518" s="2" t="s">
        <v>109</v>
      </c>
      <c r="H3518" s="2" t="s">
        <v>34</v>
      </c>
      <c r="I3518" s="2" t="s">
        <v>7984</v>
      </c>
      <c r="J3518" s="2" t="s">
        <v>844</v>
      </c>
      <c r="K3518" s="2" t="s">
        <v>109</v>
      </c>
      <c r="L3518" s="2" t="s">
        <v>34</v>
      </c>
      <c r="M3518" s="7">
        <v>9.2230000000000008</v>
      </c>
      <c r="N3518" s="5">
        <v>0.5</v>
      </c>
      <c r="O3518" s="7">
        <v>0.625</v>
      </c>
      <c r="P3518" s="2" t="s">
        <v>11038</v>
      </c>
      <c r="Q3518" s="2"/>
      <c r="R3518" s="6">
        <v>9</v>
      </c>
      <c r="S3518" s="5">
        <v>1.1000000000000001</v>
      </c>
      <c r="T3518" s="7">
        <v>1.873</v>
      </c>
      <c r="U3518" s="5">
        <v>3.5</v>
      </c>
      <c r="V3518" s="6">
        <v>1.23</v>
      </c>
      <c r="W3518" s="7">
        <v>9.625</v>
      </c>
      <c r="X3518" s="7">
        <v>9.625</v>
      </c>
      <c r="Y3518" s="7">
        <v>9.625</v>
      </c>
      <c r="Z3518" s="6">
        <v>9.75</v>
      </c>
      <c r="AA3518" s="6">
        <v>0.89</v>
      </c>
      <c r="AB3518" s="7">
        <v>15.551</v>
      </c>
      <c r="AC3518" s="2"/>
    </row>
    <row r="3519" spans="1:29" ht="78" x14ac:dyDescent="0.15">
      <c r="A3519" s="3">
        <f>DATE(1997,12,4)</f>
        <v>35768</v>
      </c>
      <c r="B3519" s="2"/>
      <c r="C3519" s="2" t="s">
        <v>30</v>
      </c>
      <c r="D3519" s="2" t="s">
        <v>11039</v>
      </c>
      <c r="E3519" s="2" t="s">
        <v>11040</v>
      </c>
      <c r="F3519" s="4">
        <v>1731</v>
      </c>
      <c r="G3519" s="2" t="s">
        <v>341</v>
      </c>
      <c r="H3519" s="2" t="s">
        <v>34</v>
      </c>
      <c r="I3519" s="2" t="s">
        <v>7567</v>
      </c>
      <c r="J3519" s="2" t="s">
        <v>7568</v>
      </c>
      <c r="K3519" s="2" t="s">
        <v>63</v>
      </c>
      <c r="L3519" s="2" t="s">
        <v>34</v>
      </c>
      <c r="M3519" s="7">
        <v>136.19499999999999</v>
      </c>
      <c r="N3519" s="7">
        <v>5.9690000000000003</v>
      </c>
      <c r="O3519" s="7">
        <v>5.7809999999999997</v>
      </c>
      <c r="P3519" s="2" t="s">
        <v>11041</v>
      </c>
      <c r="Q3519" s="2"/>
      <c r="R3519" s="6">
        <v>12</v>
      </c>
      <c r="S3519" s="5">
        <v>2.9</v>
      </c>
      <c r="T3519" s="7">
        <v>9.5890000000000004</v>
      </c>
      <c r="U3519" s="5">
        <v>1.8</v>
      </c>
      <c r="V3519" s="6">
        <v>0.16</v>
      </c>
      <c r="W3519" s="5">
        <v>8.5</v>
      </c>
      <c r="X3519" s="7">
        <v>9.6880000000000006</v>
      </c>
      <c r="Y3519" s="9">
        <v>9.4375</v>
      </c>
      <c r="Z3519" s="9">
        <v>9.4375</v>
      </c>
      <c r="AA3519" s="6">
        <v>8.3699999999999992</v>
      </c>
      <c r="AB3519" s="7">
        <v>24.048999999999999</v>
      </c>
      <c r="AC3519" s="6">
        <v>0.81</v>
      </c>
    </row>
    <row r="3520" spans="1:29" ht="234" x14ac:dyDescent="0.15">
      <c r="A3520" s="3">
        <f>DATE(1997,12,5)</f>
        <v>35769</v>
      </c>
      <c r="B3520" s="3">
        <f>DATE(1998,6,12)</f>
        <v>35958</v>
      </c>
      <c r="C3520" s="2" t="s">
        <v>95</v>
      </c>
      <c r="D3520" s="2" t="s">
        <v>11042</v>
      </c>
      <c r="E3520" s="2" t="s">
        <v>11043</v>
      </c>
      <c r="F3520" s="4">
        <v>2752</v>
      </c>
      <c r="G3520" s="2" t="s">
        <v>186</v>
      </c>
      <c r="H3520" s="2" t="s">
        <v>34</v>
      </c>
      <c r="I3520" s="2" t="s">
        <v>11044</v>
      </c>
      <c r="J3520" s="2" t="s">
        <v>1671</v>
      </c>
      <c r="K3520" s="2" t="s">
        <v>112</v>
      </c>
      <c r="L3520" s="2" t="s">
        <v>34</v>
      </c>
      <c r="M3520" s="7">
        <v>110.905</v>
      </c>
      <c r="N3520" s="7">
        <v>7.625</v>
      </c>
      <c r="O3520" s="4">
        <v>8</v>
      </c>
      <c r="P3520" s="2" t="s">
        <v>11045</v>
      </c>
      <c r="Q3520" s="6">
        <v>100</v>
      </c>
      <c r="R3520" s="6">
        <v>6.18</v>
      </c>
      <c r="S3520" s="2"/>
      <c r="T3520" s="2"/>
      <c r="U3520" s="2"/>
      <c r="V3520" s="2"/>
      <c r="W3520" s="7">
        <v>7.5629999999999997</v>
      </c>
      <c r="X3520" s="7">
        <v>6.125</v>
      </c>
      <c r="Y3520" s="6">
        <v>6.75</v>
      </c>
      <c r="Z3520" s="7">
        <v>6.875</v>
      </c>
      <c r="AA3520" s="6">
        <v>5.28</v>
      </c>
      <c r="AB3520" s="2" t="s">
        <v>47</v>
      </c>
      <c r="AC3520" s="6">
        <v>6.46</v>
      </c>
    </row>
    <row r="3521" spans="1:29" ht="156" x14ac:dyDescent="0.15">
      <c r="A3521" s="3">
        <f>DATE(1997,12,8)</f>
        <v>35772</v>
      </c>
      <c r="B3521" s="3">
        <f>DATE(1998,5,1)</f>
        <v>35916</v>
      </c>
      <c r="C3521" s="2" t="s">
        <v>95</v>
      </c>
      <c r="D3521" s="2" t="s">
        <v>9484</v>
      </c>
      <c r="E3521" s="2" t="s">
        <v>263</v>
      </c>
      <c r="F3521" s="4">
        <v>6021</v>
      </c>
      <c r="G3521" s="2" t="s">
        <v>37</v>
      </c>
      <c r="H3521" s="2" t="s">
        <v>34</v>
      </c>
      <c r="I3521" s="2" t="s">
        <v>6267</v>
      </c>
      <c r="J3521" s="2" t="s">
        <v>36</v>
      </c>
      <c r="K3521" s="2" t="s">
        <v>37</v>
      </c>
      <c r="L3521" s="2" t="s">
        <v>34</v>
      </c>
      <c r="M3521" s="10">
        <v>2752.23</v>
      </c>
      <c r="N3521" s="7">
        <v>49.563000000000002</v>
      </c>
      <c r="O3521" s="6">
        <v>48.75</v>
      </c>
      <c r="P3521" s="2" t="s">
        <v>11046</v>
      </c>
      <c r="Q3521" s="6">
        <v>100</v>
      </c>
      <c r="R3521" s="6">
        <v>64.06</v>
      </c>
      <c r="S3521" s="5">
        <v>83.6</v>
      </c>
      <c r="T3521" s="7">
        <v>155.40700000000001</v>
      </c>
      <c r="U3521" s="5">
        <v>14.8</v>
      </c>
      <c r="V3521" s="6">
        <v>2.16</v>
      </c>
      <c r="W3521" s="7">
        <v>38.688000000000002</v>
      </c>
      <c r="X3521" s="6">
        <v>48.25</v>
      </c>
      <c r="Y3521" s="7">
        <v>48.688000000000002</v>
      </c>
      <c r="Z3521" s="6">
        <v>49.25</v>
      </c>
      <c r="AA3521" s="6">
        <v>40.81</v>
      </c>
      <c r="AB3521" s="7">
        <v>25.643000000000001</v>
      </c>
      <c r="AC3521" s="2"/>
    </row>
    <row r="3522" spans="1:29" ht="91" x14ac:dyDescent="0.15">
      <c r="A3522" s="3">
        <f>DATE(1997,12,8)</f>
        <v>35772</v>
      </c>
      <c r="B3522" s="3">
        <f>DATE(1998,3,23)</f>
        <v>35877</v>
      </c>
      <c r="C3522" s="2" t="s">
        <v>95</v>
      </c>
      <c r="D3522" s="2" t="s">
        <v>11047</v>
      </c>
      <c r="E3522" s="2" t="s">
        <v>92</v>
      </c>
      <c r="F3522" s="4">
        <v>6798</v>
      </c>
      <c r="G3522" s="2" t="s">
        <v>53</v>
      </c>
      <c r="H3522" s="2" t="s">
        <v>34</v>
      </c>
      <c r="I3522" s="2" t="s">
        <v>8646</v>
      </c>
      <c r="J3522" s="2" t="s">
        <v>3941</v>
      </c>
      <c r="K3522" s="2" t="s">
        <v>53</v>
      </c>
      <c r="L3522" s="2" t="s">
        <v>34</v>
      </c>
      <c r="M3522" s="2"/>
      <c r="N3522" s="2"/>
      <c r="O3522" s="2"/>
      <c r="P3522" s="2" t="s">
        <v>11048</v>
      </c>
      <c r="Q3522" s="6">
        <v>30</v>
      </c>
      <c r="R3522" s="2"/>
      <c r="S3522" s="5">
        <v>0.5</v>
      </c>
      <c r="T3522" s="2"/>
      <c r="U3522" s="5">
        <v>0.3</v>
      </c>
      <c r="V3522" s="7">
        <v>-2.5000000000000001E-2</v>
      </c>
      <c r="W3522" s="6">
        <v>25.75</v>
      </c>
      <c r="X3522" s="6">
        <v>25.75</v>
      </c>
      <c r="Y3522" s="6">
        <v>25.75</v>
      </c>
      <c r="Z3522" s="6">
        <v>25.75</v>
      </c>
      <c r="AA3522" s="6">
        <v>7.55</v>
      </c>
      <c r="AB3522" s="7">
        <v>2952.5210000000002</v>
      </c>
      <c r="AC3522" s="2"/>
    </row>
    <row r="3523" spans="1:29" ht="156" x14ac:dyDescent="0.15">
      <c r="A3523" s="3">
        <f>DATE(1997,12,10)</f>
        <v>35774</v>
      </c>
      <c r="B3523" s="3">
        <f>DATE(1998,7,21)</f>
        <v>35997</v>
      </c>
      <c r="C3523" s="2" t="s">
        <v>95</v>
      </c>
      <c r="D3523" s="2" t="s">
        <v>11049</v>
      </c>
      <c r="E3523" s="2" t="s">
        <v>32</v>
      </c>
      <c r="F3523" s="4">
        <v>6036</v>
      </c>
      <c r="G3523" s="2" t="s">
        <v>33</v>
      </c>
      <c r="H3523" s="2" t="s">
        <v>34</v>
      </c>
      <c r="I3523" s="2" t="s">
        <v>3433</v>
      </c>
      <c r="J3523" s="2" t="s">
        <v>2898</v>
      </c>
      <c r="K3523" s="2" t="s">
        <v>37</v>
      </c>
      <c r="L3523" s="2" t="s">
        <v>34</v>
      </c>
      <c r="M3523" s="7">
        <v>783.82799999999997</v>
      </c>
      <c r="N3523" s="5">
        <v>27.5</v>
      </c>
      <c r="O3523" s="5">
        <v>28.5</v>
      </c>
      <c r="P3523" s="2" t="s">
        <v>11050</v>
      </c>
      <c r="Q3523" s="6">
        <v>100</v>
      </c>
      <c r="R3523" s="6">
        <v>5.63</v>
      </c>
      <c r="S3523" s="5">
        <v>2.8</v>
      </c>
      <c r="T3523" s="7">
        <v>2.9980000000000002</v>
      </c>
      <c r="U3523" s="5">
        <v>1.8</v>
      </c>
      <c r="V3523" s="6">
        <v>0.17</v>
      </c>
      <c r="W3523" s="7">
        <v>4.875</v>
      </c>
      <c r="X3523" s="7">
        <v>4.875</v>
      </c>
      <c r="Y3523" s="11">
        <v>5.03125</v>
      </c>
      <c r="Z3523" s="9">
        <v>5.0625</v>
      </c>
      <c r="AA3523" s="6">
        <v>16.649999999999999</v>
      </c>
      <c r="AB3523" s="7">
        <v>56.551000000000002</v>
      </c>
      <c r="AC3523" s="2"/>
    </row>
    <row r="3524" spans="1:29" ht="117" x14ac:dyDescent="0.15">
      <c r="A3524" s="3">
        <f>DATE(1997,12,11)</f>
        <v>35775</v>
      </c>
      <c r="B3524" s="3">
        <f>DATE(1998,3,31)</f>
        <v>35885</v>
      </c>
      <c r="C3524" s="2" t="s">
        <v>95</v>
      </c>
      <c r="D3524" s="2" t="s">
        <v>11051</v>
      </c>
      <c r="E3524" s="2" t="s">
        <v>7821</v>
      </c>
      <c r="F3524" s="4">
        <v>6022</v>
      </c>
      <c r="G3524" s="2" t="s">
        <v>37</v>
      </c>
      <c r="H3524" s="2" t="s">
        <v>34</v>
      </c>
      <c r="I3524" s="2" t="s">
        <v>6678</v>
      </c>
      <c r="J3524" s="2" t="s">
        <v>159</v>
      </c>
      <c r="K3524" s="2" t="s">
        <v>37</v>
      </c>
      <c r="L3524" s="2" t="s">
        <v>34</v>
      </c>
      <c r="M3524" s="12">
        <v>5054.518</v>
      </c>
      <c r="N3524" s="6">
        <v>41.75</v>
      </c>
      <c r="O3524" s="7">
        <v>41.875</v>
      </c>
      <c r="P3524" s="2" t="s">
        <v>11052</v>
      </c>
      <c r="Q3524" s="6">
        <v>100</v>
      </c>
      <c r="R3524" s="6">
        <v>23.38</v>
      </c>
      <c r="S3524" s="5">
        <v>7.5</v>
      </c>
      <c r="T3524" s="6">
        <v>13.52</v>
      </c>
      <c r="U3524" s="5">
        <v>7.5</v>
      </c>
      <c r="V3524" s="7">
        <v>1.083</v>
      </c>
      <c r="W3524" s="7">
        <v>18.875</v>
      </c>
      <c r="X3524" s="6">
        <v>19.75</v>
      </c>
      <c r="Y3524" s="6">
        <v>19.25</v>
      </c>
      <c r="Z3524" s="4">
        <v>22</v>
      </c>
      <c r="AA3524" s="6">
        <v>6.89</v>
      </c>
      <c r="AB3524" s="7">
        <v>53.667000000000002</v>
      </c>
      <c r="AC3524" s="2"/>
    </row>
    <row r="3525" spans="1:29" ht="104" x14ac:dyDescent="0.15">
      <c r="A3525" s="3">
        <f>DATE(1997,12,11)</f>
        <v>35775</v>
      </c>
      <c r="B3525" s="3">
        <f>DATE(1998,1,20)</f>
        <v>35815</v>
      </c>
      <c r="C3525" s="2" t="s">
        <v>95</v>
      </c>
      <c r="D3525" s="2" t="s">
        <v>11053</v>
      </c>
      <c r="E3525" s="2" t="s">
        <v>11054</v>
      </c>
      <c r="F3525" s="4">
        <v>3466</v>
      </c>
      <c r="G3525" s="2" t="s">
        <v>163</v>
      </c>
      <c r="H3525" s="2" t="s">
        <v>34</v>
      </c>
      <c r="I3525" s="2" t="s">
        <v>11055</v>
      </c>
      <c r="J3525" s="2" t="s">
        <v>3336</v>
      </c>
      <c r="K3525" s="2" t="s">
        <v>105</v>
      </c>
      <c r="L3525" s="2" t="s">
        <v>34</v>
      </c>
      <c r="M3525" s="7">
        <v>811.34799999999996</v>
      </c>
      <c r="N3525" s="4">
        <v>19</v>
      </c>
      <c r="O3525" s="7">
        <v>18.937999999999999</v>
      </c>
      <c r="P3525" s="2" t="s">
        <v>11056</v>
      </c>
      <c r="Q3525" s="6">
        <v>63.46</v>
      </c>
      <c r="R3525" s="6">
        <v>34.5</v>
      </c>
      <c r="S3525" s="5">
        <v>61.4</v>
      </c>
      <c r="T3525" s="6">
        <v>127.22</v>
      </c>
      <c r="U3525" s="5">
        <v>10.7</v>
      </c>
      <c r="V3525" s="6">
        <v>1.66</v>
      </c>
      <c r="W3525" s="7">
        <v>31.375</v>
      </c>
      <c r="X3525" s="7">
        <v>30.625</v>
      </c>
      <c r="Y3525" s="7">
        <v>34.188000000000002</v>
      </c>
      <c r="Z3525" s="7">
        <v>34.313000000000002</v>
      </c>
      <c r="AA3525" s="6">
        <v>41.33</v>
      </c>
      <c r="AB3525" s="7">
        <v>13.016999999999999</v>
      </c>
      <c r="AC3525" s="6">
        <v>57.16</v>
      </c>
    </row>
    <row r="3526" spans="1:29" ht="130" x14ac:dyDescent="0.15">
      <c r="A3526" s="3">
        <f>DATE(1997,12,11)</f>
        <v>35775</v>
      </c>
      <c r="B3526" s="3">
        <f>DATE(1998,7,1)</f>
        <v>35977</v>
      </c>
      <c r="C3526" s="2" t="s">
        <v>95</v>
      </c>
      <c r="D3526" s="2" t="s">
        <v>11057</v>
      </c>
      <c r="E3526" s="2" t="s">
        <v>11058</v>
      </c>
      <c r="F3526" s="4">
        <v>6411</v>
      </c>
      <c r="G3526" s="2" t="s">
        <v>125</v>
      </c>
      <c r="H3526" s="2" t="s">
        <v>34</v>
      </c>
      <c r="I3526" s="2" t="s">
        <v>11059</v>
      </c>
      <c r="J3526" s="2" t="s">
        <v>302</v>
      </c>
      <c r="K3526" s="2" t="s">
        <v>53</v>
      </c>
      <c r="L3526" s="2" t="s">
        <v>34</v>
      </c>
      <c r="M3526" s="2"/>
      <c r="N3526" s="2"/>
      <c r="O3526" s="2"/>
      <c r="P3526" s="2" t="s">
        <v>11060</v>
      </c>
      <c r="Q3526" s="6">
        <v>100</v>
      </c>
      <c r="R3526" s="6">
        <v>90.67</v>
      </c>
      <c r="S3526" s="5">
        <v>7.2</v>
      </c>
      <c r="T3526" s="7">
        <v>50.075000000000003</v>
      </c>
      <c r="U3526" s="5">
        <v>61.7</v>
      </c>
      <c r="V3526" s="6">
        <v>1.31</v>
      </c>
      <c r="W3526" s="6">
        <v>72.75</v>
      </c>
      <c r="X3526" s="4">
        <v>78</v>
      </c>
      <c r="Y3526" s="4">
        <v>79</v>
      </c>
      <c r="Z3526" s="7">
        <v>78.125</v>
      </c>
      <c r="AA3526" s="6">
        <v>4.87</v>
      </c>
      <c r="AB3526" s="7">
        <v>11.05</v>
      </c>
      <c r="AC3526" s="2"/>
    </row>
    <row r="3527" spans="1:29" ht="130" x14ac:dyDescent="0.15">
      <c r="A3527" s="3">
        <f>DATE(1997,12,12)</f>
        <v>35776</v>
      </c>
      <c r="B3527" s="3">
        <f>DATE(1998,2,13)</f>
        <v>35839</v>
      </c>
      <c r="C3527" s="2" t="s">
        <v>95</v>
      </c>
      <c r="D3527" s="2" t="s">
        <v>11061</v>
      </c>
      <c r="E3527" s="2" t="s">
        <v>11062</v>
      </c>
      <c r="F3527" s="4">
        <v>3823</v>
      </c>
      <c r="G3527" s="2" t="s">
        <v>226</v>
      </c>
      <c r="H3527" s="2" t="s">
        <v>34</v>
      </c>
      <c r="I3527" s="2" t="s">
        <v>11063</v>
      </c>
      <c r="J3527" s="2" t="s">
        <v>11064</v>
      </c>
      <c r="K3527" s="2" t="s">
        <v>223</v>
      </c>
      <c r="L3527" s="2" t="s">
        <v>34</v>
      </c>
      <c r="M3527" s="2"/>
      <c r="N3527" s="2"/>
      <c r="O3527" s="2"/>
      <c r="P3527" s="2" t="s">
        <v>11065</v>
      </c>
      <c r="Q3527" s="6">
        <v>100</v>
      </c>
      <c r="R3527" s="6">
        <v>2.75</v>
      </c>
      <c r="S3527" s="5">
        <v>0.4</v>
      </c>
      <c r="T3527" s="7">
        <v>1.2130000000000001</v>
      </c>
      <c r="U3527" s="5">
        <v>1.4</v>
      </c>
      <c r="V3527" s="6">
        <v>0.14000000000000001</v>
      </c>
      <c r="W3527" s="7">
        <v>1.8440000000000001</v>
      </c>
      <c r="X3527" s="6">
        <v>1.75</v>
      </c>
      <c r="Y3527" s="7">
        <v>2.5939999999999999</v>
      </c>
      <c r="Z3527" s="7">
        <v>2.5939999999999999</v>
      </c>
      <c r="AA3527" s="6">
        <v>10.91</v>
      </c>
      <c r="AB3527" s="7">
        <v>21.45</v>
      </c>
      <c r="AC3527" s="2"/>
    </row>
    <row r="3528" spans="1:29" ht="130" x14ac:dyDescent="0.15">
      <c r="A3528" s="3">
        <f>DATE(1997,12,12)</f>
        <v>35776</v>
      </c>
      <c r="B3528" s="3">
        <f>DATE(1998,5,29)</f>
        <v>35944</v>
      </c>
      <c r="C3528" s="2" t="s">
        <v>95</v>
      </c>
      <c r="D3528" s="2" t="s">
        <v>11066</v>
      </c>
      <c r="E3528" s="2" t="s">
        <v>11067</v>
      </c>
      <c r="F3528" s="4">
        <v>3312</v>
      </c>
      <c r="G3528" s="2" t="s">
        <v>163</v>
      </c>
      <c r="H3528" s="2" t="s">
        <v>34</v>
      </c>
      <c r="I3528" s="2" t="s">
        <v>11068</v>
      </c>
      <c r="J3528" s="2" t="s">
        <v>9503</v>
      </c>
      <c r="K3528" s="2" t="s">
        <v>163</v>
      </c>
      <c r="L3528" s="2" t="s">
        <v>34</v>
      </c>
      <c r="M3528" s="12">
        <v>1205.6759999999999</v>
      </c>
      <c r="N3528" s="7">
        <v>8.125</v>
      </c>
      <c r="O3528" s="7">
        <v>8.3130000000000006</v>
      </c>
      <c r="P3528" s="2" t="s">
        <v>11069</v>
      </c>
      <c r="Q3528" s="6">
        <v>100</v>
      </c>
      <c r="R3528" s="6">
        <v>30</v>
      </c>
      <c r="S3528" s="5">
        <v>-4.5999999999999996</v>
      </c>
      <c r="T3528" s="7">
        <v>65.234999999999999</v>
      </c>
      <c r="U3528" s="5">
        <v>14.3</v>
      </c>
      <c r="V3528" s="6">
        <v>-0.45</v>
      </c>
      <c r="W3528" s="7">
        <v>15.438000000000001</v>
      </c>
      <c r="X3528" s="7">
        <v>15.625</v>
      </c>
      <c r="Y3528" s="5">
        <v>17.5</v>
      </c>
      <c r="Z3528" s="7">
        <v>23.875</v>
      </c>
      <c r="AA3528" s="6">
        <v>14.94</v>
      </c>
      <c r="AB3528" s="7">
        <v>53.920999999999999</v>
      </c>
      <c r="AC3528" s="5">
        <v>252.4</v>
      </c>
    </row>
    <row r="3529" spans="1:29" ht="117" x14ac:dyDescent="0.15">
      <c r="A3529" s="3">
        <f>DATE(1997,12,12)</f>
        <v>35776</v>
      </c>
      <c r="B3529" s="2"/>
      <c r="C3529" s="2" t="s">
        <v>30</v>
      </c>
      <c r="D3529" s="2" t="s">
        <v>11070</v>
      </c>
      <c r="E3529" s="2" t="s">
        <v>11071</v>
      </c>
      <c r="F3529" s="4">
        <v>3621</v>
      </c>
      <c r="G3529" s="2" t="s">
        <v>137</v>
      </c>
      <c r="H3529" s="2" t="s">
        <v>34</v>
      </c>
      <c r="I3529" s="2" t="s">
        <v>680</v>
      </c>
      <c r="J3529" s="2" t="s">
        <v>681</v>
      </c>
      <c r="K3529" s="2" t="s">
        <v>137</v>
      </c>
      <c r="L3529" s="2" t="s">
        <v>34</v>
      </c>
      <c r="M3529" s="7">
        <v>170.23599999999999</v>
      </c>
      <c r="N3529" s="7">
        <v>16.875</v>
      </c>
      <c r="O3529" s="5">
        <v>18.5</v>
      </c>
      <c r="P3529" s="2" t="s">
        <v>11072</v>
      </c>
      <c r="Q3529" s="2"/>
      <c r="R3529" s="6">
        <v>23.75</v>
      </c>
      <c r="S3529" s="5">
        <v>0.2</v>
      </c>
      <c r="T3529" s="7">
        <v>23.378</v>
      </c>
      <c r="U3529" s="5">
        <v>8.8000000000000007</v>
      </c>
      <c r="V3529" s="6">
        <v>0.01</v>
      </c>
      <c r="W3529" s="6">
        <v>15.25</v>
      </c>
      <c r="X3529" s="7">
        <v>15.438000000000001</v>
      </c>
      <c r="Y3529" s="7">
        <v>15.438000000000001</v>
      </c>
      <c r="Z3529" s="4">
        <v>22</v>
      </c>
      <c r="AA3529" s="6">
        <v>12.38</v>
      </c>
      <c r="AB3529" s="7">
        <v>31.253</v>
      </c>
      <c r="AC3529" s="6">
        <v>14.85</v>
      </c>
    </row>
    <row r="3530" spans="1:29" ht="91" x14ac:dyDescent="0.15">
      <c r="A3530" s="3">
        <f>DATE(1997,12,12)</f>
        <v>35776</v>
      </c>
      <c r="B3530" s="3">
        <f>DATE(1998,9,10)</f>
        <v>36048</v>
      </c>
      <c r="C3530" s="2" t="s">
        <v>95</v>
      </c>
      <c r="D3530" s="2" t="s">
        <v>11073</v>
      </c>
      <c r="E3530" s="2" t="s">
        <v>3900</v>
      </c>
      <c r="F3530" s="4">
        <v>5812</v>
      </c>
      <c r="G3530" s="2" t="s">
        <v>230</v>
      </c>
      <c r="H3530" s="2" t="s">
        <v>34</v>
      </c>
      <c r="I3530" s="2" t="s">
        <v>11074</v>
      </c>
      <c r="J3530" s="2" t="s">
        <v>3900</v>
      </c>
      <c r="K3530" s="2" t="s">
        <v>230</v>
      </c>
      <c r="L3530" s="2" t="s">
        <v>34</v>
      </c>
      <c r="M3530" s="7">
        <v>78.983999999999995</v>
      </c>
      <c r="N3530" s="6">
        <v>9.75</v>
      </c>
      <c r="O3530" s="5">
        <v>9.5</v>
      </c>
      <c r="P3530" s="2" t="s">
        <v>11075</v>
      </c>
      <c r="Q3530" s="6">
        <v>100</v>
      </c>
      <c r="R3530" s="6">
        <v>8.3800000000000008</v>
      </c>
      <c r="S3530" s="5">
        <v>1</v>
      </c>
      <c r="T3530" s="7">
        <v>3.3460000000000001</v>
      </c>
      <c r="U3530" s="5">
        <v>3</v>
      </c>
      <c r="V3530" s="7">
        <v>0.27700000000000002</v>
      </c>
      <c r="W3530" s="7">
        <v>4.8129999999999997</v>
      </c>
      <c r="X3530" s="7">
        <v>4.8129999999999997</v>
      </c>
      <c r="Y3530" s="9">
        <v>6.5625</v>
      </c>
      <c r="Z3530" s="5">
        <v>6.5</v>
      </c>
      <c r="AA3530" s="6">
        <v>3.62</v>
      </c>
      <c r="AB3530" s="7">
        <v>20.768999999999998</v>
      </c>
      <c r="AC3530" s="2"/>
    </row>
    <row r="3531" spans="1:29" ht="143" x14ac:dyDescent="0.15">
      <c r="A3531" s="3">
        <f t="shared" ref="A3531:A3539" si="50">DATE(1997,12,15)</f>
        <v>35779</v>
      </c>
      <c r="B3531" s="3">
        <f>DATE(1998,8,7)</f>
        <v>36014</v>
      </c>
      <c r="C3531" s="2" t="s">
        <v>95</v>
      </c>
      <c r="D3531" s="2" t="s">
        <v>11076</v>
      </c>
      <c r="E3531" s="2" t="s">
        <v>11077</v>
      </c>
      <c r="F3531" s="4">
        <v>6035</v>
      </c>
      <c r="G3531" s="2" t="s">
        <v>33</v>
      </c>
      <c r="H3531" s="2" t="s">
        <v>34</v>
      </c>
      <c r="I3531" s="2" t="s">
        <v>3433</v>
      </c>
      <c r="J3531" s="2" t="s">
        <v>2898</v>
      </c>
      <c r="K3531" s="2" t="s">
        <v>37</v>
      </c>
      <c r="L3531" s="2" t="s">
        <v>34</v>
      </c>
      <c r="M3531" s="7">
        <v>804.274</v>
      </c>
      <c r="N3531" s="6">
        <v>26.75</v>
      </c>
      <c r="O3531" s="7">
        <v>27.125</v>
      </c>
      <c r="P3531" s="2" t="s">
        <v>11078</v>
      </c>
      <c r="Q3531" s="6">
        <v>100</v>
      </c>
      <c r="R3531" s="6">
        <v>39.92</v>
      </c>
      <c r="S3531" s="5">
        <v>8.5</v>
      </c>
      <c r="T3531" s="7">
        <v>14.115</v>
      </c>
      <c r="U3531" s="5">
        <v>15.8</v>
      </c>
      <c r="V3531" s="6">
        <v>1.32</v>
      </c>
      <c r="W3531" s="6">
        <v>31.75</v>
      </c>
      <c r="X3531" s="7">
        <v>32.625</v>
      </c>
      <c r="Y3531" s="7">
        <v>36.625</v>
      </c>
      <c r="Z3531" s="7">
        <v>36.875</v>
      </c>
      <c r="AA3531" s="6">
        <v>6.5</v>
      </c>
      <c r="AB3531" s="7">
        <v>40.383000000000003</v>
      </c>
      <c r="AC3531" s="2"/>
    </row>
    <row r="3532" spans="1:29" ht="169" x14ac:dyDescent="0.15">
      <c r="A3532" s="3">
        <f t="shared" si="50"/>
        <v>35779</v>
      </c>
      <c r="B3532" s="3">
        <f>DATE(1998,8,3)</f>
        <v>36010</v>
      </c>
      <c r="C3532" s="2" t="s">
        <v>95</v>
      </c>
      <c r="D3532" s="2" t="s">
        <v>6610</v>
      </c>
      <c r="E3532" s="2" t="s">
        <v>36</v>
      </c>
      <c r="F3532" s="4">
        <v>6021</v>
      </c>
      <c r="G3532" s="2" t="s">
        <v>37</v>
      </c>
      <c r="H3532" s="2" t="s">
        <v>34</v>
      </c>
      <c r="I3532" s="2" t="s">
        <v>1745</v>
      </c>
      <c r="J3532" s="2" t="s">
        <v>1746</v>
      </c>
      <c r="K3532" s="2" t="s">
        <v>33</v>
      </c>
      <c r="L3532" s="2" t="s">
        <v>34</v>
      </c>
      <c r="M3532" s="12">
        <v>1680.3140000000001</v>
      </c>
      <c r="N3532" s="7">
        <v>20.437999999999999</v>
      </c>
      <c r="O3532" s="6">
        <v>20.75</v>
      </c>
      <c r="P3532" s="2" t="s">
        <v>11079</v>
      </c>
      <c r="Q3532" s="6">
        <v>100</v>
      </c>
      <c r="R3532" s="6">
        <v>32.42</v>
      </c>
      <c r="S3532" s="5">
        <v>3.6</v>
      </c>
      <c r="T3532" s="2"/>
      <c r="U3532" s="5">
        <v>12.8</v>
      </c>
      <c r="V3532" s="6">
        <v>1.42</v>
      </c>
      <c r="W3532" s="6">
        <v>31.25</v>
      </c>
      <c r="X3532" s="4">
        <v>32</v>
      </c>
      <c r="Y3532" s="9">
        <v>34.0625</v>
      </c>
      <c r="Z3532" s="7">
        <v>34.125</v>
      </c>
      <c r="AA3532" s="6">
        <v>2.73</v>
      </c>
      <c r="AB3532" s="7">
        <v>30.687000000000001</v>
      </c>
      <c r="AC3532" s="2"/>
    </row>
    <row r="3533" spans="1:29" ht="221" x14ac:dyDescent="0.15">
      <c r="A3533" s="3">
        <f t="shared" si="50"/>
        <v>35779</v>
      </c>
      <c r="B3533" s="3">
        <f>DATE(1999,2,8)</f>
        <v>36199</v>
      </c>
      <c r="C3533" s="2" t="s">
        <v>95</v>
      </c>
      <c r="D3533" s="2" t="s">
        <v>11080</v>
      </c>
      <c r="E3533" s="2" t="s">
        <v>11081</v>
      </c>
      <c r="F3533" s="4">
        <v>4222</v>
      </c>
      <c r="G3533" s="2" t="s">
        <v>173</v>
      </c>
      <c r="H3533" s="2" t="s">
        <v>34</v>
      </c>
      <c r="I3533" s="2" t="s">
        <v>11082</v>
      </c>
      <c r="J3533" s="2" t="s">
        <v>2180</v>
      </c>
      <c r="K3533" s="2" t="s">
        <v>300</v>
      </c>
      <c r="L3533" s="2" t="s">
        <v>34</v>
      </c>
      <c r="M3533" s="2"/>
      <c r="N3533" s="6">
        <v>41.25</v>
      </c>
      <c r="O3533" s="5">
        <v>44.5</v>
      </c>
      <c r="P3533" s="2" t="s">
        <v>11083</v>
      </c>
      <c r="Q3533" s="6">
        <v>100</v>
      </c>
      <c r="R3533" s="6">
        <v>20.100000000000001</v>
      </c>
      <c r="S3533" s="5">
        <v>5</v>
      </c>
      <c r="T3533" s="7">
        <v>12.218</v>
      </c>
      <c r="U3533" s="5">
        <v>19.3</v>
      </c>
      <c r="V3533" s="6">
        <v>0.96</v>
      </c>
      <c r="W3533" s="7">
        <v>41.625</v>
      </c>
      <c r="X3533" s="6">
        <v>40.75</v>
      </c>
      <c r="Y3533" s="7">
        <v>41.125</v>
      </c>
      <c r="Z3533" s="7">
        <v>37.375</v>
      </c>
      <c r="AA3533" s="6">
        <v>5.14</v>
      </c>
      <c r="AB3533" s="7">
        <v>23.276</v>
      </c>
      <c r="AC3533" s="6">
        <v>40.200000000000003</v>
      </c>
    </row>
    <row r="3534" spans="1:29" ht="143" x14ac:dyDescent="0.15">
      <c r="A3534" s="3">
        <f t="shared" si="50"/>
        <v>35779</v>
      </c>
      <c r="B3534" s="3">
        <f>DATE(1998,3,27)</f>
        <v>35881</v>
      </c>
      <c r="C3534" s="2" t="s">
        <v>95</v>
      </c>
      <c r="D3534" s="2" t="s">
        <v>11084</v>
      </c>
      <c r="E3534" s="2" t="s">
        <v>7151</v>
      </c>
      <c r="F3534" s="4">
        <v>5047</v>
      </c>
      <c r="G3534" s="2" t="s">
        <v>76</v>
      </c>
      <c r="H3534" s="2" t="s">
        <v>34</v>
      </c>
      <c r="I3534" s="2" t="s">
        <v>11085</v>
      </c>
      <c r="J3534" s="2" t="s">
        <v>3620</v>
      </c>
      <c r="K3534" s="2" t="s">
        <v>76</v>
      </c>
      <c r="L3534" s="2" t="s">
        <v>34</v>
      </c>
      <c r="M3534" s="12">
        <v>1005.663</v>
      </c>
      <c r="N3534" s="7">
        <v>18.312999999999999</v>
      </c>
      <c r="O3534" s="5">
        <v>19.5</v>
      </c>
      <c r="P3534" s="2" t="s">
        <v>11086</v>
      </c>
      <c r="Q3534" s="6">
        <v>100</v>
      </c>
      <c r="R3534" s="6">
        <v>40.25</v>
      </c>
      <c r="S3534" s="5">
        <v>10.7</v>
      </c>
      <c r="T3534" s="7">
        <v>18.408000000000001</v>
      </c>
      <c r="U3534" s="5">
        <v>8.9</v>
      </c>
      <c r="V3534" s="6">
        <v>0.69</v>
      </c>
      <c r="W3534" s="4">
        <v>33</v>
      </c>
      <c r="X3534" s="7">
        <v>29.062999999999999</v>
      </c>
      <c r="Y3534" s="7">
        <v>31.125</v>
      </c>
      <c r="Z3534" s="7">
        <v>32.938000000000002</v>
      </c>
      <c r="AA3534" s="6">
        <v>16.32</v>
      </c>
      <c r="AB3534" s="7">
        <v>35.222999999999999</v>
      </c>
      <c r="AC3534" s="6">
        <v>43.79</v>
      </c>
    </row>
    <row r="3535" spans="1:29" ht="156" x14ac:dyDescent="0.15">
      <c r="A3535" s="3">
        <f t="shared" si="50"/>
        <v>35779</v>
      </c>
      <c r="B3535" s="3">
        <f>DATE(1998,5,29)</f>
        <v>35944</v>
      </c>
      <c r="C3535" s="2" t="s">
        <v>95</v>
      </c>
      <c r="D3535" s="2" t="s">
        <v>7054</v>
      </c>
      <c r="E3535" s="2" t="s">
        <v>203</v>
      </c>
      <c r="F3535" s="4">
        <v>6036</v>
      </c>
      <c r="G3535" s="2" t="s">
        <v>33</v>
      </c>
      <c r="H3535" s="2" t="s">
        <v>34</v>
      </c>
      <c r="I3535" s="2" t="s">
        <v>4381</v>
      </c>
      <c r="J3535" s="2" t="s">
        <v>263</v>
      </c>
      <c r="K3535" s="2" t="s">
        <v>37</v>
      </c>
      <c r="L3535" s="2" t="s">
        <v>34</v>
      </c>
      <c r="M3535" s="12">
        <v>7212.6670000000004</v>
      </c>
      <c r="N3535" s="7">
        <v>36.625</v>
      </c>
      <c r="O3535" s="6">
        <v>36.25</v>
      </c>
      <c r="P3535" s="2" t="s">
        <v>11087</v>
      </c>
      <c r="Q3535" s="6">
        <v>81</v>
      </c>
      <c r="R3535" s="6">
        <v>36.020000000000003</v>
      </c>
      <c r="S3535" s="5">
        <v>4.3</v>
      </c>
      <c r="T3535" s="7">
        <v>8.5269999999999992</v>
      </c>
      <c r="U3535" s="5">
        <v>26.8</v>
      </c>
      <c r="V3535" s="7">
        <v>1.115</v>
      </c>
      <c r="W3535" s="7">
        <v>27.375</v>
      </c>
      <c r="X3535" s="7">
        <v>27.625</v>
      </c>
      <c r="Y3535" s="4">
        <v>28</v>
      </c>
      <c r="Z3535" s="7">
        <v>27.875</v>
      </c>
      <c r="AA3535" s="6">
        <v>2.84</v>
      </c>
      <c r="AB3535" s="7">
        <v>108.008</v>
      </c>
      <c r="AC3535" s="2"/>
    </row>
    <row r="3536" spans="1:29" ht="117" x14ac:dyDescent="0.15">
      <c r="A3536" s="3">
        <f t="shared" si="50"/>
        <v>35779</v>
      </c>
      <c r="B3536" s="3">
        <f>DATE(1998,2,24)</f>
        <v>35850</v>
      </c>
      <c r="C3536" s="2" t="s">
        <v>95</v>
      </c>
      <c r="D3536" s="2" t="s">
        <v>9620</v>
      </c>
      <c r="E3536" s="2" t="s">
        <v>9621</v>
      </c>
      <c r="F3536" s="4">
        <v>7992</v>
      </c>
      <c r="G3536" s="2" t="s">
        <v>364</v>
      </c>
      <c r="H3536" s="2" t="s">
        <v>34</v>
      </c>
      <c r="I3536" s="2" t="s">
        <v>11088</v>
      </c>
      <c r="J3536" s="2" t="s">
        <v>11089</v>
      </c>
      <c r="K3536" s="2" t="s">
        <v>364</v>
      </c>
      <c r="L3536" s="2" t="s">
        <v>34</v>
      </c>
      <c r="M3536" s="6">
        <v>353.03</v>
      </c>
      <c r="N3536" s="7">
        <v>29.875</v>
      </c>
      <c r="O3536" s="7">
        <v>31.375</v>
      </c>
      <c r="P3536" s="2" t="s">
        <v>11090</v>
      </c>
      <c r="Q3536" s="6">
        <v>100</v>
      </c>
      <c r="R3536" s="6">
        <v>1.5</v>
      </c>
      <c r="S3536" s="5">
        <v>-2.9</v>
      </c>
      <c r="T3536" s="7">
        <v>-1.681</v>
      </c>
      <c r="U3536" s="5">
        <v>1</v>
      </c>
      <c r="V3536" s="7">
        <v>-2.0259999999999998</v>
      </c>
      <c r="W3536" s="7">
        <v>1.875</v>
      </c>
      <c r="X3536" s="5">
        <v>1.5</v>
      </c>
      <c r="Y3536" s="7">
        <v>1.625</v>
      </c>
      <c r="Z3536" s="7">
        <v>2.1880000000000002</v>
      </c>
      <c r="AA3536" s="6">
        <v>4.42</v>
      </c>
      <c r="AB3536" s="2" t="s">
        <v>86</v>
      </c>
      <c r="AC3536" s="6">
        <v>38.39</v>
      </c>
    </row>
    <row r="3537" spans="1:29" ht="169" x14ac:dyDescent="0.15">
      <c r="A3537" s="3">
        <f t="shared" si="50"/>
        <v>35779</v>
      </c>
      <c r="B3537" s="3">
        <f>DATE(1998,5,30)</f>
        <v>35945</v>
      </c>
      <c r="C3537" s="2" t="s">
        <v>95</v>
      </c>
      <c r="D3537" s="2" t="s">
        <v>11091</v>
      </c>
      <c r="E3537" s="2" t="s">
        <v>389</v>
      </c>
      <c r="F3537" s="4">
        <v>6035</v>
      </c>
      <c r="G3537" s="2" t="s">
        <v>33</v>
      </c>
      <c r="H3537" s="2" t="s">
        <v>34</v>
      </c>
      <c r="I3537" s="2" t="s">
        <v>3861</v>
      </c>
      <c r="J3537" s="2" t="s">
        <v>1181</v>
      </c>
      <c r="K3537" s="2" t="s">
        <v>37</v>
      </c>
      <c r="L3537" s="2" t="s">
        <v>34</v>
      </c>
      <c r="M3537" s="12">
        <v>1039.095</v>
      </c>
      <c r="N3537" s="6">
        <v>53.25</v>
      </c>
      <c r="O3537" s="7">
        <v>35.125</v>
      </c>
      <c r="P3537" s="2" t="s">
        <v>11092</v>
      </c>
      <c r="Q3537" s="6">
        <v>100</v>
      </c>
      <c r="R3537" s="2"/>
      <c r="S3537" s="5">
        <v>1.6</v>
      </c>
      <c r="T3537" s="7">
        <v>3.8820000000000001</v>
      </c>
      <c r="U3537" s="5">
        <v>18.2</v>
      </c>
      <c r="V3537" s="7">
        <v>0.82499999999999996</v>
      </c>
      <c r="W3537" s="5">
        <v>28.5</v>
      </c>
      <c r="X3537" s="6">
        <v>27.75</v>
      </c>
      <c r="Y3537" s="7">
        <v>27.875</v>
      </c>
      <c r="Z3537" s="7">
        <v>29.125</v>
      </c>
      <c r="AA3537" s="6">
        <v>1.99</v>
      </c>
      <c r="AB3537" s="7">
        <v>153.22999999999999</v>
      </c>
      <c r="AC3537" s="2"/>
    </row>
    <row r="3538" spans="1:29" ht="65" x14ac:dyDescent="0.15">
      <c r="A3538" s="3">
        <f t="shared" si="50"/>
        <v>35779</v>
      </c>
      <c r="B3538" s="3">
        <f>DATE(1998,5,1)</f>
        <v>35916</v>
      </c>
      <c r="C3538" s="2" t="s">
        <v>95</v>
      </c>
      <c r="D3538" s="2" t="s">
        <v>11093</v>
      </c>
      <c r="E3538" s="2" t="s">
        <v>11094</v>
      </c>
      <c r="F3538" s="4">
        <v>6211</v>
      </c>
      <c r="G3538" s="2" t="s">
        <v>53</v>
      </c>
      <c r="H3538" s="2" t="s">
        <v>34</v>
      </c>
      <c r="I3538" s="2" t="s">
        <v>9454</v>
      </c>
      <c r="J3538" s="2" t="s">
        <v>36</v>
      </c>
      <c r="K3538" s="2" t="s">
        <v>37</v>
      </c>
      <c r="L3538" s="2" t="s">
        <v>34</v>
      </c>
      <c r="M3538" s="12">
        <v>15453.871999999999</v>
      </c>
      <c r="N3538" s="4">
        <v>115</v>
      </c>
      <c r="O3538" s="4">
        <v>113</v>
      </c>
      <c r="P3538" s="2" t="s">
        <v>11095</v>
      </c>
      <c r="Q3538" s="6">
        <v>100</v>
      </c>
      <c r="R3538" s="6">
        <v>37.25</v>
      </c>
      <c r="S3538" s="5">
        <v>1</v>
      </c>
      <c r="T3538" s="7">
        <v>42.829000000000001</v>
      </c>
      <c r="U3538" s="5">
        <v>9.1</v>
      </c>
      <c r="V3538" s="6">
        <v>0.05</v>
      </c>
      <c r="W3538" s="4">
        <v>30</v>
      </c>
      <c r="X3538" s="6">
        <v>29.75</v>
      </c>
      <c r="Y3538" s="7">
        <v>36.375</v>
      </c>
      <c r="Z3538" s="7">
        <v>36.188000000000002</v>
      </c>
      <c r="AA3538" s="6">
        <v>18.670000000000002</v>
      </c>
      <c r="AB3538" s="7">
        <v>33.110999999999997</v>
      </c>
      <c r="AC3538" s="2"/>
    </row>
    <row r="3539" spans="1:29" ht="91" x14ac:dyDescent="0.15">
      <c r="A3539" s="3">
        <f t="shared" si="50"/>
        <v>35779</v>
      </c>
      <c r="B3539" s="3">
        <f>DATE(1998,3,2)</f>
        <v>35856</v>
      </c>
      <c r="C3539" s="2" t="s">
        <v>95</v>
      </c>
      <c r="D3539" s="2" t="s">
        <v>11096</v>
      </c>
      <c r="E3539" s="2" t="s">
        <v>839</v>
      </c>
      <c r="F3539" s="4">
        <v>2834</v>
      </c>
      <c r="G3539" s="2" t="s">
        <v>130</v>
      </c>
      <c r="H3539" s="2" t="s">
        <v>34</v>
      </c>
      <c r="I3539" s="2" t="s">
        <v>7644</v>
      </c>
      <c r="J3539" s="2" t="s">
        <v>540</v>
      </c>
      <c r="K3539" s="2" t="s">
        <v>130</v>
      </c>
      <c r="L3539" s="2" t="s">
        <v>7645</v>
      </c>
      <c r="M3539" s="2"/>
      <c r="N3539" s="2"/>
      <c r="O3539" s="2"/>
      <c r="P3539" s="2" t="s">
        <v>11097</v>
      </c>
      <c r="Q3539" s="6">
        <v>100</v>
      </c>
      <c r="R3539" s="6">
        <v>35.119999999999997</v>
      </c>
      <c r="S3539" s="5">
        <v>-16.8</v>
      </c>
      <c r="T3539" s="7">
        <v>-18.831</v>
      </c>
      <c r="U3539" s="5">
        <v>3.1</v>
      </c>
      <c r="V3539" s="7">
        <v>-1.669</v>
      </c>
      <c r="W3539" s="7">
        <v>24.625</v>
      </c>
      <c r="X3539" s="4">
        <v>23</v>
      </c>
      <c r="Y3539" s="6">
        <v>32.25</v>
      </c>
      <c r="Z3539" s="6">
        <v>33.25</v>
      </c>
      <c r="AA3539" s="6">
        <v>10.51</v>
      </c>
      <c r="AB3539" s="2" t="s">
        <v>86</v>
      </c>
      <c r="AC3539" s="6">
        <v>224.05</v>
      </c>
    </row>
    <row r="3540" spans="1:29" ht="130" x14ac:dyDescent="0.15">
      <c r="A3540" s="3">
        <f t="shared" ref="A3540:A3545" si="51">DATE(1997,12,16)</f>
        <v>35780</v>
      </c>
      <c r="B3540" s="3">
        <f>DATE(1998,5,8)</f>
        <v>35923</v>
      </c>
      <c r="C3540" s="2" t="s">
        <v>95</v>
      </c>
      <c r="D3540" s="2" t="s">
        <v>11098</v>
      </c>
      <c r="E3540" s="2" t="s">
        <v>92</v>
      </c>
      <c r="F3540" s="4">
        <v>6798</v>
      </c>
      <c r="G3540" s="2" t="s">
        <v>53</v>
      </c>
      <c r="H3540" s="2" t="s">
        <v>34</v>
      </c>
      <c r="I3540" s="2" t="s">
        <v>9325</v>
      </c>
      <c r="J3540" s="2" t="s">
        <v>92</v>
      </c>
      <c r="K3540" s="2" t="s">
        <v>53</v>
      </c>
      <c r="L3540" s="2" t="s">
        <v>34</v>
      </c>
      <c r="M3540" s="12">
        <v>1879.1880000000001</v>
      </c>
      <c r="N3540" s="7">
        <v>35.125</v>
      </c>
      <c r="O3540" s="7">
        <v>35.063000000000002</v>
      </c>
      <c r="P3540" s="2" t="s">
        <v>11099</v>
      </c>
      <c r="Q3540" s="6">
        <v>100</v>
      </c>
      <c r="R3540" s="6">
        <v>21.08</v>
      </c>
      <c r="S3540" s="5">
        <v>2.5</v>
      </c>
      <c r="T3540" s="7">
        <v>23.385999999999999</v>
      </c>
      <c r="U3540" s="5">
        <v>10.199999999999999</v>
      </c>
      <c r="V3540" s="6">
        <v>0.02</v>
      </c>
      <c r="W3540" s="4">
        <v>20</v>
      </c>
      <c r="X3540" s="7">
        <v>20.187999999999999</v>
      </c>
      <c r="Y3540" s="4">
        <v>21</v>
      </c>
      <c r="Z3540" s="7">
        <v>20.125</v>
      </c>
      <c r="AA3540" s="6">
        <v>12.3</v>
      </c>
      <c r="AB3540" s="7">
        <v>135.91300000000001</v>
      </c>
      <c r="AC3540" s="6">
        <v>61.32</v>
      </c>
    </row>
    <row r="3541" spans="1:29" ht="143" x14ac:dyDescent="0.15">
      <c r="A3541" s="3">
        <f t="shared" si="51"/>
        <v>35780</v>
      </c>
      <c r="B3541" s="3">
        <f>DATE(1998,3,30)</f>
        <v>35884</v>
      </c>
      <c r="C3541" s="2" t="s">
        <v>95</v>
      </c>
      <c r="D3541" s="2" t="s">
        <v>11100</v>
      </c>
      <c r="E3541" s="2" t="s">
        <v>6652</v>
      </c>
      <c r="F3541" s="4">
        <v>6035</v>
      </c>
      <c r="G3541" s="2" t="s">
        <v>33</v>
      </c>
      <c r="H3541" s="2" t="s">
        <v>34</v>
      </c>
      <c r="I3541" s="2" t="s">
        <v>7457</v>
      </c>
      <c r="J3541" s="2" t="s">
        <v>36</v>
      </c>
      <c r="K3541" s="2" t="s">
        <v>37</v>
      </c>
      <c r="L3541" s="2" t="s">
        <v>34</v>
      </c>
      <c r="M3541" s="12">
        <v>1036.221</v>
      </c>
      <c r="N3541" s="6">
        <v>39.75</v>
      </c>
      <c r="O3541" s="7">
        <v>39.625</v>
      </c>
      <c r="P3541" s="2" t="s">
        <v>11101</v>
      </c>
      <c r="Q3541" s="6">
        <v>100</v>
      </c>
      <c r="R3541" s="6">
        <v>42.98</v>
      </c>
      <c r="S3541" s="5">
        <v>7.7</v>
      </c>
      <c r="T3541" s="7">
        <v>12.746</v>
      </c>
      <c r="U3541" s="5">
        <v>16.7</v>
      </c>
      <c r="V3541" s="7">
        <v>1.639</v>
      </c>
      <c r="W3541" s="6">
        <v>33.75</v>
      </c>
      <c r="X3541" s="7">
        <v>35.125</v>
      </c>
      <c r="Y3541" s="7">
        <v>39.125</v>
      </c>
      <c r="Z3541" s="4">
        <v>40</v>
      </c>
      <c r="AA3541" s="6">
        <v>4.5199999999999996</v>
      </c>
      <c r="AB3541" s="7">
        <v>50.698999999999998</v>
      </c>
      <c r="AC3541" s="2"/>
    </row>
    <row r="3542" spans="1:29" ht="143" x14ac:dyDescent="0.15">
      <c r="A3542" s="3">
        <f t="shared" si="51"/>
        <v>35780</v>
      </c>
      <c r="B3542" s="3">
        <f>DATE(1998,7,2)</f>
        <v>35978</v>
      </c>
      <c r="C3542" s="2" t="s">
        <v>95</v>
      </c>
      <c r="D3542" s="2" t="s">
        <v>11102</v>
      </c>
      <c r="E3542" s="2" t="s">
        <v>36</v>
      </c>
      <c r="F3542" s="4">
        <v>6021</v>
      </c>
      <c r="G3542" s="2" t="s">
        <v>37</v>
      </c>
      <c r="H3542" s="2" t="s">
        <v>34</v>
      </c>
      <c r="I3542" s="2" t="s">
        <v>9701</v>
      </c>
      <c r="J3542" s="2" t="s">
        <v>672</v>
      </c>
      <c r="K3542" s="2" t="s">
        <v>37</v>
      </c>
      <c r="L3542" s="2" t="s">
        <v>34</v>
      </c>
      <c r="M3542" s="12">
        <v>7304.8059999999996</v>
      </c>
      <c r="N3542" s="6">
        <v>63.25</v>
      </c>
      <c r="O3542" s="7">
        <v>63.438000000000002</v>
      </c>
      <c r="P3542" s="2" t="s">
        <v>11103</v>
      </c>
      <c r="Q3542" s="6">
        <v>100</v>
      </c>
      <c r="R3542" s="6">
        <v>22.45</v>
      </c>
      <c r="S3542" s="5">
        <v>5.6</v>
      </c>
      <c r="T3542" s="7">
        <v>10.054</v>
      </c>
      <c r="U3542" s="5">
        <v>5.6</v>
      </c>
      <c r="V3542" s="7">
        <v>0.81599999999999995</v>
      </c>
      <c r="W3542" s="4">
        <v>17</v>
      </c>
      <c r="X3542" s="5">
        <v>18.5</v>
      </c>
      <c r="Y3542" s="5">
        <v>18.5</v>
      </c>
      <c r="Z3542" s="7">
        <v>21.625</v>
      </c>
      <c r="AA3542" s="6">
        <v>6.61</v>
      </c>
      <c r="AB3542" s="7">
        <v>51.978000000000002</v>
      </c>
      <c r="AC3542" s="2"/>
    </row>
    <row r="3543" spans="1:29" ht="104" x14ac:dyDescent="0.15">
      <c r="A3543" s="3">
        <f t="shared" si="51"/>
        <v>35780</v>
      </c>
      <c r="B3543" s="2"/>
      <c r="C3543" s="2" t="s">
        <v>30</v>
      </c>
      <c r="D3543" s="2" t="s">
        <v>11104</v>
      </c>
      <c r="E3543" s="2" t="s">
        <v>11105</v>
      </c>
      <c r="F3543" s="4">
        <v>1799</v>
      </c>
      <c r="G3543" s="2" t="s">
        <v>341</v>
      </c>
      <c r="H3543" s="2" t="s">
        <v>34</v>
      </c>
      <c r="I3543" s="2" t="s">
        <v>10157</v>
      </c>
      <c r="J3543" s="2" t="s">
        <v>10158</v>
      </c>
      <c r="K3543" s="2" t="s">
        <v>300</v>
      </c>
      <c r="L3543" s="2" t="s">
        <v>34</v>
      </c>
      <c r="M3543" s="6">
        <v>323.52</v>
      </c>
      <c r="N3543" s="7">
        <v>11.125</v>
      </c>
      <c r="O3543" s="6">
        <v>11.75</v>
      </c>
      <c r="P3543" s="2" t="s">
        <v>11106</v>
      </c>
      <c r="Q3543" s="2"/>
      <c r="R3543" s="6">
        <v>10</v>
      </c>
      <c r="S3543" s="5">
        <v>3</v>
      </c>
      <c r="T3543" s="7">
        <v>10.861000000000001</v>
      </c>
      <c r="U3543" s="5">
        <v>4.0999999999999996</v>
      </c>
      <c r="V3543" s="9">
        <v>0.15310000000000001</v>
      </c>
      <c r="W3543" s="6">
        <v>8.25</v>
      </c>
      <c r="X3543" s="7">
        <v>8.125</v>
      </c>
      <c r="Y3543" s="9">
        <v>8.1875</v>
      </c>
      <c r="Z3543" s="9">
        <v>9.4375</v>
      </c>
      <c r="AA3543" s="6">
        <v>9.9700000000000006</v>
      </c>
      <c r="AB3543" s="7">
        <v>36.795999999999999</v>
      </c>
      <c r="AC3543" s="6">
        <v>6.48</v>
      </c>
    </row>
    <row r="3544" spans="1:29" ht="52" x14ac:dyDescent="0.15">
      <c r="A3544" s="3">
        <f t="shared" si="51"/>
        <v>35780</v>
      </c>
      <c r="B3544" s="3">
        <f>DATE(1998,3,9)</f>
        <v>35863</v>
      </c>
      <c r="C3544" s="2" t="s">
        <v>95</v>
      </c>
      <c r="D3544" s="2" t="s">
        <v>11107</v>
      </c>
      <c r="E3544" s="2" t="s">
        <v>1046</v>
      </c>
      <c r="F3544" s="4">
        <v>3674</v>
      </c>
      <c r="G3544" s="2" t="s">
        <v>137</v>
      </c>
      <c r="H3544" s="2" t="s">
        <v>34</v>
      </c>
      <c r="I3544" s="2" t="s">
        <v>8179</v>
      </c>
      <c r="J3544" s="2" t="s">
        <v>207</v>
      </c>
      <c r="K3544" s="2" t="s">
        <v>137</v>
      </c>
      <c r="L3544" s="2" t="s">
        <v>34</v>
      </c>
      <c r="M3544" s="12">
        <v>1376.2080000000001</v>
      </c>
      <c r="N3544" s="7">
        <v>22.125</v>
      </c>
      <c r="O3544" s="7">
        <v>20.812999999999999</v>
      </c>
      <c r="P3544" s="2" t="s">
        <v>11108</v>
      </c>
      <c r="Q3544" s="6">
        <v>80.319999999999993</v>
      </c>
      <c r="R3544" s="2"/>
      <c r="S3544" s="5">
        <v>26</v>
      </c>
      <c r="T3544" s="7">
        <v>49.786999999999999</v>
      </c>
      <c r="U3544" s="5">
        <v>3.9</v>
      </c>
      <c r="V3544" s="6">
        <v>0.87</v>
      </c>
      <c r="W3544" s="4">
        <v>43</v>
      </c>
      <c r="X3544" s="4">
        <v>39</v>
      </c>
      <c r="Y3544" s="4">
        <v>43</v>
      </c>
      <c r="Z3544" s="4">
        <v>43</v>
      </c>
      <c r="AA3544" s="6">
        <v>9.9600000000000009</v>
      </c>
      <c r="AB3544" s="2" t="s">
        <v>47</v>
      </c>
      <c r="AC3544" s="6">
        <v>20.95</v>
      </c>
    </row>
    <row r="3545" spans="1:29" ht="130" x14ac:dyDescent="0.15">
      <c r="A3545" s="3">
        <f t="shared" si="51"/>
        <v>35780</v>
      </c>
      <c r="B3545" s="3">
        <f>DATE(1998,1,30)</f>
        <v>35825</v>
      </c>
      <c r="C3545" s="2" t="s">
        <v>95</v>
      </c>
      <c r="D3545" s="2" t="s">
        <v>11109</v>
      </c>
      <c r="E3545" s="2" t="s">
        <v>11110</v>
      </c>
      <c r="F3545" s="4">
        <v>3842</v>
      </c>
      <c r="G3545" s="2" t="s">
        <v>226</v>
      </c>
      <c r="H3545" s="2" t="s">
        <v>34</v>
      </c>
      <c r="I3545" s="2" t="s">
        <v>11111</v>
      </c>
      <c r="J3545" s="2" t="s">
        <v>11112</v>
      </c>
      <c r="K3545" s="2" t="s">
        <v>300</v>
      </c>
      <c r="L3545" s="2" t="s">
        <v>215</v>
      </c>
      <c r="M3545" s="2"/>
      <c r="N3545" s="2"/>
      <c r="O3545" s="2"/>
      <c r="P3545" s="2" t="s">
        <v>11113</v>
      </c>
      <c r="Q3545" s="6">
        <v>100</v>
      </c>
      <c r="R3545" s="6">
        <v>52</v>
      </c>
      <c r="S3545" s="5">
        <v>-0.2</v>
      </c>
      <c r="T3545" s="7">
        <v>-2.9390000000000001</v>
      </c>
      <c r="U3545" s="5">
        <v>3.3</v>
      </c>
      <c r="V3545" s="6">
        <v>-0.02</v>
      </c>
      <c r="W3545" s="4">
        <v>34</v>
      </c>
      <c r="X3545" s="5">
        <v>45.5</v>
      </c>
      <c r="Y3545" s="5">
        <v>51.5</v>
      </c>
      <c r="Z3545" s="7">
        <v>51.375</v>
      </c>
      <c r="AA3545" s="6">
        <v>10.23</v>
      </c>
      <c r="AB3545" s="2" t="s">
        <v>86</v>
      </c>
      <c r="AC3545" s="6">
        <v>85.1</v>
      </c>
    </row>
    <row r="3546" spans="1:29" ht="104" x14ac:dyDescent="0.15">
      <c r="A3546" s="3">
        <f>DATE(1997,12,17)</f>
        <v>35781</v>
      </c>
      <c r="B3546" s="3">
        <f>DATE(1998,3,31)</f>
        <v>35885</v>
      </c>
      <c r="C3546" s="2" t="s">
        <v>95</v>
      </c>
      <c r="D3546" s="2" t="s">
        <v>11114</v>
      </c>
      <c r="E3546" s="2" t="s">
        <v>11115</v>
      </c>
      <c r="F3546" s="4">
        <v>8093</v>
      </c>
      <c r="G3546" s="2" t="s">
        <v>454</v>
      </c>
      <c r="H3546" s="2" t="s">
        <v>34</v>
      </c>
      <c r="I3546" s="2" t="s">
        <v>6927</v>
      </c>
      <c r="J3546" s="2" t="s">
        <v>6928</v>
      </c>
      <c r="K3546" s="2" t="s">
        <v>454</v>
      </c>
      <c r="L3546" s="2" t="s">
        <v>34</v>
      </c>
      <c r="M3546" s="12">
        <v>10333.071</v>
      </c>
      <c r="N3546" s="7">
        <v>27.375</v>
      </c>
      <c r="O3546" s="7">
        <v>27.375</v>
      </c>
      <c r="P3546" s="2" t="s">
        <v>11116</v>
      </c>
      <c r="Q3546" s="6">
        <v>100</v>
      </c>
      <c r="R3546" s="6">
        <v>4.01</v>
      </c>
      <c r="S3546" s="5">
        <v>-1.6</v>
      </c>
      <c r="T3546" s="7">
        <v>-5.0999999999999997E-2</v>
      </c>
      <c r="U3546" s="5">
        <v>2.2999999999999998</v>
      </c>
      <c r="V3546" s="6">
        <v>-0.33</v>
      </c>
      <c r="W3546" s="7">
        <v>3.375</v>
      </c>
      <c r="X3546" s="6">
        <v>3.25</v>
      </c>
      <c r="Y3546" s="7">
        <v>3.4380000000000002</v>
      </c>
      <c r="Z3546" s="7">
        <v>3.375</v>
      </c>
      <c r="AA3546" s="6">
        <v>4.91</v>
      </c>
      <c r="AB3546" s="2" t="s">
        <v>86</v>
      </c>
      <c r="AC3546" s="6">
        <v>151.79</v>
      </c>
    </row>
    <row r="3547" spans="1:29" ht="130" x14ac:dyDescent="0.15">
      <c r="A3547" s="3">
        <f>DATE(1997,12,17)</f>
        <v>35781</v>
      </c>
      <c r="B3547" s="3">
        <f>DATE(1998,4,8)</f>
        <v>35893</v>
      </c>
      <c r="C3547" s="2" t="s">
        <v>95</v>
      </c>
      <c r="D3547" s="2" t="s">
        <v>11117</v>
      </c>
      <c r="E3547" s="2" t="s">
        <v>92</v>
      </c>
      <c r="F3547" s="4">
        <v>6798</v>
      </c>
      <c r="G3547" s="2" t="s">
        <v>53</v>
      </c>
      <c r="H3547" s="2" t="s">
        <v>34</v>
      </c>
      <c r="I3547" s="2" t="s">
        <v>9025</v>
      </c>
      <c r="J3547" s="2" t="s">
        <v>92</v>
      </c>
      <c r="K3547" s="2" t="s">
        <v>53</v>
      </c>
      <c r="L3547" s="2" t="s">
        <v>34</v>
      </c>
      <c r="M3547" s="12">
        <v>1011.807</v>
      </c>
      <c r="N3547" s="7">
        <v>31.125</v>
      </c>
      <c r="O3547" s="7">
        <v>30.312999999999999</v>
      </c>
      <c r="P3547" s="2" t="s">
        <v>11118</v>
      </c>
      <c r="Q3547" s="6">
        <v>100</v>
      </c>
      <c r="R3547" s="6">
        <v>24.29</v>
      </c>
      <c r="S3547" s="5">
        <v>30.8</v>
      </c>
      <c r="T3547" s="7">
        <v>43.978999999999999</v>
      </c>
      <c r="U3547" s="5">
        <v>22.9</v>
      </c>
      <c r="V3547" s="6">
        <v>1.32</v>
      </c>
      <c r="W3547" s="7">
        <v>21.937999999999999</v>
      </c>
      <c r="X3547" s="7">
        <v>22.187999999999999</v>
      </c>
      <c r="Y3547" s="7">
        <v>22.687999999999999</v>
      </c>
      <c r="Z3547" s="6">
        <v>22.25</v>
      </c>
      <c r="AA3547" s="6">
        <v>16.239999999999998</v>
      </c>
      <c r="AB3547" s="7">
        <v>27.631</v>
      </c>
      <c r="AC3547" s="6">
        <v>4.79</v>
      </c>
    </row>
    <row r="3548" spans="1:29" ht="52" x14ac:dyDescent="0.15">
      <c r="A3548" s="3">
        <f>DATE(1997,12,17)</f>
        <v>35781</v>
      </c>
      <c r="B3548" s="2"/>
      <c r="C3548" s="2" t="s">
        <v>39</v>
      </c>
      <c r="D3548" s="2" t="s">
        <v>11119</v>
      </c>
      <c r="E3548" s="2" t="s">
        <v>92</v>
      </c>
      <c r="F3548" s="4">
        <v>6798</v>
      </c>
      <c r="G3548" s="2" t="s">
        <v>53</v>
      </c>
      <c r="H3548" s="2" t="s">
        <v>34</v>
      </c>
      <c r="I3548" s="2" t="s">
        <v>143</v>
      </c>
      <c r="J3548" s="2" t="s">
        <v>144</v>
      </c>
      <c r="K3548" s="2" t="s">
        <v>53</v>
      </c>
      <c r="L3548" s="2" t="s">
        <v>139</v>
      </c>
      <c r="M3548" s="2"/>
      <c r="N3548" s="2"/>
      <c r="O3548" s="2"/>
      <c r="P3548" s="2" t="s">
        <v>11120</v>
      </c>
      <c r="Q3548" s="2"/>
      <c r="R3548" s="2"/>
      <c r="S3548" s="5">
        <v>34.6</v>
      </c>
      <c r="T3548" s="7">
        <v>48.076000000000001</v>
      </c>
      <c r="U3548" s="5">
        <v>13.9</v>
      </c>
      <c r="V3548" s="6">
        <v>1.37</v>
      </c>
      <c r="W3548" s="7">
        <v>19.187999999999999</v>
      </c>
      <c r="X3548" s="4">
        <v>19</v>
      </c>
      <c r="Y3548" s="7">
        <v>21.062999999999999</v>
      </c>
      <c r="Z3548" s="7">
        <v>19.875</v>
      </c>
      <c r="AA3548" s="6">
        <v>24.39</v>
      </c>
      <c r="AB3548" s="2" t="s">
        <v>47</v>
      </c>
      <c r="AC3548" s="2"/>
    </row>
    <row r="3549" spans="1:29" ht="156" x14ac:dyDescent="0.15">
      <c r="A3549" s="3">
        <f>DATE(1997,12,17)</f>
        <v>35781</v>
      </c>
      <c r="B3549" s="3">
        <f>DATE(1998,6,30)</f>
        <v>35976</v>
      </c>
      <c r="C3549" s="2" t="s">
        <v>95</v>
      </c>
      <c r="D3549" s="2" t="s">
        <v>11121</v>
      </c>
      <c r="E3549" s="2" t="s">
        <v>389</v>
      </c>
      <c r="F3549" s="4">
        <v>6035</v>
      </c>
      <c r="G3549" s="2" t="s">
        <v>33</v>
      </c>
      <c r="H3549" s="2" t="s">
        <v>34</v>
      </c>
      <c r="I3549" s="2" t="s">
        <v>11122</v>
      </c>
      <c r="J3549" s="2" t="s">
        <v>5900</v>
      </c>
      <c r="K3549" s="2" t="s">
        <v>33</v>
      </c>
      <c r="L3549" s="2" t="s">
        <v>34</v>
      </c>
      <c r="M3549" s="7">
        <v>213.565</v>
      </c>
      <c r="N3549" s="4">
        <v>27</v>
      </c>
      <c r="O3549" s="4">
        <v>27</v>
      </c>
      <c r="P3549" s="2" t="s">
        <v>11123</v>
      </c>
      <c r="Q3549" s="6">
        <v>100</v>
      </c>
      <c r="R3549" s="6">
        <v>32.35</v>
      </c>
      <c r="S3549" s="5">
        <v>4</v>
      </c>
      <c r="T3549" s="7">
        <v>6.9390000000000001</v>
      </c>
      <c r="U3549" s="5">
        <v>16</v>
      </c>
      <c r="V3549" s="6">
        <v>1.45</v>
      </c>
      <c r="W3549" s="4">
        <v>25</v>
      </c>
      <c r="X3549" s="4">
        <v>28</v>
      </c>
      <c r="Y3549" s="4">
        <v>30</v>
      </c>
      <c r="Z3549" s="4">
        <v>30</v>
      </c>
      <c r="AA3549" s="6">
        <v>2.66</v>
      </c>
      <c r="AB3549" s="7">
        <v>59.389000000000003</v>
      </c>
      <c r="AC3549" s="2"/>
    </row>
    <row r="3550" spans="1:29" ht="91" x14ac:dyDescent="0.15">
      <c r="A3550" s="3">
        <f>DATE(1997,12,17)</f>
        <v>35781</v>
      </c>
      <c r="B3550" s="3">
        <f>DATE(1998,1,23)</f>
        <v>35818</v>
      </c>
      <c r="C3550" s="2" t="s">
        <v>95</v>
      </c>
      <c r="D3550" s="2" t="s">
        <v>11124</v>
      </c>
      <c r="E3550" s="2" t="s">
        <v>11125</v>
      </c>
      <c r="F3550" s="4">
        <v>5047</v>
      </c>
      <c r="G3550" s="2" t="s">
        <v>76</v>
      </c>
      <c r="H3550" s="2" t="s">
        <v>34</v>
      </c>
      <c r="I3550" s="2" t="s">
        <v>9110</v>
      </c>
      <c r="J3550" s="2" t="s">
        <v>5087</v>
      </c>
      <c r="K3550" s="2" t="s">
        <v>226</v>
      </c>
      <c r="L3550" s="2" t="s">
        <v>34</v>
      </c>
      <c r="M3550" s="7">
        <v>651.35599999999999</v>
      </c>
      <c r="N3550" s="6">
        <v>22.25</v>
      </c>
      <c r="O3550" s="6">
        <v>22.25</v>
      </c>
      <c r="P3550" s="2" t="s">
        <v>11126</v>
      </c>
      <c r="Q3550" s="6">
        <v>100</v>
      </c>
      <c r="R3550" s="6">
        <v>11.75</v>
      </c>
      <c r="S3550" s="5">
        <v>4.5999999999999996</v>
      </c>
      <c r="T3550" s="7">
        <v>9.5340000000000007</v>
      </c>
      <c r="U3550" s="5">
        <v>3.2</v>
      </c>
      <c r="V3550" s="7">
        <v>0.438</v>
      </c>
      <c r="W3550" s="7">
        <v>10.375</v>
      </c>
      <c r="X3550" s="7">
        <v>10.875</v>
      </c>
      <c r="Y3550" s="7">
        <v>11.593999999999999</v>
      </c>
      <c r="Z3550" s="7">
        <v>11.563000000000001</v>
      </c>
      <c r="AA3550" s="6">
        <v>10.54</v>
      </c>
      <c r="AB3550" s="7">
        <v>15.119</v>
      </c>
      <c r="AC3550" s="5">
        <v>8</v>
      </c>
    </row>
    <row r="3551" spans="1:29" ht="156" x14ac:dyDescent="0.15">
      <c r="A3551" s="3">
        <f>DATE(1997,12,18)</f>
        <v>35782</v>
      </c>
      <c r="B3551" s="2"/>
      <c r="C3551" s="2" t="s">
        <v>30</v>
      </c>
      <c r="D3551" s="2" t="s">
        <v>11127</v>
      </c>
      <c r="E3551" s="2" t="s">
        <v>1467</v>
      </c>
      <c r="F3551" s="4">
        <v>4812</v>
      </c>
      <c r="G3551" s="2" t="s">
        <v>63</v>
      </c>
      <c r="H3551" s="2" t="s">
        <v>34</v>
      </c>
      <c r="I3551" s="2" t="s">
        <v>278</v>
      </c>
      <c r="J3551" s="2" t="s">
        <v>52</v>
      </c>
      <c r="K3551" s="2" t="s">
        <v>53</v>
      </c>
      <c r="L3551" s="2" t="s">
        <v>34</v>
      </c>
      <c r="M3551" s="2"/>
      <c r="N3551" s="2"/>
      <c r="O3551" s="2"/>
      <c r="P3551" s="2" t="s">
        <v>11128</v>
      </c>
      <c r="Q3551" s="2"/>
      <c r="R3551" s="2"/>
      <c r="S3551" s="5">
        <v>-168.6</v>
      </c>
      <c r="T3551" s="7">
        <v>-135.239</v>
      </c>
      <c r="U3551" s="5">
        <v>4</v>
      </c>
      <c r="V3551" s="7">
        <v>-2.3639999999999999</v>
      </c>
      <c r="W3551" s="6">
        <v>7.75</v>
      </c>
      <c r="X3551" s="7">
        <v>8.1880000000000006</v>
      </c>
      <c r="Y3551" s="7">
        <v>7.875</v>
      </c>
      <c r="Z3551" s="5">
        <v>7.5</v>
      </c>
      <c r="AA3551" s="6">
        <v>71.599999999999994</v>
      </c>
      <c r="AB3551" s="2" t="s">
        <v>86</v>
      </c>
      <c r="AC3551" s="2"/>
    </row>
    <row r="3552" spans="1:29" ht="221" x14ac:dyDescent="0.15">
      <c r="A3552" s="3">
        <f>DATE(1997,12,18)</f>
        <v>35782</v>
      </c>
      <c r="B3552" s="2"/>
      <c r="C3552" s="2" t="s">
        <v>30</v>
      </c>
      <c r="D3552" s="2" t="s">
        <v>11127</v>
      </c>
      <c r="E3552" s="2" t="s">
        <v>1467</v>
      </c>
      <c r="F3552" s="4">
        <v>4812</v>
      </c>
      <c r="G3552" s="2" t="s">
        <v>63</v>
      </c>
      <c r="H3552" s="2" t="s">
        <v>34</v>
      </c>
      <c r="I3552" s="2" t="s">
        <v>11129</v>
      </c>
      <c r="J3552" s="2" t="s">
        <v>1604</v>
      </c>
      <c r="K3552" s="2" t="s">
        <v>63</v>
      </c>
      <c r="L3552" s="2" t="s">
        <v>34</v>
      </c>
      <c r="M3552" s="12">
        <v>2602.3539999999998</v>
      </c>
      <c r="N3552" s="5">
        <v>48.5</v>
      </c>
      <c r="O3552" s="4">
        <v>47</v>
      </c>
      <c r="P3552" s="2" t="s">
        <v>11130</v>
      </c>
      <c r="Q3552" s="2"/>
      <c r="R3552" s="6">
        <v>8</v>
      </c>
      <c r="S3552" s="5">
        <v>-168.6</v>
      </c>
      <c r="T3552" s="7">
        <v>-135.239</v>
      </c>
      <c r="U3552" s="5">
        <v>4</v>
      </c>
      <c r="V3552" s="7">
        <v>-2.3639999999999999</v>
      </c>
      <c r="W3552" s="6">
        <v>7.75</v>
      </c>
      <c r="X3552" s="6">
        <v>8.18</v>
      </c>
      <c r="Y3552" s="7">
        <v>7.875</v>
      </c>
      <c r="Z3552" s="5">
        <v>7.5</v>
      </c>
      <c r="AA3552" s="6">
        <v>71.599999999999994</v>
      </c>
      <c r="AB3552" s="2" t="s">
        <v>86</v>
      </c>
      <c r="AC3552" s="5">
        <v>119.3</v>
      </c>
    </row>
    <row r="3553" spans="1:29" ht="156" x14ac:dyDescent="0.15">
      <c r="A3553" s="3">
        <f>DATE(1997,12,18)</f>
        <v>35782</v>
      </c>
      <c r="B3553" s="2"/>
      <c r="C3553" s="2" t="s">
        <v>30</v>
      </c>
      <c r="D3553" s="2" t="s">
        <v>11131</v>
      </c>
      <c r="E3553" s="2" t="s">
        <v>203</v>
      </c>
      <c r="F3553" s="4">
        <v>6035</v>
      </c>
      <c r="G3553" s="2" t="s">
        <v>33</v>
      </c>
      <c r="H3553" s="2" t="s">
        <v>34</v>
      </c>
      <c r="I3553" s="2" t="s">
        <v>11132</v>
      </c>
      <c r="J3553" s="2" t="s">
        <v>11133</v>
      </c>
      <c r="K3553" s="2" t="s">
        <v>37</v>
      </c>
      <c r="L3553" s="2" t="s">
        <v>34</v>
      </c>
      <c r="M3553" s="7">
        <v>40.832999999999998</v>
      </c>
      <c r="N3553" s="7">
        <v>13.875</v>
      </c>
      <c r="O3553" s="4">
        <v>14</v>
      </c>
      <c r="P3553" s="2" t="s">
        <v>11134</v>
      </c>
      <c r="Q3553" s="2"/>
      <c r="R3553" s="6">
        <v>33.590000000000003</v>
      </c>
      <c r="S3553" s="5">
        <v>0.5</v>
      </c>
      <c r="T3553" s="7">
        <v>1.206</v>
      </c>
      <c r="U3553" s="5">
        <v>11.2</v>
      </c>
      <c r="V3553" s="9">
        <v>0.29330000000000001</v>
      </c>
      <c r="W3553" s="7">
        <v>25.875</v>
      </c>
      <c r="X3553" s="7">
        <v>25.875</v>
      </c>
      <c r="Y3553" s="4">
        <v>26</v>
      </c>
      <c r="Z3553" s="7">
        <v>26.625</v>
      </c>
      <c r="AA3553" s="6">
        <v>0.96</v>
      </c>
      <c r="AB3553" s="7">
        <v>70.108999999999995</v>
      </c>
      <c r="AC3553" s="2"/>
    </row>
    <row r="3554" spans="1:29" ht="208" x14ac:dyDescent="0.15">
      <c r="A3554" s="3">
        <f>DATE(1997,12,18)</f>
        <v>35782</v>
      </c>
      <c r="B3554" s="2"/>
      <c r="C3554" s="2" t="s">
        <v>30</v>
      </c>
      <c r="D3554" s="2" t="s">
        <v>11135</v>
      </c>
      <c r="E3554" s="2" t="s">
        <v>7568</v>
      </c>
      <c r="F3554" s="4">
        <v>4812</v>
      </c>
      <c r="G3554" s="2" t="s">
        <v>63</v>
      </c>
      <c r="H3554" s="2" t="s">
        <v>34</v>
      </c>
      <c r="I3554" s="2" t="s">
        <v>278</v>
      </c>
      <c r="J3554" s="2" t="s">
        <v>52</v>
      </c>
      <c r="K3554" s="2" t="s">
        <v>53</v>
      </c>
      <c r="L3554" s="2" t="s">
        <v>34</v>
      </c>
      <c r="M3554" s="2"/>
      <c r="N3554" s="2"/>
      <c r="O3554" s="2"/>
      <c r="P3554" s="2" t="s">
        <v>11136</v>
      </c>
      <c r="Q3554" s="2"/>
      <c r="R3554" s="2"/>
      <c r="S3554" s="5">
        <v>129.9</v>
      </c>
      <c r="T3554" s="7">
        <v>194.81399999999999</v>
      </c>
      <c r="U3554" s="5">
        <v>17.100000000000001</v>
      </c>
      <c r="V3554" s="6">
        <v>1.51</v>
      </c>
      <c r="W3554" s="6">
        <v>32.25</v>
      </c>
      <c r="X3554" s="4">
        <v>33</v>
      </c>
      <c r="Y3554" s="6">
        <v>32.75</v>
      </c>
      <c r="Z3554" s="7">
        <v>31.375</v>
      </c>
      <c r="AA3554" s="2"/>
      <c r="AB3554" s="2" t="s">
        <v>47</v>
      </c>
      <c r="AC3554" s="2"/>
    </row>
    <row r="3555" spans="1:29" ht="221" x14ac:dyDescent="0.15">
      <c r="A3555" s="3">
        <f>DATE(1997,12,18)</f>
        <v>35782</v>
      </c>
      <c r="B3555" s="3">
        <f>DATE(1999,9,25)</f>
        <v>36428</v>
      </c>
      <c r="C3555" s="2" t="s">
        <v>95</v>
      </c>
      <c r="D3555" s="2" t="s">
        <v>11135</v>
      </c>
      <c r="E3555" s="2" t="s">
        <v>7568</v>
      </c>
      <c r="F3555" s="4">
        <v>4812</v>
      </c>
      <c r="G3555" s="2" t="s">
        <v>63</v>
      </c>
      <c r="H3555" s="2" t="s">
        <v>34</v>
      </c>
      <c r="I3555" s="2" t="s">
        <v>11129</v>
      </c>
      <c r="J3555" s="2" t="s">
        <v>1604</v>
      </c>
      <c r="K3555" s="2" t="s">
        <v>63</v>
      </c>
      <c r="L3555" s="2" t="s">
        <v>34</v>
      </c>
      <c r="M3555" s="12">
        <v>2602.3539999999998</v>
      </c>
      <c r="N3555" s="5">
        <v>48.5</v>
      </c>
      <c r="O3555" s="4">
        <v>47</v>
      </c>
      <c r="P3555" s="2" t="s">
        <v>11137</v>
      </c>
      <c r="Q3555" s="6">
        <v>19.27</v>
      </c>
      <c r="R3555" s="6">
        <v>33</v>
      </c>
      <c r="S3555" s="5">
        <v>129.9</v>
      </c>
      <c r="T3555" s="7">
        <v>194.81399999999999</v>
      </c>
      <c r="U3555" s="5">
        <v>17.100000000000001</v>
      </c>
      <c r="V3555" s="6">
        <v>1.51</v>
      </c>
      <c r="W3555" s="6">
        <v>32.25</v>
      </c>
      <c r="X3555" s="4">
        <v>33</v>
      </c>
      <c r="Y3555" s="6">
        <v>32.75</v>
      </c>
      <c r="Z3555" s="7">
        <v>31.375</v>
      </c>
      <c r="AA3555" s="6">
        <v>86.23</v>
      </c>
      <c r="AB3555" s="7">
        <v>37.036000000000001</v>
      </c>
      <c r="AC3555" s="5">
        <v>119.3</v>
      </c>
    </row>
    <row r="3556" spans="1:29" ht="130" x14ac:dyDescent="0.15">
      <c r="A3556" s="3">
        <f t="shared" ref="A3556:A3566" si="52">DATE(1997,12,19)</f>
        <v>35783</v>
      </c>
      <c r="B3556" s="3">
        <f>DATE(1998,3,30)</f>
        <v>35884</v>
      </c>
      <c r="C3556" s="2" t="s">
        <v>95</v>
      </c>
      <c r="D3556" s="2" t="s">
        <v>11138</v>
      </c>
      <c r="E3556" s="2" t="s">
        <v>92</v>
      </c>
      <c r="F3556" s="4">
        <v>6798</v>
      </c>
      <c r="G3556" s="2" t="s">
        <v>53</v>
      </c>
      <c r="H3556" s="2" t="s">
        <v>34</v>
      </c>
      <c r="I3556" s="2" t="s">
        <v>8615</v>
      </c>
      <c r="J3556" s="2" t="s">
        <v>92</v>
      </c>
      <c r="K3556" s="2" t="s">
        <v>53</v>
      </c>
      <c r="L3556" s="2" t="s">
        <v>34</v>
      </c>
      <c r="M3556" s="12">
        <v>1267.3230000000001</v>
      </c>
      <c r="N3556" s="4">
        <v>14</v>
      </c>
      <c r="O3556" s="7">
        <v>13.688000000000001</v>
      </c>
      <c r="P3556" s="2" t="s">
        <v>11139</v>
      </c>
      <c r="Q3556" s="6">
        <v>100</v>
      </c>
      <c r="R3556" s="6">
        <v>22.05</v>
      </c>
      <c r="S3556" s="5">
        <v>11.2</v>
      </c>
      <c r="T3556" s="7">
        <v>20.157</v>
      </c>
      <c r="U3556" s="5">
        <v>20</v>
      </c>
      <c r="V3556" s="7">
        <v>3.0129999999999999</v>
      </c>
      <c r="W3556" s="7">
        <v>21.812999999999999</v>
      </c>
      <c r="X3556" s="7">
        <v>21.125</v>
      </c>
      <c r="Y3556" s="7">
        <v>21.375</v>
      </c>
      <c r="Z3556" s="6">
        <v>20.75</v>
      </c>
      <c r="AA3556" s="6">
        <v>4.99</v>
      </c>
      <c r="AB3556" s="7">
        <v>18.867999999999999</v>
      </c>
      <c r="AC3556" s="6">
        <v>13.45</v>
      </c>
    </row>
    <row r="3557" spans="1:29" ht="39" x14ac:dyDescent="0.15">
      <c r="A3557" s="3">
        <f t="shared" si="52"/>
        <v>35783</v>
      </c>
      <c r="B3557" s="3">
        <f>DATE(1998,6,17)</f>
        <v>35963</v>
      </c>
      <c r="C3557" s="2" t="s">
        <v>95</v>
      </c>
      <c r="D3557" s="2" t="s">
        <v>11140</v>
      </c>
      <c r="E3557" s="2" t="s">
        <v>11141</v>
      </c>
      <c r="F3557" s="4">
        <v>3443</v>
      </c>
      <c r="G3557" s="2" t="s">
        <v>163</v>
      </c>
      <c r="H3557" s="2" t="s">
        <v>34</v>
      </c>
      <c r="I3557" s="2" t="s">
        <v>241</v>
      </c>
      <c r="J3557" s="2" t="s">
        <v>242</v>
      </c>
      <c r="K3557" s="2" t="s">
        <v>163</v>
      </c>
      <c r="L3557" s="2" t="s">
        <v>34</v>
      </c>
      <c r="M3557" s="12">
        <v>1949.375</v>
      </c>
      <c r="N3557" s="7">
        <v>40.375</v>
      </c>
      <c r="O3557" s="7">
        <v>40.688000000000002</v>
      </c>
      <c r="P3557" s="2" t="s">
        <v>11142</v>
      </c>
      <c r="Q3557" s="6">
        <v>100</v>
      </c>
      <c r="R3557" s="6">
        <v>23</v>
      </c>
      <c r="S3557" s="5">
        <v>2</v>
      </c>
      <c r="T3557" s="7">
        <v>5.7549999999999999</v>
      </c>
      <c r="U3557" s="5">
        <v>11.8</v>
      </c>
      <c r="V3557" s="7">
        <v>1.018</v>
      </c>
      <c r="W3557" s="6">
        <v>13.75</v>
      </c>
      <c r="X3557" s="6">
        <v>13.75</v>
      </c>
      <c r="Y3557" s="6">
        <v>13.75</v>
      </c>
      <c r="Z3557" s="5">
        <v>20.5</v>
      </c>
      <c r="AA3557" s="6">
        <v>2</v>
      </c>
      <c r="AB3557" s="7">
        <v>12.583</v>
      </c>
      <c r="AC3557" s="6">
        <v>45.86</v>
      </c>
    </row>
    <row r="3558" spans="1:29" ht="130" x14ac:dyDescent="0.15">
      <c r="A3558" s="3">
        <f t="shared" si="52"/>
        <v>35783</v>
      </c>
      <c r="B3558" s="3">
        <f>DATE(1998,4,20)</f>
        <v>35905</v>
      </c>
      <c r="C3558" s="2" t="s">
        <v>95</v>
      </c>
      <c r="D3558" s="2" t="s">
        <v>11143</v>
      </c>
      <c r="E3558" s="2" t="s">
        <v>11144</v>
      </c>
      <c r="F3558" s="4">
        <v>1531</v>
      </c>
      <c r="G3558" s="2" t="s">
        <v>341</v>
      </c>
      <c r="H3558" s="2" t="s">
        <v>34</v>
      </c>
      <c r="I3558" s="2" t="s">
        <v>11145</v>
      </c>
      <c r="J3558" s="2" t="s">
        <v>11146</v>
      </c>
      <c r="K3558" s="2" t="s">
        <v>341</v>
      </c>
      <c r="L3558" s="2" t="s">
        <v>34</v>
      </c>
      <c r="M3558" s="7">
        <v>693.53899999999999</v>
      </c>
      <c r="N3558" s="7">
        <v>16.937999999999999</v>
      </c>
      <c r="O3558" s="7">
        <v>17.062999999999999</v>
      </c>
      <c r="P3558" s="2" t="s">
        <v>11147</v>
      </c>
      <c r="Q3558" s="6">
        <v>100</v>
      </c>
      <c r="R3558" s="6">
        <v>44.28</v>
      </c>
      <c r="S3558" s="5">
        <v>29.4</v>
      </c>
      <c r="T3558" s="7">
        <v>56.253</v>
      </c>
      <c r="U3558" s="5">
        <v>22.6</v>
      </c>
      <c r="V3558" s="6">
        <v>4.24</v>
      </c>
      <c r="W3558" s="7">
        <v>34.688000000000002</v>
      </c>
      <c r="X3558" s="7">
        <v>35.063000000000002</v>
      </c>
      <c r="Y3558" s="7">
        <v>39.688000000000002</v>
      </c>
      <c r="Z3558" s="7">
        <v>39.688000000000002</v>
      </c>
      <c r="AA3558" s="6">
        <v>6.86</v>
      </c>
      <c r="AB3558" s="7">
        <v>10.836</v>
      </c>
      <c r="AC3558" s="6">
        <v>43.98</v>
      </c>
    </row>
    <row r="3559" spans="1:29" ht="169" x14ac:dyDescent="0.15">
      <c r="A3559" s="3">
        <f t="shared" si="52"/>
        <v>35783</v>
      </c>
      <c r="B3559" s="3">
        <f>DATE(1998,8,3)</f>
        <v>36010</v>
      </c>
      <c r="C3559" s="2" t="s">
        <v>95</v>
      </c>
      <c r="D3559" s="2" t="s">
        <v>11148</v>
      </c>
      <c r="E3559" s="2" t="s">
        <v>5900</v>
      </c>
      <c r="F3559" s="4">
        <v>6035</v>
      </c>
      <c r="G3559" s="2" t="s">
        <v>33</v>
      </c>
      <c r="H3559" s="2" t="s">
        <v>34</v>
      </c>
      <c r="I3559" s="2" t="s">
        <v>1745</v>
      </c>
      <c r="J3559" s="2" t="s">
        <v>1746</v>
      </c>
      <c r="K3559" s="2" t="s">
        <v>33</v>
      </c>
      <c r="L3559" s="2" t="s">
        <v>34</v>
      </c>
      <c r="M3559" s="12">
        <v>1697.0160000000001</v>
      </c>
      <c r="N3559" s="7">
        <v>20.437999999999999</v>
      </c>
      <c r="O3559" s="7">
        <v>20.125</v>
      </c>
      <c r="P3559" s="2" t="s">
        <v>11149</v>
      </c>
      <c r="Q3559" s="6">
        <v>100</v>
      </c>
      <c r="R3559" s="6">
        <v>28.52</v>
      </c>
      <c r="S3559" s="5">
        <v>4.7</v>
      </c>
      <c r="T3559" s="7">
        <v>7.351</v>
      </c>
      <c r="U3559" s="5">
        <v>13.3</v>
      </c>
      <c r="V3559" s="7">
        <v>1.7290000000000001</v>
      </c>
      <c r="W3559" s="6">
        <v>28.75</v>
      </c>
      <c r="X3559" s="4">
        <v>30</v>
      </c>
      <c r="Y3559" s="4">
        <v>30</v>
      </c>
      <c r="Z3559" s="4">
        <v>30</v>
      </c>
      <c r="AA3559" s="6">
        <v>2.71</v>
      </c>
      <c r="AB3559" s="7">
        <v>80.296999999999997</v>
      </c>
      <c r="AC3559" s="2"/>
    </row>
    <row r="3560" spans="1:29" ht="91" x14ac:dyDescent="0.15">
      <c r="A3560" s="3">
        <f t="shared" si="52"/>
        <v>35783</v>
      </c>
      <c r="B3560" s="3">
        <f>DATE(1998,5,1)</f>
        <v>35916</v>
      </c>
      <c r="C3560" s="2" t="s">
        <v>95</v>
      </c>
      <c r="D3560" s="2" t="s">
        <v>11150</v>
      </c>
      <c r="E3560" s="2" t="s">
        <v>11151</v>
      </c>
      <c r="F3560" s="4">
        <v>3661</v>
      </c>
      <c r="G3560" s="2" t="s">
        <v>921</v>
      </c>
      <c r="H3560" s="2" t="s">
        <v>34</v>
      </c>
      <c r="I3560" s="2" t="s">
        <v>11152</v>
      </c>
      <c r="J3560" s="2" t="s">
        <v>11151</v>
      </c>
      <c r="K3560" s="2" t="s">
        <v>921</v>
      </c>
      <c r="L3560" s="2" t="s">
        <v>34</v>
      </c>
      <c r="M3560" s="2"/>
      <c r="N3560" s="2"/>
      <c r="O3560" s="2"/>
      <c r="P3560" s="2" t="s">
        <v>11153</v>
      </c>
      <c r="Q3560" s="6">
        <v>90</v>
      </c>
      <c r="R3560" s="6">
        <v>21</v>
      </c>
      <c r="S3560" s="5">
        <v>3.8</v>
      </c>
      <c r="T3560" s="7">
        <v>18.283999999999999</v>
      </c>
      <c r="U3560" s="5">
        <v>7.2</v>
      </c>
      <c r="V3560" s="6">
        <v>0.36</v>
      </c>
      <c r="W3560" s="4">
        <v>16</v>
      </c>
      <c r="X3560" s="7">
        <v>18.375</v>
      </c>
      <c r="Y3560" s="7">
        <v>19.937999999999999</v>
      </c>
      <c r="Z3560" s="7">
        <v>19.875</v>
      </c>
      <c r="AA3560" s="6">
        <v>10.67</v>
      </c>
      <c r="AB3560" s="7">
        <v>26.414999999999999</v>
      </c>
      <c r="AC3560" s="2"/>
    </row>
    <row r="3561" spans="1:29" ht="130" x14ac:dyDescent="0.15">
      <c r="A3561" s="3">
        <f t="shared" si="52"/>
        <v>35783</v>
      </c>
      <c r="B3561" s="3">
        <f>DATE(1998,5,6)</f>
        <v>35921</v>
      </c>
      <c r="C3561" s="2" t="s">
        <v>95</v>
      </c>
      <c r="D3561" s="2" t="s">
        <v>11154</v>
      </c>
      <c r="E3561" s="2" t="s">
        <v>2898</v>
      </c>
      <c r="F3561" s="4">
        <v>6022</v>
      </c>
      <c r="G3561" s="2" t="s">
        <v>37</v>
      </c>
      <c r="H3561" s="2" t="s">
        <v>34</v>
      </c>
      <c r="I3561" s="2" t="s">
        <v>11155</v>
      </c>
      <c r="J3561" s="2" t="s">
        <v>36</v>
      </c>
      <c r="K3561" s="2" t="s">
        <v>37</v>
      </c>
      <c r="L3561" s="2" t="s">
        <v>34</v>
      </c>
      <c r="M3561" s="7">
        <v>46.616999999999997</v>
      </c>
      <c r="N3561" s="6">
        <v>21.75</v>
      </c>
      <c r="O3561" s="4">
        <v>22</v>
      </c>
      <c r="P3561" s="2" t="s">
        <v>11156</v>
      </c>
      <c r="Q3561" s="6">
        <v>100</v>
      </c>
      <c r="R3561" s="6">
        <v>20.100000000000001</v>
      </c>
      <c r="S3561" s="5">
        <v>0.5</v>
      </c>
      <c r="T3561" s="7">
        <v>0.73299999999999998</v>
      </c>
      <c r="U3561" s="5">
        <v>15.4</v>
      </c>
      <c r="V3561" s="6">
        <v>0.61</v>
      </c>
      <c r="W3561" s="5">
        <v>14.5</v>
      </c>
      <c r="X3561" s="4">
        <v>16</v>
      </c>
      <c r="Y3561" s="4">
        <v>17</v>
      </c>
      <c r="Z3561" s="6">
        <v>19.25</v>
      </c>
      <c r="AA3561" s="6">
        <v>0.79</v>
      </c>
      <c r="AB3561" s="7">
        <v>46.658999999999999</v>
      </c>
      <c r="AC3561" s="2"/>
    </row>
    <row r="3562" spans="1:29" ht="156" x14ac:dyDescent="0.15">
      <c r="A3562" s="3">
        <f t="shared" si="52"/>
        <v>35783</v>
      </c>
      <c r="B3562" s="3">
        <f>DATE(1998,6,3)</f>
        <v>35949</v>
      </c>
      <c r="C3562" s="2" t="s">
        <v>95</v>
      </c>
      <c r="D3562" s="2" t="s">
        <v>11157</v>
      </c>
      <c r="E3562" s="2" t="s">
        <v>11158</v>
      </c>
      <c r="F3562" s="4">
        <v>4812</v>
      </c>
      <c r="G3562" s="2" t="s">
        <v>63</v>
      </c>
      <c r="H3562" s="2" t="s">
        <v>34</v>
      </c>
      <c r="I3562" s="2" t="s">
        <v>11159</v>
      </c>
      <c r="J3562" s="2" t="s">
        <v>11160</v>
      </c>
      <c r="K3562" s="2" t="s">
        <v>63</v>
      </c>
      <c r="L3562" s="2" t="s">
        <v>34</v>
      </c>
      <c r="M3562" s="12">
        <v>1074.135</v>
      </c>
      <c r="N3562" s="4">
        <v>31</v>
      </c>
      <c r="O3562" s="7">
        <v>30.937999999999999</v>
      </c>
      <c r="P3562" s="2" t="s">
        <v>11161</v>
      </c>
      <c r="Q3562" s="6">
        <v>100</v>
      </c>
      <c r="R3562" s="6">
        <v>9.2899999999999991</v>
      </c>
      <c r="S3562" s="5">
        <v>-10.5</v>
      </c>
      <c r="T3562" s="7">
        <v>-8.4610000000000003</v>
      </c>
      <c r="U3562" s="5">
        <v>2.6</v>
      </c>
      <c r="V3562" s="7">
        <v>-1.5580000000000001</v>
      </c>
      <c r="W3562" s="6">
        <v>7.75</v>
      </c>
      <c r="X3562" s="7">
        <v>7.9379999999999997</v>
      </c>
      <c r="Y3562" s="7">
        <v>8.625</v>
      </c>
      <c r="Z3562" s="6">
        <v>8.75</v>
      </c>
      <c r="AA3562" s="6">
        <v>13.15</v>
      </c>
      <c r="AB3562" s="2" t="s">
        <v>86</v>
      </c>
      <c r="AC3562" s="6">
        <v>61.34</v>
      </c>
    </row>
    <row r="3563" spans="1:29" ht="156" x14ac:dyDescent="0.15">
      <c r="A3563" s="3">
        <f t="shared" si="52"/>
        <v>35783</v>
      </c>
      <c r="B3563" s="3">
        <f>DATE(1998,6,4)</f>
        <v>35950</v>
      </c>
      <c r="C3563" s="2" t="s">
        <v>95</v>
      </c>
      <c r="D3563" s="2" t="s">
        <v>11162</v>
      </c>
      <c r="E3563" s="2" t="s">
        <v>11163</v>
      </c>
      <c r="F3563" s="4">
        <v>3861</v>
      </c>
      <c r="G3563" s="2" t="s">
        <v>226</v>
      </c>
      <c r="H3563" s="2" t="s">
        <v>34</v>
      </c>
      <c r="I3563" s="2" t="s">
        <v>11164</v>
      </c>
      <c r="J3563" s="2" t="s">
        <v>11165</v>
      </c>
      <c r="K3563" s="2" t="s">
        <v>358</v>
      </c>
      <c r="L3563" s="2" t="s">
        <v>34</v>
      </c>
      <c r="M3563" s="2"/>
      <c r="N3563" s="2"/>
      <c r="O3563" s="2"/>
      <c r="P3563" s="2" t="s">
        <v>11166</v>
      </c>
      <c r="Q3563" s="6">
        <v>48.27</v>
      </c>
      <c r="R3563" s="6">
        <v>26.5</v>
      </c>
      <c r="S3563" s="5">
        <v>13.3</v>
      </c>
      <c r="T3563" s="6">
        <v>49.37</v>
      </c>
      <c r="U3563" s="5">
        <v>5.0999999999999996</v>
      </c>
      <c r="V3563" s="6">
        <v>0.84</v>
      </c>
      <c r="W3563" s="7">
        <v>25.625</v>
      </c>
      <c r="X3563" s="7">
        <v>26.625</v>
      </c>
      <c r="Y3563" s="6">
        <v>26.25</v>
      </c>
      <c r="Z3563" s="7">
        <v>26.062999999999999</v>
      </c>
      <c r="AA3563" s="6">
        <v>23.19</v>
      </c>
      <c r="AB3563" s="7">
        <v>17.585000000000001</v>
      </c>
      <c r="AC3563" s="2"/>
    </row>
    <row r="3564" spans="1:29" ht="65" x14ac:dyDescent="0.15">
      <c r="A3564" s="3">
        <f t="shared" si="52"/>
        <v>35783</v>
      </c>
      <c r="B3564" s="3">
        <f>DATE(1998,1,20)</f>
        <v>35815</v>
      </c>
      <c r="C3564" s="2" t="s">
        <v>95</v>
      </c>
      <c r="D3564" s="2" t="s">
        <v>11167</v>
      </c>
      <c r="E3564" s="2" t="s">
        <v>11168</v>
      </c>
      <c r="F3564" s="4">
        <v>7011</v>
      </c>
      <c r="G3564" s="2" t="s">
        <v>269</v>
      </c>
      <c r="H3564" s="2" t="s">
        <v>34</v>
      </c>
      <c r="I3564" s="2" t="s">
        <v>11169</v>
      </c>
      <c r="J3564" s="2" t="s">
        <v>11170</v>
      </c>
      <c r="K3564" s="2" t="s">
        <v>269</v>
      </c>
      <c r="L3564" s="2" t="s">
        <v>34</v>
      </c>
      <c r="M3564" s="12">
        <v>2069.5030000000002</v>
      </c>
      <c r="N3564" s="7">
        <v>18.187999999999999</v>
      </c>
      <c r="O3564" s="7">
        <v>18.625</v>
      </c>
      <c r="P3564" s="2" t="s">
        <v>11171</v>
      </c>
      <c r="Q3564" s="6">
        <v>100</v>
      </c>
      <c r="R3564" s="6">
        <v>30.75</v>
      </c>
      <c r="S3564" s="5">
        <v>6</v>
      </c>
      <c r="T3564" s="7">
        <v>70.852999999999994</v>
      </c>
      <c r="U3564" s="5">
        <v>11.9</v>
      </c>
      <c r="V3564" s="6">
        <v>0.37</v>
      </c>
      <c r="W3564" s="6">
        <v>18.440000000000001</v>
      </c>
      <c r="X3564" s="5">
        <v>23.5</v>
      </c>
      <c r="Y3564" s="7">
        <v>29.562999999999999</v>
      </c>
      <c r="Z3564" s="6">
        <v>29.25</v>
      </c>
      <c r="AA3564" s="6">
        <v>16.100000000000001</v>
      </c>
      <c r="AB3564" s="7">
        <v>25.207999999999998</v>
      </c>
      <c r="AC3564" s="6">
        <v>105.59</v>
      </c>
    </row>
    <row r="3565" spans="1:29" ht="117" x14ac:dyDescent="0.15">
      <c r="A3565" s="3">
        <f t="shared" si="52"/>
        <v>35783</v>
      </c>
      <c r="B3565" s="3">
        <f>DATE(1998,1,27)</f>
        <v>35822</v>
      </c>
      <c r="C3565" s="2" t="s">
        <v>95</v>
      </c>
      <c r="D3565" s="2" t="s">
        <v>11172</v>
      </c>
      <c r="E3565" s="2" t="s">
        <v>11173</v>
      </c>
      <c r="F3565" s="4">
        <v>7372</v>
      </c>
      <c r="G3565" s="2" t="s">
        <v>551</v>
      </c>
      <c r="H3565" s="2" t="s">
        <v>34</v>
      </c>
      <c r="I3565" s="2" t="s">
        <v>10498</v>
      </c>
      <c r="J3565" s="2" t="s">
        <v>7480</v>
      </c>
      <c r="K3565" s="2" t="s">
        <v>551</v>
      </c>
      <c r="L3565" s="2" t="s">
        <v>34</v>
      </c>
      <c r="M3565" s="2"/>
      <c r="N3565" s="2"/>
      <c r="O3565" s="2"/>
      <c r="P3565" s="2" t="s">
        <v>11174</v>
      </c>
      <c r="Q3565" s="6">
        <v>100</v>
      </c>
      <c r="R3565" s="6">
        <v>24.5</v>
      </c>
      <c r="S3565" s="5">
        <v>0.7</v>
      </c>
      <c r="T3565" s="7">
        <v>2.855</v>
      </c>
      <c r="U3565" s="5">
        <v>3.8</v>
      </c>
      <c r="V3565" s="7">
        <v>0.107</v>
      </c>
      <c r="W3565" s="6">
        <v>15.13</v>
      </c>
      <c r="X3565" s="7">
        <v>17.625</v>
      </c>
      <c r="Y3565" s="6">
        <v>24.25</v>
      </c>
      <c r="Z3565" s="6">
        <v>24.25</v>
      </c>
      <c r="AA3565" s="6">
        <v>6.91</v>
      </c>
      <c r="AB3565" s="7">
        <v>250.67400000000001</v>
      </c>
      <c r="AC3565" s="2"/>
    </row>
    <row r="3566" spans="1:29" ht="52" x14ac:dyDescent="0.15">
      <c r="A3566" s="3">
        <f t="shared" si="52"/>
        <v>35783</v>
      </c>
      <c r="B3566" s="3">
        <f>DATE(1998,2,3)</f>
        <v>35829</v>
      </c>
      <c r="C3566" s="2" t="s">
        <v>95</v>
      </c>
      <c r="D3566" s="2" t="s">
        <v>11175</v>
      </c>
      <c r="E3566" s="2" t="s">
        <v>11176</v>
      </c>
      <c r="F3566" s="4">
        <v>3663</v>
      </c>
      <c r="G3566" s="2" t="s">
        <v>921</v>
      </c>
      <c r="H3566" s="2" t="s">
        <v>34</v>
      </c>
      <c r="I3566" s="2" t="s">
        <v>7977</v>
      </c>
      <c r="J3566" s="2" t="s">
        <v>973</v>
      </c>
      <c r="K3566" s="2" t="s">
        <v>63</v>
      </c>
      <c r="L3566" s="2" t="s">
        <v>34</v>
      </c>
      <c r="M3566" s="10">
        <v>1569.46</v>
      </c>
      <c r="N3566" s="4">
        <v>21</v>
      </c>
      <c r="O3566" s="6">
        <v>21.25</v>
      </c>
      <c r="P3566" s="2" t="s">
        <v>11177</v>
      </c>
      <c r="Q3566" s="6">
        <v>100</v>
      </c>
      <c r="R3566" s="6">
        <v>15</v>
      </c>
      <c r="S3566" s="5">
        <v>1.2</v>
      </c>
      <c r="T3566" s="7">
        <v>1.8169999999999999</v>
      </c>
      <c r="U3566" s="5">
        <v>5.2</v>
      </c>
      <c r="V3566" s="7">
        <v>0.73499999999999999</v>
      </c>
      <c r="W3566" s="4">
        <v>11</v>
      </c>
      <c r="X3566" s="7">
        <v>10.375</v>
      </c>
      <c r="Y3566" s="7">
        <v>14.563000000000001</v>
      </c>
      <c r="Z3566" s="7">
        <v>14.688000000000001</v>
      </c>
      <c r="AA3566" s="6">
        <v>1.63</v>
      </c>
      <c r="AB3566" s="7">
        <v>23.138000000000002</v>
      </c>
      <c r="AC3566" s="6">
        <v>157.26</v>
      </c>
    </row>
    <row r="3567" spans="1:29" ht="195" x14ac:dyDescent="0.15">
      <c r="A3567" s="3">
        <f t="shared" ref="A3567:A3573" si="53">DATE(1997,12,22)</f>
        <v>35786</v>
      </c>
      <c r="B3567" s="2"/>
      <c r="C3567" s="2" t="s">
        <v>30</v>
      </c>
      <c r="D3567" s="2" t="s">
        <v>11178</v>
      </c>
      <c r="E3567" s="2" t="s">
        <v>3373</v>
      </c>
      <c r="F3567" s="4">
        <v>6311</v>
      </c>
      <c r="G3567" s="2" t="s">
        <v>125</v>
      </c>
      <c r="H3567" s="2" t="s">
        <v>34</v>
      </c>
      <c r="I3567" s="2" t="s">
        <v>830</v>
      </c>
      <c r="J3567" s="2" t="s">
        <v>831</v>
      </c>
      <c r="K3567" s="2" t="s">
        <v>125</v>
      </c>
      <c r="L3567" s="2" t="s">
        <v>34</v>
      </c>
      <c r="M3567" s="12">
        <v>71552.313999999998</v>
      </c>
      <c r="N3567" s="7">
        <v>106.375</v>
      </c>
      <c r="O3567" s="7">
        <v>104.063</v>
      </c>
      <c r="P3567" s="2" t="s">
        <v>11179</v>
      </c>
      <c r="Q3567" s="2"/>
      <c r="R3567" s="6">
        <v>58</v>
      </c>
      <c r="S3567" s="5">
        <v>94.5</v>
      </c>
      <c r="T3567" s="2"/>
      <c r="U3567" s="5">
        <v>14.3</v>
      </c>
      <c r="V3567" s="7">
        <v>2.1949999999999998</v>
      </c>
      <c r="W3567" s="7">
        <v>41.875</v>
      </c>
      <c r="X3567" s="6">
        <v>44.25</v>
      </c>
      <c r="Y3567" s="9">
        <v>45.6875</v>
      </c>
      <c r="Z3567" s="5">
        <v>45.5</v>
      </c>
      <c r="AA3567" s="6">
        <v>41.54</v>
      </c>
      <c r="AB3567" s="7">
        <v>19.457999999999998</v>
      </c>
      <c r="AC3567" s="6">
        <v>58.74</v>
      </c>
    </row>
    <row r="3568" spans="1:29" ht="91" x14ac:dyDescent="0.15">
      <c r="A3568" s="3">
        <f t="shared" si="53"/>
        <v>35786</v>
      </c>
      <c r="B3568" s="3">
        <f>DATE(1998,5,20)</f>
        <v>35935</v>
      </c>
      <c r="C3568" s="2" t="s">
        <v>95</v>
      </c>
      <c r="D3568" s="2" t="s">
        <v>11180</v>
      </c>
      <c r="E3568" s="2" t="s">
        <v>11181</v>
      </c>
      <c r="F3568" s="4">
        <v>2678</v>
      </c>
      <c r="G3568" s="2" t="s">
        <v>282</v>
      </c>
      <c r="H3568" s="2" t="s">
        <v>34</v>
      </c>
      <c r="I3568" s="2" t="s">
        <v>11182</v>
      </c>
      <c r="J3568" s="2" t="s">
        <v>11183</v>
      </c>
      <c r="K3568" s="2" t="s">
        <v>223</v>
      </c>
      <c r="L3568" s="2" t="s">
        <v>902</v>
      </c>
      <c r="M3568" s="2"/>
      <c r="N3568" s="2"/>
      <c r="O3568" s="2"/>
      <c r="P3568" s="2" t="s">
        <v>11184</v>
      </c>
      <c r="Q3568" s="6">
        <v>100</v>
      </c>
      <c r="R3568" s="6">
        <v>5.7</v>
      </c>
      <c r="S3568" s="5">
        <v>2.2999999999999998</v>
      </c>
      <c r="T3568" s="7">
        <v>1.7999999999999999E-2</v>
      </c>
      <c r="U3568" s="5">
        <v>2.6</v>
      </c>
      <c r="V3568" s="7">
        <v>0.371</v>
      </c>
      <c r="W3568" s="7">
        <v>3.875</v>
      </c>
      <c r="X3568" s="7">
        <v>4.4379999999999997</v>
      </c>
      <c r="Y3568" s="5">
        <v>4.5</v>
      </c>
      <c r="Z3568" s="6">
        <v>4.75</v>
      </c>
      <c r="AA3568" s="6">
        <v>5.85</v>
      </c>
      <c r="AB3568" s="7">
        <v>11.353999999999999</v>
      </c>
      <c r="AC3568" s="6">
        <v>30.6</v>
      </c>
    </row>
    <row r="3569" spans="1:29" ht="65" x14ac:dyDescent="0.15">
      <c r="A3569" s="3">
        <f t="shared" si="53"/>
        <v>35786</v>
      </c>
      <c r="B3569" s="3">
        <f>DATE(1998,6,30)</f>
        <v>35976</v>
      </c>
      <c r="C3569" s="2" t="s">
        <v>95</v>
      </c>
      <c r="D3569" s="2" t="s">
        <v>11185</v>
      </c>
      <c r="E3569" s="2" t="s">
        <v>11186</v>
      </c>
      <c r="F3569" s="4">
        <v>7011</v>
      </c>
      <c r="G3569" s="2" t="s">
        <v>269</v>
      </c>
      <c r="H3569" s="2" t="s">
        <v>34</v>
      </c>
      <c r="I3569" s="2" t="s">
        <v>11187</v>
      </c>
      <c r="J3569" s="2" t="s">
        <v>7706</v>
      </c>
      <c r="K3569" s="2" t="s">
        <v>269</v>
      </c>
      <c r="L3569" s="2" t="s">
        <v>34</v>
      </c>
      <c r="M3569" s="12">
        <v>4317.0839999999998</v>
      </c>
      <c r="N3569" s="6">
        <v>22.25</v>
      </c>
      <c r="O3569" s="7">
        <v>22.062999999999999</v>
      </c>
      <c r="P3569" s="2" t="s">
        <v>11188</v>
      </c>
      <c r="Q3569" s="6">
        <v>100</v>
      </c>
      <c r="R3569" s="2"/>
      <c r="S3569" s="5">
        <v>-3.5</v>
      </c>
      <c r="T3569" s="7">
        <v>7.7190000000000003</v>
      </c>
      <c r="U3569" s="5">
        <v>1.2</v>
      </c>
      <c r="V3569" s="7">
        <v>-0.48499999999999999</v>
      </c>
      <c r="W3569" s="7">
        <v>3.375</v>
      </c>
      <c r="X3569" s="7">
        <v>4.1559999999999997</v>
      </c>
      <c r="Y3569" s="7">
        <v>4.5629999999999997</v>
      </c>
      <c r="Z3569" s="7">
        <v>4.5629999999999997</v>
      </c>
      <c r="AA3569" s="6">
        <v>7.18</v>
      </c>
      <c r="AB3569" s="2" t="s">
        <v>47</v>
      </c>
      <c r="AC3569" s="6">
        <v>81.91</v>
      </c>
    </row>
    <row r="3570" spans="1:29" ht="221" x14ac:dyDescent="0.15">
      <c r="A3570" s="3">
        <f t="shared" si="53"/>
        <v>35786</v>
      </c>
      <c r="B3570" s="3">
        <f>DATE(2000,6,15)</f>
        <v>36692</v>
      </c>
      <c r="C3570" s="2" t="s">
        <v>95</v>
      </c>
      <c r="D3570" s="2" t="s">
        <v>3465</v>
      </c>
      <c r="E3570" s="2" t="s">
        <v>3395</v>
      </c>
      <c r="F3570" s="4">
        <v>4911</v>
      </c>
      <c r="G3570" s="2" t="s">
        <v>439</v>
      </c>
      <c r="H3570" s="2" t="s">
        <v>34</v>
      </c>
      <c r="I3570" s="2" t="s">
        <v>11189</v>
      </c>
      <c r="J3570" s="2" t="s">
        <v>11190</v>
      </c>
      <c r="K3570" s="2" t="s">
        <v>439</v>
      </c>
      <c r="L3570" s="2" t="s">
        <v>34</v>
      </c>
      <c r="M3570" s="12">
        <v>9314.6409999999996</v>
      </c>
      <c r="N3570" s="6">
        <v>50.75</v>
      </c>
      <c r="O3570" s="7">
        <v>51.063000000000002</v>
      </c>
      <c r="P3570" s="2" t="s">
        <v>11191</v>
      </c>
      <c r="Q3570" s="6">
        <v>99.34</v>
      </c>
      <c r="R3570" s="6">
        <v>31.2</v>
      </c>
      <c r="S3570" s="5">
        <v>315</v>
      </c>
      <c r="T3570" s="8">
        <v>1540</v>
      </c>
      <c r="U3570" s="5">
        <v>18</v>
      </c>
      <c r="V3570" s="6">
        <v>1.43</v>
      </c>
      <c r="W3570" s="7">
        <v>26.312999999999999</v>
      </c>
      <c r="X3570" s="4">
        <v>26</v>
      </c>
      <c r="Y3570" s="7">
        <v>27.125</v>
      </c>
      <c r="Z3570" s="9">
        <v>27.0625</v>
      </c>
      <c r="AA3570" s="6">
        <v>212.54</v>
      </c>
      <c r="AB3570" s="7">
        <v>11.734</v>
      </c>
      <c r="AC3570" s="6">
        <v>57.54</v>
      </c>
    </row>
    <row r="3571" spans="1:29" ht="91" x14ac:dyDescent="0.15">
      <c r="A3571" s="3">
        <f t="shared" si="53"/>
        <v>35786</v>
      </c>
      <c r="B3571" s="3">
        <f>DATE(1998,5,21)</f>
        <v>35936</v>
      </c>
      <c r="C3571" s="2" t="s">
        <v>95</v>
      </c>
      <c r="D3571" s="2" t="s">
        <v>11192</v>
      </c>
      <c r="E3571" s="2" t="s">
        <v>3726</v>
      </c>
      <c r="F3571" s="4">
        <v>3669</v>
      </c>
      <c r="G3571" s="2" t="s">
        <v>921</v>
      </c>
      <c r="H3571" s="2" t="s">
        <v>34</v>
      </c>
      <c r="I3571" s="2" t="s">
        <v>51</v>
      </c>
      <c r="J3571" s="2" t="s">
        <v>52</v>
      </c>
      <c r="K3571" s="2" t="s">
        <v>53</v>
      </c>
      <c r="L3571" s="2" t="s">
        <v>34</v>
      </c>
      <c r="M3571" s="2"/>
      <c r="N3571" s="2"/>
      <c r="O3571" s="2"/>
      <c r="P3571" s="2" t="s">
        <v>11193</v>
      </c>
      <c r="Q3571" s="6">
        <v>94.7</v>
      </c>
      <c r="R3571" s="6">
        <v>47.75</v>
      </c>
      <c r="S3571" s="5">
        <v>29.8</v>
      </c>
      <c r="T3571" s="7">
        <v>76.691999999999993</v>
      </c>
      <c r="U3571" s="5">
        <v>9.6</v>
      </c>
      <c r="V3571" s="6">
        <v>1.66</v>
      </c>
      <c r="W3571" s="9">
        <v>34.8125</v>
      </c>
      <c r="X3571" s="6">
        <v>36.75</v>
      </c>
      <c r="Y3571" s="9">
        <v>46.9375</v>
      </c>
      <c r="Z3571" s="9">
        <v>46.8125</v>
      </c>
      <c r="AA3571" s="6">
        <v>16.87</v>
      </c>
      <c r="AB3571" s="7">
        <v>12.662000000000001</v>
      </c>
      <c r="AC3571" s="2"/>
    </row>
    <row r="3572" spans="1:29" ht="130" x14ac:dyDescent="0.15">
      <c r="A3572" s="3">
        <f t="shared" si="53"/>
        <v>35786</v>
      </c>
      <c r="B3572" s="3">
        <f>DATE(1998,9,30)</f>
        <v>36068</v>
      </c>
      <c r="C3572" s="2" t="s">
        <v>95</v>
      </c>
      <c r="D3572" s="2" t="s">
        <v>11194</v>
      </c>
      <c r="E3572" s="2" t="s">
        <v>1387</v>
      </c>
      <c r="F3572" s="4">
        <v>4924</v>
      </c>
      <c r="G3572" s="2" t="s">
        <v>439</v>
      </c>
      <c r="H3572" s="2" t="s">
        <v>34</v>
      </c>
      <c r="I3572" s="2" t="s">
        <v>11195</v>
      </c>
      <c r="J3572" s="2" t="s">
        <v>11196</v>
      </c>
      <c r="K3572" s="2" t="s">
        <v>439</v>
      </c>
      <c r="L3572" s="2" t="s">
        <v>34</v>
      </c>
      <c r="M3572" s="7">
        <v>810.04600000000005</v>
      </c>
      <c r="N3572" s="4">
        <v>43</v>
      </c>
      <c r="O3572" s="7">
        <v>42.813000000000002</v>
      </c>
      <c r="P3572" s="2" t="s">
        <v>11197</v>
      </c>
      <c r="Q3572" s="6">
        <v>100</v>
      </c>
      <c r="R3572" s="6">
        <v>49.36</v>
      </c>
      <c r="S3572" s="5">
        <v>4</v>
      </c>
      <c r="T3572" s="7">
        <v>12.401</v>
      </c>
      <c r="U3572" s="5">
        <v>21</v>
      </c>
      <c r="V3572" s="6">
        <v>2.38</v>
      </c>
      <c r="W3572" s="6">
        <v>31.75</v>
      </c>
      <c r="X3572" s="4">
        <v>39</v>
      </c>
      <c r="Y3572" s="4">
        <v>46</v>
      </c>
      <c r="Z3572" s="6">
        <v>45.25</v>
      </c>
      <c r="AA3572" s="6">
        <v>1.59</v>
      </c>
      <c r="AB3572" s="7">
        <v>13.590999999999999</v>
      </c>
      <c r="AC3572" s="2"/>
    </row>
    <row r="3573" spans="1:29" ht="117" x14ac:dyDescent="0.15">
      <c r="A3573" s="3">
        <f t="shared" si="53"/>
        <v>35786</v>
      </c>
      <c r="B3573" s="2"/>
      <c r="C3573" s="2" t="s">
        <v>30</v>
      </c>
      <c r="D3573" s="2" t="s">
        <v>11066</v>
      </c>
      <c r="E3573" s="2" t="s">
        <v>11067</v>
      </c>
      <c r="F3573" s="4">
        <v>3312</v>
      </c>
      <c r="G3573" s="2" t="s">
        <v>163</v>
      </c>
      <c r="H3573" s="2" t="s">
        <v>34</v>
      </c>
      <c r="I3573" s="2" t="s">
        <v>10881</v>
      </c>
      <c r="J3573" s="2" t="s">
        <v>10882</v>
      </c>
      <c r="K3573" s="2" t="s">
        <v>163</v>
      </c>
      <c r="L3573" s="2" t="s">
        <v>34</v>
      </c>
      <c r="M3573" s="12">
        <v>2925.9749999999999</v>
      </c>
      <c r="N3573" s="7">
        <v>25.312999999999999</v>
      </c>
      <c r="O3573" s="6">
        <v>25.25</v>
      </c>
      <c r="P3573" s="2" t="s">
        <v>11198</v>
      </c>
      <c r="Q3573" s="2"/>
      <c r="R3573" s="6">
        <v>28</v>
      </c>
      <c r="S3573" s="5">
        <v>-28.4</v>
      </c>
      <c r="T3573" s="7">
        <v>49.011000000000003</v>
      </c>
      <c r="U3573" s="5">
        <v>16.5</v>
      </c>
      <c r="V3573" s="6">
        <v>-2.06</v>
      </c>
      <c r="W3573" s="7">
        <v>15.438000000000001</v>
      </c>
      <c r="X3573" s="7">
        <v>15.625</v>
      </c>
      <c r="Y3573" s="5">
        <v>17.5</v>
      </c>
      <c r="Z3573" s="7">
        <v>23.875</v>
      </c>
      <c r="AA3573" s="6">
        <v>14.94</v>
      </c>
      <c r="AB3573" s="7">
        <v>10825.387000000001</v>
      </c>
      <c r="AC3573" s="5">
        <v>62.5</v>
      </c>
    </row>
    <row r="3574" spans="1:29" ht="130" x14ac:dyDescent="0.15">
      <c r="A3574" s="3">
        <f t="shared" ref="A3574:A3580" si="54">DATE(1997,12,23)</f>
        <v>35787</v>
      </c>
      <c r="B3574" s="3">
        <f>DATE(1998,12,26)</f>
        <v>36155</v>
      </c>
      <c r="C3574" s="2" t="s">
        <v>95</v>
      </c>
      <c r="D3574" s="2" t="s">
        <v>11199</v>
      </c>
      <c r="E3574" s="2" t="s">
        <v>6070</v>
      </c>
      <c r="F3574" s="4">
        <v>4812</v>
      </c>
      <c r="G3574" s="2" t="s">
        <v>63</v>
      </c>
      <c r="H3574" s="2" t="s">
        <v>34</v>
      </c>
      <c r="I3574" s="2" t="s">
        <v>11200</v>
      </c>
      <c r="J3574" s="2" t="s">
        <v>973</v>
      </c>
      <c r="K3574" s="2" t="s">
        <v>63</v>
      </c>
      <c r="L3574" s="2" t="s">
        <v>34</v>
      </c>
      <c r="M3574" s="2"/>
      <c r="N3574" s="2"/>
      <c r="O3574" s="2"/>
      <c r="P3574" s="2" t="s">
        <v>11201</v>
      </c>
      <c r="Q3574" s="6">
        <v>100</v>
      </c>
      <c r="R3574" s="2"/>
      <c r="S3574" s="5">
        <v>-45.5</v>
      </c>
      <c r="T3574" s="7">
        <v>6.4509999999999996</v>
      </c>
      <c r="U3574" s="5">
        <v>-0.5</v>
      </c>
      <c r="V3574" s="6">
        <v>2.27</v>
      </c>
      <c r="W3574" s="7">
        <v>1.875</v>
      </c>
      <c r="X3574" s="7">
        <v>2.125</v>
      </c>
      <c r="Y3574" s="7">
        <v>2.1880000000000002</v>
      </c>
      <c r="Z3574" s="7">
        <v>2.1880000000000002</v>
      </c>
      <c r="AA3574" s="2"/>
      <c r="AB3574" s="2" t="s">
        <v>86</v>
      </c>
      <c r="AC3574" s="2"/>
    </row>
    <row r="3575" spans="1:29" ht="169" x14ac:dyDescent="0.15">
      <c r="A3575" s="3">
        <f t="shared" si="54"/>
        <v>35787</v>
      </c>
      <c r="B3575" s="3">
        <f>DATE(1998,3,20)</f>
        <v>35874</v>
      </c>
      <c r="C3575" s="2" t="s">
        <v>95</v>
      </c>
      <c r="D3575" s="2" t="s">
        <v>11199</v>
      </c>
      <c r="E3575" s="2" t="s">
        <v>6070</v>
      </c>
      <c r="F3575" s="4">
        <v>4812</v>
      </c>
      <c r="G3575" s="2" t="s">
        <v>63</v>
      </c>
      <c r="H3575" s="2" t="s">
        <v>34</v>
      </c>
      <c r="I3575" s="2" t="s">
        <v>11129</v>
      </c>
      <c r="J3575" s="2" t="s">
        <v>1604</v>
      </c>
      <c r="K3575" s="2" t="s">
        <v>63</v>
      </c>
      <c r="L3575" s="2" t="s">
        <v>34</v>
      </c>
      <c r="M3575" s="2"/>
      <c r="N3575" s="7">
        <v>45.938000000000002</v>
      </c>
      <c r="O3575" s="7">
        <v>46.125</v>
      </c>
      <c r="P3575" s="2" t="s">
        <v>11202</v>
      </c>
      <c r="Q3575" s="6">
        <v>18</v>
      </c>
      <c r="R3575" s="6">
        <v>2.5</v>
      </c>
      <c r="S3575" s="5">
        <v>-45.5</v>
      </c>
      <c r="T3575" s="7">
        <v>6.4509999999999996</v>
      </c>
      <c r="U3575" s="5">
        <v>-0.5</v>
      </c>
      <c r="V3575" s="6">
        <v>2.27</v>
      </c>
      <c r="W3575" s="7">
        <v>1.875</v>
      </c>
      <c r="X3575" s="7">
        <v>2.125</v>
      </c>
      <c r="Y3575" s="7">
        <v>2.1880000000000002</v>
      </c>
      <c r="Z3575" s="7">
        <v>2.1880000000000002</v>
      </c>
      <c r="AA3575" s="6">
        <v>20.14</v>
      </c>
      <c r="AB3575" s="2" t="s">
        <v>86</v>
      </c>
      <c r="AC3575" s="5">
        <v>119.3</v>
      </c>
    </row>
    <row r="3576" spans="1:29" ht="91" x14ac:dyDescent="0.15">
      <c r="A3576" s="3">
        <f t="shared" si="54"/>
        <v>35787</v>
      </c>
      <c r="B3576" s="3">
        <f>DATE(1998,2,26)</f>
        <v>35852</v>
      </c>
      <c r="C3576" s="2" t="s">
        <v>95</v>
      </c>
      <c r="D3576" s="2" t="s">
        <v>11025</v>
      </c>
      <c r="E3576" s="2" t="s">
        <v>11026</v>
      </c>
      <c r="F3576" s="4">
        <v>1611</v>
      </c>
      <c r="G3576" s="2" t="s">
        <v>341</v>
      </c>
      <c r="H3576" s="2" t="s">
        <v>34</v>
      </c>
      <c r="I3576" s="2" t="s">
        <v>11203</v>
      </c>
      <c r="J3576" s="2" t="s">
        <v>11204</v>
      </c>
      <c r="K3576" s="2" t="s">
        <v>341</v>
      </c>
      <c r="L3576" s="2" t="s">
        <v>34</v>
      </c>
      <c r="M3576" s="2"/>
      <c r="N3576" s="2"/>
      <c r="O3576" s="2"/>
      <c r="P3576" s="2" t="s">
        <v>11205</v>
      </c>
      <c r="Q3576" s="6">
        <v>100</v>
      </c>
      <c r="R3576" s="2"/>
      <c r="S3576" s="5">
        <v>-45.3</v>
      </c>
      <c r="T3576" s="7">
        <v>-34.143000000000001</v>
      </c>
      <c r="U3576" s="5">
        <v>4.5</v>
      </c>
      <c r="V3576" s="7">
        <v>-5.0490000000000004</v>
      </c>
      <c r="W3576" s="7">
        <v>1.5629999999999999</v>
      </c>
      <c r="X3576" s="7">
        <v>1.3440000000000001</v>
      </c>
      <c r="Y3576" s="7">
        <v>2.1880000000000002</v>
      </c>
      <c r="Z3576" s="7">
        <v>2.375</v>
      </c>
      <c r="AA3576" s="6">
        <v>8.99</v>
      </c>
      <c r="AB3576" s="2" t="s">
        <v>86</v>
      </c>
      <c r="AC3576" s="2"/>
    </row>
    <row r="3577" spans="1:29" ht="143" x14ac:dyDescent="0.15">
      <c r="A3577" s="3">
        <f t="shared" si="54"/>
        <v>35787</v>
      </c>
      <c r="B3577" s="3">
        <f>DATE(1998,1,27)</f>
        <v>35822</v>
      </c>
      <c r="C3577" s="2" t="s">
        <v>95</v>
      </c>
      <c r="D3577" s="2" t="s">
        <v>6341</v>
      </c>
      <c r="E3577" s="2" t="s">
        <v>6342</v>
      </c>
      <c r="F3577" s="4">
        <v>5531</v>
      </c>
      <c r="G3577" s="2" t="s">
        <v>73</v>
      </c>
      <c r="H3577" s="2" t="s">
        <v>34</v>
      </c>
      <c r="I3577" s="2" t="s">
        <v>11206</v>
      </c>
      <c r="J3577" s="2" t="s">
        <v>11207</v>
      </c>
      <c r="K3577" s="2" t="s">
        <v>73</v>
      </c>
      <c r="L3577" s="2" t="s">
        <v>34</v>
      </c>
      <c r="M3577" s="7">
        <v>698.34100000000001</v>
      </c>
      <c r="N3577" s="7">
        <v>23.812999999999999</v>
      </c>
      <c r="O3577" s="7">
        <v>23.812999999999999</v>
      </c>
      <c r="P3577" s="2" t="s">
        <v>11208</v>
      </c>
      <c r="Q3577" s="6">
        <v>89.93</v>
      </c>
      <c r="R3577" s="6">
        <v>4.3499999999999996</v>
      </c>
      <c r="S3577" s="5">
        <v>-53.7</v>
      </c>
      <c r="T3577" s="7">
        <v>-1.3759999999999999</v>
      </c>
      <c r="U3577" s="5">
        <v>5.5</v>
      </c>
      <c r="V3577" s="6">
        <v>-4.99</v>
      </c>
      <c r="W3577" s="7">
        <v>3.875</v>
      </c>
      <c r="X3577" s="7">
        <v>5.0629999999999997</v>
      </c>
      <c r="Y3577" s="7">
        <v>5.1879999999999997</v>
      </c>
      <c r="Z3577" s="7">
        <v>3.4380000000000002</v>
      </c>
      <c r="AA3577" s="6">
        <v>10.78</v>
      </c>
      <c r="AB3577" s="2" t="s">
        <v>86</v>
      </c>
      <c r="AC3577" s="6">
        <v>2.21</v>
      </c>
    </row>
    <row r="3578" spans="1:29" ht="195" x14ac:dyDescent="0.15">
      <c r="A3578" s="3">
        <f t="shared" si="54"/>
        <v>35787</v>
      </c>
      <c r="B3578" s="3">
        <f>DATE(1998,7,14)</f>
        <v>35990</v>
      </c>
      <c r="C3578" s="2" t="s">
        <v>95</v>
      </c>
      <c r="D3578" s="2" t="s">
        <v>11209</v>
      </c>
      <c r="E3578" s="2" t="s">
        <v>11210</v>
      </c>
      <c r="F3578" s="4">
        <v>6512</v>
      </c>
      <c r="G3578" s="2" t="s">
        <v>109</v>
      </c>
      <c r="H3578" s="2" t="s">
        <v>34</v>
      </c>
      <c r="I3578" s="2" t="s">
        <v>7840</v>
      </c>
      <c r="J3578" s="2" t="s">
        <v>92</v>
      </c>
      <c r="K3578" s="2" t="s">
        <v>53</v>
      </c>
      <c r="L3578" s="2" t="s">
        <v>34</v>
      </c>
      <c r="M3578" s="12">
        <v>1649.029</v>
      </c>
      <c r="N3578" s="5">
        <v>35.5</v>
      </c>
      <c r="O3578" s="7">
        <v>35.563000000000002</v>
      </c>
      <c r="P3578" s="2" t="s">
        <v>11211</v>
      </c>
      <c r="Q3578" s="6">
        <v>100</v>
      </c>
      <c r="R3578" s="6">
        <v>65.47</v>
      </c>
      <c r="S3578" s="5">
        <v>17.8</v>
      </c>
      <c r="T3578" s="7">
        <v>25.353000000000002</v>
      </c>
      <c r="U3578" s="5">
        <v>-6.5</v>
      </c>
      <c r="V3578" s="6">
        <v>3.65</v>
      </c>
      <c r="W3578" s="4">
        <v>56</v>
      </c>
      <c r="X3578" s="4">
        <v>52</v>
      </c>
      <c r="Y3578" s="7">
        <v>57.125</v>
      </c>
      <c r="Z3578" s="6">
        <v>60.03</v>
      </c>
      <c r="AA3578" s="6">
        <v>4.53</v>
      </c>
      <c r="AB3578" s="7">
        <v>57.366</v>
      </c>
      <c r="AC3578" s="6">
        <v>19.489999999999998</v>
      </c>
    </row>
    <row r="3579" spans="1:29" ht="91" x14ac:dyDescent="0.15">
      <c r="A3579" s="3">
        <f t="shared" si="54"/>
        <v>35787</v>
      </c>
      <c r="B3579" s="3">
        <f>DATE(1998,4,1)</f>
        <v>35886</v>
      </c>
      <c r="C3579" s="2" t="s">
        <v>95</v>
      </c>
      <c r="D3579" s="2" t="s">
        <v>11212</v>
      </c>
      <c r="E3579" s="2" t="s">
        <v>11213</v>
      </c>
      <c r="F3579" s="4">
        <v>7322</v>
      </c>
      <c r="G3579" s="2" t="s">
        <v>223</v>
      </c>
      <c r="H3579" s="2" t="s">
        <v>34</v>
      </c>
      <c r="I3579" s="2" t="s">
        <v>11214</v>
      </c>
      <c r="J3579" s="2" t="s">
        <v>11215</v>
      </c>
      <c r="K3579" s="2" t="s">
        <v>223</v>
      </c>
      <c r="L3579" s="2" t="s">
        <v>34</v>
      </c>
      <c r="M3579" s="2"/>
      <c r="N3579" s="2"/>
      <c r="O3579" s="2"/>
      <c r="P3579" s="2" t="s">
        <v>11216</v>
      </c>
      <c r="Q3579" s="6">
        <v>100</v>
      </c>
      <c r="R3579" s="6">
        <v>31.5</v>
      </c>
      <c r="S3579" s="5">
        <v>8.1</v>
      </c>
      <c r="T3579" s="7">
        <v>18.763000000000002</v>
      </c>
      <c r="U3579" s="5">
        <v>12.5</v>
      </c>
      <c r="V3579" s="6">
        <v>1.37</v>
      </c>
      <c r="W3579" s="6">
        <v>27.75</v>
      </c>
      <c r="X3579" s="5">
        <v>27.5</v>
      </c>
      <c r="Y3579" s="7">
        <v>31.062999999999999</v>
      </c>
      <c r="Z3579" s="6">
        <v>31.25</v>
      </c>
      <c r="AA3579" s="6">
        <v>5.8</v>
      </c>
      <c r="AB3579" s="7">
        <v>11.462999999999999</v>
      </c>
      <c r="AC3579" s="2"/>
    </row>
    <row r="3580" spans="1:29" ht="169" x14ac:dyDescent="0.15">
      <c r="A3580" s="3">
        <f t="shared" si="54"/>
        <v>35787</v>
      </c>
      <c r="B3580" s="3">
        <f>DATE(1998,3,27)</f>
        <v>35881</v>
      </c>
      <c r="C3580" s="2" t="s">
        <v>95</v>
      </c>
      <c r="D3580" s="2" t="s">
        <v>5224</v>
      </c>
      <c r="E3580" s="2" t="s">
        <v>612</v>
      </c>
      <c r="F3580" s="4">
        <v>1311</v>
      </c>
      <c r="G3580" s="2" t="s">
        <v>148</v>
      </c>
      <c r="H3580" s="2" t="s">
        <v>34</v>
      </c>
      <c r="I3580" s="2" t="s">
        <v>11217</v>
      </c>
      <c r="J3580" s="2" t="s">
        <v>177</v>
      </c>
      <c r="K3580" s="2" t="s">
        <v>148</v>
      </c>
      <c r="L3580" s="2" t="s">
        <v>34</v>
      </c>
      <c r="M3580" s="7">
        <v>431.15899999999999</v>
      </c>
      <c r="N3580" s="7">
        <v>19.937999999999999</v>
      </c>
      <c r="O3580" s="7">
        <v>19.625</v>
      </c>
      <c r="P3580" s="2" t="s">
        <v>11218</v>
      </c>
      <c r="Q3580" s="6">
        <v>100</v>
      </c>
      <c r="R3580" s="6">
        <v>27.78</v>
      </c>
      <c r="S3580" s="5">
        <v>17.399999999999999</v>
      </c>
      <c r="T3580" s="7">
        <v>103.033</v>
      </c>
      <c r="U3580" s="5">
        <v>12.3</v>
      </c>
      <c r="V3580" s="6">
        <v>0.51</v>
      </c>
      <c r="W3580" s="6">
        <v>30.81</v>
      </c>
      <c r="X3580" s="6">
        <v>32.25</v>
      </c>
      <c r="Y3580" s="7">
        <v>29.625</v>
      </c>
      <c r="Z3580" s="7">
        <v>29.437999999999999</v>
      </c>
      <c r="AA3580" s="6">
        <v>35.78</v>
      </c>
      <c r="AB3580" s="7">
        <v>61.973999999999997</v>
      </c>
      <c r="AC3580" s="6">
        <v>15.28</v>
      </c>
    </row>
    <row r="3581" spans="1:29" ht="52" x14ac:dyDescent="0.15">
      <c r="A3581" s="3">
        <f>DATE(1997,12,24)</f>
        <v>35788</v>
      </c>
      <c r="B3581" s="2"/>
      <c r="C3581" s="2" t="s">
        <v>7330</v>
      </c>
      <c r="D3581" s="2" t="s">
        <v>11219</v>
      </c>
      <c r="E3581" s="2" t="s">
        <v>302</v>
      </c>
      <c r="F3581" s="4">
        <v>6799</v>
      </c>
      <c r="G3581" s="2" t="s">
        <v>53</v>
      </c>
      <c r="H3581" s="2" t="s">
        <v>34</v>
      </c>
      <c r="I3581" s="2" t="s">
        <v>11220</v>
      </c>
      <c r="J3581" s="2" t="s">
        <v>11221</v>
      </c>
      <c r="K3581" s="2" t="s">
        <v>130</v>
      </c>
      <c r="L3581" s="2" t="s">
        <v>34</v>
      </c>
      <c r="M3581" s="2"/>
      <c r="N3581" s="2"/>
      <c r="O3581" s="2"/>
      <c r="P3581" s="2" t="s">
        <v>11222</v>
      </c>
      <c r="Q3581" s="2"/>
      <c r="R3581" s="2"/>
      <c r="S3581" s="2"/>
      <c r="T3581" s="2"/>
      <c r="U3581" s="2"/>
      <c r="V3581" s="2"/>
      <c r="W3581" s="7">
        <v>10.625</v>
      </c>
      <c r="X3581" s="7">
        <v>10.625</v>
      </c>
      <c r="Y3581" s="7">
        <v>10.625</v>
      </c>
      <c r="Z3581" s="7">
        <v>10.625</v>
      </c>
      <c r="AA3581" s="2"/>
      <c r="AB3581" s="2" t="s">
        <v>47</v>
      </c>
      <c r="AC3581" s="2"/>
    </row>
    <row r="3582" spans="1:29" ht="208" x14ac:dyDescent="0.15">
      <c r="A3582" s="3">
        <f>DATE(1997,12,26)</f>
        <v>35790</v>
      </c>
      <c r="B3582" s="3">
        <f>DATE(1998,9,17)</f>
        <v>36055</v>
      </c>
      <c r="C3582" s="2" t="s">
        <v>95</v>
      </c>
      <c r="D3582" s="2" t="s">
        <v>11223</v>
      </c>
      <c r="E3582" s="2" t="s">
        <v>389</v>
      </c>
      <c r="F3582" s="4">
        <v>6035</v>
      </c>
      <c r="G3582" s="2" t="s">
        <v>33</v>
      </c>
      <c r="H3582" s="2" t="s">
        <v>34</v>
      </c>
      <c r="I3582" s="2" t="s">
        <v>11224</v>
      </c>
      <c r="J3582" s="2" t="s">
        <v>3246</v>
      </c>
      <c r="K3582" s="2" t="s">
        <v>37</v>
      </c>
      <c r="L3582" s="2" t="s">
        <v>34</v>
      </c>
      <c r="M3582" s="7">
        <v>354.89800000000002</v>
      </c>
      <c r="N3582" s="5">
        <v>34.5</v>
      </c>
      <c r="O3582" s="5">
        <v>35.5</v>
      </c>
      <c r="P3582" s="2" t="s">
        <v>11225</v>
      </c>
      <c r="Q3582" s="6">
        <v>100</v>
      </c>
      <c r="R3582" s="6">
        <v>16.68</v>
      </c>
      <c r="S3582" s="5">
        <v>0.7</v>
      </c>
      <c r="T3582" s="7">
        <v>2.4020000000000001</v>
      </c>
      <c r="U3582" s="5">
        <v>6.4</v>
      </c>
      <c r="V3582" s="7">
        <v>0.22600000000000001</v>
      </c>
      <c r="W3582" s="5">
        <v>12.5</v>
      </c>
      <c r="X3582" s="4">
        <v>17</v>
      </c>
      <c r="Y3582" s="4">
        <v>21</v>
      </c>
      <c r="Z3582" s="7">
        <v>20.375</v>
      </c>
      <c r="AA3582" s="6">
        <v>3.07</v>
      </c>
      <c r="AB3582" s="7">
        <v>158.64500000000001</v>
      </c>
      <c r="AC3582" s="2"/>
    </row>
    <row r="3583" spans="1:29" ht="130" x14ac:dyDescent="0.15">
      <c r="A3583" s="3">
        <f>DATE(1997,12,29)</f>
        <v>35793</v>
      </c>
      <c r="B3583" s="3">
        <f>DATE(1998,5,26)</f>
        <v>35941</v>
      </c>
      <c r="C3583" s="2" t="s">
        <v>95</v>
      </c>
      <c r="D3583" s="2" t="s">
        <v>6663</v>
      </c>
      <c r="E3583" s="2" t="s">
        <v>36</v>
      </c>
      <c r="F3583" s="4">
        <v>6022</v>
      </c>
      <c r="G3583" s="2" t="s">
        <v>37</v>
      </c>
      <c r="H3583" s="2" t="s">
        <v>34</v>
      </c>
      <c r="I3583" s="2" t="s">
        <v>8886</v>
      </c>
      <c r="J3583" s="2" t="s">
        <v>3246</v>
      </c>
      <c r="K3583" s="2" t="s">
        <v>37</v>
      </c>
      <c r="L3583" s="2" t="s">
        <v>34</v>
      </c>
      <c r="M3583" s="12">
        <v>2458.4639999999999</v>
      </c>
      <c r="N3583" s="5">
        <v>43.5</v>
      </c>
      <c r="O3583" s="4">
        <v>46</v>
      </c>
      <c r="P3583" s="2" t="s">
        <v>11226</v>
      </c>
      <c r="Q3583" s="6">
        <v>100</v>
      </c>
      <c r="R3583" s="6">
        <v>27.28</v>
      </c>
      <c r="S3583" s="5">
        <v>4.0999999999999996</v>
      </c>
      <c r="T3583" s="7">
        <v>8.0909999999999993</v>
      </c>
      <c r="U3583" s="5">
        <v>9</v>
      </c>
      <c r="V3583" s="7">
        <v>1.4630000000000001</v>
      </c>
      <c r="W3583" s="4">
        <v>21</v>
      </c>
      <c r="X3583" s="5">
        <v>23.5</v>
      </c>
      <c r="Y3583" s="7">
        <v>23.375</v>
      </c>
      <c r="Z3583" s="6">
        <v>28.25</v>
      </c>
      <c r="AA3583" s="6">
        <v>2.78</v>
      </c>
      <c r="AB3583" s="7">
        <v>48.412999999999997</v>
      </c>
      <c r="AC3583" s="2"/>
    </row>
    <row r="3584" spans="1:29" ht="104" x14ac:dyDescent="0.15">
      <c r="A3584" s="3">
        <f>DATE(1997,12,29)</f>
        <v>35793</v>
      </c>
      <c r="B3584" s="3">
        <f>DATE(1998,3,17)</f>
        <v>35871</v>
      </c>
      <c r="C3584" s="2" t="s">
        <v>95</v>
      </c>
      <c r="D3584" s="2" t="s">
        <v>11227</v>
      </c>
      <c r="E3584" s="2" t="s">
        <v>11228</v>
      </c>
      <c r="F3584" s="4">
        <v>3845</v>
      </c>
      <c r="G3584" s="2" t="s">
        <v>226</v>
      </c>
      <c r="H3584" s="2" t="s">
        <v>34</v>
      </c>
      <c r="I3584" s="2" t="s">
        <v>2209</v>
      </c>
      <c r="J3584" s="2" t="s">
        <v>2210</v>
      </c>
      <c r="K3584" s="2" t="s">
        <v>50</v>
      </c>
      <c r="L3584" s="2" t="s">
        <v>34</v>
      </c>
      <c r="M3584" s="8">
        <v>65260</v>
      </c>
      <c r="N3584" s="7">
        <v>60.938000000000002</v>
      </c>
      <c r="O3584" s="7">
        <v>61.563000000000002</v>
      </c>
      <c r="P3584" s="2" t="s">
        <v>11229</v>
      </c>
      <c r="Q3584" s="6">
        <v>100</v>
      </c>
      <c r="R3584" s="6">
        <v>11.08</v>
      </c>
      <c r="S3584" s="5">
        <v>-15.8</v>
      </c>
      <c r="T3584" s="7">
        <v>-17.007000000000001</v>
      </c>
      <c r="U3584" s="5">
        <v>3.5</v>
      </c>
      <c r="V3584" s="7">
        <v>-1.3540000000000001</v>
      </c>
      <c r="W3584" s="7">
        <v>9.375</v>
      </c>
      <c r="X3584" s="7">
        <v>11.875</v>
      </c>
      <c r="Y3584" s="6">
        <v>10.75</v>
      </c>
      <c r="Z3584" s="7">
        <v>10.688000000000001</v>
      </c>
      <c r="AA3584" s="6">
        <v>11.79</v>
      </c>
      <c r="AB3584" s="2" t="s">
        <v>86</v>
      </c>
      <c r="AC3584" s="8">
        <v>4569</v>
      </c>
    </row>
    <row r="3585" spans="1:29" ht="104" x14ac:dyDescent="0.15">
      <c r="A3585" s="3">
        <f>DATE(1997,12,29)</f>
        <v>35793</v>
      </c>
      <c r="B3585" s="3">
        <f>DATE(1998,2,9)</f>
        <v>35835</v>
      </c>
      <c r="C3585" s="2" t="s">
        <v>95</v>
      </c>
      <c r="D3585" s="2" t="s">
        <v>11230</v>
      </c>
      <c r="E3585" s="2" t="s">
        <v>11231</v>
      </c>
      <c r="F3585" s="4">
        <v>7382</v>
      </c>
      <c r="G3585" s="2" t="s">
        <v>223</v>
      </c>
      <c r="H3585" s="2" t="s">
        <v>34</v>
      </c>
      <c r="I3585" s="2" t="s">
        <v>9732</v>
      </c>
      <c r="J3585" s="2" t="s">
        <v>9733</v>
      </c>
      <c r="K3585" s="2" t="s">
        <v>300</v>
      </c>
      <c r="L3585" s="2" t="s">
        <v>1791</v>
      </c>
      <c r="M3585" s="2"/>
      <c r="N3585" s="9">
        <v>42.5625</v>
      </c>
      <c r="O3585" s="9">
        <v>43.9375</v>
      </c>
      <c r="P3585" s="2" t="s">
        <v>11232</v>
      </c>
      <c r="Q3585" s="6">
        <v>100</v>
      </c>
      <c r="R3585" s="6">
        <v>17</v>
      </c>
      <c r="S3585" s="5">
        <v>-6.3</v>
      </c>
      <c r="T3585" s="7">
        <v>2.0939999999999999</v>
      </c>
      <c r="U3585" s="5">
        <v>9.5</v>
      </c>
      <c r="V3585" s="7">
        <v>-1.0780000000000001</v>
      </c>
      <c r="W3585" s="4">
        <v>18</v>
      </c>
      <c r="X3585" s="4">
        <v>18</v>
      </c>
      <c r="Y3585" s="7">
        <v>16.827999999999999</v>
      </c>
      <c r="Z3585" s="7">
        <v>16.827999999999999</v>
      </c>
      <c r="AA3585" s="6">
        <v>6.31</v>
      </c>
      <c r="AB3585" s="2" t="s">
        <v>86</v>
      </c>
      <c r="AC3585" s="5">
        <v>369.8</v>
      </c>
    </row>
    <row r="3586" spans="1:29" ht="78" x14ac:dyDescent="0.15">
      <c r="A3586" s="3">
        <f>DATE(1997,12,29)</f>
        <v>35793</v>
      </c>
      <c r="B3586" s="3">
        <f>DATE(1998,6,29)</f>
        <v>35975</v>
      </c>
      <c r="C3586" s="2" t="s">
        <v>95</v>
      </c>
      <c r="D3586" s="2" t="s">
        <v>11233</v>
      </c>
      <c r="E3586" s="2" t="s">
        <v>389</v>
      </c>
      <c r="F3586" s="4">
        <v>6035</v>
      </c>
      <c r="G3586" s="2" t="s">
        <v>33</v>
      </c>
      <c r="H3586" s="2" t="s">
        <v>34</v>
      </c>
      <c r="I3586" s="2" t="s">
        <v>11234</v>
      </c>
      <c r="J3586" s="2" t="s">
        <v>36</v>
      </c>
      <c r="K3586" s="2" t="s">
        <v>37</v>
      </c>
      <c r="L3586" s="2" t="s">
        <v>34</v>
      </c>
      <c r="M3586" s="2"/>
      <c r="N3586" s="2"/>
      <c r="O3586" s="2"/>
      <c r="P3586" s="2" t="s">
        <v>11235</v>
      </c>
      <c r="Q3586" s="6">
        <v>100</v>
      </c>
      <c r="R3586" s="6">
        <v>17.25</v>
      </c>
      <c r="S3586" s="2"/>
      <c r="T3586" s="2"/>
      <c r="U3586" s="2"/>
      <c r="V3586" s="2"/>
      <c r="W3586" s="5">
        <v>15.5</v>
      </c>
      <c r="X3586" s="6">
        <v>15.25</v>
      </c>
      <c r="Y3586" s="4">
        <v>16</v>
      </c>
      <c r="Z3586" s="6">
        <v>16.75</v>
      </c>
      <c r="AA3586" s="6">
        <v>0.72</v>
      </c>
      <c r="AB3586" s="2" t="s">
        <v>47</v>
      </c>
      <c r="AC3586" s="2"/>
    </row>
    <row r="3587" spans="1:29" ht="39" x14ac:dyDescent="0.15">
      <c r="A3587" s="3">
        <f>DATE(1997,12,29)</f>
        <v>35793</v>
      </c>
      <c r="B3587" s="3">
        <f>DATE(1998,7,24)</f>
        <v>36000</v>
      </c>
      <c r="C3587" s="2" t="s">
        <v>95</v>
      </c>
      <c r="D3587" s="2" t="s">
        <v>11236</v>
      </c>
      <c r="E3587" s="2" t="s">
        <v>36</v>
      </c>
      <c r="F3587" s="4">
        <v>6035</v>
      </c>
      <c r="G3587" s="2" t="s">
        <v>33</v>
      </c>
      <c r="H3587" s="2" t="s">
        <v>34</v>
      </c>
      <c r="I3587" s="2" t="s">
        <v>11237</v>
      </c>
      <c r="J3587" s="2" t="s">
        <v>11238</v>
      </c>
      <c r="K3587" s="2" t="s">
        <v>33</v>
      </c>
      <c r="L3587" s="2" t="s">
        <v>34</v>
      </c>
      <c r="M3587" s="2"/>
      <c r="N3587" s="9">
        <v>11.4375</v>
      </c>
      <c r="O3587" s="9">
        <v>11.4375</v>
      </c>
      <c r="P3587" s="2" t="s">
        <v>11239</v>
      </c>
      <c r="Q3587" s="6">
        <v>100</v>
      </c>
      <c r="R3587" s="2"/>
      <c r="S3587" s="5">
        <v>2.7</v>
      </c>
      <c r="T3587" s="7">
        <v>5.3730000000000002</v>
      </c>
      <c r="U3587" s="5">
        <v>23.6</v>
      </c>
      <c r="V3587" s="7">
        <v>2.1840000000000002</v>
      </c>
      <c r="W3587" s="7">
        <v>35.125</v>
      </c>
      <c r="X3587" s="7">
        <v>35.125</v>
      </c>
      <c r="Y3587" s="6">
        <v>33.75</v>
      </c>
      <c r="Z3587" s="5">
        <v>47.5</v>
      </c>
      <c r="AA3587" s="6">
        <v>1.27</v>
      </c>
      <c r="AB3587" s="2" t="s">
        <v>47</v>
      </c>
      <c r="AC3587" s="2"/>
    </row>
    <row r="3588" spans="1:29" ht="52" x14ac:dyDescent="0.15">
      <c r="A3588" s="3">
        <f>DATE(1997,12,30)</f>
        <v>35794</v>
      </c>
      <c r="B3588" s="3">
        <f>DATE(1997,12,30)</f>
        <v>35794</v>
      </c>
      <c r="C3588" s="2" t="s">
        <v>95</v>
      </c>
      <c r="D3588" s="2" t="s">
        <v>10519</v>
      </c>
      <c r="E3588" s="2" t="s">
        <v>10520</v>
      </c>
      <c r="F3588" s="4">
        <v>3089</v>
      </c>
      <c r="G3588" s="2" t="s">
        <v>447</v>
      </c>
      <c r="H3588" s="2" t="s">
        <v>34</v>
      </c>
      <c r="I3588" s="2" t="s">
        <v>51</v>
      </c>
      <c r="J3588" s="2" t="s">
        <v>52</v>
      </c>
      <c r="K3588" s="2" t="s">
        <v>53</v>
      </c>
      <c r="L3588" s="2" t="s">
        <v>34</v>
      </c>
      <c r="M3588" s="2"/>
      <c r="N3588" s="2"/>
      <c r="O3588" s="2"/>
      <c r="P3588" s="2" t="s">
        <v>11240</v>
      </c>
      <c r="Q3588" s="2"/>
      <c r="R3588" s="2"/>
      <c r="S3588" s="5">
        <v>0.8</v>
      </c>
      <c r="T3588" s="7">
        <v>3.5790000000000002</v>
      </c>
      <c r="U3588" s="5">
        <v>3.1</v>
      </c>
      <c r="V3588" s="6">
        <v>0.21</v>
      </c>
      <c r="W3588" s="7">
        <v>11.375</v>
      </c>
      <c r="X3588" s="6">
        <v>11.25</v>
      </c>
      <c r="Y3588" s="7">
        <v>11.375</v>
      </c>
      <c r="Z3588" s="6">
        <v>11.75</v>
      </c>
      <c r="AA3588" s="6">
        <v>6.66</v>
      </c>
      <c r="AB3588" s="2" t="s">
        <v>47</v>
      </c>
      <c r="AC3588" s="2"/>
    </row>
    <row r="3589" spans="1:29" ht="78" x14ac:dyDescent="0.15">
      <c r="A3589" s="3">
        <f>DATE(1997,12,30)</f>
        <v>35794</v>
      </c>
      <c r="B3589" s="3">
        <f>DATE(1998,7,6)</f>
        <v>35982</v>
      </c>
      <c r="C3589" s="2" t="s">
        <v>95</v>
      </c>
      <c r="D3589" s="2" t="s">
        <v>11241</v>
      </c>
      <c r="E3589" s="2" t="s">
        <v>10259</v>
      </c>
      <c r="F3589" s="4">
        <v>6022</v>
      </c>
      <c r="G3589" s="2" t="s">
        <v>37</v>
      </c>
      <c r="H3589" s="2" t="s">
        <v>34</v>
      </c>
      <c r="I3589" s="2" t="s">
        <v>5739</v>
      </c>
      <c r="J3589" s="2" t="s">
        <v>1181</v>
      </c>
      <c r="K3589" s="2" t="s">
        <v>37</v>
      </c>
      <c r="L3589" s="2" t="s">
        <v>34</v>
      </c>
      <c r="M3589" s="7">
        <v>108.96599999999999</v>
      </c>
      <c r="N3589" s="4">
        <v>44</v>
      </c>
      <c r="O3589" s="4">
        <v>45</v>
      </c>
      <c r="P3589" s="2" t="s">
        <v>11242</v>
      </c>
      <c r="Q3589" s="6">
        <v>100</v>
      </c>
      <c r="R3589" s="6">
        <v>7.11</v>
      </c>
      <c r="S3589" s="5">
        <v>0.3</v>
      </c>
      <c r="T3589" s="7">
        <v>0.61599999999999999</v>
      </c>
      <c r="U3589" s="5">
        <v>4.2</v>
      </c>
      <c r="V3589" s="6">
        <v>0.2</v>
      </c>
      <c r="W3589" s="6">
        <v>5.25</v>
      </c>
      <c r="X3589" s="6">
        <v>5.75</v>
      </c>
      <c r="Y3589" s="6">
        <v>5.75</v>
      </c>
      <c r="Z3589" s="7">
        <v>6.375</v>
      </c>
      <c r="AA3589" s="6">
        <v>1.71</v>
      </c>
      <c r="AB3589" s="7">
        <v>35.256</v>
      </c>
      <c r="AC3589" s="2"/>
    </row>
    <row r="3590" spans="1:29" ht="52" x14ac:dyDescent="0.15">
      <c r="A3590" s="3">
        <f>DATE(1997,12,31)</f>
        <v>35795</v>
      </c>
      <c r="B3590" s="2"/>
      <c r="C3590" s="2" t="s">
        <v>87</v>
      </c>
      <c r="D3590" s="2" t="s">
        <v>11243</v>
      </c>
      <c r="E3590" s="2" t="s">
        <v>11244</v>
      </c>
      <c r="F3590" s="4">
        <v>3317</v>
      </c>
      <c r="G3590" s="2" t="s">
        <v>163</v>
      </c>
      <c r="H3590" s="2" t="s">
        <v>34</v>
      </c>
      <c r="I3590" s="2" t="s">
        <v>149</v>
      </c>
      <c r="J3590" s="2" t="s">
        <v>150</v>
      </c>
      <c r="K3590" s="2" t="s">
        <v>53</v>
      </c>
      <c r="L3590" s="2" t="s">
        <v>151</v>
      </c>
      <c r="M3590" s="2"/>
      <c r="N3590" s="2"/>
      <c r="O3590" s="2"/>
      <c r="P3590" s="2" t="s">
        <v>11245</v>
      </c>
      <c r="Q3590" s="2"/>
      <c r="R3590" s="2"/>
      <c r="S3590" s="5">
        <v>40.4</v>
      </c>
      <c r="T3590" s="5">
        <v>58.9</v>
      </c>
      <c r="U3590" s="5">
        <v>9.6999999999999993</v>
      </c>
      <c r="V3590" s="6">
        <v>1.83</v>
      </c>
      <c r="W3590" s="7">
        <v>25.625</v>
      </c>
      <c r="X3590" s="7">
        <v>25.812999999999999</v>
      </c>
      <c r="Y3590" s="7">
        <v>28.375</v>
      </c>
      <c r="Z3590" s="7">
        <v>28.375</v>
      </c>
      <c r="AA3590" s="6">
        <v>22.93</v>
      </c>
      <c r="AB3590" s="2" t="s">
        <v>47</v>
      </c>
      <c r="AC3590" s="2"/>
    </row>
    <row r="3591" spans="1:29" ht="117" x14ac:dyDescent="0.15">
      <c r="A3591" s="3">
        <f>DATE(1997,12,31)</f>
        <v>35795</v>
      </c>
      <c r="B3591" s="3">
        <f>DATE(1998,5,22)</f>
        <v>35937</v>
      </c>
      <c r="C3591" s="2" t="s">
        <v>95</v>
      </c>
      <c r="D3591" s="2" t="s">
        <v>11246</v>
      </c>
      <c r="E3591" s="2" t="s">
        <v>268</v>
      </c>
      <c r="F3591" s="4">
        <v>7011</v>
      </c>
      <c r="G3591" s="2" t="s">
        <v>269</v>
      </c>
      <c r="H3591" s="2" t="s">
        <v>34</v>
      </c>
      <c r="I3591" s="2" t="s">
        <v>11247</v>
      </c>
      <c r="J3591" s="2" t="s">
        <v>92</v>
      </c>
      <c r="K3591" s="2" t="s">
        <v>53</v>
      </c>
      <c r="L3591" s="2" t="s">
        <v>34</v>
      </c>
      <c r="M3591" s="7">
        <v>241.982</v>
      </c>
      <c r="N3591" s="7">
        <v>26.437999999999999</v>
      </c>
      <c r="O3591" s="7">
        <v>26.437999999999999</v>
      </c>
      <c r="P3591" s="2" t="s">
        <v>11248</v>
      </c>
      <c r="Q3591" s="6">
        <v>100</v>
      </c>
      <c r="R3591" s="6">
        <v>24.33</v>
      </c>
      <c r="S3591" s="5">
        <v>3.4</v>
      </c>
      <c r="T3591" s="7">
        <v>25.972000000000001</v>
      </c>
      <c r="U3591" s="5">
        <v>2.1</v>
      </c>
      <c r="V3591" s="6">
        <v>0.81</v>
      </c>
      <c r="W3591" s="6">
        <v>25.75</v>
      </c>
      <c r="X3591" s="4">
        <v>26</v>
      </c>
      <c r="Y3591" s="7">
        <v>25.312999999999999</v>
      </c>
      <c r="Z3591" s="7">
        <v>25.312999999999999</v>
      </c>
      <c r="AA3591" s="6">
        <v>4.9400000000000004</v>
      </c>
      <c r="AB3591" s="7">
        <v>14.026999999999999</v>
      </c>
      <c r="AC3591" s="6">
        <v>1.86</v>
      </c>
    </row>
    <row r="3592" spans="1:29" ht="117" x14ac:dyDescent="0.15">
      <c r="A3592" s="3">
        <f>DATE(1998,1,1)</f>
        <v>35796</v>
      </c>
      <c r="B3592" s="3">
        <f>DATE(1998,7,31)</f>
        <v>36007</v>
      </c>
      <c r="C3592" s="2" t="s">
        <v>95</v>
      </c>
      <c r="D3592" s="2" t="s">
        <v>11249</v>
      </c>
      <c r="E3592" s="2" t="s">
        <v>11250</v>
      </c>
      <c r="F3592" s="4">
        <v>2013</v>
      </c>
      <c r="G3592" s="2" t="s">
        <v>577</v>
      </c>
      <c r="H3592" s="2" t="s">
        <v>34</v>
      </c>
      <c r="I3592" s="2" t="s">
        <v>1859</v>
      </c>
      <c r="J3592" s="2" t="s">
        <v>1860</v>
      </c>
      <c r="K3592" s="2" t="s">
        <v>577</v>
      </c>
      <c r="L3592" s="2" t="s">
        <v>34</v>
      </c>
      <c r="M3592" s="12">
        <v>17685.312999999998</v>
      </c>
      <c r="N3592" s="7">
        <v>33.125</v>
      </c>
      <c r="O3592" s="7">
        <v>33.188000000000002</v>
      </c>
      <c r="P3592" s="2" t="s">
        <v>11251</v>
      </c>
      <c r="Q3592" s="6">
        <v>100</v>
      </c>
      <c r="R3592" s="6">
        <v>28.58</v>
      </c>
      <c r="S3592" s="5">
        <v>5.9</v>
      </c>
      <c r="T3592" s="7">
        <v>16.042999999999999</v>
      </c>
      <c r="U3592" s="5">
        <v>6.5</v>
      </c>
      <c r="V3592" s="6">
        <v>0.71</v>
      </c>
      <c r="W3592" s="6">
        <v>16.25</v>
      </c>
      <c r="X3592" s="5">
        <v>18.5</v>
      </c>
      <c r="Y3592" s="5">
        <v>17.5</v>
      </c>
      <c r="Z3592" s="5">
        <v>17.5</v>
      </c>
      <c r="AA3592" s="6">
        <v>6.99</v>
      </c>
      <c r="AB3592" s="7">
        <v>23.126000000000001</v>
      </c>
      <c r="AC3592" s="5">
        <v>95.2</v>
      </c>
    </row>
    <row r="3593" spans="1:29" ht="234" x14ac:dyDescent="0.15">
      <c r="A3593" s="3">
        <f>DATE(1998,1,2)</f>
        <v>35797</v>
      </c>
      <c r="B3593" s="3">
        <f>DATE(1998,2,27)</f>
        <v>35853</v>
      </c>
      <c r="C3593" s="2" t="s">
        <v>95</v>
      </c>
      <c r="D3593" s="2" t="s">
        <v>11252</v>
      </c>
      <c r="E3593" s="2" t="s">
        <v>11253</v>
      </c>
      <c r="F3593" s="4">
        <v>5065</v>
      </c>
      <c r="G3593" s="2" t="s">
        <v>76</v>
      </c>
      <c r="H3593" s="2" t="s">
        <v>34</v>
      </c>
      <c r="I3593" s="2" t="s">
        <v>11254</v>
      </c>
      <c r="J3593" s="2" t="s">
        <v>560</v>
      </c>
      <c r="K3593" s="2" t="s">
        <v>76</v>
      </c>
      <c r="L3593" s="2" t="s">
        <v>34</v>
      </c>
      <c r="M3593" s="6">
        <v>404.46</v>
      </c>
      <c r="N3593" s="6">
        <v>24.25</v>
      </c>
      <c r="O3593" s="7">
        <v>25.625</v>
      </c>
      <c r="P3593" s="2" t="s">
        <v>11255</v>
      </c>
      <c r="Q3593" s="6">
        <v>63.03</v>
      </c>
      <c r="R3593" s="2"/>
      <c r="S3593" s="5">
        <v>3.8</v>
      </c>
      <c r="T3593" s="7">
        <v>7.2050000000000001</v>
      </c>
      <c r="U3593" s="5">
        <v>4.0999999999999996</v>
      </c>
      <c r="V3593" s="6">
        <v>0.52</v>
      </c>
      <c r="W3593" s="6">
        <v>17.25</v>
      </c>
      <c r="X3593" s="7">
        <v>15.125</v>
      </c>
      <c r="Y3593" s="7">
        <v>15.813000000000001</v>
      </c>
      <c r="Z3593" s="5">
        <v>15.5</v>
      </c>
      <c r="AA3593" s="6">
        <v>8.11</v>
      </c>
      <c r="AB3593" s="7">
        <v>23.326000000000001</v>
      </c>
      <c r="AC3593" s="6">
        <v>22.48</v>
      </c>
    </row>
    <row r="3594" spans="1:29" ht="104" x14ac:dyDescent="0.15">
      <c r="A3594" s="3">
        <f>DATE(1998,1,5)</f>
        <v>35800</v>
      </c>
      <c r="B3594" s="3">
        <f>DATE(1998,7,17)</f>
        <v>35993</v>
      </c>
      <c r="C3594" s="2" t="s">
        <v>95</v>
      </c>
      <c r="D3594" s="2" t="s">
        <v>4330</v>
      </c>
      <c r="E3594" s="2" t="s">
        <v>1645</v>
      </c>
      <c r="F3594" s="4">
        <v>7011</v>
      </c>
      <c r="G3594" s="2" t="s">
        <v>269</v>
      </c>
      <c r="H3594" s="2" t="s">
        <v>34</v>
      </c>
      <c r="I3594" s="2" t="s">
        <v>11256</v>
      </c>
      <c r="J3594" s="2" t="s">
        <v>92</v>
      </c>
      <c r="K3594" s="2" t="s">
        <v>53</v>
      </c>
      <c r="L3594" s="2" t="s">
        <v>34</v>
      </c>
      <c r="M3594" s="2"/>
      <c r="N3594" s="2"/>
      <c r="O3594" s="2"/>
      <c r="P3594" s="2" t="s">
        <v>11257</v>
      </c>
      <c r="Q3594" s="6">
        <v>100</v>
      </c>
      <c r="R3594" s="6">
        <v>26</v>
      </c>
      <c r="S3594" s="5">
        <v>87.3</v>
      </c>
      <c r="T3594" s="7">
        <v>239.54400000000001</v>
      </c>
      <c r="U3594" s="5">
        <v>5.6</v>
      </c>
      <c r="V3594" s="6">
        <v>1.1299999999999999</v>
      </c>
      <c r="W3594" s="7">
        <v>19.125</v>
      </c>
      <c r="X3594" s="6">
        <v>20.25</v>
      </c>
      <c r="Y3594" s="4">
        <v>23</v>
      </c>
      <c r="Z3594" s="7">
        <v>22.437999999999999</v>
      </c>
      <c r="AA3594" s="6">
        <v>77.209999999999994</v>
      </c>
      <c r="AB3594" s="7">
        <v>17.012</v>
      </c>
      <c r="AC3594" s="2"/>
    </row>
    <row r="3595" spans="1:29" ht="143" x14ac:dyDescent="0.15">
      <c r="A3595" s="3">
        <f>DATE(1998,1,5)</f>
        <v>35800</v>
      </c>
      <c r="B3595" s="3">
        <f>DATE(1998,5,12)</f>
        <v>35927</v>
      </c>
      <c r="C3595" s="2" t="s">
        <v>95</v>
      </c>
      <c r="D3595" s="2" t="s">
        <v>11258</v>
      </c>
      <c r="E3595" s="2" t="s">
        <v>11259</v>
      </c>
      <c r="F3595" s="4">
        <v>3669</v>
      </c>
      <c r="G3595" s="2" t="s">
        <v>921</v>
      </c>
      <c r="H3595" s="2" t="s">
        <v>34</v>
      </c>
      <c r="I3595" s="2" t="s">
        <v>5921</v>
      </c>
      <c r="J3595" s="2" t="s">
        <v>5922</v>
      </c>
      <c r="K3595" s="2" t="s">
        <v>551</v>
      </c>
      <c r="L3595" s="2" t="s">
        <v>34</v>
      </c>
      <c r="M3595" s="12">
        <v>1927.3330000000001</v>
      </c>
      <c r="N3595" s="7">
        <v>28.375</v>
      </c>
      <c r="O3595" s="6">
        <v>27.25</v>
      </c>
      <c r="P3595" s="2" t="s">
        <v>11260</v>
      </c>
      <c r="Q3595" s="6">
        <v>100</v>
      </c>
      <c r="R3595" s="6">
        <v>2.91</v>
      </c>
      <c r="S3595" s="5">
        <v>-0.5</v>
      </c>
      <c r="T3595" s="7">
        <v>-0.435</v>
      </c>
      <c r="U3595" s="5">
        <v>0.3</v>
      </c>
      <c r="V3595" s="7">
        <v>-2.3E-2</v>
      </c>
      <c r="W3595" s="11">
        <v>6.2692500000000004</v>
      </c>
      <c r="X3595" s="11">
        <v>6.9729799999999997</v>
      </c>
      <c r="Y3595" s="4">
        <v>5</v>
      </c>
      <c r="Z3595" s="6">
        <v>5.25</v>
      </c>
      <c r="AA3595" s="6">
        <v>26.13</v>
      </c>
      <c r="AB3595" s="2" t="s">
        <v>47</v>
      </c>
      <c r="AC3595" s="6">
        <v>235.74</v>
      </c>
    </row>
    <row r="3596" spans="1:29" ht="195" x14ac:dyDescent="0.15">
      <c r="A3596" s="3">
        <f>DATE(1998,1,5)</f>
        <v>35800</v>
      </c>
      <c r="B3596" s="2"/>
      <c r="C3596" s="2" t="s">
        <v>30</v>
      </c>
      <c r="D3596" s="2" t="s">
        <v>4559</v>
      </c>
      <c r="E3596" s="2" t="s">
        <v>4560</v>
      </c>
      <c r="F3596" s="4">
        <v>5961</v>
      </c>
      <c r="G3596" s="2" t="s">
        <v>73</v>
      </c>
      <c r="H3596" s="2" t="s">
        <v>34</v>
      </c>
      <c r="I3596" s="2" t="s">
        <v>4561</v>
      </c>
      <c r="J3596" s="2" t="s">
        <v>4562</v>
      </c>
      <c r="K3596" s="2" t="s">
        <v>4563</v>
      </c>
      <c r="L3596" s="2" t="s">
        <v>34</v>
      </c>
      <c r="M3596" s="7">
        <v>117.414</v>
      </c>
      <c r="N3596" s="5">
        <v>3.5</v>
      </c>
      <c r="O3596" s="7">
        <v>3.5630000000000002</v>
      </c>
      <c r="P3596" s="2" t="s">
        <v>11261</v>
      </c>
      <c r="Q3596" s="2"/>
      <c r="R3596" s="6">
        <v>3.26</v>
      </c>
      <c r="S3596" s="5">
        <v>-45.7</v>
      </c>
      <c r="T3596" s="7">
        <v>-29.302</v>
      </c>
      <c r="U3596" s="5">
        <v>3.5</v>
      </c>
      <c r="V3596" s="6">
        <v>-2.0699999999999998</v>
      </c>
      <c r="W3596" s="6">
        <v>2.75</v>
      </c>
      <c r="X3596" s="7">
        <v>3.4380000000000002</v>
      </c>
      <c r="Y3596" s="6">
        <v>3.25</v>
      </c>
      <c r="Z3596" s="9">
        <v>3.0625</v>
      </c>
      <c r="AA3596" s="6">
        <v>26.21</v>
      </c>
      <c r="AB3596" s="2" t="s">
        <v>86</v>
      </c>
      <c r="AC3596" s="6">
        <v>52.86</v>
      </c>
    </row>
    <row r="3597" spans="1:29" ht="156" x14ac:dyDescent="0.15">
      <c r="A3597" s="3">
        <f>DATE(1998,1,5)</f>
        <v>35800</v>
      </c>
      <c r="B3597" s="3">
        <f>DATE(1998,10,26)</f>
        <v>36094</v>
      </c>
      <c r="C3597" s="2" t="s">
        <v>95</v>
      </c>
      <c r="D3597" s="2" t="s">
        <v>11262</v>
      </c>
      <c r="E3597" s="2" t="s">
        <v>1395</v>
      </c>
      <c r="F3597" s="4">
        <v>4813</v>
      </c>
      <c r="G3597" s="2" t="s">
        <v>63</v>
      </c>
      <c r="H3597" s="2" t="s">
        <v>34</v>
      </c>
      <c r="I3597" s="2" t="s">
        <v>4689</v>
      </c>
      <c r="J3597" s="2" t="s">
        <v>1604</v>
      </c>
      <c r="K3597" s="2" t="s">
        <v>63</v>
      </c>
      <c r="L3597" s="2" t="s">
        <v>34</v>
      </c>
      <c r="M3597" s="12">
        <v>66090.270999999993</v>
      </c>
      <c r="N3597" s="7">
        <v>72.813000000000002</v>
      </c>
      <c r="O3597" s="5">
        <v>72.5</v>
      </c>
      <c r="P3597" s="2" t="s">
        <v>11263</v>
      </c>
      <c r="Q3597" s="6">
        <v>100</v>
      </c>
      <c r="R3597" s="6">
        <v>65.83</v>
      </c>
      <c r="S3597" s="5">
        <v>197.5</v>
      </c>
      <c r="T3597" s="5">
        <v>776.6</v>
      </c>
      <c r="U3597" s="5">
        <v>9</v>
      </c>
      <c r="V3597" s="6">
        <v>2.98</v>
      </c>
      <c r="W3597" s="5">
        <v>48.5</v>
      </c>
      <c r="X3597" s="7">
        <v>49.625</v>
      </c>
      <c r="Y3597" s="5">
        <v>60.5</v>
      </c>
      <c r="Z3597" s="7">
        <v>60.063000000000002</v>
      </c>
      <c r="AA3597" s="6">
        <v>65.94</v>
      </c>
      <c r="AB3597" s="7">
        <v>14.608000000000001</v>
      </c>
      <c r="AC3597" s="5">
        <v>718</v>
      </c>
    </row>
    <row r="3598" spans="1:29" ht="104" x14ac:dyDescent="0.15">
      <c r="A3598" s="3">
        <f>DATE(1998,1,6)</f>
        <v>35801</v>
      </c>
      <c r="B3598" s="3">
        <f>DATE(1998,3,2)</f>
        <v>35856</v>
      </c>
      <c r="C3598" s="2" t="s">
        <v>95</v>
      </c>
      <c r="D3598" s="2" t="s">
        <v>11264</v>
      </c>
      <c r="E3598" s="2" t="s">
        <v>11265</v>
      </c>
      <c r="F3598" s="4">
        <v>3812</v>
      </c>
      <c r="G3598" s="2" t="s">
        <v>226</v>
      </c>
      <c r="H3598" s="2" t="s">
        <v>34</v>
      </c>
      <c r="I3598" s="2" t="s">
        <v>11266</v>
      </c>
      <c r="J3598" s="2" t="s">
        <v>10715</v>
      </c>
      <c r="K3598" s="2" t="s">
        <v>223</v>
      </c>
      <c r="L3598" s="2" t="s">
        <v>34</v>
      </c>
      <c r="M3598" s="6">
        <v>118.82</v>
      </c>
      <c r="N3598" s="7">
        <v>5.9379999999999997</v>
      </c>
      <c r="O3598" s="7">
        <v>6.125</v>
      </c>
      <c r="P3598" s="2" t="s">
        <v>11267</v>
      </c>
      <c r="Q3598" s="6">
        <v>100</v>
      </c>
      <c r="R3598" s="6">
        <v>8.48</v>
      </c>
      <c r="S3598" s="5">
        <v>1.8</v>
      </c>
      <c r="T3598" s="7">
        <v>3.4460000000000002</v>
      </c>
      <c r="U3598" s="5">
        <v>6.6</v>
      </c>
      <c r="V3598" s="6">
        <v>0.4</v>
      </c>
      <c r="W3598" s="7">
        <v>5.875</v>
      </c>
      <c r="X3598" s="7">
        <v>6.125</v>
      </c>
      <c r="Y3598" s="5">
        <v>7.5</v>
      </c>
      <c r="Z3598" s="7">
        <v>7.375</v>
      </c>
      <c r="AA3598" s="6">
        <v>4.42</v>
      </c>
      <c r="AB3598" s="7">
        <v>9.7799999999999994</v>
      </c>
      <c r="AC3598" s="6">
        <v>1.25</v>
      </c>
    </row>
    <row r="3599" spans="1:29" ht="117" x14ac:dyDescent="0.15">
      <c r="A3599" s="3">
        <f>DATE(1998,1,6)</f>
        <v>35801</v>
      </c>
      <c r="B3599" s="3">
        <f>DATE(1998,3,31)</f>
        <v>35885</v>
      </c>
      <c r="C3599" s="2" t="s">
        <v>95</v>
      </c>
      <c r="D3599" s="2" t="s">
        <v>10298</v>
      </c>
      <c r="E3599" s="2" t="s">
        <v>973</v>
      </c>
      <c r="F3599" s="4">
        <v>4813</v>
      </c>
      <c r="G3599" s="2" t="s">
        <v>63</v>
      </c>
      <c r="H3599" s="2" t="s">
        <v>34</v>
      </c>
      <c r="I3599" s="2" t="s">
        <v>11268</v>
      </c>
      <c r="J3599" s="2" t="s">
        <v>1604</v>
      </c>
      <c r="K3599" s="2" t="s">
        <v>63</v>
      </c>
      <c r="L3599" s="2" t="s">
        <v>34</v>
      </c>
      <c r="M3599" s="2"/>
      <c r="N3599" s="7">
        <v>65.938000000000002</v>
      </c>
      <c r="O3599" s="7">
        <v>64.875</v>
      </c>
      <c r="P3599" s="2" t="s">
        <v>11269</v>
      </c>
      <c r="Q3599" s="6">
        <v>100</v>
      </c>
      <c r="R3599" s="2"/>
      <c r="S3599" s="5">
        <v>-14.9</v>
      </c>
      <c r="T3599" s="2"/>
      <c r="U3599" s="5">
        <v>0.3</v>
      </c>
      <c r="V3599" s="7">
        <v>-0.52200000000000002</v>
      </c>
      <c r="W3599" s="7">
        <v>1.375</v>
      </c>
      <c r="X3599" s="7">
        <v>1.125</v>
      </c>
      <c r="Y3599" s="7">
        <v>0.68799999999999994</v>
      </c>
      <c r="Z3599" s="6">
        <v>0.75</v>
      </c>
      <c r="AA3599" s="6">
        <v>32.54</v>
      </c>
      <c r="AB3599" s="2" t="s">
        <v>86</v>
      </c>
      <c r="AC3599" s="6">
        <v>379.78</v>
      </c>
    </row>
    <row r="3600" spans="1:29" ht="65" x14ac:dyDescent="0.15">
      <c r="A3600" s="3">
        <f>DATE(1998,1,6)</f>
        <v>35801</v>
      </c>
      <c r="B3600" s="3">
        <f>DATE(1998,4,1)</f>
        <v>35886</v>
      </c>
      <c r="C3600" s="2" t="s">
        <v>95</v>
      </c>
      <c r="D3600" s="2" t="s">
        <v>11270</v>
      </c>
      <c r="E3600" s="2" t="s">
        <v>6417</v>
      </c>
      <c r="F3600" s="4">
        <v>2451</v>
      </c>
      <c r="G3600" s="2" t="s">
        <v>250</v>
      </c>
      <c r="H3600" s="2" t="s">
        <v>34</v>
      </c>
      <c r="I3600" s="2" t="s">
        <v>11271</v>
      </c>
      <c r="J3600" s="2" t="s">
        <v>11272</v>
      </c>
      <c r="K3600" s="2" t="s">
        <v>341</v>
      </c>
      <c r="L3600" s="2" t="s">
        <v>34</v>
      </c>
      <c r="M3600" s="12">
        <v>1482.231</v>
      </c>
      <c r="N3600" s="7">
        <v>33.688000000000002</v>
      </c>
      <c r="O3600" s="7">
        <v>34.625</v>
      </c>
      <c r="P3600" s="2" t="s">
        <v>11273</v>
      </c>
      <c r="Q3600" s="6">
        <v>100</v>
      </c>
      <c r="R3600" s="6">
        <v>22.5</v>
      </c>
      <c r="S3600" s="5">
        <v>7.5</v>
      </c>
      <c r="T3600" s="7">
        <v>15.422000000000001</v>
      </c>
      <c r="U3600" s="5">
        <v>11</v>
      </c>
      <c r="V3600" s="7">
        <v>1.655</v>
      </c>
      <c r="W3600" s="7">
        <v>20.375</v>
      </c>
      <c r="X3600" s="6">
        <v>22.25</v>
      </c>
      <c r="Y3600" s="7">
        <v>21.937999999999999</v>
      </c>
      <c r="Z3600" s="4">
        <v>22</v>
      </c>
      <c r="AA3600" s="6">
        <v>4.51</v>
      </c>
      <c r="AB3600" s="7">
        <v>8.56</v>
      </c>
      <c r="AC3600" s="6">
        <v>28.72</v>
      </c>
    </row>
    <row r="3601" spans="1:29" ht="143" x14ac:dyDescent="0.15">
      <c r="A3601" s="3">
        <f>DATE(1998,1,7)</f>
        <v>35802</v>
      </c>
      <c r="B3601" s="3">
        <f>DATE(1998,7,13)</f>
        <v>35989</v>
      </c>
      <c r="C3601" s="2" t="s">
        <v>95</v>
      </c>
      <c r="D3601" s="2" t="s">
        <v>11274</v>
      </c>
      <c r="E3601" s="2" t="s">
        <v>1181</v>
      </c>
      <c r="F3601" s="4">
        <v>6022</v>
      </c>
      <c r="G3601" s="2" t="s">
        <v>37</v>
      </c>
      <c r="H3601" s="2" t="s">
        <v>34</v>
      </c>
      <c r="I3601" s="2" t="s">
        <v>11275</v>
      </c>
      <c r="J3601" s="2" t="s">
        <v>3246</v>
      </c>
      <c r="K3601" s="2" t="s">
        <v>37</v>
      </c>
      <c r="L3601" s="2" t="s">
        <v>34</v>
      </c>
      <c r="M3601" s="7">
        <v>83.441999999999993</v>
      </c>
      <c r="N3601" s="4">
        <v>31</v>
      </c>
      <c r="O3601" s="6">
        <v>30.75</v>
      </c>
      <c r="P3601" s="2" t="s">
        <v>11276</v>
      </c>
      <c r="Q3601" s="6">
        <v>100</v>
      </c>
      <c r="R3601" s="2"/>
      <c r="S3601" s="2"/>
      <c r="T3601" s="2"/>
      <c r="U3601" s="2"/>
      <c r="V3601" s="2"/>
      <c r="W3601" s="4">
        <v>162</v>
      </c>
      <c r="X3601" s="4">
        <v>162</v>
      </c>
      <c r="Y3601" s="4">
        <v>162</v>
      </c>
      <c r="Z3601" s="4">
        <v>162</v>
      </c>
      <c r="AA3601" s="2"/>
      <c r="AB3601" s="2" t="s">
        <v>47</v>
      </c>
      <c r="AC3601" s="2"/>
    </row>
    <row r="3602" spans="1:29" ht="143" x14ac:dyDescent="0.15">
      <c r="A3602" s="3">
        <f>DATE(1998,1,7)</f>
        <v>35802</v>
      </c>
      <c r="B3602" s="2"/>
      <c r="C3602" s="2" t="s">
        <v>30</v>
      </c>
      <c r="D3602" s="2" t="s">
        <v>10789</v>
      </c>
      <c r="E3602" s="2" t="s">
        <v>676</v>
      </c>
      <c r="F3602" s="4">
        <v>2899</v>
      </c>
      <c r="G3602" s="2" t="s">
        <v>98</v>
      </c>
      <c r="H3602" s="2" t="s">
        <v>34</v>
      </c>
      <c r="I3602" s="2" t="s">
        <v>11277</v>
      </c>
      <c r="J3602" s="2" t="s">
        <v>11278</v>
      </c>
      <c r="K3602" s="2" t="s">
        <v>447</v>
      </c>
      <c r="L3602" s="2" t="s">
        <v>34</v>
      </c>
      <c r="M3602" s="6">
        <v>965.87</v>
      </c>
      <c r="N3602" s="6">
        <v>24.75</v>
      </c>
      <c r="O3602" s="7">
        <v>23.687999999999999</v>
      </c>
      <c r="P3602" s="2" t="s">
        <v>11279</v>
      </c>
      <c r="Q3602" s="2"/>
      <c r="R3602" s="6">
        <v>38</v>
      </c>
      <c r="S3602" s="5">
        <v>10.6</v>
      </c>
      <c r="T3602" s="7">
        <v>28.375</v>
      </c>
      <c r="U3602" s="5">
        <v>11</v>
      </c>
      <c r="V3602" s="6">
        <v>1.84</v>
      </c>
      <c r="W3602" s="6">
        <v>26.25</v>
      </c>
      <c r="X3602" s="6">
        <v>26.25</v>
      </c>
      <c r="Y3602" s="5">
        <v>33.5</v>
      </c>
      <c r="Z3602" s="7">
        <v>35.875</v>
      </c>
      <c r="AA3602" s="6">
        <v>5.67</v>
      </c>
      <c r="AB3602" s="7">
        <v>10.465999999999999</v>
      </c>
      <c r="AC3602" s="5">
        <v>18</v>
      </c>
    </row>
    <row r="3603" spans="1:29" ht="65" x14ac:dyDescent="0.15">
      <c r="A3603" s="3">
        <f>DATE(1998,1,8)</f>
        <v>35803</v>
      </c>
      <c r="B3603" s="3">
        <f>DATE(1998,1,30)</f>
        <v>35825</v>
      </c>
      <c r="C3603" s="2" t="s">
        <v>95</v>
      </c>
      <c r="D3603" s="2" t="s">
        <v>11280</v>
      </c>
      <c r="E3603" s="2" t="s">
        <v>11281</v>
      </c>
      <c r="F3603" s="2" t="s">
        <v>3218</v>
      </c>
      <c r="G3603" s="2" t="s">
        <v>426</v>
      </c>
      <c r="H3603" s="2" t="s">
        <v>34</v>
      </c>
      <c r="I3603" s="2" t="s">
        <v>11282</v>
      </c>
      <c r="J3603" s="2" t="s">
        <v>11283</v>
      </c>
      <c r="K3603" s="2" t="s">
        <v>250</v>
      </c>
      <c r="L3603" s="2" t="s">
        <v>34</v>
      </c>
      <c r="M3603" s="12">
        <v>1263.384</v>
      </c>
      <c r="N3603" s="7">
        <v>42.625</v>
      </c>
      <c r="O3603" s="4">
        <v>41</v>
      </c>
      <c r="P3603" s="2" t="s">
        <v>11284</v>
      </c>
      <c r="Q3603" s="6">
        <v>25.3</v>
      </c>
      <c r="R3603" s="6">
        <v>13</v>
      </c>
      <c r="S3603" s="5">
        <v>99.5</v>
      </c>
      <c r="T3603" s="7">
        <v>116.554</v>
      </c>
      <c r="U3603" s="5">
        <v>6.7</v>
      </c>
      <c r="V3603" s="6">
        <v>5.43</v>
      </c>
      <c r="W3603" s="7">
        <v>10.375</v>
      </c>
      <c r="X3603" s="7">
        <v>11.688000000000001</v>
      </c>
      <c r="Y3603" s="7">
        <v>12.938000000000001</v>
      </c>
      <c r="Z3603" s="7">
        <v>12.875</v>
      </c>
      <c r="AA3603" s="6">
        <v>20</v>
      </c>
      <c r="AB3603" s="7">
        <v>3.7789999999999999</v>
      </c>
      <c r="AC3603" s="6">
        <v>10.66</v>
      </c>
    </row>
    <row r="3604" spans="1:29" ht="182" x14ac:dyDescent="0.15">
      <c r="A3604" s="3">
        <f>DATE(1998,1,8)</f>
        <v>35803</v>
      </c>
      <c r="B3604" s="3">
        <f>DATE(1998,7,23)</f>
        <v>35999</v>
      </c>
      <c r="C3604" s="2" t="s">
        <v>95</v>
      </c>
      <c r="D3604" s="2" t="s">
        <v>11012</v>
      </c>
      <c r="E3604" s="2" t="s">
        <v>560</v>
      </c>
      <c r="F3604" s="4">
        <v>4813</v>
      </c>
      <c r="G3604" s="2" t="s">
        <v>63</v>
      </c>
      <c r="H3604" s="2" t="s">
        <v>34</v>
      </c>
      <c r="I3604" s="2" t="s">
        <v>5691</v>
      </c>
      <c r="J3604" s="2" t="s">
        <v>5692</v>
      </c>
      <c r="K3604" s="2" t="s">
        <v>63</v>
      </c>
      <c r="L3604" s="2" t="s">
        <v>34</v>
      </c>
      <c r="M3604" s="12">
        <v>92785.452999999994</v>
      </c>
      <c r="N3604" s="7">
        <v>62.625</v>
      </c>
      <c r="O3604" s="7">
        <v>60.813000000000002</v>
      </c>
      <c r="P3604" s="2" t="s">
        <v>11285</v>
      </c>
      <c r="Q3604" s="6">
        <v>100</v>
      </c>
      <c r="R3604" s="6">
        <v>56.58</v>
      </c>
      <c r="S3604" s="5">
        <v>-222.7</v>
      </c>
      <c r="T3604" s="7">
        <v>47.588999999999999</v>
      </c>
      <c r="U3604" s="5">
        <v>5.6</v>
      </c>
      <c r="V3604" s="6">
        <v>-1.34</v>
      </c>
      <c r="W3604" s="7">
        <v>55.625</v>
      </c>
      <c r="X3604" s="4">
        <v>58</v>
      </c>
      <c r="Y3604" s="6">
        <v>57.25</v>
      </c>
      <c r="Z3604" s="7">
        <v>57.875</v>
      </c>
      <c r="AA3604" s="6">
        <v>174.71</v>
      </c>
      <c r="AB3604" s="2" t="s">
        <v>86</v>
      </c>
      <c r="AC3604" s="5">
        <v>145</v>
      </c>
    </row>
    <row r="3605" spans="1:29" ht="143" x14ac:dyDescent="0.15">
      <c r="A3605" s="3">
        <f>DATE(1998,1,9)</f>
        <v>35804</v>
      </c>
      <c r="B3605" s="3">
        <f>DATE(1998,3,30)</f>
        <v>35884</v>
      </c>
      <c r="C3605" s="2" t="s">
        <v>95</v>
      </c>
      <c r="D3605" s="2" t="s">
        <v>11286</v>
      </c>
      <c r="E3605" s="2" t="s">
        <v>2898</v>
      </c>
      <c r="F3605" s="4">
        <v>6021</v>
      </c>
      <c r="G3605" s="2" t="s">
        <v>37</v>
      </c>
      <c r="H3605" s="2" t="s">
        <v>34</v>
      </c>
      <c r="I3605" s="2" t="s">
        <v>158</v>
      </c>
      <c r="J3605" s="2" t="s">
        <v>159</v>
      </c>
      <c r="K3605" s="2" t="s">
        <v>37</v>
      </c>
      <c r="L3605" s="2" t="s">
        <v>34</v>
      </c>
      <c r="M3605" s="12">
        <v>13555.279</v>
      </c>
      <c r="N3605" s="6">
        <v>59.25</v>
      </c>
      <c r="O3605" s="5">
        <v>57.5</v>
      </c>
      <c r="P3605" s="2" t="s">
        <v>11287</v>
      </c>
      <c r="Q3605" s="6">
        <v>100</v>
      </c>
      <c r="R3605" s="6">
        <v>44.44</v>
      </c>
      <c r="S3605" s="5">
        <v>36.799999999999997</v>
      </c>
      <c r="T3605" s="7">
        <v>60.991999999999997</v>
      </c>
      <c r="U3605" s="5">
        <v>15.3</v>
      </c>
      <c r="V3605" s="6">
        <v>1.98</v>
      </c>
      <c r="W3605" s="5">
        <v>45.5</v>
      </c>
      <c r="X3605" s="7">
        <v>42.375</v>
      </c>
      <c r="Y3605" s="7">
        <v>41.375</v>
      </c>
      <c r="Z3605" s="7">
        <v>41.938000000000002</v>
      </c>
      <c r="AA3605" s="6">
        <v>17.079999999999998</v>
      </c>
      <c r="AB3605" s="7">
        <v>23.492000000000001</v>
      </c>
      <c r="AC3605" s="2"/>
    </row>
    <row r="3606" spans="1:29" ht="104" x14ac:dyDescent="0.15">
      <c r="A3606" s="3">
        <f>DATE(1998,1,9)</f>
        <v>35804</v>
      </c>
      <c r="B3606" s="3">
        <f>DATE(1998,9,30)</f>
        <v>36068</v>
      </c>
      <c r="C3606" s="2" t="s">
        <v>95</v>
      </c>
      <c r="D3606" s="2" t="s">
        <v>11288</v>
      </c>
      <c r="E3606" s="2" t="s">
        <v>11289</v>
      </c>
      <c r="F3606" s="4">
        <v>7373</v>
      </c>
      <c r="G3606" s="2" t="s">
        <v>223</v>
      </c>
      <c r="H3606" s="2" t="s">
        <v>34</v>
      </c>
      <c r="I3606" s="2" t="s">
        <v>11290</v>
      </c>
      <c r="J3606" s="2" t="s">
        <v>11291</v>
      </c>
      <c r="K3606" s="2" t="s">
        <v>226</v>
      </c>
      <c r="L3606" s="2" t="s">
        <v>1049</v>
      </c>
      <c r="M3606" s="2"/>
      <c r="N3606" s="2"/>
      <c r="O3606" s="2"/>
      <c r="P3606" s="2" t="s">
        <v>11292</v>
      </c>
      <c r="Q3606" s="6">
        <v>45.49</v>
      </c>
      <c r="R3606" s="6">
        <v>15.9</v>
      </c>
      <c r="S3606" s="5">
        <v>0.4</v>
      </c>
      <c r="T3606" s="7">
        <v>1.768</v>
      </c>
      <c r="U3606" s="5">
        <v>5.8</v>
      </c>
      <c r="V3606" s="6">
        <v>0.08</v>
      </c>
      <c r="W3606" s="7">
        <v>13.125</v>
      </c>
      <c r="X3606" s="7">
        <v>12.875</v>
      </c>
      <c r="Y3606" s="7">
        <v>12.625</v>
      </c>
      <c r="Z3606" s="6">
        <v>12.75</v>
      </c>
      <c r="AA3606" s="6">
        <v>5.29</v>
      </c>
      <c r="AB3606" s="7">
        <v>36281.625</v>
      </c>
      <c r="AC3606" s="2"/>
    </row>
    <row r="3607" spans="1:29" ht="130" x14ac:dyDescent="0.15">
      <c r="A3607" s="3">
        <f>DATE(1998,1,12)</f>
        <v>35807</v>
      </c>
      <c r="B3607" s="3">
        <f>DATE(1998,6,30)</f>
        <v>35976</v>
      </c>
      <c r="C3607" s="2" t="s">
        <v>95</v>
      </c>
      <c r="D3607" s="2" t="s">
        <v>11293</v>
      </c>
      <c r="E3607" s="2" t="s">
        <v>263</v>
      </c>
      <c r="F3607" s="4">
        <v>6022</v>
      </c>
      <c r="G3607" s="2" t="s">
        <v>37</v>
      </c>
      <c r="H3607" s="2" t="s">
        <v>34</v>
      </c>
      <c r="I3607" s="2" t="s">
        <v>2452</v>
      </c>
      <c r="J3607" s="2" t="s">
        <v>265</v>
      </c>
      <c r="K3607" s="2" t="s">
        <v>37</v>
      </c>
      <c r="L3607" s="2" t="s">
        <v>34</v>
      </c>
      <c r="M3607" s="12">
        <v>7687.0720000000001</v>
      </c>
      <c r="N3607" s="7">
        <v>51.875</v>
      </c>
      <c r="O3607" s="7">
        <v>52.813000000000002</v>
      </c>
      <c r="P3607" s="2" t="s">
        <v>11294</v>
      </c>
      <c r="Q3607" s="6">
        <v>100</v>
      </c>
      <c r="R3607" s="6">
        <v>34.36</v>
      </c>
      <c r="S3607" s="5">
        <v>12.8</v>
      </c>
      <c r="T3607" s="7">
        <v>20.434999999999999</v>
      </c>
      <c r="U3607" s="5">
        <v>15.3</v>
      </c>
      <c r="V3607" s="6">
        <v>1.62</v>
      </c>
      <c r="W3607" s="6">
        <v>33.75</v>
      </c>
      <c r="X3607" s="6">
        <v>33.25</v>
      </c>
      <c r="Y3607" s="7">
        <v>32.125</v>
      </c>
      <c r="Z3607" s="7">
        <v>32.875</v>
      </c>
      <c r="AA3607" s="6">
        <v>7.86</v>
      </c>
      <c r="AB3607" s="7">
        <v>67.537000000000006</v>
      </c>
      <c r="AC3607" s="2"/>
    </row>
    <row r="3608" spans="1:29" ht="117" x14ac:dyDescent="0.15">
      <c r="A3608" s="3">
        <f>DATE(1998,1,12)</f>
        <v>35807</v>
      </c>
      <c r="B3608" s="3">
        <f>DATE(1998,2,19)</f>
        <v>35845</v>
      </c>
      <c r="C3608" s="2" t="s">
        <v>95</v>
      </c>
      <c r="D3608" s="2" t="s">
        <v>11295</v>
      </c>
      <c r="E3608" s="2" t="s">
        <v>11296</v>
      </c>
      <c r="F3608" s="4">
        <v>7372</v>
      </c>
      <c r="G3608" s="2" t="s">
        <v>551</v>
      </c>
      <c r="H3608" s="2" t="s">
        <v>34</v>
      </c>
      <c r="I3608" s="2" t="s">
        <v>11297</v>
      </c>
      <c r="J3608" s="2" t="s">
        <v>11298</v>
      </c>
      <c r="K3608" s="2" t="s">
        <v>186</v>
      </c>
      <c r="L3608" s="2" t="s">
        <v>34</v>
      </c>
      <c r="M3608" s="2"/>
      <c r="N3608" s="2"/>
      <c r="O3608" s="2"/>
      <c r="P3608" s="2" t="s">
        <v>11299</v>
      </c>
      <c r="Q3608" s="6">
        <v>100</v>
      </c>
      <c r="R3608" s="6">
        <v>22.5</v>
      </c>
      <c r="S3608" s="5">
        <v>1</v>
      </c>
      <c r="T3608" s="7">
        <v>20.327999999999999</v>
      </c>
      <c r="U3608" s="5">
        <v>4.3</v>
      </c>
      <c r="V3608" s="6">
        <v>7.0000000000000007E-2</v>
      </c>
      <c r="W3608" s="7">
        <v>13.875</v>
      </c>
      <c r="X3608" s="4">
        <v>14</v>
      </c>
      <c r="Y3608" s="6">
        <v>13.75</v>
      </c>
      <c r="Z3608" s="7">
        <v>22.187999999999999</v>
      </c>
      <c r="AA3608" s="6">
        <v>14.42</v>
      </c>
      <c r="AB3608" s="7">
        <v>291.45800000000003</v>
      </c>
      <c r="AC3608" s="2"/>
    </row>
    <row r="3609" spans="1:29" ht="104" x14ac:dyDescent="0.15">
      <c r="A3609" s="3">
        <f>DATE(1998,1,13)</f>
        <v>35808</v>
      </c>
      <c r="B3609" s="3">
        <f>DATE(1998,7,31)</f>
        <v>36007</v>
      </c>
      <c r="C3609" s="2" t="s">
        <v>95</v>
      </c>
      <c r="D3609" s="2" t="s">
        <v>7636</v>
      </c>
      <c r="E3609" s="2" t="s">
        <v>7637</v>
      </c>
      <c r="F3609" s="4">
        <v>2952</v>
      </c>
      <c r="G3609" s="2" t="s">
        <v>148</v>
      </c>
      <c r="H3609" s="2" t="s">
        <v>34</v>
      </c>
      <c r="I3609" s="2" t="s">
        <v>7638</v>
      </c>
      <c r="J3609" s="2" t="s">
        <v>7637</v>
      </c>
      <c r="K3609" s="2" t="s">
        <v>250</v>
      </c>
      <c r="L3609" s="2" t="s">
        <v>34</v>
      </c>
      <c r="M3609" s="2"/>
      <c r="N3609" s="2"/>
      <c r="O3609" s="2"/>
      <c r="P3609" s="2" t="s">
        <v>11300</v>
      </c>
      <c r="Q3609" s="6">
        <v>100</v>
      </c>
      <c r="R3609" s="6">
        <v>5.5</v>
      </c>
      <c r="S3609" s="5">
        <v>2.2000000000000002</v>
      </c>
      <c r="T3609" s="7">
        <v>5.1689999999999996</v>
      </c>
      <c r="U3609" s="5">
        <v>1.9</v>
      </c>
      <c r="V3609" s="6">
        <v>0.52</v>
      </c>
      <c r="W3609" s="7">
        <v>4.625</v>
      </c>
      <c r="X3609" s="7">
        <v>4.375</v>
      </c>
      <c r="Y3609" s="7">
        <v>5.3440000000000003</v>
      </c>
      <c r="Z3609" s="7">
        <v>5.375</v>
      </c>
      <c r="AA3609" s="6">
        <v>4.16</v>
      </c>
      <c r="AB3609" s="7">
        <v>17.338999999999999</v>
      </c>
      <c r="AC3609" s="2"/>
    </row>
    <row r="3610" spans="1:29" ht="104" x14ac:dyDescent="0.15">
      <c r="A3610" s="3">
        <f>DATE(1998,1,13)</f>
        <v>35808</v>
      </c>
      <c r="B3610" s="2"/>
      <c r="C3610" s="2" t="s">
        <v>30</v>
      </c>
      <c r="D3610" s="2" t="s">
        <v>11209</v>
      </c>
      <c r="E3610" s="2" t="s">
        <v>11210</v>
      </c>
      <c r="F3610" s="4">
        <v>6512</v>
      </c>
      <c r="G3610" s="2" t="s">
        <v>109</v>
      </c>
      <c r="H3610" s="2" t="s">
        <v>34</v>
      </c>
      <c r="I3610" s="2" t="s">
        <v>51</v>
      </c>
      <c r="J3610" s="2" t="s">
        <v>52</v>
      </c>
      <c r="K3610" s="2" t="s">
        <v>53</v>
      </c>
      <c r="L3610" s="2" t="s">
        <v>34</v>
      </c>
      <c r="M3610" s="2"/>
      <c r="N3610" s="2"/>
      <c r="O3610" s="2"/>
      <c r="P3610" s="2" t="s">
        <v>11301</v>
      </c>
      <c r="Q3610" s="2"/>
      <c r="R3610" s="6">
        <v>75</v>
      </c>
      <c r="S3610" s="5">
        <v>17.8</v>
      </c>
      <c r="T3610" s="7">
        <v>48.564</v>
      </c>
      <c r="U3610" s="5">
        <v>-6.5</v>
      </c>
      <c r="V3610" s="2"/>
      <c r="W3610" s="4">
        <v>56</v>
      </c>
      <c r="X3610" s="4">
        <v>52</v>
      </c>
      <c r="Y3610" s="7">
        <v>57.125</v>
      </c>
      <c r="Z3610" s="6">
        <v>60.03</v>
      </c>
      <c r="AA3610" s="6">
        <v>4.53</v>
      </c>
      <c r="AB3610" s="7">
        <v>8.6760000000000002</v>
      </c>
      <c r="AC3610" s="2"/>
    </row>
    <row r="3611" spans="1:29" ht="169" x14ac:dyDescent="0.15">
      <c r="A3611" s="3">
        <f>DATE(1998,1,14)</f>
        <v>35809</v>
      </c>
      <c r="B3611" s="3">
        <f>DATE(1998,6,26)</f>
        <v>35972</v>
      </c>
      <c r="C3611" s="2" t="s">
        <v>95</v>
      </c>
      <c r="D3611" s="2" t="s">
        <v>5899</v>
      </c>
      <c r="E3611" s="2" t="s">
        <v>5900</v>
      </c>
      <c r="F3611" s="4">
        <v>6035</v>
      </c>
      <c r="G3611" s="2" t="s">
        <v>33</v>
      </c>
      <c r="H3611" s="2" t="s">
        <v>34</v>
      </c>
      <c r="I3611" s="2" t="s">
        <v>1963</v>
      </c>
      <c r="J3611" s="2" t="s">
        <v>36</v>
      </c>
      <c r="K3611" s="2" t="s">
        <v>37</v>
      </c>
      <c r="L3611" s="2" t="s">
        <v>34</v>
      </c>
      <c r="M3611" s="12">
        <v>12545.821</v>
      </c>
      <c r="N3611" s="4">
        <v>76</v>
      </c>
      <c r="O3611" s="7">
        <v>75.813000000000002</v>
      </c>
      <c r="P3611" s="2" t="s">
        <v>11302</v>
      </c>
      <c r="Q3611" s="6">
        <v>100</v>
      </c>
      <c r="R3611" s="6">
        <v>51.69</v>
      </c>
      <c r="S3611" s="5">
        <v>15.2</v>
      </c>
      <c r="T3611" s="7">
        <v>25.757000000000001</v>
      </c>
      <c r="U3611" s="5">
        <v>14.4</v>
      </c>
      <c r="V3611" s="9">
        <v>1.1333</v>
      </c>
      <c r="W3611" s="6">
        <v>39.25</v>
      </c>
      <c r="X3611" s="6">
        <v>37.75</v>
      </c>
      <c r="Y3611" s="7">
        <v>49.375</v>
      </c>
      <c r="Z3611" s="9">
        <v>49.4375</v>
      </c>
      <c r="AA3611" s="6">
        <v>13.07</v>
      </c>
      <c r="AB3611" s="7">
        <v>152.43</v>
      </c>
      <c r="AC3611" s="2"/>
    </row>
    <row r="3612" spans="1:29" ht="91" x14ac:dyDescent="0.15">
      <c r="A3612" s="3">
        <f>DATE(1998,1,14)</f>
        <v>35809</v>
      </c>
      <c r="B3612" s="3">
        <f>DATE(1998,5,29)</f>
        <v>35944</v>
      </c>
      <c r="C3612" s="2" t="s">
        <v>95</v>
      </c>
      <c r="D3612" s="2" t="s">
        <v>5746</v>
      </c>
      <c r="E3612" s="2" t="s">
        <v>2466</v>
      </c>
      <c r="F3612" s="4">
        <v>8099</v>
      </c>
      <c r="G3612" s="2" t="s">
        <v>454</v>
      </c>
      <c r="H3612" s="2" t="s">
        <v>34</v>
      </c>
      <c r="I3612" s="2" t="s">
        <v>11303</v>
      </c>
      <c r="J3612" s="2" t="s">
        <v>244</v>
      </c>
      <c r="K3612" s="2" t="s">
        <v>53</v>
      </c>
      <c r="L3612" s="2" t="s">
        <v>34</v>
      </c>
      <c r="M3612" s="2"/>
      <c r="N3612" s="2"/>
      <c r="O3612" s="2"/>
      <c r="P3612" s="2" t="s">
        <v>11304</v>
      </c>
      <c r="Q3612" s="6">
        <v>100</v>
      </c>
      <c r="R3612" s="2"/>
      <c r="S3612" s="5">
        <v>-2.2000000000000002</v>
      </c>
      <c r="T3612" s="7">
        <v>59.863</v>
      </c>
      <c r="U3612" s="5">
        <v>2.2999999999999998</v>
      </c>
      <c r="V3612" s="6">
        <v>-0.09</v>
      </c>
      <c r="W3612" s="7">
        <v>10.625</v>
      </c>
      <c r="X3612" s="7">
        <v>10.938000000000001</v>
      </c>
      <c r="Y3612" s="4">
        <v>11</v>
      </c>
      <c r="Z3612" s="7">
        <v>13.438000000000001</v>
      </c>
      <c r="AA3612" s="6">
        <v>19.43</v>
      </c>
      <c r="AB3612" s="7">
        <v>14.483000000000001</v>
      </c>
      <c r="AC3612" s="2"/>
    </row>
    <row r="3613" spans="1:29" ht="208" x14ac:dyDescent="0.15">
      <c r="A3613" s="3">
        <f>DATE(1998,1,14)</f>
        <v>35809</v>
      </c>
      <c r="B3613" s="3">
        <f>DATE(1998,6,2)</f>
        <v>35948</v>
      </c>
      <c r="C3613" s="2" t="s">
        <v>95</v>
      </c>
      <c r="D3613" s="2" t="s">
        <v>11305</v>
      </c>
      <c r="E3613" s="2" t="s">
        <v>92</v>
      </c>
      <c r="F3613" s="4">
        <v>6798</v>
      </c>
      <c r="G3613" s="2" t="s">
        <v>53</v>
      </c>
      <c r="H3613" s="2" t="s">
        <v>34</v>
      </c>
      <c r="I3613" s="2" t="s">
        <v>11306</v>
      </c>
      <c r="J3613" s="2" t="s">
        <v>92</v>
      </c>
      <c r="K3613" s="2" t="s">
        <v>53</v>
      </c>
      <c r="L3613" s="2" t="s">
        <v>34</v>
      </c>
      <c r="M3613" s="7">
        <v>354.178</v>
      </c>
      <c r="N3613" s="7">
        <v>21.125</v>
      </c>
      <c r="O3613" s="6">
        <v>21.25</v>
      </c>
      <c r="P3613" s="2" t="s">
        <v>11307</v>
      </c>
      <c r="Q3613" s="6">
        <v>100</v>
      </c>
      <c r="R3613" s="6">
        <v>8.5</v>
      </c>
      <c r="S3613" s="5">
        <v>3.4</v>
      </c>
      <c r="T3613" s="6">
        <v>3.77</v>
      </c>
      <c r="U3613" s="5">
        <v>26</v>
      </c>
      <c r="V3613" s="6">
        <v>1.17</v>
      </c>
      <c r="W3613" s="7">
        <v>5.125</v>
      </c>
      <c r="X3613" s="7">
        <v>5.5629999999999997</v>
      </c>
      <c r="Y3613" s="7">
        <v>6.125</v>
      </c>
      <c r="Z3613" s="6">
        <v>6.75</v>
      </c>
      <c r="AA3613" s="6">
        <v>1.61</v>
      </c>
      <c r="AB3613" s="7">
        <v>64.816000000000003</v>
      </c>
      <c r="AC3613" s="5">
        <v>1.3</v>
      </c>
    </row>
    <row r="3614" spans="1:29" ht="195" x14ac:dyDescent="0.15">
      <c r="A3614" s="3">
        <f>DATE(1998,1,14)</f>
        <v>35809</v>
      </c>
      <c r="B3614" s="3">
        <f>DATE(1998,6,19)</f>
        <v>35965</v>
      </c>
      <c r="C3614" s="2" t="s">
        <v>95</v>
      </c>
      <c r="D3614" s="2" t="s">
        <v>10953</v>
      </c>
      <c r="E3614" s="2" t="s">
        <v>92</v>
      </c>
      <c r="F3614" s="4">
        <v>6798</v>
      </c>
      <c r="G3614" s="2" t="s">
        <v>53</v>
      </c>
      <c r="H3614" s="2" t="s">
        <v>34</v>
      </c>
      <c r="I3614" s="2" t="s">
        <v>11308</v>
      </c>
      <c r="J3614" s="2" t="s">
        <v>92</v>
      </c>
      <c r="K3614" s="2" t="s">
        <v>53</v>
      </c>
      <c r="L3614" s="2" t="s">
        <v>34</v>
      </c>
      <c r="M3614" s="12">
        <v>1388.5229999999999</v>
      </c>
      <c r="N3614" s="7">
        <v>34.313000000000002</v>
      </c>
      <c r="O3614" s="4">
        <v>34</v>
      </c>
      <c r="P3614" s="2" t="s">
        <v>11309</v>
      </c>
      <c r="Q3614" s="6">
        <v>100</v>
      </c>
      <c r="R3614" s="6">
        <v>47.88</v>
      </c>
      <c r="S3614" s="5">
        <v>26.3</v>
      </c>
      <c r="T3614" s="7">
        <v>38.323999999999998</v>
      </c>
      <c r="U3614" s="5">
        <v>27.9</v>
      </c>
      <c r="V3614" s="6">
        <v>2.36</v>
      </c>
      <c r="W3614" s="6">
        <v>39.25</v>
      </c>
      <c r="X3614" s="7">
        <v>39.688000000000002</v>
      </c>
      <c r="Y3614" s="7">
        <v>39.813000000000002</v>
      </c>
      <c r="Z3614" s="4">
        <v>40</v>
      </c>
      <c r="AA3614" s="6">
        <v>11.69</v>
      </c>
      <c r="AB3614" s="7">
        <v>39.896000000000001</v>
      </c>
      <c r="AC3614" s="6">
        <v>30.98</v>
      </c>
    </row>
    <row r="3615" spans="1:29" ht="143" x14ac:dyDescent="0.15">
      <c r="A3615" s="3">
        <f>DATE(1998,1,15)</f>
        <v>35810</v>
      </c>
      <c r="B3615" s="3">
        <f>DATE(1998,7,1)</f>
        <v>35977</v>
      </c>
      <c r="C3615" s="2" t="s">
        <v>95</v>
      </c>
      <c r="D3615" s="2" t="s">
        <v>11310</v>
      </c>
      <c r="E3615" s="2" t="s">
        <v>36</v>
      </c>
      <c r="F3615" s="4">
        <v>6022</v>
      </c>
      <c r="G3615" s="2" t="s">
        <v>37</v>
      </c>
      <c r="H3615" s="2" t="s">
        <v>34</v>
      </c>
      <c r="I3615" s="2" t="s">
        <v>6339</v>
      </c>
      <c r="J3615" s="2" t="s">
        <v>36</v>
      </c>
      <c r="K3615" s="2" t="s">
        <v>37</v>
      </c>
      <c r="L3615" s="2" t="s">
        <v>34</v>
      </c>
      <c r="M3615" s="7">
        <v>847.74400000000003</v>
      </c>
      <c r="N3615" s="4">
        <v>39</v>
      </c>
      <c r="O3615" s="7">
        <v>39.375</v>
      </c>
      <c r="P3615" s="2" t="s">
        <v>11311</v>
      </c>
      <c r="Q3615" s="6">
        <v>100</v>
      </c>
      <c r="R3615" s="6">
        <v>32.61</v>
      </c>
      <c r="S3615" s="5">
        <v>2.2999999999999998</v>
      </c>
      <c r="T3615" s="7">
        <v>3.984</v>
      </c>
      <c r="U3615" s="5">
        <v>23.3</v>
      </c>
      <c r="V3615" s="6">
        <v>4.1100000000000003</v>
      </c>
      <c r="W3615" s="5">
        <v>29.5</v>
      </c>
      <c r="X3615" s="6">
        <v>30.25</v>
      </c>
      <c r="Y3615" s="7">
        <v>29.375</v>
      </c>
      <c r="Z3615" s="4">
        <v>29</v>
      </c>
      <c r="AA3615" s="6">
        <v>12.01</v>
      </c>
      <c r="AB3615" s="7">
        <v>13.726000000000001</v>
      </c>
      <c r="AC3615" s="2"/>
    </row>
    <row r="3616" spans="1:29" ht="247" x14ac:dyDescent="0.15">
      <c r="A3616" s="3">
        <f>DATE(1998,1,15)</f>
        <v>35810</v>
      </c>
      <c r="B3616" s="3">
        <f>DATE(1998,6,11)</f>
        <v>35957</v>
      </c>
      <c r="C3616" s="2" t="s">
        <v>95</v>
      </c>
      <c r="D3616" s="2" t="s">
        <v>11312</v>
      </c>
      <c r="E3616" s="2" t="s">
        <v>11313</v>
      </c>
      <c r="F3616" s="4">
        <v>4953</v>
      </c>
      <c r="G3616" s="2" t="s">
        <v>116</v>
      </c>
      <c r="H3616" s="2" t="s">
        <v>34</v>
      </c>
      <c r="I3616" s="2" t="s">
        <v>1764</v>
      </c>
      <c r="J3616" s="2" t="s">
        <v>1765</v>
      </c>
      <c r="K3616" s="2" t="s">
        <v>223</v>
      </c>
      <c r="L3616" s="2" t="s">
        <v>34</v>
      </c>
      <c r="M3616" s="7">
        <v>851.90200000000004</v>
      </c>
      <c r="N3616" s="4">
        <v>8</v>
      </c>
      <c r="O3616" s="4">
        <v>8</v>
      </c>
      <c r="P3616" s="2" t="s">
        <v>11314</v>
      </c>
      <c r="Q3616" s="6">
        <v>100</v>
      </c>
      <c r="R3616" s="6">
        <v>11.33</v>
      </c>
      <c r="S3616" s="5">
        <v>-21.2</v>
      </c>
      <c r="T3616" s="7">
        <v>42.344999999999999</v>
      </c>
      <c r="U3616" s="5">
        <v>5.7</v>
      </c>
      <c r="V3616" s="6">
        <v>-0.78</v>
      </c>
      <c r="W3616" s="7">
        <v>7.8129999999999997</v>
      </c>
      <c r="X3616" s="7">
        <v>9.125</v>
      </c>
      <c r="Y3616" s="7">
        <v>10.875</v>
      </c>
      <c r="Z3616" s="7">
        <v>11.125</v>
      </c>
      <c r="AA3616" s="6">
        <v>27.37</v>
      </c>
      <c r="AB3616" s="7">
        <v>13.157999999999999</v>
      </c>
      <c r="AC3616" s="5">
        <v>78.900000000000006</v>
      </c>
    </row>
    <row r="3617" spans="1:29" ht="247" x14ac:dyDescent="0.15">
      <c r="A3617" s="3">
        <f>DATE(1998,1,16)</f>
        <v>35811</v>
      </c>
      <c r="B3617" s="3">
        <f>DATE(1998,2,25)</f>
        <v>35851</v>
      </c>
      <c r="C3617" s="2" t="s">
        <v>95</v>
      </c>
      <c r="D3617" s="2" t="s">
        <v>11315</v>
      </c>
      <c r="E3617" s="2" t="s">
        <v>11316</v>
      </c>
      <c r="F3617" s="4">
        <v>3577</v>
      </c>
      <c r="G3617" s="2" t="s">
        <v>50</v>
      </c>
      <c r="H3617" s="2" t="s">
        <v>34</v>
      </c>
      <c r="I3617" s="2" t="s">
        <v>11317</v>
      </c>
      <c r="J3617" s="2" t="s">
        <v>11318</v>
      </c>
      <c r="K3617" s="2" t="s">
        <v>50</v>
      </c>
      <c r="L3617" s="2" t="s">
        <v>902</v>
      </c>
      <c r="M3617" s="2"/>
      <c r="N3617" s="2"/>
      <c r="O3617" s="2"/>
      <c r="P3617" s="2" t="s">
        <v>11319</v>
      </c>
      <c r="Q3617" s="6">
        <v>100</v>
      </c>
      <c r="R3617" s="6">
        <v>8.68</v>
      </c>
      <c r="S3617" s="5">
        <v>0.3</v>
      </c>
      <c r="T3617" s="7">
        <v>0.85899999999999999</v>
      </c>
      <c r="U3617" s="5">
        <v>5.4</v>
      </c>
      <c r="V3617" s="7">
        <v>5.1999999999999998E-2</v>
      </c>
      <c r="W3617" s="7">
        <v>7.9379999999999997</v>
      </c>
      <c r="X3617" s="7">
        <v>8.2810000000000006</v>
      </c>
      <c r="Y3617" s="7">
        <v>8.125</v>
      </c>
      <c r="Z3617" s="7">
        <v>8.125</v>
      </c>
      <c r="AA3617" s="6">
        <v>5.4</v>
      </c>
      <c r="AB3617" s="7">
        <v>284.52800000000002</v>
      </c>
      <c r="AC3617" s="2"/>
    </row>
    <row r="3618" spans="1:29" ht="52" x14ac:dyDescent="0.15">
      <c r="A3618" s="3">
        <f>DATE(1998,1,16)</f>
        <v>35811</v>
      </c>
      <c r="B3618" s="2"/>
      <c r="C3618" s="2" t="s">
        <v>87</v>
      </c>
      <c r="D3618" s="2" t="s">
        <v>7973</v>
      </c>
      <c r="E3618" s="2" t="s">
        <v>7974</v>
      </c>
      <c r="F3618" s="4">
        <v>8093</v>
      </c>
      <c r="G3618" s="2" t="s">
        <v>454</v>
      </c>
      <c r="H3618" s="2" t="s">
        <v>34</v>
      </c>
      <c r="I3618" s="2" t="s">
        <v>10849</v>
      </c>
      <c r="J3618" s="2" t="s">
        <v>10850</v>
      </c>
      <c r="K3618" s="2" t="s">
        <v>454</v>
      </c>
      <c r="L3618" s="2" t="s">
        <v>34</v>
      </c>
      <c r="M3618" s="12">
        <v>1733.3209999999999</v>
      </c>
      <c r="N3618" s="6">
        <v>20.25</v>
      </c>
      <c r="O3618" s="6">
        <v>20.25</v>
      </c>
      <c r="P3618" s="2" t="s">
        <v>11320</v>
      </c>
      <c r="Q3618" s="2"/>
      <c r="R3618" s="2"/>
      <c r="S3618" s="5">
        <v>-11.8</v>
      </c>
      <c r="T3618" s="6">
        <v>83.67</v>
      </c>
      <c r="U3618" s="5">
        <v>4.3</v>
      </c>
      <c r="V3618" s="6">
        <v>-0.28999999999999998</v>
      </c>
      <c r="W3618" s="4">
        <v>16</v>
      </c>
      <c r="X3618" s="9">
        <v>16.4375</v>
      </c>
      <c r="Y3618" s="7">
        <v>16.625</v>
      </c>
      <c r="Z3618" s="7">
        <v>16.625</v>
      </c>
      <c r="AA3618" s="2"/>
      <c r="AB3618" s="2" t="s">
        <v>47</v>
      </c>
      <c r="AC3618" s="6">
        <v>38.159999999999997</v>
      </c>
    </row>
    <row r="3619" spans="1:29" ht="169" x14ac:dyDescent="0.15">
      <c r="A3619" s="3">
        <f>DATE(1998,1,16)</f>
        <v>35811</v>
      </c>
      <c r="B3619" s="2"/>
      <c r="C3619" s="2" t="s">
        <v>30</v>
      </c>
      <c r="D3619" s="2" t="s">
        <v>11321</v>
      </c>
      <c r="E3619" s="2" t="s">
        <v>11322</v>
      </c>
      <c r="F3619" s="4">
        <v>5944</v>
      </c>
      <c r="G3619" s="2" t="s">
        <v>73</v>
      </c>
      <c r="H3619" s="2" t="s">
        <v>34</v>
      </c>
      <c r="I3619" s="2" t="s">
        <v>11323</v>
      </c>
      <c r="J3619" s="2" t="s">
        <v>11324</v>
      </c>
      <c r="K3619" s="2" t="s">
        <v>73</v>
      </c>
      <c r="L3619" s="2" t="s">
        <v>8423</v>
      </c>
      <c r="M3619" s="2"/>
      <c r="N3619" s="2"/>
      <c r="O3619" s="2"/>
      <c r="P3619" s="2" t="s">
        <v>11325</v>
      </c>
      <c r="Q3619" s="2"/>
      <c r="R3619" s="6">
        <v>8.1</v>
      </c>
      <c r="S3619" s="5">
        <v>1.2</v>
      </c>
      <c r="T3619" s="7">
        <v>7.5780000000000003</v>
      </c>
      <c r="U3619" s="5">
        <v>5.8</v>
      </c>
      <c r="V3619" s="6">
        <v>0.14000000000000001</v>
      </c>
      <c r="W3619" s="5">
        <v>4.5</v>
      </c>
      <c r="X3619" s="5">
        <v>4.5</v>
      </c>
      <c r="Y3619" s="7">
        <v>5.875</v>
      </c>
      <c r="Z3619" s="7">
        <v>6.375</v>
      </c>
      <c r="AA3619" s="6">
        <v>8.4600000000000009</v>
      </c>
      <c r="AB3619" s="7">
        <v>18.866</v>
      </c>
      <c r="AC3619" s="2"/>
    </row>
    <row r="3620" spans="1:29" ht="52" x14ac:dyDescent="0.15">
      <c r="A3620" s="3">
        <f>DATE(1998,1,16)</f>
        <v>35811</v>
      </c>
      <c r="B3620" s="3">
        <f>DATE(1998,2,26)</f>
        <v>35852</v>
      </c>
      <c r="C3620" s="2" t="s">
        <v>95</v>
      </c>
      <c r="D3620" s="2" t="s">
        <v>11326</v>
      </c>
      <c r="E3620" s="2" t="s">
        <v>11327</v>
      </c>
      <c r="F3620" s="4">
        <v>3844</v>
      </c>
      <c r="G3620" s="2" t="s">
        <v>226</v>
      </c>
      <c r="H3620" s="2" t="s">
        <v>34</v>
      </c>
      <c r="I3620" s="2" t="s">
        <v>11328</v>
      </c>
      <c r="J3620" s="2" t="s">
        <v>11329</v>
      </c>
      <c r="K3620" s="2" t="s">
        <v>226</v>
      </c>
      <c r="L3620" s="2" t="s">
        <v>34</v>
      </c>
      <c r="M3620" s="7">
        <v>129.91900000000001</v>
      </c>
      <c r="N3620" s="7">
        <v>9.375</v>
      </c>
      <c r="O3620" s="7">
        <v>9.375</v>
      </c>
      <c r="P3620" s="2" t="s">
        <v>11330</v>
      </c>
      <c r="Q3620" s="6">
        <v>19.14</v>
      </c>
      <c r="R3620" s="6">
        <v>1.75</v>
      </c>
      <c r="S3620" s="5">
        <v>-2.1</v>
      </c>
      <c r="T3620" s="7">
        <v>-1.901</v>
      </c>
      <c r="U3620" s="5">
        <v>0.2</v>
      </c>
      <c r="V3620" s="7">
        <v>-0.58599999999999997</v>
      </c>
      <c r="W3620" s="7">
        <v>1.375</v>
      </c>
      <c r="X3620" s="5">
        <v>1.5</v>
      </c>
      <c r="Y3620" s="5">
        <v>1.5</v>
      </c>
      <c r="Z3620" s="5">
        <v>1.5</v>
      </c>
      <c r="AA3620" s="6">
        <v>3.91</v>
      </c>
      <c r="AB3620" s="2" t="s">
        <v>86</v>
      </c>
      <c r="AC3620" s="6">
        <v>5.19</v>
      </c>
    </row>
    <row r="3621" spans="1:29" ht="195" x14ac:dyDescent="0.15">
      <c r="A3621" s="3">
        <f>DATE(1998,1,16)</f>
        <v>35811</v>
      </c>
      <c r="B3621" s="2"/>
      <c r="C3621" s="2" t="s">
        <v>30</v>
      </c>
      <c r="D3621" s="2" t="s">
        <v>11331</v>
      </c>
      <c r="E3621" s="2" t="s">
        <v>7716</v>
      </c>
      <c r="F3621" s="4">
        <v>7011</v>
      </c>
      <c r="G3621" s="2" t="s">
        <v>269</v>
      </c>
      <c r="H3621" s="2" t="s">
        <v>34</v>
      </c>
      <c r="I3621" s="2" t="s">
        <v>11332</v>
      </c>
      <c r="J3621" s="2" t="s">
        <v>6321</v>
      </c>
      <c r="K3621" s="2" t="s">
        <v>53</v>
      </c>
      <c r="L3621" s="2" t="s">
        <v>34</v>
      </c>
      <c r="M3621" s="7">
        <v>435.44799999999998</v>
      </c>
      <c r="N3621" s="4">
        <v>37</v>
      </c>
      <c r="O3621" s="4">
        <v>37</v>
      </c>
      <c r="P3621" s="2" t="s">
        <v>11333</v>
      </c>
      <c r="Q3621" s="2"/>
      <c r="R3621" s="6">
        <v>17.3</v>
      </c>
      <c r="S3621" s="5">
        <v>13.8</v>
      </c>
      <c r="T3621" s="7">
        <v>136.548</v>
      </c>
      <c r="U3621" s="5">
        <v>3.7</v>
      </c>
      <c r="V3621" s="6">
        <v>0.12</v>
      </c>
      <c r="W3621" s="5">
        <v>10.5</v>
      </c>
      <c r="X3621" s="7">
        <v>11.375</v>
      </c>
      <c r="Y3621" s="5">
        <v>15.5</v>
      </c>
      <c r="Z3621" s="7">
        <v>15.438000000000001</v>
      </c>
      <c r="AA3621" s="6">
        <v>35.31</v>
      </c>
      <c r="AB3621" s="7">
        <v>20.163</v>
      </c>
      <c r="AC3621" s="6">
        <v>108.15</v>
      </c>
    </row>
    <row r="3622" spans="1:29" ht="78" x14ac:dyDescent="0.15">
      <c r="A3622" s="3">
        <f>DATE(1998,1,19)</f>
        <v>35814</v>
      </c>
      <c r="B3622" s="2"/>
      <c r="C3622" s="2" t="s">
        <v>30</v>
      </c>
      <c r="D3622" s="2" t="s">
        <v>11334</v>
      </c>
      <c r="E3622" s="2" t="s">
        <v>11335</v>
      </c>
      <c r="F3622" s="4">
        <v>2834</v>
      </c>
      <c r="G3622" s="2" t="s">
        <v>130</v>
      </c>
      <c r="H3622" s="2" t="s">
        <v>34</v>
      </c>
      <c r="I3622" s="2" t="s">
        <v>11336</v>
      </c>
      <c r="J3622" s="2" t="s">
        <v>11337</v>
      </c>
      <c r="K3622" s="2" t="s">
        <v>53</v>
      </c>
      <c r="L3622" s="2" t="s">
        <v>34</v>
      </c>
      <c r="M3622" s="2"/>
      <c r="N3622" s="2"/>
      <c r="O3622" s="2"/>
      <c r="P3622" s="2" t="s">
        <v>11338</v>
      </c>
      <c r="Q3622" s="2"/>
      <c r="R3622" s="2"/>
      <c r="S3622" s="5">
        <v>-11.1</v>
      </c>
      <c r="T3622" s="7">
        <v>-9.782</v>
      </c>
      <c r="U3622" s="5">
        <v>1.3</v>
      </c>
      <c r="V3622" s="6">
        <v>-1.2</v>
      </c>
      <c r="W3622" s="7">
        <v>1.6879999999999999</v>
      </c>
      <c r="X3622" s="7">
        <v>2.2189999999999999</v>
      </c>
      <c r="Y3622" s="9">
        <v>2.1875</v>
      </c>
      <c r="Z3622" s="11">
        <v>1.96875</v>
      </c>
      <c r="AA3622" s="6">
        <v>39.03</v>
      </c>
      <c r="AB3622" s="2" t="s">
        <v>86</v>
      </c>
      <c r="AC3622" s="2"/>
    </row>
    <row r="3623" spans="1:29" ht="143" x14ac:dyDescent="0.15">
      <c r="A3623" s="3">
        <f>DATE(1998,1,19)</f>
        <v>35814</v>
      </c>
      <c r="B3623" s="3">
        <f>DATE(1998,4,24)</f>
        <v>35909</v>
      </c>
      <c r="C3623" s="2" t="s">
        <v>95</v>
      </c>
      <c r="D3623" s="2" t="s">
        <v>10267</v>
      </c>
      <c r="E3623" s="2" t="s">
        <v>515</v>
      </c>
      <c r="F3623" s="4">
        <v>6331</v>
      </c>
      <c r="G3623" s="2" t="s">
        <v>125</v>
      </c>
      <c r="H3623" s="2" t="s">
        <v>34</v>
      </c>
      <c r="I3623" s="2" t="s">
        <v>11339</v>
      </c>
      <c r="J3623" s="2" t="s">
        <v>515</v>
      </c>
      <c r="K3623" s="2" t="s">
        <v>125</v>
      </c>
      <c r="L3623" s="2" t="s">
        <v>34</v>
      </c>
      <c r="M3623" s="12">
        <v>6978.7659999999996</v>
      </c>
      <c r="N3623" s="7">
        <v>78.125</v>
      </c>
      <c r="O3623" s="7">
        <v>85.125</v>
      </c>
      <c r="P3623" s="2" t="s">
        <v>11340</v>
      </c>
      <c r="Q3623" s="6">
        <v>100</v>
      </c>
      <c r="R3623" s="6">
        <v>25.34</v>
      </c>
      <c r="S3623" s="5">
        <v>194</v>
      </c>
      <c r="T3623" s="2"/>
      <c r="U3623" s="2"/>
      <c r="V3623" s="6">
        <v>1.63</v>
      </c>
      <c r="W3623" s="7">
        <v>20.687999999999999</v>
      </c>
      <c r="X3623" s="7">
        <v>21.437999999999999</v>
      </c>
      <c r="Y3623" s="7">
        <v>21.437999999999999</v>
      </c>
      <c r="Z3623" s="7">
        <v>23.375</v>
      </c>
      <c r="AA3623" s="6">
        <v>116.47</v>
      </c>
      <c r="AB3623" s="2" t="s">
        <v>47</v>
      </c>
      <c r="AC3623" s="6">
        <v>22.66</v>
      </c>
    </row>
    <row r="3624" spans="1:29" ht="52" x14ac:dyDescent="0.15">
      <c r="A3624" s="3">
        <f t="shared" ref="A3624:A3629" si="55">DATE(1998,1,20)</f>
        <v>35815</v>
      </c>
      <c r="B3624" s="2"/>
      <c r="C3624" s="2" t="s">
        <v>30</v>
      </c>
      <c r="D3624" s="2" t="s">
        <v>2318</v>
      </c>
      <c r="E3624" s="2" t="s">
        <v>2319</v>
      </c>
      <c r="F3624" s="4">
        <v>2834</v>
      </c>
      <c r="G3624" s="2" t="s">
        <v>130</v>
      </c>
      <c r="H3624" s="2" t="s">
        <v>34</v>
      </c>
      <c r="I3624" s="2" t="s">
        <v>11341</v>
      </c>
      <c r="J3624" s="2" t="s">
        <v>129</v>
      </c>
      <c r="K3624" s="2" t="s">
        <v>130</v>
      </c>
      <c r="L3624" s="2" t="s">
        <v>303</v>
      </c>
      <c r="M3624" s="2"/>
      <c r="N3624" s="2"/>
      <c r="O3624" s="2"/>
      <c r="P3624" s="2" t="s">
        <v>11342</v>
      </c>
      <c r="Q3624" s="2"/>
      <c r="R3624" s="2"/>
      <c r="S3624" s="8">
        <v>2043.1</v>
      </c>
      <c r="T3624" s="12">
        <v>3946.1219999999998</v>
      </c>
      <c r="U3624" s="5">
        <v>6.3</v>
      </c>
      <c r="V3624" s="7">
        <v>1.5549999999999999</v>
      </c>
      <c r="W3624" s="7">
        <v>80.063000000000002</v>
      </c>
      <c r="X3624" s="7">
        <v>80.688000000000002</v>
      </c>
      <c r="Y3624" s="7">
        <v>80.688000000000002</v>
      </c>
      <c r="Z3624" s="6">
        <v>94.25</v>
      </c>
      <c r="AA3624" s="6">
        <v>649.66</v>
      </c>
      <c r="AB3624" s="2" t="s">
        <v>47</v>
      </c>
      <c r="AC3624" s="5">
        <v>929.4</v>
      </c>
    </row>
    <row r="3625" spans="1:29" ht="156" x14ac:dyDescent="0.15">
      <c r="A3625" s="3">
        <f t="shared" si="55"/>
        <v>35815</v>
      </c>
      <c r="B3625" s="3">
        <f>DATE(1998,10,5)</f>
        <v>36073</v>
      </c>
      <c r="C3625" s="2" t="s">
        <v>95</v>
      </c>
      <c r="D3625" s="2" t="s">
        <v>11343</v>
      </c>
      <c r="E3625" s="2" t="s">
        <v>11344</v>
      </c>
      <c r="F3625" s="4">
        <v>5411</v>
      </c>
      <c r="G3625" s="2" t="s">
        <v>1461</v>
      </c>
      <c r="H3625" s="2" t="s">
        <v>34</v>
      </c>
      <c r="I3625" s="2" t="s">
        <v>11345</v>
      </c>
      <c r="J3625" s="2" t="s">
        <v>7684</v>
      </c>
      <c r="K3625" s="2" t="s">
        <v>1461</v>
      </c>
      <c r="L3625" s="2" t="s">
        <v>34</v>
      </c>
      <c r="M3625" s="12">
        <v>11235.335999999999</v>
      </c>
      <c r="N3625" s="7">
        <v>45.813000000000002</v>
      </c>
      <c r="O3625" s="6">
        <v>46.75</v>
      </c>
      <c r="P3625" s="2" t="s">
        <v>11346</v>
      </c>
      <c r="Q3625" s="6">
        <v>100</v>
      </c>
      <c r="R3625" s="6">
        <v>15.5</v>
      </c>
      <c r="S3625" s="5">
        <v>3.6</v>
      </c>
      <c r="T3625" s="7">
        <v>16.614000000000001</v>
      </c>
      <c r="U3625" s="5">
        <v>10.7</v>
      </c>
      <c r="V3625" s="6">
        <v>0.42</v>
      </c>
      <c r="W3625" s="6">
        <v>10.75</v>
      </c>
      <c r="X3625" s="6">
        <v>10.75</v>
      </c>
      <c r="Y3625" s="6">
        <v>15.25</v>
      </c>
      <c r="Z3625" s="7">
        <v>15.375</v>
      </c>
      <c r="AA3625" s="6">
        <v>8.64</v>
      </c>
      <c r="AB3625" s="7">
        <v>22.247</v>
      </c>
      <c r="AC3625" s="6">
        <v>90.87</v>
      </c>
    </row>
    <row r="3626" spans="1:29" ht="143" x14ac:dyDescent="0.15">
      <c r="A3626" s="3">
        <f t="shared" si="55"/>
        <v>35815</v>
      </c>
      <c r="B3626" s="2"/>
      <c r="C3626" s="2" t="s">
        <v>30</v>
      </c>
      <c r="D3626" s="2" t="s">
        <v>11347</v>
      </c>
      <c r="E3626" s="2" t="s">
        <v>6457</v>
      </c>
      <c r="F3626" s="4">
        <v>7011</v>
      </c>
      <c r="G3626" s="2" t="s">
        <v>269</v>
      </c>
      <c r="H3626" s="2" t="s">
        <v>34</v>
      </c>
      <c r="I3626" s="2" t="s">
        <v>6451</v>
      </c>
      <c r="J3626" s="2" t="s">
        <v>5735</v>
      </c>
      <c r="K3626" s="2" t="s">
        <v>269</v>
      </c>
      <c r="L3626" s="2" t="s">
        <v>34</v>
      </c>
      <c r="M3626" s="7">
        <v>558.56799999999998</v>
      </c>
      <c r="N3626" s="6">
        <v>14.25</v>
      </c>
      <c r="O3626" s="5">
        <v>13.5</v>
      </c>
      <c r="P3626" s="2" t="s">
        <v>11348</v>
      </c>
      <c r="Q3626" s="2"/>
      <c r="R3626" s="6">
        <v>1.77</v>
      </c>
      <c r="S3626" s="5">
        <v>-5.2</v>
      </c>
      <c r="T3626" s="7">
        <v>44.802</v>
      </c>
      <c r="U3626" s="5">
        <v>1.7</v>
      </c>
      <c r="V3626" s="6">
        <v>-0.15</v>
      </c>
      <c r="W3626" s="7">
        <v>1.5309999999999999</v>
      </c>
      <c r="X3626" s="7">
        <v>2.0310000000000001</v>
      </c>
      <c r="Y3626" s="11">
        <v>1.78125</v>
      </c>
      <c r="Z3626" s="7">
        <v>1.625</v>
      </c>
      <c r="AA3626" s="6">
        <v>35.72</v>
      </c>
      <c r="AB3626" s="7">
        <v>11.972</v>
      </c>
      <c r="AC3626" s="6">
        <v>238.64</v>
      </c>
    </row>
    <row r="3627" spans="1:29" ht="156" x14ac:dyDescent="0.15">
      <c r="A3627" s="3">
        <f t="shared" si="55"/>
        <v>35815</v>
      </c>
      <c r="B3627" s="3">
        <f>DATE(1998,4,16)</f>
        <v>35901</v>
      </c>
      <c r="C3627" s="2" t="s">
        <v>95</v>
      </c>
      <c r="D3627" s="2" t="s">
        <v>11252</v>
      </c>
      <c r="E3627" s="2" t="s">
        <v>11253</v>
      </c>
      <c r="F3627" s="4">
        <v>5065</v>
      </c>
      <c r="G3627" s="2" t="s">
        <v>76</v>
      </c>
      <c r="H3627" s="2" t="s">
        <v>34</v>
      </c>
      <c r="I3627" s="2" t="s">
        <v>11254</v>
      </c>
      <c r="J3627" s="2" t="s">
        <v>560</v>
      </c>
      <c r="K3627" s="2" t="s">
        <v>76</v>
      </c>
      <c r="L3627" s="2" t="s">
        <v>34</v>
      </c>
      <c r="M3627" s="7">
        <v>353.863</v>
      </c>
      <c r="N3627" s="7">
        <v>25.125</v>
      </c>
      <c r="O3627" s="7">
        <v>25.125</v>
      </c>
      <c r="P3627" s="2" t="s">
        <v>11349</v>
      </c>
      <c r="Q3627" s="6">
        <v>39.020000000000003</v>
      </c>
      <c r="R3627" s="6">
        <v>17.5</v>
      </c>
      <c r="S3627" s="5">
        <v>3.8</v>
      </c>
      <c r="T3627" s="7">
        <v>7.2050000000000001</v>
      </c>
      <c r="U3627" s="5">
        <v>4.0999999999999996</v>
      </c>
      <c r="V3627" s="6">
        <v>0.52</v>
      </c>
      <c r="W3627" s="6">
        <v>17.25</v>
      </c>
      <c r="X3627" s="7">
        <v>15.125</v>
      </c>
      <c r="Y3627" s="7">
        <v>15.813000000000001</v>
      </c>
      <c r="Z3627" s="5">
        <v>15.5</v>
      </c>
      <c r="AA3627" s="6">
        <v>8.1300000000000008</v>
      </c>
      <c r="AB3627" s="7">
        <v>23.626000000000001</v>
      </c>
      <c r="AC3627" s="6">
        <v>118.07</v>
      </c>
    </row>
    <row r="3628" spans="1:29" ht="195" x14ac:dyDescent="0.15">
      <c r="A3628" s="3">
        <f t="shared" si="55"/>
        <v>35815</v>
      </c>
      <c r="B3628" s="3">
        <f>DATE(1998,5,27)</f>
        <v>35942</v>
      </c>
      <c r="C3628" s="2" t="s">
        <v>95</v>
      </c>
      <c r="D3628" s="2" t="s">
        <v>11350</v>
      </c>
      <c r="E3628" s="2" t="s">
        <v>11351</v>
      </c>
      <c r="F3628" s="4">
        <v>7832</v>
      </c>
      <c r="G3628" s="2" t="s">
        <v>42</v>
      </c>
      <c r="H3628" s="2" t="s">
        <v>34</v>
      </c>
      <c r="I3628" s="2" t="s">
        <v>51</v>
      </c>
      <c r="J3628" s="2" t="s">
        <v>52</v>
      </c>
      <c r="K3628" s="2" t="s">
        <v>53</v>
      </c>
      <c r="L3628" s="2" t="s">
        <v>34</v>
      </c>
      <c r="M3628" s="2"/>
      <c r="N3628" s="2"/>
      <c r="O3628" s="2"/>
      <c r="P3628" s="2" t="s">
        <v>11352</v>
      </c>
      <c r="Q3628" s="6">
        <v>100</v>
      </c>
      <c r="R3628" s="6">
        <v>31</v>
      </c>
      <c r="S3628" s="5">
        <v>35.200000000000003</v>
      </c>
      <c r="T3628" s="7">
        <v>111.154</v>
      </c>
      <c r="U3628" s="5">
        <v>8.5</v>
      </c>
      <c r="V3628" s="6">
        <v>0.95</v>
      </c>
      <c r="W3628" s="4">
        <v>28</v>
      </c>
      <c r="X3628" s="6">
        <v>30.25</v>
      </c>
      <c r="Y3628" s="6">
        <v>30.25</v>
      </c>
      <c r="Z3628" s="6">
        <v>30.25</v>
      </c>
      <c r="AA3628" s="6">
        <v>36.1</v>
      </c>
      <c r="AB3628" s="7">
        <v>17.904</v>
      </c>
      <c r="AC3628" s="2"/>
    </row>
    <row r="3629" spans="1:29" ht="78" x14ac:dyDescent="0.15">
      <c r="A3629" s="3">
        <f t="shared" si="55"/>
        <v>35815</v>
      </c>
      <c r="B3629" s="2"/>
      <c r="C3629" s="2" t="s">
        <v>30</v>
      </c>
      <c r="D3629" s="2" t="s">
        <v>11353</v>
      </c>
      <c r="E3629" s="2" t="s">
        <v>11354</v>
      </c>
      <c r="F3629" s="4">
        <v>5812</v>
      </c>
      <c r="G3629" s="2" t="s">
        <v>230</v>
      </c>
      <c r="H3629" s="2" t="s">
        <v>34</v>
      </c>
      <c r="I3629" s="2" t="s">
        <v>51</v>
      </c>
      <c r="J3629" s="2" t="s">
        <v>52</v>
      </c>
      <c r="K3629" s="2" t="s">
        <v>53</v>
      </c>
      <c r="L3629" s="2" t="s">
        <v>34</v>
      </c>
      <c r="M3629" s="2"/>
      <c r="N3629" s="2"/>
      <c r="O3629" s="2"/>
      <c r="P3629" s="2" t="s">
        <v>11355</v>
      </c>
      <c r="Q3629" s="2"/>
      <c r="R3629" s="6">
        <v>28.5</v>
      </c>
      <c r="S3629" s="5">
        <v>36.1</v>
      </c>
      <c r="T3629" s="7">
        <v>79.414000000000001</v>
      </c>
      <c r="U3629" s="5">
        <v>10.8</v>
      </c>
      <c r="V3629" s="6">
        <v>1.76</v>
      </c>
      <c r="W3629" s="7">
        <v>26.125</v>
      </c>
      <c r="X3629" s="7">
        <v>26.625</v>
      </c>
      <c r="Y3629" s="4">
        <v>30</v>
      </c>
      <c r="Z3629" s="7">
        <v>28.937999999999999</v>
      </c>
      <c r="AA3629" s="6">
        <v>20.440000000000001</v>
      </c>
      <c r="AB3629" s="7">
        <v>8.2560000000000002</v>
      </c>
      <c r="AC3629" s="2"/>
    </row>
    <row r="3630" spans="1:29" ht="39" x14ac:dyDescent="0.15">
      <c r="A3630" s="3">
        <f>DATE(1998,1,21)</f>
        <v>35816</v>
      </c>
      <c r="B3630" s="3">
        <f>DATE(1998,5,15)</f>
        <v>35930</v>
      </c>
      <c r="C3630" s="2" t="s">
        <v>95</v>
      </c>
      <c r="D3630" s="2" t="s">
        <v>11356</v>
      </c>
      <c r="E3630" s="2" t="s">
        <v>11357</v>
      </c>
      <c r="F3630" s="4">
        <v>3674</v>
      </c>
      <c r="G3630" s="2" t="s">
        <v>137</v>
      </c>
      <c r="H3630" s="2" t="s">
        <v>34</v>
      </c>
      <c r="I3630" s="2" t="s">
        <v>11358</v>
      </c>
      <c r="J3630" s="2" t="s">
        <v>10974</v>
      </c>
      <c r="K3630" s="2" t="s">
        <v>137</v>
      </c>
      <c r="L3630" s="2" t="s">
        <v>34</v>
      </c>
      <c r="M3630" s="7">
        <v>158.17400000000001</v>
      </c>
      <c r="N3630" s="5">
        <v>18.5</v>
      </c>
      <c r="O3630" s="7">
        <v>19.062999999999999</v>
      </c>
      <c r="P3630" s="2" t="s">
        <v>11359</v>
      </c>
      <c r="Q3630" s="6">
        <v>100</v>
      </c>
      <c r="R3630" s="6">
        <v>9.17</v>
      </c>
      <c r="S3630" s="5">
        <v>0.6</v>
      </c>
      <c r="T3630" s="7">
        <v>1.3180000000000001</v>
      </c>
      <c r="U3630" s="5">
        <v>2.6</v>
      </c>
      <c r="V3630" s="7">
        <v>0.502</v>
      </c>
      <c r="W3630" s="7">
        <v>5.375</v>
      </c>
      <c r="X3630" s="5">
        <v>5.5</v>
      </c>
      <c r="Y3630" s="7">
        <v>5.875</v>
      </c>
      <c r="Z3630" s="7">
        <v>8.625</v>
      </c>
      <c r="AA3630" s="6">
        <v>1.28</v>
      </c>
      <c r="AB3630" s="7">
        <v>12.022</v>
      </c>
      <c r="AC3630" s="6">
        <v>6.15</v>
      </c>
    </row>
    <row r="3631" spans="1:29" ht="117" x14ac:dyDescent="0.15">
      <c r="A3631" s="3">
        <f>DATE(1998,1,21)</f>
        <v>35816</v>
      </c>
      <c r="B3631" s="3">
        <f>DATE(1998,5,22)</f>
        <v>35937</v>
      </c>
      <c r="C3631" s="2" t="s">
        <v>95</v>
      </c>
      <c r="D3631" s="2" t="s">
        <v>11360</v>
      </c>
      <c r="E3631" s="2" t="s">
        <v>11361</v>
      </c>
      <c r="F3631" s="4">
        <v>3541</v>
      </c>
      <c r="G3631" s="2" t="s">
        <v>300</v>
      </c>
      <c r="H3631" s="2" t="s">
        <v>34</v>
      </c>
      <c r="I3631" s="2" t="s">
        <v>9658</v>
      </c>
      <c r="J3631" s="2" t="s">
        <v>3197</v>
      </c>
      <c r="K3631" s="2" t="s">
        <v>53</v>
      </c>
      <c r="L3631" s="2" t="s">
        <v>34</v>
      </c>
      <c r="M3631" s="2"/>
      <c r="N3631" s="2"/>
      <c r="O3631" s="2"/>
      <c r="P3631" s="2" t="s">
        <v>11362</v>
      </c>
      <c r="Q3631" s="6">
        <v>82</v>
      </c>
      <c r="R3631" s="6">
        <v>34.5</v>
      </c>
      <c r="S3631" s="5">
        <v>15.1</v>
      </c>
      <c r="T3631" s="7">
        <v>99.322000000000003</v>
      </c>
      <c r="U3631" s="5">
        <v>-14.6</v>
      </c>
      <c r="V3631" s="6">
        <v>1.33</v>
      </c>
      <c r="W3631" s="5">
        <v>28.5</v>
      </c>
      <c r="X3631" s="7">
        <v>28.875</v>
      </c>
      <c r="Y3631" s="5">
        <v>33.5</v>
      </c>
      <c r="Z3631" s="7">
        <v>33.875</v>
      </c>
      <c r="AA3631" s="6">
        <v>11.1</v>
      </c>
      <c r="AB3631" s="7">
        <v>9.6549999999999994</v>
      </c>
      <c r="AC3631" s="2"/>
    </row>
    <row r="3632" spans="1:29" ht="104" x14ac:dyDescent="0.15">
      <c r="A3632" s="3">
        <f>DATE(1998,1,22)</f>
        <v>35817</v>
      </c>
      <c r="B3632" s="3">
        <f>DATE(1998,9,29)</f>
        <v>36067</v>
      </c>
      <c r="C3632" s="2" t="s">
        <v>95</v>
      </c>
      <c r="D3632" s="2" t="s">
        <v>11363</v>
      </c>
      <c r="E3632" s="2" t="s">
        <v>11364</v>
      </c>
      <c r="F3632" s="4">
        <v>5112</v>
      </c>
      <c r="G3632" s="2" t="s">
        <v>593</v>
      </c>
      <c r="H3632" s="2" t="s">
        <v>34</v>
      </c>
      <c r="I3632" s="2" t="s">
        <v>11365</v>
      </c>
      <c r="J3632" s="2" t="s">
        <v>11366</v>
      </c>
      <c r="K3632" s="2" t="s">
        <v>73</v>
      </c>
      <c r="L3632" s="2" t="s">
        <v>2105</v>
      </c>
      <c r="M3632" s="2"/>
      <c r="N3632" s="2"/>
      <c r="O3632" s="2"/>
      <c r="P3632" s="2" t="s">
        <v>11367</v>
      </c>
      <c r="Q3632" s="6">
        <v>30</v>
      </c>
      <c r="R3632" s="6">
        <v>13.75</v>
      </c>
      <c r="S3632" s="5">
        <v>16</v>
      </c>
      <c r="T3632" s="7">
        <v>70.277000000000001</v>
      </c>
      <c r="U3632" s="5">
        <v>8.1</v>
      </c>
      <c r="V3632" s="7">
        <v>0.47799999999999998</v>
      </c>
      <c r="W3632" s="7">
        <v>7.6879999999999997</v>
      </c>
      <c r="X3632" s="7">
        <v>10.375</v>
      </c>
      <c r="Y3632" s="9">
        <v>11.1875</v>
      </c>
      <c r="Z3632" s="9">
        <v>11.1875</v>
      </c>
      <c r="AA3632" s="6">
        <v>33.47</v>
      </c>
      <c r="AB3632" s="7">
        <v>16.292000000000002</v>
      </c>
      <c r="AC3632" s="6">
        <v>335.58</v>
      </c>
    </row>
    <row r="3633" spans="1:29" ht="78" x14ac:dyDescent="0.15">
      <c r="A3633" s="3">
        <f>DATE(1998,1,23)</f>
        <v>35818</v>
      </c>
      <c r="B3633" s="3">
        <f>DATE(1998,7,29)</f>
        <v>36005</v>
      </c>
      <c r="C3633" s="2" t="s">
        <v>95</v>
      </c>
      <c r="D3633" s="2" t="s">
        <v>11368</v>
      </c>
      <c r="E3633" s="2" t="s">
        <v>11369</v>
      </c>
      <c r="F3633" s="4">
        <v>4953</v>
      </c>
      <c r="G3633" s="2" t="s">
        <v>116</v>
      </c>
      <c r="H3633" s="2" t="s">
        <v>34</v>
      </c>
      <c r="I3633" s="2" t="s">
        <v>51</v>
      </c>
      <c r="J3633" s="2" t="s">
        <v>52</v>
      </c>
      <c r="K3633" s="2" t="s">
        <v>53</v>
      </c>
      <c r="L3633" s="2" t="s">
        <v>34</v>
      </c>
      <c r="M3633" s="2"/>
      <c r="N3633" s="2"/>
      <c r="O3633" s="2"/>
      <c r="P3633" s="2" t="s">
        <v>11370</v>
      </c>
      <c r="Q3633" s="6">
        <v>100</v>
      </c>
      <c r="R3633" s="6">
        <v>7</v>
      </c>
      <c r="S3633" s="5">
        <v>0.1</v>
      </c>
      <c r="T3633" s="7">
        <v>10.673</v>
      </c>
      <c r="U3633" s="5">
        <v>3.9</v>
      </c>
      <c r="V3633" s="2"/>
      <c r="W3633" s="7">
        <v>4.125</v>
      </c>
      <c r="X3633" s="7">
        <v>4.875</v>
      </c>
      <c r="Y3633" s="7">
        <v>5.875</v>
      </c>
      <c r="Z3633" s="9">
        <v>5.8125</v>
      </c>
      <c r="AA3633" s="6">
        <v>6.63</v>
      </c>
      <c r="AB3633" s="7">
        <v>21.498000000000001</v>
      </c>
      <c r="AC3633" s="2"/>
    </row>
    <row r="3634" spans="1:29" ht="195" x14ac:dyDescent="0.15">
      <c r="A3634" s="3">
        <f>DATE(1998,1,23)</f>
        <v>35818</v>
      </c>
      <c r="B3634" s="3">
        <f>DATE(1998,4,13)</f>
        <v>35898</v>
      </c>
      <c r="C3634" s="2" t="s">
        <v>95</v>
      </c>
      <c r="D3634" s="2" t="s">
        <v>11371</v>
      </c>
      <c r="E3634" s="2" t="s">
        <v>11372</v>
      </c>
      <c r="F3634" s="4">
        <v>3356</v>
      </c>
      <c r="G3634" s="2" t="s">
        <v>163</v>
      </c>
      <c r="H3634" s="2" t="s">
        <v>34</v>
      </c>
      <c r="I3634" s="2" t="s">
        <v>9502</v>
      </c>
      <c r="J3634" s="2" t="s">
        <v>9503</v>
      </c>
      <c r="K3634" s="2" t="s">
        <v>163</v>
      </c>
      <c r="L3634" s="2" t="s">
        <v>34</v>
      </c>
      <c r="M3634" s="5">
        <v>224.6</v>
      </c>
      <c r="N3634" s="6">
        <v>11.25</v>
      </c>
      <c r="O3634" s="7">
        <v>11.188000000000001</v>
      </c>
      <c r="P3634" s="2" t="s">
        <v>11373</v>
      </c>
      <c r="Q3634" s="6">
        <v>92.21</v>
      </c>
      <c r="R3634" s="6">
        <v>35.25</v>
      </c>
      <c r="S3634" s="5">
        <v>20.9</v>
      </c>
      <c r="T3634" s="2"/>
      <c r="U3634" s="5">
        <v>9.4</v>
      </c>
      <c r="V3634" s="6">
        <v>1.74</v>
      </c>
      <c r="W3634" s="6">
        <v>30.75</v>
      </c>
      <c r="X3634" s="7">
        <v>32.438000000000002</v>
      </c>
      <c r="Y3634" s="4">
        <v>35</v>
      </c>
      <c r="Z3634" s="6">
        <v>35.25</v>
      </c>
      <c r="AA3634" s="6">
        <v>12.02</v>
      </c>
      <c r="AB3634" s="2" t="s">
        <v>47</v>
      </c>
      <c r="AC3634" s="6">
        <v>582.54999999999995</v>
      </c>
    </row>
    <row r="3635" spans="1:29" ht="156" x14ac:dyDescent="0.15">
      <c r="A3635" s="3">
        <f t="shared" ref="A3635:A3640" si="56">DATE(1998,1,26)</f>
        <v>35821</v>
      </c>
      <c r="B3635" s="3">
        <f>DATE(1998,9,14)</f>
        <v>36052</v>
      </c>
      <c r="C3635" s="2" t="s">
        <v>95</v>
      </c>
      <c r="D3635" s="2" t="s">
        <v>11374</v>
      </c>
      <c r="E3635" s="2" t="s">
        <v>1181</v>
      </c>
      <c r="F3635" s="4">
        <v>6022</v>
      </c>
      <c r="G3635" s="2" t="s">
        <v>37</v>
      </c>
      <c r="H3635" s="2" t="s">
        <v>34</v>
      </c>
      <c r="I3635" s="2" t="s">
        <v>4525</v>
      </c>
      <c r="J3635" s="2" t="s">
        <v>36</v>
      </c>
      <c r="K3635" s="2" t="s">
        <v>37</v>
      </c>
      <c r="L3635" s="2" t="s">
        <v>34</v>
      </c>
      <c r="M3635" s="12">
        <v>1279.329</v>
      </c>
      <c r="N3635" s="4">
        <v>30</v>
      </c>
      <c r="O3635" s="6">
        <v>29.75</v>
      </c>
      <c r="P3635" s="2" t="s">
        <v>11375</v>
      </c>
      <c r="Q3635" s="6">
        <v>100</v>
      </c>
      <c r="R3635" s="6">
        <v>34.72</v>
      </c>
      <c r="S3635" s="2"/>
      <c r="T3635" s="2"/>
      <c r="U3635" s="2"/>
      <c r="V3635" s="2"/>
      <c r="W3635" s="4">
        <v>27</v>
      </c>
      <c r="X3635" s="5">
        <v>27.5</v>
      </c>
      <c r="Y3635" s="7">
        <v>31.125</v>
      </c>
      <c r="Z3635" s="4">
        <v>32</v>
      </c>
      <c r="AA3635" s="6">
        <v>1.9</v>
      </c>
      <c r="AB3635" s="2" t="s">
        <v>47</v>
      </c>
      <c r="AC3635" s="2"/>
    </row>
    <row r="3636" spans="1:29" ht="78" x14ac:dyDescent="0.15">
      <c r="A3636" s="3">
        <f t="shared" si="56"/>
        <v>35821</v>
      </c>
      <c r="B3636" s="2"/>
      <c r="C3636" s="2" t="s">
        <v>30</v>
      </c>
      <c r="D3636" s="2" t="s">
        <v>8944</v>
      </c>
      <c r="E3636" s="2" t="s">
        <v>8945</v>
      </c>
      <c r="F3636" s="4">
        <v>4512</v>
      </c>
      <c r="G3636" s="2" t="s">
        <v>59</v>
      </c>
      <c r="H3636" s="2" t="s">
        <v>34</v>
      </c>
      <c r="I3636" s="2" t="s">
        <v>8946</v>
      </c>
      <c r="J3636" s="2" t="s">
        <v>8945</v>
      </c>
      <c r="K3636" s="2" t="s">
        <v>59</v>
      </c>
      <c r="L3636" s="2" t="s">
        <v>34</v>
      </c>
      <c r="M3636" s="12">
        <v>8205.5319999999992</v>
      </c>
      <c r="N3636" s="7">
        <v>112.313</v>
      </c>
      <c r="O3636" s="7">
        <v>110.125</v>
      </c>
      <c r="P3636" s="2" t="s">
        <v>11376</v>
      </c>
      <c r="Q3636" s="2"/>
      <c r="R3636" s="2"/>
      <c r="S3636" s="5">
        <v>403</v>
      </c>
      <c r="T3636" s="5">
        <v>970</v>
      </c>
      <c r="U3636" s="5">
        <v>15.4</v>
      </c>
      <c r="V3636" s="6">
        <v>5.03</v>
      </c>
      <c r="W3636" s="7">
        <v>49.625</v>
      </c>
      <c r="X3636" s="4">
        <v>54</v>
      </c>
      <c r="Y3636" s="4">
        <v>54</v>
      </c>
      <c r="Z3636" s="7">
        <v>56.625</v>
      </c>
      <c r="AA3636" s="6">
        <v>58.8</v>
      </c>
      <c r="AB3636" s="2" t="s">
        <v>47</v>
      </c>
      <c r="AC3636" s="8">
        <v>1170</v>
      </c>
    </row>
    <row r="3637" spans="1:29" ht="117" x14ac:dyDescent="0.15">
      <c r="A3637" s="3">
        <f t="shared" si="56"/>
        <v>35821</v>
      </c>
      <c r="B3637" s="3">
        <f>DATE(1998,6,11)</f>
        <v>35957</v>
      </c>
      <c r="C3637" s="2" t="s">
        <v>95</v>
      </c>
      <c r="D3637" s="2" t="s">
        <v>353</v>
      </c>
      <c r="E3637" s="2" t="s">
        <v>354</v>
      </c>
      <c r="F3637" s="4">
        <v>3571</v>
      </c>
      <c r="G3637" s="2" t="s">
        <v>50</v>
      </c>
      <c r="H3637" s="2" t="s">
        <v>34</v>
      </c>
      <c r="I3637" s="2" t="s">
        <v>1711</v>
      </c>
      <c r="J3637" s="2" t="s">
        <v>1712</v>
      </c>
      <c r="K3637" s="2" t="s">
        <v>50</v>
      </c>
      <c r="L3637" s="2" t="s">
        <v>34</v>
      </c>
      <c r="M3637" s="12">
        <v>20864.812999999998</v>
      </c>
      <c r="N3637" s="4">
        <v>29</v>
      </c>
      <c r="O3637" s="4">
        <v>30</v>
      </c>
      <c r="P3637" s="2" t="s">
        <v>11377</v>
      </c>
      <c r="Q3637" s="6">
        <v>100</v>
      </c>
      <c r="R3637" s="6">
        <v>60</v>
      </c>
      <c r="S3637" s="5">
        <v>274.8</v>
      </c>
      <c r="T3637" s="7">
        <v>586.70399999999995</v>
      </c>
      <c r="U3637" s="5">
        <v>23.1</v>
      </c>
      <c r="V3637" s="7">
        <v>1.569</v>
      </c>
      <c r="W3637" s="7">
        <v>39.938000000000002</v>
      </c>
      <c r="X3637" s="7">
        <v>45.438000000000002</v>
      </c>
      <c r="Y3637" s="7">
        <v>55.438000000000002</v>
      </c>
      <c r="Z3637" s="7">
        <v>56.375</v>
      </c>
      <c r="AA3637" s="6">
        <v>147.80000000000001</v>
      </c>
      <c r="AB3637" s="7">
        <v>32.970999999999997</v>
      </c>
      <c r="AC3637" s="8">
        <v>6762</v>
      </c>
    </row>
    <row r="3638" spans="1:29" ht="52" x14ac:dyDescent="0.15">
      <c r="A3638" s="3">
        <f t="shared" si="56"/>
        <v>35821</v>
      </c>
      <c r="B3638" s="3">
        <f>DATE(1998,11,10)</f>
        <v>36109</v>
      </c>
      <c r="C3638" s="2" t="s">
        <v>95</v>
      </c>
      <c r="D3638" s="2" t="s">
        <v>11378</v>
      </c>
      <c r="E3638" s="2" t="s">
        <v>389</v>
      </c>
      <c r="F3638" s="4">
        <v>6036</v>
      </c>
      <c r="G3638" s="2" t="s">
        <v>33</v>
      </c>
      <c r="H3638" s="2" t="s">
        <v>34</v>
      </c>
      <c r="I3638" s="2" t="s">
        <v>11379</v>
      </c>
      <c r="J3638" s="2" t="s">
        <v>11380</v>
      </c>
      <c r="K3638" s="2" t="s">
        <v>125</v>
      </c>
      <c r="L3638" s="2" t="s">
        <v>34</v>
      </c>
      <c r="M3638" s="2"/>
      <c r="N3638" s="2"/>
      <c r="O3638" s="2"/>
      <c r="P3638" s="2" t="s">
        <v>11381</v>
      </c>
      <c r="Q3638" s="6">
        <v>100</v>
      </c>
      <c r="R3638" s="2"/>
      <c r="S3638" s="5">
        <v>0.1</v>
      </c>
      <c r="T3638" s="7">
        <v>0.38500000000000001</v>
      </c>
      <c r="U3638" s="5">
        <v>14.1</v>
      </c>
      <c r="V3638" s="7">
        <v>0.17399999999999999</v>
      </c>
      <c r="W3638" s="4">
        <v>13</v>
      </c>
      <c r="X3638" s="4">
        <v>12</v>
      </c>
      <c r="Y3638" s="4">
        <v>12</v>
      </c>
      <c r="Z3638" s="6">
        <v>13.25</v>
      </c>
      <c r="AA3638" s="2"/>
      <c r="AB3638" s="7">
        <v>1549.22</v>
      </c>
      <c r="AC3638" s="2"/>
    </row>
    <row r="3639" spans="1:29" ht="130" x14ac:dyDescent="0.15">
      <c r="A3639" s="3">
        <f t="shared" si="56"/>
        <v>35821</v>
      </c>
      <c r="B3639" s="3">
        <f>DATE(1998,6,2)</f>
        <v>35948</v>
      </c>
      <c r="C3639" s="2" t="s">
        <v>95</v>
      </c>
      <c r="D3639" s="2" t="s">
        <v>11382</v>
      </c>
      <c r="E3639" s="2" t="s">
        <v>11383</v>
      </c>
      <c r="F3639" s="4">
        <v>1311</v>
      </c>
      <c r="G3639" s="2" t="s">
        <v>148</v>
      </c>
      <c r="H3639" s="2" t="s">
        <v>34</v>
      </c>
      <c r="I3639" s="2" t="s">
        <v>11384</v>
      </c>
      <c r="J3639" s="2" t="s">
        <v>1608</v>
      </c>
      <c r="K3639" s="2" t="s">
        <v>148</v>
      </c>
      <c r="L3639" s="2" t="s">
        <v>34</v>
      </c>
      <c r="M3639" s="2"/>
      <c r="N3639" s="2"/>
      <c r="O3639" s="2"/>
      <c r="P3639" s="2" t="s">
        <v>11385</v>
      </c>
      <c r="Q3639" s="6">
        <v>100</v>
      </c>
      <c r="R3639" s="6">
        <v>2</v>
      </c>
      <c r="S3639" s="5">
        <v>-1.6</v>
      </c>
      <c r="T3639" s="6">
        <v>15.93</v>
      </c>
      <c r="U3639" s="5">
        <v>1.8</v>
      </c>
      <c r="V3639" s="7">
        <v>-7.6999999999999999E-2</v>
      </c>
      <c r="W3639" s="7">
        <v>5.9379999999999997</v>
      </c>
      <c r="X3639" s="7">
        <v>6.0629999999999997</v>
      </c>
      <c r="Y3639" s="7">
        <v>6.375</v>
      </c>
      <c r="Z3639" s="7">
        <v>6.125</v>
      </c>
      <c r="AA3639" s="6">
        <v>16.27</v>
      </c>
      <c r="AB3639" s="7">
        <v>12.24</v>
      </c>
      <c r="AC3639" s="2"/>
    </row>
    <row r="3640" spans="1:29" ht="169" x14ac:dyDescent="0.15">
      <c r="A3640" s="3">
        <f t="shared" si="56"/>
        <v>35821</v>
      </c>
      <c r="B3640" s="3">
        <f>DATE(1998,5,6)</f>
        <v>35921</v>
      </c>
      <c r="C3640" s="2" t="s">
        <v>95</v>
      </c>
      <c r="D3640" s="2" t="s">
        <v>11386</v>
      </c>
      <c r="E3640" s="2" t="s">
        <v>11387</v>
      </c>
      <c r="F3640" s="4">
        <v>8711</v>
      </c>
      <c r="G3640" s="2" t="s">
        <v>223</v>
      </c>
      <c r="H3640" s="2" t="s">
        <v>34</v>
      </c>
      <c r="I3640" s="2" t="s">
        <v>5555</v>
      </c>
      <c r="J3640" s="2" t="s">
        <v>5556</v>
      </c>
      <c r="K3640" s="2" t="s">
        <v>116</v>
      </c>
      <c r="L3640" s="2" t="s">
        <v>34</v>
      </c>
      <c r="M3640" s="10">
        <v>8014.57</v>
      </c>
      <c r="N3640" s="6">
        <v>34.75</v>
      </c>
      <c r="O3640" s="4">
        <v>35</v>
      </c>
      <c r="P3640" s="2" t="s">
        <v>11388</v>
      </c>
      <c r="Q3640" s="6">
        <v>100</v>
      </c>
      <c r="R3640" s="6">
        <v>2.1800000000000002</v>
      </c>
      <c r="S3640" s="5">
        <v>1.3</v>
      </c>
      <c r="T3640" s="6">
        <v>10.29</v>
      </c>
      <c r="U3640" s="5">
        <v>0.3</v>
      </c>
      <c r="V3640" s="7">
        <v>3.1E-2</v>
      </c>
      <c r="W3640" s="7">
        <v>1.5940000000000001</v>
      </c>
      <c r="X3640" s="7">
        <v>1.4379999999999999</v>
      </c>
      <c r="Y3640" s="7">
        <v>1.375</v>
      </c>
      <c r="Z3640" s="7">
        <v>1.375</v>
      </c>
      <c r="AA3640" s="6">
        <v>44.19</v>
      </c>
      <c r="AB3640" s="7">
        <v>27.369</v>
      </c>
      <c r="AC3640" s="6">
        <v>51.24</v>
      </c>
    </row>
    <row r="3641" spans="1:29" ht="195" x14ac:dyDescent="0.15">
      <c r="A3641" s="3">
        <f>DATE(1998,1,27)</f>
        <v>35822</v>
      </c>
      <c r="B3641" s="2"/>
      <c r="C3641" s="2" t="s">
        <v>30</v>
      </c>
      <c r="D3641" s="2" t="s">
        <v>11178</v>
      </c>
      <c r="E3641" s="2" t="s">
        <v>3373</v>
      </c>
      <c r="F3641" s="4">
        <v>6311</v>
      </c>
      <c r="G3641" s="2" t="s">
        <v>125</v>
      </c>
      <c r="H3641" s="2" t="s">
        <v>34</v>
      </c>
      <c r="I3641" s="2" t="s">
        <v>9795</v>
      </c>
      <c r="J3641" s="2" t="s">
        <v>2071</v>
      </c>
      <c r="K3641" s="2" t="s">
        <v>109</v>
      </c>
      <c r="L3641" s="2" t="s">
        <v>34</v>
      </c>
      <c r="M3641" s="12">
        <v>5653.1679999999997</v>
      </c>
      <c r="N3641" s="7">
        <v>33.438000000000002</v>
      </c>
      <c r="O3641" s="7">
        <v>33.313000000000002</v>
      </c>
      <c r="P3641" s="2" t="s">
        <v>11389</v>
      </c>
      <c r="Q3641" s="2"/>
      <c r="R3641" s="6">
        <v>67</v>
      </c>
      <c r="S3641" s="5">
        <v>114.9</v>
      </c>
      <c r="T3641" s="2"/>
      <c r="U3641" s="5">
        <v>16.600000000000001</v>
      </c>
      <c r="V3641" s="6">
        <v>2.4500000000000002</v>
      </c>
      <c r="W3641" s="9">
        <v>46.0625</v>
      </c>
      <c r="X3641" s="6">
        <v>46.25</v>
      </c>
      <c r="Y3641" s="9">
        <v>45.6875</v>
      </c>
      <c r="Z3641" s="5">
        <v>45.5</v>
      </c>
      <c r="AA3641" s="6">
        <v>41.54</v>
      </c>
      <c r="AB3641" s="7">
        <v>19.757000000000001</v>
      </c>
      <c r="AC3641" s="5">
        <v>149.5</v>
      </c>
    </row>
    <row r="3642" spans="1:29" ht="104" x14ac:dyDescent="0.15">
      <c r="A3642" s="3">
        <f>DATE(1998,1,27)</f>
        <v>35822</v>
      </c>
      <c r="B3642" s="3">
        <f>DATE(1998,3,3)</f>
        <v>35857</v>
      </c>
      <c r="C3642" s="2" t="s">
        <v>95</v>
      </c>
      <c r="D3642" s="2" t="s">
        <v>11390</v>
      </c>
      <c r="E3642" s="2" t="s">
        <v>658</v>
      </c>
      <c r="F3642" s="4">
        <v>7372</v>
      </c>
      <c r="G3642" s="2" t="s">
        <v>551</v>
      </c>
      <c r="H3642" s="2" t="s">
        <v>34</v>
      </c>
      <c r="I3642" s="2" t="s">
        <v>11391</v>
      </c>
      <c r="J3642" s="2" t="s">
        <v>11392</v>
      </c>
      <c r="K3642" s="2" t="s">
        <v>551</v>
      </c>
      <c r="L3642" s="2" t="s">
        <v>303</v>
      </c>
      <c r="M3642" s="2"/>
      <c r="N3642" s="2"/>
      <c r="O3642" s="2"/>
      <c r="P3642" s="2" t="s">
        <v>11393</v>
      </c>
      <c r="Q3642" s="6">
        <v>100</v>
      </c>
      <c r="R3642" s="6">
        <v>22</v>
      </c>
      <c r="S3642" s="5">
        <v>2.9</v>
      </c>
      <c r="T3642" s="7">
        <v>5.7240000000000002</v>
      </c>
      <c r="U3642" s="5">
        <v>4.2</v>
      </c>
      <c r="V3642" s="6">
        <v>0.25</v>
      </c>
      <c r="W3642" s="6">
        <v>16.25</v>
      </c>
      <c r="X3642" s="5">
        <v>16.5</v>
      </c>
      <c r="Y3642" s="7">
        <v>21.687999999999999</v>
      </c>
      <c r="Z3642" s="7">
        <v>21.687999999999999</v>
      </c>
      <c r="AA3642" s="6">
        <v>11.13</v>
      </c>
      <c r="AB3642" s="7">
        <v>79.119</v>
      </c>
      <c r="AC3642" s="6">
        <v>11.93</v>
      </c>
    </row>
    <row r="3643" spans="1:29" ht="169" x14ac:dyDescent="0.15">
      <c r="A3643" s="3">
        <f>DATE(1998,1,28)</f>
        <v>35823</v>
      </c>
      <c r="B3643" s="3">
        <f>DATE(1998,7,31)</f>
        <v>36007</v>
      </c>
      <c r="C3643" s="2" t="s">
        <v>95</v>
      </c>
      <c r="D3643" s="2" t="s">
        <v>11394</v>
      </c>
      <c r="E3643" s="2" t="s">
        <v>36</v>
      </c>
      <c r="F3643" s="4">
        <v>6021</v>
      </c>
      <c r="G3643" s="2" t="s">
        <v>37</v>
      </c>
      <c r="H3643" s="2" t="s">
        <v>34</v>
      </c>
      <c r="I3643" s="2" t="s">
        <v>6678</v>
      </c>
      <c r="J3643" s="2" t="s">
        <v>159</v>
      </c>
      <c r="K3643" s="2" t="s">
        <v>37</v>
      </c>
      <c r="L3643" s="2" t="s">
        <v>34</v>
      </c>
      <c r="M3643" s="12">
        <v>5743.8389999999999</v>
      </c>
      <c r="N3643" s="6">
        <v>39.75</v>
      </c>
      <c r="O3643" s="5">
        <v>39.5</v>
      </c>
      <c r="P3643" s="2" t="s">
        <v>11395</v>
      </c>
      <c r="Q3643" s="6">
        <v>100</v>
      </c>
      <c r="R3643" s="6">
        <v>68.849999999999994</v>
      </c>
      <c r="S3643" s="5">
        <v>84.6</v>
      </c>
      <c r="T3643" s="7">
        <v>158.977</v>
      </c>
      <c r="U3643" s="5">
        <v>17.3</v>
      </c>
      <c r="V3643" s="6">
        <v>2.23</v>
      </c>
      <c r="W3643" s="7">
        <v>57.375</v>
      </c>
      <c r="X3643" s="7">
        <v>60.625</v>
      </c>
      <c r="Y3643" s="11">
        <v>62.40625</v>
      </c>
      <c r="Z3643" s="4">
        <v>63</v>
      </c>
      <c r="AA3643" s="6">
        <v>35.51</v>
      </c>
      <c r="AB3643" s="7">
        <v>22.166</v>
      </c>
      <c r="AC3643" s="2"/>
    </row>
    <row r="3644" spans="1:29" ht="91" x14ac:dyDescent="0.15">
      <c r="A3644" s="3">
        <f>DATE(1998,1,28)</f>
        <v>35823</v>
      </c>
      <c r="B3644" s="3">
        <f>DATE(1998,3,5)</f>
        <v>35859</v>
      </c>
      <c r="C3644" s="2" t="s">
        <v>95</v>
      </c>
      <c r="D3644" s="2" t="s">
        <v>11396</v>
      </c>
      <c r="E3644" s="2" t="s">
        <v>1289</v>
      </c>
      <c r="F3644" s="4">
        <v>3089</v>
      </c>
      <c r="G3644" s="2" t="s">
        <v>447</v>
      </c>
      <c r="H3644" s="2" t="s">
        <v>34</v>
      </c>
      <c r="I3644" s="2" t="s">
        <v>10007</v>
      </c>
      <c r="J3644" s="2" t="s">
        <v>10008</v>
      </c>
      <c r="K3644" s="2" t="s">
        <v>447</v>
      </c>
      <c r="L3644" s="2" t="s">
        <v>34</v>
      </c>
      <c r="M3644" s="2"/>
      <c r="N3644" s="2"/>
      <c r="O3644" s="2"/>
      <c r="P3644" s="2" t="s">
        <v>11397</v>
      </c>
      <c r="Q3644" s="6">
        <v>100</v>
      </c>
      <c r="R3644" s="6">
        <v>10.75</v>
      </c>
      <c r="S3644" s="5">
        <v>2.5</v>
      </c>
      <c r="T3644" s="7">
        <v>10.281000000000001</v>
      </c>
      <c r="U3644" s="5">
        <v>3.1</v>
      </c>
      <c r="V3644" s="7">
        <v>0.60399999999999998</v>
      </c>
      <c r="W3644" s="7">
        <v>6.625</v>
      </c>
      <c r="X3644" s="7">
        <v>6.875</v>
      </c>
      <c r="Y3644" s="7">
        <v>10.438000000000001</v>
      </c>
      <c r="Z3644" s="7">
        <v>10.438000000000001</v>
      </c>
      <c r="AA3644" s="6">
        <v>4.12</v>
      </c>
      <c r="AB3644" s="7">
        <v>10.509</v>
      </c>
      <c r="AC3644" s="6">
        <v>9.11</v>
      </c>
    </row>
    <row r="3645" spans="1:29" ht="91" x14ac:dyDescent="0.15">
      <c r="A3645" s="3">
        <f>DATE(1998,1,28)</f>
        <v>35823</v>
      </c>
      <c r="B3645" s="3">
        <f>DATE(1998,3,27)</f>
        <v>35881</v>
      </c>
      <c r="C3645" s="2" t="s">
        <v>95</v>
      </c>
      <c r="D3645" s="2" t="s">
        <v>11398</v>
      </c>
      <c r="E3645" s="2" t="s">
        <v>302</v>
      </c>
      <c r="F3645" s="4">
        <v>6792</v>
      </c>
      <c r="G3645" s="2" t="s">
        <v>53</v>
      </c>
      <c r="H3645" s="2" t="s">
        <v>34</v>
      </c>
      <c r="I3645" s="2" t="s">
        <v>11399</v>
      </c>
      <c r="J3645" s="2" t="s">
        <v>1435</v>
      </c>
      <c r="K3645" s="2" t="s">
        <v>148</v>
      </c>
      <c r="L3645" s="2" t="s">
        <v>34</v>
      </c>
      <c r="M3645" s="7">
        <v>72.171999999999997</v>
      </c>
      <c r="N3645" s="5">
        <v>4.5</v>
      </c>
      <c r="O3645" s="7">
        <v>4.625</v>
      </c>
      <c r="P3645" s="2" t="s">
        <v>11400</v>
      </c>
      <c r="Q3645" s="6">
        <v>36.729999999999997</v>
      </c>
      <c r="R3645" s="6">
        <v>5.5</v>
      </c>
      <c r="S3645" s="5">
        <v>4.0999999999999996</v>
      </c>
      <c r="T3645" s="2"/>
      <c r="U3645" s="5">
        <v>0.2</v>
      </c>
      <c r="V3645" s="7">
        <v>0.86499999999999999</v>
      </c>
      <c r="W3645" s="7">
        <v>4.875</v>
      </c>
      <c r="X3645" s="7">
        <v>4.625</v>
      </c>
      <c r="Y3645" s="5">
        <v>5.5</v>
      </c>
      <c r="Z3645" s="7">
        <v>5.375</v>
      </c>
      <c r="AA3645" s="6">
        <v>4.75</v>
      </c>
      <c r="AB3645" s="7">
        <v>5.7439999999999998</v>
      </c>
      <c r="AC3645" s="6">
        <v>3.03</v>
      </c>
    </row>
    <row r="3646" spans="1:29" ht="26" x14ac:dyDescent="0.15">
      <c r="A3646" s="3">
        <f>DATE(1998,1,28)</f>
        <v>35823</v>
      </c>
      <c r="B3646" s="2"/>
      <c r="C3646" s="2" t="s">
        <v>189</v>
      </c>
      <c r="D3646" s="2" t="s">
        <v>10586</v>
      </c>
      <c r="E3646" s="2" t="s">
        <v>10587</v>
      </c>
      <c r="F3646" s="4">
        <v>3764</v>
      </c>
      <c r="G3646" s="2" t="s">
        <v>219</v>
      </c>
      <c r="H3646" s="2" t="s">
        <v>34</v>
      </c>
      <c r="I3646" s="2" t="s">
        <v>143</v>
      </c>
      <c r="J3646" s="2" t="s">
        <v>144</v>
      </c>
      <c r="K3646" s="2" t="s">
        <v>53</v>
      </c>
      <c r="L3646" s="2" t="s">
        <v>139</v>
      </c>
      <c r="M3646" s="2"/>
      <c r="N3646" s="2"/>
      <c r="O3646" s="2"/>
      <c r="P3646" s="2" t="s">
        <v>11401</v>
      </c>
      <c r="Q3646" s="2"/>
      <c r="R3646" s="2"/>
      <c r="S3646" s="5">
        <v>30.8</v>
      </c>
      <c r="T3646" s="7">
        <v>135.61799999999999</v>
      </c>
      <c r="U3646" s="5">
        <v>4</v>
      </c>
      <c r="V3646" s="6">
        <v>2.13</v>
      </c>
      <c r="W3646" s="7">
        <v>11.938000000000001</v>
      </c>
      <c r="X3646" s="6">
        <v>11.75</v>
      </c>
      <c r="Y3646" s="6">
        <v>11.75</v>
      </c>
      <c r="Z3646" s="6">
        <v>11.75</v>
      </c>
      <c r="AA3646" s="2"/>
      <c r="AB3646" s="2" t="s">
        <v>47</v>
      </c>
      <c r="AC3646" s="2"/>
    </row>
    <row r="3647" spans="1:29" ht="52" x14ac:dyDescent="0.15">
      <c r="A3647" s="3">
        <f>DATE(1998,1,29)</f>
        <v>35824</v>
      </c>
      <c r="B3647" s="3">
        <f>DATE(1998,6,5)</f>
        <v>35951</v>
      </c>
      <c r="C3647" s="2" t="s">
        <v>95</v>
      </c>
      <c r="D3647" s="2" t="s">
        <v>11402</v>
      </c>
      <c r="E3647" s="2" t="s">
        <v>11403</v>
      </c>
      <c r="F3647" s="4">
        <v>3273</v>
      </c>
      <c r="G3647" s="2" t="s">
        <v>237</v>
      </c>
      <c r="H3647" s="2" t="s">
        <v>34</v>
      </c>
      <c r="I3647" s="2" t="s">
        <v>11404</v>
      </c>
      <c r="J3647" s="2" t="s">
        <v>7637</v>
      </c>
      <c r="K3647" s="2" t="s">
        <v>250</v>
      </c>
      <c r="L3647" s="2" t="s">
        <v>34</v>
      </c>
      <c r="M3647" s="2"/>
      <c r="N3647" s="2"/>
      <c r="O3647" s="2"/>
      <c r="P3647" s="2" t="s">
        <v>11405</v>
      </c>
      <c r="Q3647" s="6">
        <v>100</v>
      </c>
      <c r="R3647" s="6">
        <v>10.77</v>
      </c>
      <c r="S3647" s="5">
        <v>0.2</v>
      </c>
      <c r="T3647" s="7">
        <v>1.3360000000000001</v>
      </c>
      <c r="U3647" s="5">
        <v>4.8</v>
      </c>
      <c r="V3647" s="6">
        <v>0.05</v>
      </c>
      <c r="W3647" s="6">
        <v>9.75</v>
      </c>
      <c r="X3647" s="6">
        <v>10.25</v>
      </c>
      <c r="Y3647" s="4">
        <v>10</v>
      </c>
      <c r="Z3647" s="7">
        <v>10.438000000000001</v>
      </c>
      <c r="AA3647" s="6">
        <v>4.51</v>
      </c>
      <c r="AB3647" s="2" t="s">
        <v>86</v>
      </c>
      <c r="AC3647" s="2"/>
    </row>
    <row r="3648" spans="1:29" ht="104" x14ac:dyDescent="0.15">
      <c r="A3648" s="3">
        <f>DATE(1998,1,29)</f>
        <v>35824</v>
      </c>
      <c r="B3648" s="3">
        <f>DATE(1998,5,21)</f>
        <v>35936</v>
      </c>
      <c r="C3648" s="2" t="s">
        <v>95</v>
      </c>
      <c r="D3648" s="2" t="s">
        <v>11406</v>
      </c>
      <c r="E3648" s="2" t="s">
        <v>2945</v>
      </c>
      <c r="F3648" s="4">
        <v>5142</v>
      </c>
      <c r="G3648" s="2" t="s">
        <v>593</v>
      </c>
      <c r="H3648" s="2" t="s">
        <v>34</v>
      </c>
      <c r="I3648" s="2" t="s">
        <v>11407</v>
      </c>
      <c r="J3648" s="2" t="s">
        <v>8653</v>
      </c>
      <c r="K3648" s="2" t="s">
        <v>593</v>
      </c>
      <c r="L3648" s="2" t="s">
        <v>34</v>
      </c>
      <c r="M3648" s="2"/>
      <c r="N3648" s="2"/>
      <c r="O3648" s="2"/>
      <c r="P3648" s="2" t="s">
        <v>11408</v>
      </c>
      <c r="Q3648" s="6">
        <v>100</v>
      </c>
      <c r="R3648" s="6">
        <v>15</v>
      </c>
      <c r="S3648" s="5">
        <v>-7.3</v>
      </c>
      <c r="T3648" s="7">
        <v>9.1020000000000003</v>
      </c>
      <c r="U3648" s="5">
        <v>7.8</v>
      </c>
      <c r="V3648" s="7">
        <v>-1.0469999999999999</v>
      </c>
      <c r="W3648" s="6">
        <v>7.25</v>
      </c>
      <c r="X3648" s="7">
        <v>6.625</v>
      </c>
      <c r="Y3648" s="7">
        <v>6.9379999999999997</v>
      </c>
      <c r="Z3648" s="6">
        <v>14.25</v>
      </c>
      <c r="AA3648" s="6">
        <v>9.35</v>
      </c>
      <c r="AB3648" s="2" t="s">
        <v>86</v>
      </c>
      <c r="AC3648" s="2"/>
    </row>
    <row r="3649" spans="1:29" ht="117" x14ac:dyDescent="0.15">
      <c r="A3649" s="3">
        <f>DATE(1998,1,30)</f>
        <v>35825</v>
      </c>
      <c r="B3649" s="3">
        <f>DATE(1999,2,3)</f>
        <v>36194</v>
      </c>
      <c r="C3649" s="2" t="s">
        <v>95</v>
      </c>
      <c r="D3649" s="2" t="s">
        <v>11409</v>
      </c>
      <c r="E3649" s="2" t="s">
        <v>11410</v>
      </c>
      <c r="F3649" s="4">
        <v>7011</v>
      </c>
      <c r="G3649" s="2" t="s">
        <v>269</v>
      </c>
      <c r="H3649" s="2" t="s">
        <v>34</v>
      </c>
      <c r="I3649" s="2" t="s">
        <v>11411</v>
      </c>
      <c r="J3649" s="2" t="s">
        <v>92</v>
      </c>
      <c r="K3649" s="2" t="s">
        <v>53</v>
      </c>
      <c r="L3649" s="2" t="s">
        <v>34</v>
      </c>
      <c r="M3649" s="2"/>
      <c r="N3649" s="2"/>
      <c r="O3649" s="2"/>
      <c r="P3649" s="2" t="s">
        <v>11412</v>
      </c>
      <c r="Q3649" s="6">
        <v>92.25</v>
      </c>
      <c r="R3649" s="6">
        <v>28.73</v>
      </c>
      <c r="S3649" s="5">
        <v>30.8</v>
      </c>
      <c r="T3649" s="7">
        <v>63.046999999999997</v>
      </c>
      <c r="U3649" s="5">
        <v>18.2</v>
      </c>
      <c r="V3649" s="6">
        <v>3.13</v>
      </c>
      <c r="W3649" s="7">
        <v>22.625</v>
      </c>
      <c r="X3649" s="5">
        <v>22.5</v>
      </c>
      <c r="Y3649" s="9">
        <v>22.6875</v>
      </c>
      <c r="Z3649" s="4">
        <v>27</v>
      </c>
      <c r="AA3649" s="6">
        <v>9.84</v>
      </c>
      <c r="AB3649" s="7">
        <v>8.91</v>
      </c>
      <c r="AC3649" s="2"/>
    </row>
    <row r="3650" spans="1:29" ht="91" x14ac:dyDescent="0.15">
      <c r="A3650" s="3">
        <f>DATE(1998,1,30)</f>
        <v>35825</v>
      </c>
      <c r="B3650" s="3">
        <f>DATE(1998,4,7)</f>
        <v>35892</v>
      </c>
      <c r="C3650" s="2" t="s">
        <v>95</v>
      </c>
      <c r="D3650" s="2" t="s">
        <v>11413</v>
      </c>
      <c r="E3650" s="2" t="s">
        <v>11414</v>
      </c>
      <c r="F3650" s="4">
        <v>2339</v>
      </c>
      <c r="G3650" s="2" t="s">
        <v>708</v>
      </c>
      <c r="H3650" s="2" t="s">
        <v>34</v>
      </c>
      <c r="I3650" s="2" t="s">
        <v>11415</v>
      </c>
      <c r="J3650" s="2" t="s">
        <v>11416</v>
      </c>
      <c r="K3650" s="2" t="s">
        <v>326</v>
      </c>
      <c r="L3650" s="2" t="s">
        <v>34</v>
      </c>
      <c r="M3650" s="7">
        <v>71.427999999999997</v>
      </c>
      <c r="N3650" s="7">
        <v>4.9379999999999997</v>
      </c>
      <c r="O3650" s="7">
        <v>4.9059999999999997</v>
      </c>
      <c r="P3650" s="2" t="s">
        <v>11417</v>
      </c>
      <c r="Q3650" s="6">
        <v>100</v>
      </c>
      <c r="R3650" s="6">
        <v>2.0299999999999998</v>
      </c>
      <c r="S3650" s="5">
        <v>0.5</v>
      </c>
      <c r="T3650" s="2"/>
      <c r="U3650" s="5">
        <v>0.4</v>
      </c>
      <c r="V3650" s="6">
        <v>0.08</v>
      </c>
      <c r="W3650" s="5">
        <v>1.5</v>
      </c>
      <c r="X3650" s="7">
        <v>1.375</v>
      </c>
      <c r="Y3650" s="6">
        <v>1.75</v>
      </c>
      <c r="Z3650" s="7">
        <v>1.8129999999999999</v>
      </c>
      <c r="AA3650" s="6">
        <v>5.69</v>
      </c>
      <c r="AB3650" s="2" t="s">
        <v>86</v>
      </c>
      <c r="AC3650" s="6">
        <v>0.39</v>
      </c>
    </row>
    <row r="3651" spans="1:29" ht="169" x14ac:dyDescent="0.15">
      <c r="A3651" s="3">
        <f>DATE(1998,1,30)</f>
        <v>35825</v>
      </c>
      <c r="B3651" s="3">
        <f>DATE(1998,6,2)</f>
        <v>35948</v>
      </c>
      <c r="C3651" s="2" t="s">
        <v>95</v>
      </c>
      <c r="D3651" s="2" t="s">
        <v>10477</v>
      </c>
      <c r="E3651" s="2" t="s">
        <v>10478</v>
      </c>
      <c r="F3651" s="4">
        <v>6512</v>
      </c>
      <c r="G3651" s="2" t="s">
        <v>109</v>
      </c>
      <c r="H3651" s="2" t="s">
        <v>34</v>
      </c>
      <c r="I3651" s="2" t="s">
        <v>11418</v>
      </c>
      <c r="J3651" s="2" t="s">
        <v>844</v>
      </c>
      <c r="K3651" s="2" t="s">
        <v>109</v>
      </c>
      <c r="L3651" s="2" t="s">
        <v>34</v>
      </c>
      <c r="M3651" s="2"/>
      <c r="N3651" s="2"/>
      <c r="O3651" s="2"/>
      <c r="P3651" s="2" t="s">
        <v>11419</v>
      </c>
      <c r="Q3651" s="6">
        <v>100</v>
      </c>
      <c r="R3651" s="6">
        <v>1.9</v>
      </c>
      <c r="S3651" s="5">
        <v>0.6</v>
      </c>
      <c r="T3651" s="7">
        <v>3.0550000000000002</v>
      </c>
      <c r="U3651" s="5">
        <v>1.2</v>
      </c>
      <c r="V3651" s="2"/>
      <c r="W3651" s="7">
        <v>0.93799999999999994</v>
      </c>
      <c r="X3651" s="6">
        <v>1.1399999999999999</v>
      </c>
      <c r="Y3651" s="6">
        <v>1.26</v>
      </c>
      <c r="Z3651" s="6">
        <v>1.25</v>
      </c>
      <c r="AA3651" s="6">
        <v>19.71</v>
      </c>
      <c r="AB3651" s="7">
        <v>24.738</v>
      </c>
      <c r="AC3651" s="2"/>
    </row>
    <row r="3652" spans="1:29" ht="26" x14ac:dyDescent="0.15">
      <c r="A3652" s="3">
        <f>DATE(1998,2,1)</f>
        <v>35827</v>
      </c>
      <c r="B3652" s="3">
        <f>DATE(1998,2,1)</f>
        <v>35827</v>
      </c>
      <c r="C3652" s="2" t="s">
        <v>95</v>
      </c>
      <c r="D3652" s="2" t="s">
        <v>11020</v>
      </c>
      <c r="E3652" s="2" t="s">
        <v>11021</v>
      </c>
      <c r="F3652" s="4">
        <v>3714</v>
      </c>
      <c r="G3652" s="2" t="s">
        <v>105</v>
      </c>
      <c r="H3652" s="2" t="s">
        <v>34</v>
      </c>
      <c r="I3652" s="2" t="s">
        <v>138</v>
      </c>
      <c r="J3652" s="2" t="s">
        <v>139</v>
      </c>
      <c r="K3652" s="2" t="s">
        <v>53</v>
      </c>
      <c r="L3652" s="2" t="s">
        <v>139</v>
      </c>
      <c r="M3652" s="2"/>
      <c r="N3652" s="2"/>
      <c r="O3652" s="2"/>
      <c r="P3652" s="2" t="s">
        <v>11420</v>
      </c>
      <c r="Q3652" s="6">
        <v>100</v>
      </c>
      <c r="R3652" s="2"/>
      <c r="S3652" s="5">
        <v>0.7</v>
      </c>
      <c r="T3652" s="7">
        <v>2.7349999999999999</v>
      </c>
      <c r="U3652" s="5">
        <v>11.9</v>
      </c>
      <c r="V3652" s="6">
        <v>0.21</v>
      </c>
      <c r="W3652" s="6">
        <v>11.75</v>
      </c>
      <c r="X3652" s="5">
        <v>12.5</v>
      </c>
      <c r="Y3652" s="2"/>
      <c r="Z3652" s="4">
        <v>12</v>
      </c>
      <c r="AA3652" s="2"/>
      <c r="AB3652" s="2" t="s">
        <v>47</v>
      </c>
      <c r="AC3652" s="2"/>
    </row>
    <row r="3653" spans="1:29" ht="78" x14ac:dyDescent="0.15">
      <c r="A3653" s="3">
        <f t="shared" ref="A3653:A3658" si="57">DATE(1998,2,2)</f>
        <v>35828</v>
      </c>
      <c r="B3653" s="3">
        <f>DATE(1998,3,27)</f>
        <v>35881</v>
      </c>
      <c r="C3653" s="2" t="s">
        <v>95</v>
      </c>
      <c r="D3653" s="2" t="s">
        <v>11421</v>
      </c>
      <c r="E3653" s="2" t="s">
        <v>11422</v>
      </c>
      <c r="F3653" s="4">
        <v>7372</v>
      </c>
      <c r="G3653" s="2" t="s">
        <v>551</v>
      </c>
      <c r="H3653" s="2" t="s">
        <v>34</v>
      </c>
      <c r="I3653" s="2" t="s">
        <v>11423</v>
      </c>
      <c r="J3653" s="2" t="s">
        <v>11424</v>
      </c>
      <c r="K3653" s="2" t="s">
        <v>551</v>
      </c>
      <c r="L3653" s="2" t="s">
        <v>34</v>
      </c>
      <c r="M3653" s="12">
        <v>6476.1930000000002</v>
      </c>
      <c r="N3653" s="7">
        <v>70.625</v>
      </c>
      <c r="O3653" s="6">
        <v>70.25</v>
      </c>
      <c r="P3653" s="2" t="s">
        <v>11425</v>
      </c>
      <c r="Q3653" s="6">
        <v>100</v>
      </c>
      <c r="R3653" s="6">
        <v>45</v>
      </c>
      <c r="S3653" s="5">
        <v>9.1</v>
      </c>
      <c r="T3653" s="7">
        <v>14.055999999999999</v>
      </c>
      <c r="U3653" s="5">
        <v>2.9</v>
      </c>
      <c r="V3653" s="6">
        <v>1.44</v>
      </c>
      <c r="W3653" s="4">
        <v>34</v>
      </c>
      <c r="X3653" s="5">
        <v>36.5</v>
      </c>
      <c r="Y3653" s="7">
        <v>43.625</v>
      </c>
      <c r="Z3653" s="6">
        <v>43.75</v>
      </c>
      <c r="AA3653" s="6">
        <v>6.43</v>
      </c>
      <c r="AB3653" s="7">
        <v>21.93</v>
      </c>
      <c r="AC3653" s="6">
        <v>138.94999999999999</v>
      </c>
    </row>
    <row r="3654" spans="1:29" ht="117" x14ac:dyDescent="0.15">
      <c r="A3654" s="3">
        <f t="shared" si="57"/>
        <v>35828</v>
      </c>
      <c r="B3654" s="3">
        <f>DATE(1998,7,1)</f>
        <v>35977</v>
      </c>
      <c r="C3654" s="2" t="s">
        <v>95</v>
      </c>
      <c r="D3654" s="2" t="s">
        <v>11426</v>
      </c>
      <c r="E3654" s="2" t="s">
        <v>36</v>
      </c>
      <c r="F3654" s="4">
        <v>6799</v>
      </c>
      <c r="G3654" s="2" t="s">
        <v>53</v>
      </c>
      <c r="H3654" s="2" t="s">
        <v>34</v>
      </c>
      <c r="I3654" s="2" t="s">
        <v>2452</v>
      </c>
      <c r="J3654" s="2" t="s">
        <v>265</v>
      </c>
      <c r="K3654" s="2" t="s">
        <v>37</v>
      </c>
      <c r="L3654" s="2" t="s">
        <v>34</v>
      </c>
      <c r="M3654" s="7">
        <v>935.07100000000003</v>
      </c>
      <c r="N3654" s="7">
        <v>51.125</v>
      </c>
      <c r="O3654" s="7">
        <v>52.438000000000002</v>
      </c>
      <c r="P3654" s="2" t="s">
        <v>11427</v>
      </c>
      <c r="Q3654" s="6">
        <v>100</v>
      </c>
      <c r="R3654" s="6">
        <v>41.96</v>
      </c>
      <c r="S3654" s="5">
        <v>29.2</v>
      </c>
      <c r="T3654" s="7">
        <v>52.625999999999998</v>
      </c>
      <c r="U3654" s="5">
        <v>14.5</v>
      </c>
      <c r="V3654" s="7">
        <v>1.851</v>
      </c>
      <c r="W3654" s="7">
        <v>36.844000000000001</v>
      </c>
      <c r="X3654" s="4">
        <v>38</v>
      </c>
      <c r="Y3654" s="7">
        <v>41.625</v>
      </c>
      <c r="Z3654" s="6">
        <v>42.75</v>
      </c>
      <c r="AA3654" s="6">
        <v>15.72</v>
      </c>
      <c r="AB3654" s="7">
        <v>54.713000000000001</v>
      </c>
      <c r="AC3654" s="2"/>
    </row>
    <row r="3655" spans="1:29" ht="104" x14ac:dyDescent="0.15">
      <c r="A3655" s="3">
        <f t="shared" si="57"/>
        <v>35828</v>
      </c>
      <c r="B3655" s="2"/>
      <c r="C3655" s="2" t="s">
        <v>30</v>
      </c>
      <c r="D3655" s="2" t="s">
        <v>11428</v>
      </c>
      <c r="E3655" s="2" t="s">
        <v>159</v>
      </c>
      <c r="F3655" s="4">
        <v>6021</v>
      </c>
      <c r="G3655" s="2" t="s">
        <v>37</v>
      </c>
      <c r="H3655" s="2" t="s">
        <v>34</v>
      </c>
      <c r="I3655" s="2" t="s">
        <v>7199</v>
      </c>
      <c r="J3655" s="2" t="s">
        <v>36</v>
      </c>
      <c r="K3655" s="2" t="s">
        <v>37</v>
      </c>
      <c r="L3655" s="2" t="s">
        <v>34</v>
      </c>
      <c r="M3655" s="7">
        <v>52.073</v>
      </c>
      <c r="N3655" s="7">
        <v>17.875</v>
      </c>
      <c r="O3655" s="4">
        <v>18</v>
      </c>
      <c r="P3655" s="2" t="s">
        <v>11429</v>
      </c>
      <c r="Q3655" s="2"/>
      <c r="R3655" s="6">
        <v>23.8</v>
      </c>
      <c r="S3655" s="5">
        <v>0.7</v>
      </c>
      <c r="T3655" s="7">
        <v>0.96499999999999997</v>
      </c>
      <c r="U3655" s="5">
        <v>8</v>
      </c>
      <c r="V3655" s="9">
        <v>0.31640000000000001</v>
      </c>
      <c r="W3655" s="4">
        <v>15</v>
      </c>
      <c r="X3655" s="4">
        <v>21</v>
      </c>
      <c r="Y3655" s="4">
        <v>21</v>
      </c>
      <c r="Z3655" s="4">
        <v>21</v>
      </c>
      <c r="AA3655" s="6">
        <v>1.0900000000000001</v>
      </c>
      <c r="AB3655" s="7">
        <v>611.52</v>
      </c>
      <c r="AC3655" s="2"/>
    </row>
    <row r="3656" spans="1:29" ht="117" x14ac:dyDescent="0.15">
      <c r="A3656" s="3">
        <f t="shared" si="57"/>
        <v>35828</v>
      </c>
      <c r="B3656" s="3">
        <f>DATE(1998,3,31)</f>
        <v>35885</v>
      </c>
      <c r="C3656" s="2" t="s">
        <v>95</v>
      </c>
      <c r="D3656" s="2" t="s">
        <v>11070</v>
      </c>
      <c r="E3656" s="2" t="s">
        <v>11071</v>
      </c>
      <c r="F3656" s="4">
        <v>3621</v>
      </c>
      <c r="G3656" s="2" t="s">
        <v>137</v>
      </c>
      <c r="H3656" s="2" t="s">
        <v>34</v>
      </c>
      <c r="I3656" s="2" t="s">
        <v>315</v>
      </c>
      <c r="J3656" s="2" t="s">
        <v>316</v>
      </c>
      <c r="K3656" s="2" t="s">
        <v>226</v>
      </c>
      <c r="L3656" s="2" t="s">
        <v>34</v>
      </c>
      <c r="M3656" s="12">
        <v>3667.873</v>
      </c>
      <c r="N3656" s="4">
        <v>65</v>
      </c>
      <c r="O3656" s="6">
        <v>66.25</v>
      </c>
      <c r="P3656" s="2" t="s">
        <v>11430</v>
      </c>
      <c r="Q3656" s="6">
        <v>100</v>
      </c>
      <c r="R3656" s="6">
        <v>30.25</v>
      </c>
      <c r="S3656" s="5">
        <v>0.2</v>
      </c>
      <c r="T3656" s="7">
        <v>23.378</v>
      </c>
      <c r="U3656" s="5">
        <v>8.8000000000000007</v>
      </c>
      <c r="V3656" s="6">
        <v>0.01</v>
      </c>
      <c r="W3656" s="7">
        <v>24.812999999999999</v>
      </c>
      <c r="X3656" s="7">
        <v>25.125</v>
      </c>
      <c r="Y3656" s="7">
        <v>29.875</v>
      </c>
      <c r="Z3656" s="7">
        <v>29.937999999999999</v>
      </c>
      <c r="AA3656" s="6">
        <v>12.38</v>
      </c>
      <c r="AB3656" s="7">
        <v>40.456000000000003</v>
      </c>
      <c r="AC3656" s="6">
        <v>33.32</v>
      </c>
    </row>
    <row r="3657" spans="1:29" ht="143" x14ac:dyDescent="0.15">
      <c r="A3657" s="3">
        <f t="shared" si="57"/>
        <v>35828</v>
      </c>
      <c r="B3657" s="3">
        <f>DATE(1998,12,3)</f>
        <v>36132</v>
      </c>
      <c r="C3657" s="2" t="s">
        <v>95</v>
      </c>
      <c r="D3657" s="2" t="s">
        <v>11431</v>
      </c>
      <c r="E3657" s="2" t="s">
        <v>36</v>
      </c>
      <c r="F3657" s="4">
        <v>6022</v>
      </c>
      <c r="G3657" s="2" t="s">
        <v>37</v>
      </c>
      <c r="H3657" s="2" t="s">
        <v>34</v>
      </c>
      <c r="I3657" s="2" t="s">
        <v>11432</v>
      </c>
      <c r="J3657" s="2" t="s">
        <v>389</v>
      </c>
      <c r="K3657" s="2" t="s">
        <v>33</v>
      </c>
      <c r="L3657" s="2" t="s">
        <v>34</v>
      </c>
      <c r="M3657" s="2"/>
      <c r="N3657" s="2"/>
      <c r="O3657" s="2"/>
      <c r="P3657" s="2" t="s">
        <v>11433</v>
      </c>
      <c r="Q3657" s="6">
        <v>100</v>
      </c>
      <c r="R3657" s="6">
        <v>64</v>
      </c>
      <c r="S3657" s="5">
        <v>4.9000000000000004</v>
      </c>
      <c r="T3657" s="7">
        <v>7.5170000000000003</v>
      </c>
      <c r="U3657" s="5">
        <v>21.6</v>
      </c>
      <c r="V3657" s="6">
        <v>2.4500000000000002</v>
      </c>
      <c r="W3657" s="4">
        <v>43</v>
      </c>
      <c r="X3657" s="5">
        <v>43.5</v>
      </c>
      <c r="Y3657" s="6">
        <v>50.25</v>
      </c>
      <c r="Z3657" s="5">
        <v>50.5</v>
      </c>
      <c r="AA3657" s="6">
        <v>1.92</v>
      </c>
      <c r="AB3657" s="7">
        <v>24.315000000000001</v>
      </c>
      <c r="AC3657" s="2"/>
    </row>
    <row r="3658" spans="1:29" ht="143" x14ac:dyDescent="0.15">
      <c r="A3658" s="3">
        <f t="shared" si="57"/>
        <v>35828</v>
      </c>
      <c r="B3658" s="3">
        <f>DATE(1998,4,20)</f>
        <v>35905</v>
      </c>
      <c r="C3658" s="2" t="s">
        <v>95</v>
      </c>
      <c r="D3658" s="2" t="s">
        <v>11434</v>
      </c>
      <c r="E3658" s="2" t="s">
        <v>11435</v>
      </c>
      <c r="F3658" s="4">
        <v>7363</v>
      </c>
      <c r="G3658" s="2" t="s">
        <v>223</v>
      </c>
      <c r="H3658" s="2" t="s">
        <v>34</v>
      </c>
      <c r="I3658" s="2" t="s">
        <v>11436</v>
      </c>
      <c r="J3658" s="2" t="s">
        <v>11437</v>
      </c>
      <c r="K3658" s="2" t="s">
        <v>223</v>
      </c>
      <c r="L3658" s="2" t="s">
        <v>34</v>
      </c>
      <c r="M3658" s="7">
        <v>603.55399999999997</v>
      </c>
      <c r="N3658" s="9">
        <v>21.1875</v>
      </c>
      <c r="O3658" s="7">
        <v>21.125</v>
      </c>
      <c r="P3658" s="2" t="s">
        <v>11438</v>
      </c>
      <c r="Q3658" s="6">
        <v>100</v>
      </c>
      <c r="R3658" s="6">
        <v>31.93</v>
      </c>
      <c r="S3658" s="5">
        <v>10.5</v>
      </c>
      <c r="T3658" s="7">
        <v>20.382000000000001</v>
      </c>
      <c r="U3658" s="5">
        <v>4.3</v>
      </c>
      <c r="V3658" s="6">
        <v>0.75</v>
      </c>
      <c r="W3658" s="7">
        <v>20.375</v>
      </c>
      <c r="X3658" s="7">
        <v>21.125</v>
      </c>
      <c r="Y3658" s="7">
        <v>24.125</v>
      </c>
      <c r="Z3658" s="7">
        <v>24.375</v>
      </c>
      <c r="AA3658" s="6">
        <v>13.74</v>
      </c>
      <c r="AB3658" s="7">
        <v>24.073</v>
      </c>
      <c r="AC3658" s="2"/>
    </row>
    <row r="3659" spans="1:29" ht="52" x14ac:dyDescent="0.15">
      <c r="A3659" s="3">
        <f>DATE(1998,2,4)</f>
        <v>35830</v>
      </c>
      <c r="B3659" s="3">
        <f>DATE(1998,3,20)</f>
        <v>35874</v>
      </c>
      <c r="C3659" s="2" t="s">
        <v>95</v>
      </c>
      <c r="D3659" s="2" t="s">
        <v>11439</v>
      </c>
      <c r="E3659" s="2" t="s">
        <v>11440</v>
      </c>
      <c r="F3659" s="4">
        <v>3589</v>
      </c>
      <c r="G3659" s="2" t="s">
        <v>300</v>
      </c>
      <c r="H3659" s="2" t="s">
        <v>34</v>
      </c>
      <c r="I3659" s="2" t="s">
        <v>11441</v>
      </c>
      <c r="J3659" s="2" t="s">
        <v>302</v>
      </c>
      <c r="K3659" s="2" t="s">
        <v>53</v>
      </c>
      <c r="L3659" s="2" t="s">
        <v>34</v>
      </c>
      <c r="M3659" s="2"/>
      <c r="N3659" s="2"/>
      <c r="O3659" s="2"/>
      <c r="P3659" s="2" t="s">
        <v>11442</v>
      </c>
      <c r="Q3659" s="6">
        <v>79.02</v>
      </c>
      <c r="R3659" s="6">
        <v>11</v>
      </c>
      <c r="S3659" s="5">
        <v>-1.2</v>
      </c>
      <c r="T3659" s="6">
        <v>-0.89</v>
      </c>
      <c r="U3659" s="5">
        <v>13.7</v>
      </c>
      <c r="V3659" s="6">
        <v>-0.41</v>
      </c>
      <c r="W3659" s="5">
        <v>10.5</v>
      </c>
      <c r="X3659" s="5">
        <v>10.5</v>
      </c>
      <c r="Y3659" s="5">
        <v>10.5</v>
      </c>
      <c r="Z3659" s="7">
        <v>10.375</v>
      </c>
      <c r="AA3659" s="6">
        <v>2.98</v>
      </c>
      <c r="AB3659" s="2" t="s">
        <v>86</v>
      </c>
      <c r="AC3659" s="2"/>
    </row>
    <row r="3660" spans="1:29" ht="156" x14ac:dyDescent="0.15">
      <c r="A3660" s="3">
        <f>DATE(1998,2,4)</f>
        <v>35830</v>
      </c>
      <c r="B3660" s="3">
        <f>DATE(1999,3,15)</f>
        <v>36234</v>
      </c>
      <c r="C3660" s="2" t="s">
        <v>95</v>
      </c>
      <c r="D3660" s="2" t="s">
        <v>11443</v>
      </c>
      <c r="E3660" s="2" t="s">
        <v>11444</v>
      </c>
      <c r="F3660" s="4">
        <v>4833</v>
      </c>
      <c r="G3660" s="2" t="s">
        <v>45</v>
      </c>
      <c r="H3660" s="2" t="s">
        <v>34</v>
      </c>
      <c r="I3660" s="2" t="s">
        <v>11445</v>
      </c>
      <c r="J3660" s="2" t="s">
        <v>417</v>
      </c>
      <c r="K3660" s="2" t="s">
        <v>186</v>
      </c>
      <c r="L3660" s="2" t="s">
        <v>34</v>
      </c>
      <c r="M3660" s="2"/>
      <c r="N3660" s="6">
        <v>14.75</v>
      </c>
      <c r="O3660" s="4">
        <v>15</v>
      </c>
      <c r="P3660" s="2" t="s">
        <v>11446</v>
      </c>
      <c r="Q3660" s="6">
        <v>100</v>
      </c>
      <c r="R3660" s="6">
        <v>6.25</v>
      </c>
      <c r="S3660" s="5">
        <v>2.2999999999999998</v>
      </c>
      <c r="T3660" s="6">
        <v>10.01</v>
      </c>
      <c r="U3660" s="5">
        <v>0.9</v>
      </c>
      <c r="V3660" s="7">
        <v>0.188</v>
      </c>
      <c r="W3660" s="7">
        <v>5.3129999999999997</v>
      </c>
      <c r="X3660" s="7">
        <v>5.3129999999999997</v>
      </c>
      <c r="Y3660" s="7">
        <v>5.625</v>
      </c>
      <c r="Z3660" s="7">
        <v>5.625</v>
      </c>
      <c r="AA3660" s="6">
        <v>11.34</v>
      </c>
      <c r="AB3660" s="7">
        <v>39.652000000000001</v>
      </c>
      <c r="AC3660" s="6">
        <v>1.3</v>
      </c>
    </row>
    <row r="3661" spans="1:29" ht="91" x14ac:dyDescent="0.15">
      <c r="A3661" s="3">
        <f>DATE(1998,2,4)</f>
        <v>35830</v>
      </c>
      <c r="B3661" s="3">
        <f>DATE(1998,2,4)</f>
        <v>35830</v>
      </c>
      <c r="C3661" s="2" t="s">
        <v>95</v>
      </c>
      <c r="D3661" s="2" t="s">
        <v>11447</v>
      </c>
      <c r="E3661" s="2" t="s">
        <v>11448</v>
      </c>
      <c r="F3661" s="4">
        <v>3339</v>
      </c>
      <c r="G3661" s="2" t="s">
        <v>163</v>
      </c>
      <c r="H3661" s="2" t="s">
        <v>34</v>
      </c>
      <c r="I3661" s="2" t="s">
        <v>51</v>
      </c>
      <c r="J3661" s="2" t="s">
        <v>52</v>
      </c>
      <c r="K3661" s="2" t="s">
        <v>53</v>
      </c>
      <c r="L3661" s="2" t="s">
        <v>34</v>
      </c>
      <c r="M3661" s="2"/>
      <c r="N3661" s="2"/>
      <c r="O3661" s="2"/>
      <c r="P3661" s="2" t="s">
        <v>11449</v>
      </c>
      <c r="Q3661" s="6">
        <v>1.54</v>
      </c>
      <c r="R3661" s="6">
        <v>54</v>
      </c>
      <c r="S3661" s="5">
        <v>5.4</v>
      </c>
      <c r="T3661" s="7">
        <v>8.4440000000000008</v>
      </c>
      <c r="U3661" s="5">
        <v>11.3</v>
      </c>
      <c r="V3661" s="6">
        <v>0.73</v>
      </c>
      <c r="W3661" s="5">
        <v>56.5</v>
      </c>
      <c r="X3661" s="7">
        <v>57.688000000000002</v>
      </c>
      <c r="Y3661" s="7">
        <v>58.125</v>
      </c>
      <c r="Z3661" s="7">
        <v>59.375</v>
      </c>
      <c r="AA3661" s="6">
        <v>6.77</v>
      </c>
      <c r="AB3661" s="2" t="s">
        <v>86</v>
      </c>
      <c r="AC3661" s="2"/>
    </row>
    <row r="3662" spans="1:29" ht="130" x14ac:dyDescent="0.15">
      <c r="A3662" s="3">
        <f>DATE(1998,2,4)</f>
        <v>35830</v>
      </c>
      <c r="B3662" s="3">
        <f>DATE(1998,6,9)</f>
        <v>35955</v>
      </c>
      <c r="C3662" s="2" t="s">
        <v>95</v>
      </c>
      <c r="D3662" s="2" t="s">
        <v>11450</v>
      </c>
      <c r="E3662" s="2" t="s">
        <v>11451</v>
      </c>
      <c r="F3662" s="4">
        <v>4822</v>
      </c>
      <c r="G3662" s="2" t="s">
        <v>63</v>
      </c>
      <c r="H3662" s="2" t="s">
        <v>34</v>
      </c>
      <c r="I3662" s="2" t="s">
        <v>11452</v>
      </c>
      <c r="J3662" s="2" t="s">
        <v>973</v>
      </c>
      <c r="K3662" s="2" t="s">
        <v>63</v>
      </c>
      <c r="L3662" s="2" t="s">
        <v>34</v>
      </c>
      <c r="M3662" s="6">
        <v>293.24</v>
      </c>
      <c r="N3662" s="6">
        <v>20.75</v>
      </c>
      <c r="O3662" s="7">
        <v>23.687999999999999</v>
      </c>
      <c r="P3662" s="2" t="s">
        <v>11453</v>
      </c>
      <c r="Q3662" s="6">
        <v>100</v>
      </c>
      <c r="R3662" s="6">
        <v>10.8</v>
      </c>
      <c r="S3662" s="5">
        <v>-10.9</v>
      </c>
      <c r="T3662" s="6">
        <v>-3.11</v>
      </c>
      <c r="U3662" s="5">
        <v>4.9000000000000004</v>
      </c>
      <c r="V3662" s="6">
        <v>-0.91</v>
      </c>
      <c r="W3662" s="6">
        <v>8.25</v>
      </c>
      <c r="X3662" s="7">
        <v>8.625</v>
      </c>
      <c r="Y3662" s="4">
        <v>9</v>
      </c>
      <c r="Z3662" s="7">
        <v>8.9380000000000006</v>
      </c>
      <c r="AA3662" s="6">
        <v>11.99</v>
      </c>
      <c r="AB3662" s="2" t="s">
        <v>86</v>
      </c>
      <c r="AC3662" s="6">
        <v>138.01</v>
      </c>
    </row>
    <row r="3663" spans="1:29" ht="182" x14ac:dyDescent="0.15">
      <c r="A3663" s="3">
        <f>DATE(1998,2,5)</f>
        <v>35831</v>
      </c>
      <c r="B3663" s="3">
        <f>DATE(1998,9,11)</f>
        <v>36049</v>
      </c>
      <c r="C3663" s="2" t="s">
        <v>95</v>
      </c>
      <c r="D3663" s="2" t="s">
        <v>10345</v>
      </c>
      <c r="E3663" s="2" t="s">
        <v>10346</v>
      </c>
      <c r="F3663" s="4">
        <v>6035</v>
      </c>
      <c r="G3663" s="2" t="s">
        <v>33</v>
      </c>
      <c r="H3663" s="2" t="s">
        <v>34</v>
      </c>
      <c r="I3663" s="2" t="s">
        <v>11454</v>
      </c>
      <c r="J3663" s="2" t="s">
        <v>36</v>
      </c>
      <c r="K3663" s="2" t="s">
        <v>37</v>
      </c>
      <c r="L3663" s="2" t="s">
        <v>34</v>
      </c>
      <c r="M3663" s="2"/>
      <c r="N3663" s="2"/>
      <c r="O3663" s="2"/>
      <c r="P3663" s="2" t="s">
        <v>11455</v>
      </c>
      <c r="Q3663" s="6">
        <v>100</v>
      </c>
      <c r="R3663" s="2"/>
      <c r="S3663" s="5">
        <v>104.6</v>
      </c>
      <c r="T3663" s="7">
        <v>246.24600000000001</v>
      </c>
      <c r="U3663" s="5">
        <v>21.1</v>
      </c>
      <c r="V3663" s="7">
        <v>1.8180000000000001</v>
      </c>
      <c r="W3663" s="6">
        <v>32.25</v>
      </c>
      <c r="X3663" s="6">
        <v>35.75</v>
      </c>
      <c r="Y3663" s="4">
        <v>38</v>
      </c>
      <c r="Z3663" s="6">
        <v>36.75</v>
      </c>
      <c r="AA3663" s="6">
        <v>50.46</v>
      </c>
      <c r="AB3663" s="7">
        <v>58.393000000000001</v>
      </c>
      <c r="AC3663" s="2"/>
    </row>
    <row r="3664" spans="1:29" ht="39" x14ac:dyDescent="0.15">
      <c r="A3664" s="3">
        <f>DATE(1998,2,6)</f>
        <v>35832</v>
      </c>
      <c r="B3664" s="2"/>
      <c r="C3664" s="2" t="s">
        <v>189</v>
      </c>
      <c r="D3664" s="2" t="s">
        <v>11456</v>
      </c>
      <c r="E3664" s="2" t="s">
        <v>11457</v>
      </c>
      <c r="F3664" s="4">
        <v>7999</v>
      </c>
      <c r="G3664" s="2" t="s">
        <v>364</v>
      </c>
      <c r="H3664" s="2" t="s">
        <v>34</v>
      </c>
      <c r="I3664" s="2" t="s">
        <v>143</v>
      </c>
      <c r="J3664" s="2" t="s">
        <v>144</v>
      </c>
      <c r="K3664" s="2" t="s">
        <v>53</v>
      </c>
      <c r="L3664" s="2" t="s">
        <v>139</v>
      </c>
      <c r="M3664" s="2"/>
      <c r="N3664" s="2"/>
      <c r="O3664" s="2"/>
      <c r="P3664" s="2" t="s">
        <v>11458</v>
      </c>
      <c r="Q3664" s="2"/>
      <c r="R3664" s="2"/>
      <c r="S3664" s="5">
        <v>-42.1</v>
      </c>
      <c r="T3664" s="7">
        <v>236.90100000000001</v>
      </c>
      <c r="U3664" s="5">
        <v>14.6</v>
      </c>
      <c r="V3664" s="6">
        <v>-1.85</v>
      </c>
      <c r="W3664" s="7">
        <v>9.125</v>
      </c>
      <c r="X3664" s="7">
        <v>9.3130000000000006</v>
      </c>
      <c r="Y3664" s="9">
        <v>11.0625</v>
      </c>
      <c r="Z3664" s="6">
        <v>11.75</v>
      </c>
      <c r="AA3664" s="2"/>
      <c r="AB3664" s="2" t="s">
        <v>47</v>
      </c>
      <c r="AC3664" s="2"/>
    </row>
    <row r="3665" spans="1:29" ht="130" x14ac:dyDescent="0.15">
      <c r="A3665" s="3">
        <f t="shared" ref="A3665:A3670" si="58">DATE(1998,2,9)</f>
        <v>35835</v>
      </c>
      <c r="B3665" s="3">
        <f>DATE(1998,6,2)</f>
        <v>35948</v>
      </c>
      <c r="C3665" s="2" t="s">
        <v>95</v>
      </c>
      <c r="D3665" s="2" t="s">
        <v>11459</v>
      </c>
      <c r="E3665" s="2" t="s">
        <v>1663</v>
      </c>
      <c r="F3665" s="4">
        <v>1041</v>
      </c>
      <c r="G3665" s="2" t="s">
        <v>166</v>
      </c>
      <c r="H3665" s="2" t="s">
        <v>34</v>
      </c>
      <c r="I3665" s="2" t="s">
        <v>11460</v>
      </c>
      <c r="J3665" s="2" t="s">
        <v>277</v>
      </c>
      <c r="K3665" s="2" t="s">
        <v>166</v>
      </c>
      <c r="L3665" s="2" t="s">
        <v>902</v>
      </c>
      <c r="M3665" s="2"/>
      <c r="N3665" s="2"/>
      <c r="O3665" s="2"/>
      <c r="P3665" s="2" t="s">
        <v>11461</v>
      </c>
      <c r="Q3665" s="6">
        <v>100</v>
      </c>
      <c r="R3665" s="6">
        <v>2.9</v>
      </c>
      <c r="S3665" s="5">
        <v>-37.9</v>
      </c>
      <c r="T3665" s="5">
        <v>90.3</v>
      </c>
      <c r="U3665" s="5">
        <v>2.4</v>
      </c>
      <c r="V3665" s="6">
        <v>-0.41</v>
      </c>
      <c r="W3665" s="7">
        <v>2.9380000000000002</v>
      </c>
      <c r="X3665" s="7">
        <v>3.1880000000000002</v>
      </c>
      <c r="Y3665" s="7">
        <v>3.3130000000000002</v>
      </c>
      <c r="Z3665" s="7">
        <v>2.9380000000000002</v>
      </c>
      <c r="AA3665" s="6">
        <v>114.87</v>
      </c>
      <c r="AB3665" s="7">
        <v>446.37200000000001</v>
      </c>
      <c r="AC3665" s="6">
        <v>209.01</v>
      </c>
    </row>
    <row r="3666" spans="1:29" ht="104" x14ac:dyDescent="0.15">
      <c r="A3666" s="3">
        <f t="shared" si="58"/>
        <v>35835</v>
      </c>
      <c r="B3666" s="3">
        <f>DATE(1998,6,18)</f>
        <v>35964</v>
      </c>
      <c r="C3666" s="2" t="s">
        <v>95</v>
      </c>
      <c r="D3666" s="2" t="s">
        <v>11462</v>
      </c>
      <c r="E3666" s="2" t="s">
        <v>3231</v>
      </c>
      <c r="F3666" s="4">
        <v>4953</v>
      </c>
      <c r="G3666" s="2" t="s">
        <v>116</v>
      </c>
      <c r="H3666" s="2" t="s">
        <v>34</v>
      </c>
      <c r="I3666" s="2" t="s">
        <v>5555</v>
      </c>
      <c r="J3666" s="2" t="s">
        <v>5556</v>
      </c>
      <c r="K3666" s="2" t="s">
        <v>116</v>
      </c>
      <c r="L3666" s="2" t="s">
        <v>34</v>
      </c>
      <c r="M3666" s="10">
        <v>7797.96</v>
      </c>
      <c r="N3666" s="6">
        <v>34.75</v>
      </c>
      <c r="O3666" s="7">
        <v>34.938000000000002</v>
      </c>
      <c r="P3666" s="2" t="s">
        <v>11463</v>
      </c>
      <c r="Q3666" s="6">
        <v>100</v>
      </c>
      <c r="R3666" s="6">
        <v>4</v>
      </c>
      <c r="S3666" s="5">
        <v>1.9</v>
      </c>
      <c r="T3666" s="7">
        <v>9.7750000000000004</v>
      </c>
      <c r="U3666" s="5">
        <v>2.4</v>
      </c>
      <c r="V3666" s="6">
        <v>0.06</v>
      </c>
      <c r="W3666" s="7">
        <v>1.5629999999999999</v>
      </c>
      <c r="X3666" s="4">
        <v>2</v>
      </c>
      <c r="Y3666" s="7">
        <v>3.625</v>
      </c>
      <c r="Z3666" s="6">
        <v>3.75</v>
      </c>
      <c r="AA3666" s="6">
        <v>30.43</v>
      </c>
      <c r="AB3666" s="7">
        <v>63.456000000000003</v>
      </c>
      <c r="AC3666" s="6">
        <v>51.24</v>
      </c>
    </row>
    <row r="3667" spans="1:29" ht="130" x14ac:dyDescent="0.15">
      <c r="A3667" s="3">
        <f t="shared" si="58"/>
        <v>35835</v>
      </c>
      <c r="B3667" s="3">
        <f>DATE(1998,3,31)</f>
        <v>35885</v>
      </c>
      <c r="C3667" s="2" t="s">
        <v>95</v>
      </c>
      <c r="D3667" s="2" t="s">
        <v>11464</v>
      </c>
      <c r="E3667" s="2" t="s">
        <v>11465</v>
      </c>
      <c r="F3667" s="4">
        <v>5912</v>
      </c>
      <c r="G3667" s="2" t="s">
        <v>73</v>
      </c>
      <c r="H3667" s="2" t="s">
        <v>34</v>
      </c>
      <c r="I3667" s="2" t="s">
        <v>9200</v>
      </c>
      <c r="J3667" s="2" t="s">
        <v>9201</v>
      </c>
      <c r="K3667" s="2" t="s">
        <v>73</v>
      </c>
      <c r="L3667" s="2" t="s">
        <v>34</v>
      </c>
      <c r="M3667" s="12">
        <v>10849.031000000001</v>
      </c>
      <c r="N3667" s="7">
        <v>70.063000000000002</v>
      </c>
      <c r="O3667" s="7">
        <v>70.438000000000002</v>
      </c>
      <c r="P3667" s="2" t="s">
        <v>11466</v>
      </c>
      <c r="Q3667" s="6">
        <v>100</v>
      </c>
      <c r="R3667" s="6">
        <v>23.11</v>
      </c>
      <c r="S3667" s="5">
        <v>34.4</v>
      </c>
      <c r="T3667" s="7">
        <v>68.534999999999997</v>
      </c>
      <c r="U3667" s="5">
        <v>3.8</v>
      </c>
      <c r="V3667" s="6">
        <v>0.57999999999999996</v>
      </c>
      <c r="W3667" s="6">
        <v>20.25</v>
      </c>
      <c r="X3667" s="7">
        <v>22.687999999999999</v>
      </c>
      <c r="Y3667" s="7">
        <v>22.812999999999999</v>
      </c>
      <c r="Z3667" s="7">
        <v>22.937999999999999</v>
      </c>
      <c r="AA3667" s="6">
        <v>59.26</v>
      </c>
      <c r="AB3667" s="7">
        <v>27.759</v>
      </c>
      <c r="AC3667" s="5">
        <v>168.5</v>
      </c>
    </row>
    <row r="3668" spans="1:29" ht="143" x14ac:dyDescent="0.15">
      <c r="A3668" s="3">
        <f t="shared" si="58"/>
        <v>35835</v>
      </c>
      <c r="B3668" s="3">
        <f>DATE(1998,6,15)</f>
        <v>35961</v>
      </c>
      <c r="C3668" s="2" t="s">
        <v>95</v>
      </c>
      <c r="D3668" s="2" t="s">
        <v>11467</v>
      </c>
      <c r="E3668" s="2" t="s">
        <v>11468</v>
      </c>
      <c r="F3668" s="4">
        <v>3589</v>
      </c>
      <c r="G3668" s="2" t="s">
        <v>300</v>
      </c>
      <c r="H3668" s="2" t="s">
        <v>34</v>
      </c>
      <c r="I3668" s="2" t="s">
        <v>7934</v>
      </c>
      <c r="J3668" s="2" t="s">
        <v>7935</v>
      </c>
      <c r="K3668" s="2" t="s">
        <v>300</v>
      </c>
      <c r="L3668" s="2" t="s">
        <v>34</v>
      </c>
      <c r="M3668" s="12">
        <v>2766.4169999999999</v>
      </c>
      <c r="N3668" s="7">
        <v>34.563000000000002</v>
      </c>
      <c r="O3668" s="7">
        <v>31.562999999999999</v>
      </c>
      <c r="P3668" s="2" t="s">
        <v>11469</v>
      </c>
      <c r="Q3668" s="6">
        <v>100</v>
      </c>
      <c r="R3668" s="6">
        <v>59.45</v>
      </c>
      <c r="S3668" s="5">
        <v>-5.2</v>
      </c>
      <c r="T3668" s="7">
        <v>85.247</v>
      </c>
      <c r="U3668" s="5">
        <v>11.5</v>
      </c>
      <c r="V3668" s="6">
        <v>-0.22</v>
      </c>
      <c r="W3668" s="5">
        <v>36.5</v>
      </c>
      <c r="X3668" s="6">
        <v>37.75</v>
      </c>
      <c r="Y3668" s="7">
        <v>38.875</v>
      </c>
      <c r="Z3668" s="4">
        <v>54</v>
      </c>
      <c r="AA3668" s="6">
        <v>24.15</v>
      </c>
      <c r="AB3668" s="7">
        <v>29.817</v>
      </c>
      <c r="AC3668" s="5">
        <v>128.4</v>
      </c>
    </row>
    <row r="3669" spans="1:29" ht="221" x14ac:dyDescent="0.15">
      <c r="A3669" s="3">
        <f t="shared" si="58"/>
        <v>35835</v>
      </c>
      <c r="B3669" s="3">
        <f>DATE(1998,6,30)</f>
        <v>35976</v>
      </c>
      <c r="C3669" s="2" t="s">
        <v>95</v>
      </c>
      <c r="D3669" s="2" t="s">
        <v>11470</v>
      </c>
      <c r="E3669" s="2" t="s">
        <v>32</v>
      </c>
      <c r="F3669" s="4">
        <v>6035</v>
      </c>
      <c r="G3669" s="2" t="s">
        <v>33</v>
      </c>
      <c r="H3669" s="2" t="s">
        <v>34</v>
      </c>
      <c r="I3669" s="2" t="s">
        <v>11471</v>
      </c>
      <c r="J3669" s="2" t="s">
        <v>1181</v>
      </c>
      <c r="K3669" s="2" t="s">
        <v>37</v>
      </c>
      <c r="L3669" s="2" t="s">
        <v>34</v>
      </c>
      <c r="M3669" s="7">
        <v>216.95699999999999</v>
      </c>
      <c r="N3669" s="6">
        <v>39.75</v>
      </c>
      <c r="O3669" s="4">
        <v>40</v>
      </c>
      <c r="P3669" s="2" t="s">
        <v>11472</v>
      </c>
      <c r="Q3669" s="6">
        <v>100</v>
      </c>
      <c r="R3669" s="2"/>
      <c r="S3669" s="5">
        <v>4.7</v>
      </c>
      <c r="T3669" s="7">
        <v>7.641</v>
      </c>
      <c r="U3669" s="5">
        <v>22.5</v>
      </c>
      <c r="V3669" s="7">
        <v>2.2320000000000002</v>
      </c>
      <c r="W3669" s="6">
        <v>40.25</v>
      </c>
      <c r="X3669" s="5">
        <v>38.5</v>
      </c>
      <c r="Y3669" s="6">
        <v>43.25</v>
      </c>
      <c r="Z3669" s="5">
        <v>42.5</v>
      </c>
      <c r="AA3669" s="6">
        <v>2.0699999999999998</v>
      </c>
      <c r="AB3669" s="7">
        <v>50.487000000000002</v>
      </c>
      <c r="AC3669" s="2"/>
    </row>
    <row r="3670" spans="1:29" ht="91" x14ac:dyDescent="0.15">
      <c r="A3670" s="3">
        <f t="shared" si="58"/>
        <v>35835</v>
      </c>
      <c r="B3670" s="3">
        <f>DATE(1998,4,16)</f>
        <v>35901</v>
      </c>
      <c r="C3670" s="2" t="s">
        <v>95</v>
      </c>
      <c r="D3670" s="2" t="s">
        <v>11473</v>
      </c>
      <c r="E3670" s="2" t="s">
        <v>11474</v>
      </c>
      <c r="F3670" s="4">
        <v>8051</v>
      </c>
      <c r="G3670" s="2" t="s">
        <v>454</v>
      </c>
      <c r="H3670" s="2" t="s">
        <v>34</v>
      </c>
      <c r="I3670" s="2" t="s">
        <v>11475</v>
      </c>
      <c r="J3670" s="2" t="s">
        <v>6906</v>
      </c>
      <c r="K3670" s="2" t="s">
        <v>454</v>
      </c>
      <c r="L3670" s="2" t="s">
        <v>34</v>
      </c>
      <c r="M3670" s="2"/>
      <c r="N3670" s="2"/>
      <c r="O3670" s="2"/>
      <c r="P3670" s="2" t="s">
        <v>11476</v>
      </c>
      <c r="Q3670" s="6">
        <v>100</v>
      </c>
      <c r="R3670" s="6">
        <v>21</v>
      </c>
      <c r="S3670" s="5">
        <v>0.1</v>
      </c>
      <c r="T3670" s="7">
        <v>15.554</v>
      </c>
      <c r="U3670" s="5">
        <v>12</v>
      </c>
      <c r="V3670" s="6">
        <v>0.01</v>
      </c>
      <c r="W3670" s="4">
        <v>16</v>
      </c>
      <c r="X3670" s="7">
        <v>18.375</v>
      </c>
      <c r="Y3670" s="7">
        <v>20.437999999999999</v>
      </c>
      <c r="Z3670" s="7">
        <v>20.437999999999999</v>
      </c>
      <c r="AA3670" s="6">
        <v>6.78</v>
      </c>
      <c r="AB3670" s="7">
        <v>32.747</v>
      </c>
      <c r="AC3670" s="2"/>
    </row>
    <row r="3671" spans="1:29" ht="39" x14ac:dyDescent="0.15">
      <c r="A3671" s="3">
        <f>DATE(1998,2,10)</f>
        <v>35836</v>
      </c>
      <c r="B3671" s="2"/>
      <c r="C3671" s="2" t="s">
        <v>87</v>
      </c>
      <c r="D3671" s="2" t="s">
        <v>5268</v>
      </c>
      <c r="E3671" s="2" t="s">
        <v>5269</v>
      </c>
      <c r="F3671" s="4">
        <v>3841</v>
      </c>
      <c r="G3671" s="2" t="s">
        <v>226</v>
      </c>
      <c r="H3671" s="2" t="s">
        <v>34</v>
      </c>
      <c r="I3671" s="2" t="s">
        <v>769</v>
      </c>
      <c r="J3671" s="2" t="s">
        <v>770</v>
      </c>
      <c r="K3671" s="2" t="s">
        <v>226</v>
      </c>
      <c r="L3671" s="2" t="s">
        <v>34</v>
      </c>
      <c r="M3671" s="12">
        <v>21705.722000000002</v>
      </c>
      <c r="N3671" s="5">
        <v>54.5</v>
      </c>
      <c r="O3671" s="7">
        <v>57.688000000000002</v>
      </c>
      <c r="P3671" s="2" t="s">
        <v>11477</v>
      </c>
      <c r="Q3671" s="2"/>
      <c r="R3671" s="2"/>
      <c r="S3671" s="5">
        <v>160.4</v>
      </c>
      <c r="T3671" s="6">
        <v>584.04999999999995</v>
      </c>
      <c r="U3671" s="5">
        <v>1.2</v>
      </c>
      <c r="V3671" s="6">
        <v>0.2</v>
      </c>
      <c r="W3671" s="7">
        <v>51.375</v>
      </c>
      <c r="X3671" s="7">
        <v>56.813000000000002</v>
      </c>
      <c r="Y3671" s="4">
        <v>58</v>
      </c>
      <c r="Z3671" s="9">
        <v>58.4375</v>
      </c>
      <c r="AA3671" s="6">
        <v>194.62</v>
      </c>
      <c r="AB3671" s="2" t="s">
        <v>47</v>
      </c>
      <c r="AC3671" s="6">
        <v>250.57</v>
      </c>
    </row>
    <row r="3672" spans="1:29" ht="143" x14ac:dyDescent="0.15">
      <c r="A3672" s="3">
        <f>DATE(1998,2,10)</f>
        <v>35836</v>
      </c>
      <c r="B3672" s="2"/>
      <c r="C3672" s="2" t="s">
        <v>30</v>
      </c>
      <c r="D3672" s="2" t="s">
        <v>7836</v>
      </c>
      <c r="E3672" s="2" t="s">
        <v>7837</v>
      </c>
      <c r="F3672" s="4">
        <v>7373</v>
      </c>
      <c r="G3672" s="2" t="s">
        <v>223</v>
      </c>
      <c r="H3672" s="2" t="s">
        <v>34</v>
      </c>
      <c r="I3672" s="2" t="s">
        <v>2244</v>
      </c>
      <c r="J3672" s="2" t="s">
        <v>2245</v>
      </c>
      <c r="K3672" s="2" t="s">
        <v>551</v>
      </c>
      <c r="L3672" s="2" t="s">
        <v>34</v>
      </c>
      <c r="M3672" s="12">
        <v>27643.758999999998</v>
      </c>
      <c r="N3672" s="7">
        <v>58.063000000000002</v>
      </c>
      <c r="O3672" s="6">
        <v>50.75</v>
      </c>
      <c r="P3672" s="2" t="s">
        <v>11478</v>
      </c>
      <c r="Q3672" s="2"/>
      <c r="R3672" s="6">
        <v>108</v>
      </c>
      <c r="S3672" s="5">
        <v>192.4</v>
      </c>
      <c r="T3672" s="7">
        <v>717.76199999999994</v>
      </c>
      <c r="U3672" s="5">
        <v>10.9</v>
      </c>
      <c r="V3672" s="6">
        <v>1.23</v>
      </c>
      <c r="W3672" s="7">
        <v>87.063000000000002</v>
      </c>
      <c r="X3672" s="5">
        <v>88.5</v>
      </c>
      <c r="Y3672" s="9">
        <v>92.1875</v>
      </c>
      <c r="Z3672" s="7">
        <v>103.875</v>
      </c>
      <c r="AA3672" s="6">
        <v>77.95</v>
      </c>
      <c r="AB3672" s="7">
        <v>45.612000000000002</v>
      </c>
      <c r="AC3672" s="2"/>
    </row>
    <row r="3673" spans="1:29" ht="221" x14ac:dyDescent="0.15">
      <c r="A3673" s="3">
        <f>DATE(1998,2,10)</f>
        <v>35836</v>
      </c>
      <c r="B3673" s="3">
        <f>DATE(1998,6,4)</f>
        <v>35950</v>
      </c>
      <c r="C3673" s="2" t="s">
        <v>95</v>
      </c>
      <c r="D3673" s="2" t="s">
        <v>1497</v>
      </c>
      <c r="E3673" s="2" t="s">
        <v>1498</v>
      </c>
      <c r="F3673" s="4">
        <v>4011</v>
      </c>
      <c r="G3673" s="2" t="s">
        <v>173</v>
      </c>
      <c r="H3673" s="2" t="s">
        <v>34</v>
      </c>
      <c r="I3673" s="2" t="s">
        <v>11479</v>
      </c>
      <c r="J3673" s="2" t="s">
        <v>11480</v>
      </c>
      <c r="K3673" s="2" t="s">
        <v>173</v>
      </c>
      <c r="L3673" s="2" t="s">
        <v>902</v>
      </c>
      <c r="M3673" s="2"/>
      <c r="N3673" s="2"/>
      <c r="O3673" s="2"/>
      <c r="P3673" s="2" t="s">
        <v>11481</v>
      </c>
      <c r="Q3673" s="6">
        <v>100</v>
      </c>
      <c r="R3673" s="6">
        <v>39</v>
      </c>
      <c r="S3673" s="5">
        <v>150.19999999999999</v>
      </c>
      <c r="T3673" s="5">
        <v>306.89999999999998</v>
      </c>
      <c r="U3673" s="5">
        <v>10.5</v>
      </c>
      <c r="V3673" s="6">
        <v>2.42</v>
      </c>
      <c r="W3673" s="5">
        <v>32.5</v>
      </c>
      <c r="X3673" s="6">
        <v>35.25</v>
      </c>
      <c r="Y3673" s="5">
        <v>36.5</v>
      </c>
      <c r="Z3673" s="5">
        <v>36.5</v>
      </c>
      <c r="AA3673" s="6">
        <v>61.43</v>
      </c>
      <c r="AB3673" s="7">
        <v>11.355</v>
      </c>
      <c r="AC3673" s="6">
        <v>255.21</v>
      </c>
    </row>
    <row r="3674" spans="1:29" ht="182" x14ac:dyDescent="0.15">
      <c r="A3674" s="3">
        <f>DATE(1998,2,10)</f>
        <v>35836</v>
      </c>
      <c r="B3674" s="3">
        <f>DATE(1998,6,30)</f>
        <v>35976</v>
      </c>
      <c r="C3674" s="2" t="s">
        <v>95</v>
      </c>
      <c r="D3674" s="2" t="s">
        <v>11482</v>
      </c>
      <c r="E3674" s="2" t="s">
        <v>367</v>
      </c>
      <c r="F3674" s="4">
        <v>6211</v>
      </c>
      <c r="G3674" s="2" t="s">
        <v>53</v>
      </c>
      <c r="H3674" s="2" t="s">
        <v>34</v>
      </c>
      <c r="I3674" s="2" t="s">
        <v>11483</v>
      </c>
      <c r="J3674" s="2" t="s">
        <v>159</v>
      </c>
      <c r="K3674" s="2" t="s">
        <v>33</v>
      </c>
      <c r="L3674" s="2" t="s">
        <v>34</v>
      </c>
      <c r="M3674" s="7">
        <v>350.84199999999998</v>
      </c>
      <c r="N3674" s="4">
        <v>16</v>
      </c>
      <c r="O3674" s="6">
        <v>16.25</v>
      </c>
      <c r="P3674" s="2" t="s">
        <v>11484</v>
      </c>
      <c r="Q3674" s="6">
        <v>100</v>
      </c>
      <c r="R3674" s="6">
        <v>9.6999999999999993</v>
      </c>
      <c r="S3674" s="5">
        <v>3.9</v>
      </c>
      <c r="T3674" s="7">
        <v>7.5830000000000002</v>
      </c>
      <c r="U3674" s="5">
        <v>4.0999999999999996</v>
      </c>
      <c r="V3674" s="7">
        <v>1.131</v>
      </c>
      <c r="W3674" s="4">
        <v>8</v>
      </c>
      <c r="X3674" s="7">
        <v>7.875</v>
      </c>
      <c r="Y3674" s="7">
        <v>9.125</v>
      </c>
      <c r="Z3674" s="7">
        <v>9.0630000000000006</v>
      </c>
      <c r="AA3674" s="6">
        <v>3.59</v>
      </c>
      <c r="AB3674" s="7">
        <v>5.367</v>
      </c>
      <c r="AC3674" s="2"/>
    </row>
    <row r="3675" spans="1:29" ht="130" x14ac:dyDescent="0.15">
      <c r="A3675" s="3">
        <f>DATE(1998,2,11)</f>
        <v>35837</v>
      </c>
      <c r="B3675" s="3">
        <f>DATE(1998,6,10)</f>
        <v>35956</v>
      </c>
      <c r="C3675" s="2" t="s">
        <v>95</v>
      </c>
      <c r="D3675" s="2" t="s">
        <v>11485</v>
      </c>
      <c r="E3675" s="2" t="s">
        <v>11486</v>
      </c>
      <c r="F3675" s="4">
        <v>4213</v>
      </c>
      <c r="G3675" s="2" t="s">
        <v>173</v>
      </c>
      <c r="H3675" s="2" t="s">
        <v>34</v>
      </c>
      <c r="I3675" s="2" t="s">
        <v>11487</v>
      </c>
      <c r="J3675" s="2" t="s">
        <v>302</v>
      </c>
      <c r="K3675" s="2" t="s">
        <v>53</v>
      </c>
      <c r="L3675" s="2" t="s">
        <v>34</v>
      </c>
      <c r="M3675" s="2"/>
      <c r="N3675" s="2"/>
      <c r="O3675" s="2"/>
      <c r="P3675" s="2" t="s">
        <v>11488</v>
      </c>
      <c r="Q3675" s="6">
        <v>100</v>
      </c>
      <c r="R3675" s="6">
        <v>40</v>
      </c>
      <c r="S3675" s="5">
        <v>10.5</v>
      </c>
      <c r="T3675" s="7">
        <v>38.390999999999998</v>
      </c>
      <c r="U3675" s="5">
        <v>17.5</v>
      </c>
      <c r="V3675" s="6">
        <v>2.23</v>
      </c>
      <c r="W3675" s="7">
        <v>28.875</v>
      </c>
      <c r="X3675" s="4">
        <v>29</v>
      </c>
      <c r="Y3675" s="6">
        <v>38.75</v>
      </c>
      <c r="Z3675" s="7">
        <v>38.938000000000002</v>
      </c>
      <c r="AA3675" s="6">
        <v>4.54</v>
      </c>
      <c r="AB3675" s="7">
        <v>11.872999999999999</v>
      </c>
      <c r="AC3675" s="2"/>
    </row>
    <row r="3676" spans="1:29" ht="117" x14ac:dyDescent="0.15">
      <c r="A3676" s="3">
        <f>DATE(1998,2,11)</f>
        <v>35837</v>
      </c>
      <c r="B3676" s="3">
        <f>DATE(1998,5,20)</f>
        <v>35935</v>
      </c>
      <c r="C3676" s="2" t="s">
        <v>95</v>
      </c>
      <c r="D3676" s="2" t="s">
        <v>11489</v>
      </c>
      <c r="E3676" s="2" t="s">
        <v>11490</v>
      </c>
      <c r="F3676" s="4">
        <v>2731</v>
      </c>
      <c r="G3676" s="2" t="s">
        <v>186</v>
      </c>
      <c r="H3676" s="2" t="s">
        <v>34</v>
      </c>
      <c r="I3676" s="2" t="s">
        <v>7176</v>
      </c>
      <c r="J3676" s="2" t="s">
        <v>417</v>
      </c>
      <c r="K3676" s="2" t="s">
        <v>186</v>
      </c>
      <c r="L3676" s="2" t="s">
        <v>2105</v>
      </c>
      <c r="M3676" s="2"/>
      <c r="N3676" s="2"/>
      <c r="O3676" s="2"/>
      <c r="P3676" s="2" t="s">
        <v>11491</v>
      </c>
      <c r="Q3676" s="6">
        <v>100</v>
      </c>
      <c r="R3676" s="6">
        <v>39</v>
      </c>
      <c r="S3676" s="5">
        <v>7.1</v>
      </c>
      <c r="T3676" s="7">
        <v>18.422000000000001</v>
      </c>
      <c r="U3676" s="5">
        <v>6.5</v>
      </c>
      <c r="V3676" s="6">
        <v>0.75</v>
      </c>
      <c r="W3676" s="7">
        <v>25.875</v>
      </c>
      <c r="X3676" s="7">
        <v>27.375</v>
      </c>
      <c r="Y3676" s="7">
        <v>40.125</v>
      </c>
      <c r="Z3676" s="4">
        <v>40</v>
      </c>
      <c r="AA3676" s="6">
        <v>9.0399999999999991</v>
      </c>
      <c r="AB3676" s="7">
        <v>32.924999999999997</v>
      </c>
      <c r="AC3676" s="6">
        <v>77.97</v>
      </c>
    </row>
    <row r="3677" spans="1:29" ht="143" x14ac:dyDescent="0.15">
      <c r="A3677" s="3">
        <f>DATE(1998,2,13)</f>
        <v>35839</v>
      </c>
      <c r="B3677" s="3">
        <f>DATE(2000,3,23)</f>
        <v>36608</v>
      </c>
      <c r="C3677" s="2" t="s">
        <v>95</v>
      </c>
      <c r="D3677" s="2" t="s">
        <v>11492</v>
      </c>
      <c r="E3677" s="2" t="s">
        <v>265</v>
      </c>
      <c r="F3677" s="4">
        <v>6022</v>
      </c>
      <c r="G3677" s="2" t="s">
        <v>37</v>
      </c>
      <c r="H3677" s="2" t="s">
        <v>34</v>
      </c>
      <c r="I3677" s="2" t="s">
        <v>6678</v>
      </c>
      <c r="J3677" s="2" t="s">
        <v>159</v>
      </c>
      <c r="K3677" s="2" t="s">
        <v>37</v>
      </c>
      <c r="L3677" s="2" t="s">
        <v>34</v>
      </c>
      <c r="M3677" s="12">
        <v>5462.9639999999999</v>
      </c>
      <c r="N3677" s="4">
        <v>38</v>
      </c>
      <c r="O3677" s="7">
        <v>37.938000000000002</v>
      </c>
      <c r="P3677" s="2" t="s">
        <v>11493</v>
      </c>
      <c r="Q3677" s="6">
        <v>100</v>
      </c>
      <c r="R3677" s="6">
        <v>48.05</v>
      </c>
      <c r="S3677" s="5">
        <v>1.6</v>
      </c>
      <c r="T3677" s="6">
        <v>2.72</v>
      </c>
      <c r="U3677" s="5">
        <v>15.1</v>
      </c>
      <c r="V3677" s="7">
        <v>2.141</v>
      </c>
      <c r="W3677" s="4">
        <v>35</v>
      </c>
      <c r="X3677" s="4">
        <v>37</v>
      </c>
      <c r="Y3677" s="4">
        <v>43</v>
      </c>
      <c r="Z3677" s="4">
        <v>45</v>
      </c>
      <c r="AA3677" s="6">
        <v>0.65</v>
      </c>
      <c r="AB3677" s="7">
        <v>55.933</v>
      </c>
      <c r="AC3677" s="2"/>
    </row>
    <row r="3678" spans="1:29" ht="65" x14ac:dyDescent="0.15">
      <c r="A3678" s="3">
        <f>DATE(1998,2,13)</f>
        <v>35839</v>
      </c>
      <c r="B3678" s="2"/>
      <c r="C3678" s="2" t="s">
        <v>7330</v>
      </c>
      <c r="D3678" s="2" t="s">
        <v>11494</v>
      </c>
      <c r="E3678" s="2" t="s">
        <v>92</v>
      </c>
      <c r="F3678" s="4">
        <v>6798</v>
      </c>
      <c r="G3678" s="2" t="s">
        <v>53</v>
      </c>
      <c r="H3678" s="2" t="s">
        <v>34</v>
      </c>
      <c r="I3678" s="2" t="s">
        <v>7163</v>
      </c>
      <c r="J3678" s="2" t="s">
        <v>2044</v>
      </c>
      <c r="K3678" s="2" t="s">
        <v>53</v>
      </c>
      <c r="L3678" s="2" t="s">
        <v>34</v>
      </c>
      <c r="M3678" s="12">
        <v>3399.4380000000001</v>
      </c>
      <c r="N3678" s="7">
        <v>32.438000000000002</v>
      </c>
      <c r="O3678" s="7">
        <v>32.438000000000002</v>
      </c>
      <c r="P3678" s="2" t="s">
        <v>11495</v>
      </c>
      <c r="Q3678" s="2"/>
      <c r="R3678" s="6">
        <v>22.57</v>
      </c>
      <c r="S3678" s="5">
        <v>1.5</v>
      </c>
      <c r="T3678" s="7">
        <v>1.984</v>
      </c>
      <c r="U3678" s="5">
        <v>17</v>
      </c>
      <c r="V3678" s="7">
        <v>1.593</v>
      </c>
      <c r="W3678" s="7">
        <v>21.375</v>
      </c>
      <c r="X3678" s="7">
        <v>21.625</v>
      </c>
      <c r="Y3678" s="7">
        <v>21.625</v>
      </c>
      <c r="Z3678" s="7">
        <v>21.625</v>
      </c>
      <c r="AA3678" s="6">
        <v>1.21</v>
      </c>
      <c r="AB3678" s="7">
        <v>12.044</v>
      </c>
      <c r="AC3678" s="6">
        <v>41.46</v>
      </c>
    </row>
    <row r="3679" spans="1:29" ht="78" x14ac:dyDescent="0.15">
      <c r="A3679" s="3">
        <f>DATE(1998,2,16)</f>
        <v>35842</v>
      </c>
      <c r="B3679" s="2"/>
      <c r="C3679" s="2" t="s">
        <v>30</v>
      </c>
      <c r="D3679" s="2" t="s">
        <v>11496</v>
      </c>
      <c r="E3679" s="2" t="s">
        <v>229</v>
      </c>
      <c r="F3679" s="4">
        <v>5812</v>
      </c>
      <c r="G3679" s="2" t="s">
        <v>230</v>
      </c>
      <c r="H3679" s="2" t="s">
        <v>34</v>
      </c>
      <c r="I3679" s="2" t="s">
        <v>11497</v>
      </c>
      <c r="J3679" s="2" t="s">
        <v>302</v>
      </c>
      <c r="K3679" s="2" t="s">
        <v>53</v>
      </c>
      <c r="L3679" s="2" t="s">
        <v>34</v>
      </c>
      <c r="M3679" s="2"/>
      <c r="N3679" s="2"/>
      <c r="O3679" s="2"/>
      <c r="P3679" s="2" t="s">
        <v>11498</v>
      </c>
      <c r="Q3679" s="2"/>
      <c r="R3679" s="6">
        <v>8</v>
      </c>
      <c r="S3679" s="5">
        <v>3.5</v>
      </c>
      <c r="T3679" s="7">
        <v>15.472</v>
      </c>
      <c r="U3679" s="5">
        <v>8</v>
      </c>
      <c r="V3679" s="6">
        <v>0.39</v>
      </c>
      <c r="W3679" s="7">
        <v>6.1879999999999997</v>
      </c>
      <c r="X3679" s="4">
        <v>6</v>
      </c>
      <c r="Y3679" s="4">
        <v>6</v>
      </c>
      <c r="Z3679" s="7">
        <v>7.5629999999999997</v>
      </c>
      <c r="AA3679" s="6">
        <v>8.8800000000000008</v>
      </c>
      <c r="AB3679" s="7">
        <v>12.347</v>
      </c>
      <c r="AC3679" s="2"/>
    </row>
    <row r="3680" spans="1:29" ht="130" x14ac:dyDescent="0.15">
      <c r="A3680" s="3">
        <f>DATE(1998,2,16)</f>
        <v>35842</v>
      </c>
      <c r="B3680" s="3">
        <f>DATE(1998,8,4)</f>
        <v>36011</v>
      </c>
      <c r="C3680" s="2" t="s">
        <v>95</v>
      </c>
      <c r="D3680" s="2" t="s">
        <v>11499</v>
      </c>
      <c r="E3680" s="2" t="s">
        <v>11500</v>
      </c>
      <c r="F3680" s="4">
        <v>3661</v>
      </c>
      <c r="G3680" s="2" t="s">
        <v>921</v>
      </c>
      <c r="H3680" s="2" t="s">
        <v>34</v>
      </c>
      <c r="I3680" s="2" t="s">
        <v>11501</v>
      </c>
      <c r="J3680" s="2" t="s">
        <v>11502</v>
      </c>
      <c r="K3680" s="2" t="s">
        <v>921</v>
      </c>
      <c r="L3680" s="2" t="s">
        <v>34</v>
      </c>
      <c r="M3680" s="12">
        <v>9051.0429999999997</v>
      </c>
      <c r="N3680" s="7">
        <v>57.938000000000002</v>
      </c>
      <c r="O3680" s="7">
        <v>57.125</v>
      </c>
      <c r="P3680" s="2" t="s">
        <v>11503</v>
      </c>
      <c r="Q3680" s="6">
        <v>100</v>
      </c>
      <c r="R3680" s="6">
        <v>41.72</v>
      </c>
      <c r="S3680" s="5">
        <v>14</v>
      </c>
      <c r="T3680" s="7">
        <v>22.026</v>
      </c>
      <c r="U3680" s="5">
        <v>3.1</v>
      </c>
      <c r="V3680" s="6">
        <v>0.9</v>
      </c>
      <c r="W3680" s="7">
        <v>29.125</v>
      </c>
      <c r="X3680" s="4">
        <v>32</v>
      </c>
      <c r="Y3680" s="4">
        <v>32</v>
      </c>
      <c r="Z3680" s="7">
        <v>39.375</v>
      </c>
      <c r="AA3680" s="6">
        <v>15.33</v>
      </c>
      <c r="AB3680" s="7">
        <v>31.94</v>
      </c>
      <c r="AC3680" s="5">
        <v>109</v>
      </c>
    </row>
    <row r="3681" spans="1:29" ht="91" x14ac:dyDescent="0.15">
      <c r="A3681" s="3">
        <f t="shared" ref="A3681:A3688" si="59">DATE(1998,2,17)</f>
        <v>35843</v>
      </c>
      <c r="B3681" s="3">
        <f>DATE(1998,8,17)</f>
        <v>36024</v>
      </c>
      <c r="C3681" s="2" t="s">
        <v>95</v>
      </c>
      <c r="D3681" s="2" t="s">
        <v>5828</v>
      </c>
      <c r="E3681" s="2" t="s">
        <v>5829</v>
      </c>
      <c r="F3681" s="4">
        <v>3751</v>
      </c>
      <c r="G3681" s="2" t="s">
        <v>105</v>
      </c>
      <c r="H3681" s="2" t="s">
        <v>34</v>
      </c>
      <c r="I3681" s="2" t="s">
        <v>11504</v>
      </c>
      <c r="J3681" s="2" t="s">
        <v>80</v>
      </c>
      <c r="K3681" s="2" t="s">
        <v>53</v>
      </c>
      <c r="L3681" s="2" t="s">
        <v>34</v>
      </c>
      <c r="M3681" s="2"/>
      <c r="N3681" s="2"/>
      <c r="O3681" s="2"/>
      <c r="P3681" s="2" t="s">
        <v>11505</v>
      </c>
      <c r="Q3681" s="6">
        <v>100</v>
      </c>
      <c r="R3681" s="6">
        <v>10.25</v>
      </c>
      <c r="S3681" s="5">
        <v>-18.2</v>
      </c>
      <c r="T3681" s="6">
        <v>22.26</v>
      </c>
      <c r="U3681" s="5">
        <v>8.6999999999999993</v>
      </c>
      <c r="V3681" s="6">
        <v>-1.33</v>
      </c>
      <c r="W3681" s="7">
        <v>9.0630000000000006</v>
      </c>
      <c r="X3681" s="4">
        <v>9</v>
      </c>
      <c r="Y3681" s="4">
        <v>10</v>
      </c>
      <c r="Z3681" s="7">
        <v>9.875</v>
      </c>
      <c r="AA3681" s="6">
        <v>13.86</v>
      </c>
      <c r="AB3681" s="7">
        <v>19.263000000000002</v>
      </c>
      <c r="AC3681" s="2"/>
    </row>
    <row r="3682" spans="1:29" ht="143" x14ac:dyDescent="0.15">
      <c r="A3682" s="3">
        <f t="shared" si="59"/>
        <v>35843</v>
      </c>
      <c r="B3682" s="3">
        <f>DATE(1998,5,27)</f>
        <v>35942</v>
      </c>
      <c r="C3682" s="2" t="s">
        <v>95</v>
      </c>
      <c r="D3682" s="2" t="s">
        <v>11506</v>
      </c>
      <c r="E3682" s="2" t="s">
        <v>11507</v>
      </c>
      <c r="F3682" s="4">
        <v>2791</v>
      </c>
      <c r="G3682" s="2" t="s">
        <v>186</v>
      </c>
      <c r="H3682" s="2" t="s">
        <v>34</v>
      </c>
      <c r="I3682" s="2" t="s">
        <v>11508</v>
      </c>
      <c r="J3682" s="2" t="s">
        <v>11509</v>
      </c>
      <c r="K3682" s="2" t="s">
        <v>223</v>
      </c>
      <c r="L3682" s="2" t="s">
        <v>34</v>
      </c>
      <c r="M3682" s="7">
        <v>926.60799999999995</v>
      </c>
      <c r="N3682" s="5">
        <v>52.5</v>
      </c>
      <c r="O3682" s="4">
        <v>55</v>
      </c>
      <c r="P3682" s="2" t="s">
        <v>11510</v>
      </c>
      <c r="Q3682" s="6">
        <v>100</v>
      </c>
      <c r="R3682" s="6">
        <v>60.08</v>
      </c>
      <c r="S3682" s="5">
        <v>21.3</v>
      </c>
      <c r="T3682" s="7">
        <v>44.652999999999999</v>
      </c>
      <c r="U3682" s="5">
        <v>18</v>
      </c>
      <c r="V3682" s="6">
        <v>2.9</v>
      </c>
      <c r="W3682" s="5">
        <v>45.5</v>
      </c>
      <c r="X3682" s="5">
        <v>46.5</v>
      </c>
      <c r="Y3682" s="7">
        <v>60.625</v>
      </c>
      <c r="Z3682" s="7">
        <v>61.375</v>
      </c>
      <c r="AA3682" s="6">
        <v>7.36</v>
      </c>
      <c r="AB3682" s="7">
        <v>13.536</v>
      </c>
      <c r="AC3682" s="6">
        <v>102.73</v>
      </c>
    </row>
    <row r="3683" spans="1:29" ht="195" x14ac:dyDescent="0.15">
      <c r="A3683" s="3">
        <f t="shared" si="59"/>
        <v>35843</v>
      </c>
      <c r="B3683" s="2"/>
      <c r="C3683" s="2" t="s">
        <v>30</v>
      </c>
      <c r="D3683" s="2" t="s">
        <v>6914</v>
      </c>
      <c r="E3683" s="2" t="s">
        <v>6915</v>
      </c>
      <c r="F3683" s="4">
        <v>3714</v>
      </c>
      <c r="G3683" s="2" t="s">
        <v>105</v>
      </c>
      <c r="H3683" s="2" t="s">
        <v>34</v>
      </c>
      <c r="I3683" s="2" t="s">
        <v>11511</v>
      </c>
      <c r="J3683" s="2" t="s">
        <v>11512</v>
      </c>
      <c r="K3683" s="2" t="s">
        <v>300</v>
      </c>
      <c r="L3683" s="2" t="s">
        <v>34</v>
      </c>
      <c r="M3683" s="7">
        <v>909.85900000000004</v>
      </c>
      <c r="N3683" s="6">
        <v>74.25</v>
      </c>
      <c r="O3683" s="7">
        <v>73.125</v>
      </c>
      <c r="P3683" s="2" t="s">
        <v>11513</v>
      </c>
      <c r="Q3683" s="2"/>
      <c r="R3683" s="6">
        <v>48</v>
      </c>
      <c r="S3683" s="5">
        <v>142.19999999999999</v>
      </c>
      <c r="T3683" s="7">
        <v>335.97399999999999</v>
      </c>
      <c r="U3683" s="5">
        <v>16.3</v>
      </c>
      <c r="V3683" s="6">
        <v>2.2999999999999998</v>
      </c>
      <c r="W3683" s="7">
        <v>30.125</v>
      </c>
      <c r="X3683" s="6">
        <v>30.25</v>
      </c>
      <c r="Y3683" s="4">
        <v>30</v>
      </c>
      <c r="Z3683" s="4">
        <v>30</v>
      </c>
      <c r="AA3683" s="6">
        <v>63.17</v>
      </c>
      <c r="AB3683" s="7">
        <v>14.27</v>
      </c>
      <c r="AC3683" s="6">
        <v>12.11</v>
      </c>
    </row>
    <row r="3684" spans="1:29" ht="117" x14ac:dyDescent="0.15">
      <c r="A3684" s="3">
        <f t="shared" si="59"/>
        <v>35843</v>
      </c>
      <c r="B3684" s="3">
        <f>DATE(1998,4,29)</f>
        <v>35914</v>
      </c>
      <c r="C3684" s="2" t="s">
        <v>95</v>
      </c>
      <c r="D3684" s="2" t="s">
        <v>8608</v>
      </c>
      <c r="E3684" s="2" t="s">
        <v>6632</v>
      </c>
      <c r="F3684" s="4">
        <v>3672</v>
      </c>
      <c r="G3684" s="2" t="s">
        <v>137</v>
      </c>
      <c r="H3684" s="2" t="s">
        <v>34</v>
      </c>
      <c r="I3684" s="2" t="s">
        <v>8978</v>
      </c>
      <c r="J3684" s="2" t="s">
        <v>568</v>
      </c>
      <c r="K3684" s="2" t="s">
        <v>137</v>
      </c>
      <c r="L3684" s="2" t="s">
        <v>34</v>
      </c>
      <c r="M3684" s="7">
        <v>588.19299999999998</v>
      </c>
      <c r="N3684" s="5">
        <v>47.5</v>
      </c>
      <c r="O3684" s="7">
        <v>49.938000000000002</v>
      </c>
      <c r="P3684" s="2" t="s">
        <v>11514</v>
      </c>
      <c r="Q3684" s="6">
        <v>100</v>
      </c>
      <c r="R3684" s="6">
        <v>23.9</v>
      </c>
      <c r="S3684" s="5">
        <v>8.9</v>
      </c>
      <c r="T3684" s="7">
        <v>21.972999999999999</v>
      </c>
      <c r="U3684" s="5">
        <v>7.5</v>
      </c>
      <c r="V3684" s="7">
        <v>1.1910000000000001</v>
      </c>
      <c r="W3684" s="7">
        <v>15.125</v>
      </c>
      <c r="X3684" s="7">
        <v>16.875</v>
      </c>
      <c r="Y3684" s="7">
        <v>23.562999999999999</v>
      </c>
      <c r="Z3684" s="7">
        <v>23.530999999999999</v>
      </c>
      <c r="AA3684" s="6">
        <v>7.26</v>
      </c>
      <c r="AB3684" s="7">
        <v>13.395</v>
      </c>
      <c r="AC3684" s="6">
        <v>13.73</v>
      </c>
    </row>
    <row r="3685" spans="1:29" ht="130" x14ac:dyDescent="0.15">
      <c r="A3685" s="3">
        <f t="shared" si="59"/>
        <v>35843</v>
      </c>
      <c r="B3685" s="3">
        <f>DATE(1998,8,11)</f>
        <v>36018</v>
      </c>
      <c r="C3685" s="2" t="s">
        <v>95</v>
      </c>
      <c r="D3685" s="2" t="s">
        <v>11515</v>
      </c>
      <c r="E3685" s="2" t="s">
        <v>11516</v>
      </c>
      <c r="F3685" s="4">
        <v>2452</v>
      </c>
      <c r="G3685" s="2" t="s">
        <v>250</v>
      </c>
      <c r="H3685" s="2" t="s">
        <v>34</v>
      </c>
      <c r="I3685" s="2" t="s">
        <v>11517</v>
      </c>
      <c r="J3685" s="2" t="s">
        <v>11518</v>
      </c>
      <c r="K3685" s="2" t="s">
        <v>250</v>
      </c>
      <c r="L3685" s="2" t="s">
        <v>34</v>
      </c>
      <c r="M3685" s="12">
        <v>1421.202</v>
      </c>
      <c r="N3685" s="6">
        <v>44.75</v>
      </c>
      <c r="O3685" s="7">
        <v>46.625</v>
      </c>
      <c r="P3685" s="2" t="s">
        <v>11519</v>
      </c>
      <c r="Q3685" s="6">
        <v>100</v>
      </c>
      <c r="R3685" s="2"/>
      <c r="S3685" s="5">
        <v>3.4</v>
      </c>
      <c r="T3685" s="7">
        <v>4.5650000000000004</v>
      </c>
      <c r="U3685" s="5">
        <v>5</v>
      </c>
      <c r="V3685" s="6">
        <v>0.91</v>
      </c>
      <c r="W3685" s="7">
        <v>7.875</v>
      </c>
      <c r="X3685" s="4">
        <v>8</v>
      </c>
      <c r="Y3685" s="7">
        <v>8.375</v>
      </c>
      <c r="Z3685" s="7">
        <v>9.8130000000000006</v>
      </c>
      <c r="AA3685" s="6">
        <v>15.44</v>
      </c>
      <c r="AB3685" s="7">
        <v>43.311999999999998</v>
      </c>
      <c r="AC3685" s="6">
        <v>284.06</v>
      </c>
    </row>
    <row r="3686" spans="1:29" ht="104" x14ac:dyDescent="0.15">
      <c r="A3686" s="3">
        <f t="shared" si="59"/>
        <v>35843</v>
      </c>
      <c r="B3686" s="2"/>
      <c r="C3686" s="2" t="s">
        <v>30</v>
      </c>
      <c r="D3686" s="2" t="s">
        <v>11520</v>
      </c>
      <c r="E3686" s="2" t="s">
        <v>6806</v>
      </c>
      <c r="F3686" s="4">
        <v>3312</v>
      </c>
      <c r="G3686" s="2" t="s">
        <v>163</v>
      </c>
      <c r="H3686" s="2" t="s">
        <v>34</v>
      </c>
      <c r="I3686" s="2" t="s">
        <v>11521</v>
      </c>
      <c r="J3686" s="2" t="s">
        <v>11522</v>
      </c>
      <c r="K3686" s="2" t="s">
        <v>163</v>
      </c>
      <c r="L3686" s="2" t="s">
        <v>34</v>
      </c>
      <c r="M3686" s="7">
        <v>46.707000000000001</v>
      </c>
      <c r="N3686" s="6">
        <v>6.25</v>
      </c>
      <c r="O3686" s="7">
        <v>6.016</v>
      </c>
      <c r="P3686" s="2" t="s">
        <v>11523</v>
      </c>
      <c r="Q3686" s="2"/>
      <c r="R3686" s="6">
        <v>4</v>
      </c>
      <c r="S3686" s="5">
        <v>-63.1</v>
      </c>
      <c r="T3686" s="7">
        <v>42.831000000000003</v>
      </c>
      <c r="U3686" s="5">
        <v>2.1</v>
      </c>
      <c r="V3686" s="6">
        <v>-2.54</v>
      </c>
      <c r="W3686" s="9">
        <v>4.1875</v>
      </c>
      <c r="X3686" s="7">
        <v>3.625</v>
      </c>
      <c r="Y3686" s="11">
        <v>3.609375</v>
      </c>
      <c r="Z3686" s="5">
        <v>3.5</v>
      </c>
      <c r="AA3686" s="6">
        <v>24.9</v>
      </c>
      <c r="AB3686" s="7">
        <v>16.922000000000001</v>
      </c>
      <c r="AC3686" s="6">
        <v>0.97</v>
      </c>
    </row>
    <row r="3687" spans="1:29" ht="117" x14ac:dyDescent="0.15">
      <c r="A3687" s="3">
        <f t="shared" si="59"/>
        <v>35843</v>
      </c>
      <c r="B3687" s="2"/>
      <c r="C3687" s="2" t="s">
        <v>30</v>
      </c>
      <c r="D3687" s="2" t="s">
        <v>11431</v>
      </c>
      <c r="E3687" s="2" t="s">
        <v>36</v>
      </c>
      <c r="F3687" s="4">
        <v>6022</v>
      </c>
      <c r="G3687" s="2" t="s">
        <v>37</v>
      </c>
      <c r="H3687" s="2" t="s">
        <v>34</v>
      </c>
      <c r="I3687" s="2" t="s">
        <v>11524</v>
      </c>
      <c r="J3687" s="2" t="s">
        <v>1181</v>
      </c>
      <c r="K3687" s="2" t="s">
        <v>37</v>
      </c>
      <c r="L3687" s="2" t="s">
        <v>34</v>
      </c>
      <c r="M3687" s="2"/>
      <c r="N3687" s="5">
        <v>41.5</v>
      </c>
      <c r="O3687" s="4">
        <v>41</v>
      </c>
      <c r="P3687" s="2" t="s">
        <v>11525</v>
      </c>
      <c r="Q3687" s="2"/>
      <c r="R3687" s="6">
        <v>60</v>
      </c>
      <c r="S3687" s="5">
        <v>4.9000000000000004</v>
      </c>
      <c r="T3687" s="7">
        <v>7.5170000000000003</v>
      </c>
      <c r="U3687" s="5">
        <v>21.6</v>
      </c>
      <c r="V3687" s="6">
        <v>2.4500000000000002</v>
      </c>
      <c r="W3687" s="4">
        <v>43</v>
      </c>
      <c r="X3687" s="5">
        <v>43.5</v>
      </c>
      <c r="Y3687" s="6">
        <v>50.25</v>
      </c>
      <c r="Z3687" s="5">
        <v>50.5</v>
      </c>
      <c r="AA3687" s="6">
        <v>1.92</v>
      </c>
      <c r="AB3687" s="7">
        <v>23.177</v>
      </c>
      <c r="AC3687" s="2"/>
    </row>
    <row r="3688" spans="1:29" ht="156" x14ac:dyDescent="0.15">
      <c r="A3688" s="3">
        <f t="shared" si="59"/>
        <v>35843</v>
      </c>
      <c r="B3688" s="3">
        <f>DATE(1998,9,25)</f>
        <v>36063</v>
      </c>
      <c r="C3688" s="2" t="s">
        <v>95</v>
      </c>
      <c r="D3688" s="2" t="s">
        <v>11526</v>
      </c>
      <c r="E3688" s="2" t="s">
        <v>11527</v>
      </c>
      <c r="F3688" s="4">
        <v>5099</v>
      </c>
      <c r="G3688" s="2" t="s">
        <v>76</v>
      </c>
      <c r="H3688" s="2" t="s">
        <v>34</v>
      </c>
      <c r="I3688" s="2" t="s">
        <v>11528</v>
      </c>
      <c r="J3688" s="2" t="s">
        <v>11529</v>
      </c>
      <c r="K3688" s="2" t="s">
        <v>756</v>
      </c>
      <c r="L3688" s="2" t="s">
        <v>34</v>
      </c>
      <c r="M3688" s="7">
        <v>442.77499999999998</v>
      </c>
      <c r="N3688" s="7">
        <v>33.875</v>
      </c>
      <c r="O3688" s="7">
        <v>34.625</v>
      </c>
      <c r="P3688" s="2" t="s">
        <v>11530</v>
      </c>
      <c r="Q3688" s="6">
        <v>52</v>
      </c>
      <c r="R3688" s="6">
        <v>2.1</v>
      </c>
      <c r="S3688" s="5">
        <v>-7.4</v>
      </c>
      <c r="T3688" s="7">
        <v>-4.758</v>
      </c>
      <c r="U3688" s="5">
        <v>0.9</v>
      </c>
      <c r="V3688" s="6">
        <v>-1.35</v>
      </c>
      <c r="W3688" s="7">
        <v>1.375</v>
      </c>
      <c r="X3688" s="5">
        <v>1.5</v>
      </c>
      <c r="Y3688" s="7">
        <v>1.8129999999999999</v>
      </c>
      <c r="Z3688" s="7">
        <v>1.625</v>
      </c>
      <c r="AA3688" s="6">
        <v>9.3800000000000008</v>
      </c>
      <c r="AB3688" s="2" t="s">
        <v>86</v>
      </c>
      <c r="AC3688" s="6">
        <v>33.47</v>
      </c>
    </row>
    <row r="3689" spans="1:29" ht="143" x14ac:dyDescent="0.15">
      <c r="A3689" s="3">
        <f>DATE(1998,2,18)</f>
        <v>35844</v>
      </c>
      <c r="B3689" s="3">
        <f>DATE(1998,10,2)</f>
        <v>36070</v>
      </c>
      <c r="C3689" s="2" t="s">
        <v>95</v>
      </c>
      <c r="D3689" s="2" t="s">
        <v>11531</v>
      </c>
      <c r="E3689" s="2" t="s">
        <v>36</v>
      </c>
      <c r="F3689" s="4">
        <v>6035</v>
      </c>
      <c r="G3689" s="2" t="s">
        <v>33</v>
      </c>
      <c r="H3689" s="2" t="s">
        <v>34</v>
      </c>
      <c r="I3689" s="2" t="s">
        <v>2392</v>
      </c>
      <c r="J3689" s="2" t="s">
        <v>36</v>
      </c>
      <c r="K3689" s="2" t="s">
        <v>37</v>
      </c>
      <c r="L3689" s="2" t="s">
        <v>34</v>
      </c>
      <c r="M3689" s="7">
        <v>705.29700000000003</v>
      </c>
      <c r="N3689" s="6">
        <v>49.25</v>
      </c>
      <c r="O3689" s="7">
        <v>47.875</v>
      </c>
      <c r="P3689" s="2" t="s">
        <v>11532</v>
      </c>
      <c r="Q3689" s="6">
        <v>100</v>
      </c>
      <c r="R3689" s="6">
        <v>36.47</v>
      </c>
      <c r="S3689" s="5">
        <v>3.2</v>
      </c>
      <c r="T3689" s="7">
        <v>5.5869999999999997</v>
      </c>
      <c r="U3689" s="5">
        <v>17.100000000000001</v>
      </c>
      <c r="V3689" s="6">
        <v>1.36</v>
      </c>
      <c r="W3689" s="7">
        <v>29.875</v>
      </c>
      <c r="X3689" s="5">
        <v>33.5</v>
      </c>
      <c r="Y3689" s="6">
        <v>32.25</v>
      </c>
      <c r="Z3689" s="5">
        <v>33.5</v>
      </c>
      <c r="AA3689" s="6">
        <v>2.37</v>
      </c>
      <c r="AB3689" s="7">
        <v>31.131</v>
      </c>
      <c r="AC3689" s="2"/>
    </row>
    <row r="3690" spans="1:29" ht="117" x14ac:dyDescent="0.15">
      <c r="A3690" s="3">
        <f>DATE(1998,2,18)</f>
        <v>35844</v>
      </c>
      <c r="B3690" s="3">
        <f>DATE(1998,11,25)</f>
        <v>36124</v>
      </c>
      <c r="C3690" s="2" t="s">
        <v>95</v>
      </c>
      <c r="D3690" s="2" t="s">
        <v>11533</v>
      </c>
      <c r="E3690" s="2" t="s">
        <v>92</v>
      </c>
      <c r="F3690" s="4">
        <v>6798</v>
      </c>
      <c r="G3690" s="2" t="s">
        <v>53</v>
      </c>
      <c r="H3690" s="2" t="s">
        <v>34</v>
      </c>
      <c r="I3690" s="2" t="s">
        <v>11534</v>
      </c>
      <c r="J3690" s="2" t="s">
        <v>844</v>
      </c>
      <c r="K3690" s="2" t="s">
        <v>109</v>
      </c>
      <c r="L3690" s="2" t="s">
        <v>34</v>
      </c>
      <c r="M3690" s="7">
        <v>13.199</v>
      </c>
      <c r="N3690" s="7">
        <v>10.063000000000001</v>
      </c>
      <c r="O3690" s="7">
        <v>10.063000000000001</v>
      </c>
      <c r="P3690" s="2" t="s">
        <v>11535</v>
      </c>
      <c r="Q3690" s="6">
        <v>100</v>
      </c>
      <c r="R3690" s="6">
        <v>19.82</v>
      </c>
      <c r="S3690" s="5">
        <v>5.5</v>
      </c>
      <c r="T3690" s="7">
        <v>7.5629999999999997</v>
      </c>
      <c r="U3690" s="5">
        <v>18.600000000000001</v>
      </c>
      <c r="V3690" s="6">
        <v>1.43</v>
      </c>
      <c r="W3690" s="7">
        <v>16.812999999999999</v>
      </c>
      <c r="X3690" s="7">
        <v>16.125</v>
      </c>
      <c r="Y3690" s="7">
        <v>16.125</v>
      </c>
      <c r="Z3690" s="7">
        <v>18.125</v>
      </c>
      <c r="AA3690" s="6">
        <v>3.81</v>
      </c>
      <c r="AB3690" s="2" t="s">
        <v>86</v>
      </c>
      <c r="AC3690" s="6">
        <v>1.75</v>
      </c>
    </row>
    <row r="3691" spans="1:29" ht="52" x14ac:dyDescent="0.15">
      <c r="A3691" s="3">
        <f>DATE(1998,2,19)</f>
        <v>35845</v>
      </c>
      <c r="B3691" s="3">
        <f>DATE(1998,12,31)</f>
        <v>36160</v>
      </c>
      <c r="C3691" s="2" t="s">
        <v>95</v>
      </c>
      <c r="D3691" s="2" t="s">
        <v>11536</v>
      </c>
      <c r="E3691" s="2" t="s">
        <v>11537</v>
      </c>
      <c r="F3691" s="4">
        <v>1221</v>
      </c>
      <c r="G3691" s="2" t="s">
        <v>166</v>
      </c>
      <c r="H3691" s="2" t="s">
        <v>34</v>
      </c>
      <c r="I3691" s="2" t="s">
        <v>11538</v>
      </c>
      <c r="J3691" s="2" t="s">
        <v>11539</v>
      </c>
      <c r="K3691" s="2" t="s">
        <v>166</v>
      </c>
      <c r="L3691" s="2" t="s">
        <v>34</v>
      </c>
      <c r="M3691" s="2"/>
      <c r="N3691" s="2"/>
      <c r="O3691" s="2"/>
      <c r="P3691" s="2" t="s">
        <v>11540</v>
      </c>
      <c r="Q3691" s="6">
        <v>100</v>
      </c>
      <c r="R3691" s="6">
        <v>60.41</v>
      </c>
      <c r="S3691" s="5">
        <v>4.5999999999999996</v>
      </c>
      <c r="T3691" s="7">
        <v>11.475</v>
      </c>
      <c r="U3691" s="5">
        <v>40.5</v>
      </c>
      <c r="V3691" s="7">
        <v>4.9139999999999997</v>
      </c>
      <c r="W3691" s="4">
        <v>38</v>
      </c>
      <c r="X3691" s="5">
        <v>52.5</v>
      </c>
      <c r="Y3691" s="6">
        <v>52.75</v>
      </c>
      <c r="Z3691" s="4">
        <v>55</v>
      </c>
      <c r="AA3691" s="6">
        <v>0.94</v>
      </c>
      <c r="AB3691" s="7">
        <v>8.5730000000000004</v>
      </c>
      <c r="AC3691" s="2"/>
    </row>
    <row r="3692" spans="1:29" ht="195" x14ac:dyDescent="0.15">
      <c r="A3692" s="3">
        <f>DATE(1998,2,19)</f>
        <v>35845</v>
      </c>
      <c r="B3692" s="3">
        <f>DATE(1998,6,2)</f>
        <v>35948</v>
      </c>
      <c r="C3692" s="2" t="s">
        <v>95</v>
      </c>
      <c r="D3692" s="2" t="s">
        <v>6485</v>
      </c>
      <c r="E3692" s="2" t="s">
        <v>36</v>
      </c>
      <c r="F3692" s="4">
        <v>6022</v>
      </c>
      <c r="G3692" s="2" t="s">
        <v>37</v>
      </c>
      <c r="H3692" s="2" t="s">
        <v>34</v>
      </c>
      <c r="I3692" s="2" t="s">
        <v>11541</v>
      </c>
      <c r="J3692" s="2" t="s">
        <v>263</v>
      </c>
      <c r="K3692" s="2" t="s">
        <v>37</v>
      </c>
      <c r="L3692" s="2" t="s">
        <v>34</v>
      </c>
      <c r="M3692" s="12">
        <v>3967.7269999999999</v>
      </c>
      <c r="N3692" s="6">
        <v>35.25</v>
      </c>
      <c r="O3692" s="4">
        <v>35</v>
      </c>
      <c r="P3692" s="2" t="s">
        <v>11542</v>
      </c>
      <c r="Q3692" s="6">
        <v>100</v>
      </c>
      <c r="R3692" s="6">
        <v>48.72</v>
      </c>
      <c r="S3692" s="5">
        <v>8.6</v>
      </c>
      <c r="T3692" s="7">
        <v>19.704000000000001</v>
      </c>
      <c r="U3692" s="5">
        <v>15.9</v>
      </c>
      <c r="V3692" s="6">
        <v>1.58</v>
      </c>
      <c r="W3692" s="6">
        <v>42.75</v>
      </c>
      <c r="X3692" s="6">
        <v>43.75</v>
      </c>
      <c r="Y3692" s="5">
        <v>47.5</v>
      </c>
      <c r="Z3692" s="5">
        <v>47.5</v>
      </c>
      <c r="AA3692" s="6">
        <v>5.0999999999999996</v>
      </c>
      <c r="AB3692" s="7">
        <v>63.75</v>
      </c>
      <c r="AC3692" s="2"/>
    </row>
    <row r="3693" spans="1:29" ht="91" x14ac:dyDescent="0.15">
      <c r="A3693" s="3">
        <f>DATE(1998,2,19)</f>
        <v>35845</v>
      </c>
      <c r="B3693" s="3">
        <f>DATE(1998,10,15)</f>
        <v>36083</v>
      </c>
      <c r="C3693" s="2" t="s">
        <v>95</v>
      </c>
      <c r="D3693" s="2" t="s">
        <v>11347</v>
      </c>
      <c r="E3693" s="2" t="s">
        <v>6457</v>
      </c>
      <c r="F3693" s="4">
        <v>7011</v>
      </c>
      <c r="G3693" s="2" t="s">
        <v>269</v>
      </c>
      <c r="H3693" s="2" t="s">
        <v>34</v>
      </c>
      <c r="I3693" s="2" t="s">
        <v>1901</v>
      </c>
      <c r="J3693" s="2" t="s">
        <v>1902</v>
      </c>
      <c r="K3693" s="2" t="s">
        <v>364</v>
      </c>
      <c r="L3693" s="2" t="s">
        <v>34</v>
      </c>
      <c r="M3693" s="7">
        <v>543.80700000000002</v>
      </c>
      <c r="N3693" s="6">
        <v>14.25</v>
      </c>
      <c r="O3693" s="6">
        <v>14.75</v>
      </c>
      <c r="P3693" s="2" t="s">
        <v>11543</v>
      </c>
      <c r="Q3693" s="6">
        <v>100</v>
      </c>
      <c r="R3693" s="6">
        <v>2.27</v>
      </c>
      <c r="S3693" s="5">
        <v>-5.2</v>
      </c>
      <c r="T3693" s="7">
        <v>44.802</v>
      </c>
      <c r="U3693" s="5">
        <v>1.7</v>
      </c>
      <c r="V3693" s="6">
        <v>-0.15</v>
      </c>
      <c r="W3693" s="7">
        <v>1.5309999999999999</v>
      </c>
      <c r="X3693" s="7">
        <v>2.0310000000000001</v>
      </c>
      <c r="Y3693" s="9">
        <v>2.0625</v>
      </c>
      <c r="Z3693" s="9">
        <v>2.0625</v>
      </c>
      <c r="AA3693" s="6">
        <v>35.72</v>
      </c>
      <c r="AB3693" s="7">
        <v>12.73</v>
      </c>
      <c r="AC3693" s="6">
        <v>24.16</v>
      </c>
    </row>
    <row r="3694" spans="1:29" ht="91" x14ac:dyDescent="0.15">
      <c r="A3694" s="3">
        <f>DATE(1998,2,19)</f>
        <v>35845</v>
      </c>
      <c r="B3694" s="3">
        <f>DATE(1998,8,7)</f>
        <v>36014</v>
      </c>
      <c r="C3694" s="2" t="s">
        <v>95</v>
      </c>
      <c r="D3694" s="2" t="s">
        <v>5122</v>
      </c>
      <c r="E3694" s="2" t="s">
        <v>5123</v>
      </c>
      <c r="F3694" s="4">
        <v>6792</v>
      </c>
      <c r="G3694" s="2" t="s">
        <v>53</v>
      </c>
      <c r="H3694" s="2" t="s">
        <v>34</v>
      </c>
      <c r="I3694" s="2" t="s">
        <v>11544</v>
      </c>
      <c r="J3694" s="2" t="s">
        <v>612</v>
      </c>
      <c r="K3694" s="2" t="s">
        <v>148</v>
      </c>
      <c r="L3694" s="2" t="s">
        <v>34</v>
      </c>
      <c r="M3694" s="7">
        <v>10.962999999999999</v>
      </c>
      <c r="N3694" s="6">
        <v>6.75</v>
      </c>
      <c r="O3694" s="7">
        <v>7.125</v>
      </c>
      <c r="P3694" s="2" t="s">
        <v>11545</v>
      </c>
      <c r="Q3694" s="6">
        <v>69.16</v>
      </c>
      <c r="R3694" s="6">
        <v>15</v>
      </c>
      <c r="S3694" s="5">
        <v>2</v>
      </c>
      <c r="T3694" s="7">
        <v>3.343</v>
      </c>
      <c r="U3694" s="5">
        <v>10</v>
      </c>
      <c r="V3694" s="6">
        <v>1.37</v>
      </c>
      <c r="W3694" s="5">
        <v>11.5</v>
      </c>
      <c r="X3694" s="7">
        <v>12.375</v>
      </c>
      <c r="Y3694" s="6">
        <v>14.75</v>
      </c>
      <c r="Z3694" s="6">
        <v>14.75</v>
      </c>
      <c r="AA3694" s="6">
        <v>1.36</v>
      </c>
      <c r="AB3694" s="7">
        <v>9.9169999999999998</v>
      </c>
      <c r="AC3694" s="2"/>
    </row>
    <row r="3695" spans="1:29" ht="117" x14ac:dyDescent="0.15">
      <c r="A3695" s="3">
        <f>DATE(1998,2,19)</f>
        <v>35845</v>
      </c>
      <c r="B3695" s="3">
        <f>DATE(1998,4,21)</f>
        <v>35906</v>
      </c>
      <c r="C3695" s="2" t="s">
        <v>95</v>
      </c>
      <c r="D3695" s="2" t="s">
        <v>11546</v>
      </c>
      <c r="E3695" s="2" t="s">
        <v>11547</v>
      </c>
      <c r="F3695" s="4">
        <v>7389</v>
      </c>
      <c r="G3695" s="2" t="s">
        <v>223</v>
      </c>
      <c r="H3695" s="2" t="s">
        <v>34</v>
      </c>
      <c r="I3695" s="2" t="s">
        <v>5921</v>
      </c>
      <c r="J3695" s="2" t="s">
        <v>5922</v>
      </c>
      <c r="K3695" s="2" t="s">
        <v>551</v>
      </c>
      <c r="L3695" s="2" t="s">
        <v>34</v>
      </c>
      <c r="M3695" s="12">
        <v>1683.4659999999999</v>
      </c>
      <c r="N3695" s="7">
        <v>27.062999999999999</v>
      </c>
      <c r="O3695" s="6">
        <v>26.25</v>
      </c>
      <c r="P3695" s="2" t="s">
        <v>11548</v>
      </c>
      <c r="Q3695" s="6">
        <v>100</v>
      </c>
      <c r="R3695" s="6">
        <v>12.5</v>
      </c>
      <c r="S3695" s="5">
        <v>-3.1</v>
      </c>
      <c r="T3695" s="7">
        <v>-4.7869999999999999</v>
      </c>
      <c r="U3695" s="5">
        <v>3.7</v>
      </c>
      <c r="V3695" s="6">
        <v>-0.25</v>
      </c>
      <c r="W3695" s="4">
        <v>10</v>
      </c>
      <c r="X3695" s="5">
        <v>9.5</v>
      </c>
      <c r="Y3695" s="5">
        <v>11.5</v>
      </c>
      <c r="Z3695" s="7">
        <v>11.375</v>
      </c>
      <c r="AA3695" s="6">
        <v>13.74</v>
      </c>
      <c r="AB3695" s="2" t="s">
        <v>86</v>
      </c>
      <c r="AC3695" s="6">
        <v>235.74</v>
      </c>
    </row>
    <row r="3696" spans="1:29" ht="26" x14ac:dyDescent="0.15">
      <c r="A3696" s="3">
        <f>DATE(1998,2,20)</f>
        <v>35846</v>
      </c>
      <c r="B3696" s="2"/>
      <c r="C3696" s="2" t="s">
        <v>141</v>
      </c>
      <c r="D3696" s="2" t="s">
        <v>11549</v>
      </c>
      <c r="E3696" s="2" t="s">
        <v>11550</v>
      </c>
      <c r="F3696" s="4">
        <v>2819</v>
      </c>
      <c r="G3696" s="2" t="s">
        <v>98</v>
      </c>
      <c r="H3696" s="2" t="s">
        <v>34</v>
      </c>
      <c r="I3696" s="2" t="s">
        <v>143</v>
      </c>
      <c r="J3696" s="2" t="s">
        <v>144</v>
      </c>
      <c r="K3696" s="2" t="s">
        <v>53</v>
      </c>
      <c r="L3696" s="2" t="s">
        <v>139</v>
      </c>
      <c r="M3696" s="2"/>
      <c r="N3696" s="2"/>
      <c r="O3696" s="2"/>
      <c r="P3696" s="2" t="s">
        <v>11551</v>
      </c>
      <c r="Q3696" s="2"/>
      <c r="R3696" s="2"/>
      <c r="S3696" s="5">
        <v>21.6</v>
      </c>
      <c r="T3696" s="7">
        <v>59.637999999999998</v>
      </c>
      <c r="U3696" s="5">
        <v>5.6</v>
      </c>
      <c r="V3696" s="6">
        <v>0.54</v>
      </c>
      <c r="W3696" s="7">
        <v>11.063000000000001</v>
      </c>
      <c r="X3696" s="7">
        <v>13.563000000000001</v>
      </c>
      <c r="Y3696" s="9">
        <v>13.3125</v>
      </c>
      <c r="Z3696" s="7">
        <v>13.125</v>
      </c>
      <c r="AA3696" s="6">
        <v>39.74</v>
      </c>
      <c r="AB3696" s="2" t="s">
        <v>47</v>
      </c>
      <c r="AC3696" s="2"/>
    </row>
    <row r="3697" spans="1:29" ht="39" x14ac:dyDescent="0.15">
      <c r="A3697" s="3">
        <f>DATE(1998,2,20)</f>
        <v>35846</v>
      </c>
      <c r="B3697" s="2"/>
      <c r="C3697" s="2" t="s">
        <v>189</v>
      </c>
      <c r="D3697" s="2" t="s">
        <v>4037</v>
      </c>
      <c r="E3697" s="2" t="s">
        <v>4038</v>
      </c>
      <c r="F3697" s="4">
        <v>2821</v>
      </c>
      <c r="G3697" s="2" t="s">
        <v>98</v>
      </c>
      <c r="H3697" s="2" t="s">
        <v>34</v>
      </c>
      <c r="I3697" s="2" t="s">
        <v>143</v>
      </c>
      <c r="J3697" s="2" t="s">
        <v>144</v>
      </c>
      <c r="K3697" s="2" t="s">
        <v>53</v>
      </c>
      <c r="L3697" s="2" t="s">
        <v>139</v>
      </c>
      <c r="M3697" s="2"/>
      <c r="N3697" s="2"/>
      <c r="O3697" s="2"/>
      <c r="P3697" s="2" t="s">
        <v>11552</v>
      </c>
      <c r="Q3697" s="2"/>
      <c r="R3697" s="2"/>
      <c r="S3697" s="5">
        <v>37.299999999999997</v>
      </c>
      <c r="T3697" s="6">
        <v>41.97</v>
      </c>
      <c r="U3697" s="5">
        <v>3.6</v>
      </c>
      <c r="V3697" s="6">
        <v>0.82</v>
      </c>
      <c r="W3697" s="6">
        <v>10.75</v>
      </c>
      <c r="X3697" s="7">
        <v>11.688000000000001</v>
      </c>
      <c r="Y3697" s="4">
        <v>12</v>
      </c>
      <c r="Z3697" s="4">
        <v>12</v>
      </c>
      <c r="AA3697" s="6">
        <v>45.53</v>
      </c>
      <c r="AB3697" s="2" t="s">
        <v>47</v>
      </c>
      <c r="AC3697" s="2"/>
    </row>
    <row r="3698" spans="1:29" ht="65" x14ac:dyDescent="0.15">
      <c r="A3698" s="3">
        <f>DATE(1998,2,20)</f>
        <v>35846</v>
      </c>
      <c r="B3698" s="2"/>
      <c r="C3698" s="2" t="s">
        <v>30</v>
      </c>
      <c r="D3698" s="2" t="s">
        <v>7937</v>
      </c>
      <c r="E3698" s="2" t="s">
        <v>7938</v>
      </c>
      <c r="F3698" s="4">
        <v>7375</v>
      </c>
      <c r="G3698" s="2" t="s">
        <v>223</v>
      </c>
      <c r="H3698" s="2" t="s">
        <v>34</v>
      </c>
      <c r="I3698" s="2" t="s">
        <v>11553</v>
      </c>
      <c r="J3698" s="2" t="s">
        <v>11554</v>
      </c>
      <c r="K3698" s="2" t="s">
        <v>223</v>
      </c>
      <c r="L3698" s="2" t="s">
        <v>34</v>
      </c>
      <c r="M3698" s="2"/>
      <c r="N3698" s="2"/>
      <c r="O3698" s="2"/>
      <c r="P3698" s="2" t="s">
        <v>11555</v>
      </c>
      <c r="Q3698" s="2"/>
      <c r="R3698" s="6">
        <v>10</v>
      </c>
      <c r="S3698" s="5">
        <v>-45.6</v>
      </c>
      <c r="T3698" s="7">
        <v>-21.239000000000001</v>
      </c>
      <c r="U3698" s="5">
        <v>0.6</v>
      </c>
      <c r="V3698" s="6">
        <v>-0.56999999999999995</v>
      </c>
      <c r="W3698" s="7">
        <v>8.125</v>
      </c>
      <c r="X3698" s="7">
        <v>7.7190000000000003</v>
      </c>
      <c r="Y3698" s="7">
        <v>7.625</v>
      </c>
      <c r="Z3698" s="7">
        <v>7.5309999999999997</v>
      </c>
      <c r="AA3698" s="6">
        <v>40.43</v>
      </c>
      <c r="AB3698" s="2" t="s">
        <v>86</v>
      </c>
      <c r="AC3698" s="2"/>
    </row>
    <row r="3699" spans="1:29" ht="130" x14ac:dyDescent="0.15">
      <c r="A3699" s="3">
        <f>DATE(1998,2,20)</f>
        <v>35846</v>
      </c>
      <c r="B3699" s="3">
        <f>DATE(1998,5,29)</f>
        <v>35944</v>
      </c>
      <c r="C3699" s="2" t="s">
        <v>95</v>
      </c>
      <c r="D3699" s="2" t="s">
        <v>5944</v>
      </c>
      <c r="E3699" s="2" t="s">
        <v>5945</v>
      </c>
      <c r="F3699" s="4">
        <v>4832</v>
      </c>
      <c r="G3699" s="2" t="s">
        <v>45</v>
      </c>
      <c r="H3699" s="2" t="s">
        <v>34</v>
      </c>
      <c r="I3699" s="2" t="s">
        <v>11556</v>
      </c>
      <c r="J3699" s="2" t="s">
        <v>8330</v>
      </c>
      <c r="K3699" s="2" t="s">
        <v>45</v>
      </c>
      <c r="L3699" s="2" t="s">
        <v>34</v>
      </c>
      <c r="M3699" s="2"/>
      <c r="N3699" s="2"/>
      <c r="O3699" s="2"/>
      <c r="P3699" s="2" t="s">
        <v>11557</v>
      </c>
      <c r="Q3699" s="6">
        <v>100</v>
      </c>
      <c r="R3699" s="2"/>
      <c r="S3699" s="5">
        <v>-35.6</v>
      </c>
      <c r="T3699" s="6">
        <v>81.319999999999993</v>
      </c>
      <c r="U3699" s="5">
        <v>10.3</v>
      </c>
      <c r="V3699" s="6">
        <v>-5.51</v>
      </c>
      <c r="W3699" s="4">
        <v>66</v>
      </c>
      <c r="X3699" s="7">
        <v>67.875</v>
      </c>
      <c r="Y3699" s="7">
        <v>74.125</v>
      </c>
      <c r="Z3699" s="9">
        <v>74.0625</v>
      </c>
      <c r="AA3699" s="6">
        <v>9.44</v>
      </c>
      <c r="AB3699" s="7">
        <v>29.567</v>
      </c>
      <c r="AC3699" s="2"/>
    </row>
    <row r="3700" spans="1:29" ht="78" x14ac:dyDescent="0.15">
      <c r="A3700" s="3">
        <f>DATE(1998,2,23)</f>
        <v>35849</v>
      </c>
      <c r="B3700" s="3">
        <f>DATE(1998,6,26)</f>
        <v>35972</v>
      </c>
      <c r="C3700" s="2" t="s">
        <v>95</v>
      </c>
      <c r="D3700" s="2" t="s">
        <v>9947</v>
      </c>
      <c r="E3700" s="2" t="s">
        <v>9948</v>
      </c>
      <c r="F3700" s="4">
        <v>8741</v>
      </c>
      <c r="G3700" s="2" t="s">
        <v>223</v>
      </c>
      <c r="H3700" s="2" t="s">
        <v>34</v>
      </c>
      <c r="I3700" s="2" t="s">
        <v>10319</v>
      </c>
      <c r="J3700" s="2" t="s">
        <v>10320</v>
      </c>
      <c r="K3700" s="2" t="s">
        <v>73</v>
      </c>
      <c r="L3700" s="2" t="s">
        <v>34</v>
      </c>
      <c r="M3700" s="10">
        <v>2496.31</v>
      </c>
      <c r="N3700" s="7">
        <v>35.813000000000002</v>
      </c>
      <c r="O3700" s="7">
        <v>35.188000000000002</v>
      </c>
      <c r="P3700" s="2" t="s">
        <v>11558</v>
      </c>
      <c r="Q3700" s="6">
        <v>100</v>
      </c>
      <c r="R3700" s="6">
        <v>4.3899999999999997</v>
      </c>
      <c r="S3700" s="5">
        <v>-3.9</v>
      </c>
      <c r="T3700" s="6">
        <v>-3.95</v>
      </c>
      <c r="U3700" s="5">
        <v>0.4</v>
      </c>
      <c r="V3700" s="7">
        <v>-0.34499999999999997</v>
      </c>
      <c r="W3700" s="7">
        <v>2.625</v>
      </c>
      <c r="X3700" s="7">
        <v>3.4689999999999999</v>
      </c>
      <c r="Y3700" s="4">
        <v>4</v>
      </c>
      <c r="Z3700" s="7">
        <v>4.0309999999999997</v>
      </c>
      <c r="AA3700" s="6">
        <v>13.86</v>
      </c>
      <c r="AB3700" s="2" t="s">
        <v>86</v>
      </c>
      <c r="AC3700" s="6">
        <v>131.04</v>
      </c>
    </row>
    <row r="3701" spans="1:29" ht="130" x14ac:dyDescent="0.15">
      <c r="A3701" s="3">
        <f>DATE(1998,2,23)</f>
        <v>35849</v>
      </c>
      <c r="B3701" s="3">
        <f>DATE(1998,7,1)</f>
        <v>35977</v>
      </c>
      <c r="C3701" s="2" t="s">
        <v>95</v>
      </c>
      <c r="D3701" s="2" t="s">
        <v>1315</v>
      </c>
      <c r="E3701" s="2" t="s">
        <v>36</v>
      </c>
      <c r="F3701" s="4">
        <v>6021</v>
      </c>
      <c r="G3701" s="2" t="s">
        <v>37</v>
      </c>
      <c r="H3701" s="2" t="s">
        <v>34</v>
      </c>
      <c r="I3701" s="2" t="s">
        <v>1955</v>
      </c>
      <c r="J3701" s="2" t="s">
        <v>672</v>
      </c>
      <c r="K3701" s="2" t="s">
        <v>37</v>
      </c>
      <c r="L3701" s="2" t="s">
        <v>34</v>
      </c>
      <c r="M3701" s="12">
        <v>4020.8429999999998</v>
      </c>
      <c r="N3701" s="7">
        <v>61.313000000000002</v>
      </c>
      <c r="O3701" s="7">
        <v>61.125</v>
      </c>
      <c r="P3701" s="2" t="s">
        <v>11559</v>
      </c>
      <c r="Q3701" s="6">
        <v>100</v>
      </c>
      <c r="R3701" s="6">
        <v>61.45</v>
      </c>
      <c r="S3701" s="5">
        <v>72.7</v>
      </c>
      <c r="T3701" s="7">
        <v>118.633</v>
      </c>
      <c r="U3701" s="5">
        <v>19.100000000000001</v>
      </c>
      <c r="V3701" s="6">
        <v>2.21</v>
      </c>
      <c r="W3701" s="6">
        <v>46.75</v>
      </c>
      <c r="X3701" s="7">
        <v>46.938000000000002</v>
      </c>
      <c r="Y3701" s="5">
        <v>57.5</v>
      </c>
      <c r="Z3701" s="5">
        <v>57.5</v>
      </c>
      <c r="AA3701" s="6">
        <v>33.1</v>
      </c>
      <c r="AB3701" s="7">
        <v>28.274999999999999</v>
      </c>
      <c r="AC3701" s="2"/>
    </row>
    <row r="3702" spans="1:29" ht="234" x14ac:dyDescent="0.15">
      <c r="A3702" s="3">
        <f>DATE(1998,2,23)</f>
        <v>35849</v>
      </c>
      <c r="B3702" s="3">
        <f>DATE(1998,6,30)</f>
        <v>35976</v>
      </c>
      <c r="C3702" s="2" t="s">
        <v>95</v>
      </c>
      <c r="D3702" s="2" t="s">
        <v>11560</v>
      </c>
      <c r="E3702" s="2" t="s">
        <v>11561</v>
      </c>
      <c r="F3702" s="4">
        <v>6162</v>
      </c>
      <c r="G3702" s="2" t="s">
        <v>109</v>
      </c>
      <c r="H3702" s="2" t="s">
        <v>34</v>
      </c>
      <c r="I3702" s="2" t="s">
        <v>2897</v>
      </c>
      <c r="J3702" s="2" t="s">
        <v>2898</v>
      </c>
      <c r="K3702" s="2" t="s">
        <v>37</v>
      </c>
      <c r="L3702" s="2" t="s">
        <v>34</v>
      </c>
      <c r="M3702" s="12">
        <v>30556.998</v>
      </c>
      <c r="N3702" s="7">
        <v>52.313000000000002</v>
      </c>
      <c r="O3702" s="7">
        <v>51.563000000000002</v>
      </c>
      <c r="P3702" s="2" t="s">
        <v>11562</v>
      </c>
      <c r="Q3702" s="6">
        <v>100</v>
      </c>
      <c r="R3702" s="6">
        <v>33.97</v>
      </c>
      <c r="S3702" s="5">
        <v>132.6</v>
      </c>
      <c r="T3702" s="7">
        <v>248.85599999999999</v>
      </c>
      <c r="U3702" s="5">
        <v>9</v>
      </c>
      <c r="V3702" s="6">
        <v>2.06</v>
      </c>
      <c r="W3702" s="6">
        <v>26.43</v>
      </c>
      <c r="X3702" s="6">
        <v>24.75</v>
      </c>
      <c r="Y3702" s="7">
        <v>24.312999999999999</v>
      </c>
      <c r="Z3702" s="7">
        <v>23.437999999999999</v>
      </c>
      <c r="AA3702" s="6">
        <v>58.42</v>
      </c>
      <c r="AB3702" s="7">
        <v>15.891999999999999</v>
      </c>
      <c r="AC3702" s="2"/>
    </row>
    <row r="3703" spans="1:29" ht="104" x14ac:dyDescent="0.15">
      <c r="A3703" s="3">
        <f>DATE(1998,2,23)</f>
        <v>35849</v>
      </c>
      <c r="B3703" s="3">
        <f>DATE(1998,4,28)</f>
        <v>35913</v>
      </c>
      <c r="C3703" s="2" t="s">
        <v>95</v>
      </c>
      <c r="D3703" s="2" t="s">
        <v>11563</v>
      </c>
      <c r="E3703" s="2" t="s">
        <v>11564</v>
      </c>
      <c r="F3703" s="4">
        <v>7372</v>
      </c>
      <c r="G3703" s="2" t="s">
        <v>551</v>
      </c>
      <c r="H3703" s="2" t="s">
        <v>34</v>
      </c>
      <c r="I3703" s="2" t="s">
        <v>11565</v>
      </c>
      <c r="J3703" s="2" t="s">
        <v>11566</v>
      </c>
      <c r="K3703" s="2" t="s">
        <v>551</v>
      </c>
      <c r="L3703" s="2" t="s">
        <v>34</v>
      </c>
      <c r="M3703" s="12">
        <v>3642.4580000000001</v>
      </c>
      <c r="N3703" s="4">
        <v>62</v>
      </c>
      <c r="O3703" s="7">
        <v>64.375</v>
      </c>
      <c r="P3703" s="2" t="s">
        <v>11567</v>
      </c>
      <c r="Q3703" s="6">
        <v>100</v>
      </c>
      <c r="R3703" s="6">
        <v>20.190000000000001</v>
      </c>
      <c r="S3703" s="5">
        <v>-2.8</v>
      </c>
      <c r="T3703" s="7">
        <v>-6.3970000000000002</v>
      </c>
      <c r="U3703" s="5">
        <v>3.8</v>
      </c>
      <c r="V3703" s="7">
        <v>-0.25900000000000001</v>
      </c>
      <c r="W3703" s="7">
        <v>10.938000000000001</v>
      </c>
      <c r="X3703" s="7">
        <v>12.625</v>
      </c>
      <c r="Y3703" s="7">
        <v>19.312999999999999</v>
      </c>
      <c r="Z3703" s="7">
        <v>20.125</v>
      </c>
      <c r="AA3703" s="6">
        <v>13.76</v>
      </c>
      <c r="AB3703" s="2" t="s">
        <v>86</v>
      </c>
      <c r="AC3703" s="6">
        <v>247.38</v>
      </c>
    </row>
    <row r="3704" spans="1:29" ht="52" x14ac:dyDescent="0.15">
      <c r="A3704" s="3">
        <f>DATE(1998,2,24)</f>
        <v>35850</v>
      </c>
      <c r="B3704" s="2"/>
      <c r="C3704" s="2" t="s">
        <v>7330</v>
      </c>
      <c r="D3704" s="2" t="s">
        <v>11568</v>
      </c>
      <c r="E3704" s="2" t="s">
        <v>10706</v>
      </c>
      <c r="F3704" s="4">
        <v>2024</v>
      </c>
      <c r="G3704" s="2" t="s">
        <v>577</v>
      </c>
      <c r="H3704" s="2" t="s">
        <v>34</v>
      </c>
      <c r="I3704" s="2" t="s">
        <v>11569</v>
      </c>
      <c r="J3704" s="2" t="s">
        <v>10706</v>
      </c>
      <c r="K3704" s="2" t="s">
        <v>577</v>
      </c>
      <c r="L3704" s="2" t="s">
        <v>34</v>
      </c>
      <c r="M3704" s="2"/>
      <c r="N3704" s="2"/>
      <c r="O3704" s="2"/>
      <c r="P3704" s="2" t="s">
        <v>11570</v>
      </c>
      <c r="Q3704" s="2"/>
      <c r="R3704" s="2"/>
      <c r="S3704" s="5">
        <v>3.9</v>
      </c>
      <c r="T3704" s="7">
        <v>14.113</v>
      </c>
      <c r="U3704" s="5">
        <v>12</v>
      </c>
      <c r="V3704" s="6">
        <v>0.53</v>
      </c>
      <c r="W3704" s="7">
        <v>17.875</v>
      </c>
      <c r="X3704" s="7">
        <v>17.375</v>
      </c>
      <c r="Y3704" s="9">
        <v>16.9375</v>
      </c>
      <c r="Z3704" s="6">
        <v>17.25</v>
      </c>
      <c r="AA3704" s="6">
        <v>7.24</v>
      </c>
      <c r="AB3704" s="2" t="s">
        <v>47</v>
      </c>
      <c r="AC3704" s="6">
        <v>3.63</v>
      </c>
    </row>
    <row r="3705" spans="1:29" ht="52" x14ac:dyDescent="0.15">
      <c r="A3705" s="3">
        <f>DATE(1998,2,24)</f>
        <v>35850</v>
      </c>
      <c r="B3705" s="3">
        <f>DATE(1998,5,4)</f>
        <v>35919</v>
      </c>
      <c r="C3705" s="2" t="s">
        <v>95</v>
      </c>
      <c r="D3705" s="2" t="s">
        <v>11571</v>
      </c>
      <c r="E3705" s="2" t="s">
        <v>11572</v>
      </c>
      <c r="F3705" s="4">
        <v>2836</v>
      </c>
      <c r="G3705" s="2" t="s">
        <v>130</v>
      </c>
      <c r="H3705" s="2" t="s">
        <v>34</v>
      </c>
      <c r="I3705" s="2" t="s">
        <v>4779</v>
      </c>
      <c r="J3705" s="2" t="s">
        <v>4780</v>
      </c>
      <c r="K3705" s="2" t="s">
        <v>226</v>
      </c>
      <c r="L3705" s="2" t="s">
        <v>34</v>
      </c>
      <c r="M3705" s="12">
        <v>14300.159</v>
      </c>
      <c r="N3705" s="6">
        <v>55.75</v>
      </c>
      <c r="O3705" s="6">
        <v>56.25</v>
      </c>
      <c r="P3705" s="2" t="s">
        <v>11573</v>
      </c>
      <c r="Q3705" s="6">
        <v>100</v>
      </c>
      <c r="R3705" s="6">
        <v>9</v>
      </c>
      <c r="S3705" s="5">
        <v>-10.9</v>
      </c>
      <c r="T3705" s="7">
        <v>-17.727</v>
      </c>
      <c r="U3705" s="5">
        <v>2.6</v>
      </c>
      <c r="V3705" s="6">
        <v>-0.53</v>
      </c>
      <c r="W3705" s="7">
        <v>6.4379999999999997</v>
      </c>
      <c r="X3705" s="7">
        <v>6.625</v>
      </c>
      <c r="Y3705" s="7">
        <v>8.6880000000000006</v>
      </c>
      <c r="Z3705" s="6">
        <v>8.75</v>
      </c>
      <c r="AA3705" s="6">
        <v>20.92</v>
      </c>
      <c r="AB3705" s="2" t="s">
        <v>86</v>
      </c>
      <c r="AC3705" s="5">
        <v>465</v>
      </c>
    </row>
    <row r="3706" spans="1:29" ht="39" x14ac:dyDescent="0.15">
      <c r="A3706" s="3">
        <f>DATE(1998,2,24)</f>
        <v>35850</v>
      </c>
      <c r="B3706" s="3">
        <f>DATE(1998,2,24)</f>
        <v>35850</v>
      </c>
      <c r="C3706" s="2" t="s">
        <v>95</v>
      </c>
      <c r="D3706" s="2" t="s">
        <v>11574</v>
      </c>
      <c r="E3706" s="2" t="s">
        <v>11575</v>
      </c>
      <c r="F3706" s="4">
        <v>3842</v>
      </c>
      <c r="G3706" s="2" t="s">
        <v>226</v>
      </c>
      <c r="H3706" s="2" t="s">
        <v>34</v>
      </c>
      <c r="I3706" s="2" t="s">
        <v>11576</v>
      </c>
      <c r="J3706" s="2" t="s">
        <v>11577</v>
      </c>
      <c r="K3706" s="2" t="s">
        <v>226</v>
      </c>
      <c r="L3706" s="2" t="s">
        <v>34</v>
      </c>
      <c r="M3706" s="2"/>
      <c r="N3706" s="2"/>
      <c r="O3706" s="2"/>
      <c r="P3706" s="2" t="s">
        <v>11578</v>
      </c>
      <c r="Q3706" s="6">
        <v>100</v>
      </c>
      <c r="R3706" s="2"/>
      <c r="S3706" s="5">
        <v>1.9</v>
      </c>
      <c r="T3706" s="7">
        <v>4.3849999999999998</v>
      </c>
      <c r="U3706" s="5">
        <v>17.8</v>
      </c>
      <c r="V3706" s="6">
        <v>2.6</v>
      </c>
      <c r="W3706" s="7">
        <v>3.125</v>
      </c>
      <c r="X3706" s="6">
        <v>3.75</v>
      </c>
      <c r="Y3706" s="2"/>
      <c r="Z3706" s="2"/>
      <c r="AA3706" s="6">
        <v>7.04</v>
      </c>
      <c r="AB3706" s="2" t="s">
        <v>47</v>
      </c>
      <c r="AC3706" s="2"/>
    </row>
    <row r="3707" spans="1:29" ht="91" x14ac:dyDescent="0.15">
      <c r="A3707" s="3">
        <f>DATE(1998,2,24)</f>
        <v>35850</v>
      </c>
      <c r="B3707" s="3">
        <f>DATE(1998,4,6)</f>
        <v>35891</v>
      </c>
      <c r="C3707" s="2" t="s">
        <v>95</v>
      </c>
      <c r="D3707" s="2" t="s">
        <v>11579</v>
      </c>
      <c r="E3707" s="2" t="s">
        <v>11580</v>
      </c>
      <c r="F3707" s="4">
        <v>7372</v>
      </c>
      <c r="G3707" s="2" t="s">
        <v>551</v>
      </c>
      <c r="H3707" s="2" t="s">
        <v>34</v>
      </c>
      <c r="I3707" s="2" t="s">
        <v>5518</v>
      </c>
      <c r="J3707" s="2" t="s">
        <v>5519</v>
      </c>
      <c r="K3707" s="2" t="s">
        <v>226</v>
      </c>
      <c r="L3707" s="2" t="s">
        <v>303</v>
      </c>
      <c r="M3707" s="2"/>
      <c r="N3707" s="2"/>
      <c r="O3707" s="2"/>
      <c r="P3707" s="2" t="s">
        <v>11581</v>
      </c>
      <c r="Q3707" s="6">
        <v>100</v>
      </c>
      <c r="R3707" s="6">
        <v>24</v>
      </c>
      <c r="S3707" s="5">
        <v>4.3</v>
      </c>
      <c r="T3707" s="2"/>
      <c r="U3707" s="5">
        <v>6.1</v>
      </c>
      <c r="V3707" s="6">
        <v>0.28999999999999998</v>
      </c>
      <c r="W3707" s="7">
        <v>15.063000000000001</v>
      </c>
      <c r="X3707" s="4">
        <v>16</v>
      </c>
      <c r="Y3707" s="7">
        <v>23.625</v>
      </c>
      <c r="Z3707" s="7">
        <v>23.625</v>
      </c>
      <c r="AA3707" s="6">
        <v>14.21</v>
      </c>
      <c r="AB3707" s="2" t="s">
        <v>47</v>
      </c>
      <c r="AC3707" s="6">
        <v>342.45</v>
      </c>
    </row>
    <row r="3708" spans="1:29" ht="130" x14ac:dyDescent="0.15">
      <c r="A3708" s="3">
        <f>DATE(1998,2,25)</f>
        <v>35851</v>
      </c>
      <c r="B3708" s="3">
        <f>DATE(1998,7,21)</f>
        <v>35997</v>
      </c>
      <c r="C3708" s="2" t="s">
        <v>95</v>
      </c>
      <c r="D3708" s="2" t="s">
        <v>11582</v>
      </c>
      <c r="E3708" s="2" t="s">
        <v>11583</v>
      </c>
      <c r="F3708" s="4">
        <v>3589</v>
      </c>
      <c r="G3708" s="2" t="s">
        <v>300</v>
      </c>
      <c r="H3708" s="2" t="s">
        <v>34</v>
      </c>
      <c r="I3708" s="2" t="s">
        <v>11584</v>
      </c>
      <c r="J3708" s="2" t="s">
        <v>11585</v>
      </c>
      <c r="K3708" s="2" t="s">
        <v>163</v>
      </c>
      <c r="L3708" s="2" t="s">
        <v>34</v>
      </c>
      <c r="M3708" s="12">
        <v>1272.021</v>
      </c>
      <c r="N3708" s="7">
        <v>54.688000000000002</v>
      </c>
      <c r="O3708" s="6">
        <v>55.25</v>
      </c>
      <c r="P3708" s="2" t="s">
        <v>11586</v>
      </c>
      <c r="Q3708" s="6">
        <v>100</v>
      </c>
      <c r="R3708" s="6">
        <v>15.25</v>
      </c>
      <c r="S3708" s="5">
        <v>1.6</v>
      </c>
      <c r="T3708" s="7">
        <v>3.3290000000000002</v>
      </c>
      <c r="U3708" s="5">
        <v>1.7</v>
      </c>
      <c r="V3708" s="7">
        <v>0.36899999999999999</v>
      </c>
      <c r="W3708" s="5">
        <v>12.5</v>
      </c>
      <c r="X3708" s="4">
        <v>13</v>
      </c>
      <c r="Y3708" s="7">
        <v>15.125</v>
      </c>
      <c r="Z3708" s="7">
        <v>15.156000000000001</v>
      </c>
      <c r="AA3708" s="6">
        <v>4.24</v>
      </c>
      <c r="AB3708" s="7">
        <v>25.553000000000001</v>
      </c>
      <c r="AC3708" s="5">
        <v>10.1</v>
      </c>
    </row>
    <row r="3709" spans="1:29" ht="117" x14ac:dyDescent="0.15">
      <c r="A3709" s="3">
        <f>DATE(1998,2,25)</f>
        <v>35851</v>
      </c>
      <c r="B3709" s="3">
        <f>DATE(1998,9,30)</f>
        <v>36068</v>
      </c>
      <c r="C3709" s="2" t="s">
        <v>95</v>
      </c>
      <c r="D3709" s="2" t="s">
        <v>11587</v>
      </c>
      <c r="E3709" s="2" t="s">
        <v>92</v>
      </c>
      <c r="F3709" s="4">
        <v>6798</v>
      </c>
      <c r="G3709" s="2" t="s">
        <v>53</v>
      </c>
      <c r="H3709" s="2" t="s">
        <v>34</v>
      </c>
      <c r="I3709" s="2" t="s">
        <v>11588</v>
      </c>
      <c r="J3709" s="2" t="s">
        <v>92</v>
      </c>
      <c r="K3709" s="2" t="s">
        <v>53</v>
      </c>
      <c r="L3709" s="2" t="s">
        <v>34</v>
      </c>
      <c r="M3709" s="2"/>
      <c r="N3709" s="2"/>
      <c r="O3709" s="2"/>
      <c r="P3709" s="2" t="s">
        <v>11589</v>
      </c>
      <c r="Q3709" s="6">
        <v>29.49</v>
      </c>
      <c r="R3709" s="6">
        <v>9.5</v>
      </c>
      <c r="S3709" s="5">
        <v>-0.4</v>
      </c>
      <c r="T3709" s="7">
        <v>15.222</v>
      </c>
      <c r="U3709" s="5">
        <v>12.1</v>
      </c>
      <c r="V3709" s="6">
        <v>-0.04</v>
      </c>
      <c r="W3709" s="7">
        <v>7.8129999999999997</v>
      </c>
      <c r="X3709" s="7">
        <v>8.875</v>
      </c>
      <c r="Y3709" s="7">
        <v>9.4380000000000006</v>
      </c>
      <c r="Z3709" s="7">
        <v>9.1880000000000006</v>
      </c>
      <c r="AA3709" s="6">
        <v>35.6</v>
      </c>
      <c r="AB3709" s="2" t="s">
        <v>86</v>
      </c>
      <c r="AC3709" s="2"/>
    </row>
    <row r="3710" spans="1:29" ht="130" x14ac:dyDescent="0.15">
      <c r="A3710" s="3">
        <f>DATE(1998,2,25)</f>
        <v>35851</v>
      </c>
      <c r="B3710" s="3">
        <f>DATE(1998,10,1)</f>
        <v>36069</v>
      </c>
      <c r="C3710" s="2" t="s">
        <v>95</v>
      </c>
      <c r="D3710" s="2" t="s">
        <v>1491</v>
      </c>
      <c r="E3710" s="2" t="s">
        <v>389</v>
      </c>
      <c r="F3710" s="4">
        <v>6035</v>
      </c>
      <c r="G3710" s="2" t="s">
        <v>33</v>
      </c>
      <c r="H3710" s="2" t="s">
        <v>34</v>
      </c>
      <c r="I3710" s="2" t="s">
        <v>9701</v>
      </c>
      <c r="J3710" s="2" t="s">
        <v>672</v>
      </c>
      <c r="K3710" s="2" t="s">
        <v>37</v>
      </c>
      <c r="L3710" s="2" t="s">
        <v>34</v>
      </c>
      <c r="M3710" s="12">
        <v>7965.7629999999999</v>
      </c>
      <c r="N3710" s="7">
        <v>61.688000000000002</v>
      </c>
      <c r="O3710" s="7">
        <v>61.313000000000002</v>
      </c>
      <c r="P3710" s="2" t="s">
        <v>11590</v>
      </c>
      <c r="Q3710" s="6">
        <v>100</v>
      </c>
      <c r="R3710" s="6">
        <v>37.049999999999997</v>
      </c>
      <c r="S3710" s="5">
        <v>6.5</v>
      </c>
      <c r="T3710" s="7">
        <v>14.012</v>
      </c>
      <c r="U3710" s="5">
        <v>14.8</v>
      </c>
      <c r="V3710" s="6">
        <v>1</v>
      </c>
      <c r="W3710" s="7">
        <v>31.125</v>
      </c>
      <c r="X3710" s="6">
        <v>31.75</v>
      </c>
      <c r="Y3710" s="6">
        <v>35.75</v>
      </c>
      <c r="Z3710" s="5">
        <v>35.5</v>
      </c>
      <c r="AA3710" s="6">
        <v>6.48</v>
      </c>
      <c r="AB3710" s="7">
        <v>36.4</v>
      </c>
      <c r="AC3710" s="2"/>
    </row>
    <row r="3711" spans="1:29" ht="78" x14ac:dyDescent="0.15">
      <c r="A3711" s="3">
        <f>DATE(1998,2,25)</f>
        <v>35851</v>
      </c>
      <c r="B3711" s="2"/>
      <c r="C3711" s="2" t="s">
        <v>30</v>
      </c>
      <c r="D3711" s="2" t="s">
        <v>11591</v>
      </c>
      <c r="E3711" s="2" t="s">
        <v>172</v>
      </c>
      <c r="F3711" s="4">
        <v>4212</v>
      </c>
      <c r="G3711" s="2" t="s">
        <v>173</v>
      </c>
      <c r="H3711" s="2" t="s">
        <v>34</v>
      </c>
      <c r="I3711" s="2" t="s">
        <v>9715</v>
      </c>
      <c r="J3711" s="2" t="s">
        <v>244</v>
      </c>
      <c r="K3711" s="2" t="s">
        <v>53</v>
      </c>
      <c r="L3711" s="2" t="s">
        <v>34</v>
      </c>
      <c r="M3711" s="2"/>
      <c r="N3711" s="2"/>
      <c r="O3711" s="2"/>
      <c r="P3711" s="2" t="s">
        <v>11592</v>
      </c>
      <c r="Q3711" s="2"/>
      <c r="R3711" s="6">
        <v>12</v>
      </c>
      <c r="S3711" s="5">
        <v>1.9</v>
      </c>
      <c r="T3711" s="7">
        <v>19.791</v>
      </c>
      <c r="U3711" s="5">
        <v>6.6</v>
      </c>
      <c r="V3711" s="6">
        <v>0.21</v>
      </c>
      <c r="W3711" s="7">
        <v>9.9380000000000006</v>
      </c>
      <c r="X3711" s="7">
        <v>11.375</v>
      </c>
      <c r="Y3711" s="5">
        <v>11.5</v>
      </c>
      <c r="Z3711" s="9">
        <v>11.1875</v>
      </c>
      <c r="AA3711" s="6">
        <v>8.7899999999999991</v>
      </c>
      <c r="AB3711" s="7">
        <v>23.465</v>
      </c>
      <c r="AC3711" s="2"/>
    </row>
    <row r="3712" spans="1:29" ht="143" x14ac:dyDescent="0.15">
      <c r="A3712" s="3">
        <f>DATE(1998,2,26)</f>
        <v>35852</v>
      </c>
      <c r="B3712" s="3">
        <f>DATE(1998,9,30)</f>
        <v>36068</v>
      </c>
      <c r="C3712" s="2" t="s">
        <v>95</v>
      </c>
      <c r="D3712" s="2" t="s">
        <v>4159</v>
      </c>
      <c r="E3712" s="2" t="s">
        <v>4160</v>
      </c>
      <c r="F3712" s="4">
        <v>3533</v>
      </c>
      <c r="G3712" s="2" t="s">
        <v>300</v>
      </c>
      <c r="H3712" s="2" t="s">
        <v>34</v>
      </c>
      <c r="I3712" s="2" t="s">
        <v>8199</v>
      </c>
      <c r="J3712" s="2" t="s">
        <v>8200</v>
      </c>
      <c r="K3712" s="2" t="s">
        <v>148</v>
      </c>
      <c r="L3712" s="2" t="s">
        <v>34</v>
      </c>
      <c r="M3712" s="12">
        <v>12402.789000000001</v>
      </c>
      <c r="N3712" s="5">
        <v>46.5</v>
      </c>
      <c r="O3712" s="7">
        <v>46.563000000000002</v>
      </c>
      <c r="P3712" s="2" t="s">
        <v>11593</v>
      </c>
      <c r="Q3712" s="6">
        <v>100</v>
      </c>
      <c r="R3712" s="6">
        <v>44</v>
      </c>
      <c r="S3712" s="5">
        <v>318</v>
      </c>
      <c r="T3712" s="5">
        <v>824.2</v>
      </c>
      <c r="U3712" s="5">
        <v>9.9</v>
      </c>
      <c r="V3712" s="6">
        <v>1.81</v>
      </c>
      <c r="W3712" s="6">
        <v>38.25</v>
      </c>
      <c r="X3712" s="7">
        <v>38.688000000000002</v>
      </c>
      <c r="Y3712" s="5">
        <v>44.5</v>
      </c>
      <c r="Z3712" s="5">
        <v>44.5</v>
      </c>
      <c r="AA3712" s="6">
        <v>175.52</v>
      </c>
      <c r="AB3712" s="7">
        <v>14.804</v>
      </c>
      <c r="AC3712" s="5">
        <v>221.3</v>
      </c>
    </row>
    <row r="3713" spans="1:29" ht="78" x14ac:dyDescent="0.15">
      <c r="A3713" s="3">
        <f>DATE(1998,2,27)</f>
        <v>35853</v>
      </c>
      <c r="B3713" s="3">
        <f>DATE(1998,6,15)</f>
        <v>35961</v>
      </c>
      <c r="C3713" s="2" t="s">
        <v>95</v>
      </c>
      <c r="D3713" s="2" t="s">
        <v>11594</v>
      </c>
      <c r="E3713" s="2" t="s">
        <v>11595</v>
      </c>
      <c r="F3713" s="4">
        <v>7812</v>
      </c>
      <c r="G3713" s="2" t="s">
        <v>42</v>
      </c>
      <c r="H3713" s="2" t="s">
        <v>34</v>
      </c>
      <c r="I3713" s="2" t="s">
        <v>11596</v>
      </c>
      <c r="J3713" s="2" t="s">
        <v>6519</v>
      </c>
      <c r="K3713" s="2" t="s">
        <v>63</v>
      </c>
      <c r="L3713" s="2" t="s">
        <v>34</v>
      </c>
      <c r="M3713" s="12">
        <v>1150.921</v>
      </c>
      <c r="N3713" s="6">
        <v>58.75</v>
      </c>
      <c r="O3713" s="6">
        <v>57.75</v>
      </c>
      <c r="P3713" s="2" t="s">
        <v>11597</v>
      </c>
      <c r="Q3713" s="6">
        <v>100</v>
      </c>
      <c r="R3713" s="6">
        <v>1.2</v>
      </c>
      <c r="S3713" s="5">
        <v>-10.1</v>
      </c>
      <c r="T3713" s="7">
        <v>-2.9129999999999998</v>
      </c>
      <c r="U3713" s="5">
        <v>0.6</v>
      </c>
      <c r="V3713" s="6">
        <v>-1.54</v>
      </c>
      <c r="W3713" s="6">
        <v>1.25</v>
      </c>
      <c r="X3713" s="7">
        <v>1.5629999999999999</v>
      </c>
      <c r="Y3713" s="7">
        <v>1.625</v>
      </c>
      <c r="Z3713" s="7">
        <v>1.0940000000000001</v>
      </c>
      <c r="AA3713" s="6">
        <v>6.63</v>
      </c>
      <c r="AB3713" s="2" t="s">
        <v>86</v>
      </c>
      <c r="AC3713" s="6">
        <v>661.01</v>
      </c>
    </row>
    <row r="3714" spans="1:29" ht="130" x14ac:dyDescent="0.15">
      <c r="A3714" s="3">
        <f t="shared" ref="A3714:A3720" si="60">DATE(1998,3,2)</f>
        <v>35856</v>
      </c>
      <c r="B3714" s="3">
        <f>DATE(1998,8,3)</f>
        <v>36010</v>
      </c>
      <c r="C3714" s="2" t="s">
        <v>95</v>
      </c>
      <c r="D3714" s="2" t="s">
        <v>11598</v>
      </c>
      <c r="E3714" s="2" t="s">
        <v>11599</v>
      </c>
      <c r="F3714" s="4">
        <v>3674</v>
      </c>
      <c r="G3714" s="2" t="s">
        <v>137</v>
      </c>
      <c r="H3714" s="2" t="s">
        <v>34</v>
      </c>
      <c r="I3714" s="2" t="s">
        <v>11600</v>
      </c>
      <c r="J3714" s="2" t="s">
        <v>4865</v>
      </c>
      <c r="K3714" s="2" t="s">
        <v>137</v>
      </c>
      <c r="L3714" s="2" t="s">
        <v>34</v>
      </c>
      <c r="M3714" s="7">
        <v>448.50599999999997</v>
      </c>
      <c r="N3714" s="7">
        <v>18.187999999999999</v>
      </c>
      <c r="O3714" s="7">
        <v>17.875</v>
      </c>
      <c r="P3714" s="2" t="s">
        <v>11601</v>
      </c>
      <c r="Q3714" s="6">
        <v>100</v>
      </c>
      <c r="R3714" s="6">
        <v>18.809999999999999</v>
      </c>
      <c r="S3714" s="5">
        <v>6.7</v>
      </c>
      <c r="T3714" s="7">
        <v>11.811</v>
      </c>
      <c r="U3714" s="5">
        <v>4.9000000000000004</v>
      </c>
      <c r="V3714" s="6">
        <v>0.86</v>
      </c>
      <c r="W3714" s="5">
        <v>16.5</v>
      </c>
      <c r="X3714" s="6">
        <v>16.25</v>
      </c>
      <c r="Y3714" s="7">
        <v>17.125</v>
      </c>
      <c r="Z3714" s="6">
        <v>16.75</v>
      </c>
      <c r="AA3714" s="6">
        <v>7.11</v>
      </c>
      <c r="AB3714" s="7">
        <v>13.186</v>
      </c>
      <c r="AC3714" s="6">
        <v>65.069999999999993</v>
      </c>
    </row>
    <row r="3715" spans="1:29" ht="143" x14ac:dyDescent="0.15">
      <c r="A3715" s="3">
        <f t="shared" si="60"/>
        <v>35856</v>
      </c>
      <c r="B3715" s="3">
        <f>DATE(1998,3,30)</f>
        <v>35884</v>
      </c>
      <c r="C3715" s="2" t="s">
        <v>95</v>
      </c>
      <c r="D3715" s="2" t="s">
        <v>11602</v>
      </c>
      <c r="E3715" s="2" t="s">
        <v>11603</v>
      </c>
      <c r="F3715" s="4">
        <v>3634</v>
      </c>
      <c r="G3715" s="2" t="s">
        <v>137</v>
      </c>
      <c r="H3715" s="2" t="s">
        <v>34</v>
      </c>
      <c r="I3715" s="2" t="s">
        <v>10815</v>
      </c>
      <c r="J3715" s="2" t="s">
        <v>10816</v>
      </c>
      <c r="K3715" s="2" t="s">
        <v>1227</v>
      </c>
      <c r="L3715" s="2" t="s">
        <v>34</v>
      </c>
      <c r="M3715" s="12">
        <v>3167.817</v>
      </c>
      <c r="N3715" s="7">
        <v>45.625</v>
      </c>
      <c r="O3715" s="7">
        <v>49.875</v>
      </c>
      <c r="P3715" s="2" t="s">
        <v>11604</v>
      </c>
      <c r="Q3715" s="6">
        <v>82</v>
      </c>
      <c r="R3715" s="2"/>
      <c r="S3715" s="5">
        <v>-2.5</v>
      </c>
      <c r="T3715" s="7">
        <v>110.738</v>
      </c>
      <c r="U3715" s="5">
        <v>4.5</v>
      </c>
      <c r="V3715" s="6">
        <v>-0.05</v>
      </c>
      <c r="W3715" s="4">
        <v>19</v>
      </c>
      <c r="X3715" s="7">
        <v>20.875</v>
      </c>
      <c r="Y3715" s="9">
        <v>30.9375</v>
      </c>
      <c r="Z3715" s="9">
        <v>32.8125</v>
      </c>
      <c r="AA3715" s="6">
        <v>53.42</v>
      </c>
      <c r="AB3715" s="7">
        <v>29.402000000000001</v>
      </c>
      <c r="AC3715" s="6">
        <v>52.38</v>
      </c>
    </row>
    <row r="3716" spans="1:29" ht="130" x14ac:dyDescent="0.15">
      <c r="A3716" s="3">
        <f t="shared" si="60"/>
        <v>35856</v>
      </c>
      <c r="B3716" s="3">
        <f>DATE(2000,1,7)</f>
        <v>36532</v>
      </c>
      <c r="C3716" s="2" t="s">
        <v>95</v>
      </c>
      <c r="D3716" s="2" t="s">
        <v>11602</v>
      </c>
      <c r="E3716" s="2" t="s">
        <v>11603</v>
      </c>
      <c r="F3716" s="4">
        <v>3634</v>
      </c>
      <c r="G3716" s="2" t="s">
        <v>137</v>
      </c>
      <c r="H3716" s="2" t="s">
        <v>34</v>
      </c>
      <c r="I3716" s="2" t="s">
        <v>10815</v>
      </c>
      <c r="J3716" s="2" t="s">
        <v>10816</v>
      </c>
      <c r="K3716" s="2" t="s">
        <v>1227</v>
      </c>
      <c r="L3716" s="2" t="s">
        <v>34</v>
      </c>
      <c r="M3716" s="12">
        <v>3167.817</v>
      </c>
      <c r="N3716" s="7">
        <v>45.625</v>
      </c>
      <c r="O3716" s="7">
        <v>49.875</v>
      </c>
      <c r="P3716" s="2" t="s">
        <v>11605</v>
      </c>
      <c r="Q3716" s="6">
        <v>20.61</v>
      </c>
      <c r="R3716" s="6">
        <v>30.14</v>
      </c>
      <c r="S3716" s="5">
        <v>-2.5</v>
      </c>
      <c r="T3716" s="7">
        <v>110.738</v>
      </c>
      <c r="U3716" s="5">
        <v>4.5</v>
      </c>
      <c r="V3716" s="6">
        <v>-0.05</v>
      </c>
      <c r="W3716" s="4">
        <v>19</v>
      </c>
      <c r="X3716" s="7">
        <v>20.875</v>
      </c>
      <c r="Y3716" s="9">
        <v>30.9375</v>
      </c>
      <c r="Z3716" s="9">
        <v>32.8125</v>
      </c>
      <c r="AA3716" s="6">
        <v>53.42</v>
      </c>
      <c r="AB3716" s="7">
        <v>29.997</v>
      </c>
      <c r="AC3716" s="6">
        <v>52.38</v>
      </c>
    </row>
    <row r="3717" spans="1:29" ht="104" x14ac:dyDescent="0.15">
      <c r="A3717" s="3">
        <f t="shared" si="60"/>
        <v>35856</v>
      </c>
      <c r="B3717" s="3">
        <f>DATE(1998,8,17)</f>
        <v>36024</v>
      </c>
      <c r="C3717" s="2" t="s">
        <v>95</v>
      </c>
      <c r="D3717" s="2" t="s">
        <v>11606</v>
      </c>
      <c r="E3717" s="2" t="s">
        <v>612</v>
      </c>
      <c r="F3717" s="4">
        <v>1311</v>
      </c>
      <c r="G3717" s="2" t="s">
        <v>148</v>
      </c>
      <c r="H3717" s="2" t="s">
        <v>34</v>
      </c>
      <c r="I3717" s="2" t="s">
        <v>5624</v>
      </c>
      <c r="J3717" s="2" t="s">
        <v>5625</v>
      </c>
      <c r="K3717" s="2" t="s">
        <v>439</v>
      </c>
      <c r="L3717" s="2" t="s">
        <v>34</v>
      </c>
      <c r="M3717" s="12">
        <v>3913.0610000000001</v>
      </c>
      <c r="N3717" s="7">
        <v>66.375</v>
      </c>
      <c r="O3717" s="9">
        <v>67.0625</v>
      </c>
      <c r="P3717" s="2" t="s">
        <v>11607</v>
      </c>
      <c r="Q3717" s="6">
        <v>100</v>
      </c>
      <c r="R3717" s="6">
        <v>14</v>
      </c>
      <c r="S3717" s="5">
        <v>-19.8</v>
      </c>
      <c r="T3717" s="7">
        <v>8.3559999999999999</v>
      </c>
      <c r="U3717" s="5">
        <v>0.3</v>
      </c>
      <c r="V3717" s="6">
        <v>-1.1000000000000001</v>
      </c>
      <c r="W3717" s="6">
        <v>12.75</v>
      </c>
      <c r="X3717" s="7">
        <v>12.875</v>
      </c>
      <c r="Y3717" s="7">
        <v>13.375</v>
      </c>
      <c r="Z3717" s="6">
        <v>13.75</v>
      </c>
      <c r="AA3717" s="6">
        <v>20.86</v>
      </c>
      <c r="AB3717" s="7">
        <v>137.304</v>
      </c>
      <c r="AC3717" s="2"/>
    </row>
    <row r="3718" spans="1:29" ht="117" x14ac:dyDescent="0.15">
      <c r="A3718" s="3">
        <f t="shared" si="60"/>
        <v>35856</v>
      </c>
      <c r="B3718" s="3">
        <f>DATE(1998,4,30)</f>
        <v>35915</v>
      </c>
      <c r="C3718" s="2" t="s">
        <v>95</v>
      </c>
      <c r="D3718" s="2" t="s">
        <v>11608</v>
      </c>
      <c r="E3718" s="2" t="s">
        <v>11609</v>
      </c>
      <c r="F3718" s="4">
        <v>3669</v>
      </c>
      <c r="G3718" s="2" t="s">
        <v>921</v>
      </c>
      <c r="H3718" s="2" t="s">
        <v>34</v>
      </c>
      <c r="I3718" s="2" t="s">
        <v>10815</v>
      </c>
      <c r="J3718" s="2" t="s">
        <v>10816</v>
      </c>
      <c r="K3718" s="2" t="s">
        <v>1227</v>
      </c>
      <c r="L3718" s="2" t="s">
        <v>34</v>
      </c>
      <c r="M3718" s="12">
        <v>3167.817</v>
      </c>
      <c r="N3718" s="7">
        <v>45.625</v>
      </c>
      <c r="O3718" s="7">
        <v>49.875</v>
      </c>
      <c r="P3718" s="2" t="s">
        <v>11610</v>
      </c>
      <c r="Q3718" s="6">
        <v>100</v>
      </c>
      <c r="R3718" s="6">
        <v>5.25</v>
      </c>
      <c r="S3718" s="5">
        <v>-7.8</v>
      </c>
      <c r="T3718" s="7">
        <v>-1.621</v>
      </c>
      <c r="U3718" s="5">
        <v>3.3</v>
      </c>
      <c r="V3718" s="7">
        <v>-0.32300000000000001</v>
      </c>
      <c r="W3718" s="6">
        <v>2.75</v>
      </c>
      <c r="X3718" s="7">
        <v>3.125</v>
      </c>
      <c r="Y3718" s="7">
        <v>5.1559999999999997</v>
      </c>
      <c r="Z3718" s="7">
        <v>5.141</v>
      </c>
      <c r="AA3718" s="6">
        <v>24.34</v>
      </c>
      <c r="AB3718" s="2" t="s">
        <v>86</v>
      </c>
      <c r="AC3718" s="6">
        <v>52.38</v>
      </c>
    </row>
    <row r="3719" spans="1:29" ht="117" x14ac:dyDescent="0.15">
      <c r="A3719" s="3">
        <f t="shared" si="60"/>
        <v>35856</v>
      </c>
      <c r="B3719" s="3">
        <f>DATE(1998,5,19)</f>
        <v>35934</v>
      </c>
      <c r="C3719" s="2" t="s">
        <v>95</v>
      </c>
      <c r="D3719" s="2" t="s">
        <v>11611</v>
      </c>
      <c r="E3719" s="2" t="s">
        <v>11612</v>
      </c>
      <c r="F3719" s="4">
        <v>7372</v>
      </c>
      <c r="G3719" s="2" t="s">
        <v>551</v>
      </c>
      <c r="H3719" s="2" t="s">
        <v>34</v>
      </c>
      <c r="I3719" s="2" t="s">
        <v>11613</v>
      </c>
      <c r="J3719" s="2" t="s">
        <v>11614</v>
      </c>
      <c r="K3719" s="2" t="s">
        <v>551</v>
      </c>
      <c r="L3719" s="2" t="s">
        <v>34</v>
      </c>
      <c r="M3719" s="12">
        <v>1763.587</v>
      </c>
      <c r="N3719" s="7">
        <v>55.625</v>
      </c>
      <c r="O3719" s="7">
        <v>53.563000000000002</v>
      </c>
      <c r="P3719" s="2" t="s">
        <v>11615</v>
      </c>
      <c r="Q3719" s="6">
        <v>100</v>
      </c>
      <c r="R3719" s="6">
        <v>22.39</v>
      </c>
      <c r="S3719" s="5">
        <v>8.4</v>
      </c>
      <c r="T3719" s="7">
        <v>13.798</v>
      </c>
      <c r="U3719" s="5">
        <v>4.5999999999999996</v>
      </c>
      <c r="V3719" s="6">
        <v>7.0000000000000007E-2</v>
      </c>
      <c r="W3719" s="7">
        <v>11.563000000000001</v>
      </c>
      <c r="X3719" s="7">
        <v>14.125</v>
      </c>
      <c r="Y3719" s="7">
        <v>18.562999999999999</v>
      </c>
      <c r="Z3719" s="5">
        <v>18.5</v>
      </c>
      <c r="AA3719" s="6">
        <v>20.55</v>
      </c>
      <c r="AB3719" s="7">
        <v>34.692999999999998</v>
      </c>
      <c r="AC3719" s="6">
        <v>57.85</v>
      </c>
    </row>
    <row r="3720" spans="1:29" ht="104" x14ac:dyDescent="0.15">
      <c r="A3720" s="3">
        <f t="shared" si="60"/>
        <v>35856</v>
      </c>
      <c r="B3720" s="3">
        <f>DATE(1998,7,1)</f>
        <v>35977</v>
      </c>
      <c r="C3720" s="2" t="s">
        <v>95</v>
      </c>
      <c r="D3720" s="2" t="s">
        <v>11616</v>
      </c>
      <c r="E3720" s="2" t="s">
        <v>11617</v>
      </c>
      <c r="F3720" s="4">
        <v>2656</v>
      </c>
      <c r="G3720" s="2" t="s">
        <v>282</v>
      </c>
      <c r="H3720" s="2" t="s">
        <v>34</v>
      </c>
      <c r="I3720" s="2" t="s">
        <v>11618</v>
      </c>
      <c r="J3720" s="2" t="s">
        <v>11619</v>
      </c>
      <c r="K3720" s="2" t="s">
        <v>282</v>
      </c>
      <c r="L3720" s="2" t="s">
        <v>11620</v>
      </c>
      <c r="M3720" s="2"/>
      <c r="N3720" s="2"/>
      <c r="O3720" s="2"/>
      <c r="P3720" s="2" t="s">
        <v>11621</v>
      </c>
      <c r="Q3720" s="6">
        <v>100</v>
      </c>
      <c r="R3720" s="6">
        <v>11</v>
      </c>
      <c r="S3720" s="5">
        <v>0.2</v>
      </c>
      <c r="T3720" s="7">
        <v>23.027000000000001</v>
      </c>
      <c r="U3720" s="5">
        <v>8.3000000000000007</v>
      </c>
      <c r="V3720" s="6">
        <v>0.02</v>
      </c>
      <c r="W3720" s="7">
        <v>11.125</v>
      </c>
      <c r="X3720" s="6">
        <v>11.25</v>
      </c>
      <c r="Y3720" s="7">
        <v>11.125</v>
      </c>
      <c r="Z3720" s="5">
        <v>13.5</v>
      </c>
      <c r="AA3720" s="6">
        <v>11.07</v>
      </c>
      <c r="AB3720" s="7">
        <v>42.267000000000003</v>
      </c>
      <c r="AC3720" s="6">
        <v>118.33</v>
      </c>
    </row>
    <row r="3721" spans="1:29" ht="78" x14ac:dyDescent="0.15">
      <c r="A3721" s="3">
        <f>DATE(1998,3,3)</f>
        <v>35857</v>
      </c>
      <c r="B3721" s="2"/>
      <c r="C3721" s="2" t="s">
        <v>30</v>
      </c>
      <c r="D3721" s="2" t="s">
        <v>11622</v>
      </c>
      <c r="E3721" s="2" t="s">
        <v>1620</v>
      </c>
      <c r="F3721" s="4">
        <v>6799</v>
      </c>
      <c r="G3721" s="2" t="s">
        <v>53</v>
      </c>
      <c r="H3721" s="2" t="s">
        <v>34</v>
      </c>
      <c r="I3721" s="2" t="s">
        <v>11623</v>
      </c>
      <c r="J3721" s="2" t="s">
        <v>11624</v>
      </c>
      <c r="K3721" s="2" t="s">
        <v>921</v>
      </c>
      <c r="L3721" s="2" t="s">
        <v>34</v>
      </c>
      <c r="M3721" s="7">
        <v>20.602</v>
      </c>
      <c r="N3721" s="6">
        <v>3.75</v>
      </c>
      <c r="O3721" s="7">
        <v>3.375</v>
      </c>
      <c r="P3721" s="2" t="s">
        <v>11625</v>
      </c>
      <c r="Q3721" s="2"/>
      <c r="R3721" s="2"/>
      <c r="S3721" s="5">
        <v>-4.2</v>
      </c>
      <c r="T3721" s="6">
        <v>-1.73</v>
      </c>
      <c r="U3721" s="5">
        <v>0.8</v>
      </c>
      <c r="V3721" s="7">
        <v>-0.19500000000000001</v>
      </c>
      <c r="W3721" s="7">
        <v>2.0310000000000001</v>
      </c>
      <c r="X3721" s="7">
        <v>2.1880000000000002</v>
      </c>
      <c r="Y3721" s="11">
        <v>2.59375</v>
      </c>
      <c r="Z3721" s="11">
        <v>2.46875</v>
      </c>
      <c r="AA3721" s="6">
        <v>22.8</v>
      </c>
      <c r="AB3721" s="2" t="s">
        <v>86</v>
      </c>
      <c r="AC3721" s="2"/>
    </row>
    <row r="3722" spans="1:29" ht="143" x14ac:dyDescent="0.15">
      <c r="A3722" s="3">
        <f>DATE(1998,3,3)</f>
        <v>35857</v>
      </c>
      <c r="B3722" s="3">
        <f>DATE(1998,8,17)</f>
        <v>36024</v>
      </c>
      <c r="C3722" s="2" t="s">
        <v>95</v>
      </c>
      <c r="D3722" s="2" t="s">
        <v>11626</v>
      </c>
      <c r="E3722" s="2" t="s">
        <v>36</v>
      </c>
      <c r="F3722" s="4">
        <v>6021</v>
      </c>
      <c r="G3722" s="2" t="s">
        <v>37</v>
      </c>
      <c r="H3722" s="2" t="s">
        <v>34</v>
      </c>
      <c r="I3722" s="2" t="s">
        <v>4381</v>
      </c>
      <c r="J3722" s="2" t="s">
        <v>263</v>
      </c>
      <c r="K3722" s="2" t="s">
        <v>37</v>
      </c>
      <c r="L3722" s="2" t="s">
        <v>34</v>
      </c>
      <c r="M3722" s="7">
        <v>758.29100000000005</v>
      </c>
      <c r="N3722" s="5">
        <v>36.5</v>
      </c>
      <c r="O3722" s="7">
        <v>36.063000000000002</v>
      </c>
      <c r="P3722" s="2" t="s">
        <v>11627</v>
      </c>
      <c r="Q3722" s="6">
        <v>100</v>
      </c>
      <c r="R3722" s="6">
        <v>25.28</v>
      </c>
      <c r="S3722" s="5">
        <v>0.8</v>
      </c>
      <c r="T3722" s="7">
        <v>1.4510000000000001</v>
      </c>
      <c r="U3722" s="5">
        <v>11.2</v>
      </c>
      <c r="V3722" s="7">
        <v>0.73299999999999998</v>
      </c>
      <c r="W3722" s="7">
        <v>24.562999999999999</v>
      </c>
      <c r="X3722" s="4">
        <v>25</v>
      </c>
      <c r="Y3722" s="4">
        <v>26</v>
      </c>
      <c r="Z3722" s="6">
        <v>24.25</v>
      </c>
      <c r="AA3722" s="6">
        <v>0.98</v>
      </c>
      <c r="AB3722" s="7">
        <v>130.34200000000001</v>
      </c>
      <c r="AC3722" s="2"/>
    </row>
    <row r="3723" spans="1:29" ht="169" x14ac:dyDescent="0.15">
      <c r="A3723" s="3">
        <f>DATE(1998,3,3)</f>
        <v>35857</v>
      </c>
      <c r="B3723" s="3">
        <f>DATE(1998,5,27)</f>
        <v>35942</v>
      </c>
      <c r="C3723" s="2" t="s">
        <v>95</v>
      </c>
      <c r="D3723" s="2" t="s">
        <v>11628</v>
      </c>
      <c r="E3723" s="2" t="s">
        <v>8408</v>
      </c>
      <c r="F3723" s="4">
        <v>1389</v>
      </c>
      <c r="G3723" s="2" t="s">
        <v>148</v>
      </c>
      <c r="H3723" s="2" t="s">
        <v>34</v>
      </c>
      <c r="I3723" s="2" t="s">
        <v>11629</v>
      </c>
      <c r="J3723" s="2" t="s">
        <v>2180</v>
      </c>
      <c r="K3723" s="2" t="s">
        <v>300</v>
      </c>
      <c r="L3723" s="2" t="s">
        <v>34</v>
      </c>
      <c r="M3723" s="12">
        <v>2057.7249999999999</v>
      </c>
      <c r="N3723" s="9">
        <v>52.8125</v>
      </c>
      <c r="O3723" s="9">
        <v>48.6875</v>
      </c>
      <c r="P3723" s="2" t="s">
        <v>11630</v>
      </c>
      <c r="Q3723" s="6">
        <v>100</v>
      </c>
      <c r="R3723" s="6">
        <v>50.17</v>
      </c>
      <c r="S3723" s="5">
        <v>112.9</v>
      </c>
      <c r="T3723" s="7">
        <v>320.22399999999999</v>
      </c>
      <c r="U3723" s="5">
        <v>17.8</v>
      </c>
      <c r="V3723" s="6">
        <v>2.14</v>
      </c>
      <c r="W3723" s="7">
        <v>31.437999999999999</v>
      </c>
      <c r="X3723" s="7">
        <v>35.875</v>
      </c>
      <c r="Y3723" s="4">
        <v>44</v>
      </c>
      <c r="Z3723" s="4">
        <v>44</v>
      </c>
      <c r="AA3723" s="6">
        <v>52.66</v>
      </c>
      <c r="AB3723" s="7">
        <v>13.497</v>
      </c>
      <c r="AC3723" s="6">
        <v>31.86</v>
      </c>
    </row>
    <row r="3724" spans="1:29" ht="26" x14ac:dyDescent="0.15">
      <c r="A3724" s="3">
        <f>DATE(1998,3,4)</f>
        <v>35858</v>
      </c>
      <c r="B3724" s="2"/>
      <c r="C3724" s="2" t="s">
        <v>30</v>
      </c>
      <c r="D3724" s="2" t="s">
        <v>11631</v>
      </c>
      <c r="E3724" s="2" t="s">
        <v>7706</v>
      </c>
      <c r="F3724" s="4">
        <v>7011</v>
      </c>
      <c r="G3724" s="2" t="s">
        <v>269</v>
      </c>
      <c r="H3724" s="2" t="s">
        <v>34</v>
      </c>
      <c r="I3724" s="2" t="s">
        <v>267</v>
      </c>
      <c r="J3724" s="2" t="s">
        <v>268</v>
      </c>
      <c r="K3724" s="2" t="s">
        <v>269</v>
      </c>
      <c r="L3724" s="2" t="s">
        <v>34</v>
      </c>
      <c r="M3724" s="12">
        <v>7321.6729999999998</v>
      </c>
      <c r="N3724" s="7">
        <v>32.313000000000002</v>
      </c>
      <c r="O3724" s="7">
        <v>32.063000000000002</v>
      </c>
      <c r="P3724" s="2" t="s">
        <v>11632</v>
      </c>
      <c r="Q3724" s="2"/>
      <c r="R3724" s="2"/>
      <c r="S3724" s="5">
        <v>89.9</v>
      </c>
      <c r="T3724" s="7">
        <v>305.25099999999998</v>
      </c>
      <c r="U3724" s="5">
        <v>11.8</v>
      </c>
      <c r="V3724" s="6">
        <v>0.94</v>
      </c>
      <c r="W3724" s="7">
        <v>22.375</v>
      </c>
      <c r="X3724" s="7">
        <v>22.562999999999999</v>
      </c>
      <c r="Y3724" s="6">
        <v>22.25</v>
      </c>
      <c r="Z3724" s="6">
        <v>22.25</v>
      </c>
      <c r="AA3724" s="6">
        <v>95.08</v>
      </c>
      <c r="AB3724" s="2" t="s">
        <v>47</v>
      </c>
      <c r="AC3724" s="5">
        <v>373</v>
      </c>
    </row>
    <row r="3725" spans="1:29" ht="117" x14ac:dyDescent="0.15">
      <c r="A3725" s="3">
        <f>DATE(1998,3,4)</f>
        <v>35858</v>
      </c>
      <c r="B3725" s="3">
        <f>DATE(1998,8,1)</f>
        <v>36008</v>
      </c>
      <c r="C3725" s="2" t="s">
        <v>95</v>
      </c>
      <c r="D3725" s="2" t="s">
        <v>11633</v>
      </c>
      <c r="E3725" s="2" t="s">
        <v>11634</v>
      </c>
      <c r="F3725" s="4">
        <v>3255</v>
      </c>
      <c r="G3725" s="2" t="s">
        <v>237</v>
      </c>
      <c r="H3725" s="2" t="s">
        <v>34</v>
      </c>
      <c r="I3725" s="2" t="s">
        <v>11635</v>
      </c>
      <c r="J3725" s="2" t="s">
        <v>429</v>
      </c>
      <c r="K3725" s="2" t="s">
        <v>237</v>
      </c>
      <c r="L3725" s="2" t="s">
        <v>34</v>
      </c>
      <c r="M3725" s="7">
        <v>371.87200000000001</v>
      </c>
      <c r="N3725" s="7">
        <v>16.312999999999999</v>
      </c>
      <c r="O3725" s="7">
        <v>15.875</v>
      </c>
      <c r="P3725" s="2" t="s">
        <v>11636</v>
      </c>
      <c r="Q3725" s="6">
        <v>100</v>
      </c>
      <c r="R3725" s="6">
        <v>22</v>
      </c>
      <c r="S3725" s="5">
        <v>8.1</v>
      </c>
      <c r="T3725" s="6">
        <v>24.75</v>
      </c>
      <c r="U3725" s="5">
        <v>16.2</v>
      </c>
      <c r="V3725" s="6">
        <v>0.98</v>
      </c>
      <c r="W3725" s="4">
        <v>16</v>
      </c>
      <c r="X3725" s="7">
        <v>17.687999999999999</v>
      </c>
      <c r="Y3725" s="7">
        <v>21.687999999999999</v>
      </c>
      <c r="Z3725" s="7">
        <v>21.625</v>
      </c>
      <c r="AA3725" s="6">
        <v>8.06</v>
      </c>
      <c r="AB3725" s="7">
        <v>17.61</v>
      </c>
      <c r="AC3725" s="2"/>
    </row>
    <row r="3726" spans="1:29" ht="130" x14ac:dyDescent="0.15">
      <c r="A3726" s="3">
        <f>DATE(1998,3,5)</f>
        <v>35859</v>
      </c>
      <c r="B3726" s="3">
        <f>DATE(1998,5,20)</f>
        <v>35935</v>
      </c>
      <c r="C3726" s="2" t="s">
        <v>95</v>
      </c>
      <c r="D3726" s="2" t="s">
        <v>1943</v>
      </c>
      <c r="E3726" s="2" t="s">
        <v>1944</v>
      </c>
      <c r="F3726" s="4">
        <v>5045</v>
      </c>
      <c r="G3726" s="2" t="s">
        <v>76</v>
      </c>
      <c r="H3726" s="2" t="s">
        <v>34</v>
      </c>
      <c r="I3726" s="2" t="s">
        <v>11637</v>
      </c>
      <c r="J3726" s="2" t="s">
        <v>11638</v>
      </c>
      <c r="K3726" s="2" t="s">
        <v>50</v>
      </c>
      <c r="L3726" s="2" t="s">
        <v>34</v>
      </c>
      <c r="M3726" s="12">
        <v>28107.868999999999</v>
      </c>
      <c r="N3726" s="7">
        <v>91.688000000000002</v>
      </c>
      <c r="O3726" s="7">
        <v>90.563000000000002</v>
      </c>
      <c r="P3726" s="2" t="s">
        <v>11639</v>
      </c>
      <c r="Q3726" s="6">
        <v>100</v>
      </c>
      <c r="R3726" s="6">
        <v>7.6</v>
      </c>
      <c r="S3726" s="5">
        <v>-104.1</v>
      </c>
      <c r="T3726" s="7">
        <v>-60.664999999999999</v>
      </c>
      <c r="U3726" s="5">
        <v>3.7</v>
      </c>
      <c r="V3726" s="6">
        <v>-2.98</v>
      </c>
      <c r="W3726" s="7">
        <v>6.375</v>
      </c>
      <c r="X3726" s="7">
        <v>7.1879999999999997</v>
      </c>
      <c r="Y3726" s="7">
        <v>7.125</v>
      </c>
      <c r="Z3726" s="7">
        <v>7.125</v>
      </c>
      <c r="AA3726" s="6">
        <v>41.79</v>
      </c>
      <c r="AB3726" s="2" t="s">
        <v>86</v>
      </c>
      <c r="AC3726" s="5">
        <v>75</v>
      </c>
    </row>
    <row r="3727" spans="1:29" ht="52" x14ac:dyDescent="0.15">
      <c r="A3727" s="3">
        <f>DATE(1998,3,5)</f>
        <v>35859</v>
      </c>
      <c r="B3727" s="2"/>
      <c r="C3727" s="2" t="s">
        <v>87</v>
      </c>
      <c r="D3727" s="2" t="s">
        <v>11640</v>
      </c>
      <c r="E3727" s="2" t="s">
        <v>11641</v>
      </c>
      <c r="F3727" s="4">
        <v>3161</v>
      </c>
      <c r="G3727" s="2" t="s">
        <v>326</v>
      </c>
      <c r="H3727" s="2" t="s">
        <v>34</v>
      </c>
      <c r="I3727" s="2" t="s">
        <v>10815</v>
      </c>
      <c r="J3727" s="2" t="s">
        <v>10816</v>
      </c>
      <c r="K3727" s="2" t="s">
        <v>1227</v>
      </c>
      <c r="L3727" s="2" t="s">
        <v>34</v>
      </c>
      <c r="M3727" s="12">
        <v>3125.0819999999999</v>
      </c>
      <c r="N3727" s="7">
        <v>51.625</v>
      </c>
      <c r="O3727" s="5">
        <v>51.5</v>
      </c>
      <c r="P3727" s="2" t="s">
        <v>11642</v>
      </c>
      <c r="Q3727" s="2"/>
      <c r="R3727" s="2"/>
      <c r="S3727" s="5">
        <v>56.9</v>
      </c>
      <c r="T3727" s="7">
        <v>99.762</v>
      </c>
      <c r="U3727" s="5">
        <v>10.3</v>
      </c>
      <c r="V3727" s="6">
        <v>2.7</v>
      </c>
      <c r="W3727" s="4">
        <v>34</v>
      </c>
      <c r="X3727" s="5">
        <v>34.5</v>
      </c>
      <c r="Y3727" s="7">
        <v>35.375</v>
      </c>
      <c r="Z3727" s="9">
        <v>35.5625</v>
      </c>
      <c r="AA3727" s="6">
        <v>20.37</v>
      </c>
      <c r="AB3727" s="2" t="s">
        <v>47</v>
      </c>
      <c r="AC3727" s="6">
        <v>52.38</v>
      </c>
    </row>
    <row r="3728" spans="1:29" ht="117" x14ac:dyDescent="0.15">
      <c r="A3728" s="3">
        <f>DATE(1998,3,5)</f>
        <v>35859</v>
      </c>
      <c r="B3728" s="3">
        <f>DATE(1998,5,20)</f>
        <v>35935</v>
      </c>
      <c r="C3728" s="2" t="s">
        <v>95</v>
      </c>
      <c r="D3728" s="2" t="s">
        <v>11643</v>
      </c>
      <c r="E3728" s="2" t="s">
        <v>11644</v>
      </c>
      <c r="F3728" s="4">
        <v>7373</v>
      </c>
      <c r="G3728" s="2" t="s">
        <v>223</v>
      </c>
      <c r="H3728" s="2" t="s">
        <v>34</v>
      </c>
      <c r="I3728" s="2" t="s">
        <v>11637</v>
      </c>
      <c r="J3728" s="2" t="s">
        <v>11638</v>
      </c>
      <c r="K3728" s="2" t="s">
        <v>50</v>
      </c>
      <c r="L3728" s="2" t="s">
        <v>34</v>
      </c>
      <c r="M3728" s="12">
        <v>28107.868999999999</v>
      </c>
      <c r="N3728" s="7">
        <v>91.688000000000002</v>
      </c>
      <c r="O3728" s="7">
        <v>90.563000000000002</v>
      </c>
      <c r="P3728" s="2" t="s">
        <v>11645</v>
      </c>
      <c r="Q3728" s="6">
        <v>30.32</v>
      </c>
      <c r="R3728" s="6">
        <v>20</v>
      </c>
      <c r="S3728" s="5">
        <v>3.9</v>
      </c>
      <c r="T3728" s="7">
        <v>11.839</v>
      </c>
      <c r="U3728" s="5">
        <v>3.4</v>
      </c>
      <c r="V3728" s="7">
        <v>0.22600000000000001</v>
      </c>
      <c r="W3728" s="7">
        <v>17.375</v>
      </c>
      <c r="X3728" s="5">
        <v>22.5</v>
      </c>
      <c r="Y3728" s="6">
        <v>19.25</v>
      </c>
      <c r="Z3728" s="7">
        <v>19.312999999999999</v>
      </c>
      <c r="AA3728" s="6">
        <v>16.66</v>
      </c>
      <c r="AB3728" s="7">
        <v>47.542000000000002</v>
      </c>
      <c r="AC3728" s="5">
        <v>75</v>
      </c>
    </row>
    <row r="3729" spans="1:29" ht="169" x14ac:dyDescent="0.15">
      <c r="A3729" s="3">
        <f>DATE(1998,3,6)</f>
        <v>35860</v>
      </c>
      <c r="B3729" s="3">
        <f>DATE(1998,7,31)</f>
        <v>36007</v>
      </c>
      <c r="C3729" s="2" t="s">
        <v>95</v>
      </c>
      <c r="D3729" s="2" t="s">
        <v>11646</v>
      </c>
      <c r="E3729" s="2" t="s">
        <v>11647</v>
      </c>
      <c r="F3729" s="4">
        <v>3334</v>
      </c>
      <c r="G3729" s="2" t="s">
        <v>163</v>
      </c>
      <c r="H3729" s="2" t="s">
        <v>34</v>
      </c>
      <c r="I3729" s="2" t="s">
        <v>11648</v>
      </c>
      <c r="J3729" s="2" t="s">
        <v>11649</v>
      </c>
      <c r="K3729" s="2" t="s">
        <v>76</v>
      </c>
      <c r="L3729" s="2" t="s">
        <v>34</v>
      </c>
      <c r="M3729" s="12">
        <v>13207.634</v>
      </c>
      <c r="N3729" s="7">
        <v>71.625</v>
      </c>
      <c r="O3729" s="7">
        <v>71.438000000000002</v>
      </c>
      <c r="P3729" s="2" t="s">
        <v>11650</v>
      </c>
      <c r="Q3729" s="6">
        <v>100</v>
      </c>
      <c r="R3729" s="6">
        <v>49.39</v>
      </c>
      <c r="S3729" s="5">
        <v>33.700000000000003</v>
      </c>
      <c r="T3729" s="5">
        <v>445.9</v>
      </c>
      <c r="U3729" s="5">
        <v>31.4</v>
      </c>
      <c r="V3729" s="6">
        <v>0.6</v>
      </c>
      <c r="W3729" s="7">
        <v>37.063000000000002</v>
      </c>
      <c r="X3729" s="7">
        <v>36.563000000000002</v>
      </c>
      <c r="Y3729" s="7">
        <v>36.688000000000002</v>
      </c>
      <c r="Z3729" s="4">
        <v>47</v>
      </c>
      <c r="AA3729" s="6">
        <v>54.81</v>
      </c>
      <c r="AB3729" s="7">
        <v>12.317</v>
      </c>
      <c r="AC3729" s="5">
        <v>906.4</v>
      </c>
    </row>
    <row r="3730" spans="1:29" ht="52" x14ac:dyDescent="0.15">
      <c r="A3730" s="3">
        <f>DATE(1998,3,6)</f>
        <v>35860</v>
      </c>
      <c r="B3730" s="3">
        <f>DATE(1998,5,21)</f>
        <v>35936</v>
      </c>
      <c r="C3730" s="2" t="s">
        <v>95</v>
      </c>
      <c r="D3730" s="2" t="s">
        <v>6932</v>
      </c>
      <c r="E3730" s="2" t="s">
        <v>6933</v>
      </c>
      <c r="F3730" s="4">
        <v>6552</v>
      </c>
      <c r="G3730" s="2" t="s">
        <v>109</v>
      </c>
      <c r="H3730" s="2" t="s">
        <v>34</v>
      </c>
      <c r="I3730" s="2" t="s">
        <v>11651</v>
      </c>
      <c r="J3730" s="2" t="s">
        <v>11652</v>
      </c>
      <c r="K3730" s="2" t="s">
        <v>53</v>
      </c>
      <c r="L3730" s="2" t="s">
        <v>34</v>
      </c>
      <c r="M3730" s="2"/>
      <c r="N3730" s="2"/>
      <c r="O3730" s="2"/>
      <c r="P3730" s="2" t="s">
        <v>11653</v>
      </c>
      <c r="Q3730" s="6">
        <v>100</v>
      </c>
      <c r="R3730" s="6">
        <v>1.25</v>
      </c>
      <c r="S3730" s="5">
        <v>-0.8</v>
      </c>
      <c r="T3730" s="7">
        <v>-0.71299999999999997</v>
      </c>
      <c r="U3730" s="5">
        <v>0.4</v>
      </c>
      <c r="V3730" s="7">
        <v>-0.11899999999999999</v>
      </c>
      <c r="W3730" s="7">
        <v>1.0469999999999999</v>
      </c>
      <c r="X3730" s="7">
        <v>1.0629999999999999</v>
      </c>
      <c r="Y3730" s="7">
        <v>1.2190000000000001</v>
      </c>
      <c r="Z3730" s="7">
        <v>1.1879999999999999</v>
      </c>
      <c r="AA3730" s="6">
        <v>6.89</v>
      </c>
      <c r="AB3730" s="2" t="s">
        <v>86</v>
      </c>
      <c r="AC3730" s="2"/>
    </row>
    <row r="3731" spans="1:29" ht="91" x14ac:dyDescent="0.15">
      <c r="A3731" s="3">
        <f>DATE(1998,3,6)</f>
        <v>35860</v>
      </c>
      <c r="B3731" s="3">
        <f>DATE(1998,4,30)</f>
        <v>35915</v>
      </c>
      <c r="C3731" s="2" t="s">
        <v>95</v>
      </c>
      <c r="D3731" s="2" t="s">
        <v>11654</v>
      </c>
      <c r="E3731" s="2" t="s">
        <v>11655</v>
      </c>
      <c r="F3731" s="4">
        <v>3577</v>
      </c>
      <c r="G3731" s="2" t="s">
        <v>50</v>
      </c>
      <c r="H3731" s="2" t="s">
        <v>34</v>
      </c>
      <c r="I3731" s="2" t="s">
        <v>11656</v>
      </c>
      <c r="J3731" s="2" t="s">
        <v>11657</v>
      </c>
      <c r="K3731" s="2" t="s">
        <v>137</v>
      </c>
      <c r="L3731" s="2" t="s">
        <v>2823</v>
      </c>
      <c r="M3731" s="2"/>
      <c r="N3731" s="2"/>
      <c r="O3731" s="2"/>
      <c r="P3731" s="2" t="s">
        <v>11658</v>
      </c>
      <c r="Q3731" s="6">
        <v>100</v>
      </c>
      <c r="R3731" s="6">
        <v>11</v>
      </c>
      <c r="S3731" s="5">
        <v>-8.6</v>
      </c>
      <c r="T3731" s="6">
        <v>-11.16</v>
      </c>
      <c r="U3731" s="5">
        <v>9</v>
      </c>
      <c r="V3731" s="7">
        <v>-1.228</v>
      </c>
      <c r="W3731" s="6">
        <v>8.75</v>
      </c>
      <c r="X3731" s="7">
        <v>8.375</v>
      </c>
      <c r="Y3731" s="7">
        <v>8.3130000000000006</v>
      </c>
      <c r="Z3731" s="7">
        <v>10.625</v>
      </c>
      <c r="AA3731" s="6">
        <v>7.46</v>
      </c>
      <c r="AB3731" s="2" t="s">
        <v>86</v>
      </c>
      <c r="AC3731" s="2"/>
    </row>
    <row r="3732" spans="1:29" ht="169" x14ac:dyDescent="0.15">
      <c r="A3732" s="3">
        <f>DATE(1998,3,6)</f>
        <v>35860</v>
      </c>
      <c r="B3732" s="3">
        <f>DATE(1998,8,31)</f>
        <v>36038</v>
      </c>
      <c r="C3732" s="2" t="s">
        <v>95</v>
      </c>
      <c r="D3732" s="2" t="s">
        <v>11659</v>
      </c>
      <c r="E3732" s="2" t="s">
        <v>36</v>
      </c>
      <c r="F3732" s="4">
        <v>6035</v>
      </c>
      <c r="G3732" s="2" t="s">
        <v>33</v>
      </c>
      <c r="H3732" s="2" t="s">
        <v>34</v>
      </c>
      <c r="I3732" s="2" t="s">
        <v>11660</v>
      </c>
      <c r="J3732" s="2" t="s">
        <v>3246</v>
      </c>
      <c r="K3732" s="2" t="s">
        <v>37</v>
      </c>
      <c r="L3732" s="2" t="s">
        <v>34</v>
      </c>
      <c r="M3732" s="7">
        <v>139.828</v>
      </c>
      <c r="N3732" s="6">
        <v>22.25</v>
      </c>
      <c r="O3732" s="7">
        <v>21.875</v>
      </c>
      <c r="P3732" s="2" t="s">
        <v>11661</v>
      </c>
      <c r="Q3732" s="6">
        <v>100</v>
      </c>
      <c r="R3732" s="6">
        <v>16.8</v>
      </c>
      <c r="S3732" s="5">
        <v>1.1000000000000001</v>
      </c>
      <c r="T3732" s="7">
        <v>1.944</v>
      </c>
      <c r="U3732" s="5">
        <v>14.7</v>
      </c>
      <c r="V3732" s="6">
        <v>0.77</v>
      </c>
      <c r="W3732" s="7">
        <v>18.594000000000001</v>
      </c>
      <c r="X3732" s="4">
        <v>19</v>
      </c>
      <c r="Y3732" s="6">
        <v>19.25</v>
      </c>
      <c r="Z3732" s="6">
        <v>20.25</v>
      </c>
      <c r="AA3732" s="6">
        <v>1.48</v>
      </c>
      <c r="AB3732" s="7">
        <v>13.484999999999999</v>
      </c>
      <c r="AC3732" s="2"/>
    </row>
    <row r="3733" spans="1:29" ht="143" x14ac:dyDescent="0.15">
      <c r="A3733" s="3">
        <f>DATE(1998,3,6)</f>
        <v>35860</v>
      </c>
      <c r="B3733" s="3">
        <f>DATE(1998,9,11)</f>
        <v>36049</v>
      </c>
      <c r="C3733" s="2" t="s">
        <v>95</v>
      </c>
      <c r="D3733" s="2" t="s">
        <v>11662</v>
      </c>
      <c r="E3733" s="2" t="s">
        <v>11663</v>
      </c>
      <c r="F3733" s="4">
        <v>6324</v>
      </c>
      <c r="G3733" s="2" t="s">
        <v>125</v>
      </c>
      <c r="H3733" s="2" t="s">
        <v>34</v>
      </c>
      <c r="I3733" s="2" t="s">
        <v>11664</v>
      </c>
      <c r="J3733" s="2" t="s">
        <v>515</v>
      </c>
      <c r="K3733" s="2" t="s">
        <v>125</v>
      </c>
      <c r="L3733" s="2" t="s">
        <v>34</v>
      </c>
      <c r="M3733" s="12">
        <v>1956.9649999999999</v>
      </c>
      <c r="N3733" s="7">
        <v>69.938000000000002</v>
      </c>
      <c r="O3733" s="7">
        <v>69.938000000000002</v>
      </c>
      <c r="P3733" s="2" t="s">
        <v>11665</v>
      </c>
      <c r="Q3733" s="6">
        <v>100</v>
      </c>
      <c r="R3733" s="6">
        <v>19.579999999999998</v>
      </c>
      <c r="S3733" s="5">
        <v>-2.8</v>
      </c>
      <c r="T3733" s="7">
        <v>6.4870000000000001</v>
      </c>
      <c r="U3733" s="5">
        <v>13.8</v>
      </c>
      <c r="V3733" s="6">
        <v>-0.32</v>
      </c>
      <c r="W3733" s="7">
        <v>13.125</v>
      </c>
      <c r="X3733" s="6">
        <v>16.25</v>
      </c>
      <c r="Y3733" s="7">
        <v>16.875</v>
      </c>
      <c r="Z3733" s="5">
        <v>16.5</v>
      </c>
      <c r="AA3733" s="6">
        <v>8.9499999999999993</v>
      </c>
      <c r="AB3733" s="7">
        <v>123.343</v>
      </c>
      <c r="AC3733" s="6">
        <v>47.5</v>
      </c>
    </row>
    <row r="3734" spans="1:29" ht="143" x14ac:dyDescent="0.15">
      <c r="A3734" s="3">
        <f t="shared" ref="A3734:A3740" si="61">DATE(1998,3,9)</f>
        <v>35863</v>
      </c>
      <c r="B3734" s="3">
        <f>DATE(1998,6,3)</f>
        <v>35949</v>
      </c>
      <c r="C3734" s="2" t="s">
        <v>95</v>
      </c>
      <c r="D3734" s="2" t="s">
        <v>11666</v>
      </c>
      <c r="E3734" s="2" t="s">
        <v>92</v>
      </c>
      <c r="F3734" s="4">
        <v>6798</v>
      </c>
      <c r="G3734" s="2" t="s">
        <v>53</v>
      </c>
      <c r="H3734" s="2" t="s">
        <v>34</v>
      </c>
      <c r="I3734" s="2" t="s">
        <v>11667</v>
      </c>
      <c r="J3734" s="2" t="s">
        <v>92</v>
      </c>
      <c r="K3734" s="2" t="s">
        <v>53</v>
      </c>
      <c r="L3734" s="2" t="s">
        <v>34</v>
      </c>
      <c r="M3734" s="7">
        <v>950.28599999999994</v>
      </c>
      <c r="N3734" s="6">
        <v>37.25</v>
      </c>
      <c r="O3734" s="7">
        <v>37.313000000000002</v>
      </c>
      <c r="P3734" s="2" t="s">
        <v>11668</v>
      </c>
      <c r="Q3734" s="6">
        <v>100</v>
      </c>
      <c r="R3734" s="6">
        <v>28.43</v>
      </c>
      <c r="S3734" s="5">
        <v>65.400000000000006</v>
      </c>
      <c r="T3734" s="7">
        <v>87.325999999999993</v>
      </c>
      <c r="U3734" s="5">
        <v>17.7</v>
      </c>
      <c r="V3734" s="6">
        <v>1.26</v>
      </c>
      <c r="W3734" s="7">
        <v>28.812999999999999</v>
      </c>
      <c r="X3734" s="7">
        <v>28.812999999999999</v>
      </c>
      <c r="Y3734" s="7">
        <v>28.875</v>
      </c>
      <c r="Z3734" s="6">
        <v>27.75</v>
      </c>
      <c r="AA3734" s="6">
        <v>41.98</v>
      </c>
      <c r="AB3734" s="7">
        <v>32.905000000000001</v>
      </c>
      <c r="AC3734" s="6">
        <v>4.79</v>
      </c>
    </row>
    <row r="3735" spans="1:29" ht="195" x14ac:dyDescent="0.15">
      <c r="A3735" s="3">
        <f t="shared" si="61"/>
        <v>35863</v>
      </c>
      <c r="B3735" s="3">
        <f>DATE(1998,8,14)</f>
        <v>36021</v>
      </c>
      <c r="C3735" s="2" t="s">
        <v>95</v>
      </c>
      <c r="D3735" s="2" t="s">
        <v>11669</v>
      </c>
      <c r="E3735" s="2" t="s">
        <v>6652</v>
      </c>
      <c r="F3735" s="4">
        <v>6035</v>
      </c>
      <c r="G3735" s="2" t="s">
        <v>33</v>
      </c>
      <c r="H3735" s="2" t="s">
        <v>34</v>
      </c>
      <c r="I3735" s="2" t="s">
        <v>3861</v>
      </c>
      <c r="J3735" s="2" t="s">
        <v>1181</v>
      </c>
      <c r="K3735" s="2" t="s">
        <v>37</v>
      </c>
      <c r="L3735" s="2" t="s">
        <v>34</v>
      </c>
      <c r="M3735" s="12">
        <v>1164.8119999999999</v>
      </c>
      <c r="N3735" s="7">
        <v>33.688000000000002</v>
      </c>
      <c r="O3735" s="7">
        <v>34.313000000000002</v>
      </c>
      <c r="P3735" s="2" t="s">
        <v>11670</v>
      </c>
      <c r="Q3735" s="6">
        <v>100</v>
      </c>
      <c r="R3735" s="6">
        <v>25.54</v>
      </c>
      <c r="S3735" s="5">
        <v>19.899999999999999</v>
      </c>
      <c r="T3735" s="7">
        <v>33.345999999999997</v>
      </c>
      <c r="U3735" s="5">
        <v>12.5</v>
      </c>
      <c r="V3735" s="6">
        <v>1.25</v>
      </c>
      <c r="W3735" s="5">
        <v>25.5</v>
      </c>
      <c r="X3735" s="6">
        <v>28.25</v>
      </c>
      <c r="Y3735" s="5">
        <v>28.5</v>
      </c>
      <c r="Z3735" s="7">
        <v>28.562999999999999</v>
      </c>
      <c r="AA3735" s="6">
        <v>16.79</v>
      </c>
      <c r="AB3735" s="7">
        <v>18.172000000000001</v>
      </c>
      <c r="AC3735" s="2"/>
    </row>
    <row r="3736" spans="1:29" ht="52" x14ac:dyDescent="0.15">
      <c r="A3736" s="3">
        <f t="shared" si="61"/>
        <v>35863</v>
      </c>
      <c r="B3736" s="3">
        <f>DATE(1998,8,31)</f>
        <v>36038</v>
      </c>
      <c r="C3736" s="2" t="s">
        <v>95</v>
      </c>
      <c r="D3736" s="2" t="s">
        <v>11671</v>
      </c>
      <c r="E3736" s="2" t="s">
        <v>11672</v>
      </c>
      <c r="F3736" s="4">
        <v>6311</v>
      </c>
      <c r="G3736" s="2" t="s">
        <v>125</v>
      </c>
      <c r="H3736" s="2" t="s">
        <v>34</v>
      </c>
      <c r="I3736" s="2" t="s">
        <v>11673</v>
      </c>
      <c r="J3736" s="2" t="s">
        <v>124</v>
      </c>
      <c r="K3736" s="2" t="s">
        <v>125</v>
      </c>
      <c r="L3736" s="2" t="s">
        <v>2105</v>
      </c>
      <c r="M3736" s="2"/>
      <c r="N3736" s="2"/>
      <c r="O3736" s="2"/>
      <c r="P3736" s="2" t="s">
        <v>11674</v>
      </c>
      <c r="Q3736" s="6">
        <v>100</v>
      </c>
      <c r="R3736" s="6">
        <v>22.5</v>
      </c>
      <c r="S3736" s="5">
        <v>-7.8</v>
      </c>
      <c r="T3736" s="2"/>
      <c r="U3736" s="5">
        <v>17.600000000000001</v>
      </c>
      <c r="V3736" s="6">
        <v>-0.3</v>
      </c>
      <c r="W3736" s="5">
        <v>22.5</v>
      </c>
      <c r="X3736" s="6">
        <v>22.62</v>
      </c>
      <c r="Y3736" s="5">
        <v>21.5</v>
      </c>
      <c r="Z3736" s="7">
        <v>21.625</v>
      </c>
      <c r="AA3736" s="6">
        <v>25.6</v>
      </c>
      <c r="AB3736" s="2" t="s">
        <v>86</v>
      </c>
      <c r="AC3736" s="2"/>
    </row>
    <row r="3737" spans="1:29" ht="78" x14ac:dyDescent="0.15">
      <c r="A3737" s="3">
        <f t="shared" si="61"/>
        <v>35863</v>
      </c>
      <c r="B3737" s="3">
        <f>DATE(1998,6,5)</f>
        <v>35951</v>
      </c>
      <c r="C3737" s="2" t="s">
        <v>95</v>
      </c>
      <c r="D3737" s="2" t="s">
        <v>10530</v>
      </c>
      <c r="E3737" s="2" t="s">
        <v>973</v>
      </c>
      <c r="F3737" s="4">
        <v>4813</v>
      </c>
      <c r="G3737" s="2" t="s">
        <v>63</v>
      </c>
      <c r="H3737" s="2" t="s">
        <v>34</v>
      </c>
      <c r="I3737" s="2" t="s">
        <v>11268</v>
      </c>
      <c r="J3737" s="2" t="s">
        <v>1604</v>
      </c>
      <c r="K3737" s="2" t="s">
        <v>63</v>
      </c>
      <c r="L3737" s="2" t="s">
        <v>34</v>
      </c>
      <c r="M3737" s="12">
        <v>3706.6320000000001</v>
      </c>
      <c r="N3737" s="4">
        <v>36</v>
      </c>
      <c r="O3737" s="4">
        <v>37</v>
      </c>
      <c r="P3737" s="2" t="s">
        <v>11675</v>
      </c>
      <c r="Q3737" s="6">
        <v>100</v>
      </c>
      <c r="R3737" s="6">
        <v>42</v>
      </c>
      <c r="S3737" s="5">
        <v>31</v>
      </c>
      <c r="T3737" s="5">
        <v>248</v>
      </c>
      <c r="U3737" s="5">
        <v>5.8</v>
      </c>
      <c r="V3737" s="6">
        <v>0.32</v>
      </c>
      <c r="W3737" s="7">
        <v>33.813000000000002</v>
      </c>
      <c r="X3737" s="7">
        <v>34.375</v>
      </c>
      <c r="Y3737" s="7">
        <v>37.688000000000002</v>
      </c>
      <c r="Z3737" s="5">
        <v>39.5</v>
      </c>
      <c r="AA3737" s="6">
        <v>96.81</v>
      </c>
      <c r="AB3737" s="7">
        <v>31.449000000000002</v>
      </c>
      <c r="AC3737" s="6">
        <v>379.78</v>
      </c>
    </row>
    <row r="3738" spans="1:29" ht="52" x14ac:dyDescent="0.15">
      <c r="A3738" s="3">
        <f t="shared" si="61"/>
        <v>35863</v>
      </c>
      <c r="B3738" s="2"/>
      <c r="C3738" s="2" t="s">
        <v>30</v>
      </c>
      <c r="D3738" s="2" t="s">
        <v>11326</v>
      </c>
      <c r="E3738" s="2" t="s">
        <v>11327</v>
      </c>
      <c r="F3738" s="4">
        <v>3844</v>
      </c>
      <c r="G3738" s="2" t="s">
        <v>226</v>
      </c>
      <c r="H3738" s="2" t="s">
        <v>34</v>
      </c>
      <c r="I3738" s="2" t="s">
        <v>11328</v>
      </c>
      <c r="J3738" s="2" t="s">
        <v>11329</v>
      </c>
      <c r="K3738" s="2" t="s">
        <v>226</v>
      </c>
      <c r="L3738" s="2" t="s">
        <v>34</v>
      </c>
      <c r="M3738" s="7">
        <v>163.55600000000001</v>
      </c>
      <c r="N3738" s="7">
        <v>11.688000000000001</v>
      </c>
      <c r="O3738" s="7">
        <v>11.313000000000001</v>
      </c>
      <c r="P3738" s="2" t="s">
        <v>11676</v>
      </c>
      <c r="Q3738" s="2"/>
      <c r="R3738" s="2"/>
      <c r="S3738" s="5">
        <v>-3</v>
      </c>
      <c r="T3738" s="7">
        <v>-2.7909999999999999</v>
      </c>
      <c r="U3738" s="5">
        <v>-0.2</v>
      </c>
      <c r="V3738" s="7">
        <v>-0.77800000000000002</v>
      </c>
      <c r="W3738" s="7">
        <v>1.9379999999999999</v>
      </c>
      <c r="X3738" s="7">
        <v>1.9690000000000001</v>
      </c>
      <c r="Y3738" s="4">
        <v>2</v>
      </c>
      <c r="Z3738" s="7">
        <v>1.9690000000000001</v>
      </c>
      <c r="AA3738" s="6">
        <v>4.16</v>
      </c>
      <c r="AB3738" s="2" t="s">
        <v>86</v>
      </c>
      <c r="AC3738" s="6">
        <v>21.54</v>
      </c>
    </row>
    <row r="3739" spans="1:29" ht="130" x14ac:dyDescent="0.15">
      <c r="A3739" s="3">
        <f t="shared" si="61"/>
        <v>35863</v>
      </c>
      <c r="B3739" s="3">
        <f>DATE(1998,6,25)</f>
        <v>35971</v>
      </c>
      <c r="C3739" s="2" t="s">
        <v>95</v>
      </c>
      <c r="D3739" s="2" t="s">
        <v>11677</v>
      </c>
      <c r="E3739" s="2" t="s">
        <v>1467</v>
      </c>
      <c r="F3739" s="4">
        <v>4812</v>
      </c>
      <c r="G3739" s="2" t="s">
        <v>63</v>
      </c>
      <c r="H3739" s="2" t="s">
        <v>34</v>
      </c>
      <c r="I3739" s="2" t="s">
        <v>11678</v>
      </c>
      <c r="J3739" s="2" t="s">
        <v>6088</v>
      </c>
      <c r="K3739" s="2" t="s">
        <v>63</v>
      </c>
      <c r="L3739" s="2" t="s">
        <v>34</v>
      </c>
      <c r="M3739" s="2"/>
      <c r="N3739" s="2"/>
      <c r="O3739" s="2"/>
      <c r="P3739" s="2" t="s">
        <v>11679</v>
      </c>
      <c r="Q3739" s="6">
        <v>100</v>
      </c>
      <c r="R3739" s="6">
        <v>14</v>
      </c>
      <c r="S3739" s="5">
        <v>-13.6</v>
      </c>
      <c r="T3739" s="7">
        <v>65.983000000000004</v>
      </c>
      <c r="U3739" s="5">
        <v>3.8</v>
      </c>
      <c r="V3739" s="6">
        <v>-0.37</v>
      </c>
      <c r="W3739" s="4">
        <v>12</v>
      </c>
      <c r="X3739" s="4">
        <v>13</v>
      </c>
      <c r="Y3739" s="7">
        <v>13.188000000000001</v>
      </c>
      <c r="Z3739" s="7">
        <v>13.063000000000001</v>
      </c>
      <c r="AA3739" s="6">
        <v>34.409999999999997</v>
      </c>
      <c r="AB3739" s="7">
        <v>34.917999999999999</v>
      </c>
      <c r="AC3739" s="2"/>
    </row>
    <row r="3740" spans="1:29" ht="117" x14ac:dyDescent="0.15">
      <c r="A3740" s="3">
        <f t="shared" si="61"/>
        <v>35863</v>
      </c>
      <c r="B3740" s="3">
        <f>DATE(1998,4,30)</f>
        <v>35915</v>
      </c>
      <c r="C3740" s="2" t="s">
        <v>95</v>
      </c>
      <c r="D3740" s="2" t="s">
        <v>11680</v>
      </c>
      <c r="E3740" s="2" t="s">
        <v>11681</v>
      </c>
      <c r="F3740" s="4">
        <v>1382</v>
      </c>
      <c r="G3740" s="2" t="s">
        <v>148</v>
      </c>
      <c r="H3740" s="2" t="s">
        <v>34</v>
      </c>
      <c r="I3740" s="2" t="s">
        <v>9175</v>
      </c>
      <c r="J3740" s="2" t="s">
        <v>612</v>
      </c>
      <c r="K3740" s="2" t="s">
        <v>148</v>
      </c>
      <c r="L3740" s="2" t="s">
        <v>34</v>
      </c>
      <c r="M3740" s="12">
        <v>3757.8240000000001</v>
      </c>
      <c r="N3740" s="7">
        <v>77.938000000000002</v>
      </c>
      <c r="O3740" s="7">
        <v>79.938000000000002</v>
      </c>
      <c r="P3740" s="2" t="s">
        <v>11682</v>
      </c>
      <c r="Q3740" s="6">
        <v>100</v>
      </c>
      <c r="R3740" s="6">
        <v>9.65</v>
      </c>
      <c r="S3740" s="5">
        <v>-1.3</v>
      </c>
      <c r="T3740" s="7">
        <v>2.6659999999999999</v>
      </c>
      <c r="U3740" s="5">
        <v>4.5</v>
      </c>
      <c r="V3740" s="7">
        <v>-0.184</v>
      </c>
      <c r="W3740" s="7">
        <v>8.3130000000000006</v>
      </c>
      <c r="X3740" s="7">
        <v>8.875</v>
      </c>
      <c r="Y3740" s="7">
        <v>9.375</v>
      </c>
      <c r="Z3740" s="7">
        <v>9.4060000000000006</v>
      </c>
      <c r="AA3740" s="6">
        <v>11.92</v>
      </c>
      <c r="AB3740" s="2" t="s">
        <v>86</v>
      </c>
      <c r="AC3740" s="6">
        <v>33.5</v>
      </c>
    </row>
    <row r="3741" spans="1:29" ht="78" x14ac:dyDescent="0.15">
      <c r="A3741" s="3">
        <f t="shared" ref="A3741:A3746" si="62">DATE(1998,3,10)</f>
        <v>35864</v>
      </c>
      <c r="B3741" s="3">
        <f>DATE(1998,6,19)</f>
        <v>35965</v>
      </c>
      <c r="C3741" s="2" t="s">
        <v>95</v>
      </c>
      <c r="D3741" s="2" t="s">
        <v>11683</v>
      </c>
      <c r="E3741" s="2" t="s">
        <v>11684</v>
      </c>
      <c r="F3741" s="4">
        <v>3679</v>
      </c>
      <c r="G3741" s="2" t="s">
        <v>137</v>
      </c>
      <c r="H3741" s="2" t="s">
        <v>34</v>
      </c>
      <c r="I3741" s="2" t="s">
        <v>11685</v>
      </c>
      <c r="J3741" s="2" t="s">
        <v>11686</v>
      </c>
      <c r="K3741" s="2" t="s">
        <v>137</v>
      </c>
      <c r="L3741" s="2" t="s">
        <v>34</v>
      </c>
      <c r="M3741" s="2"/>
      <c r="N3741" s="2"/>
      <c r="O3741" s="2"/>
      <c r="P3741" s="2" t="s">
        <v>11687</v>
      </c>
      <c r="Q3741" s="6">
        <v>100</v>
      </c>
      <c r="R3741" s="6">
        <v>13</v>
      </c>
      <c r="S3741" s="5">
        <v>3</v>
      </c>
      <c r="T3741" s="7">
        <v>5.9059999999999997</v>
      </c>
      <c r="U3741" s="5">
        <v>5.7</v>
      </c>
      <c r="V3741" s="6">
        <v>0.76</v>
      </c>
      <c r="W3741" s="7">
        <v>9.875</v>
      </c>
      <c r="X3741" s="6">
        <v>9.75</v>
      </c>
      <c r="Y3741" s="7">
        <v>9.875</v>
      </c>
      <c r="Z3741" s="7">
        <v>12.375</v>
      </c>
      <c r="AA3741" s="6">
        <v>3.82</v>
      </c>
      <c r="AB3741" s="7">
        <v>9.3580000000000005</v>
      </c>
      <c r="AC3741" s="2"/>
    </row>
    <row r="3742" spans="1:29" ht="104" x14ac:dyDescent="0.15">
      <c r="A3742" s="3">
        <f t="shared" si="62"/>
        <v>35864</v>
      </c>
      <c r="B3742" s="3">
        <f>DATE(1998,3,25)</f>
        <v>35879</v>
      </c>
      <c r="C3742" s="2" t="s">
        <v>95</v>
      </c>
      <c r="D3742" s="2" t="s">
        <v>7484</v>
      </c>
      <c r="E3742" s="2" t="s">
        <v>7485</v>
      </c>
      <c r="F3742" s="2" t="s">
        <v>3218</v>
      </c>
      <c r="G3742" s="2" t="s">
        <v>426</v>
      </c>
      <c r="H3742" s="2" t="s">
        <v>34</v>
      </c>
      <c r="I3742" s="2" t="s">
        <v>11688</v>
      </c>
      <c r="J3742" s="2" t="s">
        <v>7485</v>
      </c>
      <c r="K3742" s="2" t="s">
        <v>426</v>
      </c>
      <c r="L3742" s="2" t="s">
        <v>34</v>
      </c>
      <c r="M3742" s="2"/>
      <c r="N3742" s="2"/>
      <c r="O3742" s="2"/>
      <c r="P3742" s="2" t="s">
        <v>11689</v>
      </c>
      <c r="Q3742" s="6">
        <v>15.57</v>
      </c>
      <c r="R3742" s="2"/>
      <c r="S3742" s="5">
        <v>845.3</v>
      </c>
      <c r="T3742" s="7">
        <v>184.149</v>
      </c>
      <c r="U3742" s="5">
        <v>9.6999999999999993</v>
      </c>
      <c r="V3742" s="6">
        <v>8.7799999999999994</v>
      </c>
      <c r="W3742" s="7">
        <v>10.375</v>
      </c>
      <c r="X3742" s="6">
        <v>10.25</v>
      </c>
      <c r="Y3742" s="9">
        <v>13.5625</v>
      </c>
      <c r="Z3742" s="9">
        <v>13.5625</v>
      </c>
      <c r="AA3742" s="6">
        <v>46.45</v>
      </c>
      <c r="AB3742" s="7">
        <v>6.8440000000000003</v>
      </c>
      <c r="AC3742" s="2"/>
    </row>
    <row r="3743" spans="1:29" ht="52" x14ac:dyDescent="0.15">
      <c r="A3743" s="3">
        <f t="shared" si="62"/>
        <v>35864</v>
      </c>
      <c r="B3743" s="3">
        <f>DATE(1998,6,5)</f>
        <v>35951</v>
      </c>
      <c r="C3743" s="2" t="s">
        <v>95</v>
      </c>
      <c r="D3743" s="2" t="s">
        <v>11690</v>
      </c>
      <c r="E3743" s="2" t="s">
        <v>11691</v>
      </c>
      <c r="F3743" s="4">
        <v>3531</v>
      </c>
      <c r="G3743" s="2" t="s">
        <v>300</v>
      </c>
      <c r="H3743" s="2" t="s">
        <v>34</v>
      </c>
      <c r="I3743" s="2" t="s">
        <v>11692</v>
      </c>
      <c r="J3743" s="2" t="s">
        <v>302</v>
      </c>
      <c r="K3743" s="2" t="s">
        <v>53</v>
      </c>
      <c r="L3743" s="2" t="s">
        <v>34</v>
      </c>
      <c r="M3743" s="2"/>
      <c r="N3743" s="2"/>
      <c r="O3743" s="2"/>
      <c r="P3743" s="2" t="s">
        <v>11693</v>
      </c>
      <c r="Q3743" s="6">
        <v>86.44</v>
      </c>
      <c r="R3743" s="6">
        <v>16</v>
      </c>
      <c r="S3743" s="5">
        <v>1.2</v>
      </c>
      <c r="T3743" s="7">
        <v>2.9550000000000001</v>
      </c>
      <c r="U3743" s="5">
        <v>11.2</v>
      </c>
      <c r="V3743" s="6">
        <v>0.27</v>
      </c>
      <c r="W3743" s="7">
        <v>14.063000000000001</v>
      </c>
      <c r="X3743" s="6">
        <v>14.75</v>
      </c>
      <c r="Y3743" s="7">
        <v>14.688000000000001</v>
      </c>
      <c r="Z3743" s="7">
        <v>15.375</v>
      </c>
      <c r="AA3743" s="6">
        <v>4.4000000000000004</v>
      </c>
      <c r="AB3743" s="7">
        <v>14.327</v>
      </c>
      <c r="AC3743" s="2"/>
    </row>
    <row r="3744" spans="1:29" ht="78" x14ac:dyDescent="0.15">
      <c r="A3744" s="3">
        <f t="shared" si="62"/>
        <v>35864</v>
      </c>
      <c r="B3744" s="2"/>
      <c r="C3744" s="2" t="s">
        <v>189</v>
      </c>
      <c r="D3744" s="2" t="s">
        <v>11694</v>
      </c>
      <c r="E3744" s="2" t="s">
        <v>11695</v>
      </c>
      <c r="F3744" s="2" t="s">
        <v>11696</v>
      </c>
      <c r="G3744" s="2" t="s">
        <v>53</v>
      </c>
      <c r="H3744" s="2" t="s">
        <v>34</v>
      </c>
      <c r="I3744" s="2" t="s">
        <v>143</v>
      </c>
      <c r="J3744" s="2" t="s">
        <v>144</v>
      </c>
      <c r="K3744" s="2" t="s">
        <v>53</v>
      </c>
      <c r="L3744" s="2" t="s">
        <v>139</v>
      </c>
      <c r="M3744" s="2"/>
      <c r="N3744" s="2"/>
      <c r="O3744" s="2"/>
      <c r="P3744" s="2" t="s">
        <v>11697</v>
      </c>
      <c r="Q3744" s="2"/>
      <c r="R3744" s="2"/>
      <c r="S3744" s="5">
        <v>53.8</v>
      </c>
      <c r="T3744" s="7">
        <v>94.733000000000004</v>
      </c>
      <c r="U3744" s="5">
        <v>6.7</v>
      </c>
      <c r="V3744" s="6">
        <v>2.23</v>
      </c>
      <c r="W3744" s="7">
        <v>14.813000000000001</v>
      </c>
      <c r="X3744" s="7">
        <v>16.187999999999999</v>
      </c>
      <c r="Y3744" s="9">
        <v>16.9375</v>
      </c>
      <c r="Z3744" s="7">
        <v>17.125</v>
      </c>
      <c r="AA3744" s="6">
        <v>20.76</v>
      </c>
      <c r="AB3744" s="2" t="s">
        <v>47</v>
      </c>
      <c r="AC3744" s="2"/>
    </row>
    <row r="3745" spans="1:29" ht="78" x14ac:dyDescent="0.15">
      <c r="A3745" s="3">
        <f t="shared" si="62"/>
        <v>35864</v>
      </c>
      <c r="B3745" s="2"/>
      <c r="C3745" s="2" t="s">
        <v>30</v>
      </c>
      <c r="D3745" s="2" t="s">
        <v>4561</v>
      </c>
      <c r="E3745" s="2" t="s">
        <v>4562</v>
      </c>
      <c r="F3745" s="4">
        <v>7319</v>
      </c>
      <c r="G3745" s="2" t="s">
        <v>4563</v>
      </c>
      <c r="H3745" s="2" t="s">
        <v>34</v>
      </c>
      <c r="I3745" s="2" t="s">
        <v>51</v>
      </c>
      <c r="J3745" s="2" t="s">
        <v>52</v>
      </c>
      <c r="K3745" s="2" t="s">
        <v>53</v>
      </c>
      <c r="L3745" s="2" t="s">
        <v>34</v>
      </c>
      <c r="M3745" s="2"/>
      <c r="N3745" s="2"/>
      <c r="O3745" s="2"/>
      <c r="P3745" s="2" t="s">
        <v>11698</v>
      </c>
      <c r="Q3745" s="2"/>
      <c r="R3745" s="6">
        <v>5.5</v>
      </c>
      <c r="S3745" s="5">
        <v>18.100000000000001</v>
      </c>
      <c r="T3745" s="7">
        <v>-3.9969999999999999</v>
      </c>
      <c r="U3745" s="5">
        <v>3.9</v>
      </c>
      <c r="V3745" s="6">
        <v>0.56999999999999995</v>
      </c>
      <c r="W3745" s="5">
        <v>3.5</v>
      </c>
      <c r="X3745" s="7">
        <v>3.9380000000000002</v>
      </c>
      <c r="Y3745" s="9">
        <v>3.5625</v>
      </c>
      <c r="Z3745" s="9">
        <v>3.5625</v>
      </c>
      <c r="AA3745" s="6">
        <v>28.04</v>
      </c>
      <c r="AB3745" s="2" t="s">
        <v>86</v>
      </c>
      <c r="AC3745" s="2"/>
    </row>
    <row r="3746" spans="1:29" ht="130" x14ac:dyDescent="0.15">
      <c r="A3746" s="3">
        <f t="shared" si="62"/>
        <v>35864</v>
      </c>
      <c r="B3746" s="2"/>
      <c r="C3746" s="2" t="s">
        <v>30</v>
      </c>
      <c r="D3746" s="2" t="s">
        <v>11057</v>
      </c>
      <c r="E3746" s="2" t="s">
        <v>11058</v>
      </c>
      <c r="F3746" s="4">
        <v>6411</v>
      </c>
      <c r="G3746" s="2" t="s">
        <v>125</v>
      </c>
      <c r="H3746" s="2" t="s">
        <v>34</v>
      </c>
      <c r="I3746" s="2" t="s">
        <v>11699</v>
      </c>
      <c r="J3746" s="2" t="s">
        <v>11700</v>
      </c>
      <c r="K3746" s="2" t="s">
        <v>125</v>
      </c>
      <c r="L3746" s="2" t="s">
        <v>34</v>
      </c>
      <c r="M3746" s="7">
        <v>806.78599999999994</v>
      </c>
      <c r="N3746" s="6">
        <v>132.75</v>
      </c>
      <c r="O3746" s="6">
        <v>133.25</v>
      </c>
      <c r="P3746" s="2" t="s">
        <v>11701</v>
      </c>
      <c r="Q3746" s="2"/>
      <c r="R3746" s="6">
        <v>90</v>
      </c>
      <c r="S3746" s="5">
        <v>7.2</v>
      </c>
      <c r="T3746" s="7">
        <v>50.075000000000003</v>
      </c>
      <c r="U3746" s="5">
        <v>61.7</v>
      </c>
      <c r="V3746" s="6">
        <v>1.31</v>
      </c>
      <c r="W3746" s="5">
        <v>80.5</v>
      </c>
      <c r="X3746" s="5">
        <v>80.5</v>
      </c>
      <c r="Y3746" s="6">
        <v>80.25</v>
      </c>
      <c r="Z3746" s="7">
        <v>84.875</v>
      </c>
      <c r="AA3746" s="6">
        <v>4.87</v>
      </c>
      <c r="AB3746" s="7">
        <v>10.896000000000001</v>
      </c>
      <c r="AC3746" s="2"/>
    </row>
    <row r="3747" spans="1:29" ht="65" x14ac:dyDescent="0.15">
      <c r="A3747" s="3">
        <f>DATE(1998,3,11)</f>
        <v>35865</v>
      </c>
      <c r="B3747" s="2"/>
      <c r="C3747" s="2" t="s">
        <v>141</v>
      </c>
      <c r="D3747" s="2" t="s">
        <v>11702</v>
      </c>
      <c r="E3747" s="2" t="s">
        <v>1387</v>
      </c>
      <c r="F3747" s="4">
        <v>4922</v>
      </c>
      <c r="G3747" s="2" t="s">
        <v>439</v>
      </c>
      <c r="H3747" s="2" t="s">
        <v>34</v>
      </c>
      <c r="I3747" s="2" t="s">
        <v>143</v>
      </c>
      <c r="J3747" s="2" t="s">
        <v>144</v>
      </c>
      <c r="K3747" s="2" t="s">
        <v>53</v>
      </c>
      <c r="L3747" s="2" t="s">
        <v>139</v>
      </c>
      <c r="M3747" s="2"/>
      <c r="N3747" s="2"/>
      <c r="O3747" s="2"/>
      <c r="P3747" s="2" t="s">
        <v>11703</v>
      </c>
      <c r="Q3747" s="2"/>
      <c r="R3747" s="2"/>
      <c r="S3747" s="5">
        <v>25.2</v>
      </c>
      <c r="T3747" s="6">
        <v>81.12</v>
      </c>
      <c r="U3747" s="5">
        <v>7.6</v>
      </c>
      <c r="V3747" s="6">
        <v>0.86</v>
      </c>
      <c r="W3747" s="4">
        <v>12</v>
      </c>
      <c r="X3747" s="7">
        <v>15.875</v>
      </c>
      <c r="Y3747" s="9">
        <v>15.6875</v>
      </c>
      <c r="Z3747" s="4">
        <v>16</v>
      </c>
      <c r="AA3747" s="6">
        <v>29.4</v>
      </c>
      <c r="AB3747" s="2" t="s">
        <v>47</v>
      </c>
      <c r="AC3747" s="2"/>
    </row>
    <row r="3748" spans="1:29" ht="52" x14ac:dyDescent="0.15">
      <c r="A3748" s="3">
        <f>DATE(1998,3,11)</f>
        <v>35865</v>
      </c>
      <c r="B3748" s="2"/>
      <c r="C3748" s="2" t="s">
        <v>87</v>
      </c>
      <c r="D3748" s="2" t="s">
        <v>11702</v>
      </c>
      <c r="E3748" s="2" t="s">
        <v>1387</v>
      </c>
      <c r="F3748" s="4">
        <v>4922</v>
      </c>
      <c r="G3748" s="2" t="s">
        <v>439</v>
      </c>
      <c r="H3748" s="2" t="s">
        <v>34</v>
      </c>
      <c r="I3748" s="2" t="s">
        <v>11704</v>
      </c>
      <c r="J3748" s="2" t="s">
        <v>612</v>
      </c>
      <c r="K3748" s="2" t="s">
        <v>148</v>
      </c>
      <c r="L3748" s="2" t="s">
        <v>34</v>
      </c>
      <c r="M3748" s="2"/>
      <c r="N3748" s="6">
        <v>17.25</v>
      </c>
      <c r="O3748" s="7">
        <v>17.375</v>
      </c>
      <c r="P3748" s="2" t="s">
        <v>11705</v>
      </c>
      <c r="Q3748" s="2"/>
      <c r="R3748" s="2"/>
      <c r="S3748" s="5">
        <v>25.2</v>
      </c>
      <c r="T3748" s="6">
        <v>81.12</v>
      </c>
      <c r="U3748" s="5">
        <v>7.6</v>
      </c>
      <c r="V3748" s="6">
        <v>0.86</v>
      </c>
      <c r="W3748" s="4">
        <v>12</v>
      </c>
      <c r="X3748" s="7">
        <v>15.875</v>
      </c>
      <c r="Y3748" s="7">
        <v>15.688000000000001</v>
      </c>
      <c r="Z3748" s="4">
        <v>16</v>
      </c>
      <c r="AA3748" s="2"/>
      <c r="AB3748" s="2" t="s">
        <v>47</v>
      </c>
      <c r="AC3748" s="6">
        <v>19.78</v>
      </c>
    </row>
    <row r="3749" spans="1:29" ht="91" x14ac:dyDescent="0.15">
      <c r="A3749" s="3">
        <f>DATE(1998,3,11)</f>
        <v>35865</v>
      </c>
      <c r="B3749" s="3">
        <f>DATE(1998,5,15)</f>
        <v>35930</v>
      </c>
      <c r="C3749" s="2" t="s">
        <v>95</v>
      </c>
      <c r="D3749" s="2" t="s">
        <v>11706</v>
      </c>
      <c r="E3749" s="2" t="s">
        <v>11707</v>
      </c>
      <c r="F3749" s="4">
        <v>2043</v>
      </c>
      <c r="G3749" s="2" t="s">
        <v>577</v>
      </c>
      <c r="H3749" s="2" t="s">
        <v>34</v>
      </c>
      <c r="I3749" s="2" t="s">
        <v>11708</v>
      </c>
      <c r="J3749" s="2" t="s">
        <v>11709</v>
      </c>
      <c r="K3749" s="2" t="s">
        <v>577</v>
      </c>
      <c r="L3749" s="2" t="s">
        <v>34</v>
      </c>
      <c r="M3749" s="8">
        <v>9240</v>
      </c>
      <c r="N3749" s="7">
        <v>31.125</v>
      </c>
      <c r="O3749" s="7">
        <v>31.875</v>
      </c>
      <c r="P3749" s="2" t="s">
        <v>11710</v>
      </c>
      <c r="Q3749" s="6">
        <v>100</v>
      </c>
      <c r="R3749" s="6">
        <v>14.5</v>
      </c>
      <c r="S3749" s="5">
        <v>4.5</v>
      </c>
      <c r="T3749" s="7">
        <v>12.179</v>
      </c>
      <c r="U3749" s="5">
        <v>6.1</v>
      </c>
      <c r="V3749" s="7">
        <v>0.65400000000000003</v>
      </c>
      <c r="W3749" s="7">
        <v>11.938000000000001</v>
      </c>
      <c r="X3749" s="6">
        <v>12.25</v>
      </c>
      <c r="Y3749" s="7">
        <v>14.281000000000001</v>
      </c>
      <c r="Z3749" s="6">
        <v>14.25</v>
      </c>
      <c r="AA3749" s="6">
        <v>6.86</v>
      </c>
      <c r="AB3749" s="7">
        <v>14.032</v>
      </c>
      <c r="AC3749" s="6">
        <v>11.87</v>
      </c>
    </row>
    <row r="3750" spans="1:29" ht="169" x14ac:dyDescent="0.15">
      <c r="A3750" s="3">
        <f>DATE(1998,3,11)</f>
        <v>35865</v>
      </c>
      <c r="B3750" s="3">
        <f>DATE(1998,7,16)</f>
        <v>35992</v>
      </c>
      <c r="C3750" s="2" t="s">
        <v>95</v>
      </c>
      <c r="D3750" s="2" t="s">
        <v>534</v>
      </c>
      <c r="E3750" s="2" t="s">
        <v>5156</v>
      </c>
      <c r="F3750" s="4">
        <v>4953</v>
      </c>
      <c r="G3750" s="2" t="s">
        <v>116</v>
      </c>
      <c r="H3750" s="2" t="s">
        <v>34</v>
      </c>
      <c r="I3750" s="2" t="s">
        <v>5555</v>
      </c>
      <c r="J3750" s="2" t="s">
        <v>5556</v>
      </c>
      <c r="K3750" s="2" t="s">
        <v>116</v>
      </c>
      <c r="L3750" s="2" t="s">
        <v>34</v>
      </c>
      <c r="M3750" s="12">
        <v>7811.607</v>
      </c>
      <c r="N3750" s="4">
        <v>43</v>
      </c>
      <c r="O3750" s="4">
        <v>45</v>
      </c>
      <c r="P3750" s="2" t="s">
        <v>11711</v>
      </c>
      <c r="Q3750" s="6">
        <v>100</v>
      </c>
      <c r="R3750" s="6">
        <v>28.37</v>
      </c>
      <c r="S3750" s="8">
        <v>-1269.3</v>
      </c>
      <c r="T3750" s="12">
        <v>1944.0740000000001</v>
      </c>
      <c r="U3750" s="5">
        <v>3</v>
      </c>
      <c r="V3750" s="6">
        <v>-2.72</v>
      </c>
      <c r="W3750" s="5">
        <v>24.5</v>
      </c>
      <c r="X3750" s="7">
        <v>25.187999999999999</v>
      </c>
      <c r="Y3750" s="7">
        <v>29.312999999999999</v>
      </c>
      <c r="Z3750" s="7">
        <v>30.375</v>
      </c>
      <c r="AA3750" s="6">
        <v>455.02</v>
      </c>
      <c r="AB3750" s="7">
        <v>22.859000000000002</v>
      </c>
      <c r="AC3750" s="6">
        <v>51.24</v>
      </c>
    </row>
    <row r="3751" spans="1:29" ht="91" x14ac:dyDescent="0.15">
      <c r="A3751" s="3">
        <f>DATE(1998,3,12)</f>
        <v>35866</v>
      </c>
      <c r="B3751" s="2"/>
      <c r="C3751" s="2" t="s">
        <v>30</v>
      </c>
      <c r="D3751" s="2" t="s">
        <v>11712</v>
      </c>
      <c r="E3751" s="2" t="s">
        <v>203</v>
      </c>
      <c r="F3751" s="4">
        <v>6712</v>
      </c>
      <c r="G3751" s="2" t="s">
        <v>37</v>
      </c>
      <c r="H3751" s="2" t="s">
        <v>34</v>
      </c>
      <c r="I3751" s="2" t="s">
        <v>11713</v>
      </c>
      <c r="J3751" s="2" t="s">
        <v>11714</v>
      </c>
      <c r="K3751" s="2" t="s">
        <v>370</v>
      </c>
      <c r="L3751" s="2" t="s">
        <v>34</v>
      </c>
      <c r="M3751" s="10">
        <v>1400.68</v>
      </c>
      <c r="N3751" s="7">
        <v>43.063000000000002</v>
      </c>
      <c r="O3751" s="7">
        <v>41.438000000000002</v>
      </c>
      <c r="P3751" s="2" t="s">
        <v>11715</v>
      </c>
      <c r="Q3751" s="2"/>
      <c r="R3751" s="2"/>
      <c r="S3751" s="5">
        <v>12.7</v>
      </c>
      <c r="T3751" s="7">
        <v>24.524999999999999</v>
      </c>
      <c r="U3751" s="5">
        <v>41.9</v>
      </c>
      <c r="V3751" s="6">
        <v>12.45</v>
      </c>
      <c r="W3751" s="6">
        <v>17.75</v>
      </c>
      <c r="X3751" s="4">
        <v>18</v>
      </c>
      <c r="Y3751" s="9">
        <v>20.1875</v>
      </c>
      <c r="Z3751" s="7">
        <v>19.875</v>
      </c>
      <c r="AA3751" s="6">
        <v>6.55</v>
      </c>
      <c r="AB3751" s="2" t="s">
        <v>47</v>
      </c>
      <c r="AC3751" s="6">
        <v>94.98</v>
      </c>
    </row>
    <row r="3752" spans="1:29" ht="182" x14ac:dyDescent="0.15">
      <c r="A3752" s="3">
        <f>DATE(1998,3,12)</f>
        <v>35866</v>
      </c>
      <c r="B3752" s="3">
        <f>DATE(1998,4,20)</f>
        <v>35905</v>
      </c>
      <c r="C3752" s="2" t="s">
        <v>95</v>
      </c>
      <c r="D3752" s="2" t="s">
        <v>11716</v>
      </c>
      <c r="E3752" s="2" t="s">
        <v>11717</v>
      </c>
      <c r="F3752" s="4">
        <v>7331</v>
      </c>
      <c r="G3752" s="2" t="s">
        <v>223</v>
      </c>
      <c r="H3752" s="2" t="s">
        <v>34</v>
      </c>
      <c r="I3752" s="2" t="s">
        <v>11718</v>
      </c>
      <c r="J3752" s="2" t="s">
        <v>11719</v>
      </c>
      <c r="K3752" s="2" t="s">
        <v>73</v>
      </c>
      <c r="L3752" s="2" t="s">
        <v>303</v>
      </c>
      <c r="M3752" s="2"/>
      <c r="N3752" s="2"/>
      <c r="O3752" s="2"/>
      <c r="P3752" s="2" t="s">
        <v>11720</v>
      </c>
      <c r="Q3752" s="6">
        <v>100</v>
      </c>
      <c r="R3752" s="6">
        <v>34.5</v>
      </c>
      <c r="S3752" s="5">
        <v>-4</v>
      </c>
      <c r="T3752" s="7">
        <v>59.503</v>
      </c>
      <c r="U3752" s="5">
        <v>15.9</v>
      </c>
      <c r="V3752" s="6">
        <v>-0.18</v>
      </c>
      <c r="W3752" s="7">
        <v>26.875</v>
      </c>
      <c r="X3752" s="4">
        <v>26</v>
      </c>
      <c r="Y3752" s="7">
        <v>25.875</v>
      </c>
      <c r="Z3752" s="5">
        <v>31.5</v>
      </c>
      <c r="AA3752" s="6">
        <v>22.52</v>
      </c>
      <c r="AB3752" s="7">
        <v>38.701000000000001</v>
      </c>
      <c r="AC3752" s="10">
        <v>1207.33</v>
      </c>
    </row>
    <row r="3753" spans="1:29" ht="130" x14ac:dyDescent="0.15">
      <c r="A3753" s="3">
        <f>DATE(1998,3,13)</f>
        <v>35867</v>
      </c>
      <c r="B3753" s="3">
        <f>DATE(1998,7,2)</f>
        <v>35978</v>
      </c>
      <c r="C3753" s="2" t="s">
        <v>95</v>
      </c>
      <c r="D3753" s="2" t="s">
        <v>11721</v>
      </c>
      <c r="E3753" s="2" t="s">
        <v>36</v>
      </c>
      <c r="F3753" s="4">
        <v>6029</v>
      </c>
      <c r="G3753" s="2" t="s">
        <v>37</v>
      </c>
      <c r="H3753" s="2" t="s">
        <v>34</v>
      </c>
      <c r="I3753" s="2" t="s">
        <v>2933</v>
      </c>
      <c r="J3753" s="2" t="s">
        <v>36</v>
      </c>
      <c r="K3753" s="2" t="s">
        <v>33</v>
      </c>
      <c r="L3753" s="2" t="s">
        <v>34</v>
      </c>
      <c r="M3753" s="7">
        <v>854.14200000000005</v>
      </c>
      <c r="N3753" s="7">
        <v>26.437999999999999</v>
      </c>
      <c r="O3753" s="7">
        <v>25.812999999999999</v>
      </c>
      <c r="P3753" s="2" t="s">
        <v>11722</v>
      </c>
      <c r="Q3753" s="6">
        <v>100</v>
      </c>
      <c r="R3753" s="6">
        <v>28.1</v>
      </c>
      <c r="S3753" s="5">
        <v>7.2</v>
      </c>
      <c r="T3753" s="7">
        <v>12.952999999999999</v>
      </c>
      <c r="U3753" s="5">
        <v>12.2</v>
      </c>
      <c r="V3753" s="7">
        <v>1.2689999999999999</v>
      </c>
      <c r="W3753" s="7">
        <v>23.937999999999999</v>
      </c>
      <c r="X3753" s="7">
        <v>24.125</v>
      </c>
      <c r="Y3753" s="6">
        <v>26.25</v>
      </c>
      <c r="Z3753" s="7">
        <v>27.625</v>
      </c>
      <c r="AA3753" s="6">
        <v>5.49</v>
      </c>
      <c r="AB3753" s="7">
        <v>68.191000000000003</v>
      </c>
      <c r="AC3753" s="2"/>
    </row>
    <row r="3754" spans="1:29" ht="78" x14ac:dyDescent="0.15">
      <c r="A3754" s="3">
        <f>DATE(1998,3,13)</f>
        <v>35867</v>
      </c>
      <c r="B3754" s="2"/>
      <c r="C3754" s="2" t="s">
        <v>30</v>
      </c>
      <c r="D3754" s="2" t="s">
        <v>11723</v>
      </c>
      <c r="E3754" s="2" t="s">
        <v>4068</v>
      </c>
      <c r="F3754" s="4">
        <v>3541</v>
      </c>
      <c r="G3754" s="2" t="s">
        <v>300</v>
      </c>
      <c r="H3754" s="2" t="s">
        <v>34</v>
      </c>
      <c r="I3754" s="2" t="s">
        <v>636</v>
      </c>
      <c r="J3754" s="2" t="s">
        <v>637</v>
      </c>
      <c r="K3754" s="2" t="s">
        <v>226</v>
      </c>
      <c r="L3754" s="2" t="s">
        <v>34</v>
      </c>
      <c r="M3754" s="12">
        <v>3922.3510000000001</v>
      </c>
      <c r="N3754" s="7">
        <v>34.188000000000002</v>
      </c>
      <c r="O3754" s="4">
        <v>34</v>
      </c>
      <c r="P3754" s="2" t="s">
        <v>11724</v>
      </c>
      <c r="Q3754" s="2"/>
      <c r="R3754" s="6">
        <v>15.5</v>
      </c>
      <c r="S3754" s="5">
        <v>-10.5</v>
      </c>
      <c r="T3754" s="2"/>
      <c r="U3754" s="5">
        <v>876.4</v>
      </c>
      <c r="V3754" s="6">
        <v>-79</v>
      </c>
      <c r="W3754" s="5">
        <v>10.5</v>
      </c>
      <c r="X3754" s="6">
        <v>10.75</v>
      </c>
      <c r="Y3754" s="7">
        <v>10.625</v>
      </c>
      <c r="Z3754" s="7">
        <v>10.625</v>
      </c>
      <c r="AA3754" s="6">
        <v>13.36</v>
      </c>
      <c r="AB3754" s="2" t="s">
        <v>47</v>
      </c>
      <c r="AC3754" s="6">
        <v>477.18</v>
      </c>
    </row>
    <row r="3755" spans="1:29" ht="117" x14ac:dyDescent="0.15">
      <c r="A3755" s="3">
        <f>DATE(1998,3,13)</f>
        <v>35867</v>
      </c>
      <c r="B3755" s="2"/>
      <c r="C3755" s="2" t="s">
        <v>30</v>
      </c>
      <c r="D3755" s="2" t="s">
        <v>11725</v>
      </c>
      <c r="E3755" s="2" t="s">
        <v>229</v>
      </c>
      <c r="F3755" s="4">
        <v>5812</v>
      </c>
      <c r="G3755" s="2" t="s">
        <v>230</v>
      </c>
      <c r="H3755" s="2" t="s">
        <v>34</v>
      </c>
      <c r="I3755" s="2" t="s">
        <v>51</v>
      </c>
      <c r="J3755" s="2" t="s">
        <v>52</v>
      </c>
      <c r="K3755" s="2" t="s">
        <v>53</v>
      </c>
      <c r="L3755" s="2" t="s">
        <v>34</v>
      </c>
      <c r="M3755" s="2"/>
      <c r="N3755" s="2"/>
      <c r="O3755" s="2"/>
      <c r="P3755" s="2" t="s">
        <v>11726</v>
      </c>
      <c r="Q3755" s="2"/>
      <c r="R3755" s="6">
        <v>10</v>
      </c>
      <c r="S3755" s="5">
        <v>5.2</v>
      </c>
      <c r="T3755" s="7">
        <v>11.268000000000001</v>
      </c>
      <c r="U3755" s="5">
        <v>3.6</v>
      </c>
      <c r="V3755" s="6">
        <v>0.63</v>
      </c>
      <c r="W3755" s="4">
        <v>8</v>
      </c>
      <c r="X3755" s="7">
        <v>7.9379999999999997</v>
      </c>
      <c r="Y3755" s="6">
        <v>9.25</v>
      </c>
      <c r="Z3755" s="7">
        <v>9.4380000000000006</v>
      </c>
      <c r="AA3755" s="6">
        <v>8.26</v>
      </c>
      <c r="AB3755" s="7">
        <v>9.6739999999999995</v>
      </c>
      <c r="AC3755" s="2"/>
    </row>
    <row r="3756" spans="1:29" ht="169" x14ac:dyDescent="0.15">
      <c r="A3756" s="3">
        <f t="shared" ref="A3756:A3761" si="63">DATE(1998,3,16)</f>
        <v>35870</v>
      </c>
      <c r="B3756" s="3">
        <f>DATE(1998,8,3)</f>
        <v>36010</v>
      </c>
      <c r="C3756" s="2" t="s">
        <v>95</v>
      </c>
      <c r="D3756" s="2" t="s">
        <v>11727</v>
      </c>
      <c r="E3756" s="2" t="s">
        <v>92</v>
      </c>
      <c r="F3756" s="4">
        <v>6798</v>
      </c>
      <c r="G3756" s="2" t="s">
        <v>53</v>
      </c>
      <c r="H3756" s="2" t="s">
        <v>34</v>
      </c>
      <c r="I3756" s="2" t="s">
        <v>11728</v>
      </c>
      <c r="J3756" s="2" t="s">
        <v>6078</v>
      </c>
      <c r="K3756" s="2" t="s">
        <v>269</v>
      </c>
      <c r="L3756" s="2" t="s">
        <v>34</v>
      </c>
      <c r="M3756" s="7">
        <v>796.41399999999999</v>
      </c>
      <c r="N3756" s="6">
        <v>34.25</v>
      </c>
      <c r="O3756" s="5">
        <v>34.5</v>
      </c>
      <c r="P3756" s="2" t="s">
        <v>11729</v>
      </c>
      <c r="Q3756" s="6">
        <v>100</v>
      </c>
      <c r="R3756" s="6">
        <v>42.18</v>
      </c>
      <c r="S3756" s="5">
        <v>23.5</v>
      </c>
      <c r="T3756" s="2"/>
      <c r="U3756" s="5">
        <v>18.899999999999999</v>
      </c>
      <c r="V3756" s="6">
        <v>1.58</v>
      </c>
      <c r="W3756" s="7">
        <v>26.625</v>
      </c>
      <c r="X3756" s="7">
        <v>26.937999999999999</v>
      </c>
      <c r="Y3756" s="7">
        <v>27.062999999999999</v>
      </c>
      <c r="Z3756" s="7">
        <v>27.312999999999999</v>
      </c>
      <c r="AA3756" s="6">
        <v>28.5</v>
      </c>
      <c r="AB3756" s="2" t="s">
        <v>47</v>
      </c>
      <c r="AC3756" s="6">
        <v>83.43</v>
      </c>
    </row>
    <row r="3757" spans="1:29" ht="104" x14ac:dyDescent="0.15">
      <c r="A3757" s="3">
        <f t="shared" si="63"/>
        <v>35870</v>
      </c>
      <c r="B3757" s="2"/>
      <c r="C3757" s="2" t="s">
        <v>30</v>
      </c>
      <c r="D3757" s="2" t="s">
        <v>11730</v>
      </c>
      <c r="E3757" s="2" t="s">
        <v>11731</v>
      </c>
      <c r="F3757" s="4">
        <v>2515</v>
      </c>
      <c r="G3757" s="2" t="s">
        <v>250</v>
      </c>
      <c r="H3757" s="2" t="s">
        <v>34</v>
      </c>
      <c r="I3757" s="2" t="s">
        <v>11732</v>
      </c>
      <c r="J3757" s="2" t="s">
        <v>11733</v>
      </c>
      <c r="K3757" s="2" t="s">
        <v>447</v>
      </c>
      <c r="L3757" s="2" t="s">
        <v>34</v>
      </c>
      <c r="M3757" s="2"/>
      <c r="N3757" s="2"/>
      <c r="O3757" s="2"/>
      <c r="P3757" s="2" t="s">
        <v>11734</v>
      </c>
      <c r="Q3757" s="2"/>
      <c r="R3757" s="6">
        <v>12</v>
      </c>
      <c r="S3757" s="5">
        <v>4.0999999999999996</v>
      </c>
      <c r="T3757" s="6">
        <v>126.03</v>
      </c>
      <c r="U3757" s="5">
        <v>-18.2</v>
      </c>
      <c r="V3757" s="6">
        <v>0.64</v>
      </c>
      <c r="W3757" s="7">
        <v>14.063000000000001</v>
      </c>
      <c r="X3757" s="7">
        <v>13.875</v>
      </c>
      <c r="Y3757" s="6">
        <v>14.75</v>
      </c>
      <c r="Z3757" s="7">
        <v>17.375</v>
      </c>
      <c r="AA3757" s="6">
        <v>24.92</v>
      </c>
      <c r="AB3757" s="7">
        <v>8.5559999999999992</v>
      </c>
      <c r="AC3757" s="2"/>
    </row>
    <row r="3758" spans="1:29" ht="104" x14ac:dyDescent="0.15">
      <c r="A3758" s="3">
        <f t="shared" si="63"/>
        <v>35870</v>
      </c>
      <c r="B3758" s="3">
        <f>DATE(1998,5,28)</f>
        <v>35943</v>
      </c>
      <c r="C3758" s="2" t="s">
        <v>95</v>
      </c>
      <c r="D3758" s="2" t="s">
        <v>11735</v>
      </c>
      <c r="E3758" s="2" t="s">
        <v>11736</v>
      </c>
      <c r="F3758" s="4">
        <v>7372</v>
      </c>
      <c r="G3758" s="2" t="s">
        <v>551</v>
      </c>
      <c r="H3758" s="2" t="s">
        <v>34</v>
      </c>
      <c r="I3758" s="2" t="s">
        <v>5921</v>
      </c>
      <c r="J3758" s="2" t="s">
        <v>5922</v>
      </c>
      <c r="K3758" s="2" t="s">
        <v>551</v>
      </c>
      <c r="L3758" s="2" t="s">
        <v>34</v>
      </c>
      <c r="M3758" s="12">
        <v>1754.2660000000001</v>
      </c>
      <c r="N3758" s="5">
        <v>24.5</v>
      </c>
      <c r="O3758" s="6">
        <v>24.75</v>
      </c>
      <c r="P3758" s="2" t="s">
        <v>11737</v>
      </c>
      <c r="Q3758" s="6">
        <v>100</v>
      </c>
      <c r="R3758" s="6">
        <v>15.32</v>
      </c>
      <c r="S3758" s="5">
        <v>4.5999999999999996</v>
      </c>
      <c r="T3758" s="6">
        <v>7.98</v>
      </c>
      <c r="U3758" s="5">
        <v>3.5</v>
      </c>
      <c r="V3758" s="6">
        <v>0.36</v>
      </c>
      <c r="W3758" s="6">
        <v>11.25</v>
      </c>
      <c r="X3758" s="7">
        <v>13.563000000000001</v>
      </c>
      <c r="Y3758" s="6">
        <v>13.25</v>
      </c>
      <c r="Z3758" s="7">
        <v>13.563000000000001</v>
      </c>
      <c r="AA3758" s="6">
        <v>12.55</v>
      </c>
      <c r="AB3758" s="7">
        <v>28.933</v>
      </c>
      <c r="AC3758" s="6">
        <v>235.74</v>
      </c>
    </row>
    <row r="3759" spans="1:29" ht="104" x14ac:dyDescent="0.15">
      <c r="A3759" s="3">
        <f t="shared" si="63"/>
        <v>35870</v>
      </c>
      <c r="B3759" s="3">
        <f>DATE(1998,10,30)</f>
        <v>36098</v>
      </c>
      <c r="C3759" s="2" t="s">
        <v>95</v>
      </c>
      <c r="D3759" s="2" t="s">
        <v>11738</v>
      </c>
      <c r="E3759" s="2" t="s">
        <v>11739</v>
      </c>
      <c r="F3759" s="4">
        <v>2353</v>
      </c>
      <c r="G3759" s="2" t="s">
        <v>708</v>
      </c>
      <c r="H3759" s="2" t="s">
        <v>34</v>
      </c>
      <c r="I3759" s="2" t="s">
        <v>11740</v>
      </c>
      <c r="J3759" s="2" t="s">
        <v>302</v>
      </c>
      <c r="K3759" s="2" t="s">
        <v>53</v>
      </c>
      <c r="L3759" s="2" t="s">
        <v>34</v>
      </c>
      <c r="M3759" s="2"/>
      <c r="N3759" s="2"/>
      <c r="O3759" s="2"/>
      <c r="P3759" s="2" t="s">
        <v>11741</v>
      </c>
      <c r="Q3759" s="6">
        <v>100</v>
      </c>
      <c r="R3759" s="6">
        <v>20.7</v>
      </c>
      <c r="S3759" s="5">
        <v>1.2</v>
      </c>
      <c r="T3759" s="7">
        <v>23.129000000000001</v>
      </c>
      <c r="U3759" s="5">
        <v>10.1</v>
      </c>
      <c r="V3759" s="6">
        <v>1.1000000000000001</v>
      </c>
      <c r="W3759" s="7">
        <v>17.375</v>
      </c>
      <c r="X3759" s="7">
        <v>17.375</v>
      </c>
      <c r="Y3759" s="6">
        <v>19.75</v>
      </c>
      <c r="Z3759" s="6">
        <v>19.75</v>
      </c>
      <c r="AA3759" s="6">
        <v>5.07</v>
      </c>
      <c r="AB3759" s="7">
        <v>11.114000000000001</v>
      </c>
      <c r="AC3759" s="2"/>
    </row>
    <row r="3760" spans="1:29" ht="26" x14ac:dyDescent="0.15">
      <c r="A3760" s="3">
        <f t="shared" si="63"/>
        <v>35870</v>
      </c>
      <c r="B3760" s="3">
        <f>DATE(1998,3,16)</f>
        <v>35870</v>
      </c>
      <c r="C3760" s="2" t="s">
        <v>95</v>
      </c>
      <c r="D3760" s="2" t="s">
        <v>11742</v>
      </c>
      <c r="E3760" s="2" t="s">
        <v>11743</v>
      </c>
      <c r="F3760" s="4">
        <v>7011</v>
      </c>
      <c r="G3760" s="2" t="s">
        <v>269</v>
      </c>
      <c r="H3760" s="2" t="s">
        <v>34</v>
      </c>
      <c r="I3760" s="2" t="s">
        <v>6572</v>
      </c>
      <c r="J3760" s="2" t="s">
        <v>6573</v>
      </c>
      <c r="K3760" s="2" t="s">
        <v>269</v>
      </c>
      <c r="L3760" s="2" t="s">
        <v>34</v>
      </c>
      <c r="M3760" s="7">
        <v>331.36399999999998</v>
      </c>
      <c r="N3760" s="7">
        <v>17.875</v>
      </c>
      <c r="O3760" s="9">
        <v>17.8125</v>
      </c>
      <c r="P3760" s="2" t="s">
        <v>11744</v>
      </c>
      <c r="Q3760" s="6">
        <v>50</v>
      </c>
      <c r="R3760" s="2"/>
      <c r="S3760" s="5">
        <v>-2.2000000000000002</v>
      </c>
      <c r="T3760" s="2"/>
      <c r="U3760" s="5">
        <v>-4.3</v>
      </c>
      <c r="V3760" s="6">
        <v>-0.54</v>
      </c>
      <c r="W3760" s="7">
        <v>2.875</v>
      </c>
      <c r="X3760" s="7">
        <v>2.734</v>
      </c>
      <c r="Y3760" s="7">
        <v>2.766</v>
      </c>
      <c r="Z3760" s="7">
        <v>2.7029999999999998</v>
      </c>
      <c r="AA3760" s="6">
        <v>4</v>
      </c>
      <c r="AB3760" s="2" t="s">
        <v>47</v>
      </c>
      <c r="AC3760" s="2"/>
    </row>
    <row r="3761" spans="1:29" ht="143" x14ac:dyDescent="0.15">
      <c r="A3761" s="3">
        <f t="shared" si="63"/>
        <v>35870</v>
      </c>
      <c r="B3761" s="3">
        <f>DATE(1998,7,1)</f>
        <v>35977</v>
      </c>
      <c r="C3761" s="2" t="s">
        <v>95</v>
      </c>
      <c r="D3761" s="2" t="s">
        <v>11745</v>
      </c>
      <c r="E3761" s="2" t="s">
        <v>375</v>
      </c>
      <c r="F3761" s="4">
        <v>4813</v>
      </c>
      <c r="G3761" s="2" t="s">
        <v>63</v>
      </c>
      <c r="H3761" s="2" t="s">
        <v>34</v>
      </c>
      <c r="I3761" s="2" t="s">
        <v>11746</v>
      </c>
      <c r="J3761" s="2" t="s">
        <v>6519</v>
      </c>
      <c r="K3761" s="2" t="s">
        <v>63</v>
      </c>
      <c r="L3761" s="2" t="s">
        <v>34</v>
      </c>
      <c r="M3761" s="12">
        <v>7934.9560000000001</v>
      </c>
      <c r="N3761" s="7">
        <v>44.875</v>
      </c>
      <c r="O3761" s="7">
        <v>44.125</v>
      </c>
      <c r="P3761" s="2" t="s">
        <v>11747</v>
      </c>
      <c r="Q3761" s="6">
        <v>100</v>
      </c>
      <c r="R3761" s="6">
        <v>33.9</v>
      </c>
      <c r="S3761" s="5">
        <v>81.5</v>
      </c>
      <c r="T3761" s="7">
        <v>458.54399999999998</v>
      </c>
      <c r="U3761" s="5">
        <v>4.2</v>
      </c>
      <c r="V3761" s="6">
        <v>0.67</v>
      </c>
      <c r="W3761" s="4">
        <v>26</v>
      </c>
      <c r="X3761" s="7">
        <v>29.375</v>
      </c>
      <c r="Y3761" s="7">
        <v>29.812999999999999</v>
      </c>
      <c r="Z3761" s="7">
        <v>35.625</v>
      </c>
      <c r="AA3761" s="6">
        <v>121.82</v>
      </c>
      <c r="AB3761" s="7">
        <v>21.8</v>
      </c>
      <c r="AC3761" s="6">
        <v>16.21</v>
      </c>
    </row>
    <row r="3762" spans="1:29" ht="169" x14ac:dyDescent="0.15">
      <c r="A3762" s="3">
        <f>DATE(1998,3,17)</f>
        <v>35871</v>
      </c>
      <c r="B3762" s="3">
        <f>DATE(1998,10,1)</f>
        <v>36069</v>
      </c>
      <c r="C3762" s="2" t="s">
        <v>95</v>
      </c>
      <c r="D3762" s="2" t="s">
        <v>9311</v>
      </c>
      <c r="E3762" s="2" t="s">
        <v>9312</v>
      </c>
      <c r="F3762" s="4">
        <v>6035</v>
      </c>
      <c r="G3762" s="2" t="s">
        <v>33</v>
      </c>
      <c r="H3762" s="2" t="s">
        <v>34</v>
      </c>
      <c r="I3762" s="2" t="s">
        <v>2324</v>
      </c>
      <c r="J3762" s="2" t="s">
        <v>672</v>
      </c>
      <c r="K3762" s="2" t="s">
        <v>33</v>
      </c>
      <c r="L3762" s="2" t="s">
        <v>34</v>
      </c>
      <c r="M3762" s="12">
        <v>16983.862000000001</v>
      </c>
      <c r="N3762" s="7">
        <v>72.938000000000002</v>
      </c>
      <c r="O3762" s="7">
        <v>72.688000000000002</v>
      </c>
      <c r="P3762" s="2" t="s">
        <v>11748</v>
      </c>
      <c r="Q3762" s="6">
        <v>100</v>
      </c>
      <c r="R3762" s="6">
        <v>120.54</v>
      </c>
      <c r="S3762" s="5">
        <v>413.8</v>
      </c>
      <c r="T3762" s="2"/>
      <c r="U3762" s="5">
        <v>20.5</v>
      </c>
      <c r="V3762" s="6">
        <v>3.59</v>
      </c>
      <c r="W3762" s="7">
        <v>63.688000000000002</v>
      </c>
      <c r="X3762" s="5">
        <v>65.5</v>
      </c>
      <c r="Y3762" s="7">
        <v>77.875</v>
      </c>
      <c r="Z3762" s="4">
        <v>78</v>
      </c>
      <c r="AA3762" s="6">
        <v>109.47</v>
      </c>
      <c r="AB3762" s="7">
        <v>40.206000000000003</v>
      </c>
      <c r="AC3762" s="2"/>
    </row>
    <row r="3763" spans="1:29" ht="104" x14ac:dyDescent="0.15">
      <c r="A3763" s="3">
        <f>DATE(1998,3,17)</f>
        <v>35871</v>
      </c>
      <c r="B3763" s="3">
        <f>DATE(1998,7,31)</f>
        <v>36007</v>
      </c>
      <c r="C3763" s="2" t="s">
        <v>95</v>
      </c>
      <c r="D3763" s="2" t="s">
        <v>11749</v>
      </c>
      <c r="E3763" s="2" t="s">
        <v>2862</v>
      </c>
      <c r="F3763" s="4">
        <v>4833</v>
      </c>
      <c r="G3763" s="2" t="s">
        <v>45</v>
      </c>
      <c r="H3763" s="2" t="s">
        <v>34</v>
      </c>
      <c r="I3763" s="2" t="s">
        <v>51</v>
      </c>
      <c r="J3763" s="2" t="s">
        <v>52</v>
      </c>
      <c r="K3763" s="2" t="s">
        <v>53</v>
      </c>
      <c r="L3763" s="2" t="s">
        <v>34</v>
      </c>
      <c r="M3763" s="2"/>
      <c r="N3763" s="2"/>
      <c r="O3763" s="2"/>
      <c r="P3763" s="2" t="s">
        <v>11750</v>
      </c>
      <c r="Q3763" s="6">
        <v>42.11</v>
      </c>
      <c r="R3763" s="6">
        <v>63</v>
      </c>
      <c r="S3763" s="5">
        <v>28</v>
      </c>
      <c r="T3763" s="7">
        <v>65.971000000000004</v>
      </c>
      <c r="U3763" s="5">
        <v>5.3</v>
      </c>
      <c r="V3763" s="6">
        <v>1.6</v>
      </c>
      <c r="W3763" s="7">
        <v>55.125</v>
      </c>
      <c r="X3763" s="9">
        <v>60.5625</v>
      </c>
      <c r="Y3763" s="5">
        <v>51.5</v>
      </c>
      <c r="Z3763" s="9">
        <v>52.5625</v>
      </c>
      <c r="AA3763" s="6">
        <v>16.71</v>
      </c>
      <c r="AB3763" s="7">
        <v>22.155999999999999</v>
      </c>
      <c r="AC3763" s="2"/>
    </row>
    <row r="3764" spans="1:29" ht="130" x14ac:dyDescent="0.15">
      <c r="A3764" s="3">
        <f>DATE(1998,3,17)</f>
        <v>35871</v>
      </c>
      <c r="B3764" s="3">
        <f>DATE(1998,5,27)</f>
        <v>35942</v>
      </c>
      <c r="C3764" s="2" t="s">
        <v>95</v>
      </c>
      <c r="D3764" s="2" t="s">
        <v>11751</v>
      </c>
      <c r="E3764" s="2" t="s">
        <v>781</v>
      </c>
      <c r="F3764" s="4">
        <v>7372</v>
      </c>
      <c r="G3764" s="2" t="s">
        <v>551</v>
      </c>
      <c r="H3764" s="2" t="s">
        <v>34</v>
      </c>
      <c r="I3764" s="2" t="s">
        <v>11752</v>
      </c>
      <c r="J3764" s="2" t="s">
        <v>11753</v>
      </c>
      <c r="K3764" s="2" t="s">
        <v>551</v>
      </c>
      <c r="L3764" s="2" t="s">
        <v>34</v>
      </c>
      <c r="M3764" s="12">
        <v>1766.0119999999999</v>
      </c>
      <c r="N3764" s="7">
        <v>48.375</v>
      </c>
      <c r="O3764" s="7">
        <v>49.125</v>
      </c>
      <c r="P3764" s="2" t="s">
        <v>11754</v>
      </c>
      <c r="Q3764" s="6">
        <v>100</v>
      </c>
      <c r="R3764" s="6">
        <v>15.69</v>
      </c>
      <c r="S3764" s="5">
        <v>-4.0999999999999996</v>
      </c>
      <c r="T3764" s="6">
        <v>-5.78</v>
      </c>
      <c r="U3764" s="5">
        <v>1</v>
      </c>
      <c r="V3764" s="7">
        <v>-0.63100000000000001</v>
      </c>
      <c r="W3764" s="7">
        <v>12.125</v>
      </c>
      <c r="X3764" s="7">
        <v>13.375</v>
      </c>
      <c r="Y3764" s="7">
        <v>14.563000000000001</v>
      </c>
      <c r="Z3764" s="7">
        <v>14.813000000000001</v>
      </c>
      <c r="AA3764" s="6">
        <v>6.63</v>
      </c>
      <c r="AB3764" s="2" t="s">
        <v>86</v>
      </c>
      <c r="AC3764" s="2"/>
    </row>
    <row r="3765" spans="1:29" ht="117" x14ac:dyDescent="0.15">
      <c r="A3765" s="3">
        <f>DATE(1998,3,18)</f>
        <v>35872</v>
      </c>
      <c r="B3765" s="3">
        <f>DATE(1998,6,30)</f>
        <v>35976</v>
      </c>
      <c r="C3765" s="2" t="s">
        <v>95</v>
      </c>
      <c r="D3765" s="2" t="s">
        <v>11755</v>
      </c>
      <c r="E3765" s="2" t="s">
        <v>11756</v>
      </c>
      <c r="F3765" s="4">
        <v>3241</v>
      </c>
      <c r="G3765" s="2" t="s">
        <v>237</v>
      </c>
      <c r="H3765" s="2" t="s">
        <v>34</v>
      </c>
      <c r="I3765" s="2" t="s">
        <v>11757</v>
      </c>
      <c r="J3765" s="2" t="s">
        <v>11758</v>
      </c>
      <c r="K3765" s="2" t="s">
        <v>237</v>
      </c>
      <c r="L3765" s="2" t="s">
        <v>34</v>
      </c>
      <c r="M3765" s="8">
        <v>14756</v>
      </c>
      <c r="N3765" s="7">
        <v>68.625</v>
      </c>
      <c r="O3765" s="7">
        <v>70.188000000000002</v>
      </c>
      <c r="P3765" s="2" t="s">
        <v>11759</v>
      </c>
      <c r="Q3765" s="6">
        <v>100</v>
      </c>
      <c r="R3765" s="6">
        <v>61.22</v>
      </c>
      <c r="S3765" s="5">
        <v>57</v>
      </c>
      <c r="T3765" s="6">
        <v>103.16</v>
      </c>
      <c r="U3765" s="5">
        <v>11.4</v>
      </c>
      <c r="V3765" s="6">
        <v>3.41</v>
      </c>
      <c r="W3765" s="6">
        <v>49.25</v>
      </c>
      <c r="X3765" s="6">
        <v>52.25</v>
      </c>
      <c r="Y3765" s="7">
        <v>58.875</v>
      </c>
      <c r="Z3765" s="6">
        <v>60.25</v>
      </c>
      <c r="AA3765" s="6">
        <v>16.88</v>
      </c>
      <c r="AB3765" s="7">
        <v>12.489000000000001</v>
      </c>
      <c r="AC3765" s="5">
        <v>89.1</v>
      </c>
    </row>
    <row r="3766" spans="1:29" ht="39" x14ac:dyDescent="0.15">
      <c r="A3766" s="3">
        <f>DATE(1998,3,18)</f>
        <v>35872</v>
      </c>
      <c r="B3766" s="2"/>
      <c r="C3766" s="2" t="s">
        <v>39</v>
      </c>
      <c r="D3766" s="2" t="s">
        <v>11003</v>
      </c>
      <c r="E3766" s="2" t="s">
        <v>11004</v>
      </c>
      <c r="F3766" s="4">
        <v>6211</v>
      </c>
      <c r="G3766" s="2" t="s">
        <v>53</v>
      </c>
      <c r="H3766" s="2" t="s">
        <v>34</v>
      </c>
      <c r="I3766" s="2" t="s">
        <v>11760</v>
      </c>
      <c r="J3766" s="2" t="s">
        <v>36</v>
      </c>
      <c r="K3766" s="2" t="s">
        <v>37</v>
      </c>
      <c r="L3766" s="2" t="s">
        <v>34</v>
      </c>
      <c r="M3766" s="12">
        <v>51338.887000000002</v>
      </c>
      <c r="N3766" s="7">
        <v>138.125</v>
      </c>
      <c r="O3766" s="6">
        <v>135.25</v>
      </c>
      <c r="P3766" s="2" t="s">
        <v>11761</v>
      </c>
      <c r="Q3766" s="2"/>
      <c r="R3766" s="2"/>
      <c r="S3766" s="8">
        <v>1953</v>
      </c>
      <c r="T3766" s="8">
        <v>3496</v>
      </c>
      <c r="U3766" s="5">
        <v>11.8</v>
      </c>
      <c r="V3766" s="7">
        <v>2.415</v>
      </c>
      <c r="W3766" s="7">
        <v>74.563000000000002</v>
      </c>
      <c r="X3766" s="6">
        <v>79.75</v>
      </c>
      <c r="Y3766" s="4">
        <v>87</v>
      </c>
      <c r="Z3766" s="7">
        <v>83.063000000000002</v>
      </c>
      <c r="AA3766" s="6">
        <v>333.16</v>
      </c>
      <c r="AB3766" s="2" t="s">
        <v>47</v>
      </c>
      <c r="AC3766" s="2"/>
    </row>
    <row r="3767" spans="1:29" ht="195" x14ac:dyDescent="0.15">
      <c r="A3767" s="3">
        <f>DATE(1998,3,18)</f>
        <v>35872</v>
      </c>
      <c r="B3767" s="2"/>
      <c r="C3767" s="2" t="s">
        <v>30</v>
      </c>
      <c r="D3767" s="2" t="s">
        <v>11716</v>
      </c>
      <c r="E3767" s="2" t="s">
        <v>11717</v>
      </c>
      <c r="F3767" s="4">
        <v>7331</v>
      </c>
      <c r="G3767" s="2" t="s">
        <v>223</v>
      </c>
      <c r="H3767" s="2" t="s">
        <v>34</v>
      </c>
      <c r="I3767" s="2" t="s">
        <v>11762</v>
      </c>
      <c r="J3767" s="2" t="s">
        <v>11763</v>
      </c>
      <c r="K3767" s="2" t="s">
        <v>223</v>
      </c>
      <c r="L3767" s="2" t="s">
        <v>34</v>
      </c>
      <c r="M3767" s="7">
        <v>300.892</v>
      </c>
      <c r="N3767" s="7">
        <v>14.375</v>
      </c>
      <c r="O3767" s="5">
        <v>13.5</v>
      </c>
      <c r="P3767" s="2" t="s">
        <v>11764</v>
      </c>
      <c r="Q3767" s="2"/>
      <c r="R3767" s="6">
        <v>37.68</v>
      </c>
      <c r="S3767" s="5">
        <v>-4</v>
      </c>
      <c r="T3767" s="7">
        <v>59.503</v>
      </c>
      <c r="U3767" s="5">
        <v>15.9</v>
      </c>
      <c r="V3767" s="6">
        <v>-0.18</v>
      </c>
      <c r="W3767" s="7">
        <v>26.875</v>
      </c>
      <c r="X3767" s="4">
        <v>26</v>
      </c>
      <c r="Y3767" s="7">
        <v>25.875</v>
      </c>
      <c r="Z3767" s="5">
        <v>31.5</v>
      </c>
      <c r="AA3767" s="6">
        <v>22.52</v>
      </c>
      <c r="AB3767" s="7">
        <v>42.015000000000001</v>
      </c>
      <c r="AC3767" s="5">
        <v>34.700000000000003</v>
      </c>
    </row>
    <row r="3768" spans="1:29" ht="169" x14ac:dyDescent="0.15">
      <c r="A3768" s="3">
        <f>DATE(1998,3,19)</f>
        <v>35873</v>
      </c>
      <c r="B3768" s="3">
        <f>DATE(1998,8,14)</f>
        <v>36021</v>
      </c>
      <c r="C3768" s="2" t="s">
        <v>95</v>
      </c>
      <c r="D3768" s="2" t="s">
        <v>11765</v>
      </c>
      <c r="E3768" s="2" t="s">
        <v>1181</v>
      </c>
      <c r="F3768" s="4">
        <v>6021</v>
      </c>
      <c r="G3768" s="2" t="s">
        <v>37</v>
      </c>
      <c r="H3768" s="2" t="s">
        <v>34</v>
      </c>
      <c r="I3768" s="2" t="s">
        <v>11766</v>
      </c>
      <c r="J3768" s="2" t="s">
        <v>36</v>
      </c>
      <c r="K3768" s="2" t="s">
        <v>37</v>
      </c>
      <c r="L3768" s="2" t="s">
        <v>34</v>
      </c>
      <c r="M3768" s="7">
        <v>120.93600000000001</v>
      </c>
      <c r="N3768" s="7">
        <v>26.125</v>
      </c>
      <c r="O3768" s="7">
        <v>25.625</v>
      </c>
      <c r="P3768" s="2" t="s">
        <v>11767</v>
      </c>
      <c r="Q3768" s="6">
        <v>100</v>
      </c>
      <c r="R3768" s="6">
        <v>27.84</v>
      </c>
      <c r="S3768" s="5">
        <v>1.2</v>
      </c>
      <c r="T3768" s="2"/>
      <c r="U3768" s="5">
        <v>11.3</v>
      </c>
      <c r="V3768" s="6">
        <v>1.26</v>
      </c>
      <c r="W3768" s="5">
        <v>28.5</v>
      </c>
      <c r="X3768" s="6">
        <v>28.75</v>
      </c>
      <c r="Y3768" s="6">
        <v>29.75</v>
      </c>
      <c r="Z3768" s="5">
        <v>31.5</v>
      </c>
      <c r="AA3768" s="6">
        <v>0.96</v>
      </c>
      <c r="AB3768" s="7">
        <v>83.049000000000007</v>
      </c>
      <c r="AC3768" s="2"/>
    </row>
    <row r="3769" spans="1:29" ht="26" x14ac:dyDescent="0.15">
      <c r="A3769" s="3">
        <f>DATE(1998,3,19)</f>
        <v>35873</v>
      </c>
      <c r="B3769" s="2"/>
      <c r="C3769" s="2" t="s">
        <v>7330</v>
      </c>
      <c r="D3769" s="2" t="s">
        <v>11768</v>
      </c>
      <c r="E3769" s="2" t="s">
        <v>612</v>
      </c>
      <c r="F3769" s="4">
        <v>1311</v>
      </c>
      <c r="G3769" s="2" t="s">
        <v>148</v>
      </c>
      <c r="H3769" s="2" t="s">
        <v>34</v>
      </c>
      <c r="I3769" s="2" t="s">
        <v>11769</v>
      </c>
      <c r="J3769" s="2" t="s">
        <v>11770</v>
      </c>
      <c r="K3769" s="2" t="s">
        <v>148</v>
      </c>
      <c r="L3769" s="2" t="s">
        <v>34</v>
      </c>
      <c r="M3769" s="2"/>
      <c r="N3769" s="2"/>
      <c r="O3769" s="2"/>
      <c r="P3769" s="2" t="s">
        <v>11771</v>
      </c>
      <c r="Q3769" s="2"/>
      <c r="R3769" s="2"/>
      <c r="S3769" s="2"/>
      <c r="T3769" s="2"/>
      <c r="U3769" s="2"/>
      <c r="V3769" s="2"/>
      <c r="W3769" s="7">
        <v>2.375</v>
      </c>
      <c r="X3769" s="7">
        <v>2.6880000000000002</v>
      </c>
      <c r="Y3769" s="7">
        <v>2.1880000000000002</v>
      </c>
      <c r="Z3769" s="7">
        <v>2.1880000000000002</v>
      </c>
      <c r="AA3769" s="6">
        <v>33.43</v>
      </c>
      <c r="AB3769" s="2" t="s">
        <v>47</v>
      </c>
      <c r="AC3769" s="2"/>
    </row>
    <row r="3770" spans="1:29" ht="78" x14ac:dyDescent="0.15">
      <c r="A3770" s="3">
        <f>DATE(1998,3,19)</f>
        <v>35873</v>
      </c>
      <c r="B3770" s="3">
        <f>DATE(1998,3,19)</f>
        <v>35873</v>
      </c>
      <c r="C3770" s="2" t="s">
        <v>95</v>
      </c>
      <c r="D3770" s="2" t="s">
        <v>11772</v>
      </c>
      <c r="E3770" s="2" t="s">
        <v>11773</v>
      </c>
      <c r="F3770" s="4">
        <v>7359</v>
      </c>
      <c r="G3770" s="2" t="s">
        <v>223</v>
      </c>
      <c r="H3770" s="2" t="s">
        <v>34</v>
      </c>
      <c r="I3770" s="2" t="s">
        <v>11774</v>
      </c>
      <c r="J3770" s="2" t="s">
        <v>6519</v>
      </c>
      <c r="K3770" s="2" t="s">
        <v>63</v>
      </c>
      <c r="L3770" s="2" t="s">
        <v>34</v>
      </c>
      <c r="M3770" s="2"/>
      <c r="N3770" s="2"/>
      <c r="O3770" s="2"/>
      <c r="P3770" s="2" t="s">
        <v>11775</v>
      </c>
      <c r="Q3770" s="6">
        <v>100</v>
      </c>
      <c r="R3770" s="2"/>
      <c r="S3770" s="5">
        <v>-2</v>
      </c>
      <c r="T3770" s="7">
        <v>20.878</v>
      </c>
      <c r="U3770" s="5">
        <v>15.9</v>
      </c>
      <c r="V3770" s="6">
        <v>-0.09</v>
      </c>
      <c r="W3770" s="6">
        <v>12.75</v>
      </c>
      <c r="X3770" s="7">
        <v>13.125</v>
      </c>
      <c r="Y3770" s="7">
        <v>13.063000000000001</v>
      </c>
      <c r="Z3770" s="7">
        <v>13.125</v>
      </c>
      <c r="AA3770" s="2"/>
      <c r="AB3770" s="2" t="s">
        <v>47</v>
      </c>
      <c r="AC3770" s="2"/>
    </row>
    <row r="3771" spans="1:29" ht="143" x14ac:dyDescent="0.15">
      <c r="A3771" s="3">
        <f>DATE(1998,3,19)</f>
        <v>35873</v>
      </c>
      <c r="B3771" s="3">
        <f>DATE(1998,7,31)</f>
        <v>36007</v>
      </c>
      <c r="C3771" s="2" t="s">
        <v>95</v>
      </c>
      <c r="D3771" s="2" t="s">
        <v>6609</v>
      </c>
      <c r="E3771" s="2" t="s">
        <v>36</v>
      </c>
      <c r="F3771" s="4">
        <v>6021</v>
      </c>
      <c r="G3771" s="2" t="s">
        <v>37</v>
      </c>
      <c r="H3771" s="2" t="s">
        <v>34</v>
      </c>
      <c r="I3771" s="2" t="s">
        <v>11776</v>
      </c>
      <c r="J3771" s="2" t="s">
        <v>203</v>
      </c>
      <c r="K3771" s="2" t="s">
        <v>33</v>
      </c>
      <c r="L3771" s="2" t="s">
        <v>34</v>
      </c>
      <c r="M3771" s="7">
        <v>239.75899999999999</v>
      </c>
      <c r="N3771" s="4">
        <v>49</v>
      </c>
      <c r="O3771" s="6">
        <v>49.75</v>
      </c>
      <c r="P3771" s="2" t="s">
        <v>11777</v>
      </c>
      <c r="Q3771" s="6">
        <v>100</v>
      </c>
      <c r="R3771" s="6">
        <v>14.85</v>
      </c>
      <c r="S3771" s="5">
        <v>0.5</v>
      </c>
      <c r="T3771" s="7">
        <v>0.46800000000000003</v>
      </c>
      <c r="U3771" s="5">
        <v>5.7</v>
      </c>
      <c r="V3771" s="7">
        <v>0.24399999999999999</v>
      </c>
      <c r="W3771" s="4">
        <v>14</v>
      </c>
      <c r="X3771" s="4">
        <v>14</v>
      </c>
      <c r="Y3771" s="7">
        <v>14.375</v>
      </c>
      <c r="Z3771" s="6">
        <v>14.75</v>
      </c>
      <c r="AA3771" s="6">
        <v>3.12</v>
      </c>
      <c r="AB3771" s="2" t="s">
        <v>86</v>
      </c>
      <c r="AC3771" s="2"/>
    </row>
    <row r="3772" spans="1:29" ht="52" x14ac:dyDescent="0.15">
      <c r="A3772" s="3">
        <f>DATE(1998,3,20)</f>
        <v>35874</v>
      </c>
      <c r="B3772" s="3">
        <f>DATE(1998,8,19)</f>
        <v>36026</v>
      </c>
      <c r="C3772" s="2" t="s">
        <v>95</v>
      </c>
      <c r="D3772" s="2" t="s">
        <v>11778</v>
      </c>
      <c r="E3772" s="2" t="s">
        <v>11779</v>
      </c>
      <c r="F3772" s="4">
        <v>3433</v>
      </c>
      <c r="G3772" s="2" t="s">
        <v>163</v>
      </c>
      <c r="H3772" s="2" t="s">
        <v>34</v>
      </c>
      <c r="I3772" s="2" t="s">
        <v>11780</v>
      </c>
      <c r="J3772" s="2" t="s">
        <v>11781</v>
      </c>
      <c r="K3772" s="2" t="s">
        <v>163</v>
      </c>
      <c r="L3772" s="2" t="s">
        <v>34</v>
      </c>
      <c r="M3772" s="2"/>
      <c r="N3772" s="2"/>
      <c r="O3772" s="2"/>
      <c r="P3772" s="2" t="s">
        <v>11782</v>
      </c>
      <c r="Q3772" s="6">
        <v>100</v>
      </c>
      <c r="R3772" s="6">
        <v>7.14</v>
      </c>
      <c r="S3772" s="5">
        <v>1.1000000000000001</v>
      </c>
      <c r="T3772" s="7">
        <v>2.0150000000000001</v>
      </c>
      <c r="U3772" s="5">
        <v>0.9</v>
      </c>
      <c r="V3772" s="7">
        <v>0.34200000000000003</v>
      </c>
      <c r="W3772" s="7">
        <v>4.125</v>
      </c>
      <c r="X3772" s="4">
        <v>4</v>
      </c>
      <c r="Y3772" s="6">
        <v>4.25</v>
      </c>
      <c r="Z3772" s="4">
        <v>6</v>
      </c>
      <c r="AA3772" s="6">
        <v>3.33</v>
      </c>
      <c r="AB3772" s="7">
        <v>17.806999999999999</v>
      </c>
      <c r="AC3772" s="2"/>
    </row>
    <row r="3773" spans="1:29" ht="117" x14ac:dyDescent="0.15">
      <c r="A3773" s="3">
        <f>DATE(1998,3,23)</f>
        <v>35877</v>
      </c>
      <c r="B3773" s="3">
        <f>DATE(1998,7,28)</f>
        <v>36004</v>
      </c>
      <c r="C3773" s="2" t="s">
        <v>95</v>
      </c>
      <c r="D3773" s="2" t="s">
        <v>11783</v>
      </c>
      <c r="E3773" s="2" t="s">
        <v>6078</v>
      </c>
      <c r="F3773" s="4">
        <v>7011</v>
      </c>
      <c r="G3773" s="2" t="s">
        <v>269</v>
      </c>
      <c r="H3773" s="2" t="s">
        <v>34</v>
      </c>
      <c r="I3773" s="2" t="s">
        <v>11784</v>
      </c>
      <c r="J3773" s="2" t="s">
        <v>92</v>
      </c>
      <c r="K3773" s="2" t="s">
        <v>53</v>
      </c>
      <c r="L3773" s="2" t="s">
        <v>34</v>
      </c>
      <c r="M3773" s="12">
        <v>1305.9929999999999</v>
      </c>
      <c r="N3773" s="7">
        <v>36.125</v>
      </c>
      <c r="O3773" s="7">
        <v>35.625</v>
      </c>
      <c r="P3773" s="2" t="s">
        <v>11785</v>
      </c>
      <c r="Q3773" s="6">
        <v>100</v>
      </c>
      <c r="R3773" s="6">
        <v>24.83</v>
      </c>
      <c r="S3773" s="5">
        <v>33.200000000000003</v>
      </c>
      <c r="T3773" s="7">
        <v>137.58600000000001</v>
      </c>
      <c r="U3773" s="5">
        <v>14.9</v>
      </c>
      <c r="V3773" s="6">
        <v>0.87</v>
      </c>
      <c r="W3773" s="7">
        <v>26.375</v>
      </c>
      <c r="X3773" s="7">
        <v>27.937999999999999</v>
      </c>
      <c r="Y3773" s="7">
        <v>27.625</v>
      </c>
      <c r="Z3773" s="6">
        <v>26.25</v>
      </c>
      <c r="AA3773" s="6">
        <v>43.64</v>
      </c>
      <c r="AB3773" s="7">
        <v>17.614000000000001</v>
      </c>
      <c r="AC3773" s="6">
        <v>17.54</v>
      </c>
    </row>
    <row r="3774" spans="1:29" ht="65" x14ac:dyDescent="0.15">
      <c r="A3774" s="3">
        <f>DATE(1998,3,23)</f>
        <v>35877</v>
      </c>
      <c r="B3774" s="2"/>
      <c r="C3774" s="2" t="s">
        <v>30</v>
      </c>
      <c r="D3774" s="2" t="s">
        <v>11786</v>
      </c>
      <c r="E3774" s="2" t="s">
        <v>36</v>
      </c>
      <c r="F3774" s="4">
        <v>6035</v>
      </c>
      <c r="G3774" s="2" t="s">
        <v>33</v>
      </c>
      <c r="H3774" s="2" t="s">
        <v>34</v>
      </c>
      <c r="I3774" s="2" t="s">
        <v>11787</v>
      </c>
      <c r="J3774" s="2" t="s">
        <v>11788</v>
      </c>
      <c r="K3774" s="2" t="s">
        <v>125</v>
      </c>
      <c r="L3774" s="2" t="s">
        <v>34</v>
      </c>
      <c r="M3774" s="2"/>
      <c r="N3774" s="2"/>
      <c r="O3774" s="2"/>
      <c r="P3774" s="2" t="s">
        <v>11789</v>
      </c>
      <c r="Q3774" s="2"/>
      <c r="R3774" s="6">
        <v>32</v>
      </c>
      <c r="S3774" s="5">
        <v>0.8</v>
      </c>
      <c r="T3774" s="7">
        <v>3.048</v>
      </c>
      <c r="U3774" s="5">
        <v>11.2</v>
      </c>
      <c r="V3774" s="7">
        <v>0.45500000000000002</v>
      </c>
      <c r="W3774" s="6">
        <v>21.75</v>
      </c>
      <c r="X3774" s="6">
        <v>20.75</v>
      </c>
      <c r="Y3774" s="5">
        <v>27.5</v>
      </c>
      <c r="Z3774" s="4">
        <v>28</v>
      </c>
      <c r="AA3774" s="6">
        <v>1.67</v>
      </c>
      <c r="AB3774" s="7">
        <v>32.823999999999998</v>
      </c>
      <c r="AC3774" s="2"/>
    </row>
    <row r="3775" spans="1:29" ht="117" x14ac:dyDescent="0.15">
      <c r="A3775" s="3">
        <f>DATE(1998,3,23)</f>
        <v>35877</v>
      </c>
      <c r="B3775" s="2"/>
      <c r="C3775" s="2" t="s">
        <v>30</v>
      </c>
      <c r="D3775" s="2" t="s">
        <v>11790</v>
      </c>
      <c r="E3775" s="2" t="s">
        <v>11791</v>
      </c>
      <c r="F3775" s="4">
        <v>5013</v>
      </c>
      <c r="G3775" s="2" t="s">
        <v>76</v>
      </c>
      <c r="H3775" s="2" t="s">
        <v>34</v>
      </c>
      <c r="I3775" s="2" t="s">
        <v>11792</v>
      </c>
      <c r="J3775" s="2" t="s">
        <v>11793</v>
      </c>
      <c r="K3775" s="2" t="s">
        <v>105</v>
      </c>
      <c r="L3775" s="2" t="s">
        <v>34</v>
      </c>
      <c r="M3775" s="2"/>
      <c r="N3775" s="2"/>
      <c r="O3775" s="2"/>
      <c r="P3775" s="2" t="s">
        <v>11794</v>
      </c>
      <c r="Q3775" s="2"/>
      <c r="R3775" s="6">
        <v>20</v>
      </c>
      <c r="S3775" s="5">
        <v>5.5</v>
      </c>
      <c r="T3775" s="6">
        <v>13.52</v>
      </c>
      <c r="U3775" s="5">
        <v>12.2</v>
      </c>
      <c r="V3775" s="6">
        <v>1.04</v>
      </c>
      <c r="W3775" s="4">
        <v>13</v>
      </c>
      <c r="X3775" s="7">
        <v>14.938000000000001</v>
      </c>
      <c r="Y3775" s="6">
        <v>14.25</v>
      </c>
      <c r="Z3775" s="7">
        <v>18.625</v>
      </c>
      <c r="AA3775" s="6">
        <v>5.16</v>
      </c>
      <c r="AB3775" s="7">
        <v>15.224</v>
      </c>
      <c r="AC3775" s="2"/>
    </row>
    <row r="3776" spans="1:29" ht="52" x14ac:dyDescent="0.15">
      <c r="A3776" s="3">
        <f>DATE(1998,3,23)</f>
        <v>35877</v>
      </c>
      <c r="B3776" s="2"/>
      <c r="C3776" s="2" t="s">
        <v>141</v>
      </c>
      <c r="D3776" s="2" t="s">
        <v>11795</v>
      </c>
      <c r="E3776" s="2" t="s">
        <v>11796</v>
      </c>
      <c r="F3776" s="4">
        <v>3714</v>
      </c>
      <c r="G3776" s="2" t="s">
        <v>105</v>
      </c>
      <c r="H3776" s="2" t="s">
        <v>34</v>
      </c>
      <c r="I3776" s="2" t="s">
        <v>143</v>
      </c>
      <c r="J3776" s="2" t="s">
        <v>144</v>
      </c>
      <c r="K3776" s="2" t="s">
        <v>53</v>
      </c>
      <c r="L3776" s="2" t="s">
        <v>139</v>
      </c>
      <c r="M3776" s="2"/>
      <c r="N3776" s="2"/>
      <c r="O3776" s="2"/>
      <c r="P3776" s="2" t="s">
        <v>11797</v>
      </c>
      <c r="Q3776" s="2"/>
      <c r="R3776" s="2"/>
      <c r="S3776" s="5">
        <v>-2.1</v>
      </c>
      <c r="T3776" s="7">
        <v>19.157</v>
      </c>
      <c r="U3776" s="5">
        <v>7.3</v>
      </c>
      <c r="V3776" s="6">
        <v>-0.47</v>
      </c>
      <c r="W3776" s="6">
        <v>4.75</v>
      </c>
      <c r="X3776" s="5">
        <v>4.5</v>
      </c>
      <c r="Y3776" s="5">
        <v>4.5</v>
      </c>
      <c r="Z3776" s="7">
        <v>4.625</v>
      </c>
      <c r="AA3776" s="2"/>
      <c r="AB3776" s="2" t="s">
        <v>47</v>
      </c>
      <c r="AC3776" s="2"/>
    </row>
    <row r="3777" spans="1:29" ht="130" x14ac:dyDescent="0.15">
      <c r="A3777" s="3">
        <f>DATE(1998,3,23)</f>
        <v>35877</v>
      </c>
      <c r="B3777" s="3">
        <f>DATE(1998,6,30)</f>
        <v>35976</v>
      </c>
      <c r="C3777" s="2" t="s">
        <v>95</v>
      </c>
      <c r="D3777" s="2" t="s">
        <v>11798</v>
      </c>
      <c r="E3777" s="2" t="s">
        <v>11799</v>
      </c>
      <c r="F3777" s="4">
        <v>3089</v>
      </c>
      <c r="G3777" s="2" t="s">
        <v>447</v>
      </c>
      <c r="H3777" s="2" t="s">
        <v>34</v>
      </c>
      <c r="I3777" s="2" t="s">
        <v>7950</v>
      </c>
      <c r="J3777" s="2" t="s">
        <v>7951</v>
      </c>
      <c r="K3777" s="2" t="s">
        <v>447</v>
      </c>
      <c r="L3777" s="2" t="s">
        <v>34</v>
      </c>
      <c r="M3777" s="7">
        <v>487.68700000000001</v>
      </c>
      <c r="N3777" s="7">
        <v>22.375</v>
      </c>
      <c r="O3777" s="7">
        <v>23.875</v>
      </c>
      <c r="P3777" s="2" t="s">
        <v>11800</v>
      </c>
      <c r="Q3777" s="6">
        <v>100</v>
      </c>
      <c r="R3777" s="6">
        <v>15.5</v>
      </c>
      <c r="S3777" s="5">
        <v>4.0999999999999996</v>
      </c>
      <c r="T3777" s="7">
        <v>12.576000000000001</v>
      </c>
      <c r="U3777" s="5">
        <v>3.9</v>
      </c>
      <c r="V3777" s="7">
        <v>1.0229999999999999</v>
      </c>
      <c r="W3777" s="6">
        <v>6.75</v>
      </c>
      <c r="X3777" s="7">
        <v>6.6879999999999997</v>
      </c>
      <c r="Y3777" s="4">
        <v>15</v>
      </c>
      <c r="Z3777" s="7">
        <v>15.125</v>
      </c>
      <c r="AA3777" s="6">
        <v>3.88</v>
      </c>
      <c r="AB3777" s="7">
        <v>9.8010000000000002</v>
      </c>
      <c r="AC3777" s="6">
        <v>5.99</v>
      </c>
    </row>
    <row r="3778" spans="1:29" ht="117" x14ac:dyDescent="0.15">
      <c r="A3778" s="3">
        <f>DATE(1998,3,24)</f>
        <v>35878</v>
      </c>
      <c r="B3778" s="3">
        <f>DATE(1998,8,17)</f>
        <v>36024</v>
      </c>
      <c r="C3778" s="2" t="s">
        <v>95</v>
      </c>
      <c r="D3778" s="2" t="s">
        <v>11801</v>
      </c>
      <c r="E3778" s="2" t="s">
        <v>11802</v>
      </c>
      <c r="F3778" s="4">
        <v>3714</v>
      </c>
      <c r="G3778" s="2" t="s">
        <v>105</v>
      </c>
      <c r="H3778" s="2" t="s">
        <v>34</v>
      </c>
      <c r="I3778" s="2" t="s">
        <v>9658</v>
      </c>
      <c r="J3778" s="2" t="s">
        <v>3197</v>
      </c>
      <c r="K3778" s="2" t="s">
        <v>53</v>
      </c>
      <c r="L3778" s="2" t="s">
        <v>34</v>
      </c>
      <c r="M3778" s="2"/>
      <c r="N3778" s="2"/>
      <c r="O3778" s="2"/>
      <c r="P3778" s="2" t="s">
        <v>11803</v>
      </c>
      <c r="Q3778" s="6">
        <v>90</v>
      </c>
      <c r="R3778" s="6">
        <v>45</v>
      </c>
      <c r="S3778" s="5">
        <v>21.8</v>
      </c>
      <c r="T3778" s="7">
        <v>70.233999999999995</v>
      </c>
      <c r="U3778" s="5">
        <v>-23.3</v>
      </c>
      <c r="V3778" s="7">
        <v>5.4669999999999996</v>
      </c>
      <c r="W3778" s="5">
        <v>40.5</v>
      </c>
      <c r="X3778" s="4">
        <v>43</v>
      </c>
      <c r="Y3778" s="7">
        <v>43.375</v>
      </c>
      <c r="Z3778" s="7">
        <v>43.063000000000002</v>
      </c>
      <c r="AA3778" s="6">
        <v>4.08</v>
      </c>
      <c r="AB3778" s="7">
        <v>8.6720000000000006</v>
      </c>
      <c r="AC3778" s="2"/>
    </row>
    <row r="3779" spans="1:29" ht="104" x14ac:dyDescent="0.15">
      <c r="A3779" s="3">
        <f>DATE(1998,3,24)</f>
        <v>35878</v>
      </c>
      <c r="B3779" s="3">
        <f>DATE(1999,4,27)</f>
        <v>36277</v>
      </c>
      <c r="C3779" s="2" t="s">
        <v>95</v>
      </c>
      <c r="D3779" s="2" t="s">
        <v>11804</v>
      </c>
      <c r="E3779" s="2" t="s">
        <v>11805</v>
      </c>
      <c r="F3779" s="4">
        <v>6211</v>
      </c>
      <c r="G3779" s="2" t="s">
        <v>53</v>
      </c>
      <c r="H3779" s="2" t="s">
        <v>34</v>
      </c>
      <c r="I3779" s="2" t="s">
        <v>278</v>
      </c>
      <c r="J3779" s="2" t="s">
        <v>52</v>
      </c>
      <c r="K3779" s="2" t="s">
        <v>53</v>
      </c>
      <c r="L3779" s="2" t="s">
        <v>34</v>
      </c>
      <c r="M3779" s="2"/>
      <c r="N3779" s="2"/>
      <c r="O3779" s="2"/>
      <c r="P3779" s="2" t="s">
        <v>11806</v>
      </c>
      <c r="Q3779" s="6">
        <v>82</v>
      </c>
      <c r="R3779" s="6">
        <v>40.31</v>
      </c>
      <c r="S3779" s="5">
        <v>43.4</v>
      </c>
      <c r="T3779" s="7">
        <v>92.534000000000006</v>
      </c>
      <c r="U3779" s="5">
        <v>7.7</v>
      </c>
      <c r="V3779" s="7">
        <v>2.363</v>
      </c>
      <c r="W3779" s="6">
        <v>51.31</v>
      </c>
      <c r="X3779" s="6">
        <v>51.75</v>
      </c>
      <c r="Y3779" s="7">
        <v>54.125</v>
      </c>
      <c r="Z3779" s="5">
        <v>54.5</v>
      </c>
      <c r="AA3779" s="6">
        <v>29.5</v>
      </c>
      <c r="AB3779" s="7">
        <v>8.3040000000000003</v>
      </c>
      <c r="AC3779" s="2"/>
    </row>
    <row r="3780" spans="1:29" ht="156" x14ac:dyDescent="0.15">
      <c r="A3780" s="3">
        <f>DATE(1998,3,24)</f>
        <v>35878</v>
      </c>
      <c r="B3780" s="3">
        <f>DATE(1998,6,24)</f>
        <v>35970</v>
      </c>
      <c r="C3780" s="2" t="s">
        <v>95</v>
      </c>
      <c r="D3780" s="2" t="s">
        <v>11807</v>
      </c>
      <c r="E3780" s="2" t="s">
        <v>11808</v>
      </c>
      <c r="F3780" s="4">
        <v>7371</v>
      </c>
      <c r="G3780" s="2" t="s">
        <v>223</v>
      </c>
      <c r="H3780" s="2" t="s">
        <v>34</v>
      </c>
      <c r="I3780" s="2" t="s">
        <v>11809</v>
      </c>
      <c r="J3780" s="2" t="s">
        <v>11810</v>
      </c>
      <c r="K3780" s="2" t="s">
        <v>223</v>
      </c>
      <c r="L3780" s="2" t="s">
        <v>34</v>
      </c>
      <c r="M3780" s="7">
        <v>162.16300000000001</v>
      </c>
      <c r="N3780" s="4">
        <v>1</v>
      </c>
      <c r="O3780" s="4">
        <v>1</v>
      </c>
      <c r="P3780" s="2" t="s">
        <v>11811</v>
      </c>
      <c r="Q3780" s="6">
        <v>100</v>
      </c>
      <c r="R3780" s="6">
        <v>15.91</v>
      </c>
      <c r="S3780" s="5">
        <v>4.8</v>
      </c>
      <c r="T3780" s="7">
        <v>7.4669999999999996</v>
      </c>
      <c r="U3780" s="5">
        <v>0.9</v>
      </c>
      <c r="V3780" s="6">
        <v>0.45</v>
      </c>
      <c r="W3780" s="7">
        <v>11.625</v>
      </c>
      <c r="X3780" s="7">
        <v>14.625</v>
      </c>
      <c r="Y3780" s="6">
        <v>15.25</v>
      </c>
      <c r="Z3780" s="5">
        <v>15.5</v>
      </c>
      <c r="AA3780" s="6">
        <v>10.6</v>
      </c>
      <c r="AB3780" s="7">
        <v>28.741</v>
      </c>
      <c r="AC3780" s="6">
        <v>318.44</v>
      </c>
    </row>
    <row r="3781" spans="1:29" ht="78" x14ac:dyDescent="0.15">
      <c r="A3781" s="3">
        <f>DATE(1998,3,25)</f>
        <v>35879</v>
      </c>
      <c r="B3781" s="2"/>
      <c r="C3781" s="2" t="s">
        <v>30</v>
      </c>
      <c r="D3781" s="2" t="s">
        <v>11812</v>
      </c>
      <c r="E3781" s="2" t="s">
        <v>11813</v>
      </c>
      <c r="F3781" s="4">
        <v>7375</v>
      </c>
      <c r="G3781" s="2" t="s">
        <v>223</v>
      </c>
      <c r="H3781" s="2" t="s">
        <v>34</v>
      </c>
      <c r="I3781" s="2" t="s">
        <v>51</v>
      </c>
      <c r="J3781" s="2" t="s">
        <v>52</v>
      </c>
      <c r="K3781" s="2" t="s">
        <v>53</v>
      </c>
      <c r="L3781" s="2" t="s">
        <v>34</v>
      </c>
      <c r="M3781" s="2"/>
      <c r="N3781" s="2"/>
      <c r="O3781" s="2"/>
      <c r="P3781" s="2" t="s">
        <v>11814</v>
      </c>
      <c r="Q3781" s="2"/>
      <c r="R3781" s="6">
        <v>41</v>
      </c>
      <c r="S3781" s="5">
        <v>2.2000000000000002</v>
      </c>
      <c r="T3781" s="7">
        <v>54.845999999999997</v>
      </c>
      <c r="U3781" s="5">
        <v>2.9</v>
      </c>
      <c r="V3781" s="6">
        <v>0.19</v>
      </c>
      <c r="W3781" s="7">
        <v>29.375</v>
      </c>
      <c r="X3781" s="7">
        <v>29.375</v>
      </c>
      <c r="Y3781" s="4">
        <v>32</v>
      </c>
      <c r="Z3781" s="7">
        <v>35.625</v>
      </c>
      <c r="AA3781" s="6">
        <v>11.14</v>
      </c>
      <c r="AB3781" s="7">
        <v>48.415999999999997</v>
      </c>
      <c r="AC3781" s="2"/>
    </row>
    <row r="3782" spans="1:29" ht="143" x14ac:dyDescent="0.15">
      <c r="A3782" s="3">
        <f>DATE(1998,3,25)</f>
        <v>35879</v>
      </c>
      <c r="B3782" s="2"/>
      <c r="C3782" s="2" t="s">
        <v>30</v>
      </c>
      <c r="D3782" s="2" t="s">
        <v>11815</v>
      </c>
      <c r="E3782" s="2" t="s">
        <v>2800</v>
      </c>
      <c r="F3782" s="4">
        <v>6162</v>
      </c>
      <c r="G3782" s="2" t="s">
        <v>109</v>
      </c>
      <c r="H3782" s="2" t="s">
        <v>34</v>
      </c>
      <c r="I3782" s="2" t="s">
        <v>7551</v>
      </c>
      <c r="J3782" s="2" t="s">
        <v>7552</v>
      </c>
      <c r="K3782" s="2" t="s">
        <v>125</v>
      </c>
      <c r="L3782" s="2" t="s">
        <v>34</v>
      </c>
      <c r="M3782" s="7">
        <v>135.50899999999999</v>
      </c>
      <c r="N3782" s="7">
        <v>34.813000000000002</v>
      </c>
      <c r="O3782" s="4">
        <v>36</v>
      </c>
      <c r="P3782" s="2" t="s">
        <v>11816</v>
      </c>
      <c r="Q3782" s="2"/>
      <c r="R3782" s="6">
        <v>27.95</v>
      </c>
      <c r="S3782" s="5">
        <v>8.1</v>
      </c>
      <c r="T3782" s="7">
        <v>14.467000000000001</v>
      </c>
      <c r="U3782" s="5">
        <v>6.1</v>
      </c>
      <c r="V3782" s="6">
        <v>1.2</v>
      </c>
      <c r="W3782" s="4">
        <v>17</v>
      </c>
      <c r="X3782" s="6">
        <v>19.25</v>
      </c>
      <c r="Y3782" s="6">
        <v>20.75</v>
      </c>
      <c r="Z3782" s="9">
        <v>27.3125</v>
      </c>
      <c r="AA3782" s="6">
        <v>6.7</v>
      </c>
      <c r="AB3782" s="7">
        <v>55.743000000000002</v>
      </c>
      <c r="AC3782" s="6">
        <v>48.79</v>
      </c>
    </row>
    <row r="3783" spans="1:29" ht="143" x14ac:dyDescent="0.15">
      <c r="A3783" s="3">
        <f>DATE(1998,3,26)</f>
        <v>35880</v>
      </c>
      <c r="B3783" s="3">
        <f>DATE(1998,10,1)</f>
        <v>36069</v>
      </c>
      <c r="C3783" s="2" t="s">
        <v>95</v>
      </c>
      <c r="D3783" s="2" t="s">
        <v>11817</v>
      </c>
      <c r="E3783" s="2" t="s">
        <v>10259</v>
      </c>
      <c r="F3783" s="4">
        <v>6081</v>
      </c>
      <c r="G3783" s="2" t="s">
        <v>37</v>
      </c>
      <c r="H3783" s="2" t="s">
        <v>34</v>
      </c>
      <c r="I3783" s="2" t="s">
        <v>8886</v>
      </c>
      <c r="J3783" s="2" t="s">
        <v>3246</v>
      </c>
      <c r="K3783" s="2" t="s">
        <v>37</v>
      </c>
      <c r="L3783" s="2" t="s">
        <v>34</v>
      </c>
      <c r="M3783" s="12">
        <v>2562.7620000000002</v>
      </c>
      <c r="N3783" s="7">
        <v>55.688000000000002</v>
      </c>
      <c r="O3783" s="7">
        <v>52.938000000000002</v>
      </c>
      <c r="P3783" s="2" t="s">
        <v>11818</v>
      </c>
      <c r="Q3783" s="6">
        <v>100</v>
      </c>
      <c r="R3783" s="6">
        <v>38.25</v>
      </c>
      <c r="S3783" s="5">
        <v>41.2</v>
      </c>
      <c r="T3783" s="7">
        <v>67.578999999999994</v>
      </c>
      <c r="U3783" s="5">
        <v>26.1</v>
      </c>
      <c r="V3783" s="6">
        <v>2.14</v>
      </c>
      <c r="W3783" s="4">
        <v>36</v>
      </c>
      <c r="X3783" s="7">
        <v>40.625</v>
      </c>
      <c r="Y3783" s="4">
        <v>51</v>
      </c>
      <c r="Z3783" s="7">
        <v>51.625</v>
      </c>
      <c r="AA3783" s="6">
        <v>16.420000000000002</v>
      </c>
      <c r="AB3783" s="7">
        <v>85.134</v>
      </c>
      <c r="AC3783" s="2"/>
    </row>
    <row r="3784" spans="1:29" ht="130" x14ac:dyDescent="0.15">
      <c r="A3784" s="3">
        <f>DATE(1998,3,26)</f>
        <v>35880</v>
      </c>
      <c r="B3784" s="3">
        <f>DATE(1998,7,31)</f>
        <v>36007</v>
      </c>
      <c r="C3784" s="2" t="s">
        <v>95</v>
      </c>
      <c r="D3784" s="2" t="s">
        <v>499</v>
      </c>
      <c r="E3784" s="2" t="s">
        <v>500</v>
      </c>
      <c r="F3784" s="4">
        <v>3721</v>
      </c>
      <c r="G3784" s="2" t="s">
        <v>219</v>
      </c>
      <c r="H3784" s="2" t="s">
        <v>34</v>
      </c>
      <c r="I3784" s="2" t="s">
        <v>11819</v>
      </c>
      <c r="J3784" s="2" t="s">
        <v>11820</v>
      </c>
      <c r="K3784" s="2" t="s">
        <v>76</v>
      </c>
      <c r="L3784" s="2" t="s">
        <v>34</v>
      </c>
      <c r="M3784" s="7">
        <v>341.70699999999999</v>
      </c>
      <c r="N3784" s="6">
        <v>43.25</v>
      </c>
      <c r="O3784" s="4">
        <v>42</v>
      </c>
      <c r="P3784" s="2" t="s">
        <v>11821</v>
      </c>
      <c r="Q3784" s="6">
        <v>100</v>
      </c>
      <c r="R3784" s="6">
        <v>22.57</v>
      </c>
      <c r="S3784" s="5">
        <v>-11.9</v>
      </c>
      <c r="T3784" s="7">
        <v>-8.6539999999999999</v>
      </c>
      <c r="U3784" s="5">
        <v>4.2</v>
      </c>
      <c r="V3784" s="6">
        <v>-2.16</v>
      </c>
      <c r="W3784" s="6">
        <v>23.25</v>
      </c>
      <c r="X3784" s="4">
        <v>22</v>
      </c>
      <c r="Y3784" s="7">
        <v>21.375</v>
      </c>
      <c r="Z3784" s="7">
        <v>20.687999999999999</v>
      </c>
      <c r="AA3784" s="6">
        <v>5.53</v>
      </c>
      <c r="AB3784" s="2" t="s">
        <v>86</v>
      </c>
      <c r="AC3784" s="2"/>
    </row>
    <row r="3785" spans="1:29" ht="39" x14ac:dyDescent="0.15">
      <c r="A3785" s="3">
        <f>DATE(1998,3,27)</f>
        <v>35881</v>
      </c>
      <c r="B3785" s="2"/>
      <c r="C3785" s="2" t="s">
        <v>30</v>
      </c>
      <c r="D3785" s="2" t="s">
        <v>11822</v>
      </c>
      <c r="E3785" s="2" t="s">
        <v>11823</v>
      </c>
      <c r="F3785" s="4">
        <v>5072</v>
      </c>
      <c r="G3785" s="2" t="s">
        <v>76</v>
      </c>
      <c r="H3785" s="2" t="s">
        <v>34</v>
      </c>
      <c r="I3785" s="2" t="s">
        <v>11824</v>
      </c>
      <c r="J3785" s="2" t="s">
        <v>1514</v>
      </c>
      <c r="K3785" s="2" t="s">
        <v>223</v>
      </c>
      <c r="L3785" s="2" t="s">
        <v>34</v>
      </c>
      <c r="M3785" s="7">
        <v>0.47299999999999998</v>
      </c>
      <c r="N3785" s="7">
        <v>0.67200000000000004</v>
      </c>
      <c r="O3785" s="6">
        <v>0.61</v>
      </c>
      <c r="P3785" s="2" t="s">
        <v>11825</v>
      </c>
      <c r="Q3785" s="2"/>
      <c r="R3785" s="2"/>
      <c r="S3785" s="5">
        <v>0</v>
      </c>
      <c r="T3785" s="7">
        <v>7.8E-2</v>
      </c>
      <c r="U3785" s="5">
        <v>1.7</v>
      </c>
      <c r="V3785" s="7">
        <v>1.6E-2</v>
      </c>
      <c r="W3785" s="7">
        <v>1.625</v>
      </c>
      <c r="X3785" s="6">
        <v>2.25</v>
      </c>
      <c r="Y3785" s="7">
        <v>3.375</v>
      </c>
      <c r="Z3785" s="6">
        <v>3.25</v>
      </c>
      <c r="AA3785" s="6">
        <v>1.41</v>
      </c>
      <c r="AB3785" s="2" t="s">
        <v>86</v>
      </c>
      <c r="AC3785" s="2"/>
    </row>
    <row r="3786" spans="1:29" ht="195" x14ac:dyDescent="0.15">
      <c r="A3786" s="3">
        <f>DATE(1998,3,27)</f>
        <v>35881</v>
      </c>
      <c r="B3786" s="3">
        <f>DATE(1998,7,1)</f>
        <v>35977</v>
      </c>
      <c r="C3786" s="2" t="s">
        <v>95</v>
      </c>
      <c r="D3786" s="2" t="s">
        <v>11826</v>
      </c>
      <c r="E3786" s="2" t="s">
        <v>11827</v>
      </c>
      <c r="F3786" s="4">
        <v>7948</v>
      </c>
      <c r="G3786" s="2" t="s">
        <v>364</v>
      </c>
      <c r="H3786" s="2" t="s">
        <v>34</v>
      </c>
      <c r="I3786" s="2" t="s">
        <v>11828</v>
      </c>
      <c r="J3786" s="2" t="s">
        <v>11829</v>
      </c>
      <c r="K3786" s="2" t="s">
        <v>364</v>
      </c>
      <c r="L3786" s="2" t="s">
        <v>34</v>
      </c>
      <c r="M3786" s="7">
        <v>411.70499999999998</v>
      </c>
      <c r="N3786" s="6">
        <v>28.75</v>
      </c>
      <c r="O3786" s="7">
        <v>29.187999999999999</v>
      </c>
      <c r="P3786" s="2" t="s">
        <v>11830</v>
      </c>
      <c r="Q3786" s="6">
        <v>86.71</v>
      </c>
      <c r="R3786" s="6">
        <v>18.309999999999999</v>
      </c>
      <c r="S3786" s="5">
        <v>1.8</v>
      </c>
      <c r="T3786" s="7">
        <v>4.585</v>
      </c>
      <c r="U3786" s="5">
        <v>6.5</v>
      </c>
      <c r="V3786" s="7">
        <v>0.41699999999999998</v>
      </c>
      <c r="W3786" s="4">
        <v>15</v>
      </c>
      <c r="X3786" s="7">
        <v>16.375</v>
      </c>
      <c r="Y3786" s="7">
        <v>17.125</v>
      </c>
      <c r="Z3786" s="7">
        <v>17.375</v>
      </c>
      <c r="AA3786" s="6">
        <v>4.67</v>
      </c>
      <c r="AB3786" s="7">
        <v>37.917000000000002</v>
      </c>
      <c r="AC3786" s="2"/>
    </row>
    <row r="3787" spans="1:29" ht="195" x14ac:dyDescent="0.15">
      <c r="A3787" s="3">
        <f>DATE(1998,3,27)</f>
        <v>35881</v>
      </c>
      <c r="B3787" s="3">
        <f>DATE(1998,7,15)</f>
        <v>35991</v>
      </c>
      <c r="C3787" s="2" t="s">
        <v>95</v>
      </c>
      <c r="D3787" s="2" t="s">
        <v>11831</v>
      </c>
      <c r="E3787" s="2" t="s">
        <v>676</v>
      </c>
      <c r="F3787" s="4">
        <v>2841</v>
      </c>
      <c r="G3787" s="2" t="s">
        <v>358</v>
      </c>
      <c r="H3787" s="2" t="s">
        <v>34</v>
      </c>
      <c r="I3787" s="2" t="s">
        <v>11832</v>
      </c>
      <c r="J3787" s="2" t="s">
        <v>11833</v>
      </c>
      <c r="K3787" s="2" t="s">
        <v>98</v>
      </c>
      <c r="L3787" s="2" t="s">
        <v>34</v>
      </c>
      <c r="M3787" s="2"/>
      <c r="N3787" s="2"/>
      <c r="O3787" s="2"/>
      <c r="P3787" s="2" t="s">
        <v>11834</v>
      </c>
      <c r="Q3787" s="6">
        <v>20.13</v>
      </c>
      <c r="R3787" s="6">
        <v>17.940000000000001</v>
      </c>
      <c r="S3787" s="5">
        <v>92.6</v>
      </c>
      <c r="T3787" s="7">
        <v>198.02600000000001</v>
      </c>
      <c r="U3787" s="5">
        <v>8.1999999999999993</v>
      </c>
      <c r="V3787" s="6">
        <v>0.96</v>
      </c>
      <c r="W3787" s="6">
        <v>17.940000000000001</v>
      </c>
      <c r="X3787" s="5">
        <v>17.5</v>
      </c>
      <c r="Y3787" s="7">
        <v>17.937999999999999</v>
      </c>
      <c r="Z3787" s="7">
        <v>17.625</v>
      </c>
      <c r="AA3787" s="6">
        <v>96.06</v>
      </c>
      <c r="AB3787" s="7">
        <v>13.538</v>
      </c>
      <c r="AC3787" s="2"/>
    </row>
    <row r="3788" spans="1:29" ht="104" x14ac:dyDescent="0.15">
      <c r="A3788" s="3">
        <f>DATE(1998,3,27)</f>
        <v>35881</v>
      </c>
      <c r="B3788" s="2"/>
      <c r="C3788" s="2" t="s">
        <v>30</v>
      </c>
      <c r="D3788" s="2" t="s">
        <v>11835</v>
      </c>
      <c r="E3788" s="2" t="s">
        <v>11836</v>
      </c>
      <c r="F3788" s="4">
        <v>6531</v>
      </c>
      <c r="G3788" s="2" t="s">
        <v>109</v>
      </c>
      <c r="H3788" s="2" t="s">
        <v>34</v>
      </c>
      <c r="I3788" s="2" t="s">
        <v>11837</v>
      </c>
      <c r="J3788" s="2" t="s">
        <v>244</v>
      </c>
      <c r="K3788" s="2" t="s">
        <v>53</v>
      </c>
      <c r="L3788" s="2" t="s">
        <v>34</v>
      </c>
      <c r="M3788" s="2"/>
      <c r="N3788" s="2"/>
      <c r="O3788" s="2"/>
      <c r="P3788" s="2" t="s">
        <v>11838</v>
      </c>
      <c r="Q3788" s="2"/>
      <c r="R3788" s="6">
        <v>5.75</v>
      </c>
      <c r="S3788" s="5">
        <v>19.3</v>
      </c>
      <c r="T3788" s="7">
        <v>-2.6920000000000002</v>
      </c>
      <c r="U3788" s="5">
        <v>20.9</v>
      </c>
      <c r="V3788" s="6">
        <v>2.46</v>
      </c>
      <c r="W3788" s="4">
        <v>5</v>
      </c>
      <c r="X3788" s="7">
        <v>5.1879999999999997</v>
      </c>
      <c r="Y3788" s="6">
        <v>5.25</v>
      </c>
      <c r="Z3788" s="11">
        <v>5.21875</v>
      </c>
      <c r="AA3788" s="6">
        <v>21.01</v>
      </c>
      <c r="AB3788" s="2" t="s">
        <v>86</v>
      </c>
      <c r="AC3788" s="2"/>
    </row>
    <row r="3789" spans="1:29" ht="91" x14ac:dyDescent="0.15">
      <c r="A3789" s="3">
        <f>DATE(1998,3,30)</f>
        <v>35884</v>
      </c>
      <c r="B3789" s="3">
        <f>DATE(1998,5,8)</f>
        <v>35923</v>
      </c>
      <c r="C3789" s="2" t="s">
        <v>95</v>
      </c>
      <c r="D3789" s="2" t="s">
        <v>3240</v>
      </c>
      <c r="E3789" s="2" t="s">
        <v>1737</v>
      </c>
      <c r="F3789" s="4">
        <v>2673</v>
      </c>
      <c r="G3789" s="2" t="s">
        <v>282</v>
      </c>
      <c r="H3789" s="2" t="s">
        <v>34</v>
      </c>
      <c r="I3789" s="2" t="s">
        <v>11839</v>
      </c>
      <c r="J3789" s="2" t="s">
        <v>11840</v>
      </c>
      <c r="K3789" s="2" t="s">
        <v>250</v>
      </c>
      <c r="L3789" s="2" t="s">
        <v>902</v>
      </c>
      <c r="M3789" s="2"/>
      <c r="N3789" s="2"/>
      <c r="O3789" s="2"/>
      <c r="P3789" s="2" t="s">
        <v>11841</v>
      </c>
      <c r="Q3789" s="6">
        <v>100</v>
      </c>
      <c r="R3789" s="6">
        <v>9.6300000000000008</v>
      </c>
      <c r="S3789" s="5">
        <v>2.5</v>
      </c>
      <c r="T3789" s="7">
        <v>-0.77500000000000002</v>
      </c>
      <c r="U3789" s="5">
        <v>9.5</v>
      </c>
      <c r="V3789" s="6">
        <v>0.59</v>
      </c>
      <c r="W3789" s="7">
        <v>6.125</v>
      </c>
      <c r="X3789" s="7">
        <v>7.125</v>
      </c>
      <c r="Y3789" s="7">
        <v>9.4689999999999994</v>
      </c>
      <c r="Z3789" s="5">
        <v>9.5</v>
      </c>
      <c r="AA3789" s="6">
        <v>4.3499999999999996</v>
      </c>
      <c r="AB3789" s="2" t="s">
        <v>86</v>
      </c>
      <c r="AC3789" s="5">
        <v>12.1</v>
      </c>
    </row>
    <row r="3790" spans="1:29" ht="91" x14ac:dyDescent="0.15">
      <c r="A3790" s="3">
        <f>DATE(1998,3,30)</f>
        <v>35884</v>
      </c>
      <c r="B3790" s="3">
        <f>DATE(1998,5,11)</f>
        <v>35926</v>
      </c>
      <c r="C3790" s="2" t="s">
        <v>95</v>
      </c>
      <c r="D3790" s="2" t="s">
        <v>691</v>
      </c>
      <c r="E3790" s="2" t="s">
        <v>692</v>
      </c>
      <c r="F3790" s="4">
        <v>8351</v>
      </c>
      <c r="G3790" s="2" t="s">
        <v>690</v>
      </c>
      <c r="H3790" s="2" t="s">
        <v>34</v>
      </c>
      <c r="I3790" s="2" t="s">
        <v>11842</v>
      </c>
      <c r="J3790" s="2" t="s">
        <v>11843</v>
      </c>
      <c r="K3790" s="2" t="s">
        <v>690</v>
      </c>
      <c r="L3790" s="2" t="s">
        <v>34</v>
      </c>
      <c r="M3790" s="2"/>
      <c r="N3790" s="2"/>
      <c r="O3790" s="2"/>
      <c r="P3790" s="2" t="s">
        <v>11844</v>
      </c>
      <c r="Q3790" s="6">
        <v>100</v>
      </c>
      <c r="R3790" s="6">
        <v>12.25</v>
      </c>
      <c r="S3790" s="5">
        <v>1.5</v>
      </c>
      <c r="T3790" s="7">
        <v>9.0809999999999995</v>
      </c>
      <c r="U3790" s="5">
        <v>8.1999999999999993</v>
      </c>
      <c r="V3790" s="7">
        <v>0.222</v>
      </c>
      <c r="W3790" s="5">
        <v>10.5</v>
      </c>
      <c r="X3790" s="7">
        <v>10.125</v>
      </c>
      <c r="Y3790" s="4">
        <v>12</v>
      </c>
      <c r="Z3790" s="7">
        <v>12.016</v>
      </c>
      <c r="AA3790" s="6">
        <v>6.74</v>
      </c>
      <c r="AB3790" s="7">
        <v>29.77</v>
      </c>
      <c r="AC3790" s="2"/>
    </row>
    <row r="3791" spans="1:29" ht="143" x14ac:dyDescent="0.15">
      <c r="A3791" s="3">
        <f t="shared" ref="A3791:A3797" si="64">DATE(1998,3,31)</f>
        <v>35885</v>
      </c>
      <c r="B3791" s="3">
        <f>DATE(1998,8,31)</f>
        <v>36038</v>
      </c>
      <c r="C3791" s="2" t="s">
        <v>95</v>
      </c>
      <c r="D3791" s="2" t="s">
        <v>11845</v>
      </c>
      <c r="E3791" s="2" t="s">
        <v>2898</v>
      </c>
      <c r="F3791" s="4">
        <v>6021</v>
      </c>
      <c r="G3791" s="2" t="s">
        <v>37</v>
      </c>
      <c r="H3791" s="2" t="s">
        <v>34</v>
      </c>
      <c r="I3791" s="2" t="s">
        <v>1955</v>
      </c>
      <c r="J3791" s="2" t="s">
        <v>672</v>
      </c>
      <c r="K3791" s="2" t="s">
        <v>37</v>
      </c>
      <c r="L3791" s="2" t="s">
        <v>34</v>
      </c>
      <c r="M3791" s="12">
        <v>4169.7269999999999</v>
      </c>
      <c r="N3791" s="7">
        <v>62.188000000000002</v>
      </c>
      <c r="O3791" s="7">
        <v>61.625</v>
      </c>
      <c r="P3791" s="2" t="s">
        <v>11846</v>
      </c>
      <c r="Q3791" s="6">
        <v>100</v>
      </c>
      <c r="R3791" s="6">
        <v>30.1</v>
      </c>
      <c r="S3791" s="5">
        <v>8.3000000000000007</v>
      </c>
      <c r="T3791" s="7">
        <v>13.138</v>
      </c>
      <c r="U3791" s="5">
        <v>11.2</v>
      </c>
      <c r="V3791" s="6">
        <v>1.19</v>
      </c>
      <c r="W3791" s="5">
        <v>24.5</v>
      </c>
      <c r="X3791" s="4">
        <v>29</v>
      </c>
      <c r="Y3791" s="6">
        <v>29.75</v>
      </c>
      <c r="Z3791" s="4">
        <v>29</v>
      </c>
      <c r="AA3791" s="6">
        <v>6.99</v>
      </c>
      <c r="AB3791" s="7">
        <v>18.495000000000001</v>
      </c>
      <c r="AC3791" s="2"/>
    </row>
    <row r="3792" spans="1:29" ht="104" x14ac:dyDescent="0.15">
      <c r="A3792" s="3">
        <f t="shared" si="64"/>
        <v>35885</v>
      </c>
      <c r="B3792" s="3">
        <f>DATE(1998,8,21)</f>
        <v>36028</v>
      </c>
      <c r="C3792" s="2" t="s">
        <v>95</v>
      </c>
      <c r="D3792" s="2" t="s">
        <v>11847</v>
      </c>
      <c r="E3792" s="2" t="s">
        <v>36</v>
      </c>
      <c r="F3792" s="4">
        <v>6022</v>
      </c>
      <c r="G3792" s="2" t="s">
        <v>37</v>
      </c>
      <c r="H3792" s="2" t="s">
        <v>34</v>
      </c>
      <c r="I3792" s="2" t="s">
        <v>4381</v>
      </c>
      <c r="J3792" s="2" t="s">
        <v>263</v>
      </c>
      <c r="K3792" s="2" t="s">
        <v>37</v>
      </c>
      <c r="L3792" s="2" t="s">
        <v>34</v>
      </c>
      <c r="M3792" s="7">
        <v>785.57100000000003</v>
      </c>
      <c r="N3792" s="7">
        <v>38.313000000000002</v>
      </c>
      <c r="O3792" s="7">
        <v>37.438000000000002</v>
      </c>
      <c r="P3792" s="2" t="s">
        <v>11848</v>
      </c>
      <c r="Q3792" s="6">
        <v>100</v>
      </c>
      <c r="R3792" s="6">
        <v>38.25</v>
      </c>
      <c r="S3792" s="5">
        <v>15.7</v>
      </c>
      <c r="T3792" s="6">
        <v>15.72</v>
      </c>
      <c r="U3792" s="5">
        <v>14.5</v>
      </c>
      <c r="V3792" s="6">
        <v>2.98</v>
      </c>
      <c r="W3792" s="5">
        <v>30.5</v>
      </c>
      <c r="X3792" s="4">
        <v>36</v>
      </c>
      <c r="Y3792" s="4">
        <v>36</v>
      </c>
      <c r="Z3792" s="7">
        <v>35.563000000000002</v>
      </c>
      <c r="AA3792" s="6">
        <v>5.25</v>
      </c>
      <c r="AB3792" s="7">
        <v>63.08</v>
      </c>
      <c r="AC3792" s="2"/>
    </row>
    <row r="3793" spans="1:29" ht="130" x14ac:dyDescent="0.15">
      <c r="A3793" s="3">
        <f t="shared" si="64"/>
        <v>35885</v>
      </c>
      <c r="B3793" s="3">
        <f>DATE(1999,2,1)</f>
        <v>36192</v>
      </c>
      <c r="C3793" s="2" t="s">
        <v>95</v>
      </c>
      <c r="D3793" s="2" t="s">
        <v>11849</v>
      </c>
      <c r="E3793" s="2" t="s">
        <v>11850</v>
      </c>
      <c r="F3793" s="4">
        <v>2037</v>
      </c>
      <c r="G3793" s="2" t="s">
        <v>577</v>
      </c>
      <c r="H3793" s="2" t="s">
        <v>34</v>
      </c>
      <c r="I3793" s="2" t="s">
        <v>6513</v>
      </c>
      <c r="J3793" s="2" t="s">
        <v>6514</v>
      </c>
      <c r="K3793" s="2" t="s">
        <v>577</v>
      </c>
      <c r="L3793" s="2" t="s">
        <v>34</v>
      </c>
      <c r="M3793" s="7">
        <v>12.182</v>
      </c>
      <c r="N3793" s="6">
        <v>3.25</v>
      </c>
      <c r="O3793" s="6">
        <v>3.25</v>
      </c>
      <c r="P3793" s="2" t="s">
        <v>11851</v>
      </c>
      <c r="Q3793" s="6">
        <v>100</v>
      </c>
      <c r="R3793" s="6">
        <v>2.93</v>
      </c>
      <c r="S3793" s="5">
        <v>0.4</v>
      </c>
      <c r="T3793" s="5">
        <v>2.7</v>
      </c>
      <c r="U3793" s="5">
        <v>1.9</v>
      </c>
      <c r="V3793" s="7">
        <v>6.0999999999999999E-2</v>
      </c>
      <c r="W3793" s="4">
        <v>3</v>
      </c>
      <c r="X3793" s="6">
        <v>2.75</v>
      </c>
      <c r="Y3793" s="6">
        <v>3.25</v>
      </c>
      <c r="Z3793" s="7">
        <v>3.125</v>
      </c>
      <c r="AA3793" s="6">
        <v>6.47</v>
      </c>
      <c r="AB3793" s="7">
        <v>17.984999999999999</v>
      </c>
      <c r="AC3793" s="2"/>
    </row>
    <row r="3794" spans="1:29" ht="130" x14ac:dyDescent="0.15">
      <c r="A3794" s="3">
        <f t="shared" si="64"/>
        <v>35885</v>
      </c>
      <c r="B3794" s="3">
        <f>DATE(1998,8,17)</f>
        <v>36024</v>
      </c>
      <c r="C3794" s="2" t="s">
        <v>95</v>
      </c>
      <c r="D3794" s="2" t="s">
        <v>11852</v>
      </c>
      <c r="E3794" s="2" t="s">
        <v>36</v>
      </c>
      <c r="F3794" s="4">
        <v>6035</v>
      </c>
      <c r="G3794" s="2" t="s">
        <v>33</v>
      </c>
      <c r="H3794" s="2" t="s">
        <v>34</v>
      </c>
      <c r="I3794" s="2" t="s">
        <v>4381</v>
      </c>
      <c r="J3794" s="2" t="s">
        <v>263</v>
      </c>
      <c r="K3794" s="2" t="s">
        <v>37</v>
      </c>
      <c r="L3794" s="2" t="s">
        <v>34</v>
      </c>
      <c r="M3794" s="7">
        <v>826.68700000000001</v>
      </c>
      <c r="N3794" s="7">
        <v>38.313000000000002</v>
      </c>
      <c r="O3794" s="7">
        <v>37.438000000000002</v>
      </c>
      <c r="P3794" s="2" t="s">
        <v>11853</v>
      </c>
      <c r="Q3794" s="6">
        <v>100</v>
      </c>
      <c r="R3794" s="6">
        <v>20.73</v>
      </c>
      <c r="S3794" s="5">
        <v>5.8</v>
      </c>
      <c r="T3794" s="7">
        <v>9.3170000000000002</v>
      </c>
      <c r="U3794" s="5">
        <v>11.7</v>
      </c>
      <c r="V3794" s="6">
        <v>0.54</v>
      </c>
      <c r="W3794" s="6">
        <v>20.25</v>
      </c>
      <c r="X3794" s="4">
        <v>20</v>
      </c>
      <c r="Y3794" s="7">
        <v>19.437999999999999</v>
      </c>
      <c r="Z3794" s="4">
        <v>19</v>
      </c>
      <c r="AA3794" s="6">
        <v>10.94</v>
      </c>
      <c r="AB3794" s="7">
        <v>30.943000000000001</v>
      </c>
      <c r="AC3794" s="2"/>
    </row>
    <row r="3795" spans="1:29" ht="91" x14ac:dyDescent="0.15">
      <c r="A3795" s="3">
        <f t="shared" si="64"/>
        <v>35885</v>
      </c>
      <c r="B3795" s="3">
        <f>DATE(1998,6,29)</f>
        <v>35975</v>
      </c>
      <c r="C3795" s="2" t="s">
        <v>95</v>
      </c>
      <c r="D3795" s="2" t="s">
        <v>11854</v>
      </c>
      <c r="E3795" s="2" t="s">
        <v>3461</v>
      </c>
      <c r="F3795" s="4">
        <v>2834</v>
      </c>
      <c r="G3795" s="2" t="s">
        <v>130</v>
      </c>
      <c r="H3795" s="2" t="s">
        <v>34</v>
      </c>
      <c r="I3795" s="2" t="s">
        <v>10319</v>
      </c>
      <c r="J3795" s="2" t="s">
        <v>10320</v>
      </c>
      <c r="K3795" s="2" t="s">
        <v>73</v>
      </c>
      <c r="L3795" s="2" t="s">
        <v>34</v>
      </c>
      <c r="M3795" s="12">
        <v>3214.3040000000001</v>
      </c>
      <c r="N3795" s="7">
        <v>39.625</v>
      </c>
      <c r="O3795" s="7">
        <v>38.938000000000002</v>
      </c>
      <c r="P3795" s="2" t="s">
        <v>11855</v>
      </c>
      <c r="Q3795" s="6">
        <v>100</v>
      </c>
      <c r="R3795" s="6">
        <v>5.75</v>
      </c>
      <c r="S3795" s="5">
        <v>0.8</v>
      </c>
      <c r="T3795" s="7">
        <v>7.5830000000000002</v>
      </c>
      <c r="U3795" s="5">
        <v>2.1</v>
      </c>
      <c r="V3795" s="6">
        <v>0.03</v>
      </c>
      <c r="W3795" s="7">
        <v>3.5630000000000002</v>
      </c>
      <c r="X3795" s="7">
        <v>5.125</v>
      </c>
      <c r="Y3795" s="7">
        <v>5.3440000000000003</v>
      </c>
      <c r="Z3795" s="7">
        <v>5.3440000000000003</v>
      </c>
      <c r="AA3795" s="6">
        <v>23.24</v>
      </c>
      <c r="AB3795" s="7">
        <v>52.39</v>
      </c>
      <c r="AC3795" s="6">
        <v>131.04</v>
      </c>
    </row>
    <row r="3796" spans="1:29" ht="104" x14ac:dyDescent="0.15">
      <c r="A3796" s="3">
        <f t="shared" si="64"/>
        <v>35885</v>
      </c>
      <c r="B3796" s="3">
        <f>DATE(1999,3,26)</f>
        <v>36245</v>
      </c>
      <c r="C3796" s="2" t="s">
        <v>95</v>
      </c>
      <c r="D3796" s="2" t="s">
        <v>11856</v>
      </c>
      <c r="E3796" s="2" t="s">
        <v>500</v>
      </c>
      <c r="F3796" s="4">
        <v>3679</v>
      </c>
      <c r="G3796" s="2" t="s">
        <v>137</v>
      </c>
      <c r="H3796" s="2" t="s">
        <v>34</v>
      </c>
      <c r="I3796" s="2" t="s">
        <v>11857</v>
      </c>
      <c r="J3796" s="2" t="s">
        <v>11858</v>
      </c>
      <c r="K3796" s="2" t="s">
        <v>226</v>
      </c>
      <c r="L3796" s="2" t="s">
        <v>34</v>
      </c>
      <c r="M3796" s="7">
        <v>578.21100000000001</v>
      </c>
      <c r="N3796" s="7">
        <v>17.812999999999999</v>
      </c>
      <c r="O3796" s="7">
        <v>17.375</v>
      </c>
      <c r="P3796" s="2" t="s">
        <v>11859</v>
      </c>
      <c r="Q3796" s="6">
        <v>50.01</v>
      </c>
      <c r="R3796" s="6">
        <v>7</v>
      </c>
      <c r="S3796" s="5">
        <v>0.3</v>
      </c>
      <c r="T3796" s="7">
        <v>2.2930000000000001</v>
      </c>
      <c r="U3796" s="5">
        <v>3.9</v>
      </c>
      <c r="V3796" s="6">
        <v>0.03</v>
      </c>
      <c r="W3796" s="7">
        <v>4.375</v>
      </c>
      <c r="X3796" s="7">
        <v>4.8129999999999997</v>
      </c>
      <c r="Y3796" s="4">
        <v>7</v>
      </c>
      <c r="Z3796" s="4">
        <v>7</v>
      </c>
      <c r="AA3796" s="6">
        <v>8.84</v>
      </c>
      <c r="AB3796" s="7">
        <v>499.38400000000001</v>
      </c>
      <c r="AC3796" s="6">
        <v>245.33</v>
      </c>
    </row>
    <row r="3797" spans="1:29" ht="78" x14ac:dyDescent="0.15">
      <c r="A3797" s="3">
        <f t="shared" si="64"/>
        <v>35885</v>
      </c>
      <c r="B3797" s="2"/>
      <c r="C3797" s="2" t="s">
        <v>30</v>
      </c>
      <c r="D3797" s="2" t="s">
        <v>11450</v>
      </c>
      <c r="E3797" s="2" t="s">
        <v>11451</v>
      </c>
      <c r="F3797" s="4">
        <v>4822</v>
      </c>
      <c r="G3797" s="2" t="s">
        <v>63</v>
      </c>
      <c r="H3797" s="2" t="s">
        <v>34</v>
      </c>
      <c r="I3797" s="2" t="s">
        <v>11860</v>
      </c>
      <c r="J3797" s="2" t="s">
        <v>973</v>
      </c>
      <c r="K3797" s="2" t="s">
        <v>63</v>
      </c>
      <c r="L3797" s="2" t="s">
        <v>34</v>
      </c>
      <c r="M3797" s="7">
        <v>830.19399999999996</v>
      </c>
      <c r="N3797" s="5">
        <v>37.5</v>
      </c>
      <c r="O3797" s="7">
        <v>37.375</v>
      </c>
      <c r="P3797" s="2" t="s">
        <v>11861</v>
      </c>
      <c r="Q3797" s="2"/>
      <c r="R3797" s="6">
        <v>10.5</v>
      </c>
      <c r="S3797" s="5">
        <v>-10.9</v>
      </c>
      <c r="T3797" s="6">
        <v>-3.11</v>
      </c>
      <c r="U3797" s="5">
        <v>4.9000000000000004</v>
      </c>
      <c r="V3797" s="6">
        <v>-0.91</v>
      </c>
      <c r="W3797" s="6">
        <v>8.25</v>
      </c>
      <c r="X3797" s="7">
        <v>8.625</v>
      </c>
      <c r="Y3797" s="4">
        <v>9</v>
      </c>
      <c r="Z3797" s="7">
        <v>8.9380000000000006</v>
      </c>
      <c r="AA3797" s="6">
        <v>12.15</v>
      </c>
      <c r="AB3797" s="2" t="s">
        <v>86</v>
      </c>
      <c r="AC3797" s="6">
        <v>7.67</v>
      </c>
    </row>
    <row r="3798" spans="1:29" ht="117" x14ac:dyDescent="0.15">
      <c r="A3798" s="3">
        <f>DATE(1998,4,2)</f>
        <v>35887</v>
      </c>
      <c r="B3798" s="3">
        <f>DATE(1998,6,30)</f>
        <v>35976</v>
      </c>
      <c r="C3798" s="2" t="s">
        <v>95</v>
      </c>
      <c r="D3798" s="2" t="s">
        <v>11862</v>
      </c>
      <c r="E3798" s="2" t="s">
        <v>11863</v>
      </c>
      <c r="F3798" s="4">
        <v>6798</v>
      </c>
      <c r="G3798" s="2" t="s">
        <v>53</v>
      </c>
      <c r="H3798" s="2" t="s">
        <v>34</v>
      </c>
      <c r="I3798" s="2" t="s">
        <v>11864</v>
      </c>
      <c r="J3798" s="2" t="s">
        <v>92</v>
      </c>
      <c r="K3798" s="2" t="s">
        <v>53</v>
      </c>
      <c r="L3798" s="2" t="s">
        <v>34</v>
      </c>
      <c r="M3798" s="12">
        <v>2058.2150000000001</v>
      </c>
      <c r="N3798" s="9">
        <v>23.1875</v>
      </c>
      <c r="O3798" s="9">
        <v>22.9375</v>
      </c>
      <c r="P3798" s="2" t="s">
        <v>11865</v>
      </c>
      <c r="Q3798" s="6">
        <v>100</v>
      </c>
      <c r="R3798" s="6">
        <v>24.13</v>
      </c>
      <c r="S3798" s="5">
        <v>52.7</v>
      </c>
      <c r="T3798" s="6">
        <v>78.02</v>
      </c>
      <c r="U3798" s="5">
        <v>17.600000000000001</v>
      </c>
      <c r="V3798" s="6">
        <v>1.21</v>
      </c>
      <c r="W3798" s="4">
        <v>21</v>
      </c>
      <c r="X3798" s="4">
        <v>21</v>
      </c>
      <c r="Y3798" s="7">
        <v>22.562999999999999</v>
      </c>
      <c r="Z3798" s="7">
        <v>22.437999999999999</v>
      </c>
      <c r="AA3798" s="6">
        <v>47.76</v>
      </c>
      <c r="AB3798" s="7">
        <v>33.314999999999998</v>
      </c>
      <c r="AC3798" s="2"/>
    </row>
    <row r="3799" spans="1:29" ht="78" x14ac:dyDescent="0.15">
      <c r="A3799" s="3">
        <f>DATE(1998,4,2)</f>
        <v>35887</v>
      </c>
      <c r="B3799" s="2"/>
      <c r="C3799" s="2" t="s">
        <v>30</v>
      </c>
      <c r="D3799" s="2" t="s">
        <v>11866</v>
      </c>
      <c r="E3799" s="2" t="s">
        <v>11867</v>
      </c>
      <c r="F3799" s="4">
        <v>5812</v>
      </c>
      <c r="G3799" s="2" t="s">
        <v>230</v>
      </c>
      <c r="H3799" s="2" t="s">
        <v>34</v>
      </c>
      <c r="I3799" s="2" t="s">
        <v>11868</v>
      </c>
      <c r="J3799" s="2" t="s">
        <v>678</v>
      </c>
      <c r="K3799" s="2" t="s">
        <v>53</v>
      </c>
      <c r="L3799" s="2" t="s">
        <v>34</v>
      </c>
      <c r="M3799" s="2"/>
      <c r="N3799" s="2"/>
      <c r="O3799" s="2"/>
      <c r="P3799" s="2" t="s">
        <v>11869</v>
      </c>
      <c r="Q3799" s="2"/>
      <c r="R3799" s="6">
        <v>8.75</v>
      </c>
      <c r="S3799" s="5">
        <v>0.7</v>
      </c>
      <c r="T3799" s="7">
        <v>6.8869999999999996</v>
      </c>
      <c r="U3799" s="5">
        <v>8.1</v>
      </c>
      <c r="V3799" s="6">
        <v>0.11</v>
      </c>
      <c r="W3799" s="7">
        <v>6.9379999999999997</v>
      </c>
      <c r="X3799" s="7">
        <v>6.9379999999999997</v>
      </c>
      <c r="Y3799" s="7">
        <v>6.875</v>
      </c>
      <c r="Z3799" s="4">
        <v>7</v>
      </c>
      <c r="AA3799" s="6">
        <v>5.53</v>
      </c>
      <c r="AB3799" s="7">
        <v>19.998000000000001</v>
      </c>
      <c r="AC3799" s="2"/>
    </row>
    <row r="3800" spans="1:29" ht="91" x14ac:dyDescent="0.15">
      <c r="A3800" s="3">
        <f>DATE(1998,4,3)</f>
        <v>35888</v>
      </c>
      <c r="B3800" s="3">
        <f>DATE(1998,7,21)</f>
        <v>35997</v>
      </c>
      <c r="C3800" s="2" t="s">
        <v>95</v>
      </c>
      <c r="D3800" s="2" t="s">
        <v>11496</v>
      </c>
      <c r="E3800" s="2" t="s">
        <v>229</v>
      </c>
      <c r="F3800" s="4">
        <v>5812</v>
      </c>
      <c r="G3800" s="2" t="s">
        <v>230</v>
      </c>
      <c r="H3800" s="2" t="s">
        <v>34</v>
      </c>
      <c r="I3800" s="2" t="s">
        <v>11870</v>
      </c>
      <c r="J3800" s="2" t="s">
        <v>4601</v>
      </c>
      <c r="K3800" s="2" t="s">
        <v>230</v>
      </c>
      <c r="L3800" s="2" t="s">
        <v>34</v>
      </c>
      <c r="M3800" s="2"/>
      <c r="N3800" s="2"/>
      <c r="O3800" s="2"/>
      <c r="P3800" s="2" t="s">
        <v>11871</v>
      </c>
      <c r="Q3800" s="6">
        <v>100</v>
      </c>
      <c r="R3800" s="6">
        <v>10.5</v>
      </c>
      <c r="S3800" s="5">
        <v>3.5</v>
      </c>
      <c r="T3800" s="7">
        <v>15.472</v>
      </c>
      <c r="U3800" s="5">
        <v>8</v>
      </c>
      <c r="V3800" s="6">
        <v>0.39</v>
      </c>
      <c r="W3800" s="7">
        <v>6.1879999999999997</v>
      </c>
      <c r="X3800" s="4">
        <v>6</v>
      </c>
      <c r="Y3800" s="4">
        <v>6</v>
      </c>
      <c r="Z3800" s="7">
        <v>7.5629999999999997</v>
      </c>
      <c r="AA3800" s="6">
        <v>9.4700000000000006</v>
      </c>
      <c r="AB3800" s="7">
        <v>15.973000000000001</v>
      </c>
      <c r="AC3800" s="6">
        <v>0.25</v>
      </c>
    </row>
    <row r="3801" spans="1:29" ht="156" x14ac:dyDescent="0.15">
      <c r="A3801" s="3">
        <f>DATE(1998,4,3)</f>
        <v>35888</v>
      </c>
      <c r="B3801" s="3">
        <f>DATE(1998,10,1)</f>
        <v>36069</v>
      </c>
      <c r="C3801" s="2" t="s">
        <v>95</v>
      </c>
      <c r="D3801" s="2" t="s">
        <v>11872</v>
      </c>
      <c r="E3801" s="2" t="s">
        <v>1040</v>
      </c>
      <c r="F3801" s="4">
        <v>6035</v>
      </c>
      <c r="G3801" s="2" t="s">
        <v>33</v>
      </c>
      <c r="H3801" s="2" t="s">
        <v>34</v>
      </c>
      <c r="I3801" s="2" t="s">
        <v>9508</v>
      </c>
      <c r="J3801" s="2" t="s">
        <v>9509</v>
      </c>
      <c r="K3801" s="2" t="s">
        <v>33</v>
      </c>
      <c r="L3801" s="2" t="s">
        <v>34</v>
      </c>
      <c r="M3801" s="12">
        <v>1515.6320000000001</v>
      </c>
      <c r="N3801" s="4">
        <v>59</v>
      </c>
      <c r="O3801" s="7">
        <v>58.688000000000002</v>
      </c>
      <c r="P3801" s="2" t="s">
        <v>11873</v>
      </c>
      <c r="Q3801" s="6">
        <v>100</v>
      </c>
      <c r="R3801" s="6">
        <v>69.36</v>
      </c>
      <c r="S3801" s="5">
        <v>49.4</v>
      </c>
      <c r="T3801" s="7">
        <v>98.388000000000005</v>
      </c>
      <c r="U3801" s="5">
        <v>22.7</v>
      </c>
      <c r="V3801" s="6">
        <v>2.09</v>
      </c>
      <c r="W3801" s="7">
        <v>6.6879999999999997</v>
      </c>
      <c r="X3801" s="7">
        <v>67.125</v>
      </c>
      <c r="Y3801" s="9">
        <v>60.5625</v>
      </c>
      <c r="Z3801" s="6">
        <v>60.25</v>
      </c>
      <c r="AA3801" s="6">
        <v>24.03</v>
      </c>
      <c r="AB3801" s="7">
        <v>39.933</v>
      </c>
      <c r="AC3801" s="2"/>
    </row>
    <row r="3802" spans="1:29" ht="169" x14ac:dyDescent="0.15">
      <c r="A3802" s="3">
        <f>DATE(1998,4,6)</f>
        <v>35891</v>
      </c>
      <c r="B3802" s="3">
        <f>DATE(1998,10,8)</f>
        <v>36076</v>
      </c>
      <c r="C3802" s="2" t="s">
        <v>95</v>
      </c>
      <c r="D3802" s="2" t="s">
        <v>888</v>
      </c>
      <c r="E3802" s="2" t="s">
        <v>672</v>
      </c>
      <c r="F3802" s="4">
        <v>6021</v>
      </c>
      <c r="G3802" s="2" t="s">
        <v>37</v>
      </c>
      <c r="H3802" s="2" t="s">
        <v>34</v>
      </c>
      <c r="I3802" s="2" t="s">
        <v>10579</v>
      </c>
      <c r="J3802" s="2" t="s">
        <v>124</v>
      </c>
      <c r="K3802" s="2" t="s">
        <v>125</v>
      </c>
      <c r="L3802" s="2" t="s">
        <v>34</v>
      </c>
      <c r="M3802" s="12">
        <v>63971.940999999999</v>
      </c>
      <c r="N3802" s="4">
        <v>73</v>
      </c>
      <c r="O3802" s="7">
        <v>68.375</v>
      </c>
      <c r="P3802" s="2" t="s">
        <v>11874</v>
      </c>
      <c r="Q3802" s="6">
        <v>100</v>
      </c>
      <c r="R3802" s="6">
        <v>154.22</v>
      </c>
      <c r="S3802" s="8">
        <v>3661</v>
      </c>
      <c r="T3802" s="8">
        <v>6619</v>
      </c>
      <c r="U3802" s="5">
        <v>44</v>
      </c>
      <c r="V3802" s="7">
        <v>7.7530000000000001</v>
      </c>
      <c r="W3802" s="7">
        <v>139.68799999999999</v>
      </c>
      <c r="X3802" s="7">
        <v>142.875</v>
      </c>
      <c r="Y3802" s="5">
        <v>180.5</v>
      </c>
      <c r="Z3802" s="7">
        <v>165.125</v>
      </c>
      <c r="AA3802" s="6">
        <v>453.94</v>
      </c>
      <c r="AB3802" s="7">
        <v>51.627000000000002</v>
      </c>
      <c r="AC3802" s="8">
        <v>4033</v>
      </c>
    </row>
    <row r="3803" spans="1:29" ht="156" x14ac:dyDescent="0.15">
      <c r="A3803" s="3">
        <f>DATE(1998,4,6)</f>
        <v>35891</v>
      </c>
      <c r="B3803" s="3">
        <f>DATE(1998,7,10)</f>
        <v>35986</v>
      </c>
      <c r="C3803" s="2" t="s">
        <v>95</v>
      </c>
      <c r="D3803" s="2" t="s">
        <v>11875</v>
      </c>
      <c r="E3803" s="2" t="s">
        <v>11876</v>
      </c>
      <c r="F3803" s="4">
        <v>6099</v>
      </c>
      <c r="G3803" s="2" t="s">
        <v>3583</v>
      </c>
      <c r="H3803" s="2" t="s">
        <v>34</v>
      </c>
      <c r="I3803" s="2" t="s">
        <v>11877</v>
      </c>
      <c r="J3803" s="2" t="s">
        <v>11878</v>
      </c>
      <c r="K3803" s="2" t="s">
        <v>223</v>
      </c>
      <c r="L3803" s="2" t="s">
        <v>34</v>
      </c>
      <c r="M3803" s="12">
        <v>2219.6529999999998</v>
      </c>
      <c r="N3803" s="7">
        <v>24.937999999999999</v>
      </c>
      <c r="O3803" s="7">
        <v>24.875</v>
      </c>
      <c r="P3803" s="2" t="s">
        <v>11879</v>
      </c>
      <c r="Q3803" s="6">
        <v>100</v>
      </c>
      <c r="R3803" s="6">
        <v>17.350000000000001</v>
      </c>
      <c r="S3803" s="5">
        <v>11.7</v>
      </c>
      <c r="T3803" s="7">
        <v>19.533000000000001</v>
      </c>
      <c r="U3803" s="5">
        <v>6.1</v>
      </c>
      <c r="V3803" s="6">
        <v>0.7</v>
      </c>
      <c r="W3803" s="4">
        <v>15</v>
      </c>
      <c r="X3803" s="7">
        <v>15.563000000000001</v>
      </c>
      <c r="Y3803" s="7">
        <v>16.875</v>
      </c>
      <c r="Z3803" s="5">
        <v>17.5</v>
      </c>
      <c r="AA3803" s="6">
        <v>16.510000000000002</v>
      </c>
      <c r="AB3803" s="7">
        <v>23.827999999999999</v>
      </c>
      <c r="AC3803" s="6">
        <v>2.27</v>
      </c>
    </row>
    <row r="3804" spans="1:29" ht="130" x14ac:dyDescent="0.15">
      <c r="A3804" s="3">
        <f>DATE(1998,4,6)</f>
        <v>35891</v>
      </c>
      <c r="B3804" s="3">
        <f>DATE(1998,10,23)</f>
        <v>36091</v>
      </c>
      <c r="C3804" s="2" t="s">
        <v>95</v>
      </c>
      <c r="D3804" s="2" t="s">
        <v>6960</v>
      </c>
      <c r="E3804" s="2" t="s">
        <v>36</v>
      </c>
      <c r="F3804" s="4">
        <v>6035</v>
      </c>
      <c r="G3804" s="2" t="s">
        <v>33</v>
      </c>
      <c r="H3804" s="2" t="s">
        <v>34</v>
      </c>
      <c r="I3804" s="2" t="s">
        <v>7285</v>
      </c>
      <c r="J3804" s="2" t="s">
        <v>3426</v>
      </c>
      <c r="K3804" s="2" t="s">
        <v>37</v>
      </c>
      <c r="L3804" s="2" t="s">
        <v>34</v>
      </c>
      <c r="M3804" s="12">
        <v>1909.3810000000001</v>
      </c>
      <c r="N3804" s="7">
        <v>32.875</v>
      </c>
      <c r="O3804" s="7">
        <v>32.813000000000002</v>
      </c>
      <c r="P3804" s="2" t="s">
        <v>11880</v>
      </c>
      <c r="Q3804" s="6">
        <v>100</v>
      </c>
      <c r="R3804" s="6">
        <v>29.28</v>
      </c>
      <c r="S3804" s="5">
        <v>9.3000000000000007</v>
      </c>
      <c r="T3804" s="7">
        <v>15.138</v>
      </c>
      <c r="U3804" s="5">
        <v>8.6</v>
      </c>
      <c r="V3804" s="6">
        <v>1.1100000000000001</v>
      </c>
      <c r="W3804" s="7">
        <v>22.375</v>
      </c>
      <c r="X3804" s="7">
        <v>22.375</v>
      </c>
      <c r="Y3804" s="7">
        <v>27.875</v>
      </c>
      <c r="Z3804" s="7">
        <v>27.375</v>
      </c>
      <c r="AA3804" s="6">
        <v>7.56</v>
      </c>
      <c r="AB3804" s="7">
        <v>25.027999999999999</v>
      </c>
      <c r="AC3804" s="2"/>
    </row>
    <row r="3805" spans="1:29" ht="117" x14ac:dyDescent="0.15">
      <c r="A3805" s="3">
        <f>DATE(1998,4,6)</f>
        <v>35891</v>
      </c>
      <c r="B3805" s="3">
        <f>DATE(1998,7,31)</f>
        <v>36007</v>
      </c>
      <c r="C3805" s="2" t="s">
        <v>95</v>
      </c>
      <c r="D3805" s="2" t="s">
        <v>11881</v>
      </c>
      <c r="E3805" s="2" t="s">
        <v>11882</v>
      </c>
      <c r="F3805" s="4">
        <v>3469</v>
      </c>
      <c r="G3805" s="2" t="s">
        <v>163</v>
      </c>
      <c r="H3805" s="2" t="s">
        <v>34</v>
      </c>
      <c r="I3805" s="2" t="s">
        <v>11883</v>
      </c>
      <c r="J3805" s="2" t="s">
        <v>11884</v>
      </c>
      <c r="K3805" s="2" t="s">
        <v>300</v>
      </c>
      <c r="L3805" s="2" t="s">
        <v>34</v>
      </c>
      <c r="M3805" s="7">
        <v>988.24900000000002</v>
      </c>
      <c r="N3805" s="7">
        <v>38.188000000000002</v>
      </c>
      <c r="O3805" s="7">
        <v>37.375</v>
      </c>
      <c r="P3805" s="2" t="s">
        <v>11885</v>
      </c>
      <c r="Q3805" s="6">
        <v>100</v>
      </c>
      <c r="R3805" s="6">
        <v>33.630000000000003</v>
      </c>
      <c r="S3805" s="5">
        <v>24.4</v>
      </c>
      <c r="T3805" s="7">
        <v>44.859000000000002</v>
      </c>
      <c r="U3805" s="5">
        <v>10.199999999999999</v>
      </c>
      <c r="V3805" s="6">
        <v>1.93</v>
      </c>
      <c r="W3805" s="5">
        <v>28.5</v>
      </c>
      <c r="X3805" s="7">
        <v>28.875</v>
      </c>
      <c r="Y3805" s="7">
        <v>28.875</v>
      </c>
      <c r="Z3805" s="7">
        <v>31.375</v>
      </c>
      <c r="AA3805" s="6">
        <v>8.2200000000000006</v>
      </c>
      <c r="AB3805" s="7">
        <v>12.132999999999999</v>
      </c>
      <c r="AC3805" s="6">
        <v>5.85</v>
      </c>
    </row>
    <row r="3806" spans="1:29" ht="195" x14ac:dyDescent="0.15">
      <c r="A3806" s="3">
        <f>DATE(1998,4,7)</f>
        <v>35892</v>
      </c>
      <c r="B3806" s="3">
        <f>DATE(1998,6,30)</f>
        <v>35976</v>
      </c>
      <c r="C3806" s="2" t="s">
        <v>95</v>
      </c>
      <c r="D3806" s="2" t="s">
        <v>11886</v>
      </c>
      <c r="E3806" s="2" t="s">
        <v>7709</v>
      </c>
      <c r="F3806" s="4">
        <v>6141</v>
      </c>
      <c r="G3806" s="2" t="s">
        <v>370</v>
      </c>
      <c r="H3806" s="2" t="s">
        <v>34</v>
      </c>
      <c r="I3806" s="2" t="s">
        <v>10372</v>
      </c>
      <c r="J3806" s="2" t="s">
        <v>10373</v>
      </c>
      <c r="K3806" s="2" t="s">
        <v>370</v>
      </c>
      <c r="L3806" s="2" t="s">
        <v>34</v>
      </c>
      <c r="M3806" s="12">
        <v>14714.151</v>
      </c>
      <c r="N3806" s="6">
        <v>140.75</v>
      </c>
      <c r="O3806" s="7">
        <v>139.68799999999999</v>
      </c>
      <c r="P3806" s="2" t="s">
        <v>11887</v>
      </c>
      <c r="Q3806" s="6">
        <v>100</v>
      </c>
      <c r="R3806" s="6">
        <v>150.01</v>
      </c>
      <c r="S3806" s="5">
        <v>253.7</v>
      </c>
      <c r="T3806" s="5">
        <v>472.1</v>
      </c>
      <c r="U3806" s="5">
        <v>31.1</v>
      </c>
      <c r="V3806" s="6">
        <v>4.54</v>
      </c>
      <c r="W3806" s="7">
        <v>82.375</v>
      </c>
      <c r="X3806" s="6">
        <v>82.25</v>
      </c>
      <c r="Y3806" s="7">
        <v>112.875</v>
      </c>
      <c r="Z3806" s="4">
        <v>112</v>
      </c>
      <c r="AA3806" s="6">
        <v>54.37</v>
      </c>
      <c r="AB3806" s="7">
        <v>51.436</v>
      </c>
      <c r="AC3806" s="5">
        <v>280.39999999999998</v>
      </c>
    </row>
    <row r="3807" spans="1:29" ht="143" x14ac:dyDescent="0.15">
      <c r="A3807" s="3">
        <f>DATE(1998,4,7)</f>
        <v>35892</v>
      </c>
      <c r="B3807" s="3">
        <f>DATE(1998,6,30)</f>
        <v>35976</v>
      </c>
      <c r="C3807" s="2" t="s">
        <v>95</v>
      </c>
      <c r="D3807" s="2" t="s">
        <v>11888</v>
      </c>
      <c r="E3807" s="2" t="s">
        <v>11889</v>
      </c>
      <c r="F3807" s="4">
        <v>6141</v>
      </c>
      <c r="G3807" s="2" t="s">
        <v>370</v>
      </c>
      <c r="H3807" s="2" t="s">
        <v>34</v>
      </c>
      <c r="I3807" s="2" t="s">
        <v>4081</v>
      </c>
      <c r="J3807" s="2" t="s">
        <v>4015</v>
      </c>
      <c r="K3807" s="2" t="s">
        <v>125</v>
      </c>
      <c r="L3807" s="2" t="s">
        <v>34</v>
      </c>
      <c r="M3807" s="12">
        <v>9774.0049999999992</v>
      </c>
      <c r="N3807" s="7">
        <v>49.125</v>
      </c>
      <c r="O3807" s="7">
        <v>49.813000000000002</v>
      </c>
      <c r="P3807" s="2" t="s">
        <v>11890</v>
      </c>
      <c r="Q3807" s="6">
        <v>100</v>
      </c>
      <c r="R3807" s="6">
        <v>52.93</v>
      </c>
      <c r="S3807" s="5">
        <v>301.39999999999998</v>
      </c>
      <c r="T3807" s="7">
        <v>518.24800000000005</v>
      </c>
      <c r="U3807" s="5">
        <v>9.9</v>
      </c>
      <c r="V3807" s="6">
        <v>2.15</v>
      </c>
      <c r="W3807" s="7">
        <v>28.437999999999999</v>
      </c>
      <c r="X3807" s="4">
        <v>29</v>
      </c>
      <c r="Y3807" s="7">
        <v>38.875</v>
      </c>
      <c r="Z3807" s="7">
        <v>39.875</v>
      </c>
      <c r="AA3807" s="6">
        <v>133.99</v>
      </c>
      <c r="AB3807" s="7">
        <v>17.463999999999999</v>
      </c>
      <c r="AC3807" s="5">
        <v>990.5</v>
      </c>
    </row>
    <row r="3808" spans="1:29" ht="130" x14ac:dyDescent="0.15">
      <c r="A3808" s="3">
        <f>DATE(1998,4,8)</f>
        <v>35893</v>
      </c>
      <c r="B3808" s="3">
        <f>DATE(1998,5,19)</f>
        <v>35934</v>
      </c>
      <c r="C3808" s="2" t="s">
        <v>95</v>
      </c>
      <c r="D3808" s="2" t="s">
        <v>11891</v>
      </c>
      <c r="E3808" s="2" t="s">
        <v>11892</v>
      </c>
      <c r="F3808" s="4">
        <v>3081</v>
      </c>
      <c r="G3808" s="2" t="s">
        <v>447</v>
      </c>
      <c r="H3808" s="2" t="s">
        <v>34</v>
      </c>
      <c r="I3808" s="2" t="s">
        <v>11893</v>
      </c>
      <c r="J3808" s="2" t="s">
        <v>11894</v>
      </c>
      <c r="K3808" s="2" t="s">
        <v>282</v>
      </c>
      <c r="L3808" s="2" t="s">
        <v>34</v>
      </c>
      <c r="M3808" s="2"/>
      <c r="N3808" s="2"/>
      <c r="O3808" s="2"/>
      <c r="P3808" s="2" t="s">
        <v>11895</v>
      </c>
      <c r="Q3808" s="6">
        <v>100</v>
      </c>
      <c r="R3808" s="6">
        <v>21</v>
      </c>
      <c r="S3808" s="5">
        <v>8.1999999999999993</v>
      </c>
      <c r="T3808" s="7">
        <v>31.515999999999998</v>
      </c>
      <c r="U3808" s="5">
        <v>7.9</v>
      </c>
      <c r="V3808" s="6">
        <v>0.81</v>
      </c>
      <c r="W3808" s="6">
        <v>17.75</v>
      </c>
      <c r="X3808" s="7">
        <v>17.687999999999999</v>
      </c>
      <c r="Y3808" s="6">
        <v>20.75</v>
      </c>
      <c r="Z3808" s="6">
        <v>20.75</v>
      </c>
      <c r="AA3808" s="6">
        <v>10.130000000000001</v>
      </c>
      <c r="AB3808" s="7">
        <v>11.72</v>
      </c>
      <c r="AC3808" s="2"/>
    </row>
    <row r="3809" spans="1:29" ht="104" x14ac:dyDescent="0.15">
      <c r="A3809" s="3">
        <f>DATE(1998,4,8)</f>
        <v>35893</v>
      </c>
      <c r="B3809" s="3">
        <f>DATE(1999,2,19)</f>
        <v>36210</v>
      </c>
      <c r="C3809" s="2" t="s">
        <v>95</v>
      </c>
      <c r="D3809" s="2" t="s">
        <v>6303</v>
      </c>
      <c r="E3809" s="2" t="s">
        <v>6304</v>
      </c>
      <c r="F3809" s="4">
        <v>3575</v>
      </c>
      <c r="G3809" s="2" t="s">
        <v>50</v>
      </c>
      <c r="H3809" s="2" t="s">
        <v>34</v>
      </c>
      <c r="I3809" s="2" t="s">
        <v>11896</v>
      </c>
      <c r="J3809" s="2" t="s">
        <v>11897</v>
      </c>
      <c r="K3809" s="2" t="s">
        <v>226</v>
      </c>
      <c r="L3809" s="2" t="s">
        <v>34</v>
      </c>
      <c r="M3809" s="7">
        <v>68.828000000000003</v>
      </c>
      <c r="N3809" s="7">
        <v>13.375</v>
      </c>
      <c r="O3809" s="7">
        <v>13.313000000000001</v>
      </c>
      <c r="P3809" s="2" t="s">
        <v>11898</v>
      </c>
      <c r="Q3809" s="6">
        <v>100</v>
      </c>
      <c r="R3809" s="6">
        <v>3.34</v>
      </c>
      <c r="S3809" s="5">
        <v>-2.4</v>
      </c>
      <c r="T3809" s="7">
        <v>5.0720000000000001</v>
      </c>
      <c r="U3809" s="5">
        <v>1.5</v>
      </c>
      <c r="V3809" s="6">
        <v>-0.26</v>
      </c>
      <c r="W3809" s="7">
        <v>2.625</v>
      </c>
      <c r="X3809" s="7">
        <v>2.375</v>
      </c>
      <c r="Y3809" s="7">
        <v>2.8130000000000002</v>
      </c>
      <c r="Z3809" s="7">
        <v>2.7810000000000001</v>
      </c>
      <c r="AA3809" s="6">
        <v>9.16</v>
      </c>
      <c r="AB3809" s="7">
        <v>18.306000000000001</v>
      </c>
      <c r="AC3809" s="6">
        <v>9.67</v>
      </c>
    </row>
    <row r="3810" spans="1:29" ht="78" x14ac:dyDescent="0.15">
      <c r="A3810" s="3">
        <f>DATE(1998,4,9)</f>
        <v>35894</v>
      </c>
      <c r="B3810" s="3">
        <f>DATE(1998,7,27)</f>
        <v>36003</v>
      </c>
      <c r="C3810" s="2" t="s">
        <v>95</v>
      </c>
      <c r="D3810" s="2" t="s">
        <v>11899</v>
      </c>
      <c r="E3810" s="2" t="s">
        <v>11900</v>
      </c>
      <c r="F3810" s="4">
        <v>7379</v>
      </c>
      <c r="G3810" s="2" t="s">
        <v>223</v>
      </c>
      <c r="H3810" s="2" t="s">
        <v>34</v>
      </c>
      <c r="I3810" s="2" t="s">
        <v>11901</v>
      </c>
      <c r="J3810" s="2" t="s">
        <v>5549</v>
      </c>
      <c r="K3810" s="2" t="s">
        <v>223</v>
      </c>
      <c r="L3810" s="2" t="s">
        <v>34</v>
      </c>
      <c r="M3810" s="7">
        <v>341.42700000000002</v>
      </c>
      <c r="N3810" s="6">
        <v>36.25</v>
      </c>
      <c r="O3810" s="6">
        <v>34.25</v>
      </c>
      <c r="P3810" s="2" t="s">
        <v>11902</v>
      </c>
      <c r="Q3810" s="6">
        <v>100</v>
      </c>
      <c r="R3810" s="6">
        <v>27</v>
      </c>
      <c r="S3810" s="5">
        <v>4.2</v>
      </c>
      <c r="T3810" s="7">
        <v>10.127000000000001</v>
      </c>
      <c r="U3810" s="5">
        <v>5.5</v>
      </c>
      <c r="V3810" s="6">
        <v>0.44</v>
      </c>
      <c r="W3810" s="6">
        <v>15.25</v>
      </c>
      <c r="X3810" s="6">
        <v>22.25</v>
      </c>
      <c r="Y3810" s="7">
        <v>24.125</v>
      </c>
      <c r="Z3810" s="7">
        <v>24.125</v>
      </c>
      <c r="AA3810" s="6">
        <v>8.52</v>
      </c>
      <c r="AB3810" s="7">
        <v>37.843000000000004</v>
      </c>
      <c r="AC3810" s="6">
        <v>57.23</v>
      </c>
    </row>
    <row r="3811" spans="1:29" ht="104" x14ac:dyDescent="0.15">
      <c r="A3811" s="3">
        <f>DATE(1998,4,9)</f>
        <v>35894</v>
      </c>
      <c r="B3811" s="3">
        <f>DATE(1998,5,15)</f>
        <v>35930</v>
      </c>
      <c r="C3811" s="2" t="s">
        <v>95</v>
      </c>
      <c r="D3811" s="2" t="s">
        <v>4121</v>
      </c>
      <c r="E3811" s="2" t="s">
        <v>4122</v>
      </c>
      <c r="F3811" s="4">
        <v>5531</v>
      </c>
      <c r="G3811" s="2" t="s">
        <v>73</v>
      </c>
      <c r="H3811" s="2" t="s">
        <v>34</v>
      </c>
      <c r="I3811" s="2" t="s">
        <v>6424</v>
      </c>
      <c r="J3811" s="2" t="s">
        <v>2945</v>
      </c>
      <c r="K3811" s="2" t="s">
        <v>593</v>
      </c>
      <c r="L3811" s="2" t="s">
        <v>34</v>
      </c>
      <c r="M3811" s="12">
        <v>1332.3140000000001</v>
      </c>
      <c r="N3811" s="7">
        <v>28.687999999999999</v>
      </c>
      <c r="O3811" s="7">
        <v>28.687999999999999</v>
      </c>
      <c r="P3811" s="2" t="s">
        <v>11903</v>
      </c>
      <c r="Q3811" s="6">
        <v>100</v>
      </c>
      <c r="R3811" s="6">
        <v>160</v>
      </c>
      <c r="S3811" s="5">
        <v>-16.7</v>
      </c>
      <c r="T3811" s="7">
        <v>-15.505000000000001</v>
      </c>
      <c r="U3811" s="5">
        <v>56.7</v>
      </c>
      <c r="V3811" s="6">
        <v>-8.73</v>
      </c>
      <c r="W3811" s="4">
        <v>143</v>
      </c>
      <c r="X3811" s="4">
        <v>140</v>
      </c>
      <c r="Y3811" s="5">
        <v>163.5</v>
      </c>
      <c r="Z3811" s="5">
        <v>163.5</v>
      </c>
      <c r="AA3811" s="6">
        <v>1.21</v>
      </c>
      <c r="AB3811" s="2" t="s">
        <v>86</v>
      </c>
      <c r="AC3811" s="6">
        <v>10.42</v>
      </c>
    </row>
    <row r="3812" spans="1:29" ht="78" x14ac:dyDescent="0.15">
      <c r="A3812" s="3">
        <f>DATE(1998,4,9)</f>
        <v>35894</v>
      </c>
      <c r="B3812" s="3">
        <f>DATE(1998,10,29)</f>
        <v>36097</v>
      </c>
      <c r="C3812" s="2" t="s">
        <v>95</v>
      </c>
      <c r="D3812" s="2" t="s">
        <v>7982</v>
      </c>
      <c r="E3812" s="2" t="s">
        <v>177</v>
      </c>
      <c r="F3812" s="4">
        <v>1311</v>
      </c>
      <c r="G3812" s="2" t="s">
        <v>148</v>
      </c>
      <c r="H3812" s="2" t="s">
        <v>34</v>
      </c>
      <c r="I3812" s="2" t="s">
        <v>11904</v>
      </c>
      <c r="J3812" s="2" t="s">
        <v>612</v>
      </c>
      <c r="K3812" s="2" t="s">
        <v>148</v>
      </c>
      <c r="L3812" s="2" t="s">
        <v>34</v>
      </c>
      <c r="M3812" s="2"/>
      <c r="N3812" s="2"/>
      <c r="O3812" s="2"/>
      <c r="P3812" s="2" t="s">
        <v>11905</v>
      </c>
      <c r="Q3812" s="6">
        <v>100</v>
      </c>
      <c r="R3812" s="2"/>
      <c r="S3812" s="5">
        <v>-1.9</v>
      </c>
      <c r="T3812" s="7">
        <v>-0.23200000000000001</v>
      </c>
      <c r="U3812" s="5">
        <v>1.5</v>
      </c>
      <c r="V3812" s="6">
        <v>-0.42</v>
      </c>
      <c r="W3812" s="4">
        <v>3</v>
      </c>
      <c r="X3812" s="9">
        <v>2.6875</v>
      </c>
      <c r="Y3812" s="9">
        <v>3.1875</v>
      </c>
      <c r="Z3812" s="9">
        <v>3.1875</v>
      </c>
      <c r="AA3812" s="6">
        <v>4.4400000000000004</v>
      </c>
      <c r="AB3812" s="2" t="s">
        <v>86</v>
      </c>
      <c r="AC3812" s="6">
        <v>0.53</v>
      </c>
    </row>
    <row r="3813" spans="1:29" ht="91" x14ac:dyDescent="0.15">
      <c r="A3813" s="3">
        <f>DATE(1998,4,9)</f>
        <v>35894</v>
      </c>
      <c r="B3813" s="3">
        <f>DATE(1998,7,29)</f>
        <v>36005</v>
      </c>
      <c r="C3813" s="2" t="s">
        <v>95</v>
      </c>
      <c r="D3813" s="2" t="s">
        <v>5495</v>
      </c>
      <c r="E3813" s="2" t="s">
        <v>5496</v>
      </c>
      <c r="F3813" s="4">
        <v>5735</v>
      </c>
      <c r="G3813" s="2" t="s">
        <v>1227</v>
      </c>
      <c r="H3813" s="2" t="s">
        <v>34</v>
      </c>
      <c r="I3813" s="2" t="s">
        <v>11906</v>
      </c>
      <c r="J3813" s="2" t="s">
        <v>11907</v>
      </c>
      <c r="K3813" s="2" t="s">
        <v>1227</v>
      </c>
      <c r="L3813" s="2" t="s">
        <v>34</v>
      </c>
      <c r="M3813" s="2"/>
      <c r="N3813" s="4">
        <v>36</v>
      </c>
      <c r="O3813" s="4">
        <v>36</v>
      </c>
      <c r="P3813" s="2" t="s">
        <v>11908</v>
      </c>
      <c r="Q3813" s="6">
        <v>100</v>
      </c>
      <c r="R3813" s="6">
        <v>3.3</v>
      </c>
      <c r="S3813" s="5">
        <v>-7.7</v>
      </c>
      <c r="T3813" s="7">
        <v>-3.5230000000000001</v>
      </c>
      <c r="U3813" s="5">
        <v>1.9</v>
      </c>
      <c r="V3813" s="7">
        <v>-1.458</v>
      </c>
      <c r="W3813" s="4">
        <v>2</v>
      </c>
      <c r="X3813" s="7">
        <v>2.5310000000000001</v>
      </c>
      <c r="Y3813" s="6">
        <v>2.75</v>
      </c>
      <c r="Z3813" s="6">
        <v>2.75</v>
      </c>
      <c r="AA3813" s="6">
        <v>5.3</v>
      </c>
      <c r="AB3813" s="2" t="s">
        <v>86</v>
      </c>
      <c r="AC3813" s="2"/>
    </row>
    <row r="3814" spans="1:29" ht="65" x14ac:dyDescent="0.15">
      <c r="A3814" s="3">
        <f>DATE(1998,4,10)</f>
        <v>35895</v>
      </c>
      <c r="B3814" s="3">
        <f>DATE(1998,6,26)</f>
        <v>35972</v>
      </c>
      <c r="C3814" s="2" t="s">
        <v>95</v>
      </c>
      <c r="D3814" s="2" t="s">
        <v>11909</v>
      </c>
      <c r="E3814" s="2" t="s">
        <v>11910</v>
      </c>
      <c r="F3814" s="4">
        <v>5045</v>
      </c>
      <c r="G3814" s="2" t="s">
        <v>76</v>
      </c>
      <c r="H3814" s="2" t="s">
        <v>34</v>
      </c>
      <c r="I3814" s="2" t="s">
        <v>1423</v>
      </c>
      <c r="J3814" s="2" t="s">
        <v>1424</v>
      </c>
      <c r="K3814" s="2" t="s">
        <v>76</v>
      </c>
      <c r="L3814" s="2" t="s">
        <v>34</v>
      </c>
      <c r="M3814" s="7">
        <v>405.21499999999997</v>
      </c>
      <c r="N3814" s="6">
        <v>7.75</v>
      </c>
      <c r="O3814" s="7">
        <v>7.375</v>
      </c>
      <c r="P3814" s="2" t="s">
        <v>11911</v>
      </c>
      <c r="Q3814" s="6">
        <v>100</v>
      </c>
      <c r="R3814" s="6">
        <v>4.0999999999999996</v>
      </c>
      <c r="S3814" s="5">
        <v>-7.8</v>
      </c>
      <c r="T3814" s="7">
        <v>6.7889999999999997</v>
      </c>
      <c r="U3814" s="5">
        <v>4.3</v>
      </c>
      <c r="V3814" s="6">
        <v>-1.35</v>
      </c>
      <c r="W3814" s="6">
        <v>3.75</v>
      </c>
      <c r="X3814" s="7">
        <v>3.7810000000000001</v>
      </c>
      <c r="Y3814" s="7">
        <v>3.7810000000000001</v>
      </c>
      <c r="Z3814" s="7">
        <v>3.875</v>
      </c>
      <c r="AA3814" s="6">
        <v>5.96</v>
      </c>
      <c r="AB3814" s="7">
        <v>10.039</v>
      </c>
      <c r="AC3814" s="6">
        <v>4.46</v>
      </c>
    </row>
    <row r="3815" spans="1:29" ht="169" x14ac:dyDescent="0.15">
      <c r="A3815" s="3">
        <f>DATE(1998,4,13)</f>
        <v>35898</v>
      </c>
      <c r="B3815" s="3">
        <f>DATE(1998,9,30)</f>
        <v>36068</v>
      </c>
      <c r="C3815" s="2" t="s">
        <v>95</v>
      </c>
      <c r="D3815" s="2" t="s">
        <v>1610</v>
      </c>
      <c r="E3815" s="2" t="s">
        <v>36</v>
      </c>
      <c r="F3815" s="4">
        <v>6021</v>
      </c>
      <c r="G3815" s="2" t="s">
        <v>37</v>
      </c>
      <c r="H3815" s="2" t="s">
        <v>34</v>
      </c>
      <c r="I3815" s="2" t="s">
        <v>3047</v>
      </c>
      <c r="J3815" s="2" t="s">
        <v>3048</v>
      </c>
      <c r="K3815" s="2" t="s">
        <v>37</v>
      </c>
      <c r="L3815" s="2" t="s">
        <v>34</v>
      </c>
      <c r="M3815" s="12">
        <v>67114.095000000001</v>
      </c>
      <c r="N3815" s="7">
        <v>80.625</v>
      </c>
      <c r="O3815" s="6">
        <v>80.75</v>
      </c>
      <c r="P3815" s="2" t="s">
        <v>11912</v>
      </c>
      <c r="Q3815" s="6">
        <v>100</v>
      </c>
      <c r="R3815" s="6">
        <v>86.5</v>
      </c>
      <c r="S3815" s="8">
        <v>3210</v>
      </c>
      <c r="T3815" s="8">
        <v>5983</v>
      </c>
      <c r="U3815" s="5">
        <v>27.9</v>
      </c>
      <c r="V3815" s="6">
        <v>4.32</v>
      </c>
      <c r="W3815" s="6">
        <v>86.75</v>
      </c>
      <c r="X3815" s="5">
        <v>86.5</v>
      </c>
      <c r="Y3815" s="7">
        <v>91.125</v>
      </c>
      <c r="Z3815" s="7">
        <v>91.438000000000002</v>
      </c>
      <c r="AA3815" s="6">
        <v>685.26</v>
      </c>
      <c r="AB3815" s="7">
        <v>21.297999999999998</v>
      </c>
      <c r="AC3815" s="2"/>
    </row>
    <row r="3816" spans="1:29" ht="195" x14ac:dyDescent="0.15">
      <c r="A3816" s="3">
        <f>DATE(1998,4,13)</f>
        <v>35898</v>
      </c>
      <c r="B3816" s="3">
        <f>DATE(1998,10,2)</f>
        <v>36070</v>
      </c>
      <c r="C3816" s="2" t="s">
        <v>95</v>
      </c>
      <c r="D3816" s="2" t="s">
        <v>7454</v>
      </c>
      <c r="E3816" s="2" t="s">
        <v>36</v>
      </c>
      <c r="F3816" s="4">
        <v>6021</v>
      </c>
      <c r="G3816" s="2" t="s">
        <v>37</v>
      </c>
      <c r="H3816" s="2" t="s">
        <v>34</v>
      </c>
      <c r="I3816" s="2" t="s">
        <v>1612</v>
      </c>
      <c r="J3816" s="2" t="s">
        <v>263</v>
      </c>
      <c r="K3816" s="2" t="s">
        <v>37</v>
      </c>
      <c r="L3816" s="2" t="s">
        <v>34</v>
      </c>
      <c r="M3816" s="10">
        <v>36134.730000000003</v>
      </c>
      <c r="N3816" s="6">
        <v>61.75</v>
      </c>
      <c r="O3816" s="7">
        <v>60.688000000000002</v>
      </c>
      <c r="P3816" s="2" t="s">
        <v>11913</v>
      </c>
      <c r="Q3816" s="6">
        <v>100</v>
      </c>
      <c r="R3816" s="6">
        <v>100.04</v>
      </c>
      <c r="S3816" s="8">
        <v>1525</v>
      </c>
      <c r="T3816" s="8">
        <v>2440</v>
      </c>
      <c r="U3816" s="5">
        <v>26.9</v>
      </c>
      <c r="V3816" s="6">
        <v>4.9000000000000004</v>
      </c>
      <c r="W3816" s="5">
        <v>72.5</v>
      </c>
      <c r="X3816" s="9">
        <v>79.0625</v>
      </c>
      <c r="Y3816" s="7">
        <v>78.125</v>
      </c>
      <c r="Z3816" s="6">
        <v>78.25</v>
      </c>
      <c r="AA3816" s="6">
        <v>289.14</v>
      </c>
      <c r="AB3816" s="7">
        <v>25.981999999999999</v>
      </c>
      <c r="AC3816" s="2"/>
    </row>
    <row r="3817" spans="1:29" ht="39" x14ac:dyDescent="0.15">
      <c r="A3817" s="3">
        <f>DATE(1998,4,13)</f>
        <v>35898</v>
      </c>
      <c r="B3817" s="3">
        <f>DATE(1998,7,27)</f>
        <v>36003</v>
      </c>
      <c r="C3817" s="2" t="s">
        <v>95</v>
      </c>
      <c r="D3817" s="2" t="s">
        <v>11914</v>
      </c>
      <c r="E3817" s="2" t="s">
        <v>386</v>
      </c>
      <c r="F3817" s="4">
        <v>6726</v>
      </c>
      <c r="G3817" s="2" t="s">
        <v>53</v>
      </c>
      <c r="H3817" s="2" t="s">
        <v>34</v>
      </c>
      <c r="I3817" s="2" t="s">
        <v>11915</v>
      </c>
      <c r="J3817" s="2" t="s">
        <v>386</v>
      </c>
      <c r="K3817" s="2" t="s">
        <v>53</v>
      </c>
      <c r="L3817" s="2" t="s">
        <v>34</v>
      </c>
      <c r="M3817" s="7">
        <v>57.944000000000003</v>
      </c>
      <c r="N3817" s="7">
        <v>9.0630000000000006</v>
      </c>
      <c r="O3817" s="7">
        <v>9.125</v>
      </c>
      <c r="P3817" s="2" t="s">
        <v>11916</v>
      </c>
      <c r="Q3817" s="6">
        <v>100</v>
      </c>
      <c r="R3817" s="2"/>
      <c r="S3817" s="5">
        <v>20.3</v>
      </c>
      <c r="T3817" s="7">
        <v>38.173999999999999</v>
      </c>
      <c r="U3817" s="5">
        <v>25.2</v>
      </c>
      <c r="V3817" s="7">
        <v>1.5620000000000001</v>
      </c>
      <c r="W3817" s="7">
        <v>14.188000000000001</v>
      </c>
      <c r="X3817" s="7">
        <v>14.188000000000001</v>
      </c>
      <c r="Y3817" s="7">
        <v>14.125</v>
      </c>
      <c r="Z3817" s="7">
        <v>14.125</v>
      </c>
      <c r="AA3817" s="6">
        <v>2.0099999999999998</v>
      </c>
      <c r="AB3817" s="2" t="s">
        <v>47</v>
      </c>
      <c r="AC3817" s="2"/>
    </row>
    <row r="3818" spans="1:29" ht="117" x14ac:dyDescent="0.15">
      <c r="A3818" s="3">
        <f>DATE(1998,4,13)</f>
        <v>35898</v>
      </c>
      <c r="B3818" s="3">
        <f>DATE(1998,7,31)</f>
        <v>36007</v>
      </c>
      <c r="C3818" s="2" t="s">
        <v>95</v>
      </c>
      <c r="D3818" s="2" t="s">
        <v>11917</v>
      </c>
      <c r="E3818" s="2" t="s">
        <v>11918</v>
      </c>
      <c r="F3818" s="4">
        <v>8051</v>
      </c>
      <c r="G3818" s="2" t="s">
        <v>454</v>
      </c>
      <c r="H3818" s="2" t="s">
        <v>34</v>
      </c>
      <c r="I3818" s="2" t="s">
        <v>11919</v>
      </c>
      <c r="J3818" s="2" t="s">
        <v>4626</v>
      </c>
      <c r="K3818" s="2" t="s">
        <v>454</v>
      </c>
      <c r="L3818" s="2" t="s">
        <v>34</v>
      </c>
      <c r="M3818" s="6">
        <v>864.08</v>
      </c>
      <c r="N3818" s="7">
        <v>19.125</v>
      </c>
      <c r="O3818" s="7">
        <v>19.437999999999999</v>
      </c>
      <c r="P3818" s="2" t="s">
        <v>11920</v>
      </c>
      <c r="Q3818" s="6">
        <v>100</v>
      </c>
      <c r="R3818" s="6">
        <v>19.75</v>
      </c>
      <c r="S3818" s="5">
        <v>11.6</v>
      </c>
      <c r="T3818" s="7">
        <v>113.96299999999999</v>
      </c>
      <c r="U3818" s="5">
        <v>11.6</v>
      </c>
      <c r="V3818" s="6">
        <v>0.39</v>
      </c>
      <c r="W3818" s="7">
        <v>17.812999999999999</v>
      </c>
      <c r="X3818" s="7">
        <v>18.625</v>
      </c>
      <c r="Y3818" s="7">
        <v>18.187999999999999</v>
      </c>
      <c r="Z3818" s="7">
        <v>19.125</v>
      </c>
      <c r="AA3818" s="6">
        <v>29.58</v>
      </c>
      <c r="AB3818" s="7">
        <v>14.093</v>
      </c>
      <c r="AC3818" s="6">
        <v>14.36</v>
      </c>
    </row>
    <row r="3819" spans="1:29" ht="65" x14ac:dyDescent="0.15">
      <c r="A3819" s="3">
        <f>DATE(1998,4,14)</f>
        <v>35899</v>
      </c>
      <c r="B3819" s="3">
        <f>DATE(1998,6,25)</f>
        <v>35971</v>
      </c>
      <c r="C3819" s="2" t="s">
        <v>95</v>
      </c>
      <c r="D3819" s="2" t="s">
        <v>11921</v>
      </c>
      <c r="E3819" s="2" t="s">
        <v>11922</v>
      </c>
      <c r="F3819" s="4">
        <v>2844</v>
      </c>
      <c r="G3819" s="2" t="s">
        <v>358</v>
      </c>
      <c r="H3819" s="2" t="s">
        <v>34</v>
      </c>
      <c r="I3819" s="2" t="s">
        <v>11923</v>
      </c>
      <c r="J3819" s="2" t="s">
        <v>678</v>
      </c>
      <c r="K3819" s="2" t="s">
        <v>53</v>
      </c>
      <c r="L3819" s="2" t="s">
        <v>34</v>
      </c>
      <c r="M3819" s="2"/>
      <c r="N3819" s="2"/>
      <c r="O3819" s="2"/>
      <c r="P3819" s="2" t="s">
        <v>11924</v>
      </c>
      <c r="Q3819" s="6">
        <v>100</v>
      </c>
      <c r="R3819" s="6">
        <v>5.25</v>
      </c>
      <c r="S3819" s="5">
        <v>0.7</v>
      </c>
      <c r="T3819" s="6">
        <v>1.37</v>
      </c>
      <c r="U3819" s="5">
        <v>4.2</v>
      </c>
      <c r="V3819" s="6">
        <v>0.34</v>
      </c>
      <c r="W3819" s="7">
        <v>3.875</v>
      </c>
      <c r="X3819" s="4">
        <v>4</v>
      </c>
      <c r="Y3819" s="7">
        <v>4.9379999999999997</v>
      </c>
      <c r="Z3819" s="7">
        <v>4.875</v>
      </c>
      <c r="AA3819" s="6">
        <v>2.1</v>
      </c>
      <c r="AB3819" s="7">
        <v>9.7140000000000004</v>
      </c>
      <c r="AC3819" s="2"/>
    </row>
    <row r="3820" spans="1:29" ht="143" x14ac:dyDescent="0.15">
      <c r="A3820" s="3">
        <f>DATE(1998,4,14)</f>
        <v>35899</v>
      </c>
      <c r="B3820" s="3">
        <f>DATE(1998,8,31)</f>
        <v>36038</v>
      </c>
      <c r="C3820" s="2" t="s">
        <v>95</v>
      </c>
      <c r="D3820" s="2" t="s">
        <v>11925</v>
      </c>
      <c r="E3820" s="2" t="s">
        <v>1181</v>
      </c>
      <c r="F3820" s="4">
        <v>6021</v>
      </c>
      <c r="G3820" s="2" t="s">
        <v>37</v>
      </c>
      <c r="H3820" s="2" t="s">
        <v>34</v>
      </c>
      <c r="I3820" s="2" t="s">
        <v>11926</v>
      </c>
      <c r="J3820" s="2" t="s">
        <v>36</v>
      </c>
      <c r="K3820" s="2" t="s">
        <v>37</v>
      </c>
      <c r="L3820" s="2" t="s">
        <v>34</v>
      </c>
      <c r="M3820" s="7">
        <v>159.62700000000001</v>
      </c>
      <c r="N3820" s="4">
        <v>43</v>
      </c>
      <c r="O3820" s="4">
        <v>43</v>
      </c>
      <c r="P3820" s="2" t="s">
        <v>11927</v>
      </c>
      <c r="Q3820" s="6">
        <v>100</v>
      </c>
      <c r="R3820" s="6">
        <v>33</v>
      </c>
      <c r="S3820" s="5">
        <v>2.2999999999999998</v>
      </c>
      <c r="T3820" s="7">
        <v>3.9489999999999998</v>
      </c>
      <c r="U3820" s="5">
        <v>6.9</v>
      </c>
      <c r="V3820" s="6">
        <v>0.91</v>
      </c>
      <c r="W3820" s="4">
        <v>28</v>
      </c>
      <c r="X3820" s="7">
        <v>30.187999999999999</v>
      </c>
      <c r="Y3820" s="7">
        <v>29.625</v>
      </c>
      <c r="Z3820" s="7">
        <v>30.125</v>
      </c>
      <c r="AA3820" s="6">
        <v>2.34</v>
      </c>
      <c r="AB3820" s="7">
        <v>24.077000000000002</v>
      </c>
      <c r="AC3820" s="2"/>
    </row>
    <row r="3821" spans="1:29" ht="65" x14ac:dyDescent="0.15">
      <c r="A3821" s="3">
        <f>DATE(1998,4,15)</f>
        <v>35900</v>
      </c>
      <c r="B3821" s="3">
        <f>DATE(1998,8,11)</f>
        <v>36018</v>
      </c>
      <c r="C3821" s="2" t="s">
        <v>95</v>
      </c>
      <c r="D3821" s="2" t="s">
        <v>11928</v>
      </c>
      <c r="E3821" s="2" t="s">
        <v>11929</v>
      </c>
      <c r="F3821" s="4">
        <v>8051</v>
      </c>
      <c r="G3821" s="2" t="s">
        <v>454</v>
      </c>
      <c r="H3821" s="2" t="s">
        <v>34</v>
      </c>
      <c r="I3821" s="2" t="s">
        <v>9450</v>
      </c>
      <c r="J3821" s="2" t="s">
        <v>9451</v>
      </c>
      <c r="K3821" s="2" t="s">
        <v>53</v>
      </c>
      <c r="L3821" s="2" t="s">
        <v>9452</v>
      </c>
      <c r="M3821" s="2"/>
      <c r="N3821" s="2"/>
      <c r="O3821" s="2"/>
      <c r="P3821" s="2" t="s">
        <v>11930</v>
      </c>
      <c r="Q3821" s="6">
        <v>91</v>
      </c>
      <c r="R3821" s="6">
        <v>25</v>
      </c>
      <c r="S3821" s="5">
        <v>6.8</v>
      </c>
      <c r="T3821" s="7">
        <v>21.265999999999998</v>
      </c>
      <c r="U3821" s="5">
        <v>6.5</v>
      </c>
      <c r="V3821" s="6">
        <v>0.84</v>
      </c>
      <c r="W3821" s="7">
        <v>20.375</v>
      </c>
      <c r="X3821" s="7">
        <v>21.125</v>
      </c>
      <c r="Y3821" s="5">
        <v>21.5</v>
      </c>
      <c r="Z3821" s="7">
        <v>23.937999999999999</v>
      </c>
      <c r="AA3821" s="6">
        <v>8.01</v>
      </c>
      <c r="AB3821" s="7">
        <v>16.367999999999999</v>
      </c>
      <c r="AC3821" s="2"/>
    </row>
    <row r="3822" spans="1:29" ht="104" x14ac:dyDescent="0.15">
      <c r="A3822" s="3">
        <f>DATE(1998,4,15)</f>
        <v>35900</v>
      </c>
      <c r="B3822" s="2"/>
      <c r="C3822" s="2" t="s">
        <v>30</v>
      </c>
      <c r="D3822" s="2" t="s">
        <v>11931</v>
      </c>
      <c r="E3822" s="2" t="s">
        <v>11932</v>
      </c>
      <c r="F3822" s="4">
        <v>2911</v>
      </c>
      <c r="G3822" s="2" t="s">
        <v>148</v>
      </c>
      <c r="H3822" s="2" t="s">
        <v>34</v>
      </c>
      <c r="I3822" s="2" t="s">
        <v>11933</v>
      </c>
      <c r="J3822" s="2" t="s">
        <v>5594</v>
      </c>
      <c r="K3822" s="2" t="s">
        <v>148</v>
      </c>
      <c r="L3822" s="2" t="s">
        <v>34</v>
      </c>
      <c r="M3822" s="7">
        <v>226.05500000000001</v>
      </c>
      <c r="N3822" s="7">
        <v>21.562999999999999</v>
      </c>
      <c r="O3822" s="7">
        <v>23.125</v>
      </c>
      <c r="P3822" s="2" t="s">
        <v>11934</v>
      </c>
      <c r="Q3822" s="2"/>
      <c r="R3822" s="6">
        <v>27.43</v>
      </c>
      <c r="S3822" s="5">
        <v>13.1</v>
      </c>
      <c r="T3822" s="7">
        <v>47.652999999999999</v>
      </c>
      <c r="U3822" s="5">
        <v>0.8</v>
      </c>
      <c r="V3822" s="9">
        <v>9.9400000000000002E-2</v>
      </c>
      <c r="W3822" s="6">
        <v>26.75</v>
      </c>
      <c r="X3822" s="7">
        <v>26.625</v>
      </c>
      <c r="Y3822" s="5">
        <v>30.5</v>
      </c>
      <c r="Z3822" s="7">
        <v>32.875</v>
      </c>
      <c r="AA3822" s="6">
        <v>8.25</v>
      </c>
      <c r="AB3822" s="7">
        <v>134.13399999999999</v>
      </c>
      <c r="AC3822" s="6">
        <v>82.59</v>
      </c>
    </row>
    <row r="3823" spans="1:29" ht="91" x14ac:dyDescent="0.15">
      <c r="A3823" s="3">
        <f>DATE(1998,4,15)</f>
        <v>35900</v>
      </c>
      <c r="B3823" s="3">
        <f>DATE(1998,5,29)</f>
        <v>35944</v>
      </c>
      <c r="C3823" s="2" t="s">
        <v>95</v>
      </c>
      <c r="D3823" s="2" t="s">
        <v>11935</v>
      </c>
      <c r="E3823" s="2" t="s">
        <v>11936</v>
      </c>
      <c r="F3823" s="4">
        <v>7371</v>
      </c>
      <c r="G3823" s="2" t="s">
        <v>223</v>
      </c>
      <c r="H3823" s="2" t="s">
        <v>34</v>
      </c>
      <c r="I3823" s="2" t="s">
        <v>5518</v>
      </c>
      <c r="J3823" s="2" t="s">
        <v>5519</v>
      </c>
      <c r="K3823" s="2" t="s">
        <v>226</v>
      </c>
      <c r="L3823" s="2" t="s">
        <v>303</v>
      </c>
      <c r="M3823" s="2"/>
      <c r="N3823" s="2"/>
      <c r="O3823" s="2"/>
      <c r="P3823" s="2" t="s">
        <v>11937</v>
      </c>
      <c r="Q3823" s="6">
        <v>100</v>
      </c>
      <c r="R3823" s="6">
        <v>10</v>
      </c>
      <c r="S3823" s="5">
        <v>-13.8</v>
      </c>
      <c r="T3823" s="7">
        <v>-11.483000000000001</v>
      </c>
      <c r="U3823" s="5">
        <v>5.6</v>
      </c>
      <c r="V3823" s="7">
        <v>-1.095</v>
      </c>
      <c r="W3823" s="7">
        <v>8.5630000000000006</v>
      </c>
      <c r="X3823" s="7">
        <v>8.0630000000000006</v>
      </c>
      <c r="Y3823" s="7">
        <v>9.8130000000000006</v>
      </c>
      <c r="Z3823" s="7">
        <v>9.8130000000000006</v>
      </c>
      <c r="AA3823" s="6">
        <v>14.14</v>
      </c>
      <c r="AB3823" s="2" t="s">
        <v>86</v>
      </c>
      <c r="AC3823" s="6">
        <v>470.33</v>
      </c>
    </row>
    <row r="3824" spans="1:29" ht="117" x14ac:dyDescent="0.15">
      <c r="A3824" s="3">
        <f>DATE(1998,4,16)</f>
        <v>35901</v>
      </c>
      <c r="B3824" s="3">
        <f>DATE(1998,9,28)</f>
        <v>36066</v>
      </c>
      <c r="C3824" s="2" t="s">
        <v>95</v>
      </c>
      <c r="D3824" s="2" t="s">
        <v>11938</v>
      </c>
      <c r="E3824" s="2" t="s">
        <v>781</v>
      </c>
      <c r="F3824" s="4">
        <v>7372</v>
      </c>
      <c r="G3824" s="2" t="s">
        <v>551</v>
      </c>
      <c r="H3824" s="2" t="s">
        <v>34</v>
      </c>
      <c r="I3824" s="2" t="s">
        <v>11939</v>
      </c>
      <c r="J3824" s="2" t="s">
        <v>11940</v>
      </c>
      <c r="K3824" s="2" t="s">
        <v>551</v>
      </c>
      <c r="L3824" s="2" t="s">
        <v>34</v>
      </c>
      <c r="M3824" s="7">
        <v>205.923</v>
      </c>
      <c r="N3824" s="7">
        <v>12.438000000000001</v>
      </c>
      <c r="O3824" s="7">
        <v>12.125</v>
      </c>
      <c r="P3824" s="2" t="s">
        <v>11941</v>
      </c>
      <c r="Q3824" s="6">
        <v>100</v>
      </c>
      <c r="R3824" s="6">
        <v>16.079999999999998</v>
      </c>
      <c r="S3824" s="5">
        <v>4.7</v>
      </c>
      <c r="T3824" s="7">
        <v>6.3470000000000004</v>
      </c>
      <c r="U3824" s="5">
        <v>4.3</v>
      </c>
      <c r="V3824" s="6">
        <v>0.61</v>
      </c>
      <c r="W3824" s="6">
        <v>13.25</v>
      </c>
      <c r="X3824" s="6">
        <v>14.25</v>
      </c>
      <c r="Y3824" s="7">
        <v>14.563000000000001</v>
      </c>
      <c r="Z3824" s="7">
        <v>14.188000000000001</v>
      </c>
      <c r="AA3824" s="6">
        <v>7.13</v>
      </c>
      <c r="AB3824" s="7">
        <v>18.047999999999998</v>
      </c>
      <c r="AC3824" s="6">
        <v>47.54</v>
      </c>
    </row>
    <row r="3825" spans="1:29" ht="52" x14ac:dyDescent="0.15">
      <c r="A3825" s="3">
        <f>DATE(1998,4,17)</f>
        <v>35902</v>
      </c>
      <c r="B3825" s="2"/>
      <c r="C3825" s="2" t="s">
        <v>87</v>
      </c>
      <c r="D3825" s="2" t="s">
        <v>830</v>
      </c>
      <c r="E3825" s="2" t="s">
        <v>831</v>
      </c>
      <c r="F3825" s="4">
        <v>6331</v>
      </c>
      <c r="G3825" s="2" t="s">
        <v>125</v>
      </c>
      <c r="H3825" s="2" t="s">
        <v>34</v>
      </c>
      <c r="I3825" s="2" t="s">
        <v>368</v>
      </c>
      <c r="J3825" s="2" t="s">
        <v>369</v>
      </c>
      <c r="K3825" s="2" t="s">
        <v>370</v>
      </c>
      <c r="L3825" s="2" t="s">
        <v>34</v>
      </c>
      <c r="M3825" s="12">
        <v>46038.114000000001</v>
      </c>
      <c r="N3825" s="4">
        <v>107</v>
      </c>
      <c r="O3825" s="6">
        <v>103.75</v>
      </c>
      <c r="P3825" s="2" t="s">
        <v>11942</v>
      </c>
      <c r="Q3825" s="2"/>
      <c r="R3825" s="2"/>
      <c r="S3825" s="8">
        <v>3348.7</v>
      </c>
      <c r="T3825" s="2"/>
      <c r="U3825" s="5">
        <v>230.3</v>
      </c>
      <c r="V3825" s="9">
        <v>33.635599999999997</v>
      </c>
      <c r="W3825" s="5">
        <v>127.5</v>
      </c>
      <c r="X3825" s="7">
        <v>134.125</v>
      </c>
      <c r="Y3825" s="9">
        <v>139.4375</v>
      </c>
      <c r="Z3825" s="9">
        <v>136.9375</v>
      </c>
      <c r="AA3825" s="6">
        <v>699.42</v>
      </c>
      <c r="AB3825" s="2" t="s">
        <v>47</v>
      </c>
      <c r="AC3825" s="8">
        <v>4179</v>
      </c>
    </row>
    <row r="3826" spans="1:29" ht="130" x14ac:dyDescent="0.15">
      <c r="A3826" s="3">
        <f>DATE(1998,4,17)</f>
        <v>35902</v>
      </c>
      <c r="B3826" s="3">
        <f>DATE(1998,7,21)</f>
        <v>35997</v>
      </c>
      <c r="C3826" s="2" t="s">
        <v>95</v>
      </c>
      <c r="D3826" s="2" t="s">
        <v>11943</v>
      </c>
      <c r="E3826" s="2" t="s">
        <v>11944</v>
      </c>
      <c r="F3826" s="4">
        <v>7372</v>
      </c>
      <c r="G3826" s="2" t="s">
        <v>551</v>
      </c>
      <c r="H3826" s="2" t="s">
        <v>34</v>
      </c>
      <c r="I3826" s="2" t="s">
        <v>11945</v>
      </c>
      <c r="J3826" s="2" t="s">
        <v>11946</v>
      </c>
      <c r="K3826" s="2" t="s">
        <v>551</v>
      </c>
      <c r="L3826" s="2" t="s">
        <v>34</v>
      </c>
      <c r="M3826" s="12">
        <v>4244.991</v>
      </c>
      <c r="N3826" s="7">
        <v>44.188000000000002</v>
      </c>
      <c r="O3826" s="4">
        <v>44</v>
      </c>
      <c r="P3826" s="2" t="s">
        <v>11947</v>
      </c>
      <c r="Q3826" s="6">
        <v>100</v>
      </c>
      <c r="R3826" s="6">
        <v>22.02</v>
      </c>
      <c r="S3826" s="5">
        <v>3.1</v>
      </c>
      <c r="T3826" s="7">
        <v>9.6080000000000005</v>
      </c>
      <c r="U3826" s="5">
        <v>5.6</v>
      </c>
      <c r="V3826" s="6">
        <v>0.36</v>
      </c>
      <c r="W3826" s="7">
        <v>19.562999999999999</v>
      </c>
      <c r="X3826" s="6">
        <v>20.75</v>
      </c>
      <c r="Y3826" s="6">
        <v>20.75</v>
      </c>
      <c r="Z3826" s="6">
        <v>20.75</v>
      </c>
      <c r="AA3826" s="6">
        <v>8.3699999999999992</v>
      </c>
      <c r="AB3826" s="7">
        <v>35.963999999999999</v>
      </c>
      <c r="AC3826" s="6">
        <v>484.66</v>
      </c>
    </row>
    <row r="3827" spans="1:29" ht="117" x14ac:dyDescent="0.15">
      <c r="A3827" s="3">
        <f>DATE(1998,4,20)</f>
        <v>35905</v>
      </c>
      <c r="B3827" s="3">
        <f>DATE(1998,9,15)</f>
        <v>36053</v>
      </c>
      <c r="C3827" s="2" t="s">
        <v>95</v>
      </c>
      <c r="D3827" s="2" t="s">
        <v>11948</v>
      </c>
      <c r="E3827" s="2" t="s">
        <v>10646</v>
      </c>
      <c r="F3827" s="4">
        <v>8011</v>
      </c>
      <c r="G3827" s="2" t="s">
        <v>454</v>
      </c>
      <c r="H3827" s="2" t="s">
        <v>34</v>
      </c>
      <c r="I3827" s="2" t="s">
        <v>10645</v>
      </c>
      <c r="J3827" s="2" t="s">
        <v>10646</v>
      </c>
      <c r="K3827" s="2" t="s">
        <v>690</v>
      </c>
      <c r="L3827" s="2" t="s">
        <v>34</v>
      </c>
      <c r="M3827" s="2"/>
      <c r="N3827" s="2"/>
      <c r="O3827" s="2"/>
      <c r="P3827" s="2" t="s">
        <v>11949</v>
      </c>
      <c r="Q3827" s="6">
        <v>50.46</v>
      </c>
      <c r="R3827" s="6">
        <v>20.25</v>
      </c>
      <c r="S3827" s="5">
        <v>6.4</v>
      </c>
      <c r="T3827" s="7">
        <v>18.376000000000001</v>
      </c>
      <c r="U3827" s="5">
        <v>8.1</v>
      </c>
      <c r="V3827" s="7">
        <v>0.35599999999999998</v>
      </c>
      <c r="W3827" s="7">
        <v>18.875</v>
      </c>
      <c r="X3827" s="6">
        <v>19.75</v>
      </c>
      <c r="Y3827" s="7">
        <v>19.187999999999999</v>
      </c>
      <c r="Z3827" s="6">
        <v>19.25</v>
      </c>
      <c r="AA3827" s="6">
        <v>23.38</v>
      </c>
      <c r="AB3827" s="7">
        <v>41.475000000000001</v>
      </c>
      <c r="AC3827" s="2"/>
    </row>
    <row r="3828" spans="1:29" ht="117" x14ac:dyDescent="0.15">
      <c r="A3828" s="3">
        <f>DATE(1998,4,20)</f>
        <v>35905</v>
      </c>
      <c r="B3828" s="3">
        <f>DATE(1999,1,4)</f>
        <v>36164</v>
      </c>
      <c r="C3828" s="2" t="s">
        <v>95</v>
      </c>
      <c r="D3828" s="2" t="s">
        <v>11950</v>
      </c>
      <c r="E3828" s="2" t="s">
        <v>11951</v>
      </c>
      <c r="F3828" s="4">
        <v>8744</v>
      </c>
      <c r="G3828" s="2" t="s">
        <v>223</v>
      </c>
      <c r="H3828" s="2" t="s">
        <v>34</v>
      </c>
      <c r="I3828" s="2" t="s">
        <v>11952</v>
      </c>
      <c r="J3828" s="2" t="s">
        <v>92</v>
      </c>
      <c r="K3828" s="2" t="s">
        <v>53</v>
      </c>
      <c r="L3828" s="2" t="s">
        <v>34</v>
      </c>
      <c r="M3828" s="7">
        <v>899.44899999999996</v>
      </c>
      <c r="N3828" s="5">
        <v>37.5</v>
      </c>
      <c r="O3828" s="7">
        <v>35.125</v>
      </c>
      <c r="P3828" s="2" t="s">
        <v>11953</v>
      </c>
      <c r="Q3828" s="6">
        <v>100</v>
      </c>
      <c r="R3828" s="6">
        <v>35.11</v>
      </c>
      <c r="S3828" s="5">
        <v>14.3</v>
      </c>
      <c r="T3828" s="7">
        <v>19.414999999999999</v>
      </c>
      <c r="U3828" s="5">
        <v>63.8</v>
      </c>
      <c r="V3828" s="9">
        <v>2.1667000000000001</v>
      </c>
      <c r="W3828" s="7">
        <v>35.063000000000002</v>
      </c>
      <c r="X3828" s="5">
        <v>33.5</v>
      </c>
      <c r="Y3828" s="7">
        <v>29.875</v>
      </c>
      <c r="Z3828" s="7">
        <v>27.437999999999999</v>
      </c>
      <c r="AA3828" s="6">
        <v>80.22</v>
      </c>
      <c r="AB3828" s="7">
        <v>50.000999999999998</v>
      </c>
      <c r="AC3828" s="2"/>
    </row>
    <row r="3829" spans="1:29" ht="78" x14ac:dyDescent="0.15">
      <c r="A3829" s="3">
        <f>DATE(1998,4,20)</f>
        <v>35905</v>
      </c>
      <c r="B3829" s="2"/>
      <c r="C3829" s="2" t="s">
        <v>30</v>
      </c>
      <c r="D3829" s="2" t="s">
        <v>11954</v>
      </c>
      <c r="E3829" s="2" t="s">
        <v>6180</v>
      </c>
      <c r="F3829" s="4">
        <v>8071</v>
      </c>
      <c r="G3829" s="2" t="s">
        <v>454</v>
      </c>
      <c r="H3829" s="2" t="s">
        <v>34</v>
      </c>
      <c r="I3829" s="2" t="s">
        <v>11955</v>
      </c>
      <c r="J3829" s="2" t="s">
        <v>11956</v>
      </c>
      <c r="K3829" s="2" t="s">
        <v>454</v>
      </c>
      <c r="L3829" s="2" t="s">
        <v>34</v>
      </c>
      <c r="M3829" s="2"/>
      <c r="N3829" s="2"/>
      <c r="O3829" s="2"/>
      <c r="P3829" s="2" t="s">
        <v>11957</v>
      </c>
      <c r="Q3829" s="2"/>
      <c r="R3829" s="2"/>
      <c r="S3829" s="5">
        <v>1</v>
      </c>
      <c r="T3829" s="7">
        <v>1.488</v>
      </c>
      <c r="U3829" s="5">
        <v>0.6</v>
      </c>
      <c r="V3829" s="7">
        <v>0.51200000000000001</v>
      </c>
      <c r="W3829" s="11">
        <v>1.46875</v>
      </c>
      <c r="X3829" s="9">
        <v>1.9375</v>
      </c>
      <c r="Y3829" s="9">
        <v>1.8125</v>
      </c>
      <c r="Z3829" s="6">
        <v>1.75</v>
      </c>
      <c r="AA3829" s="2"/>
      <c r="AB3829" s="2" t="s">
        <v>47</v>
      </c>
      <c r="AC3829" s="2"/>
    </row>
    <row r="3830" spans="1:29" ht="117" x14ac:dyDescent="0.15">
      <c r="A3830" s="3">
        <f>DATE(1998,4,20)</f>
        <v>35905</v>
      </c>
      <c r="B3830" s="2"/>
      <c r="C3830" s="2" t="s">
        <v>7330</v>
      </c>
      <c r="D3830" s="2" t="s">
        <v>5739</v>
      </c>
      <c r="E3830" s="2" t="s">
        <v>1181</v>
      </c>
      <c r="F3830" s="4">
        <v>6021</v>
      </c>
      <c r="G3830" s="2" t="s">
        <v>37</v>
      </c>
      <c r="H3830" s="2" t="s">
        <v>34</v>
      </c>
      <c r="I3830" s="2" t="s">
        <v>138</v>
      </c>
      <c r="J3830" s="2" t="s">
        <v>139</v>
      </c>
      <c r="K3830" s="2" t="s">
        <v>53</v>
      </c>
      <c r="L3830" s="2" t="s">
        <v>139</v>
      </c>
      <c r="M3830" s="2"/>
      <c r="N3830" s="2"/>
      <c r="O3830" s="2"/>
      <c r="P3830" s="2" t="s">
        <v>11958</v>
      </c>
      <c r="Q3830" s="2"/>
      <c r="R3830" s="2"/>
      <c r="S3830" s="5">
        <v>7.3</v>
      </c>
      <c r="T3830" s="6">
        <v>15.33</v>
      </c>
      <c r="U3830" s="5">
        <v>14.9</v>
      </c>
      <c r="V3830" s="7">
        <v>1.2749999999999999</v>
      </c>
      <c r="W3830" s="4">
        <v>57</v>
      </c>
      <c r="X3830" s="7">
        <v>57.938000000000002</v>
      </c>
      <c r="Y3830" s="7">
        <v>56.375</v>
      </c>
      <c r="Z3830" s="5">
        <v>58.5</v>
      </c>
      <c r="AA3830" s="2"/>
      <c r="AB3830" s="2" t="s">
        <v>47</v>
      </c>
      <c r="AC3830" s="2"/>
    </row>
    <row r="3831" spans="1:29" ht="39" x14ac:dyDescent="0.15">
      <c r="A3831" s="3">
        <f t="shared" ref="A3831:A3836" si="65">DATE(1998,4,21)</f>
        <v>35906</v>
      </c>
      <c r="B3831" s="2"/>
      <c r="C3831" s="2" t="s">
        <v>189</v>
      </c>
      <c r="D3831" s="2" t="s">
        <v>11959</v>
      </c>
      <c r="E3831" s="2" t="s">
        <v>11960</v>
      </c>
      <c r="F3831" s="4">
        <v>6035</v>
      </c>
      <c r="G3831" s="2" t="s">
        <v>33</v>
      </c>
      <c r="H3831" s="2" t="s">
        <v>34</v>
      </c>
      <c r="I3831" s="2" t="s">
        <v>143</v>
      </c>
      <c r="J3831" s="2" t="s">
        <v>144</v>
      </c>
      <c r="K3831" s="2" t="s">
        <v>53</v>
      </c>
      <c r="L3831" s="2" t="s">
        <v>139</v>
      </c>
      <c r="M3831" s="2"/>
      <c r="N3831" s="2"/>
      <c r="O3831" s="2"/>
      <c r="P3831" s="2" t="s">
        <v>11961</v>
      </c>
      <c r="Q3831" s="2"/>
      <c r="R3831" s="2"/>
      <c r="S3831" s="5">
        <v>5.6</v>
      </c>
      <c r="T3831" s="7">
        <v>11.128</v>
      </c>
      <c r="U3831" s="5">
        <v>29.5</v>
      </c>
      <c r="V3831" s="7">
        <v>3.3050000000000002</v>
      </c>
      <c r="W3831" s="5">
        <v>81.5</v>
      </c>
      <c r="X3831" s="6">
        <v>83.75</v>
      </c>
      <c r="Y3831" s="7">
        <v>84.875</v>
      </c>
      <c r="Z3831" s="5">
        <v>82.5</v>
      </c>
      <c r="AA3831" s="2"/>
      <c r="AB3831" s="2" t="s">
        <v>47</v>
      </c>
      <c r="AC3831" s="2"/>
    </row>
    <row r="3832" spans="1:29" ht="91" x14ac:dyDescent="0.15">
      <c r="A3832" s="3">
        <f t="shared" si="65"/>
        <v>35906</v>
      </c>
      <c r="B3832" s="3">
        <f>DATE(1998,8,25)</f>
        <v>36032</v>
      </c>
      <c r="C3832" s="2" t="s">
        <v>95</v>
      </c>
      <c r="D3832" s="2" t="s">
        <v>8896</v>
      </c>
      <c r="E3832" s="2" t="s">
        <v>8897</v>
      </c>
      <c r="F3832" s="4">
        <v>7221</v>
      </c>
      <c r="G3832" s="2" t="s">
        <v>1517</v>
      </c>
      <c r="H3832" s="2" t="s">
        <v>34</v>
      </c>
      <c r="I3832" s="2" t="s">
        <v>51</v>
      </c>
      <c r="J3832" s="2" t="s">
        <v>52</v>
      </c>
      <c r="K3832" s="2" t="s">
        <v>53</v>
      </c>
      <c r="L3832" s="2" t="s">
        <v>34</v>
      </c>
      <c r="M3832" s="2"/>
      <c r="N3832" s="2"/>
      <c r="O3832" s="2"/>
      <c r="P3832" s="2" t="s">
        <v>11962</v>
      </c>
      <c r="Q3832" s="6">
        <v>100</v>
      </c>
      <c r="R3832" s="6">
        <v>26.5</v>
      </c>
      <c r="S3832" s="5">
        <v>8.6999999999999993</v>
      </c>
      <c r="T3832" s="7">
        <v>38.316000000000003</v>
      </c>
      <c r="U3832" s="5">
        <v>5.7</v>
      </c>
      <c r="V3832" s="6">
        <v>1.07</v>
      </c>
      <c r="W3832" s="5">
        <v>22.5</v>
      </c>
      <c r="X3832" s="5">
        <v>21.5</v>
      </c>
      <c r="Y3832" s="9">
        <v>25.9375</v>
      </c>
      <c r="Z3832" s="7">
        <v>25.625</v>
      </c>
      <c r="AA3832" s="6">
        <v>7.94</v>
      </c>
      <c r="AB3832" s="7">
        <v>11.81</v>
      </c>
      <c r="AC3832" s="2"/>
    </row>
    <row r="3833" spans="1:29" ht="39" x14ac:dyDescent="0.15">
      <c r="A3833" s="3">
        <f t="shared" si="65"/>
        <v>35906</v>
      </c>
      <c r="B3833" s="2"/>
      <c r="C3833" s="2" t="s">
        <v>30</v>
      </c>
      <c r="D3833" s="2" t="s">
        <v>11963</v>
      </c>
      <c r="E3833" s="2" t="s">
        <v>11964</v>
      </c>
      <c r="F3833" s="4">
        <v>7372</v>
      </c>
      <c r="G3833" s="2" t="s">
        <v>551</v>
      </c>
      <c r="H3833" s="2" t="s">
        <v>34</v>
      </c>
      <c r="I3833" s="2" t="s">
        <v>11965</v>
      </c>
      <c r="J3833" s="2" t="s">
        <v>11966</v>
      </c>
      <c r="K3833" s="2" t="s">
        <v>921</v>
      </c>
      <c r="L3833" s="2" t="s">
        <v>34</v>
      </c>
      <c r="M3833" s="2"/>
      <c r="N3833" s="2"/>
      <c r="O3833" s="2"/>
      <c r="P3833" s="2" t="s">
        <v>11967</v>
      </c>
      <c r="Q3833" s="2"/>
      <c r="R3833" s="2"/>
      <c r="S3833" s="5">
        <v>-26.1</v>
      </c>
      <c r="T3833" s="7">
        <v>-3.7280000000000002</v>
      </c>
      <c r="U3833" s="5">
        <v>-0.2</v>
      </c>
      <c r="V3833" s="6">
        <v>-1.48</v>
      </c>
      <c r="W3833" s="7">
        <v>2.3130000000000002</v>
      </c>
      <c r="X3833" s="7">
        <v>1.5629999999999999</v>
      </c>
      <c r="Y3833" s="11">
        <v>1.71875</v>
      </c>
      <c r="Z3833" s="7">
        <v>1.625</v>
      </c>
      <c r="AA3833" s="6">
        <v>122.78</v>
      </c>
      <c r="AB3833" s="2" t="s">
        <v>86</v>
      </c>
      <c r="AC3833" s="2"/>
    </row>
    <row r="3834" spans="1:29" ht="117" x14ac:dyDescent="0.15">
      <c r="A3834" s="3">
        <f t="shared" si="65"/>
        <v>35906</v>
      </c>
      <c r="B3834" s="2"/>
      <c r="C3834" s="2" t="s">
        <v>30</v>
      </c>
      <c r="D3834" s="2" t="s">
        <v>11119</v>
      </c>
      <c r="E3834" s="2" t="s">
        <v>92</v>
      </c>
      <c r="F3834" s="4">
        <v>6798</v>
      </c>
      <c r="G3834" s="2" t="s">
        <v>53</v>
      </c>
      <c r="H3834" s="2" t="s">
        <v>34</v>
      </c>
      <c r="I3834" s="2" t="s">
        <v>11968</v>
      </c>
      <c r="J3834" s="2" t="s">
        <v>11969</v>
      </c>
      <c r="K3834" s="2" t="s">
        <v>53</v>
      </c>
      <c r="L3834" s="2" t="s">
        <v>34</v>
      </c>
      <c r="M3834" s="7">
        <v>567.16399999999999</v>
      </c>
      <c r="N3834" s="7">
        <v>14.813000000000001</v>
      </c>
      <c r="O3834" s="7">
        <v>14.688000000000001</v>
      </c>
      <c r="P3834" s="2" t="s">
        <v>11970</v>
      </c>
      <c r="Q3834" s="2"/>
      <c r="R3834" s="6">
        <v>23.06</v>
      </c>
      <c r="S3834" s="5">
        <v>34.200000000000003</v>
      </c>
      <c r="T3834" s="7">
        <v>58.470999999999997</v>
      </c>
      <c r="U3834" s="5">
        <v>14.1</v>
      </c>
      <c r="V3834" s="6">
        <v>1.34</v>
      </c>
      <c r="W3834" s="5">
        <v>19.5</v>
      </c>
      <c r="X3834" s="5">
        <v>19.5</v>
      </c>
      <c r="Y3834" s="6">
        <v>20.75</v>
      </c>
      <c r="Z3834" s="9">
        <v>20.9375</v>
      </c>
      <c r="AA3834" s="6">
        <v>26.9</v>
      </c>
      <c r="AB3834" s="7">
        <v>20.853999999999999</v>
      </c>
      <c r="AC3834" s="6">
        <v>0.19</v>
      </c>
    </row>
    <row r="3835" spans="1:29" ht="117" x14ac:dyDescent="0.15">
      <c r="A3835" s="3">
        <f t="shared" si="65"/>
        <v>35906</v>
      </c>
      <c r="B3835" s="2"/>
      <c r="C3835" s="2" t="s">
        <v>30</v>
      </c>
      <c r="D3835" s="2" t="s">
        <v>11971</v>
      </c>
      <c r="E3835" s="2" t="s">
        <v>936</v>
      </c>
      <c r="F3835" s="4">
        <v>3571</v>
      </c>
      <c r="G3835" s="2" t="s">
        <v>50</v>
      </c>
      <c r="H3835" s="2" t="s">
        <v>34</v>
      </c>
      <c r="I3835" s="2" t="s">
        <v>11972</v>
      </c>
      <c r="J3835" s="2" t="s">
        <v>11973</v>
      </c>
      <c r="K3835" s="2" t="s">
        <v>50</v>
      </c>
      <c r="L3835" s="2" t="s">
        <v>34</v>
      </c>
      <c r="M3835" s="12">
        <v>1308.605</v>
      </c>
      <c r="N3835" s="7">
        <v>37.313000000000002</v>
      </c>
      <c r="O3835" s="4">
        <v>39</v>
      </c>
      <c r="P3835" s="2" t="s">
        <v>11974</v>
      </c>
      <c r="Q3835" s="2"/>
      <c r="R3835" s="6">
        <v>40</v>
      </c>
      <c r="S3835" s="5">
        <v>15.2</v>
      </c>
      <c r="T3835" s="7">
        <v>59.503999999999998</v>
      </c>
      <c r="U3835" s="5">
        <v>10.3</v>
      </c>
      <c r="V3835" s="6">
        <v>0.93</v>
      </c>
      <c r="W3835" s="7">
        <v>27.125</v>
      </c>
      <c r="X3835" s="7">
        <v>27.687999999999999</v>
      </c>
      <c r="Y3835" s="7">
        <v>32.125</v>
      </c>
      <c r="Z3835" s="4">
        <v>33</v>
      </c>
      <c r="AA3835" s="6">
        <v>15.9</v>
      </c>
      <c r="AB3835" s="7">
        <v>25.082000000000001</v>
      </c>
      <c r="AC3835" s="6">
        <v>59.97</v>
      </c>
    </row>
    <row r="3836" spans="1:29" ht="91" x14ac:dyDescent="0.15">
      <c r="A3836" s="3">
        <f t="shared" si="65"/>
        <v>35906</v>
      </c>
      <c r="B3836" s="3">
        <f>DATE(1998,6,24)</f>
        <v>35970</v>
      </c>
      <c r="C3836" s="2" t="s">
        <v>95</v>
      </c>
      <c r="D3836" s="2" t="s">
        <v>6876</v>
      </c>
      <c r="E3836" s="2" t="s">
        <v>6065</v>
      </c>
      <c r="F3836" s="4">
        <v>3812</v>
      </c>
      <c r="G3836" s="2" t="s">
        <v>226</v>
      </c>
      <c r="H3836" s="2" t="s">
        <v>34</v>
      </c>
      <c r="I3836" s="2" t="s">
        <v>11975</v>
      </c>
      <c r="J3836" s="2" t="s">
        <v>11976</v>
      </c>
      <c r="K3836" s="2" t="s">
        <v>341</v>
      </c>
      <c r="L3836" s="2" t="s">
        <v>303</v>
      </c>
      <c r="M3836" s="2"/>
      <c r="N3836" s="2"/>
      <c r="O3836" s="2"/>
      <c r="P3836" s="2" t="s">
        <v>11977</v>
      </c>
      <c r="Q3836" s="6">
        <v>100</v>
      </c>
      <c r="R3836" s="6">
        <v>40</v>
      </c>
      <c r="S3836" s="5">
        <v>44.4</v>
      </c>
      <c r="T3836" s="7">
        <v>134.76300000000001</v>
      </c>
      <c r="U3836" s="5">
        <v>10.3</v>
      </c>
      <c r="V3836" s="6">
        <v>1.27</v>
      </c>
      <c r="W3836" s="6">
        <v>34.25</v>
      </c>
      <c r="X3836" s="6">
        <v>36.369999999999997</v>
      </c>
      <c r="Y3836" s="7">
        <v>39.313000000000002</v>
      </c>
      <c r="Z3836" s="7">
        <v>39.438000000000002</v>
      </c>
      <c r="AA3836" s="6">
        <v>27.99</v>
      </c>
      <c r="AB3836" s="7">
        <v>13.47</v>
      </c>
      <c r="AC3836" s="2"/>
    </row>
    <row r="3837" spans="1:29" ht="91" x14ac:dyDescent="0.15">
      <c r="A3837" s="3">
        <f>DATE(1998,4,22)</f>
        <v>35907</v>
      </c>
      <c r="B3837" s="3">
        <f>DATE(1998,6,29)</f>
        <v>35975</v>
      </c>
      <c r="C3837" s="2" t="s">
        <v>95</v>
      </c>
      <c r="D3837" s="2" t="s">
        <v>11978</v>
      </c>
      <c r="E3837" s="2" t="s">
        <v>11979</v>
      </c>
      <c r="F3837" s="4">
        <v>3577</v>
      </c>
      <c r="G3837" s="2" t="s">
        <v>50</v>
      </c>
      <c r="H3837" s="2" t="s">
        <v>34</v>
      </c>
      <c r="I3837" s="2" t="s">
        <v>11980</v>
      </c>
      <c r="J3837" s="2" t="s">
        <v>11981</v>
      </c>
      <c r="K3837" s="2" t="s">
        <v>50</v>
      </c>
      <c r="L3837" s="2" t="s">
        <v>34</v>
      </c>
      <c r="M3837" s="7">
        <v>278.97699999999998</v>
      </c>
      <c r="N3837" s="5">
        <v>28.5</v>
      </c>
      <c r="O3837" s="4">
        <v>29</v>
      </c>
      <c r="P3837" s="2" t="s">
        <v>11982</v>
      </c>
      <c r="Q3837" s="6">
        <v>100</v>
      </c>
      <c r="R3837" s="6">
        <v>5.75</v>
      </c>
      <c r="S3837" s="5">
        <v>-0.1</v>
      </c>
      <c r="T3837" s="7">
        <v>-0.45600000000000002</v>
      </c>
      <c r="U3837" s="5">
        <v>2.9</v>
      </c>
      <c r="V3837" s="6">
        <v>-0.02</v>
      </c>
      <c r="W3837" s="7">
        <v>4.6879999999999997</v>
      </c>
      <c r="X3837" s="7">
        <v>5.0629999999999997</v>
      </c>
      <c r="Y3837" s="7">
        <v>5.625</v>
      </c>
      <c r="Z3837" s="6">
        <v>5.25</v>
      </c>
      <c r="AA3837" s="6">
        <v>8.4499999999999993</v>
      </c>
      <c r="AB3837" s="2" t="s">
        <v>86</v>
      </c>
      <c r="AC3837" s="6">
        <v>57.1</v>
      </c>
    </row>
    <row r="3838" spans="1:29" ht="143" x14ac:dyDescent="0.15">
      <c r="A3838" s="3">
        <f>DATE(1998,4,22)</f>
        <v>35907</v>
      </c>
      <c r="B3838" s="2"/>
      <c r="C3838" s="2" t="s">
        <v>30</v>
      </c>
      <c r="D3838" s="2" t="s">
        <v>2930</v>
      </c>
      <c r="E3838" s="2" t="s">
        <v>263</v>
      </c>
      <c r="F3838" s="4">
        <v>6021</v>
      </c>
      <c r="G3838" s="2" t="s">
        <v>37</v>
      </c>
      <c r="H3838" s="2" t="s">
        <v>34</v>
      </c>
      <c r="I3838" s="2" t="s">
        <v>4059</v>
      </c>
      <c r="J3838" s="2" t="s">
        <v>4060</v>
      </c>
      <c r="K3838" s="2" t="s">
        <v>37</v>
      </c>
      <c r="L3838" s="2" t="s">
        <v>34</v>
      </c>
      <c r="M3838" s="12">
        <v>22997.911</v>
      </c>
      <c r="N3838" s="7">
        <v>62.063000000000002</v>
      </c>
      <c r="O3838" s="7">
        <v>60.563000000000002</v>
      </c>
      <c r="P3838" s="2" t="s">
        <v>11983</v>
      </c>
      <c r="Q3838" s="2"/>
      <c r="R3838" s="6">
        <v>89.69</v>
      </c>
      <c r="S3838" s="5">
        <v>771</v>
      </c>
      <c r="T3838" s="8">
        <v>1277</v>
      </c>
      <c r="U3838" s="5">
        <v>7.2</v>
      </c>
      <c r="V3838" s="6">
        <v>1.44</v>
      </c>
      <c r="W3838" s="7">
        <v>58.438000000000002</v>
      </c>
      <c r="X3838" s="7">
        <v>58.625</v>
      </c>
      <c r="Y3838" s="4">
        <v>63</v>
      </c>
      <c r="Z3838" s="9">
        <v>63.4375</v>
      </c>
      <c r="AA3838" s="6">
        <v>259.74</v>
      </c>
      <c r="AB3838" s="7">
        <v>46.165999999999997</v>
      </c>
      <c r="AC3838" s="2"/>
    </row>
    <row r="3839" spans="1:29" ht="156" x14ac:dyDescent="0.15">
      <c r="A3839" s="3">
        <f>DATE(1998,4,23)</f>
        <v>35908</v>
      </c>
      <c r="B3839" s="3">
        <f>DATE(1998,11,16)</f>
        <v>36115</v>
      </c>
      <c r="C3839" s="2" t="s">
        <v>95</v>
      </c>
      <c r="D3839" s="2" t="s">
        <v>11984</v>
      </c>
      <c r="E3839" s="2" t="s">
        <v>1181</v>
      </c>
      <c r="F3839" s="4">
        <v>6022</v>
      </c>
      <c r="G3839" s="2" t="s">
        <v>37</v>
      </c>
      <c r="H3839" s="2" t="s">
        <v>34</v>
      </c>
      <c r="I3839" s="2" t="s">
        <v>11985</v>
      </c>
      <c r="J3839" s="2" t="s">
        <v>1398</v>
      </c>
      <c r="K3839" s="2" t="s">
        <v>33</v>
      </c>
      <c r="L3839" s="2" t="s">
        <v>34</v>
      </c>
      <c r="M3839" s="7">
        <v>81.441999999999993</v>
      </c>
      <c r="N3839" s="4">
        <v>20</v>
      </c>
      <c r="O3839" s="5">
        <v>19.5</v>
      </c>
      <c r="P3839" s="2" t="s">
        <v>11986</v>
      </c>
      <c r="Q3839" s="6">
        <v>100</v>
      </c>
      <c r="R3839" s="6">
        <v>21</v>
      </c>
      <c r="S3839" s="5">
        <v>1.2</v>
      </c>
      <c r="T3839" s="7">
        <v>1.9830000000000001</v>
      </c>
      <c r="U3839" s="5">
        <v>14.2</v>
      </c>
      <c r="V3839" s="6">
        <v>0.89</v>
      </c>
      <c r="W3839" s="5">
        <v>20.5</v>
      </c>
      <c r="X3839" s="6">
        <v>20.75</v>
      </c>
      <c r="Y3839" s="5">
        <v>20.5</v>
      </c>
      <c r="Z3839" s="7">
        <v>19.625</v>
      </c>
      <c r="AA3839" s="6">
        <v>1.38</v>
      </c>
      <c r="AB3839" s="7">
        <v>18.350999999999999</v>
      </c>
      <c r="AC3839" s="2"/>
    </row>
    <row r="3840" spans="1:29" ht="117" x14ac:dyDescent="0.15">
      <c r="A3840" s="3">
        <f>DATE(1998,4,23)</f>
        <v>35908</v>
      </c>
      <c r="B3840" s="3">
        <f>DATE(1998,11,16)</f>
        <v>36115</v>
      </c>
      <c r="C3840" s="2" t="s">
        <v>95</v>
      </c>
      <c r="D3840" s="2" t="s">
        <v>11987</v>
      </c>
      <c r="E3840" s="2" t="s">
        <v>36</v>
      </c>
      <c r="F3840" s="4">
        <v>6021</v>
      </c>
      <c r="G3840" s="2" t="s">
        <v>37</v>
      </c>
      <c r="H3840" s="2" t="s">
        <v>34</v>
      </c>
      <c r="I3840" s="2" t="s">
        <v>11988</v>
      </c>
      <c r="J3840" s="2" t="s">
        <v>159</v>
      </c>
      <c r="K3840" s="2" t="s">
        <v>37</v>
      </c>
      <c r="L3840" s="2" t="s">
        <v>34</v>
      </c>
      <c r="M3840" s="7">
        <v>215.59200000000001</v>
      </c>
      <c r="N3840" s="4">
        <v>40</v>
      </c>
      <c r="O3840" s="4">
        <v>40</v>
      </c>
      <c r="P3840" s="2" t="s">
        <v>11989</v>
      </c>
      <c r="Q3840" s="6">
        <v>100</v>
      </c>
      <c r="R3840" s="6">
        <v>35.47</v>
      </c>
      <c r="S3840" s="5">
        <v>0.6</v>
      </c>
      <c r="T3840" s="6">
        <v>1.06</v>
      </c>
      <c r="U3840" s="5">
        <v>25.7</v>
      </c>
      <c r="V3840" s="6">
        <v>1.72</v>
      </c>
      <c r="W3840" s="6">
        <v>28.75</v>
      </c>
      <c r="X3840" s="5">
        <v>27.5</v>
      </c>
      <c r="Y3840" s="4">
        <v>30</v>
      </c>
      <c r="Z3840" s="4">
        <v>30</v>
      </c>
      <c r="AA3840" s="6">
        <v>0.32</v>
      </c>
      <c r="AB3840" s="7">
        <v>58.668999999999997</v>
      </c>
      <c r="AC3840" s="2"/>
    </row>
    <row r="3841" spans="1:29" ht="104" x14ac:dyDescent="0.15">
      <c r="A3841" s="3">
        <f>DATE(1998,4,23)</f>
        <v>35908</v>
      </c>
      <c r="B3841" s="3">
        <f>DATE(1998,7,31)</f>
        <v>36007</v>
      </c>
      <c r="C3841" s="2" t="s">
        <v>95</v>
      </c>
      <c r="D3841" s="2" t="s">
        <v>3385</v>
      </c>
      <c r="E3841" s="2" t="s">
        <v>9806</v>
      </c>
      <c r="F3841" s="4">
        <v>5812</v>
      </c>
      <c r="G3841" s="2" t="s">
        <v>230</v>
      </c>
      <c r="H3841" s="2" t="s">
        <v>34</v>
      </c>
      <c r="I3841" s="2" t="s">
        <v>11990</v>
      </c>
      <c r="J3841" s="2" t="s">
        <v>11991</v>
      </c>
      <c r="K3841" s="2" t="s">
        <v>230</v>
      </c>
      <c r="L3841" s="2" t="s">
        <v>34</v>
      </c>
      <c r="M3841" s="2"/>
      <c r="N3841" s="7">
        <v>12.813000000000001</v>
      </c>
      <c r="O3841" s="7">
        <v>13.563000000000001</v>
      </c>
      <c r="P3841" s="2" t="s">
        <v>11992</v>
      </c>
      <c r="Q3841" s="6">
        <v>100</v>
      </c>
      <c r="R3841" s="6">
        <v>5</v>
      </c>
      <c r="S3841" s="5">
        <v>2.7</v>
      </c>
      <c r="T3841" s="7">
        <v>14.439</v>
      </c>
      <c r="U3841" s="5">
        <v>4.4000000000000004</v>
      </c>
      <c r="V3841" s="6">
        <v>0.3</v>
      </c>
      <c r="W3841" s="7">
        <v>2.875</v>
      </c>
      <c r="X3841" s="7">
        <v>3.4380000000000002</v>
      </c>
      <c r="Y3841" s="7">
        <v>3.125</v>
      </c>
      <c r="Z3841" s="7">
        <v>3.125</v>
      </c>
      <c r="AA3841" s="6">
        <v>9.23</v>
      </c>
      <c r="AB3841" s="7">
        <v>11.409000000000001</v>
      </c>
      <c r="AC3841" s="2"/>
    </row>
    <row r="3842" spans="1:29" ht="39" x14ac:dyDescent="0.15">
      <c r="A3842" s="3">
        <f>DATE(1998,4,27)</f>
        <v>35912</v>
      </c>
      <c r="B3842" s="3">
        <f>DATE(1998,4,27)</f>
        <v>35912</v>
      </c>
      <c r="C3842" s="2" t="s">
        <v>95</v>
      </c>
      <c r="D3842" s="2" t="s">
        <v>11993</v>
      </c>
      <c r="E3842" s="2" t="s">
        <v>11994</v>
      </c>
      <c r="F3842" s="4">
        <v>5812</v>
      </c>
      <c r="G3842" s="2" t="s">
        <v>230</v>
      </c>
      <c r="H3842" s="2" t="s">
        <v>34</v>
      </c>
      <c r="I3842" s="2" t="s">
        <v>51</v>
      </c>
      <c r="J3842" s="2" t="s">
        <v>52</v>
      </c>
      <c r="K3842" s="2" t="s">
        <v>53</v>
      </c>
      <c r="L3842" s="2" t="s">
        <v>34</v>
      </c>
      <c r="M3842" s="2"/>
      <c r="N3842" s="2"/>
      <c r="O3842" s="2"/>
      <c r="P3842" s="2" t="s">
        <v>11995</v>
      </c>
      <c r="Q3842" s="6">
        <v>16.010000000000002</v>
      </c>
      <c r="R3842" s="2"/>
      <c r="S3842" s="5">
        <v>0.1</v>
      </c>
      <c r="T3842" s="7">
        <v>0.79600000000000004</v>
      </c>
      <c r="U3842" s="5">
        <v>0.5</v>
      </c>
      <c r="V3842" s="6">
        <v>0.01</v>
      </c>
      <c r="W3842" s="7">
        <v>1.3440000000000001</v>
      </c>
      <c r="X3842" s="7">
        <v>1.3129999999999999</v>
      </c>
      <c r="Y3842" s="5">
        <v>1.5</v>
      </c>
      <c r="Z3842" s="6">
        <v>1.75</v>
      </c>
      <c r="AA3842" s="6">
        <v>5.0199999999999996</v>
      </c>
      <c r="AB3842" s="2" t="s">
        <v>47</v>
      </c>
      <c r="AC3842" s="2"/>
    </row>
    <row r="3843" spans="1:29" ht="143" x14ac:dyDescent="0.15">
      <c r="A3843" s="3">
        <f>DATE(1998,4,27)</f>
        <v>35912</v>
      </c>
      <c r="B3843" s="3">
        <f>DATE(1998,7,27)</f>
        <v>36003</v>
      </c>
      <c r="C3843" s="2" t="s">
        <v>95</v>
      </c>
      <c r="D3843" s="2" t="s">
        <v>11996</v>
      </c>
      <c r="E3843" s="2" t="s">
        <v>11997</v>
      </c>
      <c r="F3843" s="4">
        <v>8351</v>
      </c>
      <c r="G3843" s="2" t="s">
        <v>690</v>
      </c>
      <c r="H3843" s="2" t="s">
        <v>34</v>
      </c>
      <c r="I3843" s="2" t="s">
        <v>11998</v>
      </c>
      <c r="J3843" s="2" t="s">
        <v>11999</v>
      </c>
      <c r="K3843" s="2" t="s">
        <v>690</v>
      </c>
      <c r="L3843" s="2" t="s">
        <v>34</v>
      </c>
      <c r="M3843" s="7">
        <v>144.43299999999999</v>
      </c>
      <c r="N3843" s="7">
        <v>27.375</v>
      </c>
      <c r="O3843" s="7">
        <v>28.625</v>
      </c>
      <c r="P3843" s="2" t="s">
        <v>12000</v>
      </c>
      <c r="Q3843" s="6">
        <v>100</v>
      </c>
      <c r="R3843" s="6">
        <v>23.69</v>
      </c>
      <c r="S3843" s="5">
        <v>2.4</v>
      </c>
      <c r="T3843" s="6">
        <v>2.83</v>
      </c>
      <c r="U3843" s="5">
        <v>4.5</v>
      </c>
      <c r="V3843" s="7">
        <v>0.51600000000000001</v>
      </c>
      <c r="W3843" s="5">
        <v>30.5</v>
      </c>
      <c r="X3843" s="7">
        <v>30.125</v>
      </c>
      <c r="Y3843" s="4">
        <v>26</v>
      </c>
      <c r="Z3843" s="9">
        <v>26.1875</v>
      </c>
      <c r="AA3843" s="6">
        <v>4.54</v>
      </c>
      <c r="AB3843" s="7">
        <v>55.884</v>
      </c>
      <c r="AC3843" s="6">
        <v>25.56</v>
      </c>
    </row>
    <row r="3844" spans="1:29" ht="130" x14ac:dyDescent="0.15">
      <c r="A3844" s="3">
        <f>DATE(1998,4,27)</f>
        <v>35912</v>
      </c>
      <c r="B3844" s="3">
        <f>DATE(1998,7,9)</f>
        <v>35985</v>
      </c>
      <c r="C3844" s="2" t="s">
        <v>95</v>
      </c>
      <c r="D3844" s="2" t="s">
        <v>12001</v>
      </c>
      <c r="E3844" s="2" t="s">
        <v>12002</v>
      </c>
      <c r="F3844" s="4">
        <v>3825</v>
      </c>
      <c r="G3844" s="2" t="s">
        <v>226</v>
      </c>
      <c r="H3844" s="2" t="s">
        <v>34</v>
      </c>
      <c r="I3844" s="2" t="s">
        <v>315</v>
      </c>
      <c r="J3844" s="2" t="s">
        <v>316</v>
      </c>
      <c r="K3844" s="2" t="s">
        <v>226</v>
      </c>
      <c r="L3844" s="2" t="s">
        <v>34</v>
      </c>
      <c r="M3844" s="12">
        <v>4358.7070000000003</v>
      </c>
      <c r="N3844" s="7">
        <v>69.563000000000002</v>
      </c>
      <c r="O3844" s="7">
        <v>70.375</v>
      </c>
      <c r="P3844" s="2" t="s">
        <v>12003</v>
      </c>
      <c r="Q3844" s="6">
        <v>100</v>
      </c>
      <c r="R3844" s="6">
        <v>37.5</v>
      </c>
      <c r="S3844" s="5">
        <v>27.7</v>
      </c>
      <c r="T3844" s="2"/>
      <c r="U3844" s="2"/>
      <c r="V3844" s="6">
        <v>1.47</v>
      </c>
      <c r="W3844" s="6">
        <v>23.25</v>
      </c>
      <c r="X3844" s="7">
        <v>23.187999999999999</v>
      </c>
      <c r="Y3844" s="7">
        <v>30.484000000000002</v>
      </c>
      <c r="Z3844" s="7">
        <v>30.905999999999999</v>
      </c>
      <c r="AA3844" s="6">
        <v>18.39</v>
      </c>
      <c r="AB3844" s="7">
        <v>16.923999999999999</v>
      </c>
      <c r="AC3844" s="6">
        <v>33.32</v>
      </c>
    </row>
    <row r="3845" spans="1:29" ht="91" x14ac:dyDescent="0.15">
      <c r="A3845" s="3">
        <f>DATE(1998,4,27)</f>
        <v>35912</v>
      </c>
      <c r="B3845" s="3">
        <f>DATE(1998,8,30)</f>
        <v>36037</v>
      </c>
      <c r="C3845" s="2" t="s">
        <v>95</v>
      </c>
      <c r="D3845" s="2" t="s">
        <v>9590</v>
      </c>
      <c r="E3845" s="2" t="s">
        <v>9591</v>
      </c>
      <c r="F3845" s="4">
        <v>8099</v>
      </c>
      <c r="G3845" s="2" t="s">
        <v>454</v>
      </c>
      <c r="H3845" s="2" t="s">
        <v>34</v>
      </c>
      <c r="I3845" s="2" t="s">
        <v>8223</v>
      </c>
      <c r="J3845" s="2" t="s">
        <v>8224</v>
      </c>
      <c r="K3845" s="2" t="s">
        <v>454</v>
      </c>
      <c r="L3845" s="2" t="s">
        <v>34</v>
      </c>
      <c r="M3845" s="7">
        <v>972.82399999999996</v>
      </c>
      <c r="N3845" s="7">
        <v>24.812999999999999</v>
      </c>
      <c r="O3845" s="7">
        <v>25.562999999999999</v>
      </c>
      <c r="P3845" s="2" t="s">
        <v>12004</v>
      </c>
      <c r="Q3845" s="6">
        <v>100</v>
      </c>
      <c r="R3845" s="6">
        <v>22.5</v>
      </c>
      <c r="S3845" s="5">
        <v>18.3</v>
      </c>
      <c r="T3845" s="7">
        <v>42.636000000000003</v>
      </c>
      <c r="U3845" s="5">
        <v>13.7</v>
      </c>
      <c r="V3845" s="6">
        <v>1.03</v>
      </c>
      <c r="W3845" s="7">
        <v>20.062999999999999</v>
      </c>
      <c r="X3845" s="7">
        <v>19.812999999999999</v>
      </c>
      <c r="Y3845" s="5">
        <v>21.5</v>
      </c>
      <c r="Z3845" s="7">
        <v>21.375</v>
      </c>
      <c r="AA3845" s="6">
        <v>26.13</v>
      </c>
      <c r="AB3845" s="7">
        <v>20.702000000000002</v>
      </c>
      <c r="AC3845" s="6">
        <v>26.38</v>
      </c>
    </row>
    <row r="3846" spans="1:29" ht="104" x14ac:dyDescent="0.15">
      <c r="A3846" s="3">
        <f>DATE(1998,4,27)</f>
        <v>35912</v>
      </c>
      <c r="B3846" s="3">
        <f>DATE(1998,6,1)</f>
        <v>35947</v>
      </c>
      <c r="C3846" s="2" t="s">
        <v>95</v>
      </c>
      <c r="D3846" s="2" t="s">
        <v>12005</v>
      </c>
      <c r="E3846" s="2" t="s">
        <v>11176</v>
      </c>
      <c r="F3846" s="4">
        <v>3669</v>
      </c>
      <c r="G3846" s="2" t="s">
        <v>921</v>
      </c>
      <c r="H3846" s="2" t="s">
        <v>34</v>
      </c>
      <c r="I3846" s="2" t="s">
        <v>8437</v>
      </c>
      <c r="J3846" s="2" t="s">
        <v>6519</v>
      </c>
      <c r="K3846" s="2" t="s">
        <v>63</v>
      </c>
      <c r="L3846" s="2" t="s">
        <v>34</v>
      </c>
      <c r="M3846" s="12">
        <v>40745.612999999998</v>
      </c>
      <c r="N3846" s="7">
        <v>71.938000000000002</v>
      </c>
      <c r="O3846" s="7">
        <v>72.375</v>
      </c>
      <c r="P3846" s="2" t="s">
        <v>12006</v>
      </c>
      <c r="Q3846" s="6">
        <v>100</v>
      </c>
      <c r="R3846" s="6">
        <v>35</v>
      </c>
      <c r="S3846" s="5">
        <v>6.1</v>
      </c>
      <c r="T3846" s="7">
        <v>9.7609999999999992</v>
      </c>
      <c r="U3846" s="5">
        <v>2.6</v>
      </c>
      <c r="V3846" s="6">
        <v>0.23</v>
      </c>
      <c r="W3846" s="7">
        <v>29.812999999999999</v>
      </c>
      <c r="X3846" s="5">
        <v>31.5</v>
      </c>
      <c r="Y3846" s="6">
        <v>34.75</v>
      </c>
      <c r="Z3846" s="6">
        <v>34.75</v>
      </c>
      <c r="AA3846" s="6">
        <v>25.45</v>
      </c>
      <c r="AB3846" s="7">
        <v>116.705</v>
      </c>
      <c r="AC3846" s="8">
        <v>1350</v>
      </c>
    </row>
    <row r="3847" spans="1:29" ht="39" x14ac:dyDescent="0.15">
      <c r="A3847" s="3">
        <f>DATE(1998,4,28)</f>
        <v>35913</v>
      </c>
      <c r="B3847" s="2"/>
      <c r="C3847" s="2" t="s">
        <v>87</v>
      </c>
      <c r="D3847" s="2" t="s">
        <v>368</v>
      </c>
      <c r="E3847" s="2" t="s">
        <v>369</v>
      </c>
      <c r="F3847" s="4">
        <v>6141</v>
      </c>
      <c r="G3847" s="2" t="s">
        <v>370</v>
      </c>
      <c r="H3847" s="2" t="s">
        <v>34</v>
      </c>
      <c r="I3847" s="2" t="s">
        <v>830</v>
      </c>
      <c r="J3847" s="2" t="s">
        <v>831</v>
      </c>
      <c r="K3847" s="2" t="s">
        <v>125</v>
      </c>
      <c r="L3847" s="2" t="s">
        <v>34</v>
      </c>
      <c r="M3847" s="12">
        <v>88083.337</v>
      </c>
      <c r="N3847" s="5">
        <v>127.5</v>
      </c>
      <c r="O3847" s="7">
        <v>128.56299999999999</v>
      </c>
      <c r="P3847" s="2" t="s">
        <v>12007</v>
      </c>
      <c r="Q3847" s="2"/>
      <c r="R3847" s="2"/>
      <c r="S3847" s="8">
        <v>1991</v>
      </c>
      <c r="T3847" s="8">
        <v>2937</v>
      </c>
      <c r="U3847" s="5">
        <v>6</v>
      </c>
      <c r="V3847" s="9">
        <v>1.2108000000000001</v>
      </c>
      <c r="W3847" s="4">
        <v>103</v>
      </c>
      <c r="X3847" s="7">
        <v>101.625</v>
      </c>
      <c r="Y3847" s="7">
        <v>101.125</v>
      </c>
      <c r="Z3847" s="7">
        <v>101.375</v>
      </c>
      <c r="AA3847" s="2"/>
      <c r="AB3847" s="2" t="s">
        <v>47</v>
      </c>
      <c r="AC3847" s="6">
        <v>86.92</v>
      </c>
    </row>
    <row r="3848" spans="1:29" ht="91" x14ac:dyDescent="0.15">
      <c r="A3848" s="3">
        <f>DATE(1998,4,28)</f>
        <v>35913</v>
      </c>
      <c r="B3848" s="3">
        <f>DATE(1998,7,20)</f>
        <v>35996</v>
      </c>
      <c r="C3848" s="2" t="s">
        <v>95</v>
      </c>
      <c r="D3848" s="2" t="s">
        <v>12008</v>
      </c>
      <c r="E3848" s="2" t="s">
        <v>12009</v>
      </c>
      <c r="F3848" s="4">
        <v>3559</v>
      </c>
      <c r="G3848" s="2" t="s">
        <v>300</v>
      </c>
      <c r="H3848" s="2" t="s">
        <v>34</v>
      </c>
      <c r="I3848" s="2" t="s">
        <v>12010</v>
      </c>
      <c r="J3848" s="2" t="s">
        <v>12011</v>
      </c>
      <c r="K3848" s="2" t="s">
        <v>163</v>
      </c>
      <c r="L3848" s="2" t="s">
        <v>34</v>
      </c>
      <c r="M3848" s="12">
        <v>2737.7359999999999</v>
      </c>
      <c r="N3848" s="7">
        <v>42.188000000000002</v>
      </c>
      <c r="O3848" s="7">
        <v>42.375</v>
      </c>
      <c r="P3848" s="2" t="s">
        <v>12012</v>
      </c>
      <c r="Q3848" s="6">
        <v>100</v>
      </c>
      <c r="R3848" s="6">
        <v>12.6</v>
      </c>
      <c r="S3848" s="5">
        <v>1.3</v>
      </c>
      <c r="T3848" s="7">
        <v>2.6459999999999999</v>
      </c>
      <c r="U3848" s="5">
        <v>8</v>
      </c>
      <c r="V3848" s="6">
        <v>0.42</v>
      </c>
      <c r="W3848" s="7">
        <v>7.625</v>
      </c>
      <c r="X3848" s="6">
        <v>8.25</v>
      </c>
      <c r="Y3848" s="7">
        <v>12.375</v>
      </c>
      <c r="Z3848" s="5">
        <v>12.5</v>
      </c>
      <c r="AA3848" s="6">
        <v>2.91</v>
      </c>
      <c r="AB3848" s="7">
        <v>16.093</v>
      </c>
      <c r="AC3848" s="6">
        <v>25.68</v>
      </c>
    </row>
    <row r="3849" spans="1:29" ht="65" x14ac:dyDescent="0.15">
      <c r="A3849" s="3">
        <f>DATE(1998,4,28)</f>
        <v>35913</v>
      </c>
      <c r="B3849" s="2"/>
      <c r="C3849" s="2" t="s">
        <v>7330</v>
      </c>
      <c r="D3849" s="2" t="s">
        <v>8493</v>
      </c>
      <c r="E3849" s="2" t="s">
        <v>3476</v>
      </c>
      <c r="F3849" s="4">
        <v>4899</v>
      </c>
      <c r="G3849" s="2" t="s">
        <v>63</v>
      </c>
      <c r="H3849" s="2" t="s">
        <v>34</v>
      </c>
      <c r="I3849" s="2" t="s">
        <v>12013</v>
      </c>
      <c r="J3849" s="2" t="s">
        <v>12014</v>
      </c>
      <c r="K3849" s="2" t="s">
        <v>45</v>
      </c>
      <c r="L3849" s="2" t="s">
        <v>34</v>
      </c>
      <c r="M3849" s="2"/>
      <c r="N3849" s="2"/>
      <c r="O3849" s="2"/>
      <c r="P3849" s="2" t="s">
        <v>12015</v>
      </c>
      <c r="Q3849" s="2"/>
      <c r="R3849" s="2"/>
      <c r="S3849" s="5">
        <v>-14.7</v>
      </c>
      <c r="T3849" s="7">
        <v>-11.907</v>
      </c>
      <c r="U3849" s="5">
        <v>-0.3</v>
      </c>
      <c r="V3849" s="7">
        <v>-0.247</v>
      </c>
      <c r="W3849" s="6">
        <v>7.75</v>
      </c>
      <c r="X3849" s="7">
        <v>8.125</v>
      </c>
      <c r="Y3849" s="11">
        <v>7.96875</v>
      </c>
      <c r="Z3849" s="9">
        <v>8.6875</v>
      </c>
      <c r="AA3849" s="6">
        <v>18.239999999999998</v>
      </c>
      <c r="AB3849" s="2" t="s">
        <v>86</v>
      </c>
      <c r="AC3849" s="2"/>
    </row>
    <row r="3850" spans="1:29" ht="104" x14ac:dyDescent="0.15">
      <c r="A3850" s="3">
        <f>DATE(1998,4,29)</f>
        <v>35914</v>
      </c>
      <c r="B3850" s="3">
        <f>DATE(1998,9,25)</f>
        <v>36063</v>
      </c>
      <c r="C3850" s="2" t="s">
        <v>95</v>
      </c>
      <c r="D3850" s="2" t="s">
        <v>12016</v>
      </c>
      <c r="E3850" s="2" t="s">
        <v>781</v>
      </c>
      <c r="F3850" s="4">
        <v>7372</v>
      </c>
      <c r="G3850" s="2" t="s">
        <v>551</v>
      </c>
      <c r="H3850" s="2" t="s">
        <v>34</v>
      </c>
      <c r="I3850" s="2" t="s">
        <v>12017</v>
      </c>
      <c r="J3850" s="2" t="s">
        <v>12018</v>
      </c>
      <c r="K3850" s="2" t="s">
        <v>223</v>
      </c>
      <c r="L3850" s="2" t="s">
        <v>34</v>
      </c>
      <c r="M3850" s="7">
        <v>24.164000000000001</v>
      </c>
      <c r="N3850" s="6">
        <v>12.25</v>
      </c>
      <c r="O3850" s="9">
        <v>11.3125</v>
      </c>
      <c r="P3850" s="2" t="s">
        <v>12019</v>
      </c>
      <c r="Q3850" s="6">
        <v>21.67</v>
      </c>
      <c r="R3850" s="6">
        <v>13.73</v>
      </c>
      <c r="S3850" s="5">
        <v>1.2</v>
      </c>
      <c r="T3850" s="7">
        <v>11.109</v>
      </c>
      <c r="U3850" s="5">
        <v>2.2999999999999998</v>
      </c>
      <c r="V3850" s="9">
        <v>9.6699999999999994E-2</v>
      </c>
      <c r="W3850" s="5">
        <v>7.5</v>
      </c>
      <c r="X3850" s="4">
        <v>8</v>
      </c>
      <c r="Y3850" s="6">
        <v>12.25</v>
      </c>
      <c r="Z3850" s="7">
        <v>11.313000000000001</v>
      </c>
      <c r="AA3850" s="6">
        <v>4.29</v>
      </c>
      <c r="AB3850" s="7">
        <v>53.017000000000003</v>
      </c>
      <c r="AC3850" s="2"/>
    </row>
    <row r="3851" spans="1:29" ht="52" x14ac:dyDescent="0.15">
      <c r="A3851" s="3">
        <f>DATE(1998,4,29)</f>
        <v>35914</v>
      </c>
      <c r="B3851" s="3">
        <f>DATE(1998,9,30)</f>
        <v>36068</v>
      </c>
      <c r="C3851" s="2" t="s">
        <v>95</v>
      </c>
      <c r="D3851" s="2" t="s">
        <v>12020</v>
      </c>
      <c r="E3851" s="2" t="s">
        <v>12021</v>
      </c>
      <c r="F3851" s="4">
        <v>3841</v>
      </c>
      <c r="G3851" s="2" t="s">
        <v>226</v>
      </c>
      <c r="H3851" s="2" t="s">
        <v>34</v>
      </c>
      <c r="I3851" s="2" t="s">
        <v>12022</v>
      </c>
      <c r="J3851" s="2" t="s">
        <v>12023</v>
      </c>
      <c r="K3851" s="2" t="s">
        <v>223</v>
      </c>
      <c r="L3851" s="2" t="s">
        <v>303</v>
      </c>
      <c r="M3851" s="7">
        <v>79.602999999999994</v>
      </c>
      <c r="N3851" s="7">
        <v>0.55100000000000005</v>
      </c>
      <c r="O3851" s="7">
        <v>0.60099999999999998</v>
      </c>
      <c r="P3851" s="2" t="s">
        <v>12024</v>
      </c>
      <c r="Q3851" s="6">
        <v>100</v>
      </c>
      <c r="R3851" s="6">
        <v>4</v>
      </c>
      <c r="S3851" s="5">
        <v>0.6</v>
      </c>
      <c r="T3851" s="7">
        <v>1.1990000000000001</v>
      </c>
      <c r="U3851" s="5">
        <v>2.9</v>
      </c>
      <c r="V3851" s="7">
        <v>0.17799999999999999</v>
      </c>
      <c r="W3851" s="7">
        <v>2.875</v>
      </c>
      <c r="X3851" s="7">
        <v>2.625</v>
      </c>
      <c r="Y3851" s="7">
        <v>2.8130000000000002</v>
      </c>
      <c r="Z3851" s="6">
        <v>3.25</v>
      </c>
      <c r="AA3851" s="6">
        <v>3.09</v>
      </c>
      <c r="AB3851" s="7">
        <v>24.786000000000001</v>
      </c>
      <c r="AC3851" s="6">
        <v>4.54</v>
      </c>
    </row>
    <row r="3852" spans="1:29" ht="104" x14ac:dyDescent="0.15">
      <c r="A3852" s="3">
        <f>DATE(1998,4,29)</f>
        <v>35914</v>
      </c>
      <c r="B3852" s="3">
        <f>DATE(1998,8,14)</f>
        <v>36021</v>
      </c>
      <c r="C3852" s="2" t="s">
        <v>95</v>
      </c>
      <c r="D3852" s="2" t="s">
        <v>12025</v>
      </c>
      <c r="E3852" s="2" t="s">
        <v>12026</v>
      </c>
      <c r="F3852" s="4">
        <v>2836</v>
      </c>
      <c r="G3852" s="2" t="s">
        <v>130</v>
      </c>
      <c r="H3852" s="2" t="s">
        <v>34</v>
      </c>
      <c r="I3852" s="2" t="s">
        <v>7644</v>
      </c>
      <c r="J3852" s="2" t="s">
        <v>540</v>
      </c>
      <c r="K3852" s="2" t="s">
        <v>130</v>
      </c>
      <c r="L3852" s="2" t="s">
        <v>7645</v>
      </c>
      <c r="M3852" s="2"/>
      <c r="N3852" s="2"/>
      <c r="O3852" s="2"/>
      <c r="P3852" s="2" t="s">
        <v>12027</v>
      </c>
      <c r="Q3852" s="6">
        <v>100</v>
      </c>
      <c r="R3852" s="6">
        <v>32.700000000000003</v>
      </c>
      <c r="S3852" s="5">
        <v>-31.9</v>
      </c>
      <c r="T3852" s="6">
        <v>-35.08</v>
      </c>
      <c r="U3852" s="5">
        <v>2.2000000000000002</v>
      </c>
      <c r="V3852" s="6">
        <v>-1.44</v>
      </c>
      <c r="W3852" s="6">
        <v>22.28</v>
      </c>
      <c r="X3852" s="6">
        <v>19.75</v>
      </c>
      <c r="Y3852" s="7">
        <v>28.437999999999999</v>
      </c>
      <c r="Z3852" s="7">
        <v>29.937999999999999</v>
      </c>
      <c r="AA3852" s="6">
        <v>22.35</v>
      </c>
      <c r="AB3852" s="2" t="s">
        <v>86</v>
      </c>
      <c r="AC3852" s="6">
        <v>480.85</v>
      </c>
    </row>
    <row r="3853" spans="1:29" ht="169" x14ac:dyDescent="0.15">
      <c r="A3853" s="3">
        <f>DATE(1998,4,30)</f>
        <v>35915</v>
      </c>
      <c r="B3853" s="3">
        <f>DATE(1999,7,28)</f>
        <v>36369</v>
      </c>
      <c r="C3853" s="2" t="s">
        <v>95</v>
      </c>
      <c r="D3853" s="2" t="s">
        <v>5026</v>
      </c>
      <c r="E3853" s="2" t="s">
        <v>441</v>
      </c>
      <c r="F3853" s="4">
        <v>4931</v>
      </c>
      <c r="G3853" s="2" t="s">
        <v>439</v>
      </c>
      <c r="H3853" s="2" t="s">
        <v>34</v>
      </c>
      <c r="I3853" s="2" t="s">
        <v>12028</v>
      </c>
      <c r="J3853" s="2" t="s">
        <v>1888</v>
      </c>
      <c r="K3853" s="2" t="s">
        <v>439</v>
      </c>
      <c r="L3853" s="2" t="s">
        <v>34</v>
      </c>
      <c r="M3853" s="10">
        <v>1355.97</v>
      </c>
      <c r="N3853" s="7">
        <v>24.562999999999999</v>
      </c>
      <c r="O3853" s="7">
        <v>24.437999999999999</v>
      </c>
      <c r="P3853" s="2" t="s">
        <v>12029</v>
      </c>
      <c r="Q3853" s="6">
        <v>100</v>
      </c>
      <c r="R3853" s="6">
        <v>34.92</v>
      </c>
      <c r="S3853" s="5">
        <v>84.1</v>
      </c>
      <c r="T3853" s="7">
        <v>221.411</v>
      </c>
      <c r="U3853" s="5">
        <v>20.5</v>
      </c>
      <c r="V3853" s="6">
        <v>2.4</v>
      </c>
      <c r="W3853" s="4">
        <v>35</v>
      </c>
      <c r="X3853" s="7">
        <v>34.438000000000002</v>
      </c>
      <c r="Y3853" s="4">
        <v>35</v>
      </c>
      <c r="Z3853" s="7">
        <v>34.875</v>
      </c>
      <c r="AA3853" s="6">
        <v>30.94</v>
      </c>
      <c r="AB3853" s="7">
        <v>12.117000000000001</v>
      </c>
      <c r="AC3853" s="6">
        <v>0.72</v>
      </c>
    </row>
    <row r="3854" spans="1:29" ht="78" x14ac:dyDescent="0.15">
      <c r="A3854" s="3">
        <f>DATE(1998,5,1)</f>
        <v>35916</v>
      </c>
      <c r="B3854" s="2"/>
      <c r="C3854" s="2" t="s">
        <v>30</v>
      </c>
      <c r="D3854" s="2" t="s">
        <v>12030</v>
      </c>
      <c r="E3854" s="2" t="s">
        <v>3900</v>
      </c>
      <c r="F3854" s="4">
        <v>5812</v>
      </c>
      <c r="G3854" s="2" t="s">
        <v>230</v>
      </c>
      <c r="H3854" s="2" t="s">
        <v>34</v>
      </c>
      <c r="I3854" s="2" t="s">
        <v>12031</v>
      </c>
      <c r="J3854" s="2" t="s">
        <v>2195</v>
      </c>
      <c r="K3854" s="2" t="s">
        <v>76</v>
      </c>
      <c r="L3854" s="2" t="s">
        <v>34</v>
      </c>
      <c r="M3854" s="2"/>
      <c r="N3854" s="7">
        <v>2.9380000000000002</v>
      </c>
      <c r="O3854" s="7">
        <v>2.875</v>
      </c>
      <c r="P3854" s="2" t="s">
        <v>12032</v>
      </c>
      <c r="Q3854" s="2"/>
      <c r="R3854" s="6">
        <v>4.9000000000000004</v>
      </c>
      <c r="S3854" s="5">
        <v>-21</v>
      </c>
      <c r="T3854" s="7">
        <v>19.646999999999998</v>
      </c>
      <c r="U3854" s="5">
        <v>0.1</v>
      </c>
      <c r="V3854" s="6">
        <v>-1.56</v>
      </c>
      <c r="W3854" s="6">
        <v>2.75</v>
      </c>
      <c r="X3854" s="6">
        <v>3.25</v>
      </c>
      <c r="Y3854" s="7">
        <v>3.375</v>
      </c>
      <c r="Z3854" s="7">
        <v>3.375</v>
      </c>
      <c r="AA3854" s="6">
        <v>13.45</v>
      </c>
      <c r="AB3854" s="7">
        <v>19.626000000000001</v>
      </c>
      <c r="AC3854" s="2"/>
    </row>
    <row r="3855" spans="1:29" ht="104" x14ac:dyDescent="0.15">
      <c r="A3855" s="3">
        <f>DATE(1998,5,1)</f>
        <v>35916</v>
      </c>
      <c r="B3855" s="3">
        <f>DATE(1998,6,26)</f>
        <v>35972</v>
      </c>
      <c r="C3855" s="2" t="s">
        <v>95</v>
      </c>
      <c r="D3855" s="2" t="s">
        <v>12033</v>
      </c>
      <c r="E3855" s="2" t="s">
        <v>12034</v>
      </c>
      <c r="F3855" s="4">
        <v>7375</v>
      </c>
      <c r="G3855" s="2" t="s">
        <v>223</v>
      </c>
      <c r="H3855" s="2" t="s">
        <v>34</v>
      </c>
      <c r="I3855" s="2" t="s">
        <v>51</v>
      </c>
      <c r="J3855" s="2" t="s">
        <v>52</v>
      </c>
      <c r="K3855" s="2" t="s">
        <v>53</v>
      </c>
      <c r="L3855" s="2" t="s">
        <v>34</v>
      </c>
      <c r="M3855" s="2"/>
      <c r="N3855" s="2"/>
      <c r="O3855" s="2"/>
      <c r="P3855" s="2" t="s">
        <v>12035</v>
      </c>
      <c r="Q3855" s="6">
        <v>91.84</v>
      </c>
      <c r="R3855" s="6">
        <v>0.6</v>
      </c>
      <c r="S3855" s="5">
        <v>-15.9</v>
      </c>
      <c r="T3855" s="7">
        <v>-15.308999999999999</v>
      </c>
      <c r="U3855" s="5">
        <v>-0.6</v>
      </c>
      <c r="V3855" s="6">
        <v>-1.94</v>
      </c>
      <c r="W3855" s="7">
        <v>0.78100000000000003</v>
      </c>
      <c r="X3855" s="6">
        <v>1.75</v>
      </c>
      <c r="Y3855" s="7">
        <v>0.81299999999999994</v>
      </c>
      <c r="Z3855" s="7">
        <v>0.65600000000000003</v>
      </c>
      <c r="AA3855" s="6">
        <v>10.89</v>
      </c>
      <c r="AB3855" s="2" t="s">
        <v>86</v>
      </c>
      <c r="AC3855" s="2"/>
    </row>
    <row r="3856" spans="1:29" ht="52" x14ac:dyDescent="0.15">
      <c r="A3856" s="3">
        <f t="shared" ref="A3856:A3863" si="66">DATE(1998,5,4)</f>
        <v>35919</v>
      </c>
      <c r="B3856" s="2"/>
      <c r="C3856" s="2" t="s">
        <v>87</v>
      </c>
      <c r="D3856" s="2" t="s">
        <v>12036</v>
      </c>
      <c r="E3856" s="2" t="s">
        <v>36</v>
      </c>
      <c r="F3856" s="4">
        <v>6021</v>
      </c>
      <c r="G3856" s="2" t="s">
        <v>37</v>
      </c>
      <c r="H3856" s="2" t="s">
        <v>34</v>
      </c>
      <c r="I3856" s="2" t="s">
        <v>4293</v>
      </c>
      <c r="J3856" s="2" t="s">
        <v>36</v>
      </c>
      <c r="K3856" s="2" t="s">
        <v>37</v>
      </c>
      <c r="L3856" s="2" t="s">
        <v>34</v>
      </c>
      <c r="M3856" s="12">
        <v>21597.132000000001</v>
      </c>
      <c r="N3856" s="4">
        <v>87</v>
      </c>
      <c r="O3856" s="7">
        <v>84.375</v>
      </c>
      <c r="P3856" s="2" t="s">
        <v>12037</v>
      </c>
      <c r="Q3856" s="2"/>
      <c r="R3856" s="2"/>
      <c r="S3856" s="5">
        <v>879</v>
      </c>
      <c r="T3856" s="8">
        <v>1524</v>
      </c>
      <c r="U3856" s="5">
        <v>14.9</v>
      </c>
      <c r="V3856" s="7">
        <v>2.8250000000000002</v>
      </c>
      <c r="W3856" s="5">
        <v>104.5</v>
      </c>
      <c r="X3856" s="7">
        <v>110.875</v>
      </c>
      <c r="Y3856" s="7">
        <v>109.375</v>
      </c>
      <c r="Z3856" s="9">
        <v>108.0625</v>
      </c>
      <c r="AA3856" s="6">
        <v>145.28</v>
      </c>
      <c r="AB3856" s="2" t="s">
        <v>47</v>
      </c>
      <c r="AC3856" s="2"/>
    </row>
    <row r="3857" spans="1:29" ht="117" x14ac:dyDescent="0.15">
      <c r="A3857" s="3">
        <f t="shared" si="66"/>
        <v>35919</v>
      </c>
      <c r="B3857" s="3">
        <f>DATE(1998,7,9)</f>
        <v>35985</v>
      </c>
      <c r="C3857" s="2" t="s">
        <v>95</v>
      </c>
      <c r="D3857" s="2" t="s">
        <v>6914</v>
      </c>
      <c r="E3857" s="2" t="s">
        <v>6915</v>
      </c>
      <c r="F3857" s="4">
        <v>3714</v>
      </c>
      <c r="G3857" s="2" t="s">
        <v>105</v>
      </c>
      <c r="H3857" s="2" t="s">
        <v>34</v>
      </c>
      <c r="I3857" s="2" t="s">
        <v>12038</v>
      </c>
      <c r="J3857" s="2" t="s">
        <v>3336</v>
      </c>
      <c r="K3857" s="2" t="s">
        <v>105</v>
      </c>
      <c r="L3857" s="2" t="s">
        <v>34</v>
      </c>
      <c r="M3857" s="12">
        <v>6247.6419999999998</v>
      </c>
      <c r="N3857" s="7">
        <v>56.125</v>
      </c>
      <c r="O3857" s="7">
        <v>55.625</v>
      </c>
      <c r="P3857" s="2" t="s">
        <v>12039</v>
      </c>
      <c r="Q3857" s="6">
        <v>100</v>
      </c>
      <c r="R3857" s="6">
        <v>55</v>
      </c>
      <c r="S3857" s="5">
        <v>142.19999999999999</v>
      </c>
      <c r="T3857" s="7">
        <v>335.97399999999999</v>
      </c>
      <c r="U3857" s="5">
        <v>16.3</v>
      </c>
      <c r="V3857" s="6">
        <v>2.2999999999999998</v>
      </c>
      <c r="W3857" s="7">
        <v>30.125</v>
      </c>
      <c r="X3857" s="6">
        <v>30.25</v>
      </c>
      <c r="Y3857" s="4">
        <v>30</v>
      </c>
      <c r="Z3857" s="4">
        <v>30</v>
      </c>
      <c r="AA3857" s="6">
        <v>63.59</v>
      </c>
      <c r="AB3857" s="7">
        <v>16.096</v>
      </c>
      <c r="AC3857" s="5">
        <v>394.3</v>
      </c>
    </row>
    <row r="3858" spans="1:29" ht="143" x14ac:dyDescent="0.15">
      <c r="A3858" s="3">
        <f t="shared" si="66"/>
        <v>35919</v>
      </c>
      <c r="B3858" s="3">
        <f>DATE(1998,10,26)</f>
        <v>36094</v>
      </c>
      <c r="C3858" s="2" t="s">
        <v>95</v>
      </c>
      <c r="D3858" s="2" t="s">
        <v>12040</v>
      </c>
      <c r="E3858" s="2" t="s">
        <v>12041</v>
      </c>
      <c r="F3858" s="4">
        <v>3674</v>
      </c>
      <c r="G3858" s="2" t="s">
        <v>137</v>
      </c>
      <c r="H3858" s="2" t="s">
        <v>34</v>
      </c>
      <c r="I3858" s="2" t="s">
        <v>12042</v>
      </c>
      <c r="J3858" s="2" t="s">
        <v>12043</v>
      </c>
      <c r="K3858" s="2" t="s">
        <v>137</v>
      </c>
      <c r="L3858" s="2" t="s">
        <v>34</v>
      </c>
      <c r="M3858" s="7">
        <v>14.603999999999999</v>
      </c>
      <c r="N3858" s="7">
        <v>2.3130000000000002</v>
      </c>
      <c r="O3858" s="6">
        <v>2.25</v>
      </c>
      <c r="P3858" s="2" t="s">
        <v>12044</v>
      </c>
      <c r="Q3858" s="6">
        <v>100</v>
      </c>
      <c r="R3858" s="6">
        <v>1.83</v>
      </c>
      <c r="S3858" s="5">
        <v>1.4</v>
      </c>
      <c r="T3858" s="7">
        <v>2.762</v>
      </c>
      <c r="U3858" s="5">
        <v>1.7</v>
      </c>
      <c r="V3858" s="7">
        <v>4.5999999999999999E-2</v>
      </c>
      <c r="W3858" s="11">
        <v>2.34375</v>
      </c>
      <c r="X3858" s="4">
        <v>3</v>
      </c>
      <c r="Y3858" s="4">
        <v>3</v>
      </c>
      <c r="Z3858" s="7">
        <v>2.625</v>
      </c>
      <c r="AA3858" s="6">
        <v>7.05</v>
      </c>
      <c r="AB3858" s="7">
        <v>9.17</v>
      </c>
      <c r="AC3858" s="6">
        <v>1.22</v>
      </c>
    </row>
    <row r="3859" spans="1:29" ht="104" x14ac:dyDescent="0.15">
      <c r="A3859" s="3">
        <f t="shared" si="66"/>
        <v>35919</v>
      </c>
      <c r="B3859" s="3">
        <f>DATE(1998,6,10)</f>
        <v>35956</v>
      </c>
      <c r="C3859" s="2" t="s">
        <v>95</v>
      </c>
      <c r="D3859" s="2" t="s">
        <v>1056</v>
      </c>
      <c r="E3859" s="2" t="s">
        <v>1057</v>
      </c>
      <c r="F3859" s="4">
        <v>2325</v>
      </c>
      <c r="G3859" s="2" t="s">
        <v>708</v>
      </c>
      <c r="H3859" s="2" t="s">
        <v>34</v>
      </c>
      <c r="I3859" s="2" t="s">
        <v>12045</v>
      </c>
      <c r="J3859" s="2" t="s">
        <v>12046</v>
      </c>
      <c r="K3859" s="2" t="s">
        <v>708</v>
      </c>
      <c r="L3859" s="2" t="s">
        <v>34</v>
      </c>
      <c r="M3859" s="6">
        <v>103.55</v>
      </c>
      <c r="N3859" s="5">
        <v>17.5</v>
      </c>
      <c r="O3859" s="7">
        <v>17.687999999999999</v>
      </c>
      <c r="P3859" s="2" t="s">
        <v>12047</v>
      </c>
      <c r="Q3859" s="6">
        <v>100</v>
      </c>
      <c r="R3859" s="6">
        <v>9</v>
      </c>
      <c r="S3859" s="5">
        <v>0.3</v>
      </c>
      <c r="T3859" s="7">
        <v>13.167999999999999</v>
      </c>
      <c r="U3859" s="5">
        <v>8</v>
      </c>
      <c r="V3859" s="6">
        <v>0.03</v>
      </c>
      <c r="W3859" s="6">
        <v>6.25</v>
      </c>
      <c r="X3859" s="6">
        <v>6.75</v>
      </c>
      <c r="Y3859" s="7">
        <v>8.8130000000000006</v>
      </c>
      <c r="Z3859" s="7">
        <v>8.8130000000000006</v>
      </c>
      <c r="AA3859" s="6">
        <v>10.32</v>
      </c>
      <c r="AB3859" s="7">
        <v>19.414000000000001</v>
      </c>
      <c r="AC3859" s="6">
        <v>0.12</v>
      </c>
    </row>
    <row r="3860" spans="1:29" ht="26" x14ac:dyDescent="0.15">
      <c r="A3860" s="3">
        <f t="shared" si="66"/>
        <v>35919</v>
      </c>
      <c r="B3860" s="2"/>
      <c r="C3860" s="2" t="s">
        <v>30</v>
      </c>
      <c r="D3860" s="2" t="s">
        <v>8360</v>
      </c>
      <c r="E3860" s="2" t="s">
        <v>438</v>
      </c>
      <c r="F3860" s="4">
        <v>4911</v>
      </c>
      <c r="G3860" s="2" t="s">
        <v>439</v>
      </c>
      <c r="H3860" s="2" t="s">
        <v>34</v>
      </c>
      <c r="I3860" s="2" t="s">
        <v>12048</v>
      </c>
      <c r="J3860" s="2" t="s">
        <v>1888</v>
      </c>
      <c r="K3860" s="2" t="s">
        <v>439</v>
      </c>
      <c r="L3860" s="2" t="s">
        <v>303</v>
      </c>
      <c r="M3860" s="2"/>
      <c r="N3860" s="2"/>
      <c r="O3860" s="2"/>
      <c r="P3860" s="2" t="s">
        <v>12049</v>
      </c>
      <c r="Q3860" s="2"/>
      <c r="R3860" s="2"/>
      <c r="S3860" s="5">
        <v>330.3</v>
      </c>
      <c r="T3860" s="12">
        <v>1914.0309999999999</v>
      </c>
      <c r="U3860" s="5">
        <v>16.100000000000001</v>
      </c>
      <c r="V3860" s="7">
        <v>1.294</v>
      </c>
      <c r="W3860" s="7">
        <v>27.937999999999999</v>
      </c>
      <c r="X3860" s="7">
        <v>28.812999999999999</v>
      </c>
      <c r="Y3860" s="7">
        <v>30.375</v>
      </c>
      <c r="Z3860" s="9">
        <v>30.0625</v>
      </c>
      <c r="AA3860" s="6">
        <v>294.64</v>
      </c>
      <c r="AB3860" s="2" t="s">
        <v>47</v>
      </c>
      <c r="AC3860" s="2"/>
    </row>
    <row r="3861" spans="1:29" ht="169" x14ac:dyDescent="0.15">
      <c r="A3861" s="3">
        <f t="shared" si="66"/>
        <v>35919</v>
      </c>
      <c r="B3861" s="3">
        <f>DATE(1999,3,16)</f>
        <v>36235</v>
      </c>
      <c r="C3861" s="2" t="s">
        <v>95</v>
      </c>
      <c r="D3861" s="2" t="s">
        <v>12050</v>
      </c>
      <c r="E3861" s="2" t="s">
        <v>12051</v>
      </c>
      <c r="F3861" s="4">
        <v>8742</v>
      </c>
      <c r="G3861" s="2" t="s">
        <v>223</v>
      </c>
      <c r="H3861" s="2" t="s">
        <v>34</v>
      </c>
      <c r="I3861" s="2" t="s">
        <v>12052</v>
      </c>
      <c r="J3861" s="2" t="s">
        <v>12053</v>
      </c>
      <c r="K3861" s="2" t="s">
        <v>364</v>
      </c>
      <c r="L3861" s="2" t="s">
        <v>34</v>
      </c>
      <c r="M3861" s="2"/>
      <c r="N3861" s="2"/>
      <c r="O3861" s="2"/>
      <c r="P3861" s="2" t="s">
        <v>12054</v>
      </c>
      <c r="Q3861" s="6">
        <v>100</v>
      </c>
      <c r="R3861" s="6">
        <v>5.0199999999999996</v>
      </c>
      <c r="S3861" s="5">
        <v>1.2</v>
      </c>
      <c r="T3861" s="7">
        <v>3.9849999999999999</v>
      </c>
      <c r="U3861" s="5">
        <v>2.2000000000000002</v>
      </c>
      <c r="V3861" s="6">
        <v>0.11</v>
      </c>
      <c r="W3861" s="7">
        <v>4.375</v>
      </c>
      <c r="X3861" s="7">
        <v>4.5629999999999997</v>
      </c>
      <c r="Y3861" s="7">
        <v>6.1879999999999997</v>
      </c>
      <c r="Z3861" s="7">
        <v>5.9379999999999997</v>
      </c>
      <c r="AA3861" s="6">
        <v>18.34</v>
      </c>
      <c r="AB3861" s="7">
        <v>55.661999999999999</v>
      </c>
      <c r="AC3861" s="6">
        <v>48.02</v>
      </c>
    </row>
    <row r="3862" spans="1:29" ht="52" x14ac:dyDescent="0.15">
      <c r="A3862" s="3">
        <f t="shared" si="66"/>
        <v>35919</v>
      </c>
      <c r="B3862" s="2"/>
      <c r="C3862" s="2" t="s">
        <v>87</v>
      </c>
      <c r="D3862" s="2" t="s">
        <v>9454</v>
      </c>
      <c r="E3862" s="2" t="s">
        <v>36</v>
      </c>
      <c r="F3862" s="4">
        <v>6021</v>
      </c>
      <c r="G3862" s="2" t="s">
        <v>37</v>
      </c>
      <c r="H3862" s="2" t="s">
        <v>34</v>
      </c>
      <c r="I3862" s="2" t="s">
        <v>154</v>
      </c>
      <c r="J3862" s="2" t="s">
        <v>36</v>
      </c>
      <c r="K3862" s="2" t="s">
        <v>37</v>
      </c>
      <c r="L3862" s="2" t="s">
        <v>34</v>
      </c>
      <c r="M3862" s="2"/>
      <c r="N3862" s="5">
        <v>379.5</v>
      </c>
      <c r="O3862" s="5">
        <v>377.5</v>
      </c>
      <c r="P3862" s="2" t="s">
        <v>12055</v>
      </c>
      <c r="Q3862" s="2"/>
      <c r="R3862" s="2"/>
      <c r="S3862" s="5">
        <v>838.5</v>
      </c>
      <c r="T3862" s="8">
        <v>2075.8000000000002</v>
      </c>
      <c r="U3862" s="5">
        <v>8</v>
      </c>
      <c r="V3862" s="9">
        <v>1.1133</v>
      </c>
      <c r="W3862" s="7">
        <v>121.438</v>
      </c>
      <c r="X3862" s="4">
        <v>130</v>
      </c>
      <c r="Y3862" s="7">
        <v>126.875</v>
      </c>
      <c r="Z3862" s="9">
        <v>124.9375</v>
      </c>
      <c r="AA3862" s="6">
        <v>133.91999999999999</v>
      </c>
      <c r="AB3862" s="2" t="s">
        <v>47</v>
      </c>
      <c r="AC3862" s="2"/>
    </row>
    <row r="3863" spans="1:29" ht="156" x14ac:dyDescent="0.15">
      <c r="A3863" s="3">
        <f t="shared" si="66"/>
        <v>35919</v>
      </c>
      <c r="B3863" s="3">
        <f>DATE(1998,6,29)</f>
        <v>35975</v>
      </c>
      <c r="C3863" s="2" t="s">
        <v>95</v>
      </c>
      <c r="D3863" s="2" t="s">
        <v>701</v>
      </c>
      <c r="E3863" s="2" t="s">
        <v>177</v>
      </c>
      <c r="F3863" s="4">
        <v>1311</v>
      </c>
      <c r="G3863" s="2" t="s">
        <v>148</v>
      </c>
      <c r="H3863" s="2" t="s">
        <v>34</v>
      </c>
      <c r="I3863" s="2" t="s">
        <v>12056</v>
      </c>
      <c r="J3863" s="2" t="s">
        <v>612</v>
      </c>
      <c r="K3863" s="2" t="s">
        <v>148</v>
      </c>
      <c r="L3863" s="2" t="s">
        <v>34</v>
      </c>
      <c r="M3863" s="12">
        <v>24748.574000000001</v>
      </c>
      <c r="N3863" s="7">
        <v>79.313000000000002</v>
      </c>
      <c r="O3863" s="4">
        <v>80</v>
      </c>
      <c r="P3863" s="2" t="s">
        <v>12057</v>
      </c>
      <c r="Q3863" s="6">
        <v>100</v>
      </c>
      <c r="R3863" s="6">
        <v>29</v>
      </c>
      <c r="S3863" s="5">
        <v>135.9</v>
      </c>
      <c r="T3863" s="7">
        <v>468.98500000000001</v>
      </c>
      <c r="U3863" s="5">
        <v>7.9</v>
      </c>
      <c r="V3863" s="6">
        <v>1.59</v>
      </c>
      <c r="W3863" s="6">
        <v>19.75</v>
      </c>
      <c r="X3863" s="5">
        <v>20.5</v>
      </c>
      <c r="Y3863" s="5">
        <v>28.5</v>
      </c>
      <c r="Z3863" s="7">
        <v>28.625</v>
      </c>
      <c r="AA3863" s="6">
        <v>85.28</v>
      </c>
      <c r="AB3863" s="7">
        <v>13.2</v>
      </c>
      <c r="AC3863" s="2"/>
    </row>
    <row r="3864" spans="1:29" ht="78" x14ac:dyDescent="0.15">
      <c r="A3864" s="3">
        <f>DATE(1998,5,5)</f>
        <v>35920</v>
      </c>
      <c r="B3864" s="3">
        <f>DATE(1998,9,25)</f>
        <v>36063</v>
      </c>
      <c r="C3864" s="2" t="s">
        <v>95</v>
      </c>
      <c r="D3864" s="2" t="s">
        <v>12058</v>
      </c>
      <c r="E3864" s="2" t="s">
        <v>12059</v>
      </c>
      <c r="F3864" s="4">
        <v>3652</v>
      </c>
      <c r="G3864" s="2" t="s">
        <v>137</v>
      </c>
      <c r="H3864" s="2" t="s">
        <v>34</v>
      </c>
      <c r="I3864" s="2" t="s">
        <v>51</v>
      </c>
      <c r="J3864" s="2" t="s">
        <v>52</v>
      </c>
      <c r="K3864" s="2" t="s">
        <v>53</v>
      </c>
      <c r="L3864" s="2" t="s">
        <v>34</v>
      </c>
      <c r="M3864" s="2"/>
      <c r="N3864" s="2"/>
      <c r="O3864" s="2"/>
      <c r="P3864" s="2" t="s">
        <v>12060</v>
      </c>
      <c r="Q3864" s="6">
        <v>100</v>
      </c>
      <c r="R3864" s="6">
        <v>5</v>
      </c>
      <c r="S3864" s="5">
        <v>0.7</v>
      </c>
      <c r="T3864" s="7">
        <v>17.728999999999999</v>
      </c>
      <c r="U3864" s="5">
        <v>2.8</v>
      </c>
      <c r="V3864" s="6">
        <v>0.05</v>
      </c>
      <c r="W3864" s="7">
        <v>4.375</v>
      </c>
      <c r="X3864" s="7">
        <v>4.375</v>
      </c>
      <c r="Y3864" s="6">
        <v>4.75</v>
      </c>
      <c r="Z3864" s="7">
        <v>4.8129999999999997</v>
      </c>
      <c r="AA3864" s="6">
        <v>13.62</v>
      </c>
      <c r="AB3864" s="7">
        <v>15.74</v>
      </c>
      <c r="AC3864" s="2"/>
    </row>
    <row r="3865" spans="1:29" ht="234" x14ac:dyDescent="0.15">
      <c r="A3865" s="3">
        <f>DATE(1998,5,6)</f>
        <v>35921</v>
      </c>
      <c r="B3865" s="3">
        <f>DATE(1998,11,12)</f>
        <v>36111</v>
      </c>
      <c r="C3865" s="2" t="s">
        <v>95</v>
      </c>
      <c r="D3865" s="2" t="s">
        <v>1596</v>
      </c>
      <c r="E3865" s="2" t="s">
        <v>1597</v>
      </c>
      <c r="F3865" s="4">
        <v>3711</v>
      </c>
      <c r="G3865" s="2" t="s">
        <v>105</v>
      </c>
      <c r="H3865" s="2" t="s">
        <v>34</v>
      </c>
      <c r="I3865" s="2" t="s">
        <v>12061</v>
      </c>
      <c r="J3865" s="2" t="s">
        <v>12062</v>
      </c>
      <c r="K3865" s="2" t="s">
        <v>105</v>
      </c>
      <c r="L3865" s="2" t="s">
        <v>1049</v>
      </c>
      <c r="M3865" s="2"/>
      <c r="N3865" s="2"/>
      <c r="O3865" s="2"/>
      <c r="P3865" s="2" t="s">
        <v>12063</v>
      </c>
      <c r="Q3865" s="6">
        <v>100</v>
      </c>
      <c r="R3865" s="6">
        <v>61.03</v>
      </c>
      <c r="S3865" s="8">
        <v>2828</v>
      </c>
      <c r="T3865" s="8">
        <v>8271</v>
      </c>
      <c r="U3865" s="5">
        <v>18.600000000000001</v>
      </c>
      <c r="V3865" s="7">
        <v>4.3040000000000003</v>
      </c>
      <c r="W3865" s="7">
        <v>39.563000000000002</v>
      </c>
      <c r="X3865" s="4">
        <v>41</v>
      </c>
      <c r="Y3865" s="9">
        <v>41.4375</v>
      </c>
      <c r="Z3865" s="9">
        <v>48.8125</v>
      </c>
      <c r="AA3865" s="6">
        <v>645.49</v>
      </c>
      <c r="AB3865" s="7">
        <v>8.8569999999999993</v>
      </c>
      <c r="AC3865" s="10">
        <v>11413.22</v>
      </c>
    </row>
    <row r="3866" spans="1:29" ht="52" x14ac:dyDescent="0.15">
      <c r="A3866" s="3">
        <f>DATE(1998,5,6)</f>
        <v>35921</v>
      </c>
      <c r="B3866" s="3">
        <f>DATE(1998,8,6)</f>
        <v>36013</v>
      </c>
      <c r="C3866" s="2" t="s">
        <v>95</v>
      </c>
      <c r="D3866" s="2" t="s">
        <v>12064</v>
      </c>
      <c r="E3866" s="2" t="s">
        <v>9054</v>
      </c>
      <c r="F3866" s="4">
        <v>6351</v>
      </c>
      <c r="G3866" s="2" t="s">
        <v>125</v>
      </c>
      <c r="H3866" s="2" t="s">
        <v>34</v>
      </c>
      <c r="I3866" s="2" t="s">
        <v>12065</v>
      </c>
      <c r="J3866" s="2" t="s">
        <v>6728</v>
      </c>
      <c r="K3866" s="2" t="s">
        <v>125</v>
      </c>
      <c r="L3866" s="2" t="s">
        <v>34</v>
      </c>
      <c r="M3866" s="2"/>
      <c r="N3866" s="2"/>
      <c r="O3866" s="2"/>
      <c r="P3866" s="2" t="s">
        <v>12066</v>
      </c>
      <c r="Q3866" s="6">
        <v>100</v>
      </c>
      <c r="R3866" s="6">
        <v>14.6</v>
      </c>
      <c r="S3866" s="5">
        <v>1.6</v>
      </c>
      <c r="T3866" s="2"/>
      <c r="U3866" s="5">
        <v>4</v>
      </c>
      <c r="V3866" s="6">
        <v>0.56000000000000005</v>
      </c>
      <c r="W3866" s="6">
        <v>13.75</v>
      </c>
      <c r="X3866" s="6">
        <v>14.25</v>
      </c>
      <c r="Y3866" s="6">
        <v>14.25</v>
      </c>
      <c r="Z3866" s="6">
        <v>13.75</v>
      </c>
      <c r="AA3866" s="6">
        <v>2.5299999999999998</v>
      </c>
      <c r="AB3866" s="7">
        <v>25.667000000000002</v>
      </c>
      <c r="AC3866" s="2"/>
    </row>
    <row r="3867" spans="1:29" ht="78" x14ac:dyDescent="0.15">
      <c r="A3867" s="3">
        <f>DATE(1998,5,6)</f>
        <v>35921</v>
      </c>
      <c r="B3867" s="3">
        <f>DATE(1998,7,22)</f>
        <v>35998</v>
      </c>
      <c r="C3867" s="2" t="s">
        <v>95</v>
      </c>
      <c r="D3867" s="2" t="s">
        <v>12067</v>
      </c>
      <c r="E3867" s="2" t="s">
        <v>1011</v>
      </c>
      <c r="F3867" s="4">
        <v>8011</v>
      </c>
      <c r="G3867" s="2" t="s">
        <v>454</v>
      </c>
      <c r="H3867" s="2" t="s">
        <v>34</v>
      </c>
      <c r="I3867" s="2" t="s">
        <v>6927</v>
      </c>
      <c r="J3867" s="2" t="s">
        <v>6928</v>
      </c>
      <c r="K3867" s="2" t="s">
        <v>454</v>
      </c>
      <c r="L3867" s="2" t="s">
        <v>34</v>
      </c>
      <c r="M3867" s="12">
        <v>11426.028</v>
      </c>
      <c r="N3867" s="7">
        <v>29.625</v>
      </c>
      <c r="O3867" s="6">
        <v>29.75</v>
      </c>
      <c r="P3867" s="2" t="s">
        <v>12068</v>
      </c>
      <c r="Q3867" s="6">
        <v>100</v>
      </c>
      <c r="R3867" s="6">
        <v>32.92</v>
      </c>
      <c r="S3867" s="5">
        <v>12.6</v>
      </c>
      <c r="T3867" s="7">
        <v>34.045999999999999</v>
      </c>
      <c r="U3867" s="5">
        <v>7.4</v>
      </c>
      <c r="V3867" s="6">
        <v>0.67</v>
      </c>
      <c r="W3867" s="7">
        <v>28.375</v>
      </c>
      <c r="X3867" s="4">
        <v>28</v>
      </c>
      <c r="Y3867" s="7">
        <v>29.062999999999999</v>
      </c>
      <c r="Z3867" s="7">
        <v>28.875</v>
      </c>
      <c r="AA3867" s="6">
        <v>18.57</v>
      </c>
      <c r="AB3867" s="7">
        <v>22.925000000000001</v>
      </c>
      <c r="AC3867" s="5">
        <v>152.4</v>
      </c>
    </row>
    <row r="3868" spans="1:29" ht="91" x14ac:dyDescent="0.15">
      <c r="A3868" s="3">
        <f>DATE(1998,5,7)</f>
        <v>35922</v>
      </c>
      <c r="B3868" s="3">
        <f>DATE(1998,7,31)</f>
        <v>36007</v>
      </c>
      <c r="C3868" s="2" t="s">
        <v>95</v>
      </c>
      <c r="D3868" s="2" t="s">
        <v>12069</v>
      </c>
      <c r="E3868" s="2" t="s">
        <v>12070</v>
      </c>
      <c r="F3868" s="4">
        <v>7371</v>
      </c>
      <c r="G3868" s="2" t="s">
        <v>223</v>
      </c>
      <c r="H3868" s="2" t="s">
        <v>34</v>
      </c>
      <c r="I3868" s="2" t="s">
        <v>12071</v>
      </c>
      <c r="J3868" s="2" t="s">
        <v>12072</v>
      </c>
      <c r="K3868" s="2" t="s">
        <v>551</v>
      </c>
      <c r="L3868" s="2" t="s">
        <v>34</v>
      </c>
      <c r="M3868" s="7">
        <v>412.64299999999997</v>
      </c>
      <c r="N3868" s="7">
        <v>22.875</v>
      </c>
      <c r="O3868" s="7">
        <v>22.312999999999999</v>
      </c>
      <c r="P3868" s="2" t="s">
        <v>12073</v>
      </c>
      <c r="Q3868" s="6">
        <v>100</v>
      </c>
      <c r="R3868" s="6">
        <v>5.27</v>
      </c>
      <c r="S3868" s="5">
        <v>0.6</v>
      </c>
      <c r="T3868" s="6">
        <v>1.21</v>
      </c>
      <c r="U3868" s="5">
        <v>0.6</v>
      </c>
      <c r="V3868" s="7">
        <v>4.8000000000000001E-2</v>
      </c>
      <c r="W3868" s="6">
        <v>4.75</v>
      </c>
      <c r="X3868" s="7">
        <v>4.875</v>
      </c>
      <c r="Y3868" s="6">
        <v>4.75</v>
      </c>
      <c r="Z3868" s="7">
        <v>4.8129999999999997</v>
      </c>
      <c r="AA3868" s="6">
        <v>11.33</v>
      </c>
      <c r="AB3868" s="7">
        <v>137.16200000000001</v>
      </c>
      <c r="AC3868" s="6">
        <v>21.98</v>
      </c>
    </row>
    <row r="3869" spans="1:29" ht="143" x14ac:dyDescent="0.15">
      <c r="A3869" s="3">
        <f>DATE(1998,5,7)</f>
        <v>35922</v>
      </c>
      <c r="B3869" s="3">
        <f>DATE(1998,6,30)</f>
        <v>35976</v>
      </c>
      <c r="C3869" s="2" t="s">
        <v>95</v>
      </c>
      <c r="D3869" s="2" t="s">
        <v>12074</v>
      </c>
      <c r="E3869" s="2" t="s">
        <v>4386</v>
      </c>
      <c r="F3869" s="4">
        <v>7379</v>
      </c>
      <c r="G3869" s="2" t="s">
        <v>223</v>
      </c>
      <c r="H3869" s="2" t="s">
        <v>34</v>
      </c>
      <c r="I3869" s="2" t="s">
        <v>12075</v>
      </c>
      <c r="J3869" s="2" t="s">
        <v>12076</v>
      </c>
      <c r="K3869" s="2" t="s">
        <v>223</v>
      </c>
      <c r="L3869" s="2" t="s">
        <v>34</v>
      </c>
      <c r="M3869" s="7">
        <v>335.62200000000001</v>
      </c>
      <c r="N3869" s="7">
        <v>30.187999999999999</v>
      </c>
      <c r="O3869" s="7">
        <v>31.375</v>
      </c>
      <c r="P3869" s="2" t="s">
        <v>12077</v>
      </c>
      <c r="Q3869" s="6">
        <v>100</v>
      </c>
      <c r="R3869" s="6">
        <v>8.91</v>
      </c>
      <c r="S3869" s="5">
        <v>0.6</v>
      </c>
      <c r="T3869" s="7">
        <v>0.82699999999999996</v>
      </c>
      <c r="U3869" s="5">
        <v>1.1000000000000001</v>
      </c>
      <c r="V3869" s="7">
        <v>0.216</v>
      </c>
      <c r="W3869" s="6">
        <v>7.75</v>
      </c>
      <c r="X3869" s="5">
        <v>7.5</v>
      </c>
      <c r="Y3869" s="7">
        <v>7.8129999999999997</v>
      </c>
      <c r="Z3869" s="7">
        <v>7.875</v>
      </c>
      <c r="AA3869" s="6">
        <v>4.5199999999999996</v>
      </c>
      <c r="AB3869" s="7">
        <v>146.84299999999999</v>
      </c>
      <c r="AC3869" s="2"/>
    </row>
    <row r="3870" spans="1:29" ht="39" x14ac:dyDescent="0.15">
      <c r="A3870" s="3">
        <f>DATE(1998,5,7)</f>
        <v>35922</v>
      </c>
      <c r="B3870" s="3">
        <f>DATE(1998,8,27)</f>
        <v>36034</v>
      </c>
      <c r="C3870" s="2" t="s">
        <v>95</v>
      </c>
      <c r="D3870" s="2" t="s">
        <v>12078</v>
      </c>
      <c r="E3870" s="2" t="s">
        <v>12079</v>
      </c>
      <c r="F3870" s="4">
        <v>7992</v>
      </c>
      <c r="G3870" s="2" t="s">
        <v>364</v>
      </c>
      <c r="H3870" s="2" t="s">
        <v>34</v>
      </c>
      <c r="I3870" s="2" t="s">
        <v>12080</v>
      </c>
      <c r="J3870" s="2" t="s">
        <v>12081</v>
      </c>
      <c r="K3870" s="2" t="s">
        <v>364</v>
      </c>
      <c r="L3870" s="2" t="s">
        <v>34</v>
      </c>
      <c r="M3870" s="2"/>
      <c r="N3870" s="2"/>
      <c r="O3870" s="2"/>
      <c r="P3870" s="2" t="s">
        <v>12082</v>
      </c>
      <c r="Q3870" s="6">
        <v>100</v>
      </c>
      <c r="R3870" s="2"/>
      <c r="S3870" s="5">
        <v>-2.1</v>
      </c>
      <c r="T3870" s="7">
        <v>-0.81399999999999995</v>
      </c>
      <c r="U3870" s="5">
        <v>1.2</v>
      </c>
      <c r="V3870" s="7">
        <v>-0.629</v>
      </c>
      <c r="W3870" s="6">
        <v>3.25</v>
      </c>
      <c r="X3870" s="4">
        <v>3</v>
      </c>
      <c r="Y3870" s="7">
        <v>3.0630000000000002</v>
      </c>
      <c r="Z3870" s="7">
        <v>2.6880000000000002</v>
      </c>
      <c r="AA3870" s="6">
        <v>3.75</v>
      </c>
      <c r="AB3870" s="2" t="s">
        <v>86</v>
      </c>
      <c r="AC3870" s="2"/>
    </row>
    <row r="3871" spans="1:29" ht="169" x14ac:dyDescent="0.15">
      <c r="A3871" s="3">
        <f>DATE(1998,5,7)</f>
        <v>35922</v>
      </c>
      <c r="B3871" s="2"/>
      <c r="C3871" s="2" t="s">
        <v>30</v>
      </c>
      <c r="D3871" s="2" t="s">
        <v>12083</v>
      </c>
      <c r="E3871" s="2" t="s">
        <v>10623</v>
      </c>
      <c r="F3871" s="4">
        <v>5941</v>
      </c>
      <c r="G3871" s="2" t="s">
        <v>73</v>
      </c>
      <c r="H3871" s="2" t="s">
        <v>34</v>
      </c>
      <c r="I3871" s="2" t="s">
        <v>8928</v>
      </c>
      <c r="J3871" s="2" t="s">
        <v>8509</v>
      </c>
      <c r="K3871" s="2" t="s">
        <v>756</v>
      </c>
      <c r="L3871" s="2" t="s">
        <v>34</v>
      </c>
      <c r="M3871" s="12">
        <v>3389.0120000000002</v>
      </c>
      <c r="N3871" s="4">
        <v>23</v>
      </c>
      <c r="O3871" s="6">
        <v>21.25</v>
      </c>
      <c r="P3871" s="2" t="s">
        <v>12084</v>
      </c>
      <c r="Q3871" s="2"/>
      <c r="R3871" s="6">
        <v>17.5</v>
      </c>
      <c r="S3871" s="5">
        <v>22.2</v>
      </c>
      <c r="T3871" s="5">
        <v>82.3</v>
      </c>
      <c r="U3871" s="5">
        <v>10.6</v>
      </c>
      <c r="V3871" s="6">
        <v>0.7</v>
      </c>
      <c r="W3871" s="7">
        <v>17.562999999999999</v>
      </c>
      <c r="X3871" s="4">
        <v>17</v>
      </c>
      <c r="Y3871" s="4">
        <v>18</v>
      </c>
      <c r="Z3871" s="7">
        <v>16.062999999999999</v>
      </c>
      <c r="AA3871" s="6">
        <v>31.73</v>
      </c>
      <c r="AB3871" s="7">
        <v>17.712</v>
      </c>
      <c r="AC3871" s="5">
        <v>116</v>
      </c>
    </row>
    <row r="3872" spans="1:29" ht="117" x14ac:dyDescent="0.15">
      <c r="A3872" s="3">
        <f>DATE(1998,5,8)</f>
        <v>35923</v>
      </c>
      <c r="B3872" s="3">
        <f>DATE(1998,6,15)</f>
        <v>35961</v>
      </c>
      <c r="C3872" s="2" t="s">
        <v>95</v>
      </c>
      <c r="D3872" s="2" t="s">
        <v>12085</v>
      </c>
      <c r="E3872" s="2" t="s">
        <v>12086</v>
      </c>
      <c r="F3872" s="4">
        <v>5149</v>
      </c>
      <c r="G3872" s="2" t="s">
        <v>593</v>
      </c>
      <c r="H3872" s="2" t="s">
        <v>34</v>
      </c>
      <c r="I3872" s="2" t="s">
        <v>12087</v>
      </c>
      <c r="J3872" s="2" t="s">
        <v>12088</v>
      </c>
      <c r="K3872" s="2" t="s">
        <v>577</v>
      </c>
      <c r="L3872" s="2" t="s">
        <v>4389</v>
      </c>
      <c r="M3872" s="2"/>
      <c r="N3872" s="2"/>
      <c r="O3872" s="2"/>
      <c r="P3872" s="2" t="s">
        <v>12089</v>
      </c>
      <c r="Q3872" s="6">
        <v>100</v>
      </c>
      <c r="R3872" s="6">
        <v>17</v>
      </c>
      <c r="S3872" s="5">
        <v>0.4</v>
      </c>
      <c r="T3872" s="2"/>
      <c r="U3872" s="5">
        <v>5.5</v>
      </c>
      <c r="V3872" s="7">
        <v>-9.2999999999999999E-2</v>
      </c>
      <c r="W3872" s="4">
        <v>15</v>
      </c>
      <c r="X3872" s="4">
        <v>16</v>
      </c>
      <c r="Y3872" s="6">
        <v>16.75</v>
      </c>
      <c r="Z3872" s="6">
        <v>16.75</v>
      </c>
      <c r="AA3872" s="6">
        <v>8.0299999999999994</v>
      </c>
      <c r="AB3872" s="7">
        <v>107.852</v>
      </c>
      <c r="AC3872" s="2"/>
    </row>
    <row r="3873" spans="1:29" ht="195" x14ac:dyDescent="0.15">
      <c r="A3873" s="3">
        <f t="shared" ref="A3873:A3879" si="67">DATE(1998,5,11)</f>
        <v>35926</v>
      </c>
      <c r="B3873" s="3">
        <f>DATE(1999,10,8)</f>
        <v>36441</v>
      </c>
      <c r="C3873" s="2" t="s">
        <v>95</v>
      </c>
      <c r="D3873" s="2" t="s">
        <v>12090</v>
      </c>
      <c r="E3873" s="2" t="s">
        <v>973</v>
      </c>
      <c r="F3873" s="4">
        <v>4813</v>
      </c>
      <c r="G3873" s="2" t="s">
        <v>63</v>
      </c>
      <c r="H3873" s="2" t="s">
        <v>34</v>
      </c>
      <c r="I3873" s="2" t="s">
        <v>4689</v>
      </c>
      <c r="J3873" s="2" t="s">
        <v>1604</v>
      </c>
      <c r="K3873" s="2" t="s">
        <v>63</v>
      </c>
      <c r="L3873" s="2" t="s">
        <v>34</v>
      </c>
      <c r="M3873" s="12">
        <v>36893.540999999997</v>
      </c>
      <c r="N3873" s="7">
        <v>38.813000000000002</v>
      </c>
      <c r="O3873" s="7">
        <v>39.438000000000002</v>
      </c>
      <c r="P3873" s="2" t="s">
        <v>12091</v>
      </c>
      <c r="Q3873" s="6">
        <v>100</v>
      </c>
      <c r="R3873" s="6">
        <v>55.77</v>
      </c>
      <c r="S3873" s="8">
        <v>2325</v>
      </c>
      <c r="T3873" s="8">
        <v>6320</v>
      </c>
      <c r="U3873" s="5">
        <v>7.6</v>
      </c>
      <c r="V3873" s="6">
        <v>2.08</v>
      </c>
      <c r="W3873" s="7">
        <v>44.125</v>
      </c>
      <c r="X3873" s="7">
        <v>43.875</v>
      </c>
      <c r="Y3873" s="4">
        <v>46</v>
      </c>
      <c r="Z3873" s="7">
        <v>45.625</v>
      </c>
      <c r="AA3873" s="10">
        <v>1100.69</v>
      </c>
      <c r="AB3873" s="7">
        <v>18.489999999999998</v>
      </c>
      <c r="AC3873" s="5">
        <v>718</v>
      </c>
    </row>
    <row r="3874" spans="1:29" ht="117" x14ac:dyDescent="0.15">
      <c r="A3874" s="3">
        <f t="shared" si="67"/>
        <v>35926</v>
      </c>
      <c r="B3874" s="3">
        <f>DATE(1998,12,7)</f>
        <v>36136</v>
      </c>
      <c r="C3874" s="2" t="s">
        <v>95</v>
      </c>
      <c r="D3874" s="2" t="s">
        <v>12092</v>
      </c>
      <c r="E3874" s="2" t="s">
        <v>12093</v>
      </c>
      <c r="F3874" s="4">
        <v>8731</v>
      </c>
      <c r="G3874" s="2" t="s">
        <v>223</v>
      </c>
      <c r="H3874" s="2" t="s">
        <v>34</v>
      </c>
      <c r="I3874" s="2" t="s">
        <v>8314</v>
      </c>
      <c r="J3874" s="2" t="s">
        <v>8315</v>
      </c>
      <c r="K3874" s="2" t="s">
        <v>98</v>
      </c>
      <c r="L3874" s="2" t="s">
        <v>34</v>
      </c>
      <c r="M3874" s="12">
        <v>33090.858</v>
      </c>
      <c r="N3874" s="9">
        <v>55.4375</v>
      </c>
      <c r="O3874" s="5">
        <v>55.5</v>
      </c>
      <c r="P3874" s="2" t="s">
        <v>12094</v>
      </c>
      <c r="Q3874" s="6">
        <v>62.6</v>
      </c>
      <c r="R3874" s="6">
        <v>100</v>
      </c>
      <c r="S3874" s="5">
        <v>28.8</v>
      </c>
      <c r="T3874" s="5">
        <v>61.1</v>
      </c>
      <c r="U3874" s="5">
        <v>5.7</v>
      </c>
      <c r="V3874" s="6">
        <v>0.8</v>
      </c>
      <c r="W3874" s="7">
        <v>33.375</v>
      </c>
      <c r="X3874" s="7">
        <v>33.125</v>
      </c>
      <c r="Y3874" s="4">
        <v>54</v>
      </c>
      <c r="Z3874" s="6">
        <v>58.75</v>
      </c>
      <c r="AA3874" s="6">
        <v>34.61</v>
      </c>
      <c r="AB3874" s="7">
        <v>78.792000000000002</v>
      </c>
      <c r="AC3874" s="2"/>
    </row>
    <row r="3875" spans="1:29" ht="143" x14ac:dyDescent="0.15">
      <c r="A3875" s="3">
        <f t="shared" si="67"/>
        <v>35926</v>
      </c>
      <c r="B3875" s="2"/>
      <c r="C3875" s="2" t="s">
        <v>30</v>
      </c>
      <c r="D3875" s="2" t="s">
        <v>12095</v>
      </c>
      <c r="E3875" s="2" t="s">
        <v>12096</v>
      </c>
      <c r="F3875" s="2" t="s">
        <v>12097</v>
      </c>
      <c r="G3875" s="2" t="s">
        <v>426</v>
      </c>
      <c r="H3875" s="2" t="s">
        <v>34</v>
      </c>
      <c r="I3875" s="2" t="s">
        <v>8314</v>
      </c>
      <c r="J3875" s="2" t="s">
        <v>8315</v>
      </c>
      <c r="K3875" s="2" t="s">
        <v>98</v>
      </c>
      <c r="L3875" s="2" t="s">
        <v>34</v>
      </c>
      <c r="M3875" s="12">
        <v>33090.858</v>
      </c>
      <c r="N3875" s="9">
        <v>55.4375</v>
      </c>
      <c r="O3875" s="5">
        <v>55.5</v>
      </c>
      <c r="P3875" s="2" t="s">
        <v>12098</v>
      </c>
      <c r="Q3875" s="2"/>
      <c r="R3875" s="6">
        <v>46.14</v>
      </c>
      <c r="S3875" s="5">
        <v>6.9</v>
      </c>
      <c r="T3875" s="6">
        <v>37.18</v>
      </c>
      <c r="U3875" s="5">
        <v>1.4</v>
      </c>
      <c r="V3875" s="7">
        <v>0.13500000000000001</v>
      </c>
      <c r="W3875" s="7">
        <v>49.313000000000002</v>
      </c>
      <c r="X3875" s="6">
        <v>52.75</v>
      </c>
      <c r="Y3875" s="4">
        <v>46</v>
      </c>
      <c r="Z3875" s="5">
        <v>44.5</v>
      </c>
      <c r="AA3875" s="6">
        <v>38.04</v>
      </c>
      <c r="AB3875" s="7">
        <v>75.885000000000005</v>
      </c>
      <c r="AC3875" s="2"/>
    </row>
    <row r="3876" spans="1:29" ht="104" x14ac:dyDescent="0.15">
      <c r="A3876" s="3">
        <f t="shared" si="67"/>
        <v>35926</v>
      </c>
      <c r="B3876" s="3">
        <f>DATE(1998,7,14)</f>
        <v>35990</v>
      </c>
      <c r="C3876" s="2" t="s">
        <v>95</v>
      </c>
      <c r="D3876" s="2" t="s">
        <v>12099</v>
      </c>
      <c r="E3876" s="2" t="s">
        <v>12100</v>
      </c>
      <c r="F3876" s="4">
        <v>3672</v>
      </c>
      <c r="G3876" s="2" t="s">
        <v>137</v>
      </c>
      <c r="H3876" s="2" t="s">
        <v>34</v>
      </c>
      <c r="I3876" s="2" t="s">
        <v>12101</v>
      </c>
      <c r="J3876" s="2" t="s">
        <v>12102</v>
      </c>
      <c r="K3876" s="2" t="s">
        <v>50</v>
      </c>
      <c r="L3876" s="2" t="s">
        <v>34</v>
      </c>
      <c r="M3876" s="7">
        <v>447.66399999999999</v>
      </c>
      <c r="N3876" s="7">
        <v>8.9380000000000006</v>
      </c>
      <c r="O3876" s="6">
        <v>9.25</v>
      </c>
      <c r="P3876" s="2" t="s">
        <v>12103</v>
      </c>
      <c r="Q3876" s="6">
        <v>100</v>
      </c>
      <c r="R3876" s="6">
        <v>2.4500000000000002</v>
      </c>
      <c r="S3876" s="5">
        <v>-9.8000000000000007</v>
      </c>
      <c r="T3876" s="7">
        <v>-9.4949999999999992</v>
      </c>
      <c r="U3876" s="5">
        <v>2.4</v>
      </c>
      <c r="V3876" s="6">
        <v>-0.7</v>
      </c>
      <c r="W3876" s="7">
        <v>2.125</v>
      </c>
      <c r="X3876" s="7">
        <v>1.7809999999999999</v>
      </c>
      <c r="Y3876" s="7">
        <v>1.9690000000000001</v>
      </c>
      <c r="Z3876" s="7">
        <v>2.3130000000000002</v>
      </c>
      <c r="AA3876" s="6">
        <v>12.9</v>
      </c>
      <c r="AB3876" s="2" t="s">
        <v>86</v>
      </c>
      <c r="AC3876" s="6">
        <v>90.07</v>
      </c>
    </row>
    <row r="3877" spans="1:29" ht="65" x14ac:dyDescent="0.15">
      <c r="A3877" s="3">
        <f t="shared" si="67"/>
        <v>35926</v>
      </c>
      <c r="B3877" s="3">
        <f>DATE(1999,7,10)</f>
        <v>36351</v>
      </c>
      <c r="C3877" s="2" t="s">
        <v>95</v>
      </c>
      <c r="D3877" s="2" t="s">
        <v>12104</v>
      </c>
      <c r="E3877" s="2" t="s">
        <v>12105</v>
      </c>
      <c r="F3877" s="4">
        <v>4911</v>
      </c>
      <c r="G3877" s="2" t="s">
        <v>439</v>
      </c>
      <c r="H3877" s="2" t="s">
        <v>34</v>
      </c>
      <c r="I3877" s="2" t="s">
        <v>12106</v>
      </c>
      <c r="J3877" s="2" t="s">
        <v>12107</v>
      </c>
      <c r="K3877" s="2" t="s">
        <v>439</v>
      </c>
      <c r="L3877" s="2" t="s">
        <v>34</v>
      </c>
      <c r="M3877" s="12">
        <v>10582.433999999999</v>
      </c>
      <c r="N3877" s="7">
        <v>43.938000000000002</v>
      </c>
      <c r="O3877" s="5">
        <v>44.5</v>
      </c>
      <c r="P3877" s="2" t="s">
        <v>12108</v>
      </c>
      <c r="Q3877" s="6">
        <v>100</v>
      </c>
      <c r="R3877" s="6">
        <v>58.5</v>
      </c>
      <c r="S3877" s="5">
        <v>38.200000000000003</v>
      </c>
      <c r="T3877" s="6">
        <v>136.29</v>
      </c>
      <c r="U3877" s="5">
        <v>27.8</v>
      </c>
      <c r="V3877" s="6">
        <v>3.09</v>
      </c>
      <c r="W3877" s="6">
        <v>41.62</v>
      </c>
      <c r="X3877" s="6">
        <v>42.25</v>
      </c>
      <c r="Y3877" s="7">
        <v>53.313000000000002</v>
      </c>
      <c r="Z3877" s="7">
        <v>53.563000000000002</v>
      </c>
      <c r="AA3877" s="6">
        <v>13.52</v>
      </c>
      <c r="AB3877" s="7">
        <v>13.085000000000001</v>
      </c>
      <c r="AC3877" s="6">
        <v>183.46</v>
      </c>
    </row>
    <row r="3878" spans="1:29" ht="130" x14ac:dyDescent="0.15">
      <c r="A3878" s="3">
        <f t="shared" si="67"/>
        <v>35926</v>
      </c>
      <c r="B3878" s="3">
        <f>DATE(1998,11,18)</f>
        <v>36117</v>
      </c>
      <c r="C3878" s="2" t="s">
        <v>95</v>
      </c>
      <c r="D3878" s="2" t="s">
        <v>12109</v>
      </c>
      <c r="E3878" s="2" t="s">
        <v>12110</v>
      </c>
      <c r="F3878" s="4">
        <v>2631</v>
      </c>
      <c r="G3878" s="2" t="s">
        <v>282</v>
      </c>
      <c r="H3878" s="2" t="s">
        <v>34</v>
      </c>
      <c r="I3878" s="2" t="s">
        <v>12111</v>
      </c>
      <c r="J3878" s="2" t="s">
        <v>12112</v>
      </c>
      <c r="K3878" s="2" t="s">
        <v>282</v>
      </c>
      <c r="L3878" s="2" t="s">
        <v>34</v>
      </c>
      <c r="M3878" s="12">
        <v>1963.2560000000001</v>
      </c>
      <c r="N3878" s="9">
        <v>21.0625</v>
      </c>
      <c r="O3878" s="11">
        <v>21.71875</v>
      </c>
      <c r="P3878" s="2" t="s">
        <v>12113</v>
      </c>
      <c r="Q3878" s="6">
        <v>100</v>
      </c>
      <c r="R3878" s="6">
        <v>20.3</v>
      </c>
      <c r="S3878" s="5">
        <v>-404.4</v>
      </c>
      <c r="T3878" s="5">
        <v>212.5</v>
      </c>
      <c r="U3878" s="5">
        <v>1.6</v>
      </c>
      <c r="V3878" s="6">
        <v>-4.16</v>
      </c>
      <c r="W3878" s="7">
        <v>13.875</v>
      </c>
      <c r="X3878" s="7">
        <v>14.063000000000001</v>
      </c>
      <c r="Y3878" s="5">
        <v>14.5</v>
      </c>
      <c r="Z3878" s="7">
        <v>15.063000000000001</v>
      </c>
      <c r="AA3878" s="6">
        <v>99.72</v>
      </c>
      <c r="AB3878" s="2" t="s">
        <v>86</v>
      </c>
      <c r="AC3878" s="5">
        <v>12</v>
      </c>
    </row>
    <row r="3879" spans="1:29" ht="117" x14ac:dyDescent="0.15">
      <c r="A3879" s="3">
        <f t="shared" si="67"/>
        <v>35926</v>
      </c>
      <c r="B3879" s="3">
        <f>DATE(1998,8,10)</f>
        <v>36017</v>
      </c>
      <c r="C3879" s="2" t="s">
        <v>95</v>
      </c>
      <c r="D3879" s="2" t="s">
        <v>9175</v>
      </c>
      <c r="E3879" s="2" t="s">
        <v>612</v>
      </c>
      <c r="F3879" s="4">
        <v>1311</v>
      </c>
      <c r="G3879" s="2" t="s">
        <v>148</v>
      </c>
      <c r="H3879" s="2" t="s">
        <v>34</v>
      </c>
      <c r="I3879" s="2" t="s">
        <v>9361</v>
      </c>
      <c r="J3879" s="2" t="s">
        <v>9362</v>
      </c>
      <c r="K3879" s="2" t="s">
        <v>300</v>
      </c>
      <c r="L3879" s="2" t="s">
        <v>34</v>
      </c>
      <c r="M3879" s="10">
        <v>6609.63</v>
      </c>
      <c r="N3879" s="7">
        <v>38.813000000000002</v>
      </c>
      <c r="O3879" s="7">
        <v>38.063000000000002</v>
      </c>
      <c r="P3879" s="2" t="s">
        <v>12114</v>
      </c>
      <c r="Q3879" s="6">
        <v>100</v>
      </c>
      <c r="R3879" s="6">
        <v>76.95</v>
      </c>
      <c r="S3879" s="5">
        <v>-63.1</v>
      </c>
      <c r="T3879" s="7">
        <v>569.55600000000004</v>
      </c>
      <c r="U3879" s="5">
        <v>16.2</v>
      </c>
      <c r="V3879" s="6">
        <v>1.65</v>
      </c>
      <c r="W3879" s="7">
        <v>83.063000000000002</v>
      </c>
      <c r="X3879" s="7">
        <v>81.375</v>
      </c>
      <c r="Y3879" s="7">
        <v>92.875</v>
      </c>
      <c r="Z3879" s="5">
        <v>89.5</v>
      </c>
      <c r="AA3879" s="6">
        <v>54.69</v>
      </c>
      <c r="AB3879" s="7">
        <v>26.187999999999999</v>
      </c>
      <c r="AC3879" s="5">
        <v>8.6</v>
      </c>
    </row>
    <row r="3880" spans="1:29" ht="78" x14ac:dyDescent="0.15">
      <c r="A3880" s="3">
        <f>DATE(1998,5,12)</f>
        <v>35927</v>
      </c>
      <c r="B3880" s="3">
        <f>DATE(1998,8,25)</f>
        <v>36032</v>
      </c>
      <c r="C3880" s="2" t="s">
        <v>95</v>
      </c>
      <c r="D3880" s="2" t="s">
        <v>12115</v>
      </c>
      <c r="E3880" s="2" t="s">
        <v>5309</v>
      </c>
      <c r="F3880" s="4">
        <v>1311</v>
      </c>
      <c r="G3880" s="2" t="s">
        <v>148</v>
      </c>
      <c r="H3880" s="2" t="s">
        <v>34</v>
      </c>
      <c r="I3880" s="2" t="s">
        <v>5124</v>
      </c>
      <c r="J3880" s="2" t="s">
        <v>612</v>
      </c>
      <c r="K3880" s="2" t="s">
        <v>148</v>
      </c>
      <c r="L3880" s="2" t="s">
        <v>34</v>
      </c>
      <c r="M3880" s="7">
        <v>328.096</v>
      </c>
      <c r="N3880" s="7">
        <v>13.938000000000001</v>
      </c>
      <c r="O3880" s="4">
        <v>14</v>
      </c>
      <c r="P3880" s="2" t="s">
        <v>12116</v>
      </c>
      <c r="Q3880" s="6">
        <v>100</v>
      </c>
      <c r="R3880" s="6">
        <v>16.91</v>
      </c>
      <c r="S3880" s="5">
        <v>5.6</v>
      </c>
      <c r="T3880" s="7">
        <v>31.044</v>
      </c>
      <c r="U3880" s="5">
        <v>8.8000000000000007</v>
      </c>
      <c r="V3880" s="7">
        <v>0.45100000000000001</v>
      </c>
      <c r="W3880" s="7">
        <v>13.375</v>
      </c>
      <c r="X3880" s="5">
        <v>12.5</v>
      </c>
      <c r="Y3880" s="7">
        <v>13.813000000000001</v>
      </c>
      <c r="Z3880" s="7">
        <v>13.438000000000001</v>
      </c>
      <c r="AA3880" s="6">
        <v>15.11</v>
      </c>
      <c r="AB3880" s="7">
        <v>26.920999999999999</v>
      </c>
      <c r="AC3880" s="6">
        <v>17.77</v>
      </c>
    </row>
    <row r="3881" spans="1:29" ht="117" x14ac:dyDescent="0.15">
      <c r="A3881" s="3">
        <f>DATE(1998,5,12)</f>
        <v>35927</v>
      </c>
      <c r="B3881" s="3">
        <f>DATE(1998,8,24)</f>
        <v>36031</v>
      </c>
      <c r="C3881" s="2" t="s">
        <v>95</v>
      </c>
      <c r="D3881" s="2" t="s">
        <v>12117</v>
      </c>
      <c r="E3881" s="2" t="s">
        <v>6709</v>
      </c>
      <c r="F3881" s="4">
        <v>2836</v>
      </c>
      <c r="G3881" s="2" t="s">
        <v>130</v>
      </c>
      <c r="H3881" s="2" t="s">
        <v>34</v>
      </c>
      <c r="I3881" s="2" t="s">
        <v>12118</v>
      </c>
      <c r="J3881" s="2" t="s">
        <v>12119</v>
      </c>
      <c r="K3881" s="2" t="s">
        <v>130</v>
      </c>
      <c r="L3881" s="2" t="s">
        <v>34</v>
      </c>
      <c r="M3881" s="7">
        <v>99.296000000000006</v>
      </c>
      <c r="N3881" s="11">
        <v>3.546875</v>
      </c>
      <c r="O3881" s="6">
        <v>3.25</v>
      </c>
      <c r="P3881" s="2" t="s">
        <v>12120</v>
      </c>
      <c r="Q3881" s="6">
        <v>100</v>
      </c>
      <c r="R3881" s="6">
        <v>6.59</v>
      </c>
      <c r="S3881" s="5">
        <v>-6.6</v>
      </c>
      <c r="T3881" s="7">
        <v>-7.3879999999999999</v>
      </c>
      <c r="U3881" s="5">
        <v>2.2000000000000002</v>
      </c>
      <c r="V3881" s="6">
        <v>-0.74</v>
      </c>
      <c r="W3881" s="7">
        <v>3.625</v>
      </c>
      <c r="X3881" s="7">
        <v>3.4380000000000002</v>
      </c>
      <c r="Y3881" s="7">
        <v>4.6879999999999997</v>
      </c>
      <c r="Z3881" s="6">
        <v>4.25</v>
      </c>
      <c r="AA3881" s="6">
        <v>8.93</v>
      </c>
      <c r="AB3881" s="2" t="s">
        <v>86</v>
      </c>
      <c r="AC3881" s="2"/>
    </row>
    <row r="3882" spans="1:29" ht="52" x14ac:dyDescent="0.15">
      <c r="A3882" s="3">
        <f>DATE(1998,5,12)</f>
        <v>35927</v>
      </c>
      <c r="B3882" s="2"/>
      <c r="C3882" s="2" t="s">
        <v>141</v>
      </c>
      <c r="D3882" s="2" t="s">
        <v>12121</v>
      </c>
      <c r="E3882" s="2" t="s">
        <v>612</v>
      </c>
      <c r="F3882" s="4">
        <v>1311</v>
      </c>
      <c r="G3882" s="2" t="s">
        <v>148</v>
      </c>
      <c r="H3882" s="2" t="s">
        <v>34</v>
      </c>
      <c r="I3882" s="2" t="s">
        <v>143</v>
      </c>
      <c r="J3882" s="2" t="s">
        <v>144</v>
      </c>
      <c r="K3882" s="2" t="s">
        <v>53</v>
      </c>
      <c r="L3882" s="2" t="s">
        <v>139</v>
      </c>
      <c r="M3882" s="2"/>
      <c r="N3882" s="2"/>
      <c r="O3882" s="2"/>
      <c r="P3882" s="2" t="s">
        <v>12122</v>
      </c>
      <c r="Q3882" s="2"/>
      <c r="R3882" s="2"/>
      <c r="S3882" s="5">
        <v>5.6</v>
      </c>
      <c r="T3882" s="7">
        <v>49.014000000000003</v>
      </c>
      <c r="U3882" s="5">
        <v>7.9</v>
      </c>
      <c r="V3882" s="7">
        <v>0.14199999999999999</v>
      </c>
      <c r="W3882" s="6">
        <v>40.75</v>
      </c>
      <c r="X3882" s="4">
        <v>42</v>
      </c>
      <c r="Y3882" s="5">
        <v>42.5</v>
      </c>
      <c r="Z3882" s="7">
        <v>42.063000000000002</v>
      </c>
      <c r="AA3882" s="2"/>
      <c r="AB3882" s="2" t="s">
        <v>47</v>
      </c>
      <c r="AC3882" s="2"/>
    </row>
    <row r="3883" spans="1:29" ht="104" x14ac:dyDescent="0.15">
      <c r="A3883" s="3">
        <f>DATE(1998,5,13)</f>
        <v>35928</v>
      </c>
      <c r="B3883" s="3">
        <f>DATE(1998,6,26)</f>
        <v>35972</v>
      </c>
      <c r="C3883" s="2" t="s">
        <v>95</v>
      </c>
      <c r="D3883" s="2" t="s">
        <v>12123</v>
      </c>
      <c r="E3883" s="2" t="s">
        <v>500</v>
      </c>
      <c r="F3883" s="4">
        <v>3679</v>
      </c>
      <c r="G3883" s="2" t="s">
        <v>137</v>
      </c>
      <c r="H3883" s="2" t="s">
        <v>34</v>
      </c>
      <c r="I3883" s="2" t="s">
        <v>12124</v>
      </c>
      <c r="J3883" s="2" t="s">
        <v>12125</v>
      </c>
      <c r="K3883" s="2" t="s">
        <v>921</v>
      </c>
      <c r="L3883" s="2" t="s">
        <v>303</v>
      </c>
      <c r="M3883" s="2"/>
      <c r="N3883" s="7">
        <v>7.524</v>
      </c>
      <c r="O3883" s="7">
        <v>7.5039999999999996</v>
      </c>
      <c r="P3883" s="2" t="s">
        <v>12126</v>
      </c>
      <c r="Q3883" s="6">
        <v>100</v>
      </c>
      <c r="R3883" s="6">
        <v>17.5</v>
      </c>
      <c r="S3883" s="5">
        <v>0.7</v>
      </c>
      <c r="T3883" s="7">
        <v>1.347</v>
      </c>
      <c r="U3883" s="5">
        <v>9.1999999999999993</v>
      </c>
      <c r="V3883" s="6">
        <v>0.59</v>
      </c>
      <c r="W3883" s="7">
        <v>12.688000000000001</v>
      </c>
      <c r="X3883" s="5">
        <v>12.5</v>
      </c>
      <c r="Y3883" s="7">
        <v>17.375</v>
      </c>
      <c r="Z3883" s="7">
        <v>17.125</v>
      </c>
      <c r="AA3883" s="6">
        <v>1.0900000000000001</v>
      </c>
      <c r="AB3883" s="7">
        <v>21.798999999999999</v>
      </c>
      <c r="AC3883" s="2"/>
    </row>
    <row r="3884" spans="1:29" ht="117" x14ac:dyDescent="0.15">
      <c r="A3884" s="3">
        <f>DATE(1998,5,14)</f>
        <v>35929</v>
      </c>
      <c r="B3884" s="3">
        <f>DATE(1998,9,25)</f>
        <v>36063</v>
      </c>
      <c r="C3884" s="2" t="s">
        <v>95</v>
      </c>
      <c r="D3884" s="2" t="s">
        <v>12127</v>
      </c>
      <c r="E3884" s="2" t="s">
        <v>92</v>
      </c>
      <c r="F3884" s="4">
        <v>6798</v>
      </c>
      <c r="G3884" s="2" t="s">
        <v>53</v>
      </c>
      <c r="H3884" s="2" t="s">
        <v>34</v>
      </c>
      <c r="I3884" s="2" t="s">
        <v>12128</v>
      </c>
      <c r="J3884" s="2" t="s">
        <v>92</v>
      </c>
      <c r="K3884" s="2" t="s">
        <v>53</v>
      </c>
      <c r="L3884" s="2" t="s">
        <v>34</v>
      </c>
      <c r="M3884" s="7">
        <v>621.06200000000001</v>
      </c>
      <c r="N3884" s="6">
        <v>28.25</v>
      </c>
      <c r="O3884" s="4">
        <v>28</v>
      </c>
      <c r="P3884" s="2" t="s">
        <v>12129</v>
      </c>
      <c r="Q3884" s="6">
        <v>100</v>
      </c>
      <c r="R3884" s="6">
        <v>28.5</v>
      </c>
      <c r="S3884" s="5">
        <v>77</v>
      </c>
      <c r="T3884" s="7">
        <v>102.045</v>
      </c>
      <c r="U3884" s="5">
        <v>11.4</v>
      </c>
      <c r="V3884" s="6">
        <v>1.31</v>
      </c>
      <c r="W3884" s="6">
        <v>24.69</v>
      </c>
      <c r="X3884" s="6">
        <v>25.13</v>
      </c>
      <c r="Y3884" s="6">
        <v>28.25</v>
      </c>
      <c r="Z3884" s="4">
        <v>28</v>
      </c>
      <c r="AA3884" s="6">
        <v>59.46</v>
      </c>
      <c r="AB3884" s="7">
        <v>28.696999999999999</v>
      </c>
      <c r="AC3884" s="6">
        <v>39.24</v>
      </c>
    </row>
    <row r="3885" spans="1:29" ht="78" x14ac:dyDescent="0.15">
      <c r="A3885" s="3">
        <f>DATE(1998,5,15)</f>
        <v>35930</v>
      </c>
      <c r="B3885" s="2"/>
      <c r="C3885" s="2" t="s">
        <v>7330</v>
      </c>
      <c r="D3885" s="2" t="s">
        <v>12130</v>
      </c>
      <c r="E3885" s="2" t="s">
        <v>12131</v>
      </c>
      <c r="F3885" s="4">
        <v>1622</v>
      </c>
      <c r="G3885" s="2" t="s">
        <v>341</v>
      </c>
      <c r="H3885" s="2" t="s">
        <v>34</v>
      </c>
      <c r="I3885" s="2" t="s">
        <v>12132</v>
      </c>
      <c r="J3885" s="2" t="s">
        <v>302</v>
      </c>
      <c r="K3885" s="2" t="s">
        <v>53</v>
      </c>
      <c r="L3885" s="2" t="s">
        <v>885</v>
      </c>
      <c r="M3885" s="2"/>
      <c r="N3885" s="2"/>
      <c r="O3885" s="2"/>
      <c r="P3885" s="2" t="s">
        <v>12133</v>
      </c>
      <c r="Q3885" s="2"/>
      <c r="R3885" s="2"/>
      <c r="S3885" s="5">
        <v>0.6</v>
      </c>
      <c r="T3885" s="2"/>
      <c r="U3885" s="5">
        <v>2.5</v>
      </c>
      <c r="V3885" s="6">
        <v>0.3</v>
      </c>
      <c r="W3885" s="5">
        <v>1.5</v>
      </c>
      <c r="X3885" s="7">
        <v>1.6879999999999999</v>
      </c>
      <c r="Y3885" s="7">
        <v>1.6879999999999999</v>
      </c>
      <c r="Z3885" s="7">
        <v>1.6879999999999999</v>
      </c>
      <c r="AA3885" s="6">
        <v>1.91</v>
      </c>
      <c r="AB3885" s="7">
        <v>26.138000000000002</v>
      </c>
      <c r="AC3885" s="2"/>
    </row>
    <row r="3886" spans="1:29" ht="182" x14ac:dyDescent="0.15">
      <c r="A3886" s="3">
        <f t="shared" ref="A3886:A3891" si="68">DATE(1998,5,18)</f>
        <v>35933</v>
      </c>
      <c r="B3886" s="3">
        <f>DATE(1998,11,13)</f>
        <v>36112</v>
      </c>
      <c r="C3886" s="2" t="s">
        <v>95</v>
      </c>
      <c r="D3886" s="2" t="s">
        <v>12134</v>
      </c>
      <c r="E3886" s="2" t="s">
        <v>12135</v>
      </c>
      <c r="F3886" s="4">
        <v>6331</v>
      </c>
      <c r="G3886" s="2" t="s">
        <v>125</v>
      </c>
      <c r="H3886" s="2" t="s">
        <v>34</v>
      </c>
      <c r="I3886" s="2" t="s">
        <v>12136</v>
      </c>
      <c r="J3886" s="2" t="s">
        <v>12137</v>
      </c>
      <c r="K3886" s="2" t="s">
        <v>125</v>
      </c>
      <c r="L3886" s="2" t="s">
        <v>34</v>
      </c>
      <c r="M3886" s="2"/>
      <c r="N3886" s="2"/>
      <c r="O3886" s="2"/>
      <c r="P3886" s="2" t="s">
        <v>12138</v>
      </c>
      <c r="Q3886" s="6">
        <v>100</v>
      </c>
      <c r="R3886" s="6">
        <v>48.25</v>
      </c>
      <c r="S3886" s="5">
        <v>65.400000000000006</v>
      </c>
      <c r="T3886" s="2"/>
      <c r="U3886" s="5">
        <v>12.1</v>
      </c>
      <c r="V3886" s="6">
        <v>2.0099999999999998</v>
      </c>
      <c r="W3886" s="6">
        <v>26.87</v>
      </c>
      <c r="X3886" s="6">
        <v>27.75</v>
      </c>
      <c r="Y3886" s="7">
        <v>42.313000000000002</v>
      </c>
      <c r="Z3886" s="6">
        <v>42.75</v>
      </c>
      <c r="AA3886" s="6">
        <v>30.63</v>
      </c>
      <c r="AB3886" s="7">
        <v>17.63</v>
      </c>
      <c r="AC3886" s="2"/>
    </row>
    <row r="3887" spans="1:29" ht="195" x14ac:dyDescent="0.15">
      <c r="A3887" s="3">
        <f t="shared" si="68"/>
        <v>35933</v>
      </c>
      <c r="B3887" s="3">
        <f>DATE(1998,10,3)</f>
        <v>36071</v>
      </c>
      <c r="C3887" s="2" t="s">
        <v>95</v>
      </c>
      <c r="D3887" s="2" t="s">
        <v>12139</v>
      </c>
      <c r="E3887" s="2" t="s">
        <v>12140</v>
      </c>
      <c r="F3887" s="4">
        <v>6141</v>
      </c>
      <c r="G3887" s="2" t="s">
        <v>370</v>
      </c>
      <c r="H3887" s="2" t="s">
        <v>34</v>
      </c>
      <c r="I3887" s="2" t="s">
        <v>9991</v>
      </c>
      <c r="J3887" s="2" t="s">
        <v>159</v>
      </c>
      <c r="K3887" s="2" t="s">
        <v>37</v>
      </c>
      <c r="L3887" s="2" t="s">
        <v>34</v>
      </c>
      <c r="M3887" s="7">
        <v>252.358</v>
      </c>
      <c r="N3887" s="4">
        <v>25</v>
      </c>
      <c r="O3887" s="6">
        <v>24.75</v>
      </c>
      <c r="P3887" s="2" t="s">
        <v>12141</v>
      </c>
      <c r="Q3887" s="6">
        <v>100</v>
      </c>
      <c r="R3887" s="6">
        <v>13.97</v>
      </c>
      <c r="S3887" s="5">
        <v>7.4</v>
      </c>
      <c r="T3887" s="7">
        <v>15.952999999999999</v>
      </c>
      <c r="U3887" s="5">
        <v>9.4</v>
      </c>
      <c r="V3887" s="6">
        <v>0.46</v>
      </c>
      <c r="W3887" s="4">
        <v>16</v>
      </c>
      <c r="X3887" s="7">
        <v>15.938000000000001</v>
      </c>
      <c r="Y3887" s="7">
        <v>15.875</v>
      </c>
      <c r="Z3887" s="4">
        <v>16</v>
      </c>
      <c r="AA3887" s="6">
        <v>17.190000000000001</v>
      </c>
      <c r="AB3887" s="7">
        <v>34.360999999999997</v>
      </c>
      <c r="AC3887" s="2"/>
    </row>
    <row r="3888" spans="1:29" ht="143" x14ac:dyDescent="0.15">
      <c r="A3888" s="3">
        <f t="shared" si="68"/>
        <v>35933</v>
      </c>
      <c r="B3888" s="3">
        <f>DATE(1998,8,19)</f>
        <v>36026</v>
      </c>
      <c r="C3888" s="2" t="s">
        <v>95</v>
      </c>
      <c r="D3888" s="2" t="s">
        <v>5284</v>
      </c>
      <c r="E3888" s="2" t="s">
        <v>1821</v>
      </c>
      <c r="F3888" s="4">
        <v>5311</v>
      </c>
      <c r="G3888" s="2" t="s">
        <v>756</v>
      </c>
      <c r="H3888" s="2" t="s">
        <v>34</v>
      </c>
      <c r="I3888" s="2" t="s">
        <v>12142</v>
      </c>
      <c r="J3888" s="2" t="s">
        <v>1063</v>
      </c>
      <c r="K3888" s="2" t="s">
        <v>756</v>
      </c>
      <c r="L3888" s="2" t="s">
        <v>34</v>
      </c>
      <c r="M3888" s="12">
        <v>4061.422</v>
      </c>
      <c r="N3888" s="4">
        <v>43</v>
      </c>
      <c r="O3888" s="7">
        <v>42.875</v>
      </c>
      <c r="P3888" s="2" t="s">
        <v>12143</v>
      </c>
      <c r="Q3888" s="6">
        <v>100</v>
      </c>
      <c r="R3888" s="6">
        <v>80</v>
      </c>
      <c r="S3888" s="5">
        <v>129.69999999999999</v>
      </c>
      <c r="T3888" s="7">
        <v>288.31799999999998</v>
      </c>
      <c r="U3888" s="5">
        <v>44.8</v>
      </c>
      <c r="V3888" s="6">
        <v>3.53</v>
      </c>
      <c r="W3888" s="4">
        <v>73</v>
      </c>
      <c r="X3888" s="7">
        <v>73.313000000000002</v>
      </c>
      <c r="Y3888" s="7">
        <v>78.625</v>
      </c>
      <c r="Z3888" s="7">
        <v>78.875</v>
      </c>
      <c r="AA3888" s="6">
        <v>36.75</v>
      </c>
      <c r="AB3888" s="7">
        <v>14.455</v>
      </c>
      <c r="AC3888" s="6">
        <v>41.83</v>
      </c>
    </row>
    <row r="3889" spans="1:29" ht="117" x14ac:dyDescent="0.15">
      <c r="A3889" s="3">
        <f t="shared" si="68"/>
        <v>35933</v>
      </c>
      <c r="B3889" s="3">
        <f>DATE(1998,8,7)</f>
        <v>36014</v>
      </c>
      <c r="C3889" s="2" t="s">
        <v>95</v>
      </c>
      <c r="D3889" s="2" t="s">
        <v>12144</v>
      </c>
      <c r="E3889" s="2" t="s">
        <v>12145</v>
      </c>
      <c r="F3889" s="4">
        <v>2834</v>
      </c>
      <c r="G3889" s="2" t="s">
        <v>130</v>
      </c>
      <c r="H3889" s="2" t="s">
        <v>34</v>
      </c>
      <c r="I3889" s="2" t="s">
        <v>6702</v>
      </c>
      <c r="J3889" s="2" t="s">
        <v>6703</v>
      </c>
      <c r="K3889" s="2" t="s">
        <v>593</v>
      </c>
      <c r="L3889" s="2" t="s">
        <v>34</v>
      </c>
      <c r="M3889" s="12">
        <v>9945.7170000000006</v>
      </c>
      <c r="N3889" s="4">
        <v>90</v>
      </c>
      <c r="O3889" s="7">
        <v>89.875</v>
      </c>
      <c r="P3889" s="2" t="s">
        <v>12146</v>
      </c>
      <c r="Q3889" s="6">
        <v>100</v>
      </c>
      <c r="R3889" s="6">
        <v>90.96</v>
      </c>
      <c r="S3889" s="5">
        <v>69.7</v>
      </c>
      <c r="T3889" s="7">
        <v>135.39500000000001</v>
      </c>
      <c r="U3889" s="5">
        <v>16.600000000000001</v>
      </c>
      <c r="V3889" s="6">
        <v>2.81</v>
      </c>
      <c r="W3889" s="6">
        <v>73.75</v>
      </c>
      <c r="X3889" s="7">
        <v>77.438000000000002</v>
      </c>
      <c r="Y3889" s="4">
        <v>84</v>
      </c>
      <c r="Z3889" s="7">
        <v>82.875</v>
      </c>
      <c r="AA3889" s="6">
        <v>24.16</v>
      </c>
      <c r="AB3889" s="7">
        <v>23.161000000000001</v>
      </c>
      <c r="AC3889" s="6">
        <v>243.06</v>
      </c>
    </row>
    <row r="3890" spans="1:29" ht="26" x14ac:dyDescent="0.15">
      <c r="A3890" s="3">
        <f t="shared" si="68"/>
        <v>35933</v>
      </c>
      <c r="B3890" s="2"/>
      <c r="C3890" s="2" t="s">
        <v>189</v>
      </c>
      <c r="D3890" s="2" t="s">
        <v>12147</v>
      </c>
      <c r="E3890" s="2" t="s">
        <v>12148</v>
      </c>
      <c r="F3890" s="4">
        <v>7372</v>
      </c>
      <c r="G3890" s="2" t="s">
        <v>551</v>
      </c>
      <c r="H3890" s="2" t="s">
        <v>34</v>
      </c>
      <c r="I3890" s="2" t="s">
        <v>143</v>
      </c>
      <c r="J3890" s="2" t="s">
        <v>144</v>
      </c>
      <c r="K3890" s="2" t="s">
        <v>53</v>
      </c>
      <c r="L3890" s="2" t="s">
        <v>139</v>
      </c>
      <c r="M3890" s="2"/>
      <c r="N3890" s="2"/>
      <c r="O3890" s="2"/>
      <c r="P3890" s="2" t="s">
        <v>12149</v>
      </c>
      <c r="Q3890" s="2"/>
      <c r="R3890" s="2"/>
      <c r="S3890" s="5">
        <v>0.8</v>
      </c>
      <c r="T3890" s="7">
        <v>2.9209999999999998</v>
      </c>
      <c r="U3890" s="5">
        <v>0.8</v>
      </c>
      <c r="V3890" s="7">
        <v>7.4999999999999997E-2</v>
      </c>
      <c r="W3890" s="7">
        <v>7.0309999999999997</v>
      </c>
      <c r="X3890" s="7">
        <v>7.375</v>
      </c>
      <c r="Y3890" s="7">
        <v>8.125</v>
      </c>
      <c r="Z3890" s="7">
        <v>8.375</v>
      </c>
      <c r="AA3890" s="6">
        <v>11.06</v>
      </c>
      <c r="AB3890" s="2" t="s">
        <v>47</v>
      </c>
      <c r="AC3890" s="2"/>
    </row>
    <row r="3891" spans="1:29" ht="104" x14ac:dyDescent="0.15">
      <c r="A3891" s="3">
        <f t="shared" si="68"/>
        <v>35933</v>
      </c>
      <c r="B3891" s="3">
        <f>DATE(1998,8,26)</f>
        <v>36033</v>
      </c>
      <c r="C3891" s="2" t="s">
        <v>95</v>
      </c>
      <c r="D3891" s="2" t="s">
        <v>12150</v>
      </c>
      <c r="E3891" s="2" t="s">
        <v>12151</v>
      </c>
      <c r="F3891" s="4">
        <v>5961</v>
      </c>
      <c r="G3891" s="2" t="s">
        <v>73</v>
      </c>
      <c r="H3891" s="2" t="s">
        <v>34</v>
      </c>
      <c r="I3891" s="2" t="s">
        <v>1569</v>
      </c>
      <c r="J3891" s="2" t="s">
        <v>8495</v>
      </c>
      <c r="K3891" s="2" t="s">
        <v>73</v>
      </c>
      <c r="L3891" s="2" t="s">
        <v>34</v>
      </c>
      <c r="M3891" s="10">
        <v>5365.65</v>
      </c>
      <c r="N3891" s="7">
        <v>31.062999999999999</v>
      </c>
      <c r="O3891" s="7">
        <v>30.937999999999999</v>
      </c>
      <c r="P3891" s="2" t="s">
        <v>12152</v>
      </c>
      <c r="Q3891" s="6">
        <v>100</v>
      </c>
      <c r="R3891" s="6">
        <v>34.44</v>
      </c>
      <c r="S3891" s="5">
        <v>70.099999999999994</v>
      </c>
      <c r="T3891" s="7">
        <v>113.72199999999999</v>
      </c>
      <c r="U3891" s="5">
        <v>4.2</v>
      </c>
      <c r="V3891" s="6">
        <v>0.81</v>
      </c>
      <c r="W3891" s="7">
        <v>24.187999999999999</v>
      </c>
      <c r="X3891" s="7">
        <v>23.937999999999999</v>
      </c>
      <c r="Y3891" s="7">
        <v>29.812999999999999</v>
      </c>
      <c r="Z3891" s="7">
        <v>29.875</v>
      </c>
      <c r="AA3891" s="6">
        <v>85.07</v>
      </c>
      <c r="AB3891" s="7">
        <v>31.728999999999999</v>
      </c>
      <c r="AC3891" s="6">
        <v>199.64</v>
      </c>
    </row>
    <row r="3892" spans="1:29" ht="52" x14ac:dyDescent="0.15">
      <c r="A3892" s="3">
        <f>DATE(1998,5,19)</f>
        <v>35934</v>
      </c>
      <c r="B3892" s="3">
        <f>DATE(1998,9,28)</f>
        <v>36066</v>
      </c>
      <c r="C3892" s="2" t="s">
        <v>95</v>
      </c>
      <c r="D3892" s="2" t="s">
        <v>12153</v>
      </c>
      <c r="E3892" s="2" t="s">
        <v>4801</v>
      </c>
      <c r="F3892" s="4">
        <v>3572</v>
      </c>
      <c r="G3892" s="2" t="s">
        <v>50</v>
      </c>
      <c r="H3892" s="2" t="s">
        <v>34</v>
      </c>
      <c r="I3892" s="2" t="s">
        <v>12154</v>
      </c>
      <c r="J3892" s="2" t="s">
        <v>12155</v>
      </c>
      <c r="K3892" s="2" t="s">
        <v>50</v>
      </c>
      <c r="L3892" s="2" t="s">
        <v>34</v>
      </c>
      <c r="M3892" s="12">
        <v>3394.2649999999999</v>
      </c>
      <c r="N3892" s="5">
        <v>22.5</v>
      </c>
      <c r="O3892" s="7">
        <v>22.625</v>
      </c>
      <c r="P3892" s="2" t="s">
        <v>12156</v>
      </c>
      <c r="Q3892" s="6">
        <v>100</v>
      </c>
      <c r="R3892" s="6">
        <v>29</v>
      </c>
      <c r="S3892" s="5">
        <v>8.1</v>
      </c>
      <c r="T3892" s="7">
        <v>13.606</v>
      </c>
      <c r="U3892" s="5">
        <v>1.8</v>
      </c>
      <c r="V3892" s="6">
        <v>0.83</v>
      </c>
      <c r="W3892" s="7">
        <v>24.375</v>
      </c>
      <c r="X3892" s="6">
        <v>26.75</v>
      </c>
      <c r="Y3892" s="7">
        <v>26.562999999999999</v>
      </c>
      <c r="Z3892" s="6">
        <v>26.25</v>
      </c>
      <c r="AA3892" s="6">
        <v>9.66</v>
      </c>
      <c r="AB3892" s="7">
        <v>26.919</v>
      </c>
      <c r="AC3892" s="6">
        <v>713.72</v>
      </c>
    </row>
    <row r="3893" spans="1:29" ht="52" x14ac:dyDescent="0.15">
      <c r="A3893" s="3">
        <f>DATE(1998,5,19)</f>
        <v>35934</v>
      </c>
      <c r="B3893" s="2"/>
      <c r="C3893" s="2" t="s">
        <v>87</v>
      </c>
      <c r="D3893" s="2" t="s">
        <v>12157</v>
      </c>
      <c r="E3893" s="2" t="s">
        <v>12158</v>
      </c>
      <c r="F3893" s="4">
        <v>6211</v>
      </c>
      <c r="G3893" s="2" t="s">
        <v>53</v>
      </c>
      <c r="H3893" s="2" t="s">
        <v>34</v>
      </c>
      <c r="I3893" s="2" t="s">
        <v>3932</v>
      </c>
      <c r="J3893" s="2" t="s">
        <v>159</v>
      </c>
      <c r="K3893" s="2" t="s">
        <v>37</v>
      </c>
      <c r="L3893" s="2" t="s">
        <v>2105</v>
      </c>
      <c r="M3893" s="2"/>
      <c r="N3893" s="2"/>
      <c r="O3893" s="2"/>
      <c r="P3893" s="2" t="s">
        <v>12159</v>
      </c>
      <c r="Q3893" s="2"/>
      <c r="R3893" s="2"/>
      <c r="S3893" s="5">
        <v>613.29999999999995</v>
      </c>
      <c r="T3893" s="12">
        <v>1103.4090000000001</v>
      </c>
      <c r="U3893" s="5">
        <v>22.8</v>
      </c>
      <c r="V3893" s="9">
        <v>3.8094999999999999</v>
      </c>
      <c r="W3893" s="4">
        <v>55</v>
      </c>
      <c r="X3893" s="7">
        <v>52.938000000000002</v>
      </c>
      <c r="Y3893" s="7">
        <v>52.875</v>
      </c>
      <c r="Z3893" s="4">
        <v>56</v>
      </c>
      <c r="AA3893" s="6">
        <v>113.76</v>
      </c>
      <c r="AB3893" s="2" t="s">
        <v>47</v>
      </c>
      <c r="AC3893" s="2"/>
    </row>
    <row r="3894" spans="1:29" ht="52" x14ac:dyDescent="0.15">
      <c r="A3894" s="3">
        <f>DATE(1998,5,19)</f>
        <v>35934</v>
      </c>
      <c r="B3894" s="3">
        <f>DATE(1998,11,16)</f>
        <v>36115</v>
      </c>
      <c r="C3894" s="2" t="s">
        <v>95</v>
      </c>
      <c r="D3894" s="2" t="s">
        <v>12160</v>
      </c>
      <c r="E3894" s="2" t="s">
        <v>500</v>
      </c>
      <c r="F3894" s="4">
        <v>3671</v>
      </c>
      <c r="G3894" s="2" t="s">
        <v>137</v>
      </c>
      <c r="H3894" s="2" t="s">
        <v>34</v>
      </c>
      <c r="I3894" s="2" t="s">
        <v>12161</v>
      </c>
      <c r="J3894" s="2" t="s">
        <v>209</v>
      </c>
      <c r="K3894" s="2" t="s">
        <v>137</v>
      </c>
      <c r="L3894" s="2" t="s">
        <v>34</v>
      </c>
      <c r="M3894" s="7">
        <v>660.89099999999996</v>
      </c>
      <c r="N3894" s="7">
        <v>41.438000000000002</v>
      </c>
      <c r="O3894" s="7">
        <v>41.438000000000002</v>
      </c>
      <c r="P3894" s="2" t="s">
        <v>12162</v>
      </c>
      <c r="Q3894" s="6">
        <v>100</v>
      </c>
      <c r="R3894" s="6">
        <v>3.1</v>
      </c>
      <c r="S3894" s="5">
        <v>-3.1</v>
      </c>
      <c r="T3894" s="7">
        <v>3.2930000000000001</v>
      </c>
      <c r="U3894" s="5">
        <v>6.2</v>
      </c>
      <c r="V3894" s="6">
        <v>-0.38</v>
      </c>
      <c r="W3894" s="7">
        <v>2.3130000000000002</v>
      </c>
      <c r="X3894" s="7">
        <v>3.0630000000000002</v>
      </c>
      <c r="Y3894" s="6">
        <v>2.75</v>
      </c>
      <c r="Z3894" s="7">
        <v>2.6880000000000002</v>
      </c>
      <c r="AA3894" s="6">
        <v>8.9700000000000006</v>
      </c>
      <c r="AB3894" s="2" t="s">
        <v>86</v>
      </c>
      <c r="AC3894" s="6">
        <v>48.8</v>
      </c>
    </row>
    <row r="3895" spans="1:29" ht="52" x14ac:dyDescent="0.15">
      <c r="A3895" s="3">
        <f>DATE(1998,5,19)</f>
        <v>35934</v>
      </c>
      <c r="B3895" s="3">
        <f>DATE(1998,10,28)</f>
        <v>36096</v>
      </c>
      <c r="C3895" s="2" t="s">
        <v>95</v>
      </c>
      <c r="D3895" s="2" t="s">
        <v>12163</v>
      </c>
      <c r="E3895" s="2" t="s">
        <v>7684</v>
      </c>
      <c r="F3895" s="4">
        <v>5411</v>
      </c>
      <c r="G3895" s="2" t="s">
        <v>1461</v>
      </c>
      <c r="H3895" s="2" t="s">
        <v>34</v>
      </c>
      <c r="I3895" s="2" t="s">
        <v>7683</v>
      </c>
      <c r="J3895" s="2" t="s">
        <v>7684</v>
      </c>
      <c r="K3895" s="2" t="s">
        <v>1461</v>
      </c>
      <c r="L3895" s="2" t="s">
        <v>2105</v>
      </c>
      <c r="M3895" s="2"/>
      <c r="N3895" s="2"/>
      <c r="O3895" s="2"/>
      <c r="P3895" s="2" t="s">
        <v>12164</v>
      </c>
      <c r="Q3895" s="6">
        <v>100</v>
      </c>
      <c r="R3895" s="6">
        <v>43</v>
      </c>
      <c r="S3895" s="5">
        <v>71.2</v>
      </c>
      <c r="T3895" s="7">
        <v>203.92500000000001</v>
      </c>
      <c r="U3895" s="5">
        <v>15</v>
      </c>
      <c r="V3895" s="6">
        <v>1.18</v>
      </c>
      <c r="W3895" s="7">
        <v>38.188000000000002</v>
      </c>
      <c r="X3895" s="7">
        <v>37.688000000000002</v>
      </c>
      <c r="Y3895" s="7">
        <v>42.688000000000002</v>
      </c>
      <c r="Z3895" s="7">
        <v>42.688000000000002</v>
      </c>
      <c r="AA3895" s="6">
        <v>60.04</v>
      </c>
      <c r="AB3895" s="7">
        <v>25.952000000000002</v>
      </c>
      <c r="AC3895" s="5">
        <v>323.10000000000002</v>
      </c>
    </row>
    <row r="3896" spans="1:29" ht="130" x14ac:dyDescent="0.15">
      <c r="A3896" s="3">
        <f>DATE(1998,5,19)</f>
        <v>35934</v>
      </c>
      <c r="B3896" s="3">
        <f>DATE(1998,11,16)</f>
        <v>36115</v>
      </c>
      <c r="C3896" s="2" t="s">
        <v>95</v>
      </c>
      <c r="D3896" s="2" t="s">
        <v>12165</v>
      </c>
      <c r="E3896" s="2" t="s">
        <v>12166</v>
      </c>
      <c r="F3896" s="4">
        <v>7373</v>
      </c>
      <c r="G3896" s="2" t="s">
        <v>223</v>
      </c>
      <c r="H3896" s="2" t="s">
        <v>34</v>
      </c>
      <c r="I3896" s="2" t="s">
        <v>1463</v>
      </c>
      <c r="J3896" s="2" t="s">
        <v>1464</v>
      </c>
      <c r="K3896" s="2" t="s">
        <v>223</v>
      </c>
      <c r="L3896" s="2" t="s">
        <v>34</v>
      </c>
      <c r="M3896" s="7">
        <v>228.50899999999999</v>
      </c>
      <c r="N3896" s="7">
        <v>21.312999999999999</v>
      </c>
      <c r="O3896" s="7">
        <v>20.875</v>
      </c>
      <c r="P3896" s="2" t="s">
        <v>12167</v>
      </c>
      <c r="Q3896" s="6">
        <v>100</v>
      </c>
      <c r="R3896" s="6">
        <v>18.13</v>
      </c>
      <c r="S3896" s="5">
        <v>0.6</v>
      </c>
      <c r="T3896" s="7">
        <v>2.9470000000000001</v>
      </c>
      <c r="U3896" s="5">
        <v>4.0999999999999996</v>
      </c>
      <c r="V3896" s="7">
        <v>0.44900000000000001</v>
      </c>
      <c r="W3896" s="6">
        <v>12.75</v>
      </c>
      <c r="X3896" s="5">
        <v>14.5</v>
      </c>
      <c r="Y3896" s="7">
        <v>16.875</v>
      </c>
      <c r="Z3896" s="5">
        <v>16.5</v>
      </c>
      <c r="AA3896" s="6">
        <v>1.92</v>
      </c>
      <c r="AB3896" s="7">
        <v>22.664000000000001</v>
      </c>
      <c r="AC3896" s="6">
        <v>2.02</v>
      </c>
    </row>
    <row r="3897" spans="1:29" ht="78" x14ac:dyDescent="0.15">
      <c r="A3897" s="3">
        <f>DATE(1998,5,20)</f>
        <v>35935</v>
      </c>
      <c r="B3897" s="3">
        <f>DATE(1998,9,15)</f>
        <v>36053</v>
      </c>
      <c r="C3897" s="2" t="s">
        <v>95</v>
      </c>
      <c r="D3897" s="2" t="s">
        <v>12168</v>
      </c>
      <c r="E3897" s="2" t="s">
        <v>12169</v>
      </c>
      <c r="F3897" s="4">
        <v>7629</v>
      </c>
      <c r="G3897" s="2" t="s">
        <v>1327</v>
      </c>
      <c r="H3897" s="2" t="s">
        <v>34</v>
      </c>
      <c r="I3897" s="2" t="s">
        <v>12170</v>
      </c>
      <c r="J3897" s="2" t="s">
        <v>12171</v>
      </c>
      <c r="K3897" s="2" t="s">
        <v>226</v>
      </c>
      <c r="L3897" s="2" t="s">
        <v>34</v>
      </c>
      <c r="M3897" s="2"/>
      <c r="N3897" s="2"/>
      <c r="O3897" s="2"/>
      <c r="P3897" s="2" t="s">
        <v>12172</v>
      </c>
      <c r="Q3897" s="6">
        <v>100</v>
      </c>
      <c r="R3897" s="6">
        <v>4.25</v>
      </c>
      <c r="S3897" s="5">
        <v>-2.7</v>
      </c>
      <c r="T3897" s="7">
        <v>-0.93700000000000006</v>
      </c>
      <c r="U3897" s="5">
        <v>1.9</v>
      </c>
      <c r="V3897" s="6">
        <v>-0.65</v>
      </c>
      <c r="W3897" s="7">
        <v>3.2189999999999999</v>
      </c>
      <c r="X3897" s="6">
        <v>3.25</v>
      </c>
      <c r="Y3897" s="4">
        <v>4</v>
      </c>
      <c r="Z3897" s="4">
        <v>4</v>
      </c>
      <c r="AA3897" s="6">
        <v>3.01</v>
      </c>
      <c r="AB3897" s="2" t="s">
        <v>86</v>
      </c>
      <c r="AC3897" s="2"/>
    </row>
    <row r="3898" spans="1:29" ht="52" x14ac:dyDescent="0.15">
      <c r="A3898" s="3">
        <f>DATE(1998,5,20)</f>
        <v>35935</v>
      </c>
      <c r="B3898" s="3">
        <f>DATE(1998,10,22)</f>
        <v>36090</v>
      </c>
      <c r="C3898" s="2" t="s">
        <v>95</v>
      </c>
      <c r="D3898" s="2" t="s">
        <v>12173</v>
      </c>
      <c r="E3898" s="2" t="s">
        <v>12174</v>
      </c>
      <c r="F3898" s="4">
        <v>4923</v>
      </c>
      <c r="G3898" s="2" t="s">
        <v>439</v>
      </c>
      <c r="H3898" s="2" t="s">
        <v>34</v>
      </c>
      <c r="I3898" s="2" t="s">
        <v>12175</v>
      </c>
      <c r="J3898" s="2" t="s">
        <v>1888</v>
      </c>
      <c r="K3898" s="2" t="s">
        <v>439</v>
      </c>
      <c r="L3898" s="2" t="s">
        <v>34</v>
      </c>
      <c r="M3898" s="2"/>
      <c r="N3898" s="2"/>
      <c r="O3898" s="2"/>
      <c r="P3898" s="2" t="s">
        <v>12176</v>
      </c>
      <c r="Q3898" s="6">
        <v>100</v>
      </c>
      <c r="R3898" s="6">
        <v>13</v>
      </c>
      <c r="S3898" s="5">
        <v>3.5</v>
      </c>
      <c r="T3898" s="7">
        <v>7.9809999999999999</v>
      </c>
      <c r="U3898" s="5">
        <v>6.2</v>
      </c>
      <c r="V3898" s="6">
        <v>0.49</v>
      </c>
      <c r="W3898" s="4">
        <v>11</v>
      </c>
      <c r="X3898" s="7">
        <v>12.188000000000001</v>
      </c>
      <c r="Y3898" s="7">
        <v>12.125</v>
      </c>
      <c r="Z3898" s="6">
        <v>12.75</v>
      </c>
      <c r="AA3898" s="6">
        <v>7.16</v>
      </c>
      <c r="AB3898" s="7">
        <v>19.643999999999998</v>
      </c>
      <c r="AC3898" s="2"/>
    </row>
    <row r="3899" spans="1:29" ht="65" x14ac:dyDescent="0.15">
      <c r="A3899" s="3">
        <f>DATE(1998,5,21)</f>
        <v>35936</v>
      </c>
      <c r="B3899" s="2"/>
      <c r="C3899" s="2" t="s">
        <v>30</v>
      </c>
      <c r="D3899" s="2" t="s">
        <v>12177</v>
      </c>
      <c r="E3899" s="2" t="s">
        <v>12178</v>
      </c>
      <c r="F3899" s="4">
        <v>7372</v>
      </c>
      <c r="G3899" s="2" t="s">
        <v>551</v>
      </c>
      <c r="H3899" s="2" t="s">
        <v>34</v>
      </c>
      <c r="I3899" s="2" t="s">
        <v>9298</v>
      </c>
      <c r="J3899" s="2" t="s">
        <v>9299</v>
      </c>
      <c r="K3899" s="2" t="s">
        <v>53</v>
      </c>
      <c r="L3899" s="2" t="s">
        <v>34</v>
      </c>
      <c r="M3899" s="7">
        <v>267.28800000000001</v>
      </c>
      <c r="N3899" s="5">
        <v>10.5</v>
      </c>
      <c r="O3899" s="7">
        <v>10.875</v>
      </c>
      <c r="P3899" s="2" t="s">
        <v>12179</v>
      </c>
      <c r="Q3899" s="2"/>
      <c r="R3899" s="6">
        <v>72</v>
      </c>
      <c r="S3899" s="5">
        <v>-28.3</v>
      </c>
      <c r="T3899" s="7">
        <v>-13.023999999999999</v>
      </c>
      <c r="U3899" s="5">
        <v>1.4</v>
      </c>
      <c r="V3899" s="7">
        <v>-1.7769999999999999</v>
      </c>
      <c r="W3899" s="7">
        <v>61.780999999999999</v>
      </c>
      <c r="X3899" s="7">
        <v>60.188000000000002</v>
      </c>
      <c r="Y3899" s="4">
        <v>61</v>
      </c>
      <c r="Z3899" s="7">
        <v>59.375</v>
      </c>
      <c r="AA3899" s="6">
        <v>23.44</v>
      </c>
      <c r="AB3899" s="2" t="s">
        <v>86</v>
      </c>
      <c r="AC3899" s="6">
        <v>59.94</v>
      </c>
    </row>
    <row r="3900" spans="1:29" ht="208" x14ac:dyDescent="0.15">
      <c r="A3900" s="3">
        <f>DATE(1998,5,21)</f>
        <v>35936</v>
      </c>
      <c r="B3900" s="3">
        <f>DATE(1998,10,2)</f>
        <v>36070</v>
      </c>
      <c r="C3900" s="2" t="s">
        <v>95</v>
      </c>
      <c r="D3900" s="2" t="s">
        <v>12180</v>
      </c>
      <c r="E3900" s="2" t="s">
        <v>1181</v>
      </c>
      <c r="F3900" s="4">
        <v>6021</v>
      </c>
      <c r="G3900" s="2" t="s">
        <v>37</v>
      </c>
      <c r="H3900" s="2" t="s">
        <v>34</v>
      </c>
      <c r="I3900" s="2" t="s">
        <v>10949</v>
      </c>
      <c r="J3900" s="2" t="s">
        <v>1181</v>
      </c>
      <c r="K3900" s="2" t="s">
        <v>37</v>
      </c>
      <c r="L3900" s="2" t="s">
        <v>34</v>
      </c>
      <c r="M3900" s="12">
        <v>1286.086</v>
      </c>
      <c r="N3900" s="6">
        <v>72.75</v>
      </c>
      <c r="O3900" s="4">
        <v>73</v>
      </c>
      <c r="P3900" s="2" t="s">
        <v>12181</v>
      </c>
      <c r="Q3900" s="6">
        <v>100</v>
      </c>
      <c r="R3900" s="6">
        <v>25.6</v>
      </c>
      <c r="S3900" s="5">
        <v>30.9</v>
      </c>
      <c r="T3900" s="7">
        <v>45.618000000000002</v>
      </c>
      <c r="U3900" s="5">
        <v>7.5</v>
      </c>
      <c r="V3900" s="6">
        <v>1.22</v>
      </c>
      <c r="W3900" s="5">
        <v>26.5</v>
      </c>
      <c r="X3900" s="4">
        <v>27</v>
      </c>
      <c r="Y3900" s="7">
        <v>26.812999999999999</v>
      </c>
      <c r="Z3900" s="7">
        <v>26.875</v>
      </c>
      <c r="AA3900" s="6">
        <v>23.36</v>
      </c>
      <c r="AB3900" s="7">
        <v>22.984999999999999</v>
      </c>
      <c r="AC3900" s="2"/>
    </row>
    <row r="3901" spans="1:29" ht="91" x14ac:dyDescent="0.15">
      <c r="A3901" s="3">
        <f>DATE(1998,5,22)</f>
        <v>35937</v>
      </c>
      <c r="B3901" s="2"/>
      <c r="C3901" s="2" t="s">
        <v>30</v>
      </c>
      <c r="D3901" s="2" t="s">
        <v>11790</v>
      </c>
      <c r="E3901" s="2" t="s">
        <v>11791</v>
      </c>
      <c r="F3901" s="4">
        <v>5013</v>
      </c>
      <c r="G3901" s="2" t="s">
        <v>76</v>
      </c>
      <c r="H3901" s="2" t="s">
        <v>34</v>
      </c>
      <c r="I3901" s="2" t="s">
        <v>10009</v>
      </c>
      <c r="J3901" s="2" t="s">
        <v>10010</v>
      </c>
      <c r="K3901" s="2" t="s">
        <v>53</v>
      </c>
      <c r="L3901" s="2" t="s">
        <v>34</v>
      </c>
      <c r="M3901" s="2"/>
      <c r="N3901" s="2"/>
      <c r="O3901" s="2"/>
      <c r="P3901" s="2" t="s">
        <v>12182</v>
      </c>
      <c r="Q3901" s="2"/>
      <c r="R3901" s="6">
        <v>21.75</v>
      </c>
      <c r="S3901" s="5">
        <v>5.5</v>
      </c>
      <c r="T3901" s="6">
        <v>13.52</v>
      </c>
      <c r="U3901" s="5">
        <v>12.2</v>
      </c>
      <c r="V3901" s="6">
        <v>1.04</v>
      </c>
      <c r="W3901" s="4">
        <v>13</v>
      </c>
      <c r="X3901" s="7">
        <v>14.938000000000001</v>
      </c>
      <c r="Y3901" s="5">
        <v>20.5</v>
      </c>
      <c r="Z3901" s="5">
        <v>20.5</v>
      </c>
      <c r="AA3901" s="6">
        <v>5.16</v>
      </c>
      <c r="AB3901" s="7">
        <v>16.306999999999999</v>
      </c>
      <c r="AC3901" s="2"/>
    </row>
    <row r="3902" spans="1:29" ht="39" x14ac:dyDescent="0.15">
      <c r="A3902" s="3">
        <f>DATE(1998,5,22)</f>
        <v>35937</v>
      </c>
      <c r="B3902" s="3">
        <f>DATE(1998,7,22)</f>
        <v>35998</v>
      </c>
      <c r="C3902" s="2" t="s">
        <v>95</v>
      </c>
      <c r="D3902" s="2" t="s">
        <v>12183</v>
      </c>
      <c r="E3902" s="2" t="s">
        <v>12184</v>
      </c>
      <c r="F3902" s="4">
        <v>2082</v>
      </c>
      <c r="G3902" s="2" t="s">
        <v>577</v>
      </c>
      <c r="H3902" s="2" t="s">
        <v>34</v>
      </c>
      <c r="I3902" s="2" t="s">
        <v>12185</v>
      </c>
      <c r="J3902" s="2" t="s">
        <v>12186</v>
      </c>
      <c r="K3902" s="2" t="s">
        <v>577</v>
      </c>
      <c r="L3902" s="2" t="s">
        <v>34</v>
      </c>
      <c r="M3902" s="2"/>
      <c r="N3902" s="2"/>
      <c r="O3902" s="2"/>
      <c r="P3902" s="2" t="s">
        <v>12187</v>
      </c>
      <c r="Q3902" s="6">
        <v>100</v>
      </c>
      <c r="R3902" s="6">
        <v>6.38</v>
      </c>
      <c r="S3902" s="5">
        <v>-6.1</v>
      </c>
      <c r="T3902" s="7">
        <v>-7.282</v>
      </c>
      <c r="U3902" s="5">
        <v>4.2</v>
      </c>
      <c r="V3902" s="6">
        <v>-0.56999999999999995</v>
      </c>
      <c r="W3902" s="7">
        <v>4.5629999999999997</v>
      </c>
      <c r="X3902" s="4">
        <v>6</v>
      </c>
      <c r="Y3902" s="7">
        <v>5.875</v>
      </c>
      <c r="Z3902" s="7">
        <v>5.875</v>
      </c>
      <c r="AA3902" s="6">
        <v>10.82</v>
      </c>
      <c r="AB3902" s="2" t="s">
        <v>86</v>
      </c>
      <c r="AC3902" s="2"/>
    </row>
    <row r="3903" spans="1:29" ht="104" x14ac:dyDescent="0.15">
      <c r="A3903" s="3">
        <f>DATE(1998,5,25)</f>
        <v>35940</v>
      </c>
      <c r="B3903" s="3">
        <f>DATE(1998,10,1)</f>
        <v>36069</v>
      </c>
      <c r="C3903" s="2" t="s">
        <v>95</v>
      </c>
      <c r="D3903" s="2" t="s">
        <v>4983</v>
      </c>
      <c r="E3903" s="2" t="s">
        <v>4984</v>
      </c>
      <c r="F3903" s="4">
        <v>5049</v>
      </c>
      <c r="G3903" s="2" t="s">
        <v>76</v>
      </c>
      <c r="H3903" s="2" t="s">
        <v>34</v>
      </c>
      <c r="I3903" s="2" t="s">
        <v>9732</v>
      </c>
      <c r="J3903" s="2" t="s">
        <v>9733</v>
      </c>
      <c r="K3903" s="2" t="s">
        <v>300</v>
      </c>
      <c r="L3903" s="2" t="s">
        <v>1791</v>
      </c>
      <c r="M3903" s="2"/>
      <c r="N3903" s="9">
        <v>55.6875</v>
      </c>
      <c r="O3903" s="6">
        <v>53.75</v>
      </c>
      <c r="P3903" s="2" t="s">
        <v>12188</v>
      </c>
      <c r="Q3903" s="6">
        <v>100</v>
      </c>
      <c r="R3903" s="6">
        <v>42.38</v>
      </c>
      <c r="S3903" s="5">
        <v>94.1</v>
      </c>
      <c r="T3903" s="5">
        <v>258.10000000000002</v>
      </c>
      <c r="U3903" s="5">
        <v>16.600000000000001</v>
      </c>
      <c r="V3903" s="6">
        <v>1.21</v>
      </c>
      <c r="W3903" s="7">
        <v>33.688000000000002</v>
      </c>
      <c r="X3903" s="6">
        <v>39.25</v>
      </c>
      <c r="Y3903" s="6">
        <v>39.25</v>
      </c>
      <c r="Z3903" s="7">
        <v>38.688000000000002</v>
      </c>
      <c r="AA3903" s="6">
        <v>76.66</v>
      </c>
      <c r="AB3903" s="7">
        <v>21.186</v>
      </c>
      <c r="AC3903" s="5">
        <v>369.8</v>
      </c>
    </row>
    <row r="3904" spans="1:29" ht="26" x14ac:dyDescent="0.15">
      <c r="A3904" s="3">
        <f>DATE(1998,5,26)</f>
        <v>35941</v>
      </c>
      <c r="B3904" s="2"/>
      <c r="C3904" s="2" t="s">
        <v>189</v>
      </c>
      <c r="D3904" s="2" t="s">
        <v>12189</v>
      </c>
      <c r="E3904" s="2" t="s">
        <v>92</v>
      </c>
      <c r="F3904" s="4">
        <v>6798</v>
      </c>
      <c r="G3904" s="2" t="s">
        <v>53</v>
      </c>
      <c r="H3904" s="2" t="s">
        <v>34</v>
      </c>
      <c r="I3904" s="2" t="s">
        <v>143</v>
      </c>
      <c r="J3904" s="2" t="s">
        <v>144</v>
      </c>
      <c r="K3904" s="2" t="s">
        <v>53</v>
      </c>
      <c r="L3904" s="2" t="s">
        <v>139</v>
      </c>
      <c r="M3904" s="2"/>
      <c r="N3904" s="2"/>
      <c r="O3904" s="2"/>
      <c r="P3904" s="2" t="s">
        <v>12190</v>
      </c>
      <c r="Q3904" s="2"/>
      <c r="R3904" s="2"/>
      <c r="S3904" s="5">
        <v>-8.3000000000000007</v>
      </c>
      <c r="T3904" s="7">
        <v>31.277999999999999</v>
      </c>
      <c r="U3904" s="5">
        <v>8.3000000000000007</v>
      </c>
      <c r="V3904" s="6">
        <v>-0.37</v>
      </c>
      <c r="W3904" s="6">
        <v>11.75</v>
      </c>
      <c r="X3904" s="7">
        <v>11.875</v>
      </c>
      <c r="Y3904" s="4">
        <v>12</v>
      </c>
      <c r="Z3904" s="9">
        <v>11.8125</v>
      </c>
      <c r="AA3904" s="6">
        <v>36.33</v>
      </c>
      <c r="AB3904" s="2" t="s">
        <v>86</v>
      </c>
      <c r="AC3904" s="2"/>
    </row>
    <row r="3905" spans="1:29" ht="156" x14ac:dyDescent="0.15">
      <c r="A3905" s="3">
        <f>DATE(1998,5,26)</f>
        <v>35941</v>
      </c>
      <c r="B3905" s="3">
        <f>DATE(1998,8,24)</f>
        <v>36031</v>
      </c>
      <c r="C3905" s="2" t="s">
        <v>95</v>
      </c>
      <c r="D3905" s="2" t="s">
        <v>12191</v>
      </c>
      <c r="E3905" s="2" t="s">
        <v>849</v>
      </c>
      <c r="F3905" s="4">
        <v>7372</v>
      </c>
      <c r="G3905" s="2" t="s">
        <v>551</v>
      </c>
      <c r="H3905" s="2" t="s">
        <v>34</v>
      </c>
      <c r="I3905" s="2" t="s">
        <v>12192</v>
      </c>
      <c r="J3905" s="2" t="s">
        <v>849</v>
      </c>
      <c r="K3905" s="2" t="s">
        <v>223</v>
      </c>
      <c r="L3905" s="2" t="s">
        <v>34</v>
      </c>
      <c r="M3905" s="7">
        <v>550.346</v>
      </c>
      <c r="N3905" s="7">
        <v>33.875</v>
      </c>
      <c r="O3905" s="11">
        <v>32.53125</v>
      </c>
      <c r="P3905" s="2" t="s">
        <v>12193</v>
      </c>
      <c r="Q3905" s="6">
        <v>100</v>
      </c>
      <c r="R3905" s="6">
        <v>40.020000000000003</v>
      </c>
      <c r="S3905" s="5">
        <v>11.9</v>
      </c>
      <c r="T3905" s="7">
        <v>43.063000000000002</v>
      </c>
      <c r="U3905" s="5">
        <v>6.2</v>
      </c>
      <c r="V3905" s="6">
        <v>0.64</v>
      </c>
      <c r="W3905" s="6">
        <v>38.56</v>
      </c>
      <c r="X3905" s="6">
        <v>38.130000000000003</v>
      </c>
      <c r="Y3905" s="7">
        <v>33.875</v>
      </c>
      <c r="Z3905" s="7">
        <v>32.530999999999999</v>
      </c>
      <c r="AA3905" s="6">
        <v>19.04</v>
      </c>
      <c r="AB3905" s="7">
        <v>33.798000000000002</v>
      </c>
      <c r="AC3905" s="2"/>
    </row>
    <row r="3906" spans="1:29" ht="130" x14ac:dyDescent="0.15">
      <c r="A3906" s="3">
        <f>DATE(1998,5,26)</f>
        <v>35941</v>
      </c>
      <c r="B3906" s="3">
        <f>DATE(1999,2,17)</f>
        <v>36208</v>
      </c>
      <c r="C3906" s="2" t="s">
        <v>95</v>
      </c>
      <c r="D3906" s="2" t="s">
        <v>12194</v>
      </c>
      <c r="E3906" s="2" t="s">
        <v>36</v>
      </c>
      <c r="F3906" s="4">
        <v>6036</v>
      </c>
      <c r="G3906" s="2" t="s">
        <v>33</v>
      </c>
      <c r="H3906" s="2" t="s">
        <v>34</v>
      </c>
      <c r="I3906" s="2" t="s">
        <v>12195</v>
      </c>
      <c r="J3906" s="2" t="s">
        <v>203</v>
      </c>
      <c r="K3906" s="2" t="s">
        <v>33</v>
      </c>
      <c r="L3906" s="2" t="s">
        <v>34</v>
      </c>
      <c r="M3906" s="12">
        <v>1212.1110000000001</v>
      </c>
      <c r="N3906" s="7">
        <v>23.562999999999999</v>
      </c>
      <c r="O3906" s="5">
        <v>23.5</v>
      </c>
      <c r="P3906" s="2" t="s">
        <v>12196</v>
      </c>
      <c r="Q3906" s="6">
        <v>100</v>
      </c>
      <c r="R3906" s="6">
        <v>56.63</v>
      </c>
      <c r="S3906" s="5">
        <v>34.700000000000003</v>
      </c>
      <c r="T3906" s="7">
        <v>60.048999999999999</v>
      </c>
      <c r="U3906" s="5">
        <v>13.7</v>
      </c>
      <c r="V3906" s="6">
        <v>1.96</v>
      </c>
      <c r="W3906" s="7">
        <v>35.813000000000002</v>
      </c>
      <c r="X3906" s="7">
        <v>38.625</v>
      </c>
      <c r="Y3906" s="7">
        <v>43.625</v>
      </c>
      <c r="Z3906" s="7">
        <v>43.625</v>
      </c>
      <c r="AA3906" s="6">
        <v>17.53</v>
      </c>
      <c r="AB3906" s="7">
        <v>41.067</v>
      </c>
      <c r="AC3906" s="2"/>
    </row>
    <row r="3907" spans="1:29" ht="39" x14ac:dyDescent="0.15">
      <c r="A3907" s="3">
        <f>DATE(1998,5,26)</f>
        <v>35941</v>
      </c>
      <c r="B3907" s="2"/>
      <c r="C3907" s="2" t="s">
        <v>30</v>
      </c>
      <c r="D3907" s="2" t="s">
        <v>12197</v>
      </c>
      <c r="E3907" s="2" t="s">
        <v>12198</v>
      </c>
      <c r="F3907" s="4">
        <v>2621</v>
      </c>
      <c r="G3907" s="2" t="s">
        <v>282</v>
      </c>
      <c r="H3907" s="2" t="s">
        <v>34</v>
      </c>
      <c r="I3907" s="2" t="s">
        <v>12199</v>
      </c>
      <c r="J3907" s="2" t="s">
        <v>12200</v>
      </c>
      <c r="K3907" s="2" t="s">
        <v>300</v>
      </c>
      <c r="L3907" s="2" t="s">
        <v>34</v>
      </c>
      <c r="M3907" s="2"/>
      <c r="N3907" s="2"/>
      <c r="O3907" s="2"/>
      <c r="P3907" s="2" t="s">
        <v>12201</v>
      </c>
      <c r="Q3907" s="2"/>
      <c r="R3907" s="2"/>
      <c r="S3907" s="5">
        <v>-0.5</v>
      </c>
      <c r="T3907" s="7">
        <v>-1.7999999999999999E-2</v>
      </c>
      <c r="U3907" s="5">
        <v>2.4</v>
      </c>
      <c r="V3907" s="6">
        <v>-0.09</v>
      </c>
      <c r="W3907" s="4">
        <v>6</v>
      </c>
      <c r="X3907" s="6">
        <v>5.25</v>
      </c>
      <c r="Y3907" s="4">
        <v>5</v>
      </c>
      <c r="Z3907" s="6">
        <v>4.75</v>
      </c>
      <c r="AA3907" s="6">
        <v>5.29</v>
      </c>
      <c r="AB3907" s="2" t="s">
        <v>86</v>
      </c>
      <c r="AC3907" s="2"/>
    </row>
    <row r="3908" spans="1:29" ht="39" x14ac:dyDescent="0.15">
      <c r="A3908" s="3">
        <f>DATE(1998,5,27)</f>
        <v>35942</v>
      </c>
      <c r="B3908" s="2"/>
      <c r="C3908" s="2" t="s">
        <v>189</v>
      </c>
      <c r="D3908" s="2" t="s">
        <v>12202</v>
      </c>
      <c r="E3908" s="2" t="s">
        <v>12203</v>
      </c>
      <c r="F3908" s="4">
        <v>5812</v>
      </c>
      <c r="G3908" s="2" t="s">
        <v>230</v>
      </c>
      <c r="H3908" s="2" t="s">
        <v>34</v>
      </c>
      <c r="I3908" s="2" t="s">
        <v>143</v>
      </c>
      <c r="J3908" s="2" t="s">
        <v>144</v>
      </c>
      <c r="K3908" s="2" t="s">
        <v>53</v>
      </c>
      <c r="L3908" s="2" t="s">
        <v>139</v>
      </c>
      <c r="M3908" s="2"/>
      <c r="N3908" s="2"/>
      <c r="O3908" s="2"/>
      <c r="P3908" s="2" t="s">
        <v>12204</v>
      </c>
      <c r="Q3908" s="2"/>
      <c r="R3908" s="2"/>
      <c r="S3908" s="5">
        <v>-5.4</v>
      </c>
      <c r="T3908" s="7">
        <v>12.166</v>
      </c>
      <c r="U3908" s="5">
        <v>10.199999999999999</v>
      </c>
      <c r="V3908" s="7">
        <v>-4.2999999999999997E-2</v>
      </c>
      <c r="W3908" s="5">
        <v>4.5</v>
      </c>
      <c r="X3908" s="5">
        <v>5.5</v>
      </c>
      <c r="Y3908" s="9">
        <v>5.5625</v>
      </c>
      <c r="Z3908" s="7">
        <v>5.625</v>
      </c>
      <c r="AA3908" s="6">
        <v>33.229999999999997</v>
      </c>
      <c r="AB3908" s="2" t="s">
        <v>47</v>
      </c>
      <c r="AC3908" s="2"/>
    </row>
    <row r="3909" spans="1:29" ht="117" x14ac:dyDescent="0.15">
      <c r="A3909" s="3">
        <f>DATE(1998,5,27)</f>
        <v>35942</v>
      </c>
      <c r="B3909" s="3">
        <f>DATE(1998,9,17)</f>
        <v>36055</v>
      </c>
      <c r="C3909" s="2" t="s">
        <v>95</v>
      </c>
      <c r="D3909" s="2" t="s">
        <v>12205</v>
      </c>
      <c r="E3909" s="2" t="s">
        <v>12206</v>
      </c>
      <c r="F3909" s="4">
        <v>7331</v>
      </c>
      <c r="G3909" s="2" t="s">
        <v>223</v>
      </c>
      <c r="H3909" s="2" t="s">
        <v>34</v>
      </c>
      <c r="I3909" s="2" t="s">
        <v>12207</v>
      </c>
      <c r="J3909" s="2" t="s">
        <v>12208</v>
      </c>
      <c r="K3909" s="2" t="s">
        <v>223</v>
      </c>
      <c r="L3909" s="2" t="s">
        <v>34</v>
      </c>
      <c r="M3909" s="12">
        <v>1290.202</v>
      </c>
      <c r="N3909" s="7">
        <v>20.125</v>
      </c>
      <c r="O3909" s="7">
        <v>21.875</v>
      </c>
      <c r="P3909" s="2" t="s">
        <v>12209</v>
      </c>
      <c r="Q3909" s="6">
        <v>100</v>
      </c>
      <c r="R3909" s="6">
        <v>17.45</v>
      </c>
      <c r="S3909" s="5">
        <v>11.7</v>
      </c>
      <c r="T3909" s="7">
        <v>24.882999999999999</v>
      </c>
      <c r="U3909" s="5">
        <v>3.6</v>
      </c>
      <c r="V3909" s="6">
        <v>0.45</v>
      </c>
      <c r="W3909" s="5">
        <v>15.5</v>
      </c>
      <c r="X3909" s="4">
        <v>17</v>
      </c>
      <c r="Y3909" s="7">
        <v>15.625</v>
      </c>
      <c r="Z3909" s="6">
        <v>16.75</v>
      </c>
      <c r="AA3909" s="6">
        <v>26.07</v>
      </c>
      <c r="AB3909" s="7">
        <v>24.504999999999999</v>
      </c>
      <c r="AC3909" s="6">
        <v>5.68</v>
      </c>
    </row>
    <row r="3910" spans="1:29" ht="143" x14ac:dyDescent="0.15">
      <c r="A3910" s="3">
        <f>DATE(1998,5,27)</f>
        <v>35942</v>
      </c>
      <c r="B3910" s="3">
        <f>DATE(1998,5,27)</f>
        <v>35942</v>
      </c>
      <c r="C3910" s="2" t="s">
        <v>95</v>
      </c>
      <c r="D3910" s="2" t="s">
        <v>10919</v>
      </c>
      <c r="E3910" s="2" t="s">
        <v>10920</v>
      </c>
      <c r="F3910" s="4">
        <v>7372</v>
      </c>
      <c r="G3910" s="2" t="s">
        <v>551</v>
      </c>
      <c r="H3910" s="2" t="s">
        <v>34</v>
      </c>
      <c r="I3910" s="2" t="s">
        <v>10921</v>
      </c>
      <c r="J3910" s="2" t="s">
        <v>10922</v>
      </c>
      <c r="K3910" s="2" t="s">
        <v>223</v>
      </c>
      <c r="L3910" s="2" t="s">
        <v>34</v>
      </c>
      <c r="M3910" s="7">
        <v>157.69499999999999</v>
      </c>
      <c r="N3910" s="7">
        <v>24.562999999999999</v>
      </c>
      <c r="O3910" s="7">
        <v>24.375</v>
      </c>
      <c r="P3910" s="2" t="s">
        <v>12210</v>
      </c>
      <c r="Q3910" s="6">
        <v>43.3</v>
      </c>
      <c r="R3910" s="2"/>
      <c r="S3910" s="5">
        <v>-4.2</v>
      </c>
      <c r="T3910" s="7">
        <v>-1.768</v>
      </c>
      <c r="U3910" s="5">
        <v>1.7</v>
      </c>
      <c r="V3910" s="6">
        <v>-0.73</v>
      </c>
      <c r="W3910" s="9">
        <v>7.5625</v>
      </c>
      <c r="X3910" s="5">
        <v>7.5</v>
      </c>
      <c r="Y3910" s="7">
        <v>7.875</v>
      </c>
      <c r="Z3910" s="4">
        <v>8</v>
      </c>
      <c r="AA3910" s="2"/>
      <c r="AB3910" s="2" t="s">
        <v>86</v>
      </c>
      <c r="AC3910" s="6">
        <v>44.72</v>
      </c>
    </row>
    <row r="3911" spans="1:29" ht="143" x14ac:dyDescent="0.15">
      <c r="A3911" s="3">
        <f>DATE(1998,5,28)</f>
        <v>35943</v>
      </c>
      <c r="B3911" s="3">
        <f>DATE(1998,7,7)</f>
        <v>35983</v>
      </c>
      <c r="C3911" s="2" t="s">
        <v>95</v>
      </c>
      <c r="D3911" s="2" t="s">
        <v>12211</v>
      </c>
      <c r="E3911" s="2" t="s">
        <v>12212</v>
      </c>
      <c r="F3911" s="4">
        <v>8741</v>
      </c>
      <c r="G3911" s="2" t="s">
        <v>223</v>
      </c>
      <c r="H3911" s="2" t="s">
        <v>34</v>
      </c>
      <c r="I3911" s="2" t="s">
        <v>12213</v>
      </c>
      <c r="J3911" s="2" t="s">
        <v>12214</v>
      </c>
      <c r="K3911" s="2" t="s">
        <v>223</v>
      </c>
      <c r="L3911" s="2" t="s">
        <v>34</v>
      </c>
      <c r="M3911" s="7">
        <v>765.25900000000001</v>
      </c>
      <c r="N3911" s="7">
        <v>43.063000000000002</v>
      </c>
      <c r="O3911" s="7">
        <v>43.125</v>
      </c>
      <c r="P3911" s="2" t="s">
        <v>12215</v>
      </c>
      <c r="Q3911" s="6">
        <v>100</v>
      </c>
      <c r="R3911" s="6">
        <v>21</v>
      </c>
      <c r="S3911" s="5">
        <v>-3.3</v>
      </c>
      <c r="T3911" s="7">
        <v>2.2589999999999999</v>
      </c>
      <c r="U3911" s="5">
        <v>9.1999999999999993</v>
      </c>
      <c r="V3911" s="6">
        <v>-0.66</v>
      </c>
      <c r="W3911" s="4">
        <v>13</v>
      </c>
      <c r="X3911" s="7">
        <v>13.063000000000001</v>
      </c>
      <c r="Y3911" s="7">
        <v>20.625</v>
      </c>
      <c r="Z3911" s="6">
        <v>20.75</v>
      </c>
      <c r="AA3911" s="6">
        <v>5.01</v>
      </c>
      <c r="AB3911" s="2" t="s">
        <v>86</v>
      </c>
      <c r="AC3911" s="6">
        <v>46.48</v>
      </c>
    </row>
    <row r="3912" spans="1:29" ht="117" x14ac:dyDescent="0.15">
      <c r="A3912" s="3">
        <f>DATE(1998,5,28)</f>
        <v>35943</v>
      </c>
      <c r="B3912" s="3">
        <f>DATE(1998,10,29)</f>
        <v>36097</v>
      </c>
      <c r="C3912" s="2" t="s">
        <v>95</v>
      </c>
      <c r="D3912" s="2" t="s">
        <v>12216</v>
      </c>
      <c r="E3912" s="2" t="s">
        <v>389</v>
      </c>
      <c r="F3912" s="4">
        <v>6035</v>
      </c>
      <c r="G3912" s="2" t="s">
        <v>33</v>
      </c>
      <c r="H3912" s="2" t="s">
        <v>34</v>
      </c>
      <c r="I3912" s="2" t="s">
        <v>12217</v>
      </c>
      <c r="J3912" s="2" t="s">
        <v>36</v>
      </c>
      <c r="K3912" s="2" t="s">
        <v>33</v>
      </c>
      <c r="L3912" s="2" t="s">
        <v>34</v>
      </c>
      <c r="M3912" s="7">
        <v>315.10599999999999</v>
      </c>
      <c r="N3912" s="7">
        <v>12.063000000000001</v>
      </c>
      <c r="O3912" s="7">
        <v>11.813000000000001</v>
      </c>
      <c r="P3912" s="2" t="s">
        <v>12218</v>
      </c>
      <c r="Q3912" s="6">
        <v>100</v>
      </c>
      <c r="R3912" s="6">
        <v>55.05</v>
      </c>
      <c r="S3912" s="5">
        <v>9.4</v>
      </c>
      <c r="T3912" s="7">
        <v>17.449000000000002</v>
      </c>
      <c r="U3912" s="5">
        <v>22.4</v>
      </c>
      <c r="V3912" s="6">
        <v>1.86</v>
      </c>
      <c r="W3912" s="5">
        <v>37.5</v>
      </c>
      <c r="X3912" s="5">
        <v>36.5</v>
      </c>
      <c r="Y3912" s="6">
        <v>44.25</v>
      </c>
      <c r="Z3912" s="7">
        <v>43.813000000000002</v>
      </c>
      <c r="AA3912" s="6">
        <v>5.07</v>
      </c>
      <c r="AB3912" s="7">
        <v>46.92</v>
      </c>
      <c r="AC3912" s="2"/>
    </row>
    <row r="3913" spans="1:29" ht="130" x14ac:dyDescent="0.15">
      <c r="A3913" s="3">
        <f>DATE(1998,5,28)</f>
        <v>35943</v>
      </c>
      <c r="B3913" s="2"/>
      <c r="C3913" s="2" t="s">
        <v>30</v>
      </c>
      <c r="D3913" s="2" t="s">
        <v>6602</v>
      </c>
      <c r="E3913" s="2" t="s">
        <v>5765</v>
      </c>
      <c r="F3913" s="4">
        <v>6324</v>
      </c>
      <c r="G3913" s="2" t="s">
        <v>125</v>
      </c>
      <c r="H3913" s="2" t="s">
        <v>34</v>
      </c>
      <c r="I3913" s="2" t="s">
        <v>3765</v>
      </c>
      <c r="J3913" s="2" t="s">
        <v>1334</v>
      </c>
      <c r="K3913" s="2" t="s">
        <v>125</v>
      </c>
      <c r="L3913" s="2" t="s">
        <v>34</v>
      </c>
      <c r="M3913" s="12">
        <v>13537.474</v>
      </c>
      <c r="N3913" s="5">
        <v>62.5</v>
      </c>
      <c r="O3913" s="4">
        <v>64</v>
      </c>
      <c r="P3913" s="2" t="s">
        <v>12219</v>
      </c>
      <c r="Q3913" s="2"/>
      <c r="R3913" s="6">
        <v>32.06</v>
      </c>
      <c r="S3913" s="5">
        <v>173</v>
      </c>
      <c r="T3913" s="5">
        <v>242</v>
      </c>
      <c r="U3913" s="5">
        <v>9.1</v>
      </c>
      <c r="V3913" s="6">
        <v>1.05</v>
      </c>
      <c r="W3913" s="6">
        <v>26.25</v>
      </c>
      <c r="X3913" s="6">
        <v>26.25</v>
      </c>
      <c r="Y3913" s="7">
        <v>29.875</v>
      </c>
      <c r="Z3913" s="9">
        <v>31.0625</v>
      </c>
      <c r="AA3913" s="6">
        <v>166.45</v>
      </c>
      <c r="AB3913" s="7">
        <v>31.471</v>
      </c>
      <c r="AC3913" s="5">
        <v>750</v>
      </c>
    </row>
    <row r="3914" spans="1:29" ht="52" x14ac:dyDescent="0.15">
      <c r="A3914" s="3">
        <f>DATE(1998,5,28)</f>
        <v>35943</v>
      </c>
      <c r="B3914" s="3">
        <f>DATE(1998,9,22)</f>
        <v>36060</v>
      </c>
      <c r="C3914" s="2" t="s">
        <v>95</v>
      </c>
      <c r="D3914" s="2" t="s">
        <v>12220</v>
      </c>
      <c r="E3914" s="2" t="s">
        <v>12221</v>
      </c>
      <c r="F3914" s="4">
        <v>1222</v>
      </c>
      <c r="G3914" s="2" t="s">
        <v>166</v>
      </c>
      <c r="H3914" s="2" t="s">
        <v>34</v>
      </c>
      <c r="I3914" s="2" t="s">
        <v>12222</v>
      </c>
      <c r="J3914" s="2" t="s">
        <v>12221</v>
      </c>
      <c r="K3914" s="2" t="s">
        <v>166</v>
      </c>
      <c r="L3914" s="2" t="s">
        <v>34</v>
      </c>
      <c r="M3914" s="2"/>
      <c r="N3914" s="2"/>
      <c r="O3914" s="2"/>
      <c r="P3914" s="2" t="s">
        <v>12223</v>
      </c>
      <c r="Q3914" s="6">
        <v>100</v>
      </c>
      <c r="R3914" s="6">
        <v>43.5</v>
      </c>
      <c r="S3914" s="5">
        <v>-3.7</v>
      </c>
      <c r="T3914" s="7">
        <v>18.623999999999999</v>
      </c>
      <c r="U3914" s="5">
        <v>59.7</v>
      </c>
      <c r="V3914" s="7">
        <v>-1.0820000000000001</v>
      </c>
      <c r="W3914" s="7">
        <v>46.875</v>
      </c>
      <c r="X3914" s="6">
        <v>46.25</v>
      </c>
      <c r="Y3914" s="4">
        <v>44</v>
      </c>
      <c r="Z3914" s="4">
        <v>42</v>
      </c>
      <c r="AA3914" s="6">
        <v>3.44</v>
      </c>
      <c r="AB3914" s="7">
        <v>241.55099999999999</v>
      </c>
      <c r="AC3914" s="2"/>
    </row>
    <row r="3915" spans="1:29" ht="182" x14ac:dyDescent="0.15">
      <c r="A3915" s="3">
        <f>DATE(1998,5,29)</f>
        <v>35944</v>
      </c>
      <c r="B3915" s="3">
        <f>DATE(1998,8,17)</f>
        <v>36024</v>
      </c>
      <c r="C3915" s="2" t="s">
        <v>95</v>
      </c>
      <c r="D3915" s="2" t="s">
        <v>12224</v>
      </c>
      <c r="E3915" s="2" t="s">
        <v>612</v>
      </c>
      <c r="F3915" s="4">
        <v>1311</v>
      </c>
      <c r="G3915" s="2" t="s">
        <v>148</v>
      </c>
      <c r="H3915" s="2" t="s">
        <v>34</v>
      </c>
      <c r="I3915" s="2" t="s">
        <v>12225</v>
      </c>
      <c r="J3915" s="2" t="s">
        <v>12226</v>
      </c>
      <c r="K3915" s="2" t="s">
        <v>148</v>
      </c>
      <c r="L3915" s="2" t="s">
        <v>34</v>
      </c>
      <c r="M3915" s="12">
        <v>1220.4359999999999</v>
      </c>
      <c r="N3915" s="7">
        <v>25.625</v>
      </c>
      <c r="O3915" s="7">
        <v>25.062999999999999</v>
      </c>
      <c r="P3915" s="2" t="s">
        <v>12227</v>
      </c>
      <c r="Q3915" s="6">
        <v>100</v>
      </c>
      <c r="R3915" s="6">
        <v>2.4700000000000002</v>
      </c>
      <c r="S3915" s="5">
        <v>3.3</v>
      </c>
      <c r="T3915" s="7">
        <v>10.747</v>
      </c>
      <c r="U3915" s="5">
        <v>0.6</v>
      </c>
      <c r="V3915" s="6">
        <v>7.0000000000000007E-2</v>
      </c>
      <c r="W3915" s="7">
        <v>2.3439999999999999</v>
      </c>
      <c r="X3915" s="7">
        <v>2.4689999999999999</v>
      </c>
      <c r="Y3915" s="7">
        <v>2.375</v>
      </c>
      <c r="Z3915" s="6">
        <v>2.25</v>
      </c>
      <c r="AA3915" s="6">
        <v>17.32</v>
      </c>
      <c r="AB3915" s="7">
        <v>27.047000000000001</v>
      </c>
      <c r="AC3915" s="6">
        <v>19.649999999999999</v>
      </c>
    </row>
    <row r="3916" spans="1:29" ht="117" x14ac:dyDescent="0.15">
      <c r="A3916" s="3">
        <f>DATE(1998,5,29)</f>
        <v>35944</v>
      </c>
      <c r="B3916" s="3">
        <f>DATE(1998,10,20)</f>
        <v>36088</v>
      </c>
      <c r="C3916" s="2" t="s">
        <v>95</v>
      </c>
      <c r="D3916" s="2" t="s">
        <v>12228</v>
      </c>
      <c r="E3916" s="2" t="s">
        <v>12229</v>
      </c>
      <c r="F3916" s="4">
        <v>4813</v>
      </c>
      <c r="G3916" s="2" t="s">
        <v>63</v>
      </c>
      <c r="H3916" s="2" t="s">
        <v>34</v>
      </c>
      <c r="I3916" s="2" t="s">
        <v>12230</v>
      </c>
      <c r="J3916" s="2" t="s">
        <v>12231</v>
      </c>
      <c r="K3916" s="2" t="s">
        <v>63</v>
      </c>
      <c r="L3916" s="2" t="s">
        <v>12232</v>
      </c>
      <c r="M3916" s="2"/>
      <c r="N3916" s="2"/>
      <c r="O3916" s="2"/>
      <c r="P3916" s="2" t="s">
        <v>12233</v>
      </c>
      <c r="Q3916" s="6">
        <v>100</v>
      </c>
      <c r="R3916" s="6">
        <v>10.25</v>
      </c>
      <c r="S3916" s="5">
        <v>-19.3</v>
      </c>
      <c r="T3916" s="7">
        <v>57.308</v>
      </c>
      <c r="U3916" s="5">
        <v>5.4</v>
      </c>
      <c r="V3916" s="6">
        <v>-1.57</v>
      </c>
      <c r="W3916" s="7">
        <v>7.375</v>
      </c>
      <c r="X3916" s="4">
        <v>7</v>
      </c>
      <c r="Y3916" s="7">
        <v>8.9380000000000006</v>
      </c>
      <c r="Z3916" s="6">
        <v>8.75</v>
      </c>
      <c r="AA3916" s="6">
        <v>10.96</v>
      </c>
      <c r="AB3916" s="7">
        <v>6.6349999999999998</v>
      </c>
      <c r="AC3916" s="2"/>
    </row>
    <row r="3917" spans="1:29" ht="104" x14ac:dyDescent="0.15">
      <c r="A3917" s="3">
        <f>DATE(1998,5,29)</f>
        <v>35944</v>
      </c>
      <c r="B3917" s="3">
        <f>DATE(1998,8,6)</f>
        <v>36013</v>
      </c>
      <c r="C3917" s="2" t="s">
        <v>95</v>
      </c>
      <c r="D3917" s="2" t="s">
        <v>12234</v>
      </c>
      <c r="E3917" s="2" t="s">
        <v>92</v>
      </c>
      <c r="F3917" s="4">
        <v>6798</v>
      </c>
      <c r="G3917" s="2" t="s">
        <v>53</v>
      </c>
      <c r="H3917" s="2" t="s">
        <v>34</v>
      </c>
      <c r="I3917" s="2" t="s">
        <v>7022</v>
      </c>
      <c r="J3917" s="2" t="s">
        <v>92</v>
      </c>
      <c r="K3917" s="2" t="s">
        <v>53</v>
      </c>
      <c r="L3917" s="2" t="s">
        <v>34</v>
      </c>
      <c r="M3917" s="7">
        <v>509.577</v>
      </c>
      <c r="N3917" s="7">
        <v>20.875</v>
      </c>
      <c r="O3917" s="7">
        <v>20.812999999999999</v>
      </c>
      <c r="P3917" s="2" t="s">
        <v>12235</v>
      </c>
      <c r="Q3917" s="6">
        <v>100</v>
      </c>
      <c r="R3917" s="6">
        <v>10.5</v>
      </c>
      <c r="S3917" s="5">
        <v>4.5999999999999996</v>
      </c>
      <c r="T3917" s="7">
        <v>8.4730000000000008</v>
      </c>
      <c r="U3917" s="5">
        <v>9.3000000000000007</v>
      </c>
      <c r="V3917" s="6">
        <v>0.56000000000000005</v>
      </c>
      <c r="W3917" s="7">
        <v>9.875</v>
      </c>
      <c r="X3917" s="4">
        <v>10</v>
      </c>
      <c r="Y3917" s="7">
        <v>10.563000000000001</v>
      </c>
      <c r="Z3917" s="7">
        <v>10.125</v>
      </c>
      <c r="AA3917" s="6">
        <v>8.2899999999999991</v>
      </c>
      <c r="AB3917" s="7">
        <v>42.598999999999997</v>
      </c>
      <c r="AC3917" s="6">
        <v>4.75</v>
      </c>
    </row>
    <row r="3918" spans="1:29" ht="156" x14ac:dyDescent="0.15">
      <c r="A3918" s="3">
        <f>DATE(1998,5,29)</f>
        <v>35944</v>
      </c>
      <c r="B3918" s="3">
        <f>DATE(1998,10,19)</f>
        <v>36087</v>
      </c>
      <c r="C3918" s="2" t="s">
        <v>95</v>
      </c>
      <c r="D3918" s="2" t="s">
        <v>12236</v>
      </c>
      <c r="E3918" s="2" t="s">
        <v>672</v>
      </c>
      <c r="F3918" s="4">
        <v>6021</v>
      </c>
      <c r="G3918" s="2" t="s">
        <v>37</v>
      </c>
      <c r="H3918" s="2" t="s">
        <v>34</v>
      </c>
      <c r="I3918" s="2" t="s">
        <v>204</v>
      </c>
      <c r="J3918" s="2" t="s">
        <v>3246</v>
      </c>
      <c r="K3918" s="2" t="s">
        <v>37</v>
      </c>
      <c r="L3918" s="2" t="s">
        <v>34</v>
      </c>
      <c r="M3918" s="12">
        <v>1712.5440000000001</v>
      </c>
      <c r="N3918" s="6">
        <v>31.25</v>
      </c>
      <c r="O3918" s="7">
        <v>30.625</v>
      </c>
      <c r="P3918" s="2" t="s">
        <v>12237</v>
      </c>
      <c r="Q3918" s="6">
        <v>100</v>
      </c>
      <c r="R3918" s="6">
        <v>34.380000000000003</v>
      </c>
      <c r="S3918" s="5">
        <v>2</v>
      </c>
      <c r="T3918" s="7">
        <v>3.3730000000000002</v>
      </c>
      <c r="U3918" s="5">
        <v>16.899999999999999</v>
      </c>
      <c r="V3918" s="6">
        <v>1.03</v>
      </c>
      <c r="W3918" s="5">
        <v>31.5</v>
      </c>
      <c r="X3918" s="6">
        <v>30.75</v>
      </c>
      <c r="Y3918" s="6">
        <v>28.75</v>
      </c>
      <c r="Z3918" s="7">
        <v>29.875</v>
      </c>
      <c r="AA3918" s="6">
        <v>2.0099999999999998</v>
      </c>
      <c r="AB3918" s="7">
        <v>33.021000000000001</v>
      </c>
      <c r="AC3918" s="2"/>
    </row>
    <row r="3919" spans="1:29" ht="169" x14ac:dyDescent="0.15">
      <c r="A3919" s="3">
        <f>DATE(1998,6,1)</f>
        <v>35947</v>
      </c>
      <c r="B3919" s="2"/>
      <c r="C3919" s="2" t="s">
        <v>30</v>
      </c>
      <c r="D3919" s="2" t="s">
        <v>8314</v>
      </c>
      <c r="E3919" s="2" t="s">
        <v>8315</v>
      </c>
      <c r="F3919" s="4">
        <v>2879</v>
      </c>
      <c r="G3919" s="2" t="s">
        <v>98</v>
      </c>
      <c r="H3919" s="2" t="s">
        <v>34</v>
      </c>
      <c r="I3919" s="2" t="s">
        <v>2318</v>
      </c>
      <c r="J3919" s="2" t="s">
        <v>2319</v>
      </c>
      <c r="K3919" s="2" t="s">
        <v>130</v>
      </c>
      <c r="L3919" s="2" t="s">
        <v>34</v>
      </c>
      <c r="M3919" s="12">
        <v>62102.860999999997</v>
      </c>
      <c r="N3919" s="6">
        <v>49.25</v>
      </c>
      <c r="O3919" s="4">
        <v>48</v>
      </c>
      <c r="P3919" s="2" t="s">
        <v>12238</v>
      </c>
      <c r="Q3919" s="2"/>
      <c r="R3919" s="6">
        <v>55.56</v>
      </c>
      <c r="S3919" s="5">
        <v>216</v>
      </c>
      <c r="T3919" s="8">
        <v>1074</v>
      </c>
      <c r="U3919" s="5">
        <v>7.3</v>
      </c>
      <c r="V3919" s="7">
        <v>0.47799999999999998</v>
      </c>
      <c r="W3919" s="9">
        <v>57.8125</v>
      </c>
      <c r="X3919" s="7">
        <v>55.375</v>
      </c>
      <c r="Y3919" s="5">
        <v>54.5</v>
      </c>
      <c r="Z3919" s="9">
        <v>52.9375</v>
      </c>
      <c r="AA3919" s="6">
        <v>598.92999999999995</v>
      </c>
      <c r="AB3919" s="7">
        <v>71.887</v>
      </c>
      <c r="AC3919" s="10">
        <v>1099.74</v>
      </c>
    </row>
    <row r="3920" spans="1:29" ht="117" x14ac:dyDescent="0.15">
      <c r="A3920" s="3">
        <f>DATE(1998,6,1)</f>
        <v>35947</v>
      </c>
      <c r="B3920" s="3">
        <f>DATE(1998,8,28)</f>
        <v>36035</v>
      </c>
      <c r="C3920" s="2" t="s">
        <v>95</v>
      </c>
      <c r="D3920" s="2" t="s">
        <v>12239</v>
      </c>
      <c r="E3920" s="2" t="s">
        <v>172</v>
      </c>
      <c r="F3920" s="4">
        <v>4213</v>
      </c>
      <c r="G3920" s="2" t="s">
        <v>173</v>
      </c>
      <c r="H3920" s="2" t="s">
        <v>34</v>
      </c>
      <c r="I3920" s="2" t="s">
        <v>12240</v>
      </c>
      <c r="J3920" s="2" t="s">
        <v>12241</v>
      </c>
      <c r="K3920" s="2" t="s">
        <v>173</v>
      </c>
      <c r="L3920" s="2" t="s">
        <v>34</v>
      </c>
      <c r="M3920" s="7">
        <v>297.17200000000003</v>
      </c>
      <c r="N3920" s="5">
        <v>19.5</v>
      </c>
      <c r="O3920" s="6">
        <v>18.25</v>
      </c>
      <c r="P3920" s="2" t="s">
        <v>12242</v>
      </c>
      <c r="Q3920" s="6">
        <v>100</v>
      </c>
      <c r="R3920" s="6">
        <v>7.47</v>
      </c>
      <c r="S3920" s="5">
        <v>-4.3</v>
      </c>
      <c r="T3920" s="6">
        <v>12.11</v>
      </c>
      <c r="U3920" s="5">
        <v>4.0999999999999996</v>
      </c>
      <c r="V3920" s="6">
        <v>-1.02</v>
      </c>
      <c r="W3920" s="5">
        <v>5.5</v>
      </c>
      <c r="X3920" s="7">
        <v>5.625</v>
      </c>
      <c r="Y3920" s="7">
        <v>5.6879999999999997</v>
      </c>
      <c r="Z3920" s="6">
        <v>6.25</v>
      </c>
      <c r="AA3920" s="6">
        <v>4.25</v>
      </c>
      <c r="AB3920" s="2" t="s">
        <v>86</v>
      </c>
      <c r="AC3920" s="6">
        <v>2.73</v>
      </c>
    </row>
    <row r="3921" spans="1:29" ht="117" x14ac:dyDescent="0.15">
      <c r="A3921" s="3">
        <f>DATE(1998,6,2)</f>
        <v>35948</v>
      </c>
      <c r="B3921" s="3">
        <f>DATE(1998,12,16)</f>
        <v>36145</v>
      </c>
      <c r="C3921" s="2" t="s">
        <v>95</v>
      </c>
      <c r="D3921" s="2" t="s">
        <v>12243</v>
      </c>
      <c r="E3921" s="2" t="s">
        <v>389</v>
      </c>
      <c r="F3921" s="4">
        <v>6036</v>
      </c>
      <c r="G3921" s="2" t="s">
        <v>33</v>
      </c>
      <c r="H3921" s="2" t="s">
        <v>34</v>
      </c>
      <c r="I3921" s="2" t="s">
        <v>12244</v>
      </c>
      <c r="J3921" s="2" t="s">
        <v>672</v>
      </c>
      <c r="K3921" s="2" t="s">
        <v>37</v>
      </c>
      <c r="L3921" s="2" t="s">
        <v>34</v>
      </c>
      <c r="M3921" s="6">
        <v>95.06</v>
      </c>
      <c r="N3921" s="5">
        <v>23.5</v>
      </c>
      <c r="O3921" s="5">
        <v>23.5</v>
      </c>
      <c r="P3921" s="2" t="s">
        <v>12245</v>
      </c>
      <c r="Q3921" s="6">
        <v>100</v>
      </c>
      <c r="R3921" s="6">
        <v>19.05</v>
      </c>
      <c r="S3921" s="5">
        <v>2.8</v>
      </c>
      <c r="T3921" s="7">
        <v>5.298</v>
      </c>
      <c r="U3921" s="5">
        <v>13.9</v>
      </c>
      <c r="V3921" s="6">
        <v>0.44</v>
      </c>
      <c r="W3921" s="7">
        <v>17.125</v>
      </c>
      <c r="X3921" s="7">
        <v>17.125</v>
      </c>
      <c r="Y3921" s="9">
        <v>16.9375</v>
      </c>
      <c r="Z3921" s="7">
        <v>16.125</v>
      </c>
      <c r="AA3921" s="6">
        <v>6.86</v>
      </c>
      <c r="AB3921" s="7">
        <v>29.838000000000001</v>
      </c>
      <c r="AC3921" s="2"/>
    </row>
    <row r="3922" spans="1:29" ht="52" x14ac:dyDescent="0.15">
      <c r="A3922" s="3">
        <f>DATE(1998,6,2)</f>
        <v>35948</v>
      </c>
      <c r="B3922" s="3">
        <f>DATE(1998,8,4)</f>
        <v>36011</v>
      </c>
      <c r="C3922" s="2" t="s">
        <v>95</v>
      </c>
      <c r="D3922" s="2" t="s">
        <v>12246</v>
      </c>
      <c r="E3922" s="2" t="s">
        <v>3600</v>
      </c>
      <c r="F3922" s="4">
        <v>8082</v>
      </c>
      <c r="G3922" s="2" t="s">
        <v>454</v>
      </c>
      <c r="H3922" s="2" t="s">
        <v>34</v>
      </c>
      <c r="I3922" s="2" t="s">
        <v>12247</v>
      </c>
      <c r="J3922" s="2" t="s">
        <v>8742</v>
      </c>
      <c r="K3922" s="2" t="s">
        <v>454</v>
      </c>
      <c r="L3922" s="2" t="s">
        <v>34</v>
      </c>
      <c r="M3922" s="2"/>
      <c r="N3922" s="2"/>
      <c r="O3922" s="2"/>
      <c r="P3922" s="2" t="s">
        <v>12248</v>
      </c>
      <c r="Q3922" s="6">
        <v>100</v>
      </c>
      <c r="R3922" s="2"/>
      <c r="S3922" s="5">
        <v>-4.0999999999999996</v>
      </c>
      <c r="T3922" s="7">
        <v>0.85899999999999999</v>
      </c>
      <c r="U3922" s="5">
        <v>6</v>
      </c>
      <c r="V3922" s="6">
        <v>-0.4</v>
      </c>
      <c r="W3922" s="6">
        <v>1.46</v>
      </c>
      <c r="X3922" s="7">
        <v>1.2190000000000001</v>
      </c>
      <c r="Y3922" s="7">
        <v>1.2809999999999999</v>
      </c>
      <c r="Z3922" s="6">
        <v>1.25</v>
      </c>
      <c r="AA3922" s="6">
        <v>10.4</v>
      </c>
      <c r="AB3922" s="2" t="s">
        <v>86</v>
      </c>
      <c r="AC3922" s="2"/>
    </row>
    <row r="3923" spans="1:29" ht="104" x14ac:dyDescent="0.15">
      <c r="A3923" s="3">
        <f>DATE(1998,6,2)</f>
        <v>35948</v>
      </c>
      <c r="B3923" s="3">
        <f>DATE(1998,10,8)</f>
        <v>36076</v>
      </c>
      <c r="C3923" s="2" t="s">
        <v>95</v>
      </c>
      <c r="D3923" s="2" t="s">
        <v>12249</v>
      </c>
      <c r="E3923" s="2" t="s">
        <v>12250</v>
      </c>
      <c r="F3923" s="4">
        <v>3621</v>
      </c>
      <c r="G3923" s="2" t="s">
        <v>137</v>
      </c>
      <c r="H3923" s="2" t="s">
        <v>34</v>
      </c>
      <c r="I3923" s="2" t="s">
        <v>12251</v>
      </c>
      <c r="J3923" s="2" t="s">
        <v>12252</v>
      </c>
      <c r="K3923" s="2" t="s">
        <v>137</v>
      </c>
      <c r="L3923" s="2" t="s">
        <v>34</v>
      </c>
      <c r="M3923" s="7">
        <v>335.221</v>
      </c>
      <c r="N3923" s="7">
        <v>13.188000000000001</v>
      </c>
      <c r="O3923" s="6">
        <v>12.75</v>
      </c>
      <c r="P3923" s="2" t="s">
        <v>12253</v>
      </c>
      <c r="Q3923" s="6">
        <v>100</v>
      </c>
      <c r="R3923" s="6">
        <v>4.4800000000000004</v>
      </c>
      <c r="S3923" s="5">
        <v>1.7</v>
      </c>
      <c r="T3923" s="7">
        <v>3.742</v>
      </c>
      <c r="U3923" s="5">
        <v>0.8</v>
      </c>
      <c r="V3923" s="6">
        <v>0.14000000000000001</v>
      </c>
      <c r="W3923" s="4">
        <v>3</v>
      </c>
      <c r="X3923" s="7">
        <v>3.875</v>
      </c>
      <c r="Y3923" s="7">
        <v>3.9380000000000002</v>
      </c>
      <c r="Z3923" s="7">
        <v>3.9380000000000002</v>
      </c>
      <c r="AA3923" s="6">
        <v>12.15</v>
      </c>
      <c r="AB3923" s="7">
        <v>23.861000000000001</v>
      </c>
      <c r="AC3923" s="6">
        <v>31.64</v>
      </c>
    </row>
    <row r="3924" spans="1:29" ht="91" x14ac:dyDescent="0.15">
      <c r="A3924" s="3">
        <f>DATE(1998,6,2)</f>
        <v>35948</v>
      </c>
      <c r="B3924" s="3">
        <f>DATE(1998,7,8)</f>
        <v>35984</v>
      </c>
      <c r="C3924" s="2" t="s">
        <v>95</v>
      </c>
      <c r="D3924" s="2" t="s">
        <v>8607</v>
      </c>
      <c r="E3924" s="2" t="s">
        <v>6632</v>
      </c>
      <c r="F3924" s="4">
        <v>3672</v>
      </c>
      <c r="G3924" s="2" t="s">
        <v>137</v>
      </c>
      <c r="H3924" s="2" t="s">
        <v>34</v>
      </c>
      <c r="I3924" s="2" t="s">
        <v>9732</v>
      </c>
      <c r="J3924" s="2" t="s">
        <v>9733</v>
      </c>
      <c r="K3924" s="2" t="s">
        <v>300</v>
      </c>
      <c r="L3924" s="2" t="s">
        <v>1791</v>
      </c>
      <c r="M3924" s="2"/>
      <c r="N3924" s="7">
        <v>54.375</v>
      </c>
      <c r="O3924" s="9">
        <v>53.0625</v>
      </c>
      <c r="P3924" s="2" t="s">
        <v>12254</v>
      </c>
      <c r="Q3924" s="6">
        <v>100</v>
      </c>
      <c r="R3924" s="6">
        <v>10.5</v>
      </c>
      <c r="S3924" s="5">
        <v>-1.2</v>
      </c>
      <c r="T3924" s="7">
        <v>5.5030000000000001</v>
      </c>
      <c r="U3924" s="5">
        <v>3</v>
      </c>
      <c r="V3924" s="6">
        <v>-0.3</v>
      </c>
      <c r="W3924" s="7">
        <v>8.4380000000000006</v>
      </c>
      <c r="X3924" s="6">
        <v>9.25</v>
      </c>
      <c r="Y3924" s="6">
        <v>10.25</v>
      </c>
      <c r="Z3924" s="7">
        <v>10.343999999999999</v>
      </c>
      <c r="AA3924" s="6">
        <v>4.25</v>
      </c>
      <c r="AB3924" s="7">
        <v>265.94499999999999</v>
      </c>
      <c r="AC3924" s="5">
        <v>369.8</v>
      </c>
    </row>
    <row r="3925" spans="1:29" ht="130" x14ac:dyDescent="0.15">
      <c r="A3925" s="3">
        <f>DATE(1998,6,3)</f>
        <v>35949</v>
      </c>
      <c r="B3925" s="2"/>
      <c r="C3925" s="2" t="s">
        <v>30</v>
      </c>
      <c r="D3925" s="2" t="s">
        <v>12255</v>
      </c>
      <c r="E3925" s="2" t="s">
        <v>12256</v>
      </c>
      <c r="F3925" s="4">
        <v>3661</v>
      </c>
      <c r="G3925" s="2" t="s">
        <v>921</v>
      </c>
      <c r="H3925" s="2" t="s">
        <v>34</v>
      </c>
      <c r="I3925" s="2" t="s">
        <v>11501</v>
      </c>
      <c r="J3925" s="2" t="s">
        <v>11502</v>
      </c>
      <c r="K3925" s="2" t="s">
        <v>921</v>
      </c>
      <c r="L3925" s="2" t="s">
        <v>34</v>
      </c>
      <c r="M3925" s="10">
        <v>12674.85</v>
      </c>
      <c r="N3925" s="7">
        <v>63.813000000000002</v>
      </c>
      <c r="O3925" s="7">
        <v>63.313000000000002</v>
      </c>
      <c r="P3925" s="2" t="s">
        <v>12257</v>
      </c>
      <c r="Q3925" s="2"/>
      <c r="R3925" s="6">
        <v>46.25</v>
      </c>
      <c r="S3925" s="5">
        <v>112.9</v>
      </c>
      <c r="T3925" s="7">
        <v>186.857</v>
      </c>
      <c r="U3925" s="5">
        <v>12.8</v>
      </c>
      <c r="V3925" s="9">
        <v>3.8149000000000002</v>
      </c>
      <c r="W3925" s="4">
        <v>50</v>
      </c>
      <c r="X3925" s="7">
        <v>57.563000000000002</v>
      </c>
      <c r="Y3925" s="6">
        <v>61.75</v>
      </c>
      <c r="Z3925" s="5">
        <v>61.5</v>
      </c>
      <c r="AA3925" s="6">
        <v>101.59</v>
      </c>
      <c r="AB3925" s="7">
        <v>7.9429999999999996</v>
      </c>
      <c r="AC3925" s="6">
        <v>487.03</v>
      </c>
    </row>
    <row r="3926" spans="1:29" ht="182" x14ac:dyDescent="0.15">
      <c r="A3926" s="3">
        <f t="shared" ref="A3926:A3932" si="69">DATE(1998,6,4)</f>
        <v>35950</v>
      </c>
      <c r="B3926" s="3">
        <f>DATE(1998,11,13)</f>
        <v>36112</v>
      </c>
      <c r="C3926" s="2" t="s">
        <v>95</v>
      </c>
      <c r="D3926" s="2" t="s">
        <v>12258</v>
      </c>
      <c r="E3926" s="2" t="s">
        <v>12259</v>
      </c>
      <c r="F3926" s="4">
        <v>6311</v>
      </c>
      <c r="G3926" s="2" t="s">
        <v>125</v>
      </c>
      <c r="H3926" s="2" t="s">
        <v>34</v>
      </c>
      <c r="I3926" s="2" t="s">
        <v>12136</v>
      </c>
      <c r="J3926" s="2" t="s">
        <v>12137</v>
      </c>
      <c r="K3926" s="2" t="s">
        <v>125</v>
      </c>
      <c r="L3926" s="2" t="s">
        <v>34</v>
      </c>
      <c r="M3926" s="2"/>
      <c r="N3926" s="2"/>
      <c r="O3926" s="2"/>
      <c r="P3926" s="2" t="s">
        <v>12260</v>
      </c>
      <c r="Q3926" s="6">
        <v>65.64</v>
      </c>
      <c r="R3926" s="6">
        <v>30</v>
      </c>
      <c r="S3926" s="5">
        <v>10.5</v>
      </c>
      <c r="T3926" s="2"/>
      <c r="U3926" s="5">
        <v>17.899999999999999</v>
      </c>
      <c r="V3926" s="6">
        <v>1.94</v>
      </c>
      <c r="W3926" s="7">
        <v>26.375</v>
      </c>
      <c r="X3926" s="6">
        <v>28.75</v>
      </c>
      <c r="Y3926" s="7">
        <v>28.875</v>
      </c>
      <c r="Z3926" s="7">
        <v>28.875</v>
      </c>
      <c r="AA3926" s="6">
        <v>4.42</v>
      </c>
      <c r="AB3926" s="7">
        <v>11.227</v>
      </c>
      <c r="AC3926" s="2"/>
    </row>
    <row r="3927" spans="1:29" ht="78" x14ac:dyDescent="0.15">
      <c r="A3927" s="3">
        <f t="shared" si="69"/>
        <v>35950</v>
      </c>
      <c r="B3927" s="3">
        <f>DATE(1998,11,3)</f>
        <v>36102</v>
      </c>
      <c r="C3927" s="2" t="s">
        <v>95</v>
      </c>
      <c r="D3927" s="2" t="s">
        <v>12261</v>
      </c>
      <c r="E3927" s="2" t="s">
        <v>3892</v>
      </c>
      <c r="F3927" s="4">
        <v>4841</v>
      </c>
      <c r="G3927" s="2" t="s">
        <v>45</v>
      </c>
      <c r="H3927" s="2" t="s">
        <v>34</v>
      </c>
      <c r="I3927" s="2" t="s">
        <v>12262</v>
      </c>
      <c r="J3927" s="2" t="s">
        <v>12263</v>
      </c>
      <c r="K3927" s="2" t="s">
        <v>45</v>
      </c>
      <c r="L3927" s="2" t="s">
        <v>34</v>
      </c>
      <c r="M3927" s="2"/>
      <c r="N3927" s="2"/>
      <c r="O3927" s="2"/>
      <c r="P3927" s="2" t="s">
        <v>12264</v>
      </c>
      <c r="Q3927" s="6">
        <v>100</v>
      </c>
      <c r="R3927" s="6">
        <v>40.5</v>
      </c>
      <c r="S3927" s="5">
        <v>-4.4000000000000004</v>
      </c>
      <c r="T3927" s="7">
        <v>33.116999999999997</v>
      </c>
      <c r="U3927" s="5">
        <v>-7.8</v>
      </c>
      <c r="V3927" s="6">
        <v>-0.63</v>
      </c>
      <c r="W3927" s="6">
        <v>35.25</v>
      </c>
      <c r="X3927" s="6">
        <v>35.25</v>
      </c>
      <c r="Y3927" s="7">
        <v>38.438000000000002</v>
      </c>
      <c r="Z3927" s="7">
        <v>38.438000000000002</v>
      </c>
      <c r="AA3927" s="6">
        <v>6.89</v>
      </c>
      <c r="AB3927" s="7">
        <v>402.01900000000001</v>
      </c>
      <c r="AC3927" s="6">
        <v>17.22</v>
      </c>
    </row>
    <row r="3928" spans="1:29" ht="143" x14ac:dyDescent="0.15">
      <c r="A3928" s="3">
        <f t="shared" si="69"/>
        <v>35950</v>
      </c>
      <c r="B3928" s="3">
        <f>DATE(1998,9,8)</f>
        <v>36046</v>
      </c>
      <c r="C3928" s="2" t="s">
        <v>95</v>
      </c>
      <c r="D3928" s="2" t="s">
        <v>12265</v>
      </c>
      <c r="E3928" s="2" t="s">
        <v>12266</v>
      </c>
      <c r="F3928" s="4">
        <v>3661</v>
      </c>
      <c r="G3928" s="2" t="s">
        <v>921</v>
      </c>
      <c r="H3928" s="2" t="s">
        <v>34</v>
      </c>
      <c r="I3928" s="2" t="s">
        <v>12267</v>
      </c>
      <c r="J3928" s="2" t="s">
        <v>12268</v>
      </c>
      <c r="K3928" s="2" t="s">
        <v>921</v>
      </c>
      <c r="L3928" s="2" t="s">
        <v>133</v>
      </c>
      <c r="M3928" s="2"/>
      <c r="N3928" s="2"/>
      <c r="O3928" s="2"/>
      <c r="P3928" s="2" t="s">
        <v>12269</v>
      </c>
      <c r="Q3928" s="6">
        <v>100</v>
      </c>
      <c r="R3928" s="6">
        <v>35.76</v>
      </c>
      <c r="S3928" s="5">
        <v>48.9</v>
      </c>
      <c r="T3928" s="7">
        <v>269.125</v>
      </c>
      <c r="U3928" s="5">
        <v>9.9</v>
      </c>
      <c r="V3928" s="6">
        <v>0.41</v>
      </c>
      <c r="W3928" s="6">
        <v>16.87</v>
      </c>
      <c r="X3928" s="6">
        <v>19.68</v>
      </c>
      <c r="Y3928" s="5">
        <v>27.5</v>
      </c>
      <c r="Z3928" s="5">
        <v>29.5</v>
      </c>
      <c r="AA3928" s="6">
        <v>118.77</v>
      </c>
      <c r="AB3928" s="7">
        <v>29.056000000000001</v>
      </c>
      <c r="AC3928" s="8">
        <v>4626.3</v>
      </c>
    </row>
    <row r="3929" spans="1:29" ht="91" x14ac:dyDescent="0.15">
      <c r="A3929" s="3">
        <f t="shared" si="69"/>
        <v>35950</v>
      </c>
      <c r="B3929" s="3">
        <f>DATE(1999,3,26)</f>
        <v>36245</v>
      </c>
      <c r="C3929" s="2" t="s">
        <v>95</v>
      </c>
      <c r="D3929" s="2" t="s">
        <v>9721</v>
      </c>
      <c r="E3929" s="2" t="s">
        <v>2034</v>
      </c>
      <c r="F3929" s="4">
        <v>4841</v>
      </c>
      <c r="G3929" s="2" t="s">
        <v>45</v>
      </c>
      <c r="H3929" s="2" t="s">
        <v>34</v>
      </c>
      <c r="I3929" s="2" t="s">
        <v>12261</v>
      </c>
      <c r="J3929" s="2" t="s">
        <v>3892</v>
      </c>
      <c r="K3929" s="2" t="s">
        <v>45</v>
      </c>
      <c r="L3929" s="2" t="s">
        <v>34</v>
      </c>
      <c r="M3929" s="7">
        <v>225.91800000000001</v>
      </c>
      <c r="N3929" s="7">
        <v>38.438000000000002</v>
      </c>
      <c r="O3929" s="7">
        <v>38.438000000000002</v>
      </c>
      <c r="P3929" s="2" t="s">
        <v>12270</v>
      </c>
      <c r="Q3929" s="6">
        <v>38.08</v>
      </c>
      <c r="R3929" s="6">
        <v>12</v>
      </c>
      <c r="S3929" s="5">
        <v>4.2</v>
      </c>
      <c r="T3929" s="7">
        <v>6.0990000000000002</v>
      </c>
      <c r="U3929" s="5">
        <v>0.3</v>
      </c>
      <c r="V3929" s="6">
        <v>0.88</v>
      </c>
      <c r="W3929" s="4">
        <v>11</v>
      </c>
      <c r="X3929" s="4">
        <v>11</v>
      </c>
      <c r="Y3929" s="7">
        <v>10.938000000000001</v>
      </c>
      <c r="Z3929" s="7">
        <v>10.938000000000001</v>
      </c>
      <c r="AA3929" s="6">
        <v>4.79</v>
      </c>
      <c r="AB3929" s="7">
        <v>16.417000000000002</v>
      </c>
      <c r="AC3929" s="6">
        <v>17.22</v>
      </c>
    </row>
    <row r="3930" spans="1:29" ht="156" x14ac:dyDescent="0.15">
      <c r="A3930" s="3">
        <f t="shared" si="69"/>
        <v>35950</v>
      </c>
      <c r="B3930" s="3">
        <f>DATE(1998,7,20)</f>
        <v>35996</v>
      </c>
      <c r="C3930" s="2" t="s">
        <v>95</v>
      </c>
      <c r="D3930" s="2" t="s">
        <v>11725</v>
      </c>
      <c r="E3930" s="2" t="s">
        <v>229</v>
      </c>
      <c r="F3930" s="4">
        <v>5812</v>
      </c>
      <c r="G3930" s="2" t="s">
        <v>230</v>
      </c>
      <c r="H3930" s="2" t="s">
        <v>34</v>
      </c>
      <c r="I3930" s="2" t="s">
        <v>12271</v>
      </c>
      <c r="J3930" s="2" t="s">
        <v>1283</v>
      </c>
      <c r="K3930" s="2" t="s">
        <v>230</v>
      </c>
      <c r="L3930" s="2" t="s">
        <v>34</v>
      </c>
      <c r="M3930" s="2"/>
      <c r="N3930" s="2"/>
      <c r="O3930" s="2"/>
      <c r="P3930" s="2" t="s">
        <v>12272</v>
      </c>
      <c r="Q3930" s="6">
        <v>100</v>
      </c>
      <c r="R3930" s="6">
        <v>11</v>
      </c>
      <c r="S3930" s="5">
        <v>5.2</v>
      </c>
      <c r="T3930" s="7">
        <v>11.268000000000001</v>
      </c>
      <c r="U3930" s="5">
        <v>3.6</v>
      </c>
      <c r="V3930" s="6">
        <v>0.63</v>
      </c>
      <c r="W3930" s="4">
        <v>8</v>
      </c>
      <c r="X3930" s="7">
        <v>7.9379999999999997</v>
      </c>
      <c r="Y3930" s="6">
        <v>9.25</v>
      </c>
      <c r="Z3930" s="7">
        <v>9.4380000000000006</v>
      </c>
      <c r="AA3930" s="6">
        <v>8.26</v>
      </c>
      <c r="AB3930" s="7">
        <v>10.657999999999999</v>
      </c>
      <c r="AC3930" s="2"/>
    </row>
    <row r="3931" spans="1:29" ht="143" x14ac:dyDescent="0.15">
      <c r="A3931" s="3">
        <f t="shared" si="69"/>
        <v>35950</v>
      </c>
      <c r="B3931" s="2"/>
      <c r="C3931" s="2" t="s">
        <v>30</v>
      </c>
      <c r="D3931" s="2" t="s">
        <v>12273</v>
      </c>
      <c r="E3931" s="2" t="s">
        <v>268</v>
      </c>
      <c r="F3931" s="4">
        <v>7011</v>
      </c>
      <c r="G3931" s="2" t="s">
        <v>269</v>
      </c>
      <c r="H3931" s="2" t="s">
        <v>34</v>
      </c>
      <c r="I3931" s="2" t="s">
        <v>12274</v>
      </c>
      <c r="J3931" s="2" t="s">
        <v>7957</v>
      </c>
      <c r="K3931" s="2" t="s">
        <v>370</v>
      </c>
      <c r="L3931" s="2" t="s">
        <v>34</v>
      </c>
      <c r="M3931" s="7">
        <v>128.96299999999999</v>
      </c>
      <c r="N3931" s="6">
        <v>19.75</v>
      </c>
      <c r="O3931" s="6">
        <v>19.75</v>
      </c>
      <c r="P3931" s="2" t="s">
        <v>12275</v>
      </c>
      <c r="Q3931" s="2"/>
      <c r="R3931" s="6">
        <v>12.15</v>
      </c>
      <c r="S3931" s="5">
        <v>4.0999999999999996</v>
      </c>
      <c r="T3931" s="7">
        <v>15.182</v>
      </c>
      <c r="U3931" s="5">
        <v>6.8</v>
      </c>
      <c r="V3931" s="6">
        <v>0.85</v>
      </c>
      <c r="W3931" s="7">
        <v>12.875</v>
      </c>
      <c r="X3931" s="4">
        <v>13</v>
      </c>
      <c r="Y3931" s="6">
        <v>13.75</v>
      </c>
      <c r="Z3931" s="6">
        <v>13.75</v>
      </c>
      <c r="AA3931" s="6">
        <v>4.84</v>
      </c>
      <c r="AB3931" s="7">
        <v>10.331</v>
      </c>
      <c r="AC3931" s="6">
        <v>0.04</v>
      </c>
    </row>
    <row r="3932" spans="1:29" ht="65" x14ac:dyDescent="0.15">
      <c r="A3932" s="3">
        <f t="shared" si="69"/>
        <v>35950</v>
      </c>
      <c r="B3932" s="3">
        <f>DATE(1998,11,30)</f>
        <v>36129</v>
      </c>
      <c r="C3932" s="2" t="s">
        <v>95</v>
      </c>
      <c r="D3932" s="2" t="s">
        <v>12276</v>
      </c>
      <c r="E3932" s="2" t="s">
        <v>12277</v>
      </c>
      <c r="F3932" s="4">
        <v>3661</v>
      </c>
      <c r="G3932" s="2" t="s">
        <v>921</v>
      </c>
      <c r="H3932" s="2" t="s">
        <v>34</v>
      </c>
      <c r="I3932" s="2" t="s">
        <v>11254</v>
      </c>
      <c r="J3932" s="2" t="s">
        <v>560</v>
      </c>
      <c r="K3932" s="2" t="s">
        <v>76</v>
      </c>
      <c r="L3932" s="2" t="s">
        <v>34</v>
      </c>
      <c r="M3932" s="7">
        <v>806.75800000000004</v>
      </c>
      <c r="N3932" s="6">
        <v>29.25</v>
      </c>
      <c r="O3932" s="7">
        <v>27.562999999999999</v>
      </c>
      <c r="P3932" s="2" t="s">
        <v>12278</v>
      </c>
      <c r="Q3932" s="6">
        <v>100</v>
      </c>
      <c r="R3932" s="6">
        <v>17</v>
      </c>
      <c r="S3932" s="5">
        <v>-1.1000000000000001</v>
      </c>
      <c r="T3932" s="7">
        <v>2.2759999999999998</v>
      </c>
      <c r="U3932" s="5">
        <v>5.2</v>
      </c>
      <c r="V3932" s="6">
        <v>-0.1</v>
      </c>
      <c r="W3932" s="6">
        <v>10.25</v>
      </c>
      <c r="X3932" s="7">
        <v>9.5630000000000006</v>
      </c>
      <c r="Y3932" s="7">
        <v>11.218999999999999</v>
      </c>
      <c r="Z3932" s="5">
        <v>14.5</v>
      </c>
      <c r="AA3932" s="6">
        <v>11.02</v>
      </c>
      <c r="AB3932" s="2" t="s">
        <v>86</v>
      </c>
      <c r="AC3932" s="6">
        <v>118.07</v>
      </c>
    </row>
    <row r="3933" spans="1:29" ht="52" x14ac:dyDescent="0.15">
      <c r="A3933" s="3">
        <f>DATE(1998,6,5)</f>
        <v>35951</v>
      </c>
      <c r="B3933" s="2"/>
      <c r="C3933" s="2" t="s">
        <v>39</v>
      </c>
      <c r="D3933" s="2" t="s">
        <v>4153</v>
      </c>
      <c r="E3933" s="2" t="s">
        <v>3231</v>
      </c>
      <c r="F3933" s="4">
        <v>4953</v>
      </c>
      <c r="G3933" s="2" t="s">
        <v>116</v>
      </c>
      <c r="H3933" s="2" t="s">
        <v>34</v>
      </c>
      <c r="I3933" s="2" t="s">
        <v>12279</v>
      </c>
      <c r="J3933" s="2" t="s">
        <v>12280</v>
      </c>
      <c r="K3933" s="2" t="s">
        <v>116</v>
      </c>
      <c r="L3933" s="2" t="s">
        <v>34</v>
      </c>
      <c r="M3933" s="12">
        <v>2818.4479999999999</v>
      </c>
      <c r="N3933" s="7">
        <v>25.375</v>
      </c>
      <c r="O3933" s="5">
        <v>25.5</v>
      </c>
      <c r="P3933" s="2" t="s">
        <v>12281</v>
      </c>
      <c r="Q3933" s="2"/>
      <c r="R3933" s="2"/>
      <c r="S3933" s="5">
        <v>283.7</v>
      </c>
      <c r="T3933" s="12">
        <v>1250.7860000000001</v>
      </c>
      <c r="U3933" s="5">
        <v>12.5</v>
      </c>
      <c r="V3933" s="6">
        <v>1.39</v>
      </c>
      <c r="W3933" s="7">
        <v>35.563000000000002</v>
      </c>
      <c r="X3933" s="6">
        <v>34.25</v>
      </c>
      <c r="Y3933" s="9">
        <v>36.0625</v>
      </c>
      <c r="Z3933" s="5">
        <v>35.5</v>
      </c>
      <c r="AA3933" s="6">
        <v>184.15</v>
      </c>
      <c r="AB3933" s="2" t="s">
        <v>47</v>
      </c>
      <c r="AC3933" s="6">
        <v>11.92</v>
      </c>
    </row>
    <row r="3934" spans="1:29" ht="78" x14ac:dyDescent="0.15">
      <c r="A3934" s="3">
        <f t="shared" ref="A3934:A3940" si="70">DATE(1998,6,8)</f>
        <v>35954</v>
      </c>
      <c r="B3934" s="3">
        <f>DATE(1998,10,6)</f>
        <v>36074</v>
      </c>
      <c r="C3934" s="2" t="s">
        <v>95</v>
      </c>
      <c r="D3934" s="2" t="s">
        <v>12282</v>
      </c>
      <c r="E3934" s="2" t="s">
        <v>12283</v>
      </c>
      <c r="F3934" s="4">
        <v>7389</v>
      </c>
      <c r="G3934" s="2" t="s">
        <v>223</v>
      </c>
      <c r="H3934" s="2" t="s">
        <v>34</v>
      </c>
      <c r="I3934" s="2" t="s">
        <v>12284</v>
      </c>
      <c r="J3934" s="2" t="s">
        <v>302</v>
      </c>
      <c r="K3934" s="2" t="s">
        <v>53</v>
      </c>
      <c r="L3934" s="2" t="s">
        <v>34</v>
      </c>
      <c r="M3934" s="2"/>
      <c r="N3934" s="2"/>
      <c r="O3934" s="2"/>
      <c r="P3934" s="2" t="s">
        <v>12285</v>
      </c>
      <c r="Q3934" s="6">
        <v>100</v>
      </c>
      <c r="R3934" s="6">
        <v>6.4</v>
      </c>
      <c r="S3934" s="5">
        <v>-1.5</v>
      </c>
      <c r="T3934" s="7">
        <v>9.9000000000000005E-2</v>
      </c>
      <c r="U3934" s="5">
        <v>1.8</v>
      </c>
      <c r="V3934" s="7">
        <v>-0.34599999999999997</v>
      </c>
      <c r="W3934" s="6">
        <v>4.75</v>
      </c>
      <c r="X3934" s="6">
        <v>4.25</v>
      </c>
      <c r="Y3934" s="7">
        <v>5.9379999999999997</v>
      </c>
      <c r="Z3934" s="7">
        <v>5.9379999999999997</v>
      </c>
      <c r="AA3934" s="6">
        <v>4.51</v>
      </c>
      <c r="AB3934" s="7">
        <v>49.756999999999998</v>
      </c>
      <c r="AC3934" s="2"/>
    </row>
    <row r="3935" spans="1:29" ht="117" x14ac:dyDescent="0.15">
      <c r="A3935" s="3">
        <f t="shared" si="70"/>
        <v>35954</v>
      </c>
      <c r="B3935" s="3">
        <f>DATE(1998,10,15)</f>
        <v>36083</v>
      </c>
      <c r="C3935" s="2" t="s">
        <v>95</v>
      </c>
      <c r="D3935" s="2" t="s">
        <v>12286</v>
      </c>
      <c r="E3935" s="2" t="s">
        <v>92</v>
      </c>
      <c r="F3935" s="4">
        <v>6798</v>
      </c>
      <c r="G3935" s="2" t="s">
        <v>53</v>
      </c>
      <c r="H3935" s="2" t="s">
        <v>34</v>
      </c>
      <c r="I3935" s="2" t="s">
        <v>12287</v>
      </c>
      <c r="J3935" s="2" t="s">
        <v>6321</v>
      </c>
      <c r="K3935" s="2" t="s">
        <v>53</v>
      </c>
      <c r="L3935" s="2" t="s">
        <v>34</v>
      </c>
      <c r="M3935" s="6">
        <v>580.11</v>
      </c>
      <c r="N3935" s="7">
        <v>28.625</v>
      </c>
      <c r="O3935" s="7">
        <v>27.812999999999999</v>
      </c>
      <c r="P3935" s="2" t="s">
        <v>12288</v>
      </c>
      <c r="Q3935" s="6">
        <v>100</v>
      </c>
      <c r="R3935" s="6">
        <v>24.17</v>
      </c>
      <c r="S3935" s="5">
        <v>28.9</v>
      </c>
      <c r="T3935" s="7">
        <v>38.366</v>
      </c>
      <c r="U3935" s="5">
        <v>21.6</v>
      </c>
      <c r="V3935" s="6">
        <v>1.75</v>
      </c>
      <c r="W3935" s="7">
        <v>23.125</v>
      </c>
      <c r="X3935" s="4">
        <v>23</v>
      </c>
      <c r="Y3935" s="7">
        <v>22.812999999999999</v>
      </c>
      <c r="Z3935" s="7">
        <v>23.062999999999999</v>
      </c>
      <c r="AA3935" s="6">
        <v>22.42</v>
      </c>
      <c r="AB3935" s="7">
        <v>31.341999999999999</v>
      </c>
      <c r="AC3935" s="6">
        <v>5.33</v>
      </c>
    </row>
    <row r="3936" spans="1:29" ht="39" x14ac:dyDescent="0.15">
      <c r="A3936" s="3">
        <f t="shared" si="70"/>
        <v>35954</v>
      </c>
      <c r="B3936" s="3">
        <f>DATE(1998,12,11)</f>
        <v>36140</v>
      </c>
      <c r="C3936" s="2" t="s">
        <v>95</v>
      </c>
      <c r="D3936" s="2" t="s">
        <v>6577</v>
      </c>
      <c r="E3936" s="2" t="s">
        <v>6578</v>
      </c>
      <c r="F3936" s="4">
        <v>7231</v>
      </c>
      <c r="G3936" s="2" t="s">
        <v>1517</v>
      </c>
      <c r="H3936" s="2" t="s">
        <v>34</v>
      </c>
      <c r="I3936" s="2" t="s">
        <v>12289</v>
      </c>
      <c r="J3936" s="2" t="s">
        <v>302</v>
      </c>
      <c r="K3936" s="2" t="s">
        <v>53</v>
      </c>
      <c r="L3936" s="2" t="s">
        <v>34</v>
      </c>
      <c r="M3936" s="2"/>
      <c r="N3936" s="2"/>
      <c r="O3936" s="2"/>
      <c r="P3936" s="2" t="s">
        <v>12290</v>
      </c>
      <c r="Q3936" s="6">
        <v>85</v>
      </c>
      <c r="R3936" s="2"/>
      <c r="S3936" s="5">
        <v>-4.8</v>
      </c>
      <c r="T3936" s="7">
        <v>7.1550000000000002</v>
      </c>
      <c r="U3936" s="5">
        <v>3.5</v>
      </c>
      <c r="V3936" s="6">
        <v>-0.51</v>
      </c>
      <c r="W3936" s="6">
        <v>2.25</v>
      </c>
      <c r="X3936" s="5">
        <v>2.5</v>
      </c>
      <c r="Y3936" s="7">
        <v>3.625</v>
      </c>
      <c r="Z3936" s="7">
        <v>3.875</v>
      </c>
      <c r="AA3936" s="6">
        <v>9.98</v>
      </c>
      <c r="AB3936" s="2" t="s">
        <v>47</v>
      </c>
      <c r="AC3936" s="2"/>
    </row>
    <row r="3937" spans="1:29" ht="65" x14ac:dyDescent="0.15">
      <c r="A3937" s="3">
        <f t="shared" si="70"/>
        <v>35954</v>
      </c>
      <c r="B3937" s="2"/>
      <c r="C3937" s="2" t="s">
        <v>30</v>
      </c>
      <c r="D3937" s="2" t="s">
        <v>12291</v>
      </c>
      <c r="E3937" s="2" t="s">
        <v>12292</v>
      </c>
      <c r="F3937" s="4">
        <v>4813</v>
      </c>
      <c r="G3937" s="2" t="s">
        <v>63</v>
      </c>
      <c r="H3937" s="2" t="s">
        <v>34</v>
      </c>
      <c r="I3937" s="2" t="s">
        <v>12293</v>
      </c>
      <c r="J3937" s="2" t="s">
        <v>9012</v>
      </c>
      <c r="K3937" s="2" t="s">
        <v>223</v>
      </c>
      <c r="L3937" s="2" t="s">
        <v>34</v>
      </c>
      <c r="M3937" s="7">
        <v>74.492000000000004</v>
      </c>
      <c r="N3937" s="6">
        <v>9.75</v>
      </c>
      <c r="O3937" s="7">
        <v>9.4380000000000006</v>
      </c>
      <c r="P3937" s="2" t="s">
        <v>12294</v>
      </c>
      <c r="Q3937" s="2"/>
      <c r="R3937" s="6">
        <v>6.76</v>
      </c>
      <c r="S3937" s="5">
        <v>-3.4</v>
      </c>
      <c r="T3937" s="7">
        <v>-1.4810000000000001</v>
      </c>
      <c r="U3937" s="5">
        <v>1.1000000000000001</v>
      </c>
      <c r="V3937" s="7">
        <v>-0.64200000000000002</v>
      </c>
      <c r="W3937" s="6">
        <v>6.25</v>
      </c>
      <c r="X3937" s="7">
        <v>6.1879999999999997</v>
      </c>
      <c r="Y3937" s="7">
        <v>6.125</v>
      </c>
      <c r="Z3937" s="7">
        <v>6.3129999999999997</v>
      </c>
      <c r="AA3937" s="6">
        <v>5.46</v>
      </c>
      <c r="AB3937" s="2" t="s">
        <v>86</v>
      </c>
      <c r="AC3937" s="2"/>
    </row>
    <row r="3938" spans="1:29" ht="65" x14ac:dyDescent="0.15">
      <c r="A3938" s="3">
        <f t="shared" si="70"/>
        <v>35954</v>
      </c>
      <c r="B3938" s="2"/>
      <c r="C3938" s="2" t="s">
        <v>87</v>
      </c>
      <c r="D3938" s="2" t="s">
        <v>12295</v>
      </c>
      <c r="E3938" s="2" t="s">
        <v>2712</v>
      </c>
      <c r="F3938" s="4">
        <v>6211</v>
      </c>
      <c r="G3938" s="2" t="s">
        <v>53</v>
      </c>
      <c r="H3938" s="2" t="s">
        <v>34</v>
      </c>
      <c r="I3938" s="2" t="s">
        <v>12296</v>
      </c>
      <c r="J3938" s="2" t="s">
        <v>12297</v>
      </c>
      <c r="K3938" s="2" t="s">
        <v>53</v>
      </c>
      <c r="L3938" s="2" t="s">
        <v>34</v>
      </c>
      <c r="M3938" s="2"/>
      <c r="N3938" s="2"/>
      <c r="O3938" s="2"/>
      <c r="P3938" s="2" t="s">
        <v>12298</v>
      </c>
      <c r="Q3938" s="2"/>
      <c r="R3938" s="2"/>
      <c r="S3938" s="5">
        <v>415.4</v>
      </c>
      <c r="T3938" s="7">
        <v>873.57799999999997</v>
      </c>
      <c r="U3938" s="5">
        <v>13.8</v>
      </c>
      <c r="V3938" s="6">
        <v>2.56</v>
      </c>
      <c r="W3938" s="6">
        <v>41.94</v>
      </c>
      <c r="X3938" s="6">
        <v>42.44</v>
      </c>
      <c r="Y3938" s="9">
        <v>45.1875</v>
      </c>
      <c r="Z3938" s="7">
        <v>45.375</v>
      </c>
      <c r="AA3938" s="6">
        <v>139.4</v>
      </c>
      <c r="AB3938" s="2" t="s">
        <v>47</v>
      </c>
      <c r="AC3938" s="2"/>
    </row>
    <row r="3939" spans="1:29" ht="39" x14ac:dyDescent="0.15">
      <c r="A3939" s="3">
        <f t="shared" si="70"/>
        <v>35954</v>
      </c>
      <c r="B3939" s="2"/>
      <c r="C3939" s="2" t="s">
        <v>7330</v>
      </c>
      <c r="D3939" s="2" t="s">
        <v>12299</v>
      </c>
      <c r="E3939" s="2" t="s">
        <v>129</v>
      </c>
      <c r="F3939" s="4">
        <v>2834</v>
      </c>
      <c r="G3939" s="2" t="s">
        <v>130</v>
      </c>
      <c r="H3939" s="2" t="s">
        <v>34</v>
      </c>
      <c r="I3939" s="2" t="s">
        <v>12300</v>
      </c>
      <c r="J3939" s="2" t="s">
        <v>12301</v>
      </c>
      <c r="K3939" s="2" t="s">
        <v>76</v>
      </c>
      <c r="L3939" s="2" t="s">
        <v>34</v>
      </c>
      <c r="M3939" s="2"/>
      <c r="N3939" s="2"/>
      <c r="O3939" s="2"/>
      <c r="P3939" s="2" t="s">
        <v>12302</v>
      </c>
      <c r="Q3939" s="2"/>
      <c r="R3939" s="2"/>
      <c r="S3939" s="2"/>
      <c r="T3939" s="2"/>
      <c r="U3939" s="2"/>
      <c r="V3939" s="2"/>
      <c r="W3939" s="7">
        <v>2.125</v>
      </c>
      <c r="X3939" s="7">
        <v>2.125</v>
      </c>
      <c r="Y3939" s="7">
        <v>2.125</v>
      </c>
      <c r="Z3939" s="7">
        <v>2.4689999999999999</v>
      </c>
      <c r="AA3939" s="2"/>
      <c r="AB3939" s="2" t="s">
        <v>47</v>
      </c>
      <c r="AC3939" s="2"/>
    </row>
    <row r="3940" spans="1:29" ht="208" x14ac:dyDescent="0.15">
      <c r="A3940" s="3">
        <f t="shared" si="70"/>
        <v>35954</v>
      </c>
      <c r="B3940" s="3">
        <f>DATE(1998,11,2)</f>
        <v>36101</v>
      </c>
      <c r="C3940" s="2" t="s">
        <v>95</v>
      </c>
      <c r="D3940" s="2" t="s">
        <v>12303</v>
      </c>
      <c r="E3940" s="2" t="s">
        <v>36</v>
      </c>
      <c r="F3940" s="4">
        <v>6021</v>
      </c>
      <c r="G3940" s="2" t="s">
        <v>37</v>
      </c>
      <c r="H3940" s="2" t="s">
        <v>34</v>
      </c>
      <c r="I3940" s="2" t="s">
        <v>450</v>
      </c>
      <c r="J3940" s="2" t="s">
        <v>36</v>
      </c>
      <c r="K3940" s="2" t="s">
        <v>37</v>
      </c>
      <c r="L3940" s="2" t="s">
        <v>34</v>
      </c>
      <c r="M3940" s="12">
        <v>28662.975999999999</v>
      </c>
      <c r="N3940" s="7">
        <v>36.813000000000002</v>
      </c>
      <c r="O3940" s="7">
        <v>35.938000000000002</v>
      </c>
      <c r="P3940" s="2" t="s">
        <v>12304</v>
      </c>
      <c r="Q3940" s="6">
        <v>100</v>
      </c>
      <c r="R3940" s="6">
        <v>396.88</v>
      </c>
      <c r="S3940" s="8">
        <v>1351</v>
      </c>
      <c r="T3940" s="8">
        <v>2734</v>
      </c>
      <c r="U3940" s="5">
        <v>4.5</v>
      </c>
      <c r="V3940" s="7">
        <v>0.875</v>
      </c>
      <c r="W3940" s="6">
        <v>362.94</v>
      </c>
      <c r="X3940" s="6">
        <v>363.25</v>
      </c>
      <c r="Y3940" s="6">
        <v>365.75</v>
      </c>
      <c r="Z3940" s="2"/>
      <c r="AA3940" s="6">
        <v>85.35</v>
      </c>
      <c r="AB3940" s="7">
        <v>304.99299999999999</v>
      </c>
      <c r="AC3940" s="2"/>
    </row>
    <row r="3941" spans="1:29" ht="65" x14ac:dyDescent="0.15">
      <c r="A3941" s="3">
        <f>DATE(1998,6,9)</f>
        <v>35955</v>
      </c>
      <c r="B3941" s="3">
        <f>DATE(1998,6,9)</f>
        <v>35955</v>
      </c>
      <c r="C3941" s="2" t="s">
        <v>95</v>
      </c>
      <c r="D3941" s="2" t="s">
        <v>12305</v>
      </c>
      <c r="E3941" s="2" t="s">
        <v>12306</v>
      </c>
      <c r="F3941" s="4">
        <v>2064</v>
      </c>
      <c r="G3941" s="2" t="s">
        <v>577</v>
      </c>
      <c r="H3941" s="2" t="s">
        <v>34</v>
      </c>
      <c r="I3941" s="2" t="s">
        <v>12307</v>
      </c>
      <c r="J3941" s="2" t="s">
        <v>244</v>
      </c>
      <c r="K3941" s="2" t="s">
        <v>53</v>
      </c>
      <c r="L3941" s="2" t="s">
        <v>34</v>
      </c>
      <c r="M3941" s="2"/>
      <c r="N3941" s="2"/>
      <c r="O3941" s="2"/>
      <c r="P3941" s="2" t="s">
        <v>12308</v>
      </c>
      <c r="Q3941" s="6">
        <v>56.38</v>
      </c>
      <c r="R3941" s="6">
        <v>2</v>
      </c>
      <c r="S3941" s="5">
        <v>2.7</v>
      </c>
      <c r="T3941" s="7">
        <v>2.085</v>
      </c>
      <c r="U3941" s="5">
        <v>2</v>
      </c>
      <c r="V3941" s="6">
        <v>0.42</v>
      </c>
      <c r="W3941" s="7">
        <v>1.9379999999999999</v>
      </c>
      <c r="X3941" s="7">
        <v>1.875</v>
      </c>
      <c r="Y3941" s="6">
        <v>1.75</v>
      </c>
      <c r="Z3941" s="9">
        <v>1.9375</v>
      </c>
      <c r="AA3941" s="6">
        <v>6.33</v>
      </c>
      <c r="AB3941" s="7">
        <v>6.7679999999999998</v>
      </c>
      <c r="AC3941" s="2"/>
    </row>
    <row r="3942" spans="1:29" ht="52" x14ac:dyDescent="0.15">
      <c r="A3942" s="3">
        <f>DATE(1998,6,10)</f>
        <v>35956</v>
      </c>
      <c r="B3942" s="3">
        <f>DATE(1998,8,18)</f>
        <v>36025</v>
      </c>
      <c r="C3942" s="2" t="s">
        <v>95</v>
      </c>
      <c r="D3942" s="2" t="s">
        <v>12309</v>
      </c>
      <c r="E3942" s="2" t="s">
        <v>12310</v>
      </c>
      <c r="F3942" s="4">
        <v>1389</v>
      </c>
      <c r="G3942" s="2" t="s">
        <v>148</v>
      </c>
      <c r="H3942" s="2" t="s">
        <v>34</v>
      </c>
      <c r="I3942" s="2" t="s">
        <v>12311</v>
      </c>
      <c r="J3942" s="2" t="s">
        <v>12312</v>
      </c>
      <c r="K3942" s="2" t="s">
        <v>148</v>
      </c>
      <c r="L3942" s="2" t="s">
        <v>322</v>
      </c>
      <c r="M3942" s="2"/>
      <c r="N3942" s="2"/>
      <c r="O3942" s="2"/>
      <c r="P3942" s="2" t="s">
        <v>12313</v>
      </c>
      <c r="Q3942" s="6">
        <v>100</v>
      </c>
      <c r="R3942" s="6">
        <v>20</v>
      </c>
      <c r="S3942" s="5">
        <v>2.2000000000000002</v>
      </c>
      <c r="T3942" s="5">
        <v>16.100000000000001</v>
      </c>
      <c r="U3942" s="5">
        <v>8.5</v>
      </c>
      <c r="V3942" s="6">
        <v>0.22</v>
      </c>
      <c r="W3942" s="7">
        <v>14.875</v>
      </c>
      <c r="X3942" s="7">
        <v>15.438000000000001</v>
      </c>
      <c r="Y3942" s="7">
        <v>17.812999999999999</v>
      </c>
      <c r="Z3942" s="6">
        <v>17.75</v>
      </c>
      <c r="AA3942" s="6">
        <v>10.64</v>
      </c>
      <c r="AB3942" s="7">
        <v>54.173000000000002</v>
      </c>
      <c r="AC3942" s="2"/>
    </row>
    <row r="3943" spans="1:29" ht="104" x14ac:dyDescent="0.15">
      <c r="A3943" s="3">
        <f>DATE(1998,6,10)</f>
        <v>35956</v>
      </c>
      <c r="B3943" s="3">
        <f>DATE(1998,10,30)</f>
        <v>36098</v>
      </c>
      <c r="C3943" s="2" t="s">
        <v>95</v>
      </c>
      <c r="D3943" s="2" t="s">
        <v>5237</v>
      </c>
      <c r="E3943" s="2" t="s">
        <v>5238</v>
      </c>
      <c r="F3943" s="4">
        <v>5812</v>
      </c>
      <c r="G3943" s="2" t="s">
        <v>230</v>
      </c>
      <c r="H3943" s="2" t="s">
        <v>34</v>
      </c>
      <c r="I3943" s="2" t="s">
        <v>12314</v>
      </c>
      <c r="J3943" s="2" t="s">
        <v>229</v>
      </c>
      <c r="K3943" s="2" t="s">
        <v>230</v>
      </c>
      <c r="L3943" s="2" t="s">
        <v>34</v>
      </c>
      <c r="M3943" s="2"/>
      <c r="N3943" s="2"/>
      <c r="O3943" s="2"/>
      <c r="P3943" s="2" t="s">
        <v>12315</v>
      </c>
      <c r="Q3943" s="6">
        <v>100</v>
      </c>
      <c r="R3943" s="2"/>
      <c r="S3943" s="5">
        <v>-19.600000000000001</v>
      </c>
      <c r="T3943" s="7">
        <v>-6.9269999999999996</v>
      </c>
      <c r="U3943" s="5">
        <v>0.7</v>
      </c>
      <c r="V3943" s="6">
        <v>-1.0900000000000001</v>
      </c>
      <c r="W3943" s="7">
        <v>2.125</v>
      </c>
      <c r="X3943" s="7">
        <v>2.875</v>
      </c>
      <c r="Y3943" s="9">
        <v>2.4375</v>
      </c>
      <c r="Z3943" s="11">
        <v>2.40625</v>
      </c>
      <c r="AA3943" s="6">
        <v>49.99</v>
      </c>
      <c r="AB3943" s="2" t="s">
        <v>86</v>
      </c>
      <c r="AC3943" s="2"/>
    </row>
    <row r="3944" spans="1:29" ht="169" x14ac:dyDescent="0.15">
      <c r="A3944" s="3">
        <f>DATE(1998,6,10)</f>
        <v>35956</v>
      </c>
      <c r="B3944" s="3">
        <f>DATE(1998,9,25)</f>
        <v>36063</v>
      </c>
      <c r="C3944" s="2" t="s">
        <v>95</v>
      </c>
      <c r="D3944" s="2" t="s">
        <v>9592</v>
      </c>
      <c r="E3944" s="2" t="s">
        <v>9593</v>
      </c>
      <c r="F3944" s="4">
        <v>8051</v>
      </c>
      <c r="G3944" s="2" t="s">
        <v>454</v>
      </c>
      <c r="H3944" s="2" t="s">
        <v>34</v>
      </c>
      <c r="I3944" s="2" t="s">
        <v>6186</v>
      </c>
      <c r="J3944" s="2" t="s">
        <v>3632</v>
      </c>
      <c r="K3944" s="2" t="s">
        <v>454</v>
      </c>
      <c r="L3944" s="2" t="s">
        <v>34</v>
      </c>
      <c r="M3944" s="12">
        <v>1875.625</v>
      </c>
      <c r="N3944" s="7">
        <v>37.125</v>
      </c>
      <c r="O3944" s="7">
        <v>36.688000000000002</v>
      </c>
      <c r="P3944" s="2" t="s">
        <v>12316</v>
      </c>
      <c r="Q3944" s="6">
        <v>100</v>
      </c>
      <c r="R3944" s="6">
        <v>37.75</v>
      </c>
      <c r="S3944" s="5">
        <v>96.3</v>
      </c>
      <c r="T3944" s="7">
        <v>221.42500000000001</v>
      </c>
      <c r="U3944" s="5">
        <v>12.2</v>
      </c>
      <c r="V3944" s="6">
        <v>1.3</v>
      </c>
      <c r="W3944" s="7">
        <v>30.125</v>
      </c>
      <c r="X3944" s="4">
        <v>31</v>
      </c>
      <c r="Y3944" s="7">
        <v>35.563000000000002</v>
      </c>
      <c r="Z3944" s="6">
        <v>35.25</v>
      </c>
      <c r="AA3944" s="6">
        <v>63.67</v>
      </c>
      <c r="AB3944" s="7">
        <v>20.922999999999998</v>
      </c>
      <c r="AC3944" s="6">
        <v>7.46</v>
      </c>
    </row>
    <row r="3945" spans="1:29" ht="52" x14ac:dyDescent="0.15">
      <c r="A3945" s="3">
        <f>DATE(1998,6,10)</f>
        <v>35956</v>
      </c>
      <c r="B3945" s="3">
        <f>DATE(1999,6,17)</f>
        <v>36328</v>
      </c>
      <c r="C3945" s="2" t="s">
        <v>95</v>
      </c>
      <c r="D3945" s="2" t="s">
        <v>12317</v>
      </c>
      <c r="E3945" s="2" t="s">
        <v>2800</v>
      </c>
      <c r="F3945" s="4">
        <v>6162</v>
      </c>
      <c r="G3945" s="2" t="s">
        <v>109</v>
      </c>
      <c r="H3945" s="2" t="s">
        <v>34</v>
      </c>
      <c r="I3945" s="2" t="s">
        <v>4543</v>
      </c>
      <c r="J3945" s="2" t="s">
        <v>36</v>
      </c>
      <c r="K3945" s="2" t="s">
        <v>37</v>
      </c>
      <c r="L3945" s="2" t="s">
        <v>34</v>
      </c>
      <c r="M3945" s="2"/>
      <c r="N3945" s="4">
        <v>45</v>
      </c>
      <c r="O3945" s="7">
        <v>44.875</v>
      </c>
      <c r="P3945" s="2" t="s">
        <v>12318</v>
      </c>
      <c r="Q3945" s="6">
        <v>54.2</v>
      </c>
      <c r="R3945" s="2"/>
      <c r="S3945" s="5">
        <v>14.7</v>
      </c>
      <c r="T3945" s="7">
        <v>27.786999999999999</v>
      </c>
      <c r="U3945" s="5">
        <v>43.2</v>
      </c>
      <c r="V3945" s="6">
        <v>12.5</v>
      </c>
      <c r="W3945" s="7">
        <v>1.875</v>
      </c>
      <c r="X3945" s="7">
        <v>1.875</v>
      </c>
      <c r="Y3945" s="7">
        <v>1.875</v>
      </c>
      <c r="Z3945" s="7">
        <v>1.6879999999999999</v>
      </c>
      <c r="AA3945" s="6">
        <v>12.3</v>
      </c>
      <c r="AB3945" s="7">
        <v>3.0049999999999999</v>
      </c>
      <c r="AC3945" s="2"/>
    </row>
    <row r="3946" spans="1:29" ht="91" x14ac:dyDescent="0.15">
      <c r="A3946" s="3">
        <f>DATE(1998,6,10)</f>
        <v>35956</v>
      </c>
      <c r="B3946" s="3">
        <f>DATE(1998,7,31)</f>
        <v>36007</v>
      </c>
      <c r="C3946" s="2" t="s">
        <v>95</v>
      </c>
      <c r="D3946" s="2" t="s">
        <v>12319</v>
      </c>
      <c r="E3946" s="2" t="s">
        <v>12320</v>
      </c>
      <c r="F3946" s="4">
        <v>2721</v>
      </c>
      <c r="G3946" s="2" t="s">
        <v>186</v>
      </c>
      <c r="H3946" s="2" t="s">
        <v>34</v>
      </c>
      <c r="I3946" s="2" t="s">
        <v>7176</v>
      </c>
      <c r="J3946" s="2" t="s">
        <v>417</v>
      </c>
      <c r="K3946" s="2" t="s">
        <v>186</v>
      </c>
      <c r="L3946" s="2" t="s">
        <v>2105</v>
      </c>
      <c r="M3946" s="2"/>
      <c r="N3946" s="2"/>
      <c r="O3946" s="2"/>
      <c r="P3946" s="2" t="s">
        <v>12321</v>
      </c>
      <c r="Q3946" s="6">
        <v>100</v>
      </c>
      <c r="R3946" s="6">
        <v>73.5</v>
      </c>
      <c r="S3946" s="5">
        <v>12.8</v>
      </c>
      <c r="T3946" s="7">
        <v>21.129000000000001</v>
      </c>
      <c r="U3946" s="5">
        <v>15.9</v>
      </c>
      <c r="V3946" s="6">
        <v>3.45</v>
      </c>
      <c r="W3946" s="7">
        <v>68.875</v>
      </c>
      <c r="X3946" s="6">
        <v>68.25</v>
      </c>
      <c r="Y3946" s="7">
        <v>72.625</v>
      </c>
      <c r="Z3946" s="7">
        <v>72.625</v>
      </c>
      <c r="AA3946" s="6">
        <v>3.51</v>
      </c>
      <c r="AB3946" s="7">
        <v>10.592000000000001</v>
      </c>
      <c r="AC3946" s="6">
        <v>77.97</v>
      </c>
    </row>
    <row r="3947" spans="1:29" ht="104" x14ac:dyDescent="0.15">
      <c r="A3947" s="3">
        <f>DATE(1998,6,12)</f>
        <v>35958</v>
      </c>
      <c r="B3947" s="3">
        <f>DATE(1999,6,30)</f>
        <v>36341</v>
      </c>
      <c r="C3947" s="2" t="s">
        <v>95</v>
      </c>
      <c r="D3947" s="2" t="s">
        <v>12322</v>
      </c>
      <c r="E3947" s="2" t="s">
        <v>12323</v>
      </c>
      <c r="F3947" s="4">
        <v>7322</v>
      </c>
      <c r="G3947" s="2" t="s">
        <v>223</v>
      </c>
      <c r="H3947" s="2" t="s">
        <v>34</v>
      </c>
      <c r="I3947" s="2" t="s">
        <v>12324</v>
      </c>
      <c r="J3947" s="2" t="s">
        <v>12325</v>
      </c>
      <c r="K3947" s="2" t="s">
        <v>223</v>
      </c>
      <c r="L3947" s="2" t="s">
        <v>34</v>
      </c>
      <c r="M3947" s="7">
        <v>252.833</v>
      </c>
      <c r="N3947" s="7">
        <v>8.625</v>
      </c>
      <c r="O3947" s="4">
        <v>8</v>
      </c>
      <c r="P3947" s="2" t="s">
        <v>12326</v>
      </c>
      <c r="Q3947" s="6">
        <v>100</v>
      </c>
      <c r="R3947" s="6">
        <v>6.03</v>
      </c>
      <c r="S3947" s="5">
        <v>-26.1</v>
      </c>
      <c r="T3947" s="7">
        <v>-3.3290000000000002</v>
      </c>
      <c r="U3947" s="5">
        <v>1.7</v>
      </c>
      <c r="V3947" s="7">
        <v>-4.2709999999999999</v>
      </c>
      <c r="W3947" s="7">
        <v>5.375</v>
      </c>
      <c r="X3947" s="4">
        <v>5</v>
      </c>
      <c r="Y3947" s="7">
        <v>5.625</v>
      </c>
      <c r="Z3947" s="7">
        <v>5.625</v>
      </c>
      <c r="AA3947" s="6">
        <v>6.46</v>
      </c>
      <c r="AB3947" s="2" t="s">
        <v>86</v>
      </c>
      <c r="AC3947" s="6">
        <v>0.77</v>
      </c>
    </row>
    <row r="3948" spans="1:29" ht="117" x14ac:dyDescent="0.15">
      <c r="A3948" s="3">
        <f>DATE(1998,6,12)</f>
        <v>35958</v>
      </c>
      <c r="B3948" s="3">
        <f>DATE(1998,10,26)</f>
        <v>36094</v>
      </c>
      <c r="C3948" s="2" t="s">
        <v>95</v>
      </c>
      <c r="D3948" s="2" t="s">
        <v>12327</v>
      </c>
      <c r="E3948" s="2" t="s">
        <v>2712</v>
      </c>
      <c r="F3948" s="4">
        <v>6211</v>
      </c>
      <c r="G3948" s="2" t="s">
        <v>53</v>
      </c>
      <c r="H3948" s="2" t="s">
        <v>34</v>
      </c>
      <c r="I3948" s="2" t="s">
        <v>5994</v>
      </c>
      <c r="J3948" s="2" t="s">
        <v>5995</v>
      </c>
      <c r="K3948" s="2" t="s">
        <v>37</v>
      </c>
      <c r="L3948" s="2" t="s">
        <v>34</v>
      </c>
      <c r="M3948" s="12">
        <v>16970.457999999999</v>
      </c>
      <c r="N3948" s="7">
        <v>36.875</v>
      </c>
      <c r="O3948" s="6">
        <v>35.75</v>
      </c>
      <c r="P3948" s="2" t="s">
        <v>12328</v>
      </c>
      <c r="Q3948" s="6">
        <v>100</v>
      </c>
      <c r="R3948" s="6">
        <v>31.34</v>
      </c>
      <c r="S3948" s="5">
        <v>36.799999999999997</v>
      </c>
      <c r="T3948" s="6">
        <v>64.91</v>
      </c>
      <c r="U3948" s="5">
        <v>10.4</v>
      </c>
      <c r="V3948" s="6">
        <v>1.99</v>
      </c>
      <c r="W3948" s="5">
        <v>30.5</v>
      </c>
      <c r="X3948" s="7">
        <v>31.125</v>
      </c>
      <c r="Y3948" s="7">
        <v>30.812999999999999</v>
      </c>
      <c r="Z3948" s="7">
        <v>32.938000000000002</v>
      </c>
      <c r="AA3948" s="6">
        <v>18.29</v>
      </c>
      <c r="AB3948" s="7">
        <v>13.462999999999999</v>
      </c>
      <c r="AC3948" s="2"/>
    </row>
    <row r="3949" spans="1:29" ht="91" x14ac:dyDescent="0.15">
      <c r="A3949" s="3">
        <f>DATE(1998,6,12)</f>
        <v>35958</v>
      </c>
      <c r="B3949" s="2"/>
      <c r="C3949" s="2" t="s">
        <v>30</v>
      </c>
      <c r="D3949" s="2" t="s">
        <v>9426</v>
      </c>
      <c r="E3949" s="2" t="s">
        <v>9427</v>
      </c>
      <c r="F3949" s="4">
        <v>4813</v>
      </c>
      <c r="G3949" s="2" t="s">
        <v>63</v>
      </c>
      <c r="H3949" s="2" t="s">
        <v>34</v>
      </c>
      <c r="I3949" s="2" t="s">
        <v>10998</v>
      </c>
      <c r="J3949" s="2" t="s">
        <v>10999</v>
      </c>
      <c r="K3949" s="2" t="s">
        <v>63</v>
      </c>
      <c r="L3949" s="2" t="s">
        <v>34</v>
      </c>
      <c r="M3949" s="7">
        <v>120.843</v>
      </c>
      <c r="N3949" s="5">
        <v>26.5</v>
      </c>
      <c r="O3949" s="6">
        <v>26.25</v>
      </c>
      <c r="P3949" s="2" t="s">
        <v>12329</v>
      </c>
      <c r="Q3949" s="2"/>
      <c r="R3949" s="6">
        <v>3.08</v>
      </c>
      <c r="S3949" s="5">
        <v>-23.3</v>
      </c>
      <c r="T3949" s="7">
        <v>25.085999999999999</v>
      </c>
      <c r="U3949" s="5">
        <v>-0.3</v>
      </c>
      <c r="V3949" s="6">
        <v>-1.51</v>
      </c>
      <c r="W3949" s="7">
        <v>1.875</v>
      </c>
      <c r="X3949" s="6">
        <v>1.88</v>
      </c>
      <c r="Y3949" s="7">
        <v>2.375</v>
      </c>
      <c r="Z3949" s="7">
        <v>2.3130000000000002</v>
      </c>
      <c r="AA3949" s="6">
        <v>16.55</v>
      </c>
      <c r="AB3949" s="7">
        <v>96.912999999999997</v>
      </c>
      <c r="AC3949" s="6">
        <v>2.57</v>
      </c>
    </row>
    <row r="3950" spans="1:29" ht="208" x14ac:dyDescent="0.15">
      <c r="A3950" s="3">
        <f>DATE(1998,6,15)</f>
        <v>35961</v>
      </c>
      <c r="B3950" s="3">
        <f>DATE(1998,11,30)</f>
        <v>36129</v>
      </c>
      <c r="C3950" s="2" t="s">
        <v>95</v>
      </c>
      <c r="D3950" s="2" t="s">
        <v>7634</v>
      </c>
      <c r="E3950" s="2" t="s">
        <v>1040</v>
      </c>
      <c r="F3950" s="4">
        <v>6035</v>
      </c>
      <c r="G3950" s="2" t="s">
        <v>33</v>
      </c>
      <c r="H3950" s="2" t="s">
        <v>34</v>
      </c>
      <c r="I3950" s="2" t="s">
        <v>2707</v>
      </c>
      <c r="J3950" s="2" t="s">
        <v>263</v>
      </c>
      <c r="K3950" s="2" t="s">
        <v>33</v>
      </c>
      <c r="L3950" s="2" t="s">
        <v>34</v>
      </c>
      <c r="M3950" s="12">
        <v>4421.317</v>
      </c>
      <c r="N3950" s="7">
        <v>31.187999999999999</v>
      </c>
      <c r="O3950" s="5">
        <v>32.5</v>
      </c>
      <c r="P3950" s="2" t="s">
        <v>12330</v>
      </c>
      <c r="Q3950" s="6">
        <v>100</v>
      </c>
      <c r="R3950" s="6">
        <v>58.73</v>
      </c>
      <c r="S3950" s="5">
        <v>43.4</v>
      </c>
      <c r="T3950" s="7">
        <v>66.221000000000004</v>
      </c>
      <c r="U3950" s="5">
        <v>27.9</v>
      </c>
      <c r="V3950" s="6">
        <v>3.17</v>
      </c>
      <c r="W3950" s="4">
        <v>52</v>
      </c>
      <c r="X3950" s="5">
        <v>51.5</v>
      </c>
      <c r="Y3950" s="6">
        <v>64.75</v>
      </c>
      <c r="Z3950" s="7">
        <v>68.125</v>
      </c>
      <c r="AA3950" s="6">
        <v>12.86</v>
      </c>
      <c r="AB3950" s="7">
        <v>16.395</v>
      </c>
      <c r="AC3950" s="2"/>
    </row>
    <row r="3951" spans="1:29" ht="104" x14ac:dyDescent="0.15">
      <c r="A3951" s="3">
        <f>DATE(1998,6,15)</f>
        <v>35961</v>
      </c>
      <c r="B3951" s="3">
        <f>DATE(1998,8,31)</f>
        <v>36038</v>
      </c>
      <c r="C3951" s="2" t="s">
        <v>95</v>
      </c>
      <c r="D3951" s="2" t="s">
        <v>6753</v>
      </c>
      <c r="E3951" s="2" t="s">
        <v>5065</v>
      </c>
      <c r="F3951" s="4">
        <v>3577</v>
      </c>
      <c r="G3951" s="2" t="s">
        <v>50</v>
      </c>
      <c r="H3951" s="2" t="s">
        <v>34</v>
      </c>
      <c r="I3951" s="2" t="s">
        <v>7927</v>
      </c>
      <c r="J3951" s="2" t="s">
        <v>1402</v>
      </c>
      <c r="K3951" s="2" t="s">
        <v>921</v>
      </c>
      <c r="L3951" s="2" t="s">
        <v>902</v>
      </c>
      <c r="M3951" s="2"/>
      <c r="N3951" s="2"/>
      <c r="O3951" s="2"/>
      <c r="P3951" s="2" t="s">
        <v>12331</v>
      </c>
      <c r="Q3951" s="6">
        <v>100</v>
      </c>
      <c r="R3951" s="6">
        <v>38.21</v>
      </c>
      <c r="S3951" s="5">
        <v>-285</v>
      </c>
      <c r="T3951" s="7">
        <v>-98.986999999999995</v>
      </c>
      <c r="U3951" s="5">
        <v>5.9</v>
      </c>
      <c r="V3951" s="6">
        <v>-1.46</v>
      </c>
      <c r="W3951" s="6">
        <v>32.25</v>
      </c>
      <c r="X3951" s="7">
        <v>28.312999999999999</v>
      </c>
      <c r="Y3951" s="6">
        <v>30.75</v>
      </c>
      <c r="Z3951" s="7">
        <v>30.625</v>
      </c>
      <c r="AA3951" s="6">
        <v>221.89</v>
      </c>
      <c r="AB3951" s="2" t="s">
        <v>86</v>
      </c>
      <c r="AC3951" s="10">
        <v>1370.8</v>
      </c>
    </row>
    <row r="3952" spans="1:29" ht="156" x14ac:dyDescent="0.15">
      <c r="A3952" s="3">
        <f>DATE(1998,6,15)</f>
        <v>35961</v>
      </c>
      <c r="B3952" s="3">
        <f>DATE(1998,11,10)</f>
        <v>36109</v>
      </c>
      <c r="C3952" s="2" t="s">
        <v>95</v>
      </c>
      <c r="D3952" s="2" t="s">
        <v>9846</v>
      </c>
      <c r="E3952" s="2" t="s">
        <v>5364</v>
      </c>
      <c r="F3952" s="4">
        <v>4813</v>
      </c>
      <c r="G3952" s="2" t="s">
        <v>63</v>
      </c>
      <c r="H3952" s="2" t="s">
        <v>34</v>
      </c>
      <c r="I3952" s="2" t="s">
        <v>12332</v>
      </c>
      <c r="J3952" s="2" t="s">
        <v>971</v>
      </c>
      <c r="K3952" s="2" t="s">
        <v>63</v>
      </c>
      <c r="L3952" s="2" t="s">
        <v>902</v>
      </c>
      <c r="M3952" s="2"/>
      <c r="N3952" s="2"/>
      <c r="O3952" s="2"/>
      <c r="P3952" s="2" t="s">
        <v>12333</v>
      </c>
      <c r="Q3952" s="6">
        <v>100</v>
      </c>
      <c r="R3952" s="6">
        <v>45.69</v>
      </c>
      <c r="S3952" s="5">
        <v>87.9</v>
      </c>
      <c r="T3952" s="6">
        <v>233.15</v>
      </c>
      <c r="U3952" s="5">
        <v>5.7</v>
      </c>
      <c r="V3952" s="6">
        <v>0.76</v>
      </c>
      <c r="W3952" s="9">
        <v>24.8125</v>
      </c>
      <c r="X3952" s="9">
        <v>27.5625</v>
      </c>
      <c r="Y3952" s="2"/>
      <c r="Z3952" s="2"/>
      <c r="AA3952" s="6">
        <v>132.41</v>
      </c>
      <c r="AB3952" s="7">
        <v>32.837000000000003</v>
      </c>
      <c r="AC3952" s="6">
        <v>66.98</v>
      </c>
    </row>
    <row r="3953" spans="1:29" ht="104" x14ac:dyDescent="0.15">
      <c r="A3953" s="3">
        <f>DATE(1998,6,15)</f>
        <v>35961</v>
      </c>
      <c r="B3953" s="3">
        <f>DATE(1998,8,27)</f>
        <v>36034</v>
      </c>
      <c r="C3953" s="2" t="s">
        <v>95</v>
      </c>
      <c r="D3953" s="2" t="s">
        <v>12334</v>
      </c>
      <c r="E3953" s="2" t="s">
        <v>12335</v>
      </c>
      <c r="F3953" s="4">
        <v>7372</v>
      </c>
      <c r="G3953" s="2" t="s">
        <v>551</v>
      </c>
      <c r="H3953" s="2" t="s">
        <v>34</v>
      </c>
      <c r="I3953" s="2" t="s">
        <v>12336</v>
      </c>
      <c r="J3953" s="2" t="s">
        <v>10361</v>
      </c>
      <c r="K3953" s="2" t="s">
        <v>551</v>
      </c>
      <c r="L3953" s="2" t="s">
        <v>34</v>
      </c>
      <c r="M3953" s="7">
        <v>163.27199999999999</v>
      </c>
      <c r="N3953" s="7">
        <v>2.9380000000000002</v>
      </c>
      <c r="O3953" s="4">
        <v>3</v>
      </c>
      <c r="P3953" s="2" t="s">
        <v>12337</v>
      </c>
      <c r="Q3953" s="6">
        <v>100</v>
      </c>
      <c r="R3953" s="6">
        <v>2.2799999999999998</v>
      </c>
      <c r="S3953" s="5">
        <v>-57.8</v>
      </c>
      <c r="T3953" s="6">
        <v>-29.86</v>
      </c>
      <c r="U3953" s="5">
        <v>2.2000000000000002</v>
      </c>
      <c r="V3953" s="6">
        <v>-1.71</v>
      </c>
      <c r="W3953" s="7">
        <v>2.2810000000000001</v>
      </c>
      <c r="X3953" s="4">
        <v>2</v>
      </c>
      <c r="Y3953" s="7">
        <v>1.8129999999999999</v>
      </c>
      <c r="Z3953" s="6">
        <v>1.75</v>
      </c>
      <c r="AA3953" s="6">
        <v>33.97</v>
      </c>
      <c r="AB3953" s="2" t="s">
        <v>86</v>
      </c>
      <c r="AC3953" s="6">
        <v>49.55</v>
      </c>
    </row>
    <row r="3954" spans="1:29" ht="52" x14ac:dyDescent="0.15">
      <c r="A3954" s="3">
        <f>DATE(1998,6,15)</f>
        <v>35961</v>
      </c>
      <c r="B3954" s="2"/>
      <c r="C3954" s="2" t="s">
        <v>30</v>
      </c>
      <c r="D3954" s="2" t="s">
        <v>12338</v>
      </c>
      <c r="E3954" s="2" t="s">
        <v>12339</v>
      </c>
      <c r="F3954" s="4">
        <v>3571</v>
      </c>
      <c r="G3954" s="2" t="s">
        <v>50</v>
      </c>
      <c r="H3954" s="2" t="s">
        <v>34</v>
      </c>
      <c r="I3954" s="2" t="s">
        <v>12340</v>
      </c>
      <c r="J3954" s="2" t="s">
        <v>12341</v>
      </c>
      <c r="K3954" s="2" t="s">
        <v>50</v>
      </c>
      <c r="L3954" s="2" t="s">
        <v>34</v>
      </c>
      <c r="M3954" s="7">
        <v>47.235999999999997</v>
      </c>
      <c r="N3954" s="6">
        <v>6.75</v>
      </c>
      <c r="O3954" s="9">
        <v>6.6875</v>
      </c>
      <c r="P3954" s="2" t="s">
        <v>12342</v>
      </c>
      <c r="Q3954" s="2"/>
      <c r="R3954" s="2"/>
      <c r="S3954" s="5">
        <v>-2</v>
      </c>
      <c r="T3954" s="7">
        <v>0.57899999999999996</v>
      </c>
      <c r="U3954" s="5">
        <v>1.5</v>
      </c>
      <c r="V3954" s="6">
        <v>-0.12</v>
      </c>
      <c r="W3954" s="7">
        <v>2.3130000000000002</v>
      </c>
      <c r="X3954" s="7">
        <v>2.3130000000000002</v>
      </c>
      <c r="Y3954" s="7">
        <v>2.3130000000000002</v>
      </c>
      <c r="Z3954" s="7">
        <v>2.3130000000000002</v>
      </c>
      <c r="AA3954" s="6">
        <v>17.059999999999999</v>
      </c>
      <c r="AB3954" s="2" t="s">
        <v>86</v>
      </c>
      <c r="AC3954" s="6">
        <v>16.239999999999998</v>
      </c>
    </row>
    <row r="3955" spans="1:29" ht="52" x14ac:dyDescent="0.15">
      <c r="A3955" s="3">
        <f>DATE(1998,6,16)</f>
        <v>35962</v>
      </c>
      <c r="B3955" s="3">
        <f>DATE(1998,8,31)</f>
        <v>36038</v>
      </c>
      <c r="C3955" s="2" t="s">
        <v>95</v>
      </c>
      <c r="D3955" s="2" t="s">
        <v>12343</v>
      </c>
      <c r="E3955" s="2" t="s">
        <v>1514</v>
      </c>
      <c r="F3955" s="4">
        <v>7361</v>
      </c>
      <c r="G3955" s="2" t="s">
        <v>223</v>
      </c>
      <c r="H3955" s="2" t="s">
        <v>34</v>
      </c>
      <c r="I3955" s="2" t="s">
        <v>12344</v>
      </c>
      <c r="J3955" s="2" t="s">
        <v>244</v>
      </c>
      <c r="K3955" s="2" t="s">
        <v>53</v>
      </c>
      <c r="L3955" s="2" t="s">
        <v>34</v>
      </c>
      <c r="M3955" s="2"/>
      <c r="N3955" s="2"/>
      <c r="O3955" s="2"/>
      <c r="P3955" s="2" t="s">
        <v>12345</v>
      </c>
      <c r="Q3955" s="6">
        <v>100</v>
      </c>
      <c r="R3955" s="6">
        <v>16</v>
      </c>
      <c r="S3955" s="5">
        <v>1.4</v>
      </c>
      <c r="T3955" s="7">
        <v>3.5249999999999999</v>
      </c>
      <c r="U3955" s="5">
        <v>5.4</v>
      </c>
      <c r="V3955" s="6">
        <v>0.67</v>
      </c>
      <c r="W3955" s="4">
        <v>13</v>
      </c>
      <c r="X3955" s="6">
        <v>12.75</v>
      </c>
      <c r="Y3955" s="6">
        <v>15.25</v>
      </c>
      <c r="Z3955" s="7">
        <v>15.313000000000001</v>
      </c>
      <c r="AA3955" s="6">
        <v>2.0499999999999998</v>
      </c>
      <c r="AB3955" s="7">
        <v>14.521000000000001</v>
      </c>
      <c r="AC3955" s="2"/>
    </row>
    <row r="3956" spans="1:29" ht="117" x14ac:dyDescent="0.15">
      <c r="A3956" s="3">
        <f>DATE(1998,6,16)</f>
        <v>35962</v>
      </c>
      <c r="B3956" s="3">
        <f>DATE(1998,9,30)</f>
        <v>36068</v>
      </c>
      <c r="C3956" s="2" t="s">
        <v>95</v>
      </c>
      <c r="D3956" s="2" t="s">
        <v>12346</v>
      </c>
      <c r="E3956" s="2" t="s">
        <v>12347</v>
      </c>
      <c r="F3956" s="4">
        <v>7353</v>
      </c>
      <c r="G3956" s="2" t="s">
        <v>223</v>
      </c>
      <c r="H3956" s="2" t="s">
        <v>34</v>
      </c>
      <c r="I3956" s="2" t="s">
        <v>12348</v>
      </c>
      <c r="J3956" s="2" t="s">
        <v>12347</v>
      </c>
      <c r="K3956" s="2" t="s">
        <v>223</v>
      </c>
      <c r="L3956" s="2" t="s">
        <v>34</v>
      </c>
      <c r="M3956" s="8">
        <v>1134.8</v>
      </c>
      <c r="N3956" s="6">
        <v>35.75</v>
      </c>
      <c r="O3956" s="7">
        <v>36.375</v>
      </c>
      <c r="P3956" s="2" t="s">
        <v>12349</v>
      </c>
      <c r="Q3956" s="6">
        <v>100</v>
      </c>
      <c r="R3956" s="6">
        <v>32.119999999999997</v>
      </c>
      <c r="S3956" s="5">
        <v>21.4</v>
      </c>
      <c r="T3956" s="7">
        <v>136.964</v>
      </c>
      <c r="U3956" s="5">
        <v>8.6</v>
      </c>
      <c r="V3956" s="6">
        <v>0.72</v>
      </c>
      <c r="W3956" s="7">
        <v>32.125</v>
      </c>
      <c r="X3956" s="7">
        <v>30.562999999999999</v>
      </c>
      <c r="Y3956" s="7">
        <v>30.187999999999999</v>
      </c>
      <c r="Z3956" s="5">
        <v>33.5</v>
      </c>
      <c r="AA3956" s="6">
        <v>30.76</v>
      </c>
      <c r="AB3956" s="7">
        <v>22.175999999999998</v>
      </c>
      <c r="AC3956" s="6">
        <v>68.61</v>
      </c>
    </row>
    <row r="3957" spans="1:29" ht="39" x14ac:dyDescent="0.15">
      <c r="A3957" s="3">
        <f>DATE(1998,6,17)</f>
        <v>35963</v>
      </c>
      <c r="B3957" s="2"/>
      <c r="C3957" s="2" t="s">
        <v>87</v>
      </c>
      <c r="D3957" s="2" t="s">
        <v>3738</v>
      </c>
      <c r="E3957" s="2" t="s">
        <v>9012</v>
      </c>
      <c r="F3957" s="4">
        <v>7375</v>
      </c>
      <c r="G3957" s="2" t="s">
        <v>223</v>
      </c>
      <c r="H3957" s="2" t="s">
        <v>34</v>
      </c>
      <c r="I3957" s="2" t="s">
        <v>5691</v>
      </c>
      <c r="J3957" s="2" t="s">
        <v>5692</v>
      </c>
      <c r="K3957" s="2" t="s">
        <v>63</v>
      </c>
      <c r="L3957" s="2" t="s">
        <v>34</v>
      </c>
      <c r="M3957" s="12">
        <v>95653.858999999997</v>
      </c>
      <c r="N3957" s="4">
        <v>63</v>
      </c>
      <c r="O3957" s="6">
        <v>62.25</v>
      </c>
      <c r="P3957" s="2" t="s">
        <v>12350</v>
      </c>
      <c r="Q3957" s="2"/>
      <c r="R3957" s="2"/>
      <c r="S3957" s="5">
        <v>-499.3</v>
      </c>
      <c r="T3957" s="7">
        <v>41.484000000000002</v>
      </c>
      <c r="U3957" s="5">
        <v>0.2</v>
      </c>
      <c r="V3957" s="9">
        <v>-0.9788</v>
      </c>
      <c r="W3957" s="6">
        <v>89.25</v>
      </c>
      <c r="X3957" s="4">
        <v>89</v>
      </c>
      <c r="Y3957" s="7">
        <v>93.875</v>
      </c>
      <c r="Z3957" s="7">
        <v>93.875</v>
      </c>
      <c r="AA3957" s="2"/>
      <c r="AB3957" s="2" t="s">
        <v>86</v>
      </c>
      <c r="AC3957" s="5">
        <v>145</v>
      </c>
    </row>
    <row r="3958" spans="1:29" ht="130" x14ac:dyDescent="0.15">
      <c r="A3958" s="3">
        <f>DATE(1998,6,17)</f>
        <v>35963</v>
      </c>
      <c r="B3958" s="3">
        <f>DATE(1998,9,24)</f>
        <v>36062</v>
      </c>
      <c r="C3958" s="2" t="s">
        <v>95</v>
      </c>
      <c r="D3958" s="2" t="s">
        <v>12351</v>
      </c>
      <c r="E3958" s="2" t="s">
        <v>12352</v>
      </c>
      <c r="F3958" s="4">
        <v>7372</v>
      </c>
      <c r="G3958" s="2" t="s">
        <v>551</v>
      </c>
      <c r="H3958" s="2" t="s">
        <v>34</v>
      </c>
      <c r="I3958" s="2" t="s">
        <v>12353</v>
      </c>
      <c r="J3958" s="2" t="s">
        <v>12354</v>
      </c>
      <c r="K3958" s="2" t="s">
        <v>551</v>
      </c>
      <c r="L3958" s="2" t="s">
        <v>303</v>
      </c>
      <c r="M3958" s="2"/>
      <c r="N3958" s="2"/>
      <c r="O3958" s="2"/>
      <c r="P3958" s="2" t="s">
        <v>12355</v>
      </c>
      <c r="Q3958" s="6">
        <v>100</v>
      </c>
      <c r="R3958" s="6">
        <v>21.86</v>
      </c>
      <c r="S3958" s="5">
        <v>5.5</v>
      </c>
      <c r="T3958" s="7">
        <v>32.781999999999996</v>
      </c>
      <c r="U3958" s="5">
        <v>2.5</v>
      </c>
      <c r="V3958" s="6">
        <v>0.25</v>
      </c>
      <c r="W3958" s="5">
        <v>15.5</v>
      </c>
      <c r="X3958" s="4">
        <v>14</v>
      </c>
      <c r="Y3958" s="5">
        <v>14.5</v>
      </c>
      <c r="Z3958" s="7">
        <v>16.187999999999999</v>
      </c>
      <c r="AA3958" s="6">
        <v>22.59</v>
      </c>
      <c r="AB3958" s="7">
        <v>19.373000000000001</v>
      </c>
      <c r="AC3958" s="6">
        <v>84.44</v>
      </c>
    </row>
    <row r="3959" spans="1:29" ht="78" x14ac:dyDescent="0.15">
      <c r="A3959" s="3">
        <f>DATE(1998,6,17)</f>
        <v>35963</v>
      </c>
      <c r="B3959" s="3">
        <f>DATE(1998,9,8)</f>
        <v>36046</v>
      </c>
      <c r="C3959" s="2" t="s">
        <v>95</v>
      </c>
      <c r="D3959" s="2" t="s">
        <v>12356</v>
      </c>
      <c r="E3959" s="2" t="s">
        <v>12357</v>
      </c>
      <c r="F3959" s="4">
        <v>3652</v>
      </c>
      <c r="G3959" s="2" t="s">
        <v>137</v>
      </c>
      <c r="H3959" s="2" t="s">
        <v>34</v>
      </c>
      <c r="I3959" s="2" t="s">
        <v>12358</v>
      </c>
      <c r="J3959" s="2" t="s">
        <v>12359</v>
      </c>
      <c r="K3959" s="2" t="s">
        <v>42</v>
      </c>
      <c r="L3959" s="2" t="s">
        <v>303</v>
      </c>
      <c r="M3959" s="2"/>
      <c r="N3959" s="2"/>
      <c r="O3959" s="2"/>
      <c r="P3959" s="2" t="s">
        <v>12360</v>
      </c>
      <c r="Q3959" s="6">
        <v>100</v>
      </c>
      <c r="R3959" s="6">
        <v>11.5</v>
      </c>
      <c r="S3959" s="5">
        <v>13.8</v>
      </c>
      <c r="T3959" s="7">
        <v>32.463000000000001</v>
      </c>
      <c r="U3959" s="5">
        <v>3.1</v>
      </c>
      <c r="V3959" s="7">
        <v>0.65200000000000002</v>
      </c>
      <c r="W3959" s="7">
        <v>10.875</v>
      </c>
      <c r="X3959" s="6">
        <v>10.75</v>
      </c>
      <c r="Y3959" s="7">
        <v>11.188000000000001</v>
      </c>
      <c r="Z3959" s="7">
        <v>11.188000000000001</v>
      </c>
      <c r="AA3959" s="6">
        <v>23.41</v>
      </c>
      <c r="AB3959" s="7">
        <v>13.246</v>
      </c>
      <c r="AC3959" s="6">
        <v>782.22</v>
      </c>
    </row>
    <row r="3960" spans="1:29" ht="91" x14ac:dyDescent="0.15">
      <c r="A3960" s="3">
        <f>DATE(1998,6,17)</f>
        <v>35963</v>
      </c>
      <c r="B3960" s="2"/>
      <c r="C3960" s="2" t="s">
        <v>30</v>
      </c>
      <c r="D3960" s="2" t="s">
        <v>12361</v>
      </c>
      <c r="E3960" s="2" t="s">
        <v>5102</v>
      </c>
      <c r="F3960" s="4">
        <v>7372</v>
      </c>
      <c r="G3960" s="2" t="s">
        <v>551</v>
      </c>
      <c r="H3960" s="2" t="s">
        <v>34</v>
      </c>
      <c r="I3960" s="2" t="s">
        <v>12362</v>
      </c>
      <c r="J3960" s="2" t="s">
        <v>12363</v>
      </c>
      <c r="K3960" s="2" t="s">
        <v>163</v>
      </c>
      <c r="L3960" s="2" t="s">
        <v>34</v>
      </c>
      <c r="M3960" s="7">
        <v>18.099</v>
      </c>
      <c r="N3960" s="5">
        <v>4.5</v>
      </c>
      <c r="O3960" s="5">
        <v>4.5</v>
      </c>
      <c r="P3960" s="2" t="s">
        <v>12364</v>
      </c>
      <c r="Q3960" s="2"/>
      <c r="R3960" s="6">
        <v>2.38</v>
      </c>
      <c r="S3960" s="5">
        <v>-1.7</v>
      </c>
      <c r="T3960" s="7">
        <v>-2.2480000000000002</v>
      </c>
      <c r="U3960" s="5">
        <v>17.5</v>
      </c>
      <c r="V3960" s="6">
        <v>-5.4</v>
      </c>
      <c r="W3960" s="7">
        <v>2.3130000000000002</v>
      </c>
      <c r="X3960" s="6">
        <v>2.25</v>
      </c>
      <c r="Y3960" s="9">
        <v>2.3125</v>
      </c>
      <c r="Z3960" s="9">
        <v>2.4375</v>
      </c>
      <c r="AA3960" s="6">
        <v>4.63</v>
      </c>
      <c r="AB3960" s="2" t="s">
        <v>86</v>
      </c>
      <c r="AC3960" s="2"/>
    </row>
    <row r="3961" spans="1:29" ht="91" x14ac:dyDescent="0.15">
      <c r="A3961" s="3">
        <f>DATE(1998,6,18)</f>
        <v>35964</v>
      </c>
      <c r="B3961" s="3">
        <f>DATE(1998,7,28)</f>
        <v>36004</v>
      </c>
      <c r="C3961" s="2" t="s">
        <v>95</v>
      </c>
      <c r="D3961" s="2" t="s">
        <v>12365</v>
      </c>
      <c r="E3961" s="2" t="s">
        <v>12366</v>
      </c>
      <c r="F3961" s="4">
        <v>2869</v>
      </c>
      <c r="G3961" s="2" t="s">
        <v>98</v>
      </c>
      <c r="H3961" s="2" t="s">
        <v>34</v>
      </c>
      <c r="I3961" s="2" t="s">
        <v>12367</v>
      </c>
      <c r="J3961" s="2" t="s">
        <v>12368</v>
      </c>
      <c r="K3961" s="2" t="s">
        <v>98</v>
      </c>
      <c r="L3961" s="2" t="s">
        <v>34</v>
      </c>
      <c r="M3961" s="12">
        <v>2619.6529999999998</v>
      </c>
      <c r="N3961" s="4">
        <v>29</v>
      </c>
      <c r="O3961" s="7">
        <v>30.687999999999999</v>
      </c>
      <c r="P3961" s="2" t="s">
        <v>12369</v>
      </c>
      <c r="Q3961" s="6">
        <v>100</v>
      </c>
      <c r="R3961" s="6">
        <v>57.75</v>
      </c>
      <c r="S3961" s="5">
        <v>111</v>
      </c>
      <c r="T3961" s="5">
        <v>660</v>
      </c>
      <c r="U3961" s="5">
        <v>18.5</v>
      </c>
      <c r="V3961" s="6">
        <v>1.1399999999999999</v>
      </c>
      <c r="W3961" s="7">
        <v>51.438000000000002</v>
      </c>
      <c r="X3961" s="7">
        <v>50.563000000000002</v>
      </c>
      <c r="Y3961" s="7">
        <v>57.063000000000002</v>
      </c>
      <c r="Z3961" s="7">
        <v>57.188000000000002</v>
      </c>
      <c r="AA3961" s="6">
        <v>97.24</v>
      </c>
      <c r="AB3961" s="7">
        <v>15.141</v>
      </c>
      <c r="AC3961" s="5">
        <v>86</v>
      </c>
    </row>
    <row r="3962" spans="1:29" ht="65" x14ac:dyDescent="0.15">
      <c r="A3962" s="3">
        <f>DATE(1998,6,18)</f>
        <v>35964</v>
      </c>
      <c r="B3962" s="3">
        <f>DATE(1998,6,19)</f>
        <v>35965</v>
      </c>
      <c r="C3962" s="2" t="s">
        <v>95</v>
      </c>
      <c r="D3962" s="2" t="s">
        <v>12370</v>
      </c>
      <c r="E3962" s="2" t="s">
        <v>12371</v>
      </c>
      <c r="F3962" s="4">
        <v>7375</v>
      </c>
      <c r="G3962" s="2" t="s">
        <v>223</v>
      </c>
      <c r="H3962" s="2" t="s">
        <v>34</v>
      </c>
      <c r="I3962" s="2" t="s">
        <v>1758</v>
      </c>
      <c r="J3962" s="2" t="s">
        <v>1759</v>
      </c>
      <c r="K3962" s="2" t="s">
        <v>364</v>
      </c>
      <c r="L3962" s="2" t="s">
        <v>34</v>
      </c>
      <c r="M3962" s="12">
        <v>79038.801999999996</v>
      </c>
      <c r="N3962" s="4">
        <v>112</v>
      </c>
      <c r="O3962" s="7">
        <v>107.563</v>
      </c>
      <c r="P3962" s="2" t="s">
        <v>12372</v>
      </c>
      <c r="Q3962" s="6">
        <v>43</v>
      </c>
      <c r="R3962" s="2"/>
      <c r="S3962" s="5">
        <v>-24.6</v>
      </c>
      <c r="T3962" s="7">
        <v>-13.805999999999999</v>
      </c>
      <c r="U3962" s="5">
        <v>1</v>
      </c>
      <c r="V3962" s="6">
        <v>-0.93</v>
      </c>
      <c r="W3962" s="4">
        <v>28</v>
      </c>
      <c r="X3962" s="5">
        <v>34.5</v>
      </c>
      <c r="Y3962" s="7">
        <v>35.125</v>
      </c>
      <c r="Z3962" s="7">
        <v>33.438000000000002</v>
      </c>
      <c r="AA3962" s="2"/>
      <c r="AB3962" s="2" t="s">
        <v>86</v>
      </c>
      <c r="AC3962" s="8">
        <v>2214</v>
      </c>
    </row>
    <row r="3963" spans="1:29" ht="104" x14ac:dyDescent="0.15">
      <c r="A3963" s="3">
        <f>DATE(1998,6,18)</f>
        <v>35964</v>
      </c>
      <c r="B3963" s="3">
        <f>DATE(1998,11,23)</f>
        <v>36122</v>
      </c>
      <c r="C3963" s="2" t="s">
        <v>95</v>
      </c>
      <c r="D3963" s="2" t="s">
        <v>12373</v>
      </c>
      <c r="E3963" s="2" t="s">
        <v>1181</v>
      </c>
      <c r="F3963" s="4">
        <v>6022</v>
      </c>
      <c r="G3963" s="2" t="s">
        <v>37</v>
      </c>
      <c r="H3963" s="2" t="s">
        <v>34</v>
      </c>
      <c r="I3963" s="2" t="s">
        <v>7980</v>
      </c>
      <c r="J3963" s="2" t="s">
        <v>36</v>
      </c>
      <c r="K3963" s="2" t="s">
        <v>37</v>
      </c>
      <c r="L3963" s="2" t="s">
        <v>34</v>
      </c>
      <c r="M3963" s="12">
        <v>9087.3240000000005</v>
      </c>
      <c r="N3963" s="6">
        <v>46.75</v>
      </c>
      <c r="O3963" s="6">
        <v>46.25</v>
      </c>
      <c r="P3963" s="2" t="s">
        <v>12374</v>
      </c>
      <c r="Q3963" s="6">
        <v>100</v>
      </c>
      <c r="R3963" s="6">
        <v>58.83</v>
      </c>
      <c r="S3963" s="5">
        <v>5.6</v>
      </c>
      <c r="T3963" s="7">
        <v>9.4819999999999993</v>
      </c>
      <c r="U3963" s="5">
        <v>23.1</v>
      </c>
      <c r="V3963" s="6">
        <v>2.2000000000000002</v>
      </c>
      <c r="W3963" s="4">
        <v>43</v>
      </c>
      <c r="X3963" s="7">
        <v>45.875</v>
      </c>
      <c r="Y3963" s="6">
        <v>55.25</v>
      </c>
      <c r="Z3963" s="7">
        <v>54.375</v>
      </c>
      <c r="AA3963" s="6">
        <v>2.37</v>
      </c>
      <c r="AB3963" s="7">
        <v>34.466000000000001</v>
      </c>
      <c r="AC3963" s="2"/>
    </row>
    <row r="3964" spans="1:29" ht="104" x14ac:dyDescent="0.15">
      <c r="A3964" s="3">
        <f>DATE(1998,6,18)</f>
        <v>35964</v>
      </c>
      <c r="B3964" s="3">
        <f>DATE(1998,9,24)</f>
        <v>36062</v>
      </c>
      <c r="C3964" s="2" t="s">
        <v>95</v>
      </c>
      <c r="D3964" s="2" t="s">
        <v>12375</v>
      </c>
      <c r="E3964" s="2" t="s">
        <v>9154</v>
      </c>
      <c r="F3964" s="4">
        <v>7389</v>
      </c>
      <c r="G3964" s="2" t="s">
        <v>223</v>
      </c>
      <c r="H3964" s="2" t="s">
        <v>34</v>
      </c>
      <c r="I3964" s="2" t="s">
        <v>12376</v>
      </c>
      <c r="J3964" s="2" t="s">
        <v>12377</v>
      </c>
      <c r="K3964" s="2" t="s">
        <v>223</v>
      </c>
      <c r="L3964" s="2" t="s">
        <v>34</v>
      </c>
      <c r="M3964" s="12">
        <v>1065.502</v>
      </c>
      <c r="N3964" s="7">
        <v>33.938000000000002</v>
      </c>
      <c r="O3964" s="7">
        <v>31.562999999999999</v>
      </c>
      <c r="P3964" s="2" t="s">
        <v>12378</v>
      </c>
      <c r="Q3964" s="6">
        <v>100</v>
      </c>
      <c r="R3964" s="6">
        <v>25.16</v>
      </c>
      <c r="S3964" s="5">
        <v>16.399999999999999</v>
      </c>
      <c r="T3964" s="7">
        <v>40.055</v>
      </c>
      <c r="U3964" s="5">
        <v>4.9000000000000004</v>
      </c>
      <c r="V3964" s="6">
        <v>0.4</v>
      </c>
      <c r="W3964" s="7">
        <v>18.562999999999999</v>
      </c>
      <c r="X3964" s="7">
        <v>20.625</v>
      </c>
      <c r="Y3964" s="7">
        <v>22.937999999999999</v>
      </c>
      <c r="Z3964" s="7">
        <v>21.875</v>
      </c>
      <c r="AA3964" s="6">
        <v>48.91</v>
      </c>
      <c r="AB3964" s="7">
        <v>39.023000000000003</v>
      </c>
      <c r="AC3964" s="6">
        <v>0.74</v>
      </c>
    </row>
    <row r="3965" spans="1:29" ht="39" x14ac:dyDescent="0.15">
      <c r="A3965" s="3">
        <f>DATE(1998,6,19)</f>
        <v>35965</v>
      </c>
      <c r="B3965" s="2"/>
      <c r="C3965" s="2" t="s">
        <v>189</v>
      </c>
      <c r="D3965" s="2" t="s">
        <v>12379</v>
      </c>
      <c r="E3965" s="2" t="s">
        <v>92</v>
      </c>
      <c r="F3965" s="4">
        <v>6798</v>
      </c>
      <c r="G3965" s="2" t="s">
        <v>53</v>
      </c>
      <c r="H3965" s="2" t="s">
        <v>34</v>
      </c>
      <c r="I3965" s="2" t="s">
        <v>143</v>
      </c>
      <c r="J3965" s="2" t="s">
        <v>144</v>
      </c>
      <c r="K3965" s="2" t="s">
        <v>53</v>
      </c>
      <c r="L3965" s="2" t="s">
        <v>139</v>
      </c>
      <c r="M3965" s="2"/>
      <c r="N3965" s="2"/>
      <c r="O3965" s="2"/>
      <c r="P3965" s="2" t="s">
        <v>12380</v>
      </c>
      <c r="Q3965" s="2"/>
      <c r="R3965" s="2"/>
      <c r="S3965" s="5">
        <v>31.3</v>
      </c>
      <c r="T3965" s="7">
        <v>26.562999999999999</v>
      </c>
      <c r="U3965" s="5">
        <v>15.3</v>
      </c>
      <c r="V3965" s="6">
        <v>1.94</v>
      </c>
      <c r="W3965" s="6">
        <v>17.75</v>
      </c>
      <c r="X3965" s="7">
        <v>18.437999999999999</v>
      </c>
      <c r="Y3965" s="7">
        <v>18.375</v>
      </c>
      <c r="Z3965" s="7">
        <v>18.375</v>
      </c>
      <c r="AA3965" s="6">
        <v>22.58</v>
      </c>
      <c r="AB3965" s="2" t="s">
        <v>47</v>
      </c>
      <c r="AC3965" s="2"/>
    </row>
    <row r="3966" spans="1:29" ht="156" x14ac:dyDescent="0.15">
      <c r="A3966" s="3">
        <f>DATE(1998,6,19)</f>
        <v>35965</v>
      </c>
      <c r="B3966" s="3">
        <f>DATE(1998,8,31)</f>
        <v>36038</v>
      </c>
      <c r="C3966" s="2" t="s">
        <v>95</v>
      </c>
      <c r="D3966" s="2" t="s">
        <v>9367</v>
      </c>
      <c r="E3966" s="2" t="s">
        <v>9368</v>
      </c>
      <c r="F3966" s="4">
        <v>3561</v>
      </c>
      <c r="G3966" s="2" t="s">
        <v>300</v>
      </c>
      <c r="H3966" s="2" t="s">
        <v>34</v>
      </c>
      <c r="I3966" s="2" t="s">
        <v>12381</v>
      </c>
      <c r="J3966" s="2" t="s">
        <v>12382</v>
      </c>
      <c r="K3966" s="2" t="s">
        <v>551</v>
      </c>
      <c r="L3966" s="2" t="s">
        <v>34</v>
      </c>
      <c r="M3966" s="2"/>
      <c r="N3966" s="2"/>
      <c r="O3966" s="2"/>
      <c r="P3966" s="2" t="s">
        <v>12383</v>
      </c>
      <c r="Q3966" s="6">
        <v>100</v>
      </c>
      <c r="R3966" s="6">
        <v>82.53</v>
      </c>
      <c r="S3966" s="5">
        <v>91.8</v>
      </c>
      <c r="T3966" s="7">
        <v>221.71700000000001</v>
      </c>
      <c r="U3966" s="5">
        <v>18.3</v>
      </c>
      <c r="V3966" s="6">
        <v>2.39</v>
      </c>
      <c r="W3966" s="4">
        <v>59</v>
      </c>
      <c r="X3966" s="6">
        <v>62.25</v>
      </c>
      <c r="Y3966" s="7">
        <v>74.733999999999995</v>
      </c>
      <c r="Z3966" s="6">
        <v>75.75</v>
      </c>
      <c r="AA3966" s="6">
        <v>37.840000000000003</v>
      </c>
      <c r="AB3966" s="7">
        <v>20.370999999999999</v>
      </c>
      <c r="AC3966" s="2"/>
    </row>
    <row r="3967" spans="1:29" ht="104" x14ac:dyDescent="0.15">
      <c r="A3967" s="3">
        <f>DATE(1998,6,19)</f>
        <v>35965</v>
      </c>
      <c r="B3967" s="3">
        <f>DATE(1998,12,21)</f>
        <v>36150</v>
      </c>
      <c r="C3967" s="2" t="s">
        <v>95</v>
      </c>
      <c r="D3967" s="2" t="s">
        <v>8185</v>
      </c>
      <c r="E3967" s="2" t="s">
        <v>6853</v>
      </c>
      <c r="F3967" s="4">
        <v>6321</v>
      </c>
      <c r="G3967" s="2" t="s">
        <v>125</v>
      </c>
      <c r="H3967" s="2" t="s">
        <v>34</v>
      </c>
      <c r="I3967" s="2" t="s">
        <v>6692</v>
      </c>
      <c r="J3967" s="2" t="s">
        <v>4875</v>
      </c>
      <c r="K3967" s="2" t="s">
        <v>125</v>
      </c>
      <c r="L3967" s="2" t="s">
        <v>34</v>
      </c>
      <c r="M3967" s="10">
        <v>88372.23</v>
      </c>
      <c r="N3967" s="4">
        <v>80900</v>
      </c>
      <c r="O3967" s="4">
        <v>77500</v>
      </c>
      <c r="P3967" s="2" t="s">
        <v>12384</v>
      </c>
      <c r="Q3967" s="6">
        <v>100</v>
      </c>
      <c r="R3967" s="6">
        <v>276.5</v>
      </c>
      <c r="S3967" s="5">
        <v>968</v>
      </c>
      <c r="T3967" s="2"/>
      <c r="U3967" s="5">
        <v>73.599999999999994</v>
      </c>
      <c r="V3967" s="6">
        <v>11.76</v>
      </c>
      <c r="W3967" s="6">
        <v>225.18</v>
      </c>
      <c r="X3967" s="6">
        <v>224.12</v>
      </c>
      <c r="Y3967" s="6">
        <v>220.25</v>
      </c>
      <c r="Z3967" s="5">
        <v>259.5</v>
      </c>
      <c r="AA3967" s="6">
        <v>76.510000000000005</v>
      </c>
      <c r="AB3967" s="7">
        <v>18.03</v>
      </c>
      <c r="AC3967" s="8">
        <v>1002.4</v>
      </c>
    </row>
    <row r="3968" spans="1:29" ht="104" x14ac:dyDescent="0.15">
      <c r="A3968" s="3">
        <f>DATE(1998,6,19)</f>
        <v>35965</v>
      </c>
      <c r="B3968" s="2"/>
      <c r="C3968" s="2" t="s">
        <v>30</v>
      </c>
      <c r="D3968" s="2" t="s">
        <v>347</v>
      </c>
      <c r="E3968" s="2" t="s">
        <v>348</v>
      </c>
      <c r="F3968" s="4">
        <v>7359</v>
      </c>
      <c r="G3968" s="2" t="s">
        <v>223</v>
      </c>
      <c r="H3968" s="2" t="s">
        <v>34</v>
      </c>
      <c r="I3968" s="2" t="s">
        <v>51</v>
      </c>
      <c r="J3968" s="2" t="s">
        <v>52</v>
      </c>
      <c r="K3968" s="2" t="s">
        <v>53</v>
      </c>
      <c r="L3968" s="2" t="s">
        <v>34</v>
      </c>
      <c r="M3968" s="2"/>
      <c r="N3968" s="2"/>
      <c r="O3968" s="2"/>
      <c r="P3968" s="2" t="s">
        <v>12385</v>
      </c>
      <c r="Q3968" s="2"/>
      <c r="R3968" s="6">
        <v>65</v>
      </c>
      <c r="S3968" s="5">
        <v>43</v>
      </c>
      <c r="T3968" s="5">
        <v>219</v>
      </c>
      <c r="U3968" s="5">
        <v>23.6</v>
      </c>
      <c r="V3968" s="6">
        <v>2.77</v>
      </c>
      <c r="W3968" s="7">
        <v>50.188000000000002</v>
      </c>
      <c r="X3968" s="7">
        <v>46.063000000000002</v>
      </c>
      <c r="Y3968" s="4">
        <v>61</v>
      </c>
      <c r="Z3968" s="9">
        <v>60.8125</v>
      </c>
      <c r="AA3968" s="6">
        <v>15.33</v>
      </c>
      <c r="AB3968" s="7">
        <v>26.492999999999999</v>
      </c>
      <c r="AC3968" s="2"/>
    </row>
    <row r="3969" spans="1:29" ht="156" x14ac:dyDescent="0.15">
      <c r="A3969" s="3">
        <f>DATE(1998,6,22)</f>
        <v>35968</v>
      </c>
      <c r="B3969" s="2"/>
      <c r="C3969" s="2" t="s">
        <v>30</v>
      </c>
      <c r="D3969" s="2" t="s">
        <v>12386</v>
      </c>
      <c r="E3969" s="2" t="s">
        <v>12387</v>
      </c>
      <c r="F3969" s="4">
        <v>5065</v>
      </c>
      <c r="G3969" s="2" t="s">
        <v>76</v>
      </c>
      <c r="H3969" s="2" t="s">
        <v>34</v>
      </c>
      <c r="I3969" s="2" t="s">
        <v>12388</v>
      </c>
      <c r="J3969" s="2" t="s">
        <v>12389</v>
      </c>
      <c r="K3969" s="2" t="s">
        <v>137</v>
      </c>
      <c r="L3969" s="2" t="s">
        <v>34</v>
      </c>
      <c r="M3969" s="7">
        <v>67.747</v>
      </c>
      <c r="N3969" s="7">
        <v>11.938000000000001</v>
      </c>
      <c r="O3969" s="7">
        <v>12.125</v>
      </c>
      <c r="P3969" s="2" t="s">
        <v>12390</v>
      </c>
      <c r="Q3969" s="2"/>
      <c r="R3969" s="6">
        <v>2.72</v>
      </c>
      <c r="S3969" s="5">
        <v>3.3</v>
      </c>
      <c r="T3969" s="6">
        <v>11.65</v>
      </c>
      <c r="U3969" s="5">
        <v>6.5</v>
      </c>
      <c r="V3969" s="6">
        <v>0.8</v>
      </c>
      <c r="W3969" s="7">
        <v>2.0630000000000002</v>
      </c>
      <c r="X3969" s="7">
        <v>2.391</v>
      </c>
      <c r="Y3969" s="9">
        <v>2.0625</v>
      </c>
      <c r="Z3969" s="7">
        <v>2.125</v>
      </c>
      <c r="AA3969" s="6">
        <v>19.86</v>
      </c>
      <c r="AB3969" s="7">
        <v>5.9640000000000004</v>
      </c>
      <c r="AC3969" s="6">
        <v>55.14</v>
      </c>
    </row>
    <row r="3970" spans="1:29" ht="65" x14ac:dyDescent="0.15">
      <c r="A3970" s="3">
        <f>DATE(1998,6,22)</f>
        <v>35968</v>
      </c>
      <c r="B3970" s="3">
        <f>DATE(1998,10,2)</f>
        <v>36070</v>
      </c>
      <c r="C3970" s="2" t="s">
        <v>95</v>
      </c>
      <c r="D3970" s="2" t="s">
        <v>12391</v>
      </c>
      <c r="E3970" s="2" t="s">
        <v>12392</v>
      </c>
      <c r="F3970" s="4">
        <v>3751</v>
      </c>
      <c r="G3970" s="2" t="s">
        <v>105</v>
      </c>
      <c r="H3970" s="2" t="s">
        <v>34</v>
      </c>
      <c r="I3970" s="2" t="s">
        <v>12393</v>
      </c>
      <c r="J3970" s="2" t="s">
        <v>12394</v>
      </c>
      <c r="K3970" s="2" t="s">
        <v>105</v>
      </c>
      <c r="L3970" s="2" t="s">
        <v>34</v>
      </c>
      <c r="M3970" s="2"/>
      <c r="N3970" s="2"/>
      <c r="O3970" s="2"/>
      <c r="P3970" s="2" t="s">
        <v>12395</v>
      </c>
      <c r="Q3970" s="6">
        <v>96.74</v>
      </c>
      <c r="R3970" s="6">
        <v>8</v>
      </c>
      <c r="S3970" s="5">
        <v>2.4</v>
      </c>
      <c r="T3970" s="7">
        <v>13.316000000000001</v>
      </c>
      <c r="U3970" s="5">
        <v>6.3</v>
      </c>
      <c r="V3970" s="7">
        <v>0.251</v>
      </c>
      <c r="W3970" s="5">
        <v>4.5</v>
      </c>
      <c r="X3970" s="6">
        <v>4.75</v>
      </c>
      <c r="Y3970" s="7">
        <v>7.125</v>
      </c>
      <c r="Z3970" s="7">
        <v>7.2190000000000003</v>
      </c>
      <c r="AA3970" s="6">
        <v>9.83</v>
      </c>
      <c r="AB3970" s="7">
        <v>18.600000000000001</v>
      </c>
      <c r="AC3970" s="2"/>
    </row>
    <row r="3971" spans="1:29" ht="130" x14ac:dyDescent="0.15">
      <c r="A3971" s="3">
        <f>DATE(1998,6,22)</f>
        <v>35968</v>
      </c>
      <c r="B3971" s="3">
        <f>DATE(1998,9,25)</f>
        <v>36063</v>
      </c>
      <c r="C3971" s="2" t="s">
        <v>95</v>
      </c>
      <c r="D3971" s="2" t="s">
        <v>12396</v>
      </c>
      <c r="E3971" s="2" t="s">
        <v>12397</v>
      </c>
      <c r="F3971" s="4">
        <v>3613</v>
      </c>
      <c r="G3971" s="2" t="s">
        <v>137</v>
      </c>
      <c r="H3971" s="2" t="s">
        <v>34</v>
      </c>
      <c r="I3971" s="2" t="s">
        <v>7988</v>
      </c>
      <c r="J3971" s="2" t="s">
        <v>7989</v>
      </c>
      <c r="K3971" s="2" t="s">
        <v>137</v>
      </c>
      <c r="L3971" s="2" t="s">
        <v>34</v>
      </c>
      <c r="M3971" s="12">
        <v>2178.4960000000001</v>
      </c>
      <c r="N3971" s="7">
        <v>14.313000000000001</v>
      </c>
      <c r="O3971" s="7">
        <v>12.438000000000001</v>
      </c>
      <c r="P3971" s="2" t="s">
        <v>12398</v>
      </c>
      <c r="Q3971" s="6">
        <v>100</v>
      </c>
      <c r="R3971" s="6">
        <v>8.58</v>
      </c>
      <c r="S3971" s="5">
        <v>-18</v>
      </c>
      <c r="T3971" s="7">
        <v>-17.788</v>
      </c>
      <c r="U3971" s="5">
        <v>2.4</v>
      </c>
      <c r="V3971" s="6">
        <v>-1.75</v>
      </c>
      <c r="W3971" s="7">
        <v>5.5629999999999997</v>
      </c>
      <c r="X3971" s="7">
        <v>5.0629999999999997</v>
      </c>
      <c r="Y3971" s="5">
        <v>5.5</v>
      </c>
      <c r="Z3971" s="6">
        <v>6.75</v>
      </c>
      <c r="AA3971" s="6">
        <v>10.94</v>
      </c>
      <c r="AB3971" s="2" t="s">
        <v>86</v>
      </c>
      <c r="AC3971" s="2"/>
    </row>
    <row r="3972" spans="1:29" ht="65" x14ac:dyDescent="0.15">
      <c r="A3972" s="3">
        <f>DATE(1998,6,22)</f>
        <v>35968</v>
      </c>
      <c r="B3972" s="3">
        <f>DATE(1998,12,15)</f>
        <v>36144</v>
      </c>
      <c r="C3972" s="2" t="s">
        <v>95</v>
      </c>
      <c r="D3972" s="2" t="s">
        <v>12399</v>
      </c>
      <c r="E3972" s="2" t="s">
        <v>12400</v>
      </c>
      <c r="F3972" s="4">
        <v>3489</v>
      </c>
      <c r="G3972" s="2" t="s">
        <v>163</v>
      </c>
      <c r="H3972" s="2" t="s">
        <v>34</v>
      </c>
      <c r="I3972" s="2" t="s">
        <v>12401</v>
      </c>
      <c r="J3972" s="2" t="s">
        <v>244</v>
      </c>
      <c r="K3972" s="2" t="s">
        <v>53</v>
      </c>
      <c r="L3972" s="2" t="s">
        <v>34</v>
      </c>
      <c r="M3972" s="2"/>
      <c r="N3972" s="2"/>
      <c r="O3972" s="2"/>
      <c r="P3972" s="2" t="s">
        <v>12402</v>
      </c>
      <c r="Q3972" s="6">
        <v>100</v>
      </c>
      <c r="R3972" s="6">
        <v>34</v>
      </c>
      <c r="S3972" s="5">
        <v>10.7</v>
      </c>
      <c r="T3972" s="7">
        <v>23.603999999999999</v>
      </c>
      <c r="U3972" s="5">
        <v>10.5</v>
      </c>
      <c r="V3972" s="6">
        <v>1.37</v>
      </c>
      <c r="W3972" s="7">
        <v>33.375</v>
      </c>
      <c r="X3972" s="7">
        <v>34.875</v>
      </c>
      <c r="Y3972" s="5">
        <v>35.5</v>
      </c>
      <c r="Z3972" s="5">
        <v>35.5</v>
      </c>
      <c r="AA3972" s="6">
        <v>7.81</v>
      </c>
      <c r="AB3972" s="7">
        <v>15.691000000000001</v>
      </c>
      <c r="AC3972" s="2"/>
    </row>
    <row r="3973" spans="1:29" ht="104" x14ac:dyDescent="0.15">
      <c r="A3973" s="3">
        <f>DATE(1998,6,23)</f>
        <v>35969</v>
      </c>
      <c r="B3973" s="2"/>
      <c r="C3973" s="2" t="s">
        <v>30</v>
      </c>
      <c r="D3973" s="2" t="s">
        <v>12403</v>
      </c>
      <c r="E3973" s="2" t="s">
        <v>12404</v>
      </c>
      <c r="F3973" s="4">
        <v>4213</v>
      </c>
      <c r="G3973" s="2" t="s">
        <v>173</v>
      </c>
      <c r="H3973" s="2" t="s">
        <v>34</v>
      </c>
      <c r="I3973" s="2" t="s">
        <v>51</v>
      </c>
      <c r="J3973" s="2" t="s">
        <v>52</v>
      </c>
      <c r="K3973" s="2" t="s">
        <v>53</v>
      </c>
      <c r="L3973" s="2" t="s">
        <v>34</v>
      </c>
      <c r="M3973" s="2"/>
      <c r="N3973" s="2"/>
      <c r="O3973" s="2"/>
      <c r="P3973" s="2" t="s">
        <v>12405</v>
      </c>
      <c r="Q3973" s="2"/>
      <c r="R3973" s="6">
        <v>20</v>
      </c>
      <c r="S3973" s="5">
        <v>4.5</v>
      </c>
      <c r="T3973" s="6">
        <v>22.57</v>
      </c>
      <c r="U3973" s="5">
        <v>6</v>
      </c>
      <c r="V3973" s="6">
        <v>0.59</v>
      </c>
      <c r="W3973" s="7">
        <v>14.125</v>
      </c>
      <c r="X3973" s="7">
        <v>14.625</v>
      </c>
      <c r="Y3973" s="9">
        <v>18.9375</v>
      </c>
      <c r="Z3973" s="9">
        <v>18.9375</v>
      </c>
      <c r="AA3973" s="6">
        <v>7.72</v>
      </c>
      <c r="AB3973" s="7">
        <v>17.7</v>
      </c>
      <c r="AC3973" s="2"/>
    </row>
    <row r="3974" spans="1:29" ht="65" x14ac:dyDescent="0.15">
      <c r="A3974" s="3">
        <f>DATE(1998,6,23)</f>
        <v>35969</v>
      </c>
      <c r="B3974" s="3">
        <f>DATE(1998,7,10)</f>
        <v>35986</v>
      </c>
      <c r="C3974" s="2" t="s">
        <v>95</v>
      </c>
      <c r="D3974" s="2" t="s">
        <v>12406</v>
      </c>
      <c r="E3974" s="2" t="s">
        <v>12407</v>
      </c>
      <c r="F3974" s="4">
        <v>3499</v>
      </c>
      <c r="G3974" s="2" t="s">
        <v>163</v>
      </c>
      <c r="H3974" s="2" t="s">
        <v>34</v>
      </c>
      <c r="I3974" s="2" t="s">
        <v>51</v>
      </c>
      <c r="J3974" s="2" t="s">
        <v>52</v>
      </c>
      <c r="K3974" s="2" t="s">
        <v>53</v>
      </c>
      <c r="L3974" s="2" t="s">
        <v>34</v>
      </c>
      <c r="M3974" s="2"/>
      <c r="N3974" s="2"/>
      <c r="O3974" s="2"/>
      <c r="P3974" s="2" t="s">
        <v>12408</v>
      </c>
      <c r="Q3974" s="6">
        <v>100</v>
      </c>
      <c r="R3974" s="6">
        <v>30</v>
      </c>
      <c r="S3974" s="2"/>
      <c r="T3974" s="2"/>
      <c r="U3974" s="5">
        <v>10.1</v>
      </c>
      <c r="V3974" s="2"/>
      <c r="W3974" s="5">
        <v>26.5</v>
      </c>
      <c r="X3974" s="6">
        <v>26.75</v>
      </c>
      <c r="Y3974" s="6">
        <v>26.75</v>
      </c>
      <c r="Z3974" s="6">
        <v>26.75</v>
      </c>
      <c r="AA3974" s="6">
        <v>4.96</v>
      </c>
      <c r="AB3974" s="2" t="s">
        <v>47</v>
      </c>
      <c r="AC3974" s="2"/>
    </row>
    <row r="3975" spans="1:29" ht="39" x14ac:dyDescent="0.15">
      <c r="A3975" s="3">
        <f>DATE(1998,6,24)</f>
        <v>35970</v>
      </c>
      <c r="B3975" s="2"/>
      <c r="C3975" s="2" t="s">
        <v>39</v>
      </c>
      <c r="D3975" s="2" t="s">
        <v>5534</v>
      </c>
      <c r="E3975" s="2" t="s">
        <v>5535</v>
      </c>
      <c r="F3975" s="4">
        <v>2836</v>
      </c>
      <c r="G3975" s="2" t="s">
        <v>130</v>
      </c>
      <c r="H3975" s="2" t="s">
        <v>34</v>
      </c>
      <c r="I3975" s="2" t="s">
        <v>5669</v>
      </c>
      <c r="J3975" s="2" t="s">
        <v>5670</v>
      </c>
      <c r="K3975" s="2" t="s">
        <v>130</v>
      </c>
      <c r="L3975" s="2" t="s">
        <v>34</v>
      </c>
      <c r="M3975" s="12">
        <v>17759.095000000001</v>
      </c>
      <c r="N3975" s="6">
        <v>77.75</v>
      </c>
      <c r="O3975" s="7">
        <v>76.938000000000002</v>
      </c>
      <c r="P3975" s="2" t="s">
        <v>12409</v>
      </c>
      <c r="Q3975" s="2"/>
      <c r="R3975" s="2"/>
      <c r="S3975" s="5">
        <v>644.29999999999995</v>
      </c>
      <c r="T3975" s="8">
        <v>1102.7</v>
      </c>
      <c r="U3975" s="5">
        <v>2.1</v>
      </c>
      <c r="V3975" s="9">
        <v>0.58750000000000002</v>
      </c>
      <c r="W3975" s="7">
        <v>62.313000000000002</v>
      </c>
      <c r="X3975" s="7">
        <v>62.688000000000002</v>
      </c>
      <c r="Y3975" s="6">
        <v>66.75</v>
      </c>
      <c r="Z3975" s="5">
        <v>64.5</v>
      </c>
      <c r="AA3975" s="6">
        <v>254.07</v>
      </c>
      <c r="AB3975" s="2" t="s">
        <v>47</v>
      </c>
      <c r="AC3975" s="8">
        <v>2899</v>
      </c>
    </row>
    <row r="3976" spans="1:29" ht="91" x14ac:dyDescent="0.15">
      <c r="A3976" s="3">
        <f>DATE(1998,6,24)</f>
        <v>35970</v>
      </c>
      <c r="B3976" s="3">
        <f>DATE(1998,10,5)</f>
        <v>36073</v>
      </c>
      <c r="C3976" s="2" t="s">
        <v>95</v>
      </c>
      <c r="D3976" s="2" t="s">
        <v>12410</v>
      </c>
      <c r="E3976" s="2" t="s">
        <v>3461</v>
      </c>
      <c r="F3976" s="4">
        <v>2834</v>
      </c>
      <c r="G3976" s="2" t="s">
        <v>130</v>
      </c>
      <c r="H3976" s="2" t="s">
        <v>34</v>
      </c>
      <c r="I3976" s="2" t="s">
        <v>2065</v>
      </c>
      <c r="J3976" s="2" t="s">
        <v>2066</v>
      </c>
      <c r="K3976" s="2" t="s">
        <v>130</v>
      </c>
      <c r="L3976" s="2" t="s">
        <v>34</v>
      </c>
      <c r="M3976" s="12">
        <v>3830.864</v>
      </c>
      <c r="N3976" s="6">
        <v>31.75</v>
      </c>
      <c r="O3976" s="7">
        <v>32.375</v>
      </c>
      <c r="P3976" s="2" t="s">
        <v>12411</v>
      </c>
      <c r="Q3976" s="6">
        <v>100</v>
      </c>
      <c r="R3976" s="6">
        <v>21.89</v>
      </c>
      <c r="S3976" s="5">
        <v>-12.7</v>
      </c>
      <c r="T3976" s="7">
        <v>-12.815</v>
      </c>
      <c r="U3976" s="5">
        <v>0.6</v>
      </c>
      <c r="V3976" s="6">
        <v>-1.59</v>
      </c>
      <c r="W3976" s="7">
        <v>15.688000000000001</v>
      </c>
      <c r="X3976" s="6">
        <v>15.75</v>
      </c>
      <c r="Y3976" s="5">
        <v>20.5</v>
      </c>
      <c r="Z3976" s="7">
        <v>21.062999999999999</v>
      </c>
      <c r="AA3976" s="6">
        <v>8.26</v>
      </c>
      <c r="AB3976" s="2" t="s">
        <v>86</v>
      </c>
      <c r="AC3976" s="6">
        <v>124.72</v>
      </c>
    </row>
    <row r="3977" spans="1:29" ht="221" x14ac:dyDescent="0.15">
      <c r="A3977" s="3">
        <f>DATE(1998,6,24)</f>
        <v>35970</v>
      </c>
      <c r="B3977" s="3">
        <f>DATE(1999,3,9)</f>
        <v>36228</v>
      </c>
      <c r="C3977" s="2" t="s">
        <v>95</v>
      </c>
      <c r="D3977" s="2" t="s">
        <v>1892</v>
      </c>
      <c r="E3977" s="2" t="s">
        <v>6412</v>
      </c>
      <c r="F3977" s="4">
        <v>4841</v>
      </c>
      <c r="G3977" s="2" t="s">
        <v>45</v>
      </c>
      <c r="H3977" s="2" t="s">
        <v>34</v>
      </c>
      <c r="I3977" s="2" t="s">
        <v>5691</v>
      </c>
      <c r="J3977" s="2" t="s">
        <v>5692</v>
      </c>
      <c r="K3977" s="2" t="s">
        <v>63</v>
      </c>
      <c r="L3977" s="2" t="s">
        <v>34</v>
      </c>
      <c r="M3977" s="12">
        <v>98163.278999999995</v>
      </c>
      <c r="N3977" s="4">
        <v>60</v>
      </c>
      <c r="O3977" s="7">
        <v>58.375</v>
      </c>
      <c r="P3977" s="2" t="s">
        <v>12412</v>
      </c>
      <c r="Q3977" s="6">
        <v>100</v>
      </c>
      <c r="R3977" s="6">
        <v>55.78</v>
      </c>
      <c r="S3977" s="5">
        <v>-250</v>
      </c>
      <c r="T3977" s="8">
        <v>1970</v>
      </c>
      <c r="U3977" s="5">
        <v>7.1</v>
      </c>
      <c r="V3977" s="7">
        <v>-0.28699999999999998</v>
      </c>
      <c r="W3977" s="7">
        <v>34.563000000000002</v>
      </c>
      <c r="X3977" s="7">
        <v>38.688000000000002</v>
      </c>
      <c r="Y3977" s="6">
        <v>39.75</v>
      </c>
      <c r="Z3977" s="6">
        <v>39.25</v>
      </c>
      <c r="AA3977" s="6">
        <v>522.33000000000004</v>
      </c>
      <c r="AB3977" s="7">
        <v>249.173</v>
      </c>
      <c r="AC3977" s="5">
        <v>145</v>
      </c>
    </row>
    <row r="3978" spans="1:29" ht="104" x14ac:dyDescent="0.15">
      <c r="A3978" s="3">
        <f>DATE(1998,6,24)</f>
        <v>35970</v>
      </c>
      <c r="B3978" s="3">
        <f>DATE(1998,11,3)</f>
        <v>36102</v>
      </c>
      <c r="C3978" s="2" t="s">
        <v>95</v>
      </c>
      <c r="D3978" s="2" t="s">
        <v>12413</v>
      </c>
      <c r="E3978" s="2" t="s">
        <v>12414</v>
      </c>
      <c r="F3978" s="4">
        <v>3577</v>
      </c>
      <c r="G3978" s="2" t="s">
        <v>50</v>
      </c>
      <c r="H3978" s="2" t="s">
        <v>34</v>
      </c>
      <c r="I3978" s="2" t="s">
        <v>12415</v>
      </c>
      <c r="J3978" s="2" t="s">
        <v>839</v>
      </c>
      <c r="K3978" s="2" t="s">
        <v>130</v>
      </c>
      <c r="L3978" s="2" t="s">
        <v>34</v>
      </c>
      <c r="M3978" s="2"/>
      <c r="N3978" s="2"/>
      <c r="O3978" s="2"/>
      <c r="P3978" s="2" t="s">
        <v>12416</v>
      </c>
      <c r="Q3978" s="6">
        <v>100</v>
      </c>
      <c r="R3978" s="6">
        <v>11.59</v>
      </c>
      <c r="S3978" s="5">
        <v>-9.6</v>
      </c>
      <c r="T3978" s="7">
        <v>-13.125999999999999</v>
      </c>
      <c r="U3978" s="5">
        <v>1.9</v>
      </c>
      <c r="V3978" s="7">
        <v>-0.505</v>
      </c>
      <c r="W3978" s="7">
        <v>2.6880000000000002</v>
      </c>
      <c r="X3978" s="7">
        <v>2.6880000000000002</v>
      </c>
      <c r="Y3978" s="7">
        <v>2.375</v>
      </c>
      <c r="Z3978" s="7">
        <v>2.5630000000000002</v>
      </c>
      <c r="AA3978" s="6">
        <v>15.08</v>
      </c>
      <c r="AB3978" s="2" t="s">
        <v>86</v>
      </c>
      <c r="AC3978" s="2"/>
    </row>
    <row r="3979" spans="1:29" ht="78" x14ac:dyDescent="0.15">
      <c r="A3979" s="3">
        <f>DATE(1998,6,25)</f>
        <v>35971</v>
      </c>
      <c r="B3979" s="3">
        <f>DATE(1999,1,4)</f>
        <v>36164</v>
      </c>
      <c r="C3979" s="2" t="s">
        <v>95</v>
      </c>
      <c r="D3979" s="2" t="s">
        <v>12417</v>
      </c>
      <c r="E3979" s="2" t="s">
        <v>36</v>
      </c>
      <c r="F3979" s="4">
        <v>6712</v>
      </c>
      <c r="G3979" s="2" t="s">
        <v>37</v>
      </c>
      <c r="H3979" s="2" t="s">
        <v>34</v>
      </c>
      <c r="I3979" s="2" t="s">
        <v>12418</v>
      </c>
      <c r="J3979" s="2" t="s">
        <v>36</v>
      </c>
      <c r="K3979" s="2" t="s">
        <v>37</v>
      </c>
      <c r="L3979" s="2" t="s">
        <v>34</v>
      </c>
      <c r="M3979" s="7">
        <v>165.18600000000001</v>
      </c>
      <c r="N3979" s="6">
        <v>30.25</v>
      </c>
      <c r="O3979" s="6">
        <v>30.25</v>
      </c>
      <c r="P3979" s="2" t="s">
        <v>12419</v>
      </c>
      <c r="Q3979" s="6">
        <v>100</v>
      </c>
      <c r="R3979" s="6">
        <v>50.94</v>
      </c>
      <c r="S3979" s="5">
        <v>0.8</v>
      </c>
      <c r="T3979" s="2"/>
      <c r="U3979" s="5">
        <v>20.3</v>
      </c>
      <c r="V3979" s="9">
        <v>0.7429</v>
      </c>
      <c r="W3979" s="5">
        <v>28.5</v>
      </c>
      <c r="X3979" s="5">
        <v>28.5</v>
      </c>
      <c r="Y3979" s="4">
        <v>48</v>
      </c>
      <c r="Z3979" s="4">
        <v>45</v>
      </c>
      <c r="AA3979" s="6">
        <v>1.0900000000000001</v>
      </c>
      <c r="AB3979" s="7">
        <v>82.358000000000004</v>
      </c>
      <c r="AC3979" s="2"/>
    </row>
    <row r="3980" spans="1:29" ht="130" x14ac:dyDescent="0.15">
      <c r="A3980" s="3">
        <f>DATE(1998,6,29)</f>
        <v>35975</v>
      </c>
      <c r="B3980" s="3">
        <f>DATE(1999,3,11)</f>
        <v>36230</v>
      </c>
      <c r="C3980" s="2" t="s">
        <v>95</v>
      </c>
      <c r="D3980" s="2" t="s">
        <v>12420</v>
      </c>
      <c r="E3980" s="2" t="s">
        <v>12421</v>
      </c>
      <c r="F3980" s="4">
        <v>4941</v>
      </c>
      <c r="G3980" s="2" t="s">
        <v>439</v>
      </c>
      <c r="H3980" s="2" t="s">
        <v>34</v>
      </c>
      <c r="I3980" s="2" t="s">
        <v>12422</v>
      </c>
      <c r="J3980" s="2" t="s">
        <v>12423</v>
      </c>
      <c r="K3980" s="2" t="s">
        <v>439</v>
      </c>
      <c r="L3980" s="2" t="s">
        <v>34</v>
      </c>
      <c r="M3980" s="7">
        <v>531.82399999999996</v>
      </c>
      <c r="N3980" s="7">
        <v>20.812999999999999</v>
      </c>
      <c r="O3980" s="7">
        <v>21.875</v>
      </c>
      <c r="P3980" s="2" t="s">
        <v>12424</v>
      </c>
      <c r="Q3980" s="6">
        <v>100</v>
      </c>
      <c r="R3980" s="6">
        <v>29.89</v>
      </c>
      <c r="S3980" s="5">
        <v>11.7</v>
      </c>
      <c r="T3980" s="7">
        <v>45.354999999999997</v>
      </c>
      <c r="U3980" s="5">
        <v>12.1</v>
      </c>
      <c r="V3980" s="6">
        <v>1.36</v>
      </c>
      <c r="W3980" s="7">
        <v>22.875</v>
      </c>
      <c r="X3980" s="6">
        <v>24.25</v>
      </c>
      <c r="Y3980" s="4">
        <v>26</v>
      </c>
      <c r="Z3980" s="7">
        <v>27.625</v>
      </c>
      <c r="AA3980" s="6">
        <v>9.01</v>
      </c>
      <c r="AB3980" s="7">
        <v>14.367000000000001</v>
      </c>
      <c r="AC3980" s="6">
        <v>0.66</v>
      </c>
    </row>
    <row r="3981" spans="1:29" ht="117" x14ac:dyDescent="0.15">
      <c r="A3981" s="3">
        <f>DATE(1998,6,29)</f>
        <v>35975</v>
      </c>
      <c r="B3981" s="3">
        <f>DATE(1998,9,22)</f>
        <v>36060</v>
      </c>
      <c r="C3981" s="2" t="s">
        <v>95</v>
      </c>
      <c r="D3981" s="2" t="s">
        <v>12425</v>
      </c>
      <c r="E3981" s="2" t="s">
        <v>612</v>
      </c>
      <c r="F3981" s="4">
        <v>1389</v>
      </c>
      <c r="G3981" s="2" t="s">
        <v>148</v>
      </c>
      <c r="H3981" s="2" t="s">
        <v>34</v>
      </c>
      <c r="I3981" s="2" t="s">
        <v>12426</v>
      </c>
      <c r="J3981" s="2" t="s">
        <v>12427</v>
      </c>
      <c r="K3981" s="2" t="s">
        <v>148</v>
      </c>
      <c r="L3981" s="2" t="s">
        <v>34</v>
      </c>
      <c r="M3981" s="7">
        <v>296.68400000000003</v>
      </c>
      <c r="N3981" s="4">
        <v>13</v>
      </c>
      <c r="O3981" s="7">
        <v>13.125</v>
      </c>
      <c r="P3981" s="2" t="s">
        <v>12428</v>
      </c>
      <c r="Q3981" s="6">
        <v>100</v>
      </c>
      <c r="R3981" s="6">
        <v>17.5</v>
      </c>
      <c r="S3981" s="5">
        <v>7.7</v>
      </c>
      <c r="T3981" s="7">
        <v>44.624000000000002</v>
      </c>
      <c r="U3981" s="5">
        <v>10.3</v>
      </c>
      <c r="V3981" s="6">
        <v>0.68</v>
      </c>
      <c r="W3981" s="7">
        <v>11.625</v>
      </c>
      <c r="X3981" s="7">
        <v>12.438000000000001</v>
      </c>
      <c r="Y3981" s="7">
        <v>14.375</v>
      </c>
      <c r="Z3981" s="4">
        <v>15</v>
      </c>
      <c r="AA3981" s="6">
        <v>11.2</v>
      </c>
      <c r="AB3981" s="7">
        <v>13.43</v>
      </c>
      <c r="AC3981" s="6">
        <v>25.27</v>
      </c>
    </row>
    <row r="3982" spans="1:29" ht="169" x14ac:dyDescent="0.15">
      <c r="A3982" s="3">
        <f>DATE(1998,6,29)</f>
        <v>35975</v>
      </c>
      <c r="B3982" s="3">
        <f>DATE(1998,12,31)</f>
        <v>36160</v>
      </c>
      <c r="C3982" s="2" t="s">
        <v>95</v>
      </c>
      <c r="D3982" s="2" t="s">
        <v>6451</v>
      </c>
      <c r="E3982" s="2" t="s">
        <v>5735</v>
      </c>
      <c r="F3982" s="4">
        <v>7011</v>
      </c>
      <c r="G3982" s="2" t="s">
        <v>269</v>
      </c>
      <c r="H3982" s="2" t="s">
        <v>34</v>
      </c>
      <c r="I3982" s="2" t="s">
        <v>267</v>
      </c>
      <c r="J3982" s="2" t="s">
        <v>268</v>
      </c>
      <c r="K3982" s="2" t="s">
        <v>269</v>
      </c>
      <c r="L3982" s="2" t="s">
        <v>34</v>
      </c>
      <c r="M3982" s="12">
        <v>7743.2560000000003</v>
      </c>
      <c r="N3982" s="5">
        <v>31.5</v>
      </c>
      <c r="O3982" s="7">
        <v>28.625</v>
      </c>
      <c r="P3982" s="2" t="s">
        <v>12429</v>
      </c>
      <c r="Q3982" s="6">
        <v>100</v>
      </c>
      <c r="R3982" s="6">
        <v>18.82</v>
      </c>
      <c r="S3982" s="5">
        <v>66.2</v>
      </c>
      <c r="T3982" s="6">
        <v>187.15</v>
      </c>
      <c r="U3982" s="5">
        <v>12</v>
      </c>
      <c r="V3982" s="6">
        <v>1.54</v>
      </c>
      <c r="W3982" s="5">
        <v>17.5</v>
      </c>
      <c r="X3982" s="6">
        <v>18.559999999999999</v>
      </c>
      <c r="Y3982" s="7">
        <v>18.562999999999999</v>
      </c>
      <c r="Z3982" s="5">
        <v>18.5</v>
      </c>
      <c r="AA3982" s="6">
        <v>42.3</v>
      </c>
      <c r="AB3982" s="7">
        <v>9.0060000000000002</v>
      </c>
      <c r="AC3982" s="5">
        <v>47</v>
      </c>
    </row>
    <row r="3983" spans="1:29" ht="104" x14ac:dyDescent="0.15">
      <c r="A3983" s="3">
        <f>DATE(1998,6,29)</f>
        <v>35975</v>
      </c>
      <c r="B3983" s="3">
        <f>DATE(1998,9,24)</f>
        <v>36062</v>
      </c>
      <c r="C3983" s="2" t="s">
        <v>95</v>
      </c>
      <c r="D3983" s="2" t="s">
        <v>12430</v>
      </c>
      <c r="E3983" s="2" t="s">
        <v>12431</v>
      </c>
      <c r="F3983" s="4">
        <v>7372</v>
      </c>
      <c r="G3983" s="2" t="s">
        <v>551</v>
      </c>
      <c r="H3983" s="2" t="s">
        <v>34</v>
      </c>
      <c r="I3983" s="2" t="s">
        <v>12432</v>
      </c>
      <c r="J3983" s="2" t="s">
        <v>12433</v>
      </c>
      <c r="K3983" s="2" t="s">
        <v>551</v>
      </c>
      <c r="L3983" s="2" t="s">
        <v>34</v>
      </c>
      <c r="M3983" s="7">
        <v>126.105</v>
      </c>
      <c r="N3983" s="7">
        <v>6.6879999999999997</v>
      </c>
      <c r="O3983" s="7">
        <v>6.375</v>
      </c>
      <c r="P3983" s="2" t="s">
        <v>12434</v>
      </c>
      <c r="Q3983" s="6">
        <v>100</v>
      </c>
      <c r="R3983" s="2"/>
      <c r="S3983" s="5">
        <v>2</v>
      </c>
      <c r="T3983" s="7">
        <v>4.1050000000000004</v>
      </c>
      <c r="U3983" s="5">
        <v>5.2</v>
      </c>
      <c r="V3983" s="6">
        <v>0.42</v>
      </c>
      <c r="W3983" s="7">
        <v>10.875</v>
      </c>
      <c r="X3983" s="6">
        <v>11.75</v>
      </c>
      <c r="Y3983" s="4">
        <v>12</v>
      </c>
      <c r="Z3983" s="6">
        <v>11.25</v>
      </c>
      <c r="AA3983" s="6">
        <v>4.67</v>
      </c>
      <c r="AB3983" s="7">
        <v>21.634</v>
      </c>
      <c r="AC3983" s="6">
        <v>22.17</v>
      </c>
    </row>
    <row r="3984" spans="1:29" ht="104" x14ac:dyDescent="0.15">
      <c r="A3984" s="3">
        <f>DATE(1998,6,29)</f>
        <v>35975</v>
      </c>
      <c r="B3984" s="3">
        <f>DATE(1998,9,30)</f>
        <v>36068</v>
      </c>
      <c r="C3984" s="2" t="s">
        <v>95</v>
      </c>
      <c r="D3984" s="2" t="s">
        <v>12435</v>
      </c>
      <c r="E3984" s="2" t="s">
        <v>12436</v>
      </c>
      <c r="F3984" s="4">
        <v>3845</v>
      </c>
      <c r="G3984" s="2" t="s">
        <v>226</v>
      </c>
      <c r="H3984" s="2" t="s">
        <v>34</v>
      </c>
      <c r="I3984" s="2" t="s">
        <v>769</v>
      </c>
      <c r="J3984" s="2" t="s">
        <v>770</v>
      </c>
      <c r="K3984" s="2" t="s">
        <v>226</v>
      </c>
      <c r="L3984" s="2" t="s">
        <v>34</v>
      </c>
      <c r="M3984" s="12">
        <v>25621.596000000001</v>
      </c>
      <c r="N3984" s="7">
        <v>63.813000000000002</v>
      </c>
      <c r="O3984" s="6">
        <v>63.75</v>
      </c>
      <c r="P3984" s="2" t="s">
        <v>12437</v>
      </c>
      <c r="Q3984" s="6">
        <v>100</v>
      </c>
      <c r="R3984" s="6">
        <v>27.5</v>
      </c>
      <c r="S3984" s="5">
        <v>9.3000000000000007</v>
      </c>
      <c r="T3984" s="7">
        <v>18.678000000000001</v>
      </c>
      <c r="U3984" s="5">
        <v>3.2</v>
      </c>
      <c r="V3984" s="6">
        <v>0.53</v>
      </c>
      <c r="W3984" s="7">
        <v>20.875</v>
      </c>
      <c r="X3984" s="4">
        <v>23</v>
      </c>
      <c r="Y3984" s="6">
        <v>26.25</v>
      </c>
      <c r="Z3984" s="7">
        <v>26.312999999999999</v>
      </c>
      <c r="AA3984" s="6">
        <v>17.63</v>
      </c>
      <c r="AB3984" s="7">
        <v>33.42</v>
      </c>
      <c r="AC3984" s="6">
        <v>425.88</v>
      </c>
    </row>
    <row r="3985" spans="1:29" ht="104" x14ac:dyDescent="0.15">
      <c r="A3985" s="3">
        <f>DATE(1998,6,30)</f>
        <v>35976</v>
      </c>
      <c r="B3985" s="3">
        <f>DATE(1998,11,9)</f>
        <v>36108</v>
      </c>
      <c r="C3985" s="2" t="s">
        <v>95</v>
      </c>
      <c r="D3985" s="2" t="s">
        <v>12438</v>
      </c>
      <c r="E3985" s="2" t="s">
        <v>12439</v>
      </c>
      <c r="F3985" s="4">
        <v>7812</v>
      </c>
      <c r="G3985" s="2" t="s">
        <v>42</v>
      </c>
      <c r="H3985" s="2" t="s">
        <v>34</v>
      </c>
      <c r="I3985" s="2" t="s">
        <v>12440</v>
      </c>
      <c r="J3985" s="2" t="s">
        <v>12441</v>
      </c>
      <c r="K3985" s="2" t="s">
        <v>53</v>
      </c>
      <c r="L3985" s="2" t="s">
        <v>34</v>
      </c>
      <c r="M3985" s="2"/>
      <c r="N3985" s="2"/>
      <c r="O3985" s="2"/>
      <c r="P3985" s="2" t="s">
        <v>12442</v>
      </c>
      <c r="Q3985" s="6">
        <v>50</v>
      </c>
      <c r="R3985" s="2"/>
      <c r="S3985" s="5">
        <v>0</v>
      </c>
      <c r="T3985" s="7">
        <v>0.79100000000000004</v>
      </c>
      <c r="U3985" s="5">
        <v>1.6</v>
      </c>
      <c r="V3985" s="6">
        <v>0.02</v>
      </c>
      <c r="W3985" s="7">
        <v>1.1879999999999999</v>
      </c>
      <c r="X3985" s="7">
        <v>1.2809999999999999</v>
      </c>
      <c r="Y3985" s="9">
        <v>1.4375</v>
      </c>
      <c r="Z3985" s="5">
        <v>1.5</v>
      </c>
      <c r="AA3985" s="6">
        <v>1.91</v>
      </c>
      <c r="AB3985" s="7">
        <v>9.2579999999999991</v>
      </c>
      <c r="AC3985" s="2"/>
    </row>
    <row r="3986" spans="1:29" ht="65" x14ac:dyDescent="0.15">
      <c r="A3986" s="3">
        <f>DATE(1998,6,30)</f>
        <v>35976</v>
      </c>
      <c r="B3986" s="3">
        <f>DATE(1998,8,31)</f>
        <v>36038</v>
      </c>
      <c r="C3986" s="2" t="s">
        <v>95</v>
      </c>
      <c r="D3986" s="2" t="s">
        <v>12443</v>
      </c>
      <c r="E3986" s="2" t="s">
        <v>12444</v>
      </c>
      <c r="F3986" s="4">
        <v>3652</v>
      </c>
      <c r="G3986" s="2" t="s">
        <v>137</v>
      </c>
      <c r="H3986" s="2" t="s">
        <v>34</v>
      </c>
      <c r="I3986" s="2" t="s">
        <v>51</v>
      </c>
      <c r="J3986" s="2" t="s">
        <v>52</v>
      </c>
      <c r="K3986" s="2" t="s">
        <v>53</v>
      </c>
      <c r="L3986" s="2" t="s">
        <v>34</v>
      </c>
      <c r="M3986" s="2"/>
      <c r="N3986" s="2"/>
      <c r="O3986" s="2"/>
      <c r="P3986" s="2" t="s">
        <v>12445</v>
      </c>
      <c r="Q3986" s="6">
        <v>56.96</v>
      </c>
      <c r="R3986" s="6">
        <v>1.44</v>
      </c>
      <c r="S3986" s="5">
        <v>-10.5</v>
      </c>
      <c r="T3986" s="7">
        <v>4.7210000000000001</v>
      </c>
      <c r="U3986" s="5">
        <v>0.1</v>
      </c>
      <c r="V3986" s="7">
        <v>-1.905</v>
      </c>
      <c r="W3986" s="7">
        <v>1.4690000000000001</v>
      </c>
      <c r="X3986" s="7">
        <v>1.375</v>
      </c>
      <c r="Y3986" s="7">
        <v>1.375</v>
      </c>
      <c r="Z3986" s="7">
        <v>1.4059999999999999</v>
      </c>
      <c r="AA3986" s="6">
        <v>6.72</v>
      </c>
      <c r="AB3986" s="2" t="s">
        <v>86</v>
      </c>
      <c r="AC3986" s="2"/>
    </row>
    <row r="3987" spans="1:29" ht="78" x14ac:dyDescent="0.15">
      <c r="A3987" s="3">
        <f>DATE(1998,6,30)</f>
        <v>35976</v>
      </c>
      <c r="B3987" s="3">
        <f>DATE(1999,1,22)</f>
        <v>36182</v>
      </c>
      <c r="C3987" s="2" t="s">
        <v>95</v>
      </c>
      <c r="D3987" s="2" t="s">
        <v>12446</v>
      </c>
      <c r="E3987" s="2" t="s">
        <v>389</v>
      </c>
      <c r="F3987" s="4">
        <v>6036</v>
      </c>
      <c r="G3987" s="2" t="s">
        <v>33</v>
      </c>
      <c r="H3987" s="2" t="s">
        <v>34</v>
      </c>
      <c r="I3987" s="2" t="s">
        <v>12447</v>
      </c>
      <c r="J3987" s="2" t="s">
        <v>36</v>
      </c>
      <c r="K3987" s="2" t="s">
        <v>33</v>
      </c>
      <c r="L3987" s="2" t="s">
        <v>34</v>
      </c>
      <c r="M3987" s="7">
        <v>214.495</v>
      </c>
      <c r="N3987" s="6">
        <v>38.75</v>
      </c>
      <c r="O3987" s="4">
        <v>42</v>
      </c>
      <c r="P3987" s="2" t="s">
        <v>12448</v>
      </c>
      <c r="Q3987" s="6">
        <v>100</v>
      </c>
      <c r="R3987" s="6">
        <v>10.4</v>
      </c>
      <c r="S3987" s="5">
        <v>0.5</v>
      </c>
      <c r="T3987" s="7">
        <v>0.68100000000000005</v>
      </c>
      <c r="U3987" s="5">
        <v>9.3000000000000007</v>
      </c>
      <c r="V3987" s="6">
        <v>0.2</v>
      </c>
      <c r="W3987" s="7">
        <v>8.125</v>
      </c>
      <c r="X3987" s="5">
        <v>8.5</v>
      </c>
      <c r="Y3987" s="5">
        <v>8.5</v>
      </c>
      <c r="Z3987" s="5">
        <v>9.5</v>
      </c>
      <c r="AA3987" s="6">
        <v>2.37</v>
      </c>
      <c r="AB3987" s="7">
        <v>42.268999999999998</v>
      </c>
      <c r="AC3987" s="2"/>
    </row>
    <row r="3988" spans="1:29" ht="117" x14ac:dyDescent="0.15">
      <c r="A3988" s="3">
        <f>DATE(1998,6,30)</f>
        <v>35976</v>
      </c>
      <c r="B3988" s="3">
        <f>DATE(1998,9,30)</f>
        <v>36068</v>
      </c>
      <c r="C3988" s="2" t="s">
        <v>95</v>
      </c>
      <c r="D3988" s="2" t="s">
        <v>12449</v>
      </c>
      <c r="E3988" s="2" t="s">
        <v>12450</v>
      </c>
      <c r="F3988" s="4">
        <v>8741</v>
      </c>
      <c r="G3988" s="2" t="s">
        <v>223</v>
      </c>
      <c r="H3988" s="2" t="s">
        <v>34</v>
      </c>
      <c r="I3988" s="2" t="s">
        <v>12451</v>
      </c>
      <c r="J3988" s="2" t="s">
        <v>124</v>
      </c>
      <c r="K3988" s="2" t="s">
        <v>125</v>
      </c>
      <c r="L3988" s="2" t="s">
        <v>34</v>
      </c>
      <c r="M3988" s="2"/>
      <c r="N3988" s="2"/>
      <c r="O3988" s="2"/>
      <c r="P3988" s="2" t="s">
        <v>12452</v>
      </c>
      <c r="Q3988" s="6">
        <v>100</v>
      </c>
      <c r="R3988" s="6">
        <v>33</v>
      </c>
      <c r="S3988" s="5">
        <v>10.3</v>
      </c>
      <c r="T3988" s="2"/>
      <c r="U3988" s="5">
        <v>13.1</v>
      </c>
      <c r="V3988" s="6">
        <v>1.76</v>
      </c>
      <c r="W3988" s="7">
        <v>26.125</v>
      </c>
      <c r="X3988" s="6">
        <v>25.75</v>
      </c>
      <c r="Y3988" s="7">
        <v>31.875</v>
      </c>
      <c r="Z3988" s="7">
        <v>31.875</v>
      </c>
      <c r="AA3988" s="6">
        <v>5.79</v>
      </c>
      <c r="AB3988" s="7">
        <v>12.648</v>
      </c>
      <c r="AC3988" s="2"/>
    </row>
    <row r="3989" spans="1:29" ht="169" x14ac:dyDescent="0.15">
      <c r="A3989" s="3">
        <f>DATE(1998,7,1)</f>
        <v>35977</v>
      </c>
      <c r="B3989" s="3">
        <f>DATE(1998,11,20)</f>
        <v>36119</v>
      </c>
      <c r="C3989" s="2" t="s">
        <v>95</v>
      </c>
      <c r="D3989" s="2" t="s">
        <v>1066</v>
      </c>
      <c r="E3989" s="2" t="s">
        <v>1067</v>
      </c>
      <c r="F3989" s="4">
        <v>6021</v>
      </c>
      <c r="G3989" s="2" t="s">
        <v>37</v>
      </c>
      <c r="H3989" s="2" t="s">
        <v>34</v>
      </c>
      <c r="I3989" s="2" t="s">
        <v>2809</v>
      </c>
      <c r="J3989" s="2" t="s">
        <v>2898</v>
      </c>
      <c r="K3989" s="2" t="s">
        <v>37</v>
      </c>
      <c r="L3989" s="2" t="s">
        <v>34</v>
      </c>
      <c r="M3989" s="12">
        <v>5764.8159999999998</v>
      </c>
      <c r="N3989" s="7">
        <v>63.625</v>
      </c>
      <c r="O3989" s="6">
        <v>63.75</v>
      </c>
      <c r="P3989" s="2" t="s">
        <v>12453</v>
      </c>
      <c r="Q3989" s="6">
        <v>100</v>
      </c>
      <c r="R3989" s="6">
        <v>48.55</v>
      </c>
      <c r="S3989" s="5">
        <v>295.2</v>
      </c>
      <c r="T3989" s="7">
        <v>502.69900000000001</v>
      </c>
      <c r="U3989" s="5">
        <v>11.7</v>
      </c>
      <c r="V3989" s="6">
        <v>2</v>
      </c>
      <c r="W3989" s="7">
        <v>33.688000000000002</v>
      </c>
      <c r="X3989" s="7">
        <v>33.563000000000002</v>
      </c>
      <c r="Y3989" s="7">
        <v>33.688000000000002</v>
      </c>
      <c r="Z3989" s="7">
        <v>38.188000000000002</v>
      </c>
      <c r="AA3989" s="6">
        <v>145.13999999999999</v>
      </c>
      <c r="AB3989" s="7">
        <v>23.454000000000001</v>
      </c>
      <c r="AC3989" s="2"/>
    </row>
    <row r="3990" spans="1:29" ht="78" x14ac:dyDescent="0.15">
      <c r="A3990" s="3">
        <f>DATE(1998,7,1)</f>
        <v>35977</v>
      </c>
      <c r="B3990" s="2"/>
      <c r="C3990" s="2" t="s">
        <v>87</v>
      </c>
      <c r="D3990" s="2" t="s">
        <v>11002</v>
      </c>
      <c r="E3990" s="2" t="s">
        <v>367</v>
      </c>
      <c r="F3990" s="4">
        <v>6211</v>
      </c>
      <c r="G3990" s="2" t="s">
        <v>53</v>
      </c>
      <c r="H3990" s="2" t="s">
        <v>34</v>
      </c>
      <c r="I3990" s="2" t="s">
        <v>12454</v>
      </c>
      <c r="J3990" s="2" t="s">
        <v>2712</v>
      </c>
      <c r="K3990" s="2" t="s">
        <v>53</v>
      </c>
      <c r="L3990" s="2" t="s">
        <v>34</v>
      </c>
      <c r="M3990" s="2"/>
      <c r="N3990" s="2"/>
      <c r="O3990" s="2"/>
      <c r="P3990" s="2" t="s">
        <v>12455</v>
      </c>
      <c r="Q3990" s="2"/>
      <c r="R3990" s="2"/>
      <c r="S3990" s="5">
        <v>43.2</v>
      </c>
      <c r="T3990" s="7">
        <v>104.721</v>
      </c>
      <c r="U3990" s="5">
        <v>12.5</v>
      </c>
      <c r="V3990" s="6">
        <v>1.68</v>
      </c>
      <c r="W3990" s="7">
        <v>30.062999999999999</v>
      </c>
      <c r="X3990" s="7">
        <v>36.313000000000002</v>
      </c>
      <c r="Y3990" s="4">
        <v>34</v>
      </c>
      <c r="Z3990" s="6">
        <v>37.75</v>
      </c>
      <c r="AA3990" s="6">
        <v>24.61</v>
      </c>
      <c r="AB3990" s="2" t="s">
        <v>47</v>
      </c>
      <c r="AC3990" s="2"/>
    </row>
    <row r="3991" spans="1:29" ht="104" x14ac:dyDescent="0.15">
      <c r="A3991" s="3">
        <f>DATE(1998,7,1)</f>
        <v>35977</v>
      </c>
      <c r="B3991" s="3">
        <f>DATE(1998,8,20)</f>
        <v>36027</v>
      </c>
      <c r="C3991" s="2" t="s">
        <v>95</v>
      </c>
      <c r="D3991" s="2" t="s">
        <v>12456</v>
      </c>
      <c r="E3991" s="2" t="s">
        <v>12457</v>
      </c>
      <c r="F3991" s="4">
        <v>8742</v>
      </c>
      <c r="G3991" s="2" t="s">
        <v>223</v>
      </c>
      <c r="H3991" s="2" t="s">
        <v>34</v>
      </c>
      <c r="I3991" s="2" t="s">
        <v>12458</v>
      </c>
      <c r="J3991" s="2" t="s">
        <v>12459</v>
      </c>
      <c r="K3991" s="2" t="s">
        <v>223</v>
      </c>
      <c r="L3991" s="2" t="s">
        <v>34</v>
      </c>
      <c r="M3991" s="7">
        <v>649.67600000000004</v>
      </c>
      <c r="N3991" s="4">
        <v>35</v>
      </c>
      <c r="O3991" s="7">
        <v>31.875</v>
      </c>
      <c r="P3991" s="2" t="s">
        <v>12460</v>
      </c>
      <c r="Q3991" s="6">
        <v>100</v>
      </c>
      <c r="R3991" s="6">
        <v>21.98</v>
      </c>
      <c r="S3991" s="5">
        <v>5.3</v>
      </c>
      <c r="T3991" s="7">
        <v>8.7479999999999993</v>
      </c>
      <c r="U3991" s="5">
        <v>2.2999999999999998</v>
      </c>
      <c r="V3991" s="6">
        <v>0.51</v>
      </c>
      <c r="W3991" s="6">
        <v>14.75</v>
      </c>
      <c r="X3991" s="4">
        <v>15</v>
      </c>
      <c r="Y3991" s="7">
        <v>15.313000000000001</v>
      </c>
      <c r="Z3991" s="6">
        <v>18.75</v>
      </c>
      <c r="AA3991" s="6">
        <v>13.03</v>
      </c>
      <c r="AB3991" s="7">
        <v>33.53</v>
      </c>
      <c r="AC3991" s="6">
        <v>21.57</v>
      </c>
    </row>
    <row r="3992" spans="1:29" ht="26" x14ac:dyDescent="0.15">
      <c r="A3992" s="3">
        <f>DATE(1998,7,1)</f>
        <v>35977</v>
      </c>
      <c r="B3992" s="3">
        <f>DATE(1998,7,1)</f>
        <v>35977</v>
      </c>
      <c r="C3992" s="2" t="s">
        <v>95</v>
      </c>
      <c r="D3992" s="2" t="s">
        <v>12461</v>
      </c>
      <c r="E3992" s="2" t="s">
        <v>12462</v>
      </c>
      <c r="F3992" s="4">
        <v>2253</v>
      </c>
      <c r="G3992" s="2" t="s">
        <v>708</v>
      </c>
      <c r="H3992" s="2" t="s">
        <v>34</v>
      </c>
      <c r="I3992" s="2" t="s">
        <v>12463</v>
      </c>
      <c r="J3992" s="2" t="s">
        <v>12464</v>
      </c>
      <c r="K3992" s="2" t="s">
        <v>708</v>
      </c>
      <c r="L3992" s="2" t="s">
        <v>34</v>
      </c>
      <c r="M3992" s="2"/>
      <c r="N3992" s="2"/>
      <c r="O3992" s="2"/>
      <c r="P3992" s="2" t="s">
        <v>12465</v>
      </c>
      <c r="Q3992" s="6">
        <v>100</v>
      </c>
      <c r="R3992" s="2"/>
      <c r="S3992" s="5">
        <v>-4.8</v>
      </c>
      <c r="T3992" s="7">
        <v>52.758000000000003</v>
      </c>
      <c r="U3992" s="5">
        <v>6.2</v>
      </c>
      <c r="V3992" s="6">
        <v>-0.19</v>
      </c>
      <c r="W3992" s="7">
        <v>2.375</v>
      </c>
      <c r="X3992" s="7">
        <v>2.4380000000000002</v>
      </c>
      <c r="Y3992" s="5">
        <v>2.5</v>
      </c>
      <c r="Z3992" s="7">
        <v>2.4380000000000002</v>
      </c>
      <c r="AA3992" s="6">
        <v>30.05</v>
      </c>
      <c r="AB3992" s="2" t="s">
        <v>47</v>
      </c>
      <c r="AC3992" s="2"/>
    </row>
    <row r="3993" spans="1:29" ht="65" x14ac:dyDescent="0.15">
      <c r="A3993" s="3">
        <f>DATE(1998,7,2)</f>
        <v>35978</v>
      </c>
      <c r="B3993" s="3">
        <f>DATE(1999,1,31)</f>
        <v>36191</v>
      </c>
      <c r="C3993" s="2" t="s">
        <v>95</v>
      </c>
      <c r="D3993" s="2" t="s">
        <v>12466</v>
      </c>
      <c r="E3993" s="2" t="s">
        <v>7963</v>
      </c>
      <c r="F3993" s="4">
        <v>6153</v>
      </c>
      <c r="G3993" s="2" t="s">
        <v>370</v>
      </c>
      <c r="H3993" s="2" t="s">
        <v>34</v>
      </c>
      <c r="I3993" s="2" t="s">
        <v>1955</v>
      </c>
      <c r="J3993" s="2" t="s">
        <v>672</v>
      </c>
      <c r="K3993" s="2" t="s">
        <v>37</v>
      </c>
      <c r="L3993" s="2" t="s">
        <v>34</v>
      </c>
      <c r="M3993" s="12">
        <v>4812.4390000000003</v>
      </c>
      <c r="N3993" s="7">
        <v>59.438000000000002</v>
      </c>
      <c r="O3993" s="7">
        <v>59.438000000000002</v>
      </c>
      <c r="P3993" s="2" t="s">
        <v>12467</v>
      </c>
      <c r="Q3993" s="6">
        <v>100</v>
      </c>
      <c r="R3993" s="6">
        <v>18.5</v>
      </c>
      <c r="S3993" s="5">
        <v>1</v>
      </c>
      <c r="T3993" s="7">
        <v>2.0459999999999998</v>
      </c>
      <c r="U3993" s="5">
        <v>15.5</v>
      </c>
      <c r="V3993" s="6">
        <v>0.3</v>
      </c>
      <c r="W3993" s="6">
        <v>17.75</v>
      </c>
      <c r="X3993" s="5">
        <v>17.5</v>
      </c>
      <c r="Y3993" s="6">
        <v>17.75</v>
      </c>
      <c r="Z3993" s="6">
        <v>17.75</v>
      </c>
      <c r="AA3993" s="6">
        <v>3.53</v>
      </c>
      <c r="AB3993" s="7">
        <v>57.646999999999998</v>
      </c>
      <c r="AC3993" s="2"/>
    </row>
    <row r="3994" spans="1:29" ht="143" x14ac:dyDescent="0.15">
      <c r="A3994" s="3">
        <f>DATE(1998,7,2)</f>
        <v>35978</v>
      </c>
      <c r="B3994" s="2"/>
      <c r="C3994" s="2" t="s">
        <v>30</v>
      </c>
      <c r="D3994" s="2" t="s">
        <v>12083</v>
      </c>
      <c r="E3994" s="2" t="s">
        <v>10623</v>
      </c>
      <c r="F3994" s="4">
        <v>5941</v>
      </c>
      <c r="G3994" s="2" t="s">
        <v>73</v>
      </c>
      <c r="H3994" s="2" t="s">
        <v>34</v>
      </c>
      <c r="I3994" s="2" t="s">
        <v>10622</v>
      </c>
      <c r="J3994" s="2" t="s">
        <v>10623</v>
      </c>
      <c r="K3994" s="2" t="s">
        <v>73</v>
      </c>
      <c r="L3994" s="2" t="s">
        <v>34</v>
      </c>
      <c r="M3994" s="2"/>
      <c r="N3994" s="6">
        <v>14.75</v>
      </c>
      <c r="O3994" s="6">
        <v>14.75</v>
      </c>
      <c r="P3994" s="2" t="s">
        <v>12468</v>
      </c>
      <c r="Q3994" s="2"/>
      <c r="R3994" s="6">
        <v>20</v>
      </c>
      <c r="S3994" s="5">
        <v>22.2</v>
      </c>
      <c r="T3994" s="5">
        <v>82.3</v>
      </c>
      <c r="U3994" s="5">
        <v>10.6</v>
      </c>
      <c r="V3994" s="6">
        <v>0.7</v>
      </c>
      <c r="W3994" s="7">
        <v>17.562999999999999</v>
      </c>
      <c r="X3994" s="4">
        <v>17</v>
      </c>
      <c r="Y3994" s="4">
        <v>18</v>
      </c>
      <c r="Z3994" s="7">
        <v>16.062999999999999</v>
      </c>
      <c r="AA3994" s="6">
        <v>31.77</v>
      </c>
      <c r="AB3994" s="7">
        <v>19.849</v>
      </c>
      <c r="AC3994" s="6">
        <v>12.96</v>
      </c>
    </row>
    <row r="3995" spans="1:29" ht="169" x14ac:dyDescent="0.15">
      <c r="A3995" s="3">
        <f>DATE(1998,7,3)</f>
        <v>35979</v>
      </c>
      <c r="B3995" s="3">
        <f>DATE(1998,9,18)</f>
        <v>36056</v>
      </c>
      <c r="C3995" s="2" t="s">
        <v>95</v>
      </c>
      <c r="D3995" s="2" t="s">
        <v>12469</v>
      </c>
      <c r="E3995" s="2" t="s">
        <v>12470</v>
      </c>
      <c r="F3995" s="4">
        <v>5311</v>
      </c>
      <c r="G3995" s="2" t="s">
        <v>756</v>
      </c>
      <c r="H3995" s="2" t="s">
        <v>34</v>
      </c>
      <c r="I3995" s="2" t="s">
        <v>6989</v>
      </c>
      <c r="J3995" s="2" t="s">
        <v>5427</v>
      </c>
      <c r="K3995" s="2" t="s">
        <v>756</v>
      </c>
      <c r="L3995" s="2" t="s">
        <v>34</v>
      </c>
      <c r="M3995" s="12">
        <v>3589.3829999999998</v>
      </c>
      <c r="N3995" s="7">
        <v>40.688000000000002</v>
      </c>
      <c r="O3995" s="7">
        <v>36.688000000000002</v>
      </c>
      <c r="P3995" s="2" t="s">
        <v>12471</v>
      </c>
      <c r="Q3995" s="6">
        <v>100</v>
      </c>
      <c r="R3995" s="6">
        <v>33.36</v>
      </c>
      <c r="S3995" s="5">
        <v>345.8</v>
      </c>
      <c r="T3995" s="7">
        <v>223.971</v>
      </c>
      <c r="U3995" s="5">
        <v>13.8</v>
      </c>
      <c r="V3995" s="6">
        <v>5.0199999999999996</v>
      </c>
      <c r="W3995" s="6">
        <v>26.56</v>
      </c>
      <c r="X3995" s="4">
        <v>29</v>
      </c>
      <c r="Y3995" s="5">
        <v>27.5</v>
      </c>
      <c r="Z3995" s="7">
        <v>26.562999999999999</v>
      </c>
      <c r="AA3995" s="6">
        <v>63.99</v>
      </c>
      <c r="AB3995" s="7">
        <v>20.91</v>
      </c>
      <c r="AC3995" s="5">
        <v>39.4</v>
      </c>
    </row>
    <row r="3996" spans="1:29" ht="117" x14ac:dyDescent="0.15">
      <c r="A3996" s="3">
        <f>DATE(1998,7,6)</f>
        <v>35982</v>
      </c>
      <c r="B3996" s="3">
        <f>DATE(1998,12,15)</f>
        <v>36144</v>
      </c>
      <c r="C3996" s="2" t="s">
        <v>95</v>
      </c>
      <c r="D3996" s="2" t="s">
        <v>12472</v>
      </c>
      <c r="E3996" s="2" t="s">
        <v>1181</v>
      </c>
      <c r="F3996" s="4">
        <v>6022</v>
      </c>
      <c r="G3996" s="2" t="s">
        <v>37</v>
      </c>
      <c r="H3996" s="2" t="s">
        <v>34</v>
      </c>
      <c r="I3996" s="2" t="s">
        <v>5846</v>
      </c>
      <c r="J3996" s="2" t="s">
        <v>5847</v>
      </c>
      <c r="K3996" s="2" t="s">
        <v>37</v>
      </c>
      <c r="L3996" s="2" t="s">
        <v>34</v>
      </c>
      <c r="M3996" s="12">
        <v>3293.915</v>
      </c>
      <c r="N3996" s="7">
        <v>47.375</v>
      </c>
      <c r="O3996" s="7">
        <v>46.438000000000002</v>
      </c>
      <c r="P3996" s="2" t="s">
        <v>12473</v>
      </c>
      <c r="Q3996" s="6">
        <v>100</v>
      </c>
      <c r="R3996" s="2"/>
      <c r="S3996" s="5">
        <v>7.4</v>
      </c>
      <c r="T3996" s="7">
        <v>14.066000000000001</v>
      </c>
      <c r="U3996" s="5">
        <v>24.2</v>
      </c>
      <c r="V3996" s="6">
        <v>3.17</v>
      </c>
      <c r="W3996" s="7">
        <v>25.687999999999999</v>
      </c>
      <c r="X3996" s="7">
        <v>25.687999999999999</v>
      </c>
      <c r="Y3996" s="7">
        <v>26.125</v>
      </c>
      <c r="Z3996" s="7">
        <v>25.687999999999999</v>
      </c>
      <c r="AA3996" s="6">
        <v>1.03</v>
      </c>
      <c r="AB3996" s="7">
        <v>60.389000000000003</v>
      </c>
      <c r="AC3996" s="2"/>
    </row>
    <row r="3997" spans="1:29" ht="65" x14ac:dyDescent="0.15">
      <c r="A3997" s="3">
        <f>DATE(1998,7,6)</f>
        <v>35982</v>
      </c>
      <c r="B3997" s="3">
        <f>DATE(1998,11,11)</f>
        <v>36110</v>
      </c>
      <c r="C3997" s="2" t="s">
        <v>95</v>
      </c>
      <c r="D3997" s="2" t="s">
        <v>12474</v>
      </c>
      <c r="E3997" s="2" t="s">
        <v>12475</v>
      </c>
      <c r="F3997" s="4">
        <v>4953</v>
      </c>
      <c r="G3997" s="2" t="s">
        <v>116</v>
      </c>
      <c r="H3997" s="2" t="s">
        <v>34</v>
      </c>
      <c r="I3997" s="2" t="s">
        <v>12476</v>
      </c>
      <c r="J3997" s="2" t="s">
        <v>12477</v>
      </c>
      <c r="K3997" s="2" t="s">
        <v>116</v>
      </c>
      <c r="L3997" s="2" t="s">
        <v>34</v>
      </c>
      <c r="M3997" s="7">
        <v>868.351</v>
      </c>
      <c r="N3997" s="7">
        <v>27.562999999999999</v>
      </c>
      <c r="O3997" s="5">
        <v>26.5</v>
      </c>
      <c r="P3997" s="2" t="s">
        <v>12478</v>
      </c>
      <c r="Q3997" s="6">
        <v>100</v>
      </c>
      <c r="R3997" s="6">
        <v>2.65</v>
      </c>
      <c r="S3997" s="5">
        <v>0.3</v>
      </c>
      <c r="T3997" s="6">
        <v>5.96</v>
      </c>
      <c r="U3997" s="5">
        <v>0.8</v>
      </c>
      <c r="V3997" s="7">
        <v>1.4E-2</v>
      </c>
      <c r="W3997" s="6">
        <v>2.25</v>
      </c>
      <c r="X3997" s="6">
        <v>2.25</v>
      </c>
      <c r="Y3997" s="6">
        <v>2.25</v>
      </c>
      <c r="Z3997" s="7">
        <v>2.0630000000000002</v>
      </c>
      <c r="AA3997" s="6">
        <v>21.29</v>
      </c>
      <c r="AB3997" s="7">
        <v>44.741</v>
      </c>
      <c r="AC3997" s="6">
        <v>40.14</v>
      </c>
    </row>
    <row r="3998" spans="1:29" ht="104" x14ac:dyDescent="0.15">
      <c r="A3998" s="3">
        <f>DATE(1998,7,6)</f>
        <v>35982</v>
      </c>
      <c r="B3998" s="3">
        <f>DATE(1998,12,23)</f>
        <v>36152</v>
      </c>
      <c r="C3998" s="2" t="s">
        <v>95</v>
      </c>
      <c r="D3998" s="2" t="s">
        <v>12479</v>
      </c>
      <c r="E3998" s="2" t="s">
        <v>12480</v>
      </c>
      <c r="F3998" s="4">
        <v>4813</v>
      </c>
      <c r="G3998" s="2" t="s">
        <v>63</v>
      </c>
      <c r="H3998" s="2" t="s">
        <v>34</v>
      </c>
      <c r="I3998" s="2" t="s">
        <v>10998</v>
      </c>
      <c r="J3998" s="2" t="s">
        <v>10999</v>
      </c>
      <c r="K3998" s="2" t="s">
        <v>63</v>
      </c>
      <c r="L3998" s="2" t="s">
        <v>34</v>
      </c>
      <c r="M3998" s="7">
        <v>122.586</v>
      </c>
      <c r="N3998" s="7">
        <v>22.437999999999999</v>
      </c>
      <c r="O3998" s="7">
        <v>22.937999999999999</v>
      </c>
      <c r="P3998" s="2" t="s">
        <v>12481</v>
      </c>
      <c r="Q3998" s="6">
        <v>100</v>
      </c>
      <c r="R3998" s="6">
        <v>5.86</v>
      </c>
      <c r="S3998" s="5">
        <v>-13.8</v>
      </c>
      <c r="T3998" s="7">
        <v>23.375</v>
      </c>
      <c r="U3998" s="5">
        <v>-1.2</v>
      </c>
      <c r="V3998" s="6">
        <v>-0.92</v>
      </c>
      <c r="W3998" s="6">
        <v>3.25</v>
      </c>
      <c r="X3998" s="7">
        <v>3.125</v>
      </c>
      <c r="Y3998" s="7">
        <v>4.0629999999999997</v>
      </c>
      <c r="Z3998" s="7">
        <v>4.5629999999999997</v>
      </c>
      <c r="AA3998" s="6">
        <v>16.21</v>
      </c>
      <c r="AB3998" s="7">
        <v>143.62799999999999</v>
      </c>
      <c r="AC3998" s="6">
        <v>2.57</v>
      </c>
    </row>
    <row r="3999" spans="1:29" ht="78" x14ac:dyDescent="0.15">
      <c r="A3999" s="3">
        <f>DATE(1998,7,6)</f>
        <v>35982</v>
      </c>
      <c r="B3999" s="2"/>
      <c r="C3999" s="2" t="s">
        <v>30</v>
      </c>
      <c r="D3999" s="2" t="s">
        <v>9065</v>
      </c>
      <c r="E3999" s="2" t="s">
        <v>9066</v>
      </c>
      <c r="F3999" s="4">
        <v>3651</v>
      </c>
      <c r="G3999" s="2" t="s">
        <v>137</v>
      </c>
      <c r="H3999" s="2" t="s">
        <v>34</v>
      </c>
      <c r="I3999" s="2" t="s">
        <v>6411</v>
      </c>
      <c r="J3999" s="2" t="s">
        <v>4615</v>
      </c>
      <c r="K3999" s="2" t="s">
        <v>45</v>
      </c>
      <c r="L3999" s="2" t="s">
        <v>34</v>
      </c>
      <c r="M3999" s="12">
        <v>1397.7339999999999</v>
      </c>
      <c r="N3999" s="7">
        <v>39.375</v>
      </c>
      <c r="O3999" s="6">
        <v>35.75</v>
      </c>
      <c r="P3999" s="2" t="s">
        <v>12482</v>
      </c>
      <c r="Q3999" s="2"/>
      <c r="R3999" s="6">
        <v>45</v>
      </c>
      <c r="S3999" s="5">
        <v>56.1</v>
      </c>
      <c r="T3999" s="7">
        <v>85.078000000000003</v>
      </c>
      <c r="U3999" s="5">
        <v>2.5</v>
      </c>
      <c r="V3999" s="7">
        <v>1.1719999999999999</v>
      </c>
      <c r="W3999" s="7">
        <v>37.063000000000002</v>
      </c>
      <c r="X3999" s="7">
        <v>38.875</v>
      </c>
      <c r="Y3999" s="5">
        <v>42.5</v>
      </c>
      <c r="Z3999" s="7">
        <v>43.625</v>
      </c>
      <c r="AA3999" s="6">
        <v>48.51</v>
      </c>
      <c r="AB3999" s="7">
        <v>33.020000000000003</v>
      </c>
      <c r="AC3999" s="6">
        <v>143.09</v>
      </c>
    </row>
    <row r="4000" spans="1:29" ht="156" x14ac:dyDescent="0.15">
      <c r="A4000" s="3">
        <f>DATE(1998,7,7)</f>
        <v>35983</v>
      </c>
      <c r="B4000" s="3">
        <f>DATE(1998,12,23)</f>
        <v>36152</v>
      </c>
      <c r="C4000" s="2" t="s">
        <v>95</v>
      </c>
      <c r="D4000" s="2" t="s">
        <v>12483</v>
      </c>
      <c r="E4000" s="2" t="s">
        <v>12484</v>
      </c>
      <c r="F4000" s="4">
        <v>2836</v>
      </c>
      <c r="G4000" s="2" t="s">
        <v>130</v>
      </c>
      <c r="H4000" s="2" t="s">
        <v>34</v>
      </c>
      <c r="I4000" s="2" t="s">
        <v>12485</v>
      </c>
      <c r="J4000" s="2" t="s">
        <v>12486</v>
      </c>
      <c r="K4000" s="2" t="s">
        <v>98</v>
      </c>
      <c r="L4000" s="2" t="s">
        <v>34</v>
      </c>
      <c r="M4000" s="6">
        <v>942.18</v>
      </c>
      <c r="N4000" s="5">
        <v>31.5</v>
      </c>
      <c r="O4000" s="7">
        <v>32.063000000000002</v>
      </c>
      <c r="P4000" s="2" t="s">
        <v>12487</v>
      </c>
      <c r="Q4000" s="6">
        <v>23.4</v>
      </c>
      <c r="R4000" s="6">
        <v>39.130000000000003</v>
      </c>
      <c r="S4000" s="5">
        <v>32.200000000000003</v>
      </c>
      <c r="T4000" s="7">
        <v>63.651000000000003</v>
      </c>
      <c r="U4000" s="5">
        <v>8.9</v>
      </c>
      <c r="V4000" s="6">
        <v>1.35</v>
      </c>
      <c r="W4000" s="7">
        <v>31.375</v>
      </c>
      <c r="X4000" s="6">
        <v>31.25</v>
      </c>
      <c r="Y4000" s="4">
        <v>31</v>
      </c>
      <c r="Z4000" s="5">
        <v>38.5</v>
      </c>
      <c r="AA4000" s="6">
        <v>23.57</v>
      </c>
      <c r="AB4000" s="7">
        <v>17.710999999999999</v>
      </c>
      <c r="AC4000" s="6">
        <v>68.31</v>
      </c>
    </row>
    <row r="4001" spans="1:29" ht="78" x14ac:dyDescent="0.15">
      <c r="A4001" s="3">
        <f>DATE(1998,7,7)</f>
        <v>35983</v>
      </c>
      <c r="B4001" s="3">
        <f>DATE(1998,9,29)</f>
        <v>36067</v>
      </c>
      <c r="C4001" s="2" t="s">
        <v>95</v>
      </c>
      <c r="D4001" s="2" t="s">
        <v>12488</v>
      </c>
      <c r="E4001" s="2" t="s">
        <v>12489</v>
      </c>
      <c r="F4001" s="4">
        <v>8071</v>
      </c>
      <c r="G4001" s="2" t="s">
        <v>454</v>
      </c>
      <c r="H4001" s="2" t="s">
        <v>34</v>
      </c>
      <c r="I4001" s="2" t="s">
        <v>12490</v>
      </c>
      <c r="J4001" s="2" t="s">
        <v>12491</v>
      </c>
      <c r="K4001" s="2" t="s">
        <v>223</v>
      </c>
      <c r="L4001" s="2" t="s">
        <v>34</v>
      </c>
      <c r="M4001" s="7">
        <v>98.347999999999999</v>
      </c>
      <c r="N4001" s="7">
        <v>7.9379999999999997</v>
      </c>
      <c r="O4001" s="7">
        <v>8.375</v>
      </c>
      <c r="P4001" s="2" t="s">
        <v>12492</v>
      </c>
      <c r="Q4001" s="6">
        <v>100</v>
      </c>
      <c r="R4001" s="2"/>
      <c r="S4001" s="5">
        <v>-10.7</v>
      </c>
      <c r="T4001" s="6">
        <v>-8.93</v>
      </c>
      <c r="U4001" s="5">
        <v>0.1</v>
      </c>
      <c r="V4001" s="6">
        <v>-1.39</v>
      </c>
      <c r="W4001" s="7">
        <v>3.4380000000000002</v>
      </c>
      <c r="X4001" s="7">
        <v>3.3130000000000002</v>
      </c>
      <c r="Y4001" s="7">
        <v>3.3130000000000002</v>
      </c>
      <c r="Z4001" s="7">
        <v>3.0630000000000002</v>
      </c>
      <c r="AA4001" s="6">
        <v>7.88</v>
      </c>
      <c r="AB4001" s="2" t="s">
        <v>86</v>
      </c>
      <c r="AC4001" s="2"/>
    </row>
    <row r="4002" spans="1:29" ht="52" x14ac:dyDescent="0.15">
      <c r="A4002" s="3">
        <f>DATE(1998,7,7)</f>
        <v>35983</v>
      </c>
      <c r="B4002" s="2"/>
      <c r="C4002" s="2" t="s">
        <v>7330</v>
      </c>
      <c r="D4002" s="2" t="s">
        <v>12493</v>
      </c>
      <c r="E4002" s="2" t="s">
        <v>302</v>
      </c>
      <c r="F4002" s="4">
        <v>6799</v>
      </c>
      <c r="G4002" s="2" t="s">
        <v>53</v>
      </c>
      <c r="H4002" s="2" t="s">
        <v>34</v>
      </c>
      <c r="I4002" s="2" t="s">
        <v>12494</v>
      </c>
      <c r="J4002" s="2" t="s">
        <v>302</v>
      </c>
      <c r="K4002" s="2" t="s">
        <v>53</v>
      </c>
      <c r="L4002" s="2" t="s">
        <v>34</v>
      </c>
      <c r="M4002" s="2"/>
      <c r="N4002" s="2"/>
      <c r="O4002" s="2"/>
      <c r="P4002" s="2" t="s">
        <v>12495</v>
      </c>
      <c r="Q4002" s="2"/>
      <c r="R4002" s="2"/>
      <c r="S4002" s="2"/>
      <c r="T4002" s="2"/>
      <c r="U4002" s="2"/>
      <c r="V4002" s="2"/>
      <c r="W4002" s="6">
        <v>4.25</v>
      </c>
      <c r="X4002" s="6">
        <v>4.25</v>
      </c>
      <c r="Y4002" s="6">
        <v>4.25</v>
      </c>
      <c r="Z4002" s="4">
        <v>5</v>
      </c>
      <c r="AA4002" s="6">
        <v>5</v>
      </c>
      <c r="AB4002" s="2" t="s">
        <v>47</v>
      </c>
      <c r="AC4002" s="2"/>
    </row>
    <row r="4003" spans="1:29" ht="156" x14ac:dyDescent="0.15">
      <c r="A4003" s="3">
        <f>DATE(1998,7,7)</f>
        <v>35983</v>
      </c>
      <c r="B4003" s="3">
        <f>DATE(1998,9,21)</f>
        <v>36059</v>
      </c>
      <c r="C4003" s="2" t="s">
        <v>95</v>
      </c>
      <c r="D4003" s="2" t="s">
        <v>12496</v>
      </c>
      <c r="E4003" s="2" t="s">
        <v>12497</v>
      </c>
      <c r="F4003" s="4">
        <v>3312</v>
      </c>
      <c r="G4003" s="2" t="s">
        <v>163</v>
      </c>
      <c r="H4003" s="2" t="s">
        <v>34</v>
      </c>
      <c r="I4003" s="2" t="s">
        <v>51</v>
      </c>
      <c r="J4003" s="2" t="s">
        <v>52</v>
      </c>
      <c r="K4003" s="2" t="s">
        <v>53</v>
      </c>
      <c r="L4003" s="2" t="s">
        <v>34</v>
      </c>
      <c r="M4003" s="2"/>
      <c r="N4003" s="2"/>
      <c r="O4003" s="2"/>
      <c r="P4003" s="2" t="s">
        <v>12498</v>
      </c>
      <c r="Q4003" s="6">
        <v>100</v>
      </c>
      <c r="R4003" s="6">
        <v>7.25</v>
      </c>
      <c r="S4003" s="5">
        <v>-0.9</v>
      </c>
      <c r="T4003" s="7">
        <v>67.567999999999998</v>
      </c>
      <c r="U4003" s="5">
        <v>5.0999999999999996</v>
      </c>
      <c r="V4003" s="6">
        <v>-0.05</v>
      </c>
      <c r="W4003" s="9">
        <v>4.3125</v>
      </c>
      <c r="X4003" s="7">
        <v>4.625</v>
      </c>
      <c r="Y4003" s="4">
        <v>5</v>
      </c>
      <c r="Z4003" s="4">
        <v>5</v>
      </c>
      <c r="AA4003" s="6">
        <v>19.71</v>
      </c>
      <c r="AB4003" s="7">
        <v>10.287000000000001</v>
      </c>
      <c r="AC4003" s="2"/>
    </row>
    <row r="4004" spans="1:29" ht="39" x14ac:dyDescent="0.15">
      <c r="A4004" s="3">
        <f>DATE(1998,7,8)</f>
        <v>35984</v>
      </c>
      <c r="B4004" s="2"/>
      <c r="C4004" s="2" t="s">
        <v>7330</v>
      </c>
      <c r="D4004" s="2" t="s">
        <v>12499</v>
      </c>
      <c r="E4004" s="2" t="s">
        <v>781</v>
      </c>
      <c r="F4004" s="4">
        <v>7372</v>
      </c>
      <c r="G4004" s="2" t="s">
        <v>551</v>
      </c>
      <c r="H4004" s="2" t="s">
        <v>34</v>
      </c>
      <c r="I4004" s="2" t="s">
        <v>12500</v>
      </c>
      <c r="J4004" s="2" t="s">
        <v>9477</v>
      </c>
      <c r="K4004" s="2" t="s">
        <v>551</v>
      </c>
      <c r="L4004" s="2" t="s">
        <v>133</v>
      </c>
      <c r="M4004" s="2"/>
      <c r="N4004" s="2"/>
      <c r="O4004" s="2"/>
      <c r="P4004" s="2" t="s">
        <v>12501</v>
      </c>
      <c r="Q4004" s="2"/>
      <c r="R4004" s="2"/>
      <c r="S4004" s="5">
        <v>-1.7</v>
      </c>
      <c r="T4004" s="7">
        <v>1.3779999999999999</v>
      </c>
      <c r="U4004" s="5">
        <v>2.1</v>
      </c>
      <c r="V4004" s="6">
        <v>-0.43</v>
      </c>
      <c r="W4004" s="7">
        <v>4.375</v>
      </c>
      <c r="X4004" s="7">
        <v>3.875</v>
      </c>
      <c r="Y4004" s="7">
        <v>3.625</v>
      </c>
      <c r="Z4004" s="7">
        <v>4.125</v>
      </c>
      <c r="AA4004" s="6">
        <v>3.8</v>
      </c>
      <c r="AB4004" s="2" t="s">
        <v>86</v>
      </c>
      <c r="AC4004" s="6">
        <v>4.3499999999999996</v>
      </c>
    </row>
    <row r="4005" spans="1:29" ht="143" x14ac:dyDescent="0.15">
      <c r="A4005" s="3">
        <f>DATE(1998,7,8)</f>
        <v>35984</v>
      </c>
      <c r="B4005" s="3">
        <f>DATE(1998,10,20)</f>
        <v>36088</v>
      </c>
      <c r="C4005" s="2" t="s">
        <v>95</v>
      </c>
      <c r="D4005" s="2" t="s">
        <v>12502</v>
      </c>
      <c r="E4005" s="2" t="s">
        <v>92</v>
      </c>
      <c r="F4005" s="4">
        <v>6798</v>
      </c>
      <c r="G4005" s="2" t="s">
        <v>53</v>
      </c>
      <c r="H4005" s="2" t="s">
        <v>34</v>
      </c>
      <c r="I4005" s="2" t="s">
        <v>9141</v>
      </c>
      <c r="J4005" s="2" t="s">
        <v>92</v>
      </c>
      <c r="K4005" s="2" t="s">
        <v>53</v>
      </c>
      <c r="L4005" s="2" t="s">
        <v>34</v>
      </c>
      <c r="M4005" s="12">
        <v>4747.0730000000003</v>
      </c>
      <c r="N4005" s="7">
        <v>46.688000000000002</v>
      </c>
      <c r="O4005" s="7">
        <v>45.313000000000002</v>
      </c>
      <c r="P4005" s="2" t="s">
        <v>12503</v>
      </c>
      <c r="Q4005" s="6">
        <v>100</v>
      </c>
      <c r="R4005" s="6">
        <v>24.98</v>
      </c>
      <c r="S4005" s="5">
        <v>65.5</v>
      </c>
      <c r="T4005" s="7">
        <v>106.923</v>
      </c>
      <c r="U4005" s="5">
        <v>13.5</v>
      </c>
      <c r="V4005" s="6">
        <v>1.1000000000000001</v>
      </c>
      <c r="W4005" s="9">
        <v>21.6875</v>
      </c>
      <c r="X4005" s="9">
        <v>22.3125</v>
      </c>
      <c r="Y4005" s="4">
        <v>23</v>
      </c>
      <c r="Z4005" s="9">
        <v>23.9375</v>
      </c>
      <c r="AA4005" s="6">
        <v>42.76</v>
      </c>
      <c r="AB4005" s="7">
        <v>32.883000000000003</v>
      </c>
      <c r="AC4005" s="5">
        <v>33.299999999999997</v>
      </c>
    </row>
    <row r="4006" spans="1:29" ht="65" x14ac:dyDescent="0.15">
      <c r="A4006" s="3">
        <f>DATE(1998,7,9)</f>
        <v>35985</v>
      </c>
      <c r="B4006" s="3">
        <f>DATE(1998,10,9)</f>
        <v>36077</v>
      </c>
      <c r="C4006" s="2" t="s">
        <v>95</v>
      </c>
      <c r="D4006" s="2" t="s">
        <v>12504</v>
      </c>
      <c r="E4006" s="2" t="s">
        <v>12505</v>
      </c>
      <c r="F4006" s="4">
        <v>2273</v>
      </c>
      <c r="G4006" s="2" t="s">
        <v>708</v>
      </c>
      <c r="H4006" s="2" t="s">
        <v>34</v>
      </c>
      <c r="I4006" s="2" t="s">
        <v>12506</v>
      </c>
      <c r="J4006" s="2" t="s">
        <v>12507</v>
      </c>
      <c r="K4006" s="2" t="s">
        <v>98</v>
      </c>
      <c r="L4006" s="2" t="s">
        <v>34</v>
      </c>
      <c r="M4006" s="12">
        <v>2057.6149999999998</v>
      </c>
      <c r="N4006" s="6">
        <v>43.25</v>
      </c>
      <c r="O4006" s="7">
        <v>42.563000000000002</v>
      </c>
      <c r="P4006" s="2" t="s">
        <v>12508</v>
      </c>
      <c r="Q4006" s="6">
        <v>100</v>
      </c>
      <c r="R4006" s="6">
        <v>6</v>
      </c>
      <c r="S4006" s="5">
        <v>-5.9</v>
      </c>
      <c r="T4006" s="7">
        <v>-4.4130000000000003</v>
      </c>
      <c r="U4006" s="5">
        <v>1.6</v>
      </c>
      <c r="V4006" s="7">
        <v>-1.3540000000000001</v>
      </c>
      <c r="W4006" s="4">
        <v>3</v>
      </c>
      <c r="X4006" s="4">
        <v>3</v>
      </c>
      <c r="Y4006" s="7">
        <v>4.9059999999999997</v>
      </c>
      <c r="Z4006" s="7">
        <v>4.9690000000000003</v>
      </c>
      <c r="AA4006" s="6">
        <v>4.3899999999999997</v>
      </c>
      <c r="AB4006" s="2" t="s">
        <v>86</v>
      </c>
      <c r="AC4006" s="5">
        <v>6.4</v>
      </c>
    </row>
    <row r="4007" spans="1:29" ht="117" x14ac:dyDescent="0.15">
      <c r="A4007" s="3">
        <f>DATE(1998,7,9)</f>
        <v>35985</v>
      </c>
      <c r="B4007" s="3">
        <f>DATE(1998,10,28)</f>
        <v>36096</v>
      </c>
      <c r="C4007" s="2" t="s">
        <v>95</v>
      </c>
      <c r="D4007" s="2" t="s">
        <v>8713</v>
      </c>
      <c r="E4007" s="2" t="s">
        <v>8714</v>
      </c>
      <c r="F4007" s="4">
        <v>3579</v>
      </c>
      <c r="G4007" s="2" t="s">
        <v>50</v>
      </c>
      <c r="H4007" s="2" t="s">
        <v>34</v>
      </c>
      <c r="I4007" s="2" t="s">
        <v>8711</v>
      </c>
      <c r="J4007" s="2" t="s">
        <v>8712</v>
      </c>
      <c r="K4007" s="2" t="s">
        <v>300</v>
      </c>
      <c r="L4007" s="2" t="s">
        <v>34</v>
      </c>
      <c r="M4007" s="7">
        <v>917.92100000000005</v>
      </c>
      <c r="N4007" s="6">
        <v>39.25</v>
      </c>
      <c r="O4007" s="7">
        <v>38.688000000000002</v>
      </c>
      <c r="P4007" s="2" t="s">
        <v>12509</v>
      </c>
      <c r="Q4007" s="6">
        <v>100</v>
      </c>
      <c r="R4007" s="6">
        <v>36</v>
      </c>
      <c r="S4007" s="5">
        <v>11.6</v>
      </c>
      <c r="T4007" s="7">
        <v>20.824000000000002</v>
      </c>
      <c r="U4007" s="5">
        <v>7.6</v>
      </c>
      <c r="V4007" s="6">
        <v>1.49</v>
      </c>
      <c r="W4007" s="6">
        <v>26.75</v>
      </c>
      <c r="X4007" s="7">
        <v>28.625</v>
      </c>
      <c r="Y4007" s="5">
        <v>30.5</v>
      </c>
      <c r="Z4007" s="7">
        <v>32.875</v>
      </c>
      <c r="AA4007" s="6">
        <v>7.65</v>
      </c>
      <c r="AB4007" s="7">
        <v>14.61</v>
      </c>
      <c r="AC4007" s="6">
        <v>128.85</v>
      </c>
    </row>
    <row r="4008" spans="1:29" ht="117" x14ac:dyDescent="0.15">
      <c r="A4008" s="3">
        <f>DATE(1998,7,9)</f>
        <v>35985</v>
      </c>
      <c r="B4008" s="3">
        <f>DATE(1998,12,18)</f>
        <v>36147</v>
      </c>
      <c r="C4008" s="2" t="s">
        <v>95</v>
      </c>
      <c r="D4008" s="2" t="s">
        <v>12510</v>
      </c>
      <c r="E4008" s="2" t="s">
        <v>36</v>
      </c>
      <c r="F4008" s="4">
        <v>6021</v>
      </c>
      <c r="G4008" s="2" t="s">
        <v>37</v>
      </c>
      <c r="H4008" s="2" t="s">
        <v>34</v>
      </c>
      <c r="I4008" s="2" t="s">
        <v>12511</v>
      </c>
      <c r="J4008" s="2" t="s">
        <v>389</v>
      </c>
      <c r="K4008" s="2" t="s">
        <v>33</v>
      </c>
      <c r="L4008" s="2" t="s">
        <v>34</v>
      </c>
      <c r="M4008" s="7">
        <v>79.161000000000001</v>
      </c>
      <c r="N4008" s="5">
        <v>9.5</v>
      </c>
      <c r="O4008" s="7">
        <v>9.375</v>
      </c>
      <c r="P4008" s="2" t="s">
        <v>12512</v>
      </c>
      <c r="Q4008" s="6">
        <v>100</v>
      </c>
      <c r="R4008" s="2"/>
      <c r="S4008" s="5">
        <v>5.6</v>
      </c>
      <c r="T4008" s="7">
        <v>8.7240000000000002</v>
      </c>
      <c r="U4008" s="5">
        <v>14.7</v>
      </c>
      <c r="V4008" s="7">
        <v>1.738</v>
      </c>
      <c r="W4008" s="7">
        <v>27.875</v>
      </c>
      <c r="X4008" s="5">
        <v>28.5</v>
      </c>
      <c r="Y4008" s="7">
        <v>29.625</v>
      </c>
      <c r="Z4008" s="4">
        <v>30</v>
      </c>
      <c r="AA4008" s="6">
        <v>3.12</v>
      </c>
      <c r="AB4008" s="7">
        <v>68.132999999999996</v>
      </c>
      <c r="AC4008" s="2"/>
    </row>
    <row r="4009" spans="1:29" ht="52" x14ac:dyDescent="0.15">
      <c r="A4009" s="3">
        <f>DATE(1998,7,9)</f>
        <v>35985</v>
      </c>
      <c r="B4009" s="2"/>
      <c r="C4009" s="2" t="s">
        <v>87</v>
      </c>
      <c r="D4009" s="2" t="s">
        <v>12513</v>
      </c>
      <c r="E4009" s="2" t="s">
        <v>12514</v>
      </c>
      <c r="F4009" s="4">
        <v>4822</v>
      </c>
      <c r="G4009" s="2" t="s">
        <v>63</v>
      </c>
      <c r="H4009" s="2" t="s">
        <v>34</v>
      </c>
      <c r="I4009" s="2" t="s">
        <v>12515</v>
      </c>
      <c r="J4009" s="2" t="s">
        <v>12371</v>
      </c>
      <c r="K4009" s="2" t="s">
        <v>223</v>
      </c>
      <c r="L4009" s="2" t="s">
        <v>34</v>
      </c>
      <c r="M4009" s="12">
        <v>5334.5410000000002</v>
      </c>
      <c r="N4009" s="4">
        <v>184</v>
      </c>
      <c r="O4009" s="6">
        <v>181.25</v>
      </c>
      <c r="P4009" s="2" t="s">
        <v>12516</v>
      </c>
      <c r="Q4009" s="2"/>
      <c r="R4009" s="2"/>
      <c r="S4009" s="5">
        <v>-28.9</v>
      </c>
      <c r="T4009" s="7">
        <v>-17.189</v>
      </c>
      <c r="U4009" s="5">
        <v>-1.6</v>
      </c>
      <c r="V4009" s="6">
        <v>-2.59</v>
      </c>
      <c r="W4009" s="5">
        <v>16.5</v>
      </c>
      <c r="X4009" s="7">
        <v>21.375</v>
      </c>
      <c r="Y4009" s="6">
        <v>21.25</v>
      </c>
      <c r="Z4009" s="5">
        <v>22.5</v>
      </c>
      <c r="AA4009" s="6">
        <v>11.59</v>
      </c>
      <c r="AB4009" s="2" t="s">
        <v>86</v>
      </c>
      <c r="AC4009" s="6">
        <v>90.31</v>
      </c>
    </row>
    <row r="4010" spans="1:29" ht="143" x14ac:dyDescent="0.15">
      <c r="A4010" s="3">
        <f>DATE(1998,7,9)</f>
        <v>35985</v>
      </c>
      <c r="B4010" s="2"/>
      <c r="C4010" s="2" t="s">
        <v>30</v>
      </c>
      <c r="D4010" s="2" t="s">
        <v>12517</v>
      </c>
      <c r="E4010" s="2" t="s">
        <v>92</v>
      </c>
      <c r="F4010" s="4">
        <v>6798</v>
      </c>
      <c r="G4010" s="2" t="s">
        <v>53</v>
      </c>
      <c r="H4010" s="2" t="s">
        <v>34</v>
      </c>
      <c r="I4010" s="2" t="s">
        <v>51</v>
      </c>
      <c r="J4010" s="2" t="s">
        <v>52</v>
      </c>
      <c r="K4010" s="2" t="s">
        <v>53</v>
      </c>
      <c r="L4010" s="2" t="s">
        <v>34</v>
      </c>
      <c r="M4010" s="2"/>
      <c r="N4010" s="2"/>
      <c r="O4010" s="2"/>
      <c r="P4010" s="2" t="s">
        <v>12518</v>
      </c>
      <c r="Q4010" s="2"/>
      <c r="R4010" s="6">
        <v>24</v>
      </c>
      <c r="S4010" s="5">
        <v>4</v>
      </c>
      <c r="T4010" s="7">
        <v>6.8140000000000001</v>
      </c>
      <c r="U4010" s="5">
        <v>21.4</v>
      </c>
      <c r="V4010" s="6">
        <v>0.24</v>
      </c>
      <c r="W4010" s="7">
        <v>22.375</v>
      </c>
      <c r="X4010" s="7">
        <v>23.687999999999999</v>
      </c>
      <c r="Y4010" s="7">
        <v>23.125</v>
      </c>
      <c r="Z4010" s="6">
        <v>23.25</v>
      </c>
      <c r="AA4010" s="6">
        <v>16.95</v>
      </c>
      <c r="AB4010" s="7">
        <v>156.80099999999999</v>
      </c>
      <c r="AC4010" s="2"/>
    </row>
    <row r="4011" spans="1:29" ht="65" x14ac:dyDescent="0.15">
      <c r="A4011" s="3">
        <f>DATE(1998,7,10)</f>
        <v>35986</v>
      </c>
      <c r="B4011" s="2"/>
      <c r="C4011" s="2" t="s">
        <v>141</v>
      </c>
      <c r="D4011" s="2" t="s">
        <v>12519</v>
      </c>
      <c r="E4011" s="2" t="s">
        <v>36</v>
      </c>
      <c r="F4011" s="4">
        <v>6021</v>
      </c>
      <c r="G4011" s="2" t="s">
        <v>37</v>
      </c>
      <c r="H4011" s="2" t="s">
        <v>34</v>
      </c>
      <c r="I4011" s="2" t="s">
        <v>143</v>
      </c>
      <c r="J4011" s="2" t="s">
        <v>144</v>
      </c>
      <c r="K4011" s="2" t="s">
        <v>53</v>
      </c>
      <c r="L4011" s="2" t="s">
        <v>139</v>
      </c>
      <c r="M4011" s="2"/>
      <c r="N4011" s="2"/>
      <c r="O4011" s="2"/>
      <c r="P4011" s="2" t="s">
        <v>12520</v>
      </c>
      <c r="Q4011" s="2"/>
      <c r="R4011" s="2"/>
      <c r="S4011" s="5">
        <v>69.8</v>
      </c>
      <c r="T4011" s="7">
        <v>110.206</v>
      </c>
      <c r="U4011" s="5">
        <v>3.6</v>
      </c>
      <c r="V4011" s="6">
        <v>0.69</v>
      </c>
      <c r="W4011" s="5">
        <v>21.5</v>
      </c>
      <c r="X4011" s="6">
        <v>25.75</v>
      </c>
      <c r="Y4011" s="9">
        <v>24.5625</v>
      </c>
      <c r="Z4011" s="9">
        <v>24.6875</v>
      </c>
      <c r="AA4011" s="6">
        <v>49.14</v>
      </c>
      <c r="AB4011" s="2" t="s">
        <v>47</v>
      </c>
      <c r="AC4011" s="2"/>
    </row>
    <row r="4012" spans="1:29" ht="104" x14ac:dyDescent="0.15">
      <c r="A4012" s="3">
        <f>DATE(1998,7,13)</f>
        <v>35989</v>
      </c>
      <c r="B4012" s="3">
        <f>DATE(1999,3,8)</f>
        <v>36227</v>
      </c>
      <c r="C4012" s="2" t="s">
        <v>95</v>
      </c>
      <c r="D4012" s="2" t="s">
        <v>12521</v>
      </c>
      <c r="E4012" s="2" t="s">
        <v>5269</v>
      </c>
      <c r="F4012" s="4">
        <v>3841</v>
      </c>
      <c r="G4012" s="2" t="s">
        <v>226</v>
      </c>
      <c r="H4012" s="2" t="s">
        <v>34</v>
      </c>
      <c r="I4012" s="2" t="s">
        <v>769</v>
      </c>
      <c r="J4012" s="2" t="s">
        <v>770</v>
      </c>
      <c r="K4012" s="2" t="s">
        <v>226</v>
      </c>
      <c r="L4012" s="2" t="s">
        <v>34</v>
      </c>
      <c r="M4012" s="12">
        <v>26383.794999999998</v>
      </c>
      <c r="N4012" s="4">
        <v>68</v>
      </c>
      <c r="O4012" s="7">
        <v>67.188000000000002</v>
      </c>
      <c r="P4012" s="2" t="s">
        <v>12522</v>
      </c>
      <c r="Q4012" s="6">
        <v>100</v>
      </c>
      <c r="R4012" s="6">
        <v>13</v>
      </c>
      <c r="S4012" s="5">
        <v>1.3</v>
      </c>
      <c r="T4012" s="7">
        <v>3.7080000000000002</v>
      </c>
      <c r="U4012" s="5">
        <v>4.0999999999999996</v>
      </c>
      <c r="V4012" s="6">
        <v>0.17</v>
      </c>
      <c r="W4012" s="7">
        <v>7.375</v>
      </c>
      <c r="X4012" s="7">
        <v>9.875</v>
      </c>
      <c r="Y4012" s="7">
        <v>10.063000000000001</v>
      </c>
      <c r="Z4012" s="6">
        <v>10.25</v>
      </c>
      <c r="AA4012" s="6">
        <v>8.0299999999999994</v>
      </c>
      <c r="AB4012" s="7">
        <v>54.326999999999998</v>
      </c>
      <c r="AC4012" s="6">
        <v>816.39</v>
      </c>
    </row>
    <row r="4013" spans="1:29" ht="52" x14ac:dyDescent="0.15">
      <c r="A4013" s="3">
        <f>DATE(1998,7,13)</f>
        <v>35989</v>
      </c>
      <c r="B4013" s="2"/>
      <c r="C4013" s="2" t="s">
        <v>87</v>
      </c>
      <c r="D4013" s="2" t="s">
        <v>12523</v>
      </c>
      <c r="E4013" s="2" t="s">
        <v>3864</v>
      </c>
      <c r="F4013" s="4">
        <v>5331</v>
      </c>
      <c r="G4013" s="2" t="s">
        <v>756</v>
      </c>
      <c r="H4013" s="2" t="s">
        <v>34</v>
      </c>
      <c r="I4013" s="2" t="s">
        <v>12524</v>
      </c>
      <c r="J4013" s="2" t="s">
        <v>12525</v>
      </c>
      <c r="K4013" s="2" t="s">
        <v>73</v>
      </c>
      <c r="L4013" s="2" t="s">
        <v>34</v>
      </c>
      <c r="M4013" s="12">
        <v>13938.727999999999</v>
      </c>
      <c r="N4013" s="7">
        <v>41.938000000000002</v>
      </c>
      <c r="O4013" s="7">
        <v>42.438000000000002</v>
      </c>
      <c r="P4013" s="2" t="s">
        <v>12526</v>
      </c>
      <c r="Q4013" s="2"/>
      <c r="R4013" s="2"/>
      <c r="S4013" s="5">
        <v>19.899999999999999</v>
      </c>
      <c r="T4013" s="7">
        <v>56.417000000000002</v>
      </c>
      <c r="U4013" s="5">
        <v>9.5</v>
      </c>
      <c r="V4013" s="6">
        <v>-0.02</v>
      </c>
      <c r="W4013" s="7">
        <v>7.6879999999999997</v>
      </c>
      <c r="X4013" s="4">
        <v>10</v>
      </c>
      <c r="Y4013" s="7">
        <v>9.375</v>
      </c>
      <c r="Z4013" s="7">
        <v>9.125</v>
      </c>
      <c r="AA4013" s="2"/>
      <c r="AB4013" s="2" t="s">
        <v>47</v>
      </c>
      <c r="AC4013" s="6">
        <v>211.3</v>
      </c>
    </row>
    <row r="4014" spans="1:29" ht="117" x14ac:dyDescent="0.15">
      <c r="A4014" s="3">
        <f>DATE(1998,7,14)</f>
        <v>35990</v>
      </c>
      <c r="B4014" s="3">
        <f>DATE(1998,12,8)</f>
        <v>36137</v>
      </c>
      <c r="C4014" s="2" t="s">
        <v>95</v>
      </c>
      <c r="D4014" s="2" t="s">
        <v>12527</v>
      </c>
      <c r="E4014" s="2" t="s">
        <v>12528</v>
      </c>
      <c r="F4014" s="4">
        <v>2879</v>
      </c>
      <c r="G4014" s="2" t="s">
        <v>98</v>
      </c>
      <c r="H4014" s="2" t="s">
        <v>34</v>
      </c>
      <c r="I4014" s="2" t="s">
        <v>12529</v>
      </c>
      <c r="J4014" s="2" t="s">
        <v>12530</v>
      </c>
      <c r="K4014" s="2" t="s">
        <v>98</v>
      </c>
      <c r="L4014" s="2" t="s">
        <v>34</v>
      </c>
      <c r="M4014" s="7">
        <v>33.375999999999998</v>
      </c>
      <c r="N4014" s="5">
        <v>2.5</v>
      </c>
      <c r="O4014" s="11">
        <v>2.28125</v>
      </c>
      <c r="P4014" s="2" t="s">
        <v>12531</v>
      </c>
      <c r="Q4014" s="6">
        <v>100</v>
      </c>
      <c r="R4014" s="6">
        <v>1.25</v>
      </c>
      <c r="S4014" s="5">
        <v>-1.8</v>
      </c>
      <c r="T4014" s="7">
        <v>-0.69199999999999995</v>
      </c>
      <c r="U4014" s="5">
        <v>1.6</v>
      </c>
      <c r="V4014" s="6">
        <v>-0.19</v>
      </c>
      <c r="W4014" s="7">
        <v>1.125</v>
      </c>
      <c r="X4014" s="7">
        <v>1.3440000000000001</v>
      </c>
      <c r="Y4014" s="5">
        <v>1.5</v>
      </c>
      <c r="Z4014" s="7">
        <v>1.875</v>
      </c>
      <c r="AA4014" s="6">
        <v>9.65</v>
      </c>
      <c r="AB4014" s="2" t="s">
        <v>86</v>
      </c>
      <c r="AC4014" s="6">
        <v>3.26</v>
      </c>
    </row>
    <row r="4015" spans="1:29" ht="104" x14ac:dyDescent="0.15">
      <c r="A4015" s="3">
        <f>DATE(1998,7,14)</f>
        <v>35990</v>
      </c>
      <c r="B4015" s="3">
        <f>DATE(1998,9,18)</f>
        <v>36056</v>
      </c>
      <c r="C4015" s="2" t="s">
        <v>95</v>
      </c>
      <c r="D4015" s="2" t="s">
        <v>6478</v>
      </c>
      <c r="E4015" s="2" t="s">
        <v>6479</v>
      </c>
      <c r="F4015" s="4">
        <v>2844</v>
      </c>
      <c r="G4015" s="2" t="s">
        <v>358</v>
      </c>
      <c r="H4015" s="2" t="s">
        <v>34</v>
      </c>
      <c r="I4015" s="2" t="s">
        <v>8750</v>
      </c>
      <c r="J4015" s="2" t="s">
        <v>8751</v>
      </c>
      <c r="K4015" s="2" t="s">
        <v>358</v>
      </c>
      <c r="L4015" s="2" t="s">
        <v>1049</v>
      </c>
      <c r="M4015" s="2"/>
      <c r="N4015" s="2"/>
      <c r="O4015" s="2"/>
      <c r="P4015" s="2" t="s">
        <v>12532</v>
      </c>
      <c r="Q4015" s="6">
        <v>100</v>
      </c>
      <c r="R4015" s="6">
        <v>5.25</v>
      </c>
      <c r="S4015" s="5">
        <v>-0.4</v>
      </c>
      <c r="T4015" s="7">
        <v>9.5850000000000009</v>
      </c>
      <c r="U4015" s="5">
        <v>0.6</v>
      </c>
      <c r="V4015" s="6">
        <v>-7.0000000000000007E-2</v>
      </c>
      <c r="W4015" s="7">
        <v>2.6880000000000002</v>
      </c>
      <c r="X4015" s="4">
        <v>4</v>
      </c>
      <c r="Y4015" s="4">
        <v>5</v>
      </c>
      <c r="Z4015" s="7">
        <v>5.0940000000000003</v>
      </c>
      <c r="AA4015" s="6">
        <v>6.88</v>
      </c>
      <c r="AB4015" s="7">
        <v>13.784000000000001</v>
      </c>
      <c r="AC4015" s="6">
        <v>187.44</v>
      </c>
    </row>
    <row r="4016" spans="1:29" ht="104" x14ac:dyDescent="0.15">
      <c r="A4016" s="3">
        <f>DATE(1998,7,14)</f>
        <v>35990</v>
      </c>
      <c r="B4016" s="3">
        <f>DATE(1998,10,26)</f>
        <v>36094</v>
      </c>
      <c r="C4016" s="2" t="s">
        <v>95</v>
      </c>
      <c r="D4016" s="2" t="s">
        <v>12533</v>
      </c>
      <c r="E4016" s="2" t="s">
        <v>12534</v>
      </c>
      <c r="F4016" s="4">
        <v>5995</v>
      </c>
      <c r="G4016" s="2" t="s">
        <v>73</v>
      </c>
      <c r="H4016" s="2" t="s">
        <v>34</v>
      </c>
      <c r="I4016" s="2" t="s">
        <v>12535</v>
      </c>
      <c r="J4016" s="2" t="s">
        <v>12536</v>
      </c>
      <c r="K4016" s="2" t="s">
        <v>454</v>
      </c>
      <c r="L4016" s="2" t="s">
        <v>34</v>
      </c>
      <c r="M4016" s="7">
        <v>136.477</v>
      </c>
      <c r="N4016" s="7">
        <v>5.7809999999999997</v>
      </c>
      <c r="O4016" s="6">
        <v>5.75</v>
      </c>
      <c r="P4016" s="2" t="s">
        <v>12537</v>
      </c>
      <c r="Q4016" s="6">
        <v>100</v>
      </c>
      <c r="R4016" s="6">
        <v>11.5</v>
      </c>
      <c r="S4016" s="5">
        <v>1.6</v>
      </c>
      <c r="T4016" s="7">
        <v>2.8769999999999998</v>
      </c>
      <c r="U4016" s="5">
        <v>0.9</v>
      </c>
      <c r="V4016" s="7">
        <v>0.253</v>
      </c>
      <c r="W4016" s="6">
        <v>9.75</v>
      </c>
      <c r="X4016" s="5">
        <v>10.5</v>
      </c>
      <c r="Y4016" s="9">
        <v>12.3125</v>
      </c>
      <c r="Z4016" s="9">
        <v>12.1875</v>
      </c>
      <c r="AA4016" s="6">
        <v>4.87</v>
      </c>
      <c r="AB4016" s="7">
        <v>56.457000000000001</v>
      </c>
      <c r="AC4016" s="6">
        <v>2.56</v>
      </c>
    </row>
    <row r="4017" spans="1:29" ht="26" x14ac:dyDescent="0.15">
      <c r="A4017" s="3">
        <f>DATE(1998,7,14)</f>
        <v>35990</v>
      </c>
      <c r="B4017" s="2"/>
      <c r="C4017" s="2" t="s">
        <v>189</v>
      </c>
      <c r="D4017" s="2" t="s">
        <v>12538</v>
      </c>
      <c r="E4017" s="2" t="s">
        <v>12539</v>
      </c>
      <c r="F4017" s="4">
        <v>8099</v>
      </c>
      <c r="G4017" s="2" t="s">
        <v>454</v>
      </c>
      <c r="H4017" s="2" t="s">
        <v>34</v>
      </c>
      <c r="I4017" s="2" t="s">
        <v>143</v>
      </c>
      <c r="J4017" s="2" t="s">
        <v>144</v>
      </c>
      <c r="K4017" s="2" t="s">
        <v>53</v>
      </c>
      <c r="L4017" s="2" t="s">
        <v>139</v>
      </c>
      <c r="M4017" s="2"/>
      <c r="N4017" s="2"/>
      <c r="O4017" s="2"/>
      <c r="P4017" s="2" t="s">
        <v>12540</v>
      </c>
      <c r="Q4017" s="2"/>
      <c r="R4017" s="2"/>
      <c r="S4017" s="5">
        <v>9.6999999999999993</v>
      </c>
      <c r="T4017" s="7">
        <v>46.023000000000003</v>
      </c>
      <c r="U4017" s="5">
        <v>208.1</v>
      </c>
      <c r="V4017" s="9">
        <v>10.1227</v>
      </c>
      <c r="W4017" s="7">
        <v>7.6879999999999997</v>
      </c>
      <c r="X4017" s="6">
        <v>7.75</v>
      </c>
      <c r="Y4017" s="9">
        <v>7.9375</v>
      </c>
      <c r="Z4017" s="6">
        <v>8.25</v>
      </c>
      <c r="AA4017" s="6">
        <v>33.340000000000003</v>
      </c>
      <c r="AB4017" s="2" t="s">
        <v>47</v>
      </c>
      <c r="AC4017" s="2"/>
    </row>
    <row r="4018" spans="1:29" ht="52" x14ac:dyDescent="0.15">
      <c r="A4018" s="3">
        <f>DATE(1998,7,16)</f>
        <v>35992</v>
      </c>
      <c r="B4018" s="3">
        <f>DATE(1998,7,16)</f>
        <v>35992</v>
      </c>
      <c r="C4018" s="2" t="s">
        <v>95</v>
      </c>
      <c r="D4018" s="2" t="s">
        <v>12541</v>
      </c>
      <c r="E4018" s="2" t="s">
        <v>12542</v>
      </c>
      <c r="F4018" s="4">
        <v>3317</v>
      </c>
      <c r="G4018" s="2" t="s">
        <v>163</v>
      </c>
      <c r="H4018" s="2" t="s">
        <v>34</v>
      </c>
      <c r="I4018" s="2" t="s">
        <v>12543</v>
      </c>
      <c r="J4018" s="2" t="s">
        <v>1072</v>
      </c>
      <c r="K4018" s="2" t="s">
        <v>53</v>
      </c>
      <c r="L4018" s="2" t="s">
        <v>34</v>
      </c>
      <c r="M4018" s="2"/>
      <c r="N4018" s="2"/>
      <c r="O4018" s="2"/>
      <c r="P4018" s="2" t="s">
        <v>12544</v>
      </c>
      <c r="Q4018" s="6">
        <v>26.97</v>
      </c>
      <c r="R4018" s="6">
        <v>37</v>
      </c>
      <c r="S4018" s="5">
        <v>1.1000000000000001</v>
      </c>
      <c r="T4018" s="2"/>
      <c r="U4018" s="5">
        <v>37.700000000000003</v>
      </c>
      <c r="V4018" s="6">
        <v>3.7</v>
      </c>
      <c r="W4018" s="4">
        <v>22</v>
      </c>
      <c r="X4018" s="4">
        <v>22</v>
      </c>
      <c r="Y4018" s="4">
        <v>31</v>
      </c>
      <c r="Z4018" s="4">
        <v>35</v>
      </c>
      <c r="AA4018" s="6">
        <v>0.28999999999999998</v>
      </c>
      <c r="AB4018" s="2" t="s">
        <v>86</v>
      </c>
      <c r="AC4018" s="2"/>
    </row>
    <row r="4019" spans="1:29" ht="39" x14ac:dyDescent="0.15">
      <c r="A4019" s="3">
        <f>DATE(1998,7,16)</f>
        <v>35992</v>
      </c>
      <c r="B4019" s="2"/>
      <c r="C4019" s="2" t="s">
        <v>189</v>
      </c>
      <c r="D4019" s="2" t="s">
        <v>8765</v>
      </c>
      <c r="E4019" s="2" t="s">
        <v>129</v>
      </c>
      <c r="F4019" s="4">
        <v>2834</v>
      </c>
      <c r="G4019" s="2" t="s">
        <v>130</v>
      </c>
      <c r="H4019" s="2" t="s">
        <v>34</v>
      </c>
      <c r="I4019" s="2" t="s">
        <v>143</v>
      </c>
      <c r="J4019" s="2" t="s">
        <v>144</v>
      </c>
      <c r="K4019" s="2" t="s">
        <v>53</v>
      </c>
      <c r="L4019" s="2" t="s">
        <v>139</v>
      </c>
      <c r="M4019" s="2"/>
      <c r="N4019" s="2"/>
      <c r="O4019" s="2"/>
      <c r="P4019" s="2" t="s">
        <v>12545</v>
      </c>
      <c r="Q4019" s="2"/>
      <c r="R4019" s="2"/>
      <c r="S4019" s="5">
        <v>27.3</v>
      </c>
      <c r="T4019" s="7">
        <v>73.290999999999997</v>
      </c>
      <c r="U4019" s="5">
        <v>7.7</v>
      </c>
      <c r="V4019" s="6">
        <v>0.59</v>
      </c>
      <c r="W4019" s="7">
        <v>18.375</v>
      </c>
      <c r="X4019" s="5">
        <v>18.5</v>
      </c>
      <c r="Y4019" s="4">
        <v>19</v>
      </c>
      <c r="Z4019" s="7">
        <v>18.875</v>
      </c>
      <c r="AA4019" s="6">
        <v>32.979999999999997</v>
      </c>
      <c r="AB4019" s="2" t="s">
        <v>47</v>
      </c>
      <c r="AC4019" s="2"/>
    </row>
    <row r="4020" spans="1:29" ht="117" x14ac:dyDescent="0.15">
      <c r="A4020" s="3">
        <f>DATE(1998,7,16)</f>
        <v>35992</v>
      </c>
      <c r="B4020" s="3">
        <f>DATE(1998,12,31)</f>
        <v>36160</v>
      </c>
      <c r="C4020" s="2" t="s">
        <v>95</v>
      </c>
      <c r="D4020" s="2" t="s">
        <v>12546</v>
      </c>
      <c r="E4020" s="2" t="s">
        <v>1181</v>
      </c>
      <c r="F4020" s="4">
        <v>6021</v>
      </c>
      <c r="G4020" s="2" t="s">
        <v>37</v>
      </c>
      <c r="H4020" s="2" t="s">
        <v>34</v>
      </c>
      <c r="I4020" s="2" t="s">
        <v>12547</v>
      </c>
      <c r="J4020" s="2" t="s">
        <v>159</v>
      </c>
      <c r="K4020" s="2" t="s">
        <v>37</v>
      </c>
      <c r="L4020" s="2" t="s">
        <v>34</v>
      </c>
      <c r="M4020" s="6">
        <v>609.05999999999995</v>
      </c>
      <c r="N4020" s="7">
        <v>27.625</v>
      </c>
      <c r="O4020" s="6">
        <v>27.75</v>
      </c>
      <c r="P4020" s="2" t="s">
        <v>12548</v>
      </c>
      <c r="Q4020" s="6">
        <v>100</v>
      </c>
      <c r="R4020" s="6">
        <v>88.63</v>
      </c>
      <c r="S4020" s="5">
        <v>9</v>
      </c>
      <c r="T4020" s="7">
        <v>14.071999999999999</v>
      </c>
      <c r="U4020" s="5">
        <v>26.9</v>
      </c>
      <c r="V4020" s="6">
        <v>2.92</v>
      </c>
      <c r="W4020" s="4">
        <v>49</v>
      </c>
      <c r="X4020" s="4">
        <v>55</v>
      </c>
      <c r="Y4020" s="6">
        <v>74.25</v>
      </c>
      <c r="Z4020" s="4">
        <v>75</v>
      </c>
      <c r="AA4020" s="6">
        <v>3.04</v>
      </c>
      <c r="AB4020" s="7">
        <v>21.943000000000001</v>
      </c>
      <c r="AC4020" s="2"/>
    </row>
    <row r="4021" spans="1:29" ht="65" x14ac:dyDescent="0.15">
      <c r="A4021" s="3">
        <f>DATE(1998,7,17)</f>
        <v>35993</v>
      </c>
      <c r="B4021" s="3">
        <f>DATE(1999,3,31)</f>
        <v>36250</v>
      </c>
      <c r="C4021" s="2" t="s">
        <v>95</v>
      </c>
      <c r="D4021" s="2" t="s">
        <v>12549</v>
      </c>
      <c r="E4021" s="2" t="s">
        <v>1181</v>
      </c>
      <c r="F4021" s="4">
        <v>6021</v>
      </c>
      <c r="G4021" s="2" t="s">
        <v>37</v>
      </c>
      <c r="H4021" s="2" t="s">
        <v>34</v>
      </c>
      <c r="I4021" s="2" t="s">
        <v>6678</v>
      </c>
      <c r="J4021" s="2" t="s">
        <v>159</v>
      </c>
      <c r="K4021" s="2" t="s">
        <v>37</v>
      </c>
      <c r="L4021" s="2" t="s">
        <v>34</v>
      </c>
      <c r="M4021" s="12">
        <v>5954.4709999999995</v>
      </c>
      <c r="N4021" s="7">
        <v>42.063000000000002</v>
      </c>
      <c r="O4021" s="7">
        <v>42.688000000000002</v>
      </c>
      <c r="P4021" s="2" t="s">
        <v>12550</v>
      </c>
      <c r="Q4021" s="6">
        <v>100</v>
      </c>
      <c r="R4021" s="2"/>
      <c r="S4021" s="2"/>
      <c r="T4021" s="2"/>
      <c r="U4021" s="2"/>
      <c r="V4021" s="2"/>
      <c r="W4021" s="4">
        <v>56</v>
      </c>
      <c r="X4021" s="4">
        <v>57</v>
      </c>
      <c r="Y4021" s="4">
        <v>57</v>
      </c>
      <c r="Z4021" s="4">
        <v>57</v>
      </c>
      <c r="AA4021" s="2"/>
      <c r="AB4021" s="2" t="s">
        <v>47</v>
      </c>
      <c r="AC4021" s="2"/>
    </row>
    <row r="4022" spans="1:29" ht="104" x14ac:dyDescent="0.15">
      <c r="A4022" s="3">
        <f>DATE(1998,7,17)</f>
        <v>35993</v>
      </c>
      <c r="B4022" s="3">
        <f>DATE(1998,9,2)</f>
        <v>36040</v>
      </c>
      <c r="C4022" s="2" t="s">
        <v>95</v>
      </c>
      <c r="D4022" s="2" t="s">
        <v>12551</v>
      </c>
      <c r="E4022" s="2" t="s">
        <v>12552</v>
      </c>
      <c r="F4022" s="4">
        <v>3728</v>
      </c>
      <c r="G4022" s="2" t="s">
        <v>219</v>
      </c>
      <c r="H4022" s="2" t="s">
        <v>34</v>
      </c>
      <c r="I4022" s="2" t="s">
        <v>12553</v>
      </c>
      <c r="J4022" s="2" t="s">
        <v>244</v>
      </c>
      <c r="K4022" s="2" t="s">
        <v>53</v>
      </c>
      <c r="L4022" s="2" t="s">
        <v>34</v>
      </c>
      <c r="M4022" s="2"/>
      <c r="N4022" s="2"/>
      <c r="O4022" s="2"/>
      <c r="P4022" s="2" t="s">
        <v>12554</v>
      </c>
      <c r="Q4022" s="6">
        <v>100</v>
      </c>
      <c r="R4022" s="6">
        <v>23</v>
      </c>
      <c r="S4022" s="5">
        <v>7.6</v>
      </c>
      <c r="T4022" s="2"/>
      <c r="U4022" s="5">
        <v>10.3</v>
      </c>
      <c r="V4022" s="7">
        <v>1.556</v>
      </c>
      <c r="W4022" s="7">
        <v>17.875</v>
      </c>
      <c r="X4022" s="7">
        <v>17.625</v>
      </c>
      <c r="Y4022" s="7">
        <v>22.687999999999999</v>
      </c>
      <c r="Z4022" s="7">
        <v>22.625</v>
      </c>
      <c r="AA4022" s="6">
        <v>7.52</v>
      </c>
      <c r="AB4022" s="7">
        <v>21.245999999999999</v>
      </c>
      <c r="AC4022" s="2"/>
    </row>
    <row r="4023" spans="1:29" ht="39" x14ac:dyDescent="0.15">
      <c r="A4023" s="3">
        <f>DATE(1998,7,17)</f>
        <v>35993</v>
      </c>
      <c r="B4023" s="2"/>
      <c r="C4023" s="2" t="s">
        <v>30</v>
      </c>
      <c r="D4023" s="2" t="s">
        <v>12555</v>
      </c>
      <c r="E4023" s="2" t="s">
        <v>12556</v>
      </c>
      <c r="F4023" s="4">
        <v>1799</v>
      </c>
      <c r="G4023" s="2" t="s">
        <v>341</v>
      </c>
      <c r="H4023" s="2" t="s">
        <v>34</v>
      </c>
      <c r="I4023" s="2" t="s">
        <v>12557</v>
      </c>
      <c r="J4023" s="2" t="s">
        <v>12558</v>
      </c>
      <c r="K4023" s="2" t="s">
        <v>148</v>
      </c>
      <c r="L4023" s="2" t="s">
        <v>34</v>
      </c>
      <c r="M4023" s="2"/>
      <c r="N4023" s="2"/>
      <c r="O4023" s="2"/>
      <c r="P4023" s="2" t="s">
        <v>12559</v>
      </c>
      <c r="Q4023" s="2"/>
      <c r="R4023" s="2"/>
      <c r="S4023" s="5">
        <v>-4.3</v>
      </c>
      <c r="T4023" s="7">
        <v>-2.6779999999999999</v>
      </c>
      <c r="U4023" s="5">
        <v>51.6</v>
      </c>
      <c r="V4023" s="6">
        <v>-14.1</v>
      </c>
      <c r="W4023" s="7">
        <v>3.375</v>
      </c>
      <c r="X4023" s="7">
        <v>4.375</v>
      </c>
      <c r="Y4023" s="7">
        <v>4.3129999999999997</v>
      </c>
      <c r="Z4023" s="7">
        <v>4.125</v>
      </c>
      <c r="AA4023" s="6">
        <v>3.09</v>
      </c>
      <c r="AB4023" s="2" t="s">
        <v>86</v>
      </c>
      <c r="AC4023" s="2"/>
    </row>
    <row r="4024" spans="1:29" ht="117" x14ac:dyDescent="0.15">
      <c r="A4024" s="3">
        <f>DATE(1998,7,17)</f>
        <v>35993</v>
      </c>
      <c r="B4024" s="3">
        <f>DATE(1999,3,5)</f>
        <v>36224</v>
      </c>
      <c r="C4024" s="2" t="s">
        <v>95</v>
      </c>
      <c r="D4024" s="2" t="s">
        <v>12560</v>
      </c>
      <c r="E4024" s="2" t="s">
        <v>1181</v>
      </c>
      <c r="F4024" s="4">
        <v>6021</v>
      </c>
      <c r="G4024" s="2" t="s">
        <v>37</v>
      </c>
      <c r="H4024" s="2" t="s">
        <v>34</v>
      </c>
      <c r="I4024" s="2" t="s">
        <v>12561</v>
      </c>
      <c r="J4024" s="2" t="s">
        <v>36</v>
      </c>
      <c r="K4024" s="2" t="s">
        <v>33</v>
      </c>
      <c r="L4024" s="2" t="s">
        <v>34</v>
      </c>
      <c r="M4024" s="7">
        <v>495.44200000000001</v>
      </c>
      <c r="N4024" s="7">
        <v>18.125</v>
      </c>
      <c r="O4024" s="7">
        <v>17.125</v>
      </c>
      <c r="P4024" s="2" t="s">
        <v>12562</v>
      </c>
      <c r="Q4024" s="6">
        <v>100</v>
      </c>
      <c r="R4024" s="6">
        <v>26.55</v>
      </c>
      <c r="S4024" s="2"/>
      <c r="T4024" s="2"/>
      <c r="U4024" s="2"/>
      <c r="V4024" s="2"/>
      <c r="W4024" s="4">
        <v>18</v>
      </c>
      <c r="X4024" s="5">
        <v>19.5</v>
      </c>
      <c r="Y4024" s="5">
        <v>19.5</v>
      </c>
      <c r="Z4024" s="4">
        <v>25</v>
      </c>
      <c r="AA4024" s="6">
        <v>1</v>
      </c>
      <c r="AB4024" s="2" t="s">
        <v>47</v>
      </c>
      <c r="AC4024" s="2"/>
    </row>
    <row r="4025" spans="1:29" ht="104" x14ac:dyDescent="0.15">
      <c r="A4025" s="3">
        <f>DATE(1998,7,17)</f>
        <v>35993</v>
      </c>
      <c r="B4025" s="2"/>
      <c r="C4025" s="2" t="s">
        <v>30</v>
      </c>
      <c r="D4025" s="2" t="s">
        <v>12563</v>
      </c>
      <c r="E4025" s="2" t="s">
        <v>12564</v>
      </c>
      <c r="F4025" s="4">
        <v>7389</v>
      </c>
      <c r="G4025" s="2" t="s">
        <v>223</v>
      </c>
      <c r="H4025" s="2" t="s">
        <v>34</v>
      </c>
      <c r="I4025" s="2" t="s">
        <v>51</v>
      </c>
      <c r="J4025" s="2" t="s">
        <v>52</v>
      </c>
      <c r="K4025" s="2" t="s">
        <v>53</v>
      </c>
      <c r="L4025" s="2" t="s">
        <v>34</v>
      </c>
      <c r="M4025" s="2"/>
      <c r="N4025" s="2"/>
      <c r="O4025" s="2"/>
      <c r="P4025" s="2" t="s">
        <v>12565</v>
      </c>
      <c r="Q4025" s="2"/>
      <c r="R4025" s="6">
        <v>15.5</v>
      </c>
      <c r="S4025" s="5">
        <v>37.4</v>
      </c>
      <c r="T4025" s="7">
        <v>79.730999999999995</v>
      </c>
      <c r="U4025" s="5">
        <v>3.1</v>
      </c>
      <c r="V4025" s="6">
        <v>0.59</v>
      </c>
      <c r="W4025" s="4">
        <v>12</v>
      </c>
      <c r="X4025" s="7">
        <v>12.313000000000001</v>
      </c>
      <c r="Y4025" s="7">
        <v>13.125</v>
      </c>
      <c r="Z4025" s="7">
        <v>13.875</v>
      </c>
      <c r="AA4025" s="6">
        <v>63.33</v>
      </c>
      <c r="AB4025" s="7">
        <v>16.303999999999998</v>
      </c>
      <c r="AC4025" s="2"/>
    </row>
    <row r="4026" spans="1:29" ht="117" x14ac:dyDescent="0.15">
      <c r="A4026" s="3">
        <f t="shared" ref="A4026:A4031" si="71">DATE(1998,7,20)</f>
        <v>35996</v>
      </c>
      <c r="B4026" s="3">
        <f>DATE(1998,12,31)</f>
        <v>36160</v>
      </c>
      <c r="C4026" s="2" t="s">
        <v>95</v>
      </c>
      <c r="D4026" s="2" t="s">
        <v>3427</v>
      </c>
      <c r="E4026" s="2" t="s">
        <v>36</v>
      </c>
      <c r="F4026" s="4">
        <v>6022</v>
      </c>
      <c r="G4026" s="2" t="s">
        <v>37</v>
      </c>
      <c r="H4026" s="2" t="s">
        <v>34</v>
      </c>
      <c r="I4026" s="2" t="s">
        <v>2900</v>
      </c>
      <c r="J4026" s="2" t="s">
        <v>265</v>
      </c>
      <c r="K4026" s="2" t="s">
        <v>37</v>
      </c>
      <c r="L4026" s="2" t="s">
        <v>34</v>
      </c>
      <c r="M4026" s="12">
        <v>16783.007000000001</v>
      </c>
      <c r="N4026" s="4">
        <v>79</v>
      </c>
      <c r="O4026" s="7">
        <v>76.813000000000002</v>
      </c>
      <c r="P4026" s="2" t="s">
        <v>12566</v>
      </c>
      <c r="Q4026" s="6">
        <v>100</v>
      </c>
      <c r="R4026" s="6">
        <v>83.94</v>
      </c>
      <c r="S4026" s="5">
        <v>309.8</v>
      </c>
      <c r="T4026" s="7">
        <v>506.55500000000001</v>
      </c>
      <c r="U4026" s="5">
        <v>18.5</v>
      </c>
      <c r="V4026" s="6">
        <v>2.77</v>
      </c>
      <c r="W4026" s="7">
        <v>59.813000000000002</v>
      </c>
      <c r="X4026" s="4">
        <v>64</v>
      </c>
      <c r="Y4026" s="7">
        <v>73.313000000000002</v>
      </c>
      <c r="Z4026" s="7">
        <v>71.453000000000003</v>
      </c>
      <c r="AA4026" s="6">
        <v>112.11</v>
      </c>
      <c r="AB4026" s="7">
        <v>33.106000000000002</v>
      </c>
      <c r="AC4026" s="2"/>
    </row>
    <row r="4027" spans="1:29" ht="130" x14ac:dyDescent="0.15">
      <c r="A4027" s="3">
        <f t="shared" si="71"/>
        <v>35996</v>
      </c>
      <c r="B4027" s="3">
        <f>DATE(1999,1,21)</f>
        <v>36181</v>
      </c>
      <c r="C4027" s="2" t="s">
        <v>95</v>
      </c>
      <c r="D4027" s="2" t="s">
        <v>12567</v>
      </c>
      <c r="E4027" s="2" t="s">
        <v>389</v>
      </c>
      <c r="F4027" s="4">
        <v>6035</v>
      </c>
      <c r="G4027" s="2" t="s">
        <v>33</v>
      </c>
      <c r="H4027" s="2" t="s">
        <v>34</v>
      </c>
      <c r="I4027" s="2" t="s">
        <v>12568</v>
      </c>
      <c r="J4027" s="2" t="s">
        <v>159</v>
      </c>
      <c r="K4027" s="2" t="s">
        <v>33</v>
      </c>
      <c r="L4027" s="2" t="s">
        <v>34</v>
      </c>
      <c r="M4027" s="7">
        <v>349.875</v>
      </c>
      <c r="N4027" s="5">
        <v>25.5</v>
      </c>
      <c r="O4027" s="5">
        <v>25.5</v>
      </c>
      <c r="P4027" s="2" t="s">
        <v>12569</v>
      </c>
      <c r="Q4027" s="6">
        <v>100</v>
      </c>
      <c r="R4027" s="6">
        <v>39.76</v>
      </c>
      <c r="S4027" s="5">
        <v>3</v>
      </c>
      <c r="T4027" s="7">
        <v>5.3929999999999998</v>
      </c>
      <c r="U4027" s="5">
        <v>17.100000000000001</v>
      </c>
      <c r="V4027" s="6">
        <v>1.77</v>
      </c>
      <c r="W4027" s="4">
        <v>33</v>
      </c>
      <c r="X4027" s="4">
        <v>32</v>
      </c>
      <c r="Y4027" s="7">
        <v>36.625</v>
      </c>
      <c r="Z4027" s="4">
        <v>37</v>
      </c>
      <c r="AA4027" s="6">
        <v>1.71</v>
      </c>
      <c r="AB4027" s="7">
        <v>69.584999999999994</v>
      </c>
      <c r="AC4027" s="2"/>
    </row>
    <row r="4028" spans="1:29" ht="117" x14ac:dyDescent="0.15">
      <c r="A4028" s="3">
        <f t="shared" si="71"/>
        <v>35996</v>
      </c>
      <c r="B4028" s="3">
        <f>DATE(1998,10,6)</f>
        <v>36074</v>
      </c>
      <c r="C4028" s="2" t="s">
        <v>95</v>
      </c>
      <c r="D4028" s="2" t="s">
        <v>5262</v>
      </c>
      <c r="E4028" s="2" t="s">
        <v>5263</v>
      </c>
      <c r="F4028" s="4">
        <v>3625</v>
      </c>
      <c r="G4028" s="2" t="s">
        <v>137</v>
      </c>
      <c r="H4028" s="2" t="s">
        <v>34</v>
      </c>
      <c r="I4028" s="2" t="s">
        <v>11511</v>
      </c>
      <c r="J4028" s="2" t="s">
        <v>11512</v>
      </c>
      <c r="K4028" s="2" t="s">
        <v>300</v>
      </c>
      <c r="L4028" s="2" t="s">
        <v>34</v>
      </c>
      <c r="M4028" s="7">
        <v>815.82299999999998</v>
      </c>
      <c r="N4028" s="7">
        <v>59.188000000000002</v>
      </c>
      <c r="O4028" s="5">
        <v>60.5</v>
      </c>
      <c r="P4028" s="2" t="s">
        <v>12570</v>
      </c>
      <c r="Q4028" s="6">
        <v>100</v>
      </c>
      <c r="R4028" s="6">
        <v>45</v>
      </c>
      <c r="S4028" s="5">
        <v>131</v>
      </c>
      <c r="T4028" s="5">
        <v>274.8</v>
      </c>
      <c r="U4028" s="5">
        <v>13.4</v>
      </c>
      <c r="V4028" s="6">
        <v>2.6</v>
      </c>
      <c r="W4028" s="7">
        <v>36.688000000000002</v>
      </c>
      <c r="X4028" s="7">
        <v>37.625</v>
      </c>
      <c r="Y4028" s="7">
        <v>41.125</v>
      </c>
      <c r="Z4028" s="5">
        <v>41.5</v>
      </c>
      <c r="AA4028" s="6">
        <v>43.63</v>
      </c>
      <c r="AB4028" s="7">
        <v>11.007</v>
      </c>
      <c r="AC4028" s="6">
        <v>12.11</v>
      </c>
    </row>
    <row r="4029" spans="1:29" ht="169" x14ac:dyDescent="0.15">
      <c r="A4029" s="3">
        <f t="shared" si="71"/>
        <v>35996</v>
      </c>
      <c r="B4029" s="3">
        <f>DATE(1998,12,31)</f>
        <v>36160</v>
      </c>
      <c r="C4029" s="2" t="s">
        <v>95</v>
      </c>
      <c r="D4029" s="2" t="s">
        <v>12571</v>
      </c>
      <c r="E4029" s="2" t="s">
        <v>265</v>
      </c>
      <c r="F4029" s="4">
        <v>6022</v>
      </c>
      <c r="G4029" s="2" t="s">
        <v>37</v>
      </c>
      <c r="H4029" s="2" t="s">
        <v>34</v>
      </c>
      <c r="I4029" s="2" t="s">
        <v>12572</v>
      </c>
      <c r="J4029" s="2" t="s">
        <v>265</v>
      </c>
      <c r="K4029" s="2" t="s">
        <v>37</v>
      </c>
      <c r="L4029" s="2" t="s">
        <v>34</v>
      </c>
      <c r="M4029" s="7">
        <v>419.00299999999999</v>
      </c>
      <c r="N4029" s="4">
        <v>33</v>
      </c>
      <c r="O4029" s="9">
        <v>30.0625</v>
      </c>
      <c r="P4029" s="2" t="s">
        <v>12573</v>
      </c>
      <c r="Q4029" s="6">
        <v>100</v>
      </c>
      <c r="R4029" s="6">
        <v>62.4</v>
      </c>
      <c r="S4029" s="5">
        <v>10.1</v>
      </c>
      <c r="T4029" s="6">
        <v>18.260000000000002</v>
      </c>
      <c r="U4029" s="5">
        <v>16.899999999999999</v>
      </c>
      <c r="V4029" s="6">
        <v>2.2799999999999998</v>
      </c>
      <c r="W4029" s="7">
        <v>29.875</v>
      </c>
      <c r="X4029" s="6">
        <v>32.25</v>
      </c>
      <c r="Y4029" s="4">
        <v>33</v>
      </c>
      <c r="Z4029" s="7">
        <v>30.062999999999999</v>
      </c>
      <c r="AA4029" s="6">
        <v>4.3099999999999996</v>
      </c>
      <c r="AB4029" s="7">
        <v>17.286000000000001</v>
      </c>
      <c r="AC4029" s="2"/>
    </row>
    <row r="4030" spans="1:29" ht="117" x14ac:dyDescent="0.15">
      <c r="A4030" s="3">
        <f t="shared" si="71"/>
        <v>35996</v>
      </c>
      <c r="B4030" s="3">
        <f>DATE(1999,1,5)</f>
        <v>36165</v>
      </c>
      <c r="C4030" s="2" t="s">
        <v>95</v>
      </c>
      <c r="D4030" s="2" t="s">
        <v>10352</v>
      </c>
      <c r="E4030" s="2" t="s">
        <v>5900</v>
      </c>
      <c r="F4030" s="4">
        <v>6035</v>
      </c>
      <c r="G4030" s="2" t="s">
        <v>33</v>
      </c>
      <c r="H4030" s="2" t="s">
        <v>34</v>
      </c>
      <c r="I4030" s="2" t="s">
        <v>4433</v>
      </c>
      <c r="J4030" s="2" t="s">
        <v>4434</v>
      </c>
      <c r="K4030" s="2" t="s">
        <v>37</v>
      </c>
      <c r="L4030" s="2" t="s">
        <v>34</v>
      </c>
      <c r="M4030" s="7">
        <v>984.697</v>
      </c>
      <c r="N4030" s="7">
        <v>24.312999999999999</v>
      </c>
      <c r="O4030" s="4">
        <v>24</v>
      </c>
      <c r="P4030" s="2" t="s">
        <v>12574</v>
      </c>
      <c r="Q4030" s="6">
        <v>100</v>
      </c>
      <c r="R4030" s="6">
        <v>57.23</v>
      </c>
      <c r="S4030" s="5">
        <v>11.4</v>
      </c>
      <c r="T4030" s="7">
        <v>28.286999999999999</v>
      </c>
      <c r="U4030" s="5">
        <v>18.100000000000001</v>
      </c>
      <c r="V4030" s="6">
        <v>1.65</v>
      </c>
      <c r="W4030" s="5">
        <v>42.5</v>
      </c>
      <c r="X4030" s="4">
        <v>45</v>
      </c>
      <c r="Y4030" s="7">
        <v>52.625</v>
      </c>
      <c r="Z4030" s="4">
        <v>52</v>
      </c>
      <c r="AA4030" s="6">
        <v>6.97</v>
      </c>
      <c r="AB4030" s="7">
        <v>30.091000000000001</v>
      </c>
      <c r="AC4030" s="2"/>
    </row>
    <row r="4031" spans="1:29" ht="117" x14ac:dyDescent="0.15">
      <c r="A4031" s="3">
        <f t="shared" si="71"/>
        <v>35996</v>
      </c>
      <c r="B4031" s="3">
        <f>DATE(1998,10,1)</f>
        <v>36069</v>
      </c>
      <c r="C4031" s="2" t="s">
        <v>95</v>
      </c>
      <c r="D4031" s="2" t="s">
        <v>12575</v>
      </c>
      <c r="E4031" s="2" t="s">
        <v>12576</v>
      </c>
      <c r="F4031" s="4">
        <v>7371</v>
      </c>
      <c r="G4031" s="2" t="s">
        <v>223</v>
      </c>
      <c r="H4031" s="2" t="s">
        <v>34</v>
      </c>
      <c r="I4031" s="2" t="s">
        <v>4939</v>
      </c>
      <c r="J4031" s="2" t="s">
        <v>4940</v>
      </c>
      <c r="K4031" s="2" t="s">
        <v>223</v>
      </c>
      <c r="L4031" s="2" t="s">
        <v>34</v>
      </c>
      <c r="M4031" s="12">
        <v>7438.357</v>
      </c>
      <c r="N4031" s="4">
        <v>34</v>
      </c>
      <c r="O4031" s="5">
        <v>33.5</v>
      </c>
      <c r="P4031" s="2" t="s">
        <v>12577</v>
      </c>
      <c r="Q4031" s="6">
        <v>100</v>
      </c>
      <c r="R4031" s="6">
        <v>5.35</v>
      </c>
      <c r="S4031" s="5">
        <v>0.7</v>
      </c>
      <c r="T4031" s="7">
        <v>1.9890000000000001</v>
      </c>
      <c r="U4031" s="5">
        <v>0.8</v>
      </c>
      <c r="V4031" s="6">
        <v>-0.03</v>
      </c>
      <c r="W4031" s="7">
        <v>2.875</v>
      </c>
      <c r="X4031" s="7">
        <v>2.125</v>
      </c>
      <c r="Y4031" s="7">
        <v>3.7810000000000001</v>
      </c>
      <c r="Z4031" s="7">
        <v>3.9060000000000001</v>
      </c>
      <c r="AA4031" s="6">
        <v>8.86</v>
      </c>
      <c r="AB4031" s="7">
        <v>52.48</v>
      </c>
      <c r="AC4031" s="6">
        <v>437.46</v>
      </c>
    </row>
    <row r="4032" spans="1:29" ht="78" x14ac:dyDescent="0.15">
      <c r="A4032" s="3">
        <f>DATE(1998,7,21)</f>
        <v>35997</v>
      </c>
      <c r="B4032" s="3">
        <f>DATE(1998,11,5)</f>
        <v>36104</v>
      </c>
      <c r="C4032" s="2" t="s">
        <v>95</v>
      </c>
      <c r="D4032" s="2" t="s">
        <v>7387</v>
      </c>
      <c r="E4032" s="2" t="s">
        <v>7388</v>
      </c>
      <c r="F4032" s="4">
        <v>3842</v>
      </c>
      <c r="G4032" s="2" t="s">
        <v>226</v>
      </c>
      <c r="H4032" s="2" t="s">
        <v>34</v>
      </c>
      <c r="I4032" s="2" t="s">
        <v>5669</v>
      </c>
      <c r="J4032" s="2" t="s">
        <v>5670</v>
      </c>
      <c r="K4032" s="2" t="s">
        <v>130</v>
      </c>
      <c r="L4032" s="2" t="s">
        <v>34</v>
      </c>
      <c r="M4032" s="12">
        <v>102835.473</v>
      </c>
      <c r="N4032" s="6">
        <v>76.25</v>
      </c>
      <c r="O4032" s="7">
        <v>77.625</v>
      </c>
      <c r="P4032" s="2" t="s">
        <v>12578</v>
      </c>
      <c r="Q4032" s="6">
        <v>100</v>
      </c>
      <c r="R4032" s="6">
        <v>35</v>
      </c>
      <c r="S4032" s="5">
        <v>122.8</v>
      </c>
      <c r="T4032" s="7">
        <v>234.22200000000001</v>
      </c>
      <c r="U4032" s="5">
        <v>7.7</v>
      </c>
      <c r="V4032" s="6">
        <v>1.25</v>
      </c>
      <c r="W4032" s="7">
        <v>29.312999999999999</v>
      </c>
      <c r="X4032" s="5">
        <v>31.5</v>
      </c>
      <c r="Y4032" s="7">
        <v>34.563000000000002</v>
      </c>
      <c r="Z4032" s="7">
        <v>34.375</v>
      </c>
      <c r="AA4032" s="6">
        <v>98.81</v>
      </c>
      <c r="AB4032" s="7">
        <v>16.655000000000001</v>
      </c>
      <c r="AC4032" s="8">
        <v>2899</v>
      </c>
    </row>
    <row r="4033" spans="1:29" ht="104" x14ac:dyDescent="0.15">
      <c r="A4033" s="3">
        <f>DATE(1998,7,21)</f>
        <v>35997</v>
      </c>
      <c r="B4033" s="3">
        <f>DATE(1999,3,9)</f>
        <v>36228</v>
      </c>
      <c r="C4033" s="2" t="s">
        <v>95</v>
      </c>
      <c r="D4033" s="2" t="s">
        <v>4277</v>
      </c>
      <c r="E4033" s="2" t="s">
        <v>4278</v>
      </c>
      <c r="F4033" s="4">
        <v>6514</v>
      </c>
      <c r="G4033" s="2" t="s">
        <v>109</v>
      </c>
      <c r="H4033" s="2" t="s">
        <v>34</v>
      </c>
      <c r="I4033" s="2" t="s">
        <v>3631</v>
      </c>
      <c r="J4033" s="2" t="s">
        <v>3632</v>
      </c>
      <c r="K4033" s="2" t="s">
        <v>454</v>
      </c>
      <c r="L4033" s="2" t="s">
        <v>34</v>
      </c>
      <c r="M4033" s="2"/>
      <c r="N4033" s="2"/>
      <c r="O4033" s="2"/>
      <c r="P4033" s="2" t="s">
        <v>12579</v>
      </c>
      <c r="Q4033" s="6">
        <v>7.42</v>
      </c>
      <c r="R4033" s="6">
        <v>5.75</v>
      </c>
      <c r="S4033" s="5">
        <v>1.5</v>
      </c>
      <c r="T4033" s="7">
        <v>8.0329999999999995</v>
      </c>
      <c r="U4033" s="5">
        <v>2.8</v>
      </c>
      <c r="V4033" s="6">
        <v>0.1</v>
      </c>
      <c r="W4033" s="7">
        <v>4.625</v>
      </c>
      <c r="X4033" s="7">
        <v>4.4379999999999997</v>
      </c>
      <c r="Y4033" s="7">
        <v>4.4379999999999997</v>
      </c>
      <c r="Z4033" s="5">
        <v>4.5</v>
      </c>
      <c r="AA4033" s="6">
        <v>15.29</v>
      </c>
      <c r="AB4033" s="7">
        <v>35.075000000000003</v>
      </c>
      <c r="AC4033" s="6">
        <v>43.33</v>
      </c>
    </row>
    <row r="4034" spans="1:29" ht="91" x14ac:dyDescent="0.15">
      <c r="A4034" s="3">
        <f>DATE(1998,7,21)</f>
        <v>35997</v>
      </c>
      <c r="B4034" s="3">
        <f>DATE(1998,9,29)</f>
        <v>36067</v>
      </c>
      <c r="C4034" s="2" t="s">
        <v>95</v>
      </c>
      <c r="D4034" s="2" t="s">
        <v>12580</v>
      </c>
      <c r="E4034" s="2" t="s">
        <v>5549</v>
      </c>
      <c r="F4034" s="4">
        <v>7372</v>
      </c>
      <c r="G4034" s="2" t="s">
        <v>551</v>
      </c>
      <c r="H4034" s="2" t="s">
        <v>34</v>
      </c>
      <c r="I4034" s="2" t="s">
        <v>9577</v>
      </c>
      <c r="J4034" s="2" t="s">
        <v>9578</v>
      </c>
      <c r="K4034" s="2" t="s">
        <v>551</v>
      </c>
      <c r="L4034" s="2" t="s">
        <v>926</v>
      </c>
      <c r="M4034" s="2"/>
      <c r="N4034" s="2"/>
      <c r="O4034" s="2"/>
      <c r="P4034" s="2" t="s">
        <v>12581</v>
      </c>
      <c r="Q4034" s="6">
        <v>100</v>
      </c>
      <c r="R4034" s="6">
        <v>5.6</v>
      </c>
      <c r="S4034" s="5">
        <v>-1.6</v>
      </c>
      <c r="T4034" s="7">
        <v>-0.51600000000000001</v>
      </c>
      <c r="U4034" s="5">
        <v>1.1000000000000001</v>
      </c>
      <c r="V4034" s="7">
        <v>-0.249</v>
      </c>
      <c r="W4034" s="4">
        <v>6</v>
      </c>
      <c r="X4034" s="7">
        <v>4.625</v>
      </c>
      <c r="Y4034" s="7">
        <v>4.8129999999999997</v>
      </c>
      <c r="Z4034" s="7">
        <v>4.875</v>
      </c>
      <c r="AA4034" s="6">
        <v>9.17</v>
      </c>
      <c r="AB4034" s="2" t="s">
        <v>86</v>
      </c>
      <c r="AC4034" s="6">
        <v>127.82</v>
      </c>
    </row>
    <row r="4035" spans="1:29" ht="117" x14ac:dyDescent="0.15">
      <c r="A4035" s="3">
        <f>DATE(1998,7,23)</f>
        <v>35999</v>
      </c>
      <c r="B4035" s="3">
        <f>DATE(1998,10,30)</f>
        <v>36098</v>
      </c>
      <c r="C4035" s="2" t="s">
        <v>95</v>
      </c>
      <c r="D4035" s="2" t="s">
        <v>12582</v>
      </c>
      <c r="E4035" s="2" t="s">
        <v>12583</v>
      </c>
      <c r="F4035" s="4">
        <v>7373</v>
      </c>
      <c r="G4035" s="2" t="s">
        <v>223</v>
      </c>
      <c r="H4035" s="2" t="s">
        <v>34</v>
      </c>
      <c r="I4035" s="2" t="s">
        <v>4939</v>
      </c>
      <c r="J4035" s="2" t="s">
        <v>4940</v>
      </c>
      <c r="K4035" s="2" t="s">
        <v>223</v>
      </c>
      <c r="L4035" s="2" t="s">
        <v>34</v>
      </c>
      <c r="M4035" s="12">
        <v>7102.7979999999998</v>
      </c>
      <c r="N4035" s="6">
        <v>27.25</v>
      </c>
      <c r="O4035" s="7">
        <v>27.875</v>
      </c>
      <c r="P4035" s="2" t="s">
        <v>12584</v>
      </c>
      <c r="Q4035" s="6">
        <v>100</v>
      </c>
      <c r="R4035" s="6">
        <v>25.29</v>
      </c>
      <c r="S4035" s="5">
        <v>-1.9</v>
      </c>
      <c r="T4035" s="7">
        <v>2.581</v>
      </c>
      <c r="U4035" s="5">
        <v>7</v>
      </c>
      <c r="V4035" s="6">
        <v>-0.19</v>
      </c>
      <c r="W4035" s="7">
        <v>15.875</v>
      </c>
      <c r="X4035" s="6">
        <v>16.25</v>
      </c>
      <c r="Y4035" s="7">
        <v>21.437999999999999</v>
      </c>
      <c r="Z4035" s="5">
        <v>22.5</v>
      </c>
      <c r="AA4035" s="6">
        <v>9.7799999999999994</v>
      </c>
      <c r="AB4035" s="2" t="s">
        <v>86</v>
      </c>
      <c r="AC4035" s="6">
        <v>437.46</v>
      </c>
    </row>
    <row r="4036" spans="1:29" ht="91" x14ac:dyDescent="0.15">
      <c r="A4036" s="3">
        <f>DATE(1998,7,23)</f>
        <v>35999</v>
      </c>
      <c r="B4036" s="3">
        <f>DATE(1998,10,8)</f>
        <v>36076</v>
      </c>
      <c r="C4036" s="2" t="s">
        <v>95</v>
      </c>
      <c r="D4036" s="2" t="s">
        <v>12585</v>
      </c>
      <c r="E4036" s="2" t="s">
        <v>12586</v>
      </c>
      <c r="F4036" s="4">
        <v>3663</v>
      </c>
      <c r="G4036" s="2" t="s">
        <v>921</v>
      </c>
      <c r="H4036" s="2" t="s">
        <v>34</v>
      </c>
      <c r="I4036" s="2" t="s">
        <v>12587</v>
      </c>
      <c r="J4036" s="2" t="s">
        <v>12588</v>
      </c>
      <c r="K4036" s="2" t="s">
        <v>921</v>
      </c>
      <c r="L4036" s="2" t="s">
        <v>34</v>
      </c>
      <c r="M4036" s="7">
        <v>338.47300000000001</v>
      </c>
      <c r="N4036" s="7">
        <v>5.8440000000000003</v>
      </c>
      <c r="O4036" s="7">
        <v>5.875</v>
      </c>
      <c r="P4036" s="2" t="s">
        <v>12589</v>
      </c>
      <c r="Q4036" s="6">
        <v>100</v>
      </c>
      <c r="R4036" s="6">
        <v>6.83</v>
      </c>
      <c r="S4036" s="5">
        <v>2.7</v>
      </c>
      <c r="T4036" s="7">
        <v>3.9220000000000002</v>
      </c>
      <c r="U4036" s="5">
        <v>3.6</v>
      </c>
      <c r="V4036" s="7">
        <v>0.23899999999999999</v>
      </c>
      <c r="W4036" s="4">
        <v>5</v>
      </c>
      <c r="X4036" s="7">
        <v>5.875</v>
      </c>
      <c r="Y4036" s="6">
        <v>5.75</v>
      </c>
      <c r="Z4036" s="7">
        <v>5.625</v>
      </c>
      <c r="AA4036" s="6">
        <v>13.84</v>
      </c>
      <c r="AB4036" s="7">
        <v>42.795999999999999</v>
      </c>
      <c r="AC4036" s="2"/>
    </row>
    <row r="4037" spans="1:29" ht="91" x14ac:dyDescent="0.15">
      <c r="A4037" s="3">
        <f>DATE(1998,7,24)</f>
        <v>36000</v>
      </c>
      <c r="B4037" s="3">
        <f>DATE(1998,12,23)</f>
        <v>36152</v>
      </c>
      <c r="C4037" s="2" t="s">
        <v>95</v>
      </c>
      <c r="D4037" s="2" t="s">
        <v>12590</v>
      </c>
      <c r="E4037" s="2" t="s">
        <v>12591</v>
      </c>
      <c r="F4037" s="4">
        <v>3674</v>
      </c>
      <c r="G4037" s="2" t="s">
        <v>137</v>
      </c>
      <c r="H4037" s="2" t="s">
        <v>34</v>
      </c>
      <c r="I4037" s="2" t="s">
        <v>12592</v>
      </c>
      <c r="J4037" s="2" t="s">
        <v>5232</v>
      </c>
      <c r="K4037" s="2" t="s">
        <v>50</v>
      </c>
      <c r="L4037" s="2" t="s">
        <v>210</v>
      </c>
      <c r="M4037" s="2"/>
      <c r="N4037" s="2"/>
      <c r="O4037" s="2"/>
      <c r="P4037" s="2" t="s">
        <v>12593</v>
      </c>
      <c r="Q4037" s="6">
        <v>88.48</v>
      </c>
      <c r="R4037" s="6">
        <v>7.5</v>
      </c>
      <c r="S4037" s="5">
        <v>-13.5</v>
      </c>
      <c r="T4037" s="7">
        <v>-5.5519999999999996</v>
      </c>
      <c r="U4037" s="5">
        <v>5.9</v>
      </c>
      <c r="V4037" s="6">
        <v>-1.4</v>
      </c>
      <c r="W4037" s="5">
        <v>5.5</v>
      </c>
      <c r="X4037" s="7">
        <v>5.125</v>
      </c>
      <c r="Y4037" s="7">
        <v>5.1879999999999997</v>
      </c>
      <c r="Z4037" s="7">
        <v>7.125</v>
      </c>
      <c r="AA4037" s="6">
        <v>9.91</v>
      </c>
      <c r="AB4037" s="2" t="s">
        <v>86</v>
      </c>
      <c r="AC4037" s="6">
        <v>475.95</v>
      </c>
    </row>
    <row r="4038" spans="1:29" ht="78" x14ac:dyDescent="0.15">
      <c r="A4038" s="3">
        <f>DATE(1998,7,24)</f>
        <v>36000</v>
      </c>
      <c r="B4038" s="2"/>
      <c r="C4038" s="2" t="s">
        <v>30</v>
      </c>
      <c r="D4038" s="2" t="s">
        <v>12594</v>
      </c>
      <c r="E4038" s="2" t="s">
        <v>12595</v>
      </c>
      <c r="F4038" s="4">
        <v>6022</v>
      </c>
      <c r="G4038" s="2" t="s">
        <v>37</v>
      </c>
      <c r="H4038" s="2" t="s">
        <v>34</v>
      </c>
      <c r="I4038" s="2" t="s">
        <v>9630</v>
      </c>
      <c r="J4038" s="2" t="s">
        <v>263</v>
      </c>
      <c r="K4038" s="2" t="s">
        <v>37</v>
      </c>
      <c r="L4038" s="2" t="s">
        <v>34</v>
      </c>
      <c r="M4038" s="7">
        <v>641.41099999999994</v>
      </c>
      <c r="N4038" s="7">
        <v>43.125</v>
      </c>
      <c r="O4038" s="7">
        <v>42.063000000000002</v>
      </c>
      <c r="P4038" s="2" t="s">
        <v>12596</v>
      </c>
      <c r="Q4038" s="2"/>
      <c r="R4038" s="2"/>
      <c r="S4038" s="5">
        <v>3.6</v>
      </c>
      <c r="T4038" s="7">
        <v>5.4509999999999996</v>
      </c>
      <c r="U4038" s="5">
        <v>10.7</v>
      </c>
      <c r="V4038" s="6">
        <v>1.52</v>
      </c>
      <c r="W4038" s="4">
        <v>44</v>
      </c>
      <c r="X4038" s="4">
        <v>46</v>
      </c>
      <c r="Y4038" s="4">
        <v>51</v>
      </c>
      <c r="Z4038" s="4">
        <v>43</v>
      </c>
      <c r="AA4038" s="2"/>
      <c r="AB4038" s="2" t="s">
        <v>47</v>
      </c>
      <c r="AC4038" s="2"/>
    </row>
    <row r="4039" spans="1:29" ht="78" x14ac:dyDescent="0.15">
      <c r="A4039" s="3">
        <f>DATE(1998,7,24)</f>
        <v>36000</v>
      </c>
      <c r="B4039" s="3">
        <f>DATE(1999,3,24)</f>
        <v>36243</v>
      </c>
      <c r="C4039" s="2" t="s">
        <v>95</v>
      </c>
      <c r="D4039" s="2" t="s">
        <v>12597</v>
      </c>
      <c r="E4039" s="2" t="s">
        <v>8332</v>
      </c>
      <c r="F4039" s="4">
        <v>4832</v>
      </c>
      <c r="G4039" s="2" t="s">
        <v>45</v>
      </c>
      <c r="H4039" s="2" t="s">
        <v>34</v>
      </c>
      <c r="I4039" s="2" t="s">
        <v>12598</v>
      </c>
      <c r="J4039" s="2" t="s">
        <v>12599</v>
      </c>
      <c r="K4039" s="2" t="s">
        <v>45</v>
      </c>
      <c r="L4039" s="2" t="s">
        <v>34</v>
      </c>
      <c r="M4039" s="2"/>
      <c r="N4039" s="2"/>
      <c r="O4039" s="2"/>
      <c r="P4039" s="2" t="s">
        <v>12600</v>
      </c>
      <c r="Q4039" s="6">
        <v>100</v>
      </c>
      <c r="R4039" s="6">
        <v>13</v>
      </c>
      <c r="S4039" s="5">
        <v>-0.9</v>
      </c>
      <c r="T4039" s="7">
        <v>7.7690000000000001</v>
      </c>
      <c r="U4039" s="5">
        <v>10.6</v>
      </c>
      <c r="V4039" s="9">
        <v>-0.4032</v>
      </c>
      <c r="W4039" s="7">
        <v>11.063000000000001</v>
      </c>
      <c r="X4039" s="6">
        <v>12.25</v>
      </c>
      <c r="Y4039" s="11">
        <v>11.65625</v>
      </c>
      <c r="Z4039" s="7">
        <v>11.875</v>
      </c>
      <c r="AA4039" s="6">
        <v>4.8899999999999997</v>
      </c>
      <c r="AB4039" s="7">
        <v>55.62</v>
      </c>
      <c r="AC4039" s="6">
        <v>70.72</v>
      </c>
    </row>
    <row r="4040" spans="1:29" ht="78" x14ac:dyDescent="0.15">
      <c r="A4040" s="3">
        <f>DATE(1998,7,27)</f>
        <v>36003</v>
      </c>
      <c r="B4040" s="3">
        <f>DATE(1998,11,6)</f>
        <v>36105</v>
      </c>
      <c r="C4040" s="2" t="s">
        <v>95</v>
      </c>
      <c r="D4040" s="2" t="s">
        <v>12601</v>
      </c>
      <c r="E4040" s="2" t="s">
        <v>4909</v>
      </c>
      <c r="F4040" s="4">
        <v>2835</v>
      </c>
      <c r="G4040" s="2" t="s">
        <v>130</v>
      </c>
      <c r="H4040" s="2" t="s">
        <v>34</v>
      </c>
      <c r="I4040" s="2" t="s">
        <v>329</v>
      </c>
      <c r="J4040" s="2" t="s">
        <v>330</v>
      </c>
      <c r="K4040" s="2" t="s">
        <v>130</v>
      </c>
      <c r="L4040" s="2" t="s">
        <v>34</v>
      </c>
      <c r="M4040" s="7">
        <v>178.84899999999999</v>
      </c>
      <c r="N4040" s="9">
        <v>10.8125</v>
      </c>
      <c r="O4040" s="6">
        <v>8.75</v>
      </c>
      <c r="P4040" s="2" t="s">
        <v>12602</v>
      </c>
      <c r="Q4040" s="6">
        <v>100</v>
      </c>
      <c r="R4040" s="6">
        <v>2.25</v>
      </c>
      <c r="S4040" s="5">
        <v>-1.8</v>
      </c>
      <c r="T4040" s="7">
        <v>1.198</v>
      </c>
      <c r="U4040" s="5">
        <v>0.6</v>
      </c>
      <c r="V4040" s="6">
        <v>-0.23</v>
      </c>
      <c r="W4040" s="7">
        <v>2.5630000000000002</v>
      </c>
      <c r="X4040" s="7">
        <v>2.625</v>
      </c>
      <c r="Y4040" s="7">
        <v>2.875</v>
      </c>
      <c r="Z4040" s="7">
        <v>2.875</v>
      </c>
      <c r="AA4040" s="6">
        <v>7.95</v>
      </c>
      <c r="AB4040" s="7">
        <v>2130.2649999999999</v>
      </c>
      <c r="AC4040" s="6">
        <v>21.74</v>
      </c>
    </row>
    <row r="4041" spans="1:29" ht="39" x14ac:dyDescent="0.15">
      <c r="A4041" s="3">
        <f>DATE(1998,7,27)</f>
        <v>36003</v>
      </c>
      <c r="B4041" s="2"/>
      <c r="C4041" s="2" t="s">
        <v>30</v>
      </c>
      <c r="D4041" s="2" t="s">
        <v>12603</v>
      </c>
      <c r="E4041" s="2" t="s">
        <v>12604</v>
      </c>
      <c r="F4041" s="4">
        <v>2082</v>
      </c>
      <c r="G4041" s="2" t="s">
        <v>577</v>
      </c>
      <c r="H4041" s="2" t="s">
        <v>34</v>
      </c>
      <c r="I4041" s="2" t="s">
        <v>12605</v>
      </c>
      <c r="J4041" s="2" t="s">
        <v>12184</v>
      </c>
      <c r="K4041" s="2" t="s">
        <v>577</v>
      </c>
      <c r="L4041" s="2" t="s">
        <v>34</v>
      </c>
      <c r="M4041" s="2"/>
      <c r="N4041" s="2"/>
      <c r="O4041" s="2"/>
      <c r="P4041" s="2" t="s">
        <v>12606</v>
      </c>
      <c r="Q4041" s="2"/>
      <c r="R4041" s="2"/>
      <c r="S4041" s="2"/>
      <c r="T4041" s="2"/>
      <c r="U4041" s="2"/>
      <c r="V4041" s="2"/>
      <c r="W4041" s="11">
        <v>1.03125</v>
      </c>
      <c r="X4041" s="9">
        <v>1.0625</v>
      </c>
      <c r="Y4041" s="9">
        <v>1.3125</v>
      </c>
      <c r="Z4041" s="9">
        <v>1.3125</v>
      </c>
      <c r="AA4041" s="2"/>
      <c r="AB4041" s="2" t="s">
        <v>47</v>
      </c>
      <c r="AC4041" s="2"/>
    </row>
    <row r="4042" spans="1:29" ht="39" x14ac:dyDescent="0.15">
      <c r="A4042" s="3">
        <f>DATE(1998,7,27)</f>
        <v>36003</v>
      </c>
      <c r="B4042" s="3">
        <f>DATE(1998,11,30)</f>
        <v>36129</v>
      </c>
      <c r="C4042" s="2" t="s">
        <v>95</v>
      </c>
      <c r="D4042" s="2" t="s">
        <v>12607</v>
      </c>
      <c r="E4042" s="2" t="s">
        <v>12608</v>
      </c>
      <c r="F4042" s="4">
        <v>6311</v>
      </c>
      <c r="G4042" s="2" t="s">
        <v>125</v>
      </c>
      <c r="H4042" s="2" t="s">
        <v>34</v>
      </c>
      <c r="I4042" s="2" t="s">
        <v>12609</v>
      </c>
      <c r="J4042" s="2" t="s">
        <v>12610</v>
      </c>
      <c r="K4042" s="2" t="s">
        <v>125</v>
      </c>
      <c r="L4042" s="2" t="s">
        <v>215</v>
      </c>
      <c r="M4042" s="2"/>
      <c r="N4042" s="2"/>
      <c r="O4042" s="2"/>
      <c r="P4042" s="2" t="s">
        <v>12611</v>
      </c>
      <c r="Q4042" s="6">
        <v>100</v>
      </c>
      <c r="R4042" s="6">
        <v>95</v>
      </c>
      <c r="S4042" s="5">
        <v>49.5</v>
      </c>
      <c r="T4042" s="2"/>
      <c r="U4042" s="5">
        <v>22.9</v>
      </c>
      <c r="V4042" s="6">
        <v>3.48</v>
      </c>
      <c r="W4042" s="6">
        <v>84.75</v>
      </c>
      <c r="X4042" s="4">
        <v>89</v>
      </c>
      <c r="Y4042" s="7">
        <v>91.313000000000002</v>
      </c>
      <c r="Z4042" s="7">
        <v>91.375</v>
      </c>
      <c r="AA4042" s="6">
        <v>17.28</v>
      </c>
      <c r="AB4042" s="7">
        <v>18.571000000000002</v>
      </c>
      <c r="AC4042" s="6">
        <v>440.01</v>
      </c>
    </row>
    <row r="4043" spans="1:29" ht="39" x14ac:dyDescent="0.15">
      <c r="A4043" s="3">
        <f>DATE(1998,7,27)</f>
        <v>36003</v>
      </c>
      <c r="B4043" s="3">
        <f>DATE(1998,11,4)</f>
        <v>36103</v>
      </c>
      <c r="C4043" s="2" t="s">
        <v>95</v>
      </c>
      <c r="D4043" s="2" t="s">
        <v>12612</v>
      </c>
      <c r="E4043" s="2" t="s">
        <v>12613</v>
      </c>
      <c r="F4043" s="4">
        <v>3661</v>
      </c>
      <c r="G4043" s="2" t="s">
        <v>921</v>
      </c>
      <c r="H4043" s="2" t="s">
        <v>34</v>
      </c>
      <c r="I4043" s="2" t="s">
        <v>7444</v>
      </c>
      <c r="J4043" s="2" t="s">
        <v>7445</v>
      </c>
      <c r="K4043" s="2" t="s">
        <v>50</v>
      </c>
      <c r="L4043" s="2" t="s">
        <v>34</v>
      </c>
      <c r="M4043" s="12">
        <v>95168.659</v>
      </c>
      <c r="N4043" s="5">
        <v>97.5</v>
      </c>
      <c r="O4043" s="4">
        <v>96</v>
      </c>
      <c r="P4043" s="2" t="s">
        <v>12614</v>
      </c>
      <c r="Q4043" s="6">
        <v>100</v>
      </c>
      <c r="R4043" s="2"/>
      <c r="S4043" s="5">
        <v>-2.7</v>
      </c>
      <c r="T4043" s="7">
        <v>-2.6360000000000001</v>
      </c>
      <c r="U4043" s="5">
        <v>7.6</v>
      </c>
      <c r="V4043" s="6">
        <v>-0.48</v>
      </c>
      <c r="W4043" s="7">
        <v>12.188000000000001</v>
      </c>
      <c r="X4043" s="5">
        <v>12.5</v>
      </c>
      <c r="Y4043" s="7">
        <v>13.375</v>
      </c>
      <c r="Z4043" s="7">
        <v>16.375</v>
      </c>
      <c r="AA4043" s="6">
        <v>6.6</v>
      </c>
      <c r="AB4043" s="2" t="s">
        <v>86</v>
      </c>
      <c r="AC4043" s="10">
        <v>1691.5</v>
      </c>
    </row>
    <row r="4044" spans="1:29" ht="26" x14ac:dyDescent="0.15">
      <c r="A4044" s="3">
        <f>DATE(1998,7,28)</f>
        <v>36004</v>
      </c>
      <c r="B4044" s="2"/>
      <c r="C4044" s="2" t="s">
        <v>30</v>
      </c>
      <c r="D4044" s="2" t="s">
        <v>12615</v>
      </c>
      <c r="E4044" s="2" t="s">
        <v>12616</v>
      </c>
      <c r="F4044" s="4">
        <v>3674</v>
      </c>
      <c r="G4044" s="2" t="s">
        <v>137</v>
      </c>
      <c r="H4044" s="2" t="s">
        <v>34</v>
      </c>
      <c r="I4044" s="2" t="s">
        <v>12617</v>
      </c>
      <c r="J4044" s="2" t="s">
        <v>12618</v>
      </c>
      <c r="K4044" s="2" t="s">
        <v>223</v>
      </c>
      <c r="L4044" s="2" t="s">
        <v>34</v>
      </c>
      <c r="M4044" s="2"/>
      <c r="N4044" s="2"/>
      <c r="O4044" s="2"/>
      <c r="P4044" s="2" t="s">
        <v>12619</v>
      </c>
      <c r="Q4044" s="2"/>
      <c r="R4044" s="2"/>
      <c r="S4044" s="2"/>
      <c r="T4044" s="2"/>
      <c r="U4044" s="2"/>
      <c r="V4044" s="2"/>
      <c r="W4044" s="6">
        <v>2.25</v>
      </c>
      <c r="X4044" s="7">
        <v>2.3130000000000002</v>
      </c>
      <c r="Y4044" s="7">
        <v>2.8130000000000002</v>
      </c>
      <c r="Z4044" s="4">
        <v>3</v>
      </c>
      <c r="AA4044" s="2"/>
      <c r="AB4044" s="2" t="s">
        <v>47</v>
      </c>
      <c r="AC4044" s="6">
        <v>28.27</v>
      </c>
    </row>
    <row r="4045" spans="1:29" ht="91" x14ac:dyDescent="0.15">
      <c r="A4045" s="3">
        <f>DATE(1998,7,28)</f>
        <v>36004</v>
      </c>
      <c r="B4045" s="3">
        <f>DATE(1999,6,18)</f>
        <v>36329</v>
      </c>
      <c r="C4045" s="2" t="s">
        <v>95</v>
      </c>
      <c r="D4045" s="2" t="s">
        <v>12620</v>
      </c>
      <c r="E4045" s="2" t="s">
        <v>12621</v>
      </c>
      <c r="F4045" s="4">
        <v>6324</v>
      </c>
      <c r="G4045" s="2" t="s">
        <v>125</v>
      </c>
      <c r="H4045" s="2" t="s">
        <v>34</v>
      </c>
      <c r="I4045" s="2" t="s">
        <v>51</v>
      </c>
      <c r="J4045" s="2" t="s">
        <v>52</v>
      </c>
      <c r="K4045" s="2" t="s">
        <v>53</v>
      </c>
      <c r="L4045" s="2" t="s">
        <v>34</v>
      </c>
      <c r="M4045" s="2"/>
      <c r="N4045" s="2"/>
      <c r="O4045" s="2"/>
      <c r="P4045" s="2" t="s">
        <v>12622</v>
      </c>
      <c r="Q4045" s="6">
        <v>100</v>
      </c>
      <c r="R4045" s="6">
        <v>15</v>
      </c>
      <c r="S4045" s="5">
        <v>10.1</v>
      </c>
      <c r="T4045" s="7">
        <v>26.713000000000001</v>
      </c>
      <c r="U4045" s="5">
        <v>7</v>
      </c>
      <c r="V4045" s="6">
        <v>0.99</v>
      </c>
      <c r="W4045" s="6">
        <v>13.75</v>
      </c>
      <c r="X4045" s="5">
        <v>13.5</v>
      </c>
      <c r="Y4045" s="6">
        <v>16.75</v>
      </c>
      <c r="Z4045" s="7">
        <v>16.875</v>
      </c>
      <c r="AA4045" s="6">
        <v>10.11</v>
      </c>
      <c r="AB4045" s="7">
        <v>9.2710000000000008</v>
      </c>
      <c r="AC4045" s="2"/>
    </row>
    <row r="4046" spans="1:29" ht="78" x14ac:dyDescent="0.15">
      <c r="A4046" s="3">
        <f>DATE(1998,7,28)</f>
        <v>36004</v>
      </c>
      <c r="B4046" s="3">
        <f>DATE(1998,9,10)</f>
        <v>36048</v>
      </c>
      <c r="C4046" s="2" t="s">
        <v>95</v>
      </c>
      <c r="D4046" s="2" t="s">
        <v>12623</v>
      </c>
      <c r="E4046" s="2" t="s">
        <v>12624</v>
      </c>
      <c r="F4046" s="4">
        <v>7372</v>
      </c>
      <c r="G4046" s="2" t="s">
        <v>551</v>
      </c>
      <c r="H4046" s="2" t="s">
        <v>34</v>
      </c>
      <c r="I4046" s="2" t="s">
        <v>11565</v>
      </c>
      <c r="J4046" s="2" t="s">
        <v>11566</v>
      </c>
      <c r="K4046" s="2" t="s">
        <v>551</v>
      </c>
      <c r="L4046" s="2" t="s">
        <v>34</v>
      </c>
      <c r="M4046" s="12">
        <v>5492.8419999999996</v>
      </c>
      <c r="N4046" s="7">
        <v>48.875</v>
      </c>
      <c r="O4046" s="7">
        <v>46.688000000000002</v>
      </c>
      <c r="P4046" s="2" t="s">
        <v>12625</v>
      </c>
      <c r="Q4046" s="6">
        <v>100</v>
      </c>
      <c r="R4046" s="6">
        <v>9.5</v>
      </c>
      <c r="S4046" s="5">
        <v>-11.7</v>
      </c>
      <c r="T4046" s="7">
        <v>1.823</v>
      </c>
      <c r="U4046" s="5">
        <v>2.9</v>
      </c>
      <c r="V4046" s="6">
        <v>-0.97</v>
      </c>
      <c r="W4046" s="7">
        <v>6.875</v>
      </c>
      <c r="X4046" s="7">
        <v>7.5629999999999997</v>
      </c>
      <c r="Y4046" s="7">
        <v>9.2189999999999994</v>
      </c>
      <c r="Z4046" s="7">
        <v>9.1880000000000006</v>
      </c>
      <c r="AA4046" s="6">
        <v>12.77</v>
      </c>
      <c r="AB4046" s="7">
        <v>101.20099999999999</v>
      </c>
      <c r="AC4046" s="6">
        <v>247.38</v>
      </c>
    </row>
    <row r="4047" spans="1:29" ht="234" x14ac:dyDescent="0.15">
      <c r="A4047" s="3">
        <f>DATE(1998,7,28)</f>
        <v>36004</v>
      </c>
      <c r="B4047" s="3">
        <f>DATE(2000,6,30)</f>
        <v>36707</v>
      </c>
      <c r="C4047" s="2" t="s">
        <v>95</v>
      </c>
      <c r="D4047" s="2" t="s">
        <v>972</v>
      </c>
      <c r="E4047" s="2" t="s">
        <v>973</v>
      </c>
      <c r="F4047" s="4">
        <v>4813</v>
      </c>
      <c r="G4047" s="2" t="s">
        <v>63</v>
      </c>
      <c r="H4047" s="2" t="s">
        <v>34</v>
      </c>
      <c r="I4047" s="2" t="s">
        <v>2331</v>
      </c>
      <c r="J4047" s="2" t="s">
        <v>1604</v>
      </c>
      <c r="K4047" s="2" t="s">
        <v>63</v>
      </c>
      <c r="L4047" s="2" t="s">
        <v>34</v>
      </c>
      <c r="M4047" s="12">
        <v>70827.383000000002</v>
      </c>
      <c r="N4047" s="7">
        <v>44.313000000000002</v>
      </c>
      <c r="O4047" s="7">
        <v>45.813000000000002</v>
      </c>
      <c r="P4047" s="2" t="s">
        <v>12626</v>
      </c>
      <c r="Q4047" s="6">
        <v>100</v>
      </c>
      <c r="R4047" s="6">
        <v>54.9</v>
      </c>
      <c r="S4047" s="8">
        <v>2273</v>
      </c>
      <c r="T4047" s="8">
        <v>8748</v>
      </c>
      <c r="U4047" s="5">
        <v>8.1</v>
      </c>
      <c r="V4047" s="7">
        <v>2.3690000000000002</v>
      </c>
      <c r="W4047" s="7">
        <v>56.438000000000002</v>
      </c>
      <c r="X4047" s="7">
        <v>56.438000000000002</v>
      </c>
      <c r="Y4047" s="9">
        <v>57.9375</v>
      </c>
      <c r="Z4047" s="6">
        <v>55.75</v>
      </c>
      <c r="AA4047" s="6">
        <v>962.58</v>
      </c>
      <c r="AB4047" s="7">
        <v>14.614000000000001</v>
      </c>
      <c r="AC4047" s="8">
        <v>1043.4000000000001</v>
      </c>
    </row>
    <row r="4048" spans="1:29" ht="104" x14ac:dyDescent="0.15">
      <c r="A4048" s="3">
        <f>DATE(1998,7,29)</f>
        <v>36005</v>
      </c>
      <c r="B4048" s="3">
        <f>DATE(1998,10,2)</f>
        <v>36070</v>
      </c>
      <c r="C4048" s="2" t="s">
        <v>95</v>
      </c>
      <c r="D4048" s="2" t="s">
        <v>12627</v>
      </c>
      <c r="E4048" s="2" t="s">
        <v>4647</v>
      </c>
      <c r="F4048" s="4">
        <v>3845</v>
      </c>
      <c r="G4048" s="2" t="s">
        <v>226</v>
      </c>
      <c r="H4048" s="2" t="s">
        <v>34</v>
      </c>
      <c r="I4048" s="2" t="s">
        <v>12628</v>
      </c>
      <c r="J4048" s="2" t="s">
        <v>12629</v>
      </c>
      <c r="K4048" s="2" t="s">
        <v>137</v>
      </c>
      <c r="L4048" s="2" t="s">
        <v>2105</v>
      </c>
      <c r="M4048" s="2"/>
      <c r="N4048" s="2"/>
      <c r="O4048" s="2"/>
      <c r="P4048" s="2" t="s">
        <v>12630</v>
      </c>
      <c r="Q4048" s="6">
        <v>100</v>
      </c>
      <c r="R4048" s="6">
        <v>50.5</v>
      </c>
      <c r="S4048" s="5">
        <v>21.2</v>
      </c>
      <c r="T4048" s="7">
        <v>41.569000000000003</v>
      </c>
      <c r="U4048" s="5">
        <v>15.9</v>
      </c>
      <c r="V4048" s="6">
        <v>1.41</v>
      </c>
      <c r="W4048" s="4">
        <v>45</v>
      </c>
      <c r="X4048" s="6">
        <v>42.06</v>
      </c>
      <c r="Y4048" s="4">
        <v>50</v>
      </c>
      <c r="Z4048" s="7">
        <v>50.063000000000002</v>
      </c>
      <c r="AA4048" s="6">
        <v>14.6</v>
      </c>
      <c r="AB4048" s="7">
        <v>30.029</v>
      </c>
      <c r="AC4048" s="10">
        <v>1861.98</v>
      </c>
    </row>
    <row r="4049" spans="1:29" ht="52" x14ac:dyDescent="0.15">
      <c r="A4049" s="3">
        <f>DATE(1998,7,30)</f>
        <v>36006</v>
      </c>
      <c r="B4049" s="3">
        <f>DATE(1998,10,15)</f>
        <v>36083</v>
      </c>
      <c r="C4049" s="2" t="s">
        <v>95</v>
      </c>
      <c r="D4049" s="2" t="s">
        <v>12631</v>
      </c>
      <c r="E4049" s="2" t="s">
        <v>12632</v>
      </c>
      <c r="F4049" s="4">
        <v>2819</v>
      </c>
      <c r="G4049" s="2" t="s">
        <v>98</v>
      </c>
      <c r="H4049" s="2" t="s">
        <v>34</v>
      </c>
      <c r="I4049" s="2" t="s">
        <v>7616</v>
      </c>
      <c r="J4049" s="2" t="s">
        <v>7617</v>
      </c>
      <c r="K4049" s="2" t="s">
        <v>98</v>
      </c>
      <c r="L4049" s="2" t="s">
        <v>34</v>
      </c>
      <c r="M4049" s="12">
        <v>3843.5990000000002</v>
      </c>
      <c r="N4049" s="5">
        <v>35.5</v>
      </c>
      <c r="O4049" s="7">
        <v>34.688000000000002</v>
      </c>
      <c r="P4049" s="2" t="s">
        <v>12633</v>
      </c>
      <c r="Q4049" s="6">
        <v>100</v>
      </c>
      <c r="R4049" s="6">
        <v>72</v>
      </c>
      <c r="S4049" s="5">
        <v>92.2</v>
      </c>
      <c r="T4049" s="5">
        <v>289</v>
      </c>
      <c r="U4049" s="5">
        <v>15.1</v>
      </c>
      <c r="V4049" s="6">
        <v>2.8</v>
      </c>
      <c r="W4049" s="4">
        <v>37</v>
      </c>
      <c r="X4049" s="7">
        <v>35.875</v>
      </c>
      <c r="Y4049" s="7">
        <v>67.688000000000002</v>
      </c>
      <c r="Z4049" s="7">
        <v>67.063000000000002</v>
      </c>
      <c r="AA4049" s="6">
        <v>29.65</v>
      </c>
      <c r="AB4049" s="7">
        <v>14.85</v>
      </c>
      <c r="AC4049" s="5">
        <v>17</v>
      </c>
    </row>
    <row r="4050" spans="1:29" ht="26" x14ac:dyDescent="0.15">
      <c r="A4050" s="3">
        <f>DATE(1998,7,30)</f>
        <v>36006</v>
      </c>
      <c r="B4050" s="2"/>
      <c r="C4050" s="2" t="s">
        <v>189</v>
      </c>
      <c r="D4050" s="2" t="s">
        <v>12634</v>
      </c>
      <c r="E4050" s="2" t="s">
        <v>11215</v>
      </c>
      <c r="F4050" s="4">
        <v>6162</v>
      </c>
      <c r="G4050" s="2" t="s">
        <v>109</v>
      </c>
      <c r="H4050" s="2" t="s">
        <v>34</v>
      </c>
      <c r="I4050" s="2" t="s">
        <v>143</v>
      </c>
      <c r="J4050" s="2" t="s">
        <v>144</v>
      </c>
      <c r="K4050" s="2" t="s">
        <v>53</v>
      </c>
      <c r="L4050" s="2" t="s">
        <v>139</v>
      </c>
      <c r="M4050" s="2"/>
      <c r="N4050" s="2"/>
      <c r="O4050" s="2"/>
      <c r="P4050" s="2" t="s">
        <v>12635</v>
      </c>
      <c r="Q4050" s="2"/>
      <c r="R4050" s="2"/>
      <c r="S4050" s="5">
        <v>84.2</v>
      </c>
      <c r="T4050" s="7">
        <v>91.963999999999999</v>
      </c>
      <c r="U4050" s="5">
        <v>6.9</v>
      </c>
      <c r="V4050" s="6">
        <v>1.39</v>
      </c>
      <c r="W4050" s="7">
        <v>26.687999999999999</v>
      </c>
      <c r="X4050" s="7">
        <v>23.625</v>
      </c>
      <c r="Y4050" s="7">
        <v>21.875</v>
      </c>
      <c r="Z4050" s="6">
        <v>20.25</v>
      </c>
      <c r="AA4050" s="6">
        <v>60.71</v>
      </c>
      <c r="AB4050" s="2" t="s">
        <v>47</v>
      </c>
      <c r="AC4050" s="2"/>
    </row>
    <row r="4051" spans="1:29" ht="52" x14ac:dyDescent="0.15">
      <c r="A4051" s="3">
        <f>DATE(1998,7,31)</f>
        <v>36007</v>
      </c>
      <c r="B4051" s="3">
        <f>DATE(1998,8,25)</f>
        <v>36032</v>
      </c>
      <c r="C4051" s="2" t="s">
        <v>95</v>
      </c>
      <c r="D4051" s="2" t="s">
        <v>12636</v>
      </c>
      <c r="E4051" s="2" t="s">
        <v>3900</v>
      </c>
      <c r="F4051" s="4">
        <v>5812</v>
      </c>
      <c r="G4051" s="2" t="s">
        <v>230</v>
      </c>
      <c r="H4051" s="2" t="s">
        <v>34</v>
      </c>
      <c r="I4051" s="2" t="s">
        <v>12637</v>
      </c>
      <c r="J4051" s="2" t="s">
        <v>229</v>
      </c>
      <c r="K4051" s="2" t="s">
        <v>230</v>
      </c>
      <c r="L4051" s="2" t="s">
        <v>34</v>
      </c>
      <c r="M4051" s="2"/>
      <c r="N4051" s="2"/>
      <c r="O4051" s="2"/>
      <c r="P4051" s="2" t="s">
        <v>12638</v>
      </c>
      <c r="Q4051" s="6">
        <v>53.8</v>
      </c>
      <c r="R4051" s="2"/>
      <c r="S4051" s="5">
        <v>0.5</v>
      </c>
      <c r="T4051" s="7">
        <v>1.736</v>
      </c>
      <c r="U4051" s="5">
        <v>2.2000000000000002</v>
      </c>
      <c r="V4051" s="9">
        <v>0.31330000000000002</v>
      </c>
      <c r="W4051" s="4">
        <v>5</v>
      </c>
      <c r="X4051" s="4">
        <v>5</v>
      </c>
      <c r="Y4051" s="7">
        <v>4.875</v>
      </c>
      <c r="Z4051" s="6">
        <v>5.25</v>
      </c>
      <c r="AA4051" s="6">
        <v>1.31</v>
      </c>
      <c r="AB4051" s="2" t="s">
        <v>47</v>
      </c>
      <c r="AC4051" s="2"/>
    </row>
    <row r="4052" spans="1:29" ht="117" x14ac:dyDescent="0.15">
      <c r="A4052" s="3">
        <f>DATE(1998,7,31)</f>
        <v>36007</v>
      </c>
      <c r="B4052" s="3">
        <f>DATE(1998,12,31)</f>
        <v>36160</v>
      </c>
      <c r="C4052" s="2" t="s">
        <v>95</v>
      </c>
      <c r="D4052" s="2" t="s">
        <v>2540</v>
      </c>
      <c r="E4052" s="2" t="s">
        <v>36</v>
      </c>
      <c r="F4052" s="4">
        <v>6021</v>
      </c>
      <c r="G4052" s="2" t="s">
        <v>37</v>
      </c>
      <c r="H4052" s="2" t="s">
        <v>34</v>
      </c>
      <c r="I4052" s="2" t="s">
        <v>12639</v>
      </c>
      <c r="J4052" s="2" t="s">
        <v>36</v>
      </c>
      <c r="K4052" s="2" t="s">
        <v>37</v>
      </c>
      <c r="L4052" s="2" t="s">
        <v>34</v>
      </c>
      <c r="M4052" s="7">
        <v>544.54499999999996</v>
      </c>
      <c r="N4052" s="7">
        <v>34.938000000000002</v>
      </c>
      <c r="O4052" s="7">
        <v>34.563000000000002</v>
      </c>
      <c r="P4052" s="2" t="s">
        <v>12640</v>
      </c>
      <c r="Q4052" s="6">
        <v>100</v>
      </c>
      <c r="R4052" s="6">
        <v>34.43</v>
      </c>
      <c r="S4052" s="5">
        <v>11.3</v>
      </c>
      <c r="T4052" s="7">
        <v>18.585999999999999</v>
      </c>
      <c r="U4052" s="5">
        <v>9.9</v>
      </c>
      <c r="V4052" s="6">
        <v>1.24</v>
      </c>
      <c r="W4052" s="7">
        <v>26.812999999999999</v>
      </c>
      <c r="X4052" s="6">
        <v>27.75</v>
      </c>
      <c r="Y4052" s="6">
        <v>30.25</v>
      </c>
      <c r="Z4052" s="6">
        <v>29.75</v>
      </c>
      <c r="AA4052" s="6">
        <v>8.77</v>
      </c>
      <c r="AB4052" s="7">
        <v>22.084</v>
      </c>
      <c r="AC4052" s="2"/>
    </row>
    <row r="4053" spans="1:29" ht="78" x14ac:dyDescent="0.15">
      <c r="A4053" s="3">
        <f>DATE(1998,8,2)</f>
        <v>36009</v>
      </c>
      <c r="B4053" s="2"/>
      <c r="C4053" s="2" t="s">
        <v>30</v>
      </c>
      <c r="D4053" s="2" t="s">
        <v>12641</v>
      </c>
      <c r="E4053" s="2" t="s">
        <v>36</v>
      </c>
      <c r="F4053" s="4">
        <v>6035</v>
      </c>
      <c r="G4053" s="2" t="s">
        <v>33</v>
      </c>
      <c r="H4053" s="2" t="s">
        <v>34</v>
      </c>
      <c r="I4053" s="2" t="s">
        <v>12642</v>
      </c>
      <c r="J4053" s="2" t="s">
        <v>1181</v>
      </c>
      <c r="K4053" s="2" t="s">
        <v>37</v>
      </c>
      <c r="L4053" s="2" t="s">
        <v>34</v>
      </c>
      <c r="M4053" s="2"/>
      <c r="N4053" s="2"/>
      <c r="O4053" s="2"/>
      <c r="P4053" s="2" t="s">
        <v>12643</v>
      </c>
      <c r="Q4053" s="2"/>
      <c r="R4053" s="6">
        <v>35</v>
      </c>
      <c r="S4053" s="5">
        <v>1.1000000000000001</v>
      </c>
      <c r="T4053" s="6">
        <v>1.95</v>
      </c>
      <c r="U4053" s="5">
        <v>17.7</v>
      </c>
      <c r="V4053" s="6">
        <v>0.93</v>
      </c>
      <c r="W4053" s="6">
        <v>20.75</v>
      </c>
      <c r="X4053" s="4">
        <v>20</v>
      </c>
      <c r="Y4053" s="6">
        <v>27.25</v>
      </c>
      <c r="Z4053" s="6">
        <v>27.25</v>
      </c>
      <c r="AA4053" s="6">
        <v>1.21</v>
      </c>
      <c r="AB4053" s="7">
        <v>25.559000000000001</v>
      </c>
      <c r="AC4053" s="2"/>
    </row>
    <row r="4054" spans="1:29" ht="117" x14ac:dyDescent="0.15">
      <c r="A4054" s="3">
        <f t="shared" ref="A4054:A4061" si="72">DATE(1998,8,3)</f>
        <v>36010</v>
      </c>
      <c r="B4054" s="2"/>
      <c r="C4054" s="2" t="s">
        <v>30</v>
      </c>
      <c r="D4054" s="2" t="s">
        <v>12644</v>
      </c>
      <c r="E4054" s="2" t="s">
        <v>1361</v>
      </c>
      <c r="F4054" s="4">
        <v>7373</v>
      </c>
      <c r="G4054" s="2" t="s">
        <v>223</v>
      </c>
      <c r="H4054" s="2" t="s">
        <v>34</v>
      </c>
      <c r="I4054" s="2" t="s">
        <v>12645</v>
      </c>
      <c r="J4054" s="2" t="s">
        <v>12646</v>
      </c>
      <c r="K4054" s="2" t="s">
        <v>223</v>
      </c>
      <c r="L4054" s="2" t="s">
        <v>215</v>
      </c>
      <c r="M4054" s="2"/>
      <c r="N4054" s="2"/>
      <c r="O4054" s="2"/>
      <c r="P4054" s="2" t="s">
        <v>12647</v>
      </c>
      <c r="Q4054" s="2"/>
      <c r="R4054" s="6">
        <v>11.75</v>
      </c>
      <c r="S4054" s="5">
        <v>2.7</v>
      </c>
      <c r="T4054" s="7">
        <v>5.2190000000000003</v>
      </c>
      <c r="U4054" s="5">
        <v>1.9</v>
      </c>
      <c r="V4054" s="6">
        <v>0.43</v>
      </c>
      <c r="W4054" s="11">
        <v>5.71875</v>
      </c>
      <c r="X4054" s="7">
        <v>6.375</v>
      </c>
      <c r="Y4054" s="5">
        <v>4.5</v>
      </c>
      <c r="Z4054" s="9">
        <v>4.4375</v>
      </c>
      <c r="AA4054" s="6">
        <v>5.82</v>
      </c>
      <c r="AB4054" s="7">
        <v>19.651</v>
      </c>
      <c r="AC4054" s="5">
        <v>8.1999999999999993</v>
      </c>
    </row>
    <row r="4055" spans="1:29" ht="143" x14ac:dyDescent="0.15">
      <c r="A4055" s="3">
        <f t="shared" si="72"/>
        <v>36010</v>
      </c>
      <c r="B4055" s="3">
        <f>DATE(1999,6,24)</f>
        <v>36335</v>
      </c>
      <c r="C4055" s="2" t="s">
        <v>95</v>
      </c>
      <c r="D4055" s="2" t="s">
        <v>12648</v>
      </c>
      <c r="E4055" s="2" t="s">
        <v>11344</v>
      </c>
      <c r="F4055" s="4">
        <v>5411</v>
      </c>
      <c r="G4055" s="2" t="s">
        <v>1461</v>
      </c>
      <c r="H4055" s="2" t="s">
        <v>34</v>
      </c>
      <c r="I4055" s="2" t="s">
        <v>11345</v>
      </c>
      <c r="J4055" s="2" t="s">
        <v>7684</v>
      </c>
      <c r="K4055" s="2" t="s">
        <v>1461</v>
      </c>
      <c r="L4055" s="2" t="s">
        <v>34</v>
      </c>
      <c r="M4055" s="12">
        <v>12644.591</v>
      </c>
      <c r="N4055" s="5">
        <v>48.5</v>
      </c>
      <c r="O4055" s="7">
        <v>49.125</v>
      </c>
      <c r="P4055" s="2" t="s">
        <v>12649</v>
      </c>
      <c r="Q4055" s="6">
        <v>100</v>
      </c>
      <c r="R4055" s="6">
        <v>30.24</v>
      </c>
      <c r="S4055" s="5">
        <v>280.60000000000002</v>
      </c>
      <c r="T4055" s="10">
        <v>1250.9100000000001</v>
      </c>
      <c r="U4055" s="5">
        <v>8.4</v>
      </c>
      <c r="V4055" s="6">
        <v>1.01</v>
      </c>
      <c r="W4055" s="6">
        <v>23.68</v>
      </c>
      <c r="X4055" s="6">
        <v>23.18</v>
      </c>
      <c r="Y4055" s="5">
        <v>28.5</v>
      </c>
      <c r="Z4055" s="9">
        <v>29.0625</v>
      </c>
      <c r="AA4055" s="6">
        <v>274.13</v>
      </c>
      <c r="AB4055" s="7">
        <v>14.965999999999999</v>
      </c>
      <c r="AC4055" s="6">
        <v>108.08</v>
      </c>
    </row>
    <row r="4056" spans="1:29" ht="91" x14ac:dyDescent="0.15">
      <c r="A4056" s="3">
        <f t="shared" si="72"/>
        <v>36010</v>
      </c>
      <c r="B4056" s="3">
        <f>DATE(1998,10,16)</f>
        <v>36084</v>
      </c>
      <c r="C4056" s="2" t="s">
        <v>95</v>
      </c>
      <c r="D4056" s="2" t="s">
        <v>12650</v>
      </c>
      <c r="E4056" s="2" t="s">
        <v>1387</v>
      </c>
      <c r="F4056" s="4">
        <v>4923</v>
      </c>
      <c r="G4056" s="2" t="s">
        <v>439</v>
      </c>
      <c r="H4056" s="2" t="s">
        <v>34</v>
      </c>
      <c r="I4056" s="2" t="s">
        <v>12651</v>
      </c>
      <c r="J4056" s="2" t="s">
        <v>3759</v>
      </c>
      <c r="K4056" s="2" t="s">
        <v>439</v>
      </c>
      <c r="L4056" s="2" t="s">
        <v>34</v>
      </c>
      <c r="M4056" s="12">
        <v>4900.1679999999997</v>
      </c>
      <c r="N4056" s="6">
        <v>42.75</v>
      </c>
      <c r="O4056" s="7">
        <v>41.813000000000002</v>
      </c>
      <c r="P4056" s="2" t="s">
        <v>12652</v>
      </c>
      <c r="Q4056" s="6">
        <v>100</v>
      </c>
      <c r="R4056" s="6">
        <v>10</v>
      </c>
      <c r="S4056" s="5">
        <v>-1.2</v>
      </c>
      <c r="T4056" s="7">
        <v>7.6790000000000003</v>
      </c>
      <c r="U4056" s="5">
        <v>6.6</v>
      </c>
      <c r="V4056" s="6">
        <v>-0.31</v>
      </c>
      <c r="W4056" s="7">
        <v>7.375</v>
      </c>
      <c r="X4056" s="7">
        <v>9.1880000000000006</v>
      </c>
      <c r="Y4056" s="7">
        <v>9.3130000000000006</v>
      </c>
      <c r="Z4056" s="6">
        <v>9.25</v>
      </c>
      <c r="AA4056" s="6">
        <v>6.32</v>
      </c>
      <c r="AB4056" s="7">
        <v>42.790999999999997</v>
      </c>
      <c r="AC4056" s="5">
        <v>67</v>
      </c>
    </row>
    <row r="4057" spans="1:29" ht="52" x14ac:dyDescent="0.15">
      <c r="A4057" s="3">
        <f t="shared" si="72"/>
        <v>36010</v>
      </c>
      <c r="B4057" s="2"/>
      <c r="C4057" s="2" t="s">
        <v>7330</v>
      </c>
      <c r="D4057" s="2" t="s">
        <v>12653</v>
      </c>
      <c r="E4057" s="2" t="s">
        <v>12654</v>
      </c>
      <c r="F4057" s="4">
        <v>3949</v>
      </c>
      <c r="G4057" s="2" t="s">
        <v>112</v>
      </c>
      <c r="H4057" s="2" t="s">
        <v>34</v>
      </c>
      <c r="I4057" s="2" t="s">
        <v>12655</v>
      </c>
      <c r="J4057" s="2" t="s">
        <v>302</v>
      </c>
      <c r="K4057" s="2" t="s">
        <v>53</v>
      </c>
      <c r="L4057" s="2" t="s">
        <v>34</v>
      </c>
      <c r="M4057" s="2"/>
      <c r="N4057" s="2"/>
      <c r="O4057" s="2"/>
      <c r="P4057" s="2" t="s">
        <v>12656</v>
      </c>
      <c r="Q4057" s="2"/>
      <c r="R4057" s="2"/>
      <c r="S4057" s="5">
        <v>-5.2</v>
      </c>
      <c r="T4057" s="7">
        <v>10.362</v>
      </c>
      <c r="U4057" s="5">
        <v>4.5</v>
      </c>
      <c r="V4057" s="6">
        <v>-0.76</v>
      </c>
      <c r="W4057" s="4">
        <v>8</v>
      </c>
      <c r="X4057" s="5">
        <v>8.5</v>
      </c>
      <c r="Y4057" s="6">
        <v>8.75</v>
      </c>
      <c r="Z4057" s="7">
        <v>8.625</v>
      </c>
      <c r="AA4057" s="6">
        <v>8.69</v>
      </c>
      <c r="AB4057" s="2" t="s">
        <v>47</v>
      </c>
      <c r="AC4057" s="2"/>
    </row>
    <row r="4058" spans="1:29" ht="156" x14ac:dyDescent="0.15">
      <c r="A4058" s="3">
        <f t="shared" si="72"/>
        <v>36010</v>
      </c>
      <c r="B4058" s="3">
        <f>DATE(1998,11,17)</f>
        <v>36116</v>
      </c>
      <c r="C4058" s="2" t="s">
        <v>95</v>
      </c>
      <c r="D4058" s="2" t="s">
        <v>12657</v>
      </c>
      <c r="E4058" s="2" t="s">
        <v>12658</v>
      </c>
      <c r="F4058" s="4">
        <v>1479</v>
      </c>
      <c r="G4058" s="2" t="s">
        <v>166</v>
      </c>
      <c r="H4058" s="2" t="s">
        <v>34</v>
      </c>
      <c r="I4058" s="2" t="s">
        <v>12659</v>
      </c>
      <c r="J4058" s="2" t="s">
        <v>177</v>
      </c>
      <c r="K4058" s="2" t="s">
        <v>148</v>
      </c>
      <c r="L4058" s="2" t="s">
        <v>34</v>
      </c>
      <c r="M4058" s="7">
        <v>184.577</v>
      </c>
      <c r="N4058" s="7">
        <v>3.875</v>
      </c>
      <c r="O4058" s="7">
        <v>3.6880000000000002</v>
      </c>
      <c r="P4058" s="2" t="s">
        <v>12660</v>
      </c>
      <c r="Q4058" s="6">
        <v>100</v>
      </c>
      <c r="R4058" s="6">
        <v>12.5</v>
      </c>
      <c r="S4058" s="5">
        <v>-17</v>
      </c>
      <c r="T4058" s="7">
        <v>9.2260000000000009</v>
      </c>
      <c r="U4058" s="5">
        <v>10</v>
      </c>
      <c r="V4058" s="7">
        <v>-1.6439999999999999</v>
      </c>
      <c r="W4058" s="6">
        <v>11.75</v>
      </c>
      <c r="X4058" s="7">
        <v>10.875</v>
      </c>
      <c r="Y4058" s="4">
        <v>11</v>
      </c>
      <c r="Z4058" s="7">
        <v>10.875</v>
      </c>
      <c r="AA4058" s="6">
        <v>9.84</v>
      </c>
      <c r="AB4058" s="2" t="s">
        <v>86</v>
      </c>
      <c r="AC4058" s="6">
        <v>29.15</v>
      </c>
    </row>
    <row r="4059" spans="1:29" ht="104" x14ac:dyDescent="0.15">
      <c r="A4059" s="3">
        <f t="shared" si="72"/>
        <v>36010</v>
      </c>
      <c r="B4059" s="3">
        <f>DATE(1999,1,4)</f>
        <v>36164</v>
      </c>
      <c r="C4059" s="2" t="s">
        <v>95</v>
      </c>
      <c r="D4059" s="2" t="s">
        <v>12661</v>
      </c>
      <c r="E4059" s="2" t="s">
        <v>12662</v>
      </c>
      <c r="F4059" s="4">
        <v>5912</v>
      </c>
      <c r="G4059" s="2" t="s">
        <v>73</v>
      </c>
      <c r="H4059" s="2" t="s">
        <v>34</v>
      </c>
      <c r="I4059" s="2" t="s">
        <v>278</v>
      </c>
      <c r="J4059" s="2" t="s">
        <v>52</v>
      </c>
      <c r="K4059" s="2" t="s">
        <v>53</v>
      </c>
      <c r="L4059" s="2" t="s">
        <v>34</v>
      </c>
      <c r="M4059" s="2"/>
      <c r="N4059" s="2"/>
      <c r="O4059" s="2"/>
      <c r="P4059" s="2" t="s">
        <v>12663</v>
      </c>
      <c r="Q4059" s="6">
        <v>81.62</v>
      </c>
      <c r="R4059" s="6">
        <v>42.88</v>
      </c>
      <c r="S4059" s="5">
        <v>10.1</v>
      </c>
      <c r="T4059" s="7">
        <v>17.152000000000001</v>
      </c>
      <c r="U4059" s="5">
        <v>1.9</v>
      </c>
      <c r="V4059" s="6">
        <v>0.27</v>
      </c>
      <c r="W4059" s="6">
        <v>21.25</v>
      </c>
      <c r="X4059" s="5">
        <v>21.5</v>
      </c>
      <c r="Y4059" s="6">
        <v>21.25</v>
      </c>
      <c r="Z4059" s="11">
        <v>21.21875</v>
      </c>
      <c r="AA4059" s="6">
        <v>12.52</v>
      </c>
      <c r="AB4059" s="7">
        <v>101.133</v>
      </c>
      <c r="AC4059" s="2"/>
    </row>
    <row r="4060" spans="1:29" ht="104" x14ac:dyDescent="0.15">
      <c r="A4060" s="3">
        <f t="shared" si="72"/>
        <v>36010</v>
      </c>
      <c r="B4060" s="3">
        <f>DATE(1998,10,20)</f>
        <v>36088</v>
      </c>
      <c r="C4060" s="2" t="s">
        <v>95</v>
      </c>
      <c r="D4060" s="2" t="s">
        <v>12664</v>
      </c>
      <c r="E4060" s="2" t="s">
        <v>12665</v>
      </c>
      <c r="F4060" s="4">
        <v>3571</v>
      </c>
      <c r="G4060" s="2" t="s">
        <v>50</v>
      </c>
      <c r="H4060" s="2" t="s">
        <v>34</v>
      </c>
      <c r="I4060" s="2" t="s">
        <v>8025</v>
      </c>
      <c r="J4060" s="2" t="s">
        <v>8026</v>
      </c>
      <c r="K4060" s="2" t="s">
        <v>921</v>
      </c>
      <c r="L4060" s="2" t="s">
        <v>34</v>
      </c>
      <c r="M4060" s="12">
        <v>9594.2379999999994</v>
      </c>
      <c r="N4060" s="7">
        <v>46.813000000000002</v>
      </c>
      <c r="O4060" s="7">
        <v>47.688000000000002</v>
      </c>
      <c r="P4060" s="2" t="s">
        <v>12666</v>
      </c>
      <c r="Q4060" s="6">
        <v>100</v>
      </c>
      <c r="R4060" s="6">
        <v>33.35</v>
      </c>
      <c r="S4060" s="5">
        <v>74.099999999999994</v>
      </c>
      <c r="T4060" s="7">
        <v>163.114</v>
      </c>
      <c r="U4060" s="5">
        <v>25.1</v>
      </c>
      <c r="V4060" s="6">
        <v>3.01</v>
      </c>
      <c r="W4060" s="6">
        <v>21.75</v>
      </c>
      <c r="X4060" s="4">
        <v>28</v>
      </c>
      <c r="Y4060" s="7">
        <v>28.875</v>
      </c>
      <c r="Z4060" s="6">
        <v>33.75</v>
      </c>
      <c r="AA4060" s="6">
        <v>27.94</v>
      </c>
      <c r="AB4060" s="7">
        <v>7.05</v>
      </c>
      <c r="AC4060" s="2"/>
    </row>
    <row r="4061" spans="1:29" ht="117" x14ac:dyDescent="0.15">
      <c r="A4061" s="3">
        <f t="shared" si="72"/>
        <v>36010</v>
      </c>
      <c r="B4061" s="3">
        <f>DATE(1998,9,2)</f>
        <v>36040</v>
      </c>
      <c r="C4061" s="2" t="s">
        <v>95</v>
      </c>
      <c r="D4061" s="2" t="s">
        <v>12667</v>
      </c>
      <c r="E4061" s="2" t="s">
        <v>12668</v>
      </c>
      <c r="F4061" s="4">
        <v>1221</v>
      </c>
      <c r="G4061" s="2" t="s">
        <v>166</v>
      </c>
      <c r="H4061" s="2" t="s">
        <v>34</v>
      </c>
      <c r="I4061" s="2" t="s">
        <v>12669</v>
      </c>
      <c r="J4061" s="2" t="s">
        <v>12670</v>
      </c>
      <c r="K4061" s="2" t="s">
        <v>166</v>
      </c>
      <c r="L4061" s="2" t="s">
        <v>34</v>
      </c>
      <c r="M4061" s="2"/>
      <c r="N4061" s="2"/>
      <c r="O4061" s="2"/>
      <c r="P4061" s="2" t="s">
        <v>12671</v>
      </c>
      <c r="Q4061" s="6">
        <v>100</v>
      </c>
      <c r="R4061" s="6">
        <v>21.25</v>
      </c>
      <c r="S4061" s="5">
        <v>58.6</v>
      </c>
      <c r="T4061" s="7">
        <v>136.44200000000001</v>
      </c>
      <c r="U4061" s="5">
        <v>6.3</v>
      </c>
      <c r="V4061" s="6">
        <v>2.0499999999999998</v>
      </c>
      <c r="W4061" s="6">
        <v>16.25</v>
      </c>
      <c r="X4061" s="4">
        <v>16</v>
      </c>
      <c r="Y4061" s="7">
        <v>15.938000000000001</v>
      </c>
      <c r="Z4061" s="7">
        <v>20.437999999999999</v>
      </c>
      <c r="AA4061" s="6">
        <v>28.22</v>
      </c>
      <c r="AB4061" s="7">
        <v>10.904</v>
      </c>
      <c r="AC4061" s="2"/>
    </row>
    <row r="4062" spans="1:29" ht="182" x14ac:dyDescent="0.15">
      <c r="A4062" s="3">
        <f>DATE(1998,8,4)</f>
        <v>36011</v>
      </c>
      <c r="B4062" s="2"/>
      <c r="C4062" s="2" t="s">
        <v>30</v>
      </c>
      <c r="D4062" s="2" t="s">
        <v>5935</v>
      </c>
      <c r="E4062" s="2" t="s">
        <v>5936</v>
      </c>
      <c r="F4062" s="4">
        <v>3678</v>
      </c>
      <c r="G4062" s="2" t="s">
        <v>137</v>
      </c>
      <c r="H4062" s="2" t="s">
        <v>34</v>
      </c>
      <c r="I4062" s="2" t="s">
        <v>12672</v>
      </c>
      <c r="J4062" s="2" t="s">
        <v>12673</v>
      </c>
      <c r="K4062" s="2" t="s">
        <v>219</v>
      </c>
      <c r="L4062" s="2" t="s">
        <v>34</v>
      </c>
      <c r="M4062" s="12">
        <v>25298.062999999998</v>
      </c>
      <c r="N4062" s="4">
        <v>40</v>
      </c>
      <c r="O4062" s="4">
        <v>37</v>
      </c>
      <c r="P4062" s="2" t="s">
        <v>12674</v>
      </c>
      <c r="Q4062" s="2"/>
      <c r="R4062" s="6">
        <v>44.5</v>
      </c>
      <c r="S4062" s="5">
        <v>457.6</v>
      </c>
      <c r="T4062" s="12">
        <v>1184.729</v>
      </c>
      <c r="U4062" s="5">
        <v>12.7</v>
      </c>
      <c r="V4062" s="6">
        <v>2.08</v>
      </c>
      <c r="W4062" s="5">
        <v>29.5</v>
      </c>
      <c r="X4062" s="7">
        <v>28.625</v>
      </c>
      <c r="Y4062" s="7">
        <v>42.563000000000002</v>
      </c>
      <c r="Z4062" s="7">
        <v>38.063000000000002</v>
      </c>
      <c r="AA4062" s="6">
        <v>218.6</v>
      </c>
      <c r="AB4062" s="7">
        <v>14.167</v>
      </c>
      <c r="AC4062" s="8">
        <v>1041</v>
      </c>
    </row>
    <row r="4063" spans="1:29" ht="104" x14ac:dyDescent="0.15">
      <c r="A4063" s="3">
        <f>DATE(1998,8,4)</f>
        <v>36011</v>
      </c>
      <c r="B4063" s="3">
        <f>DATE(1998,12,31)</f>
        <v>36160</v>
      </c>
      <c r="C4063" s="2" t="s">
        <v>95</v>
      </c>
      <c r="D4063" s="2" t="s">
        <v>12675</v>
      </c>
      <c r="E4063" s="2" t="s">
        <v>12676</v>
      </c>
      <c r="F4063" s="4">
        <v>3842</v>
      </c>
      <c r="G4063" s="2" t="s">
        <v>226</v>
      </c>
      <c r="H4063" s="2" t="s">
        <v>34</v>
      </c>
      <c r="I4063" s="2" t="s">
        <v>10662</v>
      </c>
      <c r="J4063" s="2" t="s">
        <v>10663</v>
      </c>
      <c r="K4063" s="2" t="s">
        <v>226</v>
      </c>
      <c r="L4063" s="2" t="s">
        <v>34</v>
      </c>
      <c r="M4063" s="12">
        <v>1401.941</v>
      </c>
      <c r="N4063" s="7">
        <v>72.688000000000002</v>
      </c>
      <c r="O4063" s="4">
        <v>71</v>
      </c>
      <c r="P4063" s="2" t="s">
        <v>12677</v>
      </c>
      <c r="Q4063" s="6">
        <v>100</v>
      </c>
      <c r="R4063" s="6">
        <v>6</v>
      </c>
      <c r="S4063" s="5">
        <v>-33.5</v>
      </c>
      <c r="T4063" s="7">
        <v>-31.643999999999998</v>
      </c>
      <c r="U4063" s="5">
        <v>1.2</v>
      </c>
      <c r="V4063" s="6">
        <v>-1.88</v>
      </c>
      <c r="W4063" s="4">
        <v>4</v>
      </c>
      <c r="X4063" s="7">
        <v>4.9379999999999997</v>
      </c>
      <c r="Y4063" s="7">
        <v>5.1879999999999997</v>
      </c>
      <c r="Z4063" s="5">
        <v>5.5</v>
      </c>
      <c r="AA4063" s="6">
        <v>21.82</v>
      </c>
      <c r="AB4063" s="2" t="s">
        <v>86</v>
      </c>
      <c r="AC4063" s="5">
        <v>31</v>
      </c>
    </row>
    <row r="4064" spans="1:29" ht="104" x14ac:dyDescent="0.15">
      <c r="A4064" s="3">
        <f>DATE(1998,8,5)</f>
        <v>36012</v>
      </c>
      <c r="B4064" s="3">
        <f>DATE(1999,2,5)</f>
        <v>36196</v>
      </c>
      <c r="C4064" s="2" t="s">
        <v>95</v>
      </c>
      <c r="D4064" s="2" t="s">
        <v>12678</v>
      </c>
      <c r="E4064" s="2" t="s">
        <v>92</v>
      </c>
      <c r="F4064" s="4">
        <v>6798</v>
      </c>
      <c r="G4064" s="2" t="s">
        <v>53</v>
      </c>
      <c r="H4064" s="2" t="s">
        <v>34</v>
      </c>
      <c r="I4064" s="2" t="s">
        <v>7163</v>
      </c>
      <c r="J4064" s="2" t="s">
        <v>2044</v>
      </c>
      <c r="K4064" s="2" t="s">
        <v>53</v>
      </c>
      <c r="L4064" s="2" t="s">
        <v>34</v>
      </c>
      <c r="M4064" s="12">
        <v>3327.3319999999999</v>
      </c>
      <c r="N4064" s="7">
        <v>24.812999999999999</v>
      </c>
      <c r="O4064" s="7">
        <v>24.437999999999999</v>
      </c>
      <c r="P4064" s="2" t="s">
        <v>12679</v>
      </c>
      <c r="Q4064" s="6">
        <v>94.3</v>
      </c>
      <c r="R4064" s="6">
        <v>21.5</v>
      </c>
      <c r="S4064" s="5">
        <v>20.399999999999999</v>
      </c>
      <c r="T4064" s="7">
        <v>30.061</v>
      </c>
      <c r="U4064" s="5">
        <v>17.600000000000001</v>
      </c>
      <c r="V4064" s="6">
        <v>1.51</v>
      </c>
      <c r="W4064" s="6">
        <v>22.25</v>
      </c>
      <c r="X4064" s="6">
        <v>23.75</v>
      </c>
      <c r="Y4064" s="7">
        <v>22.687999999999999</v>
      </c>
      <c r="Z4064" s="4">
        <v>23</v>
      </c>
      <c r="AA4064" s="6">
        <v>16.07</v>
      </c>
      <c r="AB4064" s="7">
        <v>21.352</v>
      </c>
      <c r="AC4064" s="6">
        <v>41.46</v>
      </c>
    </row>
    <row r="4065" spans="1:29" ht="26" x14ac:dyDescent="0.15">
      <c r="A4065" s="3">
        <f>DATE(1998,8,5)</f>
        <v>36012</v>
      </c>
      <c r="B4065" s="2"/>
      <c r="C4065" s="2" t="s">
        <v>141</v>
      </c>
      <c r="D4065" s="2" t="s">
        <v>7977</v>
      </c>
      <c r="E4065" s="2" t="s">
        <v>973</v>
      </c>
      <c r="F4065" s="4">
        <v>4899</v>
      </c>
      <c r="G4065" s="2" t="s">
        <v>63</v>
      </c>
      <c r="H4065" s="2" t="s">
        <v>34</v>
      </c>
      <c r="I4065" s="2" t="s">
        <v>143</v>
      </c>
      <c r="J4065" s="2" t="s">
        <v>144</v>
      </c>
      <c r="K4065" s="2" t="s">
        <v>53</v>
      </c>
      <c r="L4065" s="2" t="s">
        <v>139</v>
      </c>
      <c r="M4065" s="2"/>
      <c r="N4065" s="2"/>
      <c r="O4065" s="2"/>
      <c r="P4065" s="2" t="s">
        <v>12680</v>
      </c>
      <c r="Q4065" s="2"/>
      <c r="R4065" s="2"/>
      <c r="S4065" s="5">
        <v>-20.9</v>
      </c>
      <c r="T4065" s="7">
        <v>22.577999999999999</v>
      </c>
      <c r="U4065" s="5">
        <v>10.5</v>
      </c>
      <c r="V4065" s="6">
        <v>-0.99</v>
      </c>
      <c r="W4065" s="7">
        <v>13.375</v>
      </c>
      <c r="X4065" s="7">
        <v>11.188000000000001</v>
      </c>
      <c r="Y4065" s="7">
        <v>11.188000000000001</v>
      </c>
      <c r="Z4065" s="7">
        <v>13.063000000000001</v>
      </c>
      <c r="AA4065" s="6">
        <v>64.540000000000006</v>
      </c>
      <c r="AB4065" s="2" t="s">
        <v>47</v>
      </c>
      <c r="AC4065" s="2"/>
    </row>
    <row r="4066" spans="1:29" ht="39" x14ac:dyDescent="0.15">
      <c r="A4066" s="3">
        <f>DATE(1998,8,5)</f>
        <v>36012</v>
      </c>
      <c r="B4066" s="2"/>
      <c r="C4066" s="2" t="s">
        <v>30</v>
      </c>
      <c r="D4066" s="2" t="s">
        <v>12681</v>
      </c>
      <c r="E4066" s="2" t="s">
        <v>12682</v>
      </c>
      <c r="F4066" s="4">
        <v>8741</v>
      </c>
      <c r="G4066" s="2" t="s">
        <v>223</v>
      </c>
      <c r="H4066" s="2" t="s">
        <v>34</v>
      </c>
      <c r="I4066" s="2" t="s">
        <v>12683</v>
      </c>
      <c r="J4066" s="2" t="s">
        <v>12684</v>
      </c>
      <c r="K4066" s="2" t="s">
        <v>223</v>
      </c>
      <c r="L4066" s="2" t="s">
        <v>34</v>
      </c>
      <c r="M4066" s="7">
        <v>21.457000000000001</v>
      </c>
      <c r="N4066" s="4">
        <v>6</v>
      </c>
      <c r="O4066" s="7">
        <v>5.875</v>
      </c>
      <c r="P4066" s="2" t="s">
        <v>12685</v>
      </c>
      <c r="Q4066" s="2"/>
      <c r="R4066" s="2"/>
      <c r="S4066" s="5">
        <v>6.1</v>
      </c>
      <c r="T4066" s="6">
        <v>14.64</v>
      </c>
      <c r="U4066" s="5">
        <v>0.4</v>
      </c>
      <c r="V4066" s="6">
        <v>0.19</v>
      </c>
      <c r="W4066" s="7">
        <v>6.875</v>
      </c>
      <c r="X4066" s="7">
        <v>6.8129999999999997</v>
      </c>
      <c r="Y4066" s="7">
        <v>6.1879999999999997</v>
      </c>
      <c r="Z4066" s="7">
        <v>6.125</v>
      </c>
      <c r="AA4066" s="6">
        <v>32.94</v>
      </c>
      <c r="AB4066" s="2" t="s">
        <v>47</v>
      </c>
      <c r="AC4066" s="2"/>
    </row>
    <row r="4067" spans="1:29" ht="52" x14ac:dyDescent="0.15">
      <c r="A4067" s="3">
        <f>DATE(1998,8,6)</f>
        <v>36013</v>
      </c>
      <c r="B4067" s="3">
        <f>DATE(1999,4,16)</f>
        <v>36266</v>
      </c>
      <c r="C4067" s="2" t="s">
        <v>95</v>
      </c>
      <c r="D4067" s="2" t="s">
        <v>12686</v>
      </c>
      <c r="E4067" s="2" t="s">
        <v>12687</v>
      </c>
      <c r="F4067" s="4">
        <v>5411</v>
      </c>
      <c r="G4067" s="2" t="s">
        <v>1461</v>
      </c>
      <c r="H4067" s="2" t="s">
        <v>34</v>
      </c>
      <c r="I4067" s="2" t="s">
        <v>8785</v>
      </c>
      <c r="J4067" s="2" t="s">
        <v>4522</v>
      </c>
      <c r="K4067" s="2" t="s">
        <v>1461</v>
      </c>
      <c r="L4067" s="2" t="s">
        <v>34</v>
      </c>
      <c r="M4067" s="12">
        <v>19354.541000000001</v>
      </c>
      <c r="N4067" s="7">
        <v>43.313000000000002</v>
      </c>
      <c r="O4067" s="7">
        <v>44.125</v>
      </c>
      <c r="P4067" s="2" t="s">
        <v>12688</v>
      </c>
      <c r="Q4067" s="6">
        <v>100</v>
      </c>
      <c r="R4067" s="6">
        <v>12.5</v>
      </c>
      <c r="S4067" s="5">
        <v>-5.6</v>
      </c>
      <c r="T4067" s="7">
        <v>45.015000000000001</v>
      </c>
      <c r="U4067" s="5">
        <v>3.1</v>
      </c>
      <c r="V4067" s="6">
        <v>-0.71</v>
      </c>
      <c r="W4067" s="7">
        <v>8.4380000000000006</v>
      </c>
      <c r="X4067" s="7">
        <v>7.875</v>
      </c>
      <c r="Y4067" s="7">
        <v>7.875</v>
      </c>
      <c r="Z4067" s="6">
        <v>11.25</v>
      </c>
      <c r="AA4067" s="6">
        <v>8.19</v>
      </c>
      <c r="AB4067" s="7">
        <v>11.420999999999999</v>
      </c>
      <c r="AC4067" s="5">
        <v>77.2</v>
      </c>
    </row>
    <row r="4068" spans="1:29" ht="78" x14ac:dyDescent="0.15">
      <c r="A4068" s="3">
        <f>DATE(1998,8,6)</f>
        <v>36013</v>
      </c>
      <c r="B4068" s="3">
        <f>DATE(1999,1,19)</f>
        <v>36179</v>
      </c>
      <c r="C4068" s="2" t="s">
        <v>95</v>
      </c>
      <c r="D4068" s="2" t="s">
        <v>12689</v>
      </c>
      <c r="E4068" s="2" t="s">
        <v>12690</v>
      </c>
      <c r="F4068" s="4">
        <v>7261</v>
      </c>
      <c r="G4068" s="2" t="s">
        <v>1517</v>
      </c>
      <c r="H4068" s="2" t="s">
        <v>34</v>
      </c>
      <c r="I4068" s="2" t="s">
        <v>3139</v>
      </c>
      <c r="J4068" s="2" t="s">
        <v>3140</v>
      </c>
      <c r="K4068" s="2" t="s">
        <v>1517</v>
      </c>
      <c r="L4068" s="2" t="s">
        <v>34</v>
      </c>
      <c r="M4068" s="10">
        <v>11280.07</v>
      </c>
      <c r="N4068" s="7">
        <v>36.375</v>
      </c>
      <c r="O4068" s="7">
        <v>35.313000000000002</v>
      </c>
      <c r="P4068" s="2" t="s">
        <v>12691</v>
      </c>
      <c r="Q4068" s="6">
        <v>100</v>
      </c>
      <c r="R4068" s="6">
        <v>27</v>
      </c>
      <c r="S4068" s="5">
        <v>14.7</v>
      </c>
      <c r="T4068" s="7">
        <v>38.527999999999999</v>
      </c>
      <c r="U4068" s="5">
        <v>10.7</v>
      </c>
      <c r="V4068" s="6">
        <v>0.7</v>
      </c>
      <c r="W4068" s="6">
        <v>20.75</v>
      </c>
      <c r="X4068" s="7">
        <v>22.125</v>
      </c>
      <c r="Y4068" s="7">
        <v>24.937999999999999</v>
      </c>
      <c r="Z4068" s="6">
        <v>24.75</v>
      </c>
      <c r="AA4068" s="6">
        <v>21.4</v>
      </c>
      <c r="AB4068" s="7">
        <v>29.725999999999999</v>
      </c>
      <c r="AC4068" s="6">
        <v>46.88</v>
      </c>
    </row>
    <row r="4069" spans="1:29" ht="52" x14ac:dyDescent="0.15">
      <c r="A4069" s="3">
        <f>DATE(1998,8,6)</f>
        <v>36013</v>
      </c>
      <c r="B4069" s="2"/>
      <c r="C4069" s="2" t="s">
        <v>39</v>
      </c>
      <c r="D4069" s="2" t="s">
        <v>12692</v>
      </c>
      <c r="E4069" s="2" t="s">
        <v>12693</v>
      </c>
      <c r="F4069" s="4">
        <v>7812</v>
      </c>
      <c r="G4069" s="2" t="s">
        <v>42</v>
      </c>
      <c r="H4069" s="2" t="s">
        <v>34</v>
      </c>
      <c r="I4069" s="2" t="s">
        <v>143</v>
      </c>
      <c r="J4069" s="2" t="s">
        <v>144</v>
      </c>
      <c r="K4069" s="2" t="s">
        <v>53</v>
      </c>
      <c r="L4069" s="2" t="s">
        <v>139</v>
      </c>
      <c r="M4069" s="2"/>
      <c r="N4069" s="2"/>
      <c r="O4069" s="2"/>
      <c r="P4069" s="2" t="s">
        <v>12694</v>
      </c>
      <c r="Q4069" s="2"/>
      <c r="R4069" s="2"/>
      <c r="S4069" s="5">
        <v>-128.1</v>
      </c>
      <c r="T4069" s="7">
        <v>-60.328000000000003</v>
      </c>
      <c r="U4069" s="5">
        <v>21</v>
      </c>
      <c r="V4069" s="6">
        <v>-4.47</v>
      </c>
      <c r="W4069" s="7">
        <v>19.875</v>
      </c>
      <c r="X4069" s="7">
        <v>17.125</v>
      </c>
      <c r="Y4069" s="9">
        <v>17.9375</v>
      </c>
      <c r="Z4069" s="9">
        <v>17.8125</v>
      </c>
      <c r="AA4069" s="6">
        <v>65.8</v>
      </c>
      <c r="AB4069" s="2" t="s">
        <v>86</v>
      </c>
      <c r="AC4069" s="2"/>
    </row>
    <row r="4070" spans="1:29" ht="91" x14ac:dyDescent="0.15">
      <c r="A4070" s="3">
        <f>DATE(1998,8,7)</f>
        <v>36014</v>
      </c>
      <c r="B4070" s="2"/>
      <c r="C4070" s="2" t="s">
        <v>30</v>
      </c>
      <c r="D4070" s="2" t="s">
        <v>12695</v>
      </c>
      <c r="E4070" s="2" t="s">
        <v>12696</v>
      </c>
      <c r="F4070" s="4">
        <v>3081</v>
      </c>
      <c r="G4070" s="2" t="s">
        <v>447</v>
      </c>
      <c r="H4070" s="2" t="s">
        <v>34</v>
      </c>
      <c r="I4070" s="2" t="s">
        <v>11893</v>
      </c>
      <c r="J4070" s="2" t="s">
        <v>11894</v>
      </c>
      <c r="K4070" s="2" t="s">
        <v>282</v>
      </c>
      <c r="L4070" s="2" t="s">
        <v>34</v>
      </c>
      <c r="M4070" s="2"/>
      <c r="N4070" s="2"/>
      <c r="O4070" s="2"/>
      <c r="P4070" s="2" t="s">
        <v>12697</v>
      </c>
      <c r="Q4070" s="2"/>
      <c r="R4070" s="6">
        <v>12.5</v>
      </c>
      <c r="S4070" s="5">
        <v>1.4</v>
      </c>
      <c r="T4070" s="7">
        <v>42.442</v>
      </c>
      <c r="U4070" s="5">
        <v>10.7</v>
      </c>
      <c r="V4070" s="6">
        <v>0.13</v>
      </c>
      <c r="W4070" s="7">
        <v>7.125</v>
      </c>
      <c r="X4070" s="7">
        <v>7.375</v>
      </c>
      <c r="Y4070" s="7">
        <v>9.125</v>
      </c>
      <c r="Z4070" s="6">
        <v>8.75</v>
      </c>
      <c r="AA4070" s="6">
        <v>10.99</v>
      </c>
      <c r="AB4070" s="7">
        <v>13.505000000000001</v>
      </c>
      <c r="AC4070" s="2"/>
    </row>
    <row r="4071" spans="1:29" ht="39" x14ac:dyDescent="0.15">
      <c r="A4071" s="3">
        <f>DATE(1998,8,7)</f>
        <v>36014</v>
      </c>
      <c r="B4071" s="2"/>
      <c r="C4071" s="2" t="s">
        <v>189</v>
      </c>
      <c r="D4071" s="2" t="s">
        <v>11812</v>
      </c>
      <c r="E4071" s="2" t="s">
        <v>11813</v>
      </c>
      <c r="F4071" s="4">
        <v>7375</v>
      </c>
      <c r="G4071" s="2" t="s">
        <v>223</v>
      </c>
      <c r="H4071" s="2" t="s">
        <v>34</v>
      </c>
      <c r="I4071" s="2" t="s">
        <v>143</v>
      </c>
      <c r="J4071" s="2" t="s">
        <v>144</v>
      </c>
      <c r="K4071" s="2" t="s">
        <v>53</v>
      </c>
      <c r="L4071" s="2" t="s">
        <v>139</v>
      </c>
      <c r="M4071" s="2"/>
      <c r="N4071" s="2"/>
      <c r="O4071" s="2"/>
      <c r="P4071" s="2" t="s">
        <v>12698</v>
      </c>
      <c r="Q4071" s="2"/>
      <c r="R4071" s="2"/>
      <c r="S4071" s="5">
        <v>2.2000000000000002</v>
      </c>
      <c r="T4071" s="7">
        <v>54.845999999999997</v>
      </c>
      <c r="U4071" s="5">
        <v>2.9</v>
      </c>
      <c r="V4071" s="6">
        <v>0.19</v>
      </c>
      <c r="W4071" s="5">
        <v>33.5</v>
      </c>
      <c r="X4071" s="7">
        <v>32.938000000000002</v>
      </c>
      <c r="Y4071" s="7">
        <v>34.125</v>
      </c>
      <c r="Z4071" s="6">
        <v>33.75</v>
      </c>
      <c r="AA4071" s="2"/>
      <c r="AB4071" s="2" t="s">
        <v>47</v>
      </c>
      <c r="AC4071" s="2"/>
    </row>
    <row r="4072" spans="1:29" ht="130" x14ac:dyDescent="0.15">
      <c r="A4072" s="3">
        <f>DATE(1998,8,7)</f>
        <v>36014</v>
      </c>
      <c r="B4072" s="3">
        <f>DATE(1998,12,31)</f>
        <v>36160</v>
      </c>
      <c r="C4072" s="2" t="s">
        <v>95</v>
      </c>
      <c r="D4072" s="2" t="s">
        <v>12699</v>
      </c>
      <c r="E4072" s="2" t="s">
        <v>36</v>
      </c>
      <c r="F4072" s="4">
        <v>6022</v>
      </c>
      <c r="G4072" s="2" t="s">
        <v>37</v>
      </c>
      <c r="H4072" s="2" t="s">
        <v>34</v>
      </c>
      <c r="I4072" s="2" t="s">
        <v>4543</v>
      </c>
      <c r="J4072" s="2" t="s">
        <v>36</v>
      </c>
      <c r="K4072" s="2" t="s">
        <v>37</v>
      </c>
      <c r="L4072" s="2" t="s">
        <v>34</v>
      </c>
      <c r="M4072" s="6">
        <v>290.48</v>
      </c>
      <c r="N4072" s="6">
        <v>40.75</v>
      </c>
      <c r="O4072" s="4">
        <v>41</v>
      </c>
      <c r="P4072" s="2" t="s">
        <v>12700</v>
      </c>
      <c r="Q4072" s="6">
        <v>100</v>
      </c>
      <c r="R4072" s="6">
        <v>45</v>
      </c>
      <c r="S4072" s="5">
        <v>14.4</v>
      </c>
      <c r="T4072" s="7">
        <v>24.466000000000001</v>
      </c>
      <c r="U4072" s="5">
        <v>12.7</v>
      </c>
      <c r="V4072" s="7">
        <v>1.5669999999999999</v>
      </c>
      <c r="W4072" s="5">
        <v>41.5</v>
      </c>
      <c r="X4072" s="7">
        <v>42.375</v>
      </c>
      <c r="Y4072" s="6">
        <v>44.75</v>
      </c>
      <c r="Z4072" s="6">
        <v>41.75</v>
      </c>
      <c r="AA4072" s="6">
        <v>9.14</v>
      </c>
      <c r="AB4072" s="7">
        <v>56.378999999999998</v>
      </c>
      <c r="AC4072" s="2"/>
    </row>
    <row r="4073" spans="1:29" ht="104" x14ac:dyDescent="0.15">
      <c r="A4073" s="3">
        <f>DATE(1998,8,7)</f>
        <v>36014</v>
      </c>
      <c r="B4073" s="3">
        <f>DATE(1998,9,14)</f>
        <v>36052</v>
      </c>
      <c r="C4073" s="2" t="s">
        <v>95</v>
      </c>
      <c r="D4073" s="2" t="s">
        <v>12701</v>
      </c>
      <c r="E4073" s="2" t="s">
        <v>12702</v>
      </c>
      <c r="F4073" s="4">
        <v>7922</v>
      </c>
      <c r="G4073" s="2" t="s">
        <v>364</v>
      </c>
      <c r="H4073" s="2" t="s">
        <v>34</v>
      </c>
      <c r="I4073" s="2" t="s">
        <v>12703</v>
      </c>
      <c r="J4073" s="2" t="s">
        <v>12053</v>
      </c>
      <c r="K4073" s="2" t="s">
        <v>364</v>
      </c>
      <c r="L4073" s="2" t="s">
        <v>34</v>
      </c>
      <c r="M4073" s="2"/>
      <c r="N4073" s="2"/>
      <c r="O4073" s="2"/>
      <c r="P4073" s="2" t="s">
        <v>12704</v>
      </c>
      <c r="Q4073" s="6">
        <v>100</v>
      </c>
      <c r="R4073" s="6">
        <v>4</v>
      </c>
      <c r="S4073" s="5">
        <v>1.1000000000000001</v>
      </c>
      <c r="T4073" s="7">
        <v>3.4409999999999998</v>
      </c>
      <c r="U4073" s="5">
        <v>0.2</v>
      </c>
      <c r="V4073" s="6">
        <v>0.05</v>
      </c>
      <c r="W4073" s="7">
        <v>3.4380000000000002</v>
      </c>
      <c r="X4073" s="7">
        <v>3.5630000000000002</v>
      </c>
      <c r="Y4073" s="7">
        <v>3.9380000000000002</v>
      </c>
      <c r="Z4073" s="7">
        <v>3.8130000000000002</v>
      </c>
      <c r="AA4073" s="6">
        <v>24.42</v>
      </c>
      <c r="AB4073" s="7">
        <v>37.567999999999998</v>
      </c>
      <c r="AC4073" s="6">
        <v>5.98</v>
      </c>
    </row>
    <row r="4074" spans="1:29" ht="143" x14ac:dyDescent="0.15">
      <c r="A4074" s="3">
        <f t="shared" ref="A4074:A4079" si="73">DATE(1998,8,10)</f>
        <v>36017</v>
      </c>
      <c r="B4074" s="3">
        <f>DATE(1998,10,15)</f>
        <v>36083</v>
      </c>
      <c r="C4074" s="2" t="s">
        <v>95</v>
      </c>
      <c r="D4074" s="2" t="s">
        <v>12705</v>
      </c>
      <c r="E4074" s="2" t="s">
        <v>5556</v>
      </c>
      <c r="F4074" s="4">
        <v>4953</v>
      </c>
      <c r="G4074" s="2" t="s">
        <v>116</v>
      </c>
      <c r="H4074" s="2" t="s">
        <v>34</v>
      </c>
      <c r="I4074" s="2" t="s">
        <v>12279</v>
      </c>
      <c r="J4074" s="2" t="s">
        <v>12280</v>
      </c>
      <c r="K4074" s="2" t="s">
        <v>116</v>
      </c>
      <c r="L4074" s="2" t="s">
        <v>34</v>
      </c>
      <c r="M4074" s="12">
        <v>2805.3389999999999</v>
      </c>
      <c r="N4074" s="5">
        <v>26.5</v>
      </c>
      <c r="O4074" s="7">
        <v>23.625</v>
      </c>
      <c r="P4074" s="2" t="s">
        <v>12706</v>
      </c>
      <c r="Q4074" s="6">
        <v>100</v>
      </c>
      <c r="R4074" s="6">
        <v>44.76</v>
      </c>
      <c r="S4074" s="5">
        <v>7.3</v>
      </c>
      <c r="T4074" s="7">
        <v>38.594999999999999</v>
      </c>
      <c r="U4074" s="5">
        <v>15.4</v>
      </c>
      <c r="V4074" s="6">
        <v>0.53</v>
      </c>
      <c r="W4074" s="7">
        <v>38.938000000000002</v>
      </c>
      <c r="X4074" s="5">
        <v>38.5</v>
      </c>
      <c r="Y4074" s="7">
        <v>38.125</v>
      </c>
      <c r="Z4074" s="7">
        <v>37.625</v>
      </c>
      <c r="AA4074" s="6">
        <v>22.86</v>
      </c>
      <c r="AB4074" s="7">
        <v>55.881</v>
      </c>
      <c r="AC4074" s="6">
        <v>11.92</v>
      </c>
    </row>
    <row r="4075" spans="1:29" ht="91" x14ac:dyDescent="0.15">
      <c r="A4075" s="3">
        <f t="shared" si="73"/>
        <v>36017</v>
      </c>
      <c r="B4075" s="3">
        <f>DATE(1998,12,7)</f>
        <v>36136</v>
      </c>
      <c r="C4075" s="2" t="s">
        <v>95</v>
      </c>
      <c r="D4075" s="2" t="s">
        <v>12707</v>
      </c>
      <c r="E4075" s="2" t="s">
        <v>12708</v>
      </c>
      <c r="F4075" s="4">
        <v>1381</v>
      </c>
      <c r="G4075" s="2" t="s">
        <v>148</v>
      </c>
      <c r="H4075" s="2" t="s">
        <v>34</v>
      </c>
      <c r="I4075" s="2" t="s">
        <v>10087</v>
      </c>
      <c r="J4075" s="2" t="s">
        <v>5471</v>
      </c>
      <c r="K4075" s="2" t="s">
        <v>148</v>
      </c>
      <c r="L4075" s="2" t="s">
        <v>34</v>
      </c>
      <c r="M4075" s="12">
        <v>3179.6060000000002</v>
      </c>
      <c r="N4075" s="7">
        <v>15.313000000000001</v>
      </c>
      <c r="O4075" s="7">
        <v>13.875</v>
      </c>
      <c r="P4075" s="2" t="s">
        <v>12709</v>
      </c>
      <c r="Q4075" s="6">
        <v>100</v>
      </c>
      <c r="R4075" s="6">
        <v>28.16</v>
      </c>
      <c r="S4075" s="5">
        <v>46.7</v>
      </c>
      <c r="T4075" s="7">
        <v>104.998</v>
      </c>
      <c r="U4075" s="5">
        <v>13.6</v>
      </c>
      <c r="V4075" s="6">
        <v>3.06</v>
      </c>
      <c r="W4075" s="7">
        <v>19.937999999999999</v>
      </c>
      <c r="X4075" s="6">
        <v>20.25</v>
      </c>
      <c r="Y4075" s="7">
        <v>19.375</v>
      </c>
      <c r="Z4075" s="7">
        <v>21.625</v>
      </c>
      <c r="AA4075" s="6">
        <v>15.92</v>
      </c>
      <c r="AB4075" s="7">
        <v>7.4189999999999996</v>
      </c>
      <c r="AC4075" s="5">
        <v>100.9</v>
      </c>
    </row>
    <row r="4076" spans="1:29" ht="39" x14ac:dyDescent="0.15">
      <c r="A4076" s="3">
        <f t="shared" si="73"/>
        <v>36017</v>
      </c>
      <c r="B4076" s="2"/>
      <c r="C4076" s="2" t="s">
        <v>7330</v>
      </c>
      <c r="D4076" s="2" t="s">
        <v>12710</v>
      </c>
      <c r="E4076" s="2" t="s">
        <v>12711</v>
      </c>
      <c r="F4076" s="4">
        <v>3721</v>
      </c>
      <c r="G4076" s="2" t="s">
        <v>219</v>
      </c>
      <c r="H4076" s="2" t="s">
        <v>34</v>
      </c>
      <c r="I4076" s="2" t="s">
        <v>12712</v>
      </c>
      <c r="J4076" s="2" t="s">
        <v>12713</v>
      </c>
      <c r="K4076" s="2" t="s">
        <v>219</v>
      </c>
      <c r="L4076" s="2" t="s">
        <v>34</v>
      </c>
      <c r="M4076" s="7">
        <v>18.427</v>
      </c>
      <c r="N4076" s="7">
        <v>2.875</v>
      </c>
      <c r="O4076" s="5">
        <v>3.5</v>
      </c>
      <c r="P4076" s="2" t="s">
        <v>12714</v>
      </c>
      <c r="Q4076" s="2"/>
      <c r="R4076" s="2"/>
      <c r="S4076" s="5">
        <v>-1.6</v>
      </c>
      <c r="T4076" s="7">
        <v>-1.8280000000000001</v>
      </c>
      <c r="U4076" s="5">
        <v>1.4</v>
      </c>
      <c r="V4076" s="7">
        <v>-0.22500000000000001</v>
      </c>
      <c r="W4076" s="5">
        <v>2.5</v>
      </c>
      <c r="X4076" s="6">
        <v>3.25</v>
      </c>
      <c r="Y4076" s="6">
        <v>3.25</v>
      </c>
      <c r="Z4076" s="2"/>
      <c r="AA4076" s="2"/>
      <c r="AB4076" s="2" t="s">
        <v>86</v>
      </c>
      <c r="AC4076" s="6">
        <v>2.25</v>
      </c>
    </row>
    <row r="4077" spans="1:29" ht="143" x14ac:dyDescent="0.15">
      <c r="A4077" s="3">
        <f t="shared" si="73"/>
        <v>36017</v>
      </c>
      <c r="B4077" s="3">
        <f>DATE(1998,9,21)</f>
        <v>36059</v>
      </c>
      <c r="C4077" s="2" t="s">
        <v>95</v>
      </c>
      <c r="D4077" s="2" t="s">
        <v>12715</v>
      </c>
      <c r="E4077" s="2" t="s">
        <v>12716</v>
      </c>
      <c r="F4077" s="4">
        <v>3826</v>
      </c>
      <c r="G4077" s="2" t="s">
        <v>226</v>
      </c>
      <c r="H4077" s="2" t="s">
        <v>34</v>
      </c>
      <c r="I4077" s="2" t="s">
        <v>12717</v>
      </c>
      <c r="J4077" s="2" t="s">
        <v>12718</v>
      </c>
      <c r="K4077" s="2" t="s">
        <v>130</v>
      </c>
      <c r="L4077" s="2" t="s">
        <v>435</v>
      </c>
      <c r="M4077" s="2"/>
      <c r="N4077" s="2"/>
      <c r="O4077" s="2"/>
      <c r="P4077" s="2" t="s">
        <v>12719</v>
      </c>
      <c r="Q4077" s="6">
        <v>91.85</v>
      </c>
      <c r="R4077" s="6">
        <v>20.5</v>
      </c>
      <c r="S4077" s="5">
        <v>4.9000000000000004</v>
      </c>
      <c r="T4077" s="7">
        <v>6.5259999999999998</v>
      </c>
      <c r="U4077" s="5">
        <v>4</v>
      </c>
      <c r="V4077" s="6">
        <v>0.43</v>
      </c>
      <c r="W4077" s="7">
        <v>13.875</v>
      </c>
      <c r="X4077" s="4">
        <v>15</v>
      </c>
      <c r="Y4077" s="7">
        <v>20.062999999999999</v>
      </c>
      <c r="Z4077" s="4">
        <v>20</v>
      </c>
      <c r="AA4077" s="6">
        <v>10.44</v>
      </c>
      <c r="AB4077" s="7">
        <v>50.927</v>
      </c>
      <c r="AC4077" s="2"/>
    </row>
    <row r="4078" spans="1:29" ht="117" x14ac:dyDescent="0.15">
      <c r="A4078" s="3">
        <f t="shared" si="73"/>
        <v>36017</v>
      </c>
      <c r="B4078" s="3">
        <f>DATE(1999,1,4)</f>
        <v>36164</v>
      </c>
      <c r="C4078" s="2" t="s">
        <v>95</v>
      </c>
      <c r="D4078" s="2" t="s">
        <v>12720</v>
      </c>
      <c r="E4078" s="2" t="s">
        <v>12721</v>
      </c>
      <c r="F4078" s="4">
        <v>7011</v>
      </c>
      <c r="G4078" s="2" t="s">
        <v>269</v>
      </c>
      <c r="H4078" s="2" t="s">
        <v>34</v>
      </c>
      <c r="I4078" s="2" t="s">
        <v>11169</v>
      </c>
      <c r="J4078" s="2" t="s">
        <v>11170</v>
      </c>
      <c r="K4078" s="2" t="s">
        <v>269</v>
      </c>
      <c r="L4078" s="2" t="s">
        <v>34</v>
      </c>
      <c r="M4078" s="12">
        <v>2142.0909999999999</v>
      </c>
      <c r="N4078" s="6">
        <v>20.25</v>
      </c>
      <c r="O4078" s="7">
        <v>20.187999999999999</v>
      </c>
      <c r="P4078" s="2" t="s">
        <v>12722</v>
      </c>
      <c r="Q4078" s="6">
        <v>100</v>
      </c>
      <c r="R4078" s="6">
        <v>20.13</v>
      </c>
      <c r="S4078" s="5">
        <v>21.5</v>
      </c>
      <c r="T4078" s="7">
        <v>96.212000000000003</v>
      </c>
      <c r="U4078" s="5">
        <v>11</v>
      </c>
      <c r="V4078" s="6">
        <v>0.98</v>
      </c>
      <c r="W4078" s="7">
        <v>17.562999999999999</v>
      </c>
      <c r="X4078" s="7">
        <v>18.875</v>
      </c>
      <c r="Y4078" s="5">
        <v>19.5</v>
      </c>
      <c r="Z4078" s="7">
        <v>19.375</v>
      </c>
      <c r="AA4078" s="6">
        <v>24.79</v>
      </c>
      <c r="AB4078" s="7">
        <v>10.472</v>
      </c>
      <c r="AC4078" s="6">
        <v>116.44</v>
      </c>
    </row>
    <row r="4079" spans="1:29" ht="117" x14ac:dyDescent="0.15">
      <c r="A4079" s="3">
        <f t="shared" si="73"/>
        <v>36017</v>
      </c>
      <c r="B4079" s="3">
        <f>DATE(1999,3,26)</f>
        <v>36245</v>
      </c>
      <c r="C4079" s="2" t="s">
        <v>95</v>
      </c>
      <c r="D4079" s="2" t="s">
        <v>12723</v>
      </c>
      <c r="E4079" s="2" t="s">
        <v>12724</v>
      </c>
      <c r="F4079" s="4">
        <v>6211</v>
      </c>
      <c r="G4079" s="2" t="s">
        <v>53</v>
      </c>
      <c r="H4079" s="2" t="s">
        <v>34</v>
      </c>
      <c r="I4079" s="2" t="s">
        <v>9701</v>
      </c>
      <c r="J4079" s="2" t="s">
        <v>672</v>
      </c>
      <c r="K4079" s="2" t="s">
        <v>37</v>
      </c>
      <c r="L4079" s="2" t="s">
        <v>34</v>
      </c>
      <c r="M4079" s="12">
        <v>9786.0949999999993</v>
      </c>
      <c r="N4079" s="7">
        <v>33.375</v>
      </c>
      <c r="O4079" s="4">
        <v>33</v>
      </c>
      <c r="P4079" s="2" t="s">
        <v>12725</v>
      </c>
      <c r="Q4079" s="6">
        <v>100</v>
      </c>
      <c r="R4079" s="6">
        <v>34.44</v>
      </c>
      <c r="S4079" s="5">
        <v>5.8</v>
      </c>
      <c r="T4079" s="7">
        <v>11.122</v>
      </c>
      <c r="U4079" s="5">
        <v>11</v>
      </c>
      <c r="V4079" s="6">
        <v>1.67</v>
      </c>
      <c r="W4079" s="6">
        <v>26.75</v>
      </c>
      <c r="X4079" s="6">
        <v>28.75</v>
      </c>
      <c r="Y4079" s="6">
        <v>31.25</v>
      </c>
      <c r="Z4079" s="6">
        <v>31.75</v>
      </c>
      <c r="AA4079" s="6">
        <v>3.24</v>
      </c>
      <c r="AB4079" s="7">
        <v>15.733000000000001</v>
      </c>
      <c r="AC4079" s="2"/>
    </row>
    <row r="4080" spans="1:29" ht="130" x14ac:dyDescent="0.15">
      <c r="A4080" s="3">
        <f>DATE(1998,8,11)</f>
        <v>36018</v>
      </c>
      <c r="B4080" s="3">
        <f>DATE(1998,12,31)</f>
        <v>36160</v>
      </c>
      <c r="C4080" s="2" t="s">
        <v>95</v>
      </c>
      <c r="D4080" s="2" t="s">
        <v>12726</v>
      </c>
      <c r="E4080" s="2" t="s">
        <v>12727</v>
      </c>
      <c r="F4080" s="4">
        <v>1311</v>
      </c>
      <c r="G4080" s="2" t="s">
        <v>148</v>
      </c>
      <c r="H4080" s="2" t="s">
        <v>34</v>
      </c>
      <c r="I4080" s="2" t="s">
        <v>12728</v>
      </c>
      <c r="J4080" s="2" t="s">
        <v>12729</v>
      </c>
      <c r="K4080" s="2" t="s">
        <v>148</v>
      </c>
      <c r="L4080" s="2" t="s">
        <v>303</v>
      </c>
      <c r="M4080" s="8">
        <v>81385.2</v>
      </c>
      <c r="N4080" s="7">
        <v>12.978</v>
      </c>
      <c r="O4080" s="7">
        <v>12.914</v>
      </c>
      <c r="P4080" s="2" t="s">
        <v>12730</v>
      </c>
      <c r="Q4080" s="6">
        <v>100</v>
      </c>
      <c r="R4080" s="6">
        <v>50.19</v>
      </c>
      <c r="S4080" s="8">
        <v>2720</v>
      </c>
      <c r="T4080" s="8">
        <v>5624</v>
      </c>
      <c r="U4080" s="5">
        <v>16.899999999999999</v>
      </c>
      <c r="V4080" s="6">
        <v>2.76</v>
      </c>
      <c r="W4080" s="7">
        <v>40.063000000000002</v>
      </c>
      <c r="X4080" s="4">
        <v>41</v>
      </c>
      <c r="Y4080" s="7">
        <v>46.875</v>
      </c>
      <c r="Z4080" s="7">
        <v>48.188000000000002</v>
      </c>
      <c r="AA4080" s="6">
        <v>959.63</v>
      </c>
      <c r="AB4080" s="7">
        <v>16.315000000000001</v>
      </c>
      <c r="AC4080" s="6">
        <v>274.02999999999997</v>
      </c>
    </row>
    <row r="4081" spans="1:29" ht="52" x14ac:dyDescent="0.15">
      <c r="A4081" s="3">
        <f>DATE(1998,8,11)</f>
        <v>36018</v>
      </c>
      <c r="B4081" s="2"/>
      <c r="C4081" s="2" t="s">
        <v>87</v>
      </c>
      <c r="D4081" s="2" t="s">
        <v>12731</v>
      </c>
      <c r="E4081" s="2" t="s">
        <v>6423</v>
      </c>
      <c r="F4081" s="4">
        <v>5411</v>
      </c>
      <c r="G4081" s="2" t="s">
        <v>1461</v>
      </c>
      <c r="H4081" s="2" t="s">
        <v>34</v>
      </c>
      <c r="I4081" s="2" t="s">
        <v>143</v>
      </c>
      <c r="J4081" s="2" t="s">
        <v>144</v>
      </c>
      <c r="K4081" s="2" t="s">
        <v>53</v>
      </c>
      <c r="L4081" s="2" t="s">
        <v>139</v>
      </c>
      <c r="M4081" s="2"/>
      <c r="N4081" s="2"/>
      <c r="O4081" s="2"/>
      <c r="P4081" s="2" t="s">
        <v>12732</v>
      </c>
      <c r="Q4081" s="2"/>
      <c r="R4081" s="2"/>
      <c r="S4081" s="5">
        <v>-35.299999999999997</v>
      </c>
      <c r="T4081" s="7">
        <v>93.869</v>
      </c>
      <c r="U4081" s="5">
        <v>7</v>
      </c>
      <c r="V4081" s="6">
        <v>-1.65</v>
      </c>
      <c r="W4081" s="6">
        <v>44.75</v>
      </c>
      <c r="X4081" s="4">
        <v>47</v>
      </c>
      <c r="Y4081" s="7">
        <v>43.125</v>
      </c>
      <c r="Z4081" s="7">
        <v>43.188000000000002</v>
      </c>
      <c r="AA4081" s="6">
        <v>18.62</v>
      </c>
      <c r="AB4081" s="2" t="s">
        <v>47</v>
      </c>
      <c r="AC4081" s="2"/>
    </row>
    <row r="4082" spans="1:29" ht="52" x14ac:dyDescent="0.15">
      <c r="A4082" s="3">
        <f>DATE(1998,8,11)</f>
        <v>36018</v>
      </c>
      <c r="B4082" s="2"/>
      <c r="C4082" s="2" t="s">
        <v>87</v>
      </c>
      <c r="D4082" s="2" t="s">
        <v>12295</v>
      </c>
      <c r="E4082" s="2" t="s">
        <v>2712</v>
      </c>
      <c r="F4082" s="4">
        <v>6211</v>
      </c>
      <c r="G4082" s="2" t="s">
        <v>53</v>
      </c>
      <c r="H4082" s="2" t="s">
        <v>34</v>
      </c>
      <c r="I4082" s="2" t="s">
        <v>12733</v>
      </c>
      <c r="J4082" s="2" t="s">
        <v>2855</v>
      </c>
      <c r="K4082" s="2" t="s">
        <v>37</v>
      </c>
      <c r="L4082" s="2" t="s">
        <v>1049</v>
      </c>
      <c r="M4082" s="2"/>
      <c r="N4082" s="2"/>
      <c r="O4082" s="2"/>
      <c r="P4082" s="2" t="s">
        <v>12734</v>
      </c>
      <c r="Q4082" s="2"/>
      <c r="R4082" s="2"/>
      <c r="S4082" s="5">
        <v>415.4</v>
      </c>
      <c r="T4082" s="7">
        <v>873.57799999999997</v>
      </c>
      <c r="U4082" s="5">
        <v>13.8</v>
      </c>
      <c r="V4082" s="6">
        <v>2.56</v>
      </c>
      <c r="W4082" s="6">
        <v>43.25</v>
      </c>
      <c r="X4082" s="4">
        <v>45</v>
      </c>
      <c r="Y4082" s="7">
        <v>48.375</v>
      </c>
      <c r="Z4082" s="7">
        <v>52.625</v>
      </c>
      <c r="AA4082" s="6">
        <v>139.91</v>
      </c>
      <c r="AB4082" s="2" t="s">
        <v>47</v>
      </c>
      <c r="AC4082" s="2"/>
    </row>
    <row r="4083" spans="1:29" ht="117" x14ac:dyDescent="0.15">
      <c r="A4083" s="3">
        <f>DATE(1998,8,11)</f>
        <v>36018</v>
      </c>
      <c r="B4083" s="3">
        <f>DATE(1999,2,12)</f>
        <v>36203</v>
      </c>
      <c r="C4083" s="2" t="s">
        <v>95</v>
      </c>
      <c r="D4083" s="2" t="s">
        <v>11471</v>
      </c>
      <c r="E4083" s="2" t="s">
        <v>1181</v>
      </c>
      <c r="F4083" s="4">
        <v>6021</v>
      </c>
      <c r="G4083" s="2" t="s">
        <v>37</v>
      </c>
      <c r="H4083" s="2" t="s">
        <v>34</v>
      </c>
      <c r="I4083" s="2" t="s">
        <v>7285</v>
      </c>
      <c r="J4083" s="2" t="s">
        <v>3426</v>
      </c>
      <c r="K4083" s="2" t="s">
        <v>37</v>
      </c>
      <c r="L4083" s="2" t="s">
        <v>34</v>
      </c>
      <c r="M4083" s="12">
        <v>2029.162</v>
      </c>
      <c r="N4083" s="7">
        <v>25.375</v>
      </c>
      <c r="O4083" s="7">
        <v>25.375</v>
      </c>
      <c r="P4083" s="2" t="s">
        <v>12735</v>
      </c>
      <c r="Q4083" s="6">
        <v>100</v>
      </c>
      <c r="R4083" s="2"/>
      <c r="S4083" s="5">
        <v>14.4</v>
      </c>
      <c r="T4083" s="7">
        <v>27.117999999999999</v>
      </c>
      <c r="U4083" s="5">
        <v>11.3</v>
      </c>
      <c r="V4083" s="7">
        <v>1.5680000000000001</v>
      </c>
      <c r="W4083" s="5">
        <v>25.5</v>
      </c>
      <c r="X4083" s="4">
        <v>28</v>
      </c>
      <c r="Y4083" s="5">
        <v>31.5</v>
      </c>
      <c r="Z4083" s="7">
        <v>31.375</v>
      </c>
      <c r="AA4083" s="6">
        <v>10.56</v>
      </c>
      <c r="AB4083" s="7">
        <v>30.547000000000001</v>
      </c>
      <c r="AC4083" s="2"/>
    </row>
    <row r="4084" spans="1:29" ht="65" x14ac:dyDescent="0.15">
      <c r="A4084" s="3">
        <f>DATE(1998,8,12)</f>
        <v>36019</v>
      </c>
      <c r="B4084" s="3">
        <f>DATE(1998,9,30)</f>
        <v>36068</v>
      </c>
      <c r="C4084" s="2" t="s">
        <v>95</v>
      </c>
      <c r="D4084" s="2" t="s">
        <v>12736</v>
      </c>
      <c r="E4084" s="2" t="s">
        <v>12737</v>
      </c>
      <c r="F4084" s="4">
        <v>3829</v>
      </c>
      <c r="G4084" s="2" t="s">
        <v>226</v>
      </c>
      <c r="H4084" s="2" t="s">
        <v>34</v>
      </c>
      <c r="I4084" s="2" t="s">
        <v>4651</v>
      </c>
      <c r="J4084" s="2" t="s">
        <v>4652</v>
      </c>
      <c r="K4084" s="2" t="s">
        <v>163</v>
      </c>
      <c r="L4084" s="2" t="s">
        <v>34</v>
      </c>
      <c r="M4084" s="12">
        <v>2255.0630000000001</v>
      </c>
      <c r="N4084" s="7">
        <v>46.938000000000002</v>
      </c>
      <c r="O4084" s="7">
        <v>46.688000000000002</v>
      </c>
      <c r="P4084" s="2" t="s">
        <v>12738</v>
      </c>
      <c r="Q4084" s="6">
        <v>100</v>
      </c>
      <c r="R4084" s="6">
        <v>3.5</v>
      </c>
      <c r="S4084" s="5">
        <v>-3.5</v>
      </c>
      <c r="T4084" s="7">
        <v>-1.532</v>
      </c>
      <c r="U4084" s="5">
        <v>2.6</v>
      </c>
      <c r="V4084" s="6">
        <v>-0.7</v>
      </c>
      <c r="W4084" s="5">
        <v>2.5</v>
      </c>
      <c r="X4084" s="5">
        <v>2.5</v>
      </c>
      <c r="Y4084" s="7">
        <v>3.375</v>
      </c>
      <c r="Z4084" s="7">
        <v>3.375</v>
      </c>
      <c r="AA4084" s="6">
        <v>5.01</v>
      </c>
      <c r="AB4084" s="2" t="s">
        <v>86</v>
      </c>
      <c r="AC4084" s="6">
        <v>6.98</v>
      </c>
    </row>
    <row r="4085" spans="1:29" ht="117" x14ac:dyDescent="0.15">
      <c r="A4085" s="3">
        <f>DATE(1998,8,12)</f>
        <v>36019</v>
      </c>
      <c r="B4085" s="3">
        <f>DATE(1998,9,15)</f>
        <v>36053</v>
      </c>
      <c r="C4085" s="2" t="s">
        <v>95</v>
      </c>
      <c r="D4085" s="2" t="s">
        <v>3833</v>
      </c>
      <c r="E4085" s="2" t="s">
        <v>3870</v>
      </c>
      <c r="F4085" s="4">
        <v>7372</v>
      </c>
      <c r="G4085" s="2" t="s">
        <v>551</v>
      </c>
      <c r="H4085" s="2" t="s">
        <v>34</v>
      </c>
      <c r="I4085" s="2" t="s">
        <v>1291</v>
      </c>
      <c r="J4085" s="2" t="s">
        <v>1292</v>
      </c>
      <c r="K4085" s="2" t="s">
        <v>112</v>
      </c>
      <c r="L4085" s="2" t="s">
        <v>34</v>
      </c>
      <c r="M4085" s="12">
        <v>5156.4030000000002</v>
      </c>
      <c r="N4085" s="5">
        <v>36.5</v>
      </c>
      <c r="O4085" s="7">
        <v>36.875</v>
      </c>
      <c r="P4085" s="2" t="s">
        <v>12739</v>
      </c>
      <c r="Q4085" s="6">
        <v>100</v>
      </c>
      <c r="R4085" s="6">
        <v>6</v>
      </c>
      <c r="S4085" s="5">
        <v>-33.1</v>
      </c>
      <c r="T4085" s="6">
        <v>-21.04</v>
      </c>
      <c r="U4085" s="5">
        <v>-1.7</v>
      </c>
      <c r="V4085" s="6">
        <v>-5.86</v>
      </c>
      <c r="W4085" s="7">
        <v>3.3439999999999999</v>
      </c>
      <c r="X4085" s="7">
        <v>4.5629999999999997</v>
      </c>
      <c r="Y4085" s="6">
        <v>5.75</v>
      </c>
      <c r="Z4085" s="7">
        <v>5.7190000000000003</v>
      </c>
      <c r="AA4085" s="6">
        <v>5.75</v>
      </c>
      <c r="AB4085" s="2" t="s">
        <v>86</v>
      </c>
      <c r="AC4085" s="6">
        <v>361.79</v>
      </c>
    </row>
    <row r="4086" spans="1:29" ht="91" x14ac:dyDescent="0.15">
      <c r="A4086" s="3">
        <f>DATE(1998,8,12)</f>
        <v>36019</v>
      </c>
      <c r="B4086" s="3">
        <f>DATE(1999,3,12)</f>
        <v>36231</v>
      </c>
      <c r="C4086" s="2" t="s">
        <v>95</v>
      </c>
      <c r="D4086" s="2" t="s">
        <v>12740</v>
      </c>
      <c r="E4086" s="2" t="s">
        <v>1888</v>
      </c>
      <c r="F4086" s="4">
        <v>4911</v>
      </c>
      <c r="G4086" s="2" t="s">
        <v>439</v>
      </c>
      <c r="H4086" s="2" t="s">
        <v>34</v>
      </c>
      <c r="I4086" s="2" t="s">
        <v>10108</v>
      </c>
      <c r="J4086" s="2" t="s">
        <v>1888</v>
      </c>
      <c r="K4086" s="2" t="s">
        <v>439</v>
      </c>
      <c r="L4086" s="2" t="s">
        <v>34</v>
      </c>
      <c r="M4086" s="12">
        <v>1706.7750000000001</v>
      </c>
      <c r="N4086" s="4">
        <v>28</v>
      </c>
      <c r="O4086" s="7">
        <v>27.562999999999999</v>
      </c>
      <c r="P4086" s="2" t="s">
        <v>12741</v>
      </c>
      <c r="Q4086" s="6">
        <v>100</v>
      </c>
      <c r="R4086" s="6">
        <v>27.15</v>
      </c>
      <c r="S4086" s="5">
        <v>153.80000000000001</v>
      </c>
      <c r="T4086" s="7">
        <v>501.721</v>
      </c>
      <c r="U4086" s="5">
        <v>13.7</v>
      </c>
      <c r="V4086" s="6">
        <v>1.42</v>
      </c>
      <c r="W4086" s="7">
        <v>19.937999999999999</v>
      </c>
      <c r="X4086" s="4">
        <v>20</v>
      </c>
      <c r="Y4086" s="6">
        <v>25.25</v>
      </c>
      <c r="Z4086" s="4">
        <v>25</v>
      </c>
      <c r="AA4086" s="6">
        <v>94.6</v>
      </c>
      <c r="AB4086" s="7">
        <v>15.145</v>
      </c>
      <c r="AC4086" s="10">
        <v>1676.33</v>
      </c>
    </row>
    <row r="4087" spans="1:29" ht="130" x14ac:dyDescent="0.15">
      <c r="A4087" s="3">
        <f>DATE(1998,8,12)</f>
        <v>36019</v>
      </c>
      <c r="B4087" s="2"/>
      <c r="C4087" s="2" t="s">
        <v>30</v>
      </c>
      <c r="D4087" s="2" t="s">
        <v>12742</v>
      </c>
      <c r="E4087" s="2" t="s">
        <v>12743</v>
      </c>
      <c r="F4087" s="4">
        <v>7373</v>
      </c>
      <c r="G4087" s="2" t="s">
        <v>223</v>
      </c>
      <c r="H4087" s="2" t="s">
        <v>34</v>
      </c>
      <c r="I4087" s="2" t="s">
        <v>6919</v>
      </c>
      <c r="J4087" s="2" t="s">
        <v>6920</v>
      </c>
      <c r="K4087" s="2" t="s">
        <v>223</v>
      </c>
      <c r="L4087" s="2" t="s">
        <v>34</v>
      </c>
      <c r="M4087" s="7">
        <v>662.21500000000003</v>
      </c>
      <c r="N4087" s="7">
        <v>9.375</v>
      </c>
      <c r="O4087" s="7">
        <v>9.125</v>
      </c>
      <c r="P4087" s="2" t="s">
        <v>12744</v>
      </c>
      <c r="Q4087" s="2"/>
      <c r="R4087" s="6">
        <v>14</v>
      </c>
      <c r="S4087" s="5">
        <v>-6.9</v>
      </c>
      <c r="T4087" s="7">
        <v>-7.7329999999999997</v>
      </c>
      <c r="U4087" s="5">
        <v>5</v>
      </c>
      <c r="V4087" s="6">
        <v>-0.39</v>
      </c>
      <c r="W4087" s="5">
        <v>7.5</v>
      </c>
      <c r="X4087" s="4">
        <v>8</v>
      </c>
      <c r="Y4087" s="11">
        <v>11.03125</v>
      </c>
      <c r="Z4087" s="9">
        <v>10.9375</v>
      </c>
      <c r="AA4087" s="6">
        <v>17.809999999999999</v>
      </c>
      <c r="AB4087" s="2" t="s">
        <v>86</v>
      </c>
      <c r="AC4087" s="6">
        <v>137.59</v>
      </c>
    </row>
    <row r="4088" spans="1:29" ht="52" x14ac:dyDescent="0.15">
      <c r="A4088" s="3">
        <f>DATE(1998,8,12)</f>
        <v>36019</v>
      </c>
      <c r="B4088" s="3">
        <f>DATE(1998,12,15)</f>
        <v>36144</v>
      </c>
      <c r="C4088" s="2" t="s">
        <v>95</v>
      </c>
      <c r="D4088" s="2" t="s">
        <v>12745</v>
      </c>
      <c r="E4088" s="2" t="s">
        <v>124</v>
      </c>
      <c r="F4088" s="4">
        <v>6331</v>
      </c>
      <c r="G4088" s="2" t="s">
        <v>125</v>
      </c>
      <c r="H4088" s="2" t="s">
        <v>34</v>
      </c>
      <c r="I4088" s="2" t="s">
        <v>12746</v>
      </c>
      <c r="J4088" s="2" t="s">
        <v>12747</v>
      </c>
      <c r="K4088" s="2" t="s">
        <v>125</v>
      </c>
      <c r="L4088" s="2" t="s">
        <v>902</v>
      </c>
      <c r="M4088" s="2"/>
      <c r="N4088" s="2"/>
      <c r="O4088" s="2"/>
      <c r="P4088" s="2" t="s">
        <v>12748</v>
      </c>
      <c r="Q4088" s="6">
        <v>100</v>
      </c>
      <c r="R4088" s="6">
        <v>8.25</v>
      </c>
      <c r="S4088" s="5">
        <v>1.9</v>
      </c>
      <c r="T4088" s="2"/>
      <c r="U4088" s="5">
        <v>10</v>
      </c>
      <c r="V4088" s="6">
        <v>0.32</v>
      </c>
      <c r="W4088" s="7">
        <v>5.375</v>
      </c>
      <c r="X4088" s="5">
        <v>7.5</v>
      </c>
      <c r="Y4088" s="7">
        <v>7.8129999999999997</v>
      </c>
      <c r="Z4088" s="6">
        <v>7.75</v>
      </c>
      <c r="AA4088" s="6">
        <v>4.71</v>
      </c>
      <c r="AB4088" s="7">
        <v>16.533999999999999</v>
      </c>
      <c r="AC4088" s="6">
        <v>4.04</v>
      </c>
    </row>
    <row r="4089" spans="1:29" ht="78" x14ac:dyDescent="0.15">
      <c r="A4089" s="3">
        <f>DATE(1998,8,13)</f>
        <v>36020</v>
      </c>
      <c r="B4089" s="3">
        <f>DATE(1998,12,3)</f>
        <v>36132</v>
      </c>
      <c r="C4089" s="2" t="s">
        <v>95</v>
      </c>
      <c r="D4089" s="2" t="s">
        <v>12749</v>
      </c>
      <c r="E4089" s="2" t="s">
        <v>1891</v>
      </c>
      <c r="F4089" s="4">
        <v>7832</v>
      </c>
      <c r="G4089" s="2" t="s">
        <v>42</v>
      </c>
      <c r="H4089" s="2" t="s">
        <v>34</v>
      </c>
      <c r="I4089" s="2" t="s">
        <v>12750</v>
      </c>
      <c r="J4089" s="2" t="s">
        <v>10833</v>
      </c>
      <c r="K4089" s="2" t="s">
        <v>45</v>
      </c>
      <c r="L4089" s="2" t="s">
        <v>34</v>
      </c>
      <c r="M4089" s="12">
        <v>2178.2170000000001</v>
      </c>
      <c r="N4089" s="7">
        <v>86.563000000000002</v>
      </c>
      <c r="O4089" s="5">
        <v>82.5</v>
      </c>
      <c r="P4089" s="2" t="s">
        <v>12751</v>
      </c>
      <c r="Q4089" s="6">
        <v>100</v>
      </c>
      <c r="R4089" s="6">
        <v>24.25</v>
      </c>
      <c r="S4089" s="5">
        <v>-1.3</v>
      </c>
      <c r="T4089" s="7">
        <v>2.7370000000000001</v>
      </c>
      <c r="U4089" s="5">
        <v>4.7</v>
      </c>
      <c r="V4089" s="6">
        <v>-1.03</v>
      </c>
      <c r="W4089" s="4">
        <v>22</v>
      </c>
      <c r="X4089" s="4">
        <v>22</v>
      </c>
      <c r="Y4089" s="5">
        <v>22.5</v>
      </c>
      <c r="Z4089" s="6">
        <v>22.25</v>
      </c>
      <c r="AA4089" s="6">
        <v>2.2999999999999998</v>
      </c>
      <c r="AB4089" s="7">
        <v>140.56100000000001</v>
      </c>
      <c r="AC4089" s="6">
        <v>410.14</v>
      </c>
    </row>
    <row r="4090" spans="1:29" ht="117" x14ac:dyDescent="0.15">
      <c r="A4090" s="3">
        <f>DATE(1998,8,13)</f>
        <v>36020</v>
      </c>
      <c r="B4090" s="3">
        <f>DATE(1998,12,31)</f>
        <v>36160</v>
      </c>
      <c r="C4090" s="2" t="s">
        <v>95</v>
      </c>
      <c r="D4090" s="2" t="s">
        <v>12752</v>
      </c>
      <c r="E4090" s="2" t="s">
        <v>12753</v>
      </c>
      <c r="F4090" s="4">
        <v>7549</v>
      </c>
      <c r="G4090" s="2" t="s">
        <v>1327</v>
      </c>
      <c r="H4090" s="2" t="s">
        <v>34</v>
      </c>
      <c r="I4090" s="2" t="s">
        <v>12754</v>
      </c>
      <c r="J4090" s="2" t="s">
        <v>12755</v>
      </c>
      <c r="K4090" s="2" t="s">
        <v>53</v>
      </c>
      <c r="L4090" s="2" t="s">
        <v>34</v>
      </c>
      <c r="M4090" s="2"/>
      <c r="N4090" s="2"/>
      <c r="O4090" s="2"/>
      <c r="P4090" s="2" t="s">
        <v>12756</v>
      </c>
      <c r="Q4090" s="6">
        <v>100</v>
      </c>
      <c r="R4090" s="6">
        <v>17.25</v>
      </c>
      <c r="S4090" s="5">
        <v>-7.3</v>
      </c>
      <c r="T4090" s="7">
        <v>44.485999999999997</v>
      </c>
      <c r="U4090" s="5">
        <v>-2</v>
      </c>
      <c r="V4090" s="6">
        <v>-0.44</v>
      </c>
      <c r="W4090" s="4">
        <v>17</v>
      </c>
      <c r="X4090" s="4">
        <v>15</v>
      </c>
      <c r="Y4090" s="6">
        <v>16.75</v>
      </c>
      <c r="Z4090" s="7">
        <v>16.625</v>
      </c>
      <c r="AA4090" s="6">
        <v>12.12</v>
      </c>
      <c r="AB4090" s="7">
        <v>28.116</v>
      </c>
      <c r="AC4090" s="2"/>
    </row>
    <row r="4091" spans="1:29" ht="104" x14ac:dyDescent="0.15">
      <c r="A4091" s="3">
        <f>DATE(1998,8,13)</f>
        <v>36020</v>
      </c>
      <c r="B4091" s="3">
        <f>DATE(1998,12,31)</f>
        <v>36160</v>
      </c>
      <c r="C4091" s="2" t="s">
        <v>95</v>
      </c>
      <c r="D4091" s="2" t="s">
        <v>12757</v>
      </c>
      <c r="E4091" s="2" t="s">
        <v>389</v>
      </c>
      <c r="F4091" s="4">
        <v>6035</v>
      </c>
      <c r="G4091" s="2" t="s">
        <v>33</v>
      </c>
      <c r="H4091" s="2" t="s">
        <v>34</v>
      </c>
      <c r="I4091" s="2" t="s">
        <v>12758</v>
      </c>
      <c r="J4091" s="2" t="s">
        <v>1181</v>
      </c>
      <c r="K4091" s="2" t="s">
        <v>37</v>
      </c>
      <c r="L4091" s="2" t="s">
        <v>34</v>
      </c>
      <c r="M4091" s="2"/>
      <c r="N4091" s="5">
        <v>10.5</v>
      </c>
      <c r="O4091" s="4">
        <v>12</v>
      </c>
      <c r="P4091" s="2" t="s">
        <v>12759</v>
      </c>
      <c r="Q4091" s="6">
        <v>100</v>
      </c>
      <c r="R4091" s="6">
        <v>20</v>
      </c>
      <c r="S4091" s="2"/>
      <c r="T4091" s="2"/>
      <c r="U4091" s="2"/>
      <c r="V4091" s="2"/>
      <c r="W4091" s="6">
        <v>17.25</v>
      </c>
      <c r="X4091" s="6">
        <v>16.13</v>
      </c>
      <c r="Y4091" s="6">
        <v>17.25</v>
      </c>
      <c r="Z4091" s="7">
        <v>17.875</v>
      </c>
      <c r="AA4091" s="6">
        <v>0.93</v>
      </c>
      <c r="AB4091" s="2" t="s">
        <v>47</v>
      </c>
      <c r="AC4091" s="2"/>
    </row>
    <row r="4092" spans="1:29" ht="182" x14ac:dyDescent="0.15">
      <c r="A4092" s="3">
        <f>DATE(1998,8,13)</f>
        <v>36020</v>
      </c>
      <c r="B4092" s="2"/>
      <c r="C4092" s="2" t="s">
        <v>30</v>
      </c>
      <c r="D4092" s="2" t="s">
        <v>12760</v>
      </c>
      <c r="E4092" s="2" t="s">
        <v>1181</v>
      </c>
      <c r="F4092" s="4">
        <v>6021</v>
      </c>
      <c r="G4092" s="2" t="s">
        <v>37</v>
      </c>
      <c r="H4092" s="2" t="s">
        <v>34</v>
      </c>
      <c r="I4092" s="2" t="s">
        <v>12761</v>
      </c>
      <c r="J4092" s="2" t="s">
        <v>1181</v>
      </c>
      <c r="K4092" s="2" t="s">
        <v>37</v>
      </c>
      <c r="L4092" s="2" t="s">
        <v>34</v>
      </c>
      <c r="M4092" s="7">
        <v>45.215000000000003</v>
      </c>
      <c r="N4092" s="4">
        <v>16</v>
      </c>
      <c r="O4092" s="4">
        <v>16</v>
      </c>
      <c r="P4092" s="2" t="s">
        <v>12762</v>
      </c>
      <c r="Q4092" s="2"/>
      <c r="R4092" s="6">
        <v>16</v>
      </c>
      <c r="S4092" s="5">
        <v>1.4</v>
      </c>
      <c r="T4092" s="7">
        <v>2.5310000000000001</v>
      </c>
      <c r="U4092" s="5">
        <v>4.7</v>
      </c>
      <c r="V4092" s="9">
        <v>0.56240000000000001</v>
      </c>
      <c r="W4092" s="4">
        <v>15</v>
      </c>
      <c r="X4092" s="6">
        <v>14.75</v>
      </c>
      <c r="Y4092" s="4">
        <v>13</v>
      </c>
      <c r="Z4092" s="6">
        <v>14.75</v>
      </c>
      <c r="AA4092" s="6">
        <v>2.4700000000000002</v>
      </c>
      <c r="AB4092" s="7">
        <v>17.606999999999999</v>
      </c>
      <c r="AC4092" s="2"/>
    </row>
    <row r="4093" spans="1:29" ht="52" x14ac:dyDescent="0.15">
      <c r="A4093" s="3">
        <f>DATE(1998,8,14)</f>
        <v>36021</v>
      </c>
      <c r="B4093" s="3">
        <f>DATE(1999,3,26)</f>
        <v>36245</v>
      </c>
      <c r="C4093" s="2" t="s">
        <v>95</v>
      </c>
      <c r="D4093" s="2" t="s">
        <v>12763</v>
      </c>
      <c r="E4093" s="2" t="s">
        <v>12764</v>
      </c>
      <c r="F4093" s="4">
        <v>5983</v>
      </c>
      <c r="G4093" s="2" t="s">
        <v>73</v>
      </c>
      <c r="H4093" s="2" t="s">
        <v>34</v>
      </c>
      <c r="I4093" s="2" t="s">
        <v>8319</v>
      </c>
      <c r="J4093" s="2" t="s">
        <v>12765</v>
      </c>
      <c r="K4093" s="2" t="s">
        <v>73</v>
      </c>
      <c r="L4093" s="2" t="s">
        <v>34</v>
      </c>
      <c r="M4093" s="7">
        <v>133.512</v>
      </c>
      <c r="N4093" s="7">
        <v>21.312999999999999</v>
      </c>
      <c r="O4093" s="7">
        <v>21.312999999999999</v>
      </c>
      <c r="P4093" s="2" t="s">
        <v>12766</v>
      </c>
      <c r="Q4093" s="6">
        <v>100</v>
      </c>
      <c r="R4093" s="2"/>
      <c r="S4093" s="5">
        <v>-22.9</v>
      </c>
      <c r="T4093" s="7">
        <v>35.445</v>
      </c>
      <c r="U4093" s="5">
        <v>-6.7</v>
      </c>
      <c r="V4093" s="6">
        <v>-1.06</v>
      </c>
      <c r="W4093" s="7">
        <v>17.625</v>
      </c>
      <c r="X4093" s="7">
        <v>17.625</v>
      </c>
      <c r="Y4093" s="7">
        <v>17.625</v>
      </c>
      <c r="Z4093" s="7">
        <v>17.625</v>
      </c>
      <c r="AA4093" s="6">
        <v>23.96</v>
      </c>
      <c r="AB4093" s="2" t="s">
        <v>47</v>
      </c>
      <c r="AC4093" s="6">
        <v>0.89</v>
      </c>
    </row>
    <row r="4094" spans="1:29" ht="52" x14ac:dyDescent="0.15">
      <c r="A4094" s="3">
        <f>DATE(1998,8,14)</f>
        <v>36021</v>
      </c>
      <c r="B4094" s="2"/>
      <c r="C4094" s="2" t="s">
        <v>30</v>
      </c>
      <c r="D4094" s="2" t="s">
        <v>12767</v>
      </c>
      <c r="E4094" s="2" t="s">
        <v>12768</v>
      </c>
      <c r="F4094" s="4">
        <v>3564</v>
      </c>
      <c r="G4094" s="2" t="s">
        <v>300</v>
      </c>
      <c r="H4094" s="2" t="s">
        <v>34</v>
      </c>
      <c r="I4094" s="2" t="s">
        <v>12769</v>
      </c>
      <c r="J4094" s="2" t="s">
        <v>12770</v>
      </c>
      <c r="K4094" s="2" t="s">
        <v>109</v>
      </c>
      <c r="L4094" s="2" t="s">
        <v>303</v>
      </c>
      <c r="M4094" s="2"/>
      <c r="N4094" s="2"/>
      <c r="O4094" s="2"/>
      <c r="P4094" s="2" t="s">
        <v>12771</v>
      </c>
      <c r="Q4094" s="2"/>
      <c r="R4094" s="6">
        <v>7.27</v>
      </c>
      <c r="S4094" s="5">
        <v>2.1</v>
      </c>
      <c r="T4094" s="7">
        <v>5.6420000000000003</v>
      </c>
      <c r="U4094" s="5">
        <v>3.2</v>
      </c>
      <c r="V4094" s="6">
        <v>0.28999999999999998</v>
      </c>
      <c r="W4094" s="7">
        <v>4.375</v>
      </c>
      <c r="X4094" s="7">
        <v>4.125</v>
      </c>
      <c r="Y4094" s="6">
        <v>4.75</v>
      </c>
      <c r="Z4094" s="7">
        <v>6.625</v>
      </c>
      <c r="AA4094" s="6">
        <v>7.15</v>
      </c>
      <c r="AB4094" s="7">
        <v>17.468</v>
      </c>
      <c r="AC4094" s="2"/>
    </row>
    <row r="4095" spans="1:29" ht="52" x14ac:dyDescent="0.15">
      <c r="A4095" s="3">
        <f t="shared" ref="A4095:A4100" si="74">DATE(1998,8,17)</f>
        <v>36024</v>
      </c>
      <c r="B4095" s="2"/>
      <c r="C4095" s="2" t="s">
        <v>30</v>
      </c>
      <c r="D4095" s="2" t="s">
        <v>12772</v>
      </c>
      <c r="E4095" s="2" t="s">
        <v>12773</v>
      </c>
      <c r="F4095" s="4">
        <v>3523</v>
      </c>
      <c r="G4095" s="2" t="s">
        <v>300</v>
      </c>
      <c r="H4095" s="2" t="s">
        <v>34</v>
      </c>
      <c r="I4095" s="2" t="s">
        <v>12774</v>
      </c>
      <c r="J4095" s="2" t="s">
        <v>12775</v>
      </c>
      <c r="K4095" s="2" t="s">
        <v>300</v>
      </c>
      <c r="L4095" s="2" t="s">
        <v>34</v>
      </c>
      <c r="M4095" s="2"/>
      <c r="N4095" s="2"/>
      <c r="O4095" s="2"/>
      <c r="P4095" s="2" t="s">
        <v>12776</v>
      </c>
      <c r="Q4095" s="2"/>
      <c r="R4095" s="6">
        <v>18.5</v>
      </c>
      <c r="S4095" s="5">
        <v>13.6</v>
      </c>
      <c r="T4095" s="6">
        <v>27.19</v>
      </c>
      <c r="U4095" s="5">
        <v>11</v>
      </c>
      <c r="V4095" s="6">
        <v>1.41</v>
      </c>
      <c r="W4095" s="7">
        <v>17.094000000000001</v>
      </c>
      <c r="X4095" s="4">
        <v>16</v>
      </c>
      <c r="Y4095" s="4">
        <v>16</v>
      </c>
      <c r="Z4095" s="6">
        <v>17.75</v>
      </c>
      <c r="AA4095" s="6">
        <v>9.74</v>
      </c>
      <c r="AB4095" s="7">
        <v>9.42</v>
      </c>
      <c r="AC4095" s="2"/>
    </row>
    <row r="4096" spans="1:29" ht="52" x14ac:dyDescent="0.15">
      <c r="A4096" s="3">
        <f t="shared" si="74"/>
        <v>36024</v>
      </c>
      <c r="B4096" s="2"/>
      <c r="C4096" s="2" t="s">
        <v>30</v>
      </c>
      <c r="D4096" s="2" t="s">
        <v>12695</v>
      </c>
      <c r="E4096" s="2" t="s">
        <v>12696</v>
      </c>
      <c r="F4096" s="4">
        <v>3081</v>
      </c>
      <c r="G4096" s="2" t="s">
        <v>447</v>
      </c>
      <c r="H4096" s="2" t="s">
        <v>34</v>
      </c>
      <c r="I4096" s="2" t="s">
        <v>12777</v>
      </c>
      <c r="J4096" s="2" t="s">
        <v>12778</v>
      </c>
      <c r="K4096" s="2" t="s">
        <v>98</v>
      </c>
      <c r="L4096" s="2" t="s">
        <v>34</v>
      </c>
      <c r="M4096" s="2"/>
      <c r="N4096" s="2"/>
      <c r="O4096" s="2"/>
      <c r="P4096" s="2" t="s">
        <v>12779</v>
      </c>
      <c r="Q4096" s="2"/>
      <c r="R4096" s="6">
        <v>10.5</v>
      </c>
      <c r="S4096" s="5">
        <v>1.4</v>
      </c>
      <c r="T4096" s="7">
        <v>42.442</v>
      </c>
      <c r="U4096" s="5">
        <v>10.7</v>
      </c>
      <c r="V4096" s="6">
        <v>0.13</v>
      </c>
      <c r="W4096" s="6">
        <v>8.75</v>
      </c>
      <c r="X4096" s="4">
        <v>9</v>
      </c>
      <c r="Y4096" s="7">
        <v>9.125</v>
      </c>
      <c r="Z4096" s="9">
        <v>9.5625</v>
      </c>
      <c r="AA4096" s="6">
        <v>11.02</v>
      </c>
      <c r="AB4096" s="7">
        <v>12.494</v>
      </c>
      <c r="AC4096" s="2"/>
    </row>
    <row r="4097" spans="1:29" ht="117" x14ac:dyDescent="0.15">
      <c r="A4097" s="3">
        <f t="shared" si="74"/>
        <v>36024</v>
      </c>
      <c r="B4097" s="3">
        <f>DATE(1998,12,31)</f>
        <v>36160</v>
      </c>
      <c r="C4097" s="2" t="s">
        <v>95</v>
      </c>
      <c r="D4097" s="2" t="s">
        <v>12780</v>
      </c>
      <c r="E4097" s="2" t="s">
        <v>12280</v>
      </c>
      <c r="F4097" s="4">
        <v>4953</v>
      </c>
      <c r="G4097" s="2" t="s">
        <v>116</v>
      </c>
      <c r="H4097" s="2" t="s">
        <v>34</v>
      </c>
      <c r="I4097" s="2" t="s">
        <v>534</v>
      </c>
      <c r="J4097" s="2" t="s">
        <v>5556</v>
      </c>
      <c r="K4097" s="2" t="s">
        <v>116</v>
      </c>
      <c r="L4097" s="2" t="s">
        <v>34</v>
      </c>
      <c r="M4097" s="12">
        <v>12507.724</v>
      </c>
      <c r="N4097" s="7">
        <v>51.375</v>
      </c>
      <c r="O4097" s="7">
        <v>50.688000000000002</v>
      </c>
      <c r="P4097" s="2" t="s">
        <v>12781</v>
      </c>
      <c r="Q4097" s="6">
        <v>100</v>
      </c>
      <c r="R4097" s="6">
        <v>33.75</v>
      </c>
      <c r="S4097" s="5">
        <v>2.1</v>
      </c>
      <c r="T4097" s="7">
        <v>13.715999999999999</v>
      </c>
      <c r="U4097" s="5">
        <v>3.2</v>
      </c>
      <c r="V4097" s="6">
        <v>0.14000000000000001</v>
      </c>
      <c r="W4097" s="5">
        <v>32.5</v>
      </c>
      <c r="X4097" s="4">
        <v>32</v>
      </c>
      <c r="Y4097" s="7">
        <v>30.625</v>
      </c>
      <c r="Z4097" s="6">
        <v>30.25</v>
      </c>
      <c r="AA4097" s="6">
        <v>33.840000000000003</v>
      </c>
      <c r="AB4097" s="7">
        <v>76.55</v>
      </c>
      <c r="AC4097" s="6">
        <v>51.24</v>
      </c>
    </row>
    <row r="4098" spans="1:29" ht="52" x14ac:dyDescent="0.15">
      <c r="A4098" s="3">
        <f t="shared" si="74"/>
        <v>36024</v>
      </c>
      <c r="B4098" s="3">
        <f>DATE(1999,4,13)</f>
        <v>36263</v>
      </c>
      <c r="C4098" s="2" t="s">
        <v>95</v>
      </c>
      <c r="D4098" s="2" t="s">
        <v>12782</v>
      </c>
      <c r="E4098" s="2" t="s">
        <v>36</v>
      </c>
      <c r="F4098" s="4">
        <v>6021</v>
      </c>
      <c r="G4098" s="2" t="s">
        <v>37</v>
      </c>
      <c r="H4098" s="2" t="s">
        <v>34</v>
      </c>
      <c r="I4098" s="2" t="s">
        <v>10758</v>
      </c>
      <c r="J4098" s="2" t="s">
        <v>32</v>
      </c>
      <c r="K4098" s="2" t="s">
        <v>33</v>
      </c>
      <c r="L4098" s="2" t="s">
        <v>34</v>
      </c>
      <c r="M4098" s="2"/>
      <c r="N4098" s="5">
        <v>32.5</v>
      </c>
      <c r="O4098" s="4">
        <v>31</v>
      </c>
      <c r="P4098" s="2" t="s">
        <v>12783</v>
      </c>
      <c r="Q4098" s="6">
        <v>100</v>
      </c>
      <c r="R4098" s="6">
        <v>15</v>
      </c>
      <c r="S4098" s="5">
        <v>1.4</v>
      </c>
      <c r="T4098" s="7">
        <v>2.0489999999999999</v>
      </c>
      <c r="U4098" s="5">
        <v>7.7</v>
      </c>
      <c r="V4098" s="6">
        <v>0.78</v>
      </c>
      <c r="W4098" s="6">
        <v>3.63</v>
      </c>
      <c r="X4098" s="6">
        <v>3.63</v>
      </c>
      <c r="Y4098" s="5">
        <v>12.5</v>
      </c>
      <c r="Z4098" s="6">
        <v>13.75</v>
      </c>
      <c r="AA4098" s="6">
        <v>1.68</v>
      </c>
      <c r="AB4098" s="7">
        <v>52.709000000000003</v>
      </c>
      <c r="AC4098" s="2"/>
    </row>
    <row r="4099" spans="1:29" ht="117" x14ac:dyDescent="0.15">
      <c r="A4099" s="3">
        <f t="shared" si="74"/>
        <v>36024</v>
      </c>
      <c r="B4099" s="2"/>
      <c r="C4099" s="2" t="s">
        <v>30</v>
      </c>
      <c r="D4099" s="2" t="s">
        <v>12784</v>
      </c>
      <c r="E4099" s="2" t="s">
        <v>12785</v>
      </c>
      <c r="F4099" s="4">
        <v>3728</v>
      </c>
      <c r="G4099" s="2" t="s">
        <v>219</v>
      </c>
      <c r="H4099" s="2" t="s">
        <v>34</v>
      </c>
      <c r="I4099" s="2" t="s">
        <v>51</v>
      </c>
      <c r="J4099" s="2" t="s">
        <v>52</v>
      </c>
      <c r="K4099" s="2" t="s">
        <v>53</v>
      </c>
      <c r="L4099" s="2" t="s">
        <v>34</v>
      </c>
      <c r="M4099" s="2"/>
      <c r="N4099" s="2"/>
      <c r="O4099" s="2"/>
      <c r="P4099" s="2" t="s">
        <v>12786</v>
      </c>
      <c r="Q4099" s="2"/>
      <c r="R4099" s="6">
        <v>5.25</v>
      </c>
      <c r="S4099" s="5">
        <v>0.8</v>
      </c>
      <c r="T4099" s="7">
        <v>1.669</v>
      </c>
      <c r="U4099" s="5">
        <v>0.4</v>
      </c>
      <c r="V4099" s="9">
        <v>0.1777</v>
      </c>
      <c r="W4099" s="6">
        <v>3.63</v>
      </c>
      <c r="X4099" s="6">
        <v>3.68</v>
      </c>
      <c r="Y4099" s="4">
        <v>4</v>
      </c>
      <c r="Z4099" s="4">
        <v>4</v>
      </c>
      <c r="AA4099" s="6">
        <v>3.18</v>
      </c>
      <c r="AB4099" s="7">
        <v>25.946999999999999</v>
      </c>
      <c r="AC4099" s="2"/>
    </row>
    <row r="4100" spans="1:29" ht="104" x14ac:dyDescent="0.15">
      <c r="A4100" s="3">
        <f t="shared" si="74"/>
        <v>36024</v>
      </c>
      <c r="B4100" s="3">
        <f>DATE(1998,12,31)</f>
        <v>36160</v>
      </c>
      <c r="C4100" s="2" t="s">
        <v>95</v>
      </c>
      <c r="D4100" s="2" t="s">
        <v>12787</v>
      </c>
      <c r="E4100" s="2" t="s">
        <v>12788</v>
      </c>
      <c r="F4100" s="4">
        <v>6035</v>
      </c>
      <c r="G4100" s="2" t="s">
        <v>33</v>
      </c>
      <c r="H4100" s="2" t="s">
        <v>34</v>
      </c>
      <c r="I4100" s="2" t="s">
        <v>7189</v>
      </c>
      <c r="J4100" s="2" t="s">
        <v>7190</v>
      </c>
      <c r="K4100" s="2" t="s">
        <v>37</v>
      </c>
      <c r="L4100" s="2" t="s">
        <v>34</v>
      </c>
      <c r="M4100" s="7">
        <v>544.02800000000002</v>
      </c>
      <c r="N4100" s="7">
        <v>21.625</v>
      </c>
      <c r="O4100" s="4">
        <v>22</v>
      </c>
      <c r="P4100" s="2" t="s">
        <v>12789</v>
      </c>
      <c r="Q4100" s="6">
        <v>100</v>
      </c>
      <c r="R4100" s="6">
        <v>30.86</v>
      </c>
      <c r="S4100" s="5">
        <v>4.7</v>
      </c>
      <c r="T4100" s="7">
        <v>7.665</v>
      </c>
      <c r="U4100" s="5">
        <v>19.7</v>
      </c>
      <c r="V4100" s="6">
        <v>1.75</v>
      </c>
      <c r="W4100" s="7">
        <v>27.937999999999999</v>
      </c>
      <c r="X4100" s="4">
        <v>27</v>
      </c>
      <c r="Y4100" s="6">
        <v>27.75</v>
      </c>
      <c r="Z4100" s="6">
        <v>28.75</v>
      </c>
      <c r="AA4100" s="6">
        <v>2.4900000000000002</v>
      </c>
      <c r="AB4100" s="7">
        <v>10.917999999999999</v>
      </c>
      <c r="AC4100" s="2"/>
    </row>
    <row r="4101" spans="1:29" ht="39" x14ac:dyDescent="0.15">
      <c r="A4101" s="3">
        <f>DATE(1998,8,18)</f>
        <v>36025</v>
      </c>
      <c r="B4101" s="2"/>
      <c r="C4101" s="2" t="s">
        <v>30</v>
      </c>
      <c r="D4101" s="2" t="s">
        <v>6406</v>
      </c>
      <c r="E4101" s="2" t="s">
        <v>781</v>
      </c>
      <c r="F4101" s="4">
        <v>7372</v>
      </c>
      <c r="G4101" s="2" t="s">
        <v>551</v>
      </c>
      <c r="H4101" s="2" t="s">
        <v>34</v>
      </c>
      <c r="I4101" s="2" t="s">
        <v>12790</v>
      </c>
      <c r="J4101" s="2" t="s">
        <v>12791</v>
      </c>
      <c r="K4101" s="2" t="s">
        <v>551</v>
      </c>
      <c r="L4101" s="2" t="s">
        <v>34</v>
      </c>
      <c r="M4101" s="2"/>
      <c r="N4101" s="2"/>
      <c r="O4101" s="2"/>
      <c r="P4101" s="2" t="s">
        <v>12792</v>
      </c>
      <c r="Q4101" s="2"/>
      <c r="R4101" s="2"/>
      <c r="S4101" s="5">
        <v>186.8</v>
      </c>
      <c r="T4101" s="7">
        <v>295.51900000000001</v>
      </c>
      <c r="U4101" s="5">
        <v>1.3</v>
      </c>
      <c r="V4101" s="7">
        <v>0.315</v>
      </c>
      <c r="W4101" s="7">
        <v>30.812999999999999</v>
      </c>
      <c r="X4101" s="7">
        <v>27.125</v>
      </c>
      <c r="Y4101" s="4">
        <v>27</v>
      </c>
      <c r="Z4101" s="9">
        <v>25.8125</v>
      </c>
      <c r="AA4101" s="6">
        <v>67.2</v>
      </c>
      <c r="AB4101" s="2" t="s">
        <v>47</v>
      </c>
      <c r="AC4101" s="2"/>
    </row>
    <row r="4102" spans="1:29" ht="52" x14ac:dyDescent="0.15">
      <c r="A4102" s="3">
        <f>DATE(1998,8,18)</f>
        <v>36025</v>
      </c>
      <c r="B4102" s="2"/>
      <c r="C4102" s="2" t="s">
        <v>189</v>
      </c>
      <c r="D4102" s="2" t="s">
        <v>10946</v>
      </c>
      <c r="E4102" s="2" t="s">
        <v>2898</v>
      </c>
      <c r="F4102" s="4">
        <v>6022</v>
      </c>
      <c r="G4102" s="2" t="s">
        <v>37</v>
      </c>
      <c r="H4102" s="2" t="s">
        <v>34</v>
      </c>
      <c r="I4102" s="2" t="s">
        <v>143</v>
      </c>
      <c r="J4102" s="2" t="s">
        <v>144</v>
      </c>
      <c r="K4102" s="2" t="s">
        <v>53</v>
      </c>
      <c r="L4102" s="2" t="s">
        <v>139</v>
      </c>
      <c r="M4102" s="2"/>
      <c r="N4102" s="2"/>
      <c r="O4102" s="2"/>
      <c r="P4102" s="2" t="s">
        <v>12793</v>
      </c>
      <c r="Q4102" s="2"/>
      <c r="R4102" s="2"/>
      <c r="S4102" s="5">
        <v>7.5</v>
      </c>
      <c r="T4102" s="7">
        <v>13.568</v>
      </c>
      <c r="U4102" s="5">
        <v>13.1</v>
      </c>
      <c r="V4102" s="6">
        <v>1.82</v>
      </c>
      <c r="W4102" s="7">
        <v>32.625</v>
      </c>
      <c r="X4102" s="6">
        <v>32.75</v>
      </c>
      <c r="Y4102" s="5">
        <v>33.5</v>
      </c>
      <c r="Z4102" s="6">
        <v>32.75</v>
      </c>
      <c r="AA4102" s="6">
        <v>5.17</v>
      </c>
      <c r="AB4102" s="2" t="s">
        <v>47</v>
      </c>
      <c r="AC4102" s="2"/>
    </row>
    <row r="4103" spans="1:29" ht="104" x14ac:dyDescent="0.15">
      <c r="A4103" s="3">
        <f>DATE(1998,8,19)</f>
        <v>36026</v>
      </c>
      <c r="B4103" s="2"/>
      <c r="C4103" s="2" t="s">
        <v>30</v>
      </c>
      <c r="D4103" s="2" t="s">
        <v>12794</v>
      </c>
      <c r="E4103" s="2" t="s">
        <v>12184</v>
      </c>
      <c r="F4103" s="4">
        <v>2082</v>
      </c>
      <c r="G4103" s="2" t="s">
        <v>577</v>
      </c>
      <c r="H4103" s="2" t="s">
        <v>34</v>
      </c>
      <c r="I4103" s="2" t="s">
        <v>12795</v>
      </c>
      <c r="J4103" s="2" t="s">
        <v>12796</v>
      </c>
      <c r="K4103" s="2" t="s">
        <v>577</v>
      </c>
      <c r="L4103" s="2" t="s">
        <v>34</v>
      </c>
      <c r="M4103" s="2"/>
      <c r="N4103" s="2"/>
      <c r="O4103" s="2"/>
      <c r="P4103" s="2" t="s">
        <v>12797</v>
      </c>
      <c r="Q4103" s="2"/>
      <c r="R4103" s="6">
        <v>5.0199999999999996</v>
      </c>
      <c r="S4103" s="5">
        <v>1.8</v>
      </c>
      <c r="T4103" s="7">
        <v>3.923</v>
      </c>
      <c r="U4103" s="5">
        <v>3.7</v>
      </c>
      <c r="V4103" s="6">
        <v>0.47</v>
      </c>
      <c r="W4103" s="4">
        <v>4</v>
      </c>
      <c r="X4103" s="6">
        <v>3.75</v>
      </c>
      <c r="Y4103" s="7">
        <v>3.6880000000000002</v>
      </c>
      <c r="Z4103" s="7">
        <v>3.6880000000000002</v>
      </c>
      <c r="AA4103" s="6">
        <v>3.89</v>
      </c>
      <c r="AB4103" s="7">
        <v>5.2809999999999997</v>
      </c>
      <c r="AC4103" s="2"/>
    </row>
    <row r="4104" spans="1:29" ht="117" x14ac:dyDescent="0.15">
      <c r="A4104" s="3">
        <f>DATE(1998,8,19)</f>
        <v>36026</v>
      </c>
      <c r="B4104" s="3">
        <f>DATE(1998,12,16)</f>
        <v>36145</v>
      </c>
      <c r="C4104" s="2" t="s">
        <v>95</v>
      </c>
      <c r="D4104" s="2" t="s">
        <v>12798</v>
      </c>
      <c r="E4104" s="2" t="s">
        <v>1550</v>
      </c>
      <c r="F4104" s="4">
        <v>5734</v>
      </c>
      <c r="G4104" s="2" t="s">
        <v>1227</v>
      </c>
      <c r="H4104" s="2" t="s">
        <v>34</v>
      </c>
      <c r="I4104" s="2" t="s">
        <v>866</v>
      </c>
      <c r="J4104" s="2" t="s">
        <v>867</v>
      </c>
      <c r="K4104" s="2" t="s">
        <v>223</v>
      </c>
      <c r="L4104" s="2" t="s">
        <v>34</v>
      </c>
      <c r="M4104" s="7">
        <v>778.78399999999999</v>
      </c>
      <c r="N4104" s="4">
        <v>44</v>
      </c>
      <c r="O4104" s="4">
        <v>44</v>
      </c>
      <c r="P4104" s="2" t="s">
        <v>12799</v>
      </c>
      <c r="Q4104" s="6">
        <v>100</v>
      </c>
      <c r="R4104" s="6">
        <v>7.36</v>
      </c>
      <c r="S4104" s="5">
        <v>1.9</v>
      </c>
      <c r="T4104" s="7">
        <v>3.2290000000000001</v>
      </c>
      <c r="U4104" s="5">
        <v>1.7</v>
      </c>
      <c r="V4104" s="6">
        <v>0.37</v>
      </c>
      <c r="W4104" s="7">
        <v>4.625</v>
      </c>
      <c r="X4104" s="7">
        <v>4.875</v>
      </c>
      <c r="Y4104" s="7">
        <v>6.375</v>
      </c>
      <c r="Z4104" s="7">
        <v>6.3129999999999997</v>
      </c>
      <c r="AA4104" s="6">
        <v>4.92</v>
      </c>
      <c r="AB4104" s="7">
        <v>15.513999999999999</v>
      </c>
      <c r="AC4104" s="6">
        <v>26.52</v>
      </c>
    </row>
    <row r="4105" spans="1:29" ht="52" x14ac:dyDescent="0.15">
      <c r="A4105" s="3">
        <f>DATE(1998,8,20)</f>
        <v>36027</v>
      </c>
      <c r="B4105" s="2"/>
      <c r="C4105" s="2" t="s">
        <v>30</v>
      </c>
      <c r="D4105" s="2" t="s">
        <v>5122</v>
      </c>
      <c r="E4105" s="2" t="s">
        <v>5123</v>
      </c>
      <c r="F4105" s="4">
        <v>6792</v>
      </c>
      <c r="G4105" s="2" t="s">
        <v>53</v>
      </c>
      <c r="H4105" s="2" t="s">
        <v>34</v>
      </c>
      <c r="I4105" s="2" t="s">
        <v>11544</v>
      </c>
      <c r="J4105" s="2" t="s">
        <v>612</v>
      </c>
      <c r="K4105" s="2" t="s">
        <v>148</v>
      </c>
      <c r="L4105" s="2" t="s">
        <v>34</v>
      </c>
      <c r="M4105" s="7">
        <v>41.587000000000003</v>
      </c>
      <c r="N4105" s="7">
        <v>3.875</v>
      </c>
      <c r="O4105" s="6">
        <v>3.75</v>
      </c>
      <c r="P4105" s="2" t="s">
        <v>12800</v>
      </c>
      <c r="Q4105" s="2"/>
      <c r="R4105" s="6">
        <v>15</v>
      </c>
      <c r="S4105" s="5">
        <v>2</v>
      </c>
      <c r="T4105" s="7">
        <v>3.343</v>
      </c>
      <c r="U4105" s="5">
        <v>10</v>
      </c>
      <c r="V4105" s="6">
        <v>1.37</v>
      </c>
      <c r="W4105" s="7">
        <v>14.125</v>
      </c>
      <c r="X4105" s="7">
        <v>14.125</v>
      </c>
      <c r="Y4105" s="6">
        <v>8.75</v>
      </c>
      <c r="Z4105" s="7">
        <v>8.875</v>
      </c>
      <c r="AA4105" s="6">
        <v>1.34</v>
      </c>
      <c r="AB4105" s="7">
        <v>9.25</v>
      </c>
      <c r="AC4105" s="2"/>
    </row>
    <row r="4106" spans="1:29" ht="104" x14ac:dyDescent="0.15">
      <c r="A4106" s="3">
        <f>DATE(1998,8,20)</f>
        <v>36027</v>
      </c>
      <c r="B4106" s="2"/>
      <c r="C4106" s="2" t="s">
        <v>30</v>
      </c>
      <c r="D4106" s="2" t="s">
        <v>6025</v>
      </c>
      <c r="E4106" s="2" t="s">
        <v>6026</v>
      </c>
      <c r="F4106" s="4">
        <v>8082</v>
      </c>
      <c r="G4106" s="2" t="s">
        <v>454</v>
      </c>
      <c r="H4106" s="2" t="s">
        <v>34</v>
      </c>
      <c r="I4106" s="2" t="s">
        <v>12801</v>
      </c>
      <c r="J4106" s="2" t="s">
        <v>302</v>
      </c>
      <c r="K4106" s="2" t="s">
        <v>53</v>
      </c>
      <c r="L4106" s="2" t="s">
        <v>34</v>
      </c>
      <c r="M4106" s="2"/>
      <c r="N4106" s="2"/>
      <c r="O4106" s="2"/>
      <c r="P4106" s="2" t="s">
        <v>12802</v>
      </c>
      <c r="Q4106" s="2"/>
      <c r="R4106" s="6">
        <v>1.72</v>
      </c>
      <c r="S4106" s="5">
        <v>-2</v>
      </c>
      <c r="T4106" s="7">
        <v>-0.57199999999999995</v>
      </c>
      <c r="U4106" s="8">
        <v>31532.2</v>
      </c>
      <c r="V4106" s="5">
        <v>-10000</v>
      </c>
      <c r="W4106" s="5">
        <v>1.1000000000000001</v>
      </c>
      <c r="X4106" s="6">
        <v>1.06</v>
      </c>
      <c r="Y4106" s="11">
        <v>1.40625</v>
      </c>
      <c r="Z4106" s="11">
        <v>1.09375</v>
      </c>
      <c r="AA4106" s="6">
        <v>4.97</v>
      </c>
      <c r="AB4106" s="2" t="s">
        <v>86</v>
      </c>
      <c r="AC4106" s="2"/>
    </row>
    <row r="4107" spans="1:29" ht="104" x14ac:dyDescent="0.15">
      <c r="A4107" s="3">
        <f>DATE(1998,8,20)</f>
        <v>36027</v>
      </c>
      <c r="B4107" s="3">
        <f>DATE(1999,1,1)</f>
        <v>36161</v>
      </c>
      <c r="C4107" s="2" t="s">
        <v>95</v>
      </c>
      <c r="D4107" s="2" t="s">
        <v>12803</v>
      </c>
      <c r="E4107" s="2" t="s">
        <v>746</v>
      </c>
      <c r="F4107" s="4">
        <v>6311</v>
      </c>
      <c r="G4107" s="2" t="s">
        <v>125</v>
      </c>
      <c r="H4107" s="2" t="s">
        <v>34</v>
      </c>
      <c r="I4107" s="2" t="s">
        <v>830</v>
      </c>
      <c r="J4107" s="2" t="s">
        <v>831</v>
      </c>
      <c r="K4107" s="2" t="s">
        <v>125</v>
      </c>
      <c r="L4107" s="2" t="s">
        <v>34</v>
      </c>
      <c r="M4107" s="12">
        <v>67900.123000000007</v>
      </c>
      <c r="N4107" s="5">
        <v>87.5</v>
      </c>
      <c r="O4107" s="7">
        <v>87.625</v>
      </c>
      <c r="P4107" s="2" t="s">
        <v>12804</v>
      </c>
      <c r="Q4107" s="6">
        <v>100</v>
      </c>
      <c r="R4107" s="6">
        <v>80.900000000000006</v>
      </c>
      <c r="S4107" s="5">
        <v>420.9</v>
      </c>
      <c r="T4107" s="2"/>
      <c r="U4107" s="5">
        <v>10.9</v>
      </c>
      <c r="V4107" s="6">
        <v>1.8</v>
      </c>
      <c r="W4107" s="6">
        <v>59.75</v>
      </c>
      <c r="X4107" s="6">
        <v>64.25</v>
      </c>
      <c r="Y4107" s="7">
        <v>71.375</v>
      </c>
      <c r="Z4107" s="7">
        <v>71.891000000000005</v>
      </c>
      <c r="AA4107" s="6">
        <v>195.74</v>
      </c>
      <c r="AB4107" s="7">
        <v>27.687000000000001</v>
      </c>
      <c r="AC4107" s="6">
        <v>86.92</v>
      </c>
    </row>
    <row r="4108" spans="1:29" ht="52" x14ac:dyDescent="0.15">
      <c r="A4108" s="3">
        <f>DATE(1998,8,20)</f>
        <v>36027</v>
      </c>
      <c r="B4108" s="3">
        <f>DATE(1998,8,20)</f>
        <v>36027</v>
      </c>
      <c r="C4108" s="2" t="s">
        <v>95</v>
      </c>
      <c r="D4108" s="2" t="s">
        <v>12805</v>
      </c>
      <c r="E4108" s="2" t="s">
        <v>515</v>
      </c>
      <c r="F4108" s="4">
        <v>6331</v>
      </c>
      <c r="G4108" s="2" t="s">
        <v>125</v>
      </c>
      <c r="H4108" s="2" t="s">
        <v>34</v>
      </c>
      <c r="I4108" s="2" t="s">
        <v>51</v>
      </c>
      <c r="J4108" s="2" t="s">
        <v>52</v>
      </c>
      <c r="K4108" s="2" t="s">
        <v>53</v>
      </c>
      <c r="L4108" s="2" t="s">
        <v>34</v>
      </c>
      <c r="M4108" s="2"/>
      <c r="N4108" s="2"/>
      <c r="O4108" s="2"/>
      <c r="P4108" s="2" t="s">
        <v>12806</v>
      </c>
      <c r="Q4108" s="6">
        <v>53.1</v>
      </c>
      <c r="R4108" s="2"/>
      <c r="S4108" s="5">
        <v>110.9</v>
      </c>
      <c r="T4108" s="2"/>
      <c r="U4108" s="5">
        <v>6.5</v>
      </c>
      <c r="V4108" s="6">
        <v>1.37</v>
      </c>
      <c r="W4108" s="7">
        <v>25.375</v>
      </c>
      <c r="X4108" s="9">
        <v>25.8125</v>
      </c>
      <c r="Y4108" s="9">
        <v>25.3125</v>
      </c>
      <c r="Z4108" s="9">
        <v>25.6875</v>
      </c>
      <c r="AA4108" s="6">
        <v>87.59</v>
      </c>
      <c r="AB4108" s="2" t="s">
        <v>47</v>
      </c>
      <c r="AC4108" s="2"/>
    </row>
    <row r="4109" spans="1:29" ht="39" x14ac:dyDescent="0.15">
      <c r="A4109" s="3">
        <f>DATE(1998,8,21)</f>
        <v>36028</v>
      </c>
      <c r="B4109" s="3">
        <f>DATE(1998,8,27)</f>
        <v>36034</v>
      </c>
      <c r="C4109" s="2" t="s">
        <v>95</v>
      </c>
      <c r="D4109" s="2" t="s">
        <v>12807</v>
      </c>
      <c r="E4109" s="2" t="s">
        <v>12808</v>
      </c>
      <c r="F4109" s="4">
        <v>7372</v>
      </c>
      <c r="G4109" s="2" t="s">
        <v>551</v>
      </c>
      <c r="H4109" s="2" t="s">
        <v>34</v>
      </c>
      <c r="I4109" s="2" t="s">
        <v>8588</v>
      </c>
      <c r="J4109" s="2" t="s">
        <v>8589</v>
      </c>
      <c r="K4109" s="2" t="s">
        <v>551</v>
      </c>
      <c r="L4109" s="2" t="s">
        <v>34</v>
      </c>
      <c r="M4109" s="12">
        <v>23970.954000000002</v>
      </c>
      <c r="N4109" s="7">
        <v>24.937999999999999</v>
      </c>
      <c r="O4109" s="6">
        <v>24.25</v>
      </c>
      <c r="P4109" s="2" t="s">
        <v>12809</v>
      </c>
      <c r="Q4109" s="6">
        <v>100</v>
      </c>
      <c r="R4109" s="6">
        <v>1.5</v>
      </c>
      <c r="S4109" s="5">
        <v>-27</v>
      </c>
      <c r="T4109" s="7">
        <v>-24.422999999999998</v>
      </c>
      <c r="U4109" s="5">
        <v>0.2</v>
      </c>
      <c r="V4109" s="6">
        <v>-3.62</v>
      </c>
      <c r="W4109" s="7">
        <v>1.125</v>
      </c>
      <c r="X4109" s="6">
        <v>1.75</v>
      </c>
      <c r="Y4109" s="7">
        <v>1.4379999999999999</v>
      </c>
      <c r="Z4109" s="7">
        <v>1.3129999999999999</v>
      </c>
      <c r="AA4109" s="6">
        <v>7.58</v>
      </c>
      <c r="AB4109" s="2" t="s">
        <v>86</v>
      </c>
      <c r="AC4109" s="8">
        <v>1919.2</v>
      </c>
    </row>
    <row r="4110" spans="1:29" ht="65" x14ac:dyDescent="0.15">
      <c r="A4110" s="3">
        <f>DATE(1998,8,24)</f>
        <v>36031</v>
      </c>
      <c r="B4110" s="2"/>
      <c r="C4110" s="2" t="s">
        <v>30</v>
      </c>
      <c r="D4110" s="2" t="s">
        <v>12810</v>
      </c>
      <c r="E4110" s="2" t="s">
        <v>612</v>
      </c>
      <c r="F4110" s="4">
        <v>1311</v>
      </c>
      <c r="G4110" s="2" t="s">
        <v>148</v>
      </c>
      <c r="H4110" s="2" t="s">
        <v>34</v>
      </c>
      <c r="I4110" s="2" t="s">
        <v>8932</v>
      </c>
      <c r="J4110" s="2" t="s">
        <v>244</v>
      </c>
      <c r="K4110" s="2" t="s">
        <v>53</v>
      </c>
      <c r="L4110" s="2" t="s">
        <v>34</v>
      </c>
      <c r="M4110" s="2"/>
      <c r="N4110" s="2"/>
      <c r="O4110" s="2"/>
      <c r="P4110" s="2" t="s">
        <v>12811</v>
      </c>
      <c r="Q4110" s="2"/>
      <c r="R4110" s="6">
        <v>6</v>
      </c>
      <c r="S4110" s="5">
        <v>6.3</v>
      </c>
      <c r="T4110" s="7">
        <v>40.588000000000001</v>
      </c>
      <c r="U4110" s="5">
        <v>222</v>
      </c>
      <c r="V4110" s="6">
        <v>11.2</v>
      </c>
      <c r="W4110" s="4">
        <v>5</v>
      </c>
      <c r="X4110" s="7">
        <v>4.6879999999999997</v>
      </c>
      <c r="Y4110" s="7">
        <v>5.4379999999999997</v>
      </c>
      <c r="Z4110" s="5">
        <v>5.5</v>
      </c>
      <c r="AA4110" s="6">
        <v>25.6</v>
      </c>
      <c r="AB4110" s="7">
        <v>17.802</v>
      </c>
      <c r="AC4110" s="2"/>
    </row>
    <row r="4111" spans="1:29" ht="91" x14ac:dyDescent="0.15">
      <c r="A4111" s="3">
        <f>DATE(1998,8,24)</f>
        <v>36031</v>
      </c>
      <c r="B4111" s="3">
        <f>DATE(1999,1,6)</f>
        <v>36166</v>
      </c>
      <c r="C4111" s="2" t="s">
        <v>95</v>
      </c>
      <c r="D4111" s="2" t="s">
        <v>12812</v>
      </c>
      <c r="E4111" s="2" t="s">
        <v>12813</v>
      </c>
      <c r="F4111" s="4">
        <v>3825</v>
      </c>
      <c r="G4111" s="2" t="s">
        <v>226</v>
      </c>
      <c r="H4111" s="2" t="s">
        <v>34</v>
      </c>
      <c r="I4111" s="2" t="s">
        <v>12814</v>
      </c>
      <c r="J4111" s="2" t="s">
        <v>2208</v>
      </c>
      <c r="K4111" s="2" t="s">
        <v>137</v>
      </c>
      <c r="L4111" s="2" t="s">
        <v>34</v>
      </c>
      <c r="M4111" s="7">
        <v>56.973999999999997</v>
      </c>
      <c r="N4111" s="7">
        <v>10.313000000000001</v>
      </c>
      <c r="O4111" s="6">
        <v>10.25</v>
      </c>
      <c r="P4111" s="2" t="s">
        <v>12815</v>
      </c>
      <c r="Q4111" s="6">
        <v>100</v>
      </c>
      <c r="R4111" s="6">
        <v>18</v>
      </c>
      <c r="S4111" s="5">
        <v>-1.8</v>
      </c>
      <c r="T4111" s="7">
        <v>-1.1830000000000001</v>
      </c>
      <c r="U4111" s="5">
        <v>12.2</v>
      </c>
      <c r="V4111" s="6">
        <v>-1.48</v>
      </c>
      <c r="W4111" s="7">
        <v>10.125</v>
      </c>
      <c r="X4111" s="7">
        <v>10.625</v>
      </c>
      <c r="Y4111" s="7">
        <v>16.375</v>
      </c>
      <c r="Z4111" s="7">
        <v>17.125</v>
      </c>
      <c r="AA4111" s="6">
        <v>1.21</v>
      </c>
      <c r="AB4111" s="2" t="s">
        <v>86</v>
      </c>
      <c r="AC4111" s="6">
        <v>10.69</v>
      </c>
    </row>
    <row r="4112" spans="1:29" ht="208" x14ac:dyDescent="0.15">
      <c r="A4112" s="3">
        <f>DATE(1998,8,24)</f>
        <v>36031</v>
      </c>
      <c r="B4112" s="3">
        <f>DATE(1998,11,19)</f>
        <v>36118</v>
      </c>
      <c r="C4112" s="2" t="s">
        <v>95</v>
      </c>
      <c r="D4112" s="2" t="s">
        <v>8936</v>
      </c>
      <c r="E4112" s="2" t="s">
        <v>3892</v>
      </c>
      <c r="F4112" s="4">
        <v>4841</v>
      </c>
      <c r="G4112" s="2" t="s">
        <v>45</v>
      </c>
      <c r="H4112" s="2" t="s">
        <v>34</v>
      </c>
      <c r="I4112" s="2" t="s">
        <v>3558</v>
      </c>
      <c r="J4112" s="2" t="s">
        <v>7947</v>
      </c>
      <c r="K4112" s="2" t="s">
        <v>45</v>
      </c>
      <c r="L4112" s="2" t="s">
        <v>34</v>
      </c>
      <c r="M4112" s="2"/>
      <c r="N4112" s="7">
        <v>36.063000000000002</v>
      </c>
      <c r="O4112" s="7">
        <v>35.438000000000002</v>
      </c>
      <c r="P4112" s="2" t="s">
        <v>12816</v>
      </c>
      <c r="Q4112" s="6">
        <v>18.899999999999999</v>
      </c>
      <c r="R4112" s="6">
        <v>20.77</v>
      </c>
      <c r="S4112" s="5">
        <v>-120.3</v>
      </c>
      <c r="T4112" s="7">
        <v>58.356999999999999</v>
      </c>
      <c r="U4112" s="5">
        <v>9</v>
      </c>
      <c r="V4112" s="6">
        <v>-1.04</v>
      </c>
      <c r="W4112" s="6">
        <v>21.75</v>
      </c>
      <c r="X4112" s="4">
        <v>21</v>
      </c>
      <c r="Y4112" s="7">
        <v>22.437999999999999</v>
      </c>
      <c r="Z4112" s="4">
        <v>22</v>
      </c>
      <c r="AA4112" s="6">
        <v>103.64</v>
      </c>
      <c r="AB4112" s="7">
        <v>574.13599999999997</v>
      </c>
      <c r="AC4112" s="2"/>
    </row>
    <row r="4113" spans="1:29" ht="65" x14ac:dyDescent="0.15">
      <c r="A4113" s="3">
        <f>DATE(1998,8,25)</f>
        <v>36032</v>
      </c>
      <c r="B4113" s="3">
        <f>DATE(1999,3,31)</f>
        <v>36250</v>
      </c>
      <c r="C4113" s="2" t="s">
        <v>95</v>
      </c>
      <c r="D4113" s="2" t="s">
        <v>12817</v>
      </c>
      <c r="E4113" s="2" t="s">
        <v>302</v>
      </c>
      <c r="F4113" s="4">
        <v>6799</v>
      </c>
      <c r="G4113" s="2" t="s">
        <v>53</v>
      </c>
      <c r="H4113" s="2" t="s">
        <v>34</v>
      </c>
      <c r="I4113" s="2" t="s">
        <v>7980</v>
      </c>
      <c r="J4113" s="2" t="s">
        <v>36</v>
      </c>
      <c r="K4113" s="2" t="s">
        <v>37</v>
      </c>
      <c r="L4113" s="2" t="s">
        <v>34</v>
      </c>
      <c r="M4113" s="10">
        <v>7842.96</v>
      </c>
      <c r="N4113" s="6">
        <v>39.75</v>
      </c>
      <c r="O4113" s="4">
        <v>39</v>
      </c>
      <c r="P4113" s="2" t="s">
        <v>12818</v>
      </c>
      <c r="Q4113" s="6">
        <v>100</v>
      </c>
      <c r="R4113" s="6">
        <v>135</v>
      </c>
      <c r="S4113" s="2"/>
      <c r="T4113" s="2"/>
      <c r="U4113" s="5">
        <v>45.9</v>
      </c>
      <c r="V4113" s="2"/>
      <c r="W4113" s="4">
        <v>93</v>
      </c>
      <c r="X4113" s="4">
        <v>97</v>
      </c>
      <c r="Y4113" s="5">
        <v>118.5</v>
      </c>
      <c r="Z4113" s="4">
        <v>122</v>
      </c>
      <c r="AA4113" s="6">
        <v>0.33</v>
      </c>
      <c r="AB4113" s="2" t="s">
        <v>47</v>
      </c>
      <c r="AC4113" s="2"/>
    </row>
    <row r="4114" spans="1:29" ht="130" x14ac:dyDescent="0.15">
      <c r="A4114" s="3">
        <f>DATE(1998,8,26)</f>
        <v>36033</v>
      </c>
      <c r="B4114" s="3">
        <f>DATE(1999,1,12)</f>
        <v>36172</v>
      </c>
      <c r="C4114" s="2" t="s">
        <v>95</v>
      </c>
      <c r="D4114" s="2" t="s">
        <v>12794</v>
      </c>
      <c r="E4114" s="2" t="s">
        <v>12184</v>
      </c>
      <c r="F4114" s="4">
        <v>2082</v>
      </c>
      <c r="G4114" s="2" t="s">
        <v>577</v>
      </c>
      <c r="H4114" s="2" t="s">
        <v>34</v>
      </c>
      <c r="I4114" s="2" t="s">
        <v>12819</v>
      </c>
      <c r="J4114" s="2" t="s">
        <v>12820</v>
      </c>
      <c r="K4114" s="2" t="s">
        <v>577</v>
      </c>
      <c r="L4114" s="2" t="s">
        <v>34</v>
      </c>
      <c r="M4114" s="2"/>
      <c r="N4114" s="2"/>
      <c r="O4114" s="2"/>
      <c r="P4114" s="2" t="s">
        <v>12821</v>
      </c>
      <c r="Q4114" s="6">
        <v>100</v>
      </c>
      <c r="R4114" s="6">
        <v>4.7</v>
      </c>
      <c r="S4114" s="5">
        <v>1.8</v>
      </c>
      <c r="T4114" s="7">
        <v>3.923</v>
      </c>
      <c r="U4114" s="5">
        <v>3.7</v>
      </c>
      <c r="V4114" s="6">
        <v>0.47</v>
      </c>
      <c r="W4114" s="4">
        <v>4</v>
      </c>
      <c r="X4114" s="6">
        <v>3.75</v>
      </c>
      <c r="Y4114" s="7">
        <v>3.6880000000000002</v>
      </c>
      <c r="Z4114" s="7">
        <v>3.6880000000000002</v>
      </c>
      <c r="AA4114" s="6">
        <v>3.89</v>
      </c>
      <c r="AB4114" s="7">
        <v>4.8789999999999996</v>
      </c>
      <c r="AC4114" s="2"/>
    </row>
    <row r="4115" spans="1:29" ht="65" x14ac:dyDescent="0.15">
      <c r="A4115" s="3">
        <f>DATE(1998,8,26)</f>
        <v>36033</v>
      </c>
      <c r="B4115" s="3">
        <f>DATE(1999,1,8)</f>
        <v>36168</v>
      </c>
      <c r="C4115" s="2" t="s">
        <v>95</v>
      </c>
      <c r="D4115" s="2" t="s">
        <v>12822</v>
      </c>
      <c r="E4115" s="2" t="s">
        <v>12823</v>
      </c>
      <c r="F4115" s="4">
        <v>3634</v>
      </c>
      <c r="G4115" s="2" t="s">
        <v>137</v>
      </c>
      <c r="H4115" s="2" t="s">
        <v>34</v>
      </c>
      <c r="I4115" s="2" t="s">
        <v>7597</v>
      </c>
      <c r="J4115" s="2" t="s">
        <v>7598</v>
      </c>
      <c r="K4115" s="2" t="s">
        <v>137</v>
      </c>
      <c r="L4115" s="2" t="s">
        <v>34</v>
      </c>
      <c r="M4115" s="7">
        <v>205.886</v>
      </c>
      <c r="N4115" s="5">
        <v>14.5</v>
      </c>
      <c r="O4115" s="7">
        <v>12.938000000000001</v>
      </c>
      <c r="P4115" s="2" t="s">
        <v>12824</v>
      </c>
      <c r="Q4115" s="6">
        <v>100</v>
      </c>
      <c r="R4115" s="6">
        <v>7</v>
      </c>
      <c r="S4115" s="5">
        <v>1.9</v>
      </c>
      <c r="T4115" s="7">
        <v>9.9619999999999997</v>
      </c>
      <c r="U4115" s="5">
        <v>5.4</v>
      </c>
      <c r="V4115" s="6">
        <v>0.25</v>
      </c>
      <c r="W4115" s="6">
        <v>5.75</v>
      </c>
      <c r="X4115" s="6">
        <v>6.75</v>
      </c>
      <c r="Y4115" s="7">
        <v>6.125</v>
      </c>
      <c r="Z4115" s="7">
        <v>6.375</v>
      </c>
      <c r="AA4115" s="6">
        <v>7.55</v>
      </c>
      <c r="AB4115" s="7">
        <v>15.478999999999999</v>
      </c>
      <c r="AC4115" s="6">
        <v>0.66</v>
      </c>
    </row>
    <row r="4116" spans="1:29" ht="104" x14ac:dyDescent="0.15">
      <c r="A4116" s="3">
        <f>DATE(1998,8,27)</f>
        <v>36034</v>
      </c>
      <c r="B4116" s="3">
        <f>DATE(1998,10,13)</f>
        <v>36081</v>
      </c>
      <c r="C4116" s="2" t="s">
        <v>95</v>
      </c>
      <c r="D4116" s="2" t="s">
        <v>12825</v>
      </c>
      <c r="E4116" s="2" t="s">
        <v>5936</v>
      </c>
      <c r="F4116" s="4">
        <v>3675</v>
      </c>
      <c r="G4116" s="2" t="s">
        <v>137</v>
      </c>
      <c r="H4116" s="2" t="s">
        <v>34</v>
      </c>
      <c r="I4116" s="2" t="s">
        <v>12826</v>
      </c>
      <c r="J4116" s="2" t="s">
        <v>12827</v>
      </c>
      <c r="K4116" s="2" t="s">
        <v>137</v>
      </c>
      <c r="L4116" s="2" t="s">
        <v>133</v>
      </c>
      <c r="M4116" s="2"/>
      <c r="N4116" s="2"/>
      <c r="O4116" s="2"/>
      <c r="P4116" s="2" t="s">
        <v>12828</v>
      </c>
      <c r="Q4116" s="6">
        <v>100</v>
      </c>
      <c r="R4116" s="6">
        <v>35</v>
      </c>
      <c r="S4116" s="5">
        <v>38.200000000000003</v>
      </c>
      <c r="T4116" s="7">
        <v>155.256</v>
      </c>
      <c r="U4116" s="5">
        <v>3.3</v>
      </c>
      <c r="V4116" s="6">
        <v>0.93</v>
      </c>
      <c r="W4116" s="7">
        <v>20.437999999999999</v>
      </c>
      <c r="X4116" s="7">
        <v>21.562999999999999</v>
      </c>
      <c r="Y4116" s="4">
        <v>32</v>
      </c>
      <c r="Z4116" s="7">
        <v>32.125</v>
      </c>
      <c r="AA4116" s="6">
        <v>41.29</v>
      </c>
      <c r="AB4116" s="7">
        <v>19.533999999999999</v>
      </c>
      <c r="AC4116" s="10">
        <v>1709.09</v>
      </c>
    </row>
    <row r="4117" spans="1:29" ht="169" x14ac:dyDescent="0.15">
      <c r="A4117" s="3">
        <f>DATE(1998,8,27)</f>
        <v>36034</v>
      </c>
      <c r="B4117" s="3">
        <f>DATE(1999,7,14)</f>
        <v>36355</v>
      </c>
      <c r="C4117" s="2" t="s">
        <v>95</v>
      </c>
      <c r="D4117" s="2" t="s">
        <v>12829</v>
      </c>
      <c r="E4117" s="2" t="s">
        <v>3911</v>
      </c>
      <c r="F4117" s="4">
        <v>4832</v>
      </c>
      <c r="G4117" s="2" t="s">
        <v>45</v>
      </c>
      <c r="H4117" s="2" t="s">
        <v>34</v>
      </c>
      <c r="I4117" s="2" t="s">
        <v>12830</v>
      </c>
      <c r="J4117" s="2" t="s">
        <v>4760</v>
      </c>
      <c r="K4117" s="2" t="s">
        <v>45</v>
      </c>
      <c r="L4117" s="2" t="s">
        <v>34</v>
      </c>
      <c r="M4117" s="12">
        <v>7436.9449999999997</v>
      </c>
      <c r="N4117" s="6">
        <v>42.75</v>
      </c>
      <c r="O4117" s="6">
        <v>41.25</v>
      </c>
      <c r="P4117" s="2" t="s">
        <v>12831</v>
      </c>
      <c r="Q4117" s="6">
        <v>100</v>
      </c>
      <c r="R4117" s="6">
        <v>20.190000000000001</v>
      </c>
      <c r="S4117" s="5">
        <v>-67.5</v>
      </c>
      <c r="T4117" s="7">
        <v>163.86099999999999</v>
      </c>
      <c r="U4117" s="5">
        <v>12.5</v>
      </c>
      <c r="V4117" s="6">
        <v>-1.02</v>
      </c>
      <c r="W4117" s="4">
        <v>21</v>
      </c>
      <c r="X4117" s="5">
        <v>21.5</v>
      </c>
      <c r="Y4117" s="9">
        <v>19.3125</v>
      </c>
      <c r="Z4117" s="6">
        <v>18.25</v>
      </c>
      <c r="AA4117" s="6">
        <v>107.59</v>
      </c>
      <c r="AB4117" s="7">
        <v>66.801000000000002</v>
      </c>
      <c r="AC4117" s="6">
        <v>12.26</v>
      </c>
    </row>
    <row r="4118" spans="1:29" ht="104" x14ac:dyDescent="0.15">
      <c r="A4118" s="3">
        <f>DATE(1998,8,28)</f>
        <v>36035</v>
      </c>
      <c r="B4118" s="3">
        <f>DATE(1999,6,10)</f>
        <v>36321</v>
      </c>
      <c r="C4118" s="2" t="s">
        <v>95</v>
      </c>
      <c r="D4118" s="2" t="s">
        <v>4942</v>
      </c>
      <c r="E4118" s="2" t="s">
        <v>4943</v>
      </c>
      <c r="F4118" s="4">
        <v>4512</v>
      </c>
      <c r="G4118" s="2" t="s">
        <v>59</v>
      </c>
      <c r="H4118" s="2" t="s">
        <v>34</v>
      </c>
      <c r="I4118" s="2" t="s">
        <v>12832</v>
      </c>
      <c r="J4118" s="2" t="s">
        <v>12833</v>
      </c>
      <c r="K4118" s="2" t="s">
        <v>59</v>
      </c>
      <c r="L4118" s="2" t="s">
        <v>34</v>
      </c>
      <c r="M4118" s="7">
        <v>223.358</v>
      </c>
      <c r="N4118" s="5">
        <v>5.5</v>
      </c>
      <c r="O4118" s="7">
        <v>4.6719999999999997</v>
      </c>
      <c r="P4118" s="2" t="s">
        <v>12834</v>
      </c>
      <c r="Q4118" s="6">
        <v>100</v>
      </c>
      <c r="R4118" s="6">
        <v>4.3499999999999996</v>
      </c>
      <c r="S4118" s="5">
        <v>3.4</v>
      </c>
      <c r="T4118" s="7">
        <v>67.962999999999994</v>
      </c>
      <c r="U4118" s="5">
        <v>-2.5</v>
      </c>
      <c r="V4118" s="6">
        <v>0.36</v>
      </c>
      <c r="W4118" s="6">
        <v>4.25</v>
      </c>
      <c r="X4118" s="6">
        <v>4.25</v>
      </c>
      <c r="Y4118" s="11">
        <v>4.40625</v>
      </c>
      <c r="Z4118" s="4">
        <v>4</v>
      </c>
      <c r="AA4118" s="6">
        <v>8.42</v>
      </c>
      <c r="AB4118" s="7">
        <v>0.81599999999999995</v>
      </c>
      <c r="AC4118" s="6">
        <v>35.619999999999997</v>
      </c>
    </row>
    <row r="4119" spans="1:29" ht="78" x14ac:dyDescent="0.15">
      <c r="A4119" s="3">
        <f>DATE(1998,9,1)</f>
        <v>36039</v>
      </c>
      <c r="B4119" s="2"/>
      <c r="C4119" s="2" t="s">
        <v>30</v>
      </c>
      <c r="D4119" s="2" t="s">
        <v>12835</v>
      </c>
      <c r="E4119" s="2" t="s">
        <v>1563</v>
      </c>
      <c r="F4119" s="4">
        <v>6411</v>
      </c>
      <c r="G4119" s="2" t="s">
        <v>125</v>
      </c>
      <c r="H4119" s="2" t="s">
        <v>34</v>
      </c>
      <c r="I4119" s="2" t="s">
        <v>12836</v>
      </c>
      <c r="J4119" s="2" t="s">
        <v>1563</v>
      </c>
      <c r="K4119" s="2" t="s">
        <v>125</v>
      </c>
      <c r="L4119" s="2" t="s">
        <v>34</v>
      </c>
      <c r="M4119" s="2"/>
      <c r="N4119" s="2"/>
      <c r="O4119" s="2"/>
      <c r="P4119" s="2" t="s">
        <v>12837</v>
      </c>
      <c r="Q4119" s="2"/>
      <c r="R4119" s="6">
        <v>1.3</v>
      </c>
      <c r="S4119" s="5">
        <v>0.6</v>
      </c>
      <c r="T4119" s="7">
        <v>1.242</v>
      </c>
      <c r="U4119" s="5">
        <v>1.4</v>
      </c>
      <c r="V4119" s="6">
        <v>0.13</v>
      </c>
      <c r="W4119" s="7">
        <v>2.6880000000000002</v>
      </c>
      <c r="X4119" s="7">
        <v>2.625</v>
      </c>
      <c r="Y4119" s="7">
        <v>2.5630000000000002</v>
      </c>
      <c r="Z4119" s="7">
        <v>2.625</v>
      </c>
      <c r="AA4119" s="6">
        <v>9.51</v>
      </c>
      <c r="AB4119" s="7">
        <v>3.8559999999999999</v>
      </c>
      <c r="AC4119" s="2"/>
    </row>
    <row r="4120" spans="1:29" ht="52" x14ac:dyDescent="0.15">
      <c r="A4120" s="3">
        <f t="shared" ref="A4120:A4125" si="75">DATE(1998,9,2)</f>
        <v>36040</v>
      </c>
      <c r="B4120" s="2"/>
      <c r="C4120" s="2" t="s">
        <v>30</v>
      </c>
      <c r="D4120" s="2" t="s">
        <v>12838</v>
      </c>
      <c r="E4120" s="2" t="s">
        <v>12839</v>
      </c>
      <c r="F4120" s="4">
        <v>8051</v>
      </c>
      <c r="G4120" s="2" t="s">
        <v>454</v>
      </c>
      <c r="H4120" s="2" t="s">
        <v>34</v>
      </c>
      <c r="I4120" s="2" t="s">
        <v>12840</v>
      </c>
      <c r="J4120" s="2" t="s">
        <v>1072</v>
      </c>
      <c r="K4120" s="2" t="s">
        <v>53</v>
      </c>
      <c r="L4120" s="2" t="s">
        <v>34</v>
      </c>
      <c r="M4120" s="2"/>
      <c r="N4120" s="2"/>
      <c r="O4120" s="2"/>
      <c r="P4120" s="2" t="s">
        <v>12841</v>
      </c>
      <c r="Q4120" s="2"/>
      <c r="R4120" s="2"/>
      <c r="S4120" s="5">
        <v>3</v>
      </c>
      <c r="T4120" s="7">
        <v>10.082000000000001</v>
      </c>
      <c r="U4120" s="5">
        <v>5.7</v>
      </c>
      <c r="V4120" s="6">
        <v>0.56000000000000005</v>
      </c>
      <c r="W4120" s="7">
        <v>7.1879999999999997</v>
      </c>
      <c r="X4120" s="7">
        <v>6.375</v>
      </c>
      <c r="Y4120" s="7">
        <v>7.125</v>
      </c>
      <c r="Z4120" s="7">
        <v>6.875</v>
      </c>
      <c r="AA4120" s="6">
        <v>5.4</v>
      </c>
      <c r="AB4120" s="2" t="s">
        <v>47</v>
      </c>
      <c r="AC4120" s="2"/>
    </row>
    <row r="4121" spans="1:29" ht="91" x14ac:dyDescent="0.15">
      <c r="A4121" s="3">
        <f t="shared" si="75"/>
        <v>36040</v>
      </c>
      <c r="B4121" s="3">
        <f>DATE(1998,12,1)</f>
        <v>36130</v>
      </c>
      <c r="C4121" s="2" t="s">
        <v>95</v>
      </c>
      <c r="D4121" s="2" t="s">
        <v>12842</v>
      </c>
      <c r="E4121" s="2" t="s">
        <v>12843</v>
      </c>
      <c r="F4121" s="4">
        <v>3672</v>
      </c>
      <c r="G4121" s="2" t="s">
        <v>137</v>
      </c>
      <c r="H4121" s="2" t="s">
        <v>34</v>
      </c>
      <c r="I4121" s="2" t="s">
        <v>10145</v>
      </c>
      <c r="J4121" s="2" t="s">
        <v>10146</v>
      </c>
      <c r="K4121" s="2" t="s">
        <v>223</v>
      </c>
      <c r="L4121" s="2" t="s">
        <v>34</v>
      </c>
      <c r="M4121" s="12">
        <v>1773.8920000000001</v>
      </c>
      <c r="N4121" s="7">
        <v>25.125</v>
      </c>
      <c r="O4121" s="5">
        <v>23.5</v>
      </c>
      <c r="P4121" s="2" t="s">
        <v>12844</v>
      </c>
      <c r="Q4121" s="6">
        <v>100</v>
      </c>
      <c r="R4121" s="6">
        <v>12.39</v>
      </c>
      <c r="S4121" s="5">
        <v>14.7</v>
      </c>
      <c r="T4121" s="7">
        <v>29.847999999999999</v>
      </c>
      <c r="U4121" s="5">
        <v>7.6</v>
      </c>
      <c r="V4121" s="6">
        <v>0.91</v>
      </c>
      <c r="W4121" s="7">
        <v>11.625</v>
      </c>
      <c r="X4121" s="7">
        <v>10.625</v>
      </c>
      <c r="Y4121" s="7">
        <v>12.063000000000001</v>
      </c>
      <c r="Z4121" s="6">
        <v>11.75</v>
      </c>
      <c r="AA4121" s="6">
        <v>15.56</v>
      </c>
      <c r="AB4121" s="7">
        <v>7.5170000000000003</v>
      </c>
      <c r="AC4121" s="6">
        <v>122.25</v>
      </c>
    </row>
    <row r="4122" spans="1:29" ht="182" x14ac:dyDescent="0.15">
      <c r="A4122" s="3">
        <f t="shared" si="75"/>
        <v>36040</v>
      </c>
      <c r="B4122" s="3">
        <f>DATE(1998,12,17)</f>
        <v>36146</v>
      </c>
      <c r="C4122" s="2" t="s">
        <v>95</v>
      </c>
      <c r="D4122" s="2" t="s">
        <v>12845</v>
      </c>
      <c r="E4122" s="2" t="s">
        <v>12846</v>
      </c>
      <c r="F4122" s="4">
        <v>7389</v>
      </c>
      <c r="G4122" s="2" t="s">
        <v>223</v>
      </c>
      <c r="H4122" s="2" t="s">
        <v>34</v>
      </c>
      <c r="I4122" s="2" t="s">
        <v>12847</v>
      </c>
      <c r="J4122" s="2" t="s">
        <v>12848</v>
      </c>
      <c r="K4122" s="2" t="s">
        <v>223</v>
      </c>
      <c r="L4122" s="2" t="s">
        <v>34</v>
      </c>
      <c r="M4122" s="7">
        <v>773.91899999999998</v>
      </c>
      <c r="N4122" s="7">
        <v>12.313000000000001</v>
      </c>
      <c r="O4122" s="7">
        <v>10.188000000000001</v>
      </c>
      <c r="P4122" s="2" t="s">
        <v>12849</v>
      </c>
      <c r="Q4122" s="6">
        <v>100</v>
      </c>
      <c r="R4122" s="6">
        <v>21.66</v>
      </c>
      <c r="S4122" s="5">
        <v>7.3</v>
      </c>
      <c r="T4122" s="7">
        <v>17.216999999999999</v>
      </c>
      <c r="U4122" s="5">
        <v>6.4</v>
      </c>
      <c r="V4122" s="6">
        <v>0.46</v>
      </c>
      <c r="W4122" s="7">
        <v>16.625</v>
      </c>
      <c r="X4122" s="7">
        <v>14.125</v>
      </c>
      <c r="Y4122" s="6">
        <v>15.25</v>
      </c>
      <c r="Z4122" s="6">
        <v>13.25</v>
      </c>
      <c r="AA4122" s="6">
        <v>15.31</v>
      </c>
      <c r="AB4122" s="7">
        <v>20.692</v>
      </c>
      <c r="AC4122" s="6">
        <v>44.15</v>
      </c>
    </row>
    <row r="4123" spans="1:29" ht="104" x14ac:dyDescent="0.15">
      <c r="A4123" s="3">
        <f t="shared" si="75"/>
        <v>36040</v>
      </c>
      <c r="B4123" s="3">
        <f>DATE(1998,12,10)</f>
        <v>36139</v>
      </c>
      <c r="C4123" s="2" t="s">
        <v>95</v>
      </c>
      <c r="D4123" s="2" t="s">
        <v>12850</v>
      </c>
      <c r="E4123" s="2" t="s">
        <v>12851</v>
      </c>
      <c r="F4123" s="4">
        <v>7359</v>
      </c>
      <c r="G4123" s="2" t="s">
        <v>223</v>
      </c>
      <c r="H4123" s="2" t="s">
        <v>34</v>
      </c>
      <c r="I4123" s="2" t="s">
        <v>12852</v>
      </c>
      <c r="J4123" s="2" t="s">
        <v>12853</v>
      </c>
      <c r="K4123" s="2" t="s">
        <v>223</v>
      </c>
      <c r="L4123" s="2" t="s">
        <v>34</v>
      </c>
      <c r="M4123" s="7">
        <v>265.63499999999999</v>
      </c>
      <c r="N4123" s="5">
        <v>22.5</v>
      </c>
      <c r="O4123" s="4">
        <v>22</v>
      </c>
      <c r="P4123" s="2" t="s">
        <v>12854</v>
      </c>
      <c r="Q4123" s="6">
        <v>100</v>
      </c>
      <c r="R4123" s="6">
        <v>13.6</v>
      </c>
      <c r="S4123" s="5">
        <v>3.6</v>
      </c>
      <c r="T4123" s="6">
        <v>34.479999999999997</v>
      </c>
      <c r="U4123" s="5">
        <v>10.1</v>
      </c>
      <c r="V4123" s="6">
        <v>0.59</v>
      </c>
      <c r="W4123" s="7">
        <v>13.063000000000001</v>
      </c>
      <c r="X4123" s="7">
        <v>12.688000000000001</v>
      </c>
      <c r="Y4123" s="7">
        <v>11.375</v>
      </c>
      <c r="Z4123" s="7">
        <v>11.563000000000001</v>
      </c>
      <c r="AA4123" s="6">
        <v>17.02</v>
      </c>
      <c r="AB4123" s="7">
        <v>17.57</v>
      </c>
      <c r="AC4123" s="5">
        <v>0.6</v>
      </c>
    </row>
    <row r="4124" spans="1:29" ht="39" x14ac:dyDescent="0.15">
      <c r="A4124" s="3">
        <f t="shared" si="75"/>
        <v>36040</v>
      </c>
      <c r="B4124" s="3">
        <f>DATE(1998,11,27)</f>
        <v>36126</v>
      </c>
      <c r="C4124" s="2" t="s">
        <v>95</v>
      </c>
      <c r="D4124" s="2" t="s">
        <v>12855</v>
      </c>
      <c r="E4124" s="2" t="s">
        <v>12856</v>
      </c>
      <c r="F4124" s="4">
        <v>2796</v>
      </c>
      <c r="G4124" s="2" t="s">
        <v>186</v>
      </c>
      <c r="H4124" s="2" t="s">
        <v>34</v>
      </c>
      <c r="I4124" s="2" t="s">
        <v>12857</v>
      </c>
      <c r="J4124" s="2" t="s">
        <v>12858</v>
      </c>
      <c r="K4124" s="2" t="s">
        <v>223</v>
      </c>
      <c r="L4124" s="2" t="s">
        <v>303</v>
      </c>
      <c r="M4124" s="2"/>
      <c r="N4124" s="2"/>
      <c r="O4124" s="2"/>
      <c r="P4124" s="2" t="s">
        <v>12859</v>
      </c>
      <c r="Q4124" s="6">
        <v>100</v>
      </c>
      <c r="R4124" s="2"/>
      <c r="S4124" s="5">
        <v>0.9</v>
      </c>
      <c r="T4124" s="7">
        <v>2.9489999999999998</v>
      </c>
      <c r="U4124" s="5">
        <v>1.9</v>
      </c>
      <c r="V4124" s="6">
        <v>0.19</v>
      </c>
      <c r="W4124" s="7">
        <v>5.5629999999999997</v>
      </c>
      <c r="X4124" s="7">
        <v>4.9379999999999997</v>
      </c>
      <c r="Y4124" s="7">
        <v>7.3129999999999997</v>
      </c>
      <c r="Z4124" s="6">
        <v>7.25</v>
      </c>
      <c r="AA4124" s="6">
        <v>5.04</v>
      </c>
      <c r="AB4124" s="7">
        <v>30.524000000000001</v>
      </c>
      <c r="AC4124" s="2"/>
    </row>
    <row r="4125" spans="1:29" ht="117" x14ac:dyDescent="0.15">
      <c r="A4125" s="3">
        <f t="shared" si="75"/>
        <v>36040</v>
      </c>
      <c r="B4125" s="3">
        <f>DATE(1998,12,21)</f>
        <v>36150</v>
      </c>
      <c r="C4125" s="2" t="s">
        <v>95</v>
      </c>
      <c r="D4125" s="2" t="s">
        <v>12860</v>
      </c>
      <c r="E4125" s="2" t="s">
        <v>12861</v>
      </c>
      <c r="F4125" s="4">
        <v>7371</v>
      </c>
      <c r="G4125" s="2" t="s">
        <v>223</v>
      </c>
      <c r="H4125" s="2" t="s">
        <v>34</v>
      </c>
      <c r="I4125" s="2" t="s">
        <v>780</v>
      </c>
      <c r="J4125" s="2" t="s">
        <v>12862</v>
      </c>
      <c r="K4125" s="2" t="s">
        <v>223</v>
      </c>
      <c r="L4125" s="2" t="s">
        <v>34</v>
      </c>
      <c r="M4125" s="12">
        <v>2963.9650000000001</v>
      </c>
      <c r="N4125" s="5">
        <v>60.5</v>
      </c>
      <c r="O4125" s="7">
        <v>51.875</v>
      </c>
      <c r="P4125" s="2" t="s">
        <v>12863</v>
      </c>
      <c r="Q4125" s="6">
        <v>100</v>
      </c>
      <c r="R4125" s="6">
        <v>35.19</v>
      </c>
      <c r="S4125" s="5">
        <v>22.5</v>
      </c>
      <c r="T4125" s="7">
        <v>63.084000000000003</v>
      </c>
      <c r="U4125" s="5">
        <v>5.7</v>
      </c>
      <c r="V4125" s="6">
        <v>0.93</v>
      </c>
      <c r="W4125" s="7">
        <v>26.062999999999999</v>
      </c>
      <c r="X4125" s="5">
        <v>24.5</v>
      </c>
      <c r="Y4125" s="4">
        <v>26</v>
      </c>
      <c r="Z4125" s="7">
        <v>30.375</v>
      </c>
      <c r="AA4125" s="6">
        <v>23.29</v>
      </c>
      <c r="AB4125" s="7">
        <v>22.943000000000001</v>
      </c>
      <c r="AC4125" s="6">
        <v>15.83</v>
      </c>
    </row>
    <row r="4126" spans="1:29" ht="208" x14ac:dyDescent="0.15">
      <c r="A4126" s="3">
        <f>DATE(1998,9,3)</f>
        <v>36041</v>
      </c>
      <c r="B4126" s="3">
        <f>DATE(1999,2,28)</f>
        <v>36219</v>
      </c>
      <c r="C4126" s="2" t="s">
        <v>95</v>
      </c>
      <c r="D4126" s="2" t="s">
        <v>12864</v>
      </c>
      <c r="E4126" s="2" t="s">
        <v>12259</v>
      </c>
      <c r="F4126" s="4">
        <v>6331</v>
      </c>
      <c r="G4126" s="2" t="s">
        <v>125</v>
      </c>
      <c r="H4126" s="2" t="s">
        <v>34</v>
      </c>
      <c r="I4126" s="2" t="s">
        <v>12865</v>
      </c>
      <c r="J4126" s="2" t="s">
        <v>515</v>
      </c>
      <c r="K4126" s="2" t="s">
        <v>125</v>
      </c>
      <c r="L4126" s="2" t="s">
        <v>34</v>
      </c>
      <c r="M4126" s="7">
        <v>903.21500000000003</v>
      </c>
      <c r="N4126" s="5">
        <v>150.5</v>
      </c>
      <c r="O4126" s="7">
        <v>150.06299999999999</v>
      </c>
      <c r="P4126" s="2" t="s">
        <v>12866</v>
      </c>
      <c r="Q4126" s="6">
        <v>90.01</v>
      </c>
      <c r="R4126" s="6">
        <v>19</v>
      </c>
      <c r="S4126" s="5">
        <v>-5</v>
      </c>
      <c r="T4126" s="7">
        <v>-7.7960000000000003</v>
      </c>
      <c r="U4126" s="5">
        <v>12.8</v>
      </c>
      <c r="V4126" s="6">
        <v>-0.75</v>
      </c>
      <c r="W4126" s="6">
        <v>12.75</v>
      </c>
      <c r="X4126" s="6">
        <v>14.25</v>
      </c>
      <c r="Y4126" s="4">
        <v>15</v>
      </c>
      <c r="Z4126" s="5">
        <v>14.5</v>
      </c>
      <c r="AA4126" s="6">
        <v>6.74</v>
      </c>
      <c r="AB4126" s="2" t="s">
        <v>86</v>
      </c>
      <c r="AC4126" s="6">
        <v>1.31</v>
      </c>
    </row>
    <row r="4127" spans="1:29" ht="104" x14ac:dyDescent="0.15">
      <c r="A4127" s="3">
        <f>DATE(1998,9,4)</f>
        <v>36042</v>
      </c>
      <c r="B4127" s="3">
        <f>DATE(1998,12,1)</f>
        <v>36130</v>
      </c>
      <c r="C4127" s="2" t="s">
        <v>95</v>
      </c>
      <c r="D4127" s="2" t="s">
        <v>12867</v>
      </c>
      <c r="E4127" s="2" t="s">
        <v>1181</v>
      </c>
      <c r="F4127" s="4">
        <v>6021</v>
      </c>
      <c r="G4127" s="2" t="s">
        <v>37</v>
      </c>
      <c r="H4127" s="2" t="s">
        <v>34</v>
      </c>
      <c r="I4127" s="2" t="s">
        <v>7720</v>
      </c>
      <c r="J4127" s="2" t="s">
        <v>36</v>
      </c>
      <c r="K4127" s="2" t="s">
        <v>37</v>
      </c>
      <c r="L4127" s="2" t="s">
        <v>34</v>
      </c>
      <c r="M4127" s="7">
        <v>259.03800000000001</v>
      </c>
      <c r="N4127" s="5">
        <v>35.5</v>
      </c>
      <c r="O4127" s="5">
        <v>35.5</v>
      </c>
      <c r="P4127" s="2" t="s">
        <v>12868</v>
      </c>
      <c r="Q4127" s="6">
        <v>100</v>
      </c>
      <c r="R4127" s="6">
        <v>45.93</v>
      </c>
      <c r="S4127" s="5">
        <v>2.1</v>
      </c>
      <c r="T4127" s="7">
        <v>3.3119999999999998</v>
      </c>
      <c r="U4127" s="5">
        <v>13.5</v>
      </c>
      <c r="V4127" s="6">
        <v>1.1599999999999999</v>
      </c>
      <c r="W4127" s="5">
        <v>30.5</v>
      </c>
      <c r="X4127" s="4">
        <v>32</v>
      </c>
      <c r="Y4127" s="7">
        <v>40.375</v>
      </c>
      <c r="Z4127" s="7">
        <v>40.375</v>
      </c>
      <c r="AA4127" s="6">
        <v>1.8</v>
      </c>
      <c r="AB4127" s="7">
        <v>47.271000000000001</v>
      </c>
      <c r="AC4127" s="2"/>
    </row>
    <row r="4128" spans="1:29" ht="26" x14ac:dyDescent="0.15">
      <c r="A4128" s="3">
        <f>DATE(1998,9,8)</f>
        <v>36046</v>
      </c>
      <c r="B4128" s="2"/>
      <c r="C4128" s="2" t="s">
        <v>141</v>
      </c>
      <c r="D4128" s="2" t="s">
        <v>2212</v>
      </c>
      <c r="E4128" s="2" t="s">
        <v>2213</v>
      </c>
      <c r="F4128" s="4">
        <v>3724</v>
      </c>
      <c r="G4128" s="2" t="s">
        <v>219</v>
      </c>
      <c r="H4128" s="2" t="s">
        <v>34</v>
      </c>
      <c r="I4128" s="2" t="s">
        <v>143</v>
      </c>
      <c r="J4128" s="2" t="s">
        <v>144</v>
      </c>
      <c r="K4128" s="2" t="s">
        <v>53</v>
      </c>
      <c r="L4128" s="2" t="s">
        <v>139</v>
      </c>
      <c r="M4128" s="2"/>
      <c r="N4128" s="2"/>
      <c r="O4128" s="2"/>
      <c r="P4128" s="2" t="s">
        <v>12869</v>
      </c>
      <c r="Q4128" s="2"/>
      <c r="R4128" s="2"/>
      <c r="S4128" s="5">
        <v>1.2</v>
      </c>
      <c r="T4128" s="7">
        <v>2.589</v>
      </c>
      <c r="U4128" s="5">
        <v>3</v>
      </c>
      <c r="V4128" s="6">
        <v>0.31</v>
      </c>
      <c r="W4128" s="7">
        <v>15.375</v>
      </c>
      <c r="X4128" s="7">
        <v>15.563000000000001</v>
      </c>
      <c r="Y4128" s="7">
        <v>15.313000000000001</v>
      </c>
      <c r="Z4128" s="6">
        <v>15.25</v>
      </c>
      <c r="AA4128" s="6">
        <v>3.99</v>
      </c>
      <c r="AB4128" s="2" t="s">
        <v>47</v>
      </c>
      <c r="AC4128" s="2"/>
    </row>
    <row r="4129" spans="1:29" ht="104" x14ac:dyDescent="0.15">
      <c r="A4129" s="3">
        <f>DATE(1998,9,8)</f>
        <v>36046</v>
      </c>
      <c r="B4129" s="3">
        <f>DATE(1998,12,15)</f>
        <v>36144</v>
      </c>
      <c r="C4129" s="2" t="s">
        <v>95</v>
      </c>
      <c r="D4129" s="2" t="s">
        <v>12870</v>
      </c>
      <c r="E4129" s="2" t="s">
        <v>80</v>
      </c>
      <c r="F4129" s="4">
        <v>6799</v>
      </c>
      <c r="G4129" s="2" t="s">
        <v>53</v>
      </c>
      <c r="H4129" s="2" t="s">
        <v>34</v>
      </c>
      <c r="I4129" s="2" t="s">
        <v>51</v>
      </c>
      <c r="J4129" s="2" t="s">
        <v>52</v>
      </c>
      <c r="K4129" s="2" t="s">
        <v>53</v>
      </c>
      <c r="L4129" s="2" t="s">
        <v>4242</v>
      </c>
      <c r="M4129" s="2"/>
      <c r="N4129" s="2"/>
      <c r="O4129" s="2"/>
      <c r="P4129" s="2" t="s">
        <v>12871</v>
      </c>
      <c r="Q4129" s="6">
        <v>18.649999999999999</v>
      </c>
      <c r="R4129" s="6">
        <v>36.5</v>
      </c>
      <c r="S4129" s="5">
        <v>54.5</v>
      </c>
      <c r="T4129" s="2"/>
      <c r="U4129" s="5">
        <v>22.7</v>
      </c>
      <c r="V4129" s="6">
        <v>2.92</v>
      </c>
      <c r="W4129" s="7">
        <v>23.437999999999999</v>
      </c>
      <c r="X4129" s="7">
        <v>22.812999999999999</v>
      </c>
      <c r="Y4129" s="4">
        <v>25</v>
      </c>
      <c r="Z4129" s="7">
        <v>25.625</v>
      </c>
      <c r="AA4129" s="6">
        <v>18.36</v>
      </c>
      <c r="AB4129" s="7">
        <v>297.06700000000001</v>
      </c>
      <c r="AC4129" s="2"/>
    </row>
    <row r="4130" spans="1:29" ht="117" x14ac:dyDescent="0.15">
      <c r="A4130" s="3">
        <f>DATE(1998,9,8)</f>
        <v>36046</v>
      </c>
      <c r="B4130" s="3">
        <f>DATE(1999,6,30)</f>
        <v>36341</v>
      </c>
      <c r="C4130" s="2" t="s">
        <v>95</v>
      </c>
      <c r="D4130" s="2" t="s">
        <v>12872</v>
      </c>
      <c r="E4130" s="2" t="s">
        <v>36</v>
      </c>
      <c r="F4130" s="4">
        <v>6035</v>
      </c>
      <c r="G4130" s="2" t="s">
        <v>33</v>
      </c>
      <c r="H4130" s="2" t="s">
        <v>34</v>
      </c>
      <c r="I4130" s="2" t="s">
        <v>1745</v>
      </c>
      <c r="J4130" s="2" t="s">
        <v>1746</v>
      </c>
      <c r="K4130" s="2" t="s">
        <v>33</v>
      </c>
      <c r="L4130" s="2" t="s">
        <v>34</v>
      </c>
      <c r="M4130" s="12">
        <v>2249.8139999999999</v>
      </c>
      <c r="N4130" s="5">
        <v>12.5</v>
      </c>
      <c r="O4130" s="7">
        <v>12.375</v>
      </c>
      <c r="P4130" s="2" t="s">
        <v>12873</v>
      </c>
      <c r="Q4130" s="6">
        <v>100</v>
      </c>
      <c r="R4130" s="6">
        <v>10.5</v>
      </c>
      <c r="S4130" s="5">
        <v>7.5</v>
      </c>
      <c r="T4130" s="7">
        <v>12.412000000000001</v>
      </c>
      <c r="U4130" s="5">
        <v>3.2</v>
      </c>
      <c r="V4130" s="7">
        <v>0.217</v>
      </c>
      <c r="W4130" s="6">
        <v>7.25</v>
      </c>
      <c r="X4130" s="7">
        <v>8.3130000000000006</v>
      </c>
      <c r="Y4130" s="11">
        <v>9.28125</v>
      </c>
      <c r="Z4130" s="7">
        <v>9.125</v>
      </c>
      <c r="AA4130" s="6">
        <v>36.33</v>
      </c>
      <c r="AB4130" s="7">
        <v>33.357999999999997</v>
      </c>
      <c r="AC4130" s="2"/>
    </row>
    <row r="4131" spans="1:29" ht="52" x14ac:dyDescent="0.15">
      <c r="A4131" s="3">
        <f>DATE(1998,9,9)</f>
        <v>36047</v>
      </c>
      <c r="B4131" s="3">
        <f>DATE(1999,5,3)</f>
        <v>36283</v>
      </c>
      <c r="C4131" s="2" t="s">
        <v>95</v>
      </c>
      <c r="D4131" s="2" t="s">
        <v>12874</v>
      </c>
      <c r="E4131" s="2" t="s">
        <v>265</v>
      </c>
      <c r="F4131" s="4">
        <v>6022</v>
      </c>
      <c r="G4131" s="2" t="s">
        <v>37</v>
      </c>
      <c r="H4131" s="2" t="s">
        <v>34</v>
      </c>
      <c r="I4131" s="2" t="s">
        <v>8238</v>
      </c>
      <c r="J4131" s="2" t="s">
        <v>36</v>
      </c>
      <c r="K4131" s="2" t="s">
        <v>37</v>
      </c>
      <c r="L4131" s="2" t="s">
        <v>34</v>
      </c>
      <c r="M4131" s="2"/>
      <c r="N4131" s="2"/>
      <c r="O4131" s="2"/>
      <c r="P4131" s="2" t="s">
        <v>12875</v>
      </c>
      <c r="Q4131" s="6">
        <v>100</v>
      </c>
      <c r="R4131" s="6">
        <v>32</v>
      </c>
      <c r="S4131" s="5">
        <v>8</v>
      </c>
      <c r="T4131" s="7">
        <v>8.9469999999999992</v>
      </c>
      <c r="U4131" s="5">
        <v>26</v>
      </c>
      <c r="V4131" s="6">
        <v>2.29</v>
      </c>
      <c r="W4131" s="6">
        <v>26.75</v>
      </c>
      <c r="X4131" s="4">
        <v>27</v>
      </c>
      <c r="Y4131" s="5">
        <v>26.5</v>
      </c>
      <c r="Z4131" s="5">
        <v>29.5</v>
      </c>
      <c r="AA4131" s="6">
        <v>3.15</v>
      </c>
      <c r="AB4131" s="7">
        <v>18.111000000000001</v>
      </c>
      <c r="AC4131" s="2"/>
    </row>
    <row r="4132" spans="1:29" ht="117" x14ac:dyDescent="0.15">
      <c r="A4132" s="3">
        <f>DATE(1998,9,9)</f>
        <v>36047</v>
      </c>
      <c r="B4132" s="3">
        <f>DATE(1998,12,18)</f>
        <v>36147</v>
      </c>
      <c r="C4132" s="2" t="s">
        <v>95</v>
      </c>
      <c r="D4132" s="2" t="s">
        <v>12876</v>
      </c>
      <c r="E4132" s="2" t="s">
        <v>12877</v>
      </c>
      <c r="F4132" s="4">
        <v>7373</v>
      </c>
      <c r="G4132" s="2" t="s">
        <v>223</v>
      </c>
      <c r="H4132" s="2" t="s">
        <v>34</v>
      </c>
      <c r="I4132" s="2" t="s">
        <v>12878</v>
      </c>
      <c r="J4132" s="2" t="s">
        <v>4480</v>
      </c>
      <c r="K4132" s="2" t="s">
        <v>223</v>
      </c>
      <c r="L4132" s="2" t="s">
        <v>34</v>
      </c>
      <c r="M4132" s="5">
        <v>423</v>
      </c>
      <c r="N4132" s="7">
        <v>17.437999999999999</v>
      </c>
      <c r="O4132" s="6">
        <v>16.25</v>
      </c>
      <c r="P4132" s="2" t="s">
        <v>12879</v>
      </c>
      <c r="Q4132" s="6">
        <v>100</v>
      </c>
      <c r="R4132" s="6">
        <v>23.06</v>
      </c>
      <c r="S4132" s="5">
        <v>3.5</v>
      </c>
      <c r="T4132" s="7">
        <v>6.8860000000000001</v>
      </c>
      <c r="U4132" s="5">
        <v>2.7</v>
      </c>
      <c r="V4132" s="6">
        <v>0.4</v>
      </c>
      <c r="W4132" s="5">
        <v>10.5</v>
      </c>
      <c r="X4132" s="7">
        <v>10.218999999999999</v>
      </c>
      <c r="Y4132" s="7">
        <v>10.375</v>
      </c>
      <c r="Z4132" s="7">
        <v>11.125</v>
      </c>
      <c r="AA4132" s="6">
        <v>8.07</v>
      </c>
      <c r="AB4132" s="7">
        <v>35.520000000000003</v>
      </c>
      <c r="AC4132" s="6">
        <v>2.95</v>
      </c>
    </row>
    <row r="4133" spans="1:29" ht="104" x14ac:dyDescent="0.15">
      <c r="A4133" s="3">
        <f>DATE(1998,9,10)</f>
        <v>36048</v>
      </c>
      <c r="B4133" s="2"/>
      <c r="C4133" s="2" t="s">
        <v>30</v>
      </c>
      <c r="D4133" s="2" t="s">
        <v>12880</v>
      </c>
      <c r="E4133" s="2" t="s">
        <v>2800</v>
      </c>
      <c r="F4133" s="4">
        <v>6162</v>
      </c>
      <c r="G4133" s="2" t="s">
        <v>109</v>
      </c>
      <c r="H4133" s="2" t="s">
        <v>34</v>
      </c>
      <c r="I4133" s="2" t="s">
        <v>12881</v>
      </c>
      <c r="J4133" s="2" t="s">
        <v>159</v>
      </c>
      <c r="K4133" s="2" t="s">
        <v>37</v>
      </c>
      <c r="L4133" s="2" t="s">
        <v>34</v>
      </c>
      <c r="M4133" s="12">
        <v>1816.8209999999999</v>
      </c>
      <c r="N4133" s="6">
        <v>38.75</v>
      </c>
      <c r="O4133" s="5">
        <v>40.5</v>
      </c>
      <c r="P4133" s="2" t="s">
        <v>12882</v>
      </c>
      <c r="Q4133" s="2"/>
      <c r="R4133" s="6">
        <v>10</v>
      </c>
      <c r="S4133" s="5">
        <v>17.100000000000001</v>
      </c>
      <c r="T4133" s="7">
        <v>30.225999999999999</v>
      </c>
      <c r="U4133" s="5">
        <v>9.6</v>
      </c>
      <c r="V4133" s="6">
        <v>3.48</v>
      </c>
      <c r="W4133" s="6">
        <v>2.25</v>
      </c>
      <c r="X4133" s="6">
        <v>2.38</v>
      </c>
      <c r="Y4133" s="7">
        <v>4.875</v>
      </c>
      <c r="Z4133" s="6">
        <v>7.25</v>
      </c>
      <c r="AA4133" s="6">
        <v>5.07</v>
      </c>
      <c r="AB4133" s="7">
        <v>0.497</v>
      </c>
      <c r="AC4133" s="2"/>
    </row>
    <row r="4134" spans="1:29" ht="104" x14ac:dyDescent="0.15">
      <c r="A4134" s="3">
        <f>DATE(1998,9,11)</f>
        <v>36049</v>
      </c>
      <c r="B4134" s="3">
        <f>DATE(1999,6,22)</f>
        <v>36333</v>
      </c>
      <c r="C4134" s="2" t="s">
        <v>95</v>
      </c>
      <c r="D4134" s="2" t="s">
        <v>12883</v>
      </c>
      <c r="E4134" s="2" t="s">
        <v>10615</v>
      </c>
      <c r="F4134" s="4">
        <v>2026</v>
      </c>
      <c r="G4134" s="2" t="s">
        <v>577</v>
      </c>
      <c r="H4134" s="2" t="s">
        <v>34</v>
      </c>
      <c r="I4134" s="2" t="s">
        <v>10616</v>
      </c>
      <c r="J4134" s="2" t="s">
        <v>10617</v>
      </c>
      <c r="K4134" s="2" t="s">
        <v>593</v>
      </c>
      <c r="L4134" s="2" t="s">
        <v>34</v>
      </c>
      <c r="M4134" s="10">
        <v>1676.03</v>
      </c>
      <c r="N4134" s="7">
        <v>40.438000000000002</v>
      </c>
      <c r="O4134" s="6">
        <v>39.75</v>
      </c>
      <c r="P4134" s="2" t="s">
        <v>12884</v>
      </c>
      <c r="Q4134" s="6">
        <v>65.36</v>
      </c>
      <c r="R4134" s="6">
        <v>16.5</v>
      </c>
      <c r="S4134" s="5">
        <v>0.5</v>
      </c>
      <c r="T4134" s="7">
        <v>5.0289999999999999</v>
      </c>
      <c r="U4134" s="5">
        <v>5.8</v>
      </c>
      <c r="V4134" s="6">
        <v>0.08</v>
      </c>
      <c r="W4134" s="4">
        <v>17</v>
      </c>
      <c r="X4134" s="6">
        <v>17.25</v>
      </c>
      <c r="Y4134" s="4">
        <v>18</v>
      </c>
      <c r="Z4134" s="7">
        <v>18.125</v>
      </c>
      <c r="AA4134" s="6">
        <v>5.77</v>
      </c>
      <c r="AB4134" s="7">
        <v>54.384</v>
      </c>
      <c r="AC4134" s="6">
        <v>76.010000000000005</v>
      </c>
    </row>
    <row r="4135" spans="1:29" ht="52" x14ac:dyDescent="0.15">
      <c r="A4135" s="3">
        <f>DATE(1998,9,11)</f>
        <v>36049</v>
      </c>
      <c r="B4135" s="3">
        <f>DATE(1999,3,4)</f>
        <v>36223</v>
      </c>
      <c r="C4135" s="2" t="s">
        <v>95</v>
      </c>
      <c r="D4135" s="2" t="s">
        <v>12885</v>
      </c>
      <c r="E4135" s="2" t="s">
        <v>12886</v>
      </c>
      <c r="F4135" s="4">
        <v>2676</v>
      </c>
      <c r="G4135" s="2" t="s">
        <v>282</v>
      </c>
      <c r="H4135" s="2" t="s">
        <v>34</v>
      </c>
      <c r="I4135" s="2" t="s">
        <v>12887</v>
      </c>
      <c r="J4135" s="2" t="s">
        <v>302</v>
      </c>
      <c r="K4135" s="2" t="s">
        <v>53</v>
      </c>
      <c r="L4135" s="2" t="s">
        <v>34</v>
      </c>
      <c r="M4135" s="2"/>
      <c r="N4135" s="2"/>
      <c r="O4135" s="2"/>
      <c r="P4135" s="2" t="s">
        <v>12888</v>
      </c>
      <c r="Q4135" s="6">
        <v>54</v>
      </c>
      <c r="R4135" s="6">
        <v>3.5</v>
      </c>
      <c r="S4135" s="5">
        <v>1.8</v>
      </c>
      <c r="T4135" s="7">
        <v>3.5579999999999998</v>
      </c>
      <c r="U4135" s="5">
        <v>2.2000000000000002</v>
      </c>
      <c r="V4135" s="7">
        <v>0.438</v>
      </c>
      <c r="W4135" s="6">
        <v>2.25</v>
      </c>
      <c r="X4135" s="6">
        <v>2.38</v>
      </c>
      <c r="Y4135" s="7">
        <v>3.0630000000000002</v>
      </c>
      <c r="Z4135" s="7">
        <v>3.0630000000000002</v>
      </c>
      <c r="AA4135" s="6">
        <v>3.98</v>
      </c>
      <c r="AB4135" s="7">
        <v>4.9249999999999998</v>
      </c>
      <c r="AC4135" s="2"/>
    </row>
    <row r="4136" spans="1:29" ht="117" x14ac:dyDescent="0.15">
      <c r="A4136" s="3">
        <f>DATE(1998,9,14)</f>
        <v>36052</v>
      </c>
      <c r="B4136" s="3">
        <f>DATE(1998,10,28)</f>
        <v>36096</v>
      </c>
      <c r="C4136" s="2" t="s">
        <v>95</v>
      </c>
      <c r="D4136" s="2" t="s">
        <v>2750</v>
      </c>
      <c r="E4136" s="2" t="s">
        <v>1756</v>
      </c>
      <c r="F4136" s="4">
        <v>8711</v>
      </c>
      <c r="G4136" s="2" t="s">
        <v>223</v>
      </c>
      <c r="H4136" s="2" t="s">
        <v>34</v>
      </c>
      <c r="I4136" s="2" t="s">
        <v>12889</v>
      </c>
      <c r="J4136" s="2" t="s">
        <v>12890</v>
      </c>
      <c r="K4136" s="2" t="s">
        <v>166</v>
      </c>
      <c r="L4136" s="2" t="s">
        <v>34</v>
      </c>
      <c r="M4136" s="2"/>
      <c r="N4136" s="2"/>
      <c r="O4136" s="2"/>
      <c r="P4136" s="2" t="s">
        <v>12891</v>
      </c>
      <c r="Q4136" s="6">
        <v>100</v>
      </c>
      <c r="R4136" s="6">
        <v>13</v>
      </c>
      <c r="S4136" s="5">
        <v>16.100000000000001</v>
      </c>
      <c r="T4136" s="7">
        <v>30.550999999999998</v>
      </c>
      <c r="U4136" s="5">
        <v>7.8</v>
      </c>
      <c r="V4136" s="7">
        <v>0.92200000000000004</v>
      </c>
      <c r="W4136" s="7">
        <v>7.0629999999999997</v>
      </c>
      <c r="X4136" s="7">
        <v>6.9379999999999997</v>
      </c>
      <c r="Y4136" s="7">
        <v>6.9379999999999997</v>
      </c>
      <c r="Z4136" s="7">
        <v>12.438000000000001</v>
      </c>
      <c r="AA4136" s="6">
        <v>14.72</v>
      </c>
      <c r="AB4136" s="7">
        <v>15.393000000000001</v>
      </c>
      <c r="AC4136" s="2"/>
    </row>
    <row r="4137" spans="1:29" ht="65" x14ac:dyDescent="0.15">
      <c r="A4137" s="3">
        <f>DATE(1998,9,14)</f>
        <v>36052</v>
      </c>
      <c r="B4137" s="3">
        <f>DATE(1998,9,14)</f>
        <v>36052</v>
      </c>
      <c r="C4137" s="2" t="s">
        <v>95</v>
      </c>
      <c r="D4137" s="2" t="s">
        <v>12892</v>
      </c>
      <c r="E4137" s="2" t="s">
        <v>12893</v>
      </c>
      <c r="F4137" s="4">
        <v>7373</v>
      </c>
      <c r="G4137" s="2" t="s">
        <v>223</v>
      </c>
      <c r="H4137" s="2" t="s">
        <v>34</v>
      </c>
      <c r="I4137" s="2" t="s">
        <v>11268</v>
      </c>
      <c r="J4137" s="2" t="s">
        <v>1604</v>
      </c>
      <c r="K4137" s="2" t="s">
        <v>63</v>
      </c>
      <c r="L4137" s="2" t="s">
        <v>34</v>
      </c>
      <c r="M4137" s="12">
        <v>12437.109</v>
      </c>
      <c r="N4137" s="7">
        <v>28.812999999999999</v>
      </c>
      <c r="O4137" s="4">
        <v>30</v>
      </c>
      <c r="P4137" s="2" t="s">
        <v>12894</v>
      </c>
      <c r="Q4137" s="6">
        <v>100</v>
      </c>
      <c r="R4137" s="6">
        <v>12</v>
      </c>
      <c r="S4137" s="5">
        <v>-13</v>
      </c>
      <c r="T4137" s="7">
        <v>-10.282</v>
      </c>
      <c r="U4137" s="5">
        <v>-3.6</v>
      </c>
      <c r="V4137" s="6">
        <v>-1.39</v>
      </c>
      <c r="W4137" s="5">
        <v>7.5</v>
      </c>
      <c r="X4137" s="6">
        <v>7.25</v>
      </c>
      <c r="Y4137" s="5">
        <v>10.5</v>
      </c>
      <c r="Z4137" s="6">
        <v>10.75</v>
      </c>
      <c r="AA4137" s="6">
        <v>15.88</v>
      </c>
      <c r="AB4137" s="2" t="s">
        <v>86</v>
      </c>
      <c r="AC4137" s="6">
        <v>379.78</v>
      </c>
    </row>
    <row r="4138" spans="1:29" ht="26" x14ac:dyDescent="0.15">
      <c r="A4138" s="3">
        <f>DATE(1998,9,15)</f>
        <v>36053</v>
      </c>
      <c r="B4138" s="2"/>
      <c r="C4138" s="2" t="s">
        <v>30</v>
      </c>
      <c r="D4138" s="2" t="s">
        <v>8351</v>
      </c>
      <c r="E4138" s="2" t="s">
        <v>5676</v>
      </c>
      <c r="F4138" s="4">
        <v>4911</v>
      </c>
      <c r="G4138" s="2" t="s">
        <v>439</v>
      </c>
      <c r="H4138" s="2" t="s">
        <v>34</v>
      </c>
      <c r="I4138" s="2" t="s">
        <v>12895</v>
      </c>
      <c r="J4138" s="2" t="s">
        <v>1888</v>
      </c>
      <c r="K4138" s="2" t="s">
        <v>439</v>
      </c>
      <c r="L4138" s="2" t="s">
        <v>303</v>
      </c>
      <c r="M4138" s="2"/>
      <c r="N4138" s="2"/>
      <c r="O4138" s="2"/>
      <c r="P4138" s="2" t="s">
        <v>12896</v>
      </c>
      <c r="Q4138" s="2"/>
      <c r="R4138" s="2"/>
      <c r="S4138" s="5">
        <v>375.2</v>
      </c>
      <c r="T4138" s="12">
        <v>1076.607</v>
      </c>
      <c r="U4138" s="5">
        <v>16.100000000000001</v>
      </c>
      <c r="V4138" s="6">
        <v>2.2799999999999998</v>
      </c>
      <c r="W4138" s="7">
        <v>33.063000000000002</v>
      </c>
      <c r="X4138" s="7">
        <v>34.688000000000002</v>
      </c>
      <c r="Y4138" s="7">
        <v>35.125</v>
      </c>
      <c r="Z4138" s="6">
        <v>35.25</v>
      </c>
      <c r="AA4138" s="6">
        <v>157.76</v>
      </c>
      <c r="AB4138" s="2" t="s">
        <v>47</v>
      </c>
      <c r="AC4138" s="6">
        <v>30.97</v>
      </c>
    </row>
    <row r="4139" spans="1:29" ht="78" x14ac:dyDescent="0.15">
      <c r="A4139" s="3">
        <f>DATE(1998,9,16)</f>
        <v>36054</v>
      </c>
      <c r="B4139" s="3">
        <f>DATE(1999,5,14)</f>
        <v>36294</v>
      </c>
      <c r="C4139" s="2" t="s">
        <v>95</v>
      </c>
      <c r="D4139" s="2" t="s">
        <v>12897</v>
      </c>
      <c r="E4139" s="2" t="s">
        <v>12898</v>
      </c>
      <c r="F4139" s="4">
        <v>2037</v>
      </c>
      <c r="G4139" s="2" t="s">
        <v>577</v>
      </c>
      <c r="H4139" s="2" t="s">
        <v>34</v>
      </c>
      <c r="I4139" s="2" t="s">
        <v>51</v>
      </c>
      <c r="J4139" s="2" t="s">
        <v>52</v>
      </c>
      <c r="K4139" s="2" t="s">
        <v>53</v>
      </c>
      <c r="L4139" s="2" t="s">
        <v>34</v>
      </c>
      <c r="M4139" s="2"/>
      <c r="N4139" s="2"/>
      <c r="O4139" s="2"/>
      <c r="P4139" s="2" t="s">
        <v>12899</v>
      </c>
      <c r="Q4139" s="6">
        <v>62.56</v>
      </c>
      <c r="R4139" s="6">
        <v>3</v>
      </c>
      <c r="S4139" s="5">
        <v>0.5</v>
      </c>
      <c r="T4139" s="7">
        <v>12.127000000000001</v>
      </c>
      <c r="U4139" s="5">
        <v>6.7</v>
      </c>
      <c r="V4139" s="6">
        <v>0.06</v>
      </c>
      <c r="W4139" s="7">
        <v>2.8130000000000002</v>
      </c>
      <c r="X4139" s="7">
        <v>2.4689999999999999</v>
      </c>
      <c r="Y4139" s="9">
        <v>2.5625</v>
      </c>
      <c r="Z4139" s="9">
        <v>2.6875</v>
      </c>
      <c r="AA4139" s="6">
        <v>6.81</v>
      </c>
      <c r="AB4139" s="7">
        <v>13.709</v>
      </c>
      <c r="AC4139" s="2"/>
    </row>
    <row r="4140" spans="1:29" ht="117" x14ac:dyDescent="0.15">
      <c r="A4140" s="3">
        <f>DATE(1998,9,17)</f>
        <v>36055</v>
      </c>
      <c r="B4140" s="3">
        <f>DATE(1999,4,13)</f>
        <v>36263</v>
      </c>
      <c r="C4140" s="2" t="s">
        <v>95</v>
      </c>
      <c r="D4140" s="2" t="s">
        <v>12900</v>
      </c>
      <c r="E4140" s="2" t="s">
        <v>36</v>
      </c>
      <c r="F4140" s="4">
        <v>6712</v>
      </c>
      <c r="G4140" s="2" t="s">
        <v>37</v>
      </c>
      <c r="H4140" s="2" t="s">
        <v>34</v>
      </c>
      <c r="I4140" s="2" t="s">
        <v>8689</v>
      </c>
      <c r="J4140" s="2" t="s">
        <v>8690</v>
      </c>
      <c r="K4140" s="2" t="s">
        <v>37</v>
      </c>
      <c r="L4140" s="2" t="s">
        <v>34</v>
      </c>
      <c r="M4140" s="7">
        <v>933.37900000000002</v>
      </c>
      <c r="N4140" s="7">
        <v>38.938000000000002</v>
      </c>
      <c r="O4140" s="7">
        <v>39.688000000000002</v>
      </c>
      <c r="P4140" s="2" t="s">
        <v>12901</v>
      </c>
      <c r="Q4140" s="6">
        <v>100</v>
      </c>
      <c r="R4140" s="6">
        <v>16.25</v>
      </c>
      <c r="S4140" s="5">
        <v>2.7</v>
      </c>
      <c r="T4140" s="2"/>
      <c r="U4140" s="5">
        <v>4.5999999999999996</v>
      </c>
      <c r="V4140" s="7">
        <v>0.624</v>
      </c>
      <c r="W4140" s="4">
        <v>11</v>
      </c>
      <c r="X4140" s="4">
        <v>13</v>
      </c>
      <c r="Y4140" s="5">
        <v>14.5</v>
      </c>
      <c r="Z4140" s="6">
        <v>14.75</v>
      </c>
      <c r="AA4140" s="6">
        <v>4.26</v>
      </c>
      <c r="AB4140" s="7">
        <v>18.219000000000001</v>
      </c>
      <c r="AC4140" s="2"/>
    </row>
    <row r="4141" spans="1:29" ht="130" x14ac:dyDescent="0.15">
      <c r="A4141" s="3">
        <f>DATE(1998,9,18)</f>
        <v>36056</v>
      </c>
      <c r="B4141" s="3">
        <f>DATE(1998,11,20)</f>
        <v>36119</v>
      </c>
      <c r="C4141" s="2" t="s">
        <v>95</v>
      </c>
      <c r="D4141" s="2" t="s">
        <v>12902</v>
      </c>
      <c r="E4141" s="2" t="s">
        <v>7062</v>
      </c>
      <c r="F4141" s="4">
        <v>3845</v>
      </c>
      <c r="G4141" s="2" t="s">
        <v>226</v>
      </c>
      <c r="H4141" s="2" t="s">
        <v>34</v>
      </c>
      <c r="I4141" s="2" t="s">
        <v>12170</v>
      </c>
      <c r="J4141" s="2" t="s">
        <v>12171</v>
      </c>
      <c r="K4141" s="2" t="s">
        <v>226</v>
      </c>
      <c r="L4141" s="2" t="s">
        <v>34</v>
      </c>
      <c r="M4141" s="2"/>
      <c r="N4141" s="2"/>
      <c r="O4141" s="2"/>
      <c r="P4141" s="2" t="s">
        <v>12903</v>
      </c>
      <c r="Q4141" s="6">
        <v>100</v>
      </c>
      <c r="R4141" s="6">
        <v>47.02</v>
      </c>
      <c r="S4141" s="5">
        <v>26.6</v>
      </c>
      <c r="T4141" s="7">
        <v>69.783000000000001</v>
      </c>
      <c r="U4141" s="5">
        <v>12</v>
      </c>
      <c r="V4141" s="6">
        <v>1.46</v>
      </c>
      <c r="W4141" s="6">
        <v>23.12</v>
      </c>
      <c r="X4141" s="4">
        <v>24</v>
      </c>
      <c r="Y4141" s="7">
        <v>27.375</v>
      </c>
      <c r="Z4141" s="5">
        <v>42.5</v>
      </c>
      <c r="AA4141" s="6">
        <v>17.96</v>
      </c>
      <c r="AB4141" s="7">
        <v>19.61</v>
      </c>
      <c r="AC4141" s="2"/>
    </row>
    <row r="4142" spans="1:29" ht="65" x14ac:dyDescent="0.15">
      <c r="A4142" s="3">
        <f>DATE(1998,9,18)</f>
        <v>36056</v>
      </c>
      <c r="B4142" s="3">
        <f>DATE(1999,1,25)</f>
        <v>36185</v>
      </c>
      <c r="C4142" s="2" t="s">
        <v>95</v>
      </c>
      <c r="D4142" s="2" t="s">
        <v>11866</v>
      </c>
      <c r="E4142" s="2" t="s">
        <v>11867</v>
      </c>
      <c r="F4142" s="4">
        <v>5812</v>
      </c>
      <c r="G4142" s="2" t="s">
        <v>230</v>
      </c>
      <c r="H4142" s="2" t="s">
        <v>34</v>
      </c>
      <c r="I4142" s="2" t="s">
        <v>12904</v>
      </c>
      <c r="J4142" s="2" t="s">
        <v>12905</v>
      </c>
      <c r="K4142" s="2" t="s">
        <v>230</v>
      </c>
      <c r="L4142" s="2" t="s">
        <v>34</v>
      </c>
      <c r="M4142" s="2"/>
      <c r="N4142" s="2"/>
      <c r="O4142" s="2"/>
      <c r="P4142" s="2" t="s">
        <v>12906</v>
      </c>
      <c r="Q4142" s="6">
        <v>100</v>
      </c>
      <c r="R4142" s="2"/>
      <c r="S4142" s="5">
        <v>1.2</v>
      </c>
      <c r="T4142" s="7">
        <v>7.048</v>
      </c>
      <c r="U4142" s="5">
        <v>8.3000000000000007</v>
      </c>
      <c r="V4142" s="6">
        <v>0.2</v>
      </c>
      <c r="W4142" s="7">
        <v>6.0629999999999997</v>
      </c>
      <c r="X4142" s="6">
        <v>5.75</v>
      </c>
      <c r="Y4142" s="7">
        <v>7.375</v>
      </c>
      <c r="Z4142" s="7">
        <v>7.3129999999999997</v>
      </c>
      <c r="AA4142" s="6">
        <v>5.54</v>
      </c>
      <c r="AB4142" s="7">
        <v>15.127000000000001</v>
      </c>
      <c r="AC4142" s="2"/>
    </row>
    <row r="4143" spans="1:29" ht="234" x14ac:dyDescent="0.15">
      <c r="A4143" s="3">
        <f>DATE(1998,9,20)</f>
        <v>36058</v>
      </c>
      <c r="B4143" s="3">
        <f>DATE(2000,8,3)</f>
        <v>36741</v>
      </c>
      <c r="C4143" s="2" t="s">
        <v>95</v>
      </c>
      <c r="D4143" s="2" t="s">
        <v>4614</v>
      </c>
      <c r="E4143" s="2" t="s">
        <v>4615</v>
      </c>
      <c r="F4143" s="4">
        <v>4899</v>
      </c>
      <c r="G4143" s="2" t="s">
        <v>63</v>
      </c>
      <c r="H4143" s="2" t="s">
        <v>34</v>
      </c>
      <c r="I4143" s="2" t="s">
        <v>7354</v>
      </c>
      <c r="J4143" s="2" t="s">
        <v>7355</v>
      </c>
      <c r="K4143" s="2" t="s">
        <v>219</v>
      </c>
      <c r="L4143" s="2" t="s">
        <v>34</v>
      </c>
      <c r="M4143" s="12">
        <v>19180.492999999999</v>
      </c>
      <c r="N4143" s="7">
        <v>95.125</v>
      </c>
      <c r="O4143" s="7">
        <v>95.125</v>
      </c>
      <c r="P4143" s="2" t="s">
        <v>12907</v>
      </c>
      <c r="Q4143" s="6">
        <v>100</v>
      </c>
      <c r="R4143" s="6">
        <v>50</v>
      </c>
      <c r="S4143" s="5">
        <v>28.6</v>
      </c>
      <c r="T4143" s="7">
        <v>266.17399999999998</v>
      </c>
      <c r="U4143" s="5">
        <v>11.7</v>
      </c>
      <c r="V4143" s="6">
        <v>0.56999999999999995</v>
      </c>
      <c r="W4143" s="7">
        <v>29.812999999999999</v>
      </c>
      <c r="X4143" s="7">
        <v>34.125</v>
      </c>
      <c r="Y4143" s="7">
        <v>34.375</v>
      </c>
      <c r="Z4143" s="7">
        <v>34.375</v>
      </c>
      <c r="AA4143" s="6">
        <v>52.42</v>
      </c>
      <c r="AB4143" s="7">
        <v>42.521999999999998</v>
      </c>
      <c r="AC4143" s="2"/>
    </row>
    <row r="4144" spans="1:29" ht="104" x14ac:dyDescent="0.15">
      <c r="A4144" s="3">
        <f>DATE(1998,9,20)</f>
        <v>36058</v>
      </c>
      <c r="B4144" s="2"/>
      <c r="C4144" s="2" t="s">
        <v>30</v>
      </c>
      <c r="D4144" s="2" t="s">
        <v>12908</v>
      </c>
      <c r="E4144" s="2" t="s">
        <v>12909</v>
      </c>
      <c r="F4144" s="4">
        <v>7372</v>
      </c>
      <c r="G4144" s="2" t="s">
        <v>551</v>
      </c>
      <c r="H4144" s="2" t="s">
        <v>34</v>
      </c>
      <c r="I4144" s="2" t="s">
        <v>12910</v>
      </c>
      <c r="J4144" s="2" t="s">
        <v>12911</v>
      </c>
      <c r="K4144" s="2" t="s">
        <v>551</v>
      </c>
      <c r="L4144" s="2" t="s">
        <v>34</v>
      </c>
      <c r="M4144" s="6">
        <v>125.71</v>
      </c>
      <c r="N4144" s="2"/>
      <c r="O4144" s="4">
        <v>7</v>
      </c>
      <c r="P4144" s="2" t="s">
        <v>12912</v>
      </c>
      <c r="Q4144" s="2"/>
      <c r="R4144" s="6">
        <v>7.35</v>
      </c>
      <c r="S4144" s="5">
        <v>1.6</v>
      </c>
      <c r="T4144" s="6">
        <v>4.41</v>
      </c>
      <c r="U4144" s="5">
        <v>5.3</v>
      </c>
      <c r="V4144" s="6">
        <v>0.23</v>
      </c>
      <c r="W4144" s="7">
        <v>7.625</v>
      </c>
      <c r="X4144" s="5">
        <v>7.5</v>
      </c>
      <c r="Y4144" s="9">
        <v>7.0625</v>
      </c>
      <c r="Z4144" s="9">
        <v>7.0625</v>
      </c>
      <c r="AA4144" s="6">
        <v>9.34</v>
      </c>
      <c r="AB4144" s="7">
        <v>8.3469999999999995</v>
      </c>
      <c r="AC4144" s="5">
        <v>19.899999999999999</v>
      </c>
    </row>
    <row r="4145" spans="1:29" ht="91" x14ac:dyDescent="0.15">
      <c r="A4145" s="3">
        <f>DATE(1998,9,21)</f>
        <v>36059</v>
      </c>
      <c r="B4145" s="3">
        <f>DATE(1998,10,30)</f>
        <v>36098</v>
      </c>
      <c r="C4145" s="2" t="s">
        <v>95</v>
      </c>
      <c r="D4145" s="2" t="s">
        <v>12913</v>
      </c>
      <c r="E4145" s="2" t="s">
        <v>12914</v>
      </c>
      <c r="F4145" s="4">
        <v>2835</v>
      </c>
      <c r="G4145" s="2" t="s">
        <v>130</v>
      </c>
      <c r="H4145" s="2" t="s">
        <v>34</v>
      </c>
      <c r="I4145" s="2" t="s">
        <v>12915</v>
      </c>
      <c r="J4145" s="2" t="s">
        <v>12916</v>
      </c>
      <c r="K4145" s="2" t="s">
        <v>130</v>
      </c>
      <c r="L4145" s="2" t="s">
        <v>34</v>
      </c>
      <c r="M4145" s="7">
        <v>65.611999999999995</v>
      </c>
      <c r="N4145" s="7">
        <v>9.9380000000000006</v>
      </c>
      <c r="O4145" s="4">
        <v>10</v>
      </c>
      <c r="P4145" s="2" t="s">
        <v>12917</v>
      </c>
      <c r="Q4145" s="6">
        <v>100</v>
      </c>
      <c r="R4145" s="6">
        <v>5.4</v>
      </c>
      <c r="S4145" s="5">
        <v>1.3</v>
      </c>
      <c r="T4145" s="7">
        <v>1.7190000000000001</v>
      </c>
      <c r="U4145" s="5">
        <v>3.9</v>
      </c>
      <c r="V4145" s="6">
        <v>0.28000000000000003</v>
      </c>
      <c r="W4145" s="7">
        <v>2.375</v>
      </c>
      <c r="X4145" s="7">
        <v>2.875</v>
      </c>
      <c r="Y4145" s="4">
        <v>5</v>
      </c>
      <c r="Z4145" s="4">
        <v>5</v>
      </c>
      <c r="AA4145" s="6">
        <v>4.63</v>
      </c>
      <c r="AB4145" s="7">
        <v>39.753999999999998</v>
      </c>
      <c r="AC4145" s="6">
        <v>15.82</v>
      </c>
    </row>
    <row r="4146" spans="1:29" ht="104" x14ac:dyDescent="0.15">
      <c r="A4146" s="3">
        <f>DATE(1998,9,22)</f>
        <v>36060</v>
      </c>
      <c r="B4146" s="3">
        <f>DATE(1999,12,1)</f>
        <v>36495</v>
      </c>
      <c r="C4146" s="2" t="s">
        <v>95</v>
      </c>
      <c r="D4146" s="2" t="s">
        <v>12918</v>
      </c>
      <c r="E4146" s="2" t="s">
        <v>92</v>
      </c>
      <c r="F4146" s="4">
        <v>6798</v>
      </c>
      <c r="G4146" s="2" t="s">
        <v>53</v>
      </c>
      <c r="H4146" s="2" t="s">
        <v>34</v>
      </c>
      <c r="I4146" s="2" t="s">
        <v>12919</v>
      </c>
      <c r="J4146" s="2" t="s">
        <v>92</v>
      </c>
      <c r="K4146" s="2" t="s">
        <v>53</v>
      </c>
      <c r="L4146" s="2" t="s">
        <v>34</v>
      </c>
      <c r="M4146" s="7">
        <v>37.113999999999997</v>
      </c>
      <c r="N4146" s="5">
        <v>13.5</v>
      </c>
      <c r="O4146" s="7">
        <v>13.375</v>
      </c>
      <c r="P4146" s="2" t="s">
        <v>12920</v>
      </c>
      <c r="Q4146" s="6">
        <v>100</v>
      </c>
      <c r="R4146" s="6">
        <v>15.5</v>
      </c>
      <c r="S4146" s="5">
        <v>4.2</v>
      </c>
      <c r="T4146" s="7">
        <v>2.0640000000000001</v>
      </c>
      <c r="U4146" s="5">
        <v>21.9</v>
      </c>
      <c r="V4146" s="6">
        <v>1.04</v>
      </c>
      <c r="W4146" s="5">
        <v>16.5</v>
      </c>
      <c r="X4146" s="4">
        <v>16</v>
      </c>
      <c r="Y4146" s="6">
        <v>15.75</v>
      </c>
      <c r="Z4146" s="6">
        <v>15.75</v>
      </c>
      <c r="AA4146" s="6">
        <v>4.01</v>
      </c>
      <c r="AB4146" s="2" t="s">
        <v>86</v>
      </c>
      <c r="AC4146" s="6">
        <v>24.73</v>
      </c>
    </row>
    <row r="4147" spans="1:29" ht="130" x14ac:dyDescent="0.15">
      <c r="A4147" s="3">
        <f>DATE(1998,9,22)</f>
        <v>36060</v>
      </c>
      <c r="B4147" s="3">
        <f>DATE(1999,3,31)</f>
        <v>36250</v>
      </c>
      <c r="C4147" s="2" t="s">
        <v>95</v>
      </c>
      <c r="D4147" s="2" t="s">
        <v>1796</v>
      </c>
      <c r="E4147" s="2" t="s">
        <v>1295</v>
      </c>
      <c r="F4147" s="4">
        <v>6036</v>
      </c>
      <c r="G4147" s="2" t="s">
        <v>33</v>
      </c>
      <c r="H4147" s="2" t="s">
        <v>34</v>
      </c>
      <c r="I4147" s="2" t="s">
        <v>8845</v>
      </c>
      <c r="J4147" s="2" t="s">
        <v>265</v>
      </c>
      <c r="K4147" s="2" t="s">
        <v>37</v>
      </c>
      <c r="L4147" s="2" t="s">
        <v>34</v>
      </c>
      <c r="M4147" s="7">
        <v>246.56899999999999</v>
      </c>
      <c r="N4147" s="7">
        <v>25.375</v>
      </c>
      <c r="O4147" s="7">
        <v>25.312999999999999</v>
      </c>
      <c r="P4147" s="2" t="s">
        <v>12921</v>
      </c>
      <c r="Q4147" s="6">
        <v>100</v>
      </c>
      <c r="R4147" s="6">
        <v>38.43</v>
      </c>
      <c r="S4147" s="5">
        <v>3.9</v>
      </c>
      <c r="T4147" s="7">
        <v>6.4790000000000001</v>
      </c>
      <c r="U4147" s="5">
        <v>13</v>
      </c>
      <c r="V4147" s="6">
        <v>1.54</v>
      </c>
      <c r="W4147" s="6">
        <v>25.25</v>
      </c>
      <c r="X4147" s="4">
        <v>33</v>
      </c>
      <c r="Y4147" s="4">
        <v>33</v>
      </c>
      <c r="Z4147" s="7">
        <v>34.313000000000002</v>
      </c>
      <c r="AA4147" s="6">
        <v>2.37</v>
      </c>
      <c r="AB4147" s="7">
        <v>21.824000000000002</v>
      </c>
      <c r="AC4147" s="2"/>
    </row>
    <row r="4148" spans="1:29" ht="104" x14ac:dyDescent="0.15">
      <c r="A4148" s="3">
        <f>DATE(1998,9,23)</f>
        <v>36061</v>
      </c>
      <c r="B4148" s="3">
        <f>DATE(1998,12,31)</f>
        <v>36160</v>
      </c>
      <c r="C4148" s="2" t="s">
        <v>95</v>
      </c>
      <c r="D4148" s="2" t="s">
        <v>12922</v>
      </c>
      <c r="E4148" s="2" t="s">
        <v>12923</v>
      </c>
      <c r="F4148" s="4">
        <v>3443</v>
      </c>
      <c r="G4148" s="2" t="s">
        <v>163</v>
      </c>
      <c r="H4148" s="2" t="s">
        <v>34</v>
      </c>
      <c r="I4148" s="2" t="s">
        <v>12924</v>
      </c>
      <c r="J4148" s="2" t="s">
        <v>12925</v>
      </c>
      <c r="K4148" s="2" t="s">
        <v>300</v>
      </c>
      <c r="L4148" s="2" t="s">
        <v>34</v>
      </c>
      <c r="M4148" s="2"/>
      <c r="N4148" s="2"/>
      <c r="O4148" s="2"/>
      <c r="P4148" s="2" t="s">
        <v>12926</v>
      </c>
      <c r="Q4148" s="6">
        <v>100</v>
      </c>
      <c r="R4148" s="6">
        <v>152</v>
      </c>
      <c r="S4148" s="5">
        <v>1.1000000000000001</v>
      </c>
      <c r="T4148" s="7">
        <v>2.0419999999999998</v>
      </c>
      <c r="U4148" s="5">
        <v>78.5</v>
      </c>
      <c r="V4148" s="6">
        <v>5.74</v>
      </c>
      <c r="W4148" s="4">
        <v>71</v>
      </c>
      <c r="X4148" s="4">
        <v>72</v>
      </c>
      <c r="Y4148" s="4">
        <v>76</v>
      </c>
      <c r="Z4148" s="4">
        <v>131</v>
      </c>
      <c r="AA4148" s="6">
        <v>0.19</v>
      </c>
      <c r="AB4148" s="7">
        <v>20.446999999999999</v>
      </c>
      <c r="AC4148" s="2"/>
    </row>
    <row r="4149" spans="1:29" ht="39" x14ac:dyDescent="0.15">
      <c r="A4149" s="3">
        <f>DATE(1998,9,23)</f>
        <v>36061</v>
      </c>
      <c r="B4149" s="3">
        <f>DATE(1998,11,13)</f>
        <v>36112</v>
      </c>
      <c r="C4149" s="2" t="s">
        <v>95</v>
      </c>
      <c r="D4149" s="2" t="s">
        <v>12927</v>
      </c>
      <c r="E4149" s="2" t="s">
        <v>12928</v>
      </c>
      <c r="F4149" s="4">
        <v>4731</v>
      </c>
      <c r="G4149" s="2" t="s">
        <v>173</v>
      </c>
      <c r="H4149" s="2" t="s">
        <v>34</v>
      </c>
      <c r="I4149" s="2" t="s">
        <v>12929</v>
      </c>
      <c r="J4149" s="2" t="s">
        <v>12930</v>
      </c>
      <c r="K4149" s="2" t="s">
        <v>173</v>
      </c>
      <c r="L4149" s="2" t="s">
        <v>34</v>
      </c>
      <c r="M4149" s="6">
        <v>601.71</v>
      </c>
      <c r="N4149" s="4">
        <v>20</v>
      </c>
      <c r="O4149" s="7">
        <v>20.812999999999999</v>
      </c>
      <c r="P4149" s="2" t="s">
        <v>12931</v>
      </c>
      <c r="Q4149" s="6">
        <v>100</v>
      </c>
      <c r="R4149" s="6">
        <v>4.45</v>
      </c>
      <c r="S4149" s="5">
        <v>0.4</v>
      </c>
      <c r="T4149" s="6">
        <v>1.39</v>
      </c>
      <c r="U4149" s="5">
        <v>1.6</v>
      </c>
      <c r="V4149" s="7">
        <v>6.5000000000000002E-2</v>
      </c>
      <c r="W4149" s="5">
        <v>1.5</v>
      </c>
      <c r="X4149" s="7">
        <v>1.125</v>
      </c>
      <c r="Y4149" s="7">
        <v>3.7189999999999999</v>
      </c>
      <c r="Z4149" s="7">
        <v>3.8130000000000002</v>
      </c>
      <c r="AA4149" s="6">
        <v>6.41</v>
      </c>
      <c r="AB4149" s="7">
        <v>49.384</v>
      </c>
      <c r="AC4149" s="6">
        <v>6.47</v>
      </c>
    </row>
    <row r="4150" spans="1:29" ht="104" x14ac:dyDescent="0.15">
      <c r="A4150" s="3">
        <f>DATE(1998,9,23)</f>
        <v>36061</v>
      </c>
      <c r="B4150" s="3">
        <f>DATE(1998,12,17)</f>
        <v>36146</v>
      </c>
      <c r="C4150" s="2" t="s">
        <v>95</v>
      </c>
      <c r="D4150" s="2" t="s">
        <v>12932</v>
      </c>
      <c r="E4150" s="2" t="s">
        <v>12933</v>
      </c>
      <c r="F4150" s="4">
        <v>3312</v>
      </c>
      <c r="G4150" s="2" t="s">
        <v>163</v>
      </c>
      <c r="H4150" s="2" t="s">
        <v>34</v>
      </c>
      <c r="I4150" s="2" t="s">
        <v>12934</v>
      </c>
      <c r="J4150" s="2" t="s">
        <v>12935</v>
      </c>
      <c r="K4150" s="2" t="s">
        <v>163</v>
      </c>
      <c r="L4150" s="2" t="s">
        <v>133</v>
      </c>
      <c r="M4150" s="2"/>
      <c r="N4150" s="2"/>
      <c r="O4150" s="2"/>
      <c r="P4150" s="2" t="s">
        <v>12936</v>
      </c>
      <c r="Q4150" s="6">
        <v>46.52</v>
      </c>
      <c r="R4150" s="6">
        <v>6.38</v>
      </c>
      <c r="S4150" s="5">
        <v>-40.5</v>
      </c>
      <c r="T4150" s="7">
        <v>10.044</v>
      </c>
      <c r="U4150" s="5">
        <v>8.6999999999999993</v>
      </c>
      <c r="V4150" s="6">
        <v>-1.05</v>
      </c>
      <c r="W4150" s="4">
        <v>3</v>
      </c>
      <c r="X4150" s="7">
        <v>3.1880000000000002</v>
      </c>
      <c r="Y4150" s="7">
        <v>5.5629999999999997</v>
      </c>
      <c r="Z4150" s="6">
        <v>5.25</v>
      </c>
      <c r="AA4150" s="6">
        <v>38.76</v>
      </c>
      <c r="AB4150" s="2" t="s">
        <v>86</v>
      </c>
      <c r="AC4150" s="6">
        <v>568.75</v>
      </c>
    </row>
    <row r="4151" spans="1:29" ht="208" x14ac:dyDescent="0.15">
      <c r="A4151" s="3">
        <f>DATE(1998,9,23)</f>
        <v>36061</v>
      </c>
      <c r="B4151" s="3">
        <f>DATE(1999,2,25)</f>
        <v>36216</v>
      </c>
      <c r="C4151" s="2" t="s">
        <v>95</v>
      </c>
      <c r="D4151" s="2" t="s">
        <v>12937</v>
      </c>
      <c r="E4151" s="2" t="s">
        <v>12935</v>
      </c>
      <c r="F4151" s="4">
        <v>3462</v>
      </c>
      <c r="G4151" s="2" t="s">
        <v>163</v>
      </c>
      <c r="H4151" s="2" t="s">
        <v>34</v>
      </c>
      <c r="I4151" s="2" t="s">
        <v>12938</v>
      </c>
      <c r="J4151" s="2" t="s">
        <v>12939</v>
      </c>
      <c r="K4151" s="2" t="s">
        <v>163</v>
      </c>
      <c r="L4151" s="2" t="s">
        <v>34</v>
      </c>
      <c r="M4151" s="7">
        <v>533.35400000000004</v>
      </c>
      <c r="N4151" s="4">
        <v>20</v>
      </c>
      <c r="O4151" s="4">
        <v>21</v>
      </c>
      <c r="P4151" s="2" t="s">
        <v>12940</v>
      </c>
      <c r="Q4151" s="6">
        <v>13.59</v>
      </c>
      <c r="R4151" s="6">
        <v>11.44</v>
      </c>
      <c r="S4151" s="5">
        <v>112.7</v>
      </c>
      <c r="T4151" s="5">
        <v>438.2</v>
      </c>
      <c r="U4151" s="5">
        <v>13.6</v>
      </c>
      <c r="V4151" s="9">
        <v>2.0632999999999999</v>
      </c>
      <c r="W4151" s="7">
        <v>18.625</v>
      </c>
      <c r="X4151" s="7">
        <v>19.375</v>
      </c>
      <c r="Y4151" s="4">
        <v>20</v>
      </c>
      <c r="Z4151" s="4">
        <v>21</v>
      </c>
      <c r="AA4151" s="6">
        <v>39.35</v>
      </c>
      <c r="AB4151" s="7">
        <v>2.5489999999999999</v>
      </c>
      <c r="AC4151" s="2"/>
    </row>
    <row r="4152" spans="1:29" ht="65" x14ac:dyDescent="0.15">
      <c r="A4152" s="3">
        <f>DATE(1998,9,25)</f>
        <v>36063</v>
      </c>
      <c r="B4152" s="3">
        <f>DATE(1998,12,31)</f>
        <v>36160</v>
      </c>
      <c r="C4152" s="2" t="s">
        <v>95</v>
      </c>
      <c r="D4152" s="2" t="s">
        <v>12941</v>
      </c>
      <c r="E4152" s="2" t="s">
        <v>12942</v>
      </c>
      <c r="F4152" s="4">
        <v>3944</v>
      </c>
      <c r="G4152" s="2" t="s">
        <v>112</v>
      </c>
      <c r="H4152" s="2" t="s">
        <v>34</v>
      </c>
      <c r="I4152" s="2" t="s">
        <v>1291</v>
      </c>
      <c r="J4152" s="2" t="s">
        <v>1292</v>
      </c>
      <c r="K4152" s="2" t="s">
        <v>112</v>
      </c>
      <c r="L4152" s="2" t="s">
        <v>34</v>
      </c>
      <c r="M4152" s="12">
        <v>4694.1850000000004</v>
      </c>
      <c r="N4152" s="4">
        <v>31</v>
      </c>
      <c r="O4152" s="4">
        <v>30</v>
      </c>
      <c r="P4152" s="2" t="s">
        <v>12943</v>
      </c>
      <c r="Q4152" s="6">
        <v>100</v>
      </c>
      <c r="R4152" s="6">
        <v>12</v>
      </c>
      <c r="S4152" s="5">
        <v>-29.5</v>
      </c>
      <c r="T4152" s="7">
        <v>-20.812999999999999</v>
      </c>
      <c r="U4152" s="5">
        <v>8.9</v>
      </c>
      <c r="V4152" s="6">
        <v>-1.63</v>
      </c>
      <c r="W4152" s="7">
        <v>6.9379999999999997</v>
      </c>
      <c r="X4152" s="5">
        <v>7.5</v>
      </c>
      <c r="Y4152" s="4">
        <v>8</v>
      </c>
      <c r="Z4152" s="7">
        <v>11.438000000000001</v>
      </c>
      <c r="AA4152" s="6">
        <v>18.12</v>
      </c>
      <c r="AB4152" s="2" t="s">
        <v>86</v>
      </c>
      <c r="AC4152" s="6">
        <v>361.79</v>
      </c>
    </row>
    <row r="4153" spans="1:29" ht="78" x14ac:dyDescent="0.15">
      <c r="A4153" s="3">
        <f>DATE(1998,9,28)</f>
        <v>36066</v>
      </c>
      <c r="B4153" s="3">
        <f>DATE(1998,12,10)</f>
        <v>36139</v>
      </c>
      <c r="C4153" s="2" t="s">
        <v>95</v>
      </c>
      <c r="D4153" s="2" t="s">
        <v>12944</v>
      </c>
      <c r="E4153" s="2" t="s">
        <v>12945</v>
      </c>
      <c r="F4153" s="4">
        <v>8099</v>
      </c>
      <c r="G4153" s="2" t="s">
        <v>454</v>
      </c>
      <c r="H4153" s="2" t="s">
        <v>34</v>
      </c>
      <c r="I4153" s="2" t="s">
        <v>4939</v>
      </c>
      <c r="J4153" s="2" t="s">
        <v>4940</v>
      </c>
      <c r="K4153" s="2" t="s">
        <v>223</v>
      </c>
      <c r="L4153" s="2" t="s">
        <v>34</v>
      </c>
      <c r="M4153" s="12">
        <v>9158.6020000000008</v>
      </c>
      <c r="N4153" s="6">
        <v>29.25</v>
      </c>
      <c r="O4153" s="7">
        <v>29.937999999999999</v>
      </c>
      <c r="P4153" s="2" t="s">
        <v>12946</v>
      </c>
      <c r="Q4153" s="6">
        <v>100</v>
      </c>
      <c r="R4153" s="6">
        <v>43.5</v>
      </c>
      <c r="S4153" s="5">
        <v>4.5999999999999996</v>
      </c>
      <c r="T4153" s="7">
        <v>32.713000000000001</v>
      </c>
      <c r="U4153" s="5">
        <v>4.4000000000000004</v>
      </c>
      <c r="V4153" s="6">
        <v>0.24</v>
      </c>
      <c r="W4153" s="7">
        <v>30.125</v>
      </c>
      <c r="X4153" s="6">
        <v>31.25</v>
      </c>
      <c r="Y4153" s="7">
        <v>35.063000000000002</v>
      </c>
      <c r="Z4153" s="7">
        <v>37.313000000000002</v>
      </c>
      <c r="AA4153" s="6">
        <v>23.58</v>
      </c>
      <c r="AB4153" s="7">
        <v>31.475000000000001</v>
      </c>
      <c r="AC4153" s="6">
        <v>437.46</v>
      </c>
    </row>
    <row r="4154" spans="1:29" ht="104" x14ac:dyDescent="0.15">
      <c r="A4154" s="3">
        <f>DATE(1998,9,28)</f>
        <v>36066</v>
      </c>
      <c r="B4154" s="3">
        <f>DATE(1999,5,14)</f>
        <v>36294</v>
      </c>
      <c r="C4154" s="2" t="s">
        <v>95</v>
      </c>
      <c r="D4154" s="2" t="s">
        <v>10137</v>
      </c>
      <c r="E4154" s="2" t="s">
        <v>263</v>
      </c>
      <c r="F4154" s="4">
        <v>6021</v>
      </c>
      <c r="G4154" s="2" t="s">
        <v>37</v>
      </c>
      <c r="H4154" s="2" t="s">
        <v>34</v>
      </c>
      <c r="I4154" s="2" t="s">
        <v>1963</v>
      </c>
      <c r="J4154" s="2" t="s">
        <v>36</v>
      </c>
      <c r="K4154" s="2" t="s">
        <v>37</v>
      </c>
      <c r="L4154" s="2" t="s">
        <v>34</v>
      </c>
      <c r="M4154" s="12">
        <v>3271.6819999999998</v>
      </c>
      <c r="N4154" s="6">
        <v>61.25</v>
      </c>
      <c r="O4154" s="6">
        <v>61.25</v>
      </c>
      <c r="P4154" s="2" t="s">
        <v>12947</v>
      </c>
      <c r="Q4154" s="6">
        <v>100</v>
      </c>
      <c r="R4154" s="6">
        <v>43.59</v>
      </c>
      <c r="S4154" s="5">
        <v>2.4</v>
      </c>
      <c r="T4154" s="7">
        <v>3.8879999999999999</v>
      </c>
      <c r="U4154" s="5">
        <v>15.8</v>
      </c>
      <c r="V4154" s="6">
        <v>1.23</v>
      </c>
      <c r="W4154" s="7">
        <v>29.125</v>
      </c>
      <c r="X4154" s="6">
        <v>28.75</v>
      </c>
      <c r="Y4154" s="6">
        <v>39.25</v>
      </c>
      <c r="Z4154" s="6">
        <v>39.25</v>
      </c>
      <c r="AA4154" s="6">
        <v>2.21</v>
      </c>
      <c r="AB4154" s="7">
        <v>52.237000000000002</v>
      </c>
      <c r="AC4154" s="2"/>
    </row>
    <row r="4155" spans="1:29" ht="182" x14ac:dyDescent="0.15">
      <c r="A4155" s="3">
        <f>DATE(1998,9,28)</f>
        <v>36066</v>
      </c>
      <c r="B4155" s="2"/>
      <c r="C4155" s="2" t="s">
        <v>30</v>
      </c>
      <c r="D4155" s="2" t="s">
        <v>7423</v>
      </c>
      <c r="E4155" s="2" t="s">
        <v>7424</v>
      </c>
      <c r="F4155" s="4">
        <v>6799</v>
      </c>
      <c r="G4155" s="2" t="s">
        <v>53</v>
      </c>
      <c r="H4155" s="2" t="s">
        <v>34</v>
      </c>
      <c r="I4155" s="2" t="s">
        <v>7421</v>
      </c>
      <c r="J4155" s="2" t="s">
        <v>7422</v>
      </c>
      <c r="K4155" s="2" t="s">
        <v>230</v>
      </c>
      <c r="L4155" s="2" t="s">
        <v>34</v>
      </c>
      <c r="M4155" s="7">
        <v>21.623999999999999</v>
      </c>
      <c r="N4155" s="7">
        <v>1.1559999999999999</v>
      </c>
      <c r="O4155" s="7">
        <v>1.0629999999999999</v>
      </c>
      <c r="P4155" s="2" t="s">
        <v>12948</v>
      </c>
      <c r="Q4155" s="2"/>
      <c r="R4155" s="6">
        <v>11.47</v>
      </c>
      <c r="S4155" s="5">
        <v>-4.5999999999999996</v>
      </c>
      <c r="T4155" s="7">
        <v>-2.0270000000000001</v>
      </c>
      <c r="U4155" s="8">
        <v>4578.3999999999996</v>
      </c>
      <c r="V4155" s="7">
        <v>-426.42599999999999</v>
      </c>
      <c r="W4155" s="7">
        <v>5.6559999999999997</v>
      </c>
      <c r="X4155" s="7">
        <v>5.6879999999999997</v>
      </c>
      <c r="Y4155" s="7">
        <v>7.875</v>
      </c>
      <c r="Z4155" s="7">
        <v>7.4379999999999997</v>
      </c>
      <c r="AA4155" s="6">
        <v>3.18</v>
      </c>
      <c r="AB4155" s="2" t="s">
        <v>86</v>
      </c>
      <c r="AC4155" s="6">
        <v>5.83</v>
      </c>
    </row>
    <row r="4156" spans="1:29" ht="104" x14ac:dyDescent="0.15">
      <c r="A4156" s="3">
        <f>DATE(1998,9,28)</f>
        <v>36066</v>
      </c>
      <c r="B4156" s="3">
        <f>DATE(1999,3,19)</f>
        <v>36238</v>
      </c>
      <c r="C4156" s="2" t="s">
        <v>95</v>
      </c>
      <c r="D4156" s="2" t="s">
        <v>12949</v>
      </c>
      <c r="E4156" s="2" t="s">
        <v>36</v>
      </c>
      <c r="F4156" s="4">
        <v>6022</v>
      </c>
      <c r="G4156" s="2" t="s">
        <v>37</v>
      </c>
      <c r="H4156" s="2" t="s">
        <v>34</v>
      </c>
      <c r="I4156" s="2" t="s">
        <v>7834</v>
      </c>
      <c r="J4156" s="2" t="s">
        <v>36</v>
      </c>
      <c r="K4156" s="2" t="s">
        <v>33</v>
      </c>
      <c r="L4156" s="2" t="s">
        <v>34</v>
      </c>
      <c r="M4156" s="7">
        <v>72.793000000000006</v>
      </c>
      <c r="N4156" s="4">
        <v>14</v>
      </c>
      <c r="O4156" s="4">
        <v>15</v>
      </c>
      <c r="P4156" s="2" t="s">
        <v>12950</v>
      </c>
      <c r="Q4156" s="6">
        <v>100</v>
      </c>
      <c r="R4156" s="6">
        <v>19.88</v>
      </c>
      <c r="S4156" s="5">
        <v>2.7</v>
      </c>
      <c r="T4156" s="7">
        <v>4.5839999999999996</v>
      </c>
      <c r="U4156" s="5">
        <v>12.8</v>
      </c>
      <c r="V4156" s="6">
        <v>1.19</v>
      </c>
      <c r="W4156" s="4">
        <v>20</v>
      </c>
      <c r="X4156" s="7">
        <v>20.125</v>
      </c>
      <c r="Y4156" s="5">
        <v>19.5</v>
      </c>
      <c r="Z4156" s="4">
        <v>20</v>
      </c>
      <c r="AA4156" s="6">
        <v>2.2799999999999998</v>
      </c>
      <c r="AB4156" s="7">
        <v>64.239999999999995</v>
      </c>
      <c r="AC4156" s="2"/>
    </row>
    <row r="4157" spans="1:29" ht="117" x14ac:dyDescent="0.15">
      <c r="A4157" s="3">
        <f>DATE(1998,9,29)</f>
        <v>36067</v>
      </c>
      <c r="B4157" s="3">
        <f>DATE(1998,10,7)</f>
        <v>36075</v>
      </c>
      <c r="C4157" s="2" t="s">
        <v>95</v>
      </c>
      <c r="D4157" s="2" t="s">
        <v>12951</v>
      </c>
      <c r="E4157" s="2" t="s">
        <v>277</v>
      </c>
      <c r="F4157" s="4">
        <v>1041</v>
      </c>
      <c r="G4157" s="2" t="s">
        <v>166</v>
      </c>
      <c r="H4157" s="2" t="s">
        <v>34</v>
      </c>
      <c r="I4157" s="2" t="s">
        <v>1990</v>
      </c>
      <c r="J4157" s="2" t="s">
        <v>1248</v>
      </c>
      <c r="K4157" s="2" t="s">
        <v>166</v>
      </c>
      <c r="L4157" s="2" t="s">
        <v>34</v>
      </c>
      <c r="M4157" s="12">
        <v>2239.9850000000001</v>
      </c>
      <c r="N4157" s="4">
        <v>23</v>
      </c>
      <c r="O4157" s="6">
        <v>24.25</v>
      </c>
      <c r="P4157" s="2" t="s">
        <v>12952</v>
      </c>
      <c r="Q4157" s="6">
        <v>6.25</v>
      </c>
      <c r="R4157" s="6">
        <v>25.37</v>
      </c>
      <c r="S4157" s="5">
        <v>72.900000000000006</v>
      </c>
      <c r="T4157" s="6">
        <v>637.44000000000005</v>
      </c>
      <c r="U4157" s="5">
        <v>10.199999999999999</v>
      </c>
      <c r="V4157" s="6">
        <v>0.44</v>
      </c>
      <c r="W4157" s="4">
        <v>21</v>
      </c>
      <c r="X4157" s="6">
        <v>26.75</v>
      </c>
      <c r="Y4157" s="7">
        <v>24.187999999999999</v>
      </c>
      <c r="Z4157" s="7">
        <v>25.562999999999999</v>
      </c>
      <c r="AA4157" s="6">
        <v>166.95</v>
      </c>
      <c r="AB4157" s="7">
        <v>16.821999999999999</v>
      </c>
      <c r="AC4157" s="6">
        <v>159.02000000000001</v>
      </c>
    </row>
    <row r="4158" spans="1:29" ht="104" x14ac:dyDescent="0.15">
      <c r="A4158" s="3">
        <f>DATE(1998,9,29)</f>
        <v>36067</v>
      </c>
      <c r="B4158" s="3">
        <f>DATE(1998,11,10)</f>
        <v>36109</v>
      </c>
      <c r="C4158" s="2" t="s">
        <v>95</v>
      </c>
      <c r="D4158" s="2" t="s">
        <v>12953</v>
      </c>
      <c r="E4158" s="2" t="s">
        <v>12954</v>
      </c>
      <c r="F4158" s="4">
        <v>7375</v>
      </c>
      <c r="G4158" s="2" t="s">
        <v>223</v>
      </c>
      <c r="H4158" s="2" t="s">
        <v>34</v>
      </c>
      <c r="I4158" s="2" t="s">
        <v>12955</v>
      </c>
      <c r="J4158" s="2" t="s">
        <v>12956</v>
      </c>
      <c r="K4158" s="2" t="s">
        <v>186</v>
      </c>
      <c r="L4158" s="2" t="s">
        <v>34</v>
      </c>
      <c r="M4158" s="2"/>
      <c r="N4158" s="2"/>
      <c r="O4158" s="2"/>
      <c r="P4158" s="2" t="s">
        <v>12957</v>
      </c>
      <c r="Q4158" s="6">
        <v>100</v>
      </c>
      <c r="R4158" s="6">
        <v>24.59</v>
      </c>
      <c r="S4158" s="5">
        <v>-6.8</v>
      </c>
      <c r="T4158" s="7">
        <v>-7.8230000000000004</v>
      </c>
      <c r="U4158" s="5">
        <v>1.6</v>
      </c>
      <c r="V4158" s="7">
        <v>-1.1419999999999999</v>
      </c>
      <c r="W4158" s="4">
        <v>19</v>
      </c>
      <c r="X4158" s="4">
        <v>20</v>
      </c>
      <c r="Y4158" s="4">
        <v>20</v>
      </c>
      <c r="Z4158" s="7">
        <v>24.125</v>
      </c>
      <c r="AA4158" s="6">
        <v>6.28</v>
      </c>
      <c r="AB4158" s="2" t="s">
        <v>86</v>
      </c>
      <c r="AC4158" s="2"/>
    </row>
    <row r="4159" spans="1:29" ht="143" x14ac:dyDescent="0.15">
      <c r="A4159" s="3">
        <f>DATE(1998,10,1)</f>
        <v>36069</v>
      </c>
      <c r="B4159" s="3">
        <f>DATE(1999,4,29)</f>
        <v>36279</v>
      </c>
      <c r="C4159" s="2" t="s">
        <v>95</v>
      </c>
      <c r="D4159" s="2" t="s">
        <v>12958</v>
      </c>
      <c r="E4159" s="2" t="s">
        <v>12959</v>
      </c>
      <c r="F4159" s="4">
        <v>3845</v>
      </c>
      <c r="G4159" s="2" t="s">
        <v>226</v>
      </c>
      <c r="H4159" s="2" t="s">
        <v>34</v>
      </c>
      <c r="I4159" s="2" t="s">
        <v>12960</v>
      </c>
      <c r="J4159" s="2" t="s">
        <v>12961</v>
      </c>
      <c r="K4159" s="2" t="s">
        <v>226</v>
      </c>
      <c r="L4159" s="2" t="s">
        <v>34</v>
      </c>
      <c r="M4159" s="7">
        <v>117.315</v>
      </c>
      <c r="N4159" s="6">
        <v>3.75</v>
      </c>
      <c r="O4159" s="7">
        <v>3.9380000000000002</v>
      </c>
      <c r="P4159" s="2" t="s">
        <v>12962</v>
      </c>
      <c r="Q4159" s="6">
        <v>100</v>
      </c>
      <c r="R4159" s="6">
        <v>14.85</v>
      </c>
      <c r="S4159" s="5">
        <v>-13.9</v>
      </c>
      <c r="T4159" s="7">
        <v>-13.845000000000001</v>
      </c>
      <c r="U4159" s="5">
        <v>0.6</v>
      </c>
      <c r="V4159" s="7">
        <v>-1.369</v>
      </c>
      <c r="W4159" s="4">
        <v>4</v>
      </c>
      <c r="X4159" s="7">
        <v>4.4379999999999997</v>
      </c>
      <c r="Y4159" s="7">
        <v>4.125</v>
      </c>
      <c r="Z4159" s="4">
        <v>5</v>
      </c>
      <c r="AA4159" s="6">
        <v>11.32</v>
      </c>
      <c r="AB4159" s="2" t="s">
        <v>86</v>
      </c>
      <c r="AC4159" s="6">
        <v>70.59</v>
      </c>
    </row>
    <row r="4160" spans="1:29" ht="78" x14ac:dyDescent="0.15">
      <c r="A4160" s="3">
        <f>DATE(1998,10,1)</f>
        <v>36069</v>
      </c>
      <c r="B4160" s="3">
        <f>DATE(1998,11,6)</f>
        <v>36105</v>
      </c>
      <c r="C4160" s="2" t="s">
        <v>95</v>
      </c>
      <c r="D4160" s="2" t="s">
        <v>12963</v>
      </c>
      <c r="E4160" s="2" t="s">
        <v>12964</v>
      </c>
      <c r="F4160" s="4">
        <v>8731</v>
      </c>
      <c r="G4160" s="2" t="s">
        <v>223</v>
      </c>
      <c r="H4160" s="2" t="s">
        <v>34</v>
      </c>
      <c r="I4160" s="2" t="s">
        <v>12965</v>
      </c>
      <c r="J4160" s="2" t="s">
        <v>849</v>
      </c>
      <c r="K4160" s="2" t="s">
        <v>551</v>
      </c>
      <c r="L4160" s="2" t="s">
        <v>34</v>
      </c>
      <c r="M4160" s="2"/>
      <c r="N4160" s="2"/>
      <c r="O4160" s="2"/>
      <c r="P4160" s="2" t="s">
        <v>12966</v>
      </c>
      <c r="Q4160" s="6">
        <v>100</v>
      </c>
      <c r="R4160" s="6">
        <v>5</v>
      </c>
      <c r="S4160" s="5">
        <v>0.1</v>
      </c>
      <c r="T4160" s="6">
        <v>1.52</v>
      </c>
      <c r="U4160" s="5">
        <v>3.7</v>
      </c>
      <c r="V4160" s="6">
        <v>0.02</v>
      </c>
      <c r="W4160" s="7">
        <v>2.5630000000000002</v>
      </c>
      <c r="X4160" s="7">
        <v>2.625</v>
      </c>
      <c r="Y4160" s="7">
        <v>4.4690000000000003</v>
      </c>
      <c r="Z4160" s="7">
        <v>4.5629999999999997</v>
      </c>
      <c r="AA4160" s="6">
        <v>6.55</v>
      </c>
      <c r="AB4160" s="7">
        <v>93.242000000000004</v>
      </c>
      <c r="AC4160" s="2"/>
    </row>
    <row r="4161" spans="1:29" ht="52" x14ac:dyDescent="0.15">
      <c r="A4161" s="3">
        <f>DATE(1998,10,1)</f>
        <v>36069</v>
      </c>
      <c r="B4161" s="3">
        <f>DATE(1999,1,7)</f>
        <v>36167</v>
      </c>
      <c r="C4161" s="2" t="s">
        <v>95</v>
      </c>
      <c r="D4161" s="2" t="s">
        <v>12967</v>
      </c>
      <c r="E4161" s="2" t="s">
        <v>2195</v>
      </c>
      <c r="F4161" s="4">
        <v>5065</v>
      </c>
      <c r="G4161" s="2" t="s">
        <v>76</v>
      </c>
      <c r="H4161" s="2" t="s">
        <v>34</v>
      </c>
      <c r="I4161" s="2" t="s">
        <v>5015</v>
      </c>
      <c r="J4161" s="2" t="s">
        <v>5016</v>
      </c>
      <c r="K4161" s="2" t="s">
        <v>76</v>
      </c>
      <c r="L4161" s="2" t="s">
        <v>34</v>
      </c>
      <c r="M4161" s="10">
        <v>1427.61</v>
      </c>
      <c r="N4161" s="7">
        <v>12.813000000000001</v>
      </c>
      <c r="O4161" s="6">
        <v>12.75</v>
      </c>
      <c r="P4161" s="2" t="s">
        <v>12968</v>
      </c>
      <c r="Q4161" s="6">
        <v>100</v>
      </c>
      <c r="R4161" s="6">
        <v>10.5</v>
      </c>
      <c r="S4161" s="5">
        <v>7</v>
      </c>
      <c r="T4161" s="7">
        <v>18.962</v>
      </c>
      <c r="U4161" s="5">
        <v>4.5999999999999996</v>
      </c>
      <c r="V4161" s="6">
        <v>0.73</v>
      </c>
      <c r="W4161" s="6">
        <v>6.25</v>
      </c>
      <c r="X4161" s="7">
        <v>6.875</v>
      </c>
      <c r="Y4161" s="7">
        <v>9.875</v>
      </c>
      <c r="Z4161" s="7">
        <v>9.875</v>
      </c>
      <c r="AA4161" s="6">
        <v>9.15</v>
      </c>
      <c r="AB4161" s="7">
        <v>11.872</v>
      </c>
      <c r="AC4161" s="6">
        <v>112.67</v>
      </c>
    </row>
    <row r="4162" spans="1:29" ht="91" x14ac:dyDescent="0.15">
      <c r="A4162" s="3">
        <f>DATE(1998,10,5)</f>
        <v>36073</v>
      </c>
      <c r="B4162" s="3">
        <f>DATE(1998,12,31)</f>
        <v>36160</v>
      </c>
      <c r="C4162" s="2" t="s">
        <v>95</v>
      </c>
      <c r="D4162" s="2" t="s">
        <v>12969</v>
      </c>
      <c r="E4162" s="2" t="s">
        <v>4778</v>
      </c>
      <c r="F4162" s="4">
        <v>3841</v>
      </c>
      <c r="G4162" s="2" t="s">
        <v>226</v>
      </c>
      <c r="H4162" s="2" t="s">
        <v>34</v>
      </c>
      <c r="I4162" s="2" t="s">
        <v>5669</v>
      </c>
      <c r="J4162" s="2" t="s">
        <v>5670</v>
      </c>
      <c r="K4162" s="2" t="s">
        <v>130</v>
      </c>
      <c r="L4162" s="2" t="s">
        <v>34</v>
      </c>
      <c r="M4162" s="12">
        <v>102379.675</v>
      </c>
      <c r="N4162" s="7">
        <v>79.438000000000002</v>
      </c>
      <c r="O4162" s="7">
        <v>79.563000000000002</v>
      </c>
      <c r="P4162" s="2" t="s">
        <v>12970</v>
      </c>
      <c r="Q4162" s="6">
        <v>100</v>
      </c>
      <c r="R4162" s="6">
        <v>2.35</v>
      </c>
      <c r="S4162" s="5">
        <v>-12.1</v>
      </c>
      <c r="T4162" s="7">
        <v>-12.122999999999999</v>
      </c>
      <c r="U4162" s="5">
        <v>1</v>
      </c>
      <c r="V4162" s="6">
        <v>-1.44</v>
      </c>
      <c r="W4162" s="7">
        <v>1.875</v>
      </c>
      <c r="X4162" s="7">
        <v>1.8129999999999999</v>
      </c>
      <c r="Y4162" s="7">
        <v>2.1880000000000002</v>
      </c>
      <c r="Z4162" s="7">
        <v>2.2189999999999999</v>
      </c>
      <c r="AA4162" s="6">
        <v>8.93</v>
      </c>
      <c r="AB4162" s="2" t="s">
        <v>86</v>
      </c>
      <c r="AC4162" s="8">
        <v>2899</v>
      </c>
    </row>
    <row r="4163" spans="1:29" ht="117" x14ac:dyDescent="0.15">
      <c r="A4163" s="3">
        <f>DATE(1998,10,5)</f>
        <v>36073</v>
      </c>
      <c r="B4163" s="3">
        <f>DATE(1999,3,1)</f>
        <v>36220</v>
      </c>
      <c r="C4163" s="2" t="s">
        <v>95</v>
      </c>
      <c r="D4163" s="2" t="s">
        <v>12971</v>
      </c>
      <c r="E4163" s="2" t="s">
        <v>92</v>
      </c>
      <c r="F4163" s="4">
        <v>6798</v>
      </c>
      <c r="G4163" s="2" t="s">
        <v>53</v>
      </c>
      <c r="H4163" s="2" t="s">
        <v>34</v>
      </c>
      <c r="I4163" s="2" t="s">
        <v>9325</v>
      </c>
      <c r="J4163" s="2" t="s">
        <v>92</v>
      </c>
      <c r="K4163" s="2" t="s">
        <v>53</v>
      </c>
      <c r="L4163" s="2" t="s">
        <v>34</v>
      </c>
      <c r="M4163" s="12">
        <v>1688.961</v>
      </c>
      <c r="N4163" s="4">
        <v>35</v>
      </c>
      <c r="O4163" s="7">
        <v>34.938000000000002</v>
      </c>
      <c r="P4163" s="2" t="s">
        <v>12972</v>
      </c>
      <c r="Q4163" s="6">
        <v>25</v>
      </c>
      <c r="R4163" s="6">
        <v>13.1</v>
      </c>
      <c r="S4163" s="5">
        <v>10.5</v>
      </c>
      <c r="T4163" s="7">
        <v>10.768000000000001</v>
      </c>
      <c r="U4163" s="5">
        <v>4.9000000000000004</v>
      </c>
      <c r="V4163" s="7">
        <v>0.41299999999999998</v>
      </c>
      <c r="W4163" s="7">
        <v>12.188000000000001</v>
      </c>
      <c r="X4163" s="7">
        <v>12.188000000000001</v>
      </c>
      <c r="Y4163" s="4">
        <v>12</v>
      </c>
      <c r="Z4163" s="4">
        <v>12</v>
      </c>
      <c r="AA4163" s="6">
        <v>19.43</v>
      </c>
      <c r="AB4163" s="7">
        <v>23.658000000000001</v>
      </c>
      <c r="AC4163" s="6">
        <v>61.32</v>
      </c>
    </row>
    <row r="4164" spans="1:29" ht="130" x14ac:dyDescent="0.15">
      <c r="A4164" s="3">
        <f>DATE(1998,10,5)</f>
        <v>36073</v>
      </c>
      <c r="B4164" s="3">
        <f>DATE(1999,3,17)</f>
        <v>36236</v>
      </c>
      <c r="C4164" s="2" t="s">
        <v>95</v>
      </c>
      <c r="D4164" s="2" t="s">
        <v>12973</v>
      </c>
      <c r="E4164" s="2" t="s">
        <v>12974</v>
      </c>
      <c r="F4164" s="4">
        <v>2834</v>
      </c>
      <c r="G4164" s="2" t="s">
        <v>130</v>
      </c>
      <c r="H4164" s="2" t="s">
        <v>34</v>
      </c>
      <c r="I4164" s="2" t="s">
        <v>2456</v>
      </c>
      <c r="J4164" s="2" t="s">
        <v>129</v>
      </c>
      <c r="K4164" s="2" t="s">
        <v>130</v>
      </c>
      <c r="L4164" s="2" t="s">
        <v>34</v>
      </c>
      <c r="M4164" s="12">
        <v>3263.375</v>
      </c>
      <c r="N4164" s="7">
        <v>39.938000000000002</v>
      </c>
      <c r="O4164" s="5">
        <v>41.5</v>
      </c>
      <c r="P4164" s="2" t="s">
        <v>12975</v>
      </c>
      <c r="Q4164" s="6">
        <v>100</v>
      </c>
      <c r="R4164" s="6">
        <v>16.98</v>
      </c>
      <c r="S4164" s="5">
        <v>-23.6</v>
      </c>
      <c r="T4164" s="6">
        <v>-22.84</v>
      </c>
      <c r="U4164" s="5">
        <v>0.8</v>
      </c>
      <c r="V4164" s="6">
        <v>-0.78</v>
      </c>
      <c r="W4164" s="7">
        <v>9.375</v>
      </c>
      <c r="X4164" s="7">
        <v>10.875</v>
      </c>
      <c r="Y4164" s="7">
        <v>14.063000000000001</v>
      </c>
      <c r="Z4164" s="7">
        <v>14.875</v>
      </c>
      <c r="AA4164" s="6">
        <v>31.63</v>
      </c>
      <c r="AB4164" s="2" t="s">
        <v>86</v>
      </c>
      <c r="AC4164" s="5">
        <v>174.2</v>
      </c>
    </row>
    <row r="4165" spans="1:29" ht="130" x14ac:dyDescent="0.15">
      <c r="A4165" s="3">
        <f>DATE(1998,10,5)</f>
        <v>36073</v>
      </c>
      <c r="B4165" s="3">
        <f>DATE(1999,5,3)</f>
        <v>36283</v>
      </c>
      <c r="C4165" s="2" t="s">
        <v>95</v>
      </c>
      <c r="D4165" s="2" t="s">
        <v>12976</v>
      </c>
      <c r="E4165" s="2" t="s">
        <v>12977</v>
      </c>
      <c r="F4165" s="4">
        <v>4812</v>
      </c>
      <c r="G4165" s="2" t="s">
        <v>63</v>
      </c>
      <c r="H4165" s="2" t="s">
        <v>34</v>
      </c>
      <c r="I4165" s="2" t="s">
        <v>5691</v>
      </c>
      <c r="J4165" s="2" t="s">
        <v>5692</v>
      </c>
      <c r="K4165" s="2" t="s">
        <v>63</v>
      </c>
      <c r="L4165" s="2" t="s">
        <v>34</v>
      </c>
      <c r="M4165" s="12">
        <v>96187.498999999996</v>
      </c>
      <c r="N4165" s="7">
        <v>57.563000000000002</v>
      </c>
      <c r="O4165" s="4">
        <v>57</v>
      </c>
      <c r="P4165" s="2" t="s">
        <v>12978</v>
      </c>
      <c r="Q4165" s="6">
        <v>100</v>
      </c>
      <c r="R4165" s="6">
        <v>26.78</v>
      </c>
      <c r="S4165" s="5">
        <v>94.3</v>
      </c>
      <c r="T4165" s="7">
        <v>151.494</v>
      </c>
      <c r="U4165" s="5">
        <v>3.1</v>
      </c>
      <c r="V4165" s="6">
        <v>2.4300000000000002</v>
      </c>
      <c r="W4165" s="7">
        <v>18.875</v>
      </c>
      <c r="X4165" s="7">
        <v>19.875</v>
      </c>
      <c r="Y4165" s="9">
        <v>21.3125</v>
      </c>
      <c r="Z4165" s="5">
        <v>21.5</v>
      </c>
      <c r="AA4165" s="6">
        <v>36.74</v>
      </c>
      <c r="AB4165" s="7">
        <v>23.802</v>
      </c>
      <c r="AC4165" s="8">
        <v>1463</v>
      </c>
    </row>
    <row r="4166" spans="1:29" ht="156" x14ac:dyDescent="0.15">
      <c r="A4166" s="3">
        <f>DATE(1998,10,6)</f>
        <v>36074</v>
      </c>
      <c r="B4166" s="3">
        <f>DATE(1999,3,17)</f>
        <v>36236</v>
      </c>
      <c r="C4166" s="2" t="s">
        <v>95</v>
      </c>
      <c r="D4166" s="2" t="s">
        <v>12979</v>
      </c>
      <c r="E4166" s="2" t="s">
        <v>6365</v>
      </c>
      <c r="F4166" s="4">
        <v>5735</v>
      </c>
      <c r="G4166" s="2" t="s">
        <v>1227</v>
      </c>
      <c r="H4166" s="2" t="s">
        <v>34</v>
      </c>
      <c r="I4166" s="2" t="s">
        <v>12980</v>
      </c>
      <c r="J4166" s="2" t="s">
        <v>12981</v>
      </c>
      <c r="K4166" s="2" t="s">
        <v>1227</v>
      </c>
      <c r="L4166" s="2" t="s">
        <v>34</v>
      </c>
      <c r="M4166" s="7">
        <v>160.631</v>
      </c>
      <c r="N4166" s="7">
        <v>7.9379999999999997</v>
      </c>
      <c r="O4166" s="7">
        <v>8.125</v>
      </c>
      <c r="P4166" s="2" t="s">
        <v>12982</v>
      </c>
      <c r="Q4166" s="6">
        <v>100</v>
      </c>
      <c r="R4166" s="6">
        <v>7.16</v>
      </c>
      <c r="S4166" s="5">
        <v>-29.7</v>
      </c>
      <c r="T4166" s="7">
        <v>-27.856999999999999</v>
      </c>
      <c r="U4166" s="5">
        <v>4.4000000000000004</v>
      </c>
      <c r="V4166" s="6">
        <v>-5.99</v>
      </c>
      <c r="W4166" s="4">
        <v>8</v>
      </c>
      <c r="X4166" s="6">
        <v>4.75</v>
      </c>
      <c r="Y4166" s="5">
        <v>4.5</v>
      </c>
      <c r="Z4166" s="5">
        <v>5.5</v>
      </c>
      <c r="AA4166" s="6">
        <v>14.22</v>
      </c>
      <c r="AB4166" s="2" t="s">
        <v>86</v>
      </c>
      <c r="AC4166" s="6">
        <v>11.69</v>
      </c>
    </row>
    <row r="4167" spans="1:29" ht="130" x14ac:dyDescent="0.15">
      <c r="A4167" s="3">
        <f>DATE(1998,10,7)</f>
        <v>36075</v>
      </c>
      <c r="B4167" s="3">
        <f>DATE(1999,5,4)</f>
        <v>36284</v>
      </c>
      <c r="C4167" s="2" t="s">
        <v>95</v>
      </c>
      <c r="D4167" s="2" t="s">
        <v>7524</v>
      </c>
      <c r="E4167" s="2" t="s">
        <v>5945</v>
      </c>
      <c r="F4167" s="4">
        <v>4832</v>
      </c>
      <c r="G4167" s="2" t="s">
        <v>45</v>
      </c>
      <c r="H4167" s="2" t="s">
        <v>34</v>
      </c>
      <c r="I4167" s="2" t="s">
        <v>8034</v>
      </c>
      <c r="J4167" s="2" t="s">
        <v>8035</v>
      </c>
      <c r="K4167" s="2" t="s">
        <v>45</v>
      </c>
      <c r="L4167" s="2" t="s">
        <v>34</v>
      </c>
      <c r="M4167" s="12">
        <v>10398.948</v>
      </c>
      <c r="N4167" s="4">
        <v>37</v>
      </c>
      <c r="O4167" s="7">
        <v>36.625</v>
      </c>
      <c r="P4167" s="2" t="s">
        <v>12983</v>
      </c>
      <c r="Q4167" s="6">
        <v>100</v>
      </c>
      <c r="R4167" s="6">
        <v>79.06</v>
      </c>
      <c r="S4167" s="5">
        <v>49.7</v>
      </c>
      <c r="T4167" s="6">
        <v>255.17</v>
      </c>
      <c r="U4167" s="5">
        <v>23.9</v>
      </c>
      <c r="V4167" s="6">
        <v>0.86</v>
      </c>
      <c r="W4167" s="7">
        <v>50.625</v>
      </c>
      <c r="X4167" s="7">
        <v>41.655999999999999</v>
      </c>
      <c r="Y4167" s="7">
        <v>40.125</v>
      </c>
      <c r="Z4167" s="9">
        <v>40.5625</v>
      </c>
      <c r="AA4167" s="6">
        <v>50.96</v>
      </c>
      <c r="AB4167" s="7">
        <v>51.088999999999999</v>
      </c>
      <c r="AC4167" s="6">
        <v>24.66</v>
      </c>
    </row>
    <row r="4168" spans="1:29" ht="117" x14ac:dyDescent="0.15">
      <c r="A4168" s="3">
        <f>DATE(1998,10,7)</f>
        <v>36075</v>
      </c>
      <c r="B4168" s="3">
        <f>DATE(1998,12,30)</f>
        <v>36159</v>
      </c>
      <c r="C4168" s="2" t="s">
        <v>95</v>
      </c>
      <c r="D4168" s="2" t="s">
        <v>12984</v>
      </c>
      <c r="E4168" s="2" t="s">
        <v>12985</v>
      </c>
      <c r="F4168" s="4">
        <v>6022</v>
      </c>
      <c r="G4168" s="2" t="s">
        <v>37</v>
      </c>
      <c r="H4168" s="2" t="s">
        <v>34</v>
      </c>
      <c r="I4168" s="2" t="s">
        <v>9630</v>
      </c>
      <c r="J4168" s="2" t="s">
        <v>263</v>
      </c>
      <c r="K4168" s="2" t="s">
        <v>37</v>
      </c>
      <c r="L4168" s="2" t="s">
        <v>34</v>
      </c>
      <c r="M4168" s="6">
        <v>475.17</v>
      </c>
      <c r="N4168" s="7">
        <v>26.875</v>
      </c>
      <c r="O4168" s="5">
        <v>25.5</v>
      </c>
      <c r="P4168" s="2" t="s">
        <v>12986</v>
      </c>
      <c r="Q4168" s="6">
        <v>100</v>
      </c>
      <c r="R4168" s="6">
        <v>29.63</v>
      </c>
      <c r="S4168" s="5">
        <v>5</v>
      </c>
      <c r="T4168" s="7">
        <v>9.1219999999999999</v>
      </c>
      <c r="U4168" s="5">
        <v>9.1999999999999993</v>
      </c>
      <c r="V4168" s="9">
        <v>1.8522000000000001</v>
      </c>
      <c r="W4168" s="5">
        <v>29.5</v>
      </c>
      <c r="X4168" s="5">
        <v>27.5</v>
      </c>
      <c r="Y4168" s="5">
        <v>24.5</v>
      </c>
      <c r="Z4168" s="5">
        <v>23.5</v>
      </c>
      <c r="AA4168" s="6">
        <v>2.77</v>
      </c>
      <c r="AB4168" s="7">
        <v>35.052</v>
      </c>
      <c r="AC4168" s="2"/>
    </row>
    <row r="4169" spans="1:29" ht="91" x14ac:dyDescent="0.15">
      <c r="A4169" s="3">
        <f>DATE(1998,10,7)</f>
        <v>36075</v>
      </c>
      <c r="B4169" s="3">
        <f>DATE(1998,12,31)</f>
        <v>36160</v>
      </c>
      <c r="C4169" s="2" t="s">
        <v>95</v>
      </c>
      <c r="D4169" s="2" t="s">
        <v>12987</v>
      </c>
      <c r="E4169" s="2" t="s">
        <v>781</v>
      </c>
      <c r="F4169" s="4">
        <v>7372</v>
      </c>
      <c r="G4169" s="2" t="s">
        <v>551</v>
      </c>
      <c r="H4169" s="2" t="s">
        <v>34</v>
      </c>
      <c r="I4169" s="2" t="s">
        <v>12988</v>
      </c>
      <c r="J4169" s="2" t="s">
        <v>12989</v>
      </c>
      <c r="K4169" s="2" t="s">
        <v>551</v>
      </c>
      <c r="L4169" s="2" t="s">
        <v>34</v>
      </c>
      <c r="M4169" s="7">
        <v>693.69399999999996</v>
      </c>
      <c r="N4169" s="4">
        <v>4</v>
      </c>
      <c r="O4169" s="7">
        <v>3.8130000000000002</v>
      </c>
      <c r="P4169" s="2" t="s">
        <v>12990</v>
      </c>
      <c r="Q4169" s="6">
        <v>100</v>
      </c>
      <c r="R4169" s="6">
        <v>2.61</v>
      </c>
      <c r="S4169" s="5">
        <v>-18</v>
      </c>
      <c r="T4169" s="7">
        <v>-5.9960000000000004</v>
      </c>
      <c r="U4169" s="5">
        <v>2.4</v>
      </c>
      <c r="V4169" s="6">
        <v>-1.55</v>
      </c>
      <c r="W4169" s="7">
        <v>2.125</v>
      </c>
      <c r="X4169" s="6">
        <v>2.25</v>
      </c>
      <c r="Y4169" s="7">
        <v>2.1880000000000002</v>
      </c>
      <c r="Z4169" s="7">
        <v>2.0630000000000002</v>
      </c>
      <c r="AA4169" s="6">
        <v>12.56</v>
      </c>
      <c r="AB4169" s="2" t="s">
        <v>86</v>
      </c>
      <c r="AC4169" s="2"/>
    </row>
    <row r="4170" spans="1:29" ht="52" x14ac:dyDescent="0.15">
      <c r="A4170" s="3">
        <f>DATE(1998,10,7)</f>
        <v>36075</v>
      </c>
      <c r="B4170" s="2"/>
      <c r="C4170" s="2" t="s">
        <v>30</v>
      </c>
      <c r="D4170" s="2" t="s">
        <v>12991</v>
      </c>
      <c r="E4170" s="2" t="s">
        <v>12992</v>
      </c>
      <c r="F4170" s="4">
        <v>6799</v>
      </c>
      <c r="G4170" s="2" t="s">
        <v>53</v>
      </c>
      <c r="H4170" s="2" t="s">
        <v>34</v>
      </c>
      <c r="I4170" s="2" t="s">
        <v>12993</v>
      </c>
      <c r="J4170" s="2" t="s">
        <v>80</v>
      </c>
      <c r="K4170" s="2" t="s">
        <v>53</v>
      </c>
      <c r="L4170" s="2" t="s">
        <v>34</v>
      </c>
      <c r="M4170" s="2"/>
      <c r="N4170" s="2"/>
      <c r="O4170" s="2"/>
      <c r="P4170" s="2" t="s">
        <v>12994</v>
      </c>
      <c r="Q4170" s="2"/>
      <c r="R4170" s="6">
        <v>15</v>
      </c>
      <c r="S4170" s="5">
        <v>27.4</v>
      </c>
      <c r="T4170" s="7">
        <v>43.381</v>
      </c>
      <c r="U4170" s="5">
        <v>10.8</v>
      </c>
      <c r="V4170" s="6">
        <v>1.59</v>
      </c>
      <c r="W4170" s="7">
        <v>10.063000000000001</v>
      </c>
      <c r="X4170" s="7">
        <v>8.375</v>
      </c>
      <c r="Y4170" s="9">
        <v>8.3125</v>
      </c>
      <c r="Z4170" s="5">
        <v>8.5</v>
      </c>
      <c r="AA4170" s="6">
        <v>20.2</v>
      </c>
      <c r="AB4170" s="7">
        <v>9.702</v>
      </c>
      <c r="AC4170" s="2"/>
    </row>
    <row r="4171" spans="1:29" ht="91" x14ac:dyDescent="0.15">
      <c r="A4171" s="3">
        <f>DATE(1998,10,8)</f>
        <v>36076</v>
      </c>
      <c r="B4171" s="3">
        <f>DATE(1998,11,24)</f>
        <v>36123</v>
      </c>
      <c r="C4171" s="2" t="s">
        <v>95</v>
      </c>
      <c r="D4171" s="2" t="s">
        <v>12995</v>
      </c>
      <c r="E4171" s="2" t="s">
        <v>417</v>
      </c>
      <c r="F4171" s="4">
        <v>2721</v>
      </c>
      <c r="G4171" s="2" t="s">
        <v>186</v>
      </c>
      <c r="H4171" s="2" t="s">
        <v>34</v>
      </c>
      <c r="I4171" s="2" t="s">
        <v>12996</v>
      </c>
      <c r="J4171" s="2" t="s">
        <v>12997</v>
      </c>
      <c r="K4171" s="2" t="s">
        <v>186</v>
      </c>
      <c r="L4171" s="2" t="s">
        <v>34</v>
      </c>
      <c r="M4171" s="7">
        <v>276.12099999999998</v>
      </c>
      <c r="N4171" s="7">
        <v>13.125</v>
      </c>
      <c r="O4171" s="7">
        <v>13.063000000000001</v>
      </c>
      <c r="P4171" s="2" t="s">
        <v>12998</v>
      </c>
      <c r="Q4171" s="6">
        <v>100</v>
      </c>
      <c r="R4171" s="6">
        <v>29</v>
      </c>
      <c r="S4171" s="5">
        <v>3.7</v>
      </c>
      <c r="T4171" s="7">
        <v>3.468</v>
      </c>
      <c r="U4171" s="5">
        <v>2.2999999999999998</v>
      </c>
      <c r="V4171" s="6">
        <v>0.43</v>
      </c>
      <c r="W4171" s="4">
        <v>19</v>
      </c>
      <c r="X4171" s="7">
        <v>20.187999999999999</v>
      </c>
      <c r="Y4171" s="7">
        <v>26.187999999999999</v>
      </c>
      <c r="Z4171" s="6">
        <v>26.25</v>
      </c>
      <c r="AA4171" s="6">
        <v>9.1</v>
      </c>
      <c r="AB4171" s="7">
        <v>122.94</v>
      </c>
      <c r="AC4171" s="6">
        <v>2.42</v>
      </c>
    </row>
    <row r="4172" spans="1:29" ht="143" x14ac:dyDescent="0.15">
      <c r="A4172" s="3">
        <f>DATE(1998,10,9)</f>
        <v>36077</v>
      </c>
      <c r="B4172" s="3">
        <f>DATE(1999,2,3)</f>
        <v>36194</v>
      </c>
      <c r="C4172" s="2" t="s">
        <v>95</v>
      </c>
      <c r="D4172" s="2" t="s">
        <v>12999</v>
      </c>
      <c r="E4172" s="2" t="s">
        <v>13000</v>
      </c>
      <c r="F4172" s="4">
        <v>8093</v>
      </c>
      <c r="G4172" s="2" t="s">
        <v>454</v>
      </c>
      <c r="H4172" s="2" t="s">
        <v>34</v>
      </c>
      <c r="I4172" s="2" t="s">
        <v>6702</v>
      </c>
      <c r="J4172" s="2" t="s">
        <v>6703</v>
      </c>
      <c r="K4172" s="2" t="s">
        <v>593</v>
      </c>
      <c r="L4172" s="2" t="s">
        <v>34</v>
      </c>
      <c r="M4172" s="12">
        <v>11463.867</v>
      </c>
      <c r="N4172" s="7">
        <v>83.875</v>
      </c>
      <c r="O4172" s="7">
        <v>85.438000000000002</v>
      </c>
      <c r="P4172" s="2" t="s">
        <v>13001</v>
      </c>
      <c r="Q4172" s="6">
        <v>100</v>
      </c>
      <c r="R4172" s="6">
        <v>38.47</v>
      </c>
      <c r="S4172" s="5">
        <v>90.9</v>
      </c>
      <c r="T4172" s="5">
        <v>344.2</v>
      </c>
      <c r="U4172" s="5">
        <v>8.1999999999999993</v>
      </c>
      <c r="V4172" s="6">
        <v>0.78</v>
      </c>
      <c r="W4172" s="7">
        <v>29.187999999999999</v>
      </c>
      <c r="X4172" s="4">
        <v>23</v>
      </c>
      <c r="Y4172" s="7">
        <v>32.438000000000002</v>
      </c>
      <c r="Z4172" s="7">
        <v>33.188000000000002</v>
      </c>
      <c r="AA4172" s="6">
        <v>113.04</v>
      </c>
      <c r="AB4172" s="7">
        <v>24.748999999999999</v>
      </c>
      <c r="AC4172" s="6">
        <v>332.67</v>
      </c>
    </row>
    <row r="4173" spans="1:29" ht="39" x14ac:dyDescent="0.15">
      <c r="A4173" s="3">
        <f>DATE(1998,10,9)</f>
        <v>36077</v>
      </c>
      <c r="B4173" s="3">
        <f>DATE(1999,2,3)</f>
        <v>36194</v>
      </c>
      <c r="C4173" s="2" t="s">
        <v>95</v>
      </c>
      <c r="D4173" s="2" t="s">
        <v>13002</v>
      </c>
      <c r="E4173" s="2" t="s">
        <v>7699</v>
      </c>
      <c r="F4173" s="4">
        <v>3845</v>
      </c>
      <c r="G4173" s="2" t="s">
        <v>226</v>
      </c>
      <c r="H4173" s="2" t="s">
        <v>34</v>
      </c>
      <c r="I4173" s="2" t="s">
        <v>13003</v>
      </c>
      <c r="J4173" s="2" t="s">
        <v>13004</v>
      </c>
      <c r="K4173" s="2" t="s">
        <v>137</v>
      </c>
      <c r="L4173" s="2" t="s">
        <v>303</v>
      </c>
      <c r="M4173" s="2"/>
      <c r="N4173" s="2"/>
      <c r="O4173" s="2"/>
      <c r="P4173" s="2" t="s">
        <v>13005</v>
      </c>
      <c r="Q4173" s="6">
        <v>100</v>
      </c>
      <c r="R4173" s="6">
        <v>6.28</v>
      </c>
      <c r="S4173" s="5">
        <v>5</v>
      </c>
      <c r="T4173" s="7">
        <v>7.4610000000000003</v>
      </c>
      <c r="U4173" s="5">
        <v>1.8</v>
      </c>
      <c r="V4173" s="7">
        <v>0.378</v>
      </c>
      <c r="W4173" s="7">
        <v>5.375</v>
      </c>
      <c r="X4173" s="7">
        <v>5.375</v>
      </c>
      <c r="Y4173" s="7">
        <v>5.375</v>
      </c>
      <c r="Z4173" s="7">
        <v>5.875</v>
      </c>
      <c r="AA4173" s="6">
        <v>13.05</v>
      </c>
      <c r="AB4173" s="7">
        <v>9.8059999999999992</v>
      </c>
      <c r="AC4173" s="2"/>
    </row>
    <row r="4174" spans="1:29" ht="130" x14ac:dyDescent="0.15">
      <c r="A4174" s="3">
        <f>DATE(1998,10,9)</f>
        <v>36077</v>
      </c>
      <c r="B4174" s="3">
        <f>DATE(1999,2,17)</f>
        <v>36208</v>
      </c>
      <c r="C4174" s="2" t="s">
        <v>95</v>
      </c>
      <c r="D4174" s="2" t="s">
        <v>13006</v>
      </c>
      <c r="E4174" s="2" t="s">
        <v>9239</v>
      </c>
      <c r="F4174" s="4">
        <v>7373</v>
      </c>
      <c r="G4174" s="2" t="s">
        <v>223</v>
      </c>
      <c r="H4174" s="2" t="s">
        <v>34</v>
      </c>
      <c r="I4174" s="2" t="s">
        <v>13007</v>
      </c>
      <c r="J4174" s="2" t="s">
        <v>13008</v>
      </c>
      <c r="K4174" s="2" t="s">
        <v>223</v>
      </c>
      <c r="L4174" s="2" t="s">
        <v>34</v>
      </c>
      <c r="M4174" s="7">
        <v>320.15699999999998</v>
      </c>
      <c r="N4174" s="7">
        <v>15.875</v>
      </c>
      <c r="O4174" s="7">
        <v>15.688000000000001</v>
      </c>
      <c r="P4174" s="2" t="s">
        <v>13009</v>
      </c>
      <c r="Q4174" s="6">
        <v>100</v>
      </c>
      <c r="R4174" s="6">
        <v>10.76</v>
      </c>
      <c r="S4174" s="5">
        <v>44.9</v>
      </c>
      <c r="T4174" s="7">
        <v>125.611</v>
      </c>
      <c r="U4174" s="5">
        <v>4.5999999999999996</v>
      </c>
      <c r="V4174" s="6">
        <v>0.81</v>
      </c>
      <c r="W4174" s="7">
        <v>8.1880000000000006</v>
      </c>
      <c r="X4174" s="7">
        <v>8.375</v>
      </c>
      <c r="Y4174" s="7">
        <v>7.9379999999999997</v>
      </c>
      <c r="Z4174" s="4">
        <v>8</v>
      </c>
      <c r="AA4174" s="6">
        <v>44.56</v>
      </c>
      <c r="AB4174" s="7">
        <v>12.023999999999999</v>
      </c>
      <c r="AC4174" s="6">
        <v>52.59</v>
      </c>
    </row>
    <row r="4175" spans="1:29" ht="130" x14ac:dyDescent="0.15">
      <c r="A4175" s="3">
        <f>DATE(1998,10,12)</f>
        <v>36080</v>
      </c>
      <c r="B4175" s="3">
        <f>DATE(1998,12,11)</f>
        <v>36140</v>
      </c>
      <c r="C4175" s="2" t="s">
        <v>95</v>
      </c>
      <c r="D4175" s="2" t="s">
        <v>13010</v>
      </c>
      <c r="E4175" s="2" t="s">
        <v>781</v>
      </c>
      <c r="F4175" s="4">
        <v>7372</v>
      </c>
      <c r="G4175" s="2" t="s">
        <v>551</v>
      </c>
      <c r="H4175" s="2" t="s">
        <v>34</v>
      </c>
      <c r="I4175" s="2" t="s">
        <v>8901</v>
      </c>
      <c r="J4175" s="2" t="s">
        <v>207</v>
      </c>
      <c r="K4175" s="2" t="s">
        <v>137</v>
      </c>
      <c r="L4175" s="2" t="s">
        <v>34</v>
      </c>
      <c r="M4175" s="12">
        <v>8913.2620000000006</v>
      </c>
      <c r="N4175" s="7">
        <v>26.812999999999999</v>
      </c>
      <c r="O4175" s="7">
        <v>26.437999999999999</v>
      </c>
      <c r="P4175" s="2" t="s">
        <v>13011</v>
      </c>
      <c r="Q4175" s="6">
        <v>100</v>
      </c>
      <c r="R4175" s="6">
        <v>4.3</v>
      </c>
      <c r="S4175" s="5">
        <v>-8.8000000000000007</v>
      </c>
      <c r="T4175" s="7">
        <v>-4.3159999999999998</v>
      </c>
      <c r="U4175" s="5">
        <v>0.6</v>
      </c>
      <c r="V4175" s="6">
        <v>-1.1299999999999999</v>
      </c>
      <c r="W4175" s="6">
        <v>1.75</v>
      </c>
      <c r="X4175" s="6">
        <v>1.75</v>
      </c>
      <c r="Y4175" s="7">
        <v>1.8129999999999999</v>
      </c>
      <c r="Z4175" s="7">
        <v>3.3130000000000002</v>
      </c>
      <c r="AA4175" s="6">
        <v>8.64</v>
      </c>
      <c r="AB4175" s="2" t="s">
        <v>86</v>
      </c>
      <c r="AC4175" s="10">
        <v>1542.96</v>
      </c>
    </row>
    <row r="4176" spans="1:29" ht="117" x14ac:dyDescent="0.15">
      <c r="A4176" s="3">
        <f>DATE(1998,10,12)</f>
        <v>36080</v>
      </c>
      <c r="B4176" s="2"/>
      <c r="C4176" s="2" t="s">
        <v>30</v>
      </c>
      <c r="D4176" s="2" t="s">
        <v>3722</v>
      </c>
      <c r="E4176" s="2" t="s">
        <v>3723</v>
      </c>
      <c r="F4176" s="4">
        <v>5812</v>
      </c>
      <c r="G4176" s="2" t="s">
        <v>230</v>
      </c>
      <c r="H4176" s="2" t="s">
        <v>34</v>
      </c>
      <c r="I4176" s="2" t="s">
        <v>51</v>
      </c>
      <c r="J4176" s="2" t="s">
        <v>52</v>
      </c>
      <c r="K4176" s="2" t="s">
        <v>53</v>
      </c>
      <c r="L4176" s="2" t="s">
        <v>34</v>
      </c>
      <c r="M4176" s="2"/>
      <c r="N4176" s="2"/>
      <c r="O4176" s="2"/>
      <c r="P4176" s="2" t="s">
        <v>13012</v>
      </c>
      <c r="Q4176" s="2"/>
      <c r="R4176" s="6">
        <v>18</v>
      </c>
      <c r="S4176" s="5">
        <v>14.7</v>
      </c>
      <c r="T4176" s="7">
        <v>-480.51900000000001</v>
      </c>
      <c r="U4176" s="2"/>
      <c r="V4176" s="6">
        <v>0.47</v>
      </c>
      <c r="W4176" s="7">
        <v>14.875</v>
      </c>
      <c r="X4176" s="7">
        <v>13.188000000000001</v>
      </c>
      <c r="Y4176" s="9">
        <v>16.1875</v>
      </c>
      <c r="Z4176" s="4">
        <v>16</v>
      </c>
      <c r="AA4176" s="6">
        <v>30.59</v>
      </c>
      <c r="AB4176" s="2" t="s">
        <v>86</v>
      </c>
      <c r="AC4176" s="2"/>
    </row>
    <row r="4177" spans="1:29" ht="130" x14ac:dyDescent="0.15">
      <c r="A4177" s="3">
        <f>DATE(1998,10,13)</f>
        <v>36081</v>
      </c>
      <c r="B4177" s="3">
        <f>DATE(1998,11,20)</f>
        <v>36119</v>
      </c>
      <c r="C4177" s="2" t="s">
        <v>95</v>
      </c>
      <c r="D4177" s="2" t="s">
        <v>12731</v>
      </c>
      <c r="E4177" s="2" t="s">
        <v>6423</v>
      </c>
      <c r="F4177" s="4">
        <v>5411</v>
      </c>
      <c r="G4177" s="2" t="s">
        <v>1461</v>
      </c>
      <c r="H4177" s="2" t="s">
        <v>34</v>
      </c>
      <c r="I4177" s="2" t="s">
        <v>8785</v>
      </c>
      <c r="J4177" s="2" t="s">
        <v>4522</v>
      </c>
      <c r="K4177" s="2" t="s">
        <v>1461</v>
      </c>
      <c r="L4177" s="2" t="s">
        <v>34</v>
      </c>
      <c r="M4177" s="8">
        <v>21672</v>
      </c>
      <c r="N4177" s="7">
        <v>41.344000000000001</v>
      </c>
      <c r="O4177" s="7">
        <v>43.313000000000002</v>
      </c>
      <c r="P4177" s="2" t="s">
        <v>13013</v>
      </c>
      <c r="Q4177" s="6">
        <v>100</v>
      </c>
      <c r="R4177" s="6">
        <v>49</v>
      </c>
      <c r="S4177" s="5">
        <v>-38.9</v>
      </c>
      <c r="T4177" s="7">
        <v>158.01400000000001</v>
      </c>
      <c r="U4177" s="5">
        <v>5.5</v>
      </c>
      <c r="V4177" s="6">
        <v>-1.83</v>
      </c>
      <c r="W4177" s="5">
        <v>40.5</v>
      </c>
      <c r="X4177" s="7">
        <v>41.375</v>
      </c>
      <c r="Y4177" s="6">
        <v>48.25</v>
      </c>
      <c r="Z4177" s="7">
        <v>48.375</v>
      </c>
      <c r="AA4177" s="6">
        <v>21.53</v>
      </c>
      <c r="AB4177" s="7">
        <v>18.152999999999999</v>
      </c>
      <c r="AC4177" s="5">
        <v>77.2</v>
      </c>
    </row>
    <row r="4178" spans="1:29" ht="91" x14ac:dyDescent="0.15">
      <c r="A4178" s="3">
        <f>DATE(1998,10,14)</f>
        <v>36082</v>
      </c>
      <c r="B4178" s="3">
        <f>DATE(1999,1,29)</f>
        <v>36189</v>
      </c>
      <c r="C4178" s="2" t="s">
        <v>95</v>
      </c>
      <c r="D4178" s="2" t="s">
        <v>13014</v>
      </c>
      <c r="E4178" s="2" t="s">
        <v>13015</v>
      </c>
      <c r="F4178" s="4">
        <v>3531</v>
      </c>
      <c r="G4178" s="2" t="s">
        <v>300</v>
      </c>
      <c r="H4178" s="2" t="s">
        <v>34</v>
      </c>
      <c r="I4178" s="2" t="s">
        <v>8281</v>
      </c>
      <c r="J4178" s="2" t="s">
        <v>8282</v>
      </c>
      <c r="K4178" s="2" t="s">
        <v>300</v>
      </c>
      <c r="L4178" s="2" t="s">
        <v>34</v>
      </c>
      <c r="M4178" s="12">
        <v>16505.120999999999</v>
      </c>
      <c r="N4178" s="4">
        <v>46</v>
      </c>
      <c r="O4178" s="4">
        <v>48</v>
      </c>
      <c r="P4178" s="2" t="s">
        <v>13016</v>
      </c>
      <c r="Q4178" s="6">
        <v>37.85</v>
      </c>
      <c r="R4178" s="2"/>
      <c r="S4178" s="5">
        <v>2.2999999999999998</v>
      </c>
      <c r="T4178" s="7">
        <v>3.9740000000000002</v>
      </c>
      <c r="U4178" s="5">
        <v>0.7</v>
      </c>
      <c r="V4178" s="9">
        <v>0.14330000000000001</v>
      </c>
      <c r="W4178" s="4">
        <v>16</v>
      </c>
      <c r="X4178" s="7">
        <v>15.125</v>
      </c>
      <c r="Y4178" s="9">
        <v>17.5625</v>
      </c>
      <c r="Z4178" s="7">
        <v>20.125</v>
      </c>
      <c r="AA4178" s="6">
        <v>7.61</v>
      </c>
      <c r="AB4178" s="2" t="s">
        <v>47</v>
      </c>
      <c r="AC4178" s="5">
        <v>292</v>
      </c>
    </row>
    <row r="4179" spans="1:29" ht="78" x14ac:dyDescent="0.15">
      <c r="A4179" s="3">
        <f>DATE(1998,10,14)</f>
        <v>36082</v>
      </c>
      <c r="B4179" s="3">
        <f>DATE(1999,1,26)</f>
        <v>36186</v>
      </c>
      <c r="C4179" s="2" t="s">
        <v>95</v>
      </c>
      <c r="D4179" s="2" t="s">
        <v>13017</v>
      </c>
      <c r="E4179" s="2" t="s">
        <v>13018</v>
      </c>
      <c r="F4179" s="4">
        <v>3841</v>
      </c>
      <c r="G4179" s="2" t="s">
        <v>226</v>
      </c>
      <c r="H4179" s="2" t="s">
        <v>34</v>
      </c>
      <c r="I4179" s="2" t="s">
        <v>13019</v>
      </c>
      <c r="J4179" s="2" t="s">
        <v>13020</v>
      </c>
      <c r="K4179" s="2" t="s">
        <v>226</v>
      </c>
      <c r="L4179" s="2" t="s">
        <v>34</v>
      </c>
      <c r="M4179" s="10">
        <v>5029.6899999999996</v>
      </c>
      <c r="N4179" s="6">
        <v>40.75</v>
      </c>
      <c r="O4179" s="7">
        <v>42.875</v>
      </c>
      <c r="P4179" s="2" t="s">
        <v>13021</v>
      </c>
      <c r="Q4179" s="6">
        <v>100</v>
      </c>
      <c r="R4179" s="6">
        <v>4.7</v>
      </c>
      <c r="S4179" s="5">
        <v>-0.5</v>
      </c>
      <c r="T4179" s="6">
        <v>-0.14000000000000001</v>
      </c>
      <c r="U4179" s="5">
        <v>1</v>
      </c>
      <c r="V4179" s="7">
        <v>-0.16200000000000001</v>
      </c>
      <c r="W4179" s="7">
        <v>2.3130000000000002</v>
      </c>
      <c r="X4179" s="7">
        <v>2.875</v>
      </c>
      <c r="Y4179" s="7">
        <v>3.9060000000000001</v>
      </c>
      <c r="Z4179" s="4">
        <v>4</v>
      </c>
      <c r="AA4179" s="6">
        <v>3.22</v>
      </c>
      <c r="AB4179" s="2" t="s">
        <v>86</v>
      </c>
      <c r="AC4179" s="6">
        <v>90.64</v>
      </c>
    </row>
    <row r="4180" spans="1:29" ht="104" x14ac:dyDescent="0.15">
      <c r="A4180" s="3">
        <f>DATE(1998,10,14)</f>
        <v>36082</v>
      </c>
      <c r="B4180" s="2"/>
      <c r="C4180" s="2" t="s">
        <v>30</v>
      </c>
      <c r="D4180" s="2" t="s">
        <v>13022</v>
      </c>
      <c r="E4180" s="2" t="s">
        <v>13023</v>
      </c>
      <c r="F4180" s="4">
        <v>6022</v>
      </c>
      <c r="G4180" s="2" t="s">
        <v>37</v>
      </c>
      <c r="H4180" s="2" t="s">
        <v>34</v>
      </c>
      <c r="I4180" s="2" t="s">
        <v>13024</v>
      </c>
      <c r="J4180" s="2" t="s">
        <v>36</v>
      </c>
      <c r="K4180" s="2" t="s">
        <v>37</v>
      </c>
      <c r="L4180" s="2" t="s">
        <v>34</v>
      </c>
      <c r="M4180" s="7">
        <v>18.550999999999998</v>
      </c>
      <c r="N4180" s="4">
        <v>13</v>
      </c>
      <c r="O4180" s="4">
        <v>13</v>
      </c>
      <c r="P4180" s="2" t="s">
        <v>13025</v>
      </c>
      <c r="Q4180" s="2"/>
      <c r="R4180" s="6">
        <v>22.1</v>
      </c>
      <c r="S4180" s="5">
        <v>1.5</v>
      </c>
      <c r="T4180" s="7">
        <v>2.5209999999999999</v>
      </c>
      <c r="U4180" s="5">
        <v>6.4</v>
      </c>
      <c r="V4180" s="9">
        <v>0.72440000000000004</v>
      </c>
      <c r="W4180" s="5">
        <v>17.5</v>
      </c>
      <c r="X4180" s="4">
        <v>20</v>
      </c>
      <c r="Y4180" s="4">
        <v>22</v>
      </c>
      <c r="Z4180" s="4">
        <v>19</v>
      </c>
      <c r="AA4180" s="6">
        <v>0.9</v>
      </c>
      <c r="AB4180" s="7">
        <v>24.983000000000001</v>
      </c>
      <c r="AC4180" s="2"/>
    </row>
    <row r="4181" spans="1:29" ht="91" x14ac:dyDescent="0.15">
      <c r="A4181" s="3">
        <f>DATE(1998,10,15)</f>
        <v>36083</v>
      </c>
      <c r="B4181" s="3">
        <f>DATE(1999,4,1)</f>
        <v>36251</v>
      </c>
      <c r="C4181" s="2" t="s">
        <v>95</v>
      </c>
      <c r="D4181" s="2" t="s">
        <v>13026</v>
      </c>
      <c r="E4181" s="2" t="s">
        <v>389</v>
      </c>
      <c r="F4181" s="4">
        <v>6035</v>
      </c>
      <c r="G4181" s="2" t="s">
        <v>33</v>
      </c>
      <c r="H4181" s="2" t="s">
        <v>34</v>
      </c>
      <c r="I4181" s="2" t="s">
        <v>13027</v>
      </c>
      <c r="J4181" s="2" t="s">
        <v>389</v>
      </c>
      <c r="K4181" s="2" t="s">
        <v>33</v>
      </c>
      <c r="L4181" s="2" t="s">
        <v>34</v>
      </c>
      <c r="M4181" s="2"/>
      <c r="N4181" s="2"/>
      <c r="O4181" s="2"/>
      <c r="P4181" s="2" t="s">
        <v>13028</v>
      </c>
      <c r="Q4181" s="6">
        <v>100</v>
      </c>
      <c r="R4181" s="6">
        <v>24</v>
      </c>
      <c r="S4181" s="5">
        <v>2.1</v>
      </c>
      <c r="T4181" s="7">
        <v>3.3969999999999998</v>
      </c>
      <c r="U4181" s="5">
        <v>13.7</v>
      </c>
      <c r="V4181" s="6">
        <v>0.8</v>
      </c>
      <c r="W4181" s="5">
        <v>14.5</v>
      </c>
      <c r="X4181" s="6">
        <v>18.25</v>
      </c>
      <c r="Y4181" s="7">
        <v>22.062999999999999</v>
      </c>
      <c r="Z4181" s="7">
        <v>22.125</v>
      </c>
      <c r="AA4181" s="6">
        <v>2.59</v>
      </c>
      <c r="AB4181" s="7">
        <v>100.68</v>
      </c>
      <c r="AC4181" s="2"/>
    </row>
    <row r="4182" spans="1:29" ht="117" x14ac:dyDescent="0.15">
      <c r="A4182" s="3">
        <f>DATE(1998,10,15)</f>
        <v>36083</v>
      </c>
      <c r="B4182" s="3">
        <f>DATE(1999,2,26)</f>
        <v>36217</v>
      </c>
      <c r="C4182" s="2" t="s">
        <v>95</v>
      </c>
      <c r="D4182" s="2" t="s">
        <v>13029</v>
      </c>
      <c r="E4182" s="2" t="s">
        <v>177</v>
      </c>
      <c r="F4182" s="4">
        <v>1311</v>
      </c>
      <c r="G4182" s="2" t="s">
        <v>148</v>
      </c>
      <c r="H4182" s="2" t="s">
        <v>34</v>
      </c>
      <c r="I4182" s="2" t="s">
        <v>13030</v>
      </c>
      <c r="J4182" s="2" t="s">
        <v>1435</v>
      </c>
      <c r="K4182" s="2" t="s">
        <v>148</v>
      </c>
      <c r="L4182" s="2" t="s">
        <v>34</v>
      </c>
      <c r="M4182" s="12">
        <v>2148.346</v>
      </c>
      <c r="N4182" s="6">
        <v>42.75</v>
      </c>
      <c r="O4182" s="7">
        <v>43.063000000000002</v>
      </c>
      <c r="P4182" s="2" t="s">
        <v>13031</v>
      </c>
      <c r="Q4182" s="6">
        <v>100</v>
      </c>
      <c r="R4182" s="6">
        <v>17.32</v>
      </c>
      <c r="S4182" s="5">
        <v>172</v>
      </c>
      <c r="T4182" s="5">
        <v>659</v>
      </c>
      <c r="U4182" s="5">
        <v>3.9</v>
      </c>
      <c r="V4182" s="9">
        <v>4.3902000000000001</v>
      </c>
      <c r="W4182" s="7">
        <v>11.188000000000001</v>
      </c>
      <c r="X4182" s="5">
        <v>11.5</v>
      </c>
      <c r="Y4182" s="7">
        <v>14.813000000000001</v>
      </c>
      <c r="Z4182" s="7">
        <v>14.938000000000001</v>
      </c>
      <c r="AA4182" s="6">
        <v>106.24</v>
      </c>
      <c r="AB4182" s="7">
        <v>5.3890000000000002</v>
      </c>
      <c r="AC4182" s="5">
        <v>183</v>
      </c>
    </row>
    <row r="4183" spans="1:29" ht="117" x14ac:dyDescent="0.15">
      <c r="A4183" s="3">
        <f>DATE(1998,10,16)</f>
        <v>36084</v>
      </c>
      <c r="B4183" s="3">
        <f>DATE(1999,2,12)</f>
        <v>36203</v>
      </c>
      <c r="C4183" s="2" t="s">
        <v>95</v>
      </c>
      <c r="D4183" s="2" t="s">
        <v>13032</v>
      </c>
      <c r="E4183" s="2" t="s">
        <v>13033</v>
      </c>
      <c r="F4183" s="4">
        <v>7372</v>
      </c>
      <c r="G4183" s="2" t="s">
        <v>551</v>
      </c>
      <c r="H4183" s="2" t="s">
        <v>34</v>
      </c>
      <c r="I4183" s="2" t="s">
        <v>10539</v>
      </c>
      <c r="J4183" s="2" t="s">
        <v>10540</v>
      </c>
      <c r="K4183" s="2" t="s">
        <v>223</v>
      </c>
      <c r="L4183" s="2" t="s">
        <v>34</v>
      </c>
      <c r="M4183" s="10">
        <v>1604.56</v>
      </c>
      <c r="N4183" s="7">
        <v>28.875</v>
      </c>
      <c r="O4183" s="7">
        <v>30.937999999999999</v>
      </c>
      <c r="P4183" s="2" t="s">
        <v>13034</v>
      </c>
      <c r="Q4183" s="6">
        <v>49</v>
      </c>
      <c r="R4183" s="6">
        <v>19</v>
      </c>
      <c r="S4183" s="5">
        <v>1.9</v>
      </c>
      <c r="T4183" s="6">
        <v>18.010000000000002</v>
      </c>
      <c r="U4183" s="5">
        <v>11.7</v>
      </c>
      <c r="V4183" s="6">
        <v>0.18</v>
      </c>
      <c r="W4183" s="6">
        <v>16.25</v>
      </c>
      <c r="X4183" s="7">
        <v>16.219000000000001</v>
      </c>
      <c r="Y4183" s="6">
        <v>16.25</v>
      </c>
      <c r="Z4183" s="7">
        <v>18.344000000000001</v>
      </c>
      <c r="AA4183" s="6">
        <v>14.16</v>
      </c>
      <c r="AB4183" s="7">
        <v>29.035</v>
      </c>
      <c r="AC4183" s="6">
        <v>83.99</v>
      </c>
    </row>
    <row r="4184" spans="1:29" ht="104" x14ac:dyDescent="0.15">
      <c r="A4184" s="3">
        <f>DATE(1998,10,16)</f>
        <v>36084</v>
      </c>
      <c r="B4184" s="3">
        <f>DATE(1998,12,15)</f>
        <v>36144</v>
      </c>
      <c r="C4184" s="2" t="s">
        <v>95</v>
      </c>
      <c r="D4184" s="2" t="s">
        <v>13032</v>
      </c>
      <c r="E4184" s="2" t="s">
        <v>13033</v>
      </c>
      <c r="F4184" s="4">
        <v>7372</v>
      </c>
      <c r="G4184" s="2" t="s">
        <v>551</v>
      </c>
      <c r="H4184" s="2" t="s">
        <v>34</v>
      </c>
      <c r="I4184" s="2" t="s">
        <v>10539</v>
      </c>
      <c r="J4184" s="2" t="s">
        <v>10540</v>
      </c>
      <c r="K4184" s="2" t="s">
        <v>223</v>
      </c>
      <c r="L4184" s="2" t="s">
        <v>34</v>
      </c>
      <c r="M4184" s="10">
        <v>1604.56</v>
      </c>
      <c r="N4184" s="7">
        <v>28.875</v>
      </c>
      <c r="O4184" s="7">
        <v>30.937999999999999</v>
      </c>
      <c r="P4184" s="2" t="s">
        <v>13035</v>
      </c>
      <c r="Q4184" s="6">
        <v>51</v>
      </c>
      <c r="R4184" s="6">
        <v>19</v>
      </c>
      <c r="S4184" s="5">
        <v>1.9</v>
      </c>
      <c r="T4184" s="6">
        <v>18.010000000000002</v>
      </c>
      <c r="U4184" s="5">
        <v>11.7</v>
      </c>
      <c r="V4184" s="6">
        <v>0.18</v>
      </c>
      <c r="W4184" s="6">
        <v>16.25</v>
      </c>
      <c r="X4184" s="7">
        <v>16.219000000000001</v>
      </c>
      <c r="Y4184" s="6">
        <v>16.25</v>
      </c>
      <c r="Z4184" s="7">
        <v>18.344000000000001</v>
      </c>
      <c r="AA4184" s="6">
        <v>14.16</v>
      </c>
      <c r="AB4184" s="7">
        <v>29.035</v>
      </c>
      <c r="AC4184" s="6">
        <v>83.99</v>
      </c>
    </row>
    <row r="4185" spans="1:29" ht="143" x14ac:dyDescent="0.15">
      <c r="A4185" s="3">
        <f>DATE(1998,10,16)</f>
        <v>36084</v>
      </c>
      <c r="B4185" s="3">
        <f>DATE(1999,3,12)</f>
        <v>36231</v>
      </c>
      <c r="C4185" s="2" t="s">
        <v>95</v>
      </c>
      <c r="D4185" s="2" t="s">
        <v>13036</v>
      </c>
      <c r="E4185" s="2" t="s">
        <v>13037</v>
      </c>
      <c r="F4185" s="4">
        <v>8741</v>
      </c>
      <c r="G4185" s="2" t="s">
        <v>223</v>
      </c>
      <c r="H4185" s="2" t="s">
        <v>34</v>
      </c>
      <c r="I4185" s="2" t="s">
        <v>13038</v>
      </c>
      <c r="J4185" s="2" t="s">
        <v>13039</v>
      </c>
      <c r="K4185" s="2" t="s">
        <v>454</v>
      </c>
      <c r="L4185" s="2" t="s">
        <v>34</v>
      </c>
      <c r="M4185" s="6">
        <v>47.22</v>
      </c>
      <c r="N4185" s="7">
        <v>5.875</v>
      </c>
      <c r="O4185" s="6">
        <v>5.75</v>
      </c>
      <c r="P4185" s="2" t="s">
        <v>13040</v>
      </c>
      <c r="Q4185" s="6">
        <v>100</v>
      </c>
      <c r="R4185" s="6">
        <v>9.6</v>
      </c>
      <c r="S4185" s="5">
        <v>0.4</v>
      </c>
      <c r="T4185" s="7">
        <v>0.58499999999999996</v>
      </c>
      <c r="U4185" s="5">
        <v>3.6</v>
      </c>
      <c r="V4185" s="6">
        <v>7.0000000000000007E-2</v>
      </c>
      <c r="W4185" s="7">
        <v>9.875</v>
      </c>
      <c r="X4185" s="4">
        <v>10</v>
      </c>
      <c r="Y4185" s="7">
        <v>9.375</v>
      </c>
      <c r="Z4185" s="4">
        <v>10</v>
      </c>
      <c r="AA4185" s="6">
        <v>6.98</v>
      </c>
      <c r="AB4185" s="7">
        <v>114.44499999999999</v>
      </c>
      <c r="AC4185" s="2"/>
    </row>
    <row r="4186" spans="1:29" ht="65" x14ac:dyDescent="0.15">
      <c r="A4186" s="3">
        <f>DATE(1998,10,16)</f>
        <v>36084</v>
      </c>
      <c r="B4186" s="3">
        <f>DATE(1999,3,16)</f>
        <v>36235</v>
      </c>
      <c r="C4186" s="2" t="s">
        <v>95</v>
      </c>
      <c r="D4186" s="2" t="s">
        <v>13041</v>
      </c>
      <c r="E4186" s="2" t="s">
        <v>13042</v>
      </c>
      <c r="F4186" s="4">
        <v>4131</v>
      </c>
      <c r="G4186" s="2" t="s">
        <v>173</v>
      </c>
      <c r="H4186" s="2" t="s">
        <v>34</v>
      </c>
      <c r="I4186" s="2" t="s">
        <v>6510</v>
      </c>
      <c r="J4186" s="2" t="s">
        <v>6511</v>
      </c>
      <c r="K4186" s="2" t="s">
        <v>173</v>
      </c>
      <c r="L4186" s="2" t="s">
        <v>902</v>
      </c>
      <c r="M4186" s="2"/>
      <c r="N4186" s="2"/>
      <c r="O4186" s="2"/>
      <c r="P4186" s="2" t="s">
        <v>13043</v>
      </c>
      <c r="Q4186" s="6">
        <v>100</v>
      </c>
      <c r="R4186" s="6">
        <v>6.5</v>
      </c>
      <c r="S4186" s="5">
        <v>8.4</v>
      </c>
      <c r="T4186" s="7">
        <v>68.364999999999995</v>
      </c>
      <c r="U4186" s="5">
        <v>2</v>
      </c>
      <c r="V4186" s="6">
        <v>0.08</v>
      </c>
      <c r="W4186" s="7">
        <v>3.625</v>
      </c>
      <c r="X4186" s="6">
        <v>4.75</v>
      </c>
      <c r="Y4186" s="7">
        <v>4.875</v>
      </c>
      <c r="Z4186" s="7">
        <v>5.6879999999999997</v>
      </c>
      <c r="AA4186" s="6">
        <v>60.12</v>
      </c>
      <c r="AB4186" s="7">
        <v>18.338999999999999</v>
      </c>
      <c r="AC4186" s="6">
        <v>268.23</v>
      </c>
    </row>
    <row r="4187" spans="1:29" ht="117" x14ac:dyDescent="0.15">
      <c r="A4187" s="3">
        <f>DATE(1998,10,18)</f>
        <v>36086</v>
      </c>
      <c r="B4187" s="3">
        <f>DATE(1999,1,12)</f>
        <v>36172</v>
      </c>
      <c r="C4187" s="2" t="s">
        <v>95</v>
      </c>
      <c r="D4187" s="2" t="s">
        <v>4939</v>
      </c>
      <c r="E4187" s="2" t="s">
        <v>4940</v>
      </c>
      <c r="F4187" s="4">
        <v>7373</v>
      </c>
      <c r="G4187" s="2" t="s">
        <v>223</v>
      </c>
      <c r="H4187" s="2" t="s">
        <v>34</v>
      </c>
      <c r="I4187" s="2" t="s">
        <v>10549</v>
      </c>
      <c r="J4187" s="2" t="s">
        <v>10550</v>
      </c>
      <c r="K4187" s="2" t="s">
        <v>593</v>
      </c>
      <c r="L4187" s="2" t="s">
        <v>34</v>
      </c>
      <c r="M4187" s="12">
        <v>8367.4069999999992</v>
      </c>
      <c r="N4187" s="4">
        <v>76</v>
      </c>
      <c r="O4187" s="4">
        <v>76</v>
      </c>
      <c r="P4187" s="2" t="s">
        <v>13044</v>
      </c>
      <c r="Q4187" s="6">
        <v>100</v>
      </c>
      <c r="R4187" s="6">
        <v>32.81</v>
      </c>
      <c r="S4187" s="5">
        <v>143.5</v>
      </c>
      <c r="T4187" s="7">
        <v>380.42500000000001</v>
      </c>
      <c r="U4187" s="5">
        <v>2.1</v>
      </c>
      <c r="V4187" s="7">
        <v>0.33500000000000002</v>
      </c>
      <c r="W4187" s="7">
        <v>25.187999999999999</v>
      </c>
      <c r="X4187" s="7">
        <v>29.562999999999999</v>
      </c>
      <c r="Y4187" s="2"/>
      <c r="Z4187" s="7">
        <v>25.187999999999999</v>
      </c>
      <c r="AA4187" s="6">
        <v>430.99</v>
      </c>
      <c r="AB4187" s="7">
        <v>42.8</v>
      </c>
      <c r="AC4187" s="5">
        <v>131.6</v>
      </c>
    </row>
    <row r="4188" spans="1:29" ht="156" x14ac:dyDescent="0.15">
      <c r="A4188" s="3">
        <f t="shared" ref="A4188:A4195" si="76">DATE(1998,10,19)</f>
        <v>36087</v>
      </c>
      <c r="B4188" s="3">
        <f>DATE(1999,4,7)</f>
        <v>36257</v>
      </c>
      <c r="C4188" s="2" t="s">
        <v>95</v>
      </c>
      <c r="D4188" s="2" t="s">
        <v>13045</v>
      </c>
      <c r="E4188" s="2" t="s">
        <v>4765</v>
      </c>
      <c r="F4188" s="4">
        <v>1381</v>
      </c>
      <c r="G4188" s="2" t="s">
        <v>148</v>
      </c>
      <c r="H4188" s="2" t="s">
        <v>34</v>
      </c>
      <c r="I4188" s="2" t="s">
        <v>13046</v>
      </c>
      <c r="J4188" s="2" t="s">
        <v>13047</v>
      </c>
      <c r="K4188" s="2" t="s">
        <v>148</v>
      </c>
      <c r="L4188" s="2" t="s">
        <v>34</v>
      </c>
      <c r="M4188" s="12">
        <v>1593.2819999999999</v>
      </c>
      <c r="N4188" s="9">
        <v>16.4375</v>
      </c>
      <c r="O4188" s="9">
        <v>16.8125</v>
      </c>
      <c r="P4188" s="2" t="s">
        <v>13048</v>
      </c>
      <c r="Q4188" s="6">
        <v>100</v>
      </c>
      <c r="R4188" s="6">
        <v>4.41</v>
      </c>
      <c r="S4188" s="5">
        <v>-5.2</v>
      </c>
      <c r="T4188" s="7">
        <v>10.510999999999999</v>
      </c>
      <c r="U4188" s="5">
        <v>9.5</v>
      </c>
      <c r="V4188" s="6">
        <v>-0.28999999999999998</v>
      </c>
      <c r="W4188" s="6">
        <v>4.25</v>
      </c>
      <c r="X4188" s="7">
        <v>4.9379999999999997</v>
      </c>
      <c r="Y4188" s="7">
        <v>5.9379999999999997</v>
      </c>
      <c r="Z4188" s="4">
        <v>6</v>
      </c>
      <c r="AA4188" s="6">
        <v>18.190000000000001</v>
      </c>
      <c r="AB4188" s="2" t="s">
        <v>86</v>
      </c>
      <c r="AC4188" s="6">
        <v>23.45</v>
      </c>
    </row>
    <row r="4189" spans="1:29" ht="130" x14ac:dyDescent="0.15">
      <c r="A4189" s="3">
        <f t="shared" si="76"/>
        <v>36087</v>
      </c>
      <c r="B4189" s="3">
        <f>DATE(1999,8,31)</f>
        <v>36403</v>
      </c>
      <c r="C4189" s="2" t="s">
        <v>95</v>
      </c>
      <c r="D4189" s="2" t="s">
        <v>13049</v>
      </c>
      <c r="E4189" s="2" t="s">
        <v>13050</v>
      </c>
      <c r="F4189" s="4">
        <v>4924</v>
      </c>
      <c r="G4189" s="2" t="s">
        <v>439</v>
      </c>
      <c r="H4189" s="2" t="s">
        <v>34</v>
      </c>
      <c r="I4189" s="2" t="s">
        <v>11195</v>
      </c>
      <c r="J4189" s="2" t="s">
        <v>11196</v>
      </c>
      <c r="K4189" s="2" t="s">
        <v>439</v>
      </c>
      <c r="L4189" s="2" t="s">
        <v>34</v>
      </c>
      <c r="M4189" s="7">
        <v>855.60699999999997</v>
      </c>
      <c r="N4189" s="6">
        <v>42.75</v>
      </c>
      <c r="O4189" s="7">
        <v>41.313000000000002</v>
      </c>
      <c r="P4189" s="2" t="s">
        <v>13051</v>
      </c>
      <c r="Q4189" s="6">
        <v>100</v>
      </c>
      <c r="R4189" s="6">
        <v>37.5</v>
      </c>
      <c r="S4189" s="5">
        <v>16</v>
      </c>
      <c r="T4189" s="7">
        <v>46.161999999999999</v>
      </c>
      <c r="U4189" s="5">
        <v>14.1</v>
      </c>
      <c r="V4189" s="6">
        <v>1.87</v>
      </c>
      <c r="W4189" s="7">
        <v>28.875</v>
      </c>
      <c r="X4189" s="7">
        <v>29.562999999999999</v>
      </c>
      <c r="Y4189" s="6">
        <v>33.75</v>
      </c>
      <c r="Z4189" s="5">
        <v>33.5</v>
      </c>
      <c r="AA4189" s="6">
        <v>8.77</v>
      </c>
      <c r="AB4189" s="7">
        <v>14.86</v>
      </c>
      <c r="AC4189" s="2"/>
    </row>
    <row r="4190" spans="1:29" ht="130" x14ac:dyDescent="0.15">
      <c r="A4190" s="3">
        <f t="shared" si="76"/>
        <v>36087</v>
      </c>
      <c r="B4190" s="3">
        <f>DATE(1999,3,11)</f>
        <v>36230</v>
      </c>
      <c r="C4190" s="2" t="s">
        <v>95</v>
      </c>
      <c r="D4190" s="2" t="s">
        <v>13052</v>
      </c>
      <c r="E4190" s="2" t="s">
        <v>13053</v>
      </c>
      <c r="F4190" s="4">
        <v>2834</v>
      </c>
      <c r="G4190" s="2" t="s">
        <v>130</v>
      </c>
      <c r="H4190" s="2" t="s">
        <v>34</v>
      </c>
      <c r="I4190" s="2" t="s">
        <v>13054</v>
      </c>
      <c r="J4190" s="2" t="s">
        <v>13055</v>
      </c>
      <c r="K4190" s="2" t="s">
        <v>130</v>
      </c>
      <c r="L4190" s="2" t="s">
        <v>303</v>
      </c>
      <c r="M4190" s="2"/>
      <c r="N4190" s="7">
        <v>0.90100000000000002</v>
      </c>
      <c r="O4190" s="7">
        <v>0.89900000000000002</v>
      </c>
      <c r="P4190" s="2" t="s">
        <v>13056</v>
      </c>
      <c r="Q4190" s="6">
        <v>100</v>
      </c>
      <c r="R4190" s="6">
        <v>1.79</v>
      </c>
      <c r="S4190" s="5">
        <v>-21.4</v>
      </c>
      <c r="T4190" s="7">
        <v>-17.984999999999999</v>
      </c>
      <c r="U4190" s="5">
        <v>2.7</v>
      </c>
      <c r="V4190" s="6">
        <v>-1.59</v>
      </c>
      <c r="W4190" s="7">
        <v>1.1879999999999999</v>
      </c>
      <c r="X4190" s="6">
        <v>1.25</v>
      </c>
      <c r="Y4190" s="7">
        <v>1.6879999999999999</v>
      </c>
      <c r="Z4190" s="7">
        <v>1.5309999999999999</v>
      </c>
      <c r="AA4190" s="6">
        <v>14.59</v>
      </c>
      <c r="AB4190" s="2" t="s">
        <v>86</v>
      </c>
      <c r="AC4190" s="6">
        <v>14.31</v>
      </c>
    </row>
    <row r="4191" spans="1:29" ht="91" x14ac:dyDescent="0.15">
      <c r="A4191" s="3">
        <f t="shared" si="76"/>
        <v>36087</v>
      </c>
      <c r="B4191" s="3">
        <f>DATE(1999,1,29)</f>
        <v>36189</v>
      </c>
      <c r="C4191" s="2" t="s">
        <v>95</v>
      </c>
      <c r="D4191" s="2" t="s">
        <v>896</v>
      </c>
      <c r="E4191" s="2" t="s">
        <v>897</v>
      </c>
      <c r="F4191" s="4">
        <v>2673</v>
      </c>
      <c r="G4191" s="2" t="s">
        <v>282</v>
      </c>
      <c r="H4191" s="2" t="s">
        <v>34</v>
      </c>
      <c r="I4191" s="2" t="s">
        <v>8907</v>
      </c>
      <c r="J4191" s="2" t="s">
        <v>8908</v>
      </c>
      <c r="K4191" s="2" t="s">
        <v>358</v>
      </c>
      <c r="L4191" s="2" t="s">
        <v>34</v>
      </c>
      <c r="M4191" s="12">
        <v>8258.6149999999998</v>
      </c>
      <c r="N4191" s="4">
        <v>104</v>
      </c>
      <c r="O4191" s="6">
        <v>102.75</v>
      </c>
      <c r="P4191" s="2" t="s">
        <v>13057</v>
      </c>
      <c r="Q4191" s="6">
        <v>100</v>
      </c>
      <c r="R4191" s="6">
        <v>39</v>
      </c>
      <c r="S4191" s="5">
        <v>52.3</v>
      </c>
      <c r="T4191" s="7">
        <v>166.48599999999999</v>
      </c>
      <c r="U4191" s="5">
        <v>9.9</v>
      </c>
      <c r="V4191" s="6">
        <v>1.29</v>
      </c>
      <c r="W4191" s="6">
        <v>20.25</v>
      </c>
      <c r="X4191" s="7">
        <v>23.625</v>
      </c>
      <c r="Y4191" s="4">
        <v>36</v>
      </c>
      <c r="Z4191" s="4">
        <v>36</v>
      </c>
      <c r="AA4191" s="6">
        <v>39.049999999999997</v>
      </c>
      <c r="AB4191" s="7">
        <v>16.181999999999999</v>
      </c>
      <c r="AC4191" s="6">
        <v>109.16</v>
      </c>
    </row>
    <row r="4192" spans="1:29" ht="117" x14ac:dyDescent="0.15">
      <c r="A4192" s="3">
        <f t="shared" si="76"/>
        <v>36087</v>
      </c>
      <c r="B4192" s="3">
        <f>DATE(1999,5,14)</f>
        <v>36294</v>
      </c>
      <c r="C4192" s="2" t="s">
        <v>95</v>
      </c>
      <c r="D4192" s="2" t="s">
        <v>13058</v>
      </c>
      <c r="E4192" s="2" t="s">
        <v>13059</v>
      </c>
      <c r="F4192" s="4">
        <v>8059</v>
      </c>
      <c r="G4192" s="2" t="s">
        <v>454</v>
      </c>
      <c r="H4192" s="2" t="s">
        <v>34</v>
      </c>
      <c r="I4192" s="2" t="s">
        <v>13060</v>
      </c>
      <c r="J4192" s="2" t="s">
        <v>13061</v>
      </c>
      <c r="K4192" s="2" t="s">
        <v>454</v>
      </c>
      <c r="L4192" s="2" t="s">
        <v>34</v>
      </c>
      <c r="M4192" s="7">
        <v>636.30200000000002</v>
      </c>
      <c r="N4192" s="7">
        <v>37.563000000000002</v>
      </c>
      <c r="O4192" s="7">
        <v>38.813000000000002</v>
      </c>
      <c r="P4192" s="2" t="s">
        <v>13062</v>
      </c>
      <c r="Q4192" s="6">
        <v>100</v>
      </c>
      <c r="R4192" s="6">
        <v>12</v>
      </c>
      <c r="S4192" s="5">
        <v>-15.5</v>
      </c>
      <c r="T4192" s="7">
        <v>-3.9220000000000002</v>
      </c>
      <c r="U4192" s="5">
        <v>1.6</v>
      </c>
      <c r="V4192" s="6">
        <v>-2.2599999999999998</v>
      </c>
      <c r="W4192" s="7">
        <v>8.8130000000000006</v>
      </c>
      <c r="X4192" s="7">
        <v>9.0630000000000006</v>
      </c>
      <c r="Y4192" s="6">
        <v>11.25</v>
      </c>
      <c r="Z4192" s="7">
        <v>11.625</v>
      </c>
      <c r="AA4192" s="6">
        <v>6.84</v>
      </c>
      <c r="AB4192" s="2" t="s">
        <v>86</v>
      </c>
      <c r="AC4192" s="6">
        <v>38.89</v>
      </c>
    </row>
    <row r="4193" spans="1:29" ht="169" x14ac:dyDescent="0.15">
      <c r="A4193" s="3">
        <f t="shared" si="76"/>
        <v>36087</v>
      </c>
      <c r="B4193" s="2"/>
      <c r="C4193" s="2" t="s">
        <v>30</v>
      </c>
      <c r="D4193" s="2" t="s">
        <v>13063</v>
      </c>
      <c r="E4193" s="2" t="s">
        <v>13064</v>
      </c>
      <c r="F4193" s="4">
        <v>7389</v>
      </c>
      <c r="G4193" s="2" t="s">
        <v>223</v>
      </c>
      <c r="H4193" s="2" t="s">
        <v>34</v>
      </c>
      <c r="I4193" s="2" t="s">
        <v>10213</v>
      </c>
      <c r="J4193" s="2" t="s">
        <v>10214</v>
      </c>
      <c r="K4193" s="2" t="s">
        <v>921</v>
      </c>
      <c r="L4193" s="2" t="s">
        <v>34</v>
      </c>
      <c r="M4193" s="12">
        <v>1376.8810000000001</v>
      </c>
      <c r="N4193" s="7">
        <v>10.625</v>
      </c>
      <c r="O4193" s="4">
        <v>10</v>
      </c>
      <c r="P4193" s="2" t="s">
        <v>13065</v>
      </c>
      <c r="Q4193" s="2"/>
      <c r="R4193" s="6">
        <v>29.74</v>
      </c>
      <c r="S4193" s="5">
        <v>2.2999999999999998</v>
      </c>
      <c r="T4193" s="7">
        <v>11.555999999999999</v>
      </c>
      <c r="U4193" s="5">
        <v>2.6</v>
      </c>
      <c r="V4193" s="7">
        <v>0.185</v>
      </c>
      <c r="W4193" s="7">
        <v>19.937999999999999</v>
      </c>
      <c r="X4193" s="7">
        <v>22.625</v>
      </c>
      <c r="Y4193" s="6">
        <v>25.75</v>
      </c>
      <c r="Z4193" s="6">
        <v>25.75</v>
      </c>
      <c r="AA4193" s="6">
        <v>5.8</v>
      </c>
      <c r="AB4193" s="7">
        <v>46.295999999999999</v>
      </c>
      <c r="AC4193" s="6">
        <v>81.260000000000005</v>
      </c>
    </row>
    <row r="4194" spans="1:29" ht="156" x14ac:dyDescent="0.15">
      <c r="A4194" s="3">
        <f t="shared" si="76"/>
        <v>36087</v>
      </c>
      <c r="B4194" s="3">
        <f>DATE(1999,5,27)</f>
        <v>36307</v>
      </c>
      <c r="C4194" s="2" t="s">
        <v>95</v>
      </c>
      <c r="D4194" s="2" t="s">
        <v>9724</v>
      </c>
      <c r="E4194" s="2" t="s">
        <v>1063</v>
      </c>
      <c r="F4194" s="4">
        <v>5311</v>
      </c>
      <c r="G4194" s="2" t="s">
        <v>756</v>
      </c>
      <c r="H4194" s="2" t="s">
        <v>34</v>
      </c>
      <c r="I4194" s="2" t="s">
        <v>13066</v>
      </c>
      <c r="J4194" s="2" t="s">
        <v>9676</v>
      </c>
      <c r="K4194" s="2" t="s">
        <v>1461</v>
      </c>
      <c r="L4194" s="2" t="s">
        <v>34</v>
      </c>
      <c r="M4194" s="12">
        <v>11912.517</v>
      </c>
      <c r="N4194" s="7">
        <v>45.438000000000002</v>
      </c>
      <c r="O4194" s="7">
        <v>48.563000000000002</v>
      </c>
      <c r="P4194" s="2" t="s">
        <v>13067</v>
      </c>
      <c r="Q4194" s="6">
        <v>100</v>
      </c>
      <c r="R4194" s="6">
        <v>48.75</v>
      </c>
      <c r="S4194" s="5">
        <v>103.3</v>
      </c>
      <c r="T4194" s="7">
        <v>417.90199999999999</v>
      </c>
      <c r="U4194" s="5">
        <v>15.2</v>
      </c>
      <c r="V4194" s="6">
        <v>1.46</v>
      </c>
      <c r="W4194" s="7">
        <v>39.875</v>
      </c>
      <c r="X4194" s="4">
        <v>49</v>
      </c>
      <c r="Y4194" s="7">
        <v>44.188000000000002</v>
      </c>
      <c r="Z4194" s="7">
        <v>46.313000000000002</v>
      </c>
      <c r="AA4194" s="6">
        <v>154.49</v>
      </c>
      <c r="AB4194" s="7">
        <v>26.667000000000002</v>
      </c>
      <c r="AC4194" s="6">
        <v>105.16</v>
      </c>
    </row>
    <row r="4195" spans="1:29" ht="39" x14ac:dyDescent="0.15">
      <c r="A4195" s="3">
        <f t="shared" si="76"/>
        <v>36087</v>
      </c>
      <c r="B4195" s="3">
        <f>DATE(1999,3,1)</f>
        <v>36220</v>
      </c>
      <c r="C4195" s="2" t="s">
        <v>95</v>
      </c>
      <c r="D4195" s="2" t="s">
        <v>13068</v>
      </c>
      <c r="E4195" s="2" t="s">
        <v>11176</v>
      </c>
      <c r="F4195" s="4">
        <v>3669</v>
      </c>
      <c r="G4195" s="2" t="s">
        <v>921</v>
      </c>
      <c r="H4195" s="2" t="s">
        <v>34</v>
      </c>
      <c r="I4195" s="2" t="s">
        <v>10177</v>
      </c>
      <c r="J4195" s="2" t="s">
        <v>10178</v>
      </c>
      <c r="K4195" s="2" t="s">
        <v>137</v>
      </c>
      <c r="L4195" s="2" t="s">
        <v>34</v>
      </c>
      <c r="M4195" s="8">
        <v>142170</v>
      </c>
      <c r="N4195" s="4">
        <v>85</v>
      </c>
      <c r="O4195" s="7">
        <v>84.563000000000002</v>
      </c>
      <c r="P4195" s="2" t="s">
        <v>13069</v>
      </c>
      <c r="Q4195" s="6">
        <v>100</v>
      </c>
      <c r="R4195" s="6">
        <v>6</v>
      </c>
      <c r="S4195" s="5">
        <v>-13.6</v>
      </c>
      <c r="T4195" s="7">
        <v>-6.1040000000000001</v>
      </c>
      <c r="U4195" s="5">
        <v>4.9000000000000004</v>
      </c>
      <c r="V4195" s="6">
        <v>-0.47</v>
      </c>
      <c r="W4195" s="7">
        <v>3.125</v>
      </c>
      <c r="X4195" s="6">
        <v>4.25</v>
      </c>
      <c r="Y4195" s="5">
        <v>5.5</v>
      </c>
      <c r="Z4195" s="7">
        <v>5.5780000000000003</v>
      </c>
      <c r="AA4195" s="6">
        <v>30.33</v>
      </c>
      <c r="AB4195" s="2" t="s">
        <v>86</v>
      </c>
      <c r="AC4195" s="8">
        <v>9927</v>
      </c>
    </row>
    <row r="4196" spans="1:29" ht="65" x14ac:dyDescent="0.15">
      <c r="A4196" s="3">
        <f>DATE(1998,10,20)</f>
        <v>36088</v>
      </c>
      <c r="B4196" s="2"/>
      <c r="C4196" s="2" t="s">
        <v>141</v>
      </c>
      <c r="D4196" s="2" t="s">
        <v>13070</v>
      </c>
      <c r="E4196" s="2" t="s">
        <v>13071</v>
      </c>
      <c r="F4196" s="4">
        <v>4822</v>
      </c>
      <c r="G4196" s="2" t="s">
        <v>63</v>
      </c>
      <c r="H4196" s="2" t="s">
        <v>34</v>
      </c>
      <c r="I4196" s="2" t="s">
        <v>143</v>
      </c>
      <c r="J4196" s="2" t="s">
        <v>144</v>
      </c>
      <c r="K4196" s="2" t="s">
        <v>53</v>
      </c>
      <c r="L4196" s="2" t="s">
        <v>139</v>
      </c>
      <c r="M4196" s="2"/>
      <c r="N4196" s="2"/>
      <c r="O4196" s="2"/>
      <c r="P4196" s="2" t="s">
        <v>13072</v>
      </c>
      <c r="Q4196" s="2"/>
      <c r="R4196" s="2"/>
      <c r="S4196" s="5">
        <v>7.4</v>
      </c>
      <c r="T4196" s="6">
        <v>16.649999999999999</v>
      </c>
      <c r="U4196" s="5">
        <v>5.5</v>
      </c>
      <c r="V4196" s="6">
        <v>0.59</v>
      </c>
      <c r="W4196" s="7">
        <v>30.625</v>
      </c>
      <c r="X4196" s="7">
        <v>30.437999999999999</v>
      </c>
      <c r="Y4196" s="5">
        <v>26.5</v>
      </c>
      <c r="Z4196" s="6">
        <v>27.75</v>
      </c>
      <c r="AA4196" s="6">
        <v>12.69</v>
      </c>
      <c r="AB4196" s="2" t="s">
        <v>47</v>
      </c>
      <c r="AC4196" s="2"/>
    </row>
    <row r="4197" spans="1:29" ht="78" x14ac:dyDescent="0.15">
      <c r="A4197" s="3">
        <f>DATE(1998,10,21)</f>
        <v>36089</v>
      </c>
      <c r="B4197" s="3">
        <f>DATE(1998,11,30)</f>
        <v>36129</v>
      </c>
      <c r="C4197" s="2" t="s">
        <v>95</v>
      </c>
      <c r="D4197" s="2" t="s">
        <v>13073</v>
      </c>
      <c r="E4197" s="2" t="s">
        <v>13074</v>
      </c>
      <c r="F4197" s="4">
        <v>6153</v>
      </c>
      <c r="G4197" s="2" t="s">
        <v>370</v>
      </c>
      <c r="H4197" s="2" t="s">
        <v>34</v>
      </c>
      <c r="I4197" s="2" t="s">
        <v>13075</v>
      </c>
      <c r="J4197" s="2" t="s">
        <v>1181</v>
      </c>
      <c r="K4197" s="2" t="s">
        <v>37</v>
      </c>
      <c r="L4197" s="2" t="s">
        <v>34</v>
      </c>
      <c r="M4197" s="2"/>
      <c r="N4197" s="2"/>
      <c r="O4197" s="2"/>
      <c r="P4197" s="2" t="s">
        <v>13076</v>
      </c>
      <c r="Q4197" s="6">
        <v>12.69</v>
      </c>
      <c r="R4197" s="6">
        <v>17.5</v>
      </c>
      <c r="S4197" s="5">
        <v>11.7</v>
      </c>
      <c r="T4197" s="7">
        <v>20.498999999999999</v>
      </c>
      <c r="U4197" s="5">
        <v>6</v>
      </c>
      <c r="V4197" s="6">
        <v>0.93</v>
      </c>
      <c r="W4197" s="7">
        <v>16.062999999999999</v>
      </c>
      <c r="X4197" s="7">
        <v>16.405999999999999</v>
      </c>
      <c r="Y4197" s="6">
        <v>17.25</v>
      </c>
      <c r="Z4197" s="7">
        <v>17.437999999999999</v>
      </c>
      <c r="AA4197" s="6">
        <v>12.31</v>
      </c>
      <c r="AB4197" s="7">
        <v>43.091000000000001</v>
      </c>
      <c r="AC4197" s="2"/>
    </row>
    <row r="4198" spans="1:29" ht="78" x14ac:dyDescent="0.15">
      <c r="A4198" s="3">
        <f>DATE(1998,10,21)</f>
        <v>36089</v>
      </c>
      <c r="B4198" s="2"/>
      <c r="C4198" s="2" t="s">
        <v>30</v>
      </c>
      <c r="D4198" s="2" t="s">
        <v>13077</v>
      </c>
      <c r="E4198" s="2" t="s">
        <v>8742</v>
      </c>
      <c r="F4198" s="4">
        <v>8082</v>
      </c>
      <c r="G4198" s="2" t="s">
        <v>454</v>
      </c>
      <c r="H4198" s="2" t="s">
        <v>34</v>
      </c>
      <c r="I4198" s="2" t="s">
        <v>7577</v>
      </c>
      <c r="J4198" s="2" t="s">
        <v>244</v>
      </c>
      <c r="K4198" s="2" t="s">
        <v>53</v>
      </c>
      <c r="L4198" s="2" t="s">
        <v>34</v>
      </c>
      <c r="M4198" s="2"/>
      <c r="N4198" s="2"/>
      <c r="O4198" s="2"/>
      <c r="P4198" s="2" t="s">
        <v>13078</v>
      </c>
      <c r="Q4198" s="2"/>
      <c r="R4198" s="6">
        <v>16</v>
      </c>
      <c r="S4198" s="5">
        <v>5.3</v>
      </c>
      <c r="T4198" s="7">
        <v>23.866</v>
      </c>
      <c r="U4198" s="5">
        <v>9.6999999999999993</v>
      </c>
      <c r="V4198" s="7">
        <v>0.36099999999999999</v>
      </c>
      <c r="W4198" s="7">
        <v>7.5629999999999997</v>
      </c>
      <c r="X4198" s="5">
        <v>8.5</v>
      </c>
      <c r="Y4198" s="5">
        <v>8.5</v>
      </c>
      <c r="Z4198" s="6">
        <v>14.25</v>
      </c>
      <c r="AA4198" s="6">
        <v>11.92</v>
      </c>
      <c r="AB4198" s="7">
        <v>18.516999999999999</v>
      </c>
      <c r="AC4198" s="2"/>
    </row>
    <row r="4199" spans="1:29" ht="117" x14ac:dyDescent="0.15">
      <c r="A4199" s="3">
        <f>DATE(1998,10,21)</f>
        <v>36089</v>
      </c>
      <c r="B4199" s="3">
        <f>DATE(1999,3,31)</f>
        <v>36250</v>
      </c>
      <c r="C4199" s="2" t="s">
        <v>95</v>
      </c>
      <c r="D4199" s="2" t="s">
        <v>11786</v>
      </c>
      <c r="E4199" s="2" t="s">
        <v>36</v>
      </c>
      <c r="F4199" s="4">
        <v>6035</v>
      </c>
      <c r="G4199" s="2" t="s">
        <v>33</v>
      </c>
      <c r="H4199" s="2" t="s">
        <v>34</v>
      </c>
      <c r="I4199" s="2" t="s">
        <v>13079</v>
      </c>
      <c r="J4199" s="2" t="s">
        <v>263</v>
      </c>
      <c r="K4199" s="2" t="s">
        <v>37</v>
      </c>
      <c r="L4199" s="2" t="s">
        <v>34</v>
      </c>
      <c r="M4199" s="7">
        <v>405.80799999999999</v>
      </c>
      <c r="N4199" s="7">
        <v>14.438000000000001</v>
      </c>
      <c r="O4199" s="4">
        <v>15</v>
      </c>
      <c r="P4199" s="2" t="s">
        <v>13080</v>
      </c>
      <c r="Q4199" s="6">
        <v>100</v>
      </c>
      <c r="R4199" s="6">
        <v>21.75</v>
      </c>
      <c r="S4199" s="5">
        <v>2</v>
      </c>
      <c r="T4199" s="6">
        <v>4.0599999999999996</v>
      </c>
      <c r="U4199" s="5">
        <v>11.3</v>
      </c>
      <c r="V4199" s="6">
        <v>0.94</v>
      </c>
      <c r="W4199" s="6">
        <v>18.25</v>
      </c>
      <c r="X4199" s="4">
        <v>19</v>
      </c>
      <c r="Y4199" s="4">
        <v>20</v>
      </c>
      <c r="Z4199" s="4">
        <v>20</v>
      </c>
      <c r="AA4199" s="6">
        <v>1.82</v>
      </c>
      <c r="AB4199" s="7">
        <v>23.620999999999999</v>
      </c>
      <c r="AC4199" s="2"/>
    </row>
    <row r="4200" spans="1:29" ht="143" x14ac:dyDescent="0.15">
      <c r="A4200" s="3">
        <f>DATE(1998,10,21)</f>
        <v>36089</v>
      </c>
      <c r="B4200" s="3">
        <f>DATE(1999,3,24)</f>
        <v>36243</v>
      </c>
      <c r="C4200" s="2" t="s">
        <v>95</v>
      </c>
      <c r="D4200" s="2" t="s">
        <v>1076</v>
      </c>
      <c r="E4200" s="2" t="s">
        <v>1077</v>
      </c>
      <c r="F4200" s="4">
        <v>2657</v>
      </c>
      <c r="G4200" s="2" t="s">
        <v>282</v>
      </c>
      <c r="H4200" s="2" t="s">
        <v>34</v>
      </c>
      <c r="I4200" s="2" t="s">
        <v>578</v>
      </c>
      <c r="J4200" s="2" t="s">
        <v>579</v>
      </c>
      <c r="K4200" s="2" t="s">
        <v>237</v>
      </c>
      <c r="L4200" s="2" t="s">
        <v>34</v>
      </c>
      <c r="M4200" s="12">
        <v>7612.8760000000002</v>
      </c>
      <c r="N4200" s="6">
        <v>43.25</v>
      </c>
      <c r="O4200" s="6">
        <v>44.25</v>
      </c>
      <c r="P4200" s="2" t="s">
        <v>13081</v>
      </c>
      <c r="Q4200" s="6">
        <v>100</v>
      </c>
      <c r="R4200" s="6">
        <v>38.68</v>
      </c>
      <c r="S4200" s="5">
        <v>142.5</v>
      </c>
      <c r="T4200" s="7">
        <v>218.322</v>
      </c>
      <c r="U4200" s="5">
        <v>7</v>
      </c>
      <c r="V4200" s="6">
        <v>0.95</v>
      </c>
      <c r="W4200" s="7">
        <v>23.375</v>
      </c>
      <c r="X4200" s="7">
        <v>25.875</v>
      </c>
      <c r="Y4200" s="4">
        <v>32</v>
      </c>
      <c r="Z4200" s="6">
        <v>32.75</v>
      </c>
      <c r="AA4200" s="6">
        <v>149.94999999999999</v>
      </c>
      <c r="AB4200" s="7">
        <v>60.716999999999999</v>
      </c>
      <c r="AC4200" s="6">
        <v>36.1</v>
      </c>
    </row>
    <row r="4201" spans="1:29" ht="104" x14ac:dyDescent="0.15">
      <c r="A4201" s="3">
        <f>DATE(1998,10,22)</f>
        <v>36090</v>
      </c>
      <c r="B4201" s="3">
        <f>DATE(1999,4,29)</f>
        <v>36279</v>
      </c>
      <c r="C4201" s="2" t="s">
        <v>95</v>
      </c>
      <c r="D4201" s="2" t="s">
        <v>13082</v>
      </c>
      <c r="E4201" s="2" t="s">
        <v>6357</v>
      </c>
      <c r="F4201" s="4">
        <v>7374</v>
      </c>
      <c r="G4201" s="2" t="s">
        <v>223</v>
      </c>
      <c r="H4201" s="2" t="s">
        <v>34</v>
      </c>
      <c r="I4201" s="2" t="s">
        <v>13083</v>
      </c>
      <c r="J4201" s="2" t="s">
        <v>1181</v>
      </c>
      <c r="K4201" s="2" t="s">
        <v>37</v>
      </c>
      <c r="L4201" s="2" t="s">
        <v>34</v>
      </c>
      <c r="M4201" s="2"/>
      <c r="N4201" s="2"/>
      <c r="O4201" s="2"/>
      <c r="P4201" s="2" t="s">
        <v>13084</v>
      </c>
      <c r="Q4201" s="6">
        <v>32.799999999999997</v>
      </c>
      <c r="R4201" s="6">
        <v>20.5</v>
      </c>
      <c r="S4201" s="5">
        <v>39.700000000000003</v>
      </c>
      <c r="T4201" s="6">
        <v>75.489999999999995</v>
      </c>
      <c r="U4201" s="5">
        <v>6.6</v>
      </c>
      <c r="V4201" s="6">
        <v>0.82</v>
      </c>
      <c r="W4201" s="6">
        <v>13.12</v>
      </c>
      <c r="X4201" s="6">
        <v>13.93</v>
      </c>
      <c r="Y4201" s="7">
        <v>13.625</v>
      </c>
      <c r="Z4201" s="11">
        <v>15.703125</v>
      </c>
      <c r="AA4201" s="6">
        <v>48.67</v>
      </c>
      <c r="AB4201" s="7">
        <v>15.333</v>
      </c>
      <c r="AC4201" s="2"/>
    </row>
    <row r="4202" spans="1:29" ht="117" x14ac:dyDescent="0.15">
      <c r="A4202" s="3">
        <f>DATE(1998,10,22)</f>
        <v>36090</v>
      </c>
      <c r="B4202" s="3">
        <f>DATE(1999,3,17)</f>
        <v>36236</v>
      </c>
      <c r="C4202" s="2" t="s">
        <v>95</v>
      </c>
      <c r="D4202" s="2" t="s">
        <v>13085</v>
      </c>
      <c r="E4202" s="2" t="s">
        <v>2455</v>
      </c>
      <c r="F4202" s="4">
        <v>3845</v>
      </c>
      <c r="G4202" s="2" t="s">
        <v>226</v>
      </c>
      <c r="H4202" s="2" t="s">
        <v>34</v>
      </c>
      <c r="I4202" s="2" t="s">
        <v>13086</v>
      </c>
      <c r="J4202" s="2" t="s">
        <v>7648</v>
      </c>
      <c r="K4202" s="2" t="s">
        <v>226</v>
      </c>
      <c r="L4202" s="2" t="s">
        <v>34</v>
      </c>
      <c r="M4202" s="7">
        <v>153.477</v>
      </c>
      <c r="N4202" s="7">
        <v>8.625</v>
      </c>
      <c r="O4202" s="9">
        <v>8.5625</v>
      </c>
      <c r="P4202" s="2" t="s">
        <v>13087</v>
      </c>
      <c r="Q4202" s="6">
        <v>100</v>
      </c>
      <c r="R4202" s="6">
        <v>7.03</v>
      </c>
      <c r="S4202" s="5">
        <v>-18</v>
      </c>
      <c r="T4202" s="7">
        <v>-19.934999999999999</v>
      </c>
      <c r="U4202" s="5">
        <v>3.7</v>
      </c>
      <c r="V4202" s="6">
        <v>-1.49</v>
      </c>
      <c r="W4202" s="6">
        <v>2.75</v>
      </c>
      <c r="X4202" s="7">
        <v>2.2189999999999999</v>
      </c>
      <c r="Y4202" s="7">
        <v>6.4379999999999997</v>
      </c>
      <c r="Z4202" s="6">
        <v>5.75</v>
      </c>
      <c r="AA4202" s="6">
        <v>12.21</v>
      </c>
      <c r="AB4202" s="2" t="s">
        <v>86</v>
      </c>
      <c r="AC4202" s="6">
        <v>35.19</v>
      </c>
    </row>
    <row r="4203" spans="1:29" ht="195" x14ac:dyDescent="0.15">
      <c r="A4203" s="3">
        <f>DATE(1998,10,22)</f>
        <v>36090</v>
      </c>
      <c r="B4203" s="3">
        <f>DATE(1999,3,31)</f>
        <v>36250</v>
      </c>
      <c r="C4203" s="2" t="s">
        <v>95</v>
      </c>
      <c r="D4203" s="2" t="s">
        <v>13088</v>
      </c>
      <c r="E4203" s="2" t="s">
        <v>13089</v>
      </c>
      <c r="F4203" s="4">
        <v>3351</v>
      </c>
      <c r="G4203" s="2" t="s">
        <v>163</v>
      </c>
      <c r="H4203" s="2" t="s">
        <v>34</v>
      </c>
      <c r="I4203" s="2" t="s">
        <v>13090</v>
      </c>
      <c r="J4203" s="2" t="s">
        <v>13091</v>
      </c>
      <c r="K4203" s="2" t="s">
        <v>163</v>
      </c>
      <c r="L4203" s="2" t="s">
        <v>34</v>
      </c>
      <c r="M4203" s="7">
        <v>777.95399999999995</v>
      </c>
      <c r="N4203" s="6">
        <v>42.25</v>
      </c>
      <c r="O4203" s="7">
        <v>41.813000000000002</v>
      </c>
      <c r="P4203" s="2" t="s">
        <v>13092</v>
      </c>
      <c r="Q4203" s="6">
        <v>100</v>
      </c>
      <c r="R4203" s="6">
        <v>32</v>
      </c>
      <c r="S4203" s="5">
        <v>84</v>
      </c>
      <c r="T4203" s="7">
        <v>211.22499999999999</v>
      </c>
      <c r="U4203" s="5">
        <v>9.9</v>
      </c>
      <c r="V4203" s="6">
        <v>2.83</v>
      </c>
      <c r="W4203" s="5">
        <v>15.5</v>
      </c>
      <c r="X4203" s="7">
        <v>23.187999999999999</v>
      </c>
      <c r="Y4203" s="6">
        <v>27.75</v>
      </c>
      <c r="Z4203" s="7">
        <v>28.125</v>
      </c>
      <c r="AA4203" s="6">
        <v>29.53</v>
      </c>
      <c r="AB4203" s="7">
        <v>7.7210000000000001</v>
      </c>
      <c r="AC4203" s="2"/>
    </row>
    <row r="4204" spans="1:29" ht="130" x14ac:dyDescent="0.15">
      <c r="A4204" s="3">
        <f>DATE(1998,10,22)</f>
        <v>36090</v>
      </c>
      <c r="B4204" s="3">
        <f>DATE(1998,12,8)</f>
        <v>36137</v>
      </c>
      <c r="C4204" s="2" t="s">
        <v>95</v>
      </c>
      <c r="D4204" s="2" t="s">
        <v>13093</v>
      </c>
      <c r="E4204" s="2" t="s">
        <v>13094</v>
      </c>
      <c r="F4204" s="4">
        <v>8734</v>
      </c>
      <c r="G4204" s="2" t="s">
        <v>223</v>
      </c>
      <c r="H4204" s="2" t="s">
        <v>34</v>
      </c>
      <c r="I4204" s="2" t="s">
        <v>13095</v>
      </c>
      <c r="J4204" s="2" t="s">
        <v>1739</v>
      </c>
      <c r="K4204" s="2" t="s">
        <v>223</v>
      </c>
      <c r="L4204" s="2" t="s">
        <v>34</v>
      </c>
      <c r="M4204" s="7">
        <v>403.267</v>
      </c>
      <c r="N4204" s="5">
        <v>24.5</v>
      </c>
      <c r="O4204" s="7">
        <v>24.625</v>
      </c>
      <c r="P4204" s="2" t="s">
        <v>13096</v>
      </c>
      <c r="Q4204" s="6">
        <v>100</v>
      </c>
      <c r="R4204" s="6">
        <v>6.31</v>
      </c>
      <c r="S4204" s="5">
        <v>1.7</v>
      </c>
      <c r="T4204" s="6">
        <v>3.65</v>
      </c>
      <c r="U4204" s="5">
        <v>2.2999999999999998</v>
      </c>
      <c r="V4204" s="7">
        <v>0.36299999999999999</v>
      </c>
      <c r="W4204" s="7">
        <v>3.3130000000000002</v>
      </c>
      <c r="X4204" s="4">
        <v>4</v>
      </c>
      <c r="Y4204" s="5">
        <v>4.5</v>
      </c>
      <c r="Z4204" s="7">
        <v>4.5629999999999997</v>
      </c>
      <c r="AA4204" s="6">
        <v>5.64</v>
      </c>
      <c r="AB4204" s="7">
        <v>12.384</v>
      </c>
      <c r="AC4204" s="6">
        <v>6.92</v>
      </c>
    </row>
    <row r="4205" spans="1:29" ht="117" x14ac:dyDescent="0.15">
      <c r="A4205" s="3">
        <f>DATE(1998,10,22)</f>
        <v>36090</v>
      </c>
      <c r="B4205" s="3">
        <f>DATE(1999,2,12)</f>
        <v>36203</v>
      </c>
      <c r="C4205" s="2" t="s">
        <v>95</v>
      </c>
      <c r="D4205" s="2" t="s">
        <v>10853</v>
      </c>
      <c r="E4205" s="2" t="s">
        <v>7969</v>
      </c>
      <c r="F4205" s="4">
        <v>3648</v>
      </c>
      <c r="G4205" s="2" t="s">
        <v>137</v>
      </c>
      <c r="H4205" s="2" t="s">
        <v>34</v>
      </c>
      <c r="I4205" s="2" t="s">
        <v>13097</v>
      </c>
      <c r="J4205" s="2" t="s">
        <v>9897</v>
      </c>
      <c r="K4205" s="2" t="s">
        <v>137</v>
      </c>
      <c r="L4205" s="2" t="s">
        <v>34</v>
      </c>
      <c r="M4205" s="2"/>
      <c r="N4205" s="9">
        <v>22.3125</v>
      </c>
      <c r="O4205" s="9">
        <v>24.9375</v>
      </c>
      <c r="P4205" s="2" t="s">
        <v>13098</v>
      </c>
      <c r="Q4205" s="6">
        <v>100</v>
      </c>
      <c r="R4205" s="6">
        <v>7.75</v>
      </c>
      <c r="S4205" s="5">
        <v>-4.9000000000000004</v>
      </c>
      <c r="T4205" s="7">
        <v>8.0969999999999995</v>
      </c>
      <c r="U4205" s="5">
        <v>0.4</v>
      </c>
      <c r="V4205" s="6">
        <v>-0.44</v>
      </c>
      <c r="W4205" s="7">
        <v>5.125</v>
      </c>
      <c r="X4205" s="4">
        <v>6</v>
      </c>
      <c r="Y4205" s="7">
        <v>7.375</v>
      </c>
      <c r="Z4205" s="5">
        <v>7.5</v>
      </c>
      <c r="AA4205" s="6">
        <v>20.71</v>
      </c>
      <c r="AB4205" s="7">
        <v>23.774000000000001</v>
      </c>
      <c r="AC4205" s="2"/>
    </row>
    <row r="4206" spans="1:29" ht="78" x14ac:dyDescent="0.15">
      <c r="A4206" s="3">
        <f>DATE(1998,10,25)</f>
        <v>36093</v>
      </c>
      <c r="B4206" s="3">
        <f>DATE(1999,1,18)</f>
        <v>36178</v>
      </c>
      <c r="C4206" s="2" t="s">
        <v>95</v>
      </c>
      <c r="D4206" s="2" t="s">
        <v>13099</v>
      </c>
      <c r="E4206" s="2" t="s">
        <v>13100</v>
      </c>
      <c r="F4206" s="4">
        <v>2834</v>
      </c>
      <c r="G4206" s="2" t="s">
        <v>130</v>
      </c>
      <c r="H4206" s="2" t="s">
        <v>34</v>
      </c>
      <c r="I4206" s="2" t="s">
        <v>6055</v>
      </c>
      <c r="J4206" s="2" t="s">
        <v>6056</v>
      </c>
      <c r="K4206" s="2" t="s">
        <v>130</v>
      </c>
      <c r="L4206" s="2" t="s">
        <v>34</v>
      </c>
      <c r="M4206" s="12">
        <v>4509.4870000000001</v>
      </c>
      <c r="N4206" s="6">
        <v>50.75</v>
      </c>
      <c r="O4206" s="6">
        <v>50.75</v>
      </c>
      <c r="P4206" s="2" t="s">
        <v>13101</v>
      </c>
      <c r="Q4206" s="6">
        <v>100</v>
      </c>
      <c r="R4206" s="6">
        <v>13.91</v>
      </c>
      <c r="S4206" s="5">
        <v>5.9</v>
      </c>
      <c r="T4206" s="5">
        <v>8.3000000000000007</v>
      </c>
      <c r="U4206" s="5">
        <v>2.1</v>
      </c>
      <c r="V4206" s="6">
        <v>0.27</v>
      </c>
      <c r="W4206" s="6">
        <v>8.25</v>
      </c>
      <c r="X4206" s="6">
        <v>9.75</v>
      </c>
      <c r="Y4206" s="7">
        <v>12.875</v>
      </c>
      <c r="Z4206" s="7">
        <v>12.875</v>
      </c>
      <c r="AA4206" s="6">
        <v>21.29</v>
      </c>
      <c r="AB4206" s="7">
        <v>55.917000000000002</v>
      </c>
      <c r="AC4206" s="6">
        <v>114.94</v>
      </c>
    </row>
    <row r="4207" spans="1:29" ht="117" x14ac:dyDescent="0.15">
      <c r="A4207" s="3">
        <f>DATE(1998,10,26)</f>
        <v>36094</v>
      </c>
      <c r="B4207" s="3">
        <f>DATE(1999,4,22)</f>
        <v>36272</v>
      </c>
      <c r="C4207" s="2" t="s">
        <v>95</v>
      </c>
      <c r="D4207" s="2" t="s">
        <v>11906</v>
      </c>
      <c r="E4207" s="2" t="s">
        <v>11907</v>
      </c>
      <c r="F4207" s="4">
        <v>5735</v>
      </c>
      <c r="G4207" s="2" t="s">
        <v>1227</v>
      </c>
      <c r="H4207" s="2" t="s">
        <v>34</v>
      </c>
      <c r="I4207" s="2" t="s">
        <v>13102</v>
      </c>
      <c r="J4207" s="2" t="s">
        <v>13103</v>
      </c>
      <c r="K4207" s="2" t="s">
        <v>1227</v>
      </c>
      <c r="L4207" s="2" t="s">
        <v>34</v>
      </c>
      <c r="M4207" s="7">
        <v>603.58600000000001</v>
      </c>
      <c r="N4207" s="7">
        <v>20.125</v>
      </c>
      <c r="O4207" s="7">
        <v>20.562999999999999</v>
      </c>
      <c r="P4207" s="2" t="s">
        <v>13104</v>
      </c>
      <c r="Q4207" s="6">
        <v>100</v>
      </c>
      <c r="R4207" s="6">
        <v>39.19</v>
      </c>
      <c r="S4207" s="5">
        <v>-64.400000000000006</v>
      </c>
      <c r="T4207" s="7">
        <v>11.205</v>
      </c>
      <c r="U4207" s="2"/>
      <c r="V4207" s="6">
        <v>-64.36</v>
      </c>
      <c r="W4207" s="4">
        <v>26</v>
      </c>
      <c r="X4207" s="5">
        <v>24.5</v>
      </c>
      <c r="Y4207" s="4">
        <v>36</v>
      </c>
      <c r="Z4207" s="7">
        <v>34.875</v>
      </c>
      <c r="AA4207" s="6">
        <v>10.18</v>
      </c>
      <c r="AB4207" s="2" t="s">
        <v>86</v>
      </c>
      <c r="AC4207" s="6">
        <v>94.73</v>
      </c>
    </row>
    <row r="4208" spans="1:29" ht="104" x14ac:dyDescent="0.15">
      <c r="A4208" s="3">
        <f>DATE(1998,10,26)</f>
        <v>36094</v>
      </c>
      <c r="B4208" s="3">
        <f>DATE(1999,3,19)</f>
        <v>36238</v>
      </c>
      <c r="C4208" s="2" t="s">
        <v>95</v>
      </c>
      <c r="D4208" s="2" t="s">
        <v>13105</v>
      </c>
      <c r="E4208" s="2" t="s">
        <v>13106</v>
      </c>
      <c r="F4208" s="4">
        <v>2836</v>
      </c>
      <c r="G4208" s="2" t="s">
        <v>130</v>
      </c>
      <c r="H4208" s="2" t="s">
        <v>34</v>
      </c>
      <c r="I4208" s="2" t="s">
        <v>13107</v>
      </c>
      <c r="J4208" s="2" t="s">
        <v>13108</v>
      </c>
      <c r="K4208" s="2" t="s">
        <v>223</v>
      </c>
      <c r="L4208" s="2" t="s">
        <v>34</v>
      </c>
      <c r="M4208" s="7">
        <v>66.031999999999996</v>
      </c>
      <c r="N4208" s="7">
        <v>4.375</v>
      </c>
      <c r="O4208" s="5">
        <v>4.5</v>
      </c>
      <c r="P4208" s="2" t="s">
        <v>13109</v>
      </c>
      <c r="Q4208" s="6">
        <v>100</v>
      </c>
      <c r="R4208" s="6">
        <v>2.39</v>
      </c>
      <c r="S4208" s="5">
        <v>-14.2</v>
      </c>
      <c r="T4208" s="7">
        <v>-13.178000000000001</v>
      </c>
      <c r="U4208" s="5">
        <v>1.1000000000000001</v>
      </c>
      <c r="V4208" s="7">
        <v>-0.997</v>
      </c>
      <c r="W4208" s="7">
        <v>2.125</v>
      </c>
      <c r="X4208" s="4">
        <v>2</v>
      </c>
      <c r="Y4208" s="7">
        <v>2.2810000000000001</v>
      </c>
      <c r="Z4208" s="7">
        <v>2.1880000000000002</v>
      </c>
      <c r="AA4208" s="6">
        <v>14.58</v>
      </c>
      <c r="AB4208" s="2" t="s">
        <v>86</v>
      </c>
      <c r="AC4208" s="6">
        <v>22.97</v>
      </c>
    </row>
    <row r="4209" spans="1:29" ht="91" x14ac:dyDescent="0.15">
      <c r="A4209" s="3">
        <f>DATE(1998,10,26)</f>
        <v>36094</v>
      </c>
      <c r="B4209" s="3">
        <f>DATE(1999,4,20)</f>
        <v>36270</v>
      </c>
      <c r="C4209" s="2" t="s">
        <v>95</v>
      </c>
      <c r="D4209" s="2" t="s">
        <v>13110</v>
      </c>
      <c r="E4209" s="2" t="s">
        <v>13111</v>
      </c>
      <c r="F4209" s="4">
        <v>7372</v>
      </c>
      <c r="G4209" s="2" t="s">
        <v>551</v>
      </c>
      <c r="H4209" s="2" t="s">
        <v>34</v>
      </c>
      <c r="I4209" s="2" t="s">
        <v>13112</v>
      </c>
      <c r="J4209" s="2" t="s">
        <v>7760</v>
      </c>
      <c r="K4209" s="2" t="s">
        <v>551</v>
      </c>
      <c r="L4209" s="2" t="s">
        <v>34</v>
      </c>
      <c r="M4209" s="12">
        <v>1878.367</v>
      </c>
      <c r="N4209" s="7">
        <v>35.125</v>
      </c>
      <c r="O4209" s="7">
        <v>38.375</v>
      </c>
      <c r="P4209" s="2" t="s">
        <v>13113</v>
      </c>
      <c r="Q4209" s="6">
        <v>100</v>
      </c>
      <c r="R4209" s="2"/>
      <c r="S4209" s="5">
        <v>-6.4</v>
      </c>
      <c r="T4209" s="7">
        <v>-6.3150000000000004</v>
      </c>
      <c r="U4209" s="5">
        <v>1.4</v>
      </c>
      <c r="V4209" s="6">
        <v>-0.62</v>
      </c>
      <c r="W4209" s="6">
        <v>1.25</v>
      </c>
      <c r="X4209" s="4">
        <v>2</v>
      </c>
      <c r="Y4209" s="7">
        <v>4.5629999999999997</v>
      </c>
      <c r="Z4209" s="7">
        <v>4.5629999999999997</v>
      </c>
      <c r="AA4209" s="6">
        <v>10.68</v>
      </c>
      <c r="AB4209" s="2" t="s">
        <v>86</v>
      </c>
      <c r="AC4209" s="6">
        <v>62.91</v>
      </c>
    </row>
    <row r="4210" spans="1:29" ht="104" x14ac:dyDescent="0.15">
      <c r="A4210" s="3">
        <f>DATE(1998,10,27)</f>
        <v>36095</v>
      </c>
      <c r="B4210" s="3">
        <f>DATE(1998,12,14)</f>
        <v>36143</v>
      </c>
      <c r="C4210" s="2" t="s">
        <v>95</v>
      </c>
      <c r="D4210" s="2" t="s">
        <v>13114</v>
      </c>
      <c r="E4210" s="2" t="s">
        <v>13115</v>
      </c>
      <c r="F4210" s="4">
        <v>6331</v>
      </c>
      <c r="G4210" s="2" t="s">
        <v>125</v>
      </c>
      <c r="H4210" s="2" t="s">
        <v>34</v>
      </c>
      <c r="I4210" s="2" t="s">
        <v>9033</v>
      </c>
      <c r="J4210" s="2" t="s">
        <v>124</v>
      </c>
      <c r="K4210" s="2" t="s">
        <v>125</v>
      </c>
      <c r="L4210" s="2" t="s">
        <v>34</v>
      </c>
      <c r="M4210" s="2"/>
      <c r="N4210" s="7">
        <v>47.938000000000002</v>
      </c>
      <c r="O4210" s="4">
        <v>47</v>
      </c>
      <c r="P4210" s="2" t="s">
        <v>13116</v>
      </c>
      <c r="Q4210" s="6">
        <v>18.18</v>
      </c>
      <c r="R4210" s="6">
        <v>33.25</v>
      </c>
      <c r="S4210" s="5">
        <v>94.2</v>
      </c>
      <c r="T4210" s="2"/>
      <c r="U4210" s="5">
        <v>22.1</v>
      </c>
      <c r="V4210" s="6">
        <v>2.67</v>
      </c>
      <c r="W4210" s="7">
        <v>28.375</v>
      </c>
      <c r="X4210" s="7">
        <v>27.562999999999999</v>
      </c>
      <c r="Y4210" s="5">
        <v>29.5</v>
      </c>
      <c r="Z4210" s="7">
        <v>29.937999999999999</v>
      </c>
      <c r="AA4210" s="6">
        <v>35.28</v>
      </c>
      <c r="AB4210" s="7">
        <v>9.4990000000000006</v>
      </c>
      <c r="AC4210" s="5">
        <v>215.1</v>
      </c>
    </row>
    <row r="4211" spans="1:29" ht="91" x14ac:dyDescent="0.15">
      <c r="A4211" s="3">
        <f>DATE(1998,10,27)</f>
        <v>36095</v>
      </c>
      <c r="B4211" s="3">
        <f>DATE(1999,4,1)</f>
        <v>36251</v>
      </c>
      <c r="C4211" s="2" t="s">
        <v>95</v>
      </c>
      <c r="D4211" s="2" t="s">
        <v>13117</v>
      </c>
      <c r="E4211" s="2" t="s">
        <v>13118</v>
      </c>
      <c r="F4211" s="4">
        <v>6211</v>
      </c>
      <c r="G4211" s="2" t="s">
        <v>53</v>
      </c>
      <c r="H4211" s="2" t="s">
        <v>34</v>
      </c>
      <c r="I4211" s="2" t="s">
        <v>2050</v>
      </c>
      <c r="J4211" s="2" t="s">
        <v>36</v>
      </c>
      <c r="K4211" s="2" t="s">
        <v>37</v>
      </c>
      <c r="L4211" s="2" t="s">
        <v>34</v>
      </c>
      <c r="M4211" s="12">
        <v>18221.661</v>
      </c>
      <c r="N4211" s="6">
        <v>82.75</v>
      </c>
      <c r="O4211" s="7">
        <v>85.375</v>
      </c>
      <c r="P4211" s="2" t="s">
        <v>13119</v>
      </c>
      <c r="Q4211" s="6">
        <v>100</v>
      </c>
      <c r="R4211" s="6">
        <v>32</v>
      </c>
      <c r="S4211" s="5">
        <v>14.7</v>
      </c>
      <c r="T4211" s="7">
        <v>28.228999999999999</v>
      </c>
      <c r="U4211" s="5">
        <v>16.8</v>
      </c>
      <c r="V4211" s="6">
        <v>2.16</v>
      </c>
      <c r="W4211" s="5">
        <v>28.5</v>
      </c>
      <c r="X4211" s="4">
        <v>34</v>
      </c>
      <c r="Y4211" s="4">
        <v>37</v>
      </c>
      <c r="Z4211" s="7">
        <v>30.562999999999999</v>
      </c>
      <c r="AA4211" s="6">
        <v>6.14</v>
      </c>
      <c r="AB4211" s="7">
        <v>11.811</v>
      </c>
      <c r="AC4211" s="2"/>
    </row>
    <row r="4212" spans="1:29" ht="117" x14ac:dyDescent="0.15">
      <c r="A4212" s="3">
        <f>DATE(1998,10,28)</f>
        <v>36096</v>
      </c>
      <c r="B4212" s="3">
        <f>DATE(1999,3,29)</f>
        <v>36248</v>
      </c>
      <c r="C4212" s="2" t="s">
        <v>95</v>
      </c>
      <c r="D4212" s="2" t="s">
        <v>13120</v>
      </c>
      <c r="E4212" s="2" t="s">
        <v>1181</v>
      </c>
      <c r="F4212" s="4">
        <v>6021</v>
      </c>
      <c r="G4212" s="2" t="s">
        <v>37</v>
      </c>
      <c r="H4212" s="2" t="s">
        <v>34</v>
      </c>
      <c r="I4212" s="2" t="s">
        <v>5615</v>
      </c>
      <c r="J4212" s="2" t="s">
        <v>672</v>
      </c>
      <c r="K4212" s="2" t="s">
        <v>37</v>
      </c>
      <c r="L4212" s="2" t="s">
        <v>34</v>
      </c>
      <c r="M4212" s="12">
        <v>1672.0830000000001</v>
      </c>
      <c r="N4212" s="7">
        <v>69.625</v>
      </c>
      <c r="O4212" s="7">
        <v>70.625</v>
      </c>
      <c r="P4212" s="2" t="s">
        <v>13121</v>
      </c>
      <c r="Q4212" s="6">
        <v>100</v>
      </c>
      <c r="R4212" s="6">
        <v>23.8</v>
      </c>
      <c r="S4212" s="5">
        <v>4.0999999999999996</v>
      </c>
      <c r="T4212" s="7">
        <v>7.8120000000000003</v>
      </c>
      <c r="U4212" s="5">
        <v>8.9</v>
      </c>
      <c r="V4212" s="6">
        <v>0.81</v>
      </c>
      <c r="W4212" s="6">
        <v>15.25</v>
      </c>
      <c r="X4212" s="7">
        <v>18.625</v>
      </c>
      <c r="Y4212" s="5">
        <v>19.5</v>
      </c>
      <c r="Z4212" s="5">
        <v>21.5</v>
      </c>
      <c r="AA4212" s="6">
        <v>4.9800000000000004</v>
      </c>
      <c r="AB4212" s="7">
        <v>42.78</v>
      </c>
      <c r="AC4212" s="2"/>
    </row>
    <row r="4213" spans="1:29" ht="130" x14ac:dyDescent="0.15">
      <c r="A4213" s="3">
        <f>DATE(1998,10,28)</f>
        <v>36096</v>
      </c>
      <c r="B4213" s="3">
        <f>DATE(1999,3,22)</f>
        <v>36241</v>
      </c>
      <c r="C4213" s="2" t="s">
        <v>95</v>
      </c>
      <c r="D4213" s="2" t="s">
        <v>13122</v>
      </c>
      <c r="E4213" s="2" t="s">
        <v>13123</v>
      </c>
      <c r="F4213" s="4">
        <v>3827</v>
      </c>
      <c r="G4213" s="2" t="s">
        <v>226</v>
      </c>
      <c r="H4213" s="2" t="s">
        <v>34</v>
      </c>
      <c r="I4213" s="2" t="s">
        <v>13124</v>
      </c>
      <c r="J4213" s="2" t="s">
        <v>13125</v>
      </c>
      <c r="K4213" s="2" t="s">
        <v>226</v>
      </c>
      <c r="L4213" s="2" t="s">
        <v>902</v>
      </c>
      <c r="M4213" s="2"/>
      <c r="N4213" s="2"/>
      <c r="O4213" s="2"/>
      <c r="P4213" s="2" t="s">
        <v>13126</v>
      </c>
      <c r="Q4213" s="6">
        <v>100</v>
      </c>
      <c r="R4213" s="6">
        <v>7.66</v>
      </c>
      <c r="S4213" s="5">
        <v>0.7</v>
      </c>
      <c r="T4213" s="7">
        <v>5.5960000000000001</v>
      </c>
      <c r="U4213" s="5">
        <v>6.3</v>
      </c>
      <c r="V4213" s="7">
        <v>6.7000000000000004E-2</v>
      </c>
      <c r="W4213" s="6">
        <v>4.25</v>
      </c>
      <c r="X4213" s="7">
        <v>5.125</v>
      </c>
      <c r="Y4213" s="7">
        <v>5.625</v>
      </c>
      <c r="Z4213" s="5">
        <v>5.5</v>
      </c>
      <c r="AA4213" s="6">
        <v>12.62</v>
      </c>
      <c r="AB4213" s="7">
        <v>77.631</v>
      </c>
      <c r="AC4213" s="6">
        <v>69.39</v>
      </c>
    </row>
    <row r="4214" spans="1:29" ht="143" x14ac:dyDescent="0.15">
      <c r="A4214" s="3">
        <f>DATE(1998,10,29)</f>
        <v>36097</v>
      </c>
      <c r="B4214" s="2"/>
      <c r="C4214" s="2" t="s">
        <v>30</v>
      </c>
      <c r="D4214" s="2" t="s">
        <v>13127</v>
      </c>
      <c r="E4214" s="2" t="s">
        <v>13128</v>
      </c>
      <c r="F4214" s="4">
        <v>3533</v>
      </c>
      <c r="G4214" s="2" t="s">
        <v>300</v>
      </c>
      <c r="H4214" s="2" t="s">
        <v>34</v>
      </c>
      <c r="I4214" s="2" t="s">
        <v>13129</v>
      </c>
      <c r="J4214" s="2" t="s">
        <v>13130</v>
      </c>
      <c r="K4214" s="2" t="s">
        <v>148</v>
      </c>
      <c r="L4214" s="2" t="s">
        <v>34</v>
      </c>
      <c r="M4214" s="7">
        <v>393.34899999999999</v>
      </c>
      <c r="N4214" s="7">
        <v>4.875</v>
      </c>
      <c r="O4214" s="7">
        <v>4.9379999999999997</v>
      </c>
      <c r="P4214" s="2" t="s">
        <v>13131</v>
      </c>
      <c r="Q4214" s="2"/>
      <c r="R4214" s="6">
        <v>3.96</v>
      </c>
      <c r="S4214" s="5">
        <v>9.5</v>
      </c>
      <c r="T4214" s="6">
        <v>18.510000000000002</v>
      </c>
      <c r="U4214" s="5">
        <v>3</v>
      </c>
      <c r="V4214" s="6">
        <v>0.43</v>
      </c>
      <c r="W4214" s="7">
        <v>3.875</v>
      </c>
      <c r="X4214" s="6">
        <v>4.25</v>
      </c>
      <c r="Y4214" s="7">
        <v>3.9380000000000002</v>
      </c>
      <c r="Z4214" s="7">
        <v>4.0309999999999997</v>
      </c>
      <c r="AA4214" s="6">
        <v>29.25</v>
      </c>
      <c r="AB4214" s="7">
        <v>8.2620000000000005</v>
      </c>
      <c r="AC4214" s="6">
        <v>55.25</v>
      </c>
    </row>
    <row r="4215" spans="1:29" ht="104" x14ac:dyDescent="0.15">
      <c r="A4215" s="3">
        <f>DATE(1998,10,29)</f>
        <v>36097</v>
      </c>
      <c r="B4215" s="3">
        <f>DATE(1998,12,31)</f>
        <v>36160</v>
      </c>
      <c r="C4215" s="2" t="s">
        <v>95</v>
      </c>
      <c r="D4215" s="2" t="s">
        <v>13132</v>
      </c>
      <c r="E4215" s="2" t="s">
        <v>13133</v>
      </c>
      <c r="F4215" s="4">
        <v>7372</v>
      </c>
      <c r="G4215" s="2" t="s">
        <v>551</v>
      </c>
      <c r="H4215" s="2" t="s">
        <v>34</v>
      </c>
      <c r="I4215" s="2" t="s">
        <v>13134</v>
      </c>
      <c r="J4215" s="2" t="s">
        <v>13135</v>
      </c>
      <c r="K4215" s="2" t="s">
        <v>551</v>
      </c>
      <c r="L4215" s="2" t="s">
        <v>34</v>
      </c>
      <c r="M4215" s="7">
        <v>448.43200000000002</v>
      </c>
      <c r="N4215" s="7">
        <v>23.125</v>
      </c>
      <c r="O4215" s="7">
        <v>22.562999999999999</v>
      </c>
      <c r="P4215" s="2" t="s">
        <v>13136</v>
      </c>
      <c r="Q4215" s="6">
        <v>100</v>
      </c>
      <c r="R4215" s="6">
        <v>13.58</v>
      </c>
      <c r="S4215" s="5">
        <v>5.3</v>
      </c>
      <c r="T4215" s="7">
        <v>18.370999999999999</v>
      </c>
      <c r="U4215" s="5">
        <v>4.0999999999999996</v>
      </c>
      <c r="V4215" s="6">
        <v>0.26</v>
      </c>
      <c r="W4215" s="7">
        <v>9.0630000000000006</v>
      </c>
      <c r="X4215" s="7">
        <v>8.625</v>
      </c>
      <c r="Y4215" s="7">
        <v>10.375</v>
      </c>
      <c r="Z4215" s="7">
        <v>10.438000000000001</v>
      </c>
      <c r="AA4215" s="6">
        <v>18.03</v>
      </c>
      <c r="AB4215" s="7">
        <v>13.548</v>
      </c>
      <c r="AC4215" s="6">
        <v>4.79</v>
      </c>
    </row>
    <row r="4216" spans="1:29" ht="52" x14ac:dyDescent="0.15">
      <c r="A4216" s="3">
        <f>DATE(1998,10,30)</f>
        <v>36098</v>
      </c>
      <c r="B4216" s="2"/>
      <c r="C4216" s="2" t="s">
        <v>7330</v>
      </c>
      <c r="D4216" s="2" t="s">
        <v>11439</v>
      </c>
      <c r="E4216" s="2" t="s">
        <v>11440</v>
      </c>
      <c r="F4216" s="4">
        <v>3589</v>
      </c>
      <c r="G4216" s="2" t="s">
        <v>300</v>
      </c>
      <c r="H4216" s="2" t="s">
        <v>34</v>
      </c>
      <c r="I4216" s="2" t="s">
        <v>11441</v>
      </c>
      <c r="J4216" s="2" t="s">
        <v>302</v>
      </c>
      <c r="K4216" s="2" t="s">
        <v>53</v>
      </c>
      <c r="L4216" s="2" t="s">
        <v>34</v>
      </c>
      <c r="M4216" s="2"/>
      <c r="N4216" s="2"/>
      <c r="O4216" s="2"/>
      <c r="P4216" s="2" t="s">
        <v>13137</v>
      </c>
      <c r="Q4216" s="2"/>
      <c r="R4216" s="6">
        <v>11</v>
      </c>
      <c r="S4216" s="5">
        <v>-1.2</v>
      </c>
      <c r="T4216" s="6">
        <v>-0.89</v>
      </c>
      <c r="U4216" s="5">
        <v>13.7</v>
      </c>
      <c r="V4216" s="6">
        <v>-0.41</v>
      </c>
      <c r="W4216" s="7">
        <v>10.593999999999999</v>
      </c>
      <c r="X4216" s="7">
        <v>10.593999999999999</v>
      </c>
      <c r="Y4216" s="2"/>
      <c r="Z4216" s="2"/>
      <c r="AA4216" s="6">
        <v>2.98</v>
      </c>
      <c r="AB4216" s="2" t="s">
        <v>86</v>
      </c>
      <c r="AC4216" s="2"/>
    </row>
    <row r="4217" spans="1:29" ht="182" x14ac:dyDescent="0.15">
      <c r="A4217" s="3">
        <f>DATE(1998,10,30)</f>
        <v>36098</v>
      </c>
      <c r="B4217" s="3">
        <f>DATE(1999,11,24)</f>
        <v>36488</v>
      </c>
      <c r="C4217" s="2" t="s">
        <v>95</v>
      </c>
      <c r="D4217" s="2" t="s">
        <v>13138</v>
      </c>
      <c r="E4217" s="2" t="s">
        <v>12427</v>
      </c>
      <c r="F4217" s="4">
        <v>1389</v>
      </c>
      <c r="G4217" s="2" t="s">
        <v>148</v>
      </c>
      <c r="H4217" s="2" t="s">
        <v>34</v>
      </c>
      <c r="I4217" s="2" t="s">
        <v>13046</v>
      </c>
      <c r="J4217" s="2" t="s">
        <v>13047</v>
      </c>
      <c r="K4217" s="2" t="s">
        <v>148</v>
      </c>
      <c r="L4217" s="2" t="s">
        <v>34</v>
      </c>
      <c r="M4217" s="12">
        <v>1461.0329999999999</v>
      </c>
      <c r="N4217" s="5">
        <v>18.5</v>
      </c>
      <c r="O4217" s="5">
        <v>19.5</v>
      </c>
      <c r="P4217" s="2" t="s">
        <v>13139</v>
      </c>
      <c r="Q4217" s="6">
        <v>95.33</v>
      </c>
      <c r="R4217" s="6">
        <v>16.46</v>
      </c>
      <c r="S4217" s="5">
        <v>21.8</v>
      </c>
      <c r="T4217" s="7">
        <v>83.828000000000003</v>
      </c>
      <c r="U4217" s="5">
        <v>13.9</v>
      </c>
      <c r="V4217" s="6">
        <v>1.05</v>
      </c>
      <c r="W4217" s="5">
        <v>9.5</v>
      </c>
      <c r="X4217" s="7">
        <v>11.813000000000001</v>
      </c>
      <c r="Y4217" s="11">
        <v>13.34375</v>
      </c>
      <c r="Z4217" s="9">
        <v>14.1875</v>
      </c>
      <c r="AA4217" s="6">
        <v>21.05</v>
      </c>
      <c r="AB4217" s="7">
        <v>11.129</v>
      </c>
      <c r="AC4217" s="2"/>
    </row>
    <row r="4218" spans="1:29" ht="52" x14ac:dyDescent="0.15">
      <c r="A4218" s="3">
        <f>DATE(1998,10,30)</f>
        <v>36098</v>
      </c>
      <c r="B4218" s="2"/>
      <c r="C4218" s="2" t="s">
        <v>30</v>
      </c>
      <c r="D4218" s="2" t="s">
        <v>13140</v>
      </c>
      <c r="E4218" s="2" t="s">
        <v>13141</v>
      </c>
      <c r="F4218" s="4">
        <v>2522</v>
      </c>
      <c r="G4218" s="2" t="s">
        <v>250</v>
      </c>
      <c r="H4218" s="2" t="s">
        <v>34</v>
      </c>
      <c r="I4218" s="2" t="s">
        <v>13142</v>
      </c>
      <c r="J4218" s="2" t="s">
        <v>13143</v>
      </c>
      <c r="K4218" s="2" t="s">
        <v>250</v>
      </c>
      <c r="L4218" s="2" t="s">
        <v>34</v>
      </c>
      <c r="M4218" s="2"/>
      <c r="N4218" s="2"/>
      <c r="O4218" s="2"/>
      <c r="P4218" s="2" t="s">
        <v>13144</v>
      </c>
      <c r="Q4218" s="2"/>
      <c r="R4218" s="2"/>
      <c r="S4218" s="5">
        <v>0.8</v>
      </c>
      <c r="T4218" s="7">
        <v>0.91800000000000004</v>
      </c>
      <c r="U4218" s="5">
        <v>1.4</v>
      </c>
      <c r="V4218" s="9">
        <v>0.46260000000000001</v>
      </c>
      <c r="W4218" s="7">
        <v>3.625</v>
      </c>
      <c r="X4218" s="7">
        <v>3.4380000000000002</v>
      </c>
      <c r="Y4218" s="7">
        <v>3.4380000000000002</v>
      </c>
      <c r="Z4218" s="7">
        <v>4.125</v>
      </c>
      <c r="AA4218" s="6">
        <v>1.47</v>
      </c>
      <c r="AB4218" s="2" t="s">
        <v>47</v>
      </c>
      <c r="AC4218" s="2"/>
    </row>
    <row r="4219" spans="1:29" ht="143" x14ac:dyDescent="0.15">
      <c r="A4219" s="3">
        <f t="shared" ref="A4219:A4225" si="77">DATE(1998,11,2)</f>
        <v>36101</v>
      </c>
      <c r="B4219" s="3">
        <f>DATE(1998,12,10)</f>
        <v>36139</v>
      </c>
      <c r="C4219" s="2" t="s">
        <v>95</v>
      </c>
      <c r="D4219" s="2" t="s">
        <v>13145</v>
      </c>
      <c r="E4219" s="2" t="s">
        <v>13146</v>
      </c>
      <c r="F4219" s="4">
        <v>2086</v>
      </c>
      <c r="G4219" s="2" t="s">
        <v>577</v>
      </c>
      <c r="H4219" s="2" t="s">
        <v>34</v>
      </c>
      <c r="I4219" s="2" t="s">
        <v>13147</v>
      </c>
      <c r="J4219" s="2" t="s">
        <v>13148</v>
      </c>
      <c r="K4219" s="2" t="s">
        <v>577</v>
      </c>
      <c r="L4219" s="2" t="s">
        <v>133</v>
      </c>
      <c r="M4219" s="2"/>
      <c r="N4219" s="2"/>
      <c r="O4219" s="2"/>
      <c r="P4219" s="2" t="s">
        <v>13149</v>
      </c>
      <c r="Q4219" s="6">
        <v>100</v>
      </c>
      <c r="R4219" s="6">
        <v>13</v>
      </c>
      <c r="S4219" s="5">
        <v>2.2000000000000002</v>
      </c>
      <c r="T4219" s="7">
        <v>6.0460000000000003</v>
      </c>
      <c r="U4219" s="5">
        <v>5.9</v>
      </c>
      <c r="V4219" s="7">
        <v>0.21099999999999999</v>
      </c>
      <c r="W4219" s="5">
        <v>6.5</v>
      </c>
      <c r="X4219" s="7">
        <v>9.6880000000000006</v>
      </c>
      <c r="Y4219" s="7">
        <v>12.625</v>
      </c>
      <c r="Z4219" s="7">
        <v>12.625</v>
      </c>
      <c r="AA4219" s="6">
        <v>8.77</v>
      </c>
      <c r="AB4219" s="7">
        <v>33.86</v>
      </c>
      <c r="AC4219" s="10">
        <v>1200.8499999999999</v>
      </c>
    </row>
    <row r="4220" spans="1:29" ht="104" x14ac:dyDescent="0.15">
      <c r="A4220" s="3">
        <f t="shared" si="77"/>
        <v>36101</v>
      </c>
      <c r="B4220" s="3">
        <f>DATE(1999,3,30)</f>
        <v>36249</v>
      </c>
      <c r="C4220" s="2" t="s">
        <v>95</v>
      </c>
      <c r="D4220" s="2" t="s">
        <v>13150</v>
      </c>
      <c r="E4220" s="2" t="s">
        <v>4094</v>
      </c>
      <c r="F4220" s="4">
        <v>7372</v>
      </c>
      <c r="G4220" s="2" t="s">
        <v>551</v>
      </c>
      <c r="H4220" s="2" t="s">
        <v>34</v>
      </c>
      <c r="I4220" s="2" t="s">
        <v>11423</v>
      </c>
      <c r="J4220" s="2" t="s">
        <v>11424</v>
      </c>
      <c r="K4220" s="2" t="s">
        <v>551</v>
      </c>
      <c r="L4220" s="2" t="s">
        <v>34</v>
      </c>
      <c r="M4220" s="8">
        <v>9216.2000000000007</v>
      </c>
      <c r="N4220" s="7">
        <v>46.063000000000002</v>
      </c>
      <c r="O4220" s="7">
        <v>44.813000000000002</v>
      </c>
      <c r="P4220" s="2" t="s">
        <v>13151</v>
      </c>
      <c r="Q4220" s="6">
        <v>100</v>
      </c>
      <c r="R4220" s="6">
        <v>32.44</v>
      </c>
      <c r="S4220" s="5">
        <v>36.700000000000003</v>
      </c>
      <c r="T4220" s="7">
        <v>45.415999999999997</v>
      </c>
      <c r="U4220" s="5">
        <v>5.0999999999999996</v>
      </c>
      <c r="V4220" s="6">
        <v>1.2</v>
      </c>
      <c r="W4220" s="5">
        <v>26.5</v>
      </c>
      <c r="X4220" s="7">
        <v>26.625</v>
      </c>
      <c r="Y4220" s="7">
        <v>30.125</v>
      </c>
      <c r="Z4220" s="7">
        <v>29.687999999999999</v>
      </c>
      <c r="AA4220" s="6">
        <v>28.22</v>
      </c>
      <c r="AB4220" s="7">
        <v>24.585999999999999</v>
      </c>
      <c r="AC4220" s="6">
        <v>166.84</v>
      </c>
    </row>
    <row r="4221" spans="1:29" ht="143" x14ac:dyDescent="0.15">
      <c r="A4221" s="3">
        <f t="shared" si="77"/>
        <v>36101</v>
      </c>
      <c r="B4221" s="3">
        <f>DATE(1998,12,30)</f>
        <v>36159</v>
      </c>
      <c r="C4221" s="2" t="s">
        <v>95</v>
      </c>
      <c r="D4221" s="2" t="s">
        <v>13152</v>
      </c>
      <c r="E4221" s="2" t="s">
        <v>13153</v>
      </c>
      <c r="F4221" s="4">
        <v>3672</v>
      </c>
      <c r="G4221" s="2" t="s">
        <v>137</v>
      </c>
      <c r="H4221" s="2" t="s">
        <v>34</v>
      </c>
      <c r="I4221" s="2" t="s">
        <v>13154</v>
      </c>
      <c r="J4221" s="2" t="s">
        <v>500</v>
      </c>
      <c r="K4221" s="2" t="s">
        <v>137</v>
      </c>
      <c r="L4221" s="2" t="s">
        <v>902</v>
      </c>
      <c r="M4221" s="2"/>
      <c r="N4221" s="2"/>
      <c r="O4221" s="2"/>
      <c r="P4221" s="2" t="s">
        <v>13155</v>
      </c>
      <c r="Q4221" s="6">
        <v>100</v>
      </c>
      <c r="R4221" s="6">
        <v>7.33</v>
      </c>
      <c r="S4221" s="5">
        <v>11.1</v>
      </c>
      <c r="T4221" s="7">
        <v>24.905999999999999</v>
      </c>
      <c r="U4221" s="5">
        <v>2.9</v>
      </c>
      <c r="V4221" s="6">
        <v>0.6</v>
      </c>
      <c r="W4221" s="7">
        <v>2.6880000000000002</v>
      </c>
      <c r="X4221" s="7">
        <v>5.125</v>
      </c>
      <c r="Y4221" s="7">
        <v>6.766</v>
      </c>
      <c r="Z4221" s="7">
        <v>6.875</v>
      </c>
      <c r="AA4221" s="6">
        <v>18.559999999999999</v>
      </c>
      <c r="AB4221" s="7">
        <v>10.164999999999999</v>
      </c>
      <c r="AC4221" s="6">
        <v>106.04</v>
      </c>
    </row>
    <row r="4222" spans="1:29" ht="156" x14ac:dyDescent="0.15">
      <c r="A4222" s="3">
        <f t="shared" si="77"/>
        <v>36101</v>
      </c>
      <c r="B4222" s="3">
        <f>DATE(1999,3,18)</f>
        <v>36237</v>
      </c>
      <c r="C4222" s="2" t="s">
        <v>95</v>
      </c>
      <c r="D4222" s="2" t="s">
        <v>13156</v>
      </c>
      <c r="E4222" s="2" t="s">
        <v>13157</v>
      </c>
      <c r="F4222" s="2" t="s">
        <v>13158</v>
      </c>
      <c r="G4222" s="2" t="s">
        <v>426</v>
      </c>
      <c r="H4222" s="2" t="s">
        <v>34</v>
      </c>
      <c r="I4222" s="2" t="s">
        <v>13159</v>
      </c>
      <c r="J4222" s="2" t="s">
        <v>13160</v>
      </c>
      <c r="K4222" s="2" t="s">
        <v>426</v>
      </c>
      <c r="L4222" s="2" t="s">
        <v>34</v>
      </c>
      <c r="M4222" s="12">
        <v>3820.009</v>
      </c>
      <c r="N4222" s="4">
        <v>22</v>
      </c>
      <c r="O4222" s="7">
        <v>20.937999999999999</v>
      </c>
      <c r="P4222" s="2" t="s">
        <v>13161</v>
      </c>
      <c r="Q4222" s="6">
        <v>100</v>
      </c>
      <c r="R4222" s="6">
        <v>10.35</v>
      </c>
      <c r="S4222" s="5">
        <v>5</v>
      </c>
      <c r="T4222" s="7">
        <v>14.996</v>
      </c>
      <c r="U4222" s="5">
        <v>5.6</v>
      </c>
      <c r="V4222" s="7">
        <v>0.35599999999999998</v>
      </c>
      <c r="W4222" s="7">
        <v>8.125</v>
      </c>
      <c r="X4222" s="4">
        <v>8</v>
      </c>
      <c r="Y4222" s="7">
        <v>9.6880000000000006</v>
      </c>
      <c r="Z4222" s="7">
        <v>9.5630000000000006</v>
      </c>
      <c r="AA4222" s="6">
        <v>16.190000000000001</v>
      </c>
      <c r="AB4222" s="7">
        <v>24.539000000000001</v>
      </c>
      <c r="AC4222" s="6">
        <v>120.42</v>
      </c>
    </row>
    <row r="4223" spans="1:29" ht="91" x14ac:dyDescent="0.15">
      <c r="A4223" s="3">
        <f t="shared" si="77"/>
        <v>36101</v>
      </c>
      <c r="B4223" s="3">
        <f>DATE(1999,5,3)</f>
        <v>36283</v>
      </c>
      <c r="C4223" s="2" t="s">
        <v>95</v>
      </c>
      <c r="D4223" s="2" t="s">
        <v>13162</v>
      </c>
      <c r="E4223" s="2" t="s">
        <v>4865</v>
      </c>
      <c r="F4223" s="4">
        <v>3674</v>
      </c>
      <c r="G4223" s="2" t="s">
        <v>137</v>
      </c>
      <c r="H4223" s="2" t="s">
        <v>34</v>
      </c>
      <c r="I4223" s="2" t="s">
        <v>13163</v>
      </c>
      <c r="J4223" s="2" t="s">
        <v>10974</v>
      </c>
      <c r="K4223" s="2" t="s">
        <v>137</v>
      </c>
      <c r="L4223" s="2" t="s">
        <v>34</v>
      </c>
      <c r="M4223" s="7">
        <v>444.19499999999999</v>
      </c>
      <c r="N4223" s="7">
        <v>6.1879999999999997</v>
      </c>
      <c r="O4223" s="7">
        <v>6.125</v>
      </c>
      <c r="P4223" s="2" t="s">
        <v>13164</v>
      </c>
      <c r="Q4223" s="6">
        <v>100</v>
      </c>
      <c r="R4223" s="6">
        <v>4.7699999999999996</v>
      </c>
      <c r="S4223" s="5">
        <v>-15.3</v>
      </c>
      <c r="T4223" s="7">
        <v>-4.8920000000000003</v>
      </c>
      <c r="U4223" s="5">
        <v>3.5</v>
      </c>
      <c r="V4223" s="6">
        <v>-2.06</v>
      </c>
      <c r="W4223" s="7">
        <v>1.9379999999999999</v>
      </c>
      <c r="X4223" s="7">
        <v>2.9380000000000002</v>
      </c>
      <c r="Y4223" s="7">
        <v>3.6880000000000002</v>
      </c>
      <c r="Z4223" s="6">
        <v>3.75</v>
      </c>
      <c r="AA4223" s="6">
        <v>7.42</v>
      </c>
      <c r="AB4223" s="2" t="s">
        <v>86</v>
      </c>
      <c r="AC4223" s="5">
        <v>220.6</v>
      </c>
    </row>
    <row r="4224" spans="1:29" ht="52" x14ac:dyDescent="0.15">
      <c r="A4224" s="3">
        <f t="shared" si="77"/>
        <v>36101</v>
      </c>
      <c r="B4224" s="2"/>
      <c r="C4224" s="2" t="s">
        <v>189</v>
      </c>
      <c r="D4224" s="2" t="s">
        <v>13165</v>
      </c>
      <c r="E4224" s="2" t="s">
        <v>483</v>
      </c>
      <c r="F4224" s="4">
        <v>6162</v>
      </c>
      <c r="G4224" s="2" t="s">
        <v>109</v>
      </c>
      <c r="H4224" s="2" t="s">
        <v>34</v>
      </c>
      <c r="I4224" s="2" t="s">
        <v>143</v>
      </c>
      <c r="J4224" s="2" t="s">
        <v>144</v>
      </c>
      <c r="K4224" s="2" t="s">
        <v>53</v>
      </c>
      <c r="L4224" s="2" t="s">
        <v>139</v>
      </c>
      <c r="M4224" s="2"/>
      <c r="N4224" s="2"/>
      <c r="O4224" s="2"/>
      <c r="P4224" s="2" t="s">
        <v>13166</v>
      </c>
      <c r="Q4224" s="2"/>
      <c r="R4224" s="2"/>
      <c r="S4224" s="5">
        <v>21.8</v>
      </c>
      <c r="T4224" s="7">
        <v>56.945999999999998</v>
      </c>
      <c r="U4224" s="5">
        <v>9.1999999999999993</v>
      </c>
      <c r="V4224" s="6">
        <v>1.05</v>
      </c>
      <c r="W4224" s="7">
        <v>16.062999999999999</v>
      </c>
      <c r="X4224" s="6">
        <v>14.75</v>
      </c>
      <c r="Y4224" s="6">
        <v>15.25</v>
      </c>
      <c r="Z4224" s="7">
        <v>14.375</v>
      </c>
      <c r="AA4224" s="6">
        <v>23.77</v>
      </c>
      <c r="AB4224" s="2" t="s">
        <v>47</v>
      </c>
      <c r="AC4224" s="2"/>
    </row>
    <row r="4225" spans="1:29" ht="117" x14ac:dyDescent="0.15">
      <c r="A4225" s="3">
        <f t="shared" si="77"/>
        <v>36101</v>
      </c>
      <c r="B4225" s="3">
        <f>DATE(1999,1,27)</f>
        <v>36187</v>
      </c>
      <c r="C4225" s="2" t="s">
        <v>95</v>
      </c>
      <c r="D4225" s="2" t="s">
        <v>13167</v>
      </c>
      <c r="E4225" s="2" t="s">
        <v>13168</v>
      </c>
      <c r="F4225" s="4">
        <v>3842</v>
      </c>
      <c r="G4225" s="2" t="s">
        <v>226</v>
      </c>
      <c r="H4225" s="2" t="s">
        <v>34</v>
      </c>
      <c r="I4225" s="2" t="s">
        <v>769</v>
      </c>
      <c r="J4225" s="2" t="s">
        <v>770</v>
      </c>
      <c r="K4225" s="2" t="s">
        <v>226</v>
      </c>
      <c r="L4225" s="2" t="s">
        <v>34</v>
      </c>
      <c r="M4225" s="12">
        <v>25299.096000000001</v>
      </c>
      <c r="N4225" s="7">
        <v>66.563000000000002</v>
      </c>
      <c r="O4225" s="7">
        <v>64.938000000000002</v>
      </c>
      <c r="P4225" s="2" t="s">
        <v>13169</v>
      </c>
      <c r="Q4225" s="6">
        <v>100</v>
      </c>
      <c r="R4225" s="6">
        <v>117.15</v>
      </c>
      <c r="S4225" s="5">
        <v>56.8</v>
      </c>
      <c r="T4225" s="7">
        <v>106.30200000000001</v>
      </c>
      <c r="U4225" s="5">
        <v>8.5</v>
      </c>
      <c r="V4225" s="6">
        <v>2.12</v>
      </c>
      <c r="W4225" s="6">
        <v>90.75</v>
      </c>
      <c r="X4225" s="7">
        <v>101.625</v>
      </c>
      <c r="Y4225" s="7">
        <v>110.125</v>
      </c>
      <c r="Z4225" s="7">
        <v>109.875</v>
      </c>
      <c r="AA4225" s="6">
        <v>26.74</v>
      </c>
      <c r="AB4225" s="7">
        <v>39.01</v>
      </c>
      <c r="AC4225" s="6">
        <v>816.39</v>
      </c>
    </row>
    <row r="4226" spans="1:29" ht="52" x14ac:dyDescent="0.15">
      <c r="A4226" s="3">
        <f>DATE(1998,11,3)</f>
        <v>36102</v>
      </c>
      <c r="B4226" s="3">
        <f>DATE(1998,11,3)</f>
        <v>36102</v>
      </c>
      <c r="C4226" s="2" t="s">
        <v>95</v>
      </c>
      <c r="D4226" s="2" t="s">
        <v>13170</v>
      </c>
      <c r="E4226" s="2" t="s">
        <v>5309</v>
      </c>
      <c r="F4226" s="4">
        <v>1311</v>
      </c>
      <c r="G4226" s="2" t="s">
        <v>148</v>
      </c>
      <c r="H4226" s="2" t="s">
        <v>34</v>
      </c>
      <c r="I4226" s="2" t="s">
        <v>51</v>
      </c>
      <c r="J4226" s="2" t="s">
        <v>52</v>
      </c>
      <c r="K4226" s="2" t="s">
        <v>53</v>
      </c>
      <c r="L4226" s="2" t="s">
        <v>34</v>
      </c>
      <c r="M4226" s="2"/>
      <c r="N4226" s="2"/>
      <c r="O4226" s="2"/>
      <c r="P4226" s="2" t="s">
        <v>13171</v>
      </c>
      <c r="Q4226" s="6">
        <v>29.12</v>
      </c>
      <c r="R4226" s="2"/>
      <c r="S4226" s="5">
        <v>-36.299999999999997</v>
      </c>
      <c r="T4226" s="7">
        <v>-0.65100000000000002</v>
      </c>
      <c r="U4226" s="5">
        <v>0</v>
      </c>
      <c r="V4226" s="6">
        <v>-3.49</v>
      </c>
      <c r="W4226" s="6">
        <v>7.25</v>
      </c>
      <c r="X4226" s="5">
        <v>7.5</v>
      </c>
      <c r="Y4226" s="5">
        <v>7.5</v>
      </c>
      <c r="Z4226" s="6">
        <v>7.25</v>
      </c>
      <c r="AA4226" s="6">
        <v>9.86</v>
      </c>
      <c r="AB4226" s="2" t="s">
        <v>86</v>
      </c>
      <c r="AC4226" s="2"/>
    </row>
    <row r="4227" spans="1:29" ht="143" x14ac:dyDescent="0.15">
      <c r="A4227" s="3">
        <f>DATE(1998,11,4)</f>
        <v>36103</v>
      </c>
      <c r="B4227" s="2"/>
      <c r="C4227" s="2" t="s">
        <v>30</v>
      </c>
      <c r="D4227" s="2" t="s">
        <v>13172</v>
      </c>
      <c r="E4227" s="2" t="s">
        <v>36</v>
      </c>
      <c r="F4227" s="4">
        <v>6021</v>
      </c>
      <c r="G4227" s="2" t="s">
        <v>37</v>
      </c>
      <c r="H4227" s="2" t="s">
        <v>34</v>
      </c>
      <c r="I4227" s="2" t="s">
        <v>13173</v>
      </c>
      <c r="J4227" s="2" t="s">
        <v>389</v>
      </c>
      <c r="K4227" s="2" t="s">
        <v>33</v>
      </c>
      <c r="L4227" s="2" t="s">
        <v>34</v>
      </c>
      <c r="M4227" s="7">
        <v>49.548999999999999</v>
      </c>
      <c r="N4227" s="7">
        <v>10.063000000000001</v>
      </c>
      <c r="O4227" s="6">
        <v>9.25</v>
      </c>
      <c r="P4227" s="2" t="s">
        <v>13174</v>
      </c>
      <c r="Q4227" s="2"/>
      <c r="R4227" s="6">
        <v>37</v>
      </c>
      <c r="S4227" s="5">
        <v>2.6</v>
      </c>
      <c r="T4227" s="6">
        <v>4.13</v>
      </c>
      <c r="U4227" s="5">
        <v>12.1</v>
      </c>
      <c r="V4227" s="9">
        <v>1.2476</v>
      </c>
      <c r="W4227" s="7">
        <v>27.687999999999999</v>
      </c>
      <c r="X4227" s="6">
        <v>27.75</v>
      </c>
      <c r="Y4227" s="7">
        <v>28.062999999999999</v>
      </c>
      <c r="Z4227" s="7">
        <v>27.625</v>
      </c>
      <c r="AA4227" s="6">
        <v>1.97</v>
      </c>
      <c r="AB4227" s="7">
        <v>21.623999999999999</v>
      </c>
      <c r="AC4227" s="2"/>
    </row>
    <row r="4228" spans="1:29" ht="130" x14ac:dyDescent="0.15">
      <c r="A4228" s="3">
        <f>DATE(1998,11,9)</f>
        <v>36108</v>
      </c>
      <c r="B4228" s="3">
        <f>DATE(1998,12,22)</f>
        <v>36151</v>
      </c>
      <c r="C4228" s="2" t="s">
        <v>95</v>
      </c>
      <c r="D4228" s="2" t="s">
        <v>11790</v>
      </c>
      <c r="E4228" s="2" t="s">
        <v>11791</v>
      </c>
      <c r="F4228" s="4">
        <v>5013</v>
      </c>
      <c r="G4228" s="2" t="s">
        <v>76</v>
      </c>
      <c r="H4228" s="2" t="s">
        <v>34</v>
      </c>
      <c r="I4228" s="2" t="s">
        <v>10105</v>
      </c>
      <c r="J4228" s="2" t="s">
        <v>244</v>
      </c>
      <c r="K4228" s="2" t="s">
        <v>53</v>
      </c>
      <c r="L4228" s="2" t="s">
        <v>34</v>
      </c>
      <c r="M4228" s="2"/>
      <c r="N4228" s="2"/>
      <c r="O4228" s="2"/>
      <c r="P4228" s="2" t="s">
        <v>13175</v>
      </c>
      <c r="Q4228" s="6">
        <v>100</v>
      </c>
      <c r="R4228" s="6">
        <v>19.5</v>
      </c>
      <c r="S4228" s="5">
        <v>2.2999999999999998</v>
      </c>
      <c r="T4228" s="7">
        <v>13.375999999999999</v>
      </c>
      <c r="U4228" s="5">
        <v>13</v>
      </c>
      <c r="V4228" s="7">
        <v>0.438</v>
      </c>
      <c r="W4228" s="7">
        <v>14.577999999999999</v>
      </c>
      <c r="X4228" s="7">
        <v>17.187999999999999</v>
      </c>
      <c r="Y4228" s="5">
        <v>17.5</v>
      </c>
      <c r="Z4228" s="5">
        <v>17.5</v>
      </c>
      <c r="AA4228" s="6">
        <v>5.17</v>
      </c>
      <c r="AB4228" s="7">
        <v>16.879000000000001</v>
      </c>
      <c r="AC4228" s="2"/>
    </row>
    <row r="4229" spans="1:29" ht="91" x14ac:dyDescent="0.15">
      <c r="A4229" s="3">
        <f>DATE(1998,11,9)</f>
        <v>36108</v>
      </c>
      <c r="B4229" s="2"/>
      <c r="C4229" s="2" t="s">
        <v>7330</v>
      </c>
      <c r="D4229" s="2" t="s">
        <v>12438</v>
      </c>
      <c r="E4229" s="2" t="s">
        <v>12439</v>
      </c>
      <c r="F4229" s="4">
        <v>7812</v>
      </c>
      <c r="G4229" s="2" t="s">
        <v>42</v>
      </c>
      <c r="H4229" s="2" t="s">
        <v>34</v>
      </c>
      <c r="I4229" s="2" t="s">
        <v>12440</v>
      </c>
      <c r="J4229" s="2" t="s">
        <v>12441</v>
      </c>
      <c r="K4229" s="2" t="s">
        <v>53</v>
      </c>
      <c r="L4229" s="2" t="s">
        <v>34</v>
      </c>
      <c r="M4229" s="2"/>
      <c r="N4229" s="2"/>
      <c r="O4229" s="2"/>
      <c r="P4229" s="2" t="s">
        <v>13176</v>
      </c>
      <c r="Q4229" s="2"/>
      <c r="R4229" s="2"/>
      <c r="S4229" s="5">
        <v>0</v>
      </c>
      <c r="T4229" s="7">
        <v>0.79100000000000004</v>
      </c>
      <c r="U4229" s="5">
        <v>1.6</v>
      </c>
      <c r="V4229" s="6">
        <v>0.02</v>
      </c>
      <c r="W4229" s="7">
        <v>1.3129999999999999</v>
      </c>
      <c r="X4229" s="7">
        <v>1.625</v>
      </c>
      <c r="Y4229" s="9">
        <v>2.0625</v>
      </c>
      <c r="Z4229" s="9">
        <v>2.1875</v>
      </c>
      <c r="AA4229" s="6">
        <v>1.91</v>
      </c>
      <c r="AB4229" s="7">
        <v>9.26</v>
      </c>
      <c r="AC4229" s="2"/>
    </row>
    <row r="4230" spans="1:29" ht="104" x14ac:dyDescent="0.15">
      <c r="A4230" s="3">
        <f>DATE(1998,11,9)</f>
        <v>36108</v>
      </c>
      <c r="B4230" s="3">
        <f>DATE(1999,3,1)</f>
        <v>36220</v>
      </c>
      <c r="C4230" s="2" t="s">
        <v>95</v>
      </c>
      <c r="D4230" s="2" t="s">
        <v>13177</v>
      </c>
      <c r="E4230" s="2" t="s">
        <v>13178</v>
      </c>
      <c r="F4230" s="4">
        <v>7011</v>
      </c>
      <c r="G4230" s="2" t="s">
        <v>269</v>
      </c>
      <c r="H4230" s="2" t="s">
        <v>34</v>
      </c>
      <c r="I4230" s="2" t="s">
        <v>13179</v>
      </c>
      <c r="J4230" s="2" t="s">
        <v>13180</v>
      </c>
      <c r="K4230" s="2" t="s">
        <v>364</v>
      </c>
      <c r="L4230" s="2" t="s">
        <v>34</v>
      </c>
      <c r="M4230" s="12">
        <v>1352.923</v>
      </c>
      <c r="N4230" s="7">
        <v>29.062999999999999</v>
      </c>
      <c r="O4230" s="7">
        <v>28.937999999999999</v>
      </c>
      <c r="P4230" s="2" t="s">
        <v>13181</v>
      </c>
      <c r="Q4230" s="6">
        <v>100</v>
      </c>
      <c r="R4230" s="6">
        <v>9.2799999999999994</v>
      </c>
      <c r="S4230" s="5">
        <v>33.4</v>
      </c>
      <c r="T4230" s="7">
        <v>49.976999999999997</v>
      </c>
      <c r="U4230" s="5">
        <v>7.3</v>
      </c>
      <c r="V4230" s="6">
        <v>1.1299999999999999</v>
      </c>
      <c r="W4230" s="4">
        <v>7</v>
      </c>
      <c r="X4230" s="4">
        <v>9</v>
      </c>
      <c r="Y4230" s="6">
        <v>8.75</v>
      </c>
      <c r="Z4230" s="6">
        <v>8.75</v>
      </c>
      <c r="AA4230" s="6">
        <v>28.92</v>
      </c>
      <c r="AB4230" s="7">
        <v>23.195</v>
      </c>
      <c r="AC4230" s="6">
        <v>34.61</v>
      </c>
    </row>
    <row r="4231" spans="1:29" ht="91" x14ac:dyDescent="0.15">
      <c r="A4231" s="3">
        <f t="shared" ref="A4231:A4236" si="78">DATE(1998,11,10)</f>
        <v>36109</v>
      </c>
      <c r="B4231" s="3">
        <f>DATE(1998,12,31)</f>
        <v>36160</v>
      </c>
      <c r="C4231" s="2" t="s">
        <v>95</v>
      </c>
      <c r="D4231" s="2" t="s">
        <v>13182</v>
      </c>
      <c r="E4231" s="2" t="s">
        <v>13183</v>
      </c>
      <c r="F4231" s="4">
        <v>7371</v>
      </c>
      <c r="G4231" s="2" t="s">
        <v>223</v>
      </c>
      <c r="H4231" s="2" t="s">
        <v>34</v>
      </c>
      <c r="I4231" s="2" t="s">
        <v>8588</v>
      </c>
      <c r="J4231" s="2" t="s">
        <v>8589</v>
      </c>
      <c r="K4231" s="2" t="s">
        <v>551</v>
      </c>
      <c r="L4231" s="2" t="s">
        <v>34</v>
      </c>
      <c r="M4231" s="10">
        <v>24054.65</v>
      </c>
      <c r="N4231" s="5">
        <v>31.5</v>
      </c>
      <c r="O4231" s="5">
        <v>33.5</v>
      </c>
      <c r="P4231" s="2" t="s">
        <v>13184</v>
      </c>
      <c r="Q4231" s="6">
        <v>100</v>
      </c>
      <c r="R4231" s="6">
        <v>7</v>
      </c>
      <c r="S4231" s="5">
        <v>-16.899999999999999</v>
      </c>
      <c r="T4231" s="7">
        <v>-12.798</v>
      </c>
      <c r="U4231" s="5">
        <v>0.1</v>
      </c>
      <c r="V4231" s="6">
        <v>-2.94</v>
      </c>
      <c r="W4231" s="6">
        <v>3.75</v>
      </c>
      <c r="X4231" s="4">
        <v>4</v>
      </c>
      <c r="Y4231" s="7">
        <v>3.5630000000000002</v>
      </c>
      <c r="Z4231" s="7">
        <v>6.875</v>
      </c>
      <c r="AA4231" s="6">
        <v>6.1</v>
      </c>
      <c r="AB4231" s="2" t="s">
        <v>86</v>
      </c>
      <c r="AC4231" s="8">
        <v>2301.9</v>
      </c>
    </row>
    <row r="4232" spans="1:29" ht="78" x14ac:dyDescent="0.15">
      <c r="A4232" s="3">
        <f t="shared" si="78"/>
        <v>36109</v>
      </c>
      <c r="B4232" s="3">
        <f>DATE(1998,12,22)</f>
        <v>36151</v>
      </c>
      <c r="C4232" s="2" t="s">
        <v>95</v>
      </c>
      <c r="D4232" s="2" t="s">
        <v>13185</v>
      </c>
      <c r="E4232" s="2" t="s">
        <v>13186</v>
      </c>
      <c r="F4232" s="4">
        <v>8051</v>
      </c>
      <c r="G4232" s="2" t="s">
        <v>454</v>
      </c>
      <c r="H4232" s="2" t="s">
        <v>34</v>
      </c>
      <c r="I4232" s="2" t="s">
        <v>9679</v>
      </c>
      <c r="J4232" s="2" t="s">
        <v>9680</v>
      </c>
      <c r="K4232" s="2" t="s">
        <v>454</v>
      </c>
      <c r="L4232" s="2" t="s">
        <v>34</v>
      </c>
      <c r="M4232" s="2"/>
      <c r="N4232" s="2"/>
      <c r="O4232" s="2"/>
      <c r="P4232" s="2" t="s">
        <v>13187</v>
      </c>
      <c r="Q4232" s="6">
        <v>100</v>
      </c>
      <c r="R4232" s="6">
        <v>9.6300000000000008</v>
      </c>
      <c r="S4232" s="5">
        <v>1.6</v>
      </c>
      <c r="T4232" s="7">
        <v>3.1179999999999999</v>
      </c>
      <c r="U4232" s="5">
        <v>2.4</v>
      </c>
      <c r="V4232" s="6">
        <v>0.16</v>
      </c>
      <c r="W4232" s="4">
        <v>6</v>
      </c>
      <c r="X4232" s="6">
        <v>6.25</v>
      </c>
      <c r="Y4232" s="7">
        <v>9.1880000000000006</v>
      </c>
      <c r="Z4232" s="7">
        <v>9.2029999999999994</v>
      </c>
      <c r="AA4232" s="6">
        <v>10.08</v>
      </c>
      <c r="AB4232" s="7">
        <v>67.861999999999995</v>
      </c>
      <c r="AC4232" s="6">
        <v>4.8600000000000003</v>
      </c>
    </row>
    <row r="4233" spans="1:29" ht="91" x14ac:dyDescent="0.15">
      <c r="A4233" s="3">
        <f t="shared" si="78"/>
        <v>36109</v>
      </c>
      <c r="B4233" s="2"/>
      <c r="C4233" s="2" t="s">
        <v>30</v>
      </c>
      <c r="D4233" s="2" t="s">
        <v>13188</v>
      </c>
      <c r="E4233" s="2" t="s">
        <v>13189</v>
      </c>
      <c r="F4233" s="4">
        <v>7011</v>
      </c>
      <c r="G4233" s="2" t="s">
        <v>269</v>
      </c>
      <c r="H4233" s="2" t="s">
        <v>34</v>
      </c>
      <c r="I4233" s="2" t="s">
        <v>1901</v>
      </c>
      <c r="J4233" s="2" t="s">
        <v>1902</v>
      </c>
      <c r="K4233" s="2" t="s">
        <v>364</v>
      </c>
      <c r="L4233" s="2" t="s">
        <v>34</v>
      </c>
      <c r="M4233" s="7">
        <v>220.14500000000001</v>
      </c>
      <c r="N4233" s="7">
        <v>10.438000000000001</v>
      </c>
      <c r="O4233" s="7">
        <v>10.125</v>
      </c>
      <c r="P4233" s="2" t="s">
        <v>13190</v>
      </c>
      <c r="Q4233" s="2"/>
      <c r="R4233" s="6">
        <v>6</v>
      </c>
      <c r="S4233" s="5">
        <v>2</v>
      </c>
      <c r="T4233" s="7">
        <v>61.938000000000002</v>
      </c>
      <c r="U4233" s="5">
        <v>4.9000000000000004</v>
      </c>
      <c r="V4233" s="6">
        <v>0.06</v>
      </c>
      <c r="W4233" s="7">
        <v>4.625</v>
      </c>
      <c r="X4233" s="4">
        <v>5</v>
      </c>
      <c r="Y4233" s="7">
        <v>5.625</v>
      </c>
      <c r="Z4233" s="7">
        <v>5.9379999999999997</v>
      </c>
      <c r="AA4233" s="6">
        <v>31.94</v>
      </c>
      <c r="AB4233" s="7">
        <v>8.718</v>
      </c>
      <c r="AC4233" s="6">
        <v>24.16</v>
      </c>
    </row>
    <row r="4234" spans="1:29" ht="52" x14ac:dyDescent="0.15">
      <c r="A4234" s="3">
        <f t="shared" si="78"/>
        <v>36109</v>
      </c>
      <c r="B4234" s="3">
        <f>DATE(1999,2,17)</f>
        <v>36208</v>
      </c>
      <c r="C4234" s="2" t="s">
        <v>95</v>
      </c>
      <c r="D4234" s="2" t="s">
        <v>13191</v>
      </c>
      <c r="E4234" s="2" t="s">
        <v>13192</v>
      </c>
      <c r="F4234" s="4">
        <v>6141</v>
      </c>
      <c r="G4234" s="2" t="s">
        <v>370</v>
      </c>
      <c r="H4234" s="2" t="s">
        <v>34</v>
      </c>
      <c r="I4234" s="2" t="s">
        <v>368</v>
      </c>
      <c r="J4234" s="2" t="s">
        <v>369</v>
      </c>
      <c r="K4234" s="2" t="s">
        <v>370</v>
      </c>
      <c r="L4234" s="2" t="s">
        <v>34</v>
      </c>
      <c r="M4234" s="12">
        <v>35825.987000000001</v>
      </c>
      <c r="N4234" s="7">
        <v>93.063000000000002</v>
      </c>
      <c r="O4234" s="7">
        <v>92.563000000000002</v>
      </c>
      <c r="P4234" s="2" t="s">
        <v>13193</v>
      </c>
      <c r="Q4234" s="6">
        <v>100</v>
      </c>
      <c r="R4234" s="6">
        <v>11.88</v>
      </c>
      <c r="S4234" s="5">
        <v>2.1</v>
      </c>
      <c r="T4234" s="7">
        <v>4.0119999999999996</v>
      </c>
      <c r="U4234" s="5">
        <v>4.9000000000000004</v>
      </c>
      <c r="V4234" s="6">
        <v>0.48</v>
      </c>
      <c r="W4234" s="6">
        <v>9.25</v>
      </c>
      <c r="X4234" s="7">
        <v>10.875</v>
      </c>
      <c r="Y4234" s="7">
        <v>11.313000000000001</v>
      </c>
      <c r="Z4234" s="6">
        <v>11.25</v>
      </c>
      <c r="AA4234" s="6">
        <v>4.1100000000000003</v>
      </c>
      <c r="AB4234" s="7">
        <v>35.805999999999997</v>
      </c>
      <c r="AC4234" s="8">
        <v>4179</v>
      </c>
    </row>
    <row r="4235" spans="1:29" ht="143" x14ac:dyDescent="0.15">
      <c r="A4235" s="3">
        <f t="shared" si="78"/>
        <v>36109</v>
      </c>
      <c r="B4235" s="3">
        <f>DATE(1999,3,22)</f>
        <v>36241</v>
      </c>
      <c r="C4235" s="2" t="s">
        <v>95</v>
      </c>
      <c r="D4235" s="2" t="s">
        <v>13194</v>
      </c>
      <c r="E4235" s="2" t="s">
        <v>1181</v>
      </c>
      <c r="F4235" s="4">
        <v>6022</v>
      </c>
      <c r="G4235" s="2" t="s">
        <v>37</v>
      </c>
      <c r="H4235" s="2" t="s">
        <v>34</v>
      </c>
      <c r="I4235" s="2" t="s">
        <v>7166</v>
      </c>
      <c r="J4235" s="2" t="s">
        <v>7167</v>
      </c>
      <c r="K4235" s="2" t="s">
        <v>37</v>
      </c>
      <c r="L4235" s="2" t="s">
        <v>34</v>
      </c>
      <c r="M4235" s="7">
        <v>567.77700000000004</v>
      </c>
      <c r="N4235" s="7">
        <v>30.375</v>
      </c>
      <c r="O4235" s="6">
        <v>29.25</v>
      </c>
      <c r="P4235" s="2" t="s">
        <v>13195</v>
      </c>
      <c r="Q4235" s="6">
        <v>100</v>
      </c>
      <c r="R4235" s="6">
        <v>19.39</v>
      </c>
      <c r="S4235" s="5">
        <v>1.8</v>
      </c>
      <c r="T4235" s="7">
        <v>2.907</v>
      </c>
      <c r="U4235" s="5">
        <v>4</v>
      </c>
      <c r="V4235" s="7">
        <v>0.36499999999999999</v>
      </c>
      <c r="W4235" s="7">
        <v>10.688000000000001</v>
      </c>
      <c r="X4235" s="5">
        <v>11.5</v>
      </c>
      <c r="Y4235" s="7">
        <v>11.625</v>
      </c>
      <c r="Z4235" s="4">
        <v>16</v>
      </c>
      <c r="AA4235" s="6">
        <v>0.96</v>
      </c>
      <c r="AB4235" s="7">
        <v>80.296999999999997</v>
      </c>
      <c r="AC4235" s="2"/>
    </row>
    <row r="4236" spans="1:29" ht="78" x14ac:dyDescent="0.15">
      <c r="A4236" s="3">
        <f t="shared" si="78"/>
        <v>36109</v>
      </c>
      <c r="B4236" s="3">
        <f>DATE(1998,12,16)</f>
        <v>36145</v>
      </c>
      <c r="C4236" s="2" t="s">
        <v>95</v>
      </c>
      <c r="D4236" s="2" t="s">
        <v>9265</v>
      </c>
      <c r="E4236" s="2" t="s">
        <v>1637</v>
      </c>
      <c r="F4236" s="4">
        <v>3312</v>
      </c>
      <c r="G4236" s="2" t="s">
        <v>163</v>
      </c>
      <c r="H4236" s="2" t="s">
        <v>34</v>
      </c>
      <c r="I4236" s="2" t="s">
        <v>13196</v>
      </c>
      <c r="J4236" s="2" t="s">
        <v>13197</v>
      </c>
      <c r="K4236" s="2" t="s">
        <v>163</v>
      </c>
      <c r="L4236" s="2" t="s">
        <v>34</v>
      </c>
      <c r="M4236" s="7">
        <v>136.22399999999999</v>
      </c>
      <c r="N4236" s="6">
        <v>14.25</v>
      </c>
      <c r="O4236" s="7">
        <v>14.125</v>
      </c>
      <c r="P4236" s="2" t="s">
        <v>13198</v>
      </c>
      <c r="Q4236" s="6">
        <v>100</v>
      </c>
      <c r="R4236" s="6">
        <v>10.75</v>
      </c>
      <c r="S4236" s="5">
        <v>5.3</v>
      </c>
      <c r="T4236" s="7">
        <v>13.992000000000001</v>
      </c>
      <c r="U4236" s="5">
        <v>9.1</v>
      </c>
      <c r="V4236" s="6">
        <v>0.88</v>
      </c>
      <c r="W4236" s="7">
        <v>5.375</v>
      </c>
      <c r="X4236" s="7">
        <v>6.125</v>
      </c>
      <c r="Y4236" s="7">
        <v>6.375</v>
      </c>
      <c r="Z4236" s="7">
        <v>10.375</v>
      </c>
      <c r="AA4236" s="6">
        <v>6.01</v>
      </c>
      <c r="AB4236" s="7">
        <v>11.913</v>
      </c>
      <c r="AC4236" s="5">
        <v>27.9</v>
      </c>
    </row>
    <row r="4237" spans="1:29" ht="78" x14ac:dyDescent="0.15">
      <c r="A4237" s="3">
        <f>DATE(1998,11,11)</f>
        <v>36110</v>
      </c>
      <c r="B4237" s="3">
        <f>DATE(1999,7,15)</f>
        <v>36356</v>
      </c>
      <c r="C4237" s="2" t="s">
        <v>95</v>
      </c>
      <c r="D4237" s="2" t="s">
        <v>1659</v>
      </c>
      <c r="E4237" s="2" t="s">
        <v>1387</v>
      </c>
      <c r="F4237" s="4">
        <v>4923</v>
      </c>
      <c r="G4237" s="2" t="s">
        <v>439</v>
      </c>
      <c r="H4237" s="2" t="s">
        <v>34</v>
      </c>
      <c r="I4237" s="2" t="s">
        <v>13199</v>
      </c>
      <c r="J4237" s="2" t="s">
        <v>1888</v>
      </c>
      <c r="K4237" s="2" t="s">
        <v>439</v>
      </c>
      <c r="L4237" s="2" t="s">
        <v>34</v>
      </c>
      <c r="M4237" s="12">
        <v>7122.0860000000002</v>
      </c>
      <c r="N4237" s="7">
        <v>46.125</v>
      </c>
      <c r="O4237" s="7">
        <v>46.625</v>
      </c>
      <c r="P4237" s="2" t="s">
        <v>13200</v>
      </c>
      <c r="Q4237" s="6">
        <v>100</v>
      </c>
      <c r="R4237" s="6">
        <v>35</v>
      </c>
      <c r="S4237" s="5">
        <v>17.100000000000001</v>
      </c>
      <c r="T4237" s="7">
        <v>43.993000000000002</v>
      </c>
      <c r="U4237" s="5">
        <v>11.7</v>
      </c>
      <c r="V4237" s="9">
        <v>1.1333</v>
      </c>
      <c r="W4237" s="7">
        <v>24.812999999999999</v>
      </c>
      <c r="X4237" s="7">
        <v>23.625</v>
      </c>
      <c r="Y4237" s="6">
        <v>32.25</v>
      </c>
      <c r="Z4237" s="7">
        <v>31.875</v>
      </c>
      <c r="AA4237" s="6">
        <v>10.07</v>
      </c>
      <c r="AB4237" s="7">
        <v>13.69</v>
      </c>
      <c r="AC4237" s="6">
        <v>14.43</v>
      </c>
    </row>
    <row r="4238" spans="1:29" ht="91" x14ac:dyDescent="0.15">
      <c r="A4238" s="3">
        <f>DATE(1998,11,11)</f>
        <v>36110</v>
      </c>
      <c r="B4238" s="3">
        <f>DATE(1999,3,25)</f>
        <v>36244</v>
      </c>
      <c r="C4238" s="2" t="s">
        <v>95</v>
      </c>
      <c r="D4238" s="2" t="s">
        <v>12338</v>
      </c>
      <c r="E4238" s="2" t="s">
        <v>12339</v>
      </c>
      <c r="F4238" s="4">
        <v>3571</v>
      </c>
      <c r="G4238" s="2" t="s">
        <v>50</v>
      </c>
      <c r="H4238" s="2" t="s">
        <v>34</v>
      </c>
      <c r="I4238" s="2" t="s">
        <v>13201</v>
      </c>
      <c r="J4238" s="2" t="s">
        <v>13202</v>
      </c>
      <c r="K4238" s="2" t="s">
        <v>223</v>
      </c>
      <c r="L4238" s="2" t="s">
        <v>34</v>
      </c>
      <c r="M4238" s="7">
        <v>53.436999999999998</v>
      </c>
      <c r="N4238" s="5">
        <v>6.5</v>
      </c>
      <c r="O4238" s="5">
        <v>6.5</v>
      </c>
      <c r="P4238" s="2" t="s">
        <v>13203</v>
      </c>
      <c r="Q4238" s="6">
        <v>100</v>
      </c>
      <c r="R4238" s="6">
        <v>4.0599999999999996</v>
      </c>
      <c r="S4238" s="5">
        <v>-2</v>
      </c>
      <c r="T4238" s="7">
        <v>0.57899999999999996</v>
      </c>
      <c r="U4238" s="5">
        <v>1.5</v>
      </c>
      <c r="V4238" s="6">
        <v>-0.12</v>
      </c>
      <c r="W4238" s="7">
        <v>1.625</v>
      </c>
      <c r="X4238" s="7">
        <v>1.5629999999999999</v>
      </c>
      <c r="Y4238" s="7">
        <v>1.5629999999999999</v>
      </c>
      <c r="Z4238" s="5">
        <v>2.5</v>
      </c>
      <c r="AA4238" s="6">
        <v>17.079999999999998</v>
      </c>
      <c r="AB4238" s="2" t="s">
        <v>86</v>
      </c>
      <c r="AC4238" s="2"/>
    </row>
    <row r="4239" spans="1:29" ht="130" x14ac:dyDescent="0.15">
      <c r="A4239" s="3">
        <f>DATE(1998,11,11)</f>
        <v>36110</v>
      </c>
      <c r="B4239" s="3">
        <f>DATE(1999,5,20)</f>
        <v>36300</v>
      </c>
      <c r="C4239" s="2" t="s">
        <v>95</v>
      </c>
      <c r="D4239" s="2" t="s">
        <v>13204</v>
      </c>
      <c r="E4239" s="2" t="s">
        <v>1181</v>
      </c>
      <c r="F4239" s="4">
        <v>6021</v>
      </c>
      <c r="G4239" s="2" t="s">
        <v>37</v>
      </c>
      <c r="H4239" s="2" t="s">
        <v>34</v>
      </c>
      <c r="I4239" s="2" t="s">
        <v>6399</v>
      </c>
      <c r="J4239" s="2" t="s">
        <v>263</v>
      </c>
      <c r="K4239" s="2" t="s">
        <v>33</v>
      </c>
      <c r="L4239" s="2" t="s">
        <v>34</v>
      </c>
      <c r="M4239" s="7">
        <v>768.79899999999998</v>
      </c>
      <c r="N4239" s="4">
        <v>26</v>
      </c>
      <c r="O4239" s="6">
        <v>25.75</v>
      </c>
      <c r="P4239" s="2" t="s">
        <v>13205</v>
      </c>
      <c r="Q4239" s="6">
        <v>100</v>
      </c>
      <c r="R4239" s="6">
        <v>25.42</v>
      </c>
      <c r="S4239" s="5">
        <v>1.5</v>
      </c>
      <c r="T4239" s="7">
        <v>2.105</v>
      </c>
      <c r="U4239" s="5">
        <v>8.6</v>
      </c>
      <c r="V4239" s="7">
        <v>0.76200000000000001</v>
      </c>
      <c r="W4239" s="4">
        <v>20</v>
      </c>
      <c r="X4239" s="4">
        <v>21</v>
      </c>
      <c r="Y4239" s="7">
        <v>22.375</v>
      </c>
      <c r="Z4239" s="7">
        <v>22.625</v>
      </c>
      <c r="AA4239" s="6">
        <v>1.94</v>
      </c>
      <c r="AB4239" s="7">
        <v>123.524</v>
      </c>
      <c r="AC4239" s="2"/>
    </row>
    <row r="4240" spans="1:29" ht="104" x14ac:dyDescent="0.15">
      <c r="A4240" s="3">
        <f>DATE(1998,11,12)</f>
        <v>36111</v>
      </c>
      <c r="B4240" s="3">
        <f>DATE(1999,5,14)</f>
        <v>36294</v>
      </c>
      <c r="C4240" s="2" t="s">
        <v>95</v>
      </c>
      <c r="D4240" s="2" t="s">
        <v>11702</v>
      </c>
      <c r="E4240" s="2" t="s">
        <v>1387</v>
      </c>
      <c r="F4240" s="4">
        <v>4922</v>
      </c>
      <c r="G4240" s="2" t="s">
        <v>439</v>
      </c>
      <c r="H4240" s="2" t="s">
        <v>34</v>
      </c>
      <c r="I4240" s="2" t="s">
        <v>7414</v>
      </c>
      <c r="J4240" s="2" t="s">
        <v>2754</v>
      </c>
      <c r="K4240" s="2" t="s">
        <v>439</v>
      </c>
      <c r="L4240" s="2" t="s">
        <v>34</v>
      </c>
      <c r="M4240" s="12">
        <v>2076.241</v>
      </c>
      <c r="N4240" s="7">
        <v>37.313000000000002</v>
      </c>
      <c r="O4240" s="6">
        <v>37.25</v>
      </c>
      <c r="P4240" s="2" t="s">
        <v>13206</v>
      </c>
      <c r="Q4240" s="6">
        <v>18.37</v>
      </c>
      <c r="R4240" s="6">
        <v>8</v>
      </c>
      <c r="S4240" s="5">
        <v>25.2</v>
      </c>
      <c r="T4240" s="6">
        <v>81.12</v>
      </c>
      <c r="U4240" s="5">
        <v>7.6</v>
      </c>
      <c r="V4240" s="6">
        <v>0.86</v>
      </c>
      <c r="W4240" s="7">
        <v>6.8129999999999997</v>
      </c>
      <c r="X4240" s="5">
        <v>6.5</v>
      </c>
      <c r="Y4240" s="9">
        <v>8.6875</v>
      </c>
      <c r="Z4240" s="11">
        <v>8.4296875</v>
      </c>
      <c r="AA4240" s="6">
        <v>29.4</v>
      </c>
      <c r="AB4240" s="7">
        <v>8.3979999999999997</v>
      </c>
      <c r="AC4240" s="2"/>
    </row>
    <row r="4241" spans="1:29" ht="247" x14ac:dyDescent="0.15">
      <c r="A4241" s="3">
        <f>DATE(1998,11,12)</f>
        <v>36111</v>
      </c>
      <c r="B4241" s="3">
        <f>DATE(1999,3,22)</f>
        <v>36241</v>
      </c>
      <c r="C4241" s="2" t="s">
        <v>95</v>
      </c>
      <c r="D4241" s="2" t="s">
        <v>5170</v>
      </c>
      <c r="E4241" s="2" t="s">
        <v>5171</v>
      </c>
      <c r="F4241" s="4">
        <v>5311</v>
      </c>
      <c r="G4241" s="2" t="s">
        <v>756</v>
      </c>
      <c r="H4241" s="2" t="s">
        <v>34</v>
      </c>
      <c r="I4241" s="2" t="s">
        <v>2580</v>
      </c>
      <c r="J4241" s="2" t="s">
        <v>878</v>
      </c>
      <c r="K4241" s="2" t="s">
        <v>756</v>
      </c>
      <c r="L4241" s="2" t="s">
        <v>34</v>
      </c>
      <c r="M4241" s="7">
        <v>361.142</v>
      </c>
      <c r="N4241" s="4">
        <v>19</v>
      </c>
      <c r="O4241" s="7">
        <v>19.375</v>
      </c>
      <c r="P4241" s="2" t="s">
        <v>13207</v>
      </c>
      <c r="Q4241" s="6">
        <v>100</v>
      </c>
      <c r="R4241" s="6">
        <v>1.5</v>
      </c>
      <c r="S4241" s="5">
        <v>-9</v>
      </c>
      <c r="T4241" s="6">
        <v>82.81</v>
      </c>
      <c r="U4241" s="5">
        <v>20.9</v>
      </c>
      <c r="V4241" s="6">
        <v>-0.87</v>
      </c>
      <c r="W4241" s="7">
        <v>1.375</v>
      </c>
      <c r="X4241" s="7">
        <v>1.3129999999999999</v>
      </c>
      <c r="Y4241" s="7">
        <v>1.4379999999999999</v>
      </c>
      <c r="Z4241" s="5">
        <v>1.5</v>
      </c>
      <c r="AA4241" s="6">
        <v>10.42</v>
      </c>
      <c r="AB4241" s="7">
        <v>9.5120000000000005</v>
      </c>
      <c r="AC4241" s="6">
        <v>57.83</v>
      </c>
    </row>
    <row r="4242" spans="1:29" ht="91" x14ac:dyDescent="0.15">
      <c r="A4242" s="3">
        <f t="shared" ref="A4242:A4247" si="79">DATE(1998,11,16)</f>
        <v>36115</v>
      </c>
      <c r="B4242" s="3">
        <f>DATE(1999,1,6)</f>
        <v>36166</v>
      </c>
      <c r="C4242" s="2" t="s">
        <v>95</v>
      </c>
      <c r="D4242" s="2" t="s">
        <v>13208</v>
      </c>
      <c r="E4242" s="2" t="s">
        <v>13209</v>
      </c>
      <c r="F4242" s="4">
        <v>1442</v>
      </c>
      <c r="G4242" s="2" t="s">
        <v>166</v>
      </c>
      <c r="H4242" s="2" t="s">
        <v>34</v>
      </c>
      <c r="I4242" s="2" t="s">
        <v>13210</v>
      </c>
      <c r="J4242" s="2" t="s">
        <v>13211</v>
      </c>
      <c r="K4242" s="2" t="s">
        <v>166</v>
      </c>
      <c r="L4242" s="2" t="s">
        <v>34</v>
      </c>
      <c r="M4242" s="12">
        <v>3662.491</v>
      </c>
      <c r="N4242" s="7">
        <v>125.125</v>
      </c>
      <c r="O4242" s="7">
        <v>124.938</v>
      </c>
      <c r="P4242" s="2" t="s">
        <v>13212</v>
      </c>
      <c r="Q4242" s="6">
        <v>100</v>
      </c>
      <c r="R4242" s="6">
        <v>31</v>
      </c>
      <c r="S4242" s="5">
        <v>16.600000000000001</v>
      </c>
      <c r="T4242" s="7">
        <v>61.835999999999999</v>
      </c>
      <c r="U4242" s="5">
        <v>14.7</v>
      </c>
      <c r="V4242" s="6">
        <v>0.7</v>
      </c>
      <c r="W4242" s="7">
        <v>26.562999999999999</v>
      </c>
      <c r="X4242" s="7">
        <v>27.187999999999999</v>
      </c>
      <c r="Y4242" s="7">
        <v>30.625</v>
      </c>
      <c r="Z4242" s="7">
        <v>30.812999999999999</v>
      </c>
      <c r="AA4242" s="6">
        <v>23.8</v>
      </c>
      <c r="AB4242" s="7">
        <v>32.256</v>
      </c>
      <c r="AC4242" s="6">
        <v>128.57</v>
      </c>
    </row>
    <row r="4243" spans="1:29" ht="130" x14ac:dyDescent="0.15">
      <c r="A4243" s="3">
        <f t="shared" si="79"/>
        <v>36115</v>
      </c>
      <c r="B4243" s="3">
        <f>DATE(2000,5,26)</f>
        <v>36672</v>
      </c>
      <c r="C4243" s="2" t="s">
        <v>95</v>
      </c>
      <c r="D4243" s="2" t="s">
        <v>13213</v>
      </c>
      <c r="E4243" s="2" t="s">
        <v>4205</v>
      </c>
      <c r="F4243" s="4">
        <v>4941</v>
      </c>
      <c r="G4243" s="2" t="s">
        <v>439</v>
      </c>
      <c r="H4243" s="2" t="s">
        <v>34</v>
      </c>
      <c r="I4243" s="2" t="s">
        <v>13214</v>
      </c>
      <c r="J4243" s="2" t="s">
        <v>13215</v>
      </c>
      <c r="K4243" s="2" t="s">
        <v>439</v>
      </c>
      <c r="L4243" s="2" t="s">
        <v>34</v>
      </c>
      <c r="M4243" s="7">
        <v>310.74599999999998</v>
      </c>
      <c r="N4243" s="6">
        <v>26.75</v>
      </c>
      <c r="O4243" s="7">
        <v>26.875</v>
      </c>
      <c r="P4243" s="2" t="s">
        <v>13216</v>
      </c>
      <c r="Q4243" s="6">
        <v>100</v>
      </c>
      <c r="R4243" s="6">
        <v>33.75</v>
      </c>
      <c r="S4243" s="5">
        <v>1.4</v>
      </c>
      <c r="T4243" s="7">
        <v>4.0119999999999996</v>
      </c>
      <c r="U4243" s="5">
        <v>10.5</v>
      </c>
      <c r="V4243" s="6">
        <v>0.94</v>
      </c>
      <c r="W4243" s="6">
        <v>23.25</v>
      </c>
      <c r="X4243" s="5">
        <v>26.5</v>
      </c>
      <c r="Y4243" s="5">
        <v>26.5</v>
      </c>
      <c r="Z4243" s="5">
        <v>27.5</v>
      </c>
      <c r="AA4243" s="6">
        <v>1.51</v>
      </c>
      <c r="AB4243" s="7">
        <v>24.234000000000002</v>
      </c>
      <c r="AC4243" s="5">
        <v>0.6</v>
      </c>
    </row>
    <row r="4244" spans="1:29" ht="52" x14ac:dyDescent="0.15">
      <c r="A4244" s="3">
        <f t="shared" si="79"/>
        <v>36115</v>
      </c>
      <c r="B4244" s="2"/>
      <c r="C4244" s="2" t="s">
        <v>30</v>
      </c>
      <c r="D4244" s="2" t="s">
        <v>13217</v>
      </c>
      <c r="E4244" s="2" t="s">
        <v>973</v>
      </c>
      <c r="F4244" s="4">
        <v>4812</v>
      </c>
      <c r="G4244" s="2" t="s">
        <v>63</v>
      </c>
      <c r="H4244" s="2" t="s">
        <v>34</v>
      </c>
      <c r="I4244" s="2" t="s">
        <v>13218</v>
      </c>
      <c r="J4244" s="2" t="s">
        <v>1604</v>
      </c>
      <c r="K4244" s="2" t="s">
        <v>63</v>
      </c>
      <c r="L4244" s="2" t="s">
        <v>34</v>
      </c>
      <c r="M4244" s="7">
        <v>475.43099999999998</v>
      </c>
      <c r="N4244" s="7">
        <v>14.625</v>
      </c>
      <c r="O4244" s="7">
        <v>13.875</v>
      </c>
      <c r="P4244" s="2" t="s">
        <v>13219</v>
      </c>
      <c r="Q4244" s="2"/>
      <c r="R4244" s="2"/>
      <c r="S4244" s="5">
        <v>-9.6</v>
      </c>
      <c r="T4244" s="7">
        <v>-19.693000000000001</v>
      </c>
      <c r="U4244" s="5">
        <v>-2.2999999999999998</v>
      </c>
      <c r="V4244" s="6">
        <v>-2.76</v>
      </c>
      <c r="W4244" s="6">
        <v>0.75</v>
      </c>
      <c r="X4244" s="4">
        <v>1</v>
      </c>
      <c r="Y4244" s="7">
        <v>1.125</v>
      </c>
      <c r="Z4244" s="7">
        <v>0.93799999999999994</v>
      </c>
      <c r="AA4244" s="6">
        <v>3.5</v>
      </c>
      <c r="AB4244" s="2" t="s">
        <v>86</v>
      </c>
      <c r="AC4244" s="6">
        <v>20.04</v>
      </c>
    </row>
    <row r="4245" spans="1:29" ht="117" x14ac:dyDescent="0.15">
      <c r="A4245" s="3">
        <f t="shared" si="79"/>
        <v>36115</v>
      </c>
      <c r="B4245" s="3">
        <f>DATE(1999,6,30)</f>
        <v>36341</v>
      </c>
      <c r="C4245" s="2" t="s">
        <v>95</v>
      </c>
      <c r="D4245" s="2" t="s">
        <v>7913</v>
      </c>
      <c r="E4245" s="2" t="s">
        <v>7244</v>
      </c>
      <c r="F4245" s="4">
        <v>6035</v>
      </c>
      <c r="G4245" s="2" t="s">
        <v>33</v>
      </c>
      <c r="H4245" s="2" t="s">
        <v>34</v>
      </c>
      <c r="I4245" s="2" t="s">
        <v>13220</v>
      </c>
      <c r="J4245" s="2" t="s">
        <v>13221</v>
      </c>
      <c r="K4245" s="2" t="s">
        <v>282</v>
      </c>
      <c r="L4245" s="2" t="s">
        <v>34</v>
      </c>
      <c r="M4245" s="10">
        <v>2891.05</v>
      </c>
      <c r="N4245" s="7">
        <v>49.563000000000002</v>
      </c>
      <c r="O4245" s="7">
        <v>49.625</v>
      </c>
      <c r="P4245" s="2" t="s">
        <v>13222</v>
      </c>
      <c r="Q4245" s="6">
        <v>100</v>
      </c>
      <c r="R4245" s="6">
        <v>18.5</v>
      </c>
      <c r="S4245" s="5">
        <v>0.1</v>
      </c>
      <c r="T4245" s="7">
        <v>2.472</v>
      </c>
      <c r="U4245" s="5">
        <v>13.2</v>
      </c>
      <c r="V4245" s="6">
        <v>0.02</v>
      </c>
      <c r="W4245" s="6">
        <v>16.75</v>
      </c>
      <c r="X4245" s="4">
        <v>17</v>
      </c>
      <c r="Y4245" s="7">
        <v>17.125</v>
      </c>
      <c r="Z4245" s="6">
        <v>17.25</v>
      </c>
      <c r="AA4245" s="6">
        <v>6.39</v>
      </c>
      <c r="AB4245" s="7">
        <v>161.274</v>
      </c>
      <c r="AC4245" s="5">
        <v>627</v>
      </c>
    </row>
    <row r="4246" spans="1:29" ht="91" x14ac:dyDescent="0.15">
      <c r="A4246" s="3">
        <f t="shared" si="79"/>
        <v>36115</v>
      </c>
      <c r="B4246" s="3">
        <f>DATE(1999,2,26)</f>
        <v>36217</v>
      </c>
      <c r="C4246" s="2" t="s">
        <v>95</v>
      </c>
      <c r="D4246" s="2" t="s">
        <v>13223</v>
      </c>
      <c r="E4246" s="2" t="s">
        <v>3476</v>
      </c>
      <c r="F4246" s="4">
        <v>1623</v>
      </c>
      <c r="G4246" s="2" t="s">
        <v>341</v>
      </c>
      <c r="H4246" s="2" t="s">
        <v>34</v>
      </c>
      <c r="I4246" s="2" t="s">
        <v>13224</v>
      </c>
      <c r="J4246" s="2" t="s">
        <v>13225</v>
      </c>
      <c r="K4246" s="2" t="s">
        <v>63</v>
      </c>
      <c r="L4246" s="2" t="s">
        <v>34</v>
      </c>
      <c r="M4246" s="2"/>
      <c r="N4246" s="2"/>
      <c r="O4246" s="2"/>
      <c r="P4246" s="2" t="s">
        <v>13226</v>
      </c>
      <c r="Q4246" s="6">
        <v>100</v>
      </c>
      <c r="R4246" s="6">
        <v>20.9</v>
      </c>
      <c r="S4246" s="5">
        <v>1</v>
      </c>
      <c r="T4246" s="7">
        <v>5.7140000000000004</v>
      </c>
      <c r="U4246" s="5">
        <v>9</v>
      </c>
      <c r="V4246" s="6">
        <v>0.1</v>
      </c>
      <c r="W4246" s="7">
        <v>18.625</v>
      </c>
      <c r="X4246" s="5">
        <v>17.5</v>
      </c>
      <c r="Y4246" s="5">
        <v>23.5</v>
      </c>
      <c r="Z4246" s="5">
        <v>23.5</v>
      </c>
      <c r="AA4246" s="6">
        <v>15.1</v>
      </c>
      <c r="AB4246" s="7">
        <v>132.44</v>
      </c>
      <c r="AC4246" s="5">
        <v>4.5999999999999996</v>
      </c>
    </row>
    <row r="4247" spans="1:29" ht="65" x14ac:dyDescent="0.15">
      <c r="A4247" s="3">
        <f t="shared" si="79"/>
        <v>36115</v>
      </c>
      <c r="B4247" s="3">
        <f>DATE(1999,12,23)</f>
        <v>36517</v>
      </c>
      <c r="C4247" s="2" t="s">
        <v>95</v>
      </c>
      <c r="D4247" s="2" t="s">
        <v>13227</v>
      </c>
      <c r="E4247" s="2" t="s">
        <v>3439</v>
      </c>
      <c r="F4247" s="4">
        <v>5411</v>
      </c>
      <c r="G4247" s="2" t="s">
        <v>1461</v>
      </c>
      <c r="H4247" s="2" t="s">
        <v>34</v>
      </c>
      <c r="I4247" s="2" t="s">
        <v>13228</v>
      </c>
      <c r="J4247" s="2" t="s">
        <v>302</v>
      </c>
      <c r="K4247" s="2" t="s">
        <v>53</v>
      </c>
      <c r="L4247" s="2" t="s">
        <v>34</v>
      </c>
      <c r="M4247" s="2"/>
      <c r="N4247" s="2"/>
      <c r="O4247" s="2"/>
      <c r="P4247" s="2" t="s">
        <v>13229</v>
      </c>
      <c r="Q4247" s="6">
        <v>28.08</v>
      </c>
      <c r="R4247" s="6">
        <v>8.75</v>
      </c>
      <c r="S4247" s="5">
        <v>2.8</v>
      </c>
      <c r="T4247" s="7">
        <v>7.9640000000000004</v>
      </c>
      <c r="U4247" s="5">
        <v>9.1999999999999993</v>
      </c>
      <c r="V4247" s="6">
        <v>0.5</v>
      </c>
      <c r="W4247" s="6">
        <v>7.63</v>
      </c>
      <c r="X4247" s="4">
        <v>7</v>
      </c>
      <c r="Y4247" s="6">
        <v>7.75</v>
      </c>
      <c r="Z4247" s="7">
        <v>7.625</v>
      </c>
      <c r="AA4247" s="6">
        <v>5.48</v>
      </c>
      <c r="AB4247" s="7">
        <v>13.313000000000001</v>
      </c>
      <c r="AC4247" s="2"/>
    </row>
    <row r="4248" spans="1:29" ht="117" x14ac:dyDescent="0.15">
      <c r="A4248" s="3">
        <f>DATE(1998,11,17)</f>
        <v>36116</v>
      </c>
      <c r="B4248" s="2"/>
      <c r="C4248" s="2" t="s">
        <v>30</v>
      </c>
      <c r="D4248" s="2" t="s">
        <v>13230</v>
      </c>
      <c r="E4248" s="2" t="s">
        <v>13231</v>
      </c>
      <c r="F4248" s="4">
        <v>5143</v>
      </c>
      <c r="G4248" s="2" t="s">
        <v>593</v>
      </c>
      <c r="H4248" s="2" t="s">
        <v>34</v>
      </c>
      <c r="I4248" s="2" t="s">
        <v>10707</v>
      </c>
      <c r="J4248" s="2" t="s">
        <v>10708</v>
      </c>
      <c r="K4248" s="2" t="s">
        <v>577</v>
      </c>
      <c r="L4248" s="2" t="s">
        <v>902</v>
      </c>
      <c r="M4248" s="2"/>
      <c r="N4248" s="2"/>
      <c r="O4248" s="2"/>
      <c r="P4248" s="2" t="s">
        <v>13232</v>
      </c>
      <c r="Q4248" s="2"/>
      <c r="R4248" s="6">
        <v>13</v>
      </c>
      <c r="S4248" s="5">
        <v>0.1</v>
      </c>
      <c r="T4248" s="7">
        <v>2.738</v>
      </c>
      <c r="U4248" s="5">
        <v>6.4</v>
      </c>
      <c r="V4248" s="6">
        <v>0.03</v>
      </c>
      <c r="W4248" s="7">
        <v>9.125</v>
      </c>
      <c r="X4248" s="6">
        <v>9.25</v>
      </c>
      <c r="Y4248" s="6">
        <v>10.75</v>
      </c>
      <c r="Z4248" s="6">
        <v>10.75</v>
      </c>
      <c r="AA4248" s="6">
        <v>3.46</v>
      </c>
      <c r="AB4248" s="7">
        <v>230.19900000000001</v>
      </c>
      <c r="AC4248" s="6">
        <v>23.93</v>
      </c>
    </row>
    <row r="4249" spans="1:29" ht="117" x14ac:dyDescent="0.15">
      <c r="A4249" s="3">
        <f>DATE(1998,11,17)</f>
        <v>36116</v>
      </c>
      <c r="B4249" s="3">
        <f>DATE(1999,3,30)</f>
        <v>36249</v>
      </c>
      <c r="C4249" s="2" t="s">
        <v>95</v>
      </c>
      <c r="D4249" s="2" t="s">
        <v>13233</v>
      </c>
      <c r="E4249" s="2" t="s">
        <v>92</v>
      </c>
      <c r="F4249" s="4">
        <v>6798</v>
      </c>
      <c r="G4249" s="2" t="s">
        <v>53</v>
      </c>
      <c r="H4249" s="2" t="s">
        <v>34</v>
      </c>
      <c r="I4249" s="2" t="s">
        <v>13234</v>
      </c>
      <c r="J4249" s="2" t="s">
        <v>92</v>
      </c>
      <c r="K4249" s="2" t="s">
        <v>53</v>
      </c>
      <c r="L4249" s="2" t="s">
        <v>34</v>
      </c>
      <c r="M4249" s="12">
        <v>2769.0889999999999</v>
      </c>
      <c r="N4249" s="5">
        <v>20.5</v>
      </c>
      <c r="O4249" s="4">
        <v>21</v>
      </c>
      <c r="P4249" s="2" t="s">
        <v>13235</v>
      </c>
      <c r="Q4249" s="6">
        <v>100</v>
      </c>
      <c r="R4249" s="6">
        <v>25</v>
      </c>
      <c r="S4249" s="5">
        <v>23.5</v>
      </c>
      <c r="T4249" s="7">
        <v>34.536999999999999</v>
      </c>
      <c r="U4249" s="5">
        <v>18.899999999999999</v>
      </c>
      <c r="V4249" s="6">
        <v>1.1299999999999999</v>
      </c>
      <c r="W4249" s="6">
        <v>21.75</v>
      </c>
      <c r="X4249" s="7">
        <v>22.187999999999999</v>
      </c>
      <c r="Y4249" s="7">
        <v>22.875</v>
      </c>
      <c r="Z4249" s="7">
        <v>23.437999999999999</v>
      </c>
      <c r="AA4249" s="6">
        <v>31.67</v>
      </c>
      <c r="AB4249" s="7">
        <v>46.96</v>
      </c>
      <c r="AC4249" s="6">
        <v>25.01</v>
      </c>
    </row>
    <row r="4250" spans="1:29" ht="130" x14ac:dyDescent="0.15">
      <c r="A4250" s="3">
        <f>DATE(1998,11,17)</f>
        <v>36116</v>
      </c>
      <c r="B4250" s="2"/>
      <c r="C4250" s="2" t="s">
        <v>30</v>
      </c>
      <c r="D4250" s="2" t="s">
        <v>13236</v>
      </c>
      <c r="E4250" s="2" t="s">
        <v>4865</v>
      </c>
      <c r="F4250" s="4">
        <v>3674</v>
      </c>
      <c r="G4250" s="2" t="s">
        <v>137</v>
      </c>
      <c r="H4250" s="2" t="s">
        <v>34</v>
      </c>
      <c r="I4250" s="2" t="s">
        <v>51</v>
      </c>
      <c r="J4250" s="2" t="s">
        <v>52</v>
      </c>
      <c r="K4250" s="2" t="s">
        <v>53</v>
      </c>
      <c r="L4250" s="2" t="s">
        <v>34</v>
      </c>
      <c r="M4250" s="2"/>
      <c r="N4250" s="2"/>
      <c r="O4250" s="2"/>
      <c r="P4250" s="2" t="s">
        <v>13237</v>
      </c>
      <c r="Q4250" s="2"/>
      <c r="R4250" s="6">
        <v>4.5</v>
      </c>
      <c r="S4250" s="5">
        <v>5.9</v>
      </c>
      <c r="T4250" s="7">
        <v>4.8710000000000004</v>
      </c>
      <c r="U4250" s="5">
        <v>5.9</v>
      </c>
      <c r="V4250" s="6">
        <v>0.14000000000000001</v>
      </c>
      <c r="W4250" s="6">
        <v>3.75</v>
      </c>
      <c r="X4250" s="7">
        <v>3.6880000000000002</v>
      </c>
      <c r="Y4250" s="11">
        <v>3.96875</v>
      </c>
      <c r="Z4250" s="11">
        <v>4.09375</v>
      </c>
      <c r="AA4250" s="6">
        <v>40.659999999999997</v>
      </c>
      <c r="AB4250" s="2" t="s">
        <v>86</v>
      </c>
      <c r="AC4250" s="2"/>
    </row>
    <row r="4251" spans="1:29" ht="52" x14ac:dyDescent="0.15">
      <c r="A4251" s="3">
        <f>DATE(1998,11,17)</f>
        <v>36116</v>
      </c>
      <c r="B4251" s="3">
        <f>DATE(1999,7,30)</f>
        <v>36371</v>
      </c>
      <c r="C4251" s="2" t="s">
        <v>95</v>
      </c>
      <c r="D4251" s="2" t="s">
        <v>13238</v>
      </c>
      <c r="E4251" s="2" t="s">
        <v>13239</v>
      </c>
      <c r="F4251" s="4">
        <v>2673</v>
      </c>
      <c r="G4251" s="2" t="s">
        <v>282</v>
      </c>
      <c r="H4251" s="2" t="s">
        <v>34</v>
      </c>
      <c r="I4251" s="2" t="s">
        <v>51</v>
      </c>
      <c r="J4251" s="2" t="s">
        <v>52</v>
      </c>
      <c r="K4251" s="2" t="s">
        <v>53</v>
      </c>
      <c r="L4251" s="2" t="s">
        <v>34</v>
      </c>
      <c r="M4251" s="2"/>
      <c r="N4251" s="2"/>
      <c r="O4251" s="2"/>
      <c r="P4251" s="2" t="s">
        <v>13240</v>
      </c>
      <c r="Q4251" s="6">
        <v>100</v>
      </c>
      <c r="R4251" s="6">
        <v>7.57</v>
      </c>
      <c r="S4251" s="5">
        <v>1.5</v>
      </c>
      <c r="T4251" s="7">
        <v>3.9540000000000002</v>
      </c>
      <c r="U4251" s="5">
        <v>3</v>
      </c>
      <c r="V4251" s="6">
        <v>0.35</v>
      </c>
      <c r="W4251" s="7">
        <v>5.0629999999999997</v>
      </c>
      <c r="X4251" s="7">
        <v>5.375</v>
      </c>
      <c r="Y4251" s="7">
        <v>6.375</v>
      </c>
      <c r="Z4251" s="7">
        <v>6.375</v>
      </c>
      <c r="AA4251" s="6">
        <v>4.47</v>
      </c>
      <c r="AB4251" s="7">
        <v>12.534000000000001</v>
      </c>
      <c r="AC4251" s="2"/>
    </row>
    <row r="4252" spans="1:29" ht="78" x14ac:dyDescent="0.15">
      <c r="A4252" s="3">
        <f>DATE(1998,11,18)</f>
        <v>36117</v>
      </c>
      <c r="B4252" s="3">
        <f>DATE(1999,5,3)</f>
        <v>36283</v>
      </c>
      <c r="C4252" s="2" t="s">
        <v>95</v>
      </c>
      <c r="D4252" s="2" t="s">
        <v>13241</v>
      </c>
      <c r="E4252" s="2" t="s">
        <v>13242</v>
      </c>
      <c r="F4252" s="4">
        <v>8731</v>
      </c>
      <c r="G4252" s="2" t="s">
        <v>223</v>
      </c>
      <c r="H4252" s="2" t="s">
        <v>34</v>
      </c>
      <c r="I4252" s="2" t="s">
        <v>13243</v>
      </c>
      <c r="J4252" s="2" t="s">
        <v>8153</v>
      </c>
      <c r="K4252" s="2" t="s">
        <v>223</v>
      </c>
      <c r="L4252" s="2" t="s">
        <v>902</v>
      </c>
      <c r="M4252" s="2"/>
      <c r="N4252" s="2"/>
      <c r="O4252" s="2"/>
      <c r="P4252" s="2" t="s">
        <v>13244</v>
      </c>
      <c r="Q4252" s="6">
        <v>100</v>
      </c>
      <c r="R4252" s="6">
        <v>0.71</v>
      </c>
      <c r="S4252" s="5">
        <v>-7.3</v>
      </c>
      <c r="T4252" s="7">
        <v>-3.629</v>
      </c>
      <c r="U4252" s="5">
        <v>0.5</v>
      </c>
      <c r="V4252" s="6">
        <v>-0.64</v>
      </c>
      <c r="W4252" s="4">
        <v>1</v>
      </c>
      <c r="X4252" s="7">
        <v>1.0629999999999999</v>
      </c>
      <c r="Y4252" s="7">
        <v>0.68799999999999994</v>
      </c>
      <c r="Z4252" s="5">
        <v>0.5</v>
      </c>
      <c r="AA4252" s="6">
        <v>11.52</v>
      </c>
      <c r="AB4252" s="2" t="s">
        <v>86</v>
      </c>
      <c r="AC4252" s="6">
        <v>12.12</v>
      </c>
    </row>
    <row r="4253" spans="1:29" ht="52" x14ac:dyDescent="0.15">
      <c r="A4253" s="3">
        <f>DATE(1998,11,18)</f>
        <v>36117</v>
      </c>
      <c r="B4253" s="3">
        <f>DATE(1999,7,1)</f>
        <v>36342</v>
      </c>
      <c r="C4253" s="2" t="s">
        <v>95</v>
      </c>
      <c r="D4253" s="2" t="s">
        <v>13245</v>
      </c>
      <c r="E4253" s="2" t="s">
        <v>1295</v>
      </c>
      <c r="F4253" s="4">
        <v>6035</v>
      </c>
      <c r="G4253" s="2" t="s">
        <v>33</v>
      </c>
      <c r="H4253" s="2" t="s">
        <v>34</v>
      </c>
      <c r="I4253" s="2" t="s">
        <v>13246</v>
      </c>
      <c r="J4253" s="2" t="s">
        <v>1072</v>
      </c>
      <c r="K4253" s="2" t="s">
        <v>53</v>
      </c>
      <c r="L4253" s="2" t="s">
        <v>34</v>
      </c>
      <c r="M4253" s="7">
        <v>35.067</v>
      </c>
      <c r="N4253" s="11">
        <v>4.78125</v>
      </c>
      <c r="O4253" s="9">
        <v>5.1875</v>
      </c>
      <c r="P4253" s="2" t="s">
        <v>13247</v>
      </c>
      <c r="Q4253" s="6">
        <v>100</v>
      </c>
      <c r="R4253" s="6">
        <v>15.5</v>
      </c>
      <c r="S4253" s="5">
        <v>-0.1</v>
      </c>
      <c r="T4253" s="7">
        <v>-0.317</v>
      </c>
      <c r="U4253" s="5">
        <v>13.9</v>
      </c>
      <c r="V4253" s="7">
        <v>-6.4000000000000001E-2</v>
      </c>
      <c r="W4253" s="5">
        <v>9.5</v>
      </c>
      <c r="X4253" s="6">
        <v>10.25</v>
      </c>
      <c r="Y4253" s="5">
        <v>10.5</v>
      </c>
      <c r="Z4253" s="7">
        <v>14.125</v>
      </c>
      <c r="AA4253" s="6">
        <v>1.1599999999999999</v>
      </c>
      <c r="AB4253" s="2" t="s">
        <v>86</v>
      </c>
      <c r="AC4253" s="6">
        <v>11.22</v>
      </c>
    </row>
    <row r="4254" spans="1:29" ht="104" x14ac:dyDescent="0.15">
      <c r="A4254" s="3">
        <f>DATE(1998,11,18)</f>
        <v>36117</v>
      </c>
      <c r="B4254" s="3">
        <f>DATE(1999,4,23)</f>
        <v>36273</v>
      </c>
      <c r="C4254" s="2" t="s">
        <v>95</v>
      </c>
      <c r="D4254" s="2" t="s">
        <v>5029</v>
      </c>
      <c r="E4254" s="2" t="s">
        <v>5030</v>
      </c>
      <c r="F4254" s="4">
        <v>2671</v>
      </c>
      <c r="G4254" s="2" t="s">
        <v>282</v>
      </c>
      <c r="H4254" s="2" t="s">
        <v>34</v>
      </c>
      <c r="I4254" s="2" t="s">
        <v>9740</v>
      </c>
      <c r="J4254" s="2" t="s">
        <v>9741</v>
      </c>
      <c r="K4254" s="2" t="s">
        <v>163</v>
      </c>
      <c r="L4254" s="2" t="s">
        <v>34</v>
      </c>
      <c r="M4254" s="7">
        <v>7.0549999999999997</v>
      </c>
      <c r="N4254" s="6">
        <v>2.25</v>
      </c>
      <c r="O4254" s="7">
        <v>2.125</v>
      </c>
      <c r="P4254" s="2" t="s">
        <v>13248</v>
      </c>
      <c r="Q4254" s="6">
        <v>100</v>
      </c>
      <c r="R4254" s="6">
        <v>3.64</v>
      </c>
      <c r="S4254" s="5">
        <v>-0.3</v>
      </c>
      <c r="T4254" s="7">
        <v>2.4319999999999999</v>
      </c>
      <c r="U4254" s="5">
        <v>7.6</v>
      </c>
      <c r="V4254" s="6">
        <v>-0.08</v>
      </c>
      <c r="W4254" s="7">
        <v>2.1880000000000002</v>
      </c>
      <c r="X4254" s="7">
        <v>2.625</v>
      </c>
      <c r="Y4254" s="7">
        <v>3.0630000000000002</v>
      </c>
      <c r="Z4254" s="6">
        <v>3.25</v>
      </c>
      <c r="AA4254" s="6">
        <v>3.55</v>
      </c>
      <c r="AB4254" s="2" t="s">
        <v>86</v>
      </c>
      <c r="AC4254" s="5">
        <v>0.8</v>
      </c>
    </row>
    <row r="4255" spans="1:29" ht="117" x14ac:dyDescent="0.15">
      <c r="A4255" s="3">
        <f>DATE(1998,11,18)</f>
        <v>36117</v>
      </c>
      <c r="B4255" s="3">
        <f>DATE(1999,5,14)</f>
        <v>36294</v>
      </c>
      <c r="C4255" s="2" t="s">
        <v>95</v>
      </c>
      <c r="D4255" s="2" t="s">
        <v>13249</v>
      </c>
      <c r="E4255" s="2" t="s">
        <v>13250</v>
      </c>
      <c r="F4255" s="4">
        <v>6411</v>
      </c>
      <c r="G4255" s="2" t="s">
        <v>125</v>
      </c>
      <c r="H4255" s="2" t="s">
        <v>34</v>
      </c>
      <c r="I4255" s="2" t="s">
        <v>13251</v>
      </c>
      <c r="J4255" s="2" t="s">
        <v>1085</v>
      </c>
      <c r="K4255" s="2" t="s">
        <v>125</v>
      </c>
      <c r="L4255" s="2" t="s">
        <v>34</v>
      </c>
      <c r="M4255" s="12">
        <v>1611.2239999999999</v>
      </c>
      <c r="N4255" s="6">
        <v>33.25</v>
      </c>
      <c r="O4255" s="4">
        <v>31</v>
      </c>
      <c r="P4255" s="2" t="s">
        <v>13252</v>
      </c>
      <c r="Q4255" s="6">
        <v>100</v>
      </c>
      <c r="R4255" s="6">
        <v>23.32</v>
      </c>
      <c r="S4255" s="5">
        <v>3.3</v>
      </c>
      <c r="T4255" s="2"/>
      <c r="U4255" s="5">
        <v>6.9</v>
      </c>
      <c r="V4255" s="6">
        <v>0.79</v>
      </c>
      <c r="W4255" s="4">
        <v>9</v>
      </c>
      <c r="X4255" s="7">
        <v>11.625</v>
      </c>
      <c r="Y4255" s="7">
        <v>18.875</v>
      </c>
      <c r="Z4255" s="6">
        <v>18.75</v>
      </c>
      <c r="AA4255" s="6">
        <v>4.12</v>
      </c>
      <c r="AB4255" s="7">
        <v>25.289000000000001</v>
      </c>
      <c r="AC4255" s="6">
        <v>181.53</v>
      </c>
    </row>
    <row r="4256" spans="1:29" ht="156" x14ac:dyDescent="0.15">
      <c r="A4256" s="3">
        <f>DATE(1998,11,19)</f>
        <v>36118</v>
      </c>
      <c r="B4256" s="2"/>
      <c r="C4256" s="2" t="s">
        <v>30</v>
      </c>
      <c r="D4256" s="2" t="s">
        <v>13253</v>
      </c>
      <c r="E4256" s="2" t="s">
        <v>13254</v>
      </c>
      <c r="F4256" s="4">
        <v>8051</v>
      </c>
      <c r="G4256" s="2" t="s">
        <v>454</v>
      </c>
      <c r="H4256" s="2" t="s">
        <v>34</v>
      </c>
      <c r="I4256" s="2" t="s">
        <v>13255</v>
      </c>
      <c r="J4256" s="2" t="s">
        <v>13256</v>
      </c>
      <c r="K4256" s="2" t="s">
        <v>454</v>
      </c>
      <c r="L4256" s="2" t="s">
        <v>34</v>
      </c>
      <c r="M4256" s="7">
        <v>279.07400000000001</v>
      </c>
      <c r="N4256" s="6">
        <v>16.25</v>
      </c>
      <c r="O4256" s="7">
        <v>15.375</v>
      </c>
      <c r="P4256" s="2" t="s">
        <v>13257</v>
      </c>
      <c r="Q4256" s="2"/>
      <c r="R4256" s="6">
        <v>14.66</v>
      </c>
      <c r="S4256" s="5">
        <v>5.9</v>
      </c>
      <c r="T4256" s="2"/>
      <c r="U4256" s="5">
        <v>8.4</v>
      </c>
      <c r="V4256" s="7">
        <v>0.42499999999999999</v>
      </c>
      <c r="W4256" s="7">
        <v>13.313000000000001</v>
      </c>
      <c r="X4256" s="6">
        <v>13.25</v>
      </c>
      <c r="Y4256" s="7">
        <v>12.875</v>
      </c>
      <c r="Z4256" s="7">
        <v>12.063000000000001</v>
      </c>
      <c r="AA4256" s="6">
        <v>17.39</v>
      </c>
      <c r="AB4256" s="7">
        <v>57.036999999999999</v>
      </c>
      <c r="AC4256" s="6">
        <v>47.24</v>
      </c>
    </row>
    <row r="4257" spans="1:29" ht="91" x14ac:dyDescent="0.15">
      <c r="A4257" s="3">
        <f>DATE(1998,11,19)</f>
        <v>36118</v>
      </c>
      <c r="B4257" s="3">
        <f>DATE(1999,1,5)</f>
        <v>36165</v>
      </c>
      <c r="C4257" s="2" t="s">
        <v>95</v>
      </c>
      <c r="D4257" s="2" t="s">
        <v>13258</v>
      </c>
      <c r="E4257" s="2" t="s">
        <v>13259</v>
      </c>
      <c r="F4257" s="4">
        <v>2833</v>
      </c>
      <c r="G4257" s="2" t="s">
        <v>130</v>
      </c>
      <c r="H4257" s="2" t="s">
        <v>34</v>
      </c>
      <c r="I4257" s="2" t="s">
        <v>13260</v>
      </c>
      <c r="J4257" s="2" t="s">
        <v>13261</v>
      </c>
      <c r="K4257" s="2" t="s">
        <v>593</v>
      </c>
      <c r="L4257" s="2" t="s">
        <v>34</v>
      </c>
      <c r="M4257" s="2"/>
      <c r="N4257" s="2"/>
      <c r="O4257" s="2"/>
      <c r="P4257" s="2" t="s">
        <v>13262</v>
      </c>
      <c r="Q4257" s="6">
        <v>100</v>
      </c>
      <c r="R4257" s="6">
        <v>25</v>
      </c>
      <c r="S4257" s="5">
        <v>-3</v>
      </c>
      <c r="T4257" s="5">
        <v>0.8</v>
      </c>
      <c r="U4257" s="5">
        <v>7</v>
      </c>
      <c r="V4257" s="6">
        <v>-0.55000000000000004</v>
      </c>
      <c r="W4257" s="7">
        <v>26.125</v>
      </c>
      <c r="X4257" s="7">
        <v>23.125</v>
      </c>
      <c r="Y4257" s="7">
        <v>24.562999999999999</v>
      </c>
      <c r="Z4257" s="7">
        <v>24.530999999999999</v>
      </c>
      <c r="AA4257" s="6">
        <v>5.72</v>
      </c>
      <c r="AB4257" s="2" t="s">
        <v>86</v>
      </c>
      <c r="AC4257" s="2"/>
    </row>
    <row r="4258" spans="1:29" ht="104" x14ac:dyDescent="0.15">
      <c r="A4258" s="3">
        <f>DATE(1998,11,19)</f>
        <v>36118</v>
      </c>
      <c r="B4258" s="3">
        <f>DATE(1999,4,26)</f>
        <v>36276</v>
      </c>
      <c r="C4258" s="2" t="s">
        <v>95</v>
      </c>
      <c r="D4258" s="2" t="s">
        <v>13263</v>
      </c>
      <c r="E4258" s="2" t="s">
        <v>13264</v>
      </c>
      <c r="F4258" s="4">
        <v>7372</v>
      </c>
      <c r="G4258" s="2" t="s">
        <v>551</v>
      </c>
      <c r="H4258" s="2" t="s">
        <v>34</v>
      </c>
      <c r="I4258" s="2" t="s">
        <v>13265</v>
      </c>
      <c r="J4258" s="2" t="s">
        <v>553</v>
      </c>
      <c r="K4258" s="2" t="s">
        <v>551</v>
      </c>
      <c r="L4258" s="2" t="s">
        <v>34</v>
      </c>
      <c r="M4258" s="7">
        <v>204.17400000000001</v>
      </c>
      <c r="N4258" s="4">
        <v>17</v>
      </c>
      <c r="O4258" s="6">
        <v>17.25</v>
      </c>
      <c r="P4258" s="2" t="s">
        <v>13266</v>
      </c>
      <c r="Q4258" s="6">
        <v>100</v>
      </c>
      <c r="R4258" s="6">
        <v>2.2599999999999998</v>
      </c>
      <c r="S4258" s="5">
        <v>-16.2</v>
      </c>
      <c r="T4258" s="7">
        <v>-6.9980000000000002</v>
      </c>
      <c r="U4258" s="5">
        <v>1.8</v>
      </c>
      <c r="V4258" s="6">
        <v>-1.1599999999999999</v>
      </c>
      <c r="W4258" s="4">
        <v>2</v>
      </c>
      <c r="X4258" s="7">
        <v>3.3130000000000002</v>
      </c>
      <c r="Y4258" s="7">
        <v>1.9379999999999999</v>
      </c>
      <c r="Z4258" s="7">
        <v>1.9059999999999999</v>
      </c>
      <c r="AA4258" s="6">
        <v>18.7</v>
      </c>
      <c r="AB4258" s="2" t="s">
        <v>86</v>
      </c>
      <c r="AC4258" s="2"/>
    </row>
    <row r="4259" spans="1:29" ht="169" x14ac:dyDescent="0.15">
      <c r="A4259" s="3">
        <f>DATE(1998,11,19)</f>
        <v>36118</v>
      </c>
      <c r="B4259" s="3">
        <f>DATE(1999,2,22)</f>
        <v>36213</v>
      </c>
      <c r="C4259" s="2" t="s">
        <v>95</v>
      </c>
      <c r="D4259" s="2" t="s">
        <v>13267</v>
      </c>
      <c r="E4259" s="2" t="s">
        <v>58</v>
      </c>
      <c r="F4259" s="4">
        <v>4512</v>
      </c>
      <c r="G4259" s="2" t="s">
        <v>59</v>
      </c>
      <c r="H4259" s="2" t="s">
        <v>34</v>
      </c>
      <c r="I4259" s="2" t="s">
        <v>6903</v>
      </c>
      <c r="J4259" s="2" t="s">
        <v>58</v>
      </c>
      <c r="K4259" s="2" t="s">
        <v>59</v>
      </c>
      <c r="L4259" s="2" t="s">
        <v>34</v>
      </c>
      <c r="M4259" s="2"/>
      <c r="N4259" s="2"/>
      <c r="O4259" s="2"/>
      <c r="P4259" s="2" t="s">
        <v>13268</v>
      </c>
      <c r="Q4259" s="6">
        <v>100</v>
      </c>
      <c r="R4259" s="6">
        <v>7.75</v>
      </c>
      <c r="S4259" s="5">
        <v>-11.6</v>
      </c>
      <c r="T4259" s="7">
        <v>-0.33900000000000002</v>
      </c>
      <c r="U4259" s="5">
        <v>-0.1</v>
      </c>
      <c r="V4259" s="6">
        <v>-1.18</v>
      </c>
      <c r="W4259" s="7">
        <v>6.6879999999999997</v>
      </c>
      <c r="X4259" s="6">
        <v>7.25</v>
      </c>
      <c r="Y4259" s="7">
        <v>7.375</v>
      </c>
      <c r="Z4259" s="7">
        <v>7.3129999999999997</v>
      </c>
      <c r="AA4259" s="6">
        <v>10.85</v>
      </c>
      <c r="AB4259" s="2" t="s">
        <v>86</v>
      </c>
      <c r="AC4259" s="8">
        <v>1809</v>
      </c>
    </row>
    <row r="4260" spans="1:29" ht="104" x14ac:dyDescent="0.15">
      <c r="A4260" s="3">
        <f>DATE(1998,11,20)</f>
        <v>36119</v>
      </c>
      <c r="B4260" s="2"/>
      <c r="C4260" s="2" t="s">
        <v>30</v>
      </c>
      <c r="D4260" s="2" t="s">
        <v>13269</v>
      </c>
      <c r="E4260" s="2" t="s">
        <v>13270</v>
      </c>
      <c r="F4260" s="4">
        <v>3827</v>
      </c>
      <c r="G4260" s="2" t="s">
        <v>226</v>
      </c>
      <c r="H4260" s="2" t="s">
        <v>34</v>
      </c>
      <c r="I4260" s="2" t="s">
        <v>149</v>
      </c>
      <c r="J4260" s="2" t="s">
        <v>150</v>
      </c>
      <c r="K4260" s="2" t="s">
        <v>53</v>
      </c>
      <c r="L4260" s="2" t="s">
        <v>151</v>
      </c>
      <c r="M4260" s="2"/>
      <c r="N4260" s="2"/>
      <c r="O4260" s="2"/>
      <c r="P4260" s="2" t="s">
        <v>13271</v>
      </c>
      <c r="Q4260" s="2"/>
      <c r="R4260" s="2"/>
      <c r="S4260" s="5">
        <v>5.5</v>
      </c>
      <c r="T4260" s="7">
        <v>15.379</v>
      </c>
      <c r="U4260" s="5">
        <v>7.7</v>
      </c>
      <c r="V4260" s="6">
        <v>1.02</v>
      </c>
      <c r="W4260" s="4">
        <v>11</v>
      </c>
      <c r="X4260" s="7">
        <v>10.313000000000001</v>
      </c>
      <c r="Y4260" s="7">
        <v>10.875</v>
      </c>
      <c r="Z4260" s="7">
        <v>14.875</v>
      </c>
      <c r="AA4260" s="6">
        <v>4</v>
      </c>
      <c r="AB4260" s="2" t="s">
        <v>47</v>
      </c>
      <c r="AC4260" s="2"/>
    </row>
    <row r="4261" spans="1:29" ht="52" x14ac:dyDescent="0.15">
      <c r="A4261" s="3">
        <f>DATE(1998,11,20)</f>
        <v>36119</v>
      </c>
      <c r="B4261" s="3">
        <f>DATE(1999,10,19)</f>
        <v>36452</v>
      </c>
      <c r="C4261" s="2" t="s">
        <v>95</v>
      </c>
      <c r="D4261" s="2" t="s">
        <v>13272</v>
      </c>
      <c r="E4261" s="2" t="s">
        <v>13273</v>
      </c>
      <c r="F4261" s="4">
        <v>4931</v>
      </c>
      <c r="G4261" s="2" t="s">
        <v>439</v>
      </c>
      <c r="H4261" s="2" t="s">
        <v>34</v>
      </c>
      <c r="I4261" s="2" t="s">
        <v>13274</v>
      </c>
      <c r="J4261" s="2" t="s">
        <v>13275</v>
      </c>
      <c r="K4261" s="2" t="s">
        <v>439</v>
      </c>
      <c r="L4261" s="2" t="s">
        <v>34</v>
      </c>
      <c r="M4261" s="12">
        <v>6964.6030000000001</v>
      </c>
      <c r="N4261" s="7">
        <v>43.563000000000002</v>
      </c>
      <c r="O4261" s="7">
        <v>44.938000000000002</v>
      </c>
      <c r="P4261" s="2" t="s">
        <v>13276</v>
      </c>
      <c r="Q4261" s="6">
        <v>100</v>
      </c>
      <c r="R4261" s="6">
        <v>65</v>
      </c>
      <c r="S4261" s="5">
        <v>12.9</v>
      </c>
      <c r="T4261" s="7">
        <v>146.23099999999999</v>
      </c>
      <c r="U4261" s="5">
        <v>25.9</v>
      </c>
      <c r="V4261" s="6">
        <v>0.71</v>
      </c>
      <c r="W4261" s="6">
        <v>52.75</v>
      </c>
      <c r="X4261" s="5">
        <v>53.5</v>
      </c>
      <c r="Y4261" s="7">
        <v>53.438000000000002</v>
      </c>
      <c r="Z4261" s="4">
        <v>61</v>
      </c>
      <c r="AA4261" s="6">
        <v>13.61</v>
      </c>
      <c r="AB4261" s="7">
        <v>16.64</v>
      </c>
      <c r="AC4261" s="5">
        <v>429</v>
      </c>
    </row>
    <row r="4262" spans="1:29" ht="143" x14ac:dyDescent="0.15">
      <c r="A4262" s="3">
        <f>DATE(1998,11,20)</f>
        <v>36119</v>
      </c>
      <c r="B4262" s="3">
        <f>DATE(1999,1,8)</f>
        <v>36168</v>
      </c>
      <c r="C4262" s="2" t="s">
        <v>95</v>
      </c>
      <c r="D4262" s="2" t="s">
        <v>6145</v>
      </c>
      <c r="E4262" s="2" t="s">
        <v>6146</v>
      </c>
      <c r="F4262" s="4">
        <v>3845</v>
      </c>
      <c r="G4262" s="2" t="s">
        <v>226</v>
      </c>
      <c r="H4262" s="2" t="s">
        <v>34</v>
      </c>
      <c r="I4262" s="2" t="s">
        <v>5082</v>
      </c>
      <c r="J4262" s="2" t="s">
        <v>563</v>
      </c>
      <c r="K4262" s="2" t="s">
        <v>226</v>
      </c>
      <c r="L4262" s="2" t="s">
        <v>34</v>
      </c>
      <c r="M4262" s="6">
        <v>355.57</v>
      </c>
      <c r="N4262" s="4">
        <v>25</v>
      </c>
      <c r="O4262" s="6">
        <v>25.75</v>
      </c>
      <c r="P4262" s="2" t="s">
        <v>13277</v>
      </c>
      <c r="Q4262" s="6">
        <v>100</v>
      </c>
      <c r="R4262" s="6">
        <v>15</v>
      </c>
      <c r="S4262" s="5">
        <v>-5.4</v>
      </c>
      <c r="T4262" s="7">
        <v>12.417999999999999</v>
      </c>
      <c r="U4262" s="5">
        <v>6.9</v>
      </c>
      <c r="V4262" s="7">
        <v>-0.40699999999999997</v>
      </c>
      <c r="W4262" s="7">
        <v>10.563000000000001</v>
      </c>
      <c r="X4262" s="7">
        <v>12.125</v>
      </c>
      <c r="Y4262" s="6">
        <v>19.25</v>
      </c>
      <c r="Z4262" s="7">
        <v>19.125</v>
      </c>
      <c r="AA4262" s="6">
        <v>13.4</v>
      </c>
      <c r="AB4262" s="7">
        <v>64.945999999999998</v>
      </c>
      <c r="AC4262" s="6">
        <v>4.13</v>
      </c>
    </row>
    <row r="4263" spans="1:29" ht="65" x14ac:dyDescent="0.15">
      <c r="A4263" s="3">
        <f>DATE(1998,11,20)</f>
        <v>36119</v>
      </c>
      <c r="B4263" s="3">
        <f>DATE(1999,4,2)</f>
        <v>36252</v>
      </c>
      <c r="C4263" s="2" t="s">
        <v>95</v>
      </c>
      <c r="D4263" s="2" t="s">
        <v>13278</v>
      </c>
      <c r="E4263" s="2" t="s">
        <v>8400</v>
      </c>
      <c r="F4263" s="4">
        <v>5251</v>
      </c>
      <c r="G4263" s="2" t="s">
        <v>73</v>
      </c>
      <c r="H4263" s="2" t="s">
        <v>34</v>
      </c>
      <c r="I4263" s="2" t="s">
        <v>12524</v>
      </c>
      <c r="J4263" s="2" t="s">
        <v>12525</v>
      </c>
      <c r="K4263" s="2" t="s">
        <v>73</v>
      </c>
      <c r="L4263" s="2" t="s">
        <v>34</v>
      </c>
      <c r="M4263" s="12">
        <v>11787.564</v>
      </c>
      <c r="N4263" s="7">
        <v>39.563000000000002</v>
      </c>
      <c r="O4263" s="6">
        <v>41.25</v>
      </c>
      <c r="P4263" s="2" t="s">
        <v>13279</v>
      </c>
      <c r="Q4263" s="6">
        <v>100</v>
      </c>
      <c r="R4263" s="6">
        <v>29</v>
      </c>
      <c r="S4263" s="5">
        <v>29.9</v>
      </c>
      <c r="T4263" s="6">
        <v>67.67</v>
      </c>
      <c r="U4263" s="5">
        <v>11.6</v>
      </c>
      <c r="V4263" s="6">
        <v>0.98</v>
      </c>
      <c r="W4263" s="5">
        <v>24.5</v>
      </c>
      <c r="X4263" s="6">
        <v>26.25</v>
      </c>
      <c r="Y4263" s="5">
        <v>27.5</v>
      </c>
      <c r="Z4263" s="7">
        <v>27.812999999999999</v>
      </c>
      <c r="AA4263" s="6">
        <v>29.11</v>
      </c>
      <c r="AB4263" s="7">
        <v>18.268999999999998</v>
      </c>
      <c r="AC4263" s="6">
        <v>211.3</v>
      </c>
    </row>
    <row r="4264" spans="1:29" ht="143" x14ac:dyDescent="0.15">
      <c r="A4264" s="3">
        <f>DATE(1998,11,20)</f>
        <v>36119</v>
      </c>
      <c r="B4264" s="3">
        <f>DATE(1999,4,6)</f>
        <v>36256</v>
      </c>
      <c r="C4264" s="2" t="s">
        <v>95</v>
      </c>
      <c r="D4264" s="2" t="s">
        <v>13280</v>
      </c>
      <c r="E4264" s="2" t="s">
        <v>13281</v>
      </c>
      <c r="F4264" s="4">
        <v>3559</v>
      </c>
      <c r="G4264" s="2" t="s">
        <v>300</v>
      </c>
      <c r="H4264" s="2" t="s">
        <v>34</v>
      </c>
      <c r="I4264" s="2" t="s">
        <v>13282</v>
      </c>
      <c r="J4264" s="2" t="s">
        <v>13283</v>
      </c>
      <c r="K4264" s="2" t="s">
        <v>300</v>
      </c>
      <c r="L4264" s="2" t="s">
        <v>34</v>
      </c>
      <c r="M4264" s="7">
        <v>231.773</v>
      </c>
      <c r="N4264" s="7">
        <v>16.812999999999999</v>
      </c>
      <c r="O4264" s="7">
        <v>16.375</v>
      </c>
      <c r="P4264" s="2" t="s">
        <v>13284</v>
      </c>
      <c r="Q4264" s="6">
        <v>100</v>
      </c>
      <c r="R4264" s="6">
        <v>10.56</v>
      </c>
      <c r="S4264" s="5">
        <v>-31.7</v>
      </c>
      <c r="T4264" s="7">
        <v>15.715</v>
      </c>
      <c r="U4264" s="5">
        <v>5.0999999999999996</v>
      </c>
      <c r="V4264" s="6">
        <v>-1.81</v>
      </c>
      <c r="W4264" s="7">
        <v>10.625</v>
      </c>
      <c r="X4264" s="7">
        <v>10.875</v>
      </c>
      <c r="Y4264" s="6">
        <v>11.25</v>
      </c>
      <c r="Z4264" s="4">
        <v>11</v>
      </c>
      <c r="AA4264" s="6">
        <v>17.850000000000001</v>
      </c>
      <c r="AB4264" s="7">
        <v>48.223999999999997</v>
      </c>
      <c r="AC4264" s="6">
        <v>141.22</v>
      </c>
    </row>
    <row r="4265" spans="1:29" ht="117" x14ac:dyDescent="0.15">
      <c r="A4265" s="3">
        <f t="shared" ref="A4265:A4270" si="80">DATE(1998,11,23)</f>
        <v>36122</v>
      </c>
      <c r="B4265" s="3">
        <f>DATE(1999,6,9)</f>
        <v>36320</v>
      </c>
      <c r="C4265" s="2" t="s">
        <v>95</v>
      </c>
      <c r="D4265" s="2" t="s">
        <v>13285</v>
      </c>
      <c r="E4265" s="2" t="s">
        <v>13286</v>
      </c>
      <c r="F4265" s="4">
        <v>6351</v>
      </c>
      <c r="G4265" s="2" t="s">
        <v>125</v>
      </c>
      <c r="H4265" s="2" t="s">
        <v>34</v>
      </c>
      <c r="I4265" s="2" t="s">
        <v>13287</v>
      </c>
      <c r="J4265" s="2" t="s">
        <v>13288</v>
      </c>
      <c r="K4265" s="2" t="s">
        <v>125</v>
      </c>
      <c r="L4265" s="2" t="s">
        <v>34</v>
      </c>
      <c r="M4265" s="7">
        <v>949.32100000000003</v>
      </c>
      <c r="N4265" s="7">
        <v>45.875</v>
      </c>
      <c r="O4265" s="7">
        <v>48.063000000000002</v>
      </c>
      <c r="P4265" s="2" t="s">
        <v>13289</v>
      </c>
      <c r="Q4265" s="6">
        <v>100</v>
      </c>
      <c r="R4265" s="6">
        <v>23.43</v>
      </c>
      <c r="S4265" s="5">
        <v>40.799999999999997</v>
      </c>
      <c r="T4265" s="2"/>
      <c r="U4265" s="5">
        <v>13.1</v>
      </c>
      <c r="V4265" s="6">
        <v>1.54</v>
      </c>
      <c r="W4265" s="7">
        <v>21.125</v>
      </c>
      <c r="X4265" s="7">
        <v>20.875</v>
      </c>
      <c r="Y4265" s="7">
        <v>23.562999999999999</v>
      </c>
      <c r="Z4265" s="6">
        <v>24.75</v>
      </c>
      <c r="AA4265" s="6">
        <v>26.46</v>
      </c>
      <c r="AB4265" s="7">
        <v>10.988</v>
      </c>
      <c r="AC4265" s="6">
        <v>2.36</v>
      </c>
    </row>
    <row r="4266" spans="1:29" ht="221" x14ac:dyDescent="0.15">
      <c r="A4266" s="3">
        <f t="shared" si="80"/>
        <v>36122</v>
      </c>
      <c r="B4266" s="3">
        <f>DATE(1999,4,5)</f>
        <v>36255</v>
      </c>
      <c r="C4266" s="2" t="s">
        <v>95</v>
      </c>
      <c r="D4266" s="2" t="s">
        <v>5935</v>
      </c>
      <c r="E4266" s="2" t="s">
        <v>5936</v>
      </c>
      <c r="F4266" s="4">
        <v>3678</v>
      </c>
      <c r="G4266" s="2" t="s">
        <v>137</v>
      </c>
      <c r="H4266" s="2" t="s">
        <v>34</v>
      </c>
      <c r="I4266" s="2" t="s">
        <v>9732</v>
      </c>
      <c r="J4266" s="2" t="s">
        <v>9733</v>
      </c>
      <c r="K4266" s="2" t="s">
        <v>300</v>
      </c>
      <c r="L4266" s="2" t="s">
        <v>1791</v>
      </c>
      <c r="M4266" s="2"/>
      <c r="N4266" s="9">
        <v>59.9375</v>
      </c>
      <c r="O4266" s="7">
        <v>60.875</v>
      </c>
      <c r="P4266" s="2" t="s">
        <v>13290</v>
      </c>
      <c r="Q4266" s="6">
        <v>100</v>
      </c>
      <c r="R4266" s="6">
        <v>48.84</v>
      </c>
      <c r="S4266" s="5">
        <v>457.6</v>
      </c>
      <c r="T4266" s="12">
        <v>1184.729</v>
      </c>
      <c r="U4266" s="5">
        <v>12.7</v>
      </c>
      <c r="V4266" s="6">
        <v>2.08</v>
      </c>
      <c r="W4266" s="6">
        <v>43.94</v>
      </c>
      <c r="X4266" s="6">
        <v>45.13</v>
      </c>
      <c r="Y4266" s="7">
        <v>42.563000000000002</v>
      </c>
      <c r="Z4266" s="7">
        <v>38.063000000000002</v>
      </c>
      <c r="AA4266" s="6">
        <v>218.79</v>
      </c>
      <c r="AB4266" s="7">
        <v>15.555</v>
      </c>
      <c r="AC4266" s="5">
        <v>820.1</v>
      </c>
    </row>
    <row r="4267" spans="1:29" ht="130" x14ac:dyDescent="0.15">
      <c r="A4267" s="3">
        <f t="shared" si="80"/>
        <v>36122</v>
      </c>
      <c r="B4267" s="3">
        <f>DATE(1999,7,12)</f>
        <v>36353</v>
      </c>
      <c r="C4267" s="2" t="s">
        <v>95</v>
      </c>
      <c r="D4267" s="2" t="s">
        <v>13291</v>
      </c>
      <c r="E4267" s="2" t="s">
        <v>13292</v>
      </c>
      <c r="F4267" s="4">
        <v>3592</v>
      </c>
      <c r="G4267" s="2" t="s">
        <v>300</v>
      </c>
      <c r="H4267" s="2" t="s">
        <v>34</v>
      </c>
      <c r="I4267" s="2" t="s">
        <v>10556</v>
      </c>
      <c r="J4267" s="2" t="s">
        <v>10557</v>
      </c>
      <c r="K4267" s="2" t="s">
        <v>219</v>
      </c>
      <c r="L4267" s="2" t="s">
        <v>34</v>
      </c>
      <c r="M4267" s="12">
        <v>2601.6660000000002</v>
      </c>
      <c r="N4267" s="6">
        <v>39.25</v>
      </c>
      <c r="O4267" s="7">
        <v>39.938000000000002</v>
      </c>
      <c r="P4267" s="2" t="s">
        <v>13293</v>
      </c>
      <c r="Q4267" s="6">
        <v>100</v>
      </c>
      <c r="R4267" s="6">
        <v>20.13</v>
      </c>
      <c r="S4267" s="5">
        <v>94.9</v>
      </c>
      <c r="T4267" s="7">
        <v>244.21700000000001</v>
      </c>
      <c r="U4267" s="5">
        <v>-5.5</v>
      </c>
      <c r="V4267" s="6">
        <v>1.42</v>
      </c>
      <c r="W4267" s="7">
        <v>16.375</v>
      </c>
      <c r="X4267" s="7">
        <v>17.937999999999999</v>
      </c>
      <c r="Y4267" s="7">
        <v>19.875</v>
      </c>
      <c r="Z4267" s="7">
        <v>20.312999999999999</v>
      </c>
      <c r="AA4267" s="6">
        <v>63.05</v>
      </c>
      <c r="AB4267" s="7">
        <v>10.204000000000001</v>
      </c>
      <c r="AC4267" s="2"/>
    </row>
    <row r="4268" spans="1:29" ht="195" x14ac:dyDescent="0.15">
      <c r="A4268" s="3">
        <f t="shared" si="80"/>
        <v>36122</v>
      </c>
      <c r="B4268" s="2"/>
      <c r="C4268" s="2" t="s">
        <v>30</v>
      </c>
      <c r="D4268" s="2" t="s">
        <v>7185</v>
      </c>
      <c r="E4268" s="2" t="s">
        <v>7186</v>
      </c>
      <c r="F4268" s="4">
        <v>4581</v>
      </c>
      <c r="G4268" s="2" t="s">
        <v>59</v>
      </c>
      <c r="H4268" s="2" t="s">
        <v>34</v>
      </c>
      <c r="I4268" s="2" t="s">
        <v>51</v>
      </c>
      <c r="J4268" s="2" t="s">
        <v>52</v>
      </c>
      <c r="K4268" s="2" t="s">
        <v>53</v>
      </c>
      <c r="L4268" s="2" t="s">
        <v>34</v>
      </c>
      <c r="M4268" s="2"/>
      <c r="N4268" s="2"/>
      <c r="O4268" s="2"/>
      <c r="P4268" s="2" t="s">
        <v>13294</v>
      </c>
      <c r="Q4268" s="2"/>
      <c r="R4268" s="6">
        <v>61</v>
      </c>
      <c r="S4268" s="5">
        <v>5.3</v>
      </c>
      <c r="T4268" s="6">
        <v>-2.06</v>
      </c>
      <c r="U4268" s="5">
        <v>39.200000000000003</v>
      </c>
      <c r="V4268" s="6">
        <v>2.99</v>
      </c>
      <c r="W4268" s="4">
        <v>55</v>
      </c>
      <c r="X4268" s="7">
        <v>54.625</v>
      </c>
      <c r="Y4268" s="7">
        <v>56.375</v>
      </c>
      <c r="Z4268" s="6">
        <v>57.25</v>
      </c>
      <c r="AA4268" s="6">
        <v>1.74</v>
      </c>
      <c r="AB4268" s="2" t="s">
        <v>86</v>
      </c>
      <c r="AC4268" s="2"/>
    </row>
    <row r="4269" spans="1:29" ht="156" x14ac:dyDescent="0.15">
      <c r="A4269" s="3">
        <f t="shared" si="80"/>
        <v>36122</v>
      </c>
      <c r="B4269" s="3">
        <f>DATE(1999,6,30)</f>
        <v>36341</v>
      </c>
      <c r="C4269" s="2" t="s">
        <v>95</v>
      </c>
      <c r="D4269" s="2" t="s">
        <v>7846</v>
      </c>
      <c r="E4269" s="2" t="s">
        <v>7847</v>
      </c>
      <c r="F4269" s="4">
        <v>6321</v>
      </c>
      <c r="G4269" s="2" t="s">
        <v>125</v>
      </c>
      <c r="H4269" s="2" t="s">
        <v>34</v>
      </c>
      <c r="I4269" s="2" t="s">
        <v>3372</v>
      </c>
      <c r="J4269" s="2" t="s">
        <v>3373</v>
      </c>
      <c r="K4269" s="2" t="s">
        <v>125</v>
      </c>
      <c r="L4269" s="2" t="s">
        <v>34</v>
      </c>
      <c r="M4269" s="12">
        <v>6158.027</v>
      </c>
      <c r="N4269" s="7">
        <v>52.625</v>
      </c>
      <c r="O4269" s="7">
        <v>55.688000000000002</v>
      </c>
      <c r="P4269" s="2" t="s">
        <v>13295</v>
      </c>
      <c r="Q4269" s="6">
        <v>100</v>
      </c>
      <c r="R4269" s="6">
        <v>35.130000000000003</v>
      </c>
      <c r="S4269" s="5">
        <v>303.60000000000002</v>
      </c>
      <c r="T4269" s="8">
        <v>1223.5999999999999</v>
      </c>
      <c r="U4269" s="5">
        <v>25.5</v>
      </c>
      <c r="V4269" s="7">
        <v>2.2269999999999999</v>
      </c>
      <c r="W4269" s="7">
        <v>32.438000000000002</v>
      </c>
      <c r="X4269" s="7">
        <v>33.375</v>
      </c>
      <c r="Y4269" s="5">
        <v>37.5</v>
      </c>
      <c r="Z4269" s="5">
        <v>39.5</v>
      </c>
      <c r="AA4269" s="6">
        <v>135.24</v>
      </c>
      <c r="AB4269" s="7">
        <v>4.5910000000000002</v>
      </c>
      <c r="AC4269" s="2"/>
    </row>
    <row r="4270" spans="1:29" ht="65" x14ac:dyDescent="0.15">
      <c r="A4270" s="3">
        <f t="shared" si="80"/>
        <v>36122</v>
      </c>
      <c r="B4270" s="3">
        <f>DATE(1999,1,13)</f>
        <v>36173</v>
      </c>
      <c r="C4270" s="2" t="s">
        <v>95</v>
      </c>
      <c r="D4270" s="2" t="s">
        <v>5509</v>
      </c>
      <c r="E4270" s="2" t="s">
        <v>5510</v>
      </c>
      <c r="F4270" s="4">
        <v>3823</v>
      </c>
      <c r="G4270" s="2" t="s">
        <v>226</v>
      </c>
      <c r="H4270" s="2" t="s">
        <v>34</v>
      </c>
      <c r="I4270" s="2" t="s">
        <v>13296</v>
      </c>
      <c r="J4270" s="2" t="s">
        <v>311</v>
      </c>
      <c r="K4270" s="2" t="s">
        <v>300</v>
      </c>
      <c r="L4270" s="2" t="s">
        <v>34</v>
      </c>
      <c r="M4270" s="2"/>
      <c r="N4270" s="2"/>
      <c r="O4270" s="2"/>
      <c r="P4270" s="2" t="s">
        <v>13297</v>
      </c>
      <c r="Q4270" s="6">
        <v>100</v>
      </c>
      <c r="R4270" s="6">
        <v>11</v>
      </c>
      <c r="S4270" s="5">
        <v>4.0999999999999996</v>
      </c>
      <c r="T4270" s="7">
        <v>10.837</v>
      </c>
      <c r="U4270" s="5">
        <v>4.3</v>
      </c>
      <c r="V4270" s="6">
        <v>0.49</v>
      </c>
      <c r="W4270" s="6">
        <v>9.75</v>
      </c>
      <c r="X4270" s="5">
        <v>9.5</v>
      </c>
      <c r="Y4270" s="6">
        <v>10.75</v>
      </c>
      <c r="Z4270" s="6">
        <v>10.75</v>
      </c>
      <c r="AA4270" s="6">
        <v>9.44</v>
      </c>
      <c r="AB4270" s="7">
        <v>12.82</v>
      </c>
      <c r="AC4270" s="2"/>
    </row>
    <row r="4271" spans="1:29" ht="104" x14ac:dyDescent="0.15">
      <c r="A4271" s="3">
        <f>DATE(1998,11,24)</f>
        <v>36123</v>
      </c>
      <c r="B4271" s="2"/>
      <c r="C4271" s="2" t="s">
        <v>30</v>
      </c>
      <c r="D4271" s="2" t="s">
        <v>12521</v>
      </c>
      <c r="E4271" s="2" t="s">
        <v>5269</v>
      </c>
      <c r="F4271" s="4">
        <v>3841</v>
      </c>
      <c r="G4271" s="2" t="s">
        <v>226</v>
      </c>
      <c r="H4271" s="2" t="s">
        <v>34</v>
      </c>
      <c r="I4271" s="2" t="s">
        <v>138</v>
      </c>
      <c r="J4271" s="2" t="s">
        <v>139</v>
      </c>
      <c r="K4271" s="2" t="s">
        <v>53</v>
      </c>
      <c r="L4271" s="2" t="s">
        <v>139</v>
      </c>
      <c r="M4271" s="2"/>
      <c r="N4271" s="2"/>
      <c r="O4271" s="2"/>
      <c r="P4271" s="2" t="s">
        <v>13298</v>
      </c>
      <c r="Q4271" s="2"/>
      <c r="R4271" s="6">
        <v>13</v>
      </c>
      <c r="S4271" s="5">
        <v>1.2</v>
      </c>
      <c r="T4271" s="7">
        <v>4.0010000000000003</v>
      </c>
      <c r="U4271" s="5">
        <v>4.2</v>
      </c>
      <c r="V4271" s="7">
        <v>0.14599999999999999</v>
      </c>
      <c r="W4271" s="7">
        <v>7.375</v>
      </c>
      <c r="X4271" s="7">
        <v>9.875</v>
      </c>
      <c r="Y4271" s="7">
        <v>10.063000000000001</v>
      </c>
      <c r="Z4271" s="6">
        <v>10.25</v>
      </c>
      <c r="AA4271" s="6">
        <v>8.07</v>
      </c>
      <c r="AB4271" s="7">
        <v>59.920999999999999</v>
      </c>
      <c r="AC4271" s="2"/>
    </row>
    <row r="4272" spans="1:29" ht="52" x14ac:dyDescent="0.15">
      <c r="A4272" s="3">
        <f>DATE(1998,11,24)</f>
        <v>36123</v>
      </c>
      <c r="B4272" s="3">
        <f>DATE(1999,3,24)</f>
        <v>36243</v>
      </c>
      <c r="C4272" s="2" t="s">
        <v>95</v>
      </c>
      <c r="D4272" s="2" t="s">
        <v>13299</v>
      </c>
      <c r="E4272" s="2" t="s">
        <v>13300</v>
      </c>
      <c r="F4272" s="4">
        <v>3433</v>
      </c>
      <c r="G4272" s="2" t="s">
        <v>163</v>
      </c>
      <c r="H4272" s="2" t="s">
        <v>34</v>
      </c>
      <c r="I4272" s="2" t="s">
        <v>13301</v>
      </c>
      <c r="J4272" s="2" t="s">
        <v>302</v>
      </c>
      <c r="K4272" s="2" t="s">
        <v>53</v>
      </c>
      <c r="L4272" s="2" t="s">
        <v>34</v>
      </c>
      <c r="M4272" s="2"/>
      <c r="N4272" s="2"/>
      <c r="O4272" s="2"/>
      <c r="P4272" s="2" t="s">
        <v>13302</v>
      </c>
      <c r="Q4272" s="6">
        <v>100</v>
      </c>
      <c r="R4272" s="6">
        <v>36.97</v>
      </c>
      <c r="S4272" s="5">
        <v>0.2</v>
      </c>
      <c r="T4272" s="6">
        <v>-6.26</v>
      </c>
      <c r="U4272" s="5">
        <v>1.2</v>
      </c>
      <c r="V4272" s="6">
        <v>0.06</v>
      </c>
      <c r="W4272" s="7">
        <v>33.125</v>
      </c>
      <c r="X4272" s="6">
        <v>33.25</v>
      </c>
      <c r="Y4272" s="6">
        <v>31.75</v>
      </c>
      <c r="Z4272" s="6">
        <v>32.25</v>
      </c>
      <c r="AA4272" s="6">
        <v>2.97</v>
      </c>
      <c r="AB4272" s="2" t="s">
        <v>86</v>
      </c>
      <c r="AC4272" s="2"/>
    </row>
    <row r="4273" spans="1:29" ht="78" x14ac:dyDescent="0.15">
      <c r="A4273" s="3">
        <f>DATE(1998,11,24)</f>
        <v>36123</v>
      </c>
      <c r="B4273" s="3">
        <f>DATE(1999,3,1)</f>
        <v>36220</v>
      </c>
      <c r="C4273" s="2" t="s">
        <v>95</v>
      </c>
      <c r="D4273" s="2" t="s">
        <v>13303</v>
      </c>
      <c r="E4273" s="2" t="s">
        <v>13304</v>
      </c>
      <c r="F4273" s="4">
        <v>5912</v>
      </c>
      <c r="G4273" s="2" t="s">
        <v>73</v>
      </c>
      <c r="H4273" s="2" t="s">
        <v>34</v>
      </c>
      <c r="I4273" s="2" t="s">
        <v>7825</v>
      </c>
      <c r="J4273" s="2" t="s">
        <v>7826</v>
      </c>
      <c r="K4273" s="2" t="s">
        <v>756</v>
      </c>
      <c r="L4273" s="2" t="s">
        <v>34</v>
      </c>
      <c r="M4273" s="12">
        <v>12396.968999999999</v>
      </c>
      <c r="N4273" s="5">
        <v>52.5</v>
      </c>
      <c r="O4273" s="5">
        <v>53.5</v>
      </c>
      <c r="P4273" s="2" t="s">
        <v>13305</v>
      </c>
      <c r="Q4273" s="6">
        <v>100</v>
      </c>
      <c r="R4273" s="6">
        <v>30</v>
      </c>
      <c r="S4273" s="5">
        <v>0.7</v>
      </c>
      <c r="T4273" s="7">
        <v>22.207999999999998</v>
      </c>
      <c r="U4273" s="5">
        <v>10.4</v>
      </c>
      <c r="V4273" s="7">
        <v>4.3999999999999997E-2</v>
      </c>
      <c r="W4273" s="4">
        <v>25</v>
      </c>
      <c r="X4273" s="4">
        <v>30</v>
      </c>
      <c r="Y4273" s="7">
        <v>29.375</v>
      </c>
      <c r="Z4273" s="7">
        <v>29.625</v>
      </c>
      <c r="AA4273" s="6">
        <v>13.76</v>
      </c>
      <c r="AB4273" s="7">
        <v>44.34</v>
      </c>
      <c r="AC4273" s="5">
        <v>552</v>
      </c>
    </row>
    <row r="4274" spans="1:29" ht="156" x14ac:dyDescent="0.15">
      <c r="A4274" s="3">
        <f>DATE(1998,11,24)</f>
        <v>36123</v>
      </c>
      <c r="B4274" s="3">
        <f>DATE(1999,3,17)</f>
        <v>36236</v>
      </c>
      <c r="C4274" s="2" t="s">
        <v>95</v>
      </c>
      <c r="D4274" s="2" t="s">
        <v>13306</v>
      </c>
      <c r="E4274" s="2" t="s">
        <v>13307</v>
      </c>
      <c r="F4274" s="4">
        <v>7372</v>
      </c>
      <c r="G4274" s="2" t="s">
        <v>551</v>
      </c>
      <c r="H4274" s="2" t="s">
        <v>34</v>
      </c>
      <c r="I4274" s="2" t="s">
        <v>3738</v>
      </c>
      <c r="J4274" s="2" t="s">
        <v>9012</v>
      </c>
      <c r="K4274" s="2" t="s">
        <v>223</v>
      </c>
      <c r="L4274" s="2" t="s">
        <v>34</v>
      </c>
      <c r="M4274" s="12">
        <v>27946.866000000002</v>
      </c>
      <c r="N4274" s="7">
        <v>91.375</v>
      </c>
      <c r="O4274" s="6">
        <v>92.25</v>
      </c>
      <c r="P4274" s="2" t="s">
        <v>13308</v>
      </c>
      <c r="Q4274" s="6">
        <v>100</v>
      </c>
      <c r="R4274" s="6">
        <v>44.51</v>
      </c>
      <c r="S4274" s="5">
        <v>-122.9</v>
      </c>
      <c r="T4274" s="7">
        <v>-3.0289999999999999</v>
      </c>
      <c r="U4274" s="5">
        <v>4.0999999999999996</v>
      </c>
      <c r="V4274" s="6">
        <v>-1.28</v>
      </c>
      <c r="W4274" s="7">
        <v>16.812999999999999</v>
      </c>
      <c r="X4274" s="7">
        <v>18.187999999999999</v>
      </c>
      <c r="Y4274" s="6">
        <v>19.25</v>
      </c>
      <c r="Z4274" s="7">
        <v>21.937999999999999</v>
      </c>
      <c r="AA4274" s="6">
        <v>99.52</v>
      </c>
      <c r="AB4274" s="2" t="s">
        <v>86</v>
      </c>
      <c r="AC4274" s="5">
        <v>631</v>
      </c>
    </row>
    <row r="4275" spans="1:29" ht="156" x14ac:dyDescent="0.15">
      <c r="A4275" s="3">
        <f>DATE(1998,11,24)</f>
        <v>36123</v>
      </c>
      <c r="B4275" s="3">
        <f>DATE(1999,4,30)</f>
        <v>36280</v>
      </c>
      <c r="C4275" s="2" t="s">
        <v>95</v>
      </c>
      <c r="D4275" s="2" t="s">
        <v>13309</v>
      </c>
      <c r="E4275" s="2" t="s">
        <v>13310</v>
      </c>
      <c r="F4275" s="4">
        <v>2621</v>
      </c>
      <c r="G4275" s="2" t="s">
        <v>282</v>
      </c>
      <c r="H4275" s="2" t="s">
        <v>34</v>
      </c>
      <c r="I4275" s="2" t="s">
        <v>1981</v>
      </c>
      <c r="J4275" s="2" t="s">
        <v>1982</v>
      </c>
      <c r="K4275" s="2" t="s">
        <v>282</v>
      </c>
      <c r="L4275" s="2" t="s">
        <v>34</v>
      </c>
      <c r="M4275" s="12">
        <v>13750.498</v>
      </c>
      <c r="N4275" s="4">
        <v>44</v>
      </c>
      <c r="O4275" s="7">
        <v>43.063000000000002</v>
      </c>
      <c r="P4275" s="2" t="s">
        <v>13311</v>
      </c>
      <c r="Q4275" s="6">
        <v>100</v>
      </c>
      <c r="R4275" s="6">
        <v>82.69</v>
      </c>
      <c r="S4275" s="5">
        <v>81.099999999999994</v>
      </c>
      <c r="T4275" s="6">
        <v>567.83000000000004</v>
      </c>
      <c r="U4275" s="5">
        <v>29.4</v>
      </c>
      <c r="V4275" s="6">
        <v>1.1599999999999999</v>
      </c>
      <c r="W4275" s="7">
        <v>48.438000000000002</v>
      </c>
      <c r="X4275" s="7">
        <v>48.938000000000002</v>
      </c>
      <c r="Y4275" s="7">
        <v>64.938000000000002</v>
      </c>
      <c r="Z4275" s="6">
        <v>64.25</v>
      </c>
      <c r="AA4275" s="6">
        <v>69.180000000000007</v>
      </c>
      <c r="AB4275" s="7">
        <v>29.021999999999998</v>
      </c>
      <c r="AC4275" s="5">
        <v>857</v>
      </c>
    </row>
    <row r="4276" spans="1:29" ht="130" x14ac:dyDescent="0.15">
      <c r="A4276" s="3">
        <f>DATE(1998,11,25)</f>
        <v>36124</v>
      </c>
      <c r="B4276" s="3">
        <f>DATE(1999,3,30)</f>
        <v>36249</v>
      </c>
      <c r="C4276" s="2" t="s">
        <v>95</v>
      </c>
      <c r="D4276" s="2" t="s">
        <v>11217</v>
      </c>
      <c r="E4276" s="2" t="s">
        <v>177</v>
      </c>
      <c r="F4276" s="4">
        <v>1311</v>
      </c>
      <c r="G4276" s="2" t="s">
        <v>148</v>
      </c>
      <c r="H4276" s="2" t="s">
        <v>34</v>
      </c>
      <c r="I4276" s="2" t="s">
        <v>8272</v>
      </c>
      <c r="J4276" s="2" t="s">
        <v>8273</v>
      </c>
      <c r="K4276" s="2" t="s">
        <v>439</v>
      </c>
      <c r="L4276" s="2" t="s">
        <v>34</v>
      </c>
      <c r="M4276" s="6">
        <v>732.99</v>
      </c>
      <c r="N4276" s="9">
        <v>9.8125</v>
      </c>
      <c r="O4276" s="9">
        <v>9.8125</v>
      </c>
      <c r="P4276" s="2" t="s">
        <v>13312</v>
      </c>
      <c r="Q4276" s="6">
        <v>100</v>
      </c>
      <c r="R4276" s="6">
        <v>10.81</v>
      </c>
      <c r="S4276" s="5">
        <v>49.1</v>
      </c>
      <c r="T4276" s="7">
        <v>286.49200000000002</v>
      </c>
      <c r="U4276" s="5">
        <v>10.3</v>
      </c>
      <c r="V4276" s="6">
        <v>0.77</v>
      </c>
      <c r="W4276" s="6">
        <v>9.18</v>
      </c>
      <c r="X4276" s="6">
        <v>10.25</v>
      </c>
      <c r="Y4276" s="7">
        <v>9.8130000000000006</v>
      </c>
      <c r="Z4276" s="7">
        <v>9.8130000000000006</v>
      </c>
      <c r="AA4276" s="6">
        <v>101.17</v>
      </c>
      <c r="AB4276" s="7">
        <v>9.6720000000000006</v>
      </c>
      <c r="AC4276" s="2"/>
    </row>
    <row r="4277" spans="1:29" ht="143" x14ac:dyDescent="0.15">
      <c r="A4277" s="3">
        <f>DATE(1998,11,25)</f>
        <v>36124</v>
      </c>
      <c r="B4277" s="3">
        <f>DATE(1999,9,29)</f>
        <v>36432</v>
      </c>
      <c r="C4277" s="2" t="s">
        <v>95</v>
      </c>
      <c r="D4277" s="2" t="s">
        <v>11353</v>
      </c>
      <c r="E4277" s="2" t="s">
        <v>11354</v>
      </c>
      <c r="F4277" s="4">
        <v>5812</v>
      </c>
      <c r="G4277" s="2" t="s">
        <v>230</v>
      </c>
      <c r="H4277" s="2" t="s">
        <v>34</v>
      </c>
      <c r="I4277" s="2" t="s">
        <v>51</v>
      </c>
      <c r="J4277" s="2" t="s">
        <v>52</v>
      </c>
      <c r="K4277" s="2" t="s">
        <v>53</v>
      </c>
      <c r="L4277" s="2" t="s">
        <v>34</v>
      </c>
      <c r="M4277" s="2"/>
      <c r="N4277" s="2"/>
      <c r="O4277" s="2"/>
      <c r="P4277" s="2" t="s">
        <v>13313</v>
      </c>
      <c r="Q4277" s="6">
        <v>66.53</v>
      </c>
      <c r="R4277" s="6">
        <v>28.85</v>
      </c>
      <c r="S4277" s="5">
        <v>36.200000000000003</v>
      </c>
      <c r="T4277" s="7">
        <v>76.691999999999993</v>
      </c>
      <c r="U4277" s="5">
        <v>12.5</v>
      </c>
      <c r="V4277" s="6">
        <v>1.71</v>
      </c>
      <c r="W4277" s="5">
        <v>24.5</v>
      </c>
      <c r="X4277" s="6">
        <v>24.43</v>
      </c>
      <c r="Y4277" s="4">
        <v>30</v>
      </c>
      <c r="Z4277" s="7">
        <v>28.937999999999999</v>
      </c>
      <c r="AA4277" s="6">
        <v>20.440000000000001</v>
      </c>
      <c r="AB4277" s="7">
        <v>8.1999999999999993</v>
      </c>
      <c r="AC4277" s="2"/>
    </row>
    <row r="4278" spans="1:29" ht="143" x14ac:dyDescent="0.15">
      <c r="A4278" s="3">
        <f>DATE(1998,11,30)</f>
        <v>36129</v>
      </c>
      <c r="B4278" s="3">
        <f>DATE(1999,1,28)</f>
        <v>36188</v>
      </c>
      <c r="C4278" s="2" t="s">
        <v>95</v>
      </c>
      <c r="D4278" s="2" t="s">
        <v>13314</v>
      </c>
      <c r="E4278" s="2" t="s">
        <v>13315</v>
      </c>
      <c r="F4278" s="4">
        <v>3841</v>
      </c>
      <c r="G4278" s="2" t="s">
        <v>226</v>
      </c>
      <c r="H4278" s="2" t="s">
        <v>34</v>
      </c>
      <c r="I4278" s="2" t="s">
        <v>769</v>
      </c>
      <c r="J4278" s="2" t="s">
        <v>770</v>
      </c>
      <c r="K4278" s="2" t="s">
        <v>226</v>
      </c>
      <c r="L4278" s="2" t="s">
        <v>34</v>
      </c>
      <c r="M4278" s="12">
        <v>31148.544000000002</v>
      </c>
      <c r="N4278" s="7">
        <v>67.625</v>
      </c>
      <c r="O4278" s="7">
        <v>71.125</v>
      </c>
      <c r="P4278" s="2" t="s">
        <v>13316</v>
      </c>
      <c r="Q4278" s="6">
        <v>100</v>
      </c>
      <c r="R4278" s="6">
        <v>55.61</v>
      </c>
      <c r="S4278" s="5">
        <v>115.1</v>
      </c>
      <c r="T4278" s="7">
        <v>189.03299999999999</v>
      </c>
      <c r="U4278" s="5">
        <v>4.3</v>
      </c>
      <c r="V4278" s="6">
        <v>1.76</v>
      </c>
      <c r="W4278" s="7">
        <v>31.812999999999999</v>
      </c>
      <c r="X4278" s="7">
        <v>32.375</v>
      </c>
      <c r="Y4278" s="7">
        <v>48.875</v>
      </c>
      <c r="Z4278" s="7">
        <v>51.063000000000002</v>
      </c>
      <c r="AA4278" s="6">
        <v>64.34</v>
      </c>
      <c r="AB4278" s="7">
        <v>19.071999999999999</v>
      </c>
      <c r="AC4278" s="6">
        <v>816.39</v>
      </c>
    </row>
    <row r="4279" spans="1:29" ht="52" x14ac:dyDescent="0.15">
      <c r="A4279" s="3">
        <f>DATE(1998,11,30)</f>
        <v>36129</v>
      </c>
      <c r="B4279" s="2"/>
      <c r="C4279" s="2" t="s">
        <v>30</v>
      </c>
      <c r="D4279" s="2" t="s">
        <v>13317</v>
      </c>
      <c r="E4279" s="2" t="s">
        <v>2800</v>
      </c>
      <c r="F4279" s="4">
        <v>6162</v>
      </c>
      <c r="G4279" s="2" t="s">
        <v>109</v>
      </c>
      <c r="H4279" s="2" t="s">
        <v>34</v>
      </c>
      <c r="I4279" s="2" t="s">
        <v>13318</v>
      </c>
      <c r="J4279" s="2" t="s">
        <v>3814</v>
      </c>
      <c r="K4279" s="2" t="s">
        <v>53</v>
      </c>
      <c r="L4279" s="2" t="s">
        <v>34</v>
      </c>
      <c r="M4279" s="2"/>
      <c r="N4279" s="2"/>
      <c r="O4279" s="2"/>
      <c r="P4279" s="2" t="s">
        <v>13319</v>
      </c>
      <c r="Q4279" s="2"/>
      <c r="R4279" s="2"/>
      <c r="S4279" s="5">
        <v>47.9</v>
      </c>
      <c r="T4279" s="7">
        <v>87.572999999999993</v>
      </c>
      <c r="U4279" s="5">
        <v>8.3000000000000007</v>
      </c>
      <c r="V4279" s="6">
        <v>1.54</v>
      </c>
      <c r="W4279" s="11">
        <v>1.28125</v>
      </c>
      <c r="X4279" s="7">
        <v>1.375</v>
      </c>
      <c r="Y4279" s="7">
        <v>0.625</v>
      </c>
      <c r="Z4279" s="11">
        <v>0.71875</v>
      </c>
      <c r="AA4279" s="6">
        <v>30.71</v>
      </c>
      <c r="AB4279" s="2" t="s">
        <v>47</v>
      </c>
      <c r="AC4279" s="2"/>
    </row>
    <row r="4280" spans="1:29" ht="182" x14ac:dyDescent="0.15">
      <c r="A4280" s="3">
        <f>DATE(1998,12,1)</f>
        <v>36130</v>
      </c>
      <c r="B4280" s="3">
        <f>DATE(1999,11,30)</f>
        <v>36494</v>
      </c>
      <c r="C4280" s="2" t="s">
        <v>95</v>
      </c>
      <c r="D4280" s="2" t="s">
        <v>13320</v>
      </c>
      <c r="E4280" s="2" t="s">
        <v>13321</v>
      </c>
      <c r="F4280" s="4">
        <v>1311</v>
      </c>
      <c r="G4280" s="2" t="s">
        <v>148</v>
      </c>
      <c r="H4280" s="2" t="s">
        <v>34</v>
      </c>
      <c r="I4280" s="2" t="s">
        <v>13322</v>
      </c>
      <c r="J4280" s="2" t="s">
        <v>13323</v>
      </c>
      <c r="K4280" s="2" t="s">
        <v>148</v>
      </c>
      <c r="L4280" s="2" t="s">
        <v>34</v>
      </c>
      <c r="M4280" s="12">
        <v>177479.76699999999</v>
      </c>
      <c r="N4280" s="7">
        <v>71.625</v>
      </c>
      <c r="O4280" s="6">
        <v>71.25</v>
      </c>
      <c r="P4280" s="2" t="s">
        <v>13324</v>
      </c>
      <c r="Q4280" s="6">
        <v>100</v>
      </c>
      <c r="R4280" s="6">
        <v>99.01</v>
      </c>
      <c r="S4280" s="8">
        <v>3272</v>
      </c>
      <c r="T4280" s="8">
        <v>7926</v>
      </c>
      <c r="U4280" s="5">
        <v>24.4</v>
      </c>
      <c r="V4280" s="6">
        <v>4.01</v>
      </c>
      <c r="W4280" s="5">
        <v>73.5</v>
      </c>
      <c r="X4280" s="7">
        <v>78.375</v>
      </c>
      <c r="Y4280" s="4">
        <v>86</v>
      </c>
      <c r="Z4280" s="4">
        <v>86</v>
      </c>
      <c r="AA4280" s="6">
        <v>779.84</v>
      </c>
      <c r="AB4280" s="7">
        <v>15.911</v>
      </c>
      <c r="AC4280" s="8">
        <v>4062</v>
      </c>
    </row>
    <row r="4281" spans="1:29" ht="91" x14ac:dyDescent="0.15">
      <c r="A4281" s="3">
        <f>DATE(1998,12,2)</f>
        <v>36131</v>
      </c>
      <c r="B4281" s="2"/>
      <c r="C4281" s="2" t="s">
        <v>30</v>
      </c>
      <c r="D4281" s="2" t="s">
        <v>13325</v>
      </c>
      <c r="E4281" s="2" t="s">
        <v>13326</v>
      </c>
      <c r="F4281" s="4">
        <v>3679</v>
      </c>
      <c r="G4281" s="2" t="s">
        <v>137</v>
      </c>
      <c r="H4281" s="2" t="s">
        <v>34</v>
      </c>
      <c r="I4281" s="2" t="s">
        <v>13327</v>
      </c>
      <c r="J4281" s="2" t="s">
        <v>13328</v>
      </c>
      <c r="K4281" s="2" t="s">
        <v>921</v>
      </c>
      <c r="L4281" s="2" t="s">
        <v>34</v>
      </c>
      <c r="M4281" s="7">
        <v>58.390999999999998</v>
      </c>
      <c r="N4281" s="4">
        <v>7</v>
      </c>
      <c r="O4281" s="7">
        <v>7.5629999999999997</v>
      </c>
      <c r="P4281" s="2" t="s">
        <v>13329</v>
      </c>
      <c r="Q4281" s="2"/>
      <c r="R4281" s="2"/>
      <c r="S4281" s="5">
        <v>-1.9</v>
      </c>
      <c r="T4281" s="7">
        <v>-1.5569999999999999</v>
      </c>
      <c r="U4281" s="5">
        <v>0.4</v>
      </c>
      <c r="V4281" s="7">
        <v>-0.47499999999999998</v>
      </c>
      <c r="W4281" s="6">
        <v>1.25</v>
      </c>
      <c r="X4281" s="5">
        <v>1.5</v>
      </c>
      <c r="Y4281" s="7">
        <v>1.3440000000000001</v>
      </c>
      <c r="Z4281" s="5">
        <v>1.5</v>
      </c>
      <c r="AA4281" s="6">
        <v>4.53</v>
      </c>
      <c r="AB4281" s="2" t="s">
        <v>86</v>
      </c>
      <c r="AC4281" s="6">
        <v>0.69</v>
      </c>
    </row>
    <row r="4282" spans="1:29" ht="117" x14ac:dyDescent="0.15">
      <c r="A4282" s="3">
        <f>DATE(1998,12,2)</f>
        <v>36131</v>
      </c>
      <c r="B4282" s="3">
        <f>DATE(1999,4,23)</f>
        <v>36273</v>
      </c>
      <c r="C4282" s="2" t="s">
        <v>95</v>
      </c>
      <c r="D4282" s="2" t="s">
        <v>13330</v>
      </c>
      <c r="E4282" s="2" t="s">
        <v>13331</v>
      </c>
      <c r="F4282" s="4">
        <v>5961</v>
      </c>
      <c r="G4282" s="2" t="s">
        <v>73</v>
      </c>
      <c r="H4282" s="2" t="s">
        <v>34</v>
      </c>
      <c r="I4282" s="2" t="s">
        <v>13332</v>
      </c>
      <c r="J4282" s="2" t="s">
        <v>13333</v>
      </c>
      <c r="K4282" s="2" t="s">
        <v>756</v>
      </c>
      <c r="L4282" s="2" t="s">
        <v>133</v>
      </c>
      <c r="M4282" s="2"/>
      <c r="N4282" s="2"/>
      <c r="O4282" s="2"/>
      <c r="P4282" s="2" t="s">
        <v>13334</v>
      </c>
      <c r="Q4282" s="6">
        <v>51.01</v>
      </c>
      <c r="R4282" s="6">
        <v>24.5</v>
      </c>
      <c r="S4282" s="5">
        <v>39.299999999999997</v>
      </c>
      <c r="T4282" s="7">
        <v>117.005</v>
      </c>
      <c r="U4282" s="5">
        <v>10.3</v>
      </c>
      <c r="V4282" s="6">
        <v>2.19</v>
      </c>
      <c r="W4282" s="4">
        <v>13</v>
      </c>
      <c r="X4282" s="7">
        <v>16.875</v>
      </c>
      <c r="Y4282" s="7">
        <v>17.125</v>
      </c>
      <c r="Z4282" s="7">
        <v>22.125</v>
      </c>
      <c r="AA4282" s="6">
        <v>18.48</v>
      </c>
      <c r="AB4282" s="7">
        <v>8.4990000000000006</v>
      </c>
      <c r="AC4282" s="6">
        <v>970.09</v>
      </c>
    </row>
    <row r="4283" spans="1:29" ht="39" x14ac:dyDescent="0.15">
      <c r="A4283" s="3">
        <f>DATE(1998,12,2)</f>
        <v>36131</v>
      </c>
      <c r="B4283" s="3">
        <f>DATE(1999,5,7)</f>
        <v>36287</v>
      </c>
      <c r="C4283" s="2" t="s">
        <v>95</v>
      </c>
      <c r="D4283" s="2" t="s">
        <v>13335</v>
      </c>
      <c r="E4283" s="2" t="s">
        <v>124</v>
      </c>
      <c r="F4283" s="4">
        <v>6331</v>
      </c>
      <c r="G4283" s="2" t="s">
        <v>125</v>
      </c>
      <c r="H4283" s="2" t="s">
        <v>34</v>
      </c>
      <c r="I4283" s="2" t="s">
        <v>13336</v>
      </c>
      <c r="J4283" s="2" t="s">
        <v>9851</v>
      </c>
      <c r="K4283" s="2" t="s">
        <v>125</v>
      </c>
      <c r="L4283" s="2" t="s">
        <v>1791</v>
      </c>
      <c r="M4283" s="2"/>
      <c r="N4283" s="2"/>
      <c r="O4283" s="2"/>
      <c r="P4283" s="2" t="s">
        <v>13337</v>
      </c>
      <c r="Q4283" s="6">
        <v>100</v>
      </c>
      <c r="R4283" s="6">
        <v>12</v>
      </c>
      <c r="S4283" s="5">
        <v>31.8</v>
      </c>
      <c r="T4283" s="2"/>
      <c r="U4283" s="5">
        <v>10.4</v>
      </c>
      <c r="V4283" s="6">
        <v>4.1399999999999997</v>
      </c>
      <c r="W4283" s="7">
        <v>10.625</v>
      </c>
      <c r="X4283" s="7">
        <v>10.125</v>
      </c>
      <c r="Y4283" s="7">
        <v>11.438000000000001</v>
      </c>
      <c r="Z4283" s="7">
        <v>11.438000000000001</v>
      </c>
      <c r="AA4283" s="6">
        <v>7.29</v>
      </c>
      <c r="AB4283" s="7">
        <v>0.92500000000000004</v>
      </c>
      <c r="AC4283" s="6">
        <v>443.65</v>
      </c>
    </row>
    <row r="4284" spans="1:29" ht="78" x14ac:dyDescent="0.15">
      <c r="A4284" s="3">
        <f>DATE(1998,12,2)</f>
        <v>36131</v>
      </c>
      <c r="B4284" s="3">
        <f>DATE(1999,6,8)</f>
        <v>36319</v>
      </c>
      <c r="C4284" s="2" t="s">
        <v>95</v>
      </c>
      <c r="D4284" s="2" t="s">
        <v>13338</v>
      </c>
      <c r="E4284" s="2" t="s">
        <v>92</v>
      </c>
      <c r="F4284" s="4">
        <v>6798</v>
      </c>
      <c r="G4284" s="2" t="s">
        <v>53</v>
      </c>
      <c r="H4284" s="2" t="s">
        <v>34</v>
      </c>
      <c r="I4284" s="2" t="s">
        <v>13339</v>
      </c>
      <c r="J4284" s="2" t="s">
        <v>3941</v>
      </c>
      <c r="K4284" s="2" t="s">
        <v>53</v>
      </c>
      <c r="L4284" s="2" t="s">
        <v>34</v>
      </c>
      <c r="M4284" s="2"/>
      <c r="N4284" s="2"/>
      <c r="O4284" s="2"/>
      <c r="P4284" s="2" t="s">
        <v>13340</v>
      </c>
      <c r="Q4284" s="6">
        <v>82.84</v>
      </c>
      <c r="R4284" s="6">
        <v>34</v>
      </c>
      <c r="S4284" s="5">
        <v>50.8</v>
      </c>
      <c r="T4284" s="7">
        <v>118.509</v>
      </c>
      <c r="U4284" s="5">
        <v>9.6999999999999993</v>
      </c>
      <c r="V4284" s="6">
        <v>2.52</v>
      </c>
      <c r="W4284" s="6">
        <v>27.06</v>
      </c>
      <c r="X4284" s="6">
        <v>27.37</v>
      </c>
      <c r="Y4284" s="7">
        <v>31.562999999999999</v>
      </c>
      <c r="Z4284" s="7">
        <v>31.625</v>
      </c>
      <c r="AA4284" s="6">
        <v>20.13</v>
      </c>
      <c r="AB4284" s="7">
        <v>19.677</v>
      </c>
      <c r="AC4284" s="2"/>
    </row>
    <row r="4285" spans="1:29" ht="65" x14ac:dyDescent="0.15">
      <c r="A4285" s="3">
        <f t="shared" ref="A4285:A4293" si="81">DATE(1998,12,3)</f>
        <v>36132</v>
      </c>
      <c r="B4285" s="3">
        <f>DATE(1999,7,2)</f>
        <v>36343</v>
      </c>
      <c r="C4285" s="2" t="s">
        <v>95</v>
      </c>
      <c r="D4285" s="2" t="s">
        <v>11822</v>
      </c>
      <c r="E4285" s="2" t="s">
        <v>11823</v>
      </c>
      <c r="F4285" s="4">
        <v>5072</v>
      </c>
      <c r="G4285" s="2" t="s">
        <v>76</v>
      </c>
      <c r="H4285" s="2" t="s">
        <v>34</v>
      </c>
      <c r="I4285" s="2" t="s">
        <v>51</v>
      </c>
      <c r="J4285" s="2" t="s">
        <v>52</v>
      </c>
      <c r="K4285" s="2" t="s">
        <v>53</v>
      </c>
      <c r="L4285" s="2" t="s">
        <v>34</v>
      </c>
      <c r="M4285" s="2"/>
      <c r="N4285" s="2"/>
      <c r="O4285" s="2"/>
      <c r="P4285" s="2" t="s">
        <v>13341</v>
      </c>
      <c r="Q4285" s="6">
        <v>100</v>
      </c>
      <c r="R4285" s="6">
        <v>2</v>
      </c>
      <c r="S4285" s="5">
        <v>-0.1</v>
      </c>
      <c r="T4285" s="7">
        <v>-4.1000000000000002E-2</v>
      </c>
      <c r="U4285" s="5">
        <v>1.7</v>
      </c>
      <c r="V4285" s="7">
        <v>-4.4999999999999998E-2</v>
      </c>
      <c r="W4285" s="7">
        <v>1.3129999999999999</v>
      </c>
      <c r="X4285" s="7">
        <v>1.3129999999999999</v>
      </c>
      <c r="Y4285" s="9">
        <v>1.6875</v>
      </c>
      <c r="Z4285" s="9">
        <v>1.6875</v>
      </c>
      <c r="AA4285" s="6">
        <v>1.41</v>
      </c>
      <c r="AB4285" s="2" t="s">
        <v>86</v>
      </c>
      <c r="AC4285" s="2"/>
    </row>
    <row r="4286" spans="1:29" ht="65" x14ac:dyDescent="0.15">
      <c r="A4286" s="3">
        <f t="shared" si="81"/>
        <v>36132</v>
      </c>
      <c r="B4286" s="3">
        <f>DATE(1999,4,5)</f>
        <v>36255</v>
      </c>
      <c r="C4286" s="2" t="s">
        <v>95</v>
      </c>
      <c r="D4286" s="2" t="s">
        <v>13342</v>
      </c>
      <c r="E4286" s="2" t="s">
        <v>13343</v>
      </c>
      <c r="F4286" s="4">
        <v>5812</v>
      </c>
      <c r="G4286" s="2" t="s">
        <v>230</v>
      </c>
      <c r="H4286" s="2" t="s">
        <v>34</v>
      </c>
      <c r="I4286" s="2" t="s">
        <v>13344</v>
      </c>
      <c r="J4286" s="2" t="s">
        <v>302</v>
      </c>
      <c r="K4286" s="2" t="s">
        <v>53</v>
      </c>
      <c r="L4286" s="2" t="s">
        <v>34</v>
      </c>
      <c r="M4286" s="2"/>
      <c r="N4286" s="2"/>
      <c r="O4286" s="2"/>
      <c r="P4286" s="2" t="s">
        <v>13345</v>
      </c>
      <c r="Q4286" s="6">
        <v>100</v>
      </c>
      <c r="R4286" s="6">
        <v>10.25</v>
      </c>
      <c r="S4286" s="5">
        <v>2.5</v>
      </c>
      <c r="T4286" s="7">
        <v>8.3179999999999996</v>
      </c>
      <c r="U4286" s="5">
        <v>8.3000000000000007</v>
      </c>
      <c r="V4286" s="7">
        <v>0.73599999999999999</v>
      </c>
      <c r="W4286" s="4">
        <v>9</v>
      </c>
      <c r="X4286" s="7">
        <v>9.125</v>
      </c>
      <c r="Y4286" s="7">
        <v>9.4380000000000006</v>
      </c>
      <c r="Z4286" s="7">
        <v>9.625</v>
      </c>
      <c r="AA4286" s="6">
        <v>3.46</v>
      </c>
      <c r="AB4286" s="7">
        <v>10.395</v>
      </c>
      <c r="AC4286" s="2"/>
    </row>
    <row r="4287" spans="1:29" ht="104" x14ac:dyDescent="0.15">
      <c r="A4287" s="3">
        <f t="shared" si="81"/>
        <v>36132</v>
      </c>
      <c r="B4287" s="3">
        <f>DATE(1999,4,8)</f>
        <v>36258</v>
      </c>
      <c r="C4287" s="2" t="s">
        <v>95</v>
      </c>
      <c r="D4287" s="2" t="s">
        <v>13346</v>
      </c>
      <c r="E4287" s="2" t="s">
        <v>13347</v>
      </c>
      <c r="F4287" s="4">
        <v>5088</v>
      </c>
      <c r="G4287" s="2" t="s">
        <v>76</v>
      </c>
      <c r="H4287" s="2" t="s">
        <v>34</v>
      </c>
      <c r="I4287" s="2" t="s">
        <v>1684</v>
      </c>
      <c r="J4287" s="2" t="s">
        <v>1685</v>
      </c>
      <c r="K4287" s="2" t="s">
        <v>163</v>
      </c>
      <c r="L4287" s="2" t="s">
        <v>34</v>
      </c>
      <c r="M4287" s="7">
        <v>313.80200000000002</v>
      </c>
      <c r="N4287" s="7">
        <v>15.063000000000001</v>
      </c>
      <c r="O4287" s="7">
        <v>15.063000000000001</v>
      </c>
      <c r="P4287" s="2" t="s">
        <v>13348</v>
      </c>
      <c r="Q4287" s="6">
        <v>30.83</v>
      </c>
      <c r="R4287" s="6">
        <v>11</v>
      </c>
      <c r="S4287" s="5">
        <v>80.599999999999994</v>
      </c>
      <c r="T4287" s="7">
        <v>9.9990000000000006</v>
      </c>
      <c r="U4287" s="5">
        <v>11.5</v>
      </c>
      <c r="V4287" s="6">
        <v>3.1</v>
      </c>
      <c r="W4287" s="6">
        <v>7.75</v>
      </c>
      <c r="X4287" s="6">
        <v>8.75</v>
      </c>
      <c r="Y4287" s="7">
        <v>9.375</v>
      </c>
      <c r="Z4287" s="7">
        <v>9.4380000000000006</v>
      </c>
      <c r="AA4287" s="6">
        <v>21.48</v>
      </c>
      <c r="AB4287" s="7">
        <v>15.568</v>
      </c>
      <c r="AC4287" s="6">
        <v>53.56</v>
      </c>
    </row>
    <row r="4288" spans="1:29" ht="91" x14ac:dyDescent="0.15">
      <c r="A4288" s="3">
        <f t="shared" si="81"/>
        <v>36132</v>
      </c>
      <c r="B4288" s="3">
        <f>DATE(1999,4,21)</f>
        <v>36271</v>
      </c>
      <c r="C4288" s="2" t="s">
        <v>95</v>
      </c>
      <c r="D4288" s="2" t="s">
        <v>13349</v>
      </c>
      <c r="E4288" s="2" t="s">
        <v>1608</v>
      </c>
      <c r="F4288" s="4">
        <v>1311</v>
      </c>
      <c r="G4288" s="2" t="s">
        <v>148</v>
      </c>
      <c r="H4288" s="2" t="s">
        <v>34</v>
      </c>
      <c r="I4288" s="2" t="s">
        <v>8602</v>
      </c>
      <c r="J4288" s="2" t="s">
        <v>4655</v>
      </c>
      <c r="K4288" s="2" t="s">
        <v>53</v>
      </c>
      <c r="L4288" s="2" t="s">
        <v>34</v>
      </c>
      <c r="M4288" s="2"/>
      <c r="N4288" s="2"/>
      <c r="O4288" s="2"/>
      <c r="P4288" s="2" t="s">
        <v>13350</v>
      </c>
      <c r="Q4288" s="6">
        <v>40.909999999999997</v>
      </c>
      <c r="R4288" s="6">
        <v>5.39</v>
      </c>
      <c r="S4288" s="5">
        <v>14.5</v>
      </c>
      <c r="T4288" s="7">
        <v>54.863</v>
      </c>
      <c r="U4288" s="5">
        <v>2</v>
      </c>
      <c r="V4288" s="9">
        <v>0.17960000000000001</v>
      </c>
      <c r="W4288" s="6">
        <v>4.75</v>
      </c>
      <c r="X4288" s="5">
        <v>3.5</v>
      </c>
      <c r="Y4288" s="7">
        <v>4.625</v>
      </c>
      <c r="Z4288" s="6">
        <v>4.75</v>
      </c>
      <c r="AA4288" s="6">
        <v>45.35</v>
      </c>
      <c r="AB4288" s="2" t="s">
        <v>47</v>
      </c>
      <c r="AC4288" s="2"/>
    </row>
    <row r="4289" spans="1:29" ht="130" x14ac:dyDescent="0.15">
      <c r="A4289" s="3">
        <f t="shared" si="81"/>
        <v>36132</v>
      </c>
      <c r="B4289" s="3">
        <f>DATE(1999,8,16)</f>
        <v>36388</v>
      </c>
      <c r="C4289" s="2" t="s">
        <v>95</v>
      </c>
      <c r="D4289" s="2" t="s">
        <v>13351</v>
      </c>
      <c r="E4289" s="2" t="s">
        <v>13352</v>
      </c>
      <c r="F4289" s="4">
        <v>3559</v>
      </c>
      <c r="G4289" s="2" t="s">
        <v>300</v>
      </c>
      <c r="H4289" s="2" t="s">
        <v>34</v>
      </c>
      <c r="I4289" s="2" t="s">
        <v>13353</v>
      </c>
      <c r="J4289" s="2" t="s">
        <v>13354</v>
      </c>
      <c r="K4289" s="2" t="s">
        <v>137</v>
      </c>
      <c r="L4289" s="2" t="s">
        <v>34</v>
      </c>
      <c r="M4289" s="7">
        <v>158.90700000000001</v>
      </c>
      <c r="N4289" s="4">
        <v>7</v>
      </c>
      <c r="O4289" s="7">
        <v>6.625</v>
      </c>
      <c r="P4289" s="2" t="s">
        <v>13355</v>
      </c>
      <c r="Q4289" s="6">
        <v>100</v>
      </c>
      <c r="R4289" s="6">
        <v>14.13</v>
      </c>
      <c r="S4289" s="5">
        <v>-2.8</v>
      </c>
      <c r="T4289" s="6">
        <v>3.61</v>
      </c>
      <c r="U4289" s="5">
        <v>7.4</v>
      </c>
      <c r="V4289" s="6">
        <v>-0.7</v>
      </c>
      <c r="W4289" s="7">
        <v>6.875</v>
      </c>
      <c r="X4289" s="6">
        <v>7.25</v>
      </c>
      <c r="Y4289" s="9">
        <v>10.8125</v>
      </c>
      <c r="Z4289" s="6">
        <v>10.75</v>
      </c>
      <c r="AA4289" s="6">
        <v>4.07</v>
      </c>
      <c r="AB4289" s="7">
        <v>41.523000000000003</v>
      </c>
      <c r="AC4289" s="6">
        <v>16.39</v>
      </c>
    </row>
    <row r="4290" spans="1:29" ht="104" x14ac:dyDescent="0.15">
      <c r="A4290" s="3">
        <f t="shared" si="81"/>
        <v>36132</v>
      </c>
      <c r="B4290" s="3">
        <f>DATE(1999,1,22)</f>
        <v>36182</v>
      </c>
      <c r="C4290" s="2" t="s">
        <v>95</v>
      </c>
      <c r="D4290" s="2" t="s">
        <v>13356</v>
      </c>
      <c r="E4290" s="2" t="s">
        <v>13357</v>
      </c>
      <c r="F4290" s="4">
        <v>3823</v>
      </c>
      <c r="G4290" s="2" t="s">
        <v>226</v>
      </c>
      <c r="H4290" s="2" t="s">
        <v>34</v>
      </c>
      <c r="I4290" s="2" t="s">
        <v>13358</v>
      </c>
      <c r="J4290" s="2" t="s">
        <v>13359</v>
      </c>
      <c r="K4290" s="2" t="s">
        <v>921</v>
      </c>
      <c r="L4290" s="2" t="s">
        <v>34</v>
      </c>
      <c r="M4290" s="12">
        <v>1268.9880000000001</v>
      </c>
      <c r="N4290" s="7">
        <v>45.375</v>
      </c>
      <c r="O4290" s="7">
        <v>45.813000000000002</v>
      </c>
      <c r="P4290" s="2" t="s">
        <v>13360</v>
      </c>
      <c r="Q4290" s="6">
        <v>100</v>
      </c>
      <c r="R4290" s="6">
        <v>5</v>
      </c>
      <c r="S4290" s="5">
        <v>0.3</v>
      </c>
      <c r="T4290" s="7">
        <v>8.7070000000000007</v>
      </c>
      <c r="U4290" s="5">
        <v>0.7</v>
      </c>
      <c r="V4290" s="6">
        <v>0.02</v>
      </c>
      <c r="W4290" s="7">
        <v>3.125</v>
      </c>
      <c r="X4290" s="7">
        <v>4.3129999999999997</v>
      </c>
      <c r="Y4290" s="6">
        <v>4.75</v>
      </c>
      <c r="Z4290" s="6">
        <v>4.75</v>
      </c>
      <c r="AA4290" s="6">
        <v>13.11</v>
      </c>
      <c r="AB4290" s="7">
        <v>12.298</v>
      </c>
      <c r="AC4290" s="6">
        <v>77.47</v>
      </c>
    </row>
    <row r="4291" spans="1:29" ht="78" x14ac:dyDescent="0.15">
      <c r="A4291" s="3">
        <f t="shared" si="81"/>
        <v>36132</v>
      </c>
      <c r="B4291" s="3">
        <f>DATE(1999,4,13)</f>
        <v>36263</v>
      </c>
      <c r="C4291" s="2" t="s">
        <v>95</v>
      </c>
      <c r="D4291" s="2" t="s">
        <v>13361</v>
      </c>
      <c r="E4291" s="2" t="s">
        <v>4875</v>
      </c>
      <c r="F4291" s="4">
        <v>6331</v>
      </c>
      <c r="G4291" s="2" t="s">
        <v>125</v>
      </c>
      <c r="H4291" s="2" t="s">
        <v>34</v>
      </c>
      <c r="I4291" s="2" t="s">
        <v>13362</v>
      </c>
      <c r="J4291" s="2" t="s">
        <v>13363</v>
      </c>
      <c r="K4291" s="2" t="s">
        <v>125</v>
      </c>
      <c r="L4291" s="2" t="s">
        <v>902</v>
      </c>
      <c r="M4291" s="2"/>
      <c r="N4291" s="2"/>
      <c r="O4291" s="2"/>
      <c r="P4291" s="2" t="s">
        <v>13364</v>
      </c>
      <c r="Q4291" s="6">
        <v>100</v>
      </c>
      <c r="R4291" s="6">
        <v>16.5</v>
      </c>
      <c r="S4291" s="5">
        <v>52</v>
      </c>
      <c r="T4291" s="2"/>
      <c r="U4291" s="5">
        <v>20.7</v>
      </c>
      <c r="V4291" s="6">
        <v>0.94</v>
      </c>
      <c r="W4291" s="6">
        <v>13.93</v>
      </c>
      <c r="X4291" s="5">
        <v>15.5</v>
      </c>
      <c r="Y4291" s="4">
        <v>14</v>
      </c>
      <c r="Z4291" s="7">
        <v>13.375</v>
      </c>
      <c r="AA4291" s="6">
        <v>51.31</v>
      </c>
      <c r="AB4291" s="7">
        <v>11.907999999999999</v>
      </c>
      <c r="AC4291" s="6">
        <v>144.81</v>
      </c>
    </row>
    <row r="4292" spans="1:29" ht="91" x14ac:dyDescent="0.15">
      <c r="A4292" s="3">
        <f t="shared" si="81"/>
        <v>36132</v>
      </c>
      <c r="B4292" s="3">
        <f>DATE(1999,1,19)</f>
        <v>36179</v>
      </c>
      <c r="C4292" s="2" t="s">
        <v>95</v>
      </c>
      <c r="D4292" s="2" t="s">
        <v>13365</v>
      </c>
      <c r="E4292" s="2" t="s">
        <v>13366</v>
      </c>
      <c r="F4292" s="4">
        <v>3053</v>
      </c>
      <c r="G4292" s="2" t="s">
        <v>447</v>
      </c>
      <c r="H4292" s="2" t="s">
        <v>34</v>
      </c>
      <c r="I4292" s="2" t="s">
        <v>13367</v>
      </c>
      <c r="J4292" s="2" t="s">
        <v>13368</v>
      </c>
      <c r="K4292" s="2" t="s">
        <v>163</v>
      </c>
      <c r="L4292" s="2" t="s">
        <v>34</v>
      </c>
      <c r="M4292" s="2"/>
      <c r="N4292" s="2"/>
      <c r="O4292" s="2"/>
      <c r="P4292" s="2" t="s">
        <v>13369</v>
      </c>
      <c r="Q4292" s="6">
        <v>100</v>
      </c>
      <c r="R4292" s="6">
        <v>19</v>
      </c>
      <c r="S4292" s="5">
        <v>4.8</v>
      </c>
      <c r="T4292" s="7">
        <v>12.084</v>
      </c>
      <c r="U4292" s="5">
        <v>8.8000000000000007</v>
      </c>
      <c r="V4292" s="6">
        <v>1.1499999999999999</v>
      </c>
      <c r="W4292" s="4">
        <v>13</v>
      </c>
      <c r="X4292" s="6">
        <v>12.75</v>
      </c>
      <c r="Y4292" s="5">
        <v>18.5</v>
      </c>
      <c r="Z4292" s="5">
        <v>18.5</v>
      </c>
      <c r="AA4292" s="6">
        <v>4.1399999999999997</v>
      </c>
      <c r="AB4292" s="7">
        <v>10.912000000000001</v>
      </c>
      <c r="AC4292" s="2"/>
    </row>
    <row r="4293" spans="1:29" ht="104" x14ac:dyDescent="0.15">
      <c r="A4293" s="3">
        <f t="shared" si="81"/>
        <v>36132</v>
      </c>
      <c r="B4293" s="3">
        <f>DATE(1999,3,11)</f>
        <v>36230</v>
      </c>
      <c r="C4293" s="2" t="s">
        <v>95</v>
      </c>
      <c r="D4293" s="2" t="s">
        <v>13370</v>
      </c>
      <c r="E4293" s="2" t="s">
        <v>13371</v>
      </c>
      <c r="F4293" s="4">
        <v>7363</v>
      </c>
      <c r="G4293" s="2" t="s">
        <v>223</v>
      </c>
      <c r="H4293" s="2" t="s">
        <v>34</v>
      </c>
      <c r="I4293" s="2" t="s">
        <v>6347</v>
      </c>
      <c r="J4293" s="2" t="s">
        <v>6348</v>
      </c>
      <c r="K4293" s="2" t="s">
        <v>223</v>
      </c>
      <c r="L4293" s="2" t="s">
        <v>34</v>
      </c>
      <c r="M4293" s="12">
        <v>50322.177000000003</v>
      </c>
      <c r="N4293" s="7">
        <v>75.625</v>
      </c>
      <c r="O4293" s="7">
        <v>77.438000000000002</v>
      </c>
      <c r="P4293" s="2" t="s">
        <v>13372</v>
      </c>
      <c r="Q4293" s="6">
        <v>100</v>
      </c>
      <c r="R4293" s="6">
        <v>18.18</v>
      </c>
      <c r="S4293" s="5">
        <v>1.7</v>
      </c>
      <c r="T4293" s="7">
        <v>10.073</v>
      </c>
      <c r="U4293" s="5">
        <v>2.8</v>
      </c>
      <c r="V4293" s="6">
        <v>0.1</v>
      </c>
      <c r="W4293" s="7">
        <v>14.375</v>
      </c>
      <c r="X4293" s="7">
        <v>14.625</v>
      </c>
      <c r="Y4293" s="4">
        <v>16</v>
      </c>
      <c r="Z4293" s="7">
        <v>16.625</v>
      </c>
      <c r="AA4293" s="6">
        <v>15.7</v>
      </c>
      <c r="AB4293" s="7">
        <v>34.430999999999997</v>
      </c>
      <c r="AC4293" s="6">
        <v>897.18</v>
      </c>
    </row>
    <row r="4294" spans="1:29" ht="117" x14ac:dyDescent="0.15">
      <c r="A4294" s="3">
        <f>DATE(1998,12,4)</f>
        <v>36133</v>
      </c>
      <c r="B4294" s="3">
        <f>DATE(1999,7,15)</f>
        <v>36356</v>
      </c>
      <c r="C4294" s="2" t="s">
        <v>95</v>
      </c>
      <c r="D4294" s="2" t="s">
        <v>13373</v>
      </c>
      <c r="E4294" s="2" t="s">
        <v>36</v>
      </c>
      <c r="F4294" s="4">
        <v>6022</v>
      </c>
      <c r="G4294" s="2" t="s">
        <v>37</v>
      </c>
      <c r="H4294" s="2" t="s">
        <v>34</v>
      </c>
      <c r="I4294" s="2" t="s">
        <v>13374</v>
      </c>
      <c r="J4294" s="2" t="s">
        <v>36</v>
      </c>
      <c r="K4294" s="2" t="s">
        <v>37</v>
      </c>
      <c r="L4294" s="2" t="s">
        <v>34</v>
      </c>
      <c r="M4294" s="7">
        <v>133.67400000000001</v>
      </c>
      <c r="N4294" s="5">
        <v>15.5</v>
      </c>
      <c r="O4294" s="6">
        <v>15.75</v>
      </c>
      <c r="P4294" s="2" t="s">
        <v>13375</v>
      </c>
      <c r="Q4294" s="6">
        <v>95.54</v>
      </c>
      <c r="R4294" s="6">
        <v>18.600000000000001</v>
      </c>
      <c r="S4294" s="5">
        <v>2.2999999999999998</v>
      </c>
      <c r="T4294" s="6">
        <v>4.34</v>
      </c>
      <c r="U4294" s="5">
        <v>5.9</v>
      </c>
      <c r="V4294" s="6">
        <v>0.6</v>
      </c>
      <c r="W4294" s="7">
        <v>13.188000000000001</v>
      </c>
      <c r="X4294" s="5">
        <v>13.5</v>
      </c>
      <c r="Y4294" s="7">
        <v>13.375</v>
      </c>
      <c r="Z4294" s="7">
        <v>15.375</v>
      </c>
      <c r="AA4294" s="6">
        <v>3.81</v>
      </c>
      <c r="AB4294" s="7">
        <v>22.844000000000001</v>
      </c>
      <c r="AC4294" s="2"/>
    </row>
    <row r="4295" spans="1:29" ht="117" x14ac:dyDescent="0.15">
      <c r="A4295" s="3">
        <f t="shared" ref="A4295:A4301" si="82">DATE(1998,12,7)</f>
        <v>36136</v>
      </c>
      <c r="B4295" s="2"/>
      <c r="C4295" s="2" t="s">
        <v>30</v>
      </c>
      <c r="D4295" s="2" t="s">
        <v>13032</v>
      </c>
      <c r="E4295" s="2" t="s">
        <v>13033</v>
      </c>
      <c r="F4295" s="4">
        <v>7372</v>
      </c>
      <c r="G4295" s="2" t="s">
        <v>551</v>
      </c>
      <c r="H4295" s="2" t="s">
        <v>34</v>
      </c>
      <c r="I4295" s="2" t="s">
        <v>13376</v>
      </c>
      <c r="J4295" s="2" t="s">
        <v>13377</v>
      </c>
      <c r="K4295" s="2" t="s">
        <v>53</v>
      </c>
      <c r="L4295" s="2" t="s">
        <v>34</v>
      </c>
      <c r="M4295" s="2"/>
      <c r="N4295" s="2"/>
      <c r="O4295" s="2"/>
      <c r="P4295" s="2" t="s">
        <v>13378</v>
      </c>
      <c r="Q4295" s="2"/>
      <c r="R4295" s="6">
        <v>21</v>
      </c>
      <c r="S4295" s="5">
        <v>4.9000000000000004</v>
      </c>
      <c r="T4295" s="6">
        <v>12.69</v>
      </c>
      <c r="U4295" s="5">
        <v>12.8</v>
      </c>
      <c r="V4295" s="7">
        <v>0.34399999999999997</v>
      </c>
      <c r="W4295" s="6">
        <v>16.25</v>
      </c>
      <c r="X4295" s="7">
        <v>16.219000000000001</v>
      </c>
      <c r="Y4295" s="6">
        <v>16.25</v>
      </c>
      <c r="Z4295" s="7">
        <v>18.344000000000001</v>
      </c>
      <c r="AA4295" s="6">
        <v>13.74</v>
      </c>
      <c r="AB4295" s="7">
        <v>81.841999999999999</v>
      </c>
      <c r="AC4295" s="2"/>
    </row>
    <row r="4296" spans="1:29" ht="156" x14ac:dyDescent="0.15">
      <c r="A4296" s="3">
        <f t="shared" si="82"/>
        <v>36136</v>
      </c>
      <c r="B4296" s="3">
        <f>DATE(1999,8,25)</f>
        <v>36397</v>
      </c>
      <c r="C4296" s="2" t="s">
        <v>95</v>
      </c>
      <c r="D4296" s="2" t="s">
        <v>13379</v>
      </c>
      <c r="E4296" s="2" t="s">
        <v>441</v>
      </c>
      <c r="F4296" s="4">
        <v>4931</v>
      </c>
      <c r="G4296" s="2" t="s">
        <v>439</v>
      </c>
      <c r="H4296" s="2" t="s">
        <v>34</v>
      </c>
      <c r="I4296" s="2" t="s">
        <v>13380</v>
      </c>
      <c r="J4296" s="2" t="s">
        <v>3395</v>
      </c>
      <c r="K4296" s="2" t="s">
        <v>439</v>
      </c>
      <c r="L4296" s="2" t="s">
        <v>34</v>
      </c>
      <c r="M4296" s="12">
        <v>1903.6010000000001</v>
      </c>
      <c r="N4296" s="4">
        <v>41</v>
      </c>
      <c r="O4296" s="7">
        <v>41.125</v>
      </c>
      <c r="P4296" s="2" t="s">
        <v>13381</v>
      </c>
      <c r="Q4296" s="6">
        <v>100</v>
      </c>
      <c r="R4296" s="6">
        <v>44.1</v>
      </c>
      <c r="S4296" s="5">
        <v>49.9</v>
      </c>
      <c r="T4296" s="7">
        <v>202.036</v>
      </c>
      <c r="U4296" s="5">
        <v>20</v>
      </c>
      <c r="V4296" s="6">
        <v>2.27</v>
      </c>
      <c r="W4296" s="5">
        <v>38.5</v>
      </c>
      <c r="X4296" s="7">
        <v>37.813000000000002</v>
      </c>
      <c r="Y4296" s="7">
        <v>39.875</v>
      </c>
      <c r="Z4296" s="7">
        <v>39.875</v>
      </c>
      <c r="AA4296" s="6">
        <v>21.53</v>
      </c>
      <c r="AB4296" s="7">
        <v>10.672000000000001</v>
      </c>
      <c r="AC4296" s="6">
        <v>4.1399999999999997</v>
      </c>
    </row>
    <row r="4297" spans="1:29" ht="39" x14ac:dyDescent="0.15">
      <c r="A4297" s="3">
        <f t="shared" si="82"/>
        <v>36136</v>
      </c>
      <c r="B4297" s="2"/>
      <c r="C4297" s="2" t="s">
        <v>189</v>
      </c>
      <c r="D4297" s="2" t="s">
        <v>13382</v>
      </c>
      <c r="E4297" s="2" t="s">
        <v>13383</v>
      </c>
      <c r="F4297" s="4">
        <v>1381</v>
      </c>
      <c r="G4297" s="2" t="s">
        <v>148</v>
      </c>
      <c r="H4297" s="2" t="s">
        <v>34</v>
      </c>
      <c r="I4297" s="2" t="s">
        <v>143</v>
      </c>
      <c r="J4297" s="2" t="s">
        <v>144</v>
      </c>
      <c r="K4297" s="2" t="s">
        <v>53</v>
      </c>
      <c r="L4297" s="2" t="s">
        <v>139</v>
      </c>
      <c r="M4297" s="2"/>
      <c r="N4297" s="2"/>
      <c r="O4297" s="2"/>
      <c r="P4297" s="2" t="s">
        <v>13384</v>
      </c>
      <c r="Q4297" s="2"/>
      <c r="R4297" s="2"/>
      <c r="S4297" s="5">
        <v>247.6</v>
      </c>
      <c r="T4297" s="5">
        <v>443.6</v>
      </c>
      <c r="U4297" s="5">
        <v>5.8</v>
      </c>
      <c r="V4297" s="7">
        <v>1.4319999999999999</v>
      </c>
      <c r="W4297" s="6">
        <v>9.25</v>
      </c>
      <c r="X4297" s="7">
        <v>8.9380000000000006</v>
      </c>
      <c r="Y4297" s="6">
        <v>10.25</v>
      </c>
      <c r="Z4297" s="5">
        <v>9.5</v>
      </c>
      <c r="AA4297" s="6">
        <v>173.35</v>
      </c>
      <c r="AB4297" s="2" t="s">
        <v>47</v>
      </c>
      <c r="AC4297" s="2"/>
    </row>
    <row r="4298" spans="1:29" ht="91" x14ac:dyDescent="0.15">
      <c r="A4298" s="3">
        <f t="shared" si="82"/>
        <v>36136</v>
      </c>
      <c r="B4298" s="3">
        <f>DATE(1999,2,11)</f>
        <v>36202</v>
      </c>
      <c r="C4298" s="2" t="s">
        <v>95</v>
      </c>
      <c r="D4298" s="2" t="s">
        <v>13385</v>
      </c>
      <c r="E4298" s="2" t="s">
        <v>13386</v>
      </c>
      <c r="F4298" s="4">
        <v>2541</v>
      </c>
      <c r="G4298" s="2" t="s">
        <v>250</v>
      </c>
      <c r="H4298" s="2" t="s">
        <v>34</v>
      </c>
      <c r="I4298" s="2" t="s">
        <v>9637</v>
      </c>
      <c r="J4298" s="2" t="s">
        <v>9638</v>
      </c>
      <c r="K4298" s="2" t="s">
        <v>105</v>
      </c>
      <c r="L4298" s="2" t="s">
        <v>303</v>
      </c>
      <c r="M4298" s="2"/>
      <c r="N4298" s="2"/>
      <c r="O4298" s="2"/>
      <c r="P4298" s="2" t="s">
        <v>13387</v>
      </c>
      <c r="Q4298" s="6">
        <v>100</v>
      </c>
      <c r="R4298" s="6">
        <v>7.25</v>
      </c>
      <c r="S4298" s="5">
        <v>16.399999999999999</v>
      </c>
      <c r="T4298" s="7">
        <v>72.614999999999995</v>
      </c>
      <c r="U4298" s="5">
        <v>-9.6</v>
      </c>
      <c r="V4298" s="6">
        <v>0.5</v>
      </c>
      <c r="W4298" s="7">
        <v>3.4380000000000002</v>
      </c>
      <c r="X4298" s="5">
        <v>3.5</v>
      </c>
      <c r="Y4298" s="7">
        <v>6.9379999999999997</v>
      </c>
      <c r="Z4298" s="7">
        <v>6.875</v>
      </c>
      <c r="AA4298" s="6">
        <v>23.18</v>
      </c>
      <c r="AB4298" s="7">
        <v>10.346</v>
      </c>
      <c r="AC4298" s="6">
        <v>845.21</v>
      </c>
    </row>
    <row r="4299" spans="1:29" ht="52" x14ac:dyDescent="0.15">
      <c r="A4299" s="3">
        <f t="shared" si="82"/>
        <v>36136</v>
      </c>
      <c r="B4299" s="2"/>
      <c r="C4299" s="2" t="s">
        <v>87</v>
      </c>
      <c r="D4299" s="2" t="s">
        <v>13388</v>
      </c>
      <c r="E4299" s="2" t="s">
        <v>13389</v>
      </c>
      <c r="F4299" s="4">
        <v>5172</v>
      </c>
      <c r="G4299" s="2" t="s">
        <v>593</v>
      </c>
      <c r="H4299" s="2" t="s">
        <v>34</v>
      </c>
      <c r="I4299" s="2" t="s">
        <v>138</v>
      </c>
      <c r="J4299" s="2" t="s">
        <v>139</v>
      </c>
      <c r="K4299" s="2" t="s">
        <v>53</v>
      </c>
      <c r="L4299" s="2" t="s">
        <v>139</v>
      </c>
      <c r="M4299" s="2"/>
      <c r="N4299" s="2"/>
      <c r="O4299" s="2"/>
      <c r="P4299" s="2" t="s">
        <v>13390</v>
      </c>
      <c r="Q4299" s="2"/>
      <c r="R4299" s="2"/>
      <c r="S4299" s="5">
        <v>6.9</v>
      </c>
      <c r="T4299" s="7">
        <v>20.276</v>
      </c>
      <c r="U4299" s="5">
        <v>7.5</v>
      </c>
      <c r="V4299" s="6">
        <v>1.7</v>
      </c>
      <c r="W4299" s="7">
        <v>6.4379999999999997</v>
      </c>
      <c r="X4299" s="5">
        <v>6.5</v>
      </c>
      <c r="Y4299" s="4">
        <v>7</v>
      </c>
      <c r="Z4299" s="7">
        <v>8.625</v>
      </c>
      <c r="AA4299" s="6">
        <v>6.58</v>
      </c>
      <c r="AB4299" s="2" t="s">
        <v>47</v>
      </c>
      <c r="AC4299" s="2"/>
    </row>
    <row r="4300" spans="1:29" ht="130" x14ac:dyDescent="0.15">
      <c r="A4300" s="3">
        <f t="shared" si="82"/>
        <v>36136</v>
      </c>
      <c r="B4300" s="3">
        <f>DATE(1999,11,30)</f>
        <v>36494</v>
      </c>
      <c r="C4300" s="2" t="s">
        <v>95</v>
      </c>
      <c r="D4300" s="2" t="s">
        <v>13391</v>
      </c>
      <c r="E4300" s="2" t="s">
        <v>1888</v>
      </c>
      <c r="F4300" s="4">
        <v>4911</v>
      </c>
      <c r="G4300" s="2" t="s">
        <v>439</v>
      </c>
      <c r="H4300" s="2" t="s">
        <v>34</v>
      </c>
      <c r="I4300" s="2" t="s">
        <v>12895</v>
      </c>
      <c r="J4300" s="2" t="s">
        <v>1888</v>
      </c>
      <c r="K4300" s="2" t="s">
        <v>439</v>
      </c>
      <c r="L4300" s="2" t="s">
        <v>303</v>
      </c>
      <c r="M4300" s="2"/>
      <c r="N4300" s="2"/>
      <c r="O4300" s="2"/>
      <c r="P4300" s="2" t="s">
        <v>13392</v>
      </c>
      <c r="Q4300" s="6">
        <v>100</v>
      </c>
      <c r="R4300" s="6">
        <v>25.87</v>
      </c>
      <c r="S4300" s="5">
        <v>225.4</v>
      </c>
      <c r="T4300" s="8">
        <v>1475.1</v>
      </c>
      <c r="U4300" s="5">
        <v>14.6</v>
      </c>
      <c r="V4300" s="6">
        <v>0.68</v>
      </c>
      <c r="W4300" s="6">
        <v>18.75</v>
      </c>
      <c r="X4300" s="6">
        <v>20.75</v>
      </c>
      <c r="Y4300" s="9">
        <v>20.5625</v>
      </c>
      <c r="Z4300" s="9">
        <v>20.4375</v>
      </c>
      <c r="AA4300" s="6">
        <v>297.33</v>
      </c>
      <c r="AB4300" s="7">
        <v>12.715999999999999</v>
      </c>
      <c r="AC4300" s="6">
        <v>30.97</v>
      </c>
    </row>
    <row r="4301" spans="1:29" ht="143" x14ac:dyDescent="0.15">
      <c r="A4301" s="3">
        <f t="shared" si="82"/>
        <v>36136</v>
      </c>
      <c r="B4301" s="3">
        <f>DATE(1999,4,5)</f>
        <v>36255</v>
      </c>
      <c r="C4301" s="2" t="s">
        <v>95</v>
      </c>
      <c r="D4301" s="2" t="s">
        <v>5048</v>
      </c>
      <c r="E4301" s="2" t="s">
        <v>177</v>
      </c>
      <c r="F4301" s="4">
        <v>1311</v>
      </c>
      <c r="G4301" s="2" t="s">
        <v>148</v>
      </c>
      <c r="H4301" s="2" t="s">
        <v>34</v>
      </c>
      <c r="I4301" s="2" t="s">
        <v>13393</v>
      </c>
      <c r="J4301" s="2" t="s">
        <v>13394</v>
      </c>
      <c r="K4301" s="2" t="s">
        <v>148</v>
      </c>
      <c r="L4301" s="2" t="s">
        <v>34</v>
      </c>
      <c r="M4301" s="6">
        <v>15.71</v>
      </c>
      <c r="N4301" s="4">
        <v>10</v>
      </c>
      <c r="O4301" s="4">
        <v>10</v>
      </c>
      <c r="P4301" s="2" t="s">
        <v>13395</v>
      </c>
      <c r="Q4301" s="6">
        <v>66.77</v>
      </c>
      <c r="R4301" s="6">
        <v>1.84</v>
      </c>
      <c r="S4301" s="5">
        <v>2.4</v>
      </c>
      <c r="T4301" s="7">
        <v>14.263999999999999</v>
      </c>
      <c r="U4301" s="5">
        <v>2.2000000000000002</v>
      </c>
      <c r="V4301" s="6">
        <v>0.22</v>
      </c>
      <c r="W4301" s="9">
        <v>1.4375</v>
      </c>
      <c r="X4301" s="7">
        <v>1.375</v>
      </c>
      <c r="Y4301" s="6">
        <v>1.25</v>
      </c>
      <c r="Z4301" s="7">
        <v>1.3129999999999999</v>
      </c>
      <c r="AA4301" s="6">
        <v>11.05</v>
      </c>
      <c r="AB4301" s="7">
        <v>8.58</v>
      </c>
      <c r="AC4301" s="6">
        <v>3.93</v>
      </c>
    </row>
    <row r="4302" spans="1:29" ht="104" x14ac:dyDescent="0.15">
      <c r="A4302" s="3">
        <f>DATE(1998,12,8)</f>
        <v>36137</v>
      </c>
      <c r="B4302" s="3">
        <f>DATE(1999,3,31)</f>
        <v>36250</v>
      </c>
      <c r="C4302" s="2" t="s">
        <v>95</v>
      </c>
      <c r="D4302" s="2" t="s">
        <v>13396</v>
      </c>
      <c r="E4302" s="2" t="s">
        <v>4629</v>
      </c>
      <c r="F4302" s="4">
        <v>6162</v>
      </c>
      <c r="G4302" s="2" t="s">
        <v>109</v>
      </c>
      <c r="H4302" s="2" t="s">
        <v>34</v>
      </c>
      <c r="I4302" s="2" t="s">
        <v>13397</v>
      </c>
      <c r="J4302" s="2" t="s">
        <v>263</v>
      </c>
      <c r="K4302" s="2" t="s">
        <v>37</v>
      </c>
      <c r="L4302" s="2" t="s">
        <v>34</v>
      </c>
      <c r="M4302" s="12">
        <v>3441.605</v>
      </c>
      <c r="N4302" s="6">
        <v>37.25</v>
      </c>
      <c r="O4302" s="7">
        <v>36.188000000000002</v>
      </c>
      <c r="P4302" s="2" t="s">
        <v>13398</v>
      </c>
      <c r="Q4302" s="6">
        <v>100</v>
      </c>
      <c r="R4302" s="6">
        <v>24.34</v>
      </c>
      <c r="S4302" s="5">
        <v>22.4</v>
      </c>
      <c r="T4302" s="7">
        <v>47.252000000000002</v>
      </c>
      <c r="U4302" s="5">
        <v>4.8</v>
      </c>
      <c r="V4302" s="6">
        <v>1.46</v>
      </c>
      <c r="W4302" s="7">
        <v>16.187999999999999</v>
      </c>
      <c r="X4302" s="7">
        <v>16.125</v>
      </c>
      <c r="Y4302" s="4">
        <v>17</v>
      </c>
      <c r="Z4302" s="6">
        <v>21.75</v>
      </c>
      <c r="AA4302" s="6">
        <v>19.739999999999998</v>
      </c>
      <c r="AB4302" s="7">
        <v>25.71</v>
      </c>
      <c r="AC4302" s="2"/>
    </row>
    <row r="4303" spans="1:29" ht="26" x14ac:dyDescent="0.15">
      <c r="A4303" s="3">
        <f>DATE(1998,12,8)</f>
        <v>36137</v>
      </c>
      <c r="B4303" s="2"/>
      <c r="C4303" s="2" t="s">
        <v>189</v>
      </c>
      <c r="D4303" s="2" t="s">
        <v>6459</v>
      </c>
      <c r="E4303" s="2" t="s">
        <v>612</v>
      </c>
      <c r="F4303" s="4">
        <v>1311</v>
      </c>
      <c r="G4303" s="2" t="s">
        <v>148</v>
      </c>
      <c r="H4303" s="2" t="s">
        <v>34</v>
      </c>
      <c r="I4303" s="2" t="s">
        <v>143</v>
      </c>
      <c r="J4303" s="2" t="s">
        <v>144</v>
      </c>
      <c r="K4303" s="2" t="s">
        <v>53</v>
      </c>
      <c r="L4303" s="2" t="s">
        <v>139</v>
      </c>
      <c r="M4303" s="2"/>
      <c r="N4303" s="2"/>
      <c r="O4303" s="2"/>
      <c r="P4303" s="2" t="s">
        <v>13399</v>
      </c>
      <c r="Q4303" s="2"/>
      <c r="R4303" s="2"/>
      <c r="S4303" s="5">
        <v>1</v>
      </c>
      <c r="T4303" s="7">
        <v>23.984000000000002</v>
      </c>
      <c r="U4303" s="5">
        <v>2.2999999999999998</v>
      </c>
      <c r="V4303" s="6">
        <v>0.05</v>
      </c>
      <c r="W4303" s="7">
        <v>1.1879999999999999</v>
      </c>
      <c r="X4303" s="7">
        <v>1.3129999999999999</v>
      </c>
      <c r="Y4303" s="6">
        <v>1.25</v>
      </c>
      <c r="Z4303" s="11">
        <v>1.15625</v>
      </c>
      <c r="AA4303" s="6">
        <v>23.84</v>
      </c>
      <c r="AB4303" s="2" t="s">
        <v>47</v>
      </c>
      <c r="AC4303" s="2"/>
    </row>
    <row r="4304" spans="1:29" ht="91" x14ac:dyDescent="0.15">
      <c r="A4304" s="3">
        <f>DATE(1998,12,8)</f>
        <v>36137</v>
      </c>
      <c r="B4304" s="3">
        <f>DATE(1999,7,7)</f>
        <v>36348</v>
      </c>
      <c r="C4304" s="2" t="s">
        <v>95</v>
      </c>
      <c r="D4304" s="2" t="s">
        <v>13400</v>
      </c>
      <c r="E4304" s="2" t="s">
        <v>13401</v>
      </c>
      <c r="F4304" s="4">
        <v>2253</v>
      </c>
      <c r="G4304" s="2" t="s">
        <v>708</v>
      </c>
      <c r="H4304" s="2" t="s">
        <v>34</v>
      </c>
      <c r="I4304" s="2" t="s">
        <v>51</v>
      </c>
      <c r="J4304" s="2" t="s">
        <v>52</v>
      </c>
      <c r="K4304" s="2" t="s">
        <v>53</v>
      </c>
      <c r="L4304" s="2" t="s">
        <v>34</v>
      </c>
      <c r="M4304" s="2"/>
      <c r="N4304" s="2"/>
      <c r="O4304" s="2"/>
      <c r="P4304" s="2" t="s">
        <v>13402</v>
      </c>
      <c r="Q4304" s="6">
        <v>100</v>
      </c>
      <c r="R4304" s="6">
        <v>30</v>
      </c>
      <c r="S4304" s="5">
        <v>30</v>
      </c>
      <c r="T4304" s="7">
        <v>59.645000000000003</v>
      </c>
      <c r="U4304" s="5">
        <v>10.1</v>
      </c>
      <c r="V4304" s="6">
        <v>1.74</v>
      </c>
      <c r="W4304" s="6">
        <v>26.87</v>
      </c>
      <c r="X4304" s="6">
        <v>26.43</v>
      </c>
      <c r="Y4304" s="9">
        <v>21.9375</v>
      </c>
      <c r="Z4304" s="6">
        <v>26.75</v>
      </c>
      <c r="AA4304" s="6">
        <v>16.68</v>
      </c>
      <c r="AB4304" s="7">
        <v>10.14</v>
      </c>
      <c r="AC4304" s="2"/>
    </row>
    <row r="4305" spans="1:29" ht="143" x14ac:dyDescent="0.15">
      <c r="A4305" s="3">
        <f>DATE(1998,12,9)</f>
        <v>36138</v>
      </c>
      <c r="B4305" s="3">
        <f>DATE(1999,5,25)</f>
        <v>36305</v>
      </c>
      <c r="C4305" s="2" t="s">
        <v>95</v>
      </c>
      <c r="D4305" s="2" t="s">
        <v>12742</v>
      </c>
      <c r="E4305" s="2" t="s">
        <v>12743</v>
      </c>
      <c r="F4305" s="4">
        <v>7373</v>
      </c>
      <c r="G4305" s="2" t="s">
        <v>223</v>
      </c>
      <c r="H4305" s="2" t="s">
        <v>34</v>
      </c>
      <c r="I4305" s="2" t="s">
        <v>569</v>
      </c>
      <c r="J4305" s="2" t="s">
        <v>2347</v>
      </c>
      <c r="K4305" s="2" t="s">
        <v>551</v>
      </c>
      <c r="L4305" s="2" t="s">
        <v>34</v>
      </c>
      <c r="M4305" s="12">
        <v>5365.5940000000001</v>
      </c>
      <c r="N4305" s="7">
        <v>29.187999999999999</v>
      </c>
      <c r="O4305" s="7">
        <v>27.937999999999999</v>
      </c>
      <c r="P4305" s="2" t="s">
        <v>13403</v>
      </c>
      <c r="Q4305" s="6">
        <v>100</v>
      </c>
      <c r="R4305" s="6">
        <v>15</v>
      </c>
      <c r="S4305" s="5">
        <v>-5.3</v>
      </c>
      <c r="T4305" s="7">
        <v>13.585000000000001</v>
      </c>
      <c r="U4305" s="5">
        <v>5.2</v>
      </c>
      <c r="V4305" s="6">
        <v>-0.31</v>
      </c>
      <c r="W4305" s="5">
        <v>7.5</v>
      </c>
      <c r="X4305" s="4">
        <v>8</v>
      </c>
      <c r="Y4305" s="7">
        <v>11.031000000000001</v>
      </c>
      <c r="Z4305" s="7">
        <v>10.938000000000001</v>
      </c>
      <c r="AA4305" s="6">
        <v>18.079999999999998</v>
      </c>
      <c r="AB4305" s="7">
        <v>44.142000000000003</v>
      </c>
      <c r="AC4305" s="6">
        <v>304.2</v>
      </c>
    </row>
    <row r="4306" spans="1:29" ht="169" x14ac:dyDescent="0.15">
      <c r="A4306" s="3">
        <f>DATE(1998,12,9)</f>
        <v>36138</v>
      </c>
      <c r="B4306" s="3">
        <f>DATE(1999,5,24)</f>
        <v>36304</v>
      </c>
      <c r="C4306" s="2" t="s">
        <v>95</v>
      </c>
      <c r="D4306" s="2" t="s">
        <v>12517</v>
      </c>
      <c r="E4306" s="2" t="s">
        <v>92</v>
      </c>
      <c r="F4306" s="4">
        <v>6798</v>
      </c>
      <c r="G4306" s="2" t="s">
        <v>53</v>
      </c>
      <c r="H4306" s="2" t="s">
        <v>34</v>
      </c>
      <c r="I4306" s="2" t="s">
        <v>51</v>
      </c>
      <c r="J4306" s="2" t="s">
        <v>52</v>
      </c>
      <c r="K4306" s="2" t="s">
        <v>53</v>
      </c>
      <c r="L4306" s="2" t="s">
        <v>34</v>
      </c>
      <c r="M4306" s="2"/>
      <c r="N4306" s="2"/>
      <c r="O4306" s="2"/>
      <c r="P4306" s="2" t="s">
        <v>13404</v>
      </c>
      <c r="Q4306" s="6">
        <v>100</v>
      </c>
      <c r="R4306" s="6">
        <v>20.37</v>
      </c>
      <c r="S4306" s="5">
        <v>4</v>
      </c>
      <c r="T4306" s="7">
        <v>6.8140000000000001</v>
      </c>
      <c r="U4306" s="5">
        <v>21.4</v>
      </c>
      <c r="V4306" s="6">
        <v>0.24</v>
      </c>
      <c r="W4306" s="7">
        <v>18.562999999999999</v>
      </c>
      <c r="X4306" s="7">
        <v>18.625</v>
      </c>
      <c r="Y4306" s="7">
        <v>19.187999999999999</v>
      </c>
      <c r="Z4306" s="7">
        <v>19.875</v>
      </c>
      <c r="AA4306" s="6">
        <v>16.96</v>
      </c>
      <c r="AB4306" s="7">
        <v>141.46600000000001</v>
      </c>
      <c r="AC4306" s="2"/>
    </row>
    <row r="4307" spans="1:29" ht="65" x14ac:dyDescent="0.15">
      <c r="A4307" s="3">
        <f>DATE(1998,12,10)</f>
        <v>36139</v>
      </c>
      <c r="B4307" s="2"/>
      <c r="C4307" s="2" t="s">
        <v>87</v>
      </c>
      <c r="D4307" s="2" t="s">
        <v>13405</v>
      </c>
      <c r="E4307" s="2" t="s">
        <v>13406</v>
      </c>
      <c r="F4307" s="4">
        <v>2911</v>
      </c>
      <c r="G4307" s="2" t="s">
        <v>148</v>
      </c>
      <c r="H4307" s="2" t="s">
        <v>34</v>
      </c>
      <c r="I4307" s="2" t="s">
        <v>13407</v>
      </c>
      <c r="J4307" s="2" t="s">
        <v>13408</v>
      </c>
      <c r="K4307" s="2" t="s">
        <v>148</v>
      </c>
      <c r="L4307" s="2" t="s">
        <v>2105</v>
      </c>
      <c r="M4307" s="2"/>
      <c r="N4307" s="2"/>
      <c r="O4307" s="2"/>
      <c r="P4307" s="2" t="s">
        <v>13409</v>
      </c>
      <c r="Q4307" s="2"/>
      <c r="R4307" s="2"/>
      <c r="S4307" s="8">
        <v>3256</v>
      </c>
      <c r="T4307" s="8">
        <v>6747</v>
      </c>
      <c r="U4307" s="5">
        <v>13.3</v>
      </c>
      <c r="V4307" s="7">
        <v>2.4750000000000001</v>
      </c>
      <c r="W4307" s="4">
        <v>80</v>
      </c>
      <c r="X4307" s="7">
        <v>86.188000000000002</v>
      </c>
      <c r="Y4307" s="7">
        <v>84.625</v>
      </c>
      <c r="Z4307" s="9">
        <v>85.9375</v>
      </c>
      <c r="AA4307" s="6">
        <v>652.44000000000005</v>
      </c>
      <c r="AB4307" s="2" t="s">
        <v>47</v>
      </c>
      <c r="AC4307" s="10">
        <v>5155.1499999999996</v>
      </c>
    </row>
    <row r="4308" spans="1:29" ht="117" x14ac:dyDescent="0.15">
      <c r="A4308" s="3">
        <f>DATE(1998,12,10)</f>
        <v>36139</v>
      </c>
      <c r="B4308" s="3">
        <f>DATE(1999,7,14)</f>
        <v>36355</v>
      </c>
      <c r="C4308" s="2" t="s">
        <v>95</v>
      </c>
      <c r="D4308" s="2" t="s">
        <v>13410</v>
      </c>
      <c r="E4308" s="2" t="s">
        <v>36</v>
      </c>
      <c r="F4308" s="4">
        <v>6021</v>
      </c>
      <c r="G4308" s="2" t="s">
        <v>37</v>
      </c>
      <c r="H4308" s="2" t="s">
        <v>34</v>
      </c>
      <c r="I4308" s="2" t="s">
        <v>7161</v>
      </c>
      <c r="J4308" s="2" t="s">
        <v>265</v>
      </c>
      <c r="K4308" s="2" t="s">
        <v>37</v>
      </c>
      <c r="L4308" s="2" t="s">
        <v>34</v>
      </c>
      <c r="M4308" s="7">
        <v>363.58800000000002</v>
      </c>
      <c r="N4308" s="4">
        <v>28</v>
      </c>
      <c r="O4308" s="4">
        <v>27</v>
      </c>
      <c r="P4308" s="2" t="s">
        <v>13411</v>
      </c>
      <c r="Q4308" s="6">
        <v>100</v>
      </c>
      <c r="R4308" s="6">
        <v>46.26</v>
      </c>
      <c r="S4308" s="5">
        <v>2.7</v>
      </c>
      <c r="T4308" s="7">
        <v>4.0570000000000004</v>
      </c>
      <c r="U4308" s="5">
        <v>13.5</v>
      </c>
      <c r="V4308" s="6">
        <v>1.57</v>
      </c>
      <c r="W4308" s="6">
        <v>31.25</v>
      </c>
      <c r="X4308" s="7">
        <v>32.625</v>
      </c>
      <c r="Y4308" s="4">
        <v>36</v>
      </c>
      <c r="Z4308" s="4">
        <v>41</v>
      </c>
      <c r="AA4308" s="6">
        <v>1.74</v>
      </c>
      <c r="AB4308" s="7">
        <v>22.332999999999998</v>
      </c>
      <c r="AC4308" s="2"/>
    </row>
    <row r="4309" spans="1:29" ht="65" x14ac:dyDescent="0.15">
      <c r="A4309" s="3">
        <f>DATE(1998,12,10)</f>
        <v>36139</v>
      </c>
      <c r="B4309" s="2"/>
      <c r="C4309" s="2" t="s">
        <v>30</v>
      </c>
      <c r="D4309" s="2" t="s">
        <v>13412</v>
      </c>
      <c r="E4309" s="2" t="s">
        <v>13413</v>
      </c>
      <c r="F4309" s="4">
        <v>5399</v>
      </c>
      <c r="G4309" s="2" t="s">
        <v>756</v>
      </c>
      <c r="H4309" s="2" t="s">
        <v>34</v>
      </c>
      <c r="I4309" s="2" t="s">
        <v>51</v>
      </c>
      <c r="J4309" s="2" t="s">
        <v>52</v>
      </c>
      <c r="K4309" s="2" t="s">
        <v>53</v>
      </c>
      <c r="L4309" s="2" t="s">
        <v>34</v>
      </c>
      <c r="M4309" s="2"/>
      <c r="N4309" s="2"/>
      <c r="O4309" s="2"/>
      <c r="P4309" s="2" t="s">
        <v>13414</v>
      </c>
      <c r="Q4309" s="2"/>
      <c r="R4309" s="6">
        <v>14</v>
      </c>
      <c r="S4309" s="5">
        <v>3.2</v>
      </c>
      <c r="T4309" s="6">
        <v>9.09</v>
      </c>
      <c r="U4309" s="5">
        <v>2.9</v>
      </c>
      <c r="V4309" s="6">
        <v>0.52</v>
      </c>
      <c r="W4309" s="4">
        <v>11</v>
      </c>
      <c r="X4309" s="7">
        <v>10.375</v>
      </c>
      <c r="Y4309" s="7">
        <v>13.375</v>
      </c>
      <c r="Z4309" s="6">
        <v>13.25</v>
      </c>
      <c r="AA4309" s="6">
        <v>5.07</v>
      </c>
      <c r="AB4309" s="7">
        <v>12.659000000000001</v>
      </c>
      <c r="AC4309" s="2"/>
    </row>
    <row r="4310" spans="1:29" ht="104" x14ac:dyDescent="0.15">
      <c r="A4310" s="3">
        <f>DATE(1998,12,11)</f>
        <v>36140</v>
      </c>
      <c r="B4310" s="3">
        <f>DATE(1999,1,27)</f>
        <v>36187</v>
      </c>
      <c r="C4310" s="2" t="s">
        <v>95</v>
      </c>
      <c r="D4310" s="2" t="s">
        <v>13415</v>
      </c>
      <c r="E4310" s="2" t="s">
        <v>13416</v>
      </c>
      <c r="F4310" s="4">
        <v>7372</v>
      </c>
      <c r="G4310" s="2" t="s">
        <v>551</v>
      </c>
      <c r="H4310" s="2" t="s">
        <v>34</v>
      </c>
      <c r="I4310" s="2" t="s">
        <v>10453</v>
      </c>
      <c r="J4310" s="2" t="s">
        <v>5922</v>
      </c>
      <c r="K4310" s="2" t="s">
        <v>551</v>
      </c>
      <c r="L4310" s="2" t="s">
        <v>303</v>
      </c>
      <c r="M4310" s="2"/>
      <c r="N4310" s="2"/>
      <c r="O4310" s="2"/>
      <c r="P4310" s="2" t="s">
        <v>13417</v>
      </c>
      <c r="Q4310" s="6">
        <v>100</v>
      </c>
      <c r="R4310" s="6">
        <v>7.5</v>
      </c>
      <c r="S4310" s="5">
        <v>-2.6</v>
      </c>
      <c r="T4310" s="7">
        <v>-2.1240000000000001</v>
      </c>
      <c r="U4310" s="5">
        <v>2.9</v>
      </c>
      <c r="V4310" s="6">
        <v>-0.38</v>
      </c>
      <c r="W4310" s="5">
        <v>4.5</v>
      </c>
      <c r="X4310" s="7">
        <v>4.375</v>
      </c>
      <c r="Y4310" s="7">
        <v>4.6879999999999997</v>
      </c>
      <c r="Z4310" s="7">
        <v>7.1879999999999997</v>
      </c>
      <c r="AA4310" s="6">
        <v>7.01</v>
      </c>
      <c r="AB4310" s="2" t="s">
        <v>86</v>
      </c>
      <c r="AC4310" s="6">
        <v>45.37</v>
      </c>
    </row>
    <row r="4311" spans="1:29" ht="65" x14ac:dyDescent="0.15">
      <c r="A4311" s="3">
        <f>DATE(1998,12,11)</f>
        <v>36140</v>
      </c>
      <c r="B4311" s="3">
        <f>DATE(1999,5,13)</f>
        <v>36293</v>
      </c>
      <c r="C4311" s="2" t="s">
        <v>95</v>
      </c>
      <c r="D4311" s="2" t="s">
        <v>13418</v>
      </c>
      <c r="E4311" s="2" t="s">
        <v>13419</v>
      </c>
      <c r="F4311" s="4">
        <v>7372</v>
      </c>
      <c r="G4311" s="2" t="s">
        <v>551</v>
      </c>
      <c r="H4311" s="2" t="s">
        <v>34</v>
      </c>
      <c r="I4311" s="2" t="s">
        <v>1670</v>
      </c>
      <c r="J4311" s="2" t="s">
        <v>1671</v>
      </c>
      <c r="K4311" s="2" t="s">
        <v>112</v>
      </c>
      <c r="L4311" s="2" t="s">
        <v>34</v>
      </c>
      <c r="M4311" s="12">
        <v>10714.388999999999</v>
      </c>
      <c r="N4311" s="7">
        <v>30.125</v>
      </c>
      <c r="O4311" s="4">
        <v>22</v>
      </c>
      <c r="P4311" s="2" t="s">
        <v>13420</v>
      </c>
      <c r="Q4311" s="6">
        <v>100</v>
      </c>
      <c r="R4311" s="6">
        <v>33</v>
      </c>
      <c r="S4311" s="5">
        <v>-475.7</v>
      </c>
      <c r="T4311" s="7">
        <v>126.92700000000001</v>
      </c>
      <c r="U4311" s="5">
        <v>-5.2</v>
      </c>
      <c r="V4311" s="6">
        <v>-9.59</v>
      </c>
      <c r="W4311" s="7">
        <v>28.062999999999999</v>
      </c>
      <c r="X4311" s="5">
        <v>28.5</v>
      </c>
      <c r="Y4311" s="7">
        <v>28.312999999999999</v>
      </c>
      <c r="Z4311" s="4">
        <v>25</v>
      </c>
      <c r="AA4311" s="6">
        <v>85.56</v>
      </c>
      <c r="AB4311" s="2" t="s">
        <v>86</v>
      </c>
      <c r="AC4311" s="6">
        <v>694.95</v>
      </c>
    </row>
    <row r="4312" spans="1:29" ht="52" x14ac:dyDescent="0.15">
      <c r="A4312" s="3">
        <f>DATE(1998,12,11)</f>
        <v>36140</v>
      </c>
      <c r="B4312" s="3">
        <f>DATE(1999,2,16)</f>
        <v>36207</v>
      </c>
      <c r="C4312" s="2" t="s">
        <v>95</v>
      </c>
      <c r="D4312" s="2" t="s">
        <v>13421</v>
      </c>
      <c r="E4312" s="2" t="s">
        <v>3900</v>
      </c>
      <c r="F4312" s="4">
        <v>5812</v>
      </c>
      <c r="G4312" s="2" t="s">
        <v>230</v>
      </c>
      <c r="H4312" s="2" t="s">
        <v>34</v>
      </c>
      <c r="I4312" s="2" t="s">
        <v>13422</v>
      </c>
      <c r="J4312" s="2" t="s">
        <v>4601</v>
      </c>
      <c r="K4312" s="2" t="s">
        <v>230</v>
      </c>
      <c r="L4312" s="2" t="s">
        <v>34</v>
      </c>
      <c r="M4312" s="12">
        <v>1559.579</v>
      </c>
      <c r="N4312" s="7">
        <v>20.375</v>
      </c>
      <c r="O4312" s="9">
        <v>21.5625</v>
      </c>
      <c r="P4312" s="2" t="s">
        <v>13423</v>
      </c>
      <c r="Q4312" s="6">
        <v>100</v>
      </c>
      <c r="R4312" s="6">
        <v>24</v>
      </c>
      <c r="S4312" s="5">
        <v>6.6</v>
      </c>
      <c r="T4312" s="7">
        <v>12.946999999999999</v>
      </c>
      <c r="U4312" s="5">
        <v>10</v>
      </c>
      <c r="V4312" s="6">
        <v>0.99</v>
      </c>
      <c r="W4312" s="6">
        <v>21.75</v>
      </c>
      <c r="X4312" s="7">
        <v>21.062999999999999</v>
      </c>
      <c r="Y4312" s="6">
        <v>23.25</v>
      </c>
      <c r="Z4312" s="6">
        <v>23.25</v>
      </c>
      <c r="AA4312" s="6">
        <v>7.2</v>
      </c>
      <c r="AB4312" s="7">
        <v>16.324000000000002</v>
      </c>
      <c r="AC4312" s="6">
        <v>62.59</v>
      </c>
    </row>
    <row r="4313" spans="1:29" ht="91" x14ac:dyDescent="0.15">
      <c r="A4313" s="3">
        <f>DATE(1998,12,11)</f>
        <v>36140</v>
      </c>
      <c r="B4313" s="3">
        <f>DATE(1999,5,13)</f>
        <v>36293</v>
      </c>
      <c r="C4313" s="2" t="s">
        <v>95</v>
      </c>
      <c r="D4313" s="2" t="s">
        <v>13424</v>
      </c>
      <c r="E4313" s="2" t="s">
        <v>13425</v>
      </c>
      <c r="F4313" s="4">
        <v>3577</v>
      </c>
      <c r="G4313" s="2" t="s">
        <v>50</v>
      </c>
      <c r="H4313" s="2" t="s">
        <v>34</v>
      </c>
      <c r="I4313" s="2" t="s">
        <v>13426</v>
      </c>
      <c r="J4313" s="2" t="s">
        <v>13427</v>
      </c>
      <c r="K4313" s="2" t="s">
        <v>50</v>
      </c>
      <c r="L4313" s="2" t="s">
        <v>34</v>
      </c>
      <c r="M4313" s="7">
        <v>229.995</v>
      </c>
      <c r="N4313" s="7">
        <v>16.375</v>
      </c>
      <c r="O4313" s="7">
        <v>12.938000000000001</v>
      </c>
      <c r="P4313" s="2" t="s">
        <v>13428</v>
      </c>
      <c r="Q4313" s="6">
        <v>100</v>
      </c>
      <c r="R4313" s="6">
        <v>10.64</v>
      </c>
      <c r="S4313" s="5">
        <v>1.7</v>
      </c>
      <c r="T4313" s="6">
        <v>6.96</v>
      </c>
      <c r="U4313" s="5">
        <v>7.8</v>
      </c>
      <c r="V4313" s="6">
        <v>0.13</v>
      </c>
      <c r="W4313" s="7">
        <v>5.875</v>
      </c>
      <c r="X4313" s="7">
        <v>5.875</v>
      </c>
      <c r="Y4313" s="7">
        <v>5.7809999999999997</v>
      </c>
      <c r="Z4313" s="7">
        <v>7.1879999999999997</v>
      </c>
      <c r="AA4313" s="6">
        <v>13.07</v>
      </c>
      <c r="AB4313" s="7">
        <v>35.154000000000003</v>
      </c>
      <c r="AC4313" s="6">
        <v>34.92</v>
      </c>
    </row>
    <row r="4314" spans="1:29" ht="52" x14ac:dyDescent="0.15">
      <c r="A4314" s="3">
        <f>DATE(1998,12,11)</f>
        <v>36140</v>
      </c>
      <c r="B4314" s="2"/>
      <c r="C4314" s="2" t="s">
        <v>30</v>
      </c>
      <c r="D4314" s="2" t="s">
        <v>13429</v>
      </c>
      <c r="E4314" s="2" t="s">
        <v>13430</v>
      </c>
      <c r="F4314" s="4">
        <v>3577</v>
      </c>
      <c r="G4314" s="2" t="s">
        <v>50</v>
      </c>
      <c r="H4314" s="2" t="s">
        <v>34</v>
      </c>
      <c r="I4314" s="2" t="s">
        <v>13431</v>
      </c>
      <c r="J4314" s="2" t="s">
        <v>13432</v>
      </c>
      <c r="K4314" s="2" t="s">
        <v>137</v>
      </c>
      <c r="L4314" s="2" t="s">
        <v>4242</v>
      </c>
      <c r="M4314" s="2"/>
      <c r="N4314" s="2"/>
      <c r="O4314" s="2"/>
      <c r="P4314" s="2" t="s">
        <v>13433</v>
      </c>
      <c r="Q4314" s="2"/>
      <c r="R4314" s="6">
        <v>5.75</v>
      </c>
      <c r="S4314" s="5">
        <v>0.6</v>
      </c>
      <c r="T4314" s="6">
        <v>0.83</v>
      </c>
      <c r="U4314" s="5">
        <v>3.3</v>
      </c>
      <c r="V4314" s="6">
        <v>0.34</v>
      </c>
      <c r="W4314" s="7">
        <v>3.875</v>
      </c>
      <c r="X4314" s="5">
        <v>4.5</v>
      </c>
      <c r="Y4314" s="6">
        <v>4.75</v>
      </c>
      <c r="Z4314" s="7">
        <v>4.875</v>
      </c>
      <c r="AA4314" s="6">
        <v>1.65</v>
      </c>
      <c r="AB4314" s="7">
        <v>10.234999999999999</v>
      </c>
      <c r="AC4314" s="2"/>
    </row>
    <row r="4315" spans="1:29" ht="143" x14ac:dyDescent="0.15">
      <c r="A4315" s="3">
        <f>DATE(1998,12,13)</f>
        <v>36142</v>
      </c>
      <c r="B4315" s="3">
        <f>DATE(1999,3,24)</f>
        <v>36243</v>
      </c>
      <c r="C4315" s="2" t="s">
        <v>95</v>
      </c>
      <c r="D4315" s="2" t="s">
        <v>13434</v>
      </c>
      <c r="E4315" s="2" t="s">
        <v>6088</v>
      </c>
      <c r="F4315" s="4">
        <v>4812</v>
      </c>
      <c r="G4315" s="2" t="s">
        <v>63</v>
      </c>
      <c r="H4315" s="2" t="s">
        <v>34</v>
      </c>
      <c r="I4315" s="2" t="s">
        <v>13435</v>
      </c>
      <c r="J4315" s="2" t="s">
        <v>302</v>
      </c>
      <c r="K4315" s="2" t="s">
        <v>53</v>
      </c>
      <c r="L4315" s="2" t="s">
        <v>34</v>
      </c>
      <c r="M4315" s="2"/>
      <c r="N4315" s="2"/>
      <c r="O4315" s="2"/>
      <c r="P4315" s="2" t="s">
        <v>13436</v>
      </c>
      <c r="Q4315" s="6">
        <v>100</v>
      </c>
      <c r="R4315" s="6">
        <v>80</v>
      </c>
      <c r="S4315" s="5">
        <v>-5.6</v>
      </c>
      <c r="T4315" s="7">
        <v>28.766999999999999</v>
      </c>
      <c r="U4315" s="5">
        <v>-6</v>
      </c>
      <c r="V4315" s="7">
        <v>-0.33400000000000002</v>
      </c>
      <c r="W4315" s="6">
        <v>63.75</v>
      </c>
      <c r="X4315" s="6">
        <v>66.25</v>
      </c>
      <c r="Y4315" s="7">
        <v>66.625</v>
      </c>
      <c r="Z4315" s="7">
        <v>66.625</v>
      </c>
      <c r="AA4315" s="6">
        <v>16.690000000000001</v>
      </c>
      <c r="AB4315" s="7">
        <v>63.545000000000002</v>
      </c>
      <c r="AC4315" s="2"/>
    </row>
    <row r="4316" spans="1:29" ht="104" x14ac:dyDescent="0.15">
      <c r="A4316" s="3">
        <f>DATE(1998,12,13)</f>
        <v>36142</v>
      </c>
      <c r="B4316" s="3">
        <f>DATE(1999,5,28)</f>
        <v>36308</v>
      </c>
      <c r="C4316" s="2" t="s">
        <v>95</v>
      </c>
      <c r="D4316" s="2" t="s">
        <v>13437</v>
      </c>
      <c r="E4316" s="2" t="s">
        <v>277</v>
      </c>
      <c r="F4316" s="4">
        <v>1041</v>
      </c>
      <c r="G4316" s="2" t="s">
        <v>166</v>
      </c>
      <c r="H4316" s="2" t="s">
        <v>34</v>
      </c>
      <c r="I4316" s="2" t="s">
        <v>13438</v>
      </c>
      <c r="J4316" s="2" t="s">
        <v>13439</v>
      </c>
      <c r="K4316" s="2" t="s">
        <v>7998</v>
      </c>
      <c r="L4316" s="2" t="s">
        <v>902</v>
      </c>
      <c r="M4316" s="2"/>
      <c r="N4316" s="2"/>
      <c r="O4316" s="2"/>
      <c r="P4316" s="2" t="s">
        <v>13440</v>
      </c>
      <c r="Q4316" s="6">
        <v>100</v>
      </c>
      <c r="R4316" s="6">
        <v>34.69</v>
      </c>
      <c r="S4316" s="5">
        <v>-19.399999999999999</v>
      </c>
      <c r="T4316" s="7">
        <v>-17.579000000000001</v>
      </c>
      <c r="U4316" s="5">
        <v>6.7</v>
      </c>
      <c r="V4316" s="6">
        <v>-0.73</v>
      </c>
      <c r="W4316" s="5">
        <v>14.5</v>
      </c>
      <c r="X4316" s="6">
        <v>16.18</v>
      </c>
      <c r="Y4316" s="2"/>
      <c r="Z4316" s="7">
        <v>27.875</v>
      </c>
      <c r="AA4316" s="6">
        <v>30.79</v>
      </c>
      <c r="AB4316" s="2" t="s">
        <v>86</v>
      </c>
      <c r="AC4316" s="6">
        <v>288.95999999999998</v>
      </c>
    </row>
    <row r="4317" spans="1:29" ht="117" x14ac:dyDescent="0.15">
      <c r="A4317" s="3">
        <f>DATE(1998,12,14)</f>
        <v>36143</v>
      </c>
      <c r="B4317" s="3">
        <f>DATE(1999,8,6)</f>
        <v>36378</v>
      </c>
      <c r="C4317" s="2" t="s">
        <v>95</v>
      </c>
      <c r="D4317" s="2" t="s">
        <v>13441</v>
      </c>
      <c r="E4317" s="2" t="s">
        <v>36</v>
      </c>
      <c r="F4317" s="4">
        <v>6021</v>
      </c>
      <c r="G4317" s="2" t="s">
        <v>37</v>
      </c>
      <c r="H4317" s="2" t="s">
        <v>34</v>
      </c>
      <c r="I4317" s="2" t="s">
        <v>13442</v>
      </c>
      <c r="J4317" s="2" t="s">
        <v>3246</v>
      </c>
      <c r="K4317" s="2" t="s">
        <v>37</v>
      </c>
      <c r="L4317" s="2" t="s">
        <v>34</v>
      </c>
      <c r="M4317" s="12">
        <v>1013.778</v>
      </c>
      <c r="N4317" s="7">
        <v>29.125</v>
      </c>
      <c r="O4317" s="7">
        <v>28.125</v>
      </c>
      <c r="P4317" s="2" t="s">
        <v>13443</v>
      </c>
      <c r="Q4317" s="6">
        <v>100</v>
      </c>
      <c r="R4317" s="6">
        <v>37.24</v>
      </c>
      <c r="S4317" s="5">
        <v>20.3</v>
      </c>
      <c r="T4317" s="7">
        <v>33.667999999999999</v>
      </c>
      <c r="U4317" s="5">
        <v>11.8</v>
      </c>
      <c r="V4317" s="6">
        <v>1.77</v>
      </c>
      <c r="W4317" s="4">
        <v>29</v>
      </c>
      <c r="X4317" s="6">
        <v>30.25</v>
      </c>
      <c r="Y4317" s="7">
        <v>33.125</v>
      </c>
      <c r="Z4317" s="9">
        <v>32.3125</v>
      </c>
      <c r="AA4317" s="6">
        <v>11.13</v>
      </c>
      <c r="AB4317" s="7">
        <v>26.678000000000001</v>
      </c>
      <c r="AC4317" s="2"/>
    </row>
    <row r="4318" spans="1:29" ht="65" x14ac:dyDescent="0.15">
      <c r="A4318" s="3">
        <f>DATE(1998,12,14)</f>
        <v>36143</v>
      </c>
      <c r="B4318" s="3">
        <f>DATE(2000,3,22)</f>
        <v>36607</v>
      </c>
      <c r="C4318" s="2" t="s">
        <v>95</v>
      </c>
      <c r="D4318" s="2" t="s">
        <v>13444</v>
      </c>
      <c r="E4318" s="2" t="s">
        <v>1888</v>
      </c>
      <c r="F4318" s="4">
        <v>4911</v>
      </c>
      <c r="G4318" s="2" t="s">
        <v>439</v>
      </c>
      <c r="H4318" s="2" t="s">
        <v>34</v>
      </c>
      <c r="I4318" s="2" t="s">
        <v>13445</v>
      </c>
      <c r="J4318" s="2" t="s">
        <v>3395</v>
      </c>
      <c r="K4318" s="2" t="s">
        <v>439</v>
      </c>
      <c r="L4318" s="2" t="s">
        <v>303</v>
      </c>
      <c r="M4318" s="2"/>
      <c r="N4318" s="2"/>
      <c r="O4318" s="2"/>
      <c r="P4318" s="2" t="s">
        <v>13446</v>
      </c>
      <c r="Q4318" s="6">
        <v>100</v>
      </c>
      <c r="R4318" s="6">
        <v>53.75</v>
      </c>
      <c r="S4318" s="5">
        <v>232.4</v>
      </c>
      <c r="T4318" s="7">
        <v>758.53899999999999</v>
      </c>
      <c r="U4318" s="5">
        <v>27</v>
      </c>
      <c r="V4318" s="6">
        <v>3.39</v>
      </c>
      <c r="W4318" s="6">
        <v>43.87</v>
      </c>
      <c r="X4318" s="4">
        <v>43</v>
      </c>
      <c r="Y4318" s="6">
        <v>48.25</v>
      </c>
      <c r="Z4318" s="9">
        <v>48.1875</v>
      </c>
      <c r="AA4318" s="6">
        <v>59.84</v>
      </c>
      <c r="AB4318" s="7">
        <v>10.259</v>
      </c>
      <c r="AC4318" s="6">
        <v>319.7</v>
      </c>
    </row>
    <row r="4319" spans="1:29" ht="169" x14ac:dyDescent="0.15">
      <c r="A4319" s="3">
        <f>DATE(1998,12,14)</f>
        <v>36143</v>
      </c>
      <c r="B4319" s="3">
        <f>DATE(1999,6,15)</f>
        <v>36326</v>
      </c>
      <c r="C4319" s="2" t="s">
        <v>95</v>
      </c>
      <c r="D4319" s="2" t="s">
        <v>13447</v>
      </c>
      <c r="E4319" s="2" t="s">
        <v>13448</v>
      </c>
      <c r="F4319" s="4">
        <v>8099</v>
      </c>
      <c r="G4319" s="2" t="s">
        <v>454</v>
      </c>
      <c r="H4319" s="2" t="s">
        <v>34</v>
      </c>
      <c r="I4319" s="2" t="s">
        <v>13449</v>
      </c>
      <c r="J4319" s="2" t="s">
        <v>13450</v>
      </c>
      <c r="K4319" s="2" t="s">
        <v>454</v>
      </c>
      <c r="L4319" s="2" t="s">
        <v>34</v>
      </c>
      <c r="M4319" s="6">
        <v>400.51</v>
      </c>
      <c r="N4319" s="9">
        <v>12.1875</v>
      </c>
      <c r="O4319" s="9">
        <v>12.5625</v>
      </c>
      <c r="P4319" s="2" t="s">
        <v>13451</v>
      </c>
      <c r="Q4319" s="6">
        <v>100</v>
      </c>
      <c r="R4319" s="6">
        <v>12</v>
      </c>
      <c r="S4319" s="5">
        <v>-7.2</v>
      </c>
      <c r="T4319" s="7">
        <v>18.638999999999999</v>
      </c>
      <c r="U4319" s="5">
        <v>5.9</v>
      </c>
      <c r="V4319" s="6">
        <v>-0.14000000000000001</v>
      </c>
      <c r="W4319" s="6">
        <v>10.37</v>
      </c>
      <c r="X4319" s="5">
        <v>11.5</v>
      </c>
      <c r="Y4319" s="4">
        <v>11</v>
      </c>
      <c r="Z4319" s="7">
        <v>11.375</v>
      </c>
      <c r="AA4319" s="6">
        <v>51.4</v>
      </c>
      <c r="AB4319" s="2" t="s">
        <v>86</v>
      </c>
      <c r="AC4319" s="5">
        <v>5</v>
      </c>
    </row>
    <row r="4320" spans="1:29" ht="169" x14ac:dyDescent="0.15">
      <c r="A4320" s="3">
        <f>DATE(1998,12,14)</f>
        <v>36143</v>
      </c>
      <c r="B4320" s="3">
        <f>DATE(1999,5,20)</f>
        <v>36300</v>
      </c>
      <c r="C4320" s="2" t="s">
        <v>95</v>
      </c>
      <c r="D4320" s="2" t="s">
        <v>13452</v>
      </c>
      <c r="E4320" s="2" t="s">
        <v>13453</v>
      </c>
      <c r="F4320" s="4">
        <v>4841</v>
      </c>
      <c r="G4320" s="2" t="s">
        <v>45</v>
      </c>
      <c r="H4320" s="2" t="s">
        <v>34</v>
      </c>
      <c r="I4320" s="2" t="s">
        <v>13454</v>
      </c>
      <c r="J4320" s="2" t="s">
        <v>13455</v>
      </c>
      <c r="K4320" s="2" t="s">
        <v>63</v>
      </c>
      <c r="L4320" s="2" t="s">
        <v>34</v>
      </c>
      <c r="M4320" s="2"/>
      <c r="N4320" s="2"/>
      <c r="O4320" s="2"/>
      <c r="P4320" s="2" t="s">
        <v>13456</v>
      </c>
      <c r="Q4320" s="6">
        <v>100</v>
      </c>
      <c r="R4320" s="6">
        <v>18.829999999999998</v>
      </c>
      <c r="S4320" s="5">
        <v>-96.3</v>
      </c>
      <c r="T4320" s="7">
        <v>-83.111000000000004</v>
      </c>
      <c r="U4320" s="5">
        <v>0.6</v>
      </c>
      <c r="V4320" s="6">
        <v>-0.97</v>
      </c>
      <c r="W4320" s="6">
        <v>7.25</v>
      </c>
      <c r="X4320" s="7">
        <v>9.625</v>
      </c>
      <c r="Y4320" s="7">
        <v>12.438000000000001</v>
      </c>
      <c r="Z4320" s="7">
        <v>12.688000000000001</v>
      </c>
      <c r="AA4320" s="6">
        <v>89.81</v>
      </c>
      <c r="AB4320" s="2" t="s">
        <v>86</v>
      </c>
      <c r="AC4320" s="2"/>
    </row>
    <row r="4321" spans="1:29" ht="52" x14ac:dyDescent="0.15">
      <c r="A4321" s="3">
        <f t="shared" ref="A4321:A4327" si="83">DATE(1998,12,15)</f>
        <v>36144</v>
      </c>
      <c r="B4321" s="2"/>
      <c r="C4321" s="2" t="s">
        <v>7330</v>
      </c>
      <c r="D4321" s="2" t="s">
        <v>13457</v>
      </c>
      <c r="E4321" s="2" t="s">
        <v>3900</v>
      </c>
      <c r="F4321" s="4">
        <v>5812</v>
      </c>
      <c r="G4321" s="2" t="s">
        <v>230</v>
      </c>
      <c r="H4321" s="2" t="s">
        <v>34</v>
      </c>
      <c r="I4321" s="2" t="s">
        <v>13458</v>
      </c>
      <c r="J4321" s="2" t="s">
        <v>13459</v>
      </c>
      <c r="K4321" s="2" t="s">
        <v>230</v>
      </c>
      <c r="L4321" s="2" t="s">
        <v>34</v>
      </c>
      <c r="M4321" s="2"/>
      <c r="N4321" s="2"/>
      <c r="O4321" s="2"/>
      <c r="P4321" s="2" t="s">
        <v>13460</v>
      </c>
      <c r="Q4321" s="2"/>
      <c r="R4321" s="6">
        <v>2</v>
      </c>
      <c r="S4321" s="5">
        <v>0</v>
      </c>
      <c r="T4321" s="7">
        <v>1.829</v>
      </c>
      <c r="U4321" s="5">
        <v>1.8</v>
      </c>
      <c r="V4321" s="7">
        <v>-1E-3</v>
      </c>
      <c r="W4321" s="7">
        <v>1.4379999999999999</v>
      </c>
      <c r="X4321" s="7">
        <v>1.5629999999999999</v>
      </c>
      <c r="Y4321" s="7">
        <v>1.6879999999999999</v>
      </c>
      <c r="Z4321" s="6">
        <v>1.75</v>
      </c>
      <c r="AA4321" s="6">
        <v>6.41</v>
      </c>
      <c r="AB4321" s="7">
        <v>58.918999999999997</v>
      </c>
      <c r="AC4321" s="2"/>
    </row>
    <row r="4322" spans="1:29" ht="130" x14ac:dyDescent="0.15">
      <c r="A4322" s="3">
        <f t="shared" si="83"/>
        <v>36144</v>
      </c>
      <c r="B4322" s="2"/>
      <c r="C4322" s="2" t="s">
        <v>30</v>
      </c>
      <c r="D4322" s="2" t="s">
        <v>13291</v>
      </c>
      <c r="E4322" s="2" t="s">
        <v>13292</v>
      </c>
      <c r="F4322" s="4">
        <v>3592</v>
      </c>
      <c r="G4322" s="2" t="s">
        <v>300</v>
      </c>
      <c r="H4322" s="2" t="s">
        <v>34</v>
      </c>
      <c r="I4322" s="2" t="s">
        <v>4651</v>
      </c>
      <c r="J4322" s="2" t="s">
        <v>4652</v>
      </c>
      <c r="K4322" s="2" t="s">
        <v>163</v>
      </c>
      <c r="L4322" s="2" t="s">
        <v>34</v>
      </c>
      <c r="M4322" s="12">
        <v>2101.6410000000001</v>
      </c>
      <c r="N4322" s="6">
        <v>27.75</v>
      </c>
      <c r="O4322" s="7">
        <v>27.687999999999999</v>
      </c>
      <c r="P4322" s="2" t="s">
        <v>13461</v>
      </c>
      <c r="Q4322" s="2"/>
      <c r="R4322" s="6">
        <v>22.4</v>
      </c>
      <c r="S4322" s="5">
        <v>94.9</v>
      </c>
      <c r="T4322" s="7">
        <v>244.21700000000001</v>
      </c>
      <c r="U4322" s="5">
        <v>-5.5</v>
      </c>
      <c r="V4322" s="6">
        <v>1.42</v>
      </c>
      <c r="W4322" s="7">
        <v>16.375</v>
      </c>
      <c r="X4322" s="7">
        <v>17.937999999999999</v>
      </c>
      <c r="Y4322" s="9">
        <v>18.6875</v>
      </c>
      <c r="Z4322" s="9">
        <v>17.8125</v>
      </c>
      <c r="AA4322" s="6">
        <v>63.05</v>
      </c>
      <c r="AB4322" s="7">
        <v>10.984</v>
      </c>
      <c r="AC4322" s="6">
        <v>6.98</v>
      </c>
    </row>
    <row r="4323" spans="1:29" ht="104" x14ac:dyDescent="0.15">
      <c r="A4323" s="3">
        <f t="shared" si="83"/>
        <v>36144</v>
      </c>
      <c r="B4323" s="3">
        <f>DATE(1999,3,30)</f>
        <v>36249</v>
      </c>
      <c r="C4323" s="2" t="s">
        <v>95</v>
      </c>
      <c r="D4323" s="2" t="s">
        <v>13462</v>
      </c>
      <c r="E4323" s="2" t="s">
        <v>13463</v>
      </c>
      <c r="F4323" s="4">
        <v>7374</v>
      </c>
      <c r="G4323" s="2" t="s">
        <v>223</v>
      </c>
      <c r="H4323" s="2" t="s">
        <v>34</v>
      </c>
      <c r="I4323" s="2" t="s">
        <v>13464</v>
      </c>
      <c r="J4323" s="2" t="s">
        <v>13465</v>
      </c>
      <c r="K4323" s="2" t="s">
        <v>223</v>
      </c>
      <c r="L4323" s="2" t="s">
        <v>34</v>
      </c>
      <c r="M4323" s="12">
        <v>3731.3519999999999</v>
      </c>
      <c r="N4323" s="7">
        <v>56.188000000000002</v>
      </c>
      <c r="O4323" s="7">
        <v>45.875</v>
      </c>
      <c r="P4323" s="2" t="s">
        <v>13466</v>
      </c>
      <c r="Q4323" s="6">
        <v>100</v>
      </c>
      <c r="R4323" s="6">
        <v>65.52</v>
      </c>
      <c r="S4323" s="5">
        <v>-23.8</v>
      </c>
      <c r="T4323" s="7">
        <v>34.389000000000003</v>
      </c>
      <c r="U4323" s="5">
        <v>3.4</v>
      </c>
      <c r="V4323" s="6">
        <v>-1.47</v>
      </c>
      <c r="W4323" s="6">
        <v>23.62</v>
      </c>
      <c r="X4323" s="6">
        <v>31.31</v>
      </c>
      <c r="Y4323" s="6">
        <v>42.25</v>
      </c>
      <c r="Z4323" s="6">
        <v>50.25</v>
      </c>
      <c r="AA4323" s="6">
        <v>21.56</v>
      </c>
      <c r="AB4323" s="7">
        <v>169.369</v>
      </c>
      <c r="AC4323" s="6">
        <v>122.38</v>
      </c>
    </row>
    <row r="4324" spans="1:29" ht="104" x14ac:dyDescent="0.15">
      <c r="A4324" s="3">
        <f t="shared" si="83"/>
        <v>36144</v>
      </c>
      <c r="B4324" s="2"/>
      <c r="C4324" s="2" t="s">
        <v>30</v>
      </c>
      <c r="D4324" s="2" t="s">
        <v>11635</v>
      </c>
      <c r="E4324" s="2" t="s">
        <v>429</v>
      </c>
      <c r="F4324" s="4">
        <v>3291</v>
      </c>
      <c r="G4324" s="2" t="s">
        <v>237</v>
      </c>
      <c r="H4324" s="2" t="s">
        <v>34</v>
      </c>
      <c r="I4324" s="2" t="s">
        <v>9502</v>
      </c>
      <c r="J4324" s="2" t="s">
        <v>9503</v>
      </c>
      <c r="K4324" s="2" t="s">
        <v>163</v>
      </c>
      <c r="L4324" s="2" t="s">
        <v>34</v>
      </c>
      <c r="M4324" s="7">
        <v>206.881</v>
      </c>
      <c r="N4324" s="4">
        <v>10</v>
      </c>
      <c r="O4324" s="4">
        <v>10</v>
      </c>
      <c r="P4324" s="2" t="s">
        <v>13467</v>
      </c>
      <c r="Q4324" s="2"/>
      <c r="R4324" s="6">
        <v>11.5</v>
      </c>
      <c r="S4324" s="5">
        <v>0.4</v>
      </c>
      <c r="T4324" s="5">
        <v>22.7</v>
      </c>
      <c r="U4324" s="5">
        <v>16.8</v>
      </c>
      <c r="V4324" s="7">
        <v>1.0999999999999999E-2</v>
      </c>
      <c r="W4324" s="7">
        <v>7.875</v>
      </c>
      <c r="X4324" s="7">
        <v>8.375</v>
      </c>
      <c r="Y4324" s="7">
        <v>10.625</v>
      </c>
      <c r="Z4324" s="9">
        <v>11.3125</v>
      </c>
      <c r="AA4324" s="6">
        <v>22.04</v>
      </c>
      <c r="AB4324" s="2" t="s">
        <v>86</v>
      </c>
      <c r="AC4324" s="6">
        <v>697.72</v>
      </c>
    </row>
    <row r="4325" spans="1:29" ht="208" x14ac:dyDescent="0.15">
      <c r="A4325" s="3">
        <f t="shared" si="83"/>
        <v>36144</v>
      </c>
      <c r="B4325" s="3">
        <f>DATE(1999,6,8)</f>
        <v>36319</v>
      </c>
      <c r="C4325" s="2" t="s">
        <v>95</v>
      </c>
      <c r="D4325" s="2" t="s">
        <v>288</v>
      </c>
      <c r="E4325" s="2" t="s">
        <v>177</v>
      </c>
      <c r="F4325" s="4">
        <v>1311</v>
      </c>
      <c r="G4325" s="2" t="s">
        <v>148</v>
      </c>
      <c r="H4325" s="2" t="s">
        <v>34</v>
      </c>
      <c r="I4325" s="2" t="s">
        <v>13468</v>
      </c>
      <c r="J4325" s="2" t="s">
        <v>612</v>
      </c>
      <c r="K4325" s="2" t="s">
        <v>148</v>
      </c>
      <c r="L4325" s="2" t="s">
        <v>34</v>
      </c>
      <c r="M4325" s="7">
        <v>36.845999999999997</v>
      </c>
      <c r="N4325" s="7">
        <v>10.813000000000001</v>
      </c>
      <c r="O4325" s="5">
        <v>9.5</v>
      </c>
      <c r="P4325" s="2" t="s">
        <v>13469</v>
      </c>
      <c r="Q4325" s="6">
        <v>100</v>
      </c>
      <c r="R4325" s="6">
        <v>4.95</v>
      </c>
      <c r="S4325" s="5">
        <v>-4.2</v>
      </c>
      <c r="T4325" s="7">
        <v>18.657</v>
      </c>
      <c r="U4325" s="5">
        <v>7.6</v>
      </c>
      <c r="V4325" s="7">
        <v>-0.82399999999999995</v>
      </c>
      <c r="W4325" s="5">
        <v>4.5</v>
      </c>
      <c r="X4325" s="7">
        <v>3.875</v>
      </c>
      <c r="Y4325" s="7">
        <v>3.9380000000000002</v>
      </c>
      <c r="Z4325" s="7">
        <v>3.875</v>
      </c>
      <c r="AA4325" s="6">
        <v>12.62</v>
      </c>
      <c r="AB4325" s="7">
        <v>20.010999999999999</v>
      </c>
      <c r="AC4325" s="6">
        <v>4.49</v>
      </c>
    </row>
    <row r="4326" spans="1:29" ht="130" x14ac:dyDescent="0.15">
      <c r="A4326" s="3">
        <f t="shared" si="83"/>
        <v>36144</v>
      </c>
      <c r="B4326" s="3">
        <f>DATE(1999,1,21)</f>
        <v>36181</v>
      </c>
      <c r="C4326" s="2" t="s">
        <v>95</v>
      </c>
      <c r="D4326" s="2" t="s">
        <v>13470</v>
      </c>
      <c r="E4326" s="2" t="s">
        <v>396</v>
      </c>
      <c r="F4326" s="4">
        <v>2721</v>
      </c>
      <c r="G4326" s="2" t="s">
        <v>186</v>
      </c>
      <c r="H4326" s="2" t="s">
        <v>34</v>
      </c>
      <c r="I4326" s="2" t="s">
        <v>13471</v>
      </c>
      <c r="J4326" s="2" t="s">
        <v>13472</v>
      </c>
      <c r="K4326" s="2" t="s">
        <v>186</v>
      </c>
      <c r="L4326" s="2" t="s">
        <v>303</v>
      </c>
      <c r="M4326" s="2"/>
      <c r="N4326" s="2"/>
      <c r="O4326" s="2"/>
      <c r="P4326" s="2" t="s">
        <v>13473</v>
      </c>
      <c r="Q4326" s="6">
        <v>100</v>
      </c>
      <c r="R4326" s="6">
        <v>34</v>
      </c>
      <c r="S4326" s="5">
        <v>-14.7</v>
      </c>
      <c r="T4326" s="6">
        <v>69.23</v>
      </c>
      <c r="U4326" s="5">
        <v>7.9</v>
      </c>
      <c r="V4326" s="6">
        <v>-1.25</v>
      </c>
      <c r="W4326" s="6">
        <v>23.62</v>
      </c>
      <c r="X4326" s="6">
        <v>31.31</v>
      </c>
      <c r="Y4326" s="5">
        <v>33.5</v>
      </c>
      <c r="Z4326" s="5">
        <v>33.5</v>
      </c>
      <c r="AA4326" s="6">
        <v>34.76</v>
      </c>
      <c r="AB4326" s="7">
        <v>60.862000000000002</v>
      </c>
      <c r="AC4326" s="6">
        <v>26.28</v>
      </c>
    </row>
    <row r="4327" spans="1:29" ht="143" x14ac:dyDescent="0.15">
      <c r="A4327" s="3">
        <f t="shared" si="83"/>
        <v>36144</v>
      </c>
      <c r="B4327" s="3">
        <f>DATE(1999,3,29)</f>
        <v>36248</v>
      </c>
      <c r="C4327" s="2" t="s">
        <v>95</v>
      </c>
      <c r="D4327" s="2" t="s">
        <v>13474</v>
      </c>
      <c r="E4327" s="2" t="s">
        <v>13475</v>
      </c>
      <c r="F4327" s="4">
        <v>7379</v>
      </c>
      <c r="G4327" s="2" t="s">
        <v>223</v>
      </c>
      <c r="H4327" s="2" t="s">
        <v>34</v>
      </c>
      <c r="I4327" s="2" t="s">
        <v>13464</v>
      </c>
      <c r="J4327" s="2" t="s">
        <v>13465</v>
      </c>
      <c r="K4327" s="2" t="s">
        <v>223</v>
      </c>
      <c r="L4327" s="2" t="s">
        <v>34</v>
      </c>
      <c r="M4327" s="12">
        <v>3731.3519999999999</v>
      </c>
      <c r="N4327" s="7">
        <v>56.188000000000002</v>
      </c>
      <c r="O4327" s="7">
        <v>45.875</v>
      </c>
      <c r="P4327" s="2" t="s">
        <v>13476</v>
      </c>
      <c r="Q4327" s="6">
        <v>100</v>
      </c>
      <c r="R4327" s="6">
        <v>15.29</v>
      </c>
      <c r="S4327" s="5">
        <v>-0.3</v>
      </c>
      <c r="T4327" s="7">
        <v>1.7529999999999999</v>
      </c>
      <c r="U4327" s="5">
        <v>4.7</v>
      </c>
      <c r="V4327" s="6">
        <v>-0.02</v>
      </c>
      <c r="W4327" s="4">
        <v>12</v>
      </c>
      <c r="X4327" s="7">
        <v>11.875</v>
      </c>
      <c r="Y4327" s="5">
        <v>14.5</v>
      </c>
      <c r="Z4327" s="7">
        <v>14.063000000000001</v>
      </c>
      <c r="AA4327" s="6">
        <v>12.41</v>
      </c>
      <c r="AB4327" s="2" t="s">
        <v>86</v>
      </c>
      <c r="AC4327" s="6">
        <v>156.97</v>
      </c>
    </row>
    <row r="4328" spans="1:29" ht="104" x14ac:dyDescent="0.15">
      <c r="A4328" s="3">
        <f t="shared" ref="A4328:A4333" si="84">DATE(1998,12,16)</f>
        <v>36145</v>
      </c>
      <c r="B4328" s="3">
        <f>DATE(1999,1,25)</f>
        <v>36185</v>
      </c>
      <c r="C4328" s="2" t="s">
        <v>95</v>
      </c>
      <c r="D4328" s="2" t="s">
        <v>13477</v>
      </c>
      <c r="E4328" s="2" t="s">
        <v>13478</v>
      </c>
      <c r="F4328" s="4">
        <v>2111</v>
      </c>
      <c r="G4328" s="2" t="s">
        <v>5397</v>
      </c>
      <c r="H4328" s="2" t="s">
        <v>34</v>
      </c>
      <c r="I4328" s="2" t="s">
        <v>13479</v>
      </c>
      <c r="J4328" s="2" t="s">
        <v>13480</v>
      </c>
      <c r="K4328" s="2" t="s">
        <v>5397</v>
      </c>
      <c r="L4328" s="2" t="s">
        <v>133</v>
      </c>
      <c r="M4328" s="2"/>
      <c r="N4328" s="2"/>
      <c r="O4328" s="2"/>
      <c r="P4328" s="2" t="s">
        <v>13481</v>
      </c>
      <c r="Q4328" s="6">
        <v>100</v>
      </c>
      <c r="R4328" s="6">
        <v>17.850000000000001</v>
      </c>
      <c r="S4328" s="5">
        <v>53.6</v>
      </c>
      <c r="T4328" s="6">
        <v>100.22</v>
      </c>
      <c r="U4328" s="5">
        <v>1.8</v>
      </c>
      <c r="V4328" s="6">
        <v>1.73</v>
      </c>
      <c r="W4328" s="6">
        <v>13.37</v>
      </c>
      <c r="X4328" s="6">
        <v>15.87</v>
      </c>
      <c r="Y4328" s="7">
        <v>17.375</v>
      </c>
      <c r="Z4328" s="5">
        <v>17.5</v>
      </c>
      <c r="AA4328" s="6">
        <v>29.77</v>
      </c>
      <c r="AB4328" s="7">
        <v>7.78</v>
      </c>
      <c r="AC4328" s="2"/>
    </row>
    <row r="4329" spans="1:29" ht="39" x14ac:dyDescent="0.15">
      <c r="A4329" s="3">
        <f t="shared" si="84"/>
        <v>36145</v>
      </c>
      <c r="B4329" s="2"/>
      <c r="C4329" s="2" t="s">
        <v>30</v>
      </c>
      <c r="D4329" s="2" t="s">
        <v>13482</v>
      </c>
      <c r="E4329" s="2" t="s">
        <v>177</v>
      </c>
      <c r="F4329" s="4">
        <v>1311</v>
      </c>
      <c r="G4329" s="2" t="s">
        <v>148</v>
      </c>
      <c r="H4329" s="2" t="s">
        <v>34</v>
      </c>
      <c r="I4329" s="2" t="s">
        <v>138</v>
      </c>
      <c r="J4329" s="2" t="s">
        <v>139</v>
      </c>
      <c r="K4329" s="2" t="s">
        <v>53</v>
      </c>
      <c r="L4329" s="2" t="s">
        <v>139</v>
      </c>
      <c r="M4329" s="2"/>
      <c r="N4329" s="2"/>
      <c r="O4329" s="2"/>
      <c r="P4329" s="2" t="s">
        <v>13483</v>
      </c>
      <c r="Q4329" s="2"/>
      <c r="R4329" s="2"/>
      <c r="S4329" s="5">
        <v>122</v>
      </c>
      <c r="T4329" s="7">
        <v>461.66699999999997</v>
      </c>
      <c r="U4329" s="5">
        <v>2</v>
      </c>
      <c r="V4329" s="9">
        <v>0.1925</v>
      </c>
      <c r="W4329" s="6">
        <v>14.25</v>
      </c>
      <c r="X4329" s="5">
        <v>15.5</v>
      </c>
      <c r="Y4329" s="5">
        <v>16.5</v>
      </c>
      <c r="Z4329" s="7">
        <v>16.375</v>
      </c>
      <c r="AA4329" s="6">
        <v>153.69999999999999</v>
      </c>
      <c r="AB4329" s="2" t="s">
        <v>47</v>
      </c>
      <c r="AC4329" s="2"/>
    </row>
    <row r="4330" spans="1:29" ht="91" x14ac:dyDescent="0.15">
      <c r="A4330" s="3">
        <f t="shared" si="84"/>
        <v>36145</v>
      </c>
      <c r="B4330" s="3">
        <f>DATE(1999,3,30)</f>
        <v>36249</v>
      </c>
      <c r="C4330" s="2" t="s">
        <v>95</v>
      </c>
      <c r="D4330" s="2" t="s">
        <v>13484</v>
      </c>
      <c r="E4330" s="2" t="s">
        <v>6843</v>
      </c>
      <c r="F4330" s="4">
        <v>7331</v>
      </c>
      <c r="G4330" s="2" t="s">
        <v>223</v>
      </c>
      <c r="H4330" s="2" t="s">
        <v>34</v>
      </c>
      <c r="I4330" s="2" t="s">
        <v>13485</v>
      </c>
      <c r="J4330" s="2" t="s">
        <v>7375</v>
      </c>
      <c r="K4330" s="2" t="s">
        <v>4563</v>
      </c>
      <c r="L4330" s="2" t="s">
        <v>34</v>
      </c>
      <c r="M4330" s="2"/>
      <c r="N4330" s="2"/>
      <c r="O4330" s="2"/>
      <c r="P4330" s="2" t="s">
        <v>13486</v>
      </c>
      <c r="Q4330" s="6">
        <v>100</v>
      </c>
      <c r="R4330" s="6">
        <v>17.5</v>
      </c>
      <c r="S4330" s="5">
        <v>7.8</v>
      </c>
      <c r="T4330" s="7">
        <v>14.313000000000001</v>
      </c>
      <c r="U4330" s="5">
        <v>10</v>
      </c>
      <c r="V4330" s="6">
        <v>1.52</v>
      </c>
      <c r="W4330" s="7">
        <v>14.375</v>
      </c>
      <c r="X4330" s="6">
        <v>15.75</v>
      </c>
      <c r="Y4330" s="5">
        <v>15.5</v>
      </c>
      <c r="Z4330" s="6">
        <v>17.25</v>
      </c>
      <c r="AA4330" s="6">
        <v>4.9000000000000004</v>
      </c>
      <c r="AB4330" s="7">
        <v>4.87</v>
      </c>
      <c r="AC4330" s="2"/>
    </row>
    <row r="4331" spans="1:29" ht="143" x14ac:dyDescent="0.15">
      <c r="A4331" s="3">
        <f t="shared" si="84"/>
        <v>36145</v>
      </c>
      <c r="B4331" s="3">
        <f>DATE(1999,5,24)</f>
        <v>36304</v>
      </c>
      <c r="C4331" s="2" t="s">
        <v>95</v>
      </c>
      <c r="D4331" s="2" t="s">
        <v>10481</v>
      </c>
      <c r="E4331" s="2" t="s">
        <v>32</v>
      </c>
      <c r="F4331" s="4">
        <v>6035</v>
      </c>
      <c r="G4331" s="2" t="s">
        <v>33</v>
      </c>
      <c r="H4331" s="2" t="s">
        <v>34</v>
      </c>
      <c r="I4331" s="2" t="s">
        <v>8934</v>
      </c>
      <c r="J4331" s="2" t="s">
        <v>5071</v>
      </c>
      <c r="K4331" s="2" t="s">
        <v>33</v>
      </c>
      <c r="L4331" s="2" t="s">
        <v>34</v>
      </c>
      <c r="M4331" s="12">
        <v>2922.4189999999999</v>
      </c>
      <c r="N4331" s="7">
        <v>24.187999999999999</v>
      </c>
      <c r="O4331" s="7">
        <v>24.812999999999999</v>
      </c>
      <c r="P4331" s="2" t="s">
        <v>13487</v>
      </c>
      <c r="Q4331" s="6">
        <v>100</v>
      </c>
      <c r="R4331" s="2"/>
      <c r="S4331" s="5">
        <v>9.4</v>
      </c>
      <c r="T4331" s="7">
        <v>15.372</v>
      </c>
      <c r="U4331" s="5">
        <v>11.6</v>
      </c>
      <c r="V4331" s="6">
        <v>2.2799999999999998</v>
      </c>
      <c r="W4331" s="6">
        <v>22.25</v>
      </c>
      <c r="X4331" s="4">
        <v>22</v>
      </c>
      <c r="Y4331" s="7">
        <v>21.687999999999999</v>
      </c>
      <c r="Z4331" s="6">
        <v>21.75</v>
      </c>
      <c r="AA4331" s="6">
        <v>4.82</v>
      </c>
      <c r="AB4331" s="7">
        <v>12.041</v>
      </c>
      <c r="AC4331" s="2"/>
    </row>
    <row r="4332" spans="1:29" ht="39" x14ac:dyDescent="0.15">
      <c r="A4332" s="3">
        <f t="shared" si="84"/>
        <v>36145</v>
      </c>
      <c r="B4332" s="2"/>
      <c r="C4332" s="2" t="s">
        <v>189</v>
      </c>
      <c r="D4332" s="2" t="s">
        <v>6998</v>
      </c>
      <c r="E4332" s="2" t="s">
        <v>6822</v>
      </c>
      <c r="F4332" s="4">
        <v>3572</v>
      </c>
      <c r="G4332" s="2" t="s">
        <v>50</v>
      </c>
      <c r="H4332" s="2" t="s">
        <v>34</v>
      </c>
      <c r="I4332" s="2" t="s">
        <v>143</v>
      </c>
      <c r="J4332" s="2" t="s">
        <v>144</v>
      </c>
      <c r="K4332" s="2" t="s">
        <v>53</v>
      </c>
      <c r="L4332" s="2" t="s">
        <v>139</v>
      </c>
      <c r="M4332" s="2"/>
      <c r="N4332" s="2"/>
      <c r="O4332" s="2"/>
      <c r="P4332" s="2" t="s">
        <v>13488</v>
      </c>
      <c r="Q4332" s="2"/>
      <c r="R4332" s="2"/>
      <c r="S4332" s="5">
        <v>-109.9</v>
      </c>
      <c r="T4332" s="7">
        <v>-31.742999999999999</v>
      </c>
      <c r="U4332" s="8">
        <v>-14672.8</v>
      </c>
      <c r="V4332" s="2"/>
      <c r="W4332" s="7">
        <v>14.938000000000001</v>
      </c>
      <c r="X4332" s="5">
        <v>13.5</v>
      </c>
      <c r="Y4332" s="9">
        <v>13.3125</v>
      </c>
      <c r="Z4332" s="7">
        <v>13.375</v>
      </c>
      <c r="AA4332" s="6">
        <v>94.27</v>
      </c>
      <c r="AB4332" s="2" t="s">
        <v>86</v>
      </c>
      <c r="AC4332" s="2"/>
    </row>
    <row r="4333" spans="1:29" ht="143" x14ac:dyDescent="0.15">
      <c r="A4333" s="3">
        <f t="shared" si="84"/>
        <v>36145</v>
      </c>
      <c r="B4333" s="3">
        <f>DATE(1999,5,28)</f>
        <v>36308</v>
      </c>
      <c r="C4333" s="2" t="s">
        <v>95</v>
      </c>
      <c r="D4333" s="2" t="s">
        <v>4128</v>
      </c>
      <c r="E4333" s="2" t="s">
        <v>36</v>
      </c>
      <c r="F4333" s="4">
        <v>6021</v>
      </c>
      <c r="G4333" s="2" t="s">
        <v>37</v>
      </c>
      <c r="H4333" s="2" t="s">
        <v>34</v>
      </c>
      <c r="I4333" s="2" t="s">
        <v>13489</v>
      </c>
      <c r="J4333" s="2" t="s">
        <v>13490</v>
      </c>
      <c r="K4333" s="2" t="s">
        <v>37</v>
      </c>
      <c r="L4333" s="2" t="s">
        <v>34</v>
      </c>
      <c r="M4333" s="7">
        <v>457.04899999999998</v>
      </c>
      <c r="N4333" s="5">
        <v>31.5</v>
      </c>
      <c r="O4333" s="7">
        <v>32.375</v>
      </c>
      <c r="P4333" s="2" t="s">
        <v>13491</v>
      </c>
      <c r="Q4333" s="6">
        <v>100</v>
      </c>
      <c r="R4333" s="6">
        <v>34.64</v>
      </c>
      <c r="S4333" s="5">
        <v>17.100000000000001</v>
      </c>
      <c r="T4333" s="7">
        <v>36.616999999999997</v>
      </c>
      <c r="U4333" s="5">
        <v>16.100000000000001</v>
      </c>
      <c r="V4333" s="6">
        <v>1.51</v>
      </c>
      <c r="W4333" s="5">
        <v>26.5</v>
      </c>
      <c r="X4333" s="6">
        <v>25.75</v>
      </c>
      <c r="Y4333" s="4">
        <v>29</v>
      </c>
      <c r="Z4333" s="6">
        <v>32.75</v>
      </c>
      <c r="AA4333" s="6">
        <v>12.85</v>
      </c>
      <c r="AB4333" s="7">
        <v>20.239000000000001</v>
      </c>
      <c r="AC4333" s="2"/>
    </row>
    <row r="4334" spans="1:29" ht="52" x14ac:dyDescent="0.15">
      <c r="A4334" s="3">
        <f>DATE(1998,12,17)</f>
        <v>36146</v>
      </c>
      <c r="B4334" s="3">
        <f>DATE(1999,3,15)</f>
        <v>36234</v>
      </c>
      <c r="C4334" s="2" t="s">
        <v>95</v>
      </c>
      <c r="D4334" s="2" t="s">
        <v>13492</v>
      </c>
      <c r="E4334" s="2" t="s">
        <v>4792</v>
      </c>
      <c r="F4334" s="4">
        <v>5912</v>
      </c>
      <c r="G4334" s="2" t="s">
        <v>73</v>
      </c>
      <c r="H4334" s="2" t="s">
        <v>34</v>
      </c>
      <c r="I4334" s="2" t="s">
        <v>8510</v>
      </c>
      <c r="J4334" s="2" t="s">
        <v>8511</v>
      </c>
      <c r="K4334" s="2" t="s">
        <v>73</v>
      </c>
      <c r="L4334" s="2" t="s">
        <v>34</v>
      </c>
      <c r="M4334" s="7">
        <v>79.566000000000003</v>
      </c>
      <c r="N4334" s="4">
        <v>8</v>
      </c>
      <c r="O4334" s="4">
        <v>8</v>
      </c>
      <c r="P4334" s="2" t="s">
        <v>13493</v>
      </c>
      <c r="Q4334" s="6">
        <v>100</v>
      </c>
      <c r="R4334" s="6">
        <v>3.25</v>
      </c>
      <c r="S4334" s="5">
        <v>-5.9</v>
      </c>
      <c r="T4334" s="7">
        <v>-1.738</v>
      </c>
      <c r="U4334" s="5">
        <v>1</v>
      </c>
      <c r="V4334" s="7">
        <v>-2.3159999999999998</v>
      </c>
      <c r="W4334" s="7">
        <v>1.125</v>
      </c>
      <c r="X4334" s="7">
        <v>1.8129999999999999</v>
      </c>
      <c r="Y4334" s="7">
        <v>2.8130000000000002</v>
      </c>
      <c r="Z4334" s="7">
        <v>2.8130000000000002</v>
      </c>
      <c r="AA4334" s="6">
        <v>2.59</v>
      </c>
      <c r="AB4334" s="2" t="s">
        <v>86</v>
      </c>
      <c r="AC4334" s="6">
        <v>53.72</v>
      </c>
    </row>
    <row r="4335" spans="1:29" ht="91" x14ac:dyDescent="0.15">
      <c r="A4335" s="3">
        <f>DATE(1998,12,17)</f>
        <v>36146</v>
      </c>
      <c r="B4335" s="2"/>
      <c r="C4335" s="2" t="s">
        <v>30</v>
      </c>
      <c r="D4335" s="2" t="s">
        <v>13494</v>
      </c>
      <c r="E4335" s="2" t="s">
        <v>13495</v>
      </c>
      <c r="F4335" s="4">
        <v>6324</v>
      </c>
      <c r="G4335" s="2" t="s">
        <v>125</v>
      </c>
      <c r="H4335" s="2" t="s">
        <v>34</v>
      </c>
      <c r="I4335" s="2" t="s">
        <v>13496</v>
      </c>
      <c r="J4335" s="2" t="s">
        <v>13497</v>
      </c>
      <c r="K4335" s="2" t="s">
        <v>454</v>
      </c>
      <c r="L4335" s="2" t="s">
        <v>34</v>
      </c>
      <c r="M4335" s="2"/>
      <c r="N4335" s="2"/>
      <c r="O4335" s="2"/>
      <c r="P4335" s="2" t="s">
        <v>13498</v>
      </c>
      <c r="Q4335" s="2"/>
      <c r="R4335" s="6">
        <v>15.25</v>
      </c>
      <c r="S4335" s="5">
        <v>-24</v>
      </c>
      <c r="T4335" s="2"/>
      <c r="U4335" s="5">
        <v>7.4</v>
      </c>
      <c r="V4335" s="6">
        <v>-1.29</v>
      </c>
      <c r="W4335" s="6">
        <v>8.94</v>
      </c>
      <c r="X4335" s="6">
        <v>8.8800000000000008</v>
      </c>
      <c r="Y4335" s="7">
        <v>10.938000000000001</v>
      </c>
      <c r="Z4335" s="7">
        <v>11.813000000000001</v>
      </c>
      <c r="AA4335" s="6">
        <v>18.670000000000002</v>
      </c>
      <c r="AB4335" s="7">
        <v>67.278999999999996</v>
      </c>
      <c r="AC4335" s="2"/>
    </row>
    <row r="4336" spans="1:29" ht="91" x14ac:dyDescent="0.15">
      <c r="A4336" s="3">
        <f>DATE(1998,12,17)</f>
        <v>36146</v>
      </c>
      <c r="B4336" s="3">
        <f>DATE(1999,2,4)</f>
        <v>36195</v>
      </c>
      <c r="C4336" s="2" t="s">
        <v>95</v>
      </c>
      <c r="D4336" s="2" t="s">
        <v>13499</v>
      </c>
      <c r="E4336" s="2" t="s">
        <v>7600</v>
      </c>
      <c r="F4336" s="4">
        <v>3634</v>
      </c>
      <c r="G4336" s="2" t="s">
        <v>137</v>
      </c>
      <c r="H4336" s="2" t="s">
        <v>34</v>
      </c>
      <c r="I4336" s="2" t="s">
        <v>13500</v>
      </c>
      <c r="J4336" s="2" t="s">
        <v>302</v>
      </c>
      <c r="K4336" s="2" t="s">
        <v>53</v>
      </c>
      <c r="L4336" s="2" t="s">
        <v>34</v>
      </c>
      <c r="M4336" s="2"/>
      <c r="N4336" s="2"/>
      <c r="O4336" s="2"/>
      <c r="P4336" s="2" t="s">
        <v>13501</v>
      </c>
      <c r="Q4336" s="6">
        <v>100</v>
      </c>
      <c r="R4336" s="6">
        <v>13.75</v>
      </c>
      <c r="S4336" s="5">
        <v>9.1999999999999993</v>
      </c>
      <c r="T4336" s="7">
        <v>40.518999999999998</v>
      </c>
      <c r="U4336" s="5">
        <v>12.4</v>
      </c>
      <c r="V4336" s="6">
        <v>0.96</v>
      </c>
      <c r="W4336" s="4">
        <v>11</v>
      </c>
      <c r="X4336" s="7">
        <v>11.188000000000001</v>
      </c>
      <c r="Y4336" s="7">
        <v>13.313000000000001</v>
      </c>
      <c r="Z4336" s="7">
        <v>13.375</v>
      </c>
      <c r="AA4336" s="6">
        <v>9.2899999999999991</v>
      </c>
      <c r="AB4336" s="7">
        <v>9.1720000000000006</v>
      </c>
      <c r="AC4336" s="2"/>
    </row>
    <row r="4337" spans="1:29" ht="117" x14ac:dyDescent="0.15">
      <c r="A4337" s="3">
        <f>DATE(1998,12,17)</f>
        <v>36146</v>
      </c>
      <c r="B4337" s="3">
        <f>DATE(1999,7,19)</f>
        <v>36360</v>
      </c>
      <c r="C4337" s="2" t="s">
        <v>95</v>
      </c>
      <c r="D4337" s="2" t="s">
        <v>13502</v>
      </c>
      <c r="E4337" s="2" t="s">
        <v>36</v>
      </c>
      <c r="F4337" s="4">
        <v>6021</v>
      </c>
      <c r="G4337" s="2" t="s">
        <v>37</v>
      </c>
      <c r="H4337" s="2" t="s">
        <v>34</v>
      </c>
      <c r="I4337" s="2" t="s">
        <v>13442</v>
      </c>
      <c r="J4337" s="2" t="s">
        <v>3246</v>
      </c>
      <c r="K4337" s="2" t="s">
        <v>37</v>
      </c>
      <c r="L4337" s="2" t="s">
        <v>34</v>
      </c>
      <c r="M4337" s="12">
        <v>1013.778</v>
      </c>
      <c r="N4337" s="4">
        <v>28</v>
      </c>
      <c r="O4337" s="4">
        <v>28</v>
      </c>
      <c r="P4337" s="2" t="s">
        <v>13503</v>
      </c>
      <c r="Q4337" s="6">
        <v>100</v>
      </c>
      <c r="R4337" s="6">
        <v>20.57</v>
      </c>
      <c r="S4337" s="5">
        <v>2.4</v>
      </c>
      <c r="T4337" s="7">
        <v>3.964</v>
      </c>
      <c r="U4337" s="5">
        <v>8.6</v>
      </c>
      <c r="V4337" s="7">
        <v>0.91200000000000003</v>
      </c>
      <c r="W4337" s="6">
        <v>14.25</v>
      </c>
      <c r="X4337" s="7">
        <v>15.875</v>
      </c>
      <c r="Y4337" s="7">
        <v>19.125</v>
      </c>
      <c r="Z4337" s="7">
        <v>19.125</v>
      </c>
      <c r="AA4337" s="6">
        <v>2.69</v>
      </c>
      <c r="AB4337" s="7">
        <v>48.86</v>
      </c>
      <c r="AC4337" s="2"/>
    </row>
    <row r="4338" spans="1:29" ht="78" x14ac:dyDescent="0.15">
      <c r="A4338" s="3">
        <f>DATE(1998,12,18)</f>
        <v>36147</v>
      </c>
      <c r="B4338" s="3">
        <f>DATE(1999,7,2)</f>
        <v>36343</v>
      </c>
      <c r="C4338" s="2" t="s">
        <v>95</v>
      </c>
      <c r="D4338" s="2" t="s">
        <v>13504</v>
      </c>
      <c r="E4338" s="2" t="s">
        <v>973</v>
      </c>
      <c r="F4338" s="4">
        <v>4813</v>
      </c>
      <c r="G4338" s="2" t="s">
        <v>63</v>
      </c>
      <c r="H4338" s="2" t="s">
        <v>34</v>
      </c>
      <c r="I4338" s="2" t="s">
        <v>11746</v>
      </c>
      <c r="J4338" s="2" t="s">
        <v>6519</v>
      </c>
      <c r="K4338" s="2" t="s">
        <v>63</v>
      </c>
      <c r="L4338" s="2" t="s">
        <v>34</v>
      </c>
      <c r="M4338" s="12">
        <v>14253.271000000001</v>
      </c>
      <c r="N4338" s="7">
        <v>55.875</v>
      </c>
      <c r="O4338" s="7">
        <v>57.625</v>
      </c>
      <c r="P4338" s="2" t="s">
        <v>13505</v>
      </c>
      <c r="Q4338" s="6">
        <v>100</v>
      </c>
      <c r="R4338" s="6">
        <v>39.130000000000003</v>
      </c>
      <c r="S4338" s="5">
        <v>53</v>
      </c>
      <c r="T4338" s="7">
        <v>139.232</v>
      </c>
      <c r="U4338" s="5">
        <v>8.4</v>
      </c>
      <c r="V4338" s="6">
        <v>1.46</v>
      </c>
      <c r="W4338" s="4">
        <v>31</v>
      </c>
      <c r="X4338" s="6">
        <v>30.87</v>
      </c>
      <c r="Y4338" s="6">
        <v>37.25</v>
      </c>
      <c r="Z4338" s="7">
        <v>37.938000000000002</v>
      </c>
      <c r="AA4338" s="6">
        <v>35.64</v>
      </c>
      <c r="AB4338" s="7">
        <v>16.84</v>
      </c>
      <c r="AC4338" s="6">
        <v>16.21</v>
      </c>
    </row>
    <row r="4339" spans="1:29" ht="156" x14ac:dyDescent="0.15">
      <c r="A4339" s="3">
        <f>DATE(1998,12,18)</f>
        <v>36147</v>
      </c>
      <c r="B4339" s="3">
        <f>DATE(1999,3,1)</f>
        <v>36220</v>
      </c>
      <c r="C4339" s="2" t="s">
        <v>95</v>
      </c>
      <c r="D4339" s="2" t="s">
        <v>5098</v>
      </c>
      <c r="E4339" s="2" t="s">
        <v>5099</v>
      </c>
      <c r="F4339" s="4">
        <v>3612</v>
      </c>
      <c r="G4339" s="2" t="s">
        <v>137</v>
      </c>
      <c r="H4339" s="2" t="s">
        <v>34</v>
      </c>
      <c r="I4339" s="2" t="s">
        <v>13506</v>
      </c>
      <c r="J4339" s="2" t="s">
        <v>13507</v>
      </c>
      <c r="K4339" s="2" t="s">
        <v>105</v>
      </c>
      <c r="L4339" s="2" t="s">
        <v>34</v>
      </c>
      <c r="M4339" s="12">
        <v>1192.0930000000001</v>
      </c>
      <c r="N4339" s="6">
        <v>50.75</v>
      </c>
      <c r="O4339" s="6">
        <v>49.75</v>
      </c>
      <c r="P4339" s="2" t="s">
        <v>13508</v>
      </c>
      <c r="Q4339" s="6">
        <v>100</v>
      </c>
      <c r="R4339" s="6">
        <v>39</v>
      </c>
      <c r="S4339" s="5">
        <v>27.9</v>
      </c>
      <c r="T4339" s="7">
        <v>77.063999999999993</v>
      </c>
      <c r="U4339" s="5">
        <v>10.6</v>
      </c>
      <c r="V4339" s="6">
        <v>1.75</v>
      </c>
      <c r="W4339" s="6">
        <v>27.25</v>
      </c>
      <c r="X4339" s="5">
        <v>31.5</v>
      </c>
      <c r="Y4339" s="7">
        <v>37.375</v>
      </c>
      <c r="Z4339" s="5">
        <v>37.5</v>
      </c>
      <c r="AA4339" s="6">
        <v>16.850000000000001</v>
      </c>
      <c r="AB4339" s="7">
        <v>13.989000000000001</v>
      </c>
      <c r="AC4339" s="5">
        <v>13.4</v>
      </c>
    </row>
    <row r="4340" spans="1:29" ht="78" x14ac:dyDescent="0.15">
      <c r="A4340" s="3">
        <f>DATE(1998,12,18)</f>
        <v>36147</v>
      </c>
      <c r="B4340" s="3">
        <f>DATE(1999,1,26)</f>
        <v>36186</v>
      </c>
      <c r="C4340" s="2" t="s">
        <v>95</v>
      </c>
      <c r="D4340" s="2" t="s">
        <v>13509</v>
      </c>
      <c r="E4340" s="2" t="s">
        <v>13510</v>
      </c>
      <c r="F4340" s="4">
        <v>2899</v>
      </c>
      <c r="G4340" s="2" t="s">
        <v>98</v>
      </c>
      <c r="H4340" s="2" t="s">
        <v>34</v>
      </c>
      <c r="I4340" s="2" t="s">
        <v>13511</v>
      </c>
      <c r="J4340" s="2" t="s">
        <v>13512</v>
      </c>
      <c r="K4340" s="2" t="s">
        <v>98</v>
      </c>
      <c r="L4340" s="2" t="s">
        <v>34</v>
      </c>
      <c r="M4340" s="12">
        <v>6024.6319999999996</v>
      </c>
      <c r="N4340" s="7">
        <v>28.625</v>
      </c>
      <c r="O4340" s="7">
        <v>29.625</v>
      </c>
      <c r="P4340" s="2" t="s">
        <v>13513</v>
      </c>
      <c r="Q4340" s="6">
        <v>100</v>
      </c>
      <c r="R4340" s="6">
        <v>34</v>
      </c>
      <c r="S4340" s="5">
        <v>21</v>
      </c>
      <c r="T4340" s="7">
        <v>34.896000000000001</v>
      </c>
      <c r="U4340" s="5">
        <v>9.6</v>
      </c>
      <c r="V4340" s="6">
        <v>1.61</v>
      </c>
      <c r="W4340" s="6">
        <v>24.75</v>
      </c>
      <c r="X4340" s="7">
        <v>26.312999999999999</v>
      </c>
      <c r="Y4340" s="7">
        <v>26.812999999999999</v>
      </c>
      <c r="Z4340" s="7">
        <v>33.688000000000002</v>
      </c>
      <c r="AA4340" s="6">
        <v>12.53</v>
      </c>
      <c r="AB4340" s="7">
        <v>14.563000000000001</v>
      </c>
      <c r="AC4340" s="5">
        <v>40</v>
      </c>
    </row>
    <row r="4341" spans="1:29" ht="143" x14ac:dyDescent="0.15">
      <c r="A4341" s="3">
        <f>DATE(1998,12,18)</f>
        <v>36147</v>
      </c>
      <c r="B4341" s="3">
        <f>DATE(1999,6,11)</f>
        <v>36322</v>
      </c>
      <c r="C4341" s="2" t="s">
        <v>95</v>
      </c>
      <c r="D4341" s="2" t="s">
        <v>13514</v>
      </c>
      <c r="E4341" s="2" t="s">
        <v>1181</v>
      </c>
      <c r="F4341" s="4">
        <v>6022</v>
      </c>
      <c r="G4341" s="2" t="s">
        <v>37</v>
      </c>
      <c r="H4341" s="2" t="s">
        <v>34</v>
      </c>
      <c r="I4341" s="2" t="s">
        <v>204</v>
      </c>
      <c r="J4341" s="2" t="s">
        <v>3246</v>
      </c>
      <c r="K4341" s="2" t="s">
        <v>37</v>
      </c>
      <c r="L4341" s="2" t="s">
        <v>34</v>
      </c>
      <c r="M4341" s="12">
        <v>1628.8430000000001</v>
      </c>
      <c r="N4341" s="7">
        <v>27.625</v>
      </c>
      <c r="O4341" s="7">
        <v>27.937999999999999</v>
      </c>
      <c r="P4341" s="2" t="s">
        <v>13515</v>
      </c>
      <c r="Q4341" s="6">
        <v>100</v>
      </c>
      <c r="R4341" s="6">
        <v>12.91</v>
      </c>
      <c r="S4341" s="5">
        <v>3.2</v>
      </c>
      <c r="T4341" s="7">
        <v>5.6820000000000004</v>
      </c>
      <c r="U4341" s="5">
        <v>3.9</v>
      </c>
      <c r="V4341" s="6">
        <v>0.38</v>
      </c>
      <c r="W4341" s="5">
        <v>7.5</v>
      </c>
      <c r="X4341" s="7">
        <v>8.125</v>
      </c>
      <c r="Y4341" s="7">
        <v>10.875</v>
      </c>
      <c r="Z4341" s="4">
        <v>11</v>
      </c>
      <c r="AA4341" s="6">
        <v>8.08</v>
      </c>
      <c r="AB4341" s="7">
        <v>22.54</v>
      </c>
      <c r="AC4341" s="2"/>
    </row>
    <row r="4342" spans="1:29" ht="91" x14ac:dyDescent="0.15">
      <c r="A4342" s="3">
        <f>DATE(1998,12,19)</f>
        <v>36148</v>
      </c>
      <c r="B4342" s="2"/>
      <c r="C4342" s="2" t="s">
        <v>30</v>
      </c>
      <c r="D4342" s="2" t="s">
        <v>13516</v>
      </c>
      <c r="E4342" s="2" t="s">
        <v>839</v>
      </c>
      <c r="F4342" s="4">
        <v>2834</v>
      </c>
      <c r="G4342" s="2" t="s">
        <v>130</v>
      </c>
      <c r="H4342" s="2" t="s">
        <v>34</v>
      </c>
      <c r="I4342" s="2" t="s">
        <v>8303</v>
      </c>
      <c r="J4342" s="2" t="s">
        <v>302</v>
      </c>
      <c r="K4342" s="2" t="s">
        <v>53</v>
      </c>
      <c r="L4342" s="2" t="s">
        <v>34</v>
      </c>
      <c r="M4342" s="2"/>
      <c r="N4342" s="2"/>
      <c r="O4342" s="2"/>
      <c r="P4342" s="2" t="s">
        <v>13517</v>
      </c>
      <c r="Q4342" s="2"/>
      <c r="R4342" s="6">
        <v>18.5</v>
      </c>
      <c r="S4342" s="5">
        <v>40.1</v>
      </c>
      <c r="T4342" s="7">
        <v>44.648000000000003</v>
      </c>
      <c r="U4342" s="5">
        <v>2.1</v>
      </c>
      <c r="V4342" s="6">
        <v>3.3</v>
      </c>
      <c r="W4342" s="7">
        <v>12.188000000000001</v>
      </c>
      <c r="X4342" s="5">
        <v>16.5</v>
      </c>
      <c r="Y4342" s="2"/>
      <c r="Z4342" s="2"/>
      <c r="AA4342" s="6">
        <v>11.33</v>
      </c>
      <c r="AB4342" s="7">
        <v>6.9560000000000004</v>
      </c>
      <c r="AC4342" s="2"/>
    </row>
    <row r="4343" spans="1:29" ht="65" x14ac:dyDescent="0.15">
      <c r="A4343" s="3">
        <f>DATE(1998,12,21)</f>
        <v>36150</v>
      </c>
      <c r="B4343" s="2"/>
      <c r="C4343" s="2" t="s">
        <v>7330</v>
      </c>
      <c r="D4343" s="2" t="s">
        <v>8741</v>
      </c>
      <c r="E4343" s="2" t="s">
        <v>8742</v>
      </c>
      <c r="F4343" s="4">
        <v>8082</v>
      </c>
      <c r="G4343" s="2" t="s">
        <v>454</v>
      </c>
      <c r="H4343" s="2" t="s">
        <v>34</v>
      </c>
      <c r="I4343" s="2" t="s">
        <v>13518</v>
      </c>
      <c r="J4343" s="2" t="s">
        <v>7375</v>
      </c>
      <c r="K4343" s="2" t="s">
        <v>4563</v>
      </c>
      <c r="L4343" s="2" t="s">
        <v>34</v>
      </c>
      <c r="M4343" s="2"/>
      <c r="N4343" s="2"/>
      <c r="O4343" s="2"/>
      <c r="P4343" s="2" t="s">
        <v>13519</v>
      </c>
      <c r="Q4343" s="2"/>
      <c r="R4343" s="6">
        <v>5</v>
      </c>
      <c r="S4343" s="5">
        <v>1</v>
      </c>
      <c r="T4343" s="7">
        <v>0.95099999999999996</v>
      </c>
      <c r="U4343" s="5">
        <v>2.2000000000000002</v>
      </c>
      <c r="V4343" s="9">
        <v>-0.26250000000000001</v>
      </c>
      <c r="W4343" s="4">
        <v>2</v>
      </c>
      <c r="X4343" s="7">
        <v>2.2810000000000001</v>
      </c>
      <c r="Y4343" s="7">
        <v>3.5630000000000002</v>
      </c>
      <c r="Z4343" s="6">
        <v>3.25</v>
      </c>
      <c r="AA4343" s="6">
        <v>3.06</v>
      </c>
      <c r="AB4343" s="2" t="s">
        <v>86</v>
      </c>
      <c r="AC4343" s="2"/>
    </row>
    <row r="4344" spans="1:29" ht="91" x14ac:dyDescent="0.15">
      <c r="A4344" s="3">
        <f>DATE(1998,12,22)</f>
        <v>36151</v>
      </c>
      <c r="B4344" s="2"/>
      <c r="C4344" s="2" t="s">
        <v>30</v>
      </c>
      <c r="D4344" s="2" t="s">
        <v>13267</v>
      </c>
      <c r="E4344" s="2" t="s">
        <v>58</v>
      </c>
      <c r="F4344" s="4">
        <v>4512</v>
      </c>
      <c r="G4344" s="2" t="s">
        <v>59</v>
      </c>
      <c r="H4344" s="2" t="s">
        <v>34</v>
      </c>
      <c r="I4344" s="2" t="s">
        <v>13520</v>
      </c>
      <c r="J4344" s="2" t="s">
        <v>13521</v>
      </c>
      <c r="K4344" s="2" t="s">
        <v>59</v>
      </c>
      <c r="L4344" s="2" t="s">
        <v>34</v>
      </c>
      <c r="M4344" s="2"/>
      <c r="N4344" s="2"/>
      <c r="O4344" s="2"/>
      <c r="P4344" s="2" t="s">
        <v>13522</v>
      </c>
      <c r="Q4344" s="2"/>
      <c r="R4344" s="6">
        <v>8.15</v>
      </c>
      <c r="S4344" s="5">
        <v>-11.6</v>
      </c>
      <c r="T4344" s="7">
        <v>-0.33900000000000002</v>
      </c>
      <c r="U4344" s="5">
        <v>-0.1</v>
      </c>
      <c r="V4344" s="6">
        <v>-1.18</v>
      </c>
      <c r="W4344" s="7">
        <v>6.6879999999999997</v>
      </c>
      <c r="X4344" s="6">
        <v>7.25</v>
      </c>
      <c r="Y4344" s="7">
        <v>7.375</v>
      </c>
      <c r="Z4344" s="7">
        <v>7.3129999999999997</v>
      </c>
      <c r="AA4344" s="6">
        <v>10.85</v>
      </c>
      <c r="AB4344" s="2" t="s">
        <v>86</v>
      </c>
      <c r="AC4344" s="2"/>
    </row>
    <row r="4345" spans="1:29" ht="91" x14ac:dyDescent="0.15">
      <c r="A4345" s="3">
        <f>DATE(1998,12,23)</f>
        <v>36152</v>
      </c>
      <c r="B4345" s="3">
        <f>DATE(1999,2,11)</f>
        <v>36202</v>
      </c>
      <c r="C4345" s="2" t="s">
        <v>95</v>
      </c>
      <c r="D4345" s="2" t="s">
        <v>13523</v>
      </c>
      <c r="E4345" s="2" t="s">
        <v>13524</v>
      </c>
      <c r="F4345" s="4">
        <v>6162</v>
      </c>
      <c r="G4345" s="2" t="s">
        <v>109</v>
      </c>
      <c r="H4345" s="2" t="s">
        <v>34</v>
      </c>
      <c r="I4345" s="2" t="s">
        <v>13525</v>
      </c>
      <c r="J4345" s="2" t="s">
        <v>4117</v>
      </c>
      <c r="K4345" s="2" t="s">
        <v>53</v>
      </c>
      <c r="L4345" s="2" t="s">
        <v>34</v>
      </c>
      <c r="M4345" s="2"/>
      <c r="N4345" s="2"/>
      <c r="O4345" s="2"/>
      <c r="P4345" s="2" t="s">
        <v>13526</v>
      </c>
      <c r="Q4345" s="6">
        <v>57.2</v>
      </c>
      <c r="R4345" s="2"/>
      <c r="S4345" s="5">
        <v>40.299999999999997</v>
      </c>
      <c r="T4345" s="7">
        <v>56.841000000000001</v>
      </c>
      <c r="U4345" s="5">
        <v>55.8</v>
      </c>
      <c r="V4345" s="6">
        <v>6.15</v>
      </c>
      <c r="W4345" s="7">
        <v>1.6879999999999999</v>
      </c>
      <c r="X4345" s="6">
        <v>2.25</v>
      </c>
      <c r="Y4345" s="5">
        <v>2.5</v>
      </c>
      <c r="Z4345" s="9">
        <v>2.5625</v>
      </c>
      <c r="AA4345" s="6">
        <v>31.02</v>
      </c>
      <c r="AB4345" s="7">
        <v>10.33</v>
      </c>
      <c r="AC4345" s="2"/>
    </row>
    <row r="4346" spans="1:29" ht="52" x14ac:dyDescent="0.15">
      <c r="A4346" s="3">
        <f>DATE(1998,12,23)</f>
        <v>36152</v>
      </c>
      <c r="B4346" s="3">
        <f>DATE(1999,9,23)</f>
        <v>36426</v>
      </c>
      <c r="C4346" s="2" t="s">
        <v>95</v>
      </c>
      <c r="D4346" s="2" t="s">
        <v>3601</v>
      </c>
      <c r="E4346" s="2" t="s">
        <v>2426</v>
      </c>
      <c r="F4346" s="4">
        <v>3841</v>
      </c>
      <c r="G4346" s="2" t="s">
        <v>226</v>
      </c>
      <c r="H4346" s="2" t="s">
        <v>34</v>
      </c>
      <c r="I4346" s="2" t="s">
        <v>6503</v>
      </c>
      <c r="J4346" s="2" t="s">
        <v>6504</v>
      </c>
      <c r="K4346" s="2" t="s">
        <v>282</v>
      </c>
      <c r="L4346" s="2" t="s">
        <v>34</v>
      </c>
      <c r="M4346" s="12">
        <v>28177.991000000002</v>
      </c>
      <c r="N4346" s="7">
        <v>53.875</v>
      </c>
      <c r="O4346" s="7">
        <v>53.875</v>
      </c>
      <c r="P4346" s="2" t="s">
        <v>13527</v>
      </c>
      <c r="Q4346" s="6">
        <v>100</v>
      </c>
      <c r="R4346" s="6">
        <v>25</v>
      </c>
      <c r="S4346" s="5">
        <v>32</v>
      </c>
      <c r="T4346" s="7">
        <v>54.960999999999999</v>
      </c>
      <c r="U4346" s="5">
        <v>7.1</v>
      </c>
      <c r="V4346" s="6">
        <v>1.04</v>
      </c>
      <c r="W4346" s="6">
        <v>45.37</v>
      </c>
      <c r="X4346" s="6">
        <v>43.87</v>
      </c>
      <c r="Y4346" s="7">
        <v>24.125</v>
      </c>
      <c r="Z4346" s="7">
        <v>24.125</v>
      </c>
      <c r="AA4346" s="6">
        <v>30.45</v>
      </c>
      <c r="AB4346" s="7">
        <v>15.250999999999999</v>
      </c>
      <c r="AC4346" s="5">
        <v>90.8</v>
      </c>
    </row>
    <row r="4347" spans="1:29" ht="39" x14ac:dyDescent="0.15">
      <c r="A4347" s="3">
        <f>DATE(1998,12,23)</f>
        <v>36152</v>
      </c>
      <c r="B4347" s="2"/>
      <c r="C4347" s="2" t="s">
        <v>30</v>
      </c>
      <c r="D4347" s="2" t="s">
        <v>13528</v>
      </c>
      <c r="E4347" s="2" t="s">
        <v>13529</v>
      </c>
      <c r="F4347" s="4">
        <v>7349</v>
      </c>
      <c r="G4347" s="2" t="s">
        <v>223</v>
      </c>
      <c r="H4347" s="2" t="s">
        <v>34</v>
      </c>
      <c r="I4347" s="2" t="s">
        <v>13530</v>
      </c>
      <c r="J4347" s="2" t="s">
        <v>80</v>
      </c>
      <c r="K4347" s="2" t="s">
        <v>53</v>
      </c>
      <c r="L4347" s="2" t="s">
        <v>34</v>
      </c>
      <c r="M4347" s="2"/>
      <c r="N4347" s="2"/>
      <c r="O4347" s="2"/>
      <c r="P4347" s="2" t="s">
        <v>13531</v>
      </c>
      <c r="Q4347" s="2"/>
      <c r="R4347" s="2"/>
      <c r="S4347" s="5">
        <v>1.4</v>
      </c>
      <c r="T4347" s="6">
        <v>12.71</v>
      </c>
      <c r="U4347" s="5">
        <v>16.8</v>
      </c>
      <c r="V4347" s="7">
        <v>0.254</v>
      </c>
      <c r="W4347" s="7">
        <v>15.063000000000001</v>
      </c>
      <c r="X4347" s="5">
        <v>16.5</v>
      </c>
      <c r="Y4347" s="9">
        <v>20.0625</v>
      </c>
      <c r="Z4347" s="5">
        <v>20.5</v>
      </c>
      <c r="AA4347" s="6">
        <v>44.96</v>
      </c>
      <c r="AB4347" s="2" t="s">
        <v>86</v>
      </c>
      <c r="AC4347" s="2"/>
    </row>
    <row r="4348" spans="1:29" ht="182" x14ac:dyDescent="0.15">
      <c r="A4348" s="3">
        <f>DATE(1998,12,23)</f>
        <v>36152</v>
      </c>
      <c r="B4348" s="3">
        <f>DATE(1999,3,18)</f>
        <v>36237</v>
      </c>
      <c r="C4348" s="2" t="s">
        <v>95</v>
      </c>
      <c r="D4348" s="2" t="s">
        <v>13532</v>
      </c>
      <c r="E4348" s="2" t="s">
        <v>612</v>
      </c>
      <c r="F4348" s="4">
        <v>1311</v>
      </c>
      <c r="G4348" s="2" t="s">
        <v>148</v>
      </c>
      <c r="H4348" s="2" t="s">
        <v>34</v>
      </c>
      <c r="I4348" s="2" t="s">
        <v>13405</v>
      </c>
      <c r="J4348" s="2" t="s">
        <v>13406</v>
      </c>
      <c r="K4348" s="2" t="s">
        <v>148</v>
      </c>
      <c r="L4348" s="2" t="s">
        <v>34</v>
      </c>
      <c r="M4348" s="12">
        <v>52440.201000000001</v>
      </c>
      <c r="N4348" s="4">
        <v>85</v>
      </c>
      <c r="O4348" s="7">
        <v>84.688000000000002</v>
      </c>
      <c r="P4348" s="2" t="s">
        <v>13533</v>
      </c>
      <c r="Q4348" s="6">
        <v>100</v>
      </c>
      <c r="R4348" s="6">
        <v>3.68</v>
      </c>
      <c r="S4348" s="5">
        <v>-22.7</v>
      </c>
      <c r="T4348" s="7">
        <v>-2.5760000000000001</v>
      </c>
      <c r="U4348" s="5">
        <v>2.9</v>
      </c>
      <c r="V4348" s="6">
        <v>-0.88</v>
      </c>
      <c r="W4348" s="6">
        <v>5.25</v>
      </c>
      <c r="X4348" s="7">
        <v>2.8130000000000002</v>
      </c>
      <c r="Y4348" s="7">
        <v>2.1880000000000002</v>
      </c>
      <c r="Z4348" s="7">
        <v>2.375</v>
      </c>
      <c r="AA4348" s="6">
        <v>25.6</v>
      </c>
      <c r="AB4348" s="2" t="s">
        <v>86</v>
      </c>
      <c r="AC4348" s="8">
        <v>1670</v>
      </c>
    </row>
    <row r="4349" spans="1:29" ht="117" x14ac:dyDescent="0.15">
      <c r="A4349" s="3">
        <f>DATE(1998,12,24)</f>
        <v>36153</v>
      </c>
      <c r="B4349" s="3">
        <f>DATE(1999,3,4)</f>
        <v>36223</v>
      </c>
      <c r="C4349" s="2" t="s">
        <v>95</v>
      </c>
      <c r="D4349" s="2" t="s">
        <v>13534</v>
      </c>
      <c r="E4349" s="2" t="s">
        <v>11215</v>
      </c>
      <c r="F4349" s="4">
        <v>7389</v>
      </c>
      <c r="G4349" s="2" t="s">
        <v>223</v>
      </c>
      <c r="H4349" s="2" t="s">
        <v>34</v>
      </c>
      <c r="I4349" s="2" t="s">
        <v>51</v>
      </c>
      <c r="J4349" s="2" t="s">
        <v>52</v>
      </c>
      <c r="K4349" s="2" t="s">
        <v>53</v>
      </c>
      <c r="L4349" s="2" t="s">
        <v>34</v>
      </c>
      <c r="M4349" s="2"/>
      <c r="N4349" s="2"/>
      <c r="O4349" s="2"/>
      <c r="P4349" s="2" t="s">
        <v>13535</v>
      </c>
      <c r="Q4349" s="6">
        <v>52</v>
      </c>
      <c r="R4349" s="6">
        <v>6.5</v>
      </c>
      <c r="S4349" s="5">
        <v>-25.2</v>
      </c>
      <c r="T4349" s="7">
        <v>-12.083</v>
      </c>
      <c r="U4349" s="5">
        <v>4.3</v>
      </c>
      <c r="V4349" s="6">
        <v>-3.92</v>
      </c>
      <c r="W4349" s="7">
        <v>3.4380000000000002</v>
      </c>
      <c r="X4349" s="7">
        <v>3.9060000000000001</v>
      </c>
      <c r="Y4349" s="7">
        <v>5.125</v>
      </c>
      <c r="Z4349" s="7">
        <v>5.125</v>
      </c>
      <c r="AA4349" s="6">
        <v>6.43</v>
      </c>
      <c r="AB4349" s="2" t="s">
        <v>86</v>
      </c>
      <c r="AC4349" s="2"/>
    </row>
    <row r="4350" spans="1:29" ht="52" x14ac:dyDescent="0.15">
      <c r="A4350" s="3">
        <f>DATE(1998,12,24)</f>
        <v>36153</v>
      </c>
      <c r="B4350" s="3">
        <f>DATE(1999,7,1)</f>
        <v>36342</v>
      </c>
      <c r="C4350" s="2" t="s">
        <v>95</v>
      </c>
      <c r="D4350" s="2" t="s">
        <v>13536</v>
      </c>
      <c r="E4350" s="2" t="s">
        <v>13537</v>
      </c>
      <c r="F4350" s="4">
        <v>6035</v>
      </c>
      <c r="G4350" s="2" t="s">
        <v>33</v>
      </c>
      <c r="H4350" s="2" t="s">
        <v>34</v>
      </c>
      <c r="I4350" s="2" t="s">
        <v>13538</v>
      </c>
      <c r="J4350" s="2" t="s">
        <v>36</v>
      </c>
      <c r="K4350" s="2" t="s">
        <v>37</v>
      </c>
      <c r="L4350" s="2" t="s">
        <v>34</v>
      </c>
      <c r="M4350" s="2"/>
      <c r="N4350" s="2"/>
      <c r="O4350" s="2"/>
      <c r="P4350" s="2" t="s">
        <v>13539</v>
      </c>
      <c r="Q4350" s="6">
        <v>100</v>
      </c>
      <c r="R4350" s="6">
        <v>15.75</v>
      </c>
      <c r="S4350" s="5">
        <v>0.2</v>
      </c>
      <c r="T4350" s="7">
        <v>0.27300000000000002</v>
      </c>
      <c r="U4350" s="5">
        <v>13.9</v>
      </c>
      <c r="V4350" s="6">
        <v>0.2</v>
      </c>
      <c r="W4350" s="6">
        <v>11.75</v>
      </c>
      <c r="X4350" s="7">
        <v>11.938000000000001</v>
      </c>
      <c r="Y4350" s="6">
        <v>14.75</v>
      </c>
      <c r="Z4350" s="6">
        <v>14.75</v>
      </c>
      <c r="AA4350" s="6">
        <v>0.83</v>
      </c>
      <c r="AB4350" s="7">
        <v>67.494</v>
      </c>
      <c r="AC4350" s="2"/>
    </row>
    <row r="4351" spans="1:29" ht="78" x14ac:dyDescent="0.15">
      <c r="A4351" s="3">
        <f>DATE(1998,12,27)</f>
        <v>36156</v>
      </c>
      <c r="B4351" s="3">
        <f>DATE(1999,4,20)</f>
        <v>36270</v>
      </c>
      <c r="C4351" s="2" t="s">
        <v>95</v>
      </c>
      <c r="D4351" s="2" t="s">
        <v>13540</v>
      </c>
      <c r="E4351" s="2" t="s">
        <v>13541</v>
      </c>
      <c r="F4351" s="4">
        <v>3452</v>
      </c>
      <c r="G4351" s="2" t="s">
        <v>163</v>
      </c>
      <c r="H4351" s="2" t="s">
        <v>34</v>
      </c>
      <c r="I4351" s="2" t="s">
        <v>1684</v>
      </c>
      <c r="J4351" s="2" t="s">
        <v>1685</v>
      </c>
      <c r="K4351" s="2" t="s">
        <v>163</v>
      </c>
      <c r="L4351" s="2" t="s">
        <v>34</v>
      </c>
      <c r="M4351" s="7">
        <v>353.37900000000002</v>
      </c>
      <c r="N4351" s="7">
        <v>14.563000000000001</v>
      </c>
      <c r="O4351" s="7">
        <v>14.563000000000001</v>
      </c>
      <c r="P4351" s="2" t="s">
        <v>13542</v>
      </c>
      <c r="Q4351" s="6">
        <v>97.08</v>
      </c>
      <c r="R4351" s="6">
        <v>28.75</v>
      </c>
      <c r="S4351" s="5">
        <v>12.6</v>
      </c>
      <c r="T4351" s="7">
        <v>28.402999999999999</v>
      </c>
      <c r="U4351" s="5">
        <v>13.4</v>
      </c>
      <c r="V4351" s="6">
        <v>1.54</v>
      </c>
      <c r="W4351" s="5">
        <v>22.5</v>
      </c>
      <c r="X4351" s="7">
        <v>24.625</v>
      </c>
      <c r="Y4351" s="2"/>
      <c r="Z4351" s="5">
        <v>27.5</v>
      </c>
      <c r="AA4351" s="6">
        <v>5.07</v>
      </c>
      <c r="AB4351" s="7">
        <v>11.423</v>
      </c>
      <c r="AC4351" s="6">
        <v>53.56</v>
      </c>
    </row>
    <row r="4352" spans="1:29" ht="91" x14ac:dyDescent="0.15">
      <c r="A4352" s="3">
        <f>DATE(1998,12,29)</f>
        <v>36158</v>
      </c>
      <c r="B4352" s="3">
        <f>DATE(1998,12,29)</f>
        <v>36158</v>
      </c>
      <c r="C4352" s="2" t="s">
        <v>95</v>
      </c>
      <c r="D4352" s="2" t="s">
        <v>1820</v>
      </c>
      <c r="E4352" s="2" t="s">
        <v>1821</v>
      </c>
      <c r="F4352" s="4">
        <v>5311</v>
      </c>
      <c r="G4352" s="2" t="s">
        <v>756</v>
      </c>
      <c r="H4352" s="2" t="s">
        <v>34</v>
      </c>
      <c r="I4352" s="2" t="s">
        <v>13543</v>
      </c>
      <c r="J4352" s="2" t="s">
        <v>8509</v>
      </c>
      <c r="K4352" s="2" t="s">
        <v>756</v>
      </c>
      <c r="L4352" s="2" t="s">
        <v>34</v>
      </c>
      <c r="M4352" s="7">
        <v>326.93599999999998</v>
      </c>
      <c r="N4352" s="7">
        <v>12.438000000000001</v>
      </c>
      <c r="O4352" s="6">
        <v>12.75</v>
      </c>
      <c r="P4352" s="2" t="s">
        <v>13544</v>
      </c>
      <c r="Q4352" s="6">
        <v>19.32</v>
      </c>
      <c r="R4352" s="6">
        <v>3.21</v>
      </c>
      <c r="S4352" s="5">
        <v>-5.6</v>
      </c>
      <c r="T4352" s="7">
        <v>-1.099</v>
      </c>
      <c r="U4352" s="5">
        <v>7.9</v>
      </c>
      <c r="V4352" s="6">
        <v>-3.68</v>
      </c>
      <c r="W4352" s="6">
        <v>3.25</v>
      </c>
      <c r="X4352" s="7">
        <v>2.625</v>
      </c>
      <c r="Y4352" s="6">
        <v>3.25</v>
      </c>
      <c r="Z4352" s="7">
        <v>3.625</v>
      </c>
      <c r="AA4352" s="6">
        <v>1.55</v>
      </c>
      <c r="AB4352" s="2" t="s">
        <v>86</v>
      </c>
      <c r="AC4352" s="6">
        <v>32.799999999999997</v>
      </c>
    </row>
    <row r="4353" spans="1:29" ht="65" x14ac:dyDescent="0.15">
      <c r="A4353" s="3">
        <f>DATE(1998,12,29)</f>
        <v>36158</v>
      </c>
      <c r="B4353" s="2"/>
      <c r="C4353" s="2" t="s">
        <v>30</v>
      </c>
      <c r="D4353" s="2" t="s">
        <v>13545</v>
      </c>
      <c r="E4353" s="2" t="s">
        <v>13546</v>
      </c>
      <c r="F4353" s="4">
        <v>3949</v>
      </c>
      <c r="G4353" s="2" t="s">
        <v>112</v>
      </c>
      <c r="H4353" s="2" t="s">
        <v>34</v>
      </c>
      <c r="I4353" s="2" t="s">
        <v>13547</v>
      </c>
      <c r="J4353" s="2" t="s">
        <v>13548</v>
      </c>
      <c r="K4353" s="2" t="s">
        <v>53</v>
      </c>
      <c r="L4353" s="2" t="s">
        <v>34</v>
      </c>
      <c r="M4353" s="2"/>
      <c r="N4353" s="2"/>
      <c r="O4353" s="2"/>
      <c r="P4353" s="2" t="s">
        <v>13549</v>
      </c>
      <c r="Q4353" s="2"/>
      <c r="R4353" s="2"/>
      <c r="S4353" s="2"/>
      <c r="T4353" s="2"/>
      <c r="U4353" s="2"/>
      <c r="V4353" s="2"/>
      <c r="W4353" s="6">
        <v>1.1399999999999999</v>
      </c>
      <c r="X4353" s="6">
        <v>1.01</v>
      </c>
      <c r="Y4353" s="5">
        <v>1.1000000000000001</v>
      </c>
      <c r="Z4353" s="6">
        <v>1.01</v>
      </c>
      <c r="AA4353" s="2"/>
      <c r="AB4353" s="2" t="s">
        <v>47</v>
      </c>
      <c r="AC4353" s="2"/>
    </row>
    <row r="4354" spans="1:29" ht="65" x14ac:dyDescent="0.15">
      <c r="A4354" s="3">
        <f>DATE(1998,12,29)</f>
        <v>36158</v>
      </c>
      <c r="B4354" s="2"/>
      <c r="C4354" s="2" t="s">
        <v>7330</v>
      </c>
      <c r="D4354" s="2" t="s">
        <v>13550</v>
      </c>
      <c r="E4354" s="2" t="s">
        <v>3900</v>
      </c>
      <c r="F4354" s="4">
        <v>5812</v>
      </c>
      <c r="G4354" s="2" t="s">
        <v>230</v>
      </c>
      <c r="H4354" s="2" t="s">
        <v>34</v>
      </c>
      <c r="I4354" s="2" t="s">
        <v>51</v>
      </c>
      <c r="J4354" s="2" t="s">
        <v>52</v>
      </c>
      <c r="K4354" s="2" t="s">
        <v>53</v>
      </c>
      <c r="L4354" s="2" t="s">
        <v>34</v>
      </c>
      <c r="M4354" s="2"/>
      <c r="N4354" s="2"/>
      <c r="O4354" s="2"/>
      <c r="P4354" s="2" t="s">
        <v>13551</v>
      </c>
      <c r="Q4354" s="2"/>
      <c r="R4354" s="6">
        <v>8.1999999999999993</v>
      </c>
      <c r="S4354" s="5">
        <v>0.7</v>
      </c>
      <c r="T4354" s="7">
        <v>1.4019999999999999</v>
      </c>
      <c r="U4354" s="5">
        <v>1.2</v>
      </c>
      <c r="V4354" s="7">
        <v>0.17499999999999999</v>
      </c>
      <c r="W4354" s="4">
        <v>7</v>
      </c>
      <c r="X4354" s="7">
        <v>7.125</v>
      </c>
      <c r="Y4354" s="5">
        <v>7.5</v>
      </c>
      <c r="Z4354" s="7">
        <v>7.625</v>
      </c>
      <c r="AA4354" s="6">
        <v>4.3499999999999996</v>
      </c>
      <c r="AB4354" s="7">
        <v>36.607999999999997</v>
      </c>
      <c r="AC4354" s="2"/>
    </row>
    <row r="4355" spans="1:29" ht="91" x14ac:dyDescent="0.15">
      <c r="A4355" s="3">
        <f>DATE(1998,12,30)</f>
        <v>36159</v>
      </c>
      <c r="B4355" s="2"/>
      <c r="C4355" s="2" t="s">
        <v>30</v>
      </c>
      <c r="D4355" s="2" t="s">
        <v>1439</v>
      </c>
      <c r="E4355" s="2" t="s">
        <v>1440</v>
      </c>
      <c r="F4355" s="4">
        <v>5651</v>
      </c>
      <c r="G4355" s="2" t="s">
        <v>756</v>
      </c>
      <c r="H4355" s="2" t="s">
        <v>34</v>
      </c>
      <c r="I4355" s="2" t="s">
        <v>13552</v>
      </c>
      <c r="J4355" s="2" t="s">
        <v>955</v>
      </c>
      <c r="K4355" s="2" t="s">
        <v>73</v>
      </c>
      <c r="L4355" s="2" t="s">
        <v>34</v>
      </c>
      <c r="M4355" s="2"/>
      <c r="N4355" s="2"/>
      <c r="O4355" s="2"/>
      <c r="P4355" s="2" t="s">
        <v>13553</v>
      </c>
      <c r="Q4355" s="2"/>
      <c r="R4355" s="6">
        <v>3.65</v>
      </c>
      <c r="S4355" s="5">
        <v>-29.1</v>
      </c>
      <c r="T4355" s="7">
        <v>-27.298999999999999</v>
      </c>
      <c r="U4355" s="5">
        <v>5.2</v>
      </c>
      <c r="V4355" s="6">
        <v>-1.86</v>
      </c>
      <c r="W4355" s="4">
        <v>2</v>
      </c>
      <c r="X4355" s="7">
        <v>1.9690000000000001</v>
      </c>
      <c r="Y4355" s="7">
        <v>1.9379999999999999</v>
      </c>
      <c r="Z4355" s="7">
        <v>1.9379999999999999</v>
      </c>
      <c r="AA4355" s="6">
        <v>15.88</v>
      </c>
      <c r="AB4355" s="2" t="s">
        <v>86</v>
      </c>
      <c r="AC4355" s="2"/>
    </row>
    <row r="4356" spans="1:29" ht="91" x14ac:dyDescent="0.15">
      <c r="A4356" s="3">
        <f>DATE(1998,12,30)</f>
        <v>36159</v>
      </c>
      <c r="B4356" s="2"/>
      <c r="C4356" s="2" t="s">
        <v>7330</v>
      </c>
      <c r="D4356" s="2" t="s">
        <v>8169</v>
      </c>
      <c r="E4356" s="2" t="s">
        <v>36</v>
      </c>
      <c r="F4356" s="4">
        <v>6712</v>
      </c>
      <c r="G4356" s="2" t="s">
        <v>37</v>
      </c>
      <c r="H4356" s="2" t="s">
        <v>34</v>
      </c>
      <c r="I4356" s="2" t="s">
        <v>3289</v>
      </c>
      <c r="J4356" s="2" t="s">
        <v>159</v>
      </c>
      <c r="K4356" s="2" t="s">
        <v>37</v>
      </c>
      <c r="L4356" s="2" t="s">
        <v>34</v>
      </c>
      <c r="M4356" s="2"/>
      <c r="N4356" s="2"/>
      <c r="O4356" s="2"/>
      <c r="P4356" s="2" t="s">
        <v>13554</v>
      </c>
      <c r="Q4356" s="2"/>
      <c r="R4356" s="6">
        <v>21</v>
      </c>
      <c r="S4356" s="5">
        <v>3.2</v>
      </c>
      <c r="T4356" s="7">
        <v>5.6310000000000002</v>
      </c>
      <c r="U4356" s="5">
        <v>10.5</v>
      </c>
      <c r="V4356" s="6">
        <v>0.87</v>
      </c>
      <c r="W4356" s="7">
        <v>16.812999999999999</v>
      </c>
      <c r="X4356" s="7">
        <v>16.812999999999999</v>
      </c>
      <c r="Y4356" s="7">
        <v>16.812999999999999</v>
      </c>
      <c r="Z4356" s="5">
        <v>19.5</v>
      </c>
      <c r="AA4356" s="6">
        <v>2.61</v>
      </c>
      <c r="AB4356" s="7">
        <v>22.565000000000001</v>
      </c>
      <c r="AC4356" s="2"/>
    </row>
    <row r="4357" spans="1:29" ht="52" x14ac:dyDescent="0.15">
      <c r="A4357" s="3">
        <f>DATE(1998,12,30)</f>
        <v>36159</v>
      </c>
      <c r="B4357" s="2"/>
      <c r="C4357" s="2" t="s">
        <v>30</v>
      </c>
      <c r="D4357" s="2" t="s">
        <v>13555</v>
      </c>
      <c r="E4357" s="2" t="s">
        <v>13556</v>
      </c>
      <c r="F4357" s="4">
        <v>7372</v>
      </c>
      <c r="G4357" s="2" t="s">
        <v>551</v>
      </c>
      <c r="H4357" s="2" t="s">
        <v>34</v>
      </c>
      <c r="I4357" s="2" t="s">
        <v>13557</v>
      </c>
      <c r="J4357" s="2" t="s">
        <v>80</v>
      </c>
      <c r="K4357" s="2" t="s">
        <v>53</v>
      </c>
      <c r="L4357" s="2" t="s">
        <v>34</v>
      </c>
      <c r="M4357" s="2"/>
      <c r="N4357" s="2"/>
      <c r="O4357" s="2"/>
      <c r="P4357" s="2" t="s">
        <v>13558</v>
      </c>
      <c r="Q4357" s="2"/>
      <c r="R4357" s="6">
        <v>9.25</v>
      </c>
      <c r="S4357" s="5">
        <v>-1.6</v>
      </c>
      <c r="T4357" s="7">
        <v>3.3210000000000002</v>
      </c>
      <c r="U4357" s="5">
        <v>2.7</v>
      </c>
      <c r="V4357" s="6">
        <v>-0.3</v>
      </c>
      <c r="W4357" s="7">
        <v>7.375</v>
      </c>
      <c r="X4357" s="6">
        <v>7.75</v>
      </c>
      <c r="Y4357" s="4">
        <v>9</v>
      </c>
      <c r="Z4357" s="6">
        <v>8.75</v>
      </c>
      <c r="AA4357" s="6">
        <v>5.12</v>
      </c>
      <c r="AB4357" s="7">
        <v>18.478000000000002</v>
      </c>
      <c r="AC4357" s="2"/>
    </row>
    <row r="4358" spans="1:29" ht="39" x14ac:dyDescent="0.15">
      <c r="A4358" s="3">
        <f>DATE(1998,12,30)</f>
        <v>36159</v>
      </c>
      <c r="B4358" s="3">
        <f>DATE(1998,12,30)</f>
        <v>36159</v>
      </c>
      <c r="C4358" s="2" t="s">
        <v>95</v>
      </c>
      <c r="D4358" s="2" t="s">
        <v>13559</v>
      </c>
      <c r="E4358" s="2" t="s">
        <v>13560</v>
      </c>
      <c r="F4358" s="4">
        <v>5961</v>
      </c>
      <c r="G4358" s="2" t="s">
        <v>73</v>
      </c>
      <c r="H4358" s="2" t="s">
        <v>34</v>
      </c>
      <c r="I4358" s="2" t="s">
        <v>149</v>
      </c>
      <c r="J4358" s="2" t="s">
        <v>150</v>
      </c>
      <c r="K4358" s="2" t="s">
        <v>53</v>
      </c>
      <c r="L4358" s="2" t="s">
        <v>151</v>
      </c>
      <c r="M4358" s="2"/>
      <c r="N4358" s="2"/>
      <c r="O4358" s="2"/>
      <c r="P4358" s="2" t="s">
        <v>13561</v>
      </c>
      <c r="Q4358" s="6">
        <v>27.01</v>
      </c>
      <c r="R4358" s="2"/>
      <c r="S4358" s="5">
        <v>2.6</v>
      </c>
      <c r="T4358" s="7">
        <v>3.0179999999999998</v>
      </c>
      <c r="U4358" s="5">
        <v>1.2</v>
      </c>
      <c r="V4358" s="6">
        <v>0.3</v>
      </c>
      <c r="W4358" s="7">
        <v>6.375</v>
      </c>
      <c r="X4358" s="6">
        <v>40.75</v>
      </c>
      <c r="Y4358" s="6">
        <v>27.75</v>
      </c>
      <c r="Z4358" s="7">
        <v>20.875</v>
      </c>
      <c r="AA4358" s="6">
        <v>8.52</v>
      </c>
      <c r="AB4358" s="2" t="s">
        <v>47</v>
      </c>
      <c r="AC4358" s="2"/>
    </row>
    <row r="4359" spans="1:29" ht="117" x14ac:dyDescent="0.15">
      <c r="A4359" s="3">
        <f>DATE(1998,12,30)</f>
        <v>36159</v>
      </c>
      <c r="B4359" s="3">
        <f>DATE(1999,6,14)</f>
        <v>36325</v>
      </c>
      <c r="C4359" s="2" t="s">
        <v>95</v>
      </c>
      <c r="D4359" s="2" t="s">
        <v>13562</v>
      </c>
      <c r="E4359" s="2" t="s">
        <v>36</v>
      </c>
      <c r="F4359" s="4">
        <v>6022</v>
      </c>
      <c r="G4359" s="2" t="s">
        <v>37</v>
      </c>
      <c r="H4359" s="2" t="s">
        <v>34</v>
      </c>
      <c r="I4359" s="2" t="s">
        <v>9435</v>
      </c>
      <c r="J4359" s="2" t="s">
        <v>1181</v>
      </c>
      <c r="K4359" s="2" t="s">
        <v>37</v>
      </c>
      <c r="L4359" s="2" t="s">
        <v>34</v>
      </c>
      <c r="M4359" s="2"/>
      <c r="N4359" s="2"/>
      <c r="O4359" s="2"/>
      <c r="P4359" s="2" t="s">
        <v>13563</v>
      </c>
      <c r="Q4359" s="6">
        <v>100</v>
      </c>
      <c r="R4359" s="6">
        <v>10.14</v>
      </c>
      <c r="S4359" s="5">
        <v>1.1000000000000001</v>
      </c>
      <c r="T4359" s="7">
        <v>1.9910000000000001</v>
      </c>
      <c r="U4359" s="5">
        <v>3</v>
      </c>
      <c r="V4359" s="6">
        <v>0.34</v>
      </c>
      <c r="W4359" s="5">
        <v>7.5</v>
      </c>
      <c r="X4359" s="7">
        <v>7.4379999999999997</v>
      </c>
      <c r="Y4359" s="5">
        <v>9.5</v>
      </c>
      <c r="Z4359" s="7">
        <v>9.125</v>
      </c>
      <c r="AA4359" s="6">
        <v>2.79</v>
      </c>
      <c r="AB4359" s="7">
        <v>66.852999999999994</v>
      </c>
      <c r="AC4359" s="2"/>
    </row>
    <row r="4360" spans="1:29" ht="52" x14ac:dyDescent="0.15">
      <c r="A4360" s="3">
        <f>DATE(1998,12,31)</f>
        <v>36160</v>
      </c>
      <c r="B4360" s="2"/>
      <c r="C4360" s="2" t="s">
        <v>30</v>
      </c>
      <c r="D4360" s="2" t="s">
        <v>13564</v>
      </c>
      <c r="E4360" s="2" t="s">
        <v>973</v>
      </c>
      <c r="F4360" s="4">
        <v>4813</v>
      </c>
      <c r="G4360" s="2" t="s">
        <v>63</v>
      </c>
      <c r="H4360" s="2" t="s">
        <v>34</v>
      </c>
      <c r="I4360" s="2" t="s">
        <v>2331</v>
      </c>
      <c r="J4360" s="2" t="s">
        <v>1604</v>
      </c>
      <c r="K4360" s="2" t="s">
        <v>63</v>
      </c>
      <c r="L4360" s="2" t="s">
        <v>34</v>
      </c>
      <c r="M4360" s="12">
        <v>87509.615000000005</v>
      </c>
      <c r="N4360" s="4">
        <v>54</v>
      </c>
      <c r="O4360" s="4">
        <v>54</v>
      </c>
      <c r="P4360" s="2" t="s">
        <v>13565</v>
      </c>
      <c r="Q4360" s="2"/>
      <c r="R4360" s="2"/>
      <c r="S4360" s="5">
        <v>725</v>
      </c>
      <c r="T4360" s="8">
        <v>1896</v>
      </c>
      <c r="U4360" s="5">
        <v>14.3</v>
      </c>
      <c r="V4360" s="6">
        <v>1.07</v>
      </c>
      <c r="W4360" s="7">
        <v>67.875</v>
      </c>
      <c r="X4360" s="7">
        <v>69.375</v>
      </c>
      <c r="Y4360" s="7">
        <v>72.438000000000002</v>
      </c>
      <c r="Z4360" s="6">
        <v>68.25</v>
      </c>
      <c r="AA4360" s="6">
        <v>572.05999999999995</v>
      </c>
      <c r="AB4360" s="2" t="s">
        <v>47</v>
      </c>
      <c r="AC4360" s="8">
        <v>1022.9</v>
      </c>
    </row>
    <row r="4361" spans="1:29" ht="130" x14ac:dyDescent="0.15">
      <c r="A4361" s="3">
        <f>DATE(1999,1,5)</f>
        <v>36165</v>
      </c>
      <c r="B4361" s="3">
        <f>DATE(1999,6,7)</f>
        <v>36318</v>
      </c>
      <c r="C4361" s="2" t="s">
        <v>95</v>
      </c>
      <c r="D4361" s="2" t="s">
        <v>8863</v>
      </c>
      <c r="E4361" s="2" t="s">
        <v>263</v>
      </c>
      <c r="F4361" s="4">
        <v>6035</v>
      </c>
      <c r="G4361" s="2" t="s">
        <v>33</v>
      </c>
      <c r="H4361" s="2" t="s">
        <v>34</v>
      </c>
      <c r="I4361" s="2" t="s">
        <v>13566</v>
      </c>
      <c r="J4361" s="2" t="s">
        <v>36</v>
      </c>
      <c r="K4361" s="2" t="s">
        <v>37</v>
      </c>
      <c r="L4361" s="2" t="s">
        <v>34</v>
      </c>
      <c r="M4361" s="7">
        <v>342.173</v>
      </c>
      <c r="N4361" s="7">
        <v>24.062999999999999</v>
      </c>
      <c r="O4361" s="7">
        <v>21.125</v>
      </c>
      <c r="P4361" s="2" t="s">
        <v>13567</v>
      </c>
      <c r="Q4361" s="6">
        <v>100</v>
      </c>
      <c r="R4361" s="6">
        <v>44.15</v>
      </c>
      <c r="S4361" s="5">
        <v>5.8</v>
      </c>
      <c r="T4361" s="6">
        <v>9.1300000000000008</v>
      </c>
      <c r="U4361" s="5">
        <v>19.399999999999999</v>
      </c>
      <c r="V4361" s="6">
        <v>1.55</v>
      </c>
      <c r="W4361" s="4">
        <v>27</v>
      </c>
      <c r="X4361" s="4">
        <v>28</v>
      </c>
      <c r="Y4361" s="6">
        <v>26.75</v>
      </c>
      <c r="Z4361" s="4">
        <v>37</v>
      </c>
      <c r="AA4361" s="6">
        <v>3.83</v>
      </c>
      <c r="AB4361" s="7">
        <v>32.682000000000002</v>
      </c>
      <c r="AC4361" s="2"/>
    </row>
    <row r="4362" spans="1:29" ht="78" x14ac:dyDescent="0.15">
      <c r="A4362" s="3">
        <f>DATE(1999,1,5)</f>
        <v>36165</v>
      </c>
      <c r="B4362" s="2"/>
      <c r="C4362" s="2" t="s">
        <v>56</v>
      </c>
      <c r="D4362" s="2" t="s">
        <v>13568</v>
      </c>
      <c r="E4362" s="2" t="s">
        <v>203</v>
      </c>
      <c r="F4362" s="4">
        <v>6035</v>
      </c>
      <c r="G4362" s="2" t="s">
        <v>33</v>
      </c>
      <c r="H4362" s="2" t="s">
        <v>34</v>
      </c>
      <c r="I4362" s="2" t="s">
        <v>51</v>
      </c>
      <c r="J4362" s="2" t="s">
        <v>52</v>
      </c>
      <c r="K4362" s="2" t="s">
        <v>53</v>
      </c>
      <c r="L4362" s="2" t="s">
        <v>34</v>
      </c>
      <c r="M4362" s="2"/>
      <c r="N4362" s="2"/>
      <c r="O4362" s="2"/>
      <c r="P4362" s="2" t="s">
        <v>13569</v>
      </c>
      <c r="Q4362" s="2"/>
      <c r="R4362" s="6">
        <v>17.25</v>
      </c>
      <c r="S4362" s="5">
        <v>1.9</v>
      </c>
      <c r="T4362" s="6">
        <v>3.46</v>
      </c>
      <c r="U4362" s="5">
        <v>14.9</v>
      </c>
      <c r="V4362" s="6">
        <v>0.66</v>
      </c>
      <c r="W4362" s="7">
        <v>15.688000000000001</v>
      </c>
      <c r="X4362" s="7">
        <v>15.875</v>
      </c>
      <c r="Y4362" s="5">
        <v>16.5</v>
      </c>
      <c r="Z4362" s="9">
        <v>16.4375</v>
      </c>
      <c r="AA4362" s="6">
        <v>2.84</v>
      </c>
      <c r="AB4362" s="7">
        <v>17.812000000000001</v>
      </c>
      <c r="AC4362" s="2"/>
    </row>
    <row r="4363" spans="1:29" ht="104" x14ac:dyDescent="0.15">
      <c r="A4363" s="3">
        <f>DATE(1999,1,6)</f>
        <v>36166</v>
      </c>
      <c r="B4363" s="3">
        <f>DATE(1999,3,1)</f>
        <v>36220</v>
      </c>
      <c r="C4363" s="2" t="s">
        <v>95</v>
      </c>
      <c r="D4363" s="2" t="s">
        <v>13570</v>
      </c>
      <c r="E4363" s="2" t="s">
        <v>13571</v>
      </c>
      <c r="F4363" s="4">
        <v>7021</v>
      </c>
      <c r="G4363" s="2" t="s">
        <v>269</v>
      </c>
      <c r="H4363" s="2" t="s">
        <v>34</v>
      </c>
      <c r="I4363" s="2" t="s">
        <v>13572</v>
      </c>
      <c r="J4363" s="2" t="s">
        <v>13573</v>
      </c>
      <c r="K4363" s="2" t="s">
        <v>269</v>
      </c>
      <c r="L4363" s="2" t="s">
        <v>34</v>
      </c>
      <c r="M4363" s="2"/>
      <c r="N4363" s="2"/>
      <c r="O4363" s="2"/>
      <c r="P4363" s="2" t="s">
        <v>13574</v>
      </c>
      <c r="Q4363" s="6">
        <v>57.21</v>
      </c>
      <c r="R4363" s="6">
        <v>14</v>
      </c>
      <c r="S4363" s="5">
        <v>2.5</v>
      </c>
      <c r="T4363" s="7">
        <v>6.5650000000000004</v>
      </c>
      <c r="U4363" s="5">
        <v>4.4000000000000004</v>
      </c>
      <c r="V4363" s="6">
        <v>0.51</v>
      </c>
      <c r="W4363" s="7">
        <v>13.063000000000001</v>
      </c>
      <c r="X4363" s="7">
        <v>13.563000000000001</v>
      </c>
      <c r="Y4363" s="7">
        <v>13.827999999999999</v>
      </c>
      <c r="Z4363" s="7">
        <v>13.813000000000001</v>
      </c>
      <c r="AA4363" s="6">
        <v>8.14</v>
      </c>
      <c r="AB4363" s="7">
        <v>20.960999999999999</v>
      </c>
      <c r="AC4363" s="2"/>
    </row>
    <row r="4364" spans="1:29" ht="65" x14ac:dyDescent="0.15">
      <c r="A4364" s="3">
        <f>DATE(1999,1,7)</f>
        <v>36167</v>
      </c>
      <c r="B4364" s="2"/>
      <c r="C4364" s="2" t="s">
        <v>39</v>
      </c>
      <c r="D4364" s="2" t="s">
        <v>13564</v>
      </c>
      <c r="E4364" s="2" t="s">
        <v>973</v>
      </c>
      <c r="F4364" s="4">
        <v>4813</v>
      </c>
      <c r="G4364" s="2" t="s">
        <v>63</v>
      </c>
      <c r="H4364" s="2" t="s">
        <v>34</v>
      </c>
      <c r="I4364" s="2" t="s">
        <v>13575</v>
      </c>
      <c r="J4364" s="2" t="s">
        <v>375</v>
      </c>
      <c r="K4364" s="2" t="s">
        <v>63</v>
      </c>
      <c r="L4364" s="2" t="s">
        <v>34</v>
      </c>
      <c r="M4364" s="12">
        <v>115047.469</v>
      </c>
      <c r="N4364" s="7">
        <v>75.125</v>
      </c>
      <c r="O4364" s="4">
        <v>75</v>
      </c>
      <c r="P4364" s="2" t="s">
        <v>13576</v>
      </c>
      <c r="Q4364" s="2"/>
      <c r="R4364" s="2"/>
      <c r="S4364" s="5">
        <v>725</v>
      </c>
      <c r="T4364" s="8">
        <v>1896</v>
      </c>
      <c r="U4364" s="5">
        <v>14.3</v>
      </c>
      <c r="V4364" s="6">
        <v>1.07</v>
      </c>
      <c r="W4364" s="7">
        <v>72.438000000000002</v>
      </c>
      <c r="X4364" s="7">
        <v>79.875</v>
      </c>
      <c r="Y4364" s="4">
        <v>82</v>
      </c>
      <c r="Z4364" s="4">
        <v>79</v>
      </c>
      <c r="AA4364" s="2"/>
      <c r="AB4364" s="2" t="s">
        <v>47</v>
      </c>
      <c r="AC4364" s="8">
        <v>1710</v>
      </c>
    </row>
    <row r="4365" spans="1:29" ht="104" x14ac:dyDescent="0.15">
      <c r="A4365" s="3">
        <f>DATE(1999,1,7)</f>
        <v>36167</v>
      </c>
      <c r="B4365" s="3">
        <f>DATE(1999,2,24)</f>
        <v>36215</v>
      </c>
      <c r="C4365" s="2" t="s">
        <v>95</v>
      </c>
      <c r="D4365" s="2" t="s">
        <v>13577</v>
      </c>
      <c r="E4365" s="2" t="s">
        <v>13578</v>
      </c>
      <c r="F4365" s="4">
        <v>3714</v>
      </c>
      <c r="G4365" s="2" t="s">
        <v>105</v>
      </c>
      <c r="H4365" s="2" t="s">
        <v>34</v>
      </c>
      <c r="I4365" s="2" t="s">
        <v>13579</v>
      </c>
      <c r="J4365" s="2" t="s">
        <v>13580</v>
      </c>
      <c r="K4365" s="2" t="s">
        <v>98</v>
      </c>
      <c r="L4365" s="2" t="s">
        <v>34</v>
      </c>
      <c r="M4365" s="7">
        <v>174.18199999999999</v>
      </c>
      <c r="N4365" s="7">
        <v>15.125</v>
      </c>
      <c r="O4365" s="5">
        <v>15.5</v>
      </c>
      <c r="P4365" s="2" t="s">
        <v>13581</v>
      </c>
      <c r="Q4365" s="6">
        <v>100</v>
      </c>
      <c r="R4365" s="6">
        <v>9.5</v>
      </c>
      <c r="S4365" s="5">
        <v>4.5</v>
      </c>
      <c r="T4365" s="7">
        <v>15.221</v>
      </c>
      <c r="U4365" s="5">
        <v>6.5</v>
      </c>
      <c r="V4365" s="6">
        <v>0.73</v>
      </c>
      <c r="W4365" s="6">
        <v>6.75</v>
      </c>
      <c r="X4365" s="7">
        <v>6.125</v>
      </c>
      <c r="Y4365" s="5">
        <v>6.5</v>
      </c>
      <c r="Z4365" s="7">
        <v>9.266</v>
      </c>
      <c r="AA4365" s="6">
        <v>6</v>
      </c>
      <c r="AB4365" s="7">
        <v>8.7530000000000001</v>
      </c>
      <c r="AC4365" s="2"/>
    </row>
    <row r="4366" spans="1:29" ht="91" x14ac:dyDescent="0.15">
      <c r="A4366" s="3">
        <f>DATE(1999,1,7)</f>
        <v>36167</v>
      </c>
      <c r="B4366" s="3">
        <f>DATE(1999,3,22)</f>
        <v>36241</v>
      </c>
      <c r="C4366" s="2" t="s">
        <v>95</v>
      </c>
      <c r="D4366" s="2" t="s">
        <v>13582</v>
      </c>
      <c r="E4366" s="2" t="s">
        <v>13583</v>
      </c>
      <c r="F4366" s="2" t="s">
        <v>11696</v>
      </c>
      <c r="G4366" s="2" t="s">
        <v>53</v>
      </c>
      <c r="H4366" s="2" t="s">
        <v>34</v>
      </c>
      <c r="I4366" s="2" t="s">
        <v>7964</v>
      </c>
      <c r="J4366" s="2" t="s">
        <v>4060</v>
      </c>
      <c r="K4366" s="2" t="s">
        <v>53</v>
      </c>
      <c r="L4366" s="2" t="s">
        <v>34</v>
      </c>
      <c r="M4366" s="12">
        <v>2875.837</v>
      </c>
      <c r="N4366" s="7">
        <v>55.438000000000002</v>
      </c>
      <c r="O4366" s="7">
        <v>57.688000000000002</v>
      </c>
      <c r="P4366" s="2" t="s">
        <v>13584</v>
      </c>
      <c r="Q4366" s="6">
        <v>100</v>
      </c>
      <c r="R4366" s="6">
        <v>9.3000000000000007</v>
      </c>
      <c r="S4366" s="5">
        <v>41.3</v>
      </c>
      <c r="T4366" s="7">
        <v>30.324999999999999</v>
      </c>
      <c r="U4366" s="5">
        <v>9.1</v>
      </c>
      <c r="V4366" s="6">
        <v>1.3</v>
      </c>
      <c r="W4366" s="7">
        <v>4.875</v>
      </c>
      <c r="X4366" s="4">
        <v>6</v>
      </c>
      <c r="Y4366" s="4">
        <v>8</v>
      </c>
      <c r="Z4366" s="7">
        <v>8.125</v>
      </c>
      <c r="AA4366" s="6">
        <v>37.229999999999997</v>
      </c>
      <c r="AB4366" s="7">
        <v>17.123999999999999</v>
      </c>
      <c r="AC4366" s="6">
        <v>49.52</v>
      </c>
    </row>
    <row r="4367" spans="1:29" ht="104" x14ac:dyDescent="0.15">
      <c r="A4367" s="3">
        <f>DATE(1999,1,7)</f>
        <v>36167</v>
      </c>
      <c r="B4367" s="3">
        <f>DATE(1999,2,17)</f>
        <v>36208</v>
      </c>
      <c r="C4367" s="2" t="s">
        <v>95</v>
      </c>
      <c r="D4367" s="2" t="s">
        <v>13585</v>
      </c>
      <c r="E4367" s="2" t="s">
        <v>13586</v>
      </c>
      <c r="F4367" s="4">
        <v>3555</v>
      </c>
      <c r="G4367" s="2" t="s">
        <v>300</v>
      </c>
      <c r="H4367" s="2" t="s">
        <v>34</v>
      </c>
      <c r="I4367" s="2" t="s">
        <v>506</v>
      </c>
      <c r="J4367" s="2" t="s">
        <v>507</v>
      </c>
      <c r="K4367" s="2" t="s">
        <v>300</v>
      </c>
      <c r="L4367" s="2" t="s">
        <v>34</v>
      </c>
      <c r="M4367" s="12">
        <v>14832.026</v>
      </c>
      <c r="N4367" s="7">
        <v>63.125</v>
      </c>
      <c r="O4367" s="7">
        <v>64.688000000000002</v>
      </c>
      <c r="P4367" s="2" t="s">
        <v>13587</v>
      </c>
      <c r="Q4367" s="6">
        <v>100</v>
      </c>
      <c r="R4367" s="6">
        <v>16.5</v>
      </c>
      <c r="S4367" s="5">
        <v>7.1</v>
      </c>
      <c r="T4367" s="7">
        <v>11.422000000000001</v>
      </c>
      <c r="U4367" s="5">
        <v>5.7</v>
      </c>
      <c r="V4367" s="6">
        <v>1.05</v>
      </c>
      <c r="W4367" s="4">
        <v>9</v>
      </c>
      <c r="X4367" s="6">
        <v>9.25</v>
      </c>
      <c r="Y4367" s="6">
        <v>16.25</v>
      </c>
      <c r="Z4367" s="7">
        <v>16.219000000000001</v>
      </c>
      <c r="AA4367" s="6">
        <v>6.96</v>
      </c>
      <c r="AB4367" s="7">
        <v>9.8160000000000007</v>
      </c>
      <c r="AC4367" s="6">
        <v>93.49</v>
      </c>
    </row>
    <row r="4368" spans="1:29" ht="52" x14ac:dyDescent="0.15">
      <c r="A4368" s="3">
        <f>DATE(1999,1,8)</f>
        <v>36168</v>
      </c>
      <c r="B4368" s="2"/>
      <c r="C4368" s="2" t="s">
        <v>30</v>
      </c>
      <c r="D4368" s="2" t="s">
        <v>13588</v>
      </c>
      <c r="E4368" s="2" t="s">
        <v>6321</v>
      </c>
      <c r="F4368" s="4">
        <v>6798</v>
      </c>
      <c r="G4368" s="2" t="s">
        <v>53</v>
      </c>
      <c r="H4368" s="2" t="s">
        <v>34</v>
      </c>
      <c r="I4368" s="2" t="s">
        <v>13589</v>
      </c>
      <c r="J4368" s="2" t="s">
        <v>844</v>
      </c>
      <c r="K4368" s="2" t="s">
        <v>109</v>
      </c>
      <c r="L4368" s="2" t="s">
        <v>34</v>
      </c>
      <c r="M4368" s="2"/>
      <c r="N4368" s="2"/>
      <c r="O4368" s="2"/>
      <c r="P4368" s="2" t="s">
        <v>13590</v>
      </c>
      <c r="Q4368" s="2"/>
      <c r="R4368" s="2"/>
      <c r="S4368" s="5">
        <v>0.3</v>
      </c>
      <c r="T4368" s="7">
        <v>2.9369999999999998</v>
      </c>
      <c r="U4368" s="5">
        <v>12.1</v>
      </c>
      <c r="V4368" s="6">
        <v>0.11</v>
      </c>
      <c r="W4368" s="7">
        <v>3.875</v>
      </c>
      <c r="X4368" s="7">
        <v>5.125</v>
      </c>
      <c r="Y4368" s="9">
        <v>5.1875</v>
      </c>
      <c r="Z4368" s="5">
        <v>4.5</v>
      </c>
      <c r="AA4368" s="6">
        <v>2.78</v>
      </c>
      <c r="AB4368" s="2" t="s">
        <v>47</v>
      </c>
      <c r="AC4368" s="2"/>
    </row>
    <row r="4369" spans="1:29" ht="91" x14ac:dyDescent="0.15">
      <c r="A4369" s="3">
        <f t="shared" ref="A4369:A4375" si="85">DATE(1999,1,11)</f>
        <v>36171</v>
      </c>
      <c r="B4369" s="3">
        <f>DATE(1999,2,22)</f>
        <v>36213</v>
      </c>
      <c r="C4369" s="2" t="s">
        <v>95</v>
      </c>
      <c r="D4369" s="2" t="s">
        <v>13591</v>
      </c>
      <c r="E4369" s="2" t="s">
        <v>13592</v>
      </c>
      <c r="F4369" s="4">
        <v>7382</v>
      </c>
      <c r="G4369" s="2" t="s">
        <v>223</v>
      </c>
      <c r="H4369" s="2" t="s">
        <v>34</v>
      </c>
      <c r="I4369" s="2" t="s">
        <v>13593</v>
      </c>
      <c r="J4369" s="2" t="s">
        <v>13594</v>
      </c>
      <c r="K4369" s="2" t="s">
        <v>921</v>
      </c>
      <c r="L4369" s="2" t="s">
        <v>34</v>
      </c>
      <c r="M4369" s="2"/>
      <c r="N4369" s="2"/>
      <c r="O4369" s="2"/>
      <c r="P4369" s="2" t="s">
        <v>13595</v>
      </c>
      <c r="Q4369" s="6">
        <v>100</v>
      </c>
      <c r="R4369" s="6">
        <v>9.25</v>
      </c>
      <c r="S4369" s="5">
        <v>-12.3</v>
      </c>
      <c r="T4369" s="6">
        <v>3.94</v>
      </c>
      <c r="U4369" s="5">
        <v>-0.6</v>
      </c>
      <c r="V4369" s="6">
        <v>-2.65</v>
      </c>
      <c r="W4369" s="4">
        <v>8</v>
      </c>
      <c r="X4369" s="6">
        <v>9.75</v>
      </c>
      <c r="Y4369" s="7">
        <v>9.0630000000000006</v>
      </c>
      <c r="Z4369" s="7">
        <v>9.0630000000000006</v>
      </c>
      <c r="AA4369" s="6">
        <v>5.59</v>
      </c>
      <c r="AB4369" s="2" t="s">
        <v>86</v>
      </c>
      <c r="AC4369" s="2"/>
    </row>
    <row r="4370" spans="1:29" ht="52" x14ac:dyDescent="0.15">
      <c r="A4370" s="3">
        <f t="shared" si="85"/>
        <v>36171</v>
      </c>
      <c r="B4370" s="2"/>
      <c r="C4370" s="2" t="s">
        <v>30</v>
      </c>
      <c r="D4370" s="2" t="s">
        <v>13596</v>
      </c>
      <c r="E4370" s="2" t="s">
        <v>11058</v>
      </c>
      <c r="F4370" s="4">
        <v>6411</v>
      </c>
      <c r="G4370" s="2" t="s">
        <v>125</v>
      </c>
      <c r="H4370" s="2" t="s">
        <v>34</v>
      </c>
      <c r="I4370" s="2" t="s">
        <v>9147</v>
      </c>
      <c r="J4370" s="2" t="s">
        <v>515</v>
      </c>
      <c r="K4370" s="2" t="s">
        <v>125</v>
      </c>
      <c r="L4370" s="2" t="s">
        <v>34</v>
      </c>
      <c r="M4370" s="7">
        <v>851.39400000000001</v>
      </c>
      <c r="N4370" s="7">
        <v>19.875</v>
      </c>
      <c r="O4370" s="4">
        <v>21</v>
      </c>
      <c r="P4370" s="2" t="s">
        <v>13597</v>
      </c>
      <c r="Q4370" s="2"/>
      <c r="R4370" s="6">
        <v>13.25</v>
      </c>
      <c r="S4370" s="5">
        <v>9.9</v>
      </c>
      <c r="T4370" s="2"/>
      <c r="U4370" s="5">
        <v>7.8</v>
      </c>
      <c r="V4370" s="6">
        <v>0.82</v>
      </c>
      <c r="W4370" s="7">
        <v>9.9380000000000006</v>
      </c>
      <c r="X4370" s="7">
        <v>10.625</v>
      </c>
      <c r="Y4370" s="4">
        <v>11</v>
      </c>
      <c r="Z4370" s="9">
        <v>13.6875</v>
      </c>
      <c r="AA4370" s="6">
        <v>11.7</v>
      </c>
      <c r="AB4370" s="7">
        <v>10.218</v>
      </c>
      <c r="AC4370" s="6">
        <v>100.29</v>
      </c>
    </row>
    <row r="4371" spans="1:29" ht="104" x14ac:dyDescent="0.15">
      <c r="A4371" s="3">
        <f t="shared" si="85"/>
        <v>36171</v>
      </c>
      <c r="B4371" s="3">
        <f>DATE(1999,3,26)</f>
        <v>36245</v>
      </c>
      <c r="C4371" s="2" t="s">
        <v>95</v>
      </c>
      <c r="D4371" s="2" t="s">
        <v>13598</v>
      </c>
      <c r="E4371" s="2" t="s">
        <v>13599</v>
      </c>
      <c r="F4371" s="4">
        <v>7372</v>
      </c>
      <c r="G4371" s="2" t="s">
        <v>551</v>
      </c>
      <c r="H4371" s="2" t="s">
        <v>34</v>
      </c>
      <c r="I4371" s="2" t="s">
        <v>13600</v>
      </c>
      <c r="J4371" s="2" t="s">
        <v>13601</v>
      </c>
      <c r="K4371" s="2" t="s">
        <v>551</v>
      </c>
      <c r="L4371" s="2" t="s">
        <v>34</v>
      </c>
      <c r="M4371" s="2"/>
      <c r="N4371" s="2"/>
      <c r="O4371" s="2"/>
      <c r="P4371" s="2" t="s">
        <v>13602</v>
      </c>
      <c r="Q4371" s="6">
        <v>100</v>
      </c>
      <c r="R4371" s="2"/>
      <c r="S4371" s="5">
        <v>0.7</v>
      </c>
      <c r="T4371" s="7">
        <v>1.4950000000000001</v>
      </c>
      <c r="U4371" s="5">
        <v>3.1</v>
      </c>
      <c r="V4371" s="6">
        <v>0.23</v>
      </c>
      <c r="W4371" s="4">
        <v>5</v>
      </c>
      <c r="X4371" s="5">
        <v>6.5</v>
      </c>
      <c r="Y4371" s="7">
        <v>8.5630000000000006</v>
      </c>
      <c r="Z4371" s="7">
        <v>8.6880000000000006</v>
      </c>
      <c r="AA4371" s="6">
        <v>3.58</v>
      </c>
      <c r="AB4371" s="2" t="s">
        <v>47</v>
      </c>
      <c r="AC4371" s="2"/>
    </row>
    <row r="4372" spans="1:29" ht="104" x14ac:dyDescent="0.15">
      <c r="A4372" s="3">
        <f t="shared" si="85"/>
        <v>36171</v>
      </c>
      <c r="B4372" s="3">
        <f>DATE(1999,4,26)</f>
        <v>36276</v>
      </c>
      <c r="C4372" s="2" t="s">
        <v>95</v>
      </c>
      <c r="D4372" s="2" t="s">
        <v>13603</v>
      </c>
      <c r="E4372" s="2" t="s">
        <v>13604</v>
      </c>
      <c r="F4372" s="4">
        <v>5912</v>
      </c>
      <c r="G4372" s="2" t="s">
        <v>73</v>
      </c>
      <c r="H4372" s="2" t="s">
        <v>34</v>
      </c>
      <c r="I4372" s="2" t="s">
        <v>3018</v>
      </c>
      <c r="J4372" s="2" t="s">
        <v>3019</v>
      </c>
      <c r="K4372" s="2" t="s">
        <v>593</v>
      </c>
      <c r="L4372" s="2" t="s">
        <v>34</v>
      </c>
      <c r="M4372" s="12">
        <v>2975.5039999999999</v>
      </c>
      <c r="N4372" s="4">
        <v>27</v>
      </c>
      <c r="O4372" s="7">
        <v>26.375</v>
      </c>
      <c r="P4372" s="2" t="s">
        <v>13605</v>
      </c>
      <c r="Q4372" s="6">
        <v>100</v>
      </c>
      <c r="R4372" s="6">
        <v>8.94</v>
      </c>
      <c r="S4372" s="5">
        <v>-99.6</v>
      </c>
      <c r="T4372" s="7">
        <v>91.668000000000006</v>
      </c>
      <c r="U4372" s="5">
        <v>4.8</v>
      </c>
      <c r="V4372" s="6">
        <v>-1.1200000000000001</v>
      </c>
      <c r="W4372" s="6">
        <v>5.75</v>
      </c>
      <c r="X4372" s="5">
        <v>6.5</v>
      </c>
      <c r="Y4372" s="7">
        <v>7.0629999999999997</v>
      </c>
      <c r="Z4372" s="7">
        <v>6.625</v>
      </c>
      <c r="AA4372" s="6">
        <v>89.33</v>
      </c>
      <c r="AB4372" s="7">
        <v>24.803999999999998</v>
      </c>
      <c r="AC4372" s="6">
        <v>79</v>
      </c>
    </row>
    <row r="4373" spans="1:29" ht="117" x14ac:dyDescent="0.15">
      <c r="A4373" s="3">
        <f t="shared" si="85"/>
        <v>36171</v>
      </c>
      <c r="B4373" s="2"/>
      <c r="C4373" s="2" t="s">
        <v>30</v>
      </c>
      <c r="D4373" s="2" t="s">
        <v>13606</v>
      </c>
      <c r="E4373" s="2" t="s">
        <v>5549</v>
      </c>
      <c r="F4373" s="4">
        <v>7371</v>
      </c>
      <c r="G4373" s="2" t="s">
        <v>223</v>
      </c>
      <c r="H4373" s="2" t="s">
        <v>34</v>
      </c>
      <c r="I4373" s="2" t="s">
        <v>7937</v>
      </c>
      <c r="J4373" s="2" t="s">
        <v>7938</v>
      </c>
      <c r="K4373" s="2" t="s">
        <v>223</v>
      </c>
      <c r="L4373" s="2" t="s">
        <v>34</v>
      </c>
      <c r="M4373" s="6">
        <v>584.02</v>
      </c>
      <c r="N4373" s="4">
        <v>28</v>
      </c>
      <c r="O4373" s="7">
        <v>29.125</v>
      </c>
      <c r="P4373" s="2" t="s">
        <v>13607</v>
      </c>
      <c r="Q4373" s="2"/>
      <c r="R4373" s="6">
        <v>22.8</v>
      </c>
      <c r="S4373" s="5">
        <v>10.5</v>
      </c>
      <c r="T4373" s="7">
        <v>16.777999999999999</v>
      </c>
      <c r="U4373" s="5">
        <v>4.5</v>
      </c>
      <c r="V4373" s="6">
        <v>0.77</v>
      </c>
      <c r="W4373" s="7">
        <v>17.655999999999999</v>
      </c>
      <c r="X4373" s="7">
        <v>17.812999999999999</v>
      </c>
      <c r="Y4373" s="11">
        <v>20.09375</v>
      </c>
      <c r="Z4373" s="6">
        <v>19.75</v>
      </c>
      <c r="AA4373" s="6">
        <v>13.72</v>
      </c>
      <c r="AB4373" s="7">
        <v>17.962</v>
      </c>
      <c r="AC4373" s="6">
        <v>484.98</v>
      </c>
    </row>
    <row r="4374" spans="1:29" ht="130" x14ac:dyDescent="0.15">
      <c r="A4374" s="3">
        <f t="shared" si="85"/>
        <v>36171</v>
      </c>
      <c r="B4374" s="3">
        <f>DATE(1999,3,8)</f>
        <v>36227</v>
      </c>
      <c r="C4374" s="2" t="s">
        <v>95</v>
      </c>
      <c r="D4374" s="2" t="s">
        <v>13608</v>
      </c>
      <c r="E4374" s="2" t="s">
        <v>13609</v>
      </c>
      <c r="F4374" s="4">
        <v>7375</v>
      </c>
      <c r="G4374" s="2" t="s">
        <v>223</v>
      </c>
      <c r="H4374" s="2" t="s">
        <v>34</v>
      </c>
      <c r="I4374" s="2" t="s">
        <v>1711</v>
      </c>
      <c r="J4374" s="2" t="s">
        <v>1712</v>
      </c>
      <c r="K4374" s="2" t="s">
        <v>50</v>
      </c>
      <c r="L4374" s="2" t="s">
        <v>34</v>
      </c>
      <c r="M4374" s="8">
        <v>69487.5</v>
      </c>
      <c r="N4374" s="7">
        <v>48.375</v>
      </c>
      <c r="O4374" s="7">
        <v>46.625</v>
      </c>
      <c r="P4374" s="2" t="s">
        <v>13610</v>
      </c>
      <c r="Q4374" s="6">
        <v>95.9</v>
      </c>
      <c r="R4374" s="6">
        <v>18.25</v>
      </c>
      <c r="S4374" s="5">
        <v>-17.2</v>
      </c>
      <c r="T4374" s="7">
        <v>-15.553000000000001</v>
      </c>
      <c r="U4374" s="5">
        <v>-0.5</v>
      </c>
      <c r="V4374" s="7">
        <v>-5.3280000000000003</v>
      </c>
      <c r="W4374" s="7">
        <v>13.438000000000001</v>
      </c>
      <c r="X4374" s="7">
        <v>13.188000000000001</v>
      </c>
      <c r="Y4374" s="7">
        <v>18.594000000000001</v>
      </c>
      <c r="Z4374" s="7">
        <v>19.062999999999999</v>
      </c>
      <c r="AA4374" s="6">
        <v>6.01</v>
      </c>
      <c r="AB4374" s="2" t="s">
        <v>86</v>
      </c>
      <c r="AC4374" s="8">
        <v>3697</v>
      </c>
    </row>
    <row r="4375" spans="1:29" ht="52" x14ac:dyDescent="0.15">
      <c r="A4375" s="3">
        <f t="shared" si="85"/>
        <v>36171</v>
      </c>
      <c r="B4375" s="3">
        <f>DATE(1999,3,24)</f>
        <v>36243</v>
      </c>
      <c r="C4375" s="2" t="s">
        <v>95</v>
      </c>
      <c r="D4375" s="2" t="s">
        <v>13611</v>
      </c>
      <c r="E4375" s="2" t="s">
        <v>13612</v>
      </c>
      <c r="F4375" s="4">
        <v>2326</v>
      </c>
      <c r="G4375" s="2" t="s">
        <v>708</v>
      </c>
      <c r="H4375" s="2" t="s">
        <v>34</v>
      </c>
      <c r="I4375" s="2" t="s">
        <v>13613</v>
      </c>
      <c r="J4375" s="2" t="s">
        <v>13614</v>
      </c>
      <c r="K4375" s="2" t="s">
        <v>708</v>
      </c>
      <c r="L4375" s="2" t="s">
        <v>34</v>
      </c>
      <c r="M4375" s="12">
        <v>6196.8879999999999</v>
      </c>
      <c r="N4375" s="7">
        <v>67.125</v>
      </c>
      <c r="O4375" s="7">
        <v>67.531000000000006</v>
      </c>
      <c r="P4375" s="2" t="s">
        <v>13615</v>
      </c>
      <c r="Q4375" s="6">
        <v>100</v>
      </c>
      <c r="R4375" s="6">
        <v>52.62</v>
      </c>
      <c r="S4375" s="5">
        <v>12.5</v>
      </c>
      <c r="T4375" s="7">
        <v>42.710999999999999</v>
      </c>
      <c r="U4375" s="5">
        <v>11.1</v>
      </c>
      <c r="V4375" s="6">
        <v>1.29</v>
      </c>
      <c r="W4375" s="6">
        <v>28.75</v>
      </c>
      <c r="X4375" s="6">
        <v>29.75</v>
      </c>
      <c r="Y4375" s="7">
        <v>35.313000000000002</v>
      </c>
      <c r="Z4375" s="5">
        <v>35.5</v>
      </c>
      <c r="AA4375" s="6">
        <v>9.4</v>
      </c>
      <c r="AB4375" s="7">
        <v>24.478999999999999</v>
      </c>
      <c r="AC4375" s="6">
        <v>79.290000000000006</v>
      </c>
    </row>
    <row r="4376" spans="1:29" ht="143" x14ac:dyDescent="0.15">
      <c r="A4376" s="3">
        <f>DATE(1999,1,13)</f>
        <v>36173</v>
      </c>
      <c r="B4376" s="3">
        <f>DATE(1999,6,24)</f>
        <v>36335</v>
      </c>
      <c r="C4376" s="2" t="s">
        <v>95</v>
      </c>
      <c r="D4376" s="2" t="s">
        <v>8025</v>
      </c>
      <c r="E4376" s="2" t="s">
        <v>8026</v>
      </c>
      <c r="F4376" s="4">
        <v>3661</v>
      </c>
      <c r="G4376" s="2" t="s">
        <v>921</v>
      </c>
      <c r="H4376" s="2" t="s">
        <v>34</v>
      </c>
      <c r="I4376" s="2" t="s">
        <v>8437</v>
      </c>
      <c r="J4376" s="2" t="s">
        <v>6519</v>
      </c>
      <c r="K4376" s="2" t="s">
        <v>63</v>
      </c>
      <c r="L4376" s="2" t="s">
        <v>34</v>
      </c>
      <c r="M4376" s="12">
        <v>252717.86199999999</v>
      </c>
      <c r="N4376" s="6">
        <v>104.25</v>
      </c>
      <c r="O4376" s="7">
        <v>105.938</v>
      </c>
      <c r="P4376" s="2" t="s">
        <v>13616</v>
      </c>
      <c r="Q4376" s="6">
        <v>100</v>
      </c>
      <c r="R4376" s="6">
        <v>89</v>
      </c>
      <c r="S4376" s="5">
        <v>-19.7</v>
      </c>
      <c r="T4376" s="7">
        <v>438.34300000000002</v>
      </c>
      <c r="U4376" s="5">
        <v>9.5</v>
      </c>
      <c r="V4376" s="6">
        <v>-0.1</v>
      </c>
      <c r="W4376" s="9">
        <v>67.4375</v>
      </c>
      <c r="X4376" s="9">
        <v>71.4375</v>
      </c>
      <c r="Y4376" s="7">
        <v>76.688000000000002</v>
      </c>
      <c r="Z4376" s="7">
        <v>74.938000000000002</v>
      </c>
      <c r="AA4376" s="6">
        <v>216.93</v>
      </c>
      <c r="AB4376" s="7">
        <v>57.69</v>
      </c>
      <c r="AC4376" s="5">
        <v>940</v>
      </c>
    </row>
    <row r="4377" spans="1:29" ht="104" x14ac:dyDescent="0.15">
      <c r="A4377" s="3">
        <f>DATE(1999,1,13)</f>
        <v>36173</v>
      </c>
      <c r="B4377" s="3">
        <f>DATE(1999,6,1)</f>
        <v>36312</v>
      </c>
      <c r="C4377" s="2" t="s">
        <v>95</v>
      </c>
      <c r="D4377" s="2" t="s">
        <v>13617</v>
      </c>
      <c r="E4377" s="2" t="s">
        <v>389</v>
      </c>
      <c r="F4377" s="4">
        <v>6035</v>
      </c>
      <c r="G4377" s="2" t="s">
        <v>33</v>
      </c>
      <c r="H4377" s="2" t="s">
        <v>34</v>
      </c>
      <c r="I4377" s="2" t="s">
        <v>11541</v>
      </c>
      <c r="J4377" s="2" t="s">
        <v>263</v>
      </c>
      <c r="K4377" s="2" t="s">
        <v>37</v>
      </c>
      <c r="L4377" s="2" t="s">
        <v>34</v>
      </c>
      <c r="M4377" s="10">
        <v>3986.17</v>
      </c>
      <c r="N4377" s="7">
        <v>22.594000000000001</v>
      </c>
      <c r="O4377" s="6">
        <v>22.25</v>
      </c>
      <c r="P4377" s="2" t="s">
        <v>13618</v>
      </c>
      <c r="Q4377" s="6">
        <v>100</v>
      </c>
      <c r="R4377" s="6">
        <v>12.78</v>
      </c>
      <c r="S4377" s="5">
        <v>3.3</v>
      </c>
      <c r="T4377" s="7">
        <v>5.1159999999999997</v>
      </c>
      <c r="U4377" s="5">
        <v>4.0999999999999996</v>
      </c>
      <c r="V4377" s="7">
        <v>0.73299999999999998</v>
      </c>
      <c r="W4377" s="6">
        <v>10.25</v>
      </c>
      <c r="X4377" s="7">
        <v>10.375</v>
      </c>
      <c r="Y4377" s="6">
        <v>11.75</v>
      </c>
      <c r="Z4377" s="7">
        <v>11.688000000000001</v>
      </c>
      <c r="AA4377" s="6">
        <v>4.4800000000000004</v>
      </c>
      <c r="AB4377" s="7">
        <v>55.683999999999997</v>
      </c>
      <c r="AC4377" s="2"/>
    </row>
    <row r="4378" spans="1:29" ht="286" x14ac:dyDescent="0.15">
      <c r="A4378" s="3">
        <f>DATE(1999,1,13)</f>
        <v>36173</v>
      </c>
      <c r="B4378" s="3">
        <f>DATE(1999,12,10)</f>
        <v>36504</v>
      </c>
      <c r="C4378" s="2" t="s">
        <v>95</v>
      </c>
      <c r="D4378" s="2" t="s">
        <v>4517</v>
      </c>
      <c r="E4378" s="2" t="s">
        <v>4518</v>
      </c>
      <c r="F4378" s="4">
        <v>4953</v>
      </c>
      <c r="G4378" s="2" t="s">
        <v>116</v>
      </c>
      <c r="H4378" s="2" t="s">
        <v>34</v>
      </c>
      <c r="I4378" s="2" t="s">
        <v>13619</v>
      </c>
      <c r="J4378" s="2" t="s">
        <v>11387</v>
      </c>
      <c r="K4378" s="2" t="s">
        <v>116</v>
      </c>
      <c r="L4378" s="2" t="s">
        <v>34</v>
      </c>
      <c r="M4378" s="7">
        <v>406.29300000000001</v>
      </c>
      <c r="N4378" s="7">
        <v>27.125</v>
      </c>
      <c r="O4378" s="7">
        <v>27.187999999999999</v>
      </c>
      <c r="P4378" s="2" t="s">
        <v>13620</v>
      </c>
      <c r="Q4378" s="6">
        <v>100</v>
      </c>
      <c r="R4378" s="6">
        <v>10.84</v>
      </c>
      <c r="S4378" s="5">
        <v>-5.6</v>
      </c>
      <c r="T4378" s="6">
        <v>38.58</v>
      </c>
      <c r="U4378" s="5">
        <v>8.6</v>
      </c>
      <c r="V4378" s="6">
        <v>-0.46</v>
      </c>
      <c r="W4378" s="7">
        <v>20.937999999999999</v>
      </c>
      <c r="X4378" s="7">
        <v>22.125</v>
      </c>
      <c r="Y4378" s="6">
        <v>23.25</v>
      </c>
      <c r="Z4378" s="9">
        <v>23.5625</v>
      </c>
      <c r="AA4378" s="6">
        <v>13.21</v>
      </c>
      <c r="AB4378" s="7">
        <v>18.809000000000001</v>
      </c>
      <c r="AC4378" s="6">
        <v>5.55</v>
      </c>
    </row>
    <row r="4379" spans="1:29" ht="247" x14ac:dyDescent="0.15">
      <c r="A4379" s="3">
        <f>DATE(1999,1,13)</f>
        <v>36173</v>
      </c>
      <c r="B4379" s="3">
        <f>DATE(1999,6,21)</f>
        <v>36332</v>
      </c>
      <c r="C4379" s="2" t="s">
        <v>95</v>
      </c>
      <c r="D4379" s="2" t="s">
        <v>13621</v>
      </c>
      <c r="E4379" s="2" t="s">
        <v>12507</v>
      </c>
      <c r="F4379" s="4">
        <v>2819</v>
      </c>
      <c r="G4379" s="2" t="s">
        <v>98</v>
      </c>
      <c r="H4379" s="2" t="s">
        <v>34</v>
      </c>
      <c r="I4379" s="2" t="s">
        <v>13511</v>
      </c>
      <c r="J4379" s="2" t="s">
        <v>13512</v>
      </c>
      <c r="K4379" s="2" t="s">
        <v>98</v>
      </c>
      <c r="L4379" s="2" t="s">
        <v>34</v>
      </c>
      <c r="M4379" s="12">
        <v>4932.0140000000001</v>
      </c>
      <c r="N4379" s="7">
        <v>32.188000000000002</v>
      </c>
      <c r="O4379" s="6">
        <v>32.25</v>
      </c>
      <c r="P4379" s="2" t="s">
        <v>13622</v>
      </c>
      <c r="Q4379" s="6">
        <v>100</v>
      </c>
      <c r="R4379" s="6">
        <v>38.840000000000003</v>
      </c>
      <c r="S4379" s="5">
        <v>198.7</v>
      </c>
      <c r="T4379" s="5">
        <v>438</v>
      </c>
      <c r="U4379" s="5">
        <v>10.4</v>
      </c>
      <c r="V4379" s="6">
        <v>1.57</v>
      </c>
      <c r="W4379" s="6">
        <v>25.43</v>
      </c>
      <c r="X4379" s="6">
        <v>25.87</v>
      </c>
      <c r="Y4379" s="5">
        <v>25.5</v>
      </c>
      <c r="Z4379" s="7">
        <v>24.875</v>
      </c>
      <c r="AA4379" s="6">
        <v>120.76</v>
      </c>
      <c r="AB4379" s="7">
        <v>19.03</v>
      </c>
      <c r="AC4379" s="5">
        <v>61</v>
      </c>
    </row>
    <row r="4380" spans="1:29" ht="143" x14ac:dyDescent="0.15">
      <c r="A4380" s="3">
        <f>DATE(1999,1,13)</f>
        <v>36173</v>
      </c>
      <c r="B4380" s="3">
        <f>DATE(1999,5,5)</f>
        <v>36285</v>
      </c>
      <c r="C4380" s="2" t="s">
        <v>95</v>
      </c>
      <c r="D4380" s="2" t="s">
        <v>4496</v>
      </c>
      <c r="E4380" s="2" t="s">
        <v>177</v>
      </c>
      <c r="F4380" s="4">
        <v>1311</v>
      </c>
      <c r="G4380" s="2" t="s">
        <v>148</v>
      </c>
      <c r="H4380" s="2" t="s">
        <v>34</v>
      </c>
      <c r="I4380" s="2" t="s">
        <v>2518</v>
      </c>
      <c r="J4380" s="2" t="s">
        <v>612</v>
      </c>
      <c r="K4380" s="2" t="s">
        <v>148</v>
      </c>
      <c r="L4380" s="2" t="s">
        <v>34</v>
      </c>
      <c r="M4380" s="7">
        <v>587.76800000000003</v>
      </c>
      <c r="N4380" s="7">
        <v>6.5629999999999997</v>
      </c>
      <c r="O4380" s="4">
        <v>6</v>
      </c>
      <c r="P4380" s="2" t="s">
        <v>13623</v>
      </c>
      <c r="Q4380" s="6">
        <v>100</v>
      </c>
      <c r="R4380" s="6">
        <v>13.58</v>
      </c>
      <c r="S4380" s="5">
        <v>-24.7</v>
      </c>
      <c r="T4380" s="7">
        <v>25.748000000000001</v>
      </c>
      <c r="U4380" s="5">
        <v>3.6</v>
      </c>
      <c r="V4380" s="6">
        <v>-0.74</v>
      </c>
      <c r="W4380" s="7">
        <v>14.875</v>
      </c>
      <c r="X4380" s="6">
        <v>13.25</v>
      </c>
      <c r="Y4380" s="7">
        <v>13.438000000000001</v>
      </c>
      <c r="Z4380" s="7">
        <v>11.891</v>
      </c>
      <c r="AA4380" s="6">
        <v>33.340000000000003</v>
      </c>
      <c r="AB4380" s="2" t="s">
        <v>86</v>
      </c>
      <c r="AC4380" s="5">
        <v>12.1</v>
      </c>
    </row>
    <row r="4381" spans="1:29" ht="78" x14ac:dyDescent="0.15">
      <c r="A4381" s="3">
        <f>DATE(1999,1,14)</f>
        <v>36174</v>
      </c>
      <c r="B4381" s="2"/>
      <c r="C4381" s="2" t="s">
        <v>30</v>
      </c>
      <c r="D4381" s="2" t="s">
        <v>13269</v>
      </c>
      <c r="E4381" s="2" t="s">
        <v>13270</v>
      </c>
      <c r="F4381" s="4">
        <v>3827</v>
      </c>
      <c r="G4381" s="2" t="s">
        <v>226</v>
      </c>
      <c r="H4381" s="2" t="s">
        <v>34</v>
      </c>
      <c r="I4381" s="2" t="s">
        <v>138</v>
      </c>
      <c r="J4381" s="2" t="s">
        <v>139</v>
      </c>
      <c r="K4381" s="2" t="s">
        <v>53</v>
      </c>
      <c r="L4381" s="2" t="s">
        <v>139</v>
      </c>
      <c r="M4381" s="2"/>
      <c r="N4381" s="2"/>
      <c r="O4381" s="2"/>
      <c r="P4381" s="2" t="s">
        <v>13624</v>
      </c>
      <c r="Q4381" s="2"/>
      <c r="R4381" s="6">
        <v>20</v>
      </c>
      <c r="S4381" s="5">
        <v>8.5</v>
      </c>
      <c r="T4381" s="7">
        <v>14.353999999999999</v>
      </c>
      <c r="U4381" s="5">
        <v>8.6999999999999993</v>
      </c>
      <c r="V4381" s="9">
        <v>1.3467</v>
      </c>
      <c r="W4381" s="4">
        <v>14</v>
      </c>
      <c r="X4381" s="4">
        <v>14</v>
      </c>
      <c r="Y4381" s="5">
        <v>18.5</v>
      </c>
      <c r="Z4381" s="9">
        <v>18.1875</v>
      </c>
      <c r="AA4381" s="6">
        <v>4</v>
      </c>
      <c r="AB4381" s="7">
        <v>12.01</v>
      </c>
      <c r="AC4381" s="2"/>
    </row>
    <row r="4382" spans="1:29" ht="104" x14ac:dyDescent="0.15">
      <c r="A4382" s="3">
        <f>DATE(1999,1,14)</f>
        <v>36174</v>
      </c>
      <c r="B4382" s="3">
        <f>DATE(1999,8,27)</f>
        <v>36399</v>
      </c>
      <c r="C4382" s="2" t="s">
        <v>95</v>
      </c>
      <c r="D4382" s="2" t="s">
        <v>13625</v>
      </c>
      <c r="E4382" s="2" t="s">
        <v>13626</v>
      </c>
      <c r="F4382" s="4">
        <v>2514</v>
      </c>
      <c r="G4382" s="2" t="s">
        <v>250</v>
      </c>
      <c r="H4382" s="2" t="s">
        <v>34</v>
      </c>
      <c r="I4382" s="2" t="s">
        <v>51</v>
      </c>
      <c r="J4382" s="2" t="s">
        <v>52</v>
      </c>
      <c r="K4382" s="2" t="s">
        <v>53</v>
      </c>
      <c r="L4382" s="2" t="s">
        <v>34</v>
      </c>
      <c r="M4382" s="2"/>
      <c r="N4382" s="2"/>
      <c r="O4382" s="2"/>
      <c r="P4382" s="2" t="s">
        <v>13627</v>
      </c>
      <c r="Q4382" s="6">
        <v>100</v>
      </c>
      <c r="R4382" s="6">
        <v>34.75</v>
      </c>
      <c r="S4382" s="5">
        <v>19.7</v>
      </c>
      <c r="T4382" s="7">
        <v>34.832999999999998</v>
      </c>
      <c r="U4382" s="5">
        <v>9.4</v>
      </c>
      <c r="V4382" s="6">
        <v>2.6</v>
      </c>
      <c r="W4382" s="7">
        <v>24.062999999999999</v>
      </c>
      <c r="X4382" s="6">
        <v>25.25</v>
      </c>
      <c r="Y4382" s="4">
        <v>26</v>
      </c>
      <c r="Z4382" s="4">
        <v>27</v>
      </c>
      <c r="AA4382" s="6">
        <v>7.33</v>
      </c>
      <c r="AB4382" s="7">
        <v>8.56</v>
      </c>
      <c r="AC4382" s="2"/>
    </row>
    <row r="4383" spans="1:29" ht="182" x14ac:dyDescent="0.15">
      <c r="A4383" s="3">
        <f>DATE(1999,1,15)</f>
        <v>36175</v>
      </c>
      <c r="B4383" s="3">
        <f>DATE(1999,6,30)</f>
        <v>36341</v>
      </c>
      <c r="C4383" s="2" t="s">
        <v>95</v>
      </c>
      <c r="D4383" s="2" t="s">
        <v>13564</v>
      </c>
      <c r="E4383" s="2" t="s">
        <v>973</v>
      </c>
      <c r="F4383" s="4">
        <v>4813</v>
      </c>
      <c r="G4383" s="2" t="s">
        <v>63</v>
      </c>
      <c r="H4383" s="2" t="s">
        <v>34</v>
      </c>
      <c r="I4383" s="2" t="s">
        <v>13628</v>
      </c>
      <c r="J4383" s="2" t="s">
        <v>13629</v>
      </c>
      <c r="K4383" s="2" t="s">
        <v>63</v>
      </c>
      <c r="L4383" s="2" t="s">
        <v>303</v>
      </c>
      <c r="M4383" s="12">
        <v>864059.95700000005</v>
      </c>
      <c r="N4383" s="2"/>
      <c r="O4383" s="2"/>
      <c r="P4383" s="2" t="s">
        <v>13630</v>
      </c>
      <c r="Q4383" s="6">
        <v>100</v>
      </c>
      <c r="R4383" s="6">
        <v>97.52</v>
      </c>
      <c r="S4383" s="5">
        <v>725</v>
      </c>
      <c r="T4383" s="8">
        <v>1896</v>
      </c>
      <c r="U4383" s="5">
        <v>14.3</v>
      </c>
      <c r="V4383" s="6">
        <v>1.07</v>
      </c>
      <c r="W4383" s="9">
        <v>64.9375</v>
      </c>
      <c r="X4383" s="7">
        <v>69.375</v>
      </c>
      <c r="Y4383" s="7">
        <v>72.438000000000002</v>
      </c>
      <c r="Z4383" s="6">
        <v>68.25</v>
      </c>
      <c r="AA4383" s="6">
        <v>573.87</v>
      </c>
      <c r="AB4383" s="7">
        <v>69.366</v>
      </c>
      <c r="AC4383" s="6">
        <v>25.57</v>
      </c>
    </row>
    <row r="4384" spans="1:29" ht="39" x14ac:dyDescent="0.15">
      <c r="A4384" s="3">
        <f>DATE(1999,1,15)</f>
        <v>36175</v>
      </c>
      <c r="B4384" s="2"/>
      <c r="C4384" s="2" t="s">
        <v>189</v>
      </c>
      <c r="D4384" s="2" t="s">
        <v>13631</v>
      </c>
      <c r="E4384" s="2" t="s">
        <v>13632</v>
      </c>
      <c r="F4384" s="4">
        <v>3571</v>
      </c>
      <c r="G4384" s="2" t="s">
        <v>50</v>
      </c>
      <c r="H4384" s="2" t="s">
        <v>34</v>
      </c>
      <c r="I4384" s="2" t="s">
        <v>143</v>
      </c>
      <c r="J4384" s="2" t="s">
        <v>144</v>
      </c>
      <c r="K4384" s="2" t="s">
        <v>53</v>
      </c>
      <c r="L4384" s="2" t="s">
        <v>139</v>
      </c>
      <c r="M4384" s="2"/>
      <c r="N4384" s="2"/>
      <c r="O4384" s="2"/>
      <c r="P4384" s="2" t="s">
        <v>13633</v>
      </c>
      <c r="Q4384" s="2"/>
      <c r="R4384" s="2"/>
      <c r="S4384" s="5">
        <v>0.4</v>
      </c>
      <c r="T4384" s="7">
        <v>8.0410000000000004</v>
      </c>
      <c r="U4384" s="5">
        <v>0</v>
      </c>
      <c r="V4384" s="6">
        <v>0.01</v>
      </c>
      <c r="W4384" s="7">
        <v>30.375</v>
      </c>
      <c r="X4384" s="7">
        <v>33.125</v>
      </c>
      <c r="Y4384" s="7">
        <v>32.125</v>
      </c>
      <c r="Z4384" s="7">
        <v>32.125</v>
      </c>
      <c r="AA4384" s="6">
        <v>37.270000000000003</v>
      </c>
      <c r="AB4384" s="2" t="s">
        <v>47</v>
      </c>
      <c r="AC4384" s="2"/>
    </row>
    <row r="4385" spans="1:29" ht="78" x14ac:dyDescent="0.15">
      <c r="A4385" s="3">
        <f>DATE(1999,1,18)</f>
        <v>36178</v>
      </c>
      <c r="B4385" s="3">
        <f>DATE(1999,4,28)</f>
        <v>36278</v>
      </c>
      <c r="C4385" s="2" t="s">
        <v>95</v>
      </c>
      <c r="D4385" s="2" t="s">
        <v>13634</v>
      </c>
      <c r="E4385" s="2" t="s">
        <v>781</v>
      </c>
      <c r="F4385" s="4">
        <v>7372</v>
      </c>
      <c r="G4385" s="2" t="s">
        <v>551</v>
      </c>
      <c r="H4385" s="2" t="s">
        <v>34</v>
      </c>
      <c r="I4385" s="2" t="s">
        <v>10762</v>
      </c>
      <c r="J4385" s="2" t="s">
        <v>10763</v>
      </c>
      <c r="K4385" s="2" t="s">
        <v>223</v>
      </c>
      <c r="L4385" s="2" t="s">
        <v>34</v>
      </c>
      <c r="M4385" s="12">
        <v>3786.739</v>
      </c>
      <c r="N4385" s="7">
        <v>38.688000000000002</v>
      </c>
      <c r="O4385" s="7">
        <v>38.688000000000002</v>
      </c>
      <c r="P4385" s="2" t="s">
        <v>13635</v>
      </c>
      <c r="Q4385" s="6">
        <v>100</v>
      </c>
      <c r="R4385" s="6">
        <v>13.88</v>
      </c>
      <c r="S4385" s="5">
        <v>3.8</v>
      </c>
      <c r="T4385" s="7">
        <v>5.968</v>
      </c>
      <c r="U4385" s="5">
        <v>5.5</v>
      </c>
      <c r="V4385" s="6">
        <v>0.62</v>
      </c>
      <c r="W4385" s="5">
        <v>11.5</v>
      </c>
      <c r="X4385" s="7">
        <v>12.125</v>
      </c>
      <c r="Y4385" s="7">
        <v>12.125</v>
      </c>
      <c r="Z4385" s="7">
        <v>15.188000000000001</v>
      </c>
      <c r="AA4385" s="6">
        <v>5.99</v>
      </c>
      <c r="AB4385" s="7">
        <v>17.212</v>
      </c>
      <c r="AC4385" s="6">
        <v>258.04000000000002</v>
      </c>
    </row>
    <row r="4386" spans="1:29" ht="130" x14ac:dyDescent="0.15">
      <c r="A4386" s="3">
        <f>DATE(1999,1,18)</f>
        <v>36178</v>
      </c>
      <c r="B4386" s="2"/>
      <c r="C4386" s="2" t="s">
        <v>30</v>
      </c>
      <c r="D4386" s="2" t="s">
        <v>13636</v>
      </c>
      <c r="E4386" s="2" t="s">
        <v>13637</v>
      </c>
      <c r="F4386" s="4">
        <v>3829</v>
      </c>
      <c r="G4386" s="2" t="s">
        <v>226</v>
      </c>
      <c r="H4386" s="2" t="s">
        <v>34</v>
      </c>
      <c r="I4386" s="2" t="s">
        <v>13638</v>
      </c>
      <c r="J4386" s="2" t="s">
        <v>13639</v>
      </c>
      <c r="K4386" s="2" t="s">
        <v>148</v>
      </c>
      <c r="L4386" s="2" t="s">
        <v>2105</v>
      </c>
      <c r="M4386" s="2"/>
      <c r="N4386" s="2"/>
      <c r="O4386" s="2"/>
      <c r="P4386" s="2" t="s">
        <v>13640</v>
      </c>
      <c r="Q4386" s="2"/>
      <c r="R4386" s="6">
        <v>17.88</v>
      </c>
      <c r="S4386" s="5">
        <v>2.9</v>
      </c>
      <c r="T4386" s="7">
        <v>13.185</v>
      </c>
      <c r="U4386" s="5">
        <v>8</v>
      </c>
      <c r="V4386" s="6">
        <v>0.28999999999999998</v>
      </c>
      <c r="W4386" s="7">
        <v>11.875</v>
      </c>
      <c r="X4386" s="6">
        <v>13.75</v>
      </c>
      <c r="Y4386" s="6">
        <v>13.75</v>
      </c>
      <c r="Z4386" s="7">
        <v>16.312999999999999</v>
      </c>
      <c r="AA4386" s="6">
        <v>9.99</v>
      </c>
      <c r="AB4386" s="7">
        <v>44.683999999999997</v>
      </c>
      <c r="AC4386" s="2"/>
    </row>
    <row r="4387" spans="1:29" ht="104" x14ac:dyDescent="0.15">
      <c r="A4387" s="3">
        <f t="shared" ref="A4387:A4393" si="86">DATE(1999,1,19)</f>
        <v>36179</v>
      </c>
      <c r="B4387" s="3">
        <f>DATE(1999,2,25)</f>
        <v>36216</v>
      </c>
      <c r="C4387" s="2" t="s">
        <v>95</v>
      </c>
      <c r="D4387" s="2" t="s">
        <v>13641</v>
      </c>
      <c r="E4387" s="2" t="s">
        <v>13642</v>
      </c>
      <c r="F4387" s="4">
        <v>2421</v>
      </c>
      <c r="G4387" s="2" t="s">
        <v>250</v>
      </c>
      <c r="H4387" s="2" t="s">
        <v>34</v>
      </c>
      <c r="I4387" s="2" t="s">
        <v>8524</v>
      </c>
      <c r="J4387" s="2" t="s">
        <v>8525</v>
      </c>
      <c r="K4387" s="2" t="s">
        <v>250</v>
      </c>
      <c r="L4387" s="2" t="s">
        <v>34</v>
      </c>
      <c r="M4387" s="12">
        <v>1929.066</v>
      </c>
      <c r="N4387" s="4">
        <v>18</v>
      </c>
      <c r="O4387" s="7">
        <v>17.875</v>
      </c>
      <c r="P4387" s="2" t="s">
        <v>13643</v>
      </c>
      <c r="Q4387" s="6">
        <v>100</v>
      </c>
      <c r="R4387" s="6">
        <v>15</v>
      </c>
      <c r="S4387" s="5">
        <v>15.5</v>
      </c>
      <c r="T4387" s="7">
        <v>58.679000000000002</v>
      </c>
      <c r="U4387" s="5">
        <v>11.8</v>
      </c>
      <c r="V4387" s="6">
        <v>1.34</v>
      </c>
      <c r="W4387" s="7">
        <v>11.625</v>
      </c>
      <c r="X4387" s="7">
        <v>14.125</v>
      </c>
      <c r="Y4387" s="6">
        <v>14.75</v>
      </c>
      <c r="Z4387" s="7">
        <v>14.813000000000001</v>
      </c>
      <c r="AA4387" s="6">
        <v>10.67</v>
      </c>
      <c r="AB4387" s="7">
        <v>6.9790000000000001</v>
      </c>
      <c r="AC4387" s="5">
        <v>126.5</v>
      </c>
    </row>
    <row r="4388" spans="1:29" ht="117" x14ac:dyDescent="0.15">
      <c r="A4388" s="3">
        <f t="shared" si="86"/>
        <v>36179</v>
      </c>
      <c r="B4388" s="3">
        <f>DATE(1999,4,9)</f>
        <v>36259</v>
      </c>
      <c r="C4388" s="2" t="s">
        <v>95</v>
      </c>
      <c r="D4388" s="2" t="s">
        <v>13644</v>
      </c>
      <c r="E4388" s="2" t="s">
        <v>13645</v>
      </c>
      <c r="F4388" s="4">
        <v>3674</v>
      </c>
      <c r="G4388" s="2" t="s">
        <v>137</v>
      </c>
      <c r="H4388" s="2" t="s">
        <v>34</v>
      </c>
      <c r="I4388" s="2" t="s">
        <v>13646</v>
      </c>
      <c r="J4388" s="2" t="s">
        <v>13647</v>
      </c>
      <c r="K4388" s="2" t="s">
        <v>439</v>
      </c>
      <c r="L4388" s="2" t="s">
        <v>1049</v>
      </c>
      <c r="M4388" s="2"/>
      <c r="N4388" s="2"/>
      <c r="O4388" s="2"/>
      <c r="P4388" s="2" t="s">
        <v>13648</v>
      </c>
      <c r="Q4388" s="6">
        <v>100</v>
      </c>
      <c r="R4388" s="6">
        <v>5.5</v>
      </c>
      <c r="S4388" s="5">
        <v>-14</v>
      </c>
      <c r="T4388" s="7">
        <v>-9.7420000000000009</v>
      </c>
      <c r="U4388" s="5">
        <v>2.9</v>
      </c>
      <c r="V4388" s="6">
        <v>-2.29</v>
      </c>
      <c r="W4388" s="7">
        <v>4.125</v>
      </c>
      <c r="X4388" s="7">
        <v>4.375</v>
      </c>
      <c r="Y4388" s="6">
        <v>5.25</v>
      </c>
      <c r="Z4388" s="6">
        <v>5.25</v>
      </c>
      <c r="AA4388" s="6">
        <v>6.2</v>
      </c>
      <c r="AB4388" s="2" t="s">
        <v>86</v>
      </c>
      <c r="AC4388" s="6">
        <v>490.36</v>
      </c>
    </row>
    <row r="4389" spans="1:29" ht="104" x14ac:dyDescent="0.15">
      <c r="A4389" s="3">
        <f t="shared" si="86"/>
        <v>36179</v>
      </c>
      <c r="B4389" s="3">
        <f>DATE(1999,3,24)</f>
        <v>36243</v>
      </c>
      <c r="C4389" s="2" t="s">
        <v>95</v>
      </c>
      <c r="D4389" s="2" t="s">
        <v>6015</v>
      </c>
      <c r="E4389" s="2" t="s">
        <v>3360</v>
      </c>
      <c r="F4389" s="4">
        <v>8732</v>
      </c>
      <c r="G4389" s="2" t="s">
        <v>223</v>
      </c>
      <c r="H4389" s="2" t="s">
        <v>34</v>
      </c>
      <c r="I4389" s="2" t="s">
        <v>13649</v>
      </c>
      <c r="J4389" s="2" t="s">
        <v>3360</v>
      </c>
      <c r="K4389" s="2" t="s">
        <v>223</v>
      </c>
      <c r="L4389" s="2" t="s">
        <v>303</v>
      </c>
      <c r="M4389" s="2"/>
      <c r="N4389" s="2"/>
      <c r="O4389" s="2"/>
      <c r="P4389" s="2" t="s">
        <v>13650</v>
      </c>
      <c r="Q4389" s="6">
        <v>100</v>
      </c>
      <c r="R4389" s="6">
        <v>3.24</v>
      </c>
      <c r="S4389" s="5">
        <v>0</v>
      </c>
      <c r="T4389" s="7">
        <v>1.2170000000000001</v>
      </c>
      <c r="U4389" s="5">
        <v>0.7</v>
      </c>
      <c r="V4389" s="7">
        <v>-2E-3</v>
      </c>
      <c r="W4389" s="7">
        <v>2.375</v>
      </c>
      <c r="X4389" s="7">
        <v>2.4380000000000002</v>
      </c>
      <c r="Y4389" s="7">
        <v>2.4380000000000002</v>
      </c>
      <c r="Z4389" s="7">
        <v>3.125</v>
      </c>
      <c r="AA4389" s="6">
        <v>13.12</v>
      </c>
      <c r="AB4389" s="7">
        <v>174.89400000000001</v>
      </c>
      <c r="AC4389" s="2"/>
    </row>
    <row r="4390" spans="1:29" ht="156" x14ac:dyDescent="0.15">
      <c r="A4390" s="3">
        <f t="shared" si="86"/>
        <v>36179</v>
      </c>
      <c r="B4390" s="2"/>
      <c r="C4390" s="2" t="s">
        <v>30</v>
      </c>
      <c r="D4390" s="2" t="s">
        <v>1404</v>
      </c>
      <c r="E4390" s="2" t="s">
        <v>1405</v>
      </c>
      <c r="F4390" s="4">
        <v>3731</v>
      </c>
      <c r="G4390" s="2" t="s">
        <v>105</v>
      </c>
      <c r="H4390" s="2" t="s">
        <v>34</v>
      </c>
      <c r="I4390" s="2" t="s">
        <v>13651</v>
      </c>
      <c r="J4390" s="2" t="s">
        <v>13652</v>
      </c>
      <c r="K4390" s="2" t="s">
        <v>105</v>
      </c>
      <c r="L4390" s="2" t="s">
        <v>34</v>
      </c>
      <c r="M4390" s="12">
        <v>1014.484</v>
      </c>
      <c r="N4390" s="7">
        <v>29.687999999999999</v>
      </c>
      <c r="O4390" s="6">
        <v>28.75</v>
      </c>
      <c r="P4390" s="2" t="s">
        <v>13653</v>
      </c>
      <c r="Q4390" s="2"/>
      <c r="R4390" s="6">
        <v>35.5</v>
      </c>
      <c r="S4390" s="5">
        <v>39</v>
      </c>
      <c r="T4390" s="7">
        <v>55.834000000000003</v>
      </c>
      <c r="U4390" s="5">
        <v>15.9</v>
      </c>
      <c r="V4390" s="7">
        <v>2.831</v>
      </c>
      <c r="W4390" s="7">
        <v>26.875</v>
      </c>
      <c r="X4390" s="7">
        <v>26.875</v>
      </c>
      <c r="Y4390" s="7">
        <v>27.125</v>
      </c>
      <c r="Z4390" s="7">
        <v>32.625</v>
      </c>
      <c r="AA4390" s="6">
        <v>13.25</v>
      </c>
      <c r="AB4390" s="7">
        <v>10.112</v>
      </c>
      <c r="AC4390" s="5">
        <v>3</v>
      </c>
    </row>
    <row r="4391" spans="1:29" ht="143" x14ac:dyDescent="0.15">
      <c r="A4391" s="3">
        <f t="shared" si="86"/>
        <v>36179</v>
      </c>
      <c r="B4391" s="3">
        <f>DATE(1999,3,23)</f>
        <v>36242</v>
      </c>
      <c r="C4391" s="2" t="s">
        <v>95</v>
      </c>
      <c r="D4391" s="2" t="s">
        <v>13654</v>
      </c>
      <c r="E4391" s="2" t="s">
        <v>13655</v>
      </c>
      <c r="F4391" s="4">
        <v>3714</v>
      </c>
      <c r="G4391" s="2" t="s">
        <v>105</v>
      </c>
      <c r="H4391" s="2" t="s">
        <v>34</v>
      </c>
      <c r="I4391" s="2" t="s">
        <v>13656</v>
      </c>
      <c r="J4391" s="2" t="s">
        <v>13657</v>
      </c>
      <c r="K4391" s="2" t="s">
        <v>105</v>
      </c>
      <c r="L4391" s="2" t="s">
        <v>34</v>
      </c>
      <c r="M4391" s="7">
        <v>368.74900000000002</v>
      </c>
      <c r="N4391" s="4">
        <v>33</v>
      </c>
      <c r="O4391" s="7">
        <v>33.125</v>
      </c>
      <c r="P4391" s="2" t="s">
        <v>13658</v>
      </c>
      <c r="Q4391" s="6">
        <v>100</v>
      </c>
      <c r="R4391" s="6">
        <v>26.18</v>
      </c>
      <c r="S4391" s="5">
        <v>17</v>
      </c>
      <c r="T4391" s="7">
        <v>71.185000000000002</v>
      </c>
      <c r="U4391" s="5">
        <v>15.6</v>
      </c>
      <c r="V4391" s="6">
        <v>1.36</v>
      </c>
      <c r="W4391" s="7">
        <v>18.562999999999999</v>
      </c>
      <c r="X4391" s="7">
        <v>20.875</v>
      </c>
      <c r="Y4391" s="7">
        <v>24.875</v>
      </c>
      <c r="Z4391" s="4">
        <v>25</v>
      </c>
      <c r="AA4391" s="6">
        <v>12.2</v>
      </c>
      <c r="AB4391" s="7">
        <v>14.983000000000001</v>
      </c>
      <c r="AC4391" s="6">
        <v>20.54</v>
      </c>
    </row>
    <row r="4392" spans="1:29" ht="104" x14ac:dyDescent="0.15">
      <c r="A4392" s="3">
        <f t="shared" si="86"/>
        <v>36179</v>
      </c>
      <c r="B4392" s="3">
        <f>DATE(1999,5,28)</f>
        <v>36308</v>
      </c>
      <c r="C4392" s="2" t="s">
        <v>95</v>
      </c>
      <c r="D4392" s="2" t="s">
        <v>12177</v>
      </c>
      <c r="E4392" s="2" t="s">
        <v>12178</v>
      </c>
      <c r="F4392" s="4">
        <v>7372</v>
      </c>
      <c r="G4392" s="2" t="s">
        <v>551</v>
      </c>
      <c r="H4392" s="2" t="s">
        <v>34</v>
      </c>
      <c r="I4392" s="2" t="s">
        <v>13659</v>
      </c>
      <c r="J4392" s="2" t="s">
        <v>10711</v>
      </c>
      <c r="K4392" s="2" t="s">
        <v>223</v>
      </c>
      <c r="L4392" s="2" t="s">
        <v>34</v>
      </c>
      <c r="M4392" s="12">
        <v>8303.6219999999994</v>
      </c>
      <c r="N4392" s="7">
        <v>115.375</v>
      </c>
      <c r="O4392" s="6">
        <v>109.75</v>
      </c>
      <c r="P4392" s="2" t="s">
        <v>13660</v>
      </c>
      <c r="Q4392" s="6">
        <v>100</v>
      </c>
      <c r="R4392" s="6">
        <v>106.28</v>
      </c>
      <c r="S4392" s="5">
        <v>-37</v>
      </c>
      <c r="T4392" s="7">
        <v>7.016</v>
      </c>
      <c r="U4392" s="5">
        <v>2.7</v>
      </c>
      <c r="V4392" s="6">
        <v>-0.78</v>
      </c>
      <c r="W4392" s="6">
        <v>75.12</v>
      </c>
      <c r="X4392" s="5">
        <v>67.5</v>
      </c>
      <c r="Y4392" s="4">
        <v>110</v>
      </c>
      <c r="Z4392" s="7">
        <v>96.625</v>
      </c>
      <c r="AA4392" s="6">
        <v>51.6</v>
      </c>
      <c r="AB4392" s="2" t="s">
        <v>86</v>
      </c>
      <c r="AC4392" s="2"/>
    </row>
    <row r="4393" spans="1:29" ht="91" x14ac:dyDescent="0.15">
      <c r="A4393" s="3">
        <f t="shared" si="86"/>
        <v>36179</v>
      </c>
      <c r="B4393" s="3">
        <f>DATE(1999,4,8)</f>
        <v>36258</v>
      </c>
      <c r="C4393" s="2" t="s">
        <v>95</v>
      </c>
      <c r="D4393" s="2" t="s">
        <v>13661</v>
      </c>
      <c r="E4393" s="2" t="s">
        <v>13662</v>
      </c>
      <c r="F4393" s="4">
        <v>7819</v>
      </c>
      <c r="G4393" s="2" t="s">
        <v>42</v>
      </c>
      <c r="H4393" s="2" t="s">
        <v>34</v>
      </c>
      <c r="I4393" s="2" t="s">
        <v>13663</v>
      </c>
      <c r="J4393" s="2" t="s">
        <v>13664</v>
      </c>
      <c r="K4393" s="2" t="s">
        <v>53</v>
      </c>
      <c r="L4393" s="2" t="s">
        <v>34</v>
      </c>
      <c r="M4393" s="2"/>
      <c r="N4393" s="2"/>
      <c r="O4393" s="2"/>
      <c r="P4393" s="2" t="s">
        <v>13665</v>
      </c>
      <c r="Q4393" s="6">
        <v>53.09</v>
      </c>
      <c r="R4393" s="2"/>
      <c r="S4393" s="5">
        <v>3.2</v>
      </c>
      <c r="T4393" s="6">
        <v>29.52</v>
      </c>
      <c r="U4393" s="5">
        <v>5.3</v>
      </c>
      <c r="V4393" s="6">
        <v>0.28999999999999998</v>
      </c>
      <c r="W4393" s="6">
        <v>7.25</v>
      </c>
      <c r="X4393" s="7">
        <v>6.875</v>
      </c>
      <c r="Y4393" s="4">
        <v>8</v>
      </c>
      <c r="Z4393" s="6">
        <v>8.25</v>
      </c>
      <c r="AA4393" s="6">
        <v>19.21</v>
      </c>
      <c r="AB4393" s="7">
        <v>25.885999999999999</v>
      </c>
      <c r="AC4393" s="2"/>
    </row>
    <row r="4394" spans="1:29" ht="52" x14ac:dyDescent="0.15">
      <c r="A4394" s="3">
        <f>DATE(1999,1,20)</f>
        <v>36180</v>
      </c>
      <c r="B4394" s="2"/>
      <c r="C4394" s="2" t="s">
        <v>87</v>
      </c>
      <c r="D4394" s="2" t="s">
        <v>13666</v>
      </c>
      <c r="E4394" s="2" t="s">
        <v>58</v>
      </c>
      <c r="F4394" s="4">
        <v>4512</v>
      </c>
      <c r="G4394" s="2" t="s">
        <v>59</v>
      </c>
      <c r="H4394" s="2" t="s">
        <v>34</v>
      </c>
      <c r="I4394" s="2" t="s">
        <v>57</v>
      </c>
      <c r="J4394" s="2" t="s">
        <v>58</v>
      </c>
      <c r="K4394" s="2" t="s">
        <v>59</v>
      </c>
      <c r="L4394" s="2" t="s">
        <v>34</v>
      </c>
      <c r="M4394" s="12">
        <v>3127.819</v>
      </c>
      <c r="N4394" s="7">
        <v>61.188000000000002</v>
      </c>
      <c r="O4394" s="4">
        <v>60</v>
      </c>
      <c r="P4394" s="2" t="s">
        <v>13667</v>
      </c>
      <c r="Q4394" s="2"/>
      <c r="R4394" s="2"/>
      <c r="S4394" s="5">
        <v>108.6</v>
      </c>
      <c r="T4394" s="7">
        <v>307.404</v>
      </c>
      <c r="U4394" s="5">
        <v>17.2</v>
      </c>
      <c r="V4394" s="6">
        <v>2.4</v>
      </c>
      <c r="W4394" s="7">
        <v>16.812999999999999</v>
      </c>
      <c r="X4394" s="7">
        <v>18.125</v>
      </c>
      <c r="Y4394" s="5">
        <v>19.5</v>
      </c>
      <c r="Z4394" s="7">
        <v>23.062999999999999</v>
      </c>
      <c r="AA4394" s="6">
        <v>46.34</v>
      </c>
      <c r="AB4394" s="2" t="s">
        <v>47</v>
      </c>
      <c r="AC4394" s="5">
        <v>815</v>
      </c>
    </row>
    <row r="4395" spans="1:29" ht="65" x14ac:dyDescent="0.15">
      <c r="A4395" s="3">
        <f>DATE(1999,1,20)</f>
        <v>36180</v>
      </c>
      <c r="B4395" s="2"/>
      <c r="C4395" s="2" t="s">
        <v>30</v>
      </c>
      <c r="D4395" s="2" t="s">
        <v>13668</v>
      </c>
      <c r="E4395" s="2" t="s">
        <v>13669</v>
      </c>
      <c r="F4395" s="4">
        <v>5091</v>
      </c>
      <c r="G4395" s="2" t="s">
        <v>76</v>
      </c>
      <c r="H4395" s="2" t="s">
        <v>34</v>
      </c>
      <c r="I4395" s="2" t="s">
        <v>13670</v>
      </c>
      <c r="J4395" s="2" t="s">
        <v>13671</v>
      </c>
      <c r="K4395" s="2" t="s">
        <v>112</v>
      </c>
      <c r="L4395" s="2" t="s">
        <v>34</v>
      </c>
      <c r="M4395" s="7">
        <v>18.178999999999998</v>
      </c>
      <c r="N4395" s="11">
        <v>4.71875</v>
      </c>
      <c r="O4395" s="6">
        <v>4.25</v>
      </c>
      <c r="P4395" s="2" t="s">
        <v>13672</v>
      </c>
      <c r="Q4395" s="2"/>
      <c r="R4395" s="6">
        <v>6</v>
      </c>
      <c r="S4395" s="5">
        <v>-0.3</v>
      </c>
      <c r="T4395" s="7">
        <v>2.1219999999999999</v>
      </c>
      <c r="U4395" s="5">
        <v>2.6</v>
      </c>
      <c r="V4395" s="6">
        <v>-0.05</v>
      </c>
      <c r="W4395" s="7">
        <v>2.125</v>
      </c>
      <c r="X4395" s="7">
        <v>3.375</v>
      </c>
      <c r="Y4395" s="4">
        <v>3</v>
      </c>
      <c r="Z4395" s="5">
        <v>3.5</v>
      </c>
      <c r="AA4395" s="6">
        <v>5.67</v>
      </c>
      <c r="AB4395" s="7">
        <v>37.317999999999998</v>
      </c>
      <c r="AC4395" s="6">
        <v>1.02</v>
      </c>
    </row>
    <row r="4396" spans="1:29" ht="130" x14ac:dyDescent="0.15">
      <c r="A4396" s="3">
        <f>DATE(1999,1,21)</f>
        <v>36181</v>
      </c>
      <c r="B4396" s="2"/>
      <c r="C4396" s="2" t="s">
        <v>30</v>
      </c>
      <c r="D4396" s="2" t="s">
        <v>13673</v>
      </c>
      <c r="E4396" s="2" t="s">
        <v>13674</v>
      </c>
      <c r="F4396" s="4">
        <v>7359</v>
      </c>
      <c r="G4396" s="2" t="s">
        <v>223</v>
      </c>
      <c r="H4396" s="2" t="s">
        <v>34</v>
      </c>
      <c r="I4396" s="2" t="s">
        <v>13675</v>
      </c>
      <c r="J4396" s="2" t="s">
        <v>13674</v>
      </c>
      <c r="K4396" s="2" t="s">
        <v>223</v>
      </c>
      <c r="L4396" s="2" t="s">
        <v>34</v>
      </c>
      <c r="M4396" s="6">
        <v>389.36</v>
      </c>
      <c r="N4396" s="7">
        <v>22.625</v>
      </c>
      <c r="O4396" s="7">
        <v>22.375</v>
      </c>
      <c r="P4396" s="2" t="s">
        <v>13676</v>
      </c>
      <c r="Q4396" s="2"/>
      <c r="R4396" s="6">
        <v>8.25</v>
      </c>
      <c r="S4396" s="5">
        <v>12.7</v>
      </c>
      <c r="T4396" s="7">
        <v>82.165000000000006</v>
      </c>
      <c r="U4396" s="5">
        <v>5.0999999999999996</v>
      </c>
      <c r="V4396" s="6">
        <v>0.37</v>
      </c>
      <c r="W4396" s="7">
        <v>6.4379999999999997</v>
      </c>
      <c r="X4396" s="7">
        <v>6.5629999999999997</v>
      </c>
      <c r="Y4396" s="9">
        <v>7.9375</v>
      </c>
      <c r="Z4396" s="7">
        <v>7.625</v>
      </c>
      <c r="AA4396" s="6">
        <v>44.36</v>
      </c>
      <c r="AB4396" s="7">
        <v>28.431999999999999</v>
      </c>
      <c r="AC4396" s="6">
        <v>3.47</v>
      </c>
    </row>
    <row r="4397" spans="1:29" ht="91" x14ac:dyDescent="0.15">
      <c r="A4397" s="3">
        <f>DATE(1999,1,22)</f>
        <v>36182</v>
      </c>
      <c r="B4397" s="3">
        <f>DATE(1999,6,11)</f>
        <v>36322</v>
      </c>
      <c r="C4397" s="2" t="s">
        <v>95</v>
      </c>
      <c r="D4397" s="2" t="s">
        <v>13677</v>
      </c>
      <c r="E4397" s="2" t="s">
        <v>13678</v>
      </c>
      <c r="F4397" s="4">
        <v>5531</v>
      </c>
      <c r="G4397" s="2" t="s">
        <v>73</v>
      </c>
      <c r="H4397" s="2" t="s">
        <v>34</v>
      </c>
      <c r="I4397" s="2" t="s">
        <v>6475</v>
      </c>
      <c r="J4397" s="2" t="s">
        <v>6476</v>
      </c>
      <c r="K4397" s="2" t="s">
        <v>173</v>
      </c>
      <c r="L4397" s="2" t="s">
        <v>34</v>
      </c>
      <c r="M4397" s="7">
        <v>110.307</v>
      </c>
      <c r="N4397" s="6">
        <v>8.25</v>
      </c>
      <c r="O4397" s="5">
        <v>8.5</v>
      </c>
      <c r="P4397" s="2" t="s">
        <v>13679</v>
      </c>
      <c r="Q4397" s="6">
        <v>50.23</v>
      </c>
      <c r="R4397" s="6">
        <v>9</v>
      </c>
      <c r="S4397" s="5">
        <v>6.4</v>
      </c>
      <c r="T4397" s="7">
        <v>8.7579999999999991</v>
      </c>
      <c r="U4397" s="5">
        <v>12.9</v>
      </c>
      <c r="V4397" s="6">
        <v>1.25</v>
      </c>
      <c r="W4397" s="7">
        <v>6.125</v>
      </c>
      <c r="X4397" s="5">
        <v>6.5</v>
      </c>
      <c r="Y4397" s="7">
        <v>7.125</v>
      </c>
      <c r="Z4397" s="7">
        <v>8.8130000000000006</v>
      </c>
      <c r="AA4397" s="6">
        <v>5.07</v>
      </c>
      <c r="AB4397" s="7">
        <v>31.074999999999999</v>
      </c>
      <c r="AC4397" s="6">
        <v>4.54</v>
      </c>
    </row>
    <row r="4398" spans="1:29" ht="104" x14ac:dyDescent="0.15">
      <c r="A4398" s="3">
        <f>DATE(1999,1,22)</f>
        <v>36182</v>
      </c>
      <c r="B4398" s="3">
        <f>DATE(1999,10,21)</f>
        <v>36454</v>
      </c>
      <c r="C4398" s="2" t="s">
        <v>95</v>
      </c>
      <c r="D4398" s="2" t="s">
        <v>13680</v>
      </c>
      <c r="E4398" s="2" t="s">
        <v>13681</v>
      </c>
      <c r="F4398" s="4">
        <v>3579</v>
      </c>
      <c r="G4398" s="2" t="s">
        <v>50</v>
      </c>
      <c r="H4398" s="2" t="s">
        <v>34</v>
      </c>
      <c r="I4398" s="2" t="s">
        <v>13682</v>
      </c>
      <c r="J4398" s="2" t="s">
        <v>13683</v>
      </c>
      <c r="K4398" s="2" t="s">
        <v>76</v>
      </c>
      <c r="L4398" s="2" t="s">
        <v>34</v>
      </c>
      <c r="M4398" s="7">
        <v>234.86099999999999</v>
      </c>
      <c r="N4398" s="7">
        <v>13.688000000000001</v>
      </c>
      <c r="O4398" s="7">
        <v>14.063000000000001</v>
      </c>
      <c r="P4398" s="2" t="s">
        <v>13684</v>
      </c>
      <c r="Q4398" s="6">
        <v>100</v>
      </c>
      <c r="R4398" s="6">
        <v>2.74</v>
      </c>
      <c r="S4398" s="5">
        <v>-10.6</v>
      </c>
      <c r="T4398" s="7">
        <v>-8.2070000000000007</v>
      </c>
      <c r="U4398" s="5">
        <v>0.4</v>
      </c>
      <c r="V4398" s="7">
        <v>-2.0030000000000001</v>
      </c>
      <c r="W4398" s="7">
        <v>1.875</v>
      </c>
      <c r="X4398" s="7">
        <v>1.9379999999999999</v>
      </c>
      <c r="Y4398" s="6">
        <v>2.25</v>
      </c>
      <c r="Z4398" s="7">
        <v>2.375</v>
      </c>
      <c r="AA4398" s="6">
        <v>7.14</v>
      </c>
      <c r="AB4398" s="2" t="s">
        <v>86</v>
      </c>
      <c r="AC4398" s="6">
        <v>88.88</v>
      </c>
    </row>
    <row r="4399" spans="1:29" ht="65" x14ac:dyDescent="0.15">
      <c r="A4399" s="3">
        <f>DATE(1999,1,25)</f>
        <v>36185</v>
      </c>
      <c r="B4399" s="3">
        <f>DATE(1999,6,2)</f>
        <v>36313</v>
      </c>
      <c r="C4399" s="2" t="s">
        <v>95</v>
      </c>
      <c r="D4399" s="2" t="s">
        <v>13685</v>
      </c>
      <c r="E4399" s="2" t="s">
        <v>36</v>
      </c>
      <c r="F4399" s="4">
        <v>6019</v>
      </c>
      <c r="G4399" s="2" t="s">
        <v>3583</v>
      </c>
      <c r="H4399" s="2" t="s">
        <v>34</v>
      </c>
      <c r="I4399" s="2" t="s">
        <v>2419</v>
      </c>
      <c r="J4399" s="2" t="s">
        <v>36</v>
      </c>
      <c r="K4399" s="2" t="s">
        <v>37</v>
      </c>
      <c r="L4399" s="2" t="s">
        <v>34</v>
      </c>
      <c r="M4399" s="12">
        <v>1661.0519999999999</v>
      </c>
      <c r="N4399" s="6">
        <v>42.25</v>
      </c>
      <c r="O4399" s="4">
        <v>42</v>
      </c>
      <c r="P4399" s="2" t="s">
        <v>13686</v>
      </c>
      <c r="Q4399" s="6">
        <v>100</v>
      </c>
      <c r="R4399" s="6">
        <v>21.88</v>
      </c>
      <c r="S4399" s="5">
        <v>0.2</v>
      </c>
      <c r="T4399" s="7">
        <v>0.61699999999999999</v>
      </c>
      <c r="U4399" s="5">
        <v>13.8</v>
      </c>
      <c r="V4399" s="7">
        <v>0.38600000000000001</v>
      </c>
      <c r="W4399" s="4">
        <v>15</v>
      </c>
      <c r="X4399" s="5">
        <v>17.5</v>
      </c>
      <c r="Y4399" s="6">
        <v>18.82</v>
      </c>
      <c r="Z4399" s="7">
        <v>19.625</v>
      </c>
      <c r="AA4399" s="6">
        <v>0.66</v>
      </c>
      <c r="AB4399" s="7">
        <v>211.94300000000001</v>
      </c>
      <c r="AC4399" s="2"/>
    </row>
    <row r="4400" spans="1:29" ht="104" x14ac:dyDescent="0.15">
      <c r="A4400" s="3">
        <f>DATE(1999,1,25)</f>
        <v>36185</v>
      </c>
      <c r="B4400" s="2"/>
      <c r="C4400" s="2" t="s">
        <v>30</v>
      </c>
      <c r="D4400" s="2" t="s">
        <v>13687</v>
      </c>
      <c r="E4400" s="2" t="s">
        <v>263</v>
      </c>
      <c r="F4400" s="4">
        <v>6022</v>
      </c>
      <c r="G4400" s="2" t="s">
        <v>37</v>
      </c>
      <c r="H4400" s="2" t="s">
        <v>34</v>
      </c>
      <c r="I4400" s="2" t="s">
        <v>2419</v>
      </c>
      <c r="J4400" s="2" t="s">
        <v>36</v>
      </c>
      <c r="K4400" s="2" t="s">
        <v>37</v>
      </c>
      <c r="L4400" s="2" t="s">
        <v>34</v>
      </c>
      <c r="M4400" s="12">
        <v>1661.0519999999999</v>
      </c>
      <c r="N4400" s="6">
        <v>42.25</v>
      </c>
      <c r="O4400" s="4">
        <v>42</v>
      </c>
      <c r="P4400" s="2" t="s">
        <v>13688</v>
      </c>
      <c r="Q4400" s="2"/>
      <c r="R4400" s="6">
        <v>33.56</v>
      </c>
      <c r="S4400" s="5">
        <v>21.5</v>
      </c>
      <c r="T4400" s="7">
        <v>38.649000000000001</v>
      </c>
      <c r="U4400" s="5">
        <v>12.9</v>
      </c>
      <c r="V4400" s="9">
        <v>1.2095</v>
      </c>
      <c r="W4400" s="7">
        <v>36.438000000000002</v>
      </c>
      <c r="X4400" s="7">
        <v>36.875</v>
      </c>
      <c r="Y4400" s="4">
        <v>36</v>
      </c>
      <c r="Z4400" s="4">
        <v>36</v>
      </c>
      <c r="AA4400" s="6">
        <v>8.86</v>
      </c>
      <c r="AB4400" s="7">
        <v>23.08</v>
      </c>
      <c r="AC4400" s="2"/>
    </row>
    <row r="4401" spans="1:29" ht="104" x14ac:dyDescent="0.15">
      <c r="A4401" s="3">
        <f>DATE(1999,1,25)</f>
        <v>36185</v>
      </c>
      <c r="B4401" s="3">
        <f>DATE(1999,7,1)</f>
        <v>36342</v>
      </c>
      <c r="C4401" s="2" t="s">
        <v>95</v>
      </c>
      <c r="D4401" s="2" t="s">
        <v>13689</v>
      </c>
      <c r="E4401" s="2" t="s">
        <v>2898</v>
      </c>
      <c r="F4401" s="4">
        <v>6022</v>
      </c>
      <c r="G4401" s="2" t="s">
        <v>37</v>
      </c>
      <c r="H4401" s="2" t="s">
        <v>34</v>
      </c>
      <c r="I4401" s="2" t="s">
        <v>13690</v>
      </c>
      <c r="J4401" s="2" t="s">
        <v>265</v>
      </c>
      <c r="K4401" s="2" t="s">
        <v>37</v>
      </c>
      <c r="L4401" s="2" t="s">
        <v>34</v>
      </c>
      <c r="M4401" s="7">
        <v>282.53500000000003</v>
      </c>
      <c r="N4401" s="7">
        <v>27.062999999999999</v>
      </c>
      <c r="O4401" s="7">
        <v>26.687999999999999</v>
      </c>
      <c r="P4401" s="2" t="s">
        <v>13691</v>
      </c>
      <c r="Q4401" s="6">
        <v>100</v>
      </c>
      <c r="R4401" s="6">
        <v>27.89</v>
      </c>
      <c r="S4401" s="5">
        <v>1.6</v>
      </c>
      <c r="T4401" s="7">
        <v>3.7189999999999999</v>
      </c>
      <c r="U4401" s="5">
        <v>13.2</v>
      </c>
      <c r="V4401" s="6">
        <v>1.1100000000000001</v>
      </c>
      <c r="W4401" s="5">
        <v>15.5</v>
      </c>
      <c r="X4401" s="4">
        <v>19</v>
      </c>
      <c r="Y4401" s="4">
        <v>24</v>
      </c>
      <c r="Z4401" s="7">
        <v>24.687999999999999</v>
      </c>
      <c r="AA4401" s="6">
        <v>1.45</v>
      </c>
      <c r="AB4401" s="7">
        <v>20.341000000000001</v>
      </c>
      <c r="AC4401" s="2"/>
    </row>
    <row r="4402" spans="1:29" ht="117" x14ac:dyDescent="0.15">
      <c r="A4402" s="3">
        <f>DATE(1999,1,26)</f>
        <v>36186</v>
      </c>
      <c r="B4402" s="3">
        <f>DATE(1999,5,17)</f>
        <v>36297</v>
      </c>
      <c r="C4402" s="2" t="s">
        <v>95</v>
      </c>
      <c r="D4402" s="2" t="s">
        <v>13692</v>
      </c>
      <c r="E4402" s="2" t="s">
        <v>13693</v>
      </c>
      <c r="F4402" s="4">
        <v>2834</v>
      </c>
      <c r="G4402" s="2" t="s">
        <v>130</v>
      </c>
      <c r="H4402" s="2" t="s">
        <v>34</v>
      </c>
      <c r="I4402" s="2" t="s">
        <v>13694</v>
      </c>
      <c r="J4402" s="2" t="s">
        <v>13695</v>
      </c>
      <c r="K4402" s="2" t="s">
        <v>130</v>
      </c>
      <c r="L4402" s="2" t="s">
        <v>34</v>
      </c>
      <c r="M4402" s="12">
        <v>60733.385000000002</v>
      </c>
      <c r="N4402" s="7">
        <v>69.125</v>
      </c>
      <c r="O4402" s="6">
        <v>72.25</v>
      </c>
      <c r="P4402" s="2" t="s">
        <v>13696</v>
      </c>
      <c r="Q4402" s="6">
        <v>100</v>
      </c>
      <c r="R4402" s="6">
        <v>60</v>
      </c>
      <c r="S4402" s="5">
        <v>13.2</v>
      </c>
      <c r="T4402" s="7">
        <v>51.856000000000002</v>
      </c>
      <c r="U4402" s="5">
        <v>7.6</v>
      </c>
      <c r="V4402" s="6">
        <v>0.4</v>
      </c>
      <c r="W4402" s="6">
        <v>57.75</v>
      </c>
      <c r="X4402" s="6">
        <v>53.15</v>
      </c>
      <c r="Y4402" s="7">
        <v>56.813000000000002</v>
      </c>
      <c r="Z4402" s="7">
        <v>59.125</v>
      </c>
      <c r="AA4402" s="6">
        <v>31.28</v>
      </c>
      <c r="AB4402" s="7">
        <v>49.527000000000001</v>
      </c>
      <c r="AC4402" s="5">
        <v>925.8</v>
      </c>
    </row>
    <row r="4403" spans="1:29" ht="91" x14ac:dyDescent="0.15">
      <c r="A4403" s="3">
        <f>DATE(1999,1,26)</f>
        <v>36186</v>
      </c>
      <c r="B4403" s="3">
        <f>DATE(1999,2,17)</f>
        <v>36208</v>
      </c>
      <c r="C4403" s="2" t="s">
        <v>95</v>
      </c>
      <c r="D4403" s="2" t="s">
        <v>13697</v>
      </c>
      <c r="E4403" s="2" t="s">
        <v>13698</v>
      </c>
      <c r="F4403" s="4">
        <v>3577</v>
      </c>
      <c r="G4403" s="2" t="s">
        <v>50</v>
      </c>
      <c r="H4403" s="2" t="s">
        <v>34</v>
      </c>
      <c r="I4403" s="2" t="s">
        <v>13699</v>
      </c>
      <c r="J4403" s="2" t="s">
        <v>13700</v>
      </c>
      <c r="K4403" s="2" t="s">
        <v>364</v>
      </c>
      <c r="L4403" s="2" t="s">
        <v>34</v>
      </c>
      <c r="M4403" s="2"/>
      <c r="N4403" s="2"/>
      <c r="O4403" s="2"/>
      <c r="P4403" s="2" t="s">
        <v>13701</v>
      </c>
      <c r="Q4403" s="6">
        <v>84.37</v>
      </c>
      <c r="R4403" s="6">
        <v>0.1</v>
      </c>
      <c r="S4403" s="5">
        <v>-1.1000000000000001</v>
      </c>
      <c r="T4403" s="7">
        <v>-0.98499999999999999</v>
      </c>
      <c r="U4403" s="5">
        <v>0.1</v>
      </c>
      <c r="V4403" s="7">
        <v>-0.21099999999999999</v>
      </c>
      <c r="W4403" s="6">
        <v>26.25</v>
      </c>
      <c r="X4403" s="6">
        <v>26.25</v>
      </c>
      <c r="Y4403" s="6">
        <v>26.25</v>
      </c>
      <c r="Z4403" s="6">
        <v>26.25</v>
      </c>
      <c r="AA4403" s="6">
        <v>15.3</v>
      </c>
      <c r="AB4403" s="2" t="s">
        <v>86</v>
      </c>
      <c r="AC4403" s="2"/>
    </row>
    <row r="4404" spans="1:29" ht="117" x14ac:dyDescent="0.15">
      <c r="A4404" s="3">
        <f>DATE(1999,1,26)</f>
        <v>36186</v>
      </c>
      <c r="B4404" s="3">
        <f>DATE(1999,5,20)</f>
        <v>36300</v>
      </c>
      <c r="C4404" s="2" t="s">
        <v>95</v>
      </c>
      <c r="D4404" s="2" t="s">
        <v>12761</v>
      </c>
      <c r="E4404" s="2" t="s">
        <v>1181</v>
      </c>
      <c r="F4404" s="4">
        <v>6021</v>
      </c>
      <c r="G4404" s="2" t="s">
        <v>37</v>
      </c>
      <c r="H4404" s="2" t="s">
        <v>34</v>
      </c>
      <c r="I4404" s="2" t="s">
        <v>4381</v>
      </c>
      <c r="J4404" s="2" t="s">
        <v>263</v>
      </c>
      <c r="K4404" s="2" t="s">
        <v>37</v>
      </c>
      <c r="L4404" s="2" t="s">
        <v>34</v>
      </c>
      <c r="M4404" s="12">
        <v>1190.172</v>
      </c>
      <c r="N4404" s="5">
        <v>32.5</v>
      </c>
      <c r="O4404" s="5">
        <v>32.5</v>
      </c>
      <c r="P4404" s="2" t="s">
        <v>13702</v>
      </c>
      <c r="Q4404" s="6">
        <v>100</v>
      </c>
      <c r="R4404" s="6">
        <v>20.88</v>
      </c>
      <c r="S4404" s="5">
        <v>1.7</v>
      </c>
      <c r="T4404" s="7">
        <v>2.8260000000000001</v>
      </c>
      <c r="U4404" s="5">
        <v>15.1</v>
      </c>
      <c r="V4404" s="6">
        <v>0.76</v>
      </c>
      <c r="W4404" s="9">
        <v>19.9375</v>
      </c>
      <c r="X4404" s="6">
        <v>19.75</v>
      </c>
      <c r="Y4404" s="5">
        <v>19.5</v>
      </c>
      <c r="Z4404" s="6">
        <v>19.25</v>
      </c>
      <c r="AA4404" s="6">
        <v>2.48</v>
      </c>
      <c r="AB4404" s="7">
        <v>45.447000000000003</v>
      </c>
      <c r="AC4404" s="2"/>
    </row>
    <row r="4405" spans="1:29" ht="143" x14ac:dyDescent="0.15">
      <c r="A4405" s="3">
        <f>DATE(1999,1,27)</f>
        <v>36187</v>
      </c>
      <c r="B4405" s="2"/>
      <c r="C4405" s="2" t="s">
        <v>30</v>
      </c>
      <c r="D4405" s="2" t="s">
        <v>13703</v>
      </c>
      <c r="E4405" s="2" t="s">
        <v>13704</v>
      </c>
      <c r="F4405" s="4">
        <v>3357</v>
      </c>
      <c r="G4405" s="2" t="s">
        <v>163</v>
      </c>
      <c r="H4405" s="2" t="s">
        <v>34</v>
      </c>
      <c r="I4405" s="2" t="s">
        <v>8642</v>
      </c>
      <c r="J4405" s="2" t="s">
        <v>8643</v>
      </c>
      <c r="K4405" s="2" t="s">
        <v>137</v>
      </c>
      <c r="L4405" s="2" t="s">
        <v>34</v>
      </c>
      <c r="M4405" s="12">
        <v>2465.453</v>
      </c>
      <c r="N4405" s="7">
        <v>46.313000000000002</v>
      </c>
      <c r="O4405" s="6">
        <v>43.75</v>
      </c>
      <c r="P4405" s="2" t="s">
        <v>13705</v>
      </c>
      <c r="Q4405" s="2"/>
      <c r="R4405" s="6">
        <v>39.01</v>
      </c>
      <c r="S4405" s="5">
        <v>25.2</v>
      </c>
      <c r="T4405" s="7">
        <v>42.381</v>
      </c>
      <c r="U4405" s="5">
        <v>14.6</v>
      </c>
      <c r="V4405" s="6">
        <v>2</v>
      </c>
      <c r="W4405" s="6">
        <v>34.75</v>
      </c>
      <c r="X4405" s="4">
        <v>33</v>
      </c>
      <c r="Y4405" s="7">
        <v>35.125</v>
      </c>
      <c r="Z4405" s="7">
        <v>35.125</v>
      </c>
      <c r="AA4405" s="6">
        <v>12.74</v>
      </c>
      <c r="AB4405" s="7">
        <v>12.198</v>
      </c>
      <c r="AC4405" s="6">
        <v>106.51</v>
      </c>
    </row>
    <row r="4406" spans="1:29" ht="104" x14ac:dyDescent="0.15">
      <c r="A4406" s="3">
        <f>DATE(1999,1,27)</f>
        <v>36187</v>
      </c>
      <c r="B4406" s="3">
        <f>DATE(1999,7,12)</f>
        <v>36353</v>
      </c>
      <c r="C4406" s="2" t="s">
        <v>95</v>
      </c>
      <c r="D4406" s="2" t="s">
        <v>13706</v>
      </c>
      <c r="E4406" s="2" t="s">
        <v>32</v>
      </c>
      <c r="F4406" s="4">
        <v>6035</v>
      </c>
      <c r="G4406" s="2" t="s">
        <v>33</v>
      </c>
      <c r="H4406" s="2" t="s">
        <v>34</v>
      </c>
      <c r="I4406" s="2" t="s">
        <v>13707</v>
      </c>
      <c r="J4406" s="2" t="s">
        <v>36</v>
      </c>
      <c r="K4406" s="2" t="s">
        <v>37</v>
      </c>
      <c r="L4406" s="2" t="s">
        <v>34</v>
      </c>
      <c r="M4406" s="12">
        <v>11711.477999999999</v>
      </c>
      <c r="N4406" s="7">
        <v>37.188000000000002</v>
      </c>
      <c r="O4406" s="7">
        <v>38.063000000000002</v>
      </c>
      <c r="P4406" s="2" t="s">
        <v>13708</v>
      </c>
      <c r="Q4406" s="6">
        <v>100</v>
      </c>
      <c r="R4406" s="6">
        <v>41.47</v>
      </c>
      <c r="S4406" s="5">
        <v>7.2</v>
      </c>
      <c r="T4406" s="7">
        <v>11.532</v>
      </c>
      <c r="U4406" s="5">
        <v>13.2</v>
      </c>
      <c r="V4406" s="6">
        <v>2.42</v>
      </c>
      <c r="W4406" s="6">
        <v>26.75</v>
      </c>
      <c r="X4406" s="7">
        <v>30.125</v>
      </c>
      <c r="Y4406" s="7">
        <v>38.375</v>
      </c>
      <c r="Z4406" s="7">
        <v>38.563000000000002</v>
      </c>
      <c r="AA4406" s="6">
        <v>2.81</v>
      </c>
      <c r="AB4406" s="7">
        <v>11.802</v>
      </c>
      <c r="AC4406" s="2"/>
    </row>
    <row r="4407" spans="1:29" ht="117" x14ac:dyDescent="0.15">
      <c r="A4407" s="3">
        <f>DATE(1999,1,27)</f>
        <v>36187</v>
      </c>
      <c r="B4407" s="3">
        <f>DATE(1999,5,28)</f>
        <v>36308</v>
      </c>
      <c r="C4407" s="2" t="s">
        <v>95</v>
      </c>
      <c r="D4407" s="2" t="s">
        <v>13709</v>
      </c>
      <c r="E4407" s="2" t="s">
        <v>13710</v>
      </c>
      <c r="F4407" s="4">
        <v>7375</v>
      </c>
      <c r="G4407" s="2" t="s">
        <v>223</v>
      </c>
      <c r="H4407" s="2" t="s">
        <v>34</v>
      </c>
      <c r="I4407" s="2" t="s">
        <v>12515</v>
      </c>
      <c r="J4407" s="2" t="s">
        <v>12371</v>
      </c>
      <c r="K4407" s="2" t="s">
        <v>223</v>
      </c>
      <c r="L4407" s="2" t="s">
        <v>34</v>
      </c>
      <c r="M4407" s="12">
        <v>24142.234</v>
      </c>
      <c r="N4407" s="7">
        <v>335.875</v>
      </c>
      <c r="O4407" s="6">
        <v>367.75</v>
      </c>
      <c r="P4407" s="2" t="s">
        <v>13711</v>
      </c>
      <c r="Q4407" s="6">
        <v>100</v>
      </c>
      <c r="R4407" s="6">
        <v>118.86</v>
      </c>
      <c r="S4407" s="5">
        <v>-19.8</v>
      </c>
      <c r="T4407" s="7">
        <v>-19.326000000000001</v>
      </c>
      <c r="U4407" s="5">
        <v>3.7</v>
      </c>
      <c r="V4407" s="6">
        <v>-0.71</v>
      </c>
      <c r="W4407" s="4">
        <v>65</v>
      </c>
      <c r="X4407" s="4">
        <v>71</v>
      </c>
      <c r="Y4407" s="4">
        <v>75</v>
      </c>
      <c r="Z4407" s="6">
        <v>117.25</v>
      </c>
      <c r="AA4407" s="6">
        <v>31.45</v>
      </c>
      <c r="AB4407" s="2" t="s">
        <v>86</v>
      </c>
      <c r="AC4407" s="5">
        <v>433.5</v>
      </c>
    </row>
    <row r="4408" spans="1:29" ht="65" x14ac:dyDescent="0.15">
      <c r="A4408" s="3">
        <f>DATE(1999,1,28)</f>
        <v>36188</v>
      </c>
      <c r="B4408" s="3">
        <f>DATE(1999,1,28)</f>
        <v>36188</v>
      </c>
      <c r="C4408" s="2" t="s">
        <v>95</v>
      </c>
      <c r="D4408" s="2" t="s">
        <v>13712</v>
      </c>
      <c r="E4408" s="2" t="s">
        <v>1072</v>
      </c>
      <c r="F4408" s="4">
        <v>6799</v>
      </c>
      <c r="G4408" s="2" t="s">
        <v>53</v>
      </c>
      <c r="H4408" s="2" t="s">
        <v>34</v>
      </c>
      <c r="I4408" s="2" t="s">
        <v>13713</v>
      </c>
      <c r="J4408" s="2" t="s">
        <v>13714</v>
      </c>
      <c r="K4408" s="2" t="s">
        <v>551</v>
      </c>
      <c r="L4408" s="2" t="s">
        <v>34</v>
      </c>
      <c r="M4408" s="2"/>
      <c r="N4408" s="2"/>
      <c r="O4408" s="2"/>
      <c r="P4408" s="2" t="s">
        <v>13715</v>
      </c>
      <c r="Q4408" s="6">
        <v>100</v>
      </c>
      <c r="R4408" s="2"/>
      <c r="S4408" s="2"/>
      <c r="T4408" s="2"/>
      <c r="U4408" s="2"/>
      <c r="V4408" s="2"/>
      <c r="W4408" s="4">
        <v>2</v>
      </c>
      <c r="X4408" s="7">
        <v>7.125</v>
      </c>
      <c r="Y4408" s="7">
        <v>10.063000000000001</v>
      </c>
      <c r="Z4408" s="2"/>
      <c r="AA4408" s="2"/>
      <c r="AB4408" s="2" t="s">
        <v>47</v>
      </c>
      <c r="AC4408" s="2"/>
    </row>
    <row r="4409" spans="1:29" ht="130" x14ac:dyDescent="0.15">
      <c r="A4409" s="3">
        <f>DATE(1999,1,28)</f>
        <v>36188</v>
      </c>
      <c r="B4409" s="3">
        <f>DATE(1999,7,15)</f>
        <v>36356</v>
      </c>
      <c r="C4409" s="2" t="s">
        <v>95</v>
      </c>
      <c r="D4409" s="2" t="s">
        <v>5400</v>
      </c>
      <c r="E4409" s="2" t="s">
        <v>265</v>
      </c>
      <c r="F4409" s="4">
        <v>6021</v>
      </c>
      <c r="G4409" s="2" t="s">
        <v>37</v>
      </c>
      <c r="H4409" s="2" t="s">
        <v>34</v>
      </c>
      <c r="I4409" s="2" t="s">
        <v>13707</v>
      </c>
      <c r="J4409" s="2" t="s">
        <v>36</v>
      </c>
      <c r="K4409" s="2" t="s">
        <v>37</v>
      </c>
      <c r="L4409" s="2" t="s">
        <v>34</v>
      </c>
      <c r="M4409" s="12">
        <v>11729.808999999999</v>
      </c>
      <c r="N4409" s="7">
        <v>38.063000000000002</v>
      </c>
      <c r="O4409" s="6">
        <v>38.25</v>
      </c>
      <c r="P4409" s="2" t="s">
        <v>13716</v>
      </c>
      <c r="Q4409" s="6">
        <v>100</v>
      </c>
      <c r="R4409" s="6">
        <v>48.34</v>
      </c>
      <c r="S4409" s="5">
        <v>10.8</v>
      </c>
      <c r="T4409" s="7">
        <v>14.217000000000001</v>
      </c>
      <c r="U4409" s="5">
        <v>16.2</v>
      </c>
      <c r="V4409" s="6">
        <v>2.13</v>
      </c>
      <c r="W4409" s="6">
        <v>27.75</v>
      </c>
      <c r="X4409" s="6">
        <v>27.75</v>
      </c>
      <c r="Y4409" s="6">
        <v>47.25</v>
      </c>
      <c r="Z4409" s="7">
        <v>47.188000000000002</v>
      </c>
      <c r="AA4409" s="6">
        <v>5.0599999999999996</v>
      </c>
      <c r="AB4409" s="7">
        <v>48.838000000000001</v>
      </c>
      <c r="AC4409" s="2"/>
    </row>
    <row r="4410" spans="1:29" ht="91" x14ac:dyDescent="0.15">
      <c r="A4410" s="3">
        <f>DATE(1999,1,28)</f>
        <v>36188</v>
      </c>
      <c r="B4410" s="3">
        <f>DATE(1999,5,10)</f>
        <v>36290</v>
      </c>
      <c r="C4410" s="2" t="s">
        <v>95</v>
      </c>
      <c r="D4410" s="2" t="s">
        <v>13717</v>
      </c>
      <c r="E4410" s="2" t="s">
        <v>1882</v>
      </c>
      <c r="F4410" s="4">
        <v>7011</v>
      </c>
      <c r="G4410" s="2" t="s">
        <v>269</v>
      </c>
      <c r="H4410" s="2" t="s">
        <v>34</v>
      </c>
      <c r="I4410" s="2" t="s">
        <v>13718</v>
      </c>
      <c r="J4410" s="2" t="s">
        <v>92</v>
      </c>
      <c r="K4410" s="2" t="s">
        <v>53</v>
      </c>
      <c r="L4410" s="2" t="s">
        <v>34</v>
      </c>
      <c r="M4410" s="7">
        <v>88.132999999999996</v>
      </c>
      <c r="N4410" s="4">
        <v>9</v>
      </c>
      <c r="O4410" s="7">
        <v>9.3130000000000006</v>
      </c>
      <c r="P4410" s="2" t="s">
        <v>13719</v>
      </c>
      <c r="Q4410" s="6">
        <v>100</v>
      </c>
      <c r="R4410" s="6">
        <v>6.06</v>
      </c>
      <c r="S4410" s="5">
        <v>3.9</v>
      </c>
      <c r="T4410" s="7">
        <v>15.975</v>
      </c>
      <c r="U4410" s="5">
        <v>3.9</v>
      </c>
      <c r="V4410" s="6">
        <v>0.02</v>
      </c>
      <c r="W4410" s="7">
        <v>2.9380000000000002</v>
      </c>
      <c r="X4410" s="7">
        <v>3.875</v>
      </c>
      <c r="Y4410" s="7">
        <v>5.125</v>
      </c>
      <c r="Z4410" s="7">
        <v>5.3129999999999997</v>
      </c>
      <c r="AA4410" s="6">
        <v>2.11</v>
      </c>
      <c r="AB4410" s="7">
        <v>12.472</v>
      </c>
      <c r="AC4410" s="5">
        <v>0.5</v>
      </c>
    </row>
    <row r="4411" spans="1:29" ht="117" x14ac:dyDescent="0.15">
      <c r="A4411" s="3">
        <f>DATE(1999,1,29)</f>
        <v>36189</v>
      </c>
      <c r="B4411" s="3">
        <f>DATE(2000,4,19)</f>
        <v>36635</v>
      </c>
      <c r="C4411" s="2" t="s">
        <v>95</v>
      </c>
      <c r="D4411" s="2" t="s">
        <v>13720</v>
      </c>
      <c r="E4411" s="2" t="s">
        <v>438</v>
      </c>
      <c r="F4411" s="4">
        <v>4911</v>
      </c>
      <c r="G4411" s="2" t="s">
        <v>439</v>
      </c>
      <c r="H4411" s="2" t="s">
        <v>34</v>
      </c>
      <c r="I4411" s="2" t="s">
        <v>13444</v>
      </c>
      <c r="J4411" s="2" t="s">
        <v>1888</v>
      </c>
      <c r="K4411" s="2" t="s">
        <v>439</v>
      </c>
      <c r="L4411" s="2" t="s">
        <v>34</v>
      </c>
      <c r="M4411" s="12">
        <v>2879.9250000000002</v>
      </c>
      <c r="N4411" s="7">
        <v>48.938000000000002</v>
      </c>
      <c r="O4411" s="4">
        <v>49</v>
      </c>
      <c r="P4411" s="2" t="s">
        <v>13721</v>
      </c>
      <c r="Q4411" s="6">
        <v>100</v>
      </c>
      <c r="R4411" s="6">
        <v>31.43</v>
      </c>
      <c r="S4411" s="5">
        <v>39.1</v>
      </c>
      <c r="T4411" s="7">
        <v>127.672</v>
      </c>
      <c r="U4411" s="5">
        <v>18.3</v>
      </c>
      <c r="V4411" s="6">
        <v>1.8</v>
      </c>
      <c r="W4411" s="7">
        <v>28.625</v>
      </c>
      <c r="X4411" s="4">
        <v>30</v>
      </c>
      <c r="Y4411" s="9">
        <v>29.5625</v>
      </c>
      <c r="Z4411" s="7">
        <v>28.625</v>
      </c>
      <c r="AA4411" s="6">
        <v>20.440000000000001</v>
      </c>
      <c r="AB4411" s="7">
        <v>15.834</v>
      </c>
      <c r="AC4411" s="6">
        <v>200.99</v>
      </c>
    </row>
    <row r="4412" spans="1:29" ht="91" x14ac:dyDescent="0.15">
      <c r="A4412" s="3">
        <f>DATE(1999,1,29)</f>
        <v>36189</v>
      </c>
      <c r="B4412" s="3">
        <f>DATE(1999,8,9)</f>
        <v>36381</v>
      </c>
      <c r="C4412" s="2" t="s">
        <v>95</v>
      </c>
      <c r="D4412" s="2" t="s">
        <v>7421</v>
      </c>
      <c r="E4412" s="2" t="s">
        <v>7422</v>
      </c>
      <c r="F4412" s="4">
        <v>5812</v>
      </c>
      <c r="G4412" s="2" t="s">
        <v>230</v>
      </c>
      <c r="H4412" s="2" t="s">
        <v>34</v>
      </c>
      <c r="I4412" s="2" t="s">
        <v>9182</v>
      </c>
      <c r="J4412" s="2" t="s">
        <v>3900</v>
      </c>
      <c r="K4412" s="2" t="s">
        <v>230</v>
      </c>
      <c r="L4412" s="2" t="s">
        <v>34</v>
      </c>
      <c r="M4412" s="7">
        <v>25.253</v>
      </c>
      <c r="N4412" s="7">
        <v>0.438</v>
      </c>
      <c r="O4412" s="7">
        <v>0.53100000000000003</v>
      </c>
      <c r="P4412" s="2" t="s">
        <v>13722</v>
      </c>
      <c r="Q4412" s="6">
        <v>100</v>
      </c>
      <c r="R4412" s="6">
        <v>1.06</v>
      </c>
      <c r="S4412" s="5">
        <v>-7.5</v>
      </c>
      <c r="T4412" s="7">
        <v>13.513999999999999</v>
      </c>
      <c r="U4412" s="5">
        <v>1.2</v>
      </c>
      <c r="V4412" s="6">
        <v>-0.28000000000000003</v>
      </c>
      <c r="W4412" s="7">
        <v>1.1879999999999999</v>
      </c>
      <c r="X4412" s="7">
        <v>1.0309999999999999</v>
      </c>
      <c r="Y4412" s="4">
        <v>1</v>
      </c>
      <c r="Z4412" s="11">
        <v>0.90625</v>
      </c>
      <c r="AA4412" s="6">
        <v>29.33</v>
      </c>
      <c r="AB4412" s="7">
        <v>31.846</v>
      </c>
      <c r="AC4412" s="6">
        <v>7.42</v>
      </c>
    </row>
    <row r="4413" spans="1:29" ht="78" x14ac:dyDescent="0.15">
      <c r="A4413" s="3">
        <f>DATE(1999,1,29)</f>
        <v>36189</v>
      </c>
      <c r="B4413" s="3">
        <f>DATE(1999,6,18)</f>
        <v>36329</v>
      </c>
      <c r="C4413" s="2" t="s">
        <v>95</v>
      </c>
      <c r="D4413" s="2" t="s">
        <v>13723</v>
      </c>
      <c r="E4413" s="2" t="s">
        <v>1563</v>
      </c>
      <c r="F4413" s="4">
        <v>6411</v>
      </c>
      <c r="G4413" s="2" t="s">
        <v>125</v>
      </c>
      <c r="H4413" s="2" t="s">
        <v>34</v>
      </c>
      <c r="I4413" s="2" t="s">
        <v>13724</v>
      </c>
      <c r="J4413" s="2" t="s">
        <v>13725</v>
      </c>
      <c r="K4413" s="2" t="s">
        <v>37</v>
      </c>
      <c r="L4413" s="2" t="s">
        <v>34</v>
      </c>
      <c r="M4413" s="2"/>
      <c r="N4413" s="2"/>
      <c r="O4413" s="2"/>
      <c r="P4413" s="2" t="s">
        <v>13726</v>
      </c>
      <c r="Q4413" s="6">
        <v>100</v>
      </c>
      <c r="R4413" s="6">
        <v>3.5</v>
      </c>
      <c r="S4413" s="5">
        <v>0.3</v>
      </c>
      <c r="T4413" s="7">
        <v>0.752</v>
      </c>
      <c r="U4413" s="5">
        <v>2.7</v>
      </c>
      <c r="V4413" s="7">
        <v>0.11700000000000001</v>
      </c>
      <c r="W4413" s="6">
        <v>2.75</v>
      </c>
      <c r="X4413" s="7">
        <v>2.625</v>
      </c>
      <c r="Y4413" s="7">
        <v>3.125</v>
      </c>
      <c r="Z4413" s="7">
        <v>3.1880000000000002</v>
      </c>
      <c r="AA4413" s="6">
        <v>2.76</v>
      </c>
      <c r="AB4413" s="7">
        <v>79.403999999999996</v>
      </c>
      <c r="AC4413" s="2"/>
    </row>
    <row r="4414" spans="1:29" ht="39" x14ac:dyDescent="0.15">
      <c r="A4414" s="3">
        <f>DATE(1999,2,1)</f>
        <v>36192</v>
      </c>
      <c r="B4414" s="3">
        <f>DATE(1999,4,9)</f>
        <v>36259</v>
      </c>
      <c r="C4414" s="2" t="s">
        <v>95</v>
      </c>
      <c r="D4414" s="2" t="s">
        <v>13727</v>
      </c>
      <c r="E4414" s="2" t="s">
        <v>13728</v>
      </c>
      <c r="F4414" s="4">
        <v>3052</v>
      </c>
      <c r="G4414" s="2" t="s">
        <v>447</v>
      </c>
      <c r="H4414" s="2" t="s">
        <v>34</v>
      </c>
      <c r="I4414" s="2" t="s">
        <v>13729</v>
      </c>
      <c r="J4414" s="2" t="s">
        <v>8643</v>
      </c>
      <c r="K4414" s="2" t="s">
        <v>300</v>
      </c>
      <c r="L4414" s="2" t="s">
        <v>34</v>
      </c>
      <c r="M4414" s="12">
        <v>5100.6729999999998</v>
      </c>
      <c r="N4414" s="7">
        <v>66.813000000000002</v>
      </c>
      <c r="O4414" s="5">
        <v>64.5</v>
      </c>
      <c r="P4414" s="2" t="s">
        <v>13730</v>
      </c>
      <c r="Q4414" s="6">
        <v>100</v>
      </c>
      <c r="R4414" s="6">
        <v>58</v>
      </c>
      <c r="S4414" s="5">
        <v>100.3</v>
      </c>
      <c r="T4414" s="7">
        <v>271.02699999999999</v>
      </c>
      <c r="U4414" s="5">
        <v>20.6</v>
      </c>
      <c r="V4414" s="6">
        <v>3.56</v>
      </c>
      <c r="W4414" s="5">
        <v>34.5</v>
      </c>
      <c r="X4414" s="6">
        <v>35.25</v>
      </c>
      <c r="Y4414" s="4">
        <v>56</v>
      </c>
      <c r="Z4414" s="7">
        <v>55.813000000000002</v>
      </c>
      <c r="AA4414" s="6">
        <v>27.73</v>
      </c>
      <c r="AB4414" s="7">
        <v>10.398999999999999</v>
      </c>
      <c r="AC4414" s="5">
        <v>122</v>
      </c>
    </row>
    <row r="4415" spans="1:29" ht="104" x14ac:dyDescent="0.15">
      <c r="A4415" s="3">
        <f>DATE(1999,2,1)</f>
        <v>36192</v>
      </c>
      <c r="B4415" s="2"/>
      <c r="C4415" s="2" t="s">
        <v>30</v>
      </c>
      <c r="D4415" s="2" t="s">
        <v>13731</v>
      </c>
      <c r="E4415" s="2" t="s">
        <v>9239</v>
      </c>
      <c r="F4415" s="4">
        <v>7373</v>
      </c>
      <c r="G4415" s="2" t="s">
        <v>223</v>
      </c>
      <c r="H4415" s="2" t="s">
        <v>34</v>
      </c>
      <c r="I4415" s="2" t="s">
        <v>13732</v>
      </c>
      <c r="J4415" s="2" t="s">
        <v>13733</v>
      </c>
      <c r="K4415" s="2" t="s">
        <v>551</v>
      </c>
      <c r="L4415" s="2" t="s">
        <v>34</v>
      </c>
      <c r="M4415" s="7">
        <v>148.41800000000001</v>
      </c>
      <c r="N4415" s="6">
        <v>10.25</v>
      </c>
      <c r="O4415" s="6">
        <v>10.25</v>
      </c>
      <c r="P4415" s="2" t="s">
        <v>13734</v>
      </c>
      <c r="Q4415" s="2"/>
      <c r="R4415" s="2"/>
      <c r="S4415" s="5">
        <v>-3.7</v>
      </c>
      <c r="T4415" s="7">
        <v>-0.442</v>
      </c>
      <c r="U4415" s="5">
        <v>0.3</v>
      </c>
      <c r="V4415" s="6">
        <v>-0.76</v>
      </c>
      <c r="W4415" s="7">
        <v>1.3129999999999999</v>
      </c>
      <c r="X4415" s="7">
        <v>1.5629999999999999</v>
      </c>
      <c r="Y4415" s="7">
        <v>2.625</v>
      </c>
      <c r="Z4415" s="7">
        <v>2.3130000000000002</v>
      </c>
      <c r="AA4415" s="6">
        <v>4.8600000000000003</v>
      </c>
      <c r="AB4415" s="2" t="s">
        <v>86</v>
      </c>
      <c r="AC4415" s="6">
        <v>2.96</v>
      </c>
    </row>
    <row r="4416" spans="1:29" ht="78" x14ac:dyDescent="0.15">
      <c r="A4416" s="3">
        <f>DATE(1999,2,1)</f>
        <v>36192</v>
      </c>
      <c r="B4416" s="3">
        <f>DATE(1999,5,21)</f>
        <v>36301</v>
      </c>
      <c r="C4416" s="2" t="s">
        <v>95</v>
      </c>
      <c r="D4416" s="2" t="s">
        <v>13735</v>
      </c>
      <c r="E4416" s="2" t="s">
        <v>13736</v>
      </c>
      <c r="F4416" s="4">
        <v>4813</v>
      </c>
      <c r="G4416" s="2" t="s">
        <v>63</v>
      </c>
      <c r="H4416" s="2" t="s">
        <v>34</v>
      </c>
      <c r="I4416" s="2" t="s">
        <v>3738</v>
      </c>
      <c r="J4416" s="2" t="s">
        <v>9012</v>
      </c>
      <c r="K4416" s="2" t="s">
        <v>223</v>
      </c>
      <c r="L4416" s="2" t="s">
        <v>34</v>
      </c>
      <c r="M4416" s="12">
        <v>34088.991000000002</v>
      </c>
      <c r="N4416" s="7">
        <v>171.18799999999999</v>
      </c>
      <c r="O4416" s="5">
        <v>167.5</v>
      </c>
      <c r="P4416" s="2" t="s">
        <v>13737</v>
      </c>
      <c r="Q4416" s="6">
        <v>100</v>
      </c>
      <c r="R4416" s="6">
        <v>29.25</v>
      </c>
      <c r="S4416" s="5">
        <v>-2.2000000000000002</v>
      </c>
      <c r="T4416" s="7">
        <v>-1.9490000000000001</v>
      </c>
      <c r="U4416" s="5">
        <v>1.1000000000000001</v>
      </c>
      <c r="V4416" s="6">
        <v>-0.18</v>
      </c>
      <c r="W4416" s="6">
        <v>21.25</v>
      </c>
      <c r="X4416" s="4">
        <v>25</v>
      </c>
      <c r="Y4416" s="5">
        <v>26.5</v>
      </c>
      <c r="Z4416" s="5">
        <v>30.5</v>
      </c>
      <c r="AA4416" s="6">
        <v>12.4</v>
      </c>
      <c r="AB4416" s="2" t="s">
        <v>86</v>
      </c>
      <c r="AC4416" s="5">
        <v>631</v>
      </c>
    </row>
    <row r="4417" spans="1:29" ht="195" x14ac:dyDescent="0.15">
      <c r="A4417" s="3">
        <f>DATE(1999,2,2)</f>
        <v>36193</v>
      </c>
      <c r="B4417" s="2"/>
      <c r="C4417" s="2" t="s">
        <v>30</v>
      </c>
      <c r="D4417" s="2" t="s">
        <v>7185</v>
      </c>
      <c r="E4417" s="2" t="s">
        <v>7186</v>
      </c>
      <c r="F4417" s="4">
        <v>4581</v>
      </c>
      <c r="G4417" s="2" t="s">
        <v>59</v>
      </c>
      <c r="H4417" s="2" t="s">
        <v>34</v>
      </c>
      <c r="I4417" s="2" t="s">
        <v>13738</v>
      </c>
      <c r="J4417" s="2" t="s">
        <v>13739</v>
      </c>
      <c r="K4417" s="2" t="s">
        <v>59</v>
      </c>
      <c r="L4417" s="2" t="s">
        <v>34</v>
      </c>
      <c r="M4417" s="2"/>
      <c r="N4417" s="2"/>
      <c r="O4417" s="2"/>
      <c r="P4417" s="2" t="s">
        <v>13740</v>
      </c>
      <c r="Q4417" s="2"/>
      <c r="R4417" s="6">
        <v>72</v>
      </c>
      <c r="S4417" s="5">
        <v>5.3</v>
      </c>
      <c r="T4417" s="6">
        <v>-2.06</v>
      </c>
      <c r="U4417" s="5">
        <v>39.200000000000003</v>
      </c>
      <c r="V4417" s="6">
        <v>2.99</v>
      </c>
      <c r="W4417" s="4">
        <v>55</v>
      </c>
      <c r="X4417" s="7">
        <v>54.625</v>
      </c>
      <c r="Y4417" s="7">
        <v>56.375</v>
      </c>
      <c r="Z4417" s="6">
        <v>57.25</v>
      </c>
      <c r="AA4417" s="6">
        <v>1.74</v>
      </c>
      <c r="AB4417" s="2" t="s">
        <v>86</v>
      </c>
      <c r="AC4417" s="2"/>
    </row>
    <row r="4418" spans="1:29" ht="104" x14ac:dyDescent="0.15">
      <c r="A4418" s="3">
        <f>DATE(1999,2,2)</f>
        <v>36193</v>
      </c>
      <c r="B4418" s="3">
        <f>DATE(1999,9,30)</f>
        <v>36433</v>
      </c>
      <c r="C4418" s="2" t="s">
        <v>95</v>
      </c>
      <c r="D4418" s="2" t="s">
        <v>13741</v>
      </c>
      <c r="E4418" s="2" t="s">
        <v>36</v>
      </c>
      <c r="F4418" s="4">
        <v>6035</v>
      </c>
      <c r="G4418" s="2" t="s">
        <v>33</v>
      </c>
      <c r="H4418" s="2" t="s">
        <v>34</v>
      </c>
      <c r="I4418" s="2" t="s">
        <v>13742</v>
      </c>
      <c r="J4418" s="2" t="s">
        <v>263</v>
      </c>
      <c r="K4418" s="2" t="s">
        <v>37</v>
      </c>
      <c r="L4418" s="2" t="s">
        <v>34</v>
      </c>
      <c r="M4418" s="7">
        <v>61.732999999999997</v>
      </c>
      <c r="N4418" s="4">
        <v>17</v>
      </c>
      <c r="O4418" s="7">
        <v>16.375</v>
      </c>
      <c r="P4418" s="2" t="s">
        <v>13743</v>
      </c>
      <c r="Q4418" s="6">
        <v>100</v>
      </c>
      <c r="R4418" s="6">
        <v>16.88</v>
      </c>
      <c r="S4418" s="5">
        <v>1.4</v>
      </c>
      <c r="T4418" s="7">
        <v>1.9770000000000001</v>
      </c>
      <c r="U4418" s="5">
        <v>11.2</v>
      </c>
      <c r="V4418" s="6">
        <v>1.25</v>
      </c>
      <c r="W4418" s="7">
        <v>12.125</v>
      </c>
      <c r="X4418" s="6">
        <v>11.75</v>
      </c>
      <c r="Y4418" s="7">
        <v>11.625</v>
      </c>
      <c r="Z4418" s="4">
        <v>16</v>
      </c>
      <c r="AA4418" s="6">
        <v>1.08</v>
      </c>
      <c r="AB4418" s="7">
        <v>34.890999999999998</v>
      </c>
      <c r="AC4418" s="6">
        <v>9.2899999999999991</v>
      </c>
    </row>
    <row r="4419" spans="1:29" ht="130" x14ac:dyDescent="0.15">
      <c r="A4419" s="3">
        <f>DATE(1999,2,4)</f>
        <v>36195</v>
      </c>
      <c r="B4419" s="3">
        <f>DATE(1999,8,31)</f>
        <v>36403</v>
      </c>
      <c r="C4419" s="2" t="s">
        <v>95</v>
      </c>
      <c r="D4419" s="2" t="s">
        <v>13744</v>
      </c>
      <c r="E4419" s="2" t="s">
        <v>32</v>
      </c>
      <c r="F4419" s="4">
        <v>6035</v>
      </c>
      <c r="G4419" s="2" t="s">
        <v>33</v>
      </c>
      <c r="H4419" s="2" t="s">
        <v>34</v>
      </c>
      <c r="I4419" s="2" t="s">
        <v>13745</v>
      </c>
      <c r="J4419" s="2" t="s">
        <v>263</v>
      </c>
      <c r="K4419" s="2" t="s">
        <v>37</v>
      </c>
      <c r="L4419" s="2" t="s">
        <v>34</v>
      </c>
      <c r="M4419" s="5">
        <v>124.8</v>
      </c>
      <c r="N4419" s="7">
        <v>25.625</v>
      </c>
      <c r="O4419" s="7">
        <v>25.562999999999999</v>
      </c>
      <c r="P4419" s="2" t="s">
        <v>13746</v>
      </c>
      <c r="Q4419" s="6">
        <v>100</v>
      </c>
      <c r="R4419" s="6">
        <v>29.27</v>
      </c>
      <c r="S4419" s="5">
        <v>1.6</v>
      </c>
      <c r="T4419" s="7">
        <v>2.673</v>
      </c>
      <c r="U4419" s="5">
        <v>14.8</v>
      </c>
      <c r="V4419" s="6">
        <v>1.03</v>
      </c>
      <c r="W4419" s="5">
        <v>25.5</v>
      </c>
      <c r="X4419" s="4">
        <v>24</v>
      </c>
      <c r="Y4419" s="4">
        <v>29</v>
      </c>
      <c r="Z4419" s="4">
        <v>29</v>
      </c>
      <c r="AA4419" s="6">
        <v>1.58</v>
      </c>
      <c r="AB4419" s="7">
        <v>22.739000000000001</v>
      </c>
      <c r="AC4419" s="2"/>
    </row>
    <row r="4420" spans="1:29" ht="130" x14ac:dyDescent="0.15">
      <c r="A4420" s="3">
        <f>DATE(1999,2,8)</f>
        <v>36199</v>
      </c>
      <c r="B4420" s="3">
        <f>DATE(1999,3,24)</f>
        <v>36243</v>
      </c>
      <c r="C4420" s="2" t="s">
        <v>95</v>
      </c>
      <c r="D4420" s="2" t="s">
        <v>13747</v>
      </c>
      <c r="E4420" s="2" t="s">
        <v>13183</v>
      </c>
      <c r="F4420" s="4">
        <v>7371</v>
      </c>
      <c r="G4420" s="2" t="s">
        <v>223</v>
      </c>
      <c r="H4420" s="2" t="s">
        <v>34</v>
      </c>
      <c r="I4420" s="2" t="s">
        <v>2244</v>
      </c>
      <c r="J4420" s="2" t="s">
        <v>2245</v>
      </c>
      <c r="K4420" s="2" t="s">
        <v>551</v>
      </c>
      <c r="L4420" s="2" t="s">
        <v>34</v>
      </c>
      <c r="M4420" s="12">
        <v>25590.554</v>
      </c>
      <c r="N4420" s="7">
        <v>45.875</v>
      </c>
      <c r="O4420" s="4">
        <v>44</v>
      </c>
      <c r="P4420" s="2" t="s">
        <v>13748</v>
      </c>
      <c r="Q4420" s="6">
        <v>100</v>
      </c>
      <c r="R4420" s="6">
        <v>28</v>
      </c>
      <c r="S4420" s="5">
        <v>9.3000000000000007</v>
      </c>
      <c r="T4420" s="7">
        <v>14.750999999999999</v>
      </c>
      <c r="U4420" s="5">
        <v>4.7</v>
      </c>
      <c r="V4420" s="6">
        <v>0.61</v>
      </c>
      <c r="W4420" s="4">
        <v>17</v>
      </c>
      <c r="X4420" s="5">
        <v>23.5</v>
      </c>
      <c r="Y4420" s="7">
        <v>27.562999999999999</v>
      </c>
      <c r="Z4420" s="7">
        <v>27.562999999999999</v>
      </c>
      <c r="AA4420" s="6">
        <v>14.63</v>
      </c>
      <c r="AB4420" s="7">
        <v>27.263999999999999</v>
      </c>
      <c r="AC4420" s="2"/>
    </row>
    <row r="4421" spans="1:29" ht="91" x14ac:dyDescent="0.15">
      <c r="A4421" s="3">
        <f>DATE(1999,2,8)</f>
        <v>36199</v>
      </c>
      <c r="B4421" s="3">
        <f>DATE(1999,7,20)</f>
        <v>36361</v>
      </c>
      <c r="C4421" s="2" t="s">
        <v>95</v>
      </c>
      <c r="D4421" s="2" t="s">
        <v>13749</v>
      </c>
      <c r="E4421" s="2" t="s">
        <v>13750</v>
      </c>
      <c r="F4421" s="4">
        <v>6351</v>
      </c>
      <c r="G4421" s="2" t="s">
        <v>125</v>
      </c>
      <c r="H4421" s="2" t="s">
        <v>34</v>
      </c>
      <c r="I4421" s="2" t="s">
        <v>13751</v>
      </c>
      <c r="J4421" s="2" t="s">
        <v>13752</v>
      </c>
      <c r="K4421" s="2" t="s">
        <v>125</v>
      </c>
      <c r="L4421" s="2" t="s">
        <v>34</v>
      </c>
      <c r="M4421" s="12">
        <v>10469.098</v>
      </c>
      <c r="N4421" s="7">
        <v>55.438000000000002</v>
      </c>
      <c r="O4421" s="7">
        <v>55.875</v>
      </c>
      <c r="P4421" s="2" t="s">
        <v>13753</v>
      </c>
      <c r="Q4421" s="6">
        <v>100</v>
      </c>
      <c r="R4421" s="6">
        <v>71.709999999999994</v>
      </c>
      <c r="S4421" s="5">
        <v>43.4</v>
      </c>
      <c r="T4421" s="2"/>
      <c r="U4421" s="5">
        <v>26.1</v>
      </c>
      <c r="V4421" s="6">
        <v>3.71</v>
      </c>
      <c r="W4421" s="6">
        <v>46.81</v>
      </c>
      <c r="X4421" s="4">
        <v>44</v>
      </c>
      <c r="Y4421" s="7">
        <v>65.125</v>
      </c>
      <c r="Z4421" s="5">
        <v>65.5</v>
      </c>
      <c r="AA4421" s="6">
        <v>11.1</v>
      </c>
      <c r="AB4421" s="7">
        <v>13.938000000000001</v>
      </c>
      <c r="AC4421" s="5">
        <v>8.3000000000000007</v>
      </c>
    </row>
    <row r="4422" spans="1:29" ht="130" x14ac:dyDescent="0.15">
      <c r="A4422" s="3">
        <f>DATE(1999,2,9)</f>
        <v>36200</v>
      </c>
      <c r="B4422" s="3">
        <f>DATE(1999,7,1)</f>
        <v>36342</v>
      </c>
      <c r="C4422" s="2" t="s">
        <v>95</v>
      </c>
      <c r="D4422" s="2" t="s">
        <v>13754</v>
      </c>
      <c r="E4422" s="2" t="s">
        <v>8908</v>
      </c>
      <c r="F4422" s="4">
        <v>3421</v>
      </c>
      <c r="G4422" s="2" t="s">
        <v>163</v>
      </c>
      <c r="H4422" s="2" t="s">
        <v>34</v>
      </c>
      <c r="I4422" s="2" t="s">
        <v>8914</v>
      </c>
      <c r="J4422" s="2" t="s">
        <v>678</v>
      </c>
      <c r="K4422" s="2" t="s">
        <v>53</v>
      </c>
      <c r="L4422" s="2" t="s">
        <v>34</v>
      </c>
      <c r="M4422" s="2"/>
      <c r="N4422" s="2"/>
      <c r="O4422" s="2"/>
      <c r="P4422" s="2" t="s">
        <v>13755</v>
      </c>
      <c r="Q4422" s="6">
        <v>100</v>
      </c>
      <c r="R4422" s="6">
        <v>14.2</v>
      </c>
      <c r="S4422" s="5">
        <v>11.3</v>
      </c>
      <c r="T4422" s="7">
        <v>42.805</v>
      </c>
      <c r="U4422" s="5">
        <v>5.9</v>
      </c>
      <c r="V4422" s="6">
        <v>0.93</v>
      </c>
      <c r="W4422" s="4">
        <v>11</v>
      </c>
      <c r="X4422" s="7">
        <v>10.625</v>
      </c>
      <c r="Y4422" s="6">
        <v>10.75</v>
      </c>
      <c r="Z4422" s="7">
        <v>10.625</v>
      </c>
      <c r="AA4422" s="6">
        <v>12.11</v>
      </c>
      <c r="AB4422" s="7">
        <v>9.7110000000000003</v>
      </c>
      <c r="AC4422" s="2"/>
    </row>
    <row r="4423" spans="1:29" ht="221" x14ac:dyDescent="0.15">
      <c r="A4423" s="3">
        <f>DATE(1999,2,9)</f>
        <v>36200</v>
      </c>
      <c r="B4423" s="3">
        <f>DATE(1999,7,8)</f>
        <v>36349</v>
      </c>
      <c r="C4423" s="2" t="s">
        <v>95</v>
      </c>
      <c r="D4423" s="2" t="s">
        <v>13756</v>
      </c>
      <c r="E4423" s="2" t="s">
        <v>13757</v>
      </c>
      <c r="F4423" s="4">
        <v>5812</v>
      </c>
      <c r="G4423" s="2" t="s">
        <v>230</v>
      </c>
      <c r="H4423" s="2" t="s">
        <v>34</v>
      </c>
      <c r="I4423" s="2" t="s">
        <v>13758</v>
      </c>
      <c r="J4423" s="2" t="s">
        <v>13759</v>
      </c>
      <c r="K4423" s="2" t="s">
        <v>577</v>
      </c>
      <c r="L4423" s="2" t="s">
        <v>34</v>
      </c>
      <c r="M4423" s="7">
        <v>24.704000000000001</v>
      </c>
      <c r="N4423" s="4">
        <v>5</v>
      </c>
      <c r="O4423" s="7">
        <v>5.9379999999999997</v>
      </c>
      <c r="P4423" s="2" t="s">
        <v>13760</v>
      </c>
      <c r="Q4423" s="6">
        <v>100</v>
      </c>
      <c r="R4423" s="6">
        <v>2.92</v>
      </c>
      <c r="S4423" s="5">
        <v>-0.9</v>
      </c>
      <c r="T4423" s="7">
        <v>1.1639999999999999</v>
      </c>
      <c r="U4423" s="5">
        <v>4.0999999999999996</v>
      </c>
      <c r="V4423" s="6">
        <v>-0.14000000000000001</v>
      </c>
      <c r="W4423" s="5">
        <v>1.5</v>
      </c>
      <c r="X4423" s="7">
        <v>1.1879999999999999</v>
      </c>
      <c r="Y4423" s="7">
        <v>2.0310000000000001</v>
      </c>
      <c r="Z4423" s="7">
        <v>1.9379999999999999</v>
      </c>
      <c r="AA4423" s="6">
        <v>10.76</v>
      </c>
      <c r="AB4423" s="2" t="s">
        <v>86</v>
      </c>
      <c r="AC4423" s="6">
        <v>1.2</v>
      </c>
    </row>
    <row r="4424" spans="1:29" ht="234" x14ac:dyDescent="0.15">
      <c r="A4424" s="3">
        <f>DATE(1999,2,9)</f>
        <v>36200</v>
      </c>
      <c r="B4424" s="2"/>
      <c r="C4424" s="2" t="s">
        <v>30</v>
      </c>
      <c r="D4424" s="2" t="s">
        <v>13761</v>
      </c>
      <c r="E4424" s="2" t="s">
        <v>7938</v>
      </c>
      <c r="F4424" s="4">
        <v>7375</v>
      </c>
      <c r="G4424" s="2" t="s">
        <v>223</v>
      </c>
      <c r="H4424" s="2" t="s">
        <v>34</v>
      </c>
      <c r="I4424" s="2" t="s">
        <v>13762</v>
      </c>
      <c r="J4424" s="2" t="s">
        <v>13763</v>
      </c>
      <c r="K4424" s="2" t="s">
        <v>45</v>
      </c>
      <c r="L4424" s="2" t="s">
        <v>34</v>
      </c>
      <c r="M4424" s="2"/>
      <c r="N4424" s="2"/>
      <c r="O4424" s="2"/>
      <c r="P4424" s="2" t="s">
        <v>13764</v>
      </c>
      <c r="Q4424" s="2"/>
      <c r="R4424" s="2"/>
      <c r="S4424" s="5">
        <v>-121.3</v>
      </c>
      <c r="T4424" s="7">
        <v>-26.352</v>
      </c>
      <c r="U4424" s="5">
        <v>3.6</v>
      </c>
      <c r="V4424" s="9">
        <v>-1.8525</v>
      </c>
      <c r="W4424" s="7">
        <v>133.93799999999999</v>
      </c>
      <c r="X4424" s="6">
        <v>127.25</v>
      </c>
      <c r="Y4424" s="6">
        <v>94.25</v>
      </c>
      <c r="Z4424" s="6">
        <v>87.25</v>
      </c>
      <c r="AA4424" s="2"/>
      <c r="AB4424" s="2" t="s">
        <v>86</v>
      </c>
      <c r="AC4424" s="6">
        <v>445.36</v>
      </c>
    </row>
    <row r="4425" spans="1:29" ht="26" x14ac:dyDescent="0.15">
      <c r="A4425" s="3">
        <f>DATE(1999,2,9)</f>
        <v>36200</v>
      </c>
      <c r="B4425" s="3">
        <f>DATE(1999,3,3)</f>
        <v>36222</v>
      </c>
      <c r="C4425" s="2" t="s">
        <v>95</v>
      </c>
      <c r="D4425" s="2" t="s">
        <v>13765</v>
      </c>
      <c r="E4425" s="2" t="s">
        <v>13766</v>
      </c>
      <c r="F4425" s="4">
        <v>7375</v>
      </c>
      <c r="G4425" s="2" t="s">
        <v>223</v>
      </c>
      <c r="H4425" s="2" t="s">
        <v>34</v>
      </c>
      <c r="I4425" s="2" t="s">
        <v>13767</v>
      </c>
      <c r="J4425" s="2" t="s">
        <v>13768</v>
      </c>
      <c r="K4425" s="2" t="s">
        <v>223</v>
      </c>
      <c r="L4425" s="2" t="s">
        <v>34</v>
      </c>
      <c r="M4425" s="2"/>
      <c r="N4425" s="2"/>
      <c r="O4425" s="2"/>
      <c r="P4425" s="2" t="s">
        <v>13769</v>
      </c>
      <c r="Q4425" s="6">
        <v>100</v>
      </c>
      <c r="R4425" s="2"/>
      <c r="S4425" s="5">
        <v>0</v>
      </c>
      <c r="T4425" s="2"/>
      <c r="U4425" s="5">
        <v>17.100000000000001</v>
      </c>
      <c r="V4425" s="6">
        <v>-160</v>
      </c>
      <c r="W4425" s="5">
        <v>6.5</v>
      </c>
      <c r="X4425" s="7">
        <v>5.625</v>
      </c>
      <c r="Y4425" s="7">
        <v>6.0629999999999997</v>
      </c>
      <c r="Z4425" s="4">
        <v>6</v>
      </c>
      <c r="AA4425" s="2"/>
      <c r="AB4425" s="2" t="s">
        <v>86</v>
      </c>
      <c r="AC4425" s="2"/>
    </row>
    <row r="4426" spans="1:29" ht="117" x14ac:dyDescent="0.15">
      <c r="A4426" s="3">
        <f>DATE(1999,2,9)</f>
        <v>36200</v>
      </c>
      <c r="B4426" s="2"/>
      <c r="C4426" s="2" t="s">
        <v>30</v>
      </c>
      <c r="D4426" s="2" t="s">
        <v>13188</v>
      </c>
      <c r="E4426" s="2" t="s">
        <v>13189</v>
      </c>
      <c r="F4426" s="4">
        <v>7011</v>
      </c>
      <c r="G4426" s="2" t="s">
        <v>269</v>
      </c>
      <c r="H4426" s="2" t="s">
        <v>34</v>
      </c>
      <c r="I4426" s="2" t="s">
        <v>4819</v>
      </c>
      <c r="J4426" s="2" t="s">
        <v>4820</v>
      </c>
      <c r="K4426" s="2" t="s">
        <v>364</v>
      </c>
      <c r="L4426" s="2" t="s">
        <v>34</v>
      </c>
      <c r="M4426" s="7">
        <v>80.781000000000006</v>
      </c>
      <c r="N4426" s="5">
        <v>8.5</v>
      </c>
      <c r="O4426" s="7">
        <v>8.875</v>
      </c>
      <c r="P4426" s="2" t="s">
        <v>13770</v>
      </c>
      <c r="Q4426" s="2"/>
      <c r="R4426" s="6">
        <v>8.25</v>
      </c>
      <c r="S4426" s="5">
        <v>2</v>
      </c>
      <c r="T4426" s="7">
        <v>61.938000000000002</v>
      </c>
      <c r="U4426" s="5">
        <v>4.9000000000000004</v>
      </c>
      <c r="V4426" s="6">
        <v>0.06</v>
      </c>
      <c r="W4426" s="7">
        <v>5.7190000000000003</v>
      </c>
      <c r="X4426" s="4">
        <v>6</v>
      </c>
      <c r="Y4426" s="7">
        <v>6.6879999999999997</v>
      </c>
      <c r="Z4426" s="6">
        <v>6.75</v>
      </c>
      <c r="AA4426" s="6">
        <v>32.020000000000003</v>
      </c>
      <c r="AB4426" s="7">
        <v>10.539</v>
      </c>
      <c r="AC4426" s="2"/>
    </row>
    <row r="4427" spans="1:29" ht="221" x14ac:dyDescent="0.15">
      <c r="A4427" s="3">
        <f>DATE(1999,2,10)</f>
        <v>36201</v>
      </c>
      <c r="B4427" s="3">
        <f>DATE(1999,3,26)</f>
        <v>36245</v>
      </c>
      <c r="C4427" s="2" t="s">
        <v>95</v>
      </c>
      <c r="D4427" s="2" t="s">
        <v>7185</v>
      </c>
      <c r="E4427" s="2" t="s">
        <v>7186</v>
      </c>
      <c r="F4427" s="4">
        <v>4581</v>
      </c>
      <c r="G4427" s="2" t="s">
        <v>59</v>
      </c>
      <c r="H4427" s="2" t="s">
        <v>34</v>
      </c>
      <c r="I4427" s="2" t="s">
        <v>13771</v>
      </c>
      <c r="J4427" s="2" t="s">
        <v>13772</v>
      </c>
      <c r="K4427" s="2" t="s">
        <v>59</v>
      </c>
      <c r="L4427" s="2" t="s">
        <v>1049</v>
      </c>
      <c r="M4427" s="2"/>
      <c r="N4427" s="2"/>
      <c r="O4427" s="2"/>
      <c r="P4427" s="2" t="s">
        <v>13773</v>
      </c>
      <c r="Q4427" s="6">
        <v>100</v>
      </c>
      <c r="R4427" s="6">
        <v>76</v>
      </c>
      <c r="S4427" s="5">
        <v>5.3</v>
      </c>
      <c r="T4427" s="6">
        <v>-2.06</v>
      </c>
      <c r="U4427" s="5">
        <v>39.200000000000003</v>
      </c>
      <c r="V4427" s="6">
        <v>2.99</v>
      </c>
      <c r="W4427" s="4">
        <v>55</v>
      </c>
      <c r="X4427" s="7">
        <v>54.625</v>
      </c>
      <c r="Y4427" s="7">
        <v>56.375</v>
      </c>
      <c r="Z4427" s="6">
        <v>57.25</v>
      </c>
      <c r="AA4427" s="6">
        <v>1.74</v>
      </c>
      <c r="AB4427" s="2" t="s">
        <v>86</v>
      </c>
      <c r="AC4427" s="2"/>
    </row>
    <row r="4428" spans="1:29" ht="117" x14ac:dyDescent="0.15">
      <c r="A4428" s="3">
        <f>DATE(1999,2,11)</f>
        <v>36202</v>
      </c>
      <c r="B4428" s="3">
        <f>DATE(1999,3,22)</f>
        <v>36241</v>
      </c>
      <c r="C4428" s="2" t="s">
        <v>95</v>
      </c>
      <c r="D4428" s="2" t="s">
        <v>13774</v>
      </c>
      <c r="E4428" s="2" t="s">
        <v>13775</v>
      </c>
      <c r="F4428" s="4">
        <v>5961</v>
      </c>
      <c r="G4428" s="2" t="s">
        <v>73</v>
      </c>
      <c r="H4428" s="2" t="s">
        <v>34</v>
      </c>
      <c r="I4428" s="2" t="s">
        <v>6616</v>
      </c>
      <c r="J4428" s="2" t="s">
        <v>5427</v>
      </c>
      <c r="K4428" s="2" t="s">
        <v>756</v>
      </c>
      <c r="L4428" s="2" t="s">
        <v>34</v>
      </c>
      <c r="M4428" s="12">
        <v>8780.8469999999998</v>
      </c>
      <c r="N4428" s="7">
        <v>39.688000000000002</v>
      </c>
      <c r="O4428" s="7">
        <v>37.688000000000002</v>
      </c>
      <c r="P4428" s="2" t="s">
        <v>13776</v>
      </c>
      <c r="Q4428" s="6">
        <v>100</v>
      </c>
      <c r="R4428" s="6">
        <v>25</v>
      </c>
      <c r="S4428" s="5">
        <v>69.3</v>
      </c>
      <c r="T4428" s="7">
        <v>214.072</v>
      </c>
      <c r="U4428" s="5">
        <v>14.5</v>
      </c>
      <c r="V4428" s="6">
        <v>1.4</v>
      </c>
      <c r="W4428" s="7">
        <v>20.375</v>
      </c>
      <c r="X4428" s="7">
        <v>18.812999999999999</v>
      </c>
      <c r="Y4428" s="7">
        <v>24.375</v>
      </c>
      <c r="Z4428" s="7">
        <v>24.375</v>
      </c>
      <c r="AA4428" s="6">
        <v>49.38</v>
      </c>
      <c r="AB4428" s="7">
        <v>10.162000000000001</v>
      </c>
      <c r="AC4428" s="5">
        <v>307</v>
      </c>
    </row>
    <row r="4429" spans="1:29" ht="26" x14ac:dyDescent="0.15">
      <c r="A4429" s="3">
        <f>DATE(1999,2,15)</f>
        <v>36206</v>
      </c>
      <c r="B4429" s="2"/>
      <c r="C4429" s="2" t="s">
        <v>7330</v>
      </c>
      <c r="D4429" s="2" t="s">
        <v>13777</v>
      </c>
      <c r="E4429" s="2" t="s">
        <v>13401</v>
      </c>
      <c r="F4429" s="4">
        <v>2331</v>
      </c>
      <c r="G4429" s="2" t="s">
        <v>708</v>
      </c>
      <c r="H4429" s="2" t="s">
        <v>34</v>
      </c>
      <c r="I4429" s="2" t="s">
        <v>138</v>
      </c>
      <c r="J4429" s="2" t="s">
        <v>139</v>
      </c>
      <c r="K4429" s="2" t="s">
        <v>53</v>
      </c>
      <c r="L4429" s="2" t="s">
        <v>139</v>
      </c>
      <c r="M4429" s="2"/>
      <c r="N4429" s="2"/>
      <c r="O4429" s="2"/>
      <c r="P4429" s="2" t="s">
        <v>13778</v>
      </c>
      <c r="Q4429" s="2"/>
      <c r="R4429" s="2"/>
      <c r="S4429" s="5">
        <v>4.3</v>
      </c>
      <c r="T4429" s="7">
        <v>5.7709999999999999</v>
      </c>
      <c r="U4429" s="5">
        <v>7</v>
      </c>
      <c r="V4429" s="6">
        <v>0.93</v>
      </c>
      <c r="W4429" s="7">
        <v>8.125</v>
      </c>
      <c r="X4429" s="7">
        <v>10.125</v>
      </c>
      <c r="Y4429" s="7">
        <v>10.125</v>
      </c>
      <c r="Z4429" s="7">
        <v>10.125</v>
      </c>
      <c r="AA4429" s="6">
        <v>4.43</v>
      </c>
      <c r="AB4429" s="2" t="s">
        <v>47</v>
      </c>
      <c r="AC4429" s="2"/>
    </row>
    <row r="4430" spans="1:29" ht="52" x14ac:dyDescent="0.15">
      <c r="A4430" s="3">
        <f>DATE(1999,2,16)</f>
        <v>36207</v>
      </c>
      <c r="B4430" s="3">
        <f>DATE(1999,5,7)</f>
        <v>36287</v>
      </c>
      <c r="C4430" s="2" t="s">
        <v>95</v>
      </c>
      <c r="D4430" s="2" t="s">
        <v>13779</v>
      </c>
      <c r="E4430" s="2" t="s">
        <v>4858</v>
      </c>
      <c r="F4430" s="4">
        <v>2741</v>
      </c>
      <c r="G4430" s="2" t="s">
        <v>186</v>
      </c>
      <c r="H4430" s="2" t="s">
        <v>34</v>
      </c>
      <c r="I4430" s="2" t="s">
        <v>13780</v>
      </c>
      <c r="J4430" s="2" t="s">
        <v>244</v>
      </c>
      <c r="K4430" s="2" t="s">
        <v>53</v>
      </c>
      <c r="L4430" s="2" t="s">
        <v>34</v>
      </c>
      <c r="M4430" s="2"/>
      <c r="N4430" s="2"/>
      <c r="O4430" s="2"/>
      <c r="P4430" s="2" t="s">
        <v>13781</v>
      </c>
      <c r="Q4430" s="6">
        <v>100</v>
      </c>
      <c r="R4430" s="6">
        <v>7</v>
      </c>
      <c r="S4430" s="5">
        <v>5.5</v>
      </c>
      <c r="T4430" s="6">
        <v>102.91</v>
      </c>
      <c r="U4430" s="5">
        <v>1.4</v>
      </c>
      <c r="V4430" s="6">
        <v>0.13</v>
      </c>
      <c r="W4430" s="6">
        <v>5.75</v>
      </c>
      <c r="X4430" s="7">
        <v>6.1879999999999997</v>
      </c>
      <c r="Y4430" s="7">
        <v>6.5629999999999997</v>
      </c>
      <c r="Z4430" s="5">
        <v>6.5</v>
      </c>
      <c r="AA4430" s="6">
        <v>42.49</v>
      </c>
      <c r="AB4430" s="7">
        <v>11.272</v>
      </c>
      <c r="AC4430" s="2"/>
    </row>
    <row r="4431" spans="1:29" ht="91" x14ac:dyDescent="0.15">
      <c r="A4431" s="3">
        <f>DATE(1999,2,16)</f>
        <v>36207</v>
      </c>
      <c r="B4431" s="3">
        <f>DATE(1999,5,11)</f>
        <v>36291</v>
      </c>
      <c r="C4431" s="2" t="s">
        <v>95</v>
      </c>
      <c r="D4431" s="2" t="s">
        <v>13782</v>
      </c>
      <c r="E4431" s="2" t="s">
        <v>13783</v>
      </c>
      <c r="F4431" s="4">
        <v>4512</v>
      </c>
      <c r="G4431" s="2" t="s">
        <v>59</v>
      </c>
      <c r="H4431" s="2" t="s">
        <v>34</v>
      </c>
      <c r="I4431" s="2" t="s">
        <v>8946</v>
      </c>
      <c r="J4431" s="2" t="s">
        <v>8945</v>
      </c>
      <c r="K4431" s="2" t="s">
        <v>59</v>
      </c>
      <c r="L4431" s="2" t="s">
        <v>34</v>
      </c>
      <c r="M4431" s="12">
        <v>7879.1750000000002</v>
      </c>
      <c r="N4431" s="5">
        <v>52.5</v>
      </c>
      <c r="O4431" s="4">
        <v>55</v>
      </c>
      <c r="P4431" s="2" t="s">
        <v>13784</v>
      </c>
      <c r="Q4431" s="6">
        <v>72.94</v>
      </c>
      <c r="R4431" s="6">
        <v>34</v>
      </c>
      <c r="S4431" s="5">
        <v>66.099999999999994</v>
      </c>
      <c r="T4431" s="7">
        <v>129.352</v>
      </c>
      <c r="U4431" s="5">
        <v>10.9</v>
      </c>
      <c r="V4431" s="6">
        <v>2.2200000000000002</v>
      </c>
      <c r="W4431" s="6">
        <v>30.75</v>
      </c>
      <c r="X4431" s="6">
        <v>31.93</v>
      </c>
      <c r="Y4431" s="6">
        <v>33.75</v>
      </c>
      <c r="Z4431" s="7">
        <v>33.688000000000002</v>
      </c>
      <c r="AA4431" s="6">
        <v>28.81</v>
      </c>
      <c r="AB4431" s="7">
        <v>9.0350000000000001</v>
      </c>
      <c r="AC4431" s="5">
        <v>804</v>
      </c>
    </row>
    <row r="4432" spans="1:29" ht="39" x14ac:dyDescent="0.15">
      <c r="A4432" s="3">
        <f>DATE(1999,2,16)</f>
        <v>36207</v>
      </c>
      <c r="B4432" s="2"/>
      <c r="C4432" s="2" t="s">
        <v>7330</v>
      </c>
      <c r="D4432" s="2" t="s">
        <v>1931</v>
      </c>
      <c r="E4432" s="2" t="s">
        <v>1932</v>
      </c>
      <c r="F4432" s="4">
        <v>3915</v>
      </c>
      <c r="G4432" s="2" t="s">
        <v>112</v>
      </c>
      <c r="H4432" s="2" t="s">
        <v>34</v>
      </c>
      <c r="I4432" s="2" t="s">
        <v>8649</v>
      </c>
      <c r="J4432" s="2" t="s">
        <v>8650</v>
      </c>
      <c r="K4432" s="2" t="s">
        <v>112</v>
      </c>
      <c r="L4432" s="2" t="s">
        <v>34</v>
      </c>
      <c r="M4432" s="7">
        <v>68.430999999999997</v>
      </c>
      <c r="N4432" s="6">
        <v>9.75</v>
      </c>
      <c r="O4432" s="6">
        <v>10.25</v>
      </c>
      <c r="P4432" s="2" t="s">
        <v>13785</v>
      </c>
      <c r="Q4432" s="2"/>
      <c r="R4432" s="6">
        <v>6</v>
      </c>
      <c r="S4432" s="5">
        <v>2.4</v>
      </c>
      <c r="T4432" s="6">
        <v>9.2899999999999991</v>
      </c>
      <c r="U4432" s="8">
        <v>9460.4</v>
      </c>
      <c r="V4432" s="9">
        <v>492.53730000000002</v>
      </c>
      <c r="W4432" s="7">
        <v>3.375</v>
      </c>
      <c r="X4432" s="5">
        <v>3.5</v>
      </c>
      <c r="Y4432" s="9">
        <v>4.8125</v>
      </c>
      <c r="Z4432" s="6">
        <v>4.25</v>
      </c>
      <c r="AA4432" s="6">
        <v>6.87</v>
      </c>
      <c r="AB4432" s="7">
        <v>2.391</v>
      </c>
      <c r="AC4432" s="6">
        <v>30.26</v>
      </c>
    </row>
    <row r="4433" spans="1:29" ht="104" x14ac:dyDescent="0.15">
      <c r="A4433" s="3">
        <f>DATE(1999,2,16)</f>
        <v>36207</v>
      </c>
      <c r="B4433" s="3">
        <f>DATE(1999,6,18)</f>
        <v>36329</v>
      </c>
      <c r="C4433" s="2" t="s">
        <v>95</v>
      </c>
      <c r="D4433" s="2" t="s">
        <v>13786</v>
      </c>
      <c r="E4433" s="2" t="s">
        <v>6853</v>
      </c>
      <c r="F4433" s="4">
        <v>6311</v>
      </c>
      <c r="G4433" s="2" t="s">
        <v>125</v>
      </c>
      <c r="H4433" s="2" t="s">
        <v>34</v>
      </c>
      <c r="I4433" s="2" t="s">
        <v>13336</v>
      </c>
      <c r="J4433" s="2" t="s">
        <v>9851</v>
      </c>
      <c r="K4433" s="2" t="s">
        <v>125</v>
      </c>
      <c r="L4433" s="2" t="s">
        <v>1791</v>
      </c>
      <c r="M4433" s="2"/>
      <c r="N4433" s="2"/>
      <c r="O4433" s="2"/>
      <c r="P4433" s="2" t="s">
        <v>13787</v>
      </c>
      <c r="Q4433" s="6">
        <v>100</v>
      </c>
      <c r="R4433" s="6">
        <v>55.36</v>
      </c>
      <c r="S4433" s="5">
        <v>96.1</v>
      </c>
      <c r="T4433" s="2"/>
      <c r="U4433" s="5">
        <v>37.700000000000003</v>
      </c>
      <c r="V4433" s="6">
        <v>4.78</v>
      </c>
      <c r="W4433" s="6">
        <v>50.56</v>
      </c>
      <c r="X4433" s="6">
        <v>49.81</v>
      </c>
      <c r="Y4433" s="7">
        <v>52.125</v>
      </c>
      <c r="Z4433" s="7">
        <v>52.125</v>
      </c>
      <c r="AA4433" s="6">
        <v>18.329999999999998</v>
      </c>
      <c r="AB4433" s="7">
        <v>10.705</v>
      </c>
      <c r="AC4433" s="6">
        <v>443.65</v>
      </c>
    </row>
    <row r="4434" spans="1:29" ht="39" x14ac:dyDescent="0.15">
      <c r="A4434" s="3">
        <f t="shared" ref="A4434:A4441" si="87">DATE(1999,2,17)</f>
        <v>36208</v>
      </c>
      <c r="B4434" s="3">
        <f>DATE(1999,8,27)</f>
        <v>36399</v>
      </c>
      <c r="C4434" s="2" t="s">
        <v>95</v>
      </c>
      <c r="D4434" s="2" t="s">
        <v>13788</v>
      </c>
      <c r="E4434" s="2" t="s">
        <v>13789</v>
      </c>
      <c r="F4434" s="4">
        <v>2013</v>
      </c>
      <c r="G4434" s="2" t="s">
        <v>577</v>
      </c>
      <c r="H4434" s="2" t="s">
        <v>34</v>
      </c>
      <c r="I4434" s="2" t="s">
        <v>13790</v>
      </c>
      <c r="J4434" s="2" t="s">
        <v>8653</v>
      </c>
      <c r="K4434" s="2" t="s">
        <v>593</v>
      </c>
      <c r="L4434" s="2" t="s">
        <v>34</v>
      </c>
      <c r="M4434" s="12">
        <v>8593.9060000000009</v>
      </c>
      <c r="N4434" s="6">
        <v>26.75</v>
      </c>
      <c r="O4434" s="4">
        <v>27</v>
      </c>
      <c r="P4434" s="2" t="s">
        <v>13791</v>
      </c>
      <c r="Q4434" s="6">
        <v>100</v>
      </c>
      <c r="R4434" s="6">
        <v>17</v>
      </c>
      <c r="S4434" s="5">
        <v>0.8</v>
      </c>
      <c r="T4434" s="7">
        <v>1.8460000000000001</v>
      </c>
      <c r="U4434" s="5">
        <v>6.3</v>
      </c>
      <c r="V4434" s="6">
        <v>0.56000000000000005</v>
      </c>
      <c r="W4434" s="6">
        <v>13.75</v>
      </c>
      <c r="X4434" s="6">
        <v>13.25</v>
      </c>
      <c r="Y4434" s="7">
        <v>14.875</v>
      </c>
      <c r="Z4434" s="6">
        <v>13.75</v>
      </c>
      <c r="AA4434" s="6">
        <v>1.5</v>
      </c>
      <c r="AB4434" s="7">
        <v>17.718</v>
      </c>
      <c r="AC4434" s="6">
        <v>109.25</v>
      </c>
    </row>
    <row r="4435" spans="1:29" ht="91" x14ac:dyDescent="0.15">
      <c r="A4435" s="3">
        <f t="shared" si="87"/>
        <v>36208</v>
      </c>
      <c r="B4435" s="3">
        <f>DATE(1999,8,6)</f>
        <v>36378</v>
      </c>
      <c r="C4435" s="2" t="s">
        <v>95</v>
      </c>
      <c r="D4435" s="2" t="s">
        <v>13792</v>
      </c>
      <c r="E4435" s="2" t="s">
        <v>13793</v>
      </c>
      <c r="F4435" s="4">
        <v>3571</v>
      </c>
      <c r="G4435" s="2" t="s">
        <v>50</v>
      </c>
      <c r="H4435" s="2" t="s">
        <v>34</v>
      </c>
      <c r="I4435" s="2" t="s">
        <v>51</v>
      </c>
      <c r="J4435" s="2" t="s">
        <v>52</v>
      </c>
      <c r="K4435" s="2" t="s">
        <v>53</v>
      </c>
      <c r="L4435" s="2" t="s">
        <v>34</v>
      </c>
      <c r="M4435" s="2"/>
      <c r="N4435" s="2"/>
      <c r="O4435" s="2"/>
      <c r="P4435" s="2" t="s">
        <v>13794</v>
      </c>
      <c r="Q4435" s="6">
        <v>100</v>
      </c>
      <c r="R4435" s="6">
        <v>21</v>
      </c>
      <c r="S4435" s="5">
        <v>4.9000000000000004</v>
      </c>
      <c r="T4435" s="7">
        <v>10.102</v>
      </c>
      <c r="U4435" s="5">
        <v>9.3000000000000007</v>
      </c>
      <c r="V4435" s="6">
        <v>1.29</v>
      </c>
      <c r="W4435" s="7">
        <v>19.875</v>
      </c>
      <c r="X4435" s="7">
        <v>20.125</v>
      </c>
      <c r="Y4435" s="6">
        <v>23.75</v>
      </c>
      <c r="Z4435" s="6">
        <v>23.25</v>
      </c>
      <c r="AA4435" s="6">
        <v>3.54</v>
      </c>
      <c r="AB4435" s="7">
        <v>11.646000000000001</v>
      </c>
      <c r="AC4435" s="2"/>
    </row>
    <row r="4436" spans="1:29" ht="52" x14ac:dyDescent="0.15">
      <c r="A4436" s="3">
        <f t="shared" si="87"/>
        <v>36208</v>
      </c>
      <c r="B4436" s="2"/>
      <c r="C4436" s="2" t="s">
        <v>30</v>
      </c>
      <c r="D4436" s="2" t="s">
        <v>13697</v>
      </c>
      <c r="E4436" s="2" t="s">
        <v>13698</v>
      </c>
      <c r="F4436" s="4">
        <v>3577</v>
      </c>
      <c r="G4436" s="2" t="s">
        <v>50</v>
      </c>
      <c r="H4436" s="2" t="s">
        <v>34</v>
      </c>
      <c r="I4436" s="2" t="s">
        <v>13795</v>
      </c>
      <c r="J4436" s="2" t="s">
        <v>1882</v>
      </c>
      <c r="K4436" s="2" t="s">
        <v>269</v>
      </c>
      <c r="L4436" s="2" t="s">
        <v>34</v>
      </c>
      <c r="M4436" s="7">
        <v>124.908</v>
      </c>
      <c r="N4436" s="4">
        <v>9</v>
      </c>
      <c r="O4436" s="7">
        <v>8.625</v>
      </c>
      <c r="P4436" s="2" t="s">
        <v>13796</v>
      </c>
      <c r="Q4436" s="2"/>
      <c r="R4436" s="2"/>
      <c r="S4436" s="5">
        <v>-1.1000000000000001</v>
      </c>
      <c r="T4436" s="7">
        <v>-0.98499999999999999</v>
      </c>
      <c r="U4436" s="5">
        <v>0.1</v>
      </c>
      <c r="V4436" s="7">
        <v>-0.21099999999999999</v>
      </c>
      <c r="W4436" s="6">
        <v>26.25</v>
      </c>
      <c r="X4436" s="6">
        <v>26.25</v>
      </c>
      <c r="Y4436" s="6">
        <v>26.25</v>
      </c>
      <c r="Z4436" s="6">
        <v>26.25</v>
      </c>
      <c r="AA4436" s="6">
        <v>15.3</v>
      </c>
      <c r="AB4436" s="2" t="s">
        <v>86</v>
      </c>
      <c r="AC4436" s="6">
        <v>4.2699999999999996</v>
      </c>
    </row>
    <row r="4437" spans="1:29" ht="65" x14ac:dyDescent="0.15">
      <c r="A4437" s="3">
        <f t="shared" si="87"/>
        <v>36208</v>
      </c>
      <c r="B4437" s="3">
        <f>DATE(2000,3,22)</f>
        <v>36607</v>
      </c>
      <c r="C4437" s="2" t="s">
        <v>95</v>
      </c>
      <c r="D4437" s="2" t="s">
        <v>13797</v>
      </c>
      <c r="E4437" s="2" t="s">
        <v>203</v>
      </c>
      <c r="F4437" s="4">
        <v>6035</v>
      </c>
      <c r="G4437" s="2" t="s">
        <v>33</v>
      </c>
      <c r="H4437" s="2" t="s">
        <v>34</v>
      </c>
      <c r="I4437" s="2" t="s">
        <v>13798</v>
      </c>
      <c r="J4437" s="2" t="s">
        <v>36</v>
      </c>
      <c r="K4437" s="2" t="s">
        <v>37</v>
      </c>
      <c r="L4437" s="2" t="s">
        <v>34</v>
      </c>
      <c r="M4437" s="2"/>
      <c r="N4437" s="2"/>
      <c r="O4437" s="2"/>
      <c r="P4437" s="2" t="s">
        <v>13799</v>
      </c>
      <c r="Q4437" s="6">
        <v>100</v>
      </c>
      <c r="R4437" s="6">
        <v>24</v>
      </c>
      <c r="S4437" s="5">
        <v>1.1000000000000001</v>
      </c>
      <c r="T4437" s="7">
        <v>1.875</v>
      </c>
      <c r="U4437" s="5">
        <v>14</v>
      </c>
      <c r="V4437" s="6">
        <v>1.37</v>
      </c>
      <c r="W4437" s="7">
        <v>19.375</v>
      </c>
      <c r="X4437" s="4">
        <v>19</v>
      </c>
      <c r="Y4437" s="5">
        <v>22.5</v>
      </c>
      <c r="Z4437" s="6">
        <v>22.25</v>
      </c>
      <c r="AA4437" s="6">
        <v>0.83</v>
      </c>
      <c r="AB4437" s="7">
        <v>25.498000000000001</v>
      </c>
      <c r="AC4437" s="2"/>
    </row>
    <row r="4438" spans="1:29" ht="39" x14ac:dyDescent="0.15">
      <c r="A4438" s="3">
        <f t="shared" si="87"/>
        <v>36208</v>
      </c>
      <c r="B4438" s="3">
        <f>DATE(1999,5,7)</f>
        <v>36287</v>
      </c>
      <c r="C4438" s="2" t="s">
        <v>95</v>
      </c>
      <c r="D4438" s="2" t="s">
        <v>13800</v>
      </c>
      <c r="E4438" s="2" t="s">
        <v>13801</v>
      </c>
      <c r="F4438" s="4">
        <v>5013</v>
      </c>
      <c r="G4438" s="2" t="s">
        <v>76</v>
      </c>
      <c r="H4438" s="2" t="s">
        <v>34</v>
      </c>
      <c r="I4438" s="2" t="s">
        <v>13802</v>
      </c>
      <c r="J4438" s="2" t="s">
        <v>13803</v>
      </c>
      <c r="K4438" s="2" t="s">
        <v>76</v>
      </c>
      <c r="L4438" s="2" t="s">
        <v>34</v>
      </c>
      <c r="M4438" s="2"/>
      <c r="N4438" s="2"/>
      <c r="O4438" s="2"/>
      <c r="P4438" s="2" t="s">
        <v>13804</v>
      </c>
      <c r="Q4438" s="6">
        <v>100</v>
      </c>
      <c r="R4438" s="6">
        <v>3</v>
      </c>
      <c r="S4438" s="5">
        <v>-0.6</v>
      </c>
      <c r="T4438" s="7">
        <v>0.67500000000000004</v>
      </c>
      <c r="U4438" s="5">
        <v>2.8</v>
      </c>
      <c r="V4438" s="7">
        <v>-0.17599999999999999</v>
      </c>
      <c r="W4438" s="5">
        <v>1.5</v>
      </c>
      <c r="X4438" s="5">
        <v>2.5</v>
      </c>
      <c r="Y4438" s="7">
        <v>2.625</v>
      </c>
      <c r="Z4438" s="7">
        <v>2.5630000000000002</v>
      </c>
      <c r="AA4438" s="6">
        <v>3.41</v>
      </c>
      <c r="AB4438" s="2" t="s">
        <v>86</v>
      </c>
      <c r="AC4438" s="2"/>
    </row>
    <row r="4439" spans="1:29" ht="52" x14ac:dyDescent="0.15">
      <c r="A4439" s="3">
        <f t="shared" si="87"/>
        <v>36208</v>
      </c>
      <c r="B4439" s="3">
        <f>DATE(1999,7,9)</f>
        <v>36350</v>
      </c>
      <c r="C4439" s="2" t="s">
        <v>95</v>
      </c>
      <c r="D4439" s="2" t="s">
        <v>11963</v>
      </c>
      <c r="E4439" s="2" t="s">
        <v>11964</v>
      </c>
      <c r="F4439" s="4">
        <v>7372</v>
      </c>
      <c r="G4439" s="2" t="s">
        <v>551</v>
      </c>
      <c r="H4439" s="2" t="s">
        <v>34</v>
      </c>
      <c r="I4439" s="2" t="s">
        <v>13805</v>
      </c>
      <c r="J4439" s="2" t="s">
        <v>973</v>
      </c>
      <c r="K4439" s="2" t="s">
        <v>63</v>
      </c>
      <c r="L4439" s="2" t="s">
        <v>34</v>
      </c>
      <c r="M4439" s="2"/>
      <c r="N4439" s="2"/>
      <c r="O4439" s="2"/>
      <c r="P4439" s="2" t="s">
        <v>13806</v>
      </c>
      <c r="Q4439" s="6">
        <v>100</v>
      </c>
      <c r="R4439" s="6">
        <v>1</v>
      </c>
      <c r="S4439" s="5">
        <v>-11.4</v>
      </c>
      <c r="T4439" s="7">
        <v>-3.2719999999999998</v>
      </c>
      <c r="U4439" s="5">
        <v>-0.8</v>
      </c>
      <c r="V4439" s="6">
        <v>-0.68</v>
      </c>
      <c r="W4439" s="7">
        <v>2.375</v>
      </c>
      <c r="X4439" s="7">
        <v>2.0630000000000002</v>
      </c>
      <c r="Y4439" s="7">
        <v>1.1879999999999999</v>
      </c>
      <c r="Z4439" s="7">
        <v>0.78100000000000003</v>
      </c>
      <c r="AA4439" s="6">
        <v>17.850000000000001</v>
      </c>
      <c r="AB4439" s="2" t="s">
        <v>86</v>
      </c>
      <c r="AC4439" s="2"/>
    </row>
    <row r="4440" spans="1:29" ht="117" x14ac:dyDescent="0.15">
      <c r="A4440" s="3">
        <f t="shared" si="87"/>
        <v>36208</v>
      </c>
      <c r="B4440" s="3">
        <f>DATE(1999,8,2)</f>
        <v>36374</v>
      </c>
      <c r="C4440" s="2" t="s">
        <v>95</v>
      </c>
      <c r="D4440" s="2" t="s">
        <v>13807</v>
      </c>
      <c r="E4440" s="2" t="s">
        <v>2898</v>
      </c>
      <c r="F4440" s="4">
        <v>6029</v>
      </c>
      <c r="G4440" s="2" t="s">
        <v>37</v>
      </c>
      <c r="H4440" s="2" t="s">
        <v>34</v>
      </c>
      <c r="I4440" s="2" t="s">
        <v>7980</v>
      </c>
      <c r="J4440" s="2" t="s">
        <v>36</v>
      </c>
      <c r="K4440" s="2" t="s">
        <v>37</v>
      </c>
      <c r="L4440" s="2" t="s">
        <v>34</v>
      </c>
      <c r="M4440" s="12">
        <v>7085.9489999999996</v>
      </c>
      <c r="N4440" s="7">
        <v>39.375</v>
      </c>
      <c r="O4440" s="7">
        <v>39.063000000000002</v>
      </c>
      <c r="P4440" s="2" t="s">
        <v>13808</v>
      </c>
      <c r="Q4440" s="6">
        <v>100</v>
      </c>
      <c r="R4440" s="6">
        <v>26.58</v>
      </c>
      <c r="S4440" s="5">
        <v>12.1</v>
      </c>
      <c r="T4440" s="6">
        <v>20.51</v>
      </c>
      <c r="U4440" s="5">
        <v>8.1999999999999993</v>
      </c>
      <c r="V4440" s="6">
        <v>1.08</v>
      </c>
      <c r="W4440" s="7">
        <v>17.625</v>
      </c>
      <c r="X4440" s="4">
        <v>18</v>
      </c>
      <c r="Y4440" s="4">
        <v>18</v>
      </c>
      <c r="Z4440" s="4">
        <v>25</v>
      </c>
      <c r="AA4440" s="6">
        <v>10.98</v>
      </c>
      <c r="AB4440" s="7">
        <v>28.875</v>
      </c>
      <c r="AC4440" s="2"/>
    </row>
    <row r="4441" spans="1:29" ht="182" x14ac:dyDescent="0.15">
      <c r="A4441" s="3">
        <f t="shared" si="87"/>
        <v>36208</v>
      </c>
      <c r="B4441" s="3">
        <f>DATE(2000,2,10)</f>
        <v>36566</v>
      </c>
      <c r="C4441" s="2" t="s">
        <v>95</v>
      </c>
      <c r="D4441" s="2" t="s">
        <v>13809</v>
      </c>
      <c r="E4441" s="2" t="s">
        <v>13810</v>
      </c>
      <c r="F4441" s="4">
        <v>4924</v>
      </c>
      <c r="G4441" s="2" t="s">
        <v>439</v>
      </c>
      <c r="H4441" s="2" t="s">
        <v>34</v>
      </c>
      <c r="I4441" s="2" t="s">
        <v>13811</v>
      </c>
      <c r="J4441" s="2" t="s">
        <v>441</v>
      </c>
      <c r="K4441" s="2" t="s">
        <v>439</v>
      </c>
      <c r="L4441" s="2" t="s">
        <v>34</v>
      </c>
      <c r="M4441" s="12">
        <v>3010.1309999999999</v>
      </c>
      <c r="N4441" s="4">
        <v>26</v>
      </c>
      <c r="O4441" s="7">
        <v>25.875</v>
      </c>
      <c r="P4441" s="2" t="s">
        <v>13812</v>
      </c>
      <c r="Q4441" s="6">
        <v>100</v>
      </c>
      <c r="R4441" s="6">
        <v>33</v>
      </c>
      <c r="S4441" s="5">
        <v>24.8</v>
      </c>
      <c r="T4441" s="7">
        <v>82.058000000000007</v>
      </c>
      <c r="U4441" s="5">
        <v>11</v>
      </c>
      <c r="V4441" s="6">
        <v>1.23</v>
      </c>
      <c r="W4441" s="6">
        <v>22.75</v>
      </c>
      <c r="X4441" s="6">
        <v>22.75</v>
      </c>
      <c r="Y4441" s="7">
        <v>29.437999999999999</v>
      </c>
      <c r="Z4441" s="7">
        <v>29.625</v>
      </c>
      <c r="AA4441" s="6">
        <v>20.52</v>
      </c>
      <c r="AB4441" s="7">
        <v>16.981999999999999</v>
      </c>
      <c r="AC4441" s="5">
        <v>62</v>
      </c>
    </row>
    <row r="4442" spans="1:29" ht="104" x14ac:dyDescent="0.15">
      <c r="A4442" s="3">
        <f>DATE(1999,2,18)</f>
        <v>36209</v>
      </c>
      <c r="B4442" s="3">
        <f>DATE(1999,7,19)</f>
        <v>36360</v>
      </c>
      <c r="C4442" s="2" t="s">
        <v>95</v>
      </c>
      <c r="D4442" s="2" t="s">
        <v>13813</v>
      </c>
      <c r="E4442" s="2" t="s">
        <v>1181</v>
      </c>
      <c r="F4442" s="4">
        <v>6022</v>
      </c>
      <c r="G4442" s="2" t="s">
        <v>37</v>
      </c>
      <c r="H4442" s="2" t="s">
        <v>34</v>
      </c>
      <c r="I4442" s="2" t="s">
        <v>9454</v>
      </c>
      <c r="J4442" s="2" t="s">
        <v>36</v>
      </c>
      <c r="K4442" s="2" t="s">
        <v>37</v>
      </c>
      <c r="L4442" s="2" t="s">
        <v>34</v>
      </c>
      <c r="M4442" s="12">
        <v>22587.646000000001</v>
      </c>
      <c r="N4442" s="7">
        <v>32.938000000000002</v>
      </c>
      <c r="O4442" s="4">
        <v>33</v>
      </c>
      <c r="P4442" s="2" t="s">
        <v>13814</v>
      </c>
      <c r="Q4442" s="6">
        <v>100</v>
      </c>
      <c r="R4442" s="6">
        <v>19.13</v>
      </c>
      <c r="S4442" s="5">
        <v>13.2</v>
      </c>
      <c r="T4442" s="7">
        <v>26.404</v>
      </c>
      <c r="U4442" s="5">
        <v>4.0999999999999996</v>
      </c>
      <c r="V4442" s="6">
        <v>0.85</v>
      </c>
      <c r="W4442" s="7">
        <v>16.875</v>
      </c>
      <c r="X4442" s="5">
        <v>16.5</v>
      </c>
      <c r="Y4442" s="7">
        <v>17.062999999999999</v>
      </c>
      <c r="Z4442" s="7">
        <v>18.625</v>
      </c>
      <c r="AA4442" s="6">
        <v>14.15</v>
      </c>
      <c r="AB4442" s="7">
        <v>11.353999999999999</v>
      </c>
      <c r="AC4442" s="2"/>
    </row>
    <row r="4443" spans="1:29" ht="143" x14ac:dyDescent="0.15">
      <c r="A4443" s="3">
        <f>DATE(1999,2,18)</f>
        <v>36209</v>
      </c>
      <c r="B4443" s="2"/>
      <c r="C4443" s="2" t="s">
        <v>30</v>
      </c>
      <c r="D4443" s="2" t="s">
        <v>13815</v>
      </c>
      <c r="E4443" s="2" t="s">
        <v>9591</v>
      </c>
      <c r="F4443" s="4">
        <v>8093</v>
      </c>
      <c r="G4443" s="2" t="s">
        <v>454</v>
      </c>
      <c r="H4443" s="2" t="s">
        <v>34</v>
      </c>
      <c r="I4443" s="2" t="s">
        <v>13816</v>
      </c>
      <c r="J4443" s="2" t="s">
        <v>13817</v>
      </c>
      <c r="K4443" s="2" t="s">
        <v>226</v>
      </c>
      <c r="L4443" s="2" t="s">
        <v>34</v>
      </c>
      <c r="M4443" s="7">
        <v>37.802</v>
      </c>
      <c r="N4443" s="7">
        <v>2.9060000000000001</v>
      </c>
      <c r="O4443" s="6">
        <v>2.25</v>
      </c>
      <c r="P4443" s="2" t="s">
        <v>13818</v>
      </c>
      <c r="Q4443" s="2"/>
      <c r="R4443" s="6">
        <v>0.49</v>
      </c>
      <c r="S4443" s="5">
        <v>-0.1</v>
      </c>
      <c r="T4443" s="7">
        <v>1.569</v>
      </c>
      <c r="U4443" s="5">
        <v>3.7</v>
      </c>
      <c r="V4443" s="6">
        <v>-0.01</v>
      </c>
      <c r="W4443" s="6">
        <v>3.75</v>
      </c>
      <c r="X4443" s="9">
        <v>3.1875</v>
      </c>
      <c r="Y4443" s="7">
        <v>3.625</v>
      </c>
      <c r="Z4443" s="7">
        <v>2.875</v>
      </c>
      <c r="AA4443" s="6">
        <v>6.12</v>
      </c>
      <c r="AB4443" s="2" t="s">
        <v>86</v>
      </c>
      <c r="AC4443" s="6">
        <v>0.92</v>
      </c>
    </row>
    <row r="4444" spans="1:29" ht="65" x14ac:dyDescent="0.15">
      <c r="A4444" s="3">
        <f>DATE(1999,2,18)</f>
        <v>36209</v>
      </c>
      <c r="B4444" s="2"/>
      <c r="C4444" s="2" t="s">
        <v>30</v>
      </c>
      <c r="D4444" s="2" t="s">
        <v>13651</v>
      </c>
      <c r="E4444" s="2" t="s">
        <v>13652</v>
      </c>
      <c r="F4444" s="4">
        <v>3731</v>
      </c>
      <c r="G4444" s="2" t="s">
        <v>105</v>
      </c>
      <c r="H4444" s="2" t="s">
        <v>34</v>
      </c>
      <c r="I4444" s="2" t="s">
        <v>13819</v>
      </c>
      <c r="J4444" s="2" t="s">
        <v>7077</v>
      </c>
      <c r="K4444" s="2" t="s">
        <v>226</v>
      </c>
      <c r="L4444" s="2" t="s">
        <v>34</v>
      </c>
      <c r="M4444" s="12">
        <v>6834.9340000000002</v>
      </c>
      <c r="N4444" s="7">
        <v>60.063000000000002</v>
      </c>
      <c r="O4444" s="7">
        <v>60.375</v>
      </c>
      <c r="P4444" s="2" t="s">
        <v>13820</v>
      </c>
      <c r="Q4444" s="2"/>
      <c r="R4444" s="6">
        <v>38.5</v>
      </c>
      <c r="S4444" s="5">
        <v>66</v>
      </c>
      <c r="T4444" s="5">
        <v>237</v>
      </c>
      <c r="U4444" s="5">
        <v>6.8</v>
      </c>
      <c r="V4444" s="6">
        <v>1.85</v>
      </c>
      <c r="W4444" s="7">
        <v>27.812999999999999</v>
      </c>
      <c r="X4444" s="7">
        <v>27.812999999999999</v>
      </c>
      <c r="Y4444" s="9">
        <v>28.4375</v>
      </c>
      <c r="Z4444" s="9">
        <v>31.9375</v>
      </c>
      <c r="AA4444" s="6">
        <v>35.29</v>
      </c>
      <c r="AB4444" s="7">
        <v>11.531000000000001</v>
      </c>
      <c r="AC4444" s="5">
        <v>220</v>
      </c>
    </row>
    <row r="4445" spans="1:29" ht="156" x14ac:dyDescent="0.15">
      <c r="A4445" s="3">
        <f>DATE(1999,2,18)</f>
        <v>36209</v>
      </c>
      <c r="B4445" s="3">
        <f>DATE(1999,7,21)</f>
        <v>36362</v>
      </c>
      <c r="C4445" s="2" t="s">
        <v>95</v>
      </c>
      <c r="D4445" s="2" t="s">
        <v>13821</v>
      </c>
      <c r="E4445" s="2" t="s">
        <v>124</v>
      </c>
      <c r="F4445" s="4">
        <v>6311</v>
      </c>
      <c r="G4445" s="2" t="s">
        <v>125</v>
      </c>
      <c r="H4445" s="2" t="s">
        <v>34</v>
      </c>
      <c r="I4445" s="2" t="s">
        <v>13822</v>
      </c>
      <c r="J4445" s="2" t="s">
        <v>124</v>
      </c>
      <c r="K4445" s="2" t="s">
        <v>125</v>
      </c>
      <c r="L4445" s="2" t="s">
        <v>2105</v>
      </c>
      <c r="M4445" s="2"/>
      <c r="N4445" s="2"/>
      <c r="O4445" s="2"/>
      <c r="P4445" s="2" t="s">
        <v>13823</v>
      </c>
      <c r="Q4445" s="6">
        <v>100</v>
      </c>
      <c r="R4445" s="6">
        <v>76.709999999999994</v>
      </c>
      <c r="S4445" s="5">
        <v>722.7</v>
      </c>
      <c r="T4445" s="2"/>
      <c r="U4445" s="5">
        <v>31.2</v>
      </c>
      <c r="V4445" s="6">
        <v>5.57</v>
      </c>
      <c r="W4445" s="6">
        <v>54.25</v>
      </c>
      <c r="X4445" s="6">
        <v>57.62</v>
      </c>
      <c r="Y4445" s="7">
        <v>72.875</v>
      </c>
      <c r="Z4445" s="6">
        <v>72.25</v>
      </c>
      <c r="AA4445" s="6">
        <v>124.53</v>
      </c>
      <c r="AB4445" s="7">
        <v>13.211</v>
      </c>
      <c r="AC4445" s="10">
        <v>1311.89</v>
      </c>
    </row>
    <row r="4446" spans="1:29" ht="65" x14ac:dyDescent="0.15">
      <c r="A4446" s="3">
        <f>DATE(1999,2,19)</f>
        <v>36210</v>
      </c>
      <c r="B4446" s="3">
        <f>DATE(1999,2,19)</f>
        <v>36210</v>
      </c>
      <c r="C4446" s="2" t="s">
        <v>95</v>
      </c>
      <c r="D4446" s="2" t="s">
        <v>13824</v>
      </c>
      <c r="E4446" s="2" t="s">
        <v>3461</v>
      </c>
      <c r="F4446" s="4">
        <v>2834</v>
      </c>
      <c r="G4446" s="2" t="s">
        <v>130</v>
      </c>
      <c r="H4446" s="2" t="s">
        <v>34</v>
      </c>
      <c r="I4446" s="2" t="s">
        <v>13825</v>
      </c>
      <c r="J4446" s="2" t="s">
        <v>3812</v>
      </c>
      <c r="K4446" s="2" t="s">
        <v>130</v>
      </c>
      <c r="L4446" s="2" t="s">
        <v>34</v>
      </c>
      <c r="M4446" s="12">
        <v>8920.9549999999999</v>
      </c>
      <c r="N4446" s="5">
        <v>33.5</v>
      </c>
      <c r="O4446" s="7">
        <v>35.313000000000002</v>
      </c>
      <c r="P4446" s="2" t="s">
        <v>13826</v>
      </c>
      <c r="Q4446" s="6">
        <v>100</v>
      </c>
      <c r="R4446" s="2"/>
      <c r="S4446" s="5">
        <v>-17.100000000000001</v>
      </c>
      <c r="T4446" s="7">
        <v>-14.978</v>
      </c>
      <c r="U4446" s="5">
        <v>-0.4</v>
      </c>
      <c r="V4446" s="7">
        <v>-2.524</v>
      </c>
      <c r="W4446" s="7">
        <v>5.6879999999999997</v>
      </c>
      <c r="X4446" s="4">
        <v>4</v>
      </c>
      <c r="Y4446" s="5">
        <v>3.5</v>
      </c>
      <c r="Z4446" s="7">
        <v>3.125</v>
      </c>
      <c r="AA4446" s="6">
        <v>6.98</v>
      </c>
      <c r="AB4446" s="2" t="s">
        <v>86</v>
      </c>
      <c r="AC4446" s="6">
        <v>14.41</v>
      </c>
    </row>
    <row r="4447" spans="1:29" ht="78" x14ac:dyDescent="0.15">
      <c r="A4447" s="3">
        <f>DATE(1999,2,19)</f>
        <v>36210</v>
      </c>
      <c r="B4447" s="2"/>
      <c r="C4447" s="2" t="s">
        <v>30</v>
      </c>
      <c r="D4447" s="2" t="s">
        <v>4766</v>
      </c>
      <c r="E4447" s="2" t="s">
        <v>4767</v>
      </c>
      <c r="F4447" s="4">
        <v>4923</v>
      </c>
      <c r="G4447" s="2" t="s">
        <v>439</v>
      </c>
      <c r="H4447" s="2" t="s">
        <v>34</v>
      </c>
      <c r="I4447" s="2" t="s">
        <v>13827</v>
      </c>
      <c r="J4447" s="2" t="s">
        <v>13828</v>
      </c>
      <c r="K4447" s="2" t="s">
        <v>439</v>
      </c>
      <c r="L4447" s="2" t="s">
        <v>34</v>
      </c>
      <c r="M4447" s="12">
        <v>5865.4650000000001</v>
      </c>
      <c r="N4447" s="7">
        <v>22.312999999999999</v>
      </c>
      <c r="O4447" s="7">
        <v>21.562999999999999</v>
      </c>
      <c r="P4447" s="2" t="s">
        <v>13829</v>
      </c>
      <c r="Q4447" s="2"/>
      <c r="R4447" s="6">
        <v>25</v>
      </c>
      <c r="S4447" s="5">
        <v>60</v>
      </c>
      <c r="T4447" s="7">
        <v>426.613</v>
      </c>
      <c r="U4447" s="5">
        <v>17.7</v>
      </c>
      <c r="V4447" s="9">
        <v>0.93159999999999998</v>
      </c>
      <c r="W4447" s="5">
        <v>19.5</v>
      </c>
      <c r="X4447" s="6">
        <v>19.309999999999999</v>
      </c>
      <c r="Y4447" s="5">
        <v>21.5</v>
      </c>
      <c r="Z4447" s="7">
        <v>21.625</v>
      </c>
      <c r="AA4447" s="6">
        <v>45.73</v>
      </c>
      <c r="AB4447" s="7">
        <v>17.91</v>
      </c>
      <c r="AC4447" s="5">
        <v>424</v>
      </c>
    </row>
    <row r="4448" spans="1:29" ht="117" x14ac:dyDescent="0.15">
      <c r="A4448" s="3">
        <f>DATE(1999,2,19)</f>
        <v>36210</v>
      </c>
      <c r="B4448" s="3">
        <f>DATE(1999,3,31)</f>
        <v>36250</v>
      </c>
      <c r="C4448" s="2" t="s">
        <v>95</v>
      </c>
      <c r="D4448" s="2" t="s">
        <v>13830</v>
      </c>
      <c r="E4448" s="2" t="s">
        <v>13831</v>
      </c>
      <c r="F4448" s="4">
        <v>7371</v>
      </c>
      <c r="G4448" s="2" t="s">
        <v>223</v>
      </c>
      <c r="H4448" s="2" t="s">
        <v>34</v>
      </c>
      <c r="I4448" s="2" t="s">
        <v>3000</v>
      </c>
      <c r="J4448" s="2" t="s">
        <v>3001</v>
      </c>
      <c r="K4448" s="2" t="s">
        <v>223</v>
      </c>
      <c r="L4448" s="2" t="s">
        <v>34</v>
      </c>
      <c r="M4448" s="2"/>
      <c r="N4448" s="2"/>
      <c r="O4448" s="2"/>
      <c r="P4448" s="2" t="s">
        <v>13832</v>
      </c>
      <c r="Q4448" s="6">
        <v>100</v>
      </c>
      <c r="R4448" s="6">
        <v>4.45</v>
      </c>
      <c r="S4448" s="5">
        <v>-4.0999999999999996</v>
      </c>
      <c r="T4448" s="7">
        <v>-3.3679999999999999</v>
      </c>
      <c r="U4448" s="5">
        <v>2.2000000000000002</v>
      </c>
      <c r="V4448" s="6">
        <v>-0.41</v>
      </c>
      <c r="W4448" s="7">
        <v>3.125</v>
      </c>
      <c r="X4448" s="7">
        <v>3.1880000000000002</v>
      </c>
      <c r="Y4448" s="6">
        <v>3.25</v>
      </c>
      <c r="Z4448" s="6">
        <v>4.25</v>
      </c>
      <c r="AA4448" s="6">
        <v>10.61</v>
      </c>
      <c r="AB4448" s="2" t="s">
        <v>86</v>
      </c>
      <c r="AC4448" s="6">
        <v>524.23</v>
      </c>
    </row>
    <row r="4449" spans="1:29" ht="78" x14ac:dyDescent="0.15">
      <c r="A4449" s="3">
        <f>DATE(1999,2,19)</f>
        <v>36210</v>
      </c>
      <c r="B4449" s="3">
        <f>DATE(1999,3,31)</f>
        <v>36250</v>
      </c>
      <c r="C4449" s="2" t="s">
        <v>95</v>
      </c>
      <c r="D4449" s="2" t="s">
        <v>13833</v>
      </c>
      <c r="E4449" s="2" t="s">
        <v>6446</v>
      </c>
      <c r="F4449" s="4">
        <v>7381</v>
      </c>
      <c r="G4449" s="2" t="s">
        <v>223</v>
      </c>
      <c r="H4449" s="2" t="s">
        <v>34</v>
      </c>
      <c r="I4449" s="2" t="s">
        <v>13834</v>
      </c>
      <c r="J4449" s="2" t="s">
        <v>13835</v>
      </c>
      <c r="K4449" s="2" t="s">
        <v>223</v>
      </c>
      <c r="L4449" s="2" t="s">
        <v>435</v>
      </c>
      <c r="M4449" s="2"/>
      <c r="N4449" s="2"/>
      <c r="O4449" s="2"/>
      <c r="P4449" s="2" t="s">
        <v>13836</v>
      </c>
      <c r="Q4449" s="6">
        <v>100</v>
      </c>
      <c r="R4449" s="6">
        <v>29</v>
      </c>
      <c r="S4449" s="5">
        <v>-0.5</v>
      </c>
      <c r="T4449" s="7">
        <v>15.467000000000001</v>
      </c>
      <c r="U4449" s="5">
        <v>11.1</v>
      </c>
      <c r="V4449" s="6">
        <v>-0.04</v>
      </c>
      <c r="W4449" s="7">
        <v>16.875</v>
      </c>
      <c r="X4449" s="7">
        <v>16.937999999999999</v>
      </c>
      <c r="Y4449" s="7">
        <v>16.875</v>
      </c>
      <c r="Z4449" s="7">
        <v>28.562999999999999</v>
      </c>
      <c r="AA4449" s="6">
        <v>12.25</v>
      </c>
      <c r="AB4449" s="7">
        <v>54.856999999999999</v>
      </c>
      <c r="AC4449" s="6">
        <v>269.02</v>
      </c>
    </row>
    <row r="4450" spans="1:29" ht="221" x14ac:dyDescent="0.15">
      <c r="A4450" s="3">
        <f>DATE(1999,2,22)</f>
        <v>36213</v>
      </c>
      <c r="B4450" s="3">
        <f>DATE(2000,1,28)</f>
        <v>36553</v>
      </c>
      <c r="C4450" s="2" t="s">
        <v>95</v>
      </c>
      <c r="D4450" s="2" t="s">
        <v>13837</v>
      </c>
      <c r="E4450" s="2" t="s">
        <v>13838</v>
      </c>
      <c r="F4450" s="4">
        <v>4923</v>
      </c>
      <c r="G4450" s="2" t="s">
        <v>439</v>
      </c>
      <c r="H4450" s="2" t="s">
        <v>34</v>
      </c>
      <c r="I4450" s="2" t="s">
        <v>13839</v>
      </c>
      <c r="J4450" s="2" t="s">
        <v>13840</v>
      </c>
      <c r="K4450" s="2" t="s">
        <v>439</v>
      </c>
      <c r="L4450" s="2" t="s">
        <v>34</v>
      </c>
      <c r="M4450" s="12">
        <v>8828.1790000000001</v>
      </c>
      <c r="N4450" s="4">
        <v>40</v>
      </c>
      <c r="O4450" s="6">
        <v>38.75</v>
      </c>
      <c r="P4450" s="2" t="s">
        <v>13841</v>
      </c>
      <c r="Q4450" s="6">
        <v>100</v>
      </c>
      <c r="R4450" s="6">
        <v>66.599999999999994</v>
      </c>
      <c r="S4450" s="5">
        <v>270.5</v>
      </c>
      <c r="T4450" s="7">
        <v>836.45100000000002</v>
      </c>
      <c r="U4450" s="5">
        <v>25.1</v>
      </c>
      <c r="V4450" s="6">
        <v>2.82</v>
      </c>
      <c r="W4450" s="6">
        <v>51.56</v>
      </c>
      <c r="X4450" s="6">
        <v>56.25</v>
      </c>
      <c r="Y4450" s="9">
        <v>55.1875</v>
      </c>
      <c r="Z4450" s="9">
        <v>55.0625</v>
      </c>
      <c r="AA4450" s="6">
        <v>95.84</v>
      </c>
      <c r="AB4450" s="7">
        <v>16.524999999999999</v>
      </c>
      <c r="AC4450" s="5">
        <v>426.3</v>
      </c>
    </row>
    <row r="4451" spans="1:29" ht="52" x14ac:dyDescent="0.15">
      <c r="A4451" s="3">
        <f>DATE(1999,2,22)</f>
        <v>36213</v>
      </c>
      <c r="B4451" s="3">
        <f>DATE(1999,7,22)</f>
        <v>36363</v>
      </c>
      <c r="C4451" s="2" t="s">
        <v>95</v>
      </c>
      <c r="D4451" s="2" t="s">
        <v>13842</v>
      </c>
      <c r="E4451" s="2" t="s">
        <v>263</v>
      </c>
      <c r="F4451" s="4">
        <v>6022</v>
      </c>
      <c r="G4451" s="2" t="s">
        <v>37</v>
      </c>
      <c r="H4451" s="2" t="s">
        <v>34</v>
      </c>
      <c r="I4451" s="2" t="s">
        <v>1955</v>
      </c>
      <c r="J4451" s="2" t="s">
        <v>672</v>
      </c>
      <c r="K4451" s="2" t="s">
        <v>37</v>
      </c>
      <c r="L4451" s="2" t="s">
        <v>34</v>
      </c>
      <c r="M4451" s="12">
        <v>6413.3069999999998</v>
      </c>
      <c r="N4451" s="7">
        <v>46.438000000000002</v>
      </c>
      <c r="O4451" s="7">
        <v>45.375</v>
      </c>
      <c r="P4451" s="2" t="s">
        <v>13843</v>
      </c>
      <c r="Q4451" s="6">
        <v>100</v>
      </c>
      <c r="R4451" s="6">
        <v>19.25</v>
      </c>
      <c r="S4451" s="5">
        <v>15.8</v>
      </c>
      <c r="T4451" s="7">
        <v>27.385999999999999</v>
      </c>
      <c r="U4451" s="5">
        <v>8.1</v>
      </c>
      <c r="V4451" s="6">
        <v>0.75</v>
      </c>
      <c r="W4451" s="7">
        <v>14.938000000000001</v>
      </c>
      <c r="X4451" s="7">
        <v>17.375</v>
      </c>
      <c r="Y4451" s="5">
        <v>17.5</v>
      </c>
      <c r="Z4451" s="6">
        <v>17.25</v>
      </c>
      <c r="AA4451" s="6">
        <v>21.27</v>
      </c>
      <c r="AB4451" s="7">
        <v>21.384</v>
      </c>
      <c r="AC4451" s="2"/>
    </row>
    <row r="4452" spans="1:29" ht="91" x14ac:dyDescent="0.15">
      <c r="A4452" s="3">
        <f>DATE(1999,2,22)</f>
        <v>36213</v>
      </c>
      <c r="B4452" s="3">
        <f>DATE(1999,6,22)</f>
        <v>36333</v>
      </c>
      <c r="C4452" s="2" t="s">
        <v>95</v>
      </c>
      <c r="D4452" s="2" t="s">
        <v>13844</v>
      </c>
      <c r="E4452" s="2" t="s">
        <v>2728</v>
      </c>
      <c r="F4452" s="4">
        <v>3674</v>
      </c>
      <c r="G4452" s="2" t="s">
        <v>137</v>
      </c>
      <c r="H4452" s="2" t="s">
        <v>34</v>
      </c>
      <c r="I4452" s="2" t="s">
        <v>13845</v>
      </c>
      <c r="J4452" s="2" t="s">
        <v>13846</v>
      </c>
      <c r="K4452" s="2" t="s">
        <v>137</v>
      </c>
      <c r="L4452" s="2" t="s">
        <v>34</v>
      </c>
      <c r="M4452" s="12">
        <v>3302.0259999999998</v>
      </c>
      <c r="N4452" s="7">
        <v>28.187999999999999</v>
      </c>
      <c r="O4452" s="5">
        <v>29.5</v>
      </c>
      <c r="P4452" s="2" t="s">
        <v>13847</v>
      </c>
      <c r="Q4452" s="6">
        <v>100</v>
      </c>
      <c r="R4452" s="6">
        <v>2.98</v>
      </c>
      <c r="S4452" s="5">
        <v>-5.5</v>
      </c>
      <c r="T4452" s="7">
        <v>1.4710000000000001</v>
      </c>
      <c r="U4452" s="5">
        <v>0.5</v>
      </c>
      <c r="V4452" s="6">
        <v>-0.18</v>
      </c>
      <c r="W4452" s="7">
        <v>2.0630000000000002</v>
      </c>
      <c r="X4452" s="7">
        <v>2.0310000000000001</v>
      </c>
      <c r="Y4452" s="7">
        <v>2.5630000000000002</v>
      </c>
      <c r="Z4452" s="7">
        <v>2.6560000000000001</v>
      </c>
      <c r="AA4452" s="6">
        <v>32.25</v>
      </c>
      <c r="AB4452" s="2" t="s">
        <v>86</v>
      </c>
      <c r="AC4452" s="5">
        <v>281.3</v>
      </c>
    </row>
    <row r="4453" spans="1:29" ht="130" x14ac:dyDescent="0.15">
      <c r="A4453" s="3">
        <f>DATE(1999,2,22)</f>
        <v>36213</v>
      </c>
      <c r="B4453" s="2"/>
      <c r="C4453" s="2" t="s">
        <v>30</v>
      </c>
      <c r="D4453" s="2" t="s">
        <v>13848</v>
      </c>
      <c r="E4453" s="2" t="s">
        <v>10079</v>
      </c>
      <c r="F4453" s="4">
        <v>4923</v>
      </c>
      <c r="G4453" s="2" t="s">
        <v>439</v>
      </c>
      <c r="H4453" s="2" t="s">
        <v>34</v>
      </c>
      <c r="I4453" s="2" t="s">
        <v>10078</v>
      </c>
      <c r="J4453" s="2" t="s">
        <v>10079</v>
      </c>
      <c r="K4453" s="2" t="s">
        <v>439</v>
      </c>
      <c r="L4453" s="2" t="s">
        <v>34</v>
      </c>
      <c r="M4453" s="7">
        <v>677.13099999999997</v>
      </c>
      <c r="N4453" s="6">
        <v>19.75</v>
      </c>
      <c r="O4453" s="6">
        <v>19.75</v>
      </c>
      <c r="P4453" s="2" t="s">
        <v>13849</v>
      </c>
      <c r="Q4453" s="2"/>
      <c r="R4453" s="6">
        <v>33.5</v>
      </c>
      <c r="S4453" s="5">
        <v>45.3</v>
      </c>
      <c r="T4453" s="6">
        <v>232.98</v>
      </c>
      <c r="U4453" s="5">
        <v>16.399999999999999</v>
      </c>
      <c r="V4453" s="6">
        <v>1.27</v>
      </c>
      <c r="W4453" s="7">
        <v>24.687999999999999</v>
      </c>
      <c r="X4453" s="7">
        <v>24.375</v>
      </c>
      <c r="Y4453" s="6">
        <v>23.75</v>
      </c>
      <c r="Z4453" s="9">
        <v>26.0625</v>
      </c>
      <c r="AA4453" s="6">
        <v>30.32</v>
      </c>
      <c r="AB4453" s="7">
        <v>13.185</v>
      </c>
      <c r="AC4453" s="2"/>
    </row>
    <row r="4454" spans="1:29" ht="156" x14ac:dyDescent="0.15">
      <c r="A4454" s="3">
        <f>DATE(1999,2,22)</f>
        <v>36213</v>
      </c>
      <c r="B4454" s="3">
        <f>DATE(1999,6,11)</f>
        <v>36322</v>
      </c>
      <c r="C4454" s="2" t="s">
        <v>95</v>
      </c>
      <c r="D4454" s="2" t="s">
        <v>947</v>
      </c>
      <c r="E4454" s="2" t="s">
        <v>948</v>
      </c>
      <c r="F4454" s="4">
        <v>3728</v>
      </c>
      <c r="G4454" s="2" t="s">
        <v>219</v>
      </c>
      <c r="H4454" s="2" t="s">
        <v>34</v>
      </c>
      <c r="I4454" s="2" t="s">
        <v>13850</v>
      </c>
      <c r="J4454" s="2" t="s">
        <v>13851</v>
      </c>
      <c r="K4454" s="2" t="s">
        <v>219</v>
      </c>
      <c r="L4454" s="2" t="s">
        <v>34</v>
      </c>
      <c r="M4454" s="12">
        <v>25806.238000000001</v>
      </c>
      <c r="N4454" s="5">
        <v>126.5</v>
      </c>
      <c r="O4454" s="7">
        <v>125.063</v>
      </c>
      <c r="P4454" s="2" t="s">
        <v>13852</v>
      </c>
      <c r="Q4454" s="6">
        <v>100</v>
      </c>
      <c r="R4454" s="6">
        <v>70</v>
      </c>
      <c r="S4454" s="5">
        <v>226</v>
      </c>
      <c r="T4454" s="5">
        <v>452</v>
      </c>
      <c r="U4454" s="5">
        <v>10</v>
      </c>
      <c r="V4454" s="6">
        <v>3.99</v>
      </c>
      <c r="W4454" s="6">
        <v>53.06</v>
      </c>
      <c r="X4454" s="4">
        <v>58</v>
      </c>
      <c r="Y4454" s="6">
        <v>68.25</v>
      </c>
      <c r="Z4454" s="7">
        <v>67.938000000000002</v>
      </c>
      <c r="AA4454" s="6">
        <v>54.75</v>
      </c>
      <c r="AB4454" s="7">
        <v>11.643000000000001</v>
      </c>
      <c r="AC4454" s="5">
        <v>550</v>
      </c>
    </row>
    <row r="4455" spans="1:29" ht="104" x14ac:dyDescent="0.15">
      <c r="A4455" s="3">
        <f>DATE(1999,2,23)</f>
        <v>36214</v>
      </c>
      <c r="B4455" s="3">
        <f>DATE(1999,3,31)</f>
        <v>36250</v>
      </c>
      <c r="C4455" s="2" t="s">
        <v>95</v>
      </c>
      <c r="D4455" s="2" t="s">
        <v>13853</v>
      </c>
      <c r="E4455" s="2" t="s">
        <v>13854</v>
      </c>
      <c r="F4455" s="4">
        <v>3625</v>
      </c>
      <c r="G4455" s="2" t="s">
        <v>137</v>
      </c>
      <c r="H4455" s="2" t="s">
        <v>34</v>
      </c>
      <c r="I4455" s="2" t="s">
        <v>13855</v>
      </c>
      <c r="J4455" s="2" t="s">
        <v>13856</v>
      </c>
      <c r="K4455" s="2" t="s">
        <v>105</v>
      </c>
      <c r="L4455" s="2" t="s">
        <v>303</v>
      </c>
      <c r="M4455" s="2"/>
      <c r="N4455" s="2"/>
      <c r="O4455" s="2"/>
      <c r="P4455" s="2" t="s">
        <v>13857</v>
      </c>
      <c r="Q4455" s="6">
        <v>100</v>
      </c>
      <c r="R4455" s="6">
        <v>16.25</v>
      </c>
      <c r="S4455" s="5">
        <v>7.9</v>
      </c>
      <c r="T4455" s="7">
        <v>13.388</v>
      </c>
      <c r="U4455" s="5">
        <v>5</v>
      </c>
      <c r="V4455" s="6">
        <v>0.9</v>
      </c>
      <c r="W4455" s="7">
        <v>13.625</v>
      </c>
      <c r="X4455" s="5">
        <v>13.5</v>
      </c>
      <c r="Y4455" s="7">
        <v>15.843999999999999</v>
      </c>
      <c r="Z4455" s="7">
        <v>15.875</v>
      </c>
      <c r="AA4455" s="6">
        <v>8.33</v>
      </c>
      <c r="AB4455" s="7">
        <v>12.145</v>
      </c>
      <c r="AC4455" s="6">
        <v>26.41</v>
      </c>
    </row>
    <row r="4456" spans="1:29" ht="65" x14ac:dyDescent="0.15">
      <c r="A4456" s="3">
        <f>DATE(1999,2,23)</f>
        <v>36214</v>
      </c>
      <c r="B4456" s="3">
        <f>DATE(1999,7,8)</f>
        <v>36349</v>
      </c>
      <c r="C4456" s="2" t="s">
        <v>95</v>
      </c>
      <c r="D4456" s="2" t="s">
        <v>13858</v>
      </c>
      <c r="E4456" s="2" t="s">
        <v>263</v>
      </c>
      <c r="F4456" s="4">
        <v>6712</v>
      </c>
      <c r="G4456" s="2" t="s">
        <v>37</v>
      </c>
      <c r="H4456" s="2" t="s">
        <v>34</v>
      </c>
      <c r="I4456" s="2" t="s">
        <v>13859</v>
      </c>
      <c r="J4456" s="2" t="s">
        <v>302</v>
      </c>
      <c r="K4456" s="2" t="s">
        <v>37</v>
      </c>
      <c r="L4456" s="2" t="s">
        <v>34</v>
      </c>
      <c r="M4456" s="2"/>
      <c r="N4456" s="2"/>
      <c r="O4456" s="2"/>
      <c r="P4456" s="2" t="s">
        <v>13860</v>
      </c>
      <c r="Q4456" s="6">
        <v>100</v>
      </c>
      <c r="R4456" s="6">
        <v>18.350000000000001</v>
      </c>
      <c r="S4456" s="5">
        <v>1.9</v>
      </c>
      <c r="T4456" s="7">
        <v>2.601</v>
      </c>
      <c r="U4456" s="5">
        <v>15.3</v>
      </c>
      <c r="V4456" s="6">
        <v>0.65</v>
      </c>
      <c r="W4456" s="6">
        <v>14.25</v>
      </c>
      <c r="X4456" s="6">
        <v>15.25</v>
      </c>
      <c r="Y4456" s="7">
        <v>17.437999999999999</v>
      </c>
      <c r="Z4456" s="7">
        <v>17.312999999999999</v>
      </c>
      <c r="AA4456" s="6">
        <v>2.82</v>
      </c>
      <c r="AB4456" s="7">
        <v>50.131</v>
      </c>
      <c r="AC4456" s="2"/>
    </row>
    <row r="4457" spans="1:29" ht="52" x14ac:dyDescent="0.15">
      <c r="A4457" s="3">
        <f>DATE(1999,2,23)</f>
        <v>36214</v>
      </c>
      <c r="B4457" s="2"/>
      <c r="C4457" s="2" t="s">
        <v>30</v>
      </c>
      <c r="D4457" s="2" t="s">
        <v>13861</v>
      </c>
      <c r="E4457" s="2" t="s">
        <v>13862</v>
      </c>
      <c r="F4457" s="4">
        <v>5812</v>
      </c>
      <c r="G4457" s="2" t="s">
        <v>230</v>
      </c>
      <c r="H4457" s="2" t="s">
        <v>34</v>
      </c>
      <c r="I4457" s="2" t="s">
        <v>13863</v>
      </c>
      <c r="J4457" s="2" t="s">
        <v>8963</v>
      </c>
      <c r="K4457" s="2" t="s">
        <v>223</v>
      </c>
      <c r="L4457" s="2" t="s">
        <v>34</v>
      </c>
      <c r="M4457" s="2"/>
      <c r="N4457" s="2"/>
      <c r="O4457" s="2"/>
      <c r="P4457" s="2" t="s">
        <v>13864</v>
      </c>
      <c r="Q4457" s="2"/>
      <c r="R4457" s="6">
        <v>5.5</v>
      </c>
      <c r="S4457" s="5">
        <v>-3.8</v>
      </c>
      <c r="T4457" s="7">
        <v>2.9489999999999998</v>
      </c>
      <c r="U4457" s="5">
        <v>4.2</v>
      </c>
      <c r="V4457" s="6">
        <v>-1.24</v>
      </c>
      <c r="W4457" s="7">
        <v>3.3130000000000002</v>
      </c>
      <c r="X4457" s="7">
        <v>3.875</v>
      </c>
      <c r="Y4457" s="7">
        <v>4.625</v>
      </c>
      <c r="Z4457" s="7">
        <v>4.875</v>
      </c>
      <c r="AA4457" s="6">
        <v>2.9</v>
      </c>
      <c r="AB4457" s="2" t="s">
        <v>86</v>
      </c>
      <c r="AC4457" s="2"/>
    </row>
    <row r="4458" spans="1:29" ht="117" x14ac:dyDescent="0.15">
      <c r="A4458" s="3">
        <f>DATE(1999,2,24)</f>
        <v>36215</v>
      </c>
      <c r="B4458" s="3">
        <f>DATE(1999,7,9)</f>
        <v>36350</v>
      </c>
      <c r="C4458" s="2" t="s">
        <v>95</v>
      </c>
      <c r="D4458" s="2" t="s">
        <v>13865</v>
      </c>
      <c r="E4458" s="2" t="s">
        <v>36</v>
      </c>
      <c r="F4458" s="4">
        <v>6036</v>
      </c>
      <c r="G4458" s="2" t="s">
        <v>33</v>
      </c>
      <c r="H4458" s="2" t="s">
        <v>34</v>
      </c>
      <c r="I4458" s="2" t="s">
        <v>4392</v>
      </c>
      <c r="J4458" s="2" t="s">
        <v>263</v>
      </c>
      <c r="K4458" s="2" t="s">
        <v>37</v>
      </c>
      <c r="L4458" s="2" t="s">
        <v>34</v>
      </c>
      <c r="M4458" s="12">
        <v>4539.165</v>
      </c>
      <c r="N4458" s="7">
        <v>43.688000000000002</v>
      </c>
      <c r="O4458" s="7">
        <v>42.938000000000002</v>
      </c>
      <c r="P4458" s="2" t="s">
        <v>13866</v>
      </c>
      <c r="Q4458" s="6">
        <v>100</v>
      </c>
      <c r="R4458" s="6">
        <v>28.27</v>
      </c>
      <c r="S4458" s="5">
        <v>11.8</v>
      </c>
      <c r="T4458" s="7">
        <v>18.446999999999999</v>
      </c>
      <c r="U4458" s="5">
        <v>7.7</v>
      </c>
      <c r="V4458" s="9">
        <v>1.2544999999999999</v>
      </c>
      <c r="W4458" s="6">
        <v>21.25</v>
      </c>
      <c r="X4458" s="4">
        <v>21</v>
      </c>
      <c r="Y4458" s="4">
        <v>26</v>
      </c>
      <c r="Z4458" s="6">
        <v>25.75</v>
      </c>
      <c r="AA4458" s="6">
        <v>8.15</v>
      </c>
      <c r="AB4458" s="7">
        <v>27.542000000000002</v>
      </c>
      <c r="AC4458" s="6">
        <v>615.85</v>
      </c>
    </row>
    <row r="4459" spans="1:29" ht="91" x14ac:dyDescent="0.15">
      <c r="A4459" s="3">
        <f>DATE(1999,2,24)</f>
        <v>36215</v>
      </c>
      <c r="B4459" s="3">
        <f>DATE(1999,5,21)</f>
        <v>36301</v>
      </c>
      <c r="C4459" s="2" t="s">
        <v>95</v>
      </c>
      <c r="D4459" s="2" t="s">
        <v>13867</v>
      </c>
      <c r="E4459" s="2" t="s">
        <v>13868</v>
      </c>
      <c r="F4459" s="4">
        <v>3823</v>
      </c>
      <c r="G4459" s="2" t="s">
        <v>226</v>
      </c>
      <c r="H4459" s="2" t="s">
        <v>34</v>
      </c>
      <c r="I4459" s="2" t="s">
        <v>51</v>
      </c>
      <c r="J4459" s="2" t="s">
        <v>52</v>
      </c>
      <c r="K4459" s="2" t="s">
        <v>53</v>
      </c>
      <c r="L4459" s="2" t="s">
        <v>34</v>
      </c>
      <c r="M4459" s="2"/>
      <c r="N4459" s="2"/>
      <c r="O4459" s="2"/>
      <c r="P4459" s="2" t="s">
        <v>13869</v>
      </c>
      <c r="Q4459" s="6">
        <v>32.299999999999997</v>
      </c>
      <c r="R4459" s="6">
        <v>28.5</v>
      </c>
      <c r="S4459" s="5">
        <v>6</v>
      </c>
      <c r="T4459" s="7">
        <v>9.4220000000000006</v>
      </c>
      <c r="U4459" s="5">
        <v>10.5</v>
      </c>
      <c r="V4459" s="6">
        <v>1.8</v>
      </c>
      <c r="W4459" s="7">
        <v>20.375</v>
      </c>
      <c r="X4459" s="5">
        <v>20.5</v>
      </c>
      <c r="Y4459" s="5">
        <v>27.5</v>
      </c>
      <c r="Z4459" s="6">
        <v>27.25</v>
      </c>
      <c r="AA4459" s="6">
        <v>3.38</v>
      </c>
      <c r="AB4459" s="7">
        <v>11.145</v>
      </c>
      <c r="AC4459" s="2"/>
    </row>
    <row r="4460" spans="1:29" ht="182" x14ac:dyDescent="0.15">
      <c r="A4460" s="3">
        <f>DATE(1999,2,25)</f>
        <v>36216</v>
      </c>
      <c r="B4460" s="3">
        <f>DATE(1999,8,30)</f>
        <v>36402</v>
      </c>
      <c r="C4460" s="2" t="s">
        <v>95</v>
      </c>
      <c r="D4460" s="2" t="s">
        <v>13870</v>
      </c>
      <c r="E4460" s="2" t="s">
        <v>36</v>
      </c>
      <c r="F4460" s="4">
        <v>6021</v>
      </c>
      <c r="G4460" s="2" t="s">
        <v>37</v>
      </c>
      <c r="H4460" s="2" t="s">
        <v>34</v>
      </c>
      <c r="I4460" s="2" t="s">
        <v>13707</v>
      </c>
      <c r="J4460" s="2" t="s">
        <v>36</v>
      </c>
      <c r="K4460" s="2" t="s">
        <v>37</v>
      </c>
      <c r="L4460" s="2" t="s">
        <v>34</v>
      </c>
      <c r="M4460" s="10">
        <v>11075.13</v>
      </c>
      <c r="N4460" s="7">
        <v>36.563000000000002</v>
      </c>
      <c r="O4460" s="7">
        <v>37.875</v>
      </c>
      <c r="P4460" s="2" t="s">
        <v>13871</v>
      </c>
      <c r="Q4460" s="6">
        <v>100</v>
      </c>
      <c r="R4460" s="6">
        <v>26.13</v>
      </c>
      <c r="S4460" s="5">
        <v>5.9</v>
      </c>
      <c r="T4460" s="7">
        <v>10.164</v>
      </c>
      <c r="U4460" s="5">
        <v>16.5</v>
      </c>
      <c r="V4460" s="6">
        <v>1.19</v>
      </c>
      <c r="W4460" s="4">
        <v>29</v>
      </c>
      <c r="X4460" s="4">
        <v>31</v>
      </c>
      <c r="Y4460" s="4">
        <v>30</v>
      </c>
      <c r="Z4460" s="9">
        <v>32.1875</v>
      </c>
      <c r="AA4460" s="6">
        <v>3.98</v>
      </c>
      <c r="AB4460" s="7">
        <v>72.953000000000003</v>
      </c>
      <c r="AC4460" s="2"/>
    </row>
    <row r="4461" spans="1:29" ht="65" x14ac:dyDescent="0.15">
      <c r="A4461" s="3">
        <f>DATE(1999,2,25)</f>
        <v>36216</v>
      </c>
      <c r="B4461" s="2"/>
      <c r="C4461" s="2" t="s">
        <v>87</v>
      </c>
      <c r="D4461" s="2" t="s">
        <v>10168</v>
      </c>
      <c r="E4461" s="2" t="s">
        <v>10169</v>
      </c>
      <c r="F4461" s="4">
        <v>7011</v>
      </c>
      <c r="G4461" s="2" t="s">
        <v>269</v>
      </c>
      <c r="H4461" s="2" t="s">
        <v>34</v>
      </c>
      <c r="I4461" s="2" t="s">
        <v>13572</v>
      </c>
      <c r="J4461" s="2" t="s">
        <v>13573</v>
      </c>
      <c r="K4461" s="2" t="s">
        <v>269</v>
      </c>
      <c r="L4461" s="2" t="s">
        <v>34</v>
      </c>
      <c r="M4461" s="2"/>
      <c r="N4461" s="2"/>
      <c r="O4461" s="2"/>
      <c r="P4461" s="2" t="s">
        <v>13872</v>
      </c>
      <c r="Q4461" s="2"/>
      <c r="R4461" s="2"/>
      <c r="S4461" s="5">
        <v>53.8</v>
      </c>
      <c r="T4461" s="7">
        <v>148.297</v>
      </c>
      <c r="U4461" s="5">
        <v>11.6</v>
      </c>
      <c r="V4461" s="6">
        <v>1</v>
      </c>
      <c r="W4461" s="5">
        <v>9.5</v>
      </c>
      <c r="X4461" s="6">
        <v>10.25</v>
      </c>
      <c r="Y4461" s="7">
        <v>10.313000000000001</v>
      </c>
      <c r="Z4461" s="6">
        <v>10.25</v>
      </c>
      <c r="AA4461" s="6">
        <v>53.76</v>
      </c>
      <c r="AB4461" s="2" t="s">
        <v>47</v>
      </c>
      <c r="AC4461" s="2"/>
    </row>
    <row r="4462" spans="1:29" ht="117" x14ac:dyDescent="0.15">
      <c r="A4462" s="3">
        <f>DATE(1999,2,25)</f>
        <v>36216</v>
      </c>
      <c r="B4462" s="3">
        <f>DATE(1999,7,1)</f>
        <v>36342</v>
      </c>
      <c r="C4462" s="2" t="s">
        <v>95</v>
      </c>
      <c r="D4462" s="2" t="s">
        <v>10946</v>
      </c>
      <c r="E4462" s="2" t="s">
        <v>2898</v>
      </c>
      <c r="F4462" s="4">
        <v>6022</v>
      </c>
      <c r="G4462" s="2" t="s">
        <v>37</v>
      </c>
      <c r="H4462" s="2" t="s">
        <v>34</v>
      </c>
      <c r="I4462" s="2" t="s">
        <v>13873</v>
      </c>
      <c r="J4462" s="2" t="s">
        <v>36</v>
      </c>
      <c r="K4462" s="2" t="s">
        <v>37</v>
      </c>
      <c r="L4462" s="2" t="s">
        <v>34</v>
      </c>
      <c r="M4462" s="2"/>
      <c r="N4462" s="2"/>
      <c r="O4462" s="2"/>
      <c r="P4462" s="2" t="s">
        <v>13874</v>
      </c>
      <c r="Q4462" s="6">
        <v>100</v>
      </c>
      <c r="R4462" s="6">
        <v>36.08</v>
      </c>
      <c r="S4462" s="5">
        <v>7.7</v>
      </c>
      <c r="T4462" s="7">
        <v>19.766999999999999</v>
      </c>
      <c r="U4462" s="5">
        <v>14.8</v>
      </c>
      <c r="V4462" s="6">
        <v>1.41</v>
      </c>
      <c r="W4462" s="7">
        <v>24.875</v>
      </c>
      <c r="X4462" s="7">
        <v>28.469000000000001</v>
      </c>
      <c r="Y4462" s="7">
        <v>28.875</v>
      </c>
      <c r="Z4462" s="5">
        <v>30.5</v>
      </c>
      <c r="AA4462" s="6">
        <v>5.28</v>
      </c>
      <c r="AB4462" s="7">
        <v>11.617000000000001</v>
      </c>
      <c r="AC4462" s="2"/>
    </row>
    <row r="4463" spans="1:29" ht="52" x14ac:dyDescent="0.15">
      <c r="A4463" s="3">
        <f>DATE(1999,2,26)</f>
        <v>36217</v>
      </c>
      <c r="B4463" s="2"/>
      <c r="C4463" s="2" t="s">
        <v>87</v>
      </c>
      <c r="D4463" s="2" t="s">
        <v>13875</v>
      </c>
      <c r="E4463" s="2" t="s">
        <v>13876</v>
      </c>
      <c r="F4463" s="4">
        <v>3711</v>
      </c>
      <c r="G4463" s="2" t="s">
        <v>105</v>
      </c>
      <c r="H4463" s="2" t="s">
        <v>34</v>
      </c>
      <c r="I4463" s="2" t="s">
        <v>13877</v>
      </c>
      <c r="J4463" s="2" t="s">
        <v>13878</v>
      </c>
      <c r="K4463" s="2" t="s">
        <v>105</v>
      </c>
      <c r="L4463" s="2" t="s">
        <v>435</v>
      </c>
      <c r="M4463" s="2"/>
      <c r="N4463" s="2"/>
      <c r="O4463" s="2"/>
      <c r="P4463" s="2" t="s">
        <v>13879</v>
      </c>
      <c r="Q4463" s="2"/>
      <c r="R4463" s="2"/>
      <c r="S4463" s="5">
        <v>322</v>
      </c>
      <c r="T4463" s="5">
        <v>815</v>
      </c>
      <c r="U4463" s="5">
        <v>12.3</v>
      </c>
      <c r="V4463" s="6">
        <v>4.5999999999999996</v>
      </c>
      <c r="W4463" s="5">
        <v>39.5</v>
      </c>
      <c r="X4463" s="7">
        <v>39.438000000000002</v>
      </c>
      <c r="Y4463" s="4">
        <v>43</v>
      </c>
      <c r="Z4463" s="6">
        <v>43.75</v>
      </c>
      <c r="AA4463" s="6">
        <v>67.05</v>
      </c>
      <c r="AB4463" s="2" t="s">
        <v>47</v>
      </c>
      <c r="AC4463" s="10">
        <v>2485.5300000000002</v>
      </c>
    </row>
    <row r="4464" spans="1:29" ht="91" x14ac:dyDescent="0.15">
      <c r="A4464" s="3">
        <f>DATE(1999,2,26)</f>
        <v>36217</v>
      </c>
      <c r="B4464" s="2"/>
      <c r="C4464" s="2" t="s">
        <v>30</v>
      </c>
      <c r="D4464" s="2" t="s">
        <v>13880</v>
      </c>
      <c r="E4464" s="2" t="s">
        <v>13881</v>
      </c>
      <c r="F4464" s="4">
        <v>5136</v>
      </c>
      <c r="G4464" s="2" t="s">
        <v>593</v>
      </c>
      <c r="H4464" s="2" t="s">
        <v>34</v>
      </c>
      <c r="I4464" s="2" t="s">
        <v>51</v>
      </c>
      <c r="J4464" s="2" t="s">
        <v>52</v>
      </c>
      <c r="K4464" s="2" t="s">
        <v>53</v>
      </c>
      <c r="L4464" s="2" t="s">
        <v>34</v>
      </c>
      <c r="M4464" s="2"/>
      <c r="N4464" s="2"/>
      <c r="O4464" s="2"/>
      <c r="P4464" s="2" t="s">
        <v>13882</v>
      </c>
      <c r="Q4464" s="2"/>
      <c r="R4464" s="6">
        <v>17</v>
      </c>
      <c r="S4464" s="5">
        <v>3.6</v>
      </c>
      <c r="T4464" s="7">
        <v>25.792999999999999</v>
      </c>
      <c r="U4464" s="5">
        <v>9.9</v>
      </c>
      <c r="V4464" s="6">
        <v>0.28999999999999998</v>
      </c>
      <c r="W4464" s="7">
        <v>12.813000000000001</v>
      </c>
      <c r="X4464" s="6">
        <v>12.25</v>
      </c>
      <c r="Y4464" s="7">
        <v>12.875</v>
      </c>
      <c r="Z4464" s="7">
        <v>16.625</v>
      </c>
      <c r="AA4464" s="6">
        <v>12.49</v>
      </c>
      <c r="AB4464" s="7">
        <v>14.803000000000001</v>
      </c>
      <c r="AC4464" s="2"/>
    </row>
    <row r="4465" spans="1:29" ht="39" x14ac:dyDescent="0.15">
      <c r="A4465" s="3">
        <f>DATE(1999,2,26)</f>
        <v>36217</v>
      </c>
      <c r="B4465" s="3">
        <f>DATE(1999,6,1)</f>
        <v>36312</v>
      </c>
      <c r="C4465" s="2" t="s">
        <v>95</v>
      </c>
      <c r="D4465" s="2" t="s">
        <v>3192</v>
      </c>
      <c r="E4465" s="2" t="s">
        <v>3193</v>
      </c>
      <c r="F4465" s="4">
        <v>5541</v>
      </c>
      <c r="G4465" s="2" t="s">
        <v>73</v>
      </c>
      <c r="H4465" s="2" t="s">
        <v>34</v>
      </c>
      <c r="I4465" s="2" t="s">
        <v>13883</v>
      </c>
      <c r="J4465" s="2" t="s">
        <v>13884</v>
      </c>
      <c r="K4465" s="2" t="s">
        <v>73</v>
      </c>
      <c r="L4465" s="2" t="s">
        <v>34</v>
      </c>
      <c r="M4465" s="2"/>
      <c r="N4465" s="2"/>
      <c r="O4465" s="2"/>
      <c r="P4465" s="2" t="s">
        <v>13885</v>
      </c>
      <c r="Q4465" s="6">
        <v>100</v>
      </c>
      <c r="R4465" s="6">
        <v>4.3</v>
      </c>
      <c r="S4465" s="5">
        <v>2.2999999999999998</v>
      </c>
      <c r="T4465" s="7">
        <v>10.074</v>
      </c>
      <c r="U4465" s="5">
        <v>3</v>
      </c>
      <c r="V4465" s="6">
        <v>0.3</v>
      </c>
      <c r="W4465" s="7">
        <v>3.6880000000000002</v>
      </c>
      <c r="X4465" s="6">
        <v>3.25</v>
      </c>
      <c r="Y4465" s="7">
        <v>2.8130000000000002</v>
      </c>
      <c r="Z4465" s="7">
        <v>3.9380000000000002</v>
      </c>
      <c r="AA4465" s="6">
        <v>6.54</v>
      </c>
      <c r="AB4465" s="7">
        <v>9.5030000000000001</v>
      </c>
      <c r="AC4465" s="2"/>
    </row>
    <row r="4466" spans="1:29" ht="143" x14ac:dyDescent="0.15">
      <c r="A4466" s="3">
        <f>DATE(1999,2,26)</f>
        <v>36217</v>
      </c>
      <c r="B4466" s="3">
        <f>DATE(1999,6,23)</f>
        <v>36334</v>
      </c>
      <c r="C4466" s="2" t="s">
        <v>95</v>
      </c>
      <c r="D4466" s="2" t="s">
        <v>13886</v>
      </c>
      <c r="E4466" s="2" t="s">
        <v>13887</v>
      </c>
      <c r="F4466" s="4">
        <v>3674</v>
      </c>
      <c r="G4466" s="2" t="s">
        <v>137</v>
      </c>
      <c r="H4466" s="2" t="s">
        <v>34</v>
      </c>
      <c r="I4466" s="2" t="s">
        <v>12628</v>
      </c>
      <c r="J4466" s="2" t="s">
        <v>12629</v>
      </c>
      <c r="K4466" s="2" t="s">
        <v>137</v>
      </c>
      <c r="L4466" s="2" t="s">
        <v>2105</v>
      </c>
      <c r="M4466" s="2"/>
      <c r="N4466" s="2"/>
      <c r="O4466" s="2"/>
      <c r="P4466" s="2" t="s">
        <v>13888</v>
      </c>
      <c r="Q4466" s="6">
        <v>100</v>
      </c>
      <c r="R4466" s="6">
        <v>21</v>
      </c>
      <c r="S4466" s="5">
        <v>22.5</v>
      </c>
      <c r="T4466" s="7">
        <v>109.32299999999999</v>
      </c>
      <c r="U4466" s="5">
        <v>12.2</v>
      </c>
      <c r="V4466" s="6">
        <v>0.46</v>
      </c>
      <c r="W4466" s="6">
        <v>9.75</v>
      </c>
      <c r="X4466" s="6">
        <v>10.75</v>
      </c>
      <c r="Y4466" s="5">
        <v>15.5</v>
      </c>
      <c r="Z4466" s="7">
        <v>16.125</v>
      </c>
      <c r="AA4466" s="6">
        <v>45.7</v>
      </c>
      <c r="AB4466" s="7">
        <v>360.21800000000002</v>
      </c>
      <c r="AC4466" s="10">
        <v>7176.76</v>
      </c>
    </row>
    <row r="4467" spans="1:29" ht="130" x14ac:dyDescent="0.15">
      <c r="A4467" s="3">
        <f t="shared" ref="A4467:A4473" si="88">DATE(1999,3,1)</f>
        <v>36220</v>
      </c>
      <c r="B4467" s="3">
        <f>DATE(1999,4,29)</f>
        <v>36279</v>
      </c>
      <c r="C4467" s="2" t="s">
        <v>95</v>
      </c>
      <c r="D4467" s="2" t="s">
        <v>6461</v>
      </c>
      <c r="E4467" s="2" t="s">
        <v>6462</v>
      </c>
      <c r="F4467" s="4">
        <v>3663</v>
      </c>
      <c r="G4467" s="2" t="s">
        <v>921</v>
      </c>
      <c r="H4467" s="2" t="s">
        <v>34</v>
      </c>
      <c r="I4467" s="2" t="s">
        <v>13358</v>
      </c>
      <c r="J4467" s="2" t="s">
        <v>13359</v>
      </c>
      <c r="K4467" s="2" t="s">
        <v>921</v>
      </c>
      <c r="L4467" s="2" t="s">
        <v>34</v>
      </c>
      <c r="M4467" s="12">
        <v>1854.249</v>
      </c>
      <c r="N4467" s="6">
        <v>44.25</v>
      </c>
      <c r="O4467" s="7">
        <v>43.875</v>
      </c>
      <c r="P4467" s="2" t="s">
        <v>13889</v>
      </c>
      <c r="Q4467" s="6">
        <v>100</v>
      </c>
      <c r="R4467" s="6">
        <v>13.5</v>
      </c>
      <c r="S4467" s="5">
        <v>-1.7</v>
      </c>
      <c r="T4467" s="7">
        <v>1.119</v>
      </c>
      <c r="U4467" s="5">
        <v>17.2</v>
      </c>
      <c r="V4467" s="6">
        <v>-0.34</v>
      </c>
      <c r="W4467" s="7">
        <v>8.1880000000000006</v>
      </c>
      <c r="X4467" s="7">
        <v>8.1880000000000006</v>
      </c>
      <c r="Y4467" s="4">
        <v>8</v>
      </c>
      <c r="Z4467" s="7">
        <v>8.0630000000000006</v>
      </c>
      <c r="AA4467" s="6">
        <v>5.22</v>
      </c>
      <c r="AB4467" s="2" t="s">
        <v>86</v>
      </c>
      <c r="AC4467" s="6">
        <v>26.13</v>
      </c>
    </row>
    <row r="4468" spans="1:29" ht="104" x14ac:dyDescent="0.15">
      <c r="A4468" s="3">
        <f t="shared" si="88"/>
        <v>36220</v>
      </c>
      <c r="B4468" s="2"/>
      <c r="C4468" s="2" t="s">
        <v>30</v>
      </c>
      <c r="D4468" s="2" t="s">
        <v>13890</v>
      </c>
      <c r="E4468" s="2" t="s">
        <v>13891</v>
      </c>
      <c r="F4468" s="4">
        <v>3842</v>
      </c>
      <c r="G4468" s="2" t="s">
        <v>226</v>
      </c>
      <c r="H4468" s="2" t="s">
        <v>34</v>
      </c>
      <c r="I4468" s="2" t="s">
        <v>13892</v>
      </c>
      <c r="J4468" s="2" t="s">
        <v>13893</v>
      </c>
      <c r="K4468" s="2" t="s">
        <v>226</v>
      </c>
      <c r="L4468" s="2" t="s">
        <v>34</v>
      </c>
      <c r="M4468" s="7">
        <v>457.822</v>
      </c>
      <c r="N4468" s="7">
        <v>15.813000000000001</v>
      </c>
      <c r="O4468" s="6">
        <v>15.75</v>
      </c>
      <c r="P4468" s="2" t="s">
        <v>13894</v>
      </c>
      <c r="Q4468" s="2"/>
      <c r="R4468" s="6">
        <v>14.5</v>
      </c>
      <c r="S4468" s="5">
        <v>-1.9</v>
      </c>
      <c r="T4468" s="7">
        <v>-1.5369999999999999</v>
      </c>
      <c r="U4468" s="5">
        <v>11.4</v>
      </c>
      <c r="V4468" s="6">
        <v>-0.21</v>
      </c>
      <c r="W4468" s="7">
        <v>10.563000000000001</v>
      </c>
      <c r="X4468" s="7">
        <v>11.188000000000001</v>
      </c>
      <c r="Y4468" s="7">
        <v>13.375</v>
      </c>
      <c r="Z4468" s="5">
        <v>13.5</v>
      </c>
      <c r="AA4468" s="6">
        <v>8.5299999999999994</v>
      </c>
      <c r="AB4468" s="2" t="s">
        <v>86</v>
      </c>
      <c r="AC4468" s="6">
        <v>27.94</v>
      </c>
    </row>
    <row r="4469" spans="1:29" ht="117" x14ac:dyDescent="0.15">
      <c r="A4469" s="3">
        <f t="shared" si="88"/>
        <v>36220</v>
      </c>
      <c r="B4469" s="3">
        <f>DATE(1999,8,6)</f>
        <v>36378</v>
      </c>
      <c r="C4469" s="2" t="s">
        <v>95</v>
      </c>
      <c r="D4469" s="2" t="s">
        <v>13895</v>
      </c>
      <c r="E4469" s="2" t="s">
        <v>389</v>
      </c>
      <c r="F4469" s="4">
        <v>6036</v>
      </c>
      <c r="G4469" s="2" t="s">
        <v>33</v>
      </c>
      <c r="H4469" s="2" t="s">
        <v>34</v>
      </c>
      <c r="I4469" s="2" t="s">
        <v>1963</v>
      </c>
      <c r="J4469" s="2" t="s">
        <v>36</v>
      </c>
      <c r="K4469" s="2" t="s">
        <v>37</v>
      </c>
      <c r="L4469" s="2" t="s">
        <v>34</v>
      </c>
      <c r="M4469" s="12">
        <v>17689.988000000001</v>
      </c>
      <c r="N4469" s="7">
        <v>66.125</v>
      </c>
      <c r="O4469" s="6">
        <v>65.25</v>
      </c>
      <c r="P4469" s="2" t="s">
        <v>13896</v>
      </c>
      <c r="Q4469" s="6">
        <v>100</v>
      </c>
      <c r="R4469" s="6">
        <v>19.8</v>
      </c>
      <c r="S4469" s="5">
        <v>7.6</v>
      </c>
      <c r="T4469" s="7">
        <v>11.864000000000001</v>
      </c>
      <c r="U4469" s="5">
        <v>5.3</v>
      </c>
      <c r="V4469" s="6">
        <v>0.71</v>
      </c>
      <c r="W4469" s="5">
        <v>14.5</v>
      </c>
      <c r="X4469" s="5">
        <v>14.5</v>
      </c>
      <c r="Y4469" s="7">
        <v>18.625</v>
      </c>
      <c r="Z4469" s="7">
        <v>18.484000000000002</v>
      </c>
      <c r="AA4469" s="6">
        <v>10.3</v>
      </c>
      <c r="AB4469" s="7">
        <v>22.427</v>
      </c>
      <c r="AC4469" s="2"/>
    </row>
    <row r="4470" spans="1:29" ht="221" x14ac:dyDescent="0.15">
      <c r="A4470" s="3">
        <f t="shared" si="88"/>
        <v>36220</v>
      </c>
      <c r="B4470" s="3">
        <f>DATE(1999,7,29)</f>
        <v>36370</v>
      </c>
      <c r="C4470" s="2" t="s">
        <v>95</v>
      </c>
      <c r="D4470" s="2" t="s">
        <v>13897</v>
      </c>
      <c r="E4470" s="2" t="s">
        <v>13898</v>
      </c>
      <c r="F4470" s="4">
        <v>2834</v>
      </c>
      <c r="G4470" s="2" t="s">
        <v>130</v>
      </c>
      <c r="H4470" s="2" t="s">
        <v>34</v>
      </c>
      <c r="I4470" s="2" t="s">
        <v>13899</v>
      </c>
      <c r="J4470" s="2" t="s">
        <v>540</v>
      </c>
      <c r="K4470" s="2" t="s">
        <v>130</v>
      </c>
      <c r="L4470" s="2" t="s">
        <v>34</v>
      </c>
      <c r="M4470" s="12">
        <v>1331.932</v>
      </c>
      <c r="N4470" s="6">
        <v>40.75</v>
      </c>
      <c r="O4470" s="7">
        <v>40.375</v>
      </c>
      <c r="P4470" s="2" t="s">
        <v>13900</v>
      </c>
      <c r="Q4470" s="6">
        <v>100</v>
      </c>
      <c r="R4470" s="6">
        <v>24.18</v>
      </c>
      <c r="S4470" s="5">
        <v>10.9</v>
      </c>
      <c r="T4470" s="7">
        <v>6.4470000000000001</v>
      </c>
      <c r="U4470" s="5">
        <v>2.4</v>
      </c>
      <c r="V4470" s="6">
        <v>0.38</v>
      </c>
      <c r="W4470" s="6">
        <v>10.56</v>
      </c>
      <c r="X4470" s="6">
        <v>13.81</v>
      </c>
      <c r="Y4470" s="7">
        <v>15.125</v>
      </c>
      <c r="Z4470" s="6">
        <v>15.25</v>
      </c>
      <c r="AA4470" s="6">
        <v>28.59</v>
      </c>
      <c r="AB4470" s="2" t="s">
        <v>86</v>
      </c>
      <c r="AC4470" s="6">
        <v>279.94</v>
      </c>
    </row>
    <row r="4471" spans="1:29" ht="117" x14ac:dyDescent="0.15">
      <c r="A4471" s="3">
        <f t="shared" si="88"/>
        <v>36220</v>
      </c>
      <c r="B4471" s="3">
        <f>DATE(1999,4,15)</f>
        <v>36265</v>
      </c>
      <c r="C4471" s="2" t="s">
        <v>95</v>
      </c>
      <c r="D4471" s="2" t="s">
        <v>13901</v>
      </c>
      <c r="E4471" s="2" t="s">
        <v>13902</v>
      </c>
      <c r="F4471" s="4">
        <v>3661</v>
      </c>
      <c r="G4471" s="2" t="s">
        <v>921</v>
      </c>
      <c r="H4471" s="2" t="s">
        <v>34</v>
      </c>
      <c r="I4471" s="2" t="s">
        <v>11975</v>
      </c>
      <c r="J4471" s="2" t="s">
        <v>11976</v>
      </c>
      <c r="K4471" s="2" t="s">
        <v>341</v>
      </c>
      <c r="L4471" s="2" t="s">
        <v>303</v>
      </c>
      <c r="M4471" s="2"/>
      <c r="N4471" s="2"/>
      <c r="O4471" s="2"/>
      <c r="P4471" s="2" t="s">
        <v>13903</v>
      </c>
      <c r="Q4471" s="6">
        <v>100</v>
      </c>
      <c r="R4471" s="6">
        <v>29.5</v>
      </c>
      <c r="S4471" s="5">
        <v>-36.299999999999997</v>
      </c>
      <c r="T4471" s="5">
        <v>139.19999999999999</v>
      </c>
      <c r="U4471" s="5">
        <v>8.6999999999999993</v>
      </c>
      <c r="V4471" s="6">
        <v>-0.66</v>
      </c>
      <c r="W4471" s="7">
        <v>19.937999999999999</v>
      </c>
      <c r="X4471" s="6">
        <v>21.75</v>
      </c>
      <c r="Y4471" s="7">
        <v>29.125</v>
      </c>
      <c r="Z4471" s="7">
        <v>29.187999999999999</v>
      </c>
      <c r="AA4471" s="6">
        <v>56.37</v>
      </c>
      <c r="AB4471" s="7">
        <v>26.28</v>
      </c>
      <c r="AC4471" s="2"/>
    </row>
    <row r="4472" spans="1:29" ht="143" x14ac:dyDescent="0.15">
      <c r="A4472" s="3">
        <f t="shared" si="88"/>
        <v>36220</v>
      </c>
      <c r="B4472" s="2"/>
      <c r="C4472" s="2" t="s">
        <v>30</v>
      </c>
      <c r="D4472" s="2" t="s">
        <v>10282</v>
      </c>
      <c r="E4472" s="2" t="s">
        <v>10283</v>
      </c>
      <c r="F4472" s="4">
        <v>5111</v>
      </c>
      <c r="G4472" s="2" t="s">
        <v>593</v>
      </c>
      <c r="H4472" s="2" t="s">
        <v>34</v>
      </c>
      <c r="I4472" s="2" t="s">
        <v>13904</v>
      </c>
      <c r="J4472" s="2" t="s">
        <v>13905</v>
      </c>
      <c r="K4472" s="2" t="s">
        <v>439</v>
      </c>
      <c r="L4472" s="2" t="s">
        <v>34</v>
      </c>
      <c r="M4472" s="7">
        <v>721.79200000000003</v>
      </c>
      <c r="N4472" s="7">
        <v>15.938000000000001</v>
      </c>
      <c r="O4472" s="7">
        <v>16.937999999999999</v>
      </c>
      <c r="P4472" s="2" t="s">
        <v>13906</v>
      </c>
      <c r="Q4472" s="2"/>
      <c r="R4472" s="6">
        <v>11.49</v>
      </c>
      <c r="S4472" s="5">
        <v>-231.8</v>
      </c>
      <c r="T4472" s="7">
        <v>170.20699999999999</v>
      </c>
      <c r="U4472" s="5">
        <v>9.9</v>
      </c>
      <c r="V4472" s="6">
        <v>-3.36</v>
      </c>
      <c r="W4472" s="5">
        <v>7.5</v>
      </c>
      <c r="X4472" s="4">
        <v>7</v>
      </c>
      <c r="Y4472" s="4">
        <v>8</v>
      </c>
      <c r="Z4472" s="7">
        <v>8.125</v>
      </c>
      <c r="AA4472" s="6">
        <v>70.19</v>
      </c>
      <c r="AB4472" s="7">
        <v>11.363</v>
      </c>
      <c r="AC4472" s="5">
        <v>148.4</v>
      </c>
    </row>
    <row r="4473" spans="1:29" ht="130" x14ac:dyDescent="0.15">
      <c r="A4473" s="3">
        <f t="shared" si="88"/>
        <v>36220</v>
      </c>
      <c r="B4473" s="3">
        <f>DATE(1999,7,6)</f>
        <v>36347</v>
      </c>
      <c r="C4473" s="2" t="s">
        <v>95</v>
      </c>
      <c r="D4473" s="2" t="s">
        <v>13907</v>
      </c>
      <c r="E4473" s="2" t="s">
        <v>13908</v>
      </c>
      <c r="F4473" s="4">
        <v>6798</v>
      </c>
      <c r="G4473" s="2" t="s">
        <v>53</v>
      </c>
      <c r="H4473" s="2" t="s">
        <v>34</v>
      </c>
      <c r="I4473" s="2" t="s">
        <v>13909</v>
      </c>
      <c r="J4473" s="2" t="s">
        <v>92</v>
      </c>
      <c r="K4473" s="2" t="s">
        <v>53</v>
      </c>
      <c r="L4473" s="2" t="s">
        <v>34</v>
      </c>
      <c r="M4473" s="12">
        <v>1898.8689999999999</v>
      </c>
      <c r="N4473" s="7">
        <v>20.937999999999999</v>
      </c>
      <c r="O4473" s="6">
        <v>21.25</v>
      </c>
      <c r="P4473" s="2" t="s">
        <v>13910</v>
      </c>
      <c r="Q4473" s="6">
        <v>100</v>
      </c>
      <c r="R4473" s="6">
        <v>30.1</v>
      </c>
      <c r="S4473" s="5">
        <v>35.1</v>
      </c>
      <c r="T4473" s="7">
        <v>79.064999999999998</v>
      </c>
      <c r="U4473" s="5">
        <v>18.5</v>
      </c>
      <c r="V4473" s="6">
        <v>1.19</v>
      </c>
      <c r="W4473" s="6">
        <v>26.12</v>
      </c>
      <c r="X4473" s="4">
        <v>27</v>
      </c>
      <c r="Y4473" s="4">
        <v>28</v>
      </c>
      <c r="Z4473" s="7">
        <v>28.375</v>
      </c>
      <c r="AA4473" s="6">
        <v>19.670000000000002</v>
      </c>
      <c r="AB4473" s="7">
        <v>41.106000000000002</v>
      </c>
      <c r="AC4473" s="2"/>
    </row>
    <row r="4474" spans="1:29" ht="65" x14ac:dyDescent="0.15">
      <c r="A4474" s="3">
        <f>DATE(1999,3,2)</f>
        <v>36221</v>
      </c>
      <c r="B4474" s="2"/>
      <c r="C4474" s="2" t="s">
        <v>30</v>
      </c>
      <c r="D4474" s="2" t="s">
        <v>13911</v>
      </c>
      <c r="E4474" s="2" t="s">
        <v>13912</v>
      </c>
      <c r="F4474" s="4">
        <v>3769</v>
      </c>
      <c r="G4474" s="2" t="s">
        <v>219</v>
      </c>
      <c r="H4474" s="2" t="s">
        <v>34</v>
      </c>
      <c r="I4474" s="2" t="s">
        <v>13913</v>
      </c>
      <c r="J4474" s="2" t="s">
        <v>302</v>
      </c>
      <c r="K4474" s="2" t="s">
        <v>53</v>
      </c>
      <c r="L4474" s="2" t="s">
        <v>34</v>
      </c>
      <c r="M4474" s="2"/>
      <c r="N4474" s="2"/>
      <c r="O4474" s="2"/>
      <c r="P4474" s="2" t="s">
        <v>13914</v>
      </c>
      <c r="Q4474" s="2"/>
      <c r="R4474" s="6">
        <v>15.5</v>
      </c>
      <c r="S4474" s="5">
        <v>57.8</v>
      </c>
      <c r="T4474" s="7">
        <v>33.442999999999998</v>
      </c>
      <c r="U4474" s="5">
        <v>9.4</v>
      </c>
      <c r="V4474" s="7">
        <v>3.044</v>
      </c>
      <c r="W4474" s="7">
        <v>14.188000000000001</v>
      </c>
      <c r="X4474" s="7">
        <v>13.813000000000001</v>
      </c>
      <c r="Y4474" s="6">
        <v>14.75</v>
      </c>
      <c r="Z4474" s="9">
        <v>14.8125</v>
      </c>
      <c r="AA4474" s="6">
        <v>18.170000000000002</v>
      </c>
      <c r="AB4474" s="7">
        <v>12.122</v>
      </c>
      <c r="AC4474" s="2"/>
    </row>
    <row r="4475" spans="1:29" ht="91" x14ac:dyDescent="0.15">
      <c r="A4475" s="3">
        <f>DATE(1999,3,2)</f>
        <v>36221</v>
      </c>
      <c r="B4475" s="3">
        <f>DATE(1999,6,15)</f>
        <v>36326</v>
      </c>
      <c r="C4475" s="2" t="s">
        <v>95</v>
      </c>
      <c r="D4475" s="2" t="s">
        <v>5185</v>
      </c>
      <c r="E4475" s="2" t="s">
        <v>5186</v>
      </c>
      <c r="F4475" s="4">
        <v>5139</v>
      </c>
      <c r="G4475" s="2" t="s">
        <v>593</v>
      </c>
      <c r="H4475" s="2" t="s">
        <v>34</v>
      </c>
      <c r="I4475" s="2" t="s">
        <v>13915</v>
      </c>
      <c r="J4475" s="2" t="s">
        <v>13916</v>
      </c>
      <c r="K4475" s="2" t="s">
        <v>708</v>
      </c>
      <c r="L4475" s="2" t="s">
        <v>34</v>
      </c>
      <c r="M4475" s="12">
        <v>3106.4760000000001</v>
      </c>
      <c r="N4475" s="7">
        <v>25.937999999999999</v>
      </c>
      <c r="O4475" s="6">
        <v>22.75</v>
      </c>
      <c r="P4475" s="2" t="s">
        <v>13917</v>
      </c>
      <c r="Q4475" s="6">
        <v>100</v>
      </c>
      <c r="R4475" s="6">
        <v>26.69</v>
      </c>
      <c r="S4475" s="5">
        <v>37.4</v>
      </c>
      <c r="T4475" s="7">
        <v>181.88900000000001</v>
      </c>
      <c r="U4475" s="5">
        <v>13.5</v>
      </c>
      <c r="V4475" s="6">
        <v>1.07</v>
      </c>
      <c r="W4475" s="6">
        <v>19.559999999999999</v>
      </c>
      <c r="X4475" s="6">
        <v>22.75</v>
      </c>
      <c r="Y4475" s="7">
        <v>22.812999999999999</v>
      </c>
      <c r="Z4475" s="7">
        <v>22.875</v>
      </c>
      <c r="AA4475" s="6">
        <v>33.99</v>
      </c>
      <c r="AB4475" s="7">
        <v>11.234</v>
      </c>
      <c r="AC4475" s="6">
        <v>129.02000000000001</v>
      </c>
    </row>
    <row r="4476" spans="1:29" ht="78" x14ac:dyDescent="0.15">
      <c r="A4476" s="3">
        <f>DATE(1999,3,2)</f>
        <v>36221</v>
      </c>
      <c r="B4476" s="3">
        <f>DATE(1999,5,3)</f>
        <v>36283</v>
      </c>
      <c r="C4476" s="2" t="s">
        <v>95</v>
      </c>
      <c r="D4476" s="2" t="s">
        <v>13918</v>
      </c>
      <c r="E4476" s="2" t="s">
        <v>13919</v>
      </c>
      <c r="F4476" s="4">
        <v>3661</v>
      </c>
      <c r="G4476" s="2" t="s">
        <v>921</v>
      </c>
      <c r="H4476" s="2" t="s">
        <v>34</v>
      </c>
      <c r="I4476" s="2" t="s">
        <v>13920</v>
      </c>
      <c r="J4476" s="2" t="s">
        <v>13921</v>
      </c>
      <c r="K4476" s="2" t="s">
        <v>921</v>
      </c>
      <c r="L4476" s="2" t="s">
        <v>133</v>
      </c>
      <c r="M4476" s="2"/>
      <c r="N4476" s="2"/>
      <c r="O4476" s="2"/>
      <c r="P4476" s="2" t="s">
        <v>13922</v>
      </c>
      <c r="Q4476" s="6">
        <v>100</v>
      </c>
      <c r="R4476" s="6">
        <v>37</v>
      </c>
      <c r="S4476" s="5">
        <v>39.4</v>
      </c>
      <c r="T4476" s="7">
        <v>66.363</v>
      </c>
      <c r="U4476" s="5">
        <v>5.3</v>
      </c>
      <c r="V4476" s="6">
        <v>0.83</v>
      </c>
      <c r="W4476" s="4">
        <v>22</v>
      </c>
      <c r="X4476" s="7">
        <v>26.937999999999999</v>
      </c>
      <c r="Y4476" s="6">
        <v>35.75</v>
      </c>
      <c r="Z4476" s="4">
        <v>36</v>
      </c>
      <c r="AA4476" s="6">
        <v>42.28</v>
      </c>
      <c r="AB4476" s="7">
        <v>31.983000000000001</v>
      </c>
      <c r="AC4476" s="10">
        <v>4449.57</v>
      </c>
    </row>
    <row r="4477" spans="1:29" ht="65" x14ac:dyDescent="0.15">
      <c r="A4477" s="3">
        <f>DATE(1999,3,3)</f>
        <v>36222</v>
      </c>
      <c r="B4477" s="3">
        <f>DATE(1999,7,7)</f>
        <v>36348</v>
      </c>
      <c r="C4477" s="2" t="s">
        <v>95</v>
      </c>
      <c r="D4477" s="2" t="s">
        <v>13923</v>
      </c>
      <c r="E4477" s="2" t="s">
        <v>8300</v>
      </c>
      <c r="F4477" s="4">
        <v>8093</v>
      </c>
      <c r="G4477" s="2" t="s">
        <v>454</v>
      </c>
      <c r="H4477" s="2" t="s">
        <v>34</v>
      </c>
      <c r="I4477" s="2" t="s">
        <v>7577</v>
      </c>
      <c r="J4477" s="2" t="s">
        <v>244</v>
      </c>
      <c r="K4477" s="2" t="s">
        <v>53</v>
      </c>
      <c r="L4477" s="2" t="s">
        <v>34</v>
      </c>
      <c r="M4477" s="2"/>
      <c r="N4477" s="2"/>
      <c r="O4477" s="2"/>
      <c r="P4477" s="2" t="s">
        <v>13924</v>
      </c>
      <c r="Q4477" s="6">
        <v>88.12</v>
      </c>
      <c r="R4477" s="6">
        <v>16.5</v>
      </c>
      <c r="S4477" s="5">
        <v>22.5</v>
      </c>
      <c r="T4477" s="7">
        <v>114.697</v>
      </c>
      <c r="U4477" s="5">
        <v>5.5</v>
      </c>
      <c r="V4477" s="6">
        <v>0.47</v>
      </c>
      <c r="W4477" s="6">
        <v>10.56</v>
      </c>
      <c r="X4477" s="6">
        <v>11.62</v>
      </c>
      <c r="Y4477" s="7">
        <v>14.688000000000001</v>
      </c>
      <c r="Z4477" s="6">
        <v>14.25</v>
      </c>
      <c r="AA4477" s="6">
        <v>47.09</v>
      </c>
      <c r="AB4477" s="7">
        <v>12.502000000000001</v>
      </c>
      <c r="AC4477" s="2"/>
    </row>
    <row r="4478" spans="1:29" ht="91" x14ac:dyDescent="0.15">
      <c r="A4478" s="3">
        <f>DATE(1999,3,3)</f>
        <v>36222</v>
      </c>
      <c r="B4478" s="3">
        <f>DATE(1999,6,23)</f>
        <v>36334</v>
      </c>
      <c r="C4478" s="2" t="s">
        <v>95</v>
      </c>
      <c r="D4478" s="2" t="s">
        <v>13925</v>
      </c>
      <c r="E4478" s="2" t="s">
        <v>781</v>
      </c>
      <c r="F4478" s="4">
        <v>7372</v>
      </c>
      <c r="G4478" s="2" t="s">
        <v>551</v>
      </c>
      <c r="H4478" s="2" t="s">
        <v>34</v>
      </c>
      <c r="I4478" s="2" t="s">
        <v>13926</v>
      </c>
      <c r="J4478" s="2" t="s">
        <v>4642</v>
      </c>
      <c r="K4478" s="2" t="s">
        <v>551</v>
      </c>
      <c r="L4478" s="2" t="s">
        <v>34</v>
      </c>
      <c r="M4478" s="7">
        <v>269.96600000000001</v>
      </c>
      <c r="N4478" s="7">
        <v>10.938000000000001</v>
      </c>
      <c r="O4478" s="6">
        <v>10.75</v>
      </c>
      <c r="P4478" s="2" t="s">
        <v>13927</v>
      </c>
      <c r="Q4478" s="6">
        <v>100</v>
      </c>
      <c r="R4478" s="6">
        <v>2.65</v>
      </c>
      <c r="S4478" s="5">
        <v>-8.5</v>
      </c>
      <c r="T4478" s="6">
        <v>-3.12</v>
      </c>
      <c r="U4478" s="5">
        <v>0.5</v>
      </c>
      <c r="V4478" s="6">
        <v>-1.1200000000000001</v>
      </c>
      <c r="W4478" s="7">
        <v>1.8129999999999999</v>
      </c>
      <c r="X4478" s="7">
        <v>1.9379999999999999</v>
      </c>
      <c r="Y4478" s="7">
        <v>1.9379999999999999</v>
      </c>
      <c r="Z4478" s="7">
        <v>2.0630000000000002</v>
      </c>
      <c r="AA4478" s="6">
        <v>7.63</v>
      </c>
      <c r="AB4478" s="2" t="s">
        <v>86</v>
      </c>
      <c r="AC4478" s="6">
        <v>73.38</v>
      </c>
    </row>
    <row r="4479" spans="1:29" ht="39" x14ac:dyDescent="0.15">
      <c r="A4479" s="3">
        <f t="shared" ref="A4479:A4485" si="89">DATE(1999,3,4)</f>
        <v>36223</v>
      </c>
      <c r="B4479" s="3">
        <f>DATE(1999,8,11)</f>
        <v>36383</v>
      </c>
      <c r="C4479" s="2" t="s">
        <v>95</v>
      </c>
      <c r="D4479" s="2" t="s">
        <v>13928</v>
      </c>
      <c r="E4479" s="2" t="s">
        <v>13929</v>
      </c>
      <c r="F4479" s="4">
        <v>6331</v>
      </c>
      <c r="G4479" s="2" t="s">
        <v>125</v>
      </c>
      <c r="H4479" s="2" t="s">
        <v>34</v>
      </c>
      <c r="I4479" s="2" t="s">
        <v>13930</v>
      </c>
      <c r="J4479" s="2" t="s">
        <v>13931</v>
      </c>
      <c r="K4479" s="2" t="s">
        <v>125</v>
      </c>
      <c r="L4479" s="2" t="s">
        <v>34</v>
      </c>
      <c r="M4479" s="7">
        <v>326.71899999999999</v>
      </c>
      <c r="N4479" s="7">
        <v>29.125</v>
      </c>
      <c r="O4479" s="6">
        <v>29.25</v>
      </c>
      <c r="P4479" s="2" t="s">
        <v>13932</v>
      </c>
      <c r="Q4479" s="6">
        <v>100</v>
      </c>
      <c r="R4479" s="6">
        <v>15.6</v>
      </c>
      <c r="S4479" s="5">
        <v>-5.8</v>
      </c>
      <c r="T4479" s="7">
        <v>-5.5030000000000001</v>
      </c>
      <c r="U4479" s="5">
        <v>13.9</v>
      </c>
      <c r="V4479" s="6">
        <v>-2.98</v>
      </c>
      <c r="W4479" s="5">
        <v>11.5</v>
      </c>
      <c r="X4479" s="5">
        <v>11.5</v>
      </c>
      <c r="Y4479" s="4">
        <v>11</v>
      </c>
      <c r="Z4479" s="7">
        <v>13.625</v>
      </c>
      <c r="AA4479" s="6">
        <v>1.96</v>
      </c>
      <c r="AB4479" s="2" t="s">
        <v>86</v>
      </c>
      <c r="AC4479" s="2"/>
    </row>
    <row r="4480" spans="1:29" ht="156" x14ac:dyDescent="0.15">
      <c r="A4480" s="3">
        <f t="shared" si="89"/>
        <v>36223</v>
      </c>
      <c r="B4480" s="3">
        <f>DATE(1999,10,17)</f>
        <v>36450</v>
      </c>
      <c r="C4480" s="2" t="s">
        <v>95</v>
      </c>
      <c r="D4480" s="2" t="s">
        <v>12189</v>
      </c>
      <c r="E4480" s="2" t="s">
        <v>92</v>
      </c>
      <c r="F4480" s="4">
        <v>6798</v>
      </c>
      <c r="G4480" s="2" t="s">
        <v>53</v>
      </c>
      <c r="H4480" s="2" t="s">
        <v>34</v>
      </c>
      <c r="I4480" s="2" t="s">
        <v>13933</v>
      </c>
      <c r="J4480" s="2" t="s">
        <v>302</v>
      </c>
      <c r="K4480" s="2" t="s">
        <v>53</v>
      </c>
      <c r="L4480" s="2" t="s">
        <v>34</v>
      </c>
      <c r="M4480" s="2"/>
      <c r="N4480" s="2"/>
      <c r="O4480" s="2"/>
      <c r="P4480" s="2" t="s">
        <v>13934</v>
      </c>
      <c r="Q4480" s="6">
        <v>100</v>
      </c>
      <c r="R4480" s="6">
        <v>12.25</v>
      </c>
      <c r="S4480" s="5">
        <v>-11.1</v>
      </c>
      <c r="T4480" s="7">
        <v>65.043999999999997</v>
      </c>
      <c r="U4480" s="5">
        <v>8.6999999999999993</v>
      </c>
      <c r="V4480" s="6">
        <v>-0.47</v>
      </c>
      <c r="W4480" s="6">
        <v>11.12</v>
      </c>
      <c r="X4480" s="6">
        <v>11.25</v>
      </c>
      <c r="Y4480" s="9">
        <v>9.6875</v>
      </c>
      <c r="Z4480" s="9">
        <v>10.6875</v>
      </c>
      <c r="AA4480" s="6">
        <v>36.71</v>
      </c>
      <c r="AB4480" s="2" t="s">
        <v>86</v>
      </c>
      <c r="AC4480" s="2"/>
    </row>
    <row r="4481" spans="1:29" ht="91" x14ac:dyDescent="0.15">
      <c r="A4481" s="3">
        <f t="shared" si="89"/>
        <v>36223</v>
      </c>
      <c r="B4481" s="2"/>
      <c r="C4481" s="2" t="s">
        <v>7330</v>
      </c>
      <c r="D4481" s="2" t="s">
        <v>6541</v>
      </c>
      <c r="E4481" s="2" t="s">
        <v>6542</v>
      </c>
      <c r="F4481" s="4">
        <v>2721</v>
      </c>
      <c r="G4481" s="2" t="s">
        <v>186</v>
      </c>
      <c r="H4481" s="2" t="s">
        <v>34</v>
      </c>
      <c r="I4481" s="2" t="s">
        <v>13935</v>
      </c>
      <c r="J4481" s="2" t="s">
        <v>13936</v>
      </c>
      <c r="K4481" s="2" t="s">
        <v>53</v>
      </c>
      <c r="L4481" s="2" t="s">
        <v>34</v>
      </c>
      <c r="M4481" s="2"/>
      <c r="N4481" s="2"/>
      <c r="O4481" s="2"/>
      <c r="P4481" s="2" t="s">
        <v>13937</v>
      </c>
      <c r="Q4481" s="2"/>
      <c r="R4481" s="6">
        <v>7.5</v>
      </c>
      <c r="S4481" s="5">
        <v>-11.2</v>
      </c>
      <c r="T4481" s="7">
        <v>-7.4009999999999998</v>
      </c>
      <c r="U4481" s="8">
        <v>8314.7999999999993</v>
      </c>
      <c r="V4481" s="6">
        <v>-7048.35</v>
      </c>
      <c r="W4481" s="7">
        <v>5.1879999999999997</v>
      </c>
      <c r="X4481" s="6">
        <v>5.25</v>
      </c>
      <c r="Y4481" s="7">
        <v>6.375</v>
      </c>
      <c r="Z4481" s="5">
        <v>6.5</v>
      </c>
      <c r="AA4481" s="6">
        <v>4.1900000000000004</v>
      </c>
      <c r="AB4481" s="2" t="s">
        <v>86</v>
      </c>
      <c r="AC4481" s="2"/>
    </row>
    <row r="4482" spans="1:29" ht="117" x14ac:dyDescent="0.15">
      <c r="A4482" s="3">
        <f t="shared" si="89"/>
        <v>36223</v>
      </c>
      <c r="B4482" s="3">
        <f>DATE(1999,6,1)</f>
        <v>36312</v>
      </c>
      <c r="C4482" s="2" t="s">
        <v>95</v>
      </c>
      <c r="D4482" s="2" t="s">
        <v>13938</v>
      </c>
      <c r="E4482" s="2" t="s">
        <v>13939</v>
      </c>
      <c r="F4482" s="4">
        <v>5651</v>
      </c>
      <c r="G4482" s="2" t="s">
        <v>756</v>
      </c>
      <c r="H4482" s="2" t="s">
        <v>34</v>
      </c>
      <c r="I4482" s="2" t="s">
        <v>9944</v>
      </c>
      <c r="J4482" s="2" t="s">
        <v>9945</v>
      </c>
      <c r="K4482" s="2" t="s">
        <v>756</v>
      </c>
      <c r="L4482" s="2" t="s">
        <v>34</v>
      </c>
      <c r="M4482" s="12">
        <v>1152.174</v>
      </c>
      <c r="N4482" s="7">
        <v>25.155999999999999</v>
      </c>
      <c r="O4482" s="5">
        <v>24.5</v>
      </c>
      <c r="P4482" s="2" t="s">
        <v>13940</v>
      </c>
      <c r="Q4482" s="6">
        <v>100</v>
      </c>
      <c r="R4482" s="6">
        <v>11.5</v>
      </c>
      <c r="S4482" s="5">
        <v>6.2</v>
      </c>
      <c r="T4482" s="7">
        <v>10.317</v>
      </c>
      <c r="U4482" s="5">
        <v>4.5999999999999996</v>
      </c>
      <c r="V4482" s="6">
        <v>0.61</v>
      </c>
      <c r="W4482" s="7">
        <v>7.9059999999999997</v>
      </c>
      <c r="X4482" s="7">
        <v>8.375</v>
      </c>
      <c r="Y4482" s="7">
        <v>9.375</v>
      </c>
      <c r="Z4482" s="7">
        <v>9.5630000000000006</v>
      </c>
      <c r="AA4482" s="6">
        <v>10.25</v>
      </c>
      <c r="AB4482" s="7">
        <v>10.601000000000001</v>
      </c>
      <c r="AC4482" s="6">
        <v>19.649999999999999</v>
      </c>
    </row>
    <row r="4483" spans="1:29" ht="117" x14ac:dyDescent="0.15">
      <c r="A4483" s="3">
        <f t="shared" si="89"/>
        <v>36223</v>
      </c>
      <c r="B4483" s="3">
        <f>DATE(1999,8,10)</f>
        <v>36382</v>
      </c>
      <c r="C4483" s="2" t="s">
        <v>95</v>
      </c>
      <c r="D4483" s="2" t="s">
        <v>13941</v>
      </c>
      <c r="E4483" s="2" t="s">
        <v>1046</v>
      </c>
      <c r="F4483" s="4">
        <v>3674</v>
      </c>
      <c r="G4483" s="2" t="s">
        <v>137</v>
      </c>
      <c r="H4483" s="2" t="s">
        <v>34</v>
      </c>
      <c r="I4483" s="2" t="s">
        <v>10177</v>
      </c>
      <c r="J4483" s="2" t="s">
        <v>10178</v>
      </c>
      <c r="K4483" s="2" t="s">
        <v>137</v>
      </c>
      <c r="L4483" s="2" t="s">
        <v>34</v>
      </c>
      <c r="M4483" s="12">
        <v>216918.375</v>
      </c>
      <c r="N4483" s="7">
        <v>113.375</v>
      </c>
      <c r="O4483" s="7">
        <v>114.625</v>
      </c>
      <c r="P4483" s="2" t="s">
        <v>13942</v>
      </c>
      <c r="Q4483" s="6">
        <v>100</v>
      </c>
      <c r="R4483" s="6">
        <v>49.32</v>
      </c>
      <c r="S4483" s="5">
        <v>22.9</v>
      </c>
      <c r="T4483" s="7">
        <v>55.692</v>
      </c>
      <c r="U4483" s="5">
        <v>4.2</v>
      </c>
      <c r="V4483" s="6">
        <v>0.56999999999999995</v>
      </c>
      <c r="W4483" s="6">
        <v>35.06</v>
      </c>
      <c r="X4483" s="6">
        <v>32.369999999999997</v>
      </c>
      <c r="Y4483" s="7">
        <v>27.125</v>
      </c>
      <c r="Z4483" s="4">
        <v>45</v>
      </c>
      <c r="AA4483" s="6">
        <v>35.79</v>
      </c>
      <c r="AB4483" s="7">
        <v>60.295999999999999</v>
      </c>
      <c r="AC4483" s="8">
        <v>7626</v>
      </c>
    </row>
    <row r="4484" spans="1:29" ht="52" x14ac:dyDescent="0.15">
      <c r="A4484" s="3">
        <f t="shared" si="89"/>
        <v>36223</v>
      </c>
      <c r="B4484" s="3">
        <f>DATE(1999,4,30)</f>
        <v>36280</v>
      </c>
      <c r="C4484" s="2" t="s">
        <v>95</v>
      </c>
      <c r="D4484" s="2" t="s">
        <v>13943</v>
      </c>
      <c r="E4484" s="2" t="s">
        <v>13944</v>
      </c>
      <c r="F4484" s="4">
        <v>7389</v>
      </c>
      <c r="G4484" s="2" t="s">
        <v>223</v>
      </c>
      <c r="H4484" s="2" t="s">
        <v>34</v>
      </c>
      <c r="I4484" s="2" t="s">
        <v>13945</v>
      </c>
      <c r="J4484" s="2" t="s">
        <v>13944</v>
      </c>
      <c r="K4484" s="2" t="s">
        <v>42</v>
      </c>
      <c r="L4484" s="2" t="s">
        <v>34</v>
      </c>
      <c r="M4484" s="7">
        <v>3.7999999999999999E-2</v>
      </c>
      <c r="N4484" s="7">
        <v>3.1E-2</v>
      </c>
      <c r="O4484" s="7">
        <v>3.1E-2</v>
      </c>
      <c r="P4484" s="2" t="s">
        <v>13946</v>
      </c>
      <c r="Q4484" s="6">
        <v>86.6</v>
      </c>
      <c r="R4484" s="2"/>
      <c r="S4484" s="2"/>
      <c r="T4484" s="2"/>
      <c r="U4484" s="2"/>
      <c r="V4484" s="2"/>
      <c r="W4484" s="7">
        <v>5.375</v>
      </c>
      <c r="X4484" s="7">
        <v>6.5629999999999997</v>
      </c>
      <c r="Y4484" s="4">
        <v>6</v>
      </c>
      <c r="Z4484" s="7">
        <v>6.625</v>
      </c>
      <c r="AA4484" s="2"/>
      <c r="AB4484" s="2" t="s">
        <v>47</v>
      </c>
      <c r="AC4484" s="2"/>
    </row>
    <row r="4485" spans="1:29" ht="104" x14ac:dyDescent="0.15">
      <c r="A4485" s="3">
        <f t="shared" si="89"/>
        <v>36223</v>
      </c>
      <c r="B4485" s="3">
        <f>DATE(2000,12,29)</f>
        <v>36889</v>
      </c>
      <c r="C4485" s="2" t="s">
        <v>95</v>
      </c>
      <c r="D4485" s="2" t="s">
        <v>13947</v>
      </c>
      <c r="E4485" s="2" t="s">
        <v>13948</v>
      </c>
      <c r="F4485" s="4">
        <v>4911</v>
      </c>
      <c r="G4485" s="2" t="s">
        <v>439</v>
      </c>
      <c r="H4485" s="2" t="s">
        <v>34</v>
      </c>
      <c r="I4485" s="2" t="s">
        <v>7414</v>
      </c>
      <c r="J4485" s="2" t="s">
        <v>2754</v>
      </c>
      <c r="K4485" s="2" t="s">
        <v>439</v>
      </c>
      <c r="L4485" s="2" t="s">
        <v>34</v>
      </c>
      <c r="M4485" s="12">
        <v>1851.173</v>
      </c>
      <c r="N4485" s="7">
        <v>35.125</v>
      </c>
      <c r="O4485" s="6">
        <v>35.75</v>
      </c>
      <c r="P4485" s="2" t="s">
        <v>13949</v>
      </c>
      <c r="Q4485" s="6">
        <v>100</v>
      </c>
      <c r="R4485" s="6">
        <v>24.15</v>
      </c>
      <c r="S4485" s="5">
        <v>10.7</v>
      </c>
      <c r="T4485" s="7">
        <v>34.533000000000001</v>
      </c>
      <c r="U4485" s="5">
        <v>11.8</v>
      </c>
      <c r="V4485" s="6">
        <v>1.31</v>
      </c>
      <c r="W4485" s="4">
        <v>17</v>
      </c>
      <c r="X4485" s="7">
        <v>16.875</v>
      </c>
      <c r="Y4485" s="7">
        <v>16.875</v>
      </c>
      <c r="Z4485" s="7">
        <v>20.375</v>
      </c>
      <c r="AA4485" s="6">
        <v>8.1300000000000008</v>
      </c>
      <c r="AB4485" s="7">
        <v>12.885</v>
      </c>
      <c r="AC4485" s="2"/>
    </row>
    <row r="4486" spans="1:29" ht="91" x14ac:dyDescent="0.15">
      <c r="A4486" s="3">
        <f>DATE(1999,3,5)</f>
        <v>36224</v>
      </c>
      <c r="B4486" s="3">
        <f>DATE(1999,8,2)</f>
        <v>36374</v>
      </c>
      <c r="C4486" s="2" t="s">
        <v>95</v>
      </c>
      <c r="D4486" s="2" t="s">
        <v>4153</v>
      </c>
      <c r="E4486" s="2" t="s">
        <v>3231</v>
      </c>
      <c r="F4486" s="4">
        <v>4953</v>
      </c>
      <c r="G4486" s="2" t="s">
        <v>116</v>
      </c>
      <c r="H4486" s="2" t="s">
        <v>34</v>
      </c>
      <c r="I4486" s="2" t="s">
        <v>12279</v>
      </c>
      <c r="J4486" s="2" t="s">
        <v>12280</v>
      </c>
      <c r="K4486" s="2" t="s">
        <v>116</v>
      </c>
      <c r="L4486" s="2" t="s">
        <v>34</v>
      </c>
      <c r="M4486" s="12">
        <v>3643.4059999999999</v>
      </c>
      <c r="N4486" s="4">
        <v>15</v>
      </c>
      <c r="O4486" s="7">
        <v>16.937999999999999</v>
      </c>
      <c r="P4486" s="2" t="s">
        <v>13950</v>
      </c>
      <c r="Q4486" s="6">
        <v>100</v>
      </c>
      <c r="R4486" s="6">
        <v>45</v>
      </c>
      <c r="S4486" s="5">
        <v>349.4</v>
      </c>
      <c r="T4486" s="12">
        <v>1094.758</v>
      </c>
      <c r="U4486" s="5">
        <v>8.6999999999999993</v>
      </c>
      <c r="V4486" s="7">
        <v>1.927</v>
      </c>
      <c r="W4486" s="5">
        <v>31.5</v>
      </c>
      <c r="X4486" s="6">
        <v>33.75</v>
      </c>
      <c r="Y4486" s="6">
        <v>34.75</v>
      </c>
      <c r="Z4486" s="7">
        <v>38.875</v>
      </c>
      <c r="AA4486" s="6">
        <v>158.13999999999999</v>
      </c>
      <c r="AB4486" s="7">
        <v>14.641</v>
      </c>
      <c r="AC4486" s="6">
        <v>39.74</v>
      </c>
    </row>
    <row r="4487" spans="1:29" ht="195" x14ac:dyDescent="0.15">
      <c r="A4487" s="3">
        <f>DATE(1999,3,5)</f>
        <v>36224</v>
      </c>
      <c r="B4487" s="3">
        <f>DATE(1999,10,1)</f>
        <v>36434</v>
      </c>
      <c r="C4487" s="2" t="s">
        <v>95</v>
      </c>
      <c r="D4487" s="2" t="s">
        <v>13951</v>
      </c>
      <c r="E4487" s="2" t="s">
        <v>2034</v>
      </c>
      <c r="F4487" s="4">
        <v>4841</v>
      </c>
      <c r="G4487" s="2" t="s">
        <v>45</v>
      </c>
      <c r="H4487" s="2" t="s">
        <v>34</v>
      </c>
      <c r="I4487" s="2" t="s">
        <v>13952</v>
      </c>
      <c r="J4487" s="2" t="s">
        <v>13953</v>
      </c>
      <c r="K4487" s="2" t="s">
        <v>45</v>
      </c>
      <c r="L4487" s="2" t="s">
        <v>34</v>
      </c>
      <c r="M4487" s="12">
        <v>3074.3719999999998</v>
      </c>
      <c r="N4487" s="5">
        <v>54.5</v>
      </c>
      <c r="O4487" s="7">
        <v>54.875</v>
      </c>
      <c r="P4487" s="2" t="s">
        <v>13954</v>
      </c>
      <c r="Q4487" s="6">
        <v>100</v>
      </c>
      <c r="R4487" s="6">
        <v>46.48</v>
      </c>
      <c r="S4487" s="5">
        <v>-121</v>
      </c>
      <c r="T4487" s="7">
        <v>258.49700000000001</v>
      </c>
      <c r="U4487" s="5">
        <v>-9.6999999999999993</v>
      </c>
      <c r="V4487" s="6">
        <v>-1.1100000000000001</v>
      </c>
      <c r="W4487" s="6">
        <v>25.88</v>
      </c>
      <c r="X4487" s="4">
        <v>29</v>
      </c>
      <c r="Y4487" s="5">
        <v>29.5</v>
      </c>
      <c r="Z4487" s="7">
        <v>29.625</v>
      </c>
      <c r="AA4487" s="6">
        <v>75.010000000000005</v>
      </c>
      <c r="AB4487" s="7">
        <v>51.015000000000001</v>
      </c>
      <c r="AC4487" s="6">
        <v>398.64</v>
      </c>
    </row>
    <row r="4488" spans="1:29" ht="39" x14ac:dyDescent="0.15">
      <c r="A4488" s="3">
        <f>DATE(1999,3,8)</f>
        <v>36227</v>
      </c>
      <c r="B4488" s="3">
        <f>DATE(1999,8,18)</f>
        <v>36390</v>
      </c>
      <c r="C4488" s="2" t="s">
        <v>95</v>
      </c>
      <c r="D4488" s="2" t="s">
        <v>11178</v>
      </c>
      <c r="E4488" s="2" t="s">
        <v>3373</v>
      </c>
      <c r="F4488" s="4">
        <v>6311</v>
      </c>
      <c r="G4488" s="2" t="s">
        <v>125</v>
      </c>
      <c r="H4488" s="2" t="s">
        <v>34</v>
      </c>
      <c r="I4488" s="2" t="s">
        <v>13955</v>
      </c>
      <c r="J4488" s="2" t="s">
        <v>4060</v>
      </c>
      <c r="K4488" s="2" t="s">
        <v>125</v>
      </c>
      <c r="L4488" s="2" t="s">
        <v>926</v>
      </c>
      <c r="M4488" s="2"/>
      <c r="N4488" s="2"/>
      <c r="O4488" s="2"/>
      <c r="P4488" s="2" t="s">
        <v>13956</v>
      </c>
      <c r="Q4488" s="6">
        <v>100</v>
      </c>
      <c r="R4488" s="6">
        <v>55</v>
      </c>
      <c r="S4488" s="5">
        <v>267</v>
      </c>
      <c r="T4488" s="2"/>
      <c r="U4488" s="5">
        <v>21.9</v>
      </c>
      <c r="V4488" s="6">
        <v>5.68</v>
      </c>
      <c r="W4488" s="6">
        <v>48.31</v>
      </c>
      <c r="X4488" s="6">
        <v>47.93</v>
      </c>
      <c r="Y4488" s="4">
        <v>52</v>
      </c>
      <c r="Z4488" s="4">
        <v>52</v>
      </c>
      <c r="AA4488" s="6">
        <v>43.07</v>
      </c>
      <c r="AB4488" s="7">
        <v>16.675000000000001</v>
      </c>
      <c r="AC4488" s="6">
        <v>22.22</v>
      </c>
    </row>
    <row r="4489" spans="1:29" ht="39" x14ac:dyDescent="0.15">
      <c r="A4489" s="3">
        <f>DATE(1999,3,8)</f>
        <v>36227</v>
      </c>
      <c r="B4489" s="3">
        <f>DATE(1999,6,24)</f>
        <v>36335</v>
      </c>
      <c r="C4489" s="2" t="s">
        <v>95</v>
      </c>
      <c r="D4489" s="2" t="s">
        <v>13957</v>
      </c>
      <c r="E4489" s="2" t="s">
        <v>3322</v>
      </c>
      <c r="F4489" s="4">
        <v>8711</v>
      </c>
      <c r="G4489" s="2" t="s">
        <v>223</v>
      </c>
      <c r="H4489" s="2" t="s">
        <v>34</v>
      </c>
      <c r="I4489" s="2" t="s">
        <v>13958</v>
      </c>
      <c r="J4489" s="2" t="s">
        <v>4572</v>
      </c>
      <c r="K4489" s="2" t="s">
        <v>223</v>
      </c>
      <c r="L4489" s="2" t="s">
        <v>34</v>
      </c>
      <c r="M4489" s="2"/>
      <c r="N4489" s="2"/>
      <c r="O4489" s="2"/>
      <c r="P4489" s="2" t="s">
        <v>13959</v>
      </c>
      <c r="Q4489" s="6">
        <v>100</v>
      </c>
      <c r="R4489" s="6">
        <v>26</v>
      </c>
      <c r="S4489" s="5">
        <v>4.2</v>
      </c>
      <c r="T4489" s="7">
        <v>11.211</v>
      </c>
      <c r="U4489" s="5">
        <v>12.3</v>
      </c>
      <c r="V4489" s="6">
        <v>1.07</v>
      </c>
      <c r="W4489" s="7">
        <v>22.375</v>
      </c>
      <c r="X4489" s="7">
        <v>21.875</v>
      </c>
      <c r="Y4489" s="5">
        <v>24.5</v>
      </c>
      <c r="Z4489" s="7">
        <v>24.625</v>
      </c>
      <c r="AA4489" s="6">
        <v>3.65</v>
      </c>
      <c r="AB4489" s="7">
        <v>13.73</v>
      </c>
      <c r="AC4489" s="2"/>
    </row>
    <row r="4490" spans="1:29" ht="117" x14ac:dyDescent="0.15">
      <c r="A4490" s="3">
        <f>DATE(1999,3,8)</f>
        <v>36227</v>
      </c>
      <c r="B4490" s="3">
        <f>DATE(1999,12,1)</f>
        <v>36495</v>
      </c>
      <c r="C4490" s="2" t="s">
        <v>95</v>
      </c>
      <c r="D4490" s="2" t="s">
        <v>13960</v>
      </c>
      <c r="E4490" s="2" t="s">
        <v>13961</v>
      </c>
      <c r="F4490" s="4">
        <v>5045</v>
      </c>
      <c r="G4490" s="2" t="s">
        <v>76</v>
      </c>
      <c r="H4490" s="2" t="s">
        <v>34</v>
      </c>
      <c r="I4490" s="2" t="s">
        <v>51</v>
      </c>
      <c r="J4490" s="2" t="s">
        <v>52</v>
      </c>
      <c r="K4490" s="2" t="s">
        <v>53</v>
      </c>
      <c r="L4490" s="2" t="s">
        <v>34</v>
      </c>
      <c r="M4490" s="2"/>
      <c r="N4490" s="2"/>
      <c r="O4490" s="2"/>
      <c r="P4490" s="2" t="s">
        <v>13962</v>
      </c>
      <c r="Q4490" s="6">
        <v>35.51</v>
      </c>
      <c r="R4490" s="6">
        <v>12.5</v>
      </c>
      <c r="S4490" s="5">
        <v>0.1</v>
      </c>
      <c r="T4490" s="2"/>
      <c r="U4490" s="5">
        <v>4.5</v>
      </c>
      <c r="V4490" s="6">
        <v>0.01</v>
      </c>
      <c r="W4490" s="7">
        <v>7.8129999999999997</v>
      </c>
      <c r="X4490" s="4">
        <v>8</v>
      </c>
      <c r="Y4490" s="4">
        <v>8</v>
      </c>
      <c r="Z4490" s="6">
        <v>8.75</v>
      </c>
      <c r="AA4490" s="6">
        <v>2.98</v>
      </c>
      <c r="AB4490" s="2" t="s">
        <v>86</v>
      </c>
      <c r="AC4490" s="2"/>
    </row>
    <row r="4491" spans="1:29" ht="130" x14ac:dyDescent="0.15">
      <c r="A4491" s="3">
        <f>DATE(1999,3,8)</f>
        <v>36227</v>
      </c>
      <c r="B4491" s="3">
        <f>DATE(1999,8,10)</f>
        <v>36382</v>
      </c>
      <c r="C4491" s="2" t="s">
        <v>95</v>
      </c>
      <c r="D4491" s="2" t="s">
        <v>9969</v>
      </c>
      <c r="E4491" s="2" t="s">
        <v>9970</v>
      </c>
      <c r="F4491" s="4">
        <v>8071</v>
      </c>
      <c r="G4491" s="2" t="s">
        <v>454</v>
      </c>
      <c r="H4491" s="2" t="s">
        <v>34</v>
      </c>
      <c r="I4491" s="2" t="s">
        <v>13963</v>
      </c>
      <c r="J4491" s="2" t="s">
        <v>5809</v>
      </c>
      <c r="K4491" s="2" t="s">
        <v>454</v>
      </c>
      <c r="L4491" s="2" t="s">
        <v>34</v>
      </c>
      <c r="M4491" s="7">
        <v>102.203</v>
      </c>
      <c r="N4491" s="4">
        <v>17</v>
      </c>
      <c r="O4491" s="4">
        <v>17</v>
      </c>
      <c r="P4491" s="2" t="s">
        <v>13964</v>
      </c>
      <c r="Q4491" s="6">
        <v>23.22</v>
      </c>
      <c r="R4491" s="6">
        <v>12.75</v>
      </c>
      <c r="S4491" s="5">
        <v>5.0999999999999996</v>
      </c>
      <c r="T4491" s="7">
        <v>17.597999999999999</v>
      </c>
      <c r="U4491" s="5">
        <v>5.7</v>
      </c>
      <c r="V4491" s="6">
        <v>0.52</v>
      </c>
      <c r="W4491" s="7">
        <v>11.563000000000001</v>
      </c>
      <c r="X4491" s="7">
        <v>10.875</v>
      </c>
      <c r="Y4491" s="5">
        <v>11.5</v>
      </c>
      <c r="Z4491" s="6">
        <v>11.75</v>
      </c>
      <c r="AA4491" s="6">
        <v>13.31</v>
      </c>
      <c r="AB4491" s="7">
        <v>10.875</v>
      </c>
      <c r="AC4491" s="6">
        <v>15.22</v>
      </c>
    </row>
    <row r="4492" spans="1:29" ht="52" x14ac:dyDescent="0.15">
      <c r="A4492" s="3">
        <f>DATE(1999,3,9)</f>
        <v>36228</v>
      </c>
      <c r="B4492" s="3">
        <f>DATE(1999,6,29)</f>
        <v>36340</v>
      </c>
      <c r="C4492" s="2" t="s">
        <v>95</v>
      </c>
      <c r="D4492" s="2" t="s">
        <v>13965</v>
      </c>
      <c r="E4492" s="2" t="s">
        <v>8869</v>
      </c>
      <c r="F4492" s="4">
        <v>3577</v>
      </c>
      <c r="G4492" s="2" t="s">
        <v>50</v>
      </c>
      <c r="H4492" s="2" t="s">
        <v>34</v>
      </c>
      <c r="I4492" s="2" t="s">
        <v>8515</v>
      </c>
      <c r="J4492" s="2" t="s">
        <v>8516</v>
      </c>
      <c r="K4492" s="2" t="s">
        <v>364</v>
      </c>
      <c r="L4492" s="2" t="s">
        <v>34</v>
      </c>
      <c r="M4492" s="7">
        <v>603.755</v>
      </c>
      <c r="N4492" s="7">
        <v>34.563000000000002</v>
      </c>
      <c r="O4492" s="7">
        <v>38.375</v>
      </c>
      <c r="P4492" s="2" t="s">
        <v>13966</v>
      </c>
      <c r="Q4492" s="6">
        <v>100</v>
      </c>
      <c r="R4492" s="6">
        <v>19.5</v>
      </c>
      <c r="S4492" s="5">
        <v>4.5999999999999996</v>
      </c>
      <c r="T4492" s="7">
        <v>29.271999999999998</v>
      </c>
      <c r="U4492" s="5">
        <v>8.3000000000000007</v>
      </c>
      <c r="V4492" s="6">
        <v>0.42</v>
      </c>
      <c r="W4492" s="7">
        <v>14.813000000000001</v>
      </c>
      <c r="X4492" s="7">
        <v>14.438000000000001</v>
      </c>
      <c r="Y4492" s="7">
        <v>14.813000000000001</v>
      </c>
      <c r="Z4492" s="7">
        <v>17.875</v>
      </c>
      <c r="AA4492" s="6">
        <v>10.82</v>
      </c>
      <c r="AB4492" s="7">
        <v>26.84</v>
      </c>
      <c r="AC4492" s="6">
        <v>73.19</v>
      </c>
    </row>
    <row r="4493" spans="1:29" ht="104" x14ac:dyDescent="0.15">
      <c r="A4493" s="3">
        <f>DATE(1999,3,9)</f>
        <v>36228</v>
      </c>
      <c r="B4493" s="3">
        <f>DATE(1999,6,30)</f>
        <v>36341</v>
      </c>
      <c r="C4493" s="2" t="s">
        <v>95</v>
      </c>
      <c r="D4493" s="2" t="s">
        <v>13967</v>
      </c>
      <c r="E4493" s="2" t="s">
        <v>612</v>
      </c>
      <c r="F4493" s="4">
        <v>1311</v>
      </c>
      <c r="G4493" s="2" t="s">
        <v>148</v>
      </c>
      <c r="H4493" s="2" t="s">
        <v>34</v>
      </c>
      <c r="I4493" s="2" t="s">
        <v>13030</v>
      </c>
      <c r="J4493" s="2" t="s">
        <v>1435</v>
      </c>
      <c r="K4493" s="2" t="s">
        <v>148</v>
      </c>
      <c r="L4493" s="2" t="s">
        <v>34</v>
      </c>
      <c r="M4493" s="10">
        <v>2736.98</v>
      </c>
      <c r="N4493" s="7">
        <v>30.062999999999999</v>
      </c>
      <c r="O4493" s="7">
        <v>32.063000000000002</v>
      </c>
      <c r="P4493" s="2" t="s">
        <v>13968</v>
      </c>
      <c r="Q4493" s="6">
        <v>1.79</v>
      </c>
      <c r="R4493" s="6">
        <v>5.75</v>
      </c>
      <c r="S4493" s="5">
        <v>1</v>
      </c>
      <c r="T4493" s="5">
        <v>221</v>
      </c>
      <c r="U4493" s="5">
        <v>2.6</v>
      </c>
      <c r="V4493" s="9">
        <v>-7.8399999999999997E-2</v>
      </c>
      <c r="W4493" s="4">
        <v>4</v>
      </c>
      <c r="X4493" s="6">
        <v>4.0599999999999996</v>
      </c>
      <c r="Y4493" s="7">
        <v>4.375</v>
      </c>
      <c r="Z4493" s="7">
        <v>4.375</v>
      </c>
      <c r="AA4493" s="6">
        <v>421.17</v>
      </c>
      <c r="AB4493" s="2" t="s">
        <v>86</v>
      </c>
      <c r="AC4493" s="5">
        <v>208.5</v>
      </c>
    </row>
    <row r="4494" spans="1:29" ht="39" x14ac:dyDescent="0.15">
      <c r="A4494" s="3">
        <f>DATE(1999,3,10)</f>
        <v>36229</v>
      </c>
      <c r="B4494" s="3">
        <f>DATE(1999,7,29)</f>
        <v>36370</v>
      </c>
      <c r="C4494" s="2" t="s">
        <v>95</v>
      </c>
      <c r="D4494" s="2" t="s">
        <v>13969</v>
      </c>
      <c r="E4494" s="2" t="s">
        <v>10037</v>
      </c>
      <c r="F4494" s="4">
        <v>2431</v>
      </c>
      <c r="G4494" s="2" t="s">
        <v>250</v>
      </c>
      <c r="H4494" s="2" t="s">
        <v>34</v>
      </c>
      <c r="I4494" s="2" t="s">
        <v>13970</v>
      </c>
      <c r="J4494" s="2" t="s">
        <v>13971</v>
      </c>
      <c r="K4494" s="2" t="s">
        <v>76</v>
      </c>
      <c r="L4494" s="2" t="s">
        <v>34</v>
      </c>
      <c r="M4494" s="2"/>
      <c r="N4494" s="2"/>
      <c r="O4494" s="2"/>
      <c r="P4494" s="2" t="s">
        <v>13972</v>
      </c>
      <c r="Q4494" s="6">
        <v>100</v>
      </c>
      <c r="R4494" s="6">
        <v>4</v>
      </c>
      <c r="S4494" s="5">
        <v>1</v>
      </c>
      <c r="T4494" s="7">
        <v>5.1029999999999998</v>
      </c>
      <c r="U4494" s="5">
        <v>4.2</v>
      </c>
      <c r="V4494" s="6">
        <v>0.1</v>
      </c>
      <c r="W4494" s="6">
        <v>2.75</v>
      </c>
      <c r="X4494" s="6">
        <v>3.25</v>
      </c>
      <c r="Y4494" s="7">
        <v>3.125</v>
      </c>
      <c r="Z4494" s="7">
        <v>3.6880000000000002</v>
      </c>
      <c r="AA4494" s="6">
        <v>10.36</v>
      </c>
      <c r="AB4494" s="7">
        <v>21.256</v>
      </c>
      <c r="AC4494" s="2"/>
    </row>
    <row r="4495" spans="1:29" ht="208" x14ac:dyDescent="0.15">
      <c r="A4495" s="3">
        <f>DATE(1999,3,11)</f>
        <v>36230</v>
      </c>
      <c r="B4495" s="3">
        <f>DATE(1999,11,1)</f>
        <v>36465</v>
      </c>
      <c r="C4495" s="2" t="s">
        <v>95</v>
      </c>
      <c r="D4495" s="2" t="s">
        <v>13973</v>
      </c>
      <c r="E4495" s="2" t="s">
        <v>13974</v>
      </c>
      <c r="F4495" s="2" t="s">
        <v>13975</v>
      </c>
      <c r="G4495" s="2" t="s">
        <v>109</v>
      </c>
      <c r="H4495" s="2" t="s">
        <v>34</v>
      </c>
      <c r="I4495" s="2" t="s">
        <v>7495</v>
      </c>
      <c r="J4495" s="2" t="s">
        <v>36</v>
      </c>
      <c r="K4495" s="2" t="s">
        <v>37</v>
      </c>
      <c r="L4495" s="2" t="s">
        <v>34</v>
      </c>
      <c r="M4495" s="7">
        <v>356.82100000000003</v>
      </c>
      <c r="N4495" s="6">
        <v>19.75</v>
      </c>
      <c r="O4495" s="5">
        <v>20.5</v>
      </c>
      <c r="P4495" s="2" t="s">
        <v>13976</v>
      </c>
      <c r="Q4495" s="6">
        <v>100</v>
      </c>
      <c r="R4495" s="6">
        <v>11.23</v>
      </c>
      <c r="S4495" s="5">
        <v>6.2</v>
      </c>
      <c r="T4495" s="7">
        <v>16.774000000000001</v>
      </c>
      <c r="U4495" s="5">
        <v>5.3</v>
      </c>
      <c r="V4495" s="7">
        <v>0.216</v>
      </c>
      <c r="W4495" s="5">
        <v>8.5</v>
      </c>
      <c r="X4495" s="7">
        <v>8.3130000000000006</v>
      </c>
      <c r="Y4495" s="5">
        <v>8.5</v>
      </c>
      <c r="Z4495" s="5">
        <v>8.5</v>
      </c>
      <c r="AA4495" s="6">
        <v>28.72</v>
      </c>
      <c r="AB4495" s="7">
        <v>69.296000000000006</v>
      </c>
      <c r="AC4495" s="5">
        <v>205.2</v>
      </c>
    </row>
    <row r="4496" spans="1:29" ht="91" x14ac:dyDescent="0.15">
      <c r="A4496" s="3">
        <f>DATE(1999,3,11)</f>
        <v>36230</v>
      </c>
      <c r="B4496" s="3">
        <f>DATE(1999,8,26)</f>
        <v>36398</v>
      </c>
      <c r="C4496" s="2" t="s">
        <v>95</v>
      </c>
      <c r="D4496" s="2" t="s">
        <v>13977</v>
      </c>
      <c r="E4496" s="2" t="s">
        <v>13978</v>
      </c>
      <c r="F4496" s="4">
        <v>8742</v>
      </c>
      <c r="G4496" s="2" t="s">
        <v>223</v>
      </c>
      <c r="H4496" s="2" t="s">
        <v>34</v>
      </c>
      <c r="I4496" s="2" t="s">
        <v>13979</v>
      </c>
      <c r="J4496" s="2" t="s">
        <v>13980</v>
      </c>
      <c r="K4496" s="2" t="s">
        <v>4563</v>
      </c>
      <c r="L4496" s="2" t="s">
        <v>34</v>
      </c>
      <c r="M4496" s="12">
        <v>1426.384</v>
      </c>
      <c r="N4496" s="7">
        <v>67.938000000000002</v>
      </c>
      <c r="O4496" s="7">
        <v>64.063000000000002</v>
      </c>
      <c r="P4496" s="2" t="s">
        <v>13981</v>
      </c>
      <c r="Q4496" s="6">
        <v>100</v>
      </c>
      <c r="R4496" s="6">
        <v>9.23</v>
      </c>
      <c r="S4496" s="5">
        <v>-4.2</v>
      </c>
      <c r="T4496" s="7">
        <v>-9.4E-2</v>
      </c>
      <c r="U4496" s="5">
        <v>9.1</v>
      </c>
      <c r="V4496" s="6">
        <v>-0.57999999999999996</v>
      </c>
      <c r="W4496" s="7">
        <v>7.375</v>
      </c>
      <c r="X4496" s="7">
        <v>6.6879999999999997</v>
      </c>
      <c r="Y4496" s="7">
        <v>6.6879999999999997</v>
      </c>
      <c r="Z4496" s="7">
        <v>6.3129999999999997</v>
      </c>
      <c r="AA4496" s="6">
        <v>8.0299999999999994</v>
      </c>
      <c r="AB4496" s="2" t="s">
        <v>86</v>
      </c>
      <c r="AC4496" s="6">
        <v>28.91</v>
      </c>
    </row>
    <row r="4497" spans="1:29" ht="52" x14ac:dyDescent="0.15">
      <c r="A4497" s="3">
        <f>DATE(1999,3,11)</f>
        <v>36230</v>
      </c>
      <c r="B4497" s="3">
        <f>DATE(1999,9,1)</f>
        <v>36404</v>
      </c>
      <c r="C4497" s="2" t="s">
        <v>95</v>
      </c>
      <c r="D4497" s="2" t="s">
        <v>13982</v>
      </c>
      <c r="E4497" s="2" t="s">
        <v>13983</v>
      </c>
      <c r="F4497" s="4">
        <v>5099</v>
      </c>
      <c r="G4497" s="2" t="s">
        <v>76</v>
      </c>
      <c r="H4497" s="2" t="s">
        <v>34</v>
      </c>
      <c r="I4497" s="2" t="s">
        <v>2400</v>
      </c>
      <c r="J4497" s="2" t="s">
        <v>2401</v>
      </c>
      <c r="K4497" s="2" t="s">
        <v>112</v>
      </c>
      <c r="L4497" s="2" t="s">
        <v>34</v>
      </c>
      <c r="M4497" s="12">
        <v>2224.8710000000001</v>
      </c>
      <c r="N4497" s="6">
        <v>15.25</v>
      </c>
      <c r="O4497" s="5">
        <v>15.5</v>
      </c>
      <c r="P4497" s="2" t="s">
        <v>13984</v>
      </c>
      <c r="Q4497" s="6">
        <v>100</v>
      </c>
      <c r="R4497" s="6">
        <v>10</v>
      </c>
      <c r="S4497" s="5">
        <v>2.7</v>
      </c>
      <c r="T4497" s="7">
        <v>29.071999999999999</v>
      </c>
      <c r="U4497" s="5">
        <v>4.7</v>
      </c>
      <c r="V4497" s="6">
        <v>0.12</v>
      </c>
      <c r="W4497" s="4">
        <v>8</v>
      </c>
      <c r="X4497" s="4">
        <v>8</v>
      </c>
      <c r="Y4497" s="7">
        <v>9.125</v>
      </c>
      <c r="Z4497" s="7">
        <v>8.9380000000000006</v>
      </c>
      <c r="AA4497" s="6">
        <v>22.76</v>
      </c>
      <c r="AB4497" s="7">
        <v>9.9160000000000004</v>
      </c>
      <c r="AC4497" s="6">
        <v>237.91</v>
      </c>
    </row>
    <row r="4498" spans="1:29" ht="65" x14ac:dyDescent="0.15">
      <c r="A4498" s="3">
        <f>DATE(1999,3,12)</f>
        <v>36231</v>
      </c>
      <c r="B4498" s="2"/>
      <c r="C4498" s="2" t="s">
        <v>30</v>
      </c>
      <c r="D4498" s="2" t="s">
        <v>13985</v>
      </c>
      <c r="E4498" s="2" t="s">
        <v>13986</v>
      </c>
      <c r="F4498" s="4">
        <v>1041</v>
      </c>
      <c r="G4498" s="2" t="s">
        <v>166</v>
      </c>
      <c r="H4498" s="2" t="s">
        <v>34</v>
      </c>
      <c r="I4498" s="2" t="s">
        <v>13987</v>
      </c>
      <c r="J4498" s="2" t="s">
        <v>277</v>
      </c>
      <c r="K4498" s="2" t="s">
        <v>166</v>
      </c>
      <c r="L4498" s="2" t="s">
        <v>34</v>
      </c>
      <c r="M4498" s="2"/>
      <c r="N4498" s="2"/>
      <c r="O4498" s="2"/>
      <c r="P4498" s="2" t="s">
        <v>13988</v>
      </c>
      <c r="Q4498" s="2"/>
      <c r="R4498" s="6">
        <v>13.5</v>
      </c>
      <c r="S4498" s="5">
        <v>-0.4</v>
      </c>
      <c r="T4498" s="7">
        <v>-0.41099999999999998</v>
      </c>
      <c r="U4498" s="5">
        <v>0.2</v>
      </c>
      <c r="V4498" s="7">
        <v>-4.3999999999999997E-2</v>
      </c>
      <c r="W4498" s="4">
        <v>7</v>
      </c>
      <c r="X4498" s="4">
        <v>7</v>
      </c>
      <c r="Y4498" s="4">
        <v>7</v>
      </c>
      <c r="Z4498" s="4">
        <v>11</v>
      </c>
      <c r="AA4498" s="6">
        <v>1.87</v>
      </c>
      <c r="AB4498" s="2" t="s">
        <v>86</v>
      </c>
      <c r="AC4498" s="2"/>
    </row>
    <row r="4499" spans="1:29" ht="156" x14ac:dyDescent="0.15">
      <c r="A4499" s="3">
        <f>DATE(1999,3,12)</f>
        <v>36231</v>
      </c>
      <c r="B4499" s="2"/>
      <c r="C4499" s="2" t="s">
        <v>56</v>
      </c>
      <c r="D4499" s="2" t="s">
        <v>13989</v>
      </c>
      <c r="E4499" s="2" t="s">
        <v>13990</v>
      </c>
      <c r="F4499" s="4">
        <v>7379</v>
      </c>
      <c r="G4499" s="2" t="s">
        <v>223</v>
      </c>
      <c r="H4499" s="2" t="s">
        <v>34</v>
      </c>
      <c r="I4499" s="2" t="s">
        <v>13991</v>
      </c>
      <c r="J4499" s="2" t="s">
        <v>13992</v>
      </c>
      <c r="K4499" s="2" t="s">
        <v>173</v>
      </c>
      <c r="L4499" s="2" t="s">
        <v>34</v>
      </c>
      <c r="M4499" s="7">
        <v>413.95299999999997</v>
      </c>
      <c r="N4499" s="6">
        <v>24.25</v>
      </c>
      <c r="O4499" s="7">
        <v>24.312999999999999</v>
      </c>
      <c r="P4499" s="2" t="s">
        <v>13993</v>
      </c>
      <c r="Q4499" s="2"/>
      <c r="R4499" s="6">
        <v>5</v>
      </c>
      <c r="S4499" s="5">
        <v>-8.4</v>
      </c>
      <c r="T4499" s="7">
        <v>3.1309999999999998</v>
      </c>
      <c r="U4499" s="5">
        <v>5.7</v>
      </c>
      <c r="V4499" s="6">
        <v>-1.4</v>
      </c>
      <c r="W4499" s="7">
        <v>1.125</v>
      </c>
      <c r="X4499" s="7">
        <v>1.3129999999999999</v>
      </c>
      <c r="Y4499" s="7">
        <v>1.625</v>
      </c>
      <c r="Z4499" s="6">
        <v>1.75</v>
      </c>
      <c r="AA4499" s="6">
        <v>6.35</v>
      </c>
      <c r="AB4499" s="7">
        <v>731.71100000000001</v>
      </c>
      <c r="AC4499" s="6">
        <v>2.31</v>
      </c>
    </row>
    <row r="4500" spans="1:29" ht="104" x14ac:dyDescent="0.15">
      <c r="A4500" s="3">
        <f>DATE(1999,3,12)</f>
        <v>36231</v>
      </c>
      <c r="B4500" s="2"/>
      <c r="C4500" s="2" t="s">
        <v>30</v>
      </c>
      <c r="D4500" s="2" t="s">
        <v>13994</v>
      </c>
      <c r="E4500" s="2" t="s">
        <v>13995</v>
      </c>
      <c r="F4500" s="4">
        <v>3812</v>
      </c>
      <c r="G4500" s="2" t="s">
        <v>226</v>
      </c>
      <c r="H4500" s="2" t="s">
        <v>34</v>
      </c>
      <c r="I4500" s="2" t="s">
        <v>13996</v>
      </c>
      <c r="J4500" s="2" t="s">
        <v>13997</v>
      </c>
      <c r="K4500" s="2" t="s">
        <v>226</v>
      </c>
      <c r="L4500" s="2" t="s">
        <v>34</v>
      </c>
      <c r="M4500" s="2"/>
      <c r="N4500" s="2"/>
      <c r="O4500" s="2"/>
      <c r="P4500" s="2" t="s">
        <v>13998</v>
      </c>
      <c r="Q4500" s="2"/>
      <c r="R4500" s="6">
        <v>7.3</v>
      </c>
      <c r="S4500" s="5">
        <v>2.1</v>
      </c>
      <c r="T4500" s="7">
        <v>10.054</v>
      </c>
      <c r="U4500" s="5">
        <v>2.5</v>
      </c>
      <c r="V4500" s="6">
        <v>0.56000000000000005</v>
      </c>
      <c r="W4500" s="6">
        <v>4.25</v>
      </c>
      <c r="X4500" s="4">
        <v>5</v>
      </c>
      <c r="Y4500" s="9">
        <v>5.4375</v>
      </c>
      <c r="Z4500" s="6">
        <v>5.25</v>
      </c>
      <c r="AA4500" s="6">
        <v>3.77</v>
      </c>
      <c r="AB4500" s="7">
        <v>6.5289999999999999</v>
      </c>
      <c r="AC4500" s="2"/>
    </row>
    <row r="4501" spans="1:29" ht="65" x14ac:dyDescent="0.15">
      <c r="A4501" s="3">
        <f>DATE(1999,3,12)</f>
        <v>36231</v>
      </c>
      <c r="B4501" s="3">
        <f>DATE(1999,5,28)</f>
        <v>36308</v>
      </c>
      <c r="C4501" s="2" t="s">
        <v>95</v>
      </c>
      <c r="D4501" s="2" t="s">
        <v>13999</v>
      </c>
      <c r="E4501" s="2" t="s">
        <v>14000</v>
      </c>
      <c r="F4501" s="4">
        <v>5531</v>
      </c>
      <c r="G4501" s="2" t="s">
        <v>73</v>
      </c>
      <c r="H4501" s="2" t="s">
        <v>34</v>
      </c>
      <c r="I4501" s="2" t="s">
        <v>14001</v>
      </c>
      <c r="J4501" s="2" t="s">
        <v>14002</v>
      </c>
      <c r="K4501" s="2" t="s">
        <v>137</v>
      </c>
      <c r="L4501" s="2" t="s">
        <v>34</v>
      </c>
      <c r="M4501" s="2"/>
      <c r="N4501" s="2"/>
      <c r="O4501" s="2"/>
      <c r="P4501" s="2" t="s">
        <v>14003</v>
      </c>
      <c r="Q4501" s="6">
        <v>100</v>
      </c>
      <c r="R4501" s="6">
        <v>9</v>
      </c>
      <c r="S4501" s="5">
        <v>1.2</v>
      </c>
      <c r="T4501" s="7">
        <v>1.966</v>
      </c>
      <c r="U4501" s="5">
        <v>11.3</v>
      </c>
      <c r="V4501" s="6">
        <v>0.2</v>
      </c>
      <c r="W4501" s="7">
        <v>6.8129999999999997</v>
      </c>
      <c r="X4501" s="4">
        <v>7</v>
      </c>
      <c r="Y4501" s="7">
        <v>8.375</v>
      </c>
      <c r="Z4501" s="7">
        <v>8.375</v>
      </c>
      <c r="AA4501" s="6">
        <v>5.91</v>
      </c>
      <c r="AB4501" s="2" t="s">
        <v>86</v>
      </c>
      <c r="AC4501" s="2"/>
    </row>
    <row r="4502" spans="1:29" ht="130" x14ac:dyDescent="0.15">
      <c r="A4502" s="3">
        <f>DATE(1999,3,14)</f>
        <v>36233</v>
      </c>
      <c r="B4502" s="3">
        <f>DATE(1999,10,1)</f>
        <v>36434</v>
      </c>
      <c r="C4502" s="2" t="s">
        <v>95</v>
      </c>
      <c r="D4502" s="2" t="s">
        <v>12036</v>
      </c>
      <c r="E4502" s="2" t="s">
        <v>36</v>
      </c>
      <c r="F4502" s="4">
        <v>6021</v>
      </c>
      <c r="G4502" s="2" t="s">
        <v>37</v>
      </c>
      <c r="H4502" s="2" t="s">
        <v>34</v>
      </c>
      <c r="I4502" s="2" t="s">
        <v>4293</v>
      </c>
      <c r="J4502" s="2" t="s">
        <v>36</v>
      </c>
      <c r="K4502" s="2" t="s">
        <v>37</v>
      </c>
      <c r="L4502" s="2" t="s">
        <v>34</v>
      </c>
      <c r="M4502" s="12">
        <v>22769.254000000001</v>
      </c>
      <c r="N4502" s="7">
        <v>42.188000000000002</v>
      </c>
      <c r="O4502" s="7">
        <v>42.188000000000002</v>
      </c>
      <c r="P4502" s="2" t="s">
        <v>14004</v>
      </c>
      <c r="Q4502" s="6">
        <v>100</v>
      </c>
      <c r="R4502" s="6">
        <v>53</v>
      </c>
      <c r="S4502" s="5">
        <v>792</v>
      </c>
      <c r="T4502" s="5">
        <v>998</v>
      </c>
      <c r="U4502" s="5">
        <v>16.3</v>
      </c>
      <c r="V4502" s="6">
        <v>2.64</v>
      </c>
      <c r="W4502" s="6">
        <v>42.25</v>
      </c>
      <c r="X4502" s="7">
        <v>46.938000000000002</v>
      </c>
      <c r="Y4502" s="9">
        <v>47.0625</v>
      </c>
      <c r="Z4502" s="9">
        <v>47.0625</v>
      </c>
      <c r="AA4502" s="6">
        <v>294.62</v>
      </c>
      <c r="AB4502" s="7">
        <v>41.726999999999997</v>
      </c>
      <c r="AC4502" s="2"/>
    </row>
    <row r="4503" spans="1:29" ht="104" x14ac:dyDescent="0.15">
      <c r="A4503" s="3">
        <f>DATE(1999,3,15)</f>
        <v>36234</v>
      </c>
      <c r="B4503" s="3">
        <f>DATE(1999,6,17)</f>
        <v>36328</v>
      </c>
      <c r="C4503" s="2" t="s">
        <v>95</v>
      </c>
      <c r="D4503" s="2" t="s">
        <v>14005</v>
      </c>
      <c r="E4503" s="2" t="s">
        <v>14006</v>
      </c>
      <c r="F4503" s="4">
        <v>7375</v>
      </c>
      <c r="G4503" s="2" t="s">
        <v>223</v>
      </c>
      <c r="H4503" s="2" t="s">
        <v>34</v>
      </c>
      <c r="I4503" s="2" t="s">
        <v>14007</v>
      </c>
      <c r="J4503" s="2" t="s">
        <v>302</v>
      </c>
      <c r="K4503" s="2" t="s">
        <v>53</v>
      </c>
      <c r="L4503" s="2" t="s">
        <v>34</v>
      </c>
      <c r="M4503" s="2"/>
      <c r="N4503" s="2"/>
      <c r="O4503" s="2"/>
      <c r="P4503" s="2" t="s">
        <v>14008</v>
      </c>
      <c r="Q4503" s="6">
        <v>10.220000000000001</v>
      </c>
      <c r="R4503" s="6">
        <v>90</v>
      </c>
      <c r="S4503" s="5">
        <v>-2.4</v>
      </c>
      <c r="T4503" s="7">
        <v>-0.68100000000000005</v>
      </c>
      <c r="U4503" s="5">
        <v>0.4</v>
      </c>
      <c r="V4503" s="9">
        <v>-0.10249999999999999</v>
      </c>
      <c r="W4503" s="6">
        <v>66.75</v>
      </c>
      <c r="X4503" s="4">
        <v>87</v>
      </c>
      <c r="Y4503" s="7">
        <v>113.375</v>
      </c>
      <c r="Z4503" s="4">
        <v>126</v>
      </c>
      <c r="AA4503" s="6">
        <v>12.69</v>
      </c>
      <c r="AB4503" s="2" t="s">
        <v>86</v>
      </c>
      <c r="AC4503" s="2"/>
    </row>
    <row r="4504" spans="1:29" ht="104" x14ac:dyDescent="0.15">
      <c r="A4504" s="3">
        <f>DATE(1999,3,15)</f>
        <v>36234</v>
      </c>
      <c r="B4504" s="3">
        <f>DATE(1999,5,30)</f>
        <v>36310</v>
      </c>
      <c r="C4504" s="2" t="s">
        <v>95</v>
      </c>
      <c r="D4504" s="2" t="s">
        <v>14009</v>
      </c>
      <c r="E4504" s="2" t="s">
        <v>14010</v>
      </c>
      <c r="F4504" s="4">
        <v>3594</v>
      </c>
      <c r="G4504" s="2" t="s">
        <v>300</v>
      </c>
      <c r="H4504" s="2" t="s">
        <v>34</v>
      </c>
      <c r="I4504" s="2" t="s">
        <v>51</v>
      </c>
      <c r="J4504" s="2" t="s">
        <v>52</v>
      </c>
      <c r="K4504" s="2" t="s">
        <v>53</v>
      </c>
      <c r="L4504" s="2" t="s">
        <v>34</v>
      </c>
      <c r="M4504" s="2"/>
      <c r="N4504" s="2"/>
      <c r="O4504" s="2"/>
      <c r="P4504" s="2" t="s">
        <v>14011</v>
      </c>
      <c r="Q4504" s="6">
        <v>100</v>
      </c>
      <c r="R4504" s="6">
        <v>12.9</v>
      </c>
      <c r="S4504" s="5">
        <v>4.7</v>
      </c>
      <c r="T4504" s="6">
        <v>8.4700000000000006</v>
      </c>
      <c r="U4504" s="5">
        <v>6.6</v>
      </c>
      <c r="V4504" s="6">
        <v>0.93</v>
      </c>
      <c r="W4504" s="7">
        <v>8.625</v>
      </c>
      <c r="X4504" s="7">
        <v>9.0630000000000006</v>
      </c>
      <c r="Y4504" s="7">
        <v>12.063000000000001</v>
      </c>
      <c r="Z4504" s="7">
        <v>12.188000000000001</v>
      </c>
      <c r="AA4504" s="6">
        <v>4.8</v>
      </c>
      <c r="AB4504" s="7">
        <v>7.9530000000000003</v>
      </c>
      <c r="AC4504" s="2"/>
    </row>
    <row r="4505" spans="1:29" ht="91" x14ac:dyDescent="0.15">
      <c r="A4505" s="3">
        <f>DATE(1999,3,15)</f>
        <v>36234</v>
      </c>
      <c r="B4505" s="3">
        <f>DATE(1999,10,1)</f>
        <v>36434</v>
      </c>
      <c r="C4505" s="2" t="s">
        <v>95</v>
      </c>
      <c r="D4505" s="2" t="s">
        <v>14012</v>
      </c>
      <c r="E4505" s="2" t="s">
        <v>14013</v>
      </c>
      <c r="F4505" s="4">
        <v>2879</v>
      </c>
      <c r="G4505" s="2" t="s">
        <v>98</v>
      </c>
      <c r="H4505" s="2" t="s">
        <v>34</v>
      </c>
      <c r="I4505" s="2" t="s">
        <v>14014</v>
      </c>
      <c r="J4505" s="2" t="s">
        <v>14015</v>
      </c>
      <c r="K4505" s="2" t="s">
        <v>98</v>
      </c>
      <c r="L4505" s="2" t="s">
        <v>34</v>
      </c>
      <c r="M4505" s="7">
        <v>782.60699999999997</v>
      </c>
      <c r="N4505" s="6">
        <v>56.25</v>
      </c>
      <c r="O4505" s="6">
        <v>55.25</v>
      </c>
      <c r="P4505" s="2" t="s">
        <v>14016</v>
      </c>
      <c r="Q4505" s="6">
        <v>80.260000000000005</v>
      </c>
      <c r="R4505" s="6">
        <v>40</v>
      </c>
      <c r="S4505" s="5">
        <v>270</v>
      </c>
      <c r="T4505" s="5">
        <v>449</v>
      </c>
      <c r="U4505" s="5">
        <v>5.2</v>
      </c>
      <c r="V4505" s="6">
        <v>1.08</v>
      </c>
      <c r="W4505" s="5">
        <v>22.5</v>
      </c>
      <c r="X4505" s="7">
        <v>34.313000000000002</v>
      </c>
      <c r="Y4505" s="7">
        <v>38.375</v>
      </c>
      <c r="Z4505" s="4">
        <v>38</v>
      </c>
      <c r="AA4505" s="6">
        <v>239.45</v>
      </c>
      <c r="AB4505" s="7">
        <v>27.02</v>
      </c>
      <c r="AC4505" s="8">
        <v>1069</v>
      </c>
    </row>
    <row r="4506" spans="1:29" ht="91" x14ac:dyDescent="0.15">
      <c r="A4506" s="3">
        <f>DATE(1999,3,15)</f>
        <v>36234</v>
      </c>
      <c r="B4506" s="3">
        <f>DATE(1999,10,25)</f>
        <v>36458</v>
      </c>
      <c r="C4506" s="2" t="s">
        <v>95</v>
      </c>
      <c r="D4506" s="2" t="s">
        <v>1660</v>
      </c>
      <c r="E4506" s="2" t="s">
        <v>441</v>
      </c>
      <c r="F4506" s="4">
        <v>4922</v>
      </c>
      <c r="G4506" s="2" t="s">
        <v>439</v>
      </c>
      <c r="H4506" s="2" t="s">
        <v>34</v>
      </c>
      <c r="I4506" s="2" t="s">
        <v>14017</v>
      </c>
      <c r="J4506" s="2" t="s">
        <v>1387</v>
      </c>
      <c r="K4506" s="2" t="s">
        <v>439</v>
      </c>
      <c r="L4506" s="2" t="s">
        <v>34</v>
      </c>
      <c r="M4506" s="12">
        <v>3950.424</v>
      </c>
      <c r="N4506" s="7">
        <v>32.063000000000002</v>
      </c>
      <c r="O4506" s="7">
        <v>31.562999999999999</v>
      </c>
      <c r="P4506" s="2" t="s">
        <v>14018</v>
      </c>
      <c r="Q4506" s="6">
        <v>100</v>
      </c>
      <c r="R4506" s="6">
        <v>35.75</v>
      </c>
      <c r="S4506" s="5">
        <v>-530.5</v>
      </c>
      <c r="T4506" s="12">
        <v>1671.4739999999999</v>
      </c>
      <c r="U4506" s="5">
        <v>12.1</v>
      </c>
      <c r="V4506" s="6">
        <v>-4.82</v>
      </c>
      <c r="W4506" s="6">
        <v>25.75</v>
      </c>
      <c r="X4506" s="6">
        <v>30.06</v>
      </c>
      <c r="Y4506" s="7">
        <v>29.625</v>
      </c>
      <c r="Z4506" s="4">
        <v>29</v>
      </c>
      <c r="AA4506" s="6">
        <v>110.03</v>
      </c>
      <c r="AB4506" s="7">
        <v>19.718</v>
      </c>
      <c r="AC4506" s="5">
        <v>90</v>
      </c>
    </row>
    <row r="4507" spans="1:29" ht="65" x14ac:dyDescent="0.15">
      <c r="A4507" s="3">
        <f>DATE(1999,3,16)</f>
        <v>36235</v>
      </c>
      <c r="B4507" s="2"/>
      <c r="C4507" s="2" t="s">
        <v>30</v>
      </c>
      <c r="D4507" s="2" t="s">
        <v>14019</v>
      </c>
      <c r="E4507" s="2" t="s">
        <v>3607</v>
      </c>
      <c r="F4507" s="4">
        <v>3559</v>
      </c>
      <c r="G4507" s="2" t="s">
        <v>300</v>
      </c>
      <c r="H4507" s="2" t="s">
        <v>34</v>
      </c>
      <c r="I4507" s="2" t="s">
        <v>14020</v>
      </c>
      <c r="J4507" s="2" t="s">
        <v>52</v>
      </c>
      <c r="K4507" s="2" t="s">
        <v>53</v>
      </c>
      <c r="L4507" s="2" t="s">
        <v>34</v>
      </c>
      <c r="M4507" s="2"/>
      <c r="N4507" s="2"/>
      <c r="O4507" s="2"/>
      <c r="P4507" s="2" t="s">
        <v>14021</v>
      </c>
      <c r="Q4507" s="2"/>
      <c r="R4507" s="6">
        <v>10.130000000000001</v>
      </c>
      <c r="S4507" s="5">
        <v>3.9</v>
      </c>
      <c r="T4507" s="7">
        <v>13.188000000000001</v>
      </c>
      <c r="U4507" s="5">
        <v>12.3</v>
      </c>
      <c r="V4507" s="6">
        <v>0.69</v>
      </c>
      <c r="W4507" s="7">
        <v>5.875</v>
      </c>
      <c r="X4507" s="7">
        <v>4.6879999999999997</v>
      </c>
      <c r="Y4507" s="7">
        <v>8.125</v>
      </c>
      <c r="Z4507" s="4">
        <v>7</v>
      </c>
      <c r="AA4507" s="6">
        <v>5.7</v>
      </c>
      <c r="AB4507" s="7">
        <v>8.56</v>
      </c>
      <c r="AC4507" s="2"/>
    </row>
    <row r="4508" spans="1:29" ht="52" x14ac:dyDescent="0.15">
      <c r="A4508" s="3">
        <f>DATE(1999,3,16)</f>
        <v>36235</v>
      </c>
      <c r="B4508" s="2"/>
      <c r="C4508" s="2" t="s">
        <v>30</v>
      </c>
      <c r="D4508" s="2" t="s">
        <v>14022</v>
      </c>
      <c r="E4508" s="2" t="s">
        <v>14023</v>
      </c>
      <c r="F4508" s="4">
        <v>5521</v>
      </c>
      <c r="G4508" s="2" t="s">
        <v>73</v>
      </c>
      <c r="H4508" s="2" t="s">
        <v>34</v>
      </c>
      <c r="I4508" s="2" t="s">
        <v>14024</v>
      </c>
      <c r="J4508" s="2" t="s">
        <v>14025</v>
      </c>
      <c r="K4508" s="2" t="s">
        <v>73</v>
      </c>
      <c r="L4508" s="2" t="s">
        <v>34</v>
      </c>
      <c r="M4508" s="7">
        <v>453.68799999999999</v>
      </c>
      <c r="N4508" s="5">
        <v>18.5</v>
      </c>
      <c r="O4508" s="6">
        <v>17.25</v>
      </c>
      <c r="P4508" s="2" t="s">
        <v>14026</v>
      </c>
      <c r="Q4508" s="2"/>
      <c r="R4508" s="6">
        <v>13.27</v>
      </c>
      <c r="S4508" s="5">
        <v>7.2</v>
      </c>
      <c r="T4508" s="6">
        <v>24.41</v>
      </c>
      <c r="U4508" s="5">
        <v>14</v>
      </c>
      <c r="V4508" s="6">
        <v>0.63</v>
      </c>
      <c r="W4508" s="7">
        <v>11.406000000000001</v>
      </c>
      <c r="X4508" s="4">
        <v>11</v>
      </c>
      <c r="Y4508" s="6">
        <v>11.25</v>
      </c>
      <c r="Z4508" s="9">
        <v>12.5625</v>
      </c>
      <c r="AA4508" s="6">
        <v>11.32</v>
      </c>
      <c r="AB4508" s="7">
        <v>9.4930000000000003</v>
      </c>
      <c r="AC4508" s="5">
        <v>28.8</v>
      </c>
    </row>
    <row r="4509" spans="1:29" ht="104" x14ac:dyDescent="0.15">
      <c r="A4509" s="3">
        <f>DATE(1999,3,16)</f>
        <v>36235</v>
      </c>
      <c r="B4509" s="3">
        <f>DATE(1999,7,1)</f>
        <v>36342</v>
      </c>
      <c r="C4509" s="2" t="s">
        <v>95</v>
      </c>
      <c r="D4509" s="2" t="s">
        <v>14027</v>
      </c>
      <c r="E4509" s="2" t="s">
        <v>14028</v>
      </c>
      <c r="F4509" s="4">
        <v>8741</v>
      </c>
      <c r="G4509" s="2" t="s">
        <v>223</v>
      </c>
      <c r="H4509" s="2" t="s">
        <v>34</v>
      </c>
      <c r="I4509" s="2" t="s">
        <v>14029</v>
      </c>
      <c r="J4509" s="2" t="s">
        <v>14030</v>
      </c>
      <c r="K4509" s="2" t="s">
        <v>454</v>
      </c>
      <c r="L4509" s="2" t="s">
        <v>34</v>
      </c>
      <c r="M4509" s="7">
        <v>14.884</v>
      </c>
      <c r="N4509" s="7">
        <v>2.0630000000000002</v>
      </c>
      <c r="O4509" s="7">
        <v>2.125</v>
      </c>
      <c r="P4509" s="2" t="s">
        <v>14031</v>
      </c>
      <c r="Q4509" s="6">
        <v>100</v>
      </c>
      <c r="R4509" s="2"/>
      <c r="S4509" s="5">
        <v>-0.5</v>
      </c>
      <c r="T4509" s="7">
        <v>-0.107</v>
      </c>
      <c r="U4509" s="5">
        <v>2.1</v>
      </c>
      <c r="V4509" s="7">
        <v>-0.107</v>
      </c>
      <c r="W4509" s="7">
        <v>0.40600000000000003</v>
      </c>
      <c r="X4509" s="7">
        <v>1.125</v>
      </c>
      <c r="Y4509" s="7">
        <v>0.56299999999999994</v>
      </c>
      <c r="Z4509" s="7">
        <v>0.81299999999999994</v>
      </c>
      <c r="AA4509" s="6">
        <v>5.05</v>
      </c>
      <c r="AB4509" s="2" t="s">
        <v>86</v>
      </c>
      <c r="AC4509" s="2"/>
    </row>
    <row r="4510" spans="1:29" ht="117" x14ac:dyDescent="0.15">
      <c r="A4510" s="3">
        <f>DATE(1999,3,16)</f>
        <v>36235</v>
      </c>
      <c r="B4510" s="3">
        <f>DATE(1999,7,23)</f>
        <v>36364</v>
      </c>
      <c r="C4510" s="2" t="s">
        <v>95</v>
      </c>
      <c r="D4510" s="2" t="s">
        <v>14032</v>
      </c>
      <c r="E4510" s="2" t="s">
        <v>11036</v>
      </c>
      <c r="F4510" s="4">
        <v>3845</v>
      </c>
      <c r="G4510" s="2" t="s">
        <v>226</v>
      </c>
      <c r="H4510" s="2" t="s">
        <v>34</v>
      </c>
      <c r="I4510" s="2" t="s">
        <v>5541</v>
      </c>
      <c r="J4510" s="2" t="s">
        <v>14033</v>
      </c>
      <c r="K4510" s="2" t="s">
        <v>137</v>
      </c>
      <c r="L4510" s="2" t="s">
        <v>34</v>
      </c>
      <c r="M4510" s="7">
        <v>534.14700000000005</v>
      </c>
      <c r="N4510" s="7">
        <v>33.188000000000002</v>
      </c>
      <c r="O4510" s="6">
        <v>29.75</v>
      </c>
      <c r="P4510" s="2" t="s">
        <v>14034</v>
      </c>
      <c r="Q4510" s="6">
        <v>100</v>
      </c>
      <c r="R4510" s="6">
        <v>13.68</v>
      </c>
      <c r="S4510" s="5">
        <v>4.0999999999999996</v>
      </c>
      <c r="T4510" s="7">
        <v>7.9619999999999997</v>
      </c>
      <c r="U4510" s="5">
        <v>5.0999999999999996</v>
      </c>
      <c r="V4510" s="6">
        <v>0.73</v>
      </c>
      <c r="W4510" s="7">
        <v>7.8129999999999997</v>
      </c>
      <c r="X4510" s="7">
        <v>7.5629999999999997</v>
      </c>
      <c r="Y4510" s="7">
        <v>7.6879999999999997</v>
      </c>
      <c r="Z4510" s="6">
        <v>10.25</v>
      </c>
      <c r="AA4510" s="6">
        <v>5.54</v>
      </c>
      <c r="AB4510" s="7">
        <v>11.987</v>
      </c>
      <c r="AC4510" s="5">
        <v>23.2</v>
      </c>
    </row>
    <row r="4511" spans="1:29" ht="117" x14ac:dyDescent="0.15">
      <c r="A4511" s="3">
        <f>DATE(1999,3,17)</f>
        <v>36236</v>
      </c>
      <c r="B4511" s="3">
        <f>DATE(1999,9,28)</f>
        <v>36431</v>
      </c>
      <c r="C4511" s="2" t="s">
        <v>95</v>
      </c>
      <c r="D4511" s="2" t="s">
        <v>6092</v>
      </c>
      <c r="E4511" s="2" t="s">
        <v>973</v>
      </c>
      <c r="F4511" s="4">
        <v>4813</v>
      </c>
      <c r="G4511" s="2" t="s">
        <v>63</v>
      </c>
      <c r="H4511" s="2" t="s">
        <v>34</v>
      </c>
      <c r="I4511" s="2" t="s">
        <v>14035</v>
      </c>
      <c r="J4511" s="2" t="s">
        <v>14036</v>
      </c>
      <c r="K4511" s="2" t="s">
        <v>63</v>
      </c>
      <c r="L4511" s="2" t="s">
        <v>1791</v>
      </c>
      <c r="M4511" s="2"/>
      <c r="N4511" s="2"/>
      <c r="O4511" s="2"/>
      <c r="P4511" s="2" t="s">
        <v>14037</v>
      </c>
      <c r="Q4511" s="6">
        <v>100</v>
      </c>
      <c r="R4511" s="6">
        <v>49.2</v>
      </c>
      <c r="S4511" s="5">
        <v>173.2</v>
      </c>
      <c r="T4511" s="7">
        <v>567.26800000000003</v>
      </c>
      <c r="U4511" s="5">
        <v>6.4</v>
      </c>
      <c r="V4511" s="6">
        <v>0.97</v>
      </c>
      <c r="W4511" s="7">
        <v>38.625</v>
      </c>
      <c r="X4511" s="7">
        <v>44.625</v>
      </c>
      <c r="Y4511" s="5">
        <v>50.5</v>
      </c>
      <c r="Z4511" s="7">
        <v>53.875</v>
      </c>
      <c r="AA4511" s="6">
        <v>171.61</v>
      </c>
      <c r="AB4511" s="7">
        <v>32.283999999999999</v>
      </c>
      <c r="AC4511" s="6">
        <v>883.78</v>
      </c>
    </row>
    <row r="4512" spans="1:29" ht="117" x14ac:dyDescent="0.15">
      <c r="A4512" s="3">
        <f>DATE(1999,3,17)</f>
        <v>36236</v>
      </c>
      <c r="B4512" s="3">
        <f>DATE(1999,8,15)</f>
        <v>36387</v>
      </c>
      <c r="C4512" s="2" t="s">
        <v>95</v>
      </c>
      <c r="D4512" s="2" t="s">
        <v>12767</v>
      </c>
      <c r="E4512" s="2" t="s">
        <v>12768</v>
      </c>
      <c r="F4512" s="4">
        <v>3564</v>
      </c>
      <c r="G4512" s="2" t="s">
        <v>300</v>
      </c>
      <c r="H4512" s="2" t="s">
        <v>34</v>
      </c>
      <c r="I4512" s="2" t="s">
        <v>7025</v>
      </c>
      <c r="J4512" s="2" t="s">
        <v>7026</v>
      </c>
      <c r="K4512" s="2" t="s">
        <v>300</v>
      </c>
      <c r="L4512" s="2" t="s">
        <v>34</v>
      </c>
      <c r="M4512" s="7">
        <v>93.355999999999995</v>
      </c>
      <c r="N4512" s="5">
        <v>5.5</v>
      </c>
      <c r="O4512" s="7">
        <v>5.5629999999999997</v>
      </c>
      <c r="P4512" s="2" t="s">
        <v>14038</v>
      </c>
      <c r="Q4512" s="6">
        <v>100</v>
      </c>
      <c r="R4512" s="6">
        <v>5.5</v>
      </c>
      <c r="S4512" s="5">
        <v>0.5</v>
      </c>
      <c r="T4512" s="7">
        <v>4.4550000000000001</v>
      </c>
      <c r="U4512" s="5">
        <v>3.1</v>
      </c>
      <c r="V4512" s="6">
        <v>0.05</v>
      </c>
      <c r="W4512" s="6">
        <v>3.25</v>
      </c>
      <c r="X4512" s="5">
        <v>3.5</v>
      </c>
      <c r="Y4512" s="9">
        <v>3.9375</v>
      </c>
      <c r="Z4512" s="9">
        <v>4.0625</v>
      </c>
      <c r="AA4512" s="6">
        <v>7.15</v>
      </c>
      <c r="AB4512" s="7">
        <v>22.707000000000001</v>
      </c>
      <c r="AC4512" s="6">
        <v>90.99</v>
      </c>
    </row>
    <row r="4513" spans="1:29" ht="52" x14ac:dyDescent="0.15">
      <c r="A4513" s="3">
        <f>DATE(1999,3,18)</f>
        <v>36237</v>
      </c>
      <c r="B4513" s="2"/>
      <c r="C4513" s="2" t="s">
        <v>30</v>
      </c>
      <c r="D4513" s="2" t="s">
        <v>14039</v>
      </c>
      <c r="E4513" s="2" t="s">
        <v>92</v>
      </c>
      <c r="F4513" s="4">
        <v>6798</v>
      </c>
      <c r="G4513" s="2" t="s">
        <v>53</v>
      </c>
      <c r="H4513" s="2" t="s">
        <v>34</v>
      </c>
      <c r="I4513" s="2" t="s">
        <v>1263</v>
      </c>
      <c r="J4513" s="2" t="s">
        <v>150</v>
      </c>
      <c r="K4513" s="2" t="s">
        <v>53</v>
      </c>
      <c r="L4513" s="2" t="s">
        <v>34</v>
      </c>
      <c r="M4513" s="2"/>
      <c r="N4513" s="2"/>
      <c r="O4513" s="2"/>
      <c r="P4513" s="2" t="s">
        <v>14040</v>
      </c>
      <c r="Q4513" s="2"/>
      <c r="R4513" s="6">
        <v>11.5</v>
      </c>
      <c r="S4513" s="5">
        <v>23.2</v>
      </c>
      <c r="T4513" s="7">
        <v>43.601999999999997</v>
      </c>
      <c r="U4513" s="5">
        <v>8.6999999999999993</v>
      </c>
      <c r="V4513" s="6">
        <v>0.62</v>
      </c>
      <c r="W4513" s="6">
        <v>9.75</v>
      </c>
      <c r="X4513" s="6">
        <v>9.75</v>
      </c>
      <c r="Y4513" s="7">
        <v>9.875</v>
      </c>
      <c r="Z4513" s="9">
        <v>10.0625</v>
      </c>
      <c r="AA4513" s="6">
        <v>39.11</v>
      </c>
      <c r="AB4513" s="7">
        <v>28.460999999999999</v>
      </c>
      <c r="AC4513" s="2"/>
    </row>
    <row r="4514" spans="1:29" ht="130" x14ac:dyDescent="0.15">
      <c r="A4514" s="3">
        <f>DATE(1999,3,18)</f>
        <v>36237</v>
      </c>
      <c r="B4514" s="3">
        <f>DATE(1999,9,7)</f>
        <v>36410</v>
      </c>
      <c r="C4514" s="2" t="s">
        <v>95</v>
      </c>
      <c r="D4514" s="2" t="s">
        <v>7800</v>
      </c>
      <c r="E4514" s="2" t="s">
        <v>36</v>
      </c>
      <c r="F4514" s="4">
        <v>6021</v>
      </c>
      <c r="G4514" s="2" t="s">
        <v>37</v>
      </c>
      <c r="H4514" s="2" t="s">
        <v>34</v>
      </c>
      <c r="I4514" s="2" t="s">
        <v>4392</v>
      </c>
      <c r="J4514" s="2" t="s">
        <v>263</v>
      </c>
      <c r="K4514" s="2" t="s">
        <v>37</v>
      </c>
      <c r="L4514" s="2" t="s">
        <v>34</v>
      </c>
      <c r="M4514" s="12">
        <v>4729.9939999999997</v>
      </c>
      <c r="N4514" s="4">
        <v>45</v>
      </c>
      <c r="O4514" s="7">
        <v>43.438000000000002</v>
      </c>
      <c r="P4514" s="2" t="s">
        <v>14041</v>
      </c>
      <c r="Q4514" s="6">
        <v>100</v>
      </c>
      <c r="R4514" s="6">
        <v>32.270000000000003</v>
      </c>
      <c r="S4514" s="5">
        <v>14.7</v>
      </c>
      <c r="T4514" s="7">
        <v>23.155000000000001</v>
      </c>
      <c r="U4514" s="5">
        <v>15.7</v>
      </c>
      <c r="V4514" s="6">
        <v>1.95</v>
      </c>
      <c r="W4514" s="4">
        <v>27</v>
      </c>
      <c r="X4514" s="4">
        <v>27</v>
      </c>
      <c r="Y4514" s="7">
        <v>27.187999999999999</v>
      </c>
      <c r="Z4514" s="7">
        <v>29.937999999999999</v>
      </c>
      <c r="AA4514" s="6">
        <v>7.51</v>
      </c>
      <c r="AB4514" s="7">
        <v>17.553999999999998</v>
      </c>
      <c r="AC4514" s="6">
        <v>615.85</v>
      </c>
    </row>
    <row r="4515" spans="1:29" ht="52" x14ac:dyDescent="0.15">
      <c r="A4515" s="3">
        <f>DATE(1999,3,18)</f>
        <v>36237</v>
      </c>
      <c r="B4515" s="2"/>
      <c r="C4515" s="2" t="s">
        <v>30</v>
      </c>
      <c r="D4515" s="2" t="s">
        <v>14042</v>
      </c>
      <c r="E4515" s="2" t="s">
        <v>14043</v>
      </c>
      <c r="F4515" s="4">
        <v>7363</v>
      </c>
      <c r="G4515" s="2" t="s">
        <v>223</v>
      </c>
      <c r="H4515" s="2" t="s">
        <v>34</v>
      </c>
      <c r="I4515" s="2" t="s">
        <v>14044</v>
      </c>
      <c r="J4515" s="2" t="s">
        <v>1032</v>
      </c>
      <c r="K4515" s="2" t="s">
        <v>53</v>
      </c>
      <c r="L4515" s="2" t="s">
        <v>34</v>
      </c>
      <c r="M4515" s="2"/>
      <c r="N4515" s="2"/>
      <c r="O4515" s="2"/>
      <c r="P4515" s="2" t="s">
        <v>14045</v>
      </c>
      <c r="Q4515" s="2"/>
      <c r="R4515" s="6">
        <v>17.5</v>
      </c>
      <c r="S4515" s="5">
        <v>23.7</v>
      </c>
      <c r="T4515" s="7">
        <v>41.350999999999999</v>
      </c>
      <c r="U4515" s="5">
        <v>3</v>
      </c>
      <c r="V4515" s="7">
        <v>1.036</v>
      </c>
      <c r="W4515" s="7">
        <v>10.313000000000001</v>
      </c>
      <c r="X4515" s="7">
        <v>10.313000000000001</v>
      </c>
      <c r="Y4515" s="7">
        <v>15.063000000000001</v>
      </c>
      <c r="Z4515" s="7">
        <v>16.187999999999999</v>
      </c>
      <c r="AA4515" s="6">
        <v>22.47</v>
      </c>
      <c r="AB4515" s="7">
        <v>10.401</v>
      </c>
      <c r="AC4515" s="2"/>
    </row>
    <row r="4516" spans="1:29" ht="39" x14ac:dyDescent="0.15">
      <c r="A4516" s="3">
        <f>DATE(1999,3,19)</f>
        <v>36238</v>
      </c>
      <c r="B4516" s="2"/>
      <c r="C4516" s="2" t="s">
        <v>30</v>
      </c>
      <c r="D4516" s="2" t="s">
        <v>14046</v>
      </c>
      <c r="E4516" s="2" t="s">
        <v>159</v>
      </c>
      <c r="F4516" s="4">
        <v>6021</v>
      </c>
      <c r="G4516" s="2" t="s">
        <v>37</v>
      </c>
      <c r="H4516" s="2" t="s">
        <v>34</v>
      </c>
      <c r="I4516" s="2" t="s">
        <v>14047</v>
      </c>
      <c r="J4516" s="2" t="s">
        <v>1181</v>
      </c>
      <c r="K4516" s="2" t="s">
        <v>37</v>
      </c>
      <c r="L4516" s="2" t="s">
        <v>34</v>
      </c>
      <c r="M4516" s="2"/>
      <c r="N4516" s="2"/>
      <c r="O4516" s="2"/>
      <c r="P4516" s="2" t="s">
        <v>14048</v>
      </c>
      <c r="Q4516" s="2"/>
      <c r="R4516" s="2"/>
      <c r="S4516" s="5">
        <v>1</v>
      </c>
      <c r="T4516" s="7">
        <v>2.9449999999999998</v>
      </c>
      <c r="U4516" s="5">
        <v>230.3</v>
      </c>
      <c r="V4516" s="9">
        <v>7.1996000000000002</v>
      </c>
      <c r="W4516" s="7">
        <v>8.875</v>
      </c>
      <c r="X4516" s="4">
        <v>9</v>
      </c>
      <c r="Y4516" s="7">
        <v>10.125</v>
      </c>
      <c r="Z4516" s="7">
        <v>9.875</v>
      </c>
      <c r="AA4516" s="2"/>
      <c r="AB4516" s="2" t="s">
        <v>47</v>
      </c>
      <c r="AC4516" s="2"/>
    </row>
    <row r="4517" spans="1:29" ht="117" x14ac:dyDescent="0.15">
      <c r="A4517" s="3">
        <f>DATE(1999,3,19)</f>
        <v>36238</v>
      </c>
      <c r="B4517" s="3">
        <f>DATE(1999,9,1)</f>
        <v>36404</v>
      </c>
      <c r="C4517" s="2" t="s">
        <v>95</v>
      </c>
      <c r="D4517" s="2" t="s">
        <v>14049</v>
      </c>
      <c r="E4517" s="2" t="s">
        <v>1181</v>
      </c>
      <c r="F4517" s="4">
        <v>6022</v>
      </c>
      <c r="G4517" s="2" t="s">
        <v>37</v>
      </c>
      <c r="H4517" s="2" t="s">
        <v>34</v>
      </c>
      <c r="I4517" s="2" t="s">
        <v>14050</v>
      </c>
      <c r="J4517" s="2" t="s">
        <v>263</v>
      </c>
      <c r="K4517" s="2" t="s">
        <v>37</v>
      </c>
      <c r="L4517" s="2" t="s">
        <v>34</v>
      </c>
      <c r="M4517" s="7">
        <v>24.228999999999999</v>
      </c>
      <c r="N4517" s="7">
        <v>7.625</v>
      </c>
      <c r="O4517" s="7">
        <v>6.875</v>
      </c>
      <c r="P4517" s="2" t="s">
        <v>14051</v>
      </c>
      <c r="Q4517" s="6">
        <v>100</v>
      </c>
      <c r="R4517" s="6">
        <v>6</v>
      </c>
      <c r="S4517" s="5">
        <v>0.8</v>
      </c>
      <c r="T4517" s="7">
        <v>0.79400000000000004</v>
      </c>
      <c r="U4517" s="5">
        <v>3.4</v>
      </c>
      <c r="V4517" s="6">
        <v>0.3</v>
      </c>
      <c r="W4517" s="7">
        <v>4.875</v>
      </c>
      <c r="X4517" s="6">
        <v>5.75</v>
      </c>
      <c r="Y4517" s="9">
        <v>5.8125</v>
      </c>
      <c r="Z4517" s="7">
        <v>5.125</v>
      </c>
      <c r="AA4517" s="6">
        <v>1.67</v>
      </c>
      <c r="AB4517" s="7">
        <v>16.995000000000001</v>
      </c>
      <c r="AC4517" s="2"/>
    </row>
    <row r="4518" spans="1:29" ht="143" x14ac:dyDescent="0.15">
      <c r="A4518" s="3">
        <f>DATE(1999,3,19)</f>
        <v>36238</v>
      </c>
      <c r="B4518" s="3">
        <f>DATE(1999,10,5)</f>
        <v>36438</v>
      </c>
      <c r="C4518" s="2" t="s">
        <v>95</v>
      </c>
      <c r="D4518" s="2" t="s">
        <v>14052</v>
      </c>
      <c r="E4518" s="2" t="s">
        <v>36</v>
      </c>
      <c r="F4518" s="4">
        <v>6021</v>
      </c>
      <c r="G4518" s="2" t="s">
        <v>37</v>
      </c>
      <c r="H4518" s="2" t="s">
        <v>34</v>
      </c>
      <c r="I4518" s="2" t="s">
        <v>14053</v>
      </c>
      <c r="J4518" s="2" t="s">
        <v>159</v>
      </c>
      <c r="K4518" s="2" t="s">
        <v>37</v>
      </c>
      <c r="L4518" s="2" t="s">
        <v>34</v>
      </c>
      <c r="M4518" s="12">
        <v>6584.0820000000003</v>
      </c>
      <c r="N4518" s="7">
        <v>22.125</v>
      </c>
      <c r="O4518" s="6">
        <v>21.75</v>
      </c>
      <c r="P4518" s="2" t="s">
        <v>14054</v>
      </c>
      <c r="Q4518" s="6">
        <v>100</v>
      </c>
      <c r="R4518" s="6">
        <v>24.02</v>
      </c>
      <c r="S4518" s="5">
        <v>5</v>
      </c>
      <c r="T4518" s="7">
        <v>8.4030000000000005</v>
      </c>
      <c r="U4518" s="5">
        <v>8</v>
      </c>
      <c r="V4518" s="6">
        <v>1.03</v>
      </c>
      <c r="W4518" s="4">
        <v>19</v>
      </c>
      <c r="X4518" s="7">
        <v>19.187999999999999</v>
      </c>
      <c r="Y4518" s="4">
        <v>23</v>
      </c>
      <c r="Z4518" s="9">
        <v>21.3125</v>
      </c>
      <c r="AA4518" s="6">
        <v>4.67</v>
      </c>
      <c r="AB4518" s="7">
        <v>50.268000000000001</v>
      </c>
      <c r="AC4518" s="5">
        <v>348.4</v>
      </c>
    </row>
    <row r="4519" spans="1:29" ht="117" x14ac:dyDescent="0.15">
      <c r="A4519" s="3">
        <f>DATE(1999,3,19)</f>
        <v>36238</v>
      </c>
      <c r="B4519" s="3">
        <f>DATE(1999,8,13)</f>
        <v>36385</v>
      </c>
      <c r="C4519" s="2" t="s">
        <v>95</v>
      </c>
      <c r="D4519" s="2" t="s">
        <v>14055</v>
      </c>
      <c r="E4519" s="2" t="s">
        <v>3900</v>
      </c>
      <c r="F4519" s="4">
        <v>5812</v>
      </c>
      <c r="G4519" s="2" t="s">
        <v>230</v>
      </c>
      <c r="H4519" s="2" t="s">
        <v>34</v>
      </c>
      <c r="I4519" s="2" t="s">
        <v>14056</v>
      </c>
      <c r="J4519" s="2" t="s">
        <v>302</v>
      </c>
      <c r="K4519" s="2" t="s">
        <v>53</v>
      </c>
      <c r="L4519" s="2" t="s">
        <v>34</v>
      </c>
      <c r="M4519" s="2"/>
      <c r="N4519" s="2"/>
      <c r="O4519" s="2"/>
      <c r="P4519" s="2" t="s">
        <v>14057</v>
      </c>
      <c r="Q4519" s="6">
        <v>72.89</v>
      </c>
      <c r="R4519" s="6">
        <v>10</v>
      </c>
      <c r="S4519" s="5">
        <v>5.2</v>
      </c>
      <c r="T4519" s="7">
        <v>19.021000000000001</v>
      </c>
      <c r="U4519" s="5">
        <v>8.1</v>
      </c>
      <c r="V4519" s="6">
        <v>0.65</v>
      </c>
      <c r="W4519" s="5">
        <v>6.5</v>
      </c>
      <c r="X4519" s="5">
        <v>6.5</v>
      </c>
      <c r="Y4519" s="7">
        <v>8.625</v>
      </c>
      <c r="Z4519" s="7">
        <v>8.625</v>
      </c>
      <c r="AA4519" s="6">
        <v>8.06</v>
      </c>
      <c r="AB4519" s="7">
        <v>10.045999999999999</v>
      </c>
      <c r="AC4519" s="2"/>
    </row>
    <row r="4520" spans="1:29" ht="130" x14ac:dyDescent="0.15">
      <c r="A4520" s="3">
        <f>DATE(1999,3,21)</f>
        <v>36240</v>
      </c>
      <c r="B4520" s="3">
        <f>DATE(1999,7,1)</f>
        <v>36342</v>
      </c>
      <c r="C4520" s="2" t="s">
        <v>95</v>
      </c>
      <c r="D4520" s="2" t="s">
        <v>3615</v>
      </c>
      <c r="E4520" s="2" t="s">
        <v>398</v>
      </c>
      <c r="F4520" s="4">
        <v>7812</v>
      </c>
      <c r="G4520" s="2" t="s">
        <v>42</v>
      </c>
      <c r="H4520" s="2" t="s">
        <v>34</v>
      </c>
      <c r="I4520" s="2" t="s">
        <v>4179</v>
      </c>
      <c r="J4520" s="2" t="s">
        <v>4180</v>
      </c>
      <c r="K4520" s="2" t="s">
        <v>45</v>
      </c>
      <c r="L4520" s="2" t="s">
        <v>34</v>
      </c>
      <c r="M4520" s="12">
        <v>29500.719000000001</v>
      </c>
      <c r="N4520" s="7">
        <v>84.063000000000002</v>
      </c>
      <c r="O4520" s="7">
        <v>84.063000000000002</v>
      </c>
      <c r="P4520" s="2" t="s">
        <v>14058</v>
      </c>
      <c r="Q4520" s="6">
        <v>19.100000000000001</v>
      </c>
      <c r="R4520" s="6">
        <v>9.75</v>
      </c>
      <c r="S4520" s="5">
        <v>10.6</v>
      </c>
      <c r="T4520" s="7">
        <v>429.84899999999999</v>
      </c>
      <c r="U4520" s="5">
        <v>3</v>
      </c>
      <c r="V4520" s="6">
        <v>0.11</v>
      </c>
      <c r="W4520" s="6">
        <v>6.81</v>
      </c>
      <c r="X4520" s="4">
        <v>9</v>
      </c>
      <c r="Y4520" s="2"/>
      <c r="Z4520" s="4">
        <v>9</v>
      </c>
      <c r="AA4520" s="6">
        <v>92.95</v>
      </c>
      <c r="AB4520" s="7">
        <v>59.953000000000003</v>
      </c>
      <c r="AC4520" s="5">
        <v>382.7</v>
      </c>
    </row>
    <row r="4521" spans="1:29" ht="247" x14ac:dyDescent="0.15">
      <c r="A4521" s="3">
        <f>DATE(1999,3,22)</f>
        <v>36241</v>
      </c>
      <c r="B4521" s="2"/>
      <c r="C4521" s="2" t="s">
        <v>30</v>
      </c>
      <c r="D4521" s="2" t="s">
        <v>14059</v>
      </c>
      <c r="E4521" s="2" t="s">
        <v>10833</v>
      </c>
      <c r="F4521" s="4">
        <v>4841</v>
      </c>
      <c r="G4521" s="2" t="s">
        <v>45</v>
      </c>
      <c r="H4521" s="2" t="s">
        <v>34</v>
      </c>
      <c r="I4521" s="2" t="s">
        <v>3891</v>
      </c>
      <c r="J4521" s="2" t="s">
        <v>3892</v>
      </c>
      <c r="K4521" s="2" t="s">
        <v>45</v>
      </c>
      <c r="L4521" s="2" t="s">
        <v>34</v>
      </c>
      <c r="M4521" s="10">
        <v>26646.720000000001</v>
      </c>
      <c r="N4521" s="6">
        <v>64.75</v>
      </c>
      <c r="O4521" s="6">
        <v>64.75</v>
      </c>
      <c r="P4521" s="2" t="s">
        <v>14060</v>
      </c>
      <c r="Q4521" s="2"/>
      <c r="R4521" s="6">
        <v>80.16</v>
      </c>
      <c r="S4521" s="8">
        <v>2177</v>
      </c>
      <c r="T4521" s="5">
        <v>943</v>
      </c>
      <c r="U4521" s="5">
        <v>19.5</v>
      </c>
      <c r="V4521" s="6">
        <v>2.1800000000000002</v>
      </c>
      <c r="W4521" s="6">
        <v>60.25</v>
      </c>
      <c r="X4521" s="6">
        <v>60.75</v>
      </c>
      <c r="Y4521" s="5">
        <v>68.5</v>
      </c>
      <c r="Z4521" s="5">
        <v>67.5</v>
      </c>
      <c r="AA4521" s="6">
        <v>603.88</v>
      </c>
      <c r="AB4521" s="2" t="s">
        <v>86</v>
      </c>
      <c r="AC4521" s="8">
        <v>4524.1000000000004</v>
      </c>
    </row>
    <row r="4522" spans="1:29" ht="104" x14ac:dyDescent="0.15">
      <c r="A4522" s="3">
        <f>DATE(1999,3,22)</f>
        <v>36241</v>
      </c>
      <c r="B4522" s="3">
        <f>DATE(1999,4,30)</f>
        <v>36280</v>
      </c>
      <c r="C4522" s="2" t="s">
        <v>95</v>
      </c>
      <c r="D4522" s="2" t="s">
        <v>7934</v>
      </c>
      <c r="E4522" s="2" t="s">
        <v>7935</v>
      </c>
      <c r="F4522" s="4">
        <v>3589</v>
      </c>
      <c r="G4522" s="2" t="s">
        <v>300</v>
      </c>
      <c r="H4522" s="2" t="s">
        <v>34</v>
      </c>
      <c r="I4522" s="2" t="s">
        <v>10583</v>
      </c>
      <c r="J4522" s="2" t="s">
        <v>10584</v>
      </c>
      <c r="K4522" s="2" t="s">
        <v>439</v>
      </c>
      <c r="L4522" s="2" t="s">
        <v>133</v>
      </c>
      <c r="M4522" s="2"/>
      <c r="N4522" s="2"/>
      <c r="O4522" s="2"/>
      <c r="P4522" s="2" t="s">
        <v>14061</v>
      </c>
      <c r="Q4522" s="6">
        <v>100</v>
      </c>
      <c r="R4522" s="6">
        <v>31.5</v>
      </c>
      <c r="S4522" s="5">
        <v>-15.1</v>
      </c>
      <c r="T4522" s="7">
        <v>518.452</v>
      </c>
      <c r="U4522" s="5">
        <v>9.8000000000000007</v>
      </c>
      <c r="V4522" s="7">
        <v>-1.304</v>
      </c>
      <c r="W4522" s="7">
        <v>24.687999999999999</v>
      </c>
      <c r="X4522" s="5">
        <v>30.5</v>
      </c>
      <c r="Y4522" s="7">
        <v>30.375</v>
      </c>
      <c r="Z4522" s="7">
        <v>30.625</v>
      </c>
      <c r="AA4522" s="6">
        <v>179.91</v>
      </c>
      <c r="AB4522" s="7">
        <v>19.875</v>
      </c>
      <c r="AC4522" s="10">
        <v>5211.3500000000004</v>
      </c>
    </row>
    <row r="4523" spans="1:29" ht="117" x14ac:dyDescent="0.15">
      <c r="A4523" s="3">
        <f>DATE(1999,3,23)</f>
        <v>36242</v>
      </c>
      <c r="B4523" s="3">
        <f>DATE(1999,5,27)</f>
        <v>36307</v>
      </c>
      <c r="C4523" s="2" t="s">
        <v>95</v>
      </c>
      <c r="D4523" s="2" t="s">
        <v>14062</v>
      </c>
      <c r="E4523" s="2" t="s">
        <v>14063</v>
      </c>
      <c r="F4523" s="4">
        <v>1711</v>
      </c>
      <c r="G4523" s="2" t="s">
        <v>341</v>
      </c>
      <c r="H4523" s="2" t="s">
        <v>34</v>
      </c>
      <c r="I4523" s="2" t="s">
        <v>13159</v>
      </c>
      <c r="J4523" s="2" t="s">
        <v>13160</v>
      </c>
      <c r="K4523" s="2" t="s">
        <v>426</v>
      </c>
      <c r="L4523" s="2" t="s">
        <v>34</v>
      </c>
      <c r="M4523" s="12">
        <v>5630.393</v>
      </c>
      <c r="N4523" s="7">
        <v>19.125</v>
      </c>
      <c r="O4523" s="7">
        <v>19.937999999999999</v>
      </c>
      <c r="P4523" s="2" t="s">
        <v>14064</v>
      </c>
      <c r="Q4523" s="6">
        <v>100</v>
      </c>
      <c r="R4523" s="6">
        <v>5.75</v>
      </c>
      <c r="S4523" s="5">
        <v>-3.9</v>
      </c>
      <c r="T4523" s="7">
        <v>25.437000000000001</v>
      </c>
      <c r="U4523" s="5">
        <v>8.3000000000000007</v>
      </c>
      <c r="V4523" s="6">
        <v>-0.25</v>
      </c>
      <c r="W4523" s="7">
        <v>3.375</v>
      </c>
      <c r="X4523" s="7">
        <v>4.375</v>
      </c>
      <c r="Y4523" s="7">
        <v>5.4379999999999997</v>
      </c>
      <c r="Z4523" s="7">
        <v>5.4379999999999997</v>
      </c>
      <c r="AA4523" s="6">
        <v>15.9</v>
      </c>
      <c r="AB4523" s="7">
        <v>21.047999999999998</v>
      </c>
      <c r="AC4523" s="6">
        <v>120.42</v>
      </c>
    </row>
    <row r="4524" spans="1:29" ht="104" x14ac:dyDescent="0.15">
      <c r="A4524" s="3">
        <f>DATE(1999,3,23)</f>
        <v>36242</v>
      </c>
      <c r="B4524" s="3">
        <f>DATE(1999,5,31)</f>
        <v>36311</v>
      </c>
      <c r="C4524" s="2" t="s">
        <v>95</v>
      </c>
      <c r="D4524" s="2" t="s">
        <v>14065</v>
      </c>
      <c r="E4524" s="2" t="s">
        <v>14066</v>
      </c>
      <c r="F4524" s="4">
        <v>3825</v>
      </c>
      <c r="G4524" s="2" t="s">
        <v>226</v>
      </c>
      <c r="H4524" s="2" t="s">
        <v>34</v>
      </c>
      <c r="I4524" s="2" t="s">
        <v>14067</v>
      </c>
      <c r="J4524" s="2" t="s">
        <v>14068</v>
      </c>
      <c r="K4524" s="2" t="s">
        <v>226</v>
      </c>
      <c r="L4524" s="2" t="s">
        <v>34</v>
      </c>
      <c r="M4524" s="7">
        <v>239.833</v>
      </c>
      <c r="N4524" s="7">
        <v>10.313000000000001</v>
      </c>
      <c r="O4524" s="7">
        <v>10.125</v>
      </c>
      <c r="P4524" s="2" t="s">
        <v>14069</v>
      </c>
      <c r="Q4524" s="6">
        <v>100</v>
      </c>
      <c r="R4524" s="2"/>
      <c r="S4524" s="5">
        <v>1.6</v>
      </c>
      <c r="T4524" s="7">
        <v>3.7480000000000002</v>
      </c>
      <c r="U4524" s="5">
        <v>5.4</v>
      </c>
      <c r="V4524" s="6">
        <v>0.7</v>
      </c>
      <c r="W4524" s="6">
        <v>5.75</v>
      </c>
      <c r="X4524" s="7">
        <v>6.125</v>
      </c>
      <c r="Y4524" s="6">
        <v>5.75</v>
      </c>
      <c r="Z4524" s="7">
        <v>6.9379999999999997</v>
      </c>
      <c r="AA4524" s="6">
        <v>2.42</v>
      </c>
      <c r="AB4524" s="7">
        <v>7.7629999999999999</v>
      </c>
      <c r="AC4524" s="6">
        <v>10.51</v>
      </c>
    </row>
    <row r="4525" spans="1:29" ht="104" x14ac:dyDescent="0.15">
      <c r="A4525" s="3">
        <f>DATE(1999,3,23)</f>
        <v>36242</v>
      </c>
      <c r="B4525" s="3">
        <f>DATE(1999,5,1)</f>
        <v>36281</v>
      </c>
      <c r="C4525" s="2" t="s">
        <v>95</v>
      </c>
      <c r="D4525" s="2" t="s">
        <v>14070</v>
      </c>
      <c r="E4525" s="2" t="s">
        <v>14071</v>
      </c>
      <c r="F4525" s="4">
        <v>7373</v>
      </c>
      <c r="G4525" s="2" t="s">
        <v>223</v>
      </c>
      <c r="H4525" s="2" t="s">
        <v>34</v>
      </c>
      <c r="I4525" s="2" t="s">
        <v>3670</v>
      </c>
      <c r="J4525" s="2" t="s">
        <v>3671</v>
      </c>
      <c r="K4525" s="2" t="s">
        <v>551</v>
      </c>
      <c r="L4525" s="2" t="s">
        <v>34</v>
      </c>
      <c r="M4525" s="10">
        <v>2152.0500000000002</v>
      </c>
      <c r="N4525" s="7">
        <v>22.125</v>
      </c>
      <c r="O4525" s="4">
        <v>22</v>
      </c>
      <c r="P4525" s="2" t="s">
        <v>14072</v>
      </c>
      <c r="Q4525" s="6">
        <v>100</v>
      </c>
      <c r="R4525" s="6">
        <v>7</v>
      </c>
      <c r="S4525" s="5">
        <v>-7.4</v>
      </c>
      <c r="T4525" s="7">
        <v>-6.6040000000000001</v>
      </c>
      <c r="U4525" s="5">
        <v>2.8</v>
      </c>
      <c r="V4525" s="6">
        <v>-0.95</v>
      </c>
      <c r="W4525" s="7">
        <v>4.8129999999999997</v>
      </c>
      <c r="X4525" s="7">
        <v>4.9379999999999997</v>
      </c>
      <c r="Y4525" s="6">
        <v>5.75</v>
      </c>
      <c r="Z4525" s="7">
        <v>6.5940000000000003</v>
      </c>
      <c r="AA4525" s="6">
        <v>8.2899999999999991</v>
      </c>
      <c r="AB4525" s="2" t="s">
        <v>86</v>
      </c>
      <c r="AC4525" s="6">
        <v>707.85</v>
      </c>
    </row>
    <row r="4526" spans="1:29" ht="117" x14ac:dyDescent="0.15">
      <c r="A4526" s="3">
        <f>DATE(1999,3,23)</f>
        <v>36242</v>
      </c>
      <c r="B4526" s="3">
        <f>DATE(1999,9,15)</f>
        <v>36418</v>
      </c>
      <c r="C4526" s="2" t="s">
        <v>95</v>
      </c>
      <c r="D4526" s="2" t="s">
        <v>14073</v>
      </c>
      <c r="E4526" s="2" t="s">
        <v>389</v>
      </c>
      <c r="F4526" s="4">
        <v>6035</v>
      </c>
      <c r="G4526" s="2" t="s">
        <v>33</v>
      </c>
      <c r="H4526" s="2" t="s">
        <v>34</v>
      </c>
      <c r="I4526" s="2" t="s">
        <v>14074</v>
      </c>
      <c r="J4526" s="2" t="s">
        <v>36</v>
      </c>
      <c r="K4526" s="2" t="s">
        <v>37</v>
      </c>
      <c r="L4526" s="2" t="s">
        <v>34</v>
      </c>
      <c r="M4526" s="7">
        <v>133.67699999999999</v>
      </c>
      <c r="N4526" s="6">
        <v>18.25</v>
      </c>
      <c r="O4526" s="7">
        <v>18.437999999999999</v>
      </c>
      <c r="P4526" s="2" t="s">
        <v>14075</v>
      </c>
      <c r="Q4526" s="6">
        <v>100</v>
      </c>
      <c r="R4526" s="6">
        <v>14.9</v>
      </c>
      <c r="S4526" s="5">
        <v>2.7</v>
      </c>
      <c r="T4526" s="7">
        <v>3.6749999999999998</v>
      </c>
      <c r="U4526" s="5">
        <v>8.4</v>
      </c>
      <c r="V4526" s="6">
        <v>0.61</v>
      </c>
      <c r="W4526" s="7">
        <v>9.8130000000000006</v>
      </c>
      <c r="X4526" s="6">
        <v>9.75</v>
      </c>
      <c r="Y4526" s="7">
        <v>9.5630000000000006</v>
      </c>
      <c r="Z4526" s="5">
        <v>9.5</v>
      </c>
      <c r="AA4526" s="6">
        <v>4.29</v>
      </c>
      <c r="AB4526" s="7">
        <v>62.462000000000003</v>
      </c>
      <c r="AC4526" s="2"/>
    </row>
    <row r="4527" spans="1:29" ht="91" x14ac:dyDescent="0.15">
      <c r="A4527" s="3">
        <f>DATE(1999,3,24)</f>
        <v>36243</v>
      </c>
      <c r="B4527" s="3">
        <f>DATE(1999,3,24)</f>
        <v>36243</v>
      </c>
      <c r="C4527" s="2" t="s">
        <v>95</v>
      </c>
      <c r="D4527" s="2" t="s">
        <v>14076</v>
      </c>
      <c r="E4527" s="2" t="s">
        <v>229</v>
      </c>
      <c r="F4527" s="4">
        <v>5812</v>
      </c>
      <c r="G4527" s="2" t="s">
        <v>230</v>
      </c>
      <c r="H4527" s="2" t="s">
        <v>34</v>
      </c>
      <c r="I4527" s="2" t="s">
        <v>14077</v>
      </c>
      <c r="J4527" s="2" t="s">
        <v>14078</v>
      </c>
      <c r="K4527" s="2" t="s">
        <v>223</v>
      </c>
      <c r="L4527" s="2" t="s">
        <v>902</v>
      </c>
      <c r="M4527" s="2"/>
      <c r="N4527" s="2"/>
      <c r="O4527" s="2"/>
      <c r="P4527" s="2" t="s">
        <v>14079</v>
      </c>
      <c r="Q4527" s="6">
        <v>92.05</v>
      </c>
      <c r="R4527" s="2"/>
      <c r="S4527" s="5">
        <v>-18.899999999999999</v>
      </c>
      <c r="T4527" s="7">
        <v>-6.077</v>
      </c>
      <c r="U4527" s="5">
        <v>49.7</v>
      </c>
      <c r="V4527" s="6">
        <v>-1180</v>
      </c>
      <c r="W4527" s="7">
        <v>13.625</v>
      </c>
      <c r="X4527" s="7">
        <v>10.875</v>
      </c>
      <c r="Y4527" s="7">
        <v>9.9529999999999994</v>
      </c>
      <c r="Z4527" s="7">
        <v>16.875</v>
      </c>
      <c r="AA4527" s="6">
        <v>0.71</v>
      </c>
      <c r="AB4527" s="2" t="s">
        <v>86</v>
      </c>
      <c r="AC4527" s="2"/>
    </row>
    <row r="4528" spans="1:29" ht="26" x14ac:dyDescent="0.15">
      <c r="A4528" s="3">
        <f>DATE(1999,3,24)</f>
        <v>36243</v>
      </c>
      <c r="B4528" s="2"/>
      <c r="C4528" s="2" t="s">
        <v>87</v>
      </c>
      <c r="D4528" s="2" t="s">
        <v>14080</v>
      </c>
      <c r="E4528" s="2" t="s">
        <v>14081</v>
      </c>
      <c r="F4528" s="4">
        <v>2836</v>
      </c>
      <c r="G4528" s="2" t="s">
        <v>130</v>
      </c>
      <c r="H4528" s="2" t="s">
        <v>34</v>
      </c>
      <c r="I4528" s="2" t="s">
        <v>14082</v>
      </c>
      <c r="J4528" s="2" t="s">
        <v>14083</v>
      </c>
      <c r="K4528" s="2" t="s">
        <v>223</v>
      </c>
      <c r="L4528" s="2" t="s">
        <v>34</v>
      </c>
      <c r="M4528" s="2"/>
      <c r="N4528" s="2"/>
      <c r="O4528" s="2"/>
      <c r="P4528" s="2" t="s">
        <v>14084</v>
      </c>
      <c r="Q4528" s="2"/>
      <c r="R4528" s="2"/>
      <c r="S4528" s="2"/>
      <c r="T4528" s="2"/>
      <c r="U4528" s="2"/>
      <c r="V4528" s="2"/>
      <c r="W4528" s="7">
        <v>9.0630000000000006</v>
      </c>
      <c r="X4528" s="4">
        <v>9</v>
      </c>
      <c r="Y4528" s="4">
        <v>9</v>
      </c>
      <c r="Z4528" s="4">
        <v>9</v>
      </c>
      <c r="AA4528" s="2"/>
      <c r="AB4528" s="2" t="s">
        <v>47</v>
      </c>
      <c r="AC4528" s="2"/>
    </row>
    <row r="4529" spans="1:29" ht="91" x14ac:dyDescent="0.15">
      <c r="A4529" s="3">
        <f>DATE(1999,3,24)</f>
        <v>36243</v>
      </c>
      <c r="B4529" s="3">
        <f>DATE(1999,11,4)</f>
        <v>36468</v>
      </c>
      <c r="C4529" s="2" t="s">
        <v>95</v>
      </c>
      <c r="D4529" s="2" t="s">
        <v>14085</v>
      </c>
      <c r="E4529" s="2" t="s">
        <v>13143</v>
      </c>
      <c r="F4529" s="4">
        <v>2522</v>
      </c>
      <c r="G4529" s="2" t="s">
        <v>250</v>
      </c>
      <c r="H4529" s="2" t="s">
        <v>34</v>
      </c>
      <c r="I4529" s="2" t="s">
        <v>14086</v>
      </c>
      <c r="J4529" s="2" t="s">
        <v>14087</v>
      </c>
      <c r="K4529" s="2" t="s">
        <v>53</v>
      </c>
      <c r="L4529" s="2" t="s">
        <v>34</v>
      </c>
      <c r="M4529" s="2"/>
      <c r="N4529" s="2"/>
      <c r="O4529" s="2"/>
      <c r="P4529" s="2" t="s">
        <v>14088</v>
      </c>
      <c r="Q4529" s="6">
        <v>41.84</v>
      </c>
      <c r="R4529" s="6">
        <v>28</v>
      </c>
      <c r="S4529" s="5">
        <v>91.6</v>
      </c>
      <c r="T4529" s="7">
        <v>205.10300000000001</v>
      </c>
      <c r="U4529" s="5">
        <v>4.0999999999999996</v>
      </c>
      <c r="V4529" s="6">
        <v>1.0900000000000001</v>
      </c>
      <c r="W4529" s="7">
        <v>18.437999999999999</v>
      </c>
      <c r="X4529" s="6">
        <v>15.25</v>
      </c>
      <c r="Y4529" s="6">
        <v>24.25</v>
      </c>
      <c r="Z4529" s="6">
        <v>24.25</v>
      </c>
      <c r="AA4529" s="6">
        <v>16.95</v>
      </c>
      <c r="AB4529" s="7">
        <v>14.553000000000001</v>
      </c>
      <c r="AC4529" s="2"/>
    </row>
    <row r="4530" spans="1:29" ht="65" x14ac:dyDescent="0.15">
      <c r="A4530" s="3">
        <f>DATE(1999,3,25)</f>
        <v>36244</v>
      </c>
      <c r="B4530" s="2"/>
      <c r="C4530" s="2" t="s">
        <v>7330</v>
      </c>
      <c r="D4530" s="2" t="s">
        <v>14089</v>
      </c>
      <c r="E4530" s="2" t="s">
        <v>14090</v>
      </c>
      <c r="F4530" s="4">
        <v>6792</v>
      </c>
      <c r="G4530" s="2" t="s">
        <v>53</v>
      </c>
      <c r="H4530" s="2" t="s">
        <v>34</v>
      </c>
      <c r="I4530" s="2" t="s">
        <v>14091</v>
      </c>
      <c r="J4530" s="2" t="s">
        <v>80</v>
      </c>
      <c r="K4530" s="2" t="s">
        <v>53</v>
      </c>
      <c r="L4530" s="2" t="s">
        <v>34</v>
      </c>
      <c r="M4530" s="2"/>
      <c r="N4530" s="2"/>
      <c r="O4530" s="2"/>
      <c r="P4530" s="2" t="s">
        <v>14092</v>
      </c>
      <c r="Q4530" s="2"/>
      <c r="R4530" s="2"/>
      <c r="S4530" s="5">
        <v>6.7</v>
      </c>
      <c r="T4530" s="2"/>
      <c r="U4530" s="5">
        <v>8.3000000000000007</v>
      </c>
      <c r="V4530" s="6">
        <v>0.76</v>
      </c>
      <c r="W4530" s="7">
        <v>7.625</v>
      </c>
      <c r="X4530" s="7">
        <v>7.6879999999999997</v>
      </c>
      <c r="Y4530" s="7">
        <v>7.9379999999999997</v>
      </c>
      <c r="Z4530" s="7">
        <v>7.9379999999999997</v>
      </c>
      <c r="AA4530" s="6">
        <v>8.8000000000000007</v>
      </c>
      <c r="AB4530" s="7">
        <v>32.906999999999996</v>
      </c>
      <c r="AC4530" s="2"/>
    </row>
    <row r="4531" spans="1:29" ht="130" x14ac:dyDescent="0.15">
      <c r="A4531" s="3">
        <f>DATE(1999,3,25)</f>
        <v>36244</v>
      </c>
      <c r="B4531" s="3">
        <f>DATE(2000,8,18)</f>
        <v>36756</v>
      </c>
      <c r="C4531" s="2" t="s">
        <v>95</v>
      </c>
      <c r="D4531" s="2" t="s">
        <v>14093</v>
      </c>
      <c r="E4531" s="2" t="s">
        <v>8365</v>
      </c>
      <c r="F4531" s="4">
        <v>4931</v>
      </c>
      <c r="G4531" s="2" t="s">
        <v>439</v>
      </c>
      <c r="H4531" s="2" t="s">
        <v>34</v>
      </c>
      <c r="I4531" s="2" t="s">
        <v>6173</v>
      </c>
      <c r="J4531" s="2" t="s">
        <v>441</v>
      </c>
      <c r="K4531" s="2" t="s">
        <v>439</v>
      </c>
      <c r="L4531" s="2" t="s">
        <v>34</v>
      </c>
      <c r="M4531" s="10">
        <v>3919.43</v>
      </c>
      <c r="N4531" s="7">
        <v>26.187999999999999</v>
      </c>
      <c r="O4531" s="7">
        <v>24.437999999999999</v>
      </c>
      <c r="P4531" s="2" t="s">
        <v>14094</v>
      </c>
      <c r="Q4531" s="6">
        <v>100</v>
      </c>
      <c r="R4531" s="6">
        <v>42.24</v>
      </c>
      <c r="S4531" s="5">
        <v>364.9</v>
      </c>
      <c r="T4531" s="6">
        <v>930.33</v>
      </c>
      <c r="U4531" s="5">
        <v>22.8</v>
      </c>
      <c r="V4531" s="6">
        <v>3.05</v>
      </c>
      <c r="W4531" s="4">
        <v>39</v>
      </c>
      <c r="X4531" s="7">
        <v>38.688000000000002</v>
      </c>
      <c r="Y4531" s="5">
        <v>36.5</v>
      </c>
      <c r="Z4531" s="7">
        <v>35.625</v>
      </c>
      <c r="AA4531" s="6">
        <v>114.3</v>
      </c>
      <c r="AB4531" s="7">
        <v>12.212</v>
      </c>
      <c r="AC4531" s="6">
        <v>42.36</v>
      </c>
    </row>
    <row r="4532" spans="1:29" ht="104" x14ac:dyDescent="0.15">
      <c r="A4532" s="3">
        <f>DATE(1999,3,25)</f>
        <v>36244</v>
      </c>
      <c r="B4532" s="3">
        <f>DATE(1999,7,2)</f>
        <v>36343</v>
      </c>
      <c r="C4532" s="2" t="s">
        <v>95</v>
      </c>
      <c r="D4532" s="2" t="s">
        <v>14095</v>
      </c>
      <c r="E4532" s="2" t="s">
        <v>14096</v>
      </c>
      <c r="F4532" s="4">
        <v>7363</v>
      </c>
      <c r="G4532" s="2" t="s">
        <v>223</v>
      </c>
      <c r="H4532" s="2" t="s">
        <v>34</v>
      </c>
      <c r="I4532" s="2" t="s">
        <v>7589</v>
      </c>
      <c r="J4532" s="2" t="s">
        <v>7590</v>
      </c>
      <c r="K4532" s="2" t="s">
        <v>223</v>
      </c>
      <c r="L4532" s="2" t="s">
        <v>34</v>
      </c>
      <c r="M4532" s="7">
        <v>899.19100000000003</v>
      </c>
      <c r="N4532" s="4">
        <v>16</v>
      </c>
      <c r="O4532" s="6">
        <v>14.25</v>
      </c>
      <c r="P4532" s="2" t="s">
        <v>14097</v>
      </c>
      <c r="Q4532" s="6">
        <v>100</v>
      </c>
      <c r="R4532" s="6">
        <v>16.03</v>
      </c>
      <c r="S4532" s="5">
        <v>35.1</v>
      </c>
      <c r="T4532" s="7">
        <v>83.853999999999999</v>
      </c>
      <c r="U4532" s="5">
        <v>8.8000000000000007</v>
      </c>
      <c r="V4532" s="6">
        <v>1.24</v>
      </c>
      <c r="W4532" s="7">
        <v>13.375</v>
      </c>
      <c r="X4532" s="7">
        <v>12.625</v>
      </c>
      <c r="Y4532" s="7">
        <v>13.438000000000001</v>
      </c>
      <c r="Z4532" s="7">
        <v>12.375</v>
      </c>
      <c r="AA4532" s="6">
        <v>26.63</v>
      </c>
      <c r="AB4532" s="7">
        <v>7.9</v>
      </c>
      <c r="AC4532" s="6">
        <v>153.31</v>
      </c>
    </row>
    <row r="4533" spans="1:29" ht="156" x14ac:dyDescent="0.15">
      <c r="A4533" s="3">
        <f>DATE(1999,3,25)</f>
        <v>36244</v>
      </c>
      <c r="B4533" s="3">
        <f>DATE(1999,5,10)</f>
        <v>36290</v>
      </c>
      <c r="C4533" s="2" t="s">
        <v>95</v>
      </c>
      <c r="D4533" s="2" t="s">
        <v>14098</v>
      </c>
      <c r="E4533" s="2" t="s">
        <v>2466</v>
      </c>
      <c r="F4533" s="4">
        <v>8099</v>
      </c>
      <c r="G4533" s="2" t="s">
        <v>454</v>
      </c>
      <c r="H4533" s="2" t="s">
        <v>34</v>
      </c>
      <c r="I4533" s="2" t="s">
        <v>51</v>
      </c>
      <c r="J4533" s="2" t="s">
        <v>52</v>
      </c>
      <c r="K4533" s="2" t="s">
        <v>53</v>
      </c>
      <c r="L4533" s="2" t="s">
        <v>34</v>
      </c>
      <c r="M4533" s="2"/>
      <c r="N4533" s="2"/>
      <c r="O4533" s="2"/>
      <c r="P4533" s="2" t="s">
        <v>14099</v>
      </c>
      <c r="Q4533" s="6">
        <v>100</v>
      </c>
      <c r="R4533" s="6">
        <v>9.25</v>
      </c>
      <c r="S4533" s="5">
        <v>6.4</v>
      </c>
      <c r="T4533" s="7">
        <v>15.577</v>
      </c>
      <c r="U4533" s="5">
        <v>8.6</v>
      </c>
      <c r="V4533" s="6">
        <v>0.78</v>
      </c>
      <c r="W4533" s="6">
        <v>8.25</v>
      </c>
      <c r="X4533" s="5">
        <v>8.5</v>
      </c>
      <c r="Y4533" s="7">
        <v>8.8130000000000006</v>
      </c>
      <c r="Z4533" s="7">
        <v>8.875</v>
      </c>
      <c r="AA4533" s="6">
        <v>7.77</v>
      </c>
      <c r="AB4533" s="7">
        <v>8.9220000000000006</v>
      </c>
      <c r="AC4533" s="2"/>
    </row>
    <row r="4534" spans="1:29" ht="91" x14ac:dyDescent="0.15">
      <c r="A4534" s="3">
        <f>DATE(1999,3,26)</f>
        <v>36245</v>
      </c>
      <c r="B4534" s="2"/>
      <c r="C4534" s="2" t="s">
        <v>30</v>
      </c>
      <c r="D4534" s="2" t="s">
        <v>14100</v>
      </c>
      <c r="E4534" s="2" t="s">
        <v>14101</v>
      </c>
      <c r="F4534" s="4">
        <v>6726</v>
      </c>
      <c r="G4534" s="2" t="s">
        <v>53</v>
      </c>
      <c r="H4534" s="2" t="s">
        <v>34</v>
      </c>
      <c r="I4534" s="2" t="s">
        <v>51</v>
      </c>
      <c r="J4534" s="2" t="s">
        <v>52</v>
      </c>
      <c r="K4534" s="2" t="s">
        <v>53</v>
      </c>
      <c r="L4534" s="2" t="s">
        <v>34</v>
      </c>
      <c r="M4534" s="2"/>
      <c r="N4534" s="2"/>
      <c r="O4534" s="2"/>
      <c r="P4534" s="2" t="s">
        <v>14102</v>
      </c>
      <c r="Q4534" s="2"/>
      <c r="R4534" s="6">
        <v>8</v>
      </c>
      <c r="S4534" s="5">
        <v>-0.1</v>
      </c>
      <c r="T4534" s="6">
        <v>-1.63</v>
      </c>
      <c r="U4534" s="5">
        <v>9.1999999999999993</v>
      </c>
      <c r="V4534" s="7">
        <v>0.97399999999999998</v>
      </c>
      <c r="W4534" s="7">
        <v>7.375</v>
      </c>
      <c r="X4534" s="7">
        <v>6.6879999999999997</v>
      </c>
      <c r="Y4534" s="7">
        <v>6.4379999999999997</v>
      </c>
      <c r="Z4534" s="5">
        <v>7.5</v>
      </c>
      <c r="AA4534" s="6">
        <v>0.68</v>
      </c>
      <c r="AB4534" s="2" t="s">
        <v>86</v>
      </c>
      <c r="AC4534" s="2"/>
    </row>
    <row r="4535" spans="1:29" ht="195" x14ac:dyDescent="0.15">
      <c r="A4535" s="3">
        <f>DATE(1999,3,26)</f>
        <v>36245</v>
      </c>
      <c r="B4535" s="2"/>
      <c r="C4535" s="2" t="s">
        <v>30</v>
      </c>
      <c r="D4535" s="2" t="s">
        <v>14103</v>
      </c>
      <c r="E4535" s="2" t="s">
        <v>14104</v>
      </c>
      <c r="F4535" s="4">
        <v>7359</v>
      </c>
      <c r="G4535" s="2" t="s">
        <v>223</v>
      </c>
      <c r="H4535" s="2" t="s">
        <v>34</v>
      </c>
      <c r="I4535" s="2" t="s">
        <v>51</v>
      </c>
      <c r="J4535" s="2" t="s">
        <v>52</v>
      </c>
      <c r="K4535" s="2" t="s">
        <v>53</v>
      </c>
      <c r="L4535" s="2" t="s">
        <v>34</v>
      </c>
      <c r="M4535" s="2"/>
      <c r="N4535" s="2"/>
      <c r="O4535" s="2"/>
      <c r="P4535" s="2" t="s">
        <v>14105</v>
      </c>
      <c r="Q4535" s="2"/>
      <c r="R4535" s="6">
        <v>28</v>
      </c>
      <c r="S4535" s="5">
        <v>27.5</v>
      </c>
      <c r="T4535" s="7">
        <v>90.222999999999999</v>
      </c>
      <c r="U4535" s="5">
        <v>14.5</v>
      </c>
      <c r="V4535" s="6">
        <v>2.0499999999999998</v>
      </c>
      <c r="W4535" s="7">
        <v>15.938000000000001</v>
      </c>
      <c r="X4535" s="6">
        <v>16.75</v>
      </c>
      <c r="Y4535" s="6">
        <v>22.75</v>
      </c>
      <c r="Z4535" s="4">
        <v>23</v>
      </c>
      <c r="AA4535" s="6">
        <v>13.08</v>
      </c>
      <c r="AB4535" s="7">
        <v>10.079000000000001</v>
      </c>
      <c r="AC4535" s="2"/>
    </row>
    <row r="4536" spans="1:29" ht="143" x14ac:dyDescent="0.15">
      <c r="A4536" s="3">
        <f>DATE(1999,3,26)</f>
        <v>36245</v>
      </c>
      <c r="B4536" s="2"/>
      <c r="C4536" s="2" t="s">
        <v>30</v>
      </c>
      <c r="D4536" s="2" t="s">
        <v>13213</v>
      </c>
      <c r="E4536" s="2" t="s">
        <v>4205</v>
      </c>
      <c r="F4536" s="4">
        <v>4941</v>
      </c>
      <c r="G4536" s="2" t="s">
        <v>439</v>
      </c>
      <c r="H4536" s="2" t="s">
        <v>34</v>
      </c>
      <c r="I4536" s="2" t="s">
        <v>14106</v>
      </c>
      <c r="J4536" s="2" t="s">
        <v>14107</v>
      </c>
      <c r="K4536" s="2" t="s">
        <v>439</v>
      </c>
      <c r="L4536" s="2" t="s">
        <v>34</v>
      </c>
      <c r="M4536" s="7">
        <v>252.499</v>
      </c>
      <c r="N4536" s="7">
        <v>25.312999999999999</v>
      </c>
      <c r="O4536" s="7">
        <v>25.125</v>
      </c>
      <c r="P4536" s="2" t="s">
        <v>14108</v>
      </c>
      <c r="Q4536" s="2"/>
      <c r="R4536" s="6">
        <v>32.5</v>
      </c>
      <c r="S4536" s="5">
        <v>1.4</v>
      </c>
      <c r="T4536" s="7">
        <v>4.0119999999999996</v>
      </c>
      <c r="U4536" s="5">
        <v>10.5</v>
      </c>
      <c r="V4536" s="6">
        <v>0.94</v>
      </c>
      <c r="W4536" s="7">
        <v>28.125</v>
      </c>
      <c r="X4536" s="5">
        <v>30.5</v>
      </c>
      <c r="Y4536" s="7">
        <v>30.625</v>
      </c>
      <c r="Z4536" s="4">
        <v>31</v>
      </c>
      <c r="AA4536" s="6">
        <v>1.51</v>
      </c>
      <c r="AB4536" s="7">
        <v>23.489000000000001</v>
      </c>
      <c r="AC4536" s="6">
        <v>0.62</v>
      </c>
    </row>
    <row r="4537" spans="1:29" ht="104" x14ac:dyDescent="0.15">
      <c r="A4537" s="3">
        <f>DATE(1999,3,29)</f>
        <v>36248</v>
      </c>
      <c r="B4537" s="3">
        <f>DATE(1999,6,4)</f>
        <v>36315</v>
      </c>
      <c r="C4537" s="2" t="s">
        <v>95</v>
      </c>
      <c r="D4537" s="2" t="s">
        <v>5921</v>
      </c>
      <c r="E4537" s="2" t="s">
        <v>5922</v>
      </c>
      <c r="F4537" s="4">
        <v>7372</v>
      </c>
      <c r="G4537" s="2" t="s">
        <v>551</v>
      </c>
      <c r="H4537" s="2" t="s">
        <v>34</v>
      </c>
      <c r="I4537" s="2" t="s">
        <v>2244</v>
      </c>
      <c r="J4537" s="2" t="s">
        <v>2245</v>
      </c>
      <c r="K4537" s="2" t="s">
        <v>551</v>
      </c>
      <c r="L4537" s="2" t="s">
        <v>34</v>
      </c>
      <c r="M4537" s="12">
        <v>22594.034</v>
      </c>
      <c r="N4537" s="4">
        <v>37</v>
      </c>
      <c r="O4537" s="7">
        <v>35.875</v>
      </c>
      <c r="P4537" s="2" t="s">
        <v>14109</v>
      </c>
      <c r="Q4537" s="6">
        <v>100</v>
      </c>
      <c r="R4537" s="6">
        <v>29.25</v>
      </c>
      <c r="S4537" s="5">
        <v>-2.5</v>
      </c>
      <c r="T4537" s="7">
        <v>184.08799999999999</v>
      </c>
      <c r="U4537" s="5">
        <v>4.4000000000000004</v>
      </c>
      <c r="V4537" s="6">
        <v>-0.03</v>
      </c>
      <c r="W4537" s="6">
        <v>10.119999999999999</v>
      </c>
      <c r="X4537" s="7">
        <v>9.875</v>
      </c>
      <c r="Y4537" s="7">
        <v>24.062999999999999</v>
      </c>
      <c r="Z4537" s="4">
        <v>25</v>
      </c>
      <c r="AA4537" s="6">
        <v>100.24</v>
      </c>
      <c r="AB4537" s="7">
        <v>31.492999999999999</v>
      </c>
      <c r="AC4537" s="2"/>
    </row>
    <row r="4538" spans="1:29" ht="117" x14ac:dyDescent="0.15">
      <c r="A4538" s="3">
        <f>DATE(1999,3,30)</f>
        <v>36249</v>
      </c>
      <c r="B4538" s="3">
        <f>DATE(1999,6,9)</f>
        <v>36320</v>
      </c>
      <c r="C4538" s="2" t="s">
        <v>95</v>
      </c>
      <c r="D4538" s="2" t="s">
        <v>14110</v>
      </c>
      <c r="E4538" s="2" t="s">
        <v>14111</v>
      </c>
      <c r="F4538" s="4">
        <v>3714</v>
      </c>
      <c r="G4538" s="2" t="s">
        <v>105</v>
      </c>
      <c r="H4538" s="2" t="s">
        <v>34</v>
      </c>
      <c r="I4538" s="2" t="s">
        <v>51</v>
      </c>
      <c r="J4538" s="2" t="s">
        <v>52</v>
      </c>
      <c r="K4538" s="2" t="s">
        <v>53</v>
      </c>
      <c r="L4538" s="2" t="s">
        <v>34</v>
      </c>
      <c r="M4538" s="2"/>
      <c r="N4538" s="2"/>
      <c r="O4538" s="2"/>
      <c r="P4538" s="2" t="s">
        <v>14112</v>
      </c>
      <c r="Q4538" s="6">
        <v>73.069999999999993</v>
      </c>
      <c r="R4538" s="2"/>
      <c r="S4538" s="5">
        <v>-7.7</v>
      </c>
      <c r="T4538" s="6">
        <v>-7.36</v>
      </c>
      <c r="U4538" s="5">
        <v>4.5</v>
      </c>
      <c r="V4538" s="6">
        <v>-20.149999999999999</v>
      </c>
      <c r="W4538" s="7">
        <v>0.96899999999999997</v>
      </c>
      <c r="X4538" s="7">
        <v>1.0629999999999999</v>
      </c>
      <c r="Y4538" s="7">
        <v>1.0629999999999999</v>
      </c>
      <c r="Z4538" s="7">
        <v>1.125</v>
      </c>
      <c r="AA4538" s="6">
        <v>2.4300000000000002</v>
      </c>
      <c r="AB4538" s="2" t="s">
        <v>86</v>
      </c>
      <c r="AC4538" s="2"/>
    </row>
    <row r="4539" spans="1:29" ht="130" x14ac:dyDescent="0.15">
      <c r="A4539" s="3">
        <f t="shared" ref="A4539:A4545" si="90">DATE(1999,4,1)</f>
        <v>36251</v>
      </c>
      <c r="B4539" s="3">
        <f>DATE(1999,8,15)</f>
        <v>36387</v>
      </c>
      <c r="C4539" s="2" t="s">
        <v>95</v>
      </c>
      <c r="D4539" s="2" t="s">
        <v>14113</v>
      </c>
      <c r="E4539" s="2" t="s">
        <v>1756</v>
      </c>
      <c r="F4539" s="4">
        <v>8711</v>
      </c>
      <c r="G4539" s="2" t="s">
        <v>223</v>
      </c>
      <c r="H4539" s="2" t="s">
        <v>34</v>
      </c>
      <c r="I4539" s="2" t="s">
        <v>10583</v>
      </c>
      <c r="J4539" s="2" t="s">
        <v>10584</v>
      </c>
      <c r="K4539" s="2" t="s">
        <v>439</v>
      </c>
      <c r="L4539" s="2" t="s">
        <v>133</v>
      </c>
      <c r="M4539" s="2"/>
      <c r="N4539" s="2"/>
      <c r="O4539" s="2"/>
      <c r="P4539" s="2" t="s">
        <v>14114</v>
      </c>
      <c r="Q4539" s="6">
        <v>22.19</v>
      </c>
      <c r="R4539" s="6">
        <v>2.9</v>
      </c>
      <c r="S4539" s="5">
        <v>-22.3</v>
      </c>
      <c r="T4539" s="7">
        <v>-3.891</v>
      </c>
      <c r="U4539" s="5">
        <v>0.2</v>
      </c>
      <c r="V4539" s="6">
        <v>-0.04</v>
      </c>
      <c r="W4539" s="7">
        <v>2.4380000000000002</v>
      </c>
      <c r="X4539" s="6">
        <v>2.25</v>
      </c>
      <c r="Y4539" s="7">
        <v>2.0630000000000002</v>
      </c>
      <c r="Z4539" s="7">
        <v>2.0630000000000002</v>
      </c>
      <c r="AA4539" s="6">
        <v>185.18</v>
      </c>
      <c r="AB4539" s="2" t="s">
        <v>86</v>
      </c>
      <c r="AC4539" s="10">
        <v>5211.3500000000004</v>
      </c>
    </row>
    <row r="4540" spans="1:29" ht="273" x14ac:dyDescent="0.15">
      <c r="A4540" s="3">
        <f t="shared" si="90"/>
        <v>36251</v>
      </c>
      <c r="B4540" s="3">
        <f>DATE(2000,4,18)</f>
        <v>36634</v>
      </c>
      <c r="C4540" s="2" t="s">
        <v>95</v>
      </c>
      <c r="D4540" s="2" t="s">
        <v>12056</v>
      </c>
      <c r="E4540" s="2" t="s">
        <v>612</v>
      </c>
      <c r="F4540" s="4">
        <v>2911</v>
      </c>
      <c r="G4540" s="2" t="s">
        <v>148</v>
      </c>
      <c r="H4540" s="2" t="s">
        <v>34</v>
      </c>
      <c r="I4540" s="2" t="s">
        <v>14115</v>
      </c>
      <c r="J4540" s="2" t="s">
        <v>12729</v>
      </c>
      <c r="K4540" s="2" t="s">
        <v>148</v>
      </c>
      <c r="L4540" s="2" t="s">
        <v>303</v>
      </c>
      <c r="M4540" s="10">
        <v>140969.68</v>
      </c>
      <c r="N4540" s="7">
        <v>16.245000000000001</v>
      </c>
      <c r="O4540" s="7">
        <v>16.245000000000001</v>
      </c>
      <c r="P4540" s="2" t="s">
        <v>14116</v>
      </c>
      <c r="Q4540" s="6">
        <v>100</v>
      </c>
      <c r="R4540" s="6">
        <v>83.16</v>
      </c>
      <c r="S4540" s="5">
        <v>-655</v>
      </c>
      <c r="T4540" s="8">
        <v>1702</v>
      </c>
      <c r="U4540" s="5">
        <v>23.5</v>
      </c>
      <c r="V4540" s="6">
        <v>-2.0499999999999998</v>
      </c>
      <c r="W4540" s="4">
        <v>64</v>
      </c>
      <c r="X4540" s="7">
        <v>65.375</v>
      </c>
      <c r="Y4540" s="7">
        <v>74.063000000000002</v>
      </c>
      <c r="Z4540" s="7">
        <v>74.625</v>
      </c>
      <c r="AA4540" s="6">
        <v>321.32</v>
      </c>
      <c r="AB4540" s="2" t="s">
        <v>86</v>
      </c>
      <c r="AC4540" s="6">
        <v>875.18</v>
      </c>
    </row>
    <row r="4541" spans="1:29" ht="143" x14ac:dyDescent="0.15">
      <c r="A4541" s="3">
        <f t="shared" si="90"/>
        <v>36251</v>
      </c>
      <c r="B4541" s="3">
        <f>DATE(1999,7,20)</f>
        <v>36361</v>
      </c>
      <c r="C4541" s="2" t="s">
        <v>95</v>
      </c>
      <c r="D4541" s="2" t="s">
        <v>14117</v>
      </c>
      <c r="E4541" s="2" t="s">
        <v>12371</v>
      </c>
      <c r="F4541" s="4">
        <v>7373</v>
      </c>
      <c r="G4541" s="2" t="s">
        <v>223</v>
      </c>
      <c r="H4541" s="2" t="s">
        <v>34</v>
      </c>
      <c r="I4541" s="2" t="s">
        <v>12515</v>
      </c>
      <c r="J4541" s="2" t="s">
        <v>12371</v>
      </c>
      <c r="K4541" s="2" t="s">
        <v>223</v>
      </c>
      <c r="L4541" s="2" t="s">
        <v>34</v>
      </c>
      <c r="M4541" s="12">
        <v>14951.654</v>
      </c>
      <c r="N4541" s="6">
        <v>179.75</v>
      </c>
      <c r="O4541" s="7">
        <v>219.125</v>
      </c>
      <c r="P4541" s="2" t="s">
        <v>14118</v>
      </c>
      <c r="Q4541" s="6">
        <v>100</v>
      </c>
      <c r="R4541" s="6">
        <v>130.02000000000001</v>
      </c>
      <c r="S4541" s="5">
        <v>-17.600000000000001</v>
      </c>
      <c r="T4541" s="7">
        <v>-13.837</v>
      </c>
      <c r="U4541" s="5">
        <v>1.7</v>
      </c>
      <c r="V4541" s="7">
        <v>-0.53500000000000003</v>
      </c>
      <c r="W4541" s="7">
        <v>93.375</v>
      </c>
      <c r="X4541" s="4">
        <v>85</v>
      </c>
      <c r="Y4541" s="5">
        <v>116.5</v>
      </c>
      <c r="Z4541" s="4">
        <v>112</v>
      </c>
      <c r="AA4541" s="6">
        <v>34.19</v>
      </c>
      <c r="AB4541" s="2" t="s">
        <v>86</v>
      </c>
      <c r="AC4541" s="6">
        <v>436.32</v>
      </c>
    </row>
    <row r="4542" spans="1:29" ht="78" x14ac:dyDescent="0.15">
      <c r="A4542" s="3">
        <f t="shared" si="90"/>
        <v>36251</v>
      </c>
      <c r="B4542" s="2"/>
      <c r="C4542" s="2" t="s">
        <v>56</v>
      </c>
      <c r="D4542" s="2" t="s">
        <v>14119</v>
      </c>
      <c r="E4542" s="2" t="s">
        <v>265</v>
      </c>
      <c r="F4542" s="4">
        <v>6021</v>
      </c>
      <c r="G4542" s="2" t="s">
        <v>37</v>
      </c>
      <c r="H4542" s="2" t="s">
        <v>34</v>
      </c>
      <c r="I4542" s="2" t="s">
        <v>2336</v>
      </c>
      <c r="J4542" s="2" t="s">
        <v>2337</v>
      </c>
      <c r="K4542" s="2" t="s">
        <v>37</v>
      </c>
      <c r="L4542" s="2" t="s">
        <v>34</v>
      </c>
      <c r="M4542" s="12">
        <v>6527.2129999999997</v>
      </c>
      <c r="N4542" s="5">
        <v>36.5</v>
      </c>
      <c r="O4542" s="5">
        <v>36.5</v>
      </c>
      <c r="P4542" s="2" t="s">
        <v>14120</v>
      </c>
      <c r="Q4542" s="2"/>
      <c r="R4542" s="6">
        <v>16.23</v>
      </c>
      <c r="S4542" s="5">
        <v>4.7</v>
      </c>
      <c r="T4542" s="2"/>
      <c r="U4542" s="5">
        <v>6.6</v>
      </c>
      <c r="V4542" s="6">
        <v>0.93</v>
      </c>
      <c r="W4542" s="6">
        <v>10.25</v>
      </c>
      <c r="X4542" s="7">
        <v>11.125</v>
      </c>
      <c r="Y4542" s="4">
        <v>12</v>
      </c>
      <c r="Z4542" s="4">
        <v>12</v>
      </c>
      <c r="AA4542" s="6">
        <v>4.91</v>
      </c>
      <c r="AB4542" s="7">
        <v>17.478999999999999</v>
      </c>
      <c r="AC4542" s="2"/>
    </row>
    <row r="4543" spans="1:29" ht="39" x14ac:dyDescent="0.15">
      <c r="A4543" s="3">
        <f t="shared" si="90"/>
        <v>36251</v>
      </c>
      <c r="B4543" s="3">
        <f>DATE(1999,4,1)</f>
        <v>36251</v>
      </c>
      <c r="C4543" s="2" t="s">
        <v>95</v>
      </c>
      <c r="D4543" s="2" t="s">
        <v>14121</v>
      </c>
      <c r="E4543" s="2" t="s">
        <v>14122</v>
      </c>
      <c r="F4543" s="4">
        <v>3564</v>
      </c>
      <c r="G4543" s="2" t="s">
        <v>300</v>
      </c>
      <c r="H4543" s="2" t="s">
        <v>34</v>
      </c>
      <c r="I4543" s="2" t="s">
        <v>14123</v>
      </c>
      <c r="J4543" s="2" t="s">
        <v>14124</v>
      </c>
      <c r="K4543" s="2" t="s">
        <v>53</v>
      </c>
      <c r="L4543" s="2" t="s">
        <v>34</v>
      </c>
      <c r="M4543" s="2"/>
      <c r="N4543" s="2"/>
      <c r="O4543" s="2"/>
      <c r="P4543" s="2" t="s">
        <v>14125</v>
      </c>
      <c r="Q4543" s="6">
        <v>100</v>
      </c>
      <c r="R4543" s="2"/>
      <c r="S4543" s="2"/>
      <c r="T4543" s="2"/>
      <c r="U4543" s="2"/>
      <c r="V4543" s="2"/>
      <c r="W4543" s="7">
        <v>2.125</v>
      </c>
      <c r="X4543" s="4">
        <v>2</v>
      </c>
      <c r="Y4543" s="7">
        <v>1.8129999999999999</v>
      </c>
      <c r="Z4543" s="7">
        <v>1.8129999999999999</v>
      </c>
      <c r="AA4543" s="6">
        <v>7.74</v>
      </c>
      <c r="AB4543" s="2" t="s">
        <v>47</v>
      </c>
      <c r="AC4543" s="2"/>
    </row>
    <row r="4544" spans="1:29" ht="65" x14ac:dyDescent="0.15">
      <c r="A4544" s="3">
        <f t="shared" si="90"/>
        <v>36251</v>
      </c>
      <c r="B4544" s="3">
        <f>DATE(1999,6,7)</f>
        <v>36318</v>
      </c>
      <c r="C4544" s="2" t="s">
        <v>95</v>
      </c>
      <c r="D4544" s="2" t="s">
        <v>14126</v>
      </c>
      <c r="E4544" s="2" t="s">
        <v>14127</v>
      </c>
      <c r="F4544" s="4">
        <v>2086</v>
      </c>
      <c r="G4544" s="2" t="s">
        <v>577</v>
      </c>
      <c r="H4544" s="2" t="s">
        <v>34</v>
      </c>
      <c r="I4544" s="2" t="s">
        <v>14128</v>
      </c>
      <c r="J4544" s="2" t="s">
        <v>14129</v>
      </c>
      <c r="K4544" s="2" t="s">
        <v>577</v>
      </c>
      <c r="L4544" s="2" t="s">
        <v>34</v>
      </c>
      <c r="M4544" s="2"/>
      <c r="N4544" s="2"/>
      <c r="O4544" s="2"/>
      <c r="P4544" s="2" t="s">
        <v>14130</v>
      </c>
      <c r="Q4544" s="6">
        <v>100</v>
      </c>
      <c r="R4544" s="6">
        <v>5.87</v>
      </c>
      <c r="S4544" s="5">
        <v>0.6</v>
      </c>
      <c r="T4544" s="7">
        <v>1.0569999999999999</v>
      </c>
      <c r="U4544" s="5">
        <v>1</v>
      </c>
      <c r="V4544" s="7">
        <v>0.161</v>
      </c>
      <c r="W4544" s="7">
        <v>4.875</v>
      </c>
      <c r="X4544" s="7">
        <v>6.0629999999999997</v>
      </c>
      <c r="Y4544" s="7">
        <v>5.5629999999999997</v>
      </c>
      <c r="Z4544" s="7">
        <v>5.5629999999999997</v>
      </c>
      <c r="AA4544" s="6">
        <v>2.76</v>
      </c>
      <c r="AB4544" s="7">
        <v>315.65199999999999</v>
      </c>
      <c r="AC4544" s="2"/>
    </row>
    <row r="4545" spans="1:29" ht="104" x14ac:dyDescent="0.15">
      <c r="A4545" s="3">
        <f t="shared" si="90"/>
        <v>36251</v>
      </c>
      <c r="B4545" s="3">
        <f>DATE(1999,11,15)</f>
        <v>36479</v>
      </c>
      <c r="C4545" s="2" t="s">
        <v>95</v>
      </c>
      <c r="D4545" s="2" t="s">
        <v>6659</v>
      </c>
      <c r="E4545" s="2" t="s">
        <v>6660</v>
      </c>
      <c r="F4545" s="4">
        <v>7822</v>
      </c>
      <c r="G4545" s="2" t="s">
        <v>42</v>
      </c>
      <c r="H4545" s="2" t="s">
        <v>34</v>
      </c>
      <c r="I4545" s="2" t="s">
        <v>10532</v>
      </c>
      <c r="J4545" s="2" t="s">
        <v>10533</v>
      </c>
      <c r="K4545" s="2" t="s">
        <v>45</v>
      </c>
      <c r="L4545" s="2" t="s">
        <v>34</v>
      </c>
      <c r="M4545" s="12">
        <v>26082.350999999999</v>
      </c>
      <c r="N4545" s="7">
        <v>40.125</v>
      </c>
      <c r="O4545" s="7">
        <v>41.875</v>
      </c>
      <c r="P4545" s="2" t="s">
        <v>14131</v>
      </c>
      <c r="Q4545" s="6">
        <v>100</v>
      </c>
      <c r="R4545" s="6">
        <v>33.06</v>
      </c>
      <c r="S4545" s="5">
        <v>136</v>
      </c>
      <c r="T4545" s="7">
        <v>178.17400000000001</v>
      </c>
      <c r="U4545" s="5">
        <v>12.2</v>
      </c>
      <c r="V4545" s="6">
        <v>1.79</v>
      </c>
      <c r="W4545" s="6">
        <v>28.93</v>
      </c>
      <c r="X4545" s="6">
        <v>30.56</v>
      </c>
      <c r="Y4545" s="9">
        <v>30.9375</v>
      </c>
      <c r="Z4545" s="9">
        <v>30.9375</v>
      </c>
      <c r="AA4545" s="6">
        <v>71.510000000000005</v>
      </c>
      <c r="AB4545" s="7">
        <v>13.286</v>
      </c>
      <c r="AC4545" s="5">
        <v>987</v>
      </c>
    </row>
    <row r="4546" spans="1:29" ht="52" x14ac:dyDescent="0.15">
      <c r="A4546" s="3">
        <f>DATE(1999,4,4)</f>
        <v>36254</v>
      </c>
      <c r="B4546" s="2"/>
      <c r="C4546" s="2" t="s">
        <v>87</v>
      </c>
      <c r="D4546" s="2" t="s">
        <v>6356</v>
      </c>
      <c r="E4546" s="2" t="s">
        <v>6357</v>
      </c>
      <c r="F4546" s="4">
        <v>7389</v>
      </c>
      <c r="G4546" s="2" t="s">
        <v>223</v>
      </c>
      <c r="H4546" s="2" t="s">
        <v>34</v>
      </c>
      <c r="I4546" s="2" t="s">
        <v>11975</v>
      </c>
      <c r="J4546" s="2" t="s">
        <v>11976</v>
      </c>
      <c r="K4546" s="2" t="s">
        <v>341</v>
      </c>
      <c r="L4546" s="2" t="s">
        <v>303</v>
      </c>
      <c r="M4546" s="2"/>
      <c r="N4546" s="2"/>
      <c r="O4546" s="2"/>
      <c r="P4546" s="2" t="s">
        <v>14132</v>
      </c>
      <c r="Q4546" s="2"/>
      <c r="R4546" s="2"/>
      <c r="S4546" s="5">
        <v>476</v>
      </c>
      <c r="T4546" s="8">
        <v>1806.8</v>
      </c>
      <c r="U4546" s="5">
        <v>4.3</v>
      </c>
      <c r="V4546" s="7">
        <v>0.53500000000000003</v>
      </c>
      <c r="W4546" s="6">
        <v>42.25</v>
      </c>
      <c r="X4546" s="7">
        <v>42.938000000000002</v>
      </c>
      <c r="Y4546" s="9">
        <v>43.8125</v>
      </c>
      <c r="Z4546" s="9">
        <v>43.8125</v>
      </c>
      <c r="AA4546" s="6">
        <v>435.5</v>
      </c>
      <c r="AB4546" s="2" t="s">
        <v>47</v>
      </c>
      <c r="AC4546" s="2"/>
    </row>
    <row r="4547" spans="1:29" ht="65" x14ac:dyDescent="0.15">
      <c r="A4547" s="3">
        <f t="shared" ref="A4547:A4552" si="91">DATE(1999,4,5)</f>
        <v>36255</v>
      </c>
      <c r="B4547" s="3">
        <f>DATE(1999,7,22)</f>
        <v>36363</v>
      </c>
      <c r="C4547" s="2" t="s">
        <v>95</v>
      </c>
      <c r="D4547" s="2" t="s">
        <v>4385</v>
      </c>
      <c r="E4547" s="2" t="s">
        <v>4386</v>
      </c>
      <c r="F4547" s="4">
        <v>7373</v>
      </c>
      <c r="G4547" s="2" t="s">
        <v>223</v>
      </c>
      <c r="H4547" s="2" t="s">
        <v>34</v>
      </c>
      <c r="I4547" s="2" t="s">
        <v>7577</v>
      </c>
      <c r="J4547" s="2" t="s">
        <v>244</v>
      </c>
      <c r="K4547" s="2" t="s">
        <v>53</v>
      </c>
      <c r="L4547" s="2" t="s">
        <v>34</v>
      </c>
      <c r="M4547" s="2"/>
      <c r="N4547" s="2"/>
      <c r="O4547" s="2"/>
      <c r="P4547" s="2" t="s">
        <v>14133</v>
      </c>
      <c r="Q4547" s="6">
        <v>97.26</v>
      </c>
      <c r="R4547" s="6">
        <v>18.5</v>
      </c>
      <c r="S4547" s="5">
        <v>4.8</v>
      </c>
      <c r="T4547" s="7">
        <v>110.559</v>
      </c>
      <c r="U4547" s="5">
        <v>11.4</v>
      </c>
      <c r="V4547" s="6">
        <v>0.24</v>
      </c>
      <c r="W4547" s="7">
        <v>13.813000000000001</v>
      </c>
      <c r="X4547" s="4">
        <v>13</v>
      </c>
      <c r="Y4547" s="5">
        <v>15.5</v>
      </c>
      <c r="Z4547" s="7">
        <v>15.938000000000001</v>
      </c>
      <c r="AA4547" s="6">
        <v>19.45</v>
      </c>
      <c r="AB4547" s="7">
        <v>9.9149999999999991</v>
      </c>
      <c r="AC4547" s="2"/>
    </row>
    <row r="4548" spans="1:29" ht="91" x14ac:dyDescent="0.15">
      <c r="A4548" s="3">
        <f t="shared" si="91"/>
        <v>36255</v>
      </c>
      <c r="B4548" s="2"/>
      <c r="C4548" s="2" t="s">
        <v>30</v>
      </c>
      <c r="D4548" s="2" t="s">
        <v>14134</v>
      </c>
      <c r="E4548" s="2" t="s">
        <v>14135</v>
      </c>
      <c r="F4548" s="4">
        <v>2816</v>
      </c>
      <c r="G4548" s="2" t="s">
        <v>98</v>
      </c>
      <c r="H4548" s="2" t="s">
        <v>34</v>
      </c>
      <c r="I4548" s="2" t="s">
        <v>14136</v>
      </c>
      <c r="J4548" s="2" t="s">
        <v>14137</v>
      </c>
      <c r="K4548" s="2" t="s">
        <v>166</v>
      </c>
      <c r="L4548" s="2" t="s">
        <v>902</v>
      </c>
      <c r="M4548" s="2"/>
      <c r="N4548" s="2"/>
      <c r="O4548" s="2"/>
      <c r="P4548" s="2" t="s">
        <v>14138</v>
      </c>
      <c r="Q4548" s="2"/>
      <c r="R4548" s="6">
        <v>3</v>
      </c>
      <c r="S4548" s="5">
        <v>1.2</v>
      </c>
      <c r="T4548" s="5">
        <v>1.7</v>
      </c>
      <c r="U4548" s="5">
        <v>11.2</v>
      </c>
      <c r="V4548" s="6">
        <v>1.35</v>
      </c>
      <c r="W4548" s="7">
        <v>1.6879999999999999</v>
      </c>
      <c r="X4548" s="7">
        <v>1.625</v>
      </c>
      <c r="Y4548" s="11">
        <v>2.09375</v>
      </c>
      <c r="Z4548" s="9">
        <v>2.0625</v>
      </c>
      <c r="AA4548" s="6">
        <v>4.66</v>
      </c>
      <c r="AB4548" s="7">
        <v>1.0569999999999999</v>
      </c>
      <c r="AC4548" s="6">
        <v>1.06</v>
      </c>
    </row>
    <row r="4549" spans="1:29" ht="104" x14ac:dyDescent="0.15">
      <c r="A4549" s="3">
        <f t="shared" si="91"/>
        <v>36255</v>
      </c>
      <c r="B4549" s="3">
        <f>DATE(1999,7,16)</f>
        <v>36357</v>
      </c>
      <c r="C4549" s="2" t="s">
        <v>95</v>
      </c>
      <c r="D4549" s="2" t="s">
        <v>14139</v>
      </c>
      <c r="E4549" s="2" t="s">
        <v>3639</v>
      </c>
      <c r="F4549" s="4">
        <v>7371</v>
      </c>
      <c r="G4549" s="2" t="s">
        <v>223</v>
      </c>
      <c r="H4549" s="2" t="s">
        <v>34</v>
      </c>
      <c r="I4549" s="2" t="s">
        <v>8437</v>
      </c>
      <c r="J4549" s="2" t="s">
        <v>6519</v>
      </c>
      <c r="K4549" s="2" t="s">
        <v>63</v>
      </c>
      <c r="L4549" s="2" t="s">
        <v>34</v>
      </c>
      <c r="M4549" s="12">
        <v>71038.695999999996</v>
      </c>
      <c r="N4549" s="7">
        <v>58.938000000000002</v>
      </c>
      <c r="O4549" s="7">
        <v>64.625</v>
      </c>
      <c r="P4549" s="2" t="s">
        <v>14140</v>
      </c>
      <c r="Q4549" s="6">
        <v>100</v>
      </c>
      <c r="R4549" s="6">
        <v>10.77</v>
      </c>
      <c r="S4549" s="5">
        <v>3.9</v>
      </c>
      <c r="T4549" s="7">
        <v>6.968</v>
      </c>
      <c r="U4549" s="5">
        <v>4.4000000000000004</v>
      </c>
      <c r="V4549" s="6">
        <v>0.34</v>
      </c>
      <c r="W4549" s="7">
        <v>7.9379999999999997</v>
      </c>
      <c r="X4549" s="7">
        <v>8.375</v>
      </c>
      <c r="Y4549" s="6">
        <v>10.75</v>
      </c>
      <c r="Z4549" s="6">
        <v>11.75</v>
      </c>
      <c r="AA4549" s="6">
        <v>11.44</v>
      </c>
      <c r="AB4549" s="7">
        <v>33.908000000000001</v>
      </c>
      <c r="AC4549" s="5">
        <v>792</v>
      </c>
    </row>
    <row r="4550" spans="1:29" ht="130" x14ac:dyDescent="0.15">
      <c r="A4550" s="3">
        <f t="shared" si="91"/>
        <v>36255</v>
      </c>
      <c r="B4550" s="3">
        <f>DATE(1999,7,19)</f>
        <v>36360</v>
      </c>
      <c r="C4550" s="2" t="s">
        <v>95</v>
      </c>
      <c r="D4550" s="2" t="s">
        <v>14141</v>
      </c>
      <c r="E4550" s="2" t="s">
        <v>14142</v>
      </c>
      <c r="F4550" s="4">
        <v>5984</v>
      </c>
      <c r="G4550" s="2" t="s">
        <v>73</v>
      </c>
      <c r="H4550" s="2" t="s">
        <v>34</v>
      </c>
      <c r="I4550" s="2" t="s">
        <v>14143</v>
      </c>
      <c r="J4550" s="2" t="s">
        <v>14144</v>
      </c>
      <c r="K4550" s="2" t="s">
        <v>73</v>
      </c>
      <c r="L4550" s="2" t="s">
        <v>34</v>
      </c>
      <c r="M4550" s="2"/>
      <c r="N4550" s="2"/>
      <c r="O4550" s="2"/>
      <c r="P4550" s="2" t="s">
        <v>14145</v>
      </c>
      <c r="Q4550" s="6">
        <v>100</v>
      </c>
      <c r="R4550" s="6">
        <v>12</v>
      </c>
      <c r="S4550" s="5">
        <v>3.7</v>
      </c>
      <c r="T4550" s="7">
        <v>23.222000000000001</v>
      </c>
      <c r="U4550" s="5">
        <v>1.5</v>
      </c>
      <c r="V4550" s="6">
        <v>0.33</v>
      </c>
      <c r="W4550" s="5">
        <v>6.5</v>
      </c>
      <c r="X4550" s="7">
        <v>6.3129999999999997</v>
      </c>
      <c r="Y4550" s="7">
        <v>6.8129999999999997</v>
      </c>
      <c r="Z4550" s="7">
        <v>11.313000000000001</v>
      </c>
      <c r="AA4550" s="6">
        <v>6.7</v>
      </c>
      <c r="AB4550" s="7">
        <v>20.393999999999998</v>
      </c>
      <c r="AC4550" s="2"/>
    </row>
    <row r="4551" spans="1:29" ht="143" x14ac:dyDescent="0.15">
      <c r="A4551" s="3">
        <f t="shared" si="91"/>
        <v>36255</v>
      </c>
      <c r="B4551" s="2"/>
      <c r="C4551" s="2" t="s">
        <v>30</v>
      </c>
      <c r="D4551" s="2" t="s">
        <v>13675</v>
      </c>
      <c r="E4551" s="2" t="s">
        <v>13674</v>
      </c>
      <c r="F4551" s="4">
        <v>7353</v>
      </c>
      <c r="G4551" s="2" t="s">
        <v>223</v>
      </c>
      <c r="H4551" s="2" t="s">
        <v>34</v>
      </c>
      <c r="I4551" s="2" t="s">
        <v>12348</v>
      </c>
      <c r="J4551" s="2" t="s">
        <v>12347</v>
      </c>
      <c r="K4551" s="2" t="s">
        <v>223</v>
      </c>
      <c r="L4551" s="2" t="s">
        <v>34</v>
      </c>
      <c r="M4551" s="12">
        <v>2073.6509999999998</v>
      </c>
      <c r="N4551" s="7">
        <v>27.812999999999999</v>
      </c>
      <c r="O4551" s="7">
        <v>26.812999999999999</v>
      </c>
      <c r="P4551" s="2" t="s">
        <v>14146</v>
      </c>
      <c r="Q4551" s="2"/>
      <c r="R4551" s="6">
        <v>22.75</v>
      </c>
      <c r="S4551" s="5">
        <v>29.2</v>
      </c>
      <c r="T4551" s="7">
        <v>158.96199999999999</v>
      </c>
      <c r="U4551" s="5">
        <v>17.3</v>
      </c>
      <c r="V4551" s="6">
        <v>1.32</v>
      </c>
      <c r="W4551" s="7">
        <v>16.625</v>
      </c>
      <c r="X4551" s="6">
        <v>17.25</v>
      </c>
      <c r="Y4551" s="6">
        <v>22.25</v>
      </c>
      <c r="Z4551" s="7">
        <v>22.062999999999999</v>
      </c>
      <c r="AA4551" s="6">
        <v>25.44</v>
      </c>
      <c r="AB4551" s="7">
        <v>26.538</v>
      </c>
      <c r="AC4551" s="6">
        <v>110.85</v>
      </c>
    </row>
    <row r="4552" spans="1:29" ht="195" x14ac:dyDescent="0.15">
      <c r="A4552" s="3">
        <f t="shared" si="91"/>
        <v>36255</v>
      </c>
      <c r="B4552" s="3">
        <f>DATE(1999,11,22)</f>
        <v>36486</v>
      </c>
      <c r="C4552" s="2" t="s">
        <v>95</v>
      </c>
      <c r="D4552" s="2" t="s">
        <v>14147</v>
      </c>
      <c r="E4552" s="2" t="s">
        <v>92</v>
      </c>
      <c r="F4552" s="4">
        <v>6798</v>
      </c>
      <c r="G4552" s="2" t="s">
        <v>53</v>
      </c>
      <c r="H4552" s="2" t="s">
        <v>34</v>
      </c>
      <c r="I4552" s="2" t="s">
        <v>51</v>
      </c>
      <c r="J4552" s="2" t="s">
        <v>52</v>
      </c>
      <c r="K4552" s="2" t="s">
        <v>53</v>
      </c>
      <c r="L4552" s="2" t="s">
        <v>34</v>
      </c>
      <c r="M4552" s="2"/>
      <c r="N4552" s="2"/>
      <c r="O4552" s="2"/>
      <c r="P4552" s="2" t="s">
        <v>14148</v>
      </c>
      <c r="Q4552" s="6">
        <v>100</v>
      </c>
      <c r="R4552" s="6">
        <v>10.38</v>
      </c>
      <c r="S4552" s="5">
        <v>9.6</v>
      </c>
      <c r="T4552" s="7">
        <v>51.706000000000003</v>
      </c>
      <c r="U4552" s="5">
        <v>11</v>
      </c>
      <c r="V4552" s="6">
        <v>0.2</v>
      </c>
      <c r="W4552" s="6">
        <v>7.25</v>
      </c>
      <c r="X4552" s="9">
        <v>7.3125</v>
      </c>
      <c r="Y4552" s="9">
        <v>7.5625</v>
      </c>
      <c r="Z4552" s="4">
        <v>9</v>
      </c>
      <c r="AA4552" s="6">
        <v>37.56</v>
      </c>
      <c r="AB4552" s="7">
        <v>79.888000000000005</v>
      </c>
      <c r="AC4552" s="2"/>
    </row>
    <row r="4553" spans="1:29" ht="52" x14ac:dyDescent="0.15">
      <c r="A4553" s="3">
        <f>DATE(1999,4,6)</f>
        <v>36256</v>
      </c>
      <c r="B4553" s="2"/>
      <c r="C4553" s="2" t="s">
        <v>30</v>
      </c>
      <c r="D4553" s="2" t="s">
        <v>14149</v>
      </c>
      <c r="E4553" s="2" t="s">
        <v>4601</v>
      </c>
      <c r="F4553" s="4">
        <v>5812</v>
      </c>
      <c r="G4553" s="2" t="s">
        <v>230</v>
      </c>
      <c r="H4553" s="2" t="s">
        <v>34</v>
      </c>
      <c r="I4553" s="2" t="s">
        <v>14150</v>
      </c>
      <c r="J4553" s="2" t="s">
        <v>4601</v>
      </c>
      <c r="K4553" s="2" t="s">
        <v>230</v>
      </c>
      <c r="L4553" s="2" t="s">
        <v>34</v>
      </c>
      <c r="M4553" s="7">
        <v>227.36699999999999</v>
      </c>
      <c r="N4553" s="6">
        <v>13.25</v>
      </c>
      <c r="O4553" s="7">
        <v>13.063000000000001</v>
      </c>
      <c r="P4553" s="2" t="s">
        <v>14151</v>
      </c>
      <c r="Q4553" s="2"/>
      <c r="R4553" s="6">
        <v>5.5</v>
      </c>
      <c r="S4553" s="5">
        <v>-0.1</v>
      </c>
      <c r="T4553" s="6">
        <v>5.63</v>
      </c>
      <c r="U4553" s="5">
        <v>6</v>
      </c>
      <c r="V4553" s="6">
        <v>-0.03</v>
      </c>
      <c r="W4553" s="4">
        <v>4</v>
      </c>
      <c r="X4553" s="7">
        <v>3.5630000000000002</v>
      </c>
      <c r="Y4553" s="7">
        <v>3.625</v>
      </c>
      <c r="Z4553" s="7">
        <v>3.625</v>
      </c>
      <c r="AA4553" s="6">
        <v>6.52</v>
      </c>
      <c r="AB4553" s="7">
        <v>36.344000000000001</v>
      </c>
      <c r="AC4553" s="6">
        <v>3.07</v>
      </c>
    </row>
    <row r="4554" spans="1:29" ht="39" x14ac:dyDescent="0.15">
      <c r="A4554" s="3">
        <f>DATE(1999,4,6)</f>
        <v>36256</v>
      </c>
      <c r="B4554" s="2"/>
      <c r="C4554" s="2" t="s">
        <v>30</v>
      </c>
      <c r="D4554" s="2" t="s">
        <v>5092</v>
      </c>
      <c r="E4554" s="2" t="s">
        <v>2814</v>
      </c>
      <c r="F4554" s="4">
        <v>4812</v>
      </c>
      <c r="G4554" s="2" t="s">
        <v>63</v>
      </c>
      <c r="H4554" s="2" t="s">
        <v>34</v>
      </c>
      <c r="I4554" s="2" t="s">
        <v>13575</v>
      </c>
      <c r="J4554" s="2" t="s">
        <v>375</v>
      </c>
      <c r="K4554" s="2" t="s">
        <v>63</v>
      </c>
      <c r="L4554" s="2" t="s">
        <v>34</v>
      </c>
      <c r="M4554" s="12">
        <v>156299.549</v>
      </c>
      <c r="N4554" s="7">
        <v>89.563000000000002</v>
      </c>
      <c r="O4554" s="4">
        <v>86</v>
      </c>
      <c r="P4554" s="2" t="s">
        <v>14152</v>
      </c>
      <c r="Q4554" s="2"/>
      <c r="R4554" s="2"/>
      <c r="S4554" s="8">
        <v>-1571.4</v>
      </c>
      <c r="T4554" s="7">
        <v>-79.105000000000004</v>
      </c>
      <c r="U4554" s="5">
        <v>-1.1000000000000001</v>
      </c>
      <c r="V4554" s="7">
        <v>-3.0550000000000002</v>
      </c>
      <c r="W4554" s="7">
        <v>38.438000000000002</v>
      </c>
      <c r="X4554" s="7">
        <v>39.625</v>
      </c>
      <c r="Y4554" s="9">
        <v>39.1875</v>
      </c>
      <c r="Z4554" s="9">
        <v>39.5625</v>
      </c>
      <c r="AA4554" s="6">
        <v>287.48</v>
      </c>
      <c r="AB4554" s="2" t="s">
        <v>86</v>
      </c>
      <c r="AC4554" s="5">
        <v>775</v>
      </c>
    </row>
    <row r="4555" spans="1:29" ht="156" x14ac:dyDescent="0.15">
      <c r="A4555" s="3">
        <f>DATE(1999,4,6)</f>
        <v>36256</v>
      </c>
      <c r="B4555" s="2"/>
      <c r="C4555" s="2" t="s">
        <v>30</v>
      </c>
      <c r="D4555" s="2" t="s">
        <v>8685</v>
      </c>
      <c r="E4555" s="2" t="s">
        <v>8686</v>
      </c>
      <c r="F4555" s="4">
        <v>3949</v>
      </c>
      <c r="G4555" s="2" t="s">
        <v>112</v>
      </c>
      <c r="H4555" s="2" t="s">
        <v>34</v>
      </c>
      <c r="I4555" s="2" t="s">
        <v>14153</v>
      </c>
      <c r="J4555" s="2" t="s">
        <v>80</v>
      </c>
      <c r="K4555" s="2" t="s">
        <v>53</v>
      </c>
      <c r="L4555" s="2" t="s">
        <v>34</v>
      </c>
      <c r="M4555" s="2"/>
      <c r="N4555" s="2"/>
      <c r="O4555" s="2"/>
      <c r="P4555" s="2" t="s">
        <v>14154</v>
      </c>
      <c r="Q4555" s="2"/>
      <c r="R4555" s="6">
        <v>2.25</v>
      </c>
      <c r="S4555" s="5">
        <v>-24.4</v>
      </c>
      <c r="T4555" s="6">
        <v>-14.13</v>
      </c>
      <c r="U4555" s="5">
        <v>1.2</v>
      </c>
      <c r="V4555" s="6">
        <v>-2.09</v>
      </c>
      <c r="W4555" s="7">
        <v>0.81299999999999994</v>
      </c>
      <c r="X4555" s="7">
        <v>1.125</v>
      </c>
      <c r="Y4555" s="7">
        <v>1.125</v>
      </c>
      <c r="Z4555" s="7">
        <v>1.2190000000000001</v>
      </c>
      <c r="AA4555" s="6">
        <v>14.23</v>
      </c>
      <c r="AB4555" s="2" t="s">
        <v>86</v>
      </c>
      <c r="AC4555" s="2"/>
    </row>
    <row r="4556" spans="1:29" ht="39" x14ac:dyDescent="0.15">
      <c r="A4556" s="3">
        <f>DATE(1999,4,8)</f>
        <v>36258</v>
      </c>
      <c r="B4556" s="2"/>
      <c r="C4556" s="2" t="s">
        <v>7330</v>
      </c>
      <c r="D4556" s="2" t="s">
        <v>14155</v>
      </c>
      <c r="E4556" s="2" t="s">
        <v>8742</v>
      </c>
      <c r="F4556" s="4">
        <v>8082</v>
      </c>
      <c r="G4556" s="2" t="s">
        <v>454</v>
      </c>
      <c r="H4556" s="2" t="s">
        <v>34</v>
      </c>
      <c r="I4556" s="2" t="s">
        <v>14156</v>
      </c>
      <c r="J4556" s="2" t="s">
        <v>7151</v>
      </c>
      <c r="K4556" s="2" t="s">
        <v>76</v>
      </c>
      <c r="L4556" s="2" t="s">
        <v>34</v>
      </c>
      <c r="M4556" s="2"/>
      <c r="N4556" s="2"/>
      <c r="O4556" s="2"/>
      <c r="P4556" s="2" t="s">
        <v>14157</v>
      </c>
      <c r="Q4556" s="2"/>
      <c r="R4556" s="6">
        <v>1.2</v>
      </c>
      <c r="S4556" s="5">
        <v>-0.1</v>
      </c>
      <c r="T4556" s="7">
        <v>2.0209999999999999</v>
      </c>
      <c r="U4556" s="5">
        <v>0.7</v>
      </c>
      <c r="V4556" s="6">
        <v>-0.01</v>
      </c>
      <c r="W4556" s="9">
        <v>0.53120000000000001</v>
      </c>
      <c r="X4556" s="4">
        <v>1</v>
      </c>
      <c r="Y4556" s="7">
        <v>0.84399999999999997</v>
      </c>
      <c r="Z4556" s="7">
        <v>0.84399999999999997</v>
      </c>
      <c r="AA4556" s="6">
        <v>7.6</v>
      </c>
      <c r="AB4556" s="7">
        <v>18.053999999999998</v>
      </c>
      <c r="AC4556" s="2"/>
    </row>
    <row r="4557" spans="1:29" ht="104" x14ac:dyDescent="0.15">
      <c r="A4557" s="3">
        <f>DATE(1999,4,8)</f>
        <v>36258</v>
      </c>
      <c r="B4557" s="3">
        <f>DATE(1999,4,26)</f>
        <v>36276</v>
      </c>
      <c r="C4557" s="2" t="s">
        <v>95</v>
      </c>
      <c r="D4557" s="2" t="s">
        <v>6541</v>
      </c>
      <c r="E4557" s="2" t="s">
        <v>6542</v>
      </c>
      <c r="F4557" s="4">
        <v>2721</v>
      </c>
      <c r="G4557" s="2" t="s">
        <v>186</v>
      </c>
      <c r="H4557" s="2" t="s">
        <v>34</v>
      </c>
      <c r="I4557" s="2" t="s">
        <v>51</v>
      </c>
      <c r="J4557" s="2" t="s">
        <v>52</v>
      </c>
      <c r="K4557" s="2" t="s">
        <v>53</v>
      </c>
      <c r="L4557" s="2" t="s">
        <v>34</v>
      </c>
      <c r="M4557" s="2"/>
      <c r="N4557" s="2"/>
      <c r="O4557" s="2"/>
      <c r="P4557" s="2" t="s">
        <v>14158</v>
      </c>
      <c r="Q4557" s="2"/>
      <c r="R4557" s="2"/>
      <c r="S4557" s="5">
        <v>-11.8</v>
      </c>
      <c r="T4557" s="7">
        <v>-7.0359999999999996</v>
      </c>
      <c r="U4557" s="8">
        <v>6850.8</v>
      </c>
      <c r="V4557" s="6">
        <v>-7251.91</v>
      </c>
      <c r="W4557" s="7">
        <v>5.375</v>
      </c>
      <c r="X4557" s="7">
        <v>6.125</v>
      </c>
      <c r="Y4557" s="9">
        <v>5.5625</v>
      </c>
      <c r="Z4557" s="6">
        <v>5.75</v>
      </c>
      <c r="AA4557" s="6">
        <v>4.1900000000000004</v>
      </c>
      <c r="AB4557" s="2" t="s">
        <v>86</v>
      </c>
      <c r="AC4557" s="2"/>
    </row>
    <row r="4558" spans="1:29" ht="65" x14ac:dyDescent="0.15">
      <c r="A4558" s="3">
        <f>DATE(1999,4,9)</f>
        <v>36259</v>
      </c>
      <c r="B4558" s="3">
        <f>DATE(1999,6,17)</f>
        <v>36328</v>
      </c>
      <c r="C4558" s="2" t="s">
        <v>95</v>
      </c>
      <c r="D4558" s="2" t="s">
        <v>14159</v>
      </c>
      <c r="E4558" s="2" t="s">
        <v>14160</v>
      </c>
      <c r="F4558" s="4">
        <v>3061</v>
      </c>
      <c r="G4558" s="2" t="s">
        <v>447</v>
      </c>
      <c r="H4558" s="2" t="s">
        <v>34</v>
      </c>
      <c r="I4558" s="2" t="s">
        <v>14161</v>
      </c>
      <c r="J4558" s="2" t="s">
        <v>14162</v>
      </c>
      <c r="K4558" s="2" t="s">
        <v>98</v>
      </c>
      <c r="L4558" s="2" t="s">
        <v>34</v>
      </c>
      <c r="M4558" s="2"/>
      <c r="N4558" s="2"/>
      <c r="O4558" s="2"/>
      <c r="P4558" s="2" t="s">
        <v>14163</v>
      </c>
      <c r="Q4558" s="6">
        <v>70.290000000000006</v>
      </c>
      <c r="R4558" s="6">
        <v>3</v>
      </c>
      <c r="S4558" s="5">
        <v>-0.1</v>
      </c>
      <c r="T4558" s="7">
        <v>0.96399999999999997</v>
      </c>
      <c r="U4558" s="5">
        <v>1.5</v>
      </c>
      <c r="V4558" s="9">
        <v>-4.8599999999999997E-2</v>
      </c>
      <c r="W4558" s="5">
        <v>2.5</v>
      </c>
      <c r="X4558" s="7">
        <v>2.125</v>
      </c>
      <c r="Y4558" s="6">
        <v>2.75</v>
      </c>
      <c r="Z4558" s="6">
        <v>2.75</v>
      </c>
      <c r="AA4558" s="6">
        <v>2.23</v>
      </c>
      <c r="AB4558" s="7">
        <v>39.197000000000003</v>
      </c>
      <c r="AC4558" s="2"/>
    </row>
    <row r="4559" spans="1:29" ht="143" x14ac:dyDescent="0.15">
      <c r="A4559" s="3">
        <f>DATE(1999,4,12)</f>
        <v>36262</v>
      </c>
      <c r="B4559" s="3">
        <f>DATE(1999,6,30)</f>
        <v>36341</v>
      </c>
      <c r="C4559" s="2" t="s">
        <v>95</v>
      </c>
      <c r="D4559" s="2" t="s">
        <v>14164</v>
      </c>
      <c r="E4559" s="2" t="s">
        <v>14165</v>
      </c>
      <c r="F4559" s="4">
        <v>2514</v>
      </c>
      <c r="G4559" s="2" t="s">
        <v>250</v>
      </c>
      <c r="H4559" s="2" t="s">
        <v>34</v>
      </c>
      <c r="I4559" s="2" t="s">
        <v>51</v>
      </c>
      <c r="J4559" s="2" t="s">
        <v>52</v>
      </c>
      <c r="K4559" s="2" t="s">
        <v>53</v>
      </c>
      <c r="L4559" s="2" t="s">
        <v>34</v>
      </c>
      <c r="M4559" s="2"/>
      <c r="N4559" s="2"/>
      <c r="O4559" s="2"/>
      <c r="P4559" s="2" t="s">
        <v>14166</v>
      </c>
      <c r="Q4559" s="6">
        <v>26.97</v>
      </c>
      <c r="R4559" s="6">
        <v>10</v>
      </c>
      <c r="S4559" s="5">
        <v>22.3</v>
      </c>
      <c r="T4559" s="7">
        <v>40.701999999999998</v>
      </c>
      <c r="U4559" s="5">
        <v>2.8</v>
      </c>
      <c r="V4559" s="6">
        <v>1.2</v>
      </c>
      <c r="W4559" s="7">
        <v>6.125</v>
      </c>
      <c r="X4559" s="7">
        <v>6.0629999999999997</v>
      </c>
      <c r="Y4559" s="6">
        <v>7.25</v>
      </c>
      <c r="Z4559" s="6">
        <v>7.25</v>
      </c>
      <c r="AA4559" s="6">
        <v>19.71</v>
      </c>
      <c r="AB4559" s="7">
        <v>6.952</v>
      </c>
      <c r="AC4559" s="2"/>
    </row>
    <row r="4560" spans="1:29" ht="65" x14ac:dyDescent="0.15">
      <c r="A4560" s="3">
        <f>DATE(1999,4,12)</f>
        <v>36262</v>
      </c>
      <c r="B4560" s="3">
        <f>DATE(1999,5,19)</f>
        <v>36299</v>
      </c>
      <c r="C4560" s="2" t="s">
        <v>95</v>
      </c>
      <c r="D4560" s="2" t="s">
        <v>9886</v>
      </c>
      <c r="E4560" s="2" t="s">
        <v>9887</v>
      </c>
      <c r="F4560" s="4">
        <v>3465</v>
      </c>
      <c r="G4560" s="2" t="s">
        <v>163</v>
      </c>
      <c r="H4560" s="2" t="s">
        <v>34</v>
      </c>
      <c r="I4560" s="2" t="s">
        <v>9888</v>
      </c>
      <c r="J4560" s="2" t="s">
        <v>9889</v>
      </c>
      <c r="K4560" s="2" t="s">
        <v>300</v>
      </c>
      <c r="L4560" s="2" t="s">
        <v>34</v>
      </c>
      <c r="M4560" s="2"/>
      <c r="N4560" s="2"/>
      <c r="O4560" s="2"/>
      <c r="P4560" s="2" t="s">
        <v>14167</v>
      </c>
      <c r="Q4560" s="6">
        <v>7.65</v>
      </c>
      <c r="R4560" s="6">
        <v>14.5</v>
      </c>
      <c r="S4560" s="5">
        <v>12.6</v>
      </c>
      <c r="T4560" s="7">
        <v>42.048999999999999</v>
      </c>
      <c r="U4560" s="5">
        <v>12.6</v>
      </c>
      <c r="V4560" s="6">
        <v>0.97</v>
      </c>
      <c r="W4560" s="5">
        <v>10.5</v>
      </c>
      <c r="X4560" s="6">
        <v>11.75</v>
      </c>
      <c r="Y4560" s="9">
        <v>12.5625</v>
      </c>
      <c r="Z4560" s="9">
        <v>12.4375</v>
      </c>
      <c r="AA4560" s="6">
        <v>13.08</v>
      </c>
      <c r="AB4560" s="7">
        <v>13.212999999999999</v>
      </c>
      <c r="AC4560" s="2"/>
    </row>
    <row r="4561" spans="1:29" ht="78" x14ac:dyDescent="0.15">
      <c r="A4561" s="3">
        <f>DATE(1999,4,12)</f>
        <v>36262</v>
      </c>
      <c r="B4561" s="3">
        <f>DATE(2000,1,7)</f>
        <v>36532</v>
      </c>
      <c r="C4561" s="2" t="s">
        <v>95</v>
      </c>
      <c r="D4561" s="2" t="s">
        <v>14168</v>
      </c>
      <c r="E4561" s="2" t="s">
        <v>1181</v>
      </c>
      <c r="F4561" s="4">
        <v>6021</v>
      </c>
      <c r="G4561" s="2" t="s">
        <v>37</v>
      </c>
      <c r="H4561" s="2" t="s">
        <v>34</v>
      </c>
      <c r="I4561" s="2" t="s">
        <v>14169</v>
      </c>
      <c r="J4561" s="2" t="s">
        <v>14170</v>
      </c>
      <c r="K4561" s="2" t="s">
        <v>37</v>
      </c>
      <c r="L4561" s="2" t="s">
        <v>34</v>
      </c>
      <c r="M4561" s="10">
        <v>1044.54</v>
      </c>
      <c r="N4561" s="7">
        <v>12.313000000000001</v>
      </c>
      <c r="O4561" s="7">
        <v>11.688000000000001</v>
      </c>
      <c r="P4561" s="2" t="s">
        <v>14171</v>
      </c>
      <c r="Q4561" s="6">
        <v>100</v>
      </c>
      <c r="R4561" s="6">
        <v>25.31</v>
      </c>
      <c r="S4561" s="5">
        <v>3.6</v>
      </c>
      <c r="T4561" s="2"/>
      <c r="U4561" s="5">
        <v>14.6</v>
      </c>
      <c r="V4561" s="6">
        <v>0.91</v>
      </c>
      <c r="W4561" s="7">
        <v>18.937999999999999</v>
      </c>
      <c r="X4561" s="7">
        <v>21.062999999999999</v>
      </c>
      <c r="Y4561" s="9">
        <v>21.1875</v>
      </c>
      <c r="Z4561" s="4">
        <v>22</v>
      </c>
      <c r="AA4561" s="6">
        <v>4.05</v>
      </c>
      <c r="AB4561" s="7">
        <v>22.802</v>
      </c>
      <c r="AC4561" s="2"/>
    </row>
    <row r="4562" spans="1:29" ht="104" x14ac:dyDescent="0.15">
      <c r="A4562" s="3">
        <f>DATE(1999,4,13)</f>
        <v>36263</v>
      </c>
      <c r="B4562" s="3">
        <f>DATE(1999,6,24)</f>
        <v>36335</v>
      </c>
      <c r="C4562" s="2" t="s">
        <v>95</v>
      </c>
      <c r="D4562" s="2" t="s">
        <v>14172</v>
      </c>
      <c r="E4562" s="2" t="s">
        <v>14173</v>
      </c>
      <c r="F4562" s="4">
        <v>7372</v>
      </c>
      <c r="G4562" s="2" t="s">
        <v>551</v>
      </c>
      <c r="H4562" s="2" t="s">
        <v>34</v>
      </c>
      <c r="I4562" s="2" t="s">
        <v>7444</v>
      </c>
      <c r="J4562" s="2" t="s">
        <v>7445</v>
      </c>
      <c r="K4562" s="2" t="s">
        <v>50</v>
      </c>
      <c r="L4562" s="2" t="s">
        <v>34</v>
      </c>
      <c r="M4562" s="12">
        <v>169302.70699999999</v>
      </c>
      <c r="N4562" s="7">
        <v>114.125</v>
      </c>
      <c r="O4562" s="6">
        <v>110.75</v>
      </c>
      <c r="P4562" s="2" t="s">
        <v>14174</v>
      </c>
      <c r="Q4562" s="6">
        <v>100</v>
      </c>
      <c r="R4562" s="6">
        <v>60.5</v>
      </c>
      <c r="S4562" s="5">
        <v>11.9</v>
      </c>
      <c r="T4562" s="7">
        <v>17.695</v>
      </c>
      <c r="U4562" s="5">
        <v>2.4</v>
      </c>
      <c r="V4562" s="6">
        <v>0.41</v>
      </c>
      <c r="W4562" s="6">
        <v>45.31</v>
      </c>
      <c r="X4562" s="6">
        <v>44.25</v>
      </c>
      <c r="Y4562" s="7">
        <v>55.938000000000002</v>
      </c>
      <c r="Z4562" s="7">
        <v>54.875</v>
      </c>
      <c r="AA4562" s="6">
        <v>27.14</v>
      </c>
      <c r="AB4562" s="7">
        <v>112.34399999999999</v>
      </c>
      <c r="AC4562" s="8">
        <v>2307</v>
      </c>
    </row>
    <row r="4563" spans="1:29" ht="52" x14ac:dyDescent="0.15">
      <c r="A4563" s="3">
        <f>DATE(1999,4,14)</f>
        <v>36264</v>
      </c>
      <c r="B4563" s="3">
        <f>DATE(1999,4,14)</f>
        <v>36264</v>
      </c>
      <c r="C4563" s="2" t="s">
        <v>95</v>
      </c>
      <c r="D4563" s="2" t="s">
        <v>14175</v>
      </c>
      <c r="E4563" s="2" t="s">
        <v>14176</v>
      </c>
      <c r="F4563" s="4">
        <v>8071</v>
      </c>
      <c r="G4563" s="2" t="s">
        <v>454</v>
      </c>
      <c r="H4563" s="2" t="s">
        <v>34</v>
      </c>
      <c r="I4563" s="2" t="s">
        <v>14177</v>
      </c>
      <c r="J4563" s="2" t="s">
        <v>14176</v>
      </c>
      <c r="K4563" s="2" t="s">
        <v>454</v>
      </c>
      <c r="L4563" s="2" t="s">
        <v>34</v>
      </c>
      <c r="M4563" s="2"/>
      <c r="N4563" s="2"/>
      <c r="O4563" s="2"/>
      <c r="P4563" s="2" t="s">
        <v>14178</v>
      </c>
      <c r="Q4563" s="6">
        <v>100</v>
      </c>
      <c r="R4563" s="2"/>
      <c r="S4563" s="2"/>
      <c r="T4563" s="2"/>
      <c r="U4563" s="2"/>
      <c r="V4563" s="2"/>
      <c r="W4563" s="6">
        <v>4.75</v>
      </c>
      <c r="X4563" s="4">
        <v>5</v>
      </c>
      <c r="Y4563" s="5">
        <v>5.5</v>
      </c>
      <c r="Z4563" s="7">
        <v>5.125</v>
      </c>
      <c r="AA4563" s="2"/>
      <c r="AB4563" s="2" t="s">
        <v>47</v>
      </c>
      <c r="AC4563" s="2"/>
    </row>
    <row r="4564" spans="1:29" ht="117" x14ac:dyDescent="0.15">
      <c r="A4564" s="3">
        <f>DATE(1999,4,14)</f>
        <v>36264</v>
      </c>
      <c r="B4564" s="2"/>
      <c r="C4564" s="2" t="s">
        <v>30</v>
      </c>
      <c r="D4564" s="2" t="s">
        <v>14179</v>
      </c>
      <c r="E4564" s="2" t="s">
        <v>14180</v>
      </c>
      <c r="F4564" s="4">
        <v>3812</v>
      </c>
      <c r="G4564" s="2" t="s">
        <v>226</v>
      </c>
      <c r="H4564" s="2" t="s">
        <v>34</v>
      </c>
      <c r="I4564" s="2" t="s">
        <v>14181</v>
      </c>
      <c r="J4564" s="2" t="s">
        <v>1266</v>
      </c>
      <c r="K4564" s="2" t="s">
        <v>173</v>
      </c>
      <c r="L4564" s="2" t="s">
        <v>5907</v>
      </c>
      <c r="M4564" s="2"/>
      <c r="N4564" s="2"/>
      <c r="O4564" s="2"/>
      <c r="P4564" s="2" t="s">
        <v>14182</v>
      </c>
      <c r="Q4564" s="2"/>
      <c r="R4564" s="6">
        <v>16.149999999999999</v>
      </c>
      <c r="S4564" s="5">
        <v>10.3</v>
      </c>
      <c r="T4564" s="7">
        <v>18.158999999999999</v>
      </c>
      <c r="U4564" s="5">
        <v>5.4</v>
      </c>
      <c r="V4564" s="9">
        <v>0.29330000000000001</v>
      </c>
      <c r="W4564" s="7">
        <v>18.125</v>
      </c>
      <c r="X4564" s="7">
        <v>17.687999999999999</v>
      </c>
      <c r="Y4564" s="7">
        <v>17.375</v>
      </c>
      <c r="Z4564" s="9">
        <v>15.5625</v>
      </c>
      <c r="AA4564" s="6">
        <v>23.19</v>
      </c>
      <c r="AB4564" s="7">
        <v>52.356999999999999</v>
      </c>
      <c r="AC4564" s="2"/>
    </row>
    <row r="4565" spans="1:29" ht="156" x14ac:dyDescent="0.15">
      <c r="A4565" s="3">
        <f>DATE(1999,4,14)</f>
        <v>36264</v>
      </c>
      <c r="B4565" s="3">
        <f>DATE(1999,10,4)</f>
        <v>36437</v>
      </c>
      <c r="C4565" s="2" t="s">
        <v>95</v>
      </c>
      <c r="D4565" s="2" t="s">
        <v>14183</v>
      </c>
      <c r="E4565" s="2" t="s">
        <v>36</v>
      </c>
      <c r="F4565" s="4">
        <v>6036</v>
      </c>
      <c r="G4565" s="2" t="s">
        <v>33</v>
      </c>
      <c r="H4565" s="2" t="s">
        <v>34</v>
      </c>
      <c r="I4565" s="2" t="s">
        <v>640</v>
      </c>
      <c r="J4565" s="2" t="s">
        <v>36</v>
      </c>
      <c r="K4565" s="2" t="s">
        <v>37</v>
      </c>
      <c r="L4565" s="2" t="s">
        <v>34</v>
      </c>
      <c r="M4565" s="2"/>
      <c r="N4565" s="7">
        <v>55.625</v>
      </c>
      <c r="O4565" s="7">
        <v>55.688000000000002</v>
      </c>
      <c r="P4565" s="2" t="s">
        <v>14184</v>
      </c>
      <c r="Q4565" s="6">
        <v>100</v>
      </c>
      <c r="R4565" s="6">
        <v>19.86</v>
      </c>
      <c r="S4565" s="5">
        <v>1.6</v>
      </c>
      <c r="T4565" s="7">
        <v>2.5950000000000002</v>
      </c>
      <c r="U4565" s="5">
        <v>17.100000000000001</v>
      </c>
      <c r="V4565" s="6">
        <v>0.9</v>
      </c>
      <c r="W4565" s="7">
        <v>13.375</v>
      </c>
      <c r="X4565" s="7">
        <v>12.875</v>
      </c>
      <c r="Y4565" s="6">
        <v>19.25</v>
      </c>
      <c r="Z4565" s="7">
        <v>18.875</v>
      </c>
      <c r="AA4565" s="6">
        <v>1.72</v>
      </c>
      <c r="AB4565" s="7">
        <v>52.268999999999998</v>
      </c>
      <c r="AC4565" s="2"/>
    </row>
    <row r="4566" spans="1:29" ht="104" x14ac:dyDescent="0.15">
      <c r="A4566" s="3">
        <f>DATE(1999,4,16)</f>
        <v>36266</v>
      </c>
      <c r="B4566" s="3">
        <f>DATE(1999,9,1)</f>
        <v>36404</v>
      </c>
      <c r="C4566" s="2" t="s">
        <v>95</v>
      </c>
      <c r="D4566" s="2" t="s">
        <v>6040</v>
      </c>
      <c r="E4566" s="2" t="s">
        <v>6041</v>
      </c>
      <c r="F4566" s="4">
        <v>4841</v>
      </c>
      <c r="G4566" s="2" t="s">
        <v>45</v>
      </c>
      <c r="H4566" s="2" t="s">
        <v>34</v>
      </c>
      <c r="I4566" s="2" t="s">
        <v>13575</v>
      </c>
      <c r="J4566" s="2" t="s">
        <v>375</v>
      </c>
      <c r="K4566" s="2" t="s">
        <v>63</v>
      </c>
      <c r="L4566" s="2" t="s">
        <v>34</v>
      </c>
      <c r="M4566" s="12">
        <v>169400.74100000001</v>
      </c>
      <c r="N4566" s="6">
        <v>84.75</v>
      </c>
      <c r="O4566" s="6">
        <v>82.25</v>
      </c>
      <c r="P4566" s="2" t="s">
        <v>14185</v>
      </c>
      <c r="Q4566" s="6">
        <v>100</v>
      </c>
      <c r="R4566" s="6">
        <v>28</v>
      </c>
      <c r="S4566" s="5">
        <v>-235.4</v>
      </c>
      <c r="T4566" s="7">
        <v>-24.087</v>
      </c>
      <c r="U4566" s="5">
        <v>-0.7</v>
      </c>
      <c r="V4566" s="6">
        <v>-6.15</v>
      </c>
      <c r="W4566" s="7">
        <v>12.563000000000001</v>
      </c>
      <c r="X4566" s="4">
        <v>21</v>
      </c>
      <c r="Y4566" s="7">
        <v>22.625</v>
      </c>
      <c r="Z4566" s="6">
        <v>23.25</v>
      </c>
      <c r="AA4566" s="6">
        <v>17.239999999999998</v>
      </c>
      <c r="AB4566" s="2" t="s">
        <v>86</v>
      </c>
      <c r="AC4566" s="5">
        <v>775</v>
      </c>
    </row>
    <row r="4567" spans="1:29" ht="39" x14ac:dyDescent="0.15">
      <c r="A4567" s="3">
        <f>DATE(1999,4,16)</f>
        <v>36266</v>
      </c>
      <c r="B4567" s="3">
        <f>DATE(1999,4,16)</f>
        <v>36266</v>
      </c>
      <c r="C4567" s="2" t="s">
        <v>95</v>
      </c>
      <c r="D4567" s="2" t="s">
        <v>7849</v>
      </c>
      <c r="E4567" s="2" t="s">
        <v>7850</v>
      </c>
      <c r="F4567" s="4">
        <v>7812</v>
      </c>
      <c r="G4567" s="2" t="s">
        <v>42</v>
      </c>
      <c r="H4567" s="2" t="s">
        <v>34</v>
      </c>
      <c r="I4567" s="2" t="s">
        <v>14186</v>
      </c>
      <c r="J4567" s="2" t="s">
        <v>2262</v>
      </c>
      <c r="K4567" s="2" t="s">
        <v>45</v>
      </c>
      <c r="L4567" s="2" t="s">
        <v>34</v>
      </c>
      <c r="M4567" s="6">
        <v>12.33</v>
      </c>
      <c r="N4567" s="6">
        <v>1.75</v>
      </c>
      <c r="O4567" s="7">
        <v>1.8129999999999999</v>
      </c>
      <c r="P4567" s="2" t="s">
        <v>14187</v>
      </c>
      <c r="Q4567" s="6">
        <v>3.04</v>
      </c>
      <c r="R4567" s="2"/>
      <c r="S4567" s="5">
        <v>-4.5</v>
      </c>
      <c r="T4567" s="7">
        <v>-3.0680000000000001</v>
      </c>
      <c r="U4567" s="5">
        <v>0.6</v>
      </c>
      <c r="V4567" s="6">
        <v>-0.69</v>
      </c>
      <c r="W4567" s="7">
        <v>0.93799999999999994</v>
      </c>
      <c r="X4567" s="4">
        <v>1</v>
      </c>
      <c r="Y4567" s="7">
        <v>1.0629999999999999</v>
      </c>
      <c r="Z4567" s="7">
        <v>0.96899999999999997</v>
      </c>
      <c r="AA4567" s="6">
        <v>7.51</v>
      </c>
      <c r="AB4567" s="2" t="s">
        <v>86</v>
      </c>
      <c r="AC4567" s="6">
        <v>5.71</v>
      </c>
    </row>
    <row r="4568" spans="1:29" ht="130" x14ac:dyDescent="0.15">
      <c r="A4568" s="3">
        <f>DATE(1999,4,16)</f>
        <v>36266</v>
      </c>
      <c r="B4568" s="3">
        <f>DATE(1999,10,7)</f>
        <v>36440</v>
      </c>
      <c r="C4568" s="2" t="s">
        <v>95</v>
      </c>
      <c r="D4568" s="2" t="s">
        <v>14188</v>
      </c>
      <c r="E4568" s="2" t="s">
        <v>14189</v>
      </c>
      <c r="F4568" s="4">
        <v>6162</v>
      </c>
      <c r="G4568" s="2" t="s">
        <v>109</v>
      </c>
      <c r="H4568" s="2" t="s">
        <v>34</v>
      </c>
      <c r="I4568" s="2" t="s">
        <v>12634</v>
      </c>
      <c r="J4568" s="2" t="s">
        <v>11215</v>
      </c>
      <c r="K4568" s="2" t="s">
        <v>109</v>
      </c>
      <c r="L4568" s="2" t="s">
        <v>34</v>
      </c>
      <c r="M4568" s="5">
        <v>501.6</v>
      </c>
      <c r="N4568" s="4">
        <v>9</v>
      </c>
      <c r="O4568" s="6">
        <v>8.75</v>
      </c>
      <c r="P4568" s="2" t="s">
        <v>14190</v>
      </c>
      <c r="Q4568" s="6">
        <v>91.88</v>
      </c>
      <c r="R4568" s="6">
        <v>5.5</v>
      </c>
      <c r="S4568" s="5">
        <v>-73.900000000000006</v>
      </c>
      <c r="T4568" s="7">
        <v>27.536000000000001</v>
      </c>
      <c r="U4568" s="5">
        <v>11</v>
      </c>
      <c r="V4568" s="6">
        <v>-3.9</v>
      </c>
      <c r="W4568" s="7">
        <v>3.9380000000000002</v>
      </c>
      <c r="X4568" s="4">
        <v>4</v>
      </c>
      <c r="Y4568" s="6">
        <v>4.75</v>
      </c>
      <c r="Z4568" s="7">
        <v>4.8129999999999997</v>
      </c>
      <c r="AA4568" s="6">
        <v>18.97</v>
      </c>
      <c r="AB4568" s="7">
        <v>13.901999999999999</v>
      </c>
      <c r="AC4568" s="6">
        <v>107.48</v>
      </c>
    </row>
    <row r="4569" spans="1:29" ht="143" x14ac:dyDescent="0.15">
      <c r="A4569" s="3">
        <f>DATE(1999,4,19)</f>
        <v>36269</v>
      </c>
      <c r="B4569" s="3">
        <f>DATE(1999,8,19)</f>
        <v>36391</v>
      </c>
      <c r="C4569" s="2" t="s">
        <v>95</v>
      </c>
      <c r="D4569" s="2" t="s">
        <v>7010</v>
      </c>
      <c r="E4569" s="2" t="s">
        <v>7011</v>
      </c>
      <c r="F4569" s="4">
        <v>3523</v>
      </c>
      <c r="G4569" s="2" t="s">
        <v>300</v>
      </c>
      <c r="H4569" s="2" t="s">
        <v>34</v>
      </c>
      <c r="I4569" s="2" t="s">
        <v>51</v>
      </c>
      <c r="J4569" s="2" t="s">
        <v>52</v>
      </c>
      <c r="K4569" s="2" t="s">
        <v>53</v>
      </c>
      <c r="L4569" s="2" t="s">
        <v>34</v>
      </c>
      <c r="M4569" s="2"/>
      <c r="N4569" s="2"/>
      <c r="O4569" s="2"/>
      <c r="P4569" s="2" t="s">
        <v>14191</v>
      </c>
      <c r="Q4569" s="6">
        <v>96</v>
      </c>
      <c r="R4569" s="6">
        <v>30</v>
      </c>
      <c r="S4569" s="5">
        <v>58.4</v>
      </c>
      <c r="T4569" s="7">
        <v>136.72300000000001</v>
      </c>
      <c r="U4569" s="5">
        <v>9.6999999999999993</v>
      </c>
      <c r="V4569" s="6">
        <v>1.52</v>
      </c>
      <c r="W4569" s="6">
        <v>27.75</v>
      </c>
      <c r="X4569" s="6">
        <v>27.68</v>
      </c>
      <c r="Y4569" s="7">
        <v>28.125</v>
      </c>
      <c r="Z4569" s="9">
        <v>27.9375</v>
      </c>
      <c r="AA4569" s="6">
        <v>37.06</v>
      </c>
      <c r="AB4569" s="7">
        <v>11.984999999999999</v>
      </c>
      <c r="AC4569" s="2"/>
    </row>
    <row r="4570" spans="1:29" ht="104" x14ac:dyDescent="0.15">
      <c r="A4570" s="3">
        <f>DATE(1999,4,19)</f>
        <v>36269</v>
      </c>
      <c r="B4570" s="2"/>
      <c r="C4570" s="2" t="s">
        <v>30</v>
      </c>
      <c r="D4570" s="2" t="s">
        <v>14076</v>
      </c>
      <c r="E4570" s="2" t="s">
        <v>229</v>
      </c>
      <c r="F4570" s="4">
        <v>5812</v>
      </c>
      <c r="G4570" s="2" t="s">
        <v>230</v>
      </c>
      <c r="H4570" s="2" t="s">
        <v>34</v>
      </c>
      <c r="I4570" s="2" t="s">
        <v>14077</v>
      </c>
      <c r="J4570" s="2" t="s">
        <v>14078</v>
      </c>
      <c r="K4570" s="2" t="s">
        <v>223</v>
      </c>
      <c r="L4570" s="2" t="s">
        <v>902</v>
      </c>
      <c r="M4570" s="2"/>
      <c r="N4570" s="2"/>
      <c r="O4570" s="2"/>
      <c r="P4570" s="2" t="s">
        <v>14192</v>
      </c>
      <c r="Q4570" s="2"/>
      <c r="R4570" s="2"/>
      <c r="S4570" s="5">
        <v>-18.899999999999999</v>
      </c>
      <c r="T4570" s="7">
        <v>-6.077</v>
      </c>
      <c r="U4570" s="5">
        <v>49.7</v>
      </c>
      <c r="V4570" s="6">
        <v>-1180</v>
      </c>
      <c r="W4570" s="6">
        <v>10.75</v>
      </c>
      <c r="X4570" s="7">
        <v>10.813000000000001</v>
      </c>
      <c r="Y4570" s="7">
        <v>10.813000000000001</v>
      </c>
      <c r="Z4570" s="7">
        <v>10.813000000000001</v>
      </c>
      <c r="AA4570" s="6">
        <v>0.71</v>
      </c>
      <c r="AB4570" s="2" t="s">
        <v>86</v>
      </c>
      <c r="AC4570" s="2"/>
    </row>
    <row r="4571" spans="1:29" ht="117" x14ac:dyDescent="0.15">
      <c r="A4571" s="3">
        <f>DATE(1999,4,19)</f>
        <v>36269</v>
      </c>
      <c r="B4571" s="3">
        <f>DATE(1999,11,1)</f>
        <v>36465</v>
      </c>
      <c r="C4571" s="2" t="s">
        <v>95</v>
      </c>
      <c r="D4571" s="2" t="s">
        <v>14193</v>
      </c>
      <c r="E4571" s="2" t="s">
        <v>672</v>
      </c>
      <c r="F4571" s="4">
        <v>6022</v>
      </c>
      <c r="G4571" s="2" t="s">
        <v>37</v>
      </c>
      <c r="H4571" s="2" t="s">
        <v>34</v>
      </c>
      <c r="I4571" s="2" t="s">
        <v>9187</v>
      </c>
      <c r="J4571" s="2" t="s">
        <v>2337</v>
      </c>
      <c r="K4571" s="2" t="s">
        <v>37</v>
      </c>
      <c r="L4571" s="2" t="s">
        <v>34</v>
      </c>
      <c r="M4571" s="7">
        <v>925.37800000000004</v>
      </c>
      <c r="N4571" s="7">
        <v>32.625</v>
      </c>
      <c r="O4571" s="7">
        <v>32.188000000000002</v>
      </c>
      <c r="P4571" s="2" t="s">
        <v>14194</v>
      </c>
      <c r="Q4571" s="6">
        <v>100</v>
      </c>
      <c r="R4571" s="6">
        <v>50.82</v>
      </c>
      <c r="S4571" s="5">
        <v>36.700000000000003</v>
      </c>
      <c r="T4571" s="2"/>
      <c r="U4571" s="5">
        <v>15.6</v>
      </c>
      <c r="V4571" s="6">
        <v>2.21</v>
      </c>
      <c r="W4571" s="7">
        <v>31.937999999999999</v>
      </c>
      <c r="X4571" s="7">
        <v>32.375</v>
      </c>
      <c r="Y4571" s="7">
        <v>39.375</v>
      </c>
      <c r="Z4571" s="9">
        <v>40.0625</v>
      </c>
      <c r="AA4571" s="6">
        <v>6.4</v>
      </c>
      <c r="AB4571" s="7">
        <v>19.096</v>
      </c>
      <c r="AC4571" s="2"/>
    </row>
    <row r="4572" spans="1:29" ht="91" x14ac:dyDescent="0.15">
      <c r="A4572" s="3">
        <f>DATE(1999,4,20)</f>
        <v>36270</v>
      </c>
      <c r="B4572" s="3">
        <f>DATE(1999,7,28)</f>
        <v>36369</v>
      </c>
      <c r="C4572" s="2" t="s">
        <v>95</v>
      </c>
      <c r="D4572" s="2" t="s">
        <v>14195</v>
      </c>
      <c r="E4572" s="2" t="s">
        <v>14196</v>
      </c>
      <c r="F4572" s="4">
        <v>6159</v>
      </c>
      <c r="G4572" s="2" t="s">
        <v>370</v>
      </c>
      <c r="H4572" s="2" t="s">
        <v>34</v>
      </c>
      <c r="I4572" s="2" t="s">
        <v>14197</v>
      </c>
      <c r="J4572" s="2" t="s">
        <v>14198</v>
      </c>
      <c r="K4572" s="2" t="s">
        <v>370</v>
      </c>
      <c r="L4572" s="2" t="s">
        <v>34</v>
      </c>
      <c r="M4572" s="12">
        <v>2122.7660000000001</v>
      </c>
      <c r="N4572" s="7">
        <v>27.625</v>
      </c>
      <c r="O4572" s="7">
        <v>27.875</v>
      </c>
      <c r="P4572" s="2" t="s">
        <v>14199</v>
      </c>
      <c r="Q4572" s="6">
        <v>100</v>
      </c>
      <c r="R4572" s="6">
        <v>35</v>
      </c>
      <c r="S4572" s="5">
        <v>19.8</v>
      </c>
      <c r="T4572" s="7">
        <v>28.667000000000002</v>
      </c>
      <c r="U4572" s="5">
        <v>18.5</v>
      </c>
      <c r="V4572" s="6">
        <v>1.52</v>
      </c>
      <c r="W4572" s="4">
        <v>28</v>
      </c>
      <c r="X4572" s="5">
        <v>28.5</v>
      </c>
      <c r="Y4572" s="7">
        <v>33.313000000000002</v>
      </c>
      <c r="Z4572" s="7">
        <v>33.625</v>
      </c>
      <c r="AA4572" s="6">
        <v>13.42</v>
      </c>
      <c r="AB4572" s="7">
        <v>24.329000000000001</v>
      </c>
      <c r="AC4572" s="5">
        <v>873</v>
      </c>
    </row>
    <row r="4573" spans="1:29" ht="182" x14ac:dyDescent="0.15">
      <c r="A4573" s="3">
        <f>DATE(1999,4,21)</f>
        <v>36271</v>
      </c>
      <c r="B4573" s="3">
        <f>DATE(1999,11,11)</f>
        <v>36475</v>
      </c>
      <c r="C4573" s="2" t="s">
        <v>95</v>
      </c>
      <c r="D4573" s="2" t="s">
        <v>14200</v>
      </c>
      <c r="E4573" s="2" t="s">
        <v>14201</v>
      </c>
      <c r="F4573" s="4">
        <v>7372</v>
      </c>
      <c r="G4573" s="2" t="s">
        <v>551</v>
      </c>
      <c r="H4573" s="2" t="s">
        <v>34</v>
      </c>
      <c r="I4573" s="2" t="s">
        <v>14202</v>
      </c>
      <c r="J4573" s="2" t="s">
        <v>14203</v>
      </c>
      <c r="K4573" s="2" t="s">
        <v>223</v>
      </c>
      <c r="L4573" s="2" t="s">
        <v>34</v>
      </c>
      <c r="M4573" s="12">
        <v>2298.5509999999999</v>
      </c>
      <c r="N4573" s="7">
        <v>47.438000000000002</v>
      </c>
      <c r="O4573" s="4">
        <v>51</v>
      </c>
      <c r="P4573" s="2" t="s">
        <v>14204</v>
      </c>
      <c r="Q4573" s="6">
        <v>100</v>
      </c>
      <c r="R4573" s="6">
        <v>30.16</v>
      </c>
      <c r="S4573" s="5">
        <v>-0.9</v>
      </c>
      <c r="T4573" s="7">
        <v>11.955</v>
      </c>
      <c r="U4573" s="5">
        <v>4.8</v>
      </c>
      <c r="V4573" s="6">
        <v>-0.28000000000000003</v>
      </c>
      <c r="W4573" s="7">
        <v>20.875</v>
      </c>
      <c r="X4573" s="7">
        <v>22.062999999999999</v>
      </c>
      <c r="Y4573" s="4">
        <v>24</v>
      </c>
      <c r="Z4573" s="4">
        <v>25</v>
      </c>
      <c r="AA4573" s="6">
        <v>12.95</v>
      </c>
      <c r="AB4573" s="7">
        <v>135.14400000000001</v>
      </c>
      <c r="AC4573" s="6">
        <v>36.82</v>
      </c>
    </row>
    <row r="4574" spans="1:29" ht="39" x14ac:dyDescent="0.15">
      <c r="A4574" s="3">
        <f>DATE(1999,4,21)</f>
        <v>36271</v>
      </c>
      <c r="B4574" s="3">
        <f>DATE(1999,7,23)</f>
        <v>36364</v>
      </c>
      <c r="C4574" s="2" t="s">
        <v>95</v>
      </c>
      <c r="D4574" s="2" t="s">
        <v>14205</v>
      </c>
      <c r="E4574" s="2" t="s">
        <v>14206</v>
      </c>
      <c r="F4574" s="4">
        <v>3613</v>
      </c>
      <c r="G4574" s="2" t="s">
        <v>137</v>
      </c>
      <c r="H4574" s="2" t="s">
        <v>34</v>
      </c>
      <c r="I4574" s="2" t="s">
        <v>14207</v>
      </c>
      <c r="J4574" s="2" t="s">
        <v>781</v>
      </c>
      <c r="K4574" s="2" t="s">
        <v>551</v>
      </c>
      <c r="L4574" s="2" t="s">
        <v>926</v>
      </c>
      <c r="M4574" s="2"/>
      <c r="N4574" s="2"/>
      <c r="O4574" s="2"/>
      <c r="P4574" s="2" t="s">
        <v>14208</v>
      </c>
      <c r="Q4574" s="6">
        <v>100</v>
      </c>
      <c r="R4574" s="6">
        <v>8</v>
      </c>
      <c r="S4574" s="5">
        <v>-0.3</v>
      </c>
      <c r="T4574" s="7">
        <v>1.5249999999999999</v>
      </c>
      <c r="U4574" s="5">
        <v>1.3</v>
      </c>
      <c r="V4574" s="6">
        <v>-0.02</v>
      </c>
      <c r="W4574" s="6">
        <v>5.75</v>
      </c>
      <c r="X4574" s="7">
        <v>5.9379999999999997</v>
      </c>
      <c r="Y4574" s="7">
        <v>6.9379999999999997</v>
      </c>
      <c r="Z4574" s="7">
        <v>6.9379999999999997</v>
      </c>
      <c r="AA4574" s="6">
        <v>22.21</v>
      </c>
      <c r="AB4574" s="7">
        <v>927.40099999999995</v>
      </c>
      <c r="AC4574" s="6">
        <v>15.65</v>
      </c>
    </row>
    <row r="4575" spans="1:29" ht="52" x14ac:dyDescent="0.15">
      <c r="A4575" s="3">
        <f>DATE(1999,4,21)</f>
        <v>36271</v>
      </c>
      <c r="B4575" s="2"/>
      <c r="C4575" s="2" t="s">
        <v>30</v>
      </c>
      <c r="D4575" s="2" t="s">
        <v>13625</v>
      </c>
      <c r="E4575" s="2" t="s">
        <v>13626</v>
      </c>
      <c r="F4575" s="4">
        <v>2514</v>
      </c>
      <c r="G4575" s="2" t="s">
        <v>250</v>
      </c>
      <c r="H4575" s="2" t="s">
        <v>34</v>
      </c>
      <c r="I4575" s="2" t="s">
        <v>14209</v>
      </c>
      <c r="J4575" s="2" t="s">
        <v>244</v>
      </c>
      <c r="K4575" s="2" t="s">
        <v>53</v>
      </c>
      <c r="L4575" s="2" t="s">
        <v>34</v>
      </c>
      <c r="M4575" s="2"/>
      <c r="N4575" s="2"/>
      <c r="O4575" s="2"/>
      <c r="P4575" s="2" t="s">
        <v>14210</v>
      </c>
      <c r="Q4575" s="2"/>
      <c r="R4575" s="6">
        <v>34</v>
      </c>
      <c r="S4575" s="5">
        <v>19.7</v>
      </c>
      <c r="T4575" s="7">
        <v>34.832999999999998</v>
      </c>
      <c r="U4575" s="5">
        <v>9.4</v>
      </c>
      <c r="V4575" s="6">
        <v>2.6</v>
      </c>
      <c r="W4575" s="6">
        <v>29.75</v>
      </c>
      <c r="X4575" s="4">
        <v>31</v>
      </c>
      <c r="Y4575" s="4">
        <v>31</v>
      </c>
      <c r="Z4575" s="4">
        <v>31</v>
      </c>
      <c r="AA4575" s="6">
        <v>7.33</v>
      </c>
      <c r="AB4575" s="7">
        <v>8.3249999999999993</v>
      </c>
      <c r="AC4575" s="2"/>
    </row>
    <row r="4576" spans="1:29" ht="104" x14ac:dyDescent="0.15">
      <c r="A4576" s="3">
        <f>DATE(1999,4,22)</f>
        <v>36272</v>
      </c>
      <c r="B4576" s="3">
        <f>DATE(1999,10,18)</f>
        <v>36451</v>
      </c>
      <c r="C4576" s="2" t="s">
        <v>95</v>
      </c>
      <c r="D4576" s="2" t="s">
        <v>2046</v>
      </c>
      <c r="E4576" s="2" t="s">
        <v>2047</v>
      </c>
      <c r="F4576" s="4">
        <v>2095</v>
      </c>
      <c r="G4576" s="2" t="s">
        <v>577</v>
      </c>
      <c r="H4576" s="2" t="s">
        <v>34</v>
      </c>
      <c r="I4576" s="2" t="s">
        <v>14211</v>
      </c>
      <c r="J4576" s="2" t="s">
        <v>14212</v>
      </c>
      <c r="K4576" s="2" t="s">
        <v>577</v>
      </c>
      <c r="L4576" s="2" t="s">
        <v>34</v>
      </c>
      <c r="M4576" s="12">
        <v>23940.802</v>
      </c>
      <c r="N4576" s="4">
        <v>24</v>
      </c>
      <c r="O4576" s="5">
        <v>23.5</v>
      </c>
      <c r="P4576" s="2" t="s">
        <v>14213</v>
      </c>
      <c r="Q4576" s="6">
        <v>100</v>
      </c>
      <c r="R4576" s="6">
        <v>11</v>
      </c>
      <c r="S4576" s="5">
        <v>5.5</v>
      </c>
      <c r="T4576" s="7">
        <v>26.088000000000001</v>
      </c>
      <c r="U4576" s="5">
        <v>7.2</v>
      </c>
      <c r="V4576" s="6">
        <v>0.45</v>
      </c>
      <c r="W4576" s="6">
        <v>6.75</v>
      </c>
      <c r="X4576" s="4">
        <v>6</v>
      </c>
      <c r="Y4576" s="7">
        <v>6.375</v>
      </c>
      <c r="Z4576" s="7">
        <v>9.484</v>
      </c>
      <c r="AA4576" s="6">
        <v>10.83</v>
      </c>
      <c r="AB4576" s="7">
        <v>21.021999999999998</v>
      </c>
      <c r="AC4576" s="5">
        <v>232</v>
      </c>
    </row>
    <row r="4577" spans="1:29" ht="104" x14ac:dyDescent="0.15">
      <c r="A4577" s="3">
        <f>DATE(1999,4,22)</f>
        <v>36272</v>
      </c>
      <c r="B4577" s="3">
        <f>DATE(1999,7,14)</f>
        <v>36355</v>
      </c>
      <c r="C4577" s="2" t="s">
        <v>95</v>
      </c>
      <c r="D4577" s="2" t="s">
        <v>4035</v>
      </c>
      <c r="E4577" s="2" t="s">
        <v>4036</v>
      </c>
      <c r="F4577" s="4">
        <v>3589</v>
      </c>
      <c r="G4577" s="2" t="s">
        <v>300</v>
      </c>
      <c r="H4577" s="2" t="s">
        <v>34</v>
      </c>
      <c r="I4577" s="2" t="s">
        <v>315</v>
      </c>
      <c r="J4577" s="2" t="s">
        <v>316</v>
      </c>
      <c r="K4577" s="2" t="s">
        <v>226</v>
      </c>
      <c r="L4577" s="2" t="s">
        <v>34</v>
      </c>
      <c r="M4577" s="12">
        <v>6798.8249999999998</v>
      </c>
      <c r="N4577" s="5">
        <v>63.5</v>
      </c>
      <c r="O4577" s="7">
        <v>64.125</v>
      </c>
      <c r="P4577" s="2" t="s">
        <v>14214</v>
      </c>
      <c r="Q4577" s="6">
        <v>100</v>
      </c>
      <c r="R4577" s="6">
        <v>18.61</v>
      </c>
      <c r="S4577" s="5">
        <v>9.1</v>
      </c>
      <c r="T4577" s="7">
        <v>25.510999999999999</v>
      </c>
      <c r="U4577" s="5">
        <v>2.2999999999999998</v>
      </c>
      <c r="V4577" s="6">
        <v>0.51</v>
      </c>
      <c r="W4577" s="6">
        <v>10.25</v>
      </c>
      <c r="X4577" s="5">
        <v>10.5</v>
      </c>
      <c r="Y4577" s="7">
        <v>17.375</v>
      </c>
      <c r="Z4577" s="7">
        <v>18.125</v>
      </c>
      <c r="AA4577" s="6">
        <v>17.91</v>
      </c>
      <c r="AB4577" s="7">
        <v>18.734999999999999</v>
      </c>
      <c r="AC4577" s="6">
        <v>68.180000000000007</v>
      </c>
    </row>
    <row r="4578" spans="1:29" ht="338" x14ac:dyDescent="0.15">
      <c r="A4578" s="3">
        <f>DATE(1999,4,22)</f>
        <v>36272</v>
      </c>
      <c r="B4578" s="3">
        <f>DATE(2000,6,15)</f>
        <v>36692</v>
      </c>
      <c r="C4578" s="2" t="s">
        <v>95</v>
      </c>
      <c r="D4578" s="2" t="s">
        <v>14059</v>
      </c>
      <c r="E4578" s="2" t="s">
        <v>10833</v>
      </c>
      <c r="F4578" s="4">
        <v>4841</v>
      </c>
      <c r="G4578" s="2" t="s">
        <v>45</v>
      </c>
      <c r="H4578" s="2" t="s">
        <v>34</v>
      </c>
      <c r="I4578" s="2" t="s">
        <v>5691</v>
      </c>
      <c r="J4578" s="2" t="s">
        <v>5692</v>
      </c>
      <c r="K4578" s="2" t="s">
        <v>63</v>
      </c>
      <c r="L4578" s="2" t="s">
        <v>34</v>
      </c>
      <c r="M4578" s="12">
        <v>95322.623000000007</v>
      </c>
      <c r="N4578" s="6">
        <v>56.75</v>
      </c>
      <c r="O4578" s="7">
        <v>53.375</v>
      </c>
      <c r="P4578" s="2" t="s">
        <v>14215</v>
      </c>
      <c r="Q4578" s="6">
        <v>100</v>
      </c>
      <c r="R4578" s="6">
        <v>68.099999999999994</v>
      </c>
      <c r="S4578" s="8">
        <v>4783</v>
      </c>
      <c r="T4578" s="5">
        <v>905</v>
      </c>
      <c r="U4578" s="5">
        <v>28</v>
      </c>
      <c r="V4578" s="6">
        <v>7.31</v>
      </c>
      <c r="W4578" s="6">
        <v>60.25</v>
      </c>
      <c r="X4578" s="6">
        <v>60.75</v>
      </c>
      <c r="Y4578" s="5">
        <v>68.5</v>
      </c>
      <c r="Z4578" s="5">
        <v>67.5</v>
      </c>
      <c r="AA4578" s="6">
        <v>603.63</v>
      </c>
      <c r="AB4578" s="2" t="s">
        <v>86</v>
      </c>
      <c r="AC4578" s="5">
        <v>102</v>
      </c>
    </row>
    <row r="4579" spans="1:29" ht="91" x14ac:dyDescent="0.15">
      <c r="A4579" s="3">
        <f>DATE(1999,4,23)</f>
        <v>36273</v>
      </c>
      <c r="B4579" s="3">
        <f>DATE(2000,2,8)</f>
        <v>36564</v>
      </c>
      <c r="C4579" s="2" t="s">
        <v>95</v>
      </c>
      <c r="D4579" s="2" t="s">
        <v>14216</v>
      </c>
      <c r="E4579" s="2" t="s">
        <v>11196</v>
      </c>
      <c r="F4579" s="4">
        <v>4924</v>
      </c>
      <c r="G4579" s="2" t="s">
        <v>439</v>
      </c>
      <c r="H4579" s="2" t="s">
        <v>34</v>
      </c>
      <c r="I4579" s="2" t="s">
        <v>14217</v>
      </c>
      <c r="J4579" s="2" t="s">
        <v>1888</v>
      </c>
      <c r="K4579" s="2" t="s">
        <v>439</v>
      </c>
      <c r="L4579" s="2" t="s">
        <v>34</v>
      </c>
      <c r="M4579" s="12">
        <v>1750.779</v>
      </c>
      <c r="N4579" s="4">
        <v>25</v>
      </c>
      <c r="O4579" s="7">
        <v>25.375</v>
      </c>
      <c r="P4579" s="2" t="s">
        <v>14218</v>
      </c>
      <c r="Q4579" s="6">
        <v>100</v>
      </c>
      <c r="R4579" s="6">
        <v>42</v>
      </c>
      <c r="S4579" s="5">
        <v>19</v>
      </c>
      <c r="T4579" s="7">
        <v>54.323</v>
      </c>
      <c r="U4579" s="5">
        <v>17.2</v>
      </c>
      <c r="V4579" s="6">
        <v>1.88</v>
      </c>
      <c r="W4579" s="4">
        <v>28</v>
      </c>
      <c r="X4579" s="7">
        <v>31.312999999999999</v>
      </c>
      <c r="Y4579" s="6">
        <v>35.75</v>
      </c>
      <c r="Z4579" s="9">
        <v>36.8125</v>
      </c>
      <c r="AA4579" s="6">
        <v>10.35</v>
      </c>
      <c r="AB4579" s="7">
        <v>16.431999999999999</v>
      </c>
      <c r="AC4579" s="6">
        <v>953.22</v>
      </c>
    </row>
    <row r="4580" spans="1:29" ht="52" x14ac:dyDescent="0.15">
      <c r="A4580" s="3">
        <f>DATE(1999,4,26)</f>
        <v>36276</v>
      </c>
      <c r="B4580" s="3">
        <f>DATE(1999,8,19)</f>
        <v>36391</v>
      </c>
      <c r="C4580" s="2" t="s">
        <v>95</v>
      </c>
      <c r="D4580" s="2" t="s">
        <v>14019</v>
      </c>
      <c r="E4580" s="2" t="s">
        <v>3607</v>
      </c>
      <c r="F4580" s="4">
        <v>3559</v>
      </c>
      <c r="G4580" s="2" t="s">
        <v>300</v>
      </c>
      <c r="H4580" s="2" t="s">
        <v>34</v>
      </c>
      <c r="I4580" s="2" t="s">
        <v>14219</v>
      </c>
      <c r="J4580" s="2" t="s">
        <v>14220</v>
      </c>
      <c r="K4580" s="2" t="s">
        <v>300</v>
      </c>
      <c r="L4580" s="2" t="s">
        <v>34</v>
      </c>
      <c r="M4580" s="2"/>
      <c r="N4580" s="2"/>
      <c r="O4580" s="2"/>
      <c r="P4580" s="2" t="s">
        <v>14221</v>
      </c>
      <c r="Q4580" s="6">
        <v>100</v>
      </c>
      <c r="R4580" s="6">
        <v>10</v>
      </c>
      <c r="S4580" s="5">
        <v>-0.5</v>
      </c>
      <c r="T4580" s="7">
        <v>5.7969999999999997</v>
      </c>
      <c r="U4580" s="5">
        <v>12.1</v>
      </c>
      <c r="V4580" s="6">
        <v>-0.09</v>
      </c>
      <c r="W4580" s="7">
        <v>5.625</v>
      </c>
      <c r="X4580" s="7">
        <v>5.9690000000000003</v>
      </c>
      <c r="Y4580" s="7">
        <v>9.1880000000000006</v>
      </c>
      <c r="Z4580" s="7">
        <v>9.3130000000000006</v>
      </c>
      <c r="AA4580" s="6">
        <v>5.7</v>
      </c>
      <c r="AB4580" s="7">
        <v>34.64</v>
      </c>
      <c r="AC4580" s="2"/>
    </row>
    <row r="4581" spans="1:29" ht="130" x14ac:dyDescent="0.15">
      <c r="A4581" s="3">
        <f>DATE(1999,4,26)</f>
        <v>36276</v>
      </c>
      <c r="B4581" s="3">
        <f>DATE(1999,10,1)</f>
        <v>36434</v>
      </c>
      <c r="C4581" s="2" t="s">
        <v>95</v>
      </c>
      <c r="D4581" s="2" t="s">
        <v>14222</v>
      </c>
      <c r="E4581" s="2" t="s">
        <v>367</v>
      </c>
      <c r="F4581" s="4">
        <v>6211</v>
      </c>
      <c r="G4581" s="2" t="s">
        <v>53</v>
      </c>
      <c r="H4581" s="2" t="s">
        <v>34</v>
      </c>
      <c r="I4581" s="2" t="s">
        <v>2897</v>
      </c>
      <c r="J4581" s="2" t="s">
        <v>2898</v>
      </c>
      <c r="K4581" s="2" t="s">
        <v>37</v>
      </c>
      <c r="L4581" s="2" t="s">
        <v>34</v>
      </c>
      <c r="M4581" s="12">
        <v>54120.014000000003</v>
      </c>
      <c r="N4581" s="7">
        <v>53.563000000000002</v>
      </c>
      <c r="O4581" s="7">
        <v>54.938000000000002</v>
      </c>
      <c r="P4581" s="2" t="s">
        <v>14223</v>
      </c>
      <c r="Q4581" s="6">
        <v>100</v>
      </c>
      <c r="R4581" s="6">
        <v>31</v>
      </c>
      <c r="S4581" s="5">
        <v>69.2</v>
      </c>
      <c r="T4581" s="7">
        <v>146.91300000000001</v>
      </c>
      <c r="U4581" s="5">
        <v>11.4</v>
      </c>
      <c r="V4581" s="7">
        <v>1.9450000000000001</v>
      </c>
      <c r="W4581" s="6">
        <v>23.12</v>
      </c>
      <c r="X4581" s="7">
        <v>24.125</v>
      </c>
      <c r="Y4581" s="7">
        <v>28.437999999999999</v>
      </c>
      <c r="Z4581" s="4">
        <v>29</v>
      </c>
      <c r="AA4581" s="6">
        <v>34.799999999999997</v>
      </c>
      <c r="AB4581" s="7">
        <v>20.288</v>
      </c>
      <c r="AC4581" s="2"/>
    </row>
    <row r="4582" spans="1:29" ht="91" x14ac:dyDescent="0.15">
      <c r="A4582" s="3">
        <f>DATE(1999,4,26)</f>
        <v>36276</v>
      </c>
      <c r="B4582" s="3">
        <f>DATE(1999,6,30)</f>
        <v>36341</v>
      </c>
      <c r="C4582" s="2" t="s">
        <v>95</v>
      </c>
      <c r="D4582" s="2" t="s">
        <v>7280</v>
      </c>
      <c r="E4582" s="2" t="s">
        <v>7281</v>
      </c>
      <c r="F4582" s="4">
        <v>3577</v>
      </c>
      <c r="G4582" s="2" t="s">
        <v>50</v>
      </c>
      <c r="H4582" s="2" t="s">
        <v>34</v>
      </c>
      <c r="I4582" s="2" t="s">
        <v>11975</v>
      </c>
      <c r="J4582" s="2" t="s">
        <v>11976</v>
      </c>
      <c r="K4582" s="2" t="s">
        <v>341</v>
      </c>
      <c r="L4582" s="2" t="s">
        <v>303</v>
      </c>
      <c r="M4582" s="2"/>
      <c r="N4582" s="2"/>
      <c r="O4582" s="2"/>
      <c r="P4582" s="2" t="s">
        <v>14224</v>
      </c>
      <c r="Q4582" s="6">
        <v>100</v>
      </c>
      <c r="R4582" s="6">
        <v>35</v>
      </c>
      <c r="S4582" s="5">
        <v>35.200000000000003</v>
      </c>
      <c r="T4582" s="7">
        <v>62.786000000000001</v>
      </c>
      <c r="U4582" s="5">
        <v>5.0999999999999996</v>
      </c>
      <c r="V4582" s="6">
        <v>0.35</v>
      </c>
      <c r="W4582" s="6">
        <v>22.56</v>
      </c>
      <c r="X4582" s="5">
        <v>24.5</v>
      </c>
      <c r="Y4582" s="7">
        <v>21.625</v>
      </c>
      <c r="Z4582" s="7">
        <v>21.125</v>
      </c>
      <c r="AA4582" s="6">
        <v>111.24</v>
      </c>
      <c r="AB4582" s="7">
        <v>95.387</v>
      </c>
      <c r="AC4582" s="2"/>
    </row>
    <row r="4583" spans="1:29" ht="26" x14ac:dyDescent="0.15">
      <c r="A4583" s="3">
        <f>DATE(1999,4,26)</f>
        <v>36276</v>
      </c>
      <c r="B4583" s="2"/>
      <c r="C4583" s="2" t="s">
        <v>7330</v>
      </c>
      <c r="D4583" s="2" t="s">
        <v>14225</v>
      </c>
      <c r="E4583" s="2" t="s">
        <v>14226</v>
      </c>
      <c r="F4583" s="4">
        <v>3674</v>
      </c>
      <c r="G4583" s="2" t="s">
        <v>137</v>
      </c>
      <c r="H4583" s="2" t="s">
        <v>34</v>
      </c>
      <c r="I4583" s="2" t="s">
        <v>51</v>
      </c>
      <c r="J4583" s="2" t="s">
        <v>52</v>
      </c>
      <c r="K4583" s="2" t="s">
        <v>53</v>
      </c>
      <c r="L4583" s="2" t="s">
        <v>1086</v>
      </c>
      <c r="M4583" s="2"/>
      <c r="N4583" s="2"/>
      <c r="O4583" s="2"/>
      <c r="P4583" s="2" t="s">
        <v>14227</v>
      </c>
      <c r="Q4583" s="2"/>
      <c r="R4583" s="2"/>
      <c r="S4583" s="2"/>
      <c r="T4583" s="2"/>
      <c r="U4583" s="2"/>
      <c r="V4583" s="2"/>
      <c r="W4583" s="7">
        <v>1.875</v>
      </c>
      <c r="X4583" s="5">
        <v>2.5</v>
      </c>
      <c r="Y4583" s="6">
        <v>2.75</v>
      </c>
      <c r="Z4583" s="5">
        <v>2.5</v>
      </c>
      <c r="AA4583" s="2"/>
      <c r="AB4583" s="2" t="s">
        <v>47</v>
      </c>
      <c r="AC4583" s="2"/>
    </row>
    <row r="4584" spans="1:29" ht="104" x14ac:dyDescent="0.15">
      <c r="A4584" s="3">
        <f>DATE(1999,4,26)</f>
        <v>36276</v>
      </c>
      <c r="B4584" s="3">
        <f>DATE(1999,7,26)</f>
        <v>36367</v>
      </c>
      <c r="C4584" s="2" t="s">
        <v>95</v>
      </c>
      <c r="D4584" s="2" t="s">
        <v>14228</v>
      </c>
      <c r="E4584" s="2" t="s">
        <v>10569</v>
      </c>
      <c r="F4584" s="4">
        <v>1311</v>
      </c>
      <c r="G4584" s="2" t="s">
        <v>148</v>
      </c>
      <c r="H4584" s="2" t="s">
        <v>34</v>
      </c>
      <c r="I4584" s="2" t="s">
        <v>5966</v>
      </c>
      <c r="J4584" s="2" t="s">
        <v>5967</v>
      </c>
      <c r="K4584" s="2" t="s">
        <v>148</v>
      </c>
      <c r="L4584" s="2" t="s">
        <v>34</v>
      </c>
      <c r="M4584" s="7">
        <v>166.47900000000001</v>
      </c>
      <c r="N4584" s="7">
        <v>9.8130000000000006</v>
      </c>
      <c r="O4584" s="7">
        <v>10.125</v>
      </c>
      <c r="P4584" s="2" t="s">
        <v>14229</v>
      </c>
      <c r="Q4584" s="6">
        <v>100</v>
      </c>
      <c r="R4584" s="6">
        <v>2.83</v>
      </c>
      <c r="S4584" s="5">
        <v>1.4</v>
      </c>
      <c r="T4584" s="7">
        <v>6.3970000000000002</v>
      </c>
      <c r="U4584" s="5">
        <v>1.8</v>
      </c>
      <c r="V4584" s="7">
        <v>0.29899999999999999</v>
      </c>
      <c r="W4584" s="7">
        <v>1.125</v>
      </c>
      <c r="X4584" s="7">
        <v>1.0629999999999999</v>
      </c>
      <c r="Y4584" s="7">
        <v>1.125</v>
      </c>
      <c r="Z4584" s="7">
        <v>2.3130000000000002</v>
      </c>
      <c r="AA4584" s="6">
        <v>4.93</v>
      </c>
      <c r="AB4584" s="7">
        <v>5.0289999999999999</v>
      </c>
      <c r="AC4584" s="6">
        <v>20.32</v>
      </c>
    </row>
    <row r="4585" spans="1:29" ht="52" x14ac:dyDescent="0.15">
      <c r="A4585" s="3">
        <f>DATE(1999,4,27)</f>
        <v>36277</v>
      </c>
      <c r="B4585" s="3">
        <f>DATE(1999,9,23)</f>
        <v>36426</v>
      </c>
      <c r="C4585" s="2" t="s">
        <v>95</v>
      </c>
      <c r="D4585" s="2" t="s">
        <v>8252</v>
      </c>
      <c r="E4585" s="2" t="s">
        <v>1893</v>
      </c>
      <c r="F4585" s="4">
        <v>4841</v>
      </c>
      <c r="G4585" s="2" t="s">
        <v>45</v>
      </c>
      <c r="H4585" s="2" t="s">
        <v>34</v>
      </c>
      <c r="I4585" s="2" t="s">
        <v>14230</v>
      </c>
      <c r="J4585" s="2" t="s">
        <v>14231</v>
      </c>
      <c r="K4585" s="2" t="s">
        <v>63</v>
      </c>
      <c r="L4585" s="2" t="s">
        <v>34</v>
      </c>
      <c r="M4585" s="12">
        <v>8435.0049999999992</v>
      </c>
      <c r="N4585" s="7">
        <v>106.375</v>
      </c>
      <c r="O4585" s="7">
        <v>105.563</v>
      </c>
      <c r="P4585" s="2" t="s">
        <v>14232</v>
      </c>
      <c r="Q4585" s="6">
        <v>100</v>
      </c>
      <c r="R4585" s="6">
        <v>6.5</v>
      </c>
      <c r="S4585" s="5">
        <v>-129.6</v>
      </c>
      <c r="T4585" s="6">
        <v>-3.07</v>
      </c>
      <c r="U4585" s="5">
        <v>-5.4</v>
      </c>
      <c r="V4585" s="6">
        <v>-5.04</v>
      </c>
      <c r="W4585" s="7">
        <v>5.9059999999999997</v>
      </c>
      <c r="X4585" s="6">
        <v>7.25</v>
      </c>
      <c r="Y4585" s="6">
        <v>7.25</v>
      </c>
      <c r="Z4585" s="6">
        <v>6.99</v>
      </c>
      <c r="AA4585" s="6">
        <v>25.74</v>
      </c>
      <c r="AB4585" s="2" t="s">
        <v>86</v>
      </c>
      <c r="AC4585" s="5">
        <v>605.20000000000005</v>
      </c>
    </row>
    <row r="4586" spans="1:29" ht="156" x14ac:dyDescent="0.15">
      <c r="A4586" s="3">
        <f>DATE(1999,4,27)</f>
        <v>36277</v>
      </c>
      <c r="B4586" s="3">
        <f>DATE(1999,8,13)</f>
        <v>36385</v>
      </c>
      <c r="C4586" s="2" t="s">
        <v>95</v>
      </c>
      <c r="D4586" s="2" t="s">
        <v>3612</v>
      </c>
      <c r="E4586" s="2" t="s">
        <v>3613</v>
      </c>
      <c r="F4586" s="4">
        <v>3661</v>
      </c>
      <c r="G4586" s="2" t="s">
        <v>921</v>
      </c>
      <c r="H4586" s="2" t="s">
        <v>34</v>
      </c>
      <c r="I4586" s="2" t="s">
        <v>14233</v>
      </c>
      <c r="J4586" s="2" t="s">
        <v>14234</v>
      </c>
      <c r="K4586" s="2" t="s">
        <v>921</v>
      </c>
      <c r="L4586" s="2" t="s">
        <v>34</v>
      </c>
      <c r="M4586" s="7">
        <v>159.31100000000001</v>
      </c>
      <c r="N4586" s="6">
        <v>10.75</v>
      </c>
      <c r="O4586" s="7">
        <v>10.063000000000001</v>
      </c>
      <c r="P4586" s="2" t="s">
        <v>14235</v>
      </c>
      <c r="Q4586" s="6">
        <v>100</v>
      </c>
      <c r="R4586" s="6">
        <v>13.4</v>
      </c>
      <c r="S4586" s="5">
        <v>2.5</v>
      </c>
      <c r="T4586" s="7">
        <v>9.641</v>
      </c>
      <c r="U4586" s="5">
        <v>7</v>
      </c>
      <c r="V4586" s="6">
        <v>0.2</v>
      </c>
      <c r="W4586" s="7">
        <v>10.063000000000001</v>
      </c>
      <c r="X4586" s="7">
        <v>10.563000000000001</v>
      </c>
      <c r="Y4586" s="6">
        <v>12.75</v>
      </c>
      <c r="Z4586" s="7">
        <v>12.688000000000001</v>
      </c>
      <c r="AA4586" s="6">
        <v>12.27</v>
      </c>
      <c r="AB4586" s="7">
        <v>34.561</v>
      </c>
      <c r="AC4586" s="5">
        <v>12.2</v>
      </c>
    </row>
    <row r="4587" spans="1:29" ht="169" x14ac:dyDescent="0.15">
      <c r="A4587" s="3">
        <f>DATE(1999,4,27)</f>
        <v>36277</v>
      </c>
      <c r="B4587" s="3">
        <f>DATE(1999,11,22)</f>
        <v>36486</v>
      </c>
      <c r="C4587" s="2" t="s">
        <v>95</v>
      </c>
      <c r="D4587" s="2" t="s">
        <v>14236</v>
      </c>
      <c r="E4587" s="2" t="s">
        <v>203</v>
      </c>
      <c r="F4587" s="4">
        <v>6035</v>
      </c>
      <c r="G4587" s="2" t="s">
        <v>33</v>
      </c>
      <c r="H4587" s="2" t="s">
        <v>34</v>
      </c>
      <c r="I4587" s="2" t="s">
        <v>13707</v>
      </c>
      <c r="J4587" s="2" t="s">
        <v>36</v>
      </c>
      <c r="K4587" s="2" t="s">
        <v>37</v>
      </c>
      <c r="L4587" s="2" t="s">
        <v>34</v>
      </c>
      <c r="M4587" s="12">
        <v>10675.049000000001</v>
      </c>
      <c r="N4587" s="6">
        <v>39.25</v>
      </c>
      <c r="O4587" s="4">
        <v>39</v>
      </c>
      <c r="P4587" s="2" t="s">
        <v>14237</v>
      </c>
      <c r="Q4587" s="6">
        <v>100</v>
      </c>
      <c r="R4587" s="6">
        <v>30.61</v>
      </c>
      <c r="S4587" s="5">
        <v>15.5</v>
      </c>
      <c r="T4587" s="7">
        <v>26.542999999999999</v>
      </c>
      <c r="U4587" s="5">
        <v>9</v>
      </c>
      <c r="V4587" s="6">
        <v>1.1399999999999999</v>
      </c>
      <c r="W4587" s="5">
        <v>21.5</v>
      </c>
      <c r="X4587" s="6">
        <v>22.75</v>
      </c>
      <c r="Y4587" s="6">
        <v>23.25</v>
      </c>
      <c r="Z4587" s="9">
        <v>31.0625</v>
      </c>
      <c r="AA4587" s="6">
        <v>13.61</v>
      </c>
      <c r="AB4587" s="7">
        <v>28.43</v>
      </c>
      <c r="AC4587" s="2"/>
    </row>
    <row r="4588" spans="1:29" ht="104" x14ac:dyDescent="0.15">
      <c r="A4588" s="3">
        <f>DATE(1999,4,27)</f>
        <v>36277</v>
      </c>
      <c r="B4588" s="3">
        <f>DATE(1999,6,1)</f>
        <v>36312</v>
      </c>
      <c r="C4588" s="2" t="s">
        <v>95</v>
      </c>
      <c r="D4588" s="2" t="s">
        <v>14238</v>
      </c>
      <c r="E4588" s="2" t="s">
        <v>14239</v>
      </c>
      <c r="F4588" s="4">
        <v>3714</v>
      </c>
      <c r="G4588" s="2" t="s">
        <v>105</v>
      </c>
      <c r="H4588" s="2" t="s">
        <v>34</v>
      </c>
      <c r="I4588" s="2" t="s">
        <v>51</v>
      </c>
      <c r="J4588" s="2" t="s">
        <v>52</v>
      </c>
      <c r="K4588" s="2" t="s">
        <v>53</v>
      </c>
      <c r="L4588" s="2" t="s">
        <v>34</v>
      </c>
      <c r="M4588" s="2"/>
      <c r="N4588" s="6">
        <v>13.75</v>
      </c>
      <c r="O4588" s="9">
        <v>13.8125</v>
      </c>
      <c r="P4588" s="2" t="s">
        <v>14240</v>
      </c>
      <c r="Q4588" s="6">
        <v>100</v>
      </c>
      <c r="R4588" s="6">
        <v>14.25</v>
      </c>
      <c r="S4588" s="5">
        <v>4.5</v>
      </c>
      <c r="T4588" s="7">
        <v>12.237</v>
      </c>
      <c r="U4588" s="5">
        <v>5.3</v>
      </c>
      <c r="V4588" s="6">
        <v>0.92</v>
      </c>
      <c r="W4588" s="6">
        <v>10.75</v>
      </c>
      <c r="X4588" s="7">
        <v>10.875</v>
      </c>
      <c r="Y4588" s="7">
        <v>13.375</v>
      </c>
      <c r="Z4588" s="7">
        <v>13.688000000000001</v>
      </c>
      <c r="AA4588" s="6">
        <v>4.9000000000000004</v>
      </c>
      <c r="AB4588" s="7">
        <v>10.311</v>
      </c>
      <c r="AC4588" s="2"/>
    </row>
    <row r="4589" spans="1:29" ht="104" x14ac:dyDescent="0.15">
      <c r="A4589" s="3">
        <f>DATE(1999,4,27)</f>
        <v>36277</v>
      </c>
      <c r="B4589" s="3">
        <f>DATE(1999,6,9)</f>
        <v>36320</v>
      </c>
      <c r="C4589" s="2" t="s">
        <v>95</v>
      </c>
      <c r="D4589" s="2" t="s">
        <v>4037</v>
      </c>
      <c r="E4589" s="2" t="s">
        <v>4038</v>
      </c>
      <c r="F4589" s="4">
        <v>2821</v>
      </c>
      <c r="G4589" s="2" t="s">
        <v>98</v>
      </c>
      <c r="H4589" s="2" t="s">
        <v>34</v>
      </c>
      <c r="I4589" s="2" t="s">
        <v>14241</v>
      </c>
      <c r="J4589" s="2" t="s">
        <v>14242</v>
      </c>
      <c r="K4589" s="2" t="s">
        <v>98</v>
      </c>
      <c r="L4589" s="2" t="s">
        <v>34</v>
      </c>
      <c r="M4589" s="12">
        <v>3433.1419999999998</v>
      </c>
      <c r="N4589" s="7">
        <v>49.938000000000002</v>
      </c>
      <c r="O4589" s="7">
        <v>50.938000000000002</v>
      </c>
      <c r="P4589" s="2" t="s">
        <v>14243</v>
      </c>
      <c r="Q4589" s="6">
        <v>100</v>
      </c>
      <c r="R4589" s="6">
        <v>12.25</v>
      </c>
      <c r="S4589" s="5">
        <v>20.5</v>
      </c>
      <c r="T4589" s="7">
        <v>44.103000000000002</v>
      </c>
      <c r="U4589" s="5">
        <v>0.9</v>
      </c>
      <c r="V4589" s="6">
        <v>0.62</v>
      </c>
      <c r="W4589" s="7">
        <v>7.5629999999999997</v>
      </c>
      <c r="X4589" s="7">
        <v>8.875</v>
      </c>
      <c r="Y4589" s="7">
        <v>8.9380000000000006</v>
      </c>
      <c r="Z4589" s="4">
        <v>12</v>
      </c>
      <c r="AA4589" s="6">
        <v>33.07</v>
      </c>
      <c r="AB4589" s="7">
        <v>13.756</v>
      </c>
      <c r="AC4589" s="5">
        <v>55</v>
      </c>
    </row>
    <row r="4590" spans="1:29" ht="78" x14ac:dyDescent="0.15">
      <c r="A4590" s="3">
        <f>DATE(1999,4,28)</f>
        <v>36278</v>
      </c>
      <c r="B4590" s="2"/>
      <c r="C4590" s="2" t="s">
        <v>7330</v>
      </c>
      <c r="D4590" s="2" t="s">
        <v>14244</v>
      </c>
      <c r="E4590" s="2" t="s">
        <v>14245</v>
      </c>
      <c r="F4590" s="4">
        <v>3469</v>
      </c>
      <c r="G4590" s="2" t="s">
        <v>163</v>
      </c>
      <c r="H4590" s="2" t="s">
        <v>34</v>
      </c>
      <c r="I4590" s="2" t="s">
        <v>138</v>
      </c>
      <c r="J4590" s="2" t="s">
        <v>139</v>
      </c>
      <c r="K4590" s="2" t="s">
        <v>53</v>
      </c>
      <c r="L4590" s="2" t="s">
        <v>139</v>
      </c>
      <c r="M4590" s="2"/>
      <c r="N4590" s="2"/>
      <c r="O4590" s="2"/>
      <c r="P4590" s="2" t="s">
        <v>14246</v>
      </c>
      <c r="Q4590" s="2"/>
      <c r="R4590" s="6">
        <v>17</v>
      </c>
      <c r="S4590" s="5">
        <v>6.7</v>
      </c>
      <c r="T4590" s="7">
        <v>18.553999999999998</v>
      </c>
      <c r="U4590" s="5">
        <v>6.3</v>
      </c>
      <c r="V4590" s="6">
        <v>1.19</v>
      </c>
      <c r="W4590" s="7">
        <v>10.125</v>
      </c>
      <c r="X4590" s="6">
        <v>9.75</v>
      </c>
      <c r="Y4590" s="4">
        <v>10</v>
      </c>
      <c r="Z4590" s="4">
        <v>13</v>
      </c>
      <c r="AA4590" s="6">
        <v>5.25</v>
      </c>
      <c r="AB4590" s="7">
        <v>10.051</v>
      </c>
      <c r="AC4590" s="2"/>
    </row>
    <row r="4591" spans="1:29" ht="78" x14ac:dyDescent="0.15">
      <c r="A4591" s="3">
        <f>DATE(1999,4,28)</f>
        <v>36278</v>
      </c>
      <c r="B4591" s="2"/>
      <c r="C4591" s="2" t="s">
        <v>30</v>
      </c>
      <c r="D4591" s="2" t="s">
        <v>14247</v>
      </c>
      <c r="E4591" s="2" t="s">
        <v>14248</v>
      </c>
      <c r="F4591" s="4">
        <v>3914</v>
      </c>
      <c r="G4591" s="2" t="s">
        <v>112</v>
      </c>
      <c r="H4591" s="2" t="s">
        <v>34</v>
      </c>
      <c r="I4591" s="2" t="s">
        <v>14249</v>
      </c>
      <c r="J4591" s="2" t="s">
        <v>14250</v>
      </c>
      <c r="K4591" s="2" t="s">
        <v>237</v>
      </c>
      <c r="L4591" s="2" t="s">
        <v>34</v>
      </c>
      <c r="M4591" s="7">
        <v>503.61900000000003</v>
      </c>
      <c r="N4591" s="7">
        <v>29.312999999999999</v>
      </c>
      <c r="O4591" s="7">
        <v>30.125</v>
      </c>
      <c r="P4591" s="2" t="s">
        <v>14251</v>
      </c>
      <c r="Q4591" s="2"/>
      <c r="R4591" s="6">
        <v>37.5</v>
      </c>
      <c r="S4591" s="5">
        <v>-4.2</v>
      </c>
      <c r="T4591" s="7">
        <v>62.036000000000001</v>
      </c>
      <c r="U4591" s="5">
        <v>7</v>
      </c>
      <c r="V4591" s="6">
        <v>-0.27</v>
      </c>
      <c r="W4591" s="7">
        <v>20.937999999999999</v>
      </c>
      <c r="X4591" s="6">
        <v>21.25</v>
      </c>
      <c r="Y4591" s="7">
        <v>25.625</v>
      </c>
      <c r="Z4591" s="7">
        <v>24.625</v>
      </c>
      <c r="AA4591" s="6">
        <v>16.670000000000002</v>
      </c>
      <c r="AB4591" s="7">
        <v>16.837</v>
      </c>
      <c r="AC4591" s="6">
        <v>1.86</v>
      </c>
    </row>
    <row r="4592" spans="1:29" ht="169" x14ac:dyDescent="0.15">
      <c r="A4592" s="3">
        <f>DATE(1999,4,28)</f>
        <v>36278</v>
      </c>
      <c r="B4592" s="3">
        <f>DATE(1999,10,6)</f>
        <v>36439</v>
      </c>
      <c r="C4592" s="2" t="s">
        <v>95</v>
      </c>
      <c r="D4592" s="2" t="s">
        <v>14252</v>
      </c>
      <c r="E4592" s="2" t="s">
        <v>1181</v>
      </c>
      <c r="F4592" s="4">
        <v>6022</v>
      </c>
      <c r="G4592" s="2" t="s">
        <v>37</v>
      </c>
      <c r="H4592" s="2" t="s">
        <v>34</v>
      </c>
      <c r="I4592" s="2" t="s">
        <v>8886</v>
      </c>
      <c r="J4592" s="2" t="s">
        <v>3246</v>
      </c>
      <c r="K4592" s="2" t="s">
        <v>37</v>
      </c>
      <c r="L4592" s="2" t="s">
        <v>34</v>
      </c>
      <c r="M4592" s="12">
        <v>5237.0550000000003</v>
      </c>
      <c r="N4592" s="5">
        <v>69.5</v>
      </c>
      <c r="O4592" s="7">
        <v>68.188000000000002</v>
      </c>
      <c r="P4592" s="2" t="s">
        <v>14253</v>
      </c>
      <c r="Q4592" s="6">
        <v>100</v>
      </c>
      <c r="R4592" s="6">
        <v>20.67</v>
      </c>
      <c r="S4592" s="5">
        <v>5</v>
      </c>
      <c r="T4592" s="2"/>
      <c r="U4592" s="5">
        <v>8.9</v>
      </c>
      <c r="V4592" s="6">
        <v>1.76</v>
      </c>
      <c r="W4592" s="7">
        <v>17.375</v>
      </c>
      <c r="X4592" s="4">
        <v>20</v>
      </c>
      <c r="Y4592" s="6">
        <v>20.75</v>
      </c>
      <c r="Z4592" s="7">
        <v>20.625</v>
      </c>
      <c r="AA4592" s="6">
        <v>2.62</v>
      </c>
      <c r="AB4592" s="7">
        <v>7.5090000000000003</v>
      </c>
      <c r="AC4592" s="2"/>
    </row>
    <row r="4593" spans="1:29" ht="104" x14ac:dyDescent="0.15">
      <c r="A4593" s="3">
        <f>DATE(1999,4,29)</f>
        <v>36279</v>
      </c>
      <c r="B4593" s="3">
        <f>DATE(1999,6,17)</f>
        <v>36328</v>
      </c>
      <c r="C4593" s="2" t="s">
        <v>95</v>
      </c>
      <c r="D4593" s="2" t="s">
        <v>14254</v>
      </c>
      <c r="E4593" s="2" t="s">
        <v>14255</v>
      </c>
      <c r="F4593" s="4">
        <v>2721</v>
      </c>
      <c r="G4593" s="2" t="s">
        <v>186</v>
      </c>
      <c r="H4593" s="2" t="s">
        <v>34</v>
      </c>
      <c r="I4593" s="2" t="s">
        <v>14256</v>
      </c>
      <c r="J4593" s="2" t="s">
        <v>417</v>
      </c>
      <c r="K4593" s="2" t="s">
        <v>186</v>
      </c>
      <c r="L4593" s="2" t="s">
        <v>303</v>
      </c>
      <c r="M4593" s="2"/>
      <c r="N4593" s="2"/>
      <c r="O4593" s="2"/>
      <c r="P4593" s="2" t="s">
        <v>14257</v>
      </c>
      <c r="Q4593" s="6">
        <v>100</v>
      </c>
      <c r="R4593" s="6">
        <v>39</v>
      </c>
      <c r="S4593" s="5">
        <v>10</v>
      </c>
      <c r="T4593" s="7">
        <v>29.132999999999999</v>
      </c>
      <c r="U4593" s="5">
        <v>4.5999999999999996</v>
      </c>
      <c r="V4593" s="6">
        <v>0.42</v>
      </c>
      <c r="W4593" s="5">
        <v>30.5</v>
      </c>
      <c r="X4593" s="6">
        <v>33.869999999999997</v>
      </c>
      <c r="Y4593" s="7">
        <v>38.438000000000002</v>
      </c>
      <c r="Z4593" s="7">
        <v>38.438000000000002</v>
      </c>
      <c r="AA4593" s="6">
        <v>23.08</v>
      </c>
      <c r="AB4593" s="7">
        <v>60.875</v>
      </c>
      <c r="AC4593" s="2"/>
    </row>
    <row r="4594" spans="1:29" ht="78" x14ac:dyDescent="0.15">
      <c r="A4594" s="3">
        <f>DATE(1999,4,29)</f>
        <v>36279</v>
      </c>
      <c r="B4594" s="3">
        <f>DATE(1999,8,10)</f>
        <v>36382</v>
      </c>
      <c r="C4594" s="2" t="s">
        <v>95</v>
      </c>
      <c r="D4594" s="2" t="s">
        <v>14258</v>
      </c>
      <c r="E4594" s="2" t="s">
        <v>14259</v>
      </c>
      <c r="F4594" s="4">
        <v>3561</v>
      </c>
      <c r="G4594" s="2" t="s">
        <v>300</v>
      </c>
      <c r="H4594" s="2" t="s">
        <v>34</v>
      </c>
      <c r="I4594" s="2" t="s">
        <v>14260</v>
      </c>
      <c r="J4594" s="2" t="s">
        <v>14261</v>
      </c>
      <c r="K4594" s="2" t="s">
        <v>300</v>
      </c>
      <c r="L4594" s="2" t="s">
        <v>34</v>
      </c>
      <c r="M4594" s="12">
        <v>1438.4829999999999</v>
      </c>
      <c r="N4594" s="6">
        <v>46.75</v>
      </c>
      <c r="O4594" s="4">
        <v>47</v>
      </c>
      <c r="P4594" s="2" t="s">
        <v>14262</v>
      </c>
      <c r="Q4594" s="6">
        <v>100</v>
      </c>
      <c r="R4594" s="6">
        <v>18.97</v>
      </c>
      <c r="S4594" s="5">
        <v>16.600000000000001</v>
      </c>
      <c r="T4594" s="5">
        <v>47.9</v>
      </c>
      <c r="U4594" s="5">
        <v>6.4</v>
      </c>
      <c r="V4594" s="9">
        <v>1.1182000000000001</v>
      </c>
      <c r="W4594" s="5">
        <v>17.5</v>
      </c>
      <c r="X4594" s="6">
        <v>19.25</v>
      </c>
      <c r="Y4594" s="7">
        <v>18.562999999999999</v>
      </c>
      <c r="Z4594" s="5">
        <v>19.5</v>
      </c>
      <c r="AA4594" s="6">
        <v>11.89</v>
      </c>
      <c r="AB4594" s="7">
        <v>10.331</v>
      </c>
      <c r="AC4594" s="6">
        <v>31.06</v>
      </c>
    </row>
    <row r="4595" spans="1:29" ht="52" x14ac:dyDescent="0.15">
      <c r="A4595" s="3">
        <f>DATE(1999,4,29)</f>
        <v>36279</v>
      </c>
      <c r="B4595" s="3">
        <f>DATE(1999,8,9)</f>
        <v>36381</v>
      </c>
      <c r="C4595" s="2" t="s">
        <v>95</v>
      </c>
      <c r="D4595" s="2" t="s">
        <v>7112</v>
      </c>
      <c r="E4595" s="2" t="s">
        <v>844</v>
      </c>
      <c r="F4595" s="4">
        <v>6552</v>
      </c>
      <c r="G4595" s="2" t="s">
        <v>109</v>
      </c>
      <c r="H4595" s="2" t="s">
        <v>34</v>
      </c>
      <c r="I4595" s="2" t="s">
        <v>14263</v>
      </c>
      <c r="J4595" s="2" t="s">
        <v>92</v>
      </c>
      <c r="K4595" s="2" t="s">
        <v>53</v>
      </c>
      <c r="L4595" s="2" t="s">
        <v>34</v>
      </c>
      <c r="M4595" s="2"/>
      <c r="N4595" s="2"/>
      <c r="O4595" s="2"/>
      <c r="P4595" s="2" t="s">
        <v>14264</v>
      </c>
      <c r="Q4595" s="6">
        <v>38</v>
      </c>
      <c r="R4595" s="6">
        <v>5.5</v>
      </c>
      <c r="S4595" s="5">
        <v>0.3</v>
      </c>
      <c r="T4595" s="7">
        <v>0.999</v>
      </c>
      <c r="U4595" s="5">
        <v>3.9</v>
      </c>
      <c r="V4595" s="6">
        <v>0.34</v>
      </c>
      <c r="W4595" s="5">
        <v>4.5</v>
      </c>
      <c r="X4595" s="7">
        <v>4.5629999999999997</v>
      </c>
      <c r="Y4595" s="6">
        <v>4.75</v>
      </c>
      <c r="Z4595" s="7">
        <v>5.125</v>
      </c>
      <c r="AA4595" s="6">
        <v>0.89</v>
      </c>
      <c r="AB4595" s="7">
        <v>22.594000000000001</v>
      </c>
      <c r="AC4595" s="2"/>
    </row>
    <row r="4596" spans="1:29" ht="117" x14ac:dyDescent="0.15">
      <c r="A4596" s="3">
        <f>DATE(1999,4,29)</f>
        <v>36279</v>
      </c>
      <c r="B4596" s="2"/>
      <c r="C4596" s="2" t="s">
        <v>30</v>
      </c>
      <c r="D4596" s="2" t="s">
        <v>14265</v>
      </c>
      <c r="E4596" s="2" t="s">
        <v>14266</v>
      </c>
      <c r="F4596" s="4">
        <v>8731</v>
      </c>
      <c r="G4596" s="2" t="s">
        <v>223</v>
      </c>
      <c r="H4596" s="2" t="s">
        <v>34</v>
      </c>
      <c r="I4596" s="2" t="s">
        <v>14267</v>
      </c>
      <c r="J4596" s="2" t="s">
        <v>12023</v>
      </c>
      <c r="K4596" s="2" t="s">
        <v>223</v>
      </c>
      <c r="L4596" s="2" t="s">
        <v>34</v>
      </c>
      <c r="M4596" s="12">
        <v>1459.384</v>
      </c>
      <c r="N4596" s="7">
        <v>22.312999999999999</v>
      </c>
      <c r="O4596" s="7">
        <v>21.937999999999999</v>
      </c>
      <c r="P4596" s="2" t="s">
        <v>14268</v>
      </c>
      <c r="Q4596" s="2"/>
      <c r="R4596" s="6">
        <v>32.56</v>
      </c>
      <c r="S4596" s="5">
        <v>9.3000000000000007</v>
      </c>
      <c r="T4596" s="7">
        <v>41.988</v>
      </c>
      <c r="U4596" s="5">
        <v>3.4</v>
      </c>
      <c r="V4596" s="6">
        <v>0.19</v>
      </c>
      <c r="W4596" s="5">
        <v>16.5</v>
      </c>
      <c r="X4596" s="7">
        <v>19.312999999999999</v>
      </c>
      <c r="Y4596" s="6">
        <v>23.25</v>
      </c>
      <c r="Z4596" s="7">
        <v>24.062999999999999</v>
      </c>
      <c r="AA4596" s="6">
        <v>24.79</v>
      </c>
      <c r="AB4596" s="7">
        <v>57.667000000000002</v>
      </c>
      <c r="AC4596" s="6">
        <v>20.07</v>
      </c>
    </row>
    <row r="4597" spans="1:29" ht="104" x14ac:dyDescent="0.15">
      <c r="A4597" s="3">
        <f>DATE(1999,4,30)</f>
        <v>36280</v>
      </c>
      <c r="B4597" s="3">
        <f>DATE(1999,7,22)</f>
        <v>36363</v>
      </c>
      <c r="C4597" s="2" t="s">
        <v>95</v>
      </c>
      <c r="D4597" s="2" t="s">
        <v>14269</v>
      </c>
      <c r="E4597" s="2" t="s">
        <v>14270</v>
      </c>
      <c r="F4597" s="4">
        <v>7374</v>
      </c>
      <c r="G4597" s="2" t="s">
        <v>223</v>
      </c>
      <c r="H4597" s="2" t="s">
        <v>34</v>
      </c>
      <c r="I4597" s="2" t="s">
        <v>14271</v>
      </c>
      <c r="J4597" s="2" t="s">
        <v>14272</v>
      </c>
      <c r="K4597" s="2" t="s">
        <v>223</v>
      </c>
      <c r="L4597" s="2" t="s">
        <v>34</v>
      </c>
      <c r="M4597" s="12">
        <v>2628.8009999999999</v>
      </c>
      <c r="N4597" s="7">
        <v>36.625</v>
      </c>
      <c r="O4597" s="7">
        <v>36.125</v>
      </c>
      <c r="P4597" s="2" t="s">
        <v>14273</v>
      </c>
      <c r="Q4597" s="6">
        <v>94.15</v>
      </c>
      <c r="R4597" s="6">
        <v>25.5</v>
      </c>
      <c r="S4597" s="5">
        <v>6.7</v>
      </c>
      <c r="T4597" s="7">
        <v>23.100999999999999</v>
      </c>
      <c r="U4597" s="5">
        <v>8</v>
      </c>
      <c r="V4597" s="6">
        <v>0.24</v>
      </c>
      <c r="W4597" s="6">
        <v>16.93</v>
      </c>
      <c r="X4597" s="6">
        <v>17.18</v>
      </c>
      <c r="Y4597" s="5">
        <v>17.5</v>
      </c>
      <c r="Z4597" s="4">
        <v>25</v>
      </c>
      <c r="AA4597" s="6">
        <v>28.74</v>
      </c>
      <c r="AB4597" s="7">
        <v>37.170999999999999</v>
      </c>
      <c r="AC4597" s="2"/>
    </row>
    <row r="4598" spans="1:29" ht="65" x14ac:dyDescent="0.15">
      <c r="A4598" s="3">
        <f>DATE(1999,4,30)</f>
        <v>36280</v>
      </c>
      <c r="B4598" s="3">
        <f>DATE(1999,6,11)</f>
        <v>36322</v>
      </c>
      <c r="C4598" s="2" t="s">
        <v>95</v>
      </c>
      <c r="D4598" s="2" t="s">
        <v>14274</v>
      </c>
      <c r="E4598" s="2" t="s">
        <v>3360</v>
      </c>
      <c r="F4598" s="4">
        <v>8732</v>
      </c>
      <c r="G4598" s="2" t="s">
        <v>223</v>
      </c>
      <c r="H4598" s="2" t="s">
        <v>34</v>
      </c>
      <c r="I4598" s="2" t="s">
        <v>14275</v>
      </c>
      <c r="J4598" s="2" t="s">
        <v>14276</v>
      </c>
      <c r="K4598" s="2" t="s">
        <v>4563</v>
      </c>
      <c r="L4598" s="2" t="s">
        <v>303</v>
      </c>
      <c r="M4598" s="2"/>
      <c r="N4598" s="2"/>
      <c r="O4598" s="2"/>
      <c r="P4598" s="2" t="s">
        <v>14277</v>
      </c>
      <c r="Q4598" s="6">
        <v>100</v>
      </c>
      <c r="R4598" s="6">
        <v>31</v>
      </c>
      <c r="S4598" s="5">
        <v>9</v>
      </c>
      <c r="T4598" s="7">
        <v>18.625</v>
      </c>
      <c r="U4598" s="5">
        <v>7.2</v>
      </c>
      <c r="V4598" s="6">
        <v>0.98</v>
      </c>
      <c r="W4598" s="6">
        <v>23.25</v>
      </c>
      <c r="X4598" s="7">
        <v>25.875</v>
      </c>
      <c r="Y4598" s="5">
        <v>30.5</v>
      </c>
      <c r="Z4598" s="7">
        <v>30.375</v>
      </c>
      <c r="AA4598" s="6">
        <v>8.94</v>
      </c>
      <c r="AB4598" s="7">
        <v>19.221</v>
      </c>
      <c r="AC4598" s="2"/>
    </row>
    <row r="4599" spans="1:29" ht="117" x14ac:dyDescent="0.15">
      <c r="A4599" s="3">
        <f>DATE(1999,4,30)</f>
        <v>36280</v>
      </c>
      <c r="B4599" s="3">
        <f>DATE(1999,9,20)</f>
        <v>36423</v>
      </c>
      <c r="C4599" s="2" t="s">
        <v>95</v>
      </c>
      <c r="D4599" s="2" t="s">
        <v>2452</v>
      </c>
      <c r="E4599" s="2" t="s">
        <v>265</v>
      </c>
      <c r="F4599" s="4">
        <v>6021</v>
      </c>
      <c r="G4599" s="2" t="s">
        <v>37</v>
      </c>
      <c r="H4599" s="2" t="s">
        <v>34</v>
      </c>
      <c r="I4599" s="2" t="s">
        <v>14278</v>
      </c>
      <c r="J4599" s="2" t="s">
        <v>2898</v>
      </c>
      <c r="K4599" s="2" t="s">
        <v>125</v>
      </c>
      <c r="L4599" s="2" t="s">
        <v>34</v>
      </c>
      <c r="M4599" s="12">
        <v>58898.533000000003</v>
      </c>
      <c r="N4599" s="9">
        <v>30.0625</v>
      </c>
      <c r="O4599" s="7">
        <v>30.375</v>
      </c>
      <c r="P4599" s="2" t="s">
        <v>14279</v>
      </c>
      <c r="Q4599" s="6">
        <v>100</v>
      </c>
      <c r="R4599" s="6">
        <v>66</v>
      </c>
      <c r="S4599" s="5">
        <v>375.3</v>
      </c>
      <c r="T4599" s="7">
        <v>642.29499999999996</v>
      </c>
      <c r="U4599" s="5">
        <v>19.5</v>
      </c>
      <c r="V4599" s="6">
        <v>2.41</v>
      </c>
      <c r="W4599" s="6">
        <v>187.25</v>
      </c>
      <c r="X4599" s="6">
        <v>187.25</v>
      </c>
      <c r="Y4599" s="4">
        <v>57</v>
      </c>
      <c r="Z4599" s="7">
        <v>60.688000000000002</v>
      </c>
      <c r="AA4599" s="6">
        <v>157.35</v>
      </c>
      <c r="AB4599" s="7">
        <v>75.417000000000002</v>
      </c>
      <c r="AC4599" s="2"/>
    </row>
    <row r="4600" spans="1:29" ht="91" x14ac:dyDescent="0.15">
      <c r="A4600" s="3">
        <f>DATE(1999,5,3)</f>
        <v>36283</v>
      </c>
      <c r="B4600" s="3">
        <f>DATE(1999,8,24)</f>
        <v>36396</v>
      </c>
      <c r="C4600" s="2" t="s">
        <v>95</v>
      </c>
      <c r="D4600" s="2" t="s">
        <v>7899</v>
      </c>
      <c r="E4600" s="2" t="s">
        <v>7900</v>
      </c>
      <c r="F4600" s="4">
        <v>4812</v>
      </c>
      <c r="G4600" s="2" t="s">
        <v>63</v>
      </c>
      <c r="H4600" s="2" t="s">
        <v>34</v>
      </c>
      <c r="I4600" s="2" t="s">
        <v>51</v>
      </c>
      <c r="J4600" s="2" t="s">
        <v>52</v>
      </c>
      <c r="K4600" s="2" t="s">
        <v>53</v>
      </c>
      <c r="L4600" s="2" t="s">
        <v>34</v>
      </c>
      <c r="M4600" s="2"/>
      <c r="N4600" s="2"/>
      <c r="O4600" s="2"/>
      <c r="P4600" s="2" t="s">
        <v>14280</v>
      </c>
      <c r="Q4600" s="6">
        <v>100</v>
      </c>
      <c r="R4600" s="6">
        <v>29.5</v>
      </c>
      <c r="S4600" s="5">
        <v>-24.4</v>
      </c>
      <c r="T4600" s="7">
        <v>28.004999999999999</v>
      </c>
      <c r="U4600" s="5">
        <v>-1.6</v>
      </c>
      <c r="V4600" s="7">
        <v>-1.8540000000000001</v>
      </c>
      <c r="W4600" s="7">
        <v>26.125</v>
      </c>
      <c r="X4600" s="6">
        <v>23.75</v>
      </c>
      <c r="Y4600" s="4">
        <v>28</v>
      </c>
      <c r="Z4600" s="7">
        <v>27.875</v>
      </c>
      <c r="AA4600" s="6">
        <v>13.82</v>
      </c>
      <c r="AB4600" s="7">
        <v>362.75</v>
      </c>
      <c r="AC4600" s="2"/>
    </row>
    <row r="4601" spans="1:29" ht="91" x14ac:dyDescent="0.15">
      <c r="A4601" s="3">
        <f>DATE(1999,5,3)</f>
        <v>36283</v>
      </c>
      <c r="B4601" s="3">
        <f>DATE(1999,8,16)</f>
        <v>36388</v>
      </c>
      <c r="C4601" s="2" t="s">
        <v>95</v>
      </c>
      <c r="D4601" s="2" t="s">
        <v>14281</v>
      </c>
      <c r="E4601" s="2" t="s">
        <v>14282</v>
      </c>
      <c r="F4601" s="4">
        <v>3674</v>
      </c>
      <c r="G4601" s="2" t="s">
        <v>137</v>
      </c>
      <c r="H4601" s="2" t="s">
        <v>34</v>
      </c>
      <c r="I4601" s="2" t="s">
        <v>10973</v>
      </c>
      <c r="J4601" s="2" t="s">
        <v>10974</v>
      </c>
      <c r="K4601" s="2" t="s">
        <v>137</v>
      </c>
      <c r="L4601" s="2" t="s">
        <v>34</v>
      </c>
      <c r="M4601" s="12">
        <v>43267.805</v>
      </c>
      <c r="N4601" s="7">
        <v>107.188</v>
      </c>
      <c r="O4601" s="5">
        <v>105.5</v>
      </c>
      <c r="P4601" s="2" t="s">
        <v>14283</v>
      </c>
      <c r="Q4601" s="6">
        <v>100</v>
      </c>
      <c r="R4601" s="6">
        <v>8.0500000000000007</v>
      </c>
      <c r="S4601" s="5">
        <v>-3.9</v>
      </c>
      <c r="T4601" s="7">
        <v>-2.9159999999999999</v>
      </c>
      <c r="U4601" s="5">
        <v>2.6</v>
      </c>
      <c r="V4601" s="6">
        <v>-0.51</v>
      </c>
      <c r="W4601" s="7">
        <v>4.5629999999999997</v>
      </c>
      <c r="X4601" s="7">
        <v>6.125</v>
      </c>
      <c r="Y4601" s="7">
        <v>6.6879999999999997</v>
      </c>
      <c r="Z4601" s="7">
        <v>7.8129999999999997</v>
      </c>
      <c r="AA4601" s="6">
        <v>7.67</v>
      </c>
      <c r="AB4601" s="2" t="s">
        <v>86</v>
      </c>
      <c r="AC4601" s="8">
        <v>2209</v>
      </c>
    </row>
    <row r="4602" spans="1:29" ht="52" x14ac:dyDescent="0.15">
      <c r="A4602" s="3">
        <f>DATE(1999,5,3)</f>
        <v>36283</v>
      </c>
      <c r="B4602" s="3">
        <f>DATE(1999,8,26)</f>
        <v>36398</v>
      </c>
      <c r="C4602" s="2" t="s">
        <v>95</v>
      </c>
      <c r="D4602" s="2" t="s">
        <v>14284</v>
      </c>
      <c r="E4602" s="2" t="s">
        <v>367</v>
      </c>
      <c r="F4602" s="4">
        <v>6211</v>
      </c>
      <c r="G4602" s="2" t="s">
        <v>53</v>
      </c>
      <c r="H4602" s="2" t="s">
        <v>34</v>
      </c>
      <c r="I4602" s="2" t="s">
        <v>14285</v>
      </c>
      <c r="J4602" s="2" t="s">
        <v>159</v>
      </c>
      <c r="K4602" s="2" t="s">
        <v>37</v>
      </c>
      <c r="L4602" s="2" t="s">
        <v>34</v>
      </c>
      <c r="M4602" s="2"/>
      <c r="N4602" s="2"/>
      <c r="O4602" s="2"/>
      <c r="P4602" s="2" t="s">
        <v>14286</v>
      </c>
      <c r="Q4602" s="6">
        <v>100</v>
      </c>
      <c r="R4602" s="6">
        <v>24.15</v>
      </c>
      <c r="S4602" s="5">
        <v>1.9</v>
      </c>
      <c r="T4602" s="7">
        <v>3.0110000000000001</v>
      </c>
      <c r="U4602" s="5">
        <v>22.3</v>
      </c>
      <c r="V4602" s="6">
        <v>1.44</v>
      </c>
      <c r="W4602" s="7">
        <v>17.062999999999999</v>
      </c>
      <c r="X4602" s="7">
        <v>17.375</v>
      </c>
      <c r="Y4602" s="7">
        <v>23.655999999999999</v>
      </c>
      <c r="Z4602" s="6">
        <v>23.75</v>
      </c>
      <c r="AA4602" s="6">
        <v>1.25</v>
      </c>
      <c r="AB4602" s="7">
        <v>30.283000000000001</v>
      </c>
      <c r="AC4602" s="2"/>
    </row>
    <row r="4603" spans="1:29" ht="78" x14ac:dyDescent="0.15">
      <c r="A4603" s="3">
        <f>DATE(1999,5,4)</f>
        <v>36284</v>
      </c>
      <c r="B4603" s="3">
        <f>DATE(1999,6,24)</f>
        <v>36335</v>
      </c>
      <c r="C4603" s="2" t="s">
        <v>95</v>
      </c>
      <c r="D4603" s="2" t="s">
        <v>1230</v>
      </c>
      <c r="E4603" s="2" t="s">
        <v>14287</v>
      </c>
      <c r="F4603" s="4">
        <v>7372</v>
      </c>
      <c r="G4603" s="2" t="s">
        <v>551</v>
      </c>
      <c r="H4603" s="2" t="s">
        <v>34</v>
      </c>
      <c r="I4603" s="2" t="s">
        <v>14288</v>
      </c>
      <c r="J4603" s="2" t="s">
        <v>4572</v>
      </c>
      <c r="K4603" s="2" t="s">
        <v>223</v>
      </c>
      <c r="L4603" s="2" t="s">
        <v>2105</v>
      </c>
      <c r="M4603" s="2"/>
      <c r="N4603" s="2"/>
      <c r="O4603" s="2"/>
      <c r="P4603" s="2" t="s">
        <v>14289</v>
      </c>
      <c r="Q4603" s="6">
        <v>100</v>
      </c>
      <c r="R4603" s="6">
        <v>29.25</v>
      </c>
      <c r="S4603" s="5">
        <v>-281.60000000000002</v>
      </c>
      <c r="T4603" s="5">
        <v>293.10000000000002</v>
      </c>
      <c r="U4603" s="5">
        <v>3.6</v>
      </c>
      <c r="V4603" s="6">
        <v>-7.29</v>
      </c>
      <c r="W4603" s="2"/>
      <c r="X4603" s="6">
        <v>53.62</v>
      </c>
      <c r="Y4603" s="7">
        <v>28.625</v>
      </c>
      <c r="Z4603" s="6">
        <v>28.75</v>
      </c>
      <c r="AA4603" s="6">
        <v>46.19</v>
      </c>
      <c r="AB4603" s="7">
        <v>55.125999999999998</v>
      </c>
      <c r="AC4603" s="6">
        <v>152.77000000000001</v>
      </c>
    </row>
    <row r="4604" spans="1:29" ht="104" x14ac:dyDescent="0.15">
      <c r="A4604" s="3">
        <f>DATE(1999,5,5)</f>
        <v>36285</v>
      </c>
      <c r="B4604" s="3">
        <f>DATE(1999,6,24)</f>
        <v>36335</v>
      </c>
      <c r="C4604" s="2" t="s">
        <v>95</v>
      </c>
      <c r="D4604" s="2" t="s">
        <v>14290</v>
      </c>
      <c r="E4604" s="2" t="s">
        <v>14291</v>
      </c>
      <c r="F4604" s="4">
        <v>8711</v>
      </c>
      <c r="G4604" s="2" t="s">
        <v>223</v>
      </c>
      <c r="H4604" s="2" t="s">
        <v>34</v>
      </c>
      <c r="I4604" s="2" t="s">
        <v>7226</v>
      </c>
      <c r="J4604" s="2" t="s">
        <v>7227</v>
      </c>
      <c r="K4604" s="2" t="s">
        <v>223</v>
      </c>
      <c r="L4604" s="2" t="s">
        <v>34</v>
      </c>
      <c r="M4604" s="6">
        <v>281.94</v>
      </c>
      <c r="N4604" s="5">
        <v>23.5</v>
      </c>
      <c r="O4604" s="7">
        <v>23.625</v>
      </c>
      <c r="P4604" s="2" t="s">
        <v>14292</v>
      </c>
      <c r="Q4604" s="6">
        <v>100</v>
      </c>
      <c r="R4604" s="6">
        <v>16</v>
      </c>
      <c r="S4604" s="5">
        <v>2.5</v>
      </c>
      <c r="T4604" s="7">
        <v>72.991</v>
      </c>
      <c r="U4604" s="5">
        <v>8</v>
      </c>
      <c r="V4604" s="6">
        <v>0.14000000000000001</v>
      </c>
      <c r="W4604" s="4">
        <v>12</v>
      </c>
      <c r="X4604" s="4">
        <v>12</v>
      </c>
      <c r="Y4604" s="7">
        <v>12.313000000000001</v>
      </c>
      <c r="Z4604" s="7">
        <v>15.438000000000001</v>
      </c>
      <c r="AA4604" s="6">
        <v>18.329999999999998</v>
      </c>
      <c r="AB4604" s="7">
        <v>11.163</v>
      </c>
      <c r="AC4604" s="6">
        <v>10.039999999999999</v>
      </c>
    </row>
    <row r="4605" spans="1:29" ht="104" x14ac:dyDescent="0.15">
      <c r="A4605" s="3">
        <f>DATE(1999,5,5)</f>
        <v>36285</v>
      </c>
      <c r="B4605" s="3">
        <f>DATE(1999,9,17)</f>
        <v>36420</v>
      </c>
      <c r="C4605" s="2" t="s">
        <v>95</v>
      </c>
      <c r="D4605" s="2" t="s">
        <v>14293</v>
      </c>
      <c r="E4605" s="2" t="s">
        <v>14294</v>
      </c>
      <c r="F4605" s="4">
        <v>7372</v>
      </c>
      <c r="G4605" s="2" t="s">
        <v>551</v>
      </c>
      <c r="H4605" s="2" t="s">
        <v>34</v>
      </c>
      <c r="I4605" s="2" t="s">
        <v>14295</v>
      </c>
      <c r="J4605" s="2" t="s">
        <v>14296</v>
      </c>
      <c r="K4605" s="2" t="s">
        <v>223</v>
      </c>
      <c r="L4605" s="2" t="s">
        <v>34</v>
      </c>
      <c r="M4605" s="2"/>
      <c r="N4605" s="2"/>
      <c r="O4605" s="2"/>
      <c r="P4605" s="2" t="s">
        <v>14297</v>
      </c>
      <c r="Q4605" s="6">
        <v>98</v>
      </c>
      <c r="R4605" s="6">
        <v>9.25</v>
      </c>
      <c r="S4605" s="5">
        <v>-1.4</v>
      </c>
      <c r="T4605" s="7">
        <v>6.6429999999999998</v>
      </c>
      <c r="U4605" s="5">
        <v>0.4</v>
      </c>
      <c r="V4605" s="6">
        <v>-0.28000000000000003</v>
      </c>
      <c r="W4605" s="7">
        <v>7.375</v>
      </c>
      <c r="X4605" s="5">
        <v>7.5</v>
      </c>
      <c r="Y4605" s="4">
        <v>8</v>
      </c>
      <c r="Z4605" s="4">
        <v>8</v>
      </c>
      <c r="AA4605" s="6">
        <v>5.41</v>
      </c>
      <c r="AB4605" s="7">
        <v>18.606999999999999</v>
      </c>
      <c r="AC4605" s="2"/>
    </row>
    <row r="4606" spans="1:29" ht="65" x14ac:dyDescent="0.15">
      <c r="A4606" s="3">
        <f>DATE(1999,5,5)</f>
        <v>36285</v>
      </c>
      <c r="B4606" s="3">
        <f>DATE(1999,10,29)</f>
        <v>36462</v>
      </c>
      <c r="C4606" s="2" t="s">
        <v>95</v>
      </c>
      <c r="D4606" s="2" t="s">
        <v>14298</v>
      </c>
      <c r="E4606" s="2" t="s">
        <v>14299</v>
      </c>
      <c r="F4606" s="2" t="s">
        <v>14300</v>
      </c>
      <c r="G4606" s="2" t="s">
        <v>439</v>
      </c>
      <c r="H4606" s="2" t="s">
        <v>34</v>
      </c>
      <c r="I4606" s="2" t="s">
        <v>14301</v>
      </c>
      <c r="J4606" s="2" t="s">
        <v>14302</v>
      </c>
      <c r="K4606" s="2" t="s">
        <v>226</v>
      </c>
      <c r="L4606" s="2" t="s">
        <v>34</v>
      </c>
      <c r="M4606" s="12">
        <v>2144.768</v>
      </c>
      <c r="N4606" s="6">
        <v>16.75</v>
      </c>
      <c r="O4606" s="7">
        <v>16.562999999999999</v>
      </c>
      <c r="P4606" s="2" t="s">
        <v>14303</v>
      </c>
      <c r="Q4606" s="6">
        <v>30.73</v>
      </c>
      <c r="R4606" s="6">
        <v>12</v>
      </c>
      <c r="S4606" s="5">
        <v>3.4</v>
      </c>
      <c r="T4606" s="7">
        <v>25.391999999999999</v>
      </c>
      <c r="U4606" s="5">
        <v>5.9</v>
      </c>
      <c r="V4606" s="6">
        <v>0.28000000000000003</v>
      </c>
      <c r="W4606" s="7">
        <v>12.188000000000001</v>
      </c>
      <c r="X4606" s="7">
        <v>11.375</v>
      </c>
      <c r="Y4606" s="5">
        <v>11.5</v>
      </c>
      <c r="Z4606" s="7">
        <v>11.438000000000001</v>
      </c>
      <c r="AA4606" s="6">
        <v>11.83</v>
      </c>
      <c r="AB4606" s="7">
        <v>18.782</v>
      </c>
      <c r="AC4606" s="8">
        <v>1158</v>
      </c>
    </row>
    <row r="4607" spans="1:29" ht="156" x14ac:dyDescent="0.15">
      <c r="A4607" s="3">
        <f>DATE(1999,5,6)</f>
        <v>36286</v>
      </c>
      <c r="B4607" s="3">
        <f>DATE(1999,8,2)</f>
        <v>36374</v>
      </c>
      <c r="C4607" s="2" t="s">
        <v>95</v>
      </c>
      <c r="D4607" s="2" t="s">
        <v>1404</v>
      </c>
      <c r="E4607" s="2" t="s">
        <v>1405</v>
      </c>
      <c r="F4607" s="4">
        <v>3731</v>
      </c>
      <c r="G4607" s="2" t="s">
        <v>105</v>
      </c>
      <c r="H4607" s="2" t="s">
        <v>34</v>
      </c>
      <c r="I4607" s="2" t="s">
        <v>1849</v>
      </c>
      <c r="J4607" s="2" t="s">
        <v>1850</v>
      </c>
      <c r="K4607" s="2" t="s">
        <v>226</v>
      </c>
      <c r="L4607" s="2" t="s">
        <v>34</v>
      </c>
      <c r="M4607" s="12">
        <v>2496.4169999999999</v>
      </c>
      <c r="N4607" s="6">
        <v>64.75</v>
      </c>
      <c r="O4607" s="7">
        <v>63.125</v>
      </c>
      <c r="P4607" s="2" t="s">
        <v>14304</v>
      </c>
      <c r="Q4607" s="6">
        <v>100</v>
      </c>
      <c r="R4607" s="6">
        <v>39.5</v>
      </c>
      <c r="S4607" s="5">
        <v>39</v>
      </c>
      <c r="T4607" s="7">
        <v>55.834000000000003</v>
      </c>
      <c r="U4607" s="5">
        <v>15.9</v>
      </c>
      <c r="V4607" s="7">
        <v>2.831</v>
      </c>
      <c r="W4607" s="6">
        <v>31.25</v>
      </c>
      <c r="X4607" s="6">
        <v>32.119999999999997</v>
      </c>
      <c r="Y4607" s="7">
        <v>27.125</v>
      </c>
      <c r="Z4607" s="7">
        <v>32.625</v>
      </c>
      <c r="AA4607" s="6">
        <v>13.26</v>
      </c>
      <c r="AB4607" s="7">
        <v>11.154</v>
      </c>
      <c r="AC4607" s="6">
        <v>31.93</v>
      </c>
    </row>
    <row r="4608" spans="1:29" ht="169" x14ac:dyDescent="0.15">
      <c r="A4608" s="3">
        <f>DATE(1999,5,6)</f>
        <v>36286</v>
      </c>
      <c r="B4608" s="2"/>
      <c r="C4608" s="2" t="s">
        <v>30</v>
      </c>
      <c r="D4608" s="2" t="s">
        <v>13651</v>
      </c>
      <c r="E4608" s="2" t="s">
        <v>13652</v>
      </c>
      <c r="F4608" s="4">
        <v>3731</v>
      </c>
      <c r="G4608" s="2" t="s">
        <v>105</v>
      </c>
      <c r="H4608" s="2" t="s">
        <v>34</v>
      </c>
      <c r="I4608" s="2" t="s">
        <v>1849</v>
      </c>
      <c r="J4608" s="2" t="s">
        <v>1850</v>
      </c>
      <c r="K4608" s="2" t="s">
        <v>226</v>
      </c>
      <c r="L4608" s="2" t="s">
        <v>34</v>
      </c>
      <c r="M4608" s="12">
        <v>2496.4169999999999</v>
      </c>
      <c r="N4608" s="6">
        <v>64.75</v>
      </c>
      <c r="O4608" s="7">
        <v>63.125</v>
      </c>
      <c r="P4608" s="2" t="s">
        <v>14305</v>
      </c>
      <c r="Q4608" s="2"/>
      <c r="R4608" s="6">
        <v>35.51</v>
      </c>
      <c r="S4608" s="5">
        <v>68</v>
      </c>
      <c r="T4608" s="5">
        <v>240</v>
      </c>
      <c r="U4608" s="5">
        <v>7.7</v>
      </c>
      <c r="V4608" s="6">
        <v>1.91</v>
      </c>
      <c r="W4608" s="7">
        <v>26.062999999999999</v>
      </c>
      <c r="X4608" s="7">
        <v>26.875</v>
      </c>
      <c r="Y4608" s="4">
        <v>27</v>
      </c>
      <c r="Z4608" s="6">
        <v>32.75</v>
      </c>
      <c r="AA4608" s="6">
        <v>35.07</v>
      </c>
      <c r="AB4608" s="7">
        <v>10.414</v>
      </c>
      <c r="AC4608" s="6">
        <v>31.93</v>
      </c>
    </row>
    <row r="4609" spans="1:29" ht="117" x14ac:dyDescent="0.15">
      <c r="A4609" s="3">
        <f>DATE(1999,5,6)</f>
        <v>36286</v>
      </c>
      <c r="B4609" s="3">
        <f>DATE(1999,6,18)</f>
        <v>36329</v>
      </c>
      <c r="C4609" s="2" t="s">
        <v>95</v>
      </c>
      <c r="D4609" s="2" t="s">
        <v>14306</v>
      </c>
      <c r="E4609" s="2" t="s">
        <v>14307</v>
      </c>
      <c r="F4609" s="4">
        <v>2531</v>
      </c>
      <c r="G4609" s="2" t="s">
        <v>250</v>
      </c>
      <c r="H4609" s="2" t="s">
        <v>34</v>
      </c>
      <c r="I4609" s="2" t="s">
        <v>14308</v>
      </c>
      <c r="J4609" s="2" t="s">
        <v>14309</v>
      </c>
      <c r="K4609" s="2" t="s">
        <v>250</v>
      </c>
      <c r="L4609" s="2" t="s">
        <v>34</v>
      </c>
      <c r="M4609" s="7">
        <v>70.036000000000001</v>
      </c>
      <c r="N4609" s="7">
        <v>9.8130000000000006</v>
      </c>
      <c r="O4609" s="7">
        <v>11.313000000000001</v>
      </c>
      <c r="P4609" s="2" t="s">
        <v>14310</v>
      </c>
      <c r="Q4609" s="6">
        <v>100</v>
      </c>
      <c r="R4609" s="6">
        <v>16.5</v>
      </c>
      <c r="S4609" s="5">
        <v>10.7</v>
      </c>
      <c r="T4609" s="7">
        <v>19.248000000000001</v>
      </c>
      <c r="U4609" s="5">
        <v>7.4</v>
      </c>
      <c r="V4609" s="6">
        <v>1.2</v>
      </c>
      <c r="W4609" s="6">
        <v>13.25</v>
      </c>
      <c r="X4609" s="6">
        <v>13.75</v>
      </c>
      <c r="Y4609" s="4">
        <v>16</v>
      </c>
      <c r="Z4609" s="7">
        <v>16.187999999999999</v>
      </c>
      <c r="AA4609" s="6">
        <v>8.76</v>
      </c>
      <c r="AB4609" s="7">
        <v>8.4139999999999997</v>
      </c>
      <c r="AC4609" s="6">
        <v>1.1599999999999999</v>
      </c>
    </row>
    <row r="4610" spans="1:29" ht="52" x14ac:dyDescent="0.15">
      <c r="A4610" s="3">
        <f>DATE(1999,5,7)</f>
        <v>36287</v>
      </c>
      <c r="B4610" s="3">
        <f>DATE(1999,9,29)</f>
        <v>36432</v>
      </c>
      <c r="C4610" s="2" t="s">
        <v>95</v>
      </c>
      <c r="D4610" s="2" t="s">
        <v>1042</v>
      </c>
      <c r="E4610" s="2" t="s">
        <v>1043</v>
      </c>
      <c r="F4610" s="4">
        <v>3829</v>
      </c>
      <c r="G4610" s="2" t="s">
        <v>226</v>
      </c>
      <c r="H4610" s="2" t="s">
        <v>34</v>
      </c>
      <c r="I4610" s="2" t="s">
        <v>14311</v>
      </c>
      <c r="J4610" s="2" t="s">
        <v>244</v>
      </c>
      <c r="K4610" s="2" t="s">
        <v>53</v>
      </c>
      <c r="L4610" s="2" t="s">
        <v>34</v>
      </c>
      <c r="M4610" s="2"/>
      <c r="N4610" s="2"/>
      <c r="O4610" s="2"/>
      <c r="P4610" s="2" t="s">
        <v>14312</v>
      </c>
      <c r="Q4610" s="6">
        <v>100</v>
      </c>
      <c r="R4610" s="6">
        <v>22</v>
      </c>
      <c r="S4610" s="5">
        <v>9.1</v>
      </c>
      <c r="T4610" s="7">
        <v>22.692</v>
      </c>
      <c r="U4610" s="5">
        <v>11.4</v>
      </c>
      <c r="V4610" s="6">
        <v>1.29</v>
      </c>
      <c r="W4610" s="4">
        <v>17</v>
      </c>
      <c r="X4610" s="7">
        <v>16.125</v>
      </c>
      <c r="Y4610" s="7">
        <v>20.375</v>
      </c>
      <c r="Z4610" s="6">
        <v>20.25</v>
      </c>
      <c r="AA4610" s="6">
        <v>6.96</v>
      </c>
      <c r="AB4610" s="7">
        <v>10.861000000000001</v>
      </c>
      <c r="AC4610" s="2"/>
    </row>
    <row r="4611" spans="1:29" ht="91" x14ac:dyDescent="0.15">
      <c r="A4611" s="3">
        <f>DATE(1999,5,7)</f>
        <v>36287</v>
      </c>
      <c r="B4611" s="3">
        <f>DATE(1999,7,30)</f>
        <v>36371</v>
      </c>
      <c r="C4611" s="2" t="s">
        <v>95</v>
      </c>
      <c r="D4611" s="2" t="s">
        <v>4993</v>
      </c>
      <c r="E4611" s="2" t="s">
        <v>4994</v>
      </c>
      <c r="F4611" s="4">
        <v>1629</v>
      </c>
      <c r="G4611" s="2" t="s">
        <v>341</v>
      </c>
      <c r="H4611" s="2" t="s">
        <v>34</v>
      </c>
      <c r="I4611" s="2" t="s">
        <v>14313</v>
      </c>
      <c r="J4611" s="2" t="s">
        <v>14314</v>
      </c>
      <c r="K4611" s="2" t="s">
        <v>223</v>
      </c>
      <c r="L4611" s="2" t="s">
        <v>34</v>
      </c>
      <c r="M4611" s="12">
        <v>1511.164</v>
      </c>
      <c r="N4611" s="6">
        <v>30.25</v>
      </c>
      <c r="O4611" s="7">
        <v>29.687999999999999</v>
      </c>
      <c r="P4611" s="2" t="s">
        <v>14315</v>
      </c>
      <c r="Q4611" s="6">
        <v>37</v>
      </c>
      <c r="R4611" s="6">
        <v>35.619999999999997</v>
      </c>
      <c r="S4611" s="5">
        <v>162.9</v>
      </c>
      <c r="T4611" s="7">
        <v>188.44200000000001</v>
      </c>
      <c r="U4611" s="5">
        <v>17.600000000000001</v>
      </c>
      <c r="V4611" s="7">
        <v>3.9329999999999998</v>
      </c>
      <c r="W4611" s="5">
        <v>31.5</v>
      </c>
      <c r="X4611" s="5">
        <v>30.5</v>
      </c>
      <c r="Y4611" s="6">
        <v>35.25</v>
      </c>
      <c r="Z4611" s="7">
        <v>35.313000000000002</v>
      </c>
      <c r="AA4611" s="6">
        <v>39.04</v>
      </c>
      <c r="AB4611" s="7">
        <v>10.081</v>
      </c>
      <c r="AC4611" s="6">
        <v>237.15</v>
      </c>
    </row>
    <row r="4612" spans="1:29" ht="39" x14ac:dyDescent="0.15">
      <c r="A4612" s="3">
        <f>DATE(1999,5,8)</f>
        <v>36288</v>
      </c>
      <c r="B4612" s="2"/>
      <c r="C4612" s="2" t="s">
        <v>30</v>
      </c>
      <c r="D4612" s="2" t="s">
        <v>10354</v>
      </c>
      <c r="E4612" s="2" t="s">
        <v>7557</v>
      </c>
      <c r="F4612" s="4">
        <v>2911</v>
      </c>
      <c r="G4612" s="2" t="s">
        <v>148</v>
      </c>
      <c r="H4612" s="2" t="s">
        <v>34</v>
      </c>
      <c r="I4612" s="2" t="s">
        <v>13405</v>
      </c>
      <c r="J4612" s="2" t="s">
        <v>13406</v>
      </c>
      <c r="K4612" s="2" t="s">
        <v>148</v>
      </c>
      <c r="L4612" s="2" t="s">
        <v>34</v>
      </c>
      <c r="M4612" s="12">
        <v>61602.875999999997</v>
      </c>
      <c r="N4612" s="6">
        <v>96.25</v>
      </c>
      <c r="O4612" s="6">
        <v>96.25</v>
      </c>
      <c r="P4612" s="2" t="s">
        <v>14316</v>
      </c>
      <c r="Q4612" s="2"/>
      <c r="R4612" s="2"/>
      <c r="S4612" s="5">
        <v>543</v>
      </c>
      <c r="T4612" s="8">
        <v>1905</v>
      </c>
      <c r="U4612" s="5">
        <v>19.600000000000001</v>
      </c>
      <c r="V4612" s="6">
        <v>0.93</v>
      </c>
      <c r="W4612" s="6">
        <v>62.75</v>
      </c>
      <c r="X4612" s="7">
        <v>62.188000000000002</v>
      </c>
      <c r="Y4612" s="6">
        <v>67.25</v>
      </c>
      <c r="Z4612" s="7">
        <v>65.875</v>
      </c>
      <c r="AA4612" s="6">
        <v>534.53</v>
      </c>
      <c r="AB4612" s="2" t="s">
        <v>47</v>
      </c>
      <c r="AC4612" s="8">
        <v>1485</v>
      </c>
    </row>
    <row r="4613" spans="1:29" ht="104" x14ac:dyDescent="0.15">
      <c r="A4613" s="3">
        <f t="shared" ref="A4613:A4621" si="92">DATE(1999,5,10)</f>
        <v>36290</v>
      </c>
      <c r="B4613" s="3">
        <f>DATE(1999,7,29)</f>
        <v>36370</v>
      </c>
      <c r="C4613" s="2" t="s">
        <v>95</v>
      </c>
      <c r="D4613" s="2" t="s">
        <v>14317</v>
      </c>
      <c r="E4613" s="2" t="s">
        <v>1402</v>
      </c>
      <c r="F4613" s="4">
        <v>3661</v>
      </c>
      <c r="G4613" s="2" t="s">
        <v>921</v>
      </c>
      <c r="H4613" s="2" t="s">
        <v>34</v>
      </c>
      <c r="I4613" s="2" t="s">
        <v>14318</v>
      </c>
      <c r="J4613" s="2" t="s">
        <v>14319</v>
      </c>
      <c r="K4613" s="2" t="s">
        <v>137</v>
      </c>
      <c r="L4613" s="2" t="s">
        <v>34</v>
      </c>
      <c r="M4613" s="7">
        <v>130.636</v>
      </c>
      <c r="N4613" s="7">
        <v>15.375</v>
      </c>
      <c r="O4613" s="6">
        <v>14.75</v>
      </c>
      <c r="P4613" s="2" t="s">
        <v>14320</v>
      </c>
      <c r="Q4613" s="6">
        <v>100</v>
      </c>
      <c r="R4613" s="6">
        <v>7.59</v>
      </c>
      <c r="S4613" s="5">
        <v>2.5</v>
      </c>
      <c r="T4613" s="7">
        <v>8.9649999999999999</v>
      </c>
      <c r="U4613" s="5">
        <v>5.6</v>
      </c>
      <c r="V4613" s="6">
        <v>0.34</v>
      </c>
      <c r="W4613" s="7">
        <v>5.3129999999999997</v>
      </c>
      <c r="X4613" s="7">
        <v>6.125</v>
      </c>
      <c r="Y4613" s="4">
        <v>7</v>
      </c>
      <c r="Z4613" s="6">
        <v>6.25</v>
      </c>
      <c r="AA4613" s="6">
        <v>7.68</v>
      </c>
      <c r="AB4613" s="7">
        <v>11.393000000000001</v>
      </c>
      <c r="AC4613" s="6">
        <v>1.74</v>
      </c>
    </row>
    <row r="4614" spans="1:29" ht="78" x14ac:dyDescent="0.15">
      <c r="A4614" s="3">
        <f t="shared" si="92"/>
        <v>36290</v>
      </c>
      <c r="B4614" s="3">
        <f>DATE(1999,6,18)</f>
        <v>36329</v>
      </c>
      <c r="C4614" s="2" t="s">
        <v>95</v>
      </c>
      <c r="D4614" s="2" t="s">
        <v>14321</v>
      </c>
      <c r="E4614" s="2" t="s">
        <v>4189</v>
      </c>
      <c r="F4614" s="4">
        <v>8711</v>
      </c>
      <c r="G4614" s="2" t="s">
        <v>223</v>
      </c>
      <c r="H4614" s="2" t="s">
        <v>34</v>
      </c>
      <c r="I4614" s="2" t="s">
        <v>14322</v>
      </c>
      <c r="J4614" s="2" t="s">
        <v>1765</v>
      </c>
      <c r="K4614" s="2" t="s">
        <v>116</v>
      </c>
      <c r="L4614" s="2" t="s">
        <v>34</v>
      </c>
      <c r="M4614" s="7">
        <v>258.22199999999998</v>
      </c>
      <c r="N4614" s="7">
        <v>14.938000000000001</v>
      </c>
      <c r="O4614" s="4">
        <v>16</v>
      </c>
      <c r="P4614" s="2" t="s">
        <v>14323</v>
      </c>
      <c r="Q4614" s="6">
        <v>100</v>
      </c>
      <c r="R4614" s="6">
        <v>6.75</v>
      </c>
      <c r="S4614" s="5">
        <v>1.2</v>
      </c>
      <c r="T4614" s="7">
        <v>7.6109999999999998</v>
      </c>
      <c r="U4614" s="5">
        <v>7.1</v>
      </c>
      <c r="V4614" s="7">
        <v>0.13800000000000001</v>
      </c>
      <c r="W4614" s="7">
        <v>5.0629999999999997</v>
      </c>
      <c r="X4614" s="7">
        <v>5.4690000000000003</v>
      </c>
      <c r="Y4614" s="7">
        <v>5.625</v>
      </c>
      <c r="Z4614" s="7">
        <v>6.4379999999999997</v>
      </c>
      <c r="AA4614" s="6">
        <v>8.34</v>
      </c>
      <c r="AB4614" s="7">
        <v>21.802</v>
      </c>
      <c r="AC4614" s="6">
        <v>25.23</v>
      </c>
    </row>
    <row r="4615" spans="1:29" ht="117" x14ac:dyDescent="0.15">
      <c r="A4615" s="3">
        <f t="shared" si="92"/>
        <v>36290</v>
      </c>
      <c r="B4615" s="3">
        <f>DATE(1999,7,30)</f>
        <v>36371</v>
      </c>
      <c r="C4615" s="2" t="s">
        <v>95</v>
      </c>
      <c r="D4615" s="2" t="s">
        <v>14324</v>
      </c>
      <c r="E4615" s="2" t="s">
        <v>1821</v>
      </c>
      <c r="F4615" s="4">
        <v>5311</v>
      </c>
      <c r="G4615" s="2" t="s">
        <v>756</v>
      </c>
      <c r="H4615" s="2" t="s">
        <v>34</v>
      </c>
      <c r="I4615" s="2" t="s">
        <v>8508</v>
      </c>
      <c r="J4615" s="2" t="s">
        <v>8509</v>
      </c>
      <c r="K4615" s="2" t="s">
        <v>756</v>
      </c>
      <c r="L4615" s="2" t="s">
        <v>34</v>
      </c>
      <c r="M4615" s="7">
        <v>810.971</v>
      </c>
      <c r="N4615" s="7">
        <v>34.375</v>
      </c>
      <c r="O4615" s="5">
        <v>37.5</v>
      </c>
      <c r="P4615" s="2" t="s">
        <v>14325</v>
      </c>
      <c r="Q4615" s="6">
        <v>100</v>
      </c>
      <c r="R4615" s="6">
        <v>11.5</v>
      </c>
      <c r="S4615" s="5">
        <v>4.5</v>
      </c>
      <c r="T4615" s="7">
        <v>43.869</v>
      </c>
      <c r="U4615" s="5">
        <v>-5.2</v>
      </c>
      <c r="V4615" s="6">
        <v>0.5</v>
      </c>
      <c r="W4615" s="7">
        <v>7.375</v>
      </c>
      <c r="X4615" s="4">
        <v>9</v>
      </c>
      <c r="Y4615" s="6">
        <v>8.25</v>
      </c>
      <c r="Z4615" s="7">
        <v>11.188000000000001</v>
      </c>
      <c r="AA4615" s="6">
        <v>9.08</v>
      </c>
      <c r="AB4615" s="7">
        <v>11.32</v>
      </c>
      <c r="AC4615" s="6">
        <v>84.24</v>
      </c>
    </row>
    <row r="4616" spans="1:29" ht="91" x14ac:dyDescent="0.15">
      <c r="A4616" s="3">
        <f t="shared" si="92"/>
        <v>36290</v>
      </c>
      <c r="B4616" s="3">
        <f>DATE(1999,7,26)</f>
        <v>36367</v>
      </c>
      <c r="C4616" s="2" t="s">
        <v>95</v>
      </c>
      <c r="D4616" s="2" t="s">
        <v>14326</v>
      </c>
      <c r="E4616" s="2" t="s">
        <v>14327</v>
      </c>
      <c r="F4616" s="4">
        <v>7948</v>
      </c>
      <c r="G4616" s="2" t="s">
        <v>364</v>
      </c>
      <c r="H4616" s="2" t="s">
        <v>34</v>
      </c>
      <c r="I4616" s="2" t="s">
        <v>14328</v>
      </c>
      <c r="J4616" s="2" t="s">
        <v>14329</v>
      </c>
      <c r="K4616" s="2" t="s">
        <v>364</v>
      </c>
      <c r="L4616" s="2" t="s">
        <v>34</v>
      </c>
      <c r="M4616" s="12">
        <v>2355.6979999999999</v>
      </c>
      <c r="N4616" s="7">
        <v>49.875</v>
      </c>
      <c r="O4616" s="6">
        <v>52.75</v>
      </c>
      <c r="P4616" s="2" t="s">
        <v>14330</v>
      </c>
      <c r="Q4616" s="6">
        <v>88.27</v>
      </c>
      <c r="R4616" s="6">
        <v>50</v>
      </c>
      <c r="S4616" s="5">
        <v>15.3</v>
      </c>
      <c r="T4616" s="7">
        <v>41.954000000000001</v>
      </c>
      <c r="U4616" s="5">
        <v>14.2</v>
      </c>
      <c r="V4616" s="6">
        <v>1.08</v>
      </c>
      <c r="W4616" s="6">
        <v>36.25</v>
      </c>
      <c r="X4616" s="6">
        <v>38.75</v>
      </c>
      <c r="Y4616" s="7">
        <v>43.125</v>
      </c>
      <c r="Z4616" s="7">
        <v>48.875</v>
      </c>
      <c r="AA4616" s="6">
        <v>13.85</v>
      </c>
      <c r="AB4616" s="7">
        <v>24.651</v>
      </c>
      <c r="AC4616" s="6">
        <v>112.06</v>
      </c>
    </row>
    <row r="4617" spans="1:29" ht="169" x14ac:dyDescent="0.15">
      <c r="A4617" s="3">
        <f t="shared" si="92"/>
        <v>36290</v>
      </c>
      <c r="B4617" s="3">
        <f>DATE(1999,12,31)</f>
        <v>36525</v>
      </c>
      <c r="C4617" s="2" t="s">
        <v>95</v>
      </c>
      <c r="D4617" s="2" t="s">
        <v>6830</v>
      </c>
      <c r="E4617" s="2" t="s">
        <v>36</v>
      </c>
      <c r="F4617" s="4">
        <v>6021</v>
      </c>
      <c r="G4617" s="2" t="s">
        <v>37</v>
      </c>
      <c r="H4617" s="2" t="s">
        <v>34</v>
      </c>
      <c r="I4617" s="2" t="s">
        <v>14331</v>
      </c>
      <c r="J4617" s="2" t="s">
        <v>36</v>
      </c>
      <c r="K4617" s="2" t="s">
        <v>37</v>
      </c>
      <c r="L4617" s="2" t="s">
        <v>303</v>
      </c>
      <c r="M4617" s="10">
        <v>18660.57</v>
      </c>
      <c r="N4617" s="2"/>
      <c r="O4617" s="2"/>
      <c r="P4617" s="2" t="s">
        <v>14332</v>
      </c>
      <c r="Q4617" s="6">
        <v>100</v>
      </c>
      <c r="R4617" s="6">
        <v>72</v>
      </c>
      <c r="S4617" s="5">
        <v>177.1</v>
      </c>
      <c r="T4617" s="2"/>
      <c r="U4617" s="5">
        <v>25.5</v>
      </c>
      <c r="V4617" s="6">
        <v>1.41</v>
      </c>
      <c r="W4617" s="6">
        <v>60.12</v>
      </c>
      <c r="X4617" s="4">
        <v>70</v>
      </c>
      <c r="Y4617" s="9">
        <v>68.0625</v>
      </c>
      <c r="Z4617" s="7">
        <v>68.125</v>
      </c>
      <c r="AA4617" s="6">
        <v>106.91</v>
      </c>
      <c r="AB4617" s="7">
        <v>134.124</v>
      </c>
      <c r="AC4617" s="2"/>
    </row>
    <row r="4618" spans="1:29" ht="52" x14ac:dyDescent="0.15">
      <c r="A4618" s="3">
        <f t="shared" si="92"/>
        <v>36290</v>
      </c>
      <c r="B4618" s="3">
        <f>DATE(1999,6,14)</f>
        <v>36325</v>
      </c>
      <c r="C4618" s="2" t="s">
        <v>95</v>
      </c>
      <c r="D4618" s="2" t="s">
        <v>14333</v>
      </c>
      <c r="E4618" s="2" t="s">
        <v>14334</v>
      </c>
      <c r="F4618" s="4">
        <v>3842</v>
      </c>
      <c r="G4618" s="2" t="s">
        <v>226</v>
      </c>
      <c r="H4618" s="2" t="s">
        <v>34</v>
      </c>
      <c r="I4618" s="2" t="s">
        <v>14335</v>
      </c>
      <c r="J4618" s="2" t="s">
        <v>6306</v>
      </c>
      <c r="K4618" s="2" t="s">
        <v>63</v>
      </c>
      <c r="L4618" s="2" t="s">
        <v>734</v>
      </c>
      <c r="M4618" s="2"/>
      <c r="N4618" s="2"/>
      <c r="O4618" s="2"/>
      <c r="P4618" s="2" t="s">
        <v>14336</v>
      </c>
      <c r="Q4618" s="6">
        <v>92.1</v>
      </c>
      <c r="R4618" s="6">
        <v>8</v>
      </c>
      <c r="S4618" s="5">
        <v>-21.9</v>
      </c>
      <c r="T4618" s="7">
        <v>1.875</v>
      </c>
      <c r="U4618" s="5">
        <v>1</v>
      </c>
      <c r="V4618" s="6">
        <v>-1.07</v>
      </c>
      <c r="W4618" s="6">
        <v>5.25</v>
      </c>
      <c r="X4618" s="7">
        <v>6.5629999999999997</v>
      </c>
      <c r="Y4618" s="7">
        <v>7.5629999999999997</v>
      </c>
      <c r="Z4618" s="7">
        <v>7.4379999999999997</v>
      </c>
      <c r="AA4618" s="6">
        <v>20.63</v>
      </c>
      <c r="AB4618" s="2" t="s">
        <v>86</v>
      </c>
      <c r="AC4618" s="6">
        <v>110.04</v>
      </c>
    </row>
    <row r="4619" spans="1:29" ht="91" x14ac:dyDescent="0.15">
      <c r="A4619" s="3">
        <f t="shared" si="92"/>
        <v>36290</v>
      </c>
      <c r="B4619" s="3">
        <f>DATE(1999,7,6)</f>
        <v>36347</v>
      </c>
      <c r="C4619" s="2" t="s">
        <v>95</v>
      </c>
      <c r="D4619" s="2" t="s">
        <v>10282</v>
      </c>
      <c r="E4619" s="2" t="s">
        <v>10283</v>
      </c>
      <c r="F4619" s="4">
        <v>5111</v>
      </c>
      <c r="G4619" s="2" t="s">
        <v>593</v>
      </c>
      <c r="H4619" s="2" t="s">
        <v>34</v>
      </c>
      <c r="I4619" s="2" t="s">
        <v>1446</v>
      </c>
      <c r="J4619" s="2" t="s">
        <v>1447</v>
      </c>
      <c r="K4619" s="2" t="s">
        <v>250</v>
      </c>
      <c r="L4619" s="2" t="s">
        <v>34</v>
      </c>
      <c r="M4619" s="12">
        <v>7131.643</v>
      </c>
      <c r="N4619" s="4">
        <v>92</v>
      </c>
      <c r="O4619" s="7">
        <v>87.813000000000002</v>
      </c>
      <c r="P4619" s="2" t="s">
        <v>14337</v>
      </c>
      <c r="Q4619" s="6">
        <v>100</v>
      </c>
      <c r="R4619" s="6">
        <v>12</v>
      </c>
      <c r="S4619" s="5">
        <v>-231.8</v>
      </c>
      <c r="T4619" s="7">
        <v>170.20699999999999</v>
      </c>
      <c r="U4619" s="5">
        <v>9.9</v>
      </c>
      <c r="V4619" s="6">
        <v>-3.36</v>
      </c>
      <c r="W4619" s="6">
        <v>8.3699999999999992</v>
      </c>
      <c r="X4619" s="6">
        <v>8.75</v>
      </c>
      <c r="Y4619" s="5">
        <v>11.5</v>
      </c>
      <c r="Z4619" s="7">
        <v>11.563000000000001</v>
      </c>
      <c r="AA4619" s="6">
        <v>70.19</v>
      </c>
      <c r="AB4619" s="7">
        <v>11.691000000000001</v>
      </c>
      <c r="AC4619" s="5">
        <v>5</v>
      </c>
    </row>
    <row r="4620" spans="1:29" ht="130" x14ac:dyDescent="0.15">
      <c r="A4620" s="3">
        <f t="shared" si="92"/>
        <v>36290</v>
      </c>
      <c r="B4620" s="3">
        <f>DATE(1999,10,8)</f>
        <v>36441</v>
      </c>
      <c r="C4620" s="2" t="s">
        <v>95</v>
      </c>
      <c r="D4620" s="2" t="s">
        <v>14338</v>
      </c>
      <c r="E4620" s="2" t="s">
        <v>36</v>
      </c>
      <c r="F4620" s="4">
        <v>6021</v>
      </c>
      <c r="G4620" s="2" t="s">
        <v>37</v>
      </c>
      <c r="H4620" s="2" t="s">
        <v>34</v>
      </c>
      <c r="I4620" s="2" t="s">
        <v>8175</v>
      </c>
      <c r="J4620" s="2" t="s">
        <v>2337</v>
      </c>
      <c r="K4620" s="2" t="s">
        <v>37</v>
      </c>
      <c r="L4620" s="2" t="s">
        <v>34</v>
      </c>
      <c r="M4620" s="7">
        <v>873.12599999999998</v>
      </c>
      <c r="N4620" s="7">
        <v>21.187999999999999</v>
      </c>
      <c r="O4620" s="7">
        <v>22.875</v>
      </c>
      <c r="P4620" s="2" t="s">
        <v>14339</v>
      </c>
      <c r="Q4620" s="6">
        <v>100</v>
      </c>
      <c r="R4620" s="6">
        <v>20.94</v>
      </c>
      <c r="S4620" s="5">
        <v>2.4</v>
      </c>
      <c r="T4620" s="7">
        <v>4.3739999999999997</v>
      </c>
      <c r="U4620" s="5">
        <v>14</v>
      </c>
      <c r="V4620" s="9">
        <v>1.6094999999999999</v>
      </c>
      <c r="W4620" s="4">
        <v>17</v>
      </c>
      <c r="X4620" s="7">
        <v>16.875</v>
      </c>
      <c r="Y4620" s="7">
        <v>16.875</v>
      </c>
      <c r="Z4620" s="7">
        <v>19.375</v>
      </c>
      <c r="AA4620" s="6">
        <v>1.33</v>
      </c>
      <c r="AB4620" s="7">
        <v>69.631</v>
      </c>
      <c r="AC4620" s="2"/>
    </row>
    <row r="4621" spans="1:29" ht="247" x14ac:dyDescent="0.15">
      <c r="A4621" s="3">
        <f t="shared" si="92"/>
        <v>36290</v>
      </c>
      <c r="B4621" s="3">
        <f>DATE(1999,11,30)</f>
        <v>36494</v>
      </c>
      <c r="C4621" s="2" t="s">
        <v>95</v>
      </c>
      <c r="D4621" s="2" t="s">
        <v>14340</v>
      </c>
      <c r="E4621" s="2" t="s">
        <v>7985</v>
      </c>
      <c r="F4621" s="4">
        <v>7389</v>
      </c>
      <c r="G4621" s="2" t="s">
        <v>223</v>
      </c>
      <c r="H4621" s="2" t="s">
        <v>34</v>
      </c>
      <c r="I4621" s="2" t="s">
        <v>6547</v>
      </c>
      <c r="J4621" s="2" t="s">
        <v>6548</v>
      </c>
      <c r="K4621" s="2" t="s">
        <v>45</v>
      </c>
      <c r="L4621" s="2" t="s">
        <v>34</v>
      </c>
      <c r="M4621" s="2"/>
      <c r="N4621" s="2"/>
      <c r="O4621" s="2"/>
      <c r="P4621" s="2" t="s">
        <v>14341</v>
      </c>
      <c r="Q4621" s="6">
        <v>100</v>
      </c>
      <c r="R4621" s="6">
        <v>73</v>
      </c>
      <c r="S4621" s="5">
        <v>-10.8</v>
      </c>
      <c r="T4621" s="7">
        <v>-5.9269999999999996</v>
      </c>
      <c r="U4621" s="5">
        <v>4.4000000000000004</v>
      </c>
      <c r="V4621" s="6">
        <v>-1.37</v>
      </c>
      <c r="W4621" s="9">
        <v>68.5625</v>
      </c>
      <c r="X4621" s="7">
        <v>75.125</v>
      </c>
      <c r="Y4621" s="7">
        <v>81.875</v>
      </c>
      <c r="Z4621" s="9">
        <v>82.4375</v>
      </c>
      <c r="AA4621" s="6">
        <v>18.13</v>
      </c>
      <c r="AB4621" s="2" t="s">
        <v>86</v>
      </c>
      <c r="AC4621" s="2"/>
    </row>
    <row r="4622" spans="1:29" ht="130" x14ac:dyDescent="0.15">
      <c r="A4622" s="3">
        <f>DATE(1999,5,11)</f>
        <v>36291</v>
      </c>
      <c r="B4622" s="2"/>
      <c r="C4622" s="2" t="s">
        <v>30</v>
      </c>
      <c r="D4622" s="2" t="s">
        <v>14342</v>
      </c>
      <c r="E4622" s="2" t="s">
        <v>14343</v>
      </c>
      <c r="F4622" s="4">
        <v>4911</v>
      </c>
      <c r="G4622" s="2" t="s">
        <v>439</v>
      </c>
      <c r="H4622" s="2" t="s">
        <v>34</v>
      </c>
      <c r="I4622" s="2" t="s">
        <v>7414</v>
      </c>
      <c r="J4622" s="2" t="s">
        <v>2754</v>
      </c>
      <c r="K4622" s="2" t="s">
        <v>439</v>
      </c>
      <c r="L4622" s="2" t="s">
        <v>34</v>
      </c>
      <c r="M4622" s="12">
        <v>2094.4340000000002</v>
      </c>
      <c r="N4622" s="7">
        <v>23.937999999999999</v>
      </c>
      <c r="O4622" s="7">
        <v>24.062999999999999</v>
      </c>
      <c r="P4622" s="2" t="s">
        <v>14344</v>
      </c>
      <c r="Q4622" s="2"/>
      <c r="R4622" s="6">
        <v>29.5</v>
      </c>
      <c r="S4622" s="5">
        <v>30.2</v>
      </c>
      <c r="T4622" s="7">
        <v>95.046999999999997</v>
      </c>
      <c r="U4622" s="5">
        <v>13.4</v>
      </c>
      <c r="V4622" s="6">
        <v>1.64</v>
      </c>
      <c r="W4622" s="7">
        <v>21.125</v>
      </c>
      <c r="X4622" s="6">
        <v>21.25</v>
      </c>
      <c r="Y4622" s="5">
        <v>25.5</v>
      </c>
      <c r="Z4622" s="9">
        <v>25.4375</v>
      </c>
      <c r="AA4622" s="6">
        <v>17.079999999999998</v>
      </c>
      <c r="AB4622" s="7">
        <v>12.031000000000001</v>
      </c>
      <c r="AC4622" s="2"/>
    </row>
    <row r="4623" spans="1:29" ht="104" x14ac:dyDescent="0.15">
      <c r="A4623" s="3">
        <f>DATE(1999,5,11)</f>
        <v>36291</v>
      </c>
      <c r="B4623" s="3">
        <f>DATE(1999,6,21)</f>
        <v>36332</v>
      </c>
      <c r="C4623" s="2" t="s">
        <v>95</v>
      </c>
      <c r="D4623" s="2" t="s">
        <v>14345</v>
      </c>
      <c r="E4623" s="2" t="s">
        <v>13681</v>
      </c>
      <c r="F4623" s="4">
        <v>3531</v>
      </c>
      <c r="G4623" s="2" t="s">
        <v>300</v>
      </c>
      <c r="H4623" s="2" t="s">
        <v>34</v>
      </c>
      <c r="I4623" s="2" t="s">
        <v>2349</v>
      </c>
      <c r="J4623" s="2" t="s">
        <v>2350</v>
      </c>
      <c r="K4623" s="2" t="s">
        <v>300</v>
      </c>
      <c r="L4623" s="2" t="s">
        <v>34</v>
      </c>
      <c r="M4623" s="7">
        <v>578.80700000000002</v>
      </c>
      <c r="N4623" s="7">
        <v>17.625</v>
      </c>
      <c r="O4623" s="4">
        <v>18</v>
      </c>
      <c r="P4623" s="2" t="s">
        <v>14346</v>
      </c>
      <c r="Q4623" s="6">
        <v>100</v>
      </c>
      <c r="R4623" s="6">
        <v>20</v>
      </c>
      <c r="S4623" s="5">
        <v>15.1</v>
      </c>
      <c r="T4623" s="7">
        <v>28.245999999999999</v>
      </c>
      <c r="U4623" s="5">
        <v>4.9000000000000004</v>
      </c>
      <c r="V4623" s="6">
        <v>1.59</v>
      </c>
      <c r="W4623" s="7">
        <v>15.875</v>
      </c>
      <c r="X4623" s="5">
        <v>17.5</v>
      </c>
      <c r="Y4623" s="7">
        <v>19.687999999999999</v>
      </c>
      <c r="Z4623" s="7">
        <v>19.812999999999999</v>
      </c>
      <c r="AA4623" s="6">
        <v>10.02</v>
      </c>
      <c r="AB4623" s="7">
        <v>8.2379999999999995</v>
      </c>
      <c r="AC4623" s="6">
        <v>56.79</v>
      </c>
    </row>
    <row r="4624" spans="1:29" ht="104" x14ac:dyDescent="0.15">
      <c r="A4624" s="3">
        <f>DATE(1999,5,11)</f>
        <v>36291</v>
      </c>
      <c r="B4624" s="3">
        <f>DATE(1999,9,14)</f>
        <v>36417</v>
      </c>
      <c r="C4624" s="2" t="s">
        <v>95</v>
      </c>
      <c r="D4624" s="2" t="s">
        <v>14347</v>
      </c>
      <c r="E4624" s="2" t="s">
        <v>14348</v>
      </c>
      <c r="F4624" s="4">
        <v>3571</v>
      </c>
      <c r="G4624" s="2" t="s">
        <v>50</v>
      </c>
      <c r="H4624" s="2" t="s">
        <v>34</v>
      </c>
      <c r="I4624" s="2" t="s">
        <v>12154</v>
      </c>
      <c r="J4624" s="2" t="s">
        <v>12155</v>
      </c>
      <c r="K4624" s="2" t="s">
        <v>50</v>
      </c>
      <c r="L4624" s="2" t="s">
        <v>34</v>
      </c>
      <c r="M4624" s="12">
        <v>2903.9679999999998</v>
      </c>
      <c r="N4624" s="7">
        <v>20.437999999999999</v>
      </c>
      <c r="O4624" s="7">
        <v>21.187999999999999</v>
      </c>
      <c r="P4624" s="2" t="s">
        <v>14349</v>
      </c>
      <c r="Q4624" s="6">
        <v>100</v>
      </c>
      <c r="R4624" s="6">
        <v>9.41</v>
      </c>
      <c r="S4624" s="5">
        <v>-13.8</v>
      </c>
      <c r="T4624" s="7">
        <v>-14.343</v>
      </c>
      <c r="U4624" s="5">
        <v>1.6</v>
      </c>
      <c r="V4624" s="6">
        <v>-1.61</v>
      </c>
      <c r="W4624" s="6">
        <v>3.25</v>
      </c>
      <c r="X4624" s="5">
        <v>3.5</v>
      </c>
      <c r="Y4624" s="7">
        <v>7.5629999999999997</v>
      </c>
      <c r="Z4624" s="7">
        <v>7.8129999999999997</v>
      </c>
      <c r="AA4624" s="6">
        <v>8.24</v>
      </c>
      <c r="AB4624" s="2" t="s">
        <v>86</v>
      </c>
      <c r="AC4624" s="6">
        <v>796.79</v>
      </c>
    </row>
    <row r="4625" spans="1:29" ht="104" x14ac:dyDescent="0.15">
      <c r="A4625" s="3">
        <f>DATE(1999,5,11)</f>
        <v>36291</v>
      </c>
      <c r="B4625" s="2"/>
      <c r="C4625" s="2" t="s">
        <v>30</v>
      </c>
      <c r="D4625" s="2" t="s">
        <v>14350</v>
      </c>
      <c r="E4625" s="2" t="s">
        <v>14351</v>
      </c>
      <c r="F4625" s="4">
        <v>2066</v>
      </c>
      <c r="G4625" s="2" t="s">
        <v>577</v>
      </c>
      <c r="H4625" s="2" t="s">
        <v>34</v>
      </c>
      <c r="I4625" s="2" t="s">
        <v>14352</v>
      </c>
      <c r="J4625" s="2" t="s">
        <v>14353</v>
      </c>
      <c r="K4625" s="2" t="s">
        <v>577</v>
      </c>
      <c r="L4625" s="2" t="s">
        <v>34</v>
      </c>
      <c r="M4625" s="2"/>
      <c r="N4625" s="2"/>
      <c r="O4625" s="2"/>
      <c r="P4625" s="2" t="s">
        <v>14354</v>
      </c>
      <c r="Q4625" s="2"/>
      <c r="R4625" s="6">
        <v>5.75</v>
      </c>
      <c r="S4625" s="5">
        <v>0.4</v>
      </c>
      <c r="T4625" s="7">
        <v>3.3490000000000002</v>
      </c>
      <c r="U4625" s="5">
        <v>1</v>
      </c>
      <c r="V4625" s="9">
        <v>4.9500000000000002E-2</v>
      </c>
      <c r="W4625" s="7">
        <v>3.375</v>
      </c>
      <c r="X4625" s="7">
        <v>5.6879999999999997</v>
      </c>
      <c r="Y4625" s="6">
        <v>5.75</v>
      </c>
      <c r="Z4625" s="7">
        <v>5.9379999999999997</v>
      </c>
      <c r="AA4625" s="6">
        <v>2.6</v>
      </c>
      <c r="AB4625" s="7">
        <v>30.521000000000001</v>
      </c>
      <c r="AC4625" s="2"/>
    </row>
    <row r="4626" spans="1:29" ht="52" x14ac:dyDescent="0.15">
      <c r="A4626" s="3">
        <f>DATE(1999,5,12)</f>
        <v>36292</v>
      </c>
      <c r="B4626" s="2"/>
      <c r="C4626" s="2" t="s">
        <v>87</v>
      </c>
      <c r="D4626" s="2" t="s">
        <v>5994</v>
      </c>
      <c r="E4626" s="2" t="s">
        <v>5995</v>
      </c>
      <c r="F4626" s="4">
        <v>6021</v>
      </c>
      <c r="G4626" s="2" t="s">
        <v>37</v>
      </c>
      <c r="H4626" s="2" t="s">
        <v>34</v>
      </c>
      <c r="I4626" s="2" t="s">
        <v>158</v>
      </c>
      <c r="J4626" s="2" t="s">
        <v>159</v>
      </c>
      <c r="K4626" s="2" t="s">
        <v>37</v>
      </c>
      <c r="L4626" s="2" t="s">
        <v>34</v>
      </c>
      <c r="M4626" s="12">
        <v>21636.252</v>
      </c>
      <c r="N4626" s="7">
        <v>71.125</v>
      </c>
      <c r="O4626" s="7">
        <v>72.125</v>
      </c>
      <c r="P4626" s="2" t="s">
        <v>14355</v>
      </c>
      <c r="Q4626" s="2"/>
      <c r="R4626" s="2"/>
      <c r="S4626" s="8">
        <v>1054</v>
      </c>
      <c r="T4626" s="2"/>
      <c r="U4626" s="5">
        <v>13.6</v>
      </c>
      <c r="V4626" s="6">
        <v>2.35</v>
      </c>
      <c r="W4626" s="7">
        <v>31.312999999999999</v>
      </c>
      <c r="X4626" s="7">
        <v>32.563000000000002</v>
      </c>
      <c r="Y4626" s="9">
        <v>34.9375</v>
      </c>
      <c r="Z4626" s="9">
        <v>36.9375</v>
      </c>
      <c r="AA4626" s="2"/>
      <c r="AB4626" s="2" t="s">
        <v>47</v>
      </c>
      <c r="AC4626" s="2"/>
    </row>
    <row r="4627" spans="1:29" ht="104" x14ac:dyDescent="0.15">
      <c r="A4627" s="3">
        <f>DATE(1999,5,12)</f>
        <v>36292</v>
      </c>
      <c r="B4627" s="3">
        <f>DATE(1999,6,21)</f>
        <v>36332</v>
      </c>
      <c r="C4627" s="2" t="s">
        <v>95</v>
      </c>
      <c r="D4627" s="2" t="s">
        <v>14356</v>
      </c>
      <c r="E4627" s="2" t="s">
        <v>14357</v>
      </c>
      <c r="F4627" s="4">
        <v>3674</v>
      </c>
      <c r="G4627" s="2" t="s">
        <v>137</v>
      </c>
      <c r="H4627" s="2" t="s">
        <v>34</v>
      </c>
      <c r="I4627" s="2" t="s">
        <v>14358</v>
      </c>
      <c r="J4627" s="2" t="s">
        <v>14359</v>
      </c>
      <c r="K4627" s="2" t="s">
        <v>163</v>
      </c>
      <c r="L4627" s="2" t="s">
        <v>34</v>
      </c>
      <c r="M4627" s="2"/>
      <c r="N4627" s="2"/>
      <c r="O4627" s="2"/>
      <c r="P4627" s="2" t="s">
        <v>14360</v>
      </c>
      <c r="Q4627" s="6">
        <v>100</v>
      </c>
      <c r="R4627" s="6">
        <v>25.5</v>
      </c>
      <c r="S4627" s="5">
        <v>11.7</v>
      </c>
      <c r="T4627" s="7">
        <v>19.206</v>
      </c>
      <c r="U4627" s="5">
        <v>6</v>
      </c>
      <c r="V4627" s="6">
        <v>1.47</v>
      </c>
      <c r="W4627" s="6">
        <v>17.25</v>
      </c>
      <c r="X4627" s="7">
        <v>19.625</v>
      </c>
      <c r="Y4627" s="7">
        <v>24.687999999999999</v>
      </c>
      <c r="Z4627" s="7">
        <v>24.844000000000001</v>
      </c>
      <c r="AA4627" s="6">
        <v>7.71</v>
      </c>
      <c r="AB4627" s="7">
        <v>10.863</v>
      </c>
      <c r="AC4627" s="2"/>
    </row>
    <row r="4628" spans="1:29" ht="104" x14ac:dyDescent="0.15">
      <c r="A4628" s="3">
        <f>DATE(1999,5,12)</f>
        <v>36292</v>
      </c>
      <c r="B4628" s="3">
        <f>DATE(1999,11,5)</f>
        <v>36469</v>
      </c>
      <c r="C4628" s="2" t="s">
        <v>95</v>
      </c>
      <c r="D4628" s="2" t="s">
        <v>10954</v>
      </c>
      <c r="E4628" s="2" t="s">
        <v>92</v>
      </c>
      <c r="F4628" s="4">
        <v>6798</v>
      </c>
      <c r="G4628" s="2" t="s">
        <v>53</v>
      </c>
      <c r="H4628" s="2" t="s">
        <v>34</v>
      </c>
      <c r="I4628" s="2" t="s">
        <v>14361</v>
      </c>
      <c r="J4628" s="2" t="s">
        <v>92</v>
      </c>
      <c r="K4628" s="2" t="s">
        <v>53</v>
      </c>
      <c r="L4628" s="2" t="s">
        <v>34</v>
      </c>
      <c r="M4628" s="6">
        <v>112.92</v>
      </c>
      <c r="N4628" s="4">
        <v>5</v>
      </c>
      <c r="O4628" s="7">
        <v>5.375</v>
      </c>
      <c r="P4628" s="2" t="s">
        <v>14362</v>
      </c>
      <c r="Q4628" s="6">
        <v>91.38</v>
      </c>
      <c r="R4628" s="6">
        <v>8.5</v>
      </c>
      <c r="S4628" s="5">
        <v>17.5</v>
      </c>
      <c r="T4628" s="7">
        <v>12.371</v>
      </c>
      <c r="U4628" s="5">
        <v>17.100000000000001</v>
      </c>
      <c r="V4628" s="6">
        <v>0.74</v>
      </c>
      <c r="W4628" s="4">
        <v>6</v>
      </c>
      <c r="X4628" s="6">
        <v>6.75</v>
      </c>
      <c r="Y4628" s="4">
        <v>7</v>
      </c>
      <c r="Z4628" s="6">
        <v>7.75</v>
      </c>
      <c r="AA4628" s="6">
        <v>13.3</v>
      </c>
      <c r="AB4628" s="7">
        <v>19.664999999999999</v>
      </c>
      <c r="AC4628" s="6">
        <v>11.49</v>
      </c>
    </row>
    <row r="4629" spans="1:29" ht="104" x14ac:dyDescent="0.15">
      <c r="A4629" s="3">
        <f>DATE(1999,5,12)</f>
        <v>36292</v>
      </c>
      <c r="B4629" s="3">
        <f>DATE(1999,8,12)</f>
        <v>36384</v>
      </c>
      <c r="C4629" s="2" t="s">
        <v>95</v>
      </c>
      <c r="D4629" s="2" t="s">
        <v>14363</v>
      </c>
      <c r="E4629" s="2" t="s">
        <v>1893</v>
      </c>
      <c r="F4629" s="4">
        <v>4841</v>
      </c>
      <c r="G4629" s="2" t="s">
        <v>45</v>
      </c>
      <c r="H4629" s="2" t="s">
        <v>34</v>
      </c>
      <c r="I4629" s="2" t="s">
        <v>14364</v>
      </c>
      <c r="J4629" s="2" t="s">
        <v>14365</v>
      </c>
      <c r="K4629" s="2" t="s">
        <v>45</v>
      </c>
      <c r="L4629" s="2" t="s">
        <v>34</v>
      </c>
      <c r="M4629" s="12">
        <v>20950.199000000001</v>
      </c>
      <c r="N4629" s="7">
        <v>86.063000000000002</v>
      </c>
      <c r="O4629" s="6">
        <v>83.25</v>
      </c>
      <c r="P4629" s="2" t="s">
        <v>14366</v>
      </c>
      <c r="Q4629" s="6">
        <v>100</v>
      </c>
      <c r="R4629" s="6">
        <v>63.89</v>
      </c>
      <c r="S4629" s="5">
        <v>45.6</v>
      </c>
      <c r="T4629" s="7">
        <v>183.73699999999999</v>
      </c>
      <c r="U4629" s="5">
        <v>4.3</v>
      </c>
      <c r="V4629" s="6">
        <v>0.9</v>
      </c>
      <c r="W4629" s="4">
        <v>51</v>
      </c>
      <c r="X4629" s="6">
        <v>52.06</v>
      </c>
      <c r="Y4629" s="7">
        <v>60.030999999999999</v>
      </c>
      <c r="Z4629" s="7">
        <v>59.813000000000002</v>
      </c>
      <c r="AA4629" s="6">
        <v>49.68</v>
      </c>
      <c r="AB4629" s="7">
        <v>31.074999999999999</v>
      </c>
      <c r="AC4629" s="6">
        <v>90.43</v>
      </c>
    </row>
    <row r="4630" spans="1:29" ht="130" x14ac:dyDescent="0.15">
      <c r="A4630" s="3">
        <f>DATE(1999,5,13)</f>
        <v>36293</v>
      </c>
      <c r="B4630" s="3">
        <f>DATE(1999,8,23)</f>
        <v>36395</v>
      </c>
      <c r="C4630" s="2" t="s">
        <v>95</v>
      </c>
      <c r="D4630" s="2" t="s">
        <v>14367</v>
      </c>
      <c r="E4630" s="2" t="s">
        <v>14368</v>
      </c>
      <c r="F4630" s="4">
        <v>7331</v>
      </c>
      <c r="G4630" s="2" t="s">
        <v>223</v>
      </c>
      <c r="H4630" s="2" t="s">
        <v>34</v>
      </c>
      <c r="I4630" s="2" t="s">
        <v>14369</v>
      </c>
      <c r="J4630" s="2" t="s">
        <v>14370</v>
      </c>
      <c r="K4630" s="2" t="s">
        <v>223</v>
      </c>
      <c r="L4630" s="2" t="s">
        <v>34</v>
      </c>
      <c r="M4630" s="7">
        <v>655.54499999999996</v>
      </c>
      <c r="N4630" s="7">
        <v>29.375</v>
      </c>
      <c r="O4630" s="7">
        <v>30.375</v>
      </c>
      <c r="P4630" s="2" t="s">
        <v>14371</v>
      </c>
      <c r="Q4630" s="6">
        <v>100</v>
      </c>
      <c r="R4630" s="6">
        <v>7.8</v>
      </c>
      <c r="S4630" s="5">
        <v>6.4</v>
      </c>
      <c r="T4630" s="7">
        <v>21.443000000000001</v>
      </c>
      <c r="U4630" s="5">
        <v>6.8</v>
      </c>
      <c r="V4630" s="6">
        <v>0.49</v>
      </c>
      <c r="W4630" s="7">
        <v>6.9379999999999997</v>
      </c>
      <c r="X4630" s="7">
        <v>7.375</v>
      </c>
      <c r="Y4630" s="7">
        <v>6.4379999999999997</v>
      </c>
      <c r="Z4630" s="7">
        <v>6.5309999999999997</v>
      </c>
      <c r="AA4630" s="6">
        <v>13.8</v>
      </c>
      <c r="AB4630" s="7">
        <v>11.207000000000001</v>
      </c>
      <c r="AC4630" s="6">
        <v>23.89</v>
      </c>
    </row>
    <row r="4631" spans="1:29" ht="117" x14ac:dyDescent="0.15">
      <c r="A4631" s="3">
        <f>DATE(1999,5,13)</f>
        <v>36293</v>
      </c>
      <c r="B4631" s="3">
        <f>DATE(1999,6,24)</f>
        <v>36335</v>
      </c>
      <c r="C4631" s="2" t="s">
        <v>95</v>
      </c>
      <c r="D4631" s="2" t="s">
        <v>5924</v>
      </c>
      <c r="E4631" s="2" t="s">
        <v>4113</v>
      </c>
      <c r="F4631" s="4">
        <v>3824</v>
      </c>
      <c r="G4631" s="2" t="s">
        <v>226</v>
      </c>
      <c r="H4631" s="2" t="s">
        <v>34</v>
      </c>
      <c r="I4631" s="2" t="s">
        <v>10753</v>
      </c>
      <c r="J4631" s="2" t="s">
        <v>10754</v>
      </c>
      <c r="K4631" s="2" t="s">
        <v>226</v>
      </c>
      <c r="L4631" s="2" t="s">
        <v>34</v>
      </c>
      <c r="M4631" s="12">
        <v>27226.915000000001</v>
      </c>
      <c r="N4631" s="7">
        <v>67.063000000000002</v>
      </c>
      <c r="O4631" s="5">
        <v>66.5</v>
      </c>
      <c r="P4631" s="2" t="s">
        <v>14372</v>
      </c>
      <c r="Q4631" s="6">
        <v>100</v>
      </c>
      <c r="R4631" s="6">
        <v>21.25</v>
      </c>
      <c r="S4631" s="5">
        <v>12.1</v>
      </c>
      <c r="T4631" s="7">
        <v>33.173000000000002</v>
      </c>
      <c r="U4631" s="5">
        <v>8.3000000000000007</v>
      </c>
      <c r="V4631" s="6">
        <v>0.68</v>
      </c>
      <c r="W4631" s="6">
        <v>17.75</v>
      </c>
      <c r="X4631" s="7">
        <v>19.562999999999999</v>
      </c>
      <c r="Y4631" s="7">
        <v>20.937999999999999</v>
      </c>
      <c r="Z4631" s="7">
        <v>20.875</v>
      </c>
      <c r="AA4631" s="6">
        <v>19.48</v>
      </c>
      <c r="AB4631" s="7">
        <v>19.433</v>
      </c>
      <c r="AC4631" s="5">
        <v>305.60000000000002</v>
      </c>
    </row>
    <row r="4632" spans="1:29" ht="52" x14ac:dyDescent="0.15">
      <c r="A4632" s="3">
        <f>DATE(1999,5,13)</f>
        <v>36293</v>
      </c>
      <c r="B4632" s="2"/>
      <c r="C4632" s="2" t="s">
        <v>7330</v>
      </c>
      <c r="D4632" s="2" t="s">
        <v>14373</v>
      </c>
      <c r="E4632" s="2" t="s">
        <v>1181</v>
      </c>
      <c r="F4632" s="4">
        <v>6021</v>
      </c>
      <c r="G4632" s="2" t="s">
        <v>37</v>
      </c>
      <c r="H4632" s="2" t="s">
        <v>34</v>
      </c>
      <c r="I4632" s="2" t="s">
        <v>14374</v>
      </c>
      <c r="J4632" s="2" t="s">
        <v>265</v>
      </c>
      <c r="K4632" s="2" t="s">
        <v>37</v>
      </c>
      <c r="L4632" s="2" t="s">
        <v>34</v>
      </c>
      <c r="M4632" s="7">
        <v>61.460999999999999</v>
      </c>
      <c r="N4632" s="5">
        <v>31.5</v>
      </c>
      <c r="O4632" s="4">
        <v>24</v>
      </c>
      <c r="P4632" s="2" t="s">
        <v>14375</v>
      </c>
      <c r="Q4632" s="2"/>
      <c r="R4632" s="6">
        <v>17.25</v>
      </c>
      <c r="S4632" s="5">
        <v>-1.1000000000000001</v>
      </c>
      <c r="T4632" s="7">
        <v>-1.337</v>
      </c>
      <c r="U4632" s="5">
        <v>12.7</v>
      </c>
      <c r="V4632" s="6">
        <v>-0.77</v>
      </c>
      <c r="W4632" s="5">
        <v>12.5</v>
      </c>
      <c r="X4632" s="6">
        <v>13.75</v>
      </c>
      <c r="Y4632" s="4">
        <v>13</v>
      </c>
      <c r="Z4632" s="7">
        <v>13.875</v>
      </c>
      <c r="AA4632" s="6">
        <v>1.45</v>
      </c>
      <c r="AB4632" s="2" t="s">
        <v>86</v>
      </c>
      <c r="AC4632" s="2"/>
    </row>
    <row r="4633" spans="1:29" ht="78" x14ac:dyDescent="0.15">
      <c r="A4633" s="3">
        <f>DATE(1999,5,14)</f>
        <v>36294</v>
      </c>
      <c r="B4633" s="3">
        <f>DATE(1999,10,29)</f>
        <v>36462</v>
      </c>
      <c r="C4633" s="2" t="s">
        <v>95</v>
      </c>
      <c r="D4633" s="2" t="s">
        <v>14376</v>
      </c>
      <c r="E4633" s="2" t="s">
        <v>14377</v>
      </c>
      <c r="F4633" s="4">
        <v>3577</v>
      </c>
      <c r="G4633" s="2" t="s">
        <v>50</v>
      </c>
      <c r="H4633" s="2" t="s">
        <v>34</v>
      </c>
      <c r="I4633" s="2" t="s">
        <v>51</v>
      </c>
      <c r="J4633" s="2" t="s">
        <v>52</v>
      </c>
      <c r="K4633" s="2" t="s">
        <v>53</v>
      </c>
      <c r="L4633" s="2" t="s">
        <v>34</v>
      </c>
      <c r="M4633" s="2"/>
      <c r="N4633" s="2"/>
      <c r="O4633" s="2"/>
      <c r="P4633" s="2" t="s">
        <v>14378</v>
      </c>
      <c r="Q4633" s="6">
        <v>100</v>
      </c>
      <c r="R4633" s="6">
        <v>8.2899999999999991</v>
      </c>
      <c r="S4633" s="5">
        <v>5</v>
      </c>
      <c r="T4633" s="7">
        <v>5.5209999999999999</v>
      </c>
      <c r="U4633" s="5">
        <v>7.8</v>
      </c>
      <c r="V4633" s="6">
        <v>0.7</v>
      </c>
      <c r="W4633" s="7">
        <v>7.625</v>
      </c>
      <c r="X4633" s="7">
        <v>7.625</v>
      </c>
      <c r="Y4633" s="7">
        <v>7.6879999999999997</v>
      </c>
      <c r="Z4633" s="6">
        <v>7.75</v>
      </c>
      <c r="AA4633" s="6">
        <v>4.97</v>
      </c>
      <c r="AB4633" s="7">
        <v>4.0730000000000004</v>
      </c>
      <c r="AC4633" s="2"/>
    </row>
    <row r="4634" spans="1:29" ht="65" x14ac:dyDescent="0.15">
      <c r="A4634" s="3">
        <f>DATE(1999,5,14)</f>
        <v>36294</v>
      </c>
      <c r="B4634" s="3">
        <f>DATE(1999,10,1)</f>
        <v>36434</v>
      </c>
      <c r="C4634" s="2" t="s">
        <v>95</v>
      </c>
      <c r="D4634" s="2" t="s">
        <v>14379</v>
      </c>
      <c r="E4634" s="2" t="s">
        <v>169</v>
      </c>
      <c r="F4634" s="4">
        <v>6311</v>
      </c>
      <c r="G4634" s="2" t="s">
        <v>125</v>
      </c>
      <c r="H4634" s="2" t="s">
        <v>34</v>
      </c>
      <c r="I4634" s="2" t="s">
        <v>14380</v>
      </c>
      <c r="J4634" s="2" t="s">
        <v>854</v>
      </c>
      <c r="K4634" s="2" t="s">
        <v>125</v>
      </c>
      <c r="L4634" s="2" t="s">
        <v>34</v>
      </c>
      <c r="M4634" s="2"/>
      <c r="N4634" s="2"/>
      <c r="O4634" s="2"/>
      <c r="P4634" s="2" t="s">
        <v>14381</v>
      </c>
      <c r="Q4634" s="6">
        <v>68.22</v>
      </c>
      <c r="R4634" s="6">
        <v>20.75</v>
      </c>
      <c r="S4634" s="5">
        <v>19.899999999999999</v>
      </c>
      <c r="T4634" s="2"/>
      <c r="U4634" s="5">
        <v>10.9</v>
      </c>
      <c r="V4634" s="6">
        <v>0.76</v>
      </c>
      <c r="W4634" s="5">
        <v>10.5</v>
      </c>
      <c r="X4634" s="6">
        <v>10.029999999999999</v>
      </c>
      <c r="Y4634" s="6">
        <v>10.25</v>
      </c>
      <c r="Z4634" s="7">
        <v>19.375</v>
      </c>
      <c r="AA4634" s="6">
        <v>23.89</v>
      </c>
      <c r="AB4634" s="7">
        <v>18.132000000000001</v>
      </c>
      <c r="AC4634" s="2"/>
    </row>
    <row r="4635" spans="1:29" ht="52" x14ac:dyDescent="0.15">
      <c r="A4635" s="3">
        <f>DATE(1999,5,14)</f>
        <v>36294</v>
      </c>
      <c r="B4635" s="2"/>
      <c r="C4635" s="2" t="s">
        <v>7330</v>
      </c>
      <c r="D4635" s="2" t="s">
        <v>14382</v>
      </c>
      <c r="E4635" s="2" t="s">
        <v>203</v>
      </c>
      <c r="F4635" s="4">
        <v>6035</v>
      </c>
      <c r="G4635" s="2" t="s">
        <v>33</v>
      </c>
      <c r="H4635" s="2" t="s">
        <v>34</v>
      </c>
      <c r="I4635" s="2" t="s">
        <v>14383</v>
      </c>
      <c r="J4635" s="2" t="s">
        <v>14384</v>
      </c>
      <c r="K4635" s="2" t="s">
        <v>1461</v>
      </c>
      <c r="L4635" s="2" t="s">
        <v>34</v>
      </c>
      <c r="M4635" s="2"/>
      <c r="N4635" s="2"/>
      <c r="O4635" s="2"/>
      <c r="P4635" s="2" t="s">
        <v>14385</v>
      </c>
      <c r="Q4635" s="2"/>
      <c r="R4635" s="2"/>
      <c r="S4635" s="5">
        <v>1</v>
      </c>
      <c r="T4635" s="7">
        <v>1.611</v>
      </c>
      <c r="U4635" s="5">
        <v>10.3</v>
      </c>
      <c r="V4635" s="6">
        <v>0.66</v>
      </c>
      <c r="W4635" s="4">
        <v>9</v>
      </c>
      <c r="X4635" s="7">
        <v>9.625</v>
      </c>
      <c r="Y4635" s="5">
        <v>12.5</v>
      </c>
      <c r="Z4635" s="5">
        <v>10.5</v>
      </c>
      <c r="AA4635" s="6">
        <v>1.55</v>
      </c>
      <c r="AB4635" s="2" t="s">
        <v>47</v>
      </c>
      <c r="AC4635" s="2"/>
    </row>
    <row r="4636" spans="1:29" ht="39" x14ac:dyDescent="0.15">
      <c r="A4636" s="3">
        <f>DATE(1999,5,14)</f>
        <v>36294</v>
      </c>
      <c r="B4636" s="3">
        <f>DATE(1999,9,23)</f>
        <v>36426</v>
      </c>
      <c r="C4636" s="2" t="s">
        <v>95</v>
      </c>
      <c r="D4636" s="2" t="s">
        <v>12897</v>
      </c>
      <c r="E4636" s="2" t="s">
        <v>12898</v>
      </c>
      <c r="F4636" s="4">
        <v>2037</v>
      </c>
      <c r="G4636" s="2" t="s">
        <v>577</v>
      </c>
      <c r="H4636" s="2" t="s">
        <v>34</v>
      </c>
      <c r="I4636" s="2" t="s">
        <v>14386</v>
      </c>
      <c r="J4636" s="2" t="s">
        <v>14387</v>
      </c>
      <c r="K4636" s="2" t="s">
        <v>577</v>
      </c>
      <c r="L4636" s="2" t="s">
        <v>34</v>
      </c>
      <c r="M4636" s="2"/>
      <c r="N4636" s="2"/>
      <c r="O4636" s="2"/>
      <c r="P4636" s="2" t="s">
        <v>14388</v>
      </c>
      <c r="Q4636" s="6">
        <v>100</v>
      </c>
      <c r="R4636" s="6">
        <v>3.5</v>
      </c>
      <c r="S4636" s="5">
        <v>0.5</v>
      </c>
      <c r="T4636" s="7">
        <v>12.337999999999999</v>
      </c>
      <c r="U4636" s="5">
        <v>6.8</v>
      </c>
      <c r="V4636" s="6">
        <v>0.08</v>
      </c>
      <c r="W4636" s="7">
        <v>2.4689999999999999</v>
      </c>
      <c r="X4636" s="5">
        <v>2.5</v>
      </c>
      <c r="Y4636" s="5">
        <v>2.5</v>
      </c>
      <c r="Z4636" s="6">
        <v>3.25</v>
      </c>
      <c r="AA4636" s="6">
        <v>6.81</v>
      </c>
      <c r="AB4636" s="7">
        <v>13.912000000000001</v>
      </c>
      <c r="AC4636" s="2"/>
    </row>
    <row r="4637" spans="1:29" ht="91" x14ac:dyDescent="0.15">
      <c r="A4637" s="3">
        <f>DATE(1999,5,14)</f>
        <v>36294</v>
      </c>
      <c r="B4637" s="3">
        <f>DATE(1999,9,2)</f>
        <v>36405</v>
      </c>
      <c r="C4637" s="2" t="s">
        <v>95</v>
      </c>
      <c r="D4637" s="2" t="s">
        <v>14389</v>
      </c>
      <c r="E4637" s="2" t="s">
        <v>14390</v>
      </c>
      <c r="F4637" s="4">
        <v>1623</v>
      </c>
      <c r="G4637" s="2" t="s">
        <v>341</v>
      </c>
      <c r="H4637" s="2" t="s">
        <v>34</v>
      </c>
      <c r="I4637" s="2" t="s">
        <v>14391</v>
      </c>
      <c r="J4637" s="2" t="s">
        <v>14392</v>
      </c>
      <c r="K4637" s="2" t="s">
        <v>63</v>
      </c>
      <c r="L4637" s="2" t="s">
        <v>34</v>
      </c>
      <c r="M4637" s="2"/>
      <c r="N4637" s="2"/>
      <c r="O4637" s="2"/>
      <c r="P4637" s="2" t="s">
        <v>14393</v>
      </c>
      <c r="Q4637" s="6">
        <v>100</v>
      </c>
      <c r="R4637" s="2"/>
      <c r="S4637" s="5">
        <v>2.5</v>
      </c>
      <c r="T4637" s="7">
        <v>4.282</v>
      </c>
      <c r="U4637" s="5">
        <v>2.4</v>
      </c>
      <c r="V4637" s="6">
        <v>0.53</v>
      </c>
      <c r="W4637" s="7">
        <v>30.625</v>
      </c>
      <c r="X4637" s="4">
        <v>30</v>
      </c>
      <c r="Y4637" s="4">
        <v>30</v>
      </c>
      <c r="Z4637" s="7">
        <v>27.375</v>
      </c>
      <c r="AA4637" s="6">
        <v>8.27</v>
      </c>
      <c r="AB4637" s="7">
        <v>81.573999999999998</v>
      </c>
      <c r="AC4637" s="6">
        <v>2.23</v>
      </c>
    </row>
    <row r="4638" spans="1:29" ht="65" x14ac:dyDescent="0.15">
      <c r="A4638" s="3">
        <f t="shared" ref="A4638:A4647" si="93">DATE(1999,5,17)</f>
        <v>36297</v>
      </c>
      <c r="B4638" s="3">
        <f>DATE(1999,11,12)</f>
        <v>36476</v>
      </c>
      <c r="C4638" s="2" t="s">
        <v>95</v>
      </c>
      <c r="D4638" s="2" t="s">
        <v>14394</v>
      </c>
      <c r="E4638" s="2" t="s">
        <v>14395</v>
      </c>
      <c r="F4638" s="4">
        <v>3523</v>
      </c>
      <c r="G4638" s="2" t="s">
        <v>300</v>
      </c>
      <c r="H4638" s="2" t="s">
        <v>34</v>
      </c>
      <c r="I4638" s="2" t="s">
        <v>14396</v>
      </c>
      <c r="J4638" s="2" t="s">
        <v>14397</v>
      </c>
      <c r="K4638" s="2" t="s">
        <v>76</v>
      </c>
      <c r="L4638" s="2" t="s">
        <v>2105</v>
      </c>
      <c r="M4638" s="2"/>
      <c r="N4638" s="2"/>
      <c r="O4638" s="2"/>
      <c r="P4638" s="2" t="s">
        <v>14398</v>
      </c>
      <c r="Q4638" s="6">
        <v>100</v>
      </c>
      <c r="R4638" s="6">
        <v>55</v>
      </c>
      <c r="S4638" s="5">
        <v>-53</v>
      </c>
      <c r="T4638" s="5">
        <v>747</v>
      </c>
      <c r="U4638" s="5">
        <v>26.7</v>
      </c>
      <c r="V4638" s="6">
        <v>-0.8</v>
      </c>
      <c r="W4638" s="6">
        <v>39.18</v>
      </c>
      <c r="X4638" s="6">
        <v>44.81</v>
      </c>
      <c r="Y4638" s="5">
        <v>48.5</v>
      </c>
      <c r="Z4638" s="6">
        <v>47.75</v>
      </c>
      <c r="AA4638" s="6">
        <v>74.34</v>
      </c>
      <c r="AB4638" s="7">
        <v>17.471</v>
      </c>
      <c r="AC4638" s="2"/>
    </row>
    <row r="4639" spans="1:29" ht="169" x14ac:dyDescent="0.15">
      <c r="A4639" s="3">
        <f t="shared" si="93"/>
        <v>36297</v>
      </c>
      <c r="B4639" s="2"/>
      <c r="C4639" s="2" t="s">
        <v>30</v>
      </c>
      <c r="D4639" s="2" t="s">
        <v>14103</v>
      </c>
      <c r="E4639" s="2" t="s">
        <v>14104</v>
      </c>
      <c r="F4639" s="4">
        <v>7359</v>
      </c>
      <c r="G4639" s="2" t="s">
        <v>223</v>
      </c>
      <c r="H4639" s="2" t="s">
        <v>34</v>
      </c>
      <c r="I4639" s="2" t="s">
        <v>14399</v>
      </c>
      <c r="J4639" s="2" t="s">
        <v>14104</v>
      </c>
      <c r="K4639" s="2" t="s">
        <v>223</v>
      </c>
      <c r="L4639" s="2" t="s">
        <v>34</v>
      </c>
      <c r="M4639" s="2"/>
      <c r="N4639" s="2"/>
      <c r="O4639" s="2"/>
      <c r="P4639" s="2" t="s">
        <v>14400</v>
      </c>
      <c r="Q4639" s="2"/>
      <c r="R4639" s="6">
        <v>28</v>
      </c>
      <c r="S4639" s="5">
        <v>26.6</v>
      </c>
      <c r="T4639" s="7">
        <v>91.608000000000004</v>
      </c>
      <c r="U4639" s="5">
        <v>13.9</v>
      </c>
      <c r="V4639" s="6">
        <v>1.97</v>
      </c>
      <c r="W4639" s="7">
        <v>15.938000000000001</v>
      </c>
      <c r="X4639" s="6">
        <v>16.75</v>
      </c>
      <c r="Y4639" s="6">
        <v>22.75</v>
      </c>
      <c r="Z4639" s="4">
        <v>23</v>
      </c>
      <c r="AA4639" s="6">
        <v>13.09</v>
      </c>
      <c r="AB4639" s="7">
        <v>10.225</v>
      </c>
      <c r="AC4639" s="2"/>
    </row>
    <row r="4640" spans="1:29" ht="104" x14ac:dyDescent="0.15">
      <c r="A4640" s="3">
        <f t="shared" si="93"/>
        <v>36297</v>
      </c>
      <c r="B4640" s="3">
        <f>DATE(1999,11,11)</f>
        <v>36475</v>
      </c>
      <c r="C4640" s="2" t="s">
        <v>95</v>
      </c>
      <c r="D4640" s="2" t="s">
        <v>14401</v>
      </c>
      <c r="E4640" s="2" t="s">
        <v>1550</v>
      </c>
      <c r="F4640" s="4">
        <v>7372</v>
      </c>
      <c r="G4640" s="2" t="s">
        <v>551</v>
      </c>
      <c r="H4640" s="2" t="s">
        <v>34</v>
      </c>
      <c r="I4640" s="2" t="s">
        <v>14402</v>
      </c>
      <c r="J4640" s="2" t="s">
        <v>1181</v>
      </c>
      <c r="K4640" s="2" t="s">
        <v>37</v>
      </c>
      <c r="L4640" s="2" t="s">
        <v>34</v>
      </c>
      <c r="M4640" s="7">
        <v>571.50900000000001</v>
      </c>
      <c r="N4640" s="4">
        <v>51</v>
      </c>
      <c r="O4640" s="7">
        <v>50.125</v>
      </c>
      <c r="P4640" s="2" t="s">
        <v>14403</v>
      </c>
      <c r="Q4640" s="6">
        <v>100</v>
      </c>
      <c r="R4640" s="6">
        <v>17.87</v>
      </c>
      <c r="S4640" s="5">
        <v>-5.4</v>
      </c>
      <c r="T4640" s="7">
        <v>-2.907</v>
      </c>
      <c r="U4640" s="5">
        <v>3</v>
      </c>
      <c r="V4640" s="7">
        <v>-0.312</v>
      </c>
      <c r="W4640" s="7">
        <v>14.875</v>
      </c>
      <c r="X4640" s="7">
        <v>15.563000000000001</v>
      </c>
      <c r="Y4640" s="7">
        <v>14.938000000000001</v>
      </c>
      <c r="Z4640" s="7">
        <v>14.438000000000001</v>
      </c>
      <c r="AA4640" s="6">
        <v>17.66</v>
      </c>
      <c r="AB4640" s="2" t="s">
        <v>86</v>
      </c>
      <c r="AC4640" s="6">
        <v>30.15</v>
      </c>
    </row>
    <row r="4641" spans="1:29" ht="104" x14ac:dyDescent="0.15">
      <c r="A4641" s="3">
        <f t="shared" si="93"/>
        <v>36297</v>
      </c>
      <c r="B4641" s="3">
        <f>DATE(1999,7,30)</f>
        <v>36371</v>
      </c>
      <c r="C4641" s="2" t="s">
        <v>95</v>
      </c>
      <c r="D4641" s="2" t="s">
        <v>14404</v>
      </c>
      <c r="E4641" s="2" t="s">
        <v>4723</v>
      </c>
      <c r="F4641" s="4">
        <v>3721</v>
      </c>
      <c r="G4641" s="2" t="s">
        <v>219</v>
      </c>
      <c r="H4641" s="2" t="s">
        <v>34</v>
      </c>
      <c r="I4641" s="2" t="s">
        <v>13819</v>
      </c>
      <c r="J4641" s="2" t="s">
        <v>7077</v>
      </c>
      <c r="K4641" s="2" t="s">
        <v>226</v>
      </c>
      <c r="L4641" s="2" t="s">
        <v>34</v>
      </c>
      <c r="M4641" s="12">
        <v>8535.8580000000002</v>
      </c>
      <c r="N4641" s="6">
        <v>65.25</v>
      </c>
      <c r="O4641" s="6">
        <v>65.75</v>
      </c>
      <c r="P4641" s="2" t="s">
        <v>14405</v>
      </c>
      <c r="Q4641" s="6">
        <v>100</v>
      </c>
      <c r="R4641" s="6">
        <v>71.44</v>
      </c>
      <c r="S4641" s="5">
        <v>243.3</v>
      </c>
      <c r="T4641" s="7">
        <v>447.00099999999998</v>
      </c>
      <c r="U4641" s="5">
        <v>3</v>
      </c>
      <c r="V4641" s="6">
        <v>3.25</v>
      </c>
      <c r="W4641" s="6">
        <v>53.12</v>
      </c>
      <c r="X4641" s="6">
        <v>55.62</v>
      </c>
      <c r="Y4641" s="7">
        <v>61.688000000000002</v>
      </c>
      <c r="Z4641" s="6">
        <v>62.25</v>
      </c>
      <c r="AA4641" s="6">
        <v>72.77</v>
      </c>
      <c r="AB4641" s="7">
        <v>13.917</v>
      </c>
      <c r="AC4641" s="5">
        <v>185</v>
      </c>
    </row>
    <row r="4642" spans="1:29" ht="130" x14ac:dyDescent="0.15">
      <c r="A4642" s="3">
        <f t="shared" si="93"/>
        <v>36297</v>
      </c>
      <c r="B4642" s="3">
        <f>DATE(1999,7,23)</f>
        <v>36364</v>
      </c>
      <c r="C4642" s="2" t="s">
        <v>95</v>
      </c>
      <c r="D4642" s="2" t="s">
        <v>14406</v>
      </c>
      <c r="E4642" s="2" t="s">
        <v>9239</v>
      </c>
      <c r="F4642" s="4">
        <v>7373</v>
      </c>
      <c r="G4642" s="2" t="s">
        <v>223</v>
      </c>
      <c r="H4642" s="2" t="s">
        <v>34</v>
      </c>
      <c r="I4642" s="2" t="s">
        <v>14407</v>
      </c>
      <c r="J4642" s="2" t="s">
        <v>14408</v>
      </c>
      <c r="K4642" s="2" t="s">
        <v>447</v>
      </c>
      <c r="L4642" s="2" t="s">
        <v>34</v>
      </c>
      <c r="M4642" s="12">
        <v>1390.184</v>
      </c>
      <c r="N4642" s="4">
        <v>91</v>
      </c>
      <c r="O4642" s="4">
        <v>94</v>
      </c>
      <c r="P4642" s="2" t="s">
        <v>14409</v>
      </c>
      <c r="Q4642" s="6">
        <v>100</v>
      </c>
      <c r="R4642" s="6">
        <v>59.69</v>
      </c>
      <c r="S4642" s="5">
        <v>15.8</v>
      </c>
      <c r="T4642" s="7">
        <v>26.565000000000001</v>
      </c>
      <c r="U4642" s="5">
        <v>4.3</v>
      </c>
      <c r="V4642" s="6">
        <v>0.7</v>
      </c>
      <c r="W4642" s="6">
        <v>33.06</v>
      </c>
      <c r="X4642" s="6">
        <v>33.75</v>
      </c>
      <c r="Y4642" s="6">
        <v>47.75</v>
      </c>
      <c r="Z4642" s="7">
        <v>50.938000000000002</v>
      </c>
      <c r="AA4642" s="6">
        <v>22.23</v>
      </c>
      <c r="AB4642" s="7">
        <v>58.768999999999998</v>
      </c>
      <c r="AC4642" s="6">
        <v>100.64</v>
      </c>
    </row>
    <row r="4643" spans="1:29" ht="52" x14ac:dyDescent="0.15">
      <c r="A4643" s="3">
        <f t="shared" si="93"/>
        <v>36297</v>
      </c>
      <c r="B4643" s="3">
        <f>DATE(1999,9,3)</f>
        <v>36406</v>
      </c>
      <c r="C4643" s="2" t="s">
        <v>95</v>
      </c>
      <c r="D4643" s="2" t="s">
        <v>12641</v>
      </c>
      <c r="E4643" s="2" t="s">
        <v>36</v>
      </c>
      <c r="F4643" s="4">
        <v>6035</v>
      </c>
      <c r="G4643" s="2" t="s">
        <v>33</v>
      </c>
      <c r="H4643" s="2" t="s">
        <v>34</v>
      </c>
      <c r="I4643" s="2" t="s">
        <v>14410</v>
      </c>
      <c r="J4643" s="2" t="s">
        <v>7190</v>
      </c>
      <c r="K4643" s="2" t="s">
        <v>37</v>
      </c>
      <c r="L4643" s="2" t="s">
        <v>34</v>
      </c>
      <c r="M4643" s="7">
        <v>173.482</v>
      </c>
      <c r="N4643" s="7">
        <v>10.875</v>
      </c>
      <c r="O4643" s="4">
        <v>11</v>
      </c>
      <c r="P4643" s="2" t="s">
        <v>14411</v>
      </c>
      <c r="Q4643" s="6">
        <v>100</v>
      </c>
      <c r="R4643" s="6">
        <v>25.1</v>
      </c>
      <c r="S4643" s="5">
        <v>2.2000000000000002</v>
      </c>
      <c r="T4643" s="2"/>
      <c r="U4643" s="5">
        <v>19.7</v>
      </c>
      <c r="V4643" s="6">
        <v>1.88</v>
      </c>
      <c r="W4643" s="5">
        <v>21.5</v>
      </c>
      <c r="X4643" s="7">
        <v>21.625</v>
      </c>
      <c r="Y4643" s="7">
        <v>21.312999999999999</v>
      </c>
      <c r="Z4643" s="7">
        <v>23.625</v>
      </c>
      <c r="AA4643" s="6">
        <v>1.21</v>
      </c>
      <c r="AB4643" s="7">
        <v>16.344999999999999</v>
      </c>
      <c r="AC4643" s="2"/>
    </row>
    <row r="4644" spans="1:29" ht="182" x14ac:dyDescent="0.15">
      <c r="A4644" s="3">
        <f t="shared" si="93"/>
        <v>36297</v>
      </c>
      <c r="B4644" s="3">
        <f>DATE(1999,10,1)</f>
        <v>36434</v>
      </c>
      <c r="C4644" s="2" t="s">
        <v>95</v>
      </c>
      <c r="D4644" s="2" t="s">
        <v>2933</v>
      </c>
      <c r="E4644" s="2" t="s">
        <v>36</v>
      </c>
      <c r="F4644" s="4">
        <v>6035</v>
      </c>
      <c r="G4644" s="2" t="s">
        <v>33</v>
      </c>
      <c r="H4644" s="2" t="s">
        <v>34</v>
      </c>
      <c r="I4644" s="2" t="s">
        <v>2707</v>
      </c>
      <c r="J4644" s="2" t="s">
        <v>263</v>
      </c>
      <c r="K4644" s="2" t="s">
        <v>33</v>
      </c>
      <c r="L4644" s="2" t="s">
        <v>34</v>
      </c>
      <c r="M4644" s="12">
        <v>3961.6680000000001</v>
      </c>
      <c r="N4644" s="7">
        <v>30.812999999999999</v>
      </c>
      <c r="O4644" s="7">
        <v>29.125</v>
      </c>
      <c r="P4644" s="2" t="s">
        <v>14412</v>
      </c>
      <c r="Q4644" s="6">
        <v>100</v>
      </c>
      <c r="R4644" s="6">
        <v>22.94</v>
      </c>
      <c r="S4644" s="5">
        <v>34.700000000000003</v>
      </c>
      <c r="T4644" s="2"/>
      <c r="U4644" s="5">
        <v>12.6</v>
      </c>
      <c r="V4644" s="6">
        <v>0.73</v>
      </c>
      <c r="W4644" s="7">
        <v>24.375</v>
      </c>
      <c r="X4644" s="7">
        <v>24.655999999999999</v>
      </c>
      <c r="Y4644" s="7">
        <v>24.687999999999999</v>
      </c>
      <c r="Z4644" s="7">
        <v>26.375</v>
      </c>
      <c r="AA4644" s="6">
        <v>39.93</v>
      </c>
      <c r="AB4644" s="7">
        <v>29.652999999999999</v>
      </c>
      <c r="AC4644" s="2"/>
    </row>
    <row r="4645" spans="1:29" ht="52" x14ac:dyDescent="0.15">
      <c r="A4645" s="3">
        <f t="shared" si="93"/>
        <v>36297</v>
      </c>
      <c r="B4645" s="3">
        <f>DATE(1999,8,16)</f>
        <v>36388</v>
      </c>
      <c r="C4645" s="2" t="s">
        <v>95</v>
      </c>
      <c r="D4645" s="2" t="s">
        <v>14413</v>
      </c>
      <c r="E4645" s="2" t="s">
        <v>14414</v>
      </c>
      <c r="F4645" s="4">
        <v>7372</v>
      </c>
      <c r="G4645" s="2" t="s">
        <v>551</v>
      </c>
      <c r="H4645" s="2" t="s">
        <v>34</v>
      </c>
      <c r="I4645" s="2" t="s">
        <v>14415</v>
      </c>
      <c r="J4645" s="2" t="s">
        <v>14416</v>
      </c>
      <c r="K4645" s="2" t="s">
        <v>551</v>
      </c>
      <c r="L4645" s="2" t="s">
        <v>34</v>
      </c>
      <c r="M4645" s="7">
        <v>61.637999999999998</v>
      </c>
      <c r="N4645" s="7">
        <v>11.375</v>
      </c>
      <c r="O4645" s="6">
        <v>11.75</v>
      </c>
      <c r="P4645" s="2" t="s">
        <v>14417</v>
      </c>
      <c r="Q4645" s="6">
        <v>100</v>
      </c>
      <c r="R4645" s="6">
        <v>7.5</v>
      </c>
      <c r="S4645" s="5">
        <v>1.4</v>
      </c>
      <c r="T4645" s="7">
        <v>2.714</v>
      </c>
      <c r="U4645" s="5">
        <v>1.1000000000000001</v>
      </c>
      <c r="V4645" s="6">
        <v>0.17</v>
      </c>
      <c r="W4645" s="4">
        <v>5</v>
      </c>
      <c r="X4645" s="6">
        <v>5.25</v>
      </c>
      <c r="Y4645" s="4">
        <v>6</v>
      </c>
      <c r="Z4645" s="7">
        <v>6.7190000000000003</v>
      </c>
      <c r="AA4645" s="6">
        <v>7.75</v>
      </c>
      <c r="AB4645" s="7">
        <v>45.134999999999998</v>
      </c>
      <c r="AC4645" s="6">
        <v>0.21</v>
      </c>
    </row>
    <row r="4646" spans="1:29" ht="247" x14ac:dyDescent="0.15">
      <c r="A4646" s="3">
        <f t="shared" si="93"/>
        <v>36297</v>
      </c>
      <c r="B4646" s="2"/>
      <c r="C4646" s="2" t="s">
        <v>30</v>
      </c>
      <c r="D4646" s="2" t="s">
        <v>1394</v>
      </c>
      <c r="E4646" s="2" t="s">
        <v>973</v>
      </c>
      <c r="F4646" s="4">
        <v>4899</v>
      </c>
      <c r="G4646" s="2" t="s">
        <v>63</v>
      </c>
      <c r="H4646" s="2" t="s">
        <v>34</v>
      </c>
      <c r="I4646" s="2" t="s">
        <v>14035</v>
      </c>
      <c r="J4646" s="2" t="s">
        <v>14036</v>
      </c>
      <c r="K4646" s="2" t="s">
        <v>63</v>
      </c>
      <c r="L4646" s="2" t="s">
        <v>1791</v>
      </c>
      <c r="M4646" s="2"/>
      <c r="N4646" s="2"/>
      <c r="O4646" s="2"/>
      <c r="P4646" s="2" t="s">
        <v>14418</v>
      </c>
      <c r="Q4646" s="2"/>
      <c r="R4646" s="6">
        <v>73.650000000000006</v>
      </c>
      <c r="S4646" s="8">
        <v>1486</v>
      </c>
      <c r="T4646" s="8">
        <v>5552</v>
      </c>
      <c r="U4646" s="5">
        <v>1.8</v>
      </c>
      <c r="V4646" s="6">
        <v>2.91</v>
      </c>
      <c r="W4646" s="7">
        <v>54.938000000000002</v>
      </c>
      <c r="X4646" s="6">
        <v>62.25</v>
      </c>
      <c r="Y4646" s="6">
        <v>58.25</v>
      </c>
      <c r="Z4646" s="9">
        <v>54.3125</v>
      </c>
      <c r="AA4646" s="6">
        <v>503.59</v>
      </c>
      <c r="AB4646" s="7">
        <v>15.602</v>
      </c>
      <c r="AC4646" s="6">
        <v>883.78</v>
      </c>
    </row>
    <row r="4647" spans="1:29" ht="117" x14ac:dyDescent="0.15">
      <c r="A4647" s="3">
        <f t="shared" si="93"/>
        <v>36297</v>
      </c>
      <c r="B4647" s="3">
        <f>DATE(2000,1,13)</f>
        <v>36538</v>
      </c>
      <c r="C4647" s="2" t="s">
        <v>95</v>
      </c>
      <c r="D4647" s="2" t="s">
        <v>14419</v>
      </c>
      <c r="E4647" s="2" t="s">
        <v>14420</v>
      </c>
      <c r="F4647" s="4">
        <v>3463</v>
      </c>
      <c r="G4647" s="2" t="s">
        <v>163</v>
      </c>
      <c r="H4647" s="2" t="s">
        <v>34</v>
      </c>
      <c r="I4647" s="2" t="s">
        <v>11584</v>
      </c>
      <c r="J4647" s="2" t="s">
        <v>11585</v>
      </c>
      <c r="K4647" s="2" t="s">
        <v>163</v>
      </c>
      <c r="L4647" s="2" t="s">
        <v>34</v>
      </c>
      <c r="M4647" s="10">
        <v>1091.77</v>
      </c>
      <c r="N4647" s="7">
        <v>40.375</v>
      </c>
      <c r="O4647" s="7">
        <v>40.125</v>
      </c>
      <c r="P4647" s="2" t="s">
        <v>14421</v>
      </c>
      <c r="Q4647" s="6">
        <v>100</v>
      </c>
      <c r="R4647" s="6">
        <v>20</v>
      </c>
      <c r="S4647" s="5">
        <v>39.1</v>
      </c>
      <c r="T4647" s="7">
        <v>87.465000000000003</v>
      </c>
      <c r="U4647" s="5">
        <v>5.6</v>
      </c>
      <c r="V4647" s="6">
        <v>1.05</v>
      </c>
      <c r="W4647" s="6">
        <v>12.75</v>
      </c>
      <c r="X4647" s="6">
        <v>13.25</v>
      </c>
      <c r="Y4647" s="9">
        <v>18.9375</v>
      </c>
      <c r="Z4647" s="7">
        <v>19.125</v>
      </c>
      <c r="AA4647" s="6">
        <v>35.46</v>
      </c>
      <c r="AB4647" s="7">
        <v>13.231999999999999</v>
      </c>
      <c r="AC4647" s="5">
        <v>14.8</v>
      </c>
    </row>
    <row r="4648" spans="1:29" ht="104" x14ac:dyDescent="0.15">
      <c r="A4648" s="3">
        <f>DATE(1999,5,18)</f>
        <v>36298</v>
      </c>
      <c r="B4648" s="3">
        <f>DATE(1999,8,31)</f>
        <v>36403</v>
      </c>
      <c r="C4648" s="2" t="s">
        <v>95</v>
      </c>
      <c r="D4648" s="2" t="s">
        <v>14422</v>
      </c>
      <c r="E4648" s="2" t="s">
        <v>14423</v>
      </c>
      <c r="F4648" s="4">
        <v>7379</v>
      </c>
      <c r="G4648" s="2" t="s">
        <v>223</v>
      </c>
      <c r="H4648" s="2" t="s">
        <v>34</v>
      </c>
      <c r="I4648" s="2" t="s">
        <v>12075</v>
      </c>
      <c r="J4648" s="2" t="s">
        <v>12076</v>
      </c>
      <c r="K4648" s="2" t="s">
        <v>223</v>
      </c>
      <c r="L4648" s="2" t="s">
        <v>34</v>
      </c>
      <c r="M4648" s="7">
        <v>95.114000000000004</v>
      </c>
      <c r="N4648" s="5">
        <v>8.5</v>
      </c>
      <c r="O4648" s="5">
        <v>9.5</v>
      </c>
      <c r="P4648" s="2" t="s">
        <v>14424</v>
      </c>
      <c r="Q4648" s="6">
        <v>100</v>
      </c>
      <c r="R4648" s="6">
        <v>4.55</v>
      </c>
      <c r="S4648" s="5">
        <v>-3.6</v>
      </c>
      <c r="T4648" s="7">
        <v>-2.0259999999999998</v>
      </c>
      <c r="U4648" s="5">
        <v>1.2</v>
      </c>
      <c r="V4648" s="6">
        <v>-1.34</v>
      </c>
      <c r="W4648" s="6">
        <v>2.25</v>
      </c>
      <c r="X4648" s="6">
        <v>2.25</v>
      </c>
      <c r="Y4648" s="7">
        <v>3.9060000000000001</v>
      </c>
      <c r="Z4648" s="6">
        <v>3.75</v>
      </c>
      <c r="AA4648" s="6">
        <v>2.67</v>
      </c>
      <c r="AB4648" s="2" t="s">
        <v>86</v>
      </c>
      <c r="AC4648" s="2"/>
    </row>
    <row r="4649" spans="1:29" ht="130" x14ac:dyDescent="0.15">
      <c r="A4649" s="3">
        <f>DATE(1999,5,18)</f>
        <v>36298</v>
      </c>
      <c r="B4649" s="3">
        <f>DATE(1999,11,30)</f>
        <v>36494</v>
      </c>
      <c r="C4649" s="2" t="s">
        <v>95</v>
      </c>
      <c r="D4649" s="2" t="s">
        <v>14425</v>
      </c>
      <c r="E4649" s="2" t="s">
        <v>14426</v>
      </c>
      <c r="F4649" s="4">
        <v>2511</v>
      </c>
      <c r="G4649" s="2" t="s">
        <v>250</v>
      </c>
      <c r="H4649" s="2" t="s">
        <v>34</v>
      </c>
      <c r="I4649" s="2" t="s">
        <v>51</v>
      </c>
      <c r="J4649" s="2" t="s">
        <v>52</v>
      </c>
      <c r="K4649" s="2" t="s">
        <v>53</v>
      </c>
      <c r="L4649" s="2" t="s">
        <v>34</v>
      </c>
      <c r="M4649" s="2"/>
      <c r="N4649" s="2"/>
      <c r="O4649" s="2"/>
      <c r="P4649" s="2" t="s">
        <v>14427</v>
      </c>
      <c r="Q4649" s="6">
        <v>100</v>
      </c>
      <c r="R4649" s="6">
        <v>16.75</v>
      </c>
      <c r="S4649" s="5">
        <v>22.7</v>
      </c>
      <c r="T4649" s="7">
        <v>54.191000000000003</v>
      </c>
      <c r="U4649" s="5">
        <v>11.9</v>
      </c>
      <c r="V4649" s="6">
        <v>1.38</v>
      </c>
      <c r="W4649" s="7">
        <v>17.875</v>
      </c>
      <c r="X4649" s="7">
        <v>17.375</v>
      </c>
      <c r="Y4649" s="7">
        <v>16.625</v>
      </c>
      <c r="Z4649" s="9">
        <v>16.4375</v>
      </c>
      <c r="AA4649" s="6">
        <v>16.05</v>
      </c>
      <c r="AB4649" s="7">
        <v>7.4219999999999997</v>
      </c>
      <c r="AC4649" s="2"/>
    </row>
    <row r="4650" spans="1:29" ht="143" x14ac:dyDescent="0.15">
      <c r="A4650" s="3">
        <f>DATE(1999,5,18)</f>
        <v>36298</v>
      </c>
      <c r="B4650" s="3">
        <f>DATE(1999,10,5)</f>
        <v>36438</v>
      </c>
      <c r="C4650" s="2" t="s">
        <v>95</v>
      </c>
      <c r="D4650" s="2" t="s">
        <v>14428</v>
      </c>
      <c r="E4650" s="2" t="s">
        <v>973</v>
      </c>
      <c r="F4650" s="4">
        <v>4813</v>
      </c>
      <c r="G4650" s="2" t="s">
        <v>63</v>
      </c>
      <c r="H4650" s="2" t="s">
        <v>34</v>
      </c>
      <c r="I4650" s="2" t="s">
        <v>7196</v>
      </c>
      <c r="J4650" s="2" t="s">
        <v>1604</v>
      </c>
      <c r="K4650" s="2" t="s">
        <v>63</v>
      </c>
      <c r="L4650" s="2" t="s">
        <v>34</v>
      </c>
      <c r="M4650" s="7">
        <v>388.822</v>
      </c>
      <c r="N4650" s="7">
        <v>7.125</v>
      </c>
      <c r="O4650" s="4">
        <v>7</v>
      </c>
      <c r="P4650" s="2" t="s">
        <v>14429</v>
      </c>
      <c r="Q4650" s="6">
        <v>100</v>
      </c>
      <c r="R4650" s="6">
        <v>2.74</v>
      </c>
      <c r="S4650" s="5">
        <v>-42.8</v>
      </c>
      <c r="T4650" s="7">
        <v>36.018999999999998</v>
      </c>
      <c r="U4650" s="5">
        <v>3.3</v>
      </c>
      <c r="V4650" s="6">
        <v>-1.21</v>
      </c>
      <c r="W4650" s="6">
        <v>2.75</v>
      </c>
      <c r="X4650" s="6">
        <v>2.75</v>
      </c>
      <c r="Y4650" s="7">
        <v>3.1880000000000002</v>
      </c>
      <c r="Z4650" s="7">
        <v>3.1560000000000001</v>
      </c>
      <c r="AA4650" s="6">
        <v>37.85</v>
      </c>
      <c r="AB4650" s="7">
        <v>25.440999999999999</v>
      </c>
      <c r="AC4650" s="6">
        <v>101.95</v>
      </c>
    </row>
    <row r="4651" spans="1:29" ht="182" x14ac:dyDescent="0.15">
      <c r="A4651" s="3">
        <f>DATE(1999,5,18)</f>
        <v>36298</v>
      </c>
      <c r="B4651" s="3">
        <f>DATE(1999,8,16)</f>
        <v>36388</v>
      </c>
      <c r="C4651" s="2" t="s">
        <v>95</v>
      </c>
      <c r="D4651" s="2" t="s">
        <v>8103</v>
      </c>
      <c r="E4651" s="2" t="s">
        <v>8104</v>
      </c>
      <c r="F4651" s="4">
        <v>3714</v>
      </c>
      <c r="G4651" s="2" t="s">
        <v>105</v>
      </c>
      <c r="H4651" s="2" t="s">
        <v>34</v>
      </c>
      <c r="I4651" s="2" t="s">
        <v>14430</v>
      </c>
      <c r="J4651" s="2" t="s">
        <v>14431</v>
      </c>
      <c r="K4651" s="2" t="s">
        <v>163</v>
      </c>
      <c r="L4651" s="2" t="s">
        <v>34</v>
      </c>
      <c r="M4651" s="2"/>
      <c r="N4651" s="2"/>
      <c r="O4651" s="2"/>
      <c r="P4651" s="2" t="s">
        <v>14432</v>
      </c>
      <c r="Q4651" s="6">
        <v>100</v>
      </c>
      <c r="R4651" s="6">
        <v>42</v>
      </c>
      <c r="S4651" s="5">
        <v>41.2</v>
      </c>
      <c r="T4651" s="7">
        <v>105.164</v>
      </c>
      <c r="U4651" s="5">
        <v>14.2</v>
      </c>
      <c r="V4651" s="6">
        <v>2.38</v>
      </c>
      <c r="W4651" s="4">
        <v>28</v>
      </c>
      <c r="X4651" s="6">
        <v>25.93</v>
      </c>
      <c r="Y4651" s="7">
        <v>35.938000000000002</v>
      </c>
      <c r="Z4651" s="7">
        <v>36.813000000000002</v>
      </c>
      <c r="AA4651" s="6">
        <v>17.010000000000002</v>
      </c>
      <c r="AB4651" s="7">
        <v>10.32</v>
      </c>
      <c r="AC4651" s="2"/>
    </row>
    <row r="4652" spans="1:29" ht="65" x14ac:dyDescent="0.15">
      <c r="A4652" s="3">
        <f t="shared" ref="A4652:A4658" si="94">DATE(1999,5,19)</f>
        <v>36299</v>
      </c>
      <c r="B4652" s="2"/>
      <c r="C4652" s="2" t="s">
        <v>30</v>
      </c>
      <c r="D4652" s="2" t="s">
        <v>14433</v>
      </c>
      <c r="E4652" s="2" t="s">
        <v>14434</v>
      </c>
      <c r="F4652" s="4">
        <v>6162</v>
      </c>
      <c r="G4652" s="2" t="s">
        <v>109</v>
      </c>
      <c r="H4652" s="2" t="s">
        <v>34</v>
      </c>
      <c r="I4652" s="2" t="s">
        <v>14435</v>
      </c>
      <c r="J4652" s="2" t="s">
        <v>2800</v>
      </c>
      <c r="K4652" s="2" t="s">
        <v>109</v>
      </c>
      <c r="L4652" s="2" t="s">
        <v>34</v>
      </c>
      <c r="M4652" s="2"/>
      <c r="N4652" s="2"/>
      <c r="O4652" s="2"/>
      <c r="P4652" s="2" t="s">
        <v>14436</v>
      </c>
      <c r="Q4652" s="2"/>
      <c r="R4652" s="2"/>
      <c r="S4652" s="5">
        <v>-426.3</v>
      </c>
      <c r="T4652" s="6">
        <v>-160.03</v>
      </c>
      <c r="U4652" s="5">
        <v>4.3</v>
      </c>
      <c r="V4652" s="6">
        <v>-9.2100000000000009</v>
      </c>
      <c r="W4652" s="7">
        <v>6.625</v>
      </c>
      <c r="X4652" s="7">
        <v>6.625</v>
      </c>
      <c r="Y4652" s="9">
        <v>7.1875</v>
      </c>
      <c r="Z4652" s="9">
        <v>8.4375</v>
      </c>
      <c r="AA4652" s="6">
        <v>46.75</v>
      </c>
      <c r="AB4652" s="2" t="s">
        <v>86</v>
      </c>
      <c r="AC4652" s="2"/>
    </row>
    <row r="4653" spans="1:29" ht="78" x14ac:dyDescent="0.15">
      <c r="A4653" s="3">
        <f t="shared" si="94"/>
        <v>36299</v>
      </c>
      <c r="B4653" s="3">
        <f>DATE(1999,9,3)</f>
        <v>36406</v>
      </c>
      <c r="C4653" s="2" t="s">
        <v>95</v>
      </c>
      <c r="D4653" s="2" t="s">
        <v>14437</v>
      </c>
      <c r="E4653" s="2" t="s">
        <v>14438</v>
      </c>
      <c r="F4653" s="4">
        <v>6324</v>
      </c>
      <c r="G4653" s="2" t="s">
        <v>125</v>
      </c>
      <c r="H4653" s="2" t="s">
        <v>34</v>
      </c>
      <c r="I4653" s="2" t="s">
        <v>14439</v>
      </c>
      <c r="J4653" s="2" t="s">
        <v>14440</v>
      </c>
      <c r="K4653" s="2" t="s">
        <v>125</v>
      </c>
      <c r="L4653" s="2" t="s">
        <v>34</v>
      </c>
      <c r="M4653" s="2"/>
      <c r="N4653" s="2"/>
      <c r="O4653" s="2"/>
      <c r="P4653" s="2" t="s">
        <v>14441</v>
      </c>
      <c r="Q4653" s="6">
        <v>100</v>
      </c>
      <c r="R4653" s="6">
        <v>25</v>
      </c>
      <c r="S4653" s="2"/>
      <c r="T4653" s="2"/>
      <c r="U4653" s="2"/>
      <c r="V4653" s="2"/>
      <c r="W4653" s="7">
        <v>17.937999999999999</v>
      </c>
      <c r="X4653" s="7">
        <v>18.625</v>
      </c>
      <c r="Y4653" s="6">
        <v>23.75</v>
      </c>
      <c r="Z4653" s="6">
        <v>23.75</v>
      </c>
      <c r="AA4653" s="6">
        <v>3.73</v>
      </c>
      <c r="AB4653" s="2" t="s">
        <v>47</v>
      </c>
      <c r="AC4653" s="2"/>
    </row>
    <row r="4654" spans="1:29" ht="52" x14ac:dyDescent="0.15">
      <c r="A4654" s="3">
        <f t="shared" si="94"/>
        <v>36299</v>
      </c>
      <c r="B4654" s="3">
        <f>DATE(1999,12,15)</f>
        <v>36509</v>
      </c>
      <c r="C4654" s="2" t="s">
        <v>95</v>
      </c>
      <c r="D4654" s="2" t="s">
        <v>14442</v>
      </c>
      <c r="E4654" s="2" t="s">
        <v>389</v>
      </c>
      <c r="F4654" s="4">
        <v>6035</v>
      </c>
      <c r="G4654" s="2" t="s">
        <v>33</v>
      </c>
      <c r="H4654" s="2" t="s">
        <v>34</v>
      </c>
      <c r="I4654" s="2" t="s">
        <v>14443</v>
      </c>
      <c r="J4654" s="2" t="s">
        <v>8873</v>
      </c>
      <c r="K4654" s="2" t="s">
        <v>37</v>
      </c>
      <c r="L4654" s="2" t="s">
        <v>34</v>
      </c>
      <c r="M4654" s="2"/>
      <c r="N4654" s="2"/>
      <c r="O4654" s="2"/>
      <c r="P4654" s="2" t="s">
        <v>14444</v>
      </c>
      <c r="Q4654" s="6">
        <v>100</v>
      </c>
      <c r="R4654" s="6">
        <v>19.149999999999999</v>
      </c>
      <c r="S4654" s="5">
        <v>1.1000000000000001</v>
      </c>
      <c r="T4654" s="7">
        <v>-12.911</v>
      </c>
      <c r="U4654" s="5">
        <v>15.3</v>
      </c>
      <c r="V4654" s="7">
        <v>0.68700000000000006</v>
      </c>
      <c r="W4654" s="4">
        <v>17</v>
      </c>
      <c r="X4654" s="4">
        <v>17</v>
      </c>
      <c r="Y4654" s="7">
        <v>18.062999999999999</v>
      </c>
      <c r="Z4654" s="7">
        <v>18.062999999999999</v>
      </c>
      <c r="AA4654" s="6">
        <v>1.65</v>
      </c>
      <c r="AB4654" s="7">
        <v>55.957999999999998</v>
      </c>
      <c r="AC4654" s="2"/>
    </row>
    <row r="4655" spans="1:29" ht="65" x14ac:dyDescent="0.15">
      <c r="A4655" s="3">
        <f t="shared" si="94"/>
        <v>36299</v>
      </c>
      <c r="B4655" s="3">
        <f>DATE(1999,10,1)</f>
        <v>36434</v>
      </c>
      <c r="C4655" s="2" t="s">
        <v>95</v>
      </c>
      <c r="D4655" s="2" t="s">
        <v>14445</v>
      </c>
      <c r="E4655" s="2" t="s">
        <v>14446</v>
      </c>
      <c r="F4655" s="4">
        <v>6162</v>
      </c>
      <c r="G4655" s="2" t="s">
        <v>109</v>
      </c>
      <c r="H4655" s="2" t="s">
        <v>34</v>
      </c>
      <c r="I4655" s="2" t="s">
        <v>2324</v>
      </c>
      <c r="J4655" s="2" t="s">
        <v>14447</v>
      </c>
      <c r="K4655" s="2" t="s">
        <v>33</v>
      </c>
      <c r="L4655" s="2" t="s">
        <v>34</v>
      </c>
      <c r="M4655" s="12">
        <v>24537.566999999999</v>
      </c>
      <c r="N4655" s="6">
        <v>39.75</v>
      </c>
      <c r="O4655" s="7">
        <v>39.813000000000002</v>
      </c>
      <c r="P4655" s="2" t="s">
        <v>14448</v>
      </c>
      <c r="Q4655" s="6">
        <v>100</v>
      </c>
      <c r="R4655" s="6">
        <v>15.5</v>
      </c>
      <c r="S4655" s="5">
        <v>31.1</v>
      </c>
      <c r="T4655" s="7">
        <v>46.923000000000002</v>
      </c>
      <c r="U4655" s="5">
        <v>4.7</v>
      </c>
      <c r="V4655" s="6">
        <v>1.29</v>
      </c>
      <c r="W4655" s="5">
        <v>12.5</v>
      </c>
      <c r="X4655" s="7">
        <v>12.313000000000001</v>
      </c>
      <c r="Y4655" s="7">
        <v>14.375</v>
      </c>
      <c r="Z4655" s="7">
        <v>14.406000000000001</v>
      </c>
      <c r="AA4655" s="6">
        <v>22.61</v>
      </c>
      <c r="AB4655" s="7">
        <v>13.994</v>
      </c>
      <c r="AC4655" s="2"/>
    </row>
    <row r="4656" spans="1:29" ht="117" x14ac:dyDescent="0.15">
      <c r="A4656" s="3">
        <f t="shared" si="94"/>
        <v>36299</v>
      </c>
      <c r="B4656" s="3">
        <f>DATE(1999,10,4)</f>
        <v>36437</v>
      </c>
      <c r="C4656" s="2" t="s">
        <v>95</v>
      </c>
      <c r="D4656" s="2" t="s">
        <v>14449</v>
      </c>
      <c r="E4656" s="2" t="s">
        <v>263</v>
      </c>
      <c r="F4656" s="4">
        <v>6021</v>
      </c>
      <c r="G4656" s="2" t="s">
        <v>37</v>
      </c>
      <c r="H4656" s="2" t="s">
        <v>34</v>
      </c>
      <c r="I4656" s="2" t="s">
        <v>2253</v>
      </c>
      <c r="J4656" s="2" t="s">
        <v>159</v>
      </c>
      <c r="K4656" s="2" t="s">
        <v>37</v>
      </c>
      <c r="L4656" s="2" t="s">
        <v>34</v>
      </c>
      <c r="M4656" s="7">
        <v>340.601</v>
      </c>
      <c r="N4656" s="5">
        <v>23.5</v>
      </c>
      <c r="O4656" s="7">
        <v>23.312999999999999</v>
      </c>
      <c r="P4656" s="2" t="s">
        <v>14450</v>
      </c>
      <c r="Q4656" s="6">
        <v>100</v>
      </c>
      <c r="R4656" s="6">
        <v>37.22</v>
      </c>
      <c r="S4656" s="5">
        <v>3.4</v>
      </c>
      <c r="T4656" s="2"/>
      <c r="U4656" s="5">
        <v>12.1</v>
      </c>
      <c r="V4656" s="6">
        <v>1.69</v>
      </c>
      <c r="W4656" s="9">
        <v>27.8125</v>
      </c>
      <c r="X4656" s="4">
        <v>29</v>
      </c>
      <c r="Y4656" s="6">
        <v>31.75</v>
      </c>
      <c r="Z4656" s="4">
        <v>32</v>
      </c>
      <c r="AA4656" s="6">
        <v>2</v>
      </c>
      <c r="AB4656" s="7">
        <v>13.863</v>
      </c>
      <c r="AC4656" s="2"/>
    </row>
    <row r="4657" spans="1:29" ht="117" x14ac:dyDescent="0.15">
      <c r="A4657" s="3">
        <f t="shared" si="94"/>
        <v>36299</v>
      </c>
      <c r="B4657" s="3">
        <f>DATE(1999,8,25)</f>
        <v>36397</v>
      </c>
      <c r="C4657" s="2" t="s">
        <v>95</v>
      </c>
      <c r="D4657" s="2" t="s">
        <v>14451</v>
      </c>
      <c r="E4657" s="2" t="s">
        <v>14452</v>
      </c>
      <c r="F4657" s="4">
        <v>3643</v>
      </c>
      <c r="G4657" s="2" t="s">
        <v>137</v>
      </c>
      <c r="H4657" s="2" t="s">
        <v>34</v>
      </c>
      <c r="I4657" s="2" t="s">
        <v>9732</v>
      </c>
      <c r="J4657" s="2" t="s">
        <v>9733</v>
      </c>
      <c r="K4657" s="2" t="s">
        <v>300</v>
      </c>
      <c r="L4657" s="2" t="s">
        <v>1791</v>
      </c>
      <c r="M4657" s="2"/>
      <c r="N4657" s="5">
        <v>93.5</v>
      </c>
      <c r="O4657" s="7">
        <v>91.375</v>
      </c>
      <c r="P4657" s="2" t="s">
        <v>14453</v>
      </c>
      <c r="Q4657" s="6">
        <v>100</v>
      </c>
      <c r="R4657" s="6">
        <v>39.29</v>
      </c>
      <c r="S4657" s="5">
        <v>179.1</v>
      </c>
      <c r="T4657" s="7">
        <v>371.27600000000001</v>
      </c>
      <c r="U4657" s="5">
        <v>10.4</v>
      </c>
      <c r="V4657" s="6">
        <v>2.0699999999999998</v>
      </c>
      <c r="W4657" s="6">
        <v>27.25</v>
      </c>
      <c r="X4657" s="6">
        <v>31.12</v>
      </c>
      <c r="Y4657" s="6">
        <v>36.25</v>
      </c>
      <c r="Z4657" s="4">
        <v>35</v>
      </c>
      <c r="AA4657" s="6">
        <v>77.28</v>
      </c>
      <c r="AB4657" s="7">
        <v>12.404999999999999</v>
      </c>
      <c r="AC4657" s="5">
        <v>820.1</v>
      </c>
    </row>
    <row r="4658" spans="1:29" ht="130" x14ac:dyDescent="0.15">
      <c r="A4658" s="3">
        <f t="shared" si="94"/>
        <v>36299</v>
      </c>
      <c r="B4658" s="3">
        <f>DATE(1999,11,16)</f>
        <v>36480</v>
      </c>
      <c r="C4658" s="2" t="s">
        <v>95</v>
      </c>
      <c r="D4658" s="2" t="s">
        <v>9630</v>
      </c>
      <c r="E4658" s="2" t="s">
        <v>263</v>
      </c>
      <c r="F4658" s="4">
        <v>6022</v>
      </c>
      <c r="G4658" s="2" t="s">
        <v>37</v>
      </c>
      <c r="H4658" s="2" t="s">
        <v>34</v>
      </c>
      <c r="I4658" s="2" t="s">
        <v>9454</v>
      </c>
      <c r="J4658" s="2" t="s">
        <v>36</v>
      </c>
      <c r="K4658" s="2" t="s">
        <v>37</v>
      </c>
      <c r="L4658" s="2" t="s">
        <v>34</v>
      </c>
      <c r="M4658" s="12">
        <v>26487.018</v>
      </c>
      <c r="N4658" s="7">
        <v>32.563000000000002</v>
      </c>
      <c r="O4658" s="7">
        <v>32.938000000000002</v>
      </c>
      <c r="P4658" s="2" t="s">
        <v>14454</v>
      </c>
      <c r="Q4658" s="6">
        <v>100</v>
      </c>
      <c r="R4658" s="6">
        <v>44.4</v>
      </c>
      <c r="S4658" s="5">
        <v>23.8</v>
      </c>
      <c r="T4658" s="2"/>
      <c r="U4658" s="5">
        <v>17</v>
      </c>
      <c r="V4658" s="6">
        <v>1.03</v>
      </c>
      <c r="W4658" s="7">
        <v>40.625</v>
      </c>
      <c r="X4658" s="4">
        <v>39</v>
      </c>
      <c r="Y4658" s="9">
        <v>40.3125</v>
      </c>
      <c r="Z4658" s="9">
        <v>40.8125</v>
      </c>
      <c r="AA4658" s="6">
        <v>21.11</v>
      </c>
      <c r="AB4658" s="7">
        <v>12.877000000000001</v>
      </c>
      <c r="AC4658" s="2"/>
    </row>
    <row r="4659" spans="1:29" ht="65" x14ac:dyDescent="0.15">
      <c r="A4659" s="3">
        <f>DATE(1999,5,20)</f>
        <v>36300</v>
      </c>
      <c r="B4659" s="2"/>
      <c r="C4659" s="2" t="s">
        <v>7330</v>
      </c>
      <c r="D4659" s="2" t="s">
        <v>14100</v>
      </c>
      <c r="E4659" s="2" t="s">
        <v>14101</v>
      </c>
      <c r="F4659" s="4">
        <v>6726</v>
      </c>
      <c r="G4659" s="2" t="s">
        <v>53</v>
      </c>
      <c r="H4659" s="2" t="s">
        <v>34</v>
      </c>
      <c r="I4659" s="2" t="s">
        <v>51</v>
      </c>
      <c r="J4659" s="2" t="s">
        <v>52</v>
      </c>
      <c r="K4659" s="2" t="s">
        <v>53</v>
      </c>
      <c r="L4659" s="2" t="s">
        <v>34</v>
      </c>
      <c r="M4659" s="2"/>
      <c r="N4659" s="2"/>
      <c r="O4659" s="2"/>
      <c r="P4659" s="2" t="s">
        <v>14455</v>
      </c>
      <c r="Q4659" s="2"/>
      <c r="R4659" s="6">
        <v>9</v>
      </c>
      <c r="S4659" s="5">
        <v>-0.1</v>
      </c>
      <c r="T4659" s="7">
        <v>-0.82099999999999995</v>
      </c>
      <c r="U4659" s="5">
        <v>9.8000000000000007</v>
      </c>
      <c r="V4659" s="7">
        <v>0.45100000000000001</v>
      </c>
      <c r="W4659" s="7">
        <v>7.5309999999999997</v>
      </c>
      <c r="X4659" s="7">
        <v>7.6559999999999997</v>
      </c>
      <c r="Y4659" s="4">
        <v>8</v>
      </c>
      <c r="Z4659" s="6">
        <v>8.25</v>
      </c>
      <c r="AA4659" s="6">
        <v>0.66</v>
      </c>
      <c r="AB4659" s="2" t="s">
        <v>86</v>
      </c>
      <c r="AC4659" s="2"/>
    </row>
    <row r="4660" spans="1:29" ht="182" x14ac:dyDescent="0.15">
      <c r="A4660" s="3">
        <f>DATE(1999,5,20)</f>
        <v>36300</v>
      </c>
      <c r="B4660" s="3">
        <f>DATE(1999,8,17)</f>
        <v>36389</v>
      </c>
      <c r="C4660" s="2" t="s">
        <v>95</v>
      </c>
      <c r="D4660" s="2" t="s">
        <v>14456</v>
      </c>
      <c r="E4660" s="2" t="s">
        <v>612</v>
      </c>
      <c r="F4660" s="4">
        <v>1311</v>
      </c>
      <c r="G4660" s="2" t="s">
        <v>148</v>
      </c>
      <c r="H4660" s="2" t="s">
        <v>34</v>
      </c>
      <c r="I4660" s="2" t="s">
        <v>4535</v>
      </c>
      <c r="J4660" s="2" t="s">
        <v>1435</v>
      </c>
      <c r="K4660" s="2" t="s">
        <v>148</v>
      </c>
      <c r="L4660" s="2" t="s">
        <v>34</v>
      </c>
      <c r="M4660" s="12">
        <v>1458.673</v>
      </c>
      <c r="N4660" s="6">
        <v>33.75</v>
      </c>
      <c r="O4660" s="5">
        <v>35.5</v>
      </c>
      <c r="P4660" s="2" t="s">
        <v>14457</v>
      </c>
      <c r="Q4660" s="6">
        <v>100</v>
      </c>
      <c r="R4660" s="6">
        <v>14.1</v>
      </c>
      <c r="S4660" s="5">
        <v>-48.7</v>
      </c>
      <c r="T4660" s="7">
        <v>89.317999999999998</v>
      </c>
      <c r="U4660" s="5">
        <v>8.1</v>
      </c>
      <c r="V4660" s="6">
        <v>-1.07</v>
      </c>
      <c r="W4660" s="7">
        <v>13.313000000000001</v>
      </c>
      <c r="X4660" s="7">
        <v>14.625</v>
      </c>
      <c r="Y4660" s="5">
        <v>14.5</v>
      </c>
      <c r="Z4660" s="7">
        <v>16.187999999999999</v>
      </c>
      <c r="AA4660" s="6">
        <v>47.95</v>
      </c>
      <c r="AB4660" s="2" t="s">
        <v>86</v>
      </c>
      <c r="AC4660" s="6">
        <v>13.44</v>
      </c>
    </row>
    <row r="4661" spans="1:29" ht="104" x14ac:dyDescent="0.15">
      <c r="A4661" s="3">
        <f>DATE(1999,5,21)</f>
        <v>36301</v>
      </c>
      <c r="B4661" s="3">
        <f>DATE(1999,7,30)</f>
        <v>36371</v>
      </c>
      <c r="C4661" s="2" t="s">
        <v>95</v>
      </c>
      <c r="D4661" s="2" t="s">
        <v>14458</v>
      </c>
      <c r="E4661" s="2" t="s">
        <v>14459</v>
      </c>
      <c r="F4661" s="4">
        <v>1623</v>
      </c>
      <c r="G4661" s="2" t="s">
        <v>341</v>
      </c>
      <c r="H4661" s="2" t="s">
        <v>34</v>
      </c>
      <c r="I4661" s="2" t="s">
        <v>14460</v>
      </c>
      <c r="J4661" s="2" t="s">
        <v>14461</v>
      </c>
      <c r="K4661" s="2" t="s">
        <v>137</v>
      </c>
      <c r="L4661" s="2" t="s">
        <v>34</v>
      </c>
      <c r="M4661" s="12">
        <v>7100.4629999999997</v>
      </c>
      <c r="N4661" s="7">
        <v>78.438000000000002</v>
      </c>
      <c r="O4661" s="7">
        <v>76.063000000000002</v>
      </c>
      <c r="P4661" s="2" t="s">
        <v>14462</v>
      </c>
      <c r="Q4661" s="6">
        <v>100</v>
      </c>
      <c r="R4661" s="6">
        <v>15.34</v>
      </c>
      <c r="S4661" s="5">
        <v>1.2</v>
      </c>
      <c r="T4661" s="7">
        <v>4.742</v>
      </c>
      <c r="U4661" s="5">
        <v>7.6</v>
      </c>
      <c r="V4661" s="6">
        <v>0.28000000000000003</v>
      </c>
      <c r="W4661" s="7">
        <v>9.9380000000000006</v>
      </c>
      <c r="X4661" s="7">
        <v>10.875</v>
      </c>
      <c r="Y4661" s="7">
        <v>14.563000000000001</v>
      </c>
      <c r="Z4661" s="6">
        <v>14.25</v>
      </c>
      <c r="AA4661" s="6">
        <v>4.53</v>
      </c>
      <c r="AB4661" s="7">
        <v>38.825000000000003</v>
      </c>
      <c r="AC4661" s="5">
        <v>53.9</v>
      </c>
    </row>
    <row r="4662" spans="1:29" ht="130" x14ac:dyDescent="0.15">
      <c r="A4662" s="3">
        <f>DATE(1999,5,21)</f>
        <v>36301</v>
      </c>
      <c r="B4662" s="3">
        <f>DATE(1999,9,30)</f>
        <v>36433</v>
      </c>
      <c r="C4662" s="2" t="s">
        <v>95</v>
      </c>
      <c r="D4662" s="2" t="s">
        <v>1636</v>
      </c>
      <c r="E4662" s="2" t="s">
        <v>1637</v>
      </c>
      <c r="F4662" s="4">
        <v>3312</v>
      </c>
      <c r="G4662" s="2" t="s">
        <v>163</v>
      </c>
      <c r="H4662" s="2" t="s">
        <v>34</v>
      </c>
      <c r="I4662" s="2" t="s">
        <v>14463</v>
      </c>
      <c r="J4662" s="2" t="s">
        <v>1637</v>
      </c>
      <c r="K4662" s="2" t="s">
        <v>163</v>
      </c>
      <c r="L4662" s="2" t="s">
        <v>34</v>
      </c>
      <c r="M4662" s="12">
        <v>1611.432</v>
      </c>
      <c r="N4662" s="7">
        <v>22.375</v>
      </c>
      <c r="O4662" s="7">
        <v>24.437999999999999</v>
      </c>
      <c r="P4662" s="2" t="s">
        <v>14464</v>
      </c>
      <c r="Q4662" s="6">
        <v>100</v>
      </c>
      <c r="R4662" s="6">
        <v>6.69</v>
      </c>
      <c r="S4662" s="5">
        <v>114.5</v>
      </c>
      <c r="T4662" s="5">
        <v>178.7</v>
      </c>
      <c r="U4662" s="5">
        <v>0.1</v>
      </c>
      <c r="V4662" s="6">
        <v>0.84</v>
      </c>
      <c r="W4662" s="7">
        <v>5.875</v>
      </c>
      <c r="X4662" s="6">
        <v>5.62</v>
      </c>
      <c r="Y4662" s="5">
        <v>6.5</v>
      </c>
      <c r="Z4662" s="7">
        <v>6.4379999999999997</v>
      </c>
      <c r="AA4662" s="6">
        <v>108.69</v>
      </c>
      <c r="AB4662" s="7">
        <v>10.204000000000001</v>
      </c>
      <c r="AC4662" s="5">
        <v>498.2</v>
      </c>
    </row>
    <row r="4663" spans="1:29" ht="65" x14ac:dyDescent="0.15">
      <c r="A4663" s="3">
        <f>DATE(1999,5,21)</f>
        <v>36301</v>
      </c>
      <c r="B4663" s="2"/>
      <c r="C4663" s="2" t="s">
        <v>30</v>
      </c>
      <c r="D4663" s="2" t="s">
        <v>14465</v>
      </c>
      <c r="E4663" s="2" t="s">
        <v>14466</v>
      </c>
      <c r="F4663" s="4">
        <v>2844</v>
      </c>
      <c r="G4663" s="2" t="s">
        <v>358</v>
      </c>
      <c r="H4663" s="2" t="s">
        <v>34</v>
      </c>
      <c r="I4663" s="2" t="s">
        <v>14467</v>
      </c>
      <c r="J4663" s="2" t="s">
        <v>14468</v>
      </c>
      <c r="K4663" s="2" t="s">
        <v>358</v>
      </c>
      <c r="L4663" s="2" t="s">
        <v>34</v>
      </c>
      <c r="M4663" s="2"/>
      <c r="N4663" s="2"/>
      <c r="O4663" s="2"/>
      <c r="P4663" s="2" t="s">
        <v>14469</v>
      </c>
      <c r="Q4663" s="2"/>
      <c r="R4663" s="2"/>
      <c r="S4663" s="5">
        <v>-41.6</v>
      </c>
      <c r="T4663" s="5">
        <v>261.8</v>
      </c>
      <c r="U4663" s="5">
        <v>-144.80000000000001</v>
      </c>
      <c r="V4663" s="9">
        <v>-7.8776999999999999</v>
      </c>
      <c r="W4663" s="7">
        <v>23.875</v>
      </c>
      <c r="X4663" s="6">
        <v>29.25</v>
      </c>
      <c r="Y4663" s="5">
        <v>30.5</v>
      </c>
      <c r="Z4663" s="7">
        <v>27.937999999999999</v>
      </c>
      <c r="AA4663" s="6">
        <v>51.24</v>
      </c>
      <c r="AB4663" s="2" t="s">
        <v>47</v>
      </c>
      <c r="AC4663" s="2"/>
    </row>
    <row r="4664" spans="1:29" ht="78" x14ac:dyDescent="0.15">
      <c r="A4664" s="3">
        <f>DATE(1999,5,21)</f>
        <v>36301</v>
      </c>
      <c r="B4664" s="3">
        <f>DATE(1999,12,10)</f>
        <v>36504</v>
      </c>
      <c r="C4664" s="2" t="s">
        <v>95</v>
      </c>
      <c r="D4664" s="2" t="s">
        <v>14470</v>
      </c>
      <c r="E4664" s="2" t="s">
        <v>14471</v>
      </c>
      <c r="F4664" s="4">
        <v>3825</v>
      </c>
      <c r="G4664" s="2" t="s">
        <v>226</v>
      </c>
      <c r="H4664" s="2" t="s">
        <v>34</v>
      </c>
      <c r="I4664" s="2" t="s">
        <v>636</v>
      </c>
      <c r="J4664" s="2" t="s">
        <v>637</v>
      </c>
      <c r="K4664" s="2" t="s">
        <v>226</v>
      </c>
      <c r="L4664" s="2" t="s">
        <v>34</v>
      </c>
      <c r="M4664" s="12">
        <v>1505.4179999999999</v>
      </c>
      <c r="N4664" s="5">
        <v>15.5</v>
      </c>
      <c r="O4664" s="7">
        <v>15.438000000000001</v>
      </c>
      <c r="P4664" s="2" t="s">
        <v>14472</v>
      </c>
      <c r="Q4664" s="6">
        <v>14.47</v>
      </c>
      <c r="R4664" s="6">
        <v>16</v>
      </c>
      <c r="S4664" s="5">
        <v>2.2999999999999998</v>
      </c>
      <c r="T4664" s="7">
        <v>17.094000000000001</v>
      </c>
      <c r="U4664" s="5">
        <v>8.5</v>
      </c>
      <c r="V4664" s="6">
        <v>0.15</v>
      </c>
      <c r="W4664" s="7">
        <v>11.125</v>
      </c>
      <c r="X4664" s="5">
        <v>11.5</v>
      </c>
      <c r="Y4664" s="9">
        <v>15.3125</v>
      </c>
      <c r="Z4664" s="9">
        <v>15.3125</v>
      </c>
      <c r="AA4664" s="6">
        <v>15.39</v>
      </c>
      <c r="AB4664" s="7">
        <v>34.405999999999999</v>
      </c>
      <c r="AC4664" s="6">
        <v>199.93</v>
      </c>
    </row>
    <row r="4665" spans="1:29" ht="104" x14ac:dyDescent="0.15">
      <c r="A4665" s="3">
        <f>DATE(1999,5,24)</f>
        <v>36304</v>
      </c>
      <c r="B4665" s="3">
        <f>DATE(1999,8,17)</f>
        <v>36389</v>
      </c>
      <c r="C4665" s="2" t="s">
        <v>95</v>
      </c>
      <c r="D4665" s="2" t="s">
        <v>14473</v>
      </c>
      <c r="E4665" s="2" t="s">
        <v>14474</v>
      </c>
      <c r="F4665" s="4">
        <v>7373</v>
      </c>
      <c r="G4665" s="2" t="s">
        <v>223</v>
      </c>
      <c r="H4665" s="2" t="s">
        <v>34</v>
      </c>
      <c r="I4665" s="2" t="s">
        <v>14475</v>
      </c>
      <c r="J4665" s="2" t="s">
        <v>2016</v>
      </c>
      <c r="K4665" s="2" t="s">
        <v>50</v>
      </c>
      <c r="L4665" s="2" t="s">
        <v>34</v>
      </c>
      <c r="M4665" s="7">
        <v>242.553</v>
      </c>
      <c r="N4665" s="4">
        <v>31</v>
      </c>
      <c r="O4665" s="7">
        <v>30.625</v>
      </c>
      <c r="P4665" s="2" t="s">
        <v>14476</v>
      </c>
      <c r="Q4665" s="6">
        <v>100</v>
      </c>
      <c r="R4665" s="6">
        <v>8.23</v>
      </c>
      <c r="S4665" s="5">
        <v>0.1</v>
      </c>
      <c r="T4665" s="6">
        <v>1.1499999999999999</v>
      </c>
      <c r="U4665" s="5">
        <v>1.7</v>
      </c>
      <c r="V4665" s="6">
        <v>0.01</v>
      </c>
      <c r="W4665" s="7">
        <v>4.9379999999999997</v>
      </c>
      <c r="X4665" s="7">
        <v>4.875</v>
      </c>
      <c r="Y4665" s="7">
        <v>6.125</v>
      </c>
      <c r="Z4665" s="7">
        <v>6.0629999999999997</v>
      </c>
      <c r="AA4665" s="6">
        <v>13.49</v>
      </c>
      <c r="AB4665" s="2" t="s">
        <v>86</v>
      </c>
      <c r="AC4665" s="6">
        <v>16.79</v>
      </c>
    </row>
    <row r="4666" spans="1:29" ht="39" x14ac:dyDescent="0.15">
      <c r="A4666" s="3">
        <f>DATE(1999,5,25)</f>
        <v>36305</v>
      </c>
      <c r="B4666" s="2"/>
      <c r="C4666" s="2" t="s">
        <v>141</v>
      </c>
      <c r="D4666" s="2" t="s">
        <v>14477</v>
      </c>
      <c r="E4666" s="2" t="s">
        <v>13817</v>
      </c>
      <c r="F4666" s="4">
        <v>3842</v>
      </c>
      <c r="G4666" s="2" t="s">
        <v>226</v>
      </c>
      <c r="H4666" s="2" t="s">
        <v>34</v>
      </c>
      <c r="I4666" s="2" t="s">
        <v>143</v>
      </c>
      <c r="J4666" s="2" t="s">
        <v>144</v>
      </c>
      <c r="K4666" s="2" t="s">
        <v>53</v>
      </c>
      <c r="L4666" s="2" t="s">
        <v>139</v>
      </c>
      <c r="M4666" s="2"/>
      <c r="N4666" s="2"/>
      <c r="O4666" s="2"/>
      <c r="P4666" s="2" t="s">
        <v>14478</v>
      </c>
      <c r="Q4666" s="2"/>
      <c r="R4666" s="2"/>
      <c r="S4666" s="5">
        <v>-12</v>
      </c>
      <c r="T4666" s="7">
        <v>-11.567</v>
      </c>
      <c r="U4666" s="5">
        <v>0.7</v>
      </c>
      <c r="V4666" s="6">
        <v>-0.98</v>
      </c>
      <c r="W4666" s="6">
        <v>11.25</v>
      </c>
      <c r="X4666" s="7">
        <v>10.438000000000001</v>
      </c>
      <c r="Y4666" s="7">
        <v>10.625</v>
      </c>
      <c r="Z4666" s="6">
        <v>10.75</v>
      </c>
      <c r="AA4666" s="6">
        <v>13.83</v>
      </c>
      <c r="AB4666" s="2" t="s">
        <v>86</v>
      </c>
      <c r="AC4666" s="2"/>
    </row>
    <row r="4667" spans="1:29" ht="91" x14ac:dyDescent="0.15">
      <c r="A4667" s="3">
        <f>DATE(1999,5,25)</f>
        <v>36305</v>
      </c>
      <c r="B4667" s="3">
        <f>DATE(2000,4,7)</f>
        <v>36623</v>
      </c>
      <c r="C4667" s="2" t="s">
        <v>95</v>
      </c>
      <c r="D4667" s="2" t="s">
        <v>1261</v>
      </c>
      <c r="E4667" s="2" t="s">
        <v>1262</v>
      </c>
      <c r="F4667" s="4">
        <v>4911</v>
      </c>
      <c r="G4667" s="2" t="s">
        <v>439</v>
      </c>
      <c r="H4667" s="2" t="s">
        <v>34</v>
      </c>
      <c r="I4667" s="2" t="s">
        <v>51</v>
      </c>
      <c r="J4667" s="2" t="s">
        <v>52</v>
      </c>
      <c r="K4667" s="2" t="s">
        <v>53</v>
      </c>
      <c r="L4667" s="2" t="s">
        <v>34</v>
      </c>
      <c r="M4667" s="2"/>
      <c r="N4667" s="2"/>
      <c r="O4667" s="2"/>
      <c r="P4667" s="2" t="s">
        <v>14479</v>
      </c>
      <c r="Q4667" s="6">
        <v>100</v>
      </c>
      <c r="R4667" s="6">
        <v>44</v>
      </c>
      <c r="S4667" s="5">
        <v>17.899999999999999</v>
      </c>
      <c r="T4667" s="7">
        <v>142.76300000000001</v>
      </c>
      <c r="U4667" s="5">
        <v>23.2</v>
      </c>
      <c r="V4667" s="6">
        <v>2.2999999999999998</v>
      </c>
      <c r="W4667" s="7">
        <v>32.938000000000002</v>
      </c>
      <c r="X4667" s="7">
        <v>34.938000000000002</v>
      </c>
      <c r="Y4667" s="7">
        <v>38.313000000000002</v>
      </c>
      <c r="Z4667" s="7">
        <v>37.938000000000002</v>
      </c>
      <c r="AA4667" s="6">
        <v>13.4</v>
      </c>
      <c r="AB4667" s="7">
        <v>10.516999999999999</v>
      </c>
      <c r="AC4667" s="2"/>
    </row>
    <row r="4668" spans="1:29" ht="65" x14ac:dyDescent="0.15">
      <c r="A4668" s="3">
        <f>DATE(1999,5,25)</f>
        <v>36305</v>
      </c>
      <c r="B4668" s="3">
        <f>DATE(1999,8,17)</f>
        <v>36389</v>
      </c>
      <c r="C4668" s="2" t="s">
        <v>95</v>
      </c>
      <c r="D4668" s="2" t="s">
        <v>14480</v>
      </c>
      <c r="E4668" s="2" t="s">
        <v>14481</v>
      </c>
      <c r="F4668" s="4">
        <v>8071</v>
      </c>
      <c r="G4668" s="2" t="s">
        <v>454</v>
      </c>
      <c r="H4668" s="2" t="s">
        <v>34</v>
      </c>
      <c r="I4668" s="2" t="s">
        <v>14482</v>
      </c>
      <c r="J4668" s="2" t="s">
        <v>244</v>
      </c>
      <c r="K4668" s="2" t="s">
        <v>53</v>
      </c>
      <c r="L4668" s="2" t="s">
        <v>34</v>
      </c>
      <c r="M4668" s="2"/>
      <c r="N4668" s="2"/>
      <c r="O4668" s="2"/>
      <c r="P4668" s="2" t="s">
        <v>14483</v>
      </c>
      <c r="Q4668" s="6">
        <v>100</v>
      </c>
      <c r="R4668" s="6">
        <v>5.85</v>
      </c>
      <c r="S4668" s="5">
        <v>13.8</v>
      </c>
      <c r="T4668" s="7">
        <v>34.951000000000001</v>
      </c>
      <c r="U4668" s="5">
        <v>-0.4</v>
      </c>
      <c r="V4668" s="9">
        <v>0.31559999999999999</v>
      </c>
      <c r="W4668" s="7">
        <v>5.0629999999999997</v>
      </c>
      <c r="X4668" s="7">
        <v>4.875</v>
      </c>
      <c r="Y4668" s="9">
        <v>5.3125</v>
      </c>
      <c r="Z4668" s="9">
        <v>5.3125</v>
      </c>
      <c r="AA4668" s="6">
        <v>40.82</v>
      </c>
      <c r="AB4668" s="7">
        <v>14.477</v>
      </c>
      <c r="AC4668" s="2"/>
    </row>
    <row r="4669" spans="1:29" ht="156" x14ac:dyDescent="0.15">
      <c r="A4669" s="3">
        <f>DATE(1999,5,26)</f>
        <v>36306</v>
      </c>
      <c r="B4669" s="3">
        <f>DATE(1999,12,30)</f>
        <v>36524</v>
      </c>
      <c r="C4669" s="2" t="s">
        <v>95</v>
      </c>
      <c r="D4669" s="2" t="s">
        <v>14484</v>
      </c>
      <c r="E4669" s="2" t="s">
        <v>14485</v>
      </c>
      <c r="F4669" s="4">
        <v>6311</v>
      </c>
      <c r="G4669" s="2" t="s">
        <v>125</v>
      </c>
      <c r="H4669" s="2" t="s">
        <v>34</v>
      </c>
      <c r="I4669" s="2" t="s">
        <v>14486</v>
      </c>
      <c r="J4669" s="2" t="s">
        <v>124</v>
      </c>
      <c r="K4669" s="2" t="s">
        <v>125</v>
      </c>
      <c r="L4669" s="2" t="s">
        <v>215</v>
      </c>
      <c r="M4669" s="2"/>
      <c r="N4669" s="2"/>
      <c r="O4669" s="2"/>
      <c r="P4669" s="2" t="s">
        <v>14487</v>
      </c>
      <c r="Q4669" s="6">
        <v>88.82</v>
      </c>
      <c r="R4669" s="6">
        <v>25.16</v>
      </c>
      <c r="S4669" s="5">
        <v>41.5</v>
      </c>
      <c r="T4669" s="2"/>
      <c r="U4669" s="5">
        <v>18.100000000000001</v>
      </c>
      <c r="V4669" s="6">
        <v>1.35</v>
      </c>
      <c r="W4669" s="5">
        <v>19.5</v>
      </c>
      <c r="X4669" s="5">
        <v>19.5</v>
      </c>
      <c r="Y4669" s="6">
        <v>19.25</v>
      </c>
      <c r="Z4669" s="9">
        <v>16.3125</v>
      </c>
      <c r="AA4669" s="6">
        <v>32.049999999999997</v>
      </c>
      <c r="AB4669" s="7">
        <v>14.792999999999999</v>
      </c>
      <c r="AC4669" s="6">
        <v>317.70999999999998</v>
      </c>
    </row>
    <row r="4670" spans="1:29" ht="65" x14ac:dyDescent="0.15">
      <c r="A4670" s="3">
        <f>DATE(1999,5,26)</f>
        <v>36306</v>
      </c>
      <c r="B4670" s="3">
        <f>DATE(1999,8,4)</f>
        <v>36376</v>
      </c>
      <c r="C4670" s="2" t="s">
        <v>95</v>
      </c>
      <c r="D4670" s="2" t="s">
        <v>14488</v>
      </c>
      <c r="E4670" s="2" t="s">
        <v>4209</v>
      </c>
      <c r="F4670" s="4">
        <v>3511</v>
      </c>
      <c r="G4670" s="2" t="s">
        <v>300</v>
      </c>
      <c r="H4670" s="2" t="s">
        <v>34</v>
      </c>
      <c r="I4670" s="2" t="s">
        <v>14489</v>
      </c>
      <c r="J4670" s="2" t="s">
        <v>2728</v>
      </c>
      <c r="K4670" s="2" t="s">
        <v>137</v>
      </c>
      <c r="L4670" s="2" t="s">
        <v>34</v>
      </c>
      <c r="M4670" s="2"/>
      <c r="N4670" s="2"/>
      <c r="O4670" s="2"/>
      <c r="P4670" s="2" t="s">
        <v>14490</v>
      </c>
      <c r="Q4670" s="6">
        <v>100</v>
      </c>
      <c r="R4670" s="6">
        <v>2.33</v>
      </c>
      <c r="S4670" s="5">
        <v>-1.1000000000000001</v>
      </c>
      <c r="T4670" s="7">
        <v>-0.26700000000000002</v>
      </c>
      <c r="U4670" s="5">
        <v>0.7</v>
      </c>
      <c r="V4670" s="7">
        <v>-6.5000000000000002E-2</v>
      </c>
      <c r="W4670" s="7">
        <v>1.8129999999999999</v>
      </c>
      <c r="X4670" s="7">
        <v>1.875</v>
      </c>
      <c r="Y4670" s="7">
        <v>2.0630000000000002</v>
      </c>
      <c r="Z4670" s="7">
        <v>2.125</v>
      </c>
      <c r="AA4670" s="6">
        <v>17.149999999999999</v>
      </c>
      <c r="AB4670" s="2" t="s">
        <v>86</v>
      </c>
      <c r="AC4670" s="2"/>
    </row>
    <row r="4671" spans="1:29" ht="65" x14ac:dyDescent="0.15">
      <c r="A4671" s="3">
        <f>DATE(1999,5,26)</f>
        <v>36306</v>
      </c>
      <c r="B4671" s="3">
        <f>DATE(1999,10,15)</f>
        <v>36448</v>
      </c>
      <c r="C4671" s="2" t="s">
        <v>95</v>
      </c>
      <c r="D4671" s="2" t="s">
        <v>14491</v>
      </c>
      <c r="E4671" s="2" t="s">
        <v>32</v>
      </c>
      <c r="F4671" s="4">
        <v>6035</v>
      </c>
      <c r="G4671" s="2" t="s">
        <v>33</v>
      </c>
      <c r="H4671" s="2" t="s">
        <v>34</v>
      </c>
      <c r="I4671" s="2" t="s">
        <v>14492</v>
      </c>
      <c r="J4671" s="2" t="s">
        <v>265</v>
      </c>
      <c r="K4671" s="2" t="s">
        <v>37</v>
      </c>
      <c r="L4671" s="2" t="s">
        <v>34</v>
      </c>
      <c r="M4671" s="7">
        <v>192.536</v>
      </c>
      <c r="N4671" s="4">
        <v>10</v>
      </c>
      <c r="O4671" s="7">
        <v>10.063000000000001</v>
      </c>
      <c r="P4671" s="2" t="s">
        <v>14493</v>
      </c>
      <c r="Q4671" s="6">
        <v>100</v>
      </c>
      <c r="R4671" s="6">
        <v>22.25</v>
      </c>
      <c r="S4671" s="5">
        <v>0.4</v>
      </c>
      <c r="T4671" s="7">
        <v>0.71399999999999997</v>
      </c>
      <c r="U4671" s="5">
        <v>18.399999999999999</v>
      </c>
      <c r="V4671" s="6">
        <v>1.06</v>
      </c>
      <c r="W4671" s="6">
        <v>14.75</v>
      </c>
      <c r="X4671" s="6">
        <v>14.75</v>
      </c>
      <c r="Y4671" s="7">
        <v>17.125</v>
      </c>
      <c r="Z4671" s="5">
        <v>18.5</v>
      </c>
      <c r="AA4671" s="6">
        <v>0.4</v>
      </c>
      <c r="AB4671" s="7">
        <v>18.254999999999999</v>
      </c>
      <c r="AC4671" s="2"/>
    </row>
    <row r="4672" spans="1:29" ht="39" x14ac:dyDescent="0.15">
      <c r="A4672" s="3">
        <f>DATE(1999,5,27)</f>
        <v>36307</v>
      </c>
      <c r="B4672" s="3">
        <f>DATE(1999,9,1)</f>
        <v>36404</v>
      </c>
      <c r="C4672" s="2" t="s">
        <v>95</v>
      </c>
      <c r="D4672" s="2" t="s">
        <v>14494</v>
      </c>
      <c r="E4672" s="2" t="s">
        <v>14495</v>
      </c>
      <c r="F4672" s="4">
        <v>3845</v>
      </c>
      <c r="G4672" s="2" t="s">
        <v>226</v>
      </c>
      <c r="H4672" s="2" t="s">
        <v>34</v>
      </c>
      <c r="I4672" s="2" t="s">
        <v>243</v>
      </c>
      <c r="J4672" s="2" t="s">
        <v>244</v>
      </c>
      <c r="K4672" s="2" t="s">
        <v>53</v>
      </c>
      <c r="L4672" s="2" t="s">
        <v>34</v>
      </c>
      <c r="M4672" s="2"/>
      <c r="N4672" s="2"/>
      <c r="O4672" s="2"/>
      <c r="P4672" s="2" t="s">
        <v>14496</v>
      </c>
      <c r="Q4672" s="6">
        <v>100</v>
      </c>
      <c r="R4672" s="6">
        <v>26.5</v>
      </c>
      <c r="S4672" s="5">
        <v>11.8</v>
      </c>
      <c r="T4672" s="7">
        <v>21.734999999999999</v>
      </c>
      <c r="U4672" s="5">
        <v>5.7</v>
      </c>
      <c r="V4672" s="6">
        <v>1.66</v>
      </c>
      <c r="W4672" s="6">
        <v>20.75</v>
      </c>
      <c r="X4672" s="7">
        <v>20.812999999999999</v>
      </c>
      <c r="Y4672" s="5">
        <v>24.5</v>
      </c>
      <c r="Z4672" s="5">
        <v>24.5</v>
      </c>
      <c r="AA4672" s="6">
        <v>6.09</v>
      </c>
      <c r="AB4672" s="7">
        <v>9.1679999999999993</v>
      </c>
      <c r="AC4672" s="2"/>
    </row>
    <row r="4673" spans="1:29" ht="104" x14ac:dyDescent="0.15">
      <c r="A4673" s="3">
        <f>DATE(1999,5,27)</f>
        <v>36307</v>
      </c>
      <c r="B4673" s="3">
        <f>DATE(1999,7,8)</f>
        <v>36349</v>
      </c>
      <c r="C4673" s="2" t="s">
        <v>95</v>
      </c>
      <c r="D4673" s="2" t="s">
        <v>14497</v>
      </c>
      <c r="E4673" s="2" t="s">
        <v>14498</v>
      </c>
      <c r="F4673" s="4">
        <v>2835</v>
      </c>
      <c r="G4673" s="2" t="s">
        <v>130</v>
      </c>
      <c r="H4673" s="2" t="s">
        <v>34</v>
      </c>
      <c r="I4673" s="2" t="s">
        <v>14499</v>
      </c>
      <c r="J4673" s="2" t="s">
        <v>14500</v>
      </c>
      <c r="K4673" s="2" t="s">
        <v>226</v>
      </c>
      <c r="L4673" s="2" t="s">
        <v>435</v>
      </c>
      <c r="M4673" s="2"/>
      <c r="N4673" s="2"/>
      <c r="O4673" s="2"/>
      <c r="P4673" s="2" t="s">
        <v>14501</v>
      </c>
      <c r="Q4673" s="6">
        <v>100</v>
      </c>
      <c r="R4673" s="6">
        <v>3.75</v>
      </c>
      <c r="S4673" s="5">
        <v>0</v>
      </c>
      <c r="T4673" s="7">
        <v>0.89700000000000002</v>
      </c>
      <c r="U4673" s="5">
        <v>1.8</v>
      </c>
      <c r="V4673" s="7">
        <v>1.2E-2</v>
      </c>
      <c r="W4673" s="4">
        <v>3</v>
      </c>
      <c r="X4673" s="7">
        <v>2.875</v>
      </c>
      <c r="Y4673" s="7">
        <v>3.5630000000000002</v>
      </c>
      <c r="Z4673" s="7">
        <v>3.5630000000000002</v>
      </c>
      <c r="AA4673" s="6">
        <v>3.47</v>
      </c>
      <c r="AB4673" s="2" t="s">
        <v>86</v>
      </c>
      <c r="AC4673" s="2"/>
    </row>
    <row r="4674" spans="1:29" ht="78" x14ac:dyDescent="0.15">
      <c r="A4674" s="3">
        <f>DATE(1999,5,27)</f>
        <v>36307</v>
      </c>
      <c r="B4674" s="3">
        <f>DATE(1999,7,14)</f>
        <v>36355</v>
      </c>
      <c r="C4674" s="2" t="s">
        <v>95</v>
      </c>
      <c r="D4674" s="2" t="s">
        <v>14502</v>
      </c>
      <c r="E4674" s="2" t="s">
        <v>14503</v>
      </c>
      <c r="F4674" s="4">
        <v>7372</v>
      </c>
      <c r="G4674" s="2" t="s">
        <v>551</v>
      </c>
      <c r="H4674" s="2" t="s">
        <v>34</v>
      </c>
      <c r="I4674" s="2" t="s">
        <v>14504</v>
      </c>
      <c r="J4674" s="2" t="s">
        <v>14505</v>
      </c>
      <c r="K4674" s="2" t="s">
        <v>226</v>
      </c>
      <c r="L4674" s="2" t="s">
        <v>303</v>
      </c>
      <c r="M4674" s="2"/>
      <c r="N4674" s="2"/>
      <c r="O4674" s="2"/>
      <c r="P4674" s="2" t="s">
        <v>14506</v>
      </c>
      <c r="Q4674" s="6">
        <v>100</v>
      </c>
      <c r="R4674" s="6">
        <v>7.5</v>
      </c>
      <c r="S4674" s="5">
        <v>-5.5</v>
      </c>
      <c r="T4674" s="6">
        <v>-2.69</v>
      </c>
      <c r="U4674" s="5">
        <v>2.2000000000000002</v>
      </c>
      <c r="V4674" s="6">
        <v>-0.73</v>
      </c>
      <c r="W4674" s="7">
        <v>2.5630000000000002</v>
      </c>
      <c r="X4674" s="6">
        <v>3.75</v>
      </c>
      <c r="Y4674" s="7">
        <v>7.1559999999999997</v>
      </c>
      <c r="Z4674" s="7">
        <v>7.2190000000000003</v>
      </c>
      <c r="AA4674" s="6">
        <v>7.82</v>
      </c>
      <c r="AB4674" s="2" t="s">
        <v>86</v>
      </c>
      <c r="AC4674" s="10">
        <v>1234.79</v>
      </c>
    </row>
    <row r="4675" spans="1:29" ht="104" x14ac:dyDescent="0.15">
      <c r="A4675" s="3">
        <f>DATE(1999,5,27)</f>
        <v>36307</v>
      </c>
      <c r="B4675" s="3">
        <f>DATE(1999,12,7)</f>
        <v>36501</v>
      </c>
      <c r="C4675" s="2" t="s">
        <v>95</v>
      </c>
      <c r="D4675" s="2" t="s">
        <v>14507</v>
      </c>
      <c r="E4675" s="2" t="s">
        <v>10819</v>
      </c>
      <c r="F4675" s="4">
        <v>7312</v>
      </c>
      <c r="G4675" s="2" t="s">
        <v>4563</v>
      </c>
      <c r="H4675" s="2" t="s">
        <v>34</v>
      </c>
      <c r="I4675" s="2" t="s">
        <v>8140</v>
      </c>
      <c r="J4675" s="2" t="s">
        <v>4760</v>
      </c>
      <c r="K4675" s="2" t="s">
        <v>45</v>
      </c>
      <c r="L4675" s="2" t="s">
        <v>34</v>
      </c>
      <c r="M4675" s="12">
        <v>23198.655999999999</v>
      </c>
      <c r="N4675" s="7">
        <v>25.062999999999999</v>
      </c>
      <c r="O4675" s="7">
        <v>25.562999999999999</v>
      </c>
      <c r="P4675" s="2" t="s">
        <v>14508</v>
      </c>
      <c r="Q4675" s="6">
        <v>100</v>
      </c>
      <c r="R4675" s="6">
        <v>32.5</v>
      </c>
      <c r="S4675" s="5">
        <v>43.2</v>
      </c>
      <c r="T4675" s="7">
        <v>354.11700000000002</v>
      </c>
      <c r="U4675" s="5">
        <v>4.3</v>
      </c>
      <c r="V4675" s="9">
        <v>0.20669999999999999</v>
      </c>
      <c r="W4675" s="5">
        <v>28.5</v>
      </c>
      <c r="X4675" s="7">
        <v>28.812999999999999</v>
      </c>
      <c r="Y4675" s="5">
        <v>29.5</v>
      </c>
      <c r="Z4675" s="9">
        <v>29.9375</v>
      </c>
      <c r="AA4675" s="6">
        <v>184.49</v>
      </c>
      <c r="AB4675" s="7">
        <v>38.003999999999998</v>
      </c>
      <c r="AC4675" s="6">
        <v>497.7</v>
      </c>
    </row>
    <row r="4676" spans="1:29" ht="130" x14ac:dyDescent="0.15">
      <c r="A4676" s="3">
        <f>DATE(1999,5,28)</f>
        <v>36308</v>
      </c>
      <c r="B4676" s="3">
        <f>DATE(1999,10,1)</f>
        <v>36434</v>
      </c>
      <c r="C4676" s="2" t="s">
        <v>95</v>
      </c>
      <c r="D4676" s="2" t="s">
        <v>14509</v>
      </c>
      <c r="E4676" s="2" t="s">
        <v>1467</v>
      </c>
      <c r="F4676" s="4">
        <v>4812</v>
      </c>
      <c r="G4676" s="2" t="s">
        <v>63</v>
      </c>
      <c r="H4676" s="2" t="s">
        <v>34</v>
      </c>
      <c r="I4676" s="2" t="s">
        <v>13575</v>
      </c>
      <c r="J4676" s="2" t="s">
        <v>375</v>
      </c>
      <c r="K4676" s="2" t="s">
        <v>63</v>
      </c>
      <c r="L4676" s="2" t="s">
        <v>34</v>
      </c>
      <c r="M4676" s="12">
        <v>152923.67600000001</v>
      </c>
      <c r="N4676" s="7">
        <v>86.375</v>
      </c>
      <c r="O4676" s="7">
        <v>86.375</v>
      </c>
      <c r="P4676" s="2" t="s">
        <v>14510</v>
      </c>
      <c r="Q4676" s="6">
        <v>100</v>
      </c>
      <c r="R4676" s="6">
        <v>19.97</v>
      </c>
      <c r="S4676" s="5">
        <v>17.100000000000001</v>
      </c>
      <c r="T4676" s="7">
        <v>147.40700000000001</v>
      </c>
      <c r="U4676" s="5">
        <v>2.2999999999999998</v>
      </c>
      <c r="V4676" s="6">
        <v>0.16</v>
      </c>
      <c r="W4676" s="7">
        <v>20.062999999999999</v>
      </c>
      <c r="X4676" s="7">
        <v>19.312999999999999</v>
      </c>
      <c r="Y4676" s="7">
        <v>20.312999999999999</v>
      </c>
      <c r="Z4676" s="7">
        <v>20.312999999999999</v>
      </c>
      <c r="AA4676" s="6">
        <v>60.08</v>
      </c>
      <c r="AB4676" s="7">
        <v>26.067</v>
      </c>
      <c r="AC4676" s="5">
        <v>307</v>
      </c>
    </row>
    <row r="4677" spans="1:29" ht="104" x14ac:dyDescent="0.15">
      <c r="A4677" s="3">
        <f>DATE(1999,5,31)</f>
        <v>36311</v>
      </c>
      <c r="B4677" s="3">
        <f>DATE(1999,10,1)</f>
        <v>36434</v>
      </c>
      <c r="C4677" s="2" t="s">
        <v>95</v>
      </c>
      <c r="D4677" s="2" t="s">
        <v>6267</v>
      </c>
      <c r="E4677" s="2" t="s">
        <v>36</v>
      </c>
      <c r="F4677" s="4">
        <v>6021</v>
      </c>
      <c r="G4677" s="2" t="s">
        <v>37</v>
      </c>
      <c r="H4677" s="2" t="s">
        <v>34</v>
      </c>
      <c r="I4677" s="2" t="s">
        <v>2995</v>
      </c>
      <c r="J4677" s="2" t="s">
        <v>159</v>
      </c>
      <c r="K4677" s="2" t="s">
        <v>37</v>
      </c>
      <c r="L4677" s="2" t="s">
        <v>34</v>
      </c>
      <c r="M4677" s="12">
        <v>5698.857</v>
      </c>
      <c r="N4677" s="7">
        <v>28.375</v>
      </c>
      <c r="O4677" s="7">
        <v>24.437999999999999</v>
      </c>
      <c r="P4677" s="2" t="s">
        <v>14511</v>
      </c>
      <c r="Q4677" s="6">
        <v>100</v>
      </c>
      <c r="R4677" s="6">
        <v>53.09</v>
      </c>
      <c r="S4677" s="5">
        <v>240.2</v>
      </c>
      <c r="T4677" s="2"/>
      <c r="U4677" s="5">
        <v>15.6</v>
      </c>
      <c r="V4677" s="6">
        <v>1.77</v>
      </c>
      <c r="W4677" s="5">
        <v>40.5</v>
      </c>
      <c r="X4677" s="7">
        <v>40.813000000000002</v>
      </c>
      <c r="Y4677" s="7">
        <v>40.813000000000002</v>
      </c>
      <c r="Z4677" s="7">
        <v>43.625</v>
      </c>
      <c r="AA4677" s="6">
        <v>116.75</v>
      </c>
      <c r="AB4677" s="7">
        <v>20.251999999999999</v>
      </c>
      <c r="AC4677" s="5">
        <v>625.20000000000005</v>
      </c>
    </row>
    <row r="4678" spans="1:29" ht="65" x14ac:dyDescent="0.15">
      <c r="A4678" s="3">
        <f>DATE(1999,6,1)</f>
        <v>36312</v>
      </c>
      <c r="B4678" s="3">
        <f>DATE(2000,1,7)</f>
        <v>36532</v>
      </c>
      <c r="C4678" s="2" t="s">
        <v>95</v>
      </c>
      <c r="D4678" s="2" t="s">
        <v>14512</v>
      </c>
      <c r="E4678" s="2" t="s">
        <v>9043</v>
      </c>
      <c r="F4678" s="4">
        <v>4941</v>
      </c>
      <c r="G4678" s="2" t="s">
        <v>439</v>
      </c>
      <c r="H4678" s="2" t="s">
        <v>34</v>
      </c>
      <c r="I4678" s="2" t="s">
        <v>14513</v>
      </c>
      <c r="J4678" s="2" t="s">
        <v>12421</v>
      </c>
      <c r="K4678" s="2" t="s">
        <v>439</v>
      </c>
      <c r="L4678" s="2" t="s">
        <v>303</v>
      </c>
      <c r="M4678" s="2"/>
      <c r="N4678" s="2"/>
      <c r="O4678" s="2"/>
      <c r="P4678" s="2" t="s">
        <v>14514</v>
      </c>
      <c r="Q4678" s="6">
        <v>100</v>
      </c>
      <c r="R4678" s="6">
        <v>37.049999999999997</v>
      </c>
      <c r="S4678" s="5">
        <v>20.3</v>
      </c>
      <c r="T4678" s="7">
        <v>61.692</v>
      </c>
      <c r="U4678" s="5">
        <v>13.1</v>
      </c>
      <c r="V4678" s="6">
        <v>1.77</v>
      </c>
      <c r="W4678" s="7">
        <v>28.937999999999999</v>
      </c>
      <c r="X4678" s="7">
        <v>31.062999999999999</v>
      </c>
      <c r="Y4678" s="9">
        <v>34.5625</v>
      </c>
      <c r="Z4678" s="9">
        <v>34.1875</v>
      </c>
      <c r="AA4678" s="6">
        <v>11.36</v>
      </c>
      <c r="AB4678" s="7">
        <v>12.425000000000001</v>
      </c>
      <c r="AC4678" s="2"/>
    </row>
    <row r="4679" spans="1:29" ht="143" x14ac:dyDescent="0.15">
      <c r="A4679" s="3">
        <f>DATE(1999,6,1)</f>
        <v>36312</v>
      </c>
      <c r="B4679" s="3">
        <f>DATE(2000,1,14)</f>
        <v>36539</v>
      </c>
      <c r="C4679" s="2" t="s">
        <v>95</v>
      </c>
      <c r="D4679" s="2" t="s">
        <v>14515</v>
      </c>
      <c r="E4679" s="2" t="s">
        <v>973</v>
      </c>
      <c r="F4679" s="4">
        <v>4812</v>
      </c>
      <c r="G4679" s="2" t="s">
        <v>63</v>
      </c>
      <c r="H4679" s="2" t="s">
        <v>34</v>
      </c>
      <c r="I4679" s="2" t="s">
        <v>3558</v>
      </c>
      <c r="J4679" s="2" t="s">
        <v>1893</v>
      </c>
      <c r="K4679" s="2" t="s">
        <v>45</v>
      </c>
      <c r="L4679" s="2" t="s">
        <v>34</v>
      </c>
      <c r="M4679" s="12">
        <v>39980.267999999996</v>
      </c>
      <c r="N4679" s="6">
        <v>66.25</v>
      </c>
      <c r="O4679" s="5">
        <v>67.5</v>
      </c>
      <c r="P4679" s="2" t="s">
        <v>14516</v>
      </c>
      <c r="Q4679" s="6">
        <v>100</v>
      </c>
      <c r="R4679" s="6">
        <v>67.47</v>
      </c>
      <c r="S4679" s="5">
        <v>-206.3</v>
      </c>
      <c r="T4679" s="6">
        <v>-311.23</v>
      </c>
      <c r="U4679" s="5">
        <v>27.3</v>
      </c>
      <c r="V4679" s="6">
        <v>-5.42</v>
      </c>
      <c r="W4679" s="6">
        <v>65.25</v>
      </c>
      <c r="X4679" s="4">
        <v>65</v>
      </c>
      <c r="Y4679" s="6">
        <v>62.25</v>
      </c>
      <c r="Z4679" s="7">
        <v>63.125</v>
      </c>
      <c r="AA4679" s="6">
        <v>38.18</v>
      </c>
      <c r="AB4679" s="2" t="s">
        <v>86</v>
      </c>
      <c r="AC4679" s="2"/>
    </row>
    <row r="4680" spans="1:29" ht="104" x14ac:dyDescent="0.15">
      <c r="A4680" s="3">
        <f>DATE(1999,6,1)</f>
        <v>36312</v>
      </c>
      <c r="B4680" s="3">
        <f>DATE(1999,7,13)</f>
        <v>36354</v>
      </c>
      <c r="C4680" s="2" t="s">
        <v>95</v>
      </c>
      <c r="D4680" s="2" t="s">
        <v>14517</v>
      </c>
      <c r="E4680" s="2" t="s">
        <v>14518</v>
      </c>
      <c r="F4680" s="4">
        <v>3577</v>
      </c>
      <c r="G4680" s="2" t="s">
        <v>50</v>
      </c>
      <c r="H4680" s="2" t="s">
        <v>34</v>
      </c>
      <c r="I4680" s="2" t="s">
        <v>10177</v>
      </c>
      <c r="J4680" s="2" t="s">
        <v>10178</v>
      </c>
      <c r="K4680" s="2" t="s">
        <v>137</v>
      </c>
      <c r="L4680" s="2" t="s">
        <v>34</v>
      </c>
      <c r="M4680" s="12">
        <v>204680.78400000001</v>
      </c>
      <c r="N4680" s="7">
        <v>50.688000000000002</v>
      </c>
      <c r="O4680" s="7">
        <v>51.938000000000002</v>
      </c>
      <c r="P4680" s="2" t="s">
        <v>14519</v>
      </c>
      <c r="Q4680" s="6">
        <v>100</v>
      </c>
      <c r="R4680" s="6">
        <v>44</v>
      </c>
      <c r="S4680" s="5">
        <v>26.1</v>
      </c>
      <c r="T4680" s="7">
        <v>46.707000000000001</v>
      </c>
      <c r="U4680" s="5">
        <v>12.3</v>
      </c>
      <c r="V4680" s="6">
        <v>1.58</v>
      </c>
      <c r="W4680" s="7">
        <v>21.425000000000001</v>
      </c>
      <c r="X4680" s="11">
        <v>22.624860000000002</v>
      </c>
      <c r="Y4680" s="7">
        <v>43.438000000000002</v>
      </c>
      <c r="Z4680" s="7">
        <v>43.438000000000002</v>
      </c>
      <c r="AA4680" s="6">
        <v>16.899999999999999</v>
      </c>
      <c r="AB4680" s="7">
        <v>18.844999999999999</v>
      </c>
      <c r="AC4680" s="8">
        <v>10589</v>
      </c>
    </row>
    <row r="4681" spans="1:29" ht="117" x14ac:dyDescent="0.15">
      <c r="A4681" s="3">
        <f>DATE(1999,6,1)</f>
        <v>36312</v>
      </c>
      <c r="B4681" s="3">
        <f>DATE(2000,1,13)</f>
        <v>36538</v>
      </c>
      <c r="C4681" s="2" t="s">
        <v>95</v>
      </c>
      <c r="D4681" s="2" t="s">
        <v>14520</v>
      </c>
      <c r="E4681" s="2" t="s">
        <v>203</v>
      </c>
      <c r="F4681" s="4">
        <v>6035</v>
      </c>
      <c r="G4681" s="2" t="s">
        <v>33</v>
      </c>
      <c r="H4681" s="2" t="s">
        <v>34</v>
      </c>
      <c r="I4681" s="2" t="s">
        <v>14521</v>
      </c>
      <c r="J4681" s="2" t="s">
        <v>11805</v>
      </c>
      <c r="K4681" s="2" t="s">
        <v>53</v>
      </c>
      <c r="L4681" s="2" t="s">
        <v>34</v>
      </c>
      <c r="M4681" s="12">
        <v>6005.7820000000002</v>
      </c>
      <c r="N4681" s="7">
        <v>39.313000000000002</v>
      </c>
      <c r="O4681" s="6">
        <v>38.25</v>
      </c>
      <c r="P4681" s="2" t="s">
        <v>14522</v>
      </c>
      <c r="Q4681" s="6">
        <v>100</v>
      </c>
      <c r="R4681" s="6">
        <v>93.45</v>
      </c>
      <c r="S4681" s="5">
        <v>2.7</v>
      </c>
      <c r="T4681" s="2"/>
      <c r="U4681" s="5">
        <v>4.7</v>
      </c>
      <c r="V4681" s="9">
        <v>9.64E-2</v>
      </c>
      <c r="W4681" s="6">
        <v>30.84</v>
      </c>
      <c r="X4681" s="6">
        <v>33.25</v>
      </c>
      <c r="Y4681" s="5">
        <v>74.5</v>
      </c>
      <c r="Z4681" s="9">
        <v>72.9375</v>
      </c>
      <c r="AA4681" s="6">
        <v>16.62</v>
      </c>
      <c r="AB4681" s="7">
        <v>518.76</v>
      </c>
      <c r="AC4681" s="6">
        <v>524.37</v>
      </c>
    </row>
    <row r="4682" spans="1:29" ht="143" x14ac:dyDescent="0.15">
      <c r="A4682" s="3">
        <f>DATE(1999,6,2)</f>
        <v>36313</v>
      </c>
      <c r="B4682" s="3">
        <f>DATE(1999,8,9)</f>
        <v>36381</v>
      </c>
      <c r="C4682" s="2" t="s">
        <v>95</v>
      </c>
      <c r="D4682" s="2" t="s">
        <v>14523</v>
      </c>
      <c r="E4682" s="2" t="s">
        <v>3913</v>
      </c>
      <c r="F4682" s="4">
        <v>4841</v>
      </c>
      <c r="G4682" s="2" t="s">
        <v>45</v>
      </c>
      <c r="H4682" s="2" t="s">
        <v>34</v>
      </c>
      <c r="I4682" s="2" t="s">
        <v>14524</v>
      </c>
      <c r="J4682" s="2" t="s">
        <v>14525</v>
      </c>
      <c r="K4682" s="2" t="s">
        <v>45</v>
      </c>
      <c r="L4682" s="2" t="s">
        <v>2105</v>
      </c>
      <c r="M4682" s="2"/>
      <c r="N4682" s="2"/>
      <c r="O4682" s="2"/>
      <c r="P4682" s="2" t="s">
        <v>14526</v>
      </c>
      <c r="Q4682" s="6">
        <v>100</v>
      </c>
      <c r="R4682" s="6">
        <v>19</v>
      </c>
      <c r="S4682" s="5">
        <v>-143.5</v>
      </c>
      <c r="T4682" s="7">
        <v>-62.628</v>
      </c>
      <c r="U4682" s="5">
        <v>-0.1</v>
      </c>
      <c r="V4682" s="7">
        <v>-4.3280000000000003</v>
      </c>
      <c r="W4682" s="7">
        <v>12.875</v>
      </c>
      <c r="X4682" s="5">
        <v>12.5</v>
      </c>
      <c r="Y4682" s="7">
        <v>18.062999999999999</v>
      </c>
      <c r="Z4682" s="6">
        <v>18.25</v>
      </c>
      <c r="AA4682" s="6">
        <v>46.47</v>
      </c>
      <c r="AB4682" s="2" t="s">
        <v>86</v>
      </c>
      <c r="AC4682" s="6">
        <v>31.66</v>
      </c>
    </row>
    <row r="4683" spans="1:29" ht="143" x14ac:dyDescent="0.15">
      <c r="A4683" s="3">
        <f>DATE(1999,6,2)</f>
        <v>36313</v>
      </c>
      <c r="B4683" s="3">
        <f>DATE(2000,5,10)</f>
        <v>36656</v>
      </c>
      <c r="C4683" s="2" t="s">
        <v>95</v>
      </c>
      <c r="D4683" s="2" t="s">
        <v>12639</v>
      </c>
      <c r="E4683" s="2" t="s">
        <v>36</v>
      </c>
      <c r="F4683" s="4">
        <v>6021</v>
      </c>
      <c r="G4683" s="2" t="s">
        <v>37</v>
      </c>
      <c r="H4683" s="2" t="s">
        <v>34</v>
      </c>
      <c r="I4683" s="2" t="s">
        <v>4433</v>
      </c>
      <c r="J4683" s="2" t="s">
        <v>4434</v>
      </c>
      <c r="K4683" s="2" t="s">
        <v>37</v>
      </c>
      <c r="L4683" s="2" t="s">
        <v>34</v>
      </c>
      <c r="M4683" s="12">
        <v>1990.4739999999999</v>
      </c>
      <c r="N4683" s="7">
        <v>16.812999999999999</v>
      </c>
      <c r="O4683" s="7">
        <v>16.812999999999999</v>
      </c>
      <c r="P4683" s="2" t="s">
        <v>14527</v>
      </c>
      <c r="Q4683" s="6">
        <v>100</v>
      </c>
      <c r="R4683" s="6">
        <v>32.85</v>
      </c>
      <c r="S4683" s="5">
        <v>35.5</v>
      </c>
      <c r="T4683" s="6">
        <v>60.53</v>
      </c>
      <c r="U4683" s="5">
        <v>14</v>
      </c>
      <c r="V4683" s="6">
        <v>1.35</v>
      </c>
      <c r="W4683" s="6">
        <v>18.809999999999999</v>
      </c>
      <c r="X4683" s="4">
        <v>18</v>
      </c>
      <c r="Y4683" s="7">
        <v>29.375</v>
      </c>
      <c r="Z4683" s="7">
        <v>29.469000000000001</v>
      </c>
      <c r="AA4683" s="6">
        <v>23.2</v>
      </c>
      <c r="AB4683" s="7">
        <v>85.298000000000002</v>
      </c>
      <c r="AC4683" s="2"/>
    </row>
    <row r="4684" spans="1:29" ht="143" x14ac:dyDescent="0.15">
      <c r="A4684" s="3">
        <f>DATE(1999,6,2)</f>
        <v>36313</v>
      </c>
      <c r="B4684" s="3">
        <f>DATE(1999,11,3)</f>
        <v>36467</v>
      </c>
      <c r="C4684" s="2" t="s">
        <v>95</v>
      </c>
      <c r="D4684" s="2" t="s">
        <v>14528</v>
      </c>
      <c r="E4684" s="2" t="s">
        <v>14529</v>
      </c>
      <c r="F4684" s="4">
        <v>3731</v>
      </c>
      <c r="G4684" s="2" t="s">
        <v>105</v>
      </c>
      <c r="H4684" s="2" t="s">
        <v>34</v>
      </c>
      <c r="I4684" s="2" t="s">
        <v>14530</v>
      </c>
      <c r="J4684" s="2" t="s">
        <v>14531</v>
      </c>
      <c r="K4684" s="2" t="s">
        <v>105</v>
      </c>
      <c r="L4684" s="2" t="s">
        <v>34</v>
      </c>
      <c r="M4684" s="7">
        <v>417.49700000000001</v>
      </c>
      <c r="N4684" s="7">
        <v>16.937999999999999</v>
      </c>
      <c r="O4684" s="7">
        <v>16.625</v>
      </c>
      <c r="P4684" s="2" t="s">
        <v>14532</v>
      </c>
      <c r="Q4684" s="6">
        <v>100</v>
      </c>
      <c r="R4684" s="6">
        <v>6.91</v>
      </c>
      <c r="S4684" s="5">
        <v>9.1</v>
      </c>
      <c r="T4684" s="2"/>
      <c r="U4684" s="5">
        <v>5.8</v>
      </c>
      <c r="V4684" s="6">
        <v>0.32</v>
      </c>
      <c r="W4684" s="5">
        <v>6.5</v>
      </c>
      <c r="X4684" s="7">
        <v>7.3129999999999997</v>
      </c>
      <c r="Y4684" s="7">
        <v>6.9219999999999997</v>
      </c>
      <c r="Z4684" s="4">
        <v>7</v>
      </c>
      <c r="AA4684" s="6">
        <v>28.86</v>
      </c>
      <c r="AB4684" s="7">
        <v>34.206000000000003</v>
      </c>
      <c r="AC4684" s="2"/>
    </row>
    <row r="4685" spans="1:29" ht="91" x14ac:dyDescent="0.15">
      <c r="A4685" s="3">
        <f>DATE(1999,6,2)</f>
        <v>36313</v>
      </c>
      <c r="B4685" s="3">
        <f>DATE(1999,9,23)</f>
        <v>36426</v>
      </c>
      <c r="C4685" s="2" t="s">
        <v>95</v>
      </c>
      <c r="D4685" s="2" t="s">
        <v>14533</v>
      </c>
      <c r="E4685" s="2" t="s">
        <v>14534</v>
      </c>
      <c r="F4685" s="4">
        <v>4899</v>
      </c>
      <c r="G4685" s="2" t="s">
        <v>63</v>
      </c>
      <c r="H4685" s="2" t="s">
        <v>34</v>
      </c>
      <c r="I4685" s="2" t="s">
        <v>14535</v>
      </c>
      <c r="J4685" s="2" t="s">
        <v>14536</v>
      </c>
      <c r="K4685" s="2" t="s">
        <v>45</v>
      </c>
      <c r="L4685" s="2" t="s">
        <v>34</v>
      </c>
      <c r="M4685" s="7">
        <v>923.98299999999995</v>
      </c>
      <c r="N4685" s="7">
        <v>34.875</v>
      </c>
      <c r="O4685" s="6">
        <v>35.25</v>
      </c>
      <c r="P4685" s="2" t="s">
        <v>14537</v>
      </c>
      <c r="Q4685" s="6">
        <v>100</v>
      </c>
      <c r="R4685" s="6">
        <v>52.5</v>
      </c>
      <c r="S4685" s="5">
        <v>20.399999999999999</v>
      </c>
      <c r="T4685" s="7">
        <v>43.024999999999999</v>
      </c>
      <c r="U4685" s="5">
        <v>6.5</v>
      </c>
      <c r="V4685" s="6">
        <v>1.2</v>
      </c>
      <c r="W4685" s="4">
        <v>57</v>
      </c>
      <c r="X4685" s="5">
        <v>55.5</v>
      </c>
      <c r="Y4685" s="6">
        <v>49.75</v>
      </c>
      <c r="Z4685" s="7">
        <v>50.125</v>
      </c>
      <c r="AA4685" s="6">
        <v>16.73</v>
      </c>
      <c r="AB4685" s="7">
        <v>27.286999999999999</v>
      </c>
      <c r="AC4685" s="6">
        <v>3.58</v>
      </c>
    </row>
    <row r="4686" spans="1:29" ht="104" x14ac:dyDescent="0.15">
      <c r="A4686" s="3">
        <f>DATE(1999,6,2)</f>
        <v>36313</v>
      </c>
      <c r="B4686" s="3">
        <f>DATE(1999,8,30)</f>
        <v>36402</v>
      </c>
      <c r="C4686" s="2" t="s">
        <v>95</v>
      </c>
      <c r="D4686" s="2" t="s">
        <v>14538</v>
      </c>
      <c r="E4686" s="2" t="s">
        <v>14539</v>
      </c>
      <c r="F4686" s="4">
        <v>3069</v>
      </c>
      <c r="G4686" s="2" t="s">
        <v>447</v>
      </c>
      <c r="H4686" s="2" t="s">
        <v>34</v>
      </c>
      <c r="I4686" s="2" t="s">
        <v>14540</v>
      </c>
      <c r="J4686" s="2" t="s">
        <v>14541</v>
      </c>
      <c r="K4686" s="2" t="s">
        <v>98</v>
      </c>
      <c r="L4686" s="2" t="s">
        <v>34</v>
      </c>
      <c r="M4686" s="7">
        <v>747.96600000000001</v>
      </c>
      <c r="N4686" s="7">
        <v>34.063000000000002</v>
      </c>
      <c r="O4686" s="7">
        <v>35.938000000000002</v>
      </c>
      <c r="P4686" s="2" t="s">
        <v>14542</v>
      </c>
      <c r="Q4686" s="6">
        <v>100</v>
      </c>
      <c r="R4686" s="6">
        <v>12.25</v>
      </c>
      <c r="S4686" s="5">
        <v>11.6</v>
      </c>
      <c r="T4686" s="7">
        <v>21.167000000000002</v>
      </c>
      <c r="U4686" s="5">
        <v>7.5</v>
      </c>
      <c r="V4686" s="6">
        <v>0.74</v>
      </c>
      <c r="W4686" s="7">
        <v>9.125</v>
      </c>
      <c r="X4686" s="7">
        <v>9.375</v>
      </c>
      <c r="Y4686" s="7">
        <v>12.188000000000001</v>
      </c>
      <c r="Z4686" s="7">
        <v>12.063000000000001</v>
      </c>
      <c r="AA4686" s="6">
        <v>15.59</v>
      </c>
      <c r="AB4686" s="7">
        <v>10.122999999999999</v>
      </c>
      <c r="AC4686" s="2"/>
    </row>
    <row r="4687" spans="1:29" ht="169" x14ac:dyDescent="0.15">
      <c r="A4687" s="3">
        <f>DATE(1999,6,3)</f>
        <v>36314</v>
      </c>
      <c r="B4687" s="3">
        <f>DATE(1999,6,16)</f>
        <v>36327</v>
      </c>
      <c r="C4687" s="2" t="s">
        <v>95</v>
      </c>
      <c r="D4687" s="2" t="s">
        <v>212</v>
      </c>
      <c r="E4687" s="2" t="s">
        <v>129</v>
      </c>
      <c r="F4687" s="4">
        <v>2836</v>
      </c>
      <c r="G4687" s="2" t="s">
        <v>130</v>
      </c>
      <c r="H4687" s="2" t="s">
        <v>34</v>
      </c>
      <c r="I4687" s="2" t="s">
        <v>213</v>
      </c>
      <c r="J4687" s="2" t="s">
        <v>214</v>
      </c>
      <c r="K4687" s="2" t="s">
        <v>130</v>
      </c>
      <c r="L4687" s="2" t="s">
        <v>215</v>
      </c>
      <c r="M4687" s="2"/>
      <c r="N4687" s="2"/>
      <c r="O4687" s="2"/>
      <c r="P4687" s="2" t="s">
        <v>14543</v>
      </c>
      <c r="Q4687" s="6">
        <v>43.07</v>
      </c>
      <c r="R4687" s="6">
        <v>82.5</v>
      </c>
      <c r="S4687" s="2"/>
      <c r="T4687" s="2"/>
      <c r="U4687" s="2"/>
      <c r="V4687" s="2"/>
      <c r="W4687" s="7">
        <v>21.625</v>
      </c>
      <c r="X4687" s="6">
        <v>21.75</v>
      </c>
      <c r="Y4687" s="7">
        <v>29.875</v>
      </c>
      <c r="Z4687" s="7">
        <v>28.125</v>
      </c>
      <c r="AA4687" s="6">
        <v>127.97</v>
      </c>
      <c r="AB4687" s="2" t="s">
        <v>47</v>
      </c>
      <c r="AC4687" s="10">
        <v>11645.26</v>
      </c>
    </row>
    <row r="4688" spans="1:29" ht="260" x14ac:dyDescent="0.15">
      <c r="A4688" s="3">
        <f>DATE(1999,6,3)</f>
        <v>36314</v>
      </c>
      <c r="B4688" s="3">
        <f>DATE(1999,11,19)</f>
        <v>36483</v>
      </c>
      <c r="C4688" s="2" t="s">
        <v>95</v>
      </c>
      <c r="D4688" s="2" t="s">
        <v>14544</v>
      </c>
      <c r="E4688" s="2" t="s">
        <v>14545</v>
      </c>
      <c r="F4688" s="4">
        <v>3743</v>
      </c>
      <c r="G4688" s="2" t="s">
        <v>105</v>
      </c>
      <c r="H4688" s="2" t="s">
        <v>34</v>
      </c>
      <c r="I4688" s="2" t="s">
        <v>14546</v>
      </c>
      <c r="J4688" s="2" t="s">
        <v>14547</v>
      </c>
      <c r="K4688" s="2" t="s">
        <v>105</v>
      </c>
      <c r="L4688" s="2" t="s">
        <v>34</v>
      </c>
      <c r="M4688" s="7">
        <v>594.96100000000001</v>
      </c>
      <c r="N4688" s="7">
        <v>23.625</v>
      </c>
      <c r="O4688" s="7">
        <v>24.812999999999999</v>
      </c>
      <c r="P4688" s="2" t="s">
        <v>14548</v>
      </c>
      <c r="Q4688" s="6">
        <v>100</v>
      </c>
      <c r="R4688" s="6">
        <v>13.12</v>
      </c>
      <c r="S4688" s="5">
        <v>36.299999999999997</v>
      </c>
      <c r="T4688" s="7">
        <v>72.266000000000005</v>
      </c>
      <c r="U4688" s="5">
        <v>7.3</v>
      </c>
      <c r="V4688" s="9">
        <v>1.2967</v>
      </c>
      <c r="W4688" s="7">
        <v>16.625</v>
      </c>
      <c r="X4688" s="7">
        <v>16.625</v>
      </c>
      <c r="Y4688" s="6">
        <v>18.75</v>
      </c>
      <c r="Z4688" s="7">
        <v>19.625</v>
      </c>
      <c r="AA4688" s="6">
        <v>27.05</v>
      </c>
      <c r="AB4688" s="7">
        <v>8.3829999999999991</v>
      </c>
      <c r="AC4688" s="6">
        <v>6.49</v>
      </c>
    </row>
    <row r="4689" spans="1:29" ht="52" x14ac:dyDescent="0.15">
      <c r="A4689" s="3">
        <f>DATE(1999,6,3)</f>
        <v>36314</v>
      </c>
      <c r="B4689" s="3">
        <f>DATE(1999,12,28)</f>
        <v>36522</v>
      </c>
      <c r="C4689" s="2" t="s">
        <v>95</v>
      </c>
      <c r="D4689" s="2" t="s">
        <v>14549</v>
      </c>
      <c r="E4689" s="2" t="s">
        <v>14550</v>
      </c>
      <c r="F4689" s="4">
        <v>3845</v>
      </c>
      <c r="G4689" s="2" t="s">
        <v>226</v>
      </c>
      <c r="H4689" s="2" t="s">
        <v>34</v>
      </c>
      <c r="I4689" s="2" t="s">
        <v>14551</v>
      </c>
      <c r="J4689" s="2" t="s">
        <v>14552</v>
      </c>
      <c r="K4689" s="2" t="s">
        <v>708</v>
      </c>
      <c r="L4689" s="2" t="s">
        <v>34</v>
      </c>
      <c r="M4689" s="7">
        <v>170.67599999999999</v>
      </c>
      <c r="N4689" s="7">
        <v>17.625</v>
      </c>
      <c r="O4689" s="6">
        <v>17.75</v>
      </c>
      <c r="P4689" s="2" t="s">
        <v>14553</v>
      </c>
      <c r="Q4689" s="6">
        <v>100</v>
      </c>
      <c r="R4689" s="6">
        <v>2.27</v>
      </c>
      <c r="S4689" s="5">
        <v>-4.0999999999999996</v>
      </c>
      <c r="T4689" s="6">
        <v>-2.54</v>
      </c>
      <c r="U4689" s="5">
        <v>1.7</v>
      </c>
      <c r="V4689" s="6">
        <v>-0.33</v>
      </c>
      <c r="W4689" s="7">
        <v>1.5629999999999999</v>
      </c>
      <c r="X4689" s="7">
        <v>1.5629999999999999</v>
      </c>
      <c r="Y4689" s="7">
        <v>1.5629999999999999</v>
      </c>
      <c r="Z4689" s="7">
        <v>1.875</v>
      </c>
      <c r="AA4689" s="6">
        <v>12.45</v>
      </c>
      <c r="AB4689" s="2" t="s">
        <v>86</v>
      </c>
      <c r="AC4689" s="2"/>
    </row>
    <row r="4690" spans="1:29" ht="130" x14ac:dyDescent="0.15">
      <c r="A4690" s="3">
        <f>DATE(1999,6,4)</f>
        <v>36315</v>
      </c>
      <c r="B4690" s="3">
        <f>DATE(1999,7,12)</f>
        <v>36353</v>
      </c>
      <c r="C4690" s="2" t="s">
        <v>95</v>
      </c>
      <c r="D4690" s="2" t="s">
        <v>14554</v>
      </c>
      <c r="E4690" s="2" t="s">
        <v>14555</v>
      </c>
      <c r="F4690" s="4">
        <v>3827</v>
      </c>
      <c r="G4690" s="2" t="s">
        <v>226</v>
      </c>
      <c r="H4690" s="2" t="s">
        <v>34</v>
      </c>
      <c r="I4690" s="2" t="s">
        <v>14556</v>
      </c>
      <c r="J4690" s="2" t="s">
        <v>14557</v>
      </c>
      <c r="K4690" s="2" t="s">
        <v>282</v>
      </c>
      <c r="L4690" s="2" t="s">
        <v>34</v>
      </c>
      <c r="M4690" s="12">
        <v>7963.6419999999998</v>
      </c>
      <c r="N4690" s="7">
        <v>62.875</v>
      </c>
      <c r="O4690" s="7">
        <v>64.313000000000002</v>
      </c>
      <c r="P4690" s="2" t="s">
        <v>14558</v>
      </c>
      <c r="Q4690" s="6">
        <v>100</v>
      </c>
      <c r="R4690" s="6">
        <v>14.75</v>
      </c>
      <c r="S4690" s="5">
        <v>5.2</v>
      </c>
      <c r="T4690" s="2"/>
      <c r="U4690" s="5">
        <v>3.6</v>
      </c>
      <c r="V4690" s="6">
        <v>0.61</v>
      </c>
      <c r="W4690" s="5">
        <v>7.5</v>
      </c>
      <c r="X4690" s="7">
        <v>7.234</v>
      </c>
      <c r="Y4690" s="7">
        <v>7.1559999999999997</v>
      </c>
      <c r="Z4690" s="7">
        <v>6.9379999999999997</v>
      </c>
      <c r="AA4690" s="6">
        <v>8.44</v>
      </c>
      <c r="AB4690" s="7">
        <v>13.856999999999999</v>
      </c>
      <c r="AC4690" s="5">
        <v>10.5</v>
      </c>
    </row>
    <row r="4691" spans="1:29" ht="195" x14ac:dyDescent="0.15">
      <c r="A4691" s="3">
        <f>DATE(1999,6,6)</f>
        <v>36317</v>
      </c>
      <c r="B4691" s="2"/>
      <c r="C4691" s="2" t="s">
        <v>30</v>
      </c>
      <c r="D4691" s="2" t="s">
        <v>11541</v>
      </c>
      <c r="E4691" s="2" t="s">
        <v>263</v>
      </c>
      <c r="F4691" s="4">
        <v>6022</v>
      </c>
      <c r="G4691" s="2" t="s">
        <v>37</v>
      </c>
      <c r="H4691" s="2" t="s">
        <v>34</v>
      </c>
      <c r="I4691" s="2" t="s">
        <v>8886</v>
      </c>
      <c r="J4691" s="2" t="s">
        <v>3246</v>
      </c>
      <c r="K4691" s="2" t="s">
        <v>37</v>
      </c>
      <c r="L4691" s="2" t="s">
        <v>34</v>
      </c>
      <c r="M4691" s="12">
        <v>5096.0879999999997</v>
      </c>
      <c r="N4691" s="7">
        <v>58.594000000000001</v>
      </c>
      <c r="O4691" s="7">
        <v>58.594000000000001</v>
      </c>
      <c r="P4691" s="2" t="s">
        <v>14559</v>
      </c>
      <c r="Q4691" s="2"/>
      <c r="R4691" s="6">
        <v>28.9</v>
      </c>
      <c r="S4691" s="5">
        <v>253.7</v>
      </c>
      <c r="T4691" s="2"/>
      <c r="U4691" s="5">
        <v>8.8000000000000007</v>
      </c>
      <c r="V4691" s="6">
        <v>1.3</v>
      </c>
      <c r="W4691" s="7">
        <v>18.937999999999999</v>
      </c>
      <c r="X4691" s="7">
        <v>18.625</v>
      </c>
      <c r="Y4691" s="7">
        <v>24.375</v>
      </c>
      <c r="Z4691" s="7">
        <v>24.375</v>
      </c>
      <c r="AA4691" s="6">
        <v>189.86</v>
      </c>
      <c r="AB4691" s="7">
        <v>21.888000000000002</v>
      </c>
      <c r="AC4691" s="2"/>
    </row>
    <row r="4692" spans="1:29" ht="65" x14ac:dyDescent="0.15">
      <c r="A4692" s="3">
        <f>DATE(1999,6,6)</f>
        <v>36317</v>
      </c>
      <c r="B4692" s="2"/>
      <c r="C4692" s="2" t="s">
        <v>7330</v>
      </c>
      <c r="D4692" s="2" t="s">
        <v>14560</v>
      </c>
      <c r="E4692" s="2" t="s">
        <v>80</v>
      </c>
      <c r="F4692" s="4">
        <v>6799</v>
      </c>
      <c r="G4692" s="2" t="s">
        <v>53</v>
      </c>
      <c r="H4692" s="2" t="s">
        <v>34</v>
      </c>
      <c r="I4692" s="2" t="s">
        <v>14561</v>
      </c>
      <c r="J4692" s="2" t="s">
        <v>14562</v>
      </c>
      <c r="K4692" s="2" t="s">
        <v>53</v>
      </c>
      <c r="L4692" s="2" t="s">
        <v>34</v>
      </c>
      <c r="M4692" s="2"/>
      <c r="N4692" s="2"/>
      <c r="O4692" s="2"/>
      <c r="P4692" s="2" t="s">
        <v>14563</v>
      </c>
      <c r="Q4692" s="2"/>
      <c r="R4692" s="2"/>
      <c r="S4692" s="2"/>
      <c r="T4692" s="2"/>
      <c r="U4692" s="2"/>
      <c r="V4692" s="2"/>
      <c r="W4692" s="4">
        <v>10</v>
      </c>
      <c r="X4692" s="7">
        <v>10.188000000000001</v>
      </c>
      <c r="Y4692" s="7">
        <v>10.938000000000001</v>
      </c>
      <c r="Z4692" s="7">
        <v>10.938000000000001</v>
      </c>
      <c r="AA4692" s="2"/>
      <c r="AB4692" s="2" t="s">
        <v>47</v>
      </c>
      <c r="AC4692" s="2"/>
    </row>
    <row r="4693" spans="1:29" ht="130" x14ac:dyDescent="0.15">
      <c r="A4693" s="3">
        <f t="shared" ref="A4693:A4700" si="95">DATE(1999,6,7)</f>
        <v>36318</v>
      </c>
      <c r="B4693" s="2"/>
      <c r="C4693" s="2" t="s">
        <v>30</v>
      </c>
      <c r="D4693" s="2" t="s">
        <v>14564</v>
      </c>
      <c r="E4693" s="2" t="s">
        <v>92</v>
      </c>
      <c r="F4693" s="4">
        <v>6798</v>
      </c>
      <c r="G4693" s="2" t="s">
        <v>53</v>
      </c>
      <c r="H4693" s="2" t="s">
        <v>34</v>
      </c>
      <c r="I4693" s="2" t="s">
        <v>14565</v>
      </c>
      <c r="J4693" s="2" t="s">
        <v>1063</v>
      </c>
      <c r="K4693" s="2" t="s">
        <v>756</v>
      </c>
      <c r="L4693" s="2" t="s">
        <v>34</v>
      </c>
      <c r="M4693" s="2"/>
      <c r="N4693" s="2"/>
      <c r="O4693" s="2"/>
      <c r="P4693" s="2" t="s">
        <v>14566</v>
      </c>
      <c r="Q4693" s="2"/>
      <c r="R4693" s="6">
        <v>13.5</v>
      </c>
      <c r="S4693" s="5">
        <v>16.100000000000001</v>
      </c>
      <c r="T4693" s="7">
        <v>52.292999999999999</v>
      </c>
      <c r="U4693" s="5">
        <v>12.6</v>
      </c>
      <c r="V4693" s="6">
        <v>0.32</v>
      </c>
      <c r="W4693" s="7">
        <v>11.063000000000001</v>
      </c>
      <c r="X4693" s="7">
        <v>11.125</v>
      </c>
      <c r="Y4693" s="7">
        <v>12.625</v>
      </c>
      <c r="Z4693" s="9">
        <v>12.4375</v>
      </c>
      <c r="AA4693" s="6">
        <v>31.96</v>
      </c>
      <c r="AB4693" s="7">
        <v>50.408000000000001</v>
      </c>
      <c r="AC4693" s="2"/>
    </row>
    <row r="4694" spans="1:29" ht="221" x14ac:dyDescent="0.15">
      <c r="A4694" s="3">
        <f t="shared" si="95"/>
        <v>36318</v>
      </c>
      <c r="B4694" s="2"/>
      <c r="C4694" s="2" t="s">
        <v>30</v>
      </c>
      <c r="D4694" s="2" t="s">
        <v>14567</v>
      </c>
      <c r="E4694" s="2" t="s">
        <v>1387</v>
      </c>
      <c r="F4694" s="4">
        <v>4923</v>
      </c>
      <c r="G4694" s="2" t="s">
        <v>439</v>
      </c>
      <c r="H4694" s="2" t="s">
        <v>34</v>
      </c>
      <c r="I4694" s="2" t="s">
        <v>14568</v>
      </c>
      <c r="J4694" s="2" t="s">
        <v>9045</v>
      </c>
      <c r="K4694" s="2" t="s">
        <v>439</v>
      </c>
      <c r="L4694" s="2" t="s">
        <v>34</v>
      </c>
      <c r="M4694" s="12">
        <v>3364.165</v>
      </c>
      <c r="N4694" s="7">
        <v>27.562999999999999</v>
      </c>
      <c r="O4694" s="7">
        <v>27.437999999999999</v>
      </c>
      <c r="P4694" s="2" t="s">
        <v>14569</v>
      </c>
      <c r="Q4694" s="2"/>
      <c r="R4694" s="6">
        <v>74</v>
      </c>
      <c r="S4694" s="5">
        <v>254.5</v>
      </c>
      <c r="T4694" s="5">
        <v>790.8</v>
      </c>
      <c r="U4694" s="5">
        <v>24.4</v>
      </c>
      <c r="V4694" s="6">
        <v>3.35</v>
      </c>
      <c r="W4694" s="5">
        <v>53.5</v>
      </c>
      <c r="X4694" s="6">
        <v>55.75</v>
      </c>
      <c r="Y4694" s="9">
        <v>63.1875</v>
      </c>
      <c r="Z4694" s="9">
        <v>62.9375</v>
      </c>
      <c r="AA4694" s="6">
        <v>82.69</v>
      </c>
      <c r="AB4694" s="7">
        <v>15.753</v>
      </c>
      <c r="AC4694" s="6">
        <v>23.75</v>
      </c>
    </row>
    <row r="4695" spans="1:29" ht="143" x14ac:dyDescent="0.15">
      <c r="A4695" s="3">
        <f t="shared" si="95"/>
        <v>36318</v>
      </c>
      <c r="B4695" s="3">
        <f>DATE(1999,12,2)</f>
        <v>36496</v>
      </c>
      <c r="C4695" s="2" t="s">
        <v>95</v>
      </c>
      <c r="D4695" s="2" t="s">
        <v>7519</v>
      </c>
      <c r="E4695" s="2" t="s">
        <v>7520</v>
      </c>
      <c r="F4695" s="4">
        <v>3822</v>
      </c>
      <c r="G4695" s="2" t="s">
        <v>226</v>
      </c>
      <c r="H4695" s="2" t="s">
        <v>34</v>
      </c>
      <c r="I4695" s="2" t="s">
        <v>12672</v>
      </c>
      <c r="J4695" s="2" t="s">
        <v>12673</v>
      </c>
      <c r="K4695" s="2" t="s">
        <v>219</v>
      </c>
      <c r="L4695" s="2" t="s">
        <v>34</v>
      </c>
      <c r="M4695" s="12">
        <v>35890.470999999998</v>
      </c>
      <c r="N4695" s="7">
        <v>62.813000000000002</v>
      </c>
      <c r="O4695" s="4">
        <v>63</v>
      </c>
      <c r="P4695" s="2" t="s">
        <v>14570</v>
      </c>
      <c r="Q4695" s="6">
        <v>100</v>
      </c>
      <c r="R4695" s="6">
        <v>109.45</v>
      </c>
      <c r="S4695" s="5">
        <v>572</v>
      </c>
      <c r="T4695" s="8">
        <v>1277.8</v>
      </c>
      <c r="U4695" s="5">
        <v>22</v>
      </c>
      <c r="V4695" s="6">
        <v>4.4800000000000004</v>
      </c>
      <c r="W4695" s="6">
        <v>94.62</v>
      </c>
      <c r="X4695" s="4">
        <v>105</v>
      </c>
      <c r="Y4695" s="4">
        <v>112</v>
      </c>
      <c r="Z4695" s="7">
        <v>114.625</v>
      </c>
      <c r="AA4695" s="6">
        <v>126.1</v>
      </c>
      <c r="AB4695" s="7">
        <v>16.097999999999999</v>
      </c>
      <c r="AC4695" s="5">
        <v>795</v>
      </c>
    </row>
    <row r="4696" spans="1:29" ht="117" x14ac:dyDescent="0.15">
      <c r="A4696" s="3">
        <f t="shared" si="95"/>
        <v>36318</v>
      </c>
      <c r="B4696" s="3">
        <f>DATE(1999,9,30)</f>
        <v>36433</v>
      </c>
      <c r="C4696" s="2" t="s">
        <v>95</v>
      </c>
      <c r="D4696" s="2" t="s">
        <v>14571</v>
      </c>
      <c r="E4696" s="2" t="s">
        <v>14572</v>
      </c>
      <c r="F4696" s="4">
        <v>4213</v>
      </c>
      <c r="G4696" s="2" t="s">
        <v>173</v>
      </c>
      <c r="H4696" s="2" t="s">
        <v>34</v>
      </c>
      <c r="I4696" s="2" t="s">
        <v>3353</v>
      </c>
      <c r="J4696" s="2" t="s">
        <v>3354</v>
      </c>
      <c r="K4696" s="2" t="s">
        <v>173</v>
      </c>
      <c r="L4696" s="2" t="s">
        <v>34</v>
      </c>
      <c r="M4696" s="7">
        <v>431.50700000000001</v>
      </c>
      <c r="N4696" s="7">
        <v>17.625</v>
      </c>
      <c r="O4696" s="7">
        <v>17.437999999999999</v>
      </c>
      <c r="P4696" s="2" t="s">
        <v>14573</v>
      </c>
      <c r="Q4696" s="6">
        <v>100</v>
      </c>
      <c r="R4696" s="6">
        <v>14</v>
      </c>
      <c r="S4696" s="5">
        <v>9.6</v>
      </c>
      <c r="T4696" s="7">
        <v>32.981999999999999</v>
      </c>
      <c r="U4696" s="5">
        <v>7.3</v>
      </c>
      <c r="V4696" s="6">
        <v>0.9</v>
      </c>
      <c r="W4696" s="7">
        <v>9.625</v>
      </c>
      <c r="X4696" s="6">
        <v>10.75</v>
      </c>
      <c r="Y4696" s="7">
        <v>13.813000000000001</v>
      </c>
      <c r="Z4696" s="6">
        <v>13.75</v>
      </c>
      <c r="AA4696" s="6">
        <v>10.73</v>
      </c>
      <c r="AB4696" s="7">
        <v>11.163</v>
      </c>
      <c r="AC4696" s="2"/>
    </row>
    <row r="4697" spans="1:29" ht="130" x14ac:dyDescent="0.15">
      <c r="A4697" s="3">
        <f t="shared" si="95"/>
        <v>36318</v>
      </c>
      <c r="B4697" s="3">
        <f>DATE(1999,8,11)</f>
        <v>36383</v>
      </c>
      <c r="C4697" s="2" t="s">
        <v>95</v>
      </c>
      <c r="D4697" s="2" t="s">
        <v>14574</v>
      </c>
      <c r="E4697" s="2" t="s">
        <v>14575</v>
      </c>
      <c r="F4697" s="4">
        <v>8731</v>
      </c>
      <c r="G4697" s="2" t="s">
        <v>223</v>
      </c>
      <c r="H4697" s="2" t="s">
        <v>34</v>
      </c>
      <c r="I4697" s="2" t="s">
        <v>14576</v>
      </c>
      <c r="J4697" s="2" t="s">
        <v>14577</v>
      </c>
      <c r="K4697" s="2" t="s">
        <v>130</v>
      </c>
      <c r="L4697" s="2" t="s">
        <v>34</v>
      </c>
      <c r="M4697" s="7">
        <v>47.576000000000001</v>
      </c>
      <c r="N4697" s="7">
        <v>2.4380000000000002</v>
      </c>
      <c r="O4697" s="7">
        <v>2.5939999999999999</v>
      </c>
      <c r="P4697" s="2" t="s">
        <v>14578</v>
      </c>
      <c r="Q4697" s="6">
        <v>100</v>
      </c>
      <c r="R4697" s="6">
        <v>1.78</v>
      </c>
      <c r="S4697" s="5">
        <v>-11.9</v>
      </c>
      <c r="T4697" s="7">
        <v>-12.627000000000001</v>
      </c>
      <c r="U4697" s="5">
        <v>2.4</v>
      </c>
      <c r="V4697" s="6">
        <v>-0.94</v>
      </c>
      <c r="W4697" s="7">
        <v>1.0629999999999999</v>
      </c>
      <c r="X4697" s="7">
        <v>1.0309999999999999</v>
      </c>
      <c r="Y4697" s="7">
        <v>1.5940000000000001</v>
      </c>
      <c r="Z4697" s="7">
        <v>1.5940000000000001</v>
      </c>
      <c r="AA4697" s="6">
        <v>12.72</v>
      </c>
      <c r="AB4697" s="2" t="s">
        <v>86</v>
      </c>
      <c r="AC4697" s="6">
        <v>9.7200000000000006</v>
      </c>
    </row>
    <row r="4698" spans="1:29" ht="104" x14ac:dyDescent="0.15">
      <c r="A4698" s="3">
        <f t="shared" si="95"/>
        <v>36318</v>
      </c>
      <c r="B4698" s="3">
        <f>DATE(1999,10,1)</f>
        <v>36434</v>
      </c>
      <c r="C4698" s="2" t="s">
        <v>95</v>
      </c>
      <c r="D4698" s="2" t="s">
        <v>14579</v>
      </c>
      <c r="E4698" s="2" t="s">
        <v>14580</v>
      </c>
      <c r="F4698" s="4">
        <v>7373</v>
      </c>
      <c r="G4698" s="2" t="s">
        <v>223</v>
      </c>
      <c r="H4698" s="2" t="s">
        <v>34</v>
      </c>
      <c r="I4698" s="2" t="s">
        <v>14581</v>
      </c>
      <c r="J4698" s="2" t="s">
        <v>14582</v>
      </c>
      <c r="K4698" s="2" t="s">
        <v>226</v>
      </c>
      <c r="L4698" s="2" t="s">
        <v>34</v>
      </c>
      <c r="M4698" s="7">
        <v>80.504999999999995</v>
      </c>
      <c r="N4698" s="4">
        <v>7</v>
      </c>
      <c r="O4698" s="5">
        <v>6.5</v>
      </c>
      <c r="P4698" s="2" t="s">
        <v>14583</v>
      </c>
      <c r="Q4698" s="6">
        <v>100</v>
      </c>
      <c r="R4698" s="6">
        <v>6.13</v>
      </c>
      <c r="S4698" s="5">
        <v>-25.6</v>
      </c>
      <c r="T4698" s="7">
        <v>-17.204999999999998</v>
      </c>
      <c r="U4698" s="5">
        <v>2.2000000000000002</v>
      </c>
      <c r="V4698" s="6">
        <v>-1.73</v>
      </c>
      <c r="W4698" s="4">
        <v>4</v>
      </c>
      <c r="X4698" s="7">
        <v>3.9380000000000002</v>
      </c>
      <c r="Y4698" s="5">
        <v>4.5</v>
      </c>
      <c r="Z4698" s="7">
        <v>4.125</v>
      </c>
      <c r="AA4698" s="6">
        <v>17.41</v>
      </c>
      <c r="AB4698" s="2" t="s">
        <v>86</v>
      </c>
      <c r="AC4698" s="6">
        <v>17.88</v>
      </c>
    </row>
    <row r="4699" spans="1:29" ht="65" x14ac:dyDescent="0.15">
      <c r="A4699" s="3">
        <f t="shared" si="95"/>
        <v>36318</v>
      </c>
      <c r="B4699" s="3">
        <f>DATE(1999,11,4)</f>
        <v>36468</v>
      </c>
      <c r="C4699" s="2" t="s">
        <v>95</v>
      </c>
      <c r="D4699" s="2" t="s">
        <v>2513</v>
      </c>
      <c r="E4699" s="2" t="s">
        <v>2514</v>
      </c>
      <c r="F4699" s="4">
        <v>4924</v>
      </c>
      <c r="G4699" s="2" t="s">
        <v>439</v>
      </c>
      <c r="H4699" s="2" t="s">
        <v>34</v>
      </c>
      <c r="I4699" s="2" t="s">
        <v>10078</v>
      </c>
      <c r="J4699" s="2" t="s">
        <v>10079</v>
      </c>
      <c r="K4699" s="2" t="s">
        <v>439</v>
      </c>
      <c r="L4699" s="2" t="s">
        <v>34</v>
      </c>
      <c r="M4699" s="7">
        <v>663.25699999999995</v>
      </c>
      <c r="N4699" s="7">
        <v>21.375</v>
      </c>
      <c r="O4699" s="7">
        <v>20.375</v>
      </c>
      <c r="P4699" s="2" t="s">
        <v>14584</v>
      </c>
      <c r="Q4699" s="6">
        <v>100</v>
      </c>
      <c r="R4699" s="6">
        <v>35</v>
      </c>
      <c r="S4699" s="5">
        <v>12.8</v>
      </c>
      <c r="T4699" s="7">
        <v>37.098999999999997</v>
      </c>
      <c r="U4699" s="5">
        <v>13.5</v>
      </c>
      <c r="V4699" s="6">
        <v>1.1200000000000001</v>
      </c>
      <c r="W4699" s="4">
        <v>29</v>
      </c>
      <c r="X4699" s="7">
        <v>29.687999999999999</v>
      </c>
      <c r="Y4699" s="7">
        <v>30.562999999999999</v>
      </c>
      <c r="Z4699" s="7">
        <v>29.875</v>
      </c>
      <c r="AA4699" s="6">
        <v>10.83</v>
      </c>
      <c r="AB4699" s="7">
        <v>20.616</v>
      </c>
      <c r="AC4699" s="2"/>
    </row>
    <row r="4700" spans="1:29" ht="104" x14ac:dyDescent="0.15">
      <c r="A4700" s="3">
        <f t="shared" si="95"/>
        <v>36318</v>
      </c>
      <c r="B4700" s="3">
        <f>DATE(1999,8,23)</f>
        <v>36395</v>
      </c>
      <c r="C4700" s="2" t="s">
        <v>95</v>
      </c>
      <c r="D4700" s="2" t="s">
        <v>14585</v>
      </c>
      <c r="E4700" s="2" t="s">
        <v>14586</v>
      </c>
      <c r="F4700" s="4">
        <v>7372</v>
      </c>
      <c r="G4700" s="2" t="s">
        <v>551</v>
      </c>
      <c r="H4700" s="2" t="s">
        <v>34</v>
      </c>
      <c r="I4700" s="2" t="s">
        <v>14587</v>
      </c>
      <c r="J4700" s="2" t="s">
        <v>9255</v>
      </c>
      <c r="K4700" s="2" t="s">
        <v>551</v>
      </c>
      <c r="L4700" s="2" t="s">
        <v>34</v>
      </c>
      <c r="M4700" s="7">
        <v>189.655</v>
      </c>
      <c r="N4700" s="7">
        <v>5.3129999999999997</v>
      </c>
      <c r="O4700" s="7">
        <v>5.0309999999999997</v>
      </c>
      <c r="P4700" s="2" t="s">
        <v>14588</v>
      </c>
      <c r="Q4700" s="6">
        <v>100</v>
      </c>
      <c r="R4700" s="6">
        <v>9.23</v>
      </c>
      <c r="S4700" s="5">
        <v>0.2</v>
      </c>
      <c r="T4700" s="7">
        <v>0.34499999999999997</v>
      </c>
      <c r="U4700" s="5">
        <v>3.7</v>
      </c>
      <c r="V4700" s="6">
        <v>0.01</v>
      </c>
      <c r="W4700" s="7">
        <v>6.3129999999999997</v>
      </c>
      <c r="X4700" s="4">
        <v>7</v>
      </c>
      <c r="Y4700" s="7">
        <v>7.8129999999999997</v>
      </c>
      <c r="Z4700" s="7">
        <v>7.8129999999999997</v>
      </c>
      <c r="AA4700" s="6">
        <v>5.79</v>
      </c>
      <c r="AB4700" s="2" t="s">
        <v>86</v>
      </c>
      <c r="AC4700" s="6">
        <v>10.64</v>
      </c>
    </row>
    <row r="4701" spans="1:29" ht="91" x14ac:dyDescent="0.15">
      <c r="A4701" s="3">
        <f>DATE(1999,6,8)</f>
        <v>36319</v>
      </c>
      <c r="B4701" s="2"/>
      <c r="C4701" s="2" t="s">
        <v>56</v>
      </c>
      <c r="D4701" s="2" t="s">
        <v>14589</v>
      </c>
      <c r="E4701" s="2" t="s">
        <v>14590</v>
      </c>
      <c r="F4701" s="4">
        <v>7379</v>
      </c>
      <c r="G4701" s="2" t="s">
        <v>223</v>
      </c>
      <c r="H4701" s="2" t="s">
        <v>34</v>
      </c>
      <c r="I4701" s="2" t="s">
        <v>14591</v>
      </c>
      <c r="J4701" s="2" t="s">
        <v>1786</v>
      </c>
      <c r="K4701" s="2" t="s">
        <v>63</v>
      </c>
      <c r="L4701" s="2" t="s">
        <v>34</v>
      </c>
      <c r="M4701" s="2"/>
      <c r="N4701" s="7">
        <v>4.625</v>
      </c>
      <c r="O4701" s="9">
        <v>4.4375</v>
      </c>
      <c r="P4701" s="2" t="s">
        <v>14592</v>
      </c>
      <c r="Q4701" s="2"/>
      <c r="R4701" s="6">
        <v>9</v>
      </c>
      <c r="S4701" s="5">
        <v>-4.2</v>
      </c>
      <c r="T4701" s="7">
        <v>-3.4119999999999999</v>
      </c>
      <c r="U4701" s="5">
        <v>1.3</v>
      </c>
      <c r="V4701" s="6">
        <v>-0.61</v>
      </c>
      <c r="W4701" s="7">
        <v>2.375</v>
      </c>
      <c r="X4701" s="7">
        <v>2.9380000000000002</v>
      </c>
      <c r="Y4701" s="7">
        <v>4.625</v>
      </c>
      <c r="Z4701" s="9">
        <v>4.4375</v>
      </c>
      <c r="AA4701" s="6">
        <v>6.73</v>
      </c>
      <c r="AB4701" s="2" t="s">
        <v>86</v>
      </c>
      <c r="AC4701" s="2"/>
    </row>
    <row r="4702" spans="1:29" ht="78" x14ac:dyDescent="0.15">
      <c r="A4702" s="3">
        <f>DATE(1999,6,8)</f>
        <v>36319</v>
      </c>
      <c r="B4702" s="3">
        <f>DATE(1999,7,21)</f>
        <v>36362</v>
      </c>
      <c r="C4702" s="2" t="s">
        <v>95</v>
      </c>
      <c r="D4702" s="2" t="s">
        <v>14593</v>
      </c>
      <c r="E4702" s="2" t="s">
        <v>14594</v>
      </c>
      <c r="F4702" s="4">
        <v>3579</v>
      </c>
      <c r="G4702" s="2" t="s">
        <v>50</v>
      </c>
      <c r="H4702" s="2" t="s">
        <v>34</v>
      </c>
      <c r="I4702" s="2" t="s">
        <v>14595</v>
      </c>
      <c r="J4702" s="2" t="s">
        <v>14596</v>
      </c>
      <c r="K4702" s="2" t="s">
        <v>226</v>
      </c>
      <c r="L4702" s="2" t="s">
        <v>99</v>
      </c>
      <c r="M4702" s="2"/>
      <c r="N4702" s="2"/>
      <c r="O4702" s="2"/>
      <c r="P4702" s="2" t="s">
        <v>14597</v>
      </c>
      <c r="Q4702" s="6">
        <v>50.82</v>
      </c>
      <c r="R4702" s="6">
        <v>6.25</v>
      </c>
      <c r="S4702" s="5">
        <v>0.5</v>
      </c>
      <c r="T4702" s="7">
        <v>3.5649999999999999</v>
      </c>
      <c r="U4702" s="5">
        <v>2.4</v>
      </c>
      <c r="V4702" s="6">
        <v>0.05</v>
      </c>
      <c r="W4702" s="5">
        <v>4.5</v>
      </c>
      <c r="X4702" s="7">
        <v>5.6879999999999997</v>
      </c>
      <c r="Y4702" s="7">
        <v>5.1879999999999997</v>
      </c>
      <c r="Z4702" s="5">
        <v>5.5</v>
      </c>
      <c r="AA4702" s="6">
        <v>10.7</v>
      </c>
      <c r="AB4702" s="7">
        <v>62.718000000000004</v>
      </c>
      <c r="AC4702" s="6">
        <v>319.99</v>
      </c>
    </row>
    <row r="4703" spans="1:29" ht="156" x14ac:dyDescent="0.15">
      <c r="A4703" s="3">
        <f>DATE(1999,6,8)</f>
        <v>36319</v>
      </c>
      <c r="B4703" s="3">
        <f>DATE(1999,7,28)</f>
        <v>36369</v>
      </c>
      <c r="C4703" s="2" t="s">
        <v>95</v>
      </c>
      <c r="D4703" s="2" t="s">
        <v>14598</v>
      </c>
      <c r="E4703" s="2" t="s">
        <v>14599</v>
      </c>
      <c r="F4703" s="4">
        <v>5049</v>
      </c>
      <c r="G4703" s="2" t="s">
        <v>76</v>
      </c>
      <c r="H4703" s="2" t="s">
        <v>34</v>
      </c>
      <c r="I4703" s="2" t="s">
        <v>14600</v>
      </c>
      <c r="J4703" s="2" t="s">
        <v>14601</v>
      </c>
      <c r="K4703" s="2" t="s">
        <v>130</v>
      </c>
      <c r="L4703" s="2" t="s">
        <v>1049</v>
      </c>
      <c r="M4703" s="2"/>
      <c r="N4703" s="2"/>
      <c r="O4703" s="2"/>
      <c r="P4703" s="2" t="s">
        <v>14602</v>
      </c>
      <c r="Q4703" s="6">
        <v>54.83</v>
      </c>
      <c r="R4703" s="6">
        <v>37</v>
      </c>
      <c r="S4703" s="5">
        <v>34.299999999999997</v>
      </c>
      <c r="T4703" s="7">
        <v>112.758</v>
      </c>
      <c r="U4703" s="5">
        <v>13.4</v>
      </c>
      <c r="V4703" s="6">
        <v>1.1599999999999999</v>
      </c>
      <c r="W4703" s="7">
        <v>28.312999999999999</v>
      </c>
      <c r="X4703" s="7">
        <v>27.875</v>
      </c>
      <c r="Y4703" s="7">
        <v>27.937999999999999</v>
      </c>
      <c r="Z4703" s="7">
        <v>36.438000000000002</v>
      </c>
      <c r="AA4703" s="6">
        <v>28.96</v>
      </c>
      <c r="AB4703" s="7">
        <v>17.009</v>
      </c>
      <c r="AC4703" s="6">
        <v>445.21</v>
      </c>
    </row>
    <row r="4704" spans="1:29" ht="52" x14ac:dyDescent="0.15">
      <c r="A4704" s="3">
        <f>DATE(1999,6,8)</f>
        <v>36319</v>
      </c>
      <c r="B4704" s="2"/>
      <c r="C4704" s="2" t="s">
        <v>30</v>
      </c>
      <c r="D4704" s="2" t="s">
        <v>14603</v>
      </c>
      <c r="E4704" s="2" t="s">
        <v>14604</v>
      </c>
      <c r="F4704" s="4">
        <v>8071</v>
      </c>
      <c r="G4704" s="2" t="s">
        <v>454</v>
      </c>
      <c r="H4704" s="2" t="s">
        <v>34</v>
      </c>
      <c r="I4704" s="2" t="s">
        <v>14605</v>
      </c>
      <c r="J4704" s="2" t="s">
        <v>14606</v>
      </c>
      <c r="K4704" s="2" t="s">
        <v>226</v>
      </c>
      <c r="L4704" s="2" t="s">
        <v>3961</v>
      </c>
      <c r="M4704" s="2"/>
      <c r="N4704" s="2"/>
      <c r="O4704" s="2"/>
      <c r="P4704" s="2" t="s">
        <v>14607</v>
      </c>
      <c r="Q4704" s="2"/>
      <c r="R4704" s="2"/>
      <c r="S4704" s="5">
        <v>6</v>
      </c>
      <c r="T4704" s="7">
        <v>9.7210000000000001</v>
      </c>
      <c r="U4704" s="5">
        <v>7.9</v>
      </c>
      <c r="V4704" s="6">
        <v>2.5499999999999998</v>
      </c>
      <c r="W4704" s="5">
        <v>5.5</v>
      </c>
      <c r="X4704" s="6">
        <v>5.25</v>
      </c>
      <c r="Y4704" s="9">
        <v>5.9375</v>
      </c>
      <c r="Z4704" s="6">
        <v>5.75</v>
      </c>
      <c r="AA4704" s="6">
        <v>6.93</v>
      </c>
      <c r="AB4704" s="2" t="s">
        <v>47</v>
      </c>
      <c r="AC4704" s="2"/>
    </row>
    <row r="4705" spans="1:29" ht="91" x14ac:dyDescent="0.15">
      <c r="A4705" s="3">
        <f>DATE(1999,6,8)</f>
        <v>36319</v>
      </c>
      <c r="B4705" s="3">
        <f>DATE(1999,7,31)</f>
        <v>36372</v>
      </c>
      <c r="C4705" s="2" t="s">
        <v>95</v>
      </c>
      <c r="D4705" s="2" t="s">
        <v>13516</v>
      </c>
      <c r="E4705" s="2" t="s">
        <v>839</v>
      </c>
      <c r="F4705" s="4">
        <v>2834</v>
      </c>
      <c r="G4705" s="2" t="s">
        <v>130</v>
      </c>
      <c r="H4705" s="2" t="s">
        <v>34</v>
      </c>
      <c r="I4705" s="2" t="s">
        <v>14608</v>
      </c>
      <c r="J4705" s="2" t="s">
        <v>14609</v>
      </c>
      <c r="K4705" s="2" t="s">
        <v>219</v>
      </c>
      <c r="L4705" s="2" t="s">
        <v>303</v>
      </c>
      <c r="M4705" s="2"/>
      <c r="N4705" s="2"/>
      <c r="O4705" s="2"/>
      <c r="P4705" s="2" t="s">
        <v>14610</v>
      </c>
      <c r="Q4705" s="6">
        <v>100</v>
      </c>
      <c r="R4705" s="6">
        <v>28</v>
      </c>
      <c r="S4705" s="5">
        <v>49.9</v>
      </c>
      <c r="T4705" s="7">
        <v>54.031999999999996</v>
      </c>
      <c r="U4705" s="5">
        <v>3.5</v>
      </c>
      <c r="V4705" s="6">
        <v>4.05</v>
      </c>
      <c r="W4705" s="7">
        <v>26.812999999999999</v>
      </c>
      <c r="X4705" s="7">
        <v>26.937999999999999</v>
      </c>
      <c r="Y4705" s="7">
        <v>26.875</v>
      </c>
      <c r="Z4705" s="5">
        <v>27.5</v>
      </c>
      <c r="AA4705" s="6">
        <v>11.44</v>
      </c>
      <c r="AB4705" s="7">
        <v>7.7930000000000001</v>
      </c>
      <c r="AC4705" s="6">
        <v>66.59</v>
      </c>
    </row>
    <row r="4706" spans="1:29" ht="117" x14ac:dyDescent="0.15">
      <c r="A4706" s="3">
        <f>DATE(1999,6,9)</f>
        <v>36320</v>
      </c>
      <c r="B4706" s="3">
        <f>DATE(1999,7,20)</f>
        <v>36361</v>
      </c>
      <c r="C4706" s="2" t="s">
        <v>95</v>
      </c>
      <c r="D4706" s="2" t="s">
        <v>14611</v>
      </c>
      <c r="E4706" s="2" t="s">
        <v>14612</v>
      </c>
      <c r="F4706" s="4">
        <v>8741</v>
      </c>
      <c r="G4706" s="2" t="s">
        <v>223</v>
      </c>
      <c r="H4706" s="2" t="s">
        <v>34</v>
      </c>
      <c r="I4706" s="2" t="s">
        <v>1598</v>
      </c>
      <c r="J4706" s="2" t="s">
        <v>1599</v>
      </c>
      <c r="K4706" s="2" t="s">
        <v>105</v>
      </c>
      <c r="L4706" s="2" t="s">
        <v>34</v>
      </c>
      <c r="M4706" s="10">
        <v>78094.850000000006</v>
      </c>
      <c r="N4706" s="6">
        <v>55.25</v>
      </c>
      <c r="O4706" s="4">
        <v>55</v>
      </c>
      <c r="P4706" s="2" t="s">
        <v>14613</v>
      </c>
      <c r="Q4706" s="6">
        <v>100</v>
      </c>
      <c r="R4706" s="6">
        <v>13</v>
      </c>
      <c r="S4706" s="5">
        <v>7</v>
      </c>
      <c r="T4706" s="7">
        <v>9.5310000000000006</v>
      </c>
      <c r="U4706" s="5">
        <v>3.2</v>
      </c>
      <c r="V4706" s="6">
        <v>0.56000000000000005</v>
      </c>
      <c r="W4706" s="4">
        <v>11</v>
      </c>
      <c r="X4706" s="7">
        <v>11.875</v>
      </c>
      <c r="Y4706" s="6">
        <v>12.75</v>
      </c>
      <c r="Z4706" s="7">
        <v>13.188000000000001</v>
      </c>
      <c r="AA4706" s="6">
        <v>11.92</v>
      </c>
      <c r="AB4706" s="7">
        <v>13.865</v>
      </c>
      <c r="AC4706" s="8">
        <v>23456</v>
      </c>
    </row>
    <row r="4707" spans="1:29" ht="78" x14ac:dyDescent="0.15">
      <c r="A4707" s="3">
        <f>DATE(1999,6,9)</f>
        <v>36320</v>
      </c>
      <c r="B4707" s="3">
        <f>DATE(1999,6,9)</f>
        <v>36320</v>
      </c>
      <c r="C4707" s="2" t="s">
        <v>95</v>
      </c>
      <c r="D4707" s="2" t="s">
        <v>14614</v>
      </c>
      <c r="E4707" s="2" t="s">
        <v>302</v>
      </c>
      <c r="F4707" s="4">
        <v>6799</v>
      </c>
      <c r="G4707" s="2" t="s">
        <v>53</v>
      </c>
      <c r="H4707" s="2" t="s">
        <v>34</v>
      </c>
      <c r="I4707" s="2" t="s">
        <v>14615</v>
      </c>
      <c r="J4707" s="2" t="s">
        <v>2712</v>
      </c>
      <c r="K4707" s="2" t="s">
        <v>53</v>
      </c>
      <c r="L4707" s="2" t="s">
        <v>34</v>
      </c>
      <c r="M4707" s="2"/>
      <c r="N4707" s="2"/>
      <c r="O4707" s="2"/>
      <c r="P4707" s="2" t="s">
        <v>14616</v>
      </c>
      <c r="Q4707" s="6">
        <v>100</v>
      </c>
      <c r="R4707" s="2"/>
      <c r="S4707" s="2"/>
      <c r="T4707" s="2"/>
      <c r="U4707" s="2"/>
      <c r="V4707" s="2"/>
      <c r="W4707" s="13">
        <v>0</v>
      </c>
      <c r="X4707" s="5">
        <v>6.5</v>
      </c>
      <c r="Y4707" s="7">
        <v>10.375</v>
      </c>
      <c r="Z4707" s="2"/>
      <c r="AA4707" s="6">
        <v>31.48</v>
      </c>
      <c r="AB4707" s="2" t="s">
        <v>47</v>
      </c>
      <c r="AC4707" s="2"/>
    </row>
    <row r="4708" spans="1:29" ht="104" x14ac:dyDescent="0.15">
      <c r="A4708" s="3">
        <f>DATE(1999,6,9)</f>
        <v>36320</v>
      </c>
      <c r="B4708" s="3">
        <f>DATE(1999,8,31)</f>
        <v>36403</v>
      </c>
      <c r="C4708" s="2" t="s">
        <v>95</v>
      </c>
      <c r="D4708" s="2" t="s">
        <v>6424</v>
      </c>
      <c r="E4708" s="2" t="s">
        <v>2945</v>
      </c>
      <c r="F4708" s="4">
        <v>5141</v>
      </c>
      <c r="G4708" s="2" t="s">
        <v>593</v>
      </c>
      <c r="H4708" s="2" t="s">
        <v>34</v>
      </c>
      <c r="I4708" s="2" t="s">
        <v>4521</v>
      </c>
      <c r="J4708" s="2" t="s">
        <v>4522</v>
      </c>
      <c r="K4708" s="2" t="s">
        <v>1461</v>
      </c>
      <c r="L4708" s="2" t="s">
        <v>34</v>
      </c>
      <c r="M4708" s="12">
        <v>2896.6089999999999</v>
      </c>
      <c r="N4708" s="7">
        <v>24.812999999999999</v>
      </c>
      <c r="O4708" s="7">
        <v>24.812999999999999</v>
      </c>
      <c r="P4708" s="2" t="s">
        <v>14617</v>
      </c>
      <c r="Q4708" s="6">
        <v>100</v>
      </c>
      <c r="R4708" s="2"/>
      <c r="S4708" s="5">
        <v>73</v>
      </c>
      <c r="T4708" s="7">
        <v>219.42400000000001</v>
      </c>
      <c r="U4708" s="5">
        <v>8.1</v>
      </c>
      <c r="V4708" s="6">
        <v>1.53</v>
      </c>
      <c r="W4708" s="7">
        <v>12.813000000000001</v>
      </c>
      <c r="X4708" s="7">
        <v>14.875</v>
      </c>
      <c r="Y4708" s="7">
        <v>16.875</v>
      </c>
      <c r="Z4708" s="7">
        <v>17.625</v>
      </c>
      <c r="AA4708" s="6">
        <v>47.73</v>
      </c>
      <c r="AB4708" s="7">
        <v>7.0830000000000002</v>
      </c>
      <c r="AC4708" s="6">
        <v>7.61</v>
      </c>
    </row>
    <row r="4709" spans="1:29" ht="65" x14ac:dyDescent="0.15">
      <c r="A4709" s="3">
        <f>DATE(1999,6,10)</f>
        <v>36321</v>
      </c>
      <c r="B4709" s="2"/>
      <c r="C4709" s="2" t="s">
        <v>7330</v>
      </c>
      <c r="D4709" s="2" t="s">
        <v>14618</v>
      </c>
      <c r="E4709" s="2" t="s">
        <v>2486</v>
      </c>
      <c r="F4709" s="4">
        <v>8711</v>
      </c>
      <c r="G4709" s="2" t="s">
        <v>223</v>
      </c>
      <c r="H4709" s="2" t="s">
        <v>34</v>
      </c>
      <c r="I4709" s="2" t="s">
        <v>14619</v>
      </c>
      <c r="J4709" s="2" t="s">
        <v>14620</v>
      </c>
      <c r="K4709" s="2" t="s">
        <v>76</v>
      </c>
      <c r="L4709" s="2" t="s">
        <v>34</v>
      </c>
      <c r="M4709" s="2"/>
      <c r="N4709" s="2"/>
      <c r="O4709" s="2"/>
      <c r="P4709" s="2" t="s">
        <v>14621</v>
      </c>
      <c r="Q4709" s="2"/>
      <c r="R4709" s="6">
        <v>1.6</v>
      </c>
      <c r="S4709" s="5">
        <v>0.2</v>
      </c>
      <c r="T4709" s="7">
        <v>0.49299999999999999</v>
      </c>
      <c r="U4709" s="5">
        <v>1.4</v>
      </c>
      <c r="V4709" s="9">
        <v>0.1434</v>
      </c>
      <c r="W4709" s="4">
        <v>1</v>
      </c>
      <c r="X4709" s="7">
        <v>1.375</v>
      </c>
      <c r="Y4709" s="7">
        <v>1.3129999999999999</v>
      </c>
      <c r="Z4709" s="6">
        <v>1.25</v>
      </c>
      <c r="AA4709" s="6">
        <v>14.41</v>
      </c>
      <c r="AB4709" s="7">
        <v>14.661</v>
      </c>
      <c r="AC4709" s="2"/>
    </row>
    <row r="4710" spans="1:29" ht="52" x14ac:dyDescent="0.15">
      <c r="A4710" s="3">
        <f>DATE(1999,6,10)</f>
        <v>36321</v>
      </c>
      <c r="B4710" s="2"/>
      <c r="C4710" s="2" t="s">
        <v>7330</v>
      </c>
      <c r="D4710" s="2" t="s">
        <v>14618</v>
      </c>
      <c r="E4710" s="2" t="s">
        <v>2486</v>
      </c>
      <c r="F4710" s="4">
        <v>8711</v>
      </c>
      <c r="G4710" s="2" t="s">
        <v>223</v>
      </c>
      <c r="H4710" s="2" t="s">
        <v>34</v>
      </c>
      <c r="I4710" s="2" t="s">
        <v>14619</v>
      </c>
      <c r="J4710" s="2" t="s">
        <v>14620</v>
      </c>
      <c r="K4710" s="2" t="s">
        <v>76</v>
      </c>
      <c r="L4710" s="2" t="s">
        <v>34</v>
      </c>
      <c r="M4710" s="2"/>
      <c r="N4710" s="2"/>
      <c r="O4710" s="2"/>
      <c r="P4710" s="2" t="s">
        <v>14622</v>
      </c>
      <c r="Q4710" s="2"/>
      <c r="R4710" s="6">
        <v>1.6</v>
      </c>
      <c r="S4710" s="5">
        <v>0.2</v>
      </c>
      <c r="T4710" s="7">
        <v>0.49299999999999999</v>
      </c>
      <c r="U4710" s="5">
        <v>1.4</v>
      </c>
      <c r="V4710" s="9">
        <v>0.1434</v>
      </c>
      <c r="W4710" s="4">
        <v>1</v>
      </c>
      <c r="X4710" s="7">
        <v>1.375</v>
      </c>
      <c r="Y4710" s="7">
        <v>1.3129999999999999</v>
      </c>
      <c r="Z4710" s="6">
        <v>1.25</v>
      </c>
      <c r="AA4710" s="6">
        <v>6.29</v>
      </c>
      <c r="AB4710" s="7">
        <v>14.661</v>
      </c>
      <c r="AC4710" s="2"/>
    </row>
    <row r="4711" spans="1:29" ht="117" x14ac:dyDescent="0.15">
      <c r="A4711" s="3">
        <f>DATE(1999,6,10)</f>
        <v>36321</v>
      </c>
      <c r="B4711" s="3">
        <f>DATE(1999,10,7)</f>
        <v>36440</v>
      </c>
      <c r="C4711" s="2" t="s">
        <v>95</v>
      </c>
      <c r="D4711" s="2" t="s">
        <v>14623</v>
      </c>
      <c r="E4711" s="2" t="s">
        <v>14624</v>
      </c>
      <c r="F4711" s="4">
        <v>8731</v>
      </c>
      <c r="G4711" s="2" t="s">
        <v>223</v>
      </c>
      <c r="H4711" s="2" t="s">
        <v>34</v>
      </c>
      <c r="I4711" s="2" t="s">
        <v>14625</v>
      </c>
      <c r="J4711" s="2" t="s">
        <v>14081</v>
      </c>
      <c r="K4711" s="2" t="s">
        <v>130</v>
      </c>
      <c r="L4711" s="2" t="s">
        <v>34</v>
      </c>
      <c r="M4711" s="6">
        <v>158.62</v>
      </c>
      <c r="N4711" s="5">
        <v>12.5</v>
      </c>
      <c r="O4711" s="6">
        <v>12.25</v>
      </c>
      <c r="P4711" s="2" t="s">
        <v>14626</v>
      </c>
      <c r="Q4711" s="6">
        <v>100</v>
      </c>
      <c r="R4711" s="6">
        <v>2.29</v>
      </c>
      <c r="S4711" s="5">
        <v>-7.5</v>
      </c>
      <c r="T4711" s="7">
        <v>-7.0090000000000003</v>
      </c>
      <c r="U4711" s="5">
        <v>0.8</v>
      </c>
      <c r="V4711" s="6">
        <v>-0.37</v>
      </c>
      <c r="W4711" s="4">
        <v>2</v>
      </c>
      <c r="X4711" s="7">
        <v>1.7809999999999999</v>
      </c>
      <c r="Y4711" s="6">
        <v>1.75</v>
      </c>
      <c r="Z4711" s="6">
        <v>1.75</v>
      </c>
      <c r="AA4711" s="6">
        <v>20.32</v>
      </c>
      <c r="AB4711" s="2" t="s">
        <v>86</v>
      </c>
      <c r="AC4711" s="6">
        <v>46.48</v>
      </c>
    </row>
    <row r="4712" spans="1:29" ht="260" x14ac:dyDescent="0.15">
      <c r="A4712" s="3">
        <f>DATE(1999,6,11)</f>
        <v>36322</v>
      </c>
      <c r="B4712" s="3">
        <f>DATE(2000,2,2)</f>
        <v>36558</v>
      </c>
      <c r="C4712" s="2" t="s">
        <v>95</v>
      </c>
      <c r="D4712" s="2" t="s">
        <v>14627</v>
      </c>
      <c r="E4712" s="2" t="s">
        <v>1977</v>
      </c>
      <c r="F4712" s="4">
        <v>4911</v>
      </c>
      <c r="G4712" s="2" t="s">
        <v>439</v>
      </c>
      <c r="H4712" s="2" t="s">
        <v>34</v>
      </c>
      <c r="I4712" s="2" t="s">
        <v>14628</v>
      </c>
      <c r="J4712" s="2" t="s">
        <v>441</v>
      </c>
      <c r="K4712" s="2" t="s">
        <v>439</v>
      </c>
      <c r="L4712" s="2" t="s">
        <v>34</v>
      </c>
      <c r="M4712" s="12">
        <v>1844.1210000000001</v>
      </c>
      <c r="N4712" s="9">
        <v>25.3125</v>
      </c>
      <c r="O4712" s="7">
        <v>25.625</v>
      </c>
      <c r="P4712" s="2" t="s">
        <v>14629</v>
      </c>
      <c r="Q4712" s="6">
        <v>100</v>
      </c>
      <c r="R4712" s="6">
        <v>17.079999999999998</v>
      </c>
      <c r="S4712" s="5">
        <v>124.1</v>
      </c>
      <c r="T4712" s="7">
        <v>247.83699999999999</v>
      </c>
      <c r="U4712" s="8">
        <v>2182</v>
      </c>
      <c r="V4712" s="9">
        <v>233.4152</v>
      </c>
      <c r="W4712" s="6">
        <v>18.25</v>
      </c>
      <c r="X4712" s="9">
        <v>19.0625</v>
      </c>
      <c r="Y4712" s="7">
        <v>25.312999999999999</v>
      </c>
      <c r="Z4712" s="7">
        <v>25.625</v>
      </c>
      <c r="AA4712" s="6">
        <v>152.86000000000001</v>
      </c>
      <c r="AB4712" s="7">
        <v>10.568</v>
      </c>
      <c r="AC4712" s="5">
        <v>65.7</v>
      </c>
    </row>
    <row r="4713" spans="1:29" ht="169" x14ac:dyDescent="0.15">
      <c r="A4713" s="3">
        <f>DATE(1999,6,11)</f>
        <v>36322</v>
      </c>
      <c r="B4713" s="3">
        <f>DATE(2000,3,31)</f>
        <v>36616</v>
      </c>
      <c r="C4713" s="2" t="s">
        <v>95</v>
      </c>
      <c r="D4713" s="2" t="s">
        <v>14630</v>
      </c>
      <c r="E4713" s="2" t="s">
        <v>3395</v>
      </c>
      <c r="F4713" s="4">
        <v>4911</v>
      </c>
      <c r="G4713" s="2" t="s">
        <v>439</v>
      </c>
      <c r="H4713" s="2" t="s">
        <v>34</v>
      </c>
      <c r="I4713" s="2" t="s">
        <v>14631</v>
      </c>
      <c r="J4713" s="2" t="s">
        <v>11196</v>
      </c>
      <c r="K4713" s="2" t="s">
        <v>439</v>
      </c>
      <c r="L4713" s="2" t="s">
        <v>34</v>
      </c>
      <c r="M4713" s="7">
        <v>629.24099999999999</v>
      </c>
      <c r="N4713" s="7">
        <v>22.562999999999999</v>
      </c>
      <c r="O4713" s="7">
        <v>21.875</v>
      </c>
      <c r="P4713" s="2" t="s">
        <v>14632</v>
      </c>
      <c r="Q4713" s="6">
        <v>100</v>
      </c>
      <c r="R4713" s="6">
        <v>30.08</v>
      </c>
      <c r="S4713" s="5">
        <v>48</v>
      </c>
      <c r="T4713" s="7">
        <v>129.333</v>
      </c>
      <c r="U4713" s="5">
        <v>15.9</v>
      </c>
      <c r="V4713" s="6">
        <v>1.96</v>
      </c>
      <c r="W4713" s="4">
        <v>30</v>
      </c>
      <c r="X4713" s="5">
        <v>29.5</v>
      </c>
      <c r="Y4713" s="5">
        <v>29.5</v>
      </c>
      <c r="Z4713" s="7">
        <v>29.062999999999999</v>
      </c>
      <c r="AA4713" s="6">
        <v>23.63</v>
      </c>
      <c r="AB4713" s="7">
        <v>12.542</v>
      </c>
      <c r="AC4713" s="6">
        <v>9.33</v>
      </c>
    </row>
    <row r="4714" spans="1:29" ht="91" x14ac:dyDescent="0.15">
      <c r="A4714" s="3">
        <f>DATE(1999,6,11)</f>
        <v>36322</v>
      </c>
      <c r="B4714" s="3">
        <f>DATE(1999,7,22)</f>
        <v>36363</v>
      </c>
      <c r="C4714" s="2" t="s">
        <v>95</v>
      </c>
      <c r="D4714" s="2" t="s">
        <v>14633</v>
      </c>
      <c r="E4714" s="2" t="s">
        <v>10290</v>
      </c>
      <c r="F4714" s="4">
        <v>7389</v>
      </c>
      <c r="G4714" s="2" t="s">
        <v>223</v>
      </c>
      <c r="H4714" s="2" t="s">
        <v>34</v>
      </c>
      <c r="I4714" s="2" t="s">
        <v>14634</v>
      </c>
      <c r="J4714" s="2" t="s">
        <v>14635</v>
      </c>
      <c r="K4714" s="2" t="s">
        <v>226</v>
      </c>
      <c r="L4714" s="2" t="s">
        <v>926</v>
      </c>
      <c r="M4714" s="2"/>
      <c r="N4714" s="2"/>
      <c r="O4714" s="2"/>
      <c r="P4714" s="2" t="s">
        <v>14636</v>
      </c>
      <c r="Q4714" s="6">
        <v>91.55</v>
      </c>
      <c r="R4714" s="6">
        <v>27</v>
      </c>
      <c r="S4714" s="5">
        <v>7.8</v>
      </c>
      <c r="T4714" s="7">
        <v>23.170999999999999</v>
      </c>
      <c r="U4714" s="5">
        <v>10.1</v>
      </c>
      <c r="V4714" s="6">
        <v>0.93</v>
      </c>
      <c r="W4714" s="6">
        <v>17.75</v>
      </c>
      <c r="X4714" s="5">
        <v>19.5</v>
      </c>
      <c r="Y4714" s="6">
        <v>25.75</v>
      </c>
      <c r="Z4714" s="5">
        <v>24.5</v>
      </c>
      <c r="AA4714" s="6">
        <v>8</v>
      </c>
      <c r="AB4714" s="7">
        <v>19.053999999999998</v>
      </c>
      <c r="AC4714" s="6">
        <v>59.37</v>
      </c>
    </row>
    <row r="4715" spans="1:29" ht="117" x14ac:dyDescent="0.15">
      <c r="A4715" s="3">
        <f>DATE(1999,6,11)</f>
        <v>36322</v>
      </c>
      <c r="B4715" s="3">
        <f>DATE(1999,10,26)</f>
        <v>36459</v>
      </c>
      <c r="C4715" s="2" t="s">
        <v>95</v>
      </c>
      <c r="D4715" s="2" t="s">
        <v>12273</v>
      </c>
      <c r="E4715" s="2" t="s">
        <v>268</v>
      </c>
      <c r="F4715" s="4">
        <v>7011</v>
      </c>
      <c r="G4715" s="2" t="s">
        <v>269</v>
      </c>
      <c r="H4715" s="2" t="s">
        <v>34</v>
      </c>
      <c r="I4715" s="2" t="s">
        <v>14637</v>
      </c>
      <c r="J4715" s="2" t="s">
        <v>92</v>
      </c>
      <c r="K4715" s="2" t="s">
        <v>53</v>
      </c>
      <c r="L4715" s="2" t="s">
        <v>34</v>
      </c>
      <c r="M4715" s="7">
        <v>40.527000000000001</v>
      </c>
      <c r="N4715" s="7">
        <v>8.375</v>
      </c>
      <c r="O4715" s="4">
        <v>8</v>
      </c>
      <c r="P4715" s="2" t="s">
        <v>14638</v>
      </c>
      <c r="Q4715" s="6">
        <v>100</v>
      </c>
      <c r="R4715" s="6">
        <v>10.89</v>
      </c>
      <c r="S4715" s="5">
        <v>5.0999999999999996</v>
      </c>
      <c r="T4715" s="7">
        <v>17.163</v>
      </c>
      <c r="U4715" s="5">
        <v>8</v>
      </c>
      <c r="V4715" s="6">
        <v>1.05</v>
      </c>
      <c r="W4715" s="4">
        <v>9</v>
      </c>
      <c r="X4715" s="5">
        <v>9.5</v>
      </c>
      <c r="Y4715" s="5">
        <v>9.5</v>
      </c>
      <c r="Z4715" s="7">
        <v>11.938000000000001</v>
      </c>
      <c r="AA4715" s="6">
        <v>4.84</v>
      </c>
      <c r="AB4715" s="7">
        <v>8.1300000000000008</v>
      </c>
      <c r="AC4715" s="6">
        <v>0.16</v>
      </c>
    </row>
    <row r="4716" spans="1:29" ht="104" x14ac:dyDescent="0.15">
      <c r="A4716" s="3">
        <f>DATE(1999,6,11)</f>
        <v>36322</v>
      </c>
      <c r="B4716" s="3">
        <f>DATE(1999,7,21)</f>
        <v>36362</v>
      </c>
      <c r="C4716" s="2" t="s">
        <v>95</v>
      </c>
      <c r="D4716" s="2" t="s">
        <v>14639</v>
      </c>
      <c r="E4716" s="2" t="s">
        <v>129</v>
      </c>
      <c r="F4716" s="4">
        <v>2834</v>
      </c>
      <c r="G4716" s="2" t="s">
        <v>130</v>
      </c>
      <c r="H4716" s="2" t="s">
        <v>34</v>
      </c>
      <c r="I4716" s="2" t="s">
        <v>14640</v>
      </c>
      <c r="J4716" s="2" t="s">
        <v>14641</v>
      </c>
      <c r="K4716" s="2" t="s">
        <v>130</v>
      </c>
      <c r="L4716" s="2" t="s">
        <v>926</v>
      </c>
      <c r="M4716" s="2"/>
      <c r="N4716" s="2"/>
      <c r="O4716" s="2"/>
      <c r="P4716" s="2" t="s">
        <v>14642</v>
      </c>
      <c r="Q4716" s="6">
        <v>100</v>
      </c>
      <c r="R4716" s="6">
        <v>12</v>
      </c>
      <c r="S4716" s="5">
        <v>-7.6</v>
      </c>
      <c r="T4716" s="6">
        <v>-8.7100000000000009</v>
      </c>
      <c r="U4716" s="5">
        <v>0.7</v>
      </c>
      <c r="V4716" s="6">
        <v>-0.84</v>
      </c>
      <c r="W4716" s="7">
        <v>10.625</v>
      </c>
      <c r="X4716" s="7">
        <v>10.125</v>
      </c>
      <c r="Y4716" s="5">
        <v>11.5</v>
      </c>
      <c r="Z4716" s="5">
        <v>11.5</v>
      </c>
      <c r="AA4716" s="6">
        <v>9.06</v>
      </c>
      <c r="AB4716" s="2" t="s">
        <v>86</v>
      </c>
      <c r="AC4716" s="2"/>
    </row>
    <row r="4717" spans="1:29" ht="117" x14ac:dyDescent="0.15">
      <c r="A4717" s="3">
        <f t="shared" ref="A4717:A4724" si="96">DATE(1999,6,14)</f>
        <v>36325</v>
      </c>
      <c r="B4717" s="3">
        <f>DATE(1999,11,26)</f>
        <v>36490</v>
      </c>
      <c r="C4717" s="2" t="s">
        <v>95</v>
      </c>
      <c r="D4717" s="2" t="s">
        <v>14643</v>
      </c>
      <c r="E4717" s="2" t="s">
        <v>14644</v>
      </c>
      <c r="F4717" s="4">
        <v>7331</v>
      </c>
      <c r="G4717" s="2" t="s">
        <v>223</v>
      </c>
      <c r="H4717" s="2" t="s">
        <v>34</v>
      </c>
      <c r="I4717" s="2" t="s">
        <v>14645</v>
      </c>
      <c r="J4717" s="2" t="s">
        <v>14646</v>
      </c>
      <c r="K4717" s="2" t="s">
        <v>223</v>
      </c>
      <c r="L4717" s="2" t="s">
        <v>34</v>
      </c>
      <c r="M4717" s="12">
        <v>4744.6610000000001</v>
      </c>
      <c r="N4717" s="6">
        <v>70.75</v>
      </c>
      <c r="O4717" s="4">
        <v>76</v>
      </c>
      <c r="P4717" s="2" t="s">
        <v>14647</v>
      </c>
      <c r="Q4717" s="6">
        <v>100</v>
      </c>
      <c r="R4717" s="6">
        <v>93.25</v>
      </c>
      <c r="S4717" s="5">
        <v>12</v>
      </c>
      <c r="T4717" s="7">
        <v>21.148</v>
      </c>
      <c r="U4717" s="5">
        <v>4</v>
      </c>
      <c r="V4717" s="6">
        <v>1.17</v>
      </c>
      <c r="W4717" s="6">
        <v>74.56</v>
      </c>
      <c r="X4717" s="6">
        <v>74.56</v>
      </c>
      <c r="Y4717" s="5">
        <v>67.5</v>
      </c>
      <c r="Z4717" s="7">
        <v>73.375</v>
      </c>
      <c r="AA4717" s="6">
        <v>9.8800000000000008</v>
      </c>
      <c r="AB4717" s="7">
        <v>50.895000000000003</v>
      </c>
      <c r="AC4717" s="6">
        <v>371.15</v>
      </c>
    </row>
    <row r="4718" spans="1:29" ht="117" x14ac:dyDescent="0.15">
      <c r="A4718" s="3">
        <f t="shared" si="96"/>
        <v>36325</v>
      </c>
      <c r="B4718" s="3">
        <f>DATE(1999,7,26)</f>
        <v>36367</v>
      </c>
      <c r="C4718" s="2" t="s">
        <v>95</v>
      </c>
      <c r="D4718" s="2" t="s">
        <v>14648</v>
      </c>
      <c r="E4718" s="2" t="s">
        <v>14649</v>
      </c>
      <c r="F4718" s="4">
        <v>4141</v>
      </c>
      <c r="G4718" s="2" t="s">
        <v>173</v>
      </c>
      <c r="H4718" s="2" t="s">
        <v>34</v>
      </c>
      <c r="I4718" s="2" t="s">
        <v>14650</v>
      </c>
      <c r="J4718" s="2" t="s">
        <v>14651</v>
      </c>
      <c r="K4718" s="2" t="s">
        <v>173</v>
      </c>
      <c r="L4718" s="2" t="s">
        <v>303</v>
      </c>
      <c r="M4718" s="2"/>
      <c r="N4718" s="2"/>
      <c r="O4718" s="2"/>
      <c r="P4718" s="2" t="s">
        <v>14652</v>
      </c>
      <c r="Q4718" s="6">
        <v>100</v>
      </c>
      <c r="R4718" s="6">
        <v>42</v>
      </c>
      <c r="S4718" s="5">
        <v>55.5</v>
      </c>
      <c r="T4718" s="7">
        <v>191.40299999999999</v>
      </c>
      <c r="U4718" s="5">
        <v>13.8</v>
      </c>
      <c r="V4718" s="6">
        <v>2.17</v>
      </c>
      <c r="W4718" s="6">
        <v>29.87</v>
      </c>
      <c r="X4718" s="6">
        <v>38.619999999999997</v>
      </c>
      <c r="Y4718" s="7">
        <v>41.375</v>
      </c>
      <c r="Z4718" s="7">
        <v>41.375</v>
      </c>
      <c r="AA4718" s="6">
        <v>25.43</v>
      </c>
      <c r="AB4718" s="7">
        <v>13.984999999999999</v>
      </c>
      <c r="AC4718" s="2"/>
    </row>
    <row r="4719" spans="1:29" ht="182" x14ac:dyDescent="0.15">
      <c r="A4719" s="3">
        <f t="shared" si="96"/>
        <v>36325</v>
      </c>
      <c r="B4719" s="2"/>
      <c r="C4719" s="2" t="s">
        <v>30</v>
      </c>
      <c r="D4719" s="2" t="s">
        <v>6092</v>
      </c>
      <c r="E4719" s="2" t="s">
        <v>973</v>
      </c>
      <c r="F4719" s="4">
        <v>4813</v>
      </c>
      <c r="G4719" s="2" t="s">
        <v>63</v>
      </c>
      <c r="H4719" s="2" t="s">
        <v>34</v>
      </c>
      <c r="I4719" s="2" t="s">
        <v>14653</v>
      </c>
      <c r="J4719" s="2" t="s">
        <v>14654</v>
      </c>
      <c r="K4719" s="2" t="s">
        <v>63</v>
      </c>
      <c r="L4719" s="2" t="s">
        <v>34</v>
      </c>
      <c r="M4719" s="8">
        <v>15994</v>
      </c>
      <c r="N4719" s="7">
        <v>34.125</v>
      </c>
      <c r="O4719" s="7">
        <v>34.875</v>
      </c>
      <c r="P4719" s="2" t="s">
        <v>14655</v>
      </c>
      <c r="Q4719" s="2"/>
      <c r="R4719" s="6">
        <v>68</v>
      </c>
      <c r="S4719" s="5">
        <v>177.5</v>
      </c>
      <c r="T4719" s="6">
        <v>549.73</v>
      </c>
      <c r="U4719" s="5">
        <v>5.8</v>
      </c>
      <c r="V4719" s="6">
        <v>1.01</v>
      </c>
      <c r="W4719" s="7">
        <v>38.625</v>
      </c>
      <c r="X4719" s="7">
        <v>44.625</v>
      </c>
      <c r="Y4719" s="5">
        <v>50.5</v>
      </c>
      <c r="Z4719" s="7">
        <v>53.875</v>
      </c>
      <c r="AA4719" s="6">
        <v>171.61</v>
      </c>
      <c r="AB4719" s="7">
        <v>41.723999999999997</v>
      </c>
      <c r="AC4719" s="5">
        <v>119</v>
      </c>
    </row>
    <row r="4720" spans="1:29" ht="78" x14ac:dyDescent="0.15">
      <c r="A4720" s="3">
        <f t="shared" si="96"/>
        <v>36325</v>
      </c>
      <c r="B4720" s="3">
        <f>DATE(1999,11,12)</f>
        <v>36476</v>
      </c>
      <c r="C4720" s="2" t="s">
        <v>95</v>
      </c>
      <c r="D4720" s="2" t="s">
        <v>5082</v>
      </c>
      <c r="E4720" s="2" t="s">
        <v>563</v>
      </c>
      <c r="F4720" s="4">
        <v>3842</v>
      </c>
      <c r="G4720" s="2" t="s">
        <v>226</v>
      </c>
      <c r="H4720" s="2" t="s">
        <v>34</v>
      </c>
      <c r="I4720" s="2" t="s">
        <v>51</v>
      </c>
      <c r="J4720" s="2" t="s">
        <v>52</v>
      </c>
      <c r="K4720" s="2" t="s">
        <v>53</v>
      </c>
      <c r="L4720" s="2" t="s">
        <v>34</v>
      </c>
      <c r="M4720" s="2"/>
      <c r="N4720" s="2"/>
      <c r="O4720" s="2"/>
      <c r="P4720" s="2" t="s">
        <v>14656</v>
      </c>
      <c r="Q4720" s="6">
        <v>100</v>
      </c>
      <c r="R4720" s="6">
        <v>26</v>
      </c>
      <c r="S4720" s="5">
        <v>21.1</v>
      </c>
      <c r="T4720" s="7">
        <v>78.137</v>
      </c>
      <c r="U4720" s="5">
        <v>19.600000000000001</v>
      </c>
      <c r="V4720" s="6">
        <v>1.44</v>
      </c>
      <c r="W4720" s="7">
        <v>18.812999999999999</v>
      </c>
      <c r="X4720" s="7">
        <v>19.875</v>
      </c>
      <c r="Y4720" s="5">
        <v>23.5</v>
      </c>
      <c r="Z4720" s="7">
        <v>23.375</v>
      </c>
      <c r="AA4720" s="6">
        <v>14.28</v>
      </c>
      <c r="AB4720" s="7">
        <v>14.054</v>
      </c>
      <c r="AC4720" s="2"/>
    </row>
    <row r="4721" spans="1:29" ht="78" x14ac:dyDescent="0.15">
      <c r="A4721" s="3">
        <f t="shared" si="96"/>
        <v>36325</v>
      </c>
      <c r="B4721" s="3">
        <f>DATE(1999,8,2)</f>
        <v>36374</v>
      </c>
      <c r="C4721" s="2" t="s">
        <v>95</v>
      </c>
      <c r="D4721" s="2" t="s">
        <v>12908</v>
      </c>
      <c r="E4721" s="2" t="s">
        <v>12909</v>
      </c>
      <c r="F4721" s="4">
        <v>7372</v>
      </c>
      <c r="G4721" s="2" t="s">
        <v>551</v>
      </c>
      <c r="H4721" s="2" t="s">
        <v>34</v>
      </c>
      <c r="I4721" s="2" t="s">
        <v>569</v>
      </c>
      <c r="J4721" s="2" t="s">
        <v>2347</v>
      </c>
      <c r="K4721" s="2" t="s">
        <v>551</v>
      </c>
      <c r="L4721" s="2" t="s">
        <v>34</v>
      </c>
      <c r="M4721" s="12">
        <v>2471.1419999999998</v>
      </c>
      <c r="N4721" s="7">
        <v>12.688000000000001</v>
      </c>
      <c r="O4721" s="7">
        <v>12.938000000000001</v>
      </c>
      <c r="P4721" s="2" t="s">
        <v>14657</v>
      </c>
      <c r="Q4721" s="6">
        <v>100</v>
      </c>
      <c r="R4721" s="6">
        <v>13</v>
      </c>
      <c r="S4721" s="5">
        <v>3</v>
      </c>
      <c r="T4721" s="7">
        <v>8.5329999999999995</v>
      </c>
      <c r="U4721" s="5">
        <v>5.3</v>
      </c>
      <c r="V4721" s="6">
        <v>0.31</v>
      </c>
      <c r="W4721" s="6">
        <v>8.25</v>
      </c>
      <c r="X4721" s="7">
        <v>9.375</v>
      </c>
      <c r="Y4721" s="5">
        <v>9.5</v>
      </c>
      <c r="Z4721" s="7">
        <v>12.625</v>
      </c>
      <c r="AA4721" s="6">
        <v>9.4</v>
      </c>
      <c r="AB4721" s="7">
        <v>13.507999999999999</v>
      </c>
      <c r="AC4721" s="6">
        <v>216.91</v>
      </c>
    </row>
    <row r="4722" spans="1:29" ht="91" x14ac:dyDescent="0.15">
      <c r="A4722" s="3">
        <f t="shared" si="96"/>
        <v>36325</v>
      </c>
      <c r="B4722" s="3">
        <f>DATE(1999,11,2)</f>
        <v>36466</v>
      </c>
      <c r="C4722" s="2" t="s">
        <v>95</v>
      </c>
      <c r="D4722" s="2" t="s">
        <v>14658</v>
      </c>
      <c r="E4722" s="2" t="s">
        <v>14659</v>
      </c>
      <c r="F4722" s="4">
        <v>8011</v>
      </c>
      <c r="G4722" s="2" t="s">
        <v>454</v>
      </c>
      <c r="H4722" s="2" t="s">
        <v>34</v>
      </c>
      <c r="I4722" s="2" t="s">
        <v>14660</v>
      </c>
      <c r="J4722" s="2" t="s">
        <v>244</v>
      </c>
      <c r="K4722" s="2" t="s">
        <v>53</v>
      </c>
      <c r="L4722" s="2" t="s">
        <v>34</v>
      </c>
      <c r="M4722" s="2"/>
      <c r="N4722" s="2"/>
      <c r="O4722" s="2"/>
      <c r="P4722" s="2" t="s">
        <v>14661</v>
      </c>
      <c r="Q4722" s="6">
        <v>100</v>
      </c>
      <c r="R4722" s="6">
        <v>10.5</v>
      </c>
      <c r="S4722" s="5">
        <v>5.7</v>
      </c>
      <c r="T4722" s="7">
        <v>10.837999999999999</v>
      </c>
      <c r="U4722" s="5">
        <v>5.4</v>
      </c>
      <c r="V4722" s="6">
        <v>0.64</v>
      </c>
      <c r="W4722" s="5">
        <v>8.5</v>
      </c>
      <c r="X4722" s="6">
        <v>8.75</v>
      </c>
      <c r="Y4722" s="7">
        <v>9.1880000000000006</v>
      </c>
      <c r="Z4722" s="6">
        <v>9.25</v>
      </c>
      <c r="AA4722" s="6">
        <v>9.17</v>
      </c>
      <c r="AB4722" s="7">
        <v>13.023999999999999</v>
      </c>
      <c r="AC4722" s="2"/>
    </row>
    <row r="4723" spans="1:29" ht="78" x14ac:dyDescent="0.15">
      <c r="A4723" s="3">
        <f t="shared" si="96"/>
        <v>36325</v>
      </c>
      <c r="B4723" s="3">
        <f>DATE(1999,11,11)</f>
        <v>36475</v>
      </c>
      <c r="C4723" s="2" t="s">
        <v>95</v>
      </c>
      <c r="D4723" s="2" t="s">
        <v>12476</v>
      </c>
      <c r="E4723" s="2" t="s">
        <v>12477</v>
      </c>
      <c r="F4723" s="4">
        <v>4953</v>
      </c>
      <c r="G4723" s="2" t="s">
        <v>116</v>
      </c>
      <c r="H4723" s="2" t="s">
        <v>34</v>
      </c>
      <c r="I4723" s="2" t="s">
        <v>10583</v>
      </c>
      <c r="J4723" s="2" t="s">
        <v>10584</v>
      </c>
      <c r="K4723" s="2" t="s">
        <v>439</v>
      </c>
      <c r="L4723" s="2" t="s">
        <v>133</v>
      </c>
      <c r="M4723" s="2"/>
      <c r="N4723" s="2"/>
      <c r="O4723" s="2"/>
      <c r="P4723" s="2" t="s">
        <v>14662</v>
      </c>
      <c r="Q4723" s="6">
        <v>100</v>
      </c>
      <c r="R4723" s="6">
        <v>27</v>
      </c>
      <c r="S4723" s="5">
        <v>23.3</v>
      </c>
      <c r="T4723" s="7">
        <v>102.14400000000001</v>
      </c>
      <c r="U4723" s="5">
        <v>10</v>
      </c>
      <c r="V4723" s="6">
        <v>0.7</v>
      </c>
      <c r="W4723" s="5">
        <v>21.5</v>
      </c>
      <c r="X4723" s="6">
        <v>23.75</v>
      </c>
      <c r="Y4723" s="7">
        <v>26.562999999999999</v>
      </c>
      <c r="Z4723" s="7">
        <v>26.562999999999999</v>
      </c>
      <c r="AA4723" s="6">
        <v>32.36</v>
      </c>
      <c r="AB4723" s="7">
        <v>16.809999999999999</v>
      </c>
      <c r="AC4723" s="10">
        <v>5211.3500000000004</v>
      </c>
    </row>
    <row r="4724" spans="1:29" ht="221" x14ac:dyDescent="0.15">
      <c r="A4724" s="3">
        <f t="shared" si="96"/>
        <v>36325</v>
      </c>
      <c r="B4724" s="3">
        <f>DATE(2000,6,30)</f>
        <v>36707</v>
      </c>
      <c r="C4724" s="2" t="s">
        <v>95</v>
      </c>
      <c r="D4724" s="2" t="s">
        <v>1394</v>
      </c>
      <c r="E4724" s="2" t="s">
        <v>973</v>
      </c>
      <c r="F4724" s="4">
        <v>4899</v>
      </c>
      <c r="G4724" s="2" t="s">
        <v>63</v>
      </c>
      <c r="H4724" s="2" t="s">
        <v>34</v>
      </c>
      <c r="I4724" s="2" t="s">
        <v>14653</v>
      </c>
      <c r="J4724" s="2" t="s">
        <v>14654</v>
      </c>
      <c r="K4724" s="2" t="s">
        <v>63</v>
      </c>
      <c r="L4724" s="2" t="s">
        <v>34</v>
      </c>
      <c r="M4724" s="8">
        <v>15994</v>
      </c>
      <c r="N4724" s="7">
        <v>34.125</v>
      </c>
      <c r="O4724" s="7">
        <v>34.875</v>
      </c>
      <c r="P4724" s="2" t="s">
        <v>14663</v>
      </c>
      <c r="Q4724" s="6">
        <v>100</v>
      </c>
      <c r="R4724" s="6">
        <v>82.47</v>
      </c>
      <c r="S4724" s="8">
        <v>1109</v>
      </c>
      <c r="T4724" s="8">
        <v>5849</v>
      </c>
      <c r="U4724" s="5">
        <v>2.6</v>
      </c>
      <c r="V4724" s="6">
        <v>2.17</v>
      </c>
      <c r="W4724" s="7">
        <v>54.938000000000002</v>
      </c>
      <c r="X4724" s="6">
        <v>62.25</v>
      </c>
      <c r="Y4724" s="6">
        <v>58.25</v>
      </c>
      <c r="Z4724" s="7">
        <v>54.313000000000002</v>
      </c>
      <c r="AA4724" s="6">
        <v>503.59</v>
      </c>
      <c r="AB4724" s="7">
        <v>16.911000000000001</v>
      </c>
      <c r="AC4724" s="5">
        <v>900</v>
      </c>
    </row>
    <row r="4725" spans="1:29" ht="65" x14ac:dyDescent="0.15">
      <c r="A4725" s="3">
        <f>DATE(1999,6,15)</f>
        <v>36326</v>
      </c>
      <c r="B4725" s="3">
        <f>DATE(2000,9,1)</f>
        <v>36770</v>
      </c>
      <c r="C4725" s="2" t="s">
        <v>95</v>
      </c>
      <c r="D4725" s="2" t="s">
        <v>14664</v>
      </c>
      <c r="E4725" s="2" t="s">
        <v>438</v>
      </c>
      <c r="F4725" s="4">
        <v>4911</v>
      </c>
      <c r="G4725" s="2" t="s">
        <v>439</v>
      </c>
      <c r="H4725" s="2" t="s">
        <v>34</v>
      </c>
      <c r="I4725" s="2" t="s">
        <v>14217</v>
      </c>
      <c r="J4725" s="2" t="s">
        <v>1888</v>
      </c>
      <c r="K4725" s="2" t="s">
        <v>439</v>
      </c>
      <c r="L4725" s="2" t="s">
        <v>34</v>
      </c>
      <c r="M4725" s="12">
        <v>3184.5010000000002</v>
      </c>
      <c r="N4725" s="7">
        <v>26.312999999999999</v>
      </c>
      <c r="O4725" s="7">
        <v>26.812999999999999</v>
      </c>
      <c r="P4725" s="2" t="s">
        <v>14665</v>
      </c>
      <c r="Q4725" s="6">
        <v>100</v>
      </c>
      <c r="R4725" s="6">
        <v>29.5</v>
      </c>
      <c r="S4725" s="5">
        <v>71.7</v>
      </c>
      <c r="T4725" s="7">
        <v>253.78100000000001</v>
      </c>
      <c r="U4725" s="5">
        <v>16.8</v>
      </c>
      <c r="V4725" s="6">
        <v>2.14</v>
      </c>
      <c r="W4725" s="7">
        <v>20.562999999999999</v>
      </c>
      <c r="X4725" s="7">
        <v>20.062999999999999</v>
      </c>
      <c r="Y4725" s="6">
        <v>25.75</v>
      </c>
      <c r="Z4725" s="6">
        <v>25.75</v>
      </c>
      <c r="AA4725" s="6">
        <v>32.44</v>
      </c>
      <c r="AB4725" s="7">
        <v>9.81</v>
      </c>
      <c r="AC4725" s="6">
        <v>953.22</v>
      </c>
    </row>
    <row r="4726" spans="1:29" ht="91" x14ac:dyDescent="0.15">
      <c r="A4726" s="3">
        <f>DATE(1999,6,15)</f>
        <v>36326</v>
      </c>
      <c r="B4726" s="2"/>
      <c r="C4726" s="2" t="s">
        <v>30</v>
      </c>
      <c r="D4726" s="2" t="s">
        <v>3795</v>
      </c>
      <c r="E4726" s="2" t="s">
        <v>3796</v>
      </c>
      <c r="F4726" s="4">
        <v>7221</v>
      </c>
      <c r="G4726" s="2" t="s">
        <v>1517</v>
      </c>
      <c r="H4726" s="2" t="s">
        <v>34</v>
      </c>
      <c r="I4726" s="2" t="s">
        <v>51</v>
      </c>
      <c r="J4726" s="2" t="s">
        <v>52</v>
      </c>
      <c r="K4726" s="2" t="s">
        <v>53</v>
      </c>
      <c r="L4726" s="2" t="s">
        <v>34</v>
      </c>
      <c r="M4726" s="2"/>
      <c r="N4726" s="2"/>
      <c r="O4726" s="2"/>
      <c r="P4726" s="2" t="s">
        <v>14666</v>
      </c>
      <c r="Q4726" s="2"/>
      <c r="R4726" s="6">
        <v>37</v>
      </c>
      <c r="S4726" s="5">
        <v>21.9</v>
      </c>
      <c r="T4726" s="6">
        <v>59.11</v>
      </c>
      <c r="U4726" s="5">
        <v>11.8</v>
      </c>
      <c r="V4726" s="6">
        <v>2.15</v>
      </c>
      <c r="W4726" s="7">
        <v>30.875</v>
      </c>
      <c r="X4726" s="7">
        <v>28.437999999999999</v>
      </c>
      <c r="Y4726" s="9">
        <v>27.8125</v>
      </c>
      <c r="Z4726" s="7">
        <v>34.625</v>
      </c>
      <c r="AA4726" s="6">
        <v>9.92</v>
      </c>
      <c r="AB4726" s="7">
        <v>12.276999999999999</v>
      </c>
      <c r="AC4726" s="2"/>
    </row>
    <row r="4727" spans="1:29" ht="78" x14ac:dyDescent="0.15">
      <c r="A4727" s="3">
        <f>DATE(1999,6,15)</f>
        <v>36326</v>
      </c>
      <c r="B4727" s="3">
        <f>DATE(1999,8,27)</f>
        <v>36399</v>
      </c>
      <c r="C4727" s="2" t="s">
        <v>95</v>
      </c>
      <c r="D4727" s="2" t="s">
        <v>14667</v>
      </c>
      <c r="E4727" s="2" t="s">
        <v>14668</v>
      </c>
      <c r="F4727" s="4">
        <v>3661</v>
      </c>
      <c r="G4727" s="2" t="s">
        <v>921</v>
      </c>
      <c r="H4727" s="2" t="s">
        <v>34</v>
      </c>
      <c r="I4727" s="2" t="s">
        <v>14669</v>
      </c>
      <c r="J4727" s="2" t="s">
        <v>9174</v>
      </c>
      <c r="K4727" s="2" t="s">
        <v>50</v>
      </c>
      <c r="L4727" s="2" t="s">
        <v>34</v>
      </c>
      <c r="M4727" s="12">
        <v>9218.1880000000001</v>
      </c>
      <c r="N4727" s="7">
        <v>37.688000000000002</v>
      </c>
      <c r="O4727" s="6">
        <v>39.25</v>
      </c>
      <c r="P4727" s="2" t="s">
        <v>14670</v>
      </c>
      <c r="Q4727" s="6">
        <v>100</v>
      </c>
      <c r="R4727" s="6">
        <v>6.6</v>
      </c>
      <c r="S4727" s="5">
        <v>10</v>
      </c>
      <c r="T4727" s="7">
        <v>-6.8390000000000004</v>
      </c>
      <c r="U4727" s="5">
        <v>-2</v>
      </c>
      <c r="V4727" s="6">
        <v>-1.91</v>
      </c>
      <c r="W4727" s="7">
        <v>5.9379999999999997</v>
      </c>
      <c r="X4727" s="5">
        <v>5.5</v>
      </c>
      <c r="Y4727" s="7">
        <v>5.9059999999999997</v>
      </c>
      <c r="Z4727" s="7">
        <v>5.9379999999999997</v>
      </c>
      <c r="AA4727" s="6">
        <v>5.29</v>
      </c>
      <c r="AB4727" s="2" t="s">
        <v>86</v>
      </c>
      <c r="AC4727" s="5">
        <v>423.5</v>
      </c>
    </row>
    <row r="4728" spans="1:29" ht="65" x14ac:dyDescent="0.15">
      <c r="A4728" s="3">
        <f>DATE(1999,6,15)</f>
        <v>36326</v>
      </c>
      <c r="B4728" s="3">
        <f>DATE(1999,8,31)</f>
        <v>36403</v>
      </c>
      <c r="C4728" s="2" t="s">
        <v>95</v>
      </c>
      <c r="D4728" s="2" t="s">
        <v>14671</v>
      </c>
      <c r="E4728" s="2" t="s">
        <v>14575</v>
      </c>
      <c r="F4728" s="4">
        <v>8731</v>
      </c>
      <c r="G4728" s="2" t="s">
        <v>223</v>
      </c>
      <c r="H4728" s="2" t="s">
        <v>34</v>
      </c>
      <c r="I4728" s="2" t="s">
        <v>7906</v>
      </c>
      <c r="J4728" s="2" t="s">
        <v>7907</v>
      </c>
      <c r="K4728" s="2" t="s">
        <v>130</v>
      </c>
      <c r="L4728" s="2" t="s">
        <v>34</v>
      </c>
      <c r="M4728" s="12">
        <v>23976.234</v>
      </c>
      <c r="N4728" s="6">
        <v>41.25</v>
      </c>
      <c r="O4728" s="7">
        <v>42.125</v>
      </c>
      <c r="P4728" s="2" t="s">
        <v>14672</v>
      </c>
      <c r="Q4728" s="6">
        <v>100</v>
      </c>
      <c r="R4728" s="6">
        <v>31</v>
      </c>
      <c r="S4728" s="5">
        <v>-45.4</v>
      </c>
      <c r="T4728" s="7">
        <v>-46.218000000000004</v>
      </c>
      <c r="U4728" s="5">
        <v>0.8</v>
      </c>
      <c r="V4728" s="6">
        <v>-2.79</v>
      </c>
      <c r="W4728" s="6">
        <v>20.87</v>
      </c>
      <c r="X4728" s="4">
        <v>23</v>
      </c>
      <c r="Y4728" s="5">
        <v>22.5</v>
      </c>
      <c r="Z4728" s="6">
        <v>29.25</v>
      </c>
      <c r="AA4728" s="6">
        <v>16.88</v>
      </c>
      <c r="AB4728" s="2" t="s">
        <v>86</v>
      </c>
      <c r="AC4728" s="8">
        <v>1275</v>
      </c>
    </row>
    <row r="4729" spans="1:29" ht="91" x14ac:dyDescent="0.15">
      <c r="A4729" s="3">
        <f>DATE(1999,6,15)</f>
        <v>36326</v>
      </c>
      <c r="B4729" s="3">
        <f>DATE(2000,3,1)</f>
        <v>36586</v>
      </c>
      <c r="C4729" s="2" t="s">
        <v>95</v>
      </c>
      <c r="D4729" s="2" t="s">
        <v>14673</v>
      </c>
      <c r="E4729" s="2" t="s">
        <v>14674</v>
      </c>
      <c r="F4729" s="4">
        <v>4923</v>
      </c>
      <c r="G4729" s="2" t="s">
        <v>439</v>
      </c>
      <c r="H4729" s="2" t="s">
        <v>34</v>
      </c>
      <c r="I4729" s="2" t="s">
        <v>14675</v>
      </c>
      <c r="J4729" s="2" t="s">
        <v>1977</v>
      </c>
      <c r="K4729" s="2" t="s">
        <v>439</v>
      </c>
      <c r="L4729" s="2" t="s">
        <v>34</v>
      </c>
      <c r="M4729" s="12">
        <v>2287.4409999999998</v>
      </c>
      <c r="N4729" s="6">
        <v>17.25</v>
      </c>
      <c r="O4729" s="7">
        <v>17.937999999999999</v>
      </c>
      <c r="P4729" s="2" t="s">
        <v>14676</v>
      </c>
      <c r="Q4729" s="6">
        <v>100</v>
      </c>
      <c r="R4729" s="6">
        <v>45</v>
      </c>
      <c r="S4729" s="5">
        <v>10.9</v>
      </c>
      <c r="T4729" s="7">
        <v>57.106999999999999</v>
      </c>
      <c r="U4729" s="5">
        <v>15.8</v>
      </c>
      <c r="V4729" s="6">
        <v>1.04</v>
      </c>
      <c r="W4729" s="7">
        <v>30.625</v>
      </c>
      <c r="X4729" s="5">
        <v>32.5</v>
      </c>
      <c r="Y4729" s="9">
        <v>39.9375</v>
      </c>
      <c r="Z4729" s="4">
        <v>40</v>
      </c>
      <c r="AA4729" s="6">
        <v>10.62</v>
      </c>
      <c r="AB4729" s="7">
        <v>18.277999999999999</v>
      </c>
      <c r="AC4729" s="6">
        <v>463.68</v>
      </c>
    </row>
    <row r="4730" spans="1:29" ht="130" x14ac:dyDescent="0.15">
      <c r="A4730" s="3">
        <f>DATE(1999,6,16)</f>
        <v>36327</v>
      </c>
      <c r="B4730" s="3">
        <f>DATE(1999,10,29)</f>
        <v>36462</v>
      </c>
      <c r="C4730" s="2" t="s">
        <v>95</v>
      </c>
      <c r="D4730" s="2" t="s">
        <v>2419</v>
      </c>
      <c r="E4730" s="2" t="s">
        <v>36</v>
      </c>
      <c r="F4730" s="4">
        <v>6022</v>
      </c>
      <c r="G4730" s="2" t="s">
        <v>37</v>
      </c>
      <c r="H4730" s="2" t="s">
        <v>34</v>
      </c>
      <c r="I4730" s="2" t="s">
        <v>1963</v>
      </c>
      <c r="J4730" s="2" t="s">
        <v>36</v>
      </c>
      <c r="K4730" s="2" t="s">
        <v>37</v>
      </c>
      <c r="L4730" s="2" t="s">
        <v>34</v>
      </c>
      <c r="M4730" s="12">
        <v>19429.107</v>
      </c>
      <c r="N4730" s="7">
        <v>64.843999999999994</v>
      </c>
      <c r="O4730" s="7">
        <v>65.875</v>
      </c>
      <c r="P4730" s="2" t="s">
        <v>14677</v>
      </c>
      <c r="Q4730" s="6">
        <v>100</v>
      </c>
      <c r="R4730" s="6">
        <v>59.68</v>
      </c>
      <c r="S4730" s="5">
        <v>77.5</v>
      </c>
      <c r="T4730" s="2"/>
      <c r="U4730" s="5">
        <v>14.8</v>
      </c>
      <c r="V4730" s="9">
        <v>1.7814000000000001</v>
      </c>
      <c r="W4730" s="7">
        <v>43.125</v>
      </c>
      <c r="X4730" s="6">
        <v>41.43</v>
      </c>
      <c r="Y4730" s="6">
        <v>55.25</v>
      </c>
      <c r="Z4730" s="7">
        <v>55.875</v>
      </c>
      <c r="AA4730" s="6">
        <v>34.950000000000003</v>
      </c>
      <c r="AB4730" s="7">
        <v>18.242999999999999</v>
      </c>
      <c r="AC4730" s="5">
        <v>819.9</v>
      </c>
    </row>
    <row r="4731" spans="1:29" ht="39" x14ac:dyDescent="0.15">
      <c r="A4731" s="3">
        <f>DATE(1999,6,16)</f>
        <v>36327</v>
      </c>
      <c r="B4731" s="3">
        <f>DATE(1999,8,26)</f>
        <v>36398</v>
      </c>
      <c r="C4731" s="2" t="s">
        <v>95</v>
      </c>
      <c r="D4731" s="2" t="s">
        <v>14678</v>
      </c>
      <c r="E4731" s="2" t="s">
        <v>14679</v>
      </c>
      <c r="F4731" s="4">
        <v>3594</v>
      </c>
      <c r="G4731" s="2" t="s">
        <v>300</v>
      </c>
      <c r="H4731" s="2" t="s">
        <v>34</v>
      </c>
      <c r="I4731" s="2" t="s">
        <v>9732</v>
      </c>
      <c r="J4731" s="2" t="s">
        <v>9733</v>
      </c>
      <c r="K4731" s="2" t="s">
        <v>300</v>
      </c>
      <c r="L4731" s="2" t="s">
        <v>1791</v>
      </c>
      <c r="M4731" s="2"/>
      <c r="N4731" s="9">
        <v>91.3125</v>
      </c>
      <c r="O4731" s="6">
        <v>91.75</v>
      </c>
      <c r="P4731" s="2" t="s">
        <v>14680</v>
      </c>
      <c r="Q4731" s="6">
        <v>100</v>
      </c>
      <c r="R4731" s="6">
        <v>30</v>
      </c>
      <c r="S4731" s="5">
        <v>-20.7</v>
      </c>
      <c r="T4731" s="6">
        <v>22.33</v>
      </c>
      <c r="U4731" s="5">
        <v>8.8000000000000007</v>
      </c>
      <c r="V4731" s="6">
        <v>-6.31</v>
      </c>
      <c r="W4731" s="4">
        <v>20</v>
      </c>
      <c r="X4731" s="7">
        <v>22.375</v>
      </c>
      <c r="Y4731" s="7">
        <v>28.187999999999999</v>
      </c>
      <c r="Z4731" s="7">
        <v>27.875</v>
      </c>
      <c r="AA4731" s="6">
        <v>3.85</v>
      </c>
      <c r="AB4731" s="7">
        <v>13.683</v>
      </c>
      <c r="AC4731" s="5">
        <v>820.1</v>
      </c>
    </row>
    <row r="4732" spans="1:29" ht="91" x14ac:dyDescent="0.15">
      <c r="A4732" s="3">
        <f>DATE(1999,6,16)</f>
        <v>36327</v>
      </c>
      <c r="B4732" s="3">
        <f>DATE(1999,11,4)</f>
        <v>36468</v>
      </c>
      <c r="C4732" s="2" t="s">
        <v>95</v>
      </c>
      <c r="D4732" s="2" t="s">
        <v>14681</v>
      </c>
      <c r="E4732" s="2" t="s">
        <v>92</v>
      </c>
      <c r="F4732" s="4">
        <v>6798</v>
      </c>
      <c r="G4732" s="2" t="s">
        <v>53</v>
      </c>
      <c r="H4732" s="2" t="s">
        <v>34</v>
      </c>
      <c r="I4732" s="2" t="s">
        <v>14682</v>
      </c>
      <c r="J4732" s="2" t="s">
        <v>6321</v>
      </c>
      <c r="K4732" s="2" t="s">
        <v>53</v>
      </c>
      <c r="L4732" s="2" t="s">
        <v>34</v>
      </c>
      <c r="M4732" s="12">
        <v>2673.4690000000001</v>
      </c>
      <c r="N4732" s="7">
        <v>34.125</v>
      </c>
      <c r="O4732" s="7">
        <v>32.875</v>
      </c>
      <c r="P4732" s="2" t="s">
        <v>14683</v>
      </c>
      <c r="Q4732" s="6">
        <v>100</v>
      </c>
      <c r="R4732" s="6">
        <v>63.25</v>
      </c>
      <c r="S4732" s="5">
        <v>65.8</v>
      </c>
      <c r="T4732" s="7">
        <v>110.20399999999999</v>
      </c>
      <c r="U4732" s="5">
        <v>32.299999999999997</v>
      </c>
      <c r="V4732" s="6">
        <v>1.99</v>
      </c>
      <c r="W4732" s="6">
        <v>28.75</v>
      </c>
      <c r="X4732" s="7">
        <v>29.312999999999999</v>
      </c>
      <c r="Y4732" s="7">
        <v>29.187999999999999</v>
      </c>
      <c r="Z4732" s="7">
        <v>26.562999999999999</v>
      </c>
      <c r="AA4732" s="6">
        <v>24.94</v>
      </c>
      <c r="AB4732" s="7">
        <v>27.401</v>
      </c>
      <c r="AC4732" s="6">
        <v>27.33</v>
      </c>
    </row>
    <row r="4733" spans="1:29" ht="91" x14ac:dyDescent="0.15">
      <c r="A4733" s="3">
        <f>DATE(1999,6,18)</f>
        <v>36329</v>
      </c>
      <c r="B4733" s="3">
        <f>DATE(1999,7,26)</f>
        <v>36367</v>
      </c>
      <c r="C4733" s="2" t="s">
        <v>95</v>
      </c>
      <c r="D4733" s="2" t="s">
        <v>14684</v>
      </c>
      <c r="E4733" s="2" t="s">
        <v>14685</v>
      </c>
      <c r="F4733" s="4">
        <v>3714</v>
      </c>
      <c r="G4733" s="2" t="s">
        <v>105</v>
      </c>
      <c r="H4733" s="2" t="s">
        <v>34</v>
      </c>
      <c r="I4733" s="2" t="s">
        <v>14686</v>
      </c>
      <c r="J4733" s="2" t="s">
        <v>244</v>
      </c>
      <c r="K4733" s="2" t="s">
        <v>53</v>
      </c>
      <c r="L4733" s="2" t="s">
        <v>34</v>
      </c>
      <c r="M4733" s="2"/>
      <c r="N4733" s="2"/>
      <c r="O4733" s="2"/>
      <c r="P4733" s="2" t="s">
        <v>14687</v>
      </c>
      <c r="Q4733" s="6">
        <v>100</v>
      </c>
      <c r="R4733" s="6">
        <v>16</v>
      </c>
      <c r="S4733" s="5">
        <v>7.9</v>
      </c>
      <c r="T4733" s="7">
        <v>18.045999999999999</v>
      </c>
      <c r="U4733" s="5">
        <v>11.2</v>
      </c>
      <c r="V4733" s="7">
        <v>1.284</v>
      </c>
      <c r="W4733" s="7">
        <v>12.188000000000001</v>
      </c>
      <c r="X4733" s="7">
        <v>12.063000000000001</v>
      </c>
      <c r="Y4733" s="5">
        <v>15.5</v>
      </c>
      <c r="Z4733" s="5">
        <v>15.5</v>
      </c>
      <c r="AA4733" s="6">
        <v>6.13</v>
      </c>
      <c r="AB4733" s="7">
        <v>7.0739999999999998</v>
      </c>
      <c r="AC4733" s="2"/>
    </row>
    <row r="4734" spans="1:29" ht="78" x14ac:dyDescent="0.15">
      <c r="A4734" s="3">
        <f>DATE(1999,6,18)</f>
        <v>36329</v>
      </c>
      <c r="B4734" s="3">
        <f>DATE(2000,1,11)</f>
        <v>36536</v>
      </c>
      <c r="C4734" s="2" t="s">
        <v>95</v>
      </c>
      <c r="D4734" s="2" t="s">
        <v>3433</v>
      </c>
      <c r="E4734" s="2" t="s">
        <v>2898</v>
      </c>
      <c r="F4734" s="4">
        <v>6022</v>
      </c>
      <c r="G4734" s="2" t="s">
        <v>37</v>
      </c>
      <c r="H4734" s="2" t="s">
        <v>34</v>
      </c>
      <c r="I4734" s="2" t="s">
        <v>295</v>
      </c>
      <c r="J4734" s="2" t="s">
        <v>296</v>
      </c>
      <c r="K4734" s="2" t="s">
        <v>37</v>
      </c>
      <c r="L4734" s="2" t="s">
        <v>34</v>
      </c>
      <c r="M4734" s="2"/>
      <c r="N4734" s="2"/>
      <c r="O4734" s="2"/>
      <c r="P4734" s="2" t="s">
        <v>14688</v>
      </c>
      <c r="Q4734" s="6">
        <v>100</v>
      </c>
      <c r="R4734" s="6">
        <v>32</v>
      </c>
      <c r="S4734" s="5">
        <v>59.7</v>
      </c>
      <c r="T4734" s="2"/>
      <c r="U4734" s="5">
        <v>12.5</v>
      </c>
      <c r="V4734" s="6">
        <v>1.26</v>
      </c>
      <c r="W4734" s="6">
        <v>23.75</v>
      </c>
      <c r="X4734" s="6">
        <v>24.03</v>
      </c>
      <c r="Y4734" s="6">
        <v>24.25</v>
      </c>
      <c r="Z4734" s="6">
        <v>30.25</v>
      </c>
      <c r="AA4734" s="6">
        <v>42.68</v>
      </c>
      <c r="AB4734" s="7">
        <v>21.111999999999998</v>
      </c>
      <c r="AC4734" s="2"/>
    </row>
    <row r="4735" spans="1:29" ht="156" x14ac:dyDescent="0.15">
      <c r="A4735" s="3">
        <f>DATE(1999,6,21)</f>
        <v>36332</v>
      </c>
      <c r="B4735" s="2"/>
      <c r="C4735" s="2" t="s">
        <v>30</v>
      </c>
      <c r="D4735" s="2" t="s">
        <v>2456</v>
      </c>
      <c r="E4735" s="2" t="s">
        <v>129</v>
      </c>
      <c r="F4735" s="4">
        <v>2834</v>
      </c>
      <c r="G4735" s="2" t="s">
        <v>130</v>
      </c>
      <c r="H4735" s="2" t="s">
        <v>34</v>
      </c>
      <c r="I4735" s="2" t="s">
        <v>7700</v>
      </c>
      <c r="J4735" s="2" t="s">
        <v>7701</v>
      </c>
      <c r="K4735" s="2" t="s">
        <v>130</v>
      </c>
      <c r="L4735" s="2" t="s">
        <v>34</v>
      </c>
      <c r="M4735" s="12">
        <v>68513.872000000003</v>
      </c>
      <c r="N4735" s="7">
        <v>44.188000000000002</v>
      </c>
      <c r="O4735" s="5">
        <v>43.5</v>
      </c>
      <c r="P4735" s="2" t="s">
        <v>14689</v>
      </c>
      <c r="Q4735" s="2"/>
      <c r="R4735" s="6">
        <v>53.63</v>
      </c>
      <c r="S4735" s="5">
        <v>87.7</v>
      </c>
      <c r="T4735" s="5">
        <v>236.5</v>
      </c>
      <c r="U4735" s="5">
        <v>2.8</v>
      </c>
      <c r="V4735" s="6">
        <v>0.51</v>
      </c>
      <c r="W4735" s="7">
        <v>38.375</v>
      </c>
      <c r="X4735" s="4">
        <v>46</v>
      </c>
      <c r="Y4735" s="6">
        <v>46.25</v>
      </c>
      <c r="Z4735" s="6">
        <v>47.75</v>
      </c>
      <c r="AA4735" s="6">
        <v>100.81</v>
      </c>
      <c r="AB4735" s="7">
        <v>57.613999999999997</v>
      </c>
      <c r="AC4735" s="6">
        <v>396.81</v>
      </c>
    </row>
    <row r="4736" spans="1:29" ht="39" x14ac:dyDescent="0.15">
      <c r="A4736" s="3">
        <f>DATE(1999,6,21)</f>
        <v>36332</v>
      </c>
      <c r="B4736" s="2"/>
      <c r="C4736" s="2" t="s">
        <v>30</v>
      </c>
      <c r="D4736" s="2" t="s">
        <v>14690</v>
      </c>
      <c r="E4736" s="2" t="s">
        <v>14691</v>
      </c>
      <c r="F4736" s="4">
        <v>4812</v>
      </c>
      <c r="G4736" s="2" t="s">
        <v>63</v>
      </c>
      <c r="H4736" s="2" t="s">
        <v>34</v>
      </c>
      <c r="I4736" s="2" t="s">
        <v>14692</v>
      </c>
      <c r="J4736" s="2" t="s">
        <v>14693</v>
      </c>
      <c r="K4736" s="2" t="s">
        <v>223</v>
      </c>
      <c r="L4736" s="2" t="s">
        <v>34</v>
      </c>
      <c r="M4736" s="2"/>
      <c r="N4736" s="6">
        <v>1.25</v>
      </c>
      <c r="O4736" s="6">
        <v>1.25</v>
      </c>
      <c r="P4736" s="2" t="s">
        <v>14694</v>
      </c>
      <c r="Q4736" s="2"/>
      <c r="R4736" s="2"/>
      <c r="S4736" s="5">
        <v>-7.9</v>
      </c>
      <c r="T4736" s="7">
        <v>7.3819999999999997</v>
      </c>
      <c r="U4736" s="5">
        <v>0.7</v>
      </c>
      <c r="V4736" s="6">
        <v>-0.56000000000000005</v>
      </c>
      <c r="W4736" s="5">
        <v>1.5</v>
      </c>
      <c r="X4736" s="7">
        <v>1.4379999999999999</v>
      </c>
      <c r="Y4736" s="5">
        <v>1.5</v>
      </c>
      <c r="Z4736" s="7">
        <v>1.4379999999999999</v>
      </c>
      <c r="AA4736" s="6">
        <v>15.22</v>
      </c>
      <c r="AB4736" s="2" t="s">
        <v>86</v>
      </c>
      <c r="AC4736" s="2"/>
    </row>
    <row r="4737" spans="1:29" ht="78" x14ac:dyDescent="0.15">
      <c r="A4737" s="3">
        <f>DATE(1999,6,21)</f>
        <v>36332</v>
      </c>
      <c r="B4737" s="3">
        <f>DATE(1999,7,29)</f>
        <v>36370</v>
      </c>
      <c r="C4737" s="2" t="s">
        <v>95</v>
      </c>
      <c r="D4737" s="2" t="s">
        <v>14695</v>
      </c>
      <c r="E4737" s="2" t="s">
        <v>14696</v>
      </c>
      <c r="F4737" s="4">
        <v>3645</v>
      </c>
      <c r="G4737" s="2" t="s">
        <v>137</v>
      </c>
      <c r="H4737" s="2" t="s">
        <v>34</v>
      </c>
      <c r="I4737" s="2" t="s">
        <v>14697</v>
      </c>
      <c r="J4737" s="2" t="s">
        <v>14698</v>
      </c>
      <c r="K4737" s="2" t="s">
        <v>1517</v>
      </c>
      <c r="L4737" s="2" t="s">
        <v>34</v>
      </c>
      <c r="M4737" s="12">
        <v>1547.0630000000001</v>
      </c>
      <c r="N4737" s="7">
        <v>37.188000000000002</v>
      </c>
      <c r="O4737" s="5">
        <v>37.5</v>
      </c>
      <c r="P4737" s="2" t="s">
        <v>14699</v>
      </c>
      <c r="Q4737" s="6">
        <v>100</v>
      </c>
      <c r="R4737" s="6">
        <v>38.5</v>
      </c>
      <c r="S4737" s="5">
        <v>19.7</v>
      </c>
      <c r="T4737" s="2"/>
      <c r="U4737" s="5">
        <v>7.3</v>
      </c>
      <c r="V4737" s="6">
        <v>1.78</v>
      </c>
      <c r="W4737" s="7">
        <v>29.187999999999999</v>
      </c>
      <c r="X4737" s="7">
        <v>28.312999999999999</v>
      </c>
      <c r="Y4737" s="9">
        <v>37.9375</v>
      </c>
      <c r="Z4737" s="7">
        <v>37.875</v>
      </c>
      <c r="AA4737" s="6">
        <v>10.59</v>
      </c>
      <c r="AB4737" s="7">
        <v>14.914</v>
      </c>
      <c r="AC4737" s="6">
        <v>19.149999999999999</v>
      </c>
    </row>
    <row r="4738" spans="1:29" ht="156" x14ac:dyDescent="0.15">
      <c r="A4738" s="3">
        <f>DATE(1999,6,21)</f>
        <v>36332</v>
      </c>
      <c r="B4738" s="2"/>
      <c r="C4738" s="2" t="s">
        <v>30</v>
      </c>
      <c r="D4738" s="2" t="s">
        <v>14700</v>
      </c>
      <c r="E4738" s="2" t="s">
        <v>172</v>
      </c>
      <c r="F4738" s="4">
        <v>4213</v>
      </c>
      <c r="G4738" s="2" t="s">
        <v>173</v>
      </c>
      <c r="H4738" s="2" t="s">
        <v>34</v>
      </c>
      <c r="I4738" s="2" t="s">
        <v>51</v>
      </c>
      <c r="J4738" s="2" t="s">
        <v>52</v>
      </c>
      <c r="K4738" s="2" t="s">
        <v>53</v>
      </c>
      <c r="L4738" s="2" t="s">
        <v>34</v>
      </c>
      <c r="M4738" s="2"/>
      <c r="N4738" s="2"/>
      <c r="O4738" s="2"/>
      <c r="P4738" s="2" t="s">
        <v>14701</v>
      </c>
      <c r="Q4738" s="2"/>
      <c r="R4738" s="6">
        <v>6.03</v>
      </c>
      <c r="S4738" s="5">
        <v>-1.4</v>
      </c>
      <c r="T4738" s="2"/>
      <c r="U4738" s="5">
        <v>14.4</v>
      </c>
      <c r="V4738" s="6">
        <v>-0.45</v>
      </c>
      <c r="W4738" s="7">
        <v>4.125</v>
      </c>
      <c r="X4738" s="7">
        <v>4.125</v>
      </c>
      <c r="Y4738" s="7">
        <v>4.875</v>
      </c>
      <c r="Z4738" s="4">
        <v>5</v>
      </c>
      <c r="AA4738" s="6">
        <v>3.25</v>
      </c>
      <c r="AB4738" s="2" t="s">
        <v>47</v>
      </c>
      <c r="AC4738" s="2"/>
    </row>
    <row r="4739" spans="1:29" ht="117" x14ac:dyDescent="0.15">
      <c r="A4739" s="3">
        <f t="shared" ref="A4739:A4745" si="97">DATE(1999,6,22)</f>
        <v>36333</v>
      </c>
      <c r="B4739" s="3">
        <f>DATE(1999,9,9)</f>
        <v>36412</v>
      </c>
      <c r="C4739" s="2" t="s">
        <v>95</v>
      </c>
      <c r="D4739" s="2" t="s">
        <v>14702</v>
      </c>
      <c r="E4739" s="2" t="s">
        <v>14703</v>
      </c>
      <c r="F4739" s="4">
        <v>7375</v>
      </c>
      <c r="G4739" s="2" t="s">
        <v>223</v>
      </c>
      <c r="H4739" s="2" t="s">
        <v>34</v>
      </c>
      <c r="I4739" s="2" t="s">
        <v>14704</v>
      </c>
      <c r="J4739" s="2" t="s">
        <v>14705</v>
      </c>
      <c r="K4739" s="2" t="s">
        <v>223</v>
      </c>
      <c r="L4739" s="2" t="s">
        <v>34</v>
      </c>
      <c r="M4739" s="12">
        <v>3481.6210000000001</v>
      </c>
      <c r="N4739" s="5">
        <v>42.5</v>
      </c>
      <c r="O4739" s="5">
        <v>37.5</v>
      </c>
      <c r="P4739" s="2" t="s">
        <v>14706</v>
      </c>
      <c r="Q4739" s="6">
        <v>100</v>
      </c>
      <c r="R4739" s="6">
        <v>49.94</v>
      </c>
      <c r="S4739" s="5">
        <v>-5.4</v>
      </c>
      <c r="T4739" s="7">
        <v>-4.851</v>
      </c>
      <c r="U4739" s="5">
        <v>-8.1999999999999993</v>
      </c>
      <c r="V4739" s="6">
        <v>-10.34</v>
      </c>
      <c r="W4739" s="6">
        <v>25.62</v>
      </c>
      <c r="X4739" s="6">
        <v>37.869999999999997</v>
      </c>
      <c r="Y4739" s="6">
        <v>36.75</v>
      </c>
      <c r="Z4739" s="7">
        <v>40.813000000000002</v>
      </c>
      <c r="AA4739" s="6">
        <v>31.09</v>
      </c>
      <c r="AB4739" s="2" t="s">
        <v>86</v>
      </c>
      <c r="AC4739" s="6">
        <v>477.67</v>
      </c>
    </row>
    <row r="4740" spans="1:29" ht="104" x14ac:dyDescent="0.15">
      <c r="A4740" s="3">
        <f t="shared" si="97"/>
        <v>36333</v>
      </c>
      <c r="B4740" s="3">
        <f>DATE(1999,10,27)</f>
        <v>36460</v>
      </c>
      <c r="C4740" s="2" t="s">
        <v>95</v>
      </c>
      <c r="D4740" s="2" t="s">
        <v>6591</v>
      </c>
      <c r="E4740" s="2" t="s">
        <v>6592</v>
      </c>
      <c r="F4740" s="4">
        <v>6311</v>
      </c>
      <c r="G4740" s="2" t="s">
        <v>125</v>
      </c>
      <c r="H4740" s="2" t="s">
        <v>34</v>
      </c>
      <c r="I4740" s="2" t="s">
        <v>14707</v>
      </c>
      <c r="J4740" s="2" t="s">
        <v>14485</v>
      </c>
      <c r="K4740" s="2" t="s">
        <v>125</v>
      </c>
      <c r="L4740" s="2" t="s">
        <v>34</v>
      </c>
      <c r="M4740" s="7">
        <v>322.90199999999999</v>
      </c>
      <c r="N4740" s="5">
        <v>26.5</v>
      </c>
      <c r="O4740" s="7">
        <v>25.687999999999999</v>
      </c>
      <c r="P4740" s="2" t="s">
        <v>14708</v>
      </c>
      <c r="Q4740" s="6">
        <v>100</v>
      </c>
      <c r="R4740" s="6">
        <v>23.82</v>
      </c>
      <c r="S4740" s="5">
        <v>23</v>
      </c>
      <c r="T4740" s="2"/>
      <c r="U4740" s="5">
        <v>29.6</v>
      </c>
      <c r="V4740" s="7">
        <v>2.387</v>
      </c>
      <c r="W4740" s="7">
        <v>13.625</v>
      </c>
      <c r="X4740" s="7">
        <v>15.125</v>
      </c>
      <c r="Y4740" s="7">
        <v>20.125</v>
      </c>
      <c r="Z4740" s="6">
        <v>19.75</v>
      </c>
      <c r="AA4740" s="6">
        <v>9.64</v>
      </c>
      <c r="AB4740" s="7">
        <v>8.8260000000000005</v>
      </c>
      <c r="AC4740" s="2"/>
    </row>
    <row r="4741" spans="1:29" ht="104" x14ac:dyDescent="0.15">
      <c r="A4741" s="3">
        <f t="shared" si="97"/>
        <v>36333</v>
      </c>
      <c r="B4741" s="3">
        <f>DATE(1999,9,24)</f>
        <v>36427</v>
      </c>
      <c r="C4741" s="2" t="s">
        <v>95</v>
      </c>
      <c r="D4741" s="2" t="s">
        <v>12101</v>
      </c>
      <c r="E4741" s="2" t="s">
        <v>12102</v>
      </c>
      <c r="F4741" s="4">
        <v>3571</v>
      </c>
      <c r="G4741" s="2" t="s">
        <v>50</v>
      </c>
      <c r="H4741" s="2" t="s">
        <v>34</v>
      </c>
      <c r="I4741" s="2" t="s">
        <v>14709</v>
      </c>
      <c r="J4741" s="2" t="s">
        <v>2728</v>
      </c>
      <c r="K4741" s="2" t="s">
        <v>137</v>
      </c>
      <c r="L4741" s="2" t="s">
        <v>34</v>
      </c>
      <c r="M4741" s="7">
        <v>358.69499999999999</v>
      </c>
      <c r="N4741" s="6">
        <v>8.75</v>
      </c>
      <c r="O4741" s="7">
        <v>8.8130000000000006</v>
      </c>
      <c r="P4741" s="2" t="s">
        <v>14710</v>
      </c>
      <c r="Q4741" s="6">
        <v>100</v>
      </c>
      <c r="R4741" s="6">
        <v>4.9000000000000004</v>
      </c>
      <c r="S4741" s="5">
        <v>-46.1</v>
      </c>
      <c r="T4741" s="7">
        <v>-62.054000000000002</v>
      </c>
      <c r="U4741" s="5">
        <v>4.2</v>
      </c>
      <c r="V4741" s="6">
        <v>-1.31</v>
      </c>
      <c r="W4741" s="7">
        <v>4.0309999999999997</v>
      </c>
      <c r="X4741" s="7">
        <v>5.6879999999999997</v>
      </c>
      <c r="Y4741" s="6">
        <v>4.75</v>
      </c>
      <c r="Z4741" s="7">
        <v>4.5629999999999997</v>
      </c>
      <c r="AA4741" s="6">
        <v>35.29</v>
      </c>
      <c r="AB4741" s="2" t="s">
        <v>86</v>
      </c>
      <c r="AC4741" s="6">
        <v>129.03</v>
      </c>
    </row>
    <row r="4742" spans="1:29" ht="39" x14ac:dyDescent="0.15">
      <c r="A4742" s="3">
        <f t="shared" si="97"/>
        <v>36333</v>
      </c>
      <c r="B4742" s="2"/>
      <c r="C4742" s="2" t="s">
        <v>39</v>
      </c>
      <c r="D4742" s="2" t="s">
        <v>14711</v>
      </c>
      <c r="E4742" s="2" t="s">
        <v>7853</v>
      </c>
      <c r="F4742" s="4">
        <v>7375</v>
      </c>
      <c r="G4742" s="2" t="s">
        <v>223</v>
      </c>
      <c r="H4742" s="2" t="s">
        <v>34</v>
      </c>
      <c r="I4742" s="2" t="s">
        <v>14712</v>
      </c>
      <c r="J4742" s="2" t="s">
        <v>14713</v>
      </c>
      <c r="K4742" s="2" t="s">
        <v>50</v>
      </c>
      <c r="L4742" s="2" t="s">
        <v>34</v>
      </c>
      <c r="M4742" s="2"/>
      <c r="N4742" s="6">
        <v>64.75</v>
      </c>
      <c r="O4742" s="7">
        <v>64.625</v>
      </c>
      <c r="P4742" s="2" t="s">
        <v>14714</v>
      </c>
      <c r="Q4742" s="2"/>
      <c r="R4742" s="2"/>
      <c r="S4742" s="2"/>
      <c r="T4742" s="2"/>
      <c r="U4742" s="2"/>
      <c r="V4742" s="2"/>
      <c r="W4742" s="7">
        <v>60.375</v>
      </c>
      <c r="X4742" s="7">
        <v>69.938000000000002</v>
      </c>
      <c r="Y4742" s="7">
        <v>73.625</v>
      </c>
      <c r="Z4742" s="7">
        <v>78.625</v>
      </c>
      <c r="AA4742" s="6">
        <v>31.86</v>
      </c>
      <c r="AB4742" s="2" t="s">
        <v>47</v>
      </c>
      <c r="AC4742" s="10">
        <v>1273.3499999999999</v>
      </c>
    </row>
    <row r="4743" spans="1:29" ht="91" x14ac:dyDescent="0.15">
      <c r="A4743" s="3">
        <f t="shared" si="97"/>
        <v>36333</v>
      </c>
      <c r="B4743" s="3">
        <f>DATE(1999,9,24)</f>
        <v>36427</v>
      </c>
      <c r="C4743" s="2" t="s">
        <v>95</v>
      </c>
      <c r="D4743" s="2" t="s">
        <v>14715</v>
      </c>
      <c r="E4743" s="2" t="s">
        <v>14716</v>
      </c>
      <c r="F4743" s="4">
        <v>7374</v>
      </c>
      <c r="G4743" s="2" t="s">
        <v>223</v>
      </c>
      <c r="H4743" s="2" t="s">
        <v>34</v>
      </c>
      <c r="I4743" s="2" t="s">
        <v>14717</v>
      </c>
      <c r="J4743" s="2" t="s">
        <v>14718</v>
      </c>
      <c r="K4743" s="2" t="s">
        <v>223</v>
      </c>
      <c r="L4743" s="2" t="s">
        <v>34</v>
      </c>
      <c r="M4743" s="7">
        <v>506.77699999999999</v>
      </c>
      <c r="N4743" s="4">
        <v>29</v>
      </c>
      <c r="O4743" s="7">
        <v>26.687999999999999</v>
      </c>
      <c r="P4743" s="2" t="s">
        <v>14719</v>
      </c>
      <c r="Q4743" s="6">
        <v>100</v>
      </c>
      <c r="R4743" s="6">
        <v>29</v>
      </c>
      <c r="S4743" s="5">
        <v>1.7</v>
      </c>
      <c r="T4743" s="7">
        <v>2.9039999999999999</v>
      </c>
      <c r="U4743" s="5">
        <v>1.2</v>
      </c>
      <c r="V4743" s="6">
        <v>0.35</v>
      </c>
      <c r="W4743" s="4">
        <v>19</v>
      </c>
      <c r="X4743" s="7">
        <v>22.875</v>
      </c>
      <c r="Y4743" s="4">
        <v>23</v>
      </c>
      <c r="Z4743" s="7">
        <v>21.625</v>
      </c>
      <c r="AA4743" s="6">
        <v>4.8</v>
      </c>
      <c r="AB4743" s="7">
        <v>72.179000000000002</v>
      </c>
      <c r="AC4743" s="6">
        <v>22.33</v>
      </c>
    </row>
    <row r="4744" spans="1:29" ht="104" x14ac:dyDescent="0.15">
      <c r="A4744" s="3">
        <f t="shared" si="97"/>
        <v>36333</v>
      </c>
      <c r="B4744" s="2"/>
      <c r="C4744" s="2" t="s">
        <v>30</v>
      </c>
      <c r="D4744" s="2" t="s">
        <v>14720</v>
      </c>
      <c r="E4744" s="2" t="s">
        <v>5610</v>
      </c>
      <c r="F4744" s="4">
        <v>7374</v>
      </c>
      <c r="G4744" s="2" t="s">
        <v>223</v>
      </c>
      <c r="H4744" s="2" t="s">
        <v>34</v>
      </c>
      <c r="I4744" s="2" t="s">
        <v>158</v>
      </c>
      <c r="J4744" s="2" t="s">
        <v>159</v>
      </c>
      <c r="K4744" s="2" t="s">
        <v>37</v>
      </c>
      <c r="L4744" s="2" t="s">
        <v>34</v>
      </c>
      <c r="M4744" s="10">
        <v>3380.53</v>
      </c>
      <c r="N4744" s="6">
        <v>65.25</v>
      </c>
      <c r="O4744" s="7">
        <v>64.125</v>
      </c>
      <c r="P4744" s="2" t="s">
        <v>14721</v>
      </c>
      <c r="Q4744" s="2"/>
      <c r="R4744" s="6">
        <v>9.5</v>
      </c>
      <c r="S4744" s="5">
        <v>-57.8</v>
      </c>
      <c r="T4744" s="7">
        <v>48.143000000000001</v>
      </c>
      <c r="U4744" s="5">
        <v>5.6</v>
      </c>
      <c r="V4744" s="6">
        <v>-1.1499999999999999</v>
      </c>
      <c r="W4744" s="7">
        <v>7.125</v>
      </c>
      <c r="X4744" s="7">
        <v>7.6879999999999997</v>
      </c>
      <c r="Y4744" s="11">
        <v>10.03125</v>
      </c>
      <c r="Z4744" s="4">
        <v>10</v>
      </c>
      <c r="AA4744" s="6">
        <v>50.64</v>
      </c>
      <c r="AB4744" s="7">
        <v>16.332999999999998</v>
      </c>
      <c r="AC4744" s="2"/>
    </row>
    <row r="4745" spans="1:29" ht="78" x14ac:dyDescent="0.15">
      <c r="A4745" s="3">
        <f t="shared" si="97"/>
        <v>36333</v>
      </c>
      <c r="B4745" s="3">
        <f>DATE(1999,12,15)</f>
        <v>36509</v>
      </c>
      <c r="C4745" s="2" t="s">
        <v>95</v>
      </c>
      <c r="D4745" s="2" t="s">
        <v>14722</v>
      </c>
      <c r="E4745" s="2" t="s">
        <v>14723</v>
      </c>
      <c r="F4745" s="4">
        <v>3663</v>
      </c>
      <c r="G4745" s="2" t="s">
        <v>921</v>
      </c>
      <c r="H4745" s="2" t="s">
        <v>34</v>
      </c>
      <c r="I4745" s="2" t="s">
        <v>14724</v>
      </c>
      <c r="J4745" s="2" t="s">
        <v>14725</v>
      </c>
      <c r="K4745" s="2" t="s">
        <v>921</v>
      </c>
      <c r="L4745" s="2" t="s">
        <v>902</v>
      </c>
      <c r="M4745" s="2"/>
      <c r="N4745" s="2"/>
      <c r="O4745" s="2"/>
      <c r="P4745" s="2" t="s">
        <v>14726</v>
      </c>
      <c r="Q4745" s="6">
        <v>100</v>
      </c>
      <c r="R4745" s="6">
        <v>34.22</v>
      </c>
      <c r="S4745" s="5">
        <v>10.6</v>
      </c>
      <c r="T4745" s="7">
        <v>20.655999999999999</v>
      </c>
      <c r="U4745" s="5">
        <v>7.7</v>
      </c>
      <c r="V4745" s="6">
        <v>0.87</v>
      </c>
      <c r="W4745" s="7">
        <v>23.625</v>
      </c>
      <c r="X4745" s="7">
        <v>26.437999999999999</v>
      </c>
      <c r="Y4745" s="5">
        <v>26.5</v>
      </c>
      <c r="Z4745" s="7">
        <v>28.875</v>
      </c>
      <c r="AA4745" s="6">
        <v>13.03</v>
      </c>
      <c r="AB4745" s="7">
        <v>29.806000000000001</v>
      </c>
      <c r="AC4745" s="6">
        <v>596.52</v>
      </c>
    </row>
    <row r="4746" spans="1:29" ht="52" x14ac:dyDescent="0.15">
      <c r="A4746" s="3">
        <f>DATE(1999,6,23)</f>
        <v>36334</v>
      </c>
      <c r="B4746" s="2"/>
      <c r="C4746" s="2" t="s">
        <v>87</v>
      </c>
      <c r="D4746" s="2" t="s">
        <v>14727</v>
      </c>
      <c r="E4746" s="2" t="s">
        <v>14728</v>
      </c>
      <c r="F4746" s="4">
        <v>7375</v>
      </c>
      <c r="G4746" s="2" t="s">
        <v>223</v>
      </c>
      <c r="H4746" s="2" t="s">
        <v>34</v>
      </c>
      <c r="I4746" s="2" t="s">
        <v>14729</v>
      </c>
      <c r="J4746" s="2" t="s">
        <v>14730</v>
      </c>
      <c r="K4746" s="2" t="s">
        <v>73</v>
      </c>
      <c r="L4746" s="2" t="s">
        <v>34</v>
      </c>
      <c r="M4746" s="12">
        <v>19539.037</v>
      </c>
      <c r="N4746" s="6">
        <v>117.75</v>
      </c>
      <c r="O4746" s="7">
        <v>113.625</v>
      </c>
      <c r="P4746" s="2" t="s">
        <v>14731</v>
      </c>
      <c r="Q4746" s="2"/>
      <c r="R4746" s="2"/>
      <c r="S4746" s="5">
        <v>-47.6</v>
      </c>
      <c r="T4746" s="7">
        <v>-40.154000000000003</v>
      </c>
      <c r="U4746" s="5">
        <v>54.5</v>
      </c>
      <c r="V4746" s="9">
        <v>-25.375399999999999</v>
      </c>
      <c r="W4746" s="9">
        <v>21.3125</v>
      </c>
      <c r="X4746" s="7">
        <v>25.625</v>
      </c>
      <c r="Y4746" s="7">
        <v>32.875</v>
      </c>
      <c r="Z4746" s="9">
        <v>27.8125</v>
      </c>
      <c r="AA4746" s="6">
        <v>35.75</v>
      </c>
      <c r="AB4746" s="2" t="s">
        <v>86</v>
      </c>
      <c r="AC4746" s="10">
        <v>1442.97</v>
      </c>
    </row>
    <row r="4747" spans="1:29" ht="156" x14ac:dyDescent="0.15">
      <c r="A4747" s="3">
        <f>DATE(1999,6,23)</f>
        <v>36334</v>
      </c>
      <c r="B4747" s="3">
        <f>DATE(2000,2,28)</f>
        <v>36584</v>
      </c>
      <c r="C4747" s="2" t="s">
        <v>95</v>
      </c>
      <c r="D4747" s="2" t="s">
        <v>14732</v>
      </c>
      <c r="E4747" s="2" t="s">
        <v>14733</v>
      </c>
      <c r="F4747" s="4">
        <v>4812</v>
      </c>
      <c r="G4747" s="2" t="s">
        <v>63</v>
      </c>
      <c r="H4747" s="2" t="s">
        <v>34</v>
      </c>
      <c r="I4747" s="2" t="s">
        <v>14734</v>
      </c>
      <c r="J4747" s="2" t="s">
        <v>14733</v>
      </c>
      <c r="K4747" s="2" t="s">
        <v>63</v>
      </c>
      <c r="L4747" s="2" t="s">
        <v>34</v>
      </c>
      <c r="M4747" s="10">
        <v>2394.56</v>
      </c>
      <c r="N4747" s="5">
        <v>29.5</v>
      </c>
      <c r="O4747" s="5">
        <v>28.5</v>
      </c>
      <c r="P4747" s="2" t="s">
        <v>14735</v>
      </c>
      <c r="Q4747" s="6">
        <v>100</v>
      </c>
      <c r="R4747" s="6">
        <v>32.229999999999997</v>
      </c>
      <c r="S4747" s="5">
        <v>-709.4</v>
      </c>
      <c r="T4747" s="6">
        <v>-322.27</v>
      </c>
      <c r="U4747" s="5">
        <v>-19.7</v>
      </c>
      <c r="V4747" s="6">
        <v>-13.8</v>
      </c>
      <c r="W4747" s="4">
        <v>18</v>
      </c>
      <c r="X4747" s="6">
        <v>20.75</v>
      </c>
      <c r="Y4747" s="9">
        <v>20.8125</v>
      </c>
      <c r="Z4747" s="6">
        <v>28.75</v>
      </c>
      <c r="AA4747" s="6">
        <v>53.22</v>
      </c>
      <c r="AB4747" s="2" t="s">
        <v>86</v>
      </c>
      <c r="AC4747" s="6">
        <v>10.93</v>
      </c>
    </row>
    <row r="4748" spans="1:29" ht="156" x14ac:dyDescent="0.15">
      <c r="A4748" s="3">
        <f t="shared" ref="A4748:A4753" si="98">DATE(1999,6,24)</f>
        <v>36335</v>
      </c>
      <c r="B4748" s="3">
        <f>DATE(1999,12,1)</f>
        <v>36495</v>
      </c>
      <c r="C4748" s="2" t="s">
        <v>95</v>
      </c>
      <c r="D4748" s="2" t="s">
        <v>14736</v>
      </c>
      <c r="E4748" s="2" t="s">
        <v>14737</v>
      </c>
      <c r="F4748" s="4">
        <v>3321</v>
      </c>
      <c r="G4748" s="2" t="s">
        <v>163</v>
      </c>
      <c r="H4748" s="2" t="s">
        <v>34</v>
      </c>
      <c r="I4748" s="2" t="s">
        <v>14482</v>
      </c>
      <c r="J4748" s="2" t="s">
        <v>244</v>
      </c>
      <c r="K4748" s="2" t="s">
        <v>53</v>
      </c>
      <c r="L4748" s="2" t="s">
        <v>34</v>
      </c>
      <c r="M4748" s="2"/>
      <c r="N4748" s="2"/>
      <c r="O4748" s="2"/>
      <c r="P4748" s="2" t="s">
        <v>14738</v>
      </c>
      <c r="Q4748" s="6">
        <v>100</v>
      </c>
      <c r="R4748" s="6">
        <v>17</v>
      </c>
      <c r="S4748" s="5">
        <v>9.4</v>
      </c>
      <c r="T4748" s="7">
        <v>82.096000000000004</v>
      </c>
      <c r="U4748" s="5">
        <v>10.9</v>
      </c>
      <c r="V4748" s="7">
        <v>0.52500000000000002</v>
      </c>
      <c r="W4748" s="7">
        <v>14.875</v>
      </c>
      <c r="X4748" s="7">
        <v>14.375</v>
      </c>
      <c r="Y4748" s="7">
        <v>14.125</v>
      </c>
      <c r="Z4748" s="7">
        <v>16.187999999999999</v>
      </c>
      <c r="AA4748" s="6">
        <v>17.899999999999999</v>
      </c>
      <c r="AB4748" s="7">
        <v>17.257000000000001</v>
      </c>
      <c r="AC4748" s="2"/>
    </row>
    <row r="4749" spans="1:29" ht="104" x14ac:dyDescent="0.15">
      <c r="A4749" s="3">
        <f t="shared" si="98"/>
        <v>36335</v>
      </c>
      <c r="B4749" s="3">
        <f>DATE(1999,8,30)</f>
        <v>36402</v>
      </c>
      <c r="C4749" s="2" t="s">
        <v>95</v>
      </c>
      <c r="D4749" s="2" t="s">
        <v>14739</v>
      </c>
      <c r="E4749" s="2" t="s">
        <v>14740</v>
      </c>
      <c r="F4749" s="4">
        <v>7373</v>
      </c>
      <c r="G4749" s="2" t="s">
        <v>223</v>
      </c>
      <c r="H4749" s="2" t="s">
        <v>34</v>
      </c>
      <c r="I4749" s="2" t="s">
        <v>3638</v>
      </c>
      <c r="J4749" s="2" t="s">
        <v>3639</v>
      </c>
      <c r="K4749" s="2" t="s">
        <v>551</v>
      </c>
      <c r="L4749" s="2" t="s">
        <v>34</v>
      </c>
      <c r="M4749" s="12">
        <v>5547.1850000000004</v>
      </c>
      <c r="N4749" s="7">
        <v>30.187999999999999</v>
      </c>
      <c r="O4749" s="4">
        <v>30</v>
      </c>
      <c r="P4749" s="2" t="s">
        <v>14741</v>
      </c>
      <c r="Q4749" s="6">
        <v>100</v>
      </c>
      <c r="R4749" s="6">
        <v>24</v>
      </c>
      <c r="S4749" s="5">
        <v>11.3</v>
      </c>
      <c r="T4749" s="7">
        <v>24.963000000000001</v>
      </c>
      <c r="U4749" s="5">
        <v>10.5</v>
      </c>
      <c r="V4749" s="6">
        <v>0.96</v>
      </c>
      <c r="W4749" s="7">
        <v>13.625</v>
      </c>
      <c r="X4749" s="6">
        <v>12.25</v>
      </c>
      <c r="Y4749" s="7">
        <v>23.375</v>
      </c>
      <c r="Z4749" s="7">
        <v>23.437999999999999</v>
      </c>
      <c r="AA4749" s="6">
        <v>14.73</v>
      </c>
      <c r="AB4749" s="7">
        <v>18.795999999999999</v>
      </c>
      <c r="AC4749" s="6">
        <v>502.92</v>
      </c>
    </row>
    <row r="4750" spans="1:29" ht="78" x14ac:dyDescent="0.15">
      <c r="A4750" s="3">
        <f t="shared" si="98"/>
        <v>36335</v>
      </c>
      <c r="B4750" s="3">
        <f>DATE(1999,8,31)</f>
        <v>36403</v>
      </c>
      <c r="C4750" s="2" t="s">
        <v>95</v>
      </c>
      <c r="D4750" s="2" t="s">
        <v>14742</v>
      </c>
      <c r="E4750" s="2" t="s">
        <v>14743</v>
      </c>
      <c r="F4750" s="4">
        <v>3585</v>
      </c>
      <c r="G4750" s="2" t="s">
        <v>300</v>
      </c>
      <c r="H4750" s="2" t="s">
        <v>34</v>
      </c>
      <c r="I4750" s="2" t="s">
        <v>14744</v>
      </c>
      <c r="J4750" s="2" t="s">
        <v>14745</v>
      </c>
      <c r="K4750" s="2" t="s">
        <v>300</v>
      </c>
      <c r="L4750" s="2" t="s">
        <v>34</v>
      </c>
      <c r="M4750" s="2"/>
      <c r="N4750" s="2"/>
      <c r="O4750" s="2"/>
      <c r="P4750" s="2" t="s">
        <v>14746</v>
      </c>
      <c r="Q4750" s="6">
        <v>100</v>
      </c>
      <c r="R4750" s="6">
        <v>11.75</v>
      </c>
      <c r="S4750" s="5">
        <v>52.2</v>
      </c>
      <c r="T4750" s="7">
        <v>110.95099999999999</v>
      </c>
      <c r="U4750" s="5">
        <v>3.6</v>
      </c>
      <c r="V4750" s="9">
        <v>1.2756000000000001</v>
      </c>
      <c r="W4750" s="5">
        <v>10.5</v>
      </c>
      <c r="X4750" s="6">
        <v>10.75</v>
      </c>
      <c r="Y4750" s="7">
        <v>11.438000000000001</v>
      </c>
      <c r="Z4750" s="7">
        <v>11.375</v>
      </c>
      <c r="AA4750" s="6">
        <v>40.75</v>
      </c>
      <c r="AB4750" s="2" t="s">
        <v>47</v>
      </c>
      <c r="AC4750" s="2"/>
    </row>
    <row r="4751" spans="1:29" ht="39" x14ac:dyDescent="0.15">
      <c r="A4751" s="3">
        <f t="shared" si="98"/>
        <v>36335</v>
      </c>
      <c r="B4751" s="3">
        <f>DATE(1999,12,22)</f>
        <v>36516</v>
      </c>
      <c r="C4751" s="2" t="s">
        <v>95</v>
      </c>
      <c r="D4751" s="2" t="s">
        <v>13697</v>
      </c>
      <c r="E4751" s="2" t="s">
        <v>13698</v>
      </c>
      <c r="F4751" s="4">
        <v>3577</v>
      </c>
      <c r="G4751" s="2" t="s">
        <v>50</v>
      </c>
      <c r="H4751" s="2" t="s">
        <v>34</v>
      </c>
      <c r="I4751" s="2" t="s">
        <v>14747</v>
      </c>
      <c r="J4751" s="2" t="s">
        <v>13700</v>
      </c>
      <c r="K4751" s="2" t="s">
        <v>364</v>
      </c>
      <c r="L4751" s="2" t="s">
        <v>34</v>
      </c>
      <c r="M4751" s="2"/>
      <c r="N4751" s="2"/>
      <c r="O4751" s="2"/>
      <c r="P4751" s="2" t="s">
        <v>14748</v>
      </c>
      <c r="Q4751" s="6">
        <v>100</v>
      </c>
      <c r="R4751" s="2"/>
      <c r="S4751" s="5">
        <v>-1.1000000000000001</v>
      </c>
      <c r="T4751" s="7">
        <v>-0.98499999999999999</v>
      </c>
      <c r="U4751" s="5">
        <v>0.1</v>
      </c>
      <c r="V4751" s="7">
        <v>-0.21099999999999999</v>
      </c>
      <c r="W4751" s="6">
        <v>26.25</v>
      </c>
      <c r="X4751" s="6">
        <v>26.25</v>
      </c>
      <c r="Y4751" s="6">
        <v>26.25</v>
      </c>
      <c r="Z4751" s="6">
        <v>26.25</v>
      </c>
      <c r="AA4751" s="6">
        <v>15.3</v>
      </c>
      <c r="AB4751" s="2" t="s">
        <v>86</v>
      </c>
      <c r="AC4751" s="6">
        <v>218.63</v>
      </c>
    </row>
    <row r="4752" spans="1:29" ht="130" x14ac:dyDescent="0.15">
      <c r="A4752" s="3">
        <f t="shared" si="98"/>
        <v>36335</v>
      </c>
      <c r="B4752" s="2"/>
      <c r="C4752" s="2" t="s">
        <v>30</v>
      </c>
      <c r="D4752" s="2" t="s">
        <v>14749</v>
      </c>
      <c r="E4752" s="2" t="s">
        <v>14750</v>
      </c>
      <c r="F4752" s="4">
        <v>3533</v>
      </c>
      <c r="G4752" s="2" t="s">
        <v>300</v>
      </c>
      <c r="H4752" s="2" t="s">
        <v>34</v>
      </c>
      <c r="I4752" s="2" t="s">
        <v>14751</v>
      </c>
      <c r="J4752" s="2" t="s">
        <v>3977</v>
      </c>
      <c r="K4752" s="2" t="s">
        <v>76</v>
      </c>
      <c r="L4752" s="2" t="s">
        <v>34</v>
      </c>
      <c r="M4752" s="2"/>
      <c r="N4752" s="6">
        <v>14.25</v>
      </c>
      <c r="O4752" s="9">
        <v>13.8125</v>
      </c>
      <c r="P4752" s="2" t="s">
        <v>14752</v>
      </c>
      <c r="Q4752" s="2"/>
      <c r="R4752" s="6">
        <v>9.3000000000000007</v>
      </c>
      <c r="S4752" s="5">
        <v>-73.5</v>
      </c>
      <c r="T4752" s="7">
        <v>-32.411999999999999</v>
      </c>
      <c r="U4752" s="5">
        <v>3.5</v>
      </c>
      <c r="V4752" s="6">
        <v>-1.1000000000000001</v>
      </c>
      <c r="W4752" s="7">
        <v>10.875</v>
      </c>
      <c r="X4752" s="7">
        <v>9.375</v>
      </c>
      <c r="Y4752" s="6">
        <v>10.75</v>
      </c>
      <c r="Z4752" s="9">
        <v>8.5625</v>
      </c>
      <c r="AA4752" s="6">
        <v>68.89</v>
      </c>
      <c r="AB4752" s="2" t="s">
        <v>86</v>
      </c>
      <c r="AC4752" s="6">
        <v>7.48</v>
      </c>
    </row>
    <row r="4753" spans="1:29" ht="104" x14ac:dyDescent="0.15">
      <c r="A4753" s="3">
        <f t="shared" si="98"/>
        <v>36335</v>
      </c>
      <c r="B4753" s="3">
        <f>DATE(1999,11,8)</f>
        <v>36472</v>
      </c>
      <c r="C4753" s="2" t="s">
        <v>95</v>
      </c>
      <c r="D4753" s="2" t="s">
        <v>14753</v>
      </c>
      <c r="E4753" s="2" t="s">
        <v>14754</v>
      </c>
      <c r="F4753" s="4">
        <v>7389</v>
      </c>
      <c r="G4753" s="2" t="s">
        <v>223</v>
      </c>
      <c r="H4753" s="2" t="s">
        <v>34</v>
      </c>
      <c r="I4753" s="2" t="s">
        <v>14755</v>
      </c>
      <c r="J4753" s="2" t="s">
        <v>14756</v>
      </c>
      <c r="K4753" s="2" t="s">
        <v>223</v>
      </c>
      <c r="L4753" s="2" t="s">
        <v>34</v>
      </c>
      <c r="M4753" s="7">
        <v>932.53700000000003</v>
      </c>
      <c r="N4753" s="6">
        <v>27.75</v>
      </c>
      <c r="O4753" s="7">
        <v>23.687999999999999</v>
      </c>
      <c r="P4753" s="2" t="s">
        <v>14757</v>
      </c>
      <c r="Q4753" s="6">
        <v>100</v>
      </c>
      <c r="R4753" s="6">
        <v>19.25</v>
      </c>
      <c r="S4753" s="5">
        <v>-27.6</v>
      </c>
      <c r="T4753" s="7">
        <v>4.5789999999999997</v>
      </c>
      <c r="U4753" s="5">
        <v>3.9</v>
      </c>
      <c r="V4753" s="6">
        <v>-4.3600000000000003</v>
      </c>
      <c r="W4753" s="6">
        <v>16.25</v>
      </c>
      <c r="X4753" s="4">
        <v>17</v>
      </c>
      <c r="Y4753" s="5">
        <v>16.5</v>
      </c>
      <c r="Z4753" s="7">
        <v>15.875</v>
      </c>
      <c r="AA4753" s="6">
        <v>10.08</v>
      </c>
      <c r="AB4753" s="7">
        <v>101.65</v>
      </c>
      <c r="AC4753" s="6">
        <v>15.43</v>
      </c>
    </row>
    <row r="4754" spans="1:29" ht="117" x14ac:dyDescent="0.15">
      <c r="A4754" s="3">
        <f>DATE(1999,6,25)</f>
        <v>36336</v>
      </c>
      <c r="B4754" s="3">
        <f>DATE(1999,11,10)</f>
        <v>36474</v>
      </c>
      <c r="C4754" s="2" t="s">
        <v>95</v>
      </c>
      <c r="D4754" s="2" t="s">
        <v>14758</v>
      </c>
      <c r="E4754" s="2" t="s">
        <v>14759</v>
      </c>
      <c r="F4754" s="4">
        <v>2899</v>
      </c>
      <c r="G4754" s="2" t="s">
        <v>98</v>
      </c>
      <c r="H4754" s="2" t="s">
        <v>34</v>
      </c>
      <c r="I4754" s="2" t="s">
        <v>14760</v>
      </c>
      <c r="J4754" s="2" t="s">
        <v>4205</v>
      </c>
      <c r="K4754" s="2" t="s">
        <v>439</v>
      </c>
      <c r="L4754" s="2" t="s">
        <v>133</v>
      </c>
      <c r="M4754" s="2"/>
      <c r="N4754" s="2"/>
      <c r="O4754" s="2"/>
      <c r="P4754" s="2" t="s">
        <v>14761</v>
      </c>
      <c r="Q4754" s="6">
        <v>100</v>
      </c>
      <c r="R4754" s="6">
        <v>53</v>
      </c>
      <c r="S4754" s="5">
        <v>45.2</v>
      </c>
      <c r="T4754" s="5">
        <v>358.8</v>
      </c>
      <c r="U4754" s="5">
        <v>8.6</v>
      </c>
      <c r="V4754" s="6">
        <v>0.51</v>
      </c>
      <c r="W4754" s="7">
        <v>35.875</v>
      </c>
      <c r="X4754" s="7">
        <v>40.875</v>
      </c>
      <c r="Y4754" s="5">
        <v>42.5</v>
      </c>
      <c r="Z4754" s="5">
        <v>51.5</v>
      </c>
      <c r="AA4754" s="6">
        <v>83.22</v>
      </c>
      <c r="AB4754" s="7">
        <v>18.07</v>
      </c>
      <c r="AC4754" s="10">
        <v>12244.55</v>
      </c>
    </row>
    <row r="4755" spans="1:29" ht="91" x14ac:dyDescent="0.15">
      <c r="A4755" s="3">
        <f t="shared" ref="A4755:A4760" si="99">DATE(1999,6,28)</f>
        <v>36339</v>
      </c>
      <c r="B4755" s="3">
        <f>DATE(1999,12,7)</f>
        <v>36501</v>
      </c>
      <c r="C4755" s="2" t="s">
        <v>95</v>
      </c>
      <c r="D4755" s="2" t="s">
        <v>14762</v>
      </c>
      <c r="E4755" s="2" t="s">
        <v>8125</v>
      </c>
      <c r="F4755" s="4">
        <v>7311</v>
      </c>
      <c r="G4755" s="2" t="s">
        <v>4563</v>
      </c>
      <c r="H4755" s="2" t="s">
        <v>34</v>
      </c>
      <c r="I4755" s="2" t="s">
        <v>51</v>
      </c>
      <c r="J4755" s="2" t="s">
        <v>52</v>
      </c>
      <c r="K4755" s="2" t="s">
        <v>53</v>
      </c>
      <c r="L4755" s="2" t="s">
        <v>34</v>
      </c>
      <c r="M4755" s="2"/>
      <c r="N4755" s="2"/>
      <c r="O4755" s="2"/>
      <c r="P4755" s="2" t="s">
        <v>14763</v>
      </c>
      <c r="Q4755" s="6">
        <v>100</v>
      </c>
      <c r="R4755" s="6">
        <v>36.75</v>
      </c>
      <c r="S4755" s="5">
        <v>46.3</v>
      </c>
      <c r="T4755" s="7">
        <v>235.077</v>
      </c>
      <c r="U4755" s="5">
        <v>8.9</v>
      </c>
      <c r="V4755" s="6">
        <v>1.78</v>
      </c>
      <c r="W4755" s="6">
        <v>33.619999999999997</v>
      </c>
      <c r="X4755" s="6">
        <v>32.81</v>
      </c>
      <c r="Y4755" s="5">
        <v>35.5</v>
      </c>
      <c r="Z4755" s="7">
        <v>31.562999999999999</v>
      </c>
      <c r="AA4755" s="6">
        <v>19.7</v>
      </c>
      <c r="AB4755" s="7">
        <v>13.166</v>
      </c>
      <c r="AC4755" s="2"/>
    </row>
    <row r="4756" spans="1:29" ht="91" x14ac:dyDescent="0.15">
      <c r="A4756" s="3">
        <f t="shared" si="99"/>
        <v>36339</v>
      </c>
      <c r="B4756" s="3">
        <f>DATE(1999,9,24)</f>
        <v>36427</v>
      </c>
      <c r="C4756" s="2" t="s">
        <v>95</v>
      </c>
      <c r="D4756" s="2" t="s">
        <v>14764</v>
      </c>
      <c r="E4756" s="2" t="s">
        <v>14765</v>
      </c>
      <c r="F4756" s="2" t="s">
        <v>2791</v>
      </c>
      <c r="G4756" s="2" t="s">
        <v>426</v>
      </c>
      <c r="H4756" s="2" t="s">
        <v>34</v>
      </c>
      <c r="I4756" s="2" t="s">
        <v>278</v>
      </c>
      <c r="J4756" s="2" t="s">
        <v>52</v>
      </c>
      <c r="K4756" s="2" t="s">
        <v>53</v>
      </c>
      <c r="L4756" s="2" t="s">
        <v>34</v>
      </c>
      <c r="M4756" s="2"/>
      <c r="N4756" s="2"/>
      <c r="O4756" s="2"/>
      <c r="P4756" s="2" t="s">
        <v>14766</v>
      </c>
      <c r="Q4756" s="6">
        <v>78.47</v>
      </c>
      <c r="R4756" s="2"/>
      <c r="S4756" s="5">
        <v>13</v>
      </c>
      <c r="T4756" s="2"/>
      <c r="U4756" s="5">
        <v>7</v>
      </c>
      <c r="V4756" s="6">
        <v>0.42</v>
      </c>
      <c r="W4756" s="7">
        <v>14.375</v>
      </c>
      <c r="X4756" s="6">
        <v>14.75</v>
      </c>
      <c r="Y4756" s="7">
        <v>14.625</v>
      </c>
      <c r="Z4756" s="7">
        <v>14.625</v>
      </c>
      <c r="AA4756" s="6">
        <v>6.37</v>
      </c>
      <c r="AB4756" s="7">
        <v>40.551000000000002</v>
      </c>
      <c r="AC4756" s="2"/>
    </row>
    <row r="4757" spans="1:29" ht="182" x14ac:dyDescent="0.15">
      <c r="A4757" s="3">
        <f t="shared" si="99"/>
        <v>36339</v>
      </c>
      <c r="B4757" s="3">
        <f>DATE(1999,10,21)</f>
        <v>36454</v>
      </c>
      <c r="C4757" s="2" t="s">
        <v>95</v>
      </c>
      <c r="D4757" s="2" t="s">
        <v>10535</v>
      </c>
      <c r="E4757" s="2" t="s">
        <v>2195</v>
      </c>
      <c r="F4757" s="4">
        <v>5065</v>
      </c>
      <c r="G4757" s="2" t="s">
        <v>76</v>
      </c>
      <c r="H4757" s="2" t="s">
        <v>34</v>
      </c>
      <c r="I4757" s="2" t="s">
        <v>3706</v>
      </c>
      <c r="J4757" s="2" t="s">
        <v>2195</v>
      </c>
      <c r="K4757" s="2" t="s">
        <v>76</v>
      </c>
      <c r="L4757" s="2" t="s">
        <v>34</v>
      </c>
      <c r="M4757" s="12">
        <v>1531.5530000000001</v>
      </c>
      <c r="N4757" s="7">
        <v>45.188000000000002</v>
      </c>
      <c r="O4757" s="7">
        <v>46.625</v>
      </c>
      <c r="P4757" s="2" t="s">
        <v>14767</v>
      </c>
      <c r="Q4757" s="6">
        <v>100</v>
      </c>
      <c r="R4757" s="6">
        <v>35.19</v>
      </c>
      <c r="S4757" s="5">
        <v>2.2999999999999998</v>
      </c>
      <c r="T4757" s="7">
        <v>73.581000000000003</v>
      </c>
      <c r="U4757" s="5">
        <v>24.7</v>
      </c>
      <c r="V4757" s="6">
        <v>0.14000000000000001</v>
      </c>
      <c r="W4757" s="6">
        <v>17.62</v>
      </c>
      <c r="X4757" s="7">
        <v>20.125</v>
      </c>
      <c r="Y4757" s="7">
        <v>35.813000000000002</v>
      </c>
      <c r="Z4757" s="7">
        <v>35.938000000000002</v>
      </c>
      <c r="AA4757" s="6">
        <v>16.62</v>
      </c>
      <c r="AB4757" s="7">
        <v>12.456</v>
      </c>
      <c r="AC4757" s="6">
        <v>82.61</v>
      </c>
    </row>
    <row r="4758" spans="1:29" ht="65" x14ac:dyDescent="0.15">
      <c r="A4758" s="3">
        <f t="shared" si="99"/>
        <v>36339</v>
      </c>
      <c r="B4758" s="2"/>
      <c r="C4758" s="2" t="s">
        <v>30</v>
      </c>
      <c r="D4758" s="2" t="s">
        <v>14768</v>
      </c>
      <c r="E4758" s="2" t="s">
        <v>36</v>
      </c>
      <c r="F4758" s="4">
        <v>6035</v>
      </c>
      <c r="G4758" s="2" t="s">
        <v>33</v>
      </c>
      <c r="H4758" s="2" t="s">
        <v>34</v>
      </c>
      <c r="I4758" s="2" t="s">
        <v>14769</v>
      </c>
      <c r="J4758" s="2" t="s">
        <v>159</v>
      </c>
      <c r="K4758" s="2" t="s">
        <v>37</v>
      </c>
      <c r="L4758" s="2" t="s">
        <v>34</v>
      </c>
      <c r="M4758" s="7">
        <v>364.69600000000003</v>
      </c>
      <c r="N4758" s="4">
        <v>18</v>
      </c>
      <c r="O4758" s="6">
        <v>17.75</v>
      </c>
      <c r="P4758" s="2" t="s">
        <v>14770</v>
      </c>
      <c r="Q4758" s="2"/>
      <c r="R4758" s="6">
        <v>23.5</v>
      </c>
      <c r="S4758" s="5">
        <v>1.5</v>
      </c>
      <c r="T4758" s="2"/>
      <c r="U4758" s="5">
        <v>12.8</v>
      </c>
      <c r="V4758" s="6">
        <v>0.73</v>
      </c>
      <c r="W4758" s="7">
        <v>17.937999999999999</v>
      </c>
      <c r="X4758" s="4">
        <v>18</v>
      </c>
      <c r="Y4758" s="6">
        <v>20.75</v>
      </c>
      <c r="Z4758" s="6">
        <v>20.75</v>
      </c>
      <c r="AA4758" s="6">
        <v>2.02</v>
      </c>
      <c r="AB4758" s="7">
        <v>20.663</v>
      </c>
      <c r="AC4758" s="2"/>
    </row>
    <row r="4759" spans="1:29" ht="182" x14ac:dyDescent="0.15">
      <c r="A4759" s="3">
        <f t="shared" si="99"/>
        <v>36339</v>
      </c>
      <c r="B4759" s="3">
        <f>DATE(1999,7,30)</f>
        <v>36371</v>
      </c>
      <c r="C4759" s="2" t="s">
        <v>95</v>
      </c>
      <c r="D4759" s="2" t="s">
        <v>13675</v>
      </c>
      <c r="E4759" s="2" t="s">
        <v>13674</v>
      </c>
      <c r="F4759" s="4">
        <v>7353</v>
      </c>
      <c r="G4759" s="2" t="s">
        <v>223</v>
      </c>
      <c r="H4759" s="2" t="s">
        <v>34</v>
      </c>
      <c r="I4759" s="2" t="s">
        <v>9860</v>
      </c>
      <c r="J4759" s="2" t="s">
        <v>9861</v>
      </c>
      <c r="K4759" s="2" t="s">
        <v>300</v>
      </c>
      <c r="L4759" s="2" t="s">
        <v>34</v>
      </c>
      <c r="M4759" s="2"/>
      <c r="N4759" s="2"/>
      <c r="O4759" s="2"/>
      <c r="P4759" s="2" t="s">
        <v>14771</v>
      </c>
      <c r="Q4759" s="6">
        <v>100</v>
      </c>
      <c r="R4759" s="6">
        <v>29</v>
      </c>
      <c r="S4759" s="5">
        <v>29.2</v>
      </c>
      <c r="T4759" s="7">
        <v>158.96199999999999</v>
      </c>
      <c r="U4759" s="5">
        <v>17.3</v>
      </c>
      <c r="V4759" s="6">
        <v>1.32</v>
      </c>
      <c r="W4759" s="7">
        <v>16.625</v>
      </c>
      <c r="X4759" s="6">
        <v>17.25</v>
      </c>
      <c r="Y4759" s="6">
        <v>22.25</v>
      </c>
      <c r="Z4759" s="7">
        <v>22.062999999999999</v>
      </c>
      <c r="AA4759" s="6">
        <v>24.27</v>
      </c>
      <c r="AB4759" s="7">
        <v>29.626999999999999</v>
      </c>
      <c r="AC4759" s="2"/>
    </row>
    <row r="4760" spans="1:29" ht="91" x14ac:dyDescent="0.15">
      <c r="A4760" s="3">
        <f t="shared" si="99"/>
        <v>36339</v>
      </c>
      <c r="B4760" s="3">
        <f>DATE(2000,4,26)</f>
        <v>36642</v>
      </c>
      <c r="C4760" s="2" t="s">
        <v>95</v>
      </c>
      <c r="D4760" s="2" t="s">
        <v>2528</v>
      </c>
      <c r="E4760" s="2" t="s">
        <v>2529</v>
      </c>
      <c r="F4760" s="4">
        <v>4924</v>
      </c>
      <c r="G4760" s="2" t="s">
        <v>439</v>
      </c>
      <c r="H4760" s="2" t="s">
        <v>34</v>
      </c>
      <c r="I4760" s="2" t="s">
        <v>3758</v>
      </c>
      <c r="J4760" s="2" t="s">
        <v>3759</v>
      </c>
      <c r="K4760" s="2" t="s">
        <v>439</v>
      </c>
      <c r="L4760" s="2" t="s">
        <v>34</v>
      </c>
      <c r="M4760" s="12">
        <v>3231.9389999999999</v>
      </c>
      <c r="N4760" s="7">
        <v>26.562999999999999</v>
      </c>
      <c r="O4760" s="6">
        <v>26.25</v>
      </c>
      <c r="P4760" s="2" t="s">
        <v>14772</v>
      </c>
      <c r="Q4760" s="6">
        <v>100</v>
      </c>
      <c r="R4760" s="6">
        <v>31.5</v>
      </c>
      <c r="S4760" s="5">
        <v>49.4</v>
      </c>
      <c r="T4760" s="7">
        <v>146.57599999999999</v>
      </c>
      <c r="U4760" s="5">
        <v>11.3</v>
      </c>
      <c r="V4760" s="7">
        <v>1.3149999999999999</v>
      </c>
      <c r="W4760" s="7">
        <v>24.375</v>
      </c>
      <c r="X4760" s="7">
        <v>26.562999999999999</v>
      </c>
      <c r="Y4760" s="7">
        <v>28.125</v>
      </c>
      <c r="Z4760" s="7">
        <v>28.062999999999999</v>
      </c>
      <c r="AA4760" s="6">
        <v>37.450000000000003</v>
      </c>
      <c r="AB4760" s="7">
        <v>15.744999999999999</v>
      </c>
      <c r="AC4760" s="6">
        <v>118.88</v>
      </c>
    </row>
    <row r="4761" spans="1:29" ht="130" x14ac:dyDescent="0.15">
      <c r="A4761" s="3">
        <f>DATE(1999,6,29)</f>
        <v>36340</v>
      </c>
      <c r="B4761" s="3">
        <f>DATE(1999,12,1)</f>
        <v>36495</v>
      </c>
      <c r="C4761" s="2" t="s">
        <v>95</v>
      </c>
      <c r="D4761" s="2" t="s">
        <v>11776</v>
      </c>
      <c r="E4761" s="2" t="s">
        <v>203</v>
      </c>
      <c r="F4761" s="4">
        <v>6035</v>
      </c>
      <c r="G4761" s="2" t="s">
        <v>33</v>
      </c>
      <c r="H4761" s="2" t="s">
        <v>34</v>
      </c>
      <c r="I4761" s="2" t="s">
        <v>4381</v>
      </c>
      <c r="J4761" s="2" t="s">
        <v>263</v>
      </c>
      <c r="K4761" s="2" t="s">
        <v>37</v>
      </c>
      <c r="L4761" s="2" t="s">
        <v>34</v>
      </c>
      <c r="M4761" s="12">
        <v>1223.4369999999999</v>
      </c>
      <c r="N4761" s="6">
        <v>31.75</v>
      </c>
      <c r="O4761" s="7">
        <v>31.375</v>
      </c>
      <c r="P4761" s="2" t="s">
        <v>14773</v>
      </c>
      <c r="Q4761" s="6">
        <v>100</v>
      </c>
      <c r="R4761" s="6">
        <v>33.19</v>
      </c>
      <c r="S4761" s="5">
        <v>11.4</v>
      </c>
      <c r="T4761" s="2"/>
      <c r="U4761" s="5">
        <v>12.7</v>
      </c>
      <c r="V4761" s="6">
        <v>1.04</v>
      </c>
      <c r="W4761" s="4">
        <v>26</v>
      </c>
      <c r="X4761" s="4">
        <v>28</v>
      </c>
      <c r="Y4761" s="7">
        <v>28.937999999999999</v>
      </c>
      <c r="Z4761" s="7">
        <v>28.437999999999999</v>
      </c>
      <c r="AA4761" s="6">
        <v>10.51</v>
      </c>
      <c r="AB4761" s="7">
        <v>33.085999999999999</v>
      </c>
      <c r="AC4761" s="2"/>
    </row>
    <row r="4762" spans="1:29" ht="117" x14ac:dyDescent="0.15">
      <c r="A4762" s="3">
        <f>DATE(1999,6,29)</f>
        <v>36340</v>
      </c>
      <c r="B4762" s="3">
        <f>DATE(1999,12,1)</f>
        <v>36495</v>
      </c>
      <c r="C4762" s="2" t="s">
        <v>95</v>
      </c>
      <c r="D4762" s="2" t="s">
        <v>11766</v>
      </c>
      <c r="E4762" s="2" t="s">
        <v>36</v>
      </c>
      <c r="F4762" s="4">
        <v>6022</v>
      </c>
      <c r="G4762" s="2" t="s">
        <v>37</v>
      </c>
      <c r="H4762" s="2" t="s">
        <v>34</v>
      </c>
      <c r="I4762" s="2" t="s">
        <v>6399</v>
      </c>
      <c r="J4762" s="2" t="s">
        <v>263</v>
      </c>
      <c r="K4762" s="2" t="s">
        <v>33</v>
      </c>
      <c r="L4762" s="2" t="s">
        <v>34</v>
      </c>
      <c r="M4762" s="12">
        <v>1044.9359999999999</v>
      </c>
      <c r="N4762" s="7">
        <v>28.375</v>
      </c>
      <c r="O4762" s="7">
        <v>27.125</v>
      </c>
      <c r="P4762" s="2" t="s">
        <v>14774</v>
      </c>
      <c r="Q4762" s="6">
        <v>100</v>
      </c>
      <c r="R4762" s="6">
        <v>30.08</v>
      </c>
      <c r="S4762" s="5">
        <v>7.8</v>
      </c>
      <c r="T4762" s="2"/>
      <c r="U4762" s="5">
        <v>10.3</v>
      </c>
      <c r="V4762" s="6">
        <v>1</v>
      </c>
      <c r="W4762" s="7">
        <v>25.187999999999999</v>
      </c>
      <c r="X4762" s="7">
        <v>26.625</v>
      </c>
      <c r="Y4762" s="6">
        <v>26.75</v>
      </c>
      <c r="Z4762" s="7">
        <v>27.562999999999999</v>
      </c>
      <c r="AA4762" s="6">
        <v>7.03</v>
      </c>
      <c r="AB4762" s="7">
        <v>17.893000000000001</v>
      </c>
      <c r="AC4762" s="2"/>
    </row>
    <row r="4763" spans="1:29" ht="52" x14ac:dyDescent="0.15">
      <c r="A4763" s="3">
        <f>DATE(1999,6,29)</f>
        <v>36340</v>
      </c>
      <c r="B4763" s="2"/>
      <c r="C4763" s="2" t="s">
        <v>30</v>
      </c>
      <c r="D4763" s="2" t="s">
        <v>11044</v>
      </c>
      <c r="E4763" s="2" t="s">
        <v>1671</v>
      </c>
      <c r="F4763" s="4">
        <v>3944</v>
      </c>
      <c r="G4763" s="2" t="s">
        <v>112</v>
      </c>
      <c r="H4763" s="2" t="s">
        <v>34</v>
      </c>
      <c r="I4763" s="2" t="s">
        <v>14775</v>
      </c>
      <c r="J4763" s="2" t="s">
        <v>302</v>
      </c>
      <c r="K4763" s="2" t="s">
        <v>53</v>
      </c>
      <c r="L4763" s="2" t="s">
        <v>34</v>
      </c>
      <c r="M4763" s="2"/>
      <c r="N4763" s="2"/>
      <c r="O4763" s="2"/>
      <c r="P4763" s="2" t="s">
        <v>14776</v>
      </c>
      <c r="Q4763" s="2"/>
      <c r="R4763" s="6">
        <v>10</v>
      </c>
      <c r="S4763" s="5">
        <v>12.6</v>
      </c>
      <c r="T4763" s="7">
        <v>36.640999999999998</v>
      </c>
      <c r="U4763" s="5">
        <v>6.6</v>
      </c>
      <c r="V4763" s="6">
        <v>0.74</v>
      </c>
      <c r="W4763" s="7">
        <v>16.875</v>
      </c>
      <c r="X4763" s="5">
        <v>6.5</v>
      </c>
      <c r="Y4763" s="6">
        <v>7.75</v>
      </c>
      <c r="Z4763" s="7">
        <v>7.125</v>
      </c>
      <c r="AA4763" s="6">
        <v>16.09</v>
      </c>
      <c r="AB4763" s="7">
        <v>6.5129999999999999</v>
      </c>
      <c r="AC4763" s="2"/>
    </row>
    <row r="4764" spans="1:29" ht="91" x14ac:dyDescent="0.15">
      <c r="A4764" s="3">
        <f>DATE(1999,6,29)</f>
        <v>36340</v>
      </c>
      <c r="B4764" s="3">
        <f>DATE(1999,6,29)</f>
        <v>36340</v>
      </c>
      <c r="C4764" s="2" t="s">
        <v>95</v>
      </c>
      <c r="D4764" s="2" t="s">
        <v>14777</v>
      </c>
      <c r="E4764" s="2" t="s">
        <v>14778</v>
      </c>
      <c r="F4764" s="4">
        <v>3651</v>
      </c>
      <c r="G4764" s="2" t="s">
        <v>137</v>
      </c>
      <c r="H4764" s="2" t="s">
        <v>34</v>
      </c>
      <c r="I4764" s="2" t="s">
        <v>14779</v>
      </c>
      <c r="J4764" s="2" t="s">
        <v>14550</v>
      </c>
      <c r="K4764" s="2" t="s">
        <v>226</v>
      </c>
      <c r="L4764" s="2" t="s">
        <v>34</v>
      </c>
      <c r="M4764" s="7">
        <v>238.08600000000001</v>
      </c>
      <c r="N4764" s="7">
        <v>21.937999999999999</v>
      </c>
      <c r="O4764" s="7">
        <v>21.875</v>
      </c>
      <c r="P4764" s="2" t="s">
        <v>14780</v>
      </c>
      <c r="Q4764" s="6">
        <v>100</v>
      </c>
      <c r="R4764" s="2"/>
      <c r="S4764" s="5">
        <v>-0.8</v>
      </c>
      <c r="T4764" s="7">
        <v>0.27500000000000002</v>
      </c>
      <c r="U4764" s="5">
        <v>2.1</v>
      </c>
      <c r="V4764" s="6">
        <v>0.01</v>
      </c>
      <c r="W4764" s="7">
        <v>4.0629999999999997</v>
      </c>
      <c r="X4764" s="7">
        <v>4.125</v>
      </c>
      <c r="Y4764" s="9">
        <v>4.0625</v>
      </c>
      <c r="Z4764" s="4">
        <v>4</v>
      </c>
      <c r="AA4764" s="6">
        <v>11.7</v>
      </c>
      <c r="AB4764" s="2" t="s">
        <v>86</v>
      </c>
      <c r="AC4764" s="6">
        <v>26.34</v>
      </c>
    </row>
    <row r="4765" spans="1:29" ht="52" x14ac:dyDescent="0.15">
      <c r="A4765" s="3">
        <f>DATE(1999,6,30)</f>
        <v>36341</v>
      </c>
      <c r="B4765" s="3">
        <f>DATE(1999,10,29)</f>
        <v>36462</v>
      </c>
      <c r="C4765" s="2" t="s">
        <v>95</v>
      </c>
      <c r="D4765" s="2" t="s">
        <v>14781</v>
      </c>
      <c r="E4765" s="2" t="s">
        <v>36</v>
      </c>
      <c r="F4765" s="4">
        <v>6712</v>
      </c>
      <c r="G4765" s="2" t="s">
        <v>37</v>
      </c>
      <c r="H4765" s="2" t="s">
        <v>34</v>
      </c>
      <c r="I4765" s="2" t="s">
        <v>14782</v>
      </c>
      <c r="J4765" s="2" t="s">
        <v>159</v>
      </c>
      <c r="K4765" s="2" t="s">
        <v>37</v>
      </c>
      <c r="L4765" s="2" t="s">
        <v>34</v>
      </c>
      <c r="M4765" s="7">
        <v>299.78699999999998</v>
      </c>
      <c r="N4765" s="7">
        <v>25.875</v>
      </c>
      <c r="O4765" s="6">
        <v>21.75</v>
      </c>
      <c r="P4765" s="2" t="s">
        <v>14783</v>
      </c>
      <c r="Q4765" s="6">
        <v>100</v>
      </c>
      <c r="R4765" s="6">
        <v>25.74</v>
      </c>
      <c r="S4765" s="5">
        <v>0.9</v>
      </c>
      <c r="T4765" s="7">
        <v>1.6859999999999999</v>
      </c>
      <c r="U4765" s="5">
        <v>18.3</v>
      </c>
      <c r="V4765" s="7">
        <v>0.86599999999999999</v>
      </c>
      <c r="W4765" s="7">
        <v>21.625</v>
      </c>
      <c r="X4765" s="4">
        <v>22</v>
      </c>
      <c r="Y4765" s="7">
        <v>22.125</v>
      </c>
      <c r="Z4765" s="5">
        <v>24.5</v>
      </c>
      <c r="AA4765" s="6">
        <v>1.07</v>
      </c>
      <c r="AB4765" s="7">
        <v>114.889</v>
      </c>
      <c r="AC4765" s="2"/>
    </row>
    <row r="4766" spans="1:29" ht="78" x14ac:dyDescent="0.15">
      <c r="A4766" s="3">
        <f>DATE(1999,6,30)</f>
        <v>36341</v>
      </c>
      <c r="B4766" s="2"/>
      <c r="C4766" s="2" t="s">
        <v>7330</v>
      </c>
      <c r="D4766" s="2" t="s">
        <v>14784</v>
      </c>
      <c r="E4766" s="2" t="s">
        <v>14785</v>
      </c>
      <c r="F4766" s="4">
        <v>6324</v>
      </c>
      <c r="G4766" s="2" t="s">
        <v>125</v>
      </c>
      <c r="H4766" s="2" t="s">
        <v>34</v>
      </c>
      <c r="I4766" s="2" t="s">
        <v>51</v>
      </c>
      <c r="J4766" s="2" t="s">
        <v>52</v>
      </c>
      <c r="K4766" s="2" t="s">
        <v>53</v>
      </c>
      <c r="L4766" s="2" t="s">
        <v>34</v>
      </c>
      <c r="M4766" s="2"/>
      <c r="N4766" s="2"/>
      <c r="O4766" s="2"/>
      <c r="P4766" s="2" t="s">
        <v>14786</v>
      </c>
      <c r="Q4766" s="2"/>
      <c r="R4766" s="2"/>
      <c r="S4766" s="5">
        <v>-20.2</v>
      </c>
      <c r="T4766" s="7">
        <v>-6.0039999999999996</v>
      </c>
      <c r="U4766" s="8">
        <v>4974.7</v>
      </c>
      <c r="V4766" s="6">
        <v>-6373.13</v>
      </c>
      <c r="W4766" s="7">
        <v>3.0630000000000002</v>
      </c>
      <c r="X4766" s="4">
        <v>3</v>
      </c>
      <c r="Y4766" s="5">
        <v>4.5</v>
      </c>
      <c r="Z4766" s="7">
        <v>4.6879999999999997</v>
      </c>
      <c r="AA4766" s="6">
        <v>4.75</v>
      </c>
      <c r="AB4766" s="2" t="s">
        <v>86</v>
      </c>
      <c r="AC4766" s="2"/>
    </row>
    <row r="4767" spans="1:29" ht="91" x14ac:dyDescent="0.15">
      <c r="A4767" s="3">
        <f>DATE(1999,6,30)</f>
        <v>36341</v>
      </c>
      <c r="B4767" s="3">
        <f>DATE(1999,8,9)</f>
        <v>36381</v>
      </c>
      <c r="C4767" s="2" t="s">
        <v>95</v>
      </c>
      <c r="D4767" s="2" t="s">
        <v>14787</v>
      </c>
      <c r="E4767" s="2" t="s">
        <v>14788</v>
      </c>
      <c r="F4767" s="4">
        <v>7379</v>
      </c>
      <c r="G4767" s="2" t="s">
        <v>223</v>
      </c>
      <c r="H4767" s="2" t="s">
        <v>34</v>
      </c>
      <c r="I4767" s="2" t="s">
        <v>14789</v>
      </c>
      <c r="J4767" s="2" t="s">
        <v>14790</v>
      </c>
      <c r="K4767" s="2" t="s">
        <v>63</v>
      </c>
      <c r="L4767" s="2" t="s">
        <v>2105</v>
      </c>
      <c r="M4767" s="2"/>
      <c r="N4767" s="2"/>
      <c r="O4767" s="2"/>
      <c r="P4767" s="2" t="s">
        <v>14791</v>
      </c>
      <c r="Q4767" s="6">
        <v>100</v>
      </c>
      <c r="R4767" s="6">
        <v>8.5</v>
      </c>
      <c r="S4767" s="5">
        <v>-0.1</v>
      </c>
      <c r="T4767" s="7">
        <v>7.0709999999999997</v>
      </c>
      <c r="U4767" s="5">
        <v>3.9</v>
      </c>
      <c r="V4767" s="6">
        <v>-0.01</v>
      </c>
      <c r="W4767" s="6">
        <v>7.75</v>
      </c>
      <c r="X4767" s="7">
        <v>7.625</v>
      </c>
      <c r="Y4767" s="9">
        <v>8.1875</v>
      </c>
      <c r="Z4767" s="9">
        <v>8.1875</v>
      </c>
      <c r="AA4767" s="6">
        <v>8.2799999999999994</v>
      </c>
      <c r="AB4767" s="7">
        <v>24.677</v>
      </c>
      <c r="AC4767" s="6">
        <v>449.88</v>
      </c>
    </row>
    <row r="4768" spans="1:29" ht="78" x14ac:dyDescent="0.15">
      <c r="A4768" s="3">
        <f>DATE(1999,7,1)</f>
        <v>36342</v>
      </c>
      <c r="B4768" s="3">
        <f>DATE(1999,9,16)</f>
        <v>36419</v>
      </c>
      <c r="C4768" s="2" t="s">
        <v>95</v>
      </c>
      <c r="D4768" s="2" t="s">
        <v>14792</v>
      </c>
      <c r="E4768" s="2" t="s">
        <v>14793</v>
      </c>
      <c r="F4768" s="4">
        <v>3679</v>
      </c>
      <c r="G4768" s="2" t="s">
        <v>137</v>
      </c>
      <c r="H4768" s="2" t="s">
        <v>34</v>
      </c>
      <c r="I4768" s="2" t="s">
        <v>14794</v>
      </c>
      <c r="J4768" s="2" t="s">
        <v>14795</v>
      </c>
      <c r="K4768" s="2" t="s">
        <v>137</v>
      </c>
      <c r="L4768" s="2" t="s">
        <v>34</v>
      </c>
      <c r="M4768" s="7">
        <v>202.51400000000001</v>
      </c>
      <c r="N4768" s="5">
        <v>13.5</v>
      </c>
      <c r="O4768" s="7">
        <v>14.375</v>
      </c>
      <c r="P4768" s="2" t="s">
        <v>14796</v>
      </c>
      <c r="Q4768" s="6">
        <v>100</v>
      </c>
      <c r="R4768" s="6">
        <v>3.8</v>
      </c>
      <c r="S4768" s="5">
        <v>-27.4</v>
      </c>
      <c r="T4768" s="7">
        <v>-4.3579999999999997</v>
      </c>
      <c r="U4768" s="5">
        <v>2.7</v>
      </c>
      <c r="V4768" s="6">
        <v>-3.05</v>
      </c>
      <c r="W4768" s="7">
        <v>3.625</v>
      </c>
      <c r="X4768" s="4">
        <v>4</v>
      </c>
      <c r="Y4768" s="7">
        <v>4.2809999999999997</v>
      </c>
      <c r="Z4768" s="7">
        <v>3.625</v>
      </c>
      <c r="AA4768" s="6">
        <v>8.98</v>
      </c>
      <c r="AB4768" s="2" t="s">
        <v>86</v>
      </c>
      <c r="AC4768" s="6">
        <v>57.46</v>
      </c>
    </row>
    <row r="4769" spans="1:29" ht="39" x14ac:dyDescent="0.15">
      <c r="A4769" s="3">
        <f>DATE(1999,7,1)</f>
        <v>36342</v>
      </c>
      <c r="B4769" s="3">
        <f>DATE(1999,7,1)</f>
        <v>36342</v>
      </c>
      <c r="C4769" s="2" t="s">
        <v>95</v>
      </c>
      <c r="D4769" s="2" t="s">
        <v>14797</v>
      </c>
      <c r="E4769" s="2" t="s">
        <v>14798</v>
      </c>
      <c r="F4769" s="4">
        <v>5561</v>
      </c>
      <c r="G4769" s="2" t="s">
        <v>73</v>
      </c>
      <c r="H4769" s="2" t="s">
        <v>34</v>
      </c>
      <c r="I4769" s="2" t="s">
        <v>14799</v>
      </c>
      <c r="J4769" s="2" t="s">
        <v>302</v>
      </c>
      <c r="K4769" s="2" t="s">
        <v>53</v>
      </c>
      <c r="L4769" s="2" t="s">
        <v>34</v>
      </c>
      <c r="M4769" s="2"/>
      <c r="N4769" s="2"/>
      <c r="O4769" s="2"/>
      <c r="P4769" s="2" t="s">
        <v>14800</v>
      </c>
      <c r="Q4769" s="6">
        <v>58</v>
      </c>
      <c r="R4769" s="2"/>
      <c r="S4769" s="5">
        <v>2</v>
      </c>
      <c r="T4769" s="7">
        <v>4.0380000000000003</v>
      </c>
      <c r="U4769" s="5">
        <v>26.1</v>
      </c>
      <c r="V4769" s="6">
        <v>2.8</v>
      </c>
      <c r="W4769" s="6">
        <v>3.75</v>
      </c>
      <c r="X4769" s="7">
        <v>4.125</v>
      </c>
      <c r="Y4769" s="7">
        <v>4.375</v>
      </c>
      <c r="Z4769" s="11">
        <v>4.453125</v>
      </c>
      <c r="AA4769" s="6">
        <v>7.19</v>
      </c>
      <c r="AB4769" s="2" t="s">
        <v>47</v>
      </c>
      <c r="AC4769" s="2"/>
    </row>
    <row r="4770" spans="1:29" ht="52" x14ac:dyDescent="0.15">
      <c r="A4770" s="3">
        <f>DATE(1999,7,1)</f>
        <v>36342</v>
      </c>
      <c r="B4770" s="2"/>
      <c r="C4770" s="2" t="s">
        <v>30</v>
      </c>
      <c r="D4770" s="2" t="s">
        <v>14801</v>
      </c>
      <c r="E4770" s="2" t="s">
        <v>14802</v>
      </c>
      <c r="F4770" s="4">
        <v>3724</v>
      </c>
      <c r="G4770" s="2" t="s">
        <v>219</v>
      </c>
      <c r="H4770" s="2" t="s">
        <v>34</v>
      </c>
      <c r="I4770" s="2" t="s">
        <v>14803</v>
      </c>
      <c r="J4770" s="2" t="s">
        <v>14804</v>
      </c>
      <c r="K4770" s="2" t="s">
        <v>300</v>
      </c>
      <c r="L4770" s="2" t="s">
        <v>303</v>
      </c>
      <c r="M4770" s="2"/>
      <c r="N4770" s="2"/>
      <c r="O4770" s="2"/>
      <c r="P4770" s="2" t="s">
        <v>14805</v>
      </c>
      <c r="Q4770" s="2"/>
      <c r="R4770" s="6">
        <v>12.25</v>
      </c>
      <c r="S4770" s="5">
        <v>1.8</v>
      </c>
      <c r="T4770" s="7">
        <v>2.891</v>
      </c>
      <c r="U4770" s="5">
        <v>4</v>
      </c>
      <c r="V4770" s="6">
        <v>0.9</v>
      </c>
      <c r="W4770" s="7">
        <v>4.625</v>
      </c>
      <c r="X4770" s="5">
        <v>4.5</v>
      </c>
      <c r="Y4770" s="7">
        <v>10.156000000000001</v>
      </c>
      <c r="Z4770" s="7">
        <v>9.9380000000000006</v>
      </c>
      <c r="AA4770" s="6">
        <v>1.94</v>
      </c>
      <c r="AB4770" s="7">
        <v>7.49</v>
      </c>
      <c r="AC4770" s="2"/>
    </row>
    <row r="4771" spans="1:29" ht="104" x14ac:dyDescent="0.15">
      <c r="A4771" s="3">
        <f>DATE(1999,7,1)</f>
        <v>36342</v>
      </c>
      <c r="B4771" s="3">
        <f>DATE(1999,10,1)</f>
        <v>36434</v>
      </c>
      <c r="C4771" s="2" t="s">
        <v>95</v>
      </c>
      <c r="D4771" s="2" t="s">
        <v>14806</v>
      </c>
      <c r="E4771" s="2" t="s">
        <v>92</v>
      </c>
      <c r="F4771" s="4">
        <v>6513</v>
      </c>
      <c r="G4771" s="2" t="s">
        <v>109</v>
      </c>
      <c r="H4771" s="2" t="s">
        <v>34</v>
      </c>
      <c r="I4771" s="2" t="s">
        <v>9141</v>
      </c>
      <c r="J4771" s="2" t="s">
        <v>92</v>
      </c>
      <c r="K4771" s="2" t="s">
        <v>53</v>
      </c>
      <c r="L4771" s="2" t="s">
        <v>34</v>
      </c>
      <c r="M4771" s="12">
        <v>5731.7389999999996</v>
      </c>
      <c r="N4771" s="7">
        <v>44.938000000000002</v>
      </c>
      <c r="O4771" s="7">
        <v>44.938000000000002</v>
      </c>
      <c r="P4771" s="2" t="s">
        <v>14807</v>
      </c>
      <c r="Q4771" s="6">
        <v>100</v>
      </c>
      <c r="R4771" s="6">
        <v>20.86</v>
      </c>
      <c r="S4771" s="5">
        <v>6.7</v>
      </c>
      <c r="T4771" s="7">
        <v>32.554000000000002</v>
      </c>
      <c r="U4771" s="5">
        <v>5.9</v>
      </c>
      <c r="V4771" s="6">
        <v>0.73</v>
      </c>
      <c r="W4771" s="7">
        <v>20.187999999999999</v>
      </c>
      <c r="X4771" s="7">
        <v>23.875</v>
      </c>
      <c r="Y4771" s="7">
        <v>20.062999999999999</v>
      </c>
      <c r="Z4771" s="7">
        <v>19.937999999999999</v>
      </c>
      <c r="AA4771" s="6">
        <v>9.5500000000000007</v>
      </c>
      <c r="AB4771" s="7">
        <v>85.71</v>
      </c>
      <c r="AC4771" s="5">
        <v>95.5</v>
      </c>
    </row>
    <row r="4772" spans="1:29" ht="91" x14ac:dyDescent="0.15">
      <c r="A4772" s="3">
        <f>DATE(1999,7,1)</f>
        <v>36342</v>
      </c>
      <c r="B4772" s="3">
        <f>DATE(1999,11,12)</f>
        <v>36476</v>
      </c>
      <c r="C4772" s="2" t="s">
        <v>95</v>
      </c>
      <c r="D4772" s="2" t="s">
        <v>14808</v>
      </c>
      <c r="E4772" s="2" t="s">
        <v>203</v>
      </c>
      <c r="F4772" s="4">
        <v>6035</v>
      </c>
      <c r="G4772" s="2" t="s">
        <v>33</v>
      </c>
      <c r="H4772" s="2" t="s">
        <v>34</v>
      </c>
      <c r="I4772" s="2" t="s">
        <v>14809</v>
      </c>
      <c r="J4772" s="2" t="s">
        <v>203</v>
      </c>
      <c r="K4772" s="2" t="s">
        <v>33</v>
      </c>
      <c r="L4772" s="2" t="s">
        <v>34</v>
      </c>
      <c r="M4772" s="7">
        <v>16.021000000000001</v>
      </c>
      <c r="N4772" s="7">
        <v>12.313000000000001</v>
      </c>
      <c r="O4772" s="4">
        <v>13</v>
      </c>
      <c r="P4772" s="2" t="s">
        <v>14810</v>
      </c>
      <c r="Q4772" s="6">
        <v>100</v>
      </c>
      <c r="R4772" s="6">
        <v>17.5</v>
      </c>
      <c r="S4772" s="5">
        <v>0.4</v>
      </c>
      <c r="T4772" s="7">
        <v>0.76200000000000001</v>
      </c>
      <c r="U4772" s="5">
        <v>16.8</v>
      </c>
      <c r="V4772" s="6">
        <v>0.79</v>
      </c>
      <c r="W4772" s="4">
        <v>14</v>
      </c>
      <c r="X4772" s="6">
        <v>14.25</v>
      </c>
      <c r="Y4772" s="6">
        <v>14.25</v>
      </c>
      <c r="Z4772" s="7">
        <v>16.625</v>
      </c>
      <c r="AA4772" s="6">
        <v>0.54</v>
      </c>
      <c r="AB4772" s="7">
        <v>13.741</v>
      </c>
      <c r="AC4772" s="2"/>
    </row>
    <row r="4773" spans="1:29" ht="65" x14ac:dyDescent="0.15">
      <c r="A4773" s="3">
        <f>DATE(1999,7,2)</f>
        <v>36343</v>
      </c>
      <c r="B4773" s="2"/>
      <c r="C4773" s="2" t="s">
        <v>30</v>
      </c>
      <c r="D4773" s="2" t="s">
        <v>9983</v>
      </c>
      <c r="E4773" s="2" t="s">
        <v>389</v>
      </c>
      <c r="F4773" s="4">
        <v>6035</v>
      </c>
      <c r="G4773" s="2" t="s">
        <v>33</v>
      </c>
      <c r="H4773" s="2" t="s">
        <v>34</v>
      </c>
      <c r="I4773" s="2" t="s">
        <v>7495</v>
      </c>
      <c r="J4773" s="2" t="s">
        <v>263</v>
      </c>
      <c r="K4773" s="2" t="s">
        <v>37</v>
      </c>
      <c r="L4773" s="2" t="s">
        <v>34</v>
      </c>
      <c r="M4773" s="7">
        <v>340.42899999999997</v>
      </c>
      <c r="N4773" s="7">
        <v>19.187999999999999</v>
      </c>
      <c r="O4773" s="7">
        <v>19.187999999999999</v>
      </c>
      <c r="P4773" s="2" t="s">
        <v>14811</v>
      </c>
      <c r="Q4773" s="2"/>
      <c r="R4773" s="6">
        <v>9</v>
      </c>
      <c r="S4773" s="5">
        <v>-72.3</v>
      </c>
      <c r="T4773" s="2"/>
      <c r="U4773" s="5">
        <v>5.7</v>
      </c>
      <c r="V4773" s="6">
        <v>-3.72</v>
      </c>
      <c r="W4773" s="5">
        <v>5.5</v>
      </c>
      <c r="X4773" s="7">
        <v>5.5629999999999997</v>
      </c>
      <c r="Y4773" s="7">
        <v>6.125</v>
      </c>
      <c r="Z4773" s="7">
        <v>6.125</v>
      </c>
      <c r="AA4773" s="6">
        <v>19.41</v>
      </c>
      <c r="AB4773" s="2" t="s">
        <v>86</v>
      </c>
      <c r="AC4773" s="2"/>
    </row>
    <row r="4774" spans="1:29" ht="117" x14ac:dyDescent="0.15">
      <c r="A4774" s="3">
        <f>DATE(1999,7,5)</f>
        <v>36346</v>
      </c>
      <c r="B4774" s="3">
        <f>DATE(1999,8,11)</f>
        <v>36383</v>
      </c>
      <c r="C4774" s="2" t="s">
        <v>95</v>
      </c>
      <c r="D4774" s="2" t="s">
        <v>5136</v>
      </c>
      <c r="E4774" s="2" t="s">
        <v>5137</v>
      </c>
      <c r="F4774" s="4">
        <v>5499</v>
      </c>
      <c r="G4774" s="2" t="s">
        <v>1461</v>
      </c>
      <c r="H4774" s="2" t="s">
        <v>34</v>
      </c>
      <c r="I4774" s="2" t="s">
        <v>14812</v>
      </c>
      <c r="J4774" s="2" t="s">
        <v>14813</v>
      </c>
      <c r="K4774" s="2" t="s">
        <v>577</v>
      </c>
      <c r="L4774" s="2" t="s">
        <v>2105</v>
      </c>
      <c r="M4774" s="2"/>
      <c r="N4774" s="2"/>
      <c r="O4774" s="2"/>
      <c r="P4774" s="2" t="s">
        <v>14814</v>
      </c>
      <c r="Q4774" s="6">
        <v>100</v>
      </c>
      <c r="R4774" s="6">
        <v>25</v>
      </c>
      <c r="S4774" s="5">
        <v>91</v>
      </c>
      <c r="T4774" s="7">
        <v>252.084</v>
      </c>
      <c r="U4774" s="5">
        <v>1.6</v>
      </c>
      <c r="V4774" s="6">
        <v>1.18</v>
      </c>
      <c r="W4774" s="7">
        <v>21.969000000000001</v>
      </c>
      <c r="X4774" s="7">
        <v>22.875</v>
      </c>
      <c r="Y4774" s="7">
        <v>22.875</v>
      </c>
      <c r="Z4774" s="7">
        <v>24.562999999999999</v>
      </c>
      <c r="AA4774" s="6">
        <v>67.89</v>
      </c>
      <c r="AB4774" s="7">
        <v>13.090999999999999</v>
      </c>
      <c r="AC4774" s="6">
        <v>70.510000000000005</v>
      </c>
    </row>
    <row r="4775" spans="1:29" ht="130" x14ac:dyDescent="0.15">
      <c r="A4775" s="3">
        <f>DATE(1999,7,6)</f>
        <v>36347</v>
      </c>
      <c r="B4775" s="3">
        <f>DATE(1999,8,20)</f>
        <v>36392</v>
      </c>
      <c r="C4775" s="2" t="s">
        <v>95</v>
      </c>
      <c r="D4775" s="2" t="s">
        <v>9219</v>
      </c>
      <c r="E4775" s="2" t="s">
        <v>9220</v>
      </c>
      <c r="F4775" s="4">
        <v>3585</v>
      </c>
      <c r="G4775" s="2" t="s">
        <v>300</v>
      </c>
      <c r="H4775" s="2" t="s">
        <v>34</v>
      </c>
      <c r="I4775" s="2" t="s">
        <v>14815</v>
      </c>
      <c r="J4775" s="2" t="s">
        <v>14816</v>
      </c>
      <c r="K4775" s="2" t="s">
        <v>300</v>
      </c>
      <c r="L4775" s="2" t="s">
        <v>303</v>
      </c>
      <c r="M4775" s="2"/>
      <c r="N4775" s="2"/>
      <c r="O4775" s="2"/>
      <c r="P4775" s="2" t="s">
        <v>14817</v>
      </c>
      <c r="Q4775" s="6">
        <v>100</v>
      </c>
      <c r="R4775" s="6">
        <v>33</v>
      </c>
      <c r="S4775" s="5">
        <v>18.899999999999999</v>
      </c>
      <c r="T4775" s="7">
        <v>83.254999999999995</v>
      </c>
      <c r="U4775" s="5">
        <v>15</v>
      </c>
      <c r="V4775" s="6">
        <v>1.76</v>
      </c>
      <c r="W4775" s="7">
        <v>22.187999999999999</v>
      </c>
      <c r="X4775" s="7">
        <v>32.625</v>
      </c>
      <c r="Y4775" s="7">
        <v>32.563000000000002</v>
      </c>
      <c r="Z4775" s="7">
        <v>32.563000000000002</v>
      </c>
      <c r="AA4775" s="6">
        <v>10.63</v>
      </c>
      <c r="AB4775" s="7">
        <v>10.971</v>
      </c>
      <c r="AC4775" s="2"/>
    </row>
    <row r="4776" spans="1:29" ht="91" x14ac:dyDescent="0.15">
      <c r="A4776" s="3">
        <f>DATE(1999,7,7)</f>
        <v>36348</v>
      </c>
      <c r="B4776" s="3">
        <f>DATE(1999,8,31)</f>
        <v>36403</v>
      </c>
      <c r="C4776" s="2" t="s">
        <v>95</v>
      </c>
      <c r="D4776" s="2" t="s">
        <v>14818</v>
      </c>
      <c r="E4776" s="2" t="s">
        <v>14819</v>
      </c>
      <c r="F4776" s="4">
        <v>7373</v>
      </c>
      <c r="G4776" s="2" t="s">
        <v>223</v>
      </c>
      <c r="H4776" s="2" t="s">
        <v>34</v>
      </c>
      <c r="I4776" s="2" t="s">
        <v>14820</v>
      </c>
      <c r="J4776" s="2" t="s">
        <v>14821</v>
      </c>
      <c r="K4776" s="2" t="s">
        <v>137</v>
      </c>
      <c r="L4776" s="2" t="s">
        <v>34</v>
      </c>
      <c r="M4776" s="2"/>
      <c r="N4776" s="2"/>
      <c r="O4776" s="2"/>
      <c r="P4776" s="2" t="s">
        <v>14822</v>
      </c>
      <c r="Q4776" s="6">
        <v>100</v>
      </c>
      <c r="R4776" s="6">
        <v>10.5</v>
      </c>
      <c r="S4776" s="5">
        <v>-5.0999999999999996</v>
      </c>
      <c r="T4776" s="7">
        <v>3.4550000000000001</v>
      </c>
      <c r="U4776" s="5">
        <v>7</v>
      </c>
      <c r="V4776" s="6">
        <v>-0.78</v>
      </c>
      <c r="W4776" s="7">
        <v>3.3130000000000002</v>
      </c>
      <c r="X4776" s="7">
        <v>5.0309999999999997</v>
      </c>
      <c r="Y4776" s="7">
        <v>9.5630000000000006</v>
      </c>
      <c r="Z4776" s="7">
        <v>9.8130000000000006</v>
      </c>
      <c r="AA4776" s="6">
        <v>6.46</v>
      </c>
      <c r="AB4776" s="2" t="s">
        <v>86</v>
      </c>
      <c r="AC4776" s="2"/>
    </row>
    <row r="4777" spans="1:29" ht="78" x14ac:dyDescent="0.15">
      <c r="A4777" s="3">
        <f>DATE(1999,7,8)</f>
        <v>36349</v>
      </c>
      <c r="B4777" s="3">
        <f>DATE(1999,11,2)</f>
        <v>36466</v>
      </c>
      <c r="C4777" s="2" t="s">
        <v>95</v>
      </c>
      <c r="D4777" s="2" t="s">
        <v>14823</v>
      </c>
      <c r="E4777" s="2" t="s">
        <v>3484</v>
      </c>
      <c r="F4777" s="4">
        <v>6311</v>
      </c>
      <c r="G4777" s="2" t="s">
        <v>125</v>
      </c>
      <c r="H4777" s="2" t="s">
        <v>34</v>
      </c>
      <c r="I4777" s="2" t="s">
        <v>5498</v>
      </c>
      <c r="J4777" s="2" t="s">
        <v>854</v>
      </c>
      <c r="K4777" s="2" t="s">
        <v>125</v>
      </c>
      <c r="L4777" s="2" t="s">
        <v>34</v>
      </c>
      <c r="M4777" s="12">
        <v>30867.058000000001</v>
      </c>
      <c r="N4777" s="7">
        <v>36.813000000000002</v>
      </c>
      <c r="O4777" s="7">
        <v>37.313000000000002</v>
      </c>
      <c r="P4777" s="2" t="s">
        <v>14824</v>
      </c>
      <c r="Q4777" s="6">
        <v>100</v>
      </c>
      <c r="R4777" s="6">
        <v>32.25</v>
      </c>
      <c r="S4777" s="5">
        <v>39.4</v>
      </c>
      <c r="T4777" s="2"/>
      <c r="U4777" s="5">
        <v>9.6</v>
      </c>
      <c r="V4777" s="6">
        <v>1.37</v>
      </c>
      <c r="W4777" s="6">
        <v>25.62</v>
      </c>
      <c r="X4777" s="6">
        <v>26.62</v>
      </c>
      <c r="Y4777" s="7">
        <v>26.937999999999999</v>
      </c>
      <c r="Z4777" s="7">
        <v>31.062999999999999</v>
      </c>
      <c r="AA4777" s="6">
        <v>27.9</v>
      </c>
      <c r="AB4777" s="7">
        <v>15.682</v>
      </c>
      <c r="AC4777" s="5">
        <v>254</v>
      </c>
    </row>
    <row r="4778" spans="1:29" ht="104" x14ac:dyDescent="0.15">
      <c r="A4778" s="3">
        <f>DATE(1999,7,8)</f>
        <v>36349</v>
      </c>
      <c r="B4778" s="3">
        <f>DATE(1999,11,19)</f>
        <v>36483</v>
      </c>
      <c r="C4778" s="2" t="s">
        <v>95</v>
      </c>
      <c r="D4778" s="2" t="s">
        <v>14825</v>
      </c>
      <c r="E4778" s="2" t="s">
        <v>389</v>
      </c>
      <c r="F4778" s="4">
        <v>6036</v>
      </c>
      <c r="G4778" s="2" t="s">
        <v>33</v>
      </c>
      <c r="H4778" s="2" t="s">
        <v>34</v>
      </c>
      <c r="I4778" s="2" t="s">
        <v>14826</v>
      </c>
      <c r="J4778" s="2" t="s">
        <v>36</v>
      </c>
      <c r="K4778" s="2" t="s">
        <v>37</v>
      </c>
      <c r="L4778" s="2" t="s">
        <v>34</v>
      </c>
      <c r="M4778" s="7">
        <v>121.023</v>
      </c>
      <c r="N4778" s="4">
        <v>33</v>
      </c>
      <c r="O4778" s="6">
        <v>33.25</v>
      </c>
      <c r="P4778" s="2" t="s">
        <v>14827</v>
      </c>
      <c r="Q4778" s="6">
        <v>100</v>
      </c>
      <c r="R4778" s="6">
        <v>18.28</v>
      </c>
      <c r="S4778" s="5">
        <v>3.1</v>
      </c>
      <c r="T4778" s="7">
        <v>5.0250000000000004</v>
      </c>
      <c r="U4778" s="5">
        <v>13.3</v>
      </c>
      <c r="V4778" s="6">
        <v>0.72</v>
      </c>
      <c r="W4778" s="4">
        <v>13</v>
      </c>
      <c r="X4778" s="6">
        <v>13.75</v>
      </c>
      <c r="Y4778" s="4">
        <v>16</v>
      </c>
      <c r="Z4778" s="7">
        <v>16.437999999999999</v>
      </c>
      <c r="AA4778" s="6">
        <v>4.2699999999999996</v>
      </c>
      <c r="AB4778" s="7">
        <v>29.643999999999998</v>
      </c>
      <c r="AC4778" s="2"/>
    </row>
    <row r="4779" spans="1:29" ht="65" x14ac:dyDescent="0.15">
      <c r="A4779" s="3">
        <f>DATE(1999,7,8)</f>
        <v>36349</v>
      </c>
      <c r="B4779" s="3">
        <f>DATE(1999,11,19)</f>
        <v>36483</v>
      </c>
      <c r="C4779" s="2" t="s">
        <v>95</v>
      </c>
      <c r="D4779" s="2" t="s">
        <v>14828</v>
      </c>
      <c r="E4779" s="2" t="s">
        <v>9190</v>
      </c>
      <c r="F4779" s="4">
        <v>3841</v>
      </c>
      <c r="G4779" s="2" t="s">
        <v>226</v>
      </c>
      <c r="H4779" s="2" t="s">
        <v>34</v>
      </c>
      <c r="I4779" s="2" t="s">
        <v>7700</v>
      </c>
      <c r="J4779" s="2" t="s">
        <v>7701</v>
      </c>
      <c r="K4779" s="2" t="s">
        <v>130</v>
      </c>
      <c r="L4779" s="2" t="s">
        <v>34</v>
      </c>
      <c r="M4779" s="12">
        <v>66327.534</v>
      </c>
      <c r="N4779" s="7">
        <v>42.875</v>
      </c>
      <c r="O4779" s="7">
        <v>42.188000000000002</v>
      </c>
      <c r="P4779" s="2" t="s">
        <v>14829</v>
      </c>
      <c r="Q4779" s="6">
        <v>100</v>
      </c>
      <c r="R4779" s="6">
        <v>54</v>
      </c>
      <c r="S4779" s="5">
        <v>5.5</v>
      </c>
      <c r="T4779" s="6">
        <v>5.77</v>
      </c>
      <c r="U4779" s="5">
        <v>4.0999999999999996</v>
      </c>
      <c r="V4779" s="6">
        <v>0.47</v>
      </c>
      <c r="W4779" s="6">
        <v>49.37</v>
      </c>
      <c r="X4779" s="4">
        <v>48</v>
      </c>
      <c r="Y4779" s="5">
        <v>39.5</v>
      </c>
      <c r="Z4779" s="6">
        <v>49.25</v>
      </c>
      <c r="AA4779" s="6">
        <v>11.07</v>
      </c>
      <c r="AB4779" s="7">
        <v>150.13399999999999</v>
      </c>
      <c r="AC4779" s="6">
        <v>401.75</v>
      </c>
    </row>
    <row r="4780" spans="1:29" ht="104" x14ac:dyDescent="0.15">
      <c r="A4780" s="3">
        <f>DATE(1999,7,9)</f>
        <v>36350</v>
      </c>
      <c r="B4780" s="3">
        <f>DATE(1999,11,19)</f>
        <v>36483</v>
      </c>
      <c r="C4780" s="2" t="s">
        <v>95</v>
      </c>
      <c r="D4780" s="2" t="s">
        <v>14830</v>
      </c>
      <c r="E4780" s="2" t="s">
        <v>1181</v>
      </c>
      <c r="F4780" s="4">
        <v>6021</v>
      </c>
      <c r="G4780" s="2" t="s">
        <v>37</v>
      </c>
      <c r="H4780" s="2" t="s">
        <v>34</v>
      </c>
      <c r="I4780" s="2" t="s">
        <v>1963</v>
      </c>
      <c r="J4780" s="2" t="s">
        <v>36</v>
      </c>
      <c r="K4780" s="2" t="s">
        <v>37</v>
      </c>
      <c r="L4780" s="2" t="s">
        <v>34</v>
      </c>
      <c r="M4780" s="12">
        <v>17481.171999999999</v>
      </c>
      <c r="N4780" s="7">
        <v>66.968999999999994</v>
      </c>
      <c r="O4780" s="7">
        <v>66.563000000000002</v>
      </c>
      <c r="P4780" s="2" t="s">
        <v>14831</v>
      </c>
      <c r="Q4780" s="6">
        <v>100</v>
      </c>
      <c r="R4780" s="6">
        <v>73</v>
      </c>
      <c r="S4780" s="5">
        <v>9</v>
      </c>
      <c r="T4780" s="2"/>
      <c r="U4780" s="5">
        <v>17.600000000000001</v>
      </c>
      <c r="V4780" s="6">
        <v>2.9</v>
      </c>
      <c r="W4780" s="7">
        <v>40.375</v>
      </c>
      <c r="X4780" s="4">
        <v>41</v>
      </c>
      <c r="Y4780" s="4">
        <v>48</v>
      </c>
      <c r="Z4780" s="7">
        <v>69.875</v>
      </c>
      <c r="AA4780" s="6">
        <v>2.98</v>
      </c>
      <c r="AB4780" s="7">
        <v>18.966999999999999</v>
      </c>
      <c r="AC4780" s="2"/>
    </row>
    <row r="4781" spans="1:29" ht="169" x14ac:dyDescent="0.15">
      <c r="A4781" s="3">
        <f t="shared" ref="A4781:A4789" si="100">DATE(1999,7,12)</f>
        <v>36353</v>
      </c>
      <c r="B4781" s="3">
        <f>DATE(2000,1,6)</f>
        <v>36531</v>
      </c>
      <c r="C4781" s="2" t="s">
        <v>95</v>
      </c>
      <c r="D4781" s="2" t="s">
        <v>11635</v>
      </c>
      <c r="E4781" s="2" t="s">
        <v>429</v>
      </c>
      <c r="F4781" s="4">
        <v>3291</v>
      </c>
      <c r="G4781" s="2" t="s">
        <v>237</v>
      </c>
      <c r="H4781" s="2" t="s">
        <v>34</v>
      </c>
      <c r="I4781" s="2" t="s">
        <v>14832</v>
      </c>
      <c r="J4781" s="2" t="s">
        <v>14833</v>
      </c>
      <c r="K4781" s="2" t="s">
        <v>237</v>
      </c>
      <c r="L4781" s="2" t="s">
        <v>14834</v>
      </c>
      <c r="M4781" s="2"/>
      <c r="N4781" s="2"/>
      <c r="O4781" s="2"/>
      <c r="P4781" s="2" t="s">
        <v>14835</v>
      </c>
      <c r="Q4781" s="6">
        <v>100</v>
      </c>
      <c r="R4781" s="6">
        <v>13</v>
      </c>
      <c r="S4781" s="5">
        <v>-43.3</v>
      </c>
      <c r="T4781" s="5">
        <v>-31.2</v>
      </c>
      <c r="U4781" s="5">
        <v>10.4</v>
      </c>
      <c r="V4781" s="7">
        <v>-1.972</v>
      </c>
      <c r="W4781" s="6">
        <v>12.25</v>
      </c>
      <c r="X4781" s="5">
        <v>12.5</v>
      </c>
      <c r="Y4781" s="4">
        <v>12</v>
      </c>
      <c r="Z4781" s="7">
        <v>12.125</v>
      </c>
      <c r="AA4781" s="6">
        <v>22.3</v>
      </c>
      <c r="AB4781" s="2" t="s">
        <v>86</v>
      </c>
      <c r="AC4781" s="6">
        <v>70.38</v>
      </c>
    </row>
    <row r="4782" spans="1:29" ht="39" x14ac:dyDescent="0.15">
      <c r="A4782" s="3">
        <f t="shared" si="100"/>
        <v>36353</v>
      </c>
      <c r="B4782" s="3">
        <f>DATE(1999,12,17)</f>
        <v>36511</v>
      </c>
      <c r="C4782" s="2" t="s">
        <v>95</v>
      </c>
      <c r="D4782" s="2" t="s">
        <v>14836</v>
      </c>
      <c r="E4782" s="2" t="s">
        <v>14837</v>
      </c>
      <c r="F4782" s="4">
        <v>2361</v>
      </c>
      <c r="G4782" s="2" t="s">
        <v>708</v>
      </c>
      <c r="H4782" s="2" t="s">
        <v>34</v>
      </c>
      <c r="I4782" s="2" t="s">
        <v>14838</v>
      </c>
      <c r="J4782" s="2" t="s">
        <v>244</v>
      </c>
      <c r="K4782" s="2" t="s">
        <v>53</v>
      </c>
      <c r="L4782" s="2" t="s">
        <v>34</v>
      </c>
      <c r="M4782" s="2"/>
      <c r="N4782" s="2"/>
      <c r="O4782" s="2"/>
      <c r="P4782" s="2" t="s">
        <v>14839</v>
      </c>
      <c r="Q4782" s="6">
        <v>100</v>
      </c>
      <c r="R4782" s="6">
        <v>11.5</v>
      </c>
      <c r="S4782" s="5">
        <v>9.1</v>
      </c>
      <c r="T4782" s="7">
        <v>20.445</v>
      </c>
      <c r="U4782" s="5">
        <v>3.7</v>
      </c>
      <c r="V4782" s="6">
        <v>0.87</v>
      </c>
      <c r="W4782" s="7">
        <v>8.9380000000000006</v>
      </c>
      <c r="X4782" s="5">
        <v>10.5</v>
      </c>
      <c r="Y4782" s="7">
        <v>10.688000000000001</v>
      </c>
      <c r="Z4782" s="7">
        <v>10.688000000000001</v>
      </c>
      <c r="AA4782" s="6">
        <v>10.38</v>
      </c>
      <c r="AB4782" s="7">
        <v>6.6040000000000001</v>
      </c>
      <c r="AC4782" s="2"/>
    </row>
    <row r="4783" spans="1:29" ht="169" x14ac:dyDescent="0.15">
      <c r="A4783" s="3">
        <f t="shared" si="100"/>
        <v>36353</v>
      </c>
      <c r="B4783" s="3">
        <f>DATE(1999,11,18)</f>
        <v>36482</v>
      </c>
      <c r="C4783" s="2" t="s">
        <v>95</v>
      </c>
      <c r="D4783" s="2" t="s">
        <v>12370</v>
      </c>
      <c r="E4783" s="2" t="s">
        <v>12371</v>
      </c>
      <c r="F4783" s="4">
        <v>7375</v>
      </c>
      <c r="G4783" s="2" t="s">
        <v>223</v>
      </c>
      <c r="H4783" s="2" t="s">
        <v>34</v>
      </c>
      <c r="I4783" s="2" t="s">
        <v>1758</v>
      </c>
      <c r="J4783" s="2" t="s">
        <v>1759</v>
      </c>
      <c r="K4783" s="2" t="s">
        <v>364</v>
      </c>
      <c r="L4783" s="2" t="s">
        <v>34</v>
      </c>
      <c r="M4783" s="10">
        <v>15220.47</v>
      </c>
      <c r="N4783" s="7">
        <v>27.812999999999999</v>
      </c>
      <c r="O4783" s="7">
        <v>27.562999999999999</v>
      </c>
      <c r="P4783" s="2" t="s">
        <v>14840</v>
      </c>
      <c r="Q4783" s="6">
        <v>60.69</v>
      </c>
      <c r="R4783" s="6">
        <v>40.75</v>
      </c>
      <c r="S4783" s="5">
        <v>-10.5</v>
      </c>
      <c r="T4783" s="7">
        <v>-7.633</v>
      </c>
      <c r="U4783" s="5">
        <v>2.1</v>
      </c>
      <c r="V4783" s="6">
        <v>-0.34</v>
      </c>
      <c r="W4783" s="7">
        <v>39.563000000000002</v>
      </c>
      <c r="X4783" s="4">
        <v>43</v>
      </c>
      <c r="Y4783" s="7">
        <v>48.625</v>
      </c>
      <c r="Z4783" s="7">
        <v>46.438000000000002</v>
      </c>
      <c r="AA4783" s="6">
        <v>61.79</v>
      </c>
      <c r="AB4783" s="2" t="s">
        <v>86</v>
      </c>
      <c r="AC4783" s="5">
        <v>851</v>
      </c>
    </row>
    <row r="4784" spans="1:29" ht="104" x14ac:dyDescent="0.15">
      <c r="A4784" s="3">
        <f t="shared" si="100"/>
        <v>36353</v>
      </c>
      <c r="B4784" s="3">
        <f>DATE(1999,10,26)</f>
        <v>36459</v>
      </c>
      <c r="C4784" s="2" t="s">
        <v>95</v>
      </c>
      <c r="D4784" s="2" t="s">
        <v>14841</v>
      </c>
      <c r="E4784" s="2" t="s">
        <v>14842</v>
      </c>
      <c r="F4784" s="4">
        <v>7372</v>
      </c>
      <c r="G4784" s="2" t="s">
        <v>551</v>
      </c>
      <c r="H4784" s="2" t="s">
        <v>34</v>
      </c>
      <c r="I4784" s="2" t="s">
        <v>14645</v>
      </c>
      <c r="J4784" s="2" t="s">
        <v>14646</v>
      </c>
      <c r="K4784" s="2" t="s">
        <v>223</v>
      </c>
      <c r="L4784" s="2" t="s">
        <v>34</v>
      </c>
      <c r="M4784" s="10">
        <v>2800.29</v>
      </c>
      <c r="N4784" s="4">
        <v>94</v>
      </c>
      <c r="O4784" s="5">
        <v>96.5</v>
      </c>
      <c r="P4784" s="2" t="s">
        <v>14843</v>
      </c>
      <c r="Q4784" s="6">
        <v>100</v>
      </c>
      <c r="R4784" s="6">
        <v>26.32</v>
      </c>
      <c r="S4784" s="5">
        <v>-11.3</v>
      </c>
      <c r="T4784" s="7">
        <v>-11.315</v>
      </c>
      <c r="U4784" s="5">
        <v>7.4</v>
      </c>
      <c r="V4784" s="6">
        <v>-0.24</v>
      </c>
      <c r="W4784" s="6">
        <v>25.25</v>
      </c>
      <c r="X4784" s="7">
        <v>29.625</v>
      </c>
      <c r="Y4784" s="5">
        <v>27.5</v>
      </c>
      <c r="Z4784" s="5">
        <v>25.5</v>
      </c>
      <c r="AA4784" s="6">
        <v>17.78</v>
      </c>
      <c r="AB4784" s="2" t="s">
        <v>86</v>
      </c>
      <c r="AC4784" s="6">
        <v>372.99</v>
      </c>
    </row>
    <row r="4785" spans="1:29" ht="91" x14ac:dyDescent="0.15">
      <c r="A4785" s="3">
        <f t="shared" si="100"/>
        <v>36353</v>
      </c>
      <c r="B4785" s="3">
        <f>DATE(1999,11,16)</f>
        <v>36480</v>
      </c>
      <c r="C4785" s="2" t="s">
        <v>95</v>
      </c>
      <c r="D4785" s="2" t="s">
        <v>5488</v>
      </c>
      <c r="E4785" s="2" t="s">
        <v>3373</v>
      </c>
      <c r="F4785" s="4">
        <v>6351</v>
      </c>
      <c r="G4785" s="2" t="s">
        <v>125</v>
      </c>
      <c r="H4785" s="2" t="s">
        <v>34</v>
      </c>
      <c r="I4785" s="2" t="s">
        <v>14844</v>
      </c>
      <c r="J4785" s="2" t="s">
        <v>4015</v>
      </c>
      <c r="K4785" s="2" t="s">
        <v>125</v>
      </c>
      <c r="L4785" s="2" t="s">
        <v>303</v>
      </c>
      <c r="M4785" s="2"/>
      <c r="N4785" s="2"/>
      <c r="O4785" s="2"/>
      <c r="P4785" s="2" t="s">
        <v>14845</v>
      </c>
      <c r="Q4785" s="6">
        <v>100</v>
      </c>
      <c r="R4785" s="6">
        <v>50</v>
      </c>
      <c r="S4785" s="5">
        <v>-22.4</v>
      </c>
      <c r="T4785" s="2"/>
      <c r="U4785" s="5">
        <v>22.4</v>
      </c>
      <c r="V4785" s="6">
        <v>-0.84</v>
      </c>
      <c r="W4785" s="7">
        <v>38.313000000000002</v>
      </c>
      <c r="X4785" s="6">
        <v>40.75</v>
      </c>
      <c r="Y4785" s="7">
        <v>47.313000000000002</v>
      </c>
      <c r="Z4785" s="7">
        <v>47.313000000000002</v>
      </c>
      <c r="AA4785" s="6">
        <v>27.2</v>
      </c>
      <c r="AB4785" s="2" t="s">
        <v>86</v>
      </c>
      <c r="AC4785" s="10">
        <v>1038.3499999999999</v>
      </c>
    </row>
    <row r="4786" spans="1:29" ht="117" x14ac:dyDescent="0.15">
      <c r="A4786" s="3">
        <f t="shared" si="100"/>
        <v>36353</v>
      </c>
      <c r="B4786" s="3">
        <f>DATE(1999,8,13)</f>
        <v>36385</v>
      </c>
      <c r="C4786" s="2" t="s">
        <v>95</v>
      </c>
      <c r="D4786" s="2" t="s">
        <v>14846</v>
      </c>
      <c r="E4786" s="2" t="s">
        <v>14847</v>
      </c>
      <c r="F4786" s="4">
        <v>7011</v>
      </c>
      <c r="G4786" s="2" t="s">
        <v>269</v>
      </c>
      <c r="H4786" s="2" t="s">
        <v>34</v>
      </c>
      <c r="I4786" s="2" t="s">
        <v>977</v>
      </c>
      <c r="J4786" s="2" t="s">
        <v>978</v>
      </c>
      <c r="K4786" s="2" t="s">
        <v>269</v>
      </c>
      <c r="L4786" s="2" t="s">
        <v>133</v>
      </c>
      <c r="M4786" s="2"/>
      <c r="N4786" s="2"/>
      <c r="O4786" s="2"/>
      <c r="P4786" s="2" t="s">
        <v>14848</v>
      </c>
      <c r="Q4786" s="6">
        <v>100</v>
      </c>
      <c r="R4786" s="6">
        <v>22.75</v>
      </c>
      <c r="S4786" s="5">
        <v>35.1</v>
      </c>
      <c r="T4786" s="6">
        <v>146.57</v>
      </c>
      <c r="U4786" s="5">
        <v>13.5</v>
      </c>
      <c r="V4786" s="6">
        <v>1.27</v>
      </c>
      <c r="W4786" s="4">
        <v>18</v>
      </c>
      <c r="X4786" s="7">
        <v>18.312999999999999</v>
      </c>
      <c r="Y4786" s="7">
        <v>22.562999999999999</v>
      </c>
      <c r="Z4786" s="5">
        <v>22.5</v>
      </c>
      <c r="AA4786" s="6">
        <v>26.94</v>
      </c>
      <c r="AB4786" s="7">
        <v>10.648999999999999</v>
      </c>
      <c r="AC4786" s="10">
        <v>1399.36</v>
      </c>
    </row>
    <row r="4787" spans="1:29" ht="78" x14ac:dyDescent="0.15">
      <c r="A4787" s="3">
        <f t="shared" si="100"/>
        <v>36353</v>
      </c>
      <c r="B4787" s="3">
        <f>DATE(1999,9,24)</f>
        <v>36427</v>
      </c>
      <c r="C4787" s="2" t="s">
        <v>95</v>
      </c>
      <c r="D4787" s="2" t="s">
        <v>14849</v>
      </c>
      <c r="E4787" s="2" t="s">
        <v>851</v>
      </c>
      <c r="F4787" s="4">
        <v>3571</v>
      </c>
      <c r="G4787" s="2" t="s">
        <v>50</v>
      </c>
      <c r="H4787" s="2" t="s">
        <v>34</v>
      </c>
      <c r="I4787" s="2" t="s">
        <v>5443</v>
      </c>
      <c r="J4787" s="2" t="s">
        <v>5444</v>
      </c>
      <c r="K4787" s="2" t="s">
        <v>50</v>
      </c>
      <c r="L4787" s="2" t="s">
        <v>34</v>
      </c>
      <c r="M4787" s="12">
        <v>209613.45800000001</v>
      </c>
      <c r="N4787" s="7">
        <v>137.81299999999999</v>
      </c>
      <c r="O4787" s="7">
        <v>137.875</v>
      </c>
      <c r="P4787" s="2" t="s">
        <v>14850</v>
      </c>
      <c r="Q4787" s="6">
        <v>100</v>
      </c>
      <c r="R4787" s="6">
        <v>18</v>
      </c>
      <c r="S4787" s="5">
        <v>-13.1</v>
      </c>
      <c r="T4787" s="7">
        <v>63.222999999999999</v>
      </c>
      <c r="U4787" s="5">
        <v>12.2</v>
      </c>
      <c r="V4787" s="6">
        <v>-0.31</v>
      </c>
      <c r="W4787" s="6">
        <v>16.87</v>
      </c>
      <c r="X4787" s="6">
        <v>17.43</v>
      </c>
      <c r="Y4787" s="7">
        <v>16.875</v>
      </c>
      <c r="Z4787" s="7">
        <v>16.875</v>
      </c>
      <c r="AA4787" s="6">
        <v>41.97</v>
      </c>
      <c r="AB4787" s="2" t="s">
        <v>86</v>
      </c>
      <c r="AC4787" s="8">
        <v>7241</v>
      </c>
    </row>
    <row r="4788" spans="1:29" ht="208" x14ac:dyDescent="0.15">
      <c r="A4788" s="3">
        <f t="shared" si="100"/>
        <v>36353</v>
      </c>
      <c r="B4788" s="3">
        <f>DATE(2000,5,3)</f>
        <v>36649</v>
      </c>
      <c r="C4788" s="2" t="s">
        <v>95</v>
      </c>
      <c r="D4788" s="2" t="s">
        <v>14851</v>
      </c>
      <c r="E4788" s="2" t="s">
        <v>14852</v>
      </c>
      <c r="F4788" s="4">
        <v>3823</v>
      </c>
      <c r="G4788" s="2" t="s">
        <v>226</v>
      </c>
      <c r="H4788" s="2" t="s">
        <v>34</v>
      </c>
      <c r="I4788" s="2" t="s">
        <v>14853</v>
      </c>
      <c r="J4788" s="2" t="s">
        <v>302</v>
      </c>
      <c r="K4788" s="2" t="s">
        <v>53</v>
      </c>
      <c r="L4788" s="2" t="s">
        <v>34</v>
      </c>
      <c r="M4788" s="2"/>
      <c r="N4788" s="2"/>
      <c r="O4788" s="2"/>
      <c r="P4788" s="2" t="s">
        <v>14854</v>
      </c>
      <c r="Q4788" s="6">
        <v>100</v>
      </c>
      <c r="R4788" s="6">
        <v>15.25</v>
      </c>
      <c r="S4788" s="5">
        <v>7.8</v>
      </c>
      <c r="T4788" s="7">
        <v>13.926</v>
      </c>
      <c r="U4788" s="5">
        <v>4.4000000000000004</v>
      </c>
      <c r="V4788" s="6">
        <v>0.68</v>
      </c>
      <c r="W4788" s="5">
        <v>10.5</v>
      </c>
      <c r="X4788" s="9">
        <v>10.6875</v>
      </c>
      <c r="Y4788" s="7">
        <v>10.375</v>
      </c>
      <c r="Z4788" s="9">
        <v>10.5625</v>
      </c>
      <c r="AA4788" s="6">
        <v>11.25</v>
      </c>
      <c r="AB4788" s="7">
        <v>14.574</v>
      </c>
      <c r="AC4788" s="2"/>
    </row>
    <row r="4789" spans="1:29" ht="234" x14ac:dyDescent="0.15">
      <c r="A4789" s="3">
        <f t="shared" si="100"/>
        <v>36353</v>
      </c>
      <c r="B4789" s="3">
        <f>DATE(1999,10,8)</f>
        <v>36441</v>
      </c>
      <c r="C4789" s="2" t="s">
        <v>95</v>
      </c>
      <c r="D4789" s="2" t="s">
        <v>14855</v>
      </c>
      <c r="E4789" s="2" t="s">
        <v>8370</v>
      </c>
      <c r="F4789" s="4">
        <v>2752</v>
      </c>
      <c r="G4789" s="2" t="s">
        <v>186</v>
      </c>
      <c r="H4789" s="2" t="s">
        <v>34</v>
      </c>
      <c r="I4789" s="2" t="s">
        <v>14856</v>
      </c>
      <c r="J4789" s="2" t="s">
        <v>185</v>
      </c>
      <c r="K4789" s="2" t="s">
        <v>186</v>
      </c>
      <c r="L4789" s="2" t="s">
        <v>902</v>
      </c>
      <c r="M4789" s="2"/>
      <c r="N4789" s="2"/>
      <c r="O4789" s="2"/>
      <c r="P4789" s="2" t="s">
        <v>14857</v>
      </c>
      <c r="Q4789" s="6">
        <v>100</v>
      </c>
      <c r="R4789" s="6">
        <v>35.69</v>
      </c>
      <c r="S4789" s="5">
        <v>38.6</v>
      </c>
      <c r="T4789" s="7">
        <v>372.47199999999998</v>
      </c>
      <c r="U4789" s="5">
        <v>15.4</v>
      </c>
      <c r="V4789" s="6">
        <v>0.93</v>
      </c>
      <c r="W4789" s="6">
        <v>28.43</v>
      </c>
      <c r="X4789" s="6">
        <v>29.81</v>
      </c>
      <c r="Y4789" s="4">
        <v>35</v>
      </c>
      <c r="Z4789" s="7">
        <v>35.563000000000002</v>
      </c>
      <c r="AA4789" s="6">
        <v>38.090000000000003</v>
      </c>
      <c r="AB4789" s="7">
        <v>12.565</v>
      </c>
      <c r="AC4789" s="6">
        <v>0.31</v>
      </c>
    </row>
    <row r="4790" spans="1:29" ht="169" x14ac:dyDescent="0.15">
      <c r="A4790" s="3">
        <f t="shared" ref="A4790:A4795" si="101">DATE(1999,7,13)</f>
        <v>36354</v>
      </c>
      <c r="B4790" s="2"/>
      <c r="C4790" s="2" t="s">
        <v>30</v>
      </c>
      <c r="D4790" s="2" t="s">
        <v>12980</v>
      </c>
      <c r="E4790" s="2" t="s">
        <v>14858</v>
      </c>
      <c r="F4790" s="4">
        <v>5735</v>
      </c>
      <c r="G4790" s="2" t="s">
        <v>1227</v>
      </c>
      <c r="H4790" s="2" t="s">
        <v>34</v>
      </c>
      <c r="I4790" s="2" t="s">
        <v>14859</v>
      </c>
      <c r="J4790" s="2" t="s">
        <v>14860</v>
      </c>
      <c r="K4790" s="2" t="s">
        <v>73</v>
      </c>
      <c r="L4790" s="2" t="s">
        <v>34</v>
      </c>
      <c r="M4790" s="2"/>
      <c r="N4790" s="9">
        <v>20.3125</v>
      </c>
      <c r="O4790" s="4">
        <v>21</v>
      </c>
      <c r="P4790" s="2" t="s">
        <v>14861</v>
      </c>
      <c r="Q4790" s="2"/>
      <c r="R4790" s="2"/>
      <c r="S4790" s="5">
        <v>-76.5</v>
      </c>
      <c r="T4790" s="7">
        <v>-65.596999999999994</v>
      </c>
      <c r="U4790" s="5">
        <v>3.7</v>
      </c>
      <c r="V4790" s="6">
        <v>-3.54</v>
      </c>
      <c r="W4790" s="7">
        <v>17.062999999999999</v>
      </c>
      <c r="X4790" s="6">
        <v>22.25</v>
      </c>
      <c r="Y4790" s="9">
        <v>20.3125</v>
      </c>
      <c r="Z4790" s="4">
        <v>21</v>
      </c>
      <c r="AA4790" s="6">
        <v>30.1</v>
      </c>
      <c r="AB4790" s="2" t="s">
        <v>86</v>
      </c>
      <c r="AC4790" s="2"/>
    </row>
    <row r="4791" spans="1:29" ht="52" x14ac:dyDescent="0.15">
      <c r="A4791" s="3">
        <f t="shared" si="101"/>
        <v>36354</v>
      </c>
      <c r="B4791" s="3">
        <f>DATE(1999,9,16)</f>
        <v>36419</v>
      </c>
      <c r="C4791" s="2" t="s">
        <v>95</v>
      </c>
      <c r="D4791" s="2" t="s">
        <v>7362</v>
      </c>
      <c r="E4791" s="2" t="s">
        <v>7363</v>
      </c>
      <c r="F4791" s="4">
        <v>5112</v>
      </c>
      <c r="G4791" s="2" t="s">
        <v>593</v>
      </c>
      <c r="H4791" s="2" t="s">
        <v>34</v>
      </c>
      <c r="I4791" s="2" t="s">
        <v>11365</v>
      </c>
      <c r="J4791" s="2" t="s">
        <v>11366</v>
      </c>
      <c r="K4791" s="2" t="s">
        <v>73</v>
      </c>
      <c r="L4791" s="2" t="s">
        <v>2105</v>
      </c>
      <c r="M4791" s="2"/>
      <c r="N4791" s="2"/>
      <c r="O4791" s="2"/>
      <c r="P4791" s="2" t="s">
        <v>14862</v>
      </c>
      <c r="Q4791" s="6">
        <v>100</v>
      </c>
      <c r="R4791" s="6">
        <v>9.6999999999999993</v>
      </c>
      <c r="S4791" s="5">
        <v>1.9</v>
      </c>
      <c r="T4791" s="7">
        <v>215.76300000000001</v>
      </c>
      <c r="U4791" s="5">
        <v>3.1</v>
      </c>
      <c r="V4791" s="6">
        <v>0.02</v>
      </c>
      <c r="W4791" s="6">
        <v>7.84</v>
      </c>
      <c r="X4791" s="6">
        <v>8.56</v>
      </c>
      <c r="Y4791" s="7">
        <v>9.0310000000000006</v>
      </c>
      <c r="Z4791" s="7">
        <v>9.0310000000000006</v>
      </c>
      <c r="AA4791" s="6">
        <v>104.86</v>
      </c>
      <c r="AB4791" s="7">
        <v>17.956</v>
      </c>
      <c r="AC4791" s="6">
        <v>128.07</v>
      </c>
    </row>
    <row r="4792" spans="1:29" ht="91" x14ac:dyDescent="0.15">
      <c r="A4792" s="3">
        <f t="shared" si="101"/>
        <v>36354</v>
      </c>
      <c r="B4792" s="3">
        <f>DATE(1999,10,28)</f>
        <v>36461</v>
      </c>
      <c r="C4792" s="2" t="s">
        <v>95</v>
      </c>
      <c r="D4792" s="2" t="s">
        <v>14863</v>
      </c>
      <c r="E4792" s="2" t="s">
        <v>5102</v>
      </c>
      <c r="F4792" s="4">
        <v>7372</v>
      </c>
      <c r="G4792" s="2" t="s">
        <v>551</v>
      </c>
      <c r="H4792" s="2" t="s">
        <v>34</v>
      </c>
      <c r="I4792" s="2" t="s">
        <v>13659</v>
      </c>
      <c r="J4792" s="2" t="s">
        <v>10711</v>
      </c>
      <c r="K4792" s="2" t="s">
        <v>223</v>
      </c>
      <c r="L4792" s="2" t="s">
        <v>34</v>
      </c>
      <c r="M4792" s="10">
        <v>5030.67</v>
      </c>
      <c r="N4792" s="7">
        <v>49.938000000000002</v>
      </c>
      <c r="O4792" s="7">
        <v>48.938000000000002</v>
      </c>
      <c r="P4792" s="2" t="s">
        <v>14864</v>
      </c>
      <c r="Q4792" s="6">
        <v>100</v>
      </c>
      <c r="R4792" s="6">
        <v>23.69</v>
      </c>
      <c r="S4792" s="5">
        <v>-13.1</v>
      </c>
      <c r="T4792" s="7">
        <v>-10.308999999999999</v>
      </c>
      <c r="U4792" s="5">
        <v>-0.5</v>
      </c>
      <c r="V4792" s="6">
        <v>-1.61</v>
      </c>
      <c r="W4792" s="7">
        <v>19.937999999999999</v>
      </c>
      <c r="X4792" s="7">
        <v>22.312999999999999</v>
      </c>
      <c r="Y4792" s="4">
        <v>22</v>
      </c>
      <c r="Z4792" s="7">
        <v>21.062999999999999</v>
      </c>
      <c r="AA4792" s="6">
        <v>17.690000000000001</v>
      </c>
      <c r="AB4792" s="2" t="s">
        <v>86</v>
      </c>
      <c r="AC4792" s="5">
        <v>300.7</v>
      </c>
    </row>
    <row r="4793" spans="1:29" ht="52" x14ac:dyDescent="0.15">
      <c r="A4793" s="3">
        <f t="shared" si="101"/>
        <v>36354</v>
      </c>
      <c r="B4793" s="3">
        <f>DATE(2000,7,3)</f>
        <v>36710</v>
      </c>
      <c r="C4793" s="2" t="s">
        <v>95</v>
      </c>
      <c r="D4793" s="2" t="s">
        <v>14865</v>
      </c>
      <c r="E4793" s="2" t="s">
        <v>14866</v>
      </c>
      <c r="F4793" s="4">
        <v>6036</v>
      </c>
      <c r="G4793" s="2" t="s">
        <v>33</v>
      </c>
      <c r="H4793" s="2" t="s">
        <v>34</v>
      </c>
      <c r="I4793" s="2" t="s">
        <v>14867</v>
      </c>
      <c r="J4793" s="2" t="s">
        <v>92</v>
      </c>
      <c r="K4793" s="2" t="s">
        <v>53</v>
      </c>
      <c r="L4793" s="2" t="s">
        <v>34</v>
      </c>
      <c r="M4793" s="12">
        <v>1134.2449999999999</v>
      </c>
      <c r="N4793" s="7">
        <v>15.938000000000001</v>
      </c>
      <c r="O4793" s="4">
        <v>16</v>
      </c>
      <c r="P4793" s="2" t="s">
        <v>14868</v>
      </c>
      <c r="Q4793" s="6">
        <v>100</v>
      </c>
      <c r="R4793" s="6">
        <v>25</v>
      </c>
      <c r="S4793" s="5">
        <v>2.5</v>
      </c>
      <c r="T4793" s="7">
        <v>4.9660000000000002</v>
      </c>
      <c r="U4793" s="5">
        <v>14.9</v>
      </c>
      <c r="V4793" s="6">
        <v>1.1299999999999999</v>
      </c>
      <c r="W4793" s="6">
        <v>19.75</v>
      </c>
      <c r="X4793" s="6">
        <v>21.25</v>
      </c>
      <c r="Y4793" s="4">
        <v>22</v>
      </c>
      <c r="Z4793" s="4">
        <v>22</v>
      </c>
      <c r="AA4793" s="6">
        <v>2.1800000000000002</v>
      </c>
      <c r="AB4793" s="7">
        <v>38.832000000000001</v>
      </c>
      <c r="AC4793" s="2"/>
    </row>
    <row r="4794" spans="1:29" ht="78" x14ac:dyDescent="0.15">
      <c r="A4794" s="3">
        <f t="shared" si="101"/>
        <v>36354</v>
      </c>
      <c r="B4794" s="3">
        <f>DATE(2000,1,7)</f>
        <v>36532</v>
      </c>
      <c r="C4794" s="2" t="s">
        <v>95</v>
      </c>
      <c r="D4794" s="2" t="s">
        <v>14869</v>
      </c>
      <c r="E4794" s="2" t="s">
        <v>14870</v>
      </c>
      <c r="F4794" s="4">
        <v>3829</v>
      </c>
      <c r="G4794" s="2" t="s">
        <v>226</v>
      </c>
      <c r="H4794" s="2" t="s">
        <v>34</v>
      </c>
      <c r="I4794" s="2" t="s">
        <v>636</v>
      </c>
      <c r="J4794" s="2" t="s">
        <v>637</v>
      </c>
      <c r="K4794" s="2" t="s">
        <v>226</v>
      </c>
      <c r="L4794" s="2" t="s">
        <v>34</v>
      </c>
      <c r="M4794" s="12">
        <v>1788.616</v>
      </c>
      <c r="N4794" s="7">
        <v>15.563000000000001</v>
      </c>
      <c r="O4794" s="7">
        <v>15.563000000000001</v>
      </c>
      <c r="P4794" s="2" t="s">
        <v>14871</v>
      </c>
      <c r="Q4794" s="6">
        <v>22.49</v>
      </c>
      <c r="R4794" s="6">
        <v>7</v>
      </c>
      <c r="S4794" s="5">
        <v>1</v>
      </c>
      <c r="T4794" s="7">
        <v>2.4489999999999998</v>
      </c>
      <c r="U4794" s="5">
        <v>4</v>
      </c>
      <c r="V4794" s="6">
        <v>-0.12</v>
      </c>
      <c r="W4794" s="7">
        <v>3.875</v>
      </c>
      <c r="X4794" s="4">
        <v>4</v>
      </c>
      <c r="Y4794" s="9">
        <v>4.3125</v>
      </c>
      <c r="Z4794" s="5">
        <v>5.5</v>
      </c>
      <c r="AA4794" s="6">
        <v>8.0500000000000007</v>
      </c>
      <c r="AB4794" s="7">
        <v>94.287000000000006</v>
      </c>
      <c r="AC4794" s="6">
        <v>223.95</v>
      </c>
    </row>
    <row r="4795" spans="1:29" ht="52" x14ac:dyDescent="0.15">
      <c r="A4795" s="3">
        <f t="shared" si="101"/>
        <v>36354</v>
      </c>
      <c r="B4795" s="2"/>
      <c r="C4795" s="2" t="s">
        <v>30</v>
      </c>
      <c r="D4795" s="2" t="s">
        <v>5886</v>
      </c>
      <c r="E4795" s="2" t="s">
        <v>5887</v>
      </c>
      <c r="F4795" s="4">
        <v>7361</v>
      </c>
      <c r="G4795" s="2" t="s">
        <v>223</v>
      </c>
      <c r="H4795" s="2" t="s">
        <v>34</v>
      </c>
      <c r="I4795" s="2" t="s">
        <v>14872</v>
      </c>
      <c r="J4795" s="2" t="s">
        <v>14873</v>
      </c>
      <c r="K4795" s="2" t="s">
        <v>223</v>
      </c>
      <c r="L4795" s="2" t="s">
        <v>902</v>
      </c>
      <c r="M4795" s="2"/>
      <c r="N4795" s="2"/>
      <c r="O4795" s="2"/>
      <c r="P4795" s="2" t="s">
        <v>14874</v>
      </c>
      <c r="Q4795" s="2"/>
      <c r="R4795" s="2"/>
      <c r="S4795" s="5">
        <v>0.1</v>
      </c>
      <c r="T4795" s="7">
        <v>0.32500000000000001</v>
      </c>
      <c r="U4795" s="5">
        <v>872.7</v>
      </c>
      <c r="V4795" s="2"/>
      <c r="W4795" s="7">
        <v>0.93799999999999994</v>
      </c>
      <c r="X4795" s="7">
        <v>1.0629999999999999</v>
      </c>
      <c r="Y4795" s="7">
        <v>1.375</v>
      </c>
      <c r="Z4795" s="7">
        <v>1.375</v>
      </c>
      <c r="AA4795" s="2"/>
      <c r="AB4795" s="2" t="s">
        <v>86</v>
      </c>
      <c r="AC4795" s="2"/>
    </row>
    <row r="4796" spans="1:29" ht="117" x14ac:dyDescent="0.15">
      <c r="A4796" s="3">
        <f>DATE(1999,7,14)</f>
        <v>36355</v>
      </c>
      <c r="B4796" s="3">
        <f>DATE(1999,11,22)</f>
        <v>36486</v>
      </c>
      <c r="C4796" s="2" t="s">
        <v>95</v>
      </c>
      <c r="D4796" s="2" t="s">
        <v>14875</v>
      </c>
      <c r="E4796" s="2" t="s">
        <v>14876</v>
      </c>
      <c r="F4796" s="4">
        <v>5734</v>
      </c>
      <c r="G4796" s="2" t="s">
        <v>1227</v>
      </c>
      <c r="H4796" s="2" t="s">
        <v>34</v>
      </c>
      <c r="I4796" s="2" t="s">
        <v>14877</v>
      </c>
      <c r="J4796" s="2" t="s">
        <v>14878</v>
      </c>
      <c r="K4796" s="2" t="s">
        <v>73</v>
      </c>
      <c r="L4796" s="2" t="s">
        <v>34</v>
      </c>
      <c r="M4796" s="7">
        <v>353.68200000000002</v>
      </c>
      <c r="N4796" s="4">
        <v>21</v>
      </c>
      <c r="O4796" s="7">
        <v>20.375</v>
      </c>
      <c r="P4796" s="2" t="s">
        <v>14879</v>
      </c>
      <c r="Q4796" s="6">
        <v>100</v>
      </c>
      <c r="R4796" s="6">
        <v>12.71</v>
      </c>
      <c r="S4796" s="5">
        <v>-39.4</v>
      </c>
      <c r="T4796" s="7">
        <v>-41.616999999999997</v>
      </c>
      <c r="U4796" s="5">
        <v>4.3</v>
      </c>
      <c r="V4796" s="7">
        <v>-1.5089999999999999</v>
      </c>
      <c r="W4796" s="4">
        <v>12</v>
      </c>
      <c r="X4796" s="7">
        <v>12.063000000000001</v>
      </c>
      <c r="Y4796" s="6">
        <v>11.75</v>
      </c>
      <c r="Z4796" s="4">
        <v>11</v>
      </c>
      <c r="AA4796" s="6">
        <v>24.7</v>
      </c>
      <c r="AB4796" s="2" t="s">
        <v>86</v>
      </c>
      <c r="AC4796" s="2"/>
    </row>
    <row r="4797" spans="1:29" ht="78" x14ac:dyDescent="0.15">
      <c r="A4797" s="3">
        <f>DATE(1999,7,14)</f>
        <v>36355</v>
      </c>
      <c r="B4797" s="2"/>
      <c r="C4797" s="2" t="s">
        <v>87</v>
      </c>
      <c r="D4797" s="2" t="s">
        <v>11044</v>
      </c>
      <c r="E4797" s="2" t="s">
        <v>1671</v>
      </c>
      <c r="F4797" s="4">
        <v>3944</v>
      </c>
      <c r="G4797" s="2" t="s">
        <v>112</v>
      </c>
      <c r="H4797" s="2" t="s">
        <v>34</v>
      </c>
      <c r="I4797" s="2" t="s">
        <v>14880</v>
      </c>
      <c r="J4797" s="2" t="s">
        <v>302</v>
      </c>
      <c r="K4797" s="2" t="s">
        <v>53</v>
      </c>
      <c r="L4797" s="2" t="s">
        <v>34</v>
      </c>
      <c r="M4797" s="2"/>
      <c r="N4797" s="2"/>
      <c r="O4797" s="2"/>
      <c r="P4797" s="2" t="s">
        <v>14881</v>
      </c>
      <c r="Q4797" s="2"/>
      <c r="R4797" s="6">
        <v>6.97</v>
      </c>
      <c r="S4797" s="5">
        <v>5.4</v>
      </c>
      <c r="T4797" s="7">
        <v>27.513999999999999</v>
      </c>
      <c r="U4797" s="5">
        <v>6.2</v>
      </c>
      <c r="V4797" s="6">
        <v>0.32</v>
      </c>
      <c r="W4797" s="7">
        <v>7.0309999999999997</v>
      </c>
      <c r="X4797" s="7">
        <v>6.9690000000000003</v>
      </c>
      <c r="Y4797" s="9">
        <v>8.0625</v>
      </c>
      <c r="Z4797" s="7">
        <v>7.875</v>
      </c>
      <c r="AA4797" s="6">
        <v>16.09</v>
      </c>
      <c r="AB4797" s="7">
        <v>6.6070000000000002</v>
      </c>
      <c r="AC4797" s="2"/>
    </row>
    <row r="4798" spans="1:29" ht="221" x14ac:dyDescent="0.15">
      <c r="A4798" s="3">
        <f t="shared" ref="A4798:A4804" si="102">DATE(1999,7,15)</f>
        <v>36356</v>
      </c>
      <c r="B4798" s="2"/>
      <c r="C4798" s="2" t="s">
        <v>30</v>
      </c>
      <c r="D4798" s="2" t="s">
        <v>14882</v>
      </c>
      <c r="E4798" s="2" t="s">
        <v>3793</v>
      </c>
      <c r="F4798" s="4">
        <v>1021</v>
      </c>
      <c r="G4798" s="2" t="s">
        <v>166</v>
      </c>
      <c r="H4798" s="2" t="s">
        <v>34</v>
      </c>
      <c r="I4798" s="2" t="s">
        <v>14883</v>
      </c>
      <c r="J4798" s="2" t="s">
        <v>14884</v>
      </c>
      <c r="K4798" s="2" t="s">
        <v>166</v>
      </c>
      <c r="L4798" s="2" t="s">
        <v>34</v>
      </c>
      <c r="M4798" s="7">
        <v>695.32100000000003</v>
      </c>
      <c r="N4798" s="6">
        <v>19.25</v>
      </c>
      <c r="O4798" s="7">
        <v>18.562999999999999</v>
      </c>
      <c r="P4798" s="2" t="s">
        <v>14885</v>
      </c>
      <c r="Q4798" s="2"/>
      <c r="R4798" s="6">
        <v>14.54</v>
      </c>
      <c r="S4798" s="5">
        <v>-120</v>
      </c>
      <c r="T4798" s="5">
        <v>446</v>
      </c>
      <c r="U4798" s="5">
        <v>22.7</v>
      </c>
      <c r="V4798" s="6">
        <v>-1.66</v>
      </c>
      <c r="W4798" s="7">
        <v>14.688000000000001</v>
      </c>
      <c r="X4798" s="7">
        <v>13.938000000000001</v>
      </c>
      <c r="Y4798" s="7">
        <v>14.563000000000001</v>
      </c>
      <c r="Z4798" s="4">
        <v>14</v>
      </c>
      <c r="AA4798" s="6">
        <v>90.45</v>
      </c>
      <c r="AB4798" s="7">
        <v>11.000999999999999</v>
      </c>
      <c r="AC4798" s="2"/>
    </row>
    <row r="4799" spans="1:29" ht="130" x14ac:dyDescent="0.15">
      <c r="A4799" s="3">
        <f t="shared" si="102"/>
        <v>36356</v>
      </c>
      <c r="B4799" s="3">
        <f>DATE(2000,11,8)</f>
        <v>36838</v>
      </c>
      <c r="C4799" s="2" t="s">
        <v>95</v>
      </c>
      <c r="D4799" s="2" t="s">
        <v>14886</v>
      </c>
      <c r="E4799" s="2" t="s">
        <v>14887</v>
      </c>
      <c r="F4799" s="4">
        <v>4923</v>
      </c>
      <c r="G4799" s="2" t="s">
        <v>439</v>
      </c>
      <c r="H4799" s="2" t="s">
        <v>34</v>
      </c>
      <c r="I4799" s="2" t="s">
        <v>11195</v>
      </c>
      <c r="J4799" s="2" t="s">
        <v>11196</v>
      </c>
      <c r="K4799" s="2" t="s">
        <v>439</v>
      </c>
      <c r="L4799" s="2" t="s">
        <v>34</v>
      </c>
      <c r="M4799" s="7">
        <v>881.11099999999999</v>
      </c>
      <c r="N4799" s="7">
        <v>38.625</v>
      </c>
      <c r="O4799" s="7">
        <v>39.125</v>
      </c>
      <c r="P4799" s="2" t="s">
        <v>14888</v>
      </c>
      <c r="Q4799" s="6">
        <v>100</v>
      </c>
      <c r="R4799" s="6">
        <v>47</v>
      </c>
      <c r="S4799" s="5">
        <v>5.4</v>
      </c>
      <c r="T4799" s="7">
        <v>19.204999999999998</v>
      </c>
      <c r="U4799" s="5">
        <v>15.3</v>
      </c>
      <c r="V4799" s="6">
        <v>1.64</v>
      </c>
      <c r="W4799" s="7">
        <v>29.625</v>
      </c>
      <c r="X4799" s="7">
        <v>29.687999999999999</v>
      </c>
      <c r="Y4799" s="6">
        <v>43.25</v>
      </c>
      <c r="Z4799" s="5">
        <v>43.5</v>
      </c>
      <c r="AA4799" s="6">
        <v>3.32</v>
      </c>
      <c r="AB4799" s="7">
        <v>16.981000000000002</v>
      </c>
      <c r="AC4799" s="2"/>
    </row>
    <row r="4800" spans="1:29" ht="104" x14ac:dyDescent="0.15">
      <c r="A4800" s="3">
        <f t="shared" si="102"/>
        <v>36356</v>
      </c>
      <c r="B4800" s="3">
        <f>DATE(1999,9,1)</f>
        <v>36404</v>
      </c>
      <c r="C4800" s="2" t="s">
        <v>95</v>
      </c>
      <c r="D4800" s="2" t="s">
        <v>12432</v>
      </c>
      <c r="E4800" s="2" t="s">
        <v>12433</v>
      </c>
      <c r="F4800" s="4">
        <v>7372</v>
      </c>
      <c r="G4800" s="2" t="s">
        <v>551</v>
      </c>
      <c r="H4800" s="2" t="s">
        <v>34</v>
      </c>
      <c r="I4800" s="2" t="s">
        <v>3670</v>
      </c>
      <c r="J4800" s="2" t="s">
        <v>3671</v>
      </c>
      <c r="K4800" s="2" t="s">
        <v>551</v>
      </c>
      <c r="L4800" s="2" t="s">
        <v>34</v>
      </c>
      <c r="M4800" s="12">
        <v>2135.9540000000002</v>
      </c>
      <c r="N4800" s="6">
        <v>25.75</v>
      </c>
      <c r="O4800" s="4">
        <v>26</v>
      </c>
      <c r="P4800" s="2" t="s">
        <v>14889</v>
      </c>
      <c r="Q4800" s="6">
        <v>100</v>
      </c>
      <c r="R4800" s="6">
        <v>6.5</v>
      </c>
      <c r="S4800" s="5">
        <v>6.7</v>
      </c>
      <c r="T4800" s="7">
        <v>9.6340000000000003</v>
      </c>
      <c r="U4800" s="5">
        <v>2.1</v>
      </c>
      <c r="V4800" s="6">
        <v>0.25</v>
      </c>
      <c r="W4800" s="7">
        <v>3.8130000000000002</v>
      </c>
      <c r="X4800" s="5">
        <v>5.5</v>
      </c>
      <c r="Y4800" s="5">
        <v>5.5</v>
      </c>
      <c r="Z4800" s="6">
        <v>6.25</v>
      </c>
      <c r="AA4800" s="6">
        <v>25.21</v>
      </c>
      <c r="AB4800" s="7">
        <v>23.89</v>
      </c>
      <c r="AC4800" s="6">
        <v>707.85</v>
      </c>
    </row>
    <row r="4801" spans="1:29" ht="117" x14ac:dyDescent="0.15">
      <c r="A4801" s="3">
        <f t="shared" si="102"/>
        <v>36356</v>
      </c>
      <c r="B4801" s="3">
        <f>DATE(1999,7,26)</f>
        <v>36367</v>
      </c>
      <c r="C4801" s="2" t="s">
        <v>95</v>
      </c>
      <c r="D4801" s="2" t="s">
        <v>10797</v>
      </c>
      <c r="E4801" s="2" t="s">
        <v>10798</v>
      </c>
      <c r="F4801" s="4">
        <v>5031</v>
      </c>
      <c r="G4801" s="2" t="s">
        <v>76</v>
      </c>
      <c r="H4801" s="2" t="s">
        <v>34</v>
      </c>
      <c r="I4801" s="2" t="s">
        <v>14890</v>
      </c>
      <c r="J4801" s="2" t="s">
        <v>80</v>
      </c>
      <c r="K4801" s="2" t="s">
        <v>53</v>
      </c>
      <c r="L4801" s="2" t="s">
        <v>34</v>
      </c>
      <c r="M4801" s="2"/>
      <c r="N4801" s="2"/>
      <c r="O4801" s="2"/>
      <c r="P4801" s="2" t="s">
        <v>14891</v>
      </c>
      <c r="Q4801" s="6">
        <v>55.93</v>
      </c>
      <c r="R4801" s="2"/>
      <c r="S4801" s="5">
        <v>-5.4</v>
      </c>
      <c r="T4801" s="7">
        <v>22.939</v>
      </c>
      <c r="U4801" s="5">
        <v>6</v>
      </c>
      <c r="V4801" s="6">
        <v>-0.78</v>
      </c>
      <c r="W4801" s="4">
        <v>7</v>
      </c>
      <c r="X4801" s="7">
        <v>7.625</v>
      </c>
      <c r="Y4801" s="7">
        <v>7.125</v>
      </c>
      <c r="Z4801" s="7">
        <v>6.875</v>
      </c>
      <c r="AA4801" s="6">
        <v>15.56</v>
      </c>
      <c r="AB4801" s="7">
        <v>23.187999999999999</v>
      </c>
      <c r="AC4801" s="2"/>
    </row>
    <row r="4802" spans="1:29" ht="65" x14ac:dyDescent="0.15">
      <c r="A4802" s="3">
        <f t="shared" si="102"/>
        <v>36356</v>
      </c>
      <c r="B4802" s="3">
        <f>DATE(1999,11,23)</f>
        <v>36487</v>
      </c>
      <c r="C4802" s="2" t="s">
        <v>95</v>
      </c>
      <c r="D4802" s="2" t="s">
        <v>14892</v>
      </c>
      <c r="E4802" s="2" t="s">
        <v>14893</v>
      </c>
      <c r="F4802" s="4">
        <v>2741</v>
      </c>
      <c r="G4802" s="2" t="s">
        <v>186</v>
      </c>
      <c r="H4802" s="2" t="s">
        <v>34</v>
      </c>
      <c r="I4802" s="2" t="s">
        <v>9658</v>
      </c>
      <c r="J4802" s="2" t="s">
        <v>3197</v>
      </c>
      <c r="K4802" s="2" t="s">
        <v>53</v>
      </c>
      <c r="L4802" s="2" t="s">
        <v>34</v>
      </c>
      <c r="M4802" s="2"/>
      <c r="N4802" s="2"/>
      <c r="O4802" s="2"/>
      <c r="P4802" s="2" t="s">
        <v>14894</v>
      </c>
      <c r="Q4802" s="6">
        <v>100</v>
      </c>
      <c r="R4802" s="6">
        <v>22</v>
      </c>
      <c r="S4802" s="5">
        <v>26.5</v>
      </c>
      <c r="T4802" s="7">
        <v>68.844999999999999</v>
      </c>
      <c r="U4802" s="5">
        <v>8.9</v>
      </c>
      <c r="V4802" s="6">
        <v>1.55</v>
      </c>
      <c r="W4802" s="4">
        <v>16</v>
      </c>
      <c r="X4802" s="7">
        <v>17.562999999999999</v>
      </c>
      <c r="Y4802" s="7">
        <v>20.562999999999999</v>
      </c>
      <c r="Z4802" s="5">
        <v>20.5</v>
      </c>
      <c r="AA4802" s="6">
        <v>16.079999999999998</v>
      </c>
      <c r="AB4802" s="7">
        <v>7.7649999999999997</v>
      </c>
      <c r="AC4802" s="2"/>
    </row>
    <row r="4803" spans="1:29" ht="91" x14ac:dyDescent="0.15">
      <c r="A4803" s="3">
        <f t="shared" si="102"/>
        <v>36356</v>
      </c>
      <c r="B4803" s="3">
        <f>DATE(2000,2,4)</f>
        <v>36560</v>
      </c>
      <c r="C4803" s="2" t="s">
        <v>95</v>
      </c>
      <c r="D4803" s="2" t="s">
        <v>14895</v>
      </c>
      <c r="E4803" s="2" t="s">
        <v>14896</v>
      </c>
      <c r="F4803" s="4">
        <v>3357</v>
      </c>
      <c r="G4803" s="2" t="s">
        <v>163</v>
      </c>
      <c r="H4803" s="2" t="s">
        <v>34</v>
      </c>
      <c r="I4803" s="2" t="s">
        <v>8437</v>
      </c>
      <c r="J4803" s="2" t="s">
        <v>6519</v>
      </c>
      <c r="K4803" s="2" t="s">
        <v>63</v>
      </c>
      <c r="L4803" s="2" t="s">
        <v>34</v>
      </c>
      <c r="M4803" s="12">
        <v>164691.66899999999</v>
      </c>
      <c r="N4803" s="7">
        <v>77.625</v>
      </c>
      <c r="O4803" s="7">
        <v>78.438000000000002</v>
      </c>
      <c r="P4803" s="2" t="s">
        <v>14897</v>
      </c>
      <c r="Q4803" s="6">
        <v>100</v>
      </c>
      <c r="R4803" s="6">
        <v>9</v>
      </c>
      <c r="S4803" s="5">
        <v>0.7</v>
      </c>
      <c r="T4803" s="7">
        <v>12.282</v>
      </c>
      <c r="U4803" s="5">
        <v>8.1</v>
      </c>
      <c r="V4803" s="6">
        <v>0.08</v>
      </c>
      <c r="W4803" s="7">
        <v>11.625</v>
      </c>
      <c r="X4803" s="5">
        <v>11.5</v>
      </c>
      <c r="Y4803" s="7">
        <v>8.875</v>
      </c>
      <c r="Z4803" s="9">
        <v>8.8125</v>
      </c>
      <c r="AA4803" s="6">
        <v>7</v>
      </c>
      <c r="AB4803" s="7">
        <v>21.870999999999999</v>
      </c>
      <c r="AC4803" s="8">
        <v>1495</v>
      </c>
    </row>
    <row r="4804" spans="1:29" ht="65" x14ac:dyDescent="0.15">
      <c r="A4804" s="3">
        <f t="shared" si="102"/>
        <v>36356</v>
      </c>
      <c r="B4804" s="2"/>
      <c r="C4804" s="2" t="s">
        <v>30</v>
      </c>
      <c r="D4804" s="2" t="s">
        <v>14898</v>
      </c>
      <c r="E4804" s="2" t="s">
        <v>14899</v>
      </c>
      <c r="F4804" s="4">
        <v>7372</v>
      </c>
      <c r="G4804" s="2" t="s">
        <v>551</v>
      </c>
      <c r="H4804" s="2" t="s">
        <v>34</v>
      </c>
      <c r="I4804" s="2" t="s">
        <v>3638</v>
      </c>
      <c r="J4804" s="2" t="s">
        <v>3639</v>
      </c>
      <c r="K4804" s="2" t="s">
        <v>551</v>
      </c>
      <c r="L4804" s="2" t="s">
        <v>34</v>
      </c>
      <c r="M4804" s="7">
        <v>444.71800000000002</v>
      </c>
      <c r="N4804" s="4">
        <v>35</v>
      </c>
      <c r="O4804" s="4">
        <v>36</v>
      </c>
      <c r="P4804" s="2" t="s">
        <v>14900</v>
      </c>
      <c r="Q4804" s="2"/>
      <c r="R4804" s="6">
        <v>9</v>
      </c>
      <c r="S4804" s="5">
        <v>-8.5</v>
      </c>
      <c r="T4804" s="7">
        <v>4.5389999999999997</v>
      </c>
      <c r="U4804" s="5">
        <v>5.3</v>
      </c>
      <c r="V4804" s="6">
        <v>-0.46</v>
      </c>
      <c r="W4804" s="7">
        <v>5.5629999999999997</v>
      </c>
      <c r="X4804" s="7">
        <v>6.3440000000000003</v>
      </c>
      <c r="Y4804" s="7">
        <v>8.5939999999999994</v>
      </c>
      <c r="Z4804" s="7">
        <v>8.5939999999999994</v>
      </c>
      <c r="AA4804" s="6">
        <v>17.89</v>
      </c>
      <c r="AB4804" s="7">
        <v>27304.178</v>
      </c>
      <c r="AC4804" s="6">
        <v>226.34</v>
      </c>
    </row>
    <row r="4805" spans="1:29" ht="52" x14ac:dyDescent="0.15">
      <c r="A4805" s="3">
        <f>DATE(1999,7,16)</f>
        <v>36357</v>
      </c>
      <c r="B4805" s="2"/>
      <c r="C4805" s="2" t="s">
        <v>30</v>
      </c>
      <c r="D4805" s="2" t="s">
        <v>14901</v>
      </c>
      <c r="E4805" s="2" t="s">
        <v>5900</v>
      </c>
      <c r="F4805" s="4">
        <v>6035</v>
      </c>
      <c r="G4805" s="2" t="s">
        <v>33</v>
      </c>
      <c r="H4805" s="2" t="s">
        <v>34</v>
      </c>
      <c r="I4805" s="2" t="s">
        <v>14902</v>
      </c>
      <c r="J4805" s="2" t="s">
        <v>3197</v>
      </c>
      <c r="K4805" s="2" t="s">
        <v>53</v>
      </c>
      <c r="L4805" s="2" t="s">
        <v>34</v>
      </c>
      <c r="M4805" s="2"/>
      <c r="N4805" s="7">
        <v>2.875</v>
      </c>
      <c r="O4805" s="4">
        <v>3</v>
      </c>
      <c r="P4805" s="2" t="s">
        <v>14903</v>
      </c>
      <c r="Q4805" s="2"/>
      <c r="R4805" s="6">
        <v>4.4000000000000004</v>
      </c>
      <c r="S4805" s="5">
        <v>-6.8</v>
      </c>
      <c r="T4805" s="7">
        <v>-3.2829999999999999</v>
      </c>
      <c r="U4805" s="5">
        <v>28.8</v>
      </c>
      <c r="V4805" s="9">
        <v>-27.601099999999999</v>
      </c>
      <c r="W4805" s="7">
        <v>2.9060000000000001</v>
      </c>
      <c r="X4805" s="7">
        <v>2.875</v>
      </c>
      <c r="Y4805" s="7">
        <v>2.875</v>
      </c>
      <c r="Z4805" s="4">
        <v>3</v>
      </c>
      <c r="AA4805" s="6">
        <v>3.15</v>
      </c>
      <c r="AB4805" s="2" t="s">
        <v>86</v>
      </c>
      <c r="AC4805" s="2"/>
    </row>
    <row r="4806" spans="1:29" ht="52" x14ac:dyDescent="0.15">
      <c r="A4806" s="3">
        <f>DATE(1999,7,16)</f>
        <v>36357</v>
      </c>
      <c r="B4806" s="2"/>
      <c r="C4806" s="2" t="s">
        <v>87</v>
      </c>
      <c r="D4806" s="2" t="s">
        <v>6249</v>
      </c>
      <c r="E4806" s="2" t="s">
        <v>6250</v>
      </c>
      <c r="F4806" s="4">
        <v>1541</v>
      </c>
      <c r="G4806" s="2" t="s">
        <v>341</v>
      </c>
      <c r="H4806" s="2" t="s">
        <v>34</v>
      </c>
      <c r="I4806" s="2" t="s">
        <v>51</v>
      </c>
      <c r="J4806" s="2" t="s">
        <v>52</v>
      </c>
      <c r="K4806" s="2" t="s">
        <v>53</v>
      </c>
      <c r="L4806" s="2" t="s">
        <v>34</v>
      </c>
      <c r="M4806" s="2"/>
      <c r="N4806" s="2"/>
      <c r="O4806" s="2"/>
      <c r="P4806" s="2" t="s">
        <v>14904</v>
      </c>
      <c r="Q4806" s="2"/>
      <c r="R4806" s="2"/>
      <c r="S4806" s="5">
        <v>27.4</v>
      </c>
      <c r="T4806" s="7">
        <v>57.756999999999998</v>
      </c>
      <c r="U4806" s="5">
        <v>11.3</v>
      </c>
      <c r="V4806" s="6">
        <v>2.14</v>
      </c>
      <c r="W4806" s="4">
        <v>17</v>
      </c>
      <c r="X4806" s="5">
        <v>17.5</v>
      </c>
      <c r="Y4806" s="6">
        <v>21.25</v>
      </c>
      <c r="Z4806" s="7">
        <v>24.812999999999999</v>
      </c>
      <c r="AA4806" s="6">
        <v>7.88</v>
      </c>
      <c r="AB4806" s="2" t="s">
        <v>47</v>
      </c>
      <c r="AC4806" s="2"/>
    </row>
    <row r="4807" spans="1:29" ht="91" x14ac:dyDescent="0.15">
      <c r="A4807" s="3">
        <f>DATE(1999,7,19)</f>
        <v>36360</v>
      </c>
      <c r="B4807" s="3">
        <f>DATE(2000,1,6)</f>
        <v>36531</v>
      </c>
      <c r="C4807" s="2" t="s">
        <v>95</v>
      </c>
      <c r="D4807" s="2" t="s">
        <v>9799</v>
      </c>
      <c r="E4807" s="2" t="s">
        <v>9800</v>
      </c>
      <c r="F4807" s="4">
        <v>4812</v>
      </c>
      <c r="G4807" s="2" t="s">
        <v>63</v>
      </c>
      <c r="H4807" s="2" t="s">
        <v>34</v>
      </c>
      <c r="I4807" s="2" t="s">
        <v>14905</v>
      </c>
      <c r="J4807" s="2" t="s">
        <v>14906</v>
      </c>
      <c r="K4807" s="2" t="s">
        <v>63</v>
      </c>
      <c r="L4807" s="2" t="s">
        <v>34</v>
      </c>
      <c r="M4807" s="2"/>
      <c r="N4807" s="2"/>
      <c r="O4807" s="2"/>
      <c r="P4807" s="2" t="s">
        <v>14907</v>
      </c>
      <c r="Q4807" s="6">
        <v>100</v>
      </c>
      <c r="R4807" s="6">
        <v>31</v>
      </c>
      <c r="S4807" s="5">
        <v>1</v>
      </c>
      <c r="T4807" s="7">
        <v>50.939</v>
      </c>
      <c r="U4807" s="5">
        <v>4.5</v>
      </c>
      <c r="V4807" s="6">
        <v>7.0000000000000007E-2</v>
      </c>
      <c r="W4807" s="6">
        <v>32.06</v>
      </c>
      <c r="X4807" s="6">
        <v>30.25</v>
      </c>
      <c r="Y4807" s="7">
        <v>30.625</v>
      </c>
      <c r="Z4807" s="7">
        <v>30.905999999999999</v>
      </c>
      <c r="AA4807" s="6">
        <v>22.66</v>
      </c>
      <c r="AB4807" s="7">
        <v>25.672999999999998</v>
      </c>
      <c r="AC4807" s="2"/>
    </row>
    <row r="4808" spans="1:29" ht="65" x14ac:dyDescent="0.15">
      <c r="A4808" s="3">
        <f>DATE(1999,7,19)</f>
        <v>36360</v>
      </c>
      <c r="B4808" s="3">
        <f>DATE(1999,10,1)</f>
        <v>36434</v>
      </c>
      <c r="C4808" s="2" t="s">
        <v>95</v>
      </c>
      <c r="D4808" s="2" t="s">
        <v>14908</v>
      </c>
      <c r="E4808" s="2" t="s">
        <v>14909</v>
      </c>
      <c r="F4808" s="4">
        <v>7011</v>
      </c>
      <c r="G4808" s="2" t="s">
        <v>269</v>
      </c>
      <c r="H4808" s="2" t="s">
        <v>34</v>
      </c>
      <c r="I4808" s="2" t="s">
        <v>14910</v>
      </c>
      <c r="J4808" s="2" t="s">
        <v>14911</v>
      </c>
      <c r="K4808" s="2" t="s">
        <v>269</v>
      </c>
      <c r="L4808" s="2" t="s">
        <v>34</v>
      </c>
      <c r="M4808" s="12">
        <v>5496.6850000000004</v>
      </c>
      <c r="N4808" s="5">
        <v>28.5</v>
      </c>
      <c r="O4808" s="7">
        <v>28.187999999999999</v>
      </c>
      <c r="P4808" s="2" t="s">
        <v>14912</v>
      </c>
      <c r="Q4808" s="6">
        <v>100</v>
      </c>
      <c r="R4808" s="6">
        <v>18.559999999999999</v>
      </c>
      <c r="S4808" s="5">
        <v>23.6</v>
      </c>
      <c r="T4808" s="7">
        <v>43.954999999999998</v>
      </c>
      <c r="U4808" s="5">
        <v>7.3</v>
      </c>
      <c r="V4808" s="6">
        <v>1.1000000000000001</v>
      </c>
      <c r="W4808" s="6">
        <v>16.25</v>
      </c>
      <c r="X4808" s="6">
        <v>17.25</v>
      </c>
      <c r="Y4808" s="7">
        <v>17.375</v>
      </c>
      <c r="Z4808" s="5">
        <v>17.5</v>
      </c>
      <c r="AA4808" s="6">
        <v>21.3</v>
      </c>
      <c r="AB4808" s="7">
        <v>17.72</v>
      </c>
      <c r="AC4808" s="5">
        <v>169</v>
      </c>
    </row>
    <row r="4809" spans="1:29" ht="52" x14ac:dyDescent="0.15">
      <c r="A4809" s="3">
        <f>DATE(1999,7,20)</f>
        <v>36361</v>
      </c>
      <c r="B4809" s="3">
        <f>DATE(1999,9,18)</f>
        <v>36421</v>
      </c>
      <c r="C4809" s="2" t="s">
        <v>95</v>
      </c>
      <c r="D4809" s="2" t="s">
        <v>14913</v>
      </c>
      <c r="E4809" s="2" t="s">
        <v>14914</v>
      </c>
      <c r="F4809" s="4">
        <v>4729</v>
      </c>
      <c r="G4809" s="2" t="s">
        <v>173</v>
      </c>
      <c r="H4809" s="2" t="s">
        <v>34</v>
      </c>
      <c r="I4809" s="2" t="s">
        <v>14915</v>
      </c>
      <c r="J4809" s="2" t="s">
        <v>9299</v>
      </c>
      <c r="K4809" s="2" t="s">
        <v>53</v>
      </c>
      <c r="L4809" s="2" t="s">
        <v>34</v>
      </c>
      <c r="M4809" s="2"/>
      <c r="N4809" s="2"/>
      <c r="O4809" s="2"/>
      <c r="P4809" s="2" t="s">
        <v>14916</v>
      </c>
      <c r="Q4809" s="6">
        <v>100</v>
      </c>
      <c r="R4809" s="2"/>
      <c r="S4809" s="5">
        <v>6.7</v>
      </c>
      <c r="T4809" s="7">
        <v>13.116</v>
      </c>
      <c r="U4809" s="5">
        <v>1.4</v>
      </c>
      <c r="V4809" s="6">
        <v>1.27</v>
      </c>
      <c r="W4809" s="7">
        <v>16.875</v>
      </c>
      <c r="X4809" s="7">
        <v>19.812999999999999</v>
      </c>
      <c r="Y4809" s="4">
        <v>20</v>
      </c>
      <c r="Z4809" s="7">
        <v>19.937999999999999</v>
      </c>
      <c r="AA4809" s="6">
        <v>5.1100000000000003</v>
      </c>
      <c r="AB4809" s="7">
        <v>10.491</v>
      </c>
      <c r="AC4809" s="2"/>
    </row>
    <row r="4810" spans="1:29" ht="104" x14ac:dyDescent="0.15">
      <c r="A4810" s="3">
        <f>DATE(1999,7,21)</f>
        <v>36362</v>
      </c>
      <c r="B4810" s="3">
        <f>DATE(1999,10,6)</f>
        <v>36439</v>
      </c>
      <c r="C4810" s="2" t="s">
        <v>95</v>
      </c>
      <c r="D4810" s="2" t="s">
        <v>4488</v>
      </c>
      <c r="E4810" s="2" t="s">
        <v>4489</v>
      </c>
      <c r="F4810" s="4">
        <v>2835</v>
      </c>
      <c r="G4810" s="2" t="s">
        <v>130</v>
      </c>
      <c r="H4810" s="2" t="s">
        <v>34</v>
      </c>
      <c r="I4810" s="2" t="s">
        <v>5669</v>
      </c>
      <c r="J4810" s="2" t="s">
        <v>5670</v>
      </c>
      <c r="K4810" s="2" t="s">
        <v>130</v>
      </c>
      <c r="L4810" s="2" t="s">
        <v>34</v>
      </c>
      <c r="M4810" s="12">
        <v>121775.88400000001</v>
      </c>
      <c r="N4810" s="7">
        <v>97.438000000000002</v>
      </c>
      <c r="O4810" s="7">
        <v>98.375</v>
      </c>
      <c r="P4810" s="2" t="s">
        <v>14917</v>
      </c>
      <c r="Q4810" s="6">
        <v>100</v>
      </c>
      <c r="R4810" s="6">
        <v>61</v>
      </c>
      <c r="S4810" s="5">
        <v>342.7</v>
      </c>
      <c r="T4810" s="7">
        <v>101.23399999999999</v>
      </c>
      <c r="U4810" s="5">
        <v>6.9</v>
      </c>
      <c r="V4810" s="6">
        <v>4.7300000000000004</v>
      </c>
      <c r="W4810" s="4">
        <v>42</v>
      </c>
      <c r="X4810" s="7">
        <v>46.875</v>
      </c>
      <c r="Y4810" s="7">
        <v>49.125</v>
      </c>
      <c r="Z4810" s="4">
        <v>46</v>
      </c>
      <c r="AA4810" s="6">
        <v>70.91</v>
      </c>
      <c r="AB4810" s="7">
        <v>86.706000000000003</v>
      </c>
      <c r="AC4810" s="8">
        <v>2835</v>
      </c>
    </row>
    <row r="4811" spans="1:29" ht="104" x14ac:dyDescent="0.15">
      <c r="A4811" s="3">
        <f>DATE(1999,7,21)</f>
        <v>36362</v>
      </c>
      <c r="B4811" s="3">
        <f>DATE(1999,11,9)</f>
        <v>36473</v>
      </c>
      <c r="C4811" s="2" t="s">
        <v>95</v>
      </c>
      <c r="D4811" s="2" t="s">
        <v>11159</v>
      </c>
      <c r="E4811" s="2" t="s">
        <v>11160</v>
      </c>
      <c r="F4811" s="4">
        <v>4813</v>
      </c>
      <c r="G4811" s="2" t="s">
        <v>63</v>
      </c>
      <c r="H4811" s="2" t="s">
        <v>34</v>
      </c>
      <c r="I4811" s="2" t="s">
        <v>14918</v>
      </c>
      <c r="J4811" s="2" t="s">
        <v>1395</v>
      </c>
      <c r="K4811" s="2" t="s">
        <v>63</v>
      </c>
      <c r="L4811" s="2" t="s">
        <v>34</v>
      </c>
      <c r="M4811" s="12">
        <v>3432.1619999999998</v>
      </c>
      <c r="N4811" s="7">
        <v>19.812999999999999</v>
      </c>
      <c r="O4811" s="6">
        <v>21.25</v>
      </c>
      <c r="P4811" s="2" t="s">
        <v>14919</v>
      </c>
      <c r="Q4811" s="6">
        <v>100</v>
      </c>
      <c r="R4811" s="6">
        <v>49.43</v>
      </c>
      <c r="S4811" s="5">
        <v>-201.3</v>
      </c>
      <c r="T4811" s="7">
        <v>46.664999999999999</v>
      </c>
      <c r="U4811" s="5">
        <v>-6.9</v>
      </c>
      <c r="V4811" s="6">
        <v>-7.24</v>
      </c>
      <c r="W4811" s="7">
        <v>37.313000000000002</v>
      </c>
      <c r="X4811" s="6">
        <v>36.25</v>
      </c>
      <c r="Y4811" s="6">
        <v>39.75</v>
      </c>
      <c r="Z4811" s="7">
        <v>42.125</v>
      </c>
      <c r="AA4811" s="6">
        <v>36.68</v>
      </c>
      <c r="AB4811" s="2" t="s">
        <v>86</v>
      </c>
      <c r="AC4811" s="5">
        <v>4.0999999999999996</v>
      </c>
    </row>
    <row r="4812" spans="1:29" ht="78" x14ac:dyDescent="0.15">
      <c r="A4812" s="3">
        <f>DATE(1999,7,21)</f>
        <v>36362</v>
      </c>
      <c r="B4812" s="3">
        <f>DATE(2000,2,10)</f>
        <v>36566</v>
      </c>
      <c r="C4812" s="2" t="s">
        <v>95</v>
      </c>
      <c r="D4812" s="2" t="s">
        <v>14920</v>
      </c>
      <c r="E4812" s="2" t="s">
        <v>389</v>
      </c>
      <c r="F4812" s="4">
        <v>6035</v>
      </c>
      <c r="G4812" s="2" t="s">
        <v>33</v>
      </c>
      <c r="H4812" s="2" t="s">
        <v>34</v>
      </c>
      <c r="I4812" s="2" t="s">
        <v>14921</v>
      </c>
      <c r="J4812" s="2" t="s">
        <v>159</v>
      </c>
      <c r="K4812" s="2" t="s">
        <v>37</v>
      </c>
      <c r="L4812" s="2" t="s">
        <v>34</v>
      </c>
      <c r="M4812" s="7">
        <v>71.852000000000004</v>
      </c>
      <c r="N4812" s="7">
        <v>13.625</v>
      </c>
      <c r="O4812" s="4">
        <v>13</v>
      </c>
      <c r="P4812" s="2" t="s">
        <v>14922</v>
      </c>
      <c r="Q4812" s="6">
        <v>100</v>
      </c>
      <c r="R4812" s="6">
        <v>17.8</v>
      </c>
      <c r="S4812" s="5">
        <v>0.4</v>
      </c>
      <c r="T4812" s="2"/>
      <c r="U4812" s="5">
        <v>15.3</v>
      </c>
      <c r="V4812" s="6">
        <v>0.57999999999999996</v>
      </c>
      <c r="W4812" s="4">
        <v>10</v>
      </c>
      <c r="X4812" s="4">
        <v>11</v>
      </c>
      <c r="Y4812" s="5">
        <v>11.5</v>
      </c>
      <c r="Z4812" s="7">
        <v>15.375</v>
      </c>
      <c r="AA4812" s="6">
        <v>0.77</v>
      </c>
      <c r="AB4812" s="7">
        <v>31.643000000000001</v>
      </c>
      <c r="AC4812" s="2"/>
    </row>
    <row r="4813" spans="1:29" ht="65" x14ac:dyDescent="0.15">
      <c r="A4813" s="3">
        <f>DATE(1999,7,21)</f>
        <v>36362</v>
      </c>
      <c r="B4813" s="3">
        <f>DATE(1999,12,10)</f>
        <v>36504</v>
      </c>
      <c r="C4813" s="2" t="s">
        <v>95</v>
      </c>
      <c r="D4813" s="2" t="s">
        <v>14923</v>
      </c>
      <c r="E4813" s="2" t="s">
        <v>14924</v>
      </c>
      <c r="F4813" s="4">
        <v>4841</v>
      </c>
      <c r="G4813" s="2" t="s">
        <v>45</v>
      </c>
      <c r="H4813" s="2" t="s">
        <v>34</v>
      </c>
      <c r="I4813" s="2" t="s">
        <v>13575</v>
      </c>
      <c r="J4813" s="2" t="s">
        <v>375</v>
      </c>
      <c r="K4813" s="2" t="s">
        <v>63</v>
      </c>
      <c r="L4813" s="2" t="s">
        <v>34</v>
      </c>
      <c r="M4813" s="12">
        <v>176647.052</v>
      </c>
      <c r="N4813" s="7">
        <v>89.063000000000002</v>
      </c>
      <c r="O4813" s="7">
        <v>86.313000000000002</v>
      </c>
      <c r="P4813" s="2" t="s">
        <v>14925</v>
      </c>
      <c r="Q4813" s="6">
        <v>100</v>
      </c>
      <c r="R4813" s="6">
        <v>1.31</v>
      </c>
      <c r="S4813" s="5">
        <v>-110.2</v>
      </c>
      <c r="T4813" s="7">
        <v>-12.753</v>
      </c>
      <c r="U4813" s="5">
        <v>-10</v>
      </c>
      <c r="V4813" s="6">
        <v>-6.52</v>
      </c>
      <c r="W4813" s="4">
        <v>2</v>
      </c>
      <c r="X4813" s="7">
        <v>1.2809999999999999</v>
      </c>
      <c r="Y4813" s="6">
        <v>1.25</v>
      </c>
      <c r="Z4813" s="7">
        <v>1.2809999999999999</v>
      </c>
      <c r="AA4813" s="6">
        <v>16.940000000000001</v>
      </c>
      <c r="AB4813" s="2" t="s">
        <v>86</v>
      </c>
      <c r="AC4813" s="5">
        <v>599</v>
      </c>
    </row>
    <row r="4814" spans="1:29" ht="91" x14ac:dyDescent="0.15">
      <c r="A4814" s="3">
        <f>DATE(1999,7,22)</f>
        <v>36363</v>
      </c>
      <c r="B4814" s="3">
        <f>DATE(1999,8,24)</f>
        <v>36396</v>
      </c>
      <c r="C4814" s="2" t="s">
        <v>95</v>
      </c>
      <c r="D4814" s="2" t="s">
        <v>14926</v>
      </c>
      <c r="E4814" s="2" t="s">
        <v>14927</v>
      </c>
      <c r="F4814" s="4">
        <v>7372</v>
      </c>
      <c r="G4814" s="2" t="s">
        <v>551</v>
      </c>
      <c r="H4814" s="2" t="s">
        <v>34</v>
      </c>
      <c r="I4814" s="2" t="s">
        <v>14928</v>
      </c>
      <c r="J4814" s="2" t="s">
        <v>14929</v>
      </c>
      <c r="K4814" s="2" t="s">
        <v>551</v>
      </c>
      <c r="L4814" s="2" t="s">
        <v>133</v>
      </c>
      <c r="M4814" s="2"/>
      <c r="N4814" s="2"/>
      <c r="O4814" s="2"/>
      <c r="P4814" s="2" t="s">
        <v>14930</v>
      </c>
      <c r="Q4814" s="6">
        <v>41.63</v>
      </c>
      <c r="R4814" s="2"/>
      <c r="S4814" s="5">
        <v>-47</v>
      </c>
      <c r="T4814" s="7">
        <v>-35.634</v>
      </c>
      <c r="U4814" s="5">
        <v>-0.1</v>
      </c>
      <c r="V4814" s="6">
        <v>-2.97</v>
      </c>
      <c r="W4814" s="7">
        <v>2.5310000000000001</v>
      </c>
      <c r="X4814" s="7">
        <v>2.5939999999999999</v>
      </c>
      <c r="Y4814" s="7">
        <v>2.6560000000000001</v>
      </c>
      <c r="Z4814" s="7">
        <v>2.5630000000000002</v>
      </c>
      <c r="AA4814" s="6">
        <v>20.81</v>
      </c>
      <c r="AB4814" s="2" t="s">
        <v>86</v>
      </c>
      <c r="AC4814" s="6">
        <v>9.01</v>
      </c>
    </row>
    <row r="4815" spans="1:29" ht="104" x14ac:dyDescent="0.15">
      <c r="A4815" s="3">
        <f>DATE(1999,7,22)</f>
        <v>36363</v>
      </c>
      <c r="B4815" s="3">
        <f>DATE(1999,10,29)</f>
        <v>36462</v>
      </c>
      <c r="C4815" s="2" t="s">
        <v>95</v>
      </c>
      <c r="D4815" s="2" t="s">
        <v>14931</v>
      </c>
      <c r="E4815" s="2" t="s">
        <v>9854</v>
      </c>
      <c r="F4815" s="4">
        <v>6282</v>
      </c>
      <c r="G4815" s="2" t="s">
        <v>53</v>
      </c>
      <c r="H4815" s="2" t="s">
        <v>34</v>
      </c>
      <c r="I4815" s="2" t="s">
        <v>9343</v>
      </c>
      <c r="J4815" s="2" t="s">
        <v>124</v>
      </c>
      <c r="K4815" s="2" t="s">
        <v>125</v>
      </c>
      <c r="L4815" s="2" t="s">
        <v>34</v>
      </c>
      <c r="M4815" s="12">
        <v>3671.6979999999999</v>
      </c>
      <c r="N4815" s="5">
        <v>47.5</v>
      </c>
      <c r="O4815" s="7">
        <v>46.938000000000002</v>
      </c>
      <c r="P4815" s="2" t="s">
        <v>14932</v>
      </c>
      <c r="Q4815" s="6">
        <v>100</v>
      </c>
      <c r="R4815" s="6">
        <v>23.97</v>
      </c>
      <c r="S4815" s="5">
        <v>9.3000000000000007</v>
      </c>
      <c r="T4815" s="7">
        <v>20.157</v>
      </c>
      <c r="U4815" s="5">
        <v>8.3000000000000007</v>
      </c>
      <c r="V4815" s="6">
        <v>1.4</v>
      </c>
      <c r="W4815" s="4">
        <v>24</v>
      </c>
      <c r="X4815" s="6">
        <v>27.25</v>
      </c>
      <c r="Y4815" s="7">
        <v>29.937999999999999</v>
      </c>
      <c r="Z4815" s="7">
        <v>33.375</v>
      </c>
      <c r="AA4815" s="6">
        <v>5.15</v>
      </c>
      <c r="AB4815" s="7">
        <v>10.978</v>
      </c>
      <c r="AC4815" s="2"/>
    </row>
    <row r="4816" spans="1:29" ht="91" x14ac:dyDescent="0.15">
      <c r="A4816" s="3">
        <f>DATE(1999,7,22)</f>
        <v>36363</v>
      </c>
      <c r="B4816" s="3">
        <f>DATE(2000,3,10)</f>
        <v>36595</v>
      </c>
      <c r="C4816" s="2" t="s">
        <v>95</v>
      </c>
      <c r="D4816" s="2" t="s">
        <v>14933</v>
      </c>
      <c r="E4816" s="2" t="s">
        <v>14934</v>
      </c>
      <c r="F4816" s="4">
        <v>5085</v>
      </c>
      <c r="G4816" s="2" t="s">
        <v>76</v>
      </c>
      <c r="H4816" s="2" t="s">
        <v>34</v>
      </c>
      <c r="I4816" s="2" t="s">
        <v>51</v>
      </c>
      <c r="J4816" s="2" t="s">
        <v>52</v>
      </c>
      <c r="K4816" s="2" t="s">
        <v>53</v>
      </c>
      <c r="L4816" s="2" t="s">
        <v>34</v>
      </c>
      <c r="M4816" s="2"/>
      <c r="N4816" s="2"/>
      <c r="O4816" s="2"/>
      <c r="P4816" s="2" t="s">
        <v>14935</v>
      </c>
      <c r="Q4816" s="6">
        <v>100</v>
      </c>
      <c r="R4816" s="6">
        <v>16.5</v>
      </c>
      <c r="S4816" s="5">
        <v>10.6</v>
      </c>
      <c r="T4816" s="7">
        <v>26.318999999999999</v>
      </c>
      <c r="U4816" s="5">
        <v>7.6</v>
      </c>
      <c r="V4816" s="6">
        <v>0.95</v>
      </c>
      <c r="W4816" s="7">
        <v>11.375</v>
      </c>
      <c r="X4816" s="7">
        <v>11.063000000000001</v>
      </c>
      <c r="Y4816" s="5">
        <v>11.5</v>
      </c>
      <c r="Z4816" s="6">
        <v>15.25</v>
      </c>
      <c r="AA4816" s="6">
        <v>10.73</v>
      </c>
      <c r="AB4816" s="7">
        <v>11.156000000000001</v>
      </c>
      <c r="AC4816" s="2"/>
    </row>
    <row r="4817" spans="1:29" ht="65" x14ac:dyDescent="0.15">
      <c r="A4817" s="3">
        <f>DATE(1999,7,23)</f>
        <v>36364</v>
      </c>
      <c r="B4817" s="2"/>
      <c r="C4817" s="2" t="s">
        <v>7330</v>
      </c>
      <c r="D4817" s="2" t="s">
        <v>14936</v>
      </c>
      <c r="E4817" s="2" t="s">
        <v>1175</v>
      </c>
      <c r="F4817" s="4">
        <v>3562</v>
      </c>
      <c r="G4817" s="2" t="s">
        <v>300</v>
      </c>
      <c r="H4817" s="2" t="s">
        <v>34</v>
      </c>
      <c r="I4817" s="2" t="s">
        <v>14937</v>
      </c>
      <c r="J4817" s="2" t="s">
        <v>1072</v>
      </c>
      <c r="K4817" s="2" t="s">
        <v>53</v>
      </c>
      <c r="L4817" s="2" t="s">
        <v>34</v>
      </c>
      <c r="M4817" s="2"/>
      <c r="N4817" s="2"/>
      <c r="O4817" s="2"/>
      <c r="P4817" s="2" t="s">
        <v>14938</v>
      </c>
      <c r="Q4817" s="2"/>
      <c r="R4817" s="6">
        <v>7.5</v>
      </c>
      <c r="S4817" s="5">
        <v>1</v>
      </c>
      <c r="T4817" s="7">
        <v>1.4790000000000001</v>
      </c>
      <c r="U4817" s="5">
        <v>0.6</v>
      </c>
      <c r="V4817" s="6">
        <v>0.59</v>
      </c>
      <c r="W4817" s="4">
        <v>6</v>
      </c>
      <c r="X4817" s="4">
        <v>6</v>
      </c>
      <c r="Y4817" s="5">
        <v>6.5</v>
      </c>
      <c r="Z4817" s="5">
        <v>7.5</v>
      </c>
      <c r="AA4817" s="6">
        <v>1.67</v>
      </c>
      <c r="AB4817" s="7">
        <v>11.776999999999999</v>
      </c>
      <c r="AC4817" s="2"/>
    </row>
    <row r="4818" spans="1:29" ht="91" x14ac:dyDescent="0.15">
      <c r="A4818" s="3">
        <f>DATE(1999,7,23)</f>
        <v>36364</v>
      </c>
      <c r="B4818" s="3">
        <f>DATE(1999,10,15)</f>
        <v>36448</v>
      </c>
      <c r="C4818" s="2" t="s">
        <v>95</v>
      </c>
      <c r="D4818" s="2" t="s">
        <v>11600</v>
      </c>
      <c r="E4818" s="2" t="s">
        <v>4865</v>
      </c>
      <c r="F4818" s="4">
        <v>3674</v>
      </c>
      <c r="G4818" s="2" t="s">
        <v>137</v>
      </c>
      <c r="H4818" s="2" t="s">
        <v>34</v>
      </c>
      <c r="I4818" s="2" t="s">
        <v>10973</v>
      </c>
      <c r="J4818" s="2" t="s">
        <v>10974</v>
      </c>
      <c r="K4818" s="2" t="s">
        <v>137</v>
      </c>
      <c r="L4818" s="2" t="s">
        <v>34</v>
      </c>
      <c r="M4818" s="12">
        <v>53113.031000000003</v>
      </c>
      <c r="N4818" s="4">
        <v>139</v>
      </c>
      <c r="O4818" s="6">
        <v>135.25</v>
      </c>
      <c r="P4818" s="2" t="s">
        <v>14939</v>
      </c>
      <c r="Q4818" s="6">
        <v>100</v>
      </c>
      <c r="R4818" s="6">
        <v>24.57</v>
      </c>
      <c r="S4818" s="5">
        <v>8.6</v>
      </c>
      <c r="T4818" s="6">
        <v>39.53</v>
      </c>
      <c r="U4818" s="5">
        <v>6.5</v>
      </c>
      <c r="V4818" s="6">
        <v>0.27</v>
      </c>
      <c r="W4818" s="6">
        <v>30.25</v>
      </c>
      <c r="X4818" s="7">
        <v>26.625</v>
      </c>
      <c r="Y4818" s="6">
        <v>26.75</v>
      </c>
      <c r="Z4818" s="6">
        <v>34.75</v>
      </c>
      <c r="AA4818" s="6">
        <v>32.090000000000003</v>
      </c>
      <c r="AB4818" s="7">
        <v>30.724</v>
      </c>
      <c r="AC4818" s="8">
        <v>1743</v>
      </c>
    </row>
    <row r="4819" spans="1:29" ht="91" x14ac:dyDescent="0.15">
      <c r="A4819" s="3">
        <f>DATE(1999,7,26)</f>
        <v>36367</v>
      </c>
      <c r="B4819" s="3">
        <f>DATE(1999,9,1)</f>
        <v>36404</v>
      </c>
      <c r="C4819" s="2" t="s">
        <v>95</v>
      </c>
      <c r="D4819" s="2" t="s">
        <v>14940</v>
      </c>
      <c r="E4819" s="2" t="s">
        <v>14941</v>
      </c>
      <c r="F4819" s="4">
        <v>2836</v>
      </c>
      <c r="G4819" s="2" t="s">
        <v>130</v>
      </c>
      <c r="H4819" s="2" t="s">
        <v>34</v>
      </c>
      <c r="I4819" s="2" t="s">
        <v>14942</v>
      </c>
      <c r="J4819" s="2" t="s">
        <v>7462</v>
      </c>
      <c r="K4819" s="2" t="s">
        <v>130</v>
      </c>
      <c r="L4819" s="2" t="s">
        <v>34</v>
      </c>
      <c r="M4819" s="2"/>
      <c r="N4819" s="2"/>
      <c r="O4819" s="2"/>
      <c r="P4819" s="2" t="s">
        <v>14943</v>
      </c>
      <c r="Q4819" s="6">
        <v>100</v>
      </c>
      <c r="R4819" s="6">
        <v>5.15</v>
      </c>
      <c r="S4819" s="5">
        <v>-7.6</v>
      </c>
      <c r="T4819" s="7">
        <v>-7.2679999999999998</v>
      </c>
      <c r="U4819" s="5">
        <v>1.3</v>
      </c>
      <c r="V4819" s="6">
        <v>-0.64</v>
      </c>
      <c r="W4819" s="7">
        <v>2.4380000000000002</v>
      </c>
      <c r="X4819" s="7">
        <v>4.3129999999999997</v>
      </c>
      <c r="Y4819" s="7">
        <v>4.9379999999999997</v>
      </c>
      <c r="Z4819" s="4">
        <v>5</v>
      </c>
      <c r="AA4819" s="6">
        <v>12.74</v>
      </c>
      <c r="AB4819" s="2" t="s">
        <v>86</v>
      </c>
      <c r="AC4819" s="2"/>
    </row>
    <row r="4820" spans="1:29" ht="195" x14ac:dyDescent="0.15">
      <c r="A4820" s="3">
        <f>DATE(1999,7,26)</f>
        <v>36367</v>
      </c>
      <c r="B4820" s="3">
        <f>DATE(1999,11,12)</f>
        <v>36476</v>
      </c>
      <c r="C4820" s="2" t="s">
        <v>95</v>
      </c>
      <c r="D4820" s="2" t="s">
        <v>14944</v>
      </c>
      <c r="E4820" s="2" t="s">
        <v>14945</v>
      </c>
      <c r="F4820" s="4">
        <v>2834</v>
      </c>
      <c r="G4820" s="2" t="s">
        <v>130</v>
      </c>
      <c r="H4820" s="2" t="s">
        <v>34</v>
      </c>
      <c r="I4820" s="2" t="s">
        <v>14946</v>
      </c>
      <c r="J4820" s="2" t="s">
        <v>129</v>
      </c>
      <c r="K4820" s="2" t="s">
        <v>130</v>
      </c>
      <c r="L4820" s="2" t="s">
        <v>902</v>
      </c>
      <c r="M4820" s="2"/>
      <c r="N4820" s="2"/>
      <c r="O4820" s="2"/>
      <c r="P4820" s="2" t="s">
        <v>14947</v>
      </c>
      <c r="Q4820" s="6">
        <v>85.43</v>
      </c>
      <c r="R4820" s="6">
        <v>7</v>
      </c>
      <c r="S4820" s="5">
        <v>-25.7</v>
      </c>
      <c r="T4820" s="7">
        <v>-5.1660000000000004</v>
      </c>
      <c r="U4820" s="5">
        <v>0.7</v>
      </c>
      <c r="V4820" s="6">
        <v>-1.17</v>
      </c>
      <c r="W4820" s="7">
        <v>4.8129999999999997</v>
      </c>
      <c r="X4820" s="7">
        <v>5.6879999999999997</v>
      </c>
      <c r="Y4820" s="7">
        <v>6.0629999999999997</v>
      </c>
      <c r="Z4820" s="7">
        <v>6.0309999999999997</v>
      </c>
      <c r="AA4820" s="6">
        <v>21.93</v>
      </c>
      <c r="AB4820" s="2" t="s">
        <v>86</v>
      </c>
      <c r="AC4820" s="6">
        <v>77.930000000000007</v>
      </c>
    </row>
    <row r="4821" spans="1:29" ht="104" x14ac:dyDescent="0.15">
      <c r="A4821" s="3">
        <f>DATE(1999,7,26)</f>
        <v>36367</v>
      </c>
      <c r="B4821" s="3">
        <f>DATE(1999,9,2)</f>
        <v>36405</v>
      </c>
      <c r="C4821" s="2" t="s">
        <v>95</v>
      </c>
      <c r="D4821" s="2" t="s">
        <v>14948</v>
      </c>
      <c r="E4821" s="2" t="s">
        <v>14949</v>
      </c>
      <c r="F4821" s="4">
        <v>5812</v>
      </c>
      <c r="G4821" s="2" t="s">
        <v>230</v>
      </c>
      <c r="H4821" s="2" t="s">
        <v>34</v>
      </c>
      <c r="I4821" s="2" t="s">
        <v>14950</v>
      </c>
      <c r="J4821" s="2" t="s">
        <v>14951</v>
      </c>
      <c r="K4821" s="2" t="s">
        <v>230</v>
      </c>
      <c r="L4821" s="2" t="s">
        <v>5907</v>
      </c>
      <c r="M4821" s="2"/>
      <c r="N4821" s="2"/>
      <c r="O4821" s="2"/>
      <c r="P4821" s="2" t="s">
        <v>14952</v>
      </c>
      <c r="Q4821" s="6">
        <v>100</v>
      </c>
      <c r="R4821" s="6">
        <v>15.75</v>
      </c>
      <c r="S4821" s="5">
        <v>24.3</v>
      </c>
      <c r="T4821" s="5">
        <v>133.19999999999999</v>
      </c>
      <c r="U4821" s="5">
        <v>-2.2000000000000002</v>
      </c>
      <c r="V4821" s="6">
        <v>0.69</v>
      </c>
      <c r="W4821" s="7">
        <v>9.0630000000000006</v>
      </c>
      <c r="X4821" s="6">
        <v>9.75</v>
      </c>
      <c r="Y4821" s="7">
        <v>15.484</v>
      </c>
      <c r="Z4821" s="7">
        <v>15.563000000000001</v>
      </c>
      <c r="AA4821" s="6">
        <v>33.65</v>
      </c>
      <c r="AB4821" s="7">
        <v>13.55</v>
      </c>
      <c r="AC4821" s="6">
        <v>247.16</v>
      </c>
    </row>
    <row r="4822" spans="1:29" ht="143" x14ac:dyDescent="0.15">
      <c r="A4822" s="3">
        <f>DATE(1999,7,26)</f>
        <v>36367</v>
      </c>
      <c r="B4822" s="3">
        <f>DATE(1999,12,23)</f>
        <v>36517</v>
      </c>
      <c r="C4822" s="2" t="s">
        <v>95</v>
      </c>
      <c r="D4822" s="2" t="s">
        <v>14953</v>
      </c>
      <c r="E4822" s="2" t="s">
        <v>14954</v>
      </c>
      <c r="F4822" s="4">
        <v>2834</v>
      </c>
      <c r="G4822" s="2" t="s">
        <v>130</v>
      </c>
      <c r="H4822" s="2" t="s">
        <v>34</v>
      </c>
      <c r="I4822" s="2" t="s">
        <v>14955</v>
      </c>
      <c r="J4822" s="2" t="s">
        <v>839</v>
      </c>
      <c r="K4822" s="2" t="s">
        <v>130</v>
      </c>
      <c r="L4822" s="2" t="s">
        <v>303</v>
      </c>
      <c r="M4822" s="2"/>
      <c r="N4822" s="2"/>
      <c r="O4822" s="2"/>
      <c r="P4822" s="2" t="s">
        <v>14956</v>
      </c>
      <c r="Q4822" s="6">
        <v>100</v>
      </c>
      <c r="R4822" s="6">
        <v>29.98</v>
      </c>
      <c r="S4822" s="5">
        <v>26.3</v>
      </c>
      <c r="T4822" s="2"/>
      <c r="U4822" s="5">
        <v>11.6</v>
      </c>
      <c r="V4822" s="6">
        <v>0.81</v>
      </c>
      <c r="W4822" s="6">
        <v>23.25</v>
      </c>
      <c r="X4822" s="4">
        <v>25</v>
      </c>
      <c r="Y4822" s="5">
        <v>26.5</v>
      </c>
      <c r="Z4822" s="4">
        <v>27</v>
      </c>
      <c r="AA4822" s="6">
        <v>31.56</v>
      </c>
      <c r="AB4822" s="7">
        <v>21.478000000000002</v>
      </c>
      <c r="AC4822" s="6">
        <v>49.21</v>
      </c>
    </row>
    <row r="4823" spans="1:29" ht="78" x14ac:dyDescent="0.15">
      <c r="A4823" s="3">
        <f>DATE(1999,7,27)</f>
        <v>36368</v>
      </c>
      <c r="B4823" s="3">
        <f>DATE(1999,12,27)</f>
        <v>36521</v>
      </c>
      <c r="C4823" s="2" t="s">
        <v>95</v>
      </c>
      <c r="D4823" s="2" t="s">
        <v>14957</v>
      </c>
      <c r="E4823" s="2" t="s">
        <v>14958</v>
      </c>
      <c r="F4823" s="4">
        <v>3084</v>
      </c>
      <c r="G4823" s="2" t="s">
        <v>447</v>
      </c>
      <c r="H4823" s="2" t="s">
        <v>34</v>
      </c>
      <c r="I4823" s="2" t="s">
        <v>14959</v>
      </c>
      <c r="J4823" s="2" t="s">
        <v>14960</v>
      </c>
      <c r="K4823" s="2" t="s">
        <v>98</v>
      </c>
      <c r="L4823" s="2" t="s">
        <v>99</v>
      </c>
      <c r="M4823" s="2"/>
      <c r="N4823" s="2"/>
      <c r="O4823" s="2"/>
      <c r="P4823" s="2" t="s">
        <v>14961</v>
      </c>
      <c r="Q4823" s="6">
        <v>87.17</v>
      </c>
      <c r="R4823" s="6">
        <v>9.5500000000000007</v>
      </c>
      <c r="S4823" s="5">
        <v>0.6</v>
      </c>
      <c r="T4823" s="7">
        <v>4.0590000000000002</v>
      </c>
      <c r="U4823" s="5">
        <v>5.7</v>
      </c>
      <c r="V4823" s="7">
        <v>0.16900000000000001</v>
      </c>
      <c r="W4823" s="4">
        <v>7</v>
      </c>
      <c r="X4823" s="4">
        <v>7</v>
      </c>
      <c r="Y4823" s="7">
        <v>8.1880000000000006</v>
      </c>
      <c r="Z4823" s="7">
        <v>8.3130000000000006</v>
      </c>
      <c r="AA4823" s="6">
        <v>3.41</v>
      </c>
      <c r="AB4823" s="7">
        <v>28.088999999999999</v>
      </c>
      <c r="AC4823" s="2"/>
    </row>
    <row r="4824" spans="1:29" ht="104" x14ac:dyDescent="0.15">
      <c r="A4824" s="3">
        <f>DATE(1999,7,27)</f>
        <v>36368</v>
      </c>
      <c r="B4824" s="3">
        <f>DATE(1999,12,20)</f>
        <v>36514</v>
      </c>
      <c r="C4824" s="2" t="s">
        <v>95</v>
      </c>
      <c r="D4824" s="2" t="s">
        <v>14962</v>
      </c>
      <c r="E4824" s="2" t="s">
        <v>36</v>
      </c>
      <c r="F4824" s="4">
        <v>6022</v>
      </c>
      <c r="G4824" s="2" t="s">
        <v>37</v>
      </c>
      <c r="H4824" s="2" t="s">
        <v>34</v>
      </c>
      <c r="I4824" s="2" t="s">
        <v>14963</v>
      </c>
      <c r="J4824" s="2" t="s">
        <v>159</v>
      </c>
      <c r="K4824" s="2" t="s">
        <v>37</v>
      </c>
      <c r="L4824" s="2" t="s">
        <v>34</v>
      </c>
      <c r="M4824" s="7">
        <v>136.959</v>
      </c>
      <c r="N4824" s="6">
        <v>19.75</v>
      </c>
      <c r="O4824" s="7">
        <v>19.375</v>
      </c>
      <c r="P4824" s="2" t="s">
        <v>14964</v>
      </c>
      <c r="Q4824" s="6">
        <v>100</v>
      </c>
      <c r="R4824" s="6">
        <v>22.65</v>
      </c>
      <c r="S4824" s="5">
        <v>1.9</v>
      </c>
      <c r="T4824" s="2"/>
      <c r="U4824" s="5">
        <v>11.3</v>
      </c>
      <c r="V4824" s="6">
        <v>1.48</v>
      </c>
      <c r="W4824" s="7">
        <v>15.375</v>
      </c>
      <c r="X4824" s="7">
        <v>14.438000000000001</v>
      </c>
      <c r="Y4824" s="7">
        <v>14.688000000000001</v>
      </c>
      <c r="Z4824" s="7">
        <v>18.125</v>
      </c>
      <c r="AA4824" s="6">
        <v>1.27</v>
      </c>
      <c r="AB4824" s="7">
        <v>21.407</v>
      </c>
      <c r="AC4824" s="2"/>
    </row>
    <row r="4825" spans="1:29" ht="117" x14ac:dyDescent="0.15">
      <c r="A4825" s="3">
        <f>DATE(1999,7,27)</f>
        <v>36368</v>
      </c>
      <c r="B4825" s="3">
        <f>DATE(1999,9,1)</f>
        <v>36404</v>
      </c>
      <c r="C4825" s="2" t="s">
        <v>95</v>
      </c>
      <c r="D4825" s="2" t="s">
        <v>14965</v>
      </c>
      <c r="E4825" s="2" t="s">
        <v>3804</v>
      </c>
      <c r="F4825" s="4">
        <v>4731</v>
      </c>
      <c r="G4825" s="2" t="s">
        <v>173</v>
      </c>
      <c r="H4825" s="2" t="s">
        <v>34</v>
      </c>
      <c r="I4825" s="2" t="s">
        <v>14966</v>
      </c>
      <c r="J4825" s="2" t="s">
        <v>14967</v>
      </c>
      <c r="K4825" s="2" t="s">
        <v>173</v>
      </c>
      <c r="L4825" s="2" t="s">
        <v>34</v>
      </c>
      <c r="M4825" s="2"/>
      <c r="N4825" s="2"/>
      <c r="O4825" s="2"/>
      <c r="P4825" s="2" t="s">
        <v>14968</v>
      </c>
      <c r="Q4825" s="6">
        <v>100</v>
      </c>
      <c r="R4825" s="6">
        <v>23</v>
      </c>
      <c r="S4825" s="5">
        <v>10.8</v>
      </c>
      <c r="T4825" s="2"/>
      <c r="U4825" s="5">
        <v>5.2</v>
      </c>
      <c r="V4825" s="6">
        <v>1.1399999999999999</v>
      </c>
      <c r="W4825" s="5">
        <v>17.5</v>
      </c>
      <c r="X4825" s="7">
        <v>18.062999999999999</v>
      </c>
      <c r="Y4825" s="7">
        <v>22.687999999999999</v>
      </c>
      <c r="Z4825" s="7">
        <v>22.687999999999999</v>
      </c>
      <c r="AA4825" s="6">
        <v>10.27</v>
      </c>
      <c r="AB4825" s="7">
        <v>12.840999999999999</v>
      </c>
      <c r="AC4825" s="2"/>
    </row>
    <row r="4826" spans="1:29" ht="52" x14ac:dyDescent="0.15">
      <c r="A4826" s="3">
        <f>DATE(1999,7,27)</f>
        <v>36368</v>
      </c>
      <c r="B4826" s="3">
        <f>DATE(1999,9,29)</f>
        <v>36432</v>
      </c>
      <c r="C4826" s="2" t="s">
        <v>95</v>
      </c>
      <c r="D4826" s="2" t="s">
        <v>14969</v>
      </c>
      <c r="E4826" s="2" t="s">
        <v>14970</v>
      </c>
      <c r="F4826" s="4">
        <v>3571</v>
      </c>
      <c r="G4826" s="2" t="s">
        <v>50</v>
      </c>
      <c r="H4826" s="2" t="s">
        <v>34</v>
      </c>
      <c r="I4826" s="2" t="s">
        <v>5443</v>
      </c>
      <c r="J4826" s="2" t="s">
        <v>5444</v>
      </c>
      <c r="K4826" s="2" t="s">
        <v>50</v>
      </c>
      <c r="L4826" s="2" t="s">
        <v>34</v>
      </c>
      <c r="M4826" s="12">
        <v>114736.11199999999</v>
      </c>
      <c r="N4826" s="6">
        <v>126.25</v>
      </c>
      <c r="O4826" s="7">
        <v>128.375</v>
      </c>
      <c r="P4826" s="2" t="s">
        <v>14971</v>
      </c>
      <c r="Q4826" s="6">
        <v>100</v>
      </c>
      <c r="R4826" s="6">
        <v>12</v>
      </c>
      <c r="S4826" s="5">
        <v>-5.2</v>
      </c>
      <c r="T4826" s="7">
        <v>0.35699999999999998</v>
      </c>
      <c r="U4826" s="5">
        <v>4.2</v>
      </c>
      <c r="V4826" s="6">
        <v>-0.26</v>
      </c>
      <c r="W4826" s="7">
        <v>10.188000000000001</v>
      </c>
      <c r="X4826" s="4">
        <v>10</v>
      </c>
      <c r="Y4826" s="6">
        <v>10.25</v>
      </c>
      <c r="Z4826" s="7">
        <v>11.563000000000001</v>
      </c>
      <c r="AA4826" s="6">
        <v>19.940000000000001</v>
      </c>
      <c r="AB4826" s="2" t="s">
        <v>86</v>
      </c>
      <c r="AC4826" s="8">
        <v>7241</v>
      </c>
    </row>
    <row r="4827" spans="1:29" ht="104" x14ac:dyDescent="0.15">
      <c r="A4827" s="3">
        <f>DATE(1999,7,27)</f>
        <v>36368</v>
      </c>
      <c r="B4827" s="3">
        <f>DATE(1999,10,27)</f>
        <v>36460</v>
      </c>
      <c r="C4827" s="2" t="s">
        <v>95</v>
      </c>
      <c r="D4827" s="2" t="s">
        <v>14972</v>
      </c>
      <c r="E4827" s="2" t="s">
        <v>14973</v>
      </c>
      <c r="F4827" s="4">
        <v>3069</v>
      </c>
      <c r="G4827" s="2" t="s">
        <v>447</v>
      </c>
      <c r="H4827" s="2" t="s">
        <v>34</v>
      </c>
      <c r="I4827" s="2" t="s">
        <v>14974</v>
      </c>
      <c r="J4827" s="2" t="s">
        <v>14975</v>
      </c>
      <c r="K4827" s="2" t="s">
        <v>447</v>
      </c>
      <c r="L4827" s="2" t="s">
        <v>34</v>
      </c>
      <c r="M4827" s="12">
        <v>1767.9480000000001</v>
      </c>
      <c r="N4827" s="5">
        <v>22.5</v>
      </c>
      <c r="O4827" s="7">
        <v>22.562999999999999</v>
      </c>
      <c r="P4827" s="2" t="s">
        <v>14976</v>
      </c>
      <c r="Q4827" s="6">
        <v>100</v>
      </c>
      <c r="R4827" s="6">
        <v>36.5</v>
      </c>
      <c r="S4827" s="5">
        <v>28.9</v>
      </c>
      <c r="T4827" s="7">
        <v>119.744</v>
      </c>
      <c r="U4827" s="5">
        <v>18.100000000000001</v>
      </c>
      <c r="V4827" s="6">
        <v>1.78</v>
      </c>
      <c r="W4827" s="7">
        <v>23.562999999999999</v>
      </c>
      <c r="X4827" s="4">
        <v>25</v>
      </c>
      <c r="Y4827" s="4">
        <v>35</v>
      </c>
      <c r="Z4827" s="6">
        <v>35.25</v>
      </c>
      <c r="AA4827" s="6">
        <v>16.059999999999999</v>
      </c>
      <c r="AB4827" s="7">
        <v>11.702</v>
      </c>
      <c r="AC4827" s="6">
        <v>27.83</v>
      </c>
    </row>
    <row r="4828" spans="1:29" ht="104" x14ac:dyDescent="0.15">
      <c r="A4828" s="3">
        <f t="shared" ref="A4828:A4833" si="103">DATE(1999,7,28)</f>
        <v>36369</v>
      </c>
      <c r="B4828" s="3">
        <f>DATE(1999,9,7)</f>
        <v>36410</v>
      </c>
      <c r="C4828" s="2" t="s">
        <v>95</v>
      </c>
      <c r="D4828" s="2" t="s">
        <v>14977</v>
      </c>
      <c r="E4828" s="2" t="s">
        <v>314</v>
      </c>
      <c r="F4828" s="4">
        <v>3423</v>
      </c>
      <c r="G4828" s="2" t="s">
        <v>163</v>
      </c>
      <c r="H4828" s="2" t="s">
        <v>34</v>
      </c>
      <c r="I4828" s="2" t="s">
        <v>14978</v>
      </c>
      <c r="J4828" s="2" t="s">
        <v>14979</v>
      </c>
      <c r="K4828" s="2" t="s">
        <v>237</v>
      </c>
      <c r="L4828" s="2" t="s">
        <v>303</v>
      </c>
      <c r="M4828" s="2"/>
      <c r="N4828" s="2"/>
      <c r="O4828" s="2"/>
      <c r="P4828" s="2" t="s">
        <v>14980</v>
      </c>
      <c r="Q4828" s="6">
        <v>100</v>
      </c>
      <c r="R4828" s="6">
        <v>15.2</v>
      </c>
      <c r="S4828" s="5">
        <v>7</v>
      </c>
      <c r="T4828" s="7">
        <v>34.009</v>
      </c>
      <c r="U4828" s="5">
        <v>7.2</v>
      </c>
      <c r="V4828" s="6">
        <v>0.73</v>
      </c>
      <c r="W4828" s="6">
        <v>11.25</v>
      </c>
      <c r="X4828" s="4">
        <v>12</v>
      </c>
      <c r="Y4828" s="7">
        <v>14.906000000000001</v>
      </c>
      <c r="Z4828" s="7">
        <v>14.875</v>
      </c>
      <c r="AA4828" s="6">
        <v>9.65</v>
      </c>
      <c r="AB4828" s="7">
        <v>9.7810000000000006</v>
      </c>
      <c r="AC4828" s="2"/>
    </row>
    <row r="4829" spans="1:29" ht="130" x14ac:dyDescent="0.15">
      <c r="A4829" s="3">
        <f t="shared" si="103"/>
        <v>36369</v>
      </c>
      <c r="B4829" s="3">
        <f>DATE(1999,10,19)</f>
        <v>36452</v>
      </c>
      <c r="C4829" s="2" t="s">
        <v>95</v>
      </c>
      <c r="D4829" s="2" t="s">
        <v>14981</v>
      </c>
      <c r="E4829" s="2" t="s">
        <v>849</v>
      </c>
      <c r="F4829" s="4">
        <v>7372</v>
      </c>
      <c r="G4829" s="2" t="s">
        <v>551</v>
      </c>
      <c r="H4829" s="2" t="s">
        <v>34</v>
      </c>
      <c r="I4829" s="2" t="s">
        <v>51</v>
      </c>
      <c r="J4829" s="2" t="s">
        <v>52</v>
      </c>
      <c r="K4829" s="2" t="s">
        <v>53</v>
      </c>
      <c r="L4829" s="2" t="s">
        <v>303</v>
      </c>
      <c r="M4829" s="2"/>
      <c r="N4829" s="2"/>
      <c r="O4829" s="2"/>
      <c r="P4829" s="2" t="s">
        <v>14982</v>
      </c>
      <c r="Q4829" s="6">
        <v>100</v>
      </c>
      <c r="R4829" s="6">
        <v>12.75</v>
      </c>
      <c r="S4829" s="5">
        <v>4.7</v>
      </c>
      <c r="T4829" s="7">
        <v>7.4720000000000004</v>
      </c>
      <c r="U4829" s="5">
        <v>5.9</v>
      </c>
      <c r="V4829" s="6">
        <v>0.87</v>
      </c>
      <c r="W4829" s="6">
        <v>9.75</v>
      </c>
      <c r="X4829" s="7">
        <v>9.375</v>
      </c>
      <c r="Y4829" s="7">
        <v>12.438000000000001</v>
      </c>
      <c r="Z4829" s="7">
        <v>12.375</v>
      </c>
      <c r="AA4829" s="6">
        <v>5.3</v>
      </c>
      <c r="AB4829" s="7">
        <v>7.2590000000000003</v>
      </c>
      <c r="AC4829" s="2"/>
    </row>
    <row r="4830" spans="1:29" ht="117" x14ac:dyDescent="0.15">
      <c r="A4830" s="3">
        <f t="shared" si="103"/>
        <v>36369</v>
      </c>
      <c r="B4830" s="3">
        <f>DATE(2000,1,14)</f>
        <v>36539</v>
      </c>
      <c r="C4830" s="2" t="s">
        <v>95</v>
      </c>
      <c r="D4830" s="2" t="s">
        <v>9132</v>
      </c>
      <c r="E4830" s="2" t="s">
        <v>826</v>
      </c>
      <c r="F4830" s="4">
        <v>6022</v>
      </c>
      <c r="G4830" s="2" t="s">
        <v>37</v>
      </c>
      <c r="H4830" s="2" t="s">
        <v>34</v>
      </c>
      <c r="I4830" s="2" t="s">
        <v>13707</v>
      </c>
      <c r="J4830" s="2" t="s">
        <v>36</v>
      </c>
      <c r="K4830" s="2" t="s">
        <v>37</v>
      </c>
      <c r="L4830" s="2" t="s">
        <v>34</v>
      </c>
      <c r="M4830" s="12">
        <v>11283.884</v>
      </c>
      <c r="N4830" s="7">
        <v>36.625</v>
      </c>
      <c r="O4830" s="4">
        <v>36</v>
      </c>
      <c r="P4830" s="2" t="s">
        <v>14983</v>
      </c>
      <c r="Q4830" s="6">
        <v>100</v>
      </c>
      <c r="R4830" s="6">
        <v>18.43</v>
      </c>
      <c r="S4830" s="5">
        <v>22.7</v>
      </c>
      <c r="T4830" s="2"/>
      <c r="U4830" s="5">
        <v>5.3</v>
      </c>
      <c r="V4830" s="6">
        <v>0.7</v>
      </c>
      <c r="W4830" s="9">
        <v>19.1875</v>
      </c>
      <c r="X4830" s="9">
        <v>19.4375</v>
      </c>
      <c r="Y4830" s="7">
        <v>19.875</v>
      </c>
      <c r="Z4830" s="9">
        <v>17.8125</v>
      </c>
      <c r="AA4830" s="6">
        <v>26.1</v>
      </c>
      <c r="AB4830" s="7">
        <v>15.279</v>
      </c>
      <c r="AC4830" s="2"/>
    </row>
    <row r="4831" spans="1:29" ht="39" x14ac:dyDescent="0.15">
      <c r="A4831" s="3">
        <f t="shared" si="103"/>
        <v>36369</v>
      </c>
      <c r="B4831" s="2"/>
      <c r="C4831" s="2" t="s">
        <v>39</v>
      </c>
      <c r="D4831" s="2" t="s">
        <v>14653</v>
      </c>
      <c r="E4831" s="2" t="s">
        <v>14654</v>
      </c>
      <c r="F4831" s="4">
        <v>4813</v>
      </c>
      <c r="G4831" s="2" t="s">
        <v>63</v>
      </c>
      <c r="H4831" s="2" t="s">
        <v>34</v>
      </c>
      <c r="I4831" s="2" t="s">
        <v>14984</v>
      </c>
      <c r="J4831" s="2" t="s">
        <v>6519</v>
      </c>
      <c r="K4831" s="2" t="s">
        <v>63</v>
      </c>
      <c r="L4831" s="2" t="s">
        <v>1049</v>
      </c>
      <c r="M4831" s="2"/>
      <c r="N4831" s="2"/>
      <c r="O4831" s="2"/>
      <c r="P4831" s="2" t="s">
        <v>14985</v>
      </c>
      <c r="Q4831" s="2"/>
      <c r="R4831" s="2"/>
      <c r="S4831" s="5">
        <v>62.3</v>
      </c>
      <c r="T4831" s="5">
        <v>608.1</v>
      </c>
      <c r="U4831" s="5">
        <v>9.3000000000000007</v>
      </c>
      <c r="V4831" s="7">
        <v>0.48499999999999999</v>
      </c>
      <c r="W4831" s="7">
        <v>32.313000000000002</v>
      </c>
      <c r="X4831" s="7">
        <v>30.125</v>
      </c>
      <c r="Y4831" s="9">
        <v>31.4375</v>
      </c>
      <c r="Z4831" s="4">
        <v>30</v>
      </c>
      <c r="AA4831" s="2"/>
      <c r="AB4831" s="2" t="s">
        <v>47</v>
      </c>
      <c r="AC4831" s="10">
        <v>6429.79</v>
      </c>
    </row>
    <row r="4832" spans="1:29" ht="26" x14ac:dyDescent="0.15">
      <c r="A4832" s="3">
        <f t="shared" si="103"/>
        <v>36369</v>
      </c>
      <c r="B4832" s="2"/>
      <c r="C4832" s="2" t="s">
        <v>39</v>
      </c>
      <c r="D4832" s="2" t="s">
        <v>14230</v>
      </c>
      <c r="E4832" s="2" t="s">
        <v>14231</v>
      </c>
      <c r="F4832" s="4">
        <v>4813</v>
      </c>
      <c r="G4832" s="2" t="s">
        <v>63</v>
      </c>
      <c r="H4832" s="2" t="s">
        <v>34</v>
      </c>
      <c r="I4832" s="2" t="s">
        <v>14984</v>
      </c>
      <c r="J4832" s="2" t="s">
        <v>6519</v>
      </c>
      <c r="K4832" s="2" t="s">
        <v>63</v>
      </c>
      <c r="L4832" s="2" t="s">
        <v>1049</v>
      </c>
      <c r="M4832" s="2"/>
      <c r="N4832" s="2"/>
      <c r="O4832" s="2"/>
      <c r="P4832" s="2" t="s">
        <v>14986</v>
      </c>
      <c r="Q4832" s="2"/>
      <c r="R4832" s="2"/>
      <c r="S4832" s="5">
        <v>450.5</v>
      </c>
      <c r="T4832" s="8">
        <v>2405.5</v>
      </c>
      <c r="U4832" s="2"/>
      <c r="V4832" s="2"/>
      <c r="W4832" s="7">
        <v>53.188000000000002</v>
      </c>
      <c r="X4832" s="5">
        <v>50.5</v>
      </c>
      <c r="Y4832" s="6">
        <v>51.25</v>
      </c>
      <c r="Z4832" s="4">
        <v>54</v>
      </c>
      <c r="AA4832" s="6">
        <v>836.91</v>
      </c>
      <c r="AB4832" s="2" t="s">
        <v>47</v>
      </c>
      <c r="AC4832" s="10">
        <v>6429.79</v>
      </c>
    </row>
    <row r="4833" spans="1:29" ht="182" x14ac:dyDescent="0.15">
      <c r="A4833" s="3">
        <f t="shared" si="103"/>
        <v>36369</v>
      </c>
      <c r="B4833" s="2"/>
      <c r="C4833" s="2" t="s">
        <v>30</v>
      </c>
      <c r="D4833" s="2" t="s">
        <v>14987</v>
      </c>
      <c r="E4833" s="2" t="s">
        <v>11435</v>
      </c>
      <c r="F4833" s="4">
        <v>8741</v>
      </c>
      <c r="G4833" s="2" t="s">
        <v>223</v>
      </c>
      <c r="H4833" s="2" t="s">
        <v>34</v>
      </c>
      <c r="I4833" s="2" t="s">
        <v>51</v>
      </c>
      <c r="J4833" s="2" t="s">
        <v>52</v>
      </c>
      <c r="K4833" s="2" t="s">
        <v>53</v>
      </c>
      <c r="L4833" s="2" t="s">
        <v>34</v>
      </c>
      <c r="M4833" s="2"/>
      <c r="N4833" s="2"/>
      <c r="O4833" s="2"/>
      <c r="P4833" s="2" t="s">
        <v>14988</v>
      </c>
      <c r="Q4833" s="2"/>
      <c r="R4833" s="6">
        <v>6.75</v>
      </c>
      <c r="S4833" s="5">
        <v>-0.8</v>
      </c>
      <c r="T4833" s="7">
        <v>1.905</v>
      </c>
      <c r="U4833" s="5">
        <v>6.3</v>
      </c>
      <c r="V4833" s="6">
        <v>-0.18</v>
      </c>
      <c r="W4833" s="6">
        <v>4.25</v>
      </c>
      <c r="X4833" s="4">
        <v>4</v>
      </c>
      <c r="Y4833" s="7">
        <v>5.125</v>
      </c>
      <c r="Z4833" s="6">
        <v>4.75</v>
      </c>
      <c r="AA4833" s="6">
        <v>4.26</v>
      </c>
      <c r="AB4833" s="7">
        <v>279.60199999999998</v>
      </c>
      <c r="AC4833" s="2"/>
    </row>
    <row r="4834" spans="1:29" ht="182" x14ac:dyDescent="0.15">
      <c r="A4834" s="3">
        <f>DATE(1999,7,29)</f>
        <v>36370</v>
      </c>
      <c r="B4834" s="3">
        <f>DATE(2000,3,10)</f>
        <v>36595</v>
      </c>
      <c r="C4834" s="2" t="s">
        <v>95</v>
      </c>
      <c r="D4834" s="2" t="s">
        <v>14989</v>
      </c>
      <c r="E4834" s="2" t="s">
        <v>3780</v>
      </c>
      <c r="F4834" s="4">
        <v>6021</v>
      </c>
      <c r="G4834" s="2" t="s">
        <v>37</v>
      </c>
      <c r="H4834" s="2" t="s">
        <v>34</v>
      </c>
      <c r="I4834" s="2" t="s">
        <v>7744</v>
      </c>
      <c r="J4834" s="2" t="s">
        <v>36</v>
      </c>
      <c r="K4834" s="2" t="s">
        <v>37</v>
      </c>
      <c r="L4834" s="2" t="s">
        <v>34</v>
      </c>
      <c r="M4834" s="12">
        <v>1417.575</v>
      </c>
      <c r="N4834" s="7">
        <v>30.062999999999999</v>
      </c>
      <c r="O4834" s="7">
        <v>28.812999999999999</v>
      </c>
      <c r="P4834" s="2" t="s">
        <v>14990</v>
      </c>
      <c r="Q4834" s="6">
        <v>100</v>
      </c>
      <c r="R4834" s="6">
        <v>41.51</v>
      </c>
      <c r="S4834" s="5">
        <v>8.1</v>
      </c>
      <c r="T4834" s="7">
        <v>14.667</v>
      </c>
      <c r="U4834" s="5">
        <v>13.4</v>
      </c>
      <c r="V4834" s="6">
        <v>1.52</v>
      </c>
      <c r="W4834" s="7">
        <v>26.125</v>
      </c>
      <c r="X4834" s="6">
        <v>28.75</v>
      </c>
      <c r="Y4834" s="6">
        <v>28.25</v>
      </c>
      <c r="Z4834" s="7">
        <v>32.375</v>
      </c>
      <c r="AA4834" s="6">
        <v>5.44</v>
      </c>
      <c r="AB4834" s="7">
        <v>78.251000000000005</v>
      </c>
      <c r="AC4834" s="5">
        <v>185.6</v>
      </c>
    </row>
    <row r="4835" spans="1:29" ht="169" x14ac:dyDescent="0.15">
      <c r="A4835" s="3">
        <f>DATE(1999,7,29)</f>
        <v>36370</v>
      </c>
      <c r="B4835" s="3">
        <f>DATE(2000,2,11)</f>
        <v>36567</v>
      </c>
      <c r="C4835" s="2" t="s">
        <v>95</v>
      </c>
      <c r="D4835" s="2" t="s">
        <v>14991</v>
      </c>
      <c r="E4835" s="2" t="s">
        <v>36</v>
      </c>
      <c r="F4835" s="4">
        <v>6021</v>
      </c>
      <c r="G4835" s="2" t="s">
        <v>37</v>
      </c>
      <c r="H4835" s="2" t="s">
        <v>34</v>
      </c>
      <c r="I4835" s="2" t="s">
        <v>4392</v>
      </c>
      <c r="J4835" s="2" t="s">
        <v>263</v>
      </c>
      <c r="K4835" s="2" t="s">
        <v>37</v>
      </c>
      <c r="L4835" s="2" t="s">
        <v>34</v>
      </c>
      <c r="M4835" s="12">
        <v>4287.9549999999999</v>
      </c>
      <c r="N4835" s="7">
        <v>42.313000000000002</v>
      </c>
      <c r="O4835" s="7">
        <v>41.813000000000002</v>
      </c>
      <c r="P4835" s="2" t="s">
        <v>14992</v>
      </c>
      <c r="Q4835" s="6">
        <v>100</v>
      </c>
      <c r="R4835" s="6">
        <v>35.119999999999997</v>
      </c>
      <c r="S4835" s="5">
        <v>9.1999999999999993</v>
      </c>
      <c r="T4835" s="2"/>
      <c r="U4835" s="5">
        <v>13.9</v>
      </c>
      <c r="V4835" s="6">
        <v>1.75</v>
      </c>
      <c r="W4835" s="7">
        <v>27.687999999999999</v>
      </c>
      <c r="X4835" s="4">
        <v>29</v>
      </c>
      <c r="Y4835" s="6">
        <v>32.25</v>
      </c>
      <c r="Z4835" s="7">
        <v>32.875</v>
      </c>
      <c r="AA4835" s="6">
        <v>5.18</v>
      </c>
      <c r="AB4835" s="7">
        <v>18.609000000000002</v>
      </c>
      <c r="AC4835" s="2"/>
    </row>
    <row r="4836" spans="1:29" ht="117" x14ac:dyDescent="0.15">
      <c r="A4836" s="3">
        <f>DATE(1999,7,29)</f>
        <v>36370</v>
      </c>
      <c r="B4836" s="3">
        <f>DATE(2000,1,28)</f>
        <v>36553</v>
      </c>
      <c r="C4836" s="2" t="s">
        <v>95</v>
      </c>
      <c r="D4836" s="2" t="s">
        <v>14993</v>
      </c>
      <c r="E4836" s="2" t="s">
        <v>14994</v>
      </c>
      <c r="F4836" s="4">
        <v>6022</v>
      </c>
      <c r="G4836" s="2" t="s">
        <v>37</v>
      </c>
      <c r="H4836" s="2" t="s">
        <v>34</v>
      </c>
      <c r="I4836" s="2" t="s">
        <v>154</v>
      </c>
      <c r="J4836" s="2" t="s">
        <v>36</v>
      </c>
      <c r="K4836" s="2" t="s">
        <v>37</v>
      </c>
      <c r="L4836" s="2" t="s">
        <v>34</v>
      </c>
      <c r="M4836" s="2"/>
      <c r="N4836" s="9">
        <v>40.3125</v>
      </c>
      <c r="O4836" s="4">
        <v>39</v>
      </c>
      <c r="P4836" s="2" t="s">
        <v>14995</v>
      </c>
      <c r="Q4836" s="6">
        <v>100</v>
      </c>
      <c r="R4836" s="6">
        <v>24.11</v>
      </c>
      <c r="S4836" s="5">
        <v>14.5</v>
      </c>
      <c r="T4836" s="2"/>
      <c r="U4836" s="5">
        <v>9.1999999999999993</v>
      </c>
      <c r="V4836" s="6">
        <v>1.4</v>
      </c>
      <c r="W4836" s="7">
        <v>20.625</v>
      </c>
      <c r="X4836" s="7">
        <v>20.125</v>
      </c>
      <c r="Y4836" s="6">
        <v>22.25</v>
      </c>
      <c r="Z4836" s="7">
        <v>21.875</v>
      </c>
      <c r="AA4836" s="6">
        <v>10.210000000000001</v>
      </c>
      <c r="AB4836" s="7">
        <v>16.946000000000002</v>
      </c>
      <c r="AC4836" s="2"/>
    </row>
    <row r="4837" spans="1:29" ht="78" x14ac:dyDescent="0.15">
      <c r="A4837" s="3">
        <f>DATE(1999,7,30)</f>
        <v>36371</v>
      </c>
      <c r="B4837" s="3">
        <f>DATE(1999,10,21)</f>
        <v>36454</v>
      </c>
      <c r="C4837" s="2" t="s">
        <v>95</v>
      </c>
      <c r="D4837" s="2" t="s">
        <v>14996</v>
      </c>
      <c r="E4837" s="2" t="s">
        <v>14997</v>
      </c>
      <c r="F4837" s="4">
        <v>3365</v>
      </c>
      <c r="G4837" s="2" t="s">
        <v>163</v>
      </c>
      <c r="H4837" s="2" t="s">
        <v>34</v>
      </c>
      <c r="I4837" s="2" t="s">
        <v>14998</v>
      </c>
      <c r="J4837" s="2" t="s">
        <v>14999</v>
      </c>
      <c r="K4837" s="2" t="s">
        <v>137</v>
      </c>
      <c r="L4837" s="2" t="s">
        <v>34</v>
      </c>
      <c r="M4837" s="2"/>
      <c r="N4837" s="2"/>
      <c r="O4837" s="2"/>
      <c r="P4837" s="2" t="s">
        <v>15000</v>
      </c>
      <c r="Q4837" s="6">
        <v>100</v>
      </c>
      <c r="R4837" s="6">
        <v>28.75</v>
      </c>
      <c r="S4837" s="5">
        <v>2.1</v>
      </c>
      <c r="T4837" s="7">
        <v>9.6720000000000006</v>
      </c>
      <c r="U4837" s="5">
        <v>11.7</v>
      </c>
      <c r="V4837" s="7">
        <v>0.55800000000000005</v>
      </c>
      <c r="W4837" s="6">
        <v>19.25</v>
      </c>
      <c r="X4837" s="7">
        <v>20.062999999999999</v>
      </c>
      <c r="Y4837" s="5">
        <v>20.5</v>
      </c>
      <c r="Z4837" s="5">
        <v>27.5</v>
      </c>
      <c r="AA4837" s="6">
        <v>4.03</v>
      </c>
      <c r="AB4837" s="7">
        <v>26.504000000000001</v>
      </c>
      <c r="AC4837" s="2"/>
    </row>
    <row r="4838" spans="1:29" ht="130" x14ac:dyDescent="0.15">
      <c r="A4838" s="3">
        <f>DATE(1999,7,30)</f>
        <v>36371</v>
      </c>
      <c r="B4838" s="3">
        <f>DATE(1999,12,23)</f>
        <v>36517</v>
      </c>
      <c r="C4838" s="2" t="s">
        <v>95</v>
      </c>
      <c r="D4838" s="2" t="s">
        <v>15001</v>
      </c>
      <c r="E4838" s="2" t="s">
        <v>36</v>
      </c>
      <c r="F4838" s="4">
        <v>6022</v>
      </c>
      <c r="G4838" s="2" t="s">
        <v>37</v>
      </c>
      <c r="H4838" s="2" t="s">
        <v>34</v>
      </c>
      <c r="I4838" s="2" t="s">
        <v>15002</v>
      </c>
      <c r="J4838" s="2" t="s">
        <v>263</v>
      </c>
      <c r="K4838" s="2" t="s">
        <v>37</v>
      </c>
      <c r="L4838" s="2" t="s">
        <v>34</v>
      </c>
      <c r="M4838" s="6">
        <v>161.06</v>
      </c>
      <c r="N4838" s="6">
        <v>34.75</v>
      </c>
      <c r="O4838" s="6">
        <v>34.75</v>
      </c>
      <c r="P4838" s="2" t="s">
        <v>15003</v>
      </c>
      <c r="Q4838" s="6">
        <v>100</v>
      </c>
      <c r="R4838" s="6">
        <v>23.8</v>
      </c>
      <c r="S4838" s="5">
        <v>3.6</v>
      </c>
      <c r="T4838" s="2"/>
      <c r="U4838" s="5">
        <v>10.3</v>
      </c>
      <c r="V4838" s="6">
        <v>1.1000000000000001</v>
      </c>
      <c r="W4838" s="6">
        <v>13.75</v>
      </c>
      <c r="X4838" s="6">
        <v>13.75</v>
      </c>
      <c r="Y4838" s="7">
        <v>13.813000000000001</v>
      </c>
      <c r="Z4838" s="6">
        <v>21.75</v>
      </c>
      <c r="AA4838" s="6">
        <v>3.46</v>
      </c>
      <c r="AB4838" s="7">
        <v>17.268000000000001</v>
      </c>
      <c r="AC4838" s="2"/>
    </row>
    <row r="4839" spans="1:29" ht="169" x14ac:dyDescent="0.15">
      <c r="A4839" s="3">
        <f>DATE(1999,7,30)</f>
        <v>36371</v>
      </c>
      <c r="B4839" s="3">
        <f>DATE(2000,6,12)</f>
        <v>36689</v>
      </c>
      <c r="C4839" s="2" t="s">
        <v>95</v>
      </c>
      <c r="D4839" s="2" t="s">
        <v>15004</v>
      </c>
      <c r="E4839" s="2" t="s">
        <v>398</v>
      </c>
      <c r="F4839" s="4">
        <v>7812</v>
      </c>
      <c r="G4839" s="2" t="s">
        <v>42</v>
      </c>
      <c r="H4839" s="2" t="s">
        <v>34</v>
      </c>
      <c r="I4839" s="2" t="s">
        <v>3558</v>
      </c>
      <c r="J4839" s="2" t="s">
        <v>1893</v>
      </c>
      <c r="K4839" s="2" t="s">
        <v>45</v>
      </c>
      <c r="L4839" s="2" t="s">
        <v>34</v>
      </c>
      <c r="M4839" s="12">
        <v>21693.008000000002</v>
      </c>
      <c r="N4839" s="4">
        <v>37</v>
      </c>
      <c r="O4839" s="7">
        <v>36.438000000000002</v>
      </c>
      <c r="P4839" s="2" t="s">
        <v>15005</v>
      </c>
      <c r="Q4839" s="6">
        <v>59.01</v>
      </c>
      <c r="R4839" s="6">
        <v>14.8</v>
      </c>
      <c r="S4839" s="5">
        <v>2.1</v>
      </c>
      <c r="T4839" s="7">
        <v>20.812999999999999</v>
      </c>
      <c r="U4839" s="5">
        <v>7.8</v>
      </c>
      <c r="V4839" s="7">
        <v>0.23100000000000001</v>
      </c>
      <c r="W4839" s="7">
        <v>6.625</v>
      </c>
      <c r="X4839" s="7">
        <v>8.6880000000000006</v>
      </c>
      <c r="Y4839" s="7">
        <v>9.375</v>
      </c>
      <c r="Z4839" s="7">
        <v>10.125</v>
      </c>
      <c r="AA4839" s="6">
        <v>9.6999999999999993</v>
      </c>
      <c r="AB4839" s="7">
        <v>28.175000000000001</v>
      </c>
      <c r="AC4839" s="2"/>
    </row>
    <row r="4840" spans="1:29" ht="143" x14ac:dyDescent="0.15">
      <c r="A4840" s="3">
        <f>DATE(1999,7,30)</f>
        <v>36371</v>
      </c>
      <c r="B4840" s="3">
        <f>DATE(2000,1,12)</f>
        <v>36537</v>
      </c>
      <c r="C4840" s="2" t="s">
        <v>95</v>
      </c>
      <c r="D4840" s="2" t="s">
        <v>15006</v>
      </c>
      <c r="E4840" s="2" t="s">
        <v>15007</v>
      </c>
      <c r="F4840" s="4">
        <v>7372</v>
      </c>
      <c r="G4840" s="2" t="s">
        <v>551</v>
      </c>
      <c r="H4840" s="2" t="s">
        <v>34</v>
      </c>
      <c r="I4840" s="2" t="s">
        <v>13236</v>
      </c>
      <c r="J4840" s="2" t="s">
        <v>4865</v>
      </c>
      <c r="K4840" s="2" t="s">
        <v>137</v>
      </c>
      <c r="L4840" s="2" t="s">
        <v>34</v>
      </c>
      <c r="M4840" s="7">
        <v>154.548</v>
      </c>
      <c r="N4840" s="6">
        <v>3.75</v>
      </c>
      <c r="O4840" s="4">
        <v>4</v>
      </c>
      <c r="P4840" s="2" t="s">
        <v>15008</v>
      </c>
      <c r="Q4840" s="6">
        <v>100</v>
      </c>
      <c r="R4840" s="6">
        <v>6.1</v>
      </c>
      <c r="S4840" s="5">
        <v>2.8</v>
      </c>
      <c r="T4840" s="7">
        <v>3.927</v>
      </c>
      <c r="U4840" s="5">
        <v>1.7</v>
      </c>
      <c r="V4840" s="6">
        <v>0.22</v>
      </c>
      <c r="W4840" s="7">
        <v>4.875</v>
      </c>
      <c r="X4840" s="7">
        <v>5.0629999999999997</v>
      </c>
      <c r="Y4840" s="7">
        <v>5.3440000000000003</v>
      </c>
      <c r="Z4840" s="4">
        <v>5</v>
      </c>
      <c r="AA4840" s="6">
        <v>12.44</v>
      </c>
      <c r="AB4840" s="7">
        <v>24.085999999999999</v>
      </c>
      <c r="AC4840" s="6">
        <v>133.19999999999999</v>
      </c>
    </row>
    <row r="4841" spans="1:29" ht="117" x14ac:dyDescent="0.15">
      <c r="A4841" s="3">
        <f>DATE(1999,8,1)</f>
        <v>36373</v>
      </c>
      <c r="B4841" s="3">
        <f>DATE(2000,3,20)</f>
        <v>36605</v>
      </c>
      <c r="C4841" s="2" t="s">
        <v>95</v>
      </c>
      <c r="D4841" s="2" t="s">
        <v>15009</v>
      </c>
      <c r="E4841" s="2" t="s">
        <v>15010</v>
      </c>
      <c r="F4841" s="4">
        <v>6361</v>
      </c>
      <c r="G4841" s="2" t="s">
        <v>125</v>
      </c>
      <c r="H4841" s="2" t="s">
        <v>34</v>
      </c>
      <c r="I4841" s="2" t="s">
        <v>7551</v>
      </c>
      <c r="J4841" s="2" t="s">
        <v>7552</v>
      </c>
      <c r="K4841" s="2" t="s">
        <v>125</v>
      </c>
      <c r="L4841" s="2" t="s">
        <v>34</v>
      </c>
      <c r="M4841" s="7">
        <v>624.00699999999995</v>
      </c>
      <c r="N4841" s="2"/>
      <c r="O4841" s="7">
        <v>18.062999999999999</v>
      </c>
      <c r="P4841" s="2" t="s">
        <v>15011</v>
      </c>
      <c r="Q4841" s="6">
        <v>100</v>
      </c>
      <c r="R4841" s="6">
        <v>56.82</v>
      </c>
      <c r="S4841" s="5">
        <v>97.2</v>
      </c>
      <c r="T4841" s="2"/>
      <c r="U4841" s="5">
        <v>20.3</v>
      </c>
      <c r="V4841" s="6">
        <v>4.03</v>
      </c>
      <c r="W4841" s="5">
        <v>36.5</v>
      </c>
      <c r="X4841" s="6">
        <v>42.75</v>
      </c>
      <c r="Y4841" s="9">
        <v>48.0625</v>
      </c>
      <c r="Z4841" s="9">
        <v>48.0625</v>
      </c>
      <c r="AA4841" s="6">
        <v>21.83</v>
      </c>
      <c r="AB4841" s="7">
        <v>6.5</v>
      </c>
      <c r="AC4841" s="6">
        <v>55.85</v>
      </c>
    </row>
    <row r="4842" spans="1:29" ht="52" x14ac:dyDescent="0.15">
      <c r="A4842" s="3">
        <f>DATE(1999,8,2)</f>
        <v>36374</v>
      </c>
      <c r="B4842" s="2"/>
      <c r="C4842" s="2" t="s">
        <v>7330</v>
      </c>
      <c r="D4842" s="2" t="s">
        <v>15012</v>
      </c>
      <c r="E4842" s="2" t="s">
        <v>15013</v>
      </c>
      <c r="F4842" s="4">
        <v>8222</v>
      </c>
      <c r="G4842" s="2" t="s">
        <v>415</v>
      </c>
      <c r="H4842" s="2" t="s">
        <v>34</v>
      </c>
      <c r="I4842" s="2" t="s">
        <v>15014</v>
      </c>
      <c r="J4842" s="2" t="s">
        <v>15015</v>
      </c>
      <c r="K4842" s="2" t="s">
        <v>415</v>
      </c>
      <c r="L4842" s="2" t="s">
        <v>34</v>
      </c>
      <c r="M4842" s="7">
        <v>262.82400000000001</v>
      </c>
      <c r="N4842" s="7">
        <v>30.062999999999999</v>
      </c>
      <c r="O4842" s="7">
        <v>27.937999999999999</v>
      </c>
      <c r="P4842" s="2" t="s">
        <v>15016</v>
      </c>
      <c r="Q4842" s="2"/>
      <c r="R4842" s="6">
        <v>6.5</v>
      </c>
      <c r="S4842" s="5">
        <v>-0.9</v>
      </c>
      <c r="T4842" s="7">
        <v>0.67500000000000004</v>
      </c>
      <c r="U4842" s="5">
        <v>1.5</v>
      </c>
      <c r="V4842" s="6">
        <v>-0.23</v>
      </c>
      <c r="W4842" s="7">
        <v>6.4379999999999997</v>
      </c>
      <c r="X4842" s="7">
        <v>6.4379999999999997</v>
      </c>
      <c r="Y4842" s="9">
        <v>5.9375</v>
      </c>
      <c r="Z4842" s="7">
        <v>5.625</v>
      </c>
      <c r="AA4842" s="6">
        <v>3.82</v>
      </c>
      <c r="AB4842" s="2" t="s">
        <v>86</v>
      </c>
      <c r="AC4842" s="6">
        <v>34.11</v>
      </c>
    </row>
    <row r="4843" spans="1:29" ht="156" x14ac:dyDescent="0.15">
      <c r="A4843" s="3">
        <f>DATE(1999,8,2)</f>
        <v>36374</v>
      </c>
      <c r="B4843" s="3">
        <f>DATE(1999,9,3)</f>
        <v>36406</v>
      </c>
      <c r="C4843" s="2" t="s">
        <v>95</v>
      </c>
      <c r="D4843" s="2" t="s">
        <v>13890</v>
      </c>
      <c r="E4843" s="2" t="s">
        <v>13891</v>
      </c>
      <c r="F4843" s="4">
        <v>3842</v>
      </c>
      <c r="G4843" s="2" t="s">
        <v>226</v>
      </c>
      <c r="H4843" s="2" t="s">
        <v>34</v>
      </c>
      <c r="I4843" s="2" t="s">
        <v>15017</v>
      </c>
      <c r="J4843" s="2" t="s">
        <v>15018</v>
      </c>
      <c r="K4843" s="2" t="s">
        <v>226</v>
      </c>
      <c r="L4843" s="2" t="s">
        <v>34</v>
      </c>
      <c r="M4843" s="7">
        <v>177.01599999999999</v>
      </c>
      <c r="N4843" s="7">
        <v>20.625</v>
      </c>
      <c r="O4843" s="7">
        <v>20.625</v>
      </c>
      <c r="P4843" s="2" t="s">
        <v>15019</v>
      </c>
      <c r="Q4843" s="6">
        <v>100</v>
      </c>
      <c r="R4843" s="6">
        <v>16.25</v>
      </c>
      <c r="S4843" s="5">
        <v>-1.9</v>
      </c>
      <c r="T4843" s="7">
        <v>-1.5369999999999999</v>
      </c>
      <c r="U4843" s="5">
        <v>11.4</v>
      </c>
      <c r="V4843" s="6">
        <v>-0.21</v>
      </c>
      <c r="W4843" s="7">
        <v>10.563000000000001</v>
      </c>
      <c r="X4843" s="7">
        <v>11.188000000000001</v>
      </c>
      <c r="Y4843" s="7">
        <v>13.375</v>
      </c>
      <c r="Z4843" s="5">
        <v>13.5</v>
      </c>
      <c r="AA4843" s="6">
        <v>8.56</v>
      </c>
      <c r="AB4843" s="2" t="s">
        <v>86</v>
      </c>
      <c r="AC4843" s="6">
        <v>13.54</v>
      </c>
    </row>
    <row r="4844" spans="1:29" ht="104" x14ac:dyDescent="0.15">
      <c r="A4844" s="3">
        <f>DATE(1999,8,2)</f>
        <v>36374</v>
      </c>
      <c r="B4844" s="3">
        <f>DATE(1999,11,12)</f>
        <v>36476</v>
      </c>
      <c r="C4844" s="2" t="s">
        <v>95</v>
      </c>
      <c r="D4844" s="2" t="s">
        <v>15020</v>
      </c>
      <c r="E4844" s="2" t="s">
        <v>15021</v>
      </c>
      <c r="F4844" s="4">
        <v>2834</v>
      </c>
      <c r="G4844" s="2" t="s">
        <v>130</v>
      </c>
      <c r="H4844" s="2" t="s">
        <v>34</v>
      </c>
      <c r="I4844" s="2" t="s">
        <v>4010</v>
      </c>
      <c r="J4844" s="2" t="s">
        <v>4011</v>
      </c>
      <c r="K4844" s="2" t="s">
        <v>130</v>
      </c>
      <c r="L4844" s="2" t="s">
        <v>34</v>
      </c>
      <c r="M4844" s="12">
        <v>177629.226</v>
      </c>
      <c r="N4844" s="7">
        <v>67.375</v>
      </c>
      <c r="O4844" s="4">
        <v>67</v>
      </c>
      <c r="P4844" s="2" t="s">
        <v>15022</v>
      </c>
      <c r="Q4844" s="6">
        <v>100</v>
      </c>
      <c r="R4844" s="6">
        <v>8.5</v>
      </c>
      <c r="S4844" s="5">
        <v>-12.6</v>
      </c>
      <c r="T4844" s="7">
        <v>-13.034000000000001</v>
      </c>
      <c r="U4844" s="5">
        <v>1.8</v>
      </c>
      <c r="V4844" s="6">
        <v>-1.34</v>
      </c>
      <c r="W4844" s="7">
        <v>5.0629999999999997</v>
      </c>
      <c r="X4844" s="6">
        <v>5.25</v>
      </c>
      <c r="Y4844" s="7">
        <v>8.3439999999999994</v>
      </c>
      <c r="Z4844" s="7">
        <v>8.375</v>
      </c>
      <c r="AA4844" s="6">
        <v>9.5500000000000007</v>
      </c>
      <c r="AB4844" s="2" t="s">
        <v>86</v>
      </c>
      <c r="AC4844" s="8">
        <v>3541.3</v>
      </c>
    </row>
    <row r="4845" spans="1:29" ht="117" x14ac:dyDescent="0.15">
      <c r="A4845" s="3">
        <f>DATE(1999,8,3)</f>
        <v>36375</v>
      </c>
      <c r="B4845" s="3">
        <f>DATE(1999,11,4)</f>
        <v>36468</v>
      </c>
      <c r="C4845" s="2" t="s">
        <v>95</v>
      </c>
      <c r="D4845" s="2" t="s">
        <v>3222</v>
      </c>
      <c r="E4845" s="2" t="s">
        <v>92</v>
      </c>
      <c r="F4845" s="4">
        <v>6798</v>
      </c>
      <c r="G4845" s="2" t="s">
        <v>53</v>
      </c>
      <c r="H4845" s="2" t="s">
        <v>34</v>
      </c>
      <c r="I4845" s="2" t="s">
        <v>15023</v>
      </c>
      <c r="J4845" s="2" t="s">
        <v>6321</v>
      </c>
      <c r="K4845" s="2" t="s">
        <v>53</v>
      </c>
      <c r="L4845" s="2" t="s">
        <v>34</v>
      </c>
      <c r="M4845" s="7">
        <v>878.95399999999995</v>
      </c>
      <c r="N4845" s="7">
        <v>25.875</v>
      </c>
      <c r="O4845" s="7">
        <v>25.187999999999999</v>
      </c>
      <c r="P4845" s="2" t="s">
        <v>15024</v>
      </c>
      <c r="Q4845" s="6">
        <v>100</v>
      </c>
      <c r="R4845" s="6">
        <v>20.18</v>
      </c>
      <c r="S4845" s="5">
        <v>107.8</v>
      </c>
      <c r="T4845" s="7">
        <v>75.941999999999993</v>
      </c>
      <c r="U4845" s="5">
        <v>14.2</v>
      </c>
      <c r="V4845" s="6">
        <v>3.89</v>
      </c>
      <c r="W4845" s="7">
        <v>18.437999999999999</v>
      </c>
      <c r="X4845" s="7">
        <v>18.187999999999999</v>
      </c>
      <c r="Y4845" s="4">
        <v>18</v>
      </c>
      <c r="Z4845" s="4">
        <v>19</v>
      </c>
      <c r="AA4845" s="6">
        <v>24.98</v>
      </c>
      <c r="AB4845" s="7">
        <v>16.945</v>
      </c>
      <c r="AC4845" s="6">
        <v>5.42</v>
      </c>
    </row>
    <row r="4846" spans="1:29" ht="143" x14ac:dyDescent="0.15">
      <c r="A4846" s="3">
        <f>DATE(1999,8,3)</f>
        <v>36375</v>
      </c>
      <c r="B4846" s="3">
        <f>DATE(1999,12,3)</f>
        <v>36497</v>
      </c>
      <c r="C4846" s="2" t="s">
        <v>95</v>
      </c>
      <c r="D4846" s="2" t="s">
        <v>15025</v>
      </c>
      <c r="E4846" s="2" t="s">
        <v>389</v>
      </c>
      <c r="F4846" s="4">
        <v>6035</v>
      </c>
      <c r="G4846" s="2" t="s">
        <v>33</v>
      </c>
      <c r="H4846" s="2" t="s">
        <v>34</v>
      </c>
      <c r="I4846" s="2" t="s">
        <v>15026</v>
      </c>
      <c r="J4846" s="2" t="s">
        <v>265</v>
      </c>
      <c r="K4846" s="2" t="s">
        <v>37</v>
      </c>
      <c r="L4846" s="2" t="s">
        <v>34</v>
      </c>
      <c r="M4846" s="10">
        <v>1799.51</v>
      </c>
      <c r="N4846" s="7">
        <v>43.313000000000002</v>
      </c>
      <c r="O4846" s="6">
        <v>42.25</v>
      </c>
      <c r="P4846" s="2" t="s">
        <v>15027</v>
      </c>
      <c r="Q4846" s="6">
        <v>100</v>
      </c>
      <c r="R4846" s="6">
        <v>21.59</v>
      </c>
      <c r="S4846" s="5">
        <v>2.2000000000000002</v>
      </c>
      <c r="T4846" s="7">
        <v>3.7869999999999999</v>
      </c>
      <c r="U4846" s="5">
        <v>10.9</v>
      </c>
      <c r="V4846" s="6">
        <v>0.87</v>
      </c>
      <c r="W4846" s="7">
        <v>14.813000000000001</v>
      </c>
      <c r="X4846" s="6">
        <v>15.25</v>
      </c>
      <c r="Y4846" s="4">
        <v>21</v>
      </c>
      <c r="Z4846" s="5">
        <v>20.5</v>
      </c>
      <c r="AA4846" s="6">
        <v>2.4300000000000002</v>
      </c>
      <c r="AB4846" s="7">
        <v>24.484000000000002</v>
      </c>
      <c r="AC4846" s="2"/>
    </row>
    <row r="4847" spans="1:29" ht="117" x14ac:dyDescent="0.15">
      <c r="A4847" s="3">
        <f>DATE(1999,8,3)</f>
        <v>36375</v>
      </c>
      <c r="B4847" s="3">
        <f>DATE(1999,9,10)</f>
        <v>36413</v>
      </c>
      <c r="C4847" s="2" t="s">
        <v>95</v>
      </c>
      <c r="D4847" s="2" t="s">
        <v>15028</v>
      </c>
      <c r="E4847" s="2" t="s">
        <v>15029</v>
      </c>
      <c r="F4847" s="4">
        <v>3663</v>
      </c>
      <c r="G4847" s="2" t="s">
        <v>921</v>
      </c>
      <c r="H4847" s="2" t="s">
        <v>34</v>
      </c>
      <c r="I4847" s="2" t="s">
        <v>15030</v>
      </c>
      <c r="J4847" s="2" t="s">
        <v>15031</v>
      </c>
      <c r="K4847" s="2" t="s">
        <v>226</v>
      </c>
      <c r="L4847" s="2" t="s">
        <v>34</v>
      </c>
      <c r="M4847" s="12">
        <v>3129.527</v>
      </c>
      <c r="N4847" s="7">
        <v>30.562999999999999</v>
      </c>
      <c r="O4847" s="7">
        <v>30.562999999999999</v>
      </c>
      <c r="P4847" s="2" t="s">
        <v>15032</v>
      </c>
      <c r="Q4847" s="6">
        <v>100</v>
      </c>
      <c r="R4847" s="6">
        <v>2.35</v>
      </c>
      <c r="S4847" s="5">
        <v>-4.8</v>
      </c>
      <c r="T4847" s="7">
        <v>-4.0759999999999996</v>
      </c>
      <c r="U4847" s="5">
        <v>-0.4</v>
      </c>
      <c r="V4847" s="6">
        <v>-2.09</v>
      </c>
      <c r="W4847" s="7">
        <v>1.1879999999999999</v>
      </c>
      <c r="X4847" s="6">
        <v>1.25</v>
      </c>
      <c r="Y4847" s="6">
        <v>2.25</v>
      </c>
      <c r="Z4847" s="6">
        <v>2.25</v>
      </c>
      <c r="AA4847" s="6">
        <v>2.31</v>
      </c>
      <c r="AB4847" s="2" t="s">
        <v>86</v>
      </c>
      <c r="AC4847" s="5">
        <v>101.2</v>
      </c>
    </row>
    <row r="4848" spans="1:29" ht="104" x14ac:dyDescent="0.15">
      <c r="A4848" s="3">
        <f>DATE(1999,8,4)</f>
        <v>36376</v>
      </c>
      <c r="B4848" s="3">
        <f>DATE(2000,1,21)</f>
        <v>36546</v>
      </c>
      <c r="C4848" s="2" t="s">
        <v>95</v>
      </c>
      <c r="D4848" s="2" t="s">
        <v>15033</v>
      </c>
      <c r="E4848" s="2" t="s">
        <v>36</v>
      </c>
      <c r="F4848" s="4">
        <v>6022</v>
      </c>
      <c r="G4848" s="2" t="s">
        <v>37</v>
      </c>
      <c r="H4848" s="2" t="s">
        <v>34</v>
      </c>
      <c r="I4848" s="2" t="s">
        <v>154</v>
      </c>
      <c r="J4848" s="2" t="s">
        <v>36</v>
      </c>
      <c r="K4848" s="2" t="s">
        <v>37</v>
      </c>
      <c r="L4848" s="2" t="s">
        <v>34</v>
      </c>
      <c r="M4848" s="2"/>
      <c r="N4848" s="9">
        <v>37.9375</v>
      </c>
      <c r="O4848" s="7">
        <v>38.125</v>
      </c>
      <c r="P4848" s="2" t="s">
        <v>15034</v>
      </c>
      <c r="Q4848" s="6">
        <v>100</v>
      </c>
      <c r="R4848" s="2"/>
      <c r="S4848" s="5">
        <v>9.6</v>
      </c>
      <c r="T4848" s="2"/>
      <c r="U4848" s="5">
        <v>35.299999999999997</v>
      </c>
      <c r="V4848" s="6">
        <v>4.4000000000000004</v>
      </c>
      <c r="W4848" s="4">
        <v>77</v>
      </c>
      <c r="X4848" s="4">
        <v>75</v>
      </c>
      <c r="Y4848" s="2"/>
      <c r="Z4848" s="2"/>
      <c r="AA4848" s="6">
        <v>2.17</v>
      </c>
      <c r="AB4848" s="7">
        <v>19.707999999999998</v>
      </c>
      <c r="AC4848" s="2"/>
    </row>
    <row r="4849" spans="1:29" ht="130" x14ac:dyDescent="0.15">
      <c r="A4849" s="3">
        <f>DATE(1999,8,4)</f>
        <v>36376</v>
      </c>
      <c r="B4849" s="3">
        <f>DATE(1999,11,15)</f>
        <v>36479</v>
      </c>
      <c r="C4849" s="2" t="s">
        <v>95</v>
      </c>
      <c r="D4849" s="2" t="s">
        <v>8223</v>
      </c>
      <c r="E4849" s="2" t="s">
        <v>8224</v>
      </c>
      <c r="F4849" s="4">
        <v>8051</v>
      </c>
      <c r="G4849" s="2" t="s">
        <v>454</v>
      </c>
      <c r="H4849" s="2" t="s">
        <v>34</v>
      </c>
      <c r="I4849" s="2" t="s">
        <v>51</v>
      </c>
      <c r="J4849" s="2" t="s">
        <v>52</v>
      </c>
      <c r="K4849" s="2" t="s">
        <v>53</v>
      </c>
      <c r="L4849" s="2" t="s">
        <v>34</v>
      </c>
      <c r="M4849" s="2"/>
      <c r="N4849" s="2"/>
      <c r="O4849" s="2"/>
      <c r="P4849" s="2" t="s">
        <v>15035</v>
      </c>
      <c r="Q4849" s="6">
        <v>63.95</v>
      </c>
      <c r="R4849" s="2"/>
      <c r="S4849" s="5">
        <v>-22.3</v>
      </c>
      <c r="T4849" s="7">
        <v>198.32499999999999</v>
      </c>
      <c r="U4849" s="5">
        <v>16.5</v>
      </c>
      <c r="V4849" s="6">
        <v>-0.68</v>
      </c>
      <c r="W4849" s="7">
        <v>3.125</v>
      </c>
      <c r="X4849" s="7">
        <v>3.375</v>
      </c>
      <c r="Y4849" s="6">
        <v>3.25</v>
      </c>
      <c r="Z4849" s="7">
        <v>3.125</v>
      </c>
      <c r="AA4849" s="6">
        <v>35.229999999999997</v>
      </c>
      <c r="AB4849" s="7">
        <v>19.37</v>
      </c>
      <c r="AC4849" s="2"/>
    </row>
    <row r="4850" spans="1:29" ht="130" x14ac:dyDescent="0.15">
      <c r="A4850" s="3">
        <f>DATE(1999,8,4)</f>
        <v>36376</v>
      </c>
      <c r="B4850" s="3">
        <f>DATE(1999,11,18)</f>
        <v>36482</v>
      </c>
      <c r="C4850" s="2" t="s">
        <v>95</v>
      </c>
      <c r="D4850" s="2" t="s">
        <v>15036</v>
      </c>
      <c r="E4850" s="2" t="s">
        <v>15037</v>
      </c>
      <c r="F4850" s="4">
        <v>8731</v>
      </c>
      <c r="G4850" s="2" t="s">
        <v>223</v>
      </c>
      <c r="H4850" s="2" t="s">
        <v>34</v>
      </c>
      <c r="I4850" s="2" t="s">
        <v>15038</v>
      </c>
      <c r="J4850" s="2" t="s">
        <v>4780</v>
      </c>
      <c r="K4850" s="2" t="s">
        <v>130</v>
      </c>
      <c r="L4850" s="2" t="s">
        <v>34</v>
      </c>
      <c r="M4850" s="7">
        <v>35.351999999999997</v>
      </c>
      <c r="N4850" s="7">
        <v>2.0630000000000002</v>
      </c>
      <c r="O4850" s="7">
        <v>2.0630000000000002</v>
      </c>
      <c r="P4850" s="2" t="s">
        <v>15039</v>
      </c>
      <c r="Q4850" s="6">
        <v>100</v>
      </c>
      <c r="R4850" s="6">
        <v>3.08</v>
      </c>
      <c r="S4850" s="5">
        <v>-10.9</v>
      </c>
      <c r="T4850" s="7">
        <v>-10.776</v>
      </c>
      <c r="U4850" s="5">
        <v>1.2</v>
      </c>
      <c r="V4850" s="6">
        <v>5.01</v>
      </c>
      <c r="W4850" s="5">
        <v>1.5</v>
      </c>
      <c r="X4850" s="6">
        <v>1.75</v>
      </c>
      <c r="Y4850" s="6">
        <v>2.75</v>
      </c>
      <c r="Z4850" s="7">
        <v>2.1880000000000002</v>
      </c>
      <c r="AA4850" s="6">
        <v>5.78</v>
      </c>
      <c r="AB4850" s="2" t="s">
        <v>86</v>
      </c>
      <c r="AC4850" s="6">
        <v>13.44</v>
      </c>
    </row>
    <row r="4851" spans="1:29" ht="65" x14ac:dyDescent="0.15">
      <c r="A4851" s="3">
        <f>DATE(1999,8,4)</f>
        <v>36376</v>
      </c>
      <c r="B4851" s="2"/>
      <c r="C4851" s="2" t="s">
        <v>30</v>
      </c>
      <c r="D4851" s="2" t="s">
        <v>15040</v>
      </c>
      <c r="E4851" s="2" t="s">
        <v>15041</v>
      </c>
      <c r="F4851" s="4">
        <v>3714</v>
      </c>
      <c r="G4851" s="2" t="s">
        <v>105</v>
      </c>
      <c r="H4851" s="2" t="s">
        <v>34</v>
      </c>
      <c r="I4851" s="2" t="s">
        <v>15042</v>
      </c>
      <c r="J4851" s="2" t="s">
        <v>15043</v>
      </c>
      <c r="K4851" s="2" t="s">
        <v>447</v>
      </c>
      <c r="L4851" s="2" t="s">
        <v>34</v>
      </c>
      <c r="M4851" s="10">
        <v>1486.29</v>
      </c>
      <c r="N4851" s="7">
        <v>44.125</v>
      </c>
      <c r="O4851" s="7">
        <v>41.813000000000002</v>
      </c>
      <c r="P4851" s="2" t="s">
        <v>15044</v>
      </c>
      <c r="Q4851" s="2"/>
      <c r="R4851" s="6">
        <v>17</v>
      </c>
      <c r="S4851" s="5">
        <v>-4.5</v>
      </c>
      <c r="T4851" s="7">
        <v>51.677</v>
      </c>
      <c r="U4851" s="5">
        <v>9.3000000000000007</v>
      </c>
      <c r="V4851" s="6">
        <v>-0.16</v>
      </c>
      <c r="W4851" s="7">
        <v>10.813000000000001</v>
      </c>
      <c r="X4851" s="6">
        <v>11.75</v>
      </c>
      <c r="Y4851" s="5">
        <v>14.5</v>
      </c>
      <c r="Z4851" s="7">
        <v>12.813000000000001</v>
      </c>
      <c r="AA4851" s="6">
        <v>20.88</v>
      </c>
      <c r="AB4851" s="7">
        <v>50.334000000000003</v>
      </c>
      <c r="AC4851" s="6">
        <v>6.65</v>
      </c>
    </row>
    <row r="4852" spans="1:29" ht="143" x14ac:dyDescent="0.15">
      <c r="A4852" s="3">
        <f>DATE(1999,8,4)</f>
        <v>36376</v>
      </c>
      <c r="B4852" s="3">
        <f>DATE(2001,2,6)</f>
        <v>36928</v>
      </c>
      <c r="C4852" s="2" t="s">
        <v>95</v>
      </c>
      <c r="D4852" s="2" t="s">
        <v>15045</v>
      </c>
      <c r="E4852" s="2" t="s">
        <v>15046</v>
      </c>
      <c r="F4852" s="4">
        <v>2865</v>
      </c>
      <c r="G4852" s="2" t="s">
        <v>98</v>
      </c>
      <c r="H4852" s="2" t="s">
        <v>34</v>
      </c>
      <c r="I4852" s="2" t="s">
        <v>2287</v>
      </c>
      <c r="J4852" s="2" t="s">
        <v>2288</v>
      </c>
      <c r="K4852" s="2" t="s">
        <v>98</v>
      </c>
      <c r="L4852" s="2" t="s">
        <v>34</v>
      </c>
      <c r="M4852" s="12">
        <v>29413.441999999999</v>
      </c>
      <c r="N4852" s="7">
        <v>118.625</v>
      </c>
      <c r="O4852" s="7">
        <v>124.313</v>
      </c>
      <c r="P4852" s="2" t="s">
        <v>15047</v>
      </c>
      <c r="Q4852" s="6">
        <v>100</v>
      </c>
      <c r="R4852" s="6">
        <v>66.959999999999994</v>
      </c>
      <c r="S4852" s="5">
        <v>270</v>
      </c>
      <c r="T4852" s="5">
        <v>878</v>
      </c>
      <c r="U4852" s="5">
        <v>18.3</v>
      </c>
      <c r="V4852" s="6">
        <v>1.98</v>
      </c>
      <c r="W4852" s="6">
        <v>48.75</v>
      </c>
      <c r="X4852" s="7">
        <v>48.813000000000002</v>
      </c>
      <c r="Y4852" s="7">
        <v>59.375</v>
      </c>
      <c r="Z4852" s="9">
        <v>62.9375</v>
      </c>
      <c r="AA4852" s="6">
        <v>132.9</v>
      </c>
      <c r="AB4852" s="7">
        <v>24.492999999999999</v>
      </c>
      <c r="AC4852" s="5">
        <v>514</v>
      </c>
    </row>
    <row r="4853" spans="1:29" ht="104" x14ac:dyDescent="0.15">
      <c r="A4853" s="3">
        <f>DATE(1999,8,5)</f>
        <v>36377</v>
      </c>
      <c r="B4853" s="3">
        <f>DATE(1999,9,19)</f>
        <v>36422</v>
      </c>
      <c r="C4853" s="2" t="s">
        <v>95</v>
      </c>
      <c r="D4853" s="2" t="s">
        <v>15048</v>
      </c>
      <c r="E4853" s="2" t="s">
        <v>15049</v>
      </c>
      <c r="F4853" s="4">
        <v>3469</v>
      </c>
      <c r="G4853" s="2" t="s">
        <v>163</v>
      </c>
      <c r="H4853" s="2" t="s">
        <v>34</v>
      </c>
      <c r="I4853" s="2" t="s">
        <v>14998</v>
      </c>
      <c r="J4853" s="2" t="s">
        <v>14999</v>
      </c>
      <c r="K4853" s="2" t="s">
        <v>137</v>
      </c>
      <c r="L4853" s="2" t="s">
        <v>34</v>
      </c>
      <c r="M4853" s="2"/>
      <c r="N4853" s="2"/>
      <c r="O4853" s="2"/>
      <c r="P4853" s="2" t="s">
        <v>15050</v>
      </c>
      <c r="Q4853" s="6">
        <v>100</v>
      </c>
      <c r="R4853" s="6">
        <v>7</v>
      </c>
      <c r="S4853" s="5">
        <v>-7.4</v>
      </c>
      <c r="T4853" s="7">
        <v>30.152000000000001</v>
      </c>
      <c r="U4853" s="5">
        <v>5.7</v>
      </c>
      <c r="V4853" s="7">
        <v>-0.38400000000000001</v>
      </c>
      <c r="W4853" s="7">
        <v>4.625</v>
      </c>
      <c r="X4853" s="5">
        <v>4.5</v>
      </c>
      <c r="Y4853" s="6">
        <v>6.75</v>
      </c>
      <c r="Z4853" s="6">
        <v>6.75</v>
      </c>
      <c r="AA4853" s="6">
        <v>29.13</v>
      </c>
      <c r="AB4853" s="7">
        <v>21.15</v>
      </c>
      <c r="AC4853" s="2"/>
    </row>
    <row r="4854" spans="1:29" ht="156" x14ac:dyDescent="0.15">
      <c r="A4854" s="3">
        <f>DATE(1999,8,5)</f>
        <v>36377</v>
      </c>
      <c r="B4854" s="2"/>
      <c r="C4854" s="2" t="s">
        <v>30</v>
      </c>
      <c r="D4854" s="2" t="s">
        <v>15051</v>
      </c>
      <c r="E4854" s="2" t="s">
        <v>15052</v>
      </c>
      <c r="F4854" s="2" t="s">
        <v>13975</v>
      </c>
      <c r="G4854" s="2" t="s">
        <v>109</v>
      </c>
      <c r="H4854" s="2" t="s">
        <v>34</v>
      </c>
      <c r="I4854" s="2" t="s">
        <v>15053</v>
      </c>
      <c r="J4854" s="2" t="s">
        <v>92</v>
      </c>
      <c r="K4854" s="2" t="s">
        <v>53</v>
      </c>
      <c r="L4854" s="2" t="s">
        <v>34</v>
      </c>
      <c r="M4854" s="7">
        <v>100.68600000000001</v>
      </c>
      <c r="N4854" s="9">
        <v>9.6875</v>
      </c>
      <c r="O4854" s="9">
        <v>9.3125</v>
      </c>
      <c r="P4854" s="2" t="s">
        <v>15054</v>
      </c>
      <c r="Q4854" s="2"/>
      <c r="R4854" s="6">
        <v>6.61</v>
      </c>
      <c r="S4854" s="5">
        <v>-15.2</v>
      </c>
      <c r="T4854" s="7">
        <v>6.0369999999999999</v>
      </c>
      <c r="U4854" s="5">
        <v>13.7</v>
      </c>
      <c r="V4854" s="6">
        <v>-1.8</v>
      </c>
      <c r="W4854" s="6">
        <v>6.25</v>
      </c>
      <c r="X4854" s="7">
        <v>5.875</v>
      </c>
      <c r="Y4854" s="7">
        <v>6.0629999999999997</v>
      </c>
      <c r="Z4854" s="7">
        <v>5.875</v>
      </c>
      <c r="AA4854" s="6">
        <v>8.42</v>
      </c>
      <c r="AB4854" s="7">
        <v>63.298999999999999</v>
      </c>
      <c r="AC4854" s="6">
        <v>3.77</v>
      </c>
    </row>
    <row r="4855" spans="1:29" ht="52" x14ac:dyDescent="0.15">
      <c r="A4855" s="3">
        <f>DATE(1999,8,6)</f>
        <v>36378</v>
      </c>
      <c r="B4855" s="2"/>
      <c r="C4855" s="2" t="s">
        <v>7330</v>
      </c>
      <c r="D4855" s="2" t="s">
        <v>15055</v>
      </c>
      <c r="E4855" s="2" t="s">
        <v>15056</v>
      </c>
      <c r="F4855" s="4">
        <v>2844</v>
      </c>
      <c r="G4855" s="2" t="s">
        <v>358</v>
      </c>
      <c r="H4855" s="2" t="s">
        <v>34</v>
      </c>
      <c r="I4855" s="2" t="s">
        <v>15057</v>
      </c>
      <c r="J4855" s="2" t="s">
        <v>15058</v>
      </c>
      <c r="K4855" s="2" t="s">
        <v>358</v>
      </c>
      <c r="L4855" s="2" t="s">
        <v>34</v>
      </c>
      <c r="M4855" s="2"/>
      <c r="N4855" s="2"/>
      <c r="O4855" s="2"/>
      <c r="P4855" s="2" t="s">
        <v>15059</v>
      </c>
      <c r="Q4855" s="2"/>
      <c r="R4855" s="6">
        <v>2</v>
      </c>
      <c r="S4855" s="5">
        <v>0.8</v>
      </c>
      <c r="T4855" s="7">
        <v>1.3240000000000001</v>
      </c>
      <c r="U4855" s="5">
        <v>2.1</v>
      </c>
      <c r="V4855" s="7">
        <v>9.8000000000000004E-2</v>
      </c>
      <c r="W4855" s="7">
        <v>1.3129999999999999</v>
      </c>
      <c r="X4855" s="7">
        <v>1.3129999999999999</v>
      </c>
      <c r="Y4855" s="6">
        <v>1.75</v>
      </c>
      <c r="Z4855" s="9">
        <v>1.6875</v>
      </c>
      <c r="AA4855" s="6">
        <v>1.02</v>
      </c>
      <c r="AB4855" s="7">
        <v>15.608000000000001</v>
      </c>
      <c r="AC4855" s="2"/>
    </row>
    <row r="4856" spans="1:29" ht="91" x14ac:dyDescent="0.15">
      <c r="A4856" s="3">
        <f>DATE(1999,8,6)</f>
        <v>36378</v>
      </c>
      <c r="B4856" s="2"/>
      <c r="C4856" s="2" t="s">
        <v>30</v>
      </c>
      <c r="D4856" s="2" t="s">
        <v>11730</v>
      </c>
      <c r="E4856" s="2" t="s">
        <v>11731</v>
      </c>
      <c r="F4856" s="4">
        <v>2515</v>
      </c>
      <c r="G4856" s="2" t="s">
        <v>250</v>
      </c>
      <c r="H4856" s="2" t="s">
        <v>34</v>
      </c>
      <c r="I4856" s="2" t="s">
        <v>51</v>
      </c>
      <c r="J4856" s="2" t="s">
        <v>52</v>
      </c>
      <c r="K4856" s="2" t="s">
        <v>53</v>
      </c>
      <c r="L4856" s="2" t="s">
        <v>34</v>
      </c>
      <c r="M4856" s="2"/>
      <c r="N4856" s="2"/>
      <c r="O4856" s="2"/>
      <c r="P4856" s="2" t="s">
        <v>15060</v>
      </c>
      <c r="Q4856" s="2"/>
      <c r="R4856" s="6">
        <v>11.5</v>
      </c>
      <c r="S4856" s="5">
        <v>-77.400000000000006</v>
      </c>
      <c r="T4856" s="7">
        <v>88.418000000000006</v>
      </c>
      <c r="U4856" s="5">
        <v>-30.9</v>
      </c>
      <c r="V4856" s="6">
        <v>-12.24</v>
      </c>
      <c r="W4856" s="7">
        <v>7.9379999999999997</v>
      </c>
      <c r="X4856" s="7">
        <v>7.5629999999999997</v>
      </c>
      <c r="Y4856" s="7">
        <v>9.3130000000000006</v>
      </c>
      <c r="Z4856" s="7">
        <v>9.8130000000000006</v>
      </c>
      <c r="AA4856" s="6">
        <v>25.05</v>
      </c>
      <c r="AB4856" s="7">
        <v>16.806999999999999</v>
      </c>
      <c r="AC4856" s="2"/>
    </row>
    <row r="4857" spans="1:29" ht="117" x14ac:dyDescent="0.15">
      <c r="A4857" s="3">
        <f>DATE(1999,8,6)</f>
        <v>36378</v>
      </c>
      <c r="B4857" s="3">
        <f>DATE(2000,1,7)</f>
        <v>36532</v>
      </c>
      <c r="C4857" s="2" t="s">
        <v>95</v>
      </c>
      <c r="D4857" s="2" t="s">
        <v>15061</v>
      </c>
      <c r="E4857" s="2" t="s">
        <v>389</v>
      </c>
      <c r="F4857" s="4">
        <v>6036</v>
      </c>
      <c r="G4857" s="2" t="s">
        <v>33</v>
      </c>
      <c r="H4857" s="2" t="s">
        <v>34</v>
      </c>
      <c r="I4857" s="2" t="s">
        <v>7668</v>
      </c>
      <c r="J4857" s="2" t="s">
        <v>7190</v>
      </c>
      <c r="K4857" s="2" t="s">
        <v>33</v>
      </c>
      <c r="L4857" s="2" t="s">
        <v>34</v>
      </c>
      <c r="M4857" s="7">
        <v>71.177000000000007</v>
      </c>
      <c r="N4857" s="4">
        <v>12</v>
      </c>
      <c r="O4857" s="7">
        <v>12.125</v>
      </c>
      <c r="P4857" s="2" t="s">
        <v>15062</v>
      </c>
      <c r="Q4857" s="6">
        <v>100</v>
      </c>
      <c r="R4857" s="6">
        <v>12.53</v>
      </c>
      <c r="S4857" s="5">
        <v>1.3</v>
      </c>
      <c r="T4857" s="2"/>
      <c r="U4857" s="5">
        <v>10.5</v>
      </c>
      <c r="V4857" s="6">
        <v>0.61</v>
      </c>
      <c r="W4857" s="4">
        <v>10</v>
      </c>
      <c r="X4857" s="6">
        <v>10.25</v>
      </c>
      <c r="Y4857" s="7">
        <v>10.125</v>
      </c>
      <c r="Z4857" s="4">
        <v>11</v>
      </c>
      <c r="AA4857" s="6">
        <v>2.2599999999999998</v>
      </c>
      <c r="AB4857" s="7">
        <v>29.234999999999999</v>
      </c>
      <c r="AC4857" s="2"/>
    </row>
    <row r="4858" spans="1:29" ht="182" x14ac:dyDescent="0.15">
      <c r="A4858" s="3">
        <f t="shared" ref="A4858:A4863" si="104">DATE(1999,8,9)</f>
        <v>36381</v>
      </c>
      <c r="B4858" s="3">
        <f>DATE(1999,10,12)</f>
        <v>36445</v>
      </c>
      <c r="C4858" s="2" t="s">
        <v>95</v>
      </c>
      <c r="D4858" s="2" t="s">
        <v>1232</v>
      </c>
      <c r="E4858" s="2" t="s">
        <v>1233</v>
      </c>
      <c r="F4858" s="4">
        <v>3571</v>
      </c>
      <c r="G4858" s="2" t="s">
        <v>50</v>
      </c>
      <c r="H4858" s="2" t="s">
        <v>34</v>
      </c>
      <c r="I4858" s="2" t="s">
        <v>15063</v>
      </c>
      <c r="J4858" s="2" t="s">
        <v>15064</v>
      </c>
      <c r="K4858" s="2" t="s">
        <v>50</v>
      </c>
      <c r="L4858" s="2" t="s">
        <v>34</v>
      </c>
      <c r="M4858" s="8">
        <v>29610.7</v>
      </c>
      <c r="N4858" s="4">
        <v>57</v>
      </c>
      <c r="O4858" s="7">
        <v>53.625</v>
      </c>
      <c r="P4858" s="2" t="s">
        <v>15065</v>
      </c>
      <c r="Q4858" s="6">
        <v>100</v>
      </c>
      <c r="R4858" s="6">
        <v>22.77</v>
      </c>
      <c r="S4858" s="5">
        <v>-152.4</v>
      </c>
      <c r="T4858" s="7">
        <v>151.066</v>
      </c>
      <c r="U4858" s="5">
        <v>7.7</v>
      </c>
      <c r="V4858" s="6">
        <v>-3.11</v>
      </c>
      <c r="W4858" s="6">
        <v>13.93</v>
      </c>
      <c r="X4858" s="6">
        <v>13.18</v>
      </c>
      <c r="Y4858" s="7">
        <v>17.437999999999999</v>
      </c>
      <c r="Z4858" s="6">
        <v>16.75</v>
      </c>
      <c r="AA4858" s="6">
        <v>50.71</v>
      </c>
      <c r="AB4858" s="2" t="s">
        <v>86</v>
      </c>
      <c r="AC4858" s="10">
        <v>1257.82</v>
      </c>
    </row>
    <row r="4859" spans="1:29" ht="52" x14ac:dyDescent="0.15">
      <c r="A4859" s="3">
        <f t="shared" si="104"/>
        <v>36381</v>
      </c>
      <c r="B4859" s="3">
        <f>DATE(1999,12,1)</f>
        <v>36495</v>
      </c>
      <c r="C4859" s="2" t="s">
        <v>95</v>
      </c>
      <c r="D4859" s="2" t="s">
        <v>15066</v>
      </c>
      <c r="E4859" s="2" t="s">
        <v>389</v>
      </c>
      <c r="F4859" s="4">
        <v>6035</v>
      </c>
      <c r="G4859" s="2" t="s">
        <v>33</v>
      </c>
      <c r="H4859" s="2" t="s">
        <v>34</v>
      </c>
      <c r="I4859" s="2" t="s">
        <v>15067</v>
      </c>
      <c r="J4859" s="2" t="s">
        <v>1398</v>
      </c>
      <c r="K4859" s="2" t="s">
        <v>33</v>
      </c>
      <c r="L4859" s="2" t="s">
        <v>34</v>
      </c>
      <c r="M4859" s="7">
        <v>66.039000000000001</v>
      </c>
      <c r="N4859" s="6">
        <v>17.25</v>
      </c>
      <c r="O4859" s="6">
        <v>17.25</v>
      </c>
      <c r="P4859" s="2" t="s">
        <v>15068</v>
      </c>
      <c r="Q4859" s="6">
        <v>100</v>
      </c>
      <c r="R4859" s="6">
        <v>15.25</v>
      </c>
      <c r="S4859" s="5">
        <v>2.8</v>
      </c>
      <c r="T4859" s="7">
        <v>4.5270000000000001</v>
      </c>
      <c r="U4859" s="5">
        <v>14.8</v>
      </c>
      <c r="V4859" s="6">
        <v>0.69</v>
      </c>
      <c r="W4859" s="7">
        <v>13.375</v>
      </c>
      <c r="X4859" s="7">
        <v>13.125</v>
      </c>
      <c r="Y4859" s="7">
        <v>13.313000000000001</v>
      </c>
      <c r="Z4859" s="6">
        <v>14.25</v>
      </c>
      <c r="AA4859" s="6">
        <v>3.88</v>
      </c>
      <c r="AB4859" s="7">
        <v>13.879</v>
      </c>
      <c r="AC4859" s="2"/>
    </row>
    <row r="4860" spans="1:29" ht="143" x14ac:dyDescent="0.15">
      <c r="A4860" s="3">
        <f t="shared" si="104"/>
        <v>36381</v>
      </c>
      <c r="B4860" s="3">
        <f>DATE(2000,3,2)</f>
        <v>36587</v>
      </c>
      <c r="C4860" s="2" t="s">
        <v>95</v>
      </c>
      <c r="D4860" s="2" t="s">
        <v>15069</v>
      </c>
      <c r="E4860" s="2" t="s">
        <v>1893</v>
      </c>
      <c r="F4860" s="4">
        <v>4841</v>
      </c>
      <c r="G4860" s="2" t="s">
        <v>45</v>
      </c>
      <c r="H4860" s="2" t="s">
        <v>34</v>
      </c>
      <c r="I4860" s="2" t="s">
        <v>3891</v>
      </c>
      <c r="J4860" s="2" t="s">
        <v>3892</v>
      </c>
      <c r="K4860" s="2" t="s">
        <v>45</v>
      </c>
      <c r="L4860" s="2" t="s">
        <v>34</v>
      </c>
      <c r="M4860" s="12">
        <v>28043.686000000002</v>
      </c>
      <c r="N4860" s="4">
        <v>32</v>
      </c>
      <c r="O4860" s="7">
        <v>31.375</v>
      </c>
      <c r="P4860" s="2" t="s">
        <v>15070</v>
      </c>
      <c r="Q4860" s="6">
        <v>61.73</v>
      </c>
      <c r="R4860" s="6">
        <v>71.400000000000006</v>
      </c>
      <c r="S4860" s="5">
        <v>-213.7</v>
      </c>
      <c r="T4860" s="7">
        <v>105.27500000000001</v>
      </c>
      <c r="U4860" s="5">
        <v>-1.1000000000000001</v>
      </c>
      <c r="V4860" s="6">
        <v>-5.1100000000000003</v>
      </c>
      <c r="W4860" s="6">
        <v>43.75</v>
      </c>
      <c r="X4860" s="7">
        <v>44.625</v>
      </c>
      <c r="Y4860" s="6">
        <v>47.25</v>
      </c>
      <c r="Z4860" s="5">
        <v>45.5</v>
      </c>
      <c r="AA4860" s="6">
        <v>42.05</v>
      </c>
      <c r="AB4860" s="2" t="s">
        <v>86</v>
      </c>
      <c r="AC4860" s="8">
        <v>6236</v>
      </c>
    </row>
    <row r="4861" spans="1:29" ht="104" x14ac:dyDescent="0.15">
      <c r="A4861" s="3">
        <f t="shared" si="104"/>
        <v>36381</v>
      </c>
      <c r="B4861" s="3">
        <f>DATE(1999,11,29)</f>
        <v>36493</v>
      </c>
      <c r="C4861" s="2" t="s">
        <v>95</v>
      </c>
      <c r="D4861" s="2" t="s">
        <v>15071</v>
      </c>
      <c r="E4861" s="2" t="s">
        <v>15072</v>
      </c>
      <c r="F4861" s="4">
        <v>3844</v>
      </c>
      <c r="G4861" s="2" t="s">
        <v>226</v>
      </c>
      <c r="H4861" s="2" t="s">
        <v>34</v>
      </c>
      <c r="I4861" s="2" t="s">
        <v>12170</v>
      </c>
      <c r="J4861" s="2" t="s">
        <v>12171</v>
      </c>
      <c r="K4861" s="2" t="s">
        <v>226</v>
      </c>
      <c r="L4861" s="2" t="s">
        <v>34</v>
      </c>
      <c r="M4861" s="2"/>
      <c r="N4861" s="2"/>
      <c r="O4861" s="2"/>
      <c r="P4861" s="2" t="s">
        <v>15073</v>
      </c>
      <c r="Q4861" s="6">
        <v>100</v>
      </c>
      <c r="R4861" s="6">
        <v>36</v>
      </c>
      <c r="S4861" s="5">
        <v>17.899999999999999</v>
      </c>
      <c r="T4861" s="7">
        <v>32.261000000000003</v>
      </c>
      <c r="U4861" s="5">
        <v>9.3000000000000007</v>
      </c>
      <c r="V4861" s="6">
        <v>1.34</v>
      </c>
      <c r="W4861" s="6">
        <v>32.56</v>
      </c>
      <c r="X4861" s="6">
        <v>33.619999999999997</v>
      </c>
      <c r="Y4861" s="7">
        <v>34.188000000000002</v>
      </c>
      <c r="Z4861" s="7">
        <v>34.313000000000002</v>
      </c>
      <c r="AA4861" s="6">
        <v>12.66</v>
      </c>
      <c r="AB4861" s="7">
        <v>17.616</v>
      </c>
      <c r="AC4861" s="2"/>
    </row>
    <row r="4862" spans="1:29" ht="65" x14ac:dyDescent="0.15">
      <c r="A4862" s="3">
        <f t="shared" si="104"/>
        <v>36381</v>
      </c>
      <c r="B4862" s="2"/>
      <c r="C4862" s="2" t="s">
        <v>7330</v>
      </c>
      <c r="D4862" s="2" t="s">
        <v>15074</v>
      </c>
      <c r="E4862" s="2" t="s">
        <v>15075</v>
      </c>
      <c r="F4862" s="4">
        <v>3569</v>
      </c>
      <c r="G4862" s="2" t="s">
        <v>300</v>
      </c>
      <c r="H4862" s="2" t="s">
        <v>34</v>
      </c>
      <c r="I4862" s="2" t="s">
        <v>2574</v>
      </c>
      <c r="J4862" s="2" t="s">
        <v>2575</v>
      </c>
      <c r="K4862" s="2" t="s">
        <v>300</v>
      </c>
      <c r="L4862" s="2" t="s">
        <v>34</v>
      </c>
      <c r="M4862" s="7">
        <v>29.361000000000001</v>
      </c>
      <c r="N4862" s="7">
        <v>2.5630000000000002</v>
      </c>
      <c r="O4862" s="7">
        <v>2.4380000000000002</v>
      </c>
      <c r="P4862" s="2" t="s">
        <v>15076</v>
      </c>
      <c r="Q4862" s="2"/>
      <c r="R4862" s="6">
        <v>15</v>
      </c>
      <c r="S4862" s="5">
        <v>0.5</v>
      </c>
      <c r="T4862" s="7">
        <v>0.77800000000000002</v>
      </c>
      <c r="U4862" s="2"/>
      <c r="V4862" s="9">
        <v>9.2499999999999999E-2</v>
      </c>
      <c r="W4862" s="6">
        <v>12.75</v>
      </c>
      <c r="X4862" s="7">
        <v>13.938000000000001</v>
      </c>
      <c r="Y4862" s="7">
        <v>14.125</v>
      </c>
      <c r="Z4862" s="5">
        <v>13.5</v>
      </c>
      <c r="AA4862" s="6">
        <v>1.45</v>
      </c>
      <c r="AB4862" s="7">
        <v>54.167999999999999</v>
      </c>
      <c r="AC4862" s="2"/>
    </row>
    <row r="4863" spans="1:29" ht="130" x14ac:dyDescent="0.15">
      <c r="A4863" s="3">
        <f t="shared" si="104"/>
        <v>36381</v>
      </c>
      <c r="B4863" s="2"/>
      <c r="C4863" s="2" t="s">
        <v>30</v>
      </c>
      <c r="D4863" s="2" t="s">
        <v>15077</v>
      </c>
      <c r="E4863" s="2" t="s">
        <v>265</v>
      </c>
      <c r="F4863" s="4">
        <v>6021</v>
      </c>
      <c r="G4863" s="2" t="s">
        <v>37</v>
      </c>
      <c r="H4863" s="2" t="s">
        <v>34</v>
      </c>
      <c r="I4863" s="2" t="s">
        <v>15078</v>
      </c>
      <c r="J4863" s="2" t="s">
        <v>672</v>
      </c>
      <c r="K4863" s="2" t="s">
        <v>37</v>
      </c>
      <c r="L4863" s="2" t="s">
        <v>34</v>
      </c>
      <c r="M4863" s="7">
        <v>238.39500000000001</v>
      </c>
      <c r="N4863" s="5">
        <v>11.5</v>
      </c>
      <c r="O4863" s="7">
        <v>11.438000000000001</v>
      </c>
      <c r="P4863" s="2" t="s">
        <v>15079</v>
      </c>
      <c r="Q4863" s="2"/>
      <c r="R4863" s="6">
        <v>20.36</v>
      </c>
      <c r="S4863" s="5">
        <v>1.3</v>
      </c>
      <c r="T4863" s="2"/>
      <c r="U4863" s="5">
        <v>8.1999999999999993</v>
      </c>
      <c r="V4863" s="6">
        <v>0.51</v>
      </c>
      <c r="W4863" s="7">
        <v>13.563000000000001</v>
      </c>
      <c r="X4863" s="5">
        <v>12.5</v>
      </c>
      <c r="Y4863" s="5">
        <v>12.5</v>
      </c>
      <c r="Z4863" s="7">
        <v>17.125</v>
      </c>
      <c r="AA4863" s="6">
        <v>2.35</v>
      </c>
      <c r="AB4863" s="7">
        <v>55.488</v>
      </c>
      <c r="AC4863" s="2"/>
    </row>
    <row r="4864" spans="1:29" ht="143" x14ac:dyDescent="0.15">
      <c r="A4864" s="3">
        <f>DATE(1999,8,10)</f>
        <v>36382</v>
      </c>
      <c r="B4864" s="3">
        <f>DATE(1999,9,20)</f>
        <v>36423</v>
      </c>
      <c r="C4864" s="2" t="s">
        <v>95</v>
      </c>
      <c r="D4864" s="2" t="s">
        <v>4280</v>
      </c>
      <c r="E4864" s="2" t="s">
        <v>3461</v>
      </c>
      <c r="F4864" s="4">
        <v>2834</v>
      </c>
      <c r="G4864" s="2" t="s">
        <v>130</v>
      </c>
      <c r="H4864" s="2" t="s">
        <v>34</v>
      </c>
      <c r="I4864" s="2" t="s">
        <v>15080</v>
      </c>
      <c r="J4864" s="2" t="s">
        <v>129</v>
      </c>
      <c r="K4864" s="2" t="s">
        <v>130</v>
      </c>
      <c r="L4864" s="2" t="s">
        <v>34</v>
      </c>
      <c r="M4864" s="2"/>
      <c r="N4864" s="2"/>
      <c r="O4864" s="2"/>
      <c r="P4864" s="2" t="s">
        <v>15081</v>
      </c>
      <c r="Q4864" s="6">
        <v>100</v>
      </c>
      <c r="R4864" s="6">
        <v>11</v>
      </c>
      <c r="S4864" s="5">
        <v>5.4</v>
      </c>
      <c r="T4864" s="7">
        <v>15.137</v>
      </c>
      <c r="U4864" s="5">
        <v>5.7</v>
      </c>
      <c r="V4864" s="6">
        <v>0.28999999999999998</v>
      </c>
      <c r="W4864" s="7">
        <v>9.8130000000000006</v>
      </c>
      <c r="X4864" s="7">
        <v>8.875</v>
      </c>
      <c r="Y4864" s="7">
        <v>10.813000000000001</v>
      </c>
      <c r="Z4864" s="7">
        <v>10.875</v>
      </c>
      <c r="AA4864" s="6">
        <v>19.22</v>
      </c>
      <c r="AB4864" s="7">
        <v>20.864000000000001</v>
      </c>
      <c r="AC4864" s="2"/>
    </row>
    <row r="4865" spans="1:29" ht="117" x14ac:dyDescent="0.15">
      <c r="A4865" s="3">
        <f>DATE(1999,8,10)</f>
        <v>36382</v>
      </c>
      <c r="B4865" s="3">
        <f>DATE(1999,11,2)</f>
        <v>36466</v>
      </c>
      <c r="C4865" s="2" t="s">
        <v>95</v>
      </c>
      <c r="D4865" s="2" t="s">
        <v>15082</v>
      </c>
      <c r="E4865" s="2" t="s">
        <v>5549</v>
      </c>
      <c r="F4865" s="4">
        <v>7371</v>
      </c>
      <c r="G4865" s="2" t="s">
        <v>223</v>
      </c>
      <c r="H4865" s="2" t="s">
        <v>34</v>
      </c>
      <c r="I4865" s="2" t="s">
        <v>15083</v>
      </c>
      <c r="J4865" s="2" t="s">
        <v>15084</v>
      </c>
      <c r="K4865" s="2" t="s">
        <v>223</v>
      </c>
      <c r="L4865" s="2" t="s">
        <v>34</v>
      </c>
      <c r="M4865" s="7">
        <v>813.26400000000001</v>
      </c>
      <c r="N4865" s="4">
        <v>25</v>
      </c>
      <c r="O4865" s="6">
        <v>27.75</v>
      </c>
      <c r="P4865" s="2" t="s">
        <v>15085</v>
      </c>
      <c r="Q4865" s="6">
        <v>100</v>
      </c>
      <c r="R4865" s="6">
        <v>24.72</v>
      </c>
      <c r="S4865" s="5">
        <v>6.9</v>
      </c>
      <c r="T4865" s="7">
        <v>14.115</v>
      </c>
      <c r="U4865" s="5">
        <v>3.1</v>
      </c>
      <c r="V4865" s="6">
        <v>0.32</v>
      </c>
      <c r="W4865" s="7">
        <v>20.937999999999999</v>
      </c>
      <c r="X4865" s="6">
        <v>21.25</v>
      </c>
      <c r="Y4865" s="7">
        <v>19.875</v>
      </c>
      <c r="Z4865" s="7">
        <v>22.625</v>
      </c>
      <c r="AA4865" s="6">
        <v>19.68</v>
      </c>
      <c r="AB4865" s="7">
        <v>44.688000000000002</v>
      </c>
      <c r="AC4865" s="5">
        <v>0.6</v>
      </c>
    </row>
    <row r="4866" spans="1:29" ht="117" x14ac:dyDescent="0.15">
      <c r="A4866" s="3">
        <f>DATE(1999,8,10)</f>
        <v>36382</v>
      </c>
      <c r="B4866" s="3">
        <f>DATE(1999,10,18)</f>
        <v>36451</v>
      </c>
      <c r="C4866" s="2" t="s">
        <v>95</v>
      </c>
      <c r="D4866" s="2" t="s">
        <v>15086</v>
      </c>
      <c r="E4866" s="2" t="s">
        <v>15087</v>
      </c>
      <c r="F4866" s="4">
        <v>7373</v>
      </c>
      <c r="G4866" s="2" t="s">
        <v>223</v>
      </c>
      <c r="H4866" s="2" t="s">
        <v>34</v>
      </c>
      <c r="I4866" s="2" t="s">
        <v>8437</v>
      </c>
      <c r="J4866" s="2" t="s">
        <v>6519</v>
      </c>
      <c r="K4866" s="2" t="s">
        <v>63</v>
      </c>
      <c r="L4866" s="2" t="s">
        <v>34</v>
      </c>
      <c r="M4866" s="12">
        <v>194257.33100000001</v>
      </c>
      <c r="N4866" s="7">
        <v>61.625</v>
      </c>
      <c r="O4866" s="7">
        <v>63.688000000000002</v>
      </c>
      <c r="P4866" s="2" t="s">
        <v>15088</v>
      </c>
      <c r="Q4866" s="6">
        <v>100</v>
      </c>
      <c r="R4866" s="6">
        <v>53.91</v>
      </c>
      <c r="S4866" s="5">
        <v>25.5</v>
      </c>
      <c r="T4866" s="7">
        <v>58.707999999999998</v>
      </c>
      <c r="U4866" s="5">
        <v>2.9</v>
      </c>
      <c r="V4866" s="6">
        <v>0.41</v>
      </c>
      <c r="W4866" s="5">
        <v>43.5</v>
      </c>
      <c r="X4866" s="6">
        <v>47.73</v>
      </c>
      <c r="Y4866" s="9">
        <v>50.4375</v>
      </c>
      <c r="Z4866" s="7">
        <v>52.125</v>
      </c>
      <c r="AA4866" s="6">
        <v>56.61</v>
      </c>
      <c r="AB4866" s="7">
        <v>64.503</v>
      </c>
      <c r="AC4866" s="8">
        <v>1495</v>
      </c>
    </row>
    <row r="4867" spans="1:29" ht="65" x14ac:dyDescent="0.15">
      <c r="A4867" s="3">
        <f>DATE(1999,8,11)</f>
        <v>36383</v>
      </c>
      <c r="B4867" s="3">
        <f>DATE(1999,11,24)</f>
        <v>36488</v>
      </c>
      <c r="C4867" s="2" t="s">
        <v>95</v>
      </c>
      <c r="D4867" s="2" t="s">
        <v>15089</v>
      </c>
      <c r="E4867" s="2" t="s">
        <v>15090</v>
      </c>
      <c r="F4867" s="4">
        <v>7389</v>
      </c>
      <c r="G4867" s="2" t="s">
        <v>223</v>
      </c>
      <c r="H4867" s="2" t="s">
        <v>34</v>
      </c>
      <c r="I4867" s="2" t="s">
        <v>15091</v>
      </c>
      <c r="J4867" s="2" t="s">
        <v>80</v>
      </c>
      <c r="K4867" s="2" t="s">
        <v>53</v>
      </c>
      <c r="L4867" s="2" t="s">
        <v>34</v>
      </c>
      <c r="M4867" s="2"/>
      <c r="N4867" s="2"/>
      <c r="O4867" s="2"/>
      <c r="P4867" s="2" t="s">
        <v>15092</v>
      </c>
      <c r="Q4867" s="6">
        <v>100</v>
      </c>
      <c r="R4867" s="6">
        <v>11</v>
      </c>
      <c r="S4867" s="5">
        <v>-5.7</v>
      </c>
      <c r="T4867" s="7">
        <v>10.141999999999999</v>
      </c>
      <c r="U4867" s="5">
        <v>10.1</v>
      </c>
      <c r="V4867" s="6">
        <v>1.31</v>
      </c>
      <c r="W4867" s="7">
        <v>8.3130000000000006</v>
      </c>
      <c r="X4867" s="7">
        <v>8.375</v>
      </c>
      <c r="Y4867" s="4">
        <v>9</v>
      </c>
      <c r="Z4867" s="7">
        <v>10.093999999999999</v>
      </c>
      <c r="AA4867" s="6">
        <v>11.85</v>
      </c>
      <c r="AB4867" s="7">
        <v>189.78399999999999</v>
      </c>
      <c r="AC4867" s="2"/>
    </row>
    <row r="4868" spans="1:29" ht="299" x14ac:dyDescent="0.15">
      <c r="A4868" s="3">
        <f>DATE(1999,8,11)</f>
        <v>36383</v>
      </c>
      <c r="B4868" s="3">
        <f>DATE(2000,5,3)</f>
        <v>36649</v>
      </c>
      <c r="C4868" s="2" t="s">
        <v>95</v>
      </c>
      <c r="D4868" s="2" t="s">
        <v>15093</v>
      </c>
      <c r="E4868" s="2" t="s">
        <v>15094</v>
      </c>
      <c r="F4868" s="4">
        <v>3334</v>
      </c>
      <c r="G4868" s="2" t="s">
        <v>163</v>
      </c>
      <c r="H4868" s="2" t="s">
        <v>34</v>
      </c>
      <c r="I4868" s="2" t="s">
        <v>15095</v>
      </c>
      <c r="J4868" s="2" t="s">
        <v>15096</v>
      </c>
      <c r="K4868" s="2" t="s">
        <v>163</v>
      </c>
      <c r="L4868" s="2" t="s">
        <v>34</v>
      </c>
      <c r="M4868" s="12">
        <v>22664.755000000001</v>
      </c>
      <c r="N4868" s="7">
        <v>69.375</v>
      </c>
      <c r="O4868" s="6">
        <v>67.75</v>
      </c>
      <c r="P4868" s="2" t="s">
        <v>15097</v>
      </c>
      <c r="Q4868" s="6">
        <v>100</v>
      </c>
      <c r="R4868" s="6">
        <v>70.89</v>
      </c>
      <c r="S4868" s="5">
        <v>242</v>
      </c>
      <c r="T4868" s="5">
        <v>802</v>
      </c>
      <c r="U4868" s="5">
        <v>32.700000000000003</v>
      </c>
      <c r="V4868" s="6">
        <v>3.47</v>
      </c>
      <c r="W4868" s="7">
        <v>58.625</v>
      </c>
      <c r="X4868" s="7">
        <v>55.875</v>
      </c>
      <c r="Y4868" s="6">
        <v>65.25</v>
      </c>
      <c r="Z4868" s="7">
        <v>66.375</v>
      </c>
      <c r="AA4868" s="6">
        <v>64.510000000000005</v>
      </c>
      <c r="AB4868" s="7">
        <v>10.436999999999999</v>
      </c>
      <c r="AC4868" s="5">
        <v>306.39999999999998</v>
      </c>
    </row>
    <row r="4869" spans="1:29" ht="91" x14ac:dyDescent="0.15">
      <c r="A4869" s="3">
        <f>DATE(1999,8,12)</f>
        <v>36384</v>
      </c>
      <c r="B4869" s="3">
        <f>DATE(1999,12,22)</f>
        <v>36516</v>
      </c>
      <c r="C4869" s="2" t="s">
        <v>95</v>
      </c>
      <c r="D4869" s="2" t="s">
        <v>15098</v>
      </c>
      <c r="E4869" s="2" t="s">
        <v>15099</v>
      </c>
      <c r="F4869" s="4">
        <v>7375</v>
      </c>
      <c r="G4869" s="2" t="s">
        <v>223</v>
      </c>
      <c r="H4869" s="2" t="s">
        <v>34</v>
      </c>
      <c r="I4869" s="2" t="s">
        <v>15100</v>
      </c>
      <c r="J4869" s="2" t="s">
        <v>15101</v>
      </c>
      <c r="K4869" s="2" t="s">
        <v>4563</v>
      </c>
      <c r="L4869" s="2" t="s">
        <v>303</v>
      </c>
      <c r="M4869" s="2"/>
      <c r="N4869" s="2"/>
      <c r="O4869" s="2"/>
      <c r="P4869" s="2" t="s">
        <v>15102</v>
      </c>
      <c r="Q4869" s="6">
        <v>100</v>
      </c>
      <c r="R4869" s="6">
        <v>12.7</v>
      </c>
      <c r="S4869" s="5">
        <v>-1.2</v>
      </c>
      <c r="T4869" s="7">
        <v>1.353</v>
      </c>
      <c r="U4869" s="5">
        <v>9.4</v>
      </c>
      <c r="V4869" s="9">
        <v>-0.1424</v>
      </c>
      <c r="W4869" s="7">
        <v>9.4380000000000006</v>
      </c>
      <c r="X4869" s="6">
        <v>9.25</v>
      </c>
      <c r="Y4869" s="6">
        <v>9.25</v>
      </c>
      <c r="Z4869" s="6">
        <v>10.25</v>
      </c>
      <c r="AA4869" s="6">
        <v>7.86</v>
      </c>
      <c r="AB4869" s="7">
        <v>113.86799999999999</v>
      </c>
      <c r="AC4869" s="6">
        <v>703.12</v>
      </c>
    </row>
    <row r="4870" spans="1:29" ht="104" x14ac:dyDescent="0.15">
      <c r="A4870" s="3">
        <f>DATE(1999,8,13)</f>
        <v>36385</v>
      </c>
      <c r="B4870" s="3">
        <f>DATE(2000,2,4)</f>
        <v>36560</v>
      </c>
      <c r="C4870" s="2" t="s">
        <v>95</v>
      </c>
      <c r="D4870" s="2" t="s">
        <v>7834</v>
      </c>
      <c r="E4870" s="2" t="s">
        <v>36</v>
      </c>
      <c r="F4870" s="4">
        <v>6035</v>
      </c>
      <c r="G4870" s="2" t="s">
        <v>33</v>
      </c>
      <c r="H4870" s="2" t="s">
        <v>34</v>
      </c>
      <c r="I4870" s="2" t="s">
        <v>15026</v>
      </c>
      <c r="J4870" s="2" t="s">
        <v>265</v>
      </c>
      <c r="K4870" s="2" t="s">
        <v>37</v>
      </c>
      <c r="L4870" s="2" t="s">
        <v>34</v>
      </c>
      <c r="M4870" s="12">
        <v>1937.893</v>
      </c>
      <c r="N4870" s="7">
        <v>42.625</v>
      </c>
      <c r="O4870" s="7">
        <v>40.438000000000002</v>
      </c>
      <c r="P4870" s="2" t="s">
        <v>15103</v>
      </c>
      <c r="Q4870" s="6">
        <v>100</v>
      </c>
      <c r="R4870" s="6">
        <v>21</v>
      </c>
      <c r="S4870" s="5">
        <v>3</v>
      </c>
      <c r="T4870" s="2"/>
      <c r="U4870" s="5">
        <v>10.7</v>
      </c>
      <c r="V4870" s="6">
        <v>0.5</v>
      </c>
      <c r="W4870" s="4">
        <v>12</v>
      </c>
      <c r="X4870" s="7">
        <v>12.125</v>
      </c>
      <c r="Y4870" s="7">
        <v>12.313000000000001</v>
      </c>
      <c r="Z4870" s="7">
        <v>18.437999999999999</v>
      </c>
      <c r="AA4870" s="6">
        <v>9.1300000000000008</v>
      </c>
      <c r="AB4870" s="7">
        <v>54.533000000000001</v>
      </c>
      <c r="AC4870" s="2"/>
    </row>
    <row r="4871" spans="1:29" ht="78" x14ac:dyDescent="0.15">
      <c r="A4871" s="3">
        <f>DATE(1999,8,13)</f>
        <v>36385</v>
      </c>
      <c r="B4871" s="2"/>
      <c r="C4871" s="2" t="s">
        <v>30</v>
      </c>
      <c r="D4871" s="2" t="s">
        <v>15093</v>
      </c>
      <c r="E4871" s="2" t="s">
        <v>15094</v>
      </c>
      <c r="F4871" s="4">
        <v>3334</v>
      </c>
      <c r="G4871" s="2" t="s">
        <v>163</v>
      </c>
      <c r="H4871" s="2" t="s">
        <v>34</v>
      </c>
      <c r="I4871" s="2" t="s">
        <v>15104</v>
      </c>
      <c r="J4871" s="2" t="s">
        <v>80</v>
      </c>
      <c r="K4871" s="2" t="s">
        <v>53</v>
      </c>
      <c r="L4871" s="2" t="s">
        <v>34</v>
      </c>
      <c r="M4871" s="2"/>
      <c r="N4871" s="2"/>
      <c r="O4871" s="2"/>
      <c r="P4871" s="2" t="s">
        <v>15105</v>
      </c>
      <c r="Q4871" s="2"/>
      <c r="R4871" s="2"/>
      <c r="S4871" s="5">
        <v>242</v>
      </c>
      <c r="T4871" s="5">
        <v>802</v>
      </c>
      <c r="U4871" s="5">
        <v>32.700000000000003</v>
      </c>
      <c r="V4871" s="6">
        <v>3.47</v>
      </c>
      <c r="W4871" s="7">
        <v>58.625</v>
      </c>
      <c r="X4871" s="7">
        <v>55.875</v>
      </c>
      <c r="Y4871" s="6">
        <v>65.25</v>
      </c>
      <c r="Z4871" s="7">
        <v>66.375</v>
      </c>
      <c r="AA4871" s="6">
        <v>64.510000000000005</v>
      </c>
      <c r="AB4871" s="2" t="s">
        <v>47</v>
      </c>
      <c r="AC4871" s="2"/>
    </row>
    <row r="4872" spans="1:29" ht="91" x14ac:dyDescent="0.15">
      <c r="A4872" s="3">
        <f>DATE(1999,8,13)</f>
        <v>36385</v>
      </c>
      <c r="B4872" s="3">
        <f>DATE(1999,9,22)</f>
        <v>36425</v>
      </c>
      <c r="C4872" s="2" t="s">
        <v>95</v>
      </c>
      <c r="D4872" s="2" t="s">
        <v>6249</v>
      </c>
      <c r="E4872" s="2" t="s">
        <v>6250</v>
      </c>
      <c r="F4872" s="4">
        <v>1541</v>
      </c>
      <c r="G4872" s="2" t="s">
        <v>341</v>
      </c>
      <c r="H4872" s="2" t="s">
        <v>34</v>
      </c>
      <c r="I4872" s="2" t="s">
        <v>15106</v>
      </c>
      <c r="J4872" s="2" t="s">
        <v>3499</v>
      </c>
      <c r="K4872" s="2" t="s">
        <v>341</v>
      </c>
      <c r="L4872" s="2" t="s">
        <v>1049</v>
      </c>
      <c r="M4872" s="2"/>
      <c r="N4872" s="2"/>
      <c r="O4872" s="2"/>
      <c r="P4872" s="2" t="s">
        <v>15107</v>
      </c>
      <c r="Q4872" s="6">
        <v>100</v>
      </c>
      <c r="R4872" s="6">
        <v>28.63</v>
      </c>
      <c r="S4872" s="5">
        <v>27.4</v>
      </c>
      <c r="T4872" s="7">
        <v>57.756999999999998</v>
      </c>
      <c r="U4872" s="5">
        <v>11.3</v>
      </c>
      <c r="V4872" s="6">
        <v>2.14</v>
      </c>
      <c r="W4872" s="4">
        <v>27</v>
      </c>
      <c r="X4872" s="7">
        <v>25.312999999999999</v>
      </c>
      <c r="Y4872" s="7">
        <v>24.937999999999999</v>
      </c>
      <c r="Z4872" s="6">
        <v>28.25</v>
      </c>
      <c r="AA4872" s="6">
        <v>9.18</v>
      </c>
      <c r="AB4872" s="7">
        <v>0.89</v>
      </c>
      <c r="AC4872" s="10">
        <v>1722.27</v>
      </c>
    </row>
    <row r="4873" spans="1:29" ht="52" x14ac:dyDescent="0.15">
      <c r="A4873" s="3">
        <f>DATE(1999,8,13)</f>
        <v>36385</v>
      </c>
      <c r="B4873" s="3">
        <f>DATE(1999,9,13)</f>
        <v>36416</v>
      </c>
      <c r="C4873" s="2" t="s">
        <v>95</v>
      </c>
      <c r="D4873" s="2" t="s">
        <v>15108</v>
      </c>
      <c r="E4873" s="2" t="s">
        <v>15109</v>
      </c>
      <c r="F4873" s="4">
        <v>7812</v>
      </c>
      <c r="G4873" s="2" t="s">
        <v>42</v>
      </c>
      <c r="H4873" s="2" t="s">
        <v>34</v>
      </c>
      <c r="I4873" s="2" t="s">
        <v>15110</v>
      </c>
      <c r="J4873" s="2" t="s">
        <v>1072</v>
      </c>
      <c r="K4873" s="2" t="s">
        <v>300</v>
      </c>
      <c r="L4873" s="2" t="s">
        <v>34</v>
      </c>
      <c r="M4873" s="2"/>
      <c r="N4873" s="2"/>
      <c r="O4873" s="2"/>
      <c r="P4873" s="2" t="s">
        <v>15111</v>
      </c>
      <c r="Q4873" s="2"/>
      <c r="R4873" s="2"/>
      <c r="S4873" s="2"/>
      <c r="T4873" s="2"/>
      <c r="U4873" s="2"/>
      <c r="V4873" s="2"/>
      <c r="W4873" s="6">
        <v>4.25</v>
      </c>
      <c r="X4873" s="7">
        <v>4.0629999999999997</v>
      </c>
      <c r="Y4873" s="6">
        <v>4.25</v>
      </c>
      <c r="Z4873" s="5">
        <v>4.5</v>
      </c>
      <c r="AA4873" s="2"/>
      <c r="AB4873" s="2" t="s">
        <v>47</v>
      </c>
      <c r="AC4873" s="6">
        <v>2.69</v>
      </c>
    </row>
    <row r="4874" spans="1:29" ht="91" x14ac:dyDescent="0.15">
      <c r="A4874" s="3">
        <f t="shared" ref="A4874:A4879" si="105">DATE(1999,8,16)</f>
        <v>36388</v>
      </c>
      <c r="B4874" s="3">
        <f>DATE(2000,3,1)</f>
        <v>36586</v>
      </c>
      <c r="C4874" s="2" t="s">
        <v>95</v>
      </c>
      <c r="D4874" s="2" t="s">
        <v>15112</v>
      </c>
      <c r="E4874" s="2" t="s">
        <v>2898</v>
      </c>
      <c r="F4874" s="4">
        <v>6021</v>
      </c>
      <c r="G4874" s="2" t="s">
        <v>37</v>
      </c>
      <c r="H4874" s="2" t="s">
        <v>34</v>
      </c>
      <c r="I4874" s="2" t="s">
        <v>489</v>
      </c>
      <c r="J4874" s="2" t="s">
        <v>490</v>
      </c>
      <c r="K4874" s="2" t="s">
        <v>37</v>
      </c>
      <c r="L4874" s="2" t="s">
        <v>34</v>
      </c>
      <c r="M4874" s="12">
        <v>2880.8760000000002</v>
      </c>
      <c r="N4874" s="7">
        <v>19.375</v>
      </c>
      <c r="O4874" s="7">
        <v>19.687999999999999</v>
      </c>
      <c r="P4874" s="2" t="s">
        <v>15113</v>
      </c>
      <c r="Q4874" s="6">
        <v>100</v>
      </c>
      <c r="R4874" s="6">
        <v>61.32</v>
      </c>
      <c r="S4874" s="5">
        <v>35.9</v>
      </c>
      <c r="T4874" s="2"/>
      <c r="U4874" s="5">
        <v>40.4</v>
      </c>
      <c r="V4874" s="6">
        <v>3.68</v>
      </c>
      <c r="W4874" s="7">
        <v>55.063000000000002</v>
      </c>
      <c r="X4874" s="6">
        <v>58.75</v>
      </c>
      <c r="Y4874" s="9">
        <v>55.6875</v>
      </c>
      <c r="Z4874" s="9">
        <v>56.9375</v>
      </c>
      <c r="AA4874" s="6">
        <v>9.2899999999999991</v>
      </c>
      <c r="AB4874" s="7">
        <v>12.708</v>
      </c>
      <c r="AC4874" s="2"/>
    </row>
    <row r="4875" spans="1:29" ht="143" x14ac:dyDescent="0.15">
      <c r="A4875" s="3">
        <f t="shared" si="105"/>
        <v>36388</v>
      </c>
      <c r="B4875" s="3">
        <f>DATE(2000,2,18)</f>
        <v>36574</v>
      </c>
      <c r="C4875" s="2" t="s">
        <v>95</v>
      </c>
      <c r="D4875" s="2" t="s">
        <v>15114</v>
      </c>
      <c r="E4875" s="2" t="s">
        <v>36</v>
      </c>
      <c r="F4875" s="4">
        <v>6022</v>
      </c>
      <c r="G4875" s="2" t="s">
        <v>37</v>
      </c>
      <c r="H4875" s="2" t="s">
        <v>34</v>
      </c>
      <c r="I4875" s="2" t="s">
        <v>3099</v>
      </c>
      <c r="J4875" s="2" t="s">
        <v>265</v>
      </c>
      <c r="K4875" s="2" t="s">
        <v>37</v>
      </c>
      <c r="L4875" s="2" t="s">
        <v>34</v>
      </c>
      <c r="M4875" s="7">
        <v>262.74200000000002</v>
      </c>
      <c r="N4875" s="7">
        <v>19.125</v>
      </c>
      <c r="O4875" s="7">
        <v>19.625</v>
      </c>
      <c r="P4875" s="2" t="s">
        <v>15115</v>
      </c>
      <c r="Q4875" s="6">
        <v>100</v>
      </c>
      <c r="R4875" s="6">
        <v>20.170000000000002</v>
      </c>
      <c r="S4875" s="5">
        <v>3.5</v>
      </c>
      <c r="T4875" s="2"/>
      <c r="U4875" s="5">
        <v>7.2</v>
      </c>
      <c r="V4875" s="7">
        <v>0.72099999999999997</v>
      </c>
      <c r="W4875" s="7">
        <v>13.125</v>
      </c>
      <c r="X4875" s="4">
        <v>13</v>
      </c>
      <c r="Y4875" s="9">
        <v>16.4375</v>
      </c>
      <c r="Z4875" s="7">
        <v>16.125</v>
      </c>
      <c r="AA4875" s="6">
        <v>4.8499999999999996</v>
      </c>
      <c r="AB4875" s="7">
        <v>46.927</v>
      </c>
      <c r="AC4875" s="2"/>
    </row>
    <row r="4876" spans="1:29" ht="143" x14ac:dyDescent="0.15">
      <c r="A4876" s="3">
        <f t="shared" si="105"/>
        <v>36388</v>
      </c>
      <c r="B4876" s="3">
        <f>DATE(1999,10,27)</f>
        <v>36460</v>
      </c>
      <c r="C4876" s="2" t="s">
        <v>95</v>
      </c>
      <c r="D4876" s="2" t="s">
        <v>15116</v>
      </c>
      <c r="E4876" s="2" t="s">
        <v>11810</v>
      </c>
      <c r="F4876" s="4">
        <v>8732</v>
      </c>
      <c r="G4876" s="2" t="s">
        <v>223</v>
      </c>
      <c r="H4876" s="2" t="s">
        <v>34</v>
      </c>
      <c r="I4876" s="2" t="s">
        <v>15117</v>
      </c>
      <c r="J4876" s="2" t="s">
        <v>4784</v>
      </c>
      <c r="K4876" s="2" t="s">
        <v>186</v>
      </c>
      <c r="L4876" s="2" t="s">
        <v>2105</v>
      </c>
      <c r="M4876" s="2"/>
      <c r="N4876" s="2"/>
      <c r="O4876" s="2"/>
      <c r="P4876" s="2" t="s">
        <v>15118</v>
      </c>
      <c r="Q4876" s="6">
        <v>100</v>
      </c>
      <c r="R4876" s="6">
        <v>37.75</v>
      </c>
      <c r="S4876" s="5">
        <v>52.3</v>
      </c>
      <c r="T4876" s="7">
        <v>136.61600000000001</v>
      </c>
      <c r="U4876" s="5">
        <v>-1.8</v>
      </c>
      <c r="V4876" s="6">
        <v>0.87</v>
      </c>
      <c r="W4876" s="7">
        <v>31.375</v>
      </c>
      <c r="X4876" s="7">
        <v>32.813000000000002</v>
      </c>
      <c r="Y4876" s="7">
        <v>37.313000000000002</v>
      </c>
      <c r="Z4876" s="7">
        <v>37.188000000000002</v>
      </c>
      <c r="AA4876" s="6">
        <v>57.69</v>
      </c>
      <c r="AB4876" s="7">
        <v>27.262</v>
      </c>
      <c r="AC4876" s="6">
        <v>379.46</v>
      </c>
    </row>
    <row r="4877" spans="1:29" ht="65" x14ac:dyDescent="0.15">
      <c r="A4877" s="3">
        <f t="shared" si="105"/>
        <v>36388</v>
      </c>
      <c r="B4877" s="3">
        <f>DATE(2000,3,22)</f>
        <v>36607</v>
      </c>
      <c r="C4877" s="2" t="s">
        <v>95</v>
      </c>
      <c r="D4877" s="2" t="s">
        <v>13188</v>
      </c>
      <c r="E4877" s="2" t="s">
        <v>13189</v>
      </c>
      <c r="F4877" s="4">
        <v>7011</v>
      </c>
      <c r="G4877" s="2" t="s">
        <v>269</v>
      </c>
      <c r="H4877" s="2" t="s">
        <v>34</v>
      </c>
      <c r="I4877" s="2" t="s">
        <v>11169</v>
      </c>
      <c r="J4877" s="2" t="s">
        <v>11170</v>
      </c>
      <c r="K4877" s="2" t="s">
        <v>269</v>
      </c>
      <c r="L4877" s="2" t="s">
        <v>34</v>
      </c>
      <c r="M4877" s="12">
        <v>2646.348</v>
      </c>
      <c r="N4877" s="7">
        <v>22.625</v>
      </c>
      <c r="O4877" s="6">
        <v>23.75</v>
      </c>
      <c r="P4877" s="2" t="s">
        <v>15119</v>
      </c>
      <c r="Q4877" s="6">
        <v>100</v>
      </c>
      <c r="R4877" s="6">
        <v>8.5</v>
      </c>
      <c r="S4877" s="5">
        <v>2.2000000000000002</v>
      </c>
      <c r="T4877" s="7">
        <v>70.513999999999996</v>
      </c>
      <c r="U4877" s="5">
        <v>5.0999999999999996</v>
      </c>
      <c r="V4877" s="6">
        <v>7.0000000000000007E-2</v>
      </c>
      <c r="W4877" s="7">
        <v>5.7190000000000003</v>
      </c>
      <c r="X4877" s="4">
        <v>6</v>
      </c>
      <c r="Y4877" s="7">
        <v>6.6879999999999997</v>
      </c>
      <c r="Z4877" s="6">
        <v>6.75</v>
      </c>
      <c r="AA4877" s="6">
        <v>32.03</v>
      </c>
      <c r="AB4877" s="7">
        <v>7.92</v>
      </c>
      <c r="AC4877" s="6">
        <v>176.33</v>
      </c>
    </row>
    <row r="4878" spans="1:29" ht="117" x14ac:dyDescent="0.15">
      <c r="A4878" s="3">
        <f t="shared" si="105"/>
        <v>36388</v>
      </c>
      <c r="B4878" s="3">
        <f>DATE(1999,9,30)</f>
        <v>36433</v>
      </c>
      <c r="C4878" s="2" t="s">
        <v>95</v>
      </c>
      <c r="D4878" s="2" t="s">
        <v>15120</v>
      </c>
      <c r="E4878" s="2" t="s">
        <v>15121</v>
      </c>
      <c r="F4878" s="4">
        <v>2834</v>
      </c>
      <c r="G4878" s="2" t="s">
        <v>130</v>
      </c>
      <c r="H4878" s="2" t="s">
        <v>34</v>
      </c>
      <c r="I4878" s="2" t="s">
        <v>15122</v>
      </c>
      <c r="J4878" s="2" t="s">
        <v>839</v>
      </c>
      <c r="K4878" s="2" t="s">
        <v>130</v>
      </c>
      <c r="L4878" s="2" t="s">
        <v>34</v>
      </c>
      <c r="M4878" s="6">
        <v>267.41000000000003</v>
      </c>
      <c r="N4878" s="7">
        <v>13.938000000000001</v>
      </c>
      <c r="O4878" s="7">
        <v>13.375</v>
      </c>
      <c r="P4878" s="2" t="s">
        <v>15123</v>
      </c>
      <c r="Q4878" s="6">
        <v>100</v>
      </c>
      <c r="R4878" s="6">
        <v>2.0699999999999998</v>
      </c>
      <c r="S4878" s="5">
        <v>-3.8</v>
      </c>
      <c r="T4878" s="7">
        <v>-3.923</v>
      </c>
      <c r="U4878" s="5">
        <v>0.2</v>
      </c>
      <c r="V4878" s="6">
        <v>-0.64</v>
      </c>
      <c r="W4878" s="7">
        <v>1.1879999999999999</v>
      </c>
      <c r="X4878" s="6">
        <v>1.75</v>
      </c>
      <c r="Y4878" s="7">
        <v>1.625</v>
      </c>
      <c r="Z4878" s="7">
        <v>1.375</v>
      </c>
      <c r="AA4878" s="6">
        <v>6.91</v>
      </c>
      <c r="AB4878" s="2" t="s">
        <v>86</v>
      </c>
      <c r="AC4878" s="2"/>
    </row>
    <row r="4879" spans="1:29" ht="65" x14ac:dyDescent="0.15">
      <c r="A4879" s="3">
        <f t="shared" si="105"/>
        <v>36388</v>
      </c>
      <c r="B4879" s="3">
        <f>DATE(1999,9,30)</f>
        <v>36433</v>
      </c>
      <c r="C4879" s="2" t="s">
        <v>95</v>
      </c>
      <c r="D4879" s="2" t="s">
        <v>13429</v>
      </c>
      <c r="E4879" s="2" t="s">
        <v>13430</v>
      </c>
      <c r="F4879" s="4">
        <v>3577</v>
      </c>
      <c r="G4879" s="2" t="s">
        <v>50</v>
      </c>
      <c r="H4879" s="2" t="s">
        <v>34</v>
      </c>
      <c r="I4879" s="2" t="s">
        <v>13431</v>
      </c>
      <c r="J4879" s="2" t="s">
        <v>13432</v>
      </c>
      <c r="K4879" s="2" t="s">
        <v>137</v>
      </c>
      <c r="L4879" s="2" t="s">
        <v>4242</v>
      </c>
      <c r="M4879" s="2"/>
      <c r="N4879" s="2"/>
      <c r="O4879" s="2"/>
      <c r="P4879" s="2" t="s">
        <v>15124</v>
      </c>
      <c r="Q4879" s="6">
        <v>100</v>
      </c>
      <c r="R4879" s="6">
        <v>5.4</v>
      </c>
      <c r="S4879" s="5">
        <v>0.6</v>
      </c>
      <c r="T4879" s="6">
        <v>0.83</v>
      </c>
      <c r="U4879" s="5">
        <v>3.3</v>
      </c>
      <c r="V4879" s="6">
        <v>0.34</v>
      </c>
      <c r="W4879" s="7">
        <v>3.2810000000000001</v>
      </c>
      <c r="X4879" s="7">
        <v>3.3130000000000002</v>
      </c>
      <c r="Y4879" s="7">
        <v>3.625</v>
      </c>
      <c r="Z4879" s="7">
        <v>4.0629999999999997</v>
      </c>
      <c r="AA4879" s="6">
        <v>1.69</v>
      </c>
      <c r="AB4879" s="7">
        <v>9.4700000000000006</v>
      </c>
      <c r="AC4879" s="2"/>
    </row>
    <row r="4880" spans="1:29" ht="130" x14ac:dyDescent="0.15">
      <c r="A4880" s="3">
        <f>DATE(1999,8,17)</f>
        <v>36389</v>
      </c>
      <c r="B4880" s="3">
        <f>DATE(2000,10,3)</f>
        <v>36802</v>
      </c>
      <c r="C4880" s="2" t="s">
        <v>95</v>
      </c>
      <c r="D4880" s="2" t="s">
        <v>15125</v>
      </c>
      <c r="E4880" s="2" t="s">
        <v>15126</v>
      </c>
      <c r="F4880" s="4">
        <v>6159</v>
      </c>
      <c r="G4880" s="2" t="s">
        <v>370</v>
      </c>
      <c r="H4880" s="2" t="s">
        <v>34</v>
      </c>
      <c r="I4880" s="2" t="s">
        <v>15127</v>
      </c>
      <c r="J4880" s="2" t="s">
        <v>15128</v>
      </c>
      <c r="K4880" s="2" t="s">
        <v>370</v>
      </c>
      <c r="L4880" s="2" t="s">
        <v>34</v>
      </c>
      <c r="M4880" s="6">
        <v>282.91000000000003</v>
      </c>
      <c r="N4880" s="7">
        <v>18.875</v>
      </c>
      <c r="O4880" s="7">
        <v>19.187999999999999</v>
      </c>
      <c r="P4880" s="2" t="s">
        <v>15129</v>
      </c>
      <c r="Q4880" s="6">
        <v>100</v>
      </c>
      <c r="R4880" s="6">
        <v>4</v>
      </c>
      <c r="S4880" s="5">
        <v>0.8</v>
      </c>
      <c r="T4880" s="7">
        <v>1.0589999999999999</v>
      </c>
      <c r="U4880" s="5">
        <v>3.3</v>
      </c>
      <c r="V4880" s="7">
        <v>0.35899999999999999</v>
      </c>
      <c r="W4880" s="7">
        <v>3.875</v>
      </c>
      <c r="X4880" s="7">
        <v>4.375</v>
      </c>
      <c r="Y4880" s="5">
        <v>4.5</v>
      </c>
      <c r="Z4880" s="7">
        <v>4.0629999999999997</v>
      </c>
      <c r="AA4880" s="6">
        <v>2.17</v>
      </c>
      <c r="AB4880" s="7">
        <v>26.222000000000001</v>
      </c>
      <c r="AC4880" s="2"/>
    </row>
    <row r="4881" spans="1:29" ht="52" x14ac:dyDescent="0.15">
      <c r="A4881" s="3">
        <f>DATE(1999,8,18)</f>
        <v>36390</v>
      </c>
      <c r="B4881" s="2"/>
      <c r="C4881" s="2" t="s">
        <v>30</v>
      </c>
      <c r="D4881" s="2" t="s">
        <v>15130</v>
      </c>
      <c r="E4881" s="2" t="s">
        <v>10885</v>
      </c>
      <c r="F4881" s="4">
        <v>2833</v>
      </c>
      <c r="G4881" s="2" t="s">
        <v>130</v>
      </c>
      <c r="H4881" s="2" t="s">
        <v>34</v>
      </c>
      <c r="I4881" s="2" t="s">
        <v>138</v>
      </c>
      <c r="J4881" s="2" t="s">
        <v>139</v>
      </c>
      <c r="K4881" s="2" t="s">
        <v>53</v>
      </c>
      <c r="L4881" s="2" t="s">
        <v>139</v>
      </c>
      <c r="M4881" s="2"/>
      <c r="N4881" s="2"/>
      <c r="O4881" s="2"/>
      <c r="P4881" s="2" t="s">
        <v>15131</v>
      </c>
      <c r="Q4881" s="2"/>
      <c r="R4881" s="6">
        <v>7.75</v>
      </c>
      <c r="S4881" s="5">
        <v>-6.4</v>
      </c>
      <c r="T4881" s="7">
        <v>-6.9409999999999998</v>
      </c>
      <c r="U4881" s="5">
        <v>291.8</v>
      </c>
      <c r="V4881" s="6">
        <v>-142.5</v>
      </c>
      <c r="W4881" s="4">
        <v>2</v>
      </c>
      <c r="X4881" s="7">
        <v>1.9379999999999999</v>
      </c>
      <c r="Y4881" s="4">
        <v>3</v>
      </c>
      <c r="Z4881" s="9">
        <v>2.5625</v>
      </c>
      <c r="AA4881" s="6">
        <v>16.350000000000001</v>
      </c>
      <c r="AB4881" s="2" t="s">
        <v>86</v>
      </c>
      <c r="AC4881" s="2"/>
    </row>
    <row r="4882" spans="1:29" ht="117" x14ac:dyDescent="0.15">
      <c r="A4882" s="3">
        <f>DATE(1999,8,18)</f>
        <v>36390</v>
      </c>
      <c r="B4882" s="3">
        <f>DATE(1999,11,3)</f>
        <v>36467</v>
      </c>
      <c r="C4882" s="2" t="s">
        <v>95</v>
      </c>
      <c r="D4882" s="2" t="s">
        <v>15132</v>
      </c>
      <c r="E4882" s="2" t="s">
        <v>15133</v>
      </c>
      <c r="F4882" s="4">
        <v>3661</v>
      </c>
      <c r="G4882" s="2" t="s">
        <v>921</v>
      </c>
      <c r="H4882" s="2" t="s">
        <v>34</v>
      </c>
      <c r="I4882" s="2" t="s">
        <v>8437</v>
      </c>
      <c r="J4882" s="2" t="s">
        <v>6519</v>
      </c>
      <c r="K4882" s="2" t="s">
        <v>63</v>
      </c>
      <c r="L4882" s="2" t="s">
        <v>34</v>
      </c>
      <c r="M4882" s="12">
        <v>214861.52100000001</v>
      </c>
      <c r="N4882" s="7">
        <v>64.188000000000002</v>
      </c>
      <c r="O4882" s="7">
        <v>63.813000000000002</v>
      </c>
      <c r="P4882" s="2" t="s">
        <v>15134</v>
      </c>
      <c r="Q4882" s="6">
        <v>100</v>
      </c>
      <c r="R4882" s="6">
        <v>37.11</v>
      </c>
      <c r="S4882" s="5">
        <v>19.7</v>
      </c>
      <c r="T4882" s="7">
        <v>43.335000000000001</v>
      </c>
      <c r="U4882" s="5">
        <v>5</v>
      </c>
      <c r="V4882" s="6">
        <v>0.49</v>
      </c>
      <c r="W4882" s="6">
        <v>25.37</v>
      </c>
      <c r="X4882" s="6">
        <v>27.56</v>
      </c>
      <c r="Y4882" s="7">
        <v>34.625</v>
      </c>
      <c r="Z4882" s="5">
        <v>34.5</v>
      </c>
      <c r="AA4882" s="6">
        <v>36.799999999999997</v>
      </c>
      <c r="AB4882" s="7">
        <v>42.131999999999998</v>
      </c>
      <c r="AC4882" s="8">
        <v>1495</v>
      </c>
    </row>
    <row r="4883" spans="1:29" ht="91" x14ac:dyDescent="0.15">
      <c r="A4883" s="3">
        <f>DATE(1999,8,18)</f>
        <v>36390</v>
      </c>
      <c r="B4883" s="3">
        <f>DATE(2000,7,31)</f>
        <v>36738</v>
      </c>
      <c r="C4883" s="2" t="s">
        <v>95</v>
      </c>
      <c r="D4883" s="2" t="s">
        <v>15135</v>
      </c>
      <c r="E4883" s="2" t="s">
        <v>9676</v>
      </c>
      <c r="F4883" s="4">
        <v>5411</v>
      </c>
      <c r="G4883" s="2" t="s">
        <v>1461</v>
      </c>
      <c r="H4883" s="2" t="s">
        <v>34</v>
      </c>
      <c r="I4883" s="2" t="s">
        <v>8356</v>
      </c>
      <c r="J4883" s="2" t="s">
        <v>8357</v>
      </c>
      <c r="K4883" s="2" t="s">
        <v>1461</v>
      </c>
      <c r="L4883" s="2" t="s">
        <v>34</v>
      </c>
      <c r="M4883" s="12">
        <v>5337.1589999999997</v>
      </c>
      <c r="N4883" s="7">
        <v>8.4689999999999994</v>
      </c>
      <c r="O4883" s="7">
        <v>8.7189999999999994</v>
      </c>
      <c r="P4883" s="2" t="s">
        <v>15136</v>
      </c>
      <c r="Q4883" s="6">
        <v>100</v>
      </c>
      <c r="R4883" s="6">
        <v>79</v>
      </c>
      <c r="S4883" s="5">
        <v>99.2</v>
      </c>
      <c r="T4883" s="7">
        <v>286.50599999999997</v>
      </c>
      <c r="U4883" s="5">
        <v>16.2</v>
      </c>
      <c r="V4883" s="6">
        <v>2.3199999999999998</v>
      </c>
      <c r="W4883" s="6">
        <v>56.25</v>
      </c>
      <c r="X4883" s="7">
        <v>63.688000000000002</v>
      </c>
      <c r="Y4883" s="6">
        <v>72.75</v>
      </c>
      <c r="Z4883" s="7">
        <v>71.875</v>
      </c>
      <c r="AA4883" s="6">
        <v>42.17</v>
      </c>
      <c r="AB4883" s="7">
        <v>19.649000000000001</v>
      </c>
      <c r="AC4883" s="6">
        <v>89.82</v>
      </c>
    </row>
    <row r="4884" spans="1:29" ht="143" x14ac:dyDescent="0.15">
      <c r="A4884" s="3">
        <f>DATE(1999,8,18)</f>
        <v>36390</v>
      </c>
      <c r="B4884" s="3">
        <f>DATE(2000,3,16)</f>
        <v>36601</v>
      </c>
      <c r="C4884" s="2" t="s">
        <v>95</v>
      </c>
      <c r="D4884" s="2" t="s">
        <v>3752</v>
      </c>
      <c r="E4884" s="2" t="s">
        <v>3753</v>
      </c>
      <c r="F4884" s="4">
        <v>7363</v>
      </c>
      <c r="G4884" s="2" t="s">
        <v>223</v>
      </c>
      <c r="H4884" s="2" t="s">
        <v>34</v>
      </c>
      <c r="I4884" s="2" t="s">
        <v>15137</v>
      </c>
      <c r="J4884" s="2" t="s">
        <v>15138</v>
      </c>
      <c r="K4884" s="2" t="s">
        <v>223</v>
      </c>
      <c r="L4884" s="2" t="s">
        <v>215</v>
      </c>
      <c r="M4884" s="2"/>
      <c r="N4884" s="2"/>
      <c r="O4884" s="2"/>
      <c r="P4884" s="2" t="s">
        <v>15139</v>
      </c>
      <c r="Q4884" s="6">
        <v>100</v>
      </c>
      <c r="R4884" s="6">
        <v>8.75</v>
      </c>
      <c r="S4884" s="5">
        <v>4.4000000000000004</v>
      </c>
      <c r="T4884" s="7">
        <v>186.94300000000001</v>
      </c>
      <c r="U4884" s="5">
        <v>10.1</v>
      </c>
      <c r="V4884" s="6">
        <v>0.05</v>
      </c>
      <c r="W4884" s="7">
        <v>9.875</v>
      </c>
      <c r="X4884" s="5">
        <v>9.5</v>
      </c>
      <c r="Y4884" s="4">
        <v>10</v>
      </c>
      <c r="Z4884" s="5">
        <v>10.5</v>
      </c>
      <c r="AA4884" s="6">
        <v>81.3</v>
      </c>
      <c r="AB4884" s="7">
        <v>10.138</v>
      </c>
      <c r="AC4884" s="6">
        <v>391.61</v>
      </c>
    </row>
    <row r="4885" spans="1:29" ht="52" x14ac:dyDescent="0.15">
      <c r="A4885" s="3">
        <f>DATE(1999,8,19)</f>
        <v>36391</v>
      </c>
      <c r="B4885" s="3">
        <f>DATE(2000,1,19)</f>
        <v>36544</v>
      </c>
      <c r="C4885" s="2" t="s">
        <v>95</v>
      </c>
      <c r="D4885" s="2" t="s">
        <v>15140</v>
      </c>
      <c r="E4885" s="2" t="s">
        <v>1181</v>
      </c>
      <c r="F4885" s="4">
        <v>6021</v>
      </c>
      <c r="G4885" s="2" t="s">
        <v>37</v>
      </c>
      <c r="H4885" s="2" t="s">
        <v>34</v>
      </c>
      <c r="I4885" s="2" t="s">
        <v>15141</v>
      </c>
      <c r="J4885" s="2" t="s">
        <v>36</v>
      </c>
      <c r="K4885" s="2" t="s">
        <v>37</v>
      </c>
      <c r="L4885" s="2" t="s">
        <v>34</v>
      </c>
      <c r="M4885" s="2"/>
      <c r="N4885" s="2"/>
      <c r="O4885" s="2"/>
      <c r="P4885" s="2" t="s">
        <v>15142</v>
      </c>
      <c r="Q4885" s="6">
        <v>100</v>
      </c>
      <c r="R4885" s="6">
        <v>17.3</v>
      </c>
      <c r="S4885" s="5">
        <v>0.2</v>
      </c>
      <c r="T4885" s="2"/>
      <c r="U4885" s="5">
        <v>16.2</v>
      </c>
      <c r="V4885" s="6">
        <v>0.35</v>
      </c>
      <c r="W4885" s="4">
        <v>5</v>
      </c>
      <c r="X4885" s="4">
        <v>15</v>
      </c>
      <c r="Y4885" s="4">
        <v>15</v>
      </c>
      <c r="Z4885" s="4">
        <v>15</v>
      </c>
      <c r="AA4885" s="6">
        <v>0.59</v>
      </c>
      <c r="AB4885" s="7">
        <v>32.134999999999998</v>
      </c>
      <c r="AC4885" s="2"/>
    </row>
    <row r="4886" spans="1:29" ht="78" x14ac:dyDescent="0.15">
      <c r="A4886" s="3">
        <f>DATE(1999,8,19)</f>
        <v>36391</v>
      </c>
      <c r="B4886" s="3">
        <f>DATE(1999,9,30)</f>
        <v>36433</v>
      </c>
      <c r="C4886" s="2" t="s">
        <v>95</v>
      </c>
      <c r="D4886" s="2" t="s">
        <v>15143</v>
      </c>
      <c r="E4886" s="2" t="s">
        <v>15144</v>
      </c>
      <c r="F4886" s="4">
        <v>7372</v>
      </c>
      <c r="G4886" s="2" t="s">
        <v>551</v>
      </c>
      <c r="H4886" s="2" t="s">
        <v>34</v>
      </c>
      <c r="I4886" s="2" t="s">
        <v>15145</v>
      </c>
      <c r="J4886" s="2" t="s">
        <v>15146</v>
      </c>
      <c r="K4886" s="2" t="s">
        <v>921</v>
      </c>
      <c r="L4886" s="2" t="s">
        <v>34</v>
      </c>
      <c r="M4886" s="12">
        <v>54761.856</v>
      </c>
      <c r="N4886" s="7">
        <v>86.625</v>
      </c>
      <c r="O4886" s="7">
        <v>87.813000000000002</v>
      </c>
      <c r="P4886" s="2" t="s">
        <v>15147</v>
      </c>
      <c r="Q4886" s="6">
        <v>100</v>
      </c>
      <c r="R4886" s="6">
        <v>6.25</v>
      </c>
      <c r="S4886" s="5">
        <v>-5.9</v>
      </c>
      <c r="T4886" s="7">
        <v>-4.6589999999999998</v>
      </c>
      <c r="U4886" s="5">
        <v>1.3</v>
      </c>
      <c r="V4886" s="6">
        <v>-0.48</v>
      </c>
      <c r="W4886" s="6">
        <v>3.75</v>
      </c>
      <c r="X4886" s="7">
        <v>5.0629999999999997</v>
      </c>
      <c r="Y4886" s="7">
        <v>6.0309999999999997</v>
      </c>
      <c r="Z4886" s="7">
        <v>6.0309999999999997</v>
      </c>
      <c r="AA4886" s="6">
        <v>14.64</v>
      </c>
      <c r="AB4886" s="2" t="s">
        <v>86</v>
      </c>
      <c r="AC4886" s="8">
        <v>2649</v>
      </c>
    </row>
    <row r="4887" spans="1:29" ht="247" x14ac:dyDescent="0.15">
      <c r="A4887" s="3">
        <f>DATE(1999,8,20)</f>
        <v>36392</v>
      </c>
      <c r="B4887" s="2"/>
      <c r="C4887" s="2" t="s">
        <v>30</v>
      </c>
      <c r="D4887" s="2" t="s">
        <v>14883</v>
      </c>
      <c r="E4887" s="2" t="s">
        <v>14884</v>
      </c>
      <c r="F4887" s="4">
        <v>1021</v>
      </c>
      <c r="G4887" s="2" t="s">
        <v>166</v>
      </c>
      <c r="H4887" s="2" t="s">
        <v>34</v>
      </c>
      <c r="I4887" s="2" t="s">
        <v>15148</v>
      </c>
      <c r="J4887" s="2" t="s">
        <v>15149</v>
      </c>
      <c r="K4887" s="2" t="s">
        <v>166</v>
      </c>
      <c r="L4887" s="2" t="s">
        <v>34</v>
      </c>
      <c r="M4887" s="12">
        <v>3559.3879999999999</v>
      </c>
      <c r="N4887" s="7">
        <v>59.125</v>
      </c>
      <c r="O4887" s="7">
        <v>60.063000000000002</v>
      </c>
      <c r="P4887" s="2" t="s">
        <v>15150</v>
      </c>
      <c r="Q4887" s="2"/>
      <c r="R4887" s="6">
        <v>28.21</v>
      </c>
      <c r="S4887" s="5">
        <v>-140.69999999999999</v>
      </c>
      <c r="T4887" s="7">
        <v>142.88399999999999</v>
      </c>
      <c r="U4887" s="5">
        <v>36.700000000000003</v>
      </c>
      <c r="V4887" s="6">
        <v>-3.54</v>
      </c>
      <c r="W4887" s="7">
        <v>20.062999999999999</v>
      </c>
      <c r="X4887" s="4">
        <v>19</v>
      </c>
      <c r="Y4887" s="6">
        <v>19.25</v>
      </c>
      <c r="Z4887" s="7">
        <v>18.562999999999999</v>
      </c>
      <c r="AA4887" s="6">
        <v>39.78</v>
      </c>
      <c r="AB4887" s="2" t="s">
        <v>86</v>
      </c>
      <c r="AC4887" s="5">
        <v>165</v>
      </c>
    </row>
    <row r="4888" spans="1:29" ht="234" x14ac:dyDescent="0.15">
      <c r="A4888" s="3">
        <f>DATE(1999,8,20)</f>
        <v>36392</v>
      </c>
      <c r="B4888" s="3">
        <f>DATE(1999,12,2)</f>
        <v>36496</v>
      </c>
      <c r="C4888" s="2" t="s">
        <v>95</v>
      </c>
      <c r="D4888" s="2" t="s">
        <v>14882</v>
      </c>
      <c r="E4888" s="2" t="s">
        <v>3793</v>
      </c>
      <c r="F4888" s="4">
        <v>1021</v>
      </c>
      <c r="G4888" s="2" t="s">
        <v>166</v>
      </c>
      <c r="H4888" s="2" t="s">
        <v>34</v>
      </c>
      <c r="I4888" s="2" t="s">
        <v>15148</v>
      </c>
      <c r="J4888" s="2" t="s">
        <v>15149</v>
      </c>
      <c r="K4888" s="2" t="s">
        <v>166</v>
      </c>
      <c r="L4888" s="2" t="s">
        <v>34</v>
      </c>
      <c r="M4888" s="12">
        <v>3559.3879999999999</v>
      </c>
      <c r="N4888" s="7">
        <v>59.125</v>
      </c>
      <c r="O4888" s="7">
        <v>60.063000000000002</v>
      </c>
      <c r="P4888" s="2" t="s">
        <v>15151</v>
      </c>
      <c r="Q4888" s="6">
        <v>100</v>
      </c>
      <c r="R4888" s="6">
        <v>19.8</v>
      </c>
      <c r="S4888" s="5">
        <v>-213</v>
      </c>
      <c r="T4888" s="5">
        <v>345</v>
      </c>
      <c r="U4888" s="5">
        <v>21.8</v>
      </c>
      <c r="V4888" s="6">
        <v>-2.54</v>
      </c>
      <c r="W4888" s="6">
        <v>14.43</v>
      </c>
      <c r="X4888" s="5">
        <v>14.5</v>
      </c>
      <c r="Y4888" s="7">
        <v>14.563000000000001</v>
      </c>
      <c r="Z4888" s="4">
        <v>14</v>
      </c>
      <c r="AA4888" s="6">
        <v>90.45</v>
      </c>
      <c r="AB4888" s="7">
        <v>38.158000000000001</v>
      </c>
      <c r="AC4888" s="5">
        <v>165</v>
      </c>
    </row>
    <row r="4889" spans="1:29" ht="117" x14ac:dyDescent="0.15">
      <c r="A4889" s="3">
        <f>DATE(1999,8,20)</f>
        <v>36392</v>
      </c>
      <c r="B4889" s="3">
        <f>DATE(2000,2,18)</f>
        <v>36574</v>
      </c>
      <c r="C4889" s="2" t="s">
        <v>95</v>
      </c>
      <c r="D4889" s="2" t="s">
        <v>11224</v>
      </c>
      <c r="E4889" s="2" t="s">
        <v>3246</v>
      </c>
      <c r="F4889" s="4">
        <v>6022</v>
      </c>
      <c r="G4889" s="2" t="s">
        <v>37</v>
      </c>
      <c r="H4889" s="2" t="s">
        <v>34</v>
      </c>
      <c r="I4889" s="2" t="s">
        <v>5615</v>
      </c>
      <c r="J4889" s="2" t="s">
        <v>672</v>
      </c>
      <c r="K4889" s="2" t="s">
        <v>37</v>
      </c>
      <c r="L4889" s="2" t="s">
        <v>34</v>
      </c>
      <c r="M4889" s="12">
        <v>1592.4169999999999</v>
      </c>
      <c r="N4889" s="4">
        <v>52</v>
      </c>
      <c r="O4889" s="7">
        <v>49.875</v>
      </c>
      <c r="P4889" s="2" t="s">
        <v>15152</v>
      </c>
      <c r="Q4889" s="6">
        <v>100</v>
      </c>
      <c r="R4889" s="6">
        <v>23.4</v>
      </c>
      <c r="S4889" s="5">
        <v>25.7</v>
      </c>
      <c r="T4889" s="2"/>
      <c r="U4889" s="5">
        <v>6.6</v>
      </c>
      <c r="V4889" s="6">
        <v>0.93</v>
      </c>
      <c r="W4889" s="7">
        <v>16.312999999999999</v>
      </c>
      <c r="X4889" s="7">
        <v>16.375</v>
      </c>
      <c r="Y4889" s="5">
        <v>16.5</v>
      </c>
      <c r="Z4889" s="5">
        <v>21.5</v>
      </c>
      <c r="AA4889" s="6">
        <v>25.11</v>
      </c>
      <c r="AB4889" s="7">
        <v>22.646999999999998</v>
      </c>
      <c r="AC4889" s="2"/>
    </row>
    <row r="4890" spans="1:29" ht="117" x14ac:dyDescent="0.15">
      <c r="A4890" s="3">
        <f>DATE(1999,8,22)</f>
        <v>36394</v>
      </c>
      <c r="B4890" s="3">
        <f>DATE(2000,11,29)</f>
        <v>36859</v>
      </c>
      <c r="C4890" s="2" t="s">
        <v>95</v>
      </c>
      <c r="D4890" s="2" t="s">
        <v>15153</v>
      </c>
      <c r="E4890" s="2" t="s">
        <v>3395</v>
      </c>
      <c r="F4890" s="4">
        <v>4911</v>
      </c>
      <c r="G4890" s="2" t="s">
        <v>439</v>
      </c>
      <c r="H4890" s="2" t="s">
        <v>34</v>
      </c>
      <c r="I4890" s="2" t="s">
        <v>13199</v>
      </c>
      <c r="J4890" s="2" t="s">
        <v>1888</v>
      </c>
      <c r="K4890" s="2" t="s">
        <v>439</v>
      </c>
      <c r="L4890" s="2" t="s">
        <v>34</v>
      </c>
      <c r="M4890" s="10">
        <v>6792.27</v>
      </c>
      <c r="N4890" s="7">
        <v>36.688000000000002</v>
      </c>
      <c r="O4890" s="7">
        <v>36.688000000000002</v>
      </c>
      <c r="P4890" s="2" t="s">
        <v>15154</v>
      </c>
      <c r="Q4890" s="6">
        <v>100</v>
      </c>
      <c r="R4890" s="6">
        <v>54</v>
      </c>
      <c r="S4890" s="5">
        <v>301.39999999999998</v>
      </c>
      <c r="T4890" s="8">
        <v>1035.8</v>
      </c>
      <c r="U4890" s="5">
        <v>19.7</v>
      </c>
      <c r="V4890" s="6">
        <v>3.06</v>
      </c>
      <c r="W4890" s="7">
        <v>42.625</v>
      </c>
      <c r="X4890" s="7">
        <v>44.625</v>
      </c>
      <c r="Y4890" s="7">
        <v>46.813000000000002</v>
      </c>
      <c r="Z4890" s="7">
        <v>46.813000000000002</v>
      </c>
      <c r="AA4890" s="6">
        <v>97.86</v>
      </c>
      <c r="AB4890" s="7">
        <v>13.512</v>
      </c>
      <c r="AC4890" s="6">
        <v>81.3</v>
      </c>
    </row>
    <row r="4891" spans="1:29" ht="39" x14ac:dyDescent="0.15">
      <c r="A4891" s="3">
        <f>DATE(1999,8,22)</f>
        <v>36394</v>
      </c>
      <c r="B4891" s="3">
        <f>DATE(1999,8,22)</f>
        <v>36394</v>
      </c>
      <c r="C4891" s="2" t="s">
        <v>95</v>
      </c>
      <c r="D4891" s="2" t="s">
        <v>15155</v>
      </c>
      <c r="E4891" s="2" t="s">
        <v>177</v>
      </c>
      <c r="F4891" s="4">
        <v>1311</v>
      </c>
      <c r="G4891" s="2" t="s">
        <v>148</v>
      </c>
      <c r="H4891" s="2" t="s">
        <v>34</v>
      </c>
      <c r="I4891" s="2" t="s">
        <v>15156</v>
      </c>
      <c r="J4891" s="2" t="s">
        <v>1435</v>
      </c>
      <c r="K4891" s="2" t="s">
        <v>148</v>
      </c>
      <c r="L4891" s="2" t="s">
        <v>34</v>
      </c>
      <c r="M4891" s="2"/>
      <c r="N4891" s="2"/>
      <c r="O4891" s="2"/>
      <c r="P4891" s="2" t="s">
        <v>15157</v>
      </c>
      <c r="Q4891" s="2"/>
      <c r="R4891" s="6">
        <v>3</v>
      </c>
      <c r="S4891" s="5">
        <v>-4</v>
      </c>
      <c r="T4891" s="7">
        <v>1.0999999999999999E-2</v>
      </c>
      <c r="U4891" s="5">
        <v>6.4</v>
      </c>
      <c r="V4891" s="6">
        <v>-0.74</v>
      </c>
      <c r="W4891" s="5">
        <v>2.5</v>
      </c>
      <c r="X4891" s="7">
        <v>2.375</v>
      </c>
      <c r="Y4891" s="7">
        <v>2.875</v>
      </c>
      <c r="Z4891" s="7">
        <v>2.875</v>
      </c>
      <c r="AA4891" s="6">
        <v>5.46</v>
      </c>
      <c r="AB4891" s="2" t="s">
        <v>86</v>
      </c>
      <c r="AC4891" s="2"/>
    </row>
    <row r="4892" spans="1:29" ht="52" x14ac:dyDescent="0.15">
      <c r="A4892" s="3">
        <f t="shared" ref="A4892:A4897" si="106">DATE(1999,8,23)</f>
        <v>36395</v>
      </c>
      <c r="B4892" s="2"/>
      <c r="C4892" s="2" t="s">
        <v>7330</v>
      </c>
      <c r="D4892" s="2" t="s">
        <v>13230</v>
      </c>
      <c r="E4892" s="2" t="s">
        <v>13231</v>
      </c>
      <c r="F4892" s="4">
        <v>5143</v>
      </c>
      <c r="G4892" s="2" t="s">
        <v>593</v>
      </c>
      <c r="H4892" s="2" t="s">
        <v>34</v>
      </c>
      <c r="I4892" s="2" t="s">
        <v>51</v>
      </c>
      <c r="J4892" s="2" t="s">
        <v>52</v>
      </c>
      <c r="K4892" s="2" t="s">
        <v>53</v>
      </c>
      <c r="L4892" s="2" t="s">
        <v>34</v>
      </c>
      <c r="M4892" s="2"/>
      <c r="N4892" s="2"/>
      <c r="O4892" s="2"/>
      <c r="P4892" s="2" t="s">
        <v>15158</v>
      </c>
      <c r="Q4892" s="2"/>
      <c r="R4892" s="6">
        <v>10.130000000000001</v>
      </c>
      <c r="S4892" s="5">
        <v>1.2</v>
      </c>
      <c r="T4892" s="7">
        <v>5.5090000000000003</v>
      </c>
      <c r="U4892" s="5">
        <v>6.8</v>
      </c>
      <c r="V4892" s="6">
        <v>0.34</v>
      </c>
      <c r="W4892" s="7">
        <v>9.875</v>
      </c>
      <c r="X4892" s="4">
        <v>10</v>
      </c>
      <c r="Y4892" s="7">
        <v>10.063000000000001</v>
      </c>
      <c r="Z4892" s="4">
        <v>11</v>
      </c>
      <c r="AA4892" s="6">
        <v>3.46</v>
      </c>
      <c r="AB4892" s="7">
        <v>14.702</v>
      </c>
      <c r="AC4892" s="2"/>
    </row>
    <row r="4893" spans="1:29" ht="91" x14ac:dyDescent="0.15">
      <c r="A4893" s="3">
        <f t="shared" si="106"/>
        <v>36395</v>
      </c>
      <c r="B4893" s="3">
        <f>DATE(1999,10,20)</f>
        <v>36453</v>
      </c>
      <c r="C4893" s="2" t="s">
        <v>95</v>
      </c>
      <c r="D4893" s="2" t="s">
        <v>15159</v>
      </c>
      <c r="E4893" s="2" t="s">
        <v>1550</v>
      </c>
      <c r="F4893" s="4">
        <v>7372</v>
      </c>
      <c r="G4893" s="2" t="s">
        <v>551</v>
      </c>
      <c r="H4893" s="2" t="s">
        <v>34</v>
      </c>
      <c r="I4893" s="2" t="s">
        <v>7432</v>
      </c>
      <c r="J4893" s="2" t="s">
        <v>7433</v>
      </c>
      <c r="K4893" s="2" t="s">
        <v>50</v>
      </c>
      <c r="L4893" s="2" t="s">
        <v>34</v>
      </c>
      <c r="M4893" s="12">
        <v>26318.583999999999</v>
      </c>
      <c r="N4893" s="7">
        <v>74.813000000000002</v>
      </c>
      <c r="O4893" s="4">
        <v>74</v>
      </c>
      <c r="P4893" s="2" t="s">
        <v>15160</v>
      </c>
      <c r="Q4893" s="6">
        <v>100</v>
      </c>
      <c r="R4893" s="6">
        <v>22.28</v>
      </c>
      <c r="S4893" s="5">
        <v>-1.4</v>
      </c>
      <c r="T4893" s="7">
        <v>3.306</v>
      </c>
      <c r="U4893" s="5">
        <v>1.9</v>
      </c>
      <c r="V4893" s="6">
        <v>-7.0000000000000007E-2</v>
      </c>
      <c r="W4893" s="6">
        <v>13.56</v>
      </c>
      <c r="X4893" s="4">
        <v>17</v>
      </c>
      <c r="Y4893" s="7">
        <v>21.125</v>
      </c>
      <c r="Z4893" s="7">
        <v>21.125</v>
      </c>
      <c r="AA4893" s="6">
        <v>20.54</v>
      </c>
      <c r="AB4893" s="2" t="s">
        <v>86</v>
      </c>
      <c r="AC4893" s="10">
        <v>2665.05</v>
      </c>
    </row>
    <row r="4894" spans="1:29" ht="52" x14ac:dyDescent="0.15">
      <c r="A4894" s="3">
        <f t="shared" si="106"/>
        <v>36395</v>
      </c>
      <c r="B4894" s="3">
        <f>DATE(1999,11,11)</f>
        <v>36475</v>
      </c>
      <c r="C4894" s="2" t="s">
        <v>95</v>
      </c>
      <c r="D4894" s="2" t="s">
        <v>15161</v>
      </c>
      <c r="E4894" s="2" t="s">
        <v>563</v>
      </c>
      <c r="F4894" s="4">
        <v>3841</v>
      </c>
      <c r="G4894" s="2" t="s">
        <v>226</v>
      </c>
      <c r="H4894" s="2" t="s">
        <v>34</v>
      </c>
      <c r="I4894" s="2" t="s">
        <v>9732</v>
      </c>
      <c r="J4894" s="2" t="s">
        <v>9733</v>
      </c>
      <c r="K4894" s="2" t="s">
        <v>300</v>
      </c>
      <c r="L4894" s="2" t="s">
        <v>1791</v>
      </c>
      <c r="M4894" s="2"/>
      <c r="N4894" s="9">
        <v>102.6875</v>
      </c>
      <c r="O4894" s="9">
        <v>102.8125</v>
      </c>
      <c r="P4894" s="2" t="s">
        <v>15162</v>
      </c>
      <c r="Q4894" s="6">
        <v>100</v>
      </c>
      <c r="R4894" s="6">
        <v>7.5</v>
      </c>
      <c r="S4894" s="5">
        <v>-16.100000000000001</v>
      </c>
      <c r="T4894" s="7">
        <v>-16.731999999999999</v>
      </c>
      <c r="U4894" s="5">
        <v>1.8</v>
      </c>
      <c r="V4894" s="6">
        <v>-1.19</v>
      </c>
      <c r="W4894" s="7">
        <v>5.0629999999999997</v>
      </c>
      <c r="X4894" s="5">
        <v>5.5</v>
      </c>
      <c r="Y4894" s="5">
        <v>6.5</v>
      </c>
      <c r="Z4894" s="7">
        <v>7.125</v>
      </c>
      <c r="AA4894" s="6">
        <v>13.48</v>
      </c>
      <c r="AB4894" s="2" t="s">
        <v>86</v>
      </c>
      <c r="AC4894" s="5">
        <v>820.1</v>
      </c>
    </row>
    <row r="4895" spans="1:29" ht="91" x14ac:dyDescent="0.15">
      <c r="A4895" s="3">
        <f t="shared" si="106"/>
        <v>36395</v>
      </c>
      <c r="B4895" s="3">
        <f>DATE(1999,10,1)</f>
        <v>36434</v>
      </c>
      <c r="C4895" s="2" t="s">
        <v>95</v>
      </c>
      <c r="D4895" s="2" t="s">
        <v>15163</v>
      </c>
      <c r="E4895" s="2" t="s">
        <v>881</v>
      </c>
      <c r="F4895" s="4">
        <v>3531</v>
      </c>
      <c r="G4895" s="2" t="s">
        <v>300</v>
      </c>
      <c r="H4895" s="2" t="s">
        <v>34</v>
      </c>
      <c r="I4895" s="2" t="s">
        <v>6778</v>
      </c>
      <c r="J4895" s="2" t="s">
        <v>6779</v>
      </c>
      <c r="K4895" s="2" t="s">
        <v>219</v>
      </c>
      <c r="L4895" s="2" t="s">
        <v>34</v>
      </c>
      <c r="M4895" s="10">
        <v>12915.48</v>
      </c>
      <c r="N4895" s="5">
        <v>84.5</v>
      </c>
      <c r="O4895" s="7">
        <v>85.188000000000002</v>
      </c>
      <c r="P4895" s="2" t="s">
        <v>15164</v>
      </c>
      <c r="Q4895" s="6">
        <v>100</v>
      </c>
      <c r="R4895" s="6">
        <v>21</v>
      </c>
      <c r="S4895" s="5">
        <v>27.3</v>
      </c>
      <c r="T4895" s="7">
        <v>81.507000000000005</v>
      </c>
      <c r="U4895" s="5">
        <v>6.7</v>
      </c>
      <c r="V4895" s="6">
        <v>1.9</v>
      </c>
      <c r="W4895" s="6">
        <v>10.75</v>
      </c>
      <c r="X4895" s="7">
        <v>13.125</v>
      </c>
      <c r="Y4895" s="7">
        <v>20.625</v>
      </c>
      <c r="Z4895" s="7">
        <v>20.515999999999998</v>
      </c>
      <c r="AA4895" s="6">
        <v>14.26</v>
      </c>
      <c r="AB4895" s="7">
        <v>5.95</v>
      </c>
      <c r="AC4895" s="5">
        <v>258</v>
      </c>
    </row>
    <row r="4896" spans="1:29" ht="91" x14ac:dyDescent="0.15">
      <c r="A4896" s="3">
        <f t="shared" si="106"/>
        <v>36395</v>
      </c>
      <c r="B4896" s="3">
        <f>DATE(1999,11,23)</f>
        <v>36487</v>
      </c>
      <c r="C4896" s="2" t="s">
        <v>95</v>
      </c>
      <c r="D4896" s="2" t="s">
        <v>13070</v>
      </c>
      <c r="E4896" s="2" t="s">
        <v>13071</v>
      </c>
      <c r="F4896" s="4">
        <v>4822</v>
      </c>
      <c r="G4896" s="2" t="s">
        <v>63</v>
      </c>
      <c r="H4896" s="2" t="s">
        <v>34</v>
      </c>
      <c r="I4896" s="2" t="s">
        <v>7937</v>
      </c>
      <c r="J4896" s="2" t="s">
        <v>7938</v>
      </c>
      <c r="K4896" s="2" t="s">
        <v>223</v>
      </c>
      <c r="L4896" s="2" t="s">
        <v>34</v>
      </c>
      <c r="M4896" s="12">
        <v>3557.6669999999999</v>
      </c>
      <c r="N4896" s="7">
        <v>45.875</v>
      </c>
      <c r="O4896" s="5">
        <v>49.5</v>
      </c>
      <c r="P4896" s="2" t="s">
        <v>15165</v>
      </c>
      <c r="Q4896" s="6">
        <v>100</v>
      </c>
      <c r="R4896" s="6">
        <v>45.28</v>
      </c>
      <c r="S4896" s="5">
        <v>7.3</v>
      </c>
      <c r="T4896" s="6">
        <v>27.93</v>
      </c>
      <c r="U4896" s="5">
        <v>7.1</v>
      </c>
      <c r="V4896" s="6">
        <v>0.53</v>
      </c>
      <c r="W4896" s="4">
        <v>28</v>
      </c>
      <c r="X4896" s="6">
        <v>34.25</v>
      </c>
      <c r="Y4896" s="6">
        <v>43.25</v>
      </c>
      <c r="Z4896" s="7">
        <v>44.969000000000001</v>
      </c>
      <c r="AA4896" s="6">
        <v>13.16</v>
      </c>
      <c r="AB4896" s="7">
        <v>59.094000000000001</v>
      </c>
      <c r="AC4896" s="6">
        <v>860.86</v>
      </c>
    </row>
    <row r="4897" spans="1:29" ht="78" x14ac:dyDescent="0.15">
      <c r="A4897" s="3">
        <f t="shared" si="106"/>
        <v>36395</v>
      </c>
      <c r="B4897" s="3">
        <f>DATE(2000,7,27)</f>
        <v>36734</v>
      </c>
      <c r="C4897" s="2" t="s">
        <v>95</v>
      </c>
      <c r="D4897" s="2" t="s">
        <v>4206</v>
      </c>
      <c r="E4897" s="2" t="s">
        <v>4205</v>
      </c>
      <c r="F4897" s="4">
        <v>4941</v>
      </c>
      <c r="G4897" s="2" t="s">
        <v>439</v>
      </c>
      <c r="H4897" s="2" t="s">
        <v>34</v>
      </c>
      <c r="I4897" s="2" t="s">
        <v>14760</v>
      </c>
      <c r="J4897" s="2" t="s">
        <v>4205</v>
      </c>
      <c r="K4897" s="2" t="s">
        <v>439</v>
      </c>
      <c r="L4897" s="2" t="s">
        <v>133</v>
      </c>
      <c r="M4897" s="2"/>
      <c r="N4897" s="2"/>
      <c r="O4897" s="2"/>
      <c r="P4897" s="2" t="s">
        <v>15166</v>
      </c>
      <c r="Q4897" s="6">
        <v>72.2</v>
      </c>
      <c r="R4897" s="6">
        <v>35</v>
      </c>
      <c r="S4897" s="5">
        <v>50</v>
      </c>
      <c r="T4897" s="7">
        <v>142.64400000000001</v>
      </c>
      <c r="U4897" s="5">
        <v>12.2</v>
      </c>
      <c r="V4897" s="6">
        <v>1.21</v>
      </c>
      <c r="W4897" s="7">
        <v>24.125</v>
      </c>
      <c r="X4897" s="7">
        <v>31.062999999999999</v>
      </c>
      <c r="Y4897" s="5">
        <v>33.5</v>
      </c>
      <c r="Z4897" s="5">
        <v>33.5</v>
      </c>
      <c r="AA4897" s="6">
        <v>38.78</v>
      </c>
      <c r="AB4897" s="7">
        <v>22.878</v>
      </c>
      <c r="AC4897" s="10">
        <v>12244.55</v>
      </c>
    </row>
    <row r="4898" spans="1:29" ht="65" x14ac:dyDescent="0.15">
      <c r="A4898" s="3">
        <f>DATE(1999,8,24)</f>
        <v>36396</v>
      </c>
      <c r="B4898" s="3">
        <f>DATE(2000,2,2)</f>
        <v>36558</v>
      </c>
      <c r="C4898" s="2" t="s">
        <v>95</v>
      </c>
      <c r="D4898" s="2" t="s">
        <v>15167</v>
      </c>
      <c r="E4898" s="2" t="s">
        <v>15168</v>
      </c>
      <c r="F4898" s="4">
        <v>3699</v>
      </c>
      <c r="G4898" s="2" t="s">
        <v>137</v>
      </c>
      <c r="H4898" s="2" t="s">
        <v>34</v>
      </c>
      <c r="I4898" s="2" t="s">
        <v>15169</v>
      </c>
      <c r="J4898" s="2" t="s">
        <v>1032</v>
      </c>
      <c r="K4898" s="2" t="s">
        <v>53</v>
      </c>
      <c r="L4898" s="2" t="s">
        <v>34</v>
      </c>
      <c r="M4898" s="2"/>
      <c r="N4898" s="2"/>
      <c r="O4898" s="2"/>
      <c r="P4898" s="2" t="s">
        <v>15170</v>
      </c>
      <c r="Q4898" s="6">
        <v>100</v>
      </c>
      <c r="R4898" s="6">
        <v>25.5</v>
      </c>
      <c r="S4898" s="5">
        <v>9.3000000000000007</v>
      </c>
      <c r="T4898" s="7">
        <v>28.422999999999998</v>
      </c>
      <c r="U4898" s="5">
        <v>8.4</v>
      </c>
      <c r="V4898" s="6">
        <v>0.97</v>
      </c>
      <c r="W4898" s="7">
        <v>20.687999999999999</v>
      </c>
      <c r="X4898" s="6">
        <v>19.75</v>
      </c>
      <c r="Y4898" s="7">
        <v>23.062999999999999</v>
      </c>
      <c r="Z4898" s="7">
        <v>22.875</v>
      </c>
      <c r="AA4898" s="6">
        <v>9.6</v>
      </c>
      <c r="AB4898" s="7">
        <v>12.608000000000001</v>
      </c>
      <c r="AC4898" s="2"/>
    </row>
    <row r="4899" spans="1:29" ht="65" x14ac:dyDescent="0.15">
      <c r="A4899" s="3">
        <f>DATE(1999,8,24)</f>
        <v>36396</v>
      </c>
      <c r="B4899" s="3">
        <f>DATE(1999,11,12)</f>
        <v>36476</v>
      </c>
      <c r="C4899" s="2" t="s">
        <v>95</v>
      </c>
      <c r="D4899" s="2" t="s">
        <v>15171</v>
      </c>
      <c r="E4899" s="2" t="s">
        <v>15172</v>
      </c>
      <c r="F4899" s="4">
        <v>3661</v>
      </c>
      <c r="G4899" s="2" t="s">
        <v>921</v>
      </c>
      <c r="H4899" s="2" t="s">
        <v>34</v>
      </c>
      <c r="I4899" s="2" t="s">
        <v>15173</v>
      </c>
      <c r="J4899" s="2" t="s">
        <v>15174</v>
      </c>
      <c r="K4899" s="2" t="s">
        <v>921</v>
      </c>
      <c r="L4899" s="2" t="s">
        <v>902</v>
      </c>
      <c r="M4899" s="2"/>
      <c r="N4899" s="2"/>
      <c r="O4899" s="2"/>
      <c r="P4899" s="2" t="s">
        <v>15175</v>
      </c>
      <c r="Q4899" s="6">
        <v>100</v>
      </c>
      <c r="R4899" s="6">
        <v>29.23</v>
      </c>
      <c r="S4899" s="5">
        <v>8.9</v>
      </c>
      <c r="T4899" s="7">
        <v>18.428999999999998</v>
      </c>
      <c r="U4899" s="5">
        <v>5.9</v>
      </c>
      <c r="V4899" s="6">
        <v>0.65</v>
      </c>
      <c r="W4899" s="7">
        <v>21.687999999999999</v>
      </c>
      <c r="X4899" s="6">
        <v>25.25</v>
      </c>
      <c r="Y4899" s="6">
        <v>27.75</v>
      </c>
      <c r="Z4899" s="7">
        <v>28.312999999999999</v>
      </c>
      <c r="AA4899" s="6">
        <v>13.1</v>
      </c>
      <c r="AB4899" s="7">
        <v>31.545999999999999</v>
      </c>
      <c r="AC4899" s="10">
        <v>2270.91</v>
      </c>
    </row>
    <row r="4900" spans="1:29" ht="91" x14ac:dyDescent="0.15">
      <c r="A4900" s="3">
        <f>DATE(1999,8,25)</f>
        <v>36397</v>
      </c>
      <c r="B4900" s="3">
        <f>DATE(1999,10,1)</f>
        <v>36434</v>
      </c>
      <c r="C4900" s="2" t="s">
        <v>95</v>
      </c>
      <c r="D4900" s="2" t="s">
        <v>15176</v>
      </c>
      <c r="E4900" s="2" t="s">
        <v>15177</v>
      </c>
      <c r="F4900" s="4">
        <v>1311</v>
      </c>
      <c r="G4900" s="2" t="s">
        <v>148</v>
      </c>
      <c r="H4900" s="2" t="s">
        <v>34</v>
      </c>
      <c r="I4900" s="2" t="s">
        <v>15178</v>
      </c>
      <c r="J4900" s="2" t="s">
        <v>15179</v>
      </c>
      <c r="K4900" s="2" t="s">
        <v>439</v>
      </c>
      <c r="L4900" s="2" t="s">
        <v>34</v>
      </c>
      <c r="M4900" s="12">
        <v>1978.6310000000001</v>
      </c>
      <c r="N4900" s="4">
        <v>87</v>
      </c>
      <c r="O4900" s="6">
        <v>87.25</v>
      </c>
      <c r="P4900" s="2" t="s">
        <v>15180</v>
      </c>
      <c r="Q4900" s="6">
        <v>100</v>
      </c>
      <c r="R4900" s="6">
        <v>5.5</v>
      </c>
      <c r="S4900" s="5">
        <v>-10.6</v>
      </c>
      <c r="T4900" s="7">
        <v>5.6020000000000003</v>
      </c>
      <c r="U4900" s="5">
        <v>1.5</v>
      </c>
      <c r="V4900" s="6">
        <v>-1.78</v>
      </c>
      <c r="W4900" s="4">
        <v>4</v>
      </c>
      <c r="X4900" s="4">
        <v>4</v>
      </c>
      <c r="Y4900" s="7">
        <v>5.3440000000000003</v>
      </c>
      <c r="Z4900" s="7">
        <v>5.375</v>
      </c>
      <c r="AA4900" s="6">
        <v>6.73</v>
      </c>
      <c r="AB4900" s="2" t="s">
        <v>86</v>
      </c>
      <c r="AC4900" s="6">
        <v>320.29000000000002</v>
      </c>
    </row>
    <row r="4901" spans="1:29" ht="91" x14ac:dyDescent="0.15">
      <c r="A4901" s="3">
        <f>DATE(1999,8,26)</f>
        <v>36398</v>
      </c>
      <c r="B4901" s="2"/>
      <c r="C4901" s="2" t="s">
        <v>7330</v>
      </c>
      <c r="D4901" s="2" t="s">
        <v>15181</v>
      </c>
      <c r="E4901" s="2" t="s">
        <v>36</v>
      </c>
      <c r="F4901" s="4">
        <v>6021</v>
      </c>
      <c r="G4901" s="2" t="s">
        <v>37</v>
      </c>
      <c r="H4901" s="2" t="s">
        <v>34</v>
      </c>
      <c r="I4901" s="2" t="s">
        <v>51</v>
      </c>
      <c r="J4901" s="2" t="s">
        <v>52</v>
      </c>
      <c r="K4901" s="2" t="s">
        <v>53</v>
      </c>
      <c r="L4901" s="2" t="s">
        <v>34</v>
      </c>
      <c r="M4901" s="2"/>
      <c r="N4901" s="2"/>
      <c r="O4901" s="2"/>
      <c r="P4901" s="2" t="s">
        <v>15182</v>
      </c>
      <c r="Q4901" s="2"/>
      <c r="R4901" s="6">
        <v>16</v>
      </c>
      <c r="S4901" s="5">
        <v>0.6</v>
      </c>
      <c r="T4901" s="7">
        <v>0.98599999999999999</v>
      </c>
      <c r="U4901" s="5">
        <v>13.9</v>
      </c>
      <c r="V4901" s="6">
        <v>0.38</v>
      </c>
      <c r="W4901" s="6">
        <v>13.25</v>
      </c>
      <c r="X4901" s="6">
        <v>14.75</v>
      </c>
      <c r="Y4901" s="7">
        <v>14.625</v>
      </c>
      <c r="Z4901" s="7">
        <v>14.625</v>
      </c>
      <c r="AA4901" s="6">
        <v>1.39</v>
      </c>
      <c r="AB4901" s="7">
        <v>140.46600000000001</v>
      </c>
      <c r="AC4901" s="2"/>
    </row>
    <row r="4902" spans="1:29" ht="117" x14ac:dyDescent="0.15">
      <c r="A4902" s="3">
        <f>DATE(1999,8,26)</f>
        <v>36398</v>
      </c>
      <c r="B4902" s="3">
        <f>DATE(1999,10,8)</f>
        <v>36441</v>
      </c>
      <c r="C4902" s="2" t="s">
        <v>95</v>
      </c>
      <c r="D4902" s="2" t="s">
        <v>15183</v>
      </c>
      <c r="E4902" s="2" t="s">
        <v>15184</v>
      </c>
      <c r="F4902" s="4">
        <v>3589</v>
      </c>
      <c r="G4902" s="2" t="s">
        <v>300</v>
      </c>
      <c r="H4902" s="2" t="s">
        <v>34</v>
      </c>
      <c r="I4902" s="2" t="s">
        <v>9552</v>
      </c>
      <c r="J4902" s="2" t="s">
        <v>9553</v>
      </c>
      <c r="K4902" s="2" t="s">
        <v>358</v>
      </c>
      <c r="L4902" s="2" t="s">
        <v>34</v>
      </c>
      <c r="M4902" s="12">
        <v>117074.269</v>
      </c>
      <c r="N4902" s="6">
        <v>100.25</v>
      </c>
      <c r="O4902" s="4">
        <v>98</v>
      </c>
      <c r="P4902" s="2" t="s">
        <v>15185</v>
      </c>
      <c r="Q4902" s="6">
        <v>100</v>
      </c>
      <c r="R4902" s="6">
        <v>35.25</v>
      </c>
      <c r="S4902" s="5">
        <v>-8.6</v>
      </c>
      <c r="T4902" s="7">
        <v>-3.9929999999999999</v>
      </c>
      <c r="U4902" s="5">
        <v>5.8</v>
      </c>
      <c r="V4902" s="6">
        <v>-1.59</v>
      </c>
      <c r="W4902" s="4">
        <v>17</v>
      </c>
      <c r="X4902" s="7">
        <v>17.625</v>
      </c>
      <c r="Y4902" s="6">
        <v>34.75</v>
      </c>
      <c r="Z4902" s="6">
        <v>34.75</v>
      </c>
      <c r="AA4902" s="6">
        <v>6.04</v>
      </c>
      <c r="AB4902" s="2" t="s">
        <v>86</v>
      </c>
      <c r="AC4902" s="8">
        <v>2800</v>
      </c>
    </row>
    <row r="4903" spans="1:29" ht="65" x14ac:dyDescent="0.15">
      <c r="A4903" s="3">
        <f>DATE(1999,8,27)</f>
        <v>36399</v>
      </c>
      <c r="B4903" s="3">
        <f>DATE(1999,12,17)</f>
        <v>36511</v>
      </c>
      <c r="C4903" s="2" t="s">
        <v>95</v>
      </c>
      <c r="D4903" s="2" t="s">
        <v>15186</v>
      </c>
      <c r="E4903" s="2" t="s">
        <v>1888</v>
      </c>
      <c r="F4903" s="4">
        <v>4911</v>
      </c>
      <c r="G4903" s="2" t="s">
        <v>439</v>
      </c>
      <c r="H4903" s="2" t="s">
        <v>34</v>
      </c>
      <c r="I4903" s="2" t="s">
        <v>15178</v>
      </c>
      <c r="J4903" s="2" t="s">
        <v>15179</v>
      </c>
      <c r="K4903" s="2" t="s">
        <v>439</v>
      </c>
      <c r="L4903" s="2" t="s">
        <v>34</v>
      </c>
      <c r="M4903" s="10">
        <v>2043.17</v>
      </c>
      <c r="N4903" s="7">
        <v>86.125</v>
      </c>
      <c r="O4903" s="7">
        <v>89.375</v>
      </c>
      <c r="P4903" s="2" t="s">
        <v>15187</v>
      </c>
      <c r="Q4903" s="6">
        <v>80</v>
      </c>
      <c r="R4903" s="6">
        <v>25</v>
      </c>
      <c r="S4903" s="5">
        <v>16.8</v>
      </c>
      <c r="T4903" s="7">
        <v>36.795999999999999</v>
      </c>
      <c r="U4903" s="5">
        <v>2.4</v>
      </c>
      <c r="V4903" s="6">
        <v>2.42</v>
      </c>
      <c r="W4903" s="7">
        <v>17.375</v>
      </c>
      <c r="X4903" s="7">
        <v>16.812999999999999</v>
      </c>
      <c r="Y4903" s="7">
        <v>23.437999999999999</v>
      </c>
      <c r="Z4903" s="7">
        <v>23.437999999999999</v>
      </c>
      <c r="AA4903" s="6">
        <v>6.86</v>
      </c>
      <c r="AB4903" s="7">
        <v>18.649999999999999</v>
      </c>
      <c r="AC4903" s="6">
        <v>320.29000000000002</v>
      </c>
    </row>
    <row r="4904" spans="1:29" ht="91" x14ac:dyDescent="0.15">
      <c r="A4904" s="3">
        <f>DATE(1999,8,27)</f>
        <v>36399</v>
      </c>
      <c r="B4904" s="3">
        <f>DATE(1999,12,8)</f>
        <v>36502</v>
      </c>
      <c r="C4904" s="2" t="s">
        <v>95</v>
      </c>
      <c r="D4904" s="2" t="s">
        <v>15188</v>
      </c>
      <c r="E4904" s="2" t="s">
        <v>973</v>
      </c>
      <c r="F4904" s="4">
        <v>4813</v>
      </c>
      <c r="G4904" s="2" t="s">
        <v>63</v>
      </c>
      <c r="H4904" s="2" t="s">
        <v>34</v>
      </c>
      <c r="I4904" s="2" t="s">
        <v>15189</v>
      </c>
      <c r="J4904" s="2" t="s">
        <v>973</v>
      </c>
      <c r="K4904" s="2" t="s">
        <v>63</v>
      </c>
      <c r="L4904" s="2" t="s">
        <v>34</v>
      </c>
      <c r="M4904" s="12">
        <v>1206.087</v>
      </c>
      <c r="N4904" s="7">
        <v>39.063000000000002</v>
      </c>
      <c r="O4904" s="6">
        <v>36.75</v>
      </c>
      <c r="P4904" s="2" t="s">
        <v>15190</v>
      </c>
      <c r="Q4904" s="6">
        <v>100</v>
      </c>
      <c r="R4904" s="6">
        <v>18.63</v>
      </c>
      <c r="S4904" s="5">
        <v>-90.7</v>
      </c>
      <c r="T4904" s="7">
        <v>-32.192999999999998</v>
      </c>
      <c r="U4904" s="5">
        <v>-2.5</v>
      </c>
      <c r="V4904" s="6">
        <v>-4.1100000000000003</v>
      </c>
      <c r="W4904" s="6">
        <v>10.81</v>
      </c>
      <c r="X4904" s="6">
        <v>13.93</v>
      </c>
      <c r="Y4904" s="7">
        <v>16.625</v>
      </c>
      <c r="Z4904" s="7">
        <v>15.313000000000001</v>
      </c>
      <c r="AA4904" s="6">
        <v>31.28</v>
      </c>
      <c r="AB4904" s="2" t="s">
        <v>86</v>
      </c>
      <c r="AC4904" s="6">
        <v>638.95000000000005</v>
      </c>
    </row>
    <row r="4905" spans="1:29" ht="91" x14ac:dyDescent="0.15">
      <c r="A4905" s="3">
        <f>DATE(1999,8,27)</f>
        <v>36399</v>
      </c>
      <c r="B4905" s="3">
        <f>DATE(1999,12,22)</f>
        <v>36516</v>
      </c>
      <c r="C4905" s="2" t="s">
        <v>95</v>
      </c>
      <c r="D4905" s="2" t="s">
        <v>15191</v>
      </c>
      <c r="E4905" s="2" t="s">
        <v>15192</v>
      </c>
      <c r="F4905" s="4">
        <v>3661</v>
      </c>
      <c r="G4905" s="2" t="s">
        <v>921</v>
      </c>
      <c r="H4905" s="2" t="s">
        <v>34</v>
      </c>
      <c r="I4905" s="2" t="s">
        <v>15193</v>
      </c>
      <c r="J4905" s="2" t="s">
        <v>7085</v>
      </c>
      <c r="K4905" s="2" t="s">
        <v>921</v>
      </c>
      <c r="L4905" s="2" t="s">
        <v>34</v>
      </c>
      <c r="M4905" s="7">
        <v>46.252000000000002</v>
      </c>
      <c r="N4905" s="7">
        <v>3.875</v>
      </c>
      <c r="O4905" s="9">
        <v>3.6875</v>
      </c>
      <c r="P4905" s="2" t="s">
        <v>15194</v>
      </c>
      <c r="Q4905" s="6">
        <v>100</v>
      </c>
      <c r="R4905" s="6">
        <v>4.13</v>
      </c>
      <c r="S4905" s="5">
        <v>-8</v>
      </c>
      <c r="T4905" s="7">
        <v>-7.133</v>
      </c>
      <c r="U4905" s="5">
        <v>0.8</v>
      </c>
      <c r="V4905" s="6">
        <v>-0.52</v>
      </c>
      <c r="W4905" s="7">
        <v>3.0630000000000002</v>
      </c>
      <c r="X4905" s="7">
        <v>3.125</v>
      </c>
      <c r="Y4905" s="7">
        <v>3.4689999999999999</v>
      </c>
      <c r="Z4905" s="7">
        <v>3.1880000000000002</v>
      </c>
      <c r="AA4905" s="6">
        <v>15.49</v>
      </c>
      <c r="AB4905" s="2" t="s">
        <v>86</v>
      </c>
      <c r="AC4905" s="6">
        <v>3.88</v>
      </c>
    </row>
    <row r="4906" spans="1:29" ht="130" x14ac:dyDescent="0.15">
      <c r="A4906" s="3">
        <f>DATE(1999,8,27)</f>
        <v>36399</v>
      </c>
      <c r="B4906" s="3">
        <f>DATE(1999,12,2)</f>
        <v>36496</v>
      </c>
      <c r="C4906" s="2" t="s">
        <v>95</v>
      </c>
      <c r="D4906" s="2" t="s">
        <v>15195</v>
      </c>
      <c r="E4906" s="2" t="s">
        <v>15196</v>
      </c>
      <c r="F4906" s="4">
        <v>5961</v>
      </c>
      <c r="G4906" s="2" t="s">
        <v>73</v>
      </c>
      <c r="H4906" s="2" t="s">
        <v>34</v>
      </c>
      <c r="I4906" s="2" t="s">
        <v>13246</v>
      </c>
      <c r="J4906" s="2" t="s">
        <v>1072</v>
      </c>
      <c r="K4906" s="2" t="s">
        <v>53</v>
      </c>
      <c r="L4906" s="2" t="s">
        <v>34</v>
      </c>
      <c r="M4906" s="7">
        <v>46.378</v>
      </c>
      <c r="N4906" s="7">
        <v>5.125</v>
      </c>
      <c r="O4906" s="9">
        <v>4.6875</v>
      </c>
      <c r="P4906" s="2" t="s">
        <v>15197</v>
      </c>
      <c r="Q4906" s="6">
        <v>53.81</v>
      </c>
      <c r="R4906" s="2"/>
      <c r="S4906" s="5">
        <v>-9.9</v>
      </c>
      <c r="T4906" s="7">
        <v>-13.632999999999999</v>
      </c>
      <c r="U4906" s="5">
        <v>-2.9</v>
      </c>
      <c r="V4906" s="7">
        <v>-228.51400000000001</v>
      </c>
      <c r="W4906" s="9">
        <v>0.6875</v>
      </c>
      <c r="X4906" s="4">
        <v>1</v>
      </c>
      <c r="Y4906" s="7">
        <v>0.96899999999999997</v>
      </c>
      <c r="Z4906" s="7">
        <v>0.875</v>
      </c>
      <c r="AA4906" s="6">
        <v>7.78</v>
      </c>
      <c r="AB4906" s="2" t="s">
        <v>86</v>
      </c>
      <c r="AC4906" s="6">
        <v>2.21</v>
      </c>
    </row>
    <row r="4907" spans="1:29" ht="182" x14ac:dyDescent="0.15">
      <c r="A4907" s="3">
        <f>DATE(1999,8,27)</f>
        <v>36399</v>
      </c>
      <c r="B4907" s="3">
        <f>DATE(1999,11,5)</f>
        <v>36469</v>
      </c>
      <c r="C4907" s="2" t="s">
        <v>95</v>
      </c>
      <c r="D4907" s="2" t="s">
        <v>15198</v>
      </c>
      <c r="E4907" s="2" t="s">
        <v>15199</v>
      </c>
      <c r="F4907" s="4">
        <v>3845</v>
      </c>
      <c r="G4907" s="2" t="s">
        <v>226</v>
      </c>
      <c r="H4907" s="2" t="s">
        <v>34</v>
      </c>
      <c r="I4907" s="2" t="s">
        <v>769</v>
      </c>
      <c r="J4907" s="2" t="s">
        <v>770</v>
      </c>
      <c r="K4907" s="2" t="s">
        <v>226</v>
      </c>
      <c r="L4907" s="2" t="s">
        <v>34</v>
      </c>
      <c r="M4907" s="12">
        <v>42283.972999999998</v>
      </c>
      <c r="N4907" s="7">
        <v>74.563000000000002</v>
      </c>
      <c r="O4907" s="7">
        <v>74.938000000000002</v>
      </c>
      <c r="P4907" s="2" t="s">
        <v>15200</v>
      </c>
      <c r="Q4907" s="6">
        <v>100</v>
      </c>
      <c r="R4907" s="6">
        <v>65.849999999999994</v>
      </c>
      <c r="S4907" s="5">
        <v>9</v>
      </c>
      <c r="T4907" s="2"/>
      <c r="U4907" s="5">
        <v>9.6999999999999993</v>
      </c>
      <c r="V4907" s="6">
        <v>0.7</v>
      </c>
      <c r="W4907" s="6">
        <v>47.68</v>
      </c>
      <c r="X4907" s="6">
        <v>51.25</v>
      </c>
      <c r="Y4907" s="7">
        <v>57.625</v>
      </c>
      <c r="Z4907" s="7">
        <v>57.938000000000002</v>
      </c>
      <c r="AA4907" s="6">
        <v>12.27</v>
      </c>
      <c r="AB4907" s="7">
        <v>49.325000000000003</v>
      </c>
      <c r="AC4907" s="5">
        <v>217</v>
      </c>
    </row>
    <row r="4908" spans="1:29" ht="104" x14ac:dyDescent="0.15">
      <c r="A4908" s="3">
        <f>DATE(1999,8,29)</f>
        <v>36401</v>
      </c>
      <c r="B4908" s="3">
        <f>DATE(2000,1,6)</f>
        <v>36531</v>
      </c>
      <c r="C4908" s="2" t="s">
        <v>95</v>
      </c>
      <c r="D4908" s="2" t="s">
        <v>15201</v>
      </c>
      <c r="E4908" s="2" t="s">
        <v>36</v>
      </c>
      <c r="F4908" s="4">
        <v>6022</v>
      </c>
      <c r="G4908" s="2" t="s">
        <v>37</v>
      </c>
      <c r="H4908" s="2" t="s">
        <v>34</v>
      </c>
      <c r="I4908" s="2" t="s">
        <v>4703</v>
      </c>
      <c r="J4908" s="2" t="s">
        <v>36</v>
      </c>
      <c r="K4908" s="2" t="s">
        <v>37</v>
      </c>
      <c r="L4908" s="2" t="s">
        <v>34</v>
      </c>
      <c r="M4908" s="7">
        <v>78.129000000000005</v>
      </c>
      <c r="N4908" s="2"/>
      <c r="O4908" s="4">
        <v>33</v>
      </c>
      <c r="P4908" s="2" t="s">
        <v>15202</v>
      </c>
      <c r="Q4908" s="6">
        <v>100</v>
      </c>
      <c r="R4908" s="6">
        <v>23.28</v>
      </c>
      <c r="S4908" s="5">
        <v>2</v>
      </c>
      <c r="T4908" s="2"/>
      <c r="U4908" s="5">
        <v>9.4</v>
      </c>
      <c r="V4908" s="6">
        <v>1.1299999999999999</v>
      </c>
      <c r="W4908" s="7">
        <v>19.062999999999999</v>
      </c>
      <c r="X4908" s="4">
        <v>19</v>
      </c>
      <c r="Y4908" s="2"/>
      <c r="Z4908" s="7">
        <v>20.875</v>
      </c>
      <c r="AA4908" s="6">
        <v>1.59</v>
      </c>
      <c r="AB4908" s="7">
        <v>21.376000000000001</v>
      </c>
      <c r="AC4908" s="2"/>
    </row>
    <row r="4909" spans="1:29" ht="52" x14ac:dyDescent="0.15">
      <c r="A4909" s="3">
        <f>DATE(1999,8,30)</f>
        <v>36402</v>
      </c>
      <c r="B4909" s="3">
        <f>DATE(2000,3,24)</f>
        <v>36609</v>
      </c>
      <c r="C4909" s="2" t="s">
        <v>95</v>
      </c>
      <c r="D4909" s="2" t="s">
        <v>15203</v>
      </c>
      <c r="E4909" s="2" t="s">
        <v>263</v>
      </c>
      <c r="F4909" s="4">
        <v>6035</v>
      </c>
      <c r="G4909" s="2" t="s">
        <v>33</v>
      </c>
      <c r="H4909" s="2" t="s">
        <v>34</v>
      </c>
      <c r="I4909" s="2" t="s">
        <v>15204</v>
      </c>
      <c r="J4909" s="2" t="s">
        <v>263</v>
      </c>
      <c r="K4909" s="2" t="s">
        <v>33</v>
      </c>
      <c r="L4909" s="2" t="s">
        <v>34</v>
      </c>
      <c r="M4909" s="7">
        <v>296.47300000000001</v>
      </c>
      <c r="N4909" s="7">
        <v>10.375</v>
      </c>
      <c r="O4909" s="7">
        <v>10.375</v>
      </c>
      <c r="P4909" s="2" t="s">
        <v>15205</v>
      </c>
      <c r="Q4909" s="6">
        <v>100</v>
      </c>
      <c r="R4909" s="6">
        <v>15.75</v>
      </c>
      <c r="S4909" s="5">
        <v>0.3</v>
      </c>
      <c r="T4909" s="2"/>
      <c r="U4909" s="5">
        <v>8.1999999999999993</v>
      </c>
      <c r="V4909" s="6">
        <v>0.39</v>
      </c>
      <c r="W4909" s="6">
        <v>12.75</v>
      </c>
      <c r="X4909" s="7">
        <v>12.375</v>
      </c>
      <c r="Y4909" s="6">
        <v>13.25</v>
      </c>
      <c r="Z4909" s="9">
        <v>14.8125</v>
      </c>
      <c r="AA4909" s="6">
        <v>0.79</v>
      </c>
      <c r="AB4909" s="7">
        <v>47.911999999999999</v>
      </c>
      <c r="AC4909" s="2"/>
    </row>
    <row r="4910" spans="1:29" ht="78" x14ac:dyDescent="0.15">
      <c r="A4910" s="3">
        <f>DATE(1999,8,30)</f>
        <v>36402</v>
      </c>
      <c r="B4910" s="3">
        <f>DATE(1999,11,15)</f>
        <v>36479</v>
      </c>
      <c r="C4910" s="2" t="s">
        <v>95</v>
      </c>
      <c r="D4910" s="2" t="s">
        <v>15206</v>
      </c>
      <c r="E4910" s="2" t="s">
        <v>1809</v>
      </c>
      <c r="F4910" s="4">
        <v>3845</v>
      </c>
      <c r="G4910" s="2" t="s">
        <v>226</v>
      </c>
      <c r="H4910" s="2" t="s">
        <v>34</v>
      </c>
      <c r="I4910" s="2" t="s">
        <v>10662</v>
      </c>
      <c r="J4910" s="2" t="s">
        <v>10663</v>
      </c>
      <c r="K4910" s="2" t="s">
        <v>226</v>
      </c>
      <c r="L4910" s="2" t="s">
        <v>34</v>
      </c>
      <c r="M4910" s="12">
        <v>17996.117999999999</v>
      </c>
      <c r="N4910" s="7">
        <v>58.813000000000002</v>
      </c>
      <c r="O4910" s="7">
        <v>58.688000000000002</v>
      </c>
      <c r="P4910" s="2" t="s">
        <v>15207</v>
      </c>
      <c r="Q4910" s="6">
        <v>100</v>
      </c>
      <c r="R4910" s="6">
        <v>19.5</v>
      </c>
      <c r="S4910" s="5">
        <v>-17</v>
      </c>
      <c r="T4910" s="7">
        <v>-16.137</v>
      </c>
      <c r="U4910" s="5">
        <v>2.4</v>
      </c>
      <c r="V4910" s="6">
        <v>-1.2</v>
      </c>
      <c r="W4910" s="7">
        <v>19.375</v>
      </c>
      <c r="X4910" s="7">
        <v>18.937999999999999</v>
      </c>
      <c r="Y4910" s="4">
        <v>19</v>
      </c>
      <c r="Z4910" s="7">
        <v>18.187999999999999</v>
      </c>
      <c r="AA4910" s="6">
        <v>14.47</v>
      </c>
      <c r="AB4910" s="2" t="s">
        <v>86</v>
      </c>
      <c r="AC4910" s="5">
        <v>20.6</v>
      </c>
    </row>
    <row r="4911" spans="1:29" ht="52" x14ac:dyDescent="0.15">
      <c r="A4911" s="3">
        <f>DATE(1999,8,30)</f>
        <v>36402</v>
      </c>
      <c r="B4911" s="2"/>
      <c r="C4911" s="2" t="s">
        <v>7330</v>
      </c>
      <c r="D4911" s="2" t="s">
        <v>6438</v>
      </c>
      <c r="E4911" s="2" t="s">
        <v>6439</v>
      </c>
      <c r="F4911" s="4">
        <v>2211</v>
      </c>
      <c r="G4911" s="2" t="s">
        <v>708</v>
      </c>
      <c r="H4911" s="2" t="s">
        <v>34</v>
      </c>
      <c r="I4911" s="2" t="s">
        <v>138</v>
      </c>
      <c r="J4911" s="2" t="s">
        <v>139</v>
      </c>
      <c r="K4911" s="2" t="s">
        <v>53</v>
      </c>
      <c r="L4911" s="2" t="s">
        <v>139</v>
      </c>
      <c r="M4911" s="2"/>
      <c r="N4911" s="2"/>
      <c r="O4911" s="2"/>
      <c r="P4911" s="2" t="s">
        <v>15208</v>
      </c>
      <c r="Q4911" s="2"/>
      <c r="R4911" s="6">
        <v>3</v>
      </c>
      <c r="S4911" s="5">
        <v>-2.8</v>
      </c>
      <c r="T4911" s="7">
        <v>26.478999999999999</v>
      </c>
      <c r="U4911" s="5">
        <v>4.2</v>
      </c>
      <c r="V4911" s="6">
        <v>-0.26</v>
      </c>
      <c r="W4911" s="7">
        <v>1.625</v>
      </c>
      <c r="X4911" s="7">
        <v>1.8129999999999999</v>
      </c>
      <c r="Y4911" s="7">
        <v>2.4380000000000002</v>
      </c>
      <c r="Z4911" s="7">
        <v>2.4380000000000002</v>
      </c>
      <c r="AA4911" s="6">
        <v>10.72</v>
      </c>
      <c r="AB4911" s="7">
        <v>22.440999999999999</v>
      </c>
      <c r="AC4911" s="2"/>
    </row>
    <row r="4912" spans="1:29" ht="104" x14ac:dyDescent="0.15">
      <c r="A4912" s="3">
        <f>DATE(1999,8,30)</f>
        <v>36402</v>
      </c>
      <c r="B4912" s="3">
        <f>DATE(2000,2,22)</f>
        <v>36578</v>
      </c>
      <c r="C4912" s="2" t="s">
        <v>95</v>
      </c>
      <c r="D4912" s="2" t="s">
        <v>6550</v>
      </c>
      <c r="E4912" s="2" t="s">
        <v>36</v>
      </c>
      <c r="F4912" s="4">
        <v>6021</v>
      </c>
      <c r="G4912" s="2" t="s">
        <v>37</v>
      </c>
      <c r="H4912" s="2" t="s">
        <v>34</v>
      </c>
      <c r="I4912" s="2" t="s">
        <v>489</v>
      </c>
      <c r="J4912" s="2" t="s">
        <v>490</v>
      </c>
      <c r="K4912" s="2" t="s">
        <v>37</v>
      </c>
      <c r="L4912" s="2" t="s">
        <v>34</v>
      </c>
      <c r="M4912" s="12">
        <v>2787.1880000000001</v>
      </c>
      <c r="N4912" s="7">
        <v>17.687999999999999</v>
      </c>
      <c r="O4912" s="7">
        <v>18.125</v>
      </c>
      <c r="P4912" s="2" t="s">
        <v>15209</v>
      </c>
      <c r="Q4912" s="6">
        <v>100</v>
      </c>
      <c r="R4912" s="6">
        <v>38.119999999999997</v>
      </c>
      <c r="S4912" s="5">
        <v>20.2</v>
      </c>
      <c r="T4912" s="7">
        <v>37.935000000000002</v>
      </c>
      <c r="U4912" s="5">
        <v>20</v>
      </c>
      <c r="V4912" s="6">
        <v>2.2599999999999998</v>
      </c>
      <c r="W4912" s="7">
        <v>30.375</v>
      </c>
      <c r="X4912" s="7">
        <v>33.875</v>
      </c>
      <c r="Y4912" s="6">
        <v>33.75</v>
      </c>
      <c r="Z4912" s="7">
        <v>34.563000000000002</v>
      </c>
      <c r="AA4912" s="6">
        <v>8.58</v>
      </c>
      <c r="AB4912" s="7">
        <v>29.283000000000001</v>
      </c>
      <c r="AC4912" s="2"/>
    </row>
    <row r="4913" spans="1:29" ht="143" x14ac:dyDescent="0.15">
      <c r="A4913" s="3">
        <f>DATE(1999,8,31)</f>
        <v>36403</v>
      </c>
      <c r="B4913" s="3">
        <f>DATE(1999,11,22)</f>
        <v>36486</v>
      </c>
      <c r="C4913" s="2" t="s">
        <v>95</v>
      </c>
      <c r="D4913" s="2" t="s">
        <v>13703</v>
      </c>
      <c r="E4913" s="2" t="s">
        <v>13704</v>
      </c>
      <c r="F4913" s="4">
        <v>3357</v>
      </c>
      <c r="G4913" s="2" t="s">
        <v>163</v>
      </c>
      <c r="H4913" s="2" t="s">
        <v>34</v>
      </c>
      <c r="I4913" s="2" t="s">
        <v>9732</v>
      </c>
      <c r="J4913" s="2" t="s">
        <v>9733</v>
      </c>
      <c r="K4913" s="2" t="s">
        <v>300</v>
      </c>
      <c r="L4913" s="2" t="s">
        <v>1791</v>
      </c>
      <c r="M4913" s="2"/>
      <c r="N4913" s="9">
        <v>99.9375</v>
      </c>
      <c r="O4913" s="9">
        <v>101.3125</v>
      </c>
      <c r="P4913" s="2" t="s">
        <v>15210</v>
      </c>
      <c r="Q4913" s="6">
        <v>100</v>
      </c>
      <c r="R4913" s="6">
        <v>44.25</v>
      </c>
      <c r="S4913" s="5">
        <v>28.4</v>
      </c>
      <c r="T4913" s="7">
        <v>49.061999999999998</v>
      </c>
      <c r="U4913" s="5">
        <v>15.4</v>
      </c>
      <c r="V4913" s="6">
        <v>2.1800000000000002</v>
      </c>
      <c r="W4913" s="6">
        <v>35.43</v>
      </c>
      <c r="X4913" s="7">
        <v>40.875</v>
      </c>
      <c r="Y4913" s="7">
        <v>40.875</v>
      </c>
      <c r="Z4913" s="4">
        <v>43</v>
      </c>
      <c r="AA4913" s="6">
        <v>12.84</v>
      </c>
      <c r="AB4913" s="7">
        <v>12.9</v>
      </c>
      <c r="AC4913" s="8">
        <v>1762</v>
      </c>
    </row>
    <row r="4914" spans="1:29" ht="169" x14ac:dyDescent="0.15">
      <c r="A4914" s="3">
        <f>DATE(1999,8,31)</f>
        <v>36403</v>
      </c>
      <c r="B4914" s="3">
        <f>DATE(2000,8,14)</f>
        <v>36752</v>
      </c>
      <c r="C4914" s="2" t="s">
        <v>95</v>
      </c>
      <c r="D4914" s="2" t="s">
        <v>15211</v>
      </c>
      <c r="E4914" s="2" t="s">
        <v>92</v>
      </c>
      <c r="F4914" s="4">
        <v>6798</v>
      </c>
      <c r="G4914" s="2" t="s">
        <v>53</v>
      </c>
      <c r="H4914" s="2" t="s">
        <v>34</v>
      </c>
      <c r="I4914" s="2" t="s">
        <v>15212</v>
      </c>
      <c r="J4914" s="2" t="s">
        <v>15213</v>
      </c>
      <c r="K4914" s="2" t="s">
        <v>53</v>
      </c>
      <c r="L4914" s="2" t="s">
        <v>34</v>
      </c>
      <c r="M4914" s="7">
        <v>78.921999999999997</v>
      </c>
      <c r="N4914" s="7">
        <v>13.625</v>
      </c>
      <c r="O4914" s="7">
        <v>13.438000000000001</v>
      </c>
      <c r="P4914" s="2" t="s">
        <v>15214</v>
      </c>
      <c r="Q4914" s="6">
        <v>100</v>
      </c>
      <c r="R4914" s="6">
        <v>5.75</v>
      </c>
      <c r="S4914" s="5">
        <v>2.5</v>
      </c>
      <c r="T4914" s="7">
        <v>1.843</v>
      </c>
      <c r="U4914" s="5">
        <v>7.2</v>
      </c>
      <c r="V4914" s="6">
        <v>0.24</v>
      </c>
      <c r="W4914" s="7">
        <v>5.375</v>
      </c>
      <c r="X4914" s="5">
        <v>5.5</v>
      </c>
      <c r="Y4914" s="7">
        <v>5.625</v>
      </c>
      <c r="Z4914" s="7">
        <v>5.4379999999999997</v>
      </c>
      <c r="AA4914" s="6">
        <v>10.37</v>
      </c>
      <c r="AB4914" s="7">
        <v>129.464</v>
      </c>
      <c r="AC4914" s="5">
        <v>0.6</v>
      </c>
    </row>
    <row r="4915" spans="1:29" ht="91" x14ac:dyDescent="0.15">
      <c r="A4915" s="3">
        <f>DATE(1999,9,1)</f>
        <v>36404</v>
      </c>
      <c r="B4915" s="3">
        <f>DATE(1999,10,20)</f>
        <v>36453</v>
      </c>
      <c r="C4915" s="2" t="s">
        <v>95</v>
      </c>
      <c r="D4915" s="2" t="s">
        <v>15215</v>
      </c>
      <c r="E4915" s="2" t="s">
        <v>15216</v>
      </c>
      <c r="F4915" s="4">
        <v>7372</v>
      </c>
      <c r="G4915" s="2" t="s">
        <v>551</v>
      </c>
      <c r="H4915" s="2" t="s">
        <v>34</v>
      </c>
      <c r="I4915" s="2" t="s">
        <v>15217</v>
      </c>
      <c r="J4915" s="2" t="s">
        <v>849</v>
      </c>
      <c r="K4915" s="2" t="s">
        <v>551</v>
      </c>
      <c r="L4915" s="2" t="s">
        <v>34</v>
      </c>
      <c r="M4915" s="2"/>
      <c r="N4915" s="2"/>
      <c r="O4915" s="2"/>
      <c r="P4915" s="2" t="s">
        <v>15218</v>
      </c>
      <c r="Q4915" s="6">
        <v>100</v>
      </c>
      <c r="R4915" s="6">
        <v>4.5</v>
      </c>
      <c r="S4915" s="5">
        <v>-6.4</v>
      </c>
      <c r="T4915" s="7">
        <v>2.9420000000000002</v>
      </c>
      <c r="U4915" s="5">
        <v>-0.9</v>
      </c>
      <c r="V4915" s="7">
        <v>-1.5589999999999999</v>
      </c>
      <c r="W4915" s="7">
        <v>3.1880000000000002</v>
      </c>
      <c r="X4915" s="7">
        <v>3.0630000000000002</v>
      </c>
      <c r="Y4915" s="7">
        <v>3.4380000000000002</v>
      </c>
      <c r="Z4915" s="6">
        <v>4.25</v>
      </c>
      <c r="AA4915" s="6">
        <v>4.12</v>
      </c>
      <c r="AB4915" s="2" t="s">
        <v>86</v>
      </c>
      <c r="AC4915" s="2"/>
    </row>
    <row r="4916" spans="1:29" ht="104" x14ac:dyDescent="0.15">
      <c r="A4916" s="3">
        <f>DATE(1999,9,1)</f>
        <v>36404</v>
      </c>
      <c r="B4916" s="2"/>
      <c r="C4916" s="2" t="s">
        <v>30</v>
      </c>
      <c r="D4916" s="2" t="s">
        <v>15219</v>
      </c>
      <c r="E4916" s="2" t="s">
        <v>15220</v>
      </c>
      <c r="F4916" s="4">
        <v>8299</v>
      </c>
      <c r="G4916" s="2" t="s">
        <v>415</v>
      </c>
      <c r="H4916" s="2" t="s">
        <v>34</v>
      </c>
      <c r="I4916" s="2" t="s">
        <v>51</v>
      </c>
      <c r="J4916" s="2" t="s">
        <v>52</v>
      </c>
      <c r="K4916" s="2" t="s">
        <v>53</v>
      </c>
      <c r="L4916" s="2" t="s">
        <v>34</v>
      </c>
      <c r="M4916" s="2"/>
      <c r="N4916" s="2"/>
      <c r="O4916" s="2"/>
      <c r="P4916" s="2" t="s">
        <v>15221</v>
      </c>
      <c r="Q4916" s="2"/>
      <c r="R4916" s="2"/>
      <c r="S4916" s="5">
        <v>-13.7</v>
      </c>
      <c r="T4916" s="7">
        <v>13.704000000000001</v>
      </c>
      <c r="U4916" s="5">
        <v>8.9</v>
      </c>
      <c r="V4916" s="7">
        <v>-1.0489999999999999</v>
      </c>
      <c r="W4916" s="7">
        <v>7.8129999999999997</v>
      </c>
      <c r="X4916" s="7">
        <v>7.8129999999999997</v>
      </c>
      <c r="Y4916" s="7">
        <v>11.375</v>
      </c>
      <c r="Z4916" s="9">
        <v>11.1875</v>
      </c>
      <c r="AA4916" s="6">
        <v>11.46</v>
      </c>
      <c r="AB4916" s="2" t="s">
        <v>47</v>
      </c>
      <c r="AC4916" s="2"/>
    </row>
    <row r="4917" spans="1:29" ht="117" x14ac:dyDescent="0.15">
      <c r="A4917" s="3">
        <f>DATE(1999,9,1)</f>
        <v>36404</v>
      </c>
      <c r="B4917" s="3">
        <f>DATE(2000,1,18)</f>
        <v>36543</v>
      </c>
      <c r="C4917" s="2" t="s">
        <v>95</v>
      </c>
      <c r="D4917" s="2" t="s">
        <v>12594</v>
      </c>
      <c r="E4917" s="2" t="s">
        <v>12595</v>
      </c>
      <c r="F4917" s="4">
        <v>6022</v>
      </c>
      <c r="G4917" s="2" t="s">
        <v>37</v>
      </c>
      <c r="H4917" s="2" t="s">
        <v>34</v>
      </c>
      <c r="I4917" s="2" t="s">
        <v>9454</v>
      </c>
      <c r="J4917" s="2" t="s">
        <v>36</v>
      </c>
      <c r="K4917" s="2" t="s">
        <v>37</v>
      </c>
      <c r="L4917" s="2" t="s">
        <v>34</v>
      </c>
      <c r="M4917" s="12">
        <v>22405.905999999999</v>
      </c>
      <c r="N4917" s="7">
        <v>31.312999999999999</v>
      </c>
      <c r="O4917" s="7">
        <v>30.937999999999999</v>
      </c>
      <c r="P4917" s="2" t="s">
        <v>15222</v>
      </c>
      <c r="Q4917" s="6">
        <v>100</v>
      </c>
      <c r="R4917" s="6">
        <v>47.8</v>
      </c>
      <c r="S4917" s="5">
        <v>3.6</v>
      </c>
      <c r="T4917" s="7">
        <v>5.4509999999999996</v>
      </c>
      <c r="U4917" s="5">
        <v>9.6999999999999993</v>
      </c>
      <c r="V4917" s="7">
        <v>1.379</v>
      </c>
      <c r="W4917" s="4">
        <v>30</v>
      </c>
      <c r="X4917" s="4">
        <v>30</v>
      </c>
      <c r="Y4917" s="5">
        <v>30.5</v>
      </c>
      <c r="Z4917" s="4">
        <v>35</v>
      </c>
      <c r="AA4917" s="6">
        <v>2.61</v>
      </c>
      <c r="AB4917" s="7">
        <v>90.494</v>
      </c>
      <c r="AC4917" s="2"/>
    </row>
    <row r="4918" spans="1:29" ht="91" x14ac:dyDescent="0.15">
      <c r="A4918" s="3">
        <f>DATE(1999,9,2)</f>
        <v>36405</v>
      </c>
      <c r="B4918" s="3">
        <f>DATE(1999,10,8)</f>
        <v>36441</v>
      </c>
      <c r="C4918" s="2" t="s">
        <v>95</v>
      </c>
      <c r="D4918" s="2" t="s">
        <v>3907</v>
      </c>
      <c r="E4918" s="2" t="s">
        <v>3908</v>
      </c>
      <c r="F4918" s="4">
        <v>3241</v>
      </c>
      <c r="G4918" s="2" t="s">
        <v>237</v>
      </c>
      <c r="H4918" s="2" t="s">
        <v>34</v>
      </c>
      <c r="I4918" s="2" t="s">
        <v>15223</v>
      </c>
      <c r="J4918" s="2" t="s">
        <v>3908</v>
      </c>
      <c r="K4918" s="2" t="s">
        <v>237</v>
      </c>
      <c r="L4918" s="2" t="s">
        <v>1049</v>
      </c>
      <c r="M4918" s="2"/>
      <c r="N4918" s="2"/>
      <c r="O4918" s="2"/>
      <c r="P4918" s="2" t="s">
        <v>15224</v>
      </c>
      <c r="Q4918" s="6">
        <v>100</v>
      </c>
      <c r="R4918" s="6">
        <v>50</v>
      </c>
      <c r="S4918" s="5">
        <v>79.3</v>
      </c>
      <c r="T4918" s="7">
        <v>135.52500000000001</v>
      </c>
      <c r="U4918" s="5">
        <v>16.7</v>
      </c>
      <c r="V4918" s="7">
        <v>3.145</v>
      </c>
      <c r="W4918" s="7">
        <v>33.188000000000002</v>
      </c>
      <c r="X4918" s="7">
        <v>34.563000000000002</v>
      </c>
      <c r="Y4918" s="7">
        <v>49.125</v>
      </c>
      <c r="Z4918" s="7">
        <v>49.313000000000002</v>
      </c>
      <c r="AA4918" s="6">
        <v>19.36</v>
      </c>
      <c r="AB4918" s="7">
        <v>9.3230000000000004</v>
      </c>
      <c r="AC4918" s="6">
        <v>75.319999999999993</v>
      </c>
    </row>
    <row r="4919" spans="1:29" ht="91" x14ac:dyDescent="0.15">
      <c r="A4919" s="3">
        <f>DATE(1999,9,3)</f>
        <v>36406</v>
      </c>
      <c r="B4919" s="2"/>
      <c r="C4919" s="2" t="s">
        <v>30</v>
      </c>
      <c r="D4919" s="2" t="s">
        <v>14244</v>
      </c>
      <c r="E4919" s="2" t="s">
        <v>14245</v>
      </c>
      <c r="F4919" s="4">
        <v>3469</v>
      </c>
      <c r="G4919" s="2" t="s">
        <v>163</v>
      </c>
      <c r="H4919" s="2" t="s">
        <v>34</v>
      </c>
      <c r="I4919" s="2" t="s">
        <v>10487</v>
      </c>
      <c r="J4919" s="2" t="s">
        <v>3197</v>
      </c>
      <c r="K4919" s="2" t="s">
        <v>53</v>
      </c>
      <c r="L4919" s="2" t="s">
        <v>34</v>
      </c>
      <c r="M4919" s="2"/>
      <c r="N4919" s="2"/>
      <c r="O4919" s="2"/>
      <c r="P4919" s="2" t="s">
        <v>15225</v>
      </c>
      <c r="Q4919" s="2"/>
      <c r="R4919" s="6">
        <v>14.5</v>
      </c>
      <c r="S4919" s="5">
        <v>7.3</v>
      </c>
      <c r="T4919" s="5">
        <v>20</v>
      </c>
      <c r="U4919" s="5">
        <v>6.7</v>
      </c>
      <c r="V4919" s="6">
        <v>1.31</v>
      </c>
      <c r="W4919" s="7">
        <v>11.125</v>
      </c>
      <c r="X4919" s="4">
        <v>11</v>
      </c>
      <c r="Y4919" s="7">
        <v>13.375</v>
      </c>
      <c r="Z4919" s="7">
        <v>13.375</v>
      </c>
      <c r="AA4919" s="6">
        <v>5.29</v>
      </c>
      <c r="AB4919" s="7">
        <v>8.391</v>
      </c>
      <c r="AC4919" s="2"/>
    </row>
    <row r="4920" spans="1:29" ht="169" x14ac:dyDescent="0.15">
      <c r="A4920" s="3">
        <f>DATE(1999,9,3)</f>
        <v>36406</v>
      </c>
      <c r="B4920" s="3">
        <f>DATE(1999,11,18)</f>
        <v>36482</v>
      </c>
      <c r="C4920" s="2" t="s">
        <v>95</v>
      </c>
      <c r="D4920" s="2" t="s">
        <v>15226</v>
      </c>
      <c r="E4920" s="2" t="s">
        <v>15227</v>
      </c>
      <c r="F4920" s="4">
        <v>3661</v>
      </c>
      <c r="G4920" s="2" t="s">
        <v>921</v>
      </c>
      <c r="H4920" s="2" t="s">
        <v>34</v>
      </c>
      <c r="I4920" s="2" t="s">
        <v>51</v>
      </c>
      <c r="J4920" s="2" t="s">
        <v>52</v>
      </c>
      <c r="K4920" s="2" t="s">
        <v>53</v>
      </c>
      <c r="L4920" s="2" t="s">
        <v>34</v>
      </c>
      <c r="M4920" s="2"/>
      <c r="N4920" s="2"/>
      <c r="O4920" s="2"/>
      <c r="P4920" s="2" t="s">
        <v>15228</v>
      </c>
      <c r="Q4920" s="6">
        <v>57.75</v>
      </c>
      <c r="R4920" s="6">
        <v>10.85</v>
      </c>
      <c r="S4920" s="5">
        <v>-2</v>
      </c>
      <c r="T4920" s="6">
        <v>-2.02</v>
      </c>
      <c r="U4920" s="5">
        <v>5.4</v>
      </c>
      <c r="V4920" s="7">
        <v>-0.20300000000000001</v>
      </c>
      <c r="W4920" s="7">
        <v>8.375</v>
      </c>
      <c r="X4920" s="7">
        <v>8.1880000000000006</v>
      </c>
      <c r="Y4920" s="7">
        <v>9.875</v>
      </c>
      <c r="Z4920" s="7">
        <v>9.875</v>
      </c>
      <c r="AA4920" s="6">
        <v>8.01</v>
      </c>
      <c r="AB4920" s="2" t="s">
        <v>86</v>
      </c>
      <c r="AC4920" s="2"/>
    </row>
    <row r="4921" spans="1:29" ht="143" x14ac:dyDescent="0.15">
      <c r="A4921" s="3">
        <f>DATE(1999,9,6)</f>
        <v>36409</v>
      </c>
      <c r="B4921" s="3">
        <f>DATE(1999,12,1)</f>
        <v>36495</v>
      </c>
      <c r="C4921" s="2" t="s">
        <v>95</v>
      </c>
      <c r="D4921" s="2" t="s">
        <v>15229</v>
      </c>
      <c r="E4921" s="2" t="s">
        <v>15230</v>
      </c>
      <c r="F4921" s="4">
        <v>7371</v>
      </c>
      <c r="G4921" s="2" t="s">
        <v>223</v>
      </c>
      <c r="H4921" s="2" t="s">
        <v>34</v>
      </c>
      <c r="I4921" s="2" t="s">
        <v>15231</v>
      </c>
      <c r="J4921" s="2" t="s">
        <v>15232</v>
      </c>
      <c r="K4921" s="2" t="s">
        <v>551</v>
      </c>
      <c r="L4921" s="2" t="s">
        <v>34</v>
      </c>
      <c r="M4921" s="2"/>
      <c r="N4921" s="5">
        <v>27.5</v>
      </c>
      <c r="O4921" s="7">
        <v>26.125</v>
      </c>
      <c r="P4921" s="2" t="s">
        <v>15233</v>
      </c>
      <c r="Q4921" s="6">
        <v>100</v>
      </c>
      <c r="R4921" s="6">
        <v>13.08</v>
      </c>
      <c r="S4921" s="5">
        <v>16.7</v>
      </c>
      <c r="T4921" s="7">
        <v>38.161000000000001</v>
      </c>
      <c r="U4921" s="5">
        <v>8.1999999999999993</v>
      </c>
      <c r="V4921" s="6">
        <v>1.0900000000000001</v>
      </c>
      <c r="W4921" s="7">
        <v>7.875</v>
      </c>
      <c r="X4921" s="7">
        <v>8.125</v>
      </c>
      <c r="Y4921" s="7">
        <v>8.125</v>
      </c>
      <c r="Z4921" s="7">
        <v>9.3130000000000006</v>
      </c>
      <c r="AA4921" s="6">
        <v>17.46</v>
      </c>
      <c r="AB4921" s="7">
        <v>7.35</v>
      </c>
      <c r="AC4921" s="6">
        <v>25.39</v>
      </c>
    </row>
    <row r="4922" spans="1:29" ht="78" x14ac:dyDescent="0.15">
      <c r="A4922" s="3">
        <f>DATE(1999,9,7)</f>
        <v>36410</v>
      </c>
      <c r="B4922" s="3">
        <f>DATE(2000,3,20)</f>
        <v>36605</v>
      </c>
      <c r="C4922" s="2" t="s">
        <v>95</v>
      </c>
      <c r="D4922" s="2" t="s">
        <v>15234</v>
      </c>
      <c r="E4922" s="2" t="s">
        <v>1181</v>
      </c>
      <c r="F4922" s="4">
        <v>6022</v>
      </c>
      <c r="G4922" s="2" t="s">
        <v>37</v>
      </c>
      <c r="H4922" s="2" t="s">
        <v>34</v>
      </c>
      <c r="I4922" s="2" t="s">
        <v>15078</v>
      </c>
      <c r="J4922" s="2" t="s">
        <v>672</v>
      </c>
      <c r="K4922" s="2" t="s">
        <v>37</v>
      </c>
      <c r="L4922" s="2" t="s">
        <v>34</v>
      </c>
      <c r="M4922" s="7">
        <v>196.523</v>
      </c>
      <c r="N4922" s="6">
        <v>10.75</v>
      </c>
      <c r="O4922" s="7">
        <v>10.563000000000001</v>
      </c>
      <c r="P4922" s="2" t="s">
        <v>15235</v>
      </c>
      <c r="Q4922" s="6">
        <v>100</v>
      </c>
      <c r="R4922" s="6">
        <v>18.18</v>
      </c>
      <c r="S4922" s="5">
        <v>2.7</v>
      </c>
      <c r="T4922" s="2"/>
      <c r="U4922" s="5">
        <v>5.4</v>
      </c>
      <c r="V4922" s="6">
        <v>0.39</v>
      </c>
      <c r="W4922" s="6">
        <v>10.25</v>
      </c>
      <c r="X4922" s="4">
        <v>12</v>
      </c>
      <c r="Y4922" s="7">
        <v>13.875</v>
      </c>
      <c r="Z4922" s="7">
        <v>13.625</v>
      </c>
      <c r="AA4922" s="6">
        <v>5.03</v>
      </c>
      <c r="AB4922" s="7">
        <v>45.945999999999998</v>
      </c>
      <c r="AC4922" s="2"/>
    </row>
    <row r="4923" spans="1:29" ht="104" x14ac:dyDescent="0.15">
      <c r="A4923" s="3">
        <f>DATE(1999,9,7)</f>
        <v>36410</v>
      </c>
      <c r="B4923" s="2"/>
      <c r="C4923" s="2" t="s">
        <v>30</v>
      </c>
      <c r="D4923" s="2" t="s">
        <v>6866</v>
      </c>
      <c r="E4923" s="2" t="s">
        <v>6867</v>
      </c>
      <c r="F4923" s="4">
        <v>8711</v>
      </c>
      <c r="G4923" s="2" t="s">
        <v>223</v>
      </c>
      <c r="H4923" s="2" t="s">
        <v>34</v>
      </c>
      <c r="I4923" s="2" t="s">
        <v>15236</v>
      </c>
      <c r="J4923" s="2" t="s">
        <v>15237</v>
      </c>
      <c r="K4923" s="2" t="s">
        <v>226</v>
      </c>
      <c r="L4923" s="2" t="s">
        <v>34</v>
      </c>
      <c r="M4923" s="7">
        <v>30.016999999999999</v>
      </c>
      <c r="N4923" s="7">
        <v>1.9379999999999999</v>
      </c>
      <c r="O4923" s="7">
        <v>1.9379999999999999</v>
      </c>
      <c r="P4923" s="2" t="s">
        <v>15238</v>
      </c>
      <c r="Q4923" s="2"/>
      <c r="R4923" s="6">
        <v>2.63</v>
      </c>
      <c r="S4923" s="5">
        <v>0.1</v>
      </c>
      <c r="T4923" s="7">
        <v>0.42399999999999999</v>
      </c>
      <c r="U4923" s="5">
        <v>1.3</v>
      </c>
      <c r="V4923" s="6">
        <v>0.08</v>
      </c>
      <c r="W4923" s="7">
        <v>0.92200000000000004</v>
      </c>
      <c r="X4923" s="7">
        <v>1.1879999999999999</v>
      </c>
      <c r="Y4923" s="7">
        <v>2.625</v>
      </c>
      <c r="Z4923" s="6">
        <v>2.25</v>
      </c>
      <c r="AA4923" s="6">
        <v>2.39</v>
      </c>
      <c r="AB4923" s="7">
        <v>19.817</v>
      </c>
      <c r="AC4923" s="6">
        <v>23.91</v>
      </c>
    </row>
    <row r="4924" spans="1:29" ht="117" x14ac:dyDescent="0.15">
      <c r="A4924" s="3">
        <f>DATE(1999,9,7)</f>
        <v>36410</v>
      </c>
      <c r="B4924" s="3">
        <f>DATE(2000,5,4)</f>
        <v>36650</v>
      </c>
      <c r="C4924" s="2" t="s">
        <v>95</v>
      </c>
      <c r="D4924" s="2" t="s">
        <v>10532</v>
      </c>
      <c r="E4924" s="2" t="s">
        <v>10533</v>
      </c>
      <c r="F4924" s="4">
        <v>4833</v>
      </c>
      <c r="G4924" s="2" t="s">
        <v>45</v>
      </c>
      <c r="H4924" s="2" t="s">
        <v>34</v>
      </c>
      <c r="I4924" s="2" t="s">
        <v>4179</v>
      </c>
      <c r="J4924" s="2" t="s">
        <v>15239</v>
      </c>
      <c r="K4924" s="2" t="s">
        <v>45</v>
      </c>
      <c r="L4924" s="2" t="s">
        <v>34</v>
      </c>
      <c r="M4924" s="12">
        <v>28258.181</v>
      </c>
      <c r="N4924" s="7">
        <v>47.938000000000002</v>
      </c>
      <c r="O4924" s="7">
        <v>47.313000000000002</v>
      </c>
      <c r="P4924" s="2" t="s">
        <v>15240</v>
      </c>
      <c r="Q4924" s="6">
        <v>100</v>
      </c>
      <c r="R4924" s="6">
        <v>48.89</v>
      </c>
      <c r="S4924" s="5">
        <v>68</v>
      </c>
      <c r="T4924" s="8">
        <v>1386</v>
      </c>
      <c r="U4924" s="5">
        <v>13.8</v>
      </c>
      <c r="V4924" s="6">
        <v>0.1</v>
      </c>
      <c r="W4924" s="6">
        <v>48.59</v>
      </c>
      <c r="X4924" s="7">
        <v>50.701999999999998</v>
      </c>
      <c r="Y4924" s="9">
        <v>50.6875</v>
      </c>
      <c r="Z4924" s="9">
        <v>50.1875</v>
      </c>
      <c r="AA4924" s="6">
        <v>772.19</v>
      </c>
      <c r="AB4924" s="7">
        <v>48.182000000000002</v>
      </c>
      <c r="AC4924" s="5">
        <v>616</v>
      </c>
    </row>
    <row r="4925" spans="1:29" ht="130" x14ac:dyDescent="0.15">
      <c r="A4925" s="3">
        <f>DATE(1999,9,7)</f>
        <v>36410</v>
      </c>
      <c r="B4925" s="3">
        <f>DATE(1999,12,30)</f>
        <v>36524</v>
      </c>
      <c r="C4925" s="2" t="s">
        <v>95</v>
      </c>
      <c r="D4925" s="2" t="s">
        <v>15241</v>
      </c>
      <c r="E4925" s="2" t="s">
        <v>1181</v>
      </c>
      <c r="F4925" s="4">
        <v>6022</v>
      </c>
      <c r="G4925" s="2" t="s">
        <v>37</v>
      </c>
      <c r="H4925" s="2" t="s">
        <v>34</v>
      </c>
      <c r="I4925" s="2" t="s">
        <v>7720</v>
      </c>
      <c r="J4925" s="2" t="s">
        <v>36</v>
      </c>
      <c r="K4925" s="2" t="s">
        <v>37</v>
      </c>
      <c r="L4925" s="2" t="s">
        <v>34</v>
      </c>
      <c r="M4925" s="7">
        <v>470.01799999999997</v>
      </c>
      <c r="N4925" s="5">
        <v>28.5</v>
      </c>
      <c r="O4925" s="5">
        <v>28.5</v>
      </c>
      <c r="P4925" s="2" t="s">
        <v>15242</v>
      </c>
      <c r="Q4925" s="6">
        <v>100</v>
      </c>
      <c r="R4925" s="6">
        <v>34.07</v>
      </c>
      <c r="S4925" s="5">
        <v>0.6</v>
      </c>
      <c r="T4925" s="2"/>
      <c r="U4925" s="5">
        <v>12.2</v>
      </c>
      <c r="V4925" s="6">
        <v>0.42</v>
      </c>
      <c r="W4925" s="6">
        <v>25.25</v>
      </c>
      <c r="X4925" s="5">
        <v>27.5</v>
      </c>
      <c r="Y4925" s="4">
        <v>29</v>
      </c>
      <c r="Z4925" s="6">
        <v>32.25</v>
      </c>
      <c r="AA4925" s="6">
        <v>1.37</v>
      </c>
      <c r="AB4925" s="7">
        <v>231.06899999999999</v>
      </c>
      <c r="AC4925" s="2"/>
    </row>
    <row r="4926" spans="1:29" ht="156" x14ac:dyDescent="0.15">
      <c r="A4926" s="3">
        <f>DATE(1999,9,7)</f>
        <v>36410</v>
      </c>
      <c r="B4926" s="3">
        <f>DATE(1999,12,1)</f>
        <v>36495</v>
      </c>
      <c r="C4926" s="2" t="s">
        <v>95</v>
      </c>
      <c r="D4926" s="2" t="s">
        <v>10410</v>
      </c>
      <c r="E4926" s="2" t="s">
        <v>6078</v>
      </c>
      <c r="F4926" s="4">
        <v>7011</v>
      </c>
      <c r="G4926" s="2" t="s">
        <v>269</v>
      </c>
      <c r="H4926" s="2" t="s">
        <v>34</v>
      </c>
      <c r="I4926" s="2" t="s">
        <v>267</v>
      </c>
      <c r="J4926" s="2" t="s">
        <v>268</v>
      </c>
      <c r="K4926" s="2" t="s">
        <v>269</v>
      </c>
      <c r="L4926" s="2" t="s">
        <v>34</v>
      </c>
      <c r="M4926" s="12">
        <v>3235.134</v>
      </c>
      <c r="N4926" s="7">
        <v>11.188000000000001</v>
      </c>
      <c r="O4926" s="7">
        <v>10.938000000000001</v>
      </c>
      <c r="P4926" s="2" t="s">
        <v>15243</v>
      </c>
      <c r="Q4926" s="6">
        <v>100</v>
      </c>
      <c r="R4926" s="6">
        <v>38.5</v>
      </c>
      <c r="S4926" s="5">
        <v>156.9</v>
      </c>
      <c r="T4926" s="7">
        <v>370.55599999999998</v>
      </c>
      <c r="U4926" s="5">
        <v>14.7</v>
      </c>
      <c r="V4926" s="6">
        <v>1.93</v>
      </c>
      <c r="W4926" s="6">
        <v>29.06</v>
      </c>
      <c r="X4926" s="7">
        <v>31.375</v>
      </c>
      <c r="Y4926" s="7">
        <v>34.813000000000002</v>
      </c>
      <c r="Z4926" s="7">
        <v>34.563000000000002</v>
      </c>
      <c r="AA4926" s="6">
        <v>78.67</v>
      </c>
      <c r="AB4926" s="7">
        <v>13.132</v>
      </c>
      <c r="AC4926" s="5">
        <v>93</v>
      </c>
    </row>
    <row r="4927" spans="1:29" ht="104" x14ac:dyDescent="0.15">
      <c r="A4927" s="3">
        <f>DATE(1999,9,8)</f>
        <v>36411</v>
      </c>
      <c r="B4927" s="3">
        <f>DATE(1999,11,8)</f>
        <v>36472</v>
      </c>
      <c r="C4927" s="2" t="s">
        <v>95</v>
      </c>
      <c r="D4927" s="2" t="s">
        <v>15244</v>
      </c>
      <c r="E4927" s="2" t="s">
        <v>15245</v>
      </c>
      <c r="F4927" s="4">
        <v>3661</v>
      </c>
      <c r="G4927" s="2" t="s">
        <v>921</v>
      </c>
      <c r="H4927" s="2" t="s">
        <v>34</v>
      </c>
      <c r="I4927" s="2" t="s">
        <v>11192</v>
      </c>
      <c r="J4927" s="2" t="s">
        <v>3726</v>
      </c>
      <c r="K4927" s="2" t="s">
        <v>921</v>
      </c>
      <c r="L4927" s="2" t="s">
        <v>34</v>
      </c>
      <c r="M4927" s="7">
        <v>478.983</v>
      </c>
      <c r="N4927" s="7">
        <v>4.125</v>
      </c>
      <c r="O4927" s="7">
        <v>4.1559999999999997</v>
      </c>
      <c r="P4927" s="2" t="s">
        <v>15246</v>
      </c>
      <c r="Q4927" s="6">
        <v>100</v>
      </c>
      <c r="R4927" s="6">
        <v>5.37</v>
      </c>
      <c r="S4927" s="5">
        <v>-8.4</v>
      </c>
      <c r="T4927" s="6">
        <v>-4.83</v>
      </c>
      <c r="U4927" s="5">
        <v>1.7</v>
      </c>
      <c r="V4927" s="6">
        <v>-0.65</v>
      </c>
      <c r="W4927" s="7">
        <v>4.8440000000000003</v>
      </c>
      <c r="X4927" s="7">
        <v>5.125</v>
      </c>
      <c r="Y4927" s="7">
        <v>5.125</v>
      </c>
      <c r="Z4927" s="7">
        <v>5.125</v>
      </c>
      <c r="AA4927" s="6">
        <v>13.15</v>
      </c>
      <c r="AB4927" s="2" t="s">
        <v>86</v>
      </c>
      <c r="AC4927" s="6">
        <v>45.94</v>
      </c>
    </row>
    <row r="4928" spans="1:29" ht="156" x14ac:dyDescent="0.15">
      <c r="A4928" s="3">
        <f>DATE(1999,9,8)</f>
        <v>36411</v>
      </c>
      <c r="B4928" s="2"/>
      <c r="C4928" s="2" t="s">
        <v>7330</v>
      </c>
      <c r="D4928" s="2" t="s">
        <v>15051</v>
      </c>
      <c r="E4928" s="2" t="s">
        <v>15052</v>
      </c>
      <c r="F4928" s="2" t="s">
        <v>13975</v>
      </c>
      <c r="G4928" s="2" t="s">
        <v>109</v>
      </c>
      <c r="H4928" s="2" t="s">
        <v>34</v>
      </c>
      <c r="I4928" s="2" t="s">
        <v>15247</v>
      </c>
      <c r="J4928" s="2" t="s">
        <v>15248</v>
      </c>
      <c r="K4928" s="2" t="s">
        <v>53</v>
      </c>
      <c r="L4928" s="2" t="s">
        <v>34</v>
      </c>
      <c r="M4928" s="7">
        <v>69.754999999999995</v>
      </c>
      <c r="N4928" s="7">
        <v>12.375</v>
      </c>
      <c r="O4928" s="7">
        <v>12.625</v>
      </c>
      <c r="P4928" s="2" t="s">
        <v>15249</v>
      </c>
      <c r="Q4928" s="2"/>
      <c r="R4928" s="6">
        <v>7.09</v>
      </c>
      <c r="S4928" s="5">
        <v>-15.2</v>
      </c>
      <c r="T4928" s="7">
        <v>6.0369999999999999</v>
      </c>
      <c r="U4928" s="5">
        <v>13.7</v>
      </c>
      <c r="V4928" s="6">
        <v>-1.8</v>
      </c>
      <c r="W4928" s="6">
        <v>6.25</v>
      </c>
      <c r="X4928" s="7">
        <v>5.875</v>
      </c>
      <c r="Y4928" s="7">
        <v>6.0629999999999997</v>
      </c>
      <c r="Z4928" s="7">
        <v>5.875</v>
      </c>
      <c r="AA4928" s="6">
        <v>8.42</v>
      </c>
      <c r="AB4928" s="7">
        <v>64.063999999999993</v>
      </c>
      <c r="AC4928" s="6">
        <v>11.03</v>
      </c>
    </row>
    <row r="4929" spans="1:29" ht="52" x14ac:dyDescent="0.15">
      <c r="A4929" s="3">
        <f>DATE(1999,9,8)</f>
        <v>36411</v>
      </c>
      <c r="B4929" s="2"/>
      <c r="C4929" s="2" t="s">
        <v>30</v>
      </c>
      <c r="D4929" s="2" t="s">
        <v>15250</v>
      </c>
      <c r="E4929" s="2" t="s">
        <v>15251</v>
      </c>
      <c r="F4929" s="4">
        <v>3714</v>
      </c>
      <c r="G4929" s="2" t="s">
        <v>105</v>
      </c>
      <c r="H4929" s="2" t="s">
        <v>34</v>
      </c>
      <c r="I4929" s="2" t="s">
        <v>15252</v>
      </c>
      <c r="J4929" s="2" t="s">
        <v>3336</v>
      </c>
      <c r="K4929" s="2" t="s">
        <v>105</v>
      </c>
      <c r="L4929" s="2" t="s">
        <v>1049</v>
      </c>
      <c r="M4929" s="2"/>
      <c r="N4929" s="2"/>
      <c r="O4929" s="2"/>
      <c r="P4929" s="2" t="s">
        <v>15253</v>
      </c>
      <c r="Q4929" s="2"/>
      <c r="R4929" s="6">
        <v>14</v>
      </c>
      <c r="S4929" s="5">
        <v>6.3</v>
      </c>
      <c r="T4929" s="2"/>
      <c r="U4929" s="5">
        <v>10.199999999999999</v>
      </c>
      <c r="V4929" s="6">
        <v>1.42</v>
      </c>
      <c r="W4929" s="7">
        <v>10.875</v>
      </c>
      <c r="X4929" s="7">
        <v>10.688000000000001</v>
      </c>
      <c r="Y4929" s="7">
        <v>14.375</v>
      </c>
      <c r="Z4929" s="7">
        <v>14.125</v>
      </c>
      <c r="AA4929" s="6">
        <v>8.2799999999999994</v>
      </c>
      <c r="AB4929" s="7">
        <v>12.164999999999999</v>
      </c>
      <c r="AC4929" s="6">
        <v>86.58</v>
      </c>
    </row>
    <row r="4930" spans="1:29" ht="78" x14ac:dyDescent="0.15">
      <c r="A4930" s="3">
        <f>DATE(1999,9,9)</f>
        <v>36412</v>
      </c>
      <c r="B4930" s="3">
        <f>DATE(2000,9,28)</f>
        <v>36797</v>
      </c>
      <c r="C4930" s="2" t="s">
        <v>95</v>
      </c>
      <c r="D4930" s="2" t="s">
        <v>15254</v>
      </c>
      <c r="E4930" s="2" t="s">
        <v>13810</v>
      </c>
      <c r="F4930" s="4">
        <v>4924</v>
      </c>
      <c r="G4930" s="2" t="s">
        <v>439</v>
      </c>
      <c r="H4930" s="2" t="s">
        <v>34</v>
      </c>
      <c r="I4930" s="2" t="s">
        <v>10078</v>
      </c>
      <c r="J4930" s="2" t="s">
        <v>10079</v>
      </c>
      <c r="K4930" s="2" t="s">
        <v>439</v>
      </c>
      <c r="L4930" s="2" t="s">
        <v>34</v>
      </c>
      <c r="M4930" s="7">
        <v>586.43200000000002</v>
      </c>
      <c r="N4930" s="7">
        <v>21.125</v>
      </c>
      <c r="O4930" s="4">
        <v>21</v>
      </c>
      <c r="P4930" s="2" t="s">
        <v>15255</v>
      </c>
      <c r="Q4930" s="6">
        <v>100</v>
      </c>
      <c r="R4930" s="6">
        <v>23.5</v>
      </c>
      <c r="S4930" s="5">
        <v>2.1</v>
      </c>
      <c r="T4930" s="7">
        <v>5.9569999999999999</v>
      </c>
      <c r="U4930" s="5">
        <v>8</v>
      </c>
      <c r="V4930" s="6">
        <v>0.97</v>
      </c>
      <c r="W4930" s="7">
        <v>20.625</v>
      </c>
      <c r="X4930" s="6">
        <v>21.75</v>
      </c>
      <c r="Y4930" s="7">
        <v>21.625</v>
      </c>
      <c r="Z4930" s="7">
        <v>21.625</v>
      </c>
      <c r="AA4930" s="6">
        <v>2.2000000000000002</v>
      </c>
      <c r="AB4930" s="7">
        <v>20.67</v>
      </c>
      <c r="AC4930" s="2"/>
    </row>
    <row r="4931" spans="1:29" ht="143" x14ac:dyDescent="0.15">
      <c r="A4931" s="3">
        <f>DATE(1999,9,9)</f>
        <v>36412</v>
      </c>
      <c r="B4931" s="3">
        <f>DATE(1999,10,31)</f>
        <v>36464</v>
      </c>
      <c r="C4931" s="2" t="s">
        <v>95</v>
      </c>
      <c r="D4931" s="2" t="s">
        <v>15256</v>
      </c>
      <c r="E4931" s="2" t="s">
        <v>15257</v>
      </c>
      <c r="F4931" s="4">
        <v>7363</v>
      </c>
      <c r="G4931" s="2" t="s">
        <v>223</v>
      </c>
      <c r="H4931" s="2" t="s">
        <v>34</v>
      </c>
      <c r="I4931" s="2" t="s">
        <v>51</v>
      </c>
      <c r="J4931" s="2" t="s">
        <v>52</v>
      </c>
      <c r="K4931" s="2" t="s">
        <v>53</v>
      </c>
      <c r="L4931" s="2" t="s">
        <v>34</v>
      </c>
      <c r="M4931" s="2"/>
      <c r="N4931" s="2"/>
      <c r="O4931" s="2"/>
      <c r="P4931" s="2" t="s">
        <v>15258</v>
      </c>
      <c r="Q4931" s="6">
        <v>100</v>
      </c>
      <c r="R4931" s="6">
        <v>2.5</v>
      </c>
      <c r="S4931" s="5">
        <v>9</v>
      </c>
      <c r="T4931" s="7">
        <v>23.202999999999999</v>
      </c>
      <c r="U4931" s="5">
        <v>2.7</v>
      </c>
      <c r="V4931" s="6">
        <v>0.3</v>
      </c>
      <c r="W4931" s="7">
        <v>2.5939999999999999</v>
      </c>
      <c r="X4931" s="7">
        <v>2.625</v>
      </c>
      <c r="Y4931" s="6">
        <v>2.25</v>
      </c>
      <c r="Z4931" s="4">
        <v>2</v>
      </c>
      <c r="AA4931" s="6">
        <v>30.27</v>
      </c>
      <c r="AB4931" s="7">
        <v>3.8980000000000001</v>
      </c>
      <c r="AC4931" s="2"/>
    </row>
    <row r="4932" spans="1:29" ht="130" x14ac:dyDescent="0.15">
      <c r="A4932" s="3">
        <f>DATE(1999,9,9)</f>
        <v>36412</v>
      </c>
      <c r="B4932" s="3">
        <f>DATE(1999,11,23)</f>
        <v>36487</v>
      </c>
      <c r="C4932" s="2" t="s">
        <v>95</v>
      </c>
      <c r="D4932" s="2" t="s">
        <v>15259</v>
      </c>
      <c r="E4932" s="2" t="s">
        <v>15260</v>
      </c>
      <c r="F4932" s="4">
        <v>3556</v>
      </c>
      <c r="G4932" s="2" t="s">
        <v>300</v>
      </c>
      <c r="H4932" s="2" t="s">
        <v>34</v>
      </c>
      <c r="I4932" s="2" t="s">
        <v>506</v>
      </c>
      <c r="J4932" s="2" t="s">
        <v>507</v>
      </c>
      <c r="K4932" s="2" t="s">
        <v>300</v>
      </c>
      <c r="L4932" s="2" t="s">
        <v>34</v>
      </c>
      <c r="M4932" s="12">
        <v>18998.967000000001</v>
      </c>
      <c r="N4932" s="7">
        <v>80.125</v>
      </c>
      <c r="O4932" s="7">
        <v>73.688000000000002</v>
      </c>
      <c r="P4932" s="2" t="s">
        <v>15261</v>
      </c>
      <c r="Q4932" s="6">
        <v>100</v>
      </c>
      <c r="R4932" s="6">
        <v>54.45</v>
      </c>
      <c r="S4932" s="5">
        <v>153.1</v>
      </c>
      <c r="T4932" s="5">
        <v>351.1</v>
      </c>
      <c r="U4932" s="5">
        <v>17.2</v>
      </c>
      <c r="V4932" s="6">
        <v>2.39</v>
      </c>
      <c r="W4932" s="7">
        <v>35.125</v>
      </c>
      <c r="X4932" s="7">
        <v>34.188000000000002</v>
      </c>
      <c r="Y4932" s="6">
        <v>34.25</v>
      </c>
      <c r="Z4932" s="7">
        <v>50.688000000000002</v>
      </c>
      <c r="AA4932" s="6">
        <v>61.27</v>
      </c>
      <c r="AB4932" s="7">
        <v>14.268000000000001</v>
      </c>
      <c r="AC4932" s="6">
        <v>151.49</v>
      </c>
    </row>
    <row r="4933" spans="1:29" ht="117" x14ac:dyDescent="0.15">
      <c r="A4933" s="3">
        <f>DATE(1999,9,10)</f>
        <v>36413</v>
      </c>
      <c r="B4933" s="3">
        <f>DATE(2000,4,3)</f>
        <v>36619</v>
      </c>
      <c r="C4933" s="2" t="s">
        <v>95</v>
      </c>
      <c r="D4933" s="2" t="s">
        <v>15262</v>
      </c>
      <c r="E4933" s="2" t="s">
        <v>1181</v>
      </c>
      <c r="F4933" s="4">
        <v>6021</v>
      </c>
      <c r="G4933" s="2" t="s">
        <v>37</v>
      </c>
      <c r="H4933" s="2" t="s">
        <v>34</v>
      </c>
      <c r="I4933" s="2" t="s">
        <v>4392</v>
      </c>
      <c r="J4933" s="2" t="s">
        <v>263</v>
      </c>
      <c r="K4933" s="2" t="s">
        <v>37</v>
      </c>
      <c r="L4933" s="2" t="s">
        <v>34</v>
      </c>
      <c r="M4933" s="12">
        <v>4539.1440000000002</v>
      </c>
      <c r="N4933" s="7">
        <v>38.938000000000002</v>
      </c>
      <c r="O4933" s="7">
        <v>39.313000000000002</v>
      </c>
      <c r="P4933" s="2" t="s">
        <v>15263</v>
      </c>
      <c r="Q4933" s="6">
        <v>100</v>
      </c>
      <c r="R4933" s="6">
        <v>16.66</v>
      </c>
      <c r="S4933" s="5">
        <v>31.1</v>
      </c>
      <c r="T4933" s="2"/>
      <c r="U4933" s="5">
        <v>8.1</v>
      </c>
      <c r="V4933" s="6">
        <v>1.35</v>
      </c>
      <c r="W4933" s="7">
        <v>14.063000000000001</v>
      </c>
      <c r="X4933" s="4">
        <v>15</v>
      </c>
      <c r="Y4933" s="6">
        <v>15.75</v>
      </c>
      <c r="Z4933" s="7">
        <v>15.875</v>
      </c>
      <c r="AA4933" s="6">
        <v>22.29</v>
      </c>
      <c r="AB4933" s="7">
        <v>11.81</v>
      </c>
      <c r="AC4933" s="2"/>
    </row>
    <row r="4934" spans="1:29" ht="104" x14ac:dyDescent="0.15">
      <c r="A4934" s="3">
        <f>DATE(1999,9,13)</f>
        <v>36416</v>
      </c>
      <c r="B4934" s="2"/>
      <c r="C4934" s="2" t="s">
        <v>30</v>
      </c>
      <c r="D4934" s="2" t="s">
        <v>15264</v>
      </c>
      <c r="E4934" s="2" t="s">
        <v>15265</v>
      </c>
      <c r="F4934" s="4">
        <v>5122</v>
      </c>
      <c r="G4934" s="2" t="s">
        <v>593</v>
      </c>
      <c r="H4934" s="2" t="s">
        <v>34</v>
      </c>
      <c r="I4934" s="2" t="s">
        <v>15266</v>
      </c>
      <c r="J4934" s="2" t="s">
        <v>302</v>
      </c>
      <c r="K4934" s="2" t="s">
        <v>53</v>
      </c>
      <c r="L4934" s="2" t="s">
        <v>34</v>
      </c>
      <c r="M4934" s="2"/>
      <c r="N4934" s="2"/>
      <c r="O4934" s="2"/>
      <c r="P4934" s="2" t="s">
        <v>15267</v>
      </c>
      <c r="Q4934" s="2"/>
      <c r="R4934" s="6">
        <v>17</v>
      </c>
      <c r="S4934" s="5">
        <v>42.3</v>
      </c>
      <c r="T4934" s="7">
        <v>85.790999999999997</v>
      </c>
      <c r="U4934" s="5">
        <v>6.1</v>
      </c>
      <c r="V4934" s="6">
        <v>1.4</v>
      </c>
      <c r="W4934" s="7">
        <v>11.938000000000001</v>
      </c>
      <c r="X4934" s="6">
        <v>12.25</v>
      </c>
      <c r="Y4934" s="4">
        <v>12</v>
      </c>
      <c r="Z4934" s="7">
        <v>15.125</v>
      </c>
      <c r="AA4934" s="6">
        <v>28.59</v>
      </c>
      <c r="AB4934" s="7">
        <v>6.2530000000000001</v>
      </c>
      <c r="AC4934" s="2"/>
    </row>
    <row r="4935" spans="1:29" ht="117" x14ac:dyDescent="0.15">
      <c r="A4935" s="3">
        <f>DATE(1999,9,13)</f>
        <v>36416</v>
      </c>
      <c r="B4935" s="3">
        <f>DATE(1999,12,1)</f>
        <v>36495</v>
      </c>
      <c r="C4935" s="2" t="s">
        <v>95</v>
      </c>
      <c r="D4935" s="2" t="s">
        <v>15268</v>
      </c>
      <c r="E4935" s="2" t="s">
        <v>15269</v>
      </c>
      <c r="F4935" s="4">
        <v>3674</v>
      </c>
      <c r="G4935" s="2" t="s">
        <v>137</v>
      </c>
      <c r="H4935" s="2" t="s">
        <v>34</v>
      </c>
      <c r="I4935" s="2" t="s">
        <v>15270</v>
      </c>
      <c r="J4935" s="2" t="s">
        <v>12389</v>
      </c>
      <c r="K4935" s="2" t="s">
        <v>137</v>
      </c>
      <c r="L4935" s="2" t="s">
        <v>34</v>
      </c>
      <c r="M4935" s="12">
        <v>18295.298999999999</v>
      </c>
      <c r="N4935" s="6">
        <v>73.75</v>
      </c>
      <c r="O4935" s="7">
        <v>75.438000000000002</v>
      </c>
      <c r="P4935" s="2" t="s">
        <v>15271</v>
      </c>
      <c r="Q4935" s="6">
        <v>100</v>
      </c>
      <c r="R4935" s="6">
        <v>39.53</v>
      </c>
      <c r="S4935" s="5">
        <v>51.2</v>
      </c>
      <c r="T4935" s="2"/>
      <c r="U4935" s="5">
        <v>7.1</v>
      </c>
      <c r="V4935" s="6">
        <v>1.1000000000000001</v>
      </c>
      <c r="W4935" s="6">
        <v>21.43</v>
      </c>
      <c r="X4935" s="5">
        <v>23.5</v>
      </c>
      <c r="Y4935" s="7">
        <v>24.312999999999999</v>
      </c>
      <c r="Z4935" s="7">
        <v>35.375</v>
      </c>
      <c r="AA4935" s="6">
        <v>45.08</v>
      </c>
      <c r="AB4935" s="7">
        <v>25.463999999999999</v>
      </c>
      <c r="AC4935" s="8">
        <v>1688.4</v>
      </c>
    </row>
    <row r="4936" spans="1:29" ht="169" x14ac:dyDescent="0.15">
      <c r="A4936" s="3">
        <f t="shared" ref="A4936:A4942" si="107">DATE(1999,9,15)</f>
        <v>36418</v>
      </c>
      <c r="B4936" s="3">
        <f>DATE(2000,6,7)</f>
        <v>36684</v>
      </c>
      <c r="C4936" s="2" t="s">
        <v>95</v>
      </c>
      <c r="D4936" s="2" t="s">
        <v>15272</v>
      </c>
      <c r="E4936" s="2" t="s">
        <v>15273</v>
      </c>
      <c r="F4936" s="4">
        <v>3229</v>
      </c>
      <c r="G4936" s="2" t="s">
        <v>237</v>
      </c>
      <c r="H4936" s="2" t="s">
        <v>34</v>
      </c>
      <c r="I4936" s="2" t="s">
        <v>15274</v>
      </c>
      <c r="J4936" s="2" t="s">
        <v>15275</v>
      </c>
      <c r="K4936" s="2" t="s">
        <v>137</v>
      </c>
      <c r="L4936" s="2" t="s">
        <v>34</v>
      </c>
      <c r="M4936" s="7">
        <v>633.53899999999999</v>
      </c>
      <c r="N4936" s="6">
        <v>24.25</v>
      </c>
      <c r="O4936" s="7">
        <v>25.625</v>
      </c>
      <c r="P4936" s="2" t="s">
        <v>15276</v>
      </c>
      <c r="Q4936" s="6">
        <v>100</v>
      </c>
      <c r="R4936" s="6">
        <v>23.45</v>
      </c>
      <c r="S4936" s="5">
        <v>3.5</v>
      </c>
      <c r="T4936" s="7">
        <v>13.867000000000001</v>
      </c>
      <c r="U4936" s="5">
        <v>9.9</v>
      </c>
      <c r="V4936" s="6">
        <v>0.72</v>
      </c>
      <c r="W4936" s="7">
        <v>14.875</v>
      </c>
      <c r="X4936" s="5">
        <v>14.5</v>
      </c>
      <c r="Y4936" s="6">
        <v>14.75</v>
      </c>
      <c r="Z4936" s="5">
        <v>19.5</v>
      </c>
      <c r="AA4936" s="6">
        <v>4.55</v>
      </c>
      <c r="AB4936" s="7">
        <v>23.870999999999999</v>
      </c>
      <c r="AC4936" s="6">
        <v>16.27</v>
      </c>
    </row>
    <row r="4937" spans="1:29" ht="143" x14ac:dyDescent="0.15">
      <c r="A4937" s="3">
        <f t="shared" si="107"/>
        <v>36418</v>
      </c>
      <c r="B4937" s="3">
        <f>DATE(1999,11,3)</f>
        <v>36467</v>
      </c>
      <c r="C4937" s="2" t="s">
        <v>95</v>
      </c>
      <c r="D4937" s="2" t="s">
        <v>8402</v>
      </c>
      <c r="E4937" s="2" t="s">
        <v>5564</v>
      </c>
      <c r="F4937" s="4">
        <v>8071</v>
      </c>
      <c r="G4937" s="2" t="s">
        <v>454</v>
      </c>
      <c r="H4937" s="2" t="s">
        <v>34</v>
      </c>
      <c r="I4937" s="2" t="s">
        <v>1626</v>
      </c>
      <c r="J4937" s="2" t="s">
        <v>244</v>
      </c>
      <c r="K4937" s="2" t="s">
        <v>53</v>
      </c>
      <c r="L4937" s="2" t="s">
        <v>34</v>
      </c>
      <c r="M4937" s="2"/>
      <c r="N4937" s="2"/>
      <c r="O4937" s="2"/>
      <c r="P4937" s="2" t="s">
        <v>15277</v>
      </c>
      <c r="Q4937" s="6">
        <v>90</v>
      </c>
      <c r="R4937" s="6">
        <v>55</v>
      </c>
      <c r="S4937" s="5">
        <v>8.6</v>
      </c>
      <c r="T4937" s="7">
        <v>116.705</v>
      </c>
      <c r="U4937" s="5">
        <v>-3.5</v>
      </c>
      <c r="V4937" s="7">
        <v>2.4249999999999998</v>
      </c>
      <c r="W4937" s="7">
        <v>22.687999999999999</v>
      </c>
      <c r="X4937" s="4">
        <v>50</v>
      </c>
      <c r="Y4937" s="4">
        <v>49</v>
      </c>
      <c r="Z4937" s="5">
        <v>17.5</v>
      </c>
      <c r="AA4937" s="6">
        <v>5.75</v>
      </c>
      <c r="AB4937" s="7">
        <v>17.893999999999998</v>
      </c>
      <c r="AC4937" s="2"/>
    </row>
    <row r="4938" spans="1:29" ht="325" x14ac:dyDescent="0.15">
      <c r="A4938" s="3">
        <f t="shared" si="107"/>
        <v>36418</v>
      </c>
      <c r="B4938" s="2"/>
      <c r="C4938" s="2" t="s">
        <v>30</v>
      </c>
      <c r="D4938" s="2" t="s">
        <v>8934</v>
      </c>
      <c r="E4938" s="2" t="s">
        <v>5071</v>
      </c>
      <c r="F4938" s="4">
        <v>6035</v>
      </c>
      <c r="G4938" s="2" t="s">
        <v>33</v>
      </c>
      <c r="H4938" s="2" t="s">
        <v>34</v>
      </c>
      <c r="I4938" s="2" t="s">
        <v>4381</v>
      </c>
      <c r="J4938" s="2" t="s">
        <v>263</v>
      </c>
      <c r="K4938" s="2" t="s">
        <v>37</v>
      </c>
      <c r="L4938" s="2" t="s">
        <v>34</v>
      </c>
      <c r="M4938" s="12">
        <v>1248.0329999999999</v>
      </c>
      <c r="N4938" s="7">
        <v>28.625</v>
      </c>
      <c r="O4938" s="7">
        <v>28.312999999999999</v>
      </c>
      <c r="P4938" s="2" t="s">
        <v>15278</v>
      </c>
      <c r="Q4938" s="2"/>
      <c r="R4938" s="6">
        <v>19.32</v>
      </c>
      <c r="S4938" s="5">
        <v>245.4</v>
      </c>
      <c r="T4938" s="7">
        <v>492.74299999999999</v>
      </c>
      <c r="U4938" s="5">
        <v>13.2</v>
      </c>
      <c r="V4938" s="6">
        <v>2.16</v>
      </c>
      <c r="W4938" s="7">
        <v>17.875</v>
      </c>
      <c r="X4938" s="6">
        <v>17.75</v>
      </c>
      <c r="Y4938" s="9">
        <v>17.1875</v>
      </c>
      <c r="Z4938" s="7">
        <v>16.625</v>
      </c>
      <c r="AA4938" s="6">
        <v>113.47</v>
      </c>
      <c r="AB4938" s="7">
        <v>52.911999999999999</v>
      </c>
      <c r="AC4938" s="2"/>
    </row>
    <row r="4939" spans="1:29" ht="91" x14ac:dyDescent="0.15">
      <c r="A4939" s="3">
        <f t="shared" si="107"/>
        <v>36418</v>
      </c>
      <c r="B4939" s="3">
        <f>DATE(2000,1,5)</f>
        <v>36530</v>
      </c>
      <c r="C4939" s="2" t="s">
        <v>95</v>
      </c>
      <c r="D4939" s="2" t="s">
        <v>950</v>
      </c>
      <c r="E4939" s="2" t="s">
        <v>15279</v>
      </c>
      <c r="F4939" s="4">
        <v>3663</v>
      </c>
      <c r="G4939" s="2" t="s">
        <v>921</v>
      </c>
      <c r="H4939" s="2" t="s">
        <v>34</v>
      </c>
      <c r="I4939" s="2" t="s">
        <v>15145</v>
      </c>
      <c r="J4939" s="2" t="s">
        <v>15146</v>
      </c>
      <c r="K4939" s="2" t="s">
        <v>921</v>
      </c>
      <c r="L4939" s="2" t="s">
        <v>34</v>
      </c>
      <c r="M4939" s="10">
        <v>53851.06</v>
      </c>
      <c r="N4939" s="7">
        <v>86.625</v>
      </c>
      <c r="O4939" s="7">
        <v>87.688000000000002</v>
      </c>
      <c r="P4939" s="2" t="s">
        <v>15280</v>
      </c>
      <c r="Q4939" s="6">
        <v>100</v>
      </c>
      <c r="R4939" s="6">
        <v>53.58</v>
      </c>
      <c r="S4939" s="5">
        <v>162.30000000000001</v>
      </c>
      <c r="T4939" s="7">
        <v>340.76100000000002</v>
      </c>
      <c r="U4939" s="5">
        <v>10.9</v>
      </c>
      <c r="V4939" s="7">
        <v>0.99299999999999999</v>
      </c>
      <c r="W4939" s="7">
        <v>50.813000000000002</v>
      </c>
      <c r="X4939" s="5">
        <v>50.5</v>
      </c>
      <c r="Y4939" s="7">
        <v>47.265999999999998</v>
      </c>
      <c r="Z4939" s="7">
        <v>47.594000000000001</v>
      </c>
      <c r="AA4939" s="6">
        <v>173.37</v>
      </c>
      <c r="AB4939" s="7">
        <v>41.850999999999999</v>
      </c>
      <c r="AC4939" s="8">
        <v>2649</v>
      </c>
    </row>
    <row r="4940" spans="1:29" ht="247" x14ac:dyDescent="0.15">
      <c r="A4940" s="3">
        <f t="shared" si="107"/>
        <v>36418</v>
      </c>
      <c r="B4940" s="3">
        <f>DATE(2000,2,1)</f>
        <v>36557</v>
      </c>
      <c r="C4940" s="2" t="s">
        <v>95</v>
      </c>
      <c r="D4940" s="2" t="s">
        <v>15281</v>
      </c>
      <c r="E4940" s="2" t="s">
        <v>1181</v>
      </c>
      <c r="F4940" s="4">
        <v>6021</v>
      </c>
      <c r="G4940" s="2" t="s">
        <v>37</v>
      </c>
      <c r="H4940" s="2" t="s">
        <v>34</v>
      </c>
      <c r="I4940" s="2" t="s">
        <v>8064</v>
      </c>
      <c r="J4940" s="2" t="s">
        <v>159</v>
      </c>
      <c r="K4940" s="2" t="s">
        <v>37</v>
      </c>
      <c r="L4940" s="2" t="s">
        <v>34</v>
      </c>
      <c r="M4940" s="7">
        <v>380.584</v>
      </c>
      <c r="N4940" s="5">
        <v>33.5</v>
      </c>
      <c r="O4940" s="7">
        <v>33.125</v>
      </c>
      <c r="P4940" s="2" t="s">
        <v>15282</v>
      </c>
      <c r="Q4940" s="6">
        <v>100</v>
      </c>
      <c r="R4940" s="6">
        <v>40.15</v>
      </c>
      <c r="S4940" s="5">
        <v>2.1</v>
      </c>
      <c r="T4940" s="7">
        <v>4.2190000000000003</v>
      </c>
      <c r="U4940" s="5">
        <v>9.3000000000000007</v>
      </c>
      <c r="V4940" s="6">
        <v>1.44</v>
      </c>
      <c r="W4940" s="4">
        <v>32</v>
      </c>
      <c r="X4940" s="5">
        <v>31.5</v>
      </c>
      <c r="Y4940" s="4">
        <v>32</v>
      </c>
      <c r="Z4940" s="4">
        <v>32</v>
      </c>
      <c r="AA4940" s="6">
        <v>1.22</v>
      </c>
      <c r="AB4940" s="7">
        <v>60.377000000000002</v>
      </c>
      <c r="AC4940" s="2"/>
    </row>
    <row r="4941" spans="1:29" ht="130" x14ac:dyDescent="0.15">
      <c r="A4941" s="3">
        <f t="shared" si="107"/>
        <v>36418</v>
      </c>
      <c r="B4941" s="2"/>
      <c r="C4941" s="2" t="s">
        <v>30</v>
      </c>
      <c r="D4941" s="2" t="s">
        <v>15283</v>
      </c>
      <c r="E4941" s="2" t="s">
        <v>1181</v>
      </c>
      <c r="F4941" s="4">
        <v>6021</v>
      </c>
      <c r="G4941" s="2" t="s">
        <v>37</v>
      </c>
      <c r="H4941" s="2" t="s">
        <v>34</v>
      </c>
      <c r="I4941" s="2" t="s">
        <v>15284</v>
      </c>
      <c r="J4941" s="2" t="s">
        <v>36</v>
      </c>
      <c r="K4941" s="2" t="s">
        <v>37</v>
      </c>
      <c r="L4941" s="2" t="s">
        <v>34</v>
      </c>
      <c r="M4941" s="7">
        <v>24.041</v>
      </c>
      <c r="N4941" s="7">
        <v>5.875</v>
      </c>
      <c r="O4941" s="6">
        <v>5.75</v>
      </c>
      <c r="P4941" s="2" t="s">
        <v>15285</v>
      </c>
      <c r="Q4941" s="2"/>
      <c r="R4941" s="6">
        <v>43.1</v>
      </c>
      <c r="S4941" s="5">
        <v>0.1</v>
      </c>
      <c r="T4941" s="6">
        <v>0.17</v>
      </c>
      <c r="U4941" s="5">
        <v>3.9</v>
      </c>
      <c r="V4941" s="6">
        <v>0.09</v>
      </c>
      <c r="W4941" s="7">
        <v>4.5629999999999997</v>
      </c>
      <c r="X4941" s="7">
        <v>4.625</v>
      </c>
      <c r="Y4941" s="6">
        <v>4.75</v>
      </c>
      <c r="Z4941" s="5">
        <v>4.5</v>
      </c>
      <c r="AA4941" s="6">
        <v>1.26</v>
      </c>
      <c r="AB4941" s="7">
        <v>1027.768</v>
      </c>
      <c r="AC4941" s="2"/>
    </row>
    <row r="4942" spans="1:29" ht="117" x14ac:dyDescent="0.15">
      <c r="A4942" s="3">
        <f t="shared" si="107"/>
        <v>36418</v>
      </c>
      <c r="B4942" s="3">
        <f>DATE(2000,1,7)</f>
        <v>36532</v>
      </c>
      <c r="C4942" s="2" t="s">
        <v>95</v>
      </c>
      <c r="D4942" s="2" t="s">
        <v>15286</v>
      </c>
      <c r="E4942" s="2" t="s">
        <v>15287</v>
      </c>
      <c r="F4942" s="4">
        <v>7372</v>
      </c>
      <c r="G4942" s="2" t="s">
        <v>551</v>
      </c>
      <c r="H4942" s="2" t="s">
        <v>34</v>
      </c>
      <c r="I4942" s="2" t="s">
        <v>15288</v>
      </c>
      <c r="J4942" s="2" t="s">
        <v>1550</v>
      </c>
      <c r="K4942" s="2" t="s">
        <v>551</v>
      </c>
      <c r="L4942" s="2" t="s">
        <v>34</v>
      </c>
      <c r="M4942" s="12">
        <v>433828.03499999997</v>
      </c>
      <c r="N4942" s="7">
        <v>92.625</v>
      </c>
      <c r="O4942" s="4">
        <v>94</v>
      </c>
      <c r="P4942" s="2" t="s">
        <v>15289</v>
      </c>
      <c r="Q4942" s="6">
        <v>100</v>
      </c>
      <c r="R4942" s="6">
        <v>42.78</v>
      </c>
      <c r="S4942" s="5">
        <v>28.1</v>
      </c>
      <c r="T4942" s="7">
        <v>48.773000000000003</v>
      </c>
      <c r="U4942" s="5">
        <v>4.2</v>
      </c>
      <c r="V4942" s="6">
        <v>0.89</v>
      </c>
      <c r="W4942" s="4">
        <v>31</v>
      </c>
      <c r="X4942" s="5">
        <v>33.5</v>
      </c>
      <c r="Y4942" s="7">
        <v>39.875</v>
      </c>
      <c r="Z4942" s="7">
        <v>40.688000000000002</v>
      </c>
      <c r="AA4942" s="6">
        <v>30.17</v>
      </c>
      <c r="AB4942" s="7">
        <v>30.138999999999999</v>
      </c>
      <c r="AC4942" s="8">
        <v>17236</v>
      </c>
    </row>
    <row r="4943" spans="1:29" ht="91" x14ac:dyDescent="0.15">
      <c r="A4943" s="3">
        <f t="shared" ref="A4943:A4952" si="108">DATE(1999,9,20)</f>
        <v>36423</v>
      </c>
      <c r="B4943" s="3">
        <f>DATE(2000,1,12)</f>
        <v>36537</v>
      </c>
      <c r="C4943" s="2" t="s">
        <v>95</v>
      </c>
      <c r="D4943" s="2" t="s">
        <v>15290</v>
      </c>
      <c r="E4943" s="2" t="s">
        <v>15291</v>
      </c>
      <c r="F4943" s="4">
        <v>7311</v>
      </c>
      <c r="G4943" s="2" t="s">
        <v>4563</v>
      </c>
      <c r="H4943" s="2" t="s">
        <v>34</v>
      </c>
      <c r="I4943" s="2" t="s">
        <v>15292</v>
      </c>
      <c r="J4943" s="2" t="s">
        <v>11946</v>
      </c>
      <c r="K4943" s="2" t="s">
        <v>551</v>
      </c>
      <c r="L4943" s="2" t="s">
        <v>34</v>
      </c>
      <c r="M4943" s="12">
        <v>7905.1369999999997</v>
      </c>
      <c r="N4943" s="7">
        <v>83.438000000000002</v>
      </c>
      <c r="O4943" s="7">
        <v>80.125</v>
      </c>
      <c r="P4943" s="2" t="s">
        <v>15293</v>
      </c>
      <c r="Q4943" s="6">
        <v>100</v>
      </c>
      <c r="R4943" s="6">
        <v>20.96</v>
      </c>
      <c r="S4943" s="5">
        <v>-15.6</v>
      </c>
      <c r="T4943" s="7">
        <v>-9.3450000000000006</v>
      </c>
      <c r="U4943" s="5">
        <v>-3.5</v>
      </c>
      <c r="V4943" s="6">
        <v>-1.44</v>
      </c>
      <c r="W4943" s="7">
        <v>18.375</v>
      </c>
      <c r="X4943" s="5">
        <v>19.5</v>
      </c>
      <c r="Y4943" s="6">
        <v>20.25</v>
      </c>
      <c r="Z4943" s="7">
        <v>19.562999999999999</v>
      </c>
      <c r="AA4943" s="6">
        <v>19.989999999999998</v>
      </c>
      <c r="AB4943" s="2" t="s">
        <v>86</v>
      </c>
      <c r="AC4943" s="10">
        <v>2001.24</v>
      </c>
    </row>
    <row r="4944" spans="1:29" ht="143" x14ac:dyDescent="0.15">
      <c r="A4944" s="3">
        <f t="shared" si="108"/>
        <v>36423</v>
      </c>
      <c r="B4944" s="3">
        <f>DATE(2000,5,5)</f>
        <v>36651</v>
      </c>
      <c r="C4944" s="2" t="s">
        <v>95</v>
      </c>
      <c r="D4944" s="2" t="s">
        <v>11127</v>
      </c>
      <c r="E4944" s="2" t="s">
        <v>1467</v>
      </c>
      <c r="F4944" s="4">
        <v>4812</v>
      </c>
      <c r="G4944" s="2" t="s">
        <v>63</v>
      </c>
      <c r="H4944" s="2" t="s">
        <v>34</v>
      </c>
      <c r="I4944" s="2" t="s">
        <v>14734</v>
      </c>
      <c r="J4944" s="2" t="s">
        <v>14733</v>
      </c>
      <c r="K4944" s="2" t="s">
        <v>63</v>
      </c>
      <c r="L4944" s="2" t="s">
        <v>34</v>
      </c>
      <c r="M4944" s="12">
        <v>4146.6109999999999</v>
      </c>
      <c r="N4944" s="7">
        <v>61.938000000000002</v>
      </c>
      <c r="O4944" s="7">
        <v>62.375</v>
      </c>
      <c r="P4944" s="2" t="s">
        <v>15294</v>
      </c>
      <c r="Q4944" s="6">
        <v>100</v>
      </c>
      <c r="R4944" s="6">
        <v>25.51</v>
      </c>
      <c r="S4944" s="5">
        <v>-184.1</v>
      </c>
      <c r="T4944" s="7">
        <v>-153.721</v>
      </c>
      <c r="U4944" s="5">
        <v>0.1</v>
      </c>
      <c r="V4944" s="6">
        <v>-2.56</v>
      </c>
      <c r="W4944" s="7">
        <v>18.687999999999999</v>
      </c>
      <c r="X4944" s="4">
        <v>20</v>
      </c>
      <c r="Y4944" s="7">
        <v>26.625</v>
      </c>
      <c r="Z4944" s="6">
        <v>26.25</v>
      </c>
      <c r="AA4944" s="6">
        <v>95.42</v>
      </c>
      <c r="AB4944" s="2" t="s">
        <v>86</v>
      </c>
      <c r="AC4944" s="6">
        <v>79.86</v>
      </c>
    </row>
    <row r="4945" spans="1:29" ht="143" x14ac:dyDescent="0.15">
      <c r="A4945" s="3">
        <f t="shared" si="108"/>
        <v>36423</v>
      </c>
      <c r="B4945" s="3">
        <f>DATE(2000,2,1)</f>
        <v>36557</v>
      </c>
      <c r="C4945" s="2" t="s">
        <v>95</v>
      </c>
      <c r="D4945" s="2" t="s">
        <v>4114</v>
      </c>
      <c r="E4945" s="2" t="s">
        <v>1046</v>
      </c>
      <c r="F4945" s="4">
        <v>3674</v>
      </c>
      <c r="G4945" s="2" t="s">
        <v>137</v>
      </c>
      <c r="H4945" s="2" t="s">
        <v>34</v>
      </c>
      <c r="I4945" s="2" t="s">
        <v>4584</v>
      </c>
      <c r="J4945" s="2" t="s">
        <v>4585</v>
      </c>
      <c r="K4945" s="2" t="s">
        <v>226</v>
      </c>
      <c r="L4945" s="2" t="s">
        <v>34</v>
      </c>
      <c r="M4945" s="6">
        <v>32.35</v>
      </c>
      <c r="N4945" s="6">
        <v>4.75</v>
      </c>
      <c r="O4945" s="4">
        <v>5</v>
      </c>
      <c r="P4945" s="2" t="s">
        <v>15295</v>
      </c>
      <c r="Q4945" s="6">
        <v>100</v>
      </c>
      <c r="R4945" s="6">
        <v>4.43</v>
      </c>
      <c r="S4945" s="5">
        <v>-13.1</v>
      </c>
      <c r="T4945" s="7">
        <v>-3.5150000000000001</v>
      </c>
      <c r="U4945" s="5">
        <v>2.5</v>
      </c>
      <c r="V4945" s="6">
        <v>-3.48</v>
      </c>
      <c r="W4945" s="7">
        <v>3.6560000000000001</v>
      </c>
      <c r="X4945" s="7">
        <v>3.4689999999999999</v>
      </c>
      <c r="Y4945" s="7">
        <v>3.1880000000000002</v>
      </c>
      <c r="Z4945" s="7">
        <v>3.375</v>
      </c>
      <c r="AA4945" s="6">
        <v>3.85</v>
      </c>
      <c r="AB4945" s="2" t="s">
        <v>86</v>
      </c>
      <c r="AC4945" s="6">
        <v>2.5299999999999998</v>
      </c>
    </row>
    <row r="4946" spans="1:29" ht="39" x14ac:dyDescent="0.15">
      <c r="A4946" s="3">
        <f t="shared" si="108"/>
        <v>36423</v>
      </c>
      <c r="B4946" s="3">
        <f>DATE(2000,1,19)</f>
        <v>36544</v>
      </c>
      <c r="C4946" s="2" t="s">
        <v>95</v>
      </c>
      <c r="D4946" s="2" t="s">
        <v>1895</v>
      </c>
      <c r="E4946" s="2" t="s">
        <v>1896</v>
      </c>
      <c r="F4946" s="4">
        <v>4911</v>
      </c>
      <c r="G4946" s="2" t="s">
        <v>439</v>
      </c>
      <c r="H4946" s="2" t="s">
        <v>34</v>
      </c>
      <c r="I4946" s="2" t="s">
        <v>14017</v>
      </c>
      <c r="J4946" s="2" t="s">
        <v>1387</v>
      </c>
      <c r="K4946" s="2" t="s">
        <v>439</v>
      </c>
      <c r="L4946" s="2" t="s">
        <v>34</v>
      </c>
      <c r="M4946" s="12">
        <v>4167.9949999999999</v>
      </c>
      <c r="N4946" s="7">
        <v>39.125</v>
      </c>
      <c r="O4946" s="7">
        <v>38.688000000000002</v>
      </c>
      <c r="P4946" s="2" t="s">
        <v>15296</v>
      </c>
      <c r="Q4946" s="6">
        <v>100</v>
      </c>
      <c r="R4946" s="2"/>
      <c r="S4946" s="5">
        <v>-2.9</v>
      </c>
      <c r="T4946" s="7">
        <v>-2.6779999999999999</v>
      </c>
      <c r="U4946" s="5">
        <v>4.0999999999999996</v>
      </c>
      <c r="V4946" s="7">
        <v>-1.0720000000000001</v>
      </c>
      <c r="W4946" s="6">
        <v>9.75</v>
      </c>
      <c r="X4946" s="7">
        <v>9.734</v>
      </c>
      <c r="Y4946" s="6">
        <v>10.88</v>
      </c>
      <c r="Z4946" s="7">
        <v>10.688000000000001</v>
      </c>
      <c r="AA4946" s="6">
        <v>7.23</v>
      </c>
      <c r="AB4946" s="2" t="s">
        <v>86</v>
      </c>
      <c r="AC4946" s="5">
        <v>70</v>
      </c>
    </row>
    <row r="4947" spans="1:29" ht="117" x14ac:dyDescent="0.15">
      <c r="A4947" s="3">
        <f t="shared" si="108"/>
        <v>36423</v>
      </c>
      <c r="B4947" s="3">
        <f>DATE(1999,11,2)</f>
        <v>36466</v>
      </c>
      <c r="C4947" s="2" t="s">
        <v>95</v>
      </c>
      <c r="D4947" s="2" t="s">
        <v>15297</v>
      </c>
      <c r="E4947" s="2" t="s">
        <v>15298</v>
      </c>
      <c r="F4947" s="4">
        <v>2835</v>
      </c>
      <c r="G4947" s="2" t="s">
        <v>130</v>
      </c>
      <c r="H4947" s="2" t="s">
        <v>34</v>
      </c>
      <c r="I4947" s="2" t="s">
        <v>6675</v>
      </c>
      <c r="J4947" s="2" t="s">
        <v>3812</v>
      </c>
      <c r="K4947" s="2" t="s">
        <v>98</v>
      </c>
      <c r="L4947" s="2" t="s">
        <v>34</v>
      </c>
      <c r="M4947" s="2"/>
      <c r="N4947" s="2"/>
      <c r="O4947" s="2"/>
      <c r="P4947" s="2" t="s">
        <v>15299</v>
      </c>
      <c r="Q4947" s="6">
        <v>100</v>
      </c>
      <c r="R4947" s="6">
        <v>9.5</v>
      </c>
      <c r="S4947" s="5">
        <v>-14.1</v>
      </c>
      <c r="T4947" s="7">
        <v>-13.862</v>
      </c>
      <c r="U4947" s="5">
        <v>-1.4</v>
      </c>
      <c r="V4947" s="6">
        <v>-1.33</v>
      </c>
      <c r="W4947" s="7">
        <v>8.625</v>
      </c>
      <c r="X4947" s="7">
        <v>7.875</v>
      </c>
      <c r="Y4947" s="7">
        <v>9.1560000000000006</v>
      </c>
      <c r="Z4947" s="7">
        <v>9.1880000000000006</v>
      </c>
      <c r="AA4947" s="6">
        <v>10.61</v>
      </c>
      <c r="AB4947" s="2" t="s">
        <v>86</v>
      </c>
      <c r="AC4947" s="2"/>
    </row>
    <row r="4948" spans="1:29" ht="117" x14ac:dyDescent="0.15">
      <c r="A4948" s="3">
        <f t="shared" si="108"/>
        <v>36423</v>
      </c>
      <c r="B4948" s="3">
        <f>DATE(1999,11,22)</f>
        <v>36486</v>
      </c>
      <c r="C4948" s="2" t="s">
        <v>95</v>
      </c>
      <c r="D4948" s="2" t="s">
        <v>15300</v>
      </c>
      <c r="E4948" s="2" t="s">
        <v>15301</v>
      </c>
      <c r="F4948" s="4">
        <v>3053</v>
      </c>
      <c r="G4948" s="2" t="s">
        <v>447</v>
      </c>
      <c r="H4948" s="2" t="s">
        <v>34</v>
      </c>
      <c r="I4948" s="2" t="s">
        <v>647</v>
      </c>
      <c r="J4948" s="2" t="s">
        <v>648</v>
      </c>
      <c r="K4948" s="2" t="s">
        <v>237</v>
      </c>
      <c r="L4948" s="2" t="s">
        <v>133</v>
      </c>
      <c r="M4948" s="2"/>
      <c r="N4948" s="2"/>
      <c r="O4948" s="2"/>
      <c r="P4948" s="2" t="s">
        <v>15302</v>
      </c>
      <c r="Q4948" s="6">
        <v>100</v>
      </c>
      <c r="R4948" s="6">
        <v>25.5</v>
      </c>
      <c r="S4948" s="5">
        <v>22.6</v>
      </c>
      <c r="T4948" s="7">
        <v>65.290999999999997</v>
      </c>
      <c r="U4948" s="5">
        <v>5.7</v>
      </c>
      <c r="V4948" s="6">
        <v>1.22</v>
      </c>
      <c r="W4948" s="4">
        <v>17</v>
      </c>
      <c r="X4948" s="7">
        <v>16.312999999999999</v>
      </c>
      <c r="Y4948" s="7">
        <v>25.125</v>
      </c>
      <c r="Z4948" s="7">
        <v>25.062999999999999</v>
      </c>
      <c r="AA4948" s="6">
        <v>18.510000000000002</v>
      </c>
      <c r="AB4948" s="7">
        <v>15.51</v>
      </c>
      <c r="AC4948" s="10">
        <v>1819.38</v>
      </c>
    </row>
    <row r="4949" spans="1:29" ht="156" x14ac:dyDescent="0.15">
      <c r="A4949" s="3">
        <f t="shared" si="108"/>
        <v>36423</v>
      </c>
      <c r="B4949" s="3">
        <f>DATE(1999,12,30)</f>
        <v>36524</v>
      </c>
      <c r="C4949" s="2" t="s">
        <v>95</v>
      </c>
      <c r="D4949" s="2" t="s">
        <v>15303</v>
      </c>
      <c r="E4949" s="2" t="s">
        <v>15304</v>
      </c>
      <c r="F4949" s="4">
        <v>6311</v>
      </c>
      <c r="G4949" s="2" t="s">
        <v>125</v>
      </c>
      <c r="H4949" s="2" t="s">
        <v>34</v>
      </c>
      <c r="I4949" s="2" t="s">
        <v>15305</v>
      </c>
      <c r="J4949" s="2" t="s">
        <v>3484</v>
      </c>
      <c r="K4949" s="2" t="s">
        <v>125</v>
      </c>
      <c r="L4949" s="2" t="s">
        <v>34</v>
      </c>
      <c r="M4949" s="12">
        <v>7418.2870000000003</v>
      </c>
      <c r="N4949" s="7">
        <v>65.813000000000002</v>
      </c>
      <c r="O4949" s="6">
        <v>64.25</v>
      </c>
      <c r="P4949" s="2" t="s">
        <v>15306</v>
      </c>
      <c r="Q4949" s="6">
        <v>100</v>
      </c>
      <c r="R4949" s="6">
        <v>32</v>
      </c>
      <c r="S4949" s="5">
        <v>16.2</v>
      </c>
      <c r="T4949" s="2"/>
      <c r="U4949" s="5">
        <v>23.9</v>
      </c>
      <c r="V4949" s="6">
        <v>1.76</v>
      </c>
      <c r="W4949" s="5">
        <v>29.5</v>
      </c>
      <c r="X4949" s="7">
        <v>29.375</v>
      </c>
      <c r="Y4949" s="7">
        <v>30.375</v>
      </c>
      <c r="Z4949" s="7">
        <v>30.562999999999999</v>
      </c>
      <c r="AA4949" s="6">
        <v>9.26</v>
      </c>
      <c r="AB4949" s="7">
        <v>16.913</v>
      </c>
      <c r="AC4949" s="5">
        <v>40</v>
      </c>
    </row>
    <row r="4950" spans="1:29" ht="117" x14ac:dyDescent="0.15">
      <c r="A4950" s="3">
        <f t="shared" si="108"/>
        <v>36423</v>
      </c>
      <c r="B4950" s="3">
        <f>DATE(1999,11,16)</f>
        <v>36480</v>
      </c>
      <c r="C4950" s="2" t="s">
        <v>95</v>
      </c>
      <c r="D4950" s="2" t="s">
        <v>15307</v>
      </c>
      <c r="E4950" s="2" t="s">
        <v>15308</v>
      </c>
      <c r="F4950" s="4">
        <v>8711</v>
      </c>
      <c r="G4950" s="2" t="s">
        <v>223</v>
      </c>
      <c r="H4950" s="2" t="s">
        <v>34</v>
      </c>
      <c r="I4950" s="2" t="s">
        <v>7836</v>
      </c>
      <c r="J4950" s="2" t="s">
        <v>7837</v>
      </c>
      <c r="K4950" s="2" t="s">
        <v>223</v>
      </c>
      <c r="L4950" s="2" t="s">
        <v>34</v>
      </c>
      <c r="M4950" s="12">
        <v>10269.251</v>
      </c>
      <c r="N4950" s="7">
        <v>65.188000000000002</v>
      </c>
      <c r="O4950" s="7">
        <v>64.313000000000002</v>
      </c>
      <c r="P4950" s="2" t="s">
        <v>15309</v>
      </c>
      <c r="Q4950" s="6">
        <v>100</v>
      </c>
      <c r="R4950" s="6">
        <v>27.26</v>
      </c>
      <c r="S4950" s="5">
        <v>14.4</v>
      </c>
      <c r="T4950" s="7">
        <v>38.213000000000001</v>
      </c>
      <c r="U4950" s="5">
        <v>12</v>
      </c>
      <c r="V4950" s="6">
        <v>1.02</v>
      </c>
      <c r="W4950" s="4">
        <v>25</v>
      </c>
      <c r="X4950" s="5">
        <v>25.5</v>
      </c>
      <c r="Y4950" s="7">
        <v>25.687999999999999</v>
      </c>
      <c r="Z4950" s="5">
        <v>25.5</v>
      </c>
      <c r="AA4950" s="6">
        <v>14.24</v>
      </c>
      <c r="AB4950" s="7">
        <v>14.093</v>
      </c>
      <c r="AC4950" s="6">
        <v>233.38</v>
      </c>
    </row>
    <row r="4951" spans="1:29" ht="39" x14ac:dyDescent="0.15">
      <c r="A4951" s="3">
        <f t="shared" si="108"/>
        <v>36423</v>
      </c>
      <c r="B4951" s="3">
        <f>DATE(1999,9,20)</f>
        <v>36423</v>
      </c>
      <c r="C4951" s="2" t="s">
        <v>95</v>
      </c>
      <c r="D4951" s="2" t="s">
        <v>15310</v>
      </c>
      <c r="E4951" s="2" t="s">
        <v>15311</v>
      </c>
      <c r="F4951" s="4">
        <v>3646</v>
      </c>
      <c r="G4951" s="2" t="s">
        <v>137</v>
      </c>
      <c r="H4951" s="2" t="s">
        <v>34</v>
      </c>
      <c r="I4951" s="2" t="s">
        <v>15312</v>
      </c>
      <c r="J4951" s="2" t="s">
        <v>15313</v>
      </c>
      <c r="K4951" s="2" t="s">
        <v>137</v>
      </c>
      <c r="L4951" s="2" t="s">
        <v>5907</v>
      </c>
      <c r="M4951" s="2"/>
      <c r="N4951" s="2"/>
      <c r="O4951" s="2"/>
      <c r="P4951" s="2" t="s">
        <v>15314</v>
      </c>
      <c r="Q4951" s="6">
        <v>100</v>
      </c>
      <c r="R4951" s="6">
        <v>4.5</v>
      </c>
      <c r="S4951" s="5">
        <v>-0.6</v>
      </c>
      <c r="T4951" s="7">
        <v>-0.754</v>
      </c>
      <c r="U4951" s="5">
        <v>3</v>
      </c>
      <c r="V4951" s="6">
        <v>-0.48</v>
      </c>
      <c r="W4951" s="6">
        <v>8.25</v>
      </c>
      <c r="X4951" s="6">
        <v>8.25</v>
      </c>
      <c r="Y4951" s="6">
        <v>8.25</v>
      </c>
      <c r="Z4951" s="6">
        <v>8.25</v>
      </c>
      <c r="AA4951" s="6">
        <v>1.24</v>
      </c>
      <c r="AB4951" s="2" t="s">
        <v>86</v>
      </c>
      <c r="AC4951" s="6">
        <v>12.35</v>
      </c>
    </row>
    <row r="4952" spans="1:29" ht="104" x14ac:dyDescent="0.15">
      <c r="A4952" s="3">
        <f t="shared" si="108"/>
        <v>36423</v>
      </c>
      <c r="B4952" s="2"/>
      <c r="C4952" s="2" t="s">
        <v>30</v>
      </c>
      <c r="D4952" s="2" t="s">
        <v>15315</v>
      </c>
      <c r="E4952" s="2" t="s">
        <v>15316</v>
      </c>
      <c r="F4952" s="4">
        <v>4931</v>
      </c>
      <c r="G4952" s="2" t="s">
        <v>439</v>
      </c>
      <c r="H4952" s="2" t="s">
        <v>34</v>
      </c>
      <c r="I4952" s="2" t="s">
        <v>15317</v>
      </c>
      <c r="J4952" s="2" t="s">
        <v>15318</v>
      </c>
      <c r="K4952" s="2" t="s">
        <v>223</v>
      </c>
      <c r="L4952" s="2" t="s">
        <v>133</v>
      </c>
      <c r="M4952" s="2"/>
      <c r="N4952" s="2"/>
      <c r="O4952" s="2"/>
      <c r="P4952" s="2" t="s">
        <v>15319</v>
      </c>
      <c r="Q4952" s="2"/>
      <c r="R4952" s="6">
        <v>22</v>
      </c>
      <c r="S4952" s="5">
        <v>17.8</v>
      </c>
      <c r="T4952" s="7">
        <v>56.988999999999997</v>
      </c>
      <c r="U4952" s="5">
        <v>12.9</v>
      </c>
      <c r="V4952" s="6">
        <v>1.49</v>
      </c>
      <c r="W4952" s="6">
        <v>18.25</v>
      </c>
      <c r="X4952" s="6">
        <v>19.25</v>
      </c>
      <c r="Y4952" s="9">
        <v>22.1875</v>
      </c>
      <c r="Z4952" s="5">
        <v>22.5</v>
      </c>
      <c r="AA4952" s="6">
        <v>12.36</v>
      </c>
      <c r="AB4952" s="7">
        <v>20.568999999999999</v>
      </c>
      <c r="AC4952" s="6">
        <v>102.96</v>
      </c>
    </row>
    <row r="4953" spans="1:29" ht="91" x14ac:dyDescent="0.15">
      <c r="A4953" s="3">
        <f>DATE(1999,9,21)</f>
        <v>36424</v>
      </c>
      <c r="B4953" s="3">
        <f>DATE(2000,2,29)</f>
        <v>36585</v>
      </c>
      <c r="C4953" s="2" t="s">
        <v>95</v>
      </c>
      <c r="D4953" s="2" t="s">
        <v>15320</v>
      </c>
      <c r="E4953" s="2" t="s">
        <v>203</v>
      </c>
      <c r="F4953" s="4">
        <v>6035</v>
      </c>
      <c r="G4953" s="2" t="s">
        <v>33</v>
      </c>
      <c r="H4953" s="2" t="s">
        <v>34</v>
      </c>
      <c r="I4953" s="2" t="s">
        <v>15321</v>
      </c>
      <c r="J4953" s="2" t="s">
        <v>1181</v>
      </c>
      <c r="K4953" s="2" t="s">
        <v>37</v>
      </c>
      <c r="L4953" s="2" t="s">
        <v>34</v>
      </c>
      <c r="M4953" s="6">
        <v>57.93</v>
      </c>
      <c r="N4953" s="5">
        <v>16.5</v>
      </c>
      <c r="O4953" s="5">
        <v>15.5</v>
      </c>
      <c r="P4953" s="2" t="s">
        <v>15322</v>
      </c>
      <c r="Q4953" s="6">
        <v>100</v>
      </c>
      <c r="R4953" s="6">
        <v>18.36</v>
      </c>
      <c r="S4953" s="5">
        <v>0.6</v>
      </c>
      <c r="T4953" s="6">
        <v>1.1399999999999999</v>
      </c>
      <c r="U4953" s="5">
        <v>15.4</v>
      </c>
      <c r="V4953" s="6">
        <v>0.83</v>
      </c>
      <c r="W4953" s="7">
        <v>11.125</v>
      </c>
      <c r="X4953" s="4">
        <v>11</v>
      </c>
      <c r="Y4953" s="6">
        <v>10.75</v>
      </c>
      <c r="Z4953" s="4">
        <v>15</v>
      </c>
      <c r="AA4953" s="6">
        <v>0.7</v>
      </c>
      <c r="AB4953" s="7">
        <v>40.030999999999999</v>
      </c>
      <c r="AC4953" s="2"/>
    </row>
    <row r="4954" spans="1:29" ht="65" x14ac:dyDescent="0.15">
      <c r="A4954" s="3">
        <f>DATE(1999,9,22)</f>
        <v>36425</v>
      </c>
      <c r="B4954" s="3">
        <f>DATE(2000,10,11)</f>
        <v>36810</v>
      </c>
      <c r="C4954" s="2" t="s">
        <v>95</v>
      </c>
      <c r="D4954" s="2" t="s">
        <v>15323</v>
      </c>
      <c r="E4954" s="2" t="s">
        <v>15324</v>
      </c>
      <c r="F4954" s="4">
        <v>3827</v>
      </c>
      <c r="G4954" s="2" t="s">
        <v>226</v>
      </c>
      <c r="H4954" s="2" t="s">
        <v>34</v>
      </c>
      <c r="I4954" s="2" t="s">
        <v>15325</v>
      </c>
      <c r="J4954" s="2" t="s">
        <v>15326</v>
      </c>
      <c r="K4954" s="2" t="s">
        <v>226</v>
      </c>
      <c r="L4954" s="2" t="s">
        <v>34</v>
      </c>
      <c r="M4954" s="7">
        <v>88.322000000000003</v>
      </c>
      <c r="N4954" s="7">
        <v>11.625</v>
      </c>
      <c r="O4954" s="7">
        <v>11.125</v>
      </c>
      <c r="P4954" s="2" t="s">
        <v>15327</v>
      </c>
      <c r="Q4954" s="6">
        <v>100</v>
      </c>
      <c r="R4954" s="6">
        <v>4.32</v>
      </c>
      <c r="S4954" s="5">
        <v>-7</v>
      </c>
      <c r="T4954" s="5">
        <v>-0.8</v>
      </c>
      <c r="U4954" s="5">
        <v>1.3</v>
      </c>
      <c r="V4954" s="6">
        <v>-0.85</v>
      </c>
      <c r="W4954" s="6">
        <v>1.25</v>
      </c>
      <c r="X4954" s="6">
        <v>1.25</v>
      </c>
      <c r="Y4954" s="7">
        <v>2.375</v>
      </c>
      <c r="Z4954" s="4">
        <v>2</v>
      </c>
      <c r="AA4954" s="6">
        <v>8.48</v>
      </c>
      <c r="AB4954" s="2" t="s">
        <v>86</v>
      </c>
      <c r="AC4954" s="6">
        <v>5.56</v>
      </c>
    </row>
    <row r="4955" spans="1:29" ht="104" x14ac:dyDescent="0.15">
      <c r="A4955" s="3">
        <f>DATE(1999,9,22)</f>
        <v>36425</v>
      </c>
      <c r="B4955" s="3">
        <f>DATE(2000,3,1)</f>
        <v>36586</v>
      </c>
      <c r="C4955" s="2" t="s">
        <v>95</v>
      </c>
      <c r="D4955" s="2" t="s">
        <v>5739</v>
      </c>
      <c r="E4955" s="2" t="s">
        <v>1181</v>
      </c>
      <c r="F4955" s="4">
        <v>6021</v>
      </c>
      <c r="G4955" s="2" t="s">
        <v>37</v>
      </c>
      <c r="H4955" s="2" t="s">
        <v>34</v>
      </c>
      <c r="I4955" s="2" t="s">
        <v>15328</v>
      </c>
      <c r="J4955" s="2" t="s">
        <v>36</v>
      </c>
      <c r="K4955" s="2" t="s">
        <v>37</v>
      </c>
      <c r="L4955" s="2" t="s">
        <v>34</v>
      </c>
      <c r="M4955" s="12">
        <v>1617.9480000000001</v>
      </c>
      <c r="N4955" s="7">
        <v>30.812999999999999</v>
      </c>
      <c r="O4955" s="7">
        <v>31.312999999999999</v>
      </c>
      <c r="P4955" s="2" t="s">
        <v>15329</v>
      </c>
      <c r="Q4955" s="6">
        <v>100</v>
      </c>
      <c r="R4955" s="6">
        <v>29</v>
      </c>
      <c r="S4955" s="5">
        <v>3.2</v>
      </c>
      <c r="T4955" s="2"/>
      <c r="U4955" s="5">
        <v>14.4</v>
      </c>
      <c r="V4955" s="7">
        <v>0.58499999999999996</v>
      </c>
      <c r="W4955" s="7">
        <v>19.375</v>
      </c>
      <c r="X4955" s="7">
        <v>20.375</v>
      </c>
      <c r="Y4955" s="4">
        <v>25</v>
      </c>
      <c r="Z4955" s="6">
        <v>25.25</v>
      </c>
      <c r="AA4955" s="6">
        <v>5</v>
      </c>
      <c r="AB4955" s="7">
        <v>18.542999999999999</v>
      </c>
      <c r="AC4955" s="2"/>
    </row>
    <row r="4956" spans="1:29" ht="117" x14ac:dyDescent="0.15">
      <c r="A4956" s="3">
        <f>DATE(1999,9,22)</f>
        <v>36425</v>
      </c>
      <c r="B4956" s="3">
        <f>DATE(1999,11,23)</f>
        <v>36487</v>
      </c>
      <c r="C4956" s="2" t="s">
        <v>95</v>
      </c>
      <c r="D4956" s="2" t="s">
        <v>15330</v>
      </c>
      <c r="E4956" s="2" t="s">
        <v>839</v>
      </c>
      <c r="F4956" s="4">
        <v>2834</v>
      </c>
      <c r="G4956" s="2" t="s">
        <v>130</v>
      </c>
      <c r="H4956" s="2" t="s">
        <v>34</v>
      </c>
      <c r="I4956" s="2" t="s">
        <v>15331</v>
      </c>
      <c r="J4956" s="2" t="s">
        <v>15332</v>
      </c>
      <c r="K4956" s="2" t="s">
        <v>130</v>
      </c>
      <c r="L4956" s="2" t="s">
        <v>34</v>
      </c>
      <c r="M4956" s="10">
        <v>6512.45</v>
      </c>
      <c r="N4956" s="6">
        <v>109.25</v>
      </c>
      <c r="O4956" s="6">
        <v>106.75</v>
      </c>
      <c r="P4956" s="2" t="s">
        <v>15333</v>
      </c>
      <c r="Q4956" s="6">
        <v>100</v>
      </c>
      <c r="R4956" s="6">
        <v>15.31</v>
      </c>
      <c r="S4956" s="5">
        <v>-10.7</v>
      </c>
      <c r="T4956" s="7">
        <v>-12.333</v>
      </c>
      <c r="U4956" s="5">
        <v>2</v>
      </c>
      <c r="V4956" s="6">
        <v>-0.43</v>
      </c>
      <c r="W4956" s="7">
        <v>11.875</v>
      </c>
      <c r="X4956" s="5">
        <v>11.5</v>
      </c>
      <c r="Y4956" s="7">
        <v>14.125</v>
      </c>
      <c r="Z4956" s="7">
        <v>14.375</v>
      </c>
      <c r="AA4956" s="6">
        <v>27.36</v>
      </c>
      <c r="AB4956" s="2" t="s">
        <v>86</v>
      </c>
      <c r="AC4956" s="6">
        <v>184.23</v>
      </c>
    </row>
    <row r="4957" spans="1:29" ht="156" x14ac:dyDescent="0.15">
      <c r="A4957" s="3">
        <f>DATE(1999,9,23)</f>
        <v>36426</v>
      </c>
      <c r="B4957" s="3">
        <f>DATE(2000,2,4)</f>
        <v>36560</v>
      </c>
      <c r="C4957" s="2" t="s">
        <v>95</v>
      </c>
      <c r="D4957" s="2" t="s">
        <v>14711</v>
      </c>
      <c r="E4957" s="2" t="s">
        <v>7853</v>
      </c>
      <c r="F4957" s="4">
        <v>7375</v>
      </c>
      <c r="G4957" s="2" t="s">
        <v>223</v>
      </c>
      <c r="H4957" s="2" t="s">
        <v>34</v>
      </c>
      <c r="I4957" s="2" t="s">
        <v>15334</v>
      </c>
      <c r="J4957" s="2" t="s">
        <v>10711</v>
      </c>
      <c r="K4957" s="2" t="s">
        <v>223</v>
      </c>
      <c r="L4957" s="2" t="s">
        <v>34</v>
      </c>
      <c r="M4957" s="12">
        <v>2002.394</v>
      </c>
      <c r="N4957" s="7">
        <v>27.375</v>
      </c>
      <c r="O4957" s="9">
        <v>30.0625</v>
      </c>
      <c r="P4957" s="2" t="s">
        <v>15335</v>
      </c>
      <c r="Q4957" s="6">
        <v>100</v>
      </c>
      <c r="R4957" s="6">
        <v>53.09</v>
      </c>
      <c r="S4957" s="2"/>
      <c r="T4957" s="2"/>
      <c r="U4957" s="2"/>
      <c r="V4957" s="2"/>
      <c r="W4957" s="7">
        <v>26.875</v>
      </c>
      <c r="X4957" s="7">
        <v>32.875</v>
      </c>
      <c r="Y4957" s="7">
        <v>27.375</v>
      </c>
      <c r="Z4957" s="7">
        <v>30.062999999999999</v>
      </c>
      <c r="AA4957" s="6">
        <v>44.76</v>
      </c>
      <c r="AB4957" s="2" t="s">
        <v>47</v>
      </c>
      <c r="AC4957" s="6">
        <v>388.03</v>
      </c>
    </row>
    <row r="4958" spans="1:29" ht="130" x14ac:dyDescent="0.15">
      <c r="A4958" s="3">
        <f>DATE(1999,9,23)</f>
        <v>36426</v>
      </c>
      <c r="B4958" s="3">
        <f>DATE(1999,11,4)</f>
        <v>36468</v>
      </c>
      <c r="C4958" s="2" t="s">
        <v>95</v>
      </c>
      <c r="D4958" s="2" t="s">
        <v>15336</v>
      </c>
      <c r="E4958" s="2" t="s">
        <v>2800</v>
      </c>
      <c r="F4958" s="4">
        <v>6162</v>
      </c>
      <c r="G4958" s="2" t="s">
        <v>109</v>
      </c>
      <c r="H4958" s="2" t="s">
        <v>34</v>
      </c>
      <c r="I4958" s="2" t="s">
        <v>15337</v>
      </c>
      <c r="J4958" s="2" t="s">
        <v>3016</v>
      </c>
      <c r="K4958" s="2" t="s">
        <v>370</v>
      </c>
      <c r="L4958" s="2" t="s">
        <v>34</v>
      </c>
      <c r="M4958" s="2"/>
      <c r="N4958" s="2"/>
      <c r="O4958" s="2"/>
      <c r="P4958" s="2" t="s">
        <v>15338</v>
      </c>
      <c r="Q4958" s="6">
        <v>100</v>
      </c>
      <c r="R4958" s="6">
        <v>24.5</v>
      </c>
      <c r="S4958" s="5">
        <v>10.7</v>
      </c>
      <c r="T4958" s="7">
        <v>22.158999999999999</v>
      </c>
      <c r="U4958" s="5">
        <v>13.1</v>
      </c>
      <c r="V4958" s="6">
        <v>1.46</v>
      </c>
      <c r="W4958" s="4">
        <v>18</v>
      </c>
      <c r="X4958" s="6">
        <v>17.75</v>
      </c>
      <c r="Y4958" s="4">
        <v>24</v>
      </c>
      <c r="Z4958" s="7">
        <v>23.937999999999999</v>
      </c>
      <c r="AA4958" s="6">
        <v>6.98</v>
      </c>
      <c r="AB4958" s="7">
        <v>19.818000000000001</v>
      </c>
      <c r="AC4958" s="2"/>
    </row>
    <row r="4959" spans="1:29" ht="39" x14ac:dyDescent="0.15">
      <c r="A4959" s="3">
        <f>DATE(1999,9,23)</f>
        <v>36426</v>
      </c>
      <c r="B4959" s="3">
        <f>DATE(1999,12,21)</f>
        <v>36515</v>
      </c>
      <c r="C4959" s="2" t="s">
        <v>95</v>
      </c>
      <c r="D4959" s="2" t="s">
        <v>15339</v>
      </c>
      <c r="E4959" s="2" t="s">
        <v>15340</v>
      </c>
      <c r="F4959" s="4">
        <v>3841</v>
      </c>
      <c r="G4959" s="2" t="s">
        <v>226</v>
      </c>
      <c r="H4959" s="2" t="s">
        <v>34</v>
      </c>
      <c r="I4959" s="2" t="s">
        <v>15341</v>
      </c>
      <c r="J4959" s="2" t="s">
        <v>15342</v>
      </c>
      <c r="K4959" s="2" t="s">
        <v>226</v>
      </c>
      <c r="L4959" s="2" t="s">
        <v>34</v>
      </c>
      <c r="M4959" s="7">
        <v>12.153</v>
      </c>
      <c r="N4959" s="7">
        <v>2.9380000000000002</v>
      </c>
      <c r="O4959" s="7">
        <v>2.875</v>
      </c>
      <c r="P4959" s="2" t="s">
        <v>15343</v>
      </c>
      <c r="Q4959" s="6">
        <v>100</v>
      </c>
      <c r="R4959" s="6">
        <v>2.15</v>
      </c>
      <c r="S4959" s="5">
        <v>-0.6</v>
      </c>
      <c r="T4959" s="7">
        <v>0.67700000000000005</v>
      </c>
      <c r="U4959" s="5">
        <v>0.2</v>
      </c>
      <c r="V4959" s="6">
        <v>-0.1</v>
      </c>
      <c r="W4959" s="7">
        <v>1.4379999999999999</v>
      </c>
      <c r="X4959" s="7">
        <v>1.5629999999999999</v>
      </c>
      <c r="Y4959" s="7">
        <v>1.875</v>
      </c>
      <c r="Z4959" s="7">
        <v>1.8129999999999999</v>
      </c>
      <c r="AA4959" s="6">
        <v>7.15</v>
      </c>
      <c r="AB4959" s="2" t="s">
        <v>86</v>
      </c>
      <c r="AC4959" s="6">
        <v>29.02</v>
      </c>
    </row>
    <row r="4960" spans="1:29" ht="78" x14ac:dyDescent="0.15">
      <c r="A4960" s="3">
        <f>DATE(1999,9,23)</f>
        <v>36426</v>
      </c>
      <c r="B4960" s="2"/>
      <c r="C4960" s="2" t="s">
        <v>30</v>
      </c>
      <c r="D4960" s="2" t="s">
        <v>15344</v>
      </c>
      <c r="E4960" s="2" t="s">
        <v>15345</v>
      </c>
      <c r="F4960" s="4">
        <v>3448</v>
      </c>
      <c r="G4960" s="2" t="s">
        <v>163</v>
      </c>
      <c r="H4960" s="2" t="s">
        <v>34</v>
      </c>
      <c r="I4960" s="2" t="s">
        <v>15346</v>
      </c>
      <c r="J4960" s="2" t="s">
        <v>15347</v>
      </c>
      <c r="K4960" s="2" t="s">
        <v>250</v>
      </c>
      <c r="L4960" s="2" t="s">
        <v>34</v>
      </c>
      <c r="M4960" s="7">
        <v>90.698999999999998</v>
      </c>
      <c r="N4960" s="7">
        <v>7.625</v>
      </c>
      <c r="O4960" s="7">
        <v>7.6879999999999997</v>
      </c>
      <c r="P4960" s="2" t="s">
        <v>15348</v>
      </c>
      <c r="Q4960" s="2"/>
      <c r="R4960" s="6">
        <v>7.15</v>
      </c>
      <c r="S4960" s="5">
        <v>2.5</v>
      </c>
      <c r="T4960" s="7">
        <v>6.0279999999999996</v>
      </c>
      <c r="U4960" s="5">
        <v>5.5</v>
      </c>
      <c r="V4960" s="6">
        <v>0.71</v>
      </c>
      <c r="W4960" s="5">
        <v>6.5</v>
      </c>
      <c r="X4960" s="7">
        <v>6.375</v>
      </c>
      <c r="Y4960" s="9">
        <v>6.3125</v>
      </c>
      <c r="Z4960" s="9">
        <v>6.4375</v>
      </c>
      <c r="AA4960" s="6">
        <v>3.55</v>
      </c>
      <c r="AB4960" s="7">
        <v>6.7569999999999997</v>
      </c>
      <c r="AC4960" s="5">
        <v>0.7</v>
      </c>
    </row>
    <row r="4961" spans="1:29" ht="312" x14ac:dyDescent="0.15">
      <c r="A4961" s="3">
        <f>DATE(1999,9,23)</f>
        <v>36426</v>
      </c>
      <c r="B4961" s="3">
        <f>DATE(2000,10,20)</f>
        <v>36819</v>
      </c>
      <c r="C4961" s="2" t="s">
        <v>95</v>
      </c>
      <c r="D4961" s="2" t="s">
        <v>15349</v>
      </c>
      <c r="E4961" s="2" t="s">
        <v>15350</v>
      </c>
      <c r="F4961" s="4">
        <v>4911</v>
      </c>
      <c r="G4961" s="2" t="s">
        <v>439</v>
      </c>
      <c r="H4961" s="2" t="s">
        <v>34</v>
      </c>
      <c r="I4961" s="2" t="s">
        <v>15351</v>
      </c>
      <c r="J4961" s="2" t="s">
        <v>441</v>
      </c>
      <c r="K4961" s="2" t="s">
        <v>439</v>
      </c>
      <c r="L4961" s="2" t="s">
        <v>34</v>
      </c>
      <c r="M4961" s="2"/>
      <c r="N4961" s="9">
        <v>36.4375</v>
      </c>
      <c r="O4961" s="7">
        <v>37.875</v>
      </c>
      <c r="P4961" s="2" t="s">
        <v>15352</v>
      </c>
      <c r="Q4961" s="6">
        <v>100</v>
      </c>
      <c r="R4961" s="6">
        <v>33.9</v>
      </c>
      <c r="S4961" s="5">
        <v>650.70000000000005</v>
      </c>
      <c r="T4961" s="12">
        <v>2428.7040000000002</v>
      </c>
      <c r="U4961" s="5">
        <v>24.5</v>
      </c>
      <c r="V4961" s="6">
        <v>2.74</v>
      </c>
      <c r="W4961" s="7">
        <v>38.875</v>
      </c>
      <c r="X4961" s="7">
        <v>37.063000000000002</v>
      </c>
      <c r="Y4961" s="6">
        <v>36.25</v>
      </c>
      <c r="Z4961" s="9">
        <v>36.9375</v>
      </c>
      <c r="AA4961" s="6">
        <v>217.35</v>
      </c>
      <c r="AB4961" s="7">
        <v>9.202</v>
      </c>
      <c r="AC4961" s="2"/>
    </row>
    <row r="4962" spans="1:29" ht="208" x14ac:dyDescent="0.15">
      <c r="A4962" s="3">
        <f>DATE(1999,9,24)</f>
        <v>36427</v>
      </c>
      <c r="B4962" s="3">
        <f>DATE(1999,11,18)</f>
        <v>36482</v>
      </c>
      <c r="C4962" s="2" t="s">
        <v>95</v>
      </c>
      <c r="D4962" s="2" t="s">
        <v>14883</v>
      </c>
      <c r="E4962" s="2" t="s">
        <v>14884</v>
      </c>
      <c r="F4962" s="4">
        <v>1021</v>
      </c>
      <c r="G4962" s="2" t="s">
        <v>166</v>
      </c>
      <c r="H4962" s="2" t="s">
        <v>34</v>
      </c>
      <c r="I4962" s="2" t="s">
        <v>15353</v>
      </c>
      <c r="J4962" s="2" t="s">
        <v>15354</v>
      </c>
      <c r="K4962" s="2" t="s">
        <v>163</v>
      </c>
      <c r="L4962" s="2" t="s">
        <v>4389</v>
      </c>
      <c r="M4962" s="2"/>
      <c r="N4962" s="2"/>
      <c r="O4962" s="2"/>
      <c r="P4962" s="2" t="s">
        <v>15355</v>
      </c>
      <c r="Q4962" s="6">
        <v>90.48</v>
      </c>
      <c r="R4962" s="6">
        <v>29.75</v>
      </c>
      <c r="S4962" s="5">
        <v>-140.69999999999999</v>
      </c>
      <c r="T4962" s="7">
        <v>142.88399999999999</v>
      </c>
      <c r="U4962" s="5">
        <v>36.700000000000003</v>
      </c>
      <c r="V4962" s="6">
        <v>-3.54</v>
      </c>
      <c r="W4962" s="9">
        <v>20.0625</v>
      </c>
      <c r="X4962" s="4">
        <v>19</v>
      </c>
      <c r="Y4962" s="6">
        <v>19.25</v>
      </c>
      <c r="Z4962" s="7">
        <v>18.562999999999999</v>
      </c>
      <c r="AA4962" s="6">
        <v>39.78</v>
      </c>
      <c r="AB4962" s="2" t="s">
        <v>86</v>
      </c>
      <c r="AC4962" s="6">
        <v>665.58</v>
      </c>
    </row>
    <row r="4963" spans="1:29" ht="91" x14ac:dyDescent="0.15">
      <c r="A4963" s="3">
        <f>DATE(1999,9,24)</f>
        <v>36427</v>
      </c>
      <c r="B4963" s="3">
        <f>DATE(2000,3,1)</f>
        <v>36586</v>
      </c>
      <c r="C4963" s="2" t="s">
        <v>95</v>
      </c>
      <c r="D4963" s="2" t="s">
        <v>15356</v>
      </c>
      <c r="E4963" s="2" t="s">
        <v>92</v>
      </c>
      <c r="F4963" s="4">
        <v>6798</v>
      </c>
      <c r="G4963" s="2" t="s">
        <v>53</v>
      </c>
      <c r="H4963" s="2" t="s">
        <v>34</v>
      </c>
      <c r="I4963" s="2" t="s">
        <v>15357</v>
      </c>
      <c r="J4963" s="2" t="s">
        <v>2071</v>
      </c>
      <c r="K4963" s="2" t="s">
        <v>109</v>
      </c>
      <c r="L4963" s="2" t="s">
        <v>34</v>
      </c>
      <c r="M4963" s="2"/>
      <c r="N4963" s="2"/>
      <c r="O4963" s="2"/>
      <c r="P4963" s="2" t="s">
        <v>15358</v>
      </c>
      <c r="Q4963" s="6">
        <v>100</v>
      </c>
      <c r="R4963" s="6">
        <v>23.25</v>
      </c>
      <c r="S4963" s="5">
        <v>32.200000000000003</v>
      </c>
      <c r="T4963" s="7">
        <v>94.096000000000004</v>
      </c>
      <c r="U4963" s="5">
        <v>22.5</v>
      </c>
      <c r="V4963" s="6">
        <v>0.79</v>
      </c>
      <c r="W4963" s="7">
        <v>20.437999999999999</v>
      </c>
      <c r="X4963" s="7">
        <v>21.625</v>
      </c>
      <c r="Y4963" s="6">
        <v>21.75</v>
      </c>
      <c r="Z4963" s="7">
        <v>21.375</v>
      </c>
      <c r="AA4963" s="6">
        <v>25.29</v>
      </c>
      <c r="AB4963" s="7">
        <v>52.13</v>
      </c>
      <c r="AC4963" s="2"/>
    </row>
    <row r="4964" spans="1:29" ht="169" x14ac:dyDescent="0.15">
      <c r="A4964" s="3">
        <f>DATE(1999,9,27)</f>
        <v>36430</v>
      </c>
      <c r="B4964" s="2"/>
      <c r="C4964" s="2" t="s">
        <v>30</v>
      </c>
      <c r="D4964" s="2" t="s">
        <v>14987</v>
      </c>
      <c r="E4964" s="2" t="s">
        <v>11435</v>
      </c>
      <c r="F4964" s="4">
        <v>8741</v>
      </c>
      <c r="G4964" s="2" t="s">
        <v>223</v>
      </c>
      <c r="H4964" s="2" t="s">
        <v>34</v>
      </c>
      <c r="I4964" s="2" t="s">
        <v>15359</v>
      </c>
      <c r="J4964" s="2" t="s">
        <v>15257</v>
      </c>
      <c r="K4964" s="2" t="s">
        <v>223</v>
      </c>
      <c r="L4964" s="2" t="s">
        <v>34</v>
      </c>
      <c r="M4964" s="2"/>
      <c r="N4964" s="2"/>
      <c r="O4964" s="2"/>
      <c r="P4964" s="2" t="s">
        <v>15360</v>
      </c>
      <c r="Q4964" s="2"/>
      <c r="R4964" s="6">
        <v>7.75</v>
      </c>
      <c r="S4964" s="5">
        <v>0.9</v>
      </c>
      <c r="T4964" s="7">
        <v>3.9750000000000001</v>
      </c>
      <c r="U4964" s="5">
        <v>6.5</v>
      </c>
      <c r="V4964" s="6">
        <v>0.2</v>
      </c>
      <c r="W4964" s="6">
        <v>4.25</v>
      </c>
      <c r="X4964" s="4">
        <v>4</v>
      </c>
      <c r="Y4964" s="7">
        <v>5.125</v>
      </c>
      <c r="Z4964" s="6">
        <v>4.75</v>
      </c>
      <c r="AA4964" s="6">
        <v>4.41</v>
      </c>
      <c r="AB4964" s="7">
        <v>13.835000000000001</v>
      </c>
      <c r="AC4964" s="2"/>
    </row>
    <row r="4965" spans="1:29" ht="52" x14ac:dyDescent="0.15">
      <c r="A4965" s="3">
        <f>DATE(1999,9,28)</f>
        <v>36431</v>
      </c>
      <c r="B4965" s="2"/>
      <c r="C4965" s="2" t="s">
        <v>30</v>
      </c>
      <c r="D4965" s="2" t="s">
        <v>15361</v>
      </c>
      <c r="E4965" s="2" t="s">
        <v>15362</v>
      </c>
      <c r="F4965" s="4">
        <v>5921</v>
      </c>
      <c r="G4965" s="2" t="s">
        <v>73</v>
      </c>
      <c r="H4965" s="2" t="s">
        <v>34</v>
      </c>
      <c r="I4965" s="2" t="s">
        <v>15363</v>
      </c>
      <c r="J4965" s="2" t="s">
        <v>15364</v>
      </c>
      <c r="K4965" s="2" t="s">
        <v>593</v>
      </c>
      <c r="L4965" s="2" t="s">
        <v>34</v>
      </c>
      <c r="M4965" s="2"/>
      <c r="N4965" s="2"/>
      <c r="O4965" s="2"/>
      <c r="P4965" s="2" t="s">
        <v>15365</v>
      </c>
      <c r="Q4965" s="2"/>
      <c r="R4965" s="6">
        <v>10</v>
      </c>
      <c r="S4965" s="5">
        <v>0.6</v>
      </c>
      <c r="T4965" s="7">
        <v>1.4410000000000001</v>
      </c>
      <c r="U4965" s="5">
        <v>3</v>
      </c>
      <c r="V4965" s="7">
        <v>0.14899999999999999</v>
      </c>
      <c r="W4965" s="7">
        <v>7.875</v>
      </c>
      <c r="X4965" s="7">
        <v>7.8440000000000003</v>
      </c>
      <c r="Y4965" s="6">
        <v>8.75</v>
      </c>
      <c r="Z4965" s="9">
        <v>8.8125</v>
      </c>
      <c r="AA4965" s="6">
        <v>3.85</v>
      </c>
      <c r="AB4965" s="7">
        <v>39.125</v>
      </c>
      <c r="AC4965" s="2"/>
    </row>
    <row r="4966" spans="1:29" ht="117" x14ac:dyDescent="0.15">
      <c r="A4966" s="3">
        <f>DATE(1999,9,28)</f>
        <v>36431</v>
      </c>
      <c r="B4966" s="3">
        <f>DATE(2000,1,24)</f>
        <v>36549</v>
      </c>
      <c r="C4966" s="2" t="s">
        <v>95</v>
      </c>
      <c r="D4966" s="2" t="s">
        <v>15366</v>
      </c>
      <c r="E4966" s="2" t="s">
        <v>15367</v>
      </c>
      <c r="F4966" s="4">
        <v>7372</v>
      </c>
      <c r="G4966" s="2" t="s">
        <v>551</v>
      </c>
      <c r="H4966" s="2" t="s">
        <v>34</v>
      </c>
      <c r="I4966" s="2" t="s">
        <v>13920</v>
      </c>
      <c r="J4966" s="2" t="s">
        <v>13921</v>
      </c>
      <c r="K4966" s="2" t="s">
        <v>921</v>
      </c>
      <c r="L4966" s="2" t="s">
        <v>133</v>
      </c>
      <c r="M4966" s="2"/>
      <c r="N4966" s="2"/>
      <c r="O4966" s="2"/>
      <c r="P4966" s="2" t="s">
        <v>15368</v>
      </c>
      <c r="Q4966" s="6">
        <v>100</v>
      </c>
      <c r="R4966" s="6">
        <v>52.08</v>
      </c>
      <c r="S4966" s="5">
        <v>-2.6</v>
      </c>
      <c r="T4966" s="7">
        <v>15.173</v>
      </c>
      <c r="U4966" s="5">
        <v>4.4000000000000004</v>
      </c>
      <c r="V4966" s="7">
        <v>-0.112</v>
      </c>
      <c r="W4966" s="7">
        <v>36.625</v>
      </c>
      <c r="X4966" s="7">
        <v>40.875</v>
      </c>
      <c r="Y4966" s="6">
        <v>44.75</v>
      </c>
      <c r="Z4966" s="4">
        <v>45</v>
      </c>
      <c r="AA4966" s="6">
        <v>25.37</v>
      </c>
      <c r="AB4966" s="7">
        <v>277.00299999999999</v>
      </c>
      <c r="AC4966" s="10">
        <v>4449.57</v>
      </c>
    </row>
    <row r="4967" spans="1:29" ht="130" x14ac:dyDescent="0.15">
      <c r="A4967" s="3">
        <f>DATE(1999,9,28)</f>
        <v>36431</v>
      </c>
      <c r="B4967" s="3">
        <f>DATE(1999,12,10)</f>
        <v>36504</v>
      </c>
      <c r="C4967" s="2" t="s">
        <v>95</v>
      </c>
      <c r="D4967" s="2" t="s">
        <v>11002</v>
      </c>
      <c r="E4967" s="2" t="s">
        <v>367</v>
      </c>
      <c r="F4967" s="4">
        <v>6211</v>
      </c>
      <c r="G4967" s="2" t="s">
        <v>53</v>
      </c>
      <c r="H4967" s="2" t="s">
        <v>34</v>
      </c>
      <c r="I4967" s="2" t="s">
        <v>11760</v>
      </c>
      <c r="J4967" s="2" t="s">
        <v>36</v>
      </c>
      <c r="K4967" s="2" t="s">
        <v>37</v>
      </c>
      <c r="L4967" s="2" t="s">
        <v>34</v>
      </c>
      <c r="M4967" s="12">
        <v>69660.989000000001</v>
      </c>
      <c r="N4967" s="7">
        <v>73.813000000000002</v>
      </c>
      <c r="O4967" s="4">
        <v>73</v>
      </c>
      <c r="P4967" s="2" t="s">
        <v>15369</v>
      </c>
      <c r="Q4967" s="6">
        <v>100</v>
      </c>
      <c r="R4967" s="6">
        <v>50</v>
      </c>
      <c r="S4967" s="5">
        <v>40.200000000000003</v>
      </c>
      <c r="T4967" s="7">
        <v>81.694999999999993</v>
      </c>
      <c r="U4967" s="5">
        <v>14.4</v>
      </c>
      <c r="V4967" s="6">
        <v>1.51</v>
      </c>
      <c r="W4967" s="7">
        <v>39.625</v>
      </c>
      <c r="X4967" s="7">
        <v>41.063000000000002</v>
      </c>
      <c r="Y4967" s="9">
        <v>48.6875</v>
      </c>
      <c r="Z4967" s="7">
        <v>48.375</v>
      </c>
      <c r="AA4967" s="6">
        <v>24.44</v>
      </c>
      <c r="AB4967" s="7">
        <v>17.832999999999998</v>
      </c>
      <c r="AC4967" s="2"/>
    </row>
    <row r="4968" spans="1:29" ht="104" x14ac:dyDescent="0.15">
      <c r="A4968" s="3">
        <f>DATE(1999,9,28)</f>
        <v>36431</v>
      </c>
      <c r="B4968" s="3">
        <f>DATE(2000,1,31)</f>
        <v>36556</v>
      </c>
      <c r="C4968" s="2" t="s">
        <v>95</v>
      </c>
      <c r="D4968" s="2" t="s">
        <v>15370</v>
      </c>
      <c r="E4968" s="2" t="s">
        <v>15371</v>
      </c>
      <c r="F4968" s="4">
        <v>2511</v>
      </c>
      <c r="G4968" s="2" t="s">
        <v>250</v>
      </c>
      <c r="H4968" s="2" t="s">
        <v>34</v>
      </c>
      <c r="I4968" s="2" t="s">
        <v>15372</v>
      </c>
      <c r="J4968" s="2" t="s">
        <v>15373</v>
      </c>
      <c r="K4968" s="2" t="s">
        <v>250</v>
      </c>
      <c r="L4968" s="2" t="s">
        <v>34</v>
      </c>
      <c r="M4968" s="12">
        <v>1145.903</v>
      </c>
      <c r="N4968" s="7">
        <v>20.625</v>
      </c>
      <c r="O4968" s="7">
        <v>19.312999999999999</v>
      </c>
      <c r="P4968" s="2" t="s">
        <v>15374</v>
      </c>
      <c r="Q4968" s="6">
        <v>100</v>
      </c>
      <c r="R4968" s="6">
        <v>23.9</v>
      </c>
      <c r="S4968" s="5">
        <v>14.9</v>
      </c>
      <c r="T4968" s="7">
        <v>46.487000000000002</v>
      </c>
      <c r="U4968" s="5">
        <v>19.5</v>
      </c>
      <c r="V4968" s="6">
        <v>1.87</v>
      </c>
      <c r="W4968" s="7">
        <v>19.875</v>
      </c>
      <c r="X4968" s="6">
        <v>20.25</v>
      </c>
      <c r="Y4968" s="5">
        <v>20.5</v>
      </c>
      <c r="Z4968" s="6">
        <v>21.25</v>
      </c>
      <c r="AA4968" s="6">
        <v>7.83</v>
      </c>
      <c r="AB4968" s="7">
        <v>9.0939999999999994</v>
      </c>
      <c r="AC4968" s="6">
        <v>48.1</v>
      </c>
    </row>
    <row r="4969" spans="1:29" ht="78" x14ac:dyDescent="0.15">
      <c r="A4969" s="3">
        <f>DATE(1999,9,28)</f>
        <v>36431</v>
      </c>
      <c r="B4969" s="3">
        <f>DATE(2000,3,16)</f>
        <v>36601</v>
      </c>
      <c r="C4969" s="2" t="s">
        <v>95</v>
      </c>
      <c r="D4969" s="2" t="s">
        <v>15375</v>
      </c>
      <c r="E4969" s="2" t="s">
        <v>15376</v>
      </c>
      <c r="F4969" s="4">
        <v>6211</v>
      </c>
      <c r="G4969" s="2" t="s">
        <v>53</v>
      </c>
      <c r="H4969" s="2" t="s">
        <v>34</v>
      </c>
      <c r="I4969" s="2" t="s">
        <v>12303</v>
      </c>
      <c r="J4969" s="2" t="s">
        <v>36</v>
      </c>
      <c r="K4969" s="2" t="s">
        <v>37</v>
      </c>
      <c r="L4969" s="2" t="s">
        <v>34</v>
      </c>
      <c r="M4969" s="10">
        <v>65661.34</v>
      </c>
      <c r="N4969" s="7">
        <v>38.875</v>
      </c>
      <c r="O4969" s="7">
        <v>38.563000000000002</v>
      </c>
      <c r="P4969" s="2" t="s">
        <v>15377</v>
      </c>
      <c r="Q4969" s="6">
        <v>100</v>
      </c>
      <c r="R4969" s="6">
        <v>18.75</v>
      </c>
      <c r="S4969" s="5">
        <v>15.9</v>
      </c>
      <c r="T4969" s="7">
        <v>-10.212</v>
      </c>
      <c r="U4969" s="5">
        <v>9.3000000000000007</v>
      </c>
      <c r="V4969" s="6">
        <v>1.2</v>
      </c>
      <c r="W4969" s="7">
        <v>17.937999999999999</v>
      </c>
      <c r="X4969" s="6">
        <v>17.25</v>
      </c>
      <c r="Y4969" s="7">
        <v>17.625</v>
      </c>
      <c r="Z4969" s="6">
        <v>17.25</v>
      </c>
      <c r="AA4969" s="6">
        <v>12.9</v>
      </c>
      <c r="AB4969" s="2" t="s">
        <v>86</v>
      </c>
      <c r="AC4969" s="2"/>
    </row>
    <row r="4970" spans="1:29" ht="117" x14ac:dyDescent="0.15">
      <c r="A4970" s="3">
        <f>DATE(1999,9,30)</f>
        <v>36433</v>
      </c>
      <c r="B4970" s="3">
        <f>DATE(2000,1,14)</f>
        <v>36539</v>
      </c>
      <c r="C4970" s="2" t="s">
        <v>95</v>
      </c>
      <c r="D4970" s="2" t="s">
        <v>15378</v>
      </c>
      <c r="E4970" s="2" t="s">
        <v>15379</v>
      </c>
      <c r="F4970" s="4">
        <v>7375</v>
      </c>
      <c r="G4970" s="2" t="s">
        <v>223</v>
      </c>
      <c r="H4970" s="2" t="s">
        <v>34</v>
      </c>
      <c r="I4970" s="2" t="s">
        <v>15292</v>
      </c>
      <c r="J4970" s="2" t="s">
        <v>11946</v>
      </c>
      <c r="K4970" s="2" t="s">
        <v>551</v>
      </c>
      <c r="L4970" s="2" t="s">
        <v>34</v>
      </c>
      <c r="M4970" s="12">
        <v>7637.0190000000002</v>
      </c>
      <c r="N4970" s="5">
        <v>102.5</v>
      </c>
      <c r="O4970" s="7">
        <v>99.188000000000002</v>
      </c>
      <c r="P4970" s="2" t="s">
        <v>15380</v>
      </c>
      <c r="Q4970" s="6">
        <v>100</v>
      </c>
      <c r="R4970" s="6">
        <v>122.95</v>
      </c>
      <c r="S4970" s="5">
        <v>-22.6</v>
      </c>
      <c r="T4970" s="6">
        <v>-20.58</v>
      </c>
      <c r="U4970" s="5">
        <v>4.8</v>
      </c>
      <c r="V4970" s="6">
        <v>1.18</v>
      </c>
      <c r="W4970" s="6">
        <v>30.25</v>
      </c>
      <c r="X4970" s="4">
        <v>38</v>
      </c>
      <c r="Y4970" s="5">
        <v>45.5</v>
      </c>
      <c r="Z4970" s="7">
        <v>44.375</v>
      </c>
      <c r="AA4970" s="6">
        <v>14.52</v>
      </c>
      <c r="AB4970" s="2" t="s">
        <v>86</v>
      </c>
      <c r="AC4970" s="5">
        <v>468.9</v>
      </c>
    </row>
    <row r="4971" spans="1:29" ht="169" x14ac:dyDescent="0.15">
      <c r="A4971" s="3">
        <f>DATE(1999,10,1)</f>
        <v>36434</v>
      </c>
      <c r="B4971" s="3">
        <f>DATE(2000,3,30)</f>
        <v>36615</v>
      </c>
      <c r="C4971" s="2" t="s">
        <v>95</v>
      </c>
      <c r="D4971" s="2" t="s">
        <v>15381</v>
      </c>
      <c r="E4971" s="2" t="s">
        <v>389</v>
      </c>
      <c r="F4971" s="4">
        <v>6035</v>
      </c>
      <c r="G4971" s="2" t="s">
        <v>33</v>
      </c>
      <c r="H4971" s="2" t="s">
        <v>34</v>
      </c>
      <c r="I4971" s="2" t="s">
        <v>15382</v>
      </c>
      <c r="J4971" s="2" t="s">
        <v>389</v>
      </c>
      <c r="K4971" s="2" t="s">
        <v>33</v>
      </c>
      <c r="L4971" s="2" t="s">
        <v>34</v>
      </c>
      <c r="M4971" s="2"/>
      <c r="N4971" s="2"/>
      <c r="O4971" s="2"/>
      <c r="P4971" s="2" t="s">
        <v>15383</v>
      </c>
      <c r="Q4971" s="6">
        <v>100</v>
      </c>
      <c r="R4971" s="6">
        <v>18</v>
      </c>
      <c r="S4971" s="5">
        <v>0.5</v>
      </c>
      <c r="T4971" s="7">
        <v>0.85599999999999998</v>
      </c>
      <c r="U4971" s="5">
        <v>11</v>
      </c>
      <c r="V4971" s="6">
        <v>0.59</v>
      </c>
      <c r="W4971" s="7">
        <v>15.093999999999999</v>
      </c>
      <c r="X4971" s="7">
        <v>14.375</v>
      </c>
      <c r="Y4971" s="4">
        <v>15</v>
      </c>
      <c r="Z4971" s="5">
        <v>16.5</v>
      </c>
      <c r="AA4971" s="6">
        <v>0.88</v>
      </c>
      <c r="AB4971" s="7">
        <v>49.235999999999997</v>
      </c>
      <c r="AC4971" s="2"/>
    </row>
    <row r="4972" spans="1:29" ht="104" x14ac:dyDescent="0.15">
      <c r="A4972" s="3">
        <f>DATE(1999,10,1)</f>
        <v>36434</v>
      </c>
      <c r="B4972" s="3">
        <f>DATE(1999,11,8)</f>
        <v>36472</v>
      </c>
      <c r="C4972" s="2" t="s">
        <v>95</v>
      </c>
      <c r="D4972" s="2" t="s">
        <v>15384</v>
      </c>
      <c r="E4972" s="2" t="s">
        <v>15385</v>
      </c>
      <c r="F4972" s="4">
        <v>8732</v>
      </c>
      <c r="G4972" s="2" t="s">
        <v>223</v>
      </c>
      <c r="H4972" s="2" t="s">
        <v>34</v>
      </c>
      <c r="I4972" s="2" t="s">
        <v>15386</v>
      </c>
      <c r="J4972" s="2" t="s">
        <v>15387</v>
      </c>
      <c r="K4972" s="2" t="s">
        <v>4563</v>
      </c>
      <c r="L4972" s="2" t="s">
        <v>34</v>
      </c>
      <c r="M4972" s="10">
        <v>13765.02</v>
      </c>
      <c r="N4972" s="7">
        <v>78.125</v>
      </c>
      <c r="O4972" s="7">
        <v>77.938000000000002</v>
      </c>
      <c r="P4972" s="2" t="s">
        <v>15388</v>
      </c>
      <c r="Q4972" s="6">
        <v>100</v>
      </c>
      <c r="R4972" s="6">
        <v>20</v>
      </c>
      <c r="S4972" s="5">
        <v>4.7</v>
      </c>
      <c r="T4972" s="7">
        <v>8.593</v>
      </c>
      <c r="U4972" s="5">
        <v>9.5</v>
      </c>
      <c r="V4972" s="6">
        <v>0.93</v>
      </c>
      <c r="W4972" s="7">
        <v>14.125</v>
      </c>
      <c r="X4972" s="7">
        <v>14.125</v>
      </c>
      <c r="Y4972" s="7">
        <v>19.687999999999999</v>
      </c>
      <c r="Z4972" s="7">
        <v>19.687999999999999</v>
      </c>
      <c r="AA4972" s="6">
        <v>5.24</v>
      </c>
      <c r="AB4972" s="7">
        <v>37.856000000000002</v>
      </c>
      <c r="AC4972" s="6">
        <v>337.16</v>
      </c>
    </row>
    <row r="4973" spans="1:29" ht="65" x14ac:dyDescent="0.15">
      <c r="A4973" s="3">
        <f>DATE(1999,10,1)</f>
        <v>36434</v>
      </c>
      <c r="B4973" s="3">
        <f>DATE(2000,1,27)</f>
        <v>36552</v>
      </c>
      <c r="C4973" s="2" t="s">
        <v>95</v>
      </c>
      <c r="D4973" s="2" t="s">
        <v>15389</v>
      </c>
      <c r="E4973" s="2" t="s">
        <v>8761</v>
      </c>
      <c r="F4973" s="4">
        <v>3555</v>
      </c>
      <c r="G4973" s="2" t="s">
        <v>300</v>
      </c>
      <c r="H4973" s="2" t="s">
        <v>34</v>
      </c>
      <c r="I4973" s="2" t="s">
        <v>15390</v>
      </c>
      <c r="J4973" s="2" t="s">
        <v>1085</v>
      </c>
      <c r="K4973" s="2" t="s">
        <v>109</v>
      </c>
      <c r="L4973" s="2" t="s">
        <v>303</v>
      </c>
      <c r="M4973" s="2"/>
      <c r="N4973" s="2"/>
      <c r="O4973" s="2"/>
      <c r="P4973" s="2" t="s">
        <v>15391</v>
      </c>
      <c r="Q4973" s="6">
        <v>100</v>
      </c>
      <c r="R4973" s="6">
        <v>1.25</v>
      </c>
      <c r="S4973" s="5">
        <v>-0.1</v>
      </c>
      <c r="T4973" s="7">
        <v>3.8730000000000002</v>
      </c>
      <c r="U4973" s="5">
        <v>-3.6</v>
      </c>
      <c r="V4973" s="6">
        <v>-0.05</v>
      </c>
      <c r="W4973" s="7">
        <v>1.875</v>
      </c>
      <c r="X4973" s="7">
        <v>1.8129999999999999</v>
      </c>
      <c r="Y4973" s="7">
        <v>1.125</v>
      </c>
      <c r="Z4973" s="7">
        <v>1.125</v>
      </c>
      <c r="AA4973" s="6">
        <v>2.83</v>
      </c>
      <c r="AB4973" s="7">
        <v>7.5110000000000001</v>
      </c>
      <c r="AC4973" s="2"/>
    </row>
    <row r="4974" spans="1:29" ht="39" x14ac:dyDescent="0.15">
      <c r="A4974" s="3">
        <f>DATE(1999,10,1)</f>
        <v>36434</v>
      </c>
      <c r="B4974" s="3">
        <f>DATE(1999,11,29)</f>
        <v>36493</v>
      </c>
      <c r="C4974" s="2" t="s">
        <v>95</v>
      </c>
      <c r="D4974" s="2" t="s">
        <v>15392</v>
      </c>
      <c r="E4974" s="2" t="s">
        <v>15393</v>
      </c>
      <c r="F4974" s="4">
        <v>2038</v>
      </c>
      <c r="G4974" s="2" t="s">
        <v>577</v>
      </c>
      <c r="H4974" s="2" t="s">
        <v>34</v>
      </c>
      <c r="I4974" s="2" t="s">
        <v>15394</v>
      </c>
      <c r="J4974" s="2" t="s">
        <v>15395</v>
      </c>
      <c r="K4974" s="2" t="s">
        <v>577</v>
      </c>
      <c r="L4974" s="2" t="s">
        <v>34</v>
      </c>
      <c r="M4974" s="12">
        <v>15093.591</v>
      </c>
      <c r="N4974" s="7">
        <v>37.125</v>
      </c>
      <c r="O4974" s="7">
        <v>37.625</v>
      </c>
      <c r="P4974" s="2" t="s">
        <v>15396</v>
      </c>
      <c r="Q4974" s="6">
        <v>100</v>
      </c>
      <c r="R4974" s="6">
        <v>24</v>
      </c>
      <c r="S4974" s="5">
        <v>5.8</v>
      </c>
      <c r="T4974" s="7">
        <v>17.704999999999998</v>
      </c>
      <c r="U4974" s="5">
        <v>6.2</v>
      </c>
      <c r="V4974" s="6">
        <v>0.46</v>
      </c>
      <c r="W4974" s="7">
        <v>11.938000000000001</v>
      </c>
      <c r="X4974" s="7">
        <v>14.375</v>
      </c>
      <c r="Y4974" s="7">
        <v>23.062999999999999</v>
      </c>
      <c r="Z4974" s="7">
        <v>23.125</v>
      </c>
      <c r="AA4974" s="6">
        <v>12.38</v>
      </c>
      <c r="AB4974" s="7">
        <v>29.533000000000001</v>
      </c>
      <c r="AC4974" s="5">
        <v>150.80000000000001</v>
      </c>
    </row>
    <row r="4975" spans="1:29" ht="195" x14ac:dyDescent="0.15">
      <c r="A4975" s="3">
        <f t="shared" ref="A4975:A4981" si="109">DATE(1999,10,4)</f>
        <v>36437</v>
      </c>
      <c r="B4975" s="3">
        <f>DATE(2000,8,30)</f>
        <v>36768</v>
      </c>
      <c r="C4975" s="2" t="s">
        <v>95</v>
      </c>
      <c r="D4975" s="2" t="s">
        <v>15397</v>
      </c>
      <c r="E4975" s="2" t="s">
        <v>4760</v>
      </c>
      <c r="F4975" s="4">
        <v>4832</v>
      </c>
      <c r="G4975" s="2" t="s">
        <v>45</v>
      </c>
      <c r="H4975" s="2" t="s">
        <v>34</v>
      </c>
      <c r="I4975" s="2" t="s">
        <v>8034</v>
      </c>
      <c r="J4975" s="2" t="s">
        <v>8035</v>
      </c>
      <c r="K4975" s="2" t="s">
        <v>45</v>
      </c>
      <c r="L4975" s="2" t="s">
        <v>34</v>
      </c>
      <c r="M4975" s="12">
        <v>24182.548999999999</v>
      </c>
      <c r="N4975" s="5">
        <v>76.5</v>
      </c>
      <c r="O4975" s="7">
        <v>74.438000000000002</v>
      </c>
      <c r="P4975" s="2" t="s">
        <v>15398</v>
      </c>
      <c r="Q4975" s="6">
        <v>100</v>
      </c>
      <c r="R4975" s="6">
        <v>75.55</v>
      </c>
      <c r="S4975" s="5">
        <v>-17.3</v>
      </c>
      <c r="T4975" s="7">
        <v>657.77800000000002</v>
      </c>
      <c r="U4975" s="5">
        <v>13</v>
      </c>
      <c r="V4975" s="6">
        <v>-0.62</v>
      </c>
      <c r="W4975" s="7">
        <v>53.688000000000002</v>
      </c>
      <c r="X4975" s="7">
        <v>63.875</v>
      </c>
      <c r="Y4975" s="9">
        <v>65.1875</v>
      </c>
      <c r="Z4975" s="4">
        <v>65</v>
      </c>
      <c r="AA4975" s="6">
        <v>197.39</v>
      </c>
      <c r="AB4975" s="7">
        <v>159.08199999999999</v>
      </c>
      <c r="AC4975" s="6">
        <v>82.68</v>
      </c>
    </row>
    <row r="4976" spans="1:29" ht="143" x14ac:dyDescent="0.15">
      <c r="A4976" s="3">
        <f t="shared" si="109"/>
        <v>36437</v>
      </c>
      <c r="B4976" s="3">
        <f>DATE(2000,3,29)</f>
        <v>36614</v>
      </c>
      <c r="C4976" s="2" t="s">
        <v>95</v>
      </c>
      <c r="D4976" s="2" t="s">
        <v>15399</v>
      </c>
      <c r="E4976" s="2" t="s">
        <v>36</v>
      </c>
      <c r="F4976" s="4">
        <v>6712</v>
      </c>
      <c r="G4976" s="2" t="s">
        <v>37</v>
      </c>
      <c r="H4976" s="2" t="s">
        <v>34</v>
      </c>
      <c r="I4976" s="2" t="s">
        <v>7980</v>
      </c>
      <c r="J4976" s="2" t="s">
        <v>36</v>
      </c>
      <c r="K4976" s="2" t="s">
        <v>37</v>
      </c>
      <c r="L4976" s="2" t="s">
        <v>34</v>
      </c>
      <c r="M4976" s="12">
        <v>6053.3639999999996</v>
      </c>
      <c r="N4976" s="4">
        <v>33</v>
      </c>
      <c r="O4976" s="4">
        <v>32</v>
      </c>
      <c r="P4976" s="2" t="s">
        <v>15400</v>
      </c>
      <c r="Q4976" s="6">
        <v>100</v>
      </c>
      <c r="R4976" s="6">
        <v>25</v>
      </c>
      <c r="S4976" s="5">
        <v>3.7</v>
      </c>
      <c r="T4976" s="2"/>
      <c r="U4976" s="5">
        <v>10.8</v>
      </c>
      <c r="V4976" s="6">
        <v>1.33</v>
      </c>
      <c r="W4976" s="7">
        <v>16.375</v>
      </c>
      <c r="X4976" s="4">
        <v>16</v>
      </c>
      <c r="Y4976" s="7">
        <v>23.937999999999999</v>
      </c>
      <c r="Z4976" s="6">
        <v>23.75</v>
      </c>
      <c r="AA4976" s="6">
        <v>2.67</v>
      </c>
      <c r="AB4976" s="7">
        <v>21.792999999999999</v>
      </c>
      <c r="AC4976" s="2"/>
    </row>
    <row r="4977" spans="1:29" ht="91" x14ac:dyDescent="0.15">
      <c r="A4977" s="3">
        <f t="shared" si="109"/>
        <v>36437</v>
      </c>
      <c r="B4977" s="3">
        <f>DATE(1999,12,16)</f>
        <v>36510</v>
      </c>
      <c r="C4977" s="2" t="s">
        <v>95</v>
      </c>
      <c r="D4977" s="2" t="s">
        <v>15401</v>
      </c>
      <c r="E4977" s="2" t="s">
        <v>15402</v>
      </c>
      <c r="F4977" s="4">
        <v>1521</v>
      </c>
      <c r="G4977" s="2" t="s">
        <v>341</v>
      </c>
      <c r="H4977" s="2" t="s">
        <v>34</v>
      </c>
      <c r="I4977" s="2" t="s">
        <v>15403</v>
      </c>
      <c r="J4977" s="2" t="s">
        <v>194</v>
      </c>
      <c r="K4977" s="2" t="s">
        <v>341</v>
      </c>
      <c r="L4977" s="2" t="s">
        <v>15404</v>
      </c>
      <c r="M4977" s="2"/>
      <c r="N4977" s="2"/>
      <c r="O4977" s="2"/>
      <c r="P4977" s="2" t="s">
        <v>15405</v>
      </c>
      <c r="Q4977" s="6">
        <v>80</v>
      </c>
      <c r="R4977" s="6">
        <v>9.35</v>
      </c>
      <c r="S4977" s="5">
        <v>16</v>
      </c>
      <c r="T4977" s="7">
        <v>37.261000000000003</v>
      </c>
      <c r="U4977" s="5">
        <v>4.7</v>
      </c>
      <c r="V4977" s="9">
        <v>0.74670000000000003</v>
      </c>
      <c r="W4977" s="7">
        <v>6.9379999999999997</v>
      </c>
      <c r="X4977" s="7">
        <v>7.0629999999999997</v>
      </c>
      <c r="Y4977" s="4">
        <v>7</v>
      </c>
      <c r="Z4977" s="5">
        <v>6.5</v>
      </c>
      <c r="AA4977" s="6">
        <v>11.5</v>
      </c>
      <c r="AB4977" s="7">
        <v>10.468</v>
      </c>
      <c r="AC4977" s="6">
        <v>4.79</v>
      </c>
    </row>
    <row r="4978" spans="1:29" ht="156" x14ac:dyDescent="0.15">
      <c r="A4978" s="3">
        <f t="shared" si="109"/>
        <v>36437</v>
      </c>
      <c r="B4978" s="3">
        <f>DATE(2000,3,8)</f>
        <v>36593</v>
      </c>
      <c r="C4978" s="2" t="s">
        <v>95</v>
      </c>
      <c r="D4978" s="2" t="s">
        <v>15406</v>
      </c>
      <c r="E4978" s="2" t="s">
        <v>15407</v>
      </c>
      <c r="F4978" s="4">
        <v>4724</v>
      </c>
      <c r="G4978" s="2" t="s">
        <v>173</v>
      </c>
      <c r="H4978" s="2" t="s">
        <v>34</v>
      </c>
      <c r="I4978" s="2" t="s">
        <v>15408</v>
      </c>
      <c r="J4978" s="2" t="s">
        <v>15407</v>
      </c>
      <c r="K4978" s="2" t="s">
        <v>173</v>
      </c>
      <c r="L4978" s="2" t="s">
        <v>34</v>
      </c>
      <c r="M4978" s="2"/>
      <c r="N4978" s="2"/>
      <c r="O4978" s="2"/>
      <c r="P4978" s="2" t="s">
        <v>15409</v>
      </c>
      <c r="Q4978" s="6">
        <v>100</v>
      </c>
      <c r="R4978" s="6">
        <v>43.88</v>
      </c>
      <c r="S4978" s="5">
        <v>-32</v>
      </c>
      <c r="T4978" s="7">
        <v>-33.162999999999997</v>
      </c>
      <c r="U4978" s="5">
        <v>3</v>
      </c>
      <c r="V4978" s="6">
        <v>-2.34</v>
      </c>
      <c r="W4978" s="6">
        <v>15.25</v>
      </c>
      <c r="X4978" s="7">
        <v>17.625</v>
      </c>
      <c r="Y4978" s="7">
        <v>24.312999999999999</v>
      </c>
      <c r="Z4978" s="7">
        <v>27.187999999999999</v>
      </c>
      <c r="AA4978" s="6">
        <v>13.82</v>
      </c>
      <c r="AB4978" s="2" t="s">
        <v>86</v>
      </c>
      <c r="AC4978" s="2"/>
    </row>
    <row r="4979" spans="1:29" ht="195" x14ac:dyDescent="0.15">
      <c r="A4979" s="3">
        <f t="shared" si="109"/>
        <v>36437</v>
      </c>
      <c r="B4979" s="3">
        <f>DATE(2000,10,11)</f>
        <v>36810</v>
      </c>
      <c r="C4979" s="2" t="s">
        <v>95</v>
      </c>
      <c r="D4979" s="2" t="s">
        <v>14373</v>
      </c>
      <c r="E4979" s="2" t="s">
        <v>1181</v>
      </c>
      <c r="F4979" s="4">
        <v>6021</v>
      </c>
      <c r="G4979" s="2" t="s">
        <v>37</v>
      </c>
      <c r="H4979" s="2" t="s">
        <v>34</v>
      </c>
      <c r="I4979" s="2" t="s">
        <v>15410</v>
      </c>
      <c r="J4979" s="2" t="s">
        <v>36</v>
      </c>
      <c r="K4979" s="2" t="s">
        <v>37</v>
      </c>
      <c r="L4979" s="2" t="s">
        <v>34</v>
      </c>
      <c r="M4979" s="7">
        <v>41.201000000000001</v>
      </c>
      <c r="N4979" s="7">
        <v>10.375</v>
      </c>
      <c r="O4979" s="4">
        <v>10</v>
      </c>
      <c r="P4979" s="2" t="s">
        <v>15411</v>
      </c>
      <c r="Q4979" s="6">
        <v>100</v>
      </c>
      <c r="R4979" s="6">
        <v>17.850000000000001</v>
      </c>
      <c r="S4979" s="5">
        <v>-1.1000000000000001</v>
      </c>
      <c r="T4979" s="7">
        <v>-1.337</v>
      </c>
      <c r="U4979" s="5">
        <v>12.7</v>
      </c>
      <c r="V4979" s="6">
        <v>-0.77</v>
      </c>
      <c r="W4979" s="4">
        <v>13</v>
      </c>
      <c r="X4979" s="7">
        <v>12.688000000000001</v>
      </c>
      <c r="Y4979" s="4">
        <v>13</v>
      </c>
      <c r="Z4979" s="4">
        <v>13</v>
      </c>
      <c r="AA4979" s="6">
        <v>1.46</v>
      </c>
      <c r="AB4979" s="2" t="s">
        <v>86</v>
      </c>
      <c r="AC4979" s="2"/>
    </row>
    <row r="4980" spans="1:29" ht="65" x14ac:dyDescent="0.15">
      <c r="A4980" s="3">
        <f t="shared" si="109"/>
        <v>36437</v>
      </c>
      <c r="B4980" s="2"/>
      <c r="C4980" s="2" t="s">
        <v>30</v>
      </c>
      <c r="D4980" s="2" t="s">
        <v>14230</v>
      </c>
      <c r="E4980" s="2" t="s">
        <v>14231</v>
      </c>
      <c r="F4980" s="4">
        <v>4813</v>
      </c>
      <c r="G4980" s="2" t="s">
        <v>63</v>
      </c>
      <c r="H4980" s="2" t="s">
        <v>34</v>
      </c>
      <c r="I4980" s="2" t="s">
        <v>4375</v>
      </c>
      <c r="J4980" s="2" t="s">
        <v>1604</v>
      </c>
      <c r="K4980" s="2" t="s">
        <v>63</v>
      </c>
      <c r="L4980" s="2" t="s">
        <v>34</v>
      </c>
      <c r="M4980" s="12">
        <v>84606.585000000006</v>
      </c>
      <c r="N4980" s="7">
        <v>42.688000000000002</v>
      </c>
      <c r="O4980" s="7">
        <v>41.813000000000002</v>
      </c>
      <c r="P4980" s="2" t="s">
        <v>15412</v>
      </c>
      <c r="Q4980" s="2"/>
      <c r="R4980" s="2"/>
      <c r="S4980" s="5">
        <v>450.5</v>
      </c>
      <c r="T4980" s="8">
        <v>2405.5</v>
      </c>
      <c r="U4980" s="2"/>
      <c r="V4980" s="2"/>
      <c r="W4980" s="7">
        <v>50.563000000000002</v>
      </c>
      <c r="X4980" s="7">
        <v>51.125</v>
      </c>
      <c r="Y4980" s="4">
        <v>54</v>
      </c>
      <c r="Z4980" s="5">
        <v>53.5</v>
      </c>
      <c r="AA4980" s="10">
        <v>1296.8399999999999</v>
      </c>
      <c r="AB4980" s="2" t="s">
        <v>47</v>
      </c>
      <c r="AC4980" s="8">
        <v>1140</v>
      </c>
    </row>
    <row r="4981" spans="1:29" ht="130" x14ac:dyDescent="0.15">
      <c r="A4981" s="3">
        <f t="shared" si="109"/>
        <v>36437</v>
      </c>
      <c r="B4981" s="3">
        <f>DATE(2000,7,12)</f>
        <v>36719</v>
      </c>
      <c r="C4981" s="2" t="s">
        <v>95</v>
      </c>
      <c r="D4981" s="2" t="s">
        <v>15413</v>
      </c>
      <c r="E4981" s="2" t="s">
        <v>4615</v>
      </c>
      <c r="F4981" s="4">
        <v>4841</v>
      </c>
      <c r="G4981" s="2" t="s">
        <v>45</v>
      </c>
      <c r="H4981" s="2" t="s">
        <v>34</v>
      </c>
      <c r="I4981" s="2" t="s">
        <v>9065</v>
      </c>
      <c r="J4981" s="2" t="s">
        <v>9066</v>
      </c>
      <c r="K4981" s="2" t="s">
        <v>137</v>
      </c>
      <c r="L4981" s="2" t="s">
        <v>34</v>
      </c>
      <c r="M4981" s="12">
        <v>6887.982</v>
      </c>
      <c r="N4981" s="7">
        <v>76.188000000000002</v>
      </c>
      <c r="O4981" s="7">
        <v>69.375</v>
      </c>
      <c r="P4981" s="2" t="s">
        <v>15414</v>
      </c>
      <c r="Q4981" s="6">
        <v>100</v>
      </c>
      <c r="R4981" s="6">
        <v>54.97</v>
      </c>
      <c r="S4981" s="5">
        <v>41.6</v>
      </c>
      <c r="T4981" s="7">
        <v>197.51499999999999</v>
      </c>
      <c r="U4981" s="5">
        <v>4.9000000000000004</v>
      </c>
      <c r="V4981" s="7">
        <v>0.20499999999999999</v>
      </c>
      <c r="W4981" s="7">
        <v>39.125</v>
      </c>
      <c r="X4981" s="7">
        <v>41.530999999999999</v>
      </c>
      <c r="Y4981" s="9">
        <v>45.9375</v>
      </c>
      <c r="Z4981" s="9">
        <v>43.9375</v>
      </c>
      <c r="AA4981" s="6">
        <v>152.11000000000001</v>
      </c>
      <c r="AB4981" s="7">
        <v>166.76</v>
      </c>
      <c r="AC4981" s="2"/>
    </row>
    <row r="4982" spans="1:29" ht="104" x14ac:dyDescent="0.15">
      <c r="A4982" s="3">
        <f t="shared" ref="A4982:A4987" si="110">DATE(1999,10,5)</f>
        <v>36438</v>
      </c>
      <c r="B4982" s="3">
        <f>DATE(1999,11,19)</f>
        <v>36483</v>
      </c>
      <c r="C4982" s="2" t="s">
        <v>95</v>
      </c>
      <c r="D4982" s="2" t="s">
        <v>15415</v>
      </c>
      <c r="E4982" s="2" t="s">
        <v>15416</v>
      </c>
      <c r="F4982" s="4">
        <v>8731</v>
      </c>
      <c r="G4982" s="2" t="s">
        <v>223</v>
      </c>
      <c r="H4982" s="2" t="s">
        <v>34</v>
      </c>
      <c r="I4982" s="2" t="s">
        <v>14014</v>
      </c>
      <c r="J4982" s="2" t="s">
        <v>14015</v>
      </c>
      <c r="K4982" s="2" t="s">
        <v>98</v>
      </c>
      <c r="L4982" s="2" t="s">
        <v>34</v>
      </c>
      <c r="M4982" s="10">
        <v>73187.64</v>
      </c>
      <c r="N4982" s="7">
        <v>63.813000000000002</v>
      </c>
      <c r="O4982" s="7">
        <v>65.063000000000002</v>
      </c>
      <c r="P4982" s="2" t="s">
        <v>15417</v>
      </c>
      <c r="Q4982" s="6">
        <v>100</v>
      </c>
      <c r="R4982" s="6">
        <v>6.75</v>
      </c>
      <c r="S4982" s="5">
        <v>-8.3000000000000007</v>
      </c>
      <c r="T4982" s="6">
        <v>-6.42</v>
      </c>
      <c r="U4982" s="5">
        <v>1.8</v>
      </c>
      <c r="V4982" s="6">
        <v>-0.72</v>
      </c>
      <c r="W4982" s="7">
        <v>5.125</v>
      </c>
      <c r="X4982" s="5">
        <v>5.5</v>
      </c>
      <c r="Y4982" s="7">
        <v>5.6879999999999997</v>
      </c>
      <c r="Z4982" s="7">
        <v>6.625</v>
      </c>
      <c r="AA4982" s="6">
        <v>13.49</v>
      </c>
      <c r="AB4982" s="2" t="s">
        <v>86</v>
      </c>
      <c r="AC4982" s="8">
        <v>2599</v>
      </c>
    </row>
    <row r="4983" spans="1:29" ht="91" x14ac:dyDescent="0.15">
      <c r="A4983" s="3">
        <f t="shared" si="110"/>
        <v>36438</v>
      </c>
      <c r="B4983" s="2"/>
      <c r="C4983" s="2" t="s">
        <v>30</v>
      </c>
      <c r="D4983" s="2" t="s">
        <v>15418</v>
      </c>
      <c r="E4983" s="2" t="s">
        <v>15419</v>
      </c>
      <c r="F4983" s="4">
        <v>7812</v>
      </c>
      <c r="G4983" s="2" t="s">
        <v>42</v>
      </c>
      <c r="H4983" s="2" t="s">
        <v>34</v>
      </c>
      <c r="I4983" s="2" t="s">
        <v>15420</v>
      </c>
      <c r="J4983" s="2" t="s">
        <v>15421</v>
      </c>
      <c r="K4983" s="2" t="s">
        <v>137</v>
      </c>
      <c r="L4983" s="2" t="s">
        <v>34</v>
      </c>
      <c r="M4983" s="7">
        <v>376.48099999999999</v>
      </c>
      <c r="N4983" s="7">
        <v>2.875</v>
      </c>
      <c r="O4983" s="7">
        <v>2.8130000000000002</v>
      </c>
      <c r="P4983" s="2" t="s">
        <v>15422</v>
      </c>
      <c r="Q4983" s="2"/>
      <c r="R4983" s="6">
        <v>1.74</v>
      </c>
      <c r="S4983" s="5">
        <v>-13.9</v>
      </c>
      <c r="T4983" s="7">
        <v>-6.6079999999999997</v>
      </c>
      <c r="U4983" s="5">
        <v>0.3</v>
      </c>
      <c r="V4983" s="6">
        <v>-0.85</v>
      </c>
      <c r="W4983" s="7">
        <v>1.6879999999999999</v>
      </c>
      <c r="X4983" s="7">
        <v>1.8129999999999999</v>
      </c>
      <c r="Y4983" s="7">
        <v>1.375</v>
      </c>
      <c r="Z4983" s="7">
        <v>1.3129999999999999</v>
      </c>
      <c r="AA4983" s="6">
        <v>18.61</v>
      </c>
      <c r="AB4983" s="2" t="s">
        <v>86</v>
      </c>
      <c r="AC4983" s="6">
        <v>19.059999999999999</v>
      </c>
    </row>
    <row r="4984" spans="1:29" ht="104" x14ac:dyDescent="0.15">
      <c r="A4984" s="3">
        <f t="shared" si="110"/>
        <v>36438</v>
      </c>
      <c r="B4984" s="2"/>
      <c r="C4984" s="2" t="s">
        <v>30</v>
      </c>
      <c r="D4984" s="2" t="s">
        <v>8547</v>
      </c>
      <c r="E4984" s="2" t="s">
        <v>8548</v>
      </c>
      <c r="F4984" s="4">
        <v>6324</v>
      </c>
      <c r="G4984" s="2" t="s">
        <v>125</v>
      </c>
      <c r="H4984" s="2" t="s">
        <v>34</v>
      </c>
      <c r="I4984" s="2" t="s">
        <v>15423</v>
      </c>
      <c r="J4984" s="2" t="s">
        <v>15424</v>
      </c>
      <c r="K4984" s="2" t="s">
        <v>125</v>
      </c>
      <c r="L4984" s="2" t="s">
        <v>34</v>
      </c>
      <c r="M4984" s="12">
        <v>1303.164</v>
      </c>
      <c r="N4984" s="7">
        <v>25.937999999999999</v>
      </c>
      <c r="O4984" s="7">
        <v>25.437999999999999</v>
      </c>
      <c r="P4984" s="2" t="s">
        <v>15425</v>
      </c>
      <c r="Q4984" s="2"/>
      <c r="R4984" s="6">
        <v>8.75</v>
      </c>
      <c r="S4984" s="5">
        <v>0.1</v>
      </c>
      <c r="T4984" s="7">
        <v>31.895</v>
      </c>
      <c r="U4984" s="5">
        <v>6.3</v>
      </c>
      <c r="V4984" s="6">
        <v>0.01</v>
      </c>
      <c r="W4984" s="7">
        <v>6.625</v>
      </c>
      <c r="X4984" s="7">
        <v>7.5629999999999997</v>
      </c>
      <c r="Y4984" s="7">
        <v>7.375</v>
      </c>
      <c r="Z4984" s="9">
        <v>7.3125</v>
      </c>
      <c r="AA4984" s="6">
        <v>13.66</v>
      </c>
      <c r="AB4984" s="7">
        <v>14.406000000000001</v>
      </c>
      <c r="AC4984" s="6">
        <v>563.80999999999995</v>
      </c>
    </row>
    <row r="4985" spans="1:29" ht="221" x14ac:dyDescent="0.15">
      <c r="A4985" s="3">
        <f t="shared" si="110"/>
        <v>36438</v>
      </c>
      <c r="B4985" s="3">
        <f>DATE(2001,5,31)</f>
        <v>37042</v>
      </c>
      <c r="C4985" s="2" t="s">
        <v>95</v>
      </c>
      <c r="D4985" s="2" t="s">
        <v>15426</v>
      </c>
      <c r="E4985" s="2" t="s">
        <v>15427</v>
      </c>
      <c r="F4985" s="4">
        <v>4923</v>
      </c>
      <c r="G4985" s="2" t="s">
        <v>439</v>
      </c>
      <c r="H4985" s="2" t="s">
        <v>34</v>
      </c>
      <c r="I4985" s="2" t="s">
        <v>15428</v>
      </c>
      <c r="J4985" s="2" t="s">
        <v>1888</v>
      </c>
      <c r="K4985" s="2" t="s">
        <v>439</v>
      </c>
      <c r="L4985" s="2" t="s">
        <v>34</v>
      </c>
      <c r="M4985" s="12">
        <v>5711.1530000000002</v>
      </c>
      <c r="N4985" s="7">
        <v>33.125</v>
      </c>
      <c r="O4985" s="5">
        <v>33.5</v>
      </c>
      <c r="P4985" s="2" t="s">
        <v>15429</v>
      </c>
      <c r="Q4985" s="6">
        <v>100</v>
      </c>
      <c r="R4985" s="6">
        <v>28.68</v>
      </c>
      <c r="S4985" s="5">
        <v>108.9</v>
      </c>
      <c r="T4985" s="5">
        <v>343</v>
      </c>
      <c r="U4985" s="5">
        <v>10.8</v>
      </c>
      <c r="V4985" s="6">
        <v>1.22</v>
      </c>
      <c r="W4985" s="7">
        <v>17.062999999999999</v>
      </c>
      <c r="X4985" s="7">
        <v>17.687999999999999</v>
      </c>
      <c r="Y4985" s="7">
        <v>23.562999999999999</v>
      </c>
      <c r="Z4985" s="7">
        <v>24.312999999999999</v>
      </c>
      <c r="AA4985" s="6">
        <v>85.66</v>
      </c>
      <c r="AB4985" s="7">
        <v>22.459</v>
      </c>
      <c r="AC4985" s="5">
        <v>64</v>
      </c>
    </row>
    <row r="4986" spans="1:29" ht="182" x14ac:dyDescent="0.15">
      <c r="A4986" s="3">
        <f t="shared" si="110"/>
        <v>36438</v>
      </c>
      <c r="B4986" s="2"/>
      <c r="C4986" s="2" t="s">
        <v>30</v>
      </c>
      <c r="D4986" s="2" t="s">
        <v>14230</v>
      </c>
      <c r="E4986" s="2" t="s">
        <v>14231</v>
      </c>
      <c r="F4986" s="4">
        <v>4813</v>
      </c>
      <c r="G4986" s="2" t="s">
        <v>63</v>
      </c>
      <c r="H4986" s="2" t="s">
        <v>34</v>
      </c>
      <c r="I4986" s="2" t="s">
        <v>13575</v>
      </c>
      <c r="J4986" s="2" t="s">
        <v>375</v>
      </c>
      <c r="K4986" s="2" t="s">
        <v>63</v>
      </c>
      <c r="L4986" s="2" t="s">
        <v>34</v>
      </c>
      <c r="M4986" s="12">
        <v>144347.50399999999</v>
      </c>
      <c r="N4986" s="7">
        <v>67.938000000000002</v>
      </c>
      <c r="O4986" s="7">
        <v>70.875</v>
      </c>
      <c r="P4986" s="2" t="s">
        <v>15430</v>
      </c>
      <c r="Q4986" s="2"/>
      <c r="R4986" s="6">
        <v>76</v>
      </c>
      <c r="S4986" s="5">
        <v>450.5</v>
      </c>
      <c r="T4986" s="8">
        <v>2405.5</v>
      </c>
      <c r="U4986" s="2"/>
      <c r="V4986" s="2"/>
      <c r="W4986" s="7">
        <v>50.563000000000002</v>
      </c>
      <c r="X4986" s="7">
        <v>51.125</v>
      </c>
      <c r="Y4986" s="4">
        <v>54</v>
      </c>
      <c r="Z4986" s="5">
        <v>53.5</v>
      </c>
      <c r="AA4986" s="10">
        <v>1339.95</v>
      </c>
      <c r="AB4986" s="7">
        <v>321.976</v>
      </c>
      <c r="AC4986" s="5">
        <v>307</v>
      </c>
    </row>
    <row r="4987" spans="1:29" ht="91" x14ac:dyDescent="0.15">
      <c r="A4987" s="3">
        <f t="shared" si="110"/>
        <v>36438</v>
      </c>
      <c r="B4987" s="3">
        <f>DATE(2000,1,17)</f>
        <v>36542</v>
      </c>
      <c r="C4987" s="2" t="s">
        <v>95</v>
      </c>
      <c r="D4987" s="2" t="s">
        <v>15431</v>
      </c>
      <c r="E4987" s="2" t="s">
        <v>15432</v>
      </c>
      <c r="F4987" s="4">
        <v>3844</v>
      </c>
      <c r="G4987" s="2" t="s">
        <v>226</v>
      </c>
      <c r="H4987" s="2" t="s">
        <v>34</v>
      </c>
      <c r="I4987" s="2" t="s">
        <v>15433</v>
      </c>
      <c r="J4987" s="2" t="s">
        <v>9897</v>
      </c>
      <c r="K4987" s="2" t="s">
        <v>223</v>
      </c>
      <c r="L4987" s="2" t="s">
        <v>34</v>
      </c>
      <c r="M4987" s="12">
        <v>1576.2529999999999</v>
      </c>
      <c r="N4987" s="7">
        <v>39.313000000000002</v>
      </c>
      <c r="O4987" s="6">
        <v>39.75</v>
      </c>
      <c r="P4987" s="2" t="s">
        <v>15434</v>
      </c>
      <c r="Q4987" s="6">
        <v>100</v>
      </c>
      <c r="R4987" s="6">
        <v>6.34</v>
      </c>
      <c r="S4987" s="5">
        <v>-4.5999999999999996</v>
      </c>
      <c r="T4987" s="7">
        <v>-5.7409999999999997</v>
      </c>
      <c r="U4987" s="5">
        <v>3.4</v>
      </c>
      <c r="V4987" s="6">
        <v>-0.47</v>
      </c>
      <c r="W4987" s="7">
        <v>4.375</v>
      </c>
      <c r="X4987" s="7">
        <v>3.5630000000000002</v>
      </c>
      <c r="Y4987" s="7">
        <v>5.4379999999999997</v>
      </c>
      <c r="Z4987" s="7">
        <v>5.1879999999999997</v>
      </c>
      <c r="AA4987" s="6">
        <v>9.94</v>
      </c>
      <c r="AB4987" s="2" t="s">
        <v>86</v>
      </c>
      <c r="AC4987" s="6">
        <v>88.43</v>
      </c>
    </row>
    <row r="4988" spans="1:29" ht="143" x14ac:dyDescent="0.15">
      <c r="A4988" s="3">
        <f t="shared" ref="A4988:A4995" si="111">DATE(1999,10,6)</f>
        <v>36439</v>
      </c>
      <c r="B4988" s="2"/>
      <c r="C4988" s="2" t="s">
        <v>30</v>
      </c>
      <c r="D4988" s="2" t="s">
        <v>14484</v>
      </c>
      <c r="E4988" s="2" t="s">
        <v>14485</v>
      </c>
      <c r="F4988" s="4">
        <v>6311</v>
      </c>
      <c r="G4988" s="2" t="s">
        <v>125</v>
      </c>
      <c r="H4988" s="2" t="s">
        <v>34</v>
      </c>
      <c r="I4988" s="2" t="s">
        <v>13336</v>
      </c>
      <c r="J4988" s="2" t="s">
        <v>9851</v>
      </c>
      <c r="K4988" s="2" t="s">
        <v>125</v>
      </c>
      <c r="L4988" s="2" t="s">
        <v>1791</v>
      </c>
      <c r="M4988" s="2"/>
      <c r="N4988" s="2"/>
      <c r="O4988" s="2"/>
      <c r="P4988" s="2" t="s">
        <v>15435</v>
      </c>
      <c r="Q4988" s="2"/>
      <c r="R4988" s="6">
        <v>14</v>
      </c>
      <c r="S4988" s="5">
        <v>41.5</v>
      </c>
      <c r="T4988" s="2"/>
      <c r="U4988" s="5">
        <v>18.100000000000001</v>
      </c>
      <c r="V4988" s="6">
        <v>1.35</v>
      </c>
      <c r="W4988" s="5">
        <v>19.5</v>
      </c>
      <c r="X4988" s="5">
        <v>19.5</v>
      </c>
      <c r="Y4988" s="6">
        <v>19.25</v>
      </c>
      <c r="Z4988" s="9">
        <v>16.3125</v>
      </c>
      <c r="AA4988" s="6">
        <v>36.520000000000003</v>
      </c>
      <c r="AB4988" s="7">
        <v>9.1270000000000007</v>
      </c>
      <c r="AC4988" s="6">
        <v>497.58</v>
      </c>
    </row>
    <row r="4989" spans="1:29" ht="78" x14ac:dyDescent="0.15">
      <c r="A4989" s="3">
        <f t="shared" si="111"/>
        <v>36439</v>
      </c>
      <c r="B4989" s="3">
        <f>DATE(2000,3,6)</f>
        <v>36591</v>
      </c>
      <c r="C4989" s="2" t="s">
        <v>95</v>
      </c>
      <c r="D4989" s="2" t="s">
        <v>15436</v>
      </c>
      <c r="E4989" s="2" t="s">
        <v>15437</v>
      </c>
      <c r="F4989" s="4">
        <v>2392</v>
      </c>
      <c r="G4989" s="2" t="s">
        <v>708</v>
      </c>
      <c r="H4989" s="2" t="s">
        <v>34</v>
      </c>
      <c r="I4989" s="2" t="s">
        <v>15438</v>
      </c>
      <c r="J4989" s="2" t="s">
        <v>302</v>
      </c>
      <c r="K4989" s="2" t="s">
        <v>53</v>
      </c>
      <c r="L4989" s="2" t="s">
        <v>34</v>
      </c>
      <c r="M4989" s="2"/>
      <c r="N4989" s="2"/>
      <c r="O4989" s="2"/>
      <c r="P4989" s="2" t="s">
        <v>15439</v>
      </c>
      <c r="Q4989" s="6">
        <v>100</v>
      </c>
      <c r="R4989" s="6">
        <v>9</v>
      </c>
      <c r="S4989" s="5">
        <v>5.8</v>
      </c>
      <c r="T4989" s="7">
        <v>17.632999999999999</v>
      </c>
      <c r="U4989" s="5">
        <v>6.7</v>
      </c>
      <c r="V4989" s="6">
        <v>0.78</v>
      </c>
      <c r="W4989" s="7">
        <v>5.125</v>
      </c>
      <c r="X4989" s="7">
        <v>5.0629999999999997</v>
      </c>
      <c r="Y4989" s="7">
        <v>8.0630000000000006</v>
      </c>
      <c r="Z4989" s="6">
        <v>8.25</v>
      </c>
      <c r="AA4989" s="6">
        <v>7.33</v>
      </c>
      <c r="AB4989" s="7">
        <v>7.8449999999999998</v>
      </c>
      <c r="AC4989" s="2"/>
    </row>
    <row r="4990" spans="1:29" ht="117" x14ac:dyDescent="0.15">
      <c r="A4990" s="3">
        <f t="shared" si="111"/>
        <v>36439</v>
      </c>
      <c r="B4990" s="3">
        <f>DATE(2000,3,2)</f>
        <v>36587</v>
      </c>
      <c r="C4990" s="2" t="s">
        <v>95</v>
      </c>
      <c r="D4990" s="2" t="s">
        <v>15440</v>
      </c>
      <c r="E4990" s="2" t="s">
        <v>8516</v>
      </c>
      <c r="F4990" s="4">
        <v>7011</v>
      </c>
      <c r="G4990" s="2" t="s">
        <v>269</v>
      </c>
      <c r="H4990" s="2" t="s">
        <v>34</v>
      </c>
      <c r="I4990" s="2" t="s">
        <v>15441</v>
      </c>
      <c r="J4990" s="2" t="s">
        <v>6457</v>
      </c>
      <c r="K4990" s="2" t="s">
        <v>364</v>
      </c>
      <c r="L4990" s="2" t="s">
        <v>34</v>
      </c>
      <c r="M4990" s="7">
        <v>233.47900000000001</v>
      </c>
      <c r="N4990" s="6">
        <v>9.75</v>
      </c>
      <c r="O4990" s="5">
        <v>10.5</v>
      </c>
      <c r="P4990" s="2" t="s">
        <v>15442</v>
      </c>
      <c r="Q4990" s="6">
        <v>100</v>
      </c>
      <c r="R4990" s="6">
        <v>12</v>
      </c>
      <c r="S4990" s="5">
        <v>10.6</v>
      </c>
      <c r="T4990" s="7">
        <v>30.315999999999999</v>
      </c>
      <c r="U4990" s="5">
        <v>-3.7</v>
      </c>
      <c r="V4990" s="6">
        <v>1.67</v>
      </c>
      <c r="W4990" s="5">
        <v>7.5</v>
      </c>
      <c r="X4990" s="7">
        <v>8.125</v>
      </c>
      <c r="Y4990" s="7">
        <v>10.125</v>
      </c>
      <c r="Z4990" s="7">
        <v>9.625</v>
      </c>
      <c r="AA4990" s="6">
        <v>4.88</v>
      </c>
      <c r="AB4990" s="7">
        <v>10.427</v>
      </c>
      <c r="AC4990" s="6">
        <v>97.67</v>
      </c>
    </row>
    <row r="4991" spans="1:29" ht="52" x14ac:dyDescent="0.15">
      <c r="A4991" s="3">
        <f t="shared" si="111"/>
        <v>36439</v>
      </c>
      <c r="B4991" s="3">
        <f>DATE(1999,10,15)</f>
        <v>36448</v>
      </c>
      <c r="C4991" s="2" t="s">
        <v>95</v>
      </c>
      <c r="D4991" s="2" t="s">
        <v>3912</v>
      </c>
      <c r="E4991" s="2" t="s">
        <v>3913</v>
      </c>
      <c r="F4991" s="4">
        <v>4841</v>
      </c>
      <c r="G4991" s="2" t="s">
        <v>45</v>
      </c>
      <c r="H4991" s="2" t="s">
        <v>34</v>
      </c>
      <c r="I4991" s="2" t="s">
        <v>51</v>
      </c>
      <c r="J4991" s="2" t="s">
        <v>52</v>
      </c>
      <c r="K4991" s="2" t="s">
        <v>53</v>
      </c>
      <c r="L4991" s="2" t="s">
        <v>34</v>
      </c>
      <c r="M4991" s="2"/>
      <c r="N4991" s="2"/>
      <c r="O4991" s="2"/>
      <c r="P4991" s="2" t="s">
        <v>15443</v>
      </c>
      <c r="Q4991" s="6">
        <v>64.73</v>
      </c>
      <c r="R4991" s="6">
        <v>15.83</v>
      </c>
      <c r="S4991" s="5">
        <v>-6.7</v>
      </c>
      <c r="T4991" s="7">
        <v>-3.7959999999999998</v>
      </c>
      <c r="U4991" s="5">
        <v>0.9</v>
      </c>
      <c r="V4991" s="6">
        <v>-54.02</v>
      </c>
      <c r="W4991" s="6">
        <v>10.25</v>
      </c>
      <c r="X4991" s="6">
        <v>10.25</v>
      </c>
      <c r="Y4991" s="6">
        <v>10.25</v>
      </c>
      <c r="Z4991" s="6">
        <v>10.25</v>
      </c>
      <c r="AA4991" s="6">
        <v>6.54</v>
      </c>
      <c r="AB4991" s="2" t="s">
        <v>86</v>
      </c>
      <c r="AC4991" s="2"/>
    </row>
    <row r="4992" spans="1:29" ht="39" x14ac:dyDescent="0.15">
      <c r="A4992" s="3">
        <f t="shared" si="111"/>
        <v>36439</v>
      </c>
      <c r="B4992" s="2"/>
      <c r="C4992" s="2" t="s">
        <v>30</v>
      </c>
      <c r="D4992" s="2" t="s">
        <v>15444</v>
      </c>
      <c r="E4992" s="2" t="s">
        <v>15445</v>
      </c>
      <c r="F4992" s="4">
        <v>3842</v>
      </c>
      <c r="G4992" s="2" t="s">
        <v>226</v>
      </c>
      <c r="H4992" s="2" t="s">
        <v>34</v>
      </c>
      <c r="I4992" s="2" t="s">
        <v>138</v>
      </c>
      <c r="J4992" s="2" t="s">
        <v>139</v>
      </c>
      <c r="K4992" s="2" t="s">
        <v>53</v>
      </c>
      <c r="L4992" s="2" t="s">
        <v>139</v>
      </c>
      <c r="M4992" s="2"/>
      <c r="N4992" s="2"/>
      <c r="O4992" s="2"/>
      <c r="P4992" s="2" t="s">
        <v>15446</v>
      </c>
      <c r="Q4992" s="2"/>
      <c r="R4992" s="2"/>
      <c r="S4992" s="5">
        <v>-0.2</v>
      </c>
      <c r="T4992" s="7">
        <v>0.21299999999999999</v>
      </c>
      <c r="U4992" s="5">
        <v>0.1</v>
      </c>
      <c r="V4992" s="6">
        <v>-7.0000000000000007E-2</v>
      </c>
      <c r="W4992" s="7">
        <v>1.875</v>
      </c>
      <c r="X4992" s="7">
        <v>2.375</v>
      </c>
      <c r="Y4992" s="4">
        <v>3</v>
      </c>
      <c r="Z4992" s="7">
        <v>2.875</v>
      </c>
      <c r="AA4992" s="6">
        <v>2.88</v>
      </c>
      <c r="AB4992" s="2" t="s">
        <v>47</v>
      </c>
      <c r="AC4992" s="2"/>
    </row>
    <row r="4993" spans="1:29" ht="26" x14ac:dyDescent="0.15">
      <c r="A4993" s="3">
        <f t="shared" si="111"/>
        <v>36439</v>
      </c>
      <c r="B4993" s="2"/>
      <c r="C4993" s="2" t="s">
        <v>141</v>
      </c>
      <c r="D4993" s="2" t="s">
        <v>15447</v>
      </c>
      <c r="E4993" s="2" t="s">
        <v>612</v>
      </c>
      <c r="F4993" s="4">
        <v>1311</v>
      </c>
      <c r="G4993" s="2" t="s">
        <v>148</v>
      </c>
      <c r="H4993" s="2" t="s">
        <v>34</v>
      </c>
      <c r="I4993" s="2" t="s">
        <v>143</v>
      </c>
      <c r="J4993" s="2" t="s">
        <v>144</v>
      </c>
      <c r="K4993" s="2" t="s">
        <v>53</v>
      </c>
      <c r="L4993" s="2" t="s">
        <v>139</v>
      </c>
      <c r="M4993" s="2"/>
      <c r="N4993" s="2"/>
      <c r="O4993" s="2"/>
      <c r="P4993" s="2" t="s">
        <v>15448</v>
      </c>
      <c r="Q4993" s="2"/>
      <c r="R4993" s="2"/>
      <c r="S4993" s="5">
        <v>-53</v>
      </c>
      <c r="T4993" s="7">
        <v>208.50299999999999</v>
      </c>
      <c r="U4993" s="5">
        <v>6.6</v>
      </c>
      <c r="V4993" s="6">
        <v>-1.1100000000000001</v>
      </c>
      <c r="W4993" s="7">
        <v>22.375</v>
      </c>
      <c r="X4993" s="7">
        <v>22.937999999999999</v>
      </c>
      <c r="Y4993" s="6">
        <v>23.75</v>
      </c>
      <c r="Z4993" s="7">
        <v>24.375</v>
      </c>
      <c r="AA4993" s="6">
        <v>49.12</v>
      </c>
      <c r="AB4993" s="2" t="s">
        <v>47</v>
      </c>
      <c r="AC4993" s="2"/>
    </row>
    <row r="4994" spans="1:29" ht="130" x14ac:dyDescent="0.15">
      <c r="A4994" s="3">
        <f t="shared" si="111"/>
        <v>36439</v>
      </c>
      <c r="B4994" s="3">
        <f>DATE(2000,5,5)</f>
        <v>36651</v>
      </c>
      <c r="C4994" s="2" t="s">
        <v>95</v>
      </c>
      <c r="D4994" s="2" t="s">
        <v>15449</v>
      </c>
      <c r="E4994" s="2" t="s">
        <v>9854</v>
      </c>
      <c r="F4994" s="4">
        <v>6282</v>
      </c>
      <c r="G4994" s="2" t="s">
        <v>53</v>
      </c>
      <c r="H4994" s="2" t="s">
        <v>34</v>
      </c>
      <c r="I4994" s="2" t="s">
        <v>15450</v>
      </c>
      <c r="J4994" s="2" t="s">
        <v>4060</v>
      </c>
      <c r="K4994" s="2" t="s">
        <v>125</v>
      </c>
      <c r="L4994" s="2" t="s">
        <v>1049</v>
      </c>
      <c r="M4994" s="2"/>
      <c r="N4994" s="2"/>
      <c r="O4994" s="2"/>
      <c r="P4994" s="2" t="s">
        <v>15451</v>
      </c>
      <c r="Q4994" s="6">
        <v>100</v>
      </c>
      <c r="R4994" s="6">
        <v>38.75</v>
      </c>
      <c r="S4994" s="5">
        <v>76.099999999999994</v>
      </c>
      <c r="T4994" s="2"/>
      <c r="U4994" s="5">
        <v>9.3000000000000007</v>
      </c>
      <c r="V4994" s="6">
        <v>1.49</v>
      </c>
      <c r="W4994" s="7">
        <v>32.938000000000002</v>
      </c>
      <c r="X4994" s="6">
        <v>32.75</v>
      </c>
      <c r="Y4994" s="7">
        <v>34.938000000000002</v>
      </c>
      <c r="Z4994" s="7">
        <v>34.875</v>
      </c>
      <c r="AA4994" s="6">
        <v>49.25</v>
      </c>
      <c r="AB4994" s="7">
        <v>25.507999999999999</v>
      </c>
      <c r="AC4994" s="10">
        <v>2229.64</v>
      </c>
    </row>
    <row r="4995" spans="1:29" ht="65" x14ac:dyDescent="0.15">
      <c r="A4995" s="3">
        <f t="shared" si="111"/>
        <v>36439</v>
      </c>
      <c r="B4995" s="3">
        <f>DATE(2000,3,8)</f>
        <v>36593</v>
      </c>
      <c r="C4995" s="2" t="s">
        <v>95</v>
      </c>
      <c r="D4995" s="2" t="s">
        <v>15452</v>
      </c>
      <c r="E4995" s="2" t="s">
        <v>15453</v>
      </c>
      <c r="F4995" s="4">
        <v>2448</v>
      </c>
      <c r="G4995" s="2" t="s">
        <v>250</v>
      </c>
      <c r="H4995" s="2" t="s">
        <v>34</v>
      </c>
      <c r="I4995" s="2" t="s">
        <v>15454</v>
      </c>
      <c r="J4995" s="2" t="s">
        <v>9285</v>
      </c>
      <c r="K4995" s="2" t="s">
        <v>447</v>
      </c>
      <c r="L4995" s="2" t="s">
        <v>1049</v>
      </c>
      <c r="M4995" s="2"/>
      <c r="N4995" s="2"/>
      <c r="O4995" s="2"/>
      <c r="P4995" s="2" t="s">
        <v>15455</v>
      </c>
      <c r="Q4995" s="6">
        <v>100</v>
      </c>
      <c r="R4995" s="6">
        <v>9</v>
      </c>
      <c r="S4995" s="5">
        <v>8.6</v>
      </c>
      <c r="T4995" s="7">
        <v>46.648000000000003</v>
      </c>
      <c r="U4995" s="5">
        <v>5.0999999999999996</v>
      </c>
      <c r="V4995" s="6">
        <v>0.43</v>
      </c>
      <c r="W4995" s="7">
        <v>8.2810000000000006</v>
      </c>
      <c r="X4995" s="7">
        <v>8.625</v>
      </c>
      <c r="Y4995" s="9">
        <v>7.5625</v>
      </c>
      <c r="Z4995" s="6">
        <v>8.75</v>
      </c>
      <c r="AA4995" s="6">
        <v>19.579999999999998</v>
      </c>
      <c r="AB4995" s="7">
        <v>10.984</v>
      </c>
      <c r="AC4995" s="2"/>
    </row>
    <row r="4996" spans="1:29" ht="91" x14ac:dyDescent="0.15">
      <c r="A4996" s="3">
        <f>DATE(1999,10,7)</f>
        <v>36440</v>
      </c>
      <c r="B4996" s="2"/>
      <c r="C4996" s="2" t="s">
        <v>30</v>
      </c>
      <c r="D4996" s="2" t="s">
        <v>4819</v>
      </c>
      <c r="E4996" s="2" t="s">
        <v>4820</v>
      </c>
      <c r="F4996" s="4">
        <v>7993</v>
      </c>
      <c r="G4996" s="2" t="s">
        <v>364</v>
      </c>
      <c r="H4996" s="2" t="s">
        <v>34</v>
      </c>
      <c r="I4996" s="2" t="s">
        <v>3912</v>
      </c>
      <c r="J4996" s="2" t="s">
        <v>3913</v>
      </c>
      <c r="K4996" s="2" t="s">
        <v>45</v>
      </c>
      <c r="L4996" s="2" t="s">
        <v>34</v>
      </c>
      <c r="M4996" s="7">
        <v>67.010999999999996</v>
      </c>
      <c r="N4996" s="6">
        <v>10.25</v>
      </c>
      <c r="O4996" s="6">
        <v>10.25</v>
      </c>
      <c r="P4996" s="2" t="s">
        <v>15456</v>
      </c>
      <c r="Q4996" s="2"/>
      <c r="R4996" s="6">
        <v>11</v>
      </c>
      <c r="S4996" s="5">
        <v>10.8</v>
      </c>
      <c r="T4996" s="7">
        <v>8.1890000000000001</v>
      </c>
      <c r="U4996" s="5">
        <v>9.5</v>
      </c>
      <c r="V4996" s="7">
        <v>1.252</v>
      </c>
      <c r="W4996" s="6">
        <v>8.75</v>
      </c>
      <c r="X4996" s="7">
        <v>8.625</v>
      </c>
      <c r="Y4996" s="7">
        <v>8.625</v>
      </c>
      <c r="Z4996" s="9">
        <v>9.8125</v>
      </c>
      <c r="AA4996" s="6">
        <v>8.6199999999999992</v>
      </c>
      <c r="AB4996" s="7">
        <v>12.003</v>
      </c>
      <c r="AC4996" s="5">
        <v>0.2</v>
      </c>
    </row>
    <row r="4997" spans="1:29" ht="104" x14ac:dyDescent="0.15">
      <c r="A4997" s="3">
        <f>DATE(1999,10,7)</f>
        <v>36440</v>
      </c>
      <c r="B4997" s="3">
        <f>DATE(2000,1,19)</f>
        <v>36544</v>
      </c>
      <c r="C4997" s="2" t="s">
        <v>95</v>
      </c>
      <c r="D4997" s="2" t="s">
        <v>15457</v>
      </c>
      <c r="E4997" s="2" t="s">
        <v>15458</v>
      </c>
      <c r="F4997" s="4">
        <v>3144</v>
      </c>
      <c r="G4997" s="2" t="s">
        <v>326</v>
      </c>
      <c r="H4997" s="2" t="s">
        <v>34</v>
      </c>
      <c r="I4997" s="2" t="s">
        <v>15459</v>
      </c>
      <c r="J4997" s="2" t="s">
        <v>1563</v>
      </c>
      <c r="K4997" s="2" t="s">
        <v>125</v>
      </c>
      <c r="L4997" s="2" t="s">
        <v>34</v>
      </c>
      <c r="M4997" s="2"/>
      <c r="N4997" s="2"/>
      <c r="O4997" s="2"/>
      <c r="P4997" s="2" t="s">
        <v>15460</v>
      </c>
      <c r="Q4997" s="6">
        <v>100</v>
      </c>
      <c r="R4997" s="6">
        <v>11.75</v>
      </c>
      <c r="S4997" s="5">
        <v>2.1</v>
      </c>
      <c r="T4997" s="2"/>
      <c r="U4997" s="5">
        <v>9.5</v>
      </c>
      <c r="V4997" s="6">
        <v>1.52</v>
      </c>
      <c r="W4997" s="6">
        <v>11.75</v>
      </c>
      <c r="X4997" s="7">
        <v>11.563000000000001</v>
      </c>
      <c r="Y4997" s="7">
        <v>11.625</v>
      </c>
      <c r="Z4997" s="7">
        <v>11.625</v>
      </c>
      <c r="AA4997" s="6">
        <v>1.39</v>
      </c>
      <c r="AB4997" s="7">
        <v>3.8580000000000001</v>
      </c>
      <c r="AC4997" s="2"/>
    </row>
    <row r="4998" spans="1:29" ht="52" x14ac:dyDescent="0.15">
      <c r="A4998" s="3">
        <f>DATE(1999,10,7)</f>
        <v>36440</v>
      </c>
      <c r="B4998" s="3">
        <f>DATE(2000,4,1)</f>
        <v>36617</v>
      </c>
      <c r="C4998" s="2" t="s">
        <v>95</v>
      </c>
      <c r="D4998" s="2" t="s">
        <v>5073</v>
      </c>
      <c r="E4998" s="2" t="s">
        <v>15461</v>
      </c>
      <c r="F4998" s="4">
        <v>6162</v>
      </c>
      <c r="G4998" s="2" t="s">
        <v>109</v>
      </c>
      <c r="H4998" s="2" t="s">
        <v>34</v>
      </c>
      <c r="I4998" s="2" t="s">
        <v>4138</v>
      </c>
      <c r="J4998" s="2" t="s">
        <v>658</v>
      </c>
      <c r="K4998" s="2" t="s">
        <v>551</v>
      </c>
      <c r="L4998" s="2" t="s">
        <v>34</v>
      </c>
      <c r="M4998" s="12">
        <v>2013.7619999999999</v>
      </c>
      <c r="N4998" s="4">
        <v>27</v>
      </c>
      <c r="O4998" s="6">
        <v>26.25</v>
      </c>
      <c r="P4998" s="2" t="s">
        <v>15462</v>
      </c>
      <c r="Q4998" s="6">
        <v>100</v>
      </c>
      <c r="R4998" s="6">
        <v>23</v>
      </c>
      <c r="S4998" s="5">
        <v>0.4</v>
      </c>
      <c r="T4998" s="7">
        <v>9.2409999999999997</v>
      </c>
      <c r="U4998" s="5">
        <v>3.3</v>
      </c>
      <c r="V4998" s="6">
        <v>0.04</v>
      </c>
      <c r="W4998" s="7">
        <v>18.312999999999999</v>
      </c>
      <c r="X4998" s="7">
        <v>20.125</v>
      </c>
      <c r="Y4998" s="4">
        <v>20</v>
      </c>
      <c r="Z4998" s="7">
        <v>20.062999999999999</v>
      </c>
      <c r="AA4998" s="6">
        <v>14.84</v>
      </c>
      <c r="AB4998" s="7">
        <v>57.472000000000001</v>
      </c>
      <c r="AC4998" s="10">
        <v>1254.75</v>
      </c>
    </row>
    <row r="4999" spans="1:29" ht="52" x14ac:dyDescent="0.15">
      <c r="A4999" s="3">
        <f>DATE(1999,10,8)</f>
        <v>36441</v>
      </c>
      <c r="B4999" s="2"/>
      <c r="C4999" s="2" t="s">
        <v>30</v>
      </c>
      <c r="D4999" s="2" t="s">
        <v>6738</v>
      </c>
      <c r="E4999" s="2" t="s">
        <v>6739</v>
      </c>
      <c r="F4999" s="4">
        <v>3679</v>
      </c>
      <c r="G4999" s="2" t="s">
        <v>137</v>
      </c>
      <c r="H4999" s="2" t="s">
        <v>34</v>
      </c>
      <c r="I4999" s="2" t="s">
        <v>51</v>
      </c>
      <c r="J4999" s="2" t="s">
        <v>52</v>
      </c>
      <c r="K4999" s="2" t="s">
        <v>53</v>
      </c>
      <c r="L4999" s="2" t="s">
        <v>34</v>
      </c>
      <c r="M4999" s="2"/>
      <c r="N4999" s="2"/>
      <c r="O4999" s="2"/>
      <c r="P4999" s="2" t="s">
        <v>15463</v>
      </c>
      <c r="Q4999" s="2"/>
      <c r="R4999" s="6">
        <v>5.3</v>
      </c>
      <c r="S4999" s="5">
        <v>1.1000000000000001</v>
      </c>
      <c r="T4999" s="7">
        <v>-3.9790000000000001</v>
      </c>
      <c r="U4999" s="5">
        <v>4.2</v>
      </c>
      <c r="V4999" s="6">
        <v>-0.28000000000000003</v>
      </c>
      <c r="W4999" s="7">
        <v>4.5629999999999997</v>
      </c>
      <c r="X4999" s="7">
        <v>4.5629999999999997</v>
      </c>
      <c r="Y4999" s="7">
        <v>4.875</v>
      </c>
      <c r="Z4999" s="9">
        <v>4.9375</v>
      </c>
      <c r="AA4999" s="6">
        <v>9.61</v>
      </c>
      <c r="AB4999" s="2" t="s">
        <v>86</v>
      </c>
      <c r="AC4999" s="2"/>
    </row>
    <row r="5000" spans="1:29" ht="143" x14ac:dyDescent="0.15">
      <c r="A5000" s="3">
        <f>DATE(1999,10,10)</f>
        <v>36443</v>
      </c>
      <c r="B5000" s="3">
        <f>DATE(1999,12,16)</f>
        <v>36510</v>
      </c>
      <c r="C5000" s="2" t="s">
        <v>95</v>
      </c>
      <c r="D5000" s="2" t="s">
        <v>8057</v>
      </c>
      <c r="E5000" s="2" t="s">
        <v>8058</v>
      </c>
      <c r="F5000" s="4">
        <v>3949</v>
      </c>
      <c r="G5000" s="2" t="s">
        <v>112</v>
      </c>
      <c r="H5000" s="2" t="s">
        <v>34</v>
      </c>
      <c r="I5000" s="2" t="s">
        <v>8059</v>
      </c>
      <c r="J5000" s="2" t="s">
        <v>8060</v>
      </c>
      <c r="K5000" s="2" t="s">
        <v>708</v>
      </c>
      <c r="L5000" s="2" t="s">
        <v>34</v>
      </c>
      <c r="M5000" s="12">
        <v>1151.8389999999999</v>
      </c>
      <c r="N5000" s="7">
        <v>19.125</v>
      </c>
      <c r="O5000" s="7">
        <v>19.125</v>
      </c>
      <c r="P5000" s="2" t="s">
        <v>15464</v>
      </c>
      <c r="Q5000" s="6">
        <v>100</v>
      </c>
      <c r="R5000" s="6">
        <v>20.8</v>
      </c>
      <c r="S5000" s="5">
        <v>26.8</v>
      </c>
      <c r="T5000" s="7">
        <v>68.355000000000004</v>
      </c>
      <c r="U5000" s="5">
        <v>6.5</v>
      </c>
      <c r="V5000" s="6">
        <v>1.26</v>
      </c>
      <c r="W5000" s="7">
        <v>17.687999999999999</v>
      </c>
      <c r="X5000" s="7">
        <v>17.562999999999999</v>
      </c>
      <c r="Y5000" s="2"/>
      <c r="Z5000" s="7">
        <v>19.812999999999999</v>
      </c>
      <c r="AA5000" s="6">
        <v>23</v>
      </c>
      <c r="AB5000" s="7">
        <v>9.7639999999999993</v>
      </c>
      <c r="AC5000" s="6">
        <v>13.86</v>
      </c>
    </row>
    <row r="5001" spans="1:29" ht="104" x14ac:dyDescent="0.15">
      <c r="A5001" s="3">
        <f>DATE(1999,10,11)</f>
        <v>36444</v>
      </c>
      <c r="B5001" s="3">
        <f>DATE(1999,12,31)</f>
        <v>36525</v>
      </c>
      <c r="C5001" s="2" t="s">
        <v>95</v>
      </c>
      <c r="D5001" s="2" t="s">
        <v>15465</v>
      </c>
      <c r="E5001" s="2" t="s">
        <v>15466</v>
      </c>
      <c r="F5001" s="4">
        <v>7372</v>
      </c>
      <c r="G5001" s="2" t="s">
        <v>551</v>
      </c>
      <c r="H5001" s="2" t="s">
        <v>34</v>
      </c>
      <c r="I5001" s="2" t="s">
        <v>15467</v>
      </c>
      <c r="J5001" s="2" t="s">
        <v>15468</v>
      </c>
      <c r="K5001" s="2" t="s">
        <v>551</v>
      </c>
      <c r="L5001" s="2" t="s">
        <v>34</v>
      </c>
      <c r="M5001" s="12">
        <v>4378.4409999999998</v>
      </c>
      <c r="N5001" s="7">
        <v>16.375</v>
      </c>
      <c r="O5001" s="7">
        <v>15.688000000000001</v>
      </c>
      <c r="P5001" s="2" t="s">
        <v>15469</v>
      </c>
      <c r="Q5001" s="6">
        <v>100</v>
      </c>
      <c r="R5001" s="6">
        <v>14.23</v>
      </c>
      <c r="S5001" s="5">
        <v>-7.9</v>
      </c>
      <c r="T5001" s="7">
        <v>3.8639999999999999</v>
      </c>
      <c r="U5001" s="5">
        <v>2.2999999999999998</v>
      </c>
      <c r="V5001" s="6">
        <v>-0.3</v>
      </c>
      <c r="W5001" s="5">
        <v>8.5</v>
      </c>
      <c r="X5001" s="7">
        <v>8.9380000000000006</v>
      </c>
      <c r="Y5001" s="7">
        <v>11.938000000000001</v>
      </c>
      <c r="Z5001" s="7">
        <v>11.563000000000001</v>
      </c>
      <c r="AA5001" s="6">
        <v>27.05</v>
      </c>
      <c r="AB5001" s="2" t="s">
        <v>86</v>
      </c>
      <c r="AC5001" s="6">
        <v>486.44</v>
      </c>
    </row>
    <row r="5002" spans="1:29" ht="78" x14ac:dyDescent="0.15">
      <c r="A5002" s="3">
        <f>DATE(1999,10,12)</f>
        <v>36445</v>
      </c>
      <c r="B5002" s="3">
        <f>DATE(1999,12,20)</f>
        <v>36514</v>
      </c>
      <c r="C5002" s="2" t="s">
        <v>95</v>
      </c>
      <c r="D5002" s="2" t="s">
        <v>13596</v>
      </c>
      <c r="E5002" s="2" t="s">
        <v>11058</v>
      </c>
      <c r="F5002" s="4">
        <v>6411</v>
      </c>
      <c r="G5002" s="2" t="s">
        <v>125</v>
      </c>
      <c r="H5002" s="2" t="s">
        <v>34</v>
      </c>
      <c r="I5002" s="2" t="s">
        <v>9147</v>
      </c>
      <c r="J5002" s="2" t="s">
        <v>515</v>
      </c>
      <c r="K5002" s="2" t="s">
        <v>125</v>
      </c>
      <c r="L5002" s="2" t="s">
        <v>34</v>
      </c>
      <c r="M5002" s="7">
        <v>822.04100000000005</v>
      </c>
      <c r="N5002" s="7">
        <v>15.438000000000001</v>
      </c>
      <c r="O5002" s="7">
        <v>15.813000000000001</v>
      </c>
      <c r="P5002" s="2" t="s">
        <v>15470</v>
      </c>
      <c r="Q5002" s="6">
        <v>100</v>
      </c>
      <c r="R5002" s="6">
        <v>12.5</v>
      </c>
      <c r="S5002" s="5">
        <v>1</v>
      </c>
      <c r="T5002" s="2"/>
      <c r="U5002" s="5">
        <v>7</v>
      </c>
      <c r="V5002" s="6">
        <v>-7.0000000000000007E-2</v>
      </c>
      <c r="W5002" s="7">
        <v>9.9380000000000006</v>
      </c>
      <c r="X5002" s="7">
        <v>10.313000000000001</v>
      </c>
      <c r="Y5002" s="5">
        <v>11.5</v>
      </c>
      <c r="Z5002" s="6">
        <v>11.75</v>
      </c>
      <c r="AA5002" s="6">
        <v>11.64</v>
      </c>
      <c r="AB5002" s="7">
        <v>14.215999999999999</v>
      </c>
      <c r="AC5002" s="6">
        <v>93.29</v>
      </c>
    </row>
    <row r="5003" spans="1:29" ht="130" x14ac:dyDescent="0.15">
      <c r="A5003" s="3">
        <f>DATE(1999,10,13)</f>
        <v>36446</v>
      </c>
      <c r="B5003" s="2"/>
      <c r="C5003" s="2" t="s">
        <v>30</v>
      </c>
      <c r="D5003" s="2" t="s">
        <v>15471</v>
      </c>
      <c r="E5003" s="2" t="s">
        <v>302</v>
      </c>
      <c r="F5003" s="4">
        <v>6799</v>
      </c>
      <c r="G5003" s="2" t="s">
        <v>53</v>
      </c>
      <c r="H5003" s="2" t="s">
        <v>34</v>
      </c>
      <c r="I5003" s="2" t="s">
        <v>15472</v>
      </c>
      <c r="J5003" s="2" t="s">
        <v>15473</v>
      </c>
      <c r="K5003" s="2" t="s">
        <v>76</v>
      </c>
      <c r="L5003" s="2" t="s">
        <v>34</v>
      </c>
      <c r="M5003" s="7">
        <v>8.1530000000000005</v>
      </c>
      <c r="N5003" s="7">
        <v>2.375</v>
      </c>
      <c r="O5003" s="7">
        <v>2.3130000000000002</v>
      </c>
      <c r="P5003" s="2" t="s">
        <v>15474</v>
      </c>
      <c r="Q5003" s="2"/>
      <c r="R5003" s="2"/>
      <c r="S5003" s="2"/>
      <c r="T5003" s="2"/>
      <c r="U5003" s="2"/>
      <c r="V5003" s="2"/>
      <c r="W5003" s="4">
        <v>6</v>
      </c>
      <c r="X5003" s="7">
        <v>6.625</v>
      </c>
      <c r="Y5003" s="5">
        <v>6.5</v>
      </c>
      <c r="Z5003" s="5">
        <v>6.5</v>
      </c>
      <c r="AA5003" s="6">
        <v>22.5</v>
      </c>
      <c r="AB5003" s="2" t="s">
        <v>47</v>
      </c>
      <c r="AC5003" s="6">
        <v>2.39</v>
      </c>
    </row>
    <row r="5004" spans="1:29" ht="104" x14ac:dyDescent="0.15">
      <c r="A5004" s="3">
        <f>DATE(1999,10,13)</f>
        <v>36446</v>
      </c>
      <c r="B5004" s="2"/>
      <c r="C5004" s="2" t="s">
        <v>30</v>
      </c>
      <c r="D5004" s="2" t="s">
        <v>14675</v>
      </c>
      <c r="E5004" s="2" t="s">
        <v>1977</v>
      </c>
      <c r="F5004" s="4">
        <v>4911</v>
      </c>
      <c r="G5004" s="2" t="s">
        <v>439</v>
      </c>
      <c r="H5004" s="2" t="s">
        <v>34</v>
      </c>
      <c r="I5004" s="2" t="s">
        <v>12106</v>
      </c>
      <c r="J5004" s="2" t="s">
        <v>12107</v>
      </c>
      <c r="K5004" s="2" t="s">
        <v>439</v>
      </c>
      <c r="L5004" s="2" t="s">
        <v>34</v>
      </c>
      <c r="M5004" s="10">
        <v>9573.0499999999993</v>
      </c>
      <c r="N5004" s="7">
        <v>36.375</v>
      </c>
      <c r="O5004" s="6">
        <v>37.25</v>
      </c>
      <c r="P5004" s="2" t="s">
        <v>15475</v>
      </c>
      <c r="Q5004" s="2"/>
      <c r="R5004" s="6">
        <v>25</v>
      </c>
      <c r="S5004" s="5">
        <v>-66.5</v>
      </c>
      <c r="T5004" s="12">
        <v>1168.9580000000001</v>
      </c>
      <c r="U5004" s="5">
        <v>15.3</v>
      </c>
      <c r="V5004" s="6">
        <v>-0.69</v>
      </c>
      <c r="W5004" s="6">
        <v>18.25</v>
      </c>
      <c r="X5004" s="7">
        <v>18.687999999999999</v>
      </c>
      <c r="Y5004" s="9">
        <v>20.5625</v>
      </c>
      <c r="Z5004" s="7">
        <v>21.125</v>
      </c>
      <c r="AA5004" s="6">
        <v>131.44999999999999</v>
      </c>
      <c r="AB5004" s="7">
        <v>16.405000000000001</v>
      </c>
      <c r="AC5004" s="6">
        <v>188.94</v>
      </c>
    </row>
    <row r="5005" spans="1:29" ht="104" x14ac:dyDescent="0.15">
      <c r="A5005" s="3">
        <f>DATE(1999,10,14)</f>
        <v>36447</v>
      </c>
      <c r="B5005" s="3">
        <f>DATE(1999,11,20)</f>
        <v>36484</v>
      </c>
      <c r="C5005" s="2" t="s">
        <v>95</v>
      </c>
      <c r="D5005" s="2" t="s">
        <v>8772</v>
      </c>
      <c r="E5005" s="2" t="s">
        <v>8773</v>
      </c>
      <c r="F5005" s="4">
        <v>3663</v>
      </c>
      <c r="G5005" s="2" t="s">
        <v>921</v>
      </c>
      <c r="H5005" s="2" t="s">
        <v>34</v>
      </c>
      <c r="I5005" s="2" t="s">
        <v>10177</v>
      </c>
      <c r="J5005" s="2" t="s">
        <v>10178</v>
      </c>
      <c r="K5005" s="2" t="s">
        <v>137</v>
      </c>
      <c r="L5005" s="2" t="s">
        <v>34</v>
      </c>
      <c r="M5005" s="8">
        <v>273323.5</v>
      </c>
      <c r="N5005" s="7">
        <v>73.343999999999994</v>
      </c>
      <c r="O5005" s="7">
        <v>70.875</v>
      </c>
      <c r="P5005" s="2" t="s">
        <v>15476</v>
      </c>
      <c r="Q5005" s="6">
        <v>100</v>
      </c>
      <c r="R5005" s="6">
        <v>36</v>
      </c>
      <c r="S5005" s="5">
        <v>33.6</v>
      </c>
      <c r="T5005" s="7">
        <v>38.902999999999999</v>
      </c>
      <c r="U5005" s="5">
        <v>3.8</v>
      </c>
      <c r="V5005" s="6">
        <v>0.77</v>
      </c>
      <c r="W5005" s="6">
        <v>24.75</v>
      </c>
      <c r="X5005" s="4">
        <v>28</v>
      </c>
      <c r="Y5005" s="7">
        <v>34.938000000000002</v>
      </c>
      <c r="Z5005" s="7">
        <v>35.063000000000002</v>
      </c>
      <c r="AA5005" s="6">
        <v>41.03</v>
      </c>
      <c r="AB5005" s="7">
        <v>45.444000000000003</v>
      </c>
      <c r="AC5005" s="8">
        <v>11891</v>
      </c>
    </row>
    <row r="5006" spans="1:29" ht="104" x14ac:dyDescent="0.15">
      <c r="A5006" s="3">
        <f>DATE(1999,10,14)</f>
        <v>36447</v>
      </c>
      <c r="B5006" s="3">
        <f>DATE(1999,12,22)</f>
        <v>36516</v>
      </c>
      <c r="C5006" s="2" t="s">
        <v>95</v>
      </c>
      <c r="D5006" s="2" t="s">
        <v>15477</v>
      </c>
      <c r="E5006" s="2" t="s">
        <v>3461</v>
      </c>
      <c r="F5006" s="4">
        <v>2834</v>
      </c>
      <c r="G5006" s="2" t="s">
        <v>130</v>
      </c>
      <c r="H5006" s="2" t="s">
        <v>34</v>
      </c>
      <c r="I5006" s="2" t="s">
        <v>15478</v>
      </c>
      <c r="J5006" s="2" t="s">
        <v>15479</v>
      </c>
      <c r="K5006" s="2" t="s">
        <v>130</v>
      </c>
      <c r="L5006" s="2" t="s">
        <v>34</v>
      </c>
      <c r="M5006" s="12">
        <v>2629.152</v>
      </c>
      <c r="N5006" s="7">
        <v>83.468999999999994</v>
      </c>
      <c r="O5006" s="6">
        <v>62.25</v>
      </c>
      <c r="P5006" s="2" t="s">
        <v>15480</v>
      </c>
      <c r="Q5006" s="6">
        <v>100</v>
      </c>
      <c r="R5006" s="6">
        <v>35.869999999999997</v>
      </c>
      <c r="S5006" s="5">
        <v>-24.2</v>
      </c>
      <c r="T5006" s="7">
        <v>-17.221</v>
      </c>
      <c r="U5006" s="5">
        <v>2</v>
      </c>
      <c r="V5006" s="6">
        <v>-1.89</v>
      </c>
      <c r="W5006" s="6">
        <v>18.75</v>
      </c>
      <c r="X5006" s="7">
        <v>22.375</v>
      </c>
      <c r="Y5006" s="7">
        <v>24.125</v>
      </c>
      <c r="Z5006" s="4">
        <v>25</v>
      </c>
      <c r="AA5006" s="6">
        <v>14.61</v>
      </c>
      <c r="AB5006" s="2" t="s">
        <v>86</v>
      </c>
      <c r="AC5006" s="6">
        <v>225.18</v>
      </c>
    </row>
    <row r="5007" spans="1:29" ht="91" x14ac:dyDescent="0.15">
      <c r="A5007" s="3">
        <f>DATE(1999,10,14)</f>
        <v>36447</v>
      </c>
      <c r="B5007" s="3">
        <f>DATE(2000,2,4)</f>
        <v>36560</v>
      </c>
      <c r="C5007" s="2" t="s">
        <v>95</v>
      </c>
      <c r="D5007" s="2" t="s">
        <v>15481</v>
      </c>
      <c r="E5007" s="2" t="s">
        <v>15482</v>
      </c>
      <c r="F5007" s="4">
        <v>4011</v>
      </c>
      <c r="G5007" s="2" t="s">
        <v>173</v>
      </c>
      <c r="H5007" s="2" t="s">
        <v>34</v>
      </c>
      <c r="I5007" s="2" t="s">
        <v>15483</v>
      </c>
      <c r="J5007" s="2" t="s">
        <v>15484</v>
      </c>
      <c r="K5007" s="2" t="s">
        <v>173</v>
      </c>
      <c r="L5007" s="2" t="s">
        <v>34</v>
      </c>
      <c r="M5007" s="7">
        <v>113.63200000000001</v>
      </c>
      <c r="N5007" s="6">
        <v>9.75</v>
      </c>
      <c r="O5007" s="7">
        <v>8.7189999999999994</v>
      </c>
      <c r="P5007" s="2" t="s">
        <v>15485</v>
      </c>
      <c r="Q5007" s="6">
        <v>100</v>
      </c>
      <c r="R5007" s="6">
        <v>19.96</v>
      </c>
      <c r="S5007" s="5">
        <v>15.5</v>
      </c>
      <c r="T5007" s="7">
        <v>47.024000000000001</v>
      </c>
      <c r="U5007" s="5">
        <v>16.7</v>
      </c>
      <c r="V5007" s="6">
        <v>1.66</v>
      </c>
      <c r="W5007" s="7">
        <v>15.813000000000001</v>
      </c>
      <c r="X5007" s="5">
        <v>15.5</v>
      </c>
      <c r="Y5007" s="7">
        <v>15.625</v>
      </c>
      <c r="Z5007" s="4">
        <v>17</v>
      </c>
      <c r="AA5007" s="6">
        <v>9.2899999999999991</v>
      </c>
      <c r="AB5007" s="7">
        <v>9.8260000000000005</v>
      </c>
      <c r="AC5007" s="5">
        <v>13.9</v>
      </c>
    </row>
    <row r="5008" spans="1:29" ht="78" x14ac:dyDescent="0.15">
      <c r="A5008" s="3">
        <f>DATE(1999,10,15)</f>
        <v>36448</v>
      </c>
      <c r="B5008" s="2"/>
      <c r="C5008" s="2" t="s">
        <v>30</v>
      </c>
      <c r="D5008" s="2" t="s">
        <v>9117</v>
      </c>
      <c r="E5008" s="2" t="s">
        <v>9118</v>
      </c>
      <c r="F5008" s="4">
        <v>8071</v>
      </c>
      <c r="G5008" s="2" t="s">
        <v>454</v>
      </c>
      <c r="H5008" s="2" t="s">
        <v>34</v>
      </c>
      <c r="I5008" s="2" t="s">
        <v>15486</v>
      </c>
      <c r="J5008" s="2" t="s">
        <v>15487</v>
      </c>
      <c r="K5008" s="2" t="s">
        <v>130</v>
      </c>
      <c r="L5008" s="2" t="s">
        <v>34</v>
      </c>
      <c r="M5008" s="2"/>
      <c r="N5008" s="2"/>
      <c r="O5008" s="2"/>
      <c r="P5008" s="2" t="s">
        <v>15488</v>
      </c>
      <c r="Q5008" s="2"/>
      <c r="R5008" s="6">
        <v>10</v>
      </c>
      <c r="S5008" s="5">
        <v>12.1</v>
      </c>
      <c r="T5008" s="7">
        <v>10.026</v>
      </c>
      <c r="U5008" s="5">
        <v>1.7</v>
      </c>
      <c r="V5008" s="6">
        <v>0.38</v>
      </c>
      <c r="W5008" s="4">
        <v>8</v>
      </c>
      <c r="X5008" s="5">
        <v>7.5</v>
      </c>
      <c r="Y5008" s="4">
        <v>7</v>
      </c>
      <c r="Z5008" s="7">
        <v>8.375</v>
      </c>
      <c r="AA5008" s="6">
        <v>32.07</v>
      </c>
      <c r="AB5008" s="7">
        <v>43.67</v>
      </c>
      <c r="AC5008" s="2"/>
    </row>
    <row r="5009" spans="1:29" ht="39" x14ac:dyDescent="0.15">
      <c r="A5009" s="3">
        <f>DATE(1999,10,15)</f>
        <v>36448</v>
      </c>
      <c r="B5009" s="3">
        <f>DATE(2000,1,5)</f>
        <v>36530</v>
      </c>
      <c r="C5009" s="2" t="s">
        <v>95</v>
      </c>
      <c r="D5009" s="2" t="s">
        <v>15489</v>
      </c>
      <c r="E5009" s="2" t="s">
        <v>177</v>
      </c>
      <c r="F5009" s="4">
        <v>1311</v>
      </c>
      <c r="G5009" s="2" t="s">
        <v>148</v>
      </c>
      <c r="H5009" s="2" t="s">
        <v>34</v>
      </c>
      <c r="I5009" s="2" t="s">
        <v>14017</v>
      </c>
      <c r="J5009" s="2" t="s">
        <v>1387</v>
      </c>
      <c r="K5009" s="2" t="s">
        <v>439</v>
      </c>
      <c r="L5009" s="2" t="s">
        <v>34</v>
      </c>
      <c r="M5009" s="12">
        <v>4595.1040000000003</v>
      </c>
      <c r="N5009" s="7">
        <v>40.375</v>
      </c>
      <c r="O5009" s="7">
        <v>41.375</v>
      </c>
      <c r="P5009" s="2" t="s">
        <v>15490</v>
      </c>
      <c r="Q5009" s="6">
        <v>100</v>
      </c>
      <c r="R5009" s="6">
        <v>57</v>
      </c>
      <c r="S5009" s="5">
        <v>0.1</v>
      </c>
      <c r="T5009" s="7">
        <v>7.7709999999999999</v>
      </c>
      <c r="U5009" s="5">
        <v>51</v>
      </c>
      <c r="V5009" s="6">
        <v>0.05</v>
      </c>
      <c r="W5009" s="7">
        <v>44.125</v>
      </c>
      <c r="X5009" s="4">
        <v>45</v>
      </c>
      <c r="Y5009" s="4">
        <v>46</v>
      </c>
      <c r="Z5009" s="7">
        <v>54.563000000000002</v>
      </c>
      <c r="AA5009" s="6">
        <v>2.69</v>
      </c>
      <c r="AB5009" s="7">
        <v>55.63</v>
      </c>
      <c r="AC5009" s="5">
        <v>92</v>
      </c>
    </row>
    <row r="5010" spans="1:29" ht="65" x14ac:dyDescent="0.15">
      <c r="A5010" s="3">
        <f>DATE(1999,10,15)</f>
        <v>36448</v>
      </c>
      <c r="B5010" s="3">
        <f>DATE(1999,12,31)</f>
        <v>36525</v>
      </c>
      <c r="C5010" s="2" t="s">
        <v>95</v>
      </c>
      <c r="D5010" s="2" t="s">
        <v>15491</v>
      </c>
      <c r="E5010" s="2" t="s">
        <v>15492</v>
      </c>
      <c r="F5010" s="4">
        <v>5311</v>
      </c>
      <c r="G5010" s="2" t="s">
        <v>756</v>
      </c>
      <c r="H5010" s="2" t="s">
        <v>34</v>
      </c>
      <c r="I5010" s="2" t="s">
        <v>7732</v>
      </c>
      <c r="J5010" s="2" t="s">
        <v>7733</v>
      </c>
      <c r="K5010" s="2" t="s">
        <v>756</v>
      </c>
      <c r="L5010" s="2" t="s">
        <v>34</v>
      </c>
      <c r="M5010" s="12">
        <v>12751.404</v>
      </c>
      <c r="N5010" s="5">
        <v>35.5</v>
      </c>
      <c r="O5010" s="7">
        <v>35.813000000000002</v>
      </c>
      <c r="P5010" s="2" t="s">
        <v>15493</v>
      </c>
      <c r="Q5010" s="6">
        <v>100</v>
      </c>
      <c r="R5010" s="6">
        <v>22.5</v>
      </c>
      <c r="S5010" s="5">
        <v>-8.5</v>
      </c>
      <c r="T5010" s="7">
        <v>-4.5110000000000001</v>
      </c>
      <c r="U5010" s="5">
        <v>18.3</v>
      </c>
      <c r="V5010" s="6">
        <v>-3.93</v>
      </c>
      <c r="W5010" s="7">
        <v>21.875</v>
      </c>
      <c r="X5010" s="4">
        <v>22</v>
      </c>
      <c r="Y5010" s="4">
        <v>20</v>
      </c>
      <c r="Z5010" s="4">
        <v>18</v>
      </c>
      <c r="AA5010" s="6">
        <v>2.21</v>
      </c>
      <c r="AB5010" s="2" t="s">
        <v>86</v>
      </c>
      <c r="AC5010" s="5">
        <v>178</v>
      </c>
    </row>
    <row r="5011" spans="1:29" ht="117" x14ac:dyDescent="0.15">
      <c r="A5011" s="3">
        <f>DATE(1999,10,18)</f>
        <v>36451</v>
      </c>
      <c r="B5011" s="3">
        <f>DATE(2000,4,10)</f>
        <v>36626</v>
      </c>
      <c r="C5011" s="2" t="s">
        <v>95</v>
      </c>
      <c r="D5011" s="2" t="s">
        <v>15494</v>
      </c>
      <c r="E5011" s="2" t="s">
        <v>1181</v>
      </c>
      <c r="F5011" s="4">
        <v>6021</v>
      </c>
      <c r="G5011" s="2" t="s">
        <v>37</v>
      </c>
      <c r="H5011" s="2" t="s">
        <v>34</v>
      </c>
      <c r="I5011" s="2" t="s">
        <v>15495</v>
      </c>
      <c r="J5011" s="2" t="s">
        <v>2337</v>
      </c>
      <c r="K5011" s="2" t="s">
        <v>37</v>
      </c>
      <c r="L5011" s="2" t="s">
        <v>34</v>
      </c>
      <c r="M5011" s="7">
        <v>73.634</v>
      </c>
      <c r="N5011" s="6">
        <v>19.25</v>
      </c>
      <c r="O5011" s="5">
        <v>19.5</v>
      </c>
      <c r="P5011" s="2" t="s">
        <v>15496</v>
      </c>
      <c r="Q5011" s="6">
        <v>100</v>
      </c>
      <c r="R5011" s="6">
        <v>15.01</v>
      </c>
      <c r="S5011" s="5">
        <v>0.9</v>
      </c>
      <c r="T5011" s="2"/>
      <c r="U5011" s="5">
        <v>8.5</v>
      </c>
      <c r="V5011" s="6">
        <v>0.53</v>
      </c>
      <c r="W5011" s="7">
        <v>10.875</v>
      </c>
      <c r="X5011" s="7">
        <v>11.375</v>
      </c>
      <c r="Y5011" s="7">
        <v>12.938000000000001</v>
      </c>
      <c r="Z5011" s="7">
        <v>13.188000000000001</v>
      </c>
      <c r="AA5011" s="6">
        <v>1.87</v>
      </c>
      <c r="AB5011" s="7">
        <v>20.463999999999999</v>
      </c>
      <c r="AC5011" s="2"/>
    </row>
    <row r="5012" spans="1:29" ht="104" x14ac:dyDescent="0.15">
      <c r="A5012" s="3">
        <f>DATE(1999,10,18)</f>
        <v>36451</v>
      </c>
      <c r="B5012" s="3">
        <f>DATE(2000,3,16)</f>
        <v>36601</v>
      </c>
      <c r="C5012" s="2" t="s">
        <v>95</v>
      </c>
      <c r="D5012" s="2" t="s">
        <v>15497</v>
      </c>
      <c r="E5012" s="2" t="s">
        <v>15498</v>
      </c>
      <c r="F5012" s="4">
        <v>7372</v>
      </c>
      <c r="G5012" s="2" t="s">
        <v>551</v>
      </c>
      <c r="H5012" s="2" t="s">
        <v>34</v>
      </c>
      <c r="I5012" s="2" t="s">
        <v>15173</v>
      </c>
      <c r="J5012" s="2" t="s">
        <v>15174</v>
      </c>
      <c r="K5012" s="2" t="s">
        <v>921</v>
      </c>
      <c r="L5012" s="2" t="s">
        <v>902</v>
      </c>
      <c r="M5012" s="2"/>
      <c r="N5012" s="2"/>
      <c r="O5012" s="2"/>
      <c r="P5012" s="2" t="s">
        <v>15499</v>
      </c>
      <c r="Q5012" s="6">
        <v>100</v>
      </c>
      <c r="R5012" s="6">
        <v>68.489999999999995</v>
      </c>
      <c r="S5012" s="5">
        <v>15.5</v>
      </c>
      <c r="T5012" s="7">
        <v>29.006</v>
      </c>
      <c r="U5012" s="5">
        <v>4.2</v>
      </c>
      <c r="V5012" s="6">
        <v>0.62</v>
      </c>
      <c r="W5012" s="7">
        <v>46.030999999999999</v>
      </c>
      <c r="X5012" s="7">
        <v>43.344000000000001</v>
      </c>
      <c r="Y5012" s="7">
        <v>45.313000000000002</v>
      </c>
      <c r="Z5012" s="7">
        <v>62.063000000000002</v>
      </c>
      <c r="AA5012" s="6">
        <v>23.17</v>
      </c>
      <c r="AB5012" s="7">
        <v>79.373000000000005</v>
      </c>
      <c r="AC5012" s="10">
        <v>2270.91</v>
      </c>
    </row>
    <row r="5013" spans="1:29" ht="117" x14ac:dyDescent="0.15">
      <c r="A5013" s="3">
        <f>DATE(1999,10,18)</f>
        <v>36451</v>
      </c>
      <c r="B5013" s="3">
        <f>DATE(2000,1,11)</f>
        <v>36536</v>
      </c>
      <c r="C5013" s="2" t="s">
        <v>95</v>
      </c>
      <c r="D5013" s="2" t="s">
        <v>15500</v>
      </c>
      <c r="E5013" s="2" t="s">
        <v>15501</v>
      </c>
      <c r="F5013" s="4">
        <v>4512</v>
      </c>
      <c r="G5013" s="2" t="s">
        <v>59</v>
      </c>
      <c r="H5013" s="2" t="s">
        <v>34</v>
      </c>
      <c r="I5013" s="2" t="s">
        <v>8946</v>
      </c>
      <c r="J5013" s="2" t="s">
        <v>8945</v>
      </c>
      <c r="K5013" s="2" t="s">
        <v>59</v>
      </c>
      <c r="L5013" s="2" t="s">
        <v>34</v>
      </c>
      <c r="M5013" s="12">
        <v>7034.8180000000002</v>
      </c>
      <c r="N5013" s="7">
        <v>50.375</v>
      </c>
      <c r="O5013" s="7">
        <v>50.375</v>
      </c>
      <c r="P5013" s="2" t="s">
        <v>15502</v>
      </c>
      <c r="Q5013" s="6">
        <v>78.89</v>
      </c>
      <c r="R5013" s="6">
        <v>23.5</v>
      </c>
      <c r="S5013" s="5">
        <v>141.80000000000001</v>
      </c>
      <c r="T5013" s="7">
        <v>246.56800000000001</v>
      </c>
      <c r="U5013" s="5">
        <v>4.8</v>
      </c>
      <c r="V5013" s="6">
        <v>1.45</v>
      </c>
      <c r="W5013" s="7">
        <v>18.437999999999999</v>
      </c>
      <c r="X5013" s="7">
        <v>17.937999999999999</v>
      </c>
      <c r="Y5013" s="4">
        <v>23</v>
      </c>
      <c r="Z5013" s="7">
        <v>23.125</v>
      </c>
      <c r="AA5013" s="6">
        <v>95.63</v>
      </c>
      <c r="AB5013" s="7">
        <v>9.6489999999999991</v>
      </c>
      <c r="AC5013" s="8">
        <v>1143</v>
      </c>
    </row>
    <row r="5014" spans="1:29" ht="117" x14ac:dyDescent="0.15">
      <c r="A5014" s="3">
        <f>DATE(1999,10,19)</f>
        <v>36452</v>
      </c>
      <c r="B5014" s="2"/>
      <c r="C5014" s="2" t="s">
        <v>7330</v>
      </c>
      <c r="D5014" s="2" t="s">
        <v>15503</v>
      </c>
      <c r="E5014" s="2" t="s">
        <v>15504</v>
      </c>
      <c r="F5014" s="4">
        <v>3826</v>
      </c>
      <c r="G5014" s="2" t="s">
        <v>226</v>
      </c>
      <c r="H5014" s="2" t="s">
        <v>34</v>
      </c>
      <c r="I5014" s="2" t="s">
        <v>51</v>
      </c>
      <c r="J5014" s="2" t="s">
        <v>52</v>
      </c>
      <c r="K5014" s="2" t="s">
        <v>53</v>
      </c>
      <c r="L5014" s="2" t="s">
        <v>34</v>
      </c>
      <c r="M5014" s="2"/>
      <c r="N5014" s="2"/>
      <c r="O5014" s="2"/>
      <c r="P5014" s="2" t="s">
        <v>15505</v>
      </c>
      <c r="Q5014" s="2"/>
      <c r="R5014" s="6">
        <v>11.15</v>
      </c>
      <c r="S5014" s="5">
        <v>2.1</v>
      </c>
      <c r="T5014" s="2"/>
      <c r="U5014" s="5">
        <v>7.4</v>
      </c>
      <c r="V5014" s="6">
        <v>0.69</v>
      </c>
      <c r="W5014" s="7">
        <v>6.125</v>
      </c>
      <c r="X5014" s="6">
        <v>5.75</v>
      </c>
      <c r="Y5014" s="11">
        <v>7.03125</v>
      </c>
      <c r="Z5014" s="11">
        <v>7.28125</v>
      </c>
      <c r="AA5014" s="6">
        <v>3.08</v>
      </c>
      <c r="AB5014" s="7">
        <v>8.625</v>
      </c>
      <c r="AC5014" s="2"/>
    </row>
    <row r="5015" spans="1:29" ht="52" x14ac:dyDescent="0.15">
      <c r="A5015" s="3">
        <f>DATE(1999,10,19)</f>
        <v>36452</v>
      </c>
      <c r="B5015" s="3">
        <f>DATE(2000,3,1)</f>
        <v>36586</v>
      </c>
      <c r="C5015" s="2" t="s">
        <v>95</v>
      </c>
      <c r="D5015" s="2" t="s">
        <v>15506</v>
      </c>
      <c r="E5015" s="2" t="s">
        <v>1181</v>
      </c>
      <c r="F5015" s="4">
        <v>6029</v>
      </c>
      <c r="G5015" s="2" t="s">
        <v>37</v>
      </c>
      <c r="H5015" s="2" t="s">
        <v>34</v>
      </c>
      <c r="I5015" s="2" t="s">
        <v>15507</v>
      </c>
      <c r="J5015" s="2" t="s">
        <v>1181</v>
      </c>
      <c r="K5015" s="2" t="s">
        <v>37</v>
      </c>
      <c r="L5015" s="2" t="s">
        <v>34</v>
      </c>
      <c r="M5015" s="2"/>
      <c r="N5015" s="2"/>
      <c r="O5015" s="2"/>
      <c r="P5015" s="2" t="s">
        <v>15508</v>
      </c>
      <c r="Q5015" s="6">
        <v>100</v>
      </c>
      <c r="R5015" s="2"/>
      <c r="S5015" s="2"/>
      <c r="T5015" s="2"/>
      <c r="U5015" s="2"/>
      <c r="V5015" s="2"/>
      <c r="W5015" s="7">
        <v>12.125</v>
      </c>
      <c r="X5015" s="4">
        <v>16</v>
      </c>
      <c r="Y5015" s="4">
        <v>21</v>
      </c>
      <c r="Z5015" s="7">
        <v>21.812999999999999</v>
      </c>
      <c r="AA5015" s="2"/>
      <c r="AB5015" s="2" t="s">
        <v>47</v>
      </c>
      <c r="AC5015" s="2"/>
    </row>
    <row r="5016" spans="1:29" ht="65" x14ac:dyDescent="0.15">
      <c r="A5016" s="3">
        <f>DATE(1999,10,19)</f>
        <v>36452</v>
      </c>
      <c r="B5016" s="3">
        <f>DATE(2000,3,7)</f>
        <v>36592</v>
      </c>
      <c r="C5016" s="2" t="s">
        <v>95</v>
      </c>
      <c r="D5016" s="2" t="s">
        <v>883</v>
      </c>
      <c r="E5016" s="2" t="s">
        <v>515</v>
      </c>
      <c r="F5016" s="4">
        <v>6331</v>
      </c>
      <c r="G5016" s="2" t="s">
        <v>125</v>
      </c>
      <c r="H5016" s="2" t="s">
        <v>34</v>
      </c>
      <c r="I5016" s="2" t="s">
        <v>15509</v>
      </c>
      <c r="J5016" s="2" t="s">
        <v>124</v>
      </c>
      <c r="K5016" s="2" t="s">
        <v>125</v>
      </c>
      <c r="L5016" s="2" t="s">
        <v>34</v>
      </c>
      <c r="M5016" s="2"/>
      <c r="N5016" s="2"/>
      <c r="O5016" s="2"/>
      <c r="P5016" s="2" t="s">
        <v>15510</v>
      </c>
      <c r="Q5016" s="6">
        <v>100</v>
      </c>
      <c r="R5016" s="6">
        <v>29.25</v>
      </c>
      <c r="S5016" s="5">
        <v>49</v>
      </c>
      <c r="T5016" s="2"/>
      <c r="U5016" s="5">
        <v>10.199999999999999</v>
      </c>
      <c r="V5016" s="6">
        <v>1.8</v>
      </c>
      <c r="W5016" s="7">
        <v>23.937999999999999</v>
      </c>
      <c r="X5016" s="7">
        <v>23.937999999999999</v>
      </c>
      <c r="Y5016" s="7">
        <v>27.687999999999999</v>
      </c>
      <c r="Z5016" s="7">
        <v>27.937999999999999</v>
      </c>
      <c r="AA5016" s="6">
        <v>26.61</v>
      </c>
      <c r="AB5016" s="7">
        <v>12.4</v>
      </c>
      <c r="AC5016" s="2"/>
    </row>
    <row r="5017" spans="1:29" ht="143" x14ac:dyDescent="0.15">
      <c r="A5017" s="3">
        <f>DATE(1999,10,20)</f>
        <v>36453</v>
      </c>
      <c r="B5017" s="2"/>
      <c r="C5017" s="2" t="s">
        <v>30</v>
      </c>
      <c r="D5017" s="2" t="s">
        <v>15511</v>
      </c>
      <c r="E5017" s="2" t="s">
        <v>7328</v>
      </c>
      <c r="F5017" s="4">
        <v>7822</v>
      </c>
      <c r="G5017" s="2" t="s">
        <v>42</v>
      </c>
      <c r="H5017" s="2" t="s">
        <v>34</v>
      </c>
      <c r="I5017" s="2" t="s">
        <v>3558</v>
      </c>
      <c r="J5017" s="2" t="s">
        <v>1893</v>
      </c>
      <c r="K5017" s="2" t="s">
        <v>45</v>
      </c>
      <c r="L5017" s="2" t="s">
        <v>34</v>
      </c>
      <c r="M5017" s="12">
        <v>39328.347999999998</v>
      </c>
      <c r="N5017" s="7">
        <v>37.313000000000002</v>
      </c>
      <c r="O5017" s="7">
        <v>37.063000000000002</v>
      </c>
      <c r="P5017" s="2" t="s">
        <v>15512</v>
      </c>
      <c r="Q5017" s="2"/>
      <c r="R5017" s="6">
        <v>17.260000000000002</v>
      </c>
      <c r="S5017" s="5">
        <v>-38.9</v>
      </c>
      <c r="T5017" s="7">
        <v>73.391999999999996</v>
      </c>
      <c r="U5017" s="5">
        <v>4.5999999999999996</v>
      </c>
      <c r="V5017" s="6">
        <v>-1.3</v>
      </c>
      <c r="W5017" s="7">
        <v>13.375</v>
      </c>
      <c r="X5017" s="5">
        <v>12.5</v>
      </c>
      <c r="Y5017" s="7">
        <v>12.625</v>
      </c>
      <c r="Z5017" s="7">
        <v>16.062999999999999</v>
      </c>
      <c r="AA5017" s="6">
        <v>29.76</v>
      </c>
      <c r="AB5017" s="2" t="s">
        <v>86</v>
      </c>
      <c r="AC5017" s="2"/>
    </row>
    <row r="5018" spans="1:29" ht="78" x14ac:dyDescent="0.15">
      <c r="A5018" s="3">
        <f>DATE(1999,10,20)</f>
        <v>36453</v>
      </c>
      <c r="B5018" s="2"/>
      <c r="C5018" s="2" t="s">
        <v>30</v>
      </c>
      <c r="D5018" s="2" t="s">
        <v>15513</v>
      </c>
      <c r="E5018" s="2" t="s">
        <v>15514</v>
      </c>
      <c r="F5018" s="4">
        <v>7389</v>
      </c>
      <c r="G5018" s="2" t="s">
        <v>223</v>
      </c>
      <c r="H5018" s="2" t="s">
        <v>34</v>
      </c>
      <c r="I5018" s="2" t="s">
        <v>51</v>
      </c>
      <c r="J5018" s="2" t="s">
        <v>52</v>
      </c>
      <c r="K5018" s="2" t="s">
        <v>53</v>
      </c>
      <c r="L5018" s="2" t="s">
        <v>34</v>
      </c>
      <c r="M5018" s="2"/>
      <c r="N5018" s="2"/>
      <c r="O5018" s="2"/>
      <c r="P5018" s="2" t="s">
        <v>15515</v>
      </c>
      <c r="Q5018" s="2"/>
      <c r="R5018" s="6">
        <v>13</v>
      </c>
      <c r="S5018" s="5">
        <v>-12.5</v>
      </c>
      <c r="T5018" s="7">
        <v>172.685</v>
      </c>
      <c r="U5018" s="5">
        <v>3.1</v>
      </c>
      <c r="V5018" s="6">
        <v>-0.95</v>
      </c>
      <c r="W5018" s="7">
        <v>8.875</v>
      </c>
      <c r="X5018" s="7">
        <v>8.9380000000000006</v>
      </c>
      <c r="Y5018" s="7">
        <v>8.875</v>
      </c>
      <c r="Z5018" s="9">
        <v>11.8125</v>
      </c>
      <c r="AA5018" s="6">
        <v>12.93</v>
      </c>
      <c r="AB5018" s="7">
        <v>15.420999999999999</v>
      </c>
      <c r="AC5018" s="2"/>
    </row>
    <row r="5019" spans="1:29" ht="39" x14ac:dyDescent="0.15">
      <c r="A5019" s="3">
        <f>DATE(1999,10,20)</f>
        <v>36453</v>
      </c>
      <c r="B5019" s="3">
        <f>DATE(2000,1,31)</f>
        <v>36556</v>
      </c>
      <c r="C5019" s="2" t="s">
        <v>95</v>
      </c>
      <c r="D5019" s="2" t="s">
        <v>15516</v>
      </c>
      <c r="E5019" s="2" t="s">
        <v>15517</v>
      </c>
      <c r="F5019" s="4">
        <v>3679</v>
      </c>
      <c r="G5019" s="2" t="s">
        <v>137</v>
      </c>
      <c r="H5019" s="2" t="s">
        <v>34</v>
      </c>
      <c r="I5019" s="2" t="s">
        <v>15518</v>
      </c>
      <c r="J5019" s="2" t="s">
        <v>15519</v>
      </c>
      <c r="K5019" s="2" t="s">
        <v>137</v>
      </c>
      <c r="L5019" s="2" t="s">
        <v>99</v>
      </c>
      <c r="M5019" s="2"/>
      <c r="N5019" s="2"/>
      <c r="O5019" s="2"/>
      <c r="P5019" s="2" t="s">
        <v>15520</v>
      </c>
      <c r="Q5019" s="6">
        <v>100</v>
      </c>
      <c r="R5019" s="6">
        <v>6.5</v>
      </c>
      <c r="S5019" s="5">
        <v>0.3</v>
      </c>
      <c r="T5019" s="6">
        <v>2.67</v>
      </c>
      <c r="U5019" s="5">
        <v>3.3</v>
      </c>
      <c r="V5019" s="6">
        <v>0.06</v>
      </c>
      <c r="W5019" s="7">
        <v>3.625</v>
      </c>
      <c r="X5019" s="7">
        <v>3.9380000000000002</v>
      </c>
      <c r="Y5019" s="7">
        <v>5.9690000000000003</v>
      </c>
      <c r="Z5019" s="7">
        <v>6.0629999999999997</v>
      </c>
      <c r="AA5019" s="6">
        <v>6.23</v>
      </c>
      <c r="AB5019" s="7">
        <v>28.738</v>
      </c>
      <c r="AC5019" s="6">
        <v>15.79</v>
      </c>
    </row>
    <row r="5020" spans="1:29" ht="52" x14ac:dyDescent="0.15">
      <c r="A5020" s="3">
        <f>DATE(1999,10,20)</f>
        <v>36453</v>
      </c>
      <c r="B5020" s="3">
        <f>DATE(1999,12,27)</f>
        <v>36521</v>
      </c>
      <c r="C5020" s="2" t="s">
        <v>95</v>
      </c>
      <c r="D5020" s="2" t="s">
        <v>15521</v>
      </c>
      <c r="E5020" s="2" t="s">
        <v>849</v>
      </c>
      <c r="F5020" s="4">
        <v>7372</v>
      </c>
      <c r="G5020" s="2" t="s">
        <v>551</v>
      </c>
      <c r="H5020" s="2" t="s">
        <v>34</v>
      </c>
      <c r="I5020" s="2" t="s">
        <v>15522</v>
      </c>
      <c r="J5020" s="2" t="s">
        <v>5922</v>
      </c>
      <c r="K5020" s="2" t="s">
        <v>551</v>
      </c>
      <c r="L5020" s="2" t="s">
        <v>34</v>
      </c>
      <c r="M5020" s="7">
        <v>107.51300000000001</v>
      </c>
      <c r="N5020" s="4">
        <v>13</v>
      </c>
      <c r="O5020" s="5">
        <v>12.5</v>
      </c>
      <c r="P5020" s="2" t="s">
        <v>15523</v>
      </c>
      <c r="Q5020" s="6">
        <v>100</v>
      </c>
      <c r="R5020" s="6">
        <v>7.9</v>
      </c>
      <c r="S5020" s="5">
        <v>-5.4</v>
      </c>
      <c r="T5020" s="2"/>
      <c r="U5020" s="5">
        <v>6.5</v>
      </c>
      <c r="V5020" s="6">
        <v>-1.1000000000000001</v>
      </c>
      <c r="W5020" s="7">
        <v>4.8129999999999997</v>
      </c>
      <c r="X5020" s="7">
        <v>5.625</v>
      </c>
      <c r="Y5020" s="5">
        <v>6.5</v>
      </c>
      <c r="Z5020" s="7">
        <v>6.4379999999999997</v>
      </c>
      <c r="AA5020" s="6">
        <v>4.9000000000000004</v>
      </c>
      <c r="AB5020" s="2" t="s">
        <v>86</v>
      </c>
      <c r="AC5020" s="6">
        <v>9.57</v>
      </c>
    </row>
    <row r="5021" spans="1:29" ht="104" x14ac:dyDescent="0.15">
      <c r="A5021" s="3">
        <f>DATE(1999,10,20)</f>
        <v>36453</v>
      </c>
      <c r="B5021" s="3">
        <f>DATE(2000,6,6)</f>
        <v>36683</v>
      </c>
      <c r="C5021" s="2" t="s">
        <v>95</v>
      </c>
      <c r="D5021" s="2" t="s">
        <v>15524</v>
      </c>
      <c r="E5021" s="2" t="s">
        <v>15525</v>
      </c>
      <c r="F5021" s="4">
        <v>3567</v>
      </c>
      <c r="G5021" s="2" t="s">
        <v>300</v>
      </c>
      <c r="H5021" s="2" t="s">
        <v>34</v>
      </c>
      <c r="I5021" s="2" t="s">
        <v>14301</v>
      </c>
      <c r="J5021" s="2" t="s">
        <v>14302</v>
      </c>
      <c r="K5021" s="2" t="s">
        <v>226</v>
      </c>
      <c r="L5021" s="2" t="s">
        <v>34</v>
      </c>
      <c r="M5021" s="12">
        <v>2264.0920000000001</v>
      </c>
      <c r="N5021" s="6">
        <v>13.25</v>
      </c>
      <c r="O5021" s="6">
        <v>13.25</v>
      </c>
      <c r="P5021" s="2" t="s">
        <v>15526</v>
      </c>
      <c r="Q5021" s="6">
        <v>44.59</v>
      </c>
      <c r="R5021" s="6">
        <v>7</v>
      </c>
      <c r="S5021" s="5">
        <v>-2.7</v>
      </c>
      <c r="T5021" s="7">
        <v>14.465</v>
      </c>
      <c r="U5021" s="5">
        <v>4.8</v>
      </c>
      <c r="V5021" s="6">
        <v>-0.19</v>
      </c>
      <c r="W5021" s="6">
        <v>5.25</v>
      </c>
      <c r="X5021" s="5">
        <v>5.5</v>
      </c>
      <c r="Y5021" s="9">
        <v>6.5625</v>
      </c>
      <c r="Z5021" s="7">
        <v>6.625</v>
      </c>
      <c r="AA5021" s="6">
        <v>13.57</v>
      </c>
      <c r="AB5021" s="7">
        <v>22.364999999999998</v>
      </c>
      <c r="AC5021" s="10">
        <v>1134.1199999999999</v>
      </c>
    </row>
    <row r="5022" spans="1:29" ht="117" x14ac:dyDescent="0.15">
      <c r="A5022" s="3">
        <f t="shared" ref="A5022:A5029" si="112">DATE(1999,10,21)</f>
        <v>36454</v>
      </c>
      <c r="B5022" s="3">
        <f>DATE(2000,2,4)</f>
        <v>36560</v>
      </c>
      <c r="C5022" s="2" t="s">
        <v>95</v>
      </c>
      <c r="D5022" s="2" t="s">
        <v>15527</v>
      </c>
      <c r="E5022" s="2" t="s">
        <v>15528</v>
      </c>
      <c r="F5022" s="4">
        <v>3724</v>
      </c>
      <c r="G5022" s="2" t="s">
        <v>219</v>
      </c>
      <c r="H5022" s="2" t="s">
        <v>34</v>
      </c>
      <c r="I5022" s="2" t="s">
        <v>13850</v>
      </c>
      <c r="J5022" s="2" t="s">
        <v>13851</v>
      </c>
      <c r="K5022" s="2" t="s">
        <v>219</v>
      </c>
      <c r="L5022" s="2" t="s">
        <v>34</v>
      </c>
      <c r="M5022" s="12">
        <v>26986.141</v>
      </c>
      <c r="N5022" s="6">
        <v>55.75</v>
      </c>
      <c r="O5022" s="7">
        <v>56.938000000000002</v>
      </c>
      <c r="P5022" s="2" t="s">
        <v>15529</v>
      </c>
      <c r="Q5022" s="6">
        <v>100</v>
      </c>
      <c r="R5022" s="6">
        <v>5.05</v>
      </c>
      <c r="S5022" s="5">
        <v>5.3</v>
      </c>
      <c r="T5022" s="2"/>
      <c r="U5022" s="5">
        <v>1.4</v>
      </c>
      <c r="V5022" s="6">
        <v>0.24</v>
      </c>
      <c r="W5022" s="4">
        <v>4</v>
      </c>
      <c r="X5022" s="7">
        <v>3.875</v>
      </c>
      <c r="Y5022" s="7">
        <v>4.875</v>
      </c>
      <c r="Z5022" s="11">
        <v>4.90625</v>
      </c>
      <c r="AA5022" s="6">
        <v>21.61</v>
      </c>
      <c r="AB5022" s="7">
        <v>14.496</v>
      </c>
      <c r="AC5022" s="8">
        <v>1115</v>
      </c>
    </row>
    <row r="5023" spans="1:29" ht="117" x14ac:dyDescent="0.15">
      <c r="A5023" s="3">
        <f t="shared" si="112"/>
        <v>36454</v>
      </c>
      <c r="B5023" s="3">
        <f>DATE(2000,2,15)</f>
        <v>36571</v>
      </c>
      <c r="C5023" s="2" t="s">
        <v>95</v>
      </c>
      <c r="D5023" s="2" t="s">
        <v>15530</v>
      </c>
      <c r="E5023" s="2" t="s">
        <v>781</v>
      </c>
      <c r="F5023" s="4">
        <v>7372</v>
      </c>
      <c r="G5023" s="2" t="s">
        <v>551</v>
      </c>
      <c r="H5023" s="2" t="s">
        <v>34</v>
      </c>
      <c r="I5023" s="2" t="s">
        <v>15531</v>
      </c>
      <c r="J5023" s="2" t="s">
        <v>15532</v>
      </c>
      <c r="K5023" s="2" t="s">
        <v>223</v>
      </c>
      <c r="L5023" s="2" t="s">
        <v>34</v>
      </c>
      <c r="M5023" s="6">
        <v>767.91</v>
      </c>
      <c r="N5023" s="7">
        <v>20.062999999999999</v>
      </c>
      <c r="O5023" s="4">
        <v>19</v>
      </c>
      <c r="P5023" s="2" t="s">
        <v>15533</v>
      </c>
      <c r="Q5023" s="6">
        <v>100</v>
      </c>
      <c r="R5023" s="6">
        <v>19.32</v>
      </c>
      <c r="S5023" s="5">
        <v>-3.9</v>
      </c>
      <c r="T5023" s="7">
        <v>17.652999999999999</v>
      </c>
      <c r="U5023" s="5">
        <v>4.3</v>
      </c>
      <c r="V5023" s="6">
        <v>-0.17</v>
      </c>
      <c r="W5023" s="7">
        <v>11.063000000000001</v>
      </c>
      <c r="X5023" s="7">
        <v>10.438000000000001</v>
      </c>
      <c r="Y5023" s="7">
        <v>10.563000000000001</v>
      </c>
      <c r="Z5023" s="4">
        <v>16</v>
      </c>
      <c r="AA5023" s="6">
        <v>23.71</v>
      </c>
      <c r="AB5023" s="7">
        <v>47.713000000000001</v>
      </c>
      <c r="AC5023" s="6">
        <v>51.66</v>
      </c>
    </row>
    <row r="5024" spans="1:29" ht="78" x14ac:dyDescent="0.15">
      <c r="A5024" s="3">
        <f t="shared" si="112"/>
        <v>36454</v>
      </c>
      <c r="B5024" s="3">
        <f>DATE(2000,1,20)</f>
        <v>36545</v>
      </c>
      <c r="C5024" s="2" t="s">
        <v>95</v>
      </c>
      <c r="D5024" s="2" t="s">
        <v>15534</v>
      </c>
      <c r="E5024" s="2" t="s">
        <v>5549</v>
      </c>
      <c r="F5024" s="4">
        <v>7371</v>
      </c>
      <c r="G5024" s="2" t="s">
        <v>223</v>
      </c>
      <c r="H5024" s="2" t="s">
        <v>34</v>
      </c>
      <c r="I5024" s="2" t="s">
        <v>15535</v>
      </c>
      <c r="J5024" s="2" t="s">
        <v>15536</v>
      </c>
      <c r="K5024" s="2" t="s">
        <v>551</v>
      </c>
      <c r="L5024" s="2" t="s">
        <v>34</v>
      </c>
      <c r="M5024" s="12">
        <v>1414.193</v>
      </c>
      <c r="N5024" s="4">
        <v>47</v>
      </c>
      <c r="O5024" s="4">
        <v>42</v>
      </c>
      <c r="P5024" s="2" t="s">
        <v>15537</v>
      </c>
      <c r="Q5024" s="6">
        <v>100</v>
      </c>
      <c r="R5024" s="6">
        <v>23.54</v>
      </c>
      <c r="S5024" s="5">
        <v>-4.5999999999999996</v>
      </c>
      <c r="T5024" s="7">
        <v>-3.0880000000000001</v>
      </c>
      <c r="U5024" s="5">
        <v>1.8</v>
      </c>
      <c r="V5024" s="6">
        <v>-0.45</v>
      </c>
      <c r="W5024" s="6">
        <v>9.75</v>
      </c>
      <c r="X5024" s="7">
        <v>10.125</v>
      </c>
      <c r="Y5024" s="7">
        <v>17.375</v>
      </c>
      <c r="Z5024" s="4">
        <v>16</v>
      </c>
      <c r="AA5024" s="6">
        <v>10.35</v>
      </c>
      <c r="AB5024" s="2" t="s">
        <v>86</v>
      </c>
      <c r="AC5024" s="6">
        <v>15.12</v>
      </c>
    </row>
    <row r="5025" spans="1:29" ht="39" x14ac:dyDescent="0.15">
      <c r="A5025" s="3">
        <f t="shared" si="112"/>
        <v>36454</v>
      </c>
      <c r="B5025" s="2"/>
      <c r="C5025" s="2" t="s">
        <v>87</v>
      </c>
      <c r="D5025" s="2" t="s">
        <v>15538</v>
      </c>
      <c r="E5025" s="2" t="s">
        <v>13507</v>
      </c>
      <c r="F5025" s="4">
        <v>3714</v>
      </c>
      <c r="G5025" s="2" t="s">
        <v>105</v>
      </c>
      <c r="H5025" s="2" t="s">
        <v>34</v>
      </c>
      <c r="I5025" s="2" t="s">
        <v>138</v>
      </c>
      <c r="J5025" s="2" t="s">
        <v>139</v>
      </c>
      <c r="K5025" s="2" t="s">
        <v>53</v>
      </c>
      <c r="L5025" s="2" t="s">
        <v>139</v>
      </c>
      <c r="M5025" s="2"/>
      <c r="N5025" s="2"/>
      <c r="O5025" s="2"/>
      <c r="P5025" s="2" t="s">
        <v>15539</v>
      </c>
      <c r="Q5025" s="2"/>
      <c r="R5025" s="2"/>
      <c r="S5025" s="5">
        <v>8.6999999999999993</v>
      </c>
      <c r="T5025" s="7">
        <v>28.364999999999998</v>
      </c>
      <c r="U5025" s="5">
        <v>3.7</v>
      </c>
      <c r="V5025" s="9">
        <v>0.75329999999999997</v>
      </c>
      <c r="W5025" s="6">
        <v>15.25</v>
      </c>
      <c r="X5025" s="7">
        <v>15.875</v>
      </c>
      <c r="Y5025" s="6">
        <v>14.75</v>
      </c>
      <c r="Z5025" s="6">
        <v>14.75</v>
      </c>
      <c r="AA5025" s="6">
        <v>7.19</v>
      </c>
      <c r="AB5025" s="2" t="s">
        <v>47</v>
      </c>
      <c r="AC5025" s="2"/>
    </row>
    <row r="5026" spans="1:29" ht="143" x14ac:dyDescent="0.15">
      <c r="A5026" s="3">
        <f t="shared" si="112"/>
        <v>36454</v>
      </c>
      <c r="B5026" s="3">
        <f>DATE(2000,2,1)</f>
        <v>36557</v>
      </c>
      <c r="C5026" s="2" t="s">
        <v>95</v>
      </c>
      <c r="D5026" s="2" t="s">
        <v>13991</v>
      </c>
      <c r="E5026" s="2" t="s">
        <v>13992</v>
      </c>
      <c r="F5026" s="4">
        <v>4226</v>
      </c>
      <c r="G5026" s="2" t="s">
        <v>173</v>
      </c>
      <c r="H5026" s="2" t="s">
        <v>34</v>
      </c>
      <c r="I5026" s="2" t="s">
        <v>15540</v>
      </c>
      <c r="J5026" s="2" t="s">
        <v>15541</v>
      </c>
      <c r="K5026" s="2" t="s">
        <v>223</v>
      </c>
      <c r="L5026" s="2" t="s">
        <v>34</v>
      </c>
      <c r="M5026" s="12">
        <v>1168.0450000000001</v>
      </c>
      <c r="N5026" s="7">
        <v>26.625</v>
      </c>
      <c r="O5026" s="7">
        <v>27.062999999999999</v>
      </c>
      <c r="P5026" s="2" t="s">
        <v>15542</v>
      </c>
      <c r="Q5026" s="6">
        <v>100</v>
      </c>
      <c r="R5026" s="6">
        <v>33.479999999999997</v>
      </c>
      <c r="S5026" s="5">
        <v>6.9</v>
      </c>
      <c r="T5026" s="7">
        <v>112.566</v>
      </c>
      <c r="U5026" s="5">
        <v>1</v>
      </c>
      <c r="V5026" s="9">
        <v>9.1399999999999995E-2</v>
      </c>
      <c r="W5026" s="7">
        <v>24.875</v>
      </c>
      <c r="X5026" s="7">
        <v>25.812999999999999</v>
      </c>
      <c r="Y5026" s="4">
        <v>26</v>
      </c>
      <c r="Z5026" s="7">
        <v>26.937999999999999</v>
      </c>
      <c r="AA5026" s="6">
        <v>17.07</v>
      </c>
      <c r="AB5026" s="7">
        <v>41.021999999999998</v>
      </c>
      <c r="AC5026" s="6">
        <v>3.47</v>
      </c>
    </row>
    <row r="5027" spans="1:29" ht="104" x14ac:dyDescent="0.15">
      <c r="A5027" s="3">
        <f t="shared" si="112"/>
        <v>36454</v>
      </c>
      <c r="B5027" s="3">
        <f>DATE(1999,12,22)</f>
        <v>36516</v>
      </c>
      <c r="C5027" s="2" t="s">
        <v>95</v>
      </c>
      <c r="D5027" s="2" t="s">
        <v>15543</v>
      </c>
      <c r="E5027" s="2" t="s">
        <v>15544</v>
      </c>
      <c r="F5027" s="4">
        <v>3661</v>
      </c>
      <c r="G5027" s="2" t="s">
        <v>921</v>
      </c>
      <c r="H5027" s="2" t="s">
        <v>34</v>
      </c>
      <c r="I5027" s="2" t="s">
        <v>15545</v>
      </c>
      <c r="J5027" s="2" t="s">
        <v>15546</v>
      </c>
      <c r="K5027" s="2" t="s">
        <v>551</v>
      </c>
      <c r="L5027" s="2" t="s">
        <v>34</v>
      </c>
      <c r="M5027" s="2"/>
      <c r="N5027" s="2"/>
      <c r="O5027" s="2"/>
      <c r="P5027" s="2" t="s">
        <v>15547</v>
      </c>
      <c r="Q5027" s="6">
        <v>100</v>
      </c>
      <c r="R5027" s="6">
        <v>10</v>
      </c>
      <c r="S5027" s="5">
        <v>4.0999999999999996</v>
      </c>
      <c r="T5027" s="7">
        <v>6.2640000000000002</v>
      </c>
      <c r="U5027" s="5">
        <v>4.4000000000000004</v>
      </c>
      <c r="V5027" s="6">
        <v>0.17</v>
      </c>
      <c r="W5027" s="7">
        <v>8.125</v>
      </c>
      <c r="X5027" s="7">
        <v>8.875</v>
      </c>
      <c r="Y5027" s="7">
        <v>9.5939999999999994</v>
      </c>
      <c r="Z5027" s="7">
        <v>9.625</v>
      </c>
      <c r="AA5027" s="6">
        <v>24.19</v>
      </c>
      <c r="AB5027" s="7">
        <v>74.066999999999993</v>
      </c>
      <c r="AC5027" s="2"/>
    </row>
    <row r="5028" spans="1:29" ht="65" x14ac:dyDescent="0.15">
      <c r="A5028" s="3">
        <f t="shared" si="112"/>
        <v>36454</v>
      </c>
      <c r="B5028" s="2"/>
      <c r="C5028" s="2" t="s">
        <v>30</v>
      </c>
      <c r="D5028" s="2" t="s">
        <v>15548</v>
      </c>
      <c r="E5028" s="2" t="s">
        <v>15549</v>
      </c>
      <c r="F5028" s="4">
        <v>6141</v>
      </c>
      <c r="G5028" s="2" t="s">
        <v>370</v>
      </c>
      <c r="H5028" s="2" t="s">
        <v>34</v>
      </c>
      <c r="I5028" s="2" t="s">
        <v>15550</v>
      </c>
      <c r="J5028" s="2" t="s">
        <v>6896</v>
      </c>
      <c r="K5028" s="2" t="s">
        <v>37</v>
      </c>
      <c r="L5028" s="2" t="s">
        <v>34</v>
      </c>
      <c r="M5028" s="12">
        <v>145645.38500000001</v>
      </c>
      <c r="N5028" s="7">
        <v>46.938000000000002</v>
      </c>
      <c r="O5028" s="7">
        <v>48.188000000000002</v>
      </c>
      <c r="P5028" s="2" t="s">
        <v>15551</v>
      </c>
      <c r="Q5028" s="2"/>
      <c r="R5028" s="6">
        <v>45</v>
      </c>
      <c r="S5028" s="5">
        <v>88.5</v>
      </c>
      <c r="T5028" s="7">
        <v>155.96299999999999</v>
      </c>
      <c r="U5028" s="5">
        <v>25.2</v>
      </c>
      <c r="V5028" s="6">
        <v>4.43</v>
      </c>
      <c r="W5028" s="7">
        <v>40.313000000000002</v>
      </c>
      <c r="X5028" s="7">
        <v>40.375</v>
      </c>
      <c r="Y5028" s="9">
        <v>40.4375</v>
      </c>
      <c r="Z5028" s="9">
        <v>47.5625</v>
      </c>
      <c r="AA5028" s="6">
        <v>20</v>
      </c>
      <c r="AB5028" s="7">
        <v>72.234999999999999</v>
      </c>
      <c r="AC5028" s="2"/>
    </row>
    <row r="5029" spans="1:29" ht="91" x14ac:dyDescent="0.15">
      <c r="A5029" s="3">
        <f t="shared" si="112"/>
        <v>36454</v>
      </c>
      <c r="B5029" s="3">
        <f>DATE(2000,1,10)</f>
        <v>36535</v>
      </c>
      <c r="C5029" s="2" t="s">
        <v>95</v>
      </c>
      <c r="D5029" s="2" t="s">
        <v>15552</v>
      </c>
      <c r="E5029" s="2" t="s">
        <v>15553</v>
      </c>
      <c r="F5029" s="4">
        <v>7372</v>
      </c>
      <c r="G5029" s="2" t="s">
        <v>551</v>
      </c>
      <c r="H5029" s="2" t="s">
        <v>34</v>
      </c>
      <c r="I5029" s="2" t="s">
        <v>12336</v>
      </c>
      <c r="J5029" s="2" t="s">
        <v>10361</v>
      </c>
      <c r="K5029" s="2" t="s">
        <v>551</v>
      </c>
      <c r="L5029" s="2" t="s">
        <v>34</v>
      </c>
      <c r="M5029" s="7">
        <v>146.20699999999999</v>
      </c>
      <c r="N5029" s="7">
        <v>2.4060000000000001</v>
      </c>
      <c r="O5029" s="7">
        <v>2.3439999999999999</v>
      </c>
      <c r="P5029" s="2" t="s">
        <v>15554</v>
      </c>
      <c r="Q5029" s="6">
        <v>100</v>
      </c>
      <c r="R5029" s="6">
        <v>9</v>
      </c>
      <c r="S5029" s="5">
        <v>-22.4</v>
      </c>
      <c r="T5029" s="7">
        <v>-10.117000000000001</v>
      </c>
      <c r="U5029" s="5">
        <v>7.3</v>
      </c>
      <c r="V5029" s="6">
        <v>-2.23</v>
      </c>
      <c r="W5029" s="7">
        <v>5.8129999999999997</v>
      </c>
      <c r="X5029" s="6">
        <v>5.75</v>
      </c>
      <c r="Y5029" s="11">
        <v>8.46875</v>
      </c>
      <c r="Z5029" s="7">
        <v>8.375</v>
      </c>
      <c r="AA5029" s="6">
        <v>10.19</v>
      </c>
      <c r="AB5029" s="2" t="s">
        <v>86</v>
      </c>
      <c r="AC5029" s="6">
        <v>83.93</v>
      </c>
    </row>
    <row r="5030" spans="1:29" ht="91" x14ac:dyDescent="0.15">
      <c r="A5030" s="3">
        <f>DATE(1999,10,22)</f>
        <v>36455</v>
      </c>
      <c r="B5030" s="3">
        <f>DATE(1999,12,8)</f>
        <v>36502</v>
      </c>
      <c r="C5030" s="2" t="s">
        <v>95</v>
      </c>
      <c r="D5030" s="2" t="s">
        <v>15555</v>
      </c>
      <c r="E5030" s="2" t="s">
        <v>973</v>
      </c>
      <c r="F5030" s="4">
        <v>4813</v>
      </c>
      <c r="G5030" s="2" t="s">
        <v>63</v>
      </c>
      <c r="H5030" s="2" t="s">
        <v>34</v>
      </c>
      <c r="I5030" s="2" t="s">
        <v>14732</v>
      </c>
      <c r="J5030" s="2" t="s">
        <v>14733</v>
      </c>
      <c r="K5030" s="2" t="s">
        <v>63</v>
      </c>
      <c r="L5030" s="2" t="s">
        <v>34</v>
      </c>
      <c r="M5030" s="12">
        <v>3210.5889999999999</v>
      </c>
      <c r="N5030" s="7">
        <v>75.063000000000002</v>
      </c>
      <c r="O5030" s="7">
        <v>77.063000000000002</v>
      </c>
      <c r="P5030" s="2" t="s">
        <v>15556</v>
      </c>
      <c r="Q5030" s="6">
        <v>93.24</v>
      </c>
      <c r="R5030" s="2"/>
      <c r="S5030" s="5">
        <v>-0.2</v>
      </c>
      <c r="T5030" s="2"/>
      <c r="U5030" s="5">
        <v>-0.5</v>
      </c>
      <c r="V5030" s="7">
        <v>-0.217</v>
      </c>
      <c r="W5030" s="6">
        <v>14.25</v>
      </c>
      <c r="X5030" s="4">
        <v>13</v>
      </c>
      <c r="Y5030" s="5">
        <v>24.5</v>
      </c>
      <c r="Z5030" s="7">
        <v>24.875</v>
      </c>
      <c r="AA5030" s="6">
        <v>4.4400000000000004</v>
      </c>
      <c r="AB5030" s="2" t="s">
        <v>47</v>
      </c>
      <c r="AC5030" s="6">
        <v>369.19</v>
      </c>
    </row>
    <row r="5031" spans="1:29" ht="78" x14ac:dyDescent="0.15">
      <c r="A5031" s="3">
        <f>DATE(1999,10,22)</f>
        <v>36455</v>
      </c>
      <c r="B5031" s="2"/>
      <c r="C5031" s="2" t="s">
        <v>30</v>
      </c>
      <c r="D5031" s="2" t="s">
        <v>15557</v>
      </c>
      <c r="E5031" s="2" t="s">
        <v>15558</v>
      </c>
      <c r="F5031" s="4">
        <v>8099</v>
      </c>
      <c r="G5031" s="2" t="s">
        <v>454</v>
      </c>
      <c r="H5031" s="2" t="s">
        <v>34</v>
      </c>
      <c r="I5031" s="2" t="s">
        <v>51</v>
      </c>
      <c r="J5031" s="2" t="s">
        <v>52</v>
      </c>
      <c r="K5031" s="2" t="s">
        <v>53</v>
      </c>
      <c r="L5031" s="2" t="s">
        <v>34</v>
      </c>
      <c r="M5031" s="2"/>
      <c r="N5031" s="2"/>
      <c r="O5031" s="2"/>
      <c r="P5031" s="2" t="s">
        <v>15559</v>
      </c>
      <c r="Q5031" s="2"/>
      <c r="R5031" s="6">
        <v>9.5</v>
      </c>
      <c r="S5031" s="5">
        <v>1.3</v>
      </c>
      <c r="T5031" s="7">
        <v>15.348000000000001</v>
      </c>
      <c r="U5031" s="5">
        <v>16.8</v>
      </c>
      <c r="V5031" s="6">
        <v>0.36</v>
      </c>
      <c r="W5031" s="6">
        <v>8.25</v>
      </c>
      <c r="X5031" s="7">
        <v>7.9379999999999997</v>
      </c>
      <c r="Y5031" s="4">
        <v>8</v>
      </c>
      <c r="Z5031" s="5">
        <v>8.5</v>
      </c>
      <c r="AA5031" s="6">
        <v>20.93</v>
      </c>
      <c r="AB5031" s="7">
        <v>10.978</v>
      </c>
      <c r="AC5031" s="2"/>
    </row>
    <row r="5032" spans="1:29" ht="104" x14ac:dyDescent="0.15">
      <c r="A5032" s="3">
        <f>DATE(1999,10,25)</f>
        <v>36458</v>
      </c>
      <c r="B5032" s="3">
        <f>DATE(2000,6,1)</f>
        <v>36678</v>
      </c>
      <c r="C5032" s="2" t="s">
        <v>95</v>
      </c>
      <c r="D5032" s="2" t="s">
        <v>15560</v>
      </c>
      <c r="E5032" s="2" t="s">
        <v>1181</v>
      </c>
      <c r="F5032" s="4">
        <v>6021</v>
      </c>
      <c r="G5032" s="2" t="s">
        <v>37</v>
      </c>
      <c r="H5032" s="2" t="s">
        <v>34</v>
      </c>
      <c r="I5032" s="2" t="s">
        <v>6662</v>
      </c>
      <c r="J5032" s="2" t="s">
        <v>1181</v>
      </c>
      <c r="K5032" s="2" t="s">
        <v>37</v>
      </c>
      <c r="L5032" s="2" t="s">
        <v>34</v>
      </c>
      <c r="M5032" s="2"/>
      <c r="N5032" s="7">
        <v>13.875</v>
      </c>
      <c r="O5032" s="7">
        <v>13.875</v>
      </c>
      <c r="P5032" s="2" t="s">
        <v>15561</v>
      </c>
      <c r="Q5032" s="6">
        <v>100</v>
      </c>
      <c r="R5032" s="2"/>
      <c r="S5032" s="5">
        <v>1.1000000000000001</v>
      </c>
      <c r="T5032" s="5">
        <v>1.8</v>
      </c>
      <c r="U5032" s="5">
        <v>1.6</v>
      </c>
      <c r="V5032" s="6">
        <v>0.23</v>
      </c>
      <c r="W5032" s="7">
        <v>3.9380000000000002</v>
      </c>
      <c r="X5032" s="7">
        <v>3.9380000000000002</v>
      </c>
      <c r="Y5032" s="7">
        <v>4.0629999999999997</v>
      </c>
      <c r="Z5032" s="6">
        <v>3.75</v>
      </c>
      <c r="AA5032" s="2"/>
      <c r="AB5032" s="7">
        <v>60.75</v>
      </c>
      <c r="AC5032" s="2"/>
    </row>
    <row r="5033" spans="1:29" ht="117" x14ac:dyDescent="0.15">
      <c r="A5033" s="3">
        <f>DATE(1999,10,25)</f>
        <v>36458</v>
      </c>
      <c r="B5033" s="3">
        <f>DATE(2000,1,19)</f>
        <v>36544</v>
      </c>
      <c r="C5033" s="2" t="s">
        <v>95</v>
      </c>
      <c r="D5033" s="2" t="s">
        <v>15562</v>
      </c>
      <c r="E5033" s="2" t="s">
        <v>15563</v>
      </c>
      <c r="F5033" s="4">
        <v>7372</v>
      </c>
      <c r="G5033" s="2" t="s">
        <v>551</v>
      </c>
      <c r="H5033" s="2" t="s">
        <v>34</v>
      </c>
      <c r="I5033" s="2" t="s">
        <v>15564</v>
      </c>
      <c r="J5033" s="2" t="s">
        <v>15565</v>
      </c>
      <c r="K5033" s="2" t="s">
        <v>223</v>
      </c>
      <c r="L5033" s="2" t="s">
        <v>34</v>
      </c>
      <c r="M5033" s="7">
        <v>548.94799999999998</v>
      </c>
      <c r="N5033" s="6">
        <v>16.25</v>
      </c>
      <c r="O5033" s="4">
        <v>17</v>
      </c>
      <c r="P5033" s="2" t="s">
        <v>15566</v>
      </c>
      <c r="Q5033" s="6">
        <v>100</v>
      </c>
      <c r="R5033" s="6">
        <v>22.25</v>
      </c>
      <c r="S5033" s="5">
        <v>-13.2</v>
      </c>
      <c r="T5033" s="7">
        <v>-13.102</v>
      </c>
      <c r="U5033" s="5">
        <v>5.2</v>
      </c>
      <c r="V5033" s="6">
        <v>-0.78</v>
      </c>
      <c r="W5033" s="4">
        <v>22</v>
      </c>
      <c r="X5033" s="7">
        <v>21.625</v>
      </c>
      <c r="Y5033" s="7">
        <v>21.375</v>
      </c>
      <c r="Z5033" s="5">
        <v>22.5</v>
      </c>
      <c r="AA5033" s="6">
        <v>16.559999999999999</v>
      </c>
      <c r="AB5033" s="2" t="s">
        <v>86</v>
      </c>
      <c r="AC5033" s="6">
        <v>30.83</v>
      </c>
    </row>
    <row r="5034" spans="1:29" ht="104" x14ac:dyDescent="0.15">
      <c r="A5034" s="3">
        <f>DATE(1999,10,25)</f>
        <v>36458</v>
      </c>
      <c r="B5034" s="3">
        <f>DATE(2000,3,14)</f>
        <v>36599</v>
      </c>
      <c r="C5034" s="2" t="s">
        <v>95</v>
      </c>
      <c r="D5034" s="2" t="s">
        <v>12740</v>
      </c>
      <c r="E5034" s="2" t="s">
        <v>1888</v>
      </c>
      <c r="F5034" s="4">
        <v>4911</v>
      </c>
      <c r="G5034" s="2" t="s">
        <v>439</v>
      </c>
      <c r="H5034" s="2" t="s">
        <v>34</v>
      </c>
      <c r="I5034" s="2" t="s">
        <v>51</v>
      </c>
      <c r="J5034" s="2" t="s">
        <v>52</v>
      </c>
      <c r="K5034" s="2" t="s">
        <v>53</v>
      </c>
      <c r="L5034" s="2" t="s">
        <v>34</v>
      </c>
      <c r="M5034" s="2"/>
      <c r="N5034" s="2"/>
      <c r="O5034" s="2"/>
      <c r="P5034" s="2" t="s">
        <v>15567</v>
      </c>
      <c r="Q5034" s="6">
        <v>100</v>
      </c>
      <c r="R5034" s="6">
        <v>35.049999999999997</v>
      </c>
      <c r="S5034" s="5">
        <v>180.7</v>
      </c>
      <c r="T5034" s="12">
        <v>-3897.5219999999999</v>
      </c>
      <c r="U5034" s="5">
        <v>15.6</v>
      </c>
      <c r="V5034" s="6">
        <v>2.77</v>
      </c>
      <c r="W5034" s="7">
        <v>27.625</v>
      </c>
      <c r="X5034" s="6">
        <v>27.25</v>
      </c>
      <c r="Y5034" s="7">
        <v>33.375</v>
      </c>
      <c r="Z5034" s="7">
        <v>33.438000000000002</v>
      </c>
      <c r="AA5034" s="6">
        <v>70.98</v>
      </c>
      <c r="AB5034" s="2" t="s">
        <v>86</v>
      </c>
      <c r="AC5034" s="2"/>
    </row>
    <row r="5035" spans="1:29" ht="169" x14ac:dyDescent="0.15">
      <c r="A5035" s="3">
        <f>DATE(1999,10,26)</f>
        <v>36459</v>
      </c>
      <c r="B5035" s="2"/>
      <c r="C5035" s="2" t="s">
        <v>30</v>
      </c>
      <c r="D5035" s="2" t="s">
        <v>15568</v>
      </c>
      <c r="E5035" s="2" t="s">
        <v>15569</v>
      </c>
      <c r="F5035" s="4">
        <v>2657</v>
      </c>
      <c r="G5035" s="2" t="s">
        <v>282</v>
      </c>
      <c r="H5035" s="2" t="s">
        <v>34</v>
      </c>
      <c r="I5035" s="2" t="s">
        <v>15570</v>
      </c>
      <c r="J5035" s="2" t="s">
        <v>15571</v>
      </c>
      <c r="K5035" s="2" t="s">
        <v>282</v>
      </c>
      <c r="L5035" s="2" t="s">
        <v>34</v>
      </c>
      <c r="M5035" s="7">
        <v>377.24099999999999</v>
      </c>
      <c r="N5035" s="7">
        <v>12.938000000000001</v>
      </c>
      <c r="O5035" s="7">
        <v>13.375</v>
      </c>
      <c r="P5035" s="2" t="s">
        <v>15572</v>
      </c>
      <c r="Q5035" s="2"/>
      <c r="R5035" s="6">
        <v>40</v>
      </c>
      <c r="S5035" s="5">
        <v>85.3</v>
      </c>
      <c r="T5035" s="5">
        <v>174.8</v>
      </c>
      <c r="U5035" s="5">
        <v>22.7</v>
      </c>
      <c r="V5035" s="6">
        <v>3.98</v>
      </c>
      <c r="W5035" s="7">
        <v>28.125</v>
      </c>
      <c r="X5035" s="7">
        <v>28.375</v>
      </c>
      <c r="Y5035" s="5">
        <v>28.5</v>
      </c>
      <c r="Z5035" s="9">
        <v>29.0625</v>
      </c>
      <c r="AA5035" s="6">
        <v>21.26</v>
      </c>
      <c r="AB5035" s="7">
        <v>14.635999999999999</v>
      </c>
      <c r="AC5035" s="6">
        <v>1.06</v>
      </c>
    </row>
    <row r="5036" spans="1:29" ht="65" x14ac:dyDescent="0.15">
      <c r="A5036" s="3">
        <f>DATE(1999,10,26)</f>
        <v>36459</v>
      </c>
      <c r="B5036" s="2"/>
      <c r="C5036" s="2" t="s">
        <v>7330</v>
      </c>
      <c r="D5036" s="2" t="s">
        <v>13230</v>
      </c>
      <c r="E5036" s="2" t="s">
        <v>13231</v>
      </c>
      <c r="F5036" s="4">
        <v>5143</v>
      </c>
      <c r="G5036" s="2" t="s">
        <v>593</v>
      </c>
      <c r="H5036" s="2" t="s">
        <v>34</v>
      </c>
      <c r="I5036" s="2" t="s">
        <v>15573</v>
      </c>
      <c r="J5036" s="2" t="s">
        <v>15574</v>
      </c>
      <c r="K5036" s="2" t="s">
        <v>426</v>
      </c>
      <c r="L5036" s="2" t="s">
        <v>34</v>
      </c>
      <c r="M5036" s="2"/>
      <c r="N5036" s="2"/>
      <c r="O5036" s="2"/>
      <c r="P5036" s="2" t="s">
        <v>15575</v>
      </c>
      <c r="Q5036" s="2"/>
      <c r="R5036" s="2"/>
      <c r="S5036" s="5">
        <v>1.2</v>
      </c>
      <c r="T5036" s="7">
        <v>6.0869999999999997</v>
      </c>
      <c r="U5036" s="5">
        <v>6.8</v>
      </c>
      <c r="V5036" s="6">
        <v>0.35</v>
      </c>
      <c r="W5036" s="7">
        <v>9.875</v>
      </c>
      <c r="X5036" s="6">
        <v>9.75</v>
      </c>
      <c r="Y5036" s="7">
        <v>9.625</v>
      </c>
      <c r="Z5036" s="4">
        <v>10</v>
      </c>
      <c r="AA5036" s="6">
        <v>3.46</v>
      </c>
      <c r="AB5036" s="2" t="s">
        <v>47</v>
      </c>
      <c r="AC5036" s="2"/>
    </row>
    <row r="5037" spans="1:29" ht="156" x14ac:dyDescent="0.15">
      <c r="A5037" s="3">
        <f>DATE(1999,10,26)</f>
        <v>36459</v>
      </c>
      <c r="B5037" s="3">
        <f>DATE(1999,12,13)</f>
        <v>36507</v>
      </c>
      <c r="C5037" s="2" t="s">
        <v>95</v>
      </c>
      <c r="D5037" s="2" t="s">
        <v>13636</v>
      </c>
      <c r="E5037" s="2" t="s">
        <v>13637</v>
      </c>
      <c r="F5037" s="4">
        <v>3829</v>
      </c>
      <c r="G5037" s="2" t="s">
        <v>226</v>
      </c>
      <c r="H5037" s="2" t="s">
        <v>34</v>
      </c>
      <c r="I5037" s="2" t="s">
        <v>15576</v>
      </c>
      <c r="J5037" s="2" t="s">
        <v>612</v>
      </c>
      <c r="K5037" s="2" t="s">
        <v>148</v>
      </c>
      <c r="L5037" s="2" t="s">
        <v>133</v>
      </c>
      <c r="M5037" s="2"/>
      <c r="N5037" s="2"/>
      <c r="O5037" s="2"/>
      <c r="P5037" s="2" t="s">
        <v>15577</v>
      </c>
      <c r="Q5037" s="6">
        <v>100</v>
      </c>
      <c r="R5037" s="6">
        <v>6.71</v>
      </c>
      <c r="S5037" s="5">
        <v>-23.8</v>
      </c>
      <c r="T5037" s="7">
        <v>-28.876999999999999</v>
      </c>
      <c r="U5037" s="5">
        <v>6</v>
      </c>
      <c r="V5037" s="6">
        <v>-2.39</v>
      </c>
      <c r="W5037" s="7">
        <v>6.875</v>
      </c>
      <c r="X5037" s="4">
        <v>6</v>
      </c>
      <c r="Y5037" s="7">
        <v>6.5629999999999997</v>
      </c>
      <c r="Z5037" s="7">
        <v>6.5629999999999997</v>
      </c>
      <c r="AA5037" s="6">
        <v>9.99</v>
      </c>
      <c r="AB5037" s="2" t="s">
        <v>86</v>
      </c>
      <c r="AC5037" s="6">
        <v>35.049999999999997</v>
      </c>
    </row>
    <row r="5038" spans="1:29" ht="91" x14ac:dyDescent="0.15">
      <c r="A5038" s="3">
        <f>DATE(1999,10,26)</f>
        <v>36459</v>
      </c>
      <c r="B5038" s="3">
        <f>DATE(2000,12,6)</f>
        <v>36866</v>
      </c>
      <c r="C5038" s="2" t="s">
        <v>95</v>
      </c>
      <c r="D5038" s="2" t="s">
        <v>15578</v>
      </c>
      <c r="E5038" s="2" t="s">
        <v>6632</v>
      </c>
      <c r="F5038" s="4">
        <v>3672</v>
      </c>
      <c r="G5038" s="2" t="s">
        <v>137</v>
      </c>
      <c r="H5038" s="2" t="s">
        <v>34</v>
      </c>
      <c r="I5038" s="2" t="s">
        <v>9732</v>
      </c>
      <c r="J5038" s="2" t="s">
        <v>9733</v>
      </c>
      <c r="K5038" s="2" t="s">
        <v>300</v>
      </c>
      <c r="L5038" s="2" t="s">
        <v>1791</v>
      </c>
      <c r="M5038" s="2"/>
      <c r="N5038" s="6">
        <v>44.25</v>
      </c>
      <c r="O5038" s="7">
        <v>41.875</v>
      </c>
      <c r="P5038" s="2" t="s">
        <v>15579</v>
      </c>
      <c r="Q5038" s="6">
        <v>100</v>
      </c>
      <c r="R5038" s="6">
        <v>5.5</v>
      </c>
      <c r="S5038" s="5">
        <v>-25.5</v>
      </c>
      <c r="T5038" s="7">
        <v>10.615</v>
      </c>
      <c r="U5038" s="5">
        <v>1.5</v>
      </c>
      <c r="V5038" s="6">
        <v>-1.97</v>
      </c>
      <c r="W5038" s="7">
        <v>4.3129999999999997</v>
      </c>
      <c r="X5038" s="6">
        <v>4.75</v>
      </c>
      <c r="Y5038" s="7">
        <v>4.4059999999999997</v>
      </c>
      <c r="Z5038" s="7">
        <v>5.3440000000000003</v>
      </c>
      <c r="AA5038" s="6">
        <v>13.13</v>
      </c>
      <c r="AB5038" s="2" t="s">
        <v>86</v>
      </c>
      <c r="AC5038" s="8">
        <v>1762</v>
      </c>
    </row>
    <row r="5039" spans="1:29" ht="65" x14ac:dyDescent="0.15">
      <c r="A5039" s="3">
        <f>DATE(1999,10,26)</f>
        <v>36459</v>
      </c>
      <c r="B5039" s="3">
        <f>DATE(2000,1,31)</f>
        <v>36556</v>
      </c>
      <c r="C5039" s="2" t="s">
        <v>95</v>
      </c>
      <c r="D5039" s="2" t="s">
        <v>15580</v>
      </c>
      <c r="E5039" s="2" t="s">
        <v>15581</v>
      </c>
      <c r="F5039" s="4">
        <v>3559</v>
      </c>
      <c r="G5039" s="2" t="s">
        <v>300</v>
      </c>
      <c r="H5039" s="2" t="s">
        <v>34</v>
      </c>
      <c r="I5039" s="2" t="s">
        <v>15582</v>
      </c>
      <c r="J5039" s="2" t="s">
        <v>678</v>
      </c>
      <c r="K5039" s="2" t="s">
        <v>53</v>
      </c>
      <c r="L5039" s="2" t="s">
        <v>34</v>
      </c>
      <c r="M5039" s="2"/>
      <c r="N5039" s="2"/>
      <c r="O5039" s="2"/>
      <c r="P5039" s="2" t="s">
        <v>15583</v>
      </c>
      <c r="Q5039" s="6">
        <v>100</v>
      </c>
      <c r="R5039" s="6">
        <v>41.13</v>
      </c>
      <c r="S5039" s="5">
        <v>17.600000000000001</v>
      </c>
      <c r="T5039" s="7">
        <v>30.154</v>
      </c>
      <c r="U5039" s="5">
        <v>23.6</v>
      </c>
      <c r="V5039" s="6">
        <v>1.71</v>
      </c>
      <c r="W5039" s="7">
        <v>31.875</v>
      </c>
      <c r="X5039" s="7">
        <v>31.625</v>
      </c>
      <c r="Y5039" s="6">
        <v>37.75</v>
      </c>
      <c r="Z5039" s="7">
        <v>37.313000000000002</v>
      </c>
      <c r="AA5039" s="6">
        <v>7.25</v>
      </c>
      <c r="AB5039" s="7">
        <v>7.55</v>
      </c>
      <c r="AC5039" s="2"/>
    </row>
    <row r="5040" spans="1:29" ht="130" x14ac:dyDescent="0.15">
      <c r="A5040" s="3">
        <f>DATE(1999,10,27)</f>
        <v>36460</v>
      </c>
      <c r="B5040" s="3">
        <f>DATE(2000,10,10)</f>
        <v>36809</v>
      </c>
      <c r="C5040" s="2" t="s">
        <v>95</v>
      </c>
      <c r="D5040" s="2" t="s">
        <v>9662</v>
      </c>
      <c r="E5040" s="2" t="s">
        <v>1072</v>
      </c>
      <c r="F5040" s="4">
        <v>6799</v>
      </c>
      <c r="G5040" s="2" t="s">
        <v>53</v>
      </c>
      <c r="H5040" s="2" t="s">
        <v>34</v>
      </c>
      <c r="I5040" s="2" t="s">
        <v>278</v>
      </c>
      <c r="J5040" s="2" t="s">
        <v>52</v>
      </c>
      <c r="K5040" s="2" t="s">
        <v>53</v>
      </c>
      <c r="L5040" s="2" t="s">
        <v>34</v>
      </c>
      <c r="M5040" s="2"/>
      <c r="N5040" s="2"/>
      <c r="O5040" s="2"/>
      <c r="P5040" s="2" t="s">
        <v>15584</v>
      </c>
      <c r="Q5040" s="6">
        <v>54</v>
      </c>
      <c r="R5040" s="6">
        <v>40.630000000000003</v>
      </c>
      <c r="S5040" s="5">
        <v>31.9</v>
      </c>
      <c r="T5040" s="7">
        <v>87.536000000000001</v>
      </c>
      <c r="U5040" s="5">
        <v>20.399999999999999</v>
      </c>
      <c r="V5040" s="6">
        <v>0.87</v>
      </c>
      <c r="W5040" s="7">
        <v>37.375</v>
      </c>
      <c r="X5040" s="6">
        <v>35.75</v>
      </c>
      <c r="Y5040" s="7">
        <v>34.875</v>
      </c>
      <c r="Z5040" s="7">
        <v>34.875</v>
      </c>
      <c r="AA5040" s="6">
        <v>36.35</v>
      </c>
      <c r="AB5040" s="7">
        <v>26.664999999999999</v>
      </c>
      <c r="AC5040" s="2"/>
    </row>
    <row r="5041" spans="1:29" ht="117" x14ac:dyDescent="0.15">
      <c r="A5041" s="3">
        <f>DATE(1999,10,27)</f>
        <v>36460</v>
      </c>
      <c r="B5041" s="3">
        <f>DATE(2000,1,21)</f>
        <v>36546</v>
      </c>
      <c r="C5041" s="2" t="s">
        <v>95</v>
      </c>
      <c r="D5041" s="2" t="s">
        <v>15585</v>
      </c>
      <c r="E5041" s="2" t="s">
        <v>15586</v>
      </c>
      <c r="F5041" s="4">
        <v>7623</v>
      </c>
      <c r="G5041" s="2" t="s">
        <v>1327</v>
      </c>
      <c r="H5041" s="2" t="s">
        <v>34</v>
      </c>
      <c r="I5041" s="2" t="s">
        <v>15587</v>
      </c>
      <c r="J5041" s="2" t="s">
        <v>15588</v>
      </c>
      <c r="K5041" s="2" t="s">
        <v>300</v>
      </c>
      <c r="L5041" s="2" t="s">
        <v>34</v>
      </c>
      <c r="M5041" s="7">
        <v>662.21799999999996</v>
      </c>
      <c r="N5041" s="4">
        <v>10</v>
      </c>
      <c r="O5041" s="7">
        <v>9.625</v>
      </c>
      <c r="P5041" s="2" t="s">
        <v>15589</v>
      </c>
      <c r="Q5041" s="6">
        <v>100</v>
      </c>
      <c r="R5041" s="6">
        <v>8.8800000000000008</v>
      </c>
      <c r="S5041" s="5">
        <v>14.4</v>
      </c>
      <c r="T5041" s="2"/>
      <c r="U5041" s="5">
        <v>12.5</v>
      </c>
      <c r="V5041" s="6">
        <v>0.81</v>
      </c>
      <c r="W5041" s="5">
        <v>6.5</v>
      </c>
      <c r="X5041" s="7">
        <v>7.5629999999999997</v>
      </c>
      <c r="Y5041" s="4">
        <v>6</v>
      </c>
      <c r="Z5041" s="5">
        <v>5.5</v>
      </c>
      <c r="AA5041" s="6">
        <v>17.66</v>
      </c>
      <c r="AB5041" s="7">
        <v>8.6189999999999998</v>
      </c>
      <c r="AC5041" s="5">
        <v>166.6</v>
      </c>
    </row>
    <row r="5042" spans="1:29" ht="104" x14ac:dyDescent="0.15">
      <c r="A5042" s="3">
        <f>DATE(1999,10,28)</f>
        <v>36461</v>
      </c>
      <c r="B5042" s="3">
        <f>DATE(2000,6,16)</f>
        <v>36693</v>
      </c>
      <c r="C5042" s="2" t="s">
        <v>95</v>
      </c>
      <c r="D5042" s="2" t="s">
        <v>15590</v>
      </c>
      <c r="E5042" s="2" t="s">
        <v>389</v>
      </c>
      <c r="F5042" s="4">
        <v>6035</v>
      </c>
      <c r="G5042" s="2" t="s">
        <v>33</v>
      </c>
      <c r="H5042" s="2" t="s">
        <v>34</v>
      </c>
      <c r="I5042" s="2" t="s">
        <v>15591</v>
      </c>
      <c r="J5042" s="2" t="s">
        <v>672</v>
      </c>
      <c r="K5042" s="2" t="s">
        <v>37</v>
      </c>
      <c r="L5042" s="2" t="s">
        <v>34</v>
      </c>
      <c r="M5042" s="2"/>
      <c r="N5042" s="2"/>
      <c r="O5042" s="2"/>
      <c r="P5042" s="2" t="s">
        <v>15592</v>
      </c>
      <c r="Q5042" s="6">
        <v>100</v>
      </c>
      <c r="R5042" s="6">
        <v>14.7</v>
      </c>
      <c r="S5042" s="5">
        <v>0.7</v>
      </c>
      <c r="T5042" s="2"/>
      <c r="U5042" s="5">
        <v>15.2</v>
      </c>
      <c r="V5042" s="6">
        <v>0.49</v>
      </c>
      <c r="W5042" s="5">
        <v>11.5</v>
      </c>
      <c r="X5042" s="7">
        <v>11.688000000000001</v>
      </c>
      <c r="Y5042" s="6">
        <v>15.25</v>
      </c>
      <c r="Z5042" s="7">
        <v>15.375</v>
      </c>
      <c r="AA5042" s="6">
        <v>1.42</v>
      </c>
      <c r="AB5042" s="7">
        <v>18.116</v>
      </c>
      <c r="AC5042" s="2"/>
    </row>
    <row r="5043" spans="1:29" ht="169" x14ac:dyDescent="0.15">
      <c r="A5043" s="3">
        <f>DATE(1999,10,29)</f>
        <v>36462</v>
      </c>
      <c r="B5043" s="2"/>
      <c r="C5043" s="2" t="s">
        <v>30</v>
      </c>
      <c r="D5043" s="2" t="s">
        <v>15593</v>
      </c>
      <c r="E5043" s="2" t="s">
        <v>15594</v>
      </c>
      <c r="F5043" s="4">
        <v>4941</v>
      </c>
      <c r="G5043" s="2" t="s">
        <v>439</v>
      </c>
      <c r="H5043" s="2" t="s">
        <v>34</v>
      </c>
      <c r="I5043" s="2" t="s">
        <v>15595</v>
      </c>
      <c r="J5043" s="2" t="s">
        <v>4205</v>
      </c>
      <c r="K5043" s="2" t="s">
        <v>439</v>
      </c>
      <c r="L5043" s="2" t="s">
        <v>34</v>
      </c>
      <c r="M5043" s="12">
        <v>2819.4360000000001</v>
      </c>
      <c r="N5043" s="7">
        <v>29.187999999999999</v>
      </c>
      <c r="O5043" s="7">
        <v>28.937999999999999</v>
      </c>
      <c r="P5043" s="2" t="s">
        <v>15596</v>
      </c>
      <c r="Q5043" s="2"/>
      <c r="R5043" s="6">
        <v>128</v>
      </c>
      <c r="S5043" s="5">
        <v>14.8</v>
      </c>
      <c r="T5043" s="7">
        <v>39.997</v>
      </c>
      <c r="U5043" s="5">
        <v>7.6</v>
      </c>
      <c r="V5043" s="9">
        <v>0.79669999999999996</v>
      </c>
      <c r="W5043" s="5">
        <v>99.5</v>
      </c>
      <c r="X5043" s="4">
        <v>106</v>
      </c>
      <c r="Y5043" s="6">
        <v>117.25</v>
      </c>
      <c r="Z5043" s="4">
        <v>119</v>
      </c>
      <c r="AA5043" s="6">
        <v>3.05</v>
      </c>
      <c r="AB5043" s="7">
        <v>81.241</v>
      </c>
      <c r="AC5043" s="6">
        <v>45.98</v>
      </c>
    </row>
    <row r="5044" spans="1:29" ht="286" x14ac:dyDescent="0.15">
      <c r="A5044" s="3">
        <f>DATE(1999,11,1)</f>
        <v>36465</v>
      </c>
      <c r="B5044" s="3">
        <f>DATE(2000,8,28)</f>
        <v>36766</v>
      </c>
      <c r="C5044" s="2" t="s">
        <v>95</v>
      </c>
      <c r="D5044" s="2" t="s">
        <v>15597</v>
      </c>
      <c r="E5044" s="2" t="s">
        <v>15598</v>
      </c>
      <c r="F5044" s="4">
        <v>3661</v>
      </c>
      <c r="G5044" s="2" t="s">
        <v>921</v>
      </c>
      <c r="H5044" s="2" t="s">
        <v>34</v>
      </c>
      <c r="I5044" s="2" t="s">
        <v>5691</v>
      </c>
      <c r="J5044" s="2" t="s">
        <v>5692</v>
      </c>
      <c r="K5044" s="2" t="s">
        <v>63</v>
      </c>
      <c r="L5044" s="2" t="s">
        <v>34</v>
      </c>
      <c r="M5044" s="12">
        <v>139810.943</v>
      </c>
      <c r="N5044" s="7">
        <v>47.313000000000002</v>
      </c>
      <c r="O5044" s="4">
        <v>46</v>
      </c>
      <c r="P5044" s="2" t="s">
        <v>15599</v>
      </c>
      <c r="Q5044" s="6">
        <v>100</v>
      </c>
      <c r="R5044" s="6">
        <v>17.38</v>
      </c>
      <c r="S5044" s="5">
        <v>-56.9</v>
      </c>
      <c r="T5044" s="7">
        <v>-12.871</v>
      </c>
      <c r="U5044" s="5">
        <v>-0.3</v>
      </c>
      <c r="V5044" s="6">
        <v>-2.12</v>
      </c>
      <c r="W5044" s="4">
        <v>11</v>
      </c>
      <c r="X5044" s="7">
        <v>11.063000000000001</v>
      </c>
      <c r="Y5044" s="7">
        <v>13.875</v>
      </c>
      <c r="Z5044" s="7">
        <v>12.875</v>
      </c>
      <c r="AA5044" s="6">
        <v>31.59</v>
      </c>
      <c r="AB5044" s="2" t="s">
        <v>86</v>
      </c>
      <c r="AC5044" s="5">
        <v>426</v>
      </c>
    </row>
    <row r="5045" spans="1:29" ht="117" x14ac:dyDescent="0.15">
      <c r="A5045" s="3">
        <f>DATE(1999,11,1)</f>
        <v>36465</v>
      </c>
      <c r="B5045" s="3">
        <f>DATE(2000,4,10)</f>
        <v>36626</v>
      </c>
      <c r="C5045" s="2" t="s">
        <v>95</v>
      </c>
      <c r="D5045" s="2" t="s">
        <v>13661</v>
      </c>
      <c r="E5045" s="2" t="s">
        <v>13662</v>
      </c>
      <c r="F5045" s="4">
        <v>7819</v>
      </c>
      <c r="G5045" s="2" t="s">
        <v>42</v>
      </c>
      <c r="H5045" s="2" t="s">
        <v>34</v>
      </c>
      <c r="I5045" s="2" t="s">
        <v>3558</v>
      </c>
      <c r="J5045" s="2" t="s">
        <v>1893</v>
      </c>
      <c r="K5045" s="2" t="s">
        <v>45</v>
      </c>
      <c r="L5045" s="2" t="s">
        <v>34</v>
      </c>
      <c r="M5045" s="12">
        <v>48155.283000000003</v>
      </c>
      <c r="N5045" s="5">
        <v>38.5</v>
      </c>
      <c r="O5045" s="5">
        <v>37.5</v>
      </c>
      <c r="P5045" s="2" t="s">
        <v>15600</v>
      </c>
      <c r="Q5045" s="6">
        <v>100</v>
      </c>
      <c r="R5045" s="6">
        <v>12.8</v>
      </c>
      <c r="S5045" s="5">
        <v>6.6</v>
      </c>
      <c r="T5045" s="7">
        <v>51.892000000000003</v>
      </c>
      <c r="U5045" s="5">
        <v>5.8</v>
      </c>
      <c r="V5045" s="6">
        <v>0.37</v>
      </c>
      <c r="W5045" s="7">
        <v>6.125</v>
      </c>
      <c r="X5045" s="7">
        <v>6.0629999999999997</v>
      </c>
      <c r="Y5045" s="6">
        <v>10.75</v>
      </c>
      <c r="Z5045" s="6">
        <v>10.75</v>
      </c>
      <c r="AA5045" s="6">
        <v>19.690000000000001</v>
      </c>
      <c r="AB5045" s="7">
        <v>21.027000000000001</v>
      </c>
      <c r="AC5045" s="8">
        <v>2092</v>
      </c>
    </row>
    <row r="5046" spans="1:29" ht="117" x14ac:dyDescent="0.15">
      <c r="A5046" s="3">
        <f>DATE(1999,11,1)</f>
        <v>36465</v>
      </c>
      <c r="B5046" s="3">
        <f>DATE(1999,12,15)</f>
        <v>36509</v>
      </c>
      <c r="C5046" s="2" t="s">
        <v>95</v>
      </c>
      <c r="D5046" s="2" t="s">
        <v>15601</v>
      </c>
      <c r="E5046" s="2" t="s">
        <v>15602</v>
      </c>
      <c r="F5046" s="4">
        <v>3728</v>
      </c>
      <c r="G5046" s="2" t="s">
        <v>219</v>
      </c>
      <c r="H5046" s="2" t="s">
        <v>34</v>
      </c>
      <c r="I5046" s="2" t="s">
        <v>12672</v>
      </c>
      <c r="J5046" s="2" t="s">
        <v>12673</v>
      </c>
      <c r="K5046" s="2" t="s">
        <v>219</v>
      </c>
      <c r="L5046" s="2" t="s">
        <v>34</v>
      </c>
      <c r="M5046" s="12">
        <v>33391.790999999997</v>
      </c>
      <c r="N5046" s="6">
        <v>57.75</v>
      </c>
      <c r="O5046" s="7">
        <v>56.063000000000002</v>
      </c>
      <c r="P5046" s="2" t="s">
        <v>15603</v>
      </c>
      <c r="Q5046" s="6">
        <v>100</v>
      </c>
      <c r="R5046" s="6">
        <v>9.5</v>
      </c>
      <c r="S5046" s="5">
        <v>15.8</v>
      </c>
      <c r="T5046" s="7">
        <v>33.134</v>
      </c>
      <c r="U5046" s="5">
        <v>3.1</v>
      </c>
      <c r="V5046" s="6">
        <v>0.88</v>
      </c>
      <c r="W5046" s="7">
        <v>5.9379999999999997</v>
      </c>
      <c r="X5046" s="7">
        <v>6.625</v>
      </c>
      <c r="Y5046" s="7">
        <v>6.625</v>
      </c>
      <c r="Z5046" s="7">
        <v>9.1880000000000006</v>
      </c>
      <c r="AA5046" s="6">
        <v>17.25</v>
      </c>
      <c r="AB5046" s="7">
        <v>7.8120000000000003</v>
      </c>
      <c r="AC5046" s="5">
        <v>981</v>
      </c>
    </row>
    <row r="5047" spans="1:29" ht="117" x14ac:dyDescent="0.15">
      <c r="A5047" s="3">
        <f>DATE(1999,11,2)</f>
        <v>36466</v>
      </c>
      <c r="B5047" s="3">
        <f>DATE(2000,2,23)</f>
        <v>36579</v>
      </c>
      <c r="C5047" s="2" t="s">
        <v>95</v>
      </c>
      <c r="D5047" s="2" t="s">
        <v>13528</v>
      </c>
      <c r="E5047" s="2" t="s">
        <v>13529</v>
      </c>
      <c r="F5047" s="4">
        <v>7349</v>
      </c>
      <c r="G5047" s="2" t="s">
        <v>223</v>
      </c>
      <c r="H5047" s="2" t="s">
        <v>34</v>
      </c>
      <c r="I5047" s="2" t="s">
        <v>15604</v>
      </c>
      <c r="J5047" s="2" t="s">
        <v>15605</v>
      </c>
      <c r="K5047" s="2" t="s">
        <v>341</v>
      </c>
      <c r="L5047" s="2" t="s">
        <v>34</v>
      </c>
      <c r="M5047" s="7">
        <v>393.05500000000001</v>
      </c>
      <c r="N5047" s="4">
        <v>10</v>
      </c>
      <c r="O5047" s="7">
        <v>10.375</v>
      </c>
      <c r="P5047" s="2" t="s">
        <v>15606</v>
      </c>
      <c r="Q5047" s="6">
        <v>100</v>
      </c>
      <c r="R5047" s="6">
        <v>12.5</v>
      </c>
      <c r="S5047" s="5">
        <v>52.2</v>
      </c>
      <c r="T5047" s="7">
        <v>137.029</v>
      </c>
      <c r="U5047" s="5">
        <v>15.2</v>
      </c>
      <c r="V5047" s="6">
        <v>1.39</v>
      </c>
      <c r="W5047" s="7">
        <v>11.188000000000001</v>
      </c>
      <c r="X5047" s="7">
        <v>11.188000000000001</v>
      </c>
      <c r="Y5047" s="7">
        <v>11.188000000000001</v>
      </c>
      <c r="Z5047" s="7">
        <v>11.625</v>
      </c>
      <c r="AA5047" s="6">
        <v>25.23</v>
      </c>
      <c r="AB5047" s="7">
        <v>7.8310000000000004</v>
      </c>
      <c r="AC5047" s="5">
        <v>6.5</v>
      </c>
    </row>
    <row r="5048" spans="1:29" ht="117" x14ac:dyDescent="0.15">
      <c r="A5048" s="3">
        <f>DATE(1999,11,3)</f>
        <v>36467</v>
      </c>
      <c r="B5048" s="3">
        <f>DATE(2000,3,9)</f>
        <v>36594</v>
      </c>
      <c r="C5048" s="2" t="s">
        <v>95</v>
      </c>
      <c r="D5048" s="2" t="s">
        <v>6453</v>
      </c>
      <c r="E5048" s="2" t="s">
        <v>6454</v>
      </c>
      <c r="F5048" s="4">
        <v>2771</v>
      </c>
      <c r="G5048" s="2" t="s">
        <v>186</v>
      </c>
      <c r="H5048" s="2" t="s">
        <v>34</v>
      </c>
      <c r="I5048" s="2" t="s">
        <v>15607</v>
      </c>
      <c r="J5048" s="2" t="s">
        <v>15608</v>
      </c>
      <c r="K5048" s="2" t="s">
        <v>186</v>
      </c>
      <c r="L5048" s="2" t="s">
        <v>34</v>
      </c>
      <c r="M5048" s="12">
        <v>1689.5840000000001</v>
      </c>
      <c r="N5048" s="7">
        <v>25.812999999999999</v>
      </c>
      <c r="O5048" s="7">
        <v>26.375</v>
      </c>
      <c r="P5048" s="2" t="s">
        <v>15609</v>
      </c>
      <c r="Q5048" s="6">
        <v>100</v>
      </c>
      <c r="R5048" s="6">
        <v>10.25</v>
      </c>
      <c r="S5048" s="5">
        <v>-31.3</v>
      </c>
      <c r="T5048" s="7">
        <v>13.292999999999999</v>
      </c>
      <c r="U5048" s="5">
        <v>13.6</v>
      </c>
      <c r="V5048" s="6">
        <v>-1.99</v>
      </c>
      <c r="W5048" s="7">
        <v>4.875</v>
      </c>
      <c r="X5048" s="5">
        <v>5.5</v>
      </c>
      <c r="Y5048" s="7">
        <v>8.875</v>
      </c>
      <c r="Z5048" s="7">
        <v>8.9380000000000006</v>
      </c>
      <c r="AA5048" s="6">
        <v>15.83</v>
      </c>
      <c r="AB5048" s="2" t="s">
        <v>86</v>
      </c>
      <c r="AC5048" s="6">
        <v>28.53</v>
      </c>
    </row>
    <row r="5049" spans="1:29" ht="104" x14ac:dyDescent="0.15">
      <c r="A5049" s="3">
        <f>DATE(1999,11,3)</f>
        <v>36467</v>
      </c>
      <c r="B5049" s="3">
        <f>DATE(2000,3,30)</f>
        <v>36615</v>
      </c>
      <c r="C5049" s="2" t="s">
        <v>95</v>
      </c>
      <c r="D5049" s="2" t="s">
        <v>15610</v>
      </c>
      <c r="E5049" s="2" t="s">
        <v>1181</v>
      </c>
      <c r="F5049" s="4">
        <v>6021</v>
      </c>
      <c r="G5049" s="2" t="s">
        <v>37</v>
      </c>
      <c r="H5049" s="2" t="s">
        <v>34</v>
      </c>
      <c r="I5049" s="2" t="s">
        <v>12303</v>
      </c>
      <c r="J5049" s="2" t="s">
        <v>36</v>
      </c>
      <c r="K5049" s="2" t="s">
        <v>37</v>
      </c>
      <c r="L5049" s="2" t="s">
        <v>34</v>
      </c>
      <c r="M5049" s="2"/>
      <c r="N5049" s="7">
        <v>46.125</v>
      </c>
      <c r="O5049" s="4">
        <v>47</v>
      </c>
      <c r="P5049" s="2" t="s">
        <v>15611</v>
      </c>
      <c r="Q5049" s="6">
        <v>100</v>
      </c>
      <c r="R5049" s="2"/>
      <c r="S5049" s="5">
        <v>11.5</v>
      </c>
      <c r="T5049" s="2"/>
      <c r="U5049" s="5">
        <v>15.5</v>
      </c>
      <c r="V5049" s="9">
        <v>1.7681</v>
      </c>
      <c r="W5049" s="4">
        <v>29</v>
      </c>
      <c r="X5049" s="6">
        <v>29.75</v>
      </c>
      <c r="Y5049" s="6">
        <v>32.25</v>
      </c>
      <c r="Z5049" s="6">
        <v>32.25</v>
      </c>
      <c r="AA5049" s="6">
        <v>6.46</v>
      </c>
      <c r="AB5049" s="7">
        <v>14.038</v>
      </c>
      <c r="AC5049" s="2"/>
    </row>
    <row r="5050" spans="1:29" ht="52" x14ac:dyDescent="0.15">
      <c r="A5050" s="3">
        <f>DATE(1999,11,3)</f>
        <v>36467</v>
      </c>
      <c r="B5050" s="3">
        <f>DATE(2000,8,3)</f>
        <v>36741</v>
      </c>
      <c r="C5050" s="2" t="s">
        <v>95</v>
      </c>
      <c r="D5050" s="2" t="s">
        <v>15612</v>
      </c>
      <c r="E5050" s="2" t="s">
        <v>15613</v>
      </c>
      <c r="F5050" s="4">
        <v>6799</v>
      </c>
      <c r="G5050" s="2" t="s">
        <v>53</v>
      </c>
      <c r="H5050" s="2" t="s">
        <v>34</v>
      </c>
      <c r="I5050" s="2" t="s">
        <v>2054</v>
      </c>
      <c r="J5050" s="2" t="s">
        <v>92</v>
      </c>
      <c r="K5050" s="2" t="s">
        <v>53</v>
      </c>
      <c r="L5050" s="2" t="s">
        <v>34</v>
      </c>
      <c r="M5050" s="7">
        <v>174.297</v>
      </c>
      <c r="N5050" s="7">
        <v>17.312999999999999</v>
      </c>
      <c r="O5050" s="7">
        <v>17.312999999999999</v>
      </c>
      <c r="P5050" s="2" t="s">
        <v>15614</v>
      </c>
      <c r="Q5050" s="6">
        <v>100</v>
      </c>
      <c r="R5050" s="2"/>
      <c r="S5050" s="5">
        <v>104.1</v>
      </c>
      <c r="T5050" s="2"/>
      <c r="U5050" s="5">
        <v>7.5</v>
      </c>
      <c r="V5050" s="7">
        <v>16.140999999999998</v>
      </c>
      <c r="W5050" s="7">
        <v>20.125</v>
      </c>
      <c r="X5050" s="4">
        <v>20</v>
      </c>
      <c r="Y5050" s="4">
        <v>20</v>
      </c>
      <c r="Z5050" s="4">
        <v>20</v>
      </c>
      <c r="AA5050" s="6">
        <v>6.32</v>
      </c>
      <c r="AB5050" s="2" t="s">
        <v>47</v>
      </c>
      <c r="AC5050" s="6">
        <v>2.58</v>
      </c>
    </row>
    <row r="5051" spans="1:29" ht="143" x14ac:dyDescent="0.15">
      <c r="A5051" s="3">
        <f t="shared" ref="A5051:A5059" si="113">DATE(1999,11,4)</f>
        <v>36468</v>
      </c>
      <c r="B5051" s="3">
        <f>DATE(2000,2,15)</f>
        <v>36571</v>
      </c>
      <c r="C5051" s="2" t="s">
        <v>95</v>
      </c>
      <c r="D5051" s="2" t="s">
        <v>15615</v>
      </c>
      <c r="E5051" s="2" t="s">
        <v>15616</v>
      </c>
      <c r="F5051" s="4">
        <v>7941</v>
      </c>
      <c r="G5051" s="2" t="s">
        <v>364</v>
      </c>
      <c r="H5051" s="2" t="s">
        <v>34</v>
      </c>
      <c r="I5051" s="2" t="s">
        <v>51</v>
      </c>
      <c r="J5051" s="2" t="s">
        <v>52</v>
      </c>
      <c r="K5051" s="2" t="s">
        <v>53</v>
      </c>
      <c r="L5051" s="2" t="s">
        <v>34</v>
      </c>
      <c r="M5051" s="2"/>
      <c r="N5051" s="2"/>
      <c r="O5051" s="2"/>
      <c r="P5051" s="2" t="s">
        <v>15617</v>
      </c>
      <c r="Q5051" s="6">
        <v>100</v>
      </c>
      <c r="R5051" s="6">
        <v>22.66</v>
      </c>
      <c r="S5051" s="5">
        <v>6.5</v>
      </c>
      <c r="T5051" s="7">
        <v>11.154999999999999</v>
      </c>
      <c r="U5051" s="5">
        <v>0.1</v>
      </c>
      <c r="V5051" s="7">
        <v>1.0149999999999999</v>
      </c>
      <c r="W5051" s="7">
        <v>9.9380000000000006</v>
      </c>
      <c r="X5051" s="6">
        <v>16.25</v>
      </c>
      <c r="Y5051" s="9">
        <v>17.4375</v>
      </c>
      <c r="Z5051" s="9">
        <v>17.3125</v>
      </c>
      <c r="AA5051" s="6">
        <v>6.42</v>
      </c>
      <c r="AB5051" s="7">
        <v>18.279</v>
      </c>
      <c r="AC5051" s="2"/>
    </row>
    <row r="5052" spans="1:29" ht="91" x14ac:dyDescent="0.15">
      <c r="A5052" s="3">
        <f t="shared" si="113"/>
        <v>36468</v>
      </c>
      <c r="B5052" s="3">
        <f>DATE(2000,2,11)</f>
        <v>36567</v>
      </c>
      <c r="C5052" s="2" t="s">
        <v>95</v>
      </c>
      <c r="D5052" s="2" t="s">
        <v>15618</v>
      </c>
      <c r="E5052" s="2" t="s">
        <v>10598</v>
      </c>
      <c r="F5052" s="4">
        <v>7375</v>
      </c>
      <c r="G5052" s="2" t="s">
        <v>223</v>
      </c>
      <c r="H5052" s="2" t="s">
        <v>34</v>
      </c>
      <c r="I5052" s="2" t="s">
        <v>3894</v>
      </c>
      <c r="J5052" s="2" t="s">
        <v>3895</v>
      </c>
      <c r="K5052" s="2" t="s">
        <v>226</v>
      </c>
      <c r="L5052" s="2" t="s">
        <v>34</v>
      </c>
      <c r="M5052" s="2"/>
      <c r="N5052" s="2"/>
      <c r="O5052" s="2"/>
      <c r="P5052" s="2" t="s">
        <v>15619</v>
      </c>
      <c r="Q5052" s="6">
        <v>100</v>
      </c>
      <c r="R5052" s="6">
        <v>7.5</v>
      </c>
      <c r="S5052" s="5">
        <v>-1.5</v>
      </c>
      <c r="T5052" s="7">
        <v>-0.48499999999999999</v>
      </c>
      <c r="U5052" s="5">
        <v>-1.9</v>
      </c>
      <c r="V5052" s="6">
        <v>-0.2</v>
      </c>
      <c r="W5052" s="4">
        <v>7</v>
      </c>
      <c r="X5052" s="7">
        <v>7.2809999999999997</v>
      </c>
      <c r="Y5052" s="7">
        <v>7.2809999999999997</v>
      </c>
      <c r="Z5052" s="4">
        <v>7</v>
      </c>
      <c r="AA5052" s="6">
        <v>11.83</v>
      </c>
      <c r="AB5052" s="2" t="s">
        <v>86</v>
      </c>
      <c r="AC5052" s="2"/>
    </row>
    <row r="5053" spans="1:29" ht="91" x14ac:dyDescent="0.15">
      <c r="A5053" s="3">
        <f t="shared" si="113"/>
        <v>36468</v>
      </c>
      <c r="B5053" s="3">
        <f>DATE(2000,11,8)</f>
        <v>36838</v>
      </c>
      <c r="C5053" s="2" t="s">
        <v>95</v>
      </c>
      <c r="D5053" s="2" t="s">
        <v>11195</v>
      </c>
      <c r="E5053" s="2" t="s">
        <v>11196</v>
      </c>
      <c r="F5053" s="4">
        <v>4924</v>
      </c>
      <c r="G5053" s="2" t="s">
        <v>439</v>
      </c>
      <c r="H5053" s="2" t="s">
        <v>34</v>
      </c>
      <c r="I5053" s="2" t="s">
        <v>15620</v>
      </c>
      <c r="J5053" s="2" t="s">
        <v>15621</v>
      </c>
      <c r="K5053" s="2" t="s">
        <v>439</v>
      </c>
      <c r="L5053" s="2" t="s">
        <v>34</v>
      </c>
      <c r="M5053" s="12">
        <v>4083.0880000000002</v>
      </c>
      <c r="N5053" s="4">
        <v>28</v>
      </c>
      <c r="O5053" s="7">
        <v>27.375</v>
      </c>
      <c r="P5053" s="2" t="s">
        <v>15622</v>
      </c>
      <c r="Q5053" s="6">
        <v>100</v>
      </c>
      <c r="R5053" s="6">
        <v>64</v>
      </c>
      <c r="S5053" s="5">
        <v>41.7</v>
      </c>
      <c r="T5053" s="7">
        <v>159.75200000000001</v>
      </c>
      <c r="U5053" s="5">
        <v>27.2</v>
      </c>
      <c r="V5053" s="6">
        <v>1.73</v>
      </c>
      <c r="W5053" s="7">
        <v>50.375</v>
      </c>
      <c r="X5053" s="7">
        <v>51.563000000000002</v>
      </c>
      <c r="Y5053" s="6">
        <v>56.25</v>
      </c>
      <c r="Z5053" s="6">
        <v>56.25</v>
      </c>
      <c r="AA5053" s="6">
        <v>27.02</v>
      </c>
      <c r="AB5053" s="7">
        <v>28.416</v>
      </c>
      <c r="AC5053" s="6">
        <v>276.70999999999998</v>
      </c>
    </row>
    <row r="5054" spans="1:29" ht="117" x14ac:dyDescent="0.15">
      <c r="A5054" s="3">
        <f t="shared" si="113"/>
        <v>36468</v>
      </c>
      <c r="B5054" s="3">
        <f>DATE(1999,12,22)</f>
        <v>36516</v>
      </c>
      <c r="C5054" s="2" t="s">
        <v>95</v>
      </c>
      <c r="D5054" s="2" t="s">
        <v>15623</v>
      </c>
      <c r="E5054" s="2" t="s">
        <v>15624</v>
      </c>
      <c r="F5054" s="4">
        <v>3241</v>
      </c>
      <c r="G5054" s="2" t="s">
        <v>237</v>
      </c>
      <c r="H5054" s="2" t="s">
        <v>34</v>
      </c>
      <c r="I5054" s="2" t="s">
        <v>15625</v>
      </c>
      <c r="J5054" s="2" t="s">
        <v>15626</v>
      </c>
      <c r="K5054" s="2" t="s">
        <v>237</v>
      </c>
      <c r="L5054" s="2" t="s">
        <v>8464</v>
      </c>
      <c r="M5054" s="2"/>
      <c r="N5054" s="2"/>
      <c r="O5054" s="2"/>
      <c r="P5054" s="2" t="s">
        <v>15627</v>
      </c>
      <c r="Q5054" s="6">
        <v>100</v>
      </c>
      <c r="R5054" s="6">
        <v>31</v>
      </c>
      <c r="S5054" s="5">
        <v>16.899999999999999</v>
      </c>
      <c r="T5054" s="7">
        <v>41.622</v>
      </c>
      <c r="U5054" s="5">
        <v>12</v>
      </c>
      <c r="V5054" s="6">
        <v>1.83</v>
      </c>
      <c r="W5054" s="7">
        <v>18.125</v>
      </c>
      <c r="X5054" s="7">
        <v>20.562999999999999</v>
      </c>
      <c r="Y5054" s="5">
        <v>30.5</v>
      </c>
      <c r="Z5054" s="5">
        <v>30.5</v>
      </c>
      <c r="AA5054" s="6">
        <v>8.66</v>
      </c>
      <c r="AB5054" s="7">
        <v>12.346</v>
      </c>
      <c r="AC5054" s="6">
        <v>60.98</v>
      </c>
    </row>
    <row r="5055" spans="1:29" ht="39" x14ac:dyDescent="0.15">
      <c r="A5055" s="3">
        <f t="shared" si="113"/>
        <v>36468</v>
      </c>
      <c r="B5055" s="3">
        <f>DATE(2000,2,8)</f>
        <v>36564</v>
      </c>
      <c r="C5055" s="2" t="s">
        <v>95</v>
      </c>
      <c r="D5055" s="2" t="s">
        <v>15628</v>
      </c>
      <c r="E5055" s="2" t="s">
        <v>15629</v>
      </c>
      <c r="F5055" s="4">
        <v>2819</v>
      </c>
      <c r="G5055" s="2" t="s">
        <v>98</v>
      </c>
      <c r="H5055" s="2" t="s">
        <v>34</v>
      </c>
      <c r="I5055" s="2" t="s">
        <v>15630</v>
      </c>
      <c r="J5055" s="2" t="s">
        <v>80</v>
      </c>
      <c r="K5055" s="2" t="s">
        <v>53</v>
      </c>
      <c r="L5055" s="2" t="s">
        <v>34</v>
      </c>
      <c r="M5055" s="2"/>
      <c r="N5055" s="2"/>
      <c r="O5055" s="2"/>
      <c r="P5055" s="2" t="s">
        <v>15631</v>
      </c>
      <c r="Q5055" s="6">
        <v>100</v>
      </c>
      <c r="R5055" s="2"/>
      <c r="S5055" s="2"/>
      <c r="T5055" s="2"/>
      <c r="U5055" s="2"/>
      <c r="V5055" s="2"/>
      <c r="W5055" s="7">
        <v>2.8130000000000002</v>
      </c>
      <c r="X5055" s="7">
        <v>3.2029999999999998</v>
      </c>
      <c r="Y5055" s="7">
        <v>3.2029999999999998</v>
      </c>
      <c r="Z5055" s="4">
        <v>3</v>
      </c>
      <c r="AA5055" s="6">
        <v>5</v>
      </c>
      <c r="AB5055" s="2" t="s">
        <v>47</v>
      </c>
      <c r="AC5055" s="2"/>
    </row>
    <row r="5056" spans="1:29" ht="91" x14ac:dyDescent="0.15">
      <c r="A5056" s="3">
        <f t="shared" si="113"/>
        <v>36468</v>
      </c>
      <c r="B5056" s="3">
        <f>DATE(2000,2,4)</f>
        <v>36560</v>
      </c>
      <c r="C5056" s="2" t="s">
        <v>95</v>
      </c>
      <c r="D5056" s="2" t="s">
        <v>15632</v>
      </c>
      <c r="E5056" s="2" t="s">
        <v>15633</v>
      </c>
      <c r="F5056" s="4">
        <v>3827</v>
      </c>
      <c r="G5056" s="2" t="s">
        <v>226</v>
      </c>
      <c r="H5056" s="2" t="s">
        <v>34</v>
      </c>
      <c r="I5056" s="2" t="s">
        <v>15634</v>
      </c>
      <c r="J5056" s="2" t="s">
        <v>15635</v>
      </c>
      <c r="K5056" s="2" t="s">
        <v>137</v>
      </c>
      <c r="L5056" s="2" t="s">
        <v>34</v>
      </c>
      <c r="M5056" s="12">
        <v>14404.893</v>
      </c>
      <c r="N5056" s="7">
        <v>191.875</v>
      </c>
      <c r="O5056" s="4">
        <v>197</v>
      </c>
      <c r="P5056" s="2" t="s">
        <v>15636</v>
      </c>
      <c r="Q5056" s="6">
        <v>100</v>
      </c>
      <c r="R5056" s="6">
        <v>177.65</v>
      </c>
      <c r="S5056" s="5">
        <v>23.2</v>
      </c>
      <c r="T5056" s="7">
        <v>51.915999999999997</v>
      </c>
      <c r="U5056" s="5">
        <v>16.5</v>
      </c>
      <c r="V5056" s="6">
        <v>1.61</v>
      </c>
      <c r="W5056" s="7">
        <v>102.875</v>
      </c>
      <c r="X5056" s="6">
        <v>119.25</v>
      </c>
      <c r="Y5056" s="6">
        <v>168.25</v>
      </c>
      <c r="Z5056" s="7">
        <v>170.06299999999999</v>
      </c>
      <c r="AA5056" s="6">
        <v>14.16</v>
      </c>
      <c r="AB5056" s="7">
        <v>72.301000000000002</v>
      </c>
      <c r="AC5056" s="5">
        <v>959.2</v>
      </c>
    </row>
    <row r="5057" spans="1:29" ht="91" x14ac:dyDescent="0.15">
      <c r="A5057" s="3">
        <f t="shared" si="113"/>
        <v>36468</v>
      </c>
      <c r="B5057" s="3">
        <f>DATE(2002,7,21)</f>
        <v>37458</v>
      </c>
      <c r="C5057" s="2" t="s">
        <v>95</v>
      </c>
      <c r="D5057" s="2" t="s">
        <v>15637</v>
      </c>
      <c r="E5057" s="2" t="s">
        <v>124</v>
      </c>
      <c r="F5057" s="4">
        <v>6331</v>
      </c>
      <c r="G5057" s="2" t="s">
        <v>125</v>
      </c>
      <c r="H5057" s="2" t="s">
        <v>34</v>
      </c>
      <c r="I5057" s="2" t="s">
        <v>15638</v>
      </c>
      <c r="J5057" s="2" t="s">
        <v>302</v>
      </c>
      <c r="K5057" s="2" t="s">
        <v>53</v>
      </c>
      <c r="L5057" s="2" t="s">
        <v>34</v>
      </c>
      <c r="M5057" s="2"/>
      <c r="N5057" s="2"/>
      <c r="O5057" s="2"/>
      <c r="P5057" s="2" t="s">
        <v>15639</v>
      </c>
      <c r="Q5057" s="6">
        <v>100</v>
      </c>
      <c r="R5057" s="6">
        <v>3.08</v>
      </c>
      <c r="S5057" s="5">
        <v>-6.3</v>
      </c>
      <c r="T5057" s="2"/>
      <c r="U5057" s="5">
        <v>2.2999999999999998</v>
      </c>
      <c r="V5057" s="7">
        <v>-0.17100000000000001</v>
      </c>
      <c r="W5057" s="5">
        <v>1.8</v>
      </c>
      <c r="X5057" s="6">
        <v>1.81</v>
      </c>
      <c r="Y5057" s="2"/>
      <c r="Z5057" s="2"/>
      <c r="AA5057" s="6">
        <v>38.590000000000003</v>
      </c>
      <c r="AB5057" s="2" t="s">
        <v>86</v>
      </c>
      <c r="AC5057" s="2"/>
    </row>
    <row r="5058" spans="1:29" ht="312" x14ac:dyDescent="0.15">
      <c r="A5058" s="3">
        <f t="shared" si="113"/>
        <v>36468</v>
      </c>
      <c r="B5058" s="2"/>
      <c r="C5058" s="2" t="s">
        <v>30</v>
      </c>
      <c r="D5058" s="2" t="s">
        <v>13694</v>
      </c>
      <c r="E5058" s="2" t="s">
        <v>13695</v>
      </c>
      <c r="F5058" s="4">
        <v>2834</v>
      </c>
      <c r="G5058" s="2" t="s">
        <v>130</v>
      </c>
      <c r="H5058" s="2" t="s">
        <v>34</v>
      </c>
      <c r="I5058" s="2" t="s">
        <v>2318</v>
      </c>
      <c r="J5058" s="2" t="s">
        <v>2319</v>
      </c>
      <c r="K5058" s="2" t="s">
        <v>130</v>
      </c>
      <c r="L5058" s="2" t="s">
        <v>34</v>
      </c>
      <c r="M5058" s="12">
        <v>63618.445</v>
      </c>
      <c r="N5058" s="4">
        <v>55</v>
      </c>
      <c r="O5058" s="4">
        <v>55</v>
      </c>
      <c r="P5058" s="2" t="s">
        <v>15640</v>
      </c>
      <c r="Q5058" s="2"/>
      <c r="R5058" s="6">
        <v>83.55</v>
      </c>
      <c r="S5058" s="8">
        <v>1587</v>
      </c>
      <c r="T5058" s="8">
        <v>2915.4</v>
      </c>
      <c r="U5058" s="5">
        <v>5.4</v>
      </c>
      <c r="V5058" s="6">
        <v>1.81</v>
      </c>
      <c r="W5058" s="7">
        <v>75.813000000000002</v>
      </c>
      <c r="X5058" s="7">
        <v>78.438000000000002</v>
      </c>
      <c r="Y5058" s="7">
        <v>83.813000000000002</v>
      </c>
      <c r="Z5058" s="7">
        <v>90.375</v>
      </c>
      <c r="AA5058" s="6">
        <v>854.72</v>
      </c>
      <c r="AB5058" s="7">
        <v>29.33</v>
      </c>
      <c r="AC5058" s="10">
        <v>2583.31</v>
      </c>
    </row>
    <row r="5059" spans="1:29" ht="299" x14ac:dyDescent="0.15">
      <c r="A5059" s="3">
        <f t="shared" si="113"/>
        <v>36468</v>
      </c>
      <c r="B5059" s="3">
        <f>DATE(2000,6,19)</f>
        <v>36696</v>
      </c>
      <c r="C5059" s="2" t="s">
        <v>95</v>
      </c>
      <c r="D5059" s="2" t="s">
        <v>13694</v>
      </c>
      <c r="E5059" s="2" t="s">
        <v>13695</v>
      </c>
      <c r="F5059" s="4">
        <v>2834</v>
      </c>
      <c r="G5059" s="2" t="s">
        <v>130</v>
      </c>
      <c r="H5059" s="2" t="s">
        <v>34</v>
      </c>
      <c r="I5059" s="2" t="s">
        <v>7393</v>
      </c>
      <c r="J5059" s="2" t="s">
        <v>5670</v>
      </c>
      <c r="K5059" s="2" t="s">
        <v>130</v>
      </c>
      <c r="L5059" s="2" t="s">
        <v>34</v>
      </c>
      <c r="M5059" s="12">
        <v>149670.14199999999</v>
      </c>
      <c r="N5059" s="6">
        <v>37.25</v>
      </c>
      <c r="O5059" s="6">
        <v>34.75</v>
      </c>
      <c r="P5059" s="2" t="s">
        <v>15641</v>
      </c>
      <c r="Q5059" s="6">
        <v>100</v>
      </c>
      <c r="R5059" s="6">
        <v>98.31</v>
      </c>
      <c r="S5059" s="8">
        <v>1733.2</v>
      </c>
      <c r="T5059" s="8">
        <v>2945</v>
      </c>
      <c r="U5059" s="5">
        <v>5.3</v>
      </c>
      <c r="V5059" s="6">
        <v>1.96</v>
      </c>
      <c r="W5059" s="7">
        <v>75.813000000000002</v>
      </c>
      <c r="X5059" s="7">
        <v>78.438000000000002</v>
      </c>
      <c r="Y5059" s="7">
        <v>83.813000000000002</v>
      </c>
      <c r="Z5059" s="7">
        <v>90.375</v>
      </c>
      <c r="AA5059" s="6">
        <v>854.72</v>
      </c>
      <c r="AB5059" s="7">
        <v>38.460999999999999</v>
      </c>
      <c r="AC5059" s="8">
        <v>1552</v>
      </c>
    </row>
    <row r="5060" spans="1:29" ht="91" x14ac:dyDescent="0.15">
      <c r="A5060" s="3">
        <f>DATE(1999,11,5)</f>
        <v>36469</v>
      </c>
      <c r="B5060" s="2"/>
      <c r="C5060" s="2" t="s">
        <v>30</v>
      </c>
      <c r="D5060" s="2" t="s">
        <v>15642</v>
      </c>
      <c r="E5060" s="2" t="s">
        <v>15643</v>
      </c>
      <c r="F5060" s="4">
        <v>6162</v>
      </c>
      <c r="G5060" s="2" t="s">
        <v>109</v>
      </c>
      <c r="H5060" s="2" t="s">
        <v>34</v>
      </c>
      <c r="I5060" s="2" t="s">
        <v>51</v>
      </c>
      <c r="J5060" s="2" t="s">
        <v>52</v>
      </c>
      <c r="K5060" s="2" t="s">
        <v>53</v>
      </c>
      <c r="L5060" s="2" t="s">
        <v>34</v>
      </c>
      <c r="M5060" s="2"/>
      <c r="N5060" s="2"/>
      <c r="O5060" s="2"/>
      <c r="P5060" s="2" t="s">
        <v>15644</v>
      </c>
      <c r="Q5060" s="2"/>
      <c r="R5060" s="6">
        <v>4.1500000000000004</v>
      </c>
      <c r="S5060" s="5">
        <v>-42.6</v>
      </c>
      <c r="T5060" s="2"/>
      <c r="U5060" s="5">
        <v>5</v>
      </c>
      <c r="V5060" s="6">
        <v>-2.33</v>
      </c>
      <c r="W5060" s="4">
        <v>7</v>
      </c>
      <c r="X5060" s="7">
        <v>5.125</v>
      </c>
      <c r="Y5060" s="9">
        <v>4.1875</v>
      </c>
      <c r="Z5060" s="7">
        <v>3.875</v>
      </c>
      <c r="AA5060" s="6">
        <v>18.47</v>
      </c>
      <c r="AB5060" s="7">
        <v>12.007999999999999</v>
      </c>
      <c r="AC5060" s="2"/>
    </row>
    <row r="5061" spans="1:29" ht="104" x14ac:dyDescent="0.15">
      <c r="A5061" s="3">
        <f>DATE(1999,11,5)</f>
        <v>36469</v>
      </c>
      <c r="B5061" s="3">
        <f>DATE(2000,4,5)</f>
        <v>36621</v>
      </c>
      <c r="C5061" s="2" t="s">
        <v>95</v>
      </c>
      <c r="D5061" s="2" t="s">
        <v>15645</v>
      </c>
      <c r="E5061" s="2" t="s">
        <v>36</v>
      </c>
      <c r="F5061" s="4">
        <v>6022</v>
      </c>
      <c r="G5061" s="2" t="s">
        <v>37</v>
      </c>
      <c r="H5061" s="2" t="s">
        <v>34</v>
      </c>
      <c r="I5061" s="2" t="s">
        <v>5846</v>
      </c>
      <c r="J5061" s="2" t="s">
        <v>5847</v>
      </c>
      <c r="K5061" s="2" t="s">
        <v>37</v>
      </c>
      <c r="L5061" s="2" t="s">
        <v>34</v>
      </c>
      <c r="M5061" s="12">
        <v>2996.9850000000001</v>
      </c>
      <c r="N5061" s="7">
        <v>28.062999999999999</v>
      </c>
      <c r="O5061" s="7">
        <v>28.062999999999999</v>
      </c>
      <c r="P5061" s="2" t="s">
        <v>15646</v>
      </c>
      <c r="Q5061" s="6">
        <v>100</v>
      </c>
      <c r="R5061" s="6">
        <v>12.38</v>
      </c>
      <c r="S5061" s="5">
        <v>7</v>
      </c>
      <c r="T5061" s="2"/>
      <c r="U5061" s="5">
        <v>4.3</v>
      </c>
      <c r="V5061" s="6">
        <v>0.69</v>
      </c>
      <c r="W5061" s="7">
        <v>11.688000000000001</v>
      </c>
      <c r="X5061" s="7">
        <v>11.375</v>
      </c>
      <c r="Y5061" s="7">
        <v>11.125</v>
      </c>
      <c r="Z5061" s="7">
        <v>11.375</v>
      </c>
      <c r="AA5061" s="6">
        <v>7.77</v>
      </c>
      <c r="AB5061" s="7">
        <v>11.231999999999999</v>
      </c>
      <c r="AC5061" s="2"/>
    </row>
    <row r="5062" spans="1:29" ht="117" x14ac:dyDescent="0.15">
      <c r="A5062" s="3">
        <f>DATE(1999,11,5)</f>
        <v>36469</v>
      </c>
      <c r="B5062" s="3">
        <f>DATE(1999,11,5)</f>
        <v>36469</v>
      </c>
      <c r="C5062" s="2" t="s">
        <v>95</v>
      </c>
      <c r="D5062" s="2" t="s">
        <v>12870</v>
      </c>
      <c r="E5062" s="2" t="s">
        <v>80</v>
      </c>
      <c r="F5062" s="4">
        <v>6799</v>
      </c>
      <c r="G5062" s="2" t="s">
        <v>53</v>
      </c>
      <c r="H5062" s="2" t="s">
        <v>34</v>
      </c>
      <c r="I5062" s="2" t="s">
        <v>15647</v>
      </c>
      <c r="J5062" s="2" t="s">
        <v>1072</v>
      </c>
      <c r="K5062" s="2" t="s">
        <v>53</v>
      </c>
      <c r="L5062" s="2" t="s">
        <v>4242</v>
      </c>
      <c r="M5062" s="2"/>
      <c r="N5062" s="2"/>
      <c r="O5062" s="2"/>
      <c r="P5062" s="2" t="s">
        <v>15648</v>
      </c>
      <c r="Q5062" s="6">
        <v>43.69</v>
      </c>
      <c r="R5062" s="6">
        <v>36.5</v>
      </c>
      <c r="S5062" s="5">
        <v>20</v>
      </c>
      <c r="T5062" s="2"/>
      <c r="U5062" s="5">
        <v>22.1</v>
      </c>
      <c r="V5062" s="6">
        <v>1.05</v>
      </c>
      <c r="W5062" s="7">
        <v>36.125</v>
      </c>
      <c r="X5062" s="7">
        <v>36.438000000000002</v>
      </c>
      <c r="Y5062" s="5">
        <v>36.5</v>
      </c>
      <c r="Z5062" s="2"/>
      <c r="AA5062" s="6">
        <v>18.36</v>
      </c>
      <c r="AB5062" s="2" t="s">
        <v>86</v>
      </c>
      <c r="AC5062" s="6">
        <v>139.66999999999999</v>
      </c>
    </row>
    <row r="5063" spans="1:29" ht="156" x14ac:dyDescent="0.15">
      <c r="A5063" s="3">
        <f>DATE(1999,11,5)</f>
        <v>36469</v>
      </c>
      <c r="B5063" s="3">
        <f>DATE(1999,12,31)</f>
        <v>36525</v>
      </c>
      <c r="C5063" s="2" t="s">
        <v>95</v>
      </c>
      <c r="D5063" s="2" t="s">
        <v>15649</v>
      </c>
      <c r="E5063" s="2" t="s">
        <v>15650</v>
      </c>
      <c r="F5063" s="4">
        <v>2221</v>
      </c>
      <c r="G5063" s="2" t="s">
        <v>708</v>
      </c>
      <c r="H5063" s="2" t="s">
        <v>34</v>
      </c>
      <c r="I5063" s="2" t="s">
        <v>9450</v>
      </c>
      <c r="J5063" s="2" t="s">
        <v>9451</v>
      </c>
      <c r="K5063" s="2" t="s">
        <v>53</v>
      </c>
      <c r="L5063" s="2" t="s">
        <v>9452</v>
      </c>
      <c r="M5063" s="2"/>
      <c r="N5063" s="2"/>
      <c r="O5063" s="2"/>
      <c r="P5063" s="2" t="s">
        <v>15651</v>
      </c>
      <c r="Q5063" s="6">
        <v>100</v>
      </c>
      <c r="R5063" s="6">
        <v>33</v>
      </c>
      <c r="S5063" s="5">
        <v>18.2</v>
      </c>
      <c r="T5063" s="7">
        <v>70.578000000000003</v>
      </c>
      <c r="U5063" s="5">
        <v>14.3</v>
      </c>
      <c r="V5063" s="6">
        <v>2.0299999999999998</v>
      </c>
      <c r="W5063" s="6">
        <v>28.25</v>
      </c>
      <c r="X5063" s="7">
        <v>29.062999999999999</v>
      </c>
      <c r="Y5063" s="7">
        <v>32.438000000000002</v>
      </c>
      <c r="Z5063" s="7">
        <v>32.375</v>
      </c>
      <c r="AA5063" s="6">
        <v>8.65</v>
      </c>
      <c r="AB5063" s="7">
        <v>10.973000000000001</v>
      </c>
      <c r="AC5063" s="2"/>
    </row>
    <row r="5064" spans="1:29" ht="39" x14ac:dyDescent="0.15">
      <c r="A5064" s="3">
        <f t="shared" ref="A5064:A5069" si="114">DATE(1999,11,8)</f>
        <v>36472</v>
      </c>
      <c r="B5064" s="3">
        <f>DATE(2000,2,7)</f>
        <v>36563</v>
      </c>
      <c r="C5064" s="2" t="s">
        <v>95</v>
      </c>
      <c r="D5064" s="2" t="s">
        <v>15652</v>
      </c>
      <c r="E5064" s="2" t="s">
        <v>15653</v>
      </c>
      <c r="F5064" s="4">
        <v>3451</v>
      </c>
      <c r="G5064" s="2" t="s">
        <v>163</v>
      </c>
      <c r="H5064" s="2" t="s">
        <v>34</v>
      </c>
      <c r="I5064" s="2" t="s">
        <v>15654</v>
      </c>
      <c r="J5064" s="2" t="s">
        <v>244</v>
      </c>
      <c r="K5064" s="2" t="s">
        <v>53</v>
      </c>
      <c r="L5064" s="2" t="s">
        <v>34</v>
      </c>
      <c r="M5064" s="2"/>
      <c r="N5064" s="2"/>
      <c r="O5064" s="2"/>
      <c r="P5064" s="2" t="s">
        <v>15655</v>
      </c>
      <c r="Q5064" s="6">
        <v>100</v>
      </c>
      <c r="R5064" s="6">
        <v>18.75</v>
      </c>
      <c r="S5064" s="5">
        <v>7.6</v>
      </c>
      <c r="T5064" s="2"/>
      <c r="U5064" s="5">
        <v>7.5</v>
      </c>
      <c r="V5064" s="6">
        <v>1.2</v>
      </c>
      <c r="W5064" s="4">
        <v>11</v>
      </c>
      <c r="X5064" s="4">
        <v>13</v>
      </c>
      <c r="Y5064" s="4">
        <v>17</v>
      </c>
      <c r="Z5064" s="4">
        <v>17</v>
      </c>
      <c r="AA5064" s="6">
        <v>6.31</v>
      </c>
      <c r="AB5064" s="7">
        <v>10.58</v>
      </c>
      <c r="AC5064" s="2"/>
    </row>
    <row r="5065" spans="1:29" ht="143" x14ac:dyDescent="0.15">
      <c r="A5065" s="3">
        <f t="shared" si="114"/>
        <v>36472</v>
      </c>
      <c r="B5065" s="3">
        <f>DATE(2000,4,4)</f>
        <v>36620</v>
      </c>
      <c r="C5065" s="2" t="s">
        <v>95</v>
      </c>
      <c r="D5065" s="2" t="s">
        <v>15656</v>
      </c>
      <c r="E5065" s="2" t="s">
        <v>265</v>
      </c>
      <c r="F5065" s="4">
        <v>6022</v>
      </c>
      <c r="G5065" s="2" t="s">
        <v>37</v>
      </c>
      <c r="H5065" s="2" t="s">
        <v>34</v>
      </c>
      <c r="I5065" s="2" t="s">
        <v>9991</v>
      </c>
      <c r="J5065" s="2" t="s">
        <v>159</v>
      </c>
      <c r="K5065" s="2" t="s">
        <v>37</v>
      </c>
      <c r="L5065" s="2" t="s">
        <v>34</v>
      </c>
      <c r="M5065" s="7">
        <v>314.89800000000002</v>
      </c>
      <c r="N5065" s="7">
        <v>17.125</v>
      </c>
      <c r="O5065" s="7">
        <v>16.625</v>
      </c>
      <c r="P5065" s="2" t="s">
        <v>15657</v>
      </c>
      <c r="Q5065" s="6">
        <v>100</v>
      </c>
      <c r="R5065" s="6">
        <v>42.5</v>
      </c>
      <c r="S5065" s="5">
        <v>8.1999999999999993</v>
      </c>
      <c r="T5065" s="2"/>
      <c r="U5065" s="5">
        <v>11</v>
      </c>
      <c r="V5065" s="9">
        <v>1.0290999999999999</v>
      </c>
      <c r="W5065" s="6">
        <v>26.25</v>
      </c>
      <c r="X5065" s="4">
        <v>26</v>
      </c>
      <c r="Y5065" s="4">
        <v>35</v>
      </c>
      <c r="Z5065" s="4">
        <v>35</v>
      </c>
      <c r="AA5065" s="6">
        <v>5.98</v>
      </c>
      <c r="AB5065" s="7">
        <v>18.123999999999999</v>
      </c>
      <c r="AC5065" s="2"/>
    </row>
    <row r="5066" spans="1:29" ht="52" x14ac:dyDescent="0.15">
      <c r="A5066" s="3">
        <f t="shared" si="114"/>
        <v>36472</v>
      </c>
      <c r="B5066" s="2"/>
      <c r="C5066" s="2" t="s">
        <v>87</v>
      </c>
      <c r="D5066" s="2" t="s">
        <v>8351</v>
      </c>
      <c r="E5066" s="2" t="s">
        <v>5676</v>
      </c>
      <c r="F5066" s="4">
        <v>4911</v>
      </c>
      <c r="G5066" s="2" t="s">
        <v>439</v>
      </c>
      <c r="H5066" s="2" t="s">
        <v>34</v>
      </c>
      <c r="I5066" s="2" t="s">
        <v>12048</v>
      </c>
      <c r="J5066" s="2" t="s">
        <v>1888</v>
      </c>
      <c r="K5066" s="2" t="s">
        <v>439</v>
      </c>
      <c r="L5066" s="2" t="s">
        <v>303</v>
      </c>
      <c r="M5066" s="2"/>
      <c r="N5066" s="2"/>
      <c r="O5066" s="2"/>
      <c r="P5066" s="2" t="s">
        <v>15658</v>
      </c>
      <c r="Q5066" s="2"/>
      <c r="R5066" s="2"/>
      <c r="S5066" s="5">
        <v>384.7</v>
      </c>
      <c r="T5066" s="7">
        <v>990.30100000000004</v>
      </c>
      <c r="U5066" s="5">
        <v>16.600000000000001</v>
      </c>
      <c r="V5066" s="6">
        <v>2.38</v>
      </c>
      <c r="W5066" s="7">
        <v>28.187999999999999</v>
      </c>
      <c r="X5066" s="7">
        <v>27.125</v>
      </c>
      <c r="Y5066" s="7">
        <v>27.375</v>
      </c>
      <c r="Z5066" s="7">
        <v>27.875</v>
      </c>
      <c r="AA5066" s="2"/>
      <c r="AB5066" s="2" t="s">
        <v>47</v>
      </c>
      <c r="AC5066" s="6">
        <v>153.08000000000001</v>
      </c>
    </row>
    <row r="5067" spans="1:29" ht="156" x14ac:dyDescent="0.15">
      <c r="A5067" s="3">
        <f t="shared" si="114"/>
        <v>36472</v>
      </c>
      <c r="B5067" s="3">
        <f>DATE(2000,5,31)</f>
        <v>36677</v>
      </c>
      <c r="C5067" s="2" t="s">
        <v>95</v>
      </c>
      <c r="D5067" s="2" t="s">
        <v>15659</v>
      </c>
      <c r="E5067" s="2" t="s">
        <v>10711</v>
      </c>
      <c r="F5067" s="4">
        <v>7375</v>
      </c>
      <c r="G5067" s="2" t="s">
        <v>223</v>
      </c>
      <c r="H5067" s="2" t="s">
        <v>34</v>
      </c>
      <c r="I5067" s="2" t="s">
        <v>15660</v>
      </c>
      <c r="J5067" s="2" t="s">
        <v>10711</v>
      </c>
      <c r="K5067" s="2" t="s">
        <v>223</v>
      </c>
      <c r="L5067" s="2" t="s">
        <v>34</v>
      </c>
      <c r="M5067" s="12">
        <v>1153.461</v>
      </c>
      <c r="N5067" s="7">
        <v>22.625</v>
      </c>
      <c r="O5067" s="7">
        <v>23.687999999999999</v>
      </c>
      <c r="P5067" s="2" t="s">
        <v>15661</v>
      </c>
      <c r="Q5067" s="6">
        <v>100</v>
      </c>
      <c r="R5067" s="6">
        <v>8.66</v>
      </c>
      <c r="S5067" s="5">
        <v>-10.3</v>
      </c>
      <c r="T5067" s="6">
        <v>-4.74</v>
      </c>
      <c r="U5067" s="5">
        <v>-4.3</v>
      </c>
      <c r="V5067" s="6">
        <v>-2.36</v>
      </c>
      <c r="W5067" s="7">
        <v>9.1880000000000006</v>
      </c>
      <c r="X5067" s="4">
        <v>10</v>
      </c>
      <c r="Y5067" s="7">
        <v>8.4380000000000006</v>
      </c>
      <c r="Z5067" s="7">
        <v>7.875</v>
      </c>
      <c r="AA5067" s="6">
        <v>13.95</v>
      </c>
      <c r="AB5067" s="2" t="s">
        <v>86</v>
      </c>
      <c r="AC5067" s="6">
        <v>12.18</v>
      </c>
    </row>
    <row r="5068" spans="1:29" ht="91" x14ac:dyDescent="0.15">
      <c r="A5068" s="3">
        <f t="shared" si="114"/>
        <v>36472</v>
      </c>
      <c r="B5068" s="2"/>
      <c r="C5068" s="2" t="s">
        <v>7330</v>
      </c>
      <c r="D5068" s="2" t="s">
        <v>15642</v>
      </c>
      <c r="E5068" s="2" t="s">
        <v>15643</v>
      </c>
      <c r="F5068" s="4">
        <v>6162</v>
      </c>
      <c r="G5068" s="2" t="s">
        <v>109</v>
      </c>
      <c r="H5068" s="2" t="s">
        <v>34</v>
      </c>
      <c r="I5068" s="2" t="s">
        <v>15662</v>
      </c>
      <c r="J5068" s="2" t="s">
        <v>302</v>
      </c>
      <c r="K5068" s="2" t="s">
        <v>53</v>
      </c>
      <c r="L5068" s="2" t="s">
        <v>34</v>
      </c>
      <c r="M5068" s="2"/>
      <c r="N5068" s="2"/>
      <c r="O5068" s="2"/>
      <c r="P5068" s="2" t="s">
        <v>15663</v>
      </c>
      <c r="Q5068" s="2"/>
      <c r="R5068" s="6">
        <v>4.3</v>
      </c>
      <c r="S5068" s="5">
        <v>-42.6</v>
      </c>
      <c r="T5068" s="2"/>
      <c r="U5068" s="5">
        <v>5</v>
      </c>
      <c r="V5068" s="6">
        <v>-2.33</v>
      </c>
      <c r="W5068" s="7">
        <v>3.875</v>
      </c>
      <c r="X5068" s="7">
        <v>3.5630000000000002</v>
      </c>
      <c r="Y5068" s="9">
        <v>3.8125</v>
      </c>
      <c r="Z5068" s="7">
        <v>3.875</v>
      </c>
      <c r="AA5068" s="6">
        <v>14.86</v>
      </c>
      <c r="AB5068" s="7">
        <v>12.18</v>
      </c>
      <c r="AC5068" s="2"/>
    </row>
    <row r="5069" spans="1:29" ht="39" x14ac:dyDescent="0.15">
      <c r="A5069" s="3">
        <f t="shared" si="114"/>
        <v>36472</v>
      </c>
      <c r="B5069" s="2"/>
      <c r="C5069" s="2" t="s">
        <v>87</v>
      </c>
      <c r="D5069" s="2" t="s">
        <v>8314</v>
      </c>
      <c r="E5069" s="2" t="s">
        <v>8315</v>
      </c>
      <c r="F5069" s="4">
        <v>2879</v>
      </c>
      <c r="G5069" s="2" t="s">
        <v>98</v>
      </c>
      <c r="H5069" s="2" t="s">
        <v>34</v>
      </c>
      <c r="I5069" s="2" t="s">
        <v>8003</v>
      </c>
      <c r="J5069" s="2" t="s">
        <v>7462</v>
      </c>
      <c r="K5069" s="2" t="s">
        <v>130</v>
      </c>
      <c r="L5069" s="2" t="s">
        <v>215</v>
      </c>
      <c r="M5069" s="2"/>
      <c r="N5069" s="2"/>
      <c r="O5069" s="2"/>
      <c r="P5069" s="2" t="s">
        <v>15664</v>
      </c>
      <c r="Q5069" s="2"/>
      <c r="R5069" s="2"/>
      <c r="S5069" s="5">
        <v>-73</v>
      </c>
      <c r="T5069" s="8">
        <v>1571</v>
      </c>
      <c r="U5069" s="5">
        <v>8.3000000000000007</v>
      </c>
      <c r="V5069" s="7">
        <v>-0.159</v>
      </c>
      <c r="W5069" s="9">
        <v>38.0625</v>
      </c>
      <c r="X5069" s="7">
        <v>45.375</v>
      </c>
      <c r="Y5069" s="6">
        <v>43.75</v>
      </c>
      <c r="Z5069" s="7">
        <v>44.375</v>
      </c>
      <c r="AA5069" s="2"/>
      <c r="AB5069" s="2" t="s">
        <v>47</v>
      </c>
      <c r="AC5069" s="10">
        <v>9671.27</v>
      </c>
    </row>
    <row r="5070" spans="1:29" ht="117" x14ac:dyDescent="0.15">
      <c r="A5070" s="3">
        <f t="shared" ref="A5070:A5076" si="115">DATE(1999,11,9)</f>
        <v>36473</v>
      </c>
      <c r="B5070" s="3">
        <f>DATE(2000,3,16)</f>
        <v>36601</v>
      </c>
      <c r="C5070" s="2" t="s">
        <v>95</v>
      </c>
      <c r="D5070" s="2" t="s">
        <v>15665</v>
      </c>
      <c r="E5070" s="2" t="s">
        <v>15666</v>
      </c>
      <c r="F5070" s="4">
        <v>3663</v>
      </c>
      <c r="G5070" s="2" t="s">
        <v>921</v>
      </c>
      <c r="H5070" s="2" t="s">
        <v>34</v>
      </c>
      <c r="I5070" s="2" t="s">
        <v>7444</v>
      </c>
      <c r="J5070" s="2" t="s">
        <v>7445</v>
      </c>
      <c r="K5070" s="2" t="s">
        <v>50</v>
      </c>
      <c r="L5070" s="2" t="s">
        <v>34</v>
      </c>
      <c r="M5070" s="12">
        <v>236596.34299999999</v>
      </c>
      <c r="N5070" s="6">
        <v>74.25</v>
      </c>
      <c r="O5070" s="5">
        <v>79.5</v>
      </c>
      <c r="P5070" s="2" t="s">
        <v>15667</v>
      </c>
      <c r="Q5070" s="6">
        <v>100</v>
      </c>
      <c r="R5070" s="6">
        <v>47.97</v>
      </c>
      <c r="S5070" s="5">
        <v>-1.1000000000000001</v>
      </c>
      <c r="T5070" s="7">
        <v>1.7310000000000001</v>
      </c>
      <c r="U5070" s="5">
        <v>1.5</v>
      </c>
      <c r="V5070" s="6">
        <v>-0.12</v>
      </c>
      <c r="W5070" s="7">
        <v>44.375</v>
      </c>
      <c r="X5070" s="6">
        <v>43.25</v>
      </c>
      <c r="Y5070" s="7">
        <v>45.375</v>
      </c>
      <c r="Z5070" s="5">
        <v>48.5</v>
      </c>
      <c r="AA5070" s="6">
        <v>14.13</v>
      </c>
      <c r="AB5070" s="2" t="s">
        <v>86</v>
      </c>
      <c r="AC5070" s="8">
        <v>1765</v>
      </c>
    </row>
    <row r="5071" spans="1:29" ht="91" x14ac:dyDescent="0.15">
      <c r="A5071" s="3">
        <f t="shared" si="115"/>
        <v>36473</v>
      </c>
      <c r="B5071" s="3">
        <f>DATE(1999,12,15)</f>
        <v>36509</v>
      </c>
      <c r="C5071" s="2" t="s">
        <v>95</v>
      </c>
      <c r="D5071" s="2" t="s">
        <v>15668</v>
      </c>
      <c r="E5071" s="2" t="s">
        <v>15669</v>
      </c>
      <c r="F5071" s="4">
        <v>2258</v>
      </c>
      <c r="G5071" s="2" t="s">
        <v>708</v>
      </c>
      <c r="H5071" s="2" t="s">
        <v>34</v>
      </c>
      <c r="I5071" s="2" t="s">
        <v>15670</v>
      </c>
      <c r="J5071" s="2" t="s">
        <v>15671</v>
      </c>
      <c r="K5071" s="2" t="s">
        <v>708</v>
      </c>
      <c r="L5071" s="2" t="s">
        <v>4242</v>
      </c>
      <c r="M5071" s="2"/>
      <c r="N5071" s="2"/>
      <c r="O5071" s="2"/>
      <c r="P5071" s="2" t="s">
        <v>15672</v>
      </c>
      <c r="Q5071" s="6">
        <v>100</v>
      </c>
      <c r="R5071" s="6">
        <v>18.5</v>
      </c>
      <c r="S5071" s="5">
        <v>5.6</v>
      </c>
      <c r="T5071" s="7">
        <v>13.144</v>
      </c>
      <c r="U5071" s="5">
        <v>9.9</v>
      </c>
      <c r="V5071" s="7">
        <v>1.675</v>
      </c>
      <c r="W5071" s="7">
        <v>13.688000000000001</v>
      </c>
      <c r="X5071" s="6">
        <v>16.25</v>
      </c>
      <c r="Y5071" s="4">
        <v>18</v>
      </c>
      <c r="Z5071" s="7">
        <v>18.062999999999999</v>
      </c>
      <c r="AA5071" s="6">
        <v>3.16</v>
      </c>
      <c r="AB5071" s="7">
        <v>8.1020000000000003</v>
      </c>
      <c r="AC5071" s="2"/>
    </row>
    <row r="5072" spans="1:29" ht="39" x14ac:dyDescent="0.15">
      <c r="A5072" s="3">
        <f t="shared" si="115"/>
        <v>36473</v>
      </c>
      <c r="B5072" s="3">
        <f>DATE(2000,1,21)</f>
        <v>36546</v>
      </c>
      <c r="C5072" s="2" t="s">
        <v>95</v>
      </c>
      <c r="D5072" s="2" t="s">
        <v>15673</v>
      </c>
      <c r="E5072" s="2" t="s">
        <v>5922</v>
      </c>
      <c r="F5072" s="4">
        <v>7372</v>
      </c>
      <c r="G5072" s="2" t="s">
        <v>551</v>
      </c>
      <c r="H5072" s="2" t="s">
        <v>34</v>
      </c>
      <c r="I5072" s="2" t="s">
        <v>8588</v>
      </c>
      <c r="J5072" s="2" t="s">
        <v>8589</v>
      </c>
      <c r="K5072" s="2" t="s">
        <v>551</v>
      </c>
      <c r="L5072" s="2" t="s">
        <v>34</v>
      </c>
      <c r="M5072" s="12">
        <v>66912.606</v>
      </c>
      <c r="N5072" s="7">
        <v>58.438000000000002</v>
      </c>
      <c r="O5072" s="7">
        <v>58.875</v>
      </c>
      <c r="P5072" s="2" t="s">
        <v>15674</v>
      </c>
      <c r="Q5072" s="6">
        <v>100</v>
      </c>
      <c r="R5072" s="6">
        <v>2.4500000000000002</v>
      </c>
      <c r="S5072" s="5">
        <v>-10.199999999999999</v>
      </c>
      <c r="T5072" s="7">
        <v>-5.665</v>
      </c>
      <c r="U5072" s="5">
        <v>0.7</v>
      </c>
      <c r="V5072" s="6">
        <v>-3.04</v>
      </c>
      <c r="W5072" s="7">
        <v>2.1880000000000002</v>
      </c>
      <c r="X5072" s="7">
        <v>2.5470000000000002</v>
      </c>
      <c r="Y5072" s="6">
        <v>2.25</v>
      </c>
      <c r="Z5072" s="11">
        <v>2.21875</v>
      </c>
      <c r="AA5072" s="6">
        <v>3.35</v>
      </c>
      <c r="AB5072" s="2" t="s">
        <v>86</v>
      </c>
      <c r="AC5072" s="10">
        <v>2721.75</v>
      </c>
    </row>
    <row r="5073" spans="1:29" ht="117" x14ac:dyDescent="0.15">
      <c r="A5073" s="3">
        <f t="shared" si="115"/>
        <v>36473</v>
      </c>
      <c r="B5073" s="2"/>
      <c r="C5073" s="2" t="s">
        <v>30</v>
      </c>
      <c r="D5073" s="2" t="s">
        <v>15675</v>
      </c>
      <c r="E5073" s="2" t="s">
        <v>15676</v>
      </c>
      <c r="F5073" s="4">
        <v>3825</v>
      </c>
      <c r="G5073" s="2" t="s">
        <v>226</v>
      </c>
      <c r="H5073" s="2" t="s">
        <v>34</v>
      </c>
      <c r="I5073" s="2" t="s">
        <v>15677</v>
      </c>
      <c r="J5073" s="2" t="s">
        <v>15678</v>
      </c>
      <c r="K5073" s="2" t="s">
        <v>226</v>
      </c>
      <c r="L5073" s="2" t="s">
        <v>34</v>
      </c>
      <c r="M5073" s="7">
        <v>78.725999999999999</v>
      </c>
      <c r="N5073" s="6">
        <v>9.75</v>
      </c>
      <c r="O5073" s="7">
        <v>9.1880000000000006</v>
      </c>
      <c r="P5073" s="2" t="s">
        <v>15679</v>
      </c>
      <c r="Q5073" s="2"/>
      <c r="R5073" s="6">
        <v>10</v>
      </c>
      <c r="S5073" s="5">
        <v>-0.5</v>
      </c>
      <c r="T5073" s="7">
        <v>6.5389999999999997</v>
      </c>
      <c r="U5073" s="5">
        <v>10.1</v>
      </c>
      <c r="V5073" s="6">
        <v>-0.09</v>
      </c>
      <c r="W5073" s="7">
        <v>7.1879999999999997</v>
      </c>
      <c r="X5073" s="5">
        <v>7.5</v>
      </c>
      <c r="Y5073" s="6">
        <v>7.75</v>
      </c>
      <c r="Z5073" s="4">
        <v>9</v>
      </c>
      <c r="AA5073" s="6">
        <v>5.84</v>
      </c>
      <c r="AB5073" s="7">
        <v>43.594000000000001</v>
      </c>
      <c r="AC5073" s="6">
        <v>38.92</v>
      </c>
    </row>
    <row r="5074" spans="1:29" ht="91" x14ac:dyDescent="0.15">
      <c r="A5074" s="3">
        <f t="shared" si="115"/>
        <v>36473</v>
      </c>
      <c r="B5074" s="3">
        <f>DATE(2000,3,3)</f>
        <v>36588</v>
      </c>
      <c r="C5074" s="2" t="s">
        <v>95</v>
      </c>
      <c r="D5074" s="2" t="s">
        <v>15680</v>
      </c>
      <c r="E5074" s="2" t="s">
        <v>15681</v>
      </c>
      <c r="F5074" s="4">
        <v>7311</v>
      </c>
      <c r="G5074" s="2" t="s">
        <v>4563</v>
      </c>
      <c r="H5074" s="2" t="s">
        <v>34</v>
      </c>
      <c r="I5074" s="2" t="s">
        <v>15682</v>
      </c>
      <c r="J5074" s="2" t="s">
        <v>15683</v>
      </c>
      <c r="K5074" s="2" t="s">
        <v>4563</v>
      </c>
      <c r="L5074" s="2" t="s">
        <v>303</v>
      </c>
      <c r="M5074" s="2"/>
      <c r="N5074" s="2"/>
      <c r="O5074" s="2"/>
      <c r="P5074" s="2" t="s">
        <v>15684</v>
      </c>
      <c r="Q5074" s="6">
        <v>100</v>
      </c>
      <c r="R5074" s="6">
        <v>23</v>
      </c>
      <c r="S5074" s="5">
        <v>5.3</v>
      </c>
      <c r="T5074" s="7">
        <v>12.403</v>
      </c>
      <c r="U5074" s="5">
        <v>5.0999999999999996</v>
      </c>
      <c r="V5074" s="6">
        <v>0.68</v>
      </c>
      <c r="W5074" s="7">
        <v>17.125</v>
      </c>
      <c r="X5074" s="5">
        <v>17.5</v>
      </c>
      <c r="Y5074" s="6">
        <v>18.25</v>
      </c>
      <c r="Z5074" s="5">
        <v>18.5</v>
      </c>
      <c r="AA5074" s="6">
        <v>8.08</v>
      </c>
      <c r="AB5074" s="7">
        <v>17.760999999999999</v>
      </c>
      <c r="AC5074" s="2"/>
    </row>
    <row r="5075" spans="1:29" ht="52" x14ac:dyDescent="0.15">
      <c r="A5075" s="3">
        <f t="shared" si="115"/>
        <v>36473</v>
      </c>
      <c r="B5075" s="3">
        <f>DATE(2000,2,11)</f>
        <v>36567</v>
      </c>
      <c r="C5075" s="2" t="s">
        <v>95</v>
      </c>
      <c r="D5075" s="2" t="s">
        <v>15685</v>
      </c>
      <c r="E5075" s="2" t="s">
        <v>15686</v>
      </c>
      <c r="F5075" s="4">
        <v>3842</v>
      </c>
      <c r="G5075" s="2" t="s">
        <v>226</v>
      </c>
      <c r="H5075" s="2" t="s">
        <v>34</v>
      </c>
      <c r="I5075" s="2" t="s">
        <v>5669</v>
      </c>
      <c r="J5075" s="2" t="s">
        <v>5670</v>
      </c>
      <c r="K5075" s="2" t="s">
        <v>130</v>
      </c>
      <c r="L5075" s="2" t="s">
        <v>34</v>
      </c>
      <c r="M5075" s="12">
        <v>130075.035</v>
      </c>
      <c r="N5075" s="7">
        <v>103.625</v>
      </c>
      <c r="O5075" s="4">
        <v>103</v>
      </c>
      <c r="P5075" s="2" t="s">
        <v>15687</v>
      </c>
      <c r="Q5075" s="6">
        <v>100</v>
      </c>
      <c r="R5075" s="6">
        <v>8.25</v>
      </c>
      <c r="S5075" s="5">
        <v>-3.7</v>
      </c>
      <c r="T5075" s="7">
        <v>-2.6110000000000002</v>
      </c>
      <c r="U5075" s="5">
        <v>1.2</v>
      </c>
      <c r="V5075" s="6">
        <v>-0.41</v>
      </c>
      <c r="W5075" s="7">
        <v>8.375</v>
      </c>
      <c r="X5075" s="7">
        <v>8.4689999999999994</v>
      </c>
      <c r="Y5075" s="7">
        <v>7.9379999999999997</v>
      </c>
      <c r="Z5075" s="7">
        <v>7.8129999999999997</v>
      </c>
      <c r="AA5075" s="6">
        <v>9.26</v>
      </c>
      <c r="AB5075" s="2" t="s">
        <v>86</v>
      </c>
      <c r="AC5075" s="8">
        <v>3593</v>
      </c>
    </row>
    <row r="5076" spans="1:29" ht="39" x14ac:dyDescent="0.15">
      <c r="A5076" s="3">
        <f t="shared" si="115"/>
        <v>36473</v>
      </c>
      <c r="B5076" s="3">
        <f>DATE(2000,1,19)</f>
        <v>36544</v>
      </c>
      <c r="C5076" s="2" t="s">
        <v>95</v>
      </c>
      <c r="D5076" s="2" t="s">
        <v>15688</v>
      </c>
      <c r="E5076" s="2" t="s">
        <v>5232</v>
      </c>
      <c r="F5076" s="4">
        <v>3577</v>
      </c>
      <c r="G5076" s="2" t="s">
        <v>50</v>
      </c>
      <c r="H5076" s="2" t="s">
        <v>34</v>
      </c>
      <c r="I5076" s="2" t="s">
        <v>15689</v>
      </c>
      <c r="J5076" s="2" t="s">
        <v>15690</v>
      </c>
      <c r="K5076" s="2" t="s">
        <v>50</v>
      </c>
      <c r="L5076" s="2" t="s">
        <v>34</v>
      </c>
      <c r="M5076" s="7">
        <v>103.893</v>
      </c>
      <c r="N5076" s="7">
        <v>7.375</v>
      </c>
      <c r="O5076" s="7">
        <v>7.5629999999999997</v>
      </c>
      <c r="P5076" s="2" t="s">
        <v>15691</v>
      </c>
      <c r="Q5076" s="6">
        <v>100</v>
      </c>
      <c r="R5076" s="6">
        <v>15</v>
      </c>
      <c r="S5076" s="5">
        <v>3.2</v>
      </c>
      <c r="T5076" s="6">
        <v>6.07</v>
      </c>
      <c r="U5076" s="5">
        <v>4.3</v>
      </c>
      <c r="V5076" s="6">
        <v>0.83</v>
      </c>
      <c r="W5076" s="6">
        <v>13.25</v>
      </c>
      <c r="X5076" s="7">
        <v>13.438000000000001</v>
      </c>
      <c r="Y5076" s="7">
        <v>14.188000000000001</v>
      </c>
      <c r="Z5076" s="7">
        <v>14.188000000000001</v>
      </c>
      <c r="AA5076" s="6">
        <v>3.8</v>
      </c>
      <c r="AB5076" s="7">
        <v>11.169</v>
      </c>
      <c r="AC5076" s="6">
        <v>5.92</v>
      </c>
    </row>
    <row r="5077" spans="1:29" ht="104" x14ac:dyDescent="0.15">
      <c r="A5077" s="3">
        <f>DATE(1999,11,10)</f>
        <v>36474</v>
      </c>
      <c r="B5077" s="2"/>
      <c r="C5077" s="2" t="s">
        <v>30</v>
      </c>
      <c r="D5077" s="2" t="s">
        <v>15692</v>
      </c>
      <c r="E5077" s="2" t="s">
        <v>3900</v>
      </c>
      <c r="F5077" s="4">
        <v>5812</v>
      </c>
      <c r="G5077" s="2" t="s">
        <v>230</v>
      </c>
      <c r="H5077" s="2" t="s">
        <v>34</v>
      </c>
      <c r="I5077" s="2" t="s">
        <v>51</v>
      </c>
      <c r="J5077" s="2" t="s">
        <v>52</v>
      </c>
      <c r="K5077" s="2" t="s">
        <v>53</v>
      </c>
      <c r="L5077" s="2" t="s">
        <v>34</v>
      </c>
      <c r="M5077" s="2"/>
      <c r="N5077" s="2"/>
      <c r="O5077" s="2"/>
      <c r="P5077" s="2" t="s">
        <v>15693</v>
      </c>
      <c r="Q5077" s="2"/>
      <c r="R5077" s="6">
        <v>7.25</v>
      </c>
      <c r="S5077" s="5">
        <v>12.8</v>
      </c>
      <c r="T5077" s="6">
        <v>79.88</v>
      </c>
      <c r="U5077" s="5">
        <v>4.8</v>
      </c>
      <c r="V5077" s="7">
        <v>0.51600000000000001</v>
      </c>
      <c r="W5077" s="6">
        <v>5.25</v>
      </c>
      <c r="X5077" s="7">
        <v>4.125</v>
      </c>
      <c r="Y5077" s="9">
        <v>5.9375</v>
      </c>
      <c r="Z5077" s="7">
        <v>5.375</v>
      </c>
      <c r="AA5077" s="6">
        <v>25.34</v>
      </c>
      <c r="AB5077" s="7">
        <v>9.8780000000000001</v>
      </c>
      <c r="AC5077" s="2"/>
    </row>
    <row r="5078" spans="1:29" ht="52" x14ac:dyDescent="0.15">
      <c r="A5078" s="3">
        <f>DATE(1999,11,10)</f>
        <v>36474</v>
      </c>
      <c r="B5078" s="3">
        <f>DATE(2000,9,1)</f>
        <v>36770</v>
      </c>
      <c r="C5078" s="2" t="s">
        <v>95</v>
      </c>
      <c r="D5078" s="2" t="s">
        <v>15694</v>
      </c>
      <c r="E5078" s="2" t="s">
        <v>15695</v>
      </c>
      <c r="F5078" s="4">
        <v>6719</v>
      </c>
      <c r="G5078" s="2" t="s">
        <v>7998</v>
      </c>
      <c r="H5078" s="2" t="s">
        <v>34</v>
      </c>
      <c r="I5078" s="2" t="s">
        <v>14217</v>
      </c>
      <c r="J5078" s="2" t="s">
        <v>1888</v>
      </c>
      <c r="K5078" s="2" t="s">
        <v>439</v>
      </c>
      <c r="L5078" s="2" t="s">
        <v>34</v>
      </c>
      <c r="M5078" s="12">
        <v>2802.9720000000002</v>
      </c>
      <c r="N5078" s="7">
        <v>24.687999999999999</v>
      </c>
      <c r="O5078" s="7">
        <v>24.625</v>
      </c>
      <c r="P5078" s="2" t="s">
        <v>15696</v>
      </c>
      <c r="Q5078" s="6">
        <v>100</v>
      </c>
      <c r="R5078" s="6">
        <v>38</v>
      </c>
      <c r="S5078" s="5">
        <v>3.1</v>
      </c>
      <c r="T5078" s="7">
        <v>12.055999999999999</v>
      </c>
      <c r="U5078" s="5">
        <v>14.4</v>
      </c>
      <c r="V5078" s="6">
        <v>1.33</v>
      </c>
      <c r="W5078" s="5">
        <v>25.5</v>
      </c>
      <c r="X5078" s="4">
        <v>33</v>
      </c>
      <c r="Y5078" s="9">
        <v>34.3125</v>
      </c>
      <c r="Z5078" s="9">
        <v>34.3125</v>
      </c>
      <c r="AA5078" s="6">
        <v>2.52</v>
      </c>
      <c r="AB5078" s="7">
        <v>21.984000000000002</v>
      </c>
      <c r="AC5078" s="10">
        <v>1167.43</v>
      </c>
    </row>
    <row r="5079" spans="1:29" ht="78" x14ac:dyDescent="0.15">
      <c r="A5079" s="3">
        <f>DATE(1999,11,10)</f>
        <v>36474</v>
      </c>
      <c r="B5079" s="2"/>
      <c r="C5079" s="2" t="s">
        <v>87</v>
      </c>
      <c r="D5079" s="2" t="s">
        <v>15697</v>
      </c>
      <c r="E5079" s="2" t="s">
        <v>15698</v>
      </c>
      <c r="F5079" s="4">
        <v>4612</v>
      </c>
      <c r="G5079" s="2" t="s">
        <v>148</v>
      </c>
      <c r="H5079" s="2" t="s">
        <v>34</v>
      </c>
      <c r="I5079" s="2" t="s">
        <v>15699</v>
      </c>
      <c r="J5079" s="2" t="s">
        <v>15700</v>
      </c>
      <c r="K5079" s="2" t="s">
        <v>148</v>
      </c>
      <c r="L5079" s="2" t="s">
        <v>34</v>
      </c>
      <c r="M5079" s="2"/>
      <c r="N5079" s="2"/>
      <c r="O5079" s="2"/>
      <c r="P5079" s="2" t="s">
        <v>15701</v>
      </c>
      <c r="Q5079" s="2"/>
      <c r="R5079" s="2"/>
      <c r="S5079" s="5">
        <v>11.2</v>
      </c>
      <c r="T5079" s="7">
        <v>29.004000000000001</v>
      </c>
      <c r="U5079" s="5">
        <v>4.5999999999999996</v>
      </c>
      <c r="V5079" s="7">
        <v>0.185</v>
      </c>
      <c r="W5079" s="7">
        <v>18.937999999999999</v>
      </c>
      <c r="X5079" s="7">
        <v>20.187999999999999</v>
      </c>
      <c r="Y5079" s="7">
        <v>19.875</v>
      </c>
      <c r="Z5079" s="9">
        <v>19.9375</v>
      </c>
      <c r="AA5079" s="6">
        <v>21.37</v>
      </c>
      <c r="AB5079" s="2" t="s">
        <v>47</v>
      </c>
      <c r="AC5079" s="2"/>
    </row>
    <row r="5080" spans="1:29" ht="130" x14ac:dyDescent="0.15">
      <c r="A5080" s="3">
        <f>DATE(1999,11,12)</f>
        <v>36476</v>
      </c>
      <c r="B5080" s="2"/>
      <c r="C5080" s="2" t="s">
        <v>30</v>
      </c>
      <c r="D5080" s="2" t="s">
        <v>15702</v>
      </c>
      <c r="E5080" s="2" t="s">
        <v>15703</v>
      </c>
      <c r="F5080" s="4">
        <v>3724</v>
      </c>
      <c r="G5080" s="2" t="s">
        <v>219</v>
      </c>
      <c r="H5080" s="2" t="s">
        <v>34</v>
      </c>
      <c r="I5080" s="2" t="s">
        <v>15704</v>
      </c>
      <c r="J5080" s="2" t="s">
        <v>15705</v>
      </c>
      <c r="K5080" s="2" t="s">
        <v>219</v>
      </c>
      <c r="L5080" s="2" t="s">
        <v>34</v>
      </c>
      <c r="M5080" s="12">
        <v>1009.658</v>
      </c>
      <c r="N5080" s="7">
        <v>30.562999999999999</v>
      </c>
      <c r="O5080" s="7">
        <v>31.062999999999999</v>
      </c>
      <c r="P5080" s="2" t="s">
        <v>15706</v>
      </c>
      <c r="Q5080" s="2"/>
      <c r="R5080" s="6">
        <v>17</v>
      </c>
      <c r="S5080" s="5">
        <v>124.3</v>
      </c>
      <c r="T5080" s="5">
        <v>279.7</v>
      </c>
      <c r="U5080" s="5">
        <v>4.7</v>
      </c>
      <c r="V5080" s="6">
        <v>1.22</v>
      </c>
      <c r="W5080" s="7">
        <v>14.313000000000001</v>
      </c>
      <c r="X5080" s="7">
        <v>14.063000000000001</v>
      </c>
      <c r="Y5080" s="6">
        <v>17.75</v>
      </c>
      <c r="Z5080" s="7">
        <v>17.687999999999999</v>
      </c>
      <c r="AA5080" s="6">
        <v>100.03</v>
      </c>
      <c r="AB5080" s="7">
        <v>8.3219999999999992</v>
      </c>
      <c r="AC5080" s="5">
        <v>20.3</v>
      </c>
    </row>
    <row r="5081" spans="1:29" ht="156" x14ac:dyDescent="0.15">
      <c r="A5081" s="3">
        <f>DATE(1999,11,12)</f>
        <v>36476</v>
      </c>
      <c r="B5081" s="2"/>
      <c r="C5081" s="2" t="s">
        <v>30</v>
      </c>
      <c r="D5081" s="2" t="s">
        <v>15707</v>
      </c>
      <c r="E5081" s="2" t="s">
        <v>3461</v>
      </c>
      <c r="F5081" s="4">
        <v>2834</v>
      </c>
      <c r="G5081" s="2" t="s">
        <v>130</v>
      </c>
      <c r="H5081" s="2" t="s">
        <v>34</v>
      </c>
      <c r="I5081" s="2" t="s">
        <v>15708</v>
      </c>
      <c r="J5081" s="2" t="s">
        <v>2384</v>
      </c>
      <c r="K5081" s="2" t="s">
        <v>130</v>
      </c>
      <c r="L5081" s="2" t="s">
        <v>34</v>
      </c>
      <c r="M5081" s="7">
        <v>21.721</v>
      </c>
      <c r="N5081" s="7">
        <v>3.3130000000000002</v>
      </c>
      <c r="O5081" s="6">
        <v>3.75</v>
      </c>
      <c r="P5081" s="2" t="s">
        <v>15709</v>
      </c>
      <c r="Q5081" s="2"/>
      <c r="R5081" s="6">
        <v>1.58</v>
      </c>
      <c r="S5081" s="5">
        <v>-17.2</v>
      </c>
      <c r="T5081" s="6">
        <v>-9.2899999999999991</v>
      </c>
      <c r="U5081" s="5">
        <v>0.7</v>
      </c>
      <c r="V5081" s="6">
        <v>-0.92</v>
      </c>
      <c r="W5081" s="7">
        <v>1.1879999999999999</v>
      </c>
      <c r="X5081" s="7">
        <v>1.125</v>
      </c>
      <c r="Y5081" s="7">
        <v>1.3129999999999999</v>
      </c>
      <c r="Z5081" s="7">
        <v>1.4379999999999999</v>
      </c>
      <c r="AA5081" s="6">
        <v>18.73</v>
      </c>
      <c r="AB5081" s="2" t="s">
        <v>86</v>
      </c>
      <c r="AC5081" s="6">
        <v>11.58</v>
      </c>
    </row>
    <row r="5082" spans="1:29" ht="91" x14ac:dyDescent="0.15">
      <c r="A5082" s="3">
        <f>DATE(1999,11,12)</f>
        <v>36476</v>
      </c>
      <c r="B5082" s="3">
        <f>DATE(2000,2,9)</f>
        <v>36565</v>
      </c>
      <c r="C5082" s="2" t="s">
        <v>95</v>
      </c>
      <c r="D5082" s="2" t="s">
        <v>15710</v>
      </c>
      <c r="E5082" s="2" t="s">
        <v>15711</v>
      </c>
      <c r="F5082" s="4">
        <v>3663</v>
      </c>
      <c r="G5082" s="2" t="s">
        <v>921</v>
      </c>
      <c r="H5082" s="2" t="s">
        <v>34</v>
      </c>
      <c r="I5082" s="2" t="s">
        <v>15712</v>
      </c>
      <c r="J5082" s="2" t="s">
        <v>2814</v>
      </c>
      <c r="K5082" s="2" t="s">
        <v>63</v>
      </c>
      <c r="L5082" s="2" t="s">
        <v>34</v>
      </c>
      <c r="M5082" s="2"/>
      <c r="N5082" s="2"/>
      <c r="O5082" s="2"/>
      <c r="P5082" s="2" t="s">
        <v>15713</v>
      </c>
      <c r="Q5082" s="6">
        <v>100</v>
      </c>
      <c r="R5082" s="6">
        <v>22</v>
      </c>
      <c r="S5082" s="5">
        <v>-6.7</v>
      </c>
      <c r="T5082" s="6">
        <v>9.65</v>
      </c>
      <c r="U5082" s="5">
        <v>15</v>
      </c>
      <c r="V5082" s="6">
        <v>-1.32</v>
      </c>
      <c r="W5082" s="4">
        <v>16</v>
      </c>
      <c r="X5082" s="7">
        <v>14.813000000000001</v>
      </c>
      <c r="Y5082" s="7">
        <v>21.062999999999999</v>
      </c>
      <c r="Z5082" s="7">
        <v>21.062999999999999</v>
      </c>
      <c r="AA5082" s="6">
        <v>5.54</v>
      </c>
      <c r="AB5082" s="7">
        <v>145.429</v>
      </c>
      <c r="AC5082" s="2"/>
    </row>
    <row r="5083" spans="1:29" ht="104" x14ac:dyDescent="0.15">
      <c r="A5083" s="3">
        <f>DATE(1999,11,14)</f>
        <v>36478</v>
      </c>
      <c r="B5083" s="3">
        <f>DATE(2000,1,28)</f>
        <v>36553</v>
      </c>
      <c r="C5083" s="2" t="s">
        <v>95</v>
      </c>
      <c r="D5083" s="2" t="s">
        <v>15714</v>
      </c>
      <c r="E5083" s="2" t="s">
        <v>15715</v>
      </c>
      <c r="F5083" s="4">
        <v>3678</v>
      </c>
      <c r="G5083" s="2" t="s">
        <v>137</v>
      </c>
      <c r="H5083" s="2" t="s">
        <v>34</v>
      </c>
      <c r="I5083" s="2" t="s">
        <v>3896</v>
      </c>
      <c r="J5083" s="2" t="s">
        <v>3897</v>
      </c>
      <c r="K5083" s="2" t="s">
        <v>163</v>
      </c>
      <c r="L5083" s="2" t="s">
        <v>34</v>
      </c>
      <c r="M5083" s="12">
        <v>16063.995999999999</v>
      </c>
      <c r="N5083" s="7">
        <v>87.125</v>
      </c>
      <c r="O5083" s="7">
        <v>87.125</v>
      </c>
      <c r="P5083" s="2" t="s">
        <v>15716</v>
      </c>
      <c r="Q5083" s="6">
        <v>100</v>
      </c>
      <c r="R5083" s="6">
        <v>75.010000000000005</v>
      </c>
      <c r="S5083" s="5">
        <v>29.3</v>
      </c>
      <c r="T5083" s="7">
        <v>89.003</v>
      </c>
      <c r="U5083" s="5">
        <v>11.8</v>
      </c>
      <c r="V5083" s="6">
        <v>1.57</v>
      </c>
      <c r="W5083" s="4">
        <v>45</v>
      </c>
      <c r="X5083" s="6">
        <v>49.75</v>
      </c>
      <c r="Y5083" s="2"/>
      <c r="Z5083" s="6">
        <v>68.75</v>
      </c>
      <c r="AA5083" s="6">
        <v>17.28</v>
      </c>
      <c r="AB5083" s="7">
        <v>28.518000000000001</v>
      </c>
      <c r="AC5083" s="5">
        <v>101.5</v>
      </c>
    </row>
    <row r="5084" spans="1:29" ht="156" x14ac:dyDescent="0.15">
      <c r="A5084" s="3">
        <f t="shared" ref="A5084:A5091" si="116">DATE(1999,11,15)</f>
        <v>36479</v>
      </c>
      <c r="B5084" s="3">
        <f>DATE(2000,3,10)</f>
        <v>36595</v>
      </c>
      <c r="C5084" s="2" t="s">
        <v>95</v>
      </c>
      <c r="D5084" s="2" t="s">
        <v>15717</v>
      </c>
      <c r="E5084" s="2" t="s">
        <v>15718</v>
      </c>
      <c r="F5084" s="4">
        <v>4731</v>
      </c>
      <c r="G5084" s="2" t="s">
        <v>173</v>
      </c>
      <c r="H5084" s="2" t="s">
        <v>34</v>
      </c>
      <c r="I5084" s="2" t="s">
        <v>15719</v>
      </c>
      <c r="J5084" s="2" t="s">
        <v>15720</v>
      </c>
      <c r="K5084" s="2" t="s">
        <v>173</v>
      </c>
      <c r="L5084" s="2" t="s">
        <v>215</v>
      </c>
      <c r="M5084" s="2"/>
      <c r="N5084" s="2"/>
      <c r="O5084" s="2"/>
      <c r="P5084" s="2" t="s">
        <v>15721</v>
      </c>
      <c r="Q5084" s="6">
        <v>100</v>
      </c>
      <c r="R5084" s="6">
        <v>33</v>
      </c>
      <c r="S5084" s="5">
        <v>46.5</v>
      </c>
      <c r="T5084" s="7">
        <v>85.194000000000003</v>
      </c>
      <c r="U5084" s="5">
        <v>9.6999999999999993</v>
      </c>
      <c r="V5084" s="6">
        <v>1.37</v>
      </c>
      <c r="W5084" s="6">
        <v>24.25</v>
      </c>
      <c r="X5084" s="7">
        <v>26.625</v>
      </c>
      <c r="Y5084" s="7">
        <v>29.375</v>
      </c>
      <c r="Z5084" s="7">
        <v>29.375</v>
      </c>
      <c r="AA5084" s="6">
        <v>33.53</v>
      </c>
      <c r="AB5084" s="7">
        <v>17.931999999999999</v>
      </c>
      <c r="AC5084" s="6">
        <v>424.24</v>
      </c>
    </row>
    <row r="5085" spans="1:29" ht="52" x14ac:dyDescent="0.15">
      <c r="A5085" s="3">
        <f t="shared" si="116"/>
        <v>36479</v>
      </c>
      <c r="B5085" s="2"/>
      <c r="C5085" s="2" t="s">
        <v>7330</v>
      </c>
      <c r="D5085" s="2" t="s">
        <v>15722</v>
      </c>
      <c r="E5085" s="2" t="s">
        <v>15723</v>
      </c>
      <c r="F5085" s="4">
        <v>8299</v>
      </c>
      <c r="G5085" s="2" t="s">
        <v>415</v>
      </c>
      <c r="H5085" s="2" t="s">
        <v>34</v>
      </c>
      <c r="I5085" s="2" t="s">
        <v>15724</v>
      </c>
      <c r="J5085" s="2" t="s">
        <v>1072</v>
      </c>
      <c r="K5085" s="2" t="s">
        <v>53</v>
      </c>
      <c r="L5085" s="2" t="s">
        <v>34</v>
      </c>
      <c r="M5085" s="2"/>
      <c r="N5085" s="2"/>
      <c r="O5085" s="2"/>
      <c r="P5085" s="2" t="s">
        <v>15725</v>
      </c>
      <c r="Q5085" s="2"/>
      <c r="R5085" s="2"/>
      <c r="S5085" s="5">
        <v>0.8</v>
      </c>
      <c r="T5085" s="7">
        <v>2.2240000000000002</v>
      </c>
      <c r="U5085" s="5">
        <v>6.7</v>
      </c>
      <c r="V5085" s="6">
        <v>0.72</v>
      </c>
      <c r="W5085" s="7">
        <v>10.938000000000001</v>
      </c>
      <c r="X5085" s="7">
        <v>10.938000000000001</v>
      </c>
      <c r="Y5085" s="5">
        <v>12.5</v>
      </c>
      <c r="Z5085" s="9">
        <v>12.1875</v>
      </c>
      <c r="AA5085" s="6">
        <v>1.08</v>
      </c>
      <c r="AB5085" s="7">
        <v>23.809000000000001</v>
      </c>
      <c r="AC5085" s="2"/>
    </row>
    <row r="5086" spans="1:29" ht="117" x14ac:dyDescent="0.15">
      <c r="A5086" s="3">
        <f t="shared" si="116"/>
        <v>36479</v>
      </c>
      <c r="B5086" s="3">
        <f>DATE(2000,1,31)</f>
        <v>36556</v>
      </c>
      <c r="C5086" s="2" t="s">
        <v>95</v>
      </c>
      <c r="D5086" s="2" t="s">
        <v>15726</v>
      </c>
      <c r="E5086" s="2" t="s">
        <v>9904</v>
      </c>
      <c r="F5086" s="4">
        <v>5621</v>
      </c>
      <c r="G5086" s="2" t="s">
        <v>756</v>
      </c>
      <c r="H5086" s="2" t="s">
        <v>34</v>
      </c>
      <c r="I5086" s="2" t="s">
        <v>15727</v>
      </c>
      <c r="J5086" s="2" t="s">
        <v>5184</v>
      </c>
      <c r="K5086" s="2" t="s">
        <v>756</v>
      </c>
      <c r="L5086" s="2" t="s">
        <v>34</v>
      </c>
      <c r="M5086" s="7">
        <v>516.75599999999997</v>
      </c>
      <c r="N5086" s="6">
        <v>5.25</v>
      </c>
      <c r="O5086" s="7">
        <v>5.9379999999999997</v>
      </c>
      <c r="P5086" s="2" t="s">
        <v>15728</v>
      </c>
      <c r="Q5086" s="6">
        <v>100</v>
      </c>
      <c r="R5086" s="6">
        <v>21</v>
      </c>
      <c r="S5086" s="5">
        <v>7.6</v>
      </c>
      <c r="T5086" s="7">
        <v>22.667000000000002</v>
      </c>
      <c r="U5086" s="5">
        <v>10.7</v>
      </c>
      <c r="V5086" s="6">
        <v>1.03</v>
      </c>
      <c r="W5086" s="6">
        <v>12.25</v>
      </c>
      <c r="X5086" s="7">
        <v>12.375</v>
      </c>
      <c r="Y5086" s="7">
        <v>19.812999999999999</v>
      </c>
      <c r="Z5086" s="6">
        <v>19.75</v>
      </c>
      <c r="AA5086" s="6">
        <v>7.72</v>
      </c>
      <c r="AB5086" s="7">
        <v>11.074999999999999</v>
      </c>
      <c r="AC5086" s="6">
        <v>55.41</v>
      </c>
    </row>
    <row r="5087" spans="1:29" ht="104" x14ac:dyDescent="0.15">
      <c r="A5087" s="3">
        <f t="shared" si="116"/>
        <v>36479</v>
      </c>
      <c r="B5087" s="3">
        <f>DATE(2000,6,21)</f>
        <v>36698</v>
      </c>
      <c r="C5087" s="2" t="s">
        <v>95</v>
      </c>
      <c r="D5087" s="2" t="s">
        <v>15729</v>
      </c>
      <c r="E5087" s="2" t="s">
        <v>595</v>
      </c>
      <c r="F5087" s="4">
        <v>6726</v>
      </c>
      <c r="G5087" s="2" t="s">
        <v>53</v>
      </c>
      <c r="H5087" s="2" t="s">
        <v>34</v>
      </c>
      <c r="I5087" s="2" t="s">
        <v>15730</v>
      </c>
      <c r="J5087" s="2" t="s">
        <v>15731</v>
      </c>
      <c r="K5087" s="2" t="s">
        <v>223</v>
      </c>
      <c r="L5087" s="2" t="s">
        <v>34</v>
      </c>
      <c r="M5087" s="2"/>
      <c r="N5087" s="2"/>
      <c r="O5087" s="2"/>
      <c r="P5087" s="2" t="s">
        <v>15732</v>
      </c>
      <c r="Q5087" s="6">
        <v>100</v>
      </c>
      <c r="R5087" s="6">
        <v>16.48</v>
      </c>
      <c r="S5087" s="5">
        <v>-0.7</v>
      </c>
      <c r="T5087" s="7">
        <v>-0.65200000000000002</v>
      </c>
      <c r="U5087" s="5">
        <v>1.4</v>
      </c>
      <c r="V5087" s="6">
        <v>-0.21</v>
      </c>
      <c r="W5087" s="7">
        <v>6.3129999999999997</v>
      </c>
      <c r="X5087" s="4">
        <v>5</v>
      </c>
      <c r="Y5087" s="4">
        <v>5</v>
      </c>
      <c r="Z5087" s="6">
        <v>6.75</v>
      </c>
      <c r="AA5087" s="6">
        <v>3.35</v>
      </c>
      <c r="AB5087" s="2" t="s">
        <v>86</v>
      </c>
      <c r="AC5087" s="2"/>
    </row>
    <row r="5088" spans="1:29" ht="39" x14ac:dyDescent="0.15">
      <c r="A5088" s="3">
        <f t="shared" si="116"/>
        <v>36479</v>
      </c>
      <c r="B5088" s="3">
        <f>DATE(1999,12,17)</f>
        <v>36511</v>
      </c>
      <c r="C5088" s="2" t="s">
        <v>95</v>
      </c>
      <c r="D5088" s="2" t="s">
        <v>15733</v>
      </c>
      <c r="E5088" s="2" t="s">
        <v>15734</v>
      </c>
      <c r="F5088" s="4">
        <v>7372</v>
      </c>
      <c r="G5088" s="2" t="s">
        <v>551</v>
      </c>
      <c r="H5088" s="2" t="s">
        <v>34</v>
      </c>
      <c r="I5088" s="2" t="s">
        <v>15735</v>
      </c>
      <c r="J5088" s="2" t="s">
        <v>15736</v>
      </c>
      <c r="K5088" s="2" t="s">
        <v>551</v>
      </c>
      <c r="L5088" s="2" t="s">
        <v>133</v>
      </c>
      <c r="M5088" s="2"/>
      <c r="N5088" s="2"/>
      <c r="O5088" s="2"/>
      <c r="P5088" s="2" t="s">
        <v>15737</v>
      </c>
      <c r="Q5088" s="6">
        <v>70</v>
      </c>
      <c r="R5088" s="2"/>
      <c r="S5088" s="5">
        <v>-110.1</v>
      </c>
      <c r="T5088" s="7">
        <v>-94.397999999999996</v>
      </c>
      <c r="U5088" s="5">
        <v>32.1</v>
      </c>
      <c r="V5088" s="6">
        <v>-77</v>
      </c>
      <c r="W5088" s="6">
        <v>2.75</v>
      </c>
      <c r="X5088" s="4">
        <v>3</v>
      </c>
      <c r="Y5088" s="4">
        <v>3</v>
      </c>
      <c r="Z5088" s="7">
        <v>2.1880000000000002</v>
      </c>
      <c r="AA5088" s="6">
        <v>72.97</v>
      </c>
      <c r="AB5088" s="2" t="s">
        <v>86</v>
      </c>
      <c r="AC5088" s="6">
        <v>235.26</v>
      </c>
    </row>
    <row r="5089" spans="1:29" ht="130" x14ac:dyDescent="0.15">
      <c r="A5089" s="3">
        <f t="shared" si="116"/>
        <v>36479</v>
      </c>
      <c r="B5089" s="2"/>
      <c r="C5089" s="2" t="s">
        <v>30</v>
      </c>
      <c r="D5089" s="2" t="s">
        <v>13095</v>
      </c>
      <c r="E5089" s="2" t="s">
        <v>1739</v>
      </c>
      <c r="F5089" s="4">
        <v>8748</v>
      </c>
      <c r="G5089" s="2" t="s">
        <v>223</v>
      </c>
      <c r="H5089" s="2" t="s">
        <v>34</v>
      </c>
      <c r="I5089" s="2" t="s">
        <v>51</v>
      </c>
      <c r="J5089" s="2" t="s">
        <v>52</v>
      </c>
      <c r="K5089" s="2" t="s">
        <v>53</v>
      </c>
      <c r="L5089" s="2" t="s">
        <v>34</v>
      </c>
      <c r="M5089" s="2"/>
      <c r="N5089" s="2"/>
      <c r="O5089" s="2"/>
      <c r="P5089" s="2" t="s">
        <v>15738</v>
      </c>
      <c r="Q5089" s="2"/>
      <c r="R5089" s="6">
        <v>16</v>
      </c>
      <c r="S5089" s="5">
        <v>-1.1000000000000001</v>
      </c>
      <c r="T5089" s="7">
        <v>31.510999999999999</v>
      </c>
      <c r="U5089" s="5">
        <v>7</v>
      </c>
      <c r="V5089" s="6">
        <v>0.03</v>
      </c>
      <c r="W5089" s="7">
        <v>15.688000000000001</v>
      </c>
      <c r="X5089" s="7">
        <v>14.813000000000001</v>
      </c>
      <c r="Y5089" s="9">
        <v>15.9375</v>
      </c>
      <c r="Z5089" s="7">
        <v>15.875</v>
      </c>
      <c r="AA5089" s="6">
        <v>22.15</v>
      </c>
      <c r="AB5089" s="7">
        <v>23.167000000000002</v>
      </c>
      <c r="AC5089" s="2"/>
    </row>
    <row r="5090" spans="1:29" ht="91" x14ac:dyDescent="0.15">
      <c r="A5090" s="3">
        <f t="shared" si="116"/>
        <v>36479</v>
      </c>
      <c r="B5090" s="3">
        <f>DATE(2000,9,28)</f>
        <v>36797</v>
      </c>
      <c r="C5090" s="2" t="s">
        <v>95</v>
      </c>
      <c r="D5090" s="2" t="s">
        <v>15739</v>
      </c>
      <c r="E5090" s="2" t="s">
        <v>1387</v>
      </c>
      <c r="F5090" s="4">
        <v>4924</v>
      </c>
      <c r="G5090" s="2" t="s">
        <v>439</v>
      </c>
      <c r="H5090" s="2" t="s">
        <v>34</v>
      </c>
      <c r="I5090" s="2" t="s">
        <v>10078</v>
      </c>
      <c r="J5090" s="2" t="s">
        <v>10079</v>
      </c>
      <c r="K5090" s="2" t="s">
        <v>439</v>
      </c>
      <c r="L5090" s="2" t="s">
        <v>34</v>
      </c>
      <c r="M5090" s="7">
        <v>593.55499999999995</v>
      </c>
      <c r="N5090" s="7">
        <v>20.375</v>
      </c>
      <c r="O5090" s="7">
        <v>20.687999999999999</v>
      </c>
      <c r="P5090" s="2" t="s">
        <v>15740</v>
      </c>
      <c r="Q5090" s="6">
        <v>100</v>
      </c>
      <c r="R5090" s="6">
        <v>42.5</v>
      </c>
      <c r="S5090" s="5">
        <v>8.8000000000000007</v>
      </c>
      <c r="T5090" s="7">
        <v>37.485999999999997</v>
      </c>
      <c r="U5090" s="5">
        <v>15.3</v>
      </c>
      <c r="V5090" s="6">
        <v>1.4</v>
      </c>
      <c r="W5090" s="7">
        <v>31.312999999999999</v>
      </c>
      <c r="X5090" s="7">
        <v>32.875</v>
      </c>
      <c r="Y5090" s="6">
        <v>37.75</v>
      </c>
      <c r="Z5090" s="7">
        <v>37.875</v>
      </c>
      <c r="AA5090" s="6">
        <v>6.09</v>
      </c>
      <c r="AB5090" s="7">
        <v>19.815999999999999</v>
      </c>
      <c r="AC5090" s="5">
        <v>0.6</v>
      </c>
    </row>
    <row r="5091" spans="1:29" ht="117" x14ac:dyDescent="0.15">
      <c r="A5091" s="3">
        <f t="shared" si="116"/>
        <v>36479</v>
      </c>
      <c r="B5091" s="3">
        <f>DATE(1999,12,21)</f>
        <v>36515</v>
      </c>
      <c r="C5091" s="2" t="s">
        <v>95</v>
      </c>
      <c r="D5091" s="2" t="s">
        <v>15741</v>
      </c>
      <c r="E5091" s="2" t="s">
        <v>15742</v>
      </c>
      <c r="F5091" s="4">
        <v>5047</v>
      </c>
      <c r="G5091" s="2" t="s">
        <v>76</v>
      </c>
      <c r="H5091" s="2" t="s">
        <v>34</v>
      </c>
      <c r="I5091" s="2" t="s">
        <v>15743</v>
      </c>
      <c r="J5091" s="2" t="s">
        <v>15744</v>
      </c>
      <c r="K5091" s="2" t="s">
        <v>593</v>
      </c>
      <c r="L5091" s="2" t="s">
        <v>2105</v>
      </c>
      <c r="M5091" s="2"/>
      <c r="N5091" s="2"/>
      <c r="O5091" s="2"/>
      <c r="P5091" s="2" t="s">
        <v>15745</v>
      </c>
      <c r="Q5091" s="6">
        <v>100</v>
      </c>
      <c r="R5091" s="6">
        <v>25</v>
      </c>
      <c r="S5091" s="5">
        <v>7.3</v>
      </c>
      <c r="T5091" s="7">
        <v>10.292999999999999</v>
      </c>
      <c r="U5091" s="5">
        <v>14.9</v>
      </c>
      <c r="V5091" s="6">
        <v>1.01</v>
      </c>
      <c r="W5091" s="4">
        <v>17</v>
      </c>
      <c r="X5091" s="6">
        <v>19.75</v>
      </c>
      <c r="Y5091" s="7">
        <v>24.655999999999999</v>
      </c>
      <c r="Z5091" s="7">
        <v>24.625</v>
      </c>
      <c r="AA5091" s="6">
        <v>7.19</v>
      </c>
      <c r="AB5091" s="7">
        <v>27.782</v>
      </c>
      <c r="AC5091" s="6">
        <v>34.74</v>
      </c>
    </row>
    <row r="5092" spans="1:29" ht="65" x14ac:dyDescent="0.15">
      <c r="A5092" s="3">
        <f>DATE(1999,11,16)</f>
        <v>36480</v>
      </c>
      <c r="B5092" s="3">
        <f>DATE(2000,4,3)</f>
        <v>36619</v>
      </c>
      <c r="C5092" s="2" t="s">
        <v>95</v>
      </c>
      <c r="D5092" s="2" t="s">
        <v>15746</v>
      </c>
      <c r="E5092" s="2" t="s">
        <v>8460</v>
      </c>
      <c r="F5092" s="4">
        <v>6141</v>
      </c>
      <c r="G5092" s="2" t="s">
        <v>370</v>
      </c>
      <c r="H5092" s="2" t="s">
        <v>34</v>
      </c>
      <c r="I5092" s="2" t="s">
        <v>10671</v>
      </c>
      <c r="J5092" s="2" t="s">
        <v>10672</v>
      </c>
      <c r="K5092" s="2" t="s">
        <v>370</v>
      </c>
      <c r="L5092" s="2" t="s">
        <v>34</v>
      </c>
      <c r="M5092" s="12">
        <v>22939.705999999998</v>
      </c>
      <c r="N5092" s="7">
        <v>37.188000000000002</v>
      </c>
      <c r="O5092" s="7">
        <v>36.938000000000002</v>
      </c>
      <c r="P5092" s="2" t="s">
        <v>15747</v>
      </c>
      <c r="Q5092" s="6">
        <v>100</v>
      </c>
      <c r="R5092" s="6">
        <v>4.9000000000000004</v>
      </c>
      <c r="S5092" s="5">
        <v>40</v>
      </c>
      <c r="T5092" s="7">
        <v>102.68300000000001</v>
      </c>
      <c r="U5092" s="5">
        <v>6.3</v>
      </c>
      <c r="V5092" s="7">
        <v>1.024</v>
      </c>
      <c r="W5092" s="7">
        <v>3.8130000000000002</v>
      </c>
      <c r="X5092" s="7">
        <v>4.625</v>
      </c>
      <c r="Y5092" s="7">
        <v>4.375</v>
      </c>
      <c r="Z5092" s="7">
        <v>4.4379999999999997</v>
      </c>
      <c r="AA5092" s="6">
        <v>39.44</v>
      </c>
      <c r="AB5092" s="7">
        <v>8.15</v>
      </c>
      <c r="AC5092" s="2"/>
    </row>
    <row r="5093" spans="1:29" ht="117" x14ac:dyDescent="0.15">
      <c r="A5093" s="3">
        <f>DATE(1999,11,16)</f>
        <v>36480</v>
      </c>
      <c r="B5093" s="2"/>
      <c r="C5093" s="2" t="s">
        <v>30</v>
      </c>
      <c r="D5093" s="2" t="s">
        <v>15748</v>
      </c>
      <c r="E5093" s="2" t="s">
        <v>268</v>
      </c>
      <c r="F5093" s="4">
        <v>7011</v>
      </c>
      <c r="G5093" s="2" t="s">
        <v>269</v>
      </c>
      <c r="H5093" s="2" t="s">
        <v>34</v>
      </c>
      <c r="I5093" s="2" t="s">
        <v>15749</v>
      </c>
      <c r="J5093" s="2" t="s">
        <v>1072</v>
      </c>
      <c r="K5093" s="2" t="s">
        <v>53</v>
      </c>
      <c r="L5093" s="2" t="s">
        <v>34</v>
      </c>
      <c r="M5093" s="2"/>
      <c r="N5093" s="2"/>
      <c r="O5093" s="2"/>
      <c r="P5093" s="2" t="s">
        <v>15750</v>
      </c>
      <c r="Q5093" s="2"/>
      <c r="R5093" s="6">
        <v>6.5</v>
      </c>
      <c r="S5093" s="5">
        <v>13.3</v>
      </c>
      <c r="T5093" s="7">
        <v>152.98500000000001</v>
      </c>
      <c r="U5093" s="5">
        <v>31.2</v>
      </c>
      <c r="V5093" s="6">
        <v>1.47</v>
      </c>
      <c r="W5093" s="7">
        <v>4.3129999999999997</v>
      </c>
      <c r="X5093" s="7">
        <v>4.5629999999999997</v>
      </c>
      <c r="Y5093" s="7">
        <v>4.625</v>
      </c>
      <c r="Z5093" s="7">
        <v>5.625</v>
      </c>
      <c r="AA5093" s="6">
        <v>27.87</v>
      </c>
      <c r="AB5093" s="7">
        <v>9.3979999999999997</v>
      </c>
      <c r="AC5093" s="2"/>
    </row>
    <row r="5094" spans="1:29" ht="52" x14ac:dyDescent="0.15">
      <c r="A5094" s="3">
        <f>DATE(1999,11,16)</f>
        <v>36480</v>
      </c>
      <c r="B5094" s="3">
        <f>DATE(2000,1,11)</f>
        <v>36536</v>
      </c>
      <c r="C5094" s="2" t="s">
        <v>95</v>
      </c>
      <c r="D5094" s="2" t="s">
        <v>3380</v>
      </c>
      <c r="E5094" s="2" t="s">
        <v>3381</v>
      </c>
      <c r="F5094" s="4">
        <v>4841</v>
      </c>
      <c r="G5094" s="2" t="s">
        <v>45</v>
      </c>
      <c r="H5094" s="2" t="s">
        <v>34</v>
      </c>
      <c r="I5094" s="2" t="s">
        <v>15751</v>
      </c>
      <c r="J5094" s="2" t="s">
        <v>15752</v>
      </c>
      <c r="K5094" s="2" t="s">
        <v>63</v>
      </c>
      <c r="L5094" s="2" t="s">
        <v>34</v>
      </c>
      <c r="M5094" s="2"/>
      <c r="N5094" s="2"/>
      <c r="O5094" s="2"/>
      <c r="P5094" s="2" t="s">
        <v>15753</v>
      </c>
      <c r="Q5094" s="6">
        <v>100</v>
      </c>
      <c r="R5094" s="6">
        <v>7.0000000000000007E-2</v>
      </c>
      <c r="S5094" s="5">
        <v>-21.7</v>
      </c>
      <c r="T5094" s="7">
        <v>-6.8419999999999996</v>
      </c>
      <c r="U5094" s="5">
        <v>-3.8</v>
      </c>
      <c r="V5094" s="6">
        <v>-1.07</v>
      </c>
      <c r="W5094" s="7">
        <v>1.4379999999999999</v>
      </c>
      <c r="X5094" s="7">
        <v>1.4379999999999999</v>
      </c>
      <c r="Y5094" s="7">
        <v>1.4379999999999999</v>
      </c>
      <c r="Z5094" s="7">
        <v>1.4379999999999999</v>
      </c>
      <c r="AA5094" s="6">
        <v>20.27</v>
      </c>
      <c r="AB5094" s="2" t="s">
        <v>86</v>
      </c>
      <c r="AC5094" s="2"/>
    </row>
    <row r="5095" spans="1:29" ht="117" x14ac:dyDescent="0.15">
      <c r="A5095" s="3">
        <f>DATE(1999,11,16)</f>
        <v>36480</v>
      </c>
      <c r="B5095" s="3">
        <f>DATE(2000,9,22)</f>
        <v>36791</v>
      </c>
      <c r="C5095" s="2" t="s">
        <v>95</v>
      </c>
      <c r="D5095" s="2" t="s">
        <v>15754</v>
      </c>
      <c r="E5095" s="2" t="s">
        <v>15755</v>
      </c>
      <c r="F5095" s="4">
        <v>3567</v>
      </c>
      <c r="G5095" s="2" t="s">
        <v>300</v>
      </c>
      <c r="H5095" s="2" t="s">
        <v>34</v>
      </c>
      <c r="I5095" s="2" t="s">
        <v>14301</v>
      </c>
      <c r="J5095" s="2" t="s">
        <v>14302</v>
      </c>
      <c r="K5095" s="2" t="s">
        <v>226</v>
      </c>
      <c r="L5095" s="2" t="s">
        <v>34</v>
      </c>
      <c r="M5095" s="12">
        <v>2067.047</v>
      </c>
      <c r="N5095" s="7">
        <v>13.625</v>
      </c>
      <c r="O5095" s="7">
        <v>13.688000000000001</v>
      </c>
      <c r="P5095" s="2" t="s">
        <v>15756</v>
      </c>
      <c r="Q5095" s="6">
        <v>46.31</v>
      </c>
      <c r="R5095" s="6">
        <v>6</v>
      </c>
      <c r="S5095" s="5">
        <v>-45.9</v>
      </c>
      <c r="T5095" s="6">
        <v>-21.01</v>
      </c>
      <c r="U5095" s="5">
        <v>1.3</v>
      </c>
      <c r="V5095" s="7">
        <v>-2.2389999999999999</v>
      </c>
      <c r="W5095" s="7">
        <v>6.625</v>
      </c>
      <c r="X5095" s="7">
        <v>6.6879999999999997</v>
      </c>
      <c r="Y5095" s="7">
        <v>6.7809999999999997</v>
      </c>
      <c r="Z5095" s="6">
        <v>6.75</v>
      </c>
      <c r="AA5095" s="6">
        <v>19.07</v>
      </c>
      <c r="AB5095" s="2" t="s">
        <v>86</v>
      </c>
      <c r="AC5095" s="10">
        <v>1134.1199999999999</v>
      </c>
    </row>
    <row r="5096" spans="1:29" ht="104" x14ac:dyDescent="0.15">
      <c r="A5096" s="3">
        <f>DATE(1999,11,17)</f>
        <v>36481</v>
      </c>
      <c r="B5096" s="3">
        <f>DATE(2000,2,8)</f>
        <v>36564</v>
      </c>
      <c r="C5096" s="2" t="s">
        <v>95</v>
      </c>
      <c r="D5096" s="2" t="s">
        <v>15757</v>
      </c>
      <c r="E5096" s="2" t="s">
        <v>15758</v>
      </c>
      <c r="F5096" s="4">
        <v>3069</v>
      </c>
      <c r="G5096" s="2" t="s">
        <v>447</v>
      </c>
      <c r="H5096" s="2" t="s">
        <v>34</v>
      </c>
      <c r="I5096" s="2" t="s">
        <v>6503</v>
      </c>
      <c r="J5096" s="2" t="s">
        <v>6504</v>
      </c>
      <c r="K5096" s="2" t="s">
        <v>282</v>
      </c>
      <c r="L5096" s="2" t="s">
        <v>34</v>
      </c>
      <c r="M5096" s="12">
        <v>30974.147000000001</v>
      </c>
      <c r="N5096" s="7">
        <v>68.063000000000002</v>
      </c>
      <c r="O5096" s="7">
        <v>66.625</v>
      </c>
      <c r="P5096" s="2" t="s">
        <v>15759</v>
      </c>
      <c r="Q5096" s="6">
        <v>100</v>
      </c>
      <c r="R5096" s="6">
        <v>13.12</v>
      </c>
      <c r="S5096" s="5">
        <v>14.9</v>
      </c>
      <c r="T5096" s="7">
        <v>52.156999999999996</v>
      </c>
      <c r="U5096" s="5">
        <v>2.2999999999999998</v>
      </c>
      <c r="V5096" s="6">
        <v>0.27</v>
      </c>
      <c r="W5096" s="7">
        <v>9.0459999999999994</v>
      </c>
      <c r="X5096" s="6">
        <v>10.25</v>
      </c>
      <c r="Y5096" s="7">
        <v>10.813000000000001</v>
      </c>
      <c r="Z5096" s="7">
        <v>12.375</v>
      </c>
      <c r="AA5096" s="6">
        <v>57.52</v>
      </c>
      <c r="AB5096" s="7">
        <v>22.35</v>
      </c>
      <c r="AC5096" s="5">
        <v>194.3</v>
      </c>
    </row>
    <row r="5097" spans="1:29" ht="104" x14ac:dyDescent="0.15">
      <c r="A5097" s="3">
        <f t="shared" ref="A5097:A5102" si="117">DATE(1999,11,18)</f>
        <v>36482</v>
      </c>
      <c r="B5097" s="3">
        <f>DATE(2000,2,1)</f>
        <v>36557</v>
      </c>
      <c r="C5097" s="2" t="s">
        <v>95</v>
      </c>
      <c r="D5097" s="2" t="s">
        <v>15760</v>
      </c>
      <c r="E5097" s="2" t="s">
        <v>15761</v>
      </c>
      <c r="F5097" s="4">
        <v>5084</v>
      </c>
      <c r="G5097" s="2" t="s">
        <v>76</v>
      </c>
      <c r="H5097" s="2" t="s">
        <v>34</v>
      </c>
      <c r="I5097" s="2" t="s">
        <v>15762</v>
      </c>
      <c r="J5097" s="2" t="s">
        <v>6214</v>
      </c>
      <c r="K5097" s="2" t="s">
        <v>300</v>
      </c>
      <c r="L5097" s="2" t="s">
        <v>34</v>
      </c>
      <c r="M5097" s="7">
        <v>583.18299999999999</v>
      </c>
      <c r="N5097" s="7">
        <v>17.687999999999999</v>
      </c>
      <c r="O5097" s="7">
        <v>17.312999999999999</v>
      </c>
      <c r="P5097" s="2" t="s">
        <v>15763</v>
      </c>
      <c r="Q5097" s="6">
        <v>100</v>
      </c>
      <c r="R5097" s="6">
        <v>1.62</v>
      </c>
      <c r="S5097" s="5">
        <v>-7.5</v>
      </c>
      <c r="T5097" s="7">
        <v>11.012</v>
      </c>
      <c r="U5097" s="5">
        <v>6.7</v>
      </c>
      <c r="V5097" s="6">
        <v>-0.77</v>
      </c>
      <c r="W5097" s="7">
        <v>0.81299999999999994</v>
      </c>
      <c r="X5097" s="7">
        <v>1.1559999999999999</v>
      </c>
      <c r="Y5097" s="6">
        <v>1.25</v>
      </c>
      <c r="Z5097" s="5">
        <v>1.5</v>
      </c>
      <c r="AA5097" s="6">
        <v>9.66</v>
      </c>
      <c r="AB5097" s="7">
        <v>14.051</v>
      </c>
      <c r="AC5097" s="6">
        <v>17.920000000000002</v>
      </c>
    </row>
    <row r="5098" spans="1:29" ht="104" x14ac:dyDescent="0.15">
      <c r="A5098" s="3">
        <f t="shared" si="117"/>
        <v>36482</v>
      </c>
      <c r="B5098" s="3">
        <f>DATE(2000,6,26)</f>
        <v>36703</v>
      </c>
      <c r="C5098" s="2" t="s">
        <v>95</v>
      </c>
      <c r="D5098" s="2" t="s">
        <v>15764</v>
      </c>
      <c r="E5098" s="2" t="s">
        <v>15765</v>
      </c>
      <c r="F5098" s="4">
        <v>2836</v>
      </c>
      <c r="G5098" s="2" t="s">
        <v>130</v>
      </c>
      <c r="H5098" s="2" t="s">
        <v>34</v>
      </c>
      <c r="I5098" s="2" t="s">
        <v>4779</v>
      </c>
      <c r="J5098" s="2" t="s">
        <v>4780</v>
      </c>
      <c r="K5098" s="2" t="s">
        <v>226</v>
      </c>
      <c r="L5098" s="2" t="s">
        <v>34</v>
      </c>
      <c r="M5098" s="12">
        <v>18510.466</v>
      </c>
      <c r="N5098" s="4">
        <v>67</v>
      </c>
      <c r="O5098" s="6">
        <v>68.75</v>
      </c>
      <c r="P5098" s="2" t="s">
        <v>15766</v>
      </c>
      <c r="Q5098" s="6">
        <v>100</v>
      </c>
      <c r="R5098" s="6">
        <v>6.73</v>
      </c>
      <c r="S5098" s="5">
        <v>-54.6</v>
      </c>
      <c r="T5098" s="7">
        <v>-36.265999999999998</v>
      </c>
      <c r="U5098" s="5">
        <v>-3.7</v>
      </c>
      <c r="V5098" s="6">
        <v>-1.67</v>
      </c>
      <c r="W5098" s="7">
        <v>5.875</v>
      </c>
      <c r="X5098" s="7">
        <v>5.375</v>
      </c>
      <c r="Y5098" s="9">
        <v>5.5625</v>
      </c>
      <c r="Z5098" s="6">
        <v>5.75</v>
      </c>
      <c r="AA5098" s="6">
        <v>32.869999999999997</v>
      </c>
      <c r="AB5098" s="2" t="s">
        <v>86</v>
      </c>
      <c r="AC5098" s="5">
        <v>694</v>
      </c>
    </row>
    <row r="5099" spans="1:29" ht="130" x14ac:dyDescent="0.15">
      <c r="A5099" s="3">
        <f t="shared" si="117"/>
        <v>36482</v>
      </c>
      <c r="B5099" s="2"/>
      <c r="C5099" s="2" t="s">
        <v>30</v>
      </c>
      <c r="D5099" s="2" t="s">
        <v>15767</v>
      </c>
      <c r="E5099" s="2" t="s">
        <v>15768</v>
      </c>
      <c r="F5099" s="4">
        <v>7373</v>
      </c>
      <c r="G5099" s="2" t="s">
        <v>223</v>
      </c>
      <c r="H5099" s="2" t="s">
        <v>34</v>
      </c>
      <c r="I5099" s="2" t="s">
        <v>13112</v>
      </c>
      <c r="J5099" s="2" t="s">
        <v>7760</v>
      </c>
      <c r="K5099" s="2" t="s">
        <v>551</v>
      </c>
      <c r="L5099" s="2" t="s">
        <v>34</v>
      </c>
      <c r="M5099" s="12">
        <v>4044.623</v>
      </c>
      <c r="N5099" s="7">
        <v>75.938000000000002</v>
      </c>
      <c r="O5099" s="4">
        <v>73</v>
      </c>
      <c r="P5099" s="2" t="s">
        <v>15769</v>
      </c>
      <c r="Q5099" s="2"/>
      <c r="R5099" s="6">
        <v>13.46</v>
      </c>
      <c r="S5099" s="5">
        <v>4.4000000000000004</v>
      </c>
      <c r="T5099" s="7">
        <v>7.7409999999999997</v>
      </c>
      <c r="U5099" s="5">
        <v>4.8</v>
      </c>
      <c r="V5099" s="6">
        <v>0.45</v>
      </c>
      <c r="W5099" s="7">
        <v>9.125</v>
      </c>
      <c r="X5099" s="4">
        <v>9</v>
      </c>
      <c r="Y5099" s="7">
        <v>9.125</v>
      </c>
      <c r="Z5099" s="9">
        <v>11.3125</v>
      </c>
      <c r="AA5099" s="6">
        <v>9.9600000000000009</v>
      </c>
      <c r="AB5099" s="7">
        <v>20.945</v>
      </c>
      <c r="AC5099" s="6">
        <v>134.44999999999999</v>
      </c>
    </row>
    <row r="5100" spans="1:29" ht="52" x14ac:dyDescent="0.15">
      <c r="A5100" s="3">
        <f t="shared" si="117"/>
        <v>36482</v>
      </c>
      <c r="B5100" s="2"/>
      <c r="C5100" s="2" t="s">
        <v>30</v>
      </c>
      <c r="D5100" s="2" t="s">
        <v>15770</v>
      </c>
      <c r="E5100" s="2" t="s">
        <v>15771</v>
      </c>
      <c r="F5100" s="4">
        <v>3944</v>
      </c>
      <c r="G5100" s="2" t="s">
        <v>112</v>
      </c>
      <c r="H5100" s="2" t="s">
        <v>34</v>
      </c>
      <c r="I5100" s="2" t="s">
        <v>15772</v>
      </c>
      <c r="J5100" s="2" t="s">
        <v>2712</v>
      </c>
      <c r="K5100" s="2" t="s">
        <v>53</v>
      </c>
      <c r="L5100" s="2" t="s">
        <v>34</v>
      </c>
      <c r="M5100" s="2"/>
      <c r="N5100" s="2"/>
      <c r="O5100" s="2"/>
      <c r="P5100" s="2" t="s">
        <v>15773</v>
      </c>
      <c r="Q5100" s="2"/>
      <c r="R5100" s="6">
        <v>27</v>
      </c>
      <c r="S5100" s="5">
        <v>40.6</v>
      </c>
      <c r="T5100" s="5">
        <v>52</v>
      </c>
      <c r="U5100" s="5">
        <v>15.5</v>
      </c>
      <c r="V5100" s="6">
        <v>1.81</v>
      </c>
      <c r="W5100" s="5">
        <v>20.5</v>
      </c>
      <c r="X5100" s="7">
        <v>19.937999999999999</v>
      </c>
      <c r="Y5100" s="4">
        <v>25</v>
      </c>
      <c r="Z5100" s="6">
        <v>25.25</v>
      </c>
      <c r="AA5100" s="6">
        <v>20.55</v>
      </c>
      <c r="AB5100" s="7">
        <v>10.782</v>
      </c>
      <c r="AC5100" s="2"/>
    </row>
    <row r="5101" spans="1:29" ht="208" x14ac:dyDescent="0.15">
      <c r="A5101" s="3">
        <f t="shared" si="117"/>
        <v>36482</v>
      </c>
      <c r="B5101" s="2"/>
      <c r="C5101" s="2" t="s">
        <v>30</v>
      </c>
      <c r="D5101" s="2" t="s">
        <v>15570</v>
      </c>
      <c r="E5101" s="2" t="s">
        <v>15571</v>
      </c>
      <c r="F5101" s="4">
        <v>2621</v>
      </c>
      <c r="G5101" s="2" t="s">
        <v>282</v>
      </c>
      <c r="H5101" s="2" t="s">
        <v>34</v>
      </c>
      <c r="I5101" s="2" t="s">
        <v>15568</v>
      </c>
      <c r="J5101" s="2" t="s">
        <v>15569</v>
      </c>
      <c r="K5101" s="2" t="s">
        <v>282</v>
      </c>
      <c r="L5101" s="2" t="s">
        <v>34</v>
      </c>
      <c r="M5101" s="7">
        <v>484.98899999999998</v>
      </c>
      <c r="N5101" s="7">
        <v>32.438000000000002</v>
      </c>
      <c r="O5101" s="7">
        <v>32.313000000000002</v>
      </c>
      <c r="P5101" s="2" t="s">
        <v>15774</v>
      </c>
      <c r="Q5101" s="2"/>
      <c r="R5101" s="6">
        <v>17.25</v>
      </c>
      <c r="S5101" s="5">
        <v>36.9</v>
      </c>
      <c r="T5101" s="7">
        <v>92.355999999999995</v>
      </c>
      <c r="U5101" s="5">
        <v>5.7</v>
      </c>
      <c r="V5101" s="6">
        <v>1.32</v>
      </c>
      <c r="W5101" s="7">
        <v>13.938000000000001</v>
      </c>
      <c r="X5101" s="7">
        <v>12.438000000000001</v>
      </c>
      <c r="Y5101" s="7">
        <v>12.938000000000001</v>
      </c>
      <c r="Z5101" s="7">
        <v>13.375</v>
      </c>
      <c r="AA5101" s="6">
        <v>27.56</v>
      </c>
      <c r="AB5101" s="7">
        <v>11.699</v>
      </c>
      <c r="AC5101" s="5">
        <v>36</v>
      </c>
    </row>
    <row r="5102" spans="1:29" ht="130" x14ac:dyDescent="0.15">
      <c r="A5102" s="3">
        <f t="shared" si="117"/>
        <v>36482</v>
      </c>
      <c r="B5102" s="3">
        <f>DATE(2000,1,31)</f>
        <v>36556</v>
      </c>
      <c r="C5102" s="2" t="s">
        <v>95</v>
      </c>
      <c r="D5102" s="2" t="s">
        <v>15775</v>
      </c>
      <c r="E5102" s="2" t="s">
        <v>9653</v>
      </c>
      <c r="F5102" s="4">
        <v>7372</v>
      </c>
      <c r="G5102" s="2" t="s">
        <v>551</v>
      </c>
      <c r="H5102" s="2" t="s">
        <v>34</v>
      </c>
      <c r="I5102" s="2" t="s">
        <v>15776</v>
      </c>
      <c r="J5102" s="2" t="s">
        <v>15536</v>
      </c>
      <c r="K5102" s="2" t="s">
        <v>551</v>
      </c>
      <c r="L5102" s="2" t="s">
        <v>34</v>
      </c>
      <c r="M5102" s="7">
        <v>495.214</v>
      </c>
      <c r="N5102" s="7">
        <v>42.875</v>
      </c>
      <c r="O5102" s="7">
        <v>40.375</v>
      </c>
      <c r="P5102" s="2" t="s">
        <v>15777</v>
      </c>
      <c r="Q5102" s="6">
        <v>100</v>
      </c>
      <c r="R5102" s="6">
        <v>10.27</v>
      </c>
      <c r="S5102" s="5">
        <v>-5.4</v>
      </c>
      <c r="T5102" s="7">
        <v>-5.5830000000000002</v>
      </c>
      <c r="U5102" s="5">
        <v>0.7</v>
      </c>
      <c r="V5102" s="6">
        <v>-0.46</v>
      </c>
      <c r="W5102" s="4">
        <v>6</v>
      </c>
      <c r="X5102" s="4">
        <v>8</v>
      </c>
      <c r="Y5102" s="7">
        <v>10.188000000000001</v>
      </c>
      <c r="Z5102" s="7">
        <v>9.625</v>
      </c>
      <c r="AA5102" s="6">
        <v>14.29</v>
      </c>
      <c r="AB5102" s="2" t="s">
        <v>86</v>
      </c>
      <c r="AC5102" s="5">
        <v>0.7</v>
      </c>
    </row>
    <row r="5103" spans="1:29" ht="52" x14ac:dyDescent="0.15">
      <c r="A5103" s="3">
        <f>DATE(1999,11,19)</f>
        <v>36483</v>
      </c>
      <c r="B5103" s="3">
        <f>DATE(2000,2,18)</f>
        <v>36574</v>
      </c>
      <c r="C5103" s="2" t="s">
        <v>95</v>
      </c>
      <c r="D5103" s="2" t="s">
        <v>15778</v>
      </c>
      <c r="E5103" s="2" t="s">
        <v>10711</v>
      </c>
      <c r="F5103" s="4">
        <v>7375</v>
      </c>
      <c r="G5103" s="2" t="s">
        <v>223</v>
      </c>
      <c r="H5103" s="2" t="s">
        <v>34</v>
      </c>
      <c r="I5103" s="2" t="s">
        <v>15779</v>
      </c>
      <c r="J5103" s="2" t="s">
        <v>6519</v>
      </c>
      <c r="K5103" s="2" t="s">
        <v>63</v>
      </c>
      <c r="L5103" s="2" t="s">
        <v>2105</v>
      </c>
      <c r="M5103" s="2"/>
      <c r="N5103" s="2"/>
      <c r="O5103" s="2"/>
      <c r="P5103" s="2" t="s">
        <v>15780</v>
      </c>
      <c r="Q5103" s="6">
        <v>52.97</v>
      </c>
      <c r="R5103" s="6">
        <v>1.58</v>
      </c>
      <c r="S5103" s="5">
        <v>0.5</v>
      </c>
      <c r="T5103" s="7">
        <v>5.2999999999999999E-2</v>
      </c>
      <c r="U5103" s="5">
        <v>4.9000000000000004</v>
      </c>
      <c r="V5103" s="6">
        <v>0.45</v>
      </c>
      <c r="W5103" s="7">
        <v>1.3440000000000001</v>
      </c>
      <c r="X5103" s="7">
        <v>1.4059999999999999</v>
      </c>
      <c r="Y5103" s="11">
        <v>1.53125</v>
      </c>
      <c r="Z5103" s="9">
        <v>1.6875</v>
      </c>
      <c r="AA5103" s="6">
        <v>9.15</v>
      </c>
      <c r="AB5103" s="2" t="s">
        <v>86</v>
      </c>
      <c r="AC5103" s="6">
        <v>506.44</v>
      </c>
    </row>
    <row r="5104" spans="1:29" ht="104" x14ac:dyDescent="0.15">
      <c r="A5104" s="3">
        <f t="shared" ref="A5104:A5110" si="118">DATE(1999,11,22)</f>
        <v>36486</v>
      </c>
      <c r="B5104" s="3">
        <f>DATE(2000,4,3)</f>
        <v>36619</v>
      </c>
      <c r="C5104" s="2" t="s">
        <v>95</v>
      </c>
      <c r="D5104" s="2" t="s">
        <v>8074</v>
      </c>
      <c r="E5104" s="2" t="s">
        <v>500</v>
      </c>
      <c r="F5104" s="4">
        <v>3679</v>
      </c>
      <c r="G5104" s="2" t="s">
        <v>137</v>
      </c>
      <c r="H5104" s="2" t="s">
        <v>34</v>
      </c>
      <c r="I5104" s="2" t="s">
        <v>15781</v>
      </c>
      <c r="J5104" s="2" t="s">
        <v>15782</v>
      </c>
      <c r="K5104" s="2" t="s">
        <v>137</v>
      </c>
      <c r="L5104" s="2" t="s">
        <v>54</v>
      </c>
      <c r="M5104" s="2"/>
      <c r="N5104" s="2"/>
      <c r="O5104" s="2"/>
      <c r="P5104" s="2" t="s">
        <v>15783</v>
      </c>
      <c r="Q5104" s="6">
        <v>100</v>
      </c>
      <c r="R5104" s="6">
        <v>65.41</v>
      </c>
      <c r="S5104" s="5">
        <v>39.799999999999997</v>
      </c>
      <c r="T5104" s="7">
        <v>165.70400000000001</v>
      </c>
      <c r="U5104" s="5">
        <v>10.4</v>
      </c>
      <c r="V5104" s="6">
        <v>1.33</v>
      </c>
      <c r="W5104" s="7">
        <v>50.188000000000002</v>
      </c>
      <c r="X5104" s="7">
        <v>51.813000000000002</v>
      </c>
      <c r="Y5104" s="7">
        <v>60.688000000000002</v>
      </c>
      <c r="Z5104" s="7">
        <v>66.438000000000002</v>
      </c>
      <c r="AA5104" s="6">
        <v>36.770000000000003</v>
      </c>
      <c r="AB5104" s="7">
        <v>31.27</v>
      </c>
      <c r="AC5104" s="6">
        <v>173.16</v>
      </c>
    </row>
    <row r="5105" spans="1:29" ht="130" x14ac:dyDescent="0.15">
      <c r="A5105" s="3">
        <f t="shared" si="118"/>
        <v>36486</v>
      </c>
      <c r="B5105" s="3">
        <f>DATE(2000,11,29)</f>
        <v>36859</v>
      </c>
      <c r="C5105" s="2" t="s">
        <v>95</v>
      </c>
      <c r="D5105" s="2" t="s">
        <v>15784</v>
      </c>
      <c r="E5105" s="2" t="s">
        <v>15785</v>
      </c>
      <c r="F5105" s="4">
        <v>4941</v>
      </c>
      <c r="G5105" s="2" t="s">
        <v>439</v>
      </c>
      <c r="H5105" s="2" t="s">
        <v>34</v>
      </c>
      <c r="I5105" s="2" t="s">
        <v>15786</v>
      </c>
      <c r="J5105" s="2" t="s">
        <v>4205</v>
      </c>
      <c r="K5105" s="2" t="s">
        <v>439</v>
      </c>
      <c r="L5105" s="2" t="s">
        <v>303</v>
      </c>
      <c r="M5105" s="2"/>
      <c r="N5105" s="2"/>
      <c r="O5105" s="2"/>
      <c r="P5105" s="2" t="s">
        <v>15787</v>
      </c>
      <c r="Q5105" s="6">
        <v>100</v>
      </c>
      <c r="R5105" s="6">
        <v>68</v>
      </c>
      <c r="S5105" s="5">
        <v>25.3</v>
      </c>
      <c r="T5105" s="7">
        <v>67.084000000000003</v>
      </c>
      <c r="U5105" s="5">
        <v>26.5</v>
      </c>
      <c r="V5105" s="7">
        <v>2.867</v>
      </c>
      <c r="W5105" s="4">
        <v>52</v>
      </c>
      <c r="X5105" s="7">
        <v>51.875</v>
      </c>
      <c r="Y5105" s="7">
        <v>62.125</v>
      </c>
      <c r="Z5105" s="7">
        <v>62.375</v>
      </c>
      <c r="AA5105" s="6">
        <v>10.61</v>
      </c>
      <c r="AB5105" s="7">
        <v>18.283999999999999</v>
      </c>
      <c r="AC5105" s="6">
        <v>291.77</v>
      </c>
    </row>
    <row r="5106" spans="1:29" ht="143" x14ac:dyDescent="0.15">
      <c r="A5106" s="3">
        <f t="shared" si="118"/>
        <v>36486</v>
      </c>
      <c r="B5106" s="3">
        <f>DATE(2000,2,2)</f>
        <v>36558</v>
      </c>
      <c r="C5106" s="2" t="s">
        <v>95</v>
      </c>
      <c r="D5106" s="2" t="s">
        <v>15788</v>
      </c>
      <c r="E5106" s="2" t="s">
        <v>15789</v>
      </c>
      <c r="F5106" s="4">
        <v>5719</v>
      </c>
      <c r="G5106" s="2" t="s">
        <v>1227</v>
      </c>
      <c r="H5106" s="2" t="s">
        <v>34</v>
      </c>
      <c r="I5106" s="2" t="s">
        <v>15790</v>
      </c>
      <c r="J5106" s="2" t="s">
        <v>302</v>
      </c>
      <c r="K5106" s="2" t="s">
        <v>53</v>
      </c>
      <c r="L5106" s="2" t="s">
        <v>34</v>
      </c>
      <c r="M5106" s="2"/>
      <c r="N5106" s="2"/>
      <c r="O5106" s="2"/>
      <c r="P5106" s="2" t="s">
        <v>15791</v>
      </c>
      <c r="Q5106" s="6">
        <v>70.67</v>
      </c>
      <c r="R5106" s="6">
        <v>11.5</v>
      </c>
      <c r="S5106" s="5">
        <v>10.5</v>
      </c>
      <c r="T5106" s="7">
        <v>24.795000000000002</v>
      </c>
      <c r="U5106" s="5">
        <v>7.6</v>
      </c>
      <c r="V5106" s="7">
        <v>0.58099999999999996</v>
      </c>
      <c r="W5106" s="7">
        <v>6.9379999999999997</v>
      </c>
      <c r="X5106" s="6">
        <v>7.25</v>
      </c>
      <c r="Y5106" s="7">
        <v>11.063000000000001</v>
      </c>
      <c r="Z5106" s="7">
        <v>11.125</v>
      </c>
      <c r="AA5106" s="6">
        <v>17.100000000000001</v>
      </c>
      <c r="AB5106" s="7">
        <v>12.305</v>
      </c>
      <c r="AC5106" s="2"/>
    </row>
    <row r="5107" spans="1:29" ht="39" x14ac:dyDescent="0.15">
      <c r="A5107" s="3">
        <f t="shared" si="118"/>
        <v>36486</v>
      </c>
      <c r="B5107" s="3">
        <f>DATE(2000,6,30)</f>
        <v>36707</v>
      </c>
      <c r="C5107" s="2" t="s">
        <v>95</v>
      </c>
      <c r="D5107" s="2" t="s">
        <v>15792</v>
      </c>
      <c r="E5107" s="2" t="s">
        <v>389</v>
      </c>
      <c r="F5107" s="4">
        <v>6035</v>
      </c>
      <c r="G5107" s="2" t="s">
        <v>33</v>
      </c>
      <c r="H5107" s="2" t="s">
        <v>34</v>
      </c>
      <c r="I5107" s="2" t="s">
        <v>15181</v>
      </c>
      <c r="J5107" s="2" t="s">
        <v>36</v>
      </c>
      <c r="K5107" s="2" t="s">
        <v>37</v>
      </c>
      <c r="L5107" s="2" t="s">
        <v>34</v>
      </c>
      <c r="M5107" s="7">
        <v>16.366</v>
      </c>
      <c r="N5107" s="5">
        <v>14.5</v>
      </c>
      <c r="O5107" s="4">
        <v>14</v>
      </c>
      <c r="P5107" s="2" t="s">
        <v>15793</v>
      </c>
      <c r="Q5107" s="6">
        <v>100</v>
      </c>
      <c r="R5107" s="2"/>
      <c r="S5107" s="5">
        <v>0</v>
      </c>
      <c r="T5107" s="7">
        <v>1.6E-2</v>
      </c>
      <c r="U5107" s="5">
        <v>20.399999999999999</v>
      </c>
      <c r="V5107" s="6">
        <v>-0.04</v>
      </c>
      <c r="W5107" s="5">
        <v>13.5</v>
      </c>
      <c r="X5107" s="5">
        <v>24.5</v>
      </c>
      <c r="Y5107" s="6">
        <v>22.25</v>
      </c>
      <c r="Z5107" s="6">
        <v>22.25</v>
      </c>
      <c r="AA5107" s="6">
        <v>0.2</v>
      </c>
      <c r="AB5107" s="2" t="s">
        <v>86</v>
      </c>
      <c r="AC5107" s="2"/>
    </row>
    <row r="5108" spans="1:29" ht="104" x14ac:dyDescent="0.15">
      <c r="A5108" s="3">
        <f t="shared" si="118"/>
        <v>36486</v>
      </c>
      <c r="B5108" s="3">
        <f>DATE(2000,2,10)</f>
        <v>36566</v>
      </c>
      <c r="C5108" s="2" t="s">
        <v>95</v>
      </c>
      <c r="D5108" s="2" t="s">
        <v>15794</v>
      </c>
      <c r="E5108" s="2" t="s">
        <v>15795</v>
      </c>
      <c r="F5108" s="4">
        <v>7375</v>
      </c>
      <c r="G5108" s="2" t="s">
        <v>223</v>
      </c>
      <c r="H5108" s="2" t="s">
        <v>34</v>
      </c>
      <c r="I5108" s="2" t="s">
        <v>15796</v>
      </c>
      <c r="J5108" s="2" t="s">
        <v>15797</v>
      </c>
      <c r="K5108" s="2" t="s">
        <v>223</v>
      </c>
      <c r="L5108" s="2" t="s">
        <v>34</v>
      </c>
      <c r="M5108" s="7">
        <v>492.71699999999998</v>
      </c>
      <c r="N5108" s="7">
        <v>39.938000000000002</v>
      </c>
      <c r="O5108" s="4">
        <v>45</v>
      </c>
      <c r="P5108" s="2" t="s">
        <v>15798</v>
      </c>
      <c r="Q5108" s="6">
        <v>100</v>
      </c>
      <c r="R5108" s="6">
        <v>29.02</v>
      </c>
      <c r="S5108" s="5">
        <v>-3.4</v>
      </c>
      <c r="T5108" s="6">
        <v>-3.28</v>
      </c>
      <c r="U5108" s="5">
        <v>2.2999999999999998</v>
      </c>
      <c r="V5108" s="6">
        <v>-0.24</v>
      </c>
      <c r="W5108" s="7">
        <v>13.375</v>
      </c>
      <c r="X5108" s="6">
        <v>18.75</v>
      </c>
      <c r="Y5108" s="4">
        <v>21</v>
      </c>
      <c r="Z5108" s="7">
        <v>23.187999999999999</v>
      </c>
      <c r="AA5108" s="6">
        <v>14.2</v>
      </c>
      <c r="AB5108" s="2" t="s">
        <v>86</v>
      </c>
      <c r="AC5108" s="6">
        <v>58.54</v>
      </c>
    </row>
    <row r="5109" spans="1:29" ht="156" x14ac:dyDescent="0.15">
      <c r="A5109" s="3">
        <f t="shared" si="118"/>
        <v>36486</v>
      </c>
      <c r="B5109" s="3">
        <f>DATE(2000,2,28)</f>
        <v>36584</v>
      </c>
      <c r="C5109" s="2" t="s">
        <v>95</v>
      </c>
      <c r="D5109" s="2" t="s">
        <v>15799</v>
      </c>
      <c r="E5109" s="2" t="s">
        <v>15800</v>
      </c>
      <c r="F5109" s="4">
        <v>2439</v>
      </c>
      <c r="G5109" s="2" t="s">
        <v>250</v>
      </c>
      <c r="H5109" s="2" t="s">
        <v>34</v>
      </c>
      <c r="I5109" s="2" t="s">
        <v>15801</v>
      </c>
      <c r="J5109" s="2" t="s">
        <v>15802</v>
      </c>
      <c r="K5109" s="2" t="s">
        <v>250</v>
      </c>
      <c r="L5109" s="2" t="s">
        <v>902</v>
      </c>
      <c r="M5109" s="2"/>
      <c r="N5109" s="9">
        <v>60.5625</v>
      </c>
      <c r="O5109" s="9">
        <v>60.5625</v>
      </c>
      <c r="P5109" s="2" t="s">
        <v>15803</v>
      </c>
      <c r="Q5109" s="6">
        <v>100</v>
      </c>
      <c r="R5109" s="6">
        <v>42</v>
      </c>
      <c r="S5109" s="5">
        <v>30.1</v>
      </c>
      <c r="T5109" s="7">
        <v>143.428</v>
      </c>
      <c r="U5109" s="5">
        <v>15.3</v>
      </c>
      <c r="V5109" s="6">
        <v>1.78</v>
      </c>
      <c r="W5109" s="7">
        <v>31.655999999999999</v>
      </c>
      <c r="X5109" s="4">
        <v>33</v>
      </c>
      <c r="Y5109" s="6">
        <v>32.25</v>
      </c>
      <c r="Z5109" s="7">
        <v>41.594000000000001</v>
      </c>
      <c r="AA5109" s="6">
        <v>15.51</v>
      </c>
      <c r="AB5109" s="7">
        <v>7.431</v>
      </c>
      <c r="AC5109" s="2"/>
    </row>
    <row r="5110" spans="1:29" ht="91" x14ac:dyDescent="0.15">
      <c r="A5110" s="3">
        <f t="shared" si="118"/>
        <v>36486</v>
      </c>
      <c r="B5110" s="3">
        <f>DATE(2001,1,23)</f>
        <v>36914</v>
      </c>
      <c r="C5110" s="2" t="s">
        <v>95</v>
      </c>
      <c r="D5110" s="2" t="s">
        <v>15804</v>
      </c>
      <c r="E5110" s="2" t="s">
        <v>15805</v>
      </c>
      <c r="F5110" s="4">
        <v>7373</v>
      </c>
      <c r="G5110" s="2" t="s">
        <v>223</v>
      </c>
      <c r="H5110" s="2" t="s">
        <v>34</v>
      </c>
      <c r="I5110" s="2" t="s">
        <v>15806</v>
      </c>
      <c r="J5110" s="2" t="s">
        <v>15807</v>
      </c>
      <c r="K5110" s="2" t="s">
        <v>163</v>
      </c>
      <c r="L5110" s="2" t="s">
        <v>5907</v>
      </c>
      <c r="M5110" s="2"/>
      <c r="N5110" s="2"/>
      <c r="O5110" s="2"/>
      <c r="P5110" s="2" t="s">
        <v>15808</v>
      </c>
      <c r="Q5110" s="6">
        <v>100</v>
      </c>
      <c r="R5110" s="2"/>
      <c r="S5110" s="5">
        <v>-5.0999999999999996</v>
      </c>
      <c r="T5110" s="7">
        <v>-1.2190000000000001</v>
      </c>
      <c r="U5110" s="5">
        <v>0.5</v>
      </c>
      <c r="V5110" s="6">
        <v>-1.21</v>
      </c>
      <c r="W5110" s="4">
        <v>3</v>
      </c>
      <c r="X5110" s="7">
        <v>3.4380000000000002</v>
      </c>
      <c r="Y5110" s="6">
        <v>3.25</v>
      </c>
      <c r="Z5110" s="4">
        <v>3</v>
      </c>
      <c r="AA5110" s="6">
        <v>13.9</v>
      </c>
      <c r="AB5110" s="2" t="s">
        <v>86</v>
      </c>
      <c r="AC5110" s="2"/>
    </row>
    <row r="5111" spans="1:29" ht="130" x14ac:dyDescent="0.15">
      <c r="A5111" s="3">
        <f>DATE(1999,11,26)</f>
        <v>36490</v>
      </c>
      <c r="B5111" s="3">
        <f>DATE(2000,7,17)</f>
        <v>36724</v>
      </c>
      <c r="C5111" s="2" t="s">
        <v>95</v>
      </c>
      <c r="D5111" s="2" t="s">
        <v>15809</v>
      </c>
      <c r="E5111" s="2" t="s">
        <v>13055</v>
      </c>
      <c r="F5111" s="4">
        <v>2834</v>
      </c>
      <c r="G5111" s="2" t="s">
        <v>130</v>
      </c>
      <c r="H5111" s="2" t="s">
        <v>34</v>
      </c>
      <c r="I5111" s="2" t="s">
        <v>15810</v>
      </c>
      <c r="J5111" s="2" t="s">
        <v>13693</v>
      </c>
      <c r="K5111" s="2" t="s">
        <v>130</v>
      </c>
      <c r="L5111" s="2" t="s">
        <v>34</v>
      </c>
      <c r="M5111" s="2"/>
      <c r="N5111" s="4">
        <v>13</v>
      </c>
      <c r="O5111" s="7">
        <v>12.125</v>
      </c>
      <c r="P5111" s="2" t="s">
        <v>15811</v>
      </c>
      <c r="Q5111" s="6">
        <v>100</v>
      </c>
      <c r="R5111" s="2"/>
      <c r="S5111" s="5">
        <v>-17.399999999999999</v>
      </c>
      <c r="T5111" s="2"/>
      <c r="U5111" s="5">
        <v>2.1</v>
      </c>
      <c r="V5111" s="6">
        <v>-1.01</v>
      </c>
      <c r="W5111" s="7">
        <v>13.875</v>
      </c>
      <c r="X5111" s="7">
        <v>15.125</v>
      </c>
      <c r="Y5111" s="4">
        <v>15</v>
      </c>
      <c r="Z5111" s="4">
        <v>13</v>
      </c>
      <c r="AA5111" s="6">
        <v>17.399999999999999</v>
      </c>
      <c r="AB5111" s="2" t="s">
        <v>86</v>
      </c>
      <c r="AC5111" s="2"/>
    </row>
    <row r="5112" spans="1:29" ht="117" x14ac:dyDescent="0.15">
      <c r="A5112" s="3">
        <f>DATE(1999,11,26)</f>
        <v>36490</v>
      </c>
      <c r="B5112" s="3">
        <f>DATE(2000,2,22)</f>
        <v>36578</v>
      </c>
      <c r="C5112" s="2" t="s">
        <v>95</v>
      </c>
      <c r="D5112" s="2" t="s">
        <v>15812</v>
      </c>
      <c r="E5112" s="2" t="s">
        <v>15813</v>
      </c>
      <c r="F5112" s="4">
        <v>3851</v>
      </c>
      <c r="G5112" s="2" t="s">
        <v>226</v>
      </c>
      <c r="H5112" s="2" t="s">
        <v>34</v>
      </c>
      <c r="I5112" s="2" t="s">
        <v>15814</v>
      </c>
      <c r="J5112" s="2" t="s">
        <v>15815</v>
      </c>
      <c r="K5112" s="2" t="s">
        <v>76</v>
      </c>
      <c r="L5112" s="2" t="s">
        <v>34</v>
      </c>
      <c r="M5112" s="2"/>
      <c r="N5112" s="2"/>
      <c r="O5112" s="2"/>
      <c r="P5112" s="2" t="s">
        <v>15816</v>
      </c>
      <c r="Q5112" s="6">
        <v>100</v>
      </c>
      <c r="R5112" s="6">
        <v>5.25</v>
      </c>
      <c r="S5112" s="5">
        <v>-32.200000000000003</v>
      </c>
      <c r="T5112" s="7">
        <v>-2.0169999999999999</v>
      </c>
      <c r="U5112" s="5">
        <v>0.3</v>
      </c>
      <c r="V5112" s="6">
        <v>-4.92</v>
      </c>
      <c r="W5112" s="7">
        <v>4.5629999999999997</v>
      </c>
      <c r="X5112" s="7">
        <v>4.625</v>
      </c>
      <c r="Y5112" s="7">
        <v>4.8129999999999997</v>
      </c>
      <c r="Z5112" s="7">
        <v>4.875</v>
      </c>
      <c r="AA5112" s="6">
        <v>7.09</v>
      </c>
      <c r="AB5112" s="2" t="s">
        <v>86</v>
      </c>
      <c r="AC5112" s="2"/>
    </row>
    <row r="5113" spans="1:29" ht="91" x14ac:dyDescent="0.15">
      <c r="A5113" s="3">
        <f>DATE(1999,11,29)</f>
        <v>36493</v>
      </c>
      <c r="B5113" s="3">
        <f>DATE(2000,2,2)</f>
        <v>36558</v>
      </c>
      <c r="C5113" s="2" t="s">
        <v>95</v>
      </c>
      <c r="D5113" s="2" t="s">
        <v>15817</v>
      </c>
      <c r="E5113" s="2" t="s">
        <v>15818</v>
      </c>
      <c r="F5113" s="4">
        <v>7372</v>
      </c>
      <c r="G5113" s="2" t="s">
        <v>551</v>
      </c>
      <c r="H5113" s="2" t="s">
        <v>34</v>
      </c>
      <c r="I5113" s="2" t="s">
        <v>15819</v>
      </c>
      <c r="J5113" s="2" t="s">
        <v>5102</v>
      </c>
      <c r="K5113" s="2" t="s">
        <v>551</v>
      </c>
      <c r="L5113" s="2" t="s">
        <v>34</v>
      </c>
      <c r="M5113" s="12">
        <v>1936.921</v>
      </c>
      <c r="N5113" s="7">
        <v>69.625</v>
      </c>
      <c r="O5113" s="7">
        <v>63.063000000000002</v>
      </c>
      <c r="P5113" s="2" t="s">
        <v>15820</v>
      </c>
      <c r="Q5113" s="6">
        <v>100</v>
      </c>
      <c r="R5113" s="6">
        <v>5.43</v>
      </c>
      <c r="S5113" s="5">
        <v>-1.1000000000000001</v>
      </c>
      <c r="T5113" s="7">
        <v>-0.747</v>
      </c>
      <c r="U5113" s="5">
        <v>0.3</v>
      </c>
      <c r="V5113" s="6">
        <v>-0.01</v>
      </c>
      <c r="W5113" s="7">
        <v>4.4690000000000003</v>
      </c>
      <c r="X5113" s="7">
        <v>4.8440000000000003</v>
      </c>
      <c r="Y5113" s="7">
        <v>4.625</v>
      </c>
      <c r="Z5113" s="7">
        <v>4.125</v>
      </c>
      <c r="AA5113" s="6">
        <v>14.86</v>
      </c>
      <c r="AB5113" s="2" t="s">
        <v>86</v>
      </c>
      <c r="AC5113" s="6">
        <v>77.03</v>
      </c>
    </row>
    <row r="5114" spans="1:29" ht="104" x14ac:dyDescent="0.15">
      <c r="A5114" s="3">
        <f>DATE(1999,11,29)</f>
        <v>36493</v>
      </c>
      <c r="B5114" s="3">
        <f>DATE(2000,2,11)</f>
        <v>36567</v>
      </c>
      <c r="C5114" s="2" t="s">
        <v>95</v>
      </c>
      <c r="D5114" s="2" t="s">
        <v>15821</v>
      </c>
      <c r="E5114" s="2" t="s">
        <v>15822</v>
      </c>
      <c r="F5114" s="4">
        <v>7371</v>
      </c>
      <c r="G5114" s="2" t="s">
        <v>223</v>
      </c>
      <c r="H5114" s="2" t="s">
        <v>34</v>
      </c>
      <c r="I5114" s="2" t="s">
        <v>12170</v>
      </c>
      <c r="J5114" s="2" t="s">
        <v>12171</v>
      </c>
      <c r="K5114" s="2" t="s">
        <v>226</v>
      </c>
      <c r="L5114" s="2" t="s">
        <v>34</v>
      </c>
      <c r="M5114" s="2"/>
      <c r="N5114" s="2"/>
      <c r="O5114" s="2"/>
      <c r="P5114" s="2" t="s">
        <v>15823</v>
      </c>
      <c r="Q5114" s="6">
        <v>100</v>
      </c>
      <c r="R5114" s="6">
        <v>11.06</v>
      </c>
      <c r="S5114" s="5">
        <v>-1.6</v>
      </c>
      <c r="T5114" s="2"/>
      <c r="U5114" s="5">
        <v>3</v>
      </c>
      <c r="V5114" s="6">
        <v>-0.21</v>
      </c>
      <c r="W5114" s="4">
        <v>8</v>
      </c>
      <c r="X5114" s="7">
        <v>9.375</v>
      </c>
      <c r="Y5114" s="6">
        <v>10.75</v>
      </c>
      <c r="Z5114" s="6">
        <v>10.75</v>
      </c>
      <c r="AA5114" s="6">
        <v>7.21</v>
      </c>
      <c r="AB5114" s="7">
        <v>17.695</v>
      </c>
      <c r="AC5114" s="2"/>
    </row>
    <row r="5115" spans="1:29" ht="169" x14ac:dyDescent="0.15">
      <c r="A5115" s="3">
        <f>DATE(1999,11,30)</f>
        <v>36494</v>
      </c>
      <c r="B5115" s="3">
        <f>DATE(2000,4,17)</f>
        <v>36633</v>
      </c>
      <c r="C5115" s="2" t="s">
        <v>95</v>
      </c>
      <c r="D5115" s="2" t="s">
        <v>15824</v>
      </c>
      <c r="E5115" s="2" t="s">
        <v>15825</v>
      </c>
      <c r="F5115" s="4">
        <v>3089</v>
      </c>
      <c r="G5115" s="2" t="s">
        <v>447</v>
      </c>
      <c r="H5115" s="2" t="s">
        <v>34</v>
      </c>
      <c r="I5115" s="2" t="s">
        <v>15826</v>
      </c>
      <c r="J5115" s="2" t="s">
        <v>15827</v>
      </c>
      <c r="K5115" s="2" t="s">
        <v>186</v>
      </c>
      <c r="L5115" s="2" t="s">
        <v>303</v>
      </c>
      <c r="M5115" s="2"/>
      <c r="N5115" s="2"/>
      <c r="O5115" s="2"/>
      <c r="P5115" s="2" t="s">
        <v>15828</v>
      </c>
      <c r="Q5115" s="6">
        <v>100</v>
      </c>
      <c r="R5115" s="6">
        <v>7</v>
      </c>
      <c r="S5115" s="5">
        <v>0.9</v>
      </c>
      <c r="T5115" s="6">
        <v>2.37</v>
      </c>
      <c r="U5115" s="5">
        <v>1</v>
      </c>
      <c r="V5115" s="6">
        <v>0.12</v>
      </c>
      <c r="W5115" s="7">
        <v>7.375</v>
      </c>
      <c r="X5115" s="7">
        <v>6.875</v>
      </c>
      <c r="Y5115" s="5">
        <v>6.5</v>
      </c>
      <c r="Z5115" s="6">
        <v>6.25</v>
      </c>
      <c r="AA5115" s="6">
        <v>6.19</v>
      </c>
      <c r="AB5115" s="7">
        <v>59.192999999999998</v>
      </c>
      <c r="AC5115" s="6">
        <v>4.25</v>
      </c>
    </row>
    <row r="5116" spans="1:29" ht="104" x14ac:dyDescent="0.15">
      <c r="A5116" s="3">
        <f t="shared" ref="A5116:A5122" si="119">DATE(1999,12,1)</f>
        <v>36495</v>
      </c>
      <c r="B5116" s="3">
        <f>DATE(2000,3,1)</f>
        <v>36586</v>
      </c>
      <c r="C5116" s="2" t="s">
        <v>95</v>
      </c>
      <c r="D5116" s="2" t="s">
        <v>13265</v>
      </c>
      <c r="E5116" s="2" t="s">
        <v>553</v>
      </c>
      <c r="F5116" s="4">
        <v>7372</v>
      </c>
      <c r="G5116" s="2" t="s">
        <v>551</v>
      </c>
      <c r="H5116" s="2" t="s">
        <v>34</v>
      </c>
      <c r="I5116" s="2" t="s">
        <v>12988</v>
      </c>
      <c r="J5116" s="2" t="s">
        <v>12989</v>
      </c>
      <c r="K5116" s="2" t="s">
        <v>551</v>
      </c>
      <c r="L5116" s="2" t="s">
        <v>34</v>
      </c>
      <c r="M5116" s="12">
        <v>1711.442</v>
      </c>
      <c r="N5116" s="7">
        <v>9.6560000000000006</v>
      </c>
      <c r="O5116" s="7">
        <v>9.2189999999999994</v>
      </c>
      <c r="P5116" s="2" t="s">
        <v>15829</v>
      </c>
      <c r="Q5116" s="6">
        <v>100</v>
      </c>
      <c r="R5116" s="6">
        <v>38.5</v>
      </c>
      <c r="S5116" s="5">
        <v>5.9</v>
      </c>
      <c r="T5116" s="7">
        <v>27.335999999999999</v>
      </c>
      <c r="U5116" s="5">
        <v>5.3</v>
      </c>
      <c r="V5116" s="7">
        <v>0.41699999999999998</v>
      </c>
      <c r="W5116" s="7">
        <v>25.437999999999999</v>
      </c>
      <c r="X5116" s="6">
        <v>26.25</v>
      </c>
      <c r="Y5116" s="6">
        <v>31.75</v>
      </c>
      <c r="Z5116" s="5">
        <v>30.5</v>
      </c>
      <c r="AA5116" s="6">
        <v>19.39</v>
      </c>
      <c r="AB5116" s="7">
        <v>64.751000000000005</v>
      </c>
      <c r="AC5116" s="2"/>
    </row>
    <row r="5117" spans="1:29" ht="39" x14ac:dyDescent="0.15">
      <c r="A5117" s="3">
        <f t="shared" si="119"/>
        <v>36495</v>
      </c>
      <c r="B5117" s="3">
        <f>DATE(1999,12,1)</f>
        <v>36495</v>
      </c>
      <c r="C5117" s="2" t="s">
        <v>95</v>
      </c>
      <c r="D5117" s="2" t="s">
        <v>15830</v>
      </c>
      <c r="E5117" s="2" t="s">
        <v>15831</v>
      </c>
      <c r="F5117" s="4">
        <v>3841</v>
      </c>
      <c r="G5117" s="2" t="s">
        <v>226</v>
      </c>
      <c r="H5117" s="2" t="s">
        <v>34</v>
      </c>
      <c r="I5117" s="2" t="s">
        <v>15832</v>
      </c>
      <c r="J5117" s="2" t="s">
        <v>15833</v>
      </c>
      <c r="K5117" s="2" t="s">
        <v>53</v>
      </c>
      <c r="L5117" s="2" t="s">
        <v>34</v>
      </c>
      <c r="M5117" s="2"/>
      <c r="N5117" s="2"/>
      <c r="O5117" s="2"/>
      <c r="P5117" s="2" t="s">
        <v>15834</v>
      </c>
      <c r="Q5117" s="2"/>
      <c r="R5117" s="2"/>
      <c r="S5117" s="5">
        <v>-3.8</v>
      </c>
      <c r="T5117" s="7">
        <v>-2.4590000000000001</v>
      </c>
      <c r="U5117" s="5">
        <v>3</v>
      </c>
      <c r="V5117" s="6">
        <v>-2.8</v>
      </c>
      <c r="W5117" s="9">
        <v>3.9375</v>
      </c>
      <c r="X5117" s="4">
        <v>4</v>
      </c>
      <c r="Y5117" s="4">
        <v>4</v>
      </c>
      <c r="Z5117" s="4">
        <v>4</v>
      </c>
      <c r="AA5117" s="2"/>
      <c r="AB5117" s="2" t="s">
        <v>86</v>
      </c>
      <c r="AC5117" s="2"/>
    </row>
    <row r="5118" spans="1:29" ht="130" x14ac:dyDescent="0.15">
      <c r="A5118" s="3">
        <f t="shared" si="119"/>
        <v>36495</v>
      </c>
      <c r="B5118" s="3">
        <f>DATE(2000,4,19)</f>
        <v>36635</v>
      </c>
      <c r="C5118" s="2" t="s">
        <v>95</v>
      </c>
      <c r="D5118" s="2" t="s">
        <v>15835</v>
      </c>
      <c r="E5118" s="2" t="s">
        <v>15836</v>
      </c>
      <c r="F5118" s="4">
        <v>5112</v>
      </c>
      <c r="G5118" s="2" t="s">
        <v>593</v>
      </c>
      <c r="H5118" s="2" t="s">
        <v>34</v>
      </c>
      <c r="I5118" s="2" t="s">
        <v>15837</v>
      </c>
      <c r="J5118" s="2" t="s">
        <v>15838</v>
      </c>
      <c r="K5118" s="2" t="s">
        <v>282</v>
      </c>
      <c r="L5118" s="2" t="s">
        <v>34</v>
      </c>
      <c r="M5118" s="12">
        <v>2078.4160000000002</v>
      </c>
      <c r="N5118" s="7">
        <v>34.063000000000002</v>
      </c>
      <c r="O5118" s="7">
        <v>35.313000000000002</v>
      </c>
      <c r="P5118" s="2" t="s">
        <v>15839</v>
      </c>
      <c r="Q5118" s="6">
        <v>19.5</v>
      </c>
      <c r="R5118" s="6">
        <v>16.5</v>
      </c>
      <c r="S5118" s="5">
        <v>74.900000000000006</v>
      </c>
      <c r="T5118" s="7">
        <v>201.49600000000001</v>
      </c>
      <c r="U5118" s="5">
        <v>9.6</v>
      </c>
      <c r="V5118" s="6">
        <v>1.1399999999999999</v>
      </c>
      <c r="W5118" s="7">
        <v>10.625</v>
      </c>
      <c r="X5118" s="5">
        <v>11.5</v>
      </c>
      <c r="Y5118" s="7">
        <v>14.688000000000001</v>
      </c>
      <c r="Z5118" s="7">
        <v>14.875</v>
      </c>
      <c r="AA5118" s="6">
        <v>65.8</v>
      </c>
      <c r="AB5118" s="7">
        <v>9.5579999999999998</v>
      </c>
      <c r="AC5118" s="6">
        <v>66.94</v>
      </c>
    </row>
    <row r="5119" spans="1:29" ht="104" x14ac:dyDescent="0.15">
      <c r="A5119" s="3">
        <f t="shared" si="119"/>
        <v>36495</v>
      </c>
      <c r="B5119" s="2"/>
      <c r="C5119" s="2" t="s">
        <v>7330</v>
      </c>
      <c r="D5119" s="2" t="s">
        <v>15840</v>
      </c>
      <c r="E5119" s="2" t="s">
        <v>129</v>
      </c>
      <c r="F5119" s="4">
        <v>2834</v>
      </c>
      <c r="G5119" s="2" t="s">
        <v>130</v>
      </c>
      <c r="H5119" s="2" t="s">
        <v>34</v>
      </c>
      <c r="I5119" s="2" t="s">
        <v>15841</v>
      </c>
      <c r="J5119" s="2" t="s">
        <v>839</v>
      </c>
      <c r="K5119" s="2" t="s">
        <v>130</v>
      </c>
      <c r="L5119" s="2" t="s">
        <v>34</v>
      </c>
      <c r="M5119" s="2"/>
      <c r="N5119" s="2"/>
      <c r="O5119" s="2"/>
      <c r="P5119" s="2" t="s">
        <v>15842</v>
      </c>
      <c r="Q5119" s="2"/>
      <c r="R5119" s="2"/>
      <c r="S5119" s="5">
        <v>-18.600000000000001</v>
      </c>
      <c r="T5119" s="7">
        <v>-10.526999999999999</v>
      </c>
      <c r="U5119" s="5">
        <v>-0.1</v>
      </c>
      <c r="V5119" s="7">
        <v>-0.749</v>
      </c>
      <c r="W5119" s="7">
        <v>1.625</v>
      </c>
      <c r="X5119" s="7">
        <v>1.5629999999999999</v>
      </c>
      <c r="Y5119" s="11">
        <v>1.96875</v>
      </c>
      <c r="Z5119" s="9">
        <v>2.0625</v>
      </c>
      <c r="AA5119" s="6">
        <v>26.57</v>
      </c>
      <c r="AB5119" s="2" t="s">
        <v>86</v>
      </c>
      <c r="AC5119" s="2"/>
    </row>
    <row r="5120" spans="1:29" ht="117" x14ac:dyDescent="0.15">
      <c r="A5120" s="3">
        <f t="shared" si="119"/>
        <v>36495</v>
      </c>
      <c r="B5120" s="3">
        <f>DATE(2000,2,25)</f>
        <v>36581</v>
      </c>
      <c r="C5120" s="2" t="s">
        <v>95</v>
      </c>
      <c r="D5120" s="2" t="s">
        <v>6293</v>
      </c>
      <c r="E5120" s="2" t="s">
        <v>129</v>
      </c>
      <c r="F5120" s="4">
        <v>2834</v>
      </c>
      <c r="G5120" s="2" t="s">
        <v>130</v>
      </c>
      <c r="H5120" s="2" t="s">
        <v>34</v>
      </c>
      <c r="I5120" s="2" t="s">
        <v>15843</v>
      </c>
      <c r="J5120" s="2" t="s">
        <v>7462</v>
      </c>
      <c r="K5120" s="2" t="s">
        <v>130</v>
      </c>
      <c r="L5120" s="2" t="s">
        <v>34</v>
      </c>
      <c r="M5120" s="12">
        <v>1093.309</v>
      </c>
      <c r="N5120" s="7">
        <v>46.094000000000001</v>
      </c>
      <c r="O5120" s="5">
        <v>55.5</v>
      </c>
      <c r="P5120" s="2" t="s">
        <v>15844</v>
      </c>
      <c r="Q5120" s="6">
        <v>100</v>
      </c>
      <c r="R5120" s="6">
        <v>34</v>
      </c>
      <c r="S5120" s="5">
        <v>13.6</v>
      </c>
      <c r="T5120" s="7">
        <v>17.382999999999999</v>
      </c>
      <c r="U5120" s="5">
        <v>6.2</v>
      </c>
      <c r="V5120" s="6">
        <v>1.27</v>
      </c>
      <c r="W5120" s="7">
        <v>28.187999999999999</v>
      </c>
      <c r="X5120" s="7">
        <v>26.625</v>
      </c>
      <c r="Y5120" s="4">
        <v>27</v>
      </c>
      <c r="Z5120" s="6">
        <v>29.25</v>
      </c>
      <c r="AA5120" s="6">
        <v>10.47</v>
      </c>
      <c r="AB5120" s="7">
        <v>20.634</v>
      </c>
      <c r="AC5120" s="6">
        <v>8.4499999999999993</v>
      </c>
    </row>
    <row r="5121" spans="1:29" ht="117" x14ac:dyDescent="0.15">
      <c r="A5121" s="3">
        <f t="shared" si="119"/>
        <v>36495</v>
      </c>
      <c r="B5121" s="3">
        <f>DATE(2000,6,5)</f>
        <v>36682</v>
      </c>
      <c r="C5121" s="2" t="s">
        <v>95</v>
      </c>
      <c r="D5121" s="2" t="s">
        <v>15845</v>
      </c>
      <c r="E5121" s="2" t="s">
        <v>973</v>
      </c>
      <c r="F5121" s="4">
        <v>4813</v>
      </c>
      <c r="G5121" s="2" t="s">
        <v>63</v>
      </c>
      <c r="H5121" s="2" t="s">
        <v>34</v>
      </c>
      <c r="I5121" s="2" t="s">
        <v>15846</v>
      </c>
      <c r="J5121" s="2" t="s">
        <v>973</v>
      </c>
      <c r="K5121" s="2" t="s">
        <v>63</v>
      </c>
      <c r="L5121" s="2" t="s">
        <v>34</v>
      </c>
      <c r="M5121" s="7">
        <v>56.143000000000001</v>
      </c>
      <c r="N5121" s="6">
        <v>10.75</v>
      </c>
      <c r="O5121" s="4">
        <v>10</v>
      </c>
      <c r="P5121" s="2" t="s">
        <v>15847</v>
      </c>
      <c r="Q5121" s="6">
        <v>100</v>
      </c>
      <c r="R5121" s="6">
        <v>2.11</v>
      </c>
      <c r="S5121" s="5">
        <v>-40.799999999999997</v>
      </c>
      <c r="T5121" s="7">
        <v>-21.032</v>
      </c>
      <c r="U5121" s="5">
        <v>0.9</v>
      </c>
      <c r="V5121" s="6">
        <v>-0.95</v>
      </c>
      <c r="W5121" s="4">
        <v>2</v>
      </c>
      <c r="X5121" s="4">
        <v>2</v>
      </c>
      <c r="Y5121" s="7">
        <v>2.0939999999999999</v>
      </c>
      <c r="Z5121" s="7">
        <v>2.1880000000000002</v>
      </c>
      <c r="AA5121" s="6">
        <v>53.24</v>
      </c>
      <c r="AB5121" s="2" t="s">
        <v>86</v>
      </c>
      <c r="AC5121" s="6">
        <v>2.85</v>
      </c>
    </row>
    <row r="5122" spans="1:29" ht="52" x14ac:dyDescent="0.15">
      <c r="A5122" s="3">
        <f t="shared" si="119"/>
        <v>36495</v>
      </c>
      <c r="B5122" s="3">
        <f>DATE(2000,9,20)</f>
        <v>36789</v>
      </c>
      <c r="C5122" s="2" t="s">
        <v>95</v>
      </c>
      <c r="D5122" s="2" t="s">
        <v>15848</v>
      </c>
      <c r="E5122" s="2" t="s">
        <v>1387</v>
      </c>
      <c r="F5122" s="4">
        <v>4932</v>
      </c>
      <c r="G5122" s="2" t="s">
        <v>439</v>
      </c>
      <c r="H5122" s="2" t="s">
        <v>34</v>
      </c>
      <c r="I5122" s="2" t="s">
        <v>10078</v>
      </c>
      <c r="J5122" s="2" t="s">
        <v>10079</v>
      </c>
      <c r="K5122" s="2" t="s">
        <v>439</v>
      </c>
      <c r="L5122" s="2" t="s">
        <v>34</v>
      </c>
      <c r="M5122" s="6">
        <v>613.08000000000004</v>
      </c>
      <c r="N5122" s="7">
        <v>18.187999999999999</v>
      </c>
      <c r="O5122" s="5">
        <v>18.5</v>
      </c>
      <c r="P5122" s="2" t="s">
        <v>15849</v>
      </c>
      <c r="Q5122" s="6">
        <v>100</v>
      </c>
      <c r="R5122" s="6">
        <v>25</v>
      </c>
      <c r="S5122" s="5">
        <v>4</v>
      </c>
      <c r="T5122" s="7">
        <v>12.009</v>
      </c>
      <c r="U5122" s="5">
        <v>7.4</v>
      </c>
      <c r="V5122" s="6">
        <v>0.8</v>
      </c>
      <c r="W5122" s="7">
        <v>18.937999999999999</v>
      </c>
      <c r="X5122" s="5">
        <v>20.5</v>
      </c>
      <c r="Y5122" s="6">
        <v>22.25</v>
      </c>
      <c r="Z5122" s="7">
        <v>22.625</v>
      </c>
      <c r="AA5122" s="6">
        <v>4.99</v>
      </c>
      <c r="AB5122" s="7">
        <v>19.585999999999999</v>
      </c>
      <c r="AC5122" s="5">
        <v>0.6</v>
      </c>
    </row>
    <row r="5123" spans="1:29" ht="182" x14ac:dyDescent="0.15">
      <c r="A5123" s="3">
        <f>DATE(1999,12,2)</f>
        <v>36496</v>
      </c>
      <c r="B5123" s="3">
        <f>DATE(2000,5,18)</f>
        <v>36664</v>
      </c>
      <c r="C5123" s="2" t="s">
        <v>95</v>
      </c>
      <c r="D5123" s="2" t="s">
        <v>15850</v>
      </c>
      <c r="E5123" s="2" t="s">
        <v>3726</v>
      </c>
      <c r="F5123" s="4">
        <v>3661</v>
      </c>
      <c r="G5123" s="2" t="s">
        <v>921</v>
      </c>
      <c r="H5123" s="2" t="s">
        <v>34</v>
      </c>
      <c r="I5123" s="2" t="s">
        <v>15851</v>
      </c>
      <c r="J5123" s="2" t="s">
        <v>15852</v>
      </c>
      <c r="K5123" s="2" t="s">
        <v>76</v>
      </c>
      <c r="L5123" s="2" t="s">
        <v>34</v>
      </c>
      <c r="M5123" s="7">
        <v>13.327999999999999</v>
      </c>
      <c r="N5123" s="9">
        <v>2.1875</v>
      </c>
      <c r="O5123" s="7">
        <v>2.125</v>
      </c>
      <c r="P5123" s="2" t="s">
        <v>15853</v>
      </c>
      <c r="Q5123" s="6">
        <v>100</v>
      </c>
      <c r="R5123" s="6">
        <v>7.84</v>
      </c>
      <c r="S5123" s="5">
        <v>0.3</v>
      </c>
      <c r="T5123" s="7">
        <v>0.82599999999999996</v>
      </c>
      <c r="U5123" s="5">
        <v>0.9</v>
      </c>
      <c r="V5123" s="6">
        <v>0.04</v>
      </c>
      <c r="W5123" s="7">
        <v>2.375</v>
      </c>
      <c r="X5123" s="7">
        <v>2.375</v>
      </c>
      <c r="Y5123" s="7">
        <v>2.1880000000000002</v>
      </c>
      <c r="Z5123" s="7">
        <v>2.125</v>
      </c>
      <c r="AA5123" s="6">
        <v>4.91</v>
      </c>
      <c r="AB5123" s="7">
        <v>74.766000000000005</v>
      </c>
      <c r="AC5123" s="6">
        <v>0.03</v>
      </c>
    </row>
    <row r="5124" spans="1:29" ht="156" x14ac:dyDescent="0.15">
      <c r="A5124" s="3">
        <f>DATE(1999,12,2)</f>
        <v>36496</v>
      </c>
      <c r="B5124" s="3">
        <f>DATE(2000,6,26)</f>
        <v>36703</v>
      </c>
      <c r="C5124" s="2" t="s">
        <v>95</v>
      </c>
      <c r="D5124" s="2" t="s">
        <v>15854</v>
      </c>
      <c r="E5124" s="2" t="s">
        <v>15855</v>
      </c>
      <c r="F5124" s="4">
        <v>6036</v>
      </c>
      <c r="G5124" s="2" t="s">
        <v>33</v>
      </c>
      <c r="H5124" s="2" t="s">
        <v>34</v>
      </c>
      <c r="I5124" s="2" t="s">
        <v>6399</v>
      </c>
      <c r="J5124" s="2" t="s">
        <v>263</v>
      </c>
      <c r="K5124" s="2" t="s">
        <v>33</v>
      </c>
      <c r="L5124" s="2" t="s">
        <v>34</v>
      </c>
      <c r="M5124" s="12">
        <v>1088.5619999999999</v>
      </c>
      <c r="N5124" s="7">
        <v>25.812999999999999</v>
      </c>
      <c r="O5124" s="7">
        <v>25.437999999999999</v>
      </c>
      <c r="P5124" s="2" t="s">
        <v>15856</v>
      </c>
      <c r="Q5124" s="6">
        <v>100</v>
      </c>
      <c r="R5124" s="6">
        <v>39.520000000000003</v>
      </c>
      <c r="S5124" s="5">
        <v>12.9</v>
      </c>
      <c r="T5124" s="2"/>
      <c r="U5124" s="5">
        <v>18.2</v>
      </c>
      <c r="V5124" s="6">
        <v>2.46</v>
      </c>
      <c r="W5124" s="7">
        <v>35.188000000000002</v>
      </c>
      <c r="X5124" s="5">
        <v>34.5</v>
      </c>
      <c r="Y5124" s="9">
        <v>37.3125</v>
      </c>
      <c r="Z5124" s="9">
        <v>37.1875</v>
      </c>
      <c r="AA5124" s="6">
        <v>5</v>
      </c>
      <c r="AB5124" s="7">
        <v>25.768000000000001</v>
      </c>
      <c r="AC5124" s="2"/>
    </row>
    <row r="5125" spans="1:29" ht="39" x14ac:dyDescent="0.15">
      <c r="A5125" s="3">
        <f>DATE(1999,12,3)</f>
        <v>36497</v>
      </c>
      <c r="B5125" s="3">
        <f>DATE(2000,3,23)</f>
        <v>36608</v>
      </c>
      <c r="C5125" s="2" t="s">
        <v>95</v>
      </c>
      <c r="D5125" s="2" t="s">
        <v>15857</v>
      </c>
      <c r="E5125" s="2" t="s">
        <v>15858</v>
      </c>
      <c r="F5125" s="4">
        <v>7372</v>
      </c>
      <c r="G5125" s="2" t="s">
        <v>551</v>
      </c>
      <c r="H5125" s="2" t="s">
        <v>34</v>
      </c>
      <c r="I5125" s="2" t="s">
        <v>15859</v>
      </c>
      <c r="J5125" s="2" t="s">
        <v>15860</v>
      </c>
      <c r="K5125" s="2" t="s">
        <v>551</v>
      </c>
      <c r="L5125" s="2" t="s">
        <v>34</v>
      </c>
      <c r="M5125" s="2"/>
      <c r="N5125" s="2"/>
      <c r="O5125" s="2"/>
      <c r="P5125" s="2" t="s">
        <v>15861</v>
      </c>
      <c r="Q5125" s="6">
        <v>100</v>
      </c>
      <c r="R5125" s="6">
        <v>2.48</v>
      </c>
      <c r="S5125" s="5">
        <v>-2</v>
      </c>
      <c r="T5125" s="7">
        <v>3.4409999999999998</v>
      </c>
      <c r="U5125" s="5">
        <v>0.4</v>
      </c>
      <c r="V5125" s="6">
        <v>-0.21</v>
      </c>
      <c r="W5125" s="4">
        <v>2</v>
      </c>
      <c r="X5125" s="7">
        <v>1.875</v>
      </c>
      <c r="Y5125" s="6">
        <v>2.25</v>
      </c>
      <c r="Z5125" s="6">
        <v>2.25</v>
      </c>
      <c r="AA5125" s="6">
        <v>9.6300000000000008</v>
      </c>
      <c r="AB5125" s="2" t="s">
        <v>86</v>
      </c>
      <c r="AC5125" s="2"/>
    </row>
    <row r="5126" spans="1:29" ht="117" x14ac:dyDescent="0.15">
      <c r="A5126" s="3">
        <f>DATE(1999,12,3)</f>
        <v>36497</v>
      </c>
      <c r="B5126" s="2"/>
      <c r="C5126" s="2" t="s">
        <v>7330</v>
      </c>
      <c r="D5126" s="2" t="s">
        <v>15862</v>
      </c>
      <c r="E5126" s="2" t="s">
        <v>15863</v>
      </c>
      <c r="F5126" s="4">
        <v>4813</v>
      </c>
      <c r="G5126" s="2" t="s">
        <v>63</v>
      </c>
      <c r="H5126" s="2" t="s">
        <v>34</v>
      </c>
      <c r="I5126" s="2" t="s">
        <v>15864</v>
      </c>
      <c r="J5126" s="2" t="s">
        <v>302</v>
      </c>
      <c r="K5126" s="2" t="s">
        <v>53</v>
      </c>
      <c r="L5126" s="2" t="s">
        <v>34</v>
      </c>
      <c r="M5126" s="2"/>
      <c r="N5126" s="2"/>
      <c r="O5126" s="2"/>
      <c r="P5126" s="2" t="s">
        <v>15865</v>
      </c>
      <c r="Q5126" s="2"/>
      <c r="R5126" s="6">
        <v>4</v>
      </c>
      <c r="S5126" s="5">
        <v>1.6</v>
      </c>
      <c r="T5126" s="5">
        <v>1.3</v>
      </c>
      <c r="U5126" s="5">
        <v>0.9</v>
      </c>
      <c r="V5126" s="6">
        <v>0.14000000000000001</v>
      </c>
      <c r="W5126" s="7">
        <v>7.0940000000000003</v>
      </c>
      <c r="X5126" s="7">
        <v>8.0630000000000006</v>
      </c>
      <c r="Y5126" s="5">
        <v>7.5</v>
      </c>
      <c r="Z5126" s="9">
        <v>7.9375</v>
      </c>
      <c r="AA5126" s="6">
        <v>10.79</v>
      </c>
      <c r="AB5126" s="7">
        <v>61.805999999999997</v>
      </c>
      <c r="AC5126" s="2"/>
    </row>
    <row r="5127" spans="1:29" ht="39" x14ac:dyDescent="0.15">
      <c r="A5127" s="3">
        <f>DATE(1999,12,3)</f>
        <v>36497</v>
      </c>
      <c r="B5127" s="2"/>
      <c r="C5127" s="2" t="s">
        <v>7330</v>
      </c>
      <c r="D5127" s="2" t="s">
        <v>15866</v>
      </c>
      <c r="E5127" s="2" t="s">
        <v>15867</v>
      </c>
      <c r="F5127" s="4">
        <v>7382</v>
      </c>
      <c r="G5127" s="2" t="s">
        <v>223</v>
      </c>
      <c r="H5127" s="2" t="s">
        <v>34</v>
      </c>
      <c r="I5127" s="2" t="s">
        <v>15868</v>
      </c>
      <c r="J5127" s="2" t="s">
        <v>302</v>
      </c>
      <c r="K5127" s="2" t="s">
        <v>53</v>
      </c>
      <c r="L5127" s="2" t="s">
        <v>34</v>
      </c>
      <c r="M5127" s="2"/>
      <c r="N5127" s="2"/>
      <c r="O5127" s="2"/>
      <c r="P5127" s="2" t="s">
        <v>15869</v>
      </c>
      <c r="Q5127" s="2"/>
      <c r="R5127" s="2"/>
      <c r="S5127" s="5">
        <v>-0.1</v>
      </c>
      <c r="T5127" s="2"/>
      <c r="U5127" s="5">
        <v>0</v>
      </c>
      <c r="V5127" s="9">
        <v>-5.4399999999999997E-2</v>
      </c>
      <c r="W5127" s="7">
        <v>3.8130000000000002</v>
      </c>
      <c r="X5127" s="7">
        <v>6.3129999999999997</v>
      </c>
      <c r="Y5127" s="6">
        <v>8.25</v>
      </c>
      <c r="Z5127" s="7">
        <v>8.125</v>
      </c>
      <c r="AA5127" s="2"/>
      <c r="AB5127" s="2" t="s">
        <v>86</v>
      </c>
      <c r="AC5127" s="2"/>
    </row>
    <row r="5128" spans="1:29" ht="39" x14ac:dyDescent="0.15">
      <c r="A5128" s="3">
        <f>DATE(1999,12,3)</f>
        <v>36497</v>
      </c>
      <c r="B5128" s="2"/>
      <c r="C5128" s="2" t="s">
        <v>30</v>
      </c>
      <c r="D5128" s="2" t="s">
        <v>15870</v>
      </c>
      <c r="E5128" s="2" t="s">
        <v>15871</v>
      </c>
      <c r="F5128" s="4">
        <v>5961</v>
      </c>
      <c r="G5128" s="2" t="s">
        <v>73</v>
      </c>
      <c r="H5128" s="2" t="s">
        <v>34</v>
      </c>
      <c r="I5128" s="2" t="s">
        <v>15872</v>
      </c>
      <c r="J5128" s="2" t="s">
        <v>80</v>
      </c>
      <c r="K5128" s="2" t="s">
        <v>53</v>
      </c>
      <c r="L5128" s="2" t="s">
        <v>34</v>
      </c>
      <c r="M5128" s="2"/>
      <c r="N5128" s="2"/>
      <c r="O5128" s="2"/>
      <c r="P5128" s="2" t="s">
        <v>15873</v>
      </c>
      <c r="Q5128" s="2"/>
      <c r="R5128" s="6">
        <v>5</v>
      </c>
      <c r="S5128" s="5">
        <v>1.8</v>
      </c>
      <c r="T5128" s="6">
        <v>5.74</v>
      </c>
      <c r="U5128" s="5">
        <v>1.9</v>
      </c>
      <c r="V5128" s="6">
        <v>0.36</v>
      </c>
      <c r="W5128" s="7">
        <v>3.6880000000000002</v>
      </c>
      <c r="X5128" s="7">
        <v>3.6880000000000002</v>
      </c>
      <c r="Y5128" s="7">
        <v>4.125</v>
      </c>
      <c r="Z5128" s="11">
        <v>4.71875</v>
      </c>
      <c r="AA5128" s="6">
        <v>4.3499999999999996</v>
      </c>
      <c r="AB5128" s="7">
        <v>7.056</v>
      </c>
      <c r="AC5128" s="2"/>
    </row>
    <row r="5129" spans="1:29" ht="91" x14ac:dyDescent="0.15">
      <c r="A5129" s="3">
        <f>DATE(1999,12,6)</f>
        <v>36500</v>
      </c>
      <c r="B5129" s="2"/>
      <c r="C5129" s="2" t="s">
        <v>30</v>
      </c>
      <c r="D5129" s="2" t="s">
        <v>15874</v>
      </c>
      <c r="E5129" s="2" t="s">
        <v>1072</v>
      </c>
      <c r="F5129" s="4">
        <v>6799</v>
      </c>
      <c r="G5129" s="2" t="s">
        <v>53</v>
      </c>
      <c r="H5129" s="2" t="s">
        <v>34</v>
      </c>
      <c r="I5129" s="2" t="s">
        <v>15875</v>
      </c>
      <c r="J5129" s="2" t="s">
        <v>15876</v>
      </c>
      <c r="K5129" s="2" t="s">
        <v>53</v>
      </c>
      <c r="L5129" s="2" t="s">
        <v>34</v>
      </c>
      <c r="M5129" s="7">
        <v>154.36199999999999</v>
      </c>
      <c r="N5129" s="6">
        <v>8.25</v>
      </c>
      <c r="O5129" s="4">
        <v>8</v>
      </c>
      <c r="P5129" s="2" t="s">
        <v>15877</v>
      </c>
      <c r="Q5129" s="2"/>
      <c r="R5129" s="6">
        <v>8</v>
      </c>
      <c r="S5129" s="5">
        <v>2.7</v>
      </c>
      <c r="T5129" s="7">
        <v>6.3010000000000002</v>
      </c>
      <c r="U5129" s="5">
        <v>6.1</v>
      </c>
      <c r="V5129" s="6">
        <v>0.53</v>
      </c>
      <c r="W5129" s="7">
        <v>5.8129999999999997</v>
      </c>
      <c r="X5129" s="7">
        <v>5.625</v>
      </c>
      <c r="Y5129" s="6">
        <v>5.75</v>
      </c>
      <c r="Z5129" s="4">
        <v>7</v>
      </c>
      <c r="AA5129" s="6">
        <v>4.9000000000000004</v>
      </c>
      <c r="AB5129" s="7">
        <v>6.0940000000000003</v>
      </c>
      <c r="AC5129" s="6">
        <v>76.33</v>
      </c>
    </row>
    <row r="5130" spans="1:29" ht="91" x14ac:dyDescent="0.15">
      <c r="A5130" s="3">
        <f>DATE(1999,12,7)</f>
        <v>36501</v>
      </c>
      <c r="B5130" s="2"/>
      <c r="C5130" s="2" t="s">
        <v>30</v>
      </c>
      <c r="D5130" s="2" t="s">
        <v>15878</v>
      </c>
      <c r="E5130" s="2" t="s">
        <v>15879</v>
      </c>
      <c r="F5130" s="4">
        <v>7375</v>
      </c>
      <c r="G5130" s="2" t="s">
        <v>223</v>
      </c>
      <c r="H5130" s="2" t="s">
        <v>34</v>
      </c>
      <c r="I5130" s="2" t="s">
        <v>15880</v>
      </c>
      <c r="J5130" s="2" t="s">
        <v>15881</v>
      </c>
      <c r="K5130" s="2" t="s">
        <v>593</v>
      </c>
      <c r="L5130" s="2" t="s">
        <v>34</v>
      </c>
      <c r="M5130" s="7">
        <v>48.075000000000003</v>
      </c>
      <c r="N5130" s="7">
        <v>50.375</v>
      </c>
      <c r="O5130" s="4">
        <v>49</v>
      </c>
      <c r="P5130" s="2" t="s">
        <v>15882</v>
      </c>
      <c r="Q5130" s="2"/>
      <c r="R5130" s="6">
        <v>13.03</v>
      </c>
      <c r="S5130" s="5">
        <v>-10.5</v>
      </c>
      <c r="T5130" s="7">
        <v>-5.9889999999999999</v>
      </c>
      <c r="U5130" s="5">
        <v>0.6</v>
      </c>
      <c r="V5130" s="6">
        <v>-0.6</v>
      </c>
      <c r="W5130" s="4">
        <v>10</v>
      </c>
      <c r="X5130" s="6">
        <v>12.25</v>
      </c>
      <c r="Y5130" s="4">
        <v>12</v>
      </c>
      <c r="Z5130" s="7">
        <v>12.188000000000001</v>
      </c>
      <c r="AA5130" s="6">
        <v>17.399999999999999</v>
      </c>
      <c r="AB5130" s="2" t="s">
        <v>86</v>
      </c>
      <c r="AC5130" s="6">
        <v>16.97</v>
      </c>
    </row>
    <row r="5131" spans="1:29" ht="104" x14ac:dyDescent="0.15">
      <c r="A5131" s="3">
        <f>DATE(1999,12,7)</f>
        <v>36501</v>
      </c>
      <c r="B5131" s="3">
        <f>DATE(2000,7,1)</f>
        <v>36708</v>
      </c>
      <c r="C5131" s="2" t="s">
        <v>95</v>
      </c>
      <c r="D5131" s="2" t="s">
        <v>15883</v>
      </c>
      <c r="E5131" s="2" t="s">
        <v>36</v>
      </c>
      <c r="F5131" s="4">
        <v>6021</v>
      </c>
      <c r="G5131" s="2" t="s">
        <v>37</v>
      </c>
      <c r="H5131" s="2" t="s">
        <v>34</v>
      </c>
      <c r="I5131" s="2" t="s">
        <v>3099</v>
      </c>
      <c r="J5131" s="2" t="s">
        <v>265</v>
      </c>
      <c r="K5131" s="2" t="s">
        <v>37</v>
      </c>
      <c r="L5131" s="2" t="s">
        <v>34</v>
      </c>
      <c r="M5131" s="7">
        <v>217.54599999999999</v>
      </c>
      <c r="N5131" s="6">
        <v>16.25</v>
      </c>
      <c r="O5131" s="6">
        <v>15.25</v>
      </c>
      <c r="P5131" s="2" t="s">
        <v>15884</v>
      </c>
      <c r="Q5131" s="6">
        <v>100</v>
      </c>
      <c r="R5131" s="6">
        <v>29.33</v>
      </c>
      <c r="S5131" s="5">
        <v>4.0999999999999996</v>
      </c>
      <c r="T5131" s="2"/>
      <c r="U5131" s="5">
        <v>11.1</v>
      </c>
      <c r="V5131" s="6">
        <v>1.39</v>
      </c>
      <c r="W5131" s="4">
        <v>30</v>
      </c>
      <c r="X5131" s="6">
        <v>27.75</v>
      </c>
      <c r="Y5131" s="7">
        <v>28.875</v>
      </c>
      <c r="Z5131" s="4">
        <v>25</v>
      </c>
      <c r="AA5131" s="6">
        <v>2.86</v>
      </c>
      <c r="AB5131" s="7">
        <v>29.606000000000002</v>
      </c>
      <c r="AC5131" s="2"/>
    </row>
    <row r="5132" spans="1:29" ht="117" x14ac:dyDescent="0.15">
      <c r="A5132" s="3">
        <f>DATE(1999,12,7)</f>
        <v>36501</v>
      </c>
      <c r="B5132" s="2"/>
      <c r="C5132" s="2" t="s">
        <v>30</v>
      </c>
      <c r="D5132" s="2" t="s">
        <v>15885</v>
      </c>
      <c r="E5132" s="2" t="s">
        <v>14572</v>
      </c>
      <c r="F5132" s="4">
        <v>4213</v>
      </c>
      <c r="G5132" s="2" t="s">
        <v>173</v>
      </c>
      <c r="H5132" s="2" t="s">
        <v>34</v>
      </c>
      <c r="I5132" s="2" t="s">
        <v>15886</v>
      </c>
      <c r="J5132" s="2" t="s">
        <v>150</v>
      </c>
      <c r="K5132" s="2" t="s">
        <v>53</v>
      </c>
      <c r="L5132" s="2" t="s">
        <v>34</v>
      </c>
      <c r="M5132" s="2"/>
      <c r="N5132" s="2"/>
      <c r="O5132" s="2"/>
      <c r="P5132" s="2" t="s">
        <v>15887</v>
      </c>
      <c r="Q5132" s="2"/>
      <c r="R5132" s="6">
        <v>7</v>
      </c>
      <c r="S5132" s="5">
        <v>-1.4</v>
      </c>
      <c r="T5132" s="7">
        <v>3.7160000000000002</v>
      </c>
      <c r="U5132" s="5">
        <v>8.9</v>
      </c>
      <c r="V5132" s="6">
        <v>-0.23</v>
      </c>
      <c r="W5132" s="6">
        <v>5.75</v>
      </c>
      <c r="X5132" s="7">
        <v>5.375</v>
      </c>
      <c r="Y5132" s="7">
        <v>5.875</v>
      </c>
      <c r="Z5132" s="9">
        <v>5.5625</v>
      </c>
      <c r="AA5132" s="6">
        <v>6.11</v>
      </c>
      <c r="AB5132" s="2" t="s">
        <v>86</v>
      </c>
      <c r="AC5132" s="2"/>
    </row>
    <row r="5133" spans="1:29" ht="78" x14ac:dyDescent="0.15">
      <c r="A5133" s="3">
        <f>DATE(1999,12,7)</f>
        <v>36501</v>
      </c>
      <c r="B5133" s="3">
        <f>DATE(2000,5,18)</f>
        <v>36664</v>
      </c>
      <c r="C5133" s="2" t="s">
        <v>95</v>
      </c>
      <c r="D5133" s="2" t="s">
        <v>15888</v>
      </c>
      <c r="E5133" s="2" t="s">
        <v>15889</v>
      </c>
      <c r="F5133" s="4">
        <v>3661</v>
      </c>
      <c r="G5133" s="2" t="s">
        <v>921</v>
      </c>
      <c r="H5133" s="2" t="s">
        <v>34</v>
      </c>
      <c r="I5133" s="2" t="s">
        <v>3404</v>
      </c>
      <c r="J5133" s="2" t="s">
        <v>3405</v>
      </c>
      <c r="K5133" s="2" t="s">
        <v>921</v>
      </c>
      <c r="L5133" s="2" t="s">
        <v>34</v>
      </c>
      <c r="M5133" s="7">
        <v>13.683999999999999</v>
      </c>
      <c r="N5133" s="4">
        <v>3</v>
      </c>
      <c r="O5133" s="7">
        <v>3.3130000000000002</v>
      </c>
      <c r="P5133" s="2" t="s">
        <v>15890</v>
      </c>
      <c r="Q5133" s="6">
        <v>100</v>
      </c>
      <c r="R5133" s="2"/>
      <c r="S5133" s="5">
        <v>0</v>
      </c>
      <c r="T5133" s="7">
        <v>0.13700000000000001</v>
      </c>
      <c r="U5133" s="5">
        <v>0.7</v>
      </c>
      <c r="V5133" s="6">
        <v>-0.01</v>
      </c>
      <c r="W5133" s="7">
        <v>0.81299999999999994</v>
      </c>
      <c r="X5133" s="7">
        <v>1.3440000000000001</v>
      </c>
      <c r="Y5133" s="9">
        <v>0.8125</v>
      </c>
      <c r="Z5133" s="11">
        <v>0.71875</v>
      </c>
      <c r="AA5133" s="6">
        <v>3.04</v>
      </c>
      <c r="AB5133" s="2" t="s">
        <v>86</v>
      </c>
      <c r="AC5133" s="6">
        <v>0.8</v>
      </c>
    </row>
    <row r="5134" spans="1:29" ht="91" x14ac:dyDescent="0.15">
      <c r="A5134" s="3">
        <f>DATE(1999,12,8)</f>
        <v>36502</v>
      </c>
      <c r="B5134" s="3">
        <f>DATE(2000,6,19)</f>
        <v>36696</v>
      </c>
      <c r="C5134" s="2" t="s">
        <v>95</v>
      </c>
      <c r="D5134" s="2" t="s">
        <v>8657</v>
      </c>
      <c r="E5134" s="2" t="s">
        <v>8658</v>
      </c>
      <c r="F5134" s="4">
        <v>3444</v>
      </c>
      <c r="G5134" s="2" t="s">
        <v>163</v>
      </c>
      <c r="H5134" s="2" t="s">
        <v>34</v>
      </c>
      <c r="I5134" s="2" t="s">
        <v>15891</v>
      </c>
      <c r="J5134" s="2" t="s">
        <v>3499</v>
      </c>
      <c r="K5134" s="2" t="s">
        <v>341</v>
      </c>
      <c r="L5134" s="2" t="s">
        <v>34</v>
      </c>
      <c r="M5134" s="2"/>
      <c r="N5134" s="2"/>
      <c r="O5134" s="2"/>
      <c r="P5134" s="2" t="s">
        <v>15892</v>
      </c>
      <c r="Q5134" s="6">
        <v>30.8</v>
      </c>
      <c r="R5134" s="6">
        <v>11.5</v>
      </c>
      <c r="S5134" s="5">
        <v>22.8</v>
      </c>
      <c r="T5134" s="7">
        <v>40.515000000000001</v>
      </c>
      <c r="U5134" s="5">
        <v>6.5</v>
      </c>
      <c r="V5134" s="6">
        <v>1.42</v>
      </c>
      <c r="W5134" s="4">
        <v>8</v>
      </c>
      <c r="X5134" s="7">
        <v>7.875</v>
      </c>
      <c r="Y5134" s="7">
        <v>7.875</v>
      </c>
      <c r="Z5134" s="7">
        <v>9.9380000000000006</v>
      </c>
      <c r="AA5134" s="6">
        <v>16.100000000000001</v>
      </c>
      <c r="AB5134" s="7">
        <v>5.0880000000000001</v>
      </c>
      <c r="AC5134" s="2"/>
    </row>
    <row r="5135" spans="1:29" ht="117" x14ac:dyDescent="0.15">
      <c r="A5135" s="3">
        <f>DATE(1999,12,9)</f>
        <v>36503</v>
      </c>
      <c r="B5135" s="3">
        <f>DATE(2000,2,28)</f>
        <v>36584</v>
      </c>
      <c r="C5135" s="2" t="s">
        <v>95</v>
      </c>
      <c r="D5135" s="2" t="s">
        <v>15893</v>
      </c>
      <c r="E5135" s="2" t="s">
        <v>15894</v>
      </c>
      <c r="F5135" s="4">
        <v>7373</v>
      </c>
      <c r="G5135" s="2" t="s">
        <v>223</v>
      </c>
      <c r="H5135" s="2" t="s">
        <v>34</v>
      </c>
      <c r="I5135" s="2" t="s">
        <v>11266</v>
      </c>
      <c r="J5135" s="2" t="s">
        <v>10715</v>
      </c>
      <c r="K5135" s="2" t="s">
        <v>223</v>
      </c>
      <c r="L5135" s="2" t="s">
        <v>34</v>
      </c>
      <c r="M5135" s="12">
        <v>1025.088</v>
      </c>
      <c r="N5135" s="7">
        <v>28.437999999999999</v>
      </c>
      <c r="O5135" s="5">
        <v>28.5</v>
      </c>
      <c r="P5135" s="2" t="s">
        <v>15895</v>
      </c>
      <c r="Q5135" s="6">
        <v>100</v>
      </c>
      <c r="R5135" s="6">
        <v>21.52</v>
      </c>
      <c r="S5135" s="5">
        <v>3.7</v>
      </c>
      <c r="T5135" s="7">
        <v>21.137</v>
      </c>
      <c r="U5135" s="5">
        <v>5.9</v>
      </c>
      <c r="V5135" s="6">
        <v>0.41</v>
      </c>
      <c r="W5135" s="7">
        <v>14.625</v>
      </c>
      <c r="X5135" s="7">
        <v>14.563000000000001</v>
      </c>
      <c r="Y5135" s="7">
        <v>17.562999999999999</v>
      </c>
      <c r="Z5135" s="7">
        <v>17.625</v>
      </c>
      <c r="AA5135" s="6">
        <v>8.73</v>
      </c>
      <c r="AB5135" s="7">
        <v>17.709</v>
      </c>
      <c r="AC5135" s="6">
        <v>11.75</v>
      </c>
    </row>
    <row r="5136" spans="1:29" ht="130" x14ac:dyDescent="0.15">
      <c r="A5136" s="3">
        <f>DATE(1999,12,9)</f>
        <v>36503</v>
      </c>
      <c r="B5136" s="3">
        <f>DATE(2000,3,29)</f>
        <v>36614</v>
      </c>
      <c r="C5136" s="2" t="s">
        <v>95</v>
      </c>
      <c r="D5136" s="2" t="s">
        <v>1484</v>
      </c>
      <c r="E5136" s="2" t="s">
        <v>1485</v>
      </c>
      <c r="F5136" s="4">
        <v>3541</v>
      </c>
      <c r="G5136" s="2" t="s">
        <v>300</v>
      </c>
      <c r="H5136" s="2" t="s">
        <v>34</v>
      </c>
      <c r="I5136" s="2" t="s">
        <v>51</v>
      </c>
      <c r="J5136" s="2" t="s">
        <v>52</v>
      </c>
      <c r="K5136" s="2" t="s">
        <v>53</v>
      </c>
      <c r="L5136" s="2" t="s">
        <v>34</v>
      </c>
      <c r="M5136" s="2"/>
      <c r="N5136" s="2"/>
      <c r="O5136" s="2"/>
      <c r="P5136" s="2" t="s">
        <v>15896</v>
      </c>
      <c r="Q5136" s="6">
        <v>100</v>
      </c>
      <c r="R5136" s="6">
        <v>23</v>
      </c>
      <c r="S5136" s="5">
        <v>17.399999999999999</v>
      </c>
      <c r="T5136" s="7">
        <v>51.253999999999998</v>
      </c>
      <c r="U5136" s="5">
        <v>13.4</v>
      </c>
      <c r="V5136" s="7">
        <v>1.756</v>
      </c>
      <c r="W5136" s="7">
        <v>18.125</v>
      </c>
      <c r="X5136" s="4">
        <v>18</v>
      </c>
      <c r="Y5136" s="5">
        <v>23.5</v>
      </c>
      <c r="Z5136" s="4">
        <v>23</v>
      </c>
      <c r="AA5136" s="6">
        <v>9.59</v>
      </c>
      <c r="AB5136" s="7">
        <v>8.42</v>
      </c>
      <c r="AC5136" s="2"/>
    </row>
    <row r="5137" spans="1:29" ht="104" x14ac:dyDescent="0.15">
      <c r="A5137" s="3">
        <f>DATE(1999,12,9)</f>
        <v>36503</v>
      </c>
      <c r="B5137" s="3">
        <f>DATE(2000,4,3)</f>
        <v>36619</v>
      </c>
      <c r="C5137" s="2" t="s">
        <v>95</v>
      </c>
      <c r="D5137" s="2" t="s">
        <v>15897</v>
      </c>
      <c r="E5137" s="2" t="s">
        <v>15898</v>
      </c>
      <c r="F5137" s="4">
        <v>3559</v>
      </c>
      <c r="G5137" s="2" t="s">
        <v>300</v>
      </c>
      <c r="H5137" s="2" t="s">
        <v>34</v>
      </c>
      <c r="I5137" s="2" t="s">
        <v>15899</v>
      </c>
      <c r="J5137" s="2" t="s">
        <v>15900</v>
      </c>
      <c r="K5137" s="2" t="s">
        <v>300</v>
      </c>
      <c r="L5137" s="2" t="s">
        <v>34</v>
      </c>
      <c r="M5137" s="7">
        <v>714.89700000000005</v>
      </c>
      <c r="N5137" s="4">
        <v>30</v>
      </c>
      <c r="O5137" s="5">
        <v>30.5</v>
      </c>
      <c r="P5137" s="2" t="s">
        <v>15901</v>
      </c>
      <c r="Q5137" s="6">
        <v>100</v>
      </c>
      <c r="R5137" s="6">
        <v>12</v>
      </c>
      <c r="S5137" s="5">
        <v>1.1000000000000001</v>
      </c>
      <c r="T5137" s="7">
        <v>2.4209999999999998</v>
      </c>
      <c r="U5137" s="5">
        <v>4.5999999999999996</v>
      </c>
      <c r="V5137" s="6">
        <v>0.67</v>
      </c>
      <c r="W5137" s="4">
        <v>7</v>
      </c>
      <c r="X5137" s="4">
        <v>7</v>
      </c>
      <c r="Y5137" s="5">
        <v>5.5</v>
      </c>
      <c r="Z5137" s="4">
        <v>11</v>
      </c>
      <c r="AA5137" s="6">
        <v>1.6</v>
      </c>
      <c r="AB5137" s="7">
        <v>12.289</v>
      </c>
      <c r="AC5137" s="6">
        <v>66.8</v>
      </c>
    </row>
    <row r="5138" spans="1:29" ht="78" x14ac:dyDescent="0.15">
      <c r="A5138" s="3">
        <f>DATE(1999,12,9)</f>
        <v>36503</v>
      </c>
      <c r="B5138" s="3">
        <f>DATE(2000,9,20)</f>
        <v>36789</v>
      </c>
      <c r="C5138" s="2" t="s">
        <v>95</v>
      </c>
      <c r="D5138" s="2" t="s">
        <v>15902</v>
      </c>
      <c r="E5138" s="2" t="s">
        <v>15903</v>
      </c>
      <c r="F5138" s="4">
        <v>1796</v>
      </c>
      <c r="G5138" s="2" t="s">
        <v>341</v>
      </c>
      <c r="H5138" s="2" t="s">
        <v>34</v>
      </c>
      <c r="I5138" s="2" t="s">
        <v>15904</v>
      </c>
      <c r="J5138" s="2" t="s">
        <v>7957</v>
      </c>
      <c r="K5138" s="2" t="s">
        <v>370</v>
      </c>
      <c r="L5138" s="2" t="s">
        <v>34</v>
      </c>
      <c r="M5138" s="2"/>
      <c r="N5138" s="2"/>
      <c r="O5138" s="2"/>
      <c r="P5138" s="2" t="s">
        <v>15905</v>
      </c>
      <c r="Q5138" s="6">
        <v>100</v>
      </c>
      <c r="R5138" s="2"/>
      <c r="S5138" s="5">
        <v>-1.5</v>
      </c>
      <c r="T5138" s="7">
        <v>-0.73799999999999999</v>
      </c>
      <c r="U5138" s="5">
        <v>1.7</v>
      </c>
      <c r="V5138" s="6">
        <v>-0.57999999999999996</v>
      </c>
      <c r="W5138" s="9">
        <v>1.8125</v>
      </c>
      <c r="X5138" s="7">
        <v>1.625</v>
      </c>
      <c r="Y5138" s="2"/>
      <c r="Z5138" s="2"/>
      <c r="AA5138" s="6">
        <v>2.4700000000000002</v>
      </c>
      <c r="AB5138" s="2" t="s">
        <v>86</v>
      </c>
      <c r="AC5138" s="2"/>
    </row>
    <row r="5139" spans="1:29" ht="117" x14ac:dyDescent="0.15">
      <c r="A5139" s="3">
        <f t="shared" ref="A5139:A5145" si="120">DATE(1999,12,13)</f>
        <v>36507</v>
      </c>
      <c r="B5139" s="3">
        <f>DATE(2000,6,26)</f>
        <v>36703</v>
      </c>
      <c r="C5139" s="2" t="s">
        <v>95</v>
      </c>
      <c r="D5139" s="2" t="s">
        <v>15906</v>
      </c>
      <c r="E5139" s="2" t="s">
        <v>15907</v>
      </c>
      <c r="F5139" s="4">
        <v>7375</v>
      </c>
      <c r="G5139" s="2" t="s">
        <v>223</v>
      </c>
      <c r="H5139" s="2" t="s">
        <v>34</v>
      </c>
      <c r="I5139" s="2" t="s">
        <v>12617</v>
      </c>
      <c r="J5139" s="2" t="s">
        <v>12618</v>
      </c>
      <c r="K5139" s="2" t="s">
        <v>223</v>
      </c>
      <c r="L5139" s="2" t="s">
        <v>34</v>
      </c>
      <c r="M5139" s="2"/>
      <c r="N5139" s="4">
        <v>11</v>
      </c>
      <c r="O5139" s="9">
        <v>10.4375</v>
      </c>
      <c r="P5139" s="2" t="s">
        <v>15908</v>
      </c>
      <c r="Q5139" s="6">
        <v>100</v>
      </c>
      <c r="R5139" s="6">
        <v>7.4</v>
      </c>
      <c r="S5139" s="5">
        <v>-0.5</v>
      </c>
      <c r="T5139" s="7">
        <v>-0.76200000000000001</v>
      </c>
      <c r="U5139" s="5">
        <v>0.2</v>
      </c>
      <c r="V5139" s="7">
        <v>-9.8000000000000004E-2</v>
      </c>
      <c r="W5139" s="4">
        <v>3</v>
      </c>
      <c r="X5139" s="7">
        <v>5.0620000000000003</v>
      </c>
      <c r="Y5139" s="7">
        <v>5.3129999999999997</v>
      </c>
      <c r="Z5139" s="4">
        <v>5</v>
      </c>
      <c r="AA5139" s="6">
        <v>5.71</v>
      </c>
      <c r="AB5139" s="2" t="s">
        <v>86</v>
      </c>
      <c r="AC5139" s="6">
        <v>13.74</v>
      </c>
    </row>
    <row r="5140" spans="1:29" ht="130" x14ac:dyDescent="0.15">
      <c r="A5140" s="3">
        <f t="shared" si="120"/>
        <v>36507</v>
      </c>
      <c r="B5140" s="3">
        <f>DATE(2000,6,16)</f>
        <v>36693</v>
      </c>
      <c r="C5140" s="2" t="s">
        <v>95</v>
      </c>
      <c r="D5140" s="2" t="s">
        <v>15909</v>
      </c>
      <c r="E5140" s="2" t="s">
        <v>92</v>
      </c>
      <c r="F5140" s="4">
        <v>6798</v>
      </c>
      <c r="G5140" s="2" t="s">
        <v>53</v>
      </c>
      <c r="H5140" s="2" t="s">
        <v>34</v>
      </c>
      <c r="I5140" s="2" t="s">
        <v>15910</v>
      </c>
      <c r="J5140" s="2" t="s">
        <v>92</v>
      </c>
      <c r="K5140" s="2" t="s">
        <v>53</v>
      </c>
      <c r="L5140" s="2" t="s">
        <v>34</v>
      </c>
      <c r="M5140" s="7">
        <v>89.623999999999995</v>
      </c>
      <c r="N5140" s="7">
        <v>15.125</v>
      </c>
      <c r="O5140" s="7">
        <v>15.438000000000001</v>
      </c>
      <c r="P5140" s="2" t="s">
        <v>15911</v>
      </c>
      <c r="Q5140" s="6">
        <v>100</v>
      </c>
      <c r="R5140" s="6">
        <v>10.75</v>
      </c>
      <c r="S5140" s="5">
        <v>10</v>
      </c>
      <c r="T5140" s="7">
        <v>28.274999999999999</v>
      </c>
      <c r="U5140" s="5">
        <v>16.5</v>
      </c>
      <c r="V5140" s="6">
        <v>0.19</v>
      </c>
      <c r="W5140" s="7">
        <v>7.6879999999999997</v>
      </c>
      <c r="X5140" s="6">
        <v>7.75</v>
      </c>
      <c r="Y5140" s="9">
        <v>8.8125</v>
      </c>
      <c r="Z5140" s="9">
        <v>8.9375</v>
      </c>
      <c r="AA5140" s="6">
        <v>10.56</v>
      </c>
      <c r="AB5140" s="7">
        <v>41.337000000000003</v>
      </c>
      <c r="AC5140" s="6">
        <v>4.47</v>
      </c>
    </row>
    <row r="5141" spans="1:29" ht="91" x14ac:dyDescent="0.15">
      <c r="A5141" s="3">
        <f t="shared" si="120"/>
        <v>36507</v>
      </c>
      <c r="B5141" s="3">
        <f>DATE(2000,2,9)</f>
        <v>36565</v>
      </c>
      <c r="C5141" s="2" t="s">
        <v>95</v>
      </c>
      <c r="D5141" s="2" t="s">
        <v>15912</v>
      </c>
      <c r="E5141" s="2" t="s">
        <v>15913</v>
      </c>
      <c r="F5141" s="4">
        <v>4822</v>
      </c>
      <c r="G5141" s="2" t="s">
        <v>63</v>
      </c>
      <c r="H5141" s="2" t="s">
        <v>34</v>
      </c>
      <c r="I5141" s="2" t="s">
        <v>15914</v>
      </c>
      <c r="J5141" s="2" t="s">
        <v>15915</v>
      </c>
      <c r="K5141" s="2" t="s">
        <v>223</v>
      </c>
      <c r="L5141" s="2" t="s">
        <v>34</v>
      </c>
      <c r="M5141" s="7">
        <v>625.25699999999995</v>
      </c>
      <c r="N5141" s="7">
        <v>21.687999999999999</v>
      </c>
      <c r="O5141" s="6">
        <v>20.75</v>
      </c>
      <c r="P5141" s="2" t="s">
        <v>15916</v>
      </c>
      <c r="Q5141" s="6">
        <v>100</v>
      </c>
      <c r="R5141" s="6">
        <v>9.8699999999999992</v>
      </c>
      <c r="S5141" s="5">
        <v>10</v>
      </c>
      <c r="T5141" s="7">
        <v>-8.0060000000000002</v>
      </c>
      <c r="U5141" s="5">
        <v>0.8</v>
      </c>
      <c r="V5141" s="6">
        <v>-0.68</v>
      </c>
      <c r="W5141" s="7">
        <v>5.0629999999999997</v>
      </c>
      <c r="X5141" s="5">
        <v>5.5</v>
      </c>
      <c r="Y5141" s="7">
        <v>6.9379999999999997</v>
      </c>
      <c r="Z5141" s="7">
        <v>6.9059999999999997</v>
      </c>
      <c r="AA5141" s="6">
        <v>16.46</v>
      </c>
      <c r="AB5141" s="2" t="s">
        <v>86</v>
      </c>
      <c r="AC5141" s="6">
        <v>31.01</v>
      </c>
    </row>
    <row r="5142" spans="1:29" ht="117" x14ac:dyDescent="0.15">
      <c r="A5142" s="3">
        <f t="shared" si="120"/>
        <v>36507</v>
      </c>
      <c r="B5142" s="3">
        <f>DATE(2000,3,21)</f>
        <v>36606</v>
      </c>
      <c r="C5142" s="2" t="s">
        <v>95</v>
      </c>
      <c r="D5142" s="2" t="s">
        <v>5719</v>
      </c>
      <c r="E5142" s="2" t="s">
        <v>612</v>
      </c>
      <c r="F5142" s="4">
        <v>1311</v>
      </c>
      <c r="G5142" s="2" t="s">
        <v>148</v>
      </c>
      <c r="H5142" s="2" t="s">
        <v>34</v>
      </c>
      <c r="I5142" s="2" t="s">
        <v>5720</v>
      </c>
      <c r="J5142" s="2" t="s">
        <v>1608</v>
      </c>
      <c r="K5142" s="2" t="s">
        <v>148</v>
      </c>
      <c r="L5142" s="2" t="s">
        <v>34</v>
      </c>
      <c r="M5142" s="7">
        <v>245.16399999999999</v>
      </c>
      <c r="N5142" s="5">
        <v>5.5</v>
      </c>
      <c r="O5142" s="5">
        <v>5.5</v>
      </c>
      <c r="P5142" s="2" t="s">
        <v>15917</v>
      </c>
      <c r="Q5142" s="6">
        <v>100</v>
      </c>
      <c r="R5142" s="6">
        <v>4.75</v>
      </c>
      <c r="S5142" s="5">
        <v>0.4</v>
      </c>
      <c r="T5142" s="6">
        <v>1.1200000000000001</v>
      </c>
      <c r="U5142" s="5">
        <v>3.5</v>
      </c>
      <c r="V5142" s="6">
        <v>0.19</v>
      </c>
      <c r="W5142" s="7">
        <v>5.125</v>
      </c>
      <c r="X5142" s="5">
        <v>3.5</v>
      </c>
      <c r="Y5142" s="7">
        <v>4.625</v>
      </c>
      <c r="Z5142" s="7">
        <v>4.625</v>
      </c>
      <c r="AA5142" s="6">
        <v>1.91</v>
      </c>
      <c r="AB5142" s="2" t="s">
        <v>86</v>
      </c>
      <c r="AC5142" s="6">
        <v>1.86</v>
      </c>
    </row>
    <row r="5143" spans="1:29" ht="91" x14ac:dyDescent="0.15">
      <c r="A5143" s="3">
        <f t="shared" si="120"/>
        <v>36507</v>
      </c>
      <c r="B5143" s="3">
        <f>DATE(2000,3,17)</f>
        <v>36602</v>
      </c>
      <c r="C5143" s="2" t="s">
        <v>95</v>
      </c>
      <c r="D5143" s="2" t="s">
        <v>15918</v>
      </c>
      <c r="E5143" s="2" t="s">
        <v>15919</v>
      </c>
      <c r="F5143" s="4">
        <v>3661</v>
      </c>
      <c r="G5143" s="2" t="s">
        <v>921</v>
      </c>
      <c r="H5143" s="2" t="s">
        <v>34</v>
      </c>
      <c r="I5143" s="2" t="s">
        <v>10634</v>
      </c>
      <c r="J5143" s="2" t="s">
        <v>10635</v>
      </c>
      <c r="K5143" s="2" t="s">
        <v>921</v>
      </c>
      <c r="L5143" s="2" t="s">
        <v>34</v>
      </c>
      <c r="M5143" s="7">
        <v>311.22199999999998</v>
      </c>
      <c r="N5143" s="7">
        <v>12.188000000000001</v>
      </c>
      <c r="O5143" s="7">
        <v>10.063000000000001</v>
      </c>
      <c r="P5143" s="2" t="s">
        <v>15920</v>
      </c>
      <c r="Q5143" s="6">
        <v>100</v>
      </c>
      <c r="R5143" s="6">
        <v>35.479999999999997</v>
      </c>
      <c r="S5143" s="5">
        <v>7.1</v>
      </c>
      <c r="T5143" s="7">
        <v>15.154999999999999</v>
      </c>
      <c r="U5143" s="5">
        <v>9.3000000000000007</v>
      </c>
      <c r="V5143" s="6">
        <v>1.19</v>
      </c>
      <c r="W5143" s="5">
        <v>20.5</v>
      </c>
      <c r="X5143" s="7">
        <v>23.125</v>
      </c>
      <c r="Y5143" s="7">
        <v>24.125</v>
      </c>
      <c r="Z5143" s="5">
        <v>29.5</v>
      </c>
      <c r="AA5143" s="6">
        <v>5.78</v>
      </c>
      <c r="AB5143" s="7">
        <v>16.393000000000001</v>
      </c>
      <c r="AC5143" s="6">
        <v>13.61</v>
      </c>
    </row>
    <row r="5144" spans="1:29" ht="208" x14ac:dyDescent="0.15">
      <c r="A5144" s="3">
        <f t="shared" si="120"/>
        <v>36507</v>
      </c>
      <c r="B5144" s="3">
        <f>DATE(2000,3,14)</f>
        <v>36599</v>
      </c>
      <c r="C5144" s="2" t="s">
        <v>95</v>
      </c>
      <c r="D5144" s="2" t="s">
        <v>15921</v>
      </c>
      <c r="E5144" s="2" t="s">
        <v>6136</v>
      </c>
      <c r="F5144" s="4">
        <v>3714</v>
      </c>
      <c r="G5144" s="2" t="s">
        <v>105</v>
      </c>
      <c r="H5144" s="2" t="s">
        <v>34</v>
      </c>
      <c r="I5144" s="2" t="s">
        <v>51</v>
      </c>
      <c r="J5144" s="2" t="s">
        <v>52</v>
      </c>
      <c r="K5144" s="2" t="s">
        <v>53</v>
      </c>
      <c r="L5144" s="2" t="s">
        <v>34</v>
      </c>
      <c r="M5144" s="2"/>
      <c r="N5144" s="2"/>
      <c r="O5144" s="2"/>
      <c r="P5144" s="2" t="s">
        <v>15922</v>
      </c>
      <c r="Q5144" s="6">
        <v>100</v>
      </c>
      <c r="R5144" s="6">
        <v>21.5</v>
      </c>
      <c r="S5144" s="5">
        <v>17.2</v>
      </c>
      <c r="T5144" s="7">
        <v>79.774000000000001</v>
      </c>
      <c r="U5144" s="5">
        <v>17.7</v>
      </c>
      <c r="V5144" s="6">
        <v>1.67</v>
      </c>
      <c r="W5144" s="6">
        <v>13.75</v>
      </c>
      <c r="X5144" s="4">
        <v>15</v>
      </c>
      <c r="Y5144" s="5">
        <v>15.5</v>
      </c>
      <c r="Z5144" s="7">
        <v>17.937999999999999</v>
      </c>
      <c r="AA5144" s="6">
        <v>10.29</v>
      </c>
      <c r="AB5144" s="7">
        <v>7.3330000000000002</v>
      </c>
      <c r="AC5144" s="2"/>
    </row>
    <row r="5145" spans="1:29" ht="156" x14ac:dyDescent="0.15">
      <c r="A5145" s="3">
        <f t="shared" si="120"/>
        <v>36507</v>
      </c>
      <c r="B5145" s="3">
        <f>DATE(2000,3,1)</f>
        <v>36586</v>
      </c>
      <c r="C5145" s="2" t="s">
        <v>95</v>
      </c>
      <c r="D5145" s="2" t="s">
        <v>15923</v>
      </c>
      <c r="E5145" s="2" t="s">
        <v>12848</v>
      </c>
      <c r="F5145" s="4">
        <v>7373</v>
      </c>
      <c r="G5145" s="2" t="s">
        <v>223</v>
      </c>
      <c r="H5145" s="2" t="s">
        <v>34</v>
      </c>
      <c r="I5145" s="2" t="s">
        <v>15924</v>
      </c>
      <c r="J5145" s="2" t="s">
        <v>15925</v>
      </c>
      <c r="K5145" s="2" t="s">
        <v>223</v>
      </c>
      <c r="L5145" s="2" t="s">
        <v>34</v>
      </c>
      <c r="M5145" s="12">
        <v>2820.9639999999999</v>
      </c>
      <c r="N5145" s="5">
        <v>54.5</v>
      </c>
      <c r="O5145" s="7">
        <v>51.438000000000002</v>
      </c>
      <c r="P5145" s="2" t="s">
        <v>15926</v>
      </c>
      <c r="Q5145" s="6">
        <v>100</v>
      </c>
      <c r="R5145" s="6">
        <v>68.55</v>
      </c>
      <c r="S5145" s="5">
        <v>-190.8</v>
      </c>
      <c r="T5145" s="7">
        <v>86.814999999999998</v>
      </c>
      <c r="U5145" s="5">
        <v>6.7</v>
      </c>
      <c r="V5145" s="6">
        <v>-1.28</v>
      </c>
      <c r="W5145" s="7">
        <v>48.188000000000002</v>
      </c>
      <c r="X5145" s="7">
        <v>50.875</v>
      </c>
      <c r="Y5145" s="7">
        <v>43.813000000000002</v>
      </c>
      <c r="Z5145" s="7">
        <v>40.875</v>
      </c>
      <c r="AA5145" s="6">
        <v>85.8</v>
      </c>
      <c r="AB5145" s="2" t="s">
        <v>86</v>
      </c>
      <c r="AC5145" s="6">
        <v>138.15</v>
      </c>
    </row>
    <row r="5146" spans="1:29" ht="52" x14ac:dyDescent="0.15">
      <c r="A5146" s="3">
        <f>DATE(1999,12,14)</f>
        <v>36508</v>
      </c>
      <c r="B5146" s="3">
        <f>DATE(2000,5,31)</f>
        <v>36677</v>
      </c>
      <c r="C5146" s="2" t="s">
        <v>95</v>
      </c>
      <c r="D5146" s="2" t="s">
        <v>15927</v>
      </c>
      <c r="E5146" s="2" t="s">
        <v>15928</v>
      </c>
      <c r="F5146" s="4">
        <v>6035</v>
      </c>
      <c r="G5146" s="2" t="s">
        <v>33</v>
      </c>
      <c r="H5146" s="2" t="s">
        <v>34</v>
      </c>
      <c r="I5146" s="2" t="s">
        <v>15929</v>
      </c>
      <c r="J5146" s="2" t="s">
        <v>159</v>
      </c>
      <c r="K5146" s="2" t="s">
        <v>37</v>
      </c>
      <c r="L5146" s="2" t="s">
        <v>34</v>
      </c>
      <c r="M5146" s="2"/>
      <c r="N5146" s="2"/>
      <c r="O5146" s="2"/>
      <c r="P5146" s="2" t="s">
        <v>15930</v>
      </c>
      <c r="Q5146" s="6">
        <v>100</v>
      </c>
      <c r="R5146" s="2"/>
      <c r="S5146" s="5">
        <v>0.3</v>
      </c>
      <c r="T5146" s="6">
        <v>0.48</v>
      </c>
      <c r="U5146" s="5">
        <v>14</v>
      </c>
      <c r="V5146" s="6">
        <v>0.41</v>
      </c>
      <c r="W5146" s="7">
        <v>14.875</v>
      </c>
      <c r="X5146" s="7">
        <v>14.375</v>
      </c>
      <c r="Y5146" s="7">
        <v>14.375</v>
      </c>
      <c r="Z5146" s="5">
        <v>14.5</v>
      </c>
      <c r="AA5146" s="6">
        <v>0.73</v>
      </c>
      <c r="AB5146" s="7">
        <v>31.09</v>
      </c>
      <c r="AC5146" s="2"/>
    </row>
    <row r="5147" spans="1:29" ht="325" x14ac:dyDescent="0.15">
      <c r="A5147" s="3">
        <f>DATE(1999,12,14)</f>
        <v>36508</v>
      </c>
      <c r="B5147" s="2"/>
      <c r="C5147" s="2" t="s">
        <v>30</v>
      </c>
      <c r="D5147" s="2" t="s">
        <v>12485</v>
      </c>
      <c r="E5147" s="2" t="s">
        <v>12486</v>
      </c>
      <c r="F5147" s="4">
        <v>2891</v>
      </c>
      <c r="G5147" s="2" t="s">
        <v>98</v>
      </c>
      <c r="H5147" s="2" t="s">
        <v>34</v>
      </c>
      <c r="I5147" s="2" t="s">
        <v>11831</v>
      </c>
      <c r="J5147" s="2" t="s">
        <v>676</v>
      </c>
      <c r="K5147" s="2" t="s">
        <v>358</v>
      </c>
      <c r="L5147" s="2" t="s">
        <v>34</v>
      </c>
      <c r="M5147" s="7">
        <v>618.68299999999999</v>
      </c>
      <c r="N5147" s="6">
        <v>7.75</v>
      </c>
      <c r="O5147" s="7">
        <v>7.3129999999999997</v>
      </c>
      <c r="P5147" s="2" t="s">
        <v>15931</v>
      </c>
      <c r="Q5147" s="2"/>
      <c r="R5147" s="6">
        <v>45</v>
      </c>
      <c r="S5147" s="5">
        <v>107.5</v>
      </c>
      <c r="T5147" s="7">
        <v>160.34899999999999</v>
      </c>
      <c r="U5147" s="5">
        <v>20.100000000000001</v>
      </c>
      <c r="V5147" s="6">
        <v>4.67</v>
      </c>
      <c r="W5147" s="7">
        <v>35.188000000000002</v>
      </c>
      <c r="X5147" s="7">
        <v>32.563000000000002</v>
      </c>
      <c r="Y5147" s="4">
        <v>41</v>
      </c>
      <c r="Z5147" s="9">
        <v>41.6875</v>
      </c>
      <c r="AA5147" s="6">
        <v>23.04</v>
      </c>
      <c r="AB5147" s="7">
        <v>11.404999999999999</v>
      </c>
      <c r="AC5147" s="6">
        <v>420.51</v>
      </c>
    </row>
    <row r="5148" spans="1:29" ht="143" x14ac:dyDescent="0.15">
      <c r="A5148" s="3">
        <f>DATE(1999,12,14)</f>
        <v>36508</v>
      </c>
      <c r="B5148" s="3">
        <f>DATE(2000,3,15)</f>
        <v>36600</v>
      </c>
      <c r="C5148" s="2" t="s">
        <v>95</v>
      </c>
      <c r="D5148" s="2" t="s">
        <v>15932</v>
      </c>
      <c r="E5148" s="2" t="s">
        <v>15933</v>
      </c>
      <c r="F5148" s="4">
        <v>7372</v>
      </c>
      <c r="G5148" s="2" t="s">
        <v>551</v>
      </c>
      <c r="H5148" s="2" t="s">
        <v>34</v>
      </c>
      <c r="I5148" s="2" t="s">
        <v>278</v>
      </c>
      <c r="J5148" s="2" t="s">
        <v>52</v>
      </c>
      <c r="K5148" s="2" t="s">
        <v>53</v>
      </c>
      <c r="L5148" s="2" t="s">
        <v>34</v>
      </c>
      <c r="M5148" s="2"/>
      <c r="N5148" s="2"/>
      <c r="O5148" s="2"/>
      <c r="P5148" s="2" t="s">
        <v>15934</v>
      </c>
      <c r="Q5148" s="6">
        <v>82.93</v>
      </c>
      <c r="R5148" s="6">
        <v>48.38</v>
      </c>
      <c r="S5148" s="5">
        <v>331.9</v>
      </c>
      <c r="T5148" s="7">
        <v>620.71100000000001</v>
      </c>
      <c r="U5148" s="5">
        <v>9.6999999999999993</v>
      </c>
      <c r="V5148" s="6">
        <v>2.54</v>
      </c>
      <c r="W5148" s="5">
        <v>44.5</v>
      </c>
      <c r="X5148" s="7">
        <v>51.875</v>
      </c>
      <c r="Y5148" s="6">
        <v>54.75</v>
      </c>
      <c r="Z5148" s="7">
        <v>53.813000000000002</v>
      </c>
      <c r="AA5148" s="6">
        <v>129.47999999999999</v>
      </c>
      <c r="AB5148" s="7">
        <v>15.637</v>
      </c>
      <c r="AC5148" s="2"/>
    </row>
    <row r="5149" spans="1:29" ht="182" x14ac:dyDescent="0.15">
      <c r="A5149" s="3">
        <f>DATE(1999,12,14)</f>
        <v>36508</v>
      </c>
      <c r="B5149" s="3">
        <f>DATE(2000,5,25)</f>
        <v>36671</v>
      </c>
      <c r="C5149" s="2" t="s">
        <v>95</v>
      </c>
      <c r="D5149" s="2" t="s">
        <v>10467</v>
      </c>
      <c r="E5149" s="2" t="s">
        <v>612</v>
      </c>
      <c r="F5149" s="4">
        <v>1311</v>
      </c>
      <c r="G5149" s="2" t="s">
        <v>148</v>
      </c>
      <c r="H5149" s="2" t="s">
        <v>34</v>
      </c>
      <c r="I5149" s="2" t="s">
        <v>15935</v>
      </c>
      <c r="J5149" s="2" t="s">
        <v>1435</v>
      </c>
      <c r="K5149" s="2" t="s">
        <v>148</v>
      </c>
      <c r="L5149" s="2" t="s">
        <v>34</v>
      </c>
      <c r="M5149" s="12">
        <v>8696.7289999999994</v>
      </c>
      <c r="N5149" s="6">
        <v>33.25</v>
      </c>
      <c r="O5149" s="6">
        <v>34.75</v>
      </c>
      <c r="P5149" s="2" t="s">
        <v>15936</v>
      </c>
      <c r="Q5149" s="6">
        <v>100</v>
      </c>
      <c r="R5149" s="6">
        <v>6.35</v>
      </c>
      <c r="S5149" s="5">
        <v>17.2</v>
      </c>
      <c r="T5149" s="7">
        <v>78.945999999999998</v>
      </c>
      <c r="U5149" s="5">
        <v>6.4</v>
      </c>
      <c r="V5149" s="6">
        <v>0.34</v>
      </c>
      <c r="W5149" s="7">
        <v>3.125</v>
      </c>
      <c r="X5149" s="7">
        <v>3.875</v>
      </c>
      <c r="Y5149" s="7">
        <v>3.625</v>
      </c>
      <c r="Z5149" s="9">
        <v>3.9375</v>
      </c>
      <c r="AA5149" s="6">
        <v>36.729999999999997</v>
      </c>
      <c r="AB5149" s="7">
        <v>13.948</v>
      </c>
      <c r="AC5149" s="5">
        <v>234</v>
      </c>
    </row>
    <row r="5150" spans="1:29" ht="208" x14ac:dyDescent="0.15">
      <c r="A5150" s="3">
        <f>DATE(1999,12,15)</f>
        <v>36509</v>
      </c>
      <c r="B5150" s="3">
        <f>DATE(2000,5,18)</f>
        <v>36664</v>
      </c>
      <c r="C5150" s="2" t="s">
        <v>95</v>
      </c>
      <c r="D5150" s="2" t="s">
        <v>15937</v>
      </c>
      <c r="E5150" s="2" t="s">
        <v>2855</v>
      </c>
      <c r="F5150" s="4">
        <v>6022</v>
      </c>
      <c r="G5150" s="2" t="s">
        <v>37</v>
      </c>
      <c r="H5150" s="2" t="s">
        <v>34</v>
      </c>
      <c r="I5150" s="2" t="s">
        <v>8064</v>
      </c>
      <c r="J5150" s="2" t="s">
        <v>159</v>
      </c>
      <c r="K5150" s="2" t="s">
        <v>37</v>
      </c>
      <c r="L5150" s="2" t="s">
        <v>34</v>
      </c>
      <c r="M5150" s="7">
        <v>505.78300000000002</v>
      </c>
      <c r="N5150" s="7">
        <v>38.625</v>
      </c>
      <c r="O5150" s="5">
        <v>39.5</v>
      </c>
      <c r="P5150" s="2" t="s">
        <v>15938</v>
      </c>
      <c r="Q5150" s="6">
        <v>100</v>
      </c>
      <c r="R5150" s="6">
        <v>25.64</v>
      </c>
      <c r="S5150" s="5">
        <v>6.5</v>
      </c>
      <c r="T5150" s="2"/>
      <c r="U5150" s="5">
        <v>6.6</v>
      </c>
      <c r="V5150" s="7">
        <v>1.325</v>
      </c>
      <c r="W5150" s="7">
        <v>22.875</v>
      </c>
      <c r="X5150" s="5">
        <v>24.5</v>
      </c>
      <c r="Y5150" s="5">
        <v>24.5</v>
      </c>
      <c r="Z5150" s="5">
        <v>24.5</v>
      </c>
      <c r="AA5150" s="6">
        <v>4.8099999999999996</v>
      </c>
      <c r="AB5150" s="7">
        <v>41.061</v>
      </c>
      <c r="AC5150" s="2"/>
    </row>
    <row r="5151" spans="1:29" ht="91" x14ac:dyDescent="0.15">
      <c r="A5151" s="3">
        <f>DATE(1999,12,15)</f>
        <v>36509</v>
      </c>
      <c r="B5151" s="2"/>
      <c r="C5151" s="2" t="s">
        <v>30</v>
      </c>
      <c r="D5151" s="2" t="s">
        <v>15939</v>
      </c>
      <c r="E5151" s="2" t="s">
        <v>7410</v>
      </c>
      <c r="F5151" s="4">
        <v>7372</v>
      </c>
      <c r="G5151" s="2" t="s">
        <v>551</v>
      </c>
      <c r="H5151" s="2" t="s">
        <v>34</v>
      </c>
      <c r="I5151" s="2" t="s">
        <v>15940</v>
      </c>
      <c r="J5151" s="2" t="s">
        <v>15941</v>
      </c>
      <c r="K5151" s="2" t="s">
        <v>551</v>
      </c>
      <c r="L5151" s="2" t="s">
        <v>885</v>
      </c>
      <c r="M5151" s="2"/>
      <c r="N5151" s="2"/>
      <c r="O5151" s="2"/>
      <c r="P5151" s="2" t="s">
        <v>15942</v>
      </c>
      <c r="Q5151" s="2"/>
      <c r="R5151" s="6">
        <v>11</v>
      </c>
      <c r="S5151" s="5">
        <v>-7.6</v>
      </c>
      <c r="T5151" s="5">
        <v>-8</v>
      </c>
      <c r="U5151" s="5">
        <v>3.1</v>
      </c>
      <c r="V5151" s="6">
        <v>-0.86</v>
      </c>
      <c r="W5151" s="6">
        <v>9.25</v>
      </c>
      <c r="X5151" s="7">
        <v>8.375</v>
      </c>
      <c r="Y5151" s="7">
        <v>9.8130000000000006</v>
      </c>
      <c r="Z5151" s="6">
        <v>10.25</v>
      </c>
      <c r="AA5151" s="6">
        <v>9.32</v>
      </c>
      <c r="AB5151" s="2" t="s">
        <v>86</v>
      </c>
      <c r="AC5151" s="6">
        <v>38.869999999999997</v>
      </c>
    </row>
    <row r="5152" spans="1:29" ht="117" x14ac:dyDescent="0.15">
      <c r="A5152" s="3">
        <f>DATE(1999,12,15)</f>
        <v>36509</v>
      </c>
      <c r="B5152" s="3">
        <f>DATE(2000,6,16)</f>
        <v>36693</v>
      </c>
      <c r="C5152" s="2" t="s">
        <v>95</v>
      </c>
      <c r="D5152" s="2" t="s">
        <v>15943</v>
      </c>
      <c r="E5152" s="2" t="s">
        <v>15944</v>
      </c>
      <c r="F5152" s="4">
        <v>6021</v>
      </c>
      <c r="G5152" s="2" t="s">
        <v>37</v>
      </c>
      <c r="H5152" s="2" t="s">
        <v>34</v>
      </c>
      <c r="I5152" s="2" t="s">
        <v>13707</v>
      </c>
      <c r="J5152" s="2" t="s">
        <v>36</v>
      </c>
      <c r="K5152" s="2" t="s">
        <v>37</v>
      </c>
      <c r="L5152" s="2" t="s">
        <v>34</v>
      </c>
      <c r="M5152" s="12">
        <v>11328.199000000001</v>
      </c>
      <c r="N5152" s="7">
        <v>29.875</v>
      </c>
      <c r="O5152" s="7">
        <v>29.437999999999999</v>
      </c>
      <c r="P5152" s="2" t="s">
        <v>15945</v>
      </c>
      <c r="Q5152" s="6">
        <v>100</v>
      </c>
      <c r="R5152" s="6">
        <v>21.83</v>
      </c>
      <c r="S5152" s="5">
        <v>6.4</v>
      </c>
      <c r="T5152" s="2"/>
      <c r="U5152" s="5">
        <v>9.8000000000000007</v>
      </c>
      <c r="V5152" s="6">
        <v>1.18</v>
      </c>
      <c r="W5152" s="7">
        <v>18.125</v>
      </c>
      <c r="X5152" s="5">
        <v>22.5</v>
      </c>
      <c r="Y5152" s="7">
        <v>21.625</v>
      </c>
      <c r="Z5152" s="5">
        <v>21.5</v>
      </c>
      <c r="AA5152" s="6">
        <v>5.59</v>
      </c>
      <c r="AB5152" s="7">
        <v>15.19</v>
      </c>
      <c r="AC5152" s="2"/>
    </row>
    <row r="5153" spans="1:29" ht="182" x14ac:dyDescent="0.15">
      <c r="A5153" s="3">
        <f>DATE(1999,12,15)</f>
        <v>36509</v>
      </c>
      <c r="B5153" s="3">
        <f>DATE(2000,8,15)</f>
        <v>36753</v>
      </c>
      <c r="C5153" s="2" t="s">
        <v>95</v>
      </c>
      <c r="D5153" s="2" t="s">
        <v>15946</v>
      </c>
      <c r="E5153" s="2" t="s">
        <v>15947</v>
      </c>
      <c r="F5153" s="4">
        <v>2844</v>
      </c>
      <c r="G5153" s="2" t="s">
        <v>358</v>
      </c>
      <c r="H5153" s="2" t="s">
        <v>34</v>
      </c>
      <c r="I5153" s="2" t="s">
        <v>14301</v>
      </c>
      <c r="J5153" s="2" t="s">
        <v>14302</v>
      </c>
      <c r="K5153" s="2" t="s">
        <v>226</v>
      </c>
      <c r="L5153" s="2" t="s">
        <v>34</v>
      </c>
      <c r="M5153" s="12">
        <v>2165.9450000000002</v>
      </c>
      <c r="N5153" s="4">
        <v>15</v>
      </c>
      <c r="O5153" s="4">
        <v>15</v>
      </c>
      <c r="P5153" s="2" t="s">
        <v>15948</v>
      </c>
      <c r="Q5153" s="6">
        <v>31.07</v>
      </c>
      <c r="R5153" s="6">
        <v>2.73</v>
      </c>
      <c r="S5153" s="5">
        <v>-93.3</v>
      </c>
      <c r="T5153" s="7">
        <v>-15.932</v>
      </c>
      <c r="U5153" s="5">
        <v>-3.4</v>
      </c>
      <c r="V5153" s="6">
        <v>-2.37</v>
      </c>
      <c r="W5153" s="7">
        <v>2.125</v>
      </c>
      <c r="X5153" s="7">
        <v>2.375</v>
      </c>
      <c r="Y5153" s="7">
        <v>2.125</v>
      </c>
      <c r="Z5153" s="7">
        <v>2.125</v>
      </c>
      <c r="AA5153" s="6">
        <v>39.35</v>
      </c>
      <c r="AB5153" s="2" t="s">
        <v>86</v>
      </c>
      <c r="AC5153" s="10">
        <v>1134.1199999999999</v>
      </c>
    </row>
    <row r="5154" spans="1:29" ht="117" x14ac:dyDescent="0.15">
      <c r="A5154" s="3">
        <f>DATE(1999,12,15)</f>
        <v>36509</v>
      </c>
      <c r="B5154" s="3">
        <f>DATE(2000,3,13)</f>
        <v>36598</v>
      </c>
      <c r="C5154" s="2" t="s">
        <v>95</v>
      </c>
      <c r="D5154" s="2" t="s">
        <v>15949</v>
      </c>
      <c r="E5154" s="2" t="s">
        <v>15950</v>
      </c>
      <c r="F5154" s="4">
        <v>7311</v>
      </c>
      <c r="G5154" s="2" t="s">
        <v>4563</v>
      </c>
      <c r="H5154" s="2" t="s">
        <v>34</v>
      </c>
      <c r="I5154" s="2" t="s">
        <v>15292</v>
      </c>
      <c r="J5154" s="2" t="s">
        <v>11946</v>
      </c>
      <c r="K5154" s="2" t="s">
        <v>551</v>
      </c>
      <c r="L5154" s="2" t="s">
        <v>34</v>
      </c>
      <c r="M5154" s="12">
        <v>14575.226000000001</v>
      </c>
      <c r="N5154" s="6">
        <v>199.75</v>
      </c>
      <c r="O5154" s="7">
        <v>221.56299999999999</v>
      </c>
      <c r="P5154" s="2" t="s">
        <v>15951</v>
      </c>
      <c r="Q5154" s="6">
        <v>100</v>
      </c>
      <c r="R5154" s="6">
        <v>25.72</v>
      </c>
      <c r="S5154" s="5">
        <v>-1.7</v>
      </c>
      <c r="T5154" s="7">
        <v>-1.2989999999999999</v>
      </c>
      <c r="U5154" s="5">
        <v>-0.7</v>
      </c>
      <c r="V5154" s="6">
        <v>-0.59</v>
      </c>
      <c r="W5154" s="5">
        <v>23.5</v>
      </c>
      <c r="X5154" s="4">
        <v>21</v>
      </c>
      <c r="Y5154" s="4">
        <v>24</v>
      </c>
      <c r="Z5154" s="7">
        <v>26.875</v>
      </c>
      <c r="AA5154" s="6">
        <v>20.32</v>
      </c>
      <c r="AB5154" s="2" t="s">
        <v>86</v>
      </c>
      <c r="AC5154" s="10">
        <v>2481.64</v>
      </c>
    </row>
    <row r="5155" spans="1:29" ht="52" x14ac:dyDescent="0.15">
      <c r="A5155" s="3">
        <f>DATE(1999,12,16)</f>
        <v>36510</v>
      </c>
      <c r="B5155" s="2"/>
      <c r="C5155" s="2" t="s">
        <v>87</v>
      </c>
      <c r="D5155" s="2" t="s">
        <v>15952</v>
      </c>
      <c r="E5155" s="2" t="s">
        <v>15953</v>
      </c>
      <c r="F5155" s="4">
        <v>7373</v>
      </c>
      <c r="G5155" s="2" t="s">
        <v>223</v>
      </c>
      <c r="H5155" s="2" t="s">
        <v>34</v>
      </c>
      <c r="I5155" s="2" t="s">
        <v>15954</v>
      </c>
      <c r="J5155" s="2" t="s">
        <v>15955</v>
      </c>
      <c r="K5155" s="2" t="s">
        <v>551</v>
      </c>
      <c r="L5155" s="2" t="s">
        <v>34</v>
      </c>
      <c r="M5155" s="12">
        <v>8616.5239999999994</v>
      </c>
      <c r="N5155" s="6">
        <v>245.75</v>
      </c>
      <c r="O5155" s="7">
        <v>252.875</v>
      </c>
      <c r="P5155" s="2" t="s">
        <v>15956</v>
      </c>
      <c r="Q5155" s="2"/>
      <c r="R5155" s="2"/>
      <c r="S5155" s="5">
        <v>-16.899999999999999</v>
      </c>
      <c r="T5155" s="7">
        <v>-15.385999999999999</v>
      </c>
      <c r="U5155" s="5">
        <v>-6.1</v>
      </c>
      <c r="V5155" s="6">
        <v>-0.75</v>
      </c>
      <c r="W5155" s="7">
        <v>13.625</v>
      </c>
      <c r="X5155" s="6">
        <v>25.25</v>
      </c>
      <c r="Y5155" s="7">
        <v>37.563000000000002</v>
      </c>
      <c r="Z5155" s="7">
        <v>26.625</v>
      </c>
      <c r="AA5155" s="2"/>
      <c r="AB5155" s="2" t="s">
        <v>86</v>
      </c>
      <c r="AC5155" s="6">
        <v>92</v>
      </c>
    </row>
    <row r="5156" spans="1:29" ht="130" x14ac:dyDescent="0.15">
      <c r="A5156" s="3">
        <f>DATE(1999,12,16)</f>
        <v>36510</v>
      </c>
      <c r="B5156" s="3">
        <f>DATE(2000,9,14)</f>
        <v>36783</v>
      </c>
      <c r="C5156" s="2" t="s">
        <v>95</v>
      </c>
      <c r="D5156" s="2" t="s">
        <v>15957</v>
      </c>
      <c r="E5156" s="2" t="s">
        <v>1181</v>
      </c>
      <c r="F5156" s="4">
        <v>6021</v>
      </c>
      <c r="G5156" s="2" t="s">
        <v>37</v>
      </c>
      <c r="H5156" s="2" t="s">
        <v>34</v>
      </c>
      <c r="I5156" s="2" t="s">
        <v>639</v>
      </c>
      <c r="J5156" s="2" t="s">
        <v>36</v>
      </c>
      <c r="K5156" s="2" t="s">
        <v>37</v>
      </c>
      <c r="L5156" s="2" t="s">
        <v>34</v>
      </c>
      <c r="M5156" s="7">
        <v>85.001999999999995</v>
      </c>
      <c r="N5156" s="5">
        <v>17.5</v>
      </c>
      <c r="O5156" s="6">
        <v>15.75</v>
      </c>
      <c r="P5156" s="2" t="s">
        <v>15958</v>
      </c>
      <c r="Q5156" s="6">
        <v>100</v>
      </c>
      <c r="R5156" s="6">
        <v>21.2</v>
      </c>
      <c r="S5156" s="5">
        <v>5.2</v>
      </c>
      <c r="T5156" s="2"/>
      <c r="U5156" s="5">
        <v>18.3</v>
      </c>
      <c r="V5156" s="6">
        <v>1.37</v>
      </c>
      <c r="W5156" s="5">
        <v>18.5</v>
      </c>
      <c r="X5156" s="9">
        <v>18.4375</v>
      </c>
      <c r="Y5156" s="6">
        <v>18.75</v>
      </c>
      <c r="Z5156" s="7">
        <v>19.125</v>
      </c>
      <c r="AA5156" s="6">
        <v>3.46</v>
      </c>
      <c r="AB5156" s="7">
        <v>12.599</v>
      </c>
      <c r="AC5156" s="2"/>
    </row>
    <row r="5157" spans="1:29" ht="117" x14ac:dyDescent="0.15">
      <c r="A5157" s="3">
        <f>DATE(1999,12,17)</f>
        <v>36511</v>
      </c>
      <c r="B5157" s="2"/>
      <c r="C5157" s="2" t="s">
        <v>30</v>
      </c>
      <c r="D5157" s="2" t="s">
        <v>15959</v>
      </c>
      <c r="E5157" s="2" t="s">
        <v>15960</v>
      </c>
      <c r="F5157" s="4">
        <v>3845</v>
      </c>
      <c r="G5157" s="2" t="s">
        <v>226</v>
      </c>
      <c r="H5157" s="2" t="s">
        <v>34</v>
      </c>
      <c r="I5157" s="2" t="s">
        <v>15961</v>
      </c>
      <c r="J5157" s="2" t="s">
        <v>15962</v>
      </c>
      <c r="K5157" s="2" t="s">
        <v>226</v>
      </c>
      <c r="L5157" s="2" t="s">
        <v>34</v>
      </c>
      <c r="M5157" s="7">
        <v>55.652000000000001</v>
      </c>
      <c r="N5157" s="7">
        <v>12.125</v>
      </c>
      <c r="O5157" s="6">
        <v>11.75</v>
      </c>
      <c r="P5157" s="2" t="s">
        <v>15963</v>
      </c>
      <c r="Q5157" s="2"/>
      <c r="R5157" s="6">
        <v>12</v>
      </c>
      <c r="S5157" s="5">
        <v>6.3</v>
      </c>
      <c r="T5157" s="6">
        <v>7.69</v>
      </c>
      <c r="U5157" s="5">
        <v>6.5</v>
      </c>
      <c r="V5157" s="6">
        <v>0.76</v>
      </c>
      <c r="W5157" s="7">
        <v>6.875</v>
      </c>
      <c r="X5157" s="4">
        <v>7</v>
      </c>
      <c r="Y5157" s="7">
        <v>8.9380000000000006</v>
      </c>
      <c r="Z5157" s="6">
        <v>8.75</v>
      </c>
      <c r="AA5157" s="6">
        <v>8.0299999999999994</v>
      </c>
      <c r="AB5157" s="7">
        <v>16.021999999999998</v>
      </c>
      <c r="AC5157" s="6">
        <v>6.94</v>
      </c>
    </row>
    <row r="5158" spans="1:29" ht="130" x14ac:dyDescent="0.15">
      <c r="A5158" s="3">
        <f>DATE(1999,12,17)</f>
        <v>36511</v>
      </c>
      <c r="B5158" s="3">
        <f>DATE(2000,8,15)</f>
        <v>36753</v>
      </c>
      <c r="C5158" s="2" t="s">
        <v>95</v>
      </c>
      <c r="D5158" s="2" t="s">
        <v>15964</v>
      </c>
      <c r="E5158" s="2" t="s">
        <v>15965</v>
      </c>
      <c r="F5158" s="4">
        <v>3844</v>
      </c>
      <c r="G5158" s="2" t="s">
        <v>226</v>
      </c>
      <c r="H5158" s="2" t="s">
        <v>34</v>
      </c>
      <c r="I5158" s="2" t="s">
        <v>14301</v>
      </c>
      <c r="J5158" s="2" t="s">
        <v>14302</v>
      </c>
      <c r="K5158" s="2" t="s">
        <v>226</v>
      </c>
      <c r="L5158" s="2" t="s">
        <v>34</v>
      </c>
      <c r="M5158" s="12">
        <v>2284.623</v>
      </c>
      <c r="N5158" s="7">
        <v>14.438000000000001</v>
      </c>
      <c r="O5158" s="4">
        <v>14</v>
      </c>
      <c r="P5158" s="2" t="s">
        <v>15966</v>
      </c>
      <c r="Q5158" s="6">
        <v>20</v>
      </c>
      <c r="R5158" s="6">
        <v>8.26</v>
      </c>
      <c r="S5158" s="5">
        <v>-123.8</v>
      </c>
      <c r="T5158" s="7">
        <v>-22.233000000000001</v>
      </c>
      <c r="U5158" s="5">
        <v>2.6</v>
      </c>
      <c r="V5158" s="6">
        <v>-6.24</v>
      </c>
      <c r="W5158" s="7">
        <v>8.3130000000000006</v>
      </c>
      <c r="X5158" s="6">
        <v>8.75</v>
      </c>
      <c r="Y5158" s="7">
        <v>7.625</v>
      </c>
      <c r="Z5158" s="7">
        <v>7.375</v>
      </c>
      <c r="AA5158" s="6">
        <v>22.37</v>
      </c>
      <c r="AB5158" s="2" t="s">
        <v>86</v>
      </c>
      <c r="AC5158" s="10">
        <v>1134.1199999999999</v>
      </c>
    </row>
    <row r="5159" spans="1:29" ht="78" x14ac:dyDescent="0.15">
      <c r="A5159" s="3">
        <f>DATE(1999,12,17)</f>
        <v>36511</v>
      </c>
      <c r="B5159" s="2"/>
      <c r="C5159" s="2" t="s">
        <v>30</v>
      </c>
      <c r="D5159" s="2" t="s">
        <v>15967</v>
      </c>
      <c r="E5159" s="2" t="s">
        <v>15968</v>
      </c>
      <c r="F5159" s="4">
        <v>4923</v>
      </c>
      <c r="G5159" s="2" t="s">
        <v>439</v>
      </c>
      <c r="H5159" s="2" t="s">
        <v>34</v>
      </c>
      <c r="I5159" s="2" t="s">
        <v>51</v>
      </c>
      <c r="J5159" s="2" t="s">
        <v>52</v>
      </c>
      <c r="K5159" s="2" t="s">
        <v>53</v>
      </c>
      <c r="L5159" s="2" t="s">
        <v>34</v>
      </c>
      <c r="M5159" s="2"/>
      <c r="N5159" s="2"/>
      <c r="O5159" s="2"/>
      <c r="P5159" s="2" t="s">
        <v>15969</v>
      </c>
      <c r="Q5159" s="2"/>
      <c r="R5159" s="6">
        <v>4</v>
      </c>
      <c r="S5159" s="5">
        <v>0.2</v>
      </c>
      <c r="T5159" s="7">
        <v>2.4159999999999999</v>
      </c>
      <c r="U5159" s="5">
        <v>5.9</v>
      </c>
      <c r="V5159" s="6">
        <v>0.05</v>
      </c>
      <c r="W5159" s="7">
        <v>3.375</v>
      </c>
      <c r="X5159" s="7">
        <v>3.3130000000000002</v>
      </c>
      <c r="Y5159" s="6">
        <v>3.25</v>
      </c>
      <c r="Z5159" s="7">
        <v>3.125</v>
      </c>
      <c r="AA5159" s="6">
        <v>5.5</v>
      </c>
      <c r="AB5159" s="7">
        <v>47.978999999999999</v>
      </c>
      <c r="AC5159" s="2"/>
    </row>
    <row r="5160" spans="1:29" ht="104" x14ac:dyDescent="0.15">
      <c r="A5160" s="3">
        <f t="shared" ref="A5160:A5170" si="121">DATE(1999,12,20)</f>
        <v>36514</v>
      </c>
      <c r="B5160" s="3">
        <f>DATE(2000,2,9)</f>
        <v>36565</v>
      </c>
      <c r="C5160" s="2" t="s">
        <v>95</v>
      </c>
      <c r="D5160" s="2" t="s">
        <v>15970</v>
      </c>
      <c r="E5160" s="2" t="s">
        <v>15971</v>
      </c>
      <c r="F5160" s="4">
        <v>3661</v>
      </c>
      <c r="G5160" s="2" t="s">
        <v>921</v>
      </c>
      <c r="H5160" s="2" t="s">
        <v>34</v>
      </c>
      <c r="I5160" s="2" t="s">
        <v>15972</v>
      </c>
      <c r="J5160" s="2" t="s">
        <v>7339</v>
      </c>
      <c r="K5160" s="2" t="s">
        <v>551</v>
      </c>
      <c r="L5160" s="2" t="s">
        <v>1049</v>
      </c>
      <c r="M5160" s="2"/>
      <c r="N5160" s="2"/>
      <c r="O5160" s="2"/>
      <c r="P5160" s="2" t="s">
        <v>15973</v>
      </c>
      <c r="Q5160" s="6">
        <v>100</v>
      </c>
      <c r="R5160" s="6">
        <v>6.25</v>
      </c>
      <c r="S5160" s="5">
        <v>0.9</v>
      </c>
      <c r="T5160" s="7">
        <v>6.694</v>
      </c>
      <c r="U5160" s="5">
        <v>4.3</v>
      </c>
      <c r="V5160" s="7">
        <v>8.5000000000000006E-2</v>
      </c>
      <c r="W5160" s="7">
        <v>4.625</v>
      </c>
      <c r="X5160" s="7">
        <v>5.625</v>
      </c>
      <c r="Y5160" s="7">
        <v>5.9379999999999997</v>
      </c>
      <c r="Z5160" s="7">
        <v>5.875</v>
      </c>
      <c r="AA5160" s="6">
        <v>10.59</v>
      </c>
      <c r="AB5160" s="7">
        <v>57.92</v>
      </c>
      <c r="AC5160" s="6">
        <v>27.06</v>
      </c>
    </row>
    <row r="5161" spans="1:29" ht="52" x14ac:dyDescent="0.15">
      <c r="A5161" s="3">
        <f t="shared" si="121"/>
        <v>36514</v>
      </c>
      <c r="B5161" s="3">
        <f>DATE(2000,4,18)</f>
        <v>36634</v>
      </c>
      <c r="C5161" s="2" t="s">
        <v>95</v>
      </c>
      <c r="D5161" s="2" t="s">
        <v>15974</v>
      </c>
      <c r="E5161" s="2" t="s">
        <v>15975</v>
      </c>
      <c r="F5161" s="4">
        <v>6351</v>
      </c>
      <c r="G5161" s="2" t="s">
        <v>125</v>
      </c>
      <c r="H5161" s="2" t="s">
        <v>34</v>
      </c>
      <c r="I5161" s="2" t="s">
        <v>11339</v>
      </c>
      <c r="J5161" s="2" t="s">
        <v>515</v>
      </c>
      <c r="K5161" s="2" t="s">
        <v>125</v>
      </c>
      <c r="L5161" s="2" t="s">
        <v>34</v>
      </c>
      <c r="M5161" s="12">
        <v>7130.1109999999999</v>
      </c>
      <c r="N5161" s="7">
        <v>32.063000000000002</v>
      </c>
      <c r="O5161" s="4">
        <v>33</v>
      </c>
      <c r="P5161" s="2" t="s">
        <v>15976</v>
      </c>
      <c r="Q5161" s="6">
        <v>100</v>
      </c>
      <c r="R5161" s="6">
        <v>10</v>
      </c>
      <c r="S5161" s="5">
        <v>-50.9</v>
      </c>
      <c r="T5161" s="2"/>
      <c r="U5161" s="5">
        <v>16.600000000000001</v>
      </c>
      <c r="V5161" s="6">
        <v>-2.67</v>
      </c>
      <c r="W5161" s="7">
        <v>4.125</v>
      </c>
      <c r="X5161" s="7">
        <v>3.9380000000000002</v>
      </c>
      <c r="Y5161" s="6">
        <v>8.75</v>
      </c>
      <c r="Z5161" s="7">
        <v>8.8130000000000006</v>
      </c>
      <c r="AA5161" s="6">
        <v>19.170000000000002</v>
      </c>
      <c r="AB5161" s="2" t="s">
        <v>86</v>
      </c>
      <c r="AC5161" s="5">
        <v>175</v>
      </c>
    </row>
    <row r="5162" spans="1:29" ht="104" x14ac:dyDescent="0.15">
      <c r="A5162" s="3">
        <f t="shared" si="121"/>
        <v>36514</v>
      </c>
      <c r="B5162" s="3">
        <f>DATE(2000,3,13)</f>
        <v>36598</v>
      </c>
      <c r="C5162" s="2" t="s">
        <v>95</v>
      </c>
      <c r="D5162" s="2" t="s">
        <v>15977</v>
      </c>
      <c r="E5162" s="2" t="s">
        <v>15978</v>
      </c>
      <c r="F5162" s="4">
        <v>3674</v>
      </c>
      <c r="G5162" s="2" t="s">
        <v>137</v>
      </c>
      <c r="H5162" s="2" t="s">
        <v>34</v>
      </c>
      <c r="I5162" s="2" t="s">
        <v>15979</v>
      </c>
      <c r="J5162" s="2" t="s">
        <v>4865</v>
      </c>
      <c r="K5162" s="2" t="s">
        <v>137</v>
      </c>
      <c r="L5162" s="2" t="s">
        <v>34</v>
      </c>
      <c r="M5162" s="12">
        <v>12802.244000000001</v>
      </c>
      <c r="N5162" s="7">
        <v>66.313000000000002</v>
      </c>
      <c r="O5162" s="4">
        <v>74</v>
      </c>
      <c r="P5162" s="2" t="s">
        <v>15980</v>
      </c>
      <c r="Q5162" s="6">
        <v>100</v>
      </c>
      <c r="R5162" s="6">
        <v>45.95</v>
      </c>
      <c r="S5162" s="5">
        <v>-3.8</v>
      </c>
      <c r="T5162" s="7">
        <v>-2.6819999999999999</v>
      </c>
      <c r="U5162" s="5">
        <v>0.3</v>
      </c>
      <c r="V5162" s="6">
        <v>-0.31</v>
      </c>
      <c r="W5162" s="7">
        <v>31.875</v>
      </c>
      <c r="X5162" s="6">
        <v>34.25</v>
      </c>
      <c r="Y5162" s="6">
        <v>41.75</v>
      </c>
      <c r="Z5162" s="7">
        <v>47.875</v>
      </c>
      <c r="AA5162" s="6">
        <v>18.43</v>
      </c>
      <c r="AB5162" s="2" t="s">
        <v>86</v>
      </c>
      <c r="AC5162" s="6">
        <v>398.52</v>
      </c>
    </row>
    <row r="5163" spans="1:29" ht="195" x14ac:dyDescent="0.15">
      <c r="A5163" s="3">
        <f t="shared" si="121"/>
        <v>36514</v>
      </c>
      <c r="B5163" s="3">
        <f>DATE(2000,4,20)</f>
        <v>36636</v>
      </c>
      <c r="C5163" s="2" t="s">
        <v>95</v>
      </c>
      <c r="D5163" s="2" t="s">
        <v>15981</v>
      </c>
      <c r="E5163" s="2" t="s">
        <v>15982</v>
      </c>
      <c r="F5163" s="4">
        <v>8732</v>
      </c>
      <c r="G5163" s="2" t="s">
        <v>223</v>
      </c>
      <c r="H5163" s="2" t="s">
        <v>34</v>
      </c>
      <c r="I5163" s="2" t="s">
        <v>15983</v>
      </c>
      <c r="J5163" s="2" t="s">
        <v>15984</v>
      </c>
      <c r="K5163" s="2" t="s">
        <v>4563</v>
      </c>
      <c r="L5163" s="2" t="s">
        <v>34</v>
      </c>
      <c r="M5163" s="12">
        <v>13225.723</v>
      </c>
      <c r="N5163" s="6">
        <v>55.75</v>
      </c>
      <c r="O5163" s="7">
        <v>54.875</v>
      </c>
      <c r="P5163" s="2" t="s">
        <v>15985</v>
      </c>
      <c r="Q5163" s="6">
        <v>100</v>
      </c>
      <c r="R5163" s="6">
        <v>21.19</v>
      </c>
      <c r="S5163" s="5">
        <v>-6.2</v>
      </c>
      <c r="T5163" s="7">
        <v>53.491</v>
      </c>
      <c r="U5163" s="5">
        <v>5.6</v>
      </c>
      <c r="V5163" s="6">
        <v>-0.28000000000000003</v>
      </c>
      <c r="W5163" s="7">
        <v>12.375</v>
      </c>
      <c r="X5163" s="4">
        <v>14</v>
      </c>
      <c r="Y5163" s="6">
        <v>22.25</v>
      </c>
      <c r="Z5163" s="7">
        <v>21.687999999999999</v>
      </c>
      <c r="AA5163" s="6">
        <v>22.34</v>
      </c>
      <c r="AB5163" s="7">
        <v>18.838000000000001</v>
      </c>
      <c r="AC5163" s="6">
        <v>726.92</v>
      </c>
    </row>
    <row r="5164" spans="1:29" ht="91" x14ac:dyDescent="0.15">
      <c r="A5164" s="3">
        <f t="shared" si="121"/>
        <v>36514</v>
      </c>
      <c r="B5164" s="3">
        <f>DATE(2000,3,23)</f>
        <v>36608</v>
      </c>
      <c r="C5164" s="2" t="s">
        <v>95</v>
      </c>
      <c r="D5164" s="2" t="s">
        <v>11772</v>
      </c>
      <c r="E5164" s="2" t="s">
        <v>11773</v>
      </c>
      <c r="F5164" s="4">
        <v>7359</v>
      </c>
      <c r="G5164" s="2" t="s">
        <v>223</v>
      </c>
      <c r="H5164" s="2" t="s">
        <v>34</v>
      </c>
      <c r="I5164" s="2" t="s">
        <v>15986</v>
      </c>
      <c r="J5164" s="2" t="s">
        <v>80</v>
      </c>
      <c r="K5164" s="2" t="s">
        <v>53</v>
      </c>
      <c r="L5164" s="2" t="s">
        <v>34</v>
      </c>
      <c r="M5164" s="2"/>
      <c r="N5164" s="2"/>
      <c r="O5164" s="2"/>
      <c r="P5164" s="2" t="s">
        <v>15987</v>
      </c>
      <c r="Q5164" s="6">
        <v>100</v>
      </c>
      <c r="R5164" s="6">
        <v>12</v>
      </c>
      <c r="S5164" s="5">
        <v>10.5</v>
      </c>
      <c r="T5164" s="7">
        <v>25.126999999999999</v>
      </c>
      <c r="U5164" s="5">
        <v>14</v>
      </c>
      <c r="V5164" s="6">
        <v>1.73</v>
      </c>
      <c r="W5164" s="7">
        <v>10.688000000000001</v>
      </c>
      <c r="X5164" s="4">
        <v>11</v>
      </c>
      <c r="Y5164" s="7">
        <v>11.313000000000001</v>
      </c>
      <c r="Z5164" s="6">
        <v>11.25</v>
      </c>
      <c r="AA5164" s="6">
        <v>6.07</v>
      </c>
      <c r="AB5164" s="7">
        <v>5.15</v>
      </c>
      <c r="AC5164" s="2"/>
    </row>
    <row r="5165" spans="1:29" ht="117" x14ac:dyDescent="0.15">
      <c r="A5165" s="3">
        <f t="shared" si="121"/>
        <v>36514</v>
      </c>
      <c r="B5165" s="3">
        <f>DATE(2000,7,27)</f>
        <v>36734</v>
      </c>
      <c r="C5165" s="2" t="s">
        <v>95</v>
      </c>
      <c r="D5165" s="2" t="s">
        <v>15988</v>
      </c>
      <c r="E5165" s="2" t="s">
        <v>36</v>
      </c>
      <c r="F5165" s="4">
        <v>6021</v>
      </c>
      <c r="G5165" s="2" t="s">
        <v>37</v>
      </c>
      <c r="H5165" s="2" t="s">
        <v>34</v>
      </c>
      <c r="I5165" s="2" t="s">
        <v>7744</v>
      </c>
      <c r="J5165" s="2" t="s">
        <v>36</v>
      </c>
      <c r="K5165" s="2" t="s">
        <v>37</v>
      </c>
      <c r="L5165" s="2" t="s">
        <v>34</v>
      </c>
      <c r="M5165" s="12">
        <v>1490.5730000000001</v>
      </c>
      <c r="N5165" s="7">
        <v>32.313000000000002</v>
      </c>
      <c r="O5165" s="7">
        <v>31.375</v>
      </c>
      <c r="P5165" s="2" t="s">
        <v>15989</v>
      </c>
      <c r="Q5165" s="6">
        <v>100</v>
      </c>
      <c r="R5165" s="6">
        <v>25.57</v>
      </c>
      <c r="S5165" s="5">
        <v>2.2000000000000002</v>
      </c>
      <c r="T5165" s="7">
        <v>4.2930000000000001</v>
      </c>
      <c r="U5165" s="5">
        <v>9.9</v>
      </c>
      <c r="V5165" s="6">
        <v>0.54</v>
      </c>
      <c r="W5165" s="4">
        <v>12</v>
      </c>
      <c r="X5165" s="7">
        <v>15.375</v>
      </c>
      <c r="Y5165" s="9">
        <v>18.8125</v>
      </c>
      <c r="Z5165" s="5">
        <v>17.5</v>
      </c>
      <c r="AA5165" s="6">
        <v>3.99</v>
      </c>
      <c r="AB5165" s="7">
        <v>55.289000000000001</v>
      </c>
      <c r="AC5165" s="2"/>
    </row>
    <row r="5166" spans="1:29" ht="247" x14ac:dyDescent="0.15">
      <c r="A5166" s="3">
        <f t="shared" si="121"/>
        <v>36514</v>
      </c>
      <c r="B5166" s="3">
        <f>DATE(2000,3,31)</f>
        <v>36616</v>
      </c>
      <c r="C5166" s="2" t="s">
        <v>95</v>
      </c>
      <c r="D5166" s="2" t="s">
        <v>7906</v>
      </c>
      <c r="E5166" s="2" t="s">
        <v>7907</v>
      </c>
      <c r="F5166" s="4">
        <v>2834</v>
      </c>
      <c r="G5166" s="2" t="s">
        <v>130</v>
      </c>
      <c r="H5166" s="2" t="s">
        <v>34</v>
      </c>
      <c r="I5166" s="2" t="s">
        <v>8314</v>
      </c>
      <c r="J5166" s="2" t="s">
        <v>8315</v>
      </c>
      <c r="K5166" s="2" t="s">
        <v>98</v>
      </c>
      <c r="L5166" s="2" t="s">
        <v>34</v>
      </c>
      <c r="M5166" s="12">
        <v>28636.703000000001</v>
      </c>
      <c r="N5166" s="7">
        <v>36.625</v>
      </c>
      <c r="O5166" s="6">
        <v>36.25</v>
      </c>
      <c r="P5166" s="2" t="s">
        <v>15990</v>
      </c>
      <c r="Q5166" s="6">
        <v>100</v>
      </c>
      <c r="R5166" s="6">
        <v>49.68</v>
      </c>
      <c r="S5166" s="5">
        <v>726</v>
      </c>
      <c r="T5166" s="2"/>
      <c r="U5166" s="5">
        <v>10.199999999999999</v>
      </c>
      <c r="V5166" s="6">
        <v>1.35</v>
      </c>
      <c r="W5166" s="11">
        <v>85.225650000000002</v>
      </c>
      <c r="X5166" s="9">
        <v>80.982900000000001</v>
      </c>
      <c r="Y5166" s="7">
        <v>36.625</v>
      </c>
      <c r="Z5166" s="6">
        <v>36.25</v>
      </c>
      <c r="AA5166" s="6">
        <v>518.5</v>
      </c>
      <c r="AB5166" s="7">
        <v>26.222000000000001</v>
      </c>
      <c r="AC5166" s="2"/>
    </row>
    <row r="5167" spans="1:29" ht="117" x14ac:dyDescent="0.15">
      <c r="A5167" s="3">
        <f t="shared" si="121"/>
        <v>36514</v>
      </c>
      <c r="B5167" s="3">
        <f>DATE(2000,2,7)</f>
        <v>36563</v>
      </c>
      <c r="C5167" s="2" t="s">
        <v>95</v>
      </c>
      <c r="D5167" s="2" t="s">
        <v>15991</v>
      </c>
      <c r="E5167" s="2" t="s">
        <v>10214</v>
      </c>
      <c r="F5167" s="4">
        <v>3669</v>
      </c>
      <c r="G5167" s="2" t="s">
        <v>921</v>
      </c>
      <c r="H5167" s="2" t="s">
        <v>34</v>
      </c>
      <c r="I5167" s="2" t="s">
        <v>15992</v>
      </c>
      <c r="J5167" s="2" t="s">
        <v>15993</v>
      </c>
      <c r="K5167" s="2" t="s">
        <v>105</v>
      </c>
      <c r="L5167" s="2" t="s">
        <v>34</v>
      </c>
      <c r="M5167" s="2"/>
      <c r="N5167" s="7">
        <v>56.625</v>
      </c>
      <c r="O5167" s="7">
        <v>56.688000000000002</v>
      </c>
      <c r="P5167" s="2" t="s">
        <v>15994</v>
      </c>
      <c r="Q5167" s="6">
        <v>100</v>
      </c>
      <c r="R5167" s="6">
        <v>45.5</v>
      </c>
      <c r="S5167" s="5">
        <v>124.7</v>
      </c>
      <c r="T5167" s="7">
        <v>213.83099999999999</v>
      </c>
      <c r="U5167" s="5">
        <v>13.5</v>
      </c>
      <c r="V5167" s="6">
        <v>2.85</v>
      </c>
      <c r="W5167" s="5">
        <v>28.5</v>
      </c>
      <c r="X5167" s="4">
        <v>29</v>
      </c>
      <c r="Y5167" s="2"/>
      <c r="Z5167" s="2"/>
      <c r="AA5167" s="6">
        <v>42.76</v>
      </c>
      <c r="AB5167" s="7">
        <v>13.002000000000001</v>
      </c>
      <c r="AC5167" s="5">
        <v>981</v>
      </c>
    </row>
    <row r="5168" spans="1:29" ht="130" x14ac:dyDescent="0.15">
      <c r="A5168" s="3">
        <f t="shared" si="121"/>
        <v>36514</v>
      </c>
      <c r="B5168" s="3">
        <f>DATE(2000,3,13)</f>
        <v>36598</v>
      </c>
      <c r="C5168" s="2" t="s">
        <v>95</v>
      </c>
      <c r="D5168" s="2" t="s">
        <v>15995</v>
      </c>
      <c r="E5168" s="2" t="s">
        <v>15996</v>
      </c>
      <c r="F5168" s="4">
        <v>3559</v>
      </c>
      <c r="G5168" s="2" t="s">
        <v>300</v>
      </c>
      <c r="H5168" s="2" t="s">
        <v>34</v>
      </c>
      <c r="I5168" s="2" t="s">
        <v>15997</v>
      </c>
      <c r="J5168" s="2" t="s">
        <v>15998</v>
      </c>
      <c r="K5168" s="2" t="s">
        <v>219</v>
      </c>
      <c r="L5168" s="2" t="s">
        <v>215</v>
      </c>
      <c r="M5168" s="2"/>
      <c r="N5168" s="2"/>
      <c r="O5168" s="2"/>
      <c r="P5168" s="2" t="s">
        <v>15999</v>
      </c>
      <c r="Q5168" s="6">
        <v>100</v>
      </c>
      <c r="R5168" s="6">
        <v>12.5</v>
      </c>
      <c r="S5168" s="5">
        <v>-0.8</v>
      </c>
      <c r="T5168" s="7">
        <v>3.6739999999999999</v>
      </c>
      <c r="U5168" s="5">
        <v>2.7</v>
      </c>
      <c r="V5168" s="6">
        <v>-7.0000000000000007E-2</v>
      </c>
      <c r="W5168" s="4">
        <v>9</v>
      </c>
      <c r="X5168" s="7">
        <v>9.375</v>
      </c>
      <c r="Y5168" s="6">
        <v>11.75</v>
      </c>
      <c r="Z5168" s="7">
        <v>12.188000000000001</v>
      </c>
      <c r="AA5168" s="6">
        <v>11.22</v>
      </c>
      <c r="AB5168" s="7">
        <v>414.666</v>
      </c>
      <c r="AC5168" s="6">
        <v>219.74</v>
      </c>
    </row>
    <row r="5169" spans="1:29" ht="156" x14ac:dyDescent="0.15">
      <c r="A5169" s="3">
        <f t="shared" si="121"/>
        <v>36514</v>
      </c>
      <c r="B5169" s="3">
        <f>DATE(2000,1,28)</f>
        <v>36553</v>
      </c>
      <c r="C5169" s="2" t="s">
        <v>95</v>
      </c>
      <c r="D5169" s="2" t="s">
        <v>16000</v>
      </c>
      <c r="E5169" s="2" t="s">
        <v>8325</v>
      </c>
      <c r="F5169" s="4">
        <v>7359</v>
      </c>
      <c r="G5169" s="2" t="s">
        <v>223</v>
      </c>
      <c r="H5169" s="2" t="s">
        <v>34</v>
      </c>
      <c r="I5169" s="2" t="s">
        <v>16001</v>
      </c>
      <c r="J5169" s="2" t="s">
        <v>16002</v>
      </c>
      <c r="K5169" s="2" t="s">
        <v>300</v>
      </c>
      <c r="L5169" s="2" t="s">
        <v>34</v>
      </c>
      <c r="M5169" s="2"/>
      <c r="N5169" s="2"/>
      <c r="O5169" s="2"/>
      <c r="P5169" s="2" t="s">
        <v>16003</v>
      </c>
      <c r="Q5169" s="6">
        <v>100</v>
      </c>
      <c r="R5169" s="6">
        <v>7</v>
      </c>
      <c r="S5169" s="5">
        <v>-1.6</v>
      </c>
      <c r="T5169" s="7">
        <v>1.034</v>
      </c>
      <c r="U5169" s="5">
        <v>4.9000000000000004</v>
      </c>
      <c r="V5169" s="6">
        <v>-0.62</v>
      </c>
      <c r="W5169" s="7">
        <v>5.625</v>
      </c>
      <c r="X5169" s="5">
        <v>5.5</v>
      </c>
      <c r="Y5169" s="7">
        <v>6.8129999999999997</v>
      </c>
      <c r="Z5169" s="7">
        <v>6.8129999999999997</v>
      </c>
      <c r="AA5169" s="6">
        <v>3.42</v>
      </c>
      <c r="AB5169" s="2" t="s">
        <v>86</v>
      </c>
      <c r="AC5169" s="2"/>
    </row>
    <row r="5170" spans="1:29" ht="221" x14ac:dyDescent="0.15">
      <c r="A5170" s="3">
        <f t="shared" si="121"/>
        <v>36514</v>
      </c>
      <c r="B5170" s="2"/>
      <c r="C5170" s="2" t="s">
        <v>30</v>
      </c>
      <c r="D5170" s="2" t="s">
        <v>13218</v>
      </c>
      <c r="E5170" s="2" t="s">
        <v>1604</v>
      </c>
      <c r="F5170" s="4">
        <v>4813</v>
      </c>
      <c r="G5170" s="2" t="s">
        <v>63</v>
      </c>
      <c r="H5170" s="2" t="s">
        <v>34</v>
      </c>
      <c r="I5170" s="2" t="s">
        <v>11254</v>
      </c>
      <c r="J5170" s="2" t="s">
        <v>560</v>
      </c>
      <c r="K5170" s="2" t="s">
        <v>76</v>
      </c>
      <c r="L5170" s="2" t="s">
        <v>34</v>
      </c>
      <c r="M5170" s="7">
        <v>707.495</v>
      </c>
      <c r="N5170" s="5">
        <v>20.5</v>
      </c>
      <c r="O5170" s="7">
        <v>20.625</v>
      </c>
      <c r="P5170" s="2" t="s">
        <v>16004</v>
      </c>
      <c r="Q5170" s="2"/>
      <c r="R5170" s="6">
        <v>4.9800000000000004</v>
      </c>
      <c r="S5170" s="5">
        <v>-39.9</v>
      </c>
      <c r="T5170" s="7">
        <v>-4.2290000000000001</v>
      </c>
      <c r="U5170" s="5">
        <v>5.2</v>
      </c>
      <c r="V5170" s="6">
        <v>-0.68</v>
      </c>
      <c r="W5170" s="7">
        <v>7.8440000000000003</v>
      </c>
      <c r="X5170" s="7">
        <v>6.875</v>
      </c>
      <c r="Y5170" s="7">
        <v>8.875</v>
      </c>
      <c r="Z5170" s="9">
        <v>8.5625</v>
      </c>
      <c r="AA5170" s="6">
        <v>58.62</v>
      </c>
      <c r="AB5170" s="2" t="s">
        <v>86</v>
      </c>
      <c r="AC5170" s="6">
        <v>179.68</v>
      </c>
    </row>
    <row r="5171" spans="1:29" ht="325" x14ac:dyDescent="0.15">
      <c r="A5171" s="3">
        <f>DATE(1999,12,21)</f>
        <v>36515</v>
      </c>
      <c r="B5171" s="3">
        <f>DATE(2000,9,7)</f>
        <v>36776</v>
      </c>
      <c r="C5171" s="2" t="s">
        <v>95</v>
      </c>
      <c r="D5171" s="2" t="s">
        <v>16005</v>
      </c>
      <c r="E5171" s="2" t="s">
        <v>10711</v>
      </c>
      <c r="F5171" s="4">
        <v>7375</v>
      </c>
      <c r="G5171" s="2" t="s">
        <v>223</v>
      </c>
      <c r="H5171" s="2" t="s">
        <v>34</v>
      </c>
      <c r="I5171" s="2" t="s">
        <v>16006</v>
      </c>
      <c r="J5171" s="2" t="s">
        <v>3461</v>
      </c>
      <c r="K5171" s="2" t="s">
        <v>130</v>
      </c>
      <c r="L5171" s="2" t="s">
        <v>34</v>
      </c>
      <c r="M5171" s="12">
        <v>1620.5250000000001</v>
      </c>
      <c r="N5171" s="4">
        <v>42</v>
      </c>
      <c r="O5171" s="6">
        <v>43.25</v>
      </c>
      <c r="P5171" s="2" t="s">
        <v>16007</v>
      </c>
      <c r="Q5171" s="6">
        <v>27</v>
      </c>
      <c r="R5171" s="2"/>
      <c r="S5171" s="5">
        <v>-6.5</v>
      </c>
      <c r="T5171" s="7">
        <v>-10.762</v>
      </c>
      <c r="U5171" s="5">
        <v>3.1</v>
      </c>
      <c r="V5171" s="7">
        <v>-0.432</v>
      </c>
      <c r="W5171" s="7">
        <v>7.5629999999999997</v>
      </c>
      <c r="X5171" s="7">
        <v>7.6879999999999997</v>
      </c>
      <c r="Y5171" s="7">
        <v>7.625</v>
      </c>
      <c r="Z5171" s="7">
        <v>8.375</v>
      </c>
      <c r="AA5171" s="6">
        <v>17.649999999999999</v>
      </c>
      <c r="AB5171" s="2" t="s">
        <v>86</v>
      </c>
      <c r="AC5171" s="5">
        <v>107.8</v>
      </c>
    </row>
    <row r="5172" spans="1:29" ht="143" x14ac:dyDescent="0.15">
      <c r="A5172" s="3">
        <f>DATE(1999,12,21)</f>
        <v>36515</v>
      </c>
      <c r="B5172" s="3">
        <f>DATE(2000,2,3)</f>
        <v>36559</v>
      </c>
      <c r="C5172" s="2" t="s">
        <v>95</v>
      </c>
      <c r="D5172" s="2" t="s">
        <v>7203</v>
      </c>
      <c r="E5172" s="2" t="s">
        <v>7204</v>
      </c>
      <c r="F5172" s="4">
        <v>5961</v>
      </c>
      <c r="G5172" s="2" t="s">
        <v>73</v>
      </c>
      <c r="H5172" s="2" t="s">
        <v>34</v>
      </c>
      <c r="I5172" s="2" t="s">
        <v>51</v>
      </c>
      <c r="J5172" s="2" t="s">
        <v>52</v>
      </c>
      <c r="K5172" s="2" t="s">
        <v>53</v>
      </c>
      <c r="L5172" s="2" t="s">
        <v>34</v>
      </c>
      <c r="M5172" s="2"/>
      <c r="N5172" s="2"/>
      <c r="O5172" s="2"/>
      <c r="P5172" s="2" t="s">
        <v>16008</v>
      </c>
      <c r="Q5172" s="6">
        <v>100</v>
      </c>
      <c r="R5172" s="6">
        <v>19</v>
      </c>
      <c r="S5172" s="5">
        <v>50.8</v>
      </c>
      <c r="T5172" s="7">
        <v>91.043000000000006</v>
      </c>
      <c r="U5172" s="5">
        <v>12.4</v>
      </c>
      <c r="V5172" s="6">
        <v>1.41</v>
      </c>
      <c r="W5172" s="7">
        <v>12.563000000000001</v>
      </c>
      <c r="X5172" s="6">
        <v>15.25</v>
      </c>
      <c r="Y5172" s="7">
        <v>18.062999999999999</v>
      </c>
      <c r="Z5172" s="7">
        <v>18.437999999999999</v>
      </c>
      <c r="AA5172" s="6">
        <v>35.78</v>
      </c>
      <c r="AB5172" s="7">
        <v>6.6459999999999999</v>
      </c>
      <c r="AC5172" s="2"/>
    </row>
    <row r="5173" spans="1:29" ht="143" x14ac:dyDescent="0.15">
      <c r="A5173" s="3">
        <f>DATE(1999,12,21)</f>
        <v>36515</v>
      </c>
      <c r="B5173" s="3">
        <f>DATE(2000,7,17)</f>
        <v>36724</v>
      </c>
      <c r="C5173" s="2" t="s">
        <v>95</v>
      </c>
      <c r="D5173" s="2" t="s">
        <v>16009</v>
      </c>
      <c r="E5173" s="2" t="s">
        <v>1181</v>
      </c>
      <c r="F5173" s="4">
        <v>6021</v>
      </c>
      <c r="G5173" s="2" t="s">
        <v>37</v>
      </c>
      <c r="H5173" s="2" t="s">
        <v>34</v>
      </c>
      <c r="I5173" s="2" t="s">
        <v>12303</v>
      </c>
      <c r="J5173" s="2" t="s">
        <v>36</v>
      </c>
      <c r="K5173" s="2" t="s">
        <v>37</v>
      </c>
      <c r="L5173" s="2" t="s">
        <v>34</v>
      </c>
      <c r="M5173" s="12">
        <v>75750.857000000004</v>
      </c>
      <c r="N5173" s="4">
        <v>40</v>
      </c>
      <c r="O5173" s="7">
        <v>40.438000000000002</v>
      </c>
      <c r="P5173" s="2" t="s">
        <v>16010</v>
      </c>
      <c r="Q5173" s="6">
        <v>100</v>
      </c>
      <c r="R5173" s="6">
        <v>34.729999999999997</v>
      </c>
      <c r="S5173" s="5">
        <v>62.1</v>
      </c>
      <c r="T5173" s="7">
        <v>89.244</v>
      </c>
      <c r="U5173" s="5">
        <v>14.9</v>
      </c>
      <c r="V5173" s="6">
        <v>2.0499999999999998</v>
      </c>
      <c r="W5173" s="7">
        <v>31.375</v>
      </c>
      <c r="X5173" s="7">
        <v>32.875</v>
      </c>
      <c r="Y5173" s="6">
        <v>39.75</v>
      </c>
      <c r="Z5173" s="6">
        <v>28.75</v>
      </c>
      <c r="AA5173" s="6">
        <v>30.22</v>
      </c>
      <c r="AB5173" s="7">
        <v>43.844000000000001</v>
      </c>
      <c r="AC5173" s="2"/>
    </row>
    <row r="5174" spans="1:29" ht="130" x14ac:dyDescent="0.15">
      <c r="A5174" s="3">
        <f>DATE(1999,12,21)</f>
        <v>36515</v>
      </c>
      <c r="B5174" s="3">
        <f>DATE(2000,1,27)</f>
        <v>36552</v>
      </c>
      <c r="C5174" s="2" t="s">
        <v>95</v>
      </c>
      <c r="D5174" s="2" t="s">
        <v>16011</v>
      </c>
      <c r="E5174" s="2" t="s">
        <v>16012</v>
      </c>
      <c r="F5174" s="4">
        <v>7372</v>
      </c>
      <c r="G5174" s="2" t="s">
        <v>551</v>
      </c>
      <c r="H5174" s="2" t="s">
        <v>34</v>
      </c>
      <c r="I5174" s="2" t="s">
        <v>15063</v>
      </c>
      <c r="J5174" s="2" t="s">
        <v>15064</v>
      </c>
      <c r="K5174" s="2" t="s">
        <v>50</v>
      </c>
      <c r="L5174" s="2" t="s">
        <v>34</v>
      </c>
      <c r="M5174" s="12">
        <v>90049.206999999995</v>
      </c>
      <c r="N5174" s="4">
        <v>99</v>
      </c>
      <c r="O5174" s="6">
        <v>99.25</v>
      </c>
      <c r="P5174" s="2" t="s">
        <v>16013</v>
      </c>
      <c r="Q5174" s="6">
        <v>100</v>
      </c>
      <c r="R5174" s="6">
        <v>10</v>
      </c>
      <c r="S5174" s="5">
        <v>4.0999999999999996</v>
      </c>
      <c r="T5174" s="6">
        <v>9.41</v>
      </c>
      <c r="U5174" s="5">
        <v>1.7</v>
      </c>
      <c r="V5174" s="6">
        <v>0.28000000000000003</v>
      </c>
      <c r="W5174" s="7">
        <v>8.625</v>
      </c>
      <c r="X5174" s="7">
        <v>9.3130000000000006</v>
      </c>
      <c r="Y5174" s="7">
        <v>9.5630000000000006</v>
      </c>
      <c r="Z5174" s="7">
        <v>9.5310000000000006</v>
      </c>
      <c r="AA5174" s="6">
        <v>16.899999999999999</v>
      </c>
      <c r="AB5174" s="7">
        <v>25.716999999999999</v>
      </c>
      <c r="AC5174" s="10">
        <v>1257.82</v>
      </c>
    </row>
    <row r="5175" spans="1:29" ht="130" x14ac:dyDescent="0.15">
      <c r="A5175" s="3">
        <f>DATE(1999,12,22)</f>
        <v>36516</v>
      </c>
      <c r="B5175" s="3">
        <f>DATE(2000,4,26)</f>
        <v>36642</v>
      </c>
      <c r="C5175" s="2" t="s">
        <v>95</v>
      </c>
      <c r="D5175" s="2" t="s">
        <v>16014</v>
      </c>
      <c r="E5175" s="2" t="s">
        <v>11105</v>
      </c>
      <c r="F5175" s="4">
        <v>1731</v>
      </c>
      <c r="G5175" s="2" t="s">
        <v>341</v>
      </c>
      <c r="H5175" s="2" t="s">
        <v>34</v>
      </c>
      <c r="I5175" s="2" t="s">
        <v>16015</v>
      </c>
      <c r="J5175" s="2" t="s">
        <v>3395</v>
      </c>
      <c r="K5175" s="2" t="s">
        <v>439</v>
      </c>
      <c r="L5175" s="2" t="s">
        <v>34</v>
      </c>
      <c r="M5175" s="10">
        <v>3849.37</v>
      </c>
      <c r="N5175" s="7">
        <v>29.375</v>
      </c>
      <c r="O5175" s="7">
        <v>29.687999999999999</v>
      </c>
      <c r="P5175" s="2" t="s">
        <v>16016</v>
      </c>
      <c r="Q5175" s="6">
        <v>100</v>
      </c>
      <c r="R5175" s="6">
        <v>30.1</v>
      </c>
      <c r="S5175" s="5">
        <v>11.7</v>
      </c>
      <c r="T5175" s="7">
        <v>23.818999999999999</v>
      </c>
      <c r="U5175" s="5">
        <v>8</v>
      </c>
      <c r="V5175" s="6">
        <v>1.76</v>
      </c>
      <c r="W5175" s="7">
        <v>20.625</v>
      </c>
      <c r="X5175" s="4">
        <v>21</v>
      </c>
      <c r="Y5175" s="7">
        <v>29.375</v>
      </c>
      <c r="Z5175" s="7">
        <v>29.312999999999999</v>
      </c>
      <c r="AA5175" s="6">
        <v>7.27</v>
      </c>
      <c r="AB5175" s="7">
        <v>12.86</v>
      </c>
      <c r="AC5175" s="2"/>
    </row>
    <row r="5176" spans="1:29" ht="117" x14ac:dyDescent="0.15">
      <c r="A5176" s="3">
        <f>DATE(1999,12,22)</f>
        <v>36516</v>
      </c>
      <c r="B5176" s="3">
        <f>DATE(2000,6,29)</f>
        <v>36706</v>
      </c>
      <c r="C5176" s="2" t="s">
        <v>95</v>
      </c>
      <c r="D5176" s="2" t="s">
        <v>16017</v>
      </c>
      <c r="E5176" s="2" t="s">
        <v>16018</v>
      </c>
      <c r="F5176" s="4">
        <v>7374</v>
      </c>
      <c r="G5176" s="2" t="s">
        <v>223</v>
      </c>
      <c r="H5176" s="2" t="s">
        <v>34</v>
      </c>
      <c r="I5176" s="2" t="s">
        <v>3738</v>
      </c>
      <c r="J5176" s="2" t="s">
        <v>9012</v>
      </c>
      <c r="K5176" s="2" t="s">
        <v>223</v>
      </c>
      <c r="L5176" s="2" t="s">
        <v>34</v>
      </c>
      <c r="M5176" s="12">
        <v>93890.444000000003</v>
      </c>
      <c r="N5176" s="7">
        <v>82.875</v>
      </c>
      <c r="O5176" s="7">
        <v>81.125</v>
      </c>
      <c r="P5176" s="2" t="s">
        <v>16019</v>
      </c>
      <c r="Q5176" s="6">
        <v>100</v>
      </c>
      <c r="R5176" s="6">
        <v>26.82</v>
      </c>
      <c r="S5176" s="5">
        <v>-3.2</v>
      </c>
      <c r="T5176" s="7">
        <v>-2.3479999999999999</v>
      </c>
      <c r="U5176" s="5">
        <v>-0.2</v>
      </c>
      <c r="V5176" s="6">
        <v>-0.36</v>
      </c>
      <c r="W5176" s="6">
        <v>27.25</v>
      </c>
      <c r="X5176" s="5">
        <v>32.5</v>
      </c>
      <c r="Y5176" s="9">
        <v>25.4375</v>
      </c>
      <c r="Z5176" s="7">
        <v>24.375</v>
      </c>
      <c r="AA5176" s="6">
        <v>33.57</v>
      </c>
      <c r="AB5176" s="2" t="s">
        <v>86</v>
      </c>
      <c r="AC5176" s="8">
        <v>1424</v>
      </c>
    </row>
    <row r="5177" spans="1:29" ht="169" x14ac:dyDescent="0.15">
      <c r="A5177" s="3">
        <f>DATE(1999,12,22)</f>
        <v>36516</v>
      </c>
      <c r="B5177" s="3">
        <f>DATE(1999,12,22)</f>
        <v>36516</v>
      </c>
      <c r="C5177" s="2" t="s">
        <v>95</v>
      </c>
      <c r="D5177" s="2" t="s">
        <v>16020</v>
      </c>
      <c r="E5177" s="2" t="s">
        <v>11810</v>
      </c>
      <c r="F5177" s="4">
        <v>8732</v>
      </c>
      <c r="G5177" s="2" t="s">
        <v>223</v>
      </c>
      <c r="H5177" s="2" t="s">
        <v>34</v>
      </c>
      <c r="I5177" s="2" t="s">
        <v>15117</v>
      </c>
      <c r="J5177" s="2" t="s">
        <v>4784</v>
      </c>
      <c r="K5177" s="2" t="s">
        <v>186</v>
      </c>
      <c r="L5177" s="2" t="s">
        <v>2105</v>
      </c>
      <c r="M5177" s="2"/>
      <c r="N5177" s="2"/>
      <c r="O5177" s="2"/>
      <c r="P5177" s="2" t="s">
        <v>16021</v>
      </c>
      <c r="Q5177" s="6">
        <v>40</v>
      </c>
      <c r="R5177" s="2"/>
      <c r="S5177" s="5">
        <v>-3.9</v>
      </c>
      <c r="T5177" s="7">
        <v>-3.5680000000000001</v>
      </c>
      <c r="U5177" s="5">
        <v>8.1</v>
      </c>
      <c r="V5177" s="6">
        <v>-1.67</v>
      </c>
      <c r="W5177" s="7">
        <v>29.125</v>
      </c>
      <c r="X5177" s="4">
        <v>32</v>
      </c>
      <c r="Y5177" s="5">
        <v>35.5</v>
      </c>
      <c r="Z5177" s="6">
        <v>41.25</v>
      </c>
      <c r="AA5177" s="2"/>
      <c r="AB5177" s="2" t="s">
        <v>86</v>
      </c>
      <c r="AC5177" s="6">
        <v>379.46</v>
      </c>
    </row>
    <row r="5178" spans="1:29" ht="143" x14ac:dyDescent="0.15">
      <c r="A5178" s="3">
        <f>DATE(1999,12,22)</f>
        <v>36516</v>
      </c>
      <c r="B5178" s="2"/>
      <c r="C5178" s="2" t="s">
        <v>30</v>
      </c>
      <c r="D5178" s="2" t="s">
        <v>16022</v>
      </c>
      <c r="E5178" s="2" t="s">
        <v>16023</v>
      </c>
      <c r="F5178" s="4">
        <v>5812</v>
      </c>
      <c r="G5178" s="2" t="s">
        <v>230</v>
      </c>
      <c r="H5178" s="2" t="s">
        <v>34</v>
      </c>
      <c r="I5178" s="2" t="s">
        <v>16024</v>
      </c>
      <c r="J5178" s="2" t="s">
        <v>8516</v>
      </c>
      <c r="K5178" s="2" t="s">
        <v>269</v>
      </c>
      <c r="L5178" s="2" t="s">
        <v>34</v>
      </c>
      <c r="M5178" s="7">
        <v>91.010999999999996</v>
      </c>
      <c r="N5178" s="6">
        <v>8.25</v>
      </c>
      <c r="O5178" s="7">
        <v>7.6559999999999997</v>
      </c>
      <c r="P5178" s="2" t="s">
        <v>16025</v>
      </c>
      <c r="Q5178" s="2"/>
      <c r="R5178" s="6">
        <v>4.54</v>
      </c>
      <c r="S5178" s="5">
        <v>12.9</v>
      </c>
      <c r="T5178" s="6">
        <v>50.31</v>
      </c>
      <c r="U5178" s="5">
        <v>9.1</v>
      </c>
      <c r="V5178" s="6">
        <v>0.52</v>
      </c>
      <c r="W5178" s="7">
        <v>3.266</v>
      </c>
      <c r="X5178" s="7">
        <v>3.9380000000000002</v>
      </c>
      <c r="Y5178" s="6">
        <v>3.75</v>
      </c>
      <c r="Z5178" s="6">
        <v>3.75</v>
      </c>
      <c r="AA5178" s="6">
        <v>23.9</v>
      </c>
      <c r="AB5178" s="7">
        <v>3.15</v>
      </c>
      <c r="AC5178" s="6">
        <v>56.77</v>
      </c>
    </row>
    <row r="5179" spans="1:29" ht="104" x14ac:dyDescent="0.15">
      <c r="A5179" s="3">
        <f>DATE(1999,12,23)</f>
        <v>36517</v>
      </c>
      <c r="B5179" s="3">
        <f>DATE(2000,6,14)</f>
        <v>36691</v>
      </c>
      <c r="C5179" s="2" t="s">
        <v>95</v>
      </c>
      <c r="D5179" s="2" t="s">
        <v>16026</v>
      </c>
      <c r="E5179" s="2" t="s">
        <v>1398</v>
      </c>
      <c r="F5179" s="4">
        <v>6035</v>
      </c>
      <c r="G5179" s="2" t="s">
        <v>33</v>
      </c>
      <c r="H5179" s="2" t="s">
        <v>34</v>
      </c>
      <c r="I5179" s="2" t="s">
        <v>16027</v>
      </c>
      <c r="J5179" s="2" t="s">
        <v>3246</v>
      </c>
      <c r="K5179" s="2" t="s">
        <v>33</v>
      </c>
      <c r="L5179" s="2" t="s">
        <v>34</v>
      </c>
      <c r="M5179" s="6">
        <v>169.17</v>
      </c>
      <c r="N5179" s="4">
        <v>30</v>
      </c>
      <c r="O5179" s="4">
        <v>30</v>
      </c>
      <c r="P5179" s="2" t="s">
        <v>16028</v>
      </c>
      <c r="Q5179" s="6">
        <v>100</v>
      </c>
      <c r="R5179" s="6">
        <v>17.920000000000002</v>
      </c>
      <c r="S5179" s="5">
        <v>1</v>
      </c>
      <c r="T5179" s="7">
        <v>1.6319999999999999</v>
      </c>
      <c r="U5179" s="5">
        <v>9.3000000000000007</v>
      </c>
      <c r="V5179" s="6">
        <v>0.68</v>
      </c>
      <c r="W5179" s="7">
        <v>14.625</v>
      </c>
      <c r="X5179" s="7">
        <v>16.875</v>
      </c>
      <c r="Y5179" s="6">
        <v>16.75</v>
      </c>
      <c r="Z5179" s="6">
        <v>16.75</v>
      </c>
      <c r="AA5179" s="6">
        <v>1.47</v>
      </c>
      <c r="AB5179" s="7">
        <v>25.911999999999999</v>
      </c>
      <c r="AC5179" s="2"/>
    </row>
    <row r="5180" spans="1:29" ht="169" x14ac:dyDescent="0.15">
      <c r="A5180" s="3">
        <f>DATE(1999,12,23)</f>
        <v>36517</v>
      </c>
      <c r="B5180" s="3">
        <f>DATE(2000,5,16)</f>
        <v>36662</v>
      </c>
      <c r="C5180" s="2" t="s">
        <v>95</v>
      </c>
      <c r="D5180" s="2" t="s">
        <v>16029</v>
      </c>
      <c r="E5180" s="2" t="s">
        <v>16030</v>
      </c>
      <c r="F5180" s="4">
        <v>5074</v>
      </c>
      <c r="G5180" s="2" t="s">
        <v>76</v>
      </c>
      <c r="H5180" s="2" t="s">
        <v>34</v>
      </c>
      <c r="I5180" s="2" t="s">
        <v>51</v>
      </c>
      <c r="J5180" s="2" t="s">
        <v>52</v>
      </c>
      <c r="K5180" s="2" t="s">
        <v>53</v>
      </c>
      <c r="L5180" s="2" t="s">
        <v>34</v>
      </c>
      <c r="M5180" s="2"/>
      <c r="N5180" s="2"/>
      <c r="O5180" s="2"/>
      <c r="P5180" s="2" t="s">
        <v>16031</v>
      </c>
      <c r="Q5180" s="6">
        <v>100</v>
      </c>
      <c r="R5180" s="6">
        <v>18.25</v>
      </c>
      <c r="S5180" s="2"/>
      <c r="T5180" s="2"/>
      <c r="U5180" s="2"/>
      <c r="V5180" s="2"/>
      <c r="W5180" s="7">
        <v>14.375</v>
      </c>
      <c r="X5180" s="4">
        <v>14</v>
      </c>
      <c r="Y5180" s="7">
        <v>17.187999999999999</v>
      </c>
      <c r="Z5180" s="7">
        <v>17.187999999999999</v>
      </c>
      <c r="AA5180" s="6">
        <v>12.41</v>
      </c>
      <c r="AB5180" s="2" t="s">
        <v>47</v>
      </c>
      <c r="AC5180" s="2"/>
    </row>
    <row r="5181" spans="1:29" ht="52" x14ac:dyDescent="0.15">
      <c r="A5181" s="3">
        <f>DATE(1999,12,27)</f>
        <v>36521</v>
      </c>
      <c r="B5181" s="3">
        <f>DATE(2000,5,19)</f>
        <v>36665</v>
      </c>
      <c r="C5181" s="2" t="s">
        <v>95</v>
      </c>
      <c r="D5181" s="2" t="s">
        <v>16032</v>
      </c>
      <c r="E5181" s="2" t="s">
        <v>1181</v>
      </c>
      <c r="F5181" s="4">
        <v>6021</v>
      </c>
      <c r="G5181" s="2" t="s">
        <v>37</v>
      </c>
      <c r="H5181" s="2" t="s">
        <v>34</v>
      </c>
      <c r="I5181" s="2" t="s">
        <v>16033</v>
      </c>
      <c r="J5181" s="2" t="s">
        <v>1181</v>
      </c>
      <c r="K5181" s="2" t="s">
        <v>37</v>
      </c>
      <c r="L5181" s="2" t="s">
        <v>34</v>
      </c>
      <c r="M5181" s="7">
        <v>86.364999999999995</v>
      </c>
      <c r="N5181" s="5">
        <v>9.5</v>
      </c>
      <c r="O5181" s="5">
        <v>9.5</v>
      </c>
      <c r="P5181" s="2" t="s">
        <v>16034</v>
      </c>
      <c r="Q5181" s="6">
        <v>100</v>
      </c>
      <c r="R5181" s="2"/>
      <c r="S5181" s="2"/>
      <c r="T5181" s="2"/>
      <c r="U5181" s="2"/>
      <c r="V5181" s="2"/>
      <c r="W5181" s="4">
        <v>10</v>
      </c>
      <c r="X5181" s="4">
        <v>10</v>
      </c>
      <c r="Y5181" s="5">
        <v>10.5</v>
      </c>
      <c r="Z5181" s="7">
        <v>10.125</v>
      </c>
      <c r="AA5181" s="2"/>
      <c r="AB5181" s="2" t="s">
        <v>47</v>
      </c>
      <c r="AC5181" s="2"/>
    </row>
    <row r="5182" spans="1:29" ht="78" x14ac:dyDescent="0.15">
      <c r="A5182" s="3">
        <f>DATE(1999,12,27)</f>
        <v>36521</v>
      </c>
      <c r="B5182" s="2"/>
      <c r="C5182" s="2" t="s">
        <v>30</v>
      </c>
      <c r="D5182" s="2" t="s">
        <v>16035</v>
      </c>
      <c r="E5182" s="2" t="s">
        <v>16036</v>
      </c>
      <c r="F5182" s="4">
        <v>7812</v>
      </c>
      <c r="G5182" s="2" t="s">
        <v>42</v>
      </c>
      <c r="H5182" s="2" t="s">
        <v>34</v>
      </c>
      <c r="I5182" s="2" t="s">
        <v>16037</v>
      </c>
      <c r="J5182" s="2" t="s">
        <v>10150</v>
      </c>
      <c r="K5182" s="2" t="s">
        <v>53</v>
      </c>
      <c r="L5182" s="2" t="s">
        <v>34</v>
      </c>
      <c r="M5182" s="2"/>
      <c r="N5182" s="2"/>
      <c r="O5182" s="2"/>
      <c r="P5182" s="2" t="s">
        <v>16038</v>
      </c>
      <c r="Q5182" s="2"/>
      <c r="R5182" s="6">
        <v>15</v>
      </c>
      <c r="S5182" s="5">
        <v>6.3</v>
      </c>
      <c r="T5182" s="7">
        <v>17.826000000000001</v>
      </c>
      <c r="U5182" s="5">
        <v>3.4</v>
      </c>
      <c r="V5182" s="6">
        <v>0.66</v>
      </c>
      <c r="W5182" s="6">
        <v>12.75</v>
      </c>
      <c r="X5182" s="6">
        <v>12.25</v>
      </c>
      <c r="Y5182" s="9">
        <v>13.6875</v>
      </c>
      <c r="Z5182" s="11">
        <v>13.71875</v>
      </c>
      <c r="AA5182" s="6">
        <v>9.2100000000000009</v>
      </c>
      <c r="AB5182" s="7">
        <v>13.151</v>
      </c>
      <c r="AC5182" s="2"/>
    </row>
    <row r="5183" spans="1:29" ht="117" x14ac:dyDescent="0.15">
      <c r="A5183" s="3">
        <f>DATE(1999,12,28)</f>
        <v>36522</v>
      </c>
      <c r="B5183" s="3">
        <f>DATE(2000,5,9)</f>
        <v>36655</v>
      </c>
      <c r="C5183" s="2" t="s">
        <v>95</v>
      </c>
      <c r="D5183" s="2" t="s">
        <v>4966</v>
      </c>
      <c r="E5183" s="2" t="s">
        <v>16039</v>
      </c>
      <c r="F5183" s="4">
        <v>7372</v>
      </c>
      <c r="G5183" s="2" t="s">
        <v>551</v>
      </c>
      <c r="H5183" s="2" t="s">
        <v>34</v>
      </c>
      <c r="I5183" s="2" t="s">
        <v>16040</v>
      </c>
      <c r="J5183" s="2" t="s">
        <v>16041</v>
      </c>
      <c r="K5183" s="2" t="s">
        <v>551</v>
      </c>
      <c r="L5183" s="2" t="s">
        <v>34</v>
      </c>
      <c r="M5183" s="7">
        <v>116.678</v>
      </c>
      <c r="N5183" s="4">
        <v>27</v>
      </c>
      <c r="O5183" s="6">
        <v>25.25</v>
      </c>
      <c r="P5183" s="2" t="s">
        <v>16042</v>
      </c>
      <c r="Q5183" s="6">
        <v>100</v>
      </c>
      <c r="R5183" s="6">
        <v>14.45</v>
      </c>
      <c r="S5183" s="5">
        <v>5.8</v>
      </c>
      <c r="T5183" s="6">
        <v>-1.05</v>
      </c>
      <c r="U5183" s="5">
        <v>0.2</v>
      </c>
      <c r="V5183" s="7">
        <v>1.0569999999999999</v>
      </c>
      <c r="W5183" s="6">
        <v>10.25</v>
      </c>
      <c r="X5183" s="7">
        <v>8.625</v>
      </c>
      <c r="Y5183" s="7">
        <v>12.125</v>
      </c>
      <c r="Z5183" s="7">
        <v>11.938000000000001</v>
      </c>
      <c r="AA5183" s="6">
        <v>5.55</v>
      </c>
      <c r="AB5183" s="2" t="s">
        <v>86</v>
      </c>
      <c r="AC5183" s="5">
        <v>28.4</v>
      </c>
    </row>
    <row r="5184" spans="1:29" ht="91" x14ac:dyDescent="0.15">
      <c r="A5184" s="3">
        <f>DATE(1999,12,28)</f>
        <v>36522</v>
      </c>
      <c r="B5184" s="2"/>
      <c r="C5184" s="2" t="s">
        <v>7330</v>
      </c>
      <c r="D5184" s="2" t="s">
        <v>16043</v>
      </c>
      <c r="E5184" s="2" t="s">
        <v>203</v>
      </c>
      <c r="F5184" s="4">
        <v>6035</v>
      </c>
      <c r="G5184" s="2" t="s">
        <v>33</v>
      </c>
      <c r="H5184" s="2" t="s">
        <v>34</v>
      </c>
      <c r="I5184" s="2" t="s">
        <v>51</v>
      </c>
      <c r="J5184" s="2" t="s">
        <v>52</v>
      </c>
      <c r="K5184" s="2" t="s">
        <v>53</v>
      </c>
      <c r="L5184" s="2" t="s">
        <v>34</v>
      </c>
      <c r="M5184" s="2"/>
      <c r="N5184" s="2"/>
      <c r="O5184" s="2"/>
      <c r="P5184" s="2" t="s">
        <v>16044</v>
      </c>
      <c r="Q5184" s="2"/>
      <c r="R5184" s="6">
        <v>16.5</v>
      </c>
      <c r="S5184" s="5">
        <v>1.6</v>
      </c>
      <c r="T5184" s="2"/>
      <c r="U5184" s="5">
        <v>1.6</v>
      </c>
      <c r="V5184" s="7">
        <v>0.10199999999999999</v>
      </c>
      <c r="W5184" s="5">
        <v>13.5</v>
      </c>
      <c r="X5184" s="7">
        <v>12.875</v>
      </c>
      <c r="Y5184" s="9">
        <v>14.0625</v>
      </c>
      <c r="Z5184" s="5">
        <v>14.5</v>
      </c>
      <c r="AA5184" s="6">
        <v>1.53</v>
      </c>
      <c r="AB5184" s="7">
        <v>123.724</v>
      </c>
      <c r="AC5184" s="2"/>
    </row>
    <row r="5185" spans="1:29" ht="143" x14ac:dyDescent="0.15">
      <c r="A5185" s="3">
        <f>DATE(1999,12,28)</f>
        <v>36522</v>
      </c>
      <c r="B5185" s="3">
        <f>DATE(2000,5,10)</f>
        <v>36656</v>
      </c>
      <c r="C5185" s="2" t="s">
        <v>95</v>
      </c>
      <c r="D5185" s="2" t="s">
        <v>2781</v>
      </c>
      <c r="E5185" s="2" t="s">
        <v>2782</v>
      </c>
      <c r="F5185" s="4">
        <v>3911</v>
      </c>
      <c r="G5185" s="2" t="s">
        <v>112</v>
      </c>
      <c r="H5185" s="2" t="s">
        <v>34</v>
      </c>
      <c r="I5185" s="2" t="s">
        <v>51</v>
      </c>
      <c r="J5185" s="2" t="s">
        <v>52</v>
      </c>
      <c r="K5185" s="2" t="s">
        <v>53</v>
      </c>
      <c r="L5185" s="2" t="s">
        <v>34</v>
      </c>
      <c r="M5185" s="2"/>
      <c r="N5185" s="2"/>
      <c r="O5185" s="2"/>
      <c r="P5185" s="2" t="s">
        <v>16045</v>
      </c>
      <c r="Q5185" s="6">
        <v>100</v>
      </c>
      <c r="R5185" s="6">
        <v>25.25</v>
      </c>
      <c r="S5185" s="5">
        <v>41</v>
      </c>
      <c r="T5185" s="7">
        <v>124.794</v>
      </c>
      <c r="U5185" s="5">
        <v>1.3</v>
      </c>
      <c r="V5185" s="6">
        <v>1.2</v>
      </c>
      <c r="W5185" s="6">
        <v>17.75</v>
      </c>
      <c r="X5185" s="7">
        <v>18.312999999999999</v>
      </c>
      <c r="Y5185" s="6">
        <v>24.25</v>
      </c>
      <c r="Z5185" s="6">
        <v>24.25</v>
      </c>
      <c r="AA5185" s="6">
        <v>33.369999999999997</v>
      </c>
      <c r="AB5185" s="7">
        <v>10.194000000000001</v>
      </c>
      <c r="AC5185" s="2"/>
    </row>
    <row r="5186" spans="1:29" ht="117" x14ac:dyDescent="0.15">
      <c r="A5186" s="3">
        <f>DATE(1999,12,28)</f>
        <v>36522</v>
      </c>
      <c r="B5186" s="3">
        <f>DATE(2000,4,11)</f>
        <v>36627</v>
      </c>
      <c r="C5186" s="2" t="s">
        <v>95</v>
      </c>
      <c r="D5186" s="2" t="s">
        <v>16046</v>
      </c>
      <c r="E5186" s="2" t="s">
        <v>36</v>
      </c>
      <c r="F5186" s="4">
        <v>6022</v>
      </c>
      <c r="G5186" s="2" t="s">
        <v>37</v>
      </c>
      <c r="H5186" s="2" t="s">
        <v>34</v>
      </c>
      <c r="I5186" s="2" t="s">
        <v>12519</v>
      </c>
      <c r="J5186" s="2" t="s">
        <v>36</v>
      </c>
      <c r="K5186" s="2" t="s">
        <v>37</v>
      </c>
      <c r="L5186" s="2" t="s">
        <v>34</v>
      </c>
      <c r="M5186" s="12">
        <v>2733.011</v>
      </c>
      <c r="N5186" s="7">
        <v>22.375</v>
      </c>
      <c r="O5186" s="7">
        <v>22.687999999999999</v>
      </c>
      <c r="P5186" s="2" t="s">
        <v>16047</v>
      </c>
      <c r="Q5186" s="6">
        <v>100</v>
      </c>
      <c r="R5186" s="6">
        <v>12.52</v>
      </c>
      <c r="S5186" s="5">
        <v>1</v>
      </c>
      <c r="T5186" s="2"/>
      <c r="U5186" s="5">
        <v>7.7</v>
      </c>
      <c r="V5186" s="6">
        <v>0.41</v>
      </c>
      <c r="W5186" s="6">
        <v>7.75</v>
      </c>
      <c r="X5186" s="7">
        <v>7.375</v>
      </c>
      <c r="Y5186" s="7">
        <v>7.375</v>
      </c>
      <c r="Z5186" s="7">
        <v>11.063000000000001</v>
      </c>
      <c r="AA5186" s="6">
        <v>2.5</v>
      </c>
      <c r="AB5186" s="7">
        <v>31.213999999999999</v>
      </c>
      <c r="AC5186" s="2"/>
    </row>
    <row r="5187" spans="1:29" ht="117" x14ac:dyDescent="0.15">
      <c r="A5187" s="3">
        <f>DATE(1999,12,28)</f>
        <v>36522</v>
      </c>
      <c r="B5187" s="3">
        <f>DATE(2000,2,2)</f>
        <v>36558</v>
      </c>
      <c r="C5187" s="2" t="s">
        <v>95</v>
      </c>
      <c r="D5187" s="2" t="s">
        <v>16048</v>
      </c>
      <c r="E5187" s="2" t="s">
        <v>5637</v>
      </c>
      <c r="F5187" s="4">
        <v>8093</v>
      </c>
      <c r="G5187" s="2" t="s">
        <v>454</v>
      </c>
      <c r="H5187" s="2" t="s">
        <v>34</v>
      </c>
      <c r="I5187" s="2" t="s">
        <v>16049</v>
      </c>
      <c r="J5187" s="2" t="s">
        <v>16050</v>
      </c>
      <c r="K5187" s="2" t="s">
        <v>454</v>
      </c>
      <c r="L5187" s="2" t="s">
        <v>34</v>
      </c>
      <c r="M5187" s="2"/>
      <c r="N5187" s="2"/>
      <c r="O5187" s="2"/>
      <c r="P5187" s="2" t="s">
        <v>16051</v>
      </c>
      <c r="Q5187" s="6">
        <v>100</v>
      </c>
      <c r="R5187" s="6">
        <v>10</v>
      </c>
      <c r="S5187" s="5">
        <v>3.1</v>
      </c>
      <c r="T5187" s="7">
        <v>5.9850000000000003</v>
      </c>
      <c r="U5187" s="5">
        <v>4</v>
      </c>
      <c r="V5187" s="6">
        <v>0.42</v>
      </c>
      <c r="W5187" s="7">
        <v>6.625</v>
      </c>
      <c r="X5187" s="6">
        <v>8.25</v>
      </c>
      <c r="Y5187" s="7">
        <v>9.3130000000000006</v>
      </c>
      <c r="Z5187" s="7">
        <v>9.375</v>
      </c>
      <c r="AA5187" s="6">
        <v>6.84</v>
      </c>
      <c r="AB5187" s="7">
        <v>20.635999999999999</v>
      </c>
      <c r="AC5187" s="2"/>
    </row>
    <row r="5188" spans="1:29" ht="65" x14ac:dyDescent="0.15">
      <c r="A5188" s="3">
        <f>DATE(1999,12,29)</f>
        <v>36523</v>
      </c>
      <c r="B5188" s="3">
        <f>DATE(2000,7,10)</f>
        <v>36717</v>
      </c>
      <c r="C5188" s="2" t="s">
        <v>95</v>
      </c>
      <c r="D5188" s="2" t="s">
        <v>13173</v>
      </c>
      <c r="E5188" s="2" t="s">
        <v>389</v>
      </c>
      <c r="F5188" s="4">
        <v>6035</v>
      </c>
      <c r="G5188" s="2" t="s">
        <v>33</v>
      </c>
      <c r="H5188" s="2" t="s">
        <v>34</v>
      </c>
      <c r="I5188" s="2" t="s">
        <v>15204</v>
      </c>
      <c r="J5188" s="2" t="s">
        <v>263</v>
      </c>
      <c r="K5188" s="2" t="s">
        <v>33</v>
      </c>
      <c r="L5188" s="2" t="s">
        <v>34</v>
      </c>
      <c r="M5188" s="6">
        <v>278.95999999999998</v>
      </c>
      <c r="N5188" s="6">
        <v>10.25</v>
      </c>
      <c r="O5188" s="7">
        <v>10.281000000000001</v>
      </c>
      <c r="P5188" s="2" t="s">
        <v>16052</v>
      </c>
      <c r="Q5188" s="6">
        <v>100</v>
      </c>
      <c r="R5188" s="6">
        <v>18.75</v>
      </c>
      <c r="S5188" s="5">
        <v>1.7</v>
      </c>
      <c r="T5188" s="7">
        <v>3.4359999999999999</v>
      </c>
      <c r="U5188" s="5">
        <v>14.8</v>
      </c>
      <c r="V5188" s="6">
        <v>0.34</v>
      </c>
      <c r="W5188" s="7">
        <v>17.812999999999999</v>
      </c>
      <c r="X5188" s="7">
        <v>16.812999999999999</v>
      </c>
      <c r="Y5188" s="4">
        <v>18</v>
      </c>
      <c r="Z5188" s="9">
        <v>17.9375</v>
      </c>
      <c r="AA5188" s="6">
        <v>4.5999999999999996</v>
      </c>
      <c r="AB5188" s="7">
        <v>34.396999999999998</v>
      </c>
      <c r="AC5188" s="2"/>
    </row>
    <row r="5189" spans="1:29" ht="104" x14ac:dyDescent="0.15">
      <c r="A5189" s="3">
        <f>DATE(2000,1,5)</f>
        <v>36530</v>
      </c>
      <c r="B5189" s="2"/>
      <c r="C5189" s="2" t="s">
        <v>30</v>
      </c>
      <c r="D5189" s="2" t="s">
        <v>15957</v>
      </c>
      <c r="E5189" s="2" t="s">
        <v>1181</v>
      </c>
      <c r="F5189" s="4">
        <v>6021</v>
      </c>
      <c r="G5189" s="2" t="s">
        <v>37</v>
      </c>
      <c r="H5189" s="2" t="s">
        <v>34</v>
      </c>
      <c r="I5189" s="2" t="s">
        <v>51</v>
      </c>
      <c r="J5189" s="2" t="s">
        <v>52</v>
      </c>
      <c r="K5189" s="2" t="s">
        <v>53</v>
      </c>
      <c r="L5189" s="2" t="s">
        <v>34</v>
      </c>
      <c r="M5189" s="2"/>
      <c r="N5189" s="2"/>
      <c r="O5189" s="2"/>
      <c r="P5189" s="2" t="s">
        <v>16053</v>
      </c>
      <c r="Q5189" s="2"/>
      <c r="R5189" s="6">
        <v>23</v>
      </c>
      <c r="S5189" s="5">
        <v>5.2</v>
      </c>
      <c r="T5189" s="2"/>
      <c r="U5189" s="5">
        <v>18.3</v>
      </c>
      <c r="V5189" s="6">
        <v>1.4</v>
      </c>
      <c r="W5189" s="5">
        <v>18.5</v>
      </c>
      <c r="X5189" s="9">
        <v>18.4375</v>
      </c>
      <c r="Y5189" s="6">
        <v>18.75</v>
      </c>
      <c r="Z5189" s="7">
        <v>19.125</v>
      </c>
      <c r="AA5189" s="6">
        <v>3.53</v>
      </c>
      <c r="AB5189" s="7">
        <v>10.319000000000001</v>
      </c>
      <c r="AC5189" s="2"/>
    </row>
    <row r="5190" spans="1:29" ht="65" x14ac:dyDescent="0.15">
      <c r="A5190" s="3">
        <f>DATE(2000,1,6)</f>
        <v>36531</v>
      </c>
      <c r="B5190" s="3">
        <f>DATE(2000,6,21)</f>
        <v>36698</v>
      </c>
      <c r="C5190" s="2" t="s">
        <v>95</v>
      </c>
      <c r="D5190" s="2" t="s">
        <v>6513</v>
      </c>
      <c r="E5190" s="2" t="s">
        <v>6514</v>
      </c>
      <c r="F5190" s="4">
        <v>2086</v>
      </c>
      <c r="G5190" s="2" t="s">
        <v>577</v>
      </c>
      <c r="H5190" s="2" t="s">
        <v>34</v>
      </c>
      <c r="I5190" s="2" t="s">
        <v>16054</v>
      </c>
      <c r="J5190" s="2" t="s">
        <v>244</v>
      </c>
      <c r="K5190" s="2" t="s">
        <v>53</v>
      </c>
      <c r="L5190" s="2" t="s">
        <v>34</v>
      </c>
      <c r="M5190" s="2"/>
      <c r="N5190" s="2"/>
      <c r="O5190" s="2"/>
      <c r="P5190" s="2" t="s">
        <v>16055</v>
      </c>
      <c r="Q5190" s="6">
        <v>100</v>
      </c>
      <c r="R5190" s="6">
        <v>6</v>
      </c>
      <c r="S5190" s="5">
        <v>1.8</v>
      </c>
      <c r="T5190" s="7">
        <v>4.8739999999999997</v>
      </c>
      <c r="U5190" s="5">
        <v>2.2000000000000002</v>
      </c>
      <c r="V5190" s="6">
        <v>0.32</v>
      </c>
      <c r="W5190" s="7">
        <v>4.8440000000000003</v>
      </c>
      <c r="X5190" s="7">
        <v>4.8129999999999997</v>
      </c>
      <c r="Y5190" s="7">
        <v>5.3129999999999997</v>
      </c>
      <c r="Z5190" s="7">
        <v>5.3129999999999997</v>
      </c>
      <c r="AA5190" s="6">
        <v>5.33</v>
      </c>
      <c r="AB5190" s="7">
        <v>18.314</v>
      </c>
      <c r="AC5190" s="2"/>
    </row>
    <row r="5191" spans="1:29" ht="104" x14ac:dyDescent="0.15">
      <c r="A5191" s="3">
        <f>DATE(2000,1,7)</f>
        <v>36532</v>
      </c>
      <c r="B5191" s="3">
        <f>DATE(2000,4,3)</f>
        <v>36619</v>
      </c>
      <c r="C5191" s="2" t="s">
        <v>95</v>
      </c>
      <c r="D5191" s="2" t="s">
        <v>16056</v>
      </c>
      <c r="E5191" s="2" t="s">
        <v>16057</v>
      </c>
      <c r="F5191" s="4">
        <v>7373</v>
      </c>
      <c r="G5191" s="2" t="s">
        <v>223</v>
      </c>
      <c r="H5191" s="2" t="s">
        <v>34</v>
      </c>
      <c r="I5191" s="2" t="s">
        <v>16058</v>
      </c>
      <c r="J5191" s="2" t="s">
        <v>6519</v>
      </c>
      <c r="K5191" s="2" t="s">
        <v>63</v>
      </c>
      <c r="L5191" s="2" t="s">
        <v>34</v>
      </c>
      <c r="M5191" s="12">
        <v>7192.3180000000002</v>
      </c>
      <c r="N5191" s="6">
        <v>53.25</v>
      </c>
      <c r="O5191" s="4">
        <v>58</v>
      </c>
      <c r="P5191" s="2" t="s">
        <v>16059</v>
      </c>
      <c r="Q5191" s="6">
        <v>100</v>
      </c>
      <c r="R5191" s="6">
        <v>28.12</v>
      </c>
      <c r="S5191" s="5">
        <v>-103.3</v>
      </c>
      <c r="T5191" s="7">
        <v>-51.131999999999998</v>
      </c>
      <c r="U5191" s="5">
        <v>-0.8</v>
      </c>
      <c r="V5191" s="6">
        <v>-2.0299999999999998</v>
      </c>
      <c r="W5191" s="7">
        <v>19.875</v>
      </c>
      <c r="X5191" s="7">
        <v>22.125</v>
      </c>
      <c r="Y5191" s="7">
        <v>26.937999999999999</v>
      </c>
      <c r="Z5191" s="6">
        <v>29.25</v>
      </c>
      <c r="AA5191" s="6">
        <v>56.83</v>
      </c>
      <c r="AB5191" s="2" t="s">
        <v>86</v>
      </c>
      <c r="AC5191" s="8">
        <v>1261</v>
      </c>
    </row>
    <row r="5192" spans="1:29" ht="156" x14ac:dyDescent="0.15">
      <c r="A5192" s="3">
        <f>DATE(2000,1,10)</f>
        <v>36535</v>
      </c>
      <c r="B5192" s="3">
        <f>DATE(2000,6,6)</f>
        <v>36683</v>
      </c>
      <c r="C5192" s="2" t="s">
        <v>95</v>
      </c>
      <c r="D5192" s="2" t="s">
        <v>11926</v>
      </c>
      <c r="E5192" s="2" t="s">
        <v>36</v>
      </c>
      <c r="F5192" s="4">
        <v>6022</v>
      </c>
      <c r="G5192" s="2" t="s">
        <v>37</v>
      </c>
      <c r="H5192" s="2" t="s">
        <v>34</v>
      </c>
      <c r="I5192" s="2" t="s">
        <v>10005</v>
      </c>
      <c r="J5192" s="2" t="s">
        <v>672</v>
      </c>
      <c r="K5192" s="2" t="s">
        <v>37</v>
      </c>
      <c r="L5192" s="2" t="s">
        <v>34</v>
      </c>
      <c r="M5192" s="7">
        <v>456.512</v>
      </c>
      <c r="N5192" s="7">
        <v>15.563000000000001</v>
      </c>
      <c r="O5192" s="4">
        <v>15</v>
      </c>
      <c r="P5192" s="2" t="s">
        <v>16060</v>
      </c>
      <c r="Q5192" s="6">
        <v>100</v>
      </c>
      <c r="R5192" s="6">
        <v>35.89</v>
      </c>
      <c r="S5192" s="5">
        <v>13.3</v>
      </c>
      <c r="T5192" s="7">
        <v>24.922999999999998</v>
      </c>
      <c r="U5192" s="5">
        <v>11.2</v>
      </c>
      <c r="V5192" s="6">
        <v>1.61</v>
      </c>
      <c r="W5192" s="7">
        <v>27.125</v>
      </c>
      <c r="X5192" s="7">
        <v>26.125</v>
      </c>
      <c r="Y5192" s="7">
        <v>31.937999999999999</v>
      </c>
      <c r="Z5192" s="7">
        <v>30.812999999999999</v>
      </c>
      <c r="AA5192" s="6">
        <v>8.09</v>
      </c>
      <c r="AB5192" s="7">
        <v>19.922000000000001</v>
      </c>
      <c r="AC5192" s="2"/>
    </row>
    <row r="5193" spans="1:29" ht="78" x14ac:dyDescent="0.15">
      <c r="A5193" s="3">
        <f>DATE(2000,1,10)</f>
        <v>36535</v>
      </c>
      <c r="B5193" s="3">
        <f>DATE(2000,6,19)</f>
        <v>36696</v>
      </c>
      <c r="C5193" s="2" t="s">
        <v>95</v>
      </c>
      <c r="D5193" s="2" t="s">
        <v>16061</v>
      </c>
      <c r="E5193" s="2" t="s">
        <v>16062</v>
      </c>
      <c r="F5193" s="4">
        <v>4813</v>
      </c>
      <c r="G5193" s="2" t="s">
        <v>63</v>
      </c>
      <c r="H5193" s="2" t="s">
        <v>34</v>
      </c>
      <c r="I5193" s="2" t="s">
        <v>16063</v>
      </c>
      <c r="J5193" s="2" t="s">
        <v>973</v>
      </c>
      <c r="K5193" s="2" t="s">
        <v>63</v>
      </c>
      <c r="L5193" s="2" t="s">
        <v>34</v>
      </c>
      <c r="M5193" s="12">
        <v>5147.6639999999998</v>
      </c>
      <c r="N5193" s="7">
        <v>77.063000000000002</v>
      </c>
      <c r="O5193" s="7">
        <v>70.938000000000002</v>
      </c>
      <c r="P5193" s="2" t="s">
        <v>16064</v>
      </c>
      <c r="Q5193" s="6">
        <v>100</v>
      </c>
      <c r="R5193" s="6">
        <v>45</v>
      </c>
      <c r="S5193" s="5">
        <v>-85.1</v>
      </c>
      <c r="T5193" s="6">
        <v>-36.94</v>
      </c>
      <c r="U5193" s="5">
        <v>1.4</v>
      </c>
      <c r="V5193" s="6">
        <v>-2.76</v>
      </c>
      <c r="W5193" s="7">
        <v>31.625</v>
      </c>
      <c r="X5193" s="4">
        <v>30</v>
      </c>
      <c r="Y5193" s="7">
        <v>39.625</v>
      </c>
      <c r="Z5193" s="7">
        <v>37.030999999999999</v>
      </c>
      <c r="AA5193" s="6">
        <v>42.12</v>
      </c>
      <c r="AB5193" s="2" t="s">
        <v>86</v>
      </c>
      <c r="AC5193" s="10">
        <v>1922.52</v>
      </c>
    </row>
    <row r="5194" spans="1:29" ht="338" x14ac:dyDescent="0.15">
      <c r="A5194" s="3">
        <f>DATE(2000,1,10)</f>
        <v>36535</v>
      </c>
      <c r="B5194" s="3">
        <f>DATE(2001,1,12)</f>
        <v>36903</v>
      </c>
      <c r="C5194" s="2" t="s">
        <v>95</v>
      </c>
      <c r="D5194" s="2" t="s">
        <v>2377</v>
      </c>
      <c r="E5194" s="2" t="s">
        <v>2378</v>
      </c>
      <c r="F5194" s="4">
        <v>7812</v>
      </c>
      <c r="G5194" s="2" t="s">
        <v>42</v>
      </c>
      <c r="H5194" s="2" t="s">
        <v>34</v>
      </c>
      <c r="I5194" s="2" t="s">
        <v>3738</v>
      </c>
      <c r="J5194" s="2" t="s">
        <v>9012</v>
      </c>
      <c r="K5194" s="2" t="s">
        <v>223</v>
      </c>
      <c r="L5194" s="2" t="s">
        <v>34</v>
      </c>
      <c r="M5194" s="12">
        <v>213824.524</v>
      </c>
      <c r="N5194" s="7">
        <v>71.875</v>
      </c>
      <c r="O5194" s="4">
        <v>64</v>
      </c>
      <c r="P5194" s="2" t="s">
        <v>16065</v>
      </c>
      <c r="Q5194" s="6">
        <v>100</v>
      </c>
      <c r="R5194" s="6">
        <v>110.63</v>
      </c>
      <c r="S5194" s="8">
        <v>1960</v>
      </c>
      <c r="T5194" s="8">
        <v>10858</v>
      </c>
      <c r="U5194" s="5">
        <v>7.5</v>
      </c>
      <c r="V5194" s="6">
        <v>1.43</v>
      </c>
      <c r="W5194" s="4">
        <v>71</v>
      </c>
      <c r="X5194" s="6">
        <v>64.75</v>
      </c>
      <c r="Y5194" s="9">
        <v>90.0625</v>
      </c>
      <c r="Z5194" s="7">
        <v>86.125</v>
      </c>
      <c r="AA5194" s="10">
        <v>1286.52</v>
      </c>
      <c r="AB5194" s="7">
        <v>30.094999999999999</v>
      </c>
      <c r="AC5194" s="8">
        <v>1424</v>
      </c>
    </row>
    <row r="5195" spans="1:29" ht="91" x14ac:dyDescent="0.15">
      <c r="A5195" s="3">
        <f>DATE(2000,1,11)</f>
        <v>36536</v>
      </c>
      <c r="B5195" s="2"/>
      <c r="C5195" s="2" t="s">
        <v>30</v>
      </c>
      <c r="D5195" s="2" t="s">
        <v>16066</v>
      </c>
      <c r="E5195" s="2" t="s">
        <v>16067</v>
      </c>
      <c r="F5195" s="4">
        <v>3714</v>
      </c>
      <c r="G5195" s="2" t="s">
        <v>105</v>
      </c>
      <c r="H5195" s="2" t="s">
        <v>34</v>
      </c>
      <c r="I5195" s="2" t="s">
        <v>51</v>
      </c>
      <c r="J5195" s="2" t="s">
        <v>52</v>
      </c>
      <c r="K5195" s="2" t="s">
        <v>53</v>
      </c>
      <c r="L5195" s="2" t="s">
        <v>34</v>
      </c>
      <c r="M5195" s="2"/>
      <c r="N5195" s="2"/>
      <c r="O5195" s="2"/>
      <c r="P5195" s="2" t="s">
        <v>16068</v>
      </c>
      <c r="Q5195" s="2"/>
      <c r="R5195" s="6">
        <v>21</v>
      </c>
      <c r="S5195" s="5">
        <v>52</v>
      </c>
      <c r="T5195" s="5">
        <v>274.39999999999998</v>
      </c>
      <c r="U5195" s="5">
        <v>6.2</v>
      </c>
      <c r="V5195" s="9">
        <v>1.2487999999999999</v>
      </c>
      <c r="W5195" s="4">
        <v>17</v>
      </c>
      <c r="X5195" s="6">
        <v>20.75</v>
      </c>
      <c r="Y5195" s="9">
        <v>20.5625</v>
      </c>
      <c r="Z5195" s="9">
        <v>20.6875</v>
      </c>
      <c r="AA5195" s="6">
        <v>30.34</v>
      </c>
      <c r="AB5195" s="7">
        <v>9.5190000000000001</v>
      </c>
      <c r="AC5195" s="2"/>
    </row>
    <row r="5196" spans="1:29" ht="104" x14ac:dyDescent="0.15">
      <c r="A5196" s="3">
        <f>DATE(2000,1,12)</f>
        <v>36537</v>
      </c>
      <c r="B5196" s="3">
        <f>DATE(2000,2,18)</f>
        <v>36574</v>
      </c>
      <c r="C5196" s="2" t="s">
        <v>95</v>
      </c>
      <c r="D5196" s="2" t="s">
        <v>16069</v>
      </c>
      <c r="E5196" s="2" t="s">
        <v>16070</v>
      </c>
      <c r="F5196" s="4">
        <v>7372</v>
      </c>
      <c r="G5196" s="2" t="s">
        <v>551</v>
      </c>
      <c r="H5196" s="2" t="s">
        <v>34</v>
      </c>
      <c r="I5196" s="2" t="s">
        <v>11391</v>
      </c>
      <c r="J5196" s="2" t="s">
        <v>11392</v>
      </c>
      <c r="K5196" s="2" t="s">
        <v>551</v>
      </c>
      <c r="L5196" s="2" t="s">
        <v>303</v>
      </c>
      <c r="M5196" s="2"/>
      <c r="N5196" s="2"/>
      <c r="O5196" s="2"/>
      <c r="P5196" s="2" t="s">
        <v>16071</v>
      </c>
      <c r="Q5196" s="6">
        <v>100</v>
      </c>
      <c r="R5196" s="6">
        <v>35</v>
      </c>
      <c r="S5196" s="5">
        <v>11.4</v>
      </c>
      <c r="T5196" s="7">
        <v>18.036999999999999</v>
      </c>
      <c r="U5196" s="5">
        <v>4.0999999999999996</v>
      </c>
      <c r="V5196" s="6">
        <v>0.93</v>
      </c>
      <c r="W5196" s="7">
        <v>26.875</v>
      </c>
      <c r="X5196" s="7">
        <v>29.937999999999999</v>
      </c>
      <c r="Y5196" s="5">
        <v>34.5</v>
      </c>
      <c r="Z5196" s="7">
        <v>34.530999999999999</v>
      </c>
      <c r="AA5196" s="6">
        <v>11.77</v>
      </c>
      <c r="AB5196" s="7">
        <v>33.915999999999997</v>
      </c>
      <c r="AC5196" s="6">
        <v>51.99</v>
      </c>
    </row>
    <row r="5197" spans="1:29" ht="143" x14ac:dyDescent="0.15">
      <c r="A5197" s="3">
        <f>DATE(2000,1,12)</f>
        <v>36537</v>
      </c>
      <c r="B5197" s="3">
        <f>DATE(2000,3,29)</f>
        <v>36614</v>
      </c>
      <c r="C5197" s="2" t="s">
        <v>95</v>
      </c>
      <c r="D5197" s="2" t="s">
        <v>16072</v>
      </c>
      <c r="E5197" s="2" t="s">
        <v>16073</v>
      </c>
      <c r="F5197" s="4">
        <v>3559</v>
      </c>
      <c r="G5197" s="2" t="s">
        <v>300</v>
      </c>
      <c r="H5197" s="2" t="s">
        <v>34</v>
      </c>
      <c r="I5197" s="2" t="s">
        <v>8901</v>
      </c>
      <c r="J5197" s="2" t="s">
        <v>207</v>
      </c>
      <c r="K5197" s="2" t="s">
        <v>137</v>
      </c>
      <c r="L5197" s="2" t="s">
        <v>34</v>
      </c>
      <c r="M5197" s="12">
        <v>39071.387000000002</v>
      </c>
      <c r="N5197" s="7">
        <v>127.063</v>
      </c>
      <c r="O5197" s="5">
        <v>124.5</v>
      </c>
      <c r="P5197" s="2" t="s">
        <v>16074</v>
      </c>
      <c r="Q5197" s="6">
        <v>100</v>
      </c>
      <c r="R5197" s="6">
        <v>78.41</v>
      </c>
      <c r="S5197" s="5">
        <v>-9.1</v>
      </c>
      <c r="T5197" s="7">
        <v>9.1180000000000003</v>
      </c>
      <c r="U5197" s="5">
        <v>11.1</v>
      </c>
      <c r="V5197" s="6">
        <v>-0.41</v>
      </c>
      <c r="W5197" s="5">
        <v>43.5</v>
      </c>
      <c r="X5197" s="7">
        <v>42.563000000000002</v>
      </c>
      <c r="Y5197" s="7">
        <v>49.875</v>
      </c>
      <c r="Z5197" s="7">
        <v>75.813000000000002</v>
      </c>
      <c r="AA5197" s="6">
        <v>21.57</v>
      </c>
      <c r="AB5197" s="2" t="s">
        <v>86</v>
      </c>
      <c r="AC5197" s="10">
        <v>2760.45</v>
      </c>
    </row>
    <row r="5198" spans="1:29" ht="104" x14ac:dyDescent="0.15">
      <c r="A5198" s="3">
        <f>DATE(2000,1,12)</f>
        <v>36537</v>
      </c>
      <c r="B5198" s="3">
        <f>DATE(2000,4,5)</f>
        <v>36621</v>
      </c>
      <c r="C5198" s="2" t="s">
        <v>95</v>
      </c>
      <c r="D5198" s="2" t="s">
        <v>16075</v>
      </c>
      <c r="E5198" s="2" t="s">
        <v>65</v>
      </c>
      <c r="F5198" s="4">
        <v>7389</v>
      </c>
      <c r="G5198" s="2" t="s">
        <v>223</v>
      </c>
      <c r="H5198" s="2" t="s">
        <v>34</v>
      </c>
      <c r="I5198" s="2" t="s">
        <v>13762</v>
      </c>
      <c r="J5198" s="2" t="s">
        <v>13763</v>
      </c>
      <c r="K5198" s="2" t="s">
        <v>45</v>
      </c>
      <c r="L5198" s="2" t="s">
        <v>34</v>
      </c>
      <c r="M5198" s="2"/>
      <c r="N5198" s="2"/>
      <c r="O5198" s="2"/>
      <c r="P5198" s="2" t="s">
        <v>16076</v>
      </c>
      <c r="Q5198" s="6">
        <v>100</v>
      </c>
      <c r="R5198" s="6">
        <v>28.11</v>
      </c>
      <c r="S5198" s="5">
        <v>8.3000000000000007</v>
      </c>
      <c r="T5198" s="7">
        <v>30.443000000000001</v>
      </c>
      <c r="U5198" s="5">
        <v>4.0999999999999996</v>
      </c>
      <c r="V5198" s="6">
        <v>0.37</v>
      </c>
      <c r="W5198" s="7">
        <v>21.937999999999999</v>
      </c>
      <c r="X5198" s="6">
        <v>21.75</v>
      </c>
      <c r="Y5198" s="7">
        <v>25.125</v>
      </c>
      <c r="Z5198" s="6">
        <v>27.75</v>
      </c>
      <c r="AA5198" s="6">
        <v>21.63</v>
      </c>
      <c r="AB5198" s="7">
        <v>47.698</v>
      </c>
      <c r="AC5198" s="5">
        <v>424.2</v>
      </c>
    </row>
    <row r="5199" spans="1:29" ht="52" x14ac:dyDescent="0.15">
      <c r="A5199" s="3">
        <f>DATE(2000,1,13)</f>
        <v>36538</v>
      </c>
      <c r="B5199" s="2"/>
      <c r="C5199" s="2" t="s">
        <v>7330</v>
      </c>
      <c r="D5199" s="2" t="s">
        <v>16077</v>
      </c>
      <c r="E5199" s="2" t="s">
        <v>16078</v>
      </c>
      <c r="F5199" s="4">
        <v>6211</v>
      </c>
      <c r="G5199" s="2" t="s">
        <v>53</v>
      </c>
      <c r="H5199" s="2" t="s">
        <v>34</v>
      </c>
      <c r="I5199" s="2" t="s">
        <v>15730</v>
      </c>
      <c r="J5199" s="2" t="s">
        <v>15731</v>
      </c>
      <c r="K5199" s="2" t="s">
        <v>223</v>
      </c>
      <c r="L5199" s="2" t="s">
        <v>34</v>
      </c>
      <c r="M5199" s="2"/>
      <c r="N5199" s="2"/>
      <c r="O5199" s="2"/>
      <c r="P5199" s="2" t="s">
        <v>16079</v>
      </c>
      <c r="Q5199" s="2"/>
      <c r="R5199" s="2"/>
      <c r="S5199" s="5">
        <v>-0.4</v>
      </c>
      <c r="T5199" s="7">
        <v>-0.47299999999999998</v>
      </c>
      <c r="U5199" s="5">
        <v>2</v>
      </c>
      <c r="V5199" s="6">
        <v>-0.15</v>
      </c>
      <c r="W5199" s="4">
        <v>13</v>
      </c>
      <c r="X5199" s="4">
        <v>14</v>
      </c>
      <c r="Y5199" s="4">
        <v>14</v>
      </c>
      <c r="Z5199" s="7">
        <v>13.375</v>
      </c>
      <c r="AA5199" s="6">
        <v>2.95</v>
      </c>
      <c r="AB5199" s="2" t="s">
        <v>86</v>
      </c>
      <c r="AC5199" s="2"/>
    </row>
    <row r="5200" spans="1:29" ht="130" x14ac:dyDescent="0.15">
      <c r="A5200" s="3">
        <f>DATE(2000,1,13)</f>
        <v>36538</v>
      </c>
      <c r="B5200" s="3">
        <f>DATE(2000,6,19)</f>
        <v>36696</v>
      </c>
      <c r="C5200" s="2" t="s">
        <v>95</v>
      </c>
      <c r="D5200" s="2" t="s">
        <v>16080</v>
      </c>
      <c r="E5200" s="2" t="s">
        <v>203</v>
      </c>
      <c r="F5200" s="4">
        <v>6035</v>
      </c>
      <c r="G5200" s="2" t="s">
        <v>33</v>
      </c>
      <c r="H5200" s="2" t="s">
        <v>34</v>
      </c>
      <c r="I5200" s="2" t="s">
        <v>16081</v>
      </c>
      <c r="J5200" s="2" t="s">
        <v>263</v>
      </c>
      <c r="K5200" s="2" t="s">
        <v>37</v>
      </c>
      <c r="L5200" s="2" t="s">
        <v>34</v>
      </c>
      <c r="M5200" s="7">
        <v>184.70099999999999</v>
      </c>
      <c r="N5200" s="7">
        <v>18.875</v>
      </c>
      <c r="O5200" s="6">
        <v>18.25</v>
      </c>
      <c r="P5200" s="2" t="s">
        <v>16082</v>
      </c>
      <c r="Q5200" s="6">
        <v>100</v>
      </c>
      <c r="R5200" s="6">
        <v>15.85</v>
      </c>
      <c r="S5200" s="5">
        <v>1.7</v>
      </c>
      <c r="T5200" s="2"/>
      <c r="U5200" s="5">
        <v>12</v>
      </c>
      <c r="V5200" s="6">
        <v>0.88</v>
      </c>
      <c r="W5200" s="4">
        <v>12</v>
      </c>
      <c r="X5200" s="5">
        <v>11.5</v>
      </c>
      <c r="Y5200" s="5">
        <v>13.5</v>
      </c>
      <c r="Z5200" s="7">
        <v>13.625</v>
      </c>
      <c r="AA5200" s="6">
        <v>2.1</v>
      </c>
      <c r="AB5200" s="7">
        <v>101.203</v>
      </c>
      <c r="AC5200" s="2"/>
    </row>
    <row r="5201" spans="1:29" ht="208" x14ac:dyDescent="0.15">
      <c r="A5201" s="3">
        <f>DATE(2000,1,13)</f>
        <v>36538</v>
      </c>
      <c r="B5201" s="3">
        <f>DATE(2000,6,1)</f>
        <v>36678</v>
      </c>
      <c r="C5201" s="2" t="s">
        <v>95</v>
      </c>
      <c r="D5201" s="2" t="s">
        <v>16083</v>
      </c>
      <c r="E5201" s="2" t="s">
        <v>16084</v>
      </c>
      <c r="F5201" s="4">
        <v>6022</v>
      </c>
      <c r="G5201" s="2" t="s">
        <v>37</v>
      </c>
      <c r="H5201" s="2" t="s">
        <v>34</v>
      </c>
      <c r="I5201" s="2" t="s">
        <v>16085</v>
      </c>
      <c r="J5201" s="2" t="s">
        <v>367</v>
      </c>
      <c r="K5201" s="2" t="s">
        <v>53</v>
      </c>
      <c r="L5201" s="2" t="s">
        <v>34</v>
      </c>
      <c r="M5201" s="12">
        <v>30133.861000000001</v>
      </c>
      <c r="N5201" s="5">
        <v>40.5</v>
      </c>
      <c r="O5201" s="6">
        <v>41.75</v>
      </c>
      <c r="P5201" s="2" t="s">
        <v>16086</v>
      </c>
      <c r="Q5201" s="6">
        <v>100</v>
      </c>
      <c r="R5201" s="6">
        <v>128.94</v>
      </c>
      <c r="S5201" s="5">
        <v>77.599999999999994</v>
      </c>
      <c r="T5201" s="7">
        <v>144.77600000000001</v>
      </c>
      <c r="U5201" s="5">
        <v>16.2</v>
      </c>
      <c r="V5201" s="6">
        <v>3.72</v>
      </c>
      <c r="W5201" s="7">
        <v>78.125</v>
      </c>
      <c r="X5201" s="7">
        <v>78.875</v>
      </c>
      <c r="Y5201" s="4">
        <v>133</v>
      </c>
      <c r="Z5201" s="7">
        <v>136.375</v>
      </c>
      <c r="AA5201" s="6">
        <v>18.670000000000002</v>
      </c>
      <c r="AB5201" s="7">
        <v>22.06</v>
      </c>
      <c r="AC5201" s="10">
        <v>4379.6099999999997</v>
      </c>
    </row>
    <row r="5202" spans="1:29" ht="65" x14ac:dyDescent="0.15">
      <c r="A5202" s="3">
        <f>DATE(2000,1,14)</f>
        <v>36539</v>
      </c>
      <c r="B5202" s="3">
        <f>DATE(2000,7,11)</f>
        <v>36718</v>
      </c>
      <c r="C5202" s="2" t="s">
        <v>95</v>
      </c>
      <c r="D5202" s="2" t="s">
        <v>16087</v>
      </c>
      <c r="E5202" s="2" t="s">
        <v>16088</v>
      </c>
      <c r="F5202" s="4">
        <v>7359</v>
      </c>
      <c r="G5202" s="2" t="s">
        <v>223</v>
      </c>
      <c r="H5202" s="2" t="s">
        <v>34</v>
      </c>
      <c r="I5202" s="2" t="s">
        <v>9141</v>
      </c>
      <c r="J5202" s="2" t="s">
        <v>92</v>
      </c>
      <c r="K5202" s="2" t="s">
        <v>53</v>
      </c>
      <c r="L5202" s="2" t="s">
        <v>34</v>
      </c>
      <c r="M5202" s="12">
        <v>5088.2150000000001</v>
      </c>
      <c r="N5202" s="7">
        <v>42.625</v>
      </c>
      <c r="O5202" s="7">
        <v>42.625</v>
      </c>
      <c r="P5202" s="2" t="s">
        <v>16089</v>
      </c>
      <c r="Q5202" s="6">
        <v>100</v>
      </c>
      <c r="R5202" s="6">
        <v>13</v>
      </c>
      <c r="S5202" s="5">
        <v>3.8</v>
      </c>
      <c r="T5202" s="7">
        <v>24.818999999999999</v>
      </c>
      <c r="U5202" s="5">
        <v>9.6</v>
      </c>
      <c r="V5202" s="6">
        <v>0.78</v>
      </c>
      <c r="W5202" s="4">
        <v>12</v>
      </c>
      <c r="X5202" s="7">
        <v>11.875</v>
      </c>
      <c r="Y5202" s="7">
        <v>12.188000000000001</v>
      </c>
      <c r="Z5202" s="7">
        <v>12.188000000000001</v>
      </c>
      <c r="AA5202" s="6">
        <v>4.8</v>
      </c>
      <c r="AB5202" s="7">
        <v>11.095000000000001</v>
      </c>
      <c r="AC5202" s="6">
        <v>29.12</v>
      </c>
    </row>
    <row r="5203" spans="1:29" ht="65" x14ac:dyDescent="0.15">
      <c r="A5203" s="3">
        <f>DATE(2000,1,15)</f>
        <v>36540</v>
      </c>
      <c r="B5203" s="3">
        <f>DATE(2000,2,22)</f>
        <v>36578</v>
      </c>
      <c r="C5203" s="2" t="s">
        <v>95</v>
      </c>
      <c r="D5203" s="2" t="s">
        <v>16090</v>
      </c>
      <c r="E5203" s="2" t="s">
        <v>9514</v>
      </c>
      <c r="F5203" s="4">
        <v>2761</v>
      </c>
      <c r="G5203" s="2" t="s">
        <v>186</v>
      </c>
      <c r="H5203" s="2" t="s">
        <v>34</v>
      </c>
      <c r="I5203" s="2" t="s">
        <v>10678</v>
      </c>
      <c r="J5203" s="2" t="s">
        <v>10679</v>
      </c>
      <c r="K5203" s="2" t="s">
        <v>282</v>
      </c>
      <c r="L5203" s="2" t="s">
        <v>34</v>
      </c>
      <c r="M5203" s="7">
        <v>630.32600000000002</v>
      </c>
      <c r="N5203" s="7">
        <v>12.125</v>
      </c>
      <c r="O5203" s="7">
        <v>12.125</v>
      </c>
      <c r="P5203" s="2" t="s">
        <v>16091</v>
      </c>
      <c r="Q5203" s="6">
        <v>100</v>
      </c>
      <c r="R5203" s="6">
        <v>20</v>
      </c>
      <c r="S5203" s="5">
        <v>18.8</v>
      </c>
      <c r="T5203" s="7">
        <v>51.398000000000003</v>
      </c>
      <c r="U5203" s="5">
        <v>10.6</v>
      </c>
      <c r="V5203" s="6">
        <v>1.24</v>
      </c>
      <c r="W5203" s="7">
        <v>11.563000000000001</v>
      </c>
      <c r="X5203" s="7">
        <v>19.625</v>
      </c>
      <c r="Y5203" s="7">
        <v>19.625</v>
      </c>
      <c r="Z5203" s="7">
        <v>19.625</v>
      </c>
      <c r="AA5203" s="6">
        <v>14.74</v>
      </c>
      <c r="AB5203" s="7">
        <v>8.077</v>
      </c>
      <c r="AC5203" s="5">
        <v>3.6</v>
      </c>
    </row>
    <row r="5204" spans="1:29" ht="104" x14ac:dyDescent="0.15">
      <c r="A5204" s="3">
        <f>DATE(2000,1,17)</f>
        <v>36542</v>
      </c>
      <c r="B5204" s="3">
        <f>DATE(2000,3,13)</f>
        <v>36598</v>
      </c>
      <c r="C5204" s="2" t="s">
        <v>95</v>
      </c>
      <c r="D5204" s="2" t="s">
        <v>16092</v>
      </c>
      <c r="E5204" s="2" t="s">
        <v>781</v>
      </c>
      <c r="F5204" s="4">
        <v>7372</v>
      </c>
      <c r="G5204" s="2" t="s">
        <v>551</v>
      </c>
      <c r="H5204" s="2" t="s">
        <v>34</v>
      </c>
      <c r="I5204" s="2" t="s">
        <v>16093</v>
      </c>
      <c r="J5204" s="2" t="s">
        <v>16094</v>
      </c>
      <c r="K5204" s="2" t="s">
        <v>551</v>
      </c>
      <c r="L5204" s="2" t="s">
        <v>34</v>
      </c>
      <c r="M5204" s="2"/>
      <c r="N5204" s="7">
        <v>5.375</v>
      </c>
      <c r="O5204" s="9">
        <v>6.5625</v>
      </c>
      <c r="P5204" s="2" t="s">
        <v>16095</v>
      </c>
      <c r="Q5204" s="6">
        <v>100</v>
      </c>
      <c r="R5204" s="6">
        <v>11.75</v>
      </c>
      <c r="S5204" s="5">
        <v>9.1</v>
      </c>
      <c r="T5204" s="7">
        <v>13.161</v>
      </c>
      <c r="U5204" s="5">
        <v>5</v>
      </c>
      <c r="V5204" s="6">
        <v>0.72</v>
      </c>
      <c r="W5204" s="7">
        <v>7.375</v>
      </c>
      <c r="X5204" s="7">
        <v>7.4379999999999997</v>
      </c>
      <c r="Y5204" s="7">
        <v>7.4379999999999997</v>
      </c>
      <c r="Z5204" s="7">
        <v>9.3130000000000006</v>
      </c>
      <c r="AA5204" s="6">
        <v>12.09</v>
      </c>
      <c r="AB5204" s="7">
        <v>9.4689999999999994</v>
      </c>
      <c r="AC5204" s="2"/>
    </row>
    <row r="5205" spans="1:29" ht="247" x14ac:dyDescent="0.15">
      <c r="A5205" s="3">
        <f>DATE(2000,1,17)</f>
        <v>36542</v>
      </c>
      <c r="B5205" s="3">
        <f>DATE(2000,3,5)</f>
        <v>36590</v>
      </c>
      <c r="C5205" s="2" t="s">
        <v>95</v>
      </c>
      <c r="D5205" s="2" t="s">
        <v>14103</v>
      </c>
      <c r="E5205" s="2" t="s">
        <v>14104</v>
      </c>
      <c r="F5205" s="4">
        <v>7359</v>
      </c>
      <c r="G5205" s="2" t="s">
        <v>223</v>
      </c>
      <c r="H5205" s="2" t="s">
        <v>34</v>
      </c>
      <c r="I5205" s="2" t="s">
        <v>16096</v>
      </c>
      <c r="J5205" s="2" t="s">
        <v>16097</v>
      </c>
      <c r="K5205" s="2" t="s">
        <v>33</v>
      </c>
      <c r="L5205" s="2" t="s">
        <v>34</v>
      </c>
      <c r="M5205" s="2"/>
      <c r="N5205" s="2"/>
      <c r="O5205" s="2"/>
      <c r="P5205" s="2" t="s">
        <v>16098</v>
      </c>
      <c r="Q5205" s="6">
        <v>100</v>
      </c>
      <c r="R5205" s="6">
        <v>28</v>
      </c>
      <c r="S5205" s="5">
        <v>27.7</v>
      </c>
      <c r="T5205" s="7">
        <v>96.486999999999995</v>
      </c>
      <c r="U5205" s="5">
        <v>15.7</v>
      </c>
      <c r="V5205" s="6">
        <v>2.06</v>
      </c>
      <c r="W5205" s="7">
        <v>15.938000000000001</v>
      </c>
      <c r="X5205" s="6">
        <v>16.75</v>
      </c>
      <c r="Y5205" s="6">
        <v>22.75</v>
      </c>
      <c r="Z5205" s="4">
        <v>23</v>
      </c>
      <c r="AA5205" s="6">
        <v>13.1</v>
      </c>
      <c r="AB5205" s="7">
        <v>9.9450000000000003</v>
      </c>
      <c r="AC5205" s="2"/>
    </row>
    <row r="5206" spans="1:29" ht="130" x14ac:dyDescent="0.15">
      <c r="A5206" s="3">
        <f>DATE(2000,1,17)</f>
        <v>36542</v>
      </c>
      <c r="B5206" s="3">
        <f>DATE(2000,6,30)</f>
        <v>36707</v>
      </c>
      <c r="C5206" s="2" t="s">
        <v>95</v>
      </c>
      <c r="D5206" s="2" t="s">
        <v>16099</v>
      </c>
      <c r="E5206" s="2" t="s">
        <v>6462</v>
      </c>
      <c r="F5206" s="4">
        <v>3674</v>
      </c>
      <c r="G5206" s="2" t="s">
        <v>137</v>
      </c>
      <c r="H5206" s="2" t="s">
        <v>34</v>
      </c>
      <c r="I5206" s="2" t="s">
        <v>15634</v>
      </c>
      <c r="J5206" s="2" t="s">
        <v>15635</v>
      </c>
      <c r="K5206" s="2" t="s">
        <v>137</v>
      </c>
      <c r="L5206" s="2" t="s">
        <v>34</v>
      </c>
      <c r="M5206" s="10">
        <v>14434.97</v>
      </c>
      <c r="N5206" s="7">
        <v>192.18799999999999</v>
      </c>
      <c r="O5206" s="7">
        <v>195.68799999999999</v>
      </c>
      <c r="P5206" s="2" t="s">
        <v>16100</v>
      </c>
      <c r="Q5206" s="6">
        <v>100</v>
      </c>
      <c r="R5206" s="6">
        <v>211.41</v>
      </c>
      <c r="S5206" s="5">
        <v>31.4</v>
      </c>
      <c r="T5206" s="7">
        <v>80.328000000000003</v>
      </c>
      <c r="U5206" s="5">
        <v>5.3</v>
      </c>
      <c r="V5206" s="6">
        <v>0.48</v>
      </c>
      <c r="W5206" s="7">
        <v>132.375</v>
      </c>
      <c r="X5206" s="7">
        <v>135.875</v>
      </c>
      <c r="Y5206" s="7">
        <v>135.875</v>
      </c>
      <c r="Z5206" s="7">
        <v>178.375</v>
      </c>
      <c r="AA5206" s="6">
        <v>67.400000000000006</v>
      </c>
      <c r="AB5206" s="7">
        <v>300.03100000000001</v>
      </c>
      <c r="AC5206" s="5">
        <v>885.1</v>
      </c>
    </row>
    <row r="5207" spans="1:29" ht="182" x14ac:dyDescent="0.15">
      <c r="A5207" s="3">
        <f>DATE(2000,1,17)</f>
        <v>36542</v>
      </c>
      <c r="B5207" s="3">
        <f>DATE(2000,2,24)</f>
        <v>36580</v>
      </c>
      <c r="C5207" s="2" t="s">
        <v>95</v>
      </c>
      <c r="D5207" s="2" t="s">
        <v>16101</v>
      </c>
      <c r="E5207" s="2" t="s">
        <v>16102</v>
      </c>
      <c r="F5207" s="4">
        <v>3823</v>
      </c>
      <c r="G5207" s="2" t="s">
        <v>226</v>
      </c>
      <c r="H5207" s="2" t="s">
        <v>34</v>
      </c>
      <c r="I5207" s="2" t="s">
        <v>16103</v>
      </c>
      <c r="J5207" s="2" t="s">
        <v>16104</v>
      </c>
      <c r="K5207" s="2" t="s">
        <v>223</v>
      </c>
      <c r="L5207" s="2" t="s">
        <v>34</v>
      </c>
      <c r="M5207" s="2"/>
      <c r="N5207" s="2"/>
      <c r="O5207" s="2"/>
      <c r="P5207" s="2" t="s">
        <v>16105</v>
      </c>
      <c r="Q5207" s="6">
        <v>100</v>
      </c>
      <c r="R5207" s="6">
        <v>54.71</v>
      </c>
      <c r="S5207" s="5">
        <v>2.6</v>
      </c>
      <c r="T5207" s="7">
        <v>9.8059999999999992</v>
      </c>
      <c r="U5207" s="5">
        <v>24.7</v>
      </c>
      <c r="V5207" s="6">
        <v>0.94</v>
      </c>
      <c r="W5207" s="5">
        <v>37.5</v>
      </c>
      <c r="X5207" s="7">
        <v>42.875</v>
      </c>
      <c r="Y5207" s="7">
        <v>42.875</v>
      </c>
      <c r="Z5207" s="7">
        <v>54.063000000000002</v>
      </c>
      <c r="AA5207" s="6">
        <v>2.64</v>
      </c>
      <c r="AB5207" s="7">
        <v>31.925999999999998</v>
      </c>
      <c r="AC5207" s="2"/>
    </row>
    <row r="5208" spans="1:29" ht="169" x14ac:dyDescent="0.15">
      <c r="A5208" s="3">
        <f>DATE(2000,1,18)</f>
        <v>36543</v>
      </c>
      <c r="B5208" s="3">
        <f>DATE(2000,9,21)</f>
        <v>36790</v>
      </c>
      <c r="C5208" s="2" t="s">
        <v>95</v>
      </c>
      <c r="D5208" s="2" t="s">
        <v>10552</v>
      </c>
      <c r="E5208" s="2" t="s">
        <v>124</v>
      </c>
      <c r="F5208" s="4">
        <v>6311</v>
      </c>
      <c r="G5208" s="2" t="s">
        <v>125</v>
      </c>
      <c r="H5208" s="2" t="s">
        <v>34</v>
      </c>
      <c r="I5208" s="2" t="s">
        <v>16106</v>
      </c>
      <c r="J5208" s="2" t="s">
        <v>3484</v>
      </c>
      <c r="K5208" s="2" t="s">
        <v>125</v>
      </c>
      <c r="L5208" s="2" t="s">
        <v>34</v>
      </c>
      <c r="M5208" s="2"/>
      <c r="N5208" s="7">
        <v>22.562999999999999</v>
      </c>
      <c r="O5208" s="7">
        <v>22.062999999999999</v>
      </c>
      <c r="P5208" s="2" t="s">
        <v>16107</v>
      </c>
      <c r="Q5208" s="6">
        <v>42</v>
      </c>
      <c r="R5208" s="2"/>
      <c r="S5208" s="5">
        <v>55.3</v>
      </c>
      <c r="T5208" s="7">
        <v>156.53800000000001</v>
      </c>
      <c r="U5208" s="5">
        <v>27.7</v>
      </c>
      <c r="V5208" s="7">
        <v>1.8089999999999999</v>
      </c>
      <c r="W5208" s="9">
        <v>23.8125</v>
      </c>
      <c r="X5208" s="6">
        <v>22.75</v>
      </c>
      <c r="Y5208" s="9">
        <v>22.5625</v>
      </c>
      <c r="Z5208" s="9">
        <v>22.0625</v>
      </c>
      <c r="AA5208" s="6">
        <v>30.1</v>
      </c>
      <c r="AB5208" s="7">
        <v>8.3740000000000006</v>
      </c>
      <c r="AC5208" s="6">
        <v>23.09</v>
      </c>
    </row>
    <row r="5209" spans="1:29" ht="195" x14ac:dyDescent="0.15">
      <c r="A5209" s="3">
        <f>DATE(2000,1,18)</f>
        <v>36543</v>
      </c>
      <c r="B5209" s="3">
        <f>DATE(2001,1,29)</f>
        <v>36920</v>
      </c>
      <c r="C5209" s="2" t="s">
        <v>95</v>
      </c>
      <c r="D5209" s="2" t="s">
        <v>16108</v>
      </c>
      <c r="E5209" s="2" t="s">
        <v>1387</v>
      </c>
      <c r="F5209" s="4">
        <v>4923</v>
      </c>
      <c r="G5209" s="2" t="s">
        <v>439</v>
      </c>
      <c r="H5209" s="2" t="s">
        <v>34</v>
      </c>
      <c r="I5209" s="2" t="s">
        <v>14017</v>
      </c>
      <c r="J5209" s="2" t="s">
        <v>1387</v>
      </c>
      <c r="K5209" s="2" t="s">
        <v>439</v>
      </c>
      <c r="L5209" s="2" t="s">
        <v>34</v>
      </c>
      <c r="M5209" s="12">
        <v>8490.7469999999994</v>
      </c>
      <c r="N5209" s="4">
        <v>35</v>
      </c>
      <c r="O5209" s="6">
        <v>33.25</v>
      </c>
      <c r="P5209" s="2" t="s">
        <v>16109</v>
      </c>
      <c r="Q5209" s="6">
        <v>100</v>
      </c>
      <c r="R5209" s="6">
        <v>45.66</v>
      </c>
      <c r="S5209" s="5">
        <v>498.9</v>
      </c>
      <c r="T5209" s="8">
        <v>1365</v>
      </c>
      <c r="U5209" s="5">
        <v>18.399999999999999</v>
      </c>
      <c r="V5209" s="7">
        <v>2.3380000000000001</v>
      </c>
      <c r="W5209" s="7">
        <v>34.125</v>
      </c>
      <c r="X5209" s="4">
        <v>36</v>
      </c>
      <c r="Y5209" s="4">
        <v>39</v>
      </c>
      <c r="Z5209" s="4">
        <v>38</v>
      </c>
      <c r="AA5209" s="6">
        <v>213.61</v>
      </c>
      <c r="AB5209" s="7">
        <v>17.783999999999999</v>
      </c>
      <c r="AC5209" s="5">
        <v>545</v>
      </c>
    </row>
    <row r="5210" spans="1:29" ht="117" x14ac:dyDescent="0.15">
      <c r="A5210" s="3">
        <f>DATE(2000,1,18)</f>
        <v>36543</v>
      </c>
      <c r="B5210" s="3">
        <f>DATE(2000,6,16)</f>
        <v>36693</v>
      </c>
      <c r="C5210" s="2" t="s">
        <v>95</v>
      </c>
      <c r="D5210" s="2" t="s">
        <v>16110</v>
      </c>
      <c r="E5210" s="2" t="s">
        <v>16111</v>
      </c>
      <c r="F5210" s="4">
        <v>3315</v>
      </c>
      <c r="G5210" s="2" t="s">
        <v>163</v>
      </c>
      <c r="H5210" s="2" t="s">
        <v>34</v>
      </c>
      <c r="I5210" s="2" t="s">
        <v>16112</v>
      </c>
      <c r="J5210" s="2" t="s">
        <v>1620</v>
      </c>
      <c r="K5210" s="2" t="s">
        <v>53</v>
      </c>
      <c r="L5210" s="2" t="s">
        <v>34</v>
      </c>
      <c r="M5210" s="2"/>
      <c r="N5210" s="2"/>
      <c r="O5210" s="2"/>
      <c r="P5210" s="2" t="s">
        <v>16113</v>
      </c>
      <c r="Q5210" s="6">
        <v>100</v>
      </c>
      <c r="R5210" s="6">
        <v>27</v>
      </c>
      <c r="S5210" s="5">
        <v>14.7</v>
      </c>
      <c r="T5210" s="7">
        <v>52.673999999999999</v>
      </c>
      <c r="U5210" s="5">
        <v>14.7</v>
      </c>
      <c r="V5210" s="6">
        <v>2.2999999999999998</v>
      </c>
      <c r="W5210" s="5">
        <v>17.5</v>
      </c>
      <c r="X5210" s="6">
        <v>18.25</v>
      </c>
      <c r="Y5210" s="7">
        <v>18.437999999999999</v>
      </c>
      <c r="Z5210" s="4">
        <v>24</v>
      </c>
      <c r="AA5210" s="6">
        <v>5.94</v>
      </c>
      <c r="AB5210" s="7">
        <v>7.673</v>
      </c>
      <c r="AC5210" s="2"/>
    </row>
    <row r="5211" spans="1:29" ht="143" x14ac:dyDescent="0.15">
      <c r="A5211" s="3">
        <f>DATE(2000,1,18)</f>
        <v>36543</v>
      </c>
      <c r="B5211" s="2"/>
      <c r="C5211" s="2" t="s">
        <v>30</v>
      </c>
      <c r="D5211" s="2" t="s">
        <v>16114</v>
      </c>
      <c r="E5211" s="2" t="s">
        <v>16115</v>
      </c>
      <c r="F5211" s="4">
        <v>4213</v>
      </c>
      <c r="G5211" s="2" t="s">
        <v>173</v>
      </c>
      <c r="H5211" s="2" t="s">
        <v>34</v>
      </c>
      <c r="I5211" s="2" t="s">
        <v>12929</v>
      </c>
      <c r="J5211" s="2" t="s">
        <v>12930</v>
      </c>
      <c r="K5211" s="2" t="s">
        <v>173</v>
      </c>
      <c r="L5211" s="2" t="s">
        <v>34</v>
      </c>
      <c r="M5211" s="12">
        <v>1208.2149999999999</v>
      </c>
      <c r="N5211" s="4">
        <v>42</v>
      </c>
      <c r="O5211" s="7">
        <v>41.655999999999999</v>
      </c>
      <c r="P5211" s="2" t="s">
        <v>16116</v>
      </c>
      <c r="Q5211" s="2"/>
      <c r="R5211" s="6">
        <v>17.97</v>
      </c>
      <c r="S5211" s="5">
        <v>8.3000000000000007</v>
      </c>
      <c r="T5211" s="5">
        <v>46</v>
      </c>
      <c r="U5211" s="5">
        <v>11.5</v>
      </c>
      <c r="V5211" s="6">
        <v>0.97</v>
      </c>
      <c r="W5211" s="4">
        <v>12</v>
      </c>
      <c r="X5211" s="6">
        <v>13.25</v>
      </c>
      <c r="Y5211" s="9">
        <v>16.3125</v>
      </c>
      <c r="Z5211" s="7">
        <v>16.125</v>
      </c>
      <c r="AA5211" s="6">
        <v>8.3000000000000007</v>
      </c>
      <c r="AB5211" s="7">
        <v>13.34</v>
      </c>
      <c r="AC5211" s="5">
        <v>6.9</v>
      </c>
    </row>
    <row r="5212" spans="1:29" ht="221" x14ac:dyDescent="0.15">
      <c r="A5212" s="3">
        <f>DATE(2000,1,19)</f>
        <v>36544</v>
      </c>
      <c r="B5212" s="3">
        <f>DATE(2000,4,19)</f>
        <v>36635</v>
      </c>
      <c r="C5212" s="2" t="s">
        <v>95</v>
      </c>
      <c r="D5212" s="2" t="s">
        <v>16117</v>
      </c>
      <c r="E5212" s="2" t="s">
        <v>16118</v>
      </c>
      <c r="F5212" s="4">
        <v>6282</v>
      </c>
      <c r="G5212" s="2" t="s">
        <v>53</v>
      </c>
      <c r="H5212" s="2" t="s">
        <v>34</v>
      </c>
      <c r="I5212" s="2" t="s">
        <v>16119</v>
      </c>
      <c r="J5212" s="2" t="s">
        <v>4015</v>
      </c>
      <c r="K5212" s="2" t="s">
        <v>125</v>
      </c>
      <c r="L5212" s="2" t="s">
        <v>34</v>
      </c>
      <c r="M5212" s="2"/>
      <c r="N5212" s="2"/>
      <c r="O5212" s="2"/>
      <c r="P5212" s="2" t="s">
        <v>16120</v>
      </c>
      <c r="Q5212" s="6">
        <v>43.36</v>
      </c>
      <c r="R5212" s="6">
        <v>12.5</v>
      </c>
      <c r="S5212" s="5">
        <v>13.3</v>
      </c>
      <c r="T5212" s="7">
        <v>25.431999999999999</v>
      </c>
      <c r="U5212" s="5">
        <v>7</v>
      </c>
      <c r="V5212" s="6">
        <v>0.95</v>
      </c>
      <c r="W5212" s="4">
        <v>9</v>
      </c>
      <c r="X5212" s="7">
        <v>10.813000000000001</v>
      </c>
      <c r="Y5212" s="7">
        <v>10.875</v>
      </c>
      <c r="Z5212" s="7">
        <v>11.063000000000001</v>
      </c>
      <c r="AA5212" s="6">
        <v>13.75</v>
      </c>
      <c r="AB5212" s="7">
        <v>4.1150000000000002</v>
      </c>
      <c r="AC5212" s="8">
        <v>4097</v>
      </c>
    </row>
    <row r="5213" spans="1:29" ht="195" x14ac:dyDescent="0.15">
      <c r="A5213" s="3">
        <f>DATE(2000,1,19)</f>
        <v>36544</v>
      </c>
      <c r="B5213" s="3">
        <f>DATE(2000,5,11)</f>
        <v>36657</v>
      </c>
      <c r="C5213" s="2" t="s">
        <v>95</v>
      </c>
      <c r="D5213" s="2" t="s">
        <v>16121</v>
      </c>
      <c r="E5213" s="2" t="s">
        <v>16122</v>
      </c>
      <c r="F5213" s="4">
        <v>2121</v>
      </c>
      <c r="G5213" s="2" t="s">
        <v>5397</v>
      </c>
      <c r="H5213" s="2" t="s">
        <v>34</v>
      </c>
      <c r="I5213" s="2" t="s">
        <v>16123</v>
      </c>
      <c r="J5213" s="2" t="s">
        <v>16124</v>
      </c>
      <c r="K5213" s="2" t="s">
        <v>5397</v>
      </c>
      <c r="L5213" s="2" t="s">
        <v>435</v>
      </c>
      <c r="M5213" s="2"/>
      <c r="N5213" s="2"/>
      <c r="O5213" s="2"/>
      <c r="P5213" s="2" t="s">
        <v>16125</v>
      </c>
      <c r="Q5213" s="6">
        <v>51.06</v>
      </c>
      <c r="R5213" s="2"/>
      <c r="S5213" s="5">
        <v>106.6</v>
      </c>
      <c r="T5213" s="7">
        <v>32.271999999999998</v>
      </c>
      <c r="U5213" s="5">
        <v>12.1</v>
      </c>
      <c r="V5213" s="6">
        <v>3.92</v>
      </c>
      <c r="W5213" s="7">
        <v>8.6880000000000006</v>
      </c>
      <c r="X5213" s="7">
        <v>8.625</v>
      </c>
      <c r="Y5213" s="7">
        <v>8.9380000000000006</v>
      </c>
      <c r="Z5213" s="7">
        <v>14.563000000000001</v>
      </c>
      <c r="AA5213" s="6">
        <v>27.04</v>
      </c>
      <c r="AB5213" s="7">
        <v>12.653</v>
      </c>
      <c r="AC5213" s="6">
        <v>857.28</v>
      </c>
    </row>
    <row r="5214" spans="1:29" ht="78" x14ac:dyDescent="0.15">
      <c r="A5214" s="3">
        <f>DATE(2000,1,19)</f>
        <v>36544</v>
      </c>
      <c r="B5214" s="2"/>
      <c r="C5214" s="2" t="s">
        <v>30</v>
      </c>
      <c r="D5214" s="2" t="s">
        <v>12483</v>
      </c>
      <c r="E5214" s="2" t="s">
        <v>12484</v>
      </c>
      <c r="F5214" s="4">
        <v>2836</v>
      </c>
      <c r="G5214" s="2" t="s">
        <v>130</v>
      </c>
      <c r="H5214" s="2" t="s">
        <v>34</v>
      </c>
      <c r="I5214" s="2" t="s">
        <v>12485</v>
      </c>
      <c r="J5214" s="2" t="s">
        <v>12486</v>
      </c>
      <c r="K5214" s="2" t="s">
        <v>98</v>
      </c>
      <c r="L5214" s="2" t="s">
        <v>34</v>
      </c>
      <c r="M5214" s="6">
        <v>897.22</v>
      </c>
      <c r="N5214" s="7">
        <v>37.625</v>
      </c>
      <c r="O5214" s="7">
        <v>35.625</v>
      </c>
      <c r="P5214" s="2" t="s">
        <v>16126</v>
      </c>
      <c r="Q5214" s="2"/>
      <c r="R5214" s="6">
        <v>49</v>
      </c>
      <c r="S5214" s="5">
        <v>38.299999999999997</v>
      </c>
      <c r="T5214" s="7">
        <v>75.960999999999999</v>
      </c>
      <c r="U5214" s="5">
        <v>12.4</v>
      </c>
      <c r="V5214" s="6">
        <v>1.53</v>
      </c>
      <c r="W5214" s="4">
        <v>44</v>
      </c>
      <c r="X5214" s="4">
        <v>45</v>
      </c>
      <c r="Y5214" s="4">
        <v>44</v>
      </c>
      <c r="Z5214" s="6">
        <v>48.25</v>
      </c>
      <c r="AA5214" s="6">
        <v>24.96</v>
      </c>
      <c r="AB5214" s="7">
        <v>19.712</v>
      </c>
      <c r="AC5214" s="6">
        <v>86.85</v>
      </c>
    </row>
    <row r="5215" spans="1:29" ht="104" x14ac:dyDescent="0.15">
      <c r="A5215" s="3">
        <f>DATE(2000,1,19)</f>
        <v>36544</v>
      </c>
      <c r="B5215" s="2"/>
      <c r="C5215" s="2" t="s">
        <v>7330</v>
      </c>
      <c r="D5215" s="2" t="s">
        <v>16127</v>
      </c>
      <c r="E5215" s="2" t="s">
        <v>16128</v>
      </c>
      <c r="F5215" s="4">
        <v>7372</v>
      </c>
      <c r="G5215" s="2" t="s">
        <v>551</v>
      </c>
      <c r="H5215" s="2" t="s">
        <v>34</v>
      </c>
      <c r="I5215" s="2" t="s">
        <v>16129</v>
      </c>
      <c r="J5215" s="2" t="s">
        <v>781</v>
      </c>
      <c r="K5215" s="2" t="s">
        <v>551</v>
      </c>
      <c r="L5215" s="2" t="s">
        <v>34</v>
      </c>
      <c r="M5215" s="12">
        <v>1533.721</v>
      </c>
      <c r="N5215" s="7">
        <v>71.875</v>
      </c>
      <c r="O5215" s="7">
        <v>75.063000000000002</v>
      </c>
      <c r="P5215" s="2" t="s">
        <v>16130</v>
      </c>
      <c r="Q5215" s="2"/>
      <c r="R5215" s="2"/>
      <c r="S5215" s="5">
        <v>0.1</v>
      </c>
      <c r="T5215" s="7">
        <v>0.39200000000000002</v>
      </c>
      <c r="U5215" s="5">
        <v>-0.2</v>
      </c>
      <c r="V5215" s="6">
        <v>0.21</v>
      </c>
      <c r="W5215" s="4">
        <v>18</v>
      </c>
      <c r="X5215" s="7">
        <v>19.875</v>
      </c>
      <c r="Y5215" s="4">
        <v>20</v>
      </c>
      <c r="Z5215" s="7">
        <v>20.125</v>
      </c>
      <c r="AA5215" s="6">
        <v>0.6</v>
      </c>
      <c r="AB5215" s="7">
        <v>55.747999999999998</v>
      </c>
      <c r="AC5215" s="2"/>
    </row>
    <row r="5216" spans="1:29" ht="143" x14ac:dyDescent="0.15">
      <c r="A5216" s="3">
        <f>DATE(2000,1,19)</f>
        <v>36544</v>
      </c>
      <c r="B5216" s="3">
        <f>DATE(2000,2,9)</f>
        <v>36565</v>
      </c>
      <c r="C5216" s="2" t="s">
        <v>95</v>
      </c>
      <c r="D5216" s="2" t="s">
        <v>15315</v>
      </c>
      <c r="E5216" s="2" t="s">
        <v>15316</v>
      </c>
      <c r="F5216" s="4">
        <v>4931</v>
      </c>
      <c r="G5216" s="2" t="s">
        <v>439</v>
      </c>
      <c r="H5216" s="2" t="s">
        <v>34</v>
      </c>
      <c r="I5216" s="2" t="s">
        <v>15317</v>
      </c>
      <c r="J5216" s="2" t="s">
        <v>15318</v>
      </c>
      <c r="K5216" s="2" t="s">
        <v>223</v>
      </c>
      <c r="L5216" s="2" t="s">
        <v>133</v>
      </c>
      <c r="M5216" s="2"/>
      <c r="N5216" s="2"/>
      <c r="O5216" s="2"/>
      <c r="P5216" s="2" t="s">
        <v>16131</v>
      </c>
      <c r="Q5216" s="6">
        <v>47.04</v>
      </c>
      <c r="R5216" s="6">
        <v>23.5</v>
      </c>
      <c r="S5216" s="5">
        <v>16.100000000000001</v>
      </c>
      <c r="T5216" s="7">
        <v>59.942</v>
      </c>
      <c r="U5216" s="5">
        <v>12.9</v>
      </c>
      <c r="V5216" s="6">
        <v>1.33</v>
      </c>
      <c r="W5216" s="5">
        <v>16.5</v>
      </c>
      <c r="X5216" s="4">
        <v>17</v>
      </c>
      <c r="Y5216" s="7">
        <v>19.687999999999999</v>
      </c>
      <c r="Z5216" s="7">
        <v>23.312999999999999</v>
      </c>
      <c r="AA5216" s="6">
        <v>13.84</v>
      </c>
      <c r="AB5216" s="7">
        <v>20.562999999999999</v>
      </c>
      <c r="AC5216" s="6">
        <v>102.96</v>
      </c>
    </row>
    <row r="5217" spans="1:29" ht="247" x14ac:dyDescent="0.15">
      <c r="A5217" s="3">
        <f>DATE(2000,1,20)</f>
        <v>36545</v>
      </c>
      <c r="B5217" s="2"/>
      <c r="C5217" s="2" t="s">
        <v>30</v>
      </c>
      <c r="D5217" s="2" t="s">
        <v>16132</v>
      </c>
      <c r="E5217" s="2" t="s">
        <v>16133</v>
      </c>
      <c r="F5217" s="4">
        <v>5031</v>
      </c>
      <c r="G5217" s="2" t="s">
        <v>76</v>
      </c>
      <c r="H5217" s="2" t="s">
        <v>34</v>
      </c>
      <c r="I5217" s="2" t="s">
        <v>51</v>
      </c>
      <c r="J5217" s="2" t="s">
        <v>52</v>
      </c>
      <c r="K5217" s="2" t="s">
        <v>53</v>
      </c>
      <c r="L5217" s="2" t="s">
        <v>34</v>
      </c>
      <c r="M5217" s="2"/>
      <c r="N5217" s="2"/>
      <c r="O5217" s="2"/>
      <c r="P5217" s="2" t="s">
        <v>16134</v>
      </c>
      <c r="Q5217" s="2"/>
      <c r="R5217" s="6">
        <v>18.25</v>
      </c>
      <c r="S5217" s="5">
        <v>10</v>
      </c>
      <c r="T5217" s="7">
        <v>45.917000000000002</v>
      </c>
      <c r="U5217" s="5">
        <v>14.9</v>
      </c>
      <c r="V5217" s="6">
        <v>1.1299999999999999</v>
      </c>
      <c r="W5217" s="7">
        <v>11.313000000000001</v>
      </c>
      <c r="X5217" s="7">
        <v>13.813000000000001</v>
      </c>
      <c r="Y5217" s="7">
        <v>13.875</v>
      </c>
      <c r="Z5217" s="7">
        <v>13.688000000000001</v>
      </c>
      <c r="AA5217" s="6">
        <v>8.68</v>
      </c>
      <c r="AB5217" s="7">
        <v>11.367000000000001</v>
      </c>
      <c r="AC5217" s="2"/>
    </row>
    <row r="5218" spans="1:29" ht="65" x14ac:dyDescent="0.15">
      <c r="A5218" s="3">
        <f>DATE(2000,1,20)</f>
        <v>36545</v>
      </c>
      <c r="B5218" s="3">
        <f>DATE(2000,8,14)</f>
        <v>36752</v>
      </c>
      <c r="C5218" s="2" t="s">
        <v>95</v>
      </c>
      <c r="D5218" s="2" t="s">
        <v>13731</v>
      </c>
      <c r="E5218" s="2" t="s">
        <v>9239</v>
      </c>
      <c r="F5218" s="4">
        <v>7373</v>
      </c>
      <c r="G5218" s="2" t="s">
        <v>223</v>
      </c>
      <c r="H5218" s="2" t="s">
        <v>34</v>
      </c>
      <c r="I5218" s="2" t="s">
        <v>16135</v>
      </c>
      <c r="J5218" s="2" t="s">
        <v>5102</v>
      </c>
      <c r="K5218" s="2" t="s">
        <v>551</v>
      </c>
      <c r="L5218" s="2" t="s">
        <v>34</v>
      </c>
      <c r="M5218" s="6">
        <v>46.42</v>
      </c>
      <c r="N5218" s="7">
        <v>2.7189999999999999</v>
      </c>
      <c r="O5218" s="7">
        <v>2.625</v>
      </c>
      <c r="P5218" s="2" t="s">
        <v>16136</v>
      </c>
      <c r="Q5218" s="6">
        <v>100</v>
      </c>
      <c r="R5218" s="2"/>
      <c r="S5218" s="5">
        <v>-2.1</v>
      </c>
      <c r="T5218" s="7">
        <v>-1.319</v>
      </c>
      <c r="U5218" s="5">
        <v>0.2</v>
      </c>
      <c r="V5218" s="6">
        <v>-0.39</v>
      </c>
      <c r="W5218" s="7">
        <v>0.90600000000000003</v>
      </c>
      <c r="X5218" s="7">
        <v>1.0629999999999999</v>
      </c>
      <c r="Y5218" s="5">
        <v>1.5</v>
      </c>
      <c r="Z5218" s="7">
        <v>1.375</v>
      </c>
      <c r="AA5218" s="6">
        <v>5.51</v>
      </c>
      <c r="AB5218" s="2" t="s">
        <v>86</v>
      </c>
      <c r="AC5218" s="2"/>
    </row>
    <row r="5219" spans="1:29" ht="91" x14ac:dyDescent="0.15">
      <c r="A5219" s="3">
        <f>DATE(2000,1,21)</f>
        <v>36546</v>
      </c>
      <c r="B5219" s="3">
        <f>DATE(2000,3,3)</f>
        <v>36588</v>
      </c>
      <c r="C5219" s="2" t="s">
        <v>95</v>
      </c>
      <c r="D5219" s="2" t="s">
        <v>16137</v>
      </c>
      <c r="E5219" s="2" t="s">
        <v>2945</v>
      </c>
      <c r="F5219" s="4">
        <v>5149</v>
      </c>
      <c r="G5219" s="2" t="s">
        <v>593</v>
      </c>
      <c r="H5219" s="2" t="s">
        <v>34</v>
      </c>
      <c r="I5219" s="2" t="s">
        <v>16138</v>
      </c>
      <c r="J5219" s="2" t="s">
        <v>16139</v>
      </c>
      <c r="K5219" s="2" t="s">
        <v>577</v>
      </c>
      <c r="L5219" s="2" t="s">
        <v>34</v>
      </c>
      <c r="M5219" s="2"/>
      <c r="N5219" s="2"/>
      <c r="O5219" s="2"/>
      <c r="P5219" s="2" t="s">
        <v>16140</v>
      </c>
      <c r="Q5219" s="6">
        <v>88.21</v>
      </c>
      <c r="R5219" s="6">
        <v>19.399999999999999</v>
      </c>
      <c r="S5219" s="5">
        <v>5.0999999999999996</v>
      </c>
      <c r="T5219" s="7">
        <v>9.2840000000000007</v>
      </c>
      <c r="U5219" s="5">
        <v>2.1</v>
      </c>
      <c r="V5219" s="6">
        <v>0.39</v>
      </c>
      <c r="W5219" s="7">
        <v>12.063000000000001</v>
      </c>
      <c r="X5219" s="7">
        <v>14.125</v>
      </c>
      <c r="Y5219" s="7">
        <v>19.125</v>
      </c>
      <c r="Z5219" s="6">
        <v>19.25</v>
      </c>
      <c r="AA5219" s="6">
        <v>14.27</v>
      </c>
      <c r="AB5219" s="7">
        <v>30.207999999999998</v>
      </c>
      <c r="AC5219" s="5">
        <v>95</v>
      </c>
    </row>
    <row r="5220" spans="1:29" ht="104" x14ac:dyDescent="0.15">
      <c r="A5220" s="3">
        <f>DATE(2000,1,21)</f>
        <v>36546</v>
      </c>
      <c r="B5220" s="3">
        <f>DATE(2000,6,15)</f>
        <v>36692</v>
      </c>
      <c r="C5220" s="2" t="s">
        <v>95</v>
      </c>
      <c r="D5220" s="2" t="s">
        <v>16141</v>
      </c>
      <c r="E5220" s="2" t="s">
        <v>16142</v>
      </c>
      <c r="F5220" s="4">
        <v>3398</v>
      </c>
      <c r="G5220" s="2" t="s">
        <v>163</v>
      </c>
      <c r="H5220" s="2" t="s">
        <v>34</v>
      </c>
      <c r="I5220" s="2" t="s">
        <v>16143</v>
      </c>
      <c r="J5220" s="2" t="s">
        <v>16144</v>
      </c>
      <c r="K5220" s="2" t="s">
        <v>98</v>
      </c>
      <c r="L5220" s="2" t="s">
        <v>133</v>
      </c>
      <c r="M5220" s="2"/>
      <c r="N5220" s="2"/>
      <c r="O5220" s="2"/>
      <c r="P5220" s="2" t="s">
        <v>16145</v>
      </c>
      <c r="Q5220" s="6">
        <v>42.6</v>
      </c>
      <c r="R5220" s="6">
        <v>2.75</v>
      </c>
      <c r="S5220" s="5">
        <v>-2.7</v>
      </c>
      <c r="T5220" s="2"/>
      <c r="U5220" s="5">
        <v>3.5</v>
      </c>
      <c r="V5220" s="6">
        <v>-0.96</v>
      </c>
      <c r="W5220" s="6">
        <v>1.75</v>
      </c>
      <c r="X5220" s="5">
        <v>1.5</v>
      </c>
      <c r="Y5220" s="7">
        <v>2.125</v>
      </c>
      <c r="Z5220" s="7">
        <v>2.375</v>
      </c>
      <c r="AA5220" s="6">
        <v>2.84</v>
      </c>
      <c r="AB5220" s="2" t="s">
        <v>86</v>
      </c>
      <c r="AC5220" s="2"/>
    </row>
    <row r="5221" spans="1:29" ht="130" x14ac:dyDescent="0.15">
      <c r="A5221" s="3">
        <f>DATE(2000,1,21)</f>
        <v>36546</v>
      </c>
      <c r="B5221" s="3">
        <f>DATE(2000,7,14)</f>
        <v>36721</v>
      </c>
      <c r="C5221" s="2" t="s">
        <v>95</v>
      </c>
      <c r="D5221" s="2" t="s">
        <v>16146</v>
      </c>
      <c r="E5221" s="2" t="s">
        <v>1181</v>
      </c>
      <c r="F5221" s="4">
        <v>6021</v>
      </c>
      <c r="G5221" s="2" t="s">
        <v>37</v>
      </c>
      <c r="H5221" s="2" t="s">
        <v>34</v>
      </c>
      <c r="I5221" s="2" t="s">
        <v>16147</v>
      </c>
      <c r="J5221" s="2" t="s">
        <v>672</v>
      </c>
      <c r="K5221" s="2" t="s">
        <v>37</v>
      </c>
      <c r="L5221" s="2" t="s">
        <v>34</v>
      </c>
      <c r="M5221" s="12">
        <v>4993.4369999999999</v>
      </c>
      <c r="N5221" s="7">
        <v>28.062999999999999</v>
      </c>
      <c r="O5221" s="4">
        <v>27</v>
      </c>
      <c r="P5221" s="2" t="s">
        <v>16148</v>
      </c>
      <c r="Q5221" s="6">
        <v>100</v>
      </c>
      <c r="R5221" s="6">
        <v>33.57</v>
      </c>
      <c r="S5221" s="5">
        <v>3.2</v>
      </c>
      <c r="T5221" s="7">
        <v>5.2770000000000001</v>
      </c>
      <c r="U5221" s="5">
        <v>13</v>
      </c>
      <c r="V5221" s="6">
        <v>1.67</v>
      </c>
      <c r="W5221" s="7">
        <v>27.625</v>
      </c>
      <c r="X5221" s="11">
        <v>27.15625</v>
      </c>
      <c r="Y5221" s="6">
        <v>31.25</v>
      </c>
      <c r="Z5221" s="4">
        <v>31</v>
      </c>
      <c r="AA5221" s="6">
        <v>1.96</v>
      </c>
      <c r="AB5221" s="7">
        <v>24.727</v>
      </c>
      <c r="AC5221" s="2"/>
    </row>
    <row r="5222" spans="1:29" ht="143" x14ac:dyDescent="0.15">
      <c r="A5222" s="3">
        <f>DATE(2000,1,23)</f>
        <v>36548</v>
      </c>
      <c r="B5222" s="3">
        <f>DATE(2000,3,9)</f>
        <v>36594</v>
      </c>
      <c r="C5222" s="2" t="s">
        <v>95</v>
      </c>
      <c r="D5222" s="2" t="s">
        <v>16149</v>
      </c>
      <c r="E5222" s="2" t="s">
        <v>16150</v>
      </c>
      <c r="F5222" s="4">
        <v>6552</v>
      </c>
      <c r="G5222" s="2" t="s">
        <v>109</v>
      </c>
      <c r="H5222" s="2" t="s">
        <v>34</v>
      </c>
      <c r="I5222" s="2" t="s">
        <v>16151</v>
      </c>
      <c r="J5222" s="2" t="s">
        <v>80</v>
      </c>
      <c r="K5222" s="2" t="s">
        <v>53</v>
      </c>
      <c r="L5222" s="2" t="s">
        <v>34</v>
      </c>
      <c r="M5222" s="2"/>
      <c r="N5222" s="2"/>
      <c r="O5222" s="2"/>
      <c r="P5222" s="2" t="s">
        <v>16152</v>
      </c>
      <c r="Q5222" s="6">
        <v>100</v>
      </c>
      <c r="R5222" s="6">
        <v>34</v>
      </c>
      <c r="S5222" s="5">
        <v>5.4</v>
      </c>
      <c r="T5222" s="5">
        <v>12.6</v>
      </c>
      <c r="U5222" s="5">
        <v>32.9</v>
      </c>
      <c r="V5222" s="7">
        <v>0.79900000000000004</v>
      </c>
      <c r="W5222" s="4">
        <v>24</v>
      </c>
      <c r="X5222" s="5">
        <v>27.5</v>
      </c>
      <c r="Y5222" s="9">
        <v>33.0625</v>
      </c>
      <c r="Z5222" s="9">
        <v>33.0625</v>
      </c>
      <c r="AA5222" s="6">
        <v>6.72</v>
      </c>
      <c r="AB5222" s="7">
        <v>40.54</v>
      </c>
      <c r="AC5222" s="2"/>
    </row>
    <row r="5223" spans="1:29" ht="182" x14ac:dyDescent="0.15">
      <c r="A5223" s="3">
        <f>DATE(2000,1,24)</f>
        <v>36549</v>
      </c>
      <c r="B5223" s="2"/>
      <c r="C5223" s="2" t="s">
        <v>30</v>
      </c>
      <c r="D5223" s="2" t="s">
        <v>10286</v>
      </c>
      <c r="E5223" s="2" t="s">
        <v>10287</v>
      </c>
      <c r="F5223" s="4">
        <v>1531</v>
      </c>
      <c r="G5223" s="2" t="s">
        <v>341</v>
      </c>
      <c r="H5223" s="2" t="s">
        <v>34</v>
      </c>
      <c r="I5223" s="2" t="s">
        <v>16153</v>
      </c>
      <c r="J5223" s="2" t="s">
        <v>16154</v>
      </c>
      <c r="K5223" s="2" t="s">
        <v>173</v>
      </c>
      <c r="L5223" s="2" t="s">
        <v>34</v>
      </c>
      <c r="M5223" s="12">
        <v>28384.548999999999</v>
      </c>
      <c r="N5223" s="7">
        <v>43.125</v>
      </c>
      <c r="O5223" s="6">
        <v>42.25</v>
      </c>
      <c r="P5223" s="2" t="s">
        <v>16155</v>
      </c>
      <c r="Q5223" s="2"/>
      <c r="R5223" s="6">
        <v>14.75</v>
      </c>
      <c r="S5223" s="5">
        <v>56.9</v>
      </c>
      <c r="T5223" s="2"/>
      <c r="U5223" s="5">
        <v>6.3</v>
      </c>
      <c r="V5223" s="6">
        <v>1.25</v>
      </c>
      <c r="W5223" s="7">
        <v>9.375</v>
      </c>
      <c r="X5223" s="7">
        <v>12.375</v>
      </c>
      <c r="Y5223" s="9">
        <v>11.6875</v>
      </c>
      <c r="Z5223" s="6">
        <v>11.75</v>
      </c>
      <c r="AA5223" s="6">
        <v>44.5</v>
      </c>
      <c r="AB5223" s="7">
        <v>7.5209999999999999</v>
      </c>
      <c r="AC5223" s="5">
        <v>521.79999999999995</v>
      </c>
    </row>
    <row r="5224" spans="1:29" ht="117" x14ac:dyDescent="0.15">
      <c r="A5224" s="3">
        <f>DATE(2000,1,24)</f>
        <v>36549</v>
      </c>
      <c r="B5224" s="3">
        <f>DATE(2000,7,27)</f>
        <v>36734</v>
      </c>
      <c r="C5224" s="2" t="s">
        <v>95</v>
      </c>
      <c r="D5224" s="2" t="s">
        <v>16156</v>
      </c>
      <c r="E5224" s="2" t="s">
        <v>16157</v>
      </c>
      <c r="F5224" s="4">
        <v>7372</v>
      </c>
      <c r="G5224" s="2" t="s">
        <v>551</v>
      </c>
      <c r="H5224" s="2" t="s">
        <v>34</v>
      </c>
      <c r="I5224" s="2" t="s">
        <v>13762</v>
      </c>
      <c r="J5224" s="2" t="s">
        <v>13763</v>
      </c>
      <c r="K5224" s="2" t="s">
        <v>45</v>
      </c>
      <c r="L5224" s="2" t="s">
        <v>34</v>
      </c>
      <c r="M5224" s="2"/>
      <c r="N5224" s="2"/>
      <c r="O5224" s="2"/>
      <c r="P5224" s="2" t="s">
        <v>16158</v>
      </c>
      <c r="Q5224" s="6">
        <v>75</v>
      </c>
      <c r="R5224" s="2"/>
      <c r="S5224" s="5">
        <v>-15.9</v>
      </c>
      <c r="T5224" s="7">
        <v>-14.023999999999999</v>
      </c>
      <c r="U5224" s="5">
        <v>1.7</v>
      </c>
      <c r="V5224" s="6">
        <v>-2.2400000000000002</v>
      </c>
      <c r="W5224" s="7">
        <v>15.125</v>
      </c>
      <c r="X5224" s="9">
        <v>18.5625</v>
      </c>
      <c r="Y5224" s="5">
        <v>17.5</v>
      </c>
      <c r="Z5224" s="6">
        <v>14.25</v>
      </c>
      <c r="AA5224" s="6">
        <v>7.4</v>
      </c>
      <c r="AB5224" s="2" t="s">
        <v>86</v>
      </c>
      <c r="AC5224" s="6">
        <v>435.75</v>
      </c>
    </row>
    <row r="5225" spans="1:29" ht="143" x14ac:dyDescent="0.15">
      <c r="A5225" s="3">
        <f>DATE(2000,1,25)</f>
        <v>36550</v>
      </c>
      <c r="B5225" s="3">
        <f>DATE(2000,3,10)</f>
        <v>36595</v>
      </c>
      <c r="C5225" s="2" t="s">
        <v>95</v>
      </c>
      <c r="D5225" s="2" t="s">
        <v>16159</v>
      </c>
      <c r="E5225" s="2" t="s">
        <v>16160</v>
      </c>
      <c r="F5225" s="4">
        <v>5734</v>
      </c>
      <c r="G5225" s="2" t="s">
        <v>1227</v>
      </c>
      <c r="H5225" s="2" t="s">
        <v>34</v>
      </c>
      <c r="I5225" s="2" t="s">
        <v>16161</v>
      </c>
      <c r="J5225" s="2" t="s">
        <v>1821</v>
      </c>
      <c r="K5225" s="2" t="s">
        <v>756</v>
      </c>
      <c r="L5225" s="2" t="s">
        <v>4389</v>
      </c>
      <c r="M5225" s="2"/>
      <c r="N5225" s="2"/>
      <c r="O5225" s="2"/>
      <c r="P5225" s="2" t="s">
        <v>16162</v>
      </c>
      <c r="Q5225" s="6">
        <v>85.5</v>
      </c>
      <c r="R5225" s="6">
        <v>10.1</v>
      </c>
      <c r="S5225" s="5">
        <v>-84.4</v>
      </c>
      <c r="T5225" s="7">
        <v>54.216000000000001</v>
      </c>
      <c r="U5225" s="5">
        <v>3.6</v>
      </c>
      <c r="V5225" s="6">
        <v>-0.92</v>
      </c>
      <c r="W5225" s="7">
        <v>5.4379999999999997</v>
      </c>
      <c r="X5225" s="5">
        <v>9.5</v>
      </c>
      <c r="Y5225" s="7">
        <v>9.625</v>
      </c>
      <c r="Z5225" s="7">
        <v>9.6880000000000006</v>
      </c>
      <c r="AA5225" s="6">
        <v>92.71</v>
      </c>
      <c r="AB5225" s="2" t="s">
        <v>86</v>
      </c>
      <c r="AC5225" s="5">
        <v>167.9</v>
      </c>
    </row>
    <row r="5226" spans="1:29" ht="104" x14ac:dyDescent="0.15">
      <c r="A5226" s="3">
        <f>DATE(2000,1,26)</f>
        <v>36551</v>
      </c>
      <c r="B5226" s="3">
        <f>DATE(2000,4,14)</f>
        <v>36630</v>
      </c>
      <c r="C5226" s="2" t="s">
        <v>95</v>
      </c>
      <c r="D5226" s="2" t="s">
        <v>16163</v>
      </c>
      <c r="E5226" s="2" t="s">
        <v>16164</v>
      </c>
      <c r="F5226" s="4">
        <v>7372</v>
      </c>
      <c r="G5226" s="2" t="s">
        <v>551</v>
      </c>
      <c r="H5226" s="2" t="s">
        <v>34</v>
      </c>
      <c r="I5226" s="2" t="s">
        <v>16165</v>
      </c>
      <c r="J5226" s="2" t="s">
        <v>16166</v>
      </c>
      <c r="K5226" s="2" t="s">
        <v>551</v>
      </c>
      <c r="L5226" s="2" t="s">
        <v>34</v>
      </c>
      <c r="M5226" s="12">
        <v>13156.257</v>
      </c>
      <c r="N5226" s="7">
        <v>152.06299999999999</v>
      </c>
      <c r="O5226" s="7">
        <v>146.125</v>
      </c>
      <c r="P5226" s="2" t="s">
        <v>16167</v>
      </c>
      <c r="Q5226" s="6">
        <v>100</v>
      </c>
      <c r="R5226" s="6">
        <v>54.33</v>
      </c>
      <c r="S5226" s="5">
        <v>-12.9</v>
      </c>
      <c r="T5226" s="7">
        <v>-1.413</v>
      </c>
      <c r="U5226" s="5">
        <v>1.4</v>
      </c>
      <c r="V5226" s="6">
        <v>-0.32</v>
      </c>
      <c r="W5226" s="7">
        <v>38.125</v>
      </c>
      <c r="X5226" s="7">
        <v>38.813000000000002</v>
      </c>
      <c r="Y5226" s="7">
        <v>43.125</v>
      </c>
      <c r="Z5226" s="7">
        <v>48.188000000000002</v>
      </c>
      <c r="AA5226" s="6">
        <v>13.01</v>
      </c>
      <c r="AB5226" s="2" t="s">
        <v>86</v>
      </c>
      <c r="AC5226" s="5">
        <v>279.8</v>
      </c>
    </row>
    <row r="5227" spans="1:29" ht="221" x14ac:dyDescent="0.15">
      <c r="A5227" s="3">
        <f>DATE(2000,1,27)</f>
        <v>36552</v>
      </c>
      <c r="B5227" s="3">
        <f>DATE(2000,7,21)</f>
        <v>36728</v>
      </c>
      <c r="C5227" s="2" t="s">
        <v>95</v>
      </c>
      <c r="D5227" s="2" t="s">
        <v>16168</v>
      </c>
      <c r="E5227" s="2" t="s">
        <v>1181</v>
      </c>
      <c r="F5227" s="4">
        <v>6022</v>
      </c>
      <c r="G5227" s="2" t="s">
        <v>37</v>
      </c>
      <c r="H5227" s="2" t="s">
        <v>34</v>
      </c>
      <c r="I5227" s="2" t="s">
        <v>8064</v>
      </c>
      <c r="J5227" s="2" t="s">
        <v>159</v>
      </c>
      <c r="K5227" s="2" t="s">
        <v>37</v>
      </c>
      <c r="L5227" s="2" t="s">
        <v>34</v>
      </c>
      <c r="M5227" s="7">
        <v>532.61099999999999</v>
      </c>
      <c r="N5227" s="7">
        <v>42.188000000000002</v>
      </c>
      <c r="O5227" s="6">
        <v>42.25</v>
      </c>
      <c r="P5227" s="2" t="s">
        <v>16169</v>
      </c>
      <c r="Q5227" s="6">
        <v>100</v>
      </c>
      <c r="R5227" s="6">
        <v>35.81</v>
      </c>
      <c r="S5227" s="5">
        <v>4.4000000000000004</v>
      </c>
      <c r="T5227" s="7">
        <v>8.2880000000000003</v>
      </c>
      <c r="U5227" s="5">
        <v>13.5</v>
      </c>
      <c r="V5227" s="6">
        <v>1.86</v>
      </c>
      <c r="W5227" s="5">
        <v>33.5</v>
      </c>
      <c r="X5227" s="7">
        <v>34.375</v>
      </c>
      <c r="Y5227" s="4">
        <v>35</v>
      </c>
      <c r="Z5227" s="7">
        <v>34.625</v>
      </c>
      <c r="AA5227" s="6">
        <v>2.31</v>
      </c>
      <c r="AB5227" s="7">
        <v>12.204000000000001</v>
      </c>
      <c r="AC5227" s="2"/>
    </row>
    <row r="5228" spans="1:29" ht="117" x14ac:dyDescent="0.15">
      <c r="A5228" s="3">
        <f>DATE(2000,1,27)</f>
        <v>36552</v>
      </c>
      <c r="B5228" s="3">
        <f>DATE(2000,7,3)</f>
        <v>36710</v>
      </c>
      <c r="C5228" s="2" t="s">
        <v>95</v>
      </c>
      <c r="D5228" s="2" t="s">
        <v>16170</v>
      </c>
      <c r="E5228" s="2" t="s">
        <v>16171</v>
      </c>
      <c r="F5228" s="4">
        <v>6021</v>
      </c>
      <c r="G5228" s="2" t="s">
        <v>37</v>
      </c>
      <c r="H5228" s="2" t="s">
        <v>34</v>
      </c>
      <c r="I5228" s="2" t="s">
        <v>264</v>
      </c>
      <c r="J5228" s="2" t="s">
        <v>265</v>
      </c>
      <c r="K5228" s="2" t="s">
        <v>37</v>
      </c>
      <c r="L5228" s="2" t="s">
        <v>34</v>
      </c>
      <c r="M5228" s="7">
        <v>184.523</v>
      </c>
      <c r="N5228" s="6">
        <v>26.25</v>
      </c>
      <c r="O5228" s="5">
        <v>26.5</v>
      </c>
      <c r="P5228" s="2" t="s">
        <v>16172</v>
      </c>
      <c r="Q5228" s="6">
        <v>100</v>
      </c>
      <c r="R5228" s="2"/>
      <c r="S5228" s="5">
        <v>1.2</v>
      </c>
      <c r="T5228" s="2"/>
      <c r="U5228" s="2"/>
      <c r="V5228" s="6">
        <v>10.17</v>
      </c>
      <c r="W5228" s="5">
        <v>12.5</v>
      </c>
      <c r="X5228" s="7">
        <v>12.625</v>
      </c>
      <c r="Y5228" s="5">
        <v>17.5</v>
      </c>
      <c r="Z5228" s="7">
        <v>17.875</v>
      </c>
      <c r="AA5228" s="2"/>
      <c r="AB5228" s="2" t="s">
        <v>47</v>
      </c>
      <c r="AC5228" s="2"/>
    </row>
    <row r="5229" spans="1:29" ht="91" x14ac:dyDescent="0.15">
      <c r="A5229" s="3">
        <f>DATE(2000,1,28)</f>
        <v>36553</v>
      </c>
      <c r="B5229" s="2"/>
      <c r="C5229" s="2" t="s">
        <v>30</v>
      </c>
      <c r="D5229" s="2" t="s">
        <v>14244</v>
      </c>
      <c r="E5229" s="2" t="s">
        <v>14245</v>
      </c>
      <c r="F5229" s="4">
        <v>3469</v>
      </c>
      <c r="G5229" s="2" t="s">
        <v>163</v>
      </c>
      <c r="H5229" s="2" t="s">
        <v>34</v>
      </c>
      <c r="I5229" s="2" t="s">
        <v>10487</v>
      </c>
      <c r="J5229" s="2" t="s">
        <v>3197</v>
      </c>
      <c r="K5229" s="2" t="s">
        <v>53</v>
      </c>
      <c r="L5229" s="2" t="s">
        <v>34</v>
      </c>
      <c r="M5229" s="2"/>
      <c r="N5229" s="2"/>
      <c r="O5229" s="2"/>
      <c r="P5229" s="2" t="s">
        <v>16173</v>
      </c>
      <c r="Q5229" s="2"/>
      <c r="R5229" s="6">
        <v>12.75</v>
      </c>
      <c r="S5229" s="5">
        <v>-3.2</v>
      </c>
      <c r="T5229" s="7">
        <v>4.7350000000000003</v>
      </c>
      <c r="U5229" s="5">
        <v>5.3</v>
      </c>
      <c r="V5229" s="6">
        <v>-0.61</v>
      </c>
      <c r="W5229" s="7">
        <v>10.875</v>
      </c>
      <c r="X5229" s="7">
        <v>7.4379999999999997</v>
      </c>
      <c r="Y5229" s="5">
        <v>9.5</v>
      </c>
      <c r="Z5229" s="7">
        <v>9.875</v>
      </c>
      <c r="AA5229" s="6">
        <v>5.3</v>
      </c>
      <c r="AB5229" s="2" t="s">
        <v>86</v>
      </c>
      <c r="AC5229" s="2"/>
    </row>
    <row r="5230" spans="1:29" ht="39" x14ac:dyDescent="0.15">
      <c r="A5230" s="3">
        <f>DATE(2000,1,28)</f>
        <v>36553</v>
      </c>
      <c r="B5230" s="2"/>
      <c r="C5230" s="2" t="s">
        <v>39</v>
      </c>
      <c r="D5230" s="2" t="s">
        <v>16174</v>
      </c>
      <c r="E5230" s="2" t="s">
        <v>2862</v>
      </c>
      <c r="F5230" s="4">
        <v>4833</v>
      </c>
      <c r="G5230" s="2" t="s">
        <v>45</v>
      </c>
      <c r="H5230" s="2" t="s">
        <v>34</v>
      </c>
      <c r="I5230" s="2" t="s">
        <v>10532</v>
      </c>
      <c r="J5230" s="2" t="s">
        <v>10533</v>
      </c>
      <c r="K5230" s="2" t="s">
        <v>45</v>
      </c>
      <c r="L5230" s="2" t="s">
        <v>34</v>
      </c>
      <c r="M5230" s="12">
        <v>45130.377</v>
      </c>
      <c r="N5230" s="4">
        <v>61</v>
      </c>
      <c r="O5230" s="7">
        <v>58.313000000000002</v>
      </c>
      <c r="P5230" s="2" t="s">
        <v>16175</v>
      </c>
      <c r="Q5230" s="2"/>
      <c r="R5230" s="2"/>
      <c r="S5230" s="5">
        <v>42.4</v>
      </c>
      <c r="T5230" s="6">
        <v>218.31</v>
      </c>
      <c r="U5230" s="5">
        <v>42.5</v>
      </c>
      <c r="V5230" s="6">
        <v>0.97</v>
      </c>
      <c r="W5230" s="4">
        <v>70</v>
      </c>
      <c r="X5230" s="4">
        <v>75</v>
      </c>
      <c r="Y5230" s="7">
        <v>75.375</v>
      </c>
      <c r="Z5230" s="4">
        <v>76</v>
      </c>
      <c r="AA5230" s="6">
        <v>33.630000000000003</v>
      </c>
      <c r="AB5230" s="2" t="s">
        <v>47</v>
      </c>
      <c r="AC5230" s="5">
        <v>500</v>
      </c>
    </row>
    <row r="5231" spans="1:29" ht="104" x14ac:dyDescent="0.15">
      <c r="A5231" s="3">
        <f>DATE(2000,1,28)</f>
        <v>36553</v>
      </c>
      <c r="B5231" s="3">
        <f>DATE(2000,5,1)</f>
        <v>36647</v>
      </c>
      <c r="C5231" s="2" t="s">
        <v>95</v>
      </c>
      <c r="D5231" s="2" t="s">
        <v>13606</v>
      </c>
      <c r="E5231" s="2" t="s">
        <v>5549</v>
      </c>
      <c r="F5231" s="4">
        <v>7371</v>
      </c>
      <c r="G5231" s="2" t="s">
        <v>223</v>
      </c>
      <c r="H5231" s="2" t="s">
        <v>34</v>
      </c>
      <c r="I5231" s="2" t="s">
        <v>16176</v>
      </c>
      <c r="J5231" s="2" t="s">
        <v>5102</v>
      </c>
      <c r="K5231" s="2" t="s">
        <v>551</v>
      </c>
      <c r="L5231" s="2" t="s">
        <v>34</v>
      </c>
      <c r="M5231" s="7">
        <v>84.396000000000001</v>
      </c>
      <c r="N5231" s="7">
        <v>5.7190000000000003</v>
      </c>
      <c r="O5231" s="7">
        <v>5.5940000000000003</v>
      </c>
      <c r="P5231" s="2" t="s">
        <v>16177</v>
      </c>
      <c r="Q5231" s="6">
        <v>100</v>
      </c>
      <c r="R5231" s="6">
        <v>7.19</v>
      </c>
      <c r="S5231" s="5">
        <v>0.4</v>
      </c>
      <c r="T5231" s="7">
        <v>-1.609</v>
      </c>
      <c r="U5231" s="5">
        <v>4.5999999999999996</v>
      </c>
      <c r="V5231" s="6">
        <v>0.03</v>
      </c>
      <c r="W5231" s="7">
        <v>5.2809999999999997</v>
      </c>
      <c r="X5231" s="7">
        <v>5.625</v>
      </c>
      <c r="Y5231" s="4">
        <v>5</v>
      </c>
      <c r="Z5231" s="7">
        <v>5.375</v>
      </c>
      <c r="AA5231" s="6">
        <v>12.79</v>
      </c>
      <c r="AB5231" s="2" t="s">
        <v>86</v>
      </c>
      <c r="AC5231" s="5">
        <v>12.7</v>
      </c>
    </row>
    <row r="5232" spans="1:29" ht="143" x14ac:dyDescent="0.15">
      <c r="A5232" s="3">
        <f>DATE(2000,1,28)</f>
        <v>36553</v>
      </c>
      <c r="B5232" s="3">
        <f>DATE(2000,3,10)</f>
        <v>36595</v>
      </c>
      <c r="C5232" s="2" t="s">
        <v>95</v>
      </c>
      <c r="D5232" s="2" t="s">
        <v>16178</v>
      </c>
      <c r="E5232" s="2" t="s">
        <v>2728</v>
      </c>
      <c r="F5232" s="4">
        <v>3674</v>
      </c>
      <c r="G5232" s="2" t="s">
        <v>137</v>
      </c>
      <c r="H5232" s="2" t="s">
        <v>34</v>
      </c>
      <c r="I5232" s="2" t="s">
        <v>16179</v>
      </c>
      <c r="J5232" s="2" t="s">
        <v>16180</v>
      </c>
      <c r="K5232" s="2" t="s">
        <v>137</v>
      </c>
      <c r="L5232" s="2" t="s">
        <v>34</v>
      </c>
      <c r="M5232" s="12">
        <v>1352.345</v>
      </c>
      <c r="N5232" s="7">
        <v>33.875</v>
      </c>
      <c r="O5232" s="6">
        <v>33.25</v>
      </c>
      <c r="P5232" s="2" t="s">
        <v>16181</v>
      </c>
      <c r="Q5232" s="6">
        <v>100</v>
      </c>
      <c r="R5232" s="6">
        <v>15.36</v>
      </c>
      <c r="S5232" s="5">
        <v>4.7</v>
      </c>
      <c r="T5232" s="7">
        <v>2.0739999999999998</v>
      </c>
      <c r="U5232" s="5">
        <v>9.4</v>
      </c>
      <c r="V5232" s="6">
        <v>1.92</v>
      </c>
      <c r="W5232" s="7">
        <v>15.813000000000001</v>
      </c>
      <c r="X5232" s="4">
        <v>15</v>
      </c>
      <c r="Y5232" s="7">
        <v>15.375</v>
      </c>
      <c r="Z5232" s="7">
        <v>15.125</v>
      </c>
      <c r="AA5232" s="6">
        <v>2.41</v>
      </c>
      <c r="AB5232" s="7">
        <v>27.317</v>
      </c>
      <c r="AC5232" s="5">
        <v>30</v>
      </c>
    </row>
    <row r="5233" spans="1:29" ht="143" x14ac:dyDescent="0.15">
      <c r="A5233" s="3">
        <f t="shared" ref="A5233:A5246" si="122">DATE(2000,1,31)</f>
        <v>36556</v>
      </c>
      <c r="B5233" s="3">
        <f>DATE(2000,8,4)</f>
        <v>36742</v>
      </c>
      <c r="C5233" s="2" t="s">
        <v>95</v>
      </c>
      <c r="D5233" s="2" t="s">
        <v>16182</v>
      </c>
      <c r="E5233" s="2" t="s">
        <v>16183</v>
      </c>
      <c r="F5233" s="4">
        <v>3625</v>
      </c>
      <c r="G5233" s="2" t="s">
        <v>137</v>
      </c>
      <c r="H5233" s="2" t="s">
        <v>34</v>
      </c>
      <c r="I5233" s="2" t="s">
        <v>51</v>
      </c>
      <c r="J5233" s="2" t="s">
        <v>52</v>
      </c>
      <c r="K5233" s="2" t="s">
        <v>53</v>
      </c>
      <c r="L5233" s="2" t="s">
        <v>34</v>
      </c>
      <c r="M5233" s="2"/>
      <c r="N5233" s="2"/>
      <c r="O5233" s="2"/>
      <c r="P5233" s="2" t="s">
        <v>16184</v>
      </c>
      <c r="Q5233" s="6">
        <v>100</v>
      </c>
      <c r="R5233" s="6">
        <v>11.25</v>
      </c>
      <c r="S5233" s="5">
        <v>17.8</v>
      </c>
      <c r="T5233" s="7">
        <v>53.817999999999998</v>
      </c>
      <c r="U5233" s="5">
        <v>6.9</v>
      </c>
      <c r="V5233" s="6">
        <v>0.86</v>
      </c>
      <c r="W5233" s="7">
        <v>7.5629999999999997</v>
      </c>
      <c r="X5233" s="7">
        <v>7.125</v>
      </c>
      <c r="Y5233" s="7">
        <v>10.375</v>
      </c>
      <c r="Z5233" s="9">
        <v>10.3125</v>
      </c>
      <c r="AA5233" s="6">
        <v>20.41</v>
      </c>
      <c r="AB5233" s="7">
        <v>9.0350000000000001</v>
      </c>
      <c r="AC5233" s="2"/>
    </row>
    <row r="5234" spans="1:29" ht="260" x14ac:dyDescent="0.15">
      <c r="A5234" s="3">
        <f t="shared" si="122"/>
        <v>36556</v>
      </c>
      <c r="B5234" s="3">
        <f>DATE(2000,5,3)</f>
        <v>36649</v>
      </c>
      <c r="C5234" s="2" t="s">
        <v>95</v>
      </c>
      <c r="D5234" s="2" t="s">
        <v>16185</v>
      </c>
      <c r="E5234" s="2" t="s">
        <v>16186</v>
      </c>
      <c r="F5234" s="4">
        <v>3829</v>
      </c>
      <c r="G5234" s="2" t="s">
        <v>226</v>
      </c>
      <c r="H5234" s="2" t="s">
        <v>34</v>
      </c>
      <c r="I5234" s="2" t="s">
        <v>636</v>
      </c>
      <c r="J5234" s="2" t="s">
        <v>637</v>
      </c>
      <c r="K5234" s="2" t="s">
        <v>226</v>
      </c>
      <c r="L5234" s="2" t="s">
        <v>34</v>
      </c>
      <c r="M5234" s="12">
        <v>1326.557</v>
      </c>
      <c r="N5234" s="4">
        <v>16</v>
      </c>
      <c r="O5234" s="7">
        <v>16.062999999999999</v>
      </c>
      <c r="P5234" s="2" t="s">
        <v>16187</v>
      </c>
      <c r="Q5234" s="6">
        <v>21.72</v>
      </c>
      <c r="R5234" s="6">
        <v>9</v>
      </c>
      <c r="S5234" s="5">
        <v>3.1</v>
      </c>
      <c r="T5234" s="7">
        <v>7.2350000000000003</v>
      </c>
      <c r="U5234" s="5">
        <v>8.9</v>
      </c>
      <c r="V5234" s="6">
        <v>0.42</v>
      </c>
      <c r="W5234" s="4">
        <v>9</v>
      </c>
      <c r="X5234" s="7">
        <v>9.625</v>
      </c>
      <c r="Y5234" s="7">
        <v>8.625</v>
      </c>
      <c r="Z5234" s="7">
        <v>8.625</v>
      </c>
      <c r="AA5234" s="6">
        <v>7.42</v>
      </c>
      <c r="AB5234" s="7">
        <v>16.966999999999999</v>
      </c>
      <c r="AC5234" s="6">
        <v>185.49</v>
      </c>
    </row>
    <row r="5235" spans="1:29" ht="260" x14ac:dyDescent="0.15">
      <c r="A5235" s="3">
        <f t="shared" si="122"/>
        <v>36556</v>
      </c>
      <c r="B5235" s="3">
        <f>DATE(2000,4,13)</f>
        <v>36629</v>
      </c>
      <c r="C5235" s="2" t="s">
        <v>95</v>
      </c>
      <c r="D5235" s="2" t="s">
        <v>16188</v>
      </c>
      <c r="E5235" s="2" t="s">
        <v>16189</v>
      </c>
      <c r="F5235" s="4">
        <v>3829</v>
      </c>
      <c r="G5235" s="2" t="s">
        <v>226</v>
      </c>
      <c r="H5235" s="2" t="s">
        <v>34</v>
      </c>
      <c r="I5235" s="2" t="s">
        <v>636</v>
      </c>
      <c r="J5235" s="2" t="s">
        <v>637</v>
      </c>
      <c r="K5235" s="2" t="s">
        <v>226</v>
      </c>
      <c r="L5235" s="2" t="s">
        <v>34</v>
      </c>
      <c r="M5235" s="12">
        <v>1326.557</v>
      </c>
      <c r="N5235" s="4">
        <v>16</v>
      </c>
      <c r="O5235" s="7">
        <v>16.062999999999999</v>
      </c>
      <c r="P5235" s="2" t="s">
        <v>16190</v>
      </c>
      <c r="Q5235" s="6">
        <v>18.84</v>
      </c>
      <c r="R5235" s="6">
        <v>9</v>
      </c>
      <c r="S5235" s="5">
        <v>2.2999999999999998</v>
      </c>
      <c r="T5235" s="7">
        <v>7.0220000000000002</v>
      </c>
      <c r="U5235" s="5">
        <v>10.3</v>
      </c>
      <c r="V5235" s="6">
        <v>0.16</v>
      </c>
      <c r="W5235" s="6">
        <v>7.75</v>
      </c>
      <c r="X5235" s="6">
        <v>8.75</v>
      </c>
      <c r="Y5235" s="7">
        <v>8.625</v>
      </c>
      <c r="Z5235" s="7">
        <v>8.625</v>
      </c>
      <c r="AA5235" s="6">
        <v>14.36</v>
      </c>
      <c r="AB5235" s="7">
        <v>49.545999999999999</v>
      </c>
      <c r="AC5235" s="6">
        <v>185.49</v>
      </c>
    </row>
    <row r="5236" spans="1:29" ht="104" x14ac:dyDescent="0.15">
      <c r="A5236" s="3">
        <f t="shared" si="122"/>
        <v>36556</v>
      </c>
      <c r="B5236" s="3">
        <f>DATE(2000,6,28)</f>
        <v>36705</v>
      </c>
      <c r="C5236" s="2" t="s">
        <v>95</v>
      </c>
      <c r="D5236" s="2" t="s">
        <v>16191</v>
      </c>
      <c r="E5236" s="2" t="s">
        <v>9296</v>
      </c>
      <c r="F5236" s="4">
        <v>7377</v>
      </c>
      <c r="G5236" s="2" t="s">
        <v>223</v>
      </c>
      <c r="H5236" s="2" t="s">
        <v>34</v>
      </c>
      <c r="I5236" s="2" t="s">
        <v>16192</v>
      </c>
      <c r="J5236" s="2" t="s">
        <v>16193</v>
      </c>
      <c r="K5236" s="2" t="s">
        <v>223</v>
      </c>
      <c r="L5236" s="2" t="s">
        <v>34</v>
      </c>
      <c r="M5236" s="2"/>
      <c r="N5236" s="2"/>
      <c r="O5236" s="2"/>
      <c r="P5236" s="2" t="s">
        <v>16194</v>
      </c>
      <c r="Q5236" s="6">
        <v>53.16</v>
      </c>
      <c r="R5236" s="6">
        <v>5.25</v>
      </c>
      <c r="S5236" s="5">
        <v>3.3</v>
      </c>
      <c r="T5236" s="7">
        <v>50.481999999999999</v>
      </c>
      <c r="U5236" s="5">
        <v>4.8</v>
      </c>
      <c r="V5236" s="6">
        <v>0.45</v>
      </c>
      <c r="W5236" s="6">
        <v>5.25</v>
      </c>
      <c r="X5236" s="5">
        <v>5.5</v>
      </c>
      <c r="Y5236" s="5">
        <v>5.5</v>
      </c>
      <c r="Z5236" s="7">
        <v>4.875</v>
      </c>
      <c r="AA5236" s="6">
        <v>6.63</v>
      </c>
      <c r="AB5236" s="7">
        <v>25.4</v>
      </c>
      <c r="AC5236" s="2"/>
    </row>
    <row r="5237" spans="1:29" ht="286" x14ac:dyDescent="0.15">
      <c r="A5237" s="3">
        <f t="shared" si="122"/>
        <v>36556</v>
      </c>
      <c r="B5237" s="3">
        <f>DATE(2000,4,12)</f>
        <v>36628</v>
      </c>
      <c r="C5237" s="2" t="s">
        <v>95</v>
      </c>
      <c r="D5237" s="2" t="s">
        <v>16195</v>
      </c>
      <c r="E5237" s="2" t="s">
        <v>6798</v>
      </c>
      <c r="F5237" s="4">
        <v>3823</v>
      </c>
      <c r="G5237" s="2" t="s">
        <v>226</v>
      </c>
      <c r="H5237" s="2" t="s">
        <v>34</v>
      </c>
      <c r="I5237" s="2" t="s">
        <v>11857</v>
      </c>
      <c r="J5237" s="2" t="s">
        <v>11858</v>
      </c>
      <c r="K5237" s="2" t="s">
        <v>226</v>
      </c>
      <c r="L5237" s="2" t="s">
        <v>34</v>
      </c>
      <c r="M5237" s="7">
        <v>222.81700000000001</v>
      </c>
      <c r="N5237" s="7">
        <v>6.875</v>
      </c>
      <c r="O5237" s="7">
        <v>6.875</v>
      </c>
      <c r="P5237" s="2" t="s">
        <v>16196</v>
      </c>
      <c r="Q5237" s="6">
        <v>11.76</v>
      </c>
      <c r="R5237" s="6">
        <v>8</v>
      </c>
      <c r="S5237" s="5">
        <v>5.0999999999999996</v>
      </c>
      <c r="T5237" s="7">
        <v>10.205</v>
      </c>
      <c r="U5237" s="5">
        <v>6.3</v>
      </c>
      <c r="V5237" s="6">
        <v>0.26</v>
      </c>
      <c r="W5237" s="7">
        <v>7.9379999999999997</v>
      </c>
      <c r="X5237" s="7">
        <v>7.9379999999999997</v>
      </c>
      <c r="Y5237" s="7">
        <v>7.625</v>
      </c>
      <c r="Z5237" s="7">
        <v>7.625</v>
      </c>
      <c r="AA5237" s="6">
        <v>19.32</v>
      </c>
      <c r="AB5237" s="7">
        <v>20.908999999999999</v>
      </c>
      <c r="AC5237" s="5">
        <v>34.5</v>
      </c>
    </row>
    <row r="5238" spans="1:29" ht="299" x14ac:dyDescent="0.15">
      <c r="A5238" s="3">
        <f t="shared" si="122"/>
        <v>36556</v>
      </c>
      <c r="B5238" s="3">
        <f>DATE(2000,4,20)</f>
        <v>36636</v>
      </c>
      <c r="C5238" s="2" t="s">
        <v>95</v>
      </c>
      <c r="D5238" s="2" t="s">
        <v>16197</v>
      </c>
      <c r="E5238" s="2" t="s">
        <v>16198</v>
      </c>
      <c r="F5238" s="4">
        <v>3826</v>
      </c>
      <c r="G5238" s="2" t="s">
        <v>226</v>
      </c>
      <c r="H5238" s="2" t="s">
        <v>34</v>
      </c>
      <c r="I5238" s="2" t="s">
        <v>636</v>
      </c>
      <c r="J5238" s="2" t="s">
        <v>637</v>
      </c>
      <c r="K5238" s="2" t="s">
        <v>226</v>
      </c>
      <c r="L5238" s="2" t="s">
        <v>34</v>
      </c>
      <c r="M5238" s="12">
        <v>1326.557</v>
      </c>
      <c r="N5238" s="4">
        <v>16</v>
      </c>
      <c r="O5238" s="7">
        <v>16.062999999999999</v>
      </c>
      <c r="P5238" s="2" t="s">
        <v>16199</v>
      </c>
      <c r="Q5238" s="6">
        <v>29.88</v>
      </c>
      <c r="R5238" s="6">
        <v>28</v>
      </c>
      <c r="S5238" s="5">
        <v>19.2</v>
      </c>
      <c r="T5238" s="7">
        <v>43.652999999999999</v>
      </c>
      <c r="U5238" s="5">
        <v>13</v>
      </c>
      <c r="V5238" s="6">
        <v>0.99</v>
      </c>
      <c r="W5238" s="4">
        <v>18</v>
      </c>
      <c r="X5238" s="5">
        <v>18.5</v>
      </c>
      <c r="Y5238" s="7">
        <v>26.062999999999999</v>
      </c>
      <c r="Z5238" s="7">
        <v>26.125</v>
      </c>
      <c r="AA5238" s="6">
        <v>17.600000000000001</v>
      </c>
      <c r="AB5238" s="7">
        <v>23.492000000000001</v>
      </c>
      <c r="AC5238" s="6">
        <v>185.49</v>
      </c>
    </row>
    <row r="5239" spans="1:29" ht="143" x14ac:dyDescent="0.15">
      <c r="A5239" s="3">
        <f t="shared" si="122"/>
        <v>36556</v>
      </c>
      <c r="B5239" s="3">
        <f>DATE(2000,8,15)</f>
        <v>36753</v>
      </c>
      <c r="C5239" s="2" t="s">
        <v>95</v>
      </c>
      <c r="D5239" s="2" t="s">
        <v>6142</v>
      </c>
      <c r="E5239" s="2" t="s">
        <v>6143</v>
      </c>
      <c r="F5239" s="4">
        <v>4911</v>
      </c>
      <c r="G5239" s="2" t="s">
        <v>439</v>
      </c>
      <c r="H5239" s="2" t="s">
        <v>34</v>
      </c>
      <c r="I5239" s="2" t="s">
        <v>14301</v>
      </c>
      <c r="J5239" s="2" t="s">
        <v>14302</v>
      </c>
      <c r="K5239" s="2" t="s">
        <v>226</v>
      </c>
      <c r="L5239" s="2" t="s">
        <v>34</v>
      </c>
      <c r="M5239" s="12">
        <v>2373.5520000000001</v>
      </c>
      <c r="N5239" s="7">
        <v>17.312999999999999</v>
      </c>
      <c r="O5239" s="7">
        <v>17.687999999999999</v>
      </c>
      <c r="P5239" s="2" t="s">
        <v>16200</v>
      </c>
      <c r="Q5239" s="6">
        <v>100</v>
      </c>
      <c r="R5239" s="6">
        <v>7</v>
      </c>
      <c r="S5239" s="5">
        <v>-60.1</v>
      </c>
      <c r="T5239" s="7">
        <v>-63.365000000000002</v>
      </c>
      <c r="U5239" s="5">
        <v>5</v>
      </c>
      <c r="V5239" s="6">
        <v>-1.66</v>
      </c>
      <c r="W5239" s="6">
        <v>5.75</v>
      </c>
      <c r="X5239" s="6">
        <v>6.25</v>
      </c>
      <c r="Y5239" s="7">
        <v>7.125</v>
      </c>
      <c r="Z5239" s="9">
        <v>7.3125</v>
      </c>
      <c r="AA5239" s="6">
        <v>35.950000000000003</v>
      </c>
      <c r="AB5239" s="2" t="s">
        <v>86</v>
      </c>
      <c r="AC5239" s="5">
        <v>281.8</v>
      </c>
    </row>
    <row r="5240" spans="1:29" ht="195" x14ac:dyDescent="0.15">
      <c r="A5240" s="3">
        <f t="shared" si="122"/>
        <v>36556</v>
      </c>
      <c r="B5240" s="3">
        <f>DATE(2001,8,9)</f>
        <v>37112</v>
      </c>
      <c r="C5240" s="2" t="s">
        <v>95</v>
      </c>
      <c r="D5240" s="2" t="s">
        <v>16201</v>
      </c>
      <c r="E5240" s="2" t="s">
        <v>16202</v>
      </c>
      <c r="F5240" s="4">
        <v>3554</v>
      </c>
      <c r="G5240" s="2" t="s">
        <v>300</v>
      </c>
      <c r="H5240" s="2" t="s">
        <v>34</v>
      </c>
      <c r="I5240" s="2" t="s">
        <v>278</v>
      </c>
      <c r="J5240" s="2" t="s">
        <v>52</v>
      </c>
      <c r="K5240" s="2" t="s">
        <v>53</v>
      </c>
      <c r="L5240" s="2" t="s">
        <v>34</v>
      </c>
      <c r="M5240" s="2"/>
      <c r="N5240" s="2"/>
      <c r="O5240" s="2"/>
      <c r="P5240" s="2" t="s">
        <v>16203</v>
      </c>
      <c r="Q5240" s="6">
        <v>87.38</v>
      </c>
      <c r="R5240" s="6">
        <v>13.35</v>
      </c>
      <c r="S5240" s="5">
        <v>13.3</v>
      </c>
      <c r="T5240" s="2"/>
      <c r="U5240" s="5">
        <v>14.3</v>
      </c>
      <c r="V5240" s="6">
        <v>1.05</v>
      </c>
      <c r="W5240" s="7">
        <v>7.1879999999999997</v>
      </c>
      <c r="X5240" s="7">
        <v>7.375</v>
      </c>
      <c r="Y5240" s="5">
        <v>7.5</v>
      </c>
      <c r="Z5240" s="9">
        <v>7.5625</v>
      </c>
      <c r="AA5240" s="6">
        <v>12.73</v>
      </c>
      <c r="AB5240" s="2" t="s">
        <v>47</v>
      </c>
      <c r="AC5240" s="2"/>
    </row>
    <row r="5241" spans="1:29" ht="169" x14ac:dyDescent="0.15">
      <c r="A5241" s="3">
        <f t="shared" si="122"/>
        <v>36556</v>
      </c>
      <c r="B5241" s="3">
        <f>DATE(2000,5,12)</f>
        <v>36658</v>
      </c>
      <c r="C5241" s="2" t="s">
        <v>95</v>
      </c>
      <c r="D5241" s="2" t="s">
        <v>16204</v>
      </c>
      <c r="E5241" s="2" t="s">
        <v>16205</v>
      </c>
      <c r="F5241" s="4">
        <v>3826</v>
      </c>
      <c r="G5241" s="2" t="s">
        <v>226</v>
      </c>
      <c r="H5241" s="2" t="s">
        <v>34</v>
      </c>
      <c r="I5241" s="2" t="s">
        <v>636</v>
      </c>
      <c r="J5241" s="2" t="s">
        <v>637</v>
      </c>
      <c r="K5241" s="2" t="s">
        <v>226</v>
      </c>
      <c r="L5241" s="2" t="s">
        <v>34</v>
      </c>
      <c r="M5241" s="12">
        <v>1326.557</v>
      </c>
      <c r="N5241" s="4">
        <v>16</v>
      </c>
      <c r="O5241" s="7">
        <v>16.062999999999999</v>
      </c>
      <c r="P5241" s="2" t="s">
        <v>16206</v>
      </c>
      <c r="Q5241" s="6">
        <v>9.9700000000000006</v>
      </c>
      <c r="R5241" s="6">
        <v>15</v>
      </c>
      <c r="S5241" s="5">
        <v>39.4</v>
      </c>
      <c r="T5241" s="6">
        <v>83.18</v>
      </c>
      <c r="U5241" s="5">
        <v>6.8</v>
      </c>
      <c r="V5241" s="6">
        <v>0.74</v>
      </c>
      <c r="W5241" s="7">
        <v>15.813000000000001</v>
      </c>
      <c r="X5241" s="7">
        <v>14.063000000000001</v>
      </c>
      <c r="Y5241" s="7">
        <v>14.438000000000001</v>
      </c>
      <c r="Z5241" s="6">
        <v>14.25</v>
      </c>
      <c r="AA5241" s="6">
        <v>51.09</v>
      </c>
      <c r="AB5241" s="7">
        <v>12.311999999999999</v>
      </c>
      <c r="AC5241" s="6">
        <v>185.49</v>
      </c>
    </row>
    <row r="5242" spans="1:29" ht="260" x14ac:dyDescent="0.15">
      <c r="A5242" s="3">
        <f t="shared" si="122"/>
        <v>36556</v>
      </c>
      <c r="B5242" s="3">
        <f>DATE(2000,4,4)</f>
        <v>36620</v>
      </c>
      <c r="C5242" s="2" t="s">
        <v>95</v>
      </c>
      <c r="D5242" s="2" t="s">
        <v>16207</v>
      </c>
      <c r="E5242" s="2" t="s">
        <v>16208</v>
      </c>
      <c r="F5242" s="4">
        <v>3565</v>
      </c>
      <c r="G5242" s="2" t="s">
        <v>300</v>
      </c>
      <c r="H5242" s="2" t="s">
        <v>34</v>
      </c>
      <c r="I5242" s="2" t="s">
        <v>11857</v>
      </c>
      <c r="J5242" s="2" t="s">
        <v>11858</v>
      </c>
      <c r="K5242" s="2" t="s">
        <v>226</v>
      </c>
      <c r="L5242" s="2" t="s">
        <v>34</v>
      </c>
      <c r="M5242" s="7">
        <v>222.81700000000001</v>
      </c>
      <c r="N5242" s="7">
        <v>6.875</v>
      </c>
      <c r="O5242" s="7">
        <v>6.875</v>
      </c>
      <c r="P5242" s="2" t="s">
        <v>16209</v>
      </c>
      <c r="Q5242" s="6">
        <v>19.5</v>
      </c>
      <c r="R5242" s="6">
        <v>15.5</v>
      </c>
      <c r="S5242" s="5">
        <v>6.4</v>
      </c>
      <c r="T5242" s="7">
        <v>14.193</v>
      </c>
      <c r="U5242" s="5">
        <v>10</v>
      </c>
      <c r="V5242" s="6">
        <v>0.67</v>
      </c>
      <c r="W5242" s="5">
        <v>14.5</v>
      </c>
      <c r="X5242" s="7">
        <v>14.438000000000001</v>
      </c>
      <c r="Y5242" s="7">
        <v>14.875</v>
      </c>
      <c r="Z5242" s="7">
        <v>14.938000000000001</v>
      </c>
      <c r="AA5242" s="6">
        <v>9.44</v>
      </c>
      <c r="AB5242" s="7">
        <v>14.254</v>
      </c>
      <c r="AC5242" s="5">
        <v>34.5</v>
      </c>
    </row>
    <row r="5243" spans="1:29" ht="117" x14ac:dyDescent="0.15">
      <c r="A5243" s="3">
        <f t="shared" si="122"/>
        <v>36556</v>
      </c>
      <c r="B5243" s="2"/>
      <c r="C5243" s="2" t="s">
        <v>189</v>
      </c>
      <c r="D5243" s="2" t="s">
        <v>15754</v>
      </c>
      <c r="E5243" s="2" t="s">
        <v>15755</v>
      </c>
      <c r="F5243" s="4">
        <v>3567</v>
      </c>
      <c r="G5243" s="2" t="s">
        <v>300</v>
      </c>
      <c r="H5243" s="2" t="s">
        <v>34</v>
      </c>
      <c r="I5243" s="2" t="s">
        <v>143</v>
      </c>
      <c r="J5243" s="2" t="s">
        <v>144</v>
      </c>
      <c r="K5243" s="2" t="s">
        <v>53</v>
      </c>
      <c r="L5243" s="2" t="s">
        <v>139</v>
      </c>
      <c r="M5243" s="2"/>
      <c r="N5243" s="2"/>
      <c r="O5243" s="2"/>
      <c r="P5243" s="2" t="s">
        <v>16210</v>
      </c>
      <c r="Q5243" s="2"/>
      <c r="R5243" s="2"/>
      <c r="S5243" s="5">
        <v>-45.9</v>
      </c>
      <c r="T5243" s="6">
        <v>-21.01</v>
      </c>
      <c r="U5243" s="5">
        <v>1.3</v>
      </c>
      <c r="V5243" s="7">
        <v>-2.2389999999999999</v>
      </c>
      <c r="W5243" s="6">
        <v>6.75</v>
      </c>
      <c r="X5243" s="4">
        <v>7</v>
      </c>
      <c r="Y5243" s="7">
        <v>7.125</v>
      </c>
      <c r="Z5243" s="7">
        <v>7.0629999999999997</v>
      </c>
      <c r="AA5243" s="6">
        <v>19.07</v>
      </c>
      <c r="AB5243" s="2" t="s">
        <v>86</v>
      </c>
      <c r="AC5243" s="2"/>
    </row>
    <row r="5244" spans="1:29" ht="169" x14ac:dyDescent="0.15">
      <c r="A5244" s="3">
        <f t="shared" si="122"/>
        <v>36556</v>
      </c>
      <c r="B5244" s="3">
        <f>DATE(2000,5,12)</f>
        <v>36658</v>
      </c>
      <c r="C5244" s="2" t="s">
        <v>95</v>
      </c>
      <c r="D5244" s="2" t="s">
        <v>16211</v>
      </c>
      <c r="E5244" s="2" t="s">
        <v>16212</v>
      </c>
      <c r="F5244" s="4">
        <v>3826</v>
      </c>
      <c r="G5244" s="2" t="s">
        <v>226</v>
      </c>
      <c r="H5244" s="2" t="s">
        <v>34</v>
      </c>
      <c r="I5244" s="2" t="s">
        <v>636</v>
      </c>
      <c r="J5244" s="2" t="s">
        <v>637</v>
      </c>
      <c r="K5244" s="2" t="s">
        <v>226</v>
      </c>
      <c r="L5244" s="2" t="s">
        <v>34</v>
      </c>
      <c r="M5244" s="12">
        <v>1326.557</v>
      </c>
      <c r="N5244" s="4">
        <v>16</v>
      </c>
      <c r="O5244" s="7">
        <v>16.062999999999999</v>
      </c>
      <c r="P5244" s="2" t="s">
        <v>16213</v>
      </c>
      <c r="Q5244" s="6">
        <v>14.6</v>
      </c>
      <c r="R5244" s="6">
        <v>17</v>
      </c>
      <c r="S5244" s="5">
        <v>45.7</v>
      </c>
      <c r="T5244" s="7">
        <v>87.932000000000002</v>
      </c>
      <c r="U5244" s="5">
        <v>8.8000000000000007</v>
      </c>
      <c r="V5244" s="6">
        <v>0.87</v>
      </c>
      <c r="W5244" s="7">
        <v>11.563000000000001</v>
      </c>
      <c r="X5244" s="5">
        <v>12.5</v>
      </c>
      <c r="Y5244" s="6">
        <v>16.25</v>
      </c>
      <c r="Z5244" s="6">
        <v>16.25</v>
      </c>
      <c r="AA5244" s="6">
        <v>50.56</v>
      </c>
      <c r="AB5244" s="7">
        <v>12.493</v>
      </c>
      <c r="AC5244" s="6">
        <v>185.49</v>
      </c>
    </row>
    <row r="5245" spans="1:29" ht="208" x14ac:dyDescent="0.15">
      <c r="A5245" s="3">
        <f t="shared" si="122"/>
        <v>36556</v>
      </c>
      <c r="B5245" s="3">
        <f>DATE(2000,6,30)</f>
        <v>36707</v>
      </c>
      <c r="C5245" s="2" t="s">
        <v>95</v>
      </c>
      <c r="D5245" s="2" t="s">
        <v>11857</v>
      </c>
      <c r="E5245" s="2" t="s">
        <v>11858</v>
      </c>
      <c r="F5245" s="4">
        <v>3829</v>
      </c>
      <c r="G5245" s="2" t="s">
        <v>226</v>
      </c>
      <c r="H5245" s="2" t="s">
        <v>34</v>
      </c>
      <c r="I5245" s="2" t="s">
        <v>14301</v>
      </c>
      <c r="J5245" s="2" t="s">
        <v>14302</v>
      </c>
      <c r="K5245" s="2" t="s">
        <v>226</v>
      </c>
      <c r="L5245" s="2" t="s">
        <v>34</v>
      </c>
      <c r="M5245" s="12">
        <v>2373.5520000000001</v>
      </c>
      <c r="N5245" s="7">
        <v>17.312999999999999</v>
      </c>
      <c r="O5245" s="7">
        <v>17.687999999999999</v>
      </c>
      <c r="P5245" s="2" t="s">
        <v>16214</v>
      </c>
      <c r="Q5245" s="6">
        <v>34.5</v>
      </c>
      <c r="R5245" s="6">
        <v>10.8</v>
      </c>
      <c r="S5245" s="5">
        <v>10.6</v>
      </c>
      <c r="T5245" s="7">
        <v>28.074000000000002</v>
      </c>
      <c r="U5245" s="5">
        <v>5.6</v>
      </c>
      <c r="V5245" s="6">
        <v>0.25</v>
      </c>
      <c r="W5245" s="7">
        <v>5.8129999999999997</v>
      </c>
      <c r="X5245" s="7">
        <v>6.125</v>
      </c>
      <c r="Y5245" s="7">
        <v>6.875</v>
      </c>
      <c r="Z5245" s="7">
        <v>6.875</v>
      </c>
      <c r="AA5245" s="6">
        <v>41.94</v>
      </c>
      <c r="AB5245" s="7">
        <v>30.091000000000001</v>
      </c>
      <c r="AC5245" s="6">
        <v>837.26</v>
      </c>
    </row>
    <row r="5246" spans="1:29" ht="117" x14ac:dyDescent="0.15">
      <c r="A5246" s="3">
        <f t="shared" si="122"/>
        <v>36556</v>
      </c>
      <c r="B5246" s="3">
        <f>DATE(2000,8,25)</f>
        <v>36763</v>
      </c>
      <c r="C5246" s="2" t="s">
        <v>95</v>
      </c>
      <c r="D5246" s="2" t="s">
        <v>16215</v>
      </c>
      <c r="E5246" s="2" t="s">
        <v>16216</v>
      </c>
      <c r="F5246" s="4">
        <v>1521</v>
      </c>
      <c r="G5246" s="2" t="s">
        <v>341</v>
      </c>
      <c r="H5246" s="2" t="s">
        <v>34</v>
      </c>
      <c r="I5246" s="2" t="s">
        <v>16217</v>
      </c>
      <c r="J5246" s="2" t="s">
        <v>16218</v>
      </c>
      <c r="K5246" s="2" t="s">
        <v>341</v>
      </c>
      <c r="L5246" s="2" t="s">
        <v>34</v>
      </c>
      <c r="M5246" s="6">
        <v>313.02999999999997</v>
      </c>
      <c r="N5246" s="7">
        <v>9.3130000000000006</v>
      </c>
      <c r="O5246" s="7">
        <v>9.375</v>
      </c>
      <c r="P5246" s="2" t="s">
        <v>16219</v>
      </c>
      <c r="Q5246" s="6">
        <v>100</v>
      </c>
      <c r="R5246" s="6">
        <v>3.35</v>
      </c>
      <c r="S5246" s="5">
        <v>4.3</v>
      </c>
      <c r="T5246" s="2"/>
      <c r="U5246" s="5">
        <v>3.2</v>
      </c>
      <c r="V5246" s="7">
        <v>0.55900000000000005</v>
      </c>
      <c r="W5246" s="7">
        <v>1.9059999999999999</v>
      </c>
      <c r="X5246" s="6">
        <v>2.25</v>
      </c>
      <c r="Y5246" s="7">
        <v>2.6880000000000002</v>
      </c>
      <c r="Z5246" s="6">
        <v>2.75</v>
      </c>
      <c r="AA5246" s="6">
        <v>7.46</v>
      </c>
      <c r="AB5246" s="7">
        <v>7.47</v>
      </c>
      <c r="AC5246" s="5">
        <v>3.2</v>
      </c>
    </row>
    <row r="5247" spans="1:29" ht="91" x14ac:dyDescent="0.15">
      <c r="A5247" s="3">
        <f>DATE(2000,2,1)</f>
        <v>36557</v>
      </c>
      <c r="B5247" s="3">
        <f>DATE(2000,6,27)</f>
        <v>36704</v>
      </c>
      <c r="C5247" s="2" t="s">
        <v>95</v>
      </c>
      <c r="D5247" s="2" t="s">
        <v>16220</v>
      </c>
      <c r="E5247" s="2" t="s">
        <v>16221</v>
      </c>
      <c r="F5247" s="4">
        <v>3823</v>
      </c>
      <c r="G5247" s="2" t="s">
        <v>226</v>
      </c>
      <c r="H5247" s="2" t="s">
        <v>34</v>
      </c>
      <c r="I5247" s="2" t="s">
        <v>51</v>
      </c>
      <c r="J5247" s="2" t="s">
        <v>52</v>
      </c>
      <c r="K5247" s="2" t="s">
        <v>53</v>
      </c>
      <c r="L5247" s="2" t="s">
        <v>34</v>
      </c>
      <c r="M5247" s="2"/>
      <c r="N5247" s="2"/>
      <c r="O5247" s="2"/>
      <c r="P5247" s="2" t="s">
        <v>16222</v>
      </c>
      <c r="Q5247" s="6">
        <v>100</v>
      </c>
      <c r="R5247" s="6">
        <v>5</v>
      </c>
      <c r="S5247" s="5">
        <v>0.4</v>
      </c>
      <c r="T5247" s="7">
        <v>1.423</v>
      </c>
      <c r="U5247" s="5">
        <v>5.5</v>
      </c>
      <c r="V5247" s="7">
        <v>0.26400000000000001</v>
      </c>
      <c r="W5247" s="7">
        <v>3.5630000000000002</v>
      </c>
      <c r="X5247" s="7">
        <v>3.625</v>
      </c>
      <c r="Y5247" s="6">
        <v>4.75</v>
      </c>
      <c r="Z5247" s="7">
        <v>4.5940000000000003</v>
      </c>
      <c r="AA5247" s="6">
        <v>1.36</v>
      </c>
      <c r="AB5247" s="7">
        <v>8.2880000000000003</v>
      </c>
      <c r="AC5247" s="2"/>
    </row>
    <row r="5248" spans="1:29" ht="52" x14ac:dyDescent="0.15">
      <c r="A5248" s="3">
        <f>DATE(2000,2,1)</f>
        <v>36557</v>
      </c>
      <c r="B5248" s="2"/>
      <c r="C5248" s="2" t="s">
        <v>7330</v>
      </c>
      <c r="D5248" s="2" t="s">
        <v>16223</v>
      </c>
      <c r="E5248" s="2" t="s">
        <v>16224</v>
      </c>
      <c r="F5248" s="4">
        <v>1099</v>
      </c>
      <c r="G5248" s="2" t="s">
        <v>166</v>
      </c>
      <c r="H5248" s="2" t="s">
        <v>34</v>
      </c>
      <c r="I5248" s="2" t="s">
        <v>51</v>
      </c>
      <c r="J5248" s="2" t="s">
        <v>52</v>
      </c>
      <c r="K5248" s="2" t="s">
        <v>53</v>
      </c>
      <c r="L5248" s="2" t="s">
        <v>16225</v>
      </c>
      <c r="M5248" s="2"/>
      <c r="N5248" s="2"/>
      <c r="O5248" s="2"/>
      <c r="P5248" s="2" t="s">
        <v>16226</v>
      </c>
      <c r="Q5248" s="2"/>
      <c r="R5248" s="2"/>
      <c r="S5248" s="2"/>
      <c r="T5248" s="2"/>
      <c r="U5248" s="2"/>
      <c r="V5248" s="2"/>
      <c r="W5248" s="7">
        <v>1.9690000000000001</v>
      </c>
      <c r="X5248" s="7">
        <v>2.0630000000000002</v>
      </c>
      <c r="Y5248" s="7">
        <v>2.0310000000000001</v>
      </c>
      <c r="Z5248" s="7">
        <v>1.625</v>
      </c>
      <c r="AA5248" s="2"/>
      <c r="AB5248" s="2" t="s">
        <v>47</v>
      </c>
      <c r="AC5248" s="2"/>
    </row>
    <row r="5249" spans="1:29" ht="39" x14ac:dyDescent="0.15">
      <c r="A5249" s="3">
        <f>DATE(2000,2,2)</f>
        <v>36558</v>
      </c>
      <c r="B5249" s="3">
        <f>DATE(2000,2,2)</f>
        <v>36558</v>
      </c>
      <c r="C5249" s="2" t="s">
        <v>95</v>
      </c>
      <c r="D5249" s="2" t="s">
        <v>16227</v>
      </c>
      <c r="E5249" s="2" t="s">
        <v>5102</v>
      </c>
      <c r="F5249" s="4">
        <v>7372</v>
      </c>
      <c r="G5249" s="2" t="s">
        <v>551</v>
      </c>
      <c r="H5249" s="2" t="s">
        <v>34</v>
      </c>
      <c r="I5249" s="2" t="s">
        <v>16228</v>
      </c>
      <c r="J5249" s="2" t="s">
        <v>16229</v>
      </c>
      <c r="K5249" s="2" t="s">
        <v>593</v>
      </c>
      <c r="L5249" s="2" t="s">
        <v>34</v>
      </c>
      <c r="M5249" s="2"/>
      <c r="N5249" s="2"/>
      <c r="O5249" s="2"/>
      <c r="P5249" s="2" t="s">
        <v>16230</v>
      </c>
      <c r="Q5249" s="6">
        <v>100</v>
      </c>
      <c r="R5249" s="2"/>
      <c r="S5249" s="2"/>
      <c r="T5249" s="2"/>
      <c r="U5249" s="2"/>
      <c r="V5249" s="2"/>
      <c r="W5249" s="5">
        <v>7.5</v>
      </c>
      <c r="X5249" s="6">
        <v>5.75</v>
      </c>
      <c r="Y5249" s="5">
        <v>14.5</v>
      </c>
      <c r="Z5249" s="7">
        <v>18.375</v>
      </c>
      <c r="AA5249" s="2"/>
      <c r="AB5249" s="2" t="s">
        <v>47</v>
      </c>
      <c r="AC5249" s="2"/>
    </row>
    <row r="5250" spans="1:29" ht="221" x14ac:dyDescent="0.15">
      <c r="A5250" s="3">
        <f>DATE(2000,2,2)</f>
        <v>36558</v>
      </c>
      <c r="B5250" s="3">
        <f>DATE(2000,6,16)</f>
        <v>36693</v>
      </c>
      <c r="C5250" s="2" t="s">
        <v>95</v>
      </c>
      <c r="D5250" s="2" t="s">
        <v>16231</v>
      </c>
      <c r="E5250" s="2" t="s">
        <v>36</v>
      </c>
      <c r="F5250" s="4">
        <v>6021</v>
      </c>
      <c r="G5250" s="2" t="s">
        <v>37</v>
      </c>
      <c r="H5250" s="2" t="s">
        <v>34</v>
      </c>
      <c r="I5250" s="2" t="s">
        <v>12303</v>
      </c>
      <c r="J5250" s="2" t="s">
        <v>36</v>
      </c>
      <c r="K5250" s="2" t="s">
        <v>37</v>
      </c>
      <c r="L5250" s="2" t="s">
        <v>34</v>
      </c>
      <c r="M5250" s="12">
        <v>60457.805999999997</v>
      </c>
      <c r="N5250" s="4">
        <v>39</v>
      </c>
      <c r="O5250" s="7">
        <v>38.875</v>
      </c>
      <c r="P5250" s="2" t="s">
        <v>16232</v>
      </c>
      <c r="Q5250" s="6">
        <v>100</v>
      </c>
      <c r="R5250" s="6">
        <v>35.950000000000003</v>
      </c>
      <c r="S5250" s="5">
        <v>30.9</v>
      </c>
      <c r="T5250" s="2"/>
      <c r="U5250" s="5">
        <v>19.3</v>
      </c>
      <c r="V5250" s="6">
        <v>2.33</v>
      </c>
      <c r="W5250" s="6">
        <v>30.75</v>
      </c>
      <c r="X5250" s="4">
        <v>33</v>
      </c>
      <c r="Y5250" s="4">
        <v>34</v>
      </c>
      <c r="Z5250" s="4">
        <v>34</v>
      </c>
      <c r="AA5250" s="6">
        <v>13.34</v>
      </c>
      <c r="AB5250" s="7">
        <v>20.643999999999998</v>
      </c>
      <c r="AC5250" s="2"/>
    </row>
    <row r="5251" spans="1:29" ht="208" x14ac:dyDescent="0.15">
      <c r="A5251" s="3">
        <f>DATE(2000,2,2)</f>
        <v>36558</v>
      </c>
      <c r="B5251" s="3">
        <f>DATE(2000,6,30)</f>
        <v>36707</v>
      </c>
      <c r="C5251" s="2" t="s">
        <v>95</v>
      </c>
      <c r="D5251" s="2" t="s">
        <v>636</v>
      </c>
      <c r="E5251" s="2" t="s">
        <v>637</v>
      </c>
      <c r="F5251" s="4">
        <v>3829</v>
      </c>
      <c r="G5251" s="2" t="s">
        <v>226</v>
      </c>
      <c r="H5251" s="2" t="s">
        <v>34</v>
      </c>
      <c r="I5251" s="2" t="s">
        <v>14301</v>
      </c>
      <c r="J5251" s="2" t="s">
        <v>14302</v>
      </c>
      <c r="K5251" s="2" t="s">
        <v>226</v>
      </c>
      <c r="L5251" s="2" t="s">
        <v>34</v>
      </c>
      <c r="M5251" s="12">
        <v>2304.402</v>
      </c>
      <c r="N5251" s="7">
        <v>17.375</v>
      </c>
      <c r="O5251" s="7">
        <v>17.562999999999999</v>
      </c>
      <c r="P5251" s="2" t="s">
        <v>16233</v>
      </c>
      <c r="Q5251" s="6">
        <v>30.24</v>
      </c>
      <c r="R5251" s="6">
        <v>20.399999999999999</v>
      </c>
      <c r="S5251" s="5">
        <v>87.8</v>
      </c>
      <c r="T5251" s="7">
        <v>300.30799999999999</v>
      </c>
      <c r="U5251" s="5">
        <v>8.3000000000000007</v>
      </c>
      <c r="V5251" s="6">
        <v>0.67</v>
      </c>
      <c r="W5251" s="7">
        <v>15.313000000000001</v>
      </c>
      <c r="X5251" s="7">
        <v>16.062999999999999</v>
      </c>
      <c r="Y5251" s="7">
        <v>15.813000000000001</v>
      </c>
      <c r="Z5251" s="7">
        <v>16.312999999999999</v>
      </c>
      <c r="AA5251" s="6">
        <v>119.24</v>
      </c>
      <c r="AB5251" s="7">
        <v>17.105</v>
      </c>
      <c r="AC5251" s="6">
        <v>837.26</v>
      </c>
    </row>
    <row r="5252" spans="1:29" ht="39" x14ac:dyDescent="0.15">
      <c r="A5252" s="3">
        <f>DATE(2000,2,2)</f>
        <v>36558</v>
      </c>
      <c r="B5252" s="3">
        <f>DATE(2000,3,30)</f>
        <v>36615</v>
      </c>
      <c r="C5252" s="2" t="s">
        <v>95</v>
      </c>
      <c r="D5252" s="2" t="s">
        <v>16234</v>
      </c>
      <c r="E5252" s="2" t="s">
        <v>16235</v>
      </c>
      <c r="F5252" s="4">
        <v>2721</v>
      </c>
      <c r="G5252" s="2" t="s">
        <v>186</v>
      </c>
      <c r="H5252" s="2" t="s">
        <v>34</v>
      </c>
      <c r="I5252" s="2" t="s">
        <v>16236</v>
      </c>
      <c r="J5252" s="2" t="s">
        <v>16237</v>
      </c>
      <c r="K5252" s="2" t="s">
        <v>73</v>
      </c>
      <c r="L5252" s="2" t="s">
        <v>34</v>
      </c>
      <c r="M5252" s="7">
        <v>163.011</v>
      </c>
      <c r="N5252" s="5">
        <v>7.5</v>
      </c>
      <c r="O5252" s="7">
        <v>8.3130000000000006</v>
      </c>
      <c r="P5252" s="2" t="s">
        <v>16238</v>
      </c>
      <c r="Q5252" s="6">
        <v>100</v>
      </c>
      <c r="R5252" s="2"/>
      <c r="S5252" s="2"/>
      <c r="T5252" s="2"/>
      <c r="U5252" s="2"/>
      <c r="V5252" s="2"/>
      <c r="W5252" s="7">
        <v>1.7969999999999999</v>
      </c>
      <c r="X5252" s="7">
        <v>1.7969999999999999</v>
      </c>
      <c r="Y5252" s="7">
        <v>1.7809999999999999</v>
      </c>
      <c r="Z5252" s="7">
        <v>1.5629999999999999</v>
      </c>
      <c r="AA5252" s="6">
        <v>4.78</v>
      </c>
      <c r="AB5252" s="2" t="s">
        <v>47</v>
      </c>
      <c r="AC5252" s="6">
        <v>40.51</v>
      </c>
    </row>
    <row r="5253" spans="1:29" ht="156" x14ac:dyDescent="0.15">
      <c r="A5253" s="3">
        <f>DATE(2000,2,3)</f>
        <v>36559</v>
      </c>
      <c r="B5253" s="3">
        <f>DATE(2000,6,7)</f>
        <v>36684</v>
      </c>
      <c r="C5253" s="2" t="s">
        <v>95</v>
      </c>
      <c r="D5253" s="2" t="s">
        <v>16239</v>
      </c>
      <c r="E5253" s="2" t="s">
        <v>16240</v>
      </c>
      <c r="F5253" s="4">
        <v>7379</v>
      </c>
      <c r="G5253" s="2" t="s">
        <v>223</v>
      </c>
      <c r="H5253" s="2" t="s">
        <v>34</v>
      </c>
      <c r="I5253" s="2" t="s">
        <v>16241</v>
      </c>
      <c r="J5253" s="2" t="s">
        <v>16242</v>
      </c>
      <c r="K5253" s="2" t="s">
        <v>551</v>
      </c>
      <c r="L5253" s="2" t="s">
        <v>34</v>
      </c>
      <c r="M5253" s="8">
        <v>6868.1</v>
      </c>
      <c r="N5253" s="4">
        <v>128</v>
      </c>
      <c r="O5253" s="4">
        <v>125</v>
      </c>
      <c r="P5253" s="2" t="s">
        <v>16243</v>
      </c>
      <c r="Q5253" s="6">
        <v>100</v>
      </c>
      <c r="R5253" s="6">
        <v>58.17</v>
      </c>
      <c r="S5253" s="5">
        <v>-19.8</v>
      </c>
      <c r="T5253" s="7">
        <v>-5.3010000000000002</v>
      </c>
      <c r="U5253" s="5">
        <v>5.2</v>
      </c>
      <c r="V5253" s="6">
        <v>-2.0499999999999998</v>
      </c>
      <c r="W5253" s="7">
        <v>32.875</v>
      </c>
      <c r="X5253" s="4">
        <v>36</v>
      </c>
      <c r="Y5253" s="7">
        <v>45.125</v>
      </c>
      <c r="Z5253" s="7">
        <v>42.625</v>
      </c>
      <c r="AA5253" s="6">
        <v>15</v>
      </c>
      <c r="AB5253" s="2" t="s">
        <v>86</v>
      </c>
      <c r="AC5253" s="5">
        <v>148.5</v>
      </c>
    </row>
    <row r="5254" spans="1:29" ht="78" x14ac:dyDescent="0.15">
      <c r="A5254" s="3">
        <f>DATE(2000,2,4)</f>
        <v>36560</v>
      </c>
      <c r="B5254" s="2"/>
      <c r="C5254" s="2" t="s">
        <v>30</v>
      </c>
      <c r="D5254" s="2" t="s">
        <v>16244</v>
      </c>
      <c r="E5254" s="2" t="s">
        <v>16245</v>
      </c>
      <c r="F5254" s="4">
        <v>3823</v>
      </c>
      <c r="G5254" s="2" t="s">
        <v>226</v>
      </c>
      <c r="H5254" s="2" t="s">
        <v>34</v>
      </c>
      <c r="I5254" s="2" t="s">
        <v>6072</v>
      </c>
      <c r="J5254" s="2" t="s">
        <v>6073</v>
      </c>
      <c r="K5254" s="2" t="s">
        <v>98</v>
      </c>
      <c r="L5254" s="2" t="s">
        <v>34</v>
      </c>
      <c r="M5254" s="12">
        <v>1688.2180000000001</v>
      </c>
      <c r="N5254" s="7">
        <v>52.563000000000002</v>
      </c>
      <c r="O5254" s="7">
        <v>52.625</v>
      </c>
      <c r="P5254" s="2" t="s">
        <v>16246</v>
      </c>
      <c r="Q5254" s="2"/>
      <c r="R5254" s="6">
        <v>2.1</v>
      </c>
      <c r="S5254" s="5">
        <v>-2.9</v>
      </c>
      <c r="T5254" s="7">
        <v>-0.96699999999999997</v>
      </c>
      <c r="U5254" s="5">
        <v>1</v>
      </c>
      <c r="V5254" s="6">
        <v>-0.24</v>
      </c>
      <c r="W5254" s="7">
        <v>1.0309999999999999</v>
      </c>
      <c r="X5254" s="7">
        <v>1.0940000000000001</v>
      </c>
      <c r="Y5254" s="7">
        <v>1.0940000000000001</v>
      </c>
      <c r="Z5254" s="7">
        <v>1.7190000000000001</v>
      </c>
      <c r="AA5254" s="6">
        <v>12.87</v>
      </c>
      <c r="AB5254" s="2" t="s">
        <v>86</v>
      </c>
      <c r="AC5254" s="5">
        <v>64</v>
      </c>
    </row>
    <row r="5255" spans="1:29" ht="156" x14ac:dyDescent="0.15">
      <c r="A5255" s="3">
        <f>DATE(2000,2,4)</f>
        <v>36560</v>
      </c>
      <c r="B5255" s="3">
        <f>DATE(2000,7,26)</f>
        <v>36733</v>
      </c>
      <c r="C5255" s="2" t="s">
        <v>95</v>
      </c>
      <c r="D5255" s="2" t="s">
        <v>16247</v>
      </c>
      <c r="E5255" s="2" t="s">
        <v>2800</v>
      </c>
      <c r="F5255" s="4">
        <v>6162</v>
      </c>
      <c r="G5255" s="2" t="s">
        <v>109</v>
      </c>
      <c r="H5255" s="2" t="s">
        <v>34</v>
      </c>
      <c r="I5255" s="2" t="s">
        <v>51</v>
      </c>
      <c r="J5255" s="2" t="s">
        <v>52</v>
      </c>
      <c r="K5255" s="2" t="s">
        <v>53</v>
      </c>
      <c r="L5255" s="2" t="s">
        <v>34</v>
      </c>
      <c r="M5255" s="2"/>
      <c r="N5255" s="2"/>
      <c r="O5255" s="2"/>
      <c r="P5255" s="2" t="s">
        <v>16248</v>
      </c>
      <c r="Q5255" s="6">
        <v>93.84</v>
      </c>
      <c r="R5255" s="6">
        <v>10</v>
      </c>
      <c r="S5255" s="5">
        <v>5</v>
      </c>
      <c r="T5255" s="7">
        <v>16.265000000000001</v>
      </c>
      <c r="U5255" s="5">
        <v>6.7</v>
      </c>
      <c r="V5255" s="7">
        <v>0.95399999999999996</v>
      </c>
      <c r="W5255" s="4">
        <v>7</v>
      </c>
      <c r="X5255" s="7">
        <v>7.375</v>
      </c>
      <c r="Y5255" s="7">
        <v>8.9689999999999994</v>
      </c>
      <c r="Z5255" s="4">
        <v>9</v>
      </c>
      <c r="AA5255" s="6">
        <v>5.04</v>
      </c>
      <c r="AB5255" s="7">
        <v>9.8610000000000007</v>
      </c>
      <c r="AC5255" s="2"/>
    </row>
    <row r="5256" spans="1:29" ht="91" x14ac:dyDescent="0.15">
      <c r="A5256" s="3">
        <f>DATE(2000,2,4)</f>
        <v>36560</v>
      </c>
      <c r="B5256" s="3">
        <f>DATE(2000,7,31)</f>
        <v>36738</v>
      </c>
      <c r="C5256" s="2" t="s">
        <v>95</v>
      </c>
      <c r="D5256" s="2" t="s">
        <v>16249</v>
      </c>
      <c r="E5256" s="2" t="s">
        <v>1181</v>
      </c>
      <c r="F5256" s="4">
        <v>6021</v>
      </c>
      <c r="G5256" s="2" t="s">
        <v>37</v>
      </c>
      <c r="H5256" s="2" t="s">
        <v>34</v>
      </c>
      <c r="I5256" s="2" t="s">
        <v>12571</v>
      </c>
      <c r="J5256" s="2" t="s">
        <v>3246</v>
      </c>
      <c r="K5256" s="2" t="s">
        <v>37</v>
      </c>
      <c r="L5256" s="2" t="s">
        <v>34</v>
      </c>
      <c r="M5256" s="7">
        <v>137.12200000000001</v>
      </c>
      <c r="N5256" s="7">
        <v>29.875</v>
      </c>
      <c r="O5256" s="7">
        <v>29.875</v>
      </c>
      <c r="P5256" s="2" t="s">
        <v>16250</v>
      </c>
      <c r="Q5256" s="6">
        <v>100</v>
      </c>
      <c r="R5256" s="2"/>
      <c r="S5256" s="5">
        <v>2.2999999999999998</v>
      </c>
      <c r="T5256" s="7">
        <v>4.1849999999999996</v>
      </c>
      <c r="U5256" s="5">
        <v>6.5</v>
      </c>
      <c r="V5256" s="6">
        <v>0.77</v>
      </c>
      <c r="W5256" s="4">
        <v>20</v>
      </c>
      <c r="X5256" s="7">
        <v>26.375</v>
      </c>
      <c r="Y5256" s="4">
        <v>18</v>
      </c>
      <c r="Z5256" s="4">
        <v>17</v>
      </c>
      <c r="AA5256" s="2"/>
      <c r="AB5256" s="2" t="s">
        <v>47</v>
      </c>
      <c r="AC5256" s="2"/>
    </row>
    <row r="5257" spans="1:29" ht="39" x14ac:dyDescent="0.15">
      <c r="A5257" s="3">
        <f>DATE(2000,2,4)</f>
        <v>36560</v>
      </c>
      <c r="B5257" s="2"/>
      <c r="C5257" s="2" t="s">
        <v>189</v>
      </c>
      <c r="D5257" s="2" t="s">
        <v>16251</v>
      </c>
      <c r="E5257" s="2" t="s">
        <v>16252</v>
      </c>
      <c r="F5257" s="4">
        <v>8221</v>
      </c>
      <c r="G5257" s="2" t="s">
        <v>415</v>
      </c>
      <c r="H5257" s="2" t="s">
        <v>34</v>
      </c>
      <c r="I5257" s="2" t="s">
        <v>143</v>
      </c>
      <c r="J5257" s="2" t="s">
        <v>144</v>
      </c>
      <c r="K5257" s="2" t="s">
        <v>53</v>
      </c>
      <c r="L5257" s="2" t="s">
        <v>139</v>
      </c>
      <c r="M5257" s="2"/>
      <c r="N5257" s="2"/>
      <c r="O5257" s="2"/>
      <c r="P5257" s="2" t="s">
        <v>16253</v>
      </c>
      <c r="Q5257" s="2"/>
      <c r="R5257" s="2"/>
      <c r="S5257" s="5">
        <v>19.3</v>
      </c>
      <c r="T5257" s="7">
        <v>29.417999999999999</v>
      </c>
      <c r="U5257" s="5">
        <v>5.0999999999999996</v>
      </c>
      <c r="V5257" s="6">
        <v>1.23</v>
      </c>
      <c r="W5257" s="7">
        <v>21.812999999999999</v>
      </c>
      <c r="X5257" s="7">
        <v>19.625</v>
      </c>
      <c r="Y5257" s="9">
        <v>25.9375</v>
      </c>
      <c r="Z5257" s="9">
        <v>25.5625</v>
      </c>
      <c r="AA5257" s="2"/>
      <c r="AB5257" s="2" t="s">
        <v>47</v>
      </c>
      <c r="AC5257" s="2"/>
    </row>
    <row r="5258" spans="1:29" ht="65" x14ac:dyDescent="0.15">
      <c r="A5258" s="3">
        <f>DATE(2000,2,6)</f>
        <v>36562</v>
      </c>
      <c r="B5258" s="3">
        <f>DATE(2000,3,28)</f>
        <v>36613</v>
      </c>
      <c r="C5258" s="2" t="s">
        <v>95</v>
      </c>
      <c r="D5258" s="2" t="s">
        <v>16254</v>
      </c>
      <c r="E5258" s="2" t="s">
        <v>16255</v>
      </c>
      <c r="F5258" s="4">
        <v>6411</v>
      </c>
      <c r="G5258" s="2" t="s">
        <v>125</v>
      </c>
      <c r="H5258" s="2" t="s">
        <v>34</v>
      </c>
      <c r="I5258" s="2" t="s">
        <v>16256</v>
      </c>
      <c r="J5258" s="2" t="s">
        <v>16257</v>
      </c>
      <c r="K5258" s="2" t="s">
        <v>551</v>
      </c>
      <c r="L5258" s="2" t="s">
        <v>902</v>
      </c>
      <c r="M5258" s="2"/>
      <c r="N5258" s="2"/>
      <c r="O5258" s="2"/>
      <c r="P5258" s="2" t="s">
        <v>16258</v>
      </c>
      <c r="Q5258" s="6">
        <v>100</v>
      </c>
      <c r="R5258" s="6">
        <v>27</v>
      </c>
      <c r="S5258" s="5">
        <v>24.1</v>
      </c>
      <c r="T5258" s="7">
        <v>45.204000000000001</v>
      </c>
      <c r="U5258" s="5">
        <v>6.6</v>
      </c>
      <c r="V5258" s="6">
        <v>1.29</v>
      </c>
      <c r="W5258" s="7">
        <v>18.375</v>
      </c>
      <c r="X5258" s="5">
        <v>20.5</v>
      </c>
      <c r="Y5258" s="2"/>
      <c r="Z5258" s="7">
        <v>25.562999999999999</v>
      </c>
      <c r="AA5258" s="6">
        <v>19.079999999999998</v>
      </c>
      <c r="AB5258" s="7">
        <v>13.532</v>
      </c>
      <c r="AC5258" s="6">
        <v>10.23</v>
      </c>
    </row>
    <row r="5259" spans="1:29" ht="117" x14ac:dyDescent="0.15">
      <c r="A5259" s="3">
        <f t="shared" ref="A5259:A5264" si="123">DATE(2000,2,7)</f>
        <v>36563</v>
      </c>
      <c r="B5259" s="3">
        <f>DATE(2000,6,26)</f>
        <v>36703</v>
      </c>
      <c r="C5259" s="2" t="s">
        <v>95</v>
      </c>
      <c r="D5259" s="2" t="s">
        <v>16259</v>
      </c>
      <c r="E5259" s="2" t="s">
        <v>36</v>
      </c>
      <c r="F5259" s="4">
        <v>6022</v>
      </c>
      <c r="G5259" s="2" t="s">
        <v>37</v>
      </c>
      <c r="H5259" s="2" t="s">
        <v>34</v>
      </c>
      <c r="I5259" s="2" t="s">
        <v>390</v>
      </c>
      <c r="J5259" s="2" t="s">
        <v>159</v>
      </c>
      <c r="K5259" s="2" t="s">
        <v>37</v>
      </c>
      <c r="L5259" s="2" t="s">
        <v>34</v>
      </c>
      <c r="M5259" s="12">
        <v>4868.0959999999995</v>
      </c>
      <c r="N5259" s="7">
        <v>20.875</v>
      </c>
      <c r="O5259" s="7">
        <v>20.437999999999999</v>
      </c>
      <c r="P5259" s="2" t="s">
        <v>16260</v>
      </c>
      <c r="Q5259" s="6">
        <v>100</v>
      </c>
      <c r="R5259" s="6">
        <v>43.27</v>
      </c>
      <c r="S5259" s="5">
        <v>7.3</v>
      </c>
      <c r="T5259" s="7">
        <v>11.942</v>
      </c>
      <c r="U5259" s="5">
        <v>14.5</v>
      </c>
      <c r="V5259" s="6">
        <v>2.29</v>
      </c>
      <c r="W5259" s="6">
        <v>28.75</v>
      </c>
      <c r="X5259" s="4">
        <v>38</v>
      </c>
      <c r="Y5259" s="4">
        <v>38</v>
      </c>
      <c r="Z5259" s="6">
        <v>38.97</v>
      </c>
      <c r="AA5259" s="6">
        <v>3.01</v>
      </c>
      <c r="AB5259" s="7">
        <v>16.478999999999999</v>
      </c>
      <c r="AC5259" s="2"/>
    </row>
    <row r="5260" spans="1:29" ht="156" x14ac:dyDescent="0.15">
      <c r="A5260" s="3">
        <f t="shared" si="123"/>
        <v>36563</v>
      </c>
      <c r="B5260" s="2"/>
      <c r="C5260" s="2" t="s">
        <v>30</v>
      </c>
      <c r="D5260" s="2" t="s">
        <v>16261</v>
      </c>
      <c r="E5260" s="2" t="s">
        <v>1550</v>
      </c>
      <c r="F5260" s="4">
        <v>7372</v>
      </c>
      <c r="G5260" s="2" t="s">
        <v>551</v>
      </c>
      <c r="H5260" s="2" t="s">
        <v>34</v>
      </c>
      <c r="I5260" s="2" t="s">
        <v>16262</v>
      </c>
      <c r="J5260" s="2" t="s">
        <v>849</v>
      </c>
      <c r="K5260" s="2" t="s">
        <v>551</v>
      </c>
      <c r="L5260" s="2" t="s">
        <v>902</v>
      </c>
      <c r="M5260" s="2"/>
      <c r="N5260" s="2"/>
      <c r="O5260" s="2"/>
      <c r="P5260" s="2" t="s">
        <v>16263</v>
      </c>
      <c r="Q5260" s="2"/>
      <c r="R5260" s="6">
        <v>14.94</v>
      </c>
      <c r="S5260" s="5">
        <v>60.6</v>
      </c>
      <c r="T5260" s="6">
        <v>-47.27</v>
      </c>
      <c r="U5260" s="5">
        <v>3.6</v>
      </c>
      <c r="V5260" s="6">
        <v>0.35</v>
      </c>
      <c r="W5260" s="6">
        <v>12.25</v>
      </c>
      <c r="X5260" s="7">
        <v>12.938000000000001</v>
      </c>
      <c r="Y5260" s="6">
        <v>13.25</v>
      </c>
      <c r="Z5260" s="9">
        <v>13.0625</v>
      </c>
      <c r="AA5260" s="6">
        <v>71.7</v>
      </c>
      <c r="AB5260" s="2" t="s">
        <v>86</v>
      </c>
      <c r="AC5260" s="6">
        <v>17.96</v>
      </c>
    </row>
    <row r="5261" spans="1:29" ht="91" x14ac:dyDescent="0.15">
      <c r="A5261" s="3">
        <f t="shared" si="123"/>
        <v>36563</v>
      </c>
      <c r="B5261" s="3">
        <f>DATE(2000,4,20)</f>
        <v>36636</v>
      </c>
      <c r="C5261" s="2" t="s">
        <v>95</v>
      </c>
      <c r="D5261" s="2" t="s">
        <v>16264</v>
      </c>
      <c r="E5261" s="2" t="s">
        <v>16265</v>
      </c>
      <c r="F5261" s="4">
        <v>7375</v>
      </c>
      <c r="G5261" s="2" t="s">
        <v>223</v>
      </c>
      <c r="H5261" s="2" t="s">
        <v>34</v>
      </c>
      <c r="I5261" s="2" t="s">
        <v>16266</v>
      </c>
      <c r="J5261" s="2" t="s">
        <v>16267</v>
      </c>
      <c r="K5261" s="2" t="s">
        <v>223</v>
      </c>
      <c r="L5261" s="2" t="s">
        <v>34</v>
      </c>
      <c r="M5261" s="12">
        <v>12799.625</v>
      </c>
      <c r="N5261" s="7">
        <v>228.625</v>
      </c>
      <c r="O5261" s="7">
        <v>240.93799999999999</v>
      </c>
      <c r="P5261" s="2" t="s">
        <v>16268</v>
      </c>
      <c r="Q5261" s="6">
        <v>100</v>
      </c>
      <c r="R5261" s="6">
        <v>139.99</v>
      </c>
      <c r="S5261" s="5">
        <v>-43.4</v>
      </c>
      <c r="T5261" s="7">
        <v>-26.792999999999999</v>
      </c>
      <c r="U5261" s="5">
        <v>6.2</v>
      </c>
      <c r="V5261" s="6">
        <v>-3.23</v>
      </c>
      <c r="W5261" s="5">
        <v>92.5</v>
      </c>
      <c r="X5261" s="4">
        <v>117</v>
      </c>
      <c r="Y5261" s="7">
        <v>129.375</v>
      </c>
      <c r="Z5261" s="6">
        <v>136.75</v>
      </c>
      <c r="AA5261" s="6">
        <v>15.11</v>
      </c>
      <c r="AB5261" s="2" t="s">
        <v>86</v>
      </c>
      <c r="AC5261" s="5">
        <v>269.60000000000002</v>
      </c>
    </row>
    <row r="5262" spans="1:29" ht="182" x14ac:dyDescent="0.15">
      <c r="A5262" s="3">
        <f t="shared" si="123"/>
        <v>36563</v>
      </c>
      <c r="B5262" s="3">
        <f>DATE(2000,7,7)</f>
        <v>36714</v>
      </c>
      <c r="C5262" s="2" t="s">
        <v>95</v>
      </c>
      <c r="D5262" s="2" t="s">
        <v>7457</v>
      </c>
      <c r="E5262" s="2" t="s">
        <v>36</v>
      </c>
      <c r="F5262" s="4">
        <v>6022</v>
      </c>
      <c r="G5262" s="2" t="s">
        <v>37</v>
      </c>
      <c r="H5262" s="2" t="s">
        <v>34</v>
      </c>
      <c r="I5262" s="2" t="s">
        <v>13707</v>
      </c>
      <c r="J5262" s="2" t="s">
        <v>36</v>
      </c>
      <c r="K5262" s="2" t="s">
        <v>37</v>
      </c>
      <c r="L5262" s="2" t="s">
        <v>34</v>
      </c>
      <c r="M5262" s="10">
        <v>8302.08</v>
      </c>
      <c r="N5262" s="6">
        <v>26.25</v>
      </c>
      <c r="O5262" s="7">
        <v>26.062999999999999</v>
      </c>
      <c r="P5262" s="2" t="s">
        <v>16269</v>
      </c>
      <c r="Q5262" s="6">
        <v>100</v>
      </c>
      <c r="R5262" s="6">
        <v>35.200000000000003</v>
      </c>
      <c r="S5262" s="5">
        <v>80.8</v>
      </c>
      <c r="T5262" s="7">
        <v>132.26599999999999</v>
      </c>
      <c r="U5262" s="5">
        <v>16.7</v>
      </c>
      <c r="V5262" s="6">
        <v>2.37</v>
      </c>
      <c r="W5262" s="6">
        <v>25.25</v>
      </c>
      <c r="X5262" s="7">
        <v>27.062999999999999</v>
      </c>
      <c r="Y5262" s="4">
        <v>32</v>
      </c>
      <c r="Z5262" s="7">
        <v>32.188000000000002</v>
      </c>
      <c r="AA5262" s="6">
        <v>33.39</v>
      </c>
      <c r="AB5262" s="7">
        <v>21.491</v>
      </c>
      <c r="AC5262" s="2"/>
    </row>
    <row r="5263" spans="1:29" ht="117" x14ac:dyDescent="0.15">
      <c r="A5263" s="3">
        <f t="shared" si="123"/>
        <v>36563</v>
      </c>
      <c r="B5263" s="3">
        <f>DATE(2000,4,27)</f>
        <v>36643</v>
      </c>
      <c r="C5263" s="2" t="s">
        <v>95</v>
      </c>
      <c r="D5263" s="2" t="s">
        <v>16270</v>
      </c>
      <c r="E5263" s="2" t="s">
        <v>16271</v>
      </c>
      <c r="F5263" s="4">
        <v>3663</v>
      </c>
      <c r="G5263" s="2" t="s">
        <v>921</v>
      </c>
      <c r="H5263" s="2" t="s">
        <v>34</v>
      </c>
      <c r="I5263" s="2" t="s">
        <v>8437</v>
      </c>
      <c r="J5263" s="2" t="s">
        <v>6519</v>
      </c>
      <c r="K5263" s="2" t="s">
        <v>63</v>
      </c>
      <c r="L5263" s="2" t="s">
        <v>34</v>
      </c>
      <c r="M5263" s="12">
        <v>181837.356</v>
      </c>
      <c r="N5263" s="7">
        <v>56.375</v>
      </c>
      <c r="O5263" s="6">
        <v>53.75</v>
      </c>
      <c r="P5263" s="2" t="s">
        <v>16272</v>
      </c>
      <c r="Q5263" s="6">
        <v>100</v>
      </c>
      <c r="R5263" s="6">
        <v>178.7</v>
      </c>
      <c r="S5263" s="5">
        <v>-2.7</v>
      </c>
      <c r="T5263" s="7">
        <v>1.4119999999999999</v>
      </c>
      <c r="U5263" s="5">
        <v>6.4</v>
      </c>
      <c r="V5263" s="6">
        <v>-0.23</v>
      </c>
      <c r="W5263" s="7">
        <v>143.625</v>
      </c>
      <c r="X5263" s="7">
        <v>177.125</v>
      </c>
      <c r="Y5263" s="7">
        <v>168.06299999999999</v>
      </c>
      <c r="Z5263" s="5">
        <v>161.5</v>
      </c>
      <c r="AA5263" s="6">
        <v>12.45</v>
      </c>
      <c r="AB5263" s="2" t="s">
        <v>86</v>
      </c>
      <c r="AC5263" s="8">
        <v>2219</v>
      </c>
    </row>
    <row r="5264" spans="1:29" ht="104" x14ac:dyDescent="0.15">
      <c r="A5264" s="3">
        <f t="shared" si="123"/>
        <v>36563</v>
      </c>
      <c r="B5264" s="3">
        <f>DATE(2000,4,19)</f>
        <v>36635</v>
      </c>
      <c r="C5264" s="2" t="s">
        <v>95</v>
      </c>
      <c r="D5264" s="2" t="s">
        <v>16273</v>
      </c>
      <c r="E5264" s="2" t="s">
        <v>16274</v>
      </c>
      <c r="F5264" s="4">
        <v>7375</v>
      </c>
      <c r="G5264" s="2" t="s">
        <v>223</v>
      </c>
      <c r="H5264" s="2" t="s">
        <v>34</v>
      </c>
      <c r="I5264" s="2" t="s">
        <v>16275</v>
      </c>
      <c r="J5264" s="2" t="s">
        <v>849</v>
      </c>
      <c r="K5264" s="2" t="s">
        <v>551</v>
      </c>
      <c r="L5264" s="2" t="s">
        <v>34</v>
      </c>
      <c r="M5264" s="12">
        <v>5686.6019999999999</v>
      </c>
      <c r="N5264" s="5">
        <v>240.5</v>
      </c>
      <c r="O5264" s="6">
        <v>231.25</v>
      </c>
      <c r="P5264" s="2" t="s">
        <v>16276</v>
      </c>
      <c r="Q5264" s="6">
        <v>100</v>
      </c>
      <c r="R5264" s="6">
        <v>214.87</v>
      </c>
      <c r="S5264" s="5">
        <v>-9.4</v>
      </c>
      <c r="T5264" s="7">
        <v>-9.2590000000000003</v>
      </c>
      <c r="U5264" s="5">
        <v>3.6</v>
      </c>
      <c r="V5264" s="6">
        <v>-2.39</v>
      </c>
      <c r="W5264" s="7">
        <v>147.625</v>
      </c>
      <c r="X5264" s="5">
        <v>138.5</v>
      </c>
      <c r="Y5264" s="7">
        <v>183.31299999999999</v>
      </c>
      <c r="Z5264" s="7">
        <v>178.625</v>
      </c>
      <c r="AA5264" s="6">
        <v>16.420000000000002</v>
      </c>
      <c r="AB5264" s="2" t="s">
        <v>86</v>
      </c>
      <c r="AC5264" s="5">
        <v>54.9</v>
      </c>
    </row>
    <row r="5265" spans="1:29" ht="169" x14ac:dyDescent="0.15">
      <c r="A5265" s="3">
        <f>DATE(2000,2,9)</f>
        <v>36565</v>
      </c>
      <c r="B5265" s="2"/>
      <c r="C5265" s="2" t="s">
        <v>30</v>
      </c>
      <c r="D5265" s="2" t="s">
        <v>16022</v>
      </c>
      <c r="E5265" s="2" t="s">
        <v>16023</v>
      </c>
      <c r="F5265" s="4">
        <v>5812</v>
      </c>
      <c r="G5265" s="2" t="s">
        <v>230</v>
      </c>
      <c r="H5265" s="2" t="s">
        <v>34</v>
      </c>
      <c r="I5265" s="2" t="s">
        <v>7784</v>
      </c>
      <c r="J5265" s="2" t="s">
        <v>7785</v>
      </c>
      <c r="K5265" s="2" t="s">
        <v>230</v>
      </c>
      <c r="L5265" s="2" t="s">
        <v>34</v>
      </c>
      <c r="M5265" s="7">
        <v>198.59299999999999</v>
      </c>
      <c r="N5265" s="7">
        <v>9.8130000000000006</v>
      </c>
      <c r="O5265" s="7">
        <v>8.625</v>
      </c>
      <c r="P5265" s="2" t="s">
        <v>16277</v>
      </c>
      <c r="Q5265" s="2"/>
      <c r="R5265" s="6">
        <v>5.89</v>
      </c>
      <c r="S5265" s="5">
        <v>13</v>
      </c>
      <c r="T5265" s="5">
        <v>33.200000000000003</v>
      </c>
      <c r="U5265" s="5">
        <v>9.1</v>
      </c>
      <c r="V5265" s="6">
        <v>0.53</v>
      </c>
      <c r="W5265" s="7">
        <v>3.266</v>
      </c>
      <c r="X5265" s="7">
        <v>3.9380000000000002</v>
      </c>
      <c r="Y5265" s="6">
        <v>3.75</v>
      </c>
      <c r="Z5265" s="6">
        <v>3.75</v>
      </c>
      <c r="AA5265" s="6">
        <v>23.9</v>
      </c>
      <c r="AB5265" s="7">
        <v>8.5039999999999996</v>
      </c>
      <c r="AC5265" s="6">
        <v>22.98</v>
      </c>
    </row>
    <row r="5266" spans="1:29" ht="52" x14ac:dyDescent="0.15">
      <c r="A5266" s="3">
        <f>DATE(2000,2,10)</f>
        <v>36566</v>
      </c>
      <c r="B5266" s="3">
        <f>DATE(2000,6,1)</f>
        <v>36678</v>
      </c>
      <c r="C5266" s="2" t="s">
        <v>95</v>
      </c>
      <c r="D5266" s="2" t="s">
        <v>16278</v>
      </c>
      <c r="E5266" s="2" t="s">
        <v>16279</v>
      </c>
      <c r="F5266" s="4">
        <v>2024</v>
      </c>
      <c r="G5266" s="2" t="s">
        <v>577</v>
      </c>
      <c r="H5266" s="2" t="s">
        <v>34</v>
      </c>
      <c r="I5266" s="2" t="s">
        <v>16280</v>
      </c>
      <c r="J5266" s="2" t="s">
        <v>1620</v>
      </c>
      <c r="K5266" s="2" t="s">
        <v>53</v>
      </c>
      <c r="L5266" s="2" t="s">
        <v>34</v>
      </c>
      <c r="M5266" s="2"/>
      <c r="N5266" s="2"/>
      <c r="O5266" s="2"/>
      <c r="P5266" s="2" t="s">
        <v>16281</v>
      </c>
      <c r="Q5266" s="6">
        <v>100</v>
      </c>
      <c r="R5266" s="6">
        <v>6</v>
      </c>
      <c r="S5266" s="5">
        <v>7.2</v>
      </c>
      <c r="T5266" s="7">
        <v>14.488</v>
      </c>
      <c r="U5266" s="5">
        <v>3.4</v>
      </c>
      <c r="V5266" s="6">
        <v>0.31</v>
      </c>
      <c r="W5266" s="7">
        <v>3.8130000000000002</v>
      </c>
      <c r="X5266" s="7">
        <v>3.5630000000000002</v>
      </c>
      <c r="Y5266" s="6">
        <v>5.25</v>
      </c>
      <c r="Z5266" s="7">
        <v>5.375</v>
      </c>
      <c r="AA5266" s="6">
        <v>22.89</v>
      </c>
      <c r="AB5266" s="7">
        <v>12.215</v>
      </c>
      <c r="AC5266" s="2"/>
    </row>
    <row r="5267" spans="1:29" ht="169" x14ac:dyDescent="0.15">
      <c r="A5267" s="3">
        <f>DATE(2000,2,10)</f>
        <v>36566</v>
      </c>
      <c r="B5267" s="3">
        <f>DATE(2000,5,1)</f>
        <v>36647</v>
      </c>
      <c r="C5267" s="2" t="s">
        <v>95</v>
      </c>
      <c r="D5267" s="2" t="s">
        <v>16282</v>
      </c>
      <c r="E5267" s="2" t="s">
        <v>16283</v>
      </c>
      <c r="F5267" s="4">
        <v>5961</v>
      </c>
      <c r="G5267" s="2" t="s">
        <v>73</v>
      </c>
      <c r="H5267" s="2" t="s">
        <v>34</v>
      </c>
      <c r="I5267" s="2" t="s">
        <v>15292</v>
      </c>
      <c r="J5267" s="2" t="s">
        <v>11946</v>
      </c>
      <c r="K5267" s="2" t="s">
        <v>551</v>
      </c>
      <c r="L5267" s="2" t="s">
        <v>34</v>
      </c>
      <c r="M5267" s="12">
        <v>15955.434999999999</v>
      </c>
      <c r="N5267" s="7">
        <v>117.813</v>
      </c>
      <c r="O5267" s="7">
        <v>112.063</v>
      </c>
      <c r="P5267" s="2" t="s">
        <v>16284</v>
      </c>
      <c r="Q5267" s="6">
        <v>100</v>
      </c>
      <c r="R5267" s="6">
        <v>31.67</v>
      </c>
      <c r="S5267" s="5">
        <v>-25.5</v>
      </c>
      <c r="T5267" s="7">
        <v>-26.227</v>
      </c>
      <c r="U5267" s="5">
        <v>3.9</v>
      </c>
      <c r="V5267" s="6">
        <v>-2.61</v>
      </c>
      <c r="W5267" s="7">
        <v>25.937999999999999</v>
      </c>
      <c r="X5267" s="7">
        <v>26.687999999999999</v>
      </c>
      <c r="Y5267" s="7">
        <v>30.030999999999999</v>
      </c>
      <c r="Z5267" s="7">
        <v>29.125</v>
      </c>
      <c r="AA5267" s="6">
        <v>11.52</v>
      </c>
      <c r="AB5267" s="2" t="s">
        <v>86</v>
      </c>
      <c r="AC5267" s="5">
        <v>880.7</v>
      </c>
    </row>
    <row r="5268" spans="1:29" ht="182" x14ac:dyDescent="0.15">
      <c r="A5268" s="3">
        <f>DATE(2000,2,10)</f>
        <v>36566</v>
      </c>
      <c r="B5268" s="2"/>
      <c r="C5268" s="2" t="s">
        <v>30</v>
      </c>
      <c r="D5268" s="2" t="s">
        <v>16285</v>
      </c>
      <c r="E5268" s="2" t="s">
        <v>16286</v>
      </c>
      <c r="F5268" s="4">
        <v>8741</v>
      </c>
      <c r="G5268" s="2" t="s">
        <v>223</v>
      </c>
      <c r="H5268" s="2" t="s">
        <v>34</v>
      </c>
      <c r="I5268" s="2" t="s">
        <v>16287</v>
      </c>
      <c r="J5268" s="2" t="s">
        <v>16288</v>
      </c>
      <c r="K5268" s="2" t="s">
        <v>454</v>
      </c>
      <c r="L5268" s="2" t="s">
        <v>34</v>
      </c>
      <c r="M5268" s="7">
        <v>31.576000000000001</v>
      </c>
      <c r="N5268" s="7">
        <v>3.6880000000000002</v>
      </c>
      <c r="O5268" s="7">
        <v>3.6880000000000002</v>
      </c>
      <c r="P5268" s="2" t="s">
        <v>16289</v>
      </c>
      <c r="Q5268" s="2"/>
      <c r="R5268" s="6">
        <v>1.41</v>
      </c>
      <c r="S5268" s="5">
        <v>-17.399999999999999</v>
      </c>
      <c r="T5268" s="7">
        <v>-6.069</v>
      </c>
      <c r="U5268" s="5">
        <v>-0.2</v>
      </c>
      <c r="V5268" s="6">
        <v>-1.39</v>
      </c>
      <c r="W5268" s="7">
        <v>1.0629999999999999</v>
      </c>
      <c r="X5268" s="7">
        <v>1.984</v>
      </c>
      <c r="Y5268" s="7">
        <v>1.6559999999999999</v>
      </c>
      <c r="Z5268" s="7">
        <v>1.375</v>
      </c>
      <c r="AA5268" s="6">
        <v>15.46</v>
      </c>
      <c r="AB5268" s="2" t="s">
        <v>86</v>
      </c>
      <c r="AC5268" s="5">
        <v>2.9</v>
      </c>
    </row>
    <row r="5269" spans="1:29" ht="312" x14ac:dyDescent="0.15">
      <c r="A5269" s="3">
        <f>DATE(2000,2,11)</f>
        <v>36567</v>
      </c>
      <c r="B5269" s="3">
        <f>DATE(2000,6,13)</f>
        <v>36690</v>
      </c>
      <c r="C5269" s="2" t="s">
        <v>95</v>
      </c>
      <c r="D5269" s="2" t="s">
        <v>16132</v>
      </c>
      <c r="E5269" s="2" t="s">
        <v>16133</v>
      </c>
      <c r="F5269" s="4">
        <v>5031</v>
      </c>
      <c r="G5269" s="2" t="s">
        <v>76</v>
      </c>
      <c r="H5269" s="2" t="s">
        <v>34</v>
      </c>
      <c r="I5269" s="2" t="s">
        <v>1538</v>
      </c>
      <c r="J5269" s="2" t="s">
        <v>1539</v>
      </c>
      <c r="K5269" s="2" t="s">
        <v>237</v>
      </c>
      <c r="L5269" s="2" t="s">
        <v>34</v>
      </c>
      <c r="M5269" s="2"/>
      <c r="N5269" s="2"/>
      <c r="O5269" s="2"/>
      <c r="P5269" s="2" t="s">
        <v>16290</v>
      </c>
      <c r="Q5269" s="6">
        <v>100</v>
      </c>
      <c r="R5269" s="6">
        <v>18.350000000000001</v>
      </c>
      <c r="S5269" s="5">
        <v>17.100000000000001</v>
      </c>
      <c r="T5269" s="6">
        <v>54.35</v>
      </c>
      <c r="U5269" s="5">
        <v>15.3</v>
      </c>
      <c r="V5269" s="6">
        <v>1.94</v>
      </c>
      <c r="W5269" s="7">
        <v>11.313000000000001</v>
      </c>
      <c r="X5269" s="7">
        <v>13.813000000000001</v>
      </c>
      <c r="Y5269" s="7">
        <v>13.875</v>
      </c>
      <c r="Z5269" s="7">
        <v>13.688000000000001</v>
      </c>
      <c r="AA5269" s="6">
        <v>8.68</v>
      </c>
      <c r="AB5269" s="7">
        <v>8.1509999999999998</v>
      </c>
      <c r="AC5269" s="2"/>
    </row>
    <row r="5270" spans="1:29" ht="286" x14ac:dyDescent="0.15">
      <c r="A5270" s="3">
        <f>DATE(2000,2,11)</f>
        <v>36567</v>
      </c>
      <c r="B5270" s="3">
        <f>DATE(2000,6,20)</f>
        <v>36697</v>
      </c>
      <c r="C5270" s="2" t="s">
        <v>95</v>
      </c>
      <c r="D5270" s="2" t="s">
        <v>16291</v>
      </c>
      <c r="E5270" s="2" t="s">
        <v>92</v>
      </c>
      <c r="F5270" s="4">
        <v>6798</v>
      </c>
      <c r="G5270" s="2" t="s">
        <v>53</v>
      </c>
      <c r="H5270" s="2" t="s">
        <v>34</v>
      </c>
      <c r="I5270" s="2" t="s">
        <v>10502</v>
      </c>
      <c r="J5270" s="2" t="s">
        <v>6321</v>
      </c>
      <c r="K5270" s="2" t="s">
        <v>53</v>
      </c>
      <c r="L5270" s="2" t="s">
        <v>34</v>
      </c>
      <c r="M5270" s="10">
        <v>6414.71</v>
      </c>
      <c r="N5270" s="7">
        <v>24.187999999999999</v>
      </c>
      <c r="O5270" s="7">
        <v>23.625</v>
      </c>
      <c r="P5270" s="2" t="s">
        <v>16292</v>
      </c>
      <c r="Q5270" s="6">
        <v>100</v>
      </c>
      <c r="R5270" s="6">
        <v>18</v>
      </c>
      <c r="S5270" s="5">
        <v>242.1</v>
      </c>
      <c r="T5270" s="7">
        <v>241.66499999999999</v>
      </c>
      <c r="U5270" s="5">
        <v>14.9</v>
      </c>
      <c r="V5270" s="6">
        <v>1.83</v>
      </c>
      <c r="W5270" s="7">
        <v>14.813000000000001</v>
      </c>
      <c r="X5270" s="7">
        <v>14.875</v>
      </c>
      <c r="Y5270" s="7">
        <v>16.812999999999999</v>
      </c>
      <c r="Z5270" s="7">
        <v>16.875</v>
      </c>
      <c r="AA5270" s="6">
        <v>129.28</v>
      </c>
      <c r="AB5270" s="7">
        <v>30.204000000000001</v>
      </c>
      <c r="AC5270" s="6">
        <v>22.09</v>
      </c>
    </row>
    <row r="5271" spans="1:29" ht="78" x14ac:dyDescent="0.15">
      <c r="A5271" s="3">
        <f>DATE(2000,2,11)</f>
        <v>36567</v>
      </c>
      <c r="B5271" s="2"/>
      <c r="C5271" s="2" t="s">
        <v>30</v>
      </c>
      <c r="D5271" s="2" t="s">
        <v>16293</v>
      </c>
      <c r="E5271" s="2" t="s">
        <v>16294</v>
      </c>
      <c r="F5271" s="4">
        <v>2392</v>
      </c>
      <c r="G5271" s="2" t="s">
        <v>708</v>
      </c>
      <c r="H5271" s="2" t="s">
        <v>34</v>
      </c>
      <c r="I5271" s="2" t="s">
        <v>51</v>
      </c>
      <c r="J5271" s="2" t="s">
        <v>52</v>
      </c>
      <c r="K5271" s="2" t="s">
        <v>53</v>
      </c>
      <c r="L5271" s="2" t="s">
        <v>34</v>
      </c>
      <c r="M5271" s="2"/>
      <c r="N5271" s="2"/>
      <c r="O5271" s="2"/>
      <c r="P5271" s="2" t="s">
        <v>16295</v>
      </c>
      <c r="Q5271" s="2"/>
      <c r="R5271" s="6">
        <v>21</v>
      </c>
      <c r="S5271" s="5">
        <v>104.1</v>
      </c>
      <c r="T5271" s="5">
        <v>352.3</v>
      </c>
      <c r="U5271" s="5">
        <v>-9.5</v>
      </c>
      <c r="V5271" s="6">
        <v>1.84</v>
      </c>
      <c r="W5271" s="7">
        <v>17.375</v>
      </c>
      <c r="X5271" s="7">
        <v>14.813000000000001</v>
      </c>
      <c r="Y5271" s="4">
        <v>14</v>
      </c>
      <c r="Z5271" s="7">
        <v>16.812999999999999</v>
      </c>
      <c r="AA5271" s="6">
        <v>53.39</v>
      </c>
      <c r="AB5271" s="7">
        <v>9.6029999999999998</v>
      </c>
      <c r="AC5271" s="2"/>
    </row>
    <row r="5272" spans="1:29" ht="182" x14ac:dyDescent="0.15">
      <c r="A5272" s="3">
        <f t="shared" ref="A5272:A5278" si="124">DATE(2000,2,14)</f>
        <v>36570</v>
      </c>
      <c r="B5272" s="3">
        <f>DATE(2000,9,13)</f>
        <v>36782</v>
      </c>
      <c r="C5272" s="2" t="s">
        <v>95</v>
      </c>
      <c r="D5272" s="2" t="s">
        <v>16296</v>
      </c>
      <c r="E5272" s="2" t="s">
        <v>16297</v>
      </c>
      <c r="F5272" s="4">
        <v>7374</v>
      </c>
      <c r="G5272" s="2" t="s">
        <v>223</v>
      </c>
      <c r="H5272" s="2" t="s">
        <v>34</v>
      </c>
      <c r="I5272" s="2" t="s">
        <v>16298</v>
      </c>
      <c r="J5272" s="2" t="s">
        <v>14203</v>
      </c>
      <c r="K5272" s="2" t="s">
        <v>551</v>
      </c>
      <c r="L5272" s="2" t="s">
        <v>34</v>
      </c>
      <c r="M5272" s="12">
        <v>6046.3980000000001</v>
      </c>
      <c r="N5272" s="7">
        <v>56.625</v>
      </c>
      <c r="O5272" s="7">
        <v>68.625</v>
      </c>
      <c r="P5272" s="2" t="s">
        <v>16299</v>
      </c>
      <c r="Q5272" s="6">
        <v>34.950000000000003</v>
      </c>
      <c r="R5272" s="6">
        <v>71.5</v>
      </c>
      <c r="S5272" s="5">
        <v>-22.8</v>
      </c>
      <c r="T5272" s="7">
        <v>-14.685</v>
      </c>
      <c r="U5272" s="5">
        <v>2.5</v>
      </c>
      <c r="V5272" s="6">
        <v>-0.4</v>
      </c>
      <c r="W5272" s="4">
        <v>72</v>
      </c>
      <c r="X5272" s="7">
        <v>67.875</v>
      </c>
      <c r="Y5272" s="4">
        <v>72</v>
      </c>
      <c r="Z5272" s="7">
        <v>80.625</v>
      </c>
      <c r="AA5272" s="6">
        <v>78.73</v>
      </c>
      <c r="AB5272" s="2" t="s">
        <v>86</v>
      </c>
      <c r="AC5272" s="6">
        <v>291.29000000000002</v>
      </c>
    </row>
    <row r="5273" spans="1:29" ht="143" x14ac:dyDescent="0.15">
      <c r="A5273" s="3">
        <f t="shared" si="124"/>
        <v>36570</v>
      </c>
      <c r="B5273" s="3">
        <f>DATE(2000,5,16)</f>
        <v>36662</v>
      </c>
      <c r="C5273" s="2" t="s">
        <v>95</v>
      </c>
      <c r="D5273" s="2" t="s">
        <v>16300</v>
      </c>
      <c r="E5273" s="2" t="s">
        <v>16301</v>
      </c>
      <c r="F5273" s="4">
        <v>7372</v>
      </c>
      <c r="G5273" s="2" t="s">
        <v>551</v>
      </c>
      <c r="H5273" s="2" t="s">
        <v>34</v>
      </c>
      <c r="I5273" s="2" t="s">
        <v>16302</v>
      </c>
      <c r="J5273" s="2" t="s">
        <v>16303</v>
      </c>
      <c r="K5273" s="2" t="s">
        <v>223</v>
      </c>
      <c r="L5273" s="2" t="s">
        <v>34</v>
      </c>
      <c r="M5273" s="7">
        <v>541.40700000000004</v>
      </c>
      <c r="N5273" s="6">
        <v>40.25</v>
      </c>
      <c r="O5273" s="7">
        <v>35.625</v>
      </c>
      <c r="P5273" s="2" t="s">
        <v>16304</v>
      </c>
      <c r="Q5273" s="6">
        <v>100</v>
      </c>
      <c r="R5273" s="6">
        <v>20.87</v>
      </c>
      <c r="S5273" s="5">
        <v>2.8</v>
      </c>
      <c r="T5273" s="7">
        <v>13.298</v>
      </c>
      <c r="U5273" s="5">
        <v>5.8</v>
      </c>
      <c r="V5273" s="6">
        <v>0.14000000000000001</v>
      </c>
      <c r="W5273" s="7">
        <v>17.187999999999999</v>
      </c>
      <c r="X5273" s="7">
        <v>17.812999999999999</v>
      </c>
      <c r="Y5273" s="7">
        <v>17.812999999999999</v>
      </c>
      <c r="Z5273" s="4">
        <v>18</v>
      </c>
      <c r="AA5273" s="6">
        <v>19.079999999999998</v>
      </c>
      <c r="AB5273" s="7">
        <v>109.29900000000001</v>
      </c>
      <c r="AC5273" s="5">
        <v>40.1</v>
      </c>
    </row>
    <row r="5274" spans="1:29" ht="143" x14ac:dyDescent="0.15">
      <c r="A5274" s="3">
        <f t="shared" si="124"/>
        <v>36570</v>
      </c>
      <c r="B5274" s="3">
        <f>DATE(2000,3,29)</f>
        <v>36614</v>
      </c>
      <c r="C5274" s="2" t="s">
        <v>95</v>
      </c>
      <c r="D5274" s="2" t="s">
        <v>16305</v>
      </c>
      <c r="E5274" s="2" t="s">
        <v>16306</v>
      </c>
      <c r="F5274" s="4">
        <v>8731</v>
      </c>
      <c r="G5274" s="2" t="s">
        <v>223</v>
      </c>
      <c r="H5274" s="2" t="s">
        <v>34</v>
      </c>
      <c r="I5274" s="2" t="s">
        <v>5691</v>
      </c>
      <c r="J5274" s="2" t="s">
        <v>5692</v>
      </c>
      <c r="K5274" s="2" t="s">
        <v>63</v>
      </c>
      <c r="L5274" s="2" t="s">
        <v>34</v>
      </c>
      <c r="M5274" s="12">
        <v>243937.00399999999</v>
      </c>
      <c r="N5274" s="7">
        <v>48.375</v>
      </c>
      <c r="O5274" s="4">
        <v>48</v>
      </c>
      <c r="P5274" s="2" t="s">
        <v>16307</v>
      </c>
      <c r="Q5274" s="6">
        <v>100</v>
      </c>
      <c r="R5274" s="6">
        <v>15</v>
      </c>
      <c r="S5274" s="5">
        <v>6.8</v>
      </c>
      <c r="T5274" s="7">
        <v>16.204999999999998</v>
      </c>
      <c r="U5274" s="5">
        <v>5</v>
      </c>
      <c r="V5274" s="6">
        <v>0.56999999999999995</v>
      </c>
      <c r="W5274" s="7">
        <v>12.875</v>
      </c>
      <c r="X5274" s="7">
        <v>13.375</v>
      </c>
      <c r="Y5274" s="9">
        <v>14.8125</v>
      </c>
      <c r="Z5274" s="6">
        <v>14.75</v>
      </c>
      <c r="AA5274" s="6">
        <v>12.37</v>
      </c>
      <c r="AB5274" s="7">
        <v>16.286999999999999</v>
      </c>
      <c r="AC5274" s="8">
        <v>1024</v>
      </c>
    </row>
    <row r="5275" spans="1:29" ht="234" x14ac:dyDescent="0.15">
      <c r="A5275" s="3">
        <f t="shared" si="124"/>
        <v>36570</v>
      </c>
      <c r="B5275" s="3">
        <f>DATE(2000,9,13)</f>
        <v>36782</v>
      </c>
      <c r="C5275" s="2" t="s">
        <v>95</v>
      </c>
      <c r="D5275" s="2" t="s">
        <v>14406</v>
      </c>
      <c r="E5275" s="2" t="s">
        <v>14408</v>
      </c>
      <c r="F5275" s="4">
        <v>3089</v>
      </c>
      <c r="G5275" s="2" t="s">
        <v>447</v>
      </c>
      <c r="H5275" s="2" t="s">
        <v>34</v>
      </c>
      <c r="I5275" s="2" t="s">
        <v>16298</v>
      </c>
      <c r="J5275" s="2" t="s">
        <v>14203</v>
      </c>
      <c r="K5275" s="2" t="s">
        <v>551</v>
      </c>
      <c r="L5275" s="2" t="s">
        <v>34</v>
      </c>
      <c r="M5275" s="12">
        <v>6046.3980000000001</v>
      </c>
      <c r="N5275" s="7">
        <v>56.625</v>
      </c>
      <c r="O5275" s="7">
        <v>68.625</v>
      </c>
      <c r="P5275" s="2" t="s">
        <v>16308</v>
      </c>
      <c r="Q5275" s="6">
        <v>100</v>
      </c>
      <c r="R5275" s="6">
        <v>42.19</v>
      </c>
      <c r="S5275" s="5">
        <v>-1.5</v>
      </c>
      <c r="T5275" s="7">
        <v>576.07600000000002</v>
      </c>
      <c r="U5275" s="5">
        <v>18.600000000000001</v>
      </c>
      <c r="V5275" s="6">
        <v>-0.04</v>
      </c>
      <c r="W5275" s="4">
        <v>64</v>
      </c>
      <c r="X5275" s="4">
        <v>65</v>
      </c>
      <c r="Y5275" s="6">
        <v>86.75</v>
      </c>
      <c r="Z5275" s="7">
        <v>100.125</v>
      </c>
      <c r="AA5275" s="6">
        <v>40.74</v>
      </c>
      <c r="AB5275" s="7">
        <v>3.2850000000000001</v>
      </c>
      <c r="AC5275" s="10">
        <v>1160.68</v>
      </c>
    </row>
    <row r="5276" spans="1:29" ht="104" x14ac:dyDescent="0.15">
      <c r="A5276" s="3">
        <f t="shared" si="124"/>
        <v>36570</v>
      </c>
      <c r="B5276" s="3">
        <f>DATE(2000,5,12)</f>
        <v>36658</v>
      </c>
      <c r="C5276" s="2" t="s">
        <v>95</v>
      </c>
      <c r="D5276" s="2" t="s">
        <v>16309</v>
      </c>
      <c r="E5276" s="2" t="s">
        <v>16310</v>
      </c>
      <c r="F5276" s="4">
        <v>3357</v>
      </c>
      <c r="G5276" s="2" t="s">
        <v>163</v>
      </c>
      <c r="H5276" s="2" t="s">
        <v>34</v>
      </c>
      <c r="I5276" s="2" t="s">
        <v>3896</v>
      </c>
      <c r="J5276" s="2" t="s">
        <v>3897</v>
      </c>
      <c r="K5276" s="2" t="s">
        <v>163</v>
      </c>
      <c r="L5276" s="2" t="s">
        <v>34</v>
      </c>
      <c r="M5276" s="10">
        <v>27415.919999999998</v>
      </c>
      <c r="N5276" s="4">
        <v>180</v>
      </c>
      <c r="O5276" s="6">
        <v>175.75</v>
      </c>
      <c r="P5276" s="2" t="s">
        <v>16311</v>
      </c>
      <c r="Q5276" s="6">
        <v>100</v>
      </c>
      <c r="R5276" s="6">
        <v>149.18</v>
      </c>
      <c r="S5276" s="5">
        <v>-6.5</v>
      </c>
      <c r="T5276" s="6">
        <v>-0.87</v>
      </c>
      <c r="U5276" s="5">
        <v>2.6</v>
      </c>
      <c r="V5276" s="6">
        <v>-0.63</v>
      </c>
      <c r="W5276" s="7">
        <v>121.21899999999999</v>
      </c>
      <c r="X5276" s="4">
        <v>136</v>
      </c>
      <c r="Y5276" s="4">
        <v>156</v>
      </c>
      <c r="Z5276" s="6">
        <v>150.25</v>
      </c>
      <c r="AA5276" s="6">
        <v>11.45</v>
      </c>
      <c r="AB5276" s="2" t="s">
        <v>86</v>
      </c>
      <c r="AC5276" s="5">
        <v>253.4</v>
      </c>
    </row>
    <row r="5277" spans="1:29" ht="182" x14ac:dyDescent="0.15">
      <c r="A5277" s="3">
        <f t="shared" si="124"/>
        <v>36570</v>
      </c>
      <c r="B5277" s="3">
        <f>DATE(2000,8,31)</f>
        <v>36769</v>
      </c>
      <c r="C5277" s="2" t="s">
        <v>95</v>
      </c>
      <c r="D5277" s="2" t="s">
        <v>16312</v>
      </c>
      <c r="E5277" s="2" t="s">
        <v>839</v>
      </c>
      <c r="F5277" s="4">
        <v>2834</v>
      </c>
      <c r="G5277" s="2" t="s">
        <v>130</v>
      </c>
      <c r="H5277" s="2" t="s">
        <v>34</v>
      </c>
      <c r="I5277" s="2" t="s">
        <v>16313</v>
      </c>
      <c r="J5277" s="2" t="s">
        <v>839</v>
      </c>
      <c r="K5277" s="2" t="s">
        <v>130</v>
      </c>
      <c r="L5277" s="2" t="s">
        <v>34</v>
      </c>
      <c r="M5277" s="7">
        <v>814.00199999999995</v>
      </c>
      <c r="N5277" s="7">
        <v>13.938000000000001</v>
      </c>
      <c r="O5277" s="6">
        <v>15.75</v>
      </c>
      <c r="P5277" s="2" t="s">
        <v>16314</v>
      </c>
      <c r="Q5277" s="6">
        <v>100</v>
      </c>
      <c r="R5277" s="6">
        <v>13.25</v>
      </c>
      <c r="S5277" s="5">
        <v>-55.1</v>
      </c>
      <c r="T5277" s="2"/>
      <c r="U5277" s="5">
        <v>10.199999999999999</v>
      </c>
      <c r="V5277" s="6">
        <v>-8.7100000000000009</v>
      </c>
      <c r="W5277" s="5">
        <v>10.5</v>
      </c>
      <c r="X5277" s="7">
        <v>11.625</v>
      </c>
      <c r="Y5277" s="5">
        <v>11.5</v>
      </c>
      <c r="Z5277" s="4">
        <v>12</v>
      </c>
      <c r="AA5277" s="6">
        <v>6.33</v>
      </c>
      <c r="AB5277" s="2" t="s">
        <v>86</v>
      </c>
      <c r="AC5277" s="5">
        <v>63.6</v>
      </c>
    </row>
    <row r="5278" spans="1:29" ht="169" x14ac:dyDescent="0.15">
      <c r="A5278" s="3">
        <f t="shared" si="124"/>
        <v>36570</v>
      </c>
      <c r="B5278" s="3">
        <f>DATE(2000,5,9)</f>
        <v>36655</v>
      </c>
      <c r="C5278" s="2" t="s">
        <v>95</v>
      </c>
      <c r="D5278" s="2" t="s">
        <v>3670</v>
      </c>
      <c r="E5278" s="2" t="s">
        <v>3671</v>
      </c>
      <c r="F5278" s="4">
        <v>7372</v>
      </c>
      <c r="G5278" s="2" t="s">
        <v>551</v>
      </c>
      <c r="H5278" s="2" t="s">
        <v>34</v>
      </c>
      <c r="I5278" s="2" t="s">
        <v>2244</v>
      </c>
      <c r="J5278" s="2" t="s">
        <v>2245</v>
      </c>
      <c r="K5278" s="2" t="s">
        <v>551</v>
      </c>
      <c r="L5278" s="2" t="s">
        <v>34</v>
      </c>
      <c r="M5278" s="12">
        <v>35533.355000000003</v>
      </c>
      <c r="N5278" s="7">
        <v>69.313000000000002</v>
      </c>
      <c r="O5278" s="4">
        <v>73</v>
      </c>
      <c r="P5278" s="2" t="s">
        <v>16315</v>
      </c>
      <c r="Q5278" s="6">
        <v>100</v>
      </c>
      <c r="R5278" s="6">
        <v>39.299999999999997</v>
      </c>
      <c r="S5278" s="5">
        <v>16</v>
      </c>
      <c r="T5278" s="7">
        <v>268.49799999999999</v>
      </c>
      <c r="U5278" s="5">
        <v>10.4</v>
      </c>
      <c r="V5278" s="6">
        <v>0.2</v>
      </c>
      <c r="W5278" s="7">
        <v>28.937999999999999</v>
      </c>
      <c r="X5278" s="7">
        <v>34.438000000000002</v>
      </c>
      <c r="Y5278" s="6">
        <v>36.25</v>
      </c>
      <c r="Z5278" s="4">
        <v>36</v>
      </c>
      <c r="AA5278" s="6">
        <v>82.5</v>
      </c>
      <c r="AB5278" s="7">
        <v>15.84</v>
      </c>
      <c r="AC5278" s="2"/>
    </row>
    <row r="5279" spans="1:29" ht="156" x14ac:dyDescent="0.15">
      <c r="A5279" s="3">
        <f>DATE(2000,2,15)</f>
        <v>36571</v>
      </c>
      <c r="B5279" s="3">
        <f>DATE(2000,7,12)</f>
        <v>36719</v>
      </c>
      <c r="C5279" s="2" t="s">
        <v>95</v>
      </c>
      <c r="D5279" s="2" t="s">
        <v>16244</v>
      </c>
      <c r="E5279" s="2" t="s">
        <v>16245</v>
      </c>
      <c r="F5279" s="4">
        <v>3823</v>
      </c>
      <c r="G5279" s="2" t="s">
        <v>226</v>
      </c>
      <c r="H5279" s="2" t="s">
        <v>34</v>
      </c>
      <c r="I5279" s="2" t="s">
        <v>16316</v>
      </c>
      <c r="J5279" s="2" t="s">
        <v>16317</v>
      </c>
      <c r="K5279" s="2" t="s">
        <v>300</v>
      </c>
      <c r="L5279" s="2" t="s">
        <v>34</v>
      </c>
      <c r="M5279" s="7">
        <v>42.484000000000002</v>
      </c>
      <c r="N5279" s="5">
        <v>9.5</v>
      </c>
      <c r="O5279" s="7">
        <v>9.375</v>
      </c>
      <c r="P5279" s="2" t="s">
        <v>16318</v>
      </c>
      <c r="Q5279" s="6">
        <v>100</v>
      </c>
      <c r="R5279" s="6">
        <v>1.64</v>
      </c>
      <c r="S5279" s="5">
        <v>-2.9</v>
      </c>
      <c r="T5279" s="7">
        <v>-0.96699999999999997</v>
      </c>
      <c r="U5279" s="5">
        <v>1</v>
      </c>
      <c r="V5279" s="6">
        <v>-0.24</v>
      </c>
      <c r="W5279" s="7">
        <v>1.625</v>
      </c>
      <c r="X5279" s="7">
        <v>1.6879999999999999</v>
      </c>
      <c r="Y5279" s="6">
        <v>1.75</v>
      </c>
      <c r="Z5279" s="7">
        <v>1.875</v>
      </c>
      <c r="AA5279" s="6">
        <v>12.87</v>
      </c>
      <c r="AB5279" s="2" t="s">
        <v>86</v>
      </c>
      <c r="AC5279" s="5">
        <v>7.7</v>
      </c>
    </row>
    <row r="5280" spans="1:29" ht="117" x14ac:dyDescent="0.15">
      <c r="A5280" s="3">
        <f>DATE(2000,2,15)</f>
        <v>36571</v>
      </c>
      <c r="B5280" s="3">
        <f>DATE(2000,8,10)</f>
        <v>36748</v>
      </c>
      <c r="C5280" s="2" t="s">
        <v>95</v>
      </c>
      <c r="D5280" s="2" t="s">
        <v>16319</v>
      </c>
      <c r="E5280" s="2" t="s">
        <v>389</v>
      </c>
      <c r="F5280" s="4">
        <v>6035</v>
      </c>
      <c r="G5280" s="2" t="s">
        <v>33</v>
      </c>
      <c r="H5280" s="2" t="s">
        <v>34</v>
      </c>
      <c r="I5280" s="2" t="s">
        <v>16320</v>
      </c>
      <c r="J5280" s="2" t="s">
        <v>1181</v>
      </c>
      <c r="K5280" s="2" t="s">
        <v>37</v>
      </c>
      <c r="L5280" s="2" t="s">
        <v>34</v>
      </c>
      <c r="M5280" s="2"/>
      <c r="N5280" s="2"/>
      <c r="O5280" s="2"/>
      <c r="P5280" s="2" t="s">
        <v>16321</v>
      </c>
      <c r="Q5280" s="6">
        <v>100</v>
      </c>
      <c r="R5280" s="6">
        <v>12</v>
      </c>
      <c r="S5280" s="2"/>
      <c r="T5280" s="2"/>
      <c r="U5280" s="2"/>
      <c r="V5280" s="2"/>
      <c r="W5280" s="7">
        <v>5.375</v>
      </c>
      <c r="X5280" s="7">
        <v>5.375</v>
      </c>
      <c r="Y5280" s="7">
        <v>5.375</v>
      </c>
      <c r="Z5280" s="7">
        <v>10.125</v>
      </c>
      <c r="AA5280" s="6">
        <v>2.38</v>
      </c>
      <c r="AB5280" s="2" t="s">
        <v>47</v>
      </c>
      <c r="AC5280" s="2"/>
    </row>
    <row r="5281" spans="1:29" ht="91" x14ac:dyDescent="0.15">
      <c r="A5281" s="3">
        <f>DATE(2000,2,15)</f>
        <v>36571</v>
      </c>
      <c r="B5281" s="2"/>
      <c r="C5281" s="2" t="s">
        <v>39</v>
      </c>
      <c r="D5281" s="2" t="s">
        <v>16322</v>
      </c>
      <c r="E5281" s="2" t="s">
        <v>16323</v>
      </c>
      <c r="F5281" s="4">
        <v>4813</v>
      </c>
      <c r="G5281" s="2" t="s">
        <v>63</v>
      </c>
      <c r="H5281" s="2" t="s">
        <v>34</v>
      </c>
      <c r="I5281" s="2" t="s">
        <v>3738</v>
      </c>
      <c r="J5281" s="2" t="s">
        <v>9012</v>
      </c>
      <c r="K5281" s="2" t="s">
        <v>223</v>
      </c>
      <c r="L5281" s="2" t="s">
        <v>34</v>
      </c>
      <c r="M5281" s="12">
        <v>139187.842</v>
      </c>
      <c r="N5281" s="4">
        <v>54</v>
      </c>
      <c r="O5281" s="6">
        <v>51.75</v>
      </c>
      <c r="P5281" s="2" t="s">
        <v>16324</v>
      </c>
      <c r="Q5281" s="2"/>
      <c r="R5281" s="2"/>
      <c r="S5281" s="5">
        <v>-44.1</v>
      </c>
      <c r="T5281" s="7">
        <v>-43.981999999999999</v>
      </c>
      <c r="U5281" s="5">
        <v>5.4</v>
      </c>
      <c r="V5281" s="6">
        <v>-1.1100000000000001</v>
      </c>
      <c r="W5281" s="6">
        <v>51.75</v>
      </c>
      <c r="X5281" s="6">
        <v>60.75</v>
      </c>
      <c r="Y5281" s="7">
        <v>56.375</v>
      </c>
      <c r="Z5281" s="9">
        <v>54.1875</v>
      </c>
      <c r="AA5281" s="6">
        <v>51.6</v>
      </c>
      <c r="AB5281" s="2" t="s">
        <v>86</v>
      </c>
      <c r="AC5281" s="8">
        <v>1424</v>
      </c>
    </row>
    <row r="5282" spans="1:29" ht="143" x14ac:dyDescent="0.15">
      <c r="A5282" s="3">
        <f>DATE(2000,2,16)</f>
        <v>36572</v>
      </c>
      <c r="B5282" s="3">
        <f>DATE(2000,4,5)</f>
        <v>36621</v>
      </c>
      <c r="C5282" s="2" t="s">
        <v>95</v>
      </c>
      <c r="D5282" s="2" t="s">
        <v>16325</v>
      </c>
      <c r="E5282" s="2" t="s">
        <v>16326</v>
      </c>
      <c r="F5282" s="4">
        <v>3443</v>
      </c>
      <c r="G5282" s="2" t="s">
        <v>163</v>
      </c>
      <c r="H5282" s="2" t="s">
        <v>34</v>
      </c>
      <c r="I5282" s="2" t="s">
        <v>315</v>
      </c>
      <c r="J5282" s="2" t="s">
        <v>316</v>
      </c>
      <c r="K5282" s="2" t="s">
        <v>226</v>
      </c>
      <c r="L5282" s="2" t="s">
        <v>34</v>
      </c>
      <c r="M5282" s="12">
        <v>6209.8519999999999</v>
      </c>
      <c r="N5282" s="7">
        <v>40.875</v>
      </c>
      <c r="O5282" s="7">
        <v>40.938000000000002</v>
      </c>
      <c r="P5282" s="2" t="s">
        <v>16327</v>
      </c>
      <c r="Q5282" s="6">
        <v>100</v>
      </c>
      <c r="R5282" s="6">
        <v>19.25</v>
      </c>
      <c r="S5282" s="5">
        <v>8.1</v>
      </c>
      <c r="T5282" s="7">
        <v>28.071999999999999</v>
      </c>
      <c r="U5282" s="5">
        <v>8</v>
      </c>
      <c r="V5282" s="6">
        <v>0.85</v>
      </c>
      <c r="W5282" s="7">
        <v>11.688000000000001</v>
      </c>
      <c r="X5282" s="7">
        <v>11.438000000000001</v>
      </c>
      <c r="Y5282" s="7">
        <v>18.812999999999999</v>
      </c>
      <c r="Z5282" s="7">
        <v>18.937999999999999</v>
      </c>
      <c r="AA5282" s="6">
        <v>7.07</v>
      </c>
      <c r="AB5282" s="7">
        <v>14.35</v>
      </c>
      <c r="AC5282" s="5">
        <v>260.3</v>
      </c>
    </row>
    <row r="5283" spans="1:29" ht="117" x14ac:dyDescent="0.15">
      <c r="A5283" s="3">
        <f>DATE(2000,2,16)</f>
        <v>36572</v>
      </c>
      <c r="B5283" s="3">
        <f>DATE(2000,9,12)</f>
        <v>36781</v>
      </c>
      <c r="C5283" s="2" t="s">
        <v>95</v>
      </c>
      <c r="D5283" s="2" t="s">
        <v>16328</v>
      </c>
      <c r="E5283" s="2" t="s">
        <v>16329</v>
      </c>
      <c r="F5283" s="4">
        <v>7375</v>
      </c>
      <c r="G5283" s="2" t="s">
        <v>223</v>
      </c>
      <c r="H5283" s="2" t="s">
        <v>34</v>
      </c>
      <c r="I5283" s="2" t="s">
        <v>16298</v>
      </c>
      <c r="J5283" s="2" t="s">
        <v>14203</v>
      </c>
      <c r="K5283" s="2" t="s">
        <v>551</v>
      </c>
      <c r="L5283" s="2" t="s">
        <v>34</v>
      </c>
      <c r="M5283" s="2"/>
      <c r="N5283" s="6">
        <v>67.75</v>
      </c>
      <c r="O5283" s="7">
        <v>67.375</v>
      </c>
      <c r="P5283" s="2" t="s">
        <v>16330</v>
      </c>
      <c r="Q5283" s="6">
        <v>100</v>
      </c>
      <c r="R5283" s="6">
        <v>12.97</v>
      </c>
      <c r="S5283" s="5">
        <v>-47.3</v>
      </c>
      <c r="T5283" s="7">
        <v>-46.756999999999998</v>
      </c>
      <c r="U5283" s="5">
        <v>0.9</v>
      </c>
      <c r="V5283" s="6">
        <v>-2.7</v>
      </c>
      <c r="W5283" s="7">
        <v>9.625</v>
      </c>
      <c r="X5283" s="7">
        <v>9.9689999999999994</v>
      </c>
      <c r="Y5283" s="9">
        <v>11.4375</v>
      </c>
      <c r="Z5283" s="9">
        <v>11.1875</v>
      </c>
      <c r="AA5283" s="6">
        <v>20.309999999999999</v>
      </c>
      <c r="AB5283" s="2" t="s">
        <v>86</v>
      </c>
      <c r="AC5283" s="6">
        <v>291.29000000000002</v>
      </c>
    </row>
    <row r="5284" spans="1:29" ht="325" x14ac:dyDescent="0.15">
      <c r="A5284" s="3">
        <f t="shared" ref="A5284:A5289" si="125">DATE(2000,2,17)</f>
        <v>36573</v>
      </c>
      <c r="B5284" s="2"/>
      <c r="C5284" s="2" t="s">
        <v>30</v>
      </c>
      <c r="D5284" s="2" t="s">
        <v>16331</v>
      </c>
      <c r="E5284" s="2" t="s">
        <v>16332</v>
      </c>
      <c r="F5284" s="4">
        <v>2621</v>
      </c>
      <c r="G5284" s="2" t="s">
        <v>282</v>
      </c>
      <c r="H5284" s="2" t="s">
        <v>34</v>
      </c>
      <c r="I5284" s="2" t="s">
        <v>16333</v>
      </c>
      <c r="J5284" s="2" t="s">
        <v>16334</v>
      </c>
      <c r="K5284" s="2" t="s">
        <v>250</v>
      </c>
      <c r="L5284" s="2" t="s">
        <v>11620</v>
      </c>
      <c r="M5284" s="2"/>
      <c r="N5284" s="2"/>
      <c r="O5284" s="2"/>
      <c r="P5284" s="2" t="s">
        <v>16335</v>
      </c>
      <c r="Q5284" s="2"/>
      <c r="R5284" s="6">
        <v>70</v>
      </c>
      <c r="S5284" s="5">
        <v>293.39999999999998</v>
      </c>
      <c r="T5284" s="5">
        <v>897.6</v>
      </c>
      <c r="U5284" s="5">
        <v>33</v>
      </c>
      <c r="V5284" s="6">
        <v>3.04</v>
      </c>
      <c r="W5284" s="7">
        <v>50.563000000000002</v>
      </c>
      <c r="X5284" s="7">
        <v>55.625</v>
      </c>
      <c r="Y5284" s="7">
        <v>55.063000000000002</v>
      </c>
      <c r="Z5284" s="4">
        <v>54</v>
      </c>
      <c r="AA5284" s="6">
        <v>96.2</v>
      </c>
      <c r="AB5284" s="7">
        <v>16.327000000000002</v>
      </c>
      <c r="AC5284" s="6">
        <v>304.61</v>
      </c>
    </row>
    <row r="5285" spans="1:29" ht="52" x14ac:dyDescent="0.15">
      <c r="A5285" s="3">
        <f t="shared" si="125"/>
        <v>36573</v>
      </c>
      <c r="B5285" s="3">
        <f>DATE(2000,8,11)</f>
        <v>36749</v>
      </c>
      <c r="C5285" s="2" t="s">
        <v>95</v>
      </c>
      <c r="D5285" s="2" t="s">
        <v>16336</v>
      </c>
      <c r="E5285" s="2" t="s">
        <v>36</v>
      </c>
      <c r="F5285" s="4">
        <v>6021</v>
      </c>
      <c r="G5285" s="2" t="s">
        <v>37</v>
      </c>
      <c r="H5285" s="2" t="s">
        <v>34</v>
      </c>
      <c r="I5285" s="2" t="s">
        <v>16337</v>
      </c>
      <c r="J5285" s="2" t="s">
        <v>36</v>
      </c>
      <c r="K5285" s="2" t="s">
        <v>37</v>
      </c>
      <c r="L5285" s="2" t="s">
        <v>34</v>
      </c>
      <c r="M5285" s="2"/>
      <c r="N5285" s="2"/>
      <c r="O5285" s="2"/>
      <c r="P5285" s="2" t="s">
        <v>16338</v>
      </c>
      <c r="Q5285" s="6">
        <v>100</v>
      </c>
      <c r="R5285" s="6">
        <v>20.02</v>
      </c>
      <c r="S5285" s="5">
        <v>3.6</v>
      </c>
      <c r="T5285" s="7">
        <v>5.4820000000000002</v>
      </c>
      <c r="U5285" s="5">
        <v>10.9</v>
      </c>
      <c r="V5285" s="6">
        <v>1.08</v>
      </c>
      <c r="W5285" s="4">
        <v>13</v>
      </c>
      <c r="X5285" s="4">
        <v>13</v>
      </c>
      <c r="Y5285" s="4">
        <v>16</v>
      </c>
      <c r="Z5285" s="4">
        <v>16</v>
      </c>
      <c r="AA5285" s="6">
        <v>2.17</v>
      </c>
      <c r="AB5285" s="7">
        <v>12.622</v>
      </c>
      <c r="AC5285" s="2"/>
    </row>
    <row r="5286" spans="1:29" ht="65" x14ac:dyDescent="0.15">
      <c r="A5286" s="3">
        <f t="shared" si="125"/>
        <v>36573</v>
      </c>
      <c r="B5286" s="3">
        <f>DATE(2000,7,19)</f>
        <v>36726</v>
      </c>
      <c r="C5286" s="2" t="s">
        <v>95</v>
      </c>
      <c r="D5286" s="2" t="s">
        <v>13568</v>
      </c>
      <c r="E5286" s="2" t="s">
        <v>203</v>
      </c>
      <c r="F5286" s="4">
        <v>6035</v>
      </c>
      <c r="G5286" s="2" t="s">
        <v>33</v>
      </c>
      <c r="H5286" s="2" t="s">
        <v>34</v>
      </c>
      <c r="I5286" s="2" t="s">
        <v>16339</v>
      </c>
      <c r="J5286" s="2" t="s">
        <v>265</v>
      </c>
      <c r="K5286" s="2" t="s">
        <v>37</v>
      </c>
      <c r="L5286" s="2" t="s">
        <v>34</v>
      </c>
      <c r="M5286" s="7">
        <v>45.091999999999999</v>
      </c>
      <c r="N5286" s="4">
        <v>9</v>
      </c>
      <c r="O5286" s="5">
        <v>9.5</v>
      </c>
      <c r="P5286" s="2" t="s">
        <v>16340</v>
      </c>
      <c r="Q5286" s="6">
        <v>100</v>
      </c>
      <c r="R5286" s="6">
        <v>22</v>
      </c>
      <c r="S5286" s="5">
        <v>1.4</v>
      </c>
      <c r="T5286" s="2"/>
      <c r="U5286" s="5">
        <v>14.7</v>
      </c>
      <c r="V5286" s="6">
        <v>0.86</v>
      </c>
      <c r="W5286" s="7">
        <v>12.375</v>
      </c>
      <c r="X5286" s="4">
        <v>12</v>
      </c>
      <c r="Y5286" s="7">
        <v>20.625</v>
      </c>
      <c r="Z5286" s="4">
        <v>21</v>
      </c>
      <c r="AA5286" s="6">
        <v>1.76</v>
      </c>
      <c r="AB5286" s="7">
        <v>27.777999999999999</v>
      </c>
      <c r="AC5286" s="2"/>
    </row>
    <row r="5287" spans="1:29" ht="130" x14ac:dyDescent="0.15">
      <c r="A5287" s="3">
        <f t="shared" si="125"/>
        <v>36573</v>
      </c>
      <c r="B5287" s="2"/>
      <c r="C5287" s="2" t="s">
        <v>30</v>
      </c>
      <c r="D5287" s="2" t="s">
        <v>4339</v>
      </c>
      <c r="E5287" s="2" t="s">
        <v>4340</v>
      </c>
      <c r="F5287" s="4">
        <v>3083</v>
      </c>
      <c r="G5287" s="2" t="s">
        <v>447</v>
      </c>
      <c r="H5287" s="2" t="s">
        <v>34</v>
      </c>
      <c r="I5287" s="2" t="s">
        <v>16341</v>
      </c>
      <c r="J5287" s="2" t="s">
        <v>500</v>
      </c>
      <c r="K5287" s="2" t="s">
        <v>137</v>
      </c>
      <c r="L5287" s="2" t="s">
        <v>34</v>
      </c>
      <c r="M5287" s="12">
        <v>10939.294</v>
      </c>
      <c r="N5287" s="7">
        <v>53.625</v>
      </c>
      <c r="O5287" s="6">
        <v>50.75</v>
      </c>
      <c r="P5287" s="2" t="s">
        <v>16342</v>
      </c>
      <c r="Q5287" s="2"/>
      <c r="R5287" s="6">
        <v>7.75</v>
      </c>
      <c r="S5287" s="5">
        <v>-20.6</v>
      </c>
      <c r="T5287" s="7">
        <v>10.606</v>
      </c>
      <c r="U5287" s="5">
        <v>5.5</v>
      </c>
      <c r="V5287" s="6">
        <v>-1.95</v>
      </c>
      <c r="W5287" s="7">
        <v>5.625</v>
      </c>
      <c r="X5287" s="7">
        <v>6.625</v>
      </c>
      <c r="Y5287" s="7">
        <v>6.875</v>
      </c>
      <c r="Z5287" s="7">
        <v>7.0629999999999997</v>
      </c>
      <c r="AA5287" s="6">
        <v>11.61</v>
      </c>
      <c r="AB5287" s="2" t="s">
        <v>86</v>
      </c>
      <c r="AC5287" s="6">
        <v>270.87</v>
      </c>
    </row>
    <row r="5288" spans="1:29" ht="234" x14ac:dyDescent="0.15">
      <c r="A5288" s="3">
        <f t="shared" si="125"/>
        <v>36573</v>
      </c>
      <c r="B5288" s="3">
        <f>DATE(2000,4,3)</f>
        <v>36619</v>
      </c>
      <c r="C5288" s="2" t="s">
        <v>95</v>
      </c>
      <c r="D5288" s="2" t="s">
        <v>15570</v>
      </c>
      <c r="E5288" s="2" t="s">
        <v>15571</v>
      </c>
      <c r="F5288" s="4">
        <v>2621</v>
      </c>
      <c r="G5288" s="2" t="s">
        <v>282</v>
      </c>
      <c r="H5288" s="2" t="s">
        <v>34</v>
      </c>
      <c r="I5288" s="2" t="s">
        <v>1981</v>
      </c>
      <c r="J5288" s="2" t="s">
        <v>1982</v>
      </c>
      <c r="K5288" s="2" t="s">
        <v>282</v>
      </c>
      <c r="L5288" s="2" t="s">
        <v>34</v>
      </c>
      <c r="M5288" s="12">
        <v>20988.816999999999</v>
      </c>
      <c r="N5288" s="5">
        <v>42.5</v>
      </c>
      <c r="O5288" s="7">
        <v>40.563000000000002</v>
      </c>
      <c r="P5288" s="2" t="s">
        <v>16343</v>
      </c>
      <c r="Q5288" s="6">
        <v>100</v>
      </c>
      <c r="R5288" s="6">
        <v>21</v>
      </c>
      <c r="S5288" s="5">
        <v>30.6</v>
      </c>
      <c r="T5288" s="7">
        <v>90.938999999999993</v>
      </c>
      <c r="U5288" s="5">
        <v>5.8</v>
      </c>
      <c r="V5288" s="6">
        <v>1.1000000000000001</v>
      </c>
      <c r="W5288" s="7">
        <v>13.938000000000001</v>
      </c>
      <c r="X5288" s="7">
        <v>12.438000000000001</v>
      </c>
      <c r="Y5288" s="7">
        <v>12.938000000000001</v>
      </c>
      <c r="Z5288" s="7">
        <v>13.375</v>
      </c>
      <c r="AA5288" s="6">
        <v>27.37</v>
      </c>
      <c r="AB5288" s="7">
        <v>13.846</v>
      </c>
      <c r="AC5288" s="5">
        <v>453</v>
      </c>
    </row>
    <row r="5289" spans="1:29" ht="78" x14ac:dyDescent="0.15">
      <c r="A5289" s="3">
        <f t="shared" si="125"/>
        <v>36573</v>
      </c>
      <c r="B5289" s="3">
        <f>DATE(2000,5,2)</f>
        <v>36648</v>
      </c>
      <c r="C5289" s="2" t="s">
        <v>95</v>
      </c>
      <c r="D5289" s="2" t="s">
        <v>3603</v>
      </c>
      <c r="E5289" s="2" t="s">
        <v>3604</v>
      </c>
      <c r="F5289" s="4">
        <v>1521</v>
      </c>
      <c r="G5289" s="2" t="s">
        <v>341</v>
      </c>
      <c r="H5289" s="2" t="s">
        <v>34</v>
      </c>
      <c r="I5289" s="2" t="s">
        <v>9873</v>
      </c>
      <c r="J5289" s="2" t="s">
        <v>2692</v>
      </c>
      <c r="K5289" s="2" t="s">
        <v>341</v>
      </c>
      <c r="L5289" s="2" t="s">
        <v>34</v>
      </c>
      <c r="M5289" s="7">
        <v>959.27499999999998</v>
      </c>
      <c r="N5289" s="7">
        <v>16.937999999999999</v>
      </c>
      <c r="O5289" s="7">
        <v>16.625</v>
      </c>
      <c r="P5289" s="2" t="s">
        <v>16344</v>
      </c>
      <c r="Q5289" s="6">
        <v>100</v>
      </c>
      <c r="R5289" s="6">
        <v>36</v>
      </c>
      <c r="S5289" s="5">
        <v>72.400000000000006</v>
      </c>
      <c r="T5289" s="7">
        <v>178.67400000000001</v>
      </c>
      <c r="U5289" s="5">
        <v>43.5</v>
      </c>
      <c r="V5289" s="6">
        <v>5.3</v>
      </c>
      <c r="W5289" s="6">
        <v>25.25</v>
      </c>
      <c r="X5289" s="7">
        <v>24.875</v>
      </c>
      <c r="Y5289" s="7">
        <v>34.875</v>
      </c>
      <c r="Z5289" s="6">
        <v>34.75</v>
      </c>
      <c r="AA5289" s="6">
        <v>13.68</v>
      </c>
      <c r="AB5289" s="7">
        <v>8.9629999999999992</v>
      </c>
      <c r="AC5289" s="5">
        <v>118.2</v>
      </c>
    </row>
    <row r="5290" spans="1:29" ht="169" x14ac:dyDescent="0.15">
      <c r="A5290" s="3">
        <f>DATE(2000,2,18)</f>
        <v>36574</v>
      </c>
      <c r="B5290" s="2"/>
      <c r="C5290" s="2" t="s">
        <v>30</v>
      </c>
      <c r="D5290" s="2" t="s">
        <v>16247</v>
      </c>
      <c r="E5290" s="2" t="s">
        <v>2800</v>
      </c>
      <c r="F5290" s="4">
        <v>6162</v>
      </c>
      <c r="G5290" s="2" t="s">
        <v>109</v>
      </c>
      <c r="H5290" s="2" t="s">
        <v>34</v>
      </c>
      <c r="I5290" s="2" t="s">
        <v>51</v>
      </c>
      <c r="J5290" s="2" t="s">
        <v>52</v>
      </c>
      <c r="K5290" s="2" t="s">
        <v>53</v>
      </c>
      <c r="L5290" s="2" t="s">
        <v>34</v>
      </c>
      <c r="M5290" s="2"/>
      <c r="N5290" s="2"/>
      <c r="O5290" s="2"/>
      <c r="P5290" s="2" t="s">
        <v>16345</v>
      </c>
      <c r="Q5290" s="2"/>
      <c r="R5290" s="6">
        <v>11</v>
      </c>
      <c r="S5290" s="5">
        <v>5</v>
      </c>
      <c r="T5290" s="7">
        <v>16.265000000000001</v>
      </c>
      <c r="U5290" s="5">
        <v>6.7</v>
      </c>
      <c r="V5290" s="7">
        <v>0.95399999999999996</v>
      </c>
      <c r="W5290" s="4">
        <v>7</v>
      </c>
      <c r="X5290" s="7">
        <v>7.375</v>
      </c>
      <c r="Y5290" s="7">
        <v>8.9689999999999994</v>
      </c>
      <c r="Z5290" s="4">
        <v>9</v>
      </c>
      <c r="AA5290" s="6">
        <v>5.04</v>
      </c>
      <c r="AB5290" s="7">
        <v>10.249000000000001</v>
      </c>
      <c r="AC5290" s="2"/>
    </row>
    <row r="5291" spans="1:29" ht="169" x14ac:dyDescent="0.15">
      <c r="A5291" s="3">
        <f>DATE(2000,2,18)</f>
        <v>36574</v>
      </c>
      <c r="B5291" s="3">
        <f>DATE(2000,3,7)</f>
        <v>36592</v>
      </c>
      <c r="C5291" s="2" t="s">
        <v>95</v>
      </c>
      <c r="D5291" s="2" t="s">
        <v>16346</v>
      </c>
      <c r="E5291" s="2" t="s">
        <v>2882</v>
      </c>
      <c r="F5291" s="4">
        <v>3823</v>
      </c>
      <c r="G5291" s="2" t="s">
        <v>226</v>
      </c>
      <c r="H5291" s="2" t="s">
        <v>34</v>
      </c>
      <c r="I5291" s="2" t="s">
        <v>16347</v>
      </c>
      <c r="J5291" s="2" t="s">
        <v>2712</v>
      </c>
      <c r="K5291" s="2" t="s">
        <v>53</v>
      </c>
      <c r="L5291" s="2" t="s">
        <v>34</v>
      </c>
      <c r="M5291" s="2"/>
      <c r="N5291" s="2"/>
      <c r="O5291" s="2"/>
      <c r="P5291" s="2" t="s">
        <v>16348</v>
      </c>
      <c r="Q5291" s="6">
        <v>55.79</v>
      </c>
      <c r="R5291" s="2"/>
      <c r="S5291" s="5">
        <v>-5.0999999999999996</v>
      </c>
      <c r="T5291" s="7">
        <v>-1.8109999999999999</v>
      </c>
      <c r="U5291" s="5">
        <v>-0.2</v>
      </c>
      <c r="V5291" s="6">
        <v>-0.39</v>
      </c>
      <c r="W5291" s="7">
        <v>0.59299999999999997</v>
      </c>
      <c r="X5291" s="5">
        <v>2.5</v>
      </c>
      <c r="Y5291" s="5">
        <v>3.5</v>
      </c>
      <c r="Z5291" s="5">
        <v>3.5</v>
      </c>
      <c r="AA5291" s="6">
        <v>13.16</v>
      </c>
      <c r="AB5291" s="2" t="s">
        <v>86</v>
      </c>
      <c r="AC5291" s="2"/>
    </row>
    <row r="5292" spans="1:29" ht="65" x14ac:dyDescent="0.15">
      <c r="A5292" s="3">
        <f>DATE(2000,2,19)</f>
        <v>36575</v>
      </c>
      <c r="B5292" s="3">
        <f>DATE(2000,2,19)</f>
        <v>36575</v>
      </c>
      <c r="C5292" s="2" t="s">
        <v>95</v>
      </c>
      <c r="D5292" s="2" t="s">
        <v>16349</v>
      </c>
      <c r="E5292" s="2" t="s">
        <v>16350</v>
      </c>
      <c r="F5292" s="4">
        <v>7371</v>
      </c>
      <c r="G5292" s="2" t="s">
        <v>223</v>
      </c>
      <c r="H5292" s="2" t="s">
        <v>34</v>
      </c>
      <c r="I5292" s="2" t="s">
        <v>16351</v>
      </c>
      <c r="J5292" s="2" t="s">
        <v>16352</v>
      </c>
      <c r="K5292" s="2" t="s">
        <v>551</v>
      </c>
      <c r="L5292" s="2" t="s">
        <v>1049</v>
      </c>
      <c r="M5292" s="2"/>
      <c r="N5292" s="2"/>
      <c r="O5292" s="2"/>
      <c r="P5292" s="2" t="s">
        <v>16353</v>
      </c>
      <c r="Q5292" s="6">
        <v>100</v>
      </c>
      <c r="R5292" s="6">
        <v>9.5</v>
      </c>
      <c r="S5292" s="5">
        <v>1.5</v>
      </c>
      <c r="T5292" s="2"/>
      <c r="U5292" s="5">
        <v>3.5</v>
      </c>
      <c r="V5292" s="6">
        <v>0.49</v>
      </c>
      <c r="W5292" s="6">
        <v>6.25</v>
      </c>
      <c r="X5292" s="7">
        <v>7.125</v>
      </c>
      <c r="Y5292" s="7">
        <v>7.125</v>
      </c>
      <c r="Z5292" s="7">
        <v>7.125</v>
      </c>
      <c r="AA5292" s="6">
        <v>3.06</v>
      </c>
      <c r="AB5292" s="7">
        <v>11.884</v>
      </c>
      <c r="AC5292" s="6">
        <v>68.53</v>
      </c>
    </row>
    <row r="5293" spans="1:29" ht="78" x14ac:dyDescent="0.15">
      <c r="A5293" s="3">
        <f>DATE(2000,2,19)</f>
        <v>36575</v>
      </c>
      <c r="B5293" s="3">
        <f>DATE(2000,7,14)</f>
        <v>36721</v>
      </c>
      <c r="C5293" s="2" t="s">
        <v>95</v>
      </c>
      <c r="D5293" s="2" t="s">
        <v>16354</v>
      </c>
      <c r="E5293" s="2" t="s">
        <v>5900</v>
      </c>
      <c r="F5293" s="4">
        <v>6036</v>
      </c>
      <c r="G5293" s="2" t="s">
        <v>33</v>
      </c>
      <c r="H5293" s="2" t="s">
        <v>34</v>
      </c>
      <c r="I5293" s="2" t="s">
        <v>16355</v>
      </c>
      <c r="J5293" s="2" t="s">
        <v>36</v>
      </c>
      <c r="K5293" s="2" t="s">
        <v>37</v>
      </c>
      <c r="L5293" s="2" t="s">
        <v>34</v>
      </c>
      <c r="M5293" s="7">
        <v>25.533000000000001</v>
      </c>
      <c r="N5293" s="5">
        <v>12.5</v>
      </c>
      <c r="O5293" s="5">
        <v>12.5</v>
      </c>
      <c r="P5293" s="2" t="s">
        <v>16356</v>
      </c>
      <c r="Q5293" s="6">
        <v>100</v>
      </c>
      <c r="R5293" s="6">
        <v>13.1</v>
      </c>
      <c r="S5293" s="5">
        <v>0.1</v>
      </c>
      <c r="T5293" s="2"/>
      <c r="U5293" s="5">
        <v>11.6</v>
      </c>
      <c r="V5293" s="6">
        <v>0.14000000000000001</v>
      </c>
      <c r="W5293" s="6">
        <v>7.75</v>
      </c>
      <c r="X5293" s="6">
        <v>7.75</v>
      </c>
      <c r="Y5293" s="2"/>
      <c r="Z5293" s="2"/>
      <c r="AA5293" s="6">
        <v>0.56000000000000005</v>
      </c>
      <c r="AB5293" s="7">
        <v>140.886</v>
      </c>
      <c r="AC5293" s="2"/>
    </row>
    <row r="5294" spans="1:29" ht="65" x14ac:dyDescent="0.15">
      <c r="A5294" s="3">
        <f>DATE(2000,2,21)</f>
        <v>36577</v>
      </c>
      <c r="B5294" s="3">
        <f>DATE(2000,7,28)</f>
        <v>36735</v>
      </c>
      <c r="C5294" s="2" t="s">
        <v>95</v>
      </c>
      <c r="D5294" s="2" t="s">
        <v>16357</v>
      </c>
      <c r="E5294" s="2" t="s">
        <v>389</v>
      </c>
      <c r="F5294" s="4">
        <v>6035</v>
      </c>
      <c r="G5294" s="2" t="s">
        <v>33</v>
      </c>
      <c r="H5294" s="2" t="s">
        <v>34</v>
      </c>
      <c r="I5294" s="2" t="s">
        <v>35</v>
      </c>
      <c r="J5294" s="2" t="s">
        <v>36</v>
      </c>
      <c r="K5294" s="2" t="s">
        <v>37</v>
      </c>
      <c r="L5294" s="2" t="s">
        <v>34</v>
      </c>
      <c r="M5294" s="7">
        <v>338.91399999999999</v>
      </c>
      <c r="N5294" s="7">
        <v>11.563000000000001</v>
      </c>
      <c r="O5294" s="7">
        <v>10.875</v>
      </c>
      <c r="P5294" s="2" t="s">
        <v>16358</v>
      </c>
      <c r="Q5294" s="6">
        <v>100</v>
      </c>
      <c r="R5294" s="6">
        <v>21</v>
      </c>
      <c r="S5294" s="5">
        <v>0</v>
      </c>
      <c r="T5294" s="5">
        <v>-0.1</v>
      </c>
      <c r="U5294" s="5">
        <v>12.9</v>
      </c>
      <c r="V5294" s="6">
        <v>0.27</v>
      </c>
      <c r="W5294" s="5">
        <v>15.5</v>
      </c>
      <c r="X5294" s="7">
        <v>18.625</v>
      </c>
      <c r="Y5294" s="7">
        <v>18.625</v>
      </c>
      <c r="Z5294" s="5">
        <v>18.5</v>
      </c>
      <c r="AA5294" s="6">
        <v>0.15</v>
      </c>
      <c r="AB5294" s="2" t="s">
        <v>86</v>
      </c>
      <c r="AC5294" s="2"/>
    </row>
    <row r="5295" spans="1:29" ht="130" x14ac:dyDescent="0.15">
      <c r="A5295" s="3">
        <f>DATE(2000,2,21)</f>
        <v>36577</v>
      </c>
      <c r="B5295" s="3">
        <f>DATE(2000,6,6)</f>
        <v>36683</v>
      </c>
      <c r="C5295" s="2" t="s">
        <v>95</v>
      </c>
      <c r="D5295" s="2" t="s">
        <v>16359</v>
      </c>
      <c r="E5295" s="2" t="s">
        <v>16360</v>
      </c>
      <c r="F5295" s="4">
        <v>2761</v>
      </c>
      <c r="G5295" s="2" t="s">
        <v>186</v>
      </c>
      <c r="H5295" s="2" t="s">
        <v>34</v>
      </c>
      <c r="I5295" s="2" t="s">
        <v>16361</v>
      </c>
      <c r="J5295" s="2" t="s">
        <v>16362</v>
      </c>
      <c r="K5295" s="2" t="s">
        <v>186</v>
      </c>
      <c r="L5295" s="2" t="s">
        <v>34</v>
      </c>
      <c r="M5295" s="7">
        <v>131.13499999999999</v>
      </c>
      <c r="N5295" s="7">
        <v>7.625</v>
      </c>
      <c r="O5295" s="7">
        <v>7.8129999999999997</v>
      </c>
      <c r="P5295" s="2" t="s">
        <v>16363</v>
      </c>
      <c r="Q5295" s="6">
        <v>100</v>
      </c>
      <c r="R5295" s="6">
        <v>14</v>
      </c>
      <c r="S5295" s="5">
        <v>2.7</v>
      </c>
      <c r="T5295" s="7">
        <v>7.3959999999999999</v>
      </c>
      <c r="U5295" s="5">
        <v>7.8</v>
      </c>
      <c r="V5295" s="6">
        <v>0.92</v>
      </c>
      <c r="W5295" s="6">
        <v>9.25</v>
      </c>
      <c r="X5295" s="7">
        <v>9.5630000000000006</v>
      </c>
      <c r="Y5295" s="7">
        <v>9.5630000000000006</v>
      </c>
      <c r="Z5295" s="7">
        <v>13.625</v>
      </c>
      <c r="AA5295" s="6">
        <v>2.75</v>
      </c>
      <c r="AB5295" s="7">
        <v>8.9710000000000001</v>
      </c>
      <c r="AC5295" s="5">
        <v>4.4000000000000004</v>
      </c>
    </row>
    <row r="5296" spans="1:29" ht="104" x14ac:dyDescent="0.15">
      <c r="A5296" s="3">
        <f>DATE(2000,2,21)</f>
        <v>36577</v>
      </c>
      <c r="B5296" s="3">
        <f>DATE(2000,9,26)</f>
        <v>36795</v>
      </c>
      <c r="C5296" s="2" t="s">
        <v>95</v>
      </c>
      <c r="D5296" s="2" t="s">
        <v>9445</v>
      </c>
      <c r="E5296" s="2" t="s">
        <v>9446</v>
      </c>
      <c r="F5296" s="4">
        <v>8742</v>
      </c>
      <c r="G5296" s="2" t="s">
        <v>223</v>
      </c>
      <c r="H5296" s="2" t="s">
        <v>34</v>
      </c>
      <c r="I5296" s="2" t="s">
        <v>16364</v>
      </c>
      <c r="J5296" s="2" t="s">
        <v>7375</v>
      </c>
      <c r="K5296" s="2" t="s">
        <v>4563</v>
      </c>
      <c r="L5296" s="2" t="s">
        <v>133</v>
      </c>
      <c r="M5296" s="12">
        <v>5006.0950000000003</v>
      </c>
      <c r="N5296" s="2"/>
      <c r="O5296" s="2"/>
      <c r="P5296" s="2" t="s">
        <v>16365</v>
      </c>
      <c r="Q5296" s="6">
        <v>100</v>
      </c>
      <c r="R5296" s="6">
        <v>29.5</v>
      </c>
      <c r="S5296" s="5">
        <v>5.5</v>
      </c>
      <c r="T5296" s="7">
        <v>101.476</v>
      </c>
      <c r="U5296" s="2"/>
      <c r="V5296" s="2"/>
      <c r="W5296" s="6">
        <v>22.25</v>
      </c>
      <c r="X5296" s="5">
        <v>20.5</v>
      </c>
      <c r="Y5296" s="5">
        <v>20.5</v>
      </c>
      <c r="Z5296" s="7">
        <v>23.187999999999999</v>
      </c>
      <c r="AA5296" s="6">
        <v>93.72</v>
      </c>
      <c r="AB5296" s="7">
        <v>39.332999999999998</v>
      </c>
      <c r="AC5296" s="6">
        <v>536.26</v>
      </c>
    </row>
    <row r="5297" spans="1:29" ht="143" x14ac:dyDescent="0.15">
      <c r="A5297" s="3">
        <f>DATE(2000,2,21)</f>
        <v>36577</v>
      </c>
      <c r="B5297" s="3">
        <f>DATE(2000,5,5)</f>
        <v>36651</v>
      </c>
      <c r="C5297" s="2" t="s">
        <v>95</v>
      </c>
      <c r="D5297" s="2" t="s">
        <v>16366</v>
      </c>
      <c r="E5297" s="2" t="s">
        <v>16367</v>
      </c>
      <c r="F5297" s="4">
        <v>4724</v>
      </c>
      <c r="G5297" s="2" t="s">
        <v>173</v>
      </c>
      <c r="H5297" s="2" t="s">
        <v>34</v>
      </c>
      <c r="I5297" s="2" t="s">
        <v>16368</v>
      </c>
      <c r="J5297" s="2" t="s">
        <v>16369</v>
      </c>
      <c r="K5297" s="2" t="s">
        <v>173</v>
      </c>
      <c r="L5297" s="2" t="s">
        <v>303</v>
      </c>
      <c r="M5297" s="2"/>
      <c r="N5297" s="2"/>
      <c r="O5297" s="2"/>
      <c r="P5297" s="2" t="s">
        <v>16370</v>
      </c>
      <c r="Q5297" s="6">
        <v>100</v>
      </c>
      <c r="R5297" s="6">
        <v>26</v>
      </c>
      <c r="S5297" s="5">
        <v>7.4</v>
      </c>
      <c r="T5297" s="7">
        <v>20.768000000000001</v>
      </c>
      <c r="U5297" s="5">
        <v>11.6</v>
      </c>
      <c r="V5297" s="6">
        <v>0.53</v>
      </c>
      <c r="W5297" s="4">
        <v>16</v>
      </c>
      <c r="X5297" s="6">
        <v>17.75</v>
      </c>
      <c r="Y5297" s="6">
        <v>17.75</v>
      </c>
      <c r="Z5297" s="5">
        <v>25.5</v>
      </c>
      <c r="AA5297" s="6">
        <v>13.96</v>
      </c>
      <c r="AB5297" s="7">
        <v>30.465</v>
      </c>
      <c r="AC5297" s="6">
        <v>931.85</v>
      </c>
    </row>
    <row r="5298" spans="1:29" ht="156" x14ac:dyDescent="0.15">
      <c r="A5298" s="3">
        <f t="shared" ref="A5298:A5306" si="126">DATE(2000,2,22)</f>
        <v>36578</v>
      </c>
      <c r="B5298" s="3">
        <f>DATE(2000,6,8)</f>
        <v>36685</v>
      </c>
      <c r="C5298" s="2" t="s">
        <v>95</v>
      </c>
      <c r="D5298" s="2" t="s">
        <v>15511</v>
      </c>
      <c r="E5298" s="2" t="s">
        <v>7328</v>
      </c>
      <c r="F5298" s="4">
        <v>7822</v>
      </c>
      <c r="G5298" s="2" t="s">
        <v>42</v>
      </c>
      <c r="H5298" s="2" t="s">
        <v>34</v>
      </c>
      <c r="I5298" s="2" t="s">
        <v>3558</v>
      </c>
      <c r="J5298" s="2" t="s">
        <v>1893</v>
      </c>
      <c r="K5298" s="2" t="s">
        <v>45</v>
      </c>
      <c r="L5298" s="2" t="s">
        <v>34</v>
      </c>
      <c r="M5298" s="12">
        <v>68793.875</v>
      </c>
      <c r="N5298" s="4">
        <v>50</v>
      </c>
      <c r="O5298" s="4">
        <v>51</v>
      </c>
      <c r="P5298" s="2" t="s">
        <v>16371</v>
      </c>
      <c r="Q5298" s="6">
        <v>100</v>
      </c>
      <c r="R5298" s="6">
        <v>15.25</v>
      </c>
      <c r="S5298" s="5">
        <v>-51.1</v>
      </c>
      <c r="T5298" s="7">
        <v>61.915999999999997</v>
      </c>
      <c r="U5298" s="5">
        <v>3.4</v>
      </c>
      <c r="V5298" s="6">
        <v>-1.72</v>
      </c>
      <c r="W5298" s="7">
        <v>11.438000000000001</v>
      </c>
      <c r="X5298" s="7">
        <v>10.125</v>
      </c>
      <c r="Y5298" s="7">
        <v>14.813000000000001</v>
      </c>
      <c r="Z5298" s="7">
        <v>14.938000000000001</v>
      </c>
      <c r="AA5298" s="6">
        <v>29.76</v>
      </c>
      <c r="AB5298" s="2" t="s">
        <v>86</v>
      </c>
      <c r="AC5298" s="8">
        <v>2092</v>
      </c>
    </row>
    <row r="5299" spans="1:29" ht="117" x14ac:dyDescent="0.15">
      <c r="A5299" s="3">
        <f t="shared" si="126"/>
        <v>36578</v>
      </c>
      <c r="B5299" s="3">
        <f>DATE(2000,8,31)</f>
        <v>36769</v>
      </c>
      <c r="C5299" s="2" t="s">
        <v>95</v>
      </c>
      <c r="D5299" s="2" t="s">
        <v>16372</v>
      </c>
      <c r="E5299" s="2" t="s">
        <v>6502</v>
      </c>
      <c r="F5299" s="4">
        <v>2631</v>
      </c>
      <c r="G5299" s="2" t="s">
        <v>282</v>
      </c>
      <c r="H5299" s="2" t="s">
        <v>34</v>
      </c>
      <c r="I5299" s="2" t="s">
        <v>16373</v>
      </c>
      <c r="J5299" s="2" t="s">
        <v>16374</v>
      </c>
      <c r="K5299" s="2" t="s">
        <v>282</v>
      </c>
      <c r="L5299" s="2" t="s">
        <v>11620</v>
      </c>
      <c r="M5299" s="12">
        <v>2374.0439999999999</v>
      </c>
      <c r="N5299" s="2"/>
      <c r="O5299" s="2"/>
      <c r="P5299" s="2" t="s">
        <v>16375</v>
      </c>
      <c r="Q5299" s="6">
        <v>100</v>
      </c>
      <c r="R5299" s="6">
        <v>44</v>
      </c>
      <c r="S5299" s="5">
        <v>66.099999999999994</v>
      </c>
      <c r="T5299" s="7">
        <v>353.11700000000002</v>
      </c>
      <c r="U5299" s="5">
        <v>14.9</v>
      </c>
      <c r="V5299" s="6">
        <v>0.73</v>
      </c>
      <c r="W5299" s="7">
        <v>26.062999999999999</v>
      </c>
      <c r="X5299" s="4">
        <v>26</v>
      </c>
      <c r="Y5299" s="4">
        <v>36</v>
      </c>
      <c r="Z5299" s="5">
        <v>36.5</v>
      </c>
      <c r="AA5299" s="6">
        <v>90.76</v>
      </c>
      <c r="AB5299" s="7">
        <v>32.991</v>
      </c>
      <c r="AC5299" s="6">
        <v>710.24</v>
      </c>
    </row>
    <row r="5300" spans="1:29" ht="117" x14ac:dyDescent="0.15">
      <c r="A5300" s="3">
        <f t="shared" si="126"/>
        <v>36578</v>
      </c>
      <c r="B5300" s="3">
        <f>DATE(2000,6,8)</f>
        <v>36685</v>
      </c>
      <c r="C5300" s="2" t="s">
        <v>95</v>
      </c>
      <c r="D5300" s="2" t="s">
        <v>15420</v>
      </c>
      <c r="E5300" s="2" t="s">
        <v>15421</v>
      </c>
      <c r="F5300" s="4">
        <v>3651</v>
      </c>
      <c r="G5300" s="2" t="s">
        <v>137</v>
      </c>
      <c r="H5300" s="2" t="s">
        <v>34</v>
      </c>
      <c r="I5300" s="2" t="s">
        <v>16376</v>
      </c>
      <c r="J5300" s="2" t="s">
        <v>16377</v>
      </c>
      <c r="K5300" s="2" t="s">
        <v>137</v>
      </c>
      <c r="L5300" s="2" t="s">
        <v>34</v>
      </c>
      <c r="M5300" s="7">
        <v>330.98500000000001</v>
      </c>
      <c r="N5300" s="7">
        <v>33.375</v>
      </c>
      <c r="O5300" s="7">
        <v>33.063000000000002</v>
      </c>
      <c r="P5300" s="2" t="s">
        <v>16378</v>
      </c>
      <c r="Q5300" s="6">
        <v>100</v>
      </c>
      <c r="R5300" s="6">
        <v>11.29</v>
      </c>
      <c r="S5300" s="5">
        <v>-2.1</v>
      </c>
      <c r="T5300" s="6">
        <v>-2.17</v>
      </c>
      <c r="U5300" s="5">
        <v>2.4</v>
      </c>
      <c r="V5300" s="6">
        <v>-0.17</v>
      </c>
      <c r="W5300" s="7">
        <v>7.6879999999999997</v>
      </c>
      <c r="X5300" s="7">
        <v>8.6880000000000006</v>
      </c>
      <c r="Y5300" s="7">
        <v>8.6560000000000006</v>
      </c>
      <c r="Z5300" s="5">
        <v>8.5</v>
      </c>
      <c r="AA5300" s="6">
        <v>12.31</v>
      </c>
      <c r="AB5300" s="2" t="s">
        <v>86</v>
      </c>
      <c r="AC5300" s="5">
        <v>40.5</v>
      </c>
    </row>
    <row r="5301" spans="1:29" ht="143" x14ac:dyDescent="0.15">
      <c r="A5301" s="3">
        <f t="shared" si="126"/>
        <v>36578</v>
      </c>
      <c r="B5301" s="3">
        <f>DATE(2000,11,1)</f>
        <v>36831</v>
      </c>
      <c r="C5301" s="2" t="s">
        <v>95</v>
      </c>
      <c r="D5301" s="2" t="s">
        <v>16379</v>
      </c>
      <c r="E5301" s="2" t="s">
        <v>36</v>
      </c>
      <c r="F5301" s="4">
        <v>6036</v>
      </c>
      <c r="G5301" s="2" t="s">
        <v>33</v>
      </c>
      <c r="H5301" s="2" t="s">
        <v>34</v>
      </c>
      <c r="I5301" s="2" t="s">
        <v>14073</v>
      </c>
      <c r="J5301" s="2" t="s">
        <v>389</v>
      </c>
      <c r="K5301" s="2" t="s">
        <v>33</v>
      </c>
      <c r="L5301" s="2" t="s">
        <v>34</v>
      </c>
      <c r="M5301" s="2"/>
      <c r="N5301" s="5">
        <v>12.5</v>
      </c>
      <c r="O5301" s="5">
        <v>12.5</v>
      </c>
      <c r="P5301" s="2" t="s">
        <v>16380</v>
      </c>
      <c r="Q5301" s="6">
        <v>100</v>
      </c>
      <c r="R5301" s="6">
        <v>15</v>
      </c>
      <c r="S5301" s="5">
        <v>7.4</v>
      </c>
      <c r="T5301" s="7">
        <v>11.788</v>
      </c>
      <c r="U5301" s="5">
        <v>9</v>
      </c>
      <c r="V5301" s="6">
        <v>0.83</v>
      </c>
      <c r="W5301" s="7">
        <v>9.1880000000000006</v>
      </c>
      <c r="X5301" s="4">
        <v>9</v>
      </c>
      <c r="Y5301" s="7">
        <v>12.688000000000001</v>
      </c>
      <c r="Z5301" s="6">
        <v>12.75</v>
      </c>
      <c r="AA5301" s="6">
        <v>8.6999999999999993</v>
      </c>
      <c r="AB5301" s="7">
        <v>29.234999999999999</v>
      </c>
      <c r="AC5301" s="2"/>
    </row>
    <row r="5302" spans="1:29" ht="156" x14ac:dyDescent="0.15">
      <c r="A5302" s="3">
        <f t="shared" si="126"/>
        <v>36578</v>
      </c>
      <c r="B5302" s="3">
        <f>DATE(2000,6,15)</f>
        <v>36692</v>
      </c>
      <c r="C5302" s="2" t="s">
        <v>95</v>
      </c>
      <c r="D5302" s="2" t="s">
        <v>16381</v>
      </c>
      <c r="E5302" s="2" t="s">
        <v>16382</v>
      </c>
      <c r="F5302" s="4">
        <v>7375</v>
      </c>
      <c r="G5302" s="2" t="s">
        <v>223</v>
      </c>
      <c r="H5302" s="2" t="s">
        <v>34</v>
      </c>
      <c r="I5302" s="2" t="s">
        <v>14035</v>
      </c>
      <c r="J5302" s="2" t="s">
        <v>14036</v>
      </c>
      <c r="K5302" s="2" t="s">
        <v>63</v>
      </c>
      <c r="L5302" s="2" t="s">
        <v>1791</v>
      </c>
      <c r="M5302" s="2"/>
      <c r="N5302" s="2"/>
      <c r="O5302" s="2"/>
      <c r="P5302" s="2" t="s">
        <v>16383</v>
      </c>
      <c r="Q5302" s="6">
        <v>100</v>
      </c>
      <c r="R5302" s="6">
        <v>283.70999999999998</v>
      </c>
      <c r="S5302" s="5">
        <v>-45.3</v>
      </c>
      <c r="T5302" s="6">
        <v>22.13</v>
      </c>
      <c r="U5302" s="5">
        <v>-1.8</v>
      </c>
      <c r="V5302" s="6">
        <v>-5.47</v>
      </c>
      <c r="W5302" s="5">
        <v>129.5</v>
      </c>
      <c r="X5302" s="4">
        <v>140</v>
      </c>
      <c r="Y5302" s="2"/>
      <c r="Z5302" s="2"/>
      <c r="AA5302" s="6">
        <v>8.8000000000000007</v>
      </c>
      <c r="AB5302" s="2" t="s">
        <v>86</v>
      </c>
      <c r="AC5302" s="10">
        <v>1726.79</v>
      </c>
    </row>
    <row r="5303" spans="1:29" ht="169" x14ac:dyDescent="0.15">
      <c r="A5303" s="3">
        <f t="shared" si="126"/>
        <v>36578</v>
      </c>
      <c r="B5303" s="3">
        <f>DATE(2000,6,15)</f>
        <v>36692</v>
      </c>
      <c r="C5303" s="2" t="s">
        <v>95</v>
      </c>
      <c r="D5303" s="2" t="s">
        <v>16384</v>
      </c>
      <c r="E5303" s="2" t="s">
        <v>16385</v>
      </c>
      <c r="F5303" s="4">
        <v>6099</v>
      </c>
      <c r="G5303" s="2" t="s">
        <v>3583</v>
      </c>
      <c r="H5303" s="2" t="s">
        <v>34</v>
      </c>
      <c r="I5303" s="2" t="s">
        <v>14035</v>
      </c>
      <c r="J5303" s="2" t="s">
        <v>14036</v>
      </c>
      <c r="K5303" s="2" t="s">
        <v>63</v>
      </c>
      <c r="L5303" s="2" t="s">
        <v>1791</v>
      </c>
      <c r="M5303" s="2"/>
      <c r="N5303" s="2"/>
      <c r="O5303" s="2"/>
      <c r="P5303" s="2" t="s">
        <v>16386</v>
      </c>
      <c r="Q5303" s="6">
        <v>27.59</v>
      </c>
      <c r="R5303" s="6">
        <v>62.01</v>
      </c>
      <c r="S5303" s="5">
        <v>-59.5</v>
      </c>
      <c r="T5303" s="7">
        <v>-20.856999999999999</v>
      </c>
      <c r="U5303" s="5">
        <v>2.4</v>
      </c>
      <c r="V5303" s="6">
        <v>-1.35</v>
      </c>
      <c r="W5303" s="5">
        <v>50.5</v>
      </c>
      <c r="X5303" s="5">
        <v>52.5</v>
      </c>
      <c r="Y5303" s="4">
        <v>55</v>
      </c>
      <c r="Z5303" s="7">
        <v>54.625</v>
      </c>
      <c r="AA5303" s="6">
        <v>51.1</v>
      </c>
      <c r="AB5303" s="2" t="s">
        <v>86</v>
      </c>
      <c r="AC5303" s="10">
        <v>1726.79</v>
      </c>
    </row>
    <row r="5304" spans="1:29" ht="143" x14ac:dyDescent="0.15">
      <c r="A5304" s="3">
        <f t="shared" si="126"/>
        <v>36578</v>
      </c>
      <c r="B5304" s="3">
        <f>DATE(2000,5,22)</f>
        <v>36668</v>
      </c>
      <c r="C5304" s="2" t="s">
        <v>95</v>
      </c>
      <c r="D5304" s="2" t="s">
        <v>16387</v>
      </c>
      <c r="E5304" s="2" t="s">
        <v>16388</v>
      </c>
      <c r="F5304" s="4">
        <v>7389</v>
      </c>
      <c r="G5304" s="2" t="s">
        <v>223</v>
      </c>
      <c r="H5304" s="2" t="s">
        <v>34</v>
      </c>
      <c r="I5304" s="2" t="s">
        <v>16389</v>
      </c>
      <c r="J5304" s="2" t="s">
        <v>16390</v>
      </c>
      <c r="K5304" s="2" t="s">
        <v>551</v>
      </c>
      <c r="L5304" s="2" t="s">
        <v>34</v>
      </c>
      <c r="M5304" s="7">
        <v>878.08500000000004</v>
      </c>
      <c r="N5304" s="4">
        <v>44</v>
      </c>
      <c r="O5304" s="4">
        <v>41</v>
      </c>
      <c r="P5304" s="2" t="s">
        <v>16391</v>
      </c>
      <c r="Q5304" s="6">
        <v>100</v>
      </c>
      <c r="R5304" s="6">
        <v>16.37</v>
      </c>
      <c r="S5304" s="5">
        <v>-36.700000000000003</v>
      </c>
      <c r="T5304" s="6">
        <v>-36.11</v>
      </c>
      <c r="U5304" s="5">
        <v>1.7</v>
      </c>
      <c r="V5304" s="6">
        <v>-1.89</v>
      </c>
      <c r="W5304" s="6">
        <v>10.25</v>
      </c>
      <c r="X5304" s="7">
        <v>11.875</v>
      </c>
      <c r="Y5304" s="4">
        <v>13</v>
      </c>
      <c r="Z5304" s="7">
        <v>12.375</v>
      </c>
      <c r="AA5304" s="6">
        <v>44.66</v>
      </c>
      <c r="AB5304" s="2" t="s">
        <v>86</v>
      </c>
      <c r="AC5304" s="6">
        <v>138.86000000000001</v>
      </c>
    </row>
    <row r="5305" spans="1:29" ht="221" x14ac:dyDescent="0.15">
      <c r="A5305" s="3">
        <f t="shared" si="126"/>
        <v>36578</v>
      </c>
      <c r="B5305" s="3">
        <f>DATE(2000,5,31)</f>
        <v>36677</v>
      </c>
      <c r="C5305" s="2" t="s">
        <v>95</v>
      </c>
      <c r="D5305" s="2" t="s">
        <v>11187</v>
      </c>
      <c r="E5305" s="2" t="s">
        <v>7706</v>
      </c>
      <c r="F5305" s="4">
        <v>7011</v>
      </c>
      <c r="G5305" s="2" t="s">
        <v>269</v>
      </c>
      <c r="H5305" s="2" t="s">
        <v>34</v>
      </c>
      <c r="I5305" s="2" t="s">
        <v>13179</v>
      </c>
      <c r="J5305" s="2" t="s">
        <v>13180</v>
      </c>
      <c r="K5305" s="2" t="s">
        <v>364</v>
      </c>
      <c r="L5305" s="2" t="s">
        <v>34</v>
      </c>
      <c r="M5305" s="12">
        <v>2474.4789999999998</v>
      </c>
      <c r="N5305" s="7">
        <v>40.375</v>
      </c>
      <c r="O5305" s="7">
        <v>41.813000000000002</v>
      </c>
      <c r="P5305" s="2" t="s">
        <v>16392</v>
      </c>
      <c r="Q5305" s="6">
        <v>100</v>
      </c>
      <c r="R5305" s="6">
        <v>21</v>
      </c>
      <c r="S5305" s="5">
        <v>141</v>
      </c>
      <c r="T5305" s="7">
        <v>522.77099999999996</v>
      </c>
      <c r="U5305" s="5">
        <v>10.7</v>
      </c>
      <c r="V5305" s="6">
        <v>0.7</v>
      </c>
      <c r="W5305" s="7">
        <v>11.563000000000001</v>
      </c>
      <c r="X5305" s="6">
        <v>11.25</v>
      </c>
      <c r="Y5305" s="7">
        <v>10.875</v>
      </c>
      <c r="Z5305" s="5">
        <v>14.5</v>
      </c>
      <c r="AA5305" s="6">
        <v>193.19</v>
      </c>
      <c r="AB5305" s="7">
        <v>21.199000000000002</v>
      </c>
      <c r="AC5305" s="5">
        <v>121.5</v>
      </c>
    </row>
    <row r="5306" spans="1:29" ht="117" x14ac:dyDescent="0.15">
      <c r="A5306" s="3">
        <f t="shared" si="126"/>
        <v>36578</v>
      </c>
      <c r="B5306" s="3">
        <f>DATE(2000,4,12)</f>
        <v>36628</v>
      </c>
      <c r="C5306" s="2" t="s">
        <v>95</v>
      </c>
      <c r="D5306" s="2" t="s">
        <v>11945</v>
      </c>
      <c r="E5306" s="2" t="s">
        <v>11946</v>
      </c>
      <c r="F5306" s="4">
        <v>7372</v>
      </c>
      <c r="G5306" s="2" t="s">
        <v>551</v>
      </c>
      <c r="H5306" s="2" t="s">
        <v>34</v>
      </c>
      <c r="I5306" s="2" t="s">
        <v>4689</v>
      </c>
      <c r="J5306" s="2" t="s">
        <v>1604</v>
      </c>
      <c r="K5306" s="2" t="s">
        <v>63</v>
      </c>
      <c r="L5306" s="2" t="s">
        <v>34</v>
      </c>
      <c r="M5306" s="12">
        <v>136028.77799999999</v>
      </c>
      <c r="N5306" s="6">
        <v>36.25</v>
      </c>
      <c r="O5306" s="6">
        <v>35.25</v>
      </c>
      <c r="P5306" s="2" t="s">
        <v>16393</v>
      </c>
      <c r="Q5306" s="6">
        <v>100</v>
      </c>
      <c r="R5306" s="6">
        <v>44.25</v>
      </c>
      <c r="S5306" s="5">
        <v>70.099999999999994</v>
      </c>
      <c r="T5306" s="7">
        <v>244.369</v>
      </c>
      <c r="U5306" s="5">
        <v>6.2</v>
      </c>
      <c r="V5306" s="6">
        <v>0.71</v>
      </c>
      <c r="W5306" s="7">
        <v>32.375</v>
      </c>
      <c r="X5306" s="7">
        <v>31.562999999999999</v>
      </c>
      <c r="Y5306" s="4">
        <v>43</v>
      </c>
      <c r="Z5306" s="7">
        <v>43.688000000000002</v>
      </c>
      <c r="AA5306" s="6">
        <v>80.040000000000006</v>
      </c>
      <c r="AB5306" s="7">
        <v>18.974</v>
      </c>
      <c r="AC5306" s="5">
        <v>495</v>
      </c>
    </row>
    <row r="5307" spans="1:29" ht="117" x14ac:dyDescent="0.15">
      <c r="A5307" s="3">
        <f>DATE(2000,2,23)</f>
        <v>36579</v>
      </c>
      <c r="B5307" s="3">
        <f>DATE(2000,5,15)</f>
        <v>36661</v>
      </c>
      <c r="C5307" s="2" t="s">
        <v>95</v>
      </c>
      <c r="D5307" s="2" t="s">
        <v>16394</v>
      </c>
      <c r="E5307" s="2" t="s">
        <v>16395</v>
      </c>
      <c r="F5307" s="4">
        <v>3845</v>
      </c>
      <c r="G5307" s="2" t="s">
        <v>226</v>
      </c>
      <c r="H5307" s="2" t="s">
        <v>34</v>
      </c>
      <c r="I5307" s="2" t="s">
        <v>16396</v>
      </c>
      <c r="J5307" s="2" t="s">
        <v>15342</v>
      </c>
      <c r="K5307" s="2" t="s">
        <v>226</v>
      </c>
      <c r="L5307" s="2" t="s">
        <v>303</v>
      </c>
      <c r="M5307" s="2"/>
      <c r="N5307" s="2"/>
      <c r="O5307" s="2"/>
      <c r="P5307" s="2" t="s">
        <v>16397</v>
      </c>
      <c r="Q5307" s="6">
        <v>100</v>
      </c>
      <c r="R5307" s="6">
        <v>4.8499999999999996</v>
      </c>
      <c r="S5307" s="5">
        <v>4.5999999999999996</v>
      </c>
      <c r="T5307" s="7">
        <v>1.538</v>
      </c>
      <c r="U5307" s="5">
        <v>0.2</v>
      </c>
      <c r="V5307" s="6">
        <v>0.56000000000000005</v>
      </c>
      <c r="W5307" s="7">
        <v>3.9380000000000002</v>
      </c>
      <c r="X5307" s="7">
        <v>3.6880000000000002</v>
      </c>
      <c r="Y5307" s="7">
        <v>4.125</v>
      </c>
      <c r="Z5307" s="7">
        <v>4.0940000000000003</v>
      </c>
      <c r="AA5307" s="6">
        <v>7.67</v>
      </c>
      <c r="AB5307" s="7">
        <v>40.621000000000002</v>
      </c>
      <c r="AC5307" s="6">
        <v>7.83</v>
      </c>
    </row>
    <row r="5308" spans="1:29" ht="182" x14ac:dyDescent="0.15">
      <c r="A5308" s="3">
        <f>DATE(2000,2,23)</f>
        <v>36579</v>
      </c>
      <c r="B5308" s="3">
        <f>DATE(2000,6,28)</f>
        <v>36705</v>
      </c>
      <c r="C5308" s="2" t="s">
        <v>95</v>
      </c>
      <c r="D5308" s="2" t="s">
        <v>16398</v>
      </c>
      <c r="E5308" s="2" t="s">
        <v>16399</v>
      </c>
      <c r="F5308" s="4">
        <v>3661</v>
      </c>
      <c r="G5308" s="2" t="s">
        <v>921</v>
      </c>
      <c r="H5308" s="2" t="s">
        <v>34</v>
      </c>
      <c r="I5308" s="2" t="s">
        <v>16400</v>
      </c>
      <c r="J5308" s="2" t="s">
        <v>16401</v>
      </c>
      <c r="K5308" s="2" t="s">
        <v>921</v>
      </c>
      <c r="L5308" s="2" t="s">
        <v>34</v>
      </c>
      <c r="M5308" s="12">
        <v>4563.0540000000001</v>
      </c>
      <c r="N5308" s="4">
        <v>44</v>
      </c>
      <c r="O5308" s="5">
        <v>44.5</v>
      </c>
      <c r="P5308" s="2" t="s">
        <v>16402</v>
      </c>
      <c r="Q5308" s="6">
        <v>100</v>
      </c>
      <c r="R5308" s="6">
        <v>20.13</v>
      </c>
      <c r="S5308" s="5">
        <v>2.4</v>
      </c>
      <c r="T5308" s="7">
        <v>1.7589999999999999</v>
      </c>
      <c r="U5308" s="5">
        <v>4.0999999999999996</v>
      </c>
      <c r="V5308" s="6">
        <v>0.03</v>
      </c>
      <c r="W5308" s="6">
        <v>15.75</v>
      </c>
      <c r="X5308" s="7">
        <v>16.062999999999999</v>
      </c>
      <c r="Y5308" s="5">
        <v>17.5</v>
      </c>
      <c r="Z5308" s="7">
        <v>17.875</v>
      </c>
      <c r="AA5308" s="6">
        <v>71.180000000000007</v>
      </c>
      <c r="AB5308" s="2" t="s">
        <v>86</v>
      </c>
      <c r="AC5308" s="6">
        <v>364.32</v>
      </c>
    </row>
    <row r="5309" spans="1:29" ht="169" x14ac:dyDescent="0.15">
      <c r="A5309" s="3">
        <f>DATE(2000,2,23)</f>
        <v>36579</v>
      </c>
      <c r="B5309" s="3">
        <f>DATE(2000,8,2)</f>
        <v>36740</v>
      </c>
      <c r="C5309" s="2" t="s">
        <v>95</v>
      </c>
      <c r="D5309" s="2" t="s">
        <v>16403</v>
      </c>
      <c r="E5309" s="2" t="s">
        <v>1181</v>
      </c>
      <c r="F5309" s="4">
        <v>6021</v>
      </c>
      <c r="G5309" s="2" t="s">
        <v>37</v>
      </c>
      <c r="H5309" s="2" t="s">
        <v>34</v>
      </c>
      <c r="I5309" s="2" t="s">
        <v>4525</v>
      </c>
      <c r="J5309" s="2" t="s">
        <v>36</v>
      </c>
      <c r="K5309" s="2" t="s">
        <v>37</v>
      </c>
      <c r="L5309" s="2" t="s">
        <v>34</v>
      </c>
      <c r="M5309" s="12">
        <v>1120.4849999999999</v>
      </c>
      <c r="N5309" s="7">
        <v>15.938000000000001</v>
      </c>
      <c r="O5309" s="7">
        <v>15.938000000000001</v>
      </c>
      <c r="P5309" s="2" t="s">
        <v>16404</v>
      </c>
      <c r="Q5309" s="6">
        <v>100</v>
      </c>
      <c r="R5309" s="6">
        <v>13.31</v>
      </c>
      <c r="S5309" s="5">
        <v>2.4</v>
      </c>
      <c r="T5309" s="5">
        <v>4.2</v>
      </c>
      <c r="U5309" s="5">
        <v>6.3</v>
      </c>
      <c r="V5309" s="6">
        <v>0.92</v>
      </c>
      <c r="W5309" s="4">
        <v>10</v>
      </c>
      <c r="X5309" s="6">
        <v>10.25</v>
      </c>
      <c r="Y5309" s="6">
        <v>10.25</v>
      </c>
      <c r="Z5309" s="7">
        <v>11.625</v>
      </c>
      <c r="AA5309" s="6">
        <v>2.5299999999999998</v>
      </c>
      <c r="AB5309" s="7">
        <v>10.083</v>
      </c>
      <c r="AC5309" s="2"/>
    </row>
    <row r="5310" spans="1:29" ht="130" x14ac:dyDescent="0.15">
      <c r="A5310" s="3">
        <f>DATE(2000,2,24)</f>
        <v>36580</v>
      </c>
      <c r="B5310" s="2"/>
      <c r="C5310" s="2" t="s">
        <v>30</v>
      </c>
      <c r="D5310" s="2" t="s">
        <v>16405</v>
      </c>
      <c r="E5310" s="2" t="s">
        <v>16406</v>
      </c>
      <c r="F5310" s="4">
        <v>8051</v>
      </c>
      <c r="G5310" s="2" t="s">
        <v>454</v>
      </c>
      <c r="H5310" s="2" t="s">
        <v>34</v>
      </c>
      <c r="I5310" s="2" t="s">
        <v>51</v>
      </c>
      <c r="J5310" s="2" t="s">
        <v>52</v>
      </c>
      <c r="K5310" s="2" t="s">
        <v>53</v>
      </c>
      <c r="L5310" s="2" t="s">
        <v>34</v>
      </c>
      <c r="M5310" s="2"/>
      <c r="N5310" s="2"/>
      <c r="O5310" s="2"/>
      <c r="P5310" s="2" t="s">
        <v>16407</v>
      </c>
      <c r="Q5310" s="2"/>
      <c r="R5310" s="6">
        <v>15.75</v>
      </c>
      <c r="S5310" s="5">
        <v>9.6999999999999993</v>
      </c>
      <c r="T5310" s="5">
        <v>81</v>
      </c>
      <c r="U5310" s="5">
        <v>6.7</v>
      </c>
      <c r="V5310" s="6">
        <v>0.39</v>
      </c>
      <c r="W5310" s="7">
        <v>12.625</v>
      </c>
      <c r="X5310" s="7">
        <v>11.875</v>
      </c>
      <c r="Y5310" s="9">
        <v>9.0625</v>
      </c>
      <c r="Z5310" s="4">
        <v>10</v>
      </c>
      <c r="AA5310" s="6">
        <v>24.3</v>
      </c>
      <c r="AB5310" s="7">
        <v>11.375999999999999</v>
      </c>
      <c r="AC5310" s="2"/>
    </row>
    <row r="5311" spans="1:29" ht="78" x14ac:dyDescent="0.15">
      <c r="A5311" s="3">
        <f>DATE(2000,2,24)</f>
        <v>36580</v>
      </c>
      <c r="B5311" s="2"/>
      <c r="C5311" s="2" t="s">
        <v>30</v>
      </c>
      <c r="D5311" s="2" t="s">
        <v>16408</v>
      </c>
      <c r="E5311" s="2" t="s">
        <v>16409</v>
      </c>
      <c r="F5311" s="4">
        <v>7361</v>
      </c>
      <c r="G5311" s="2" t="s">
        <v>223</v>
      </c>
      <c r="H5311" s="2" t="s">
        <v>34</v>
      </c>
      <c r="I5311" s="2" t="s">
        <v>51</v>
      </c>
      <c r="J5311" s="2" t="s">
        <v>52</v>
      </c>
      <c r="K5311" s="2" t="s">
        <v>53</v>
      </c>
      <c r="L5311" s="2" t="s">
        <v>34</v>
      </c>
      <c r="M5311" s="2"/>
      <c r="N5311" s="2"/>
      <c r="O5311" s="2"/>
      <c r="P5311" s="2" t="s">
        <v>16410</v>
      </c>
      <c r="Q5311" s="2"/>
      <c r="R5311" s="6">
        <v>10</v>
      </c>
      <c r="S5311" s="5">
        <v>13.7</v>
      </c>
      <c r="T5311" s="7">
        <v>33.631</v>
      </c>
      <c r="U5311" s="5">
        <v>4.9000000000000004</v>
      </c>
      <c r="V5311" s="6">
        <v>0.86</v>
      </c>
      <c r="W5311" s="6">
        <v>7.75</v>
      </c>
      <c r="X5311" s="6">
        <v>8.25</v>
      </c>
      <c r="Y5311" s="7">
        <v>8.1880000000000006</v>
      </c>
      <c r="Z5311" s="6">
        <v>8.25</v>
      </c>
      <c r="AA5311" s="6">
        <v>15.88</v>
      </c>
      <c r="AB5311" s="7">
        <v>8.4760000000000009</v>
      </c>
      <c r="AC5311" s="2"/>
    </row>
    <row r="5312" spans="1:29" ht="169" x14ac:dyDescent="0.15">
      <c r="A5312" s="3">
        <f>DATE(2000,2,25)</f>
        <v>36581</v>
      </c>
      <c r="B5312" s="3">
        <f>DATE(2000,6,15)</f>
        <v>36692</v>
      </c>
      <c r="C5312" s="2" t="s">
        <v>95</v>
      </c>
      <c r="D5312" s="2" t="s">
        <v>13077</v>
      </c>
      <c r="E5312" s="2" t="s">
        <v>8742</v>
      </c>
      <c r="F5312" s="4">
        <v>8082</v>
      </c>
      <c r="G5312" s="2" t="s">
        <v>454</v>
      </c>
      <c r="H5312" s="2" t="s">
        <v>34</v>
      </c>
      <c r="I5312" s="2" t="s">
        <v>51</v>
      </c>
      <c r="J5312" s="2" t="s">
        <v>52</v>
      </c>
      <c r="K5312" s="2" t="s">
        <v>53</v>
      </c>
      <c r="L5312" s="2" t="s">
        <v>34</v>
      </c>
      <c r="M5312" s="2"/>
      <c r="N5312" s="2"/>
      <c r="O5312" s="2"/>
      <c r="P5312" s="2" t="s">
        <v>16411</v>
      </c>
      <c r="Q5312" s="6">
        <v>100</v>
      </c>
      <c r="R5312" s="6">
        <v>5.5</v>
      </c>
      <c r="S5312" s="5">
        <v>-6.3</v>
      </c>
      <c r="T5312" s="7">
        <v>23.268999999999998</v>
      </c>
      <c r="U5312" s="5">
        <v>9</v>
      </c>
      <c r="V5312" s="6">
        <v>-0.55000000000000004</v>
      </c>
      <c r="W5312" s="7">
        <v>2.9689999999999999</v>
      </c>
      <c r="X5312" s="7">
        <v>2.9380000000000002</v>
      </c>
      <c r="Y5312" s="7">
        <v>5.0940000000000003</v>
      </c>
      <c r="Z5312" s="7">
        <v>5.0940000000000003</v>
      </c>
      <c r="AA5312" s="6">
        <v>11.92</v>
      </c>
      <c r="AB5312" s="2" t="s">
        <v>86</v>
      </c>
      <c r="AC5312" s="2"/>
    </row>
    <row r="5313" spans="1:29" ht="130" x14ac:dyDescent="0.15">
      <c r="A5313" s="3">
        <f>DATE(2000,2,25)</f>
        <v>36581</v>
      </c>
      <c r="B5313" s="3">
        <f>DATE(2000,5,15)</f>
        <v>36661</v>
      </c>
      <c r="C5313" s="2" t="s">
        <v>95</v>
      </c>
      <c r="D5313" s="2" t="s">
        <v>16412</v>
      </c>
      <c r="E5313" s="2" t="s">
        <v>16413</v>
      </c>
      <c r="F5313" s="4">
        <v>7372</v>
      </c>
      <c r="G5313" s="2" t="s">
        <v>551</v>
      </c>
      <c r="H5313" s="2" t="s">
        <v>34</v>
      </c>
      <c r="I5313" s="2" t="s">
        <v>16414</v>
      </c>
      <c r="J5313" s="2" t="s">
        <v>16415</v>
      </c>
      <c r="K5313" s="2" t="s">
        <v>551</v>
      </c>
      <c r="L5313" s="2" t="s">
        <v>34</v>
      </c>
      <c r="M5313" s="12">
        <v>1072.6179999999999</v>
      </c>
      <c r="N5313" s="5">
        <v>73.5</v>
      </c>
      <c r="O5313" s="4">
        <v>68</v>
      </c>
      <c r="P5313" s="2" t="s">
        <v>16416</v>
      </c>
      <c r="Q5313" s="6">
        <v>100</v>
      </c>
      <c r="R5313" s="6">
        <v>69.16</v>
      </c>
      <c r="S5313" s="5">
        <v>0.3</v>
      </c>
      <c r="T5313" s="7">
        <v>1.9550000000000001</v>
      </c>
      <c r="U5313" s="5">
        <v>3.5</v>
      </c>
      <c r="V5313" s="6">
        <v>0.03</v>
      </c>
      <c r="W5313" s="7">
        <v>63.875</v>
      </c>
      <c r="X5313" s="5">
        <v>62.5</v>
      </c>
      <c r="Y5313" s="6">
        <v>62.25</v>
      </c>
      <c r="Z5313" s="7">
        <v>61.655999999999999</v>
      </c>
      <c r="AA5313" s="6">
        <v>16.47</v>
      </c>
      <c r="AB5313" s="7">
        <v>798.43100000000004</v>
      </c>
      <c r="AC5313" s="6">
        <v>9.6300000000000008</v>
      </c>
    </row>
    <row r="5314" spans="1:29" ht="130" x14ac:dyDescent="0.15">
      <c r="A5314" s="3">
        <f>DATE(2000,2,25)</f>
        <v>36581</v>
      </c>
      <c r="B5314" s="2"/>
      <c r="C5314" s="2" t="s">
        <v>30</v>
      </c>
      <c r="D5314" s="2" t="s">
        <v>4339</v>
      </c>
      <c r="E5314" s="2" t="s">
        <v>4340</v>
      </c>
      <c r="F5314" s="4">
        <v>3083</v>
      </c>
      <c r="G5314" s="2" t="s">
        <v>447</v>
      </c>
      <c r="H5314" s="2" t="s">
        <v>34</v>
      </c>
      <c r="I5314" s="2" t="s">
        <v>51</v>
      </c>
      <c r="J5314" s="2" t="s">
        <v>52</v>
      </c>
      <c r="K5314" s="2" t="s">
        <v>53</v>
      </c>
      <c r="L5314" s="2" t="s">
        <v>34</v>
      </c>
      <c r="M5314" s="2"/>
      <c r="N5314" s="2"/>
      <c r="O5314" s="2"/>
      <c r="P5314" s="2" t="s">
        <v>16417</v>
      </c>
      <c r="Q5314" s="2"/>
      <c r="R5314" s="6">
        <v>8.5</v>
      </c>
      <c r="S5314" s="5">
        <v>-16.5</v>
      </c>
      <c r="T5314" s="7">
        <v>19.907</v>
      </c>
      <c r="U5314" s="5">
        <v>5.4</v>
      </c>
      <c r="V5314" s="6">
        <v>-1.66</v>
      </c>
      <c r="W5314" s="7">
        <v>5.625</v>
      </c>
      <c r="X5314" s="7">
        <v>6.625</v>
      </c>
      <c r="Y5314" s="7">
        <v>6.875</v>
      </c>
      <c r="Z5314" s="7">
        <v>7.0629999999999997</v>
      </c>
      <c r="AA5314" s="6">
        <v>11.61</v>
      </c>
      <c r="AB5314" s="7">
        <v>72.293999999999997</v>
      </c>
      <c r="AC5314" s="2"/>
    </row>
    <row r="5315" spans="1:29" ht="156" x14ac:dyDescent="0.15">
      <c r="A5315" s="3">
        <f>DATE(2000,2,25)</f>
        <v>36581</v>
      </c>
      <c r="B5315" s="3">
        <f>DATE(2000,4,13)</f>
        <v>36629</v>
      </c>
      <c r="C5315" s="2" t="s">
        <v>95</v>
      </c>
      <c r="D5315" s="2" t="s">
        <v>16418</v>
      </c>
      <c r="E5315" s="2" t="s">
        <v>16419</v>
      </c>
      <c r="F5315" s="4">
        <v>3661</v>
      </c>
      <c r="G5315" s="2" t="s">
        <v>921</v>
      </c>
      <c r="H5315" s="2" t="s">
        <v>34</v>
      </c>
      <c r="I5315" s="2" t="s">
        <v>16420</v>
      </c>
      <c r="J5315" s="2" t="s">
        <v>302</v>
      </c>
      <c r="K5315" s="2" t="s">
        <v>53</v>
      </c>
      <c r="L5315" s="2" t="s">
        <v>34</v>
      </c>
      <c r="M5315" s="2"/>
      <c r="N5315" s="2"/>
      <c r="O5315" s="2"/>
      <c r="P5315" s="2" t="s">
        <v>16421</v>
      </c>
      <c r="Q5315" s="6">
        <v>98.51</v>
      </c>
      <c r="R5315" s="6">
        <v>10.5</v>
      </c>
      <c r="S5315" s="5">
        <v>-1.4</v>
      </c>
      <c r="T5315" s="7">
        <v>-0.66400000000000003</v>
      </c>
      <c r="U5315" s="5">
        <v>0.4</v>
      </c>
      <c r="V5315" s="6">
        <v>-0.27</v>
      </c>
      <c r="W5315" s="7">
        <v>9.875</v>
      </c>
      <c r="X5315" s="6">
        <v>10.75</v>
      </c>
      <c r="Y5315" s="4">
        <v>10</v>
      </c>
      <c r="Z5315" s="7">
        <v>10.031000000000001</v>
      </c>
      <c r="AA5315" s="6">
        <v>5.4</v>
      </c>
      <c r="AB5315" s="2" t="s">
        <v>86</v>
      </c>
      <c r="AC5315" s="2"/>
    </row>
    <row r="5316" spans="1:29" ht="104" x14ac:dyDescent="0.15">
      <c r="A5316" s="3">
        <f>DATE(2000,2,25)</f>
        <v>36581</v>
      </c>
      <c r="B5316" s="2"/>
      <c r="C5316" s="2" t="s">
        <v>7330</v>
      </c>
      <c r="D5316" s="2" t="s">
        <v>16422</v>
      </c>
      <c r="E5316" s="2" t="s">
        <v>16423</v>
      </c>
      <c r="F5316" s="4">
        <v>7999</v>
      </c>
      <c r="G5316" s="2" t="s">
        <v>364</v>
      </c>
      <c r="H5316" s="2" t="s">
        <v>34</v>
      </c>
      <c r="I5316" s="2" t="s">
        <v>16424</v>
      </c>
      <c r="J5316" s="2" t="s">
        <v>16425</v>
      </c>
      <c r="K5316" s="2" t="s">
        <v>364</v>
      </c>
      <c r="L5316" s="2" t="s">
        <v>34</v>
      </c>
      <c r="M5316" s="2"/>
      <c r="N5316" s="6">
        <v>6.25</v>
      </c>
      <c r="O5316" s="7">
        <v>6.625</v>
      </c>
      <c r="P5316" s="2" t="s">
        <v>16426</v>
      </c>
      <c r="Q5316" s="2"/>
      <c r="R5316" s="6">
        <v>1.71</v>
      </c>
      <c r="S5316" s="5">
        <v>-3.1</v>
      </c>
      <c r="T5316" s="7">
        <v>-2.8929999999999998</v>
      </c>
      <c r="U5316" s="5">
        <v>0.1</v>
      </c>
      <c r="V5316" s="6">
        <v>-0.34</v>
      </c>
      <c r="W5316" s="6">
        <v>2.15</v>
      </c>
      <c r="X5316" s="7">
        <v>1.625</v>
      </c>
      <c r="Y5316" s="6">
        <v>1.75</v>
      </c>
      <c r="Z5316" s="4">
        <v>2</v>
      </c>
      <c r="AA5316" s="6">
        <v>9.89</v>
      </c>
      <c r="AB5316" s="2" t="s">
        <v>86</v>
      </c>
      <c r="AC5316" s="5">
        <v>1.1000000000000001</v>
      </c>
    </row>
    <row r="5317" spans="1:29" ht="104" x14ac:dyDescent="0.15">
      <c r="A5317" s="3">
        <f>DATE(2000,2,28)</f>
        <v>36584</v>
      </c>
      <c r="B5317" s="3">
        <f>DATE(2000,4,30)</f>
        <v>36646</v>
      </c>
      <c r="C5317" s="2" t="s">
        <v>95</v>
      </c>
      <c r="D5317" s="2" t="s">
        <v>16427</v>
      </c>
      <c r="E5317" s="2" t="s">
        <v>1882</v>
      </c>
      <c r="F5317" s="4">
        <v>7011</v>
      </c>
      <c r="G5317" s="2" t="s">
        <v>269</v>
      </c>
      <c r="H5317" s="2" t="s">
        <v>34</v>
      </c>
      <c r="I5317" s="2" t="s">
        <v>16428</v>
      </c>
      <c r="J5317" s="2" t="s">
        <v>16429</v>
      </c>
      <c r="K5317" s="2" t="s">
        <v>577</v>
      </c>
      <c r="L5317" s="2" t="s">
        <v>303</v>
      </c>
      <c r="M5317" s="2"/>
      <c r="N5317" s="2"/>
      <c r="O5317" s="2"/>
      <c r="P5317" s="2" t="s">
        <v>16430</v>
      </c>
      <c r="Q5317" s="6">
        <v>100</v>
      </c>
      <c r="R5317" s="6">
        <v>9.5</v>
      </c>
      <c r="S5317" s="5">
        <v>8.1999999999999993</v>
      </c>
      <c r="T5317" s="7">
        <v>15.497</v>
      </c>
      <c r="U5317" s="5">
        <v>2.4</v>
      </c>
      <c r="V5317" s="6">
        <v>0.45</v>
      </c>
      <c r="W5317" s="7">
        <v>4.875</v>
      </c>
      <c r="X5317" s="6">
        <v>5.75</v>
      </c>
      <c r="Y5317" s="7">
        <v>9.3130000000000006</v>
      </c>
      <c r="Z5317" s="7">
        <v>9.375</v>
      </c>
      <c r="AA5317" s="6">
        <v>16.05</v>
      </c>
      <c r="AB5317" s="7">
        <v>12.234</v>
      </c>
      <c r="AC5317" s="2"/>
    </row>
    <row r="5318" spans="1:29" ht="195" x14ac:dyDescent="0.15">
      <c r="A5318" s="3">
        <f>DATE(2000,2,28)</f>
        <v>36584</v>
      </c>
      <c r="B5318" s="3">
        <f>DATE(2000,9,15)</f>
        <v>36784</v>
      </c>
      <c r="C5318" s="2" t="s">
        <v>95</v>
      </c>
      <c r="D5318" s="2" t="s">
        <v>16431</v>
      </c>
      <c r="E5318" s="2" t="s">
        <v>16432</v>
      </c>
      <c r="F5318" s="4">
        <v>2844</v>
      </c>
      <c r="G5318" s="2" t="s">
        <v>358</v>
      </c>
      <c r="H5318" s="2" t="s">
        <v>34</v>
      </c>
      <c r="I5318" s="2" t="s">
        <v>16433</v>
      </c>
      <c r="J5318" s="2" t="s">
        <v>16434</v>
      </c>
      <c r="K5318" s="2" t="s">
        <v>358</v>
      </c>
      <c r="L5318" s="2" t="s">
        <v>34</v>
      </c>
      <c r="M5318" s="2"/>
      <c r="N5318" s="2"/>
      <c r="O5318" s="2"/>
      <c r="P5318" s="2" t="s">
        <v>16435</v>
      </c>
      <c r="Q5318" s="6">
        <v>100</v>
      </c>
      <c r="R5318" s="6">
        <v>5.2</v>
      </c>
      <c r="S5318" s="5">
        <v>-14.3</v>
      </c>
      <c r="T5318" s="7">
        <v>22.271000000000001</v>
      </c>
      <c r="U5318" s="5">
        <v>3.6</v>
      </c>
      <c r="V5318" s="6">
        <v>-0.94</v>
      </c>
      <c r="W5318" s="7">
        <v>3.6880000000000002</v>
      </c>
      <c r="X5318" s="6">
        <v>3.75</v>
      </c>
      <c r="Y5318" s="7">
        <v>5.0629999999999997</v>
      </c>
      <c r="Z5318" s="4">
        <v>5</v>
      </c>
      <c r="AA5318" s="6">
        <v>15.21</v>
      </c>
      <c r="AB5318" s="7">
        <v>13.959</v>
      </c>
      <c r="AC5318" s="2"/>
    </row>
    <row r="5319" spans="1:29" ht="325" x14ac:dyDescent="0.15">
      <c r="A5319" s="3">
        <f>DATE(2000,2,28)</f>
        <v>36584</v>
      </c>
      <c r="B5319" s="3">
        <f>DATE(2000,11,1)</f>
        <v>36831</v>
      </c>
      <c r="C5319" s="2" t="s">
        <v>95</v>
      </c>
      <c r="D5319" s="2" t="s">
        <v>14567</v>
      </c>
      <c r="E5319" s="2" t="s">
        <v>1387</v>
      </c>
      <c r="F5319" s="4">
        <v>4923</v>
      </c>
      <c r="G5319" s="2" t="s">
        <v>439</v>
      </c>
      <c r="H5319" s="2" t="s">
        <v>34</v>
      </c>
      <c r="I5319" s="2" t="s">
        <v>14568</v>
      </c>
      <c r="J5319" s="2" t="s">
        <v>9045</v>
      </c>
      <c r="K5319" s="2" t="s">
        <v>439</v>
      </c>
      <c r="L5319" s="2" t="s">
        <v>34</v>
      </c>
      <c r="M5319" s="12">
        <v>2297.9119999999998</v>
      </c>
      <c r="N5319" s="4">
        <v>13</v>
      </c>
      <c r="O5319" s="7">
        <v>12.938000000000001</v>
      </c>
      <c r="P5319" s="2" t="s">
        <v>16436</v>
      </c>
      <c r="Q5319" s="6">
        <v>100</v>
      </c>
      <c r="R5319" s="6">
        <v>72.599999999999994</v>
      </c>
      <c r="S5319" s="5">
        <v>275</v>
      </c>
      <c r="T5319" s="5">
        <v>845.7</v>
      </c>
      <c r="U5319" s="5">
        <v>25.4</v>
      </c>
      <c r="V5319" s="6">
        <v>4.29</v>
      </c>
      <c r="W5319" s="5">
        <v>53.5</v>
      </c>
      <c r="X5319" s="6">
        <v>55.75</v>
      </c>
      <c r="Y5319" s="7">
        <v>63.188000000000002</v>
      </c>
      <c r="Z5319" s="7">
        <v>62.938000000000002</v>
      </c>
      <c r="AA5319" s="6">
        <v>81.260000000000005</v>
      </c>
      <c r="AB5319" s="7">
        <v>13.552</v>
      </c>
      <c r="AC5319" s="6">
        <v>43.53</v>
      </c>
    </row>
    <row r="5320" spans="1:29" ht="65" x14ac:dyDescent="0.15">
      <c r="A5320" s="3">
        <f>DATE(2000,2,28)</f>
        <v>36584</v>
      </c>
      <c r="B5320" s="3">
        <f>DATE(2000,12,11)</f>
        <v>36871</v>
      </c>
      <c r="C5320" s="2" t="s">
        <v>95</v>
      </c>
      <c r="D5320" s="2" t="s">
        <v>5806</v>
      </c>
      <c r="E5320" s="2" t="s">
        <v>441</v>
      </c>
      <c r="F5320" s="4">
        <v>4931</v>
      </c>
      <c r="G5320" s="2" t="s">
        <v>439</v>
      </c>
      <c r="H5320" s="2" t="s">
        <v>34</v>
      </c>
      <c r="I5320" s="2" t="s">
        <v>12048</v>
      </c>
      <c r="J5320" s="2" t="s">
        <v>1888</v>
      </c>
      <c r="K5320" s="2" t="s">
        <v>439</v>
      </c>
      <c r="L5320" s="2" t="s">
        <v>303</v>
      </c>
      <c r="M5320" s="2"/>
      <c r="N5320" s="2"/>
      <c r="O5320" s="2"/>
      <c r="P5320" s="2" t="s">
        <v>16437</v>
      </c>
      <c r="Q5320" s="6">
        <v>100</v>
      </c>
      <c r="R5320" s="6">
        <v>24.85</v>
      </c>
      <c r="S5320" s="5">
        <v>236.3</v>
      </c>
      <c r="T5320" s="5">
        <v>664.2</v>
      </c>
      <c r="U5320" s="5">
        <v>8.8000000000000007</v>
      </c>
      <c r="V5320" s="6">
        <v>1.82</v>
      </c>
      <c r="W5320" s="7">
        <v>15.688000000000001</v>
      </c>
      <c r="X5320" s="6">
        <v>15.75</v>
      </c>
      <c r="Y5320" s="7">
        <v>21.875</v>
      </c>
      <c r="Z5320" s="9">
        <v>22.1875</v>
      </c>
      <c r="AA5320" s="6">
        <v>129.68</v>
      </c>
      <c r="AB5320" s="7">
        <v>12.207000000000001</v>
      </c>
      <c r="AC5320" s="6">
        <v>154.26</v>
      </c>
    </row>
    <row r="5321" spans="1:29" ht="104" x14ac:dyDescent="0.15">
      <c r="A5321" s="3">
        <f>DATE(2000,2,28)</f>
        <v>36584</v>
      </c>
      <c r="B5321" s="3">
        <f>DATE(2000,5,18)</f>
        <v>36664</v>
      </c>
      <c r="C5321" s="2" t="s">
        <v>95</v>
      </c>
      <c r="D5321" s="2" t="s">
        <v>16438</v>
      </c>
      <c r="E5321" s="2" t="s">
        <v>781</v>
      </c>
      <c r="F5321" s="4">
        <v>7372</v>
      </c>
      <c r="G5321" s="2" t="s">
        <v>551</v>
      </c>
      <c r="H5321" s="2" t="s">
        <v>34</v>
      </c>
      <c r="I5321" s="2" t="s">
        <v>16439</v>
      </c>
      <c r="J5321" s="2" t="s">
        <v>16440</v>
      </c>
      <c r="K5321" s="2" t="s">
        <v>223</v>
      </c>
      <c r="L5321" s="2" t="s">
        <v>34</v>
      </c>
      <c r="M5321" s="12">
        <v>1126.2929999999999</v>
      </c>
      <c r="N5321" s="6">
        <v>40.75</v>
      </c>
      <c r="O5321" s="9">
        <v>39.3125</v>
      </c>
      <c r="P5321" s="2" t="s">
        <v>16441</v>
      </c>
      <c r="Q5321" s="6">
        <v>100</v>
      </c>
      <c r="R5321" s="6">
        <v>38.26</v>
      </c>
      <c r="S5321" s="5">
        <v>-0.9</v>
      </c>
      <c r="T5321" s="7">
        <v>-0.85699999999999998</v>
      </c>
      <c r="U5321" s="5">
        <v>1.5</v>
      </c>
      <c r="V5321" s="6">
        <v>-0.19</v>
      </c>
      <c r="W5321" s="5">
        <v>21.5</v>
      </c>
      <c r="X5321" s="7">
        <v>25.875</v>
      </c>
      <c r="Y5321" s="7">
        <v>29.625</v>
      </c>
      <c r="Z5321" s="7">
        <v>28.625</v>
      </c>
      <c r="AA5321" s="6">
        <v>5.61</v>
      </c>
      <c r="AB5321" s="2" t="s">
        <v>86</v>
      </c>
      <c r="AC5321" s="5">
        <v>36.799999999999997</v>
      </c>
    </row>
    <row r="5322" spans="1:29" ht="117" x14ac:dyDescent="0.15">
      <c r="A5322" s="3">
        <f>DATE(2000,2,29)</f>
        <v>36585</v>
      </c>
      <c r="B5322" s="3">
        <f>DATE(2000,5,5)</f>
        <v>36651</v>
      </c>
      <c r="C5322" s="2" t="s">
        <v>95</v>
      </c>
      <c r="D5322" s="2" t="s">
        <v>16442</v>
      </c>
      <c r="E5322" s="2" t="s">
        <v>16443</v>
      </c>
      <c r="F5322" s="4">
        <v>3674</v>
      </c>
      <c r="G5322" s="2" t="s">
        <v>137</v>
      </c>
      <c r="H5322" s="2" t="s">
        <v>34</v>
      </c>
      <c r="I5322" s="2" t="s">
        <v>16444</v>
      </c>
      <c r="J5322" s="2" t="s">
        <v>16445</v>
      </c>
      <c r="K5322" s="2" t="s">
        <v>300</v>
      </c>
      <c r="L5322" s="2" t="s">
        <v>34</v>
      </c>
      <c r="M5322" s="12">
        <v>1029.1110000000001</v>
      </c>
      <c r="N5322" s="7">
        <v>82.125</v>
      </c>
      <c r="O5322" s="6">
        <v>98.25</v>
      </c>
      <c r="P5322" s="2" t="s">
        <v>16446</v>
      </c>
      <c r="Q5322" s="6">
        <v>100</v>
      </c>
      <c r="R5322" s="6">
        <v>31.95</v>
      </c>
      <c r="S5322" s="5">
        <v>1.6</v>
      </c>
      <c r="T5322" s="7">
        <v>8.4009999999999998</v>
      </c>
      <c r="U5322" s="5">
        <v>4.2</v>
      </c>
      <c r="V5322" s="7">
        <v>0.20100000000000001</v>
      </c>
      <c r="W5322" s="6">
        <v>26.75</v>
      </c>
      <c r="X5322" s="4">
        <v>29</v>
      </c>
      <c r="Y5322" s="6">
        <v>33.75</v>
      </c>
      <c r="Z5322" s="7">
        <v>40.938000000000002</v>
      </c>
      <c r="AA5322" s="6">
        <v>11.6</v>
      </c>
      <c r="AB5322" s="7">
        <v>120.645</v>
      </c>
      <c r="AC5322" s="6">
        <v>80.31</v>
      </c>
    </row>
    <row r="5323" spans="1:29" ht="130" x14ac:dyDescent="0.15">
      <c r="A5323" s="3">
        <f>DATE(2000,2,29)</f>
        <v>36585</v>
      </c>
      <c r="B5323" s="3">
        <f>DATE(2000,6,28)</f>
        <v>36705</v>
      </c>
      <c r="C5323" s="2" t="s">
        <v>95</v>
      </c>
      <c r="D5323" s="2" t="s">
        <v>16447</v>
      </c>
      <c r="E5323" s="2" t="s">
        <v>16448</v>
      </c>
      <c r="F5323" s="4">
        <v>7375</v>
      </c>
      <c r="G5323" s="2" t="s">
        <v>223</v>
      </c>
      <c r="H5323" s="2" t="s">
        <v>34</v>
      </c>
      <c r="I5323" s="2" t="s">
        <v>16449</v>
      </c>
      <c r="J5323" s="2" t="s">
        <v>15291</v>
      </c>
      <c r="K5323" s="2" t="s">
        <v>223</v>
      </c>
      <c r="L5323" s="2" t="s">
        <v>34</v>
      </c>
      <c r="M5323" s="12">
        <v>1313.771</v>
      </c>
      <c r="N5323" s="5">
        <v>46.5</v>
      </c>
      <c r="O5323" s="7">
        <v>45.875</v>
      </c>
      <c r="P5323" s="2" t="s">
        <v>16450</v>
      </c>
      <c r="Q5323" s="6">
        <v>100</v>
      </c>
      <c r="R5323" s="6">
        <v>33.17</v>
      </c>
      <c r="S5323" s="5">
        <v>-8.6</v>
      </c>
      <c r="T5323" s="6">
        <v>-6.95</v>
      </c>
      <c r="U5323" s="5">
        <v>-18.399999999999999</v>
      </c>
      <c r="V5323" s="7">
        <v>-8.6769999999999996</v>
      </c>
      <c r="W5323" s="7">
        <v>20.625</v>
      </c>
      <c r="X5323" s="7">
        <v>18.687999999999999</v>
      </c>
      <c r="Y5323" s="5">
        <v>26.5</v>
      </c>
      <c r="Z5323" s="7">
        <v>26.125</v>
      </c>
      <c r="AA5323" s="6">
        <v>12.07</v>
      </c>
      <c r="AB5323" s="2" t="s">
        <v>86</v>
      </c>
      <c r="AC5323" s="5">
        <v>42.8</v>
      </c>
    </row>
    <row r="5324" spans="1:29" ht="104" x14ac:dyDescent="0.15">
      <c r="A5324" s="3">
        <f>DATE(2000,2,29)</f>
        <v>36585</v>
      </c>
      <c r="B5324" s="3">
        <f>DATE(2000,11,13)</f>
        <v>36843</v>
      </c>
      <c r="C5324" s="2" t="s">
        <v>95</v>
      </c>
      <c r="D5324" s="2" t="s">
        <v>16451</v>
      </c>
      <c r="E5324" s="2" t="s">
        <v>3476</v>
      </c>
      <c r="F5324" s="4">
        <v>4812</v>
      </c>
      <c r="G5324" s="2" t="s">
        <v>63</v>
      </c>
      <c r="H5324" s="2" t="s">
        <v>34</v>
      </c>
      <c r="I5324" s="2" t="s">
        <v>16452</v>
      </c>
      <c r="J5324" s="2" t="s">
        <v>16453</v>
      </c>
      <c r="K5324" s="2" t="s">
        <v>63</v>
      </c>
      <c r="L5324" s="2" t="s">
        <v>34</v>
      </c>
      <c r="M5324" s="12">
        <v>3441.0439999999999</v>
      </c>
      <c r="N5324" s="7">
        <v>45.938000000000002</v>
      </c>
      <c r="O5324" s="4">
        <v>46</v>
      </c>
      <c r="P5324" s="2" t="s">
        <v>16454</v>
      </c>
      <c r="Q5324" s="6">
        <v>100</v>
      </c>
      <c r="R5324" s="6">
        <v>41.04</v>
      </c>
      <c r="S5324" s="5">
        <v>-247.5</v>
      </c>
      <c r="T5324" s="5">
        <v>-252.7</v>
      </c>
      <c r="U5324" s="5">
        <v>4.5</v>
      </c>
      <c r="V5324" s="7">
        <v>-16.838999999999999</v>
      </c>
      <c r="W5324" s="7">
        <v>23.625</v>
      </c>
      <c r="X5324" s="4">
        <v>24</v>
      </c>
      <c r="Y5324" s="6">
        <v>31.75</v>
      </c>
      <c r="Z5324" s="9">
        <v>32.1875</v>
      </c>
      <c r="AA5324" s="6">
        <v>119</v>
      </c>
      <c r="AB5324" s="2" t="s">
        <v>86</v>
      </c>
      <c r="AC5324" s="6">
        <v>182.33</v>
      </c>
    </row>
    <row r="5325" spans="1:29" ht="104" x14ac:dyDescent="0.15">
      <c r="A5325" s="3">
        <f>DATE(2000,3,1)</f>
        <v>36586</v>
      </c>
      <c r="B5325" s="3">
        <f>DATE(2000,7,26)</f>
        <v>36733</v>
      </c>
      <c r="C5325" s="2" t="s">
        <v>95</v>
      </c>
      <c r="D5325" s="2" t="s">
        <v>16455</v>
      </c>
      <c r="E5325" s="2" t="s">
        <v>595</v>
      </c>
      <c r="F5325" s="4">
        <v>6726</v>
      </c>
      <c r="G5325" s="2" t="s">
        <v>53</v>
      </c>
      <c r="H5325" s="2" t="s">
        <v>34</v>
      </c>
      <c r="I5325" s="2" t="s">
        <v>9343</v>
      </c>
      <c r="J5325" s="2" t="s">
        <v>124</v>
      </c>
      <c r="K5325" s="2" t="s">
        <v>125</v>
      </c>
      <c r="L5325" s="2" t="s">
        <v>34</v>
      </c>
      <c r="M5325" s="12">
        <v>2973.154</v>
      </c>
      <c r="N5325" s="7">
        <v>28.437999999999999</v>
      </c>
      <c r="O5325" s="7">
        <v>27.375</v>
      </c>
      <c r="P5325" s="2" t="s">
        <v>16456</v>
      </c>
      <c r="Q5325" s="6">
        <v>100</v>
      </c>
      <c r="R5325" s="6">
        <v>9.92</v>
      </c>
      <c r="S5325" s="5">
        <v>0.3</v>
      </c>
      <c r="T5325" s="7">
        <v>1.1359999999999999</v>
      </c>
      <c r="U5325" s="5">
        <v>2</v>
      </c>
      <c r="V5325" s="6">
        <v>0.06</v>
      </c>
      <c r="W5325" s="7">
        <v>8.6880000000000006</v>
      </c>
      <c r="X5325" s="5">
        <v>8.5</v>
      </c>
      <c r="Y5325" s="5">
        <v>8.5</v>
      </c>
      <c r="Z5325" s="5">
        <v>8.5</v>
      </c>
      <c r="AA5325" s="6">
        <v>4.43</v>
      </c>
      <c r="AB5325" s="7">
        <v>45.476999999999997</v>
      </c>
      <c r="AC5325" s="5">
        <v>47.9</v>
      </c>
    </row>
    <row r="5326" spans="1:29" ht="143" x14ac:dyDescent="0.15">
      <c r="A5326" s="3">
        <f>DATE(2000,3,1)</f>
        <v>36586</v>
      </c>
      <c r="B5326" s="2"/>
      <c r="C5326" s="2" t="s">
        <v>39</v>
      </c>
      <c r="D5326" s="2" t="s">
        <v>14653</v>
      </c>
      <c r="E5326" s="2" t="s">
        <v>14654</v>
      </c>
      <c r="F5326" s="4">
        <v>4813</v>
      </c>
      <c r="G5326" s="2" t="s">
        <v>63</v>
      </c>
      <c r="H5326" s="2" t="s">
        <v>34</v>
      </c>
      <c r="I5326" s="2" t="s">
        <v>14984</v>
      </c>
      <c r="J5326" s="2" t="s">
        <v>6519</v>
      </c>
      <c r="K5326" s="2" t="s">
        <v>63</v>
      </c>
      <c r="L5326" s="2" t="s">
        <v>1049</v>
      </c>
      <c r="M5326" s="2"/>
      <c r="N5326" s="2"/>
      <c r="O5326" s="2"/>
      <c r="P5326" s="2" t="s">
        <v>16457</v>
      </c>
      <c r="Q5326" s="2"/>
      <c r="R5326" s="2"/>
      <c r="S5326" s="5">
        <v>458.5</v>
      </c>
      <c r="T5326" s="5">
        <v>759.2</v>
      </c>
      <c r="U5326" s="5">
        <v>9.3000000000000007</v>
      </c>
      <c r="V5326" s="6">
        <v>0.6</v>
      </c>
      <c r="W5326" s="7">
        <v>47.063000000000002</v>
      </c>
      <c r="X5326" s="6">
        <v>46.25</v>
      </c>
      <c r="Y5326" s="5">
        <v>58.5</v>
      </c>
      <c r="Z5326" s="7">
        <v>59.875</v>
      </c>
      <c r="AA5326" s="6">
        <v>748</v>
      </c>
      <c r="AB5326" s="2" t="s">
        <v>47</v>
      </c>
      <c r="AC5326" s="10">
        <v>2379.54</v>
      </c>
    </row>
    <row r="5327" spans="1:29" ht="143" x14ac:dyDescent="0.15">
      <c r="A5327" s="3">
        <f>DATE(2000,3,1)</f>
        <v>36586</v>
      </c>
      <c r="B5327" s="2"/>
      <c r="C5327" s="2" t="s">
        <v>39</v>
      </c>
      <c r="D5327" s="2" t="s">
        <v>1394</v>
      </c>
      <c r="E5327" s="2" t="s">
        <v>973</v>
      </c>
      <c r="F5327" s="4">
        <v>4899</v>
      </c>
      <c r="G5327" s="2" t="s">
        <v>63</v>
      </c>
      <c r="H5327" s="2" t="s">
        <v>34</v>
      </c>
      <c r="I5327" s="2" t="s">
        <v>14984</v>
      </c>
      <c r="J5327" s="2" t="s">
        <v>6519</v>
      </c>
      <c r="K5327" s="2" t="s">
        <v>63</v>
      </c>
      <c r="L5327" s="2" t="s">
        <v>1049</v>
      </c>
      <c r="M5327" s="2"/>
      <c r="N5327" s="2"/>
      <c r="O5327" s="2"/>
      <c r="P5327" s="2" t="s">
        <v>16458</v>
      </c>
      <c r="Q5327" s="2"/>
      <c r="R5327" s="2"/>
      <c r="S5327" s="8">
        <v>1102</v>
      </c>
      <c r="T5327" s="8">
        <v>5704</v>
      </c>
      <c r="U5327" s="5">
        <v>2.5</v>
      </c>
      <c r="V5327" s="6">
        <v>2.16</v>
      </c>
      <c r="W5327" s="7">
        <v>75.438000000000002</v>
      </c>
      <c r="X5327" s="7">
        <v>72.625</v>
      </c>
      <c r="Y5327" s="5">
        <v>79.5</v>
      </c>
      <c r="Z5327" s="4">
        <v>72</v>
      </c>
      <c r="AA5327" s="2"/>
      <c r="AB5327" s="2" t="s">
        <v>47</v>
      </c>
      <c r="AC5327" s="10">
        <v>2379.54</v>
      </c>
    </row>
    <row r="5328" spans="1:29" ht="130" x14ac:dyDescent="0.15">
      <c r="A5328" s="3">
        <f>DATE(2000,3,2)</f>
        <v>36587</v>
      </c>
      <c r="B5328" s="3">
        <f>DATE(2000,7,3)</f>
        <v>36710</v>
      </c>
      <c r="C5328" s="2" t="s">
        <v>95</v>
      </c>
      <c r="D5328" s="2" t="s">
        <v>16459</v>
      </c>
      <c r="E5328" s="2" t="s">
        <v>16460</v>
      </c>
      <c r="F5328" s="4">
        <v>5045</v>
      </c>
      <c r="G5328" s="2" t="s">
        <v>76</v>
      </c>
      <c r="H5328" s="2" t="s">
        <v>34</v>
      </c>
      <c r="I5328" s="2" t="s">
        <v>3706</v>
      </c>
      <c r="J5328" s="2" t="s">
        <v>2195</v>
      </c>
      <c r="K5328" s="2" t="s">
        <v>76</v>
      </c>
      <c r="L5328" s="2" t="s">
        <v>34</v>
      </c>
      <c r="M5328" s="12">
        <v>24352.203000000001</v>
      </c>
      <c r="N5328" s="7">
        <v>64.188000000000002</v>
      </c>
      <c r="O5328" s="4">
        <v>65</v>
      </c>
      <c r="P5328" s="2" t="s">
        <v>16461</v>
      </c>
      <c r="Q5328" s="6">
        <v>100</v>
      </c>
      <c r="R5328" s="6">
        <v>7.85</v>
      </c>
      <c r="S5328" s="5">
        <v>1.8</v>
      </c>
      <c r="T5328" s="7">
        <v>31.754000000000001</v>
      </c>
      <c r="U5328" s="5">
        <v>7.4</v>
      </c>
      <c r="V5328" s="6">
        <v>0.03</v>
      </c>
      <c r="W5328" s="6">
        <v>7.75</v>
      </c>
      <c r="X5328" s="6">
        <v>8.25</v>
      </c>
      <c r="Y5328" s="4">
        <v>7</v>
      </c>
      <c r="Z5328" s="7">
        <v>7.0309999999999997</v>
      </c>
      <c r="AA5328" s="6">
        <v>13.1</v>
      </c>
      <c r="AB5328" s="7">
        <v>7.008</v>
      </c>
      <c r="AC5328" s="5">
        <v>71.5</v>
      </c>
    </row>
    <row r="5329" spans="1:29" ht="130" x14ac:dyDescent="0.15">
      <c r="A5329" s="3">
        <f>DATE(2000,3,2)</f>
        <v>36587</v>
      </c>
      <c r="B5329" s="2"/>
      <c r="C5329" s="2" t="s">
        <v>30</v>
      </c>
      <c r="D5329" s="2" t="s">
        <v>1431</v>
      </c>
      <c r="E5329" s="2" t="s">
        <v>1432</v>
      </c>
      <c r="F5329" s="4">
        <v>7376</v>
      </c>
      <c r="G5329" s="2" t="s">
        <v>223</v>
      </c>
      <c r="H5329" s="2" t="s">
        <v>34</v>
      </c>
      <c r="I5329" s="2" t="s">
        <v>13134</v>
      </c>
      <c r="J5329" s="2" t="s">
        <v>13135</v>
      </c>
      <c r="K5329" s="2" t="s">
        <v>551</v>
      </c>
      <c r="L5329" s="2" t="s">
        <v>34</v>
      </c>
      <c r="M5329" s="7">
        <v>859.77700000000004</v>
      </c>
      <c r="N5329" s="7">
        <v>28.625</v>
      </c>
      <c r="O5329" s="7">
        <v>26.875</v>
      </c>
      <c r="P5329" s="2" t="s">
        <v>16462</v>
      </c>
      <c r="Q5329" s="2"/>
      <c r="R5329" s="6">
        <v>67</v>
      </c>
      <c r="S5329" s="5">
        <v>76</v>
      </c>
      <c r="T5329" s="7">
        <v>183.31700000000001</v>
      </c>
      <c r="U5329" s="5">
        <v>17</v>
      </c>
      <c r="V5329" s="6">
        <v>2.8</v>
      </c>
      <c r="W5329" s="6">
        <v>40.25</v>
      </c>
      <c r="X5329" s="7">
        <v>39.438000000000002</v>
      </c>
      <c r="Y5329" s="6">
        <v>38.25</v>
      </c>
      <c r="Z5329" s="5">
        <v>63.5</v>
      </c>
      <c r="AA5329" s="6">
        <v>26.9</v>
      </c>
      <c r="AB5329" s="7">
        <v>14.994999999999999</v>
      </c>
      <c r="AC5329" s="6">
        <v>33.96</v>
      </c>
    </row>
    <row r="5330" spans="1:29" ht="104" x14ac:dyDescent="0.15">
      <c r="A5330" s="3">
        <f>DATE(2000,3,3)</f>
        <v>36588</v>
      </c>
      <c r="B5330" s="3">
        <f>DATE(2000,7,10)</f>
        <v>36717</v>
      </c>
      <c r="C5330" s="2" t="s">
        <v>95</v>
      </c>
      <c r="D5330" s="2" t="s">
        <v>6866</v>
      </c>
      <c r="E5330" s="2" t="s">
        <v>6867</v>
      </c>
      <c r="F5330" s="4">
        <v>8711</v>
      </c>
      <c r="G5330" s="2" t="s">
        <v>223</v>
      </c>
      <c r="H5330" s="2" t="s">
        <v>34</v>
      </c>
      <c r="I5330" s="2" t="s">
        <v>15236</v>
      </c>
      <c r="J5330" s="2" t="s">
        <v>15237</v>
      </c>
      <c r="K5330" s="2" t="s">
        <v>226</v>
      </c>
      <c r="L5330" s="2" t="s">
        <v>34</v>
      </c>
      <c r="M5330" s="7">
        <v>82.495000000000005</v>
      </c>
      <c r="N5330" s="5">
        <v>7.5</v>
      </c>
      <c r="O5330" s="7">
        <v>8.1880000000000006</v>
      </c>
      <c r="P5330" s="2" t="s">
        <v>16463</v>
      </c>
      <c r="Q5330" s="6">
        <v>100</v>
      </c>
      <c r="R5330" s="6">
        <v>6.47</v>
      </c>
      <c r="S5330" s="5">
        <v>-1.3</v>
      </c>
      <c r="T5330" s="7">
        <v>-0.41399999999999998</v>
      </c>
      <c r="U5330" s="5">
        <v>0.7</v>
      </c>
      <c r="V5330" s="6">
        <v>-0.56000000000000005</v>
      </c>
      <c r="W5330" s="7">
        <v>1.6870000000000001</v>
      </c>
      <c r="X5330" s="7">
        <v>8.1880000000000006</v>
      </c>
      <c r="Y5330" s="7">
        <v>5.125</v>
      </c>
      <c r="Z5330" s="4">
        <v>5</v>
      </c>
      <c r="AA5330" s="6">
        <v>2.39</v>
      </c>
      <c r="AB5330" s="2" t="s">
        <v>86</v>
      </c>
      <c r="AC5330" s="6">
        <v>22.14</v>
      </c>
    </row>
    <row r="5331" spans="1:29" ht="91" x14ac:dyDescent="0.15">
      <c r="A5331" s="3">
        <f>DATE(2000,3,4)</f>
        <v>36589</v>
      </c>
      <c r="B5331" s="3">
        <f>DATE(2000,6,1)</f>
        <v>36678</v>
      </c>
      <c r="C5331" s="2" t="s">
        <v>95</v>
      </c>
      <c r="D5331" s="2" t="s">
        <v>16464</v>
      </c>
      <c r="E5331" s="2" t="s">
        <v>36</v>
      </c>
      <c r="F5331" s="4">
        <v>6021</v>
      </c>
      <c r="G5331" s="2" t="s">
        <v>37</v>
      </c>
      <c r="H5331" s="2" t="s">
        <v>34</v>
      </c>
      <c r="I5331" s="2" t="s">
        <v>2050</v>
      </c>
      <c r="J5331" s="2" t="s">
        <v>36</v>
      </c>
      <c r="K5331" s="2" t="s">
        <v>37</v>
      </c>
      <c r="L5331" s="2" t="s">
        <v>34</v>
      </c>
      <c r="M5331" s="12">
        <v>12380.088</v>
      </c>
      <c r="N5331" s="7">
        <v>56.688000000000002</v>
      </c>
      <c r="O5331" s="7">
        <v>56.688000000000002</v>
      </c>
      <c r="P5331" s="2" t="s">
        <v>16465</v>
      </c>
      <c r="Q5331" s="6">
        <v>100</v>
      </c>
      <c r="R5331" s="6">
        <v>54</v>
      </c>
      <c r="S5331" s="5">
        <v>1.5</v>
      </c>
      <c r="T5331" s="7">
        <v>2.7549999999999999</v>
      </c>
      <c r="U5331" s="5">
        <v>19.5</v>
      </c>
      <c r="V5331" s="6">
        <v>2.12</v>
      </c>
      <c r="W5331" s="5">
        <v>20.5</v>
      </c>
      <c r="X5331" s="4">
        <v>27</v>
      </c>
      <c r="Y5331" s="4">
        <v>42</v>
      </c>
      <c r="Z5331" s="4">
        <v>42</v>
      </c>
      <c r="AA5331" s="6">
        <v>0.72</v>
      </c>
      <c r="AB5331" s="7">
        <v>20.812999999999999</v>
      </c>
      <c r="AC5331" s="2"/>
    </row>
    <row r="5332" spans="1:29" ht="260" x14ac:dyDescent="0.15">
      <c r="A5332" s="3">
        <f t="shared" ref="A5332:A5338" si="127">DATE(2000,3,6)</f>
        <v>36591</v>
      </c>
      <c r="B5332" s="3">
        <f>DATE(2000,12,18)</f>
        <v>36878</v>
      </c>
      <c r="C5332" s="2" t="s">
        <v>95</v>
      </c>
      <c r="D5332" s="2" t="s">
        <v>16466</v>
      </c>
      <c r="E5332" s="2" t="s">
        <v>16467</v>
      </c>
      <c r="F5332" s="4">
        <v>2833</v>
      </c>
      <c r="G5332" s="2" t="s">
        <v>130</v>
      </c>
      <c r="H5332" s="2" t="s">
        <v>34</v>
      </c>
      <c r="I5332" s="2" t="s">
        <v>16468</v>
      </c>
      <c r="J5332" s="2" t="s">
        <v>9118</v>
      </c>
      <c r="K5332" s="2" t="s">
        <v>130</v>
      </c>
      <c r="L5332" s="2" t="s">
        <v>34</v>
      </c>
      <c r="M5332" s="2"/>
      <c r="N5332" s="2"/>
      <c r="O5332" s="2"/>
      <c r="P5332" s="2" t="s">
        <v>16469</v>
      </c>
      <c r="Q5332" s="6">
        <v>100</v>
      </c>
      <c r="R5332" s="6">
        <v>18.75</v>
      </c>
      <c r="S5332" s="5">
        <v>18.600000000000001</v>
      </c>
      <c r="T5332" s="5">
        <v>34.799999999999997</v>
      </c>
      <c r="U5332" s="5">
        <v>3.3</v>
      </c>
      <c r="V5332" s="6">
        <v>0.76</v>
      </c>
      <c r="W5332" s="6">
        <v>28.25</v>
      </c>
      <c r="X5332" s="7">
        <v>34.313000000000002</v>
      </c>
      <c r="Y5332" s="5">
        <v>35.5</v>
      </c>
      <c r="Z5332" s="6">
        <v>30.25</v>
      </c>
      <c r="AA5332" s="6">
        <v>23</v>
      </c>
      <c r="AB5332" s="7">
        <v>13.957000000000001</v>
      </c>
      <c r="AC5332" s="2"/>
    </row>
    <row r="5333" spans="1:29" ht="234" x14ac:dyDescent="0.15">
      <c r="A5333" s="3">
        <f t="shared" si="127"/>
        <v>36591</v>
      </c>
      <c r="B5333" s="3">
        <f>DATE(2000,5,31)</f>
        <v>36677</v>
      </c>
      <c r="C5333" s="2" t="s">
        <v>95</v>
      </c>
      <c r="D5333" s="2" t="s">
        <v>16470</v>
      </c>
      <c r="E5333" s="2" t="s">
        <v>16471</v>
      </c>
      <c r="F5333" s="4">
        <v>2099</v>
      </c>
      <c r="G5333" s="2" t="s">
        <v>577</v>
      </c>
      <c r="H5333" s="2" t="s">
        <v>34</v>
      </c>
      <c r="I5333" s="2" t="s">
        <v>10463</v>
      </c>
      <c r="J5333" s="2" t="s">
        <v>10464</v>
      </c>
      <c r="K5333" s="2" t="s">
        <v>593</v>
      </c>
      <c r="L5333" s="2" t="s">
        <v>34</v>
      </c>
      <c r="M5333" s="7">
        <v>482.36099999999999</v>
      </c>
      <c r="N5333" s="7">
        <v>27.625</v>
      </c>
      <c r="O5333" s="7">
        <v>27.812999999999999</v>
      </c>
      <c r="P5333" s="2" t="s">
        <v>16472</v>
      </c>
      <c r="Q5333" s="6">
        <v>100</v>
      </c>
      <c r="R5333" s="6">
        <v>40.950000000000003</v>
      </c>
      <c r="S5333" s="5">
        <v>3.4</v>
      </c>
      <c r="T5333" s="7">
        <v>8.5169999999999995</v>
      </c>
      <c r="U5333" s="5">
        <v>7</v>
      </c>
      <c r="V5333" s="7">
        <v>0.40799999999999997</v>
      </c>
      <c r="W5333" s="4">
        <v>26</v>
      </c>
      <c r="X5333" s="5">
        <v>35.5</v>
      </c>
      <c r="Y5333" s="5">
        <v>33.5</v>
      </c>
      <c r="Z5333" s="7">
        <v>33.875</v>
      </c>
      <c r="AA5333" s="6">
        <v>8.39</v>
      </c>
      <c r="AB5333" s="7">
        <v>74.697000000000003</v>
      </c>
      <c r="AC5333" s="6">
        <v>1.06</v>
      </c>
    </row>
    <row r="5334" spans="1:29" ht="156" x14ac:dyDescent="0.15">
      <c r="A5334" s="3">
        <f t="shared" si="127"/>
        <v>36591</v>
      </c>
      <c r="B5334" s="3">
        <f>DATE(2000,4,25)</f>
        <v>36641</v>
      </c>
      <c r="C5334" s="2" t="s">
        <v>95</v>
      </c>
      <c r="D5334" s="2" t="s">
        <v>11812</v>
      </c>
      <c r="E5334" s="2" t="s">
        <v>11813</v>
      </c>
      <c r="F5334" s="4">
        <v>7375</v>
      </c>
      <c r="G5334" s="2" t="s">
        <v>223</v>
      </c>
      <c r="H5334" s="2" t="s">
        <v>34</v>
      </c>
      <c r="I5334" s="2" t="s">
        <v>15091</v>
      </c>
      <c r="J5334" s="2" t="s">
        <v>80</v>
      </c>
      <c r="K5334" s="2" t="s">
        <v>53</v>
      </c>
      <c r="L5334" s="2" t="s">
        <v>34</v>
      </c>
      <c r="M5334" s="2"/>
      <c r="N5334" s="2"/>
      <c r="O5334" s="2"/>
      <c r="P5334" s="2" t="s">
        <v>16473</v>
      </c>
      <c r="Q5334" s="6">
        <v>100</v>
      </c>
      <c r="R5334" s="6">
        <v>29</v>
      </c>
      <c r="S5334" s="5">
        <v>-3.7</v>
      </c>
      <c r="T5334" s="7">
        <v>62.741</v>
      </c>
      <c r="U5334" s="5">
        <v>3.1</v>
      </c>
      <c r="V5334" s="6">
        <v>-0.32</v>
      </c>
      <c r="W5334" s="7">
        <v>24.875</v>
      </c>
      <c r="X5334" s="4">
        <v>25</v>
      </c>
      <c r="Y5334" s="7">
        <v>28.937999999999999</v>
      </c>
      <c r="Z5334" s="7">
        <v>28.812999999999999</v>
      </c>
      <c r="AA5334" s="6">
        <v>11.96</v>
      </c>
      <c r="AB5334" s="7">
        <v>51.832999999999998</v>
      </c>
      <c r="AC5334" s="2"/>
    </row>
    <row r="5335" spans="1:29" ht="195" x14ac:dyDescent="0.15">
      <c r="A5335" s="3">
        <f t="shared" si="127"/>
        <v>36591</v>
      </c>
      <c r="B5335" s="3">
        <f>DATE(2000,9,11)</f>
        <v>36780</v>
      </c>
      <c r="C5335" s="2" t="s">
        <v>95</v>
      </c>
      <c r="D5335" s="2" t="s">
        <v>16474</v>
      </c>
      <c r="E5335" s="2" t="s">
        <v>16475</v>
      </c>
      <c r="F5335" s="4">
        <v>3999</v>
      </c>
      <c r="G5335" s="2" t="s">
        <v>112</v>
      </c>
      <c r="H5335" s="2" t="s">
        <v>34</v>
      </c>
      <c r="I5335" s="2" t="s">
        <v>16476</v>
      </c>
      <c r="J5335" s="2" t="s">
        <v>16477</v>
      </c>
      <c r="K5335" s="2" t="s">
        <v>921</v>
      </c>
      <c r="L5335" s="2" t="s">
        <v>34</v>
      </c>
      <c r="M5335" s="7">
        <v>335.315</v>
      </c>
      <c r="N5335" s="7">
        <v>16.125</v>
      </c>
      <c r="O5335" s="4">
        <v>15</v>
      </c>
      <c r="P5335" s="2" t="s">
        <v>16478</v>
      </c>
      <c r="Q5335" s="6">
        <v>100</v>
      </c>
      <c r="R5335" s="6">
        <v>6</v>
      </c>
      <c r="S5335" s="5">
        <v>3.7</v>
      </c>
      <c r="T5335" s="7">
        <v>4.391</v>
      </c>
      <c r="U5335" s="5">
        <v>0.8</v>
      </c>
      <c r="V5335" s="6">
        <v>0.27</v>
      </c>
      <c r="W5335" s="7">
        <v>3.6560000000000001</v>
      </c>
      <c r="X5335" s="7">
        <v>4.6879999999999997</v>
      </c>
      <c r="Y5335" s="9">
        <v>7.6875</v>
      </c>
      <c r="Z5335" s="9">
        <v>7.6875</v>
      </c>
      <c r="AA5335" s="6">
        <v>13.49</v>
      </c>
      <c r="AB5335" s="7">
        <v>22.954000000000001</v>
      </c>
      <c r="AC5335" s="6">
        <v>5.86</v>
      </c>
    </row>
    <row r="5336" spans="1:29" ht="273" x14ac:dyDescent="0.15">
      <c r="A5336" s="3">
        <f t="shared" si="127"/>
        <v>36591</v>
      </c>
      <c r="B5336" s="2"/>
      <c r="C5336" s="2" t="s">
        <v>30</v>
      </c>
      <c r="D5336" s="2" t="s">
        <v>8934</v>
      </c>
      <c r="E5336" s="2" t="s">
        <v>5071</v>
      </c>
      <c r="F5336" s="4">
        <v>6035</v>
      </c>
      <c r="G5336" s="2" t="s">
        <v>33</v>
      </c>
      <c r="H5336" s="2" t="s">
        <v>34</v>
      </c>
      <c r="I5336" s="2" t="s">
        <v>489</v>
      </c>
      <c r="J5336" s="2" t="s">
        <v>490</v>
      </c>
      <c r="K5336" s="2" t="s">
        <v>37</v>
      </c>
      <c r="L5336" s="2" t="s">
        <v>34</v>
      </c>
      <c r="M5336" s="12">
        <v>2102.7449999999999</v>
      </c>
      <c r="N5336" s="7">
        <v>15.375</v>
      </c>
      <c r="O5336" s="7">
        <v>14.563000000000001</v>
      </c>
      <c r="P5336" s="2" t="s">
        <v>16479</v>
      </c>
      <c r="Q5336" s="2"/>
      <c r="R5336" s="6">
        <v>17</v>
      </c>
      <c r="S5336" s="5">
        <v>245.4</v>
      </c>
      <c r="T5336" s="7">
        <v>492.74299999999999</v>
      </c>
      <c r="U5336" s="5">
        <v>13.2</v>
      </c>
      <c r="V5336" s="6">
        <v>2.16</v>
      </c>
      <c r="W5336" s="7">
        <v>17.875</v>
      </c>
      <c r="X5336" s="6">
        <v>17.75</v>
      </c>
      <c r="Y5336" s="7">
        <v>17.187999999999999</v>
      </c>
      <c r="Z5336" s="7">
        <v>16.625</v>
      </c>
      <c r="AA5336" s="6">
        <v>110.84</v>
      </c>
      <c r="AB5336" s="7">
        <v>52.186999999999998</v>
      </c>
      <c r="AC5336" s="2"/>
    </row>
    <row r="5337" spans="1:29" ht="143" x14ac:dyDescent="0.15">
      <c r="A5337" s="3">
        <f t="shared" si="127"/>
        <v>36591</v>
      </c>
      <c r="B5337" s="3">
        <f>DATE(2000,5,15)</f>
        <v>36661</v>
      </c>
      <c r="C5337" s="2" t="s">
        <v>95</v>
      </c>
      <c r="D5337" s="2" t="s">
        <v>16480</v>
      </c>
      <c r="E5337" s="2" t="s">
        <v>129</v>
      </c>
      <c r="F5337" s="4">
        <v>2834</v>
      </c>
      <c r="G5337" s="2" t="s">
        <v>130</v>
      </c>
      <c r="H5337" s="2" t="s">
        <v>34</v>
      </c>
      <c r="I5337" s="2" t="s">
        <v>7644</v>
      </c>
      <c r="J5337" s="2" t="s">
        <v>540</v>
      </c>
      <c r="K5337" s="2" t="s">
        <v>130</v>
      </c>
      <c r="L5337" s="2" t="s">
        <v>7645</v>
      </c>
      <c r="M5337" s="2"/>
      <c r="N5337" s="2"/>
      <c r="O5337" s="2"/>
      <c r="P5337" s="2" t="s">
        <v>16481</v>
      </c>
      <c r="Q5337" s="6">
        <v>100</v>
      </c>
      <c r="R5337" s="6">
        <v>15.28</v>
      </c>
      <c r="S5337" s="5">
        <v>13.1</v>
      </c>
      <c r="T5337" s="7">
        <v>12.324999999999999</v>
      </c>
      <c r="U5337" s="5">
        <v>2.2999999999999998</v>
      </c>
      <c r="V5337" s="6">
        <v>0.32</v>
      </c>
      <c r="W5337" s="6">
        <v>12.25</v>
      </c>
      <c r="X5337" s="7">
        <v>11.781000000000001</v>
      </c>
      <c r="Y5337" s="5">
        <v>11.5</v>
      </c>
      <c r="Z5337" s="5">
        <v>11.5</v>
      </c>
      <c r="AA5337" s="6">
        <v>39.159999999999997</v>
      </c>
      <c r="AB5337" s="7">
        <v>68.662999999999997</v>
      </c>
      <c r="AC5337" s="6">
        <v>865.54</v>
      </c>
    </row>
    <row r="5338" spans="1:29" ht="117" x14ac:dyDescent="0.15">
      <c r="A5338" s="3">
        <f t="shared" si="127"/>
        <v>36591</v>
      </c>
      <c r="B5338" s="3">
        <f>DATE(2000,7,17)</f>
        <v>36724</v>
      </c>
      <c r="C5338" s="2" t="s">
        <v>95</v>
      </c>
      <c r="D5338" s="2" t="s">
        <v>16482</v>
      </c>
      <c r="E5338" s="2" t="s">
        <v>781</v>
      </c>
      <c r="F5338" s="4">
        <v>7372</v>
      </c>
      <c r="G5338" s="2" t="s">
        <v>551</v>
      </c>
      <c r="H5338" s="2" t="s">
        <v>34</v>
      </c>
      <c r="I5338" s="2" t="s">
        <v>10367</v>
      </c>
      <c r="J5338" s="2" t="s">
        <v>10368</v>
      </c>
      <c r="K5338" s="2" t="s">
        <v>551</v>
      </c>
      <c r="L5338" s="2" t="s">
        <v>34</v>
      </c>
      <c r="M5338" s="12">
        <v>12606.786</v>
      </c>
      <c r="N5338" s="7">
        <v>235.625</v>
      </c>
      <c r="O5338" s="7">
        <v>222.125</v>
      </c>
      <c r="P5338" s="2" t="s">
        <v>16483</v>
      </c>
      <c r="Q5338" s="6">
        <v>100</v>
      </c>
      <c r="R5338" s="6">
        <v>43.91</v>
      </c>
      <c r="S5338" s="5">
        <v>2.9</v>
      </c>
      <c r="T5338" s="7">
        <v>5.327</v>
      </c>
      <c r="U5338" s="5">
        <v>2.7</v>
      </c>
      <c r="V5338" s="6">
        <v>0.52</v>
      </c>
      <c r="W5338" s="7">
        <v>29.625</v>
      </c>
      <c r="X5338" s="7">
        <v>31.375</v>
      </c>
      <c r="Y5338" s="4">
        <v>41</v>
      </c>
      <c r="Z5338" s="6">
        <v>39.25</v>
      </c>
      <c r="AA5338" s="6">
        <v>5</v>
      </c>
      <c r="AB5338" s="7">
        <v>70.37</v>
      </c>
      <c r="AC5338" s="5">
        <v>338.6</v>
      </c>
    </row>
    <row r="5339" spans="1:29" ht="169" x14ac:dyDescent="0.15">
      <c r="A5339" s="3">
        <f>DATE(2000,3,7)</f>
        <v>36592</v>
      </c>
      <c r="B5339" s="3">
        <f>DATE(2000,6,1)</f>
        <v>36678</v>
      </c>
      <c r="C5339" s="2" t="s">
        <v>95</v>
      </c>
      <c r="D5339" s="2" t="s">
        <v>16484</v>
      </c>
      <c r="E5339" s="2" t="s">
        <v>16485</v>
      </c>
      <c r="F5339" s="4">
        <v>7323</v>
      </c>
      <c r="G5339" s="2" t="s">
        <v>223</v>
      </c>
      <c r="H5339" s="2" t="s">
        <v>34</v>
      </c>
      <c r="I5339" s="2" t="s">
        <v>16486</v>
      </c>
      <c r="J5339" s="2" t="s">
        <v>483</v>
      </c>
      <c r="K5339" s="2" t="s">
        <v>53</v>
      </c>
      <c r="L5339" s="2" t="s">
        <v>34</v>
      </c>
      <c r="M5339" s="2"/>
      <c r="N5339" s="2"/>
      <c r="O5339" s="2"/>
      <c r="P5339" s="2" t="s">
        <v>16487</v>
      </c>
      <c r="Q5339" s="6">
        <v>100</v>
      </c>
      <c r="R5339" s="6">
        <v>100</v>
      </c>
      <c r="S5339" s="5">
        <v>19.100000000000001</v>
      </c>
      <c r="T5339" s="7">
        <v>36.247</v>
      </c>
      <c r="U5339" s="5">
        <v>7.9</v>
      </c>
      <c r="V5339" s="6">
        <v>3.85</v>
      </c>
      <c r="W5339" s="7">
        <v>79.875</v>
      </c>
      <c r="X5339" s="4">
        <v>79</v>
      </c>
      <c r="Y5339" s="7">
        <v>97.016000000000005</v>
      </c>
      <c r="Z5339" s="7">
        <v>97.813000000000002</v>
      </c>
      <c r="AA5339" s="6">
        <v>4.6500000000000004</v>
      </c>
      <c r="AB5339" s="7">
        <v>16.431999999999999</v>
      </c>
      <c r="AC5339" s="2"/>
    </row>
    <row r="5340" spans="1:29" ht="182" x14ac:dyDescent="0.15">
      <c r="A5340" s="3">
        <f>DATE(2000,3,7)</f>
        <v>36592</v>
      </c>
      <c r="B5340" s="3">
        <f>DATE(2000,6,9)</f>
        <v>36686</v>
      </c>
      <c r="C5340" s="2" t="s">
        <v>95</v>
      </c>
      <c r="D5340" s="2" t="s">
        <v>16488</v>
      </c>
      <c r="E5340" s="2" t="s">
        <v>16489</v>
      </c>
      <c r="F5340" s="4">
        <v>7375</v>
      </c>
      <c r="G5340" s="2" t="s">
        <v>223</v>
      </c>
      <c r="H5340" s="2" t="s">
        <v>34</v>
      </c>
      <c r="I5340" s="2" t="s">
        <v>16490</v>
      </c>
      <c r="J5340" s="2" t="s">
        <v>7938</v>
      </c>
      <c r="K5340" s="2" t="s">
        <v>223</v>
      </c>
      <c r="L5340" s="2" t="s">
        <v>34</v>
      </c>
      <c r="M5340" s="10">
        <v>9709.6200000000008</v>
      </c>
      <c r="N5340" s="4">
        <v>200</v>
      </c>
      <c r="O5340" s="4">
        <v>203</v>
      </c>
      <c r="P5340" s="2" t="s">
        <v>16491</v>
      </c>
      <c r="Q5340" s="6">
        <v>100</v>
      </c>
      <c r="R5340" s="6">
        <v>531.99</v>
      </c>
      <c r="S5340" s="5">
        <v>26.9</v>
      </c>
      <c r="T5340" s="7">
        <v>47.921999999999997</v>
      </c>
      <c r="U5340" s="5">
        <v>2.6</v>
      </c>
      <c r="V5340" s="6">
        <v>0.38</v>
      </c>
      <c r="W5340" s="7">
        <v>322.43799999999999</v>
      </c>
      <c r="X5340" s="7">
        <v>360.625</v>
      </c>
      <c r="Y5340" s="7">
        <v>407.39100000000002</v>
      </c>
      <c r="Z5340" s="7">
        <v>423.43799999999999</v>
      </c>
      <c r="AA5340" s="6">
        <v>36.17</v>
      </c>
      <c r="AB5340" s="7">
        <v>1053.6120000000001</v>
      </c>
      <c r="AC5340" s="6">
        <v>156.47999999999999</v>
      </c>
    </row>
    <row r="5341" spans="1:29" ht="221" x14ac:dyDescent="0.15">
      <c r="A5341" s="3">
        <f>DATE(2000,3,8)</f>
        <v>36593</v>
      </c>
      <c r="B5341" s="3">
        <f>DATE(2000,6,30)</f>
        <v>36707</v>
      </c>
      <c r="C5341" s="2" t="s">
        <v>95</v>
      </c>
      <c r="D5341" s="2" t="s">
        <v>16492</v>
      </c>
      <c r="E5341" s="2" t="s">
        <v>4317</v>
      </c>
      <c r="F5341" s="4">
        <v>3577</v>
      </c>
      <c r="G5341" s="2" t="s">
        <v>50</v>
      </c>
      <c r="H5341" s="2" t="s">
        <v>34</v>
      </c>
      <c r="I5341" s="2" t="s">
        <v>16493</v>
      </c>
      <c r="J5341" s="2" t="s">
        <v>16494</v>
      </c>
      <c r="K5341" s="2" t="s">
        <v>50</v>
      </c>
      <c r="L5341" s="2" t="s">
        <v>34</v>
      </c>
      <c r="M5341" s="7">
        <v>480.76799999999997</v>
      </c>
      <c r="N5341" s="4">
        <v>41</v>
      </c>
      <c r="O5341" s="5">
        <v>39.5</v>
      </c>
      <c r="P5341" s="2" t="s">
        <v>16495</v>
      </c>
      <c r="Q5341" s="6">
        <v>100</v>
      </c>
      <c r="R5341" s="6">
        <v>48.87</v>
      </c>
      <c r="S5341" s="5">
        <v>21.2</v>
      </c>
      <c r="T5341" s="7">
        <v>29.983000000000001</v>
      </c>
      <c r="U5341" s="5">
        <v>4.5</v>
      </c>
      <c r="V5341" s="6">
        <v>0.99</v>
      </c>
      <c r="W5341" s="6">
        <v>38.75</v>
      </c>
      <c r="X5341" s="4">
        <v>36</v>
      </c>
      <c r="Y5341" s="7">
        <v>42.125</v>
      </c>
      <c r="Z5341" s="7">
        <v>41.125</v>
      </c>
      <c r="AA5341" s="6">
        <v>20.78</v>
      </c>
      <c r="AB5341" s="7">
        <v>35.982999999999997</v>
      </c>
      <c r="AC5341" s="6">
        <v>37.090000000000003</v>
      </c>
    </row>
    <row r="5342" spans="1:29" ht="182" x14ac:dyDescent="0.15">
      <c r="A5342" s="3">
        <f>DATE(2000,3,8)</f>
        <v>36593</v>
      </c>
      <c r="B5342" s="2"/>
      <c r="C5342" s="2" t="s">
        <v>30</v>
      </c>
      <c r="D5342" s="2" t="s">
        <v>16496</v>
      </c>
      <c r="E5342" s="2" t="s">
        <v>612</v>
      </c>
      <c r="F5342" s="4">
        <v>1311</v>
      </c>
      <c r="G5342" s="2" t="s">
        <v>148</v>
      </c>
      <c r="H5342" s="2" t="s">
        <v>34</v>
      </c>
      <c r="I5342" s="2" t="s">
        <v>16497</v>
      </c>
      <c r="J5342" s="2" t="s">
        <v>1072</v>
      </c>
      <c r="K5342" s="2" t="s">
        <v>53</v>
      </c>
      <c r="L5342" s="2" t="s">
        <v>34</v>
      </c>
      <c r="M5342" s="2"/>
      <c r="N5342" s="2"/>
      <c r="O5342" s="2"/>
      <c r="P5342" s="2" t="s">
        <v>16498</v>
      </c>
      <c r="Q5342" s="2"/>
      <c r="R5342" s="6">
        <v>9.5</v>
      </c>
      <c r="S5342" s="5">
        <v>-21.8</v>
      </c>
      <c r="T5342" s="6">
        <v>23.22</v>
      </c>
      <c r="U5342" s="5">
        <v>14.5</v>
      </c>
      <c r="V5342" s="6">
        <v>-2.2000000000000002</v>
      </c>
      <c r="W5342" s="5">
        <v>6.5</v>
      </c>
      <c r="X5342" s="6">
        <v>7.75</v>
      </c>
      <c r="Y5342" s="7">
        <v>7.9379999999999997</v>
      </c>
      <c r="Z5342" s="7">
        <v>7.9379999999999997</v>
      </c>
      <c r="AA5342" s="6">
        <v>10.07</v>
      </c>
      <c r="AB5342" s="2" t="s">
        <v>86</v>
      </c>
      <c r="AC5342" s="2"/>
    </row>
    <row r="5343" spans="1:29" ht="104" x14ac:dyDescent="0.15">
      <c r="A5343" s="3">
        <f>DATE(2000,3,8)</f>
        <v>36593</v>
      </c>
      <c r="B5343" s="2"/>
      <c r="C5343" s="2" t="s">
        <v>30</v>
      </c>
      <c r="D5343" s="2" t="s">
        <v>16499</v>
      </c>
      <c r="E5343" s="2" t="s">
        <v>16500</v>
      </c>
      <c r="F5343" s="4">
        <v>7011</v>
      </c>
      <c r="G5343" s="2" t="s">
        <v>269</v>
      </c>
      <c r="H5343" s="2" t="s">
        <v>34</v>
      </c>
      <c r="I5343" s="2" t="s">
        <v>11409</v>
      </c>
      <c r="J5343" s="2" t="s">
        <v>11410</v>
      </c>
      <c r="K5343" s="2" t="s">
        <v>269</v>
      </c>
      <c r="L5343" s="2" t="s">
        <v>34</v>
      </c>
      <c r="M5343" s="2"/>
      <c r="N5343" s="2"/>
      <c r="O5343" s="2"/>
      <c r="P5343" s="2" t="s">
        <v>16501</v>
      </c>
      <c r="Q5343" s="2"/>
      <c r="R5343" s="6">
        <v>25</v>
      </c>
      <c r="S5343" s="5">
        <v>44</v>
      </c>
      <c r="T5343" s="5">
        <v>157.1</v>
      </c>
      <c r="U5343" s="5">
        <v>10.7</v>
      </c>
      <c r="V5343" s="6">
        <v>1.67</v>
      </c>
      <c r="W5343" s="7">
        <v>16.625</v>
      </c>
      <c r="X5343" s="6">
        <v>19.25</v>
      </c>
      <c r="Y5343" s="4">
        <v>21</v>
      </c>
      <c r="Z5343" s="9">
        <v>20.9375</v>
      </c>
      <c r="AA5343" s="6">
        <v>26.11</v>
      </c>
      <c r="AB5343" s="7">
        <v>11.007</v>
      </c>
      <c r="AC5343" s="6">
        <v>55.04</v>
      </c>
    </row>
    <row r="5344" spans="1:29" ht="130" x14ac:dyDescent="0.15">
      <c r="A5344" s="3">
        <f>DATE(2000,3,8)</f>
        <v>36593</v>
      </c>
      <c r="B5344" s="3">
        <f>DATE(2000,4,13)</f>
        <v>36629</v>
      </c>
      <c r="C5344" s="2" t="s">
        <v>95</v>
      </c>
      <c r="D5344" s="2" t="s">
        <v>16502</v>
      </c>
      <c r="E5344" s="2" t="s">
        <v>2945</v>
      </c>
      <c r="F5344" s="4">
        <v>5141</v>
      </c>
      <c r="G5344" s="2" t="s">
        <v>593</v>
      </c>
      <c r="H5344" s="2" t="s">
        <v>34</v>
      </c>
      <c r="I5344" s="2" t="s">
        <v>7683</v>
      </c>
      <c r="J5344" s="2" t="s">
        <v>7684</v>
      </c>
      <c r="K5344" s="2" t="s">
        <v>1461</v>
      </c>
      <c r="L5344" s="2" t="s">
        <v>2105</v>
      </c>
      <c r="M5344" s="12">
        <v>12579.706</v>
      </c>
      <c r="N5344" s="2"/>
      <c r="O5344" s="2"/>
      <c r="P5344" s="2" t="s">
        <v>16503</v>
      </c>
      <c r="Q5344" s="6">
        <v>100</v>
      </c>
      <c r="R5344" s="6">
        <v>26</v>
      </c>
      <c r="S5344" s="5">
        <v>101.2</v>
      </c>
      <c r="T5344" s="7">
        <v>288.351</v>
      </c>
      <c r="U5344" s="5">
        <v>8.6999999999999993</v>
      </c>
      <c r="V5344" s="7">
        <v>1.0049999999999999</v>
      </c>
      <c r="W5344" s="7">
        <v>16.625</v>
      </c>
      <c r="X5344" s="7">
        <v>24.375</v>
      </c>
      <c r="Y5344" s="6">
        <v>25.25</v>
      </c>
      <c r="Z5344" s="7">
        <v>25.187999999999999</v>
      </c>
      <c r="AA5344" s="6">
        <v>101.87</v>
      </c>
      <c r="AB5344" s="7">
        <v>14.864000000000001</v>
      </c>
      <c r="AC5344" s="6">
        <v>861.05</v>
      </c>
    </row>
    <row r="5345" spans="1:29" ht="169" x14ac:dyDescent="0.15">
      <c r="A5345" s="3">
        <f>DATE(2000,3,10)</f>
        <v>36595</v>
      </c>
      <c r="B5345" s="2"/>
      <c r="C5345" s="2" t="s">
        <v>30</v>
      </c>
      <c r="D5345" s="2" t="s">
        <v>16496</v>
      </c>
      <c r="E5345" s="2" t="s">
        <v>612</v>
      </c>
      <c r="F5345" s="4">
        <v>1311</v>
      </c>
      <c r="G5345" s="2" t="s">
        <v>148</v>
      </c>
      <c r="H5345" s="2" t="s">
        <v>34</v>
      </c>
      <c r="I5345" s="2" t="s">
        <v>16504</v>
      </c>
      <c r="J5345" s="2" t="s">
        <v>16505</v>
      </c>
      <c r="K5345" s="2" t="s">
        <v>148</v>
      </c>
      <c r="L5345" s="2" t="s">
        <v>34</v>
      </c>
      <c r="M5345" s="2"/>
      <c r="N5345" s="2"/>
      <c r="O5345" s="2"/>
      <c r="P5345" s="2" t="s">
        <v>16506</v>
      </c>
      <c r="Q5345" s="2"/>
      <c r="R5345" s="6">
        <v>10.5</v>
      </c>
      <c r="S5345" s="5">
        <v>-1.5</v>
      </c>
      <c r="T5345" s="7">
        <v>54.494</v>
      </c>
      <c r="U5345" s="5">
        <v>15.4</v>
      </c>
      <c r="V5345" s="6">
        <v>-0.16</v>
      </c>
      <c r="W5345" s="5">
        <v>6.5</v>
      </c>
      <c r="X5345" s="6">
        <v>7.75</v>
      </c>
      <c r="Y5345" s="7">
        <v>7.9379999999999997</v>
      </c>
      <c r="Z5345" s="7">
        <v>7.9379999999999997</v>
      </c>
      <c r="AA5345" s="6">
        <v>10.07</v>
      </c>
      <c r="AB5345" s="7">
        <v>14.002000000000001</v>
      </c>
      <c r="AC5345" s="2"/>
    </row>
    <row r="5346" spans="1:29" ht="91" x14ac:dyDescent="0.15">
      <c r="A5346" s="3">
        <f>DATE(2000,3,10)</f>
        <v>36595</v>
      </c>
      <c r="B5346" s="3">
        <f>DATE(2000,4,25)</f>
        <v>36641</v>
      </c>
      <c r="C5346" s="2" t="s">
        <v>95</v>
      </c>
      <c r="D5346" s="2" t="s">
        <v>16507</v>
      </c>
      <c r="E5346" s="2" t="s">
        <v>2800</v>
      </c>
      <c r="F5346" s="4">
        <v>6162</v>
      </c>
      <c r="G5346" s="2" t="s">
        <v>109</v>
      </c>
      <c r="H5346" s="2" t="s">
        <v>34</v>
      </c>
      <c r="I5346" s="2" t="s">
        <v>16508</v>
      </c>
      <c r="J5346" s="2" t="s">
        <v>4434</v>
      </c>
      <c r="K5346" s="2" t="s">
        <v>37</v>
      </c>
      <c r="L5346" s="2" t="s">
        <v>902</v>
      </c>
      <c r="M5346" s="2"/>
      <c r="N5346" s="2"/>
      <c r="O5346" s="2"/>
      <c r="P5346" s="2" t="s">
        <v>16509</v>
      </c>
      <c r="Q5346" s="6">
        <v>100</v>
      </c>
      <c r="R5346" s="6">
        <v>7.5</v>
      </c>
      <c r="S5346" s="5">
        <v>4.9000000000000004</v>
      </c>
      <c r="T5346" s="7">
        <v>11.746</v>
      </c>
      <c r="U5346" s="5">
        <v>2.9</v>
      </c>
      <c r="V5346" s="6">
        <v>0.35</v>
      </c>
      <c r="W5346" s="7">
        <v>4.8129999999999997</v>
      </c>
      <c r="X5346" s="4">
        <v>7</v>
      </c>
      <c r="Y5346" s="7">
        <v>7.125</v>
      </c>
      <c r="Z5346" s="7">
        <v>7.125</v>
      </c>
      <c r="AA5346" s="6">
        <v>14.63</v>
      </c>
      <c r="AB5346" s="7">
        <v>36.832999999999998</v>
      </c>
      <c r="AC5346" s="2"/>
    </row>
    <row r="5347" spans="1:29" ht="143" x14ac:dyDescent="0.15">
      <c r="A5347" s="3">
        <f>DATE(2000,3,10)</f>
        <v>36595</v>
      </c>
      <c r="B5347" s="3">
        <f>DATE(2000,4,30)</f>
        <v>36646</v>
      </c>
      <c r="C5347" s="2" t="s">
        <v>95</v>
      </c>
      <c r="D5347" s="2" t="s">
        <v>16510</v>
      </c>
      <c r="E5347" s="2" t="s">
        <v>5610</v>
      </c>
      <c r="F5347" s="4">
        <v>8243</v>
      </c>
      <c r="G5347" s="2" t="s">
        <v>415</v>
      </c>
      <c r="H5347" s="2" t="s">
        <v>34</v>
      </c>
      <c r="I5347" s="2" t="s">
        <v>5525</v>
      </c>
      <c r="J5347" s="2" t="s">
        <v>5526</v>
      </c>
      <c r="K5347" s="2" t="s">
        <v>223</v>
      </c>
      <c r="L5347" s="2" t="s">
        <v>902</v>
      </c>
      <c r="M5347" s="2"/>
      <c r="N5347" s="2"/>
      <c r="O5347" s="2"/>
      <c r="P5347" s="2" t="s">
        <v>16511</v>
      </c>
      <c r="Q5347" s="6">
        <v>100</v>
      </c>
      <c r="R5347" s="6">
        <v>9.75</v>
      </c>
      <c r="S5347" s="5">
        <v>0.4</v>
      </c>
      <c r="T5347" s="6">
        <v>6.23</v>
      </c>
      <c r="U5347" s="5">
        <v>2.2000000000000002</v>
      </c>
      <c r="V5347" s="6">
        <v>0.1</v>
      </c>
      <c r="W5347" s="5">
        <v>8.5</v>
      </c>
      <c r="X5347" s="7">
        <v>7.375</v>
      </c>
      <c r="Y5347" s="7">
        <v>9.375</v>
      </c>
      <c r="Z5347" s="7">
        <v>9.3439999999999994</v>
      </c>
      <c r="AA5347" s="6">
        <v>4.16</v>
      </c>
      <c r="AB5347" s="7">
        <v>57.716999999999999</v>
      </c>
      <c r="AC5347" s="6">
        <v>330.47</v>
      </c>
    </row>
    <row r="5348" spans="1:29" ht="39" x14ac:dyDescent="0.15">
      <c r="A5348" s="3">
        <f>DATE(2000,3,11)</f>
        <v>36596</v>
      </c>
      <c r="B5348" s="2"/>
      <c r="C5348" s="2" t="s">
        <v>189</v>
      </c>
      <c r="D5348" s="2" t="s">
        <v>11328</v>
      </c>
      <c r="E5348" s="2" t="s">
        <v>11329</v>
      </c>
      <c r="F5348" s="4">
        <v>3841</v>
      </c>
      <c r="G5348" s="2" t="s">
        <v>226</v>
      </c>
      <c r="H5348" s="2" t="s">
        <v>34</v>
      </c>
      <c r="I5348" s="2" t="s">
        <v>143</v>
      </c>
      <c r="J5348" s="2" t="s">
        <v>144</v>
      </c>
      <c r="K5348" s="2" t="s">
        <v>53</v>
      </c>
      <c r="L5348" s="2" t="s">
        <v>139</v>
      </c>
      <c r="M5348" s="2"/>
      <c r="N5348" s="2"/>
      <c r="O5348" s="2"/>
      <c r="P5348" s="2" t="s">
        <v>16512</v>
      </c>
      <c r="Q5348" s="2"/>
      <c r="R5348" s="2"/>
      <c r="S5348" s="5">
        <v>-10.4</v>
      </c>
      <c r="T5348" s="7">
        <v>-1.4239999999999999</v>
      </c>
      <c r="U5348" s="5">
        <v>0.3</v>
      </c>
      <c r="V5348" s="6">
        <v>-0.62</v>
      </c>
      <c r="W5348" s="6">
        <v>0.75</v>
      </c>
      <c r="X5348" s="4">
        <v>1</v>
      </c>
      <c r="Y5348" s="4">
        <v>1</v>
      </c>
      <c r="Z5348" s="4">
        <v>1</v>
      </c>
      <c r="AA5348" s="6">
        <v>20.52</v>
      </c>
      <c r="AB5348" s="2" t="s">
        <v>86</v>
      </c>
      <c r="AC5348" s="2"/>
    </row>
    <row r="5349" spans="1:29" ht="130" x14ac:dyDescent="0.15">
      <c r="A5349" s="3">
        <f>DATE(2000,3,13)</f>
        <v>36598</v>
      </c>
      <c r="B5349" s="3">
        <f>DATE(2000,6,12)</f>
        <v>36689</v>
      </c>
      <c r="C5349" s="2" t="s">
        <v>95</v>
      </c>
      <c r="D5349" s="2" t="s">
        <v>16129</v>
      </c>
      <c r="E5349" s="2" t="s">
        <v>781</v>
      </c>
      <c r="F5349" s="4">
        <v>7372</v>
      </c>
      <c r="G5349" s="2" t="s">
        <v>551</v>
      </c>
      <c r="H5349" s="2" t="s">
        <v>34</v>
      </c>
      <c r="I5349" s="2" t="s">
        <v>16513</v>
      </c>
      <c r="J5349" s="2" t="s">
        <v>16514</v>
      </c>
      <c r="K5349" s="2" t="s">
        <v>551</v>
      </c>
      <c r="L5349" s="2" t="s">
        <v>34</v>
      </c>
      <c r="M5349" s="10">
        <v>9995.23</v>
      </c>
      <c r="N5349" s="7">
        <v>191.18799999999999</v>
      </c>
      <c r="O5349" s="7">
        <v>169.98400000000001</v>
      </c>
      <c r="P5349" s="2" t="s">
        <v>16515</v>
      </c>
      <c r="Q5349" s="6">
        <v>100</v>
      </c>
      <c r="R5349" s="6">
        <v>114.4</v>
      </c>
      <c r="S5349" s="5">
        <v>7.8</v>
      </c>
      <c r="T5349" s="7">
        <v>7.5490000000000004</v>
      </c>
      <c r="U5349" s="5">
        <v>1.7</v>
      </c>
      <c r="V5349" s="6">
        <v>0.12</v>
      </c>
      <c r="W5349" s="6">
        <v>91.75</v>
      </c>
      <c r="X5349" s="4">
        <v>85</v>
      </c>
      <c r="Y5349" s="7">
        <v>96.813000000000002</v>
      </c>
      <c r="Z5349" s="6">
        <v>84.25</v>
      </c>
      <c r="AA5349" s="6">
        <v>57.81</v>
      </c>
      <c r="AB5349" s="7">
        <v>2136.002</v>
      </c>
      <c r="AC5349" s="6">
        <v>579.39</v>
      </c>
    </row>
    <row r="5350" spans="1:29" ht="91" x14ac:dyDescent="0.15">
      <c r="A5350" s="3">
        <f>DATE(2000,3,13)</f>
        <v>36598</v>
      </c>
      <c r="B5350" s="3">
        <f>DATE(2000,6,22)</f>
        <v>36699</v>
      </c>
      <c r="C5350" s="2" t="s">
        <v>95</v>
      </c>
      <c r="D5350" s="2" t="s">
        <v>16516</v>
      </c>
      <c r="E5350" s="2" t="s">
        <v>2692</v>
      </c>
      <c r="F5350" s="4">
        <v>1521</v>
      </c>
      <c r="G5350" s="2" t="s">
        <v>341</v>
      </c>
      <c r="H5350" s="2" t="s">
        <v>34</v>
      </c>
      <c r="I5350" s="2" t="s">
        <v>16517</v>
      </c>
      <c r="J5350" s="2" t="s">
        <v>16518</v>
      </c>
      <c r="K5350" s="2" t="s">
        <v>341</v>
      </c>
      <c r="L5350" s="2" t="s">
        <v>34</v>
      </c>
      <c r="M5350" s="7">
        <v>185.72900000000001</v>
      </c>
      <c r="N5350" s="4">
        <v>12</v>
      </c>
      <c r="O5350" s="4">
        <v>12</v>
      </c>
      <c r="P5350" s="2" t="s">
        <v>16519</v>
      </c>
      <c r="Q5350" s="6">
        <v>100</v>
      </c>
      <c r="R5350" s="6">
        <v>11.75</v>
      </c>
      <c r="S5350" s="5">
        <v>1</v>
      </c>
      <c r="T5350" s="7">
        <v>2.0259999999999998</v>
      </c>
      <c r="U5350" s="5">
        <v>6.9</v>
      </c>
      <c r="V5350" s="6">
        <v>1.26</v>
      </c>
      <c r="W5350" s="5">
        <v>5.5</v>
      </c>
      <c r="X5350" s="5">
        <v>5.5</v>
      </c>
      <c r="Y5350" s="4">
        <v>10</v>
      </c>
      <c r="Z5350" s="4">
        <v>10</v>
      </c>
      <c r="AA5350" s="6">
        <v>0.83</v>
      </c>
      <c r="AB5350" s="7">
        <v>6.1280000000000001</v>
      </c>
      <c r="AC5350" s="5">
        <v>4.3</v>
      </c>
    </row>
    <row r="5351" spans="1:29" ht="104" x14ac:dyDescent="0.15">
      <c r="A5351" s="3">
        <f>DATE(2000,3,13)</f>
        <v>36598</v>
      </c>
      <c r="B5351" s="3">
        <f>DATE(2000,9,1)</f>
        <v>36770</v>
      </c>
      <c r="C5351" s="2" t="s">
        <v>95</v>
      </c>
      <c r="D5351" s="2" t="s">
        <v>16520</v>
      </c>
      <c r="E5351" s="2" t="s">
        <v>16521</v>
      </c>
      <c r="F5351" s="4">
        <v>2892</v>
      </c>
      <c r="G5351" s="2" t="s">
        <v>98</v>
      </c>
      <c r="H5351" s="2" t="s">
        <v>34</v>
      </c>
      <c r="I5351" s="2" t="s">
        <v>16522</v>
      </c>
      <c r="J5351" s="2" t="s">
        <v>16523</v>
      </c>
      <c r="K5351" s="2" t="s">
        <v>105</v>
      </c>
      <c r="L5351" s="2" t="s">
        <v>435</v>
      </c>
      <c r="M5351" s="2"/>
      <c r="N5351" s="2"/>
      <c r="O5351" s="2"/>
      <c r="P5351" s="2" t="s">
        <v>16524</v>
      </c>
      <c r="Q5351" s="6">
        <v>100</v>
      </c>
      <c r="R5351" s="6">
        <v>10</v>
      </c>
      <c r="S5351" s="5">
        <v>-5.8</v>
      </c>
      <c r="T5351" s="7">
        <v>21.198</v>
      </c>
      <c r="U5351" s="5">
        <v>7.1</v>
      </c>
      <c r="V5351" s="6">
        <v>-0.28999999999999998</v>
      </c>
      <c r="W5351" s="7">
        <v>6.9379999999999997</v>
      </c>
      <c r="X5351" s="7">
        <v>7.0629999999999997</v>
      </c>
      <c r="Y5351" s="7">
        <v>9.625</v>
      </c>
      <c r="Z5351" s="7">
        <v>9.5630000000000006</v>
      </c>
      <c r="AA5351" s="6">
        <v>20.62</v>
      </c>
      <c r="AB5351" s="2" t="s">
        <v>86</v>
      </c>
      <c r="AC5351" s="5">
        <v>119.2</v>
      </c>
    </row>
    <row r="5352" spans="1:29" ht="169" x14ac:dyDescent="0.15">
      <c r="A5352" s="3">
        <f>DATE(2000,3,13)</f>
        <v>36598</v>
      </c>
      <c r="B5352" s="3">
        <f>DATE(2000,6,12)</f>
        <v>36689</v>
      </c>
      <c r="C5352" s="2" t="s">
        <v>95</v>
      </c>
      <c r="D5352" s="2" t="s">
        <v>16525</v>
      </c>
      <c r="E5352" s="2" t="s">
        <v>16526</v>
      </c>
      <c r="F5352" s="4">
        <v>2711</v>
      </c>
      <c r="G5352" s="2" t="s">
        <v>186</v>
      </c>
      <c r="H5352" s="2" t="s">
        <v>34</v>
      </c>
      <c r="I5352" s="2" t="s">
        <v>8202</v>
      </c>
      <c r="J5352" s="2" t="s">
        <v>4673</v>
      </c>
      <c r="K5352" s="2" t="s">
        <v>186</v>
      </c>
      <c r="L5352" s="2" t="s">
        <v>34</v>
      </c>
      <c r="M5352" s="12">
        <v>9460.8559999999998</v>
      </c>
      <c r="N5352" s="7">
        <v>30.812999999999999</v>
      </c>
      <c r="O5352" s="7">
        <v>33.438000000000002</v>
      </c>
      <c r="P5352" s="2" t="s">
        <v>16527</v>
      </c>
      <c r="Q5352" s="6">
        <v>100</v>
      </c>
      <c r="R5352" s="6">
        <v>95</v>
      </c>
      <c r="S5352" s="5">
        <v>259.10000000000002</v>
      </c>
      <c r="T5352" s="7">
        <v>615.46100000000001</v>
      </c>
      <c r="U5352" s="5">
        <v>-5.4</v>
      </c>
      <c r="V5352" s="6">
        <v>3.38</v>
      </c>
      <c r="W5352" s="7">
        <v>51.563000000000002</v>
      </c>
      <c r="X5352" s="7">
        <v>47.938000000000002</v>
      </c>
      <c r="Y5352" s="7">
        <v>85.625</v>
      </c>
      <c r="Z5352" s="6">
        <v>88.25</v>
      </c>
      <c r="AA5352" s="6">
        <v>91.21</v>
      </c>
      <c r="AB5352" s="7">
        <v>18.309999999999999</v>
      </c>
      <c r="AC5352" s="10">
        <v>1066.79</v>
      </c>
    </row>
    <row r="5353" spans="1:29" ht="195" x14ac:dyDescent="0.15">
      <c r="A5353" s="3">
        <f>DATE(2000,3,13)</f>
        <v>36598</v>
      </c>
      <c r="B5353" s="3">
        <f>DATE(2000,9,29)</f>
        <v>36798</v>
      </c>
      <c r="C5353" s="2" t="s">
        <v>95</v>
      </c>
      <c r="D5353" s="2" t="s">
        <v>16528</v>
      </c>
      <c r="E5353" s="2" t="s">
        <v>10711</v>
      </c>
      <c r="F5353" s="4">
        <v>7375</v>
      </c>
      <c r="G5353" s="2" t="s">
        <v>223</v>
      </c>
      <c r="H5353" s="2" t="s">
        <v>34</v>
      </c>
      <c r="I5353" s="2" t="s">
        <v>16529</v>
      </c>
      <c r="J5353" s="2" t="s">
        <v>16530</v>
      </c>
      <c r="K5353" s="2" t="s">
        <v>63</v>
      </c>
      <c r="L5353" s="2" t="s">
        <v>34</v>
      </c>
      <c r="M5353" s="8">
        <v>1119.5</v>
      </c>
      <c r="N5353" s="4">
        <v>49</v>
      </c>
      <c r="O5353" s="9">
        <v>49.3125</v>
      </c>
      <c r="P5353" s="2" t="s">
        <v>16531</v>
      </c>
      <c r="Q5353" s="6">
        <v>100</v>
      </c>
      <c r="R5353" s="6">
        <v>5.98</v>
      </c>
      <c r="S5353" s="5">
        <v>-22.2</v>
      </c>
      <c r="T5353" s="7">
        <v>12.693</v>
      </c>
      <c r="U5353" s="5">
        <v>2</v>
      </c>
      <c r="V5353" s="6">
        <v>-0.7</v>
      </c>
      <c r="W5353" s="7">
        <v>12.313000000000001</v>
      </c>
      <c r="X5353" s="4">
        <v>13</v>
      </c>
      <c r="Y5353" s="7">
        <v>14.625</v>
      </c>
      <c r="Z5353" s="7">
        <v>13.875</v>
      </c>
      <c r="AA5353" s="6">
        <v>31.65</v>
      </c>
      <c r="AB5353" s="2" t="s">
        <v>86</v>
      </c>
      <c r="AC5353" s="6">
        <v>912.41</v>
      </c>
    </row>
    <row r="5354" spans="1:29" ht="208" x14ac:dyDescent="0.15">
      <c r="A5354" s="3">
        <f>DATE(2000,3,14)</f>
        <v>36599</v>
      </c>
      <c r="B5354" s="3">
        <f>DATE(2000,5,25)</f>
        <v>36671</v>
      </c>
      <c r="C5354" s="2" t="s">
        <v>95</v>
      </c>
      <c r="D5354" s="2" t="s">
        <v>15704</v>
      </c>
      <c r="E5354" s="2" t="s">
        <v>15705</v>
      </c>
      <c r="F5354" s="4">
        <v>3764</v>
      </c>
      <c r="G5354" s="2" t="s">
        <v>219</v>
      </c>
      <c r="H5354" s="2" t="s">
        <v>34</v>
      </c>
      <c r="I5354" s="2" t="s">
        <v>15095</v>
      </c>
      <c r="J5354" s="2" t="s">
        <v>15096</v>
      </c>
      <c r="K5354" s="2" t="s">
        <v>163</v>
      </c>
      <c r="L5354" s="2" t="s">
        <v>34</v>
      </c>
      <c r="M5354" s="12">
        <v>27472.056</v>
      </c>
      <c r="N5354" s="6">
        <v>61.25</v>
      </c>
      <c r="O5354" s="7">
        <v>64.063000000000002</v>
      </c>
      <c r="P5354" s="2" t="s">
        <v>16532</v>
      </c>
      <c r="Q5354" s="6">
        <v>100</v>
      </c>
      <c r="R5354" s="6">
        <v>57</v>
      </c>
      <c r="S5354" s="5">
        <v>164.4</v>
      </c>
      <c r="T5354" s="5">
        <v>438.2</v>
      </c>
      <c r="U5354" s="5">
        <v>22.2</v>
      </c>
      <c r="V5354" s="6">
        <v>4.3899999999999997</v>
      </c>
      <c r="W5354" s="6">
        <v>29.75</v>
      </c>
      <c r="X5354" s="7">
        <v>29.562999999999999</v>
      </c>
      <c r="Y5354" s="7">
        <v>55.063000000000002</v>
      </c>
      <c r="Z5354" s="5">
        <v>55.5</v>
      </c>
      <c r="AA5354" s="6">
        <v>36.71</v>
      </c>
      <c r="AB5354" s="7">
        <v>8.5719999999999992</v>
      </c>
      <c r="AC5354" s="5">
        <v>314</v>
      </c>
    </row>
    <row r="5355" spans="1:29" ht="52" x14ac:dyDescent="0.15">
      <c r="A5355" s="3">
        <f>DATE(2000,3,14)</f>
        <v>36599</v>
      </c>
      <c r="B5355" s="3">
        <f>DATE(2000,7,5)</f>
        <v>36712</v>
      </c>
      <c r="C5355" s="2" t="s">
        <v>95</v>
      </c>
      <c r="D5355" s="2" t="s">
        <v>6648</v>
      </c>
      <c r="E5355" s="2" t="s">
        <v>6649</v>
      </c>
      <c r="F5355" s="4">
        <v>6351</v>
      </c>
      <c r="G5355" s="2" t="s">
        <v>125</v>
      </c>
      <c r="H5355" s="2" t="s">
        <v>34</v>
      </c>
      <c r="I5355" s="2" t="s">
        <v>16533</v>
      </c>
      <c r="J5355" s="2" t="s">
        <v>16534</v>
      </c>
      <c r="K5355" s="2" t="s">
        <v>37</v>
      </c>
      <c r="L5355" s="2" t="s">
        <v>926</v>
      </c>
      <c r="M5355" s="2"/>
      <c r="N5355" s="2"/>
      <c r="O5355" s="2"/>
      <c r="P5355" s="2" t="s">
        <v>16535</v>
      </c>
      <c r="Q5355" s="6">
        <v>100</v>
      </c>
      <c r="R5355" s="6">
        <v>76</v>
      </c>
      <c r="S5355" s="5">
        <v>125.4</v>
      </c>
      <c r="T5355" s="2"/>
      <c r="U5355" s="5">
        <v>39.700000000000003</v>
      </c>
      <c r="V5355" s="6">
        <v>3.89</v>
      </c>
      <c r="W5355" s="7">
        <v>44.938000000000002</v>
      </c>
      <c r="X5355" s="7">
        <v>57.688000000000002</v>
      </c>
      <c r="Y5355" s="7">
        <v>71.688000000000002</v>
      </c>
      <c r="Z5355" s="7">
        <v>72.063000000000002</v>
      </c>
      <c r="AA5355" s="6">
        <v>31.53</v>
      </c>
      <c r="AB5355" s="7">
        <v>15.675000000000001</v>
      </c>
      <c r="AC5355" s="2"/>
    </row>
    <row r="5356" spans="1:29" ht="234" x14ac:dyDescent="0.15">
      <c r="A5356" s="3">
        <f>DATE(2000,3,14)</f>
        <v>36599</v>
      </c>
      <c r="B5356" s="3">
        <f>DATE(2000,6,20)</f>
        <v>36697</v>
      </c>
      <c r="C5356" s="2" t="s">
        <v>95</v>
      </c>
      <c r="D5356" s="2" t="s">
        <v>15702</v>
      </c>
      <c r="E5356" s="2" t="s">
        <v>15703</v>
      </c>
      <c r="F5356" s="4">
        <v>3724</v>
      </c>
      <c r="G5356" s="2" t="s">
        <v>219</v>
      </c>
      <c r="H5356" s="2" t="s">
        <v>34</v>
      </c>
      <c r="I5356" s="2" t="s">
        <v>15095</v>
      </c>
      <c r="J5356" s="2" t="s">
        <v>15096</v>
      </c>
      <c r="K5356" s="2" t="s">
        <v>163</v>
      </c>
      <c r="L5356" s="2" t="s">
        <v>34</v>
      </c>
      <c r="M5356" s="12">
        <v>27472.056</v>
      </c>
      <c r="N5356" s="6">
        <v>61.25</v>
      </c>
      <c r="O5356" s="7">
        <v>64.063000000000002</v>
      </c>
      <c r="P5356" s="2" t="s">
        <v>16536</v>
      </c>
      <c r="Q5356" s="6">
        <v>18.89</v>
      </c>
      <c r="R5356" s="6">
        <v>21</v>
      </c>
      <c r="S5356" s="5">
        <v>132</v>
      </c>
      <c r="T5356" s="5">
        <v>272.5</v>
      </c>
      <c r="U5356" s="5">
        <v>5.3</v>
      </c>
      <c r="V5356" s="6">
        <v>1.32</v>
      </c>
      <c r="W5356" s="7">
        <v>18.625</v>
      </c>
      <c r="X5356" s="5">
        <v>18.5</v>
      </c>
      <c r="Y5356" s="4">
        <v>20</v>
      </c>
      <c r="Z5356" s="4">
        <v>20</v>
      </c>
      <c r="AA5356" s="6">
        <v>100.03</v>
      </c>
      <c r="AB5356" s="7">
        <v>10.552</v>
      </c>
      <c r="AC5356" s="5">
        <v>289</v>
      </c>
    </row>
    <row r="5357" spans="1:29" ht="65" x14ac:dyDescent="0.15">
      <c r="A5357" s="3">
        <f>DATE(2000,3,14)</f>
        <v>36599</v>
      </c>
      <c r="B5357" s="3">
        <f>DATE(2000,6,1)</f>
        <v>36678</v>
      </c>
      <c r="C5357" s="2" t="s">
        <v>95</v>
      </c>
      <c r="D5357" s="2" t="s">
        <v>16537</v>
      </c>
      <c r="E5357" s="2" t="s">
        <v>16538</v>
      </c>
      <c r="F5357" s="4">
        <v>3542</v>
      </c>
      <c r="G5357" s="2" t="s">
        <v>300</v>
      </c>
      <c r="H5357" s="2" t="s">
        <v>34</v>
      </c>
      <c r="I5357" s="2" t="s">
        <v>16539</v>
      </c>
      <c r="J5357" s="2" t="s">
        <v>16540</v>
      </c>
      <c r="K5357" s="2" t="s">
        <v>300</v>
      </c>
      <c r="L5357" s="2" t="s">
        <v>34</v>
      </c>
      <c r="M5357" s="5">
        <v>150.1</v>
      </c>
      <c r="N5357" s="4">
        <v>16</v>
      </c>
      <c r="O5357" s="4">
        <v>16</v>
      </c>
      <c r="P5357" s="2" t="s">
        <v>16541</v>
      </c>
      <c r="Q5357" s="6">
        <v>100</v>
      </c>
      <c r="R5357" s="6">
        <v>7.1</v>
      </c>
      <c r="S5357" s="5">
        <v>2.4</v>
      </c>
      <c r="T5357" s="7">
        <v>6.8339999999999996</v>
      </c>
      <c r="U5357" s="5">
        <v>2.4</v>
      </c>
      <c r="V5357" s="6">
        <v>0.55000000000000004</v>
      </c>
      <c r="W5357" s="4">
        <v>6</v>
      </c>
      <c r="X5357" s="7">
        <v>6.125</v>
      </c>
      <c r="Y5357" s="7">
        <v>6.5940000000000003</v>
      </c>
      <c r="Z5357" s="7">
        <v>6.625</v>
      </c>
      <c r="AA5357" s="6">
        <v>4.38</v>
      </c>
      <c r="AB5357" s="7">
        <v>7.8780000000000001</v>
      </c>
      <c r="AC5357" s="6">
        <v>4.47</v>
      </c>
    </row>
    <row r="5358" spans="1:29" ht="117" x14ac:dyDescent="0.15">
      <c r="A5358" s="3">
        <f>DATE(2000,3,15)</f>
        <v>36600</v>
      </c>
      <c r="B5358" s="3">
        <f>DATE(2000,8,24)</f>
        <v>36762</v>
      </c>
      <c r="C5358" s="2" t="s">
        <v>95</v>
      </c>
      <c r="D5358" s="2" t="s">
        <v>16542</v>
      </c>
      <c r="E5358" s="2" t="s">
        <v>2855</v>
      </c>
      <c r="F5358" s="4">
        <v>6021</v>
      </c>
      <c r="G5358" s="2" t="s">
        <v>37</v>
      </c>
      <c r="H5358" s="2" t="s">
        <v>34</v>
      </c>
      <c r="I5358" s="2" t="s">
        <v>16543</v>
      </c>
      <c r="J5358" s="2" t="s">
        <v>36</v>
      </c>
      <c r="K5358" s="2" t="s">
        <v>37</v>
      </c>
      <c r="L5358" s="2" t="s">
        <v>34</v>
      </c>
      <c r="M5358" s="7">
        <v>904.88499999999999</v>
      </c>
      <c r="N5358" s="7">
        <v>22.812999999999999</v>
      </c>
      <c r="O5358" s="5">
        <v>25.5</v>
      </c>
      <c r="P5358" s="2" t="s">
        <v>16544</v>
      </c>
      <c r="Q5358" s="6">
        <v>100</v>
      </c>
      <c r="R5358" s="6">
        <v>19.37</v>
      </c>
      <c r="S5358" s="5">
        <v>1</v>
      </c>
      <c r="T5358" s="7">
        <v>1.9179999999999999</v>
      </c>
      <c r="U5358" s="5">
        <v>10.7</v>
      </c>
      <c r="V5358" s="6">
        <v>1.1499999999999999</v>
      </c>
      <c r="W5358" s="6">
        <v>11.25</v>
      </c>
      <c r="X5358" s="6">
        <v>11.25</v>
      </c>
      <c r="Y5358" s="4">
        <v>12</v>
      </c>
      <c r="Z5358" s="5">
        <v>20.5</v>
      </c>
      <c r="AA5358" s="6">
        <v>0.83</v>
      </c>
      <c r="AB5358" s="7">
        <v>56.253999999999998</v>
      </c>
      <c r="AC5358" s="2"/>
    </row>
    <row r="5359" spans="1:29" ht="143" x14ac:dyDescent="0.15">
      <c r="A5359" s="3">
        <f>DATE(2000,3,15)</f>
        <v>36600</v>
      </c>
      <c r="B5359" s="3">
        <f>DATE(2000,7,31)</f>
        <v>36738</v>
      </c>
      <c r="C5359" s="2" t="s">
        <v>95</v>
      </c>
      <c r="D5359" s="2" t="s">
        <v>16545</v>
      </c>
      <c r="E5359" s="2" t="s">
        <v>16546</v>
      </c>
      <c r="F5359" s="4">
        <v>7371</v>
      </c>
      <c r="G5359" s="2" t="s">
        <v>223</v>
      </c>
      <c r="H5359" s="2" t="s">
        <v>34</v>
      </c>
      <c r="I5359" s="2" t="s">
        <v>16547</v>
      </c>
      <c r="J5359" s="2" t="s">
        <v>1361</v>
      </c>
      <c r="K5359" s="2" t="s">
        <v>223</v>
      </c>
      <c r="L5359" s="2" t="s">
        <v>303</v>
      </c>
      <c r="M5359" s="2"/>
      <c r="N5359" s="2"/>
      <c r="O5359" s="2"/>
      <c r="P5359" s="2" t="s">
        <v>16548</v>
      </c>
      <c r="Q5359" s="6">
        <v>100</v>
      </c>
      <c r="R5359" s="6">
        <v>69.510000000000005</v>
      </c>
      <c r="S5359" s="5">
        <v>38.4</v>
      </c>
      <c r="T5359" s="7">
        <v>70.694999999999993</v>
      </c>
      <c r="U5359" s="5">
        <v>3.6</v>
      </c>
      <c r="V5359" s="6">
        <v>0.65</v>
      </c>
      <c r="W5359" s="7">
        <v>41.688000000000002</v>
      </c>
      <c r="X5359" s="7">
        <v>39.625</v>
      </c>
      <c r="Y5359" s="4">
        <v>52</v>
      </c>
      <c r="Z5359" s="4">
        <v>53</v>
      </c>
      <c r="AA5359" s="6">
        <v>57.95</v>
      </c>
      <c r="AB5359" s="7">
        <v>69.242000000000004</v>
      </c>
      <c r="AC5359" s="2"/>
    </row>
    <row r="5360" spans="1:29" ht="78" x14ac:dyDescent="0.15">
      <c r="A5360" s="3">
        <f>DATE(2000,3,15)</f>
        <v>36600</v>
      </c>
      <c r="B5360" s="3">
        <f>DATE(2000,9,22)</f>
        <v>36791</v>
      </c>
      <c r="C5360" s="2" t="s">
        <v>95</v>
      </c>
      <c r="D5360" s="2" t="s">
        <v>16549</v>
      </c>
      <c r="E5360" s="2" t="s">
        <v>2568</v>
      </c>
      <c r="F5360" s="4">
        <v>8093</v>
      </c>
      <c r="G5360" s="2" t="s">
        <v>454</v>
      </c>
      <c r="H5360" s="2" t="s">
        <v>34</v>
      </c>
      <c r="I5360" s="2" t="s">
        <v>16550</v>
      </c>
      <c r="J5360" s="2" t="s">
        <v>2568</v>
      </c>
      <c r="K5360" s="2" t="s">
        <v>454</v>
      </c>
      <c r="L5360" s="2" t="s">
        <v>34</v>
      </c>
      <c r="M5360" s="2"/>
      <c r="N5360" s="2"/>
      <c r="O5360" s="2"/>
      <c r="P5360" s="2" t="s">
        <v>16551</v>
      </c>
      <c r="Q5360" s="6">
        <v>100</v>
      </c>
      <c r="R5360" s="2"/>
      <c r="S5360" s="5">
        <v>-0.2</v>
      </c>
      <c r="T5360" s="7">
        <v>4.8010000000000002</v>
      </c>
      <c r="U5360" s="5">
        <v>-1</v>
      </c>
      <c r="V5360" s="6">
        <v>-0.04</v>
      </c>
      <c r="W5360" s="6">
        <v>11.25</v>
      </c>
      <c r="X5360" s="6">
        <v>11.25</v>
      </c>
      <c r="Y5360" s="7">
        <v>0.79700000000000004</v>
      </c>
      <c r="Z5360" s="7">
        <v>1.125</v>
      </c>
      <c r="AA5360" s="6">
        <v>5.98</v>
      </c>
      <c r="AB5360" s="7">
        <v>8.4990000000000006</v>
      </c>
      <c r="AC5360" s="2"/>
    </row>
    <row r="5361" spans="1:29" ht="78" x14ac:dyDescent="0.15">
      <c r="A5361" s="3">
        <f>DATE(2000,3,15)</f>
        <v>36600</v>
      </c>
      <c r="B5361" s="3">
        <f>DATE(2000,7,31)</f>
        <v>36738</v>
      </c>
      <c r="C5361" s="2" t="s">
        <v>95</v>
      </c>
      <c r="D5361" s="2" t="s">
        <v>16552</v>
      </c>
      <c r="E5361" s="2" t="s">
        <v>16553</v>
      </c>
      <c r="F5361" s="4">
        <v>6036</v>
      </c>
      <c r="G5361" s="2" t="s">
        <v>33</v>
      </c>
      <c r="H5361" s="2" t="s">
        <v>34</v>
      </c>
      <c r="I5361" s="2" t="s">
        <v>12561</v>
      </c>
      <c r="J5361" s="2" t="s">
        <v>36</v>
      </c>
      <c r="K5361" s="2" t="s">
        <v>33</v>
      </c>
      <c r="L5361" s="2" t="s">
        <v>34</v>
      </c>
      <c r="M5361" s="7">
        <v>519.57799999999997</v>
      </c>
      <c r="N5361" s="4">
        <v>17</v>
      </c>
      <c r="O5361" s="4">
        <v>17</v>
      </c>
      <c r="P5361" s="2" t="s">
        <v>16554</v>
      </c>
      <c r="Q5361" s="6">
        <v>100</v>
      </c>
      <c r="R5361" s="6">
        <v>20</v>
      </c>
      <c r="S5361" s="5">
        <v>0.9</v>
      </c>
      <c r="T5361" s="7">
        <v>4.399</v>
      </c>
      <c r="U5361" s="5">
        <v>15.9</v>
      </c>
      <c r="V5361" s="7">
        <v>0.26700000000000002</v>
      </c>
      <c r="W5361" s="7">
        <v>16.687999999999999</v>
      </c>
      <c r="X5361" s="7">
        <v>16.875</v>
      </c>
      <c r="Y5361" s="7">
        <v>16.687999999999999</v>
      </c>
      <c r="Z5361" s="4">
        <v>19</v>
      </c>
      <c r="AA5361" s="6">
        <v>3.6</v>
      </c>
      <c r="AB5361" s="7">
        <v>26.454000000000001</v>
      </c>
      <c r="AC5361" s="2"/>
    </row>
    <row r="5362" spans="1:29" ht="117" x14ac:dyDescent="0.15">
      <c r="A5362" s="3">
        <f>DATE(2000,3,16)</f>
        <v>36601</v>
      </c>
      <c r="B5362" s="3">
        <f>DATE(2000,6,28)</f>
        <v>36705</v>
      </c>
      <c r="C5362" s="2" t="s">
        <v>95</v>
      </c>
      <c r="D5362" s="2" t="s">
        <v>16555</v>
      </c>
      <c r="E5362" s="2" t="s">
        <v>16556</v>
      </c>
      <c r="F5362" s="4">
        <v>3533</v>
      </c>
      <c r="G5362" s="2" t="s">
        <v>300</v>
      </c>
      <c r="H5362" s="2" t="s">
        <v>34</v>
      </c>
      <c r="I5362" s="2" t="s">
        <v>16557</v>
      </c>
      <c r="J5362" s="2" t="s">
        <v>16558</v>
      </c>
      <c r="K5362" s="2" t="s">
        <v>300</v>
      </c>
      <c r="L5362" s="2" t="s">
        <v>34</v>
      </c>
      <c r="M5362" s="12">
        <v>1329.0619999999999</v>
      </c>
      <c r="N5362" s="5">
        <v>26.5</v>
      </c>
      <c r="O5362" s="7">
        <v>26.125</v>
      </c>
      <c r="P5362" s="2" t="s">
        <v>16559</v>
      </c>
      <c r="Q5362" s="6">
        <v>100</v>
      </c>
      <c r="R5362" s="6">
        <v>8.0399999999999991</v>
      </c>
      <c r="S5362" s="5">
        <v>-10.9</v>
      </c>
      <c r="T5362" s="7">
        <v>-12.474</v>
      </c>
      <c r="U5362" s="5">
        <v>5</v>
      </c>
      <c r="V5362" s="6">
        <v>-0.27</v>
      </c>
      <c r="W5362" s="7">
        <v>5.9379999999999997</v>
      </c>
      <c r="X5362" s="6">
        <v>5.75</v>
      </c>
      <c r="Y5362" s="7">
        <v>7.875</v>
      </c>
      <c r="Z5362" s="7">
        <v>7.8129999999999997</v>
      </c>
      <c r="AA5362" s="6">
        <v>39.9</v>
      </c>
      <c r="AB5362" s="2" t="s">
        <v>86</v>
      </c>
      <c r="AC5362" s="5">
        <v>12.4</v>
      </c>
    </row>
    <row r="5363" spans="1:29" ht="104" x14ac:dyDescent="0.15">
      <c r="A5363" s="3">
        <f>DATE(2000,3,16)</f>
        <v>36601</v>
      </c>
      <c r="B5363" s="3">
        <f>DATE(2000,6,30)</f>
        <v>36707</v>
      </c>
      <c r="C5363" s="2" t="s">
        <v>95</v>
      </c>
      <c r="D5363" s="2" t="s">
        <v>16560</v>
      </c>
      <c r="E5363" s="2" t="s">
        <v>11173</v>
      </c>
      <c r="F5363" s="4">
        <v>7372</v>
      </c>
      <c r="G5363" s="2" t="s">
        <v>551</v>
      </c>
      <c r="H5363" s="2" t="s">
        <v>34</v>
      </c>
      <c r="I5363" s="2" t="s">
        <v>16561</v>
      </c>
      <c r="J5363" s="2" t="s">
        <v>5104</v>
      </c>
      <c r="K5363" s="2" t="s">
        <v>551</v>
      </c>
      <c r="L5363" s="2" t="s">
        <v>34</v>
      </c>
      <c r="M5363" s="12">
        <v>1295.7270000000001</v>
      </c>
      <c r="N5363" s="7">
        <v>47.625</v>
      </c>
      <c r="O5363" s="6">
        <v>46.25</v>
      </c>
      <c r="P5363" s="2" t="s">
        <v>16562</v>
      </c>
      <c r="Q5363" s="6">
        <v>100</v>
      </c>
      <c r="R5363" s="6">
        <v>8.2799999999999994</v>
      </c>
      <c r="S5363" s="5">
        <v>-12.7</v>
      </c>
      <c r="T5363" s="7">
        <v>-10.747999999999999</v>
      </c>
      <c r="U5363" s="5">
        <v>1.9</v>
      </c>
      <c r="V5363" s="6">
        <v>-1.7</v>
      </c>
      <c r="W5363" s="4">
        <v>10</v>
      </c>
      <c r="X5363" s="6">
        <v>10.25</v>
      </c>
      <c r="Y5363" s="7">
        <v>7.9379999999999997</v>
      </c>
      <c r="Z5363" s="7">
        <v>7.375</v>
      </c>
      <c r="AA5363" s="6">
        <v>7.72</v>
      </c>
      <c r="AB5363" s="2" t="s">
        <v>86</v>
      </c>
      <c r="AC5363" s="2"/>
    </row>
    <row r="5364" spans="1:29" ht="143" x14ac:dyDescent="0.15">
      <c r="A5364" s="3">
        <f>DATE(2000,3,17)</f>
        <v>36602</v>
      </c>
      <c r="B5364" s="2"/>
      <c r="C5364" s="2" t="s">
        <v>30</v>
      </c>
      <c r="D5364" s="2" t="s">
        <v>16563</v>
      </c>
      <c r="E5364" s="2" t="s">
        <v>12851</v>
      </c>
      <c r="F5364" s="4">
        <v>7359</v>
      </c>
      <c r="G5364" s="2" t="s">
        <v>223</v>
      </c>
      <c r="H5364" s="2" t="s">
        <v>34</v>
      </c>
      <c r="I5364" s="2" t="s">
        <v>51</v>
      </c>
      <c r="J5364" s="2" t="s">
        <v>52</v>
      </c>
      <c r="K5364" s="2" t="s">
        <v>53</v>
      </c>
      <c r="L5364" s="2" t="s">
        <v>34</v>
      </c>
      <c r="M5364" s="2"/>
      <c r="N5364" s="2"/>
      <c r="O5364" s="2"/>
      <c r="P5364" s="2" t="s">
        <v>16564</v>
      </c>
      <c r="Q5364" s="2"/>
      <c r="R5364" s="6">
        <v>9</v>
      </c>
      <c r="S5364" s="5">
        <v>4.9000000000000004</v>
      </c>
      <c r="T5364" s="6">
        <v>78.22</v>
      </c>
      <c r="U5364" s="5">
        <v>2.8</v>
      </c>
      <c r="V5364" s="6">
        <v>0.22</v>
      </c>
      <c r="W5364" s="7">
        <v>6.6879999999999997</v>
      </c>
      <c r="X5364" s="7">
        <v>8.1880000000000006</v>
      </c>
      <c r="Y5364" s="9">
        <v>8.9375</v>
      </c>
      <c r="Z5364" s="6">
        <v>7.25</v>
      </c>
      <c r="AA5364" s="6">
        <v>21.17</v>
      </c>
      <c r="AB5364" s="7">
        <v>43.704999999999998</v>
      </c>
      <c r="AC5364" s="2"/>
    </row>
    <row r="5365" spans="1:29" ht="221" x14ac:dyDescent="0.15">
      <c r="A5365" s="3">
        <f>DATE(2000,3,17)</f>
        <v>36602</v>
      </c>
      <c r="B5365" s="2"/>
      <c r="C5365" s="2" t="s">
        <v>30</v>
      </c>
      <c r="D5365" s="2" t="s">
        <v>16565</v>
      </c>
      <c r="E5365" s="2" t="s">
        <v>16566</v>
      </c>
      <c r="F5365" s="4">
        <v>3851</v>
      </c>
      <c r="G5365" s="2" t="s">
        <v>226</v>
      </c>
      <c r="H5365" s="2" t="s">
        <v>34</v>
      </c>
      <c r="I5365" s="2" t="s">
        <v>16567</v>
      </c>
      <c r="J5365" s="2" t="s">
        <v>16568</v>
      </c>
      <c r="K5365" s="2" t="s">
        <v>226</v>
      </c>
      <c r="L5365" s="2" t="s">
        <v>34</v>
      </c>
      <c r="M5365" s="6">
        <v>435.18</v>
      </c>
      <c r="N5365" s="4">
        <v>25</v>
      </c>
      <c r="O5365" s="7">
        <v>22.937999999999999</v>
      </c>
      <c r="P5365" s="2" t="s">
        <v>16569</v>
      </c>
      <c r="Q5365" s="2"/>
      <c r="R5365" s="6">
        <v>18.03</v>
      </c>
      <c r="S5365" s="5">
        <v>36.4</v>
      </c>
      <c r="T5365" s="5">
        <v>54.4</v>
      </c>
      <c r="U5365" s="5">
        <v>8</v>
      </c>
      <c r="V5365" s="6">
        <v>1.55</v>
      </c>
      <c r="W5365" s="7">
        <v>17.125</v>
      </c>
      <c r="X5365" s="7">
        <v>16.312999999999999</v>
      </c>
      <c r="Y5365" s="7">
        <v>16.937999999999999</v>
      </c>
      <c r="Z5365" s="7">
        <v>16.375</v>
      </c>
      <c r="AA5365" s="6">
        <v>22.92</v>
      </c>
      <c r="AB5365" s="7">
        <v>9.202</v>
      </c>
      <c r="AC5365" s="5">
        <v>8.9</v>
      </c>
    </row>
    <row r="5366" spans="1:29" ht="195" x14ac:dyDescent="0.15">
      <c r="A5366" s="3">
        <f>DATE(2000,3,17)</f>
        <v>36602</v>
      </c>
      <c r="B5366" s="3">
        <f>DATE(2000,9,15)</f>
        <v>36784</v>
      </c>
      <c r="C5366" s="2" t="s">
        <v>95</v>
      </c>
      <c r="D5366" s="2" t="s">
        <v>16570</v>
      </c>
      <c r="E5366" s="2" t="s">
        <v>612</v>
      </c>
      <c r="F5366" s="4">
        <v>1311</v>
      </c>
      <c r="G5366" s="2" t="s">
        <v>148</v>
      </c>
      <c r="H5366" s="2" t="s">
        <v>34</v>
      </c>
      <c r="I5366" s="2" t="s">
        <v>14115</v>
      </c>
      <c r="J5366" s="2" t="s">
        <v>12729</v>
      </c>
      <c r="K5366" s="2" t="s">
        <v>148</v>
      </c>
      <c r="L5366" s="2" t="s">
        <v>303</v>
      </c>
      <c r="M5366" s="12">
        <v>151605.19399999999</v>
      </c>
      <c r="N5366" s="7">
        <v>8.7189999999999994</v>
      </c>
      <c r="O5366" s="7">
        <v>8.5129999999999999</v>
      </c>
      <c r="P5366" s="2" t="s">
        <v>16571</v>
      </c>
      <c r="Q5366" s="6">
        <v>19.93</v>
      </c>
      <c r="R5366" s="6">
        <v>83</v>
      </c>
      <c r="S5366" s="5">
        <v>271.5</v>
      </c>
      <c r="T5366" s="5">
        <v>751.9</v>
      </c>
      <c r="U5366" s="5">
        <v>9</v>
      </c>
      <c r="V5366" s="6">
        <v>2.75</v>
      </c>
      <c r="W5366" s="5">
        <v>61.5</v>
      </c>
      <c r="X5366" s="7">
        <v>71.438000000000002</v>
      </c>
      <c r="Y5366" s="7">
        <v>71.625</v>
      </c>
      <c r="Z5366" s="7">
        <v>71.188000000000002</v>
      </c>
      <c r="AA5366" s="6">
        <v>97.65</v>
      </c>
      <c r="AB5366" s="7">
        <v>28.635999999999999</v>
      </c>
      <c r="AC5366" s="6">
        <v>736.21</v>
      </c>
    </row>
    <row r="5367" spans="1:29" ht="182" x14ac:dyDescent="0.15">
      <c r="A5367" s="3">
        <f>DATE(2000,3,19)</f>
        <v>36604</v>
      </c>
      <c r="B5367" s="2"/>
      <c r="C5367" s="2" t="s">
        <v>30</v>
      </c>
      <c r="D5367" s="2" t="s">
        <v>16517</v>
      </c>
      <c r="E5367" s="2" t="s">
        <v>16518</v>
      </c>
      <c r="F5367" s="4">
        <v>1521</v>
      </c>
      <c r="G5367" s="2" t="s">
        <v>341</v>
      </c>
      <c r="H5367" s="2" t="s">
        <v>34</v>
      </c>
      <c r="I5367" s="2" t="s">
        <v>16572</v>
      </c>
      <c r="J5367" s="2" t="s">
        <v>16573</v>
      </c>
      <c r="K5367" s="2" t="s">
        <v>105</v>
      </c>
      <c r="L5367" s="2" t="s">
        <v>34</v>
      </c>
      <c r="M5367" s="7">
        <v>309.447</v>
      </c>
      <c r="N5367" s="4">
        <v>24</v>
      </c>
      <c r="O5367" s="4">
        <v>24</v>
      </c>
      <c r="P5367" s="2" t="s">
        <v>16574</v>
      </c>
      <c r="Q5367" s="2"/>
      <c r="R5367" s="6">
        <v>18</v>
      </c>
      <c r="S5367" s="5">
        <v>26.3</v>
      </c>
      <c r="T5367" s="7">
        <v>46.488</v>
      </c>
      <c r="U5367" s="5">
        <v>10.3</v>
      </c>
      <c r="V5367" s="6">
        <v>1.63</v>
      </c>
      <c r="W5367" s="7">
        <v>12.125</v>
      </c>
      <c r="X5367" s="7">
        <v>13.688000000000001</v>
      </c>
      <c r="Y5367" s="7">
        <v>13.563000000000001</v>
      </c>
      <c r="Z5367" s="7">
        <v>13.563000000000001</v>
      </c>
      <c r="AA5367" s="6">
        <v>15.56</v>
      </c>
      <c r="AB5367" s="7">
        <v>9.5830000000000002</v>
      </c>
      <c r="AC5367" s="5">
        <v>68.900000000000006</v>
      </c>
    </row>
    <row r="5368" spans="1:29" ht="39" x14ac:dyDescent="0.15">
      <c r="A5368" s="3">
        <f>DATE(2000,3,20)</f>
        <v>36605</v>
      </c>
      <c r="B5368" s="2"/>
      <c r="C5368" s="2" t="s">
        <v>87</v>
      </c>
      <c r="D5368" s="2" t="s">
        <v>16575</v>
      </c>
      <c r="E5368" s="2" t="s">
        <v>16576</v>
      </c>
      <c r="F5368" s="4">
        <v>7389</v>
      </c>
      <c r="G5368" s="2" t="s">
        <v>223</v>
      </c>
      <c r="H5368" s="2" t="s">
        <v>34</v>
      </c>
      <c r="I5368" s="2" t="s">
        <v>12515</v>
      </c>
      <c r="J5368" s="2" t="s">
        <v>12371</v>
      </c>
      <c r="K5368" s="2" t="s">
        <v>223</v>
      </c>
      <c r="L5368" s="2" t="s">
        <v>34</v>
      </c>
      <c r="M5368" s="10">
        <v>82196.78</v>
      </c>
      <c r="N5368" s="7">
        <v>172.01599999999999</v>
      </c>
      <c r="O5368" s="6">
        <v>191.75</v>
      </c>
      <c r="P5368" s="2" t="s">
        <v>16577</v>
      </c>
      <c r="Q5368" s="2"/>
      <c r="R5368" s="2"/>
      <c r="S5368" s="5">
        <v>11.9</v>
      </c>
      <c r="T5368" s="7">
        <v>23.844999999999999</v>
      </c>
      <c r="U5368" s="5">
        <v>0.8</v>
      </c>
      <c r="V5368" s="9">
        <v>1.1299999999999999E-2</v>
      </c>
      <c r="W5368" s="6">
        <v>209.75</v>
      </c>
      <c r="X5368" s="7">
        <v>218.93799999999999</v>
      </c>
      <c r="Y5368" s="7">
        <v>196.125</v>
      </c>
      <c r="Z5368" s="5">
        <v>214.5</v>
      </c>
      <c r="AA5368" s="6">
        <v>129.34</v>
      </c>
      <c r="AB5368" s="2" t="s">
        <v>47</v>
      </c>
      <c r="AC5368" s="6">
        <v>872.46</v>
      </c>
    </row>
    <row r="5369" spans="1:29" ht="130" x14ac:dyDescent="0.15">
      <c r="A5369" s="3">
        <f>DATE(2000,3,20)</f>
        <v>36605</v>
      </c>
      <c r="B5369" s="2"/>
      <c r="C5369" s="2" t="s">
        <v>30</v>
      </c>
      <c r="D5369" s="2" t="s">
        <v>16578</v>
      </c>
      <c r="E5369" s="2" t="s">
        <v>263</v>
      </c>
      <c r="F5369" s="4">
        <v>6021</v>
      </c>
      <c r="G5369" s="2" t="s">
        <v>37</v>
      </c>
      <c r="H5369" s="2" t="s">
        <v>34</v>
      </c>
      <c r="I5369" s="2" t="s">
        <v>16579</v>
      </c>
      <c r="J5369" s="2" t="s">
        <v>16580</v>
      </c>
      <c r="K5369" s="2" t="s">
        <v>370</v>
      </c>
      <c r="L5369" s="2" t="s">
        <v>34</v>
      </c>
      <c r="M5369" s="7">
        <v>20.341999999999999</v>
      </c>
      <c r="N5369" s="4">
        <v>7</v>
      </c>
      <c r="O5369" s="6">
        <v>7.25</v>
      </c>
      <c r="P5369" s="2" t="s">
        <v>16581</v>
      </c>
      <c r="Q5369" s="2"/>
      <c r="R5369" s="6">
        <v>12.3</v>
      </c>
      <c r="S5369" s="5">
        <v>5.4</v>
      </c>
      <c r="T5369" s="7">
        <v>10.522</v>
      </c>
      <c r="U5369" s="5">
        <v>9.5</v>
      </c>
      <c r="V5369" s="7">
        <v>1.0329999999999999</v>
      </c>
      <c r="W5369" s="9">
        <v>8.4375</v>
      </c>
      <c r="X5369" s="7">
        <v>9.125</v>
      </c>
      <c r="Y5369" s="5">
        <v>9.5</v>
      </c>
      <c r="Z5369" s="4">
        <v>9</v>
      </c>
      <c r="AA5369" s="6">
        <v>3.51</v>
      </c>
      <c r="AB5369" s="7">
        <v>66.501999999999995</v>
      </c>
      <c r="AC5369" s="6">
        <v>4.63</v>
      </c>
    </row>
    <row r="5370" spans="1:29" ht="143" x14ac:dyDescent="0.15">
      <c r="A5370" s="3">
        <f>DATE(2000,3,20)</f>
        <v>36605</v>
      </c>
      <c r="B5370" s="3">
        <f>DATE(2000,11,29)</f>
        <v>36859</v>
      </c>
      <c r="C5370" s="2" t="s">
        <v>95</v>
      </c>
      <c r="D5370" s="2" t="s">
        <v>12291</v>
      </c>
      <c r="E5370" s="2" t="s">
        <v>12292</v>
      </c>
      <c r="F5370" s="4">
        <v>4813</v>
      </c>
      <c r="G5370" s="2" t="s">
        <v>63</v>
      </c>
      <c r="H5370" s="2" t="s">
        <v>34</v>
      </c>
      <c r="I5370" s="2" t="s">
        <v>16582</v>
      </c>
      <c r="J5370" s="2" t="s">
        <v>9012</v>
      </c>
      <c r="K5370" s="2" t="s">
        <v>223</v>
      </c>
      <c r="L5370" s="2" t="s">
        <v>34</v>
      </c>
      <c r="M5370" s="6">
        <v>186.85</v>
      </c>
      <c r="N5370" s="4">
        <v>10</v>
      </c>
      <c r="O5370" s="7">
        <v>9.6880000000000006</v>
      </c>
      <c r="P5370" s="2" t="s">
        <v>16583</v>
      </c>
      <c r="Q5370" s="6">
        <v>100</v>
      </c>
      <c r="R5370" s="6">
        <v>0.42</v>
      </c>
      <c r="S5370" s="5">
        <v>-4.0999999999999996</v>
      </c>
      <c r="T5370" s="5">
        <v>-2.8</v>
      </c>
      <c r="U5370" s="5">
        <v>-0.8</v>
      </c>
      <c r="V5370" s="6">
        <v>-0.79</v>
      </c>
      <c r="W5370" s="4">
        <v>4</v>
      </c>
      <c r="X5370" s="7">
        <v>3.5630000000000002</v>
      </c>
      <c r="Y5370" s="6">
        <v>3.25</v>
      </c>
      <c r="Z5370" s="7">
        <v>2.875</v>
      </c>
      <c r="AA5370" s="6">
        <v>5.71</v>
      </c>
      <c r="AB5370" s="2" t="s">
        <v>86</v>
      </c>
      <c r="AC5370" s="5">
        <v>11.2</v>
      </c>
    </row>
    <row r="5371" spans="1:29" ht="52" x14ac:dyDescent="0.15">
      <c r="A5371" s="3">
        <f>DATE(2000,3,21)</f>
        <v>36606</v>
      </c>
      <c r="B5371" s="3">
        <f>DATE(2000,8,23)</f>
        <v>36761</v>
      </c>
      <c r="C5371" s="2" t="s">
        <v>95</v>
      </c>
      <c r="D5371" s="2" t="s">
        <v>16584</v>
      </c>
      <c r="E5371" s="2" t="s">
        <v>16585</v>
      </c>
      <c r="F5371" s="4">
        <v>3751</v>
      </c>
      <c r="G5371" s="2" t="s">
        <v>105</v>
      </c>
      <c r="H5371" s="2" t="s">
        <v>34</v>
      </c>
      <c r="I5371" s="2" t="s">
        <v>16586</v>
      </c>
      <c r="J5371" s="2" t="s">
        <v>5102</v>
      </c>
      <c r="K5371" s="2" t="s">
        <v>551</v>
      </c>
      <c r="L5371" s="2" t="s">
        <v>34</v>
      </c>
      <c r="M5371" s="2"/>
      <c r="N5371" s="2"/>
      <c r="O5371" s="2"/>
      <c r="P5371" s="2" t="s">
        <v>16587</v>
      </c>
      <c r="Q5371" s="6">
        <v>100</v>
      </c>
      <c r="R5371" s="2"/>
      <c r="S5371" s="5">
        <v>-0.6</v>
      </c>
      <c r="T5371" s="7">
        <v>-0.55500000000000005</v>
      </c>
      <c r="U5371" s="5">
        <v>0</v>
      </c>
      <c r="V5371" s="6">
        <v>-0.08</v>
      </c>
      <c r="W5371" s="7">
        <v>1.875</v>
      </c>
      <c r="X5371" s="7">
        <v>3.625</v>
      </c>
      <c r="Y5371" s="2"/>
      <c r="Z5371" s="2"/>
      <c r="AA5371" s="6">
        <v>7.83</v>
      </c>
      <c r="AB5371" s="2" t="s">
        <v>86</v>
      </c>
      <c r="AC5371" s="2"/>
    </row>
    <row r="5372" spans="1:29" ht="182" x14ac:dyDescent="0.15">
      <c r="A5372" s="3">
        <f>DATE(2000,3,21)</f>
        <v>36606</v>
      </c>
      <c r="B5372" s="3">
        <f>DATE(2000,10,17)</f>
        <v>36816</v>
      </c>
      <c r="C5372" s="2" t="s">
        <v>95</v>
      </c>
      <c r="D5372" s="2" t="s">
        <v>16588</v>
      </c>
      <c r="E5372" s="2" t="s">
        <v>1181</v>
      </c>
      <c r="F5372" s="4">
        <v>6021</v>
      </c>
      <c r="G5372" s="2" t="s">
        <v>37</v>
      </c>
      <c r="H5372" s="2" t="s">
        <v>34</v>
      </c>
      <c r="I5372" s="2" t="s">
        <v>8064</v>
      </c>
      <c r="J5372" s="2" t="s">
        <v>159</v>
      </c>
      <c r="K5372" s="2" t="s">
        <v>37</v>
      </c>
      <c r="L5372" s="2" t="s">
        <v>34</v>
      </c>
      <c r="M5372" s="5">
        <v>515.1</v>
      </c>
      <c r="N5372" s="7">
        <v>39.375</v>
      </c>
      <c r="O5372" s="7">
        <v>39.813000000000002</v>
      </c>
      <c r="P5372" s="2" t="s">
        <v>16589</v>
      </c>
      <c r="Q5372" s="6">
        <v>100</v>
      </c>
      <c r="R5372" s="6">
        <v>26.03</v>
      </c>
      <c r="S5372" s="2"/>
      <c r="T5372" s="2"/>
      <c r="U5372" s="2"/>
      <c r="V5372" s="2"/>
      <c r="W5372" s="4">
        <v>25</v>
      </c>
      <c r="X5372" s="7">
        <v>23.375</v>
      </c>
      <c r="Y5372" s="4">
        <v>24</v>
      </c>
      <c r="Z5372" s="4">
        <v>25</v>
      </c>
      <c r="AA5372" s="6">
        <v>1.4</v>
      </c>
      <c r="AB5372" s="2" t="s">
        <v>47</v>
      </c>
      <c r="AC5372" s="2"/>
    </row>
    <row r="5373" spans="1:29" ht="117" x14ac:dyDescent="0.15">
      <c r="A5373" s="3">
        <f>DATE(2000,3,21)</f>
        <v>36606</v>
      </c>
      <c r="B5373" s="2"/>
      <c r="C5373" s="2" t="s">
        <v>30</v>
      </c>
      <c r="D5373" s="2" t="s">
        <v>16590</v>
      </c>
      <c r="E5373" s="2" t="s">
        <v>9054</v>
      </c>
      <c r="F5373" s="4">
        <v>6351</v>
      </c>
      <c r="G5373" s="2" t="s">
        <v>125</v>
      </c>
      <c r="H5373" s="2" t="s">
        <v>34</v>
      </c>
      <c r="I5373" s="2" t="s">
        <v>16591</v>
      </c>
      <c r="J5373" s="2" t="s">
        <v>124</v>
      </c>
      <c r="K5373" s="2" t="s">
        <v>125</v>
      </c>
      <c r="L5373" s="2" t="s">
        <v>34</v>
      </c>
      <c r="M5373" s="2"/>
      <c r="N5373" s="2"/>
      <c r="O5373" s="2"/>
      <c r="P5373" s="2" t="s">
        <v>16592</v>
      </c>
      <c r="Q5373" s="2"/>
      <c r="R5373" s="6">
        <v>13</v>
      </c>
      <c r="S5373" s="5">
        <v>56.5</v>
      </c>
      <c r="T5373" s="2"/>
      <c r="U5373" s="5">
        <v>7.8</v>
      </c>
      <c r="V5373" s="6">
        <v>1.28</v>
      </c>
      <c r="W5373" s="6">
        <v>11.75</v>
      </c>
      <c r="X5373" s="4">
        <v>14</v>
      </c>
      <c r="Y5373" s="7">
        <v>13.875</v>
      </c>
      <c r="Z5373" s="4">
        <v>14</v>
      </c>
      <c r="AA5373" s="6">
        <v>43.58</v>
      </c>
      <c r="AB5373" s="7">
        <v>7.157</v>
      </c>
      <c r="AC5373" s="2"/>
    </row>
    <row r="5374" spans="1:29" ht="91" x14ac:dyDescent="0.15">
      <c r="A5374" s="3">
        <f>DATE(2000,3,21)</f>
        <v>36606</v>
      </c>
      <c r="B5374" s="3">
        <f>DATE(2000,9,25)</f>
        <v>36794</v>
      </c>
      <c r="C5374" s="2" t="s">
        <v>95</v>
      </c>
      <c r="D5374" s="2" t="s">
        <v>16593</v>
      </c>
      <c r="E5374" s="2" t="s">
        <v>3814</v>
      </c>
      <c r="F5374" s="4">
        <v>6211</v>
      </c>
      <c r="G5374" s="2" t="s">
        <v>53</v>
      </c>
      <c r="H5374" s="2" t="s">
        <v>34</v>
      </c>
      <c r="I5374" s="2" t="s">
        <v>16594</v>
      </c>
      <c r="J5374" s="2" t="s">
        <v>159</v>
      </c>
      <c r="K5374" s="2" t="s">
        <v>37</v>
      </c>
      <c r="L5374" s="2" t="s">
        <v>34</v>
      </c>
      <c r="M5374" s="7">
        <v>63.872</v>
      </c>
      <c r="N5374" s="6">
        <v>9.75</v>
      </c>
      <c r="O5374" s="7">
        <v>9.6880000000000006</v>
      </c>
      <c r="P5374" s="2" t="s">
        <v>16595</v>
      </c>
      <c r="Q5374" s="6">
        <v>100</v>
      </c>
      <c r="R5374" s="6">
        <v>18.52</v>
      </c>
      <c r="S5374" s="5">
        <v>0.8</v>
      </c>
      <c r="T5374" s="6">
        <v>1.42</v>
      </c>
      <c r="U5374" s="5">
        <v>17.899999999999999</v>
      </c>
      <c r="V5374" s="6">
        <v>0.92</v>
      </c>
      <c r="W5374" s="7">
        <v>10.375</v>
      </c>
      <c r="X5374" s="7">
        <v>11.125</v>
      </c>
      <c r="Y5374" s="4">
        <v>11</v>
      </c>
      <c r="Z5374" s="6">
        <v>14.75</v>
      </c>
      <c r="AA5374" s="6">
        <v>0.96</v>
      </c>
      <c r="AB5374" s="7">
        <v>43.436</v>
      </c>
      <c r="AC5374" s="2"/>
    </row>
    <row r="5375" spans="1:29" ht="78" x14ac:dyDescent="0.15">
      <c r="A5375" s="3">
        <f>DATE(2000,3,22)</f>
        <v>36607</v>
      </c>
      <c r="B5375" s="2"/>
      <c r="C5375" s="2" t="s">
        <v>30</v>
      </c>
      <c r="D5375" s="2" t="s">
        <v>16596</v>
      </c>
      <c r="E5375" s="2" t="s">
        <v>16597</v>
      </c>
      <c r="F5375" s="4">
        <v>7375</v>
      </c>
      <c r="G5375" s="2" t="s">
        <v>223</v>
      </c>
      <c r="H5375" s="2" t="s">
        <v>34</v>
      </c>
      <c r="I5375" s="2" t="s">
        <v>16598</v>
      </c>
      <c r="J5375" s="2" t="s">
        <v>3336</v>
      </c>
      <c r="K5375" s="2" t="s">
        <v>105</v>
      </c>
      <c r="L5375" s="2" t="s">
        <v>34</v>
      </c>
      <c r="M5375" s="7">
        <v>171.62799999999999</v>
      </c>
      <c r="N5375" s="4">
        <v>7</v>
      </c>
      <c r="O5375" s="6">
        <v>6.75</v>
      </c>
      <c r="P5375" s="2" t="s">
        <v>16599</v>
      </c>
      <c r="Q5375" s="2"/>
      <c r="R5375" s="2"/>
      <c r="S5375" s="5">
        <v>-0.3</v>
      </c>
      <c r="T5375" s="2"/>
      <c r="U5375" s="5">
        <v>0</v>
      </c>
      <c r="V5375" s="6">
        <v>-0.01</v>
      </c>
      <c r="W5375" s="7">
        <v>5.4370000000000003</v>
      </c>
      <c r="X5375" s="7">
        <v>8.1869999999999994</v>
      </c>
      <c r="Y5375" s="5">
        <v>7.5</v>
      </c>
      <c r="Z5375" s="7">
        <v>6.7809999999999997</v>
      </c>
      <c r="AA5375" s="2"/>
      <c r="AB5375" s="2" t="s">
        <v>86</v>
      </c>
      <c r="AC5375" s="6">
        <v>1.07</v>
      </c>
    </row>
    <row r="5376" spans="1:29" ht="169" x14ac:dyDescent="0.15">
      <c r="A5376" s="3">
        <f>DATE(2000,3,22)</f>
        <v>36607</v>
      </c>
      <c r="B5376" s="3">
        <f>DATE(2000,6,16)</f>
        <v>36693</v>
      </c>
      <c r="C5376" s="2" t="s">
        <v>95</v>
      </c>
      <c r="D5376" s="2" t="s">
        <v>16600</v>
      </c>
      <c r="E5376" s="2" t="s">
        <v>16601</v>
      </c>
      <c r="F5376" s="4">
        <v>7363</v>
      </c>
      <c r="G5376" s="2" t="s">
        <v>223</v>
      </c>
      <c r="H5376" s="2" t="s">
        <v>34</v>
      </c>
      <c r="I5376" s="2" t="s">
        <v>7937</v>
      </c>
      <c r="J5376" s="2" t="s">
        <v>7938</v>
      </c>
      <c r="K5376" s="2" t="s">
        <v>223</v>
      </c>
      <c r="L5376" s="2" t="s">
        <v>34</v>
      </c>
      <c r="M5376" s="10">
        <v>7559.76</v>
      </c>
      <c r="N5376" s="7">
        <v>41.563000000000002</v>
      </c>
      <c r="O5376" s="4">
        <v>40</v>
      </c>
      <c r="P5376" s="2" t="s">
        <v>16602</v>
      </c>
      <c r="Q5376" s="6">
        <v>100</v>
      </c>
      <c r="R5376" s="6">
        <v>44.55</v>
      </c>
      <c r="S5376" s="5">
        <v>10.199999999999999</v>
      </c>
      <c r="T5376" s="7">
        <v>67.747</v>
      </c>
      <c r="U5376" s="5">
        <v>13.3</v>
      </c>
      <c r="V5376" s="6">
        <v>0.3</v>
      </c>
      <c r="W5376" s="6">
        <v>16.25</v>
      </c>
      <c r="X5376" s="4">
        <v>16</v>
      </c>
      <c r="Y5376" s="7">
        <v>33.328000000000003</v>
      </c>
      <c r="Z5376" s="4">
        <v>33</v>
      </c>
      <c r="AA5376" s="6">
        <v>34.270000000000003</v>
      </c>
      <c r="AB5376" s="7">
        <v>55.046999999999997</v>
      </c>
      <c r="AC5376" s="5">
        <v>853.6</v>
      </c>
    </row>
    <row r="5377" spans="1:29" ht="169" x14ac:dyDescent="0.15">
      <c r="A5377" s="3">
        <f>DATE(2000,3,22)</f>
        <v>36607</v>
      </c>
      <c r="B5377" s="3">
        <f>DATE(2000,5,30)</f>
        <v>36676</v>
      </c>
      <c r="C5377" s="2" t="s">
        <v>95</v>
      </c>
      <c r="D5377" s="2" t="s">
        <v>16603</v>
      </c>
      <c r="E5377" s="2" t="s">
        <v>16604</v>
      </c>
      <c r="F5377" s="4">
        <v>3533</v>
      </c>
      <c r="G5377" s="2" t="s">
        <v>300</v>
      </c>
      <c r="H5377" s="2" t="s">
        <v>34</v>
      </c>
      <c r="I5377" s="2" t="s">
        <v>14751</v>
      </c>
      <c r="J5377" s="2" t="s">
        <v>3977</v>
      </c>
      <c r="K5377" s="2" t="s">
        <v>76</v>
      </c>
      <c r="L5377" s="2" t="s">
        <v>34</v>
      </c>
      <c r="M5377" s="2"/>
      <c r="N5377" s="2"/>
      <c r="O5377" s="2"/>
      <c r="P5377" s="2" t="s">
        <v>16605</v>
      </c>
      <c r="Q5377" s="6">
        <v>100</v>
      </c>
      <c r="R5377" s="6">
        <v>12.11</v>
      </c>
      <c r="S5377" s="5">
        <v>37</v>
      </c>
      <c r="T5377" s="7">
        <v>83.275000000000006</v>
      </c>
      <c r="U5377" s="5">
        <v>5.5</v>
      </c>
      <c r="V5377" s="6">
        <v>0.56000000000000005</v>
      </c>
      <c r="W5377" s="6">
        <v>13.19</v>
      </c>
      <c r="X5377" s="6">
        <v>14.56</v>
      </c>
      <c r="Y5377" s="7">
        <v>15.563000000000001</v>
      </c>
      <c r="Z5377" s="7">
        <v>13.063000000000001</v>
      </c>
      <c r="AA5377" s="6">
        <v>65.27</v>
      </c>
      <c r="AB5377" s="7">
        <v>12.032999999999999</v>
      </c>
      <c r="AC5377" s="6">
        <v>5.26</v>
      </c>
    </row>
    <row r="5378" spans="1:29" ht="143" x14ac:dyDescent="0.15">
      <c r="A5378" s="3">
        <f>DATE(2000,3,23)</f>
        <v>36608</v>
      </c>
      <c r="B5378" s="3">
        <f>DATE(2000,6,8)</f>
        <v>36685</v>
      </c>
      <c r="C5378" s="2" t="s">
        <v>95</v>
      </c>
      <c r="D5378" s="2" t="s">
        <v>16606</v>
      </c>
      <c r="E5378" s="2" t="s">
        <v>16607</v>
      </c>
      <c r="F5378" s="4">
        <v>7011</v>
      </c>
      <c r="G5378" s="2" t="s">
        <v>269</v>
      </c>
      <c r="H5378" s="2" t="s">
        <v>34</v>
      </c>
      <c r="I5378" s="2" t="s">
        <v>16608</v>
      </c>
      <c r="J5378" s="2" t="s">
        <v>16609</v>
      </c>
      <c r="K5378" s="2" t="s">
        <v>109</v>
      </c>
      <c r="L5378" s="2" t="s">
        <v>34</v>
      </c>
      <c r="M5378" s="12">
        <v>35916.553</v>
      </c>
      <c r="N5378" s="5">
        <v>710.5</v>
      </c>
      <c r="O5378" s="5">
        <v>674.5</v>
      </c>
      <c r="P5378" s="2" t="s">
        <v>16610</v>
      </c>
      <c r="Q5378" s="6">
        <v>27.72</v>
      </c>
      <c r="R5378" s="6">
        <v>4.0999999999999996</v>
      </c>
      <c r="S5378" s="5">
        <v>-50</v>
      </c>
      <c r="T5378" s="6">
        <v>106.75</v>
      </c>
      <c r="U5378" s="5">
        <v>5.0999999999999996</v>
      </c>
      <c r="V5378" s="6">
        <v>-0.54</v>
      </c>
      <c r="W5378" s="7">
        <v>2.625</v>
      </c>
      <c r="X5378" s="6">
        <v>2.75</v>
      </c>
      <c r="Y5378" s="7">
        <v>2.6880000000000002</v>
      </c>
      <c r="Z5378" s="7">
        <v>3.1880000000000002</v>
      </c>
      <c r="AA5378" s="6">
        <v>120.03</v>
      </c>
      <c r="AB5378" s="7">
        <v>16.178000000000001</v>
      </c>
      <c r="AC5378" s="6">
        <v>8.7799999999999994</v>
      </c>
    </row>
    <row r="5379" spans="1:29" ht="91" x14ac:dyDescent="0.15">
      <c r="A5379" s="3">
        <f>DATE(2000,3,23)</f>
        <v>36608</v>
      </c>
      <c r="B5379" s="3">
        <f>DATE(2000,10,4)</f>
        <v>36803</v>
      </c>
      <c r="C5379" s="2" t="s">
        <v>95</v>
      </c>
      <c r="D5379" s="2" t="s">
        <v>16611</v>
      </c>
      <c r="E5379" s="2" t="s">
        <v>16612</v>
      </c>
      <c r="F5379" s="4">
        <v>3411</v>
      </c>
      <c r="G5379" s="2" t="s">
        <v>163</v>
      </c>
      <c r="H5379" s="2" t="s">
        <v>34</v>
      </c>
      <c r="I5379" s="2" t="s">
        <v>51</v>
      </c>
      <c r="J5379" s="2" t="s">
        <v>52</v>
      </c>
      <c r="K5379" s="2" t="s">
        <v>53</v>
      </c>
      <c r="L5379" s="2" t="s">
        <v>34</v>
      </c>
      <c r="M5379" s="2"/>
      <c r="N5379" s="2"/>
      <c r="O5379" s="2"/>
      <c r="P5379" s="2" t="s">
        <v>16613</v>
      </c>
      <c r="Q5379" s="6">
        <v>100</v>
      </c>
      <c r="R5379" s="6">
        <v>20</v>
      </c>
      <c r="S5379" s="5">
        <v>22.5</v>
      </c>
      <c r="T5379" s="7">
        <v>101.726</v>
      </c>
      <c r="U5379" s="5">
        <v>5.3</v>
      </c>
      <c r="V5379" s="6">
        <v>1.65</v>
      </c>
      <c r="W5379" s="6">
        <v>15.25</v>
      </c>
      <c r="X5379" s="7">
        <v>19.812999999999999</v>
      </c>
      <c r="Y5379" s="9">
        <v>19.9375</v>
      </c>
      <c r="Z5379" s="9">
        <v>19.6875</v>
      </c>
      <c r="AA5379" s="6">
        <v>13.45</v>
      </c>
      <c r="AB5379" s="7">
        <v>8.9730000000000008</v>
      </c>
      <c r="AC5379" s="2"/>
    </row>
    <row r="5380" spans="1:29" ht="182" x14ac:dyDescent="0.15">
      <c r="A5380" s="3">
        <f>DATE(2000,3,23)</f>
        <v>36608</v>
      </c>
      <c r="B5380" s="2"/>
      <c r="C5380" s="2" t="s">
        <v>30</v>
      </c>
      <c r="D5380" s="2" t="s">
        <v>16567</v>
      </c>
      <c r="E5380" s="2" t="s">
        <v>16568</v>
      </c>
      <c r="F5380" s="4">
        <v>3851</v>
      </c>
      <c r="G5380" s="2" t="s">
        <v>226</v>
      </c>
      <c r="H5380" s="2" t="s">
        <v>34</v>
      </c>
      <c r="I5380" s="2" t="s">
        <v>3530</v>
      </c>
      <c r="J5380" s="2" t="s">
        <v>3531</v>
      </c>
      <c r="K5380" s="2" t="s">
        <v>226</v>
      </c>
      <c r="L5380" s="2" t="s">
        <v>34</v>
      </c>
      <c r="M5380" s="12">
        <v>3415.759</v>
      </c>
      <c r="N5380" s="5">
        <v>55.5</v>
      </c>
      <c r="O5380" s="5">
        <v>55.5</v>
      </c>
      <c r="P5380" s="2" t="s">
        <v>16614</v>
      </c>
      <c r="Q5380" s="2"/>
      <c r="R5380" s="6">
        <v>35.549999999999997</v>
      </c>
      <c r="S5380" s="5">
        <v>37.200000000000003</v>
      </c>
      <c r="T5380" s="7">
        <v>64.634</v>
      </c>
      <c r="U5380" s="5">
        <v>5.7</v>
      </c>
      <c r="V5380" s="6">
        <v>1.98</v>
      </c>
      <c r="W5380" s="4">
        <v>25</v>
      </c>
      <c r="X5380" s="7">
        <v>24.875</v>
      </c>
      <c r="Y5380" s="9">
        <v>33.4375</v>
      </c>
      <c r="Z5380" s="5">
        <v>35.5</v>
      </c>
      <c r="AA5380" s="6">
        <v>17.489999999999998</v>
      </c>
      <c r="AB5380" s="7">
        <v>12.927</v>
      </c>
      <c r="AC5380" s="5">
        <v>723.8</v>
      </c>
    </row>
    <row r="5381" spans="1:29" ht="91" x14ac:dyDescent="0.15">
      <c r="A5381" s="3">
        <f>DATE(2000,3,24)</f>
        <v>36609</v>
      </c>
      <c r="B5381" s="2"/>
      <c r="C5381" s="2" t="s">
        <v>7330</v>
      </c>
      <c r="D5381" s="2" t="s">
        <v>16615</v>
      </c>
      <c r="E5381" s="2" t="s">
        <v>1181</v>
      </c>
      <c r="F5381" s="4">
        <v>6021</v>
      </c>
      <c r="G5381" s="2" t="s">
        <v>37</v>
      </c>
      <c r="H5381" s="2" t="s">
        <v>34</v>
      </c>
      <c r="I5381" s="2" t="s">
        <v>3289</v>
      </c>
      <c r="J5381" s="2" t="s">
        <v>159</v>
      </c>
      <c r="K5381" s="2" t="s">
        <v>37</v>
      </c>
      <c r="L5381" s="2" t="s">
        <v>34</v>
      </c>
      <c r="M5381" s="2"/>
      <c r="N5381" s="2"/>
      <c r="O5381" s="2"/>
      <c r="P5381" s="2" t="s">
        <v>16616</v>
      </c>
      <c r="Q5381" s="2"/>
      <c r="R5381" s="6">
        <v>25.52</v>
      </c>
      <c r="S5381" s="2"/>
      <c r="T5381" s="2"/>
      <c r="U5381" s="2"/>
      <c r="V5381" s="2"/>
      <c r="W5381" s="7">
        <v>16.625</v>
      </c>
      <c r="X5381" s="7">
        <v>16.625</v>
      </c>
      <c r="Y5381" s="2"/>
      <c r="Z5381" s="2"/>
      <c r="AA5381" s="6">
        <v>0.47</v>
      </c>
      <c r="AB5381" s="2" t="s">
        <v>47</v>
      </c>
      <c r="AC5381" s="2"/>
    </row>
    <row r="5382" spans="1:29" ht="117" x14ac:dyDescent="0.15">
      <c r="A5382" s="3">
        <f>DATE(2000,3,24)</f>
        <v>36609</v>
      </c>
      <c r="B5382" s="3">
        <f>DATE(2000,6,1)</f>
        <v>36678</v>
      </c>
      <c r="C5382" s="2" t="s">
        <v>95</v>
      </c>
      <c r="D5382" s="2" t="s">
        <v>16617</v>
      </c>
      <c r="E5382" s="2" t="s">
        <v>16618</v>
      </c>
      <c r="F5382" s="4">
        <v>7021</v>
      </c>
      <c r="G5382" s="2" t="s">
        <v>269</v>
      </c>
      <c r="H5382" s="2" t="s">
        <v>34</v>
      </c>
      <c r="I5382" s="2" t="s">
        <v>16619</v>
      </c>
      <c r="J5382" s="2" t="s">
        <v>268</v>
      </c>
      <c r="K5382" s="2" t="s">
        <v>269</v>
      </c>
      <c r="L5382" s="2" t="s">
        <v>34</v>
      </c>
      <c r="M5382" s="7">
        <v>83.072000000000003</v>
      </c>
      <c r="N5382" s="7">
        <v>2.8130000000000002</v>
      </c>
      <c r="O5382" s="7">
        <v>2.6880000000000002</v>
      </c>
      <c r="P5382" s="2" t="s">
        <v>16620</v>
      </c>
      <c r="Q5382" s="6">
        <v>100</v>
      </c>
      <c r="R5382" s="6">
        <v>2.88</v>
      </c>
      <c r="S5382" s="5">
        <v>-0.1</v>
      </c>
      <c r="T5382" s="7">
        <v>4.0110000000000001</v>
      </c>
      <c r="U5382" s="5">
        <v>5.3</v>
      </c>
      <c r="V5382" s="6">
        <v>-0.01</v>
      </c>
      <c r="W5382" s="7">
        <v>2.125</v>
      </c>
      <c r="X5382" s="7">
        <v>1.9379999999999999</v>
      </c>
      <c r="Y5382" s="5">
        <v>2.5</v>
      </c>
      <c r="Z5382" s="7">
        <v>2.5630000000000002</v>
      </c>
      <c r="AA5382" s="6">
        <v>8.01</v>
      </c>
      <c r="AB5382" s="7">
        <v>31.234000000000002</v>
      </c>
      <c r="AC5382" s="5">
        <v>1.7</v>
      </c>
    </row>
    <row r="5383" spans="1:29" ht="78" x14ac:dyDescent="0.15">
      <c r="A5383" s="3">
        <f>DATE(2000,3,24)</f>
        <v>36609</v>
      </c>
      <c r="B5383" s="3">
        <f>DATE(2000,6,2)</f>
        <v>36679</v>
      </c>
      <c r="C5383" s="2" t="s">
        <v>95</v>
      </c>
      <c r="D5383" s="2" t="s">
        <v>16621</v>
      </c>
      <c r="E5383" s="2" t="s">
        <v>16622</v>
      </c>
      <c r="F5383" s="4">
        <v>8711</v>
      </c>
      <c r="G5383" s="2" t="s">
        <v>223</v>
      </c>
      <c r="H5383" s="2" t="s">
        <v>34</v>
      </c>
      <c r="I5383" s="2" t="s">
        <v>16623</v>
      </c>
      <c r="J5383" s="2" t="s">
        <v>16624</v>
      </c>
      <c r="K5383" s="2" t="s">
        <v>223</v>
      </c>
      <c r="L5383" s="2" t="s">
        <v>34</v>
      </c>
      <c r="M5383" s="2"/>
      <c r="N5383" s="2"/>
      <c r="O5383" s="2"/>
      <c r="P5383" s="2" t="s">
        <v>16625</v>
      </c>
      <c r="Q5383" s="6">
        <v>100</v>
      </c>
      <c r="R5383" s="6">
        <v>11.5</v>
      </c>
      <c r="S5383" s="5">
        <v>1.5</v>
      </c>
      <c r="T5383" s="7">
        <v>10.718999999999999</v>
      </c>
      <c r="U5383" s="5">
        <v>10.5</v>
      </c>
      <c r="V5383" s="6">
        <v>0.28000000000000003</v>
      </c>
      <c r="W5383" s="5">
        <v>8.5</v>
      </c>
      <c r="X5383" s="6">
        <v>9.25</v>
      </c>
      <c r="Y5383" s="7">
        <v>10.625</v>
      </c>
      <c r="Z5383" s="7">
        <v>10.625</v>
      </c>
      <c r="AA5383" s="6">
        <v>5</v>
      </c>
      <c r="AB5383" s="7">
        <v>5.5449999999999999</v>
      </c>
      <c r="AC5383" s="2"/>
    </row>
    <row r="5384" spans="1:29" ht="52" x14ac:dyDescent="0.15">
      <c r="A5384" s="3">
        <f>DATE(2000,3,24)</f>
        <v>36609</v>
      </c>
      <c r="B5384" s="2"/>
      <c r="C5384" s="2" t="s">
        <v>7330</v>
      </c>
      <c r="D5384" s="2" t="s">
        <v>16626</v>
      </c>
      <c r="E5384" s="2" t="s">
        <v>4601</v>
      </c>
      <c r="F5384" s="4">
        <v>5812</v>
      </c>
      <c r="G5384" s="2" t="s">
        <v>230</v>
      </c>
      <c r="H5384" s="2" t="s">
        <v>34</v>
      </c>
      <c r="I5384" s="2" t="s">
        <v>16627</v>
      </c>
      <c r="J5384" s="2" t="s">
        <v>302</v>
      </c>
      <c r="K5384" s="2" t="s">
        <v>53</v>
      </c>
      <c r="L5384" s="2" t="s">
        <v>34</v>
      </c>
      <c r="M5384" s="2"/>
      <c r="N5384" s="2"/>
      <c r="O5384" s="2"/>
      <c r="P5384" s="2" t="s">
        <v>16628</v>
      </c>
      <c r="Q5384" s="2"/>
      <c r="R5384" s="6">
        <v>1.1000000000000001</v>
      </c>
      <c r="S5384" s="5">
        <v>0.4</v>
      </c>
      <c r="T5384" s="7">
        <v>0.69599999999999995</v>
      </c>
      <c r="U5384" s="5">
        <v>1.2</v>
      </c>
      <c r="V5384" s="6">
        <v>0.15</v>
      </c>
      <c r="W5384" s="6">
        <v>1.03</v>
      </c>
      <c r="X5384" s="6">
        <v>1.07</v>
      </c>
      <c r="Y5384" s="2"/>
      <c r="Z5384" s="2"/>
      <c r="AA5384" s="6">
        <v>2.58</v>
      </c>
      <c r="AB5384" s="7">
        <v>3.4940000000000002</v>
      </c>
      <c r="AC5384" s="2"/>
    </row>
    <row r="5385" spans="1:29" ht="52" x14ac:dyDescent="0.15">
      <c r="A5385" s="3">
        <f>DATE(2000,3,27)</f>
        <v>36612</v>
      </c>
      <c r="B5385" s="2"/>
      <c r="C5385" s="2" t="s">
        <v>30</v>
      </c>
      <c r="D5385" s="2" t="s">
        <v>16629</v>
      </c>
      <c r="E5385" s="2" t="s">
        <v>7413</v>
      </c>
      <c r="F5385" s="4">
        <v>4911</v>
      </c>
      <c r="G5385" s="2" t="s">
        <v>439</v>
      </c>
      <c r="H5385" s="2" t="s">
        <v>34</v>
      </c>
      <c r="I5385" s="2" t="s">
        <v>16630</v>
      </c>
      <c r="J5385" s="2" t="s">
        <v>16631</v>
      </c>
      <c r="K5385" s="2" t="s">
        <v>439</v>
      </c>
      <c r="L5385" s="2" t="s">
        <v>8464</v>
      </c>
      <c r="M5385" s="2"/>
      <c r="N5385" s="2"/>
      <c r="O5385" s="2"/>
      <c r="P5385" s="2" t="s">
        <v>16632</v>
      </c>
      <c r="Q5385" s="2"/>
      <c r="R5385" s="2"/>
      <c r="S5385" s="5">
        <v>712</v>
      </c>
      <c r="T5385" s="8">
        <v>2136</v>
      </c>
      <c r="U5385" s="5">
        <v>15</v>
      </c>
      <c r="V5385" s="7">
        <v>2.0350000000000001</v>
      </c>
      <c r="W5385" s="7">
        <v>43.063000000000002</v>
      </c>
      <c r="X5385" s="7">
        <v>43.313000000000002</v>
      </c>
      <c r="Y5385" s="7">
        <v>46.625</v>
      </c>
      <c r="Z5385" s="9">
        <v>45.4375</v>
      </c>
      <c r="AA5385" s="6">
        <v>178.25</v>
      </c>
      <c r="AB5385" s="2" t="s">
        <v>47</v>
      </c>
      <c r="AC5385" s="6">
        <v>64.63</v>
      </c>
    </row>
    <row r="5386" spans="1:29" ht="130" x14ac:dyDescent="0.15">
      <c r="A5386" s="3">
        <f>DATE(2000,3,27)</f>
        <v>36612</v>
      </c>
      <c r="B5386" s="3">
        <f>DATE(2000,5,8)</f>
        <v>36654</v>
      </c>
      <c r="C5386" s="2" t="s">
        <v>95</v>
      </c>
      <c r="D5386" s="2" t="s">
        <v>16633</v>
      </c>
      <c r="E5386" s="2" t="s">
        <v>16634</v>
      </c>
      <c r="F5386" s="4">
        <v>3564</v>
      </c>
      <c r="G5386" s="2" t="s">
        <v>300</v>
      </c>
      <c r="H5386" s="2" t="s">
        <v>34</v>
      </c>
      <c r="I5386" s="2" t="s">
        <v>16635</v>
      </c>
      <c r="J5386" s="2" t="s">
        <v>16636</v>
      </c>
      <c r="K5386" s="2" t="s">
        <v>269</v>
      </c>
      <c r="L5386" s="2" t="s">
        <v>435</v>
      </c>
      <c r="M5386" s="2"/>
      <c r="N5386" s="2"/>
      <c r="O5386" s="2"/>
      <c r="P5386" s="2" t="s">
        <v>16637</v>
      </c>
      <c r="Q5386" s="6">
        <v>100</v>
      </c>
      <c r="R5386" s="6">
        <v>17.45</v>
      </c>
      <c r="S5386" s="5">
        <v>7.2</v>
      </c>
      <c r="T5386" s="7">
        <v>12.363</v>
      </c>
      <c r="U5386" s="5">
        <v>4.5999999999999996</v>
      </c>
      <c r="V5386" s="6">
        <v>0.93</v>
      </c>
      <c r="W5386" s="5">
        <v>12.5</v>
      </c>
      <c r="X5386" s="7">
        <v>11.875</v>
      </c>
      <c r="Y5386" s="7">
        <v>17.187999999999999</v>
      </c>
      <c r="Z5386" s="7">
        <v>17.187999999999999</v>
      </c>
      <c r="AA5386" s="6">
        <v>7.28</v>
      </c>
      <c r="AB5386" s="7">
        <v>15.601000000000001</v>
      </c>
      <c r="AC5386" s="2"/>
    </row>
    <row r="5387" spans="1:29" ht="195" x14ac:dyDescent="0.15">
      <c r="A5387" s="3">
        <f>DATE(2000,3,27)</f>
        <v>36612</v>
      </c>
      <c r="B5387" s="3">
        <f>DATE(2000,6,27)</f>
        <v>36704</v>
      </c>
      <c r="C5387" s="2" t="s">
        <v>95</v>
      </c>
      <c r="D5387" s="2" t="s">
        <v>16638</v>
      </c>
      <c r="E5387" s="2" t="s">
        <v>16639</v>
      </c>
      <c r="F5387" s="4">
        <v>6311</v>
      </c>
      <c r="G5387" s="2" t="s">
        <v>125</v>
      </c>
      <c r="H5387" s="2" t="s">
        <v>34</v>
      </c>
      <c r="I5387" s="2" t="s">
        <v>10746</v>
      </c>
      <c r="J5387" s="2" t="s">
        <v>10747</v>
      </c>
      <c r="K5387" s="2" t="s">
        <v>53</v>
      </c>
      <c r="L5387" s="2" t="s">
        <v>34</v>
      </c>
      <c r="M5387" s="12">
        <v>6870.2349999999997</v>
      </c>
      <c r="N5387" s="6">
        <v>42.25</v>
      </c>
      <c r="O5387" s="7">
        <v>42.313000000000002</v>
      </c>
      <c r="P5387" s="2" t="s">
        <v>16640</v>
      </c>
      <c r="Q5387" s="6">
        <v>19.55</v>
      </c>
      <c r="R5387" s="6">
        <v>50.5</v>
      </c>
      <c r="S5387" s="5">
        <v>511</v>
      </c>
      <c r="T5387" s="2"/>
      <c r="U5387" s="5">
        <v>19.899999999999999</v>
      </c>
      <c r="V5387" s="6">
        <v>3.64</v>
      </c>
      <c r="W5387" s="4">
        <v>36</v>
      </c>
      <c r="X5387" s="7">
        <v>42.563000000000002</v>
      </c>
      <c r="Y5387" s="5">
        <v>40.5</v>
      </c>
      <c r="Z5387" s="7">
        <v>40.375</v>
      </c>
      <c r="AA5387" s="6">
        <v>139.93</v>
      </c>
      <c r="AB5387" s="7">
        <v>9.7899999999999991</v>
      </c>
      <c r="AC5387" s="5">
        <v>216</v>
      </c>
    </row>
    <row r="5388" spans="1:29" ht="52" x14ac:dyDescent="0.15">
      <c r="A5388" s="3">
        <f>DATE(2000,3,27)</f>
        <v>36612</v>
      </c>
      <c r="B5388" s="3">
        <f>DATE(2000,11,3)</f>
        <v>36833</v>
      </c>
      <c r="C5388" s="2" t="s">
        <v>95</v>
      </c>
      <c r="D5388" s="2" t="s">
        <v>16641</v>
      </c>
      <c r="E5388" s="2" t="s">
        <v>16642</v>
      </c>
      <c r="F5388" s="4">
        <v>6035</v>
      </c>
      <c r="G5388" s="2" t="s">
        <v>33</v>
      </c>
      <c r="H5388" s="2" t="s">
        <v>34</v>
      </c>
      <c r="I5388" s="2" t="s">
        <v>15204</v>
      </c>
      <c r="J5388" s="2" t="s">
        <v>263</v>
      </c>
      <c r="K5388" s="2" t="s">
        <v>33</v>
      </c>
      <c r="L5388" s="2" t="s">
        <v>34</v>
      </c>
      <c r="M5388" s="7">
        <v>237.79499999999999</v>
      </c>
      <c r="N5388" s="7">
        <v>9.4380000000000006</v>
      </c>
      <c r="O5388" s="7">
        <v>9.6880000000000006</v>
      </c>
      <c r="P5388" s="2" t="s">
        <v>16643</v>
      </c>
      <c r="Q5388" s="6">
        <v>100</v>
      </c>
      <c r="R5388" s="2"/>
      <c r="S5388" s="5">
        <v>4.7</v>
      </c>
      <c r="T5388" s="7">
        <v>7.6929999999999996</v>
      </c>
      <c r="U5388" s="5">
        <v>16.899999999999999</v>
      </c>
      <c r="V5388" s="6">
        <v>1.96</v>
      </c>
      <c r="W5388" s="7">
        <v>14.438000000000001</v>
      </c>
      <c r="X5388" s="7">
        <v>17.875</v>
      </c>
      <c r="Y5388" s="9">
        <v>31.4375</v>
      </c>
      <c r="Z5388" s="9">
        <v>31.4375</v>
      </c>
      <c r="AA5388" s="6">
        <v>2.4300000000000002</v>
      </c>
      <c r="AB5388" s="7">
        <v>24.943000000000001</v>
      </c>
      <c r="AC5388" s="2"/>
    </row>
    <row r="5389" spans="1:29" ht="130" x14ac:dyDescent="0.15">
      <c r="A5389" s="3">
        <f>DATE(2000,3,27)</f>
        <v>36612</v>
      </c>
      <c r="B5389" s="3">
        <f>DATE(2000,7,24)</f>
        <v>36731</v>
      </c>
      <c r="C5389" s="2" t="s">
        <v>95</v>
      </c>
      <c r="D5389" s="2" t="s">
        <v>16644</v>
      </c>
      <c r="E5389" s="2" t="s">
        <v>9653</v>
      </c>
      <c r="F5389" s="4">
        <v>7372</v>
      </c>
      <c r="G5389" s="2" t="s">
        <v>551</v>
      </c>
      <c r="H5389" s="2" t="s">
        <v>34</v>
      </c>
      <c r="I5389" s="2" t="s">
        <v>16645</v>
      </c>
      <c r="J5389" s="2" t="s">
        <v>16646</v>
      </c>
      <c r="K5389" s="2" t="s">
        <v>223</v>
      </c>
      <c r="L5389" s="2" t="s">
        <v>34</v>
      </c>
      <c r="M5389" s="12">
        <v>5591.5039999999999</v>
      </c>
      <c r="N5389" s="7">
        <v>129.047</v>
      </c>
      <c r="O5389" s="7">
        <v>129.375</v>
      </c>
      <c r="P5389" s="2" t="s">
        <v>16647</v>
      </c>
      <c r="Q5389" s="6">
        <v>100</v>
      </c>
      <c r="R5389" s="6">
        <v>122.29</v>
      </c>
      <c r="S5389" s="5">
        <v>25.1</v>
      </c>
      <c r="T5389" s="7">
        <v>0.153</v>
      </c>
      <c r="U5389" s="5">
        <v>4.8</v>
      </c>
      <c r="V5389" s="6">
        <v>1.35</v>
      </c>
      <c r="W5389" s="7">
        <v>64.563000000000002</v>
      </c>
      <c r="X5389" s="7">
        <v>69.875</v>
      </c>
      <c r="Y5389" s="7">
        <v>82.375</v>
      </c>
      <c r="Z5389" s="7">
        <v>85.125</v>
      </c>
      <c r="AA5389" s="6">
        <v>17.079999999999998</v>
      </c>
      <c r="AB5389" s="2" t="s">
        <v>86</v>
      </c>
      <c r="AC5389" s="6">
        <v>186.54</v>
      </c>
    </row>
    <row r="5390" spans="1:29" ht="143" x14ac:dyDescent="0.15">
      <c r="A5390" s="3">
        <f>DATE(2000,3,28)</f>
        <v>36613</v>
      </c>
      <c r="B5390" s="3">
        <f>DATE(2000,9,1)</f>
        <v>36770</v>
      </c>
      <c r="C5390" s="2" t="s">
        <v>95</v>
      </c>
      <c r="D5390" s="2" t="s">
        <v>607</v>
      </c>
      <c r="E5390" s="2" t="s">
        <v>36</v>
      </c>
      <c r="F5390" s="4">
        <v>6712</v>
      </c>
      <c r="G5390" s="2" t="s">
        <v>37</v>
      </c>
      <c r="H5390" s="2" t="s">
        <v>34</v>
      </c>
      <c r="I5390" s="2" t="s">
        <v>16648</v>
      </c>
      <c r="J5390" s="2" t="s">
        <v>672</v>
      </c>
      <c r="K5390" s="2" t="s">
        <v>37</v>
      </c>
      <c r="L5390" s="2" t="s">
        <v>34</v>
      </c>
      <c r="M5390" s="2"/>
      <c r="N5390" s="2"/>
      <c r="O5390" s="2"/>
      <c r="P5390" s="2" t="s">
        <v>16649</v>
      </c>
      <c r="Q5390" s="6">
        <v>100</v>
      </c>
      <c r="R5390" s="6">
        <v>15.88</v>
      </c>
      <c r="S5390" s="5">
        <v>0.4</v>
      </c>
      <c r="T5390" s="2"/>
      <c r="U5390" s="5">
        <v>7.4</v>
      </c>
      <c r="V5390" s="9">
        <v>0.5857</v>
      </c>
      <c r="W5390" s="4">
        <v>6</v>
      </c>
      <c r="X5390" s="7">
        <v>7.125</v>
      </c>
      <c r="Y5390" s="6">
        <v>14.75</v>
      </c>
      <c r="Z5390" s="7">
        <v>14.938000000000001</v>
      </c>
      <c r="AA5390" s="6">
        <v>0.75</v>
      </c>
      <c r="AB5390" s="7">
        <v>37.72</v>
      </c>
      <c r="AC5390" s="2"/>
    </row>
    <row r="5391" spans="1:29" ht="247" x14ac:dyDescent="0.15">
      <c r="A5391" s="3">
        <f>DATE(2000,3,28)</f>
        <v>36613</v>
      </c>
      <c r="B5391" s="3">
        <f>DATE(2000,10,17)</f>
        <v>36816</v>
      </c>
      <c r="C5391" s="2" t="s">
        <v>95</v>
      </c>
      <c r="D5391" s="2" t="s">
        <v>16650</v>
      </c>
      <c r="E5391" s="2" t="s">
        <v>36</v>
      </c>
      <c r="F5391" s="4">
        <v>6035</v>
      </c>
      <c r="G5391" s="2" t="s">
        <v>33</v>
      </c>
      <c r="H5391" s="2" t="s">
        <v>34</v>
      </c>
      <c r="I5391" s="2" t="s">
        <v>16651</v>
      </c>
      <c r="J5391" s="2" t="s">
        <v>16652</v>
      </c>
      <c r="K5391" s="2" t="s">
        <v>33</v>
      </c>
      <c r="L5391" s="2" t="s">
        <v>34</v>
      </c>
      <c r="M5391" s="7">
        <v>212.59899999999999</v>
      </c>
      <c r="N5391" s="6">
        <v>6.75</v>
      </c>
      <c r="O5391" s="4">
        <v>7</v>
      </c>
      <c r="P5391" s="2" t="s">
        <v>16653</v>
      </c>
      <c r="Q5391" s="6">
        <v>100</v>
      </c>
      <c r="R5391" s="6">
        <v>17.25</v>
      </c>
      <c r="S5391" s="5">
        <v>10.1</v>
      </c>
      <c r="T5391" s="2"/>
      <c r="U5391" s="5">
        <v>10.9</v>
      </c>
      <c r="V5391" s="9">
        <v>0.9738</v>
      </c>
      <c r="W5391" s="6">
        <v>12.75</v>
      </c>
      <c r="X5391" s="7">
        <v>14.625</v>
      </c>
      <c r="Y5391" s="4">
        <v>15</v>
      </c>
      <c r="Z5391" s="9">
        <v>14.4375</v>
      </c>
      <c r="AA5391" s="6">
        <v>10.050000000000001</v>
      </c>
      <c r="AB5391" s="7">
        <v>43.003</v>
      </c>
      <c r="AC5391" s="2"/>
    </row>
    <row r="5392" spans="1:29" ht="260" x14ac:dyDescent="0.15">
      <c r="A5392" s="3">
        <f>DATE(2000,3,29)</f>
        <v>36614</v>
      </c>
      <c r="B5392" s="2"/>
      <c r="C5392" s="2" t="s">
        <v>30</v>
      </c>
      <c r="D5392" s="2" t="s">
        <v>16654</v>
      </c>
      <c r="E5392" s="2" t="s">
        <v>16655</v>
      </c>
      <c r="F5392" s="4">
        <v>7374</v>
      </c>
      <c r="G5392" s="2" t="s">
        <v>223</v>
      </c>
      <c r="H5392" s="2" t="s">
        <v>34</v>
      </c>
      <c r="I5392" s="2" t="s">
        <v>16656</v>
      </c>
      <c r="J5392" s="2" t="s">
        <v>16657</v>
      </c>
      <c r="K5392" s="2" t="s">
        <v>551</v>
      </c>
      <c r="L5392" s="2" t="s">
        <v>34</v>
      </c>
      <c r="M5392" s="12">
        <v>1752.4929999999999</v>
      </c>
      <c r="N5392" s="5">
        <v>33.5</v>
      </c>
      <c r="O5392" s="7">
        <v>30.125</v>
      </c>
      <c r="P5392" s="2" t="s">
        <v>16658</v>
      </c>
      <c r="Q5392" s="2"/>
      <c r="R5392" s="6">
        <v>27.03</v>
      </c>
      <c r="S5392" s="5">
        <v>276.10000000000002</v>
      </c>
      <c r="T5392" s="7">
        <v>448.96600000000001</v>
      </c>
      <c r="U5392" s="5">
        <v>1.6</v>
      </c>
      <c r="V5392" s="6">
        <v>0.78</v>
      </c>
      <c r="W5392" s="6">
        <v>22.25</v>
      </c>
      <c r="X5392" s="7">
        <v>21.625</v>
      </c>
      <c r="Y5392" s="6">
        <v>16.75</v>
      </c>
      <c r="Z5392" s="7">
        <v>16.375</v>
      </c>
      <c r="AA5392" s="6">
        <v>298.33999999999997</v>
      </c>
      <c r="AB5392" s="7">
        <v>24.105</v>
      </c>
      <c r="AC5392" s="6">
        <v>24.81</v>
      </c>
    </row>
    <row r="5393" spans="1:29" ht="221" x14ac:dyDescent="0.15">
      <c r="A5393" s="3">
        <f>DATE(2000,3,29)</f>
        <v>36614</v>
      </c>
      <c r="B5393" s="3">
        <f>DATE(2000,11,22)</f>
        <v>36852</v>
      </c>
      <c r="C5393" s="2" t="s">
        <v>95</v>
      </c>
      <c r="D5393" s="2" t="s">
        <v>6821</v>
      </c>
      <c r="E5393" s="2" t="s">
        <v>6822</v>
      </c>
      <c r="F5393" s="4">
        <v>3572</v>
      </c>
      <c r="G5393" s="2" t="s">
        <v>50</v>
      </c>
      <c r="H5393" s="2" t="s">
        <v>34</v>
      </c>
      <c r="I5393" s="2" t="s">
        <v>9114</v>
      </c>
      <c r="J5393" s="2" t="s">
        <v>9115</v>
      </c>
      <c r="K5393" s="2" t="s">
        <v>551</v>
      </c>
      <c r="L5393" s="2" t="s">
        <v>34</v>
      </c>
      <c r="M5393" s="12">
        <v>35084.584000000003</v>
      </c>
      <c r="N5393" s="5">
        <v>142.5</v>
      </c>
      <c r="O5393" s="6">
        <v>145.25</v>
      </c>
      <c r="P5393" s="2" t="s">
        <v>16659</v>
      </c>
      <c r="Q5393" s="6">
        <v>100</v>
      </c>
      <c r="R5393" s="6">
        <v>77.36</v>
      </c>
      <c r="S5393" s="8">
        <v>1045</v>
      </c>
      <c r="T5393" s="8">
        <v>1072</v>
      </c>
      <c r="U5393" s="5">
        <v>14.1</v>
      </c>
      <c r="V5393" s="6">
        <v>3.97</v>
      </c>
      <c r="W5393" s="7">
        <v>68.188000000000002</v>
      </c>
      <c r="X5393" s="4">
        <v>68</v>
      </c>
      <c r="Y5393" s="6">
        <v>62.75</v>
      </c>
      <c r="Z5393" s="4">
        <v>67</v>
      </c>
      <c r="AA5393" s="6">
        <v>215.85</v>
      </c>
      <c r="AB5393" s="7">
        <v>49.38</v>
      </c>
      <c r="AC5393" s="6">
        <v>692.38</v>
      </c>
    </row>
    <row r="5394" spans="1:29" ht="195" x14ac:dyDescent="0.15">
      <c r="A5394" s="3">
        <f>DATE(2000,3,30)</f>
        <v>36615</v>
      </c>
      <c r="B5394" s="3">
        <f>DATE(2000,9,6)</f>
        <v>36775</v>
      </c>
      <c r="C5394" s="2" t="s">
        <v>95</v>
      </c>
      <c r="D5394" s="2" t="s">
        <v>16660</v>
      </c>
      <c r="E5394" s="2" t="s">
        <v>844</v>
      </c>
      <c r="F5394" s="4">
        <v>6552</v>
      </c>
      <c r="G5394" s="2" t="s">
        <v>109</v>
      </c>
      <c r="H5394" s="2" t="s">
        <v>34</v>
      </c>
      <c r="I5394" s="2" t="s">
        <v>16661</v>
      </c>
      <c r="J5394" s="2" t="s">
        <v>16662</v>
      </c>
      <c r="K5394" s="2" t="s">
        <v>223</v>
      </c>
      <c r="L5394" s="2" t="s">
        <v>34</v>
      </c>
      <c r="M5394" s="2"/>
      <c r="N5394" s="2"/>
      <c r="O5394" s="2"/>
      <c r="P5394" s="2" t="s">
        <v>16663</v>
      </c>
      <c r="Q5394" s="6">
        <v>73.88</v>
      </c>
      <c r="R5394" s="6">
        <v>19.25</v>
      </c>
      <c r="S5394" s="5">
        <v>16.3</v>
      </c>
      <c r="T5394" s="7">
        <v>36.143999999999998</v>
      </c>
      <c r="U5394" s="5">
        <v>32.6</v>
      </c>
      <c r="V5394" s="6">
        <v>0.96</v>
      </c>
      <c r="W5394" s="7">
        <v>12.438000000000001</v>
      </c>
      <c r="X5394" s="7">
        <v>12.063000000000001</v>
      </c>
      <c r="Y5394" s="7">
        <v>16.875</v>
      </c>
      <c r="Z5394" s="7">
        <v>16.812999999999999</v>
      </c>
      <c r="AA5394" s="6">
        <v>17.05</v>
      </c>
      <c r="AB5394" s="7">
        <v>34.548000000000002</v>
      </c>
      <c r="AC5394" s="2"/>
    </row>
    <row r="5395" spans="1:29" ht="247" x14ac:dyDescent="0.15">
      <c r="A5395" s="3">
        <f>DATE(2000,3,30)</f>
        <v>36615</v>
      </c>
      <c r="B5395" s="3">
        <f>DATE(2000,8,22)</f>
        <v>36760</v>
      </c>
      <c r="C5395" s="2" t="s">
        <v>95</v>
      </c>
      <c r="D5395" s="2" t="s">
        <v>16664</v>
      </c>
      <c r="E5395" s="2" t="s">
        <v>16665</v>
      </c>
      <c r="F5395" s="4">
        <v>3577</v>
      </c>
      <c r="G5395" s="2" t="s">
        <v>50</v>
      </c>
      <c r="H5395" s="2" t="s">
        <v>34</v>
      </c>
      <c r="I5395" s="2" t="s">
        <v>51</v>
      </c>
      <c r="J5395" s="2" t="s">
        <v>52</v>
      </c>
      <c r="K5395" s="2" t="s">
        <v>53</v>
      </c>
      <c r="L5395" s="2" t="s">
        <v>34</v>
      </c>
      <c r="M5395" s="2"/>
      <c r="N5395" s="2"/>
      <c r="O5395" s="2"/>
      <c r="P5395" s="2" t="s">
        <v>16666</v>
      </c>
      <c r="Q5395" s="6">
        <v>60.56</v>
      </c>
      <c r="R5395" s="2"/>
      <c r="S5395" s="5">
        <v>-73.7</v>
      </c>
      <c r="T5395" s="7">
        <v>-34.008000000000003</v>
      </c>
      <c r="U5395" s="5">
        <v>5.5</v>
      </c>
      <c r="V5395" s="6">
        <v>-18.96</v>
      </c>
      <c r="W5395" s="7">
        <v>2.9380000000000002</v>
      </c>
      <c r="X5395" s="7">
        <v>2.9689999999999999</v>
      </c>
      <c r="Y5395" s="7">
        <v>2.875</v>
      </c>
      <c r="Z5395" s="5">
        <v>2.5</v>
      </c>
      <c r="AA5395" s="6">
        <v>15.54</v>
      </c>
      <c r="AB5395" s="2" t="s">
        <v>86</v>
      </c>
      <c r="AC5395" s="2"/>
    </row>
    <row r="5396" spans="1:29" ht="234" x14ac:dyDescent="0.15">
      <c r="A5396" s="3">
        <f>DATE(2000,3,30)</f>
        <v>36615</v>
      </c>
      <c r="B5396" s="2"/>
      <c r="C5396" s="2" t="s">
        <v>30</v>
      </c>
      <c r="D5396" s="2" t="s">
        <v>13134</v>
      </c>
      <c r="E5396" s="2" t="s">
        <v>13135</v>
      </c>
      <c r="F5396" s="4">
        <v>7372</v>
      </c>
      <c r="G5396" s="2" t="s">
        <v>551</v>
      </c>
      <c r="H5396" s="2" t="s">
        <v>34</v>
      </c>
      <c r="I5396" s="2" t="s">
        <v>16667</v>
      </c>
      <c r="J5396" s="2" t="s">
        <v>16668</v>
      </c>
      <c r="K5396" s="2" t="s">
        <v>223</v>
      </c>
      <c r="L5396" s="2" t="s">
        <v>34</v>
      </c>
      <c r="M5396" s="12">
        <v>3248.0329999999999</v>
      </c>
      <c r="N5396" s="7">
        <v>19.875</v>
      </c>
      <c r="O5396" s="7">
        <v>16.375</v>
      </c>
      <c r="P5396" s="2" t="s">
        <v>16669</v>
      </c>
      <c r="Q5396" s="2"/>
      <c r="R5396" s="6">
        <v>40.82</v>
      </c>
      <c r="S5396" s="5">
        <v>-9.4</v>
      </c>
      <c r="T5396" s="7">
        <v>40.222000000000001</v>
      </c>
      <c r="U5396" s="5">
        <v>2.8</v>
      </c>
      <c r="V5396" s="6">
        <v>-0.27</v>
      </c>
      <c r="W5396" s="6">
        <v>28.75</v>
      </c>
      <c r="X5396" s="7">
        <v>25.812999999999999</v>
      </c>
      <c r="Y5396" s="6">
        <v>23.25</v>
      </c>
      <c r="Z5396" s="7">
        <v>19.375</v>
      </c>
      <c r="AA5396" s="6">
        <v>35.159999999999997</v>
      </c>
      <c r="AB5396" s="2" t="s">
        <v>86</v>
      </c>
      <c r="AC5396" s="6">
        <v>149.59</v>
      </c>
    </row>
    <row r="5397" spans="1:29" ht="143" x14ac:dyDescent="0.15">
      <c r="A5397" s="3">
        <f>DATE(2000,3,31)</f>
        <v>36616</v>
      </c>
      <c r="B5397" s="3">
        <f>DATE(2000,5,10)</f>
        <v>36656</v>
      </c>
      <c r="C5397" s="2" t="s">
        <v>95</v>
      </c>
      <c r="D5397" s="2" t="s">
        <v>6438</v>
      </c>
      <c r="E5397" s="2" t="s">
        <v>6439</v>
      </c>
      <c r="F5397" s="4">
        <v>2211</v>
      </c>
      <c r="G5397" s="2" t="s">
        <v>708</v>
      </c>
      <c r="H5397" s="2" t="s">
        <v>34</v>
      </c>
      <c r="I5397" s="2" t="s">
        <v>16670</v>
      </c>
      <c r="J5397" s="2" t="s">
        <v>302</v>
      </c>
      <c r="K5397" s="2" t="s">
        <v>53</v>
      </c>
      <c r="L5397" s="2" t="s">
        <v>34</v>
      </c>
      <c r="M5397" s="2"/>
      <c r="N5397" s="2"/>
      <c r="O5397" s="2"/>
      <c r="P5397" s="2" t="s">
        <v>16671</v>
      </c>
      <c r="Q5397" s="6">
        <v>100</v>
      </c>
      <c r="R5397" s="6">
        <v>3</v>
      </c>
      <c r="S5397" s="5">
        <v>-8</v>
      </c>
      <c r="T5397" s="7">
        <v>19.277000000000001</v>
      </c>
      <c r="U5397" s="5">
        <v>3.8</v>
      </c>
      <c r="V5397" s="6">
        <v>-0.75</v>
      </c>
      <c r="W5397" s="7">
        <v>1.9379999999999999</v>
      </c>
      <c r="X5397" s="7">
        <v>2.3130000000000002</v>
      </c>
      <c r="Y5397" s="6">
        <v>2.75</v>
      </c>
      <c r="Z5397" s="6">
        <v>2.75</v>
      </c>
      <c r="AA5397" s="6">
        <v>10.72</v>
      </c>
      <c r="AB5397" s="7">
        <v>248.09399999999999</v>
      </c>
      <c r="AC5397" s="2"/>
    </row>
    <row r="5398" spans="1:29" ht="130" x14ac:dyDescent="0.15">
      <c r="A5398" s="3">
        <f>DATE(2000,3,31)</f>
        <v>36616</v>
      </c>
      <c r="B5398" s="2"/>
      <c r="C5398" s="2" t="s">
        <v>30</v>
      </c>
      <c r="D5398" s="2" t="s">
        <v>3858</v>
      </c>
      <c r="E5398" s="2" t="s">
        <v>3859</v>
      </c>
      <c r="F5398" s="4">
        <v>7372</v>
      </c>
      <c r="G5398" s="2" t="s">
        <v>551</v>
      </c>
      <c r="H5398" s="2" t="s">
        <v>34</v>
      </c>
      <c r="I5398" s="2" t="s">
        <v>7577</v>
      </c>
      <c r="J5398" s="2" t="s">
        <v>244</v>
      </c>
      <c r="K5398" s="2" t="s">
        <v>53</v>
      </c>
      <c r="L5398" s="2" t="s">
        <v>34</v>
      </c>
      <c r="M5398" s="2"/>
      <c r="N5398" s="2"/>
      <c r="O5398" s="2"/>
      <c r="P5398" s="2" t="s">
        <v>16672</v>
      </c>
      <c r="Q5398" s="2"/>
      <c r="R5398" s="6">
        <v>14</v>
      </c>
      <c r="S5398" s="5">
        <v>-98.2</v>
      </c>
      <c r="T5398" s="6">
        <v>85.67</v>
      </c>
      <c r="U5398" s="5">
        <v>8.6</v>
      </c>
      <c r="V5398" s="6">
        <v>-2.73</v>
      </c>
      <c r="W5398" s="7">
        <v>8.625</v>
      </c>
      <c r="X5398" s="6">
        <v>8.75</v>
      </c>
      <c r="Y5398" s="4">
        <v>12</v>
      </c>
      <c r="Z5398" s="9">
        <v>11.1875</v>
      </c>
      <c r="AA5398" s="6">
        <v>35.590000000000003</v>
      </c>
      <c r="AB5398" s="2" t="s">
        <v>86</v>
      </c>
      <c r="AC5398" s="2"/>
    </row>
    <row r="5399" spans="1:29" ht="143" x14ac:dyDescent="0.15">
      <c r="A5399" s="3">
        <f>DATE(2000,3,31)</f>
        <v>36616</v>
      </c>
      <c r="B5399" s="3">
        <f>DATE(2000,5,8)</f>
        <v>36654</v>
      </c>
      <c r="C5399" s="2" t="s">
        <v>95</v>
      </c>
      <c r="D5399" s="2" t="s">
        <v>16673</v>
      </c>
      <c r="E5399" s="2" t="s">
        <v>16674</v>
      </c>
      <c r="F5399" s="4">
        <v>2511</v>
      </c>
      <c r="G5399" s="2" t="s">
        <v>250</v>
      </c>
      <c r="H5399" s="2" t="s">
        <v>34</v>
      </c>
      <c r="I5399" s="2" t="s">
        <v>51</v>
      </c>
      <c r="J5399" s="2" t="s">
        <v>52</v>
      </c>
      <c r="K5399" s="2" t="s">
        <v>53</v>
      </c>
      <c r="L5399" s="2" t="s">
        <v>34</v>
      </c>
      <c r="M5399" s="2"/>
      <c r="N5399" s="2"/>
      <c r="O5399" s="2"/>
      <c r="P5399" s="2" t="s">
        <v>16675</v>
      </c>
      <c r="Q5399" s="6">
        <v>100</v>
      </c>
      <c r="R5399" s="6">
        <v>22.5</v>
      </c>
      <c r="S5399" s="5">
        <v>8.1999999999999993</v>
      </c>
      <c r="T5399" s="7">
        <v>20.837</v>
      </c>
      <c r="U5399" s="5">
        <v>22.7</v>
      </c>
      <c r="V5399" s="6">
        <v>2.85</v>
      </c>
      <c r="W5399" s="7">
        <v>17.125</v>
      </c>
      <c r="X5399" s="7">
        <v>21.875</v>
      </c>
      <c r="Y5399" s="7">
        <v>21.812999999999999</v>
      </c>
      <c r="Z5399" s="7">
        <v>21.812999999999999</v>
      </c>
      <c r="AA5399" s="6">
        <v>2.9</v>
      </c>
      <c r="AB5399" s="7">
        <v>8.3719999999999999</v>
      </c>
      <c r="AC5399" s="2"/>
    </row>
    <row r="5400" spans="1:29" ht="130" x14ac:dyDescent="0.15">
      <c r="A5400" s="3">
        <f>DATE(2000,3,31)</f>
        <v>36616</v>
      </c>
      <c r="B5400" s="3">
        <f>DATE(2000,10,31)</f>
        <v>36830</v>
      </c>
      <c r="C5400" s="2" t="s">
        <v>95</v>
      </c>
      <c r="D5400" s="2" t="s">
        <v>16676</v>
      </c>
      <c r="E5400" s="2" t="s">
        <v>16677</v>
      </c>
      <c r="F5400" s="4">
        <v>7361</v>
      </c>
      <c r="G5400" s="2" t="s">
        <v>223</v>
      </c>
      <c r="H5400" s="2" t="s">
        <v>34</v>
      </c>
      <c r="I5400" s="2" t="s">
        <v>51</v>
      </c>
      <c r="J5400" s="2" t="s">
        <v>52</v>
      </c>
      <c r="K5400" s="2" t="s">
        <v>53</v>
      </c>
      <c r="L5400" s="2" t="s">
        <v>34</v>
      </c>
      <c r="M5400" s="2"/>
      <c r="N5400" s="2"/>
      <c r="O5400" s="2"/>
      <c r="P5400" s="2" t="s">
        <v>16678</v>
      </c>
      <c r="Q5400" s="6">
        <v>100</v>
      </c>
      <c r="R5400" s="6">
        <v>5.25</v>
      </c>
      <c r="S5400" s="5">
        <v>3.1</v>
      </c>
      <c r="T5400" s="7">
        <v>5.8940000000000001</v>
      </c>
      <c r="U5400" s="5">
        <v>2.2999999999999998</v>
      </c>
      <c r="V5400" s="6">
        <v>0.65</v>
      </c>
      <c r="W5400" s="7">
        <v>2.875</v>
      </c>
      <c r="X5400" s="7">
        <v>2.875</v>
      </c>
      <c r="Y5400" s="7">
        <v>2.875</v>
      </c>
      <c r="Z5400" s="6">
        <v>3.75</v>
      </c>
      <c r="AA5400" s="6">
        <v>4.1500000000000004</v>
      </c>
      <c r="AB5400" s="7">
        <v>5.7690000000000001</v>
      </c>
      <c r="AC5400" s="2"/>
    </row>
    <row r="5401" spans="1:29" ht="104" x14ac:dyDescent="0.15">
      <c r="A5401" s="3">
        <f>DATE(2000,3,31)</f>
        <v>36616</v>
      </c>
      <c r="B5401" s="3">
        <f>DATE(2000,9,20)</f>
        <v>36789</v>
      </c>
      <c r="C5401" s="2" t="s">
        <v>95</v>
      </c>
      <c r="D5401" s="2" t="s">
        <v>16679</v>
      </c>
      <c r="E5401" s="2" t="s">
        <v>16680</v>
      </c>
      <c r="F5401" s="2" t="s">
        <v>16681</v>
      </c>
      <c r="G5401" s="2" t="s">
        <v>426</v>
      </c>
      <c r="H5401" s="2" t="s">
        <v>34</v>
      </c>
      <c r="I5401" s="2" t="s">
        <v>51</v>
      </c>
      <c r="J5401" s="2" t="s">
        <v>52</v>
      </c>
      <c r="K5401" s="2" t="s">
        <v>53</v>
      </c>
      <c r="L5401" s="2" t="s">
        <v>34</v>
      </c>
      <c r="M5401" s="2"/>
      <c r="N5401" s="2"/>
      <c r="O5401" s="2"/>
      <c r="P5401" s="2" t="s">
        <v>16682</v>
      </c>
      <c r="Q5401" s="6">
        <v>100</v>
      </c>
      <c r="R5401" s="6">
        <v>15</v>
      </c>
      <c r="S5401" s="5">
        <v>25.1</v>
      </c>
      <c r="T5401" s="5">
        <v>68.900000000000006</v>
      </c>
      <c r="U5401" s="5">
        <v>10.9</v>
      </c>
      <c r="V5401" s="6">
        <v>1.1499999999999999</v>
      </c>
      <c r="W5401" s="7">
        <v>13.688000000000001</v>
      </c>
      <c r="X5401" s="7">
        <v>13.375</v>
      </c>
      <c r="Y5401" s="6">
        <v>13.75</v>
      </c>
      <c r="Z5401" s="7">
        <v>13.625</v>
      </c>
      <c r="AA5401" s="6">
        <v>21.77</v>
      </c>
      <c r="AB5401" s="7">
        <v>10.175000000000001</v>
      </c>
      <c r="AC5401" s="2"/>
    </row>
    <row r="5402" spans="1:29" ht="156" x14ac:dyDescent="0.15">
      <c r="A5402" s="3">
        <f>DATE(2000,4,3)</f>
        <v>36619</v>
      </c>
      <c r="B5402" s="3">
        <f>DATE(2000,7,31)</f>
        <v>36738</v>
      </c>
      <c r="C5402" s="2" t="s">
        <v>95</v>
      </c>
      <c r="D5402" s="2" t="s">
        <v>16683</v>
      </c>
      <c r="E5402" s="2" t="s">
        <v>16684</v>
      </c>
      <c r="F5402" s="4">
        <v>3411</v>
      </c>
      <c r="G5402" s="2" t="s">
        <v>163</v>
      </c>
      <c r="H5402" s="2" t="s">
        <v>34</v>
      </c>
      <c r="I5402" s="2" t="s">
        <v>16685</v>
      </c>
      <c r="J5402" s="2" t="s">
        <v>16686</v>
      </c>
      <c r="K5402" s="2" t="s">
        <v>163</v>
      </c>
      <c r="L5402" s="2" t="s">
        <v>303</v>
      </c>
      <c r="M5402" s="12">
        <v>1075.124</v>
      </c>
      <c r="N5402" s="2"/>
      <c r="O5402" s="2"/>
      <c r="P5402" s="2" t="s">
        <v>16687</v>
      </c>
      <c r="Q5402" s="6">
        <v>100</v>
      </c>
      <c r="R5402" s="6">
        <v>18</v>
      </c>
      <c r="S5402" s="5">
        <v>-30.9</v>
      </c>
      <c r="T5402" s="6">
        <v>351.72</v>
      </c>
      <c r="U5402" s="5">
        <v>18.2</v>
      </c>
      <c r="V5402" s="6">
        <v>-0.63</v>
      </c>
      <c r="W5402" s="7">
        <v>12.688000000000001</v>
      </c>
      <c r="X5402" s="7">
        <v>13.125</v>
      </c>
      <c r="Y5402" s="7">
        <v>17.187999999999999</v>
      </c>
      <c r="Z5402" s="7">
        <v>16.875</v>
      </c>
      <c r="AA5402" s="6">
        <v>55</v>
      </c>
      <c r="AB5402" s="7">
        <v>8.9290000000000003</v>
      </c>
      <c r="AC5402" s="6">
        <v>169.85</v>
      </c>
    </row>
    <row r="5403" spans="1:29" ht="182" x14ac:dyDescent="0.15">
      <c r="A5403" s="3">
        <f>DATE(2000,4,3)</f>
        <v>36619</v>
      </c>
      <c r="B5403" s="2"/>
      <c r="C5403" s="2" t="s">
        <v>30</v>
      </c>
      <c r="D5403" s="2" t="s">
        <v>16688</v>
      </c>
      <c r="E5403" s="2" t="s">
        <v>16689</v>
      </c>
      <c r="F5403" s="4">
        <v>5945</v>
      </c>
      <c r="G5403" s="2" t="s">
        <v>73</v>
      </c>
      <c r="H5403" s="2" t="s">
        <v>34</v>
      </c>
      <c r="I5403" s="2" t="s">
        <v>16690</v>
      </c>
      <c r="J5403" s="2" t="s">
        <v>16691</v>
      </c>
      <c r="K5403" s="2" t="s">
        <v>1227</v>
      </c>
      <c r="L5403" s="2" t="s">
        <v>34</v>
      </c>
      <c r="M5403" s="7">
        <v>358.19900000000001</v>
      </c>
      <c r="N5403" s="6">
        <v>19.25</v>
      </c>
      <c r="O5403" s="7">
        <v>19.062999999999999</v>
      </c>
      <c r="P5403" s="2" t="s">
        <v>16692</v>
      </c>
      <c r="Q5403" s="2"/>
      <c r="R5403" s="6">
        <v>21</v>
      </c>
      <c r="S5403" s="5">
        <v>8.6999999999999993</v>
      </c>
      <c r="T5403" s="7">
        <v>18.728000000000002</v>
      </c>
      <c r="U5403" s="5">
        <v>7.5</v>
      </c>
      <c r="V5403" s="6">
        <v>1.39</v>
      </c>
      <c r="W5403" s="6">
        <v>13.75</v>
      </c>
      <c r="X5403" s="7">
        <v>11.875</v>
      </c>
      <c r="Y5403" s="7">
        <v>16.875</v>
      </c>
      <c r="Z5403" s="7">
        <v>16.812999999999999</v>
      </c>
      <c r="AA5403" s="6">
        <v>6.01</v>
      </c>
      <c r="AB5403" s="7">
        <v>7.9109999999999996</v>
      </c>
      <c r="AC5403" s="5">
        <v>88.4</v>
      </c>
    </row>
    <row r="5404" spans="1:29" ht="182" x14ac:dyDescent="0.15">
      <c r="A5404" s="3">
        <f>DATE(2000,4,3)</f>
        <v>36619</v>
      </c>
      <c r="B5404" s="3">
        <f>DATE(2000,7,17)</f>
        <v>36724</v>
      </c>
      <c r="C5404" s="2" t="s">
        <v>95</v>
      </c>
      <c r="D5404" s="2" t="s">
        <v>9957</v>
      </c>
      <c r="E5404" s="2" t="s">
        <v>612</v>
      </c>
      <c r="F5404" s="4">
        <v>1311</v>
      </c>
      <c r="G5404" s="2" t="s">
        <v>148</v>
      </c>
      <c r="H5404" s="2" t="s">
        <v>34</v>
      </c>
      <c r="I5404" s="2" t="s">
        <v>16693</v>
      </c>
      <c r="J5404" s="2" t="s">
        <v>1608</v>
      </c>
      <c r="K5404" s="2" t="s">
        <v>148</v>
      </c>
      <c r="L5404" s="2" t="s">
        <v>34</v>
      </c>
      <c r="M5404" s="12">
        <v>3872.4569999999999</v>
      </c>
      <c r="N5404" s="5">
        <v>34.5</v>
      </c>
      <c r="O5404" s="6">
        <v>34.75</v>
      </c>
      <c r="P5404" s="2" t="s">
        <v>16694</v>
      </c>
      <c r="Q5404" s="6">
        <v>100</v>
      </c>
      <c r="R5404" s="6">
        <v>17.600000000000001</v>
      </c>
      <c r="S5404" s="5">
        <v>139.6</v>
      </c>
      <c r="T5404" s="8">
        <v>1007.2</v>
      </c>
      <c r="U5404" s="5">
        <v>4.0999999999999996</v>
      </c>
      <c r="V5404" s="6">
        <v>0.56000000000000005</v>
      </c>
      <c r="W5404" s="7">
        <v>12.188000000000001</v>
      </c>
      <c r="X5404" s="5">
        <v>14.5</v>
      </c>
      <c r="Y5404" s="7">
        <v>14.688000000000001</v>
      </c>
      <c r="Z5404" s="4">
        <v>15</v>
      </c>
      <c r="AA5404" s="6">
        <v>251.95</v>
      </c>
      <c r="AB5404" s="7">
        <v>37.091999999999999</v>
      </c>
      <c r="AC5404" s="5">
        <v>9.4</v>
      </c>
    </row>
    <row r="5405" spans="1:29" ht="325" x14ac:dyDescent="0.15">
      <c r="A5405" s="3">
        <f>DATE(2000,4,4)</f>
        <v>36620</v>
      </c>
      <c r="B5405" s="2"/>
      <c r="C5405" s="2" t="s">
        <v>30</v>
      </c>
      <c r="D5405" s="2" t="s">
        <v>16695</v>
      </c>
      <c r="E5405" s="2" t="s">
        <v>16696</v>
      </c>
      <c r="F5405" s="4">
        <v>2052</v>
      </c>
      <c r="G5405" s="2" t="s">
        <v>577</v>
      </c>
      <c r="H5405" s="2" t="s">
        <v>34</v>
      </c>
      <c r="I5405" s="2" t="s">
        <v>16697</v>
      </c>
      <c r="J5405" s="2" t="s">
        <v>150</v>
      </c>
      <c r="K5405" s="2" t="s">
        <v>53</v>
      </c>
      <c r="L5405" s="2" t="s">
        <v>34</v>
      </c>
      <c r="M5405" s="2"/>
      <c r="N5405" s="2"/>
      <c r="O5405" s="2"/>
      <c r="P5405" s="2" t="s">
        <v>16698</v>
      </c>
      <c r="Q5405" s="2"/>
      <c r="R5405" s="6">
        <v>28</v>
      </c>
      <c r="S5405" s="5">
        <v>226</v>
      </c>
      <c r="T5405" s="5">
        <v>890</v>
      </c>
      <c r="U5405" s="5">
        <v>9.6999999999999993</v>
      </c>
      <c r="V5405" s="6">
        <v>0.67</v>
      </c>
      <c r="W5405" s="7">
        <v>9.875</v>
      </c>
      <c r="X5405" s="7">
        <v>9.3130000000000006</v>
      </c>
      <c r="Y5405" s="6">
        <v>11.75</v>
      </c>
      <c r="Z5405" s="9">
        <v>12.0625</v>
      </c>
      <c r="AA5405" s="6">
        <v>326.14999999999998</v>
      </c>
      <c r="AB5405" s="7">
        <v>23.670999999999999</v>
      </c>
      <c r="AC5405" s="2"/>
    </row>
    <row r="5406" spans="1:29" ht="65" x14ac:dyDescent="0.15">
      <c r="A5406" s="3">
        <f>DATE(2000,4,4)</f>
        <v>36620</v>
      </c>
      <c r="B5406" s="3">
        <f>DATE(2000,8,31)</f>
        <v>36769</v>
      </c>
      <c r="C5406" s="2" t="s">
        <v>95</v>
      </c>
      <c r="D5406" s="2" t="s">
        <v>16699</v>
      </c>
      <c r="E5406" s="2" t="s">
        <v>1181</v>
      </c>
      <c r="F5406" s="4">
        <v>6021</v>
      </c>
      <c r="G5406" s="2" t="s">
        <v>37</v>
      </c>
      <c r="H5406" s="2" t="s">
        <v>34</v>
      </c>
      <c r="I5406" s="2" t="s">
        <v>16700</v>
      </c>
      <c r="J5406" s="2" t="s">
        <v>1181</v>
      </c>
      <c r="K5406" s="2" t="s">
        <v>37</v>
      </c>
      <c r="L5406" s="2" t="s">
        <v>34</v>
      </c>
      <c r="M5406" s="2"/>
      <c r="N5406" s="2"/>
      <c r="O5406" s="2"/>
      <c r="P5406" s="2" t="s">
        <v>16701</v>
      </c>
      <c r="Q5406" s="6">
        <v>100</v>
      </c>
      <c r="R5406" s="6">
        <v>22.69</v>
      </c>
      <c r="S5406" s="2"/>
      <c r="T5406" s="2"/>
      <c r="U5406" s="2"/>
      <c r="V5406" s="2"/>
      <c r="W5406" s="4">
        <v>18</v>
      </c>
      <c r="X5406" s="4">
        <v>22</v>
      </c>
      <c r="Y5406" s="5">
        <v>21.5</v>
      </c>
      <c r="Z5406" s="5">
        <v>21.5</v>
      </c>
      <c r="AA5406" s="6">
        <v>0.49</v>
      </c>
      <c r="AB5406" s="2" t="s">
        <v>47</v>
      </c>
      <c r="AC5406" s="2"/>
    </row>
    <row r="5407" spans="1:29" ht="169" x14ac:dyDescent="0.15">
      <c r="A5407" s="3">
        <f>DATE(2000,4,5)</f>
        <v>36621</v>
      </c>
      <c r="B5407" s="3">
        <f>DATE(2000,6,19)</f>
        <v>36696</v>
      </c>
      <c r="C5407" s="2" t="s">
        <v>95</v>
      </c>
      <c r="D5407" s="2" t="s">
        <v>10811</v>
      </c>
      <c r="E5407" s="2" t="s">
        <v>10812</v>
      </c>
      <c r="F5407" s="4">
        <v>7372</v>
      </c>
      <c r="G5407" s="2" t="s">
        <v>551</v>
      </c>
      <c r="H5407" s="2" t="s">
        <v>34</v>
      </c>
      <c r="I5407" s="2" t="s">
        <v>12071</v>
      </c>
      <c r="J5407" s="2" t="s">
        <v>12072</v>
      </c>
      <c r="K5407" s="2" t="s">
        <v>551</v>
      </c>
      <c r="L5407" s="2" t="s">
        <v>34</v>
      </c>
      <c r="M5407" s="12">
        <v>3508.547</v>
      </c>
      <c r="N5407" s="4">
        <v>58</v>
      </c>
      <c r="O5407" s="6">
        <v>36.75</v>
      </c>
      <c r="P5407" s="2" t="s">
        <v>16702</v>
      </c>
      <c r="Q5407" s="6">
        <v>100</v>
      </c>
      <c r="R5407" s="6">
        <v>42.16</v>
      </c>
      <c r="S5407" s="5">
        <v>14.2</v>
      </c>
      <c r="T5407" s="7">
        <v>25.100999999999999</v>
      </c>
      <c r="U5407" s="5">
        <v>3.4</v>
      </c>
      <c r="V5407" s="9">
        <v>0.34210000000000002</v>
      </c>
      <c r="W5407" s="7">
        <v>29.640999999999998</v>
      </c>
      <c r="X5407" s="7">
        <v>22.125</v>
      </c>
      <c r="Y5407" s="7">
        <v>24.125</v>
      </c>
      <c r="Z5407" s="7">
        <v>26.562999999999999</v>
      </c>
      <c r="AA5407" s="6">
        <v>39.590000000000003</v>
      </c>
      <c r="AB5407" s="7">
        <v>142.81100000000001</v>
      </c>
      <c r="AC5407" s="5">
        <v>33.5</v>
      </c>
    </row>
    <row r="5408" spans="1:29" ht="195" x14ac:dyDescent="0.15">
      <c r="A5408" s="3">
        <f>DATE(2000,4,6)</f>
        <v>36622</v>
      </c>
      <c r="B5408" s="3">
        <f>DATE(2000,7,10)</f>
        <v>36717</v>
      </c>
      <c r="C5408" s="2" t="s">
        <v>95</v>
      </c>
      <c r="D5408" s="2" t="s">
        <v>16703</v>
      </c>
      <c r="E5408" s="2" t="s">
        <v>16704</v>
      </c>
      <c r="F5408" s="4">
        <v>3714</v>
      </c>
      <c r="G5408" s="2" t="s">
        <v>105</v>
      </c>
      <c r="H5408" s="2" t="s">
        <v>34</v>
      </c>
      <c r="I5408" s="2" t="s">
        <v>16705</v>
      </c>
      <c r="J5408" s="2" t="s">
        <v>16706</v>
      </c>
      <c r="K5408" s="2" t="s">
        <v>105</v>
      </c>
      <c r="L5408" s="2" t="s">
        <v>34</v>
      </c>
      <c r="M5408" s="7">
        <v>884.279</v>
      </c>
      <c r="N5408" s="6">
        <v>15.75</v>
      </c>
      <c r="O5408" s="7">
        <v>15.625</v>
      </c>
      <c r="P5408" s="2" t="s">
        <v>16707</v>
      </c>
      <c r="Q5408" s="6">
        <v>100</v>
      </c>
      <c r="R5408" s="6">
        <v>22.92</v>
      </c>
      <c r="S5408" s="5">
        <v>91.6</v>
      </c>
      <c r="T5408" s="5">
        <v>290.10000000000002</v>
      </c>
      <c r="U5408" s="5">
        <v>23</v>
      </c>
      <c r="V5408" s="6">
        <v>3.74</v>
      </c>
      <c r="W5408" s="7">
        <v>21.812999999999999</v>
      </c>
      <c r="X5408" s="7">
        <v>24.187999999999999</v>
      </c>
      <c r="Y5408" s="6">
        <v>23.25</v>
      </c>
      <c r="Z5408" s="7">
        <v>22.875</v>
      </c>
      <c r="AA5408" s="6">
        <v>25.65</v>
      </c>
      <c r="AB5408" s="7">
        <v>6.7530000000000001</v>
      </c>
      <c r="AC5408" s="5">
        <v>91</v>
      </c>
    </row>
    <row r="5409" spans="1:29" ht="91" x14ac:dyDescent="0.15">
      <c r="A5409" s="3">
        <f>DATE(2000,4,6)</f>
        <v>36622</v>
      </c>
      <c r="B5409" s="3">
        <f>DATE(2000,11,29)</f>
        <v>36859</v>
      </c>
      <c r="C5409" s="2" t="s">
        <v>95</v>
      </c>
      <c r="D5409" s="2" t="s">
        <v>16708</v>
      </c>
      <c r="E5409" s="2" t="s">
        <v>5232</v>
      </c>
      <c r="F5409" s="4">
        <v>3577</v>
      </c>
      <c r="G5409" s="2" t="s">
        <v>50</v>
      </c>
      <c r="H5409" s="2" t="s">
        <v>34</v>
      </c>
      <c r="I5409" s="2" t="s">
        <v>16709</v>
      </c>
      <c r="J5409" s="2" t="s">
        <v>16710</v>
      </c>
      <c r="K5409" s="2" t="s">
        <v>63</v>
      </c>
      <c r="L5409" s="2" t="s">
        <v>34</v>
      </c>
      <c r="M5409" s="7">
        <v>225.60599999999999</v>
      </c>
      <c r="N5409" s="7">
        <v>4.4379999999999997</v>
      </c>
      <c r="O5409" s="4">
        <v>4</v>
      </c>
      <c r="P5409" s="2" t="s">
        <v>16711</v>
      </c>
      <c r="Q5409" s="6">
        <v>100</v>
      </c>
      <c r="R5409" s="2"/>
      <c r="S5409" s="5">
        <v>24.1</v>
      </c>
      <c r="T5409" s="7">
        <v>-23.013999999999999</v>
      </c>
      <c r="U5409" s="5">
        <v>0.6</v>
      </c>
      <c r="V5409" s="7">
        <v>-1.9139999999999999</v>
      </c>
      <c r="W5409" s="7">
        <v>5.0629999999999997</v>
      </c>
      <c r="X5409" s="7">
        <v>4.4379999999999997</v>
      </c>
      <c r="Y5409" s="7">
        <v>4.5940000000000003</v>
      </c>
      <c r="Z5409" s="7">
        <v>3.9380000000000002</v>
      </c>
      <c r="AA5409" s="6">
        <v>13.18</v>
      </c>
      <c r="AB5409" s="2" t="s">
        <v>86</v>
      </c>
      <c r="AC5409" s="6">
        <v>33.119999999999997</v>
      </c>
    </row>
    <row r="5410" spans="1:29" ht="247" x14ac:dyDescent="0.15">
      <c r="A5410" s="3">
        <f>DATE(2000,4,6)</f>
        <v>36622</v>
      </c>
      <c r="B5410" s="3">
        <f>DATE(2000,6,19)</f>
        <v>36696</v>
      </c>
      <c r="C5410" s="2" t="s">
        <v>95</v>
      </c>
      <c r="D5410" s="2" t="s">
        <v>16688</v>
      </c>
      <c r="E5410" s="2" t="s">
        <v>16689</v>
      </c>
      <c r="F5410" s="4">
        <v>5945</v>
      </c>
      <c r="G5410" s="2" t="s">
        <v>73</v>
      </c>
      <c r="H5410" s="2" t="s">
        <v>34</v>
      </c>
      <c r="I5410" s="2" t="s">
        <v>16712</v>
      </c>
      <c r="J5410" s="2" t="s">
        <v>16713</v>
      </c>
      <c r="K5410" s="2" t="s">
        <v>1227</v>
      </c>
      <c r="L5410" s="2" t="s">
        <v>34</v>
      </c>
      <c r="M5410" s="2"/>
      <c r="N5410" s="2"/>
      <c r="O5410" s="2"/>
      <c r="P5410" s="2" t="s">
        <v>16714</v>
      </c>
      <c r="Q5410" s="6">
        <v>100</v>
      </c>
      <c r="R5410" s="6">
        <v>24.75</v>
      </c>
      <c r="S5410" s="5">
        <v>8.6999999999999993</v>
      </c>
      <c r="T5410" s="7">
        <v>18.728000000000002</v>
      </c>
      <c r="U5410" s="5">
        <v>7.5</v>
      </c>
      <c r="V5410" s="6">
        <v>1.39</v>
      </c>
      <c r="W5410" s="6">
        <v>13.75</v>
      </c>
      <c r="X5410" s="7">
        <v>11.875</v>
      </c>
      <c r="Y5410" s="7">
        <v>16.875</v>
      </c>
      <c r="Z5410" s="7">
        <v>16.812999999999999</v>
      </c>
      <c r="AA5410" s="6">
        <v>6.01</v>
      </c>
      <c r="AB5410" s="7">
        <v>10.032999999999999</v>
      </c>
      <c r="AC5410" s="2"/>
    </row>
    <row r="5411" spans="1:29" ht="104" x14ac:dyDescent="0.15">
      <c r="A5411" s="3">
        <f>DATE(2000,4,7)</f>
        <v>36623</v>
      </c>
      <c r="B5411" s="3">
        <f>DATE(2000,8,16)</f>
        <v>36754</v>
      </c>
      <c r="C5411" s="2" t="s">
        <v>95</v>
      </c>
      <c r="D5411" s="2" t="s">
        <v>13880</v>
      </c>
      <c r="E5411" s="2" t="s">
        <v>13881</v>
      </c>
      <c r="F5411" s="4">
        <v>5136</v>
      </c>
      <c r="G5411" s="2" t="s">
        <v>593</v>
      </c>
      <c r="H5411" s="2" t="s">
        <v>34</v>
      </c>
      <c r="I5411" s="2" t="s">
        <v>4493</v>
      </c>
      <c r="J5411" s="2" t="s">
        <v>4494</v>
      </c>
      <c r="K5411" s="2" t="s">
        <v>708</v>
      </c>
      <c r="L5411" s="2" t="s">
        <v>34</v>
      </c>
      <c r="M5411" s="12">
        <v>2654.886</v>
      </c>
      <c r="N5411" s="7">
        <v>24.125</v>
      </c>
      <c r="O5411" s="7">
        <v>24.062999999999999</v>
      </c>
      <c r="P5411" s="2" t="s">
        <v>16715</v>
      </c>
      <c r="Q5411" s="6">
        <v>81.19</v>
      </c>
      <c r="R5411" s="6">
        <v>2</v>
      </c>
      <c r="S5411" s="5">
        <v>-114.4</v>
      </c>
      <c r="T5411" s="7">
        <v>-44.103999999999999</v>
      </c>
      <c r="U5411" s="5">
        <v>0.5</v>
      </c>
      <c r="V5411" s="6">
        <v>-8.99</v>
      </c>
      <c r="W5411" s="6">
        <v>3.75</v>
      </c>
      <c r="X5411" s="7">
        <v>1.2190000000000001</v>
      </c>
      <c r="Y5411" s="7">
        <v>1.9379999999999999</v>
      </c>
      <c r="Z5411" s="7">
        <v>1.9379999999999999</v>
      </c>
      <c r="AA5411" s="6">
        <v>12.74</v>
      </c>
      <c r="AB5411" s="2" t="s">
        <v>86</v>
      </c>
      <c r="AC5411" s="5">
        <v>81.2</v>
      </c>
    </row>
    <row r="5412" spans="1:29" ht="130" x14ac:dyDescent="0.15">
      <c r="A5412" s="3">
        <f>DATE(2000,4,7)</f>
        <v>36623</v>
      </c>
      <c r="B5412" s="3">
        <f>DATE(2000,8,1)</f>
        <v>36739</v>
      </c>
      <c r="C5412" s="2" t="s">
        <v>95</v>
      </c>
      <c r="D5412" s="2" t="s">
        <v>16716</v>
      </c>
      <c r="E5412" s="2" t="s">
        <v>10056</v>
      </c>
      <c r="F5412" s="4">
        <v>5411</v>
      </c>
      <c r="G5412" s="2" t="s">
        <v>1461</v>
      </c>
      <c r="H5412" s="2" t="s">
        <v>34</v>
      </c>
      <c r="I5412" s="2" t="s">
        <v>16717</v>
      </c>
      <c r="J5412" s="2" t="s">
        <v>7684</v>
      </c>
      <c r="K5412" s="2" t="s">
        <v>1461</v>
      </c>
      <c r="L5412" s="2" t="s">
        <v>34</v>
      </c>
      <c r="M5412" s="2"/>
      <c r="N5412" s="2"/>
      <c r="O5412" s="2"/>
      <c r="P5412" s="2" t="s">
        <v>16718</v>
      </c>
      <c r="Q5412" s="6">
        <v>100</v>
      </c>
      <c r="R5412" s="6">
        <v>16.18</v>
      </c>
      <c r="S5412" s="5">
        <v>8.8000000000000007</v>
      </c>
      <c r="T5412" s="2"/>
      <c r="U5412" s="5">
        <v>10.3</v>
      </c>
      <c r="V5412" s="6">
        <v>1.31</v>
      </c>
      <c r="W5412" s="4">
        <v>17</v>
      </c>
      <c r="X5412" s="4">
        <v>16</v>
      </c>
      <c r="Y5412" s="7">
        <v>16.937999999999999</v>
      </c>
      <c r="Z5412" s="7">
        <v>16.375</v>
      </c>
      <c r="AA5412" s="6">
        <v>6.67</v>
      </c>
      <c r="AB5412" s="7">
        <v>8.65</v>
      </c>
      <c r="AC5412" s="5">
        <v>36.4</v>
      </c>
    </row>
    <row r="5413" spans="1:29" ht="130" x14ac:dyDescent="0.15">
      <c r="A5413" s="3">
        <f>DATE(2000,4,7)</f>
        <v>36623</v>
      </c>
      <c r="B5413" s="2"/>
      <c r="C5413" s="2" t="s">
        <v>7330</v>
      </c>
      <c r="D5413" s="2" t="s">
        <v>16719</v>
      </c>
      <c r="E5413" s="2" t="s">
        <v>16720</v>
      </c>
      <c r="F5413" s="4">
        <v>3845</v>
      </c>
      <c r="G5413" s="2" t="s">
        <v>226</v>
      </c>
      <c r="H5413" s="2" t="s">
        <v>34</v>
      </c>
      <c r="I5413" s="2" t="s">
        <v>51</v>
      </c>
      <c r="J5413" s="2" t="s">
        <v>52</v>
      </c>
      <c r="K5413" s="2" t="s">
        <v>53</v>
      </c>
      <c r="L5413" s="2" t="s">
        <v>34</v>
      </c>
      <c r="M5413" s="2"/>
      <c r="N5413" s="2"/>
      <c r="O5413" s="2"/>
      <c r="P5413" s="2" t="s">
        <v>16721</v>
      </c>
      <c r="Q5413" s="2"/>
      <c r="R5413" s="6">
        <v>0.85</v>
      </c>
      <c r="S5413" s="5">
        <v>-9.1</v>
      </c>
      <c r="T5413" s="5">
        <v>-7.1</v>
      </c>
      <c r="U5413" s="5">
        <v>0.3</v>
      </c>
      <c r="V5413" s="6">
        <v>-0.66</v>
      </c>
      <c r="W5413" s="7">
        <v>0.93799999999999994</v>
      </c>
      <c r="X5413" s="7">
        <v>1.1559999999999999</v>
      </c>
      <c r="Y5413" s="9">
        <v>1.0625</v>
      </c>
      <c r="Z5413" s="7">
        <v>1.125</v>
      </c>
      <c r="AA5413" s="6">
        <v>13.81</v>
      </c>
      <c r="AB5413" s="2" t="s">
        <v>86</v>
      </c>
      <c r="AC5413" s="2"/>
    </row>
    <row r="5414" spans="1:29" ht="182" x14ac:dyDescent="0.15">
      <c r="A5414" s="3">
        <f>DATE(2000,4,10)</f>
        <v>36626</v>
      </c>
      <c r="B5414" s="3">
        <f>DATE(2000,10,26)</f>
        <v>36825</v>
      </c>
      <c r="C5414" s="2" t="s">
        <v>95</v>
      </c>
      <c r="D5414" s="2" t="s">
        <v>11541</v>
      </c>
      <c r="E5414" s="2" t="s">
        <v>263</v>
      </c>
      <c r="F5414" s="4">
        <v>6022</v>
      </c>
      <c r="G5414" s="2" t="s">
        <v>37</v>
      </c>
      <c r="H5414" s="2" t="s">
        <v>34</v>
      </c>
      <c r="I5414" s="2" t="s">
        <v>12303</v>
      </c>
      <c r="J5414" s="2" t="s">
        <v>36</v>
      </c>
      <c r="K5414" s="2" t="s">
        <v>37</v>
      </c>
      <c r="L5414" s="2" t="s">
        <v>34</v>
      </c>
      <c r="M5414" s="12">
        <v>53579.874000000003</v>
      </c>
      <c r="N5414" s="5">
        <v>39.5</v>
      </c>
      <c r="O5414" s="7">
        <v>40.375</v>
      </c>
      <c r="P5414" s="2" t="s">
        <v>16722</v>
      </c>
      <c r="Q5414" s="6">
        <v>100</v>
      </c>
      <c r="R5414" s="6">
        <v>14.11</v>
      </c>
      <c r="S5414" s="5">
        <v>243.5</v>
      </c>
      <c r="T5414" s="2"/>
      <c r="U5414" s="5">
        <v>9</v>
      </c>
      <c r="V5414" s="6">
        <v>1.21</v>
      </c>
      <c r="W5414" s="7">
        <v>12.063000000000001</v>
      </c>
      <c r="X5414" s="7">
        <v>12.188000000000001</v>
      </c>
      <c r="Y5414" s="7">
        <v>13.375</v>
      </c>
      <c r="Z5414" s="7">
        <v>13.843999999999999</v>
      </c>
      <c r="AA5414" s="6">
        <v>196.01</v>
      </c>
      <c r="AB5414" s="7">
        <v>15.863</v>
      </c>
      <c r="AC5414" s="8">
        <v>15162</v>
      </c>
    </row>
    <row r="5415" spans="1:29" ht="221" x14ac:dyDescent="0.15">
      <c r="A5415" s="3">
        <f>DATE(2000,4,12)</f>
        <v>36628</v>
      </c>
      <c r="B5415" s="3">
        <f>DATE(2000,6,27)</f>
        <v>36704</v>
      </c>
      <c r="C5415" s="2" t="s">
        <v>95</v>
      </c>
      <c r="D5415" s="2" t="s">
        <v>11568</v>
      </c>
      <c r="E5415" s="2" t="s">
        <v>10706</v>
      </c>
      <c r="F5415" s="4">
        <v>2024</v>
      </c>
      <c r="G5415" s="2" t="s">
        <v>577</v>
      </c>
      <c r="H5415" s="2" t="s">
        <v>34</v>
      </c>
      <c r="I5415" s="2" t="s">
        <v>7544</v>
      </c>
      <c r="J5415" s="2" t="s">
        <v>7545</v>
      </c>
      <c r="K5415" s="2" t="s">
        <v>577</v>
      </c>
      <c r="L5415" s="2" t="s">
        <v>2105</v>
      </c>
      <c r="M5415" s="2"/>
      <c r="N5415" s="2"/>
      <c r="O5415" s="2"/>
      <c r="P5415" s="2" t="s">
        <v>16723</v>
      </c>
      <c r="Q5415" s="6">
        <v>100</v>
      </c>
      <c r="R5415" s="6">
        <v>43.6</v>
      </c>
      <c r="S5415" s="5">
        <v>3.4</v>
      </c>
      <c r="T5415" s="5">
        <v>22.3</v>
      </c>
      <c r="U5415" s="5">
        <v>12.9</v>
      </c>
      <c r="V5415" s="6">
        <v>0.46</v>
      </c>
      <c r="W5415" s="7">
        <v>21.375</v>
      </c>
      <c r="X5415" s="4">
        <v>24</v>
      </c>
      <c r="Y5415" s="9">
        <v>26.8125</v>
      </c>
      <c r="Z5415" s="9">
        <v>26.8125</v>
      </c>
      <c r="AA5415" s="6">
        <v>6.92</v>
      </c>
      <c r="AB5415" s="7">
        <v>25.696999999999999</v>
      </c>
      <c r="AC5415" s="10">
        <v>5511.35</v>
      </c>
    </row>
    <row r="5416" spans="1:29" ht="182" x14ac:dyDescent="0.15">
      <c r="A5416" s="3">
        <f>DATE(2000,4,12)</f>
        <v>36628</v>
      </c>
      <c r="B5416" s="2"/>
      <c r="C5416" s="2" t="s">
        <v>30</v>
      </c>
      <c r="D5416" s="2" t="s">
        <v>16724</v>
      </c>
      <c r="E5416" s="2" t="s">
        <v>172</v>
      </c>
      <c r="F5416" s="4">
        <v>4213</v>
      </c>
      <c r="G5416" s="2" t="s">
        <v>173</v>
      </c>
      <c r="H5416" s="2" t="s">
        <v>34</v>
      </c>
      <c r="I5416" s="2" t="s">
        <v>16725</v>
      </c>
      <c r="J5416" s="2" t="s">
        <v>80</v>
      </c>
      <c r="K5416" s="2" t="s">
        <v>53</v>
      </c>
      <c r="L5416" s="2" t="s">
        <v>34</v>
      </c>
      <c r="M5416" s="2"/>
      <c r="N5416" s="2"/>
      <c r="O5416" s="2"/>
      <c r="P5416" s="2" t="s">
        <v>16726</v>
      </c>
      <c r="Q5416" s="2"/>
      <c r="R5416" s="6">
        <v>7.75</v>
      </c>
      <c r="S5416" s="5">
        <v>-1.3</v>
      </c>
      <c r="T5416" s="7">
        <v>18.977</v>
      </c>
      <c r="U5416" s="5">
        <v>12.2</v>
      </c>
      <c r="V5416" s="6">
        <v>-0.32</v>
      </c>
      <c r="W5416" s="7">
        <v>6.125</v>
      </c>
      <c r="X5416" s="4">
        <v>7</v>
      </c>
      <c r="Y5416" s="7">
        <v>7.6879999999999997</v>
      </c>
      <c r="Z5416" s="5">
        <v>7.5</v>
      </c>
      <c r="AA5416" s="6">
        <v>4.0999999999999996</v>
      </c>
      <c r="AB5416" s="7">
        <v>504.72699999999998</v>
      </c>
      <c r="AC5416" s="2"/>
    </row>
    <row r="5417" spans="1:29" ht="143" x14ac:dyDescent="0.15">
      <c r="A5417" s="3">
        <f>DATE(2000,4,14)</f>
        <v>36630</v>
      </c>
      <c r="B5417" s="3">
        <f>DATE(2000,4,14)</f>
        <v>36630</v>
      </c>
      <c r="C5417" s="2" t="s">
        <v>95</v>
      </c>
      <c r="D5417" s="2" t="s">
        <v>16727</v>
      </c>
      <c r="E5417" s="2" t="s">
        <v>16728</v>
      </c>
      <c r="F5417" s="4">
        <v>7389</v>
      </c>
      <c r="G5417" s="2" t="s">
        <v>223</v>
      </c>
      <c r="H5417" s="2" t="s">
        <v>34</v>
      </c>
      <c r="I5417" s="2" t="s">
        <v>7683</v>
      </c>
      <c r="J5417" s="2" t="s">
        <v>7684</v>
      </c>
      <c r="K5417" s="2" t="s">
        <v>1461</v>
      </c>
      <c r="L5417" s="2" t="s">
        <v>2105</v>
      </c>
      <c r="M5417" s="2"/>
      <c r="N5417" s="2"/>
      <c r="O5417" s="2"/>
      <c r="P5417" s="2" t="s">
        <v>16729</v>
      </c>
      <c r="Q5417" s="6">
        <v>51.79</v>
      </c>
      <c r="R5417" s="2"/>
      <c r="S5417" s="5">
        <v>-36.1</v>
      </c>
      <c r="T5417" s="7">
        <v>-27.373999999999999</v>
      </c>
      <c r="U5417" s="5">
        <v>0</v>
      </c>
      <c r="V5417" s="6">
        <v>-2.0299999999999998</v>
      </c>
      <c r="W5417" s="7">
        <v>3.0630000000000002</v>
      </c>
      <c r="X5417" s="7">
        <v>3.1880000000000002</v>
      </c>
      <c r="Y5417" s="6">
        <v>3.25</v>
      </c>
      <c r="Z5417" s="7">
        <v>2.6880000000000002</v>
      </c>
      <c r="AA5417" s="6">
        <v>18.399999999999999</v>
      </c>
      <c r="AB5417" s="2" t="s">
        <v>86</v>
      </c>
      <c r="AC5417" s="6">
        <v>861.05</v>
      </c>
    </row>
    <row r="5418" spans="1:29" ht="130" x14ac:dyDescent="0.15">
      <c r="A5418" s="3">
        <f>DATE(2000,4,14)</f>
        <v>36630</v>
      </c>
      <c r="B5418" s="3">
        <f>DATE(2000,5,19)</f>
        <v>36665</v>
      </c>
      <c r="C5418" s="2" t="s">
        <v>95</v>
      </c>
      <c r="D5418" s="2" t="s">
        <v>16730</v>
      </c>
      <c r="E5418" s="2" t="s">
        <v>16731</v>
      </c>
      <c r="F5418" s="4">
        <v>3949</v>
      </c>
      <c r="G5418" s="2" t="s">
        <v>112</v>
      </c>
      <c r="H5418" s="2" t="s">
        <v>34</v>
      </c>
      <c r="I5418" s="2" t="s">
        <v>16732</v>
      </c>
      <c r="J5418" s="2" t="s">
        <v>3197</v>
      </c>
      <c r="K5418" s="2" t="s">
        <v>53</v>
      </c>
      <c r="L5418" s="2" t="s">
        <v>34</v>
      </c>
      <c r="M5418" s="2"/>
      <c r="N5418" s="2"/>
      <c r="O5418" s="2"/>
      <c r="P5418" s="2" t="s">
        <v>16733</v>
      </c>
      <c r="Q5418" s="6">
        <v>100</v>
      </c>
      <c r="R5418" s="6">
        <v>10.1</v>
      </c>
      <c r="S5418" s="5">
        <v>6.1</v>
      </c>
      <c r="T5418" s="7">
        <v>26.318999999999999</v>
      </c>
      <c r="U5418" s="5">
        <v>2.9</v>
      </c>
      <c r="V5418" s="6">
        <v>0.61</v>
      </c>
      <c r="W5418" s="4">
        <v>7</v>
      </c>
      <c r="X5418" s="6">
        <v>6.75</v>
      </c>
      <c r="Y5418" s="5">
        <v>9.5</v>
      </c>
      <c r="Z5418" s="7">
        <v>9.5630000000000006</v>
      </c>
      <c r="AA5418" s="6">
        <v>11.3</v>
      </c>
      <c r="AB5418" s="7">
        <v>9.9450000000000003</v>
      </c>
      <c r="AC5418" s="2"/>
    </row>
    <row r="5419" spans="1:29" ht="104" x14ac:dyDescent="0.15">
      <c r="A5419" s="3">
        <f>DATE(2000,4,17)</f>
        <v>36633</v>
      </c>
      <c r="B5419" s="3">
        <f>DATE(2000,7,6)</f>
        <v>36713</v>
      </c>
      <c r="C5419" s="2" t="s">
        <v>95</v>
      </c>
      <c r="D5419" s="2" t="s">
        <v>16734</v>
      </c>
      <c r="E5419" s="2" t="s">
        <v>16735</v>
      </c>
      <c r="F5419" s="4">
        <v>7363</v>
      </c>
      <c r="G5419" s="2" t="s">
        <v>223</v>
      </c>
      <c r="H5419" s="2" t="s">
        <v>34</v>
      </c>
      <c r="I5419" s="2" t="s">
        <v>16736</v>
      </c>
      <c r="J5419" s="2" t="s">
        <v>8448</v>
      </c>
      <c r="K5419" s="2" t="s">
        <v>223</v>
      </c>
      <c r="L5419" s="2" t="s">
        <v>2105</v>
      </c>
      <c r="M5419" s="2"/>
      <c r="N5419" s="2"/>
      <c r="O5419" s="2"/>
      <c r="P5419" s="2" t="s">
        <v>16737</v>
      </c>
      <c r="Q5419" s="6">
        <v>100</v>
      </c>
      <c r="R5419" s="6">
        <v>5</v>
      </c>
      <c r="S5419" s="5">
        <v>0.1</v>
      </c>
      <c r="T5419" s="7">
        <v>11.286</v>
      </c>
      <c r="U5419" s="5">
        <v>2.2999999999999998</v>
      </c>
      <c r="V5419" s="9">
        <v>1.26E-2</v>
      </c>
      <c r="W5419" s="7">
        <v>3.5630000000000002</v>
      </c>
      <c r="X5419" s="6">
        <v>2.75</v>
      </c>
      <c r="Y5419" s="7">
        <v>4.375</v>
      </c>
      <c r="Z5419" s="5">
        <v>4.5</v>
      </c>
      <c r="AA5419" s="6">
        <v>14.5</v>
      </c>
      <c r="AB5419" s="7">
        <v>14.757999999999999</v>
      </c>
      <c r="AC5419" s="6">
        <v>51.36</v>
      </c>
    </row>
    <row r="5420" spans="1:29" ht="273" x14ac:dyDescent="0.15">
      <c r="A5420" s="3">
        <f>DATE(2000,4,17)</f>
        <v>36633</v>
      </c>
      <c r="B5420" s="3">
        <f>DATE(2000,9,14)</f>
        <v>36783</v>
      </c>
      <c r="C5420" s="2" t="s">
        <v>95</v>
      </c>
      <c r="D5420" s="2" t="s">
        <v>16738</v>
      </c>
      <c r="E5420" s="2" t="s">
        <v>16739</v>
      </c>
      <c r="F5420" s="4">
        <v>2221</v>
      </c>
      <c r="G5420" s="2" t="s">
        <v>708</v>
      </c>
      <c r="H5420" s="2" t="s">
        <v>34</v>
      </c>
      <c r="I5420" s="2" t="s">
        <v>7638</v>
      </c>
      <c r="J5420" s="2" t="s">
        <v>7637</v>
      </c>
      <c r="K5420" s="2" t="s">
        <v>250</v>
      </c>
      <c r="L5420" s="2" t="s">
        <v>34</v>
      </c>
      <c r="M5420" s="2"/>
      <c r="N5420" s="2"/>
      <c r="O5420" s="2"/>
      <c r="P5420" s="2" t="s">
        <v>16740</v>
      </c>
      <c r="Q5420" s="6">
        <v>85.45</v>
      </c>
      <c r="R5420" s="6">
        <v>8.5</v>
      </c>
      <c r="S5420" s="5">
        <v>1.7</v>
      </c>
      <c r="T5420" s="7">
        <v>4.0620000000000003</v>
      </c>
      <c r="U5420" s="5">
        <v>5.0999999999999996</v>
      </c>
      <c r="V5420" s="6">
        <v>0.31</v>
      </c>
      <c r="W5420" s="5">
        <v>5.5</v>
      </c>
      <c r="X5420" s="5">
        <v>5.5</v>
      </c>
      <c r="Y5420" s="7">
        <v>7.5629999999999997</v>
      </c>
      <c r="Z5420" s="5">
        <v>8.5</v>
      </c>
      <c r="AA5420" s="6">
        <v>4.5</v>
      </c>
      <c r="AB5420" s="7">
        <v>19.593</v>
      </c>
      <c r="AC5420" s="2"/>
    </row>
    <row r="5421" spans="1:29" ht="104" x14ac:dyDescent="0.15">
      <c r="A5421" s="3">
        <f>DATE(2000,4,17)</f>
        <v>36633</v>
      </c>
      <c r="B5421" s="3">
        <f>DATE(2000,8,7)</f>
        <v>36745</v>
      </c>
      <c r="C5421" s="2" t="s">
        <v>95</v>
      </c>
      <c r="D5421" s="2" t="s">
        <v>16741</v>
      </c>
      <c r="E5421" s="2" t="s">
        <v>16742</v>
      </c>
      <c r="F5421" s="4">
        <v>7311</v>
      </c>
      <c r="G5421" s="2" t="s">
        <v>4563</v>
      </c>
      <c r="H5421" s="2" t="s">
        <v>34</v>
      </c>
      <c r="I5421" s="2" t="s">
        <v>16743</v>
      </c>
      <c r="J5421" s="2" t="s">
        <v>16744</v>
      </c>
      <c r="K5421" s="2" t="s">
        <v>223</v>
      </c>
      <c r="L5421" s="2" t="s">
        <v>34</v>
      </c>
      <c r="M5421" s="12">
        <v>1392.508</v>
      </c>
      <c r="N5421" s="5">
        <v>13.5</v>
      </c>
      <c r="O5421" s="7">
        <v>18.062999999999999</v>
      </c>
      <c r="P5421" s="2" t="s">
        <v>16745</v>
      </c>
      <c r="Q5421" s="6">
        <v>100</v>
      </c>
      <c r="R5421" s="6">
        <v>7.17</v>
      </c>
      <c r="S5421" s="5">
        <v>-10.1</v>
      </c>
      <c r="T5421" s="7">
        <v>-10.449</v>
      </c>
      <c r="U5421" s="5">
        <v>2.2000000000000002</v>
      </c>
      <c r="V5421" s="6">
        <v>-1.4</v>
      </c>
      <c r="W5421" s="7">
        <v>9.375</v>
      </c>
      <c r="X5421" s="5">
        <v>5.5</v>
      </c>
      <c r="Y5421" s="7">
        <v>5.6879999999999997</v>
      </c>
      <c r="Z5421" s="7">
        <v>8.0630000000000006</v>
      </c>
      <c r="AA5421" s="6">
        <v>19.329999999999998</v>
      </c>
      <c r="AB5421" s="2" t="s">
        <v>86</v>
      </c>
      <c r="AC5421" s="5">
        <v>116.4</v>
      </c>
    </row>
    <row r="5422" spans="1:29" ht="130" x14ac:dyDescent="0.15">
      <c r="A5422" s="3">
        <f>DATE(2000,4,17)</f>
        <v>36633</v>
      </c>
      <c r="B5422" s="3">
        <f>DATE(2000,8,31)</f>
        <v>36769</v>
      </c>
      <c r="C5422" s="2" t="s">
        <v>95</v>
      </c>
      <c r="D5422" s="2" t="s">
        <v>16746</v>
      </c>
      <c r="E5422" s="2" t="s">
        <v>263</v>
      </c>
      <c r="F5422" s="4">
        <v>6021</v>
      </c>
      <c r="G5422" s="2" t="s">
        <v>37</v>
      </c>
      <c r="H5422" s="2" t="s">
        <v>34</v>
      </c>
      <c r="I5422" s="2" t="s">
        <v>16747</v>
      </c>
      <c r="J5422" s="2" t="s">
        <v>9509</v>
      </c>
      <c r="K5422" s="2" t="s">
        <v>37</v>
      </c>
      <c r="L5422" s="2" t="s">
        <v>34</v>
      </c>
      <c r="M5422" s="7">
        <v>933.17200000000003</v>
      </c>
      <c r="N5422" s="6">
        <v>15.75</v>
      </c>
      <c r="O5422" s="5">
        <v>15.5</v>
      </c>
      <c r="P5422" s="2" t="s">
        <v>16748</v>
      </c>
      <c r="Q5422" s="6">
        <v>100</v>
      </c>
      <c r="R5422" s="6">
        <v>18</v>
      </c>
      <c r="S5422" s="5">
        <v>33.9</v>
      </c>
      <c r="T5422" s="5">
        <v>53.7</v>
      </c>
      <c r="U5422" s="5">
        <v>10.4</v>
      </c>
      <c r="V5422" s="6">
        <v>1.34</v>
      </c>
      <c r="W5422" s="7">
        <v>11.688000000000001</v>
      </c>
      <c r="X5422" s="7">
        <v>12.625</v>
      </c>
      <c r="Y5422" s="6">
        <v>15.75</v>
      </c>
      <c r="Z5422" s="7">
        <v>15.063000000000001</v>
      </c>
      <c r="AA5422" s="6">
        <v>25.3</v>
      </c>
      <c r="AB5422" s="7">
        <v>56.91</v>
      </c>
      <c r="AC5422" s="5">
        <v>265.89999999999998</v>
      </c>
    </row>
    <row r="5423" spans="1:29" ht="130" x14ac:dyDescent="0.15">
      <c r="A5423" s="3">
        <f>DATE(2000,4,17)</f>
        <v>36633</v>
      </c>
      <c r="B5423" s="3">
        <f>DATE(2000,6,23)</f>
        <v>36700</v>
      </c>
      <c r="C5423" s="2" t="s">
        <v>95</v>
      </c>
      <c r="D5423" s="2" t="s">
        <v>8978</v>
      </c>
      <c r="E5423" s="2" t="s">
        <v>568</v>
      </c>
      <c r="F5423" s="4">
        <v>3672</v>
      </c>
      <c r="G5423" s="2" t="s">
        <v>137</v>
      </c>
      <c r="H5423" s="2" t="s">
        <v>34</v>
      </c>
      <c r="I5423" s="2" t="s">
        <v>10145</v>
      </c>
      <c r="J5423" s="2" t="s">
        <v>10146</v>
      </c>
      <c r="K5423" s="2" t="s">
        <v>223</v>
      </c>
      <c r="L5423" s="2" t="s">
        <v>34</v>
      </c>
      <c r="M5423" s="10">
        <v>3780.02</v>
      </c>
      <c r="N5423" s="7">
        <v>50.938000000000002</v>
      </c>
      <c r="O5423" s="7">
        <v>49.375</v>
      </c>
      <c r="P5423" s="2" t="s">
        <v>16749</v>
      </c>
      <c r="Q5423" s="6">
        <v>100</v>
      </c>
      <c r="R5423" s="6">
        <v>69.040000000000006</v>
      </c>
      <c r="S5423" s="5">
        <v>27</v>
      </c>
      <c r="T5423" s="7">
        <v>151.047</v>
      </c>
      <c r="U5423" s="5">
        <v>16.7</v>
      </c>
      <c r="V5423" s="6">
        <v>1.96</v>
      </c>
      <c r="W5423" s="7">
        <v>65.125</v>
      </c>
      <c r="X5423" s="7">
        <v>59.625</v>
      </c>
      <c r="Y5423" s="5">
        <v>60.5</v>
      </c>
      <c r="Z5423" s="7">
        <v>67.188000000000002</v>
      </c>
      <c r="AA5423" s="6">
        <v>13.8</v>
      </c>
      <c r="AB5423" s="7">
        <v>17.992000000000001</v>
      </c>
      <c r="AC5423" s="5">
        <v>504.2</v>
      </c>
    </row>
    <row r="5424" spans="1:29" ht="117" x14ac:dyDescent="0.15">
      <c r="A5424" s="3">
        <f>DATE(2000,4,18)</f>
        <v>36634</v>
      </c>
      <c r="B5424" s="3">
        <f>DATE(2000,9,5)</f>
        <v>36774</v>
      </c>
      <c r="C5424" s="2" t="s">
        <v>95</v>
      </c>
      <c r="D5424" s="2" t="s">
        <v>16750</v>
      </c>
      <c r="E5424" s="2" t="s">
        <v>36</v>
      </c>
      <c r="F5424" s="4">
        <v>6022</v>
      </c>
      <c r="G5424" s="2" t="s">
        <v>37</v>
      </c>
      <c r="H5424" s="2" t="s">
        <v>34</v>
      </c>
      <c r="I5424" s="2" t="s">
        <v>16751</v>
      </c>
      <c r="J5424" s="2" t="s">
        <v>36</v>
      </c>
      <c r="K5424" s="2" t="s">
        <v>37</v>
      </c>
      <c r="L5424" s="2" t="s">
        <v>34</v>
      </c>
      <c r="M5424" s="7">
        <v>20.152999999999999</v>
      </c>
      <c r="N5424" s="7">
        <v>4.625</v>
      </c>
      <c r="O5424" s="7">
        <v>4.625</v>
      </c>
      <c r="P5424" s="2" t="s">
        <v>16752</v>
      </c>
      <c r="Q5424" s="6">
        <v>100</v>
      </c>
      <c r="R5424" s="6">
        <v>6</v>
      </c>
      <c r="S5424" s="5">
        <v>0.2</v>
      </c>
      <c r="T5424" s="7">
        <v>0.378</v>
      </c>
      <c r="U5424" s="5">
        <v>3.7</v>
      </c>
      <c r="V5424" s="6">
        <v>0.08</v>
      </c>
      <c r="W5424" s="6">
        <v>3.25</v>
      </c>
      <c r="X5424" s="6">
        <v>3.75</v>
      </c>
      <c r="Y5424" s="7">
        <v>4.6879999999999997</v>
      </c>
      <c r="Z5424" s="7">
        <v>4.875</v>
      </c>
      <c r="AA5424" s="6">
        <v>2.29</v>
      </c>
      <c r="AB5424" s="7">
        <v>138.733</v>
      </c>
      <c r="AC5424" s="5">
        <v>24.6</v>
      </c>
    </row>
    <row r="5425" spans="1:29" ht="156" x14ac:dyDescent="0.15">
      <c r="A5425" s="3">
        <f>DATE(2000,4,19)</f>
        <v>36635</v>
      </c>
      <c r="B5425" s="2"/>
      <c r="C5425" s="2" t="s">
        <v>30</v>
      </c>
      <c r="D5425" s="2" t="s">
        <v>16753</v>
      </c>
      <c r="E5425" s="2" t="s">
        <v>203</v>
      </c>
      <c r="F5425" s="4">
        <v>6036</v>
      </c>
      <c r="G5425" s="2" t="s">
        <v>33</v>
      </c>
      <c r="H5425" s="2" t="s">
        <v>34</v>
      </c>
      <c r="I5425" s="2" t="s">
        <v>16754</v>
      </c>
      <c r="J5425" s="2" t="s">
        <v>5900</v>
      </c>
      <c r="K5425" s="2" t="s">
        <v>33</v>
      </c>
      <c r="L5425" s="2" t="s">
        <v>34</v>
      </c>
      <c r="M5425" s="7">
        <v>58.828000000000003</v>
      </c>
      <c r="N5425" s="7">
        <v>9.9380000000000006</v>
      </c>
      <c r="O5425" s="7">
        <v>10.375</v>
      </c>
      <c r="P5425" s="2" t="s">
        <v>16755</v>
      </c>
      <c r="Q5425" s="2"/>
      <c r="R5425" s="6">
        <v>18</v>
      </c>
      <c r="S5425" s="5">
        <v>1.9</v>
      </c>
      <c r="T5425" s="5">
        <v>3.3</v>
      </c>
      <c r="U5425" s="5">
        <v>12.9</v>
      </c>
      <c r="V5425" s="6">
        <v>1.01</v>
      </c>
      <c r="W5425" s="4">
        <v>11</v>
      </c>
      <c r="X5425" s="7">
        <v>11.313000000000001</v>
      </c>
      <c r="Y5425" s="5">
        <v>14.5</v>
      </c>
      <c r="Z5425" s="4">
        <v>15</v>
      </c>
      <c r="AA5425" s="6">
        <v>1.98</v>
      </c>
      <c r="AB5425" s="7">
        <v>59.697000000000003</v>
      </c>
      <c r="AC5425" s="5">
        <v>25.4</v>
      </c>
    </row>
    <row r="5426" spans="1:29" ht="143" x14ac:dyDescent="0.15">
      <c r="A5426" s="3">
        <f>DATE(2000,4,19)</f>
        <v>36635</v>
      </c>
      <c r="B5426" s="3">
        <f>DATE(2000,11,20)</f>
        <v>36850</v>
      </c>
      <c r="C5426" s="2" t="s">
        <v>95</v>
      </c>
      <c r="D5426" s="2" t="s">
        <v>16756</v>
      </c>
      <c r="E5426" s="2" t="s">
        <v>16757</v>
      </c>
      <c r="F5426" s="4">
        <v>6029</v>
      </c>
      <c r="G5426" s="2" t="s">
        <v>37</v>
      </c>
      <c r="H5426" s="2" t="s">
        <v>34</v>
      </c>
      <c r="I5426" s="2" t="s">
        <v>16758</v>
      </c>
      <c r="J5426" s="2" t="s">
        <v>12595</v>
      </c>
      <c r="K5426" s="2" t="s">
        <v>37</v>
      </c>
      <c r="L5426" s="2" t="s">
        <v>34</v>
      </c>
      <c r="M5426" s="7">
        <v>11.194000000000001</v>
      </c>
      <c r="N5426" s="7">
        <v>5.9379999999999997</v>
      </c>
      <c r="O5426" s="7">
        <v>5.875</v>
      </c>
      <c r="P5426" s="2" t="s">
        <v>16759</v>
      </c>
      <c r="Q5426" s="6">
        <v>100</v>
      </c>
      <c r="R5426" s="6">
        <v>9.48</v>
      </c>
      <c r="S5426" s="5">
        <v>1.2</v>
      </c>
      <c r="T5426" s="7">
        <v>2.0150000000000001</v>
      </c>
      <c r="U5426" s="5">
        <v>7.3</v>
      </c>
      <c r="V5426" s="6">
        <v>0.74</v>
      </c>
      <c r="W5426" s="7">
        <v>9.375</v>
      </c>
      <c r="X5426" s="7">
        <v>9.375</v>
      </c>
      <c r="Y5426" s="5">
        <v>9.5</v>
      </c>
      <c r="Z5426" s="7">
        <v>9.375</v>
      </c>
      <c r="AA5426" s="6">
        <v>1.59</v>
      </c>
      <c r="AB5426" s="7">
        <v>9.0009999999999994</v>
      </c>
      <c r="AC5426" s="2"/>
    </row>
    <row r="5427" spans="1:29" ht="78" x14ac:dyDescent="0.15">
      <c r="A5427" s="3">
        <f>DATE(2000,4,19)</f>
        <v>36635</v>
      </c>
      <c r="B5427" s="3">
        <f>DATE(2000,9,29)</f>
        <v>36798</v>
      </c>
      <c r="C5427" s="2" t="s">
        <v>95</v>
      </c>
      <c r="D5427" s="2" t="s">
        <v>16760</v>
      </c>
      <c r="E5427" s="2" t="s">
        <v>5653</v>
      </c>
      <c r="F5427" s="4">
        <v>6162</v>
      </c>
      <c r="G5427" s="2" t="s">
        <v>109</v>
      </c>
      <c r="H5427" s="2" t="s">
        <v>34</v>
      </c>
      <c r="I5427" s="2" t="s">
        <v>16761</v>
      </c>
      <c r="J5427" s="2" t="s">
        <v>159</v>
      </c>
      <c r="K5427" s="2" t="s">
        <v>37</v>
      </c>
      <c r="L5427" s="2" t="s">
        <v>34</v>
      </c>
      <c r="M5427" s="7">
        <v>221.33600000000001</v>
      </c>
      <c r="N5427" s="7">
        <v>17.687999999999999</v>
      </c>
      <c r="O5427" s="4">
        <v>18</v>
      </c>
      <c r="P5427" s="2" t="s">
        <v>16762</v>
      </c>
      <c r="Q5427" s="6">
        <v>100</v>
      </c>
      <c r="R5427" s="6">
        <v>24.7</v>
      </c>
      <c r="S5427" s="5">
        <v>3.8</v>
      </c>
      <c r="T5427" s="7">
        <v>0.77700000000000002</v>
      </c>
      <c r="U5427" s="5">
        <v>12.9</v>
      </c>
      <c r="V5427" s="6">
        <v>1.34</v>
      </c>
      <c r="W5427" s="6">
        <v>17.75</v>
      </c>
      <c r="X5427" s="5">
        <v>17.5</v>
      </c>
      <c r="Y5427" s="5">
        <v>17.5</v>
      </c>
      <c r="Z5427" s="4">
        <v>21</v>
      </c>
      <c r="AA5427" s="6">
        <v>2.91</v>
      </c>
      <c r="AB5427" s="7">
        <v>194.89500000000001</v>
      </c>
      <c r="AC5427" s="5">
        <v>61.7</v>
      </c>
    </row>
    <row r="5428" spans="1:29" ht="169" x14ac:dyDescent="0.15">
      <c r="A5428" s="3">
        <f>DATE(2000,4,20)</f>
        <v>36636</v>
      </c>
      <c r="B5428" s="2"/>
      <c r="C5428" s="2" t="s">
        <v>30</v>
      </c>
      <c r="D5428" s="2" t="s">
        <v>16724</v>
      </c>
      <c r="E5428" s="2" t="s">
        <v>172</v>
      </c>
      <c r="F5428" s="4">
        <v>4213</v>
      </c>
      <c r="G5428" s="2" t="s">
        <v>173</v>
      </c>
      <c r="H5428" s="2" t="s">
        <v>34</v>
      </c>
      <c r="I5428" s="2" t="s">
        <v>51</v>
      </c>
      <c r="J5428" s="2" t="s">
        <v>52</v>
      </c>
      <c r="K5428" s="2" t="s">
        <v>53</v>
      </c>
      <c r="L5428" s="2" t="s">
        <v>34</v>
      </c>
      <c r="M5428" s="2"/>
      <c r="N5428" s="2"/>
      <c r="O5428" s="2"/>
      <c r="P5428" s="2" t="s">
        <v>16763</v>
      </c>
      <c r="Q5428" s="2"/>
      <c r="R5428" s="6">
        <v>8.25</v>
      </c>
      <c r="S5428" s="5">
        <v>-1.3</v>
      </c>
      <c r="T5428" s="7">
        <v>18.977</v>
      </c>
      <c r="U5428" s="5">
        <v>12.2</v>
      </c>
      <c r="V5428" s="6">
        <v>-0.32</v>
      </c>
      <c r="W5428" s="7">
        <v>6.125</v>
      </c>
      <c r="X5428" s="4">
        <v>7</v>
      </c>
      <c r="Y5428" s="7">
        <v>7.6879999999999997</v>
      </c>
      <c r="Z5428" s="5">
        <v>7.5</v>
      </c>
      <c r="AA5428" s="6">
        <v>4.0999999999999996</v>
      </c>
      <c r="AB5428" s="7">
        <v>517.87300000000005</v>
      </c>
      <c r="AC5428" s="2"/>
    </row>
    <row r="5429" spans="1:29" ht="156" x14ac:dyDescent="0.15">
      <c r="A5429" s="3">
        <f>DATE(2000,4,21)</f>
        <v>36637</v>
      </c>
      <c r="B5429" s="2"/>
      <c r="C5429" s="2" t="s">
        <v>30</v>
      </c>
      <c r="D5429" s="2" t="s">
        <v>13690</v>
      </c>
      <c r="E5429" s="2" t="s">
        <v>265</v>
      </c>
      <c r="F5429" s="4">
        <v>6022</v>
      </c>
      <c r="G5429" s="2" t="s">
        <v>37</v>
      </c>
      <c r="H5429" s="2" t="s">
        <v>34</v>
      </c>
      <c r="I5429" s="2" t="s">
        <v>3099</v>
      </c>
      <c r="J5429" s="2" t="s">
        <v>265</v>
      </c>
      <c r="K5429" s="2" t="s">
        <v>37</v>
      </c>
      <c r="L5429" s="2" t="s">
        <v>34</v>
      </c>
      <c r="M5429" s="7">
        <v>253.846</v>
      </c>
      <c r="N5429" s="7">
        <v>10.313000000000001</v>
      </c>
      <c r="O5429" s="7">
        <v>10.327999999999999</v>
      </c>
      <c r="P5429" s="2" t="s">
        <v>16764</v>
      </c>
      <c r="Q5429" s="2"/>
      <c r="R5429" s="6">
        <v>24</v>
      </c>
      <c r="S5429" s="5">
        <v>19</v>
      </c>
      <c r="T5429" s="5">
        <v>33.1</v>
      </c>
      <c r="U5429" s="5">
        <v>15.3</v>
      </c>
      <c r="V5429" s="6">
        <v>1.94</v>
      </c>
      <c r="W5429" s="7">
        <v>17.875</v>
      </c>
      <c r="X5429" s="7">
        <v>19.875</v>
      </c>
      <c r="Y5429" s="7">
        <v>19.875</v>
      </c>
      <c r="Z5429" s="4">
        <v>19</v>
      </c>
      <c r="AA5429" s="6">
        <v>10.25</v>
      </c>
      <c r="AB5429" s="7">
        <v>72.888000000000005</v>
      </c>
      <c r="AC5429" s="5">
        <v>60.8</v>
      </c>
    </row>
    <row r="5430" spans="1:29" ht="234" x14ac:dyDescent="0.15">
      <c r="A5430" s="3">
        <f>DATE(2000,4,24)</f>
        <v>36640</v>
      </c>
      <c r="B5430" s="3">
        <f>DATE(2000,7,17)</f>
        <v>36724</v>
      </c>
      <c r="C5430" s="2" t="s">
        <v>95</v>
      </c>
      <c r="D5430" s="2" t="s">
        <v>16765</v>
      </c>
      <c r="E5430" s="2" t="s">
        <v>6306</v>
      </c>
      <c r="F5430" s="4">
        <v>3643</v>
      </c>
      <c r="G5430" s="2" t="s">
        <v>137</v>
      </c>
      <c r="H5430" s="2" t="s">
        <v>34</v>
      </c>
      <c r="I5430" s="2" t="s">
        <v>51</v>
      </c>
      <c r="J5430" s="2" t="s">
        <v>52</v>
      </c>
      <c r="K5430" s="2" t="s">
        <v>53</v>
      </c>
      <c r="L5430" s="2" t="s">
        <v>34</v>
      </c>
      <c r="M5430" s="2"/>
      <c r="N5430" s="2"/>
      <c r="O5430" s="2"/>
      <c r="P5430" s="2" t="s">
        <v>16766</v>
      </c>
      <c r="Q5430" s="6">
        <v>49.02</v>
      </c>
      <c r="R5430" s="6">
        <v>26.4</v>
      </c>
      <c r="S5430" s="5">
        <v>11.5</v>
      </c>
      <c r="T5430" s="2"/>
      <c r="U5430" s="5">
        <v>25.7</v>
      </c>
      <c r="V5430" s="6">
        <v>0.49</v>
      </c>
      <c r="W5430" s="7">
        <v>12.625</v>
      </c>
      <c r="X5430" s="4">
        <v>13</v>
      </c>
      <c r="Y5430" s="7">
        <v>17.437999999999999</v>
      </c>
      <c r="Z5430" s="7">
        <v>17.687999999999999</v>
      </c>
      <c r="AA5430" s="6">
        <v>10.039999999999999</v>
      </c>
      <c r="AB5430" s="7">
        <v>17.216999999999999</v>
      </c>
      <c r="AC5430" s="2"/>
    </row>
    <row r="5431" spans="1:29" ht="117" x14ac:dyDescent="0.15">
      <c r="A5431" s="3">
        <f>DATE(2000,4,24)</f>
        <v>36640</v>
      </c>
      <c r="B5431" s="3">
        <f>DATE(2000,7,27)</f>
        <v>36734</v>
      </c>
      <c r="C5431" s="2" t="s">
        <v>95</v>
      </c>
      <c r="D5431" s="2" t="s">
        <v>16767</v>
      </c>
      <c r="E5431" s="2" t="s">
        <v>16768</v>
      </c>
      <c r="F5431" s="4">
        <v>5092</v>
      </c>
      <c r="G5431" s="2" t="s">
        <v>76</v>
      </c>
      <c r="H5431" s="2" t="s">
        <v>34</v>
      </c>
      <c r="I5431" s="2" t="s">
        <v>16769</v>
      </c>
      <c r="J5431" s="2" t="s">
        <v>16770</v>
      </c>
      <c r="K5431" s="2" t="s">
        <v>73</v>
      </c>
      <c r="L5431" s="2" t="s">
        <v>34</v>
      </c>
      <c r="M5431" s="7">
        <v>124.098</v>
      </c>
      <c r="N5431" s="7">
        <v>3.7810000000000001</v>
      </c>
      <c r="O5431" s="4">
        <v>4</v>
      </c>
      <c r="P5431" s="2" t="s">
        <v>16771</v>
      </c>
      <c r="Q5431" s="6">
        <v>100</v>
      </c>
      <c r="R5431" s="6">
        <v>5.28</v>
      </c>
      <c r="S5431" s="5">
        <v>9.6999999999999993</v>
      </c>
      <c r="T5431" s="7">
        <v>7.0990000000000002</v>
      </c>
      <c r="U5431" s="5">
        <v>6.4</v>
      </c>
      <c r="V5431" s="6">
        <v>1.25</v>
      </c>
      <c r="W5431" s="4">
        <v>4</v>
      </c>
      <c r="X5431" s="6">
        <v>4.25</v>
      </c>
      <c r="Y5431" s="5">
        <v>4.5</v>
      </c>
      <c r="Z5431" s="7">
        <v>4.6879999999999997</v>
      </c>
      <c r="AA5431" s="6">
        <v>7.6</v>
      </c>
      <c r="AB5431" s="7">
        <v>13.614000000000001</v>
      </c>
      <c r="AC5431" s="5">
        <v>24.6</v>
      </c>
    </row>
    <row r="5432" spans="1:29" ht="104" x14ac:dyDescent="0.15">
      <c r="A5432" s="3">
        <f>DATE(2000,4,24)</f>
        <v>36640</v>
      </c>
      <c r="B5432" s="3">
        <f>DATE(2000,7,1)</f>
        <v>36708</v>
      </c>
      <c r="C5432" s="2" t="s">
        <v>95</v>
      </c>
      <c r="D5432" s="2" t="s">
        <v>16772</v>
      </c>
      <c r="E5432" s="2" t="s">
        <v>16773</v>
      </c>
      <c r="F5432" s="4">
        <v>3089</v>
      </c>
      <c r="G5432" s="2" t="s">
        <v>447</v>
      </c>
      <c r="H5432" s="2" t="s">
        <v>34</v>
      </c>
      <c r="I5432" s="2" t="s">
        <v>11839</v>
      </c>
      <c r="J5432" s="2" t="s">
        <v>11840</v>
      </c>
      <c r="K5432" s="2" t="s">
        <v>250</v>
      </c>
      <c r="L5432" s="2" t="s">
        <v>902</v>
      </c>
      <c r="M5432" s="2"/>
      <c r="N5432" s="2"/>
      <c r="O5432" s="2"/>
      <c r="P5432" s="2" t="s">
        <v>16774</v>
      </c>
      <c r="Q5432" s="6">
        <v>100</v>
      </c>
      <c r="R5432" s="6">
        <v>13.88</v>
      </c>
      <c r="S5432" s="5">
        <v>7.2</v>
      </c>
      <c r="T5432" s="7">
        <v>25.245000000000001</v>
      </c>
      <c r="U5432" s="5">
        <v>2</v>
      </c>
      <c r="V5432" s="6">
        <v>0.65</v>
      </c>
      <c r="W5432" s="6">
        <v>11.25</v>
      </c>
      <c r="X5432" s="7">
        <v>12.625</v>
      </c>
      <c r="Y5432" s="7">
        <v>13.625</v>
      </c>
      <c r="Z5432" s="7">
        <v>13.625</v>
      </c>
      <c r="AA5432" s="6">
        <v>11.17</v>
      </c>
      <c r="AB5432" s="7">
        <v>11.298</v>
      </c>
      <c r="AC5432" s="6">
        <v>3.79</v>
      </c>
    </row>
    <row r="5433" spans="1:29" ht="325" x14ac:dyDescent="0.15">
      <c r="A5433" s="3">
        <f t="shared" ref="A5433:A5438" si="128">DATE(2000,4,25)</f>
        <v>36641</v>
      </c>
      <c r="B5433" s="3">
        <f>DATE(2000,6,21)</f>
        <v>36698</v>
      </c>
      <c r="C5433" s="2" t="s">
        <v>95</v>
      </c>
      <c r="D5433" s="2" t="s">
        <v>16331</v>
      </c>
      <c r="E5433" s="2" t="s">
        <v>16332</v>
      </c>
      <c r="F5433" s="4">
        <v>2621</v>
      </c>
      <c r="G5433" s="2" t="s">
        <v>282</v>
      </c>
      <c r="H5433" s="2" t="s">
        <v>34</v>
      </c>
      <c r="I5433" s="2" t="s">
        <v>1981</v>
      </c>
      <c r="J5433" s="2" t="s">
        <v>1982</v>
      </c>
      <c r="K5433" s="2" t="s">
        <v>282</v>
      </c>
      <c r="L5433" s="2" t="s">
        <v>34</v>
      </c>
      <c r="M5433" s="12">
        <v>15596.267</v>
      </c>
      <c r="N5433" s="6">
        <v>37.25</v>
      </c>
      <c r="O5433" s="7">
        <v>37.375</v>
      </c>
      <c r="P5433" s="2" t="s">
        <v>16775</v>
      </c>
      <c r="Q5433" s="6">
        <v>100</v>
      </c>
      <c r="R5433" s="6">
        <v>75</v>
      </c>
      <c r="S5433" s="5">
        <v>293.39999999999998</v>
      </c>
      <c r="T5433" s="5">
        <v>897.6</v>
      </c>
      <c r="U5433" s="5">
        <v>33</v>
      </c>
      <c r="V5433" s="6">
        <v>3.04</v>
      </c>
      <c r="W5433" s="7">
        <v>50.563000000000002</v>
      </c>
      <c r="X5433" s="7">
        <v>55.625</v>
      </c>
      <c r="Y5433" s="7">
        <v>55.063000000000002</v>
      </c>
      <c r="Z5433" s="4">
        <v>54</v>
      </c>
      <c r="AA5433" s="6">
        <v>96.58</v>
      </c>
      <c r="AB5433" s="7">
        <v>17.216000000000001</v>
      </c>
      <c r="AC5433" s="8">
        <v>1574</v>
      </c>
    </row>
    <row r="5434" spans="1:29" ht="195" x14ac:dyDescent="0.15">
      <c r="A5434" s="3">
        <f t="shared" si="128"/>
        <v>36641</v>
      </c>
      <c r="B5434" s="2"/>
      <c r="C5434" s="2" t="s">
        <v>30</v>
      </c>
      <c r="D5434" s="2" t="s">
        <v>16776</v>
      </c>
      <c r="E5434" s="2" t="s">
        <v>36</v>
      </c>
      <c r="F5434" s="4">
        <v>6036</v>
      </c>
      <c r="G5434" s="2" t="s">
        <v>33</v>
      </c>
      <c r="H5434" s="2" t="s">
        <v>34</v>
      </c>
      <c r="I5434" s="2" t="s">
        <v>14410</v>
      </c>
      <c r="J5434" s="2" t="s">
        <v>7190</v>
      </c>
      <c r="K5434" s="2" t="s">
        <v>37</v>
      </c>
      <c r="L5434" s="2" t="s">
        <v>34</v>
      </c>
      <c r="M5434" s="7">
        <v>156.60900000000001</v>
      </c>
      <c r="N5434" s="6">
        <v>9.75</v>
      </c>
      <c r="O5434" s="5">
        <v>9.5</v>
      </c>
      <c r="P5434" s="2" t="s">
        <v>16777</v>
      </c>
      <c r="Q5434" s="2"/>
      <c r="R5434" s="6">
        <v>11.04</v>
      </c>
      <c r="S5434" s="5">
        <v>6</v>
      </c>
      <c r="T5434" s="5">
        <v>11.1</v>
      </c>
      <c r="U5434" s="5">
        <v>15.1</v>
      </c>
      <c r="V5434" s="6">
        <v>0.72</v>
      </c>
      <c r="W5434" s="6">
        <v>9.75</v>
      </c>
      <c r="X5434" s="7">
        <v>9.8130000000000006</v>
      </c>
      <c r="Y5434" s="7">
        <v>9.8130000000000006</v>
      </c>
      <c r="Z5434" s="4">
        <v>11</v>
      </c>
      <c r="AA5434" s="6">
        <v>8.81</v>
      </c>
      <c r="AB5434" s="7">
        <v>68.17</v>
      </c>
      <c r="AC5434" s="5">
        <v>16.600000000000001</v>
      </c>
    </row>
    <row r="5435" spans="1:29" ht="78" x14ac:dyDescent="0.15">
      <c r="A5435" s="3">
        <f t="shared" si="128"/>
        <v>36641</v>
      </c>
      <c r="B5435" s="3">
        <f>DATE(2000,10,2)</f>
        <v>36801</v>
      </c>
      <c r="C5435" s="2" t="s">
        <v>95</v>
      </c>
      <c r="D5435" s="2" t="s">
        <v>16778</v>
      </c>
      <c r="E5435" s="2" t="s">
        <v>1181</v>
      </c>
      <c r="F5435" s="4">
        <v>6021</v>
      </c>
      <c r="G5435" s="2" t="s">
        <v>37</v>
      </c>
      <c r="H5435" s="2" t="s">
        <v>34</v>
      </c>
      <c r="I5435" s="2" t="s">
        <v>16779</v>
      </c>
      <c r="J5435" s="2" t="s">
        <v>1181</v>
      </c>
      <c r="K5435" s="2" t="s">
        <v>37</v>
      </c>
      <c r="L5435" s="2" t="s">
        <v>34</v>
      </c>
      <c r="M5435" s="2"/>
      <c r="N5435" s="2"/>
      <c r="O5435" s="2"/>
      <c r="P5435" s="2" t="s">
        <v>16780</v>
      </c>
      <c r="Q5435" s="6">
        <v>100</v>
      </c>
      <c r="R5435" s="6">
        <v>25.45</v>
      </c>
      <c r="S5435" s="5">
        <v>10.4</v>
      </c>
      <c r="T5435" s="5">
        <v>18.399999999999999</v>
      </c>
      <c r="U5435" s="5">
        <v>11.9</v>
      </c>
      <c r="V5435" s="6">
        <v>2.37</v>
      </c>
      <c r="W5435" s="7">
        <v>16.375</v>
      </c>
      <c r="X5435" s="6">
        <v>17.25</v>
      </c>
      <c r="Y5435" s="7">
        <v>24.062999999999999</v>
      </c>
      <c r="Z5435" s="7">
        <v>24.062999999999999</v>
      </c>
      <c r="AA5435" s="6">
        <v>4.24</v>
      </c>
      <c r="AB5435" s="7">
        <v>39.192</v>
      </c>
      <c r="AC5435" s="2"/>
    </row>
    <row r="5436" spans="1:29" ht="104" x14ac:dyDescent="0.15">
      <c r="A5436" s="3">
        <f t="shared" si="128"/>
        <v>36641</v>
      </c>
      <c r="B5436" s="2"/>
      <c r="C5436" s="2" t="s">
        <v>30</v>
      </c>
      <c r="D5436" s="2" t="s">
        <v>16781</v>
      </c>
      <c r="E5436" s="2" t="s">
        <v>16782</v>
      </c>
      <c r="F5436" s="4">
        <v>7349</v>
      </c>
      <c r="G5436" s="2" t="s">
        <v>223</v>
      </c>
      <c r="H5436" s="2" t="s">
        <v>34</v>
      </c>
      <c r="I5436" s="2" t="s">
        <v>51</v>
      </c>
      <c r="J5436" s="2" t="s">
        <v>52</v>
      </c>
      <c r="K5436" s="2" t="s">
        <v>53</v>
      </c>
      <c r="L5436" s="2" t="s">
        <v>34</v>
      </c>
      <c r="M5436" s="2"/>
      <c r="N5436" s="2"/>
      <c r="O5436" s="2"/>
      <c r="P5436" s="2" t="s">
        <v>16783</v>
      </c>
      <c r="Q5436" s="2"/>
      <c r="R5436" s="6">
        <v>8</v>
      </c>
      <c r="S5436" s="5">
        <v>4.5999999999999996</v>
      </c>
      <c r="T5436" s="5">
        <v>28.2</v>
      </c>
      <c r="U5436" s="5">
        <v>4.8</v>
      </c>
      <c r="V5436" s="6">
        <v>0.38</v>
      </c>
      <c r="W5436" s="7">
        <v>5.0629999999999997</v>
      </c>
      <c r="X5436" s="7">
        <v>5.125</v>
      </c>
      <c r="Y5436" s="6">
        <v>5.25</v>
      </c>
      <c r="Z5436" s="6">
        <v>7.25</v>
      </c>
      <c r="AA5436" s="6">
        <v>10.88</v>
      </c>
      <c r="AB5436" s="7">
        <v>9.3810000000000002</v>
      </c>
      <c r="AC5436" s="2"/>
    </row>
    <row r="5437" spans="1:29" ht="65" x14ac:dyDescent="0.15">
      <c r="A5437" s="3">
        <f t="shared" si="128"/>
        <v>36641</v>
      </c>
      <c r="B5437" s="3">
        <f>DATE(2000,7,3)</f>
        <v>36710</v>
      </c>
      <c r="C5437" s="2" t="s">
        <v>95</v>
      </c>
      <c r="D5437" s="2" t="s">
        <v>15283</v>
      </c>
      <c r="E5437" s="2" t="s">
        <v>1181</v>
      </c>
      <c r="F5437" s="4">
        <v>6021</v>
      </c>
      <c r="G5437" s="2" t="s">
        <v>37</v>
      </c>
      <c r="H5437" s="2" t="s">
        <v>34</v>
      </c>
      <c r="I5437" s="2" t="s">
        <v>15284</v>
      </c>
      <c r="J5437" s="2" t="s">
        <v>36</v>
      </c>
      <c r="K5437" s="2" t="s">
        <v>37</v>
      </c>
      <c r="L5437" s="2" t="s">
        <v>34</v>
      </c>
      <c r="M5437" s="6">
        <v>18.12</v>
      </c>
      <c r="N5437" s="7">
        <v>4.625</v>
      </c>
      <c r="O5437" s="5">
        <v>4.5</v>
      </c>
      <c r="P5437" s="2" t="s">
        <v>16784</v>
      </c>
      <c r="Q5437" s="6">
        <v>100</v>
      </c>
      <c r="R5437" s="6">
        <v>3.35</v>
      </c>
      <c r="S5437" s="5">
        <v>0.1</v>
      </c>
      <c r="T5437" s="6">
        <v>0.17</v>
      </c>
      <c r="U5437" s="5">
        <v>3.9</v>
      </c>
      <c r="V5437" s="6">
        <v>0.09</v>
      </c>
      <c r="W5437" s="6">
        <v>2.25</v>
      </c>
      <c r="X5437" s="6">
        <v>2.25</v>
      </c>
      <c r="Y5437" s="7">
        <v>2.125</v>
      </c>
      <c r="Z5437" s="7">
        <v>2.4380000000000002</v>
      </c>
      <c r="AA5437" s="6">
        <v>1.23</v>
      </c>
      <c r="AB5437" s="7">
        <v>530.65099999999995</v>
      </c>
      <c r="AC5437" s="5">
        <v>23.4</v>
      </c>
    </row>
    <row r="5438" spans="1:29" ht="104" x14ac:dyDescent="0.15">
      <c r="A5438" s="3">
        <f t="shared" si="128"/>
        <v>36641</v>
      </c>
      <c r="B5438" s="2"/>
      <c r="C5438" s="2" t="s">
        <v>30</v>
      </c>
      <c r="D5438" s="2" t="s">
        <v>16785</v>
      </c>
      <c r="E5438" s="2" t="s">
        <v>16786</v>
      </c>
      <c r="F5438" s="4">
        <v>7011</v>
      </c>
      <c r="G5438" s="2" t="s">
        <v>269</v>
      </c>
      <c r="H5438" s="2" t="s">
        <v>34</v>
      </c>
      <c r="I5438" s="2" t="s">
        <v>16697</v>
      </c>
      <c r="J5438" s="2" t="s">
        <v>150</v>
      </c>
      <c r="K5438" s="2" t="s">
        <v>53</v>
      </c>
      <c r="L5438" s="2" t="s">
        <v>34</v>
      </c>
      <c r="M5438" s="2"/>
      <c r="N5438" s="2"/>
      <c r="O5438" s="2"/>
      <c r="P5438" s="2" t="s">
        <v>16787</v>
      </c>
      <c r="Q5438" s="2"/>
      <c r="R5438" s="6">
        <v>44.35</v>
      </c>
      <c r="S5438" s="5">
        <v>-19.3</v>
      </c>
      <c r="T5438" s="6">
        <v>11.21</v>
      </c>
      <c r="U5438" s="5">
        <v>-2.7</v>
      </c>
      <c r="V5438" s="6">
        <v>-0.33</v>
      </c>
      <c r="W5438" s="4">
        <v>21</v>
      </c>
      <c r="X5438" s="4">
        <v>27</v>
      </c>
      <c r="Y5438" s="7">
        <v>6.3E-2</v>
      </c>
      <c r="Z5438" s="7">
        <v>6.3E-2</v>
      </c>
      <c r="AA5438" s="6">
        <v>2.0299999999999998</v>
      </c>
      <c r="AB5438" s="7">
        <v>914.88099999999997</v>
      </c>
      <c r="AC5438" s="2"/>
    </row>
    <row r="5439" spans="1:29" ht="208" x14ac:dyDescent="0.15">
      <c r="A5439" s="3">
        <f>DATE(2000,4,26)</f>
        <v>36642</v>
      </c>
      <c r="B5439" s="2"/>
      <c r="C5439" s="2" t="s">
        <v>30</v>
      </c>
      <c r="D5439" s="2" t="s">
        <v>16788</v>
      </c>
      <c r="E5439" s="2" t="s">
        <v>16789</v>
      </c>
      <c r="F5439" s="4">
        <v>3612</v>
      </c>
      <c r="G5439" s="2" t="s">
        <v>137</v>
      </c>
      <c r="H5439" s="2" t="s">
        <v>34</v>
      </c>
      <c r="I5439" s="2" t="s">
        <v>51</v>
      </c>
      <c r="J5439" s="2" t="s">
        <v>52</v>
      </c>
      <c r="K5439" s="2" t="s">
        <v>53</v>
      </c>
      <c r="L5439" s="2" t="s">
        <v>34</v>
      </c>
      <c r="M5439" s="2"/>
      <c r="N5439" s="2"/>
      <c r="O5439" s="2"/>
      <c r="P5439" s="2" t="s">
        <v>16790</v>
      </c>
      <c r="Q5439" s="2"/>
      <c r="R5439" s="6">
        <v>8</v>
      </c>
      <c r="S5439" s="5">
        <v>3.1</v>
      </c>
      <c r="T5439" s="7">
        <v>9.2739999999999991</v>
      </c>
      <c r="U5439" s="5">
        <v>4.7</v>
      </c>
      <c r="V5439" s="6">
        <v>0.6</v>
      </c>
      <c r="W5439" s="4">
        <v>6</v>
      </c>
      <c r="X5439" s="4">
        <v>6</v>
      </c>
      <c r="Y5439" s="7">
        <v>7.375</v>
      </c>
      <c r="Z5439" s="11">
        <v>7.28125</v>
      </c>
      <c r="AA5439" s="6">
        <v>5.08</v>
      </c>
      <c r="AB5439" s="7">
        <v>7.06</v>
      </c>
      <c r="AC5439" s="2"/>
    </row>
    <row r="5440" spans="1:29" ht="117" x14ac:dyDescent="0.15">
      <c r="A5440" s="3">
        <f>DATE(2000,4,26)</f>
        <v>36642</v>
      </c>
      <c r="B5440" s="3">
        <f>DATE(2000,10,2)</f>
        <v>36801</v>
      </c>
      <c r="C5440" s="2" t="s">
        <v>95</v>
      </c>
      <c r="D5440" s="2" t="s">
        <v>16791</v>
      </c>
      <c r="E5440" s="2" t="s">
        <v>16792</v>
      </c>
      <c r="F5440" s="4">
        <v>3695</v>
      </c>
      <c r="G5440" s="2" t="s">
        <v>137</v>
      </c>
      <c r="H5440" s="2" t="s">
        <v>34</v>
      </c>
      <c r="I5440" s="2" t="s">
        <v>16793</v>
      </c>
      <c r="J5440" s="2" t="s">
        <v>16794</v>
      </c>
      <c r="K5440" s="2" t="s">
        <v>50</v>
      </c>
      <c r="L5440" s="2" t="s">
        <v>34</v>
      </c>
      <c r="M5440" s="7">
        <v>265.54199999999997</v>
      </c>
      <c r="N5440" s="7">
        <v>3.125</v>
      </c>
      <c r="O5440" s="4">
        <v>3</v>
      </c>
      <c r="P5440" s="2" t="s">
        <v>16795</v>
      </c>
      <c r="Q5440" s="6">
        <v>100</v>
      </c>
      <c r="R5440" s="6">
        <v>2.76</v>
      </c>
      <c r="S5440" s="5">
        <v>-51.6</v>
      </c>
      <c r="T5440" s="5">
        <v>-6.8</v>
      </c>
      <c r="U5440" s="5">
        <v>2.5</v>
      </c>
      <c r="V5440" s="6">
        <v>-1.1399999999999999</v>
      </c>
      <c r="W5440" s="7">
        <v>2.2810000000000001</v>
      </c>
      <c r="X5440" s="7">
        <v>1.875</v>
      </c>
      <c r="Y5440" s="7">
        <v>2.3439999999999999</v>
      </c>
      <c r="Z5440" s="6">
        <v>2.25</v>
      </c>
      <c r="AA5440" s="6">
        <v>46.1</v>
      </c>
      <c r="AB5440" s="2" t="s">
        <v>86</v>
      </c>
      <c r="AC5440" s="5">
        <v>38.1</v>
      </c>
    </row>
    <row r="5441" spans="1:29" ht="130" x14ac:dyDescent="0.15">
      <c r="A5441" s="3">
        <f>DATE(2000,4,27)</f>
        <v>36643</v>
      </c>
      <c r="B5441" s="3">
        <f>DATE(2000,9,1)</f>
        <v>36770</v>
      </c>
      <c r="C5441" s="2" t="s">
        <v>95</v>
      </c>
      <c r="D5441" s="2" t="s">
        <v>14898</v>
      </c>
      <c r="E5441" s="2" t="s">
        <v>14899</v>
      </c>
      <c r="F5441" s="4">
        <v>7372</v>
      </c>
      <c r="G5441" s="2" t="s">
        <v>551</v>
      </c>
      <c r="H5441" s="2" t="s">
        <v>34</v>
      </c>
      <c r="I5441" s="2" t="s">
        <v>16796</v>
      </c>
      <c r="J5441" s="2" t="s">
        <v>16797</v>
      </c>
      <c r="K5441" s="2" t="s">
        <v>551</v>
      </c>
      <c r="L5441" s="2" t="s">
        <v>34</v>
      </c>
      <c r="M5441" s="2"/>
      <c r="N5441" s="2"/>
      <c r="O5441" s="2"/>
      <c r="P5441" s="2" t="s">
        <v>16798</v>
      </c>
      <c r="Q5441" s="6">
        <v>100</v>
      </c>
      <c r="R5441" s="6">
        <v>8.4</v>
      </c>
      <c r="S5441" s="5">
        <v>-5.3</v>
      </c>
      <c r="T5441" s="5">
        <v>3.4</v>
      </c>
      <c r="U5441" s="5">
        <v>5.0999999999999996</v>
      </c>
      <c r="V5441" s="6">
        <v>-0.28000000000000003</v>
      </c>
      <c r="W5441" s="6">
        <v>5.75</v>
      </c>
      <c r="X5441" s="5">
        <v>5.5</v>
      </c>
      <c r="Y5441" s="7">
        <v>5.4690000000000003</v>
      </c>
      <c r="Z5441" s="7">
        <v>8.0630000000000006</v>
      </c>
      <c r="AA5441" s="6">
        <v>18.100000000000001</v>
      </c>
      <c r="AB5441" s="2" t="s">
        <v>86</v>
      </c>
      <c r="AC5441" s="2"/>
    </row>
    <row r="5442" spans="1:29" ht="91" x14ac:dyDescent="0.15">
      <c r="A5442" s="3">
        <f>DATE(2000,4,28)</f>
        <v>36644</v>
      </c>
      <c r="B5442" s="3">
        <f>DATE(2000,9,2)</f>
        <v>36771</v>
      </c>
      <c r="C5442" s="2" t="s">
        <v>95</v>
      </c>
      <c r="D5442" s="2" t="s">
        <v>9343</v>
      </c>
      <c r="E5442" s="2" t="s">
        <v>124</v>
      </c>
      <c r="F5442" s="4">
        <v>6311</v>
      </c>
      <c r="G5442" s="2" t="s">
        <v>125</v>
      </c>
      <c r="H5442" s="2" t="s">
        <v>34</v>
      </c>
      <c r="I5442" s="2" t="s">
        <v>10059</v>
      </c>
      <c r="J5442" s="2" t="s">
        <v>1085</v>
      </c>
      <c r="K5442" s="2" t="s">
        <v>125</v>
      </c>
      <c r="L5442" s="2" t="s">
        <v>2105</v>
      </c>
      <c r="M5442" s="12">
        <v>26584.152999999998</v>
      </c>
      <c r="N5442" s="2"/>
      <c r="O5442" s="2"/>
      <c r="P5442" s="2" t="s">
        <v>16799</v>
      </c>
      <c r="Q5442" s="6">
        <v>100</v>
      </c>
      <c r="R5442" s="6">
        <v>54</v>
      </c>
      <c r="S5442" s="5">
        <v>276.5</v>
      </c>
      <c r="T5442" s="2"/>
      <c r="U5442" s="5">
        <v>22.3</v>
      </c>
      <c r="V5442" s="6">
        <v>2.96</v>
      </c>
      <c r="W5442" s="6">
        <v>28.75</v>
      </c>
      <c r="X5442" s="7">
        <v>30.812999999999999</v>
      </c>
      <c r="Y5442" s="4">
        <v>43</v>
      </c>
      <c r="Z5442" s="4">
        <v>51</v>
      </c>
      <c r="AA5442" s="6">
        <v>89.44</v>
      </c>
      <c r="AB5442" s="7">
        <v>12.849</v>
      </c>
      <c r="AC5442" s="10">
        <v>5012.84</v>
      </c>
    </row>
    <row r="5443" spans="1:29" ht="169" x14ac:dyDescent="0.15">
      <c r="A5443" s="3">
        <f>DATE(2000,4,29)</f>
        <v>36645</v>
      </c>
      <c r="B5443" s="2"/>
      <c r="C5443" s="2" t="s">
        <v>30</v>
      </c>
      <c r="D5443" s="2" t="s">
        <v>3858</v>
      </c>
      <c r="E5443" s="2" t="s">
        <v>3859</v>
      </c>
      <c r="F5443" s="4">
        <v>7372</v>
      </c>
      <c r="G5443" s="2" t="s">
        <v>551</v>
      </c>
      <c r="H5443" s="2" t="s">
        <v>34</v>
      </c>
      <c r="I5443" s="2" t="s">
        <v>16800</v>
      </c>
      <c r="J5443" s="2" t="s">
        <v>4572</v>
      </c>
      <c r="K5443" s="2" t="s">
        <v>223</v>
      </c>
      <c r="L5443" s="2" t="s">
        <v>34</v>
      </c>
      <c r="M5443" s="12">
        <v>29986.094000000001</v>
      </c>
      <c r="N5443" s="7">
        <v>64.438000000000002</v>
      </c>
      <c r="O5443" s="7">
        <v>64.438000000000002</v>
      </c>
      <c r="P5443" s="2" t="s">
        <v>16801</v>
      </c>
      <c r="Q5443" s="2"/>
      <c r="R5443" s="6">
        <v>20</v>
      </c>
      <c r="S5443" s="5">
        <v>-98.1</v>
      </c>
      <c r="T5443" s="5">
        <v>92.7</v>
      </c>
      <c r="U5443" s="5">
        <v>8.6</v>
      </c>
      <c r="V5443" s="6">
        <v>-2.77</v>
      </c>
      <c r="W5443" s="7">
        <v>8.625</v>
      </c>
      <c r="X5443" s="6">
        <v>8.75</v>
      </c>
      <c r="Y5443" s="4">
        <v>12</v>
      </c>
      <c r="Z5443" s="9">
        <v>11.1875</v>
      </c>
      <c r="AA5443" s="6">
        <v>35.590000000000003</v>
      </c>
      <c r="AB5443" s="2" t="s">
        <v>86</v>
      </c>
      <c r="AC5443" s="5">
        <v>558</v>
      </c>
    </row>
    <row r="5444" spans="1:29" ht="143" x14ac:dyDescent="0.15">
      <c r="A5444" s="3">
        <f>DATE(2000,5,1)</f>
        <v>36647</v>
      </c>
      <c r="B5444" s="3">
        <f>DATE(2000,7,10)</f>
        <v>36717</v>
      </c>
      <c r="C5444" s="2" t="s">
        <v>95</v>
      </c>
      <c r="D5444" s="2" t="s">
        <v>10016</v>
      </c>
      <c r="E5444" s="2" t="s">
        <v>10017</v>
      </c>
      <c r="F5444" s="4">
        <v>2834</v>
      </c>
      <c r="G5444" s="2" t="s">
        <v>130</v>
      </c>
      <c r="H5444" s="2" t="s">
        <v>34</v>
      </c>
      <c r="I5444" s="2" t="s">
        <v>14812</v>
      </c>
      <c r="J5444" s="2" t="s">
        <v>14813</v>
      </c>
      <c r="K5444" s="2" t="s">
        <v>577</v>
      </c>
      <c r="L5444" s="2" t="s">
        <v>2105</v>
      </c>
      <c r="M5444" s="12">
        <v>2394.9520000000002</v>
      </c>
      <c r="N5444" s="2"/>
      <c r="O5444" s="2"/>
      <c r="P5444" s="2" t="s">
        <v>16802</v>
      </c>
      <c r="Q5444" s="6">
        <v>100</v>
      </c>
      <c r="R5444" s="6">
        <v>24</v>
      </c>
      <c r="S5444" s="5">
        <v>60.8</v>
      </c>
      <c r="T5444" s="7">
        <v>120.703</v>
      </c>
      <c r="U5444" s="5">
        <v>4</v>
      </c>
      <c r="V5444" s="6">
        <v>0.93</v>
      </c>
      <c r="W5444" s="7">
        <v>17.062999999999999</v>
      </c>
      <c r="X5444" s="6">
        <v>19.25</v>
      </c>
      <c r="Y5444" s="7">
        <v>23.437999999999999</v>
      </c>
      <c r="Z5444" s="7">
        <v>23.375</v>
      </c>
      <c r="AA5444" s="6">
        <v>63.97</v>
      </c>
      <c r="AB5444" s="7">
        <v>16.809999999999999</v>
      </c>
      <c r="AC5444" s="6">
        <v>65.459999999999994</v>
      </c>
    </row>
    <row r="5445" spans="1:29" ht="156" x14ac:dyDescent="0.15">
      <c r="A5445" s="3">
        <f>DATE(2000,5,1)</f>
        <v>36647</v>
      </c>
      <c r="B5445" s="3">
        <f>DATE(2000,7,6)</f>
        <v>36713</v>
      </c>
      <c r="C5445" s="2" t="s">
        <v>95</v>
      </c>
      <c r="D5445" s="2" t="s">
        <v>1431</v>
      </c>
      <c r="E5445" s="2" t="s">
        <v>1432</v>
      </c>
      <c r="F5445" s="4">
        <v>7376</v>
      </c>
      <c r="G5445" s="2" t="s">
        <v>223</v>
      </c>
      <c r="H5445" s="2" t="s">
        <v>34</v>
      </c>
      <c r="I5445" s="2" t="s">
        <v>16803</v>
      </c>
      <c r="J5445" s="2" t="s">
        <v>11151</v>
      </c>
      <c r="K5445" s="2" t="s">
        <v>921</v>
      </c>
      <c r="L5445" s="2" t="s">
        <v>34</v>
      </c>
      <c r="M5445" s="2"/>
      <c r="N5445" s="2"/>
      <c r="O5445" s="2"/>
      <c r="P5445" s="2" t="s">
        <v>16804</v>
      </c>
      <c r="Q5445" s="6">
        <v>100</v>
      </c>
      <c r="R5445" s="6">
        <v>73</v>
      </c>
      <c r="S5445" s="5">
        <v>60.3</v>
      </c>
      <c r="T5445" s="7">
        <v>161.733</v>
      </c>
      <c r="U5445" s="5">
        <v>16.899999999999999</v>
      </c>
      <c r="V5445" s="6">
        <v>2.2200000000000002</v>
      </c>
      <c r="W5445" s="6">
        <v>40.25</v>
      </c>
      <c r="X5445" s="7">
        <v>39.438000000000002</v>
      </c>
      <c r="Y5445" s="6">
        <v>38.25</v>
      </c>
      <c r="Z5445" s="5">
        <v>63.5</v>
      </c>
      <c r="AA5445" s="6">
        <v>26.91</v>
      </c>
      <c r="AB5445" s="7">
        <v>20.138000000000002</v>
      </c>
      <c r="AC5445" s="2"/>
    </row>
    <row r="5446" spans="1:29" ht="39" x14ac:dyDescent="0.15">
      <c r="A5446" s="3">
        <f>DATE(2000,5,1)</f>
        <v>36647</v>
      </c>
      <c r="B5446" s="2"/>
      <c r="C5446" s="2" t="s">
        <v>39</v>
      </c>
      <c r="D5446" s="2" t="s">
        <v>16805</v>
      </c>
      <c r="E5446" s="2" t="s">
        <v>7375</v>
      </c>
      <c r="F5446" s="4">
        <v>7311</v>
      </c>
      <c r="G5446" s="2" t="s">
        <v>4563</v>
      </c>
      <c r="H5446" s="2" t="s">
        <v>34</v>
      </c>
      <c r="I5446" s="2" t="s">
        <v>10959</v>
      </c>
      <c r="J5446" s="2" t="s">
        <v>10960</v>
      </c>
      <c r="K5446" s="2" t="s">
        <v>4563</v>
      </c>
      <c r="L5446" s="2" t="s">
        <v>133</v>
      </c>
      <c r="M5446" s="2"/>
      <c r="N5446" s="2"/>
      <c r="O5446" s="2"/>
      <c r="P5446" s="2" t="s">
        <v>16806</v>
      </c>
      <c r="Q5446" s="2"/>
      <c r="R5446" s="2"/>
      <c r="S5446" s="5">
        <v>179</v>
      </c>
      <c r="T5446" s="6">
        <v>293.98</v>
      </c>
      <c r="U5446" s="5">
        <v>3.5</v>
      </c>
      <c r="V5446" s="6">
        <v>2.16</v>
      </c>
      <c r="W5446" s="7">
        <v>42.625</v>
      </c>
      <c r="X5446" s="7">
        <v>55.688000000000002</v>
      </c>
      <c r="Y5446" s="7">
        <v>50.063000000000002</v>
      </c>
      <c r="Z5446" s="5">
        <v>48.5</v>
      </c>
      <c r="AA5446" s="6">
        <v>100.54</v>
      </c>
      <c r="AB5446" s="2" t="s">
        <v>47</v>
      </c>
      <c r="AC5446" s="6">
        <v>351.59</v>
      </c>
    </row>
    <row r="5447" spans="1:29" ht="182" x14ac:dyDescent="0.15">
      <c r="A5447" s="3">
        <f>DATE(2000,5,2)</f>
        <v>36648</v>
      </c>
      <c r="B5447" s="3">
        <f>DATE(2000,8,10)</f>
        <v>36748</v>
      </c>
      <c r="C5447" s="2" t="s">
        <v>95</v>
      </c>
      <c r="D5447" s="2" t="s">
        <v>16807</v>
      </c>
      <c r="E5447" s="2" t="s">
        <v>16808</v>
      </c>
      <c r="F5447" s="4">
        <v>3577</v>
      </c>
      <c r="G5447" s="2" t="s">
        <v>50</v>
      </c>
      <c r="H5447" s="2" t="s">
        <v>34</v>
      </c>
      <c r="I5447" s="2" t="s">
        <v>16809</v>
      </c>
      <c r="J5447" s="2" t="s">
        <v>16810</v>
      </c>
      <c r="K5447" s="2" t="s">
        <v>551</v>
      </c>
      <c r="L5447" s="2" t="s">
        <v>34</v>
      </c>
      <c r="M5447" s="12">
        <v>2687.3020000000001</v>
      </c>
      <c r="N5447" s="5">
        <v>69.5</v>
      </c>
      <c r="O5447" s="7">
        <v>62.875</v>
      </c>
      <c r="P5447" s="2" t="s">
        <v>16811</v>
      </c>
      <c r="Q5447" s="6">
        <v>100</v>
      </c>
      <c r="R5447" s="6">
        <v>13.43</v>
      </c>
      <c r="S5447" s="5">
        <v>-9.9</v>
      </c>
      <c r="T5447" s="7">
        <v>-9.218</v>
      </c>
      <c r="U5447" s="5">
        <v>6.9</v>
      </c>
      <c r="V5447" s="6">
        <v>-0.98</v>
      </c>
      <c r="W5447" s="5">
        <v>12.5</v>
      </c>
      <c r="X5447" s="7">
        <v>13.875</v>
      </c>
      <c r="Y5447" s="6">
        <v>14.25</v>
      </c>
      <c r="Z5447" s="4">
        <v>14</v>
      </c>
      <c r="AA5447" s="6">
        <v>10.34</v>
      </c>
      <c r="AB5447" s="2" t="s">
        <v>86</v>
      </c>
      <c r="AC5447" s="5">
        <v>238.7</v>
      </c>
    </row>
    <row r="5448" spans="1:29" ht="299" x14ac:dyDescent="0.15">
      <c r="A5448" s="3">
        <f>DATE(2000,5,2)</f>
        <v>36648</v>
      </c>
      <c r="B5448" s="3">
        <f>DATE(2000,10,4)</f>
        <v>36803</v>
      </c>
      <c r="C5448" s="2" t="s">
        <v>95</v>
      </c>
      <c r="D5448" s="2" t="s">
        <v>16812</v>
      </c>
      <c r="E5448" s="2" t="s">
        <v>16813</v>
      </c>
      <c r="F5448" s="4">
        <v>2034</v>
      </c>
      <c r="G5448" s="2" t="s">
        <v>577</v>
      </c>
      <c r="H5448" s="2" t="s">
        <v>34</v>
      </c>
      <c r="I5448" s="2" t="s">
        <v>16814</v>
      </c>
      <c r="J5448" s="2" t="s">
        <v>16815</v>
      </c>
      <c r="K5448" s="2" t="s">
        <v>577</v>
      </c>
      <c r="L5448" s="2" t="s">
        <v>303</v>
      </c>
      <c r="M5448" s="12">
        <v>49615.722000000002</v>
      </c>
      <c r="N5448" s="2"/>
      <c r="O5448" s="2"/>
      <c r="P5448" s="2" t="s">
        <v>16816</v>
      </c>
      <c r="Q5448" s="6">
        <v>100</v>
      </c>
      <c r="R5448" s="6">
        <v>73</v>
      </c>
      <c r="S5448" s="5">
        <v>733</v>
      </c>
      <c r="T5448" s="8">
        <v>1614</v>
      </c>
      <c r="U5448" s="5">
        <v>2.2999999999999998</v>
      </c>
      <c r="V5448" s="6">
        <v>2.5499999999999998</v>
      </c>
      <c r="W5448" s="7">
        <v>53.813000000000002</v>
      </c>
      <c r="X5448" s="7">
        <v>51.313000000000002</v>
      </c>
      <c r="Y5448" s="7">
        <v>50.563000000000002</v>
      </c>
      <c r="Z5448" s="6">
        <v>61.25</v>
      </c>
      <c r="AA5448" s="6">
        <v>276.87</v>
      </c>
      <c r="AB5448" s="7">
        <v>17.390999999999998</v>
      </c>
      <c r="AC5448" s="10">
        <v>5503.08</v>
      </c>
    </row>
    <row r="5449" spans="1:29" ht="143" x14ac:dyDescent="0.15">
      <c r="A5449" s="3">
        <f>DATE(2000,5,3)</f>
        <v>36649</v>
      </c>
      <c r="B5449" s="3">
        <f>DATE(2000,6,14)</f>
        <v>36691</v>
      </c>
      <c r="C5449" s="2" t="s">
        <v>95</v>
      </c>
      <c r="D5449" s="2" t="s">
        <v>16817</v>
      </c>
      <c r="E5449" s="2" t="s">
        <v>16818</v>
      </c>
      <c r="F5449" s="4">
        <v>2759</v>
      </c>
      <c r="G5449" s="2" t="s">
        <v>186</v>
      </c>
      <c r="H5449" s="2" t="s">
        <v>34</v>
      </c>
      <c r="I5449" s="2" t="s">
        <v>6347</v>
      </c>
      <c r="J5449" s="2" t="s">
        <v>6348</v>
      </c>
      <c r="K5449" s="2" t="s">
        <v>223</v>
      </c>
      <c r="L5449" s="2" t="s">
        <v>34</v>
      </c>
      <c r="M5449" s="12">
        <v>31631.741000000002</v>
      </c>
      <c r="N5449" s="7">
        <v>52.125</v>
      </c>
      <c r="O5449" s="7">
        <v>52.188000000000002</v>
      </c>
      <c r="P5449" s="2" t="s">
        <v>16819</v>
      </c>
      <c r="Q5449" s="6">
        <v>100</v>
      </c>
      <c r="R5449" s="6">
        <v>22</v>
      </c>
      <c r="S5449" s="5">
        <v>7.6</v>
      </c>
      <c r="T5449" s="7">
        <v>21.495000000000001</v>
      </c>
      <c r="U5449" s="5">
        <v>8.5</v>
      </c>
      <c r="V5449" s="6">
        <v>1.32</v>
      </c>
      <c r="W5449" s="6">
        <v>21.75</v>
      </c>
      <c r="X5449" s="5">
        <v>22.5</v>
      </c>
      <c r="Y5449" s="4">
        <v>22</v>
      </c>
      <c r="Z5449" s="4">
        <v>22</v>
      </c>
      <c r="AA5449" s="6">
        <v>5.76</v>
      </c>
      <c r="AB5449" s="7">
        <v>12.063000000000001</v>
      </c>
      <c r="AC5449" s="8">
        <v>1428.6</v>
      </c>
    </row>
    <row r="5450" spans="1:29" ht="104" x14ac:dyDescent="0.15">
      <c r="A5450" s="3">
        <f>DATE(2000,5,3)</f>
        <v>36649</v>
      </c>
      <c r="B5450" s="3">
        <f>DATE(2000,12,21)</f>
        <v>36881</v>
      </c>
      <c r="C5450" s="2" t="s">
        <v>95</v>
      </c>
      <c r="D5450" s="2" t="s">
        <v>16820</v>
      </c>
      <c r="E5450" s="2" t="s">
        <v>16821</v>
      </c>
      <c r="F5450" s="4">
        <v>7372</v>
      </c>
      <c r="G5450" s="2" t="s">
        <v>551</v>
      </c>
      <c r="H5450" s="2" t="s">
        <v>34</v>
      </c>
      <c r="I5450" s="2" t="s">
        <v>16822</v>
      </c>
      <c r="J5450" s="2" t="s">
        <v>5102</v>
      </c>
      <c r="K5450" s="2" t="s">
        <v>551</v>
      </c>
      <c r="L5450" s="2" t="s">
        <v>34</v>
      </c>
      <c r="M5450" s="2"/>
      <c r="N5450" s="2"/>
      <c r="O5450" s="2"/>
      <c r="P5450" s="2" t="s">
        <v>16823</v>
      </c>
      <c r="Q5450" s="6">
        <v>100</v>
      </c>
      <c r="R5450" s="2"/>
      <c r="S5450" s="5">
        <v>-0.2</v>
      </c>
      <c r="T5450" s="5">
        <v>0.8</v>
      </c>
      <c r="U5450" s="5">
        <v>1.5</v>
      </c>
      <c r="V5450" s="2"/>
      <c r="W5450" s="7">
        <v>26.687999999999999</v>
      </c>
      <c r="X5450" s="5">
        <v>35.5</v>
      </c>
      <c r="Y5450" s="7">
        <v>33.875</v>
      </c>
      <c r="Z5450" s="6">
        <v>33.25</v>
      </c>
      <c r="AA5450" s="6">
        <v>14.87</v>
      </c>
      <c r="AB5450" s="2" t="s">
        <v>86</v>
      </c>
      <c r="AC5450" s="2"/>
    </row>
    <row r="5451" spans="1:29" ht="234" x14ac:dyDescent="0.15">
      <c r="A5451" s="3">
        <f t="shared" ref="A5451:A5456" si="129">DATE(2000,5,4)</f>
        <v>36650</v>
      </c>
      <c r="B5451" s="3">
        <f>DATE(2000,9,25)</f>
        <v>36794</v>
      </c>
      <c r="C5451" s="2" t="s">
        <v>95</v>
      </c>
      <c r="D5451" s="2" t="s">
        <v>13230</v>
      </c>
      <c r="E5451" s="2" t="s">
        <v>13231</v>
      </c>
      <c r="F5451" s="4">
        <v>5143</v>
      </c>
      <c r="G5451" s="2" t="s">
        <v>593</v>
      </c>
      <c r="H5451" s="2" t="s">
        <v>34</v>
      </c>
      <c r="I5451" s="2" t="s">
        <v>16824</v>
      </c>
      <c r="J5451" s="2" t="s">
        <v>16825</v>
      </c>
      <c r="K5451" s="2" t="s">
        <v>577</v>
      </c>
      <c r="L5451" s="2" t="s">
        <v>902</v>
      </c>
      <c r="M5451" s="2"/>
      <c r="N5451" s="2"/>
      <c r="O5451" s="2"/>
      <c r="P5451" s="2" t="s">
        <v>16826</v>
      </c>
      <c r="Q5451" s="6">
        <v>83.03</v>
      </c>
      <c r="R5451" s="6">
        <v>10.25</v>
      </c>
      <c r="S5451" s="5">
        <v>1.3</v>
      </c>
      <c r="T5451" s="5">
        <v>6.6</v>
      </c>
      <c r="U5451" s="5">
        <v>6.8</v>
      </c>
      <c r="V5451" s="6">
        <v>0.37</v>
      </c>
      <c r="W5451" s="7">
        <v>8.875</v>
      </c>
      <c r="X5451" s="4">
        <v>9</v>
      </c>
      <c r="Y5451" s="7">
        <v>9.8130000000000006</v>
      </c>
      <c r="Z5451" s="7">
        <v>9.875</v>
      </c>
      <c r="AA5451" s="6">
        <v>3.48</v>
      </c>
      <c r="AB5451" s="7">
        <v>9.0879999999999992</v>
      </c>
      <c r="AC5451" s="6">
        <v>22.94</v>
      </c>
    </row>
    <row r="5452" spans="1:29" ht="104" x14ac:dyDescent="0.15">
      <c r="A5452" s="3">
        <f t="shared" si="129"/>
        <v>36650</v>
      </c>
      <c r="B5452" s="3">
        <f>DATE(2000,9,12)</f>
        <v>36781</v>
      </c>
      <c r="C5452" s="2" t="s">
        <v>95</v>
      </c>
      <c r="D5452" s="2" t="s">
        <v>16827</v>
      </c>
      <c r="E5452" s="2" t="s">
        <v>1181</v>
      </c>
      <c r="F5452" s="4">
        <v>6021</v>
      </c>
      <c r="G5452" s="2" t="s">
        <v>37</v>
      </c>
      <c r="H5452" s="2" t="s">
        <v>34</v>
      </c>
      <c r="I5452" s="2" t="s">
        <v>9405</v>
      </c>
      <c r="J5452" s="2" t="s">
        <v>159</v>
      </c>
      <c r="K5452" s="2" t="s">
        <v>37</v>
      </c>
      <c r="L5452" s="2" t="s">
        <v>34</v>
      </c>
      <c r="M5452" s="7">
        <v>401.40100000000001</v>
      </c>
      <c r="N5452" s="7">
        <v>14.313000000000001</v>
      </c>
      <c r="O5452" s="7">
        <v>13.813000000000001</v>
      </c>
      <c r="P5452" s="2" t="s">
        <v>16828</v>
      </c>
      <c r="Q5452" s="6">
        <v>100</v>
      </c>
      <c r="R5452" s="6">
        <v>17.98</v>
      </c>
      <c r="S5452" s="5">
        <v>2</v>
      </c>
      <c r="T5452" s="5">
        <v>3.8</v>
      </c>
      <c r="U5452" s="5">
        <v>15.3</v>
      </c>
      <c r="V5452" s="6">
        <v>1.23</v>
      </c>
      <c r="W5452" s="4">
        <v>13</v>
      </c>
      <c r="X5452" s="6">
        <v>14.25</v>
      </c>
      <c r="Y5452" s="7">
        <v>16.625</v>
      </c>
      <c r="Z5452" s="6">
        <v>16.25</v>
      </c>
      <c r="AA5452" s="6">
        <v>1.66</v>
      </c>
      <c r="AB5452" s="7">
        <v>74.375</v>
      </c>
      <c r="AC5452" s="5">
        <v>84.2</v>
      </c>
    </row>
    <row r="5453" spans="1:29" ht="130" x14ac:dyDescent="0.15">
      <c r="A5453" s="3">
        <f t="shared" si="129"/>
        <v>36650</v>
      </c>
      <c r="B5453" s="3">
        <f>DATE(2000,6,20)</f>
        <v>36697</v>
      </c>
      <c r="C5453" s="2" t="s">
        <v>95</v>
      </c>
      <c r="D5453" s="2" t="s">
        <v>680</v>
      </c>
      <c r="E5453" s="2" t="s">
        <v>681</v>
      </c>
      <c r="F5453" s="4">
        <v>3679</v>
      </c>
      <c r="G5453" s="2" t="s">
        <v>137</v>
      </c>
      <c r="H5453" s="2" t="s">
        <v>34</v>
      </c>
      <c r="I5453" s="2" t="s">
        <v>315</v>
      </c>
      <c r="J5453" s="2" t="s">
        <v>316</v>
      </c>
      <c r="K5453" s="2" t="s">
        <v>226</v>
      </c>
      <c r="L5453" s="2" t="s">
        <v>34</v>
      </c>
      <c r="M5453" s="12">
        <v>7535.9139999999998</v>
      </c>
      <c r="N5453" s="5">
        <v>55.5</v>
      </c>
      <c r="O5453" s="7">
        <v>57.563000000000002</v>
      </c>
      <c r="P5453" s="2" t="s">
        <v>16829</v>
      </c>
      <c r="Q5453" s="6">
        <v>100</v>
      </c>
      <c r="R5453" s="6">
        <v>23</v>
      </c>
      <c r="S5453" s="5">
        <v>-0.6</v>
      </c>
      <c r="T5453" s="7">
        <v>15.584</v>
      </c>
      <c r="U5453" s="5">
        <v>7</v>
      </c>
      <c r="V5453" s="6">
        <v>-0.06</v>
      </c>
      <c r="W5453" s="5">
        <v>13.5</v>
      </c>
      <c r="X5453" s="7">
        <v>16.125</v>
      </c>
      <c r="Y5453" s="7">
        <v>16.562999999999999</v>
      </c>
      <c r="Z5453" s="7">
        <v>22.625</v>
      </c>
      <c r="AA5453" s="6">
        <v>10.34</v>
      </c>
      <c r="AB5453" s="7">
        <v>52.408999999999999</v>
      </c>
      <c r="AC5453" s="5">
        <v>92</v>
      </c>
    </row>
    <row r="5454" spans="1:29" ht="169" x14ac:dyDescent="0.15">
      <c r="A5454" s="3">
        <f t="shared" si="129"/>
        <v>36650</v>
      </c>
      <c r="B5454" s="3">
        <f>DATE(2000,7,14)</f>
        <v>36721</v>
      </c>
      <c r="C5454" s="2" t="s">
        <v>95</v>
      </c>
      <c r="D5454" s="2" t="s">
        <v>16830</v>
      </c>
      <c r="E5454" s="2" t="s">
        <v>16831</v>
      </c>
      <c r="F5454" s="4">
        <v>2821</v>
      </c>
      <c r="G5454" s="2" t="s">
        <v>98</v>
      </c>
      <c r="H5454" s="2" t="s">
        <v>34</v>
      </c>
      <c r="I5454" s="2" t="s">
        <v>14241</v>
      </c>
      <c r="J5454" s="2" t="s">
        <v>14242</v>
      </c>
      <c r="K5454" s="2" t="s">
        <v>98</v>
      </c>
      <c r="L5454" s="2" t="s">
        <v>34</v>
      </c>
      <c r="M5454" s="12">
        <v>3669.2339999999999</v>
      </c>
      <c r="N5454" s="7">
        <v>52.188000000000002</v>
      </c>
      <c r="O5454" s="7">
        <v>52.188000000000002</v>
      </c>
      <c r="P5454" s="2" t="s">
        <v>16832</v>
      </c>
      <c r="Q5454" s="6">
        <v>100</v>
      </c>
      <c r="R5454" s="6">
        <v>19.7</v>
      </c>
      <c r="S5454" s="5">
        <v>9.5</v>
      </c>
      <c r="T5454" s="7">
        <v>43.899000000000001</v>
      </c>
      <c r="U5454" s="5">
        <v>11</v>
      </c>
      <c r="V5454" s="6">
        <v>0.95</v>
      </c>
      <c r="W5454" s="7">
        <v>14.188000000000001</v>
      </c>
      <c r="X5454" s="7">
        <v>13.875</v>
      </c>
      <c r="Y5454" s="5">
        <v>19.5</v>
      </c>
      <c r="Z5454" s="7">
        <v>19.562999999999999</v>
      </c>
      <c r="AA5454" s="6">
        <v>9.9499999999999993</v>
      </c>
      <c r="AB5454" s="7">
        <v>13.552</v>
      </c>
      <c r="AC5454" s="5">
        <v>52</v>
      </c>
    </row>
    <row r="5455" spans="1:29" ht="104" x14ac:dyDescent="0.15">
      <c r="A5455" s="3">
        <f t="shared" si="129"/>
        <v>36650</v>
      </c>
      <c r="B5455" s="3">
        <f>DATE(2000,12,31)</f>
        <v>36891</v>
      </c>
      <c r="C5455" s="2" t="s">
        <v>95</v>
      </c>
      <c r="D5455" s="2" t="s">
        <v>15155</v>
      </c>
      <c r="E5455" s="2" t="s">
        <v>177</v>
      </c>
      <c r="F5455" s="4">
        <v>1311</v>
      </c>
      <c r="G5455" s="2" t="s">
        <v>148</v>
      </c>
      <c r="H5455" s="2" t="s">
        <v>34</v>
      </c>
      <c r="I5455" s="2" t="s">
        <v>15156</v>
      </c>
      <c r="J5455" s="2" t="s">
        <v>1435</v>
      </c>
      <c r="K5455" s="2" t="s">
        <v>148</v>
      </c>
      <c r="L5455" s="2" t="s">
        <v>34</v>
      </c>
      <c r="M5455" s="2"/>
      <c r="N5455" s="2"/>
      <c r="O5455" s="2"/>
      <c r="P5455" s="2" t="s">
        <v>16833</v>
      </c>
      <c r="Q5455" s="6">
        <v>48.7</v>
      </c>
      <c r="R5455" s="6">
        <v>2.85</v>
      </c>
      <c r="S5455" s="5">
        <v>-1.9</v>
      </c>
      <c r="T5455" s="5">
        <v>-0.5</v>
      </c>
      <c r="U5455" s="5">
        <v>5.4</v>
      </c>
      <c r="V5455" s="6">
        <v>-0.32</v>
      </c>
      <c r="W5455" s="7">
        <v>1.375</v>
      </c>
      <c r="X5455" s="4">
        <v>2</v>
      </c>
      <c r="Y5455" s="9">
        <v>1.8125</v>
      </c>
      <c r="Z5455" s="11">
        <v>1.84375</v>
      </c>
      <c r="AA5455" s="6">
        <v>5.46</v>
      </c>
      <c r="AB5455" s="2" t="s">
        <v>86</v>
      </c>
      <c r="AC5455" s="2"/>
    </row>
    <row r="5456" spans="1:29" ht="156" x14ac:dyDescent="0.15">
      <c r="A5456" s="3">
        <f t="shared" si="129"/>
        <v>36650</v>
      </c>
      <c r="B5456" s="3">
        <f>DATE(2000,6,21)</f>
        <v>36698</v>
      </c>
      <c r="C5456" s="2" t="s">
        <v>95</v>
      </c>
      <c r="D5456" s="2" t="s">
        <v>16834</v>
      </c>
      <c r="E5456" s="2" t="s">
        <v>16835</v>
      </c>
      <c r="F5456" s="4">
        <v>8742</v>
      </c>
      <c r="G5456" s="2" t="s">
        <v>223</v>
      </c>
      <c r="H5456" s="2" t="s">
        <v>34</v>
      </c>
      <c r="I5456" s="2" t="s">
        <v>4010</v>
      </c>
      <c r="J5456" s="2" t="s">
        <v>4011</v>
      </c>
      <c r="K5456" s="2" t="s">
        <v>130</v>
      </c>
      <c r="L5456" s="2" t="s">
        <v>34</v>
      </c>
      <c r="M5456" s="12">
        <v>151881.568</v>
      </c>
      <c r="N5456" s="7">
        <v>67.188000000000002</v>
      </c>
      <c r="O5456" s="6">
        <v>69.25</v>
      </c>
      <c r="P5456" s="2" t="s">
        <v>16836</v>
      </c>
      <c r="Q5456" s="6">
        <v>100</v>
      </c>
      <c r="R5456" s="6">
        <v>12.25</v>
      </c>
      <c r="S5456" s="5">
        <v>11.3</v>
      </c>
      <c r="T5456" s="7">
        <v>27.408000000000001</v>
      </c>
      <c r="U5456" s="5">
        <v>8</v>
      </c>
      <c r="V5456" s="6">
        <v>0.72</v>
      </c>
      <c r="W5456" s="7">
        <v>7.875</v>
      </c>
      <c r="X5456" s="7">
        <v>7.625</v>
      </c>
      <c r="Y5456" s="7">
        <v>11.875</v>
      </c>
      <c r="Z5456" s="7">
        <v>11.938000000000001</v>
      </c>
      <c r="AA5456" s="6">
        <v>18.149999999999999</v>
      </c>
      <c r="AB5456" s="7">
        <v>10.081</v>
      </c>
      <c r="AC5456" s="8">
        <v>2222.6999999999998</v>
      </c>
    </row>
    <row r="5457" spans="1:29" ht="104" x14ac:dyDescent="0.15">
      <c r="A5457" s="3">
        <f>DATE(2000,5,5)</f>
        <v>36651</v>
      </c>
      <c r="B5457" s="2"/>
      <c r="C5457" s="2" t="s">
        <v>30</v>
      </c>
      <c r="D5457" s="2" t="s">
        <v>12644</v>
      </c>
      <c r="E5457" s="2" t="s">
        <v>1361</v>
      </c>
      <c r="F5457" s="4">
        <v>7373</v>
      </c>
      <c r="G5457" s="2" t="s">
        <v>223</v>
      </c>
      <c r="H5457" s="2" t="s">
        <v>34</v>
      </c>
      <c r="I5457" s="2" t="s">
        <v>16476</v>
      </c>
      <c r="J5457" s="2" t="s">
        <v>16477</v>
      </c>
      <c r="K5457" s="2" t="s">
        <v>921</v>
      </c>
      <c r="L5457" s="2" t="s">
        <v>34</v>
      </c>
      <c r="M5457" s="7">
        <v>471.36099999999999</v>
      </c>
      <c r="N5457" s="7">
        <v>5.5309999999999997</v>
      </c>
      <c r="O5457" s="7">
        <v>5.2809999999999997</v>
      </c>
      <c r="P5457" s="2" t="s">
        <v>16837</v>
      </c>
      <c r="Q5457" s="2"/>
      <c r="R5457" s="6">
        <v>7.5</v>
      </c>
      <c r="S5457" s="5">
        <v>-4.0999999999999996</v>
      </c>
      <c r="T5457" s="5">
        <v>-1</v>
      </c>
      <c r="U5457" s="5">
        <v>1.6</v>
      </c>
      <c r="V5457" s="6">
        <v>-0.57999999999999996</v>
      </c>
      <c r="W5457" s="7">
        <v>3.875</v>
      </c>
      <c r="X5457" s="7">
        <v>3.875</v>
      </c>
      <c r="Y5457" s="7">
        <v>3.875</v>
      </c>
      <c r="Z5457" s="7">
        <v>3.875</v>
      </c>
      <c r="AA5457" s="6">
        <v>7.33</v>
      </c>
      <c r="AB5457" s="2" t="s">
        <v>86</v>
      </c>
      <c r="AC5457" s="5">
        <v>5.9</v>
      </c>
    </row>
    <row r="5458" spans="1:29" ht="117" x14ac:dyDescent="0.15">
      <c r="A5458" s="3">
        <f>DATE(2000,5,5)</f>
        <v>36651</v>
      </c>
      <c r="B5458" s="3">
        <f>DATE(2000,6,24)</f>
        <v>36701</v>
      </c>
      <c r="C5458" s="2" t="s">
        <v>95</v>
      </c>
      <c r="D5458" s="2" t="s">
        <v>16838</v>
      </c>
      <c r="E5458" s="2" t="s">
        <v>16839</v>
      </c>
      <c r="F5458" s="4">
        <v>3577</v>
      </c>
      <c r="G5458" s="2" t="s">
        <v>50</v>
      </c>
      <c r="H5458" s="2" t="s">
        <v>34</v>
      </c>
      <c r="I5458" s="2" t="s">
        <v>7444</v>
      </c>
      <c r="J5458" s="2" t="s">
        <v>7445</v>
      </c>
      <c r="K5458" s="2" t="s">
        <v>50</v>
      </c>
      <c r="L5458" s="2" t="s">
        <v>34</v>
      </c>
      <c r="M5458" s="12">
        <v>519892.12400000001</v>
      </c>
      <c r="N5458" s="6">
        <v>67.75</v>
      </c>
      <c r="O5458" s="6">
        <v>62.75</v>
      </c>
      <c r="P5458" s="2" t="s">
        <v>16840</v>
      </c>
      <c r="Q5458" s="6">
        <v>100</v>
      </c>
      <c r="R5458" s="6">
        <v>135</v>
      </c>
      <c r="S5458" s="5">
        <v>-12.6</v>
      </c>
      <c r="T5458" s="6">
        <v>-11.99</v>
      </c>
      <c r="U5458" s="5">
        <v>5.4</v>
      </c>
      <c r="V5458" s="6">
        <v>-0.37</v>
      </c>
      <c r="W5458" s="4">
        <v>98</v>
      </c>
      <c r="X5458" s="7">
        <v>134.81299999999999</v>
      </c>
      <c r="Y5458" s="7">
        <v>140.18799999999999</v>
      </c>
      <c r="Z5458" s="6">
        <v>130.75</v>
      </c>
      <c r="AA5458" s="6">
        <v>35.049999999999997</v>
      </c>
      <c r="AB5458" s="2" t="s">
        <v>86</v>
      </c>
      <c r="AC5458" s="8">
        <v>4653</v>
      </c>
    </row>
    <row r="5459" spans="1:29" ht="91" x14ac:dyDescent="0.15">
      <c r="A5459" s="3">
        <f>DATE(2000,5,5)</f>
        <v>36651</v>
      </c>
      <c r="B5459" s="3">
        <f>DATE(2000,10,30)</f>
        <v>36829</v>
      </c>
      <c r="C5459" s="2" t="s">
        <v>95</v>
      </c>
      <c r="D5459" s="2" t="s">
        <v>16841</v>
      </c>
      <c r="E5459" s="2" t="s">
        <v>16842</v>
      </c>
      <c r="F5459" s="4">
        <v>5812</v>
      </c>
      <c r="G5459" s="2" t="s">
        <v>230</v>
      </c>
      <c r="H5459" s="2" t="s">
        <v>34</v>
      </c>
      <c r="I5459" s="2" t="s">
        <v>16843</v>
      </c>
      <c r="J5459" s="2" t="s">
        <v>5102</v>
      </c>
      <c r="K5459" s="2" t="s">
        <v>551</v>
      </c>
      <c r="L5459" s="2" t="s">
        <v>34</v>
      </c>
      <c r="M5459" s="2"/>
      <c r="N5459" s="2"/>
      <c r="O5459" s="2"/>
      <c r="P5459" s="2" t="s">
        <v>16844</v>
      </c>
      <c r="Q5459" s="6">
        <v>90</v>
      </c>
      <c r="R5459" s="2"/>
      <c r="S5459" s="5">
        <v>-3.4</v>
      </c>
      <c r="T5459" s="2"/>
      <c r="U5459" s="5">
        <v>10.9</v>
      </c>
      <c r="V5459" s="6">
        <v>-9.32</v>
      </c>
      <c r="W5459" s="7">
        <v>1.9379999999999999</v>
      </c>
      <c r="X5459" s="6">
        <v>2.25</v>
      </c>
      <c r="Y5459" s="4">
        <v>2</v>
      </c>
      <c r="Z5459" s="5">
        <v>2.5</v>
      </c>
      <c r="AA5459" s="6">
        <v>2.2400000000000002</v>
      </c>
      <c r="AB5459" s="2" t="s">
        <v>86</v>
      </c>
      <c r="AC5459" s="2"/>
    </row>
    <row r="5460" spans="1:29" ht="182" x14ac:dyDescent="0.15">
      <c r="A5460" s="3">
        <f>DATE(2000,5,5)</f>
        <v>36651</v>
      </c>
      <c r="B5460" s="3">
        <f>DATE(2000,9,13)</f>
        <v>36782</v>
      </c>
      <c r="C5460" s="2" t="s">
        <v>95</v>
      </c>
      <c r="D5460" s="2" t="s">
        <v>16845</v>
      </c>
      <c r="E5460" s="2" t="s">
        <v>10711</v>
      </c>
      <c r="F5460" s="4">
        <v>7375</v>
      </c>
      <c r="G5460" s="2" t="s">
        <v>223</v>
      </c>
      <c r="H5460" s="2" t="s">
        <v>34</v>
      </c>
      <c r="I5460" s="2" t="s">
        <v>16846</v>
      </c>
      <c r="J5460" s="2" t="s">
        <v>16847</v>
      </c>
      <c r="K5460" s="2" t="s">
        <v>63</v>
      </c>
      <c r="L5460" s="2" t="s">
        <v>99</v>
      </c>
      <c r="M5460" s="2"/>
      <c r="N5460" s="2"/>
      <c r="O5460" s="2"/>
      <c r="P5460" s="2" t="s">
        <v>16848</v>
      </c>
      <c r="Q5460" s="6">
        <v>92.65</v>
      </c>
      <c r="R5460" s="6">
        <v>60</v>
      </c>
      <c r="S5460" s="5">
        <v>-203.7</v>
      </c>
      <c r="T5460" s="7">
        <v>-10.304</v>
      </c>
      <c r="U5460" s="5">
        <v>2.2000000000000002</v>
      </c>
      <c r="V5460" s="6">
        <v>-2.87</v>
      </c>
      <c r="W5460" s="7">
        <v>37.563000000000002</v>
      </c>
      <c r="X5460" s="7">
        <v>36.875</v>
      </c>
      <c r="Y5460" s="7">
        <v>35.938000000000002</v>
      </c>
      <c r="Z5460" s="7">
        <v>58.313000000000002</v>
      </c>
      <c r="AA5460" s="6">
        <v>78.72</v>
      </c>
      <c r="AB5460" s="2" t="s">
        <v>86</v>
      </c>
      <c r="AC5460" s="2"/>
    </row>
    <row r="5461" spans="1:29" ht="156" x14ac:dyDescent="0.15">
      <c r="A5461" s="3">
        <f>DATE(2000,5,7)</f>
        <v>36653</v>
      </c>
      <c r="B5461" s="3">
        <f>DATE(2000,8,31)</f>
        <v>36769</v>
      </c>
      <c r="C5461" s="2" t="s">
        <v>95</v>
      </c>
      <c r="D5461" s="2" t="s">
        <v>14540</v>
      </c>
      <c r="E5461" s="2" t="s">
        <v>14541</v>
      </c>
      <c r="F5461" s="4">
        <v>2821</v>
      </c>
      <c r="G5461" s="2" t="s">
        <v>98</v>
      </c>
      <c r="H5461" s="2" t="s">
        <v>34</v>
      </c>
      <c r="I5461" s="2" t="s">
        <v>7107</v>
      </c>
      <c r="J5461" s="2" t="s">
        <v>7108</v>
      </c>
      <c r="K5461" s="2" t="s">
        <v>447</v>
      </c>
      <c r="L5461" s="2" t="s">
        <v>34</v>
      </c>
      <c r="M5461" s="7">
        <v>599.78499999999997</v>
      </c>
      <c r="N5461" s="9">
        <v>11.8125</v>
      </c>
      <c r="O5461" s="9">
        <v>11.8125</v>
      </c>
      <c r="P5461" s="2" t="s">
        <v>16849</v>
      </c>
      <c r="Q5461" s="6">
        <v>100</v>
      </c>
      <c r="R5461" s="6">
        <v>23.63</v>
      </c>
      <c r="S5461" s="5">
        <v>89.3</v>
      </c>
      <c r="T5461" s="5">
        <v>114.1</v>
      </c>
      <c r="U5461" s="5">
        <v>13.2</v>
      </c>
      <c r="V5461" s="6">
        <v>3.84</v>
      </c>
      <c r="W5461" s="7">
        <v>21.875</v>
      </c>
      <c r="X5461" s="4">
        <v>24</v>
      </c>
      <c r="Y5461" s="6">
        <v>24.25</v>
      </c>
      <c r="Z5461" s="6">
        <v>24.25</v>
      </c>
      <c r="AA5461" s="6">
        <v>23.83</v>
      </c>
      <c r="AB5461" s="7">
        <v>12.811</v>
      </c>
      <c r="AC5461" s="5">
        <v>34.6</v>
      </c>
    </row>
    <row r="5462" spans="1:29" ht="117" x14ac:dyDescent="0.15">
      <c r="A5462" s="3">
        <f>DATE(2000,5,8)</f>
        <v>36654</v>
      </c>
      <c r="B5462" s="3">
        <f>DATE(2000,8,1)</f>
        <v>36739</v>
      </c>
      <c r="C5462" s="2" t="s">
        <v>95</v>
      </c>
      <c r="D5462" s="2" t="s">
        <v>16850</v>
      </c>
      <c r="E5462" s="2" t="s">
        <v>16851</v>
      </c>
      <c r="F5462" s="4">
        <v>3577</v>
      </c>
      <c r="G5462" s="2" t="s">
        <v>50</v>
      </c>
      <c r="H5462" s="2" t="s">
        <v>34</v>
      </c>
      <c r="I5462" s="2" t="s">
        <v>16852</v>
      </c>
      <c r="J5462" s="2" t="s">
        <v>16853</v>
      </c>
      <c r="K5462" s="2" t="s">
        <v>137</v>
      </c>
      <c r="L5462" s="2" t="s">
        <v>34</v>
      </c>
      <c r="M5462" s="12">
        <v>7035.3379999999997</v>
      </c>
      <c r="N5462" s="6">
        <v>74.75</v>
      </c>
      <c r="O5462" s="7">
        <v>61.938000000000002</v>
      </c>
      <c r="P5462" s="2" t="s">
        <v>16854</v>
      </c>
      <c r="Q5462" s="6">
        <v>100</v>
      </c>
      <c r="R5462" s="6">
        <v>52.77</v>
      </c>
      <c r="S5462" s="5">
        <v>-9.1999999999999993</v>
      </c>
      <c r="T5462" s="7">
        <v>-10.188000000000001</v>
      </c>
      <c r="U5462" s="5">
        <v>2.9</v>
      </c>
      <c r="V5462" s="6">
        <v>-0.34</v>
      </c>
      <c r="W5462" s="7">
        <v>32.313000000000002</v>
      </c>
      <c r="X5462" s="7">
        <v>31.187999999999999</v>
      </c>
      <c r="Y5462" s="7">
        <v>38.188000000000002</v>
      </c>
      <c r="Z5462" s="7">
        <v>31.375</v>
      </c>
      <c r="AA5462" s="6">
        <v>29.15</v>
      </c>
      <c r="AB5462" s="2" t="s">
        <v>86</v>
      </c>
      <c r="AC5462" s="5">
        <v>64.099999999999994</v>
      </c>
    </row>
    <row r="5463" spans="1:29" ht="117" x14ac:dyDescent="0.15">
      <c r="A5463" s="3">
        <f>DATE(2000,5,8)</f>
        <v>36654</v>
      </c>
      <c r="B5463" s="3">
        <f>DATE(2000,11,10)</f>
        <v>36840</v>
      </c>
      <c r="C5463" s="2" t="s">
        <v>95</v>
      </c>
      <c r="D5463" s="2" t="s">
        <v>16855</v>
      </c>
      <c r="E5463" s="2" t="s">
        <v>5037</v>
      </c>
      <c r="F5463" s="4">
        <v>6726</v>
      </c>
      <c r="G5463" s="2" t="s">
        <v>53</v>
      </c>
      <c r="H5463" s="2" t="s">
        <v>34</v>
      </c>
      <c r="I5463" s="2" t="s">
        <v>16856</v>
      </c>
      <c r="J5463" s="2" t="s">
        <v>5037</v>
      </c>
      <c r="K5463" s="2" t="s">
        <v>53</v>
      </c>
      <c r="L5463" s="2" t="s">
        <v>34</v>
      </c>
      <c r="M5463" s="7">
        <v>105.717</v>
      </c>
      <c r="N5463" s="5">
        <v>12.5</v>
      </c>
      <c r="O5463" s="7">
        <v>12.188000000000001</v>
      </c>
      <c r="P5463" s="2" t="s">
        <v>16857</v>
      </c>
      <c r="Q5463" s="6">
        <v>100</v>
      </c>
      <c r="R5463" s="6">
        <v>11.58</v>
      </c>
      <c r="S5463" s="2"/>
      <c r="T5463" s="2"/>
      <c r="U5463" s="2"/>
      <c r="V5463" s="2"/>
      <c r="W5463" s="7">
        <v>11.938000000000001</v>
      </c>
      <c r="X5463" s="7">
        <v>11.563000000000001</v>
      </c>
      <c r="Y5463" s="5">
        <v>11.5</v>
      </c>
      <c r="Z5463" s="7">
        <v>11.313000000000001</v>
      </c>
      <c r="AA5463" s="6">
        <v>7.24</v>
      </c>
      <c r="AB5463" s="2" t="s">
        <v>47</v>
      </c>
      <c r="AC5463" s="2"/>
    </row>
    <row r="5464" spans="1:29" ht="169" x14ac:dyDescent="0.15">
      <c r="A5464" s="3">
        <f>DATE(2000,5,9)</f>
        <v>36655</v>
      </c>
      <c r="B5464" s="2"/>
      <c r="C5464" s="2" t="s">
        <v>30</v>
      </c>
      <c r="D5464" s="2" t="s">
        <v>16858</v>
      </c>
      <c r="E5464" s="2" t="s">
        <v>16859</v>
      </c>
      <c r="F5464" s="4">
        <v>5812</v>
      </c>
      <c r="G5464" s="2" t="s">
        <v>230</v>
      </c>
      <c r="H5464" s="2" t="s">
        <v>34</v>
      </c>
      <c r="I5464" s="2" t="s">
        <v>16860</v>
      </c>
      <c r="J5464" s="2" t="s">
        <v>302</v>
      </c>
      <c r="K5464" s="2" t="s">
        <v>53</v>
      </c>
      <c r="L5464" s="2" t="s">
        <v>34</v>
      </c>
      <c r="M5464" s="2"/>
      <c r="N5464" s="2"/>
      <c r="O5464" s="2"/>
      <c r="P5464" s="2" t="s">
        <v>16861</v>
      </c>
      <c r="Q5464" s="2"/>
      <c r="R5464" s="6">
        <v>5</v>
      </c>
      <c r="S5464" s="5">
        <v>-1.6</v>
      </c>
      <c r="T5464" s="5">
        <v>26.7</v>
      </c>
      <c r="U5464" s="5">
        <v>3.9</v>
      </c>
      <c r="V5464" s="6">
        <v>-0.11</v>
      </c>
      <c r="W5464" s="7">
        <v>2.9689999999999999</v>
      </c>
      <c r="X5464" s="7">
        <v>2.875</v>
      </c>
      <c r="Y5464" s="6">
        <v>3.75</v>
      </c>
      <c r="Z5464" s="9">
        <v>3.6875</v>
      </c>
      <c r="AA5464" s="6">
        <v>12.29</v>
      </c>
      <c r="AB5464" s="7">
        <v>13.298999999999999</v>
      </c>
      <c r="AC5464" s="2"/>
    </row>
    <row r="5465" spans="1:29" ht="143" x14ac:dyDescent="0.15">
      <c r="A5465" s="3">
        <f>DATE(2000,5,10)</f>
        <v>36656</v>
      </c>
      <c r="B5465" s="3">
        <f>DATE(2001,1,5)</f>
        <v>36896</v>
      </c>
      <c r="C5465" s="2" t="s">
        <v>95</v>
      </c>
      <c r="D5465" s="2" t="s">
        <v>16862</v>
      </c>
      <c r="E5465" s="2" t="s">
        <v>16863</v>
      </c>
      <c r="F5465" s="4">
        <v>4953</v>
      </c>
      <c r="G5465" s="2" t="s">
        <v>116</v>
      </c>
      <c r="H5465" s="2" t="s">
        <v>34</v>
      </c>
      <c r="I5465" s="2" t="s">
        <v>51</v>
      </c>
      <c r="J5465" s="2" t="s">
        <v>52</v>
      </c>
      <c r="K5465" s="2" t="s">
        <v>53</v>
      </c>
      <c r="L5465" s="2" t="s">
        <v>34</v>
      </c>
      <c r="M5465" s="2"/>
      <c r="N5465" s="2"/>
      <c r="O5465" s="2"/>
      <c r="P5465" s="2" t="s">
        <v>16864</v>
      </c>
      <c r="Q5465" s="6">
        <v>85.29</v>
      </c>
      <c r="R5465" s="6">
        <v>6.4</v>
      </c>
      <c r="S5465" s="5">
        <v>1.5</v>
      </c>
      <c r="T5465" s="7">
        <v>4.0819999999999999</v>
      </c>
      <c r="U5465" s="5">
        <v>7</v>
      </c>
      <c r="V5465" s="7">
        <v>0.41099999999999998</v>
      </c>
      <c r="W5465" s="7">
        <v>6.375</v>
      </c>
      <c r="X5465" s="6">
        <v>6.25</v>
      </c>
      <c r="Y5465" s="5">
        <v>5.5</v>
      </c>
      <c r="Z5465" s="7">
        <v>5.8129999999999997</v>
      </c>
      <c r="AA5465" s="6">
        <v>4.1399999999999997</v>
      </c>
      <c r="AB5465" s="7">
        <v>8.1620000000000008</v>
      </c>
      <c r="AC5465" s="2"/>
    </row>
    <row r="5466" spans="1:29" ht="78" x14ac:dyDescent="0.15">
      <c r="A5466" s="3">
        <f>DATE(2000,5,10)</f>
        <v>36656</v>
      </c>
      <c r="B5466" s="2"/>
      <c r="C5466" s="2" t="s">
        <v>7330</v>
      </c>
      <c r="D5466" s="2" t="s">
        <v>16865</v>
      </c>
      <c r="E5466" s="2" t="s">
        <v>398</v>
      </c>
      <c r="F5466" s="4">
        <v>7822</v>
      </c>
      <c r="G5466" s="2" t="s">
        <v>42</v>
      </c>
      <c r="H5466" s="2" t="s">
        <v>34</v>
      </c>
      <c r="I5466" s="2" t="s">
        <v>16866</v>
      </c>
      <c r="J5466" s="2" t="s">
        <v>398</v>
      </c>
      <c r="K5466" s="2" t="s">
        <v>42</v>
      </c>
      <c r="L5466" s="2" t="s">
        <v>34</v>
      </c>
      <c r="M5466" s="2"/>
      <c r="N5466" s="2"/>
      <c r="O5466" s="2"/>
      <c r="P5466" s="2" t="s">
        <v>16867</v>
      </c>
      <c r="Q5466" s="2"/>
      <c r="R5466" s="2"/>
      <c r="S5466" s="5">
        <v>-1.5</v>
      </c>
      <c r="T5466" s="7">
        <v>-0.27200000000000002</v>
      </c>
      <c r="U5466" s="5">
        <v>2</v>
      </c>
      <c r="V5466" s="6">
        <v>-0.31</v>
      </c>
      <c r="W5466" s="7">
        <v>2.375</v>
      </c>
      <c r="X5466" s="7">
        <v>2.5619999999999998</v>
      </c>
      <c r="Y5466" s="2"/>
      <c r="Z5466" s="2"/>
      <c r="AA5466" s="6">
        <v>6.3</v>
      </c>
      <c r="AB5466" s="2" t="s">
        <v>86</v>
      </c>
      <c r="AC5466" s="2"/>
    </row>
    <row r="5467" spans="1:29" ht="156" x14ac:dyDescent="0.15">
      <c r="A5467" s="3">
        <f>DATE(2000,5,10)</f>
        <v>36656</v>
      </c>
      <c r="B5467" s="3">
        <f>DATE(2000,6,26)</f>
        <v>36703</v>
      </c>
      <c r="C5467" s="2" t="s">
        <v>95</v>
      </c>
      <c r="D5467" s="2" t="s">
        <v>16868</v>
      </c>
      <c r="E5467" s="2" t="s">
        <v>2800</v>
      </c>
      <c r="F5467" s="4">
        <v>6162</v>
      </c>
      <c r="G5467" s="2" t="s">
        <v>109</v>
      </c>
      <c r="H5467" s="2" t="s">
        <v>34</v>
      </c>
      <c r="I5467" s="2" t="s">
        <v>16869</v>
      </c>
      <c r="J5467" s="2" t="s">
        <v>4629</v>
      </c>
      <c r="K5467" s="2" t="s">
        <v>109</v>
      </c>
      <c r="L5467" s="2" t="s">
        <v>34</v>
      </c>
      <c r="M5467" s="2"/>
      <c r="N5467" s="2"/>
      <c r="O5467" s="2"/>
      <c r="P5467" s="2" t="s">
        <v>16870</v>
      </c>
      <c r="Q5467" s="6">
        <v>100</v>
      </c>
      <c r="R5467" s="6">
        <v>8.9</v>
      </c>
      <c r="S5467" s="5">
        <v>3.6</v>
      </c>
      <c r="T5467" s="7">
        <v>21.413</v>
      </c>
      <c r="U5467" s="5">
        <v>3.5</v>
      </c>
      <c r="V5467" s="6">
        <v>0.37</v>
      </c>
      <c r="W5467" s="7">
        <v>5.5309999999999997</v>
      </c>
      <c r="X5467" s="4">
        <v>6</v>
      </c>
      <c r="Y5467" s="7">
        <v>8.7189999999999994</v>
      </c>
      <c r="Z5467" s="7">
        <v>8.625</v>
      </c>
      <c r="AA5467" s="6">
        <v>10.96</v>
      </c>
      <c r="AB5467" s="7">
        <v>15.997999999999999</v>
      </c>
      <c r="AC5467" s="2"/>
    </row>
    <row r="5468" spans="1:29" ht="52" x14ac:dyDescent="0.15">
      <c r="A5468" s="3">
        <f>DATE(2000,5,11)</f>
        <v>36657</v>
      </c>
      <c r="B5468" s="3">
        <f>DATE(2000,11,15)</f>
        <v>36845</v>
      </c>
      <c r="C5468" s="2" t="s">
        <v>95</v>
      </c>
      <c r="D5468" s="2" t="s">
        <v>16871</v>
      </c>
      <c r="E5468" s="2" t="s">
        <v>16872</v>
      </c>
      <c r="F5468" s="4">
        <v>3571</v>
      </c>
      <c r="G5468" s="2" t="s">
        <v>50</v>
      </c>
      <c r="H5468" s="2" t="s">
        <v>34</v>
      </c>
      <c r="I5468" s="2" t="s">
        <v>16873</v>
      </c>
      <c r="J5468" s="2" t="s">
        <v>3526</v>
      </c>
      <c r="K5468" s="2" t="s">
        <v>137</v>
      </c>
      <c r="L5468" s="2" t="s">
        <v>34</v>
      </c>
      <c r="M5468" s="5">
        <v>658</v>
      </c>
      <c r="N5468" s="4">
        <v>32</v>
      </c>
      <c r="O5468" s="7">
        <v>31.875</v>
      </c>
      <c r="P5468" s="2" t="s">
        <v>16874</v>
      </c>
      <c r="Q5468" s="6">
        <v>100</v>
      </c>
      <c r="R5468" s="6">
        <v>5.25</v>
      </c>
      <c r="S5468" s="5">
        <v>10</v>
      </c>
      <c r="T5468" s="7">
        <v>885.05399999999997</v>
      </c>
      <c r="U5468" s="5">
        <v>-2.2000000000000002</v>
      </c>
      <c r="V5468" s="6">
        <v>-2.2999999999999998</v>
      </c>
      <c r="W5468" s="5">
        <v>4.5</v>
      </c>
      <c r="X5468" s="7">
        <v>4.125</v>
      </c>
      <c r="Y5468" s="7">
        <v>4.0629999999999997</v>
      </c>
      <c r="Z5468" s="7">
        <v>4.875</v>
      </c>
      <c r="AA5468" s="6">
        <v>4.17</v>
      </c>
      <c r="AB5468" s="2" t="s">
        <v>86</v>
      </c>
      <c r="AC5468" s="5">
        <v>2.8</v>
      </c>
    </row>
    <row r="5469" spans="1:29" ht="91" x14ac:dyDescent="0.15">
      <c r="A5469" s="3">
        <f>DATE(2000,5,11)</f>
        <v>36657</v>
      </c>
      <c r="B5469" s="2"/>
      <c r="C5469" s="2" t="s">
        <v>30</v>
      </c>
      <c r="D5469" s="2" t="s">
        <v>16357</v>
      </c>
      <c r="E5469" s="2" t="s">
        <v>389</v>
      </c>
      <c r="F5469" s="4">
        <v>6035</v>
      </c>
      <c r="G5469" s="2" t="s">
        <v>33</v>
      </c>
      <c r="H5469" s="2" t="s">
        <v>34</v>
      </c>
      <c r="I5469" s="2" t="s">
        <v>16875</v>
      </c>
      <c r="J5469" s="2" t="s">
        <v>9854</v>
      </c>
      <c r="K5469" s="2" t="s">
        <v>53</v>
      </c>
      <c r="L5469" s="2" t="s">
        <v>34</v>
      </c>
      <c r="M5469" s="2"/>
      <c r="N5469" s="2"/>
      <c r="O5469" s="2"/>
      <c r="P5469" s="2" t="s">
        <v>16876</v>
      </c>
      <c r="Q5469" s="2"/>
      <c r="R5469" s="6">
        <v>25</v>
      </c>
      <c r="S5469" s="5">
        <v>0</v>
      </c>
      <c r="T5469" s="7">
        <v>0.78500000000000003</v>
      </c>
      <c r="U5469" s="5">
        <v>12.7</v>
      </c>
      <c r="V5469" s="6">
        <v>0.27</v>
      </c>
      <c r="W5469" s="5">
        <v>15.5</v>
      </c>
      <c r="X5469" s="7">
        <v>18.625</v>
      </c>
      <c r="Y5469" s="7">
        <v>18.625</v>
      </c>
      <c r="Z5469" s="5">
        <v>18.5</v>
      </c>
      <c r="AA5469" s="6">
        <v>0.15</v>
      </c>
      <c r="AB5469" s="7">
        <v>33.56</v>
      </c>
      <c r="AC5469" s="2"/>
    </row>
    <row r="5470" spans="1:29" ht="65" x14ac:dyDescent="0.15">
      <c r="A5470" s="3">
        <f>DATE(2000,5,11)</f>
        <v>36657</v>
      </c>
      <c r="B5470" s="3">
        <f>DATE(2000,10,1)</f>
        <v>36800</v>
      </c>
      <c r="C5470" s="2" t="s">
        <v>95</v>
      </c>
      <c r="D5470" s="2" t="s">
        <v>16877</v>
      </c>
      <c r="E5470" s="2" t="s">
        <v>124</v>
      </c>
      <c r="F5470" s="4">
        <v>6331</v>
      </c>
      <c r="G5470" s="2" t="s">
        <v>125</v>
      </c>
      <c r="H5470" s="2" t="s">
        <v>34</v>
      </c>
      <c r="I5470" s="2" t="s">
        <v>16878</v>
      </c>
      <c r="J5470" s="2" t="s">
        <v>124</v>
      </c>
      <c r="K5470" s="2" t="s">
        <v>125</v>
      </c>
      <c r="L5470" s="2" t="s">
        <v>34</v>
      </c>
      <c r="M5470" s="2"/>
      <c r="N5470" s="2"/>
      <c r="O5470" s="2"/>
      <c r="P5470" s="2" t="s">
        <v>16879</v>
      </c>
      <c r="Q5470" s="6">
        <v>100</v>
      </c>
      <c r="R5470" s="6">
        <v>12</v>
      </c>
      <c r="S5470" s="5">
        <v>-0.9</v>
      </c>
      <c r="T5470" s="2"/>
      <c r="U5470" s="5">
        <v>18.899999999999999</v>
      </c>
      <c r="V5470" s="6">
        <v>-0.25</v>
      </c>
      <c r="W5470" s="7">
        <v>9.5630000000000006</v>
      </c>
      <c r="X5470" s="7">
        <v>9.875</v>
      </c>
      <c r="Y5470" s="7">
        <v>11.375</v>
      </c>
      <c r="Z5470" s="7">
        <v>11.438000000000001</v>
      </c>
      <c r="AA5470" s="6">
        <v>3.71</v>
      </c>
      <c r="AB5470" s="7">
        <v>66.531999999999996</v>
      </c>
      <c r="AC5470" s="2"/>
    </row>
    <row r="5471" spans="1:29" ht="195" x14ac:dyDescent="0.15">
      <c r="A5471" s="3">
        <f>DATE(2000,5,12)</f>
        <v>36658</v>
      </c>
      <c r="B5471" s="3">
        <f>DATE(2000,6,19)</f>
        <v>36696</v>
      </c>
      <c r="C5471" s="2" t="s">
        <v>95</v>
      </c>
      <c r="D5471" s="2" t="s">
        <v>16880</v>
      </c>
      <c r="E5471" s="2" t="s">
        <v>16881</v>
      </c>
      <c r="F5471" s="4">
        <v>3585</v>
      </c>
      <c r="G5471" s="2" t="s">
        <v>300</v>
      </c>
      <c r="H5471" s="2" t="s">
        <v>34</v>
      </c>
      <c r="I5471" s="2" t="s">
        <v>6043</v>
      </c>
      <c r="J5471" s="2" t="s">
        <v>6044</v>
      </c>
      <c r="K5471" s="2" t="s">
        <v>300</v>
      </c>
      <c r="L5471" s="2" t="s">
        <v>34</v>
      </c>
      <c r="M5471" s="12">
        <v>6787.8459999999995</v>
      </c>
      <c r="N5471" s="6">
        <v>46.25</v>
      </c>
      <c r="O5471" s="9">
        <v>48.3125</v>
      </c>
      <c r="P5471" s="2" t="s">
        <v>16882</v>
      </c>
      <c r="Q5471" s="6">
        <v>100</v>
      </c>
      <c r="R5471" s="6">
        <v>29</v>
      </c>
      <c r="S5471" s="5">
        <v>67.7</v>
      </c>
      <c r="T5471" s="5">
        <v>161</v>
      </c>
      <c r="U5471" s="5">
        <v>4.5</v>
      </c>
      <c r="V5471" s="6">
        <v>1.31</v>
      </c>
      <c r="W5471" s="7">
        <v>13.125</v>
      </c>
      <c r="X5471" s="7">
        <v>13.375</v>
      </c>
      <c r="Y5471" s="7">
        <v>28.562999999999999</v>
      </c>
      <c r="Z5471" s="7">
        <v>28.562999999999999</v>
      </c>
      <c r="AA5471" s="6">
        <v>50.75</v>
      </c>
      <c r="AB5471" s="7">
        <v>14.093</v>
      </c>
      <c r="AC5471" s="5">
        <v>86</v>
      </c>
    </row>
    <row r="5472" spans="1:29" ht="104" x14ac:dyDescent="0.15">
      <c r="A5472" s="3">
        <f>DATE(2000,5,12)</f>
        <v>36658</v>
      </c>
      <c r="B5472" s="3">
        <f>DATE(2000,10,4)</f>
        <v>36803</v>
      </c>
      <c r="C5472" s="2" t="s">
        <v>95</v>
      </c>
      <c r="D5472" s="2" t="s">
        <v>16805</v>
      </c>
      <c r="E5472" s="2" t="s">
        <v>7375</v>
      </c>
      <c r="F5472" s="4">
        <v>7311</v>
      </c>
      <c r="G5472" s="2" t="s">
        <v>4563</v>
      </c>
      <c r="H5472" s="2" t="s">
        <v>34</v>
      </c>
      <c r="I5472" s="2" t="s">
        <v>15100</v>
      </c>
      <c r="J5472" s="2" t="s">
        <v>15101</v>
      </c>
      <c r="K5472" s="2" t="s">
        <v>4563</v>
      </c>
      <c r="L5472" s="2" t="s">
        <v>303</v>
      </c>
      <c r="M5472" s="10">
        <v>1399.89</v>
      </c>
      <c r="N5472" s="2"/>
      <c r="O5472" s="2"/>
      <c r="P5472" s="2" t="s">
        <v>16883</v>
      </c>
      <c r="Q5472" s="6">
        <v>100</v>
      </c>
      <c r="R5472" s="6">
        <v>53.02</v>
      </c>
      <c r="S5472" s="5">
        <v>179</v>
      </c>
      <c r="T5472" s="6">
        <v>293.98</v>
      </c>
      <c r="U5472" s="5">
        <v>3.5</v>
      </c>
      <c r="V5472" s="6">
        <v>2.16</v>
      </c>
      <c r="W5472" s="7">
        <v>45.125</v>
      </c>
      <c r="X5472" s="7">
        <v>41.625</v>
      </c>
      <c r="Y5472" s="4">
        <v>39</v>
      </c>
      <c r="Z5472" s="4">
        <v>42</v>
      </c>
      <c r="AA5472" s="6">
        <v>72.28</v>
      </c>
      <c r="AB5472" s="7">
        <v>22.683</v>
      </c>
      <c r="AC5472" s="6">
        <v>981.88</v>
      </c>
    </row>
    <row r="5473" spans="1:29" ht="78" x14ac:dyDescent="0.15">
      <c r="A5473" s="3">
        <f t="shared" ref="A5473:A5478" si="130">DATE(2000,5,15)</f>
        <v>36661</v>
      </c>
      <c r="B5473" s="3">
        <f>DATE(2000,9,18)</f>
        <v>36787</v>
      </c>
      <c r="C5473" s="2" t="s">
        <v>95</v>
      </c>
      <c r="D5473" s="2" t="s">
        <v>7022</v>
      </c>
      <c r="E5473" s="2" t="s">
        <v>92</v>
      </c>
      <c r="F5473" s="4">
        <v>6798</v>
      </c>
      <c r="G5473" s="2" t="s">
        <v>53</v>
      </c>
      <c r="H5473" s="2" t="s">
        <v>34</v>
      </c>
      <c r="I5473" s="2" t="s">
        <v>16884</v>
      </c>
      <c r="J5473" s="2" t="s">
        <v>92</v>
      </c>
      <c r="K5473" s="2" t="s">
        <v>53</v>
      </c>
      <c r="L5473" s="2" t="s">
        <v>34</v>
      </c>
      <c r="M5473" s="2"/>
      <c r="N5473" s="2"/>
      <c r="O5473" s="2"/>
      <c r="P5473" s="2" t="s">
        <v>16885</v>
      </c>
      <c r="Q5473" s="6">
        <v>100</v>
      </c>
      <c r="R5473" s="6">
        <v>22</v>
      </c>
      <c r="S5473" s="5">
        <v>39.700000000000003</v>
      </c>
      <c r="T5473" s="7">
        <v>73.733999999999995</v>
      </c>
      <c r="U5473" s="5">
        <v>14</v>
      </c>
      <c r="V5473" s="6">
        <v>1.36</v>
      </c>
      <c r="W5473" s="5">
        <v>18.5</v>
      </c>
      <c r="X5473" s="5">
        <v>18.5</v>
      </c>
      <c r="Y5473" s="6">
        <v>21.25</v>
      </c>
      <c r="Z5473" s="7">
        <v>21.375</v>
      </c>
      <c r="AA5473" s="6">
        <v>22.17</v>
      </c>
      <c r="AB5473" s="7">
        <v>24.016999999999999</v>
      </c>
      <c r="AC5473" s="2"/>
    </row>
    <row r="5474" spans="1:29" ht="91" x14ac:dyDescent="0.15">
      <c r="A5474" s="3">
        <f t="shared" si="130"/>
        <v>36661</v>
      </c>
      <c r="B5474" s="3">
        <f>DATE(2000,8,23)</f>
        <v>36761</v>
      </c>
      <c r="C5474" s="2" t="s">
        <v>95</v>
      </c>
      <c r="D5474" s="2" t="s">
        <v>12499</v>
      </c>
      <c r="E5474" s="2" t="s">
        <v>781</v>
      </c>
      <c r="F5474" s="4">
        <v>7372</v>
      </c>
      <c r="G5474" s="2" t="s">
        <v>551</v>
      </c>
      <c r="H5474" s="2" t="s">
        <v>34</v>
      </c>
      <c r="I5474" s="2" t="s">
        <v>16886</v>
      </c>
      <c r="J5474" s="2" t="s">
        <v>10922</v>
      </c>
      <c r="K5474" s="2" t="s">
        <v>223</v>
      </c>
      <c r="L5474" s="2" t="s">
        <v>34</v>
      </c>
      <c r="M5474" s="7">
        <v>798.58100000000002</v>
      </c>
      <c r="N5474" s="7">
        <v>25.125</v>
      </c>
      <c r="O5474" s="7">
        <v>23.562999999999999</v>
      </c>
      <c r="P5474" s="2" t="s">
        <v>16887</v>
      </c>
      <c r="Q5474" s="6">
        <v>100</v>
      </c>
      <c r="R5474" s="6">
        <v>4.1399999999999997</v>
      </c>
      <c r="S5474" s="5">
        <v>0.2</v>
      </c>
      <c r="T5474" s="6">
        <v>2.0699999999999998</v>
      </c>
      <c r="U5474" s="5">
        <v>2.1</v>
      </c>
      <c r="V5474" s="6">
        <v>0.05</v>
      </c>
      <c r="W5474" s="7">
        <v>2.875</v>
      </c>
      <c r="X5474" s="4">
        <v>3</v>
      </c>
      <c r="Y5474" s="4">
        <v>3</v>
      </c>
      <c r="Z5474" s="5">
        <v>3.5</v>
      </c>
      <c r="AA5474" s="6">
        <v>3.88</v>
      </c>
      <c r="AB5474" s="7">
        <v>44.436999999999998</v>
      </c>
      <c r="AC5474" s="5">
        <v>93.7</v>
      </c>
    </row>
    <row r="5475" spans="1:29" ht="91" x14ac:dyDescent="0.15">
      <c r="A5475" s="3">
        <f t="shared" si="130"/>
        <v>36661</v>
      </c>
      <c r="B5475" s="3">
        <f>DATE(2000,7,17)</f>
        <v>36724</v>
      </c>
      <c r="C5475" s="2" t="s">
        <v>95</v>
      </c>
      <c r="D5475" s="2" t="s">
        <v>15513</v>
      </c>
      <c r="E5475" s="2" t="s">
        <v>15514</v>
      </c>
      <c r="F5475" s="4">
        <v>7389</v>
      </c>
      <c r="G5475" s="2" t="s">
        <v>223</v>
      </c>
      <c r="H5475" s="2" t="s">
        <v>34</v>
      </c>
      <c r="I5475" s="2" t="s">
        <v>16888</v>
      </c>
      <c r="J5475" s="2" t="s">
        <v>4060</v>
      </c>
      <c r="K5475" s="2" t="s">
        <v>53</v>
      </c>
      <c r="L5475" s="2" t="s">
        <v>34</v>
      </c>
      <c r="M5475" s="2"/>
      <c r="N5475" s="2"/>
      <c r="O5475" s="2"/>
      <c r="P5475" s="2" t="s">
        <v>16889</v>
      </c>
      <c r="Q5475" s="6">
        <v>77</v>
      </c>
      <c r="R5475" s="6">
        <v>14.25</v>
      </c>
      <c r="S5475" s="5">
        <v>-16.600000000000001</v>
      </c>
      <c r="T5475" s="6">
        <v>167.93</v>
      </c>
      <c r="U5475" s="5">
        <v>2.5</v>
      </c>
      <c r="V5475" s="6">
        <v>-1.26</v>
      </c>
      <c r="W5475" s="4">
        <v>8</v>
      </c>
      <c r="X5475" s="4">
        <v>8</v>
      </c>
      <c r="Y5475" s="7">
        <v>13.688000000000001</v>
      </c>
      <c r="Z5475" s="6">
        <v>13.75</v>
      </c>
      <c r="AA5475" s="6">
        <v>12.94</v>
      </c>
      <c r="AB5475" s="7">
        <v>19.100999999999999</v>
      </c>
      <c r="AC5475" s="2"/>
    </row>
    <row r="5476" spans="1:29" ht="143" x14ac:dyDescent="0.15">
      <c r="A5476" s="3">
        <f t="shared" si="130"/>
        <v>36661</v>
      </c>
      <c r="B5476" s="2"/>
      <c r="C5476" s="2" t="s">
        <v>30</v>
      </c>
      <c r="D5476" s="2" t="s">
        <v>16695</v>
      </c>
      <c r="E5476" s="2" t="s">
        <v>16696</v>
      </c>
      <c r="F5476" s="4">
        <v>2052</v>
      </c>
      <c r="G5476" s="2" t="s">
        <v>577</v>
      </c>
      <c r="H5476" s="2" t="s">
        <v>34</v>
      </c>
      <c r="I5476" s="2" t="s">
        <v>13147</v>
      </c>
      <c r="J5476" s="2" t="s">
        <v>13148</v>
      </c>
      <c r="K5476" s="2" t="s">
        <v>577</v>
      </c>
      <c r="L5476" s="2" t="s">
        <v>133</v>
      </c>
      <c r="M5476" s="2"/>
      <c r="N5476" s="2"/>
      <c r="O5476" s="2"/>
      <c r="P5476" s="2" t="s">
        <v>16890</v>
      </c>
      <c r="Q5476" s="2"/>
      <c r="R5476" s="2"/>
      <c r="S5476" s="5">
        <v>226</v>
      </c>
      <c r="T5476" s="5">
        <v>890</v>
      </c>
      <c r="U5476" s="5">
        <v>9.6999999999999993</v>
      </c>
      <c r="V5476" s="6">
        <v>0.67</v>
      </c>
      <c r="W5476" s="7">
        <v>9.875</v>
      </c>
      <c r="X5476" s="7">
        <v>9.3130000000000006</v>
      </c>
      <c r="Y5476" s="9">
        <v>23.0625</v>
      </c>
      <c r="Z5476" s="6">
        <v>22.25</v>
      </c>
      <c r="AA5476" s="6">
        <v>326.44</v>
      </c>
      <c r="AB5476" s="2" t="s">
        <v>47</v>
      </c>
      <c r="AC5476" s="10">
        <v>1081.52</v>
      </c>
    </row>
    <row r="5477" spans="1:29" ht="78" x14ac:dyDescent="0.15">
      <c r="A5477" s="3">
        <f t="shared" si="130"/>
        <v>36661</v>
      </c>
      <c r="B5477" s="3">
        <f>DATE(2000,10,25)</f>
        <v>36824</v>
      </c>
      <c r="C5477" s="2" t="s">
        <v>95</v>
      </c>
      <c r="D5477" s="2" t="s">
        <v>16891</v>
      </c>
      <c r="E5477" s="2" t="s">
        <v>13377</v>
      </c>
      <c r="F5477" s="4">
        <v>6282</v>
      </c>
      <c r="G5477" s="2" t="s">
        <v>53</v>
      </c>
      <c r="H5477" s="2" t="s">
        <v>34</v>
      </c>
      <c r="I5477" s="2" t="s">
        <v>16892</v>
      </c>
      <c r="J5477" s="2" t="s">
        <v>16893</v>
      </c>
      <c r="K5477" s="2" t="s">
        <v>37</v>
      </c>
      <c r="L5477" s="2" t="s">
        <v>5907</v>
      </c>
      <c r="M5477" s="12">
        <v>20180.393</v>
      </c>
      <c r="N5477" s="2"/>
      <c r="O5477" s="2"/>
      <c r="P5477" s="2" t="s">
        <v>16894</v>
      </c>
      <c r="Q5477" s="6">
        <v>100</v>
      </c>
      <c r="R5477" s="6">
        <v>43.5</v>
      </c>
      <c r="S5477" s="5">
        <v>7.3</v>
      </c>
      <c r="T5477" s="5">
        <v>41.3</v>
      </c>
      <c r="U5477" s="5">
        <v>3.4</v>
      </c>
      <c r="V5477" s="6">
        <v>0.28999999999999998</v>
      </c>
      <c r="W5477" s="4">
        <v>27</v>
      </c>
      <c r="X5477" s="4">
        <v>31</v>
      </c>
      <c r="Y5477" s="7">
        <v>42.063000000000002</v>
      </c>
      <c r="Z5477" s="7">
        <v>42.313000000000002</v>
      </c>
      <c r="AA5477" s="6">
        <v>26.77</v>
      </c>
      <c r="AB5477" s="7">
        <v>37.177</v>
      </c>
      <c r="AC5477" s="2"/>
    </row>
    <row r="5478" spans="1:29" ht="104" x14ac:dyDescent="0.15">
      <c r="A5478" s="3">
        <f t="shared" si="130"/>
        <v>36661</v>
      </c>
      <c r="B5478" s="3">
        <f>DATE(2000,10,31)</f>
        <v>36830</v>
      </c>
      <c r="C5478" s="2" t="s">
        <v>95</v>
      </c>
      <c r="D5478" s="2" t="s">
        <v>16895</v>
      </c>
      <c r="E5478" s="2" t="s">
        <v>16896</v>
      </c>
      <c r="F5478" s="4">
        <v>6035</v>
      </c>
      <c r="G5478" s="2" t="s">
        <v>33</v>
      </c>
      <c r="H5478" s="2" t="s">
        <v>34</v>
      </c>
      <c r="I5478" s="2" t="s">
        <v>16746</v>
      </c>
      <c r="J5478" s="2" t="s">
        <v>263</v>
      </c>
      <c r="K5478" s="2" t="s">
        <v>37</v>
      </c>
      <c r="L5478" s="2" t="s">
        <v>34</v>
      </c>
      <c r="M5478" s="7">
        <v>398.435</v>
      </c>
      <c r="N5478" s="7">
        <v>15.875</v>
      </c>
      <c r="O5478" s="4">
        <v>16</v>
      </c>
      <c r="P5478" s="2" t="s">
        <v>16897</v>
      </c>
      <c r="Q5478" s="6">
        <v>100</v>
      </c>
      <c r="R5478" s="6">
        <v>23.35</v>
      </c>
      <c r="S5478" s="5">
        <v>3.2</v>
      </c>
      <c r="T5478" s="2"/>
      <c r="U5478" s="5">
        <v>17.2</v>
      </c>
      <c r="V5478" s="7">
        <v>2.1259999999999999</v>
      </c>
      <c r="W5478" s="5">
        <v>17.5</v>
      </c>
      <c r="X5478" s="6">
        <v>20.75</v>
      </c>
      <c r="Y5478" s="5">
        <v>21.5</v>
      </c>
      <c r="Z5478" s="7">
        <v>22.437999999999999</v>
      </c>
      <c r="AA5478" s="6">
        <v>1.54</v>
      </c>
      <c r="AB5478" s="7">
        <v>12.285</v>
      </c>
      <c r="AC5478" s="5">
        <v>150.80000000000001</v>
      </c>
    </row>
    <row r="5479" spans="1:29" ht="221" x14ac:dyDescent="0.15">
      <c r="A5479" s="3">
        <f>DATE(2000,5,16)</f>
        <v>36662</v>
      </c>
      <c r="B5479" s="3">
        <f>DATE(2000,10,27)</f>
        <v>36826</v>
      </c>
      <c r="C5479" s="2" t="s">
        <v>95</v>
      </c>
      <c r="D5479" s="2" t="s">
        <v>13761</v>
      </c>
      <c r="E5479" s="2" t="s">
        <v>7938</v>
      </c>
      <c r="F5479" s="4">
        <v>7375</v>
      </c>
      <c r="G5479" s="2" t="s">
        <v>223</v>
      </c>
      <c r="H5479" s="2" t="s">
        <v>34</v>
      </c>
      <c r="I5479" s="2" t="s">
        <v>16898</v>
      </c>
      <c r="J5479" s="2" t="s">
        <v>16899</v>
      </c>
      <c r="K5479" s="2" t="s">
        <v>223</v>
      </c>
      <c r="L5479" s="2" t="s">
        <v>8464</v>
      </c>
      <c r="M5479" s="2"/>
      <c r="N5479" s="2"/>
      <c r="O5479" s="2"/>
      <c r="P5479" s="2" t="s">
        <v>16900</v>
      </c>
      <c r="Q5479" s="6">
        <v>100</v>
      </c>
      <c r="R5479" s="6">
        <v>50.82</v>
      </c>
      <c r="S5479" s="5">
        <v>21</v>
      </c>
      <c r="T5479" s="7">
        <v>12.925000000000001</v>
      </c>
      <c r="U5479" s="5">
        <v>13.1</v>
      </c>
      <c r="V5479" s="6">
        <v>0.19</v>
      </c>
      <c r="W5479" s="6">
        <v>50.25</v>
      </c>
      <c r="X5479" s="7">
        <v>61.625</v>
      </c>
      <c r="Y5479" s="7">
        <v>72.625</v>
      </c>
      <c r="Z5479" s="7">
        <v>57.609000000000002</v>
      </c>
      <c r="AA5479" s="6">
        <v>109.91</v>
      </c>
      <c r="AB5479" s="2" t="s">
        <v>86</v>
      </c>
      <c r="AC5479" s="6">
        <v>594.1</v>
      </c>
    </row>
    <row r="5480" spans="1:29" ht="143" x14ac:dyDescent="0.15">
      <c r="A5480" s="3">
        <f>DATE(2000,5,16)</f>
        <v>36662</v>
      </c>
      <c r="B5480" s="3">
        <f>DATE(2000,11,13)</f>
        <v>36843</v>
      </c>
      <c r="C5480" s="2" t="s">
        <v>95</v>
      </c>
      <c r="D5480" s="2" t="s">
        <v>16901</v>
      </c>
      <c r="E5480" s="2" t="s">
        <v>36</v>
      </c>
      <c r="F5480" s="4">
        <v>6021</v>
      </c>
      <c r="G5480" s="2" t="s">
        <v>37</v>
      </c>
      <c r="H5480" s="2" t="s">
        <v>34</v>
      </c>
      <c r="I5480" s="2" t="s">
        <v>16902</v>
      </c>
      <c r="J5480" s="2" t="s">
        <v>36</v>
      </c>
      <c r="K5480" s="2" t="s">
        <v>37</v>
      </c>
      <c r="L5480" s="2" t="s">
        <v>34</v>
      </c>
      <c r="M5480" s="7">
        <v>7.7759999999999998</v>
      </c>
      <c r="N5480" s="7">
        <v>21.062999999999999</v>
      </c>
      <c r="O5480" s="4">
        <v>22</v>
      </c>
      <c r="P5480" s="2" t="s">
        <v>16903</v>
      </c>
      <c r="Q5480" s="6">
        <v>100</v>
      </c>
      <c r="R5480" s="6">
        <v>17.3</v>
      </c>
      <c r="S5480" s="5">
        <v>0.3</v>
      </c>
      <c r="T5480" s="2"/>
      <c r="U5480" s="5">
        <v>15</v>
      </c>
      <c r="V5480" s="9">
        <v>0.61960000000000004</v>
      </c>
      <c r="W5480" s="7">
        <v>14.125</v>
      </c>
      <c r="X5480" s="7">
        <v>14.188000000000001</v>
      </c>
      <c r="Y5480" s="6">
        <v>14.75</v>
      </c>
      <c r="Z5480" s="5">
        <v>14.5</v>
      </c>
      <c r="AA5480" s="6">
        <v>0.48</v>
      </c>
      <c r="AB5480" s="7">
        <v>37.633000000000003</v>
      </c>
      <c r="AC5480" s="2"/>
    </row>
    <row r="5481" spans="1:29" ht="234" x14ac:dyDescent="0.15">
      <c r="A5481" s="3">
        <f>DATE(2000,5,17)</f>
        <v>36663</v>
      </c>
      <c r="B5481" s="3">
        <f>DATE(2000,10,9)</f>
        <v>36808</v>
      </c>
      <c r="C5481" s="2" t="s">
        <v>95</v>
      </c>
      <c r="D5481" s="2" t="s">
        <v>3924</v>
      </c>
      <c r="E5481" s="2" t="s">
        <v>3925</v>
      </c>
      <c r="F5481" s="4">
        <v>6021</v>
      </c>
      <c r="G5481" s="2" t="s">
        <v>37</v>
      </c>
      <c r="H5481" s="2" t="s">
        <v>34</v>
      </c>
      <c r="I5481" s="2" t="s">
        <v>16904</v>
      </c>
      <c r="J5481" s="2" t="s">
        <v>36</v>
      </c>
      <c r="K5481" s="2" t="s">
        <v>37</v>
      </c>
      <c r="L5481" s="2" t="s">
        <v>34</v>
      </c>
      <c r="M5481" s="12">
        <v>3354.114</v>
      </c>
      <c r="N5481" s="7">
        <v>400.93799999999999</v>
      </c>
      <c r="O5481" s="7">
        <v>405.31299999999999</v>
      </c>
      <c r="P5481" s="2" t="s">
        <v>16905</v>
      </c>
      <c r="Q5481" s="6">
        <v>100</v>
      </c>
      <c r="R5481" s="6">
        <v>21.5</v>
      </c>
      <c r="S5481" s="5">
        <v>79.7</v>
      </c>
      <c r="T5481" s="7">
        <v>137.75399999999999</v>
      </c>
      <c r="U5481" s="5">
        <v>12</v>
      </c>
      <c r="V5481" s="7">
        <v>1.6120000000000001</v>
      </c>
      <c r="W5481" s="7">
        <v>15.188000000000001</v>
      </c>
      <c r="X5481" s="6">
        <v>15.75</v>
      </c>
      <c r="Y5481" s="4">
        <v>20</v>
      </c>
      <c r="Z5481" s="9">
        <v>20.1875</v>
      </c>
      <c r="AA5481" s="6">
        <v>48.82</v>
      </c>
      <c r="AB5481" s="7">
        <v>54.738</v>
      </c>
      <c r="AC5481" s="8">
        <v>1069.5999999999999</v>
      </c>
    </row>
    <row r="5482" spans="1:29" ht="156" x14ac:dyDescent="0.15">
      <c r="A5482" s="3">
        <f>DATE(2000,5,17)</f>
        <v>36663</v>
      </c>
      <c r="B5482" s="3">
        <f>DATE(2000,6,20)</f>
        <v>36697</v>
      </c>
      <c r="C5482" s="2" t="s">
        <v>95</v>
      </c>
      <c r="D5482" s="2" t="s">
        <v>13631</v>
      </c>
      <c r="E5482" s="2" t="s">
        <v>13632</v>
      </c>
      <c r="F5482" s="4">
        <v>3571</v>
      </c>
      <c r="G5482" s="2" t="s">
        <v>50</v>
      </c>
      <c r="H5482" s="2" t="s">
        <v>34</v>
      </c>
      <c r="I5482" s="2" t="s">
        <v>278</v>
      </c>
      <c r="J5482" s="2" t="s">
        <v>52</v>
      </c>
      <c r="K5482" s="2" t="s">
        <v>53</v>
      </c>
      <c r="L5482" s="2" t="s">
        <v>34</v>
      </c>
      <c r="M5482" s="2"/>
      <c r="N5482" s="2"/>
      <c r="O5482" s="2"/>
      <c r="P5482" s="2" t="s">
        <v>16906</v>
      </c>
      <c r="Q5482" s="6">
        <v>65.23</v>
      </c>
      <c r="R5482" s="6">
        <v>35.130000000000003</v>
      </c>
      <c r="S5482" s="5">
        <v>26.7</v>
      </c>
      <c r="T5482" s="5">
        <v>43.3</v>
      </c>
      <c r="U5482" s="5">
        <v>2</v>
      </c>
      <c r="V5482" s="6">
        <v>0.67</v>
      </c>
      <c r="W5482" s="5">
        <v>25.5</v>
      </c>
      <c r="X5482" s="7">
        <v>28.625</v>
      </c>
      <c r="Y5482" s="6">
        <v>27.75</v>
      </c>
      <c r="Z5482" s="7">
        <v>25.562999999999999</v>
      </c>
      <c r="AA5482" s="6">
        <v>38.43</v>
      </c>
      <c r="AB5482" s="7">
        <v>30.846</v>
      </c>
      <c r="AC5482" s="2"/>
    </row>
    <row r="5483" spans="1:29" ht="143" x14ac:dyDescent="0.15">
      <c r="A5483" s="3">
        <f>DATE(2000,5,17)</f>
        <v>36663</v>
      </c>
      <c r="B5483" s="3">
        <f>DATE(2000,10,2)</f>
        <v>36801</v>
      </c>
      <c r="C5483" s="2" t="s">
        <v>95</v>
      </c>
      <c r="D5483" s="2" t="s">
        <v>8637</v>
      </c>
      <c r="E5483" s="2" t="s">
        <v>8638</v>
      </c>
      <c r="F5483" s="4">
        <v>5999</v>
      </c>
      <c r="G5483" s="2" t="s">
        <v>73</v>
      </c>
      <c r="H5483" s="2" t="s">
        <v>34</v>
      </c>
      <c r="I5483" s="2" t="s">
        <v>51</v>
      </c>
      <c r="J5483" s="2" t="s">
        <v>52</v>
      </c>
      <c r="K5483" s="2" t="s">
        <v>53</v>
      </c>
      <c r="L5483" s="2" t="s">
        <v>34</v>
      </c>
      <c r="M5483" s="2"/>
      <c r="N5483" s="2"/>
      <c r="O5483" s="2"/>
      <c r="P5483" s="2" t="s">
        <v>16907</v>
      </c>
      <c r="Q5483" s="6">
        <v>100</v>
      </c>
      <c r="R5483" s="6">
        <v>22</v>
      </c>
      <c r="S5483" s="5">
        <v>24.6</v>
      </c>
      <c r="T5483" s="5">
        <v>93.1</v>
      </c>
      <c r="U5483" s="5">
        <v>10.1</v>
      </c>
      <c r="V5483" s="6">
        <v>1.1499999999999999</v>
      </c>
      <c r="W5483" s="7">
        <v>12.938000000000001</v>
      </c>
      <c r="X5483" s="7">
        <v>14.688000000000001</v>
      </c>
      <c r="Y5483" s="7">
        <v>14.938000000000001</v>
      </c>
      <c r="Z5483" s="7">
        <v>19.625</v>
      </c>
      <c r="AA5483" s="6">
        <v>21.11</v>
      </c>
      <c r="AB5483" s="7">
        <v>10.583</v>
      </c>
      <c r="AC5483" s="2"/>
    </row>
    <row r="5484" spans="1:29" ht="52" x14ac:dyDescent="0.15">
      <c r="A5484" s="3">
        <f>DATE(2000,5,19)</f>
        <v>36665</v>
      </c>
      <c r="B5484" s="3">
        <f>DATE(2000,9,6)</f>
        <v>36775</v>
      </c>
      <c r="C5484" s="2" t="s">
        <v>95</v>
      </c>
      <c r="D5484" s="2" t="s">
        <v>16908</v>
      </c>
      <c r="E5484" s="2" t="s">
        <v>16909</v>
      </c>
      <c r="F5484" s="4">
        <v>3555</v>
      </c>
      <c r="G5484" s="2" t="s">
        <v>300</v>
      </c>
      <c r="H5484" s="2" t="s">
        <v>34</v>
      </c>
      <c r="I5484" s="2" t="s">
        <v>16910</v>
      </c>
      <c r="J5484" s="2" t="s">
        <v>16911</v>
      </c>
      <c r="K5484" s="2" t="s">
        <v>364</v>
      </c>
      <c r="L5484" s="2" t="s">
        <v>34</v>
      </c>
      <c r="M5484" s="7">
        <v>130.41800000000001</v>
      </c>
      <c r="N5484" s="7">
        <v>3.875</v>
      </c>
      <c r="O5484" s="6">
        <v>3.75</v>
      </c>
      <c r="P5484" s="2" t="s">
        <v>16912</v>
      </c>
      <c r="Q5484" s="6">
        <v>100</v>
      </c>
      <c r="R5484" s="6">
        <v>26</v>
      </c>
      <c r="S5484" s="5">
        <v>17.600000000000001</v>
      </c>
      <c r="T5484" s="7">
        <v>49.383000000000003</v>
      </c>
      <c r="U5484" s="5">
        <v>10.8</v>
      </c>
      <c r="V5484" s="6">
        <v>1.49</v>
      </c>
      <c r="W5484" s="7">
        <v>18.812999999999999</v>
      </c>
      <c r="X5484" s="7">
        <v>17.812999999999999</v>
      </c>
      <c r="Y5484" s="4">
        <v>18</v>
      </c>
      <c r="Z5484" s="7">
        <v>17.875</v>
      </c>
      <c r="AA5484" s="6">
        <v>11.41</v>
      </c>
      <c r="AB5484" s="7">
        <v>10.644</v>
      </c>
      <c r="AC5484" s="5">
        <v>2.6</v>
      </c>
    </row>
    <row r="5485" spans="1:29" ht="117" x14ac:dyDescent="0.15">
      <c r="A5485" s="3">
        <f>DATE(2000,5,22)</f>
        <v>36668</v>
      </c>
      <c r="B5485" s="3">
        <f>DATE(2000,8,16)</f>
        <v>36754</v>
      </c>
      <c r="C5485" s="2" t="s">
        <v>95</v>
      </c>
      <c r="D5485" s="2" t="s">
        <v>16913</v>
      </c>
      <c r="E5485" s="2" t="s">
        <v>16914</v>
      </c>
      <c r="F5485" s="4">
        <v>7372</v>
      </c>
      <c r="G5485" s="2" t="s">
        <v>551</v>
      </c>
      <c r="H5485" s="2" t="s">
        <v>34</v>
      </c>
      <c r="I5485" s="2" t="s">
        <v>16915</v>
      </c>
      <c r="J5485" s="2" t="s">
        <v>14580</v>
      </c>
      <c r="K5485" s="2" t="s">
        <v>551</v>
      </c>
      <c r="L5485" s="2" t="s">
        <v>34</v>
      </c>
      <c r="M5485" s="12">
        <v>2590.2339999999999</v>
      </c>
      <c r="N5485" s="4">
        <v>72</v>
      </c>
      <c r="O5485" s="7">
        <v>71.625</v>
      </c>
      <c r="P5485" s="2" t="s">
        <v>16916</v>
      </c>
      <c r="Q5485" s="6">
        <v>100</v>
      </c>
      <c r="R5485" s="6">
        <v>45.85</v>
      </c>
      <c r="S5485" s="5">
        <v>-9.4</v>
      </c>
      <c r="T5485" s="7">
        <v>-9.4760000000000009</v>
      </c>
      <c r="U5485" s="5">
        <v>1.7</v>
      </c>
      <c r="V5485" s="9">
        <v>-0.38919999999999999</v>
      </c>
      <c r="W5485" s="5">
        <v>28.5</v>
      </c>
      <c r="X5485" s="4">
        <v>33</v>
      </c>
      <c r="Y5485" s="7">
        <v>32.063000000000002</v>
      </c>
      <c r="Z5485" s="7">
        <v>30.312999999999999</v>
      </c>
      <c r="AA5485" s="6">
        <v>25.81</v>
      </c>
      <c r="AB5485" s="2" t="s">
        <v>86</v>
      </c>
      <c r="AC5485" s="6">
        <v>165.12</v>
      </c>
    </row>
    <row r="5486" spans="1:29" ht="78" x14ac:dyDescent="0.15">
      <c r="A5486" s="3">
        <f>DATE(2000,5,22)</f>
        <v>36668</v>
      </c>
      <c r="B5486" s="2"/>
      <c r="C5486" s="2" t="s">
        <v>56</v>
      </c>
      <c r="D5486" s="2" t="s">
        <v>16917</v>
      </c>
      <c r="E5486" s="2" t="s">
        <v>16918</v>
      </c>
      <c r="F5486" s="4">
        <v>3398</v>
      </c>
      <c r="G5486" s="2" t="s">
        <v>163</v>
      </c>
      <c r="H5486" s="2" t="s">
        <v>34</v>
      </c>
      <c r="I5486" s="2" t="s">
        <v>149</v>
      </c>
      <c r="J5486" s="2" t="s">
        <v>150</v>
      </c>
      <c r="K5486" s="2" t="s">
        <v>53</v>
      </c>
      <c r="L5486" s="2" t="s">
        <v>151</v>
      </c>
      <c r="M5486" s="2"/>
      <c r="N5486" s="2"/>
      <c r="O5486" s="2"/>
      <c r="P5486" s="2" t="s">
        <v>16919</v>
      </c>
      <c r="Q5486" s="2"/>
      <c r="R5486" s="6">
        <v>9</v>
      </c>
      <c r="S5486" s="5">
        <v>6.8</v>
      </c>
      <c r="T5486" s="5">
        <v>20.9</v>
      </c>
      <c r="U5486" s="5">
        <v>10.8</v>
      </c>
      <c r="V5486" s="6">
        <v>1.1499999999999999</v>
      </c>
      <c r="W5486" s="7">
        <v>6.625</v>
      </c>
      <c r="X5486" s="7">
        <v>7.875</v>
      </c>
      <c r="Y5486" s="9">
        <v>8.6875</v>
      </c>
      <c r="Z5486" s="7">
        <v>8.125</v>
      </c>
      <c r="AA5486" s="6">
        <v>5.66</v>
      </c>
      <c r="AB5486" s="7">
        <v>6.9450000000000003</v>
      </c>
      <c r="AC5486" s="2"/>
    </row>
    <row r="5487" spans="1:29" ht="156" x14ac:dyDescent="0.15">
      <c r="A5487" s="3">
        <f>DATE(2000,5,22)</f>
        <v>36668</v>
      </c>
      <c r="B5487" s="3">
        <f>DATE(2000,6,29)</f>
        <v>36706</v>
      </c>
      <c r="C5487" s="2" t="s">
        <v>95</v>
      </c>
      <c r="D5487" s="2" t="s">
        <v>16920</v>
      </c>
      <c r="E5487" s="2" t="s">
        <v>16921</v>
      </c>
      <c r="F5487" s="4">
        <v>7374</v>
      </c>
      <c r="G5487" s="2" t="s">
        <v>223</v>
      </c>
      <c r="H5487" s="2" t="s">
        <v>34</v>
      </c>
      <c r="I5487" s="2" t="s">
        <v>12628</v>
      </c>
      <c r="J5487" s="2" t="s">
        <v>12629</v>
      </c>
      <c r="K5487" s="2" t="s">
        <v>137</v>
      </c>
      <c r="L5487" s="2" t="s">
        <v>2105</v>
      </c>
      <c r="M5487" s="2"/>
      <c r="N5487" s="2"/>
      <c r="O5487" s="2"/>
      <c r="P5487" s="2" t="s">
        <v>16922</v>
      </c>
      <c r="Q5487" s="6">
        <v>57</v>
      </c>
      <c r="R5487" s="6">
        <v>51</v>
      </c>
      <c r="S5487" s="5">
        <v>47.4</v>
      </c>
      <c r="T5487" s="5">
        <v>89.3</v>
      </c>
      <c r="U5487" s="5">
        <v>7.2</v>
      </c>
      <c r="V5487" s="6">
        <v>1.27</v>
      </c>
      <c r="W5487" s="5">
        <v>38.5</v>
      </c>
      <c r="X5487" s="7">
        <v>38.813000000000002</v>
      </c>
      <c r="Y5487" s="7">
        <v>39.125</v>
      </c>
      <c r="Z5487" s="7">
        <v>42.875</v>
      </c>
      <c r="AA5487" s="6">
        <v>35.43</v>
      </c>
      <c r="AB5487" s="7">
        <v>25.030999999999999</v>
      </c>
      <c r="AC5487" s="10">
        <v>3894.08</v>
      </c>
    </row>
    <row r="5488" spans="1:29" ht="169" x14ac:dyDescent="0.15">
      <c r="A5488" s="3">
        <f>DATE(2000,5,22)</f>
        <v>36668</v>
      </c>
      <c r="B5488" s="3">
        <f>DATE(2000,7,6)</f>
        <v>36713</v>
      </c>
      <c r="C5488" s="2" t="s">
        <v>95</v>
      </c>
      <c r="D5488" s="2" t="s">
        <v>16923</v>
      </c>
      <c r="E5488" s="2" t="s">
        <v>16924</v>
      </c>
      <c r="F5488" s="4">
        <v>7372</v>
      </c>
      <c r="G5488" s="2" t="s">
        <v>551</v>
      </c>
      <c r="H5488" s="2" t="s">
        <v>34</v>
      </c>
      <c r="I5488" s="2" t="s">
        <v>16925</v>
      </c>
      <c r="J5488" s="2" t="s">
        <v>16926</v>
      </c>
      <c r="K5488" s="2" t="s">
        <v>551</v>
      </c>
      <c r="L5488" s="2" t="s">
        <v>34</v>
      </c>
      <c r="M5488" s="12">
        <v>7888.1869999999999</v>
      </c>
      <c r="N5488" s="7">
        <v>34.875</v>
      </c>
      <c r="O5488" s="7">
        <v>29.562999999999999</v>
      </c>
      <c r="P5488" s="2" t="s">
        <v>16927</v>
      </c>
      <c r="Q5488" s="6">
        <v>100</v>
      </c>
      <c r="R5488" s="6">
        <v>69.22</v>
      </c>
      <c r="S5488" s="5">
        <v>-16.8</v>
      </c>
      <c r="T5488" s="7">
        <v>-12.691000000000001</v>
      </c>
      <c r="U5488" s="5">
        <v>5.5</v>
      </c>
      <c r="V5488" s="6">
        <v>-3.7</v>
      </c>
      <c r="W5488" s="5">
        <v>52.5</v>
      </c>
      <c r="X5488" s="6">
        <v>53.25</v>
      </c>
      <c r="Y5488" s="7">
        <v>54.125</v>
      </c>
      <c r="Z5488" s="7">
        <v>46.063000000000002</v>
      </c>
      <c r="AA5488" s="6">
        <v>22.14</v>
      </c>
      <c r="AB5488" s="2" t="s">
        <v>86</v>
      </c>
      <c r="AC5488" s="5">
        <v>406.6</v>
      </c>
    </row>
    <row r="5489" spans="1:29" ht="78" x14ac:dyDescent="0.15">
      <c r="A5489" s="3">
        <f>DATE(2000,5,23)</f>
        <v>36669</v>
      </c>
      <c r="B5489" s="3">
        <f>DATE(2000,12,18)</f>
        <v>36878</v>
      </c>
      <c r="C5489" s="2" t="s">
        <v>95</v>
      </c>
      <c r="D5489" s="2" t="s">
        <v>16928</v>
      </c>
      <c r="E5489" s="2" t="s">
        <v>129</v>
      </c>
      <c r="F5489" s="4">
        <v>2834</v>
      </c>
      <c r="G5489" s="2" t="s">
        <v>130</v>
      </c>
      <c r="H5489" s="2" t="s">
        <v>34</v>
      </c>
      <c r="I5489" s="2" t="s">
        <v>16929</v>
      </c>
      <c r="J5489" s="2" t="s">
        <v>16930</v>
      </c>
      <c r="K5489" s="2" t="s">
        <v>130</v>
      </c>
      <c r="L5489" s="2" t="s">
        <v>303</v>
      </c>
      <c r="M5489" s="2"/>
      <c r="N5489" s="2"/>
      <c r="O5489" s="2"/>
      <c r="P5489" s="2" t="s">
        <v>16931</v>
      </c>
      <c r="Q5489" s="6">
        <v>100</v>
      </c>
      <c r="R5489" s="6">
        <v>2.25</v>
      </c>
      <c r="S5489" s="5">
        <v>-3.5</v>
      </c>
      <c r="T5489" s="7">
        <v>-3.8460000000000001</v>
      </c>
      <c r="U5489" s="5">
        <v>0.5</v>
      </c>
      <c r="V5489" s="6">
        <v>-0.19</v>
      </c>
      <c r="W5489" s="7">
        <v>1.5629999999999999</v>
      </c>
      <c r="X5489" s="7">
        <v>1.625</v>
      </c>
      <c r="Y5489" s="7">
        <v>1.8129999999999999</v>
      </c>
      <c r="Z5489" s="6">
        <v>1.75</v>
      </c>
      <c r="AA5489" s="6">
        <v>18.14</v>
      </c>
      <c r="AB5489" s="2" t="s">
        <v>86</v>
      </c>
      <c r="AC5489" s="6">
        <v>24.51</v>
      </c>
    </row>
    <row r="5490" spans="1:29" ht="65" x14ac:dyDescent="0.15">
      <c r="A5490" s="3">
        <f>DATE(2000,5,23)</f>
        <v>36669</v>
      </c>
      <c r="B5490" s="2"/>
      <c r="C5490" s="2" t="s">
        <v>30</v>
      </c>
      <c r="D5490" s="2" t="s">
        <v>16932</v>
      </c>
      <c r="E5490" s="2" t="s">
        <v>58</v>
      </c>
      <c r="F5490" s="4">
        <v>4512</v>
      </c>
      <c r="G5490" s="2" t="s">
        <v>59</v>
      </c>
      <c r="H5490" s="2" t="s">
        <v>34</v>
      </c>
      <c r="I5490" s="2" t="s">
        <v>57</v>
      </c>
      <c r="J5490" s="2" t="s">
        <v>58</v>
      </c>
      <c r="K5490" s="2" t="s">
        <v>59</v>
      </c>
      <c r="L5490" s="2" t="s">
        <v>34</v>
      </c>
      <c r="M5490" s="12">
        <v>2947.3960000000002</v>
      </c>
      <c r="N5490" s="7">
        <v>60.375</v>
      </c>
      <c r="O5490" s="7">
        <v>53.188000000000002</v>
      </c>
      <c r="P5490" s="2" t="s">
        <v>16933</v>
      </c>
      <c r="Q5490" s="2"/>
      <c r="R5490" s="6">
        <v>60</v>
      </c>
      <c r="S5490" s="5">
        <v>36</v>
      </c>
      <c r="T5490" s="5">
        <v>310</v>
      </c>
      <c r="U5490" s="5">
        <v>-5</v>
      </c>
      <c r="V5490" s="6">
        <v>-1.21</v>
      </c>
      <c r="W5490" s="7">
        <v>26.625</v>
      </c>
      <c r="X5490" s="6">
        <v>25.25</v>
      </c>
      <c r="Y5490" s="9">
        <v>25.9375</v>
      </c>
      <c r="Z5490" s="4">
        <v>49</v>
      </c>
      <c r="AA5490" s="6">
        <v>66.62</v>
      </c>
      <c r="AB5490" s="2" t="s">
        <v>86</v>
      </c>
      <c r="AC5490" s="5">
        <v>400</v>
      </c>
    </row>
    <row r="5491" spans="1:29" ht="104" x14ac:dyDescent="0.15">
      <c r="A5491" s="3">
        <f>DATE(2000,5,24)</f>
        <v>36670</v>
      </c>
      <c r="B5491" s="3">
        <f>DATE(2000,12,22)</f>
        <v>36882</v>
      </c>
      <c r="C5491" s="2" t="s">
        <v>95</v>
      </c>
      <c r="D5491" s="2" t="s">
        <v>16934</v>
      </c>
      <c r="E5491" s="2" t="s">
        <v>263</v>
      </c>
      <c r="F5491" s="4">
        <v>6035</v>
      </c>
      <c r="G5491" s="2" t="s">
        <v>33</v>
      </c>
      <c r="H5491" s="2" t="s">
        <v>34</v>
      </c>
      <c r="I5491" s="2" t="s">
        <v>15033</v>
      </c>
      <c r="J5491" s="2" t="s">
        <v>36</v>
      </c>
      <c r="K5491" s="2" t="s">
        <v>33</v>
      </c>
      <c r="L5491" s="2" t="s">
        <v>34</v>
      </c>
      <c r="M5491" s="7">
        <v>88.302000000000007</v>
      </c>
      <c r="N5491" s="6">
        <v>9.75</v>
      </c>
      <c r="O5491" s="7">
        <v>9.9380000000000006</v>
      </c>
      <c r="P5491" s="2" t="s">
        <v>16935</v>
      </c>
      <c r="Q5491" s="6">
        <v>100</v>
      </c>
      <c r="R5491" s="6">
        <v>10.48</v>
      </c>
      <c r="S5491" s="5">
        <v>7.8</v>
      </c>
      <c r="T5491" s="5">
        <v>12.6</v>
      </c>
      <c r="U5491" s="5">
        <v>9.6</v>
      </c>
      <c r="V5491" s="6">
        <v>1.18</v>
      </c>
      <c r="W5491" s="4">
        <v>10</v>
      </c>
      <c r="X5491" s="4">
        <v>10</v>
      </c>
      <c r="Y5491" s="7">
        <v>10.125</v>
      </c>
      <c r="Z5491" s="7">
        <v>10.375</v>
      </c>
      <c r="AA5491" s="6">
        <v>6.78</v>
      </c>
      <c r="AB5491" s="7">
        <v>58.066000000000003</v>
      </c>
      <c r="AC5491" s="5">
        <v>9.4</v>
      </c>
    </row>
    <row r="5492" spans="1:29" ht="117" x14ac:dyDescent="0.15">
      <c r="A5492" s="3">
        <f>DATE(2000,5,25)</f>
        <v>36671</v>
      </c>
      <c r="B5492" s="3">
        <f>DATE(2000,8,1)</f>
        <v>36739</v>
      </c>
      <c r="C5492" s="2" t="s">
        <v>95</v>
      </c>
      <c r="D5492" s="2" t="s">
        <v>15959</v>
      </c>
      <c r="E5492" s="2" t="s">
        <v>15960</v>
      </c>
      <c r="F5492" s="4">
        <v>3845</v>
      </c>
      <c r="G5492" s="2" t="s">
        <v>226</v>
      </c>
      <c r="H5492" s="2" t="s">
        <v>34</v>
      </c>
      <c r="I5492" s="2" t="s">
        <v>16936</v>
      </c>
      <c r="J5492" s="2" t="s">
        <v>6020</v>
      </c>
      <c r="K5492" s="2" t="s">
        <v>226</v>
      </c>
      <c r="L5492" s="2" t="s">
        <v>34</v>
      </c>
      <c r="M5492" s="2"/>
      <c r="N5492" s="2"/>
      <c r="O5492" s="2"/>
      <c r="P5492" s="2" t="s">
        <v>16937</v>
      </c>
      <c r="Q5492" s="6">
        <v>100</v>
      </c>
      <c r="R5492" s="6">
        <v>16</v>
      </c>
      <c r="S5492" s="5">
        <v>6.9</v>
      </c>
      <c r="T5492" s="7">
        <v>8.4130000000000003</v>
      </c>
      <c r="U5492" s="5">
        <v>6.6</v>
      </c>
      <c r="V5492" s="6">
        <v>0.83</v>
      </c>
      <c r="W5492" s="6">
        <v>12.75</v>
      </c>
      <c r="X5492" s="7">
        <v>13.125</v>
      </c>
      <c r="Y5492" s="7">
        <v>15.688000000000001</v>
      </c>
      <c r="Z5492" s="7">
        <v>15.688000000000001</v>
      </c>
      <c r="AA5492" s="6">
        <v>8.19</v>
      </c>
      <c r="AB5492" s="7">
        <v>19.385000000000002</v>
      </c>
      <c r="AC5492" s="2"/>
    </row>
    <row r="5493" spans="1:29" ht="234" x14ac:dyDescent="0.15">
      <c r="A5493" s="3">
        <f>DATE(2000,5,25)</f>
        <v>36671</v>
      </c>
      <c r="B5493" s="3">
        <f>DATE(2000,8,28)</f>
        <v>36766</v>
      </c>
      <c r="C5493" s="2" t="s">
        <v>95</v>
      </c>
      <c r="D5493" s="2" t="s">
        <v>6333</v>
      </c>
      <c r="E5493" s="2" t="s">
        <v>6334</v>
      </c>
      <c r="F5493" s="4">
        <v>2834</v>
      </c>
      <c r="G5493" s="2" t="s">
        <v>130</v>
      </c>
      <c r="H5493" s="2" t="s">
        <v>34</v>
      </c>
      <c r="I5493" s="2" t="s">
        <v>6055</v>
      </c>
      <c r="J5493" s="2" t="s">
        <v>6056</v>
      </c>
      <c r="K5493" s="2" t="s">
        <v>130</v>
      </c>
      <c r="L5493" s="2" t="s">
        <v>34</v>
      </c>
      <c r="M5493" s="10">
        <v>4218.26</v>
      </c>
      <c r="N5493" s="7">
        <v>41.563000000000002</v>
      </c>
      <c r="O5493" s="7">
        <v>44.188000000000002</v>
      </c>
      <c r="P5493" s="2" t="s">
        <v>16938</v>
      </c>
      <c r="Q5493" s="6">
        <v>100</v>
      </c>
      <c r="R5493" s="6">
        <v>19.5</v>
      </c>
      <c r="S5493" s="5">
        <v>-45.5</v>
      </c>
      <c r="T5493" s="7">
        <v>50.295999999999999</v>
      </c>
      <c r="U5493" s="5">
        <v>1.4</v>
      </c>
      <c r="V5493" s="6">
        <v>-1.39</v>
      </c>
      <c r="W5493" s="6">
        <v>18.75</v>
      </c>
      <c r="X5493" s="7">
        <v>16.812999999999999</v>
      </c>
      <c r="Y5493" s="7">
        <v>20.187999999999999</v>
      </c>
      <c r="Z5493" s="7">
        <v>20.625</v>
      </c>
      <c r="AA5493" s="6">
        <v>33.03</v>
      </c>
      <c r="AB5493" s="7">
        <v>32.790999999999997</v>
      </c>
      <c r="AC5493" s="6">
        <v>315.08999999999997</v>
      </c>
    </row>
    <row r="5494" spans="1:29" ht="169" x14ac:dyDescent="0.15">
      <c r="A5494" s="3">
        <f>DATE(2000,5,26)</f>
        <v>36672</v>
      </c>
      <c r="B5494" s="3">
        <f>DATE(2000,11,17)</f>
        <v>36847</v>
      </c>
      <c r="C5494" s="2" t="s">
        <v>95</v>
      </c>
      <c r="D5494" s="2" t="s">
        <v>16788</v>
      </c>
      <c r="E5494" s="2" t="s">
        <v>16789</v>
      </c>
      <c r="F5494" s="4">
        <v>3612</v>
      </c>
      <c r="G5494" s="2" t="s">
        <v>137</v>
      </c>
      <c r="H5494" s="2" t="s">
        <v>34</v>
      </c>
      <c r="I5494" s="2" t="s">
        <v>13367</v>
      </c>
      <c r="J5494" s="2" t="s">
        <v>13368</v>
      </c>
      <c r="K5494" s="2" t="s">
        <v>163</v>
      </c>
      <c r="L5494" s="2" t="s">
        <v>34</v>
      </c>
      <c r="M5494" s="2"/>
      <c r="N5494" s="2"/>
      <c r="O5494" s="2"/>
      <c r="P5494" s="2" t="s">
        <v>16939</v>
      </c>
      <c r="Q5494" s="6">
        <v>100</v>
      </c>
      <c r="R5494" s="6">
        <v>9</v>
      </c>
      <c r="S5494" s="5">
        <v>3.1</v>
      </c>
      <c r="T5494" s="7">
        <v>9.2739999999999991</v>
      </c>
      <c r="U5494" s="5">
        <v>4.7</v>
      </c>
      <c r="V5494" s="6">
        <v>0.6</v>
      </c>
      <c r="W5494" s="4">
        <v>6</v>
      </c>
      <c r="X5494" s="4">
        <v>6</v>
      </c>
      <c r="Y5494" s="7">
        <v>7.375</v>
      </c>
      <c r="Z5494" s="7">
        <v>7.2809999999999997</v>
      </c>
      <c r="AA5494" s="6">
        <v>5.08</v>
      </c>
      <c r="AB5494" s="7">
        <v>7.7990000000000004</v>
      </c>
      <c r="AC5494" s="2"/>
    </row>
    <row r="5495" spans="1:29" ht="130" x14ac:dyDescent="0.15">
      <c r="A5495" s="3">
        <f>DATE(2000,5,26)</f>
        <v>36672</v>
      </c>
      <c r="B5495" s="3">
        <f>DATE(2000,7,20)</f>
        <v>36727</v>
      </c>
      <c r="C5495" s="2" t="s">
        <v>95</v>
      </c>
      <c r="D5495" s="2" t="s">
        <v>16724</v>
      </c>
      <c r="E5495" s="2" t="s">
        <v>172</v>
      </c>
      <c r="F5495" s="4">
        <v>4213</v>
      </c>
      <c r="G5495" s="2" t="s">
        <v>173</v>
      </c>
      <c r="H5495" s="2" t="s">
        <v>34</v>
      </c>
      <c r="I5495" s="2" t="s">
        <v>16940</v>
      </c>
      <c r="J5495" s="2" t="s">
        <v>302</v>
      </c>
      <c r="K5495" s="2" t="s">
        <v>53</v>
      </c>
      <c r="L5495" s="2" t="s">
        <v>34</v>
      </c>
      <c r="M5495" s="2"/>
      <c r="N5495" s="2"/>
      <c r="O5495" s="2"/>
      <c r="P5495" s="2" t="s">
        <v>16941</v>
      </c>
      <c r="Q5495" s="6">
        <v>100</v>
      </c>
      <c r="R5495" s="6">
        <v>8.0500000000000007</v>
      </c>
      <c r="S5495" s="5">
        <v>-1.3</v>
      </c>
      <c r="T5495" s="7">
        <v>18.977</v>
      </c>
      <c r="U5495" s="5">
        <v>12.2</v>
      </c>
      <c r="V5495" s="6">
        <v>-0.32</v>
      </c>
      <c r="W5495" s="7">
        <v>8.375</v>
      </c>
      <c r="X5495" s="7">
        <v>6.8129999999999997</v>
      </c>
      <c r="Y5495" s="7">
        <v>7.8129999999999997</v>
      </c>
      <c r="Z5495" s="7">
        <v>7.8129999999999997</v>
      </c>
      <c r="AA5495" s="6">
        <v>4.0999999999999996</v>
      </c>
      <c r="AB5495" s="7">
        <v>512.61400000000003</v>
      </c>
      <c r="AC5495" s="2"/>
    </row>
    <row r="5496" spans="1:29" ht="104" x14ac:dyDescent="0.15">
      <c r="A5496" s="3">
        <f>DATE(2000,5,26)</f>
        <v>36672</v>
      </c>
      <c r="B5496" s="2"/>
      <c r="C5496" s="2" t="s">
        <v>30</v>
      </c>
      <c r="D5496" s="2" t="s">
        <v>3069</v>
      </c>
      <c r="E5496" s="2" t="s">
        <v>124</v>
      </c>
      <c r="F5496" s="4">
        <v>6311</v>
      </c>
      <c r="G5496" s="2" t="s">
        <v>125</v>
      </c>
      <c r="H5496" s="2" t="s">
        <v>34</v>
      </c>
      <c r="I5496" s="2" t="s">
        <v>248</v>
      </c>
      <c r="J5496" s="2" t="s">
        <v>249</v>
      </c>
      <c r="K5496" s="2" t="s">
        <v>250</v>
      </c>
      <c r="L5496" s="2" t="s">
        <v>34</v>
      </c>
      <c r="M5496" s="12">
        <v>1289.133</v>
      </c>
      <c r="N5496" s="7">
        <v>25.937999999999999</v>
      </c>
      <c r="O5496" s="7">
        <v>25.937999999999999</v>
      </c>
      <c r="P5496" s="2" t="s">
        <v>16942</v>
      </c>
      <c r="Q5496" s="2"/>
      <c r="R5496" s="6">
        <v>2.56</v>
      </c>
      <c r="S5496" s="5">
        <v>-149.5</v>
      </c>
      <c r="T5496" s="2"/>
      <c r="U5496" s="5">
        <v>6.5</v>
      </c>
      <c r="V5496" s="6">
        <v>-1.3</v>
      </c>
      <c r="W5496" s="7">
        <v>2.4380000000000002</v>
      </c>
      <c r="X5496" s="7">
        <v>2.375</v>
      </c>
      <c r="Y5496" s="9">
        <v>2.5625</v>
      </c>
      <c r="Z5496" s="9">
        <v>2.5625</v>
      </c>
      <c r="AA5496" s="6">
        <v>114.84</v>
      </c>
      <c r="AB5496" s="2" t="s">
        <v>86</v>
      </c>
      <c r="AC5496" s="5">
        <v>197.5</v>
      </c>
    </row>
    <row r="5497" spans="1:29" ht="312" x14ac:dyDescent="0.15">
      <c r="A5497" s="3">
        <f>DATE(2000,5,26)</f>
        <v>36672</v>
      </c>
      <c r="B5497" s="3">
        <f>DATE(2000,8,29)</f>
        <v>36767</v>
      </c>
      <c r="C5497" s="2" t="s">
        <v>95</v>
      </c>
      <c r="D5497" s="2" t="s">
        <v>16943</v>
      </c>
      <c r="E5497" s="2" t="s">
        <v>612</v>
      </c>
      <c r="F5497" s="4">
        <v>1311</v>
      </c>
      <c r="G5497" s="2" t="s">
        <v>148</v>
      </c>
      <c r="H5497" s="2" t="s">
        <v>34</v>
      </c>
      <c r="I5497" s="2" t="s">
        <v>16944</v>
      </c>
      <c r="J5497" s="2" t="s">
        <v>1435</v>
      </c>
      <c r="K5497" s="2" t="s">
        <v>148</v>
      </c>
      <c r="L5497" s="2" t="s">
        <v>34</v>
      </c>
      <c r="M5497" s="12">
        <v>4167.384</v>
      </c>
      <c r="N5497" s="7">
        <v>55.625</v>
      </c>
      <c r="O5497" s="7">
        <v>55.625</v>
      </c>
      <c r="P5497" s="2" t="s">
        <v>16945</v>
      </c>
      <c r="Q5497" s="6">
        <v>100</v>
      </c>
      <c r="R5497" s="6">
        <v>12.91</v>
      </c>
      <c r="S5497" s="5">
        <v>-77.900000000000006</v>
      </c>
      <c r="T5497" s="5">
        <v>383.2</v>
      </c>
      <c r="U5497" s="5">
        <v>4.2</v>
      </c>
      <c r="V5497" s="6">
        <v>-0.5</v>
      </c>
      <c r="W5497" s="7">
        <v>10.938000000000001</v>
      </c>
      <c r="X5497" s="4">
        <v>11</v>
      </c>
      <c r="Y5497" s="7">
        <v>11.813000000000001</v>
      </c>
      <c r="Z5497" s="7">
        <v>11.813000000000001</v>
      </c>
      <c r="AA5497" s="6">
        <v>182.3</v>
      </c>
      <c r="AB5497" s="7">
        <v>20.006</v>
      </c>
      <c r="AC5497" s="6">
        <v>49.79</v>
      </c>
    </row>
    <row r="5498" spans="1:29" ht="91" x14ac:dyDescent="0.15">
      <c r="A5498" s="3">
        <f>DATE(2000,5,29)</f>
        <v>36675</v>
      </c>
      <c r="B5498" s="3">
        <f>DATE(2000,9,14)</f>
        <v>36783</v>
      </c>
      <c r="C5498" s="2" t="s">
        <v>95</v>
      </c>
      <c r="D5498" s="2" t="s">
        <v>16946</v>
      </c>
      <c r="E5498" s="2" t="s">
        <v>16947</v>
      </c>
      <c r="F5498" s="4">
        <v>3052</v>
      </c>
      <c r="G5498" s="2" t="s">
        <v>447</v>
      </c>
      <c r="H5498" s="2" t="s">
        <v>34</v>
      </c>
      <c r="I5498" s="2" t="s">
        <v>51</v>
      </c>
      <c r="J5498" s="2" t="s">
        <v>52</v>
      </c>
      <c r="K5498" s="2" t="s">
        <v>53</v>
      </c>
      <c r="L5498" s="2" t="s">
        <v>303</v>
      </c>
      <c r="M5498" s="2"/>
      <c r="N5498" s="2"/>
      <c r="O5498" s="2"/>
      <c r="P5498" s="2" t="s">
        <v>16948</v>
      </c>
      <c r="Q5498" s="6">
        <v>100</v>
      </c>
      <c r="R5498" s="6">
        <v>23</v>
      </c>
      <c r="S5498" s="5">
        <v>88.1</v>
      </c>
      <c r="T5498" s="5">
        <v>278.89999999999998</v>
      </c>
      <c r="U5498" s="5">
        <v>10.8</v>
      </c>
      <c r="V5498" s="6">
        <v>1.67</v>
      </c>
      <c r="W5498" s="7">
        <v>21.125</v>
      </c>
      <c r="X5498" s="7">
        <v>21.125</v>
      </c>
      <c r="Y5498" s="6">
        <v>23.25</v>
      </c>
      <c r="Z5498" s="7">
        <v>23.375</v>
      </c>
      <c r="AA5498" s="6">
        <v>44.3</v>
      </c>
      <c r="AB5498" s="7">
        <v>11.074999999999999</v>
      </c>
      <c r="AC5498" s="2"/>
    </row>
    <row r="5499" spans="1:29" ht="130" x14ac:dyDescent="0.15">
      <c r="A5499" s="3">
        <f>DATE(2000,5,29)</f>
        <v>36675</v>
      </c>
      <c r="B5499" s="3">
        <f>DATE(2000,9,1)</f>
        <v>36770</v>
      </c>
      <c r="C5499" s="2" t="s">
        <v>95</v>
      </c>
      <c r="D5499" s="2" t="s">
        <v>16949</v>
      </c>
      <c r="E5499" s="2" t="s">
        <v>12961</v>
      </c>
      <c r="F5499" s="4">
        <v>3845</v>
      </c>
      <c r="G5499" s="2" t="s">
        <v>226</v>
      </c>
      <c r="H5499" s="2" t="s">
        <v>34</v>
      </c>
      <c r="I5499" s="2" t="s">
        <v>16950</v>
      </c>
      <c r="J5499" s="2" t="s">
        <v>16951</v>
      </c>
      <c r="K5499" s="2" t="s">
        <v>226</v>
      </c>
      <c r="L5499" s="2" t="s">
        <v>34</v>
      </c>
      <c r="M5499" s="2"/>
      <c r="N5499" s="2"/>
      <c r="O5499" s="2"/>
      <c r="P5499" s="2" t="s">
        <v>16952</v>
      </c>
      <c r="Q5499" s="6">
        <v>100</v>
      </c>
      <c r="R5499" s="6">
        <v>19</v>
      </c>
      <c r="S5499" s="5">
        <v>-37.799999999999997</v>
      </c>
      <c r="T5499" s="7">
        <v>1.145</v>
      </c>
      <c r="U5499" s="5">
        <v>4.8</v>
      </c>
      <c r="V5499" s="6">
        <v>-0.93</v>
      </c>
      <c r="W5499" s="7">
        <v>12.125</v>
      </c>
      <c r="X5499" s="5">
        <v>18.5</v>
      </c>
      <c r="Y5499" s="5">
        <v>18.5</v>
      </c>
      <c r="Z5499" s="7">
        <v>18.562999999999999</v>
      </c>
      <c r="AA5499" s="6">
        <v>47.03</v>
      </c>
      <c r="AB5499" s="2" t="s">
        <v>86</v>
      </c>
      <c r="AC5499" s="2"/>
    </row>
    <row r="5500" spans="1:29" ht="247" x14ac:dyDescent="0.15">
      <c r="A5500" s="3">
        <f>DATE(2000,5,29)</f>
        <v>36675</v>
      </c>
      <c r="B5500" s="3">
        <f>DATE(2000,10,3)</f>
        <v>36802</v>
      </c>
      <c r="C5500" s="2" t="s">
        <v>95</v>
      </c>
      <c r="D5500" s="2" t="s">
        <v>16567</v>
      </c>
      <c r="E5500" s="2" t="s">
        <v>16568</v>
      </c>
      <c r="F5500" s="4">
        <v>3851</v>
      </c>
      <c r="G5500" s="2" t="s">
        <v>226</v>
      </c>
      <c r="H5500" s="2" t="s">
        <v>34</v>
      </c>
      <c r="I5500" s="2" t="s">
        <v>16953</v>
      </c>
      <c r="J5500" s="2" t="s">
        <v>16954</v>
      </c>
      <c r="K5500" s="2" t="s">
        <v>226</v>
      </c>
      <c r="L5500" s="2" t="s">
        <v>34</v>
      </c>
      <c r="M5500" s="2"/>
      <c r="N5500" s="2"/>
      <c r="O5500" s="2"/>
      <c r="P5500" s="2" t="s">
        <v>16955</v>
      </c>
      <c r="Q5500" s="6">
        <v>100</v>
      </c>
      <c r="R5500" s="6">
        <v>38.5</v>
      </c>
      <c r="S5500" s="5">
        <v>37.200000000000003</v>
      </c>
      <c r="T5500" s="7">
        <v>64.634</v>
      </c>
      <c r="U5500" s="5">
        <v>5.7</v>
      </c>
      <c r="V5500" s="6">
        <v>1.98</v>
      </c>
      <c r="W5500" s="4">
        <v>25</v>
      </c>
      <c r="X5500" s="7">
        <v>24.875</v>
      </c>
      <c r="Y5500" s="7">
        <v>33.438000000000002</v>
      </c>
      <c r="Z5500" s="5">
        <v>35.5</v>
      </c>
      <c r="AA5500" s="6">
        <v>17.66</v>
      </c>
      <c r="AB5500" s="7">
        <v>13.696</v>
      </c>
      <c r="AC5500" s="2"/>
    </row>
    <row r="5501" spans="1:29" ht="117" x14ac:dyDescent="0.15">
      <c r="A5501" s="3">
        <f>DATE(2000,5,30)</f>
        <v>36676</v>
      </c>
      <c r="B5501" s="2"/>
      <c r="C5501" s="2" t="s">
        <v>30</v>
      </c>
      <c r="D5501" s="2" t="s">
        <v>16956</v>
      </c>
      <c r="E5501" s="2" t="s">
        <v>16957</v>
      </c>
      <c r="F5501" s="4">
        <v>2836</v>
      </c>
      <c r="G5501" s="2" t="s">
        <v>130</v>
      </c>
      <c r="H5501" s="2" t="s">
        <v>34</v>
      </c>
      <c r="I5501" s="2" t="s">
        <v>16958</v>
      </c>
      <c r="J5501" s="2" t="s">
        <v>6378</v>
      </c>
      <c r="K5501" s="2" t="s">
        <v>130</v>
      </c>
      <c r="L5501" s="2" t="s">
        <v>34</v>
      </c>
      <c r="M5501" s="7">
        <v>424.572</v>
      </c>
      <c r="N5501" s="7">
        <v>14.125</v>
      </c>
      <c r="O5501" s="4">
        <v>14</v>
      </c>
      <c r="P5501" s="2" t="s">
        <v>16959</v>
      </c>
      <c r="Q5501" s="2"/>
      <c r="R5501" s="6">
        <v>21.39</v>
      </c>
      <c r="S5501" s="5">
        <v>-0.7</v>
      </c>
      <c r="T5501" s="5">
        <v>-1.6</v>
      </c>
      <c r="U5501" s="5">
        <v>2.8</v>
      </c>
      <c r="V5501" s="6">
        <v>-0.08</v>
      </c>
      <c r="W5501" s="6">
        <v>16.75</v>
      </c>
      <c r="X5501" s="7">
        <v>16.375</v>
      </c>
      <c r="Y5501" s="6">
        <v>18.75</v>
      </c>
      <c r="Z5501" s="6">
        <v>18.75</v>
      </c>
      <c r="AA5501" s="6">
        <v>9.51</v>
      </c>
      <c r="AB5501" s="2" t="s">
        <v>86</v>
      </c>
      <c r="AC5501" s="5">
        <v>8.8000000000000007</v>
      </c>
    </row>
    <row r="5502" spans="1:29" ht="221" x14ac:dyDescent="0.15">
      <c r="A5502" s="3">
        <f>DATE(2000,5,30)</f>
        <v>36676</v>
      </c>
      <c r="B5502" s="3">
        <f>DATE(2000,7,14)</f>
        <v>36721</v>
      </c>
      <c r="C5502" s="2" t="s">
        <v>95</v>
      </c>
      <c r="D5502" s="2" t="s">
        <v>16960</v>
      </c>
      <c r="E5502" s="2" t="s">
        <v>707</v>
      </c>
      <c r="F5502" s="4">
        <v>2341</v>
      </c>
      <c r="G5502" s="2" t="s">
        <v>708</v>
      </c>
      <c r="H5502" s="2" t="s">
        <v>34</v>
      </c>
      <c r="I5502" s="2" t="s">
        <v>16961</v>
      </c>
      <c r="J5502" s="2" t="s">
        <v>16962</v>
      </c>
      <c r="K5502" s="2" t="s">
        <v>186</v>
      </c>
      <c r="L5502" s="2" t="s">
        <v>34</v>
      </c>
      <c r="M5502" s="7">
        <v>219.517</v>
      </c>
      <c r="N5502" s="5">
        <v>15.5</v>
      </c>
      <c r="O5502" s="6">
        <v>14.75</v>
      </c>
      <c r="P5502" s="2" t="s">
        <v>16963</v>
      </c>
      <c r="Q5502" s="6">
        <v>100</v>
      </c>
      <c r="R5502" s="6">
        <v>13.5</v>
      </c>
      <c r="S5502" s="5">
        <v>1.6</v>
      </c>
      <c r="T5502" s="7">
        <v>5.0220000000000002</v>
      </c>
      <c r="U5502" s="5">
        <v>8.6</v>
      </c>
      <c r="V5502" s="6">
        <v>0.63</v>
      </c>
      <c r="W5502" s="5">
        <v>9.5</v>
      </c>
      <c r="X5502" s="7">
        <v>9.875</v>
      </c>
      <c r="Y5502" s="7">
        <v>13.125</v>
      </c>
      <c r="Z5502" s="7">
        <v>13.188000000000001</v>
      </c>
      <c r="AA5502" s="6">
        <v>2.57</v>
      </c>
      <c r="AB5502" s="7">
        <v>9.2219999999999995</v>
      </c>
      <c r="AC5502" s="5">
        <v>9.8000000000000007</v>
      </c>
    </row>
    <row r="5503" spans="1:29" ht="78" x14ac:dyDescent="0.15">
      <c r="A5503" s="3">
        <f>DATE(2000,5,30)</f>
        <v>36676</v>
      </c>
      <c r="B5503" s="3">
        <f>DATE(2001,4,1)</f>
        <v>36982</v>
      </c>
      <c r="C5503" s="2" t="s">
        <v>95</v>
      </c>
      <c r="D5503" s="2" t="s">
        <v>16964</v>
      </c>
      <c r="E5503" s="2" t="s">
        <v>302</v>
      </c>
      <c r="F5503" s="4">
        <v>6799</v>
      </c>
      <c r="G5503" s="2" t="s">
        <v>53</v>
      </c>
      <c r="H5503" s="2" t="s">
        <v>34</v>
      </c>
      <c r="I5503" s="2" t="s">
        <v>10090</v>
      </c>
      <c r="J5503" s="2" t="s">
        <v>441</v>
      </c>
      <c r="K5503" s="2" t="s">
        <v>439</v>
      </c>
      <c r="L5503" s="2" t="s">
        <v>34</v>
      </c>
      <c r="M5503" s="7">
        <v>778.11400000000003</v>
      </c>
      <c r="N5503" s="7">
        <v>31.687999999999999</v>
      </c>
      <c r="O5503" s="6">
        <v>31.25</v>
      </c>
      <c r="P5503" s="2" t="s">
        <v>16965</v>
      </c>
      <c r="Q5503" s="6">
        <v>100</v>
      </c>
      <c r="R5503" s="6">
        <v>55.79</v>
      </c>
      <c r="S5503" s="2"/>
      <c r="T5503" s="2"/>
      <c r="U5503" s="2"/>
      <c r="V5503" s="2"/>
      <c r="W5503" s="4">
        <v>23</v>
      </c>
      <c r="X5503" s="4">
        <v>23</v>
      </c>
      <c r="Y5503" s="4">
        <v>23</v>
      </c>
      <c r="Z5503" s="4">
        <v>23</v>
      </c>
      <c r="AA5503" s="6">
        <v>1.02</v>
      </c>
      <c r="AB5503" s="2" t="s">
        <v>47</v>
      </c>
      <c r="AC5503" s="6">
        <v>16.77</v>
      </c>
    </row>
    <row r="5504" spans="1:29" ht="221" x14ac:dyDescent="0.15">
      <c r="A5504" s="3">
        <f>DATE(2000,5,31)</f>
        <v>36677</v>
      </c>
      <c r="B5504" s="3">
        <f>DATE(2000,11,13)</f>
        <v>36843</v>
      </c>
      <c r="C5504" s="2" t="s">
        <v>95</v>
      </c>
      <c r="D5504" s="2" t="s">
        <v>16966</v>
      </c>
      <c r="E5504" s="2" t="s">
        <v>389</v>
      </c>
      <c r="F5504" s="4">
        <v>6035</v>
      </c>
      <c r="G5504" s="2" t="s">
        <v>33</v>
      </c>
      <c r="H5504" s="2" t="s">
        <v>34</v>
      </c>
      <c r="I5504" s="2" t="s">
        <v>4343</v>
      </c>
      <c r="J5504" s="2" t="s">
        <v>36</v>
      </c>
      <c r="K5504" s="2" t="s">
        <v>33</v>
      </c>
      <c r="L5504" s="2" t="s">
        <v>34</v>
      </c>
      <c r="M5504" s="7">
        <v>35.408000000000001</v>
      </c>
      <c r="N5504" s="7">
        <v>9.875</v>
      </c>
      <c r="O5504" s="7">
        <v>9.875</v>
      </c>
      <c r="P5504" s="2" t="s">
        <v>16967</v>
      </c>
      <c r="Q5504" s="6">
        <v>100</v>
      </c>
      <c r="R5504" s="6">
        <v>8.08</v>
      </c>
      <c r="S5504" s="5">
        <v>1.3</v>
      </c>
      <c r="T5504" s="7">
        <v>2.0419999999999998</v>
      </c>
      <c r="U5504" s="5">
        <v>4.3</v>
      </c>
      <c r="V5504" s="6">
        <v>0.55000000000000004</v>
      </c>
      <c r="W5504" s="7">
        <v>8.1720000000000006</v>
      </c>
      <c r="X5504" s="7">
        <v>8.1720000000000006</v>
      </c>
      <c r="Y5504" s="4">
        <v>8</v>
      </c>
      <c r="Z5504" s="4">
        <v>8</v>
      </c>
      <c r="AA5504" s="6">
        <v>1.43</v>
      </c>
      <c r="AB5504" s="7">
        <v>12.117000000000001</v>
      </c>
      <c r="AC5504" s="2"/>
    </row>
    <row r="5505" spans="1:29" ht="117" x14ac:dyDescent="0.15">
      <c r="A5505" s="3">
        <f>DATE(2000,6,1)</f>
        <v>36678</v>
      </c>
      <c r="B5505" s="3">
        <f>DATE(2000,8,16)</f>
        <v>36754</v>
      </c>
      <c r="C5505" s="2" t="s">
        <v>95</v>
      </c>
      <c r="D5505" s="2" t="s">
        <v>16968</v>
      </c>
      <c r="E5505" s="2" t="s">
        <v>16969</v>
      </c>
      <c r="F5505" s="4">
        <v>3829</v>
      </c>
      <c r="G5505" s="2" t="s">
        <v>226</v>
      </c>
      <c r="H5505" s="2" t="s">
        <v>34</v>
      </c>
      <c r="I5505" s="2" t="s">
        <v>16970</v>
      </c>
      <c r="J5505" s="2" t="s">
        <v>16971</v>
      </c>
      <c r="K5505" s="2" t="s">
        <v>226</v>
      </c>
      <c r="L5505" s="2" t="s">
        <v>34</v>
      </c>
      <c r="M5505" s="10">
        <v>6918.95</v>
      </c>
      <c r="N5505" s="7">
        <v>37.688000000000002</v>
      </c>
      <c r="O5505" s="7">
        <v>36.563000000000002</v>
      </c>
      <c r="P5505" s="2" t="s">
        <v>16972</v>
      </c>
      <c r="Q5505" s="6">
        <v>100</v>
      </c>
      <c r="R5505" s="2"/>
      <c r="S5505" s="5">
        <v>-1.5</v>
      </c>
      <c r="T5505" s="7">
        <v>-0.82699999999999996</v>
      </c>
      <c r="U5505" s="5">
        <v>0.1</v>
      </c>
      <c r="V5505" s="6">
        <v>-0.38</v>
      </c>
      <c r="W5505" s="7">
        <v>0.67200000000000004</v>
      </c>
      <c r="X5505" s="4">
        <v>1</v>
      </c>
      <c r="Y5505" s="7">
        <v>0.875</v>
      </c>
      <c r="Z5505" s="7">
        <v>1.9690000000000001</v>
      </c>
      <c r="AA5505" s="6">
        <v>4.07</v>
      </c>
      <c r="AB5505" s="2" t="s">
        <v>86</v>
      </c>
      <c r="AC5505" s="5">
        <v>64.7</v>
      </c>
    </row>
    <row r="5506" spans="1:29" ht="156" x14ac:dyDescent="0.15">
      <c r="A5506" s="3">
        <f>DATE(2000,6,2)</f>
        <v>36679</v>
      </c>
      <c r="B5506" s="2"/>
      <c r="C5506" s="2" t="s">
        <v>30</v>
      </c>
      <c r="D5506" s="2" t="s">
        <v>15323</v>
      </c>
      <c r="E5506" s="2" t="s">
        <v>15324</v>
      </c>
      <c r="F5506" s="4">
        <v>3827</v>
      </c>
      <c r="G5506" s="2" t="s">
        <v>226</v>
      </c>
      <c r="H5506" s="2" t="s">
        <v>34</v>
      </c>
      <c r="I5506" s="2" t="s">
        <v>16973</v>
      </c>
      <c r="J5506" s="2" t="s">
        <v>16974</v>
      </c>
      <c r="K5506" s="2" t="s">
        <v>163</v>
      </c>
      <c r="L5506" s="2" t="s">
        <v>926</v>
      </c>
      <c r="M5506" s="2"/>
      <c r="N5506" s="2"/>
      <c r="O5506" s="2"/>
      <c r="P5506" s="2" t="s">
        <v>16975</v>
      </c>
      <c r="Q5506" s="2"/>
      <c r="R5506" s="6">
        <v>4.55</v>
      </c>
      <c r="S5506" s="5">
        <v>3.3</v>
      </c>
      <c r="T5506" s="5">
        <v>4.7</v>
      </c>
      <c r="U5506" s="5">
        <v>1.4</v>
      </c>
      <c r="V5506" s="6">
        <v>0.39</v>
      </c>
      <c r="W5506" s="7">
        <v>2.0630000000000002</v>
      </c>
      <c r="X5506" s="7">
        <v>2.5630000000000002</v>
      </c>
      <c r="Y5506" s="6">
        <v>3.75</v>
      </c>
      <c r="Z5506" s="7">
        <v>4.0629999999999997</v>
      </c>
      <c r="AA5506" s="6">
        <v>9.6199999999999992</v>
      </c>
      <c r="AB5506" s="7">
        <v>12.061999999999999</v>
      </c>
      <c r="AC5506" s="6">
        <v>128.68</v>
      </c>
    </row>
    <row r="5507" spans="1:29" ht="130" x14ac:dyDescent="0.15">
      <c r="A5507" s="3">
        <f>DATE(2000,6,2)</f>
        <v>36679</v>
      </c>
      <c r="B5507" s="3">
        <f>DATE(2000,8,8)</f>
        <v>36746</v>
      </c>
      <c r="C5507" s="2" t="s">
        <v>95</v>
      </c>
      <c r="D5507" s="2" t="s">
        <v>16976</v>
      </c>
      <c r="E5507" s="2" t="s">
        <v>16977</v>
      </c>
      <c r="F5507" s="4">
        <v>3845</v>
      </c>
      <c r="G5507" s="2" t="s">
        <v>226</v>
      </c>
      <c r="H5507" s="2" t="s">
        <v>34</v>
      </c>
      <c r="I5507" s="2" t="s">
        <v>12170</v>
      </c>
      <c r="J5507" s="2" t="s">
        <v>12171</v>
      </c>
      <c r="K5507" s="2" t="s">
        <v>226</v>
      </c>
      <c r="L5507" s="2" t="s">
        <v>34</v>
      </c>
      <c r="M5507" s="2"/>
      <c r="N5507" s="2"/>
      <c r="O5507" s="2"/>
      <c r="P5507" s="2" t="s">
        <v>16978</v>
      </c>
      <c r="Q5507" s="6">
        <v>100</v>
      </c>
      <c r="R5507" s="6">
        <v>16.87</v>
      </c>
      <c r="S5507" s="5">
        <v>7.4</v>
      </c>
      <c r="T5507" s="7">
        <v>9.6690000000000005</v>
      </c>
      <c r="U5507" s="5">
        <v>9.5</v>
      </c>
      <c r="V5507" s="6">
        <v>0.85</v>
      </c>
      <c r="W5507" s="7">
        <v>10.938000000000001</v>
      </c>
      <c r="X5507" s="7">
        <v>11.125</v>
      </c>
      <c r="Y5507" s="7">
        <v>16.375</v>
      </c>
      <c r="Z5507" s="7">
        <v>16.437999999999999</v>
      </c>
      <c r="AA5507" s="6">
        <v>8.57</v>
      </c>
      <c r="AB5507" s="7">
        <v>19.585999999999999</v>
      </c>
      <c r="AC5507" s="2"/>
    </row>
    <row r="5508" spans="1:29" ht="65" x14ac:dyDescent="0.15">
      <c r="A5508" s="3">
        <f>DATE(2000,6,2)</f>
        <v>36679</v>
      </c>
      <c r="B5508" s="2"/>
      <c r="C5508" s="2" t="s">
        <v>87</v>
      </c>
      <c r="D5508" s="2" t="s">
        <v>1818</v>
      </c>
      <c r="E5508" s="2" t="s">
        <v>58</v>
      </c>
      <c r="F5508" s="4">
        <v>4512</v>
      </c>
      <c r="G5508" s="2" t="s">
        <v>59</v>
      </c>
      <c r="H5508" s="2" t="s">
        <v>34</v>
      </c>
      <c r="I5508" s="2" t="s">
        <v>6903</v>
      </c>
      <c r="J5508" s="2" t="s">
        <v>58</v>
      </c>
      <c r="K5508" s="2" t="s">
        <v>59</v>
      </c>
      <c r="L5508" s="2" t="s">
        <v>34</v>
      </c>
      <c r="M5508" s="2"/>
      <c r="N5508" s="2"/>
      <c r="O5508" s="2"/>
      <c r="P5508" s="2" t="s">
        <v>16979</v>
      </c>
      <c r="Q5508" s="2"/>
      <c r="R5508" s="2"/>
      <c r="S5508" s="5">
        <v>332</v>
      </c>
      <c r="T5508" s="8">
        <v>1089</v>
      </c>
      <c r="U5508" s="5">
        <v>-0.6</v>
      </c>
      <c r="V5508" s="6">
        <v>3.59</v>
      </c>
      <c r="W5508" s="7">
        <v>27.375</v>
      </c>
      <c r="X5508" s="7">
        <v>29.062999999999999</v>
      </c>
      <c r="Y5508" s="9">
        <v>35.4375</v>
      </c>
      <c r="Z5508" s="4">
        <v>35</v>
      </c>
      <c r="AA5508" s="6">
        <v>84.65</v>
      </c>
      <c r="AB5508" s="2" t="s">
        <v>47</v>
      </c>
      <c r="AC5508" s="8">
        <v>1907</v>
      </c>
    </row>
    <row r="5509" spans="1:29" ht="169" x14ac:dyDescent="0.15">
      <c r="A5509" s="3">
        <f>DATE(2000,6,2)</f>
        <v>36679</v>
      </c>
      <c r="B5509" s="3">
        <f>DATE(2000,9,19)</f>
        <v>36788</v>
      </c>
      <c r="C5509" s="2" t="s">
        <v>95</v>
      </c>
      <c r="D5509" s="2" t="s">
        <v>16980</v>
      </c>
      <c r="E5509" s="2" t="s">
        <v>7684</v>
      </c>
      <c r="F5509" s="4">
        <v>5411</v>
      </c>
      <c r="G5509" s="2" t="s">
        <v>1461</v>
      </c>
      <c r="H5509" s="2" t="s">
        <v>34</v>
      </c>
      <c r="I5509" s="2" t="s">
        <v>1558</v>
      </c>
      <c r="J5509" s="2" t="s">
        <v>52</v>
      </c>
      <c r="K5509" s="2" t="s">
        <v>53</v>
      </c>
      <c r="L5509" s="2" t="s">
        <v>34</v>
      </c>
      <c r="M5509" s="2"/>
      <c r="N5509" s="2"/>
      <c r="O5509" s="2"/>
      <c r="P5509" s="2" t="s">
        <v>16981</v>
      </c>
      <c r="Q5509" s="6">
        <v>100</v>
      </c>
      <c r="R5509" s="2"/>
      <c r="S5509" s="5">
        <v>-31.9</v>
      </c>
      <c r="T5509" s="5">
        <v>216.6</v>
      </c>
      <c r="U5509" s="8">
        <v>-1343.1</v>
      </c>
      <c r="V5509" s="6">
        <v>-65.400000000000006</v>
      </c>
      <c r="W5509" s="7">
        <v>19.625</v>
      </c>
      <c r="X5509" s="6">
        <v>19.75</v>
      </c>
      <c r="Y5509" s="6">
        <v>19.75</v>
      </c>
      <c r="Z5509" s="4">
        <v>20</v>
      </c>
      <c r="AA5509" s="6">
        <v>30</v>
      </c>
      <c r="AB5509" s="7">
        <v>15.920999999999999</v>
      </c>
      <c r="AC5509" s="2"/>
    </row>
    <row r="5510" spans="1:29" ht="117" x14ac:dyDescent="0.15">
      <c r="A5510" s="3">
        <f>DATE(2000,6,2)</f>
        <v>36679</v>
      </c>
      <c r="B5510" s="3">
        <f>DATE(2000,11,9)</f>
        <v>36839</v>
      </c>
      <c r="C5510" s="2" t="s">
        <v>95</v>
      </c>
      <c r="D5510" s="2" t="s">
        <v>16982</v>
      </c>
      <c r="E5510" s="2" t="s">
        <v>16983</v>
      </c>
      <c r="F5510" s="4">
        <v>6036</v>
      </c>
      <c r="G5510" s="2" t="s">
        <v>33</v>
      </c>
      <c r="H5510" s="2" t="s">
        <v>34</v>
      </c>
      <c r="I5510" s="2" t="s">
        <v>16984</v>
      </c>
      <c r="J5510" s="2" t="s">
        <v>263</v>
      </c>
      <c r="K5510" s="2" t="s">
        <v>37</v>
      </c>
      <c r="L5510" s="2" t="s">
        <v>34</v>
      </c>
      <c r="M5510" s="7">
        <v>52.750999999999998</v>
      </c>
      <c r="N5510" s="7">
        <v>9.6880000000000006</v>
      </c>
      <c r="O5510" s="5">
        <v>10.5</v>
      </c>
      <c r="P5510" s="2" t="s">
        <v>16985</v>
      </c>
      <c r="Q5510" s="6">
        <v>100</v>
      </c>
      <c r="R5510" s="6">
        <v>17.5</v>
      </c>
      <c r="S5510" s="5">
        <v>1</v>
      </c>
      <c r="T5510" s="2"/>
      <c r="U5510" s="5">
        <v>14.3</v>
      </c>
      <c r="V5510" s="9">
        <v>0.66949999999999998</v>
      </c>
      <c r="W5510" s="6">
        <v>10.75</v>
      </c>
      <c r="X5510" s="7">
        <v>10.875</v>
      </c>
      <c r="Y5510" s="7">
        <v>16.562999999999999</v>
      </c>
      <c r="Z5510" s="7">
        <v>16.625</v>
      </c>
      <c r="AA5510" s="6">
        <v>1.36</v>
      </c>
      <c r="AB5510" s="2" t="s">
        <v>86</v>
      </c>
      <c r="AC5510" s="5">
        <v>4.2</v>
      </c>
    </row>
    <row r="5511" spans="1:29" ht="117" x14ac:dyDescent="0.15">
      <c r="A5511" s="3">
        <f>DATE(2000,6,5)</f>
        <v>36682</v>
      </c>
      <c r="B5511" s="3">
        <f>DATE(2000,9,28)</f>
        <v>36797</v>
      </c>
      <c r="C5511" s="2" t="s">
        <v>95</v>
      </c>
      <c r="D5511" s="2" t="s">
        <v>8043</v>
      </c>
      <c r="E5511" s="2" t="s">
        <v>229</v>
      </c>
      <c r="F5511" s="4">
        <v>5812</v>
      </c>
      <c r="G5511" s="2" t="s">
        <v>230</v>
      </c>
      <c r="H5511" s="2" t="s">
        <v>34</v>
      </c>
      <c r="I5511" s="2" t="s">
        <v>51</v>
      </c>
      <c r="J5511" s="2" t="s">
        <v>52</v>
      </c>
      <c r="K5511" s="2" t="s">
        <v>53</v>
      </c>
      <c r="L5511" s="2" t="s">
        <v>34</v>
      </c>
      <c r="M5511" s="2"/>
      <c r="N5511" s="2"/>
      <c r="O5511" s="2"/>
      <c r="P5511" s="2" t="s">
        <v>16986</v>
      </c>
      <c r="Q5511" s="6">
        <v>100</v>
      </c>
      <c r="R5511" s="6">
        <v>13.85</v>
      </c>
      <c r="S5511" s="5">
        <v>45.6</v>
      </c>
      <c r="T5511" s="5">
        <v>112.4</v>
      </c>
      <c r="U5511" s="5">
        <v>7.7</v>
      </c>
      <c r="V5511" s="6">
        <v>1.04</v>
      </c>
      <c r="W5511" s="7">
        <v>10.875</v>
      </c>
      <c r="X5511" s="7">
        <v>12.125</v>
      </c>
      <c r="Y5511" s="7">
        <v>12.875</v>
      </c>
      <c r="Z5511" s="7">
        <v>12.813000000000001</v>
      </c>
      <c r="AA5511" s="6">
        <v>41.58</v>
      </c>
      <c r="AB5511" s="7">
        <v>8.5790000000000006</v>
      </c>
      <c r="AC5511" s="2"/>
    </row>
    <row r="5512" spans="1:29" ht="78" x14ac:dyDescent="0.15">
      <c r="A5512" s="3">
        <f>DATE(2000,6,5)</f>
        <v>36682</v>
      </c>
      <c r="B5512" s="2"/>
      <c r="C5512" s="2" t="s">
        <v>30</v>
      </c>
      <c r="D5512" s="2" t="s">
        <v>16987</v>
      </c>
      <c r="E5512" s="2" t="s">
        <v>16988</v>
      </c>
      <c r="F5512" s="4">
        <v>7299</v>
      </c>
      <c r="G5512" s="2" t="s">
        <v>1517</v>
      </c>
      <c r="H5512" s="2" t="s">
        <v>34</v>
      </c>
      <c r="I5512" s="2" t="s">
        <v>16989</v>
      </c>
      <c r="J5512" s="2" t="s">
        <v>16990</v>
      </c>
      <c r="K5512" s="2" t="s">
        <v>454</v>
      </c>
      <c r="L5512" s="2" t="s">
        <v>34</v>
      </c>
      <c r="M5512" s="2"/>
      <c r="N5512" s="2"/>
      <c r="O5512" s="2"/>
      <c r="P5512" s="2" t="s">
        <v>16991</v>
      </c>
      <c r="Q5512" s="2"/>
      <c r="R5512" s="6">
        <v>3.75</v>
      </c>
      <c r="S5512" s="5">
        <v>-13.5</v>
      </c>
      <c r="T5512" s="5">
        <v>0.3</v>
      </c>
      <c r="U5512" s="5">
        <v>2.2999999999999998</v>
      </c>
      <c r="V5512" s="6">
        <v>-0.65</v>
      </c>
      <c r="W5512" s="5">
        <v>1.5</v>
      </c>
      <c r="X5512" s="6">
        <v>1.75</v>
      </c>
      <c r="Y5512" s="7">
        <v>3.125</v>
      </c>
      <c r="Z5512" s="9">
        <v>3.3125</v>
      </c>
      <c r="AA5512" s="6">
        <v>20.69</v>
      </c>
      <c r="AB5512" s="2" t="s">
        <v>86</v>
      </c>
      <c r="AC5512" s="2"/>
    </row>
    <row r="5513" spans="1:29" ht="169" x14ac:dyDescent="0.15">
      <c r="A5513" s="3">
        <f>DATE(2000,6,5)</f>
        <v>36682</v>
      </c>
      <c r="B5513" s="3">
        <f>DATE(2000,9,14)</f>
        <v>36783</v>
      </c>
      <c r="C5513" s="2" t="s">
        <v>95</v>
      </c>
      <c r="D5513" s="2" t="s">
        <v>16992</v>
      </c>
      <c r="E5513" s="2" t="s">
        <v>16993</v>
      </c>
      <c r="F5513" s="4">
        <v>7375</v>
      </c>
      <c r="G5513" s="2" t="s">
        <v>223</v>
      </c>
      <c r="H5513" s="2" t="s">
        <v>34</v>
      </c>
      <c r="I5513" s="2" t="s">
        <v>5525</v>
      </c>
      <c r="J5513" s="2" t="s">
        <v>5526</v>
      </c>
      <c r="K5513" s="2" t="s">
        <v>223</v>
      </c>
      <c r="L5513" s="2" t="s">
        <v>902</v>
      </c>
      <c r="M5513" s="2"/>
      <c r="N5513" s="2"/>
      <c r="O5513" s="2"/>
      <c r="P5513" s="2" t="s">
        <v>16994</v>
      </c>
      <c r="Q5513" s="6">
        <v>100</v>
      </c>
      <c r="R5513" s="6">
        <v>38</v>
      </c>
      <c r="S5513" s="5">
        <v>13.6</v>
      </c>
      <c r="T5513" s="7">
        <v>104.336</v>
      </c>
      <c r="U5513" s="5">
        <v>20.8</v>
      </c>
      <c r="V5513" s="6">
        <v>0.64</v>
      </c>
      <c r="W5513" s="7">
        <v>26.062999999999999</v>
      </c>
      <c r="X5513" s="4">
        <v>29</v>
      </c>
      <c r="Y5513" s="6">
        <v>37.25</v>
      </c>
      <c r="Z5513" s="7">
        <v>37.375</v>
      </c>
      <c r="AA5513" s="6">
        <v>20.27</v>
      </c>
      <c r="AB5513" s="7">
        <v>25.600999999999999</v>
      </c>
      <c r="AC5513" s="6">
        <v>330.47</v>
      </c>
    </row>
    <row r="5514" spans="1:29" ht="143" x14ac:dyDescent="0.15">
      <c r="A5514" s="3">
        <f>DATE(2000,6,6)</f>
        <v>36683</v>
      </c>
      <c r="B5514" s="3">
        <f>DATE(2000,9,8)</f>
        <v>36777</v>
      </c>
      <c r="C5514" s="2" t="s">
        <v>95</v>
      </c>
      <c r="D5514" s="2" t="s">
        <v>15874</v>
      </c>
      <c r="E5514" s="2" t="s">
        <v>1072</v>
      </c>
      <c r="F5514" s="4">
        <v>6799</v>
      </c>
      <c r="G5514" s="2" t="s">
        <v>53</v>
      </c>
      <c r="H5514" s="2" t="s">
        <v>34</v>
      </c>
      <c r="I5514" s="2" t="s">
        <v>15875</v>
      </c>
      <c r="J5514" s="2" t="s">
        <v>15876</v>
      </c>
      <c r="K5514" s="2" t="s">
        <v>53</v>
      </c>
      <c r="L5514" s="2" t="s">
        <v>34</v>
      </c>
      <c r="M5514" s="7">
        <v>217.886</v>
      </c>
      <c r="N5514" s="7">
        <v>7.875</v>
      </c>
      <c r="O5514" s="7">
        <v>8.125</v>
      </c>
      <c r="P5514" s="2" t="s">
        <v>16995</v>
      </c>
      <c r="Q5514" s="6">
        <v>100</v>
      </c>
      <c r="R5514" s="6">
        <v>10.220000000000001</v>
      </c>
      <c r="S5514" s="5">
        <v>3.8</v>
      </c>
      <c r="T5514" s="7">
        <v>8.0039999999999996</v>
      </c>
      <c r="U5514" s="5">
        <v>6.4</v>
      </c>
      <c r="V5514" s="6">
        <v>0.74</v>
      </c>
      <c r="W5514" s="4">
        <v>8</v>
      </c>
      <c r="X5514" s="7">
        <v>7.625</v>
      </c>
      <c r="Y5514" s="9">
        <v>8.1875</v>
      </c>
      <c r="Z5514" s="5">
        <v>8.5</v>
      </c>
      <c r="AA5514" s="6">
        <v>4.8899999999999997</v>
      </c>
      <c r="AB5514" s="7">
        <v>6.149</v>
      </c>
      <c r="AC5514" s="2"/>
    </row>
    <row r="5515" spans="1:29" ht="104" x14ac:dyDescent="0.15">
      <c r="A5515" s="3">
        <f>DATE(2000,6,6)</f>
        <v>36683</v>
      </c>
      <c r="B5515" s="2"/>
      <c r="C5515" s="2" t="s">
        <v>30</v>
      </c>
      <c r="D5515" s="2" t="s">
        <v>15689</v>
      </c>
      <c r="E5515" s="2" t="s">
        <v>15690</v>
      </c>
      <c r="F5515" s="4">
        <v>3577</v>
      </c>
      <c r="G5515" s="2" t="s">
        <v>50</v>
      </c>
      <c r="H5515" s="2" t="s">
        <v>34</v>
      </c>
      <c r="I5515" s="2" t="s">
        <v>16936</v>
      </c>
      <c r="J5515" s="2" t="s">
        <v>6020</v>
      </c>
      <c r="K5515" s="2" t="s">
        <v>226</v>
      </c>
      <c r="L5515" s="2" t="s">
        <v>34</v>
      </c>
      <c r="M5515" s="2"/>
      <c r="N5515" s="2"/>
      <c r="O5515" s="2"/>
      <c r="P5515" s="2" t="s">
        <v>16996</v>
      </c>
      <c r="Q5515" s="2"/>
      <c r="R5515" s="6">
        <v>8.4499999999999993</v>
      </c>
      <c r="S5515" s="5">
        <v>2.7</v>
      </c>
      <c r="T5515" s="5">
        <v>35.200000000000003</v>
      </c>
      <c r="U5515" s="5">
        <v>4.0999999999999996</v>
      </c>
      <c r="V5515" s="6">
        <v>0.16</v>
      </c>
      <c r="W5515" s="4">
        <v>4</v>
      </c>
      <c r="X5515" s="7">
        <v>6.0629999999999997</v>
      </c>
      <c r="Y5515" s="4">
        <v>8</v>
      </c>
      <c r="Z5515" s="11">
        <v>8.03125</v>
      </c>
      <c r="AA5515" s="6">
        <v>12.21</v>
      </c>
      <c r="AB5515" s="7">
        <v>11.76</v>
      </c>
      <c r="AC5515" s="2"/>
    </row>
    <row r="5516" spans="1:29" ht="117" x14ac:dyDescent="0.15">
      <c r="A5516" s="3">
        <f>DATE(2000,6,6)</f>
        <v>36683</v>
      </c>
      <c r="B5516" s="3">
        <f>DATE(2000,10,13)</f>
        <v>36812</v>
      </c>
      <c r="C5516" s="2" t="s">
        <v>95</v>
      </c>
      <c r="D5516" s="2" t="s">
        <v>16997</v>
      </c>
      <c r="E5516" s="2" t="s">
        <v>2136</v>
      </c>
      <c r="F5516" s="4">
        <v>7822</v>
      </c>
      <c r="G5516" s="2" t="s">
        <v>42</v>
      </c>
      <c r="H5516" s="2" t="s">
        <v>34</v>
      </c>
      <c r="I5516" s="2" t="s">
        <v>16998</v>
      </c>
      <c r="J5516" s="2" t="s">
        <v>398</v>
      </c>
      <c r="K5516" s="2" t="s">
        <v>42</v>
      </c>
      <c r="L5516" s="2" t="s">
        <v>34</v>
      </c>
      <c r="M5516" s="7">
        <v>68.096999999999994</v>
      </c>
      <c r="N5516" s="7">
        <v>2.6880000000000002</v>
      </c>
      <c r="O5516" s="6">
        <v>2.75</v>
      </c>
      <c r="P5516" s="2" t="s">
        <v>16999</v>
      </c>
      <c r="Q5516" s="6">
        <v>100</v>
      </c>
      <c r="R5516" s="6">
        <v>9.83</v>
      </c>
      <c r="S5516" s="5">
        <v>2.2000000000000002</v>
      </c>
      <c r="T5516" s="6">
        <v>56.37</v>
      </c>
      <c r="U5516" s="5">
        <v>4</v>
      </c>
      <c r="V5516" s="6">
        <v>0.45</v>
      </c>
      <c r="W5516" s="4">
        <v>6</v>
      </c>
      <c r="X5516" s="7">
        <v>8.7189999999999994</v>
      </c>
      <c r="Y5516" s="4">
        <v>8</v>
      </c>
      <c r="Z5516" s="7">
        <v>8.2189999999999994</v>
      </c>
      <c r="AA5516" s="6">
        <v>4.66</v>
      </c>
      <c r="AB5516" s="7">
        <v>11.609</v>
      </c>
      <c r="AC5516" s="6">
        <v>13.31</v>
      </c>
    </row>
    <row r="5517" spans="1:29" ht="65" x14ac:dyDescent="0.15">
      <c r="A5517" s="3">
        <f>DATE(2000,6,7)</f>
        <v>36684</v>
      </c>
      <c r="B5517" s="2"/>
      <c r="C5517" s="2" t="s">
        <v>30</v>
      </c>
      <c r="D5517" s="2" t="s">
        <v>17000</v>
      </c>
      <c r="E5517" s="2" t="s">
        <v>373</v>
      </c>
      <c r="F5517" s="4">
        <v>7374</v>
      </c>
      <c r="G5517" s="2" t="s">
        <v>223</v>
      </c>
      <c r="H5517" s="2" t="s">
        <v>34</v>
      </c>
      <c r="I5517" s="2" t="s">
        <v>10762</v>
      </c>
      <c r="J5517" s="2" t="s">
        <v>10763</v>
      </c>
      <c r="K5517" s="2" t="s">
        <v>223</v>
      </c>
      <c r="L5517" s="2" t="s">
        <v>34</v>
      </c>
      <c r="M5517" s="12">
        <v>4069.5659999999998</v>
      </c>
      <c r="N5517" s="4">
        <v>34</v>
      </c>
      <c r="O5517" s="7">
        <v>33.563000000000002</v>
      </c>
      <c r="P5517" s="2" t="s">
        <v>17001</v>
      </c>
      <c r="Q5517" s="2"/>
      <c r="R5517" s="6">
        <v>2</v>
      </c>
      <c r="S5517" s="5">
        <v>0.7</v>
      </c>
      <c r="T5517" s="7">
        <v>1.3109999999999999</v>
      </c>
      <c r="U5517" s="5">
        <v>1.1000000000000001</v>
      </c>
      <c r="V5517" s="6">
        <v>0.17</v>
      </c>
      <c r="W5517" s="7">
        <v>1.359</v>
      </c>
      <c r="X5517" s="7">
        <v>1.5629999999999999</v>
      </c>
      <c r="Y5517" s="7">
        <v>1.625</v>
      </c>
      <c r="Z5517" s="7">
        <v>1.9690000000000001</v>
      </c>
      <c r="AA5517" s="6">
        <v>4.04</v>
      </c>
      <c r="AB5517" s="7">
        <v>4.3789999999999996</v>
      </c>
      <c r="AC5517" s="5">
        <v>271.89999999999998</v>
      </c>
    </row>
    <row r="5518" spans="1:29" ht="78" x14ac:dyDescent="0.15">
      <c r="A5518" s="3">
        <f>DATE(2000,6,7)</f>
        <v>36684</v>
      </c>
      <c r="B5518" s="2"/>
      <c r="C5518" s="2" t="s">
        <v>7330</v>
      </c>
      <c r="D5518" s="2" t="s">
        <v>17002</v>
      </c>
      <c r="E5518" s="2" t="s">
        <v>17003</v>
      </c>
      <c r="F5518" s="4">
        <v>8742</v>
      </c>
      <c r="G5518" s="2" t="s">
        <v>223</v>
      </c>
      <c r="H5518" s="2" t="s">
        <v>34</v>
      </c>
      <c r="I5518" s="2" t="s">
        <v>51</v>
      </c>
      <c r="J5518" s="2" t="s">
        <v>52</v>
      </c>
      <c r="K5518" s="2" t="s">
        <v>53</v>
      </c>
      <c r="L5518" s="2" t="s">
        <v>34</v>
      </c>
      <c r="M5518" s="2"/>
      <c r="N5518" s="2"/>
      <c r="O5518" s="2"/>
      <c r="P5518" s="2" t="s">
        <v>17004</v>
      </c>
      <c r="Q5518" s="2"/>
      <c r="R5518" s="6">
        <v>2.5</v>
      </c>
      <c r="S5518" s="5">
        <v>-29.5</v>
      </c>
      <c r="T5518" s="5">
        <v>18.7</v>
      </c>
      <c r="U5518" s="5">
        <v>6.5</v>
      </c>
      <c r="V5518" s="6">
        <v>-2.4300000000000002</v>
      </c>
      <c r="W5518" s="7">
        <v>1.3129999999999999</v>
      </c>
      <c r="X5518" s="7">
        <v>1.2190000000000001</v>
      </c>
      <c r="Y5518" s="4">
        <v>1</v>
      </c>
      <c r="Z5518" s="9">
        <v>1.8125</v>
      </c>
      <c r="AA5518" s="6">
        <v>19.79</v>
      </c>
      <c r="AB5518" s="7">
        <v>539.95500000000004</v>
      </c>
      <c r="AC5518" s="2"/>
    </row>
    <row r="5519" spans="1:29" ht="221" x14ac:dyDescent="0.15">
      <c r="A5519" s="3">
        <f t="shared" ref="A5519:A5524" si="131">DATE(2000,6,8)</f>
        <v>36685</v>
      </c>
      <c r="B5519" s="3">
        <f>DATE(2000,11,10)</f>
        <v>36840</v>
      </c>
      <c r="C5519" s="2" t="s">
        <v>95</v>
      </c>
      <c r="D5519" s="2" t="s">
        <v>17005</v>
      </c>
      <c r="E5519" s="2" t="s">
        <v>36</v>
      </c>
      <c r="F5519" s="4">
        <v>6021</v>
      </c>
      <c r="G5519" s="2" t="s">
        <v>37</v>
      </c>
      <c r="H5519" s="2" t="s">
        <v>34</v>
      </c>
      <c r="I5519" s="2" t="s">
        <v>17006</v>
      </c>
      <c r="J5519" s="2" t="s">
        <v>263</v>
      </c>
      <c r="K5519" s="2" t="s">
        <v>37</v>
      </c>
      <c r="L5519" s="2" t="s">
        <v>34</v>
      </c>
      <c r="M5519" s="7">
        <v>114.048</v>
      </c>
      <c r="N5519" s="7">
        <v>9.6880000000000006</v>
      </c>
      <c r="O5519" s="4">
        <v>10</v>
      </c>
      <c r="P5519" s="2" t="s">
        <v>17007</v>
      </c>
      <c r="Q5519" s="6">
        <v>100</v>
      </c>
      <c r="R5519" s="6">
        <v>23</v>
      </c>
      <c r="S5519" s="5">
        <v>4.3</v>
      </c>
      <c r="T5519" s="7">
        <v>5.9909999999999997</v>
      </c>
      <c r="U5519" s="5">
        <v>14.8</v>
      </c>
      <c r="V5519" s="7">
        <v>1.1930000000000001</v>
      </c>
      <c r="W5519" s="7">
        <v>17.125</v>
      </c>
      <c r="X5519" s="7">
        <v>17.687999999999999</v>
      </c>
      <c r="Y5519" s="7">
        <v>21.937999999999999</v>
      </c>
      <c r="Z5519" s="7">
        <v>21.937999999999999</v>
      </c>
      <c r="AA5519" s="6">
        <v>3.74</v>
      </c>
      <c r="AB5519" s="7">
        <v>61.816000000000003</v>
      </c>
      <c r="AC5519" s="5">
        <v>35.9</v>
      </c>
    </row>
    <row r="5520" spans="1:29" ht="52" x14ac:dyDescent="0.15">
      <c r="A5520" s="3">
        <f t="shared" si="131"/>
        <v>36685</v>
      </c>
      <c r="B5520" s="2"/>
      <c r="C5520" s="2" t="s">
        <v>39</v>
      </c>
      <c r="D5520" s="2" t="s">
        <v>9838</v>
      </c>
      <c r="E5520" s="2" t="s">
        <v>973</v>
      </c>
      <c r="F5520" s="4">
        <v>4813</v>
      </c>
      <c r="G5520" s="2" t="s">
        <v>63</v>
      </c>
      <c r="H5520" s="2" t="s">
        <v>34</v>
      </c>
      <c r="I5520" s="2" t="s">
        <v>17008</v>
      </c>
      <c r="J5520" s="2" t="s">
        <v>1395</v>
      </c>
      <c r="K5520" s="2" t="s">
        <v>63</v>
      </c>
      <c r="L5520" s="2" t="s">
        <v>34</v>
      </c>
      <c r="M5520" s="12">
        <v>5965.1440000000002</v>
      </c>
      <c r="N5520" s="7">
        <v>22.437999999999999</v>
      </c>
      <c r="O5520" s="4">
        <v>24</v>
      </c>
      <c r="P5520" s="2" t="s">
        <v>17009</v>
      </c>
      <c r="Q5520" s="2"/>
      <c r="R5520" s="2"/>
      <c r="S5520" s="5">
        <v>268.89999999999998</v>
      </c>
      <c r="T5520" s="5">
        <v>60.6</v>
      </c>
      <c r="U5520" s="5">
        <v>0.1</v>
      </c>
      <c r="V5520" s="6">
        <v>-1.06</v>
      </c>
      <c r="W5520" s="7">
        <v>28.875</v>
      </c>
      <c r="X5520" s="7">
        <v>35.813000000000002</v>
      </c>
      <c r="Y5520" s="7">
        <v>41.625</v>
      </c>
      <c r="Z5520" s="7">
        <v>35.625</v>
      </c>
      <c r="AA5520" s="6">
        <v>53.3</v>
      </c>
      <c r="AB5520" s="2" t="s">
        <v>86</v>
      </c>
      <c r="AC5520" s="5">
        <v>19.7</v>
      </c>
    </row>
    <row r="5521" spans="1:29" ht="117" x14ac:dyDescent="0.15">
      <c r="A5521" s="3">
        <f t="shared" si="131"/>
        <v>36685</v>
      </c>
      <c r="B5521" s="3">
        <f>DATE(2000,8,30)</f>
        <v>36768</v>
      </c>
      <c r="C5521" s="2" t="s">
        <v>95</v>
      </c>
      <c r="D5521" s="2" t="s">
        <v>17010</v>
      </c>
      <c r="E5521" s="2" t="s">
        <v>17011</v>
      </c>
      <c r="F5521" s="4">
        <v>3826</v>
      </c>
      <c r="G5521" s="2" t="s">
        <v>226</v>
      </c>
      <c r="H5521" s="2" t="s">
        <v>34</v>
      </c>
      <c r="I5521" s="2" t="s">
        <v>17012</v>
      </c>
      <c r="J5521" s="2" t="s">
        <v>17013</v>
      </c>
      <c r="K5521" s="2" t="s">
        <v>226</v>
      </c>
      <c r="L5521" s="2" t="s">
        <v>34</v>
      </c>
      <c r="M5521" s="7">
        <v>498.61099999999999</v>
      </c>
      <c r="N5521" s="4">
        <v>61</v>
      </c>
      <c r="O5521" s="4">
        <v>62</v>
      </c>
      <c r="P5521" s="2" t="s">
        <v>17014</v>
      </c>
      <c r="Q5521" s="6">
        <v>100</v>
      </c>
      <c r="R5521" s="6">
        <v>17.72</v>
      </c>
      <c r="S5521" s="5">
        <v>-8.1</v>
      </c>
      <c r="T5521" s="7">
        <v>-8.1029999999999998</v>
      </c>
      <c r="U5521" s="5">
        <v>1.8</v>
      </c>
      <c r="V5521" s="6">
        <v>-0.61</v>
      </c>
      <c r="W5521" s="6">
        <v>10.75</v>
      </c>
      <c r="X5521" s="6">
        <v>16.25</v>
      </c>
      <c r="Y5521" s="7">
        <v>17.562999999999999</v>
      </c>
      <c r="Z5521" s="7">
        <v>18.125</v>
      </c>
      <c r="AA5521" s="6">
        <v>14.83</v>
      </c>
      <c r="AB5521" s="2" t="s">
        <v>86</v>
      </c>
      <c r="AC5521" s="5">
        <v>27.5</v>
      </c>
    </row>
    <row r="5522" spans="1:29" ht="104" x14ac:dyDescent="0.15">
      <c r="A5522" s="3">
        <f t="shared" si="131"/>
        <v>36685</v>
      </c>
      <c r="B5522" s="3">
        <f>DATE(2000,12,8)</f>
        <v>36868</v>
      </c>
      <c r="C5522" s="2" t="s">
        <v>95</v>
      </c>
      <c r="D5522" s="2" t="s">
        <v>17015</v>
      </c>
      <c r="E5522" s="2" t="s">
        <v>263</v>
      </c>
      <c r="F5522" s="4">
        <v>6035</v>
      </c>
      <c r="G5522" s="2" t="s">
        <v>33</v>
      </c>
      <c r="H5522" s="2" t="s">
        <v>34</v>
      </c>
      <c r="I5522" s="2" t="s">
        <v>17016</v>
      </c>
      <c r="J5522" s="2" t="s">
        <v>17017</v>
      </c>
      <c r="K5522" s="2" t="s">
        <v>33</v>
      </c>
      <c r="L5522" s="2" t="s">
        <v>34</v>
      </c>
      <c r="M5522" s="2"/>
      <c r="N5522" s="7">
        <v>10.875</v>
      </c>
      <c r="O5522" s="7">
        <v>10.688000000000001</v>
      </c>
      <c r="P5522" s="2" t="s">
        <v>17018</v>
      </c>
      <c r="Q5522" s="6">
        <v>100</v>
      </c>
      <c r="R5522" s="6">
        <v>20.16</v>
      </c>
      <c r="S5522" s="5">
        <v>2.6</v>
      </c>
      <c r="T5522" s="2"/>
      <c r="U5522" s="5">
        <v>23.3</v>
      </c>
      <c r="V5522" s="6">
        <v>1.82</v>
      </c>
      <c r="W5522" s="5">
        <v>17.5</v>
      </c>
      <c r="X5522" s="6">
        <v>16.75</v>
      </c>
      <c r="Y5522" s="5">
        <v>19.5</v>
      </c>
      <c r="Z5522" s="5">
        <v>19.5</v>
      </c>
      <c r="AA5522" s="6">
        <v>1.36</v>
      </c>
      <c r="AB5522" s="7">
        <v>19.236999999999998</v>
      </c>
      <c r="AC5522" s="2"/>
    </row>
    <row r="5523" spans="1:29" ht="130" x14ac:dyDescent="0.15">
      <c r="A5523" s="3">
        <f t="shared" si="131"/>
        <v>36685</v>
      </c>
      <c r="B5523" s="3">
        <f>DATE(2000,9,12)</f>
        <v>36781</v>
      </c>
      <c r="C5523" s="2" t="s">
        <v>95</v>
      </c>
      <c r="D5523" s="2" t="s">
        <v>17019</v>
      </c>
      <c r="E5523" s="2" t="s">
        <v>10711</v>
      </c>
      <c r="F5523" s="4">
        <v>7375</v>
      </c>
      <c r="G5523" s="2" t="s">
        <v>223</v>
      </c>
      <c r="H5523" s="2" t="s">
        <v>34</v>
      </c>
      <c r="I5523" s="2" t="s">
        <v>17020</v>
      </c>
      <c r="J5523" s="2" t="s">
        <v>10711</v>
      </c>
      <c r="K5523" s="2" t="s">
        <v>223</v>
      </c>
      <c r="L5523" s="2" t="s">
        <v>34</v>
      </c>
      <c r="M5523" s="12">
        <v>2164.1219999999998</v>
      </c>
      <c r="N5523" s="7">
        <v>17.562999999999999</v>
      </c>
      <c r="O5523" s="7">
        <v>17.312999999999999</v>
      </c>
      <c r="P5523" s="2" t="s">
        <v>17021</v>
      </c>
      <c r="Q5523" s="6">
        <v>100</v>
      </c>
      <c r="R5523" s="6">
        <v>12.35</v>
      </c>
      <c r="S5523" s="5">
        <v>-125.9</v>
      </c>
      <c r="T5523" s="2"/>
      <c r="U5523" s="5">
        <v>10.6</v>
      </c>
      <c r="V5523" s="6">
        <v>-5.7</v>
      </c>
      <c r="W5523" s="7">
        <v>7.8129999999999997</v>
      </c>
      <c r="X5523" s="7">
        <v>7.8129999999999997</v>
      </c>
      <c r="Y5523" s="4">
        <v>8</v>
      </c>
      <c r="Z5523" s="7">
        <v>11.313000000000001</v>
      </c>
      <c r="AA5523" s="6">
        <v>25.08</v>
      </c>
      <c r="AB5523" s="2" t="s">
        <v>86</v>
      </c>
      <c r="AC5523" s="5">
        <v>891.3</v>
      </c>
    </row>
    <row r="5524" spans="1:29" ht="143" x14ac:dyDescent="0.15">
      <c r="A5524" s="3">
        <f t="shared" si="131"/>
        <v>36685</v>
      </c>
      <c r="B5524" s="3">
        <f>DATE(2000,7,6)</f>
        <v>36713</v>
      </c>
      <c r="C5524" s="2" t="s">
        <v>95</v>
      </c>
      <c r="D5524" s="2" t="s">
        <v>17022</v>
      </c>
      <c r="E5524" s="2" t="s">
        <v>17023</v>
      </c>
      <c r="F5524" s="4">
        <v>7389</v>
      </c>
      <c r="G5524" s="2" t="s">
        <v>223</v>
      </c>
      <c r="H5524" s="2" t="s">
        <v>34</v>
      </c>
      <c r="I5524" s="2" t="s">
        <v>278</v>
      </c>
      <c r="J5524" s="2" t="s">
        <v>52</v>
      </c>
      <c r="K5524" s="2" t="s">
        <v>53</v>
      </c>
      <c r="L5524" s="2" t="s">
        <v>34</v>
      </c>
      <c r="M5524" s="2"/>
      <c r="N5524" s="2"/>
      <c r="O5524" s="2"/>
      <c r="P5524" s="2" t="s">
        <v>17024</v>
      </c>
      <c r="Q5524" s="6">
        <v>80.099999999999994</v>
      </c>
      <c r="R5524" s="2"/>
      <c r="S5524" s="5">
        <v>-5.9</v>
      </c>
      <c r="T5524" s="5">
        <v>-4.9000000000000004</v>
      </c>
      <c r="U5524" s="5">
        <v>2.7</v>
      </c>
      <c r="V5524" s="6">
        <v>-0.38</v>
      </c>
      <c r="W5524" s="6">
        <v>6.75</v>
      </c>
      <c r="X5524" s="7">
        <v>6.9690000000000003</v>
      </c>
      <c r="Y5524" s="7">
        <v>6.5629999999999997</v>
      </c>
      <c r="Z5524" s="4">
        <v>7</v>
      </c>
      <c r="AA5524" s="6">
        <v>17.86</v>
      </c>
      <c r="AB5524" s="2" t="s">
        <v>86</v>
      </c>
      <c r="AC5524" s="2"/>
    </row>
    <row r="5525" spans="1:29" ht="78" x14ac:dyDescent="0.15">
      <c r="A5525" s="3">
        <f>DATE(2000,6,9)</f>
        <v>36686</v>
      </c>
      <c r="B5525" s="3">
        <f>DATE(2000,7,26)</f>
        <v>36733</v>
      </c>
      <c r="C5525" s="2" t="s">
        <v>95</v>
      </c>
      <c r="D5525" s="2" t="s">
        <v>17025</v>
      </c>
      <c r="E5525" s="2" t="s">
        <v>17026</v>
      </c>
      <c r="F5525" s="4">
        <v>3661</v>
      </c>
      <c r="G5525" s="2" t="s">
        <v>921</v>
      </c>
      <c r="H5525" s="2" t="s">
        <v>34</v>
      </c>
      <c r="I5525" s="2" t="s">
        <v>16400</v>
      </c>
      <c r="J5525" s="2" t="s">
        <v>16401</v>
      </c>
      <c r="K5525" s="2" t="s">
        <v>921</v>
      </c>
      <c r="L5525" s="2" t="s">
        <v>34</v>
      </c>
      <c r="M5525" s="12">
        <v>18899.161</v>
      </c>
      <c r="N5525" s="7">
        <v>77.188000000000002</v>
      </c>
      <c r="O5525" s="4">
        <v>74</v>
      </c>
      <c r="P5525" s="2" t="s">
        <v>17027</v>
      </c>
      <c r="Q5525" s="6">
        <v>100</v>
      </c>
      <c r="R5525" s="6">
        <v>24.12</v>
      </c>
      <c r="S5525" s="5">
        <v>-8.1</v>
      </c>
      <c r="T5525" s="7">
        <v>4.1639999999999997</v>
      </c>
      <c r="U5525" s="5">
        <v>7.9</v>
      </c>
      <c r="V5525" s="6">
        <v>-1.1499999999999999</v>
      </c>
      <c r="W5525" s="6">
        <v>20.75</v>
      </c>
      <c r="X5525" s="4">
        <v>22</v>
      </c>
      <c r="Y5525" s="6">
        <v>24.75</v>
      </c>
      <c r="Z5525" s="7">
        <v>24.812999999999999</v>
      </c>
      <c r="AA5525" s="6">
        <v>6.09</v>
      </c>
      <c r="AB5525" s="2" t="s">
        <v>86</v>
      </c>
      <c r="AC5525" s="5">
        <v>233</v>
      </c>
    </row>
    <row r="5526" spans="1:29" ht="78" x14ac:dyDescent="0.15">
      <c r="A5526" s="3">
        <f>DATE(2000,6,9)</f>
        <v>36686</v>
      </c>
      <c r="B5526" s="3">
        <f>DATE(2000,12,21)</f>
        <v>36881</v>
      </c>
      <c r="C5526" s="2" t="s">
        <v>95</v>
      </c>
      <c r="D5526" s="2" t="s">
        <v>17028</v>
      </c>
      <c r="E5526" s="2" t="s">
        <v>17029</v>
      </c>
      <c r="F5526" s="4">
        <v>8011</v>
      </c>
      <c r="G5526" s="2" t="s">
        <v>454</v>
      </c>
      <c r="H5526" s="2" t="s">
        <v>34</v>
      </c>
      <c r="I5526" s="2" t="s">
        <v>17030</v>
      </c>
      <c r="J5526" s="2" t="s">
        <v>17031</v>
      </c>
      <c r="K5526" s="2" t="s">
        <v>53</v>
      </c>
      <c r="L5526" s="2" t="s">
        <v>34</v>
      </c>
      <c r="M5526" s="7">
        <v>39.457000000000001</v>
      </c>
      <c r="N5526" s="7">
        <v>5.625</v>
      </c>
      <c r="O5526" s="7">
        <v>5.625</v>
      </c>
      <c r="P5526" s="2" t="s">
        <v>17032</v>
      </c>
      <c r="Q5526" s="6">
        <v>100</v>
      </c>
      <c r="R5526" s="2"/>
      <c r="S5526" s="5">
        <v>4.8</v>
      </c>
      <c r="T5526" s="2"/>
      <c r="U5526" s="5">
        <v>2.2000000000000002</v>
      </c>
      <c r="V5526" s="6">
        <v>1.25</v>
      </c>
      <c r="W5526" s="7">
        <v>4.4059999999999997</v>
      </c>
      <c r="X5526" s="7">
        <v>3.6880000000000002</v>
      </c>
      <c r="Y5526" s="4">
        <v>6</v>
      </c>
      <c r="Z5526" s="7">
        <v>5.625</v>
      </c>
      <c r="AA5526" s="6">
        <v>3.85</v>
      </c>
      <c r="AB5526" s="7">
        <v>5.63</v>
      </c>
      <c r="AC5526" s="5">
        <v>1.4</v>
      </c>
    </row>
    <row r="5527" spans="1:29" ht="78" x14ac:dyDescent="0.15">
      <c r="A5527" s="3">
        <f>DATE(2000,6,9)</f>
        <v>36686</v>
      </c>
      <c r="B5527" s="2"/>
      <c r="C5527" s="2" t="s">
        <v>30</v>
      </c>
      <c r="D5527" s="2" t="s">
        <v>15344</v>
      </c>
      <c r="E5527" s="2" t="s">
        <v>15345</v>
      </c>
      <c r="F5527" s="4">
        <v>3448</v>
      </c>
      <c r="G5527" s="2" t="s">
        <v>163</v>
      </c>
      <c r="H5527" s="2" t="s">
        <v>34</v>
      </c>
      <c r="I5527" s="2" t="s">
        <v>15346</v>
      </c>
      <c r="J5527" s="2" t="s">
        <v>15347</v>
      </c>
      <c r="K5527" s="2" t="s">
        <v>250</v>
      </c>
      <c r="L5527" s="2" t="s">
        <v>34</v>
      </c>
      <c r="M5527" s="7">
        <v>135.065</v>
      </c>
      <c r="N5527" s="7">
        <v>11.625</v>
      </c>
      <c r="O5527" s="7">
        <v>11.406000000000001</v>
      </c>
      <c r="P5527" s="2" t="s">
        <v>17033</v>
      </c>
      <c r="Q5527" s="2"/>
      <c r="R5527" s="6">
        <v>8.0500000000000007</v>
      </c>
      <c r="S5527" s="5">
        <v>3.6</v>
      </c>
      <c r="T5527" s="2"/>
      <c r="U5527" s="5">
        <v>6.2</v>
      </c>
      <c r="V5527" s="6">
        <v>1.08</v>
      </c>
      <c r="W5527" s="6">
        <v>5.75</v>
      </c>
      <c r="X5527" s="7">
        <v>5.9379999999999997</v>
      </c>
      <c r="Y5527" s="5">
        <v>7.5</v>
      </c>
      <c r="Z5527" s="5">
        <v>7.5</v>
      </c>
      <c r="AA5527" s="6">
        <v>3.1</v>
      </c>
      <c r="AB5527" s="7">
        <v>6.085</v>
      </c>
      <c r="AC5527" s="5">
        <v>0.3</v>
      </c>
    </row>
    <row r="5528" spans="1:29" ht="221" x14ac:dyDescent="0.15">
      <c r="A5528" s="3">
        <f>DATE(2000,6,12)</f>
        <v>36689</v>
      </c>
      <c r="B5528" s="3">
        <f>DATE(2000,8,31)</f>
        <v>36769</v>
      </c>
      <c r="C5528" s="2" t="s">
        <v>95</v>
      </c>
      <c r="D5528" s="2" t="s">
        <v>17034</v>
      </c>
      <c r="E5528" s="2" t="s">
        <v>17035</v>
      </c>
      <c r="F5528" s="4">
        <v>7371</v>
      </c>
      <c r="G5528" s="2" t="s">
        <v>223</v>
      </c>
      <c r="H5528" s="2" t="s">
        <v>34</v>
      </c>
      <c r="I5528" s="2" t="s">
        <v>9671</v>
      </c>
      <c r="J5528" s="2" t="s">
        <v>9672</v>
      </c>
      <c r="K5528" s="2" t="s">
        <v>226</v>
      </c>
      <c r="L5528" s="2" t="s">
        <v>34</v>
      </c>
      <c r="M5528" s="12">
        <v>5266.4780000000001</v>
      </c>
      <c r="N5528" s="7">
        <v>75.375</v>
      </c>
      <c r="O5528" s="7">
        <v>73.688000000000002</v>
      </c>
      <c r="P5528" s="2" t="s">
        <v>17036</v>
      </c>
      <c r="Q5528" s="6">
        <v>100</v>
      </c>
      <c r="R5528" s="6">
        <v>22.3</v>
      </c>
      <c r="S5528" s="5">
        <v>5.3</v>
      </c>
      <c r="T5528" s="7">
        <v>17.552</v>
      </c>
      <c r="U5528" s="5">
        <v>4.8</v>
      </c>
      <c r="V5528" s="6">
        <v>0.83</v>
      </c>
      <c r="W5528" s="7">
        <v>16.937999999999999</v>
      </c>
      <c r="X5528" s="7">
        <v>17.187999999999999</v>
      </c>
      <c r="Y5528" s="7">
        <v>18.625</v>
      </c>
      <c r="Z5528" s="7">
        <v>18.062999999999999</v>
      </c>
      <c r="AA5528" s="6">
        <v>6.1</v>
      </c>
      <c r="AB5528" s="7">
        <v>17.725999999999999</v>
      </c>
      <c r="AC5528" s="5">
        <v>41</v>
      </c>
    </row>
    <row r="5529" spans="1:29" ht="208" x14ac:dyDescent="0.15">
      <c r="A5529" s="3">
        <f>DATE(2000,6,13)</f>
        <v>36690</v>
      </c>
      <c r="B5529" s="3">
        <f>DATE(2000,10,2)</f>
        <v>36801</v>
      </c>
      <c r="C5529" s="2" t="s">
        <v>95</v>
      </c>
      <c r="D5529" s="2" t="s">
        <v>17037</v>
      </c>
      <c r="E5529" s="2" t="s">
        <v>17038</v>
      </c>
      <c r="F5529" s="4">
        <v>7375</v>
      </c>
      <c r="G5529" s="2" t="s">
        <v>223</v>
      </c>
      <c r="H5529" s="2" t="s">
        <v>34</v>
      </c>
      <c r="I5529" s="2" t="s">
        <v>13201</v>
      </c>
      <c r="J5529" s="2" t="s">
        <v>13202</v>
      </c>
      <c r="K5529" s="2" t="s">
        <v>223</v>
      </c>
      <c r="L5529" s="2" t="s">
        <v>34</v>
      </c>
      <c r="M5529" s="7">
        <v>122.018</v>
      </c>
      <c r="N5529" s="7">
        <v>6.625</v>
      </c>
      <c r="O5529" s="5">
        <v>6.5</v>
      </c>
      <c r="P5529" s="2" t="s">
        <v>17039</v>
      </c>
      <c r="Q5529" s="6">
        <v>100</v>
      </c>
      <c r="R5529" s="6">
        <v>12.63</v>
      </c>
      <c r="S5529" s="5">
        <v>-0.7</v>
      </c>
      <c r="T5529" s="7">
        <v>-0.69299999999999995</v>
      </c>
      <c r="U5529" s="5">
        <v>2.4</v>
      </c>
      <c r="V5529" s="7">
        <v>-0.53600000000000003</v>
      </c>
      <c r="W5529" s="7">
        <v>13.125</v>
      </c>
      <c r="X5529" s="7">
        <v>14.125</v>
      </c>
      <c r="Y5529" s="7">
        <v>12.375</v>
      </c>
      <c r="Z5529" s="7">
        <v>12.625</v>
      </c>
      <c r="AA5529" s="6">
        <v>8.94</v>
      </c>
      <c r="AB5529" s="2" t="s">
        <v>86</v>
      </c>
      <c r="AC5529" s="5">
        <v>14.2</v>
      </c>
    </row>
    <row r="5530" spans="1:29" ht="130" x14ac:dyDescent="0.15">
      <c r="A5530" s="3">
        <f>DATE(2000,6,13)</f>
        <v>36690</v>
      </c>
      <c r="B5530" s="3">
        <f>DATE(2000,7,31)</f>
        <v>36738</v>
      </c>
      <c r="C5530" s="2" t="s">
        <v>95</v>
      </c>
      <c r="D5530" s="2" t="s">
        <v>17040</v>
      </c>
      <c r="E5530" s="2" t="s">
        <v>17041</v>
      </c>
      <c r="F5530" s="4">
        <v>2992</v>
      </c>
      <c r="G5530" s="2" t="s">
        <v>148</v>
      </c>
      <c r="H5530" s="2" t="s">
        <v>34</v>
      </c>
      <c r="I5530" s="2" t="s">
        <v>17042</v>
      </c>
      <c r="J5530" s="2" t="s">
        <v>17043</v>
      </c>
      <c r="K5530" s="2" t="s">
        <v>163</v>
      </c>
      <c r="L5530" s="2" t="s">
        <v>34</v>
      </c>
      <c r="M5530" s="12">
        <v>5234.0010000000002</v>
      </c>
      <c r="N5530" s="5">
        <v>40.5</v>
      </c>
      <c r="O5530" s="6">
        <v>37.75</v>
      </c>
      <c r="P5530" s="2" t="s">
        <v>17044</v>
      </c>
      <c r="Q5530" s="6">
        <v>100</v>
      </c>
      <c r="R5530" s="6">
        <v>23</v>
      </c>
      <c r="S5530" s="5">
        <v>28.1</v>
      </c>
      <c r="T5530" s="7">
        <v>53.466999999999999</v>
      </c>
      <c r="U5530" s="5">
        <v>8.6</v>
      </c>
      <c r="V5530" s="6">
        <v>1.48</v>
      </c>
      <c r="W5530" s="7">
        <v>13.438000000000001</v>
      </c>
      <c r="X5530" s="7">
        <v>13.625</v>
      </c>
      <c r="Y5530" s="7">
        <v>13.375</v>
      </c>
      <c r="Z5530" s="7">
        <v>22.625</v>
      </c>
      <c r="AA5530" s="6">
        <v>18.690000000000001</v>
      </c>
      <c r="AB5530" s="7">
        <v>10.683999999999999</v>
      </c>
      <c r="AC5530" s="5">
        <v>60.7</v>
      </c>
    </row>
    <row r="5531" spans="1:29" ht="52" x14ac:dyDescent="0.15">
      <c r="A5531" s="3">
        <f>DATE(2000,6,14)</f>
        <v>36691</v>
      </c>
      <c r="B5531" s="3">
        <f>DATE(2001,3,28)</f>
        <v>36978</v>
      </c>
      <c r="C5531" s="2" t="s">
        <v>95</v>
      </c>
      <c r="D5531" s="2" t="s">
        <v>15967</v>
      </c>
      <c r="E5531" s="2" t="s">
        <v>15968</v>
      </c>
      <c r="F5531" s="4">
        <v>4923</v>
      </c>
      <c r="G5531" s="2" t="s">
        <v>439</v>
      </c>
      <c r="H5531" s="2" t="s">
        <v>34</v>
      </c>
      <c r="I5531" s="2" t="s">
        <v>2515</v>
      </c>
      <c r="J5531" s="2" t="s">
        <v>1387</v>
      </c>
      <c r="K5531" s="2" t="s">
        <v>439</v>
      </c>
      <c r="L5531" s="2" t="s">
        <v>34</v>
      </c>
      <c r="M5531" s="7">
        <v>354.202</v>
      </c>
      <c r="N5531" s="6">
        <v>27.25</v>
      </c>
      <c r="O5531" s="4">
        <v>28</v>
      </c>
      <c r="P5531" s="2" t="s">
        <v>17045</v>
      </c>
      <c r="Q5531" s="6">
        <v>100</v>
      </c>
      <c r="R5531" s="6">
        <v>4</v>
      </c>
      <c r="S5531" s="5">
        <v>0.4</v>
      </c>
      <c r="T5531" s="5">
        <v>4.0999999999999996</v>
      </c>
      <c r="U5531" s="5">
        <v>6</v>
      </c>
      <c r="V5531" s="6">
        <v>7.0000000000000007E-2</v>
      </c>
      <c r="W5531" s="4">
        <v>3</v>
      </c>
      <c r="X5531" s="7">
        <v>2.9060000000000001</v>
      </c>
      <c r="Y5531" s="5">
        <v>3.5</v>
      </c>
      <c r="Z5531" s="11">
        <v>3.46875</v>
      </c>
      <c r="AA5531" s="6">
        <v>5.5</v>
      </c>
      <c r="AB5531" s="7">
        <v>20.527999999999999</v>
      </c>
      <c r="AC5531" s="5">
        <v>3.1</v>
      </c>
    </row>
    <row r="5532" spans="1:29" ht="65" x14ac:dyDescent="0.15">
      <c r="A5532" s="3">
        <f>DATE(2000,6,15)</f>
        <v>36692</v>
      </c>
      <c r="B5532" s="3">
        <f>DATE(2000,6,15)</f>
        <v>36692</v>
      </c>
      <c r="C5532" s="2" t="s">
        <v>95</v>
      </c>
      <c r="D5532" s="2" t="s">
        <v>17046</v>
      </c>
      <c r="E5532" s="2" t="s">
        <v>1046</v>
      </c>
      <c r="F5532" s="4">
        <v>3674</v>
      </c>
      <c r="G5532" s="2" t="s">
        <v>137</v>
      </c>
      <c r="H5532" s="2" t="s">
        <v>34</v>
      </c>
      <c r="I5532" s="2" t="s">
        <v>17047</v>
      </c>
      <c r="J5532" s="2" t="s">
        <v>2728</v>
      </c>
      <c r="K5532" s="2" t="s">
        <v>137</v>
      </c>
      <c r="L5532" s="2" t="s">
        <v>17048</v>
      </c>
      <c r="M5532" s="2"/>
      <c r="N5532" s="2"/>
      <c r="O5532" s="2"/>
      <c r="P5532" s="2" t="s">
        <v>17049</v>
      </c>
      <c r="Q5532" s="6">
        <v>49.11</v>
      </c>
      <c r="R5532" s="2"/>
      <c r="S5532" s="5">
        <v>-3.6</v>
      </c>
      <c r="T5532" s="5">
        <v>0.8</v>
      </c>
      <c r="U5532" s="5">
        <v>0.9</v>
      </c>
      <c r="V5532" s="6">
        <v>-1</v>
      </c>
      <c r="W5532" s="7">
        <v>3.5630000000000002</v>
      </c>
      <c r="X5532" s="7">
        <v>2.9380000000000002</v>
      </c>
      <c r="Y5532" s="6">
        <v>2.75</v>
      </c>
      <c r="Z5532" s="6">
        <v>2.75</v>
      </c>
      <c r="AA5532" s="6">
        <v>4.04</v>
      </c>
      <c r="AB5532" s="2" t="s">
        <v>86</v>
      </c>
      <c r="AC5532" s="2"/>
    </row>
    <row r="5533" spans="1:29" ht="104" x14ac:dyDescent="0.15">
      <c r="A5533" s="3">
        <f>DATE(2000,6,15)</f>
        <v>36692</v>
      </c>
      <c r="B5533" s="2"/>
      <c r="C5533" s="2" t="s">
        <v>7330</v>
      </c>
      <c r="D5533" s="2" t="s">
        <v>17050</v>
      </c>
      <c r="E5533" s="2" t="s">
        <v>17051</v>
      </c>
      <c r="F5533" s="4">
        <v>3442</v>
      </c>
      <c r="G5533" s="2" t="s">
        <v>163</v>
      </c>
      <c r="H5533" s="2" t="s">
        <v>34</v>
      </c>
      <c r="I5533" s="2" t="s">
        <v>17052</v>
      </c>
      <c r="J5533" s="2" t="s">
        <v>1032</v>
      </c>
      <c r="K5533" s="2" t="s">
        <v>53</v>
      </c>
      <c r="L5533" s="2" t="s">
        <v>34</v>
      </c>
      <c r="M5533" s="2"/>
      <c r="N5533" s="6">
        <v>0.01</v>
      </c>
      <c r="O5533" s="6">
        <v>0.01</v>
      </c>
      <c r="P5533" s="2" t="s">
        <v>17053</v>
      </c>
      <c r="Q5533" s="2"/>
      <c r="R5533" s="6">
        <v>18.25</v>
      </c>
      <c r="S5533" s="5">
        <v>2.4</v>
      </c>
      <c r="T5533" s="5">
        <v>11.1</v>
      </c>
      <c r="U5533" s="5">
        <v>29.3</v>
      </c>
      <c r="V5533" s="6">
        <v>0.55000000000000004</v>
      </c>
      <c r="W5533" s="7">
        <v>14.875</v>
      </c>
      <c r="X5533" s="4">
        <v>15</v>
      </c>
      <c r="Y5533" s="7">
        <v>15.375</v>
      </c>
      <c r="Z5533" s="7">
        <v>16.375</v>
      </c>
      <c r="AA5533" s="6">
        <v>4.24</v>
      </c>
      <c r="AB5533" s="7">
        <v>19.193000000000001</v>
      </c>
      <c r="AC5533" s="2"/>
    </row>
    <row r="5534" spans="1:29" ht="65" x14ac:dyDescent="0.15">
      <c r="A5534" s="3">
        <f>DATE(2000,6,15)</f>
        <v>36692</v>
      </c>
      <c r="B5534" s="3">
        <f>DATE(2000,6,15)</f>
        <v>36692</v>
      </c>
      <c r="C5534" s="2" t="s">
        <v>95</v>
      </c>
      <c r="D5534" s="2" t="s">
        <v>17054</v>
      </c>
      <c r="E5534" s="2" t="s">
        <v>92</v>
      </c>
      <c r="F5534" s="4">
        <v>6798</v>
      </c>
      <c r="G5534" s="2" t="s">
        <v>53</v>
      </c>
      <c r="H5534" s="2" t="s">
        <v>34</v>
      </c>
      <c r="I5534" s="2" t="s">
        <v>17055</v>
      </c>
      <c r="J5534" s="2" t="s">
        <v>844</v>
      </c>
      <c r="K5534" s="2" t="s">
        <v>109</v>
      </c>
      <c r="L5534" s="2" t="s">
        <v>34</v>
      </c>
      <c r="M5534" s="2"/>
      <c r="N5534" s="2"/>
      <c r="O5534" s="2"/>
      <c r="P5534" s="2" t="s">
        <v>17056</v>
      </c>
      <c r="Q5534" s="6">
        <v>100</v>
      </c>
      <c r="R5534" s="6">
        <v>6</v>
      </c>
      <c r="S5534" s="5">
        <v>1.7</v>
      </c>
      <c r="T5534" s="7">
        <v>1.954</v>
      </c>
      <c r="U5534" s="5">
        <v>4.3</v>
      </c>
      <c r="V5534" s="6">
        <v>0.44</v>
      </c>
      <c r="W5534" s="7">
        <v>4.875</v>
      </c>
      <c r="X5534" s="7">
        <v>4.9379999999999997</v>
      </c>
      <c r="Y5534" s="7">
        <v>4.9379999999999997</v>
      </c>
      <c r="Z5534" s="6">
        <v>4.75</v>
      </c>
      <c r="AA5534" s="6">
        <v>3.88</v>
      </c>
      <c r="AB5534" s="7">
        <v>40.691000000000003</v>
      </c>
      <c r="AC5534" s="2"/>
    </row>
    <row r="5535" spans="1:29" ht="39" x14ac:dyDescent="0.15">
      <c r="A5535" s="3">
        <f>DATE(2000,6,16)</f>
        <v>36693</v>
      </c>
      <c r="B5535" s="2"/>
      <c r="C5535" s="2" t="s">
        <v>30</v>
      </c>
      <c r="D5535" s="2" t="s">
        <v>17057</v>
      </c>
      <c r="E5535" s="2" t="s">
        <v>5422</v>
      </c>
      <c r="F5535" s="4">
        <v>4512</v>
      </c>
      <c r="G5535" s="2" t="s">
        <v>59</v>
      </c>
      <c r="H5535" s="2" t="s">
        <v>34</v>
      </c>
      <c r="I5535" s="2" t="s">
        <v>1390</v>
      </c>
      <c r="J5535" s="2" t="s">
        <v>58</v>
      </c>
      <c r="K5535" s="2" t="s">
        <v>59</v>
      </c>
      <c r="L5535" s="2" t="s">
        <v>34</v>
      </c>
      <c r="M5535" s="7">
        <v>137.066</v>
      </c>
      <c r="N5535" s="7">
        <v>2.9380000000000002</v>
      </c>
      <c r="O5535" s="7">
        <v>2.625</v>
      </c>
      <c r="P5535" s="2" t="s">
        <v>17058</v>
      </c>
      <c r="Q5535" s="2"/>
      <c r="R5535" s="2"/>
      <c r="S5535" s="5">
        <v>-99.5</v>
      </c>
      <c r="T5535" s="7">
        <v>86.834999999999994</v>
      </c>
      <c r="U5535" s="5">
        <v>-0.6</v>
      </c>
      <c r="V5535" s="6">
        <v>-1.55</v>
      </c>
      <c r="W5535" s="7">
        <v>4.3129999999999997</v>
      </c>
      <c r="X5535" s="7">
        <v>4.3129999999999997</v>
      </c>
      <c r="Y5535" s="9">
        <v>4.5625</v>
      </c>
      <c r="Z5535" s="11">
        <v>4.21875</v>
      </c>
      <c r="AA5535" s="6">
        <v>65.72</v>
      </c>
      <c r="AB5535" s="2" t="s">
        <v>47</v>
      </c>
      <c r="AC5535" s="5">
        <v>165.2</v>
      </c>
    </row>
    <row r="5536" spans="1:29" ht="169" x14ac:dyDescent="0.15">
      <c r="A5536" s="3">
        <f>DATE(2000,6,16)</f>
        <v>36693</v>
      </c>
      <c r="B5536" s="3">
        <f>DATE(2000,10,16)</f>
        <v>36815</v>
      </c>
      <c r="C5536" s="2" t="s">
        <v>95</v>
      </c>
      <c r="D5536" s="2" t="s">
        <v>6435</v>
      </c>
      <c r="E5536" s="2" t="s">
        <v>1181</v>
      </c>
      <c r="F5536" s="4">
        <v>6021</v>
      </c>
      <c r="G5536" s="2" t="s">
        <v>37</v>
      </c>
      <c r="H5536" s="2" t="s">
        <v>34</v>
      </c>
      <c r="I5536" s="2" t="s">
        <v>4392</v>
      </c>
      <c r="J5536" s="2" t="s">
        <v>263</v>
      </c>
      <c r="K5536" s="2" t="s">
        <v>37</v>
      </c>
      <c r="L5536" s="2" t="s">
        <v>34</v>
      </c>
      <c r="M5536" s="10">
        <v>4038.11</v>
      </c>
      <c r="N5536" s="7">
        <v>28.625</v>
      </c>
      <c r="O5536" s="7">
        <v>29.375</v>
      </c>
      <c r="P5536" s="2" t="s">
        <v>17059</v>
      </c>
      <c r="Q5536" s="6">
        <v>100</v>
      </c>
      <c r="R5536" s="6">
        <v>18.84</v>
      </c>
      <c r="S5536" s="5">
        <v>2.9</v>
      </c>
      <c r="T5536" s="7">
        <v>5.2450000000000001</v>
      </c>
      <c r="U5536" s="5">
        <v>19.2</v>
      </c>
      <c r="V5536" s="6">
        <v>1.48</v>
      </c>
      <c r="W5536" s="7">
        <v>18.375</v>
      </c>
      <c r="X5536" s="7">
        <v>18.875</v>
      </c>
      <c r="Y5536" s="7">
        <v>17.625</v>
      </c>
      <c r="Z5536" s="7">
        <v>18.375</v>
      </c>
      <c r="AA5536" s="6">
        <v>2.0099999999999998</v>
      </c>
      <c r="AB5536" s="7">
        <v>71.180999999999997</v>
      </c>
      <c r="AC5536" s="5">
        <v>618.4</v>
      </c>
    </row>
    <row r="5537" spans="1:29" ht="221" x14ac:dyDescent="0.15">
      <c r="A5537" s="3">
        <f>DATE(2000,6,16)</f>
        <v>36693</v>
      </c>
      <c r="B5537" s="3">
        <f>DATE(2000,10,30)</f>
        <v>36829</v>
      </c>
      <c r="C5537" s="2" t="s">
        <v>95</v>
      </c>
      <c r="D5537" s="2" t="s">
        <v>17060</v>
      </c>
      <c r="E5537" s="2" t="s">
        <v>595</v>
      </c>
      <c r="F5537" s="4">
        <v>6282</v>
      </c>
      <c r="G5537" s="2" t="s">
        <v>53</v>
      </c>
      <c r="H5537" s="2" t="s">
        <v>34</v>
      </c>
      <c r="I5537" s="2" t="s">
        <v>17061</v>
      </c>
      <c r="J5537" s="2" t="s">
        <v>17062</v>
      </c>
      <c r="K5537" s="2" t="s">
        <v>53</v>
      </c>
      <c r="L5537" s="2" t="s">
        <v>133</v>
      </c>
      <c r="M5537" s="2"/>
      <c r="N5537" s="2"/>
      <c r="O5537" s="2"/>
      <c r="P5537" s="2" t="s">
        <v>17063</v>
      </c>
      <c r="Q5537" s="6">
        <v>100</v>
      </c>
      <c r="R5537" s="6">
        <v>40</v>
      </c>
      <c r="S5537" s="5">
        <v>11.4</v>
      </c>
      <c r="T5537" s="2"/>
      <c r="U5537" s="5">
        <v>9.4</v>
      </c>
      <c r="V5537" s="6">
        <v>1.96</v>
      </c>
      <c r="W5537" s="7">
        <v>20.375</v>
      </c>
      <c r="X5537" s="4">
        <v>20</v>
      </c>
      <c r="Y5537" s="7">
        <v>37.625</v>
      </c>
      <c r="Z5537" s="7">
        <v>37.813000000000002</v>
      </c>
      <c r="AA5537" s="6">
        <v>44.5</v>
      </c>
      <c r="AB5537" s="2" t="s">
        <v>86</v>
      </c>
      <c r="AC5537" s="2"/>
    </row>
    <row r="5538" spans="1:29" ht="260" x14ac:dyDescent="0.15">
      <c r="A5538" s="3">
        <f>DATE(2000,6,16)</f>
        <v>36693</v>
      </c>
      <c r="B5538" s="3">
        <f>DATE(2000,8,31)</f>
        <v>36769</v>
      </c>
      <c r="C5538" s="2" t="s">
        <v>95</v>
      </c>
      <c r="D5538" s="2" t="s">
        <v>7902</v>
      </c>
      <c r="E5538" s="2" t="s">
        <v>2588</v>
      </c>
      <c r="F5538" s="4">
        <v>6513</v>
      </c>
      <c r="G5538" s="2" t="s">
        <v>109</v>
      </c>
      <c r="H5538" s="2" t="s">
        <v>34</v>
      </c>
      <c r="I5538" s="2" t="s">
        <v>17064</v>
      </c>
      <c r="J5538" s="2" t="s">
        <v>17065</v>
      </c>
      <c r="K5538" s="2" t="s">
        <v>53</v>
      </c>
      <c r="L5538" s="2" t="s">
        <v>34</v>
      </c>
      <c r="M5538" s="2"/>
      <c r="N5538" s="2"/>
      <c r="O5538" s="2"/>
      <c r="P5538" s="2" t="s">
        <v>17066</v>
      </c>
      <c r="Q5538" s="6">
        <v>100</v>
      </c>
      <c r="R5538" s="6">
        <v>12.7</v>
      </c>
      <c r="S5538" s="5">
        <v>7.5</v>
      </c>
      <c r="T5538" s="7">
        <v>6.1959999999999997</v>
      </c>
      <c r="U5538" s="5">
        <v>1.3</v>
      </c>
      <c r="V5538" s="6">
        <v>1.69</v>
      </c>
      <c r="W5538" s="7">
        <v>10.625</v>
      </c>
      <c r="X5538" s="7">
        <v>10.625</v>
      </c>
      <c r="Y5538" s="7">
        <v>11.938000000000001</v>
      </c>
      <c r="Z5538" s="7">
        <v>12.063000000000001</v>
      </c>
      <c r="AA5538" s="6">
        <v>3.93</v>
      </c>
      <c r="AB5538" s="7">
        <v>43.448</v>
      </c>
      <c r="AC5538" s="2"/>
    </row>
    <row r="5539" spans="1:29" ht="169" x14ac:dyDescent="0.15">
      <c r="A5539" s="3">
        <f>DATE(2000,6,19)</f>
        <v>36696</v>
      </c>
      <c r="B5539" s="3">
        <f>DATE(2000,10,6)</f>
        <v>36805</v>
      </c>
      <c r="C5539" s="2" t="s">
        <v>95</v>
      </c>
      <c r="D5539" s="2" t="s">
        <v>17067</v>
      </c>
      <c r="E5539" s="2" t="s">
        <v>595</v>
      </c>
      <c r="F5539" s="4">
        <v>6282</v>
      </c>
      <c r="G5539" s="2" t="s">
        <v>53</v>
      </c>
      <c r="H5539" s="2" t="s">
        <v>34</v>
      </c>
      <c r="I5539" s="2" t="s">
        <v>17068</v>
      </c>
      <c r="J5539" s="2" t="s">
        <v>1085</v>
      </c>
      <c r="K5539" s="2" t="s">
        <v>53</v>
      </c>
      <c r="L5539" s="2" t="s">
        <v>17069</v>
      </c>
      <c r="M5539" s="2"/>
      <c r="N5539" s="2"/>
      <c r="O5539" s="2"/>
      <c r="P5539" s="2" t="s">
        <v>17070</v>
      </c>
      <c r="Q5539" s="6">
        <v>100</v>
      </c>
      <c r="R5539" s="6">
        <v>25</v>
      </c>
      <c r="S5539" s="5">
        <v>64.7</v>
      </c>
      <c r="T5539" s="5">
        <v>310.8</v>
      </c>
      <c r="U5539" s="5">
        <v>3.2</v>
      </c>
      <c r="V5539" s="6">
        <v>1.1200000000000001</v>
      </c>
      <c r="W5539" s="7">
        <v>20.375</v>
      </c>
      <c r="X5539" s="7">
        <v>20.562999999999999</v>
      </c>
      <c r="Y5539" s="7">
        <v>23.812999999999999</v>
      </c>
      <c r="Z5539" s="7">
        <v>23.875</v>
      </c>
      <c r="AA5539" s="6">
        <v>56.49</v>
      </c>
      <c r="AB5539" s="7">
        <v>12.23</v>
      </c>
      <c r="AC5539" s="2"/>
    </row>
    <row r="5540" spans="1:29" ht="130" x14ac:dyDescent="0.15">
      <c r="A5540" s="3">
        <f>DATE(2000,6,20)</f>
        <v>36697</v>
      </c>
      <c r="B5540" s="3">
        <f>DATE(2000,9,14)</f>
        <v>36783</v>
      </c>
      <c r="C5540" s="2" t="s">
        <v>95</v>
      </c>
      <c r="D5540" s="2" t="s">
        <v>17071</v>
      </c>
      <c r="E5540" s="2" t="s">
        <v>17072</v>
      </c>
      <c r="F5540" s="4">
        <v>7375</v>
      </c>
      <c r="G5540" s="2" t="s">
        <v>223</v>
      </c>
      <c r="H5540" s="2" t="s">
        <v>34</v>
      </c>
      <c r="I5540" s="2" t="s">
        <v>17073</v>
      </c>
      <c r="J5540" s="2" t="s">
        <v>16924</v>
      </c>
      <c r="K5540" s="2" t="s">
        <v>551</v>
      </c>
      <c r="L5540" s="2" t="s">
        <v>34</v>
      </c>
      <c r="M5540" s="10">
        <v>5982.74</v>
      </c>
      <c r="N5540" s="4">
        <v>43</v>
      </c>
      <c r="O5540" s="6">
        <v>45.25</v>
      </c>
      <c r="P5540" s="2" t="s">
        <v>17074</v>
      </c>
      <c r="Q5540" s="6">
        <v>100</v>
      </c>
      <c r="R5540" s="6">
        <v>41.15</v>
      </c>
      <c r="S5540" s="5">
        <v>-81.400000000000006</v>
      </c>
      <c r="T5540" s="7">
        <v>4.0890000000000004</v>
      </c>
      <c r="U5540" s="5">
        <v>4.4000000000000004</v>
      </c>
      <c r="V5540" s="6">
        <v>-3.11</v>
      </c>
      <c r="W5540" s="7">
        <v>31.687999999999999</v>
      </c>
      <c r="X5540" s="5">
        <v>34.5</v>
      </c>
      <c r="Y5540" s="7">
        <v>33.313000000000002</v>
      </c>
      <c r="Z5540" s="4">
        <v>35</v>
      </c>
      <c r="AA5540" s="6">
        <v>33.950000000000003</v>
      </c>
      <c r="AB5540" s="2" t="s">
        <v>86</v>
      </c>
      <c r="AC5540" s="5">
        <v>24</v>
      </c>
    </row>
    <row r="5541" spans="1:29" ht="104" x14ac:dyDescent="0.15">
      <c r="A5541" s="3">
        <f>DATE(2000,6,20)</f>
        <v>36697</v>
      </c>
      <c r="B5541" s="3">
        <f>DATE(2000,10,2)</f>
        <v>36801</v>
      </c>
      <c r="C5541" s="2" t="s">
        <v>95</v>
      </c>
      <c r="D5541" s="2" t="s">
        <v>17075</v>
      </c>
      <c r="E5541" s="2" t="s">
        <v>17076</v>
      </c>
      <c r="F5541" s="4">
        <v>4813</v>
      </c>
      <c r="G5541" s="2" t="s">
        <v>63</v>
      </c>
      <c r="H5541" s="2" t="s">
        <v>34</v>
      </c>
      <c r="I5541" s="2" t="s">
        <v>17077</v>
      </c>
      <c r="J5541" s="2" t="s">
        <v>17078</v>
      </c>
      <c r="K5541" s="2" t="s">
        <v>551</v>
      </c>
      <c r="L5541" s="2" t="s">
        <v>1049</v>
      </c>
      <c r="M5541" s="2"/>
      <c r="N5541" s="2"/>
      <c r="O5541" s="2"/>
      <c r="P5541" s="2" t="s">
        <v>17079</v>
      </c>
      <c r="Q5541" s="6">
        <v>100</v>
      </c>
      <c r="R5541" s="6">
        <v>20.7</v>
      </c>
      <c r="S5541" s="2"/>
      <c r="T5541" s="2"/>
      <c r="U5541" s="2"/>
      <c r="V5541" s="2"/>
      <c r="W5541" s="7">
        <v>13.938000000000001</v>
      </c>
      <c r="X5541" s="5">
        <v>15.5</v>
      </c>
      <c r="Y5541" s="7">
        <v>18.375</v>
      </c>
      <c r="Z5541" s="6">
        <v>17.75</v>
      </c>
      <c r="AA5541" s="6">
        <v>21.32</v>
      </c>
      <c r="AB5541" s="2" t="s">
        <v>47</v>
      </c>
      <c r="AC5541" s="6">
        <v>2.08</v>
      </c>
    </row>
    <row r="5542" spans="1:29" ht="78" x14ac:dyDescent="0.15">
      <c r="A5542" s="3">
        <f>DATE(2000,6,20)</f>
        <v>36697</v>
      </c>
      <c r="B5542" s="3">
        <f>DATE(2000,10,27)</f>
        <v>36826</v>
      </c>
      <c r="C5542" s="2" t="s">
        <v>95</v>
      </c>
      <c r="D5542" s="2" t="s">
        <v>17080</v>
      </c>
      <c r="E5542" s="2" t="s">
        <v>8744</v>
      </c>
      <c r="F5542" s="4">
        <v>8742</v>
      </c>
      <c r="G5542" s="2" t="s">
        <v>223</v>
      </c>
      <c r="H5542" s="2" t="s">
        <v>34</v>
      </c>
      <c r="I5542" s="2" t="s">
        <v>17081</v>
      </c>
      <c r="J5542" s="2" t="s">
        <v>17082</v>
      </c>
      <c r="K5542" s="2" t="s">
        <v>223</v>
      </c>
      <c r="L5542" s="2" t="s">
        <v>303</v>
      </c>
      <c r="M5542" s="2"/>
      <c r="N5542" s="2"/>
      <c r="O5542" s="2"/>
      <c r="P5542" s="2" t="s">
        <v>17083</v>
      </c>
      <c r="Q5542" s="6">
        <v>100</v>
      </c>
      <c r="R5542" s="6">
        <v>5.32</v>
      </c>
      <c r="S5542" s="5">
        <v>-10.199999999999999</v>
      </c>
      <c r="T5542" s="5">
        <v>-0.6</v>
      </c>
      <c r="U5542" s="5">
        <v>4.0999999999999996</v>
      </c>
      <c r="V5542" s="6">
        <v>-0.6</v>
      </c>
      <c r="W5542" s="7">
        <v>3.5630000000000002</v>
      </c>
      <c r="X5542" s="6">
        <v>4.75</v>
      </c>
      <c r="Y5542" s="7">
        <v>4.8129999999999997</v>
      </c>
      <c r="Z5542" s="7">
        <v>4.8129999999999997</v>
      </c>
      <c r="AA5542" s="6">
        <v>17.93</v>
      </c>
      <c r="AB5542" s="2" t="s">
        <v>86</v>
      </c>
      <c r="AC5542" s="2"/>
    </row>
    <row r="5543" spans="1:29" ht="143" x14ac:dyDescent="0.15">
      <c r="A5543" s="3">
        <f>DATE(2000,6,20)</f>
        <v>36697</v>
      </c>
      <c r="B5543" s="3">
        <f>DATE(2000,8,2)</f>
        <v>36740</v>
      </c>
      <c r="C5543" s="2" t="s">
        <v>95</v>
      </c>
      <c r="D5543" s="2" t="s">
        <v>986</v>
      </c>
      <c r="E5543" s="2" t="s">
        <v>987</v>
      </c>
      <c r="F5543" s="4">
        <v>3251</v>
      </c>
      <c r="G5543" s="2" t="s">
        <v>237</v>
      </c>
      <c r="H5543" s="2" t="s">
        <v>34</v>
      </c>
      <c r="I5543" s="2" t="s">
        <v>6692</v>
      </c>
      <c r="J5543" s="2" t="s">
        <v>4875</v>
      </c>
      <c r="K5543" s="2" t="s">
        <v>125</v>
      </c>
      <c r="L5543" s="2" t="s">
        <v>34</v>
      </c>
      <c r="M5543" s="12">
        <v>85773.514999999999</v>
      </c>
      <c r="N5543" s="4">
        <v>57100</v>
      </c>
      <c r="O5543" s="4">
        <v>56900</v>
      </c>
      <c r="P5543" s="2" t="s">
        <v>17084</v>
      </c>
      <c r="Q5543" s="6">
        <v>100</v>
      </c>
      <c r="R5543" s="6">
        <v>22</v>
      </c>
      <c r="S5543" s="5">
        <v>32</v>
      </c>
      <c r="T5543" s="6">
        <v>86.93</v>
      </c>
      <c r="U5543" s="5">
        <v>12.3</v>
      </c>
      <c r="V5543" s="6">
        <v>1.24</v>
      </c>
      <c r="W5543" s="7">
        <v>16.375</v>
      </c>
      <c r="X5543" s="7">
        <v>17.875</v>
      </c>
      <c r="Y5543" s="7">
        <v>21.875</v>
      </c>
      <c r="Z5543" s="7">
        <v>21.875</v>
      </c>
      <c r="AA5543" s="6">
        <v>25.74</v>
      </c>
      <c r="AB5543" s="7">
        <v>9.6969999999999992</v>
      </c>
      <c r="AC5543" s="8">
        <v>2891</v>
      </c>
    </row>
    <row r="5544" spans="1:29" ht="169" x14ac:dyDescent="0.15">
      <c r="A5544" s="3">
        <f>DATE(2000,6,20)</f>
        <v>36697</v>
      </c>
      <c r="B5544" s="3">
        <f>DATE(2000,12,27)</f>
        <v>36887</v>
      </c>
      <c r="C5544" s="2" t="s">
        <v>95</v>
      </c>
      <c r="D5544" s="2" t="s">
        <v>3858</v>
      </c>
      <c r="E5544" s="2" t="s">
        <v>3859</v>
      </c>
      <c r="F5544" s="4">
        <v>7372</v>
      </c>
      <c r="G5544" s="2" t="s">
        <v>551</v>
      </c>
      <c r="H5544" s="2" t="s">
        <v>34</v>
      </c>
      <c r="I5544" s="2" t="s">
        <v>7836</v>
      </c>
      <c r="J5544" s="2" t="s">
        <v>7837</v>
      </c>
      <c r="K5544" s="2" t="s">
        <v>223</v>
      </c>
      <c r="L5544" s="2" t="s">
        <v>34</v>
      </c>
      <c r="M5544" s="10">
        <v>14877.44</v>
      </c>
      <c r="N5544" s="7">
        <v>71.313000000000002</v>
      </c>
      <c r="O5544" s="5">
        <v>74.5</v>
      </c>
      <c r="P5544" s="2" t="s">
        <v>17085</v>
      </c>
      <c r="Q5544" s="6">
        <v>100</v>
      </c>
      <c r="R5544" s="6">
        <v>16</v>
      </c>
      <c r="S5544" s="5">
        <v>-98.1</v>
      </c>
      <c r="T5544" s="5">
        <v>92.7</v>
      </c>
      <c r="U5544" s="5">
        <v>8.6</v>
      </c>
      <c r="V5544" s="6">
        <v>-2.77</v>
      </c>
      <c r="W5544" s="7">
        <v>8.625</v>
      </c>
      <c r="X5544" s="6">
        <v>8.75</v>
      </c>
      <c r="Y5544" s="4">
        <v>12</v>
      </c>
      <c r="Z5544" s="7">
        <v>11.188000000000001</v>
      </c>
      <c r="AA5544" s="6">
        <v>35.590000000000003</v>
      </c>
      <c r="AB5544" s="2" t="s">
        <v>86</v>
      </c>
      <c r="AC5544" s="5">
        <v>260.39999999999998</v>
      </c>
    </row>
    <row r="5545" spans="1:29" ht="130" x14ac:dyDescent="0.15">
      <c r="A5545" s="3">
        <f>DATE(2000,6,21)</f>
        <v>36698</v>
      </c>
      <c r="B5545" s="3">
        <f>DATE(2001,1,11)</f>
        <v>36902</v>
      </c>
      <c r="C5545" s="2" t="s">
        <v>95</v>
      </c>
      <c r="D5545" s="2" t="s">
        <v>1664</v>
      </c>
      <c r="E5545" s="2" t="s">
        <v>1665</v>
      </c>
      <c r="F5545" s="4">
        <v>1041</v>
      </c>
      <c r="G5545" s="2" t="s">
        <v>166</v>
      </c>
      <c r="H5545" s="2" t="s">
        <v>34</v>
      </c>
      <c r="I5545" s="2" t="s">
        <v>1990</v>
      </c>
      <c r="J5545" s="2" t="s">
        <v>1248</v>
      </c>
      <c r="K5545" s="2" t="s">
        <v>166</v>
      </c>
      <c r="L5545" s="2" t="s">
        <v>34</v>
      </c>
      <c r="M5545" s="12">
        <v>4175.9459999999999</v>
      </c>
      <c r="N5545" s="7">
        <v>22.437999999999999</v>
      </c>
      <c r="O5545" s="7">
        <v>21.937999999999999</v>
      </c>
      <c r="P5545" s="2" t="s">
        <v>17086</v>
      </c>
      <c r="Q5545" s="6">
        <v>100</v>
      </c>
      <c r="R5545" s="6">
        <v>2.42</v>
      </c>
      <c r="S5545" s="5">
        <v>-109.1</v>
      </c>
      <c r="T5545" s="5">
        <v>52.9</v>
      </c>
      <c r="U5545" s="5">
        <v>-0.1</v>
      </c>
      <c r="V5545" s="6">
        <v>-0.5</v>
      </c>
      <c r="W5545" s="7">
        <v>2.1880000000000002</v>
      </c>
      <c r="X5545" s="7">
        <v>1.875</v>
      </c>
      <c r="Y5545" s="7">
        <v>2.3130000000000002</v>
      </c>
      <c r="Z5545" s="7">
        <v>2.125</v>
      </c>
      <c r="AA5545" s="6">
        <v>229.89</v>
      </c>
      <c r="AB5545" s="2" t="s">
        <v>86</v>
      </c>
      <c r="AC5545" s="5">
        <v>90.7</v>
      </c>
    </row>
    <row r="5546" spans="1:29" ht="169" x14ac:dyDescent="0.15">
      <c r="A5546" s="3">
        <f>DATE(2000,6,21)</f>
        <v>36698</v>
      </c>
      <c r="B5546" s="3">
        <f>DATE(2000,8,25)</f>
        <v>36763</v>
      </c>
      <c r="C5546" s="2" t="s">
        <v>95</v>
      </c>
      <c r="D5546" s="2" t="s">
        <v>17087</v>
      </c>
      <c r="E5546" s="2" t="s">
        <v>17088</v>
      </c>
      <c r="F5546" s="4">
        <v>3674</v>
      </c>
      <c r="G5546" s="2" t="s">
        <v>137</v>
      </c>
      <c r="H5546" s="2" t="s">
        <v>34</v>
      </c>
      <c r="I5546" s="2" t="s">
        <v>10973</v>
      </c>
      <c r="J5546" s="2" t="s">
        <v>10974</v>
      </c>
      <c r="K5546" s="2" t="s">
        <v>137</v>
      </c>
      <c r="L5546" s="2" t="s">
        <v>34</v>
      </c>
      <c r="M5546" s="12">
        <v>55944.161999999997</v>
      </c>
      <c r="N5546" s="6">
        <v>87.25</v>
      </c>
      <c r="O5546" s="7">
        <v>79.625</v>
      </c>
      <c r="P5546" s="2" t="s">
        <v>17089</v>
      </c>
      <c r="Q5546" s="6">
        <v>100</v>
      </c>
      <c r="R5546" s="6">
        <v>112.94</v>
      </c>
      <c r="S5546" s="5">
        <v>56.8</v>
      </c>
      <c r="T5546" s="7">
        <v>93.537000000000006</v>
      </c>
      <c r="U5546" s="5">
        <v>6.2</v>
      </c>
      <c r="V5546" s="9">
        <v>0.95669999999999999</v>
      </c>
      <c r="W5546" s="4">
        <v>62</v>
      </c>
      <c r="X5546" s="7">
        <v>75.375</v>
      </c>
      <c r="Y5546" s="7">
        <v>72.625</v>
      </c>
      <c r="Z5546" s="4">
        <v>100</v>
      </c>
      <c r="AA5546" s="6">
        <v>56.04</v>
      </c>
      <c r="AB5546" s="7">
        <v>91.917000000000002</v>
      </c>
      <c r="AC5546" s="5">
        <v>675</v>
      </c>
    </row>
    <row r="5547" spans="1:29" ht="91" x14ac:dyDescent="0.15">
      <c r="A5547" s="3">
        <f>DATE(2000,6,21)</f>
        <v>36698</v>
      </c>
      <c r="B5547" s="3">
        <f>DATE(2000,12,28)</f>
        <v>36888</v>
      </c>
      <c r="C5547" s="2" t="s">
        <v>95</v>
      </c>
      <c r="D5547" s="2" t="s">
        <v>17090</v>
      </c>
      <c r="E5547" s="2" t="s">
        <v>17091</v>
      </c>
      <c r="F5547" s="4">
        <v>2452</v>
      </c>
      <c r="G5547" s="2" t="s">
        <v>250</v>
      </c>
      <c r="H5547" s="2" t="s">
        <v>34</v>
      </c>
      <c r="I5547" s="2" t="s">
        <v>51</v>
      </c>
      <c r="J5547" s="2" t="s">
        <v>52</v>
      </c>
      <c r="K5547" s="2" t="s">
        <v>53</v>
      </c>
      <c r="L5547" s="2" t="s">
        <v>34</v>
      </c>
      <c r="M5547" s="2"/>
      <c r="N5547" s="2"/>
      <c r="O5547" s="2"/>
      <c r="P5547" s="2" t="s">
        <v>17092</v>
      </c>
      <c r="Q5547" s="6">
        <v>100</v>
      </c>
      <c r="R5547" s="6">
        <v>2.5499999999999998</v>
      </c>
      <c r="S5547" s="5">
        <v>0.4</v>
      </c>
      <c r="T5547" s="5">
        <v>1.2</v>
      </c>
      <c r="U5547" s="5">
        <v>2.1</v>
      </c>
      <c r="V5547" s="6">
        <v>0.2</v>
      </c>
      <c r="W5547" s="7">
        <v>1.7030000000000001</v>
      </c>
      <c r="X5547" s="7">
        <v>1.8129999999999999</v>
      </c>
      <c r="Y5547" s="6">
        <v>2.25</v>
      </c>
      <c r="Z5547" s="7">
        <v>2.125</v>
      </c>
      <c r="AA5547" s="6">
        <v>2.2400000000000002</v>
      </c>
      <c r="AB5547" s="7">
        <v>11.449</v>
      </c>
      <c r="AC5547" s="2"/>
    </row>
    <row r="5548" spans="1:29" ht="52" x14ac:dyDescent="0.15">
      <c r="A5548" s="3">
        <f>DATE(2000,6,21)</f>
        <v>36698</v>
      </c>
      <c r="B5548" s="3">
        <f>DATE(2000,12,4)</f>
        <v>36864</v>
      </c>
      <c r="C5548" s="2" t="s">
        <v>95</v>
      </c>
      <c r="D5548" s="2" t="s">
        <v>17093</v>
      </c>
      <c r="E5548" s="2" t="s">
        <v>17094</v>
      </c>
      <c r="F5548" s="4">
        <v>3571</v>
      </c>
      <c r="G5548" s="2" t="s">
        <v>50</v>
      </c>
      <c r="H5548" s="2" t="s">
        <v>34</v>
      </c>
      <c r="I5548" s="2" t="s">
        <v>17095</v>
      </c>
      <c r="J5548" s="2" t="s">
        <v>17096</v>
      </c>
      <c r="K5548" s="2" t="s">
        <v>50</v>
      </c>
      <c r="L5548" s="2" t="s">
        <v>1049</v>
      </c>
      <c r="M5548" s="2"/>
      <c r="N5548" s="2"/>
      <c r="O5548" s="2"/>
      <c r="P5548" s="2" t="s">
        <v>17097</v>
      </c>
      <c r="Q5548" s="6">
        <v>51</v>
      </c>
      <c r="R5548" s="2"/>
      <c r="S5548" s="5">
        <v>-14.2</v>
      </c>
      <c r="T5548" s="7">
        <v>-11.766</v>
      </c>
      <c r="U5548" s="5">
        <v>-0.7</v>
      </c>
      <c r="V5548" s="6">
        <v>-1.66</v>
      </c>
      <c r="W5548" s="4">
        <v>1</v>
      </c>
      <c r="X5548" s="11">
        <v>1.03125</v>
      </c>
      <c r="Y5548" s="11">
        <v>0.96875</v>
      </c>
      <c r="Z5548" s="7">
        <v>0.875</v>
      </c>
      <c r="AA5548" s="6">
        <v>8.89</v>
      </c>
      <c r="AB5548" s="2" t="s">
        <v>86</v>
      </c>
      <c r="AC5548" s="6">
        <v>10.46</v>
      </c>
    </row>
    <row r="5549" spans="1:29" ht="104" x14ac:dyDescent="0.15">
      <c r="A5549" s="3">
        <f>DATE(2000,6,22)</f>
        <v>36699</v>
      </c>
      <c r="B5549" s="2"/>
      <c r="C5549" s="2" t="s">
        <v>7330</v>
      </c>
      <c r="D5549" s="2" t="s">
        <v>15722</v>
      </c>
      <c r="E5549" s="2" t="s">
        <v>15723</v>
      </c>
      <c r="F5549" s="4">
        <v>8299</v>
      </c>
      <c r="G5549" s="2" t="s">
        <v>415</v>
      </c>
      <c r="H5549" s="2" t="s">
        <v>34</v>
      </c>
      <c r="I5549" s="2" t="s">
        <v>15724</v>
      </c>
      <c r="J5549" s="2" t="s">
        <v>1072</v>
      </c>
      <c r="K5549" s="2" t="s">
        <v>53</v>
      </c>
      <c r="L5549" s="2" t="s">
        <v>34</v>
      </c>
      <c r="M5549" s="2"/>
      <c r="N5549" s="2"/>
      <c r="O5549" s="2"/>
      <c r="P5549" s="2" t="s">
        <v>17098</v>
      </c>
      <c r="Q5549" s="2"/>
      <c r="R5549" s="6">
        <v>10</v>
      </c>
      <c r="S5549" s="5">
        <v>1.1000000000000001</v>
      </c>
      <c r="T5549" s="5">
        <v>1.8</v>
      </c>
      <c r="U5549" s="5">
        <v>6.9</v>
      </c>
      <c r="V5549" s="6">
        <v>0.95</v>
      </c>
      <c r="W5549" s="7">
        <v>9.375</v>
      </c>
      <c r="X5549" s="7">
        <v>9.375</v>
      </c>
      <c r="Y5549" s="5">
        <v>9.5</v>
      </c>
      <c r="Z5549" s="5">
        <v>9.5</v>
      </c>
      <c r="AA5549" s="6">
        <v>1.08</v>
      </c>
      <c r="AB5549" s="7">
        <v>17.632999999999999</v>
      </c>
      <c r="AC5549" s="2"/>
    </row>
    <row r="5550" spans="1:29" ht="65" x14ac:dyDescent="0.15">
      <c r="A5550" s="3">
        <f>DATE(2000,6,22)</f>
        <v>36699</v>
      </c>
      <c r="B5550" s="3">
        <f>DATE(2000,10,20)</f>
        <v>36819</v>
      </c>
      <c r="C5550" s="2" t="s">
        <v>95</v>
      </c>
      <c r="D5550" s="2" t="s">
        <v>17099</v>
      </c>
      <c r="E5550" s="2" t="s">
        <v>386</v>
      </c>
      <c r="F5550" s="4">
        <v>6726</v>
      </c>
      <c r="G5550" s="2" t="s">
        <v>53</v>
      </c>
      <c r="H5550" s="2" t="s">
        <v>34</v>
      </c>
      <c r="I5550" s="2" t="s">
        <v>17100</v>
      </c>
      <c r="J5550" s="2" t="s">
        <v>595</v>
      </c>
      <c r="K5550" s="2" t="s">
        <v>53</v>
      </c>
      <c r="L5550" s="2" t="s">
        <v>34</v>
      </c>
      <c r="M5550" s="2"/>
      <c r="N5550" s="2"/>
      <c r="O5550" s="2"/>
      <c r="P5550" s="2" t="s">
        <v>17101</v>
      </c>
      <c r="Q5550" s="6">
        <v>100</v>
      </c>
      <c r="R5550" s="2"/>
      <c r="S5550" s="5">
        <v>4.0999999999999996</v>
      </c>
      <c r="T5550" s="2"/>
      <c r="U5550" s="5">
        <v>9.6999999999999993</v>
      </c>
      <c r="V5550" s="7">
        <v>0.27700000000000002</v>
      </c>
      <c r="W5550" s="7">
        <v>7.9379999999999997</v>
      </c>
      <c r="X5550" s="4">
        <v>8</v>
      </c>
      <c r="Y5550" s="7">
        <v>9.0630000000000006</v>
      </c>
      <c r="Z5550" s="7">
        <v>9.125</v>
      </c>
      <c r="AA5550" s="6">
        <v>14.64</v>
      </c>
      <c r="AB5550" s="2" t="s">
        <v>47</v>
      </c>
      <c r="AC5550" s="2"/>
    </row>
    <row r="5551" spans="1:29" ht="130" x14ac:dyDescent="0.15">
      <c r="A5551" s="3">
        <f>DATE(2000,6,22)</f>
        <v>36699</v>
      </c>
      <c r="B5551" s="2"/>
      <c r="C5551" s="2" t="s">
        <v>30</v>
      </c>
      <c r="D5551" s="2" t="s">
        <v>17102</v>
      </c>
      <c r="E5551" s="2" t="s">
        <v>17103</v>
      </c>
      <c r="F5551" s="4">
        <v>5047</v>
      </c>
      <c r="G5551" s="2" t="s">
        <v>76</v>
      </c>
      <c r="H5551" s="2" t="s">
        <v>34</v>
      </c>
      <c r="I5551" s="2" t="s">
        <v>9840</v>
      </c>
      <c r="J5551" s="2" t="s">
        <v>9841</v>
      </c>
      <c r="K5551" s="2" t="s">
        <v>226</v>
      </c>
      <c r="L5551" s="2" t="s">
        <v>34</v>
      </c>
      <c r="M5551" s="12">
        <v>1283.039</v>
      </c>
      <c r="N5551" s="7">
        <v>28.375</v>
      </c>
      <c r="O5551" s="7">
        <v>27.125</v>
      </c>
      <c r="P5551" s="2" t="s">
        <v>17104</v>
      </c>
      <c r="Q5551" s="2"/>
      <c r="R5551" s="6">
        <v>11.86</v>
      </c>
      <c r="S5551" s="5">
        <v>22.2</v>
      </c>
      <c r="T5551" s="5">
        <v>65.8</v>
      </c>
      <c r="U5551" s="5">
        <v>6.2</v>
      </c>
      <c r="V5551" s="6">
        <v>0.31</v>
      </c>
      <c r="W5551" s="6">
        <v>9.75</v>
      </c>
      <c r="X5551" s="7">
        <v>9.875</v>
      </c>
      <c r="Y5551" s="11">
        <v>7.46875</v>
      </c>
      <c r="Z5551" s="11">
        <v>7.40625</v>
      </c>
      <c r="AA5551" s="6">
        <v>70.86</v>
      </c>
      <c r="AB5551" s="7">
        <v>23.327999999999999</v>
      </c>
      <c r="AC5551" s="5">
        <v>55.2</v>
      </c>
    </row>
    <row r="5552" spans="1:29" ht="78" x14ac:dyDescent="0.15">
      <c r="A5552" s="3">
        <f>DATE(2000,6,23)</f>
        <v>36700</v>
      </c>
      <c r="B5552" s="3">
        <f>DATE(2000,8,24)</f>
        <v>36762</v>
      </c>
      <c r="C5552" s="2" t="s">
        <v>95</v>
      </c>
      <c r="D5552" s="2" t="s">
        <v>11708</v>
      </c>
      <c r="E5552" s="2" t="s">
        <v>11709</v>
      </c>
      <c r="F5552" s="4">
        <v>2032</v>
      </c>
      <c r="G5552" s="2" t="s">
        <v>577</v>
      </c>
      <c r="H5552" s="2" t="s">
        <v>34</v>
      </c>
      <c r="I5552" s="2" t="s">
        <v>1859</v>
      </c>
      <c r="J5552" s="2" t="s">
        <v>1860</v>
      </c>
      <c r="K5552" s="2" t="s">
        <v>577</v>
      </c>
      <c r="L5552" s="2" t="s">
        <v>34</v>
      </c>
      <c r="M5552" s="12">
        <v>11290.968999999999</v>
      </c>
      <c r="N5552" s="5">
        <v>18.5</v>
      </c>
      <c r="O5552" s="6">
        <v>19.75</v>
      </c>
      <c r="P5552" s="2" t="s">
        <v>17105</v>
      </c>
      <c r="Q5552" s="6">
        <v>100</v>
      </c>
      <c r="R5552" s="6">
        <v>21.77</v>
      </c>
      <c r="S5552" s="5">
        <v>97.4</v>
      </c>
      <c r="T5552" s="7">
        <v>335.697</v>
      </c>
      <c r="U5552" s="5">
        <v>2.2999999999999998</v>
      </c>
      <c r="V5552" s="6">
        <v>1.28</v>
      </c>
      <c r="W5552" s="7">
        <v>16.312999999999999</v>
      </c>
      <c r="X5552" s="7">
        <v>15.313000000000001</v>
      </c>
      <c r="Y5552" s="7">
        <v>20.625</v>
      </c>
      <c r="Z5552" s="7">
        <v>20.875</v>
      </c>
      <c r="AA5552" s="6">
        <v>73.959999999999994</v>
      </c>
      <c r="AB5552" s="7">
        <v>9.8889999999999993</v>
      </c>
      <c r="AC5552" s="5">
        <v>157.6</v>
      </c>
    </row>
    <row r="5553" spans="1:29" ht="169" x14ac:dyDescent="0.15">
      <c r="A5553" s="3">
        <f>DATE(2000,6,23)</f>
        <v>36700</v>
      </c>
      <c r="B5553" s="2"/>
      <c r="C5553" s="2" t="s">
        <v>30</v>
      </c>
      <c r="D5553" s="2" t="s">
        <v>17106</v>
      </c>
      <c r="E5553" s="2" t="s">
        <v>17107</v>
      </c>
      <c r="F5553" s="4">
        <v>3296</v>
      </c>
      <c r="G5553" s="2" t="s">
        <v>237</v>
      </c>
      <c r="H5553" s="2" t="s">
        <v>34</v>
      </c>
      <c r="I5553" s="2" t="s">
        <v>51</v>
      </c>
      <c r="J5553" s="2" t="s">
        <v>52</v>
      </c>
      <c r="K5553" s="2" t="s">
        <v>53</v>
      </c>
      <c r="L5553" s="2" t="s">
        <v>34</v>
      </c>
      <c r="M5553" s="2"/>
      <c r="N5553" s="2"/>
      <c r="O5553" s="2"/>
      <c r="P5553" s="2" t="s">
        <v>17108</v>
      </c>
      <c r="Q5553" s="2"/>
      <c r="R5553" s="6">
        <v>15.63</v>
      </c>
      <c r="S5553" s="5">
        <v>185.3</v>
      </c>
      <c r="T5553" s="5">
        <v>347.7</v>
      </c>
      <c r="U5553" s="5">
        <v>5</v>
      </c>
      <c r="V5553" s="6">
        <v>1.1499999999999999</v>
      </c>
      <c r="W5553" s="6">
        <v>15.25</v>
      </c>
      <c r="X5553" s="4">
        <v>18</v>
      </c>
      <c r="Y5553" s="6">
        <v>18.25</v>
      </c>
      <c r="Z5553" s="4">
        <v>18</v>
      </c>
      <c r="AA5553" s="6">
        <v>147.69999999999999</v>
      </c>
      <c r="AB5553" s="7">
        <v>12.148</v>
      </c>
      <c r="AC5553" s="2"/>
    </row>
    <row r="5554" spans="1:29" ht="143" x14ac:dyDescent="0.15">
      <c r="A5554" s="3">
        <f>DATE(2000,6,23)</f>
        <v>36700</v>
      </c>
      <c r="B5554" s="3">
        <f>DATE(2001,6,27)</f>
        <v>37069</v>
      </c>
      <c r="C5554" s="2" t="s">
        <v>95</v>
      </c>
      <c r="D5554" s="2" t="s">
        <v>17109</v>
      </c>
      <c r="E5554" s="2" t="s">
        <v>17110</v>
      </c>
      <c r="F5554" s="4">
        <v>6331</v>
      </c>
      <c r="G5554" s="2" t="s">
        <v>125</v>
      </c>
      <c r="H5554" s="2" t="s">
        <v>34</v>
      </c>
      <c r="I5554" s="2" t="s">
        <v>17111</v>
      </c>
      <c r="J5554" s="2" t="s">
        <v>1072</v>
      </c>
      <c r="K5554" s="2" t="s">
        <v>53</v>
      </c>
      <c r="L5554" s="2" t="s">
        <v>34</v>
      </c>
      <c r="M5554" s="7">
        <v>251.61500000000001</v>
      </c>
      <c r="N5554" s="7">
        <v>10.875</v>
      </c>
      <c r="O5554" s="7">
        <v>10.938000000000001</v>
      </c>
      <c r="P5554" s="2" t="s">
        <v>17112</v>
      </c>
      <c r="Q5554" s="6">
        <v>100</v>
      </c>
      <c r="R5554" s="6">
        <v>27.52</v>
      </c>
      <c r="S5554" s="5">
        <v>22.3</v>
      </c>
      <c r="T5554" s="5">
        <v>33.6</v>
      </c>
      <c r="U5554" s="5">
        <v>24.6</v>
      </c>
      <c r="V5554" s="6">
        <v>2.2999999999999998</v>
      </c>
      <c r="W5554" s="5">
        <v>14.5</v>
      </c>
      <c r="X5554" s="4">
        <v>16</v>
      </c>
      <c r="Y5554" s="11">
        <v>22.859375</v>
      </c>
      <c r="Z5554" s="9">
        <v>22.8125</v>
      </c>
      <c r="AA5554" s="6">
        <v>8.85</v>
      </c>
      <c r="AB5554" s="7">
        <v>8.4209999999999994</v>
      </c>
      <c r="AC5554" s="5">
        <v>13.8</v>
      </c>
    </row>
    <row r="5555" spans="1:29" ht="195" x14ac:dyDescent="0.15">
      <c r="A5555" s="3">
        <f>DATE(2000,6,25)</f>
        <v>36702</v>
      </c>
      <c r="B5555" s="3">
        <f>DATE(2000,12,11)</f>
        <v>36871</v>
      </c>
      <c r="C5555" s="2" t="s">
        <v>95</v>
      </c>
      <c r="D5555" s="2" t="s">
        <v>17113</v>
      </c>
      <c r="E5555" s="2" t="s">
        <v>16696</v>
      </c>
      <c r="F5555" s="4">
        <v>2052</v>
      </c>
      <c r="G5555" s="2" t="s">
        <v>577</v>
      </c>
      <c r="H5555" s="2" t="s">
        <v>34</v>
      </c>
      <c r="I5555" s="2" t="s">
        <v>8721</v>
      </c>
      <c r="J5555" s="2" t="s">
        <v>8722</v>
      </c>
      <c r="K5555" s="2" t="s">
        <v>5397</v>
      </c>
      <c r="L5555" s="2" t="s">
        <v>34</v>
      </c>
      <c r="M5555" s="12">
        <v>62742.178</v>
      </c>
      <c r="N5555" s="6">
        <v>27.25</v>
      </c>
      <c r="O5555" s="6">
        <v>27.25</v>
      </c>
      <c r="P5555" s="2" t="s">
        <v>17114</v>
      </c>
      <c r="Q5555" s="6">
        <v>100</v>
      </c>
      <c r="R5555" s="6">
        <v>55</v>
      </c>
      <c r="S5555" s="5">
        <v>384</v>
      </c>
      <c r="T5555" s="8">
        <v>1393</v>
      </c>
      <c r="U5555" s="5">
        <v>14.9</v>
      </c>
      <c r="V5555" s="6">
        <v>1.45</v>
      </c>
      <c r="W5555" s="6">
        <v>52.25</v>
      </c>
      <c r="X5555" s="7">
        <v>51.625</v>
      </c>
      <c r="Y5555" s="2"/>
      <c r="Z5555" s="6">
        <v>52.75</v>
      </c>
      <c r="AA5555" s="6">
        <v>264.69</v>
      </c>
      <c r="AB5555" s="7">
        <v>21.177</v>
      </c>
      <c r="AC5555" s="8">
        <v>4226</v>
      </c>
    </row>
    <row r="5556" spans="1:29" ht="195" x14ac:dyDescent="0.15">
      <c r="A5556" s="3">
        <f>DATE(2000,6,25)</f>
        <v>36702</v>
      </c>
      <c r="B5556" s="3">
        <f>DATE(2000,12,11)</f>
        <v>36871</v>
      </c>
      <c r="C5556" s="2" t="s">
        <v>95</v>
      </c>
      <c r="D5556" s="2" t="s">
        <v>16695</v>
      </c>
      <c r="E5556" s="2" t="s">
        <v>16696</v>
      </c>
      <c r="F5556" s="4">
        <v>2052</v>
      </c>
      <c r="G5556" s="2" t="s">
        <v>577</v>
      </c>
      <c r="H5556" s="2" t="s">
        <v>34</v>
      </c>
      <c r="I5556" s="2" t="s">
        <v>17115</v>
      </c>
      <c r="J5556" s="2" t="s">
        <v>17116</v>
      </c>
      <c r="K5556" s="2" t="s">
        <v>5397</v>
      </c>
      <c r="L5556" s="2" t="s">
        <v>34</v>
      </c>
      <c r="M5556" s="12">
        <v>2849.5940000000001</v>
      </c>
      <c r="N5556" s="7">
        <v>28.375</v>
      </c>
      <c r="O5556" s="7">
        <v>28.375</v>
      </c>
      <c r="P5556" s="2" t="s">
        <v>17117</v>
      </c>
      <c r="Q5556" s="6">
        <v>100</v>
      </c>
      <c r="R5556" s="6">
        <v>30</v>
      </c>
      <c r="S5556" s="5">
        <v>292</v>
      </c>
      <c r="T5556" s="8">
        <v>1386</v>
      </c>
      <c r="U5556" s="5">
        <v>9.6999999999999993</v>
      </c>
      <c r="V5556" s="6">
        <v>0.88</v>
      </c>
      <c r="W5556" s="7">
        <v>9.875</v>
      </c>
      <c r="X5556" s="7">
        <v>9.3130000000000006</v>
      </c>
      <c r="Y5556" s="6">
        <v>11.75</v>
      </c>
      <c r="Z5556" s="7">
        <v>12.063000000000001</v>
      </c>
      <c r="AA5556" s="6">
        <v>362.44</v>
      </c>
      <c r="AB5556" s="7">
        <v>15.531000000000001</v>
      </c>
      <c r="AC5556" s="8">
        <v>1287</v>
      </c>
    </row>
    <row r="5557" spans="1:29" ht="195" x14ac:dyDescent="0.15">
      <c r="A5557" s="3">
        <f t="shared" ref="A5557:A5562" si="132">DATE(2000,6,26)</f>
        <v>36703</v>
      </c>
      <c r="B5557" s="2"/>
      <c r="C5557" s="2" t="s">
        <v>30</v>
      </c>
      <c r="D5557" s="2" t="s">
        <v>16776</v>
      </c>
      <c r="E5557" s="2" t="s">
        <v>36</v>
      </c>
      <c r="F5557" s="4">
        <v>6036</v>
      </c>
      <c r="G5557" s="2" t="s">
        <v>33</v>
      </c>
      <c r="H5557" s="2" t="s">
        <v>34</v>
      </c>
      <c r="I5557" s="2" t="s">
        <v>35</v>
      </c>
      <c r="J5557" s="2" t="s">
        <v>36</v>
      </c>
      <c r="K5557" s="2" t="s">
        <v>37</v>
      </c>
      <c r="L5557" s="2" t="s">
        <v>34</v>
      </c>
      <c r="M5557" s="7">
        <v>615.25400000000002</v>
      </c>
      <c r="N5557" s="7">
        <v>11.125</v>
      </c>
      <c r="O5557" s="7">
        <v>11.375</v>
      </c>
      <c r="P5557" s="2" t="s">
        <v>17118</v>
      </c>
      <c r="Q5557" s="2"/>
      <c r="R5557" s="6">
        <v>18</v>
      </c>
      <c r="S5557" s="5">
        <v>5.6</v>
      </c>
      <c r="T5557" s="7">
        <v>10.179</v>
      </c>
      <c r="U5557" s="5">
        <v>13</v>
      </c>
      <c r="V5557" s="6">
        <v>0.74</v>
      </c>
      <c r="W5557" s="6">
        <v>9.75</v>
      </c>
      <c r="X5557" s="7">
        <v>9.8130000000000006</v>
      </c>
      <c r="Y5557" s="7">
        <v>9.8130000000000006</v>
      </c>
      <c r="Z5557" s="4">
        <v>11</v>
      </c>
      <c r="AA5557" s="6">
        <v>7.91</v>
      </c>
      <c r="AB5557" s="7">
        <v>83.103999999999999</v>
      </c>
      <c r="AC5557" s="5">
        <v>301.10000000000002</v>
      </c>
    </row>
    <row r="5558" spans="1:29" ht="286" x14ac:dyDescent="0.15">
      <c r="A5558" s="3">
        <f t="shared" si="132"/>
        <v>36703</v>
      </c>
      <c r="B5558" s="2"/>
      <c r="C5558" s="2" t="s">
        <v>30</v>
      </c>
      <c r="D5558" s="2" t="s">
        <v>16776</v>
      </c>
      <c r="E5558" s="2" t="s">
        <v>36</v>
      </c>
      <c r="F5558" s="4">
        <v>6036</v>
      </c>
      <c r="G5558" s="2" t="s">
        <v>33</v>
      </c>
      <c r="H5558" s="2" t="s">
        <v>34</v>
      </c>
      <c r="I5558" s="2" t="s">
        <v>11985</v>
      </c>
      <c r="J5558" s="2" t="s">
        <v>1398</v>
      </c>
      <c r="K5558" s="2" t="s">
        <v>33</v>
      </c>
      <c r="L5558" s="2" t="s">
        <v>34</v>
      </c>
      <c r="M5558" s="7">
        <v>68.819000000000003</v>
      </c>
      <c r="N5558" s="7">
        <v>15.875</v>
      </c>
      <c r="O5558" s="5">
        <v>15.5</v>
      </c>
      <c r="P5558" s="2" t="s">
        <v>17119</v>
      </c>
      <c r="Q5558" s="2"/>
      <c r="R5558" s="6">
        <v>16.5</v>
      </c>
      <c r="S5558" s="5">
        <v>5.9</v>
      </c>
      <c r="T5558" s="7">
        <v>10.593</v>
      </c>
      <c r="U5558" s="5">
        <v>15.3</v>
      </c>
      <c r="V5558" s="6">
        <v>0.74</v>
      </c>
      <c r="W5558" s="6">
        <v>9.75</v>
      </c>
      <c r="X5558" s="7">
        <v>9.8130000000000006</v>
      </c>
      <c r="Y5558" s="7">
        <v>9.8130000000000006</v>
      </c>
      <c r="Z5558" s="4">
        <v>11</v>
      </c>
      <c r="AA5558" s="6">
        <v>7.91</v>
      </c>
      <c r="AB5558" s="7">
        <v>73.198999999999998</v>
      </c>
      <c r="AC5558" s="5">
        <v>21.8</v>
      </c>
    </row>
    <row r="5559" spans="1:29" ht="143" x14ac:dyDescent="0.15">
      <c r="A5559" s="3">
        <f t="shared" si="132"/>
        <v>36703</v>
      </c>
      <c r="B5559" s="3">
        <f>DATE(2000,9,5)</f>
        <v>36774</v>
      </c>
      <c r="C5559" s="2" t="s">
        <v>95</v>
      </c>
      <c r="D5559" s="2" t="s">
        <v>17120</v>
      </c>
      <c r="E5559" s="2" t="s">
        <v>17121</v>
      </c>
      <c r="F5559" s="4">
        <v>7375</v>
      </c>
      <c r="G5559" s="2" t="s">
        <v>223</v>
      </c>
      <c r="H5559" s="2" t="s">
        <v>34</v>
      </c>
      <c r="I5559" s="2" t="s">
        <v>17122</v>
      </c>
      <c r="J5559" s="2" t="s">
        <v>17123</v>
      </c>
      <c r="K5559" s="2" t="s">
        <v>223</v>
      </c>
      <c r="L5559" s="2" t="s">
        <v>34</v>
      </c>
      <c r="M5559" s="12">
        <v>1629.691</v>
      </c>
      <c r="N5559" s="7">
        <v>7.3129999999999997</v>
      </c>
      <c r="O5559" s="7">
        <v>6.6879999999999997</v>
      </c>
      <c r="P5559" s="2" t="s">
        <v>17124</v>
      </c>
      <c r="Q5559" s="6">
        <v>100</v>
      </c>
      <c r="R5559" s="6">
        <v>9.3800000000000008</v>
      </c>
      <c r="S5559" s="5">
        <v>-109.7</v>
      </c>
      <c r="T5559" s="7">
        <v>-93.524000000000001</v>
      </c>
      <c r="U5559" s="5">
        <v>-0.7</v>
      </c>
      <c r="V5559" s="7">
        <v>-0.44700000000000001</v>
      </c>
      <c r="W5559" s="7">
        <v>7.125</v>
      </c>
      <c r="X5559" s="7">
        <v>8.0939999999999994</v>
      </c>
      <c r="Y5559" s="7">
        <v>6.875</v>
      </c>
      <c r="Z5559" s="7">
        <v>6.0629999999999997</v>
      </c>
      <c r="AA5559" s="6">
        <v>128.24</v>
      </c>
      <c r="AB5559" s="2" t="s">
        <v>86</v>
      </c>
      <c r="AC5559" s="5">
        <v>27.9</v>
      </c>
    </row>
    <row r="5560" spans="1:29" ht="221" x14ac:dyDescent="0.15">
      <c r="A5560" s="3">
        <f t="shared" si="132"/>
        <v>36703</v>
      </c>
      <c r="B5560" s="2"/>
      <c r="C5560" s="2" t="s">
        <v>30</v>
      </c>
      <c r="D5560" s="2" t="s">
        <v>14410</v>
      </c>
      <c r="E5560" s="2" t="s">
        <v>7190</v>
      </c>
      <c r="F5560" s="4">
        <v>6021</v>
      </c>
      <c r="G5560" s="2" t="s">
        <v>37</v>
      </c>
      <c r="H5560" s="2" t="s">
        <v>34</v>
      </c>
      <c r="I5560" s="2" t="s">
        <v>35</v>
      </c>
      <c r="J5560" s="2" t="s">
        <v>36</v>
      </c>
      <c r="K5560" s="2" t="s">
        <v>37</v>
      </c>
      <c r="L5560" s="2" t="s">
        <v>34</v>
      </c>
      <c r="M5560" s="7">
        <v>615.25400000000002</v>
      </c>
      <c r="N5560" s="7">
        <v>11.125</v>
      </c>
      <c r="O5560" s="7">
        <v>11.375</v>
      </c>
      <c r="P5560" s="2" t="s">
        <v>17125</v>
      </c>
      <c r="Q5560" s="2"/>
      <c r="R5560" s="6">
        <v>17</v>
      </c>
      <c r="S5560" s="5">
        <v>9.5</v>
      </c>
      <c r="T5560" s="5">
        <v>17.399999999999999</v>
      </c>
      <c r="U5560" s="5">
        <v>12.9</v>
      </c>
      <c r="V5560" s="6">
        <v>0.65</v>
      </c>
      <c r="W5560" s="7">
        <v>11.063000000000001</v>
      </c>
      <c r="X5560" s="7">
        <v>10.375</v>
      </c>
      <c r="Y5560" s="4">
        <v>12</v>
      </c>
      <c r="Z5560" s="9">
        <v>12.0625</v>
      </c>
      <c r="AA5560" s="6">
        <v>15.36</v>
      </c>
      <c r="AB5560" s="7">
        <v>79.22</v>
      </c>
      <c r="AC5560" s="5">
        <v>64.5</v>
      </c>
    </row>
    <row r="5561" spans="1:29" ht="65" x14ac:dyDescent="0.15">
      <c r="A5561" s="3">
        <f t="shared" si="132"/>
        <v>36703</v>
      </c>
      <c r="B5561" s="3">
        <f>DATE(2000,12,20)</f>
        <v>36880</v>
      </c>
      <c r="C5561" s="2" t="s">
        <v>95</v>
      </c>
      <c r="D5561" s="2" t="s">
        <v>17126</v>
      </c>
      <c r="E5561" s="2" t="s">
        <v>17127</v>
      </c>
      <c r="F5561" s="4">
        <v>2851</v>
      </c>
      <c r="G5561" s="2" t="s">
        <v>98</v>
      </c>
      <c r="H5561" s="2" t="s">
        <v>34</v>
      </c>
      <c r="I5561" s="2" t="s">
        <v>17128</v>
      </c>
      <c r="J5561" s="2" t="s">
        <v>17129</v>
      </c>
      <c r="K5561" s="2" t="s">
        <v>98</v>
      </c>
      <c r="L5561" s="2" t="s">
        <v>34</v>
      </c>
      <c r="M5561" s="2"/>
      <c r="N5561" s="7">
        <v>35.875</v>
      </c>
      <c r="O5561" s="4">
        <v>36</v>
      </c>
      <c r="P5561" s="2" t="s">
        <v>17130</v>
      </c>
      <c r="Q5561" s="6">
        <v>100</v>
      </c>
      <c r="R5561" s="6">
        <v>31.75</v>
      </c>
      <c r="S5561" s="5">
        <v>31.7</v>
      </c>
      <c r="T5561" s="5">
        <v>92.1</v>
      </c>
      <c r="U5561" s="5">
        <v>8.6999999999999993</v>
      </c>
      <c r="V5561" s="6">
        <v>1.37</v>
      </c>
      <c r="W5561" s="4">
        <v>14</v>
      </c>
      <c r="X5561" s="7">
        <v>12.875</v>
      </c>
      <c r="Y5561" s="7">
        <v>30.312999999999999</v>
      </c>
      <c r="Z5561" s="7">
        <v>30.187999999999999</v>
      </c>
      <c r="AA5561" s="6">
        <v>22.72</v>
      </c>
      <c r="AB5561" s="7">
        <v>13.714</v>
      </c>
      <c r="AC5561" s="5">
        <v>24.7</v>
      </c>
    </row>
    <row r="5562" spans="1:29" ht="104" x14ac:dyDescent="0.15">
      <c r="A5562" s="3">
        <f t="shared" si="132"/>
        <v>36703</v>
      </c>
      <c r="B5562" s="2"/>
      <c r="C5562" s="2" t="s">
        <v>30</v>
      </c>
      <c r="D5562" s="2" t="s">
        <v>17131</v>
      </c>
      <c r="E5562" s="2" t="s">
        <v>17132</v>
      </c>
      <c r="F5562" s="4">
        <v>7389</v>
      </c>
      <c r="G5562" s="2" t="s">
        <v>223</v>
      </c>
      <c r="H5562" s="2" t="s">
        <v>34</v>
      </c>
      <c r="I5562" s="2" t="s">
        <v>17133</v>
      </c>
      <c r="J5562" s="2" t="s">
        <v>14231</v>
      </c>
      <c r="K5562" s="2" t="s">
        <v>63</v>
      </c>
      <c r="L5562" s="2" t="s">
        <v>34</v>
      </c>
      <c r="M5562" s="6">
        <v>476.67</v>
      </c>
      <c r="N5562" s="7">
        <v>1.3440000000000001</v>
      </c>
      <c r="O5562" s="7">
        <v>1.3440000000000001</v>
      </c>
      <c r="P5562" s="2" t="s">
        <v>17134</v>
      </c>
      <c r="Q5562" s="2"/>
      <c r="R5562" s="2"/>
      <c r="S5562" s="5">
        <v>-1.2</v>
      </c>
      <c r="T5562" s="7">
        <v>-1.2450000000000001</v>
      </c>
      <c r="U5562" s="5">
        <v>0.6</v>
      </c>
      <c r="V5562" s="7">
        <v>-2.6579999999999999</v>
      </c>
      <c r="W5562" s="5">
        <v>1.5</v>
      </c>
      <c r="X5562" s="5">
        <v>1.5</v>
      </c>
      <c r="Y5562" s="7">
        <v>1.4379999999999999</v>
      </c>
      <c r="Z5562" s="7">
        <v>1.3129999999999999</v>
      </c>
      <c r="AA5562" s="6">
        <v>6.31</v>
      </c>
      <c r="AB5562" s="2" t="s">
        <v>86</v>
      </c>
      <c r="AC5562" s="5">
        <v>0.1</v>
      </c>
    </row>
    <row r="5563" spans="1:29" ht="169" x14ac:dyDescent="0.15">
      <c r="A5563" s="3">
        <f t="shared" ref="A5563:A5568" si="133">DATE(2000,6,27)</f>
        <v>36704</v>
      </c>
      <c r="B5563" s="3">
        <f>DATE(2000,12,1)</f>
        <v>36861</v>
      </c>
      <c r="C5563" s="2" t="s">
        <v>95</v>
      </c>
      <c r="D5563" s="2" t="s">
        <v>8192</v>
      </c>
      <c r="E5563" s="2" t="s">
        <v>36</v>
      </c>
      <c r="F5563" s="4">
        <v>6021</v>
      </c>
      <c r="G5563" s="2" t="s">
        <v>37</v>
      </c>
      <c r="H5563" s="2" t="s">
        <v>34</v>
      </c>
      <c r="I5563" s="2" t="s">
        <v>17135</v>
      </c>
      <c r="J5563" s="2" t="s">
        <v>203</v>
      </c>
      <c r="K5563" s="2" t="s">
        <v>33</v>
      </c>
      <c r="L5563" s="2" t="s">
        <v>34</v>
      </c>
      <c r="M5563" s="7">
        <v>413.798</v>
      </c>
      <c r="N5563" s="7">
        <v>18.125</v>
      </c>
      <c r="O5563" s="5">
        <v>18.5</v>
      </c>
      <c r="P5563" s="2" t="s">
        <v>17136</v>
      </c>
      <c r="Q5563" s="6">
        <v>100</v>
      </c>
      <c r="R5563" s="6">
        <v>19.239999999999998</v>
      </c>
      <c r="S5563" s="5">
        <v>10.1</v>
      </c>
      <c r="T5563" s="2"/>
      <c r="U5563" s="5">
        <v>11.4</v>
      </c>
      <c r="V5563" s="6">
        <v>1.1000000000000001</v>
      </c>
      <c r="W5563" s="7">
        <v>18.062999999999999</v>
      </c>
      <c r="X5563" s="7">
        <v>17.625</v>
      </c>
      <c r="Y5563" s="7">
        <v>18.125</v>
      </c>
      <c r="Z5563" s="7">
        <v>18.062999999999999</v>
      </c>
      <c r="AA5563" s="6">
        <v>9.07</v>
      </c>
      <c r="AB5563" s="7">
        <v>40.378999999999998</v>
      </c>
      <c r="AC5563" s="2"/>
    </row>
    <row r="5564" spans="1:29" ht="143" x14ac:dyDescent="0.15">
      <c r="A5564" s="3">
        <f t="shared" si="133"/>
        <v>36704</v>
      </c>
      <c r="B5564" s="3">
        <f>DATE(2000,9,20)</f>
        <v>36789</v>
      </c>
      <c r="C5564" s="2" t="s">
        <v>95</v>
      </c>
      <c r="D5564" s="2" t="s">
        <v>17137</v>
      </c>
      <c r="E5564" s="2" t="s">
        <v>17138</v>
      </c>
      <c r="F5564" s="4">
        <v>8732</v>
      </c>
      <c r="G5564" s="2" t="s">
        <v>223</v>
      </c>
      <c r="H5564" s="2" t="s">
        <v>34</v>
      </c>
      <c r="I5564" s="2" t="s">
        <v>17139</v>
      </c>
      <c r="J5564" s="2" t="s">
        <v>17140</v>
      </c>
      <c r="K5564" s="2" t="s">
        <v>223</v>
      </c>
      <c r="L5564" s="2" t="s">
        <v>34</v>
      </c>
      <c r="M5564" s="7">
        <v>565.43200000000002</v>
      </c>
      <c r="N5564" s="7">
        <v>23.375</v>
      </c>
      <c r="O5564" s="6">
        <v>21.25</v>
      </c>
      <c r="P5564" s="2" t="s">
        <v>17141</v>
      </c>
      <c r="Q5564" s="6">
        <v>100</v>
      </c>
      <c r="R5564" s="6">
        <v>26.73</v>
      </c>
      <c r="S5564" s="5">
        <v>2.9</v>
      </c>
      <c r="T5564" s="5">
        <v>-0.5</v>
      </c>
      <c r="U5564" s="5">
        <v>5.6</v>
      </c>
      <c r="V5564" s="6">
        <v>0.18</v>
      </c>
      <c r="W5564" s="7">
        <v>24.077999999999999</v>
      </c>
      <c r="X5564" s="4">
        <v>23</v>
      </c>
      <c r="Y5564" s="7">
        <v>21.062999999999999</v>
      </c>
      <c r="Z5564" s="7">
        <v>19.125</v>
      </c>
      <c r="AA5564" s="6">
        <v>15.46</v>
      </c>
      <c r="AB5564" s="2" t="s">
        <v>86</v>
      </c>
      <c r="AC5564" s="5">
        <v>86.6</v>
      </c>
    </row>
    <row r="5565" spans="1:29" ht="91" x14ac:dyDescent="0.15">
      <c r="A5565" s="3">
        <f t="shared" si="133"/>
        <v>36704</v>
      </c>
      <c r="B5565" s="3">
        <f>DATE(2000,9,22)</f>
        <v>36791</v>
      </c>
      <c r="C5565" s="2" t="s">
        <v>95</v>
      </c>
      <c r="D5565" s="2" t="s">
        <v>17142</v>
      </c>
      <c r="E5565" s="2" t="s">
        <v>17143</v>
      </c>
      <c r="F5565" s="4">
        <v>3315</v>
      </c>
      <c r="G5565" s="2" t="s">
        <v>163</v>
      </c>
      <c r="H5565" s="2" t="s">
        <v>34</v>
      </c>
      <c r="I5565" s="2" t="s">
        <v>10274</v>
      </c>
      <c r="J5565" s="2" t="s">
        <v>302</v>
      </c>
      <c r="K5565" s="2" t="s">
        <v>53</v>
      </c>
      <c r="L5565" s="2" t="s">
        <v>34</v>
      </c>
      <c r="M5565" s="2"/>
      <c r="N5565" s="2"/>
      <c r="O5565" s="2"/>
      <c r="P5565" s="2" t="s">
        <v>17144</v>
      </c>
      <c r="Q5565" s="6">
        <v>100</v>
      </c>
      <c r="R5565" s="6">
        <v>1</v>
      </c>
      <c r="S5565" s="5">
        <v>-0.5</v>
      </c>
      <c r="T5565" s="2"/>
      <c r="U5565" s="5">
        <v>-3.9</v>
      </c>
      <c r="V5565" s="6">
        <v>-0.1</v>
      </c>
      <c r="W5565" s="5">
        <v>1.5</v>
      </c>
      <c r="X5565" s="6">
        <v>1.75</v>
      </c>
      <c r="Y5565" s="7">
        <v>0.93799999999999994</v>
      </c>
      <c r="Z5565" s="4">
        <v>1</v>
      </c>
      <c r="AA5565" s="6">
        <v>5.79</v>
      </c>
      <c r="AB5565" s="7">
        <v>19.352</v>
      </c>
      <c r="AC5565" s="2"/>
    </row>
    <row r="5566" spans="1:29" ht="169" x14ac:dyDescent="0.15">
      <c r="A5566" s="3">
        <f t="shared" si="133"/>
        <v>36704</v>
      </c>
      <c r="B5566" s="3">
        <f>DATE(2000,8,2)</f>
        <v>36740</v>
      </c>
      <c r="C5566" s="2" t="s">
        <v>95</v>
      </c>
      <c r="D5566" s="2" t="s">
        <v>17145</v>
      </c>
      <c r="E5566" s="2" t="s">
        <v>17146</v>
      </c>
      <c r="F5566" s="4">
        <v>8249</v>
      </c>
      <c r="G5566" s="2" t="s">
        <v>415</v>
      </c>
      <c r="H5566" s="2" t="s">
        <v>34</v>
      </c>
      <c r="I5566" s="2" t="s">
        <v>17147</v>
      </c>
      <c r="J5566" s="2" t="s">
        <v>17148</v>
      </c>
      <c r="K5566" s="2" t="s">
        <v>415</v>
      </c>
      <c r="L5566" s="2" t="s">
        <v>34</v>
      </c>
      <c r="M5566" s="2"/>
      <c r="N5566" s="2"/>
      <c r="O5566" s="2"/>
      <c r="P5566" s="2" t="s">
        <v>17149</v>
      </c>
      <c r="Q5566" s="6">
        <v>100</v>
      </c>
      <c r="R5566" s="6">
        <v>18.350000000000001</v>
      </c>
      <c r="S5566" s="5">
        <v>7.5</v>
      </c>
      <c r="T5566" s="7">
        <v>19.126000000000001</v>
      </c>
      <c r="U5566" s="5">
        <v>6.1</v>
      </c>
      <c r="V5566" s="6">
        <v>0.91</v>
      </c>
      <c r="W5566" s="7">
        <v>9.6880000000000006</v>
      </c>
      <c r="X5566" s="6">
        <v>9.75</v>
      </c>
      <c r="Y5566" s="7">
        <v>18.062999999999999</v>
      </c>
      <c r="Z5566" s="7">
        <v>18.062999999999999</v>
      </c>
      <c r="AA5566" s="6">
        <v>7.96</v>
      </c>
      <c r="AB5566" s="7">
        <v>11.86</v>
      </c>
      <c r="AC5566" s="2"/>
    </row>
    <row r="5567" spans="1:29" ht="104" x14ac:dyDescent="0.15">
      <c r="A5567" s="3">
        <f t="shared" si="133"/>
        <v>36704</v>
      </c>
      <c r="B5567" s="3">
        <f>DATE(2000,10,13)</f>
        <v>36812</v>
      </c>
      <c r="C5567" s="2" t="s">
        <v>95</v>
      </c>
      <c r="D5567" s="2" t="s">
        <v>17150</v>
      </c>
      <c r="E5567" s="2" t="s">
        <v>389</v>
      </c>
      <c r="F5567" s="4">
        <v>6035</v>
      </c>
      <c r="G5567" s="2" t="s">
        <v>33</v>
      </c>
      <c r="H5567" s="2" t="s">
        <v>34</v>
      </c>
      <c r="I5567" s="2" t="s">
        <v>9454</v>
      </c>
      <c r="J5567" s="2" t="s">
        <v>36</v>
      </c>
      <c r="K5567" s="2" t="s">
        <v>37</v>
      </c>
      <c r="L5567" s="2" t="s">
        <v>34</v>
      </c>
      <c r="M5567" s="12">
        <v>19265.717000000001</v>
      </c>
      <c r="N5567" s="7">
        <v>20.875</v>
      </c>
      <c r="O5567" s="7">
        <v>20.687999999999999</v>
      </c>
      <c r="P5567" s="2" t="s">
        <v>17151</v>
      </c>
      <c r="Q5567" s="6">
        <v>100</v>
      </c>
      <c r="R5567" s="6">
        <v>22.01</v>
      </c>
      <c r="S5567" s="5">
        <v>4.7</v>
      </c>
      <c r="T5567" s="7">
        <v>9.2560000000000002</v>
      </c>
      <c r="U5567" s="5">
        <v>6.8</v>
      </c>
      <c r="V5567" s="6">
        <v>0.67</v>
      </c>
      <c r="W5567" s="5">
        <v>13.5</v>
      </c>
      <c r="X5567" s="4">
        <v>17</v>
      </c>
      <c r="Y5567" s="2"/>
      <c r="Z5567" s="7">
        <v>20.875</v>
      </c>
      <c r="AA5567" s="6">
        <v>6.92</v>
      </c>
      <c r="AB5567" s="7">
        <v>89.744</v>
      </c>
      <c r="AC5567" s="2"/>
    </row>
    <row r="5568" spans="1:29" ht="104" x14ac:dyDescent="0.15">
      <c r="A5568" s="3">
        <f t="shared" si="133"/>
        <v>36704</v>
      </c>
      <c r="B5568" s="3">
        <f>DATE(2000,9,29)</f>
        <v>36798</v>
      </c>
      <c r="C5568" s="2" t="s">
        <v>95</v>
      </c>
      <c r="D5568" s="2" t="s">
        <v>17152</v>
      </c>
      <c r="E5568" s="2" t="s">
        <v>17153</v>
      </c>
      <c r="F5568" s="4">
        <v>3829</v>
      </c>
      <c r="G5568" s="2" t="s">
        <v>226</v>
      </c>
      <c r="H5568" s="2" t="s">
        <v>34</v>
      </c>
      <c r="I5568" s="2" t="s">
        <v>17154</v>
      </c>
      <c r="J5568" s="2" t="s">
        <v>17155</v>
      </c>
      <c r="K5568" s="2" t="s">
        <v>226</v>
      </c>
      <c r="L5568" s="2" t="s">
        <v>34</v>
      </c>
      <c r="M5568" s="2"/>
      <c r="N5568" s="2"/>
      <c r="O5568" s="2"/>
      <c r="P5568" s="2" t="s">
        <v>17156</v>
      </c>
      <c r="Q5568" s="6">
        <v>100</v>
      </c>
      <c r="R5568" s="6">
        <v>30</v>
      </c>
      <c r="S5568" s="5">
        <v>2</v>
      </c>
      <c r="T5568" s="5">
        <v>7.4</v>
      </c>
      <c r="U5568" s="5">
        <v>25.1</v>
      </c>
      <c r="V5568" s="6">
        <v>0.35</v>
      </c>
      <c r="W5568" s="6">
        <v>24.25</v>
      </c>
      <c r="X5568" s="4">
        <v>24</v>
      </c>
      <c r="Y5568" s="7">
        <v>24.125</v>
      </c>
      <c r="Z5568" s="7">
        <v>28.312999999999999</v>
      </c>
      <c r="AA5568" s="6">
        <v>5.8</v>
      </c>
      <c r="AB5568" s="7">
        <v>171.459</v>
      </c>
      <c r="AC5568" s="6">
        <v>2.79</v>
      </c>
    </row>
    <row r="5569" spans="1:29" ht="156" x14ac:dyDescent="0.15">
      <c r="A5569" s="3">
        <f>DATE(2000,6,28)</f>
        <v>36705</v>
      </c>
      <c r="B5569" s="3">
        <f>DATE(2001,1,3)</f>
        <v>36894</v>
      </c>
      <c r="C5569" s="2" t="s">
        <v>95</v>
      </c>
      <c r="D5569" s="2" t="s">
        <v>17157</v>
      </c>
      <c r="E5569" s="2" t="s">
        <v>17158</v>
      </c>
      <c r="F5569" s="4">
        <v>3559</v>
      </c>
      <c r="G5569" s="2" t="s">
        <v>300</v>
      </c>
      <c r="H5569" s="2" t="s">
        <v>34</v>
      </c>
      <c r="I5569" s="2" t="s">
        <v>17159</v>
      </c>
      <c r="J5569" s="2" t="s">
        <v>17160</v>
      </c>
      <c r="K5569" s="2" t="s">
        <v>137</v>
      </c>
      <c r="L5569" s="2" t="s">
        <v>34</v>
      </c>
      <c r="M5569" s="7">
        <v>606.06899999999996</v>
      </c>
      <c r="N5569" s="7">
        <v>33.063000000000002</v>
      </c>
      <c r="O5569" s="6">
        <v>34.25</v>
      </c>
      <c r="P5569" s="2" t="s">
        <v>17161</v>
      </c>
      <c r="Q5569" s="6">
        <v>100</v>
      </c>
      <c r="R5569" s="6">
        <v>20.63</v>
      </c>
      <c r="S5569" s="5">
        <v>-23.6</v>
      </c>
      <c r="T5569" s="5">
        <v>-12.8</v>
      </c>
      <c r="U5569" s="5">
        <v>6.1</v>
      </c>
      <c r="V5569" s="6">
        <v>-3</v>
      </c>
      <c r="W5569" s="7">
        <v>10.563000000000001</v>
      </c>
      <c r="X5569" s="6">
        <v>13.75</v>
      </c>
      <c r="Y5569" s="4">
        <v>15</v>
      </c>
      <c r="Z5569" s="7">
        <v>15.625</v>
      </c>
      <c r="AA5569" s="6">
        <v>7.87</v>
      </c>
      <c r="AB5569" s="2" t="s">
        <v>86</v>
      </c>
      <c r="AC5569" s="5">
        <v>127.6</v>
      </c>
    </row>
    <row r="5570" spans="1:29" ht="130" x14ac:dyDescent="0.15">
      <c r="A5570" s="3">
        <f>DATE(2000,6,28)</f>
        <v>36705</v>
      </c>
      <c r="B5570" s="3">
        <f>DATE(2000,8,22)</f>
        <v>36760</v>
      </c>
      <c r="C5570" s="2" t="s">
        <v>95</v>
      </c>
      <c r="D5570" s="2" t="s">
        <v>17162</v>
      </c>
      <c r="E5570" s="2" t="s">
        <v>1756</v>
      </c>
      <c r="F5570" s="4">
        <v>8711</v>
      </c>
      <c r="G5570" s="2" t="s">
        <v>223</v>
      </c>
      <c r="H5570" s="2" t="s">
        <v>34</v>
      </c>
      <c r="I5570" s="2" t="s">
        <v>17163</v>
      </c>
      <c r="J5570" s="2" t="s">
        <v>17164</v>
      </c>
      <c r="K5570" s="2" t="s">
        <v>223</v>
      </c>
      <c r="L5570" s="2" t="s">
        <v>34</v>
      </c>
      <c r="M5570" s="2"/>
      <c r="N5570" s="2"/>
      <c r="O5570" s="2"/>
      <c r="P5570" s="2" t="s">
        <v>17165</v>
      </c>
      <c r="Q5570" s="6">
        <v>100</v>
      </c>
      <c r="R5570" s="6">
        <v>1</v>
      </c>
      <c r="S5570" s="5">
        <v>-0.2</v>
      </c>
      <c r="T5570" s="7">
        <v>3.1339999999999999</v>
      </c>
      <c r="U5570" s="5">
        <v>1.5</v>
      </c>
      <c r="V5570" s="6">
        <v>-7.0000000000000007E-2</v>
      </c>
      <c r="W5570" s="7">
        <v>1.4690000000000001</v>
      </c>
      <c r="X5570" s="7">
        <v>1.4690000000000001</v>
      </c>
      <c r="Y5570" s="7">
        <v>1.4690000000000001</v>
      </c>
      <c r="Z5570" s="7">
        <v>1.4690000000000001</v>
      </c>
      <c r="AA5570" s="6">
        <v>2.54</v>
      </c>
      <c r="AB5570" s="7">
        <v>11.545</v>
      </c>
      <c r="AC5570" s="2"/>
    </row>
    <row r="5571" spans="1:29" ht="234" x14ac:dyDescent="0.15">
      <c r="A5571" s="3">
        <f>DATE(2000,6,28)</f>
        <v>36705</v>
      </c>
      <c r="B5571" s="3">
        <f>DATE(2000,8,4)</f>
        <v>36742</v>
      </c>
      <c r="C5571" s="2" t="s">
        <v>95</v>
      </c>
      <c r="D5571" s="2" t="s">
        <v>17166</v>
      </c>
      <c r="E5571" s="2" t="s">
        <v>4673</v>
      </c>
      <c r="F5571" s="4">
        <v>2711</v>
      </c>
      <c r="G5571" s="2" t="s">
        <v>186</v>
      </c>
      <c r="H5571" s="2" t="s">
        <v>34</v>
      </c>
      <c r="I5571" s="2" t="s">
        <v>17167</v>
      </c>
      <c r="J5571" s="2" t="s">
        <v>4673</v>
      </c>
      <c r="K5571" s="2" t="s">
        <v>186</v>
      </c>
      <c r="L5571" s="2" t="s">
        <v>34</v>
      </c>
      <c r="M5571" s="12">
        <v>17255.844000000001</v>
      </c>
      <c r="N5571" s="7">
        <v>58.938000000000002</v>
      </c>
      <c r="O5571" s="7">
        <v>59.875</v>
      </c>
      <c r="P5571" s="2" t="s">
        <v>17168</v>
      </c>
      <c r="Q5571" s="6">
        <v>100</v>
      </c>
      <c r="R5571" s="6">
        <v>64</v>
      </c>
      <c r="S5571" s="5">
        <v>136.1</v>
      </c>
      <c r="T5571" s="7">
        <v>226.66300000000001</v>
      </c>
      <c r="U5571" s="5">
        <v>4.2</v>
      </c>
      <c r="V5571" s="6">
        <v>3.33</v>
      </c>
      <c r="W5571" s="7">
        <v>59.063000000000002</v>
      </c>
      <c r="X5571" s="7">
        <v>64.375</v>
      </c>
      <c r="Y5571" s="6">
        <v>64.25</v>
      </c>
      <c r="Z5571" s="7">
        <v>63.313000000000002</v>
      </c>
      <c r="AA5571" s="6">
        <v>88.04</v>
      </c>
      <c r="AB5571" s="7">
        <v>14.976000000000001</v>
      </c>
      <c r="AC5571" s="5">
        <v>59.6</v>
      </c>
    </row>
    <row r="5572" spans="1:29" ht="195" x14ac:dyDescent="0.15">
      <c r="A5572" s="3">
        <f>DATE(2000,6,28)</f>
        <v>36705</v>
      </c>
      <c r="B5572" s="3">
        <f>DATE(2000,10,17)</f>
        <v>36816</v>
      </c>
      <c r="C5572" s="2" t="s">
        <v>95</v>
      </c>
      <c r="D5572" s="2" t="s">
        <v>10160</v>
      </c>
      <c r="E5572" s="2" t="s">
        <v>10161</v>
      </c>
      <c r="F5572" s="4">
        <v>2835</v>
      </c>
      <c r="G5572" s="2" t="s">
        <v>130</v>
      </c>
      <c r="H5572" s="2" t="s">
        <v>34</v>
      </c>
      <c r="I5572" s="2" t="s">
        <v>9732</v>
      </c>
      <c r="J5572" s="2" t="s">
        <v>9733</v>
      </c>
      <c r="K5572" s="2" t="s">
        <v>300</v>
      </c>
      <c r="L5572" s="2" t="s">
        <v>1791</v>
      </c>
      <c r="M5572" s="2"/>
      <c r="N5572" s="11">
        <v>46.3515625</v>
      </c>
      <c r="O5572" s="7">
        <v>46.375</v>
      </c>
      <c r="P5572" s="2" t="s">
        <v>17169</v>
      </c>
      <c r="Q5572" s="6">
        <v>100</v>
      </c>
      <c r="R5572" s="6">
        <v>47.21</v>
      </c>
      <c r="S5572" s="5">
        <v>194.4</v>
      </c>
      <c r="T5572" s="5">
        <v>532.4</v>
      </c>
      <c r="U5572" s="5">
        <v>15.5</v>
      </c>
      <c r="V5572" s="6">
        <v>2.77</v>
      </c>
      <c r="W5572" s="7">
        <v>27.125</v>
      </c>
      <c r="X5572" s="6">
        <v>28.75</v>
      </c>
      <c r="Y5572" s="7">
        <v>31.375</v>
      </c>
      <c r="Z5572" s="7">
        <v>43.625</v>
      </c>
      <c r="AA5572" s="6">
        <v>67.209999999999994</v>
      </c>
      <c r="AB5572" s="7">
        <v>13.657</v>
      </c>
      <c r="AC5572" s="8">
        <v>1139.5999999999999</v>
      </c>
    </row>
    <row r="5573" spans="1:29" ht="169" x14ac:dyDescent="0.15">
      <c r="A5573" s="3">
        <f>DATE(2000,6,28)</f>
        <v>36705</v>
      </c>
      <c r="B5573" s="2"/>
      <c r="C5573" s="2" t="s">
        <v>30</v>
      </c>
      <c r="D5573" s="2" t="s">
        <v>17170</v>
      </c>
      <c r="E5573" s="2" t="s">
        <v>92</v>
      </c>
      <c r="F5573" s="4">
        <v>6798</v>
      </c>
      <c r="G5573" s="2" t="s">
        <v>53</v>
      </c>
      <c r="H5573" s="2" t="s">
        <v>34</v>
      </c>
      <c r="I5573" s="2" t="s">
        <v>17171</v>
      </c>
      <c r="J5573" s="2" t="s">
        <v>92</v>
      </c>
      <c r="K5573" s="2" t="s">
        <v>53</v>
      </c>
      <c r="L5573" s="2" t="s">
        <v>34</v>
      </c>
      <c r="M5573" s="12">
        <v>1585.059</v>
      </c>
      <c r="N5573" s="4">
        <v>25</v>
      </c>
      <c r="O5573" s="7">
        <v>25.812999999999999</v>
      </c>
      <c r="P5573" s="2" t="s">
        <v>17172</v>
      </c>
      <c r="Q5573" s="2"/>
      <c r="R5573" s="6">
        <v>25.81</v>
      </c>
      <c r="S5573" s="5">
        <v>80.099999999999994</v>
      </c>
      <c r="T5573" s="5">
        <v>217.8</v>
      </c>
      <c r="U5573" s="5">
        <v>19.5</v>
      </c>
      <c r="V5573" s="6">
        <v>1.94</v>
      </c>
      <c r="W5573" s="7">
        <v>25.875</v>
      </c>
      <c r="X5573" s="7">
        <v>26.437999999999999</v>
      </c>
      <c r="Y5573" s="9">
        <v>23.0625</v>
      </c>
      <c r="Z5573" s="7">
        <v>23.875</v>
      </c>
      <c r="AA5573" s="6">
        <v>36.1</v>
      </c>
      <c r="AB5573" s="7">
        <v>13.233000000000001</v>
      </c>
      <c r="AC5573" s="5">
        <v>6.2</v>
      </c>
    </row>
    <row r="5574" spans="1:29" ht="91" x14ac:dyDescent="0.15">
      <c r="A5574" s="3">
        <f>DATE(2000,6,29)</f>
        <v>36706</v>
      </c>
      <c r="B5574" s="2"/>
      <c r="C5574" s="2" t="s">
        <v>189</v>
      </c>
      <c r="D5574" s="2" t="s">
        <v>17173</v>
      </c>
      <c r="E5574" s="2" t="s">
        <v>5597</v>
      </c>
      <c r="F5574" s="4">
        <v>2834</v>
      </c>
      <c r="G5574" s="2" t="s">
        <v>130</v>
      </c>
      <c r="H5574" s="2" t="s">
        <v>34</v>
      </c>
      <c r="I5574" s="2" t="s">
        <v>143</v>
      </c>
      <c r="J5574" s="2" t="s">
        <v>144</v>
      </c>
      <c r="K5574" s="2" t="s">
        <v>53</v>
      </c>
      <c r="L5574" s="2" t="s">
        <v>139</v>
      </c>
      <c r="M5574" s="2"/>
      <c r="N5574" s="2"/>
      <c r="O5574" s="2"/>
      <c r="P5574" s="2" t="s">
        <v>17174</v>
      </c>
      <c r="Q5574" s="2"/>
      <c r="R5574" s="2"/>
      <c r="S5574" s="5">
        <v>-3.7</v>
      </c>
      <c r="T5574" s="5">
        <v>-2.1</v>
      </c>
      <c r="U5574" s="5">
        <v>0.2</v>
      </c>
      <c r="V5574" s="6">
        <v>-0.14000000000000001</v>
      </c>
      <c r="W5574" s="7">
        <v>4.6879999999999997</v>
      </c>
      <c r="X5574" s="7">
        <v>5.0629999999999997</v>
      </c>
      <c r="Y5574" s="6">
        <v>5.25</v>
      </c>
      <c r="Z5574" s="6">
        <v>5.75</v>
      </c>
      <c r="AA5574" s="6">
        <v>29.31</v>
      </c>
      <c r="AB5574" s="2" t="s">
        <v>86</v>
      </c>
      <c r="AC5574" s="2"/>
    </row>
    <row r="5575" spans="1:29" ht="104" x14ac:dyDescent="0.15">
      <c r="A5575" s="3">
        <f>DATE(2000,6,29)</f>
        <v>36706</v>
      </c>
      <c r="B5575" s="3">
        <f>DATE(2000,9,1)</f>
        <v>36770</v>
      </c>
      <c r="C5575" s="2" t="s">
        <v>95</v>
      </c>
      <c r="D5575" s="2" t="s">
        <v>17175</v>
      </c>
      <c r="E5575" s="2" t="s">
        <v>598</v>
      </c>
      <c r="F5575" s="4">
        <v>3577</v>
      </c>
      <c r="G5575" s="2" t="s">
        <v>50</v>
      </c>
      <c r="H5575" s="2" t="s">
        <v>34</v>
      </c>
      <c r="I5575" s="2" t="s">
        <v>15776</v>
      </c>
      <c r="J5575" s="2" t="s">
        <v>15536</v>
      </c>
      <c r="K5575" s="2" t="s">
        <v>551</v>
      </c>
      <c r="L5575" s="2" t="s">
        <v>34</v>
      </c>
      <c r="M5575" s="12">
        <v>1000.028</v>
      </c>
      <c r="N5575" s="7">
        <v>49.938000000000002</v>
      </c>
      <c r="O5575" s="7">
        <v>50.875</v>
      </c>
      <c r="P5575" s="2" t="s">
        <v>17176</v>
      </c>
      <c r="Q5575" s="6">
        <v>100</v>
      </c>
      <c r="R5575" s="6">
        <v>13.33</v>
      </c>
      <c r="S5575" s="5">
        <v>-3.1</v>
      </c>
      <c r="T5575" s="7">
        <v>-2.335</v>
      </c>
      <c r="U5575" s="5">
        <v>1.1000000000000001</v>
      </c>
      <c r="V5575" s="6">
        <v>-0.67</v>
      </c>
      <c r="W5575" s="7">
        <v>8.9060000000000006</v>
      </c>
      <c r="X5575" s="5">
        <v>9.5</v>
      </c>
      <c r="Y5575" s="6">
        <v>12.25</v>
      </c>
      <c r="Z5575" s="5">
        <v>12.5</v>
      </c>
      <c r="AA5575" s="6">
        <v>4.6900000000000004</v>
      </c>
      <c r="AB5575" s="2" t="s">
        <v>86</v>
      </c>
      <c r="AC5575" s="5">
        <v>46.4</v>
      </c>
    </row>
    <row r="5576" spans="1:29" ht="65" x14ac:dyDescent="0.15">
      <c r="A5576" s="3">
        <f>DATE(2000,6,29)</f>
        <v>36706</v>
      </c>
      <c r="B5576" s="2"/>
      <c r="C5576" s="2" t="s">
        <v>87</v>
      </c>
      <c r="D5576" s="2" t="s">
        <v>14230</v>
      </c>
      <c r="E5576" s="2" t="s">
        <v>14231</v>
      </c>
      <c r="F5576" s="4">
        <v>4813</v>
      </c>
      <c r="G5576" s="2" t="s">
        <v>63</v>
      </c>
      <c r="H5576" s="2" t="s">
        <v>34</v>
      </c>
      <c r="I5576" s="2" t="s">
        <v>14984</v>
      </c>
      <c r="J5576" s="2" t="s">
        <v>6519</v>
      </c>
      <c r="K5576" s="2" t="s">
        <v>63</v>
      </c>
      <c r="L5576" s="2" t="s">
        <v>1049</v>
      </c>
      <c r="M5576" s="2"/>
      <c r="N5576" s="2"/>
      <c r="O5576" s="2"/>
      <c r="P5576" s="2" t="s">
        <v>17177</v>
      </c>
      <c r="Q5576" s="2"/>
      <c r="R5576" s="2"/>
      <c r="S5576" s="8">
        <v>1775</v>
      </c>
      <c r="T5576" s="8">
        <v>5119</v>
      </c>
      <c r="U5576" s="5">
        <v>13.1</v>
      </c>
      <c r="V5576" s="6">
        <v>2.0099999999999998</v>
      </c>
      <c r="W5576" s="7">
        <v>59.625</v>
      </c>
      <c r="X5576" s="6">
        <v>52.75</v>
      </c>
      <c r="Y5576" s="6">
        <v>55.75</v>
      </c>
      <c r="Z5576" s="4">
        <v>51</v>
      </c>
      <c r="AA5576" s="10">
        <v>1791.83</v>
      </c>
      <c r="AB5576" s="2" t="s">
        <v>47</v>
      </c>
      <c r="AC5576" s="2"/>
    </row>
    <row r="5577" spans="1:29" ht="169" x14ac:dyDescent="0.15">
      <c r="A5577" s="3">
        <f>DATE(2000,6,29)</f>
        <v>36706</v>
      </c>
      <c r="B5577" s="3">
        <f>DATE(2000,10,1)</f>
        <v>36800</v>
      </c>
      <c r="C5577" s="2" t="s">
        <v>95</v>
      </c>
      <c r="D5577" s="2" t="s">
        <v>17178</v>
      </c>
      <c r="E5577" s="2" t="s">
        <v>17179</v>
      </c>
      <c r="F5577" s="4">
        <v>1799</v>
      </c>
      <c r="G5577" s="2" t="s">
        <v>341</v>
      </c>
      <c r="H5577" s="2" t="s">
        <v>34</v>
      </c>
      <c r="I5577" s="2" t="s">
        <v>17180</v>
      </c>
      <c r="J5577" s="2" t="s">
        <v>17181</v>
      </c>
      <c r="K5577" s="2" t="s">
        <v>341</v>
      </c>
      <c r="L5577" s="2" t="s">
        <v>34</v>
      </c>
      <c r="M5577" s="2"/>
      <c r="N5577" s="5">
        <v>22.5</v>
      </c>
      <c r="O5577" s="5">
        <v>21.5</v>
      </c>
      <c r="P5577" s="2" t="s">
        <v>17182</v>
      </c>
      <c r="Q5577" s="6">
        <v>100</v>
      </c>
      <c r="R5577" s="6">
        <v>6.13</v>
      </c>
      <c r="S5577" s="5">
        <v>1.9</v>
      </c>
      <c r="T5577" s="7">
        <v>6.8810000000000002</v>
      </c>
      <c r="U5577" s="5">
        <v>2.7</v>
      </c>
      <c r="V5577" s="6">
        <v>0.24</v>
      </c>
      <c r="W5577" s="7">
        <v>4.625</v>
      </c>
      <c r="X5577" s="7">
        <v>4.375</v>
      </c>
      <c r="Y5577" s="7">
        <v>5.8440000000000003</v>
      </c>
      <c r="Z5577" s="7">
        <v>5.9059999999999997</v>
      </c>
      <c r="AA5577" s="6">
        <v>7.46</v>
      </c>
      <c r="AB5577" s="7">
        <v>21.408000000000001</v>
      </c>
      <c r="AC5577" s="2"/>
    </row>
    <row r="5578" spans="1:29" ht="91" x14ac:dyDescent="0.15">
      <c r="A5578" s="3">
        <f>DATE(2000,6,30)</f>
        <v>36707</v>
      </c>
      <c r="B5578" s="3">
        <f>DATE(2001,10,10)</f>
        <v>37174</v>
      </c>
      <c r="C5578" s="2" t="s">
        <v>95</v>
      </c>
      <c r="D5578" s="2" t="s">
        <v>17183</v>
      </c>
      <c r="E5578" s="2" t="s">
        <v>1888</v>
      </c>
      <c r="F5578" s="4">
        <v>4911</v>
      </c>
      <c r="G5578" s="2" t="s">
        <v>439</v>
      </c>
      <c r="H5578" s="2" t="s">
        <v>34</v>
      </c>
      <c r="I5578" s="2" t="s">
        <v>17184</v>
      </c>
      <c r="J5578" s="2" t="s">
        <v>1888</v>
      </c>
      <c r="K5578" s="2" t="s">
        <v>439</v>
      </c>
      <c r="L5578" s="2" t="s">
        <v>902</v>
      </c>
      <c r="M5578" s="2"/>
      <c r="N5578" s="2"/>
      <c r="O5578" s="2"/>
      <c r="P5578" s="2" t="s">
        <v>17185</v>
      </c>
      <c r="Q5578" s="6">
        <v>100</v>
      </c>
      <c r="R5578" s="6">
        <v>26.81</v>
      </c>
      <c r="S5578" s="5">
        <v>10.199999999999999</v>
      </c>
      <c r="T5578" s="5">
        <v>58.9</v>
      </c>
      <c r="U5578" s="5">
        <v>18.3</v>
      </c>
      <c r="V5578" s="6">
        <v>1.05</v>
      </c>
      <c r="W5578" s="6">
        <v>15.25</v>
      </c>
      <c r="X5578" s="7">
        <v>15.125</v>
      </c>
      <c r="Y5578" s="9">
        <v>23.4375</v>
      </c>
      <c r="Z5578" s="9">
        <v>23.6875</v>
      </c>
      <c r="AA5578" s="6">
        <v>7.36</v>
      </c>
      <c r="AB5578" s="7">
        <v>12.762</v>
      </c>
      <c r="AC5578" s="2"/>
    </row>
    <row r="5579" spans="1:29" ht="156" x14ac:dyDescent="0.15">
      <c r="A5579" s="3">
        <f>DATE(2000,7,2)</f>
        <v>36709</v>
      </c>
      <c r="B5579" s="3">
        <f>DATE(2000,10,2)</f>
        <v>36801</v>
      </c>
      <c r="C5579" s="2" t="s">
        <v>95</v>
      </c>
      <c r="D5579" s="2" t="s">
        <v>17186</v>
      </c>
      <c r="E5579" s="2" t="s">
        <v>17187</v>
      </c>
      <c r="F5579" s="4">
        <v>4731</v>
      </c>
      <c r="G5579" s="2" t="s">
        <v>173</v>
      </c>
      <c r="H5579" s="2" t="s">
        <v>34</v>
      </c>
      <c r="I5579" s="2" t="s">
        <v>17188</v>
      </c>
      <c r="J5579" s="2" t="s">
        <v>17189</v>
      </c>
      <c r="K5579" s="2" t="s">
        <v>173</v>
      </c>
      <c r="L5579" s="2" t="s">
        <v>34</v>
      </c>
      <c r="M5579" s="6">
        <v>731.46</v>
      </c>
      <c r="N5579" s="7">
        <v>28.234000000000002</v>
      </c>
      <c r="O5579" s="7">
        <v>28.234000000000002</v>
      </c>
      <c r="P5579" s="2" t="s">
        <v>17190</v>
      </c>
      <c r="Q5579" s="6">
        <v>100</v>
      </c>
      <c r="R5579" s="6">
        <v>30.75</v>
      </c>
      <c r="S5579" s="5">
        <v>26.2</v>
      </c>
      <c r="T5579" s="5">
        <v>46.8</v>
      </c>
      <c r="U5579" s="5">
        <v>14.1</v>
      </c>
      <c r="V5579" s="6">
        <v>1.5</v>
      </c>
      <c r="W5579" s="7">
        <v>20.812999999999999</v>
      </c>
      <c r="X5579" s="7">
        <v>25.125</v>
      </c>
      <c r="Y5579" s="7">
        <v>27.437999999999999</v>
      </c>
      <c r="Z5579" s="7">
        <v>27.437999999999999</v>
      </c>
      <c r="AA5579" s="6">
        <v>17.64</v>
      </c>
      <c r="AB5579" s="7">
        <v>14.416</v>
      </c>
      <c r="AC5579" s="5">
        <v>20</v>
      </c>
    </row>
    <row r="5580" spans="1:29" ht="91" x14ac:dyDescent="0.15">
      <c r="A5580" s="3">
        <f>DATE(2000,7,3)</f>
        <v>36710</v>
      </c>
      <c r="B5580" s="2"/>
      <c r="C5580" s="2" t="s">
        <v>30</v>
      </c>
      <c r="D5580" s="2" t="s">
        <v>17191</v>
      </c>
      <c r="E5580" s="2" t="s">
        <v>7383</v>
      </c>
      <c r="F5580" s="4">
        <v>8741</v>
      </c>
      <c r="G5580" s="2" t="s">
        <v>223</v>
      </c>
      <c r="H5580" s="2" t="s">
        <v>34</v>
      </c>
      <c r="I5580" s="2" t="s">
        <v>17192</v>
      </c>
      <c r="J5580" s="2" t="s">
        <v>17193</v>
      </c>
      <c r="K5580" s="2" t="s">
        <v>223</v>
      </c>
      <c r="L5580" s="2" t="s">
        <v>34</v>
      </c>
      <c r="M5580" s="7">
        <v>132.70099999999999</v>
      </c>
      <c r="N5580" s="5">
        <v>11.5</v>
      </c>
      <c r="O5580" s="5">
        <v>11.5</v>
      </c>
      <c r="P5580" s="2" t="s">
        <v>17194</v>
      </c>
      <c r="Q5580" s="2"/>
      <c r="R5580" s="2"/>
      <c r="S5580" s="5">
        <v>-23.8</v>
      </c>
      <c r="T5580" s="5">
        <v>-10.9</v>
      </c>
      <c r="U5580" s="5">
        <v>0.5</v>
      </c>
      <c r="V5580" s="6">
        <v>-2.19</v>
      </c>
      <c r="W5580" s="11">
        <v>2.21875</v>
      </c>
      <c r="X5580" s="4">
        <v>2</v>
      </c>
      <c r="Y5580" s="5">
        <v>1.5</v>
      </c>
      <c r="Z5580" s="5">
        <v>1.5</v>
      </c>
      <c r="AA5580" s="6">
        <v>11.13</v>
      </c>
      <c r="AB5580" s="2" t="s">
        <v>86</v>
      </c>
      <c r="AC5580" s="5">
        <v>5</v>
      </c>
    </row>
    <row r="5581" spans="1:29" ht="130" x14ac:dyDescent="0.15">
      <c r="A5581" s="3">
        <f>DATE(2000,7,3)</f>
        <v>36710</v>
      </c>
      <c r="B5581" s="3">
        <f>DATE(2000,8,11)</f>
        <v>36749</v>
      </c>
      <c r="C5581" s="2" t="s">
        <v>95</v>
      </c>
      <c r="D5581" s="2" t="s">
        <v>17195</v>
      </c>
      <c r="E5581" s="2" t="s">
        <v>17196</v>
      </c>
      <c r="F5581" s="4">
        <v>5632</v>
      </c>
      <c r="G5581" s="2" t="s">
        <v>756</v>
      </c>
      <c r="H5581" s="2" t="s">
        <v>34</v>
      </c>
      <c r="I5581" s="2" t="s">
        <v>7732</v>
      </c>
      <c r="J5581" s="2" t="s">
        <v>7733</v>
      </c>
      <c r="K5581" s="2" t="s">
        <v>756</v>
      </c>
      <c r="L5581" s="2" t="s">
        <v>34</v>
      </c>
      <c r="M5581" s="10">
        <v>9636.26</v>
      </c>
      <c r="N5581" s="5">
        <v>24.5</v>
      </c>
      <c r="O5581" s="5">
        <v>24.5</v>
      </c>
      <c r="P5581" s="2" t="s">
        <v>17197</v>
      </c>
      <c r="Q5581" s="6">
        <v>100</v>
      </c>
      <c r="R5581" s="6">
        <v>20</v>
      </c>
      <c r="S5581" s="5">
        <v>11.1</v>
      </c>
      <c r="T5581" s="7">
        <v>22.105</v>
      </c>
      <c r="U5581" s="5">
        <v>3.2</v>
      </c>
      <c r="V5581" s="6">
        <v>0.57999999999999996</v>
      </c>
      <c r="W5581" s="7">
        <v>12.625</v>
      </c>
      <c r="X5581" s="7">
        <v>11.563000000000001</v>
      </c>
      <c r="Y5581" s="6">
        <v>19.75</v>
      </c>
      <c r="Z5581" s="6">
        <v>19.75</v>
      </c>
      <c r="AA5581" s="6">
        <v>19.420000000000002</v>
      </c>
      <c r="AB5581" s="7">
        <v>23.186</v>
      </c>
      <c r="AC5581" s="5">
        <v>40</v>
      </c>
    </row>
    <row r="5582" spans="1:29" ht="117" x14ac:dyDescent="0.15">
      <c r="A5582" s="3">
        <f>DATE(2000,7,6)</f>
        <v>36713</v>
      </c>
      <c r="B5582" s="3">
        <f>DATE(2001,2,23)</f>
        <v>36945</v>
      </c>
      <c r="C5582" s="2" t="s">
        <v>95</v>
      </c>
      <c r="D5582" s="2" t="s">
        <v>17198</v>
      </c>
      <c r="E5582" s="2" t="s">
        <v>1181</v>
      </c>
      <c r="F5582" s="4">
        <v>6021</v>
      </c>
      <c r="G5582" s="2" t="s">
        <v>37</v>
      </c>
      <c r="H5582" s="2" t="s">
        <v>34</v>
      </c>
      <c r="I5582" s="2" t="s">
        <v>7166</v>
      </c>
      <c r="J5582" s="2" t="s">
        <v>7167</v>
      </c>
      <c r="K5582" s="2" t="s">
        <v>37</v>
      </c>
      <c r="L5582" s="2" t="s">
        <v>34</v>
      </c>
      <c r="M5582" s="7">
        <v>560.24099999999999</v>
      </c>
      <c r="N5582" s="7">
        <v>22.312999999999999</v>
      </c>
      <c r="O5582" s="6">
        <v>22.75</v>
      </c>
      <c r="P5582" s="2" t="s">
        <v>17199</v>
      </c>
      <c r="Q5582" s="6">
        <v>100</v>
      </c>
      <c r="R5582" s="6">
        <v>16.850000000000001</v>
      </c>
      <c r="S5582" s="5">
        <v>4.3</v>
      </c>
      <c r="T5582" s="5">
        <v>7.4</v>
      </c>
      <c r="U5582" s="5">
        <v>10.5</v>
      </c>
      <c r="V5582" s="6">
        <v>1.03</v>
      </c>
      <c r="W5582" s="4">
        <v>13</v>
      </c>
      <c r="X5582" s="6">
        <v>13.75</v>
      </c>
      <c r="Y5582" s="9">
        <v>15.4375</v>
      </c>
      <c r="Z5582" s="7">
        <v>16.375</v>
      </c>
      <c r="AA5582" s="6">
        <v>4.18</v>
      </c>
      <c r="AB5582" s="7">
        <v>65.509</v>
      </c>
      <c r="AC5582" s="5">
        <v>237.8</v>
      </c>
    </row>
    <row r="5583" spans="1:29" ht="104" x14ac:dyDescent="0.15">
      <c r="A5583" s="3">
        <f>DATE(2000,7,6)</f>
        <v>36713</v>
      </c>
      <c r="B5583" s="3">
        <f>DATE(2001,1,2)</f>
        <v>36893</v>
      </c>
      <c r="C5583" s="2" t="s">
        <v>95</v>
      </c>
      <c r="D5583" s="2" t="s">
        <v>17200</v>
      </c>
      <c r="E5583" s="2" t="s">
        <v>17201</v>
      </c>
      <c r="F5583" s="4">
        <v>3825</v>
      </c>
      <c r="G5583" s="2" t="s">
        <v>226</v>
      </c>
      <c r="H5583" s="2" t="s">
        <v>34</v>
      </c>
      <c r="I5583" s="2" t="s">
        <v>12251</v>
      </c>
      <c r="J5583" s="2" t="s">
        <v>12252</v>
      </c>
      <c r="K5583" s="2" t="s">
        <v>137</v>
      </c>
      <c r="L5583" s="2" t="s">
        <v>34</v>
      </c>
      <c r="M5583" s="12">
        <v>1296.454</v>
      </c>
      <c r="N5583" s="7">
        <v>53.875</v>
      </c>
      <c r="O5583" s="7">
        <v>57.063000000000002</v>
      </c>
      <c r="P5583" s="2" t="s">
        <v>17202</v>
      </c>
      <c r="Q5583" s="6">
        <v>100</v>
      </c>
      <c r="R5583" s="6">
        <v>7.09</v>
      </c>
      <c r="S5583" s="5">
        <v>-0.1</v>
      </c>
      <c r="T5583" s="5">
        <v>0.3</v>
      </c>
      <c r="U5583" s="5">
        <v>1.6</v>
      </c>
      <c r="V5583" s="6">
        <v>-0.03</v>
      </c>
      <c r="W5583" s="7">
        <v>7.875</v>
      </c>
      <c r="X5583" s="6">
        <v>7.75</v>
      </c>
      <c r="Y5583" s="9">
        <v>8.0625</v>
      </c>
      <c r="Z5583" s="7">
        <v>9.875</v>
      </c>
      <c r="AA5583" s="6">
        <v>4.1100000000000003</v>
      </c>
      <c r="AB5583" s="2" t="s">
        <v>86</v>
      </c>
      <c r="AC5583" s="5">
        <v>17.8</v>
      </c>
    </row>
    <row r="5584" spans="1:29" ht="156" x14ac:dyDescent="0.15">
      <c r="A5584" s="3">
        <f>DATE(2000,7,7)</f>
        <v>36714</v>
      </c>
      <c r="B5584" s="2"/>
      <c r="C5584" s="2" t="s">
        <v>30</v>
      </c>
      <c r="D5584" s="2" t="s">
        <v>17203</v>
      </c>
      <c r="E5584" s="2" t="s">
        <v>17204</v>
      </c>
      <c r="F5584" s="4">
        <v>5169</v>
      </c>
      <c r="G5584" s="2" t="s">
        <v>593</v>
      </c>
      <c r="H5584" s="2" t="s">
        <v>34</v>
      </c>
      <c r="I5584" s="2" t="s">
        <v>17192</v>
      </c>
      <c r="J5584" s="2" t="s">
        <v>17193</v>
      </c>
      <c r="K5584" s="2" t="s">
        <v>223</v>
      </c>
      <c r="L5584" s="2" t="s">
        <v>34</v>
      </c>
      <c r="M5584" s="7">
        <v>133.19499999999999</v>
      </c>
      <c r="N5584" s="5">
        <v>11.5</v>
      </c>
      <c r="O5584" s="7">
        <v>9.875</v>
      </c>
      <c r="P5584" s="2" t="s">
        <v>17205</v>
      </c>
      <c r="Q5584" s="2"/>
      <c r="R5584" s="6">
        <v>4.9400000000000004</v>
      </c>
      <c r="S5584" s="5">
        <v>1</v>
      </c>
      <c r="T5584" s="7">
        <v>1.6359999999999999</v>
      </c>
      <c r="U5584" s="5">
        <v>2.4</v>
      </c>
      <c r="V5584" s="6">
        <v>0.28000000000000003</v>
      </c>
      <c r="W5584" s="7">
        <v>2.0630000000000002</v>
      </c>
      <c r="X5584" s="6">
        <v>2.25</v>
      </c>
      <c r="Y5584" s="9">
        <v>4.1875</v>
      </c>
      <c r="Z5584" s="4">
        <v>4</v>
      </c>
      <c r="AA5584" s="6">
        <v>3.25</v>
      </c>
      <c r="AB5584" s="7">
        <v>9.3019999999999996</v>
      </c>
      <c r="AC5584" s="5">
        <v>6.2</v>
      </c>
    </row>
    <row r="5585" spans="1:29" ht="65" x14ac:dyDescent="0.15">
      <c r="A5585" s="3">
        <f>DATE(2000,7,7)</f>
        <v>36714</v>
      </c>
      <c r="B5585" s="3">
        <f>DATE(2000,12,1)</f>
        <v>36861</v>
      </c>
      <c r="C5585" s="2" t="s">
        <v>95</v>
      </c>
      <c r="D5585" s="2" t="s">
        <v>17206</v>
      </c>
      <c r="E5585" s="2" t="s">
        <v>36</v>
      </c>
      <c r="F5585" s="4">
        <v>6022</v>
      </c>
      <c r="G5585" s="2" t="s">
        <v>37</v>
      </c>
      <c r="H5585" s="2" t="s">
        <v>34</v>
      </c>
      <c r="I5585" s="2" t="s">
        <v>12303</v>
      </c>
      <c r="J5585" s="2" t="s">
        <v>36</v>
      </c>
      <c r="K5585" s="2" t="s">
        <v>37</v>
      </c>
      <c r="L5585" s="2" t="s">
        <v>34</v>
      </c>
      <c r="M5585" s="12">
        <v>69584.755999999994</v>
      </c>
      <c r="N5585" s="6">
        <v>42.75</v>
      </c>
      <c r="O5585" s="7">
        <v>42.625</v>
      </c>
      <c r="P5585" s="2" t="s">
        <v>17207</v>
      </c>
      <c r="Q5585" s="6">
        <v>100</v>
      </c>
      <c r="R5585" s="6">
        <v>12.56</v>
      </c>
      <c r="S5585" s="5">
        <v>17.100000000000001</v>
      </c>
      <c r="T5585" s="5">
        <v>29.8</v>
      </c>
      <c r="U5585" s="5">
        <v>6.7</v>
      </c>
      <c r="V5585" s="6">
        <v>0.83</v>
      </c>
      <c r="W5585" s="7">
        <v>13.875</v>
      </c>
      <c r="X5585" s="7">
        <v>13.313000000000001</v>
      </c>
      <c r="Y5585" s="7">
        <v>12.188000000000001</v>
      </c>
      <c r="Z5585" s="7">
        <v>12.125</v>
      </c>
      <c r="AA5585" s="6">
        <v>20.36</v>
      </c>
      <c r="AB5585" s="7">
        <v>84.864999999999995</v>
      </c>
      <c r="AC5585" s="8">
        <v>17577</v>
      </c>
    </row>
    <row r="5586" spans="1:29" ht="65" x14ac:dyDescent="0.15">
      <c r="A5586" s="3">
        <f>DATE(2000,7,7)</f>
        <v>36714</v>
      </c>
      <c r="B5586" s="2"/>
      <c r="C5586" s="2" t="s">
        <v>7330</v>
      </c>
      <c r="D5586" s="2" t="s">
        <v>17208</v>
      </c>
      <c r="E5586" s="2" t="s">
        <v>17209</v>
      </c>
      <c r="F5586" s="4">
        <v>7375</v>
      </c>
      <c r="G5586" s="2" t="s">
        <v>223</v>
      </c>
      <c r="H5586" s="2" t="s">
        <v>34</v>
      </c>
      <c r="I5586" s="2" t="s">
        <v>51</v>
      </c>
      <c r="J5586" s="2" t="s">
        <v>52</v>
      </c>
      <c r="K5586" s="2" t="s">
        <v>53</v>
      </c>
      <c r="L5586" s="2" t="s">
        <v>34</v>
      </c>
      <c r="M5586" s="2"/>
      <c r="N5586" s="2"/>
      <c r="O5586" s="2"/>
      <c r="P5586" s="2" t="s">
        <v>17210</v>
      </c>
      <c r="Q5586" s="2"/>
      <c r="R5586" s="2"/>
      <c r="S5586" s="5">
        <v>-32.299999999999997</v>
      </c>
      <c r="T5586" s="5">
        <v>-0.5</v>
      </c>
      <c r="U5586" s="5">
        <v>7.6</v>
      </c>
      <c r="V5586" s="6">
        <v>-0.61</v>
      </c>
      <c r="W5586" s="9">
        <v>51.5625</v>
      </c>
      <c r="X5586" s="9">
        <v>51.9375</v>
      </c>
      <c r="Y5586" s="7">
        <v>52.063000000000002</v>
      </c>
      <c r="Z5586" s="7">
        <v>51.938000000000002</v>
      </c>
      <c r="AA5586" s="6">
        <v>86.24</v>
      </c>
      <c r="AB5586" s="2" t="s">
        <v>86</v>
      </c>
      <c r="AC5586" s="2"/>
    </row>
    <row r="5587" spans="1:29" ht="247" x14ac:dyDescent="0.15">
      <c r="A5587" s="3">
        <f>DATE(2000,7,7)</f>
        <v>36714</v>
      </c>
      <c r="B5587" s="3">
        <f>DATE(2000,9,14)</f>
        <v>36783</v>
      </c>
      <c r="C5587" s="2" t="s">
        <v>95</v>
      </c>
      <c r="D5587" s="2" t="s">
        <v>12485</v>
      </c>
      <c r="E5587" s="2" t="s">
        <v>12486</v>
      </c>
      <c r="F5587" s="4">
        <v>2891</v>
      </c>
      <c r="G5587" s="2" t="s">
        <v>98</v>
      </c>
      <c r="H5587" s="2" t="s">
        <v>34</v>
      </c>
      <c r="I5587" s="2" t="s">
        <v>17211</v>
      </c>
      <c r="J5587" s="2" t="s">
        <v>16467</v>
      </c>
      <c r="K5587" s="2" t="s">
        <v>130</v>
      </c>
      <c r="L5587" s="2" t="s">
        <v>34</v>
      </c>
      <c r="M5587" s="12">
        <v>1472.595</v>
      </c>
      <c r="N5587" s="7">
        <v>77.125</v>
      </c>
      <c r="O5587" s="7">
        <v>58.375</v>
      </c>
      <c r="P5587" s="2" t="s">
        <v>17212</v>
      </c>
      <c r="Q5587" s="6">
        <v>100</v>
      </c>
      <c r="R5587" s="6">
        <v>62.5</v>
      </c>
      <c r="S5587" s="5">
        <v>54.7</v>
      </c>
      <c r="T5587" s="7">
        <v>161.78100000000001</v>
      </c>
      <c r="U5587" s="5">
        <v>20.399999999999999</v>
      </c>
      <c r="V5587" s="6">
        <v>2.38</v>
      </c>
      <c r="W5587" s="7">
        <v>35.188000000000002</v>
      </c>
      <c r="X5587" s="7">
        <v>32.563000000000002</v>
      </c>
      <c r="Y5587" s="4">
        <v>41</v>
      </c>
      <c r="Z5587" s="7">
        <v>41.688000000000002</v>
      </c>
      <c r="AA5587" s="6">
        <v>23.11</v>
      </c>
      <c r="AB5587" s="7">
        <v>15.17</v>
      </c>
      <c r="AC5587" s="5">
        <v>175.8</v>
      </c>
    </row>
    <row r="5588" spans="1:29" ht="221" x14ac:dyDescent="0.15">
      <c r="A5588" s="3">
        <f>DATE(2000,7,9)</f>
        <v>36716</v>
      </c>
      <c r="B5588" s="3">
        <f>DATE(2000,9,14)</f>
        <v>36783</v>
      </c>
      <c r="C5588" s="2" t="s">
        <v>95</v>
      </c>
      <c r="D5588" s="2" t="s">
        <v>12483</v>
      </c>
      <c r="E5588" s="2" t="s">
        <v>12484</v>
      </c>
      <c r="F5588" s="4">
        <v>2836</v>
      </c>
      <c r="G5588" s="2" t="s">
        <v>130</v>
      </c>
      <c r="H5588" s="2" t="s">
        <v>34</v>
      </c>
      <c r="I5588" s="2" t="s">
        <v>17211</v>
      </c>
      <c r="J5588" s="2" t="s">
        <v>16467</v>
      </c>
      <c r="K5588" s="2" t="s">
        <v>130</v>
      </c>
      <c r="L5588" s="2" t="s">
        <v>34</v>
      </c>
      <c r="M5588" s="12">
        <v>1472.595</v>
      </c>
      <c r="N5588" s="7">
        <v>58.375</v>
      </c>
      <c r="O5588" s="7">
        <v>58.375</v>
      </c>
      <c r="P5588" s="2" t="s">
        <v>17213</v>
      </c>
      <c r="Q5588" s="6">
        <v>27.87</v>
      </c>
      <c r="R5588" s="6">
        <v>60</v>
      </c>
      <c r="S5588" s="5">
        <v>39.200000000000003</v>
      </c>
      <c r="T5588" s="7">
        <v>78.334000000000003</v>
      </c>
      <c r="U5588" s="5">
        <v>13</v>
      </c>
      <c r="V5588" s="6">
        <v>1.56</v>
      </c>
      <c r="W5588" s="4">
        <v>49</v>
      </c>
      <c r="X5588" s="4">
        <v>49</v>
      </c>
      <c r="Y5588" s="4">
        <v>53</v>
      </c>
      <c r="Z5588" s="4">
        <v>53</v>
      </c>
      <c r="AA5588" s="6">
        <v>25.06</v>
      </c>
      <c r="AB5588" s="7">
        <v>23.687999999999999</v>
      </c>
      <c r="AC5588" s="5">
        <v>175.8</v>
      </c>
    </row>
    <row r="5589" spans="1:29" ht="117" x14ac:dyDescent="0.15">
      <c r="A5589" s="3">
        <f t="shared" ref="A5589:A5595" si="134">DATE(2000,7,10)</f>
        <v>36717</v>
      </c>
      <c r="B5589" s="2"/>
      <c r="C5589" s="2" t="s">
        <v>30</v>
      </c>
      <c r="D5589" s="2" t="s">
        <v>17214</v>
      </c>
      <c r="E5589" s="2" t="s">
        <v>8260</v>
      </c>
      <c r="F5589" s="4">
        <v>2835</v>
      </c>
      <c r="G5589" s="2" t="s">
        <v>130</v>
      </c>
      <c r="H5589" s="2" t="s">
        <v>34</v>
      </c>
      <c r="I5589" s="2" t="s">
        <v>6377</v>
      </c>
      <c r="J5589" s="2" t="s">
        <v>6378</v>
      </c>
      <c r="K5589" s="2" t="s">
        <v>130</v>
      </c>
      <c r="L5589" s="2" t="s">
        <v>34</v>
      </c>
      <c r="M5589" s="7">
        <v>586.55100000000004</v>
      </c>
      <c r="N5589" s="7">
        <v>9.4380000000000006</v>
      </c>
      <c r="O5589" s="7">
        <v>8.875</v>
      </c>
      <c r="P5589" s="2" t="s">
        <v>17215</v>
      </c>
      <c r="Q5589" s="2"/>
      <c r="R5589" s="6">
        <v>8.75</v>
      </c>
      <c r="S5589" s="5">
        <v>-1.7</v>
      </c>
      <c r="T5589" s="5">
        <v>-1.4</v>
      </c>
      <c r="U5589" s="5">
        <v>3.5</v>
      </c>
      <c r="V5589" s="6">
        <v>-0.26</v>
      </c>
      <c r="W5589" s="4">
        <v>6</v>
      </c>
      <c r="X5589" s="7">
        <v>6.0629999999999997</v>
      </c>
      <c r="Y5589" s="7">
        <v>7.875</v>
      </c>
      <c r="Z5589" s="6">
        <v>7.75</v>
      </c>
      <c r="AA5589" s="6">
        <v>6.75</v>
      </c>
      <c r="AB5589" s="2" t="s">
        <v>86</v>
      </c>
      <c r="AC5589" s="5">
        <v>10.5</v>
      </c>
    </row>
    <row r="5590" spans="1:29" ht="91" x14ac:dyDescent="0.15">
      <c r="A5590" s="3">
        <f t="shared" si="134"/>
        <v>36717</v>
      </c>
      <c r="B5590" s="3">
        <f>DATE(2000,10,2)</f>
        <v>36801</v>
      </c>
      <c r="C5590" s="2" t="s">
        <v>95</v>
      </c>
      <c r="D5590" s="2" t="s">
        <v>17216</v>
      </c>
      <c r="E5590" s="2" t="s">
        <v>17217</v>
      </c>
      <c r="F5590" s="4">
        <v>5961</v>
      </c>
      <c r="G5590" s="2" t="s">
        <v>73</v>
      </c>
      <c r="H5590" s="2" t="s">
        <v>34</v>
      </c>
      <c r="I5590" s="2" t="s">
        <v>16029</v>
      </c>
      <c r="J5590" s="2" t="s">
        <v>16030</v>
      </c>
      <c r="K5590" s="2" t="s">
        <v>76</v>
      </c>
      <c r="L5590" s="2" t="s">
        <v>34</v>
      </c>
      <c r="M5590" s="2"/>
      <c r="N5590" s="2"/>
      <c r="O5590" s="2"/>
      <c r="P5590" s="2" t="s">
        <v>17218</v>
      </c>
      <c r="Q5590" s="6">
        <v>100</v>
      </c>
      <c r="R5590" s="6">
        <v>13.15</v>
      </c>
      <c r="S5590" s="5">
        <v>15.9</v>
      </c>
      <c r="T5590" s="5">
        <v>34.200000000000003</v>
      </c>
      <c r="U5590" s="5">
        <v>6.4</v>
      </c>
      <c r="V5590" s="6">
        <v>0.98</v>
      </c>
      <c r="W5590" s="7">
        <v>9.7189999999999994</v>
      </c>
      <c r="X5590" s="5">
        <v>10.5</v>
      </c>
      <c r="Y5590" s="7">
        <v>12.313000000000001</v>
      </c>
      <c r="Z5590" s="7">
        <v>12.313000000000001</v>
      </c>
      <c r="AA5590" s="6">
        <v>16.260000000000002</v>
      </c>
      <c r="AB5590" s="7">
        <v>8.4700000000000006</v>
      </c>
      <c r="AC5590" s="2"/>
    </row>
    <row r="5591" spans="1:29" ht="117" x14ac:dyDescent="0.15">
      <c r="A5591" s="3">
        <f t="shared" si="134"/>
        <v>36717</v>
      </c>
      <c r="B5591" s="3">
        <f>DATE(2000,8,17)</f>
        <v>36755</v>
      </c>
      <c r="C5591" s="2" t="s">
        <v>95</v>
      </c>
      <c r="D5591" s="2" t="s">
        <v>17219</v>
      </c>
      <c r="E5591" s="2" t="s">
        <v>5240</v>
      </c>
      <c r="F5591" s="4">
        <v>5021</v>
      </c>
      <c r="G5591" s="2" t="s">
        <v>76</v>
      </c>
      <c r="H5591" s="2" t="s">
        <v>34</v>
      </c>
      <c r="I5591" s="2" t="s">
        <v>17220</v>
      </c>
      <c r="J5591" s="2" t="s">
        <v>17221</v>
      </c>
      <c r="K5591" s="2" t="s">
        <v>53</v>
      </c>
      <c r="L5591" s="2" t="s">
        <v>34</v>
      </c>
      <c r="M5591" s="2"/>
      <c r="N5591" s="2"/>
      <c r="O5591" s="2"/>
      <c r="P5591" s="2" t="s">
        <v>17222</v>
      </c>
      <c r="Q5591" s="6">
        <v>100</v>
      </c>
      <c r="R5591" s="6">
        <v>9.25</v>
      </c>
      <c r="S5591" s="5">
        <v>4.2</v>
      </c>
      <c r="T5591" s="5">
        <v>9.8000000000000007</v>
      </c>
      <c r="U5591" s="5">
        <v>3.8</v>
      </c>
      <c r="V5591" s="6">
        <v>0.74</v>
      </c>
      <c r="W5591" s="7">
        <v>6.375</v>
      </c>
      <c r="X5591" s="6">
        <v>6.75</v>
      </c>
      <c r="Y5591" s="4">
        <v>9</v>
      </c>
      <c r="Z5591" s="4">
        <v>9</v>
      </c>
      <c r="AA5591" s="6">
        <v>5.3</v>
      </c>
      <c r="AB5591" s="7">
        <v>8.6539999999999999</v>
      </c>
      <c r="AC5591" s="2"/>
    </row>
    <row r="5592" spans="1:29" ht="117" x14ac:dyDescent="0.15">
      <c r="A5592" s="3">
        <f t="shared" si="134"/>
        <v>36717</v>
      </c>
      <c r="B5592" s="3">
        <f>DATE(2000,12,7)</f>
        <v>36867</v>
      </c>
      <c r="C5592" s="2" t="s">
        <v>95</v>
      </c>
      <c r="D5592" s="2" t="s">
        <v>9951</v>
      </c>
      <c r="E5592" s="2" t="s">
        <v>612</v>
      </c>
      <c r="F5592" s="4">
        <v>1311</v>
      </c>
      <c r="G5592" s="2" t="s">
        <v>148</v>
      </c>
      <c r="H5592" s="2" t="s">
        <v>34</v>
      </c>
      <c r="I5592" s="2" t="s">
        <v>17223</v>
      </c>
      <c r="J5592" s="2" t="s">
        <v>17224</v>
      </c>
      <c r="K5592" s="2" t="s">
        <v>148</v>
      </c>
      <c r="L5592" s="2" t="s">
        <v>34</v>
      </c>
      <c r="M5592" s="7">
        <v>816.78800000000001</v>
      </c>
      <c r="N5592" s="7">
        <v>14.125</v>
      </c>
      <c r="O5592" s="6">
        <v>14.75</v>
      </c>
      <c r="P5592" s="2" t="s">
        <v>17225</v>
      </c>
      <c r="Q5592" s="6">
        <v>100</v>
      </c>
      <c r="R5592" s="6">
        <v>25.6</v>
      </c>
      <c r="S5592" s="5">
        <v>-18.399999999999999</v>
      </c>
      <c r="T5592" s="7">
        <v>197.458</v>
      </c>
      <c r="U5592" s="5">
        <v>12.1</v>
      </c>
      <c r="V5592" s="6">
        <v>-0.8</v>
      </c>
      <c r="W5592" s="7">
        <v>20.312999999999999</v>
      </c>
      <c r="X5592" s="7">
        <v>21.187999999999999</v>
      </c>
      <c r="Y5592" s="7">
        <v>22.125</v>
      </c>
      <c r="Z5592" s="4">
        <v>23</v>
      </c>
      <c r="AA5592" s="6">
        <v>24</v>
      </c>
      <c r="AB5592" s="7">
        <v>10.286</v>
      </c>
      <c r="AC5592" s="5">
        <v>6.8</v>
      </c>
    </row>
    <row r="5593" spans="1:29" ht="156" x14ac:dyDescent="0.15">
      <c r="A5593" s="3">
        <f t="shared" si="134"/>
        <v>36717</v>
      </c>
      <c r="B5593" s="3">
        <f>DATE(2001,2,10)</f>
        <v>36932</v>
      </c>
      <c r="C5593" s="2" t="s">
        <v>95</v>
      </c>
      <c r="D5593" s="2" t="s">
        <v>17226</v>
      </c>
      <c r="E5593" s="2" t="s">
        <v>17227</v>
      </c>
      <c r="F5593" s="4">
        <v>6021</v>
      </c>
      <c r="G5593" s="2" t="s">
        <v>37</v>
      </c>
      <c r="H5593" s="2" t="s">
        <v>34</v>
      </c>
      <c r="I5593" s="2" t="s">
        <v>16904</v>
      </c>
      <c r="J5593" s="2" t="s">
        <v>36</v>
      </c>
      <c r="K5593" s="2" t="s">
        <v>37</v>
      </c>
      <c r="L5593" s="2" t="s">
        <v>34</v>
      </c>
      <c r="M5593" s="12">
        <v>3450.152</v>
      </c>
      <c r="N5593" s="6">
        <v>455.75</v>
      </c>
      <c r="O5593" s="7">
        <v>470.56299999999999</v>
      </c>
      <c r="P5593" s="2" t="s">
        <v>17228</v>
      </c>
      <c r="Q5593" s="6">
        <v>100</v>
      </c>
      <c r="R5593" s="6">
        <v>21</v>
      </c>
      <c r="S5593" s="5">
        <v>21.1</v>
      </c>
      <c r="T5593" s="5">
        <v>36.5</v>
      </c>
      <c r="U5593" s="5">
        <v>8.8000000000000007</v>
      </c>
      <c r="V5593" s="6">
        <v>0.59</v>
      </c>
      <c r="W5593" s="7">
        <v>13.125</v>
      </c>
      <c r="X5593" s="7">
        <v>13.375</v>
      </c>
      <c r="Y5593" s="4">
        <v>20</v>
      </c>
      <c r="Z5593" s="4">
        <v>20</v>
      </c>
      <c r="AA5593" s="6">
        <v>15.84</v>
      </c>
      <c r="AB5593" s="7">
        <v>54.628</v>
      </c>
      <c r="AC5593" s="5">
        <v>610.79999999999995</v>
      </c>
    </row>
    <row r="5594" spans="1:29" ht="221" x14ac:dyDescent="0.15">
      <c r="A5594" s="3">
        <f t="shared" si="134"/>
        <v>36717</v>
      </c>
      <c r="B5594" s="3">
        <f>DATE(2001,2,13)</f>
        <v>36935</v>
      </c>
      <c r="C5594" s="2" t="s">
        <v>95</v>
      </c>
      <c r="D5594" s="2" t="s">
        <v>17229</v>
      </c>
      <c r="E5594" s="2" t="s">
        <v>17230</v>
      </c>
      <c r="F5594" s="4">
        <v>3674</v>
      </c>
      <c r="G5594" s="2" t="s">
        <v>137</v>
      </c>
      <c r="H5594" s="2" t="s">
        <v>34</v>
      </c>
      <c r="I5594" s="2" t="s">
        <v>15634</v>
      </c>
      <c r="J5594" s="2" t="s">
        <v>15635</v>
      </c>
      <c r="K5594" s="2" t="s">
        <v>137</v>
      </c>
      <c r="L5594" s="2" t="s">
        <v>34</v>
      </c>
      <c r="M5594" s="12">
        <v>68927.047999999995</v>
      </c>
      <c r="N5594" s="7">
        <v>101.125</v>
      </c>
      <c r="O5594" s="7">
        <v>95.688000000000002</v>
      </c>
      <c r="P5594" s="2" t="s">
        <v>17231</v>
      </c>
      <c r="Q5594" s="6">
        <v>100</v>
      </c>
      <c r="R5594" s="6">
        <v>441.51</v>
      </c>
      <c r="S5594" s="5">
        <v>25.2</v>
      </c>
      <c r="T5594" s="5">
        <v>45</v>
      </c>
      <c r="U5594" s="5">
        <v>5.9</v>
      </c>
      <c r="V5594" s="6">
        <v>0.37</v>
      </c>
      <c r="W5594" s="7">
        <v>261.875</v>
      </c>
      <c r="X5594" s="7">
        <v>249.125</v>
      </c>
      <c r="Y5594" s="4">
        <v>287</v>
      </c>
      <c r="Z5594" s="6">
        <v>270.25</v>
      </c>
      <c r="AA5594" s="6">
        <v>85.01</v>
      </c>
      <c r="AB5594" s="7">
        <v>1051.6790000000001</v>
      </c>
      <c r="AC5594" s="5">
        <v>495.6</v>
      </c>
    </row>
    <row r="5595" spans="1:29" ht="78" x14ac:dyDescent="0.15">
      <c r="A5595" s="3">
        <f t="shared" si="134"/>
        <v>36717</v>
      </c>
      <c r="B5595" s="2"/>
      <c r="C5595" s="2" t="s">
        <v>87</v>
      </c>
      <c r="D5595" s="2" t="s">
        <v>2336</v>
      </c>
      <c r="E5595" s="2" t="s">
        <v>2337</v>
      </c>
      <c r="F5595" s="4">
        <v>6021</v>
      </c>
      <c r="G5595" s="2" t="s">
        <v>37</v>
      </c>
      <c r="H5595" s="2" t="s">
        <v>34</v>
      </c>
      <c r="I5595" s="2" t="s">
        <v>13707</v>
      </c>
      <c r="J5595" s="2" t="s">
        <v>36</v>
      </c>
      <c r="K5595" s="2" t="s">
        <v>37</v>
      </c>
      <c r="L5595" s="2" t="s">
        <v>34</v>
      </c>
      <c r="M5595" s="10">
        <v>9955.84</v>
      </c>
      <c r="N5595" s="7">
        <v>26.875</v>
      </c>
      <c r="O5595" s="7">
        <v>27.625</v>
      </c>
      <c r="P5595" s="2" t="s">
        <v>17232</v>
      </c>
      <c r="Q5595" s="2"/>
      <c r="R5595" s="2"/>
      <c r="S5595" s="5">
        <v>467</v>
      </c>
      <c r="T5595" s="5">
        <v>812</v>
      </c>
      <c r="U5595" s="5">
        <v>18.2</v>
      </c>
      <c r="V5595" s="6">
        <v>2.77</v>
      </c>
      <c r="W5595" s="7">
        <v>24.625</v>
      </c>
      <c r="X5595" s="7">
        <v>25.812999999999999</v>
      </c>
      <c r="Y5595" s="9">
        <v>25.1875</v>
      </c>
      <c r="Z5595" s="9">
        <v>25.3125</v>
      </c>
      <c r="AA5595" s="6">
        <v>168.1</v>
      </c>
      <c r="AB5595" s="2" t="s">
        <v>47</v>
      </c>
      <c r="AC5595" s="8">
        <v>1627.1</v>
      </c>
    </row>
    <row r="5596" spans="1:29" ht="117" x14ac:dyDescent="0.15">
      <c r="A5596" s="3">
        <f>DATE(2000,7,11)</f>
        <v>36718</v>
      </c>
      <c r="B5596" s="2"/>
      <c r="C5596" s="2" t="s">
        <v>30</v>
      </c>
      <c r="D5596" s="2" t="s">
        <v>17233</v>
      </c>
      <c r="E5596" s="2" t="s">
        <v>263</v>
      </c>
      <c r="F5596" s="4">
        <v>6021</v>
      </c>
      <c r="G5596" s="2" t="s">
        <v>37</v>
      </c>
      <c r="H5596" s="2" t="s">
        <v>34</v>
      </c>
      <c r="I5596" s="2" t="s">
        <v>17234</v>
      </c>
      <c r="J5596" s="2" t="s">
        <v>159</v>
      </c>
      <c r="K5596" s="2" t="s">
        <v>37</v>
      </c>
      <c r="L5596" s="2" t="s">
        <v>34</v>
      </c>
      <c r="M5596" s="7">
        <v>71.644999999999996</v>
      </c>
      <c r="N5596" s="5">
        <v>16.5</v>
      </c>
      <c r="O5596" s="7">
        <v>17.030999999999999</v>
      </c>
      <c r="P5596" s="2" t="s">
        <v>17235</v>
      </c>
      <c r="Q5596" s="2"/>
      <c r="R5596" s="6">
        <v>10.6</v>
      </c>
      <c r="S5596" s="2"/>
      <c r="T5596" s="2"/>
      <c r="U5596" s="2"/>
      <c r="V5596" s="2"/>
      <c r="W5596" s="5">
        <v>7.5</v>
      </c>
      <c r="X5596" s="7">
        <v>7.7809999999999997</v>
      </c>
      <c r="Y5596" s="6">
        <v>8.25</v>
      </c>
      <c r="Z5596" s="4">
        <v>8</v>
      </c>
      <c r="AA5596" s="6">
        <v>1.06</v>
      </c>
      <c r="AB5596" s="2" t="s">
        <v>47</v>
      </c>
      <c r="AC5596" s="5">
        <v>16.5</v>
      </c>
    </row>
    <row r="5597" spans="1:29" ht="117" x14ac:dyDescent="0.15">
      <c r="A5597" s="3">
        <f>DATE(2000,7,11)</f>
        <v>36718</v>
      </c>
      <c r="B5597" s="3">
        <f>DATE(2000,12,28)</f>
        <v>36888</v>
      </c>
      <c r="C5597" s="2" t="s">
        <v>95</v>
      </c>
      <c r="D5597" s="2" t="s">
        <v>6184</v>
      </c>
      <c r="E5597" s="2" t="s">
        <v>6185</v>
      </c>
      <c r="F5597" s="4">
        <v>8059</v>
      </c>
      <c r="G5597" s="2" t="s">
        <v>454</v>
      </c>
      <c r="H5597" s="2" t="s">
        <v>34</v>
      </c>
      <c r="I5597" s="2" t="s">
        <v>9592</v>
      </c>
      <c r="J5597" s="2" t="s">
        <v>8300</v>
      </c>
      <c r="K5597" s="2" t="s">
        <v>454</v>
      </c>
      <c r="L5597" s="2" t="s">
        <v>34</v>
      </c>
      <c r="M5597" s="7">
        <v>715.91600000000005</v>
      </c>
      <c r="N5597" s="6">
        <v>7.25</v>
      </c>
      <c r="O5597" s="6">
        <v>7.25</v>
      </c>
      <c r="P5597" s="2" t="s">
        <v>17236</v>
      </c>
      <c r="Q5597" s="6">
        <v>63.48</v>
      </c>
      <c r="R5597" s="6">
        <v>3.7</v>
      </c>
      <c r="S5597" s="5">
        <v>6</v>
      </c>
      <c r="T5597" s="5">
        <v>4.3</v>
      </c>
      <c r="U5597" s="5">
        <v>1.6</v>
      </c>
      <c r="V5597" s="6">
        <v>0.62</v>
      </c>
      <c r="W5597" s="7">
        <v>2.875</v>
      </c>
      <c r="X5597" s="4">
        <v>3</v>
      </c>
      <c r="Y5597" s="6">
        <v>3.25</v>
      </c>
      <c r="Z5597" s="7">
        <v>3.1880000000000002</v>
      </c>
      <c r="AA5597" s="6">
        <v>5.52</v>
      </c>
      <c r="AB5597" s="7">
        <v>12.007999999999999</v>
      </c>
      <c r="AC5597" s="5">
        <v>30.9</v>
      </c>
    </row>
    <row r="5598" spans="1:29" ht="156" x14ac:dyDescent="0.15">
      <c r="A5598" s="3">
        <f>DATE(2000,7,12)</f>
        <v>36719</v>
      </c>
      <c r="B5598" s="3">
        <f>DATE(2000,11,3)</f>
        <v>36833</v>
      </c>
      <c r="C5598" s="2" t="s">
        <v>95</v>
      </c>
      <c r="D5598" s="2" t="s">
        <v>12295</v>
      </c>
      <c r="E5598" s="2" t="s">
        <v>2712</v>
      </c>
      <c r="F5598" s="4">
        <v>6211</v>
      </c>
      <c r="G5598" s="2" t="s">
        <v>53</v>
      </c>
      <c r="H5598" s="2" t="s">
        <v>34</v>
      </c>
      <c r="I5598" s="2" t="s">
        <v>17237</v>
      </c>
      <c r="J5598" s="2" t="s">
        <v>17238</v>
      </c>
      <c r="K5598" s="2" t="s">
        <v>37</v>
      </c>
      <c r="L5598" s="2" t="s">
        <v>215</v>
      </c>
      <c r="M5598" s="2"/>
      <c r="N5598" s="2"/>
      <c r="O5598" s="2"/>
      <c r="P5598" s="2" t="s">
        <v>17239</v>
      </c>
      <c r="Q5598" s="6">
        <v>100</v>
      </c>
      <c r="R5598" s="6">
        <v>73.5</v>
      </c>
      <c r="S5598" s="5">
        <v>608.4</v>
      </c>
      <c r="T5598" s="12">
        <v>1205.875</v>
      </c>
      <c r="U5598" s="5">
        <v>21.7</v>
      </c>
      <c r="V5598" s="6">
        <v>3.52</v>
      </c>
      <c r="W5598" s="7">
        <v>44.811999999999998</v>
      </c>
      <c r="X5598" s="7">
        <v>49.936999999999998</v>
      </c>
      <c r="Y5598" s="2"/>
      <c r="Z5598" s="2"/>
      <c r="AA5598" s="6">
        <v>145.63</v>
      </c>
      <c r="AB5598" s="7">
        <v>18.437000000000001</v>
      </c>
      <c r="AC5598" s="10">
        <v>3188.38</v>
      </c>
    </row>
    <row r="5599" spans="1:29" ht="169" x14ac:dyDescent="0.15">
      <c r="A5599" s="3">
        <f>DATE(2000,7,12)</f>
        <v>36719</v>
      </c>
      <c r="B5599" s="3">
        <f>DATE(2000,8,24)</f>
        <v>36762</v>
      </c>
      <c r="C5599" s="2" t="s">
        <v>95</v>
      </c>
      <c r="D5599" s="2" t="s">
        <v>17240</v>
      </c>
      <c r="E5599" s="2" t="s">
        <v>17241</v>
      </c>
      <c r="F5599" s="4">
        <v>3674</v>
      </c>
      <c r="G5599" s="2" t="s">
        <v>137</v>
      </c>
      <c r="H5599" s="2" t="s">
        <v>34</v>
      </c>
      <c r="I5599" s="2" t="s">
        <v>17242</v>
      </c>
      <c r="J5599" s="2" t="s">
        <v>10974</v>
      </c>
      <c r="K5599" s="2" t="s">
        <v>137</v>
      </c>
      <c r="L5599" s="2" t="s">
        <v>34</v>
      </c>
      <c r="M5599" s="12">
        <v>26762.028999999999</v>
      </c>
      <c r="N5599" s="7">
        <v>208.06299999999999</v>
      </c>
      <c r="O5599" s="7">
        <v>228.93799999999999</v>
      </c>
      <c r="P5599" s="2" t="s">
        <v>17243</v>
      </c>
      <c r="Q5599" s="6">
        <v>100</v>
      </c>
      <c r="R5599" s="6">
        <v>75.63</v>
      </c>
      <c r="S5599" s="5">
        <v>-11.8</v>
      </c>
      <c r="T5599" s="7">
        <v>-10.006</v>
      </c>
      <c r="U5599" s="5">
        <v>0.7</v>
      </c>
      <c r="V5599" s="6">
        <v>-0.51</v>
      </c>
      <c r="W5599" s="6">
        <v>61.25</v>
      </c>
      <c r="X5599" s="5">
        <v>60.5</v>
      </c>
      <c r="Y5599" s="7">
        <v>78.938000000000002</v>
      </c>
      <c r="Z5599" s="4">
        <v>87</v>
      </c>
      <c r="AA5599" s="6">
        <v>26.67</v>
      </c>
      <c r="AB5599" s="2" t="s">
        <v>86</v>
      </c>
      <c r="AC5599" s="5">
        <v>126.1</v>
      </c>
    </row>
    <row r="5600" spans="1:29" ht="130" x14ac:dyDescent="0.15">
      <c r="A5600" s="3">
        <f>DATE(2000,7,13)</f>
        <v>36720</v>
      </c>
      <c r="B5600" s="3">
        <f>DATE(2000,8,31)</f>
        <v>36769</v>
      </c>
      <c r="C5600" s="2" t="s">
        <v>95</v>
      </c>
      <c r="D5600" s="2" t="s">
        <v>17244</v>
      </c>
      <c r="E5600" s="2" t="s">
        <v>17245</v>
      </c>
      <c r="F5600" s="4">
        <v>2834</v>
      </c>
      <c r="G5600" s="2" t="s">
        <v>130</v>
      </c>
      <c r="H5600" s="2" t="s">
        <v>34</v>
      </c>
      <c r="I5600" s="2" t="s">
        <v>15843</v>
      </c>
      <c r="J5600" s="2" t="s">
        <v>7462</v>
      </c>
      <c r="K5600" s="2" t="s">
        <v>130</v>
      </c>
      <c r="L5600" s="2" t="s">
        <v>34</v>
      </c>
      <c r="M5600" s="12">
        <v>3582.1790000000001</v>
      </c>
      <c r="N5600" s="5">
        <v>36.5</v>
      </c>
      <c r="O5600" s="7">
        <v>32.563000000000002</v>
      </c>
      <c r="P5600" s="2" t="s">
        <v>17246</v>
      </c>
      <c r="Q5600" s="6">
        <v>100</v>
      </c>
      <c r="R5600" s="6">
        <v>51.12</v>
      </c>
      <c r="S5600" s="5">
        <v>66.8</v>
      </c>
      <c r="T5600" s="5">
        <v>106.9</v>
      </c>
      <c r="U5600" s="5">
        <v>4.9000000000000004</v>
      </c>
      <c r="V5600" s="6">
        <v>0.99</v>
      </c>
      <c r="W5600" s="7">
        <v>44.375</v>
      </c>
      <c r="X5600" s="6">
        <v>43.75</v>
      </c>
      <c r="Y5600" s="4">
        <v>40</v>
      </c>
      <c r="Z5600" s="7">
        <v>35.875</v>
      </c>
      <c r="AA5600" s="6">
        <v>65.489999999999995</v>
      </c>
      <c r="AB5600" s="7">
        <v>33.478999999999999</v>
      </c>
      <c r="AC5600" s="6">
        <v>73.55</v>
      </c>
    </row>
    <row r="5601" spans="1:29" ht="78" x14ac:dyDescent="0.15">
      <c r="A5601" s="3">
        <f>DATE(2000,7,14)</f>
        <v>36721</v>
      </c>
      <c r="B5601" s="2"/>
      <c r="C5601" s="2" t="s">
        <v>30</v>
      </c>
      <c r="D5601" s="2" t="s">
        <v>17247</v>
      </c>
      <c r="E5601" s="2" t="s">
        <v>17248</v>
      </c>
      <c r="F5601" s="4">
        <v>3562</v>
      </c>
      <c r="G5601" s="2" t="s">
        <v>300</v>
      </c>
      <c r="H5601" s="2" t="s">
        <v>34</v>
      </c>
      <c r="I5601" s="2" t="s">
        <v>51</v>
      </c>
      <c r="J5601" s="2" t="s">
        <v>52</v>
      </c>
      <c r="K5601" s="2" t="s">
        <v>53</v>
      </c>
      <c r="L5601" s="2" t="s">
        <v>34</v>
      </c>
      <c r="M5601" s="2"/>
      <c r="N5601" s="2"/>
      <c r="O5601" s="2"/>
      <c r="P5601" s="2" t="s">
        <v>17249</v>
      </c>
      <c r="Q5601" s="2"/>
      <c r="R5601" s="6">
        <v>6.5</v>
      </c>
      <c r="S5601" s="5">
        <v>3.9</v>
      </c>
      <c r="T5601" s="5">
        <v>6.8</v>
      </c>
      <c r="U5601" s="5">
        <v>6</v>
      </c>
      <c r="V5601" s="6">
        <v>1</v>
      </c>
      <c r="W5601" s="4">
        <v>5</v>
      </c>
      <c r="X5601" s="7">
        <v>5.0629999999999997</v>
      </c>
      <c r="Y5601" s="6">
        <v>6.25</v>
      </c>
      <c r="Z5601" s="7">
        <v>6.375</v>
      </c>
      <c r="AA5601" s="6">
        <v>3.92</v>
      </c>
      <c r="AB5601" s="7">
        <v>6.1349999999999998</v>
      </c>
      <c r="AC5601" s="2"/>
    </row>
    <row r="5602" spans="1:29" ht="104" x14ac:dyDescent="0.15">
      <c r="A5602" s="3">
        <f>DATE(2000,7,14)</f>
        <v>36721</v>
      </c>
      <c r="B5602" s="2"/>
      <c r="C5602" s="2" t="s">
        <v>30</v>
      </c>
      <c r="D5602" s="2" t="s">
        <v>17250</v>
      </c>
      <c r="E5602" s="2" t="s">
        <v>17251</v>
      </c>
      <c r="F5602" s="4">
        <v>6021</v>
      </c>
      <c r="G5602" s="2" t="s">
        <v>37</v>
      </c>
      <c r="H5602" s="2" t="s">
        <v>34</v>
      </c>
      <c r="I5602" s="2" t="s">
        <v>17252</v>
      </c>
      <c r="J5602" s="2" t="s">
        <v>367</v>
      </c>
      <c r="K5602" s="2" t="s">
        <v>53</v>
      </c>
      <c r="L5602" s="2" t="s">
        <v>34</v>
      </c>
      <c r="M5602" s="7">
        <v>400.13200000000001</v>
      </c>
      <c r="N5602" s="7">
        <v>31.875</v>
      </c>
      <c r="O5602" s="6">
        <v>31.25</v>
      </c>
      <c r="P5602" s="2" t="s">
        <v>17253</v>
      </c>
      <c r="Q5602" s="2"/>
      <c r="R5602" s="6">
        <v>16.239999999999998</v>
      </c>
      <c r="S5602" s="5">
        <v>7.3</v>
      </c>
      <c r="T5602" s="5">
        <v>83.2</v>
      </c>
      <c r="U5602" s="5">
        <v>9.3000000000000007</v>
      </c>
      <c r="V5602" s="6">
        <v>1.0900000000000001</v>
      </c>
      <c r="W5602" s="5">
        <v>6.5</v>
      </c>
      <c r="X5602" s="6">
        <v>6.75</v>
      </c>
      <c r="Y5602" s="4">
        <v>12</v>
      </c>
      <c r="Z5602" s="9">
        <v>11.9375</v>
      </c>
      <c r="AA5602" s="6">
        <v>6.76</v>
      </c>
      <c r="AB5602" s="7">
        <v>9.8070000000000004</v>
      </c>
      <c r="AC5602" s="5">
        <v>72.5</v>
      </c>
    </row>
    <row r="5603" spans="1:29" ht="169" x14ac:dyDescent="0.15">
      <c r="A5603" s="3">
        <f>DATE(2000,7,14)</f>
        <v>36721</v>
      </c>
      <c r="B5603" s="2"/>
      <c r="C5603" s="2" t="s">
        <v>30</v>
      </c>
      <c r="D5603" s="2" t="s">
        <v>17254</v>
      </c>
      <c r="E5603" s="2" t="s">
        <v>17255</v>
      </c>
      <c r="F5603" s="4">
        <v>3083</v>
      </c>
      <c r="G5603" s="2" t="s">
        <v>447</v>
      </c>
      <c r="H5603" s="2" t="s">
        <v>34</v>
      </c>
      <c r="I5603" s="2" t="s">
        <v>17256</v>
      </c>
      <c r="J5603" s="2" t="s">
        <v>14408</v>
      </c>
      <c r="K5603" s="2" t="s">
        <v>98</v>
      </c>
      <c r="L5603" s="2" t="s">
        <v>11620</v>
      </c>
      <c r="M5603" s="2"/>
      <c r="N5603" s="2"/>
      <c r="O5603" s="2"/>
      <c r="P5603" s="2" t="s">
        <v>17257</v>
      </c>
      <c r="Q5603" s="2"/>
      <c r="R5603" s="2"/>
      <c r="S5603" s="5">
        <v>5.7</v>
      </c>
      <c r="T5603" s="5">
        <v>13.2</v>
      </c>
      <c r="U5603" s="5">
        <v>9.6</v>
      </c>
      <c r="V5603" s="6">
        <v>1.32</v>
      </c>
      <c r="W5603" s="4">
        <v>23</v>
      </c>
      <c r="X5603" s="6">
        <v>21.75</v>
      </c>
      <c r="Y5603" s="4">
        <v>30</v>
      </c>
      <c r="Z5603" s="9">
        <v>30.1875</v>
      </c>
      <c r="AA5603" s="6">
        <v>3.75</v>
      </c>
      <c r="AB5603" s="2" t="s">
        <v>47</v>
      </c>
      <c r="AC5603" s="6">
        <v>16.84</v>
      </c>
    </row>
    <row r="5604" spans="1:29" ht="104" x14ac:dyDescent="0.15">
      <c r="A5604" s="3">
        <f t="shared" ref="A5604:A5610" si="135">DATE(2000,7,17)</f>
        <v>36724</v>
      </c>
      <c r="B5604" s="3">
        <f>DATE(2000,10,11)</f>
        <v>36810</v>
      </c>
      <c r="C5604" s="2" t="s">
        <v>95</v>
      </c>
      <c r="D5604" s="2" t="s">
        <v>17258</v>
      </c>
      <c r="E5604" s="2" t="s">
        <v>17259</v>
      </c>
      <c r="F5604" s="4">
        <v>2836</v>
      </c>
      <c r="G5604" s="2" t="s">
        <v>130</v>
      </c>
      <c r="H5604" s="2" t="s">
        <v>34</v>
      </c>
      <c r="I5604" s="2" t="s">
        <v>17260</v>
      </c>
      <c r="J5604" s="2" t="s">
        <v>7462</v>
      </c>
      <c r="K5604" s="2" t="s">
        <v>130</v>
      </c>
      <c r="L5604" s="2" t="s">
        <v>34</v>
      </c>
      <c r="M5604" s="12">
        <v>2114.4270000000001</v>
      </c>
      <c r="N5604" s="6">
        <v>71.25</v>
      </c>
      <c r="O5604" s="7">
        <v>69.313000000000002</v>
      </c>
      <c r="P5604" s="2" t="s">
        <v>17261</v>
      </c>
      <c r="Q5604" s="6">
        <v>100</v>
      </c>
      <c r="R5604" s="6">
        <v>31.45</v>
      </c>
      <c r="S5604" s="5">
        <v>-13.6</v>
      </c>
      <c r="T5604" s="5">
        <v>-16.3</v>
      </c>
      <c r="U5604" s="5">
        <v>4.8</v>
      </c>
      <c r="V5604" s="6">
        <v>-1.02</v>
      </c>
      <c r="W5604" s="7">
        <v>23.875</v>
      </c>
      <c r="X5604" s="7">
        <v>22.125</v>
      </c>
      <c r="Y5604" s="7">
        <v>32.625</v>
      </c>
      <c r="Z5604" s="7">
        <v>31.437999999999999</v>
      </c>
      <c r="AA5604" s="6">
        <v>13.4</v>
      </c>
      <c r="AB5604" s="2" t="s">
        <v>86</v>
      </c>
      <c r="AC5604" s="5">
        <v>29</v>
      </c>
    </row>
    <row r="5605" spans="1:29" ht="169" x14ac:dyDescent="0.15">
      <c r="A5605" s="3">
        <f t="shared" si="135"/>
        <v>36724</v>
      </c>
      <c r="B5605" s="3">
        <f>DATE(2000,8,24)</f>
        <v>36762</v>
      </c>
      <c r="C5605" s="2" t="s">
        <v>95</v>
      </c>
      <c r="D5605" s="2" t="s">
        <v>17262</v>
      </c>
      <c r="E5605" s="2" t="s">
        <v>17263</v>
      </c>
      <c r="F5605" s="4">
        <v>7375</v>
      </c>
      <c r="G5605" s="2" t="s">
        <v>223</v>
      </c>
      <c r="H5605" s="2" t="s">
        <v>34</v>
      </c>
      <c r="I5605" s="2" t="s">
        <v>51</v>
      </c>
      <c r="J5605" s="2" t="s">
        <v>52</v>
      </c>
      <c r="K5605" s="2" t="s">
        <v>53</v>
      </c>
      <c r="L5605" s="2" t="s">
        <v>34</v>
      </c>
      <c r="M5605" s="2"/>
      <c r="N5605" s="2"/>
      <c r="O5605" s="2"/>
      <c r="P5605" s="2" t="s">
        <v>17264</v>
      </c>
      <c r="Q5605" s="6">
        <v>100</v>
      </c>
      <c r="R5605" s="6">
        <v>8</v>
      </c>
      <c r="S5605" s="5">
        <v>-36.799999999999997</v>
      </c>
      <c r="T5605" s="7">
        <v>-39.307000000000002</v>
      </c>
      <c r="U5605" s="5">
        <v>1.9</v>
      </c>
      <c r="V5605" s="6">
        <v>-1.9</v>
      </c>
      <c r="W5605" s="7">
        <v>3.875</v>
      </c>
      <c r="X5605" s="7">
        <v>4.125</v>
      </c>
      <c r="Y5605" s="7">
        <v>7.8129999999999997</v>
      </c>
      <c r="Z5605" s="7">
        <v>7.8129999999999997</v>
      </c>
      <c r="AA5605" s="6">
        <v>23.81</v>
      </c>
      <c r="AB5605" s="2" t="s">
        <v>86</v>
      </c>
      <c r="AC5605" s="2"/>
    </row>
    <row r="5606" spans="1:29" ht="130" x14ac:dyDescent="0.15">
      <c r="A5606" s="3">
        <f t="shared" si="135"/>
        <v>36724</v>
      </c>
      <c r="B5606" s="3">
        <f>DATE(2000,8,25)</f>
        <v>36763</v>
      </c>
      <c r="C5606" s="2" t="s">
        <v>95</v>
      </c>
      <c r="D5606" s="2" t="s">
        <v>17265</v>
      </c>
      <c r="E5606" s="2" t="s">
        <v>14416</v>
      </c>
      <c r="F5606" s="4">
        <v>7372</v>
      </c>
      <c r="G5606" s="2" t="s">
        <v>551</v>
      </c>
      <c r="H5606" s="2" t="s">
        <v>34</v>
      </c>
      <c r="I5606" s="2" t="s">
        <v>1267</v>
      </c>
      <c r="J5606" s="2" t="s">
        <v>849</v>
      </c>
      <c r="K5606" s="2" t="s">
        <v>551</v>
      </c>
      <c r="L5606" s="2" t="s">
        <v>34</v>
      </c>
      <c r="M5606" s="7">
        <v>450.18299999999999</v>
      </c>
      <c r="N5606" s="5">
        <v>14.5</v>
      </c>
      <c r="O5606" s="7">
        <v>13.938000000000001</v>
      </c>
      <c r="P5606" s="2" t="s">
        <v>17266</v>
      </c>
      <c r="Q5606" s="6">
        <v>100</v>
      </c>
      <c r="R5606" s="6">
        <v>7</v>
      </c>
      <c r="S5606" s="5">
        <v>-15.7</v>
      </c>
      <c r="T5606" s="7">
        <v>9.3949999999999996</v>
      </c>
      <c r="U5606" s="5">
        <v>4.2</v>
      </c>
      <c r="V5606" s="6">
        <v>-3.06</v>
      </c>
      <c r="W5606" s="7">
        <v>3.9380000000000002</v>
      </c>
      <c r="X5606" s="4">
        <v>4</v>
      </c>
      <c r="Y5606" s="7">
        <v>6.8129999999999997</v>
      </c>
      <c r="Z5606" s="6">
        <v>6.75</v>
      </c>
      <c r="AA5606" s="6">
        <v>5.41</v>
      </c>
      <c r="AB5606" s="2" t="s">
        <v>86</v>
      </c>
      <c r="AC5606" s="5">
        <v>53.4</v>
      </c>
    </row>
    <row r="5607" spans="1:29" ht="260" x14ac:dyDescent="0.15">
      <c r="A5607" s="3">
        <f t="shared" si="135"/>
        <v>36724</v>
      </c>
      <c r="B5607" s="3">
        <f>DATE(2000,11,27)</f>
        <v>36857</v>
      </c>
      <c r="C5607" s="2" t="s">
        <v>95</v>
      </c>
      <c r="D5607" s="2" t="s">
        <v>17267</v>
      </c>
      <c r="E5607" s="2" t="s">
        <v>9669</v>
      </c>
      <c r="F5607" s="4">
        <v>2676</v>
      </c>
      <c r="G5607" s="2" t="s">
        <v>282</v>
      </c>
      <c r="H5607" s="2" t="s">
        <v>34</v>
      </c>
      <c r="I5607" s="2" t="s">
        <v>1446</v>
      </c>
      <c r="J5607" s="2" t="s">
        <v>1447</v>
      </c>
      <c r="K5607" s="2" t="s">
        <v>250</v>
      </c>
      <c r="L5607" s="2" t="s">
        <v>34</v>
      </c>
      <c r="M5607" s="10">
        <v>4657.8500000000004</v>
      </c>
      <c r="N5607" s="7">
        <v>26.125</v>
      </c>
      <c r="O5607" s="7">
        <v>25.187999999999999</v>
      </c>
      <c r="P5607" s="2" t="s">
        <v>17268</v>
      </c>
      <c r="Q5607" s="6">
        <v>100</v>
      </c>
      <c r="R5607" s="6">
        <v>37.17</v>
      </c>
      <c r="S5607" s="5">
        <v>308.89999999999998</v>
      </c>
      <c r="T5607" s="8">
        <v>1265.5</v>
      </c>
      <c r="U5607" s="5">
        <v>5.0999999999999996</v>
      </c>
      <c r="V5607" s="6">
        <v>1.46</v>
      </c>
      <c r="W5607" s="5">
        <v>23.5</v>
      </c>
      <c r="X5607" s="7">
        <v>24.562999999999999</v>
      </c>
      <c r="Y5607" s="4">
        <v>33</v>
      </c>
      <c r="Z5607" s="7">
        <v>32.375</v>
      </c>
      <c r="AA5607" s="6">
        <v>205.77</v>
      </c>
      <c r="AB5607" s="7">
        <v>14.138</v>
      </c>
      <c r="AC5607" s="5">
        <v>25</v>
      </c>
    </row>
    <row r="5608" spans="1:29" ht="169" x14ac:dyDescent="0.15">
      <c r="A5608" s="3">
        <f t="shared" si="135"/>
        <v>36724</v>
      </c>
      <c r="B5608" s="3">
        <f>DATE(2000,11,1)</f>
        <v>36831</v>
      </c>
      <c r="C5608" s="2" t="s">
        <v>95</v>
      </c>
      <c r="D5608" s="2" t="s">
        <v>17269</v>
      </c>
      <c r="E5608" s="2" t="s">
        <v>92</v>
      </c>
      <c r="F5608" s="4">
        <v>6798</v>
      </c>
      <c r="G5608" s="2" t="s">
        <v>53</v>
      </c>
      <c r="H5608" s="2" t="s">
        <v>34</v>
      </c>
      <c r="I5608" s="2" t="s">
        <v>9141</v>
      </c>
      <c r="J5608" s="2" t="s">
        <v>92</v>
      </c>
      <c r="K5608" s="2" t="s">
        <v>53</v>
      </c>
      <c r="L5608" s="2" t="s">
        <v>34</v>
      </c>
      <c r="M5608" s="12">
        <v>5944.3680000000004</v>
      </c>
      <c r="N5608" s="7">
        <v>47.375</v>
      </c>
      <c r="O5608" s="7">
        <v>47.375</v>
      </c>
      <c r="P5608" s="2" t="s">
        <v>17270</v>
      </c>
      <c r="Q5608" s="6">
        <v>100</v>
      </c>
      <c r="R5608" s="6">
        <v>17</v>
      </c>
      <c r="S5608" s="5">
        <v>6.2</v>
      </c>
      <c r="T5608" s="5">
        <v>34.1</v>
      </c>
      <c r="U5608" s="5">
        <v>8.4</v>
      </c>
      <c r="V5608" s="6">
        <v>0.73</v>
      </c>
      <c r="W5608" s="6">
        <v>15.75</v>
      </c>
      <c r="X5608" s="7">
        <v>16.312999999999999</v>
      </c>
      <c r="Y5608" s="7">
        <v>16.375</v>
      </c>
      <c r="Z5608" s="7">
        <v>16.312999999999999</v>
      </c>
      <c r="AA5608" s="6">
        <v>8.25</v>
      </c>
      <c r="AB5608" s="7">
        <v>15.907999999999999</v>
      </c>
      <c r="AC5608" s="5">
        <v>237.1</v>
      </c>
    </row>
    <row r="5609" spans="1:29" ht="221" x14ac:dyDescent="0.15">
      <c r="A5609" s="3">
        <f t="shared" si="135"/>
        <v>36724</v>
      </c>
      <c r="B5609" s="3">
        <f>DATE(2000,8,31)</f>
        <v>36769</v>
      </c>
      <c r="C5609" s="2" t="s">
        <v>95</v>
      </c>
      <c r="D5609" s="2" t="s">
        <v>17271</v>
      </c>
      <c r="E5609" s="2" t="s">
        <v>17272</v>
      </c>
      <c r="F5609" s="4">
        <v>3743</v>
      </c>
      <c r="G5609" s="2" t="s">
        <v>105</v>
      </c>
      <c r="H5609" s="2" t="s">
        <v>34</v>
      </c>
      <c r="I5609" s="2" t="s">
        <v>350</v>
      </c>
      <c r="J5609" s="2" t="s">
        <v>351</v>
      </c>
      <c r="K5609" s="2" t="s">
        <v>137</v>
      </c>
      <c r="L5609" s="2" t="s">
        <v>34</v>
      </c>
      <c r="M5609" s="12">
        <v>507661.37699999998</v>
      </c>
      <c r="N5609" s="7">
        <v>53.688000000000002</v>
      </c>
      <c r="O5609" s="5">
        <v>52.5</v>
      </c>
      <c r="P5609" s="2" t="s">
        <v>17273</v>
      </c>
      <c r="Q5609" s="6">
        <v>100</v>
      </c>
      <c r="R5609" s="6">
        <v>31.62</v>
      </c>
      <c r="S5609" s="5">
        <v>-0.3</v>
      </c>
      <c r="T5609" s="6">
        <v>26.04</v>
      </c>
      <c r="U5609" s="5">
        <v>8.3000000000000007</v>
      </c>
      <c r="V5609" s="6">
        <v>-0.02</v>
      </c>
      <c r="W5609" s="7">
        <v>14.875</v>
      </c>
      <c r="X5609" s="7">
        <v>13.188000000000001</v>
      </c>
      <c r="Y5609" s="7">
        <v>29.562999999999999</v>
      </c>
      <c r="Z5609" s="7">
        <v>29.562999999999999</v>
      </c>
      <c r="AA5609" s="6">
        <v>11.41</v>
      </c>
      <c r="AB5609" s="7">
        <v>29.61</v>
      </c>
      <c r="AC5609" s="8">
        <v>12085</v>
      </c>
    </row>
    <row r="5610" spans="1:29" ht="104" x14ac:dyDescent="0.15">
      <c r="A5610" s="3">
        <f t="shared" si="135"/>
        <v>36724</v>
      </c>
      <c r="B5610" s="3">
        <f>DATE(2001,3,27)</f>
        <v>36977</v>
      </c>
      <c r="C5610" s="2" t="s">
        <v>95</v>
      </c>
      <c r="D5610" s="2" t="s">
        <v>3635</v>
      </c>
      <c r="E5610" s="2" t="s">
        <v>438</v>
      </c>
      <c r="F5610" s="4">
        <v>4911</v>
      </c>
      <c r="G5610" s="2" t="s">
        <v>439</v>
      </c>
      <c r="H5610" s="2" t="s">
        <v>34</v>
      </c>
      <c r="I5610" s="2" t="s">
        <v>13274</v>
      </c>
      <c r="J5610" s="2" t="s">
        <v>13275</v>
      </c>
      <c r="K5610" s="2" t="s">
        <v>439</v>
      </c>
      <c r="L5610" s="2" t="s">
        <v>34</v>
      </c>
      <c r="M5610" s="10">
        <v>9427.59</v>
      </c>
      <c r="N5610" s="4">
        <v>54</v>
      </c>
      <c r="O5610" s="7">
        <v>52.438000000000002</v>
      </c>
      <c r="P5610" s="2" t="s">
        <v>17274</v>
      </c>
      <c r="Q5610" s="6">
        <v>100</v>
      </c>
      <c r="R5610" s="6">
        <v>25</v>
      </c>
      <c r="S5610" s="5">
        <v>186</v>
      </c>
      <c r="T5610" s="5">
        <v>374.7</v>
      </c>
      <c r="U5610" s="5">
        <v>7.8</v>
      </c>
      <c r="V5610" s="6">
        <v>2.15</v>
      </c>
      <c r="W5610" s="7">
        <v>21.375</v>
      </c>
      <c r="X5610" s="5">
        <v>21.5</v>
      </c>
      <c r="Y5610" s="7">
        <v>22.625</v>
      </c>
      <c r="Z5610" s="9">
        <v>22.6875</v>
      </c>
      <c r="AA5610" s="6">
        <v>85.71</v>
      </c>
      <c r="AB5610" s="7">
        <v>11.137</v>
      </c>
      <c r="AC5610" s="8">
        <v>1200</v>
      </c>
    </row>
    <row r="5611" spans="1:29" ht="91" x14ac:dyDescent="0.15">
      <c r="A5611" s="3">
        <f>DATE(2000,7,18)</f>
        <v>36725</v>
      </c>
      <c r="B5611" s="2"/>
      <c r="C5611" s="2" t="s">
        <v>30</v>
      </c>
      <c r="D5611" s="2" t="s">
        <v>3460</v>
      </c>
      <c r="E5611" s="2" t="s">
        <v>3461</v>
      </c>
      <c r="F5611" s="4">
        <v>2834</v>
      </c>
      <c r="G5611" s="2" t="s">
        <v>130</v>
      </c>
      <c r="H5611" s="2" t="s">
        <v>34</v>
      </c>
      <c r="I5611" s="2" t="s">
        <v>51</v>
      </c>
      <c r="J5611" s="2" t="s">
        <v>52</v>
      </c>
      <c r="K5611" s="2" t="s">
        <v>53</v>
      </c>
      <c r="L5611" s="2" t="s">
        <v>34</v>
      </c>
      <c r="M5611" s="2"/>
      <c r="N5611" s="2"/>
      <c r="O5611" s="2"/>
      <c r="P5611" s="2" t="s">
        <v>17275</v>
      </c>
      <c r="Q5611" s="2"/>
      <c r="R5611" s="6">
        <v>5</v>
      </c>
      <c r="S5611" s="5">
        <v>2.1</v>
      </c>
      <c r="T5611" s="5">
        <v>3.1</v>
      </c>
      <c r="U5611" s="5">
        <v>6</v>
      </c>
      <c r="V5611" s="6">
        <v>0.45</v>
      </c>
      <c r="W5611" s="5">
        <v>3.5</v>
      </c>
      <c r="X5611" s="9">
        <v>3.6875</v>
      </c>
      <c r="Y5611" s="6">
        <v>4.25</v>
      </c>
      <c r="Z5611" s="6">
        <v>4.25</v>
      </c>
      <c r="AA5611" s="6">
        <v>4.34</v>
      </c>
      <c r="AB5611" s="7">
        <v>11.917</v>
      </c>
      <c r="AC5611" s="2"/>
    </row>
    <row r="5612" spans="1:29" ht="260" x14ac:dyDescent="0.15">
      <c r="A5612" s="3">
        <f>DATE(2000,7,18)</f>
        <v>36725</v>
      </c>
      <c r="B5612" s="3">
        <f>DATE(2000,10,17)</f>
        <v>36816</v>
      </c>
      <c r="C5612" s="2" t="s">
        <v>95</v>
      </c>
      <c r="D5612" s="2" t="s">
        <v>17276</v>
      </c>
      <c r="E5612" s="2" t="s">
        <v>17277</v>
      </c>
      <c r="F5612" s="4">
        <v>2721</v>
      </c>
      <c r="G5612" s="2" t="s">
        <v>186</v>
      </c>
      <c r="H5612" s="2" t="s">
        <v>34</v>
      </c>
      <c r="I5612" s="2" t="s">
        <v>17278</v>
      </c>
      <c r="J5612" s="2" t="s">
        <v>17279</v>
      </c>
      <c r="K5612" s="2" t="s">
        <v>50</v>
      </c>
      <c r="L5612" s="2" t="s">
        <v>34</v>
      </c>
      <c r="M5612" s="12">
        <v>2585.0079999999998</v>
      </c>
      <c r="N5612" s="7">
        <v>32.188000000000002</v>
      </c>
      <c r="O5612" s="7">
        <v>29.687999999999999</v>
      </c>
      <c r="P5612" s="2" t="s">
        <v>17280</v>
      </c>
      <c r="Q5612" s="6">
        <v>100</v>
      </c>
      <c r="R5612" s="6">
        <v>11.98</v>
      </c>
      <c r="S5612" s="5">
        <v>-963.4</v>
      </c>
      <c r="T5612" s="5">
        <v>98.1</v>
      </c>
      <c r="U5612" s="5">
        <v>7.3</v>
      </c>
      <c r="V5612" s="6">
        <v>-9.3800000000000008</v>
      </c>
      <c r="W5612" s="7">
        <v>11.375</v>
      </c>
      <c r="X5612" s="5">
        <v>11.5</v>
      </c>
      <c r="Y5612" s="7">
        <v>11.375</v>
      </c>
      <c r="Z5612" s="7">
        <v>13.438000000000001</v>
      </c>
      <c r="AA5612" s="6">
        <v>119.69</v>
      </c>
      <c r="AB5612" s="2" t="s">
        <v>86</v>
      </c>
      <c r="AC5612" s="5">
        <v>102.8</v>
      </c>
    </row>
    <row r="5613" spans="1:29" ht="143" x14ac:dyDescent="0.15">
      <c r="A5613" s="3">
        <f>DATE(2000,7,19)</f>
        <v>36726</v>
      </c>
      <c r="B5613" s="3">
        <f>DATE(2000,9,20)</f>
        <v>36789</v>
      </c>
      <c r="C5613" s="2" t="s">
        <v>95</v>
      </c>
      <c r="D5613" s="2" t="s">
        <v>17281</v>
      </c>
      <c r="E5613" s="2" t="s">
        <v>17282</v>
      </c>
      <c r="F5613" s="4">
        <v>4119</v>
      </c>
      <c r="G5613" s="2" t="s">
        <v>173</v>
      </c>
      <c r="H5613" s="2" t="s">
        <v>34</v>
      </c>
      <c r="I5613" s="2" t="s">
        <v>51</v>
      </c>
      <c r="J5613" s="2" t="s">
        <v>52</v>
      </c>
      <c r="K5613" s="2" t="s">
        <v>53</v>
      </c>
      <c r="L5613" s="2" t="s">
        <v>34</v>
      </c>
      <c r="M5613" s="2"/>
      <c r="N5613" s="2"/>
      <c r="O5613" s="2"/>
      <c r="P5613" s="2" t="s">
        <v>17283</v>
      </c>
      <c r="Q5613" s="6">
        <v>100</v>
      </c>
      <c r="R5613" s="6">
        <v>18.25</v>
      </c>
      <c r="S5613" s="5">
        <v>12</v>
      </c>
      <c r="T5613" s="7">
        <v>30.701000000000001</v>
      </c>
      <c r="U5613" s="5">
        <v>11.3</v>
      </c>
      <c r="V5613" s="6">
        <v>1.19</v>
      </c>
      <c r="W5613" s="7">
        <v>15.063000000000001</v>
      </c>
      <c r="X5613" s="5">
        <v>14.5</v>
      </c>
      <c r="Y5613" s="7">
        <v>17.937999999999999</v>
      </c>
      <c r="Z5613" s="7">
        <v>17.875</v>
      </c>
      <c r="AA5613" s="6">
        <v>9.85</v>
      </c>
      <c r="AB5613" s="7">
        <v>10.023999999999999</v>
      </c>
      <c r="AC5613" s="2"/>
    </row>
    <row r="5614" spans="1:29" ht="143" x14ac:dyDescent="0.15">
      <c r="A5614" s="3">
        <f>DATE(2000,7,19)</f>
        <v>36726</v>
      </c>
      <c r="B5614" s="2"/>
      <c r="C5614" s="2" t="s">
        <v>7330</v>
      </c>
      <c r="D5614" s="2" t="s">
        <v>17284</v>
      </c>
      <c r="E5614" s="2" t="s">
        <v>17285</v>
      </c>
      <c r="F5614" s="4">
        <v>2834</v>
      </c>
      <c r="G5614" s="2" t="s">
        <v>130</v>
      </c>
      <c r="H5614" s="2" t="s">
        <v>34</v>
      </c>
      <c r="I5614" s="2" t="s">
        <v>51</v>
      </c>
      <c r="J5614" s="2" t="s">
        <v>52</v>
      </c>
      <c r="K5614" s="2" t="s">
        <v>53</v>
      </c>
      <c r="L5614" s="2" t="s">
        <v>34</v>
      </c>
      <c r="M5614" s="2"/>
      <c r="N5614" s="2"/>
      <c r="O5614" s="2"/>
      <c r="P5614" s="2" t="s">
        <v>17286</v>
      </c>
      <c r="Q5614" s="2"/>
      <c r="R5614" s="6">
        <v>5</v>
      </c>
      <c r="S5614" s="5">
        <v>2.1</v>
      </c>
      <c r="T5614" s="5">
        <v>6</v>
      </c>
      <c r="U5614" s="5">
        <v>7.7</v>
      </c>
      <c r="V5614" s="6">
        <v>0.78</v>
      </c>
      <c r="W5614" s="6">
        <v>3.25</v>
      </c>
      <c r="X5614" s="6">
        <v>3.25</v>
      </c>
      <c r="Y5614" s="6">
        <v>3.25</v>
      </c>
      <c r="Z5614" s="6">
        <v>3.25</v>
      </c>
      <c r="AA5614" s="6">
        <v>3.81</v>
      </c>
      <c r="AB5614" s="7">
        <v>8.0069999999999997</v>
      </c>
      <c r="AC5614" s="2"/>
    </row>
    <row r="5615" spans="1:29" ht="78" x14ac:dyDescent="0.15">
      <c r="A5615" s="3">
        <f>DATE(2000,7,19)</f>
        <v>36726</v>
      </c>
      <c r="B5615" s="2"/>
      <c r="C5615" s="2" t="s">
        <v>7330</v>
      </c>
      <c r="D5615" s="2" t="s">
        <v>17287</v>
      </c>
      <c r="E5615" s="2" t="s">
        <v>1181</v>
      </c>
      <c r="F5615" s="4">
        <v>6021</v>
      </c>
      <c r="G5615" s="2" t="s">
        <v>37</v>
      </c>
      <c r="H5615" s="2" t="s">
        <v>34</v>
      </c>
      <c r="I5615" s="2" t="s">
        <v>17288</v>
      </c>
      <c r="J5615" s="2" t="s">
        <v>1181</v>
      </c>
      <c r="K5615" s="2" t="s">
        <v>37</v>
      </c>
      <c r="L5615" s="2" t="s">
        <v>34</v>
      </c>
      <c r="M5615" s="2"/>
      <c r="N5615" s="2"/>
      <c r="O5615" s="2"/>
      <c r="P5615" s="2" t="s">
        <v>17289</v>
      </c>
      <c r="Q5615" s="2"/>
      <c r="R5615" s="6">
        <v>17.149999999999999</v>
      </c>
      <c r="S5615" s="5">
        <v>1.1000000000000001</v>
      </c>
      <c r="T5615" s="2"/>
      <c r="U5615" s="5">
        <v>12.4</v>
      </c>
      <c r="V5615" s="6">
        <v>0.98</v>
      </c>
      <c r="W5615" s="5">
        <v>15.5</v>
      </c>
      <c r="X5615" s="7">
        <v>16.687999999999999</v>
      </c>
      <c r="Y5615" s="7">
        <v>16.187999999999999</v>
      </c>
      <c r="Z5615" s="6">
        <v>16.25</v>
      </c>
      <c r="AA5615" s="6">
        <v>1.1200000000000001</v>
      </c>
      <c r="AB5615" s="7">
        <v>17.466000000000001</v>
      </c>
      <c r="AC5615" s="2"/>
    </row>
    <row r="5616" spans="1:29" ht="182" x14ac:dyDescent="0.15">
      <c r="A5616" s="3">
        <f>DATE(2000,7,20)</f>
        <v>36727</v>
      </c>
      <c r="B5616" s="3">
        <f>DATE(2000,9,1)</f>
        <v>36770</v>
      </c>
      <c r="C5616" s="2" t="s">
        <v>95</v>
      </c>
      <c r="D5616" s="2" t="s">
        <v>12980</v>
      </c>
      <c r="E5616" s="2" t="s">
        <v>14858</v>
      </c>
      <c r="F5616" s="4">
        <v>5735</v>
      </c>
      <c r="G5616" s="2" t="s">
        <v>1227</v>
      </c>
      <c r="H5616" s="2" t="s">
        <v>34</v>
      </c>
      <c r="I5616" s="2" t="s">
        <v>17290</v>
      </c>
      <c r="J5616" s="2" t="s">
        <v>5782</v>
      </c>
      <c r="K5616" s="2" t="s">
        <v>45</v>
      </c>
      <c r="L5616" s="2" t="s">
        <v>1049</v>
      </c>
      <c r="M5616" s="2"/>
      <c r="N5616" s="2"/>
      <c r="O5616" s="2"/>
      <c r="P5616" s="2" t="s">
        <v>17291</v>
      </c>
      <c r="Q5616" s="6">
        <v>100</v>
      </c>
      <c r="R5616" s="6">
        <v>3</v>
      </c>
      <c r="S5616" s="5">
        <v>-128.69999999999999</v>
      </c>
      <c r="T5616" s="5">
        <v>-90</v>
      </c>
      <c r="U5616" s="5">
        <v>0.2</v>
      </c>
      <c r="V5616" s="6">
        <v>-4.1900000000000004</v>
      </c>
      <c r="W5616" s="5">
        <v>2.5</v>
      </c>
      <c r="X5616" s="7">
        <v>2.875</v>
      </c>
      <c r="Y5616" s="7">
        <v>2.9220000000000002</v>
      </c>
      <c r="Z5616" s="7">
        <v>2.9380000000000002</v>
      </c>
      <c r="AA5616" s="6">
        <v>32.81</v>
      </c>
      <c r="AB5616" s="2" t="s">
        <v>86</v>
      </c>
      <c r="AC5616" s="6">
        <v>469.94</v>
      </c>
    </row>
    <row r="5617" spans="1:29" ht="221" x14ac:dyDescent="0.15">
      <c r="A5617" s="3">
        <f>DATE(2000,7,20)</f>
        <v>36727</v>
      </c>
      <c r="B5617" s="3">
        <f>DATE(2000,10,12)</f>
        <v>36811</v>
      </c>
      <c r="C5617" s="2" t="s">
        <v>95</v>
      </c>
      <c r="D5617" s="2" t="s">
        <v>10072</v>
      </c>
      <c r="E5617" s="2" t="s">
        <v>10073</v>
      </c>
      <c r="F5617" s="4">
        <v>3519</v>
      </c>
      <c r="G5617" s="2" t="s">
        <v>300</v>
      </c>
      <c r="H5617" s="2" t="s">
        <v>34</v>
      </c>
      <c r="I5617" s="2" t="s">
        <v>17292</v>
      </c>
      <c r="J5617" s="2" t="s">
        <v>17293</v>
      </c>
      <c r="K5617" s="2" t="s">
        <v>105</v>
      </c>
      <c r="L5617" s="2" t="s">
        <v>1049</v>
      </c>
      <c r="M5617" s="2"/>
      <c r="N5617" s="2"/>
      <c r="O5617" s="2"/>
      <c r="P5617" s="2" t="s">
        <v>17294</v>
      </c>
      <c r="Q5617" s="6">
        <v>79.459999999999994</v>
      </c>
      <c r="R5617" s="6">
        <v>23</v>
      </c>
      <c r="S5617" s="5">
        <v>43.7</v>
      </c>
      <c r="T5617" s="5">
        <v>123.8</v>
      </c>
      <c r="U5617" s="5">
        <v>17.2</v>
      </c>
      <c r="V5617" s="6">
        <v>1.82</v>
      </c>
      <c r="W5617" s="4">
        <v>17</v>
      </c>
      <c r="X5617" s="7">
        <v>21.375</v>
      </c>
      <c r="Y5617" s="7">
        <v>22.687999999999999</v>
      </c>
      <c r="Z5617" s="6">
        <v>22.75</v>
      </c>
      <c r="AA5617" s="6">
        <v>23.15</v>
      </c>
      <c r="AB5617" s="7">
        <v>8.4770000000000003</v>
      </c>
      <c r="AC5617" s="10">
        <v>16855.91</v>
      </c>
    </row>
    <row r="5618" spans="1:29" ht="130" x14ac:dyDescent="0.15">
      <c r="A5618" s="3">
        <f>DATE(2000,7,20)</f>
        <v>36727</v>
      </c>
      <c r="B5618" s="3">
        <f>DATE(2000,11,17)</f>
        <v>36847</v>
      </c>
      <c r="C5618" s="2" t="s">
        <v>95</v>
      </c>
      <c r="D5618" s="2" t="s">
        <v>17295</v>
      </c>
      <c r="E5618" s="2" t="s">
        <v>17296</v>
      </c>
      <c r="F5618" s="4">
        <v>5084</v>
      </c>
      <c r="G5618" s="2" t="s">
        <v>76</v>
      </c>
      <c r="H5618" s="2" t="s">
        <v>34</v>
      </c>
      <c r="I5618" s="2" t="s">
        <v>10689</v>
      </c>
      <c r="J5618" s="2" t="s">
        <v>10690</v>
      </c>
      <c r="K5618" s="2" t="s">
        <v>300</v>
      </c>
      <c r="L5618" s="2" t="s">
        <v>34</v>
      </c>
      <c r="M5618" s="7">
        <v>589.25199999999995</v>
      </c>
      <c r="N5618" s="7">
        <v>24.437999999999999</v>
      </c>
      <c r="O5618" s="5">
        <v>24.5</v>
      </c>
      <c r="P5618" s="2" t="s">
        <v>17297</v>
      </c>
      <c r="Q5618" s="6">
        <v>17</v>
      </c>
      <c r="R5618" s="6">
        <v>8.75</v>
      </c>
      <c r="S5618" s="5">
        <v>17.3</v>
      </c>
      <c r="T5618" s="6">
        <v>38.36</v>
      </c>
      <c r="U5618" s="5">
        <v>9.5</v>
      </c>
      <c r="V5618" s="6">
        <v>0.71</v>
      </c>
      <c r="W5618" s="5">
        <v>4.5</v>
      </c>
      <c r="X5618" s="7">
        <v>5.875</v>
      </c>
      <c r="Y5618" s="7">
        <v>5.8129999999999997</v>
      </c>
      <c r="Z5618" s="7">
        <v>6.6879999999999997</v>
      </c>
      <c r="AA5618" s="6">
        <v>24.51</v>
      </c>
      <c r="AB5618" s="7">
        <v>7.3339999999999996</v>
      </c>
      <c r="AC5618" s="5">
        <v>22.3</v>
      </c>
    </row>
    <row r="5619" spans="1:29" ht="65" x14ac:dyDescent="0.15">
      <c r="A5619" s="3">
        <f>DATE(2000,7,21)</f>
        <v>36728</v>
      </c>
      <c r="B5619" s="2"/>
      <c r="C5619" s="2" t="s">
        <v>30</v>
      </c>
      <c r="D5619" s="2" t="s">
        <v>17298</v>
      </c>
      <c r="E5619" s="2" t="s">
        <v>17299</v>
      </c>
      <c r="F5619" s="4">
        <v>8099</v>
      </c>
      <c r="G5619" s="2" t="s">
        <v>454</v>
      </c>
      <c r="H5619" s="2" t="s">
        <v>34</v>
      </c>
      <c r="I5619" s="2" t="s">
        <v>17300</v>
      </c>
      <c r="J5619" s="2" t="s">
        <v>10711</v>
      </c>
      <c r="K5619" s="2" t="s">
        <v>223</v>
      </c>
      <c r="L5619" s="2" t="s">
        <v>34</v>
      </c>
      <c r="M5619" s="2"/>
      <c r="N5619" s="2"/>
      <c r="O5619" s="2"/>
      <c r="P5619" s="2" t="s">
        <v>17301</v>
      </c>
      <c r="Q5619" s="2"/>
      <c r="R5619" s="2"/>
      <c r="S5619" s="5">
        <v>-105.8</v>
      </c>
      <c r="T5619" s="5">
        <v>-79.099999999999994</v>
      </c>
      <c r="U5619" s="5">
        <v>0.7</v>
      </c>
      <c r="V5619" s="6">
        <v>-3.07</v>
      </c>
      <c r="W5619" s="7">
        <v>1.5940000000000001</v>
      </c>
      <c r="X5619" s="7">
        <v>1.0309999999999999</v>
      </c>
      <c r="Y5619" s="11">
        <v>1.59375</v>
      </c>
      <c r="Z5619" s="11">
        <v>1.46875</v>
      </c>
      <c r="AA5619" s="6">
        <v>34.72</v>
      </c>
      <c r="AB5619" s="2" t="s">
        <v>86</v>
      </c>
      <c r="AC5619" s="2"/>
    </row>
    <row r="5620" spans="1:29" ht="117" x14ac:dyDescent="0.15">
      <c r="A5620" s="3">
        <f t="shared" ref="A5620:A5625" si="136">DATE(2000,7,24)</f>
        <v>36731</v>
      </c>
      <c r="B5620" s="3">
        <f>DATE(2000,9,6)</f>
        <v>36775</v>
      </c>
      <c r="C5620" s="2" t="s">
        <v>95</v>
      </c>
      <c r="D5620" s="2" t="s">
        <v>17302</v>
      </c>
      <c r="E5620" s="2" t="s">
        <v>17303</v>
      </c>
      <c r="F5620" s="4">
        <v>2819</v>
      </c>
      <c r="G5620" s="2" t="s">
        <v>98</v>
      </c>
      <c r="H5620" s="2" t="s">
        <v>34</v>
      </c>
      <c r="I5620" s="2" t="s">
        <v>17304</v>
      </c>
      <c r="J5620" s="2" t="s">
        <v>17305</v>
      </c>
      <c r="K5620" s="2" t="s">
        <v>98</v>
      </c>
      <c r="L5620" s="2" t="s">
        <v>133</v>
      </c>
      <c r="M5620" s="2"/>
      <c r="N5620" s="2"/>
      <c r="O5620" s="2"/>
      <c r="P5620" s="2" t="s">
        <v>17306</v>
      </c>
      <c r="Q5620" s="6">
        <v>100</v>
      </c>
      <c r="R5620" s="6">
        <v>31.25</v>
      </c>
      <c r="S5620" s="5">
        <v>3.7</v>
      </c>
      <c r="T5620" s="7">
        <v>32.536999999999999</v>
      </c>
      <c r="U5620" s="5">
        <v>10</v>
      </c>
      <c r="V5620" s="6">
        <v>0.23</v>
      </c>
      <c r="W5620" s="7">
        <v>20.125</v>
      </c>
      <c r="X5620" s="7">
        <v>20.125</v>
      </c>
      <c r="Y5620" s="7">
        <v>30.687999999999999</v>
      </c>
      <c r="Z5620" s="7">
        <v>30.687999999999999</v>
      </c>
      <c r="AA5620" s="6">
        <v>15.25</v>
      </c>
      <c r="AB5620" s="7">
        <v>34.243000000000002</v>
      </c>
      <c r="AC5620" s="6">
        <v>362.52</v>
      </c>
    </row>
    <row r="5621" spans="1:29" ht="169" x14ac:dyDescent="0.15">
      <c r="A5621" s="3">
        <f t="shared" si="136"/>
        <v>36731</v>
      </c>
      <c r="B5621" s="3">
        <f>DATE(2001,1,3)</f>
        <v>36894</v>
      </c>
      <c r="C5621" s="2" t="s">
        <v>95</v>
      </c>
      <c r="D5621" s="2" t="s">
        <v>17307</v>
      </c>
      <c r="E5621" s="2" t="s">
        <v>1181</v>
      </c>
      <c r="F5621" s="4">
        <v>6021</v>
      </c>
      <c r="G5621" s="2" t="s">
        <v>37</v>
      </c>
      <c r="H5621" s="2" t="s">
        <v>34</v>
      </c>
      <c r="I5621" s="2" t="s">
        <v>345</v>
      </c>
      <c r="J5621" s="2" t="s">
        <v>36</v>
      </c>
      <c r="K5621" s="2" t="s">
        <v>37</v>
      </c>
      <c r="L5621" s="2" t="s">
        <v>34</v>
      </c>
      <c r="M5621" s="7">
        <v>353.416</v>
      </c>
      <c r="N5621" s="6">
        <v>21.25</v>
      </c>
      <c r="O5621" s="7">
        <v>21.125</v>
      </c>
      <c r="P5621" s="2" t="s">
        <v>17308</v>
      </c>
      <c r="Q5621" s="6">
        <v>100</v>
      </c>
      <c r="R5621" s="6">
        <v>20.079999999999998</v>
      </c>
      <c r="S5621" s="5">
        <v>-0.1</v>
      </c>
      <c r="T5621" s="7">
        <v>0.115</v>
      </c>
      <c r="U5621" s="5">
        <v>10.3</v>
      </c>
      <c r="V5621" s="6">
        <v>-0.17</v>
      </c>
      <c r="W5621" s="7">
        <v>9.875</v>
      </c>
      <c r="X5621" s="7">
        <v>9.9380000000000006</v>
      </c>
      <c r="Y5621" s="6">
        <v>16.75</v>
      </c>
      <c r="Z5621" s="6">
        <v>17.25</v>
      </c>
      <c r="AA5621" s="6">
        <v>0.7</v>
      </c>
      <c r="AB5621" s="2" t="s">
        <v>86</v>
      </c>
      <c r="AC5621" s="5">
        <v>63</v>
      </c>
    </row>
    <row r="5622" spans="1:29" ht="65" x14ac:dyDescent="0.15">
      <c r="A5622" s="3">
        <f t="shared" si="136"/>
        <v>36731</v>
      </c>
      <c r="B5622" s="3">
        <f>DATE(2001,1,2)</f>
        <v>36893</v>
      </c>
      <c r="C5622" s="2" t="s">
        <v>95</v>
      </c>
      <c r="D5622" s="2" t="s">
        <v>17309</v>
      </c>
      <c r="E5622" s="2" t="s">
        <v>1398</v>
      </c>
      <c r="F5622" s="4">
        <v>6036</v>
      </c>
      <c r="G5622" s="2" t="s">
        <v>33</v>
      </c>
      <c r="H5622" s="2" t="s">
        <v>34</v>
      </c>
      <c r="I5622" s="2" t="s">
        <v>17310</v>
      </c>
      <c r="J5622" s="2" t="s">
        <v>17311</v>
      </c>
      <c r="K5622" s="2" t="s">
        <v>33</v>
      </c>
      <c r="L5622" s="2" t="s">
        <v>34</v>
      </c>
      <c r="M5622" s="7">
        <v>235.16800000000001</v>
      </c>
      <c r="N5622" s="6">
        <v>9.25</v>
      </c>
      <c r="O5622" s="11">
        <v>9.28125</v>
      </c>
      <c r="P5622" s="2" t="s">
        <v>17312</v>
      </c>
      <c r="Q5622" s="6">
        <v>100</v>
      </c>
      <c r="R5622" s="6">
        <v>37</v>
      </c>
      <c r="S5622" s="5">
        <v>5.4</v>
      </c>
      <c r="T5622" s="5">
        <v>8.3000000000000007</v>
      </c>
      <c r="U5622" s="5">
        <v>15.8</v>
      </c>
      <c r="V5622" s="6">
        <v>2.92</v>
      </c>
      <c r="W5622" s="7">
        <v>25.437999999999999</v>
      </c>
      <c r="X5622" s="5">
        <v>35.5</v>
      </c>
      <c r="Y5622" s="5">
        <v>35.5</v>
      </c>
      <c r="Z5622" s="5">
        <v>35.5</v>
      </c>
      <c r="AA5622" s="6">
        <v>1.87</v>
      </c>
      <c r="AB5622" s="7">
        <v>43.67</v>
      </c>
      <c r="AC5622" s="5">
        <v>79.7</v>
      </c>
    </row>
    <row r="5623" spans="1:29" ht="117" x14ac:dyDescent="0.15">
      <c r="A5623" s="3">
        <f t="shared" si="136"/>
        <v>36731</v>
      </c>
      <c r="B5623" s="3">
        <f>DATE(2001,1,11)</f>
        <v>36902</v>
      </c>
      <c r="C5623" s="2" t="s">
        <v>95</v>
      </c>
      <c r="D5623" s="2" t="s">
        <v>17313</v>
      </c>
      <c r="E5623" s="2" t="s">
        <v>17314</v>
      </c>
      <c r="F5623" s="4">
        <v>6726</v>
      </c>
      <c r="G5623" s="2" t="s">
        <v>53</v>
      </c>
      <c r="H5623" s="2" t="s">
        <v>34</v>
      </c>
      <c r="I5623" s="2" t="s">
        <v>17315</v>
      </c>
      <c r="J5623" s="2" t="s">
        <v>4015</v>
      </c>
      <c r="K5623" s="2" t="s">
        <v>125</v>
      </c>
      <c r="L5623" s="2" t="s">
        <v>34</v>
      </c>
      <c r="M5623" s="2"/>
      <c r="N5623" s="2"/>
      <c r="O5623" s="2"/>
      <c r="P5623" s="2" t="s">
        <v>17316</v>
      </c>
      <c r="Q5623" s="6">
        <v>41</v>
      </c>
      <c r="R5623" s="6">
        <v>15.75</v>
      </c>
      <c r="S5623" s="5">
        <v>39.299999999999997</v>
      </c>
      <c r="T5623" s="5">
        <v>120</v>
      </c>
      <c r="U5623" s="5">
        <v>6.1</v>
      </c>
      <c r="V5623" s="6">
        <v>0.78</v>
      </c>
      <c r="W5623" s="6">
        <v>11.25</v>
      </c>
      <c r="X5623" s="7">
        <v>10.938000000000001</v>
      </c>
      <c r="Y5623" s="7">
        <v>10.813000000000001</v>
      </c>
      <c r="Z5623" s="7">
        <v>13.875</v>
      </c>
      <c r="AA5623" s="6">
        <v>44.27</v>
      </c>
      <c r="AB5623" s="7">
        <v>12.744999999999999</v>
      </c>
      <c r="AC5623" s="2"/>
    </row>
    <row r="5624" spans="1:29" ht="299" x14ac:dyDescent="0.15">
      <c r="A5624" s="3">
        <f t="shared" si="136"/>
        <v>36731</v>
      </c>
      <c r="B5624" s="3">
        <f>DATE(2001,5,31)</f>
        <v>37042</v>
      </c>
      <c r="C5624" s="2" t="s">
        <v>95</v>
      </c>
      <c r="D5624" s="2" t="s">
        <v>14734</v>
      </c>
      <c r="E5624" s="2" t="s">
        <v>14733</v>
      </c>
      <c r="F5624" s="4">
        <v>4812</v>
      </c>
      <c r="G5624" s="2" t="s">
        <v>63</v>
      </c>
      <c r="H5624" s="2" t="s">
        <v>34</v>
      </c>
      <c r="I5624" s="2" t="s">
        <v>14984</v>
      </c>
      <c r="J5624" s="2" t="s">
        <v>6519</v>
      </c>
      <c r="K5624" s="2" t="s">
        <v>63</v>
      </c>
      <c r="L5624" s="2" t="s">
        <v>1049</v>
      </c>
      <c r="M5624" s="12">
        <v>192661.367</v>
      </c>
      <c r="N5624" s="2"/>
      <c r="O5624" s="2"/>
      <c r="P5624" s="2" t="s">
        <v>17317</v>
      </c>
      <c r="Q5624" s="6">
        <v>100</v>
      </c>
      <c r="R5624" s="6">
        <v>93.96</v>
      </c>
      <c r="S5624" s="8">
        <v>-2529.6999999999998</v>
      </c>
      <c r="T5624" s="5">
        <v>-693.5</v>
      </c>
      <c r="U5624" s="5">
        <v>31.8</v>
      </c>
      <c r="V5624" s="6">
        <v>-11.44</v>
      </c>
      <c r="W5624" s="9">
        <v>117.9375</v>
      </c>
      <c r="X5624" s="7">
        <v>125.875</v>
      </c>
      <c r="Y5624" s="9">
        <v>124.9375</v>
      </c>
      <c r="Z5624" s="9">
        <v>139.0625</v>
      </c>
      <c r="AA5624" s="6">
        <v>214.6</v>
      </c>
      <c r="AB5624" s="2" t="s">
        <v>86</v>
      </c>
      <c r="AC5624" s="2"/>
    </row>
    <row r="5625" spans="1:29" ht="182" x14ac:dyDescent="0.15">
      <c r="A5625" s="3">
        <f t="shared" si="136"/>
        <v>36731</v>
      </c>
      <c r="B5625" s="3">
        <f>DATE(2001,4,23)</f>
        <v>37004</v>
      </c>
      <c r="C5625" s="2" t="s">
        <v>95</v>
      </c>
      <c r="D5625" s="2" t="s">
        <v>17318</v>
      </c>
      <c r="E5625" s="2" t="s">
        <v>17319</v>
      </c>
      <c r="F5625" s="4">
        <v>4899</v>
      </c>
      <c r="G5625" s="2" t="s">
        <v>63</v>
      </c>
      <c r="H5625" s="2" t="s">
        <v>34</v>
      </c>
      <c r="I5625" s="2" t="s">
        <v>278</v>
      </c>
      <c r="J5625" s="2" t="s">
        <v>52</v>
      </c>
      <c r="K5625" s="2" t="s">
        <v>53</v>
      </c>
      <c r="L5625" s="2" t="s">
        <v>34</v>
      </c>
      <c r="M5625" s="2"/>
      <c r="N5625" s="2"/>
      <c r="O5625" s="2"/>
      <c r="P5625" s="2" t="s">
        <v>17320</v>
      </c>
      <c r="Q5625" s="6">
        <v>82.45</v>
      </c>
      <c r="R5625" s="6">
        <v>4.2</v>
      </c>
      <c r="S5625" s="5">
        <v>-458.2</v>
      </c>
      <c r="T5625" s="7">
        <v>-175.30500000000001</v>
      </c>
      <c r="U5625" s="2"/>
      <c r="V5625" s="6">
        <v>-1</v>
      </c>
      <c r="W5625" s="7">
        <v>31.812999999999999</v>
      </c>
      <c r="X5625" s="7">
        <v>29.375</v>
      </c>
      <c r="Y5625" s="5">
        <v>28.5</v>
      </c>
      <c r="Z5625" s="6">
        <v>28.25</v>
      </c>
      <c r="AA5625" s="6">
        <v>483.3</v>
      </c>
      <c r="AB5625" s="2" t="s">
        <v>86</v>
      </c>
      <c r="AC5625" s="2"/>
    </row>
    <row r="5626" spans="1:29" ht="117" x14ac:dyDescent="0.15">
      <c r="A5626" s="3">
        <f>DATE(2000,7,25)</f>
        <v>36732</v>
      </c>
      <c r="B5626" s="3">
        <f>DATE(2000,9,6)</f>
        <v>36775</v>
      </c>
      <c r="C5626" s="2" t="s">
        <v>95</v>
      </c>
      <c r="D5626" s="2" t="s">
        <v>14551</v>
      </c>
      <c r="E5626" s="2" t="s">
        <v>14552</v>
      </c>
      <c r="F5626" s="4">
        <v>2259</v>
      </c>
      <c r="G5626" s="2" t="s">
        <v>708</v>
      </c>
      <c r="H5626" s="2" t="s">
        <v>34</v>
      </c>
      <c r="I5626" s="2" t="s">
        <v>443</v>
      </c>
      <c r="J5626" s="2" t="s">
        <v>444</v>
      </c>
      <c r="K5626" s="2" t="s">
        <v>237</v>
      </c>
      <c r="L5626" s="2" t="s">
        <v>34</v>
      </c>
      <c r="M5626" s="2"/>
      <c r="N5626" s="2"/>
      <c r="O5626" s="2"/>
      <c r="P5626" s="2" t="s">
        <v>17321</v>
      </c>
      <c r="Q5626" s="6">
        <v>100</v>
      </c>
      <c r="R5626" s="6">
        <v>18.25</v>
      </c>
      <c r="S5626" s="5">
        <v>8.6999999999999993</v>
      </c>
      <c r="T5626" s="2"/>
      <c r="U5626" s="5">
        <v>10.1</v>
      </c>
      <c r="V5626" s="6">
        <v>1.08</v>
      </c>
      <c r="W5626" s="7">
        <v>10.625</v>
      </c>
      <c r="X5626" s="7">
        <v>10.125</v>
      </c>
      <c r="Y5626" s="6">
        <v>10.75</v>
      </c>
      <c r="Z5626" s="7">
        <v>18.062999999999999</v>
      </c>
      <c r="AA5626" s="6">
        <v>7.71</v>
      </c>
      <c r="AB5626" s="7">
        <v>8.9770000000000003</v>
      </c>
      <c r="AC5626" s="2"/>
    </row>
    <row r="5627" spans="1:29" ht="130" x14ac:dyDescent="0.15">
      <c r="A5627" s="3">
        <f>DATE(2000,7,26)</f>
        <v>36733</v>
      </c>
      <c r="B5627" s="3">
        <f>DATE(2000,10,2)</f>
        <v>36801</v>
      </c>
      <c r="C5627" s="2" t="s">
        <v>95</v>
      </c>
      <c r="D5627" s="2" t="s">
        <v>17322</v>
      </c>
      <c r="E5627" s="2" t="s">
        <v>17323</v>
      </c>
      <c r="F5627" s="4">
        <v>2899</v>
      </c>
      <c r="G5627" s="2" t="s">
        <v>98</v>
      </c>
      <c r="H5627" s="2" t="s">
        <v>34</v>
      </c>
      <c r="I5627" s="2" t="s">
        <v>278</v>
      </c>
      <c r="J5627" s="2" t="s">
        <v>52</v>
      </c>
      <c r="K5627" s="2" t="s">
        <v>53</v>
      </c>
      <c r="L5627" s="2" t="s">
        <v>34</v>
      </c>
      <c r="M5627" s="2"/>
      <c r="N5627" s="2"/>
      <c r="O5627" s="2"/>
      <c r="P5627" s="2" t="s">
        <v>17324</v>
      </c>
      <c r="Q5627" s="6">
        <v>79.59</v>
      </c>
      <c r="R5627" s="6">
        <v>49</v>
      </c>
      <c r="S5627" s="5">
        <v>12.3</v>
      </c>
      <c r="T5627" s="5">
        <v>21.9</v>
      </c>
      <c r="U5627" s="5">
        <v>2.7</v>
      </c>
      <c r="V5627" s="6">
        <v>0.57999999999999996</v>
      </c>
      <c r="W5627" s="4">
        <v>45</v>
      </c>
      <c r="X5627" s="7">
        <v>47.625</v>
      </c>
      <c r="Y5627" s="4">
        <v>48</v>
      </c>
      <c r="Z5627" s="4">
        <v>47</v>
      </c>
      <c r="AA5627" s="6">
        <v>23.59</v>
      </c>
      <c r="AB5627" s="7">
        <v>58.98</v>
      </c>
      <c r="AC5627" s="2"/>
    </row>
    <row r="5628" spans="1:29" ht="91" x14ac:dyDescent="0.15">
      <c r="A5628" s="3">
        <f>DATE(2000,7,26)</f>
        <v>36733</v>
      </c>
      <c r="B5628" s="3">
        <f>DATE(2000,10,12)</f>
        <v>36811</v>
      </c>
      <c r="C5628" s="2" t="s">
        <v>95</v>
      </c>
      <c r="D5628" s="2" t="s">
        <v>17325</v>
      </c>
      <c r="E5628" s="2" t="s">
        <v>14006</v>
      </c>
      <c r="F5628" s="4">
        <v>7375</v>
      </c>
      <c r="G5628" s="2" t="s">
        <v>223</v>
      </c>
      <c r="H5628" s="2" t="s">
        <v>34</v>
      </c>
      <c r="I5628" s="2" t="s">
        <v>17326</v>
      </c>
      <c r="J5628" s="2" t="s">
        <v>17327</v>
      </c>
      <c r="K5628" s="2" t="s">
        <v>551</v>
      </c>
      <c r="L5628" s="2" t="s">
        <v>34</v>
      </c>
      <c r="M5628" s="12">
        <v>13396.887000000001</v>
      </c>
      <c r="N5628" s="6">
        <v>47.75</v>
      </c>
      <c r="O5628" s="5">
        <v>34.5</v>
      </c>
      <c r="P5628" s="2" t="s">
        <v>17328</v>
      </c>
      <c r="Q5628" s="6">
        <v>100</v>
      </c>
      <c r="R5628" s="6">
        <v>84.29</v>
      </c>
      <c r="S5628" s="5">
        <v>-44.1</v>
      </c>
      <c r="T5628" s="5">
        <v>21.9</v>
      </c>
      <c r="U5628" s="5">
        <v>2.2999999999999998</v>
      </c>
      <c r="V5628" s="6">
        <v>-1.31</v>
      </c>
      <c r="W5628" s="7">
        <v>50.375</v>
      </c>
      <c r="X5628" s="7">
        <v>62.125</v>
      </c>
      <c r="Y5628" s="7">
        <v>60.563000000000002</v>
      </c>
      <c r="Z5628" s="7">
        <v>60.438000000000002</v>
      </c>
      <c r="AA5628" s="6">
        <v>31.28</v>
      </c>
      <c r="AB5628" s="2" t="s">
        <v>86</v>
      </c>
      <c r="AC5628" s="5">
        <v>36</v>
      </c>
    </row>
    <row r="5629" spans="1:29" ht="117" x14ac:dyDescent="0.15">
      <c r="A5629" s="3">
        <f>DATE(2000,7,26)</f>
        <v>36733</v>
      </c>
      <c r="B5629" s="3">
        <f>DATE(2000,12,1)</f>
        <v>36861</v>
      </c>
      <c r="C5629" s="2" t="s">
        <v>95</v>
      </c>
      <c r="D5629" s="2" t="s">
        <v>17329</v>
      </c>
      <c r="E5629" s="2" t="s">
        <v>1181</v>
      </c>
      <c r="F5629" s="4">
        <v>6021</v>
      </c>
      <c r="G5629" s="2" t="s">
        <v>37</v>
      </c>
      <c r="H5629" s="2" t="s">
        <v>34</v>
      </c>
      <c r="I5629" s="2" t="s">
        <v>17330</v>
      </c>
      <c r="J5629" s="2" t="s">
        <v>17331</v>
      </c>
      <c r="K5629" s="2" t="s">
        <v>37</v>
      </c>
      <c r="L5629" s="2" t="s">
        <v>34</v>
      </c>
      <c r="M5629" s="2"/>
      <c r="N5629" s="2"/>
      <c r="O5629" s="2"/>
      <c r="P5629" s="2" t="s">
        <v>17332</v>
      </c>
      <c r="Q5629" s="6">
        <v>100</v>
      </c>
      <c r="R5629" s="6">
        <v>37.5</v>
      </c>
      <c r="S5629" s="5">
        <v>4.8</v>
      </c>
      <c r="T5629" s="7">
        <v>7.9219999999999997</v>
      </c>
      <c r="U5629" s="5">
        <v>30.6</v>
      </c>
      <c r="V5629" s="6">
        <v>3.91</v>
      </c>
      <c r="W5629" s="7">
        <v>43.125</v>
      </c>
      <c r="X5629" s="7">
        <v>43.125</v>
      </c>
      <c r="Y5629" s="4">
        <v>44</v>
      </c>
      <c r="Z5629" s="4">
        <v>42</v>
      </c>
      <c r="AA5629" s="6">
        <v>1.19</v>
      </c>
      <c r="AB5629" s="7">
        <v>43.121000000000002</v>
      </c>
      <c r="AC5629" s="2"/>
    </row>
    <row r="5630" spans="1:29" ht="104" x14ac:dyDescent="0.15">
      <c r="A5630" s="3">
        <f>DATE(2000,7,26)</f>
        <v>36733</v>
      </c>
      <c r="B5630" s="3">
        <f>DATE(2000,11,30)</f>
        <v>36860</v>
      </c>
      <c r="C5630" s="2" t="s">
        <v>95</v>
      </c>
      <c r="D5630" s="2" t="s">
        <v>11971</v>
      </c>
      <c r="E5630" s="2" t="s">
        <v>936</v>
      </c>
      <c r="F5630" s="4">
        <v>3571</v>
      </c>
      <c r="G5630" s="2" t="s">
        <v>50</v>
      </c>
      <c r="H5630" s="2" t="s">
        <v>34</v>
      </c>
      <c r="I5630" s="2" t="s">
        <v>11972</v>
      </c>
      <c r="J5630" s="2" t="s">
        <v>11973</v>
      </c>
      <c r="K5630" s="2" t="s">
        <v>50</v>
      </c>
      <c r="L5630" s="2" t="s">
        <v>34</v>
      </c>
      <c r="M5630" s="12">
        <v>7686.9560000000001</v>
      </c>
      <c r="N5630" s="7">
        <v>46.938000000000002</v>
      </c>
      <c r="O5630" s="7">
        <v>42.375</v>
      </c>
      <c r="P5630" s="2" t="s">
        <v>17333</v>
      </c>
      <c r="Q5630" s="6">
        <v>100</v>
      </c>
      <c r="R5630" s="6">
        <v>24.94</v>
      </c>
      <c r="S5630" s="5">
        <v>258.60000000000002</v>
      </c>
      <c r="T5630" s="5">
        <v>-62.9</v>
      </c>
      <c r="U5630" s="5">
        <v>15.6</v>
      </c>
      <c r="V5630" s="6">
        <v>15.61</v>
      </c>
      <c r="W5630" s="7">
        <v>17.812999999999999</v>
      </c>
      <c r="X5630" s="5">
        <v>19.5</v>
      </c>
      <c r="Y5630" s="4">
        <v>22</v>
      </c>
      <c r="Z5630" s="6">
        <v>19.75</v>
      </c>
      <c r="AA5630" s="6">
        <v>17.510000000000002</v>
      </c>
      <c r="AB5630" s="2" t="s">
        <v>86</v>
      </c>
      <c r="AC5630" s="5">
        <v>39.6</v>
      </c>
    </row>
    <row r="5631" spans="1:29" ht="117" x14ac:dyDescent="0.15">
      <c r="A5631" s="3">
        <f>DATE(2000,7,26)</f>
        <v>36733</v>
      </c>
      <c r="B5631" s="3">
        <f>DATE(2000,12,27)</f>
        <v>36887</v>
      </c>
      <c r="C5631" s="2" t="s">
        <v>95</v>
      </c>
      <c r="D5631" s="2" t="s">
        <v>17334</v>
      </c>
      <c r="E5631" s="2" t="s">
        <v>17335</v>
      </c>
      <c r="F5631" s="4">
        <v>7819</v>
      </c>
      <c r="G5631" s="2" t="s">
        <v>42</v>
      </c>
      <c r="H5631" s="2" t="s">
        <v>34</v>
      </c>
      <c r="I5631" s="2" t="s">
        <v>17336</v>
      </c>
      <c r="J5631" s="2" t="s">
        <v>398</v>
      </c>
      <c r="K5631" s="2" t="s">
        <v>42</v>
      </c>
      <c r="L5631" s="2" t="s">
        <v>34</v>
      </c>
      <c r="M5631" s="7">
        <v>227.80799999999999</v>
      </c>
      <c r="N5631" s="4">
        <v>63</v>
      </c>
      <c r="O5631" s="7">
        <v>62.625</v>
      </c>
      <c r="P5631" s="2" t="s">
        <v>17337</v>
      </c>
      <c r="Q5631" s="6">
        <v>100</v>
      </c>
      <c r="R5631" s="6">
        <v>9.67</v>
      </c>
      <c r="S5631" s="5">
        <v>-1.1000000000000001</v>
      </c>
      <c r="T5631" s="5">
        <v>14.4</v>
      </c>
      <c r="U5631" s="5">
        <v>1.4</v>
      </c>
      <c r="V5631" s="6">
        <v>-0.08</v>
      </c>
      <c r="W5631" s="6">
        <v>4.75</v>
      </c>
      <c r="X5631" s="6">
        <v>4.75</v>
      </c>
      <c r="Y5631" s="7">
        <v>4.625</v>
      </c>
      <c r="Z5631" s="7">
        <v>4.8129999999999997</v>
      </c>
      <c r="AA5631" s="6">
        <v>13.31</v>
      </c>
      <c r="AB5631" s="7">
        <v>46.283999999999999</v>
      </c>
      <c r="AC5631" s="5">
        <v>9.4</v>
      </c>
    </row>
    <row r="5632" spans="1:29" ht="91" x14ac:dyDescent="0.15">
      <c r="A5632" s="3">
        <f t="shared" ref="A5632:A5637" si="137">DATE(2000,7,27)</f>
        <v>36734</v>
      </c>
      <c r="B5632" s="3">
        <f>DATE(2000,12,18)</f>
        <v>36878</v>
      </c>
      <c r="C5632" s="2" t="s">
        <v>95</v>
      </c>
      <c r="D5632" s="2" t="s">
        <v>11031</v>
      </c>
      <c r="E5632" s="2" t="s">
        <v>781</v>
      </c>
      <c r="F5632" s="4">
        <v>7372</v>
      </c>
      <c r="G5632" s="2" t="s">
        <v>551</v>
      </c>
      <c r="H5632" s="2" t="s">
        <v>34</v>
      </c>
      <c r="I5632" s="2" t="s">
        <v>17338</v>
      </c>
      <c r="J5632" s="2" t="s">
        <v>17339</v>
      </c>
      <c r="K5632" s="2" t="s">
        <v>551</v>
      </c>
      <c r="L5632" s="2" t="s">
        <v>34</v>
      </c>
      <c r="M5632" s="12">
        <v>3381.8670000000002</v>
      </c>
      <c r="N5632" s="6">
        <v>50.25</v>
      </c>
      <c r="O5632" s="7">
        <v>49.063000000000002</v>
      </c>
      <c r="P5632" s="2" t="s">
        <v>17340</v>
      </c>
      <c r="Q5632" s="6">
        <v>100</v>
      </c>
      <c r="R5632" s="6">
        <v>31.84</v>
      </c>
      <c r="S5632" s="5">
        <v>2.5</v>
      </c>
      <c r="T5632" s="5">
        <v>11.1</v>
      </c>
      <c r="U5632" s="5">
        <v>5.8</v>
      </c>
      <c r="V5632" s="6">
        <v>0.09</v>
      </c>
      <c r="W5632" s="5">
        <v>22.5</v>
      </c>
      <c r="X5632" s="7">
        <v>19.062999999999999</v>
      </c>
      <c r="Y5632" s="4">
        <v>24</v>
      </c>
      <c r="Z5632" s="7">
        <v>23.625</v>
      </c>
      <c r="AA5632" s="6">
        <v>28.81</v>
      </c>
      <c r="AB5632" s="7">
        <v>9331.1319999999996</v>
      </c>
      <c r="AC5632" s="5">
        <v>522.9</v>
      </c>
    </row>
    <row r="5633" spans="1:29" ht="78" x14ac:dyDescent="0.15">
      <c r="A5633" s="3">
        <f t="shared" si="137"/>
        <v>36734</v>
      </c>
      <c r="B5633" s="3">
        <f>DATE(2000,12,22)</f>
        <v>36882</v>
      </c>
      <c r="C5633" s="2" t="s">
        <v>95</v>
      </c>
      <c r="D5633" s="2" t="s">
        <v>17341</v>
      </c>
      <c r="E5633" s="2" t="s">
        <v>13573</v>
      </c>
      <c r="F5633" s="4">
        <v>7011</v>
      </c>
      <c r="G5633" s="2" t="s">
        <v>269</v>
      </c>
      <c r="H5633" s="2" t="s">
        <v>34</v>
      </c>
      <c r="I5633" s="2" t="s">
        <v>51</v>
      </c>
      <c r="J5633" s="2" t="s">
        <v>52</v>
      </c>
      <c r="K5633" s="2" t="s">
        <v>53</v>
      </c>
      <c r="L5633" s="2" t="s">
        <v>34</v>
      </c>
      <c r="M5633" s="2"/>
      <c r="N5633" s="2"/>
      <c r="O5633" s="2"/>
      <c r="P5633" s="2" t="s">
        <v>17342</v>
      </c>
      <c r="Q5633" s="6">
        <v>100</v>
      </c>
      <c r="R5633" s="6">
        <v>2.25</v>
      </c>
      <c r="S5633" s="5">
        <v>-1.1000000000000001</v>
      </c>
      <c r="T5633" s="5">
        <v>1.5</v>
      </c>
      <c r="U5633" s="5">
        <v>3.5</v>
      </c>
      <c r="V5633" s="6">
        <v>-0.25</v>
      </c>
      <c r="W5633" s="7">
        <v>0.875</v>
      </c>
      <c r="X5633" s="4">
        <v>1</v>
      </c>
      <c r="Y5633" s="7">
        <v>1.5629999999999999</v>
      </c>
      <c r="Z5633" s="7">
        <v>1.5629999999999999</v>
      </c>
      <c r="AA5633" s="6">
        <v>3.97</v>
      </c>
      <c r="AB5633" s="7">
        <v>41.206000000000003</v>
      </c>
      <c r="AC5633" s="2"/>
    </row>
    <row r="5634" spans="1:29" ht="182" x14ac:dyDescent="0.15">
      <c r="A5634" s="3">
        <f t="shared" si="137"/>
        <v>36734</v>
      </c>
      <c r="B5634" s="3">
        <f>DATE(2000,9,13)</f>
        <v>36782</v>
      </c>
      <c r="C5634" s="2" t="s">
        <v>95</v>
      </c>
      <c r="D5634" s="2" t="s">
        <v>17343</v>
      </c>
      <c r="E5634" s="2" t="s">
        <v>17344</v>
      </c>
      <c r="F5634" s="4">
        <v>8361</v>
      </c>
      <c r="G5634" s="2" t="s">
        <v>690</v>
      </c>
      <c r="H5634" s="2" t="s">
        <v>34</v>
      </c>
      <c r="I5634" s="2" t="s">
        <v>17345</v>
      </c>
      <c r="J5634" s="2" t="s">
        <v>11337</v>
      </c>
      <c r="K5634" s="2" t="s">
        <v>53</v>
      </c>
      <c r="L5634" s="2" t="s">
        <v>34</v>
      </c>
      <c r="M5634" s="2"/>
      <c r="N5634" s="2"/>
      <c r="O5634" s="2"/>
      <c r="P5634" s="2" t="s">
        <v>17346</v>
      </c>
      <c r="Q5634" s="6">
        <v>60.26</v>
      </c>
      <c r="R5634" s="6">
        <v>15.25</v>
      </c>
      <c r="S5634" s="5">
        <v>10.4</v>
      </c>
      <c r="T5634" s="7">
        <v>67.819000000000003</v>
      </c>
      <c r="U5634" s="5">
        <v>9.6</v>
      </c>
      <c r="V5634" s="6">
        <v>0.88</v>
      </c>
      <c r="W5634" s="7">
        <v>14.875</v>
      </c>
      <c r="X5634" s="4">
        <v>15</v>
      </c>
      <c r="Y5634" s="4">
        <v>15</v>
      </c>
      <c r="Z5634" s="4">
        <v>15</v>
      </c>
      <c r="AA5634" s="6">
        <v>9.85</v>
      </c>
      <c r="AB5634" s="7">
        <v>4.1449999999999996</v>
      </c>
      <c r="AC5634" s="2"/>
    </row>
    <row r="5635" spans="1:29" ht="117" x14ac:dyDescent="0.15">
      <c r="A5635" s="3">
        <f t="shared" si="137"/>
        <v>36734</v>
      </c>
      <c r="B5635" s="3">
        <f>DATE(2000,11,15)</f>
        <v>36845</v>
      </c>
      <c r="C5635" s="2" t="s">
        <v>95</v>
      </c>
      <c r="D5635" s="2" t="s">
        <v>17347</v>
      </c>
      <c r="E5635" s="2" t="s">
        <v>6652</v>
      </c>
      <c r="F5635" s="4">
        <v>6035</v>
      </c>
      <c r="G5635" s="2" t="s">
        <v>33</v>
      </c>
      <c r="H5635" s="2" t="s">
        <v>34</v>
      </c>
      <c r="I5635" s="2" t="s">
        <v>17348</v>
      </c>
      <c r="J5635" s="2" t="s">
        <v>265</v>
      </c>
      <c r="K5635" s="2" t="s">
        <v>37</v>
      </c>
      <c r="L5635" s="2" t="s">
        <v>34</v>
      </c>
      <c r="M5635" s="7">
        <v>53.139000000000003</v>
      </c>
      <c r="N5635" s="7">
        <v>9.125</v>
      </c>
      <c r="O5635" s="4">
        <v>9</v>
      </c>
      <c r="P5635" s="2" t="s">
        <v>17349</v>
      </c>
      <c r="Q5635" s="6">
        <v>100</v>
      </c>
      <c r="R5635" s="6">
        <v>10.06</v>
      </c>
      <c r="S5635" s="5">
        <v>1.2</v>
      </c>
      <c r="T5635" s="2"/>
      <c r="U5635" s="5">
        <v>8.3000000000000007</v>
      </c>
      <c r="V5635" s="6">
        <v>0.49</v>
      </c>
      <c r="W5635" s="7">
        <v>9.3130000000000006</v>
      </c>
      <c r="X5635" s="7">
        <v>8.875</v>
      </c>
      <c r="Y5635" s="7">
        <v>9.125</v>
      </c>
      <c r="Z5635" s="9">
        <v>9.0625</v>
      </c>
      <c r="AA5635" s="6">
        <v>2.39</v>
      </c>
      <c r="AB5635" s="7">
        <v>162.727</v>
      </c>
      <c r="AC5635" s="5">
        <v>22.3</v>
      </c>
    </row>
    <row r="5636" spans="1:29" ht="117" x14ac:dyDescent="0.15">
      <c r="A5636" s="3">
        <f t="shared" si="137"/>
        <v>36734</v>
      </c>
      <c r="B5636" s="3">
        <f>DATE(2001,1,10)</f>
        <v>36901</v>
      </c>
      <c r="C5636" s="2" t="s">
        <v>95</v>
      </c>
      <c r="D5636" s="2" t="s">
        <v>6278</v>
      </c>
      <c r="E5636" s="2" t="s">
        <v>1181</v>
      </c>
      <c r="F5636" s="4">
        <v>6022</v>
      </c>
      <c r="G5636" s="2" t="s">
        <v>37</v>
      </c>
      <c r="H5636" s="2" t="s">
        <v>34</v>
      </c>
      <c r="I5636" s="2" t="s">
        <v>13707</v>
      </c>
      <c r="J5636" s="2" t="s">
        <v>36</v>
      </c>
      <c r="K5636" s="2" t="s">
        <v>37</v>
      </c>
      <c r="L5636" s="2" t="s">
        <v>34</v>
      </c>
      <c r="M5636" s="10">
        <v>8713.93</v>
      </c>
      <c r="N5636" s="7">
        <v>24.875</v>
      </c>
      <c r="O5636" s="7">
        <v>24.062999999999999</v>
      </c>
      <c r="P5636" s="2" t="s">
        <v>17350</v>
      </c>
      <c r="Q5636" s="6">
        <v>100</v>
      </c>
      <c r="R5636" s="6">
        <v>18.13</v>
      </c>
      <c r="S5636" s="5">
        <v>11</v>
      </c>
      <c r="T5636" s="5">
        <v>19.600000000000001</v>
      </c>
      <c r="U5636" s="5">
        <v>7.4</v>
      </c>
      <c r="V5636" s="6">
        <v>0.93</v>
      </c>
      <c r="W5636" s="5">
        <v>17.5</v>
      </c>
      <c r="X5636" s="7">
        <v>19.875</v>
      </c>
      <c r="Y5636" s="9">
        <v>17.4375</v>
      </c>
      <c r="Z5636" s="9">
        <v>16.9375</v>
      </c>
      <c r="AA5636" s="6">
        <v>11.92</v>
      </c>
      <c r="AB5636" s="7">
        <v>93.572999999999993</v>
      </c>
      <c r="AC5636" s="8">
        <v>1627.1</v>
      </c>
    </row>
    <row r="5637" spans="1:29" ht="156" x14ac:dyDescent="0.15">
      <c r="A5637" s="3">
        <f t="shared" si="137"/>
        <v>36734</v>
      </c>
      <c r="B5637" s="2"/>
      <c r="C5637" s="2" t="s">
        <v>30</v>
      </c>
      <c r="D5637" s="2" t="s">
        <v>17351</v>
      </c>
      <c r="E5637" s="2" t="s">
        <v>17352</v>
      </c>
      <c r="F5637" s="4">
        <v>4953</v>
      </c>
      <c r="G5637" s="2" t="s">
        <v>116</v>
      </c>
      <c r="H5637" s="2" t="s">
        <v>34</v>
      </c>
      <c r="I5637" s="2" t="s">
        <v>17353</v>
      </c>
      <c r="J5637" s="2" t="s">
        <v>17354</v>
      </c>
      <c r="K5637" s="2" t="s">
        <v>593</v>
      </c>
      <c r="L5637" s="2" t="s">
        <v>34</v>
      </c>
      <c r="M5637" s="7">
        <v>107.914</v>
      </c>
      <c r="N5637" s="6">
        <v>12.25</v>
      </c>
      <c r="O5637" s="9">
        <v>11.8125</v>
      </c>
      <c r="P5637" s="2" t="s">
        <v>17355</v>
      </c>
      <c r="Q5637" s="2"/>
      <c r="R5637" s="6">
        <v>2.15</v>
      </c>
      <c r="S5637" s="5">
        <v>-1.2</v>
      </c>
      <c r="T5637" s="5">
        <v>0.1</v>
      </c>
      <c r="U5637" s="5">
        <v>0.8</v>
      </c>
      <c r="V5637" s="6">
        <v>-0.36</v>
      </c>
      <c r="W5637" s="7">
        <v>1.4379999999999999</v>
      </c>
      <c r="X5637" s="7">
        <v>1.6879999999999999</v>
      </c>
      <c r="Y5637" s="7">
        <v>1.875</v>
      </c>
      <c r="Z5637" s="11">
        <v>1.71875</v>
      </c>
      <c r="AA5637" s="6">
        <v>3.48</v>
      </c>
      <c r="AB5637" s="2" t="s">
        <v>86</v>
      </c>
      <c r="AC5637" s="5">
        <v>0.2</v>
      </c>
    </row>
    <row r="5638" spans="1:29" ht="143" x14ac:dyDescent="0.15">
      <c r="A5638" s="3">
        <f>DATE(2000,7,28)</f>
        <v>36735</v>
      </c>
      <c r="B5638" s="3">
        <f>DATE(2000,10,5)</f>
        <v>36804</v>
      </c>
      <c r="C5638" s="2" t="s">
        <v>95</v>
      </c>
      <c r="D5638" s="2" t="s">
        <v>17356</v>
      </c>
      <c r="E5638" s="2" t="s">
        <v>17357</v>
      </c>
      <c r="F5638" s="4">
        <v>3679</v>
      </c>
      <c r="G5638" s="2" t="s">
        <v>137</v>
      </c>
      <c r="H5638" s="2" t="s">
        <v>34</v>
      </c>
      <c r="I5638" s="2" t="s">
        <v>15173</v>
      </c>
      <c r="J5638" s="2" t="s">
        <v>15174</v>
      </c>
      <c r="K5638" s="2" t="s">
        <v>921</v>
      </c>
      <c r="L5638" s="2" t="s">
        <v>902</v>
      </c>
      <c r="M5638" s="2"/>
      <c r="N5638" s="2"/>
      <c r="O5638" s="2"/>
      <c r="P5638" s="2" t="s">
        <v>17358</v>
      </c>
      <c r="Q5638" s="6">
        <v>100</v>
      </c>
      <c r="R5638" s="6">
        <v>143.77000000000001</v>
      </c>
      <c r="S5638" s="5">
        <v>-21</v>
      </c>
      <c r="T5638" s="5">
        <v>-22.4</v>
      </c>
      <c r="U5638" s="5">
        <v>6.1</v>
      </c>
      <c r="V5638" s="6">
        <v>-1.08</v>
      </c>
      <c r="W5638" s="6">
        <v>143.75</v>
      </c>
      <c r="X5638" s="4">
        <v>143</v>
      </c>
      <c r="Y5638" s="4">
        <v>129</v>
      </c>
      <c r="Z5638" s="7">
        <v>131.93799999999999</v>
      </c>
      <c r="AA5638" s="6">
        <v>41.35</v>
      </c>
      <c r="AB5638" s="2" t="s">
        <v>86</v>
      </c>
      <c r="AC5638" s="10">
        <v>2267.0700000000002</v>
      </c>
    </row>
    <row r="5639" spans="1:29" ht="117" x14ac:dyDescent="0.15">
      <c r="A5639" s="3">
        <f>DATE(2000,7,28)</f>
        <v>36735</v>
      </c>
      <c r="B5639" s="2"/>
      <c r="C5639" s="2" t="s">
        <v>7330</v>
      </c>
      <c r="D5639" s="2" t="s">
        <v>17298</v>
      </c>
      <c r="E5639" s="2" t="s">
        <v>17299</v>
      </c>
      <c r="F5639" s="4">
        <v>8099</v>
      </c>
      <c r="G5639" s="2" t="s">
        <v>454</v>
      </c>
      <c r="H5639" s="2" t="s">
        <v>34</v>
      </c>
      <c r="I5639" s="2" t="s">
        <v>17359</v>
      </c>
      <c r="J5639" s="2" t="s">
        <v>17360</v>
      </c>
      <c r="K5639" s="2" t="s">
        <v>223</v>
      </c>
      <c r="L5639" s="2" t="s">
        <v>34</v>
      </c>
      <c r="M5639" s="2"/>
      <c r="N5639" s="2"/>
      <c r="O5639" s="2"/>
      <c r="P5639" s="2" t="s">
        <v>17361</v>
      </c>
      <c r="Q5639" s="2"/>
      <c r="R5639" s="2"/>
      <c r="S5639" s="5">
        <v>-105.8</v>
      </c>
      <c r="T5639" s="5">
        <v>-79.099999999999994</v>
      </c>
      <c r="U5639" s="5">
        <v>0.7</v>
      </c>
      <c r="V5639" s="6">
        <v>-3.07</v>
      </c>
      <c r="W5639" s="7">
        <v>1.5940000000000001</v>
      </c>
      <c r="X5639" s="7">
        <v>1.5940000000000001</v>
      </c>
      <c r="Y5639" s="7">
        <v>1.375</v>
      </c>
      <c r="Z5639" s="11">
        <v>1.15625</v>
      </c>
      <c r="AA5639" s="6">
        <v>34.72</v>
      </c>
      <c r="AB5639" s="2" t="s">
        <v>86</v>
      </c>
      <c r="AC5639" s="2"/>
    </row>
    <row r="5640" spans="1:29" ht="182" x14ac:dyDescent="0.15">
      <c r="A5640" s="3">
        <f>DATE(2000,7,31)</f>
        <v>36738</v>
      </c>
      <c r="B5640" s="2"/>
      <c r="C5640" s="2" t="s">
        <v>30</v>
      </c>
      <c r="D5640" s="2" t="s">
        <v>2936</v>
      </c>
      <c r="E5640" s="2" t="s">
        <v>3759</v>
      </c>
      <c r="F5640" s="4">
        <v>4911</v>
      </c>
      <c r="G5640" s="2" t="s">
        <v>439</v>
      </c>
      <c r="H5640" s="2" t="s">
        <v>34</v>
      </c>
      <c r="I5640" s="2" t="s">
        <v>16629</v>
      </c>
      <c r="J5640" s="2" t="s">
        <v>7413</v>
      </c>
      <c r="K5640" s="2" t="s">
        <v>439</v>
      </c>
      <c r="L5640" s="2" t="s">
        <v>34</v>
      </c>
      <c r="M5640" s="12">
        <v>8874.9830000000002</v>
      </c>
      <c r="N5640" s="6">
        <v>48.25</v>
      </c>
      <c r="O5640" s="7">
        <v>50.313000000000002</v>
      </c>
      <c r="P5640" s="2" t="s">
        <v>17362</v>
      </c>
      <c r="Q5640" s="2"/>
      <c r="R5640" s="6">
        <v>30.9</v>
      </c>
      <c r="S5640" s="5">
        <v>666.5</v>
      </c>
      <c r="T5640" s="12">
        <v>2178.9070000000002</v>
      </c>
      <c r="U5640" s="5">
        <v>29.7</v>
      </c>
      <c r="V5640" s="2"/>
      <c r="W5640" s="7">
        <v>30.187999999999999</v>
      </c>
      <c r="X5640" s="7">
        <v>30.312999999999999</v>
      </c>
      <c r="Y5640" s="7">
        <v>27.125</v>
      </c>
      <c r="Z5640" s="4">
        <v>30</v>
      </c>
      <c r="AA5640" s="6">
        <v>229.98</v>
      </c>
      <c r="AB5640" s="7">
        <v>10.257999999999999</v>
      </c>
      <c r="AC5640" s="5">
        <v>361</v>
      </c>
    </row>
    <row r="5641" spans="1:29" ht="156" x14ac:dyDescent="0.15">
      <c r="A5641" s="3">
        <f>DATE(2000,7,31)</f>
        <v>36738</v>
      </c>
      <c r="B5641" s="3">
        <f>DATE(2000,9,18)</f>
        <v>36787</v>
      </c>
      <c r="C5641" s="2" t="s">
        <v>95</v>
      </c>
      <c r="D5641" s="2" t="s">
        <v>17363</v>
      </c>
      <c r="E5641" s="2" t="s">
        <v>17364</v>
      </c>
      <c r="F5641" s="4">
        <v>3577</v>
      </c>
      <c r="G5641" s="2" t="s">
        <v>50</v>
      </c>
      <c r="H5641" s="2" t="s">
        <v>34</v>
      </c>
      <c r="I5641" s="2" t="s">
        <v>4783</v>
      </c>
      <c r="J5641" s="2" t="s">
        <v>17365</v>
      </c>
      <c r="K5641" s="2" t="s">
        <v>186</v>
      </c>
      <c r="L5641" s="2" t="s">
        <v>303</v>
      </c>
      <c r="M5641" s="12">
        <v>17441.569</v>
      </c>
      <c r="N5641" s="2"/>
      <c r="O5641" s="2"/>
      <c r="P5641" s="2" t="s">
        <v>17366</v>
      </c>
      <c r="Q5641" s="6">
        <v>100</v>
      </c>
      <c r="R5641" s="6">
        <v>73</v>
      </c>
      <c r="S5641" s="5">
        <v>48.6</v>
      </c>
      <c r="T5641" s="5">
        <v>116.9</v>
      </c>
      <c r="U5641" s="5">
        <v>9.6999999999999993</v>
      </c>
      <c r="V5641" s="6">
        <v>1.46</v>
      </c>
      <c r="W5641" s="7">
        <v>56.438000000000002</v>
      </c>
      <c r="X5641" s="7">
        <v>58.125</v>
      </c>
      <c r="Y5641" s="7">
        <v>71.875</v>
      </c>
      <c r="Z5641" s="7">
        <v>71.953000000000003</v>
      </c>
      <c r="AA5641" s="6">
        <v>32.630000000000003</v>
      </c>
      <c r="AB5641" s="7">
        <v>31.927</v>
      </c>
      <c r="AC5641" s="6">
        <v>537.04</v>
      </c>
    </row>
    <row r="5642" spans="1:29" ht="78" x14ac:dyDescent="0.15">
      <c r="A5642" s="3">
        <f>DATE(2000,7,31)</f>
        <v>36738</v>
      </c>
      <c r="B5642" s="2"/>
      <c r="C5642" s="2" t="s">
        <v>30</v>
      </c>
      <c r="D5642" s="2" t="s">
        <v>17367</v>
      </c>
      <c r="E5642" s="2" t="s">
        <v>17368</v>
      </c>
      <c r="F5642" s="4">
        <v>8742</v>
      </c>
      <c r="G5642" s="2" t="s">
        <v>223</v>
      </c>
      <c r="H5642" s="2" t="s">
        <v>34</v>
      </c>
      <c r="I5642" s="2" t="s">
        <v>17369</v>
      </c>
      <c r="J5642" s="2" t="s">
        <v>6632</v>
      </c>
      <c r="K5642" s="2" t="s">
        <v>137</v>
      </c>
      <c r="L5642" s="2" t="s">
        <v>34</v>
      </c>
      <c r="M5642" s="7">
        <v>32.253999999999998</v>
      </c>
      <c r="N5642" s="7">
        <v>0.96899999999999997</v>
      </c>
      <c r="O5642" s="7">
        <v>0.90600000000000003</v>
      </c>
      <c r="P5642" s="2" t="s">
        <v>17370</v>
      </c>
      <c r="Q5642" s="2"/>
      <c r="R5642" s="2"/>
      <c r="S5642" s="5">
        <v>1.9</v>
      </c>
      <c r="T5642" s="5">
        <v>4.5999999999999996</v>
      </c>
      <c r="U5642" s="5">
        <v>1.7</v>
      </c>
      <c r="V5642" s="6">
        <v>0.39</v>
      </c>
      <c r="W5642" s="5">
        <v>3.5</v>
      </c>
      <c r="X5642" s="7">
        <v>3.1560000000000001</v>
      </c>
      <c r="Y5642" s="5">
        <v>3.5</v>
      </c>
      <c r="Z5642" s="7">
        <v>2.875</v>
      </c>
      <c r="AA5642" s="6">
        <v>4.93</v>
      </c>
      <c r="AB5642" s="2" t="s">
        <v>47</v>
      </c>
      <c r="AC5642" s="6">
        <v>1.1599999999999999</v>
      </c>
    </row>
    <row r="5643" spans="1:29" ht="117" x14ac:dyDescent="0.15">
      <c r="A5643" s="3">
        <f>DATE(2000,8,2)</f>
        <v>36740</v>
      </c>
      <c r="B5643" s="3">
        <f>DATE(2000,11,28)</f>
        <v>36858</v>
      </c>
      <c r="C5643" s="2" t="s">
        <v>95</v>
      </c>
      <c r="D5643" s="2" t="s">
        <v>11055</v>
      </c>
      <c r="E5643" s="2" t="s">
        <v>3336</v>
      </c>
      <c r="F5643" s="4">
        <v>3714</v>
      </c>
      <c r="G5643" s="2" t="s">
        <v>105</v>
      </c>
      <c r="H5643" s="2" t="s">
        <v>34</v>
      </c>
      <c r="I5643" s="2" t="s">
        <v>51</v>
      </c>
      <c r="J5643" s="2" t="s">
        <v>52</v>
      </c>
      <c r="K5643" s="2" t="s">
        <v>53</v>
      </c>
      <c r="L5643" s="2" t="s">
        <v>34</v>
      </c>
      <c r="M5643" s="2"/>
      <c r="N5643" s="2"/>
      <c r="O5643" s="2"/>
      <c r="P5643" s="2" t="s">
        <v>17371</v>
      </c>
      <c r="Q5643" s="6">
        <v>100</v>
      </c>
      <c r="R5643" s="6">
        <v>16.899999999999999</v>
      </c>
      <c r="S5643" s="5">
        <v>94.4</v>
      </c>
      <c r="T5643" s="5">
        <v>304.7</v>
      </c>
      <c r="U5643" s="5">
        <v>7.5</v>
      </c>
      <c r="V5643" s="6">
        <v>1.87</v>
      </c>
      <c r="W5643" s="5">
        <v>11.5</v>
      </c>
      <c r="X5643" s="5">
        <v>11.5</v>
      </c>
      <c r="Y5643" s="4">
        <v>16</v>
      </c>
      <c r="Z5643" s="7">
        <v>16.187999999999999</v>
      </c>
      <c r="AA5643" s="6">
        <v>44.56</v>
      </c>
      <c r="AB5643" s="7">
        <v>8.641</v>
      </c>
      <c r="AC5643" s="2"/>
    </row>
    <row r="5644" spans="1:29" ht="39" x14ac:dyDescent="0.15">
      <c r="A5644" s="3">
        <f>DATE(2000,8,3)</f>
        <v>36741</v>
      </c>
      <c r="B5644" s="3">
        <f>DATE(2000,10,16)</f>
        <v>36815</v>
      </c>
      <c r="C5644" s="2" t="s">
        <v>95</v>
      </c>
      <c r="D5644" s="2" t="s">
        <v>17372</v>
      </c>
      <c r="E5644" s="2" t="s">
        <v>1550</v>
      </c>
      <c r="F5644" s="4">
        <v>7373</v>
      </c>
      <c r="G5644" s="2" t="s">
        <v>223</v>
      </c>
      <c r="H5644" s="2" t="s">
        <v>34</v>
      </c>
      <c r="I5644" s="2" t="s">
        <v>1476</v>
      </c>
      <c r="J5644" s="2" t="s">
        <v>17373</v>
      </c>
      <c r="K5644" s="2" t="s">
        <v>50</v>
      </c>
      <c r="L5644" s="2" t="s">
        <v>34</v>
      </c>
      <c r="M5644" s="12">
        <v>3579.5859999999998</v>
      </c>
      <c r="N5644" s="6">
        <v>34.25</v>
      </c>
      <c r="O5644" s="7">
        <v>34.438000000000002</v>
      </c>
      <c r="P5644" s="2" t="s">
        <v>17374</v>
      </c>
      <c r="Q5644" s="6">
        <v>100</v>
      </c>
      <c r="R5644" s="6">
        <v>18.5</v>
      </c>
      <c r="S5644" s="5">
        <v>-10.9</v>
      </c>
      <c r="T5644" s="5">
        <v>13</v>
      </c>
      <c r="U5644" s="5">
        <v>4.7</v>
      </c>
      <c r="V5644" s="6">
        <v>-0.92</v>
      </c>
      <c r="W5644" s="7">
        <v>14.375</v>
      </c>
      <c r="X5644" s="6">
        <v>13.75</v>
      </c>
      <c r="Y5644" s="7">
        <v>17.812999999999999</v>
      </c>
      <c r="Z5644" s="6">
        <v>17.75</v>
      </c>
      <c r="AA5644" s="6">
        <v>12.11</v>
      </c>
      <c r="AB5644" s="7">
        <v>37.162999999999997</v>
      </c>
      <c r="AC5644" s="5">
        <v>406</v>
      </c>
    </row>
    <row r="5645" spans="1:29" ht="91" x14ac:dyDescent="0.15">
      <c r="A5645" s="3">
        <f>DATE(2000,8,4)</f>
        <v>36742</v>
      </c>
      <c r="B5645" s="3">
        <f>DATE(2000,9,22)</f>
        <v>36791</v>
      </c>
      <c r="C5645" s="2" t="s">
        <v>95</v>
      </c>
      <c r="D5645" s="2" t="s">
        <v>9191</v>
      </c>
      <c r="E5645" s="2" t="s">
        <v>9192</v>
      </c>
      <c r="F5645" s="4">
        <v>3845</v>
      </c>
      <c r="G5645" s="2" t="s">
        <v>226</v>
      </c>
      <c r="H5645" s="2" t="s">
        <v>34</v>
      </c>
      <c r="I5645" s="2" t="s">
        <v>17375</v>
      </c>
      <c r="J5645" s="2" t="s">
        <v>17376</v>
      </c>
      <c r="K5645" s="2" t="s">
        <v>76</v>
      </c>
      <c r="L5645" s="2" t="s">
        <v>2105</v>
      </c>
      <c r="M5645" s="2"/>
      <c r="N5645" s="2"/>
      <c r="O5645" s="2"/>
      <c r="P5645" s="2" t="s">
        <v>17377</v>
      </c>
      <c r="Q5645" s="6">
        <v>100</v>
      </c>
      <c r="R5645" s="6">
        <v>11</v>
      </c>
      <c r="S5645" s="5">
        <v>-6.6</v>
      </c>
      <c r="T5645" s="5">
        <v>-4.0999999999999996</v>
      </c>
      <c r="U5645" s="5">
        <v>3.3</v>
      </c>
      <c r="V5645" s="6">
        <v>-0.37</v>
      </c>
      <c r="W5645" s="7">
        <v>6.375</v>
      </c>
      <c r="X5645" s="4">
        <v>7</v>
      </c>
      <c r="Y5645" s="7">
        <v>7.1879999999999997</v>
      </c>
      <c r="Z5645" s="7">
        <v>10.563000000000001</v>
      </c>
      <c r="AA5645" s="6">
        <v>17.75</v>
      </c>
      <c r="AB5645" s="2" t="s">
        <v>86</v>
      </c>
      <c r="AC5645" s="6">
        <v>3.19</v>
      </c>
    </row>
    <row r="5646" spans="1:29" ht="65" x14ac:dyDescent="0.15">
      <c r="A5646" s="3">
        <f>DATE(2000,8,4)</f>
        <v>36742</v>
      </c>
      <c r="B5646" s="2"/>
      <c r="C5646" s="2" t="s">
        <v>7330</v>
      </c>
      <c r="D5646" s="2" t="s">
        <v>17378</v>
      </c>
      <c r="E5646" s="2" t="s">
        <v>17379</v>
      </c>
      <c r="F5646" s="4">
        <v>7389</v>
      </c>
      <c r="G5646" s="2" t="s">
        <v>223</v>
      </c>
      <c r="H5646" s="2" t="s">
        <v>34</v>
      </c>
      <c r="I5646" s="2" t="s">
        <v>17380</v>
      </c>
      <c r="J5646" s="2" t="s">
        <v>17381</v>
      </c>
      <c r="K5646" s="2" t="s">
        <v>223</v>
      </c>
      <c r="L5646" s="2" t="s">
        <v>34</v>
      </c>
      <c r="M5646" s="2"/>
      <c r="N5646" s="2"/>
      <c r="O5646" s="2"/>
      <c r="P5646" s="2" t="s">
        <v>17382</v>
      </c>
      <c r="Q5646" s="2"/>
      <c r="R5646" s="2"/>
      <c r="S5646" s="5">
        <v>1.5</v>
      </c>
      <c r="T5646" s="7">
        <v>-0.49299999999999999</v>
      </c>
      <c r="U5646" s="5">
        <v>1.1000000000000001</v>
      </c>
      <c r="V5646" s="6">
        <v>0.45</v>
      </c>
      <c r="W5646" s="7">
        <v>2.375</v>
      </c>
      <c r="X5646" s="7">
        <v>2.375</v>
      </c>
      <c r="Y5646" s="7">
        <v>2.375</v>
      </c>
      <c r="Z5646" s="7">
        <v>2.375</v>
      </c>
      <c r="AA5646" s="6">
        <v>14.34</v>
      </c>
      <c r="AB5646" s="2" t="s">
        <v>86</v>
      </c>
      <c r="AC5646" s="2"/>
    </row>
    <row r="5647" spans="1:29" ht="143" x14ac:dyDescent="0.15">
      <c r="A5647" s="3">
        <f>DATE(2000,8,4)</f>
        <v>36742</v>
      </c>
      <c r="B5647" s="3">
        <f>DATE(2000,11,8)</f>
        <v>36838</v>
      </c>
      <c r="C5647" s="2" t="s">
        <v>95</v>
      </c>
      <c r="D5647" s="2" t="s">
        <v>17284</v>
      </c>
      <c r="E5647" s="2" t="s">
        <v>17285</v>
      </c>
      <c r="F5647" s="4">
        <v>2834</v>
      </c>
      <c r="G5647" s="2" t="s">
        <v>130</v>
      </c>
      <c r="H5647" s="2" t="s">
        <v>34</v>
      </c>
      <c r="I5647" s="2" t="s">
        <v>17383</v>
      </c>
      <c r="J5647" s="2" t="s">
        <v>10150</v>
      </c>
      <c r="K5647" s="2" t="s">
        <v>53</v>
      </c>
      <c r="L5647" s="2" t="s">
        <v>34</v>
      </c>
      <c r="M5647" s="2"/>
      <c r="N5647" s="2"/>
      <c r="O5647" s="2"/>
      <c r="P5647" s="2" t="s">
        <v>17384</v>
      </c>
      <c r="Q5647" s="6">
        <v>100</v>
      </c>
      <c r="R5647" s="2"/>
      <c r="S5647" s="5">
        <v>2.1</v>
      </c>
      <c r="T5647" s="5">
        <v>6</v>
      </c>
      <c r="U5647" s="5">
        <v>7.7</v>
      </c>
      <c r="V5647" s="6">
        <v>0.78</v>
      </c>
      <c r="W5647" s="6">
        <v>3.25</v>
      </c>
      <c r="X5647" s="6">
        <v>3.25</v>
      </c>
      <c r="Y5647" s="6">
        <v>3.25</v>
      </c>
      <c r="Z5647" s="6">
        <v>3.25</v>
      </c>
      <c r="AA5647" s="6">
        <v>3.81</v>
      </c>
      <c r="AB5647" s="7">
        <v>33.387999999999998</v>
      </c>
      <c r="AC5647" s="2"/>
    </row>
    <row r="5648" spans="1:29" ht="39" x14ac:dyDescent="0.15">
      <c r="A5648" s="3">
        <f>DATE(2000,8,7)</f>
        <v>36745</v>
      </c>
      <c r="B5648" s="3">
        <f>DATE(2000,8,7)</f>
        <v>36745</v>
      </c>
      <c r="C5648" s="2" t="s">
        <v>95</v>
      </c>
      <c r="D5648" s="2" t="s">
        <v>7565</v>
      </c>
      <c r="E5648" s="2" t="s">
        <v>7566</v>
      </c>
      <c r="F5648" s="4">
        <v>5063</v>
      </c>
      <c r="G5648" s="2" t="s">
        <v>76</v>
      </c>
      <c r="H5648" s="2" t="s">
        <v>34</v>
      </c>
      <c r="I5648" s="2" t="s">
        <v>17385</v>
      </c>
      <c r="J5648" s="2" t="s">
        <v>17386</v>
      </c>
      <c r="K5648" s="2" t="s">
        <v>1327</v>
      </c>
      <c r="L5648" s="2" t="s">
        <v>133</v>
      </c>
      <c r="M5648" s="2"/>
      <c r="N5648" s="2"/>
      <c r="O5648" s="2"/>
      <c r="P5648" s="2" t="s">
        <v>17387</v>
      </c>
      <c r="Q5648" s="2"/>
      <c r="R5648" s="2"/>
      <c r="S5648" s="5">
        <v>0.8</v>
      </c>
      <c r="T5648" s="7">
        <v>1.7010000000000001</v>
      </c>
      <c r="U5648" s="5">
        <v>0.5</v>
      </c>
      <c r="V5648" s="6">
        <v>0.46</v>
      </c>
      <c r="W5648" s="7">
        <v>2.875</v>
      </c>
      <c r="X5648" s="7">
        <v>2.875</v>
      </c>
      <c r="Y5648" s="7">
        <v>3.375</v>
      </c>
      <c r="Z5648" s="5">
        <v>3.5</v>
      </c>
      <c r="AA5648" s="6">
        <v>1.71</v>
      </c>
      <c r="AB5648" s="2" t="s">
        <v>47</v>
      </c>
      <c r="AC5648" s="6">
        <v>20.22</v>
      </c>
    </row>
    <row r="5649" spans="1:29" ht="208" x14ac:dyDescent="0.15">
      <c r="A5649" s="3">
        <f>DATE(2000,8,7)</f>
        <v>36745</v>
      </c>
      <c r="B5649" s="3">
        <f>DATE(2001,2,5)</f>
        <v>36927</v>
      </c>
      <c r="C5649" s="2" t="s">
        <v>95</v>
      </c>
      <c r="D5649" s="2" t="s">
        <v>14768</v>
      </c>
      <c r="E5649" s="2" t="s">
        <v>36</v>
      </c>
      <c r="F5649" s="4">
        <v>6035</v>
      </c>
      <c r="G5649" s="2" t="s">
        <v>33</v>
      </c>
      <c r="H5649" s="2" t="s">
        <v>34</v>
      </c>
      <c r="I5649" s="2" t="s">
        <v>3057</v>
      </c>
      <c r="J5649" s="2" t="s">
        <v>17388</v>
      </c>
      <c r="K5649" s="2" t="s">
        <v>37</v>
      </c>
      <c r="L5649" s="2" t="s">
        <v>34</v>
      </c>
      <c r="M5649" s="7">
        <v>54.052</v>
      </c>
      <c r="N5649" s="7">
        <v>14.906000000000001</v>
      </c>
      <c r="O5649" s="7">
        <v>14.688000000000001</v>
      </c>
      <c r="P5649" s="2" t="s">
        <v>17389</v>
      </c>
      <c r="Q5649" s="6">
        <v>100</v>
      </c>
      <c r="R5649" s="6">
        <v>8.08</v>
      </c>
      <c r="S5649" s="5">
        <v>-8.4</v>
      </c>
      <c r="T5649" s="5">
        <v>-11</v>
      </c>
      <c r="U5649" s="5">
        <v>7.3</v>
      </c>
      <c r="V5649" s="6">
        <v>-4.1500000000000004</v>
      </c>
      <c r="W5649" s="5">
        <v>3.5</v>
      </c>
      <c r="X5649" s="7">
        <v>3.8119999999999998</v>
      </c>
      <c r="Y5649" s="4">
        <v>7</v>
      </c>
      <c r="Z5649" s="7">
        <v>7.0629999999999997</v>
      </c>
      <c r="AA5649" s="6">
        <v>2.0299999999999998</v>
      </c>
      <c r="AB5649" s="2" t="s">
        <v>86</v>
      </c>
      <c r="AC5649" s="2"/>
    </row>
    <row r="5650" spans="1:29" ht="78" x14ac:dyDescent="0.15">
      <c r="A5650" s="3">
        <f>DATE(2000,8,7)</f>
        <v>36745</v>
      </c>
      <c r="B5650" s="2"/>
      <c r="C5650" s="2" t="s">
        <v>30</v>
      </c>
      <c r="D5650" s="2" t="s">
        <v>17390</v>
      </c>
      <c r="E5650" s="2" t="s">
        <v>12536</v>
      </c>
      <c r="F5650" s="4">
        <v>5995</v>
      </c>
      <c r="G5650" s="2" t="s">
        <v>73</v>
      </c>
      <c r="H5650" s="2" t="s">
        <v>34</v>
      </c>
      <c r="I5650" s="2" t="s">
        <v>17391</v>
      </c>
      <c r="J5650" s="2" t="s">
        <v>302</v>
      </c>
      <c r="K5650" s="2" t="s">
        <v>53</v>
      </c>
      <c r="L5650" s="2" t="s">
        <v>34</v>
      </c>
      <c r="M5650" s="2"/>
      <c r="N5650" s="2"/>
      <c r="O5650" s="2"/>
      <c r="P5650" s="2" t="s">
        <v>17392</v>
      </c>
      <c r="Q5650" s="2"/>
      <c r="R5650" s="6">
        <v>4</v>
      </c>
      <c r="S5650" s="5">
        <v>-1.7</v>
      </c>
      <c r="T5650" s="5">
        <v>5.8</v>
      </c>
      <c r="U5650" s="5">
        <v>6</v>
      </c>
      <c r="V5650" s="6">
        <v>-0.23</v>
      </c>
      <c r="W5650" s="7">
        <v>2.9380000000000002</v>
      </c>
      <c r="X5650" s="6">
        <v>2.75</v>
      </c>
      <c r="Y5650" s="5">
        <v>3.5</v>
      </c>
      <c r="Z5650" s="5">
        <v>3.5</v>
      </c>
      <c r="AA5650" s="6">
        <v>7.79</v>
      </c>
      <c r="AB5650" s="7">
        <v>51.776000000000003</v>
      </c>
      <c r="AC5650" s="2"/>
    </row>
    <row r="5651" spans="1:29" ht="286" x14ac:dyDescent="0.15">
      <c r="A5651" s="3">
        <f>DATE(2000,8,8)</f>
        <v>36746</v>
      </c>
      <c r="B5651" s="2"/>
      <c r="C5651" s="2" t="s">
        <v>30</v>
      </c>
      <c r="D5651" s="2" t="s">
        <v>17393</v>
      </c>
      <c r="E5651" s="2" t="s">
        <v>17394</v>
      </c>
      <c r="F5651" s="4">
        <v>2048</v>
      </c>
      <c r="G5651" s="2" t="s">
        <v>577</v>
      </c>
      <c r="H5651" s="2" t="s">
        <v>34</v>
      </c>
      <c r="I5651" s="2" t="s">
        <v>17395</v>
      </c>
      <c r="J5651" s="2" t="s">
        <v>17396</v>
      </c>
      <c r="K5651" s="2" t="s">
        <v>577</v>
      </c>
      <c r="L5651" s="2" t="s">
        <v>34</v>
      </c>
      <c r="M5651" s="7">
        <v>410.57499999999999</v>
      </c>
      <c r="N5651" s="7">
        <v>14.188000000000001</v>
      </c>
      <c r="O5651" s="4">
        <v>14</v>
      </c>
      <c r="P5651" s="2" t="s">
        <v>17397</v>
      </c>
      <c r="Q5651" s="2"/>
      <c r="R5651" s="6">
        <v>39.75</v>
      </c>
      <c r="S5651" s="5">
        <v>45.9</v>
      </c>
      <c r="T5651" s="5">
        <v>87.9</v>
      </c>
      <c r="U5651" s="5">
        <v>39</v>
      </c>
      <c r="V5651" s="6">
        <v>4.34</v>
      </c>
      <c r="W5651" s="7">
        <v>36.688000000000002</v>
      </c>
      <c r="X5651" s="6">
        <v>36.25</v>
      </c>
      <c r="Y5651" s="7">
        <v>41.875</v>
      </c>
      <c r="Z5651" s="7">
        <v>41.313000000000002</v>
      </c>
      <c r="AA5651" s="6">
        <v>9.81</v>
      </c>
      <c r="AB5651" s="7">
        <v>4.4059999999999997</v>
      </c>
      <c r="AC5651" s="5">
        <v>0.9</v>
      </c>
    </row>
    <row r="5652" spans="1:29" ht="130" x14ac:dyDescent="0.15">
      <c r="A5652" s="3">
        <f>DATE(2000,8,8)</f>
        <v>36746</v>
      </c>
      <c r="B5652" s="3">
        <f>DATE(2001,11,6)</f>
        <v>37201</v>
      </c>
      <c r="C5652" s="2" t="s">
        <v>95</v>
      </c>
      <c r="D5652" s="2" t="s">
        <v>16015</v>
      </c>
      <c r="E5652" s="2" t="s">
        <v>3395</v>
      </c>
      <c r="F5652" s="4">
        <v>4911</v>
      </c>
      <c r="G5652" s="2" t="s">
        <v>439</v>
      </c>
      <c r="H5652" s="2" t="s">
        <v>34</v>
      </c>
      <c r="I5652" s="2" t="s">
        <v>17398</v>
      </c>
      <c r="J5652" s="2" t="s">
        <v>438</v>
      </c>
      <c r="K5652" s="2" t="s">
        <v>439</v>
      </c>
      <c r="L5652" s="2" t="s">
        <v>34</v>
      </c>
      <c r="M5652" s="12">
        <v>5719.5069999999996</v>
      </c>
      <c r="N5652" s="7">
        <v>25.312999999999999</v>
      </c>
      <c r="O5652" s="6">
        <v>25.25</v>
      </c>
      <c r="P5652" s="2" t="s">
        <v>17399</v>
      </c>
      <c r="Q5652" s="6">
        <v>100</v>
      </c>
      <c r="R5652" s="6">
        <v>36.5</v>
      </c>
      <c r="S5652" s="5">
        <v>141.19999999999999</v>
      </c>
      <c r="T5652" s="8">
        <v>1731.3</v>
      </c>
      <c r="U5652" s="5">
        <v>27</v>
      </c>
      <c r="V5652" s="6">
        <v>1.1299999999999999</v>
      </c>
      <c r="W5652" s="7">
        <v>26.687999999999999</v>
      </c>
      <c r="X5652" s="7">
        <v>30.687999999999999</v>
      </c>
      <c r="Y5652" s="7">
        <v>31.437999999999999</v>
      </c>
      <c r="Z5652" s="7">
        <v>31.687999999999999</v>
      </c>
      <c r="AA5652" s="6">
        <v>121.29</v>
      </c>
      <c r="AB5652" s="7">
        <v>9.6289999999999996</v>
      </c>
      <c r="AC5652" s="5">
        <v>111.8</v>
      </c>
    </row>
    <row r="5653" spans="1:29" ht="104" x14ac:dyDescent="0.15">
      <c r="A5653" s="3">
        <f>DATE(2000,8,8)</f>
        <v>36746</v>
      </c>
      <c r="B5653" s="2"/>
      <c r="C5653" s="2" t="s">
        <v>7330</v>
      </c>
      <c r="D5653" s="2" t="s">
        <v>17400</v>
      </c>
      <c r="E5653" s="2" t="s">
        <v>1181</v>
      </c>
      <c r="F5653" s="4">
        <v>6021</v>
      </c>
      <c r="G5653" s="2" t="s">
        <v>37</v>
      </c>
      <c r="H5653" s="2" t="s">
        <v>34</v>
      </c>
      <c r="I5653" s="2" t="s">
        <v>17234</v>
      </c>
      <c r="J5653" s="2" t="s">
        <v>159</v>
      </c>
      <c r="K5653" s="2" t="s">
        <v>37</v>
      </c>
      <c r="L5653" s="2" t="s">
        <v>34</v>
      </c>
      <c r="M5653" s="7">
        <v>67.551000000000002</v>
      </c>
      <c r="N5653" s="4">
        <v>14</v>
      </c>
      <c r="O5653" s="6">
        <v>15.75</v>
      </c>
      <c r="P5653" s="2" t="s">
        <v>17401</v>
      </c>
      <c r="Q5653" s="2"/>
      <c r="R5653" s="6">
        <v>20.25</v>
      </c>
      <c r="S5653" s="5">
        <v>0.4</v>
      </c>
      <c r="T5653" s="7">
        <v>0.69599999999999995</v>
      </c>
      <c r="U5653" s="5">
        <v>15.9</v>
      </c>
      <c r="V5653" s="6">
        <v>0.99</v>
      </c>
      <c r="W5653" s="7">
        <v>8.125</v>
      </c>
      <c r="X5653" s="7">
        <v>8.125</v>
      </c>
      <c r="Y5653" s="4">
        <v>17</v>
      </c>
      <c r="Z5653" s="5">
        <v>17.5</v>
      </c>
      <c r="AA5653" s="6">
        <v>0.42</v>
      </c>
      <c r="AB5653" s="7">
        <v>34.991999999999997</v>
      </c>
      <c r="AC5653" s="5">
        <v>16.5</v>
      </c>
    </row>
    <row r="5654" spans="1:29" ht="130" x14ac:dyDescent="0.15">
      <c r="A5654" s="3">
        <f>DATE(2000,8,9)</f>
        <v>36747</v>
      </c>
      <c r="B5654" s="3">
        <f>DATE(2000,11,17)</f>
        <v>36847</v>
      </c>
      <c r="C5654" s="2" t="s">
        <v>95</v>
      </c>
      <c r="D5654" s="2" t="s">
        <v>17402</v>
      </c>
      <c r="E5654" s="2" t="s">
        <v>781</v>
      </c>
      <c r="F5654" s="4">
        <v>7372</v>
      </c>
      <c r="G5654" s="2" t="s">
        <v>551</v>
      </c>
      <c r="H5654" s="2" t="s">
        <v>34</v>
      </c>
      <c r="I5654" s="2" t="s">
        <v>17403</v>
      </c>
      <c r="J5654" s="2" t="s">
        <v>17404</v>
      </c>
      <c r="K5654" s="2" t="s">
        <v>223</v>
      </c>
      <c r="L5654" s="2" t="s">
        <v>34</v>
      </c>
      <c r="M5654" s="12">
        <v>6026.4269999999997</v>
      </c>
      <c r="N5654" s="7">
        <v>91.125</v>
      </c>
      <c r="O5654" s="7">
        <v>101.688</v>
      </c>
      <c r="P5654" s="2" t="s">
        <v>17405</v>
      </c>
      <c r="Q5654" s="6">
        <v>100</v>
      </c>
      <c r="R5654" s="6">
        <v>125.72</v>
      </c>
      <c r="S5654" s="5">
        <v>-15</v>
      </c>
      <c r="T5654" s="5">
        <v>-0.3</v>
      </c>
      <c r="U5654" s="5">
        <v>3.4</v>
      </c>
      <c r="V5654" s="6">
        <v>-0.34</v>
      </c>
      <c r="W5654" s="7">
        <v>98.375</v>
      </c>
      <c r="X5654" s="6">
        <v>107.75</v>
      </c>
      <c r="Y5654" s="7">
        <v>142.43799999999999</v>
      </c>
      <c r="Z5654" s="6">
        <v>159.75</v>
      </c>
      <c r="AA5654" s="6">
        <v>47.59</v>
      </c>
      <c r="AB5654" s="2" t="s">
        <v>86</v>
      </c>
      <c r="AC5654" s="5">
        <v>78.900000000000006</v>
      </c>
    </row>
    <row r="5655" spans="1:29" ht="65" x14ac:dyDescent="0.15">
      <c r="A5655" s="3">
        <f>DATE(2000,8,10)</f>
        <v>36748</v>
      </c>
      <c r="B5655" s="2"/>
      <c r="C5655" s="2" t="s">
        <v>39</v>
      </c>
      <c r="D5655" s="2" t="s">
        <v>17406</v>
      </c>
      <c r="E5655" s="2" t="s">
        <v>17407</v>
      </c>
      <c r="F5655" s="4">
        <v>7379</v>
      </c>
      <c r="G5655" s="2" t="s">
        <v>223</v>
      </c>
      <c r="H5655" s="2" t="s">
        <v>34</v>
      </c>
      <c r="I5655" s="2" t="s">
        <v>17408</v>
      </c>
      <c r="J5655" s="2" t="s">
        <v>4572</v>
      </c>
      <c r="K5655" s="2" t="s">
        <v>223</v>
      </c>
      <c r="L5655" s="2" t="s">
        <v>34</v>
      </c>
      <c r="M5655" s="12">
        <v>1027.1510000000001</v>
      </c>
      <c r="N5655" s="4">
        <v>11</v>
      </c>
      <c r="O5655" s="6">
        <v>11.25</v>
      </c>
      <c r="P5655" s="2" t="s">
        <v>17409</v>
      </c>
      <c r="Q5655" s="2"/>
      <c r="R5655" s="2"/>
      <c r="S5655" s="5">
        <v>-15.2</v>
      </c>
      <c r="T5655" s="5">
        <v>-10.199999999999999</v>
      </c>
      <c r="U5655" s="5">
        <v>0.9</v>
      </c>
      <c r="V5655" s="6">
        <v>-0.88</v>
      </c>
      <c r="W5655" s="7">
        <v>2.0939999999999999</v>
      </c>
      <c r="X5655" s="6">
        <v>2.75</v>
      </c>
      <c r="Y5655" s="5">
        <v>2.5</v>
      </c>
      <c r="Z5655" s="9">
        <v>2.1875</v>
      </c>
      <c r="AA5655" s="6">
        <v>17.71</v>
      </c>
      <c r="AB5655" s="2" t="s">
        <v>86</v>
      </c>
      <c r="AC5655" s="5">
        <v>245.8</v>
      </c>
    </row>
    <row r="5656" spans="1:29" ht="104" x14ac:dyDescent="0.15">
      <c r="A5656" s="3">
        <f>DATE(2000,8,11)</f>
        <v>36749</v>
      </c>
      <c r="B5656" s="3">
        <f>DATE(2000,10,6)</f>
        <v>36805</v>
      </c>
      <c r="C5656" s="2" t="s">
        <v>95</v>
      </c>
      <c r="D5656" s="2" t="s">
        <v>17410</v>
      </c>
      <c r="E5656" s="2" t="s">
        <v>13594</v>
      </c>
      <c r="F5656" s="4">
        <v>3699</v>
      </c>
      <c r="G5656" s="2" t="s">
        <v>137</v>
      </c>
      <c r="H5656" s="2" t="s">
        <v>34</v>
      </c>
      <c r="I5656" s="2" t="s">
        <v>51</v>
      </c>
      <c r="J5656" s="2" t="s">
        <v>52</v>
      </c>
      <c r="K5656" s="2" t="s">
        <v>53</v>
      </c>
      <c r="L5656" s="2" t="s">
        <v>34</v>
      </c>
      <c r="M5656" s="2"/>
      <c r="N5656" s="2"/>
      <c r="O5656" s="2"/>
      <c r="P5656" s="2" t="s">
        <v>17411</v>
      </c>
      <c r="Q5656" s="6">
        <v>100</v>
      </c>
      <c r="R5656" s="6">
        <v>8.25</v>
      </c>
      <c r="S5656" s="5">
        <v>4.3</v>
      </c>
      <c r="T5656" s="5">
        <v>14.7</v>
      </c>
      <c r="U5656" s="5">
        <v>6</v>
      </c>
      <c r="V5656" s="6">
        <v>0.53</v>
      </c>
      <c r="W5656" s="4">
        <v>4</v>
      </c>
      <c r="X5656" s="7">
        <v>4.625</v>
      </c>
      <c r="Y5656" s="7">
        <v>7.9059999999999997</v>
      </c>
      <c r="Z5656" s="7">
        <v>7.9379999999999997</v>
      </c>
      <c r="AA5656" s="6">
        <v>7.95</v>
      </c>
      <c r="AB5656" s="7">
        <v>10.045999999999999</v>
      </c>
      <c r="AC5656" s="2"/>
    </row>
    <row r="5657" spans="1:29" ht="130" x14ac:dyDescent="0.15">
      <c r="A5657" s="3">
        <f>DATE(2000,8,11)</f>
        <v>36749</v>
      </c>
      <c r="B5657" s="3">
        <f>DATE(2000,10,1)</f>
        <v>36800</v>
      </c>
      <c r="C5657" s="2" t="s">
        <v>95</v>
      </c>
      <c r="D5657" s="2" t="s">
        <v>17412</v>
      </c>
      <c r="E5657" s="2" t="s">
        <v>11322</v>
      </c>
      <c r="F5657" s="4">
        <v>5944</v>
      </c>
      <c r="G5657" s="2" t="s">
        <v>73</v>
      </c>
      <c r="H5657" s="2" t="s">
        <v>34</v>
      </c>
      <c r="I5657" s="2" t="s">
        <v>17413</v>
      </c>
      <c r="J5657" s="2" t="s">
        <v>17414</v>
      </c>
      <c r="K5657" s="2" t="s">
        <v>73</v>
      </c>
      <c r="L5657" s="2" t="s">
        <v>34</v>
      </c>
      <c r="M5657" s="12">
        <v>1416.537</v>
      </c>
      <c r="N5657" s="7">
        <v>40.563000000000002</v>
      </c>
      <c r="O5657" s="5">
        <v>41.5</v>
      </c>
      <c r="P5657" s="2" t="s">
        <v>17415</v>
      </c>
      <c r="Q5657" s="6">
        <v>100</v>
      </c>
      <c r="R5657" s="6">
        <v>21.5</v>
      </c>
      <c r="S5657" s="5">
        <v>13.8</v>
      </c>
      <c r="T5657" s="5">
        <v>34.9</v>
      </c>
      <c r="U5657" s="5">
        <v>9.3000000000000007</v>
      </c>
      <c r="V5657" s="6">
        <v>1.51</v>
      </c>
      <c r="W5657" s="7">
        <v>14.563000000000001</v>
      </c>
      <c r="X5657" s="4">
        <v>16</v>
      </c>
      <c r="Y5657" s="6">
        <v>21.25</v>
      </c>
      <c r="Z5657" s="6">
        <v>21.25</v>
      </c>
      <c r="AA5657" s="6">
        <v>9.1999999999999993</v>
      </c>
      <c r="AB5657" s="7">
        <v>8.2449999999999992</v>
      </c>
      <c r="AC5657" s="5">
        <v>36.5</v>
      </c>
    </row>
    <row r="5658" spans="1:29" ht="156" x14ac:dyDescent="0.15">
      <c r="A5658" s="3">
        <f>DATE(2000,8,11)</f>
        <v>36749</v>
      </c>
      <c r="B5658" s="3">
        <f>DATE(2000,11,9)</f>
        <v>36839</v>
      </c>
      <c r="C5658" s="2" t="s">
        <v>95</v>
      </c>
      <c r="D5658" s="2" t="s">
        <v>17416</v>
      </c>
      <c r="E5658" s="2" t="s">
        <v>17417</v>
      </c>
      <c r="F5658" s="4">
        <v>3275</v>
      </c>
      <c r="G5658" s="2" t="s">
        <v>237</v>
      </c>
      <c r="H5658" s="2" t="s">
        <v>34</v>
      </c>
      <c r="I5658" s="2" t="s">
        <v>17418</v>
      </c>
      <c r="J5658" s="2" t="s">
        <v>302</v>
      </c>
      <c r="K5658" s="2" t="s">
        <v>53</v>
      </c>
      <c r="L5658" s="2" t="s">
        <v>34</v>
      </c>
      <c r="M5658" s="2"/>
      <c r="N5658" s="2"/>
      <c r="O5658" s="2"/>
      <c r="P5658" s="2" t="s">
        <v>17419</v>
      </c>
      <c r="Q5658" s="6">
        <v>100</v>
      </c>
      <c r="R5658" s="6">
        <v>19</v>
      </c>
      <c r="S5658" s="5">
        <v>20.8</v>
      </c>
      <c r="T5658" s="5">
        <v>47.6</v>
      </c>
      <c r="U5658" s="5">
        <v>9.8000000000000007</v>
      </c>
      <c r="V5658" s="6">
        <v>1.77</v>
      </c>
      <c r="W5658" s="7">
        <v>12.375</v>
      </c>
      <c r="X5658" s="6">
        <v>16.25</v>
      </c>
      <c r="Y5658" s="6">
        <v>16.75</v>
      </c>
      <c r="Z5658" s="7">
        <v>17.687999999999999</v>
      </c>
      <c r="AA5658" s="6">
        <v>11.84</v>
      </c>
      <c r="AB5658" s="7">
        <v>11.574</v>
      </c>
      <c r="AC5658" s="2"/>
    </row>
    <row r="5659" spans="1:29" ht="130" x14ac:dyDescent="0.15">
      <c r="A5659" s="3">
        <f>DATE(2000,8,11)</f>
        <v>36749</v>
      </c>
      <c r="B5659" s="2"/>
      <c r="C5659" s="2" t="s">
        <v>30</v>
      </c>
      <c r="D5659" s="2" t="s">
        <v>17416</v>
      </c>
      <c r="E5659" s="2" t="s">
        <v>17417</v>
      </c>
      <c r="F5659" s="4">
        <v>3275</v>
      </c>
      <c r="G5659" s="2" t="s">
        <v>237</v>
      </c>
      <c r="H5659" s="2" t="s">
        <v>34</v>
      </c>
      <c r="I5659" s="2" t="s">
        <v>17420</v>
      </c>
      <c r="J5659" s="2" t="s">
        <v>11146</v>
      </c>
      <c r="K5659" s="2" t="s">
        <v>341</v>
      </c>
      <c r="L5659" s="2" t="s">
        <v>34</v>
      </c>
      <c r="M5659" s="6">
        <v>413.47</v>
      </c>
      <c r="N5659" s="7">
        <v>25.187999999999999</v>
      </c>
      <c r="O5659" s="7">
        <v>25.875</v>
      </c>
      <c r="P5659" s="2" t="s">
        <v>17421</v>
      </c>
      <c r="Q5659" s="2"/>
      <c r="R5659" s="6">
        <v>17.5</v>
      </c>
      <c r="S5659" s="5">
        <v>20.8</v>
      </c>
      <c r="T5659" s="5">
        <v>47.6</v>
      </c>
      <c r="U5659" s="5">
        <v>9.8000000000000007</v>
      </c>
      <c r="V5659" s="6">
        <v>1.77</v>
      </c>
      <c r="W5659" s="7">
        <v>12.375</v>
      </c>
      <c r="X5659" s="6">
        <v>16.25</v>
      </c>
      <c r="Y5659" s="6">
        <v>16.75</v>
      </c>
      <c r="Z5659" s="7">
        <v>17.687999999999999</v>
      </c>
      <c r="AA5659" s="6">
        <v>11.84</v>
      </c>
      <c r="AB5659" s="7">
        <v>11.066000000000001</v>
      </c>
      <c r="AC5659" s="5">
        <v>129.9</v>
      </c>
    </row>
    <row r="5660" spans="1:29" ht="195" x14ac:dyDescent="0.15">
      <c r="A5660" s="3">
        <f>DATE(2000,8,14)</f>
        <v>36752</v>
      </c>
      <c r="B5660" s="3">
        <f>DATE(2001,7,13)</f>
        <v>37085</v>
      </c>
      <c r="C5660" s="2" t="s">
        <v>95</v>
      </c>
      <c r="D5660" s="2" t="s">
        <v>2861</v>
      </c>
      <c r="E5660" s="2" t="s">
        <v>2862</v>
      </c>
      <c r="F5660" s="4">
        <v>4833</v>
      </c>
      <c r="G5660" s="2" t="s">
        <v>45</v>
      </c>
      <c r="H5660" s="2" t="s">
        <v>34</v>
      </c>
      <c r="I5660" s="2" t="s">
        <v>8249</v>
      </c>
      <c r="J5660" s="2" t="s">
        <v>8250</v>
      </c>
      <c r="K5660" s="2" t="s">
        <v>186</v>
      </c>
      <c r="L5660" s="2" t="s">
        <v>885</v>
      </c>
      <c r="M5660" s="2"/>
      <c r="N5660" s="2"/>
      <c r="O5660" s="2"/>
      <c r="P5660" s="2" t="s">
        <v>17422</v>
      </c>
      <c r="Q5660" s="6">
        <v>23.9</v>
      </c>
      <c r="R5660" s="6">
        <v>165</v>
      </c>
      <c r="S5660" s="5">
        <v>69.400000000000006</v>
      </c>
      <c r="T5660" s="7">
        <v>239.93199999999999</v>
      </c>
      <c r="U5660" s="5">
        <v>75.599999999999994</v>
      </c>
      <c r="V5660" s="6">
        <v>3.08</v>
      </c>
      <c r="W5660" s="5">
        <v>145.5</v>
      </c>
      <c r="X5660" s="6">
        <v>141.75</v>
      </c>
      <c r="Y5660" s="4">
        <v>153</v>
      </c>
      <c r="Z5660" s="7">
        <v>153.93799999999999</v>
      </c>
      <c r="AA5660" s="6">
        <v>22.51</v>
      </c>
      <c r="AB5660" s="7">
        <v>20.946999999999999</v>
      </c>
      <c r="AC5660" s="10">
        <v>2791.61</v>
      </c>
    </row>
    <row r="5661" spans="1:29" ht="247" x14ac:dyDescent="0.15">
      <c r="A5661" s="3">
        <f>DATE(2000,8,14)</f>
        <v>36752</v>
      </c>
      <c r="B5661" s="3">
        <f>DATE(2001,7,31)</f>
        <v>37103</v>
      </c>
      <c r="C5661" s="2" t="s">
        <v>95</v>
      </c>
      <c r="D5661" s="2" t="s">
        <v>16174</v>
      </c>
      <c r="E5661" s="2" t="s">
        <v>2862</v>
      </c>
      <c r="F5661" s="4">
        <v>4833</v>
      </c>
      <c r="G5661" s="2" t="s">
        <v>45</v>
      </c>
      <c r="H5661" s="2" t="s">
        <v>34</v>
      </c>
      <c r="I5661" s="2" t="s">
        <v>8249</v>
      </c>
      <c r="J5661" s="2" t="s">
        <v>8250</v>
      </c>
      <c r="K5661" s="2" t="s">
        <v>186</v>
      </c>
      <c r="L5661" s="2" t="s">
        <v>885</v>
      </c>
      <c r="M5661" s="2"/>
      <c r="N5661" s="2"/>
      <c r="O5661" s="2"/>
      <c r="P5661" s="2" t="s">
        <v>17423</v>
      </c>
      <c r="Q5661" s="6">
        <v>100</v>
      </c>
      <c r="R5661" s="6">
        <v>85</v>
      </c>
      <c r="S5661" s="5">
        <v>58.3</v>
      </c>
      <c r="T5661" s="5">
        <v>235.1</v>
      </c>
      <c r="U5661" s="5">
        <v>41.9</v>
      </c>
      <c r="V5661" s="6">
        <v>1.32</v>
      </c>
      <c r="W5661" s="7">
        <v>71.125</v>
      </c>
      <c r="X5661" s="4">
        <v>62</v>
      </c>
      <c r="Y5661" s="4">
        <v>79</v>
      </c>
      <c r="Z5661" s="4">
        <v>77</v>
      </c>
      <c r="AA5661" s="6">
        <v>34.93</v>
      </c>
      <c r="AB5661" s="7">
        <v>25.974</v>
      </c>
      <c r="AC5661" s="10">
        <v>2791.61</v>
      </c>
    </row>
    <row r="5662" spans="1:29" ht="117" x14ac:dyDescent="0.15">
      <c r="A5662" s="3">
        <f>DATE(2000,8,14)</f>
        <v>36752</v>
      </c>
      <c r="B5662" s="3">
        <f>DATE(2000,9,22)</f>
        <v>36791</v>
      </c>
      <c r="C5662" s="2" t="s">
        <v>95</v>
      </c>
      <c r="D5662" s="2" t="s">
        <v>17424</v>
      </c>
      <c r="E5662" s="2" t="s">
        <v>839</v>
      </c>
      <c r="F5662" s="4">
        <v>2836</v>
      </c>
      <c r="G5662" s="2" t="s">
        <v>130</v>
      </c>
      <c r="H5662" s="2" t="s">
        <v>34</v>
      </c>
      <c r="I5662" s="2" t="s">
        <v>2124</v>
      </c>
      <c r="J5662" s="2" t="s">
        <v>2125</v>
      </c>
      <c r="K5662" s="2" t="s">
        <v>130</v>
      </c>
      <c r="L5662" s="2" t="s">
        <v>34</v>
      </c>
      <c r="M5662" s="12">
        <v>10029.031000000001</v>
      </c>
      <c r="N5662" s="7">
        <v>46.688000000000002</v>
      </c>
      <c r="O5662" s="6">
        <v>46.75</v>
      </c>
      <c r="P5662" s="2" t="s">
        <v>17425</v>
      </c>
      <c r="Q5662" s="6">
        <v>100</v>
      </c>
      <c r="R5662" s="6">
        <v>38.5</v>
      </c>
      <c r="S5662" s="5">
        <v>-2.1</v>
      </c>
      <c r="T5662" s="5">
        <v>1.7</v>
      </c>
      <c r="U5662" s="5">
        <v>5.2</v>
      </c>
      <c r="V5662" s="6">
        <v>-0.12</v>
      </c>
      <c r="W5662" s="6">
        <v>31.75</v>
      </c>
      <c r="X5662" s="6">
        <v>32.75</v>
      </c>
      <c r="Y5662" s="7">
        <v>37.969000000000001</v>
      </c>
      <c r="Z5662" s="4">
        <v>38</v>
      </c>
      <c r="AA5662" s="6">
        <v>16.559999999999999</v>
      </c>
      <c r="AB5662" s="2" t="s">
        <v>86</v>
      </c>
      <c r="AC5662" s="5">
        <v>474.5</v>
      </c>
    </row>
    <row r="5663" spans="1:29" ht="195" x14ac:dyDescent="0.15">
      <c r="A5663" s="3">
        <f>DATE(2000,8,14)</f>
        <v>36752</v>
      </c>
      <c r="B5663" s="3">
        <f>DATE(2001,7,31)</f>
        <v>37103</v>
      </c>
      <c r="C5663" s="2" t="s">
        <v>95</v>
      </c>
      <c r="D5663" s="2" t="s">
        <v>17426</v>
      </c>
      <c r="E5663" s="2" t="s">
        <v>2862</v>
      </c>
      <c r="F5663" s="4">
        <v>4833</v>
      </c>
      <c r="G5663" s="2" t="s">
        <v>45</v>
      </c>
      <c r="H5663" s="2" t="s">
        <v>34</v>
      </c>
      <c r="I5663" s="2" t="s">
        <v>8249</v>
      </c>
      <c r="J5663" s="2" t="s">
        <v>8250</v>
      </c>
      <c r="K5663" s="2" t="s">
        <v>186</v>
      </c>
      <c r="L5663" s="2" t="s">
        <v>885</v>
      </c>
      <c r="M5663" s="2"/>
      <c r="N5663" s="2"/>
      <c r="O5663" s="2"/>
      <c r="P5663" s="2" t="s">
        <v>17427</v>
      </c>
      <c r="Q5663" s="6">
        <v>55.39</v>
      </c>
      <c r="R5663" s="6">
        <v>150</v>
      </c>
      <c r="S5663" s="5">
        <v>46.8</v>
      </c>
      <c r="T5663" s="5">
        <v>95.5</v>
      </c>
      <c r="U5663" s="5">
        <v>42.4</v>
      </c>
      <c r="V5663" s="6">
        <v>4.92</v>
      </c>
      <c r="W5663" s="5">
        <v>138.5</v>
      </c>
      <c r="X5663" s="4">
        <v>136</v>
      </c>
      <c r="Y5663" s="6">
        <v>142.75</v>
      </c>
      <c r="Z5663" s="6">
        <v>141.75</v>
      </c>
      <c r="AA5663" s="6">
        <v>9.51</v>
      </c>
      <c r="AB5663" s="7">
        <v>20.931999999999999</v>
      </c>
      <c r="AC5663" s="10">
        <v>2791.61</v>
      </c>
    </row>
    <row r="5664" spans="1:29" ht="91" x14ac:dyDescent="0.15">
      <c r="A5664" s="3">
        <f>DATE(2000,8,15)</f>
        <v>36753</v>
      </c>
      <c r="B5664" s="3">
        <f>DATE(2001,3,1)</f>
        <v>36951</v>
      </c>
      <c r="C5664" s="2" t="s">
        <v>95</v>
      </c>
      <c r="D5664" s="2" t="s">
        <v>17428</v>
      </c>
      <c r="E5664" s="2" t="s">
        <v>17429</v>
      </c>
      <c r="F5664" s="4">
        <v>7514</v>
      </c>
      <c r="G5664" s="2" t="s">
        <v>1327</v>
      </c>
      <c r="H5664" s="2" t="s">
        <v>34</v>
      </c>
      <c r="I5664" s="2" t="s">
        <v>9795</v>
      </c>
      <c r="J5664" s="2" t="s">
        <v>2071</v>
      </c>
      <c r="K5664" s="2" t="s">
        <v>109</v>
      </c>
      <c r="L5664" s="2" t="s">
        <v>34</v>
      </c>
      <c r="M5664" s="12">
        <v>10439.072</v>
      </c>
      <c r="N5664" s="4">
        <v>13</v>
      </c>
      <c r="O5664" s="4">
        <v>13</v>
      </c>
      <c r="P5664" s="2" t="s">
        <v>17430</v>
      </c>
      <c r="Q5664" s="6">
        <v>85.46</v>
      </c>
      <c r="R5664" s="6">
        <v>33</v>
      </c>
      <c r="S5664" s="5">
        <v>116.2</v>
      </c>
      <c r="T5664" s="2"/>
      <c r="U5664" s="5">
        <v>23.9</v>
      </c>
      <c r="V5664" s="6">
        <v>3.1</v>
      </c>
      <c r="W5664" s="7">
        <v>23.187999999999999</v>
      </c>
      <c r="X5664" s="5">
        <v>25.5</v>
      </c>
      <c r="Y5664" s="5">
        <v>30.5</v>
      </c>
      <c r="Z5664" s="7">
        <v>31.375</v>
      </c>
      <c r="AA5664" s="6">
        <v>31.13</v>
      </c>
      <c r="AB5664" s="2" t="s">
        <v>47</v>
      </c>
      <c r="AC5664" s="8">
        <v>1164</v>
      </c>
    </row>
    <row r="5665" spans="1:29" ht="39" x14ac:dyDescent="0.15">
      <c r="A5665" s="3">
        <f>DATE(2000,8,15)</f>
        <v>36753</v>
      </c>
      <c r="B5665" s="2"/>
      <c r="C5665" s="2" t="s">
        <v>189</v>
      </c>
      <c r="D5665" s="2" t="s">
        <v>14564</v>
      </c>
      <c r="E5665" s="2" t="s">
        <v>92</v>
      </c>
      <c r="F5665" s="4">
        <v>6798</v>
      </c>
      <c r="G5665" s="2" t="s">
        <v>53</v>
      </c>
      <c r="H5665" s="2" t="s">
        <v>34</v>
      </c>
      <c r="I5665" s="2" t="s">
        <v>143</v>
      </c>
      <c r="J5665" s="2" t="s">
        <v>144</v>
      </c>
      <c r="K5665" s="2" t="s">
        <v>53</v>
      </c>
      <c r="L5665" s="2" t="s">
        <v>139</v>
      </c>
      <c r="M5665" s="2"/>
      <c r="N5665" s="2"/>
      <c r="O5665" s="2"/>
      <c r="P5665" s="2" t="s">
        <v>17431</v>
      </c>
      <c r="Q5665" s="2"/>
      <c r="R5665" s="2"/>
      <c r="S5665" s="5">
        <v>11.6</v>
      </c>
      <c r="T5665" s="5">
        <v>90.9</v>
      </c>
      <c r="U5665" s="5">
        <v>11.7</v>
      </c>
      <c r="V5665" s="6">
        <v>0.18</v>
      </c>
      <c r="W5665" s="7">
        <v>5.375</v>
      </c>
      <c r="X5665" s="7">
        <v>5.125</v>
      </c>
      <c r="Y5665" s="7">
        <v>5.125</v>
      </c>
      <c r="Z5665" s="4">
        <v>6</v>
      </c>
      <c r="AA5665" s="6">
        <v>32.32</v>
      </c>
      <c r="AB5665" s="2" t="s">
        <v>47</v>
      </c>
      <c r="AC5665" s="2"/>
    </row>
    <row r="5666" spans="1:29" ht="143" x14ac:dyDescent="0.15">
      <c r="A5666" s="3">
        <f>DATE(2000,8,15)</f>
        <v>36753</v>
      </c>
      <c r="B5666" s="3">
        <f>DATE(2001,2,5)</f>
        <v>36927</v>
      </c>
      <c r="C5666" s="2" t="s">
        <v>95</v>
      </c>
      <c r="D5666" s="2" t="s">
        <v>17432</v>
      </c>
      <c r="E5666" s="2" t="s">
        <v>10711</v>
      </c>
      <c r="F5666" s="4">
        <v>7373</v>
      </c>
      <c r="G5666" s="2" t="s">
        <v>223</v>
      </c>
      <c r="H5666" s="2" t="s">
        <v>34</v>
      </c>
      <c r="I5666" s="2" t="s">
        <v>17433</v>
      </c>
      <c r="J5666" s="2" t="s">
        <v>17434</v>
      </c>
      <c r="K5666" s="2" t="s">
        <v>921</v>
      </c>
      <c r="L5666" s="2" t="s">
        <v>34</v>
      </c>
      <c r="M5666" s="7">
        <v>192.44499999999999</v>
      </c>
      <c r="N5666" s="9">
        <v>7.8125</v>
      </c>
      <c r="O5666" s="9">
        <v>7.4375</v>
      </c>
      <c r="P5666" s="2" t="s">
        <v>17435</v>
      </c>
      <c r="Q5666" s="6">
        <v>100</v>
      </c>
      <c r="R5666" s="6">
        <v>6.4</v>
      </c>
      <c r="S5666" s="5">
        <v>-11.7</v>
      </c>
      <c r="T5666" s="7">
        <v>-4.806</v>
      </c>
      <c r="U5666" s="5">
        <v>0.3</v>
      </c>
      <c r="V5666" s="6">
        <v>-0.56000000000000005</v>
      </c>
      <c r="W5666" s="6">
        <v>4.75</v>
      </c>
      <c r="X5666" s="6">
        <v>4.75</v>
      </c>
      <c r="Y5666" s="5">
        <v>5.5</v>
      </c>
      <c r="Z5666" s="6">
        <v>5.25</v>
      </c>
      <c r="AA5666" s="6">
        <v>24.21</v>
      </c>
      <c r="AB5666" s="2" t="s">
        <v>86</v>
      </c>
      <c r="AC5666" s="6">
        <v>26.66</v>
      </c>
    </row>
    <row r="5667" spans="1:29" ht="169" x14ac:dyDescent="0.15">
      <c r="A5667" s="3">
        <f>DATE(2000,8,15)</f>
        <v>36753</v>
      </c>
      <c r="B5667" s="3">
        <f>DATE(2001,2,21)</f>
        <v>36943</v>
      </c>
      <c r="C5667" s="2" t="s">
        <v>95</v>
      </c>
      <c r="D5667" s="2" t="s">
        <v>8140</v>
      </c>
      <c r="E5667" s="2" t="s">
        <v>4760</v>
      </c>
      <c r="F5667" s="4">
        <v>4832</v>
      </c>
      <c r="G5667" s="2" t="s">
        <v>45</v>
      </c>
      <c r="H5667" s="2" t="s">
        <v>34</v>
      </c>
      <c r="I5667" s="2" t="s">
        <v>4179</v>
      </c>
      <c r="J5667" s="2" t="s">
        <v>15239</v>
      </c>
      <c r="K5667" s="2" t="s">
        <v>45</v>
      </c>
      <c r="L5667" s="2" t="s">
        <v>34</v>
      </c>
      <c r="M5667" s="12">
        <v>102828.143</v>
      </c>
      <c r="N5667" s="7">
        <v>69.813000000000002</v>
      </c>
      <c r="O5667" s="7">
        <v>67.375</v>
      </c>
      <c r="P5667" s="2" t="s">
        <v>17436</v>
      </c>
      <c r="Q5667" s="6">
        <v>37.6</v>
      </c>
      <c r="R5667" s="6">
        <v>32.89</v>
      </c>
      <c r="S5667" s="5">
        <v>401.4</v>
      </c>
      <c r="T5667" s="12">
        <v>1603.1569999999999</v>
      </c>
      <c r="U5667" s="5">
        <v>14.4</v>
      </c>
      <c r="V5667" s="6">
        <v>0.39</v>
      </c>
      <c r="W5667" s="7">
        <v>37.438000000000002</v>
      </c>
      <c r="X5667" s="6">
        <v>35.25</v>
      </c>
      <c r="Y5667" s="7">
        <v>39.375</v>
      </c>
      <c r="Z5667" s="9">
        <v>37.5625</v>
      </c>
      <c r="AA5667" s="10">
        <v>1089.0999999999999</v>
      </c>
      <c r="AB5667" s="7">
        <v>40.738999999999997</v>
      </c>
      <c r="AC5667" s="5">
        <v>992.7</v>
      </c>
    </row>
    <row r="5668" spans="1:29" ht="130" x14ac:dyDescent="0.15">
      <c r="A5668" s="3">
        <f>DATE(2000,8,15)</f>
        <v>36753</v>
      </c>
      <c r="B5668" s="3">
        <f>DATE(2000,12,4)</f>
        <v>36864</v>
      </c>
      <c r="C5668" s="2" t="s">
        <v>95</v>
      </c>
      <c r="D5668" s="2" t="s">
        <v>17437</v>
      </c>
      <c r="E5668" s="2" t="s">
        <v>1181</v>
      </c>
      <c r="F5668" s="4">
        <v>6021</v>
      </c>
      <c r="G5668" s="2" t="s">
        <v>37</v>
      </c>
      <c r="H5668" s="2" t="s">
        <v>34</v>
      </c>
      <c r="I5668" s="2" t="s">
        <v>17438</v>
      </c>
      <c r="J5668" s="2" t="s">
        <v>36</v>
      </c>
      <c r="K5668" s="2" t="s">
        <v>33</v>
      </c>
      <c r="L5668" s="2" t="s">
        <v>34</v>
      </c>
      <c r="M5668" s="7">
        <v>64.817999999999998</v>
      </c>
      <c r="N5668" s="7">
        <v>7.625</v>
      </c>
      <c r="O5668" s="7">
        <v>7.9379999999999997</v>
      </c>
      <c r="P5668" s="2" t="s">
        <v>17439</v>
      </c>
      <c r="Q5668" s="6">
        <v>100</v>
      </c>
      <c r="R5668" s="6">
        <v>6.72</v>
      </c>
      <c r="S5668" s="5">
        <v>4.9000000000000004</v>
      </c>
      <c r="T5668" s="5">
        <v>9</v>
      </c>
      <c r="U5668" s="5">
        <v>4</v>
      </c>
      <c r="V5668" s="6">
        <v>0.56999999999999995</v>
      </c>
      <c r="W5668" s="7">
        <v>5.125</v>
      </c>
      <c r="X5668" s="7">
        <v>5.1879999999999997</v>
      </c>
      <c r="Y5668" s="4">
        <v>6</v>
      </c>
      <c r="Z5668" s="4">
        <v>6</v>
      </c>
      <c r="AA5668" s="6">
        <v>8.3000000000000007</v>
      </c>
      <c r="AB5668" s="7">
        <v>39.978999999999999</v>
      </c>
      <c r="AC5668" s="2"/>
    </row>
    <row r="5669" spans="1:29" ht="156" x14ac:dyDescent="0.15">
      <c r="A5669" s="3">
        <f>DATE(2000,8,16)</f>
        <v>36754</v>
      </c>
      <c r="B5669" s="3">
        <f>DATE(2000,11,20)</f>
        <v>36850</v>
      </c>
      <c r="C5669" s="2" t="s">
        <v>95</v>
      </c>
      <c r="D5669" s="2" t="s">
        <v>17440</v>
      </c>
      <c r="E5669" s="2" t="s">
        <v>17441</v>
      </c>
      <c r="F5669" s="4">
        <v>5961</v>
      </c>
      <c r="G5669" s="2" t="s">
        <v>73</v>
      </c>
      <c r="H5669" s="2" t="s">
        <v>34</v>
      </c>
      <c r="I5669" s="2" t="s">
        <v>17442</v>
      </c>
      <c r="J5669" s="2" t="s">
        <v>6365</v>
      </c>
      <c r="K5669" s="2" t="s">
        <v>73</v>
      </c>
      <c r="L5669" s="2" t="s">
        <v>34</v>
      </c>
      <c r="M5669" s="7">
        <v>75.257999999999996</v>
      </c>
      <c r="N5669" s="4">
        <v>3</v>
      </c>
      <c r="O5669" s="7">
        <v>2.2189999999999999</v>
      </c>
      <c r="P5669" s="2" t="s">
        <v>17443</v>
      </c>
      <c r="Q5669" s="6">
        <v>100</v>
      </c>
      <c r="R5669" s="6">
        <v>4.93</v>
      </c>
      <c r="S5669" s="5">
        <v>-22.6</v>
      </c>
      <c r="T5669" s="5">
        <v>-44.4</v>
      </c>
      <c r="U5669" s="5">
        <v>5.3</v>
      </c>
      <c r="V5669" s="6">
        <v>-1.55</v>
      </c>
      <c r="W5669" s="6">
        <v>2.25</v>
      </c>
      <c r="X5669" s="7">
        <v>2.375</v>
      </c>
      <c r="Y5669" s="9">
        <v>2.1875</v>
      </c>
      <c r="Z5669" s="11">
        <v>3.03125</v>
      </c>
      <c r="AA5669" s="6">
        <v>16.79</v>
      </c>
      <c r="AB5669" s="2" t="s">
        <v>86</v>
      </c>
      <c r="AC5669" s="5">
        <v>11.3</v>
      </c>
    </row>
    <row r="5670" spans="1:29" ht="169" x14ac:dyDescent="0.15">
      <c r="A5670" s="3">
        <f>DATE(2000,8,16)</f>
        <v>36754</v>
      </c>
      <c r="B5670" s="3">
        <f>DATE(2001,4,2)</f>
        <v>36983</v>
      </c>
      <c r="C5670" s="2" t="s">
        <v>95</v>
      </c>
      <c r="D5670" s="2" t="s">
        <v>16753</v>
      </c>
      <c r="E5670" s="2" t="s">
        <v>203</v>
      </c>
      <c r="F5670" s="4">
        <v>6036</v>
      </c>
      <c r="G5670" s="2" t="s">
        <v>33</v>
      </c>
      <c r="H5670" s="2" t="s">
        <v>34</v>
      </c>
      <c r="I5670" s="2" t="s">
        <v>17444</v>
      </c>
      <c r="J5670" s="2" t="s">
        <v>36</v>
      </c>
      <c r="K5670" s="2" t="s">
        <v>37</v>
      </c>
      <c r="L5670" s="2" t="s">
        <v>34</v>
      </c>
      <c r="M5670" s="7">
        <v>74.957999999999998</v>
      </c>
      <c r="N5670" s="6">
        <v>33.75</v>
      </c>
      <c r="O5670" s="7">
        <v>35.375</v>
      </c>
      <c r="P5670" s="2" t="s">
        <v>17445</v>
      </c>
      <c r="Q5670" s="6">
        <v>100</v>
      </c>
      <c r="R5670" s="6">
        <v>20.75</v>
      </c>
      <c r="S5670" s="5">
        <v>2</v>
      </c>
      <c r="T5670" s="5">
        <v>3.4</v>
      </c>
      <c r="U5670" s="5">
        <v>13.1</v>
      </c>
      <c r="V5670" s="6">
        <v>1.05</v>
      </c>
      <c r="W5670" s="5">
        <v>15.5</v>
      </c>
      <c r="X5670" s="7">
        <v>16.062999999999999</v>
      </c>
      <c r="Y5670" s="4">
        <v>19</v>
      </c>
      <c r="Z5670" s="4">
        <v>19</v>
      </c>
      <c r="AA5670" s="6">
        <v>1.98</v>
      </c>
      <c r="AB5670" s="7">
        <v>62.024999999999999</v>
      </c>
      <c r="AC5670" s="5">
        <v>1.6</v>
      </c>
    </row>
    <row r="5671" spans="1:29" ht="156" x14ac:dyDescent="0.15">
      <c r="A5671" s="3">
        <f>DATE(2000,8,17)</f>
        <v>36755</v>
      </c>
      <c r="B5671" s="2"/>
      <c r="C5671" s="2" t="s">
        <v>30</v>
      </c>
      <c r="D5671" s="2" t="s">
        <v>12147</v>
      </c>
      <c r="E5671" s="2" t="s">
        <v>12148</v>
      </c>
      <c r="F5671" s="4">
        <v>7372</v>
      </c>
      <c r="G5671" s="2" t="s">
        <v>551</v>
      </c>
      <c r="H5671" s="2" t="s">
        <v>34</v>
      </c>
      <c r="I5671" s="2" t="s">
        <v>17446</v>
      </c>
      <c r="J5671" s="2" t="s">
        <v>12371</v>
      </c>
      <c r="K5671" s="2" t="s">
        <v>53</v>
      </c>
      <c r="L5671" s="2" t="s">
        <v>34</v>
      </c>
      <c r="M5671" s="12">
        <v>1070.076</v>
      </c>
      <c r="N5671" s="6">
        <v>10.75</v>
      </c>
      <c r="O5671" s="7">
        <v>10.375</v>
      </c>
      <c r="P5671" s="2" t="s">
        <v>17447</v>
      </c>
      <c r="Q5671" s="2"/>
      <c r="R5671" s="6">
        <v>6.59</v>
      </c>
      <c r="S5671" s="5">
        <v>13.4</v>
      </c>
      <c r="T5671" s="7">
        <v>24.613</v>
      </c>
      <c r="U5671" s="5">
        <v>2.5</v>
      </c>
      <c r="V5671" s="6">
        <v>0.8</v>
      </c>
      <c r="W5671" s="7">
        <v>6.0309999999999997</v>
      </c>
      <c r="X5671" s="7">
        <v>5.125</v>
      </c>
      <c r="Y5671" s="6">
        <v>5.25</v>
      </c>
      <c r="Z5671" s="9">
        <v>4.8125</v>
      </c>
      <c r="AA5671" s="6">
        <v>16.82</v>
      </c>
      <c r="AB5671" s="7">
        <v>5.0250000000000004</v>
      </c>
      <c r="AC5671" s="2"/>
    </row>
    <row r="5672" spans="1:29" ht="65" x14ac:dyDescent="0.15">
      <c r="A5672" s="3">
        <f>DATE(2000,8,17)</f>
        <v>36755</v>
      </c>
      <c r="B5672" s="3">
        <f>DATE(2000,8,17)</f>
        <v>36755</v>
      </c>
      <c r="C5672" s="2" t="s">
        <v>95</v>
      </c>
      <c r="D5672" s="2" t="s">
        <v>17448</v>
      </c>
      <c r="E5672" s="2" t="s">
        <v>17449</v>
      </c>
      <c r="F5672" s="4">
        <v>6798</v>
      </c>
      <c r="G5672" s="2" t="s">
        <v>53</v>
      </c>
      <c r="H5672" s="2" t="s">
        <v>34</v>
      </c>
      <c r="I5672" s="2" t="s">
        <v>17450</v>
      </c>
      <c r="J5672" s="2" t="s">
        <v>92</v>
      </c>
      <c r="K5672" s="2" t="s">
        <v>53</v>
      </c>
      <c r="L5672" s="2" t="s">
        <v>885</v>
      </c>
      <c r="M5672" s="2"/>
      <c r="N5672" s="2"/>
      <c r="O5672" s="2"/>
      <c r="P5672" s="2" t="s">
        <v>17451</v>
      </c>
      <c r="Q5672" s="6">
        <v>7.2</v>
      </c>
      <c r="R5672" s="2"/>
      <c r="S5672" s="5">
        <v>63.8</v>
      </c>
      <c r="T5672" s="5">
        <v>359.4</v>
      </c>
      <c r="U5672" s="5">
        <v>6.8</v>
      </c>
      <c r="V5672" s="6">
        <v>0.3</v>
      </c>
      <c r="W5672" s="4">
        <v>15</v>
      </c>
      <c r="X5672" s="6">
        <v>15.25</v>
      </c>
      <c r="Y5672" s="9">
        <v>15.1875</v>
      </c>
      <c r="Z5672" s="9">
        <v>15.4375</v>
      </c>
      <c r="AA5672" s="6">
        <v>73.349999999999994</v>
      </c>
      <c r="AB5672" s="7">
        <v>19.962</v>
      </c>
      <c r="AC5672" s="6">
        <v>47.39</v>
      </c>
    </row>
    <row r="5673" spans="1:29" ht="78" x14ac:dyDescent="0.15">
      <c r="A5673" s="3">
        <f>DATE(2000,8,17)</f>
        <v>36755</v>
      </c>
      <c r="B5673" s="2"/>
      <c r="C5673" s="2" t="s">
        <v>30</v>
      </c>
      <c r="D5673" s="2" t="s">
        <v>17452</v>
      </c>
      <c r="E5673" s="2" t="s">
        <v>17453</v>
      </c>
      <c r="F5673" s="4">
        <v>1531</v>
      </c>
      <c r="G5673" s="2" t="s">
        <v>341</v>
      </c>
      <c r="H5673" s="2" t="s">
        <v>34</v>
      </c>
      <c r="I5673" s="2" t="s">
        <v>17454</v>
      </c>
      <c r="J5673" s="2" t="s">
        <v>2692</v>
      </c>
      <c r="K5673" s="2" t="s">
        <v>341</v>
      </c>
      <c r="L5673" s="2" t="s">
        <v>34</v>
      </c>
      <c r="M5673" s="2"/>
      <c r="N5673" s="2"/>
      <c r="O5673" s="2"/>
      <c r="P5673" s="2" t="s">
        <v>17455</v>
      </c>
      <c r="Q5673" s="2"/>
      <c r="R5673" s="2"/>
      <c r="S5673" s="5">
        <v>-18.3</v>
      </c>
      <c r="T5673" s="7">
        <v>-1.089</v>
      </c>
      <c r="U5673" s="5">
        <v>4.8</v>
      </c>
      <c r="V5673" s="6">
        <v>-3</v>
      </c>
      <c r="W5673" s="5">
        <v>3.5</v>
      </c>
      <c r="X5673" s="11">
        <v>3.4218799999999998</v>
      </c>
      <c r="Y5673" s="7">
        <v>3.625</v>
      </c>
      <c r="Z5673" s="5">
        <v>3.5</v>
      </c>
      <c r="AA5673" s="6">
        <v>4.59</v>
      </c>
      <c r="AB5673" s="2" t="s">
        <v>86</v>
      </c>
      <c r="AC5673" s="2"/>
    </row>
    <row r="5674" spans="1:29" ht="65" x14ac:dyDescent="0.15">
      <c r="A5674" s="3">
        <f>DATE(2000,8,18)</f>
        <v>36756</v>
      </c>
      <c r="B5674" s="3">
        <f>DATE(2000,11,22)</f>
        <v>36852</v>
      </c>
      <c r="C5674" s="2" t="s">
        <v>95</v>
      </c>
      <c r="D5674" s="2" t="s">
        <v>17456</v>
      </c>
      <c r="E5674" s="2" t="s">
        <v>124</v>
      </c>
      <c r="F5674" s="4">
        <v>6331</v>
      </c>
      <c r="G5674" s="2" t="s">
        <v>125</v>
      </c>
      <c r="H5674" s="2" t="s">
        <v>34</v>
      </c>
      <c r="I5674" s="2" t="s">
        <v>830</v>
      </c>
      <c r="J5674" s="2" t="s">
        <v>831</v>
      </c>
      <c r="K5674" s="2" t="s">
        <v>125</v>
      </c>
      <c r="L5674" s="2" t="s">
        <v>34</v>
      </c>
      <c r="M5674" s="12">
        <v>182075.924</v>
      </c>
      <c r="N5674" s="6">
        <v>86.75</v>
      </c>
      <c r="O5674" s="7">
        <v>87.938000000000002</v>
      </c>
      <c r="P5674" s="2" t="s">
        <v>17457</v>
      </c>
      <c r="Q5674" s="6">
        <v>100</v>
      </c>
      <c r="R5674" s="6">
        <v>41</v>
      </c>
      <c r="S5674" s="5">
        <v>68.5</v>
      </c>
      <c r="T5674" s="5">
        <v>148.5</v>
      </c>
      <c r="U5674" s="5">
        <v>13.3</v>
      </c>
      <c r="V5674" s="6">
        <v>2.39</v>
      </c>
      <c r="W5674" s="6">
        <v>39.75</v>
      </c>
      <c r="X5674" s="7">
        <v>38.688000000000002</v>
      </c>
      <c r="Y5674" s="7">
        <v>39.938000000000002</v>
      </c>
      <c r="Z5674" s="7">
        <v>39.938000000000002</v>
      </c>
      <c r="AA5674" s="6">
        <v>29.03</v>
      </c>
      <c r="AB5674" s="7">
        <v>11.102</v>
      </c>
      <c r="AC5674" s="5">
        <v>314</v>
      </c>
    </row>
    <row r="5675" spans="1:29" ht="156" x14ac:dyDescent="0.15">
      <c r="A5675" s="3">
        <f>DATE(2000,8,18)</f>
        <v>36756</v>
      </c>
      <c r="B5675" s="3">
        <f>DATE(2001,1,31)</f>
        <v>36922</v>
      </c>
      <c r="C5675" s="2" t="s">
        <v>95</v>
      </c>
      <c r="D5675" s="2" t="s">
        <v>10087</v>
      </c>
      <c r="E5675" s="2" t="s">
        <v>5471</v>
      </c>
      <c r="F5675" s="4">
        <v>1381</v>
      </c>
      <c r="G5675" s="2" t="s">
        <v>148</v>
      </c>
      <c r="H5675" s="2" t="s">
        <v>34</v>
      </c>
      <c r="I5675" s="2" t="s">
        <v>17458</v>
      </c>
      <c r="J5675" s="2" t="s">
        <v>5872</v>
      </c>
      <c r="K5675" s="2" t="s">
        <v>341</v>
      </c>
      <c r="L5675" s="2" t="s">
        <v>34</v>
      </c>
      <c r="M5675" s="2"/>
      <c r="N5675" s="2"/>
      <c r="O5675" s="2"/>
      <c r="P5675" s="2" t="s">
        <v>17459</v>
      </c>
      <c r="Q5675" s="6">
        <v>100</v>
      </c>
      <c r="R5675" s="6">
        <v>28.84</v>
      </c>
      <c r="S5675" s="5">
        <v>-125.3</v>
      </c>
      <c r="T5675" s="5">
        <v>211.9</v>
      </c>
      <c r="U5675" s="5">
        <v>5.8</v>
      </c>
      <c r="V5675" s="6">
        <v>-0.92</v>
      </c>
      <c r="W5675" s="7">
        <v>22.812999999999999</v>
      </c>
      <c r="X5675" s="4">
        <v>25</v>
      </c>
      <c r="Y5675" s="7">
        <v>24.937999999999999</v>
      </c>
      <c r="Z5675" s="7">
        <v>25.187999999999999</v>
      </c>
      <c r="AA5675" s="6">
        <v>194.78</v>
      </c>
      <c r="AB5675" s="7">
        <v>230.25299999999999</v>
      </c>
      <c r="AC5675" s="2"/>
    </row>
    <row r="5676" spans="1:29" ht="104" x14ac:dyDescent="0.15">
      <c r="A5676" s="3">
        <f>DATE(2000,8,21)</f>
        <v>36759</v>
      </c>
      <c r="B5676" s="3">
        <f>DATE(2001,2,12)</f>
        <v>36934</v>
      </c>
      <c r="C5676" s="2" t="s">
        <v>95</v>
      </c>
      <c r="D5676" s="2" t="s">
        <v>17460</v>
      </c>
      <c r="E5676" s="2" t="s">
        <v>17461</v>
      </c>
      <c r="F5676" s="4">
        <v>6035</v>
      </c>
      <c r="G5676" s="2" t="s">
        <v>33</v>
      </c>
      <c r="H5676" s="2" t="s">
        <v>34</v>
      </c>
      <c r="I5676" s="2" t="s">
        <v>2324</v>
      </c>
      <c r="J5676" s="2" t="s">
        <v>14447</v>
      </c>
      <c r="K5676" s="2" t="s">
        <v>33</v>
      </c>
      <c r="L5676" s="2" t="s">
        <v>34</v>
      </c>
      <c r="M5676" s="10">
        <v>17109.310000000001</v>
      </c>
      <c r="N5676" s="7">
        <v>32.063000000000002</v>
      </c>
      <c r="O5676" s="7">
        <v>32.313000000000002</v>
      </c>
      <c r="P5676" s="2" t="s">
        <v>17462</v>
      </c>
      <c r="Q5676" s="6">
        <v>100</v>
      </c>
      <c r="R5676" s="6">
        <v>42.66</v>
      </c>
      <c r="S5676" s="5">
        <v>130.69999999999999</v>
      </c>
      <c r="T5676" s="2"/>
      <c r="U5676" s="5">
        <v>25.5</v>
      </c>
      <c r="V5676" s="6">
        <v>3.65</v>
      </c>
      <c r="W5676" s="7">
        <v>39.625</v>
      </c>
      <c r="X5676" s="7">
        <v>42.375</v>
      </c>
      <c r="Y5676" s="7">
        <v>40.875</v>
      </c>
      <c r="Z5676" s="7">
        <v>41.438000000000002</v>
      </c>
      <c r="AA5676" s="6">
        <v>32.479999999999997</v>
      </c>
      <c r="AB5676" s="7">
        <v>84.194999999999993</v>
      </c>
      <c r="AC5676" s="2"/>
    </row>
    <row r="5677" spans="1:29" ht="65" x14ac:dyDescent="0.15">
      <c r="A5677" s="3">
        <f>DATE(2000,8,21)</f>
        <v>36759</v>
      </c>
      <c r="B5677" s="3">
        <f>DATE(2001,4,16)</f>
        <v>36997</v>
      </c>
      <c r="C5677" s="2" t="s">
        <v>95</v>
      </c>
      <c r="D5677" s="2" t="s">
        <v>14119</v>
      </c>
      <c r="E5677" s="2" t="s">
        <v>265</v>
      </c>
      <c r="F5677" s="4">
        <v>6021</v>
      </c>
      <c r="G5677" s="2" t="s">
        <v>37</v>
      </c>
      <c r="H5677" s="2" t="s">
        <v>34</v>
      </c>
      <c r="I5677" s="2" t="s">
        <v>17463</v>
      </c>
      <c r="J5677" s="2" t="s">
        <v>36</v>
      </c>
      <c r="K5677" s="2" t="s">
        <v>37</v>
      </c>
      <c r="L5677" s="2" t="s">
        <v>34</v>
      </c>
      <c r="M5677" s="7">
        <v>827.95399999999995</v>
      </c>
      <c r="N5677" s="7">
        <v>17.375</v>
      </c>
      <c r="O5677" s="6">
        <v>17.75</v>
      </c>
      <c r="P5677" s="2" t="s">
        <v>17464</v>
      </c>
      <c r="Q5677" s="6">
        <v>100</v>
      </c>
      <c r="R5677" s="6">
        <v>18.22</v>
      </c>
      <c r="S5677" s="5">
        <v>5.2</v>
      </c>
      <c r="T5677" s="5">
        <v>7.1</v>
      </c>
      <c r="U5677" s="5">
        <v>6.6</v>
      </c>
      <c r="V5677" s="6">
        <v>1.03</v>
      </c>
      <c r="W5677" s="4">
        <v>17</v>
      </c>
      <c r="X5677" s="5">
        <v>16.5</v>
      </c>
      <c r="Y5677" s="9">
        <v>17.0625</v>
      </c>
      <c r="Z5677" s="6">
        <v>17.25</v>
      </c>
      <c r="AA5677" s="6">
        <v>4.9400000000000004</v>
      </c>
      <c r="AB5677" s="7">
        <v>71.643000000000001</v>
      </c>
      <c r="AC5677" s="5">
        <v>551.5</v>
      </c>
    </row>
    <row r="5678" spans="1:29" ht="117" x14ac:dyDescent="0.15">
      <c r="A5678" s="3">
        <f>DATE(2000,8,21)</f>
        <v>36759</v>
      </c>
      <c r="B5678" s="3">
        <f>DATE(2000,11,30)</f>
        <v>36860</v>
      </c>
      <c r="C5678" s="2" t="s">
        <v>95</v>
      </c>
      <c r="D5678" s="2" t="s">
        <v>17465</v>
      </c>
      <c r="E5678" s="2" t="s">
        <v>17466</v>
      </c>
      <c r="F5678" s="4">
        <v>2086</v>
      </c>
      <c r="G5678" s="2" t="s">
        <v>577</v>
      </c>
      <c r="H5678" s="2" t="s">
        <v>34</v>
      </c>
      <c r="I5678" s="2" t="s">
        <v>17467</v>
      </c>
      <c r="J5678" s="2" t="s">
        <v>17468</v>
      </c>
      <c r="K5678" s="2" t="s">
        <v>577</v>
      </c>
      <c r="L5678" s="2" t="s">
        <v>34</v>
      </c>
      <c r="M5678" s="12">
        <v>1908.8520000000001</v>
      </c>
      <c r="N5678" s="7">
        <v>14.125</v>
      </c>
      <c r="O5678" s="6">
        <v>13.25</v>
      </c>
      <c r="P5678" s="2" t="s">
        <v>17469</v>
      </c>
      <c r="Q5678" s="6">
        <v>100</v>
      </c>
      <c r="R5678" s="6">
        <v>3.8</v>
      </c>
      <c r="S5678" s="5">
        <v>-6.9</v>
      </c>
      <c r="T5678" s="7">
        <v>80.921999999999997</v>
      </c>
      <c r="U5678" s="5">
        <v>1.2</v>
      </c>
      <c r="V5678" s="6">
        <v>0.1</v>
      </c>
      <c r="W5678" s="7">
        <v>4.9379999999999997</v>
      </c>
      <c r="X5678" s="6">
        <v>4.75</v>
      </c>
      <c r="Y5678" s="7">
        <v>3.9380000000000002</v>
      </c>
      <c r="Z5678" s="7">
        <v>3.8130000000000002</v>
      </c>
      <c r="AA5678" s="6">
        <v>87.31</v>
      </c>
      <c r="AB5678" s="7">
        <v>13.593</v>
      </c>
      <c r="AC5678" s="2"/>
    </row>
    <row r="5679" spans="1:29" ht="169" x14ac:dyDescent="0.15">
      <c r="A5679" s="3">
        <f>DATE(2000,8,22)</f>
        <v>36760</v>
      </c>
      <c r="B5679" s="3">
        <f>DATE(2000,12,20)</f>
        <v>36880</v>
      </c>
      <c r="C5679" s="2" t="s">
        <v>95</v>
      </c>
      <c r="D5679" s="2" t="s">
        <v>17470</v>
      </c>
      <c r="E5679" s="2" t="s">
        <v>17471</v>
      </c>
      <c r="F5679" s="4">
        <v>7389</v>
      </c>
      <c r="G5679" s="2" t="s">
        <v>223</v>
      </c>
      <c r="H5679" s="2" t="s">
        <v>34</v>
      </c>
      <c r="I5679" s="2" t="s">
        <v>17472</v>
      </c>
      <c r="J5679" s="2" t="s">
        <v>17473</v>
      </c>
      <c r="K5679" s="2" t="s">
        <v>223</v>
      </c>
      <c r="L5679" s="2" t="s">
        <v>34</v>
      </c>
      <c r="M5679" s="12">
        <v>2049.643</v>
      </c>
      <c r="N5679" s="7">
        <v>29.125</v>
      </c>
      <c r="O5679" s="7">
        <v>30.437999999999999</v>
      </c>
      <c r="P5679" s="2" t="s">
        <v>17474</v>
      </c>
      <c r="Q5679" s="6">
        <v>100</v>
      </c>
      <c r="R5679" s="6">
        <v>14.5</v>
      </c>
      <c r="S5679" s="5">
        <v>7.8</v>
      </c>
      <c r="T5679" s="5">
        <v>9.8000000000000007</v>
      </c>
      <c r="U5679" s="5">
        <v>4.7</v>
      </c>
      <c r="V5679" s="6">
        <v>0.72</v>
      </c>
      <c r="W5679" s="7">
        <v>13.375</v>
      </c>
      <c r="X5679" s="7">
        <v>13.875</v>
      </c>
      <c r="Y5679" s="4">
        <v>17</v>
      </c>
      <c r="Z5679" s="4">
        <v>17</v>
      </c>
      <c r="AA5679" s="6">
        <v>10.53</v>
      </c>
      <c r="AB5679" s="7">
        <v>24.635999999999999</v>
      </c>
      <c r="AC5679" s="5">
        <v>56.3</v>
      </c>
    </row>
    <row r="5680" spans="1:29" ht="130" x14ac:dyDescent="0.15">
      <c r="A5680" s="3">
        <f>DATE(2000,8,22)</f>
        <v>36760</v>
      </c>
      <c r="B5680" s="3">
        <f>DATE(2001,1,10)</f>
        <v>36901</v>
      </c>
      <c r="C5680" s="2" t="s">
        <v>95</v>
      </c>
      <c r="D5680" s="2" t="s">
        <v>8816</v>
      </c>
      <c r="E5680" s="2" t="s">
        <v>2898</v>
      </c>
      <c r="F5680" s="4">
        <v>6021</v>
      </c>
      <c r="G5680" s="2" t="s">
        <v>37</v>
      </c>
      <c r="H5680" s="2" t="s">
        <v>34</v>
      </c>
      <c r="I5680" s="2" t="s">
        <v>17475</v>
      </c>
      <c r="J5680" s="2" t="s">
        <v>263</v>
      </c>
      <c r="K5680" s="2" t="s">
        <v>37</v>
      </c>
      <c r="L5680" s="2" t="s">
        <v>34</v>
      </c>
      <c r="M5680" s="7">
        <v>357.94200000000001</v>
      </c>
      <c r="N5680" s="6">
        <v>22.25</v>
      </c>
      <c r="O5680" s="6">
        <v>22.25</v>
      </c>
      <c r="P5680" s="2" t="s">
        <v>17476</v>
      </c>
      <c r="Q5680" s="6">
        <v>100</v>
      </c>
      <c r="R5680" s="6">
        <v>15.04</v>
      </c>
      <c r="S5680" s="5">
        <v>12.5</v>
      </c>
      <c r="T5680" s="5">
        <v>21.9</v>
      </c>
      <c r="U5680" s="5">
        <v>7.1</v>
      </c>
      <c r="V5680" s="6">
        <v>1.1000000000000001</v>
      </c>
      <c r="W5680" s="7">
        <v>12.625</v>
      </c>
      <c r="X5680" s="7">
        <v>12.625</v>
      </c>
      <c r="Y5680" s="7">
        <v>13.625</v>
      </c>
      <c r="Z5680" s="7">
        <v>13.813000000000001</v>
      </c>
      <c r="AA5680" s="6">
        <v>11.51</v>
      </c>
      <c r="AB5680" s="7">
        <v>59.213000000000001</v>
      </c>
      <c r="AC5680" s="5">
        <v>142.5</v>
      </c>
    </row>
    <row r="5681" spans="1:29" ht="65" x14ac:dyDescent="0.15">
      <c r="A5681" s="3">
        <f>DATE(2000,8,22)</f>
        <v>36760</v>
      </c>
      <c r="B5681" s="2"/>
      <c r="C5681" s="2" t="s">
        <v>87</v>
      </c>
      <c r="D5681" s="2" t="s">
        <v>17477</v>
      </c>
      <c r="E5681" s="2" t="s">
        <v>17478</v>
      </c>
      <c r="F5681" s="4">
        <v>2131</v>
      </c>
      <c r="G5681" s="2" t="s">
        <v>5397</v>
      </c>
      <c r="H5681" s="2" t="s">
        <v>34</v>
      </c>
      <c r="I5681" s="2" t="s">
        <v>17115</v>
      </c>
      <c r="J5681" s="2" t="s">
        <v>17116</v>
      </c>
      <c r="K5681" s="2" t="s">
        <v>5397</v>
      </c>
      <c r="L5681" s="2" t="s">
        <v>34</v>
      </c>
      <c r="M5681" s="12">
        <v>2854.922</v>
      </c>
      <c r="N5681" s="7">
        <v>35.875</v>
      </c>
      <c r="O5681" s="7">
        <v>36.313000000000002</v>
      </c>
      <c r="P5681" s="2" t="s">
        <v>17479</v>
      </c>
      <c r="Q5681" s="2"/>
      <c r="R5681" s="2"/>
      <c r="S5681" s="5">
        <v>452</v>
      </c>
      <c r="T5681" s="5">
        <v>798.3</v>
      </c>
      <c r="U5681" s="5">
        <v>1.1000000000000001</v>
      </c>
      <c r="V5681" s="6">
        <v>2.7</v>
      </c>
      <c r="W5681" s="7">
        <v>18.062999999999999</v>
      </c>
      <c r="X5681" s="6">
        <v>19.75</v>
      </c>
      <c r="Y5681" s="7">
        <v>20.375</v>
      </c>
      <c r="Z5681" s="7">
        <v>20.375</v>
      </c>
      <c r="AA5681" s="6">
        <v>162.36000000000001</v>
      </c>
      <c r="AB5681" s="2" t="s">
        <v>47</v>
      </c>
      <c r="AC5681" s="8">
        <v>1390</v>
      </c>
    </row>
    <row r="5682" spans="1:29" ht="130" x14ac:dyDescent="0.15">
      <c r="A5682" s="3">
        <f>DATE(2000,8,22)</f>
        <v>36760</v>
      </c>
      <c r="B5682" s="3">
        <f>DATE(2000,11,14)</f>
        <v>36844</v>
      </c>
      <c r="C5682" s="2" t="s">
        <v>95</v>
      </c>
      <c r="D5682" s="2" t="s">
        <v>17480</v>
      </c>
      <c r="E5682" s="2" t="s">
        <v>92</v>
      </c>
      <c r="F5682" s="4">
        <v>6798</v>
      </c>
      <c r="G5682" s="2" t="s">
        <v>53</v>
      </c>
      <c r="H5682" s="2" t="s">
        <v>34</v>
      </c>
      <c r="I5682" s="2" t="s">
        <v>17481</v>
      </c>
      <c r="J5682" s="2" t="s">
        <v>92</v>
      </c>
      <c r="K5682" s="2" t="s">
        <v>53</v>
      </c>
      <c r="L5682" s="2" t="s">
        <v>34</v>
      </c>
      <c r="M5682" s="7">
        <v>439.67200000000003</v>
      </c>
      <c r="N5682" s="7">
        <v>20.312999999999999</v>
      </c>
      <c r="O5682" s="7">
        <v>20.437999999999999</v>
      </c>
      <c r="P5682" s="2" t="s">
        <v>17482</v>
      </c>
      <c r="Q5682" s="6">
        <v>100</v>
      </c>
      <c r="R5682" s="6">
        <v>12.75</v>
      </c>
      <c r="S5682" s="5">
        <v>21</v>
      </c>
      <c r="T5682" s="5">
        <v>48.4</v>
      </c>
      <c r="U5682" s="5">
        <v>10.5</v>
      </c>
      <c r="V5682" s="6">
        <v>1.2</v>
      </c>
      <c r="W5682" s="6">
        <v>11.75</v>
      </c>
      <c r="X5682" s="5">
        <v>12.5</v>
      </c>
      <c r="Y5682" s="6">
        <v>12.25</v>
      </c>
      <c r="Z5682" s="7">
        <v>11.875</v>
      </c>
      <c r="AA5682" s="6">
        <v>17.25</v>
      </c>
      <c r="AB5682" s="7">
        <v>11.555999999999999</v>
      </c>
      <c r="AC5682" s="2"/>
    </row>
    <row r="5683" spans="1:29" ht="91" x14ac:dyDescent="0.15">
      <c r="A5683" s="3">
        <f>DATE(2000,8,23)</f>
        <v>36761</v>
      </c>
      <c r="B5683" s="3">
        <f>DATE(2000,12,28)</f>
        <v>36888</v>
      </c>
      <c r="C5683" s="2" t="s">
        <v>95</v>
      </c>
      <c r="D5683" s="2" t="s">
        <v>17483</v>
      </c>
      <c r="E5683" s="2" t="s">
        <v>17484</v>
      </c>
      <c r="F5683" s="4">
        <v>6021</v>
      </c>
      <c r="G5683" s="2" t="s">
        <v>37</v>
      </c>
      <c r="H5683" s="2" t="s">
        <v>34</v>
      </c>
      <c r="I5683" s="2" t="s">
        <v>13707</v>
      </c>
      <c r="J5683" s="2" t="s">
        <v>36</v>
      </c>
      <c r="K5683" s="2" t="s">
        <v>37</v>
      </c>
      <c r="L5683" s="2" t="s">
        <v>34</v>
      </c>
      <c r="M5683" s="12">
        <v>9997.3369999999995</v>
      </c>
      <c r="N5683" s="7">
        <v>26.375</v>
      </c>
      <c r="O5683" s="7">
        <v>26.187999999999999</v>
      </c>
      <c r="P5683" s="2" t="s">
        <v>17485</v>
      </c>
      <c r="Q5683" s="6">
        <v>100</v>
      </c>
      <c r="R5683" s="6">
        <v>12.21</v>
      </c>
      <c r="S5683" s="5">
        <v>9.1</v>
      </c>
      <c r="T5683" s="5">
        <v>17.399999999999999</v>
      </c>
      <c r="U5683" s="5">
        <v>7.9</v>
      </c>
      <c r="V5683" s="6">
        <v>0.77</v>
      </c>
      <c r="W5683" s="7">
        <v>9.875</v>
      </c>
      <c r="X5683" s="7">
        <v>11.125</v>
      </c>
      <c r="Y5683" s="5">
        <v>11.5</v>
      </c>
      <c r="Z5683" s="5">
        <v>11.5</v>
      </c>
      <c r="AA5683" s="6">
        <v>11.05</v>
      </c>
      <c r="AB5683" s="7">
        <v>64.072000000000003</v>
      </c>
      <c r="AC5683" s="8">
        <v>1627.1</v>
      </c>
    </row>
    <row r="5684" spans="1:29" ht="65" x14ac:dyDescent="0.15">
      <c r="A5684" s="3">
        <f>DATE(2000,8,23)</f>
        <v>36761</v>
      </c>
      <c r="B5684" s="2"/>
      <c r="C5684" s="2" t="s">
        <v>87</v>
      </c>
      <c r="D5684" s="2" t="s">
        <v>17486</v>
      </c>
      <c r="E5684" s="2" t="s">
        <v>17487</v>
      </c>
      <c r="F5684" s="4">
        <v>3633</v>
      </c>
      <c r="G5684" s="2" t="s">
        <v>137</v>
      </c>
      <c r="H5684" s="2" t="s">
        <v>34</v>
      </c>
      <c r="I5684" s="2" t="s">
        <v>17488</v>
      </c>
      <c r="J5684" s="2" t="s">
        <v>10816</v>
      </c>
      <c r="K5684" s="2" t="s">
        <v>137</v>
      </c>
      <c r="L5684" s="2" t="s">
        <v>435</v>
      </c>
      <c r="M5684" s="2"/>
      <c r="N5684" s="2"/>
      <c r="O5684" s="2"/>
      <c r="P5684" s="2" t="s">
        <v>17489</v>
      </c>
      <c r="Q5684" s="2"/>
      <c r="R5684" s="2"/>
      <c r="S5684" s="5">
        <v>304.89999999999998</v>
      </c>
      <c r="T5684" s="5">
        <v>705.1</v>
      </c>
      <c r="U5684" s="5">
        <v>3.6</v>
      </c>
      <c r="V5684" s="6">
        <v>3.55</v>
      </c>
      <c r="W5684" s="7">
        <v>36.688000000000002</v>
      </c>
      <c r="X5684" s="4">
        <v>38</v>
      </c>
      <c r="Y5684" s="9">
        <v>37.3125</v>
      </c>
      <c r="Z5684" s="4">
        <v>42</v>
      </c>
      <c r="AA5684" s="6">
        <v>77.55</v>
      </c>
      <c r="AB5684" s="2" t="s">
        <v>47</v>
      </c>
      <c r="AC5684" s="6">
        <v>987.76</v>
      </c>
    </row>
    <row r="5685" spans="1:29" ht="104" x14ac:dyDescent="0.15">
      <c r="A5685" s="3">
        <f>DATE(2000,8,23)</f>
        <v>36761</v>
      </c>
      <c r="B5685" s="3">
        <f>DATE(2000,10,31)</f>
        <v>36830</v>
      </c>
      <c r="C5685" s="2" t="s">
        <v>95</v>
      </c>
      <c r="D5685" s="2" t="s">
        <v>15344</v>
      </c>
      <c r="E5685" s="2" t="s">
        <v>15345</v>
      </c>
      <c r="F5685" s="4">
        <v>3448</v>
      </c>
      <c r="G5685" s="2" t="s">
        <v>163</v>
      </c>
      <c r="H5685" s="2" t="s">
        <v>34</v>
      </c>
      <c r="I5685" s="2" t="s">
        <v>16517</v>
      </c>
      <c r="J5685" s="2" t="s">
        <v>16518</v>
      </c>
      <c r="K5685" s="2" t="s">
        <v>341</v>
      </c>
      <c r="L5685" s="2" t="s">
        <v>34</v>
      </c>
      <c r="M5685" s="7">
        <v>164.60900000000001</v>
      </c>
      <c r="N5685" s="7">
        <v>10.625</v>
      </c>
      <c r="O5685" s="6">
        <v>11.25</v>
      </c>
      <c r="P5685" s="2" t="s">
        <v>17490</v>
      </c>
      <c r="Q5685" s="6">
        <v>100</v>
      </c>
      <c r="R5685" s="6">
        <v>8.4</v>
      </c>
      <c r="S5685" s="5">
        <v>3.7</v>
      </c>
      <c r="T5685" s="5">
        <v>6.3</v>
      </c>
      <c r="U5685" s="5">
        <v>6.4</v>
      </c>
      <c r="V5685" s="6">
        <v>1.0900000000000001</v>
      </c>
      <c r="W5685" s="7">
        <v>7.5629999999999997</v>
      </c>
      <c r="X5685" s="7">
        <v>7.5940000000000003</v>
      </c>
      <c r="Y5685" s="6">
        <v>8.25</v>
      </c>
      <c r="Z5685" s="7">
        <v>8.2810000000000006</v>
      </c>
      <c r="AA5685" s="6">
        <v>3.1</v>
      </c>
      <c r="AB5685" s="7">
        <v>6.1660000000000004</v>
      </c>
      <c r="AC5685" s="5">
        <v>13.9</v>
      </c>
    </row>
    <row r="5686" spans="1:29" ht="117" x14ac:dyDescent="0.15">
      <c r="A5686" s="3">
        <f>DATE(2000,8,23)</f>
        <v>36761</v>
      </c>
      <c r="B5686" s="2"/>
      <c r="C5686" s="2" t="s">
        <v>30</v>
      </c>
      <c r="D5686" s="2" t="s">
        <v>17491</v>
      </c>
      <c r="E5686" s="2" t="s">
        <v>4248</v>
      </c>
      <c r="F5686" s="4">
        <v>8099</v>
      </c>
      <c r="G5686" s="2" t="s">
        <v>454</v>
      </c>
      <c r="H5686" s="2" t="s">
        <v>34</v>
      </c>
      <c r="I5686" s="2" t="s">
        <v>17492</v>
      </c>
      <c r="J5686" s="2" t="s">
        <v>4655</v>
      </c>
      <c r="K5686" s="2" t="s">
        <v>53</v>
      </c>
      <c r="L5686" s="2" t="s">
        <v>34</v>
      </c>
      <c r="M5686" s="2"/>
      <c r="N5686" s="2"/>
      <c r="O5686" s="2"/>
      <c r="P5686" s="2" t="s">
        <v>17493</v>
      </c>
      <c r="Q5686" s="2"/>
      <c r="R5686" s="6">
        <v>7.25</v>
      </c>
      <c r="S5686" s="5">
        <v>16.3</v>
      </c>
      <c r="T5686" s="7">
        <v>61.670999999999999</v>
      </c>
      <c r="U5686" s="5">
        <v>1.6</v>
      </c>
      <c r="V5686" s="6">
        <v>0.8</v>
      </c>
      <c r="W5686" s="7">
        <v>3.6880000000000002</v>
      </c>
      <c r="X5686" s="4">
        <v>4</v>
      </c>
      <c r="Y5686" s="4">
        <v>6</v>
      </c>
      <c r="Z5686" s="6">
        <v>6.25</v>
      </c>
      <c r="AA5686" s="6">
        <v>19.510000000000002</v>
      </c>
      <c r="AB5686" s="7">
        <v>8.2170000000000005</v>
      </c>
      <c r="AC5686" s="2"/>
    </row>
    <row r="5687" spans="1:29" ht="117" x14ac:dyDescent="0.15">
      <c r="A5687" s="3">
        <f>DATE(2000,8,24)</f>
        <v>36762</v>
      </c>
      <c r="B5687" s="3">
        <f>DATE(2000,12,22)</f>
        <v>36882</v>
      </c>
      <c r="C5687" s="2" t="s">
        <v>95</v>
      </c>
      <c r="D5687" s="2" t="s">
        <v>11039</v>
      </c>
      <c r="E5687" s="2" t="s">
        <v>11040</v>
      </c>
      <c r="F5687" s="4">
        <v>1731</v>
      </c>
      <c r="G5687" s="2" t="s">
        <v>341</v>
      </c>
      <c r="H5687" s="2" t="s">
        <v>34</v>
      </c>
      <c r="I5687" s="2" t="s">
        <v>17494</v>
      </c>
      <c r="J5687" s="2" t="s">
        <v>17495</v>
      </c>
      <c r="K5687" s="2" t="s">
        <v>341</v>
      </c>
      <c r="L5687" s="2" t="s">
        <v>902</v>
      </c>
      <c r="M5687" s="2"/>
      <c r="N5687" s="2"/>
      <c r="O5687" s="2"/>
      <c r="P5687" s="2" t="s">
        <v>17496</v>
      </c>
      <c r="Q5687" s="6">
        <v>100</v>
      </c>
      <c r="R5687" s="2"/>
      <c r="S5687" s="5">
        <v>-72.099999999999994</v>
      </c>
      <c r="T5687" s="5">
        <v>-37.700000000000003</v>
      </c>
      <c r="U5687" s="5">
        <v>-1.2</v>
      </c>
      <c r="V5687" s="6">
        <v>-6.73</v>
      </c>
      <c r="W5687" s="5">
        <v>2.5</v>
      </c>
      <c r="X5687" s="7">
        <v>3.375</v>
      </c>
      <c r="Y5687" s="7">
        <v>2.875</v>
      </c>
      <c r="Z5687" s="4">
        <v>3</v>
      </c>
      <c r="AA5687" s="6">
        <v>16.309999999999999</v>
      </c>
      <c r="AB5687" s="2" t="s">
        <v>86</v>
      </c>
      <c r="AC5687" s="6">
        <v>6.79</v>
      </c>
    </row>
    <row r="5688" spans="1:29" ht="78" x14ac:dyDescent="0.15">
      <c r="A5688" s="3">
        <f>DATE(2000,8,24)</f>
        <v>36762</v>
      </c>
      <c r="B5688" s="3">
        <f>DATE(2001,1,31)</f>
        <v>36922</v>
      </c>
      <c r="C5688" s="2" t="s">
        <v>95</v>
      </c>
      <c r="D5688" s="2" t="s">
        <v>9891</v>
      </c>
      <c r="E5688" s="2" t="s">
        <v>367</v>
      </c>
      <c r="F5688" s="4">
        <v>6211</v>
      </c>
      <c r="G5688" s="2" t="s">
        <v>53</v>
      </c>
      <c r="H5688" s="2" t="s">
        <v>34</v>
      </c>
      <c r="I5688" s="2" t="s">
        <v>17497</v>
      </c>
      <c r="J5688" s="2" t="s">
        <v>7488</v>
      </c>
      <c r="K5688" s="2" t="s">
        <v>125</v>
      </c>
      <c r="L5688" s="2" t="s">
        <v>34</v>
      </c>
      <c r="M5688" s="10">
        <v>1603.62</v>
      </c>
      <c r="N5688" s="7">
        <v>33.438000000000002</v>
      </c>
      <c r="O5688" s="6">
        <v>33.75</v>
      </c>
      <c r="P5688" s="2" t="s">
        <v>17498</v>
      </c>
      <c r="Q5688" s="6">
        <v>100</v>
      </c>
      <c r="R5688" s="6">
        <v>31</v>
      </c>
      <c r="S5688" s="5">
        <v>18.8</v>
      </c>
      <c r="T5688" s="5">
        <v>97.2</v>
      </c>
      <c r="U5688" s="5">
        <v>16.600000000000001</v>
      </c>
      <c r="V5688" s="6">
        <v>2.0699999999999998</v>
      </c>
      <c r="W5688" s="6">
        <v>28.75</v>
      </c>
      <c r="X5688" s="7">
        <v>31.937999999999999</v>
      </c>
      <c r="Y5688" s="6">
        <v>29.75</v>
      </c>
      <c r="Z5688" s="6">
        <v>29.75</v>
      </c>
      <c r="AA5688" s="6">
        <v>8.9</v>
      </c>
      <c r="AB5688" s="7">
        <v>10.154</v>
      </c>
      <c r="AC5688" s="5">
        <v>181.8</v>
      </c>
    </row>
    <row r="5689" spans="1:29" ht="91" x14ac:dyDescent="0.15">
      <c r="A5689" s="3">
        <f>DATE(2000,8,24)</f>
        <v>36762</v>
      </c>
      <c r="B5689" s="3">
        <f>DATE(2000,10,25)</f>
        <v>36824</v>
      </c>
      <c r="C5689" s="2" t="s">
        <v>95</v>
      </c>
      <c r="D5689" s="2" t="s">
        <v>17499</v>
      </c>
      <c r="E5689" s="2" t="s">
        <v>17500</v>
      </c>
      <c r="F5689" s="4">
        <v>3674</v>
      </c>
      <c r="G5689" s="2" t="s">
        <v>137</v>
      </c>
      <c r="H5689" s="2" t="s">
        <v>34</v>
      </c>
      <c r="I5689" s="2" t="s">
        <v>17501</v>
      </c>
      <c r="J5689" s="2" t="s">
        <v>4865</v>
      </c>
      <c r="K5689" s="2" t="s">
        <v>137</v>
      </c>
      <c r="L5689" s="2" t="s">
        <v>34</v>
      </c>
      <c r="M5689" s="7">
        <v>620.03700000000003</v>
      </c>
      <c r="N5689" s="7">
        <v>62.875</v>
      </c>
      <c r="O5689" s="7">
        <v>62.125</v>
      </c>
      <c r="P5689" s="2" t="s">
        <v>17502</v>
      </c>
      <c r="Q5689" s="6">
        <v>100</v>
      </c>
      <c r="R5689" s="6">
        <v>10.46</v>
      </c>
      <c r="S5689" s="5">
        <v>-1.1000000000000001</v>
      </c>
      <c r="T5689" s="5">
        <v>-1</v>
      </c>
      <c r="U5689" s="5">
        <v>-11.7</v>
      </c>
      <c r="V5689" s="6">
        <v>-4.5</v>
      </c>
      <c r="W5689" s="7">
        <v>5.875</v>
      </c>
      <c r="X5689" s="5">
        <v>6.5</v>
      </c>
      <c r="Y5689" s="9">
        <v>9.9375</v>
      </c>
      <c r="Z5689" s="9">
        <v>9.9375</v>
      </c>
      <c r="AA5689" s="6">
        <v>15.09</v>
      </c>
      <c r="AB5689" s="2" t="s">
        <v>86</v>
      </c>
      <c r="AC5689" s="5">
        <v>15.4</v>
      </c>
    </row>
    <row r="5690" spans="1:29" ht="78" x14ac:dyDescent="0.15">
      <c r="A5690" s="3">
        <f>DATE(2000,8,25)</f>
        <v>36763</v>
      </c>
      <c r="B5690" s="3">
        <f>DATE(2000,10,17)</f>
        <v>36816</v>
      </c>
      <c r="C5690" s="2" t="s">
        <v>95</v>
      </c>
      <c r="D5690" s="2" t="s">
        <v>17503</v>
      </c>
      <c r="E5690" s="2" t="s">
        <v>17504</v>
      </c>
      <c r="F5690" s="4">
        <v>4724</v>
      </c>
      <c r="G5690" s="2" t="s">
        <v>173</v>
      </c>
      <c r="H5690" s="2" t="s">
        <v>34</v>
      </c>
      <c r="I5690" s="2" t="s">
        <v>17505</v>
      </c>
      <c r="J5690" s="2" t="s">
        <v>17506</v>
      </c>
      <c r="K5690" s="2" t="s">
        <v>551</v>
      </c>
      <c r="L5690" s="2" t="s">
        <v>34</v>
      </c>
      <c r="M5690" s="12">
        <v>3041.6770000000001</v>
      </c>
      <c r="N5690" s="6">
        <v>29.75</v>
      </c>
      <c r="O5690" s="7">
        <v>28.812999999999999</v>
      </c>
      <c r="P5690" s="2" t="s">
        <v>17507</v>
      </c>
      <c r="Q5690" s="6">
        <v>100</v>
      </c>
      <c r="R5690" s="6">
        <v>17.75</v>
      </c>
      <c r="S5690" s="5">
        <v>-50.8</v>
      </c>
      <c r="T5690" s="5">
        <v>-20.5</v>
      </c>
      <c r="U5690" s="5">
        <v>4.5</v>
      </c>
      <c r="V5690" s="6">
        <v>-1.27</v>
      </c>
      <c r="W5690" s="4">
        <v>9</v>
      </c>
      <c r="X5690" s="7">
        <v>10.688000000000001</v>
      </c>
      <c r="Y5690" s="7">
        <v>12.125</v>
      </c>
      <c r="Z5690" s="7">
        <v>17.187999999999999</v>
      </c>
      <c r="AA5690" s="6">
        <v>38.630000000000003</v>
      </c>
      <c r="AB5690" s="2" t="s">
        <v>86</v>
      </c>
      <c r="AC5690" s="5">
        <v>18</v>
      </c>
    </row>
    <row r="5691" spans="1:29" ht="130" x14ac:dyDescent="0.15">
      <c r="A5691" s="3">
        <f>DATE(2000,8,25)</f>
        <v>36763</v>
      </c>
      <c r="B5691" s="2"/>
      <c r="C5691" s="2" t="s">
        <v>30</v>
      </c>
      <c r="D5691" s="2" t="s">
        <v>17508</v>
      </c>
      <c r="E5691" s="2" t="s">
        <v>17509</v>
      </c>
      <c r="F5691" s="4">
        <v>7375</v>
      </c>
      <c r="G5691" s="2" t="s">
        <v>223</v>
      </c>
      <c r="H5691" s="2" t="s">
        <v>34</v>
      </c>
      <c r="I5691" s="2" t="s">
        <v>17510</v>
      </c>
      <c r="J5691" s="2" t="s">
        <v>17511</v>
      </c>
      <c r="K5691" s="2" t="s">
        <v>223</v>
      </c>
      <c r="L5691" s="2" t="s">
        <v>34</v>
      </c>
      <c r="M5691" s="7">
        <v>65.558999999999997</v>
      </c>
      <c r="N5691" s="4">
        <v>8</v>
      </c>
      <c r="O5691" s="6">
        <v>7.75</v>
      </c>
      <c r="P5691" s="2" t="s">
        <v>17512</v>
      </c>
      <c r="Q5691" s="2"/>
      <c r="R5691" s="6">
        <v>14</v>
      </c>
      <c r="S5691" s="5">
        <v>-3.7</v>
      </c>
      <c r="T5691" s="5">
        <v>-2</v>
      </c>
      <c r="U5691" s="5">
        <v>3.8</v>
      </c>
      <c r="V5691" s="6">
        <v>-0.38</v>
      </c>
      <c r="W5691" s="4">
        <v>9</v>
      </c>
      <c r="X5691" s="7">
        <v>8.0310000000000006</v>
      </c>
      <c r="Y5691" s="7">
        <v>9.625</v>
      </c>
      <c r="Z5691" s="9">
        <v>9.3125</v>
      </c>
      <c r="AA5691" s="6">
        <v>9.86</v>
      </c>
      <c r="AB5691" s="2" t="s">
        <v>86</v>
      </c>
      <c r="AC5691" s="5">
        <v>0.9</v>
      </c>
    </row>
    <row r="5692" spans="1:29" ht="104" x14ac:dyDescent="0.15">
      <c r="A5692" s="3">
        <f>DATE(2000,8,27)</f>
        <v>36765</v>
      </c>
      <c r="B5692" s="3">
        <f>DATE(2000,10,25)</f>
        <v>36824</v>
      </c>
      <c r="C5692" s="2" t="s">
        <v>95</v>
      </c>
      <c r="D5692" s="2" t="s">
        <v>17513</v>
      </c>
      <c r="E5692" s="2" t="s">
        <v>17514</v>
      </c>
      <c r="F5692" s="4">
        <v>3674</v>
      </c>
      <c r="G5692" s="2" t="s">
        <v>137</v>
      </c>
      <c r="H5692" s="2" t="s">
        <v>34</v>
      </c>
      <c r="I5692" s="2" t="s">
        <v>17515</v>
      </c>
      <c r="J5692" s="2" t="s">
        <v>1046</v>
      </c>
      <c r="K5692" s="2" t="s">
        <v>137</v>
      </c>
      <c r="L5692" s="2" t="s">
        <v>34</v>
      </c>
      <c r="M5692" s="12">
        <v>16758.141</v>
      </c>
      <c r="N5692" s="7">
        <v>183.81299999999999</v>
      </c>
      <c r="O5692" s="7">
        <v>183.81299999999999</v>
      </c>
      <c r="P5692" s="2" t="s">
        <v>17516</v>
      </c>
      <c r="Q5692" s="6">
        <v>100</v>
      </c>
      <c r="R5692" s="6">
        <v>116.72</v>
      </c>
      <c r="S5692" s="5">
        <v>5</v>
      </c>
      <c r="T5692" s="5">
        <v>7.6</v>
      </c>
      <c r="U5692" s="5">
        <v>2.9</v>
      </c>
      <c r="V5692" s="6">
        <v>0.15</v>
      </c>
      <c r="W5692" s="6">
        <v>76.25</v>
      </c>
      <c r="X5692" s="6">
        <v>78.25</v>
      </c>
      <c r="Y5692" s="4">
        <v>110</v>
      </c>
      <c r="Z5692" s="4">
        <v>110</v>
      </c>
      <c r="AA5692" s="6">
        <v>32.85</v>
      </c>
      <c r="AB5692" s="7">
        <v>1340.662</v>
      </c>
      <c r="AC5692" s="5">
        <v>189.8</v>
      </c>
    </row>
    <row r="5693" spans="1:29" ht="221" x14ac:dyDescent="0.15">
      <c r="A5693" s="3">
        <f>DATE(2000,8,27)</f>
        <v>36765</v>
      </c>
      <c r="B5693" s="3">
        <f>DATE(2001,5,31)</f>
        <v>37042</v>
      </c>
      <c r="C5693" s="2" t="s">
        <v>95</v>
      </c>
      <c r="D5693" s="2" t="s">
        <v>17517</v>
      </c>
      <c r="E5693" s="2" t="s">
        <v>7568</v>
      </c>
      <c r="F5693" s="4">
        <v>4812</v>
      </c>
      <c r="G5693" s="2" t="s">
        <v>63</v>
      </c>
      <c r="H5693" s="2" t="s">
        <v>34</v>
      </c>
      <c r="I5693" s="2" t="s">
        <v>14734</v>
      </c>
      <c r="J5693" s="2" t="s">
        <v>14733</v>
      </c>
      <c r="K5693" s="2" t="s">
        <v>63</v>
      </c>
      <c r="L5693" s="2" t="s">
        <v>34</v>
      </c>
      <c r="M5693" s="12">
        <v>26907.662</v>
      </c>
      <c r="N5693" s="7">
        <v>117.063</v>
      </c>
      <c r="O5693" s="7">
        <v>117.063</v>
      </c>
      <c r="P5693" s="2" t="s">
        <v>17518</v>
      </c>
      <c r="Q5693" s="6">
        <v>100</v>
      </c>
      <c r="R5693" s="6">
        <v>106.01</v>
      </c>
      <c r="S5693" s="5">
        <v>-211.4</v>
      </c>
      <c r="T5693" s="7">
        <v>19.994</v>
      </c>
      <c r="U5693" s="5">
        <v>-5.8</v>
      </c>
      <c r="V5693" s="6">
        <v>-7.11</v>
      </c>
      <c r="W5693" s="7">
        <v>83.063000000000002</v>
      </c>
      <c r="X5693" s="7">
        <v>86.625</v>
      </c>
      <c r="Y5693" s="7">
        <v>81.063000000000002</v>
      </c>
      <c r="Z5693" s="7">
        <v>81.063000000000002</v>
      </c>
      <c r="AA5693" s="6">
        <v>31.38</v>
      </c>
      <c r="AB5693" s="2" t="s">
        <v>86</v>
      </c>
      <c r="AC5693" s="8">
        <v>1077.2</v>
      </c>
    </row>
    <row r="5694" spans="1:29" ht="143" x14ac:dyDescent="0.15">
      <c r="A5694" s="3">
        <f t="shared" ref="A5694:A5699" si="138">DATE(2000,8,28)</f>
        <v>36766</v>
      </c>
      <c r="B5694" s="3">
        <f>DATE(2000,10,3)</f>
        <v>36802</v>
      </c>
      <c r="C5694" s="2" t="s">
        <v>95</v>
      </c>
      <c r="D5694" s="2" t="s">
        <v>17519</v>
      </c>
      <c r="E5694" s="2" t="s">
        <v>17520</v>
      </c>
      <c r="F5694" s="4">
        <v>2084</v>
      </c>
      <c r="G5694" s="2" t="s">
        <v>577</v>
      </c>
      <c r="H5694" s="2" t="s">
        <v>34</v>
      </c>
      <c r="I5694" s="2" t="s">
        <v>17521</v>
      </c>
      <c r="J5694" s="2" t="s">
        <v>12820</v>
      </c>
      <c r="K5694" s="2" t="s">
        <v>577</v>
      </c>
      <c r="L5694" s="2" t="s">
        <v>885</v>
      </c>
      <c r="M5694" s="2"/>
      <c r="N5694" s="2"/>
      <c r="O5694" s="2"/>
      <c r="P5694" s="2" t="s">
        <v>17522</v>
      </c>
      <c r="Q5694" s="6">
        <v>100</v>
      </c>
      <c r="R5694" s="6">
        <v>55.75</v>
      </c>
      <c r="S5694" s="5">
        <v>59.1</v>
      </c>
      <c r="T5694" s="5">
        <v>107.1</v>
      </c>
      <c r="U5694" s="5">
        <v>14.2</v>
      </c>
      <c r="V5694" s="6">
        <v>2.91</v>
      </c>
      <c r="W5694" s="7">
        <v>40.375</v>
      </c>
      <c r="X5694" s="5">
        <v>43.5</v>
      </c>
      <c r="Y5694" s="7">
        <v>45.063000000000002</v>
      </c>
      <c r="Z5694" s="7">
        <v>55.313000000000002</v>
      </c>
      <c r="AA5694" s="6">
        <v>18.39</v>
      </c>
      <c r="AB5694" s="7">
        <v>16.533000000000001</v>
      </c>
      <c r="AC5694" s="6">
        <v>306.07</v>
      </c>
    </row>
    <row r="5695" spans="1:29" ht="143" x14ac:dyDescent="0.15">
      <c r="A5695" s="3">
        <f t="shared" si="138"/>
        <v>36766</v>
      </c>
      <c r="B5695" s="3">
        <f>DATE(2001,2,28)</f>
        <v>36950</v>
      </c>
      <c r="C5695" s="2" t="s">
        <v>95</v>
      </c>
      <c r="D5695" s="2" t="s">
        <v>17523</v>
      </c>
      <c r="E5695" s="2" t="s">
        <v>8172</v>
      </c>
      <c r="F5695" s="4">
        <v>6035</v>
      </c>
      <c r="G5695" s="2" t="s">
        <v>33</v>
      </c>
      <c r="H5695" s="2" t="s">
        <v>34</v>
      </c>
      <c r="I5695" s="2" t="s">
        <v>17524</v>
      </c>
      <c r="J5695" s="2" t="s">
        <v>1304</v>
      </c>
      <c r="K5695" s="2" t="s">
        <v>37</v>
      </c>
      <c r="L5695" s="2" t="s">
        <v>34</v>
      </c>
      <c r="M5695" s="7">
        <v>23.552</v>
      </c>
      <c r="N5695" s="6">
        <v>8.75</v>
      </c>
      <c r="O5695" s="7">
        <v>9.2029999999999994</v>
      </c>
      <c r="P5695" s="2" t="s">
        <v>17525</v>
      </c>
      <c r="Q5695" s="6">
        <v>100</v>
      </c>
      <c r="R5695" s="6">
        <v>13.01</v>
      </c>
      <c r="S5695" s="5">
        <v>1.5</v>
      </c>
      <c r="T5695" s="2"/>
      <c r="U5695" s="5">
        <v>16.2</v>
      </c>
      <c r="V5695" s="6">
        <v>1.07</v>
      </c>
      <c r="W5695" s="7">
        <v>13.031000000000001</v>
      </c>
      <c r="X5695" s="4">
        <v>13</v>
      </c>
      <c r="Y5695" s="4">
        <v>12</v>
      </c>
      <c r="Z5695" s="7">
        <v>11.875</v>
      </c>
      <c r="AA5695" s="6">
        <v>1.58</v>
      </c>
      <c r="AB5695" s="7">
        <v>53.744999999999997</v>
      </c>
      <c r="AC5695" s="2"/>
    </row>
    <row r="5696" spans="1:29" ht="169" x14ac:dyDescent="0.15">
      <c r="A5696" s="3">
        <f t="shared" si="138"/>
        <v>36766</v>
      </c>
      <c r="B5696" s="3">
        <f>DATE(2000,10,4)</f>
        <v>36803</v>
      </c>
      <c r="C5696" s="2" t="s">
        <v>95</v>
      </c>
      <c r="D5696" s="2" t="s">
        <v>17526</v>
      </c>
      <c r="E5696" s="2" t="s">
        <v>17527</v>
      </c>
      <c r="F5696" s="4">
        <v>5194</v>
      </c>
      <c r="G5696" s="2" t="s">
        <v>593</v>
      </c>
      <c r="H5696" s="2" t="s">
        <v>34</v>
      </c>
      <c r="I5696" s="2" t="s">
        <v>51</v>
      </c>
      <c r="J5696" s="2" t="s">
        <v>52</v>
      </c>
      <c r="K5696" s="2" t="s">
        <v>53</v>
      </c>
      <c r="L5696" s="2" t="s">
        <v>34</v>
      </c>
      <c r="M5696" s="2"/>
      <c r="N5696" s="2"/>
      <c r="O5696" s="2"/>
      <c r="P5696" s="2" t="s">
        <v>17528</v>
      </c>
      <c r="Q5696" s="6">
        <v>21.6</v>
      </c>
      <c r="R5696" s="6">
        <v>13</v>
      </c>
      <c r="S5696" s="5">
        <v>11.9</v>
      </c>
      <c r="T5696" s="5">
        <v>21.7</v>
      </c>
      <c r="U5696" s="5">
        <v>6.6</v>
      </c>
      <c r="V5696" s="6">
        <v>0.96</v>
      </c>
      <c r="W5696" s="7">
        <v>10.938000000000001</v>
      </c>
      <c r="X5696" s="6">
        <v>10.75</v>
      </c>
      <c r="Y5696" s="7">
        <v>12.875</v>
      </c>
      <c r="Z5696" s="7">
        <v>12.875</v>
      </c>
      <c r="AA5696" s="6">
        <v>11.86</v>
      </c>
      <c r="AB5696" s="7">
        <v>7.7720000000000002</v>
      </c>
      <c r="AC5696" s="2"/>
    </row>
    <row r="5697" spans="1:29" ht="143" x14ac:dyDescent="0.15">
      <c r="A5697" s="3">
        <f t="shared" si="138"/>
        <v>36766</v>
      </c>
      <c r="B5697" s="3">
        <f>DATE(2000,12,31)</f>
        <v>36891</v>
      </c>
      <c r="C5697" s="2" t="s">
        <v>95</v>
      </c>
      <c r="D5697" s="2" t="s">
        <v>17529</v>
      </c>
      <c r="E5697" s="2" t="s">
        <v>17530</v>
      </c>
      <c r="F5697" s="4">
        <v>2084</v>
      </c>
      <c r="G5697" s="2" t="s">
        <v>577</v>
      </c>
      <c r="H5697" s="2" t="s">
        <v>34</v>
      </c>
      <c r="I5697" s="2" t="s">
        <v>17531</v>
      </c>
      <c r="J5697" s="2" t="s">
        <v>17532</v>
      </c>
      <c r="K5697" s="2" t="s">
        <v>577</v>
      </c>
      <c r="L5697" s="2" t="s">
        <v>902</v>
      </c>
      <c r="M5697" s="2"/>
      <c r="N5697" s="2"/>
      <c r="O5697" s="2"/>
      <c r="P5697" s="2" t="s">
        <v>17533</v>
      </c>
      <c r="Q5697" s="6">
        <v>100</v>
      </c>
      <c r="R5697" s="6">
        <v>7</v>
      </c>
      <c r="S5697" s="5">
        <v>2.5</v>
      </c>
      <c r="T5697" s="5">
        <v>9.8000000000000007</v>
      </c>
      <c r="U5697" s="5">
        <v>3.2</v>
      </c>
      <c r="V5697" s="6">
        <v>0.36</v>
      </c>
      <c r="W5697" s="7">
        <v>2.9689999999999999</v>
      </c>
      <c r="X5697" s="7">
        <v>2.9689999999999999</v>
      </c>
      <c r="Y5697" s="7">
        <v>2.9689999999999999</v>
      </c>
      <c r="Z5697" s="7">
        <v>4.1879999999999997</v>
      </c>
      <c r="AA5697" s="6">
        <v>6.7</v>
      </c>
      <c r="AB5697" s="7">
        <v>13.055999999999999</v>
      </c>
      <c r="AC5697" s="2"/>
    </row>
    <row r="5698" spans="1:29" ht="52" x14ac:dyDescent="0.15">
      <c r="A5698" s="3">
        <f t="shared" si="138"/>
        <v>36766</v>
      </c>
      <c r="B5698" s="2"/>
      <c r="C5698" s="2" t="s">
        <v>7330</v>
      </c>
      <c r="D5698" s="2" t="s">
        <v>17534</v>
      </c>
      <c r="E5698" s="2" t="s">
        <v>2800</v>
      </c>
      <c r="F5698" s="4">
        <v>6162</v>
      </c>
      <c r="G5698" s="2" t="s">
        <v>109</v>
      </c>
      <c r="H5698" s="2" t="s">
        <v>34</v>
      </c>
      <c r="I5698" s="2" t="s">
        <v>17535</v>
      </c>
      <c r="J5698" s="2" t="s">
        <v>17536</v>
      </c>
      <c r="K5698" s="2" t="s">
        <v>109</v>
      </c>
      <c r="L5698" s="2" t="s">
        <v>34</v>
      </c>
      <c r="M5698" s="2"/>
      <c r="N5698" s="2"/>
      <c r="O5698" s="2"/>
      <c r="P5698" s="2" t="s">
        <v>17537</v>
      </c>
      <c r="Q5698" s="2"/>
      <c r="R5698" s="2"/>
      <c r="S5698" s="5">
        <v>0</v>
      </c>
      <c r="T5698" s="7">
        <v>2E-3</v>
      </c>
      <c r="U5698" s="5">
        <v>1.6</v>
      </c>
      <c r="V5698" s="9">
        <v>-1.9199999999999998E-2</v>
      </c>
      <c r="W5698" s="7">
        <v>1.625</v>
      </c>
      <c r="X5698" s="6">
        <v>1.25</v>
      </c>
      <c r="Y5698" s="6">
        <v>1.25</v>
      </c>
      <c r="Z5698" s="6">
        <v>1.25</v>
      </c>
      <c r="AA5698" s="6">
        <v>3.88</v>
      </c>
      <c r="AB5698" s="2" t="s">
        <v>86</v>
      </c>
      <c r="AC5698" s="2"/>
    </row>
    <row r="5699" spans="1:29" ht="91" x14ac:dyDescent="0.15">
      <c r="A5699" s="3">
        <f t="shared" si="138"/>
        <v>36766</v>
      </c>
      <c r="B5699" s="3">
        <f>DATE(2001,1,24)</f>
        <v>36915</v>
      </c>
      <c r="C5699" s="2" t="s">
        <v>95</v>
      </c>
      <c r="D5699" s="2" t="s">
        <v>17538</v>
      </c>
      <c r="E5699" s="2" t="s">
        <v>17539</v>
      </c>
      <c r="F5699" s="4">
        <v>1521</v>
      </c>
      <c r="G5699" s="2" t="s">
        <v>341</v>
      </c>
      <c r="H5699" s="2" t="s">
        <v>34</v>
      </c>
      <c r="I5699" s="2" t="s">
        <v>17540</v>
      </c>
      <c r="J5699" s="2" t="s">
        <v>17541</v>
      </c>
      <c r="K5699" s="2" t="s">
        <v>341</v>
      </c>
      <c r="L5699" s="2" t="s">
        <v>34</v>
      </c>
      <c r="M5699" s="7">
        <v>130.078</v>
      </c>
      <c r="N5699" s="7">
        <v>6.5629999999999997</v>
      </c>
      <c r="O5699" s="4">
        <v>7</v>
      </c>
      <c r="P5699" s="2" t="s">
        <v>17542</v>
      </c>
      <c r="Q5699" s="6">
        <v>100</v>
      </c>
      <c r="R5699" s="6">
        <v>10.08</v>
      </c>
      <c r="S5699" s="5">
        <v>14.6</v>
      </c>
      <c r="T5699" s="5">
        <v>25</v>
      </c>
      <c r="U5699" s="5">
        <v>10.7</v>
      </c>
      <c r="V5699" s="6">
        <v>1.8</v>
      </c>
      <c r="W5699" s="6">
        <v>7.25</v>
      </c>
      <c r="X5699" s="7">
        <v>7.125</v>
      </c>
      <c r="Y5699" s="5">
        <v>8.5</v>
      </c>
      <c r="Z5699" s="6">
        <v>9.25</v>
      </c>
      <c r="AA5699" s="6">
        <v>7.78</v>
      </c>
      <c r="AB5699" s="7">
        <v>4.3849999999999998</v>
      </c>
      <c r="AC5699" s="6">
        <v>20.81</v>
      </c>
    </row>
    <row r="5700" spans="1:29" ht="130" x14ac:dyDescent="0.15">
      <c r="A5700" s="3">
        <f>DATE(2000,8,29)</f>
        <v>36767</v>
      </c>
      <c r="B5700" s="3">
        <f>DATE(2001,1,2)</f>
        <v>36893</v>
      </c>
      <c r="C5700" s="2" t="s">
        <v>95</v>
      </c>
      <c r="D5700" s="2" t="s">
        <v>17543</v>
      </c>
      <c r="E5700" s="2" t="s">
        <v>612</v>
      </c>
      <c r="F5700" s="4">
        <v>1311</v>
      </c>
      <c r="G5700" s="2" t="s">
        <v>148</v>
      </c>
      <c r="H5700" s="2" t="s">
        <v>34</v>
      </c>
      <c r="I5700" s="2" t="s">
        <v>7324</v>
      </c>
      <c r="J5700" s="2" t="s">
        <v>612</v>
      </c>
      <c r="K5700" s="2" t="s">
        <v>148</v>
      </c>
      <c r="L5700" s="2" t="s">
        <v>34</v>
      </c>
      <c r="M5700" s="7">
        <v>182.583</v>
      </c>
      <c r="N5700" s="6">
        <v>18.25</v>
      </c>
      <c r="O5700" s="6">
        <v>18.25</v>
      </c>
      <c r="P5700" s="2" t="s">
        <v>17544</v>
      </c>
      <c r="Q5700" s="6">
        <v>100</v>
      </c>
      <c r="R5700" s="6">
        <v>6.32</v>
      </c>
      <c r="S5700" s="5">
        <v>-0.9</v>
      </c>
      <c r="T5700" s="5">
        <v>2.4</v>
      </c>
      <c r="U5700" s="5">
        <v>3.3</v>
      </c>
      <c r="V5700" s="6">
        <v>-0.25</v>
      </c>
      <c r="W5700" s="5">
        <v>6.5</v>
      </c>
      <c r="X5700" s="7">
        <v>6.625</v>
      </c>
      <c r="Y5700" s="6">
        <v>6.25</v>
      </c>
      <c r="Z5700" s="6">
        <v>6.25</v>
      </c>
      <c r="AA5700" s="6">
        <v>3.75</v>
      </c>
      <c r="AB5700" s="2" t="s">
        <v>86</v>
      </c>
      <c r="AC5700" s="5">
        <v>4.0999999999999996</v>
      </c>
    </row>
    <row r="5701" spans="1:29" ht="91" x14ac:dyDescent="0.15">
      <c r="A5701" s="3">
        <f>DATE(2000,8,29)</f>
        <v>36767</v>
      </c>
      <c r="B5701" s="2"/>
      <c r="C5701" s="2" t="s">
        <v>189</v>
      </c>
      <c r="D5701" s="2" t="s">
        <v>17545</v>
      </c>
      <c r="E5701" s="2" t="s">
        <v>17546</v>
      </c>
      <c r="F5701" s="4">
        <v>7312</v>
      </c>
      <c r="G5701" s="2" t="s">
        <v>4563</v>
      </c>
      <c r="H5701" s="2" t="s">
        <v>34</v>
      </c>
      <c r="I5701" s="2" t="s">
        <v>143</v>
      </c>
      <c r="J5701" s="2" t="s">
        <v>144</v>
      </c>
      <c r="K5701" s="2" t="s">
        <v>53</v>
      </c>
      <c r="L5701" s="2" t="s">
        <v>139</v>
      </c>
      <c r="M5701" s="2"/>
      <c r="N5701" s="2"/>
      <c r="O5701" s="2"/>
      <c r="P5701" s="2" t="s">
        <v>17547</v>
      </c>
      <c r="Q5701" s="2"/>
      <c r="R5701" s="2"/>
      <c r="S5701" s="5">
        <v>-78</v>
      </c>
      <c r="T5701" s="5">
        <v>272.89999999999998</v>
      </c>
      <c r="U5701" s="5">
        <v>16.100000000000001</v>
      </c>
      <c r="V5701" s="6">
        <v>-0.95</v>
      </c>
      <c r="W5701" s="7">
        <v>48.438000000000002</v>
      </c>
      <c r="X5701" s="7">
        <v>47.188000000000002</v>
      </c>
      <c r="Y5701" s="6">
        <v>47.25</v>
      </c>
      <c r="Z5701" s="7">
        <v>46.375</v>
      </c>
      <c r="AA5701" s="6">
        <v>91.95</v>
      </c>
      <c r="AB5701" s="2" t="s">
        <v>47</v>
      </c>
      <c r="AC5701" s="2"/>
    </row>
    <row r="5702" spans="1:29" ht="65" x14ac:dyDescent="0.15">
      <c r="A5702" s="3">
        <f>DATE(2000,8,29)</f>
        <v>36767</v>
      </c>
      <c r="B5702" s="3">
        <f>DATE(2000,11,13)</f>
        <v>36843</v>
      </c>
      <c r="C5702" s="2" t="s">
        <v>95</v>
      </c>
      <c r="D5702" s="2" t="s">
        <v>17548</v>
      </c>
      <c r="E5702" s="2" t="s">
        <v>17549</v>
      </c>
      <c r="F5702" s="4">
        <v>7373</v>
      </c>
      <c r="G5702" s="2" t="s">
        <v>223</v>
      </c>
      <c r="H5702" s="2" t="s">
        <v>34</v>
      </c>
      <c r="I5702" s="2" t="s">
        <v>15145</v>
      </c>
      <c r="J5702" s="2" t="s">
        <v>15146</v>
      </c>
      <c r="K5702" s="2" t="s">
        <v>921</v>
      </c>
      <c r="L5702" s="2" t="s">
        <v>34</v>
      </c>
      <c r="M5702" s="12">
        <v>75776.510999999999</v>
      </c>
      <c r="N5702" s="7">
        <v>35.813000000000002</v>
      </c>
      <c r="O5702" s="7">
        <v>35.063000000000002</v>
      </c>
      <c r="P5702" s="2" t="s">
        <v>17550</v>
      </c>
      <c r="Q5702" s="6">
        <v>100</v>
      </c>
      <c r="R5702" s="6">
        <v>12.14</v>
      </c>
      <c r="S5702" s="5">
        <v>7.3</v>
      </c>
      <c r="T5702" s="5">
        <v>13.3</v>
      </c>
      <c r="U5702" s="5">
        <v>3.7</v>
      </c>
      <c r="V5702" s="6">
        <v>0.59</v>
      </c>
      <c r="W5702" s="7">
        <v>10.938000000000001</v>
      </c>
      <c r="X5702" s="7">
        <v>11.625</v>
      </c>
      <c r="Y5702" s="6">
        <v>11.75</v>
      </c>
      <c r="Z5702" s="6">
        <v>11.75</v>
      </c>
      <c r="AA5702" s="6">
        <v>11.81</v>
      </c>
      <c r="AB5702" s="7">
        <v>12.808</v>
      </c>
      <c r="AC5702" s="8">
        <v>3083</v>
      </c>
    </row>
    <row r="5703" spans="1:29" ht="104" x14ac:dyDescent="0.15">
      <c r="A5703" s="3">
        <f>DATE(2000,8,29)</f>
        <v>36767</v>
      </c>
      <c r="B5703" s="2"/>
      <c r="C5703" s="2" t="s">
        <v>30</v>
      </c>
      <c r="D5703" s="2" t="s">
        <v>17551</v>
      </c>
      <c r="E5703" s="2" t="s">
        <v>17552</v>
      </c>
      <c r="F5703" s="4">
        <v>6036</v>
      </c>
      <c r="G5703" s="2" t="s">
        <v>33</v>
      </c>
      <c r="H5703" s="2" t="s">
        <v>34</v>
      </c>
      <c r="I5703" s="2" t="s">
        <v>17553</v>
      </c>
      <c r="J5703" s="2" t="s">
        <v>389</v>
      </c>
      <c r="K5703" s="2" t="s">
        <v>33</v>
      </c>
      <c r="L5703" s="2" t="s">
        <v>34</v>
      </c>
      <c r="M5703" s="2"/>
      <c r="N5703" s="2"/>
      <c r="O5703" s="2"/>
      <c r="P5703" s="2" t="s">
        <v>17554</v>
      </c>
      <c r="Q5703" s="2"/>
      <c r="R5703" s="6">
        <v>15</v>
      </c>
      <c r="S5703" s="5">
        <v>1.1000000000000001</v>
      </c>
      <c r="T5703" s="5">
        <v>1.4</v>
      </c>
      <c r="U5703" s="5">
        <v>7.9</v>
      </c>
      <c r="V5703" s="6">
        <v>0.39</v>
      </c>
      <c r="W5703" s="7">
        <v>7.375</v>
      </c>
      <c r="X5703" s="5">
        <v>7.5</v>
      </c>
      <c r="Y5703" s="6">
        <v>14.25</v>
      </c>
      <c r="Z5703" s="6">
        <v>14.25</v>
      </c>
      <c r="AA5703" s="6">
        <v>3.18</v>
      </c>
      <c r="AB5703" s="7">
        <v>227.23099999999999</v>
      </c>
      <c r="AC5703" s="2"/>
    </row>
    <row r="5704" spans="1:29" ht="312" x14ac:dyDescent="0.15">
      <c r="A5704" s="3">
        <f>DATE(2000,8,30)</f>
        <v>36768</v>
      </c>
      <c r="B5704" s="3">
        <f>DATE(2001,1,3)</f>
        <v>36894</v>
      </c>
      <c r="C5704" s="2" t="s">
        <v>95</v>
      </c>
      <c r="D5704" s="2" t="s">
        <v>17555</v>
      </c>
      <c r="E5704" s="2" t="s">
        <v>746</v>
      </c>
      <c r="F5704" s="4">
        <v>6311</v>
      </c>
      <c r="G5704" s="2" t="s">
        <v>125</v>
      </c>
      <c r="H5704" s="2" t="s">
        <v>34</v>
      </c>
      <c r="I5704" s="2" t="s">
        <v>17556</v>
      </c>
      <c r="J5704" s="2" t="s">
        <v>831</v>
      </c>
      <c r="K5704" s="2" t="s">
        <v>125</v>
      </c>
      <c r="L5704" s="2" t="s">
        <v>133</v>
      </c>
      <c r="M5704" s="2"/>
      <c r="N5704" s="2"/>
      <c r="O5704" s="2"/>
      <c r="P5704" s="2" t="s">
        <v>17557</v>
      </c>
      <c r="Q5704" s="6">
        <v>45.27</v>
      </c>
      <c r="R5704" s="6">
        <v>54.63</v>
      </c>
      <c r="S5704" s="5">
        <v>775.7</v>
      </c>
      <c r="T5704" s="2"/>
      <c r="U5704" s="5">
        <v>14.2</v>
      </c>
      <c r="V5704" s="6">
        <v>1.74</v>
      </c>
      <c r="W5704" s="6">
        <v>49.75</v>
      </c>
      <c r="X5704" s="6">
        <v>52.25</v>
      </c>
      <c r="Y5704" s="7">
        <v>52.313000000000002</v>
      </c>
      <c r="Z5704" s="6">
        <v>51.75</v>
      </c>
      <c r="AA5704" s="6">
        <v>433.35</v>
      </c>
      <c r="AB5704" s="7">
        <v>17.417000000000002</v>
      </c>
      <c r="AC5704" s="8">
        <v>14228.9</v>
      </c>
    </row>
    <row r="5705" spans="1:29" ht="65" x14ac:dyDescent="0.15">
      <c r="A5705" s="3">
        <f>DATE(2000,8,30)</f>
        <v>36768</v>
      </c>
      <c r="B5705" s="2"/>
      <c r="C5705" s="2" t="s">
        <v>30</v>
      </c>
      <c r="D5705" s="2" t="s">
        <v>3861</v>
      </c>
      <c r="E5705" s="2" t="s">
        <v>1181</v>
      </c>
      <c r="F5705" s="4">
        <v>6021</v>
      </c>
      <c r="G5705" s="2" t="s">
        <v>37</v>
      </c>
      <c r="H5705" s="2" t="s">
        <v>34</v>
      </c>
      <c r="I5705" s="2" t="s">
        <v>51</v>
      </c>
      <c r="J5705" s="2" t="s">
        <v>52</v>
      </c>
      <c r="K5705" s="2" t="s">
        <v>53</v>
      </c>
      <c r="L5705" s="2" t="s">
        <v>34</v>
      </c>
      <c r="M5705" s="2"/>
      <c r="N5705" s="2"/>
      <c r="O5705" s="2"/>
      <c r="P5705" s="2" t="s">
        <v>17558</v>
      </c>
      <c r="Q5705" s="2"/>
      <c r="R5705" s="6">
        <v>18.5</v>
      </c>
      <c r="S5705" s="5">
        <v>105.8</v>
      </c>
      <c r="T5705" s="5">
        <v>208.8</v>
      </c>
      <c r="U5705" s="5">
        <v>17.7</v>
      </c>
      <c r="V5705" s="6">
        <v>1.82</v>
      </c>
      <c r="W5705" s="6">
        <v>16.75</v>
      </c>
      <c r="X5705" s="7">
        <v>16.875</v>
      </c>
      <c r="Y5705" s="7">
        <v>17.625</v>
      </c>
      <c r="Z5705" s="9">
        <v>18.0625</v>
      </c>
      <c r="AA5705" s="6">
        <v>56.45</v>
      </c>
      <c r="AB5705" s="7">
        <v>81.751000000000005</v>
      </c>
      <c r="AC5705" s="2"/>
    </row>
    <row r="5706" spans="1:29" ht="312" x14ac:dyDescent="0.15">
      <c r="A5706" s="3">
        <f>DATE(2000,8,30)</f>
        <v>36768</v>
      </c>
      <c r="B5706" s="3">
        <f>DATE(2000,11,3)</f>
        <v>36833</v>
      </c>
      <c r="C5706" s="2" t="s">
        <v>95</v>
      </c>
      <c r="D5706" s="2" t="s">
        <v>17559</v>
      </c>
      <c r="E5706" s="2" t="s">
        <v>2712</v>
      </c>
      <c r="F5706" s="4">
        <v>6211</v>
      </c>
      <c r="G5706" s="2" t="s">
        <v>53</v>
      </c>
      <c r="H5706" s="2" t="s">
        <v>34</v>
      </c>
      <c r="I5706" s="2" t="s">
        <v>12454</v>
      </c>
      <c r="J5706" s="2" t="s">
        <v>2712</v>
      </c>
      <c r="K5706" s="2" t="s">
        <v>53</v>
      </c>
      <c r="L5706" s="2" t="s">
        <v>34</v>
      </c>
      <c r="M5706" s="2"/>
      <c r="N5706" s="2"/>
      <c r="O5706" s="2"/>
      <c r="P5706" s="2" t="s">
        <v>17560</v>
      </c>
      <c r="Q5706" s="6">
        <v>100</v>
      </c>
      <c r="R5706" s="6">
        <v>90</v>
      </c>
      <c r="S5706" s="5">
        <v>720.8</v>
      </c>
      <c r="T5706" s="12">
        <v>3555.3209999999999</v>
      </c>
      <c r="U5706" s="5">
        <v>30.8</v>
      </c>
      <c r="V5706" s="6">
        <v>5.0599999999999996</v>
      </c>
      <c r="W5706" s="7">
        <v>60.313000000000002</v>
      </c>
      <c r="X5706" s="7">
        <v>81.875</v>
      </c>
      <c r="Y5706" s="7">
        <v>88.375</v>
      </c>
      <c r="Z5706" s="5">
        <v>88.5</v>
      </c>
      <c r="AA5706" s="6">
        <v>127.85</v>
      </c>
      <c r="AB5706" s="7">
        <v>28.806000000000001</v>
      </c>
      <c r="AC5706" s="2"/>
    </row>
    <row r="5707" spans="1:29" ht="117" x14ac:dyDescent="0.15">
      <c r="A5707" s="3">
        <f>DATE(2000,8,30)</f>
        <v>36768</v>
      </c>
      <c r="B5707" s="3">
        <f>DATE(2000,10,24)</f>
        <v>36823</v>
      </c>
      <c r="C5707" s="2" t="s">
        <v>95</v>
      </c>
      <c r="D5707" s="2" t="s">
        <v>10789</v>
      </c>
      <c r="E5707" s="2" t="s">
        <v>676</v>
      </c>
      <c r="F5707" s="4">
        <v>2899</v>
      </c>
      <c r="G5707" s="2" t="s">
        <v>98</v>
      </c>
      <c r="H5707" s="2" t="s">
        <v>34</v>
      </c>
      <c r="I5707" s="2" t="s">
        <v>17561</v>
      </c>
      <c r="J5707" s="2" t="s">
        <v>17562</v>
      </c>
      <c r="K5707" s="2" t="s">
        <v>98</v>
      </c>
      <c r="L5707" s="2" t="s">
        <v>1049</v>
      </c>
      <c r="M5707" s="2"/>
      <c r="N5707" s="2"/>
      <c r="O5707" s="2"/>
      <c r="P5707" s="2" t="s">
        <v>17563</v>
      </c>
      <c r="Q5707" s="6">
        <v>100</v>
      </c>
      <c r="R5707" s="6">
        <v>35</v>
      </c>
      <c r="S5707" s="5">
        <v>1.2</v>
      </c>
      <c r="T5707" s="5">
        <v>30.1</v>
      </c>
      <c r="U5707" s="5">
        <v>13.1</v>
      </c>
      <c r="V5707" s="6">
        <v>0.23</v>
      </c>
      <c r="W5707" s="4">
        <v>28</v>
      </c>
      <c r="X5707" s="4">
        <v>30</v>
      </c>
      <c r="Y5707" s="6">
        <v>30.75</v>
      </c>
      <c r="Z5707" s="7">
        <v>34.438000000000002</v>
      </c>
      <c r="AA5707" s="6">
        <v>5.74</v>
      </c>
      <c r="AB5707" s="7">
        <v>18.989000000000001</v>
      </c>
      <c r="AC5707" s="10">
        <v>3161.98</v>
      </c>
    </row>
    <row r="5708" spans="1:29" ht="117" x14ac:dyDescent="0.15">
      <c r="A5708" s="3">
        <f>DATE(2000,8,30)</f>
        <v>36768</v>
      </c>
      <c r="B5708" s="3">
        <f>DATE(2000,11,17)</f>
        <v>36847</v>
      </c>
      <c r="C5708" s="2" t="s">
        <v>95</v>
      </c>
      <c r="D5708" s="2" t="s">
        <v>17564</v>
      </c>
      <c r="E5708" s="2" t="s">
        <v>7648</v>
      </c>
      <c r="F5708" s="4">
        <v>3842</v>
      </c>
      <c r="G5708" s="2" t="s">
        <v>226</v>
      </c>
      <c r="H5708" s="2" t="s">
        <v>34</v>
      </c>
      <c r="I5708" s="2" t="s">
        <v>17565</v>
      </c>
      <c r="J5708" s="2" t="s">
        <v>17566</v>
      </c>
      <c r="K5708" s="2" t="s">
        <v>282</v>
      </c>
      <c r="L5708" s="2" t="s">
        <v>902</v>
      </c>
      <c r="M5708" s="2"/>
      <c r="N5708" s="2"/>
      <c r="O5708" s="2"/>
      <c r="P5708" s="2" t="s">
        <v>17567</v>
      </c>
      <c r="Q5708" s="6">
        <v>100</v>
      </c>
      <c r="R5708" s="6">
        <v>4</v>
      </c>
      <c r="S5708" s="5">
        <v>0.1</v>
      </c>
      <c r="T5708" s="5">
        <v>3.5</v>
      </c>
      <c r="U5708" s="5">
        <v>5.9</v>
      </c>
      <c r="V5708" s="6">
        <v>-7.0000000000000007E-2</v>
      </c>
      <c r="W5708" s="7">
        <v>2.6880000000000002</v>
      </c>
      <c r="X5708" s="6">
        <v>2.75</v>
      </c>
      <c r="Y5708" s="7">
        <v>3.9380000000000002</v>
      </c>
      <c r="Z5708" s="7">
        <v>3.875</v>
      </c>
      <c r="AA5708" s="6">
        <v>2.27</v>
      </c>
      <c r="AB5708" s="7">
        <v>8.8889999999999993</v>
      </c>
      <c r="AC5708" s="2"/>
    </row>
    <row r="5709" spans="1:29" ht="117" x14ac:dyDescent="0.15">
      <c r="A5709" s="3">
        <f>DATE(2000,8,31)</f>
        <v>36769</v>
      </c>
      <c r="B5709" s="3">
        <f>DATE(2000,12,8)</f>
        <v>36868</v>
      </c>
      <c r="C5709" s="2" t="s">
        <v>95</v>
      </c>
      <c r="D5709" s="2" t="s">
        <v>17568</v>
      </c>
      <c r="E5709" s="2" t="s">
        <v>389</v>
      </c>
      <c r="F5709" s="4">
        <v>6035</v>
      </c>
      <c r="G5709" s="2" t="s">
        <v>33</v>
      </c>
      <c r="H5709" s="2" t="s">
        <v>34</v>
      </c>
      <c r="I5709" s="2" t="s">
        <v>1963</v>
      </c>
      <c r="J5709" s="2" t="s">
        <v>36</v>
      </c>
      <c r="K5709" s="2" t="s">
        <v>37</v>
      </c>
      <c r="L5709" s="2" t="s">
        <v>34</v>
      </c>
      <c r="M5709" s="12">
        <v>20227.609</v>
      </c>
      <c r="N5709" s="7">
        <v>46.188000000000002</v>
      </c>
      <c r="O5709" s="7">
        <v>45.438000000000002</v>
      </c>
      <c r="P5709" s="2" t="s">
        <v>17569</v>
      </c>
      <c r="Q5709" s="6">
        <v>100</v>
      </c>
      <c r="R5709" s="6">
        <v>24.94</v>
      </c>
      <c r="S5709" s="5">
        <v>9.5</v>
      </c>
      <c r="T5709" s="5">
        <v>17.399999999999999</v>
      </c>
      <c r="U5709" s="5">
        <v>11.6</v>
      </c>
      <c r="V5709" s="6">
        <v>1.38</v>
      </c>
      <c r="W5709" s="5">
        <v>19.5</v>
      </c>
      <c r="X5709" s="5">
        <v>20.5</v>
      </c>
      <c r="Y5709" s="4">
        <v>21</v>
      </c>
      <c r="Z5709" s="7">
        <v>23.922000000000001</v>
      </c>
      <c r="AA5709" s="6">
        <v>6.6</v>
      </c>
      <c r="AB5709" s="7">
        <v>72.950999999999993</v>
      </c>
      <c r="AC5709" s="5">
        <v>751</v>
      </c>
    </row>
    <row r="5710" spans="1:29" ht="117" x14ac:dyDescent="0.15">
      <c r="A5710" s="3">
        <f>DATE(2000,8,31)</f>
        <v>36769</v>
      </c>
      <c r="B5710" s="3">
        <f>DATE(2000,10,16)</f>
        <v>36815</v>
      </c>
      <c r="C5710" s="2" t="s">
        <v>95</v>
      </c>
      <c r="D5710" s="2" t="s">
        <v>17570</v>
      </c>
      <c r="E5710" s="2" t="s">
        <v>5232</v>
      </c>
      <c r="F5710" s="4">
        <v>3577</v>
      </c>
      <c r="G5710" s="2" t="s">
        <v>50</v>
      </c>
      <c r="H5710" s="2" t="s">
        <v>34</v>
      </c>
      <c r="I5710" s="2" t="s">
        <v>17571</v>
      </c>
      <c r="J5710" s="2" t="s">
        <v>17572</v>
      </c>
      <c r="K5710" s="2" t="s">
        <v>50</v>
      </c>
      <c r="L5710" s="2" t="s">
        <v>34</v>
      </c>
      <c r="M5710" s="12">
        <v>1168.1769999999999</v>
      </c>
      <c r="N5710" s="4">
        <v>26</v>
      </c>
      <c r="O5710" s="4">
        <v>28</v>
      </c>
      <c r="P5710" s="2" t="s">
        <v>17573</v>
      </c>
      <c r="Q5710" s="6">
        <v>100</v>
      </c>
      <c r="R5710" s="6">
        <v>10</v>
      </c>
      <c r="S5710" s="5">
        <v>6.2</v>
      </c>
      <c r="T5710" s="5">
        <v>6.4</v>
      </c>
      <c r="U5710" s="5">
        <v>6</v>
      </c>
      <c r="V5710" s="6">
        <v>0.43</v>
      </c>
      <c r="W5710" s="5">
        <v>7.5</v>
      </c>
      <c r="X5710" s="7">
        <v>7.0629999999999997</v>
      </c>
      <c r="Y5710" s="7">
        <v>9.0310000000000006</v>
      </c>
      <c r="Z5710" s="7">
        <v>9.1560000000000006</v>
      </c>
      <c r="AA5710" s="6">
        <v>14.32</v>
      </c>
      <c r="AB5710" s="7">
        <v>19.667000000000002</v>
      </c>
      <c r="AC5710" s="5">
        <v>80.5</v>
      </c>
    </row>
    <row r="5711" spans="1:29" ht="117" x14ac:dyDescent="0.15">
      <c r="A5711" s="3">
        <f>DATE(2000,9,1)</f>
        <v>36770</v>
      </c>
      <c r="B5711" s="3">
        <f>DATE(2001,1,2)</f>
        <v>36893</v>
      </c>
      <c r="C5711" s="2" t="s">
        <v>95</v>
      </c>
      <c r="D5711" s="2" t="s">
        <v>17574</v>
      </c>
      <c r="E5711" s="2" t="s">
        <v>9854</v>
      </c>
      <c r="F5711" s="4">
        <v>6282</v>
      </c>
      <c r="G5711" s="2" t="s">
        <v>53</v>
      </c>
      <c r="H5711" s="2" t="s">
        <v>34</v>
      </c>
      <c r="I5711" s="2" t="s">
        <v>2897</v>
      </c>
      <c r="J5711" s="2" t="s">
        <v>2898</v>
      </c>
      <c r="K5711" s="2" t="s">
        <v>37</v>
      </c>
      <c r="L5711" s="2" t="s">
        <v>34</v>
      </c>
      <c r="M5711" s="12">
        <v>28439.055</v>
      </c>
      <c r="N5711" s="7">
        <v>28.437999999999999</v>
      </c>
      <c r="O5711" s="7">
        <v>28.437999999999999</v>
      </c>
      <c r="P5711" s="2" t="s">
        <v>17575</v>
      </c>
      <c r="Q5711" s="6">
        <v>100</v>
      </c>
      <c r="R5711" s="6">
        <v>12</v>
      </c>
      <c r="S5711" s="5">
        <v>13.2</v>
      </c>
      <c r="T5711" s="5">
        <v>25.6</v>
      </c>
      <c r="U5711" s="5">
        <v>7.6</v>
      </c>
      <c r="V5711" s="6">
        <v>1.38</v>
      </c>
      <c r="W5711" s="7">
        <v>11.813000000000001</v>
      </c>
      <c r="X5711" s="7">
        <v>14.875</v>
      </c>
      <c r="Y5711" s="9">
        <v>10.0625</v>
      </c>
      <c r="Z5711" s="9">
        <v>10.0625</v>
      </c>
      <c r="AA5711" s="6">
        <v>8.56</v>
      </c>
      <c r="AB5711" s="7">
        <v>3.1539999999999999</v>
      </c>
      <c r="AC5711" s="8">
        <v>18995</v>
      </c>
    </row>
    <row r="5712" spans="1:29" ht="156" x14ac:dyDescent="0.15">
      <c r="A5712" s="3">
        <f>DATE(2000,9,1)</f>
        <v>36770</v>
      </c>
      <c r="B5712" s="3">
        <f>DATE(2000,12,18)</f>
        <v>36878</v>
      </c>
      <c r="C5712" s="2" t="s">
        <v>95</v>
      </c>
      <c r="D5712" s="2" t="s">
        <v>17576</v>
      </c>
      <c r="E5712" s="2" t="s">
        <v>17577</v>
      </c>
      <c r="F5712" s="4">
        <v>3579</v>
      </c>
      <c r="G5712" s="2" t="s">
        <v>50</v>
      </c>
      <c r="H5712" s="2" t="s">
        <v>34</v>
      </c>
      <c r="I5712" s="2" t="s">
        <v>17578</v>
      </c>
      <c r="J5712" s="2" t="s">
        <v>80</v>
      </c>
      <c r="K5712" s="2" t="s">
        <v>53</v>
      </c>
      <c r="L5712" s="2" t="s">
        <v>99</v>
      </c>
      <c r="M5712" s="2"/>
      <c r="N5712" s="2"/>
      <c r="O5712" s="2"/>
      <c r="P5712" s="2" t="s">
        <v>17579</v>
      </c>
      <c r="Q5712" s="6">
        <v>44.15</v>
      </c>
      <c r="R5712" s="6">
        <v>6</v>
      </c>
      <c r="S5712" s="5">
        <v>-27</v>
      </c>
      <c r="T5712" s="7">
        <v>-9.7929999999999993</v>
      </c>
      <c r="U5712" s="5">
        <v>1</v>
      </c>
      <c r="V5712" s="6">
        <v>-2.2200000000000002</v>
      </c>
      <c r="W5712" s="4">
        <v>3</v>
      </c>
      <c r="X5712" s="4">
        <v>3</v>
      </c>
      <c r="Y5712" s="7">
        <v>4.9379999999999997</v>
      </c>
      <c r="Z5712" s="7">
        <v>4.9379999999999997</v>
      </c>
      <c r="AA5712" s="6">
        <v>13.27</v>
      </c>
      <c r="AB5712" s="2" t="s">
        <v>86</v>
      </c>
      <c r="AC5712" s="2"/>
    </row>
    <row r="5713" spans="1:29" ht="143" x14ac:dyDescent="0.15">
      <c r="A5713" s="3">
        <f>DATE(2000,9,5)</f>
        <v>36774</v>
      </c>
      <c r="B5713" s="3">
        <f>DATE(2000,10,23)</f>
        <v>36822</v>
      </c>
      <c r="C5713" s="2" t="s">
        <v>95</v>
      </c>
      <c r="D5713" s="2" t="s">
        <v>17580</v>
      </c>
      <c r="E5713" s="2" t="s">
        <v>17581</v>
      </c>
      <c r="F5713" s="4">
        <v>7372</v>
      </c>
      <c r="G5713" s="2" t="s">
        <v>551</v>
      </c>
      <c r="H5713" s="2" t="s">
        <v>34</v>
      </c>
      <c r="I5713" s="2" t="s">
        <v>17582</v>
      </c>
      <c r="J5713" s="2" t="s">
        <v>17583</v>
      </c>
      <c r="K5713" s="2" t="s">
        <v>551</v>
      </c>
      <c r="L5713" s="2" t="s">
        <v>34</v>
      </c>
      <c r="M5713" s="7">
        <v>683.21699999999998</v>
      </c>
      <c r="N5713" s="6">
        <v>21.75</v>
      </c>
      <c r="O5713" s="7">
        <v>23.125</v>
      </c>
      <c r="P5713" s="2" t="s">
        <v>17584</v>
      </c>
      <c r="Q5713" s="6">
        <v>100</v>
      </c>
      <c r="R5713" s="6">
        <v>13.75</v>
      </c>
      <c r="S5713" s="5">
        <v>-36.799999999999997</v>
      </c>
      <c r="T5713" s="5">
        <v>-31.1</v>
      </c>
      <c r="U5713" s="5">
        <v>4.7</v>
      </c>
      <c r="V5713" s="6">
        <v>-3.08</v>
      </c>
      <c r="W5713" s="6">
        <v>11.37</v>
      </c>
      <c r="X5713" s="7">
        <v>11.061999999999999</v>
      </c>
      <c r="Y5713" s="7">
        <v>13.438000000000001</v>
      </c>
      <c r="Z5713" s="7">
        <v>13.406000000000001</v>
      </c>
      <c r="AA5713" s="6">
        <v>12.05</v>
      </c>
      <c r="AB5713" s="2" t="s">
        <v>86</v>
      </c>
      <c r="AC5713" s="5">
        <v>18.7</v>
      </c>
    </row>
    <row r="5714" spans="1:29" ht="78" x14ac:dyDescent="0.15">
      <c r="A5714" s="3">
        <f>DATE(2000,9,5)</f>
        <v>36774</v>
      </c>
      <c r="B5714" s="2"/>
      <c r="C5714" s="2" t="s">
        <v>7330</v>
      </c>
      <c r="D5714" s="2" t="s">
        <v>10701</v>
      </c>
      <c r="E5714" s="2" t="s">
        <v>10702</v>
      </c>
      <c r="F5714" s="4">
        <v>4822</v>
      </c>
      <c r="G5714" s="2" t="s">
        <v>63</v>
      </c>
      <c r="H5714" s="2" t="s">
        <v>34</v>
      </c>
      <c r="I5714" s="2" t="s">
        <v>17585</v>
      </c>
      <c r="J5714" s="2" t="s">
        <v>5102</v>
      </c>
      <c r="K5714" s="2" t="s">
        <v>551</v>
      </c>
      <c r="L5714" s="2" t="s">
        <v>215</v>
      </c>
      <c r="M5714" s="2"/>
      <c r="N5714" s="2"/>
      <c r="O5714" s="2"/>
      <c r="P5714" s="2" t="s">
        <v>17586</v>
      </c>
      <c r="Q5714" s="2"/>
      <c r="R5714" s="2"/>
      <c r="S5714" s="5">
        <v>-21.2</v>
      </c>
      <c r="T5714" s="5">
        <v>-9.6</v>
      </c>
      <c r="U5714" s="5">
        <v>-0.5</v>
      </c>
      <c r="V5714" s="6">
        <v>-1.27</v>
      </c>
      <c r="W5714" s="7">
        <v>3.5310000000000001</v>
      </c>
      <c r="X5714" s="7">
        <v>3.4380000000000002</v>
      </c>
      <c r="Y5714" s="7">
        <v>4.375</v>
      </c>
      <c r="Z5714" s="9">
        <v>4.9375</v>
      </c>
      <c r="AA5714" s="6">
        <v>27.92</v>
      </c>
      <c r="AB5714" s="2" t="s">
        <v>86</v>
      </c>
      <c r="AC5714" s="2"/>
    </row>
    <row r="5715" spans="1:29" ht="221" x14ac:dyDescent="0.15">
      <c r="A5715" s="3">
        <f>DATE(2000,9,5)</f>
        <v>36774</v>
      </c>
      <c r="B5715" s="3">
        <f>DATE(2001,7,1)</f>
        <v>37073</v>
      </c>
      <c r="C5715" s="2" t="s">
        <v>95</v>
      </c>
      <c r="D5715" s="2" t="s">
        <v>9838</v>
      </c>
      <c r="E5715" s="2" t="s">
        <v>973</v>
      </c>
      <c r="F5715" s="4">
        <v>4813</v>
      </c>
      <c r="G5715" s="2" t="s">
        <v>63</v>
      </c>
      <c r="H5715" s="2" t="s">
        <v>34</v>
      </c>
      <c r="I5715" s="2" t="s">
        <v>8451</v>
      </c>
      <c r="J5715" s="2" t="s">
        <v>375</v>
      </c>
      <c r="K5715" s="2" t="s">
        <v>63</v>
      </c>
      <c r="L5715" s="2" t="s">
        <v>34</v>
      </c>
      <c r="M5715" s="12">
        <v>102892.542</v>
      </c>
      <c r="N5715" s="6">
        <v>33.75</v>
      </c>
      <c r="O5715" s="5">
        <v>31.5</v>
      </c>
      <c r="P5715" s="2" t="s">
        <v>17587</v>
      </c>
      <c r="Q5715" s="6">
        <v>100</v>
      </c>
      <c r="R5715" s="6">
        <v>16.190000000000001</v>
      </c>
      <c r="S5715" s="5">
        <v>94.8</v>
      </c>
      <c r="T5715" s="5">
        <v>-95.4</v>
      </c>
      <c r="U5715" s="5">
        <v>-10.8</v>
      </c>
      <c r="V5715" s="6">
        <v>-0.48</v>
      </c>
      <c r="W5715" s="7">
        <v>20.875</v>
      </c>
      <c r="X5715" s="7">
        <v>22.875</v>
      </c>
      <c r="Y5715" s="7">
        <v>31.484000000000002</v>
      </c>
      <c r="Z5715" s="7">
        <v>31.484000000000002</v>
      </c>
      <c r="AA5715" s="6">
        <v>54.17</v>
      </c>
      <c r="AB5715" s="2" t="s">
        <v>86</v>
      </c>
      <c r="AC5715" s="5">
        <v>761</v>
      </c>
    </row>
    <row r="5716" spans="1:29" ht="104" x14ac:dyDescent="0.15">
      <c r="A5716" s="3">
        <f>DATE(2000,9,5)</f>
        <v>36774</v>
      </c>
      <c r="B5716" s="3">
        <f>DATE(2002,1,31)</f>
        <v>37287</v>
      </c>
      <c r="C5716" s="2" t="s">
        <v>95</v>
      </c>
      <c r="D5716" s="2" t="s">
        <v>17588</v>
      </c>
      <c r="E5716" s="2" t="s">
        <v>441</v>
      </c>
      <c r="F5716" s="4">
        <v>4911</v>
      </c>
      <c r="G5716" s="2" t="s">
        <v>439</v>
      </c>
      <c r="H5716" s="2" t="s">
        <v>34</v>
      </c>
      <c r="I5716" s="2" t="s">
        <v>13445</v>
      </c>
      <c r="J5716" s="2" t="s">
        <v>3395</v>
      </c>
      <c r="K5716" s="2" t="s">
        <v>439</v>
      </c>
      <c r="L5716" s="2" t="s">
        <v>303</v>
      </c>
      <c r="M5716" s="12">
        <v>13752.142</v>
      </c>
      <c r="N5716" s="2"/>
      <c r="O5716" s="2"/>
      <c r="P5716" s="2" t="s">
        <v>17589</v>
      </c>
      <c r="Q5716" s="6">
        <v>100</v>
      </c>
      <c r="R5716" s="6">
        <v>19</v>
      </c>
      <c r="S5716" s="5">
        <v>-41.2</v>
      </c>
      <c r="T5716" s="12">
        <v>1188.8989999999999</v>
      </c>
      <c r="U5716" s="5">
        <v>16.899999999999999</v>
      </c>
      <c r="V5716" s="6">
        <v>-0.22</v>
      </c>
      <c r="W5716" s="6">
        <v>12.75</v>
      </c>
      <c r="X5716" s="7">
        <v>13.875</v>
      </c>
      <c r="Y5716" s="6">
        <v>15.75</v>
      </c>
      <c r="Z5716" s="6">
        <v>15.75</v>
      </c>
      <c r="AA5716" s="6">
        <v>160.4</v>
      </c>
      <c r="AB5716" s="7">
        <v>19.812000000000001</v>
      </c>
      <c r="AC5716" s="6">
        <v>319.7</v>
      </c>
    </row>
    <row r="5717" spans="1:29" ht="208" x14ac:dyDescent="0.15">
      <c r="A5717" s="3">
        <f>DATE(2000,9,6)</f>
        <v>36775</v>
      </c>
      <c r="B5717" s="3">
        <f>DATE(2000,11,30)</f>
        <v>36860</v>
      </c>
      <c r="C5717" s="2" t="s">
        <v>95</v>
      </c>
      <c r="D5717" s="2" t="s">
        <v>10671</v>
      </c>
      <c r="E5717" s="2" t="s">
        <v>10672</v>
      </c>
      <c r="F5717" s="4">
        <v>6141</v>
      </c>
      <c r="G5717" s="2" t="s">
        <v>370</v>
      </c>
      <c r="H5717" s="2" t="s">
        <v>34</v>
      </c>
      <c r="I5717" s="2" t="s">
        <v>15550</v>
      </c>
      <c r="J5717" s="2" t="s">
        <v>6896</v>
      </c>
      <c r="K5717" s="2" t="s">
        <v>37</v>
      </c>
      <c r="L5717" s="2" t="s">
        <v>34</v>
      </c>
      <c r="M5717" s="12">
        <v>245045.674</v>
      </c>
      <c r="N5717" s="7">
        <v>54.938000000000002</v>
      </c>
      <c r="O5717" s="7">
        <v>54.563000000000002</v>
      </c>
      <c r="P5717" s="2" t="s">
        <v>17590</v>
      </c>
      <c r="Q5717" s="6">
        <v>100</v>
      </c>
      <c r="R5717" s="6">
        <v>42.22</v>
      </c>
      <c r="S5717" s="8">
        <v>1504.4</v>
      </c>
      <c r="T5717" s="8">
        <v>6470.4</v>
      </c>
      <c r="U5717" s="5">
        <v>14.1</v>
      </c>
      <c r="V5717" s="6">
        <v>2.06</v>
      </c>
      <c r="W5717" s="7">
        <v>27.625</v>
      </c>
      <c r="X5717" s="7">
        <v>27.812999999999999</v>
      </c>
      <c r="Y5717" s="7">
        <v>38.625</v>
      </c>
      <c r="Z5717" s="7">
        <v>38.188000000000002</v>
      </c>
      <c r="AA5717" s="6">
        <v>728.87</v>
      </c>
      <c r="AB5717" s="7">
        <v>16.146000000000001</v>
      </c>
      <c r="AC5717" s="8">
        <v>140242</v>
      </c>
    </row>
    <row r="5718" spans="1:29" ht="117" x14ac:dyDescent="0.15">
      <c r="A5718" s="3">
        <f>DATE(2000,9,6)</f>
        <v>36775</v>
      </c>
      <c r="B5718" s="3">
        <f>DATE(2001,3,6)</f>
        <v>36956</v>
      </c>
      <c r="C5718" s="2" t="s">
        <v>95</v>
      </c>
      <c r="D5718" s="2" t="s">
        <v>17591</v>
      </c>
      <c r="E5718" s="2" t="s">
        <v>36</v>
      </c>
      <c r="F5718" s="4">
        <v>6035</v>
      </c>
      <c r="G5718" s="2" t="s">
        <v>33</v>
      </c>
      <c r="H5718" s="2" t="s">
        <v>34</v>
      </c>
      <c r="I5718" s="2" t="s">
        <v>13707</v>
      </c>
      <c r="J5718" s="2" t="s">
        <v>36</v>
      </c>
      <c r="K5718" s="2" t="s">
        <v>37</v>
      </c>
      <c r="L5718" s="2" t="s">
        <v>34</v>
      </c>
      <c r="M5718" s="12">
        <v>10772.331</v>
      </c>
      <c r="N5718" s="7">
        <v>27.437999999999999</v>
      </c>
      <c r="O5718" s="6">
        <v>27.75</v>
      </c>
      <c r="P5718" s="2" t="s">
        <v>17592</v>
      </c>
      <c r="Q5718" s="6">
        <v>100</v>
      </c>
      <c r="R5718" s="6">
        <v>26.88</v>
      </c>
      <c r="S5718" s="5">
        <v>5.9</v>
      </c>
      <c r="T5718" s="5">
        <v>10.7</v>
      </c>
      <c r="U5718" s="5">
        <v>18.7</v>
      </c>
      <c r="V5718" s="6">
        <v>1.77</v>
      </c>
      <c r="W5718" s="7">
        <v>20.062999999999999</v>
      </c>
      <c r="X5718" s="7">
        <v>20.375</v>
      </c>
      <c r="Y5718" s="6">
        <v>26.75</v>
      </c>
      <c r="Z5718" s="7">
        <v>26.875</v>
      </c>
      <c r="AA5718" s="6">
        <v>3.75</v>
      </c>
      <c r="AB5718" s="7">
        <v>59.98</v>
      </c>
      <c r="AC5718" s="8">
        <v>1627.1</v>
      </c>
    </row>
    <row r="5719" spans="1:29" ht="117" x14ac:dyDescent="0.15">
      <c r="A5719" s="3">
        <f>DATE(2000,9,6)</f>
        <v>36775</v>
      </c>
      <c r="B5719" s="3">
        <f>DATE(2001,1,22)</f>
        <v>36913</v>
      </c>
      <c r="C5719" s="2" t="s">
        <v>95</v>
      </c>
      <c r="D5719" s="2" t="s">
        <v>17593</v>
      </c>
      <c r="E5719" s="2" t="s">
        <v>36</v>
      </c>
      <c r="F5719" s="4">
        <v>6029</v>
      </c>
      <c r="G5719" s="2" t="s">
        <v>37</v>
      </c>
      <c r="H5719" s="2" t="s">
        <v>34</v>
      </c>
      <c r="I5719" s="2" t="s">
        <v>204</v>
      </c>
      <c r="J5719" s="2" t="s">
        <v>3246</v>
      </c>
      <c r="K5719" s="2" t="s">
        <v>37</v>
      </c>
      <c r="L5719" s="2" t="s">
        <v>34</v>
      </c>
      <c r="M5719" s="12">
        <v>1545.4269999999999</v>
      </c>
      <c r="N5719" s="7">
        <v>26.125</v>
      </c>
      <c r="O5719" s="4">
        <v>26</v>
      </c>
      <c r="P5719" s="2" t="s">
        <v>17594</v>
      </c>
      <c r="Q5719" s="6">
        <v>100</v>
      </c>
      <c r="R5719" s="6">
        <v>20.04</v>
      </c>
      <c r="S5719" s="5">
        <v>20.9</v>
      </c>
      <c r="T5719" s="5">
        <v>35.5</v>
      </c>
      <c r="U5719" s="5">
        <v>5.2</v>
      </c>
      <c r="V5719" s="6">
        <v>1.1000000000000001</v>
      </c>
      <c r="W5719" s="4">
        <v>17</v>
      </c>
      <c r="X5719" s="5">
        <v>17.5</v>
      </c>
      <c r="Y5719" s="7">
        <v>19.375</v>
      </c>
      <c r="Z5719" s="7">
        <v>19.375</v>
      </c>
      <c r="AA5719" s="6">
        <v>18.690000000000001</v>
      </c>
      <c r="AB5719" s="7">
        <v>50.213999999999999</v>
      </c>
      <c r="AC5719" s="5">
        <v>202.3</v>
      </c>
    </row>
    <row r="5720" spans="1:29" ht="78" x14ac:dyDescent="0.15">
      <c r="A5720" s="3">
        <f>DATE(2000,9,6)</f>
        <v>36775</v>
      </c>
      <c r="B5720" s="2"/>
      <c r="C5720" s="2" t="s">
        <v>30</v>
      </c>
      <c r="D5720" s="2" t="s">
        <v>2623</v>
      </c>
      <c r="E5720" s="2" t="s">
        <v>2624</v>
      </c>
      <c r="F5720" s="4">
        <v>2273</v>
      </c>
      <c r="G5720" s="2" t="s">
        <v>708</v>
      </c>
      <c r="H5720" s="2" t="s">
        <v>34</v>
      </c>
      <c r="I5720" s="2" t="s">
        <v>6692</v>
      </c>
      <c r="J5720" s="2" t="s">
        <v>4875</v>
      </c>
      <c r="K5720" s="2" t="s">
        <v>125</v>
      </c>
      <c r="L5720" s="2" t="s">
        <v>34</v>
      </c>
      <c r="M5720" s="12">
        <v>94708.895999999993</v>
      </c>
      <c r="N5720" s="4">
        <v>58000</v>
      </c>
      <c r="O5720" s="4">
        <v>57000</v>
      </c>
      <c r="P5720" s="2" t="s">
        <v>17595</v>
      </c>
      <c r="Q5720" s="2"/>
      <c r="R5720" s="6">
        <v>19</v>
      </c>
      <c r="S5720" s="5">
        <v>202.5</v>
      </c>
      <c r="T5720" s="5">
        <v>523.70000000000005</v>
      </c>
      <c r="U5720" s="5">
        <v>6.5</v>
      </c>
      <c r="V5720" s="6">
        <v>1.5</v>
      </c>
      <c r="W5720" s="7">
        <v>11.625</v>
      </c>
      <c r="X5720" s="7">
        <v>12.188000000000001</v>
      </c>
      <c r="Y5720" s="7">
        <v>18.625</v>
      </c>
      <c r="Z5720" s="5">
        <v>18.5</v>
      </c>
      <c r="AA5720" s="6">
        <v>126.63</v>
      </c>
      <c r="AB5720" s="7">
        <v>7.46</v>
      </c>
      <c r="AC5720" s="8">
        <v>1907</v>
      </c>
    </row>
    <row r="5721" spans="1:29" ht="143" x14ac:dyDescent="0.15">
      <c r="A5721" s="3">
        <f>DATE(2000,9,7)</f>
        <v>36776</v>
      </c>
      <c r="B5721" s="3">
        <f>DATE(2000,12,8)</f>
        <v>36868</v>
      </c>
      <c r="C5721" s="2" t="s">
        <v>95</v>
      </c>
      <c r="D5721" s="2" t="s">
        <v>17596</v>
      </c>
      <c r="E5721" s="2" t="s">
        <v>17597</v>
      </c>
      <c r="F5721" s="4">
        <v>2836</v>
      </c>
      <c r="G5721" s="2" t="s">
        <v>130</v>
      </c>
      <c r="H5721" s="2" t="s">
        <v>34</v>
      </c>
      <c r="I5721" s="2" t="s">
        <v>17598</v>
      </c>
      <c r="J5721" s="2" t="s">
        <v>540</v>
      </c>
      <c r="K5721" s="2" t="s">
        <v>130</v>
      </c>
      <c r="L5721" s="2" t="s">
        <v>34</v>
      </c>
      <c r="M5721" s="12">
        <v>1719.2739999999999</v>
      </c>
      <c r="N5721" s="7">
        <v>45.813000000000002</v>
      </c>
      <c r="O5721" s="4">
        <v>44</v>
      </c>
      <c r="P5721" s="2" t="s">
        <v>17599</v>
      </c>
      <c r="Q5721" s="6">
        <v>100</v>
      </c>
      <c r="R5721" s="6">
        <v>6.26</v>
      </c>
      <c r="S5721" s="5">
        <v>-3.9</v>
      </c>
      <c r="T5721" s="5">
        <v>-3.4</v>
      </c>
      <c r="U5721" s="5">
        <v>1.6</v>
      </c>
      <c r="V5721" s="6">
        <v>-0.94</v>
      </c>
      <c r="W5721" s="7">
        <v>5.4379999999999997</v>
      </c>
      <c r="X5721" s="7">
        <v>7.125</v>
      </c>
      <c r="Y5721" s="7">
        <v>6.5309999999999997</v>
      </c>
      <c r="Z5721" s="4">
        <v>11</v>
      </c>
      <c r="AA5721" s="6">
        <v>4.13</v>
      </c>
      <c r="AB5721" s="2" t="s">
        <v>86</v>
      </c>
      <c r="AC5721" s="5">
        <v>5.4</v>
      </c>
    </row>
    <row r="5722" spans="1:29" ht="221" x14ac:dyDescent="0.15">
      <c r="A5722" s="3">
        <f>DATE(2000,9,7)</f>
        <v>36776</v>
      </c>
      <c r="B5722" s="3">
        <f>DATE(2001,4,26)</f>
        <v>37007</v>
      </c>
      <c r="C5722" s="2" t="s">
        <v>95</v>
      </c>
      <c r="D5722" s="2" t="s">
        <v>17600</v>
      </c>
      <c r="E5722" s="2" t="s">
        <v>8357</v>
      </c>
      <c r="F5722" s="4">
        <v>5411</v>
      </c>
      <c r="G5722" s="2" t="s">
        <v>1461</v>
      </c>
      <c r="H5722" s="2" t="s">
        <v>34</v>
      </c>
      <c r="I5722" s="2" t="s">
        <v>17601</v>
      </c>
      <c r="J5722" s="2" t="s">
        <v>1063</v>
      </c>
      <c r="K5722" s="2" t="s">
        <v>1461</v>
      </c>
      <c r="L5722" s="2" t="s">
        <v>926</v>
      </c>
      <c r="M5722" s="2"/>
      <c r="N5722" s="2"/>
      <c r="O5722" s="2"/>
      <c r="P5722" s="2" t="s">
        <v>17602</v>
      </c>
      <c r="Q5722" s="6">
        <v>58.7</v>
      </c>
      <c r="R5722" s="6">
        <v>18.420000000000002</v>
      </c>
      <c r="S5722" s="5">
        <v>298.10000000000002</v>
      </c>
      <c r="T5722" s="5">
        <v>861.8</v>
      </c>
      <c r="U5722" s="5">
        <v>14.1</v>
      </c>
      <c r="V5722" s="6">
        <v>1.92</v>
      </c>
      <c r="W5722" s="4">
        <v>15</v>
      </c>
      <c r="X5722" s="7">
        <v>15.938000000000001</v>
      </c>
      <c r="Y5722" s="9">
        <v>18.3125</v>
      </c>
      <c r="Z5722" s="9">
        <v>18.1875</v>
      </c>
      <c r="AA5722" s="6">
        <v>168.97</v>
      </c>
      <c r="AB5722" s="7">
        <v>11.646000000000001</v>
      </c>
      <c r="AC5722" s="6">
        <v>368.66</v>
      </c>
    </row>
    <row r="5723" spans="1:29" ht="78" x14ac:dyDescent="0.15">
      <c r="A5723" s="3">
        <f>DATE(2000,9,7)</f>
        <v>36776</v>
      </c>
      <c r="B5723" s="2"/>
      <c r="C5723" s="2" t="s">
        <v>87</v>
      </c>
      <c r="D5723" s="2" t="s">
        <v>5092</v>
      </c>
      <c r="E5723" s="2" t="s">
        <v>2814</v>
      </c>
      <c r="F5723" s="4">
        <v>4812</v>
      </c>
      <c r="G5723" s="2" t="s">
        <v>63</v>
      </c>
      <c r="H5723" s="2" t="s">
        <v>34</v>
      </c>
      <c r="I5723" s="2" t="s">
        <v>17603</v>
      </c>
      <c r="J5723" s="2" t="s">
        <v>17604</v>
      </c>
      <c r="K5723" s="2" t="s">
        <v>63</v>
      </c>
      <c r="L5723" s="2" t="s">
        <v>34</v>
      </c>
      <c r="M5723" s="2"/>
      <c r="N5723" s="2"/>
      <c r="O5723" s="2"/>
      <c r="P5723" s="2" t="s">
        <v>17605</v>
      </c>
      <c r="Q5723" s="2"/>
      <c r="R5723" s="2"/>
      <c r="S5723" s="8">
        <v>-1083</v>
      </c>
      <c r="T5723" s="8">
        <v>1301</v>
      </c>
      <c r="U5723" s="5">
        <v>2.6</v>
      </c>
      <c r="V5723" s="6">
        <v>-1.78</v>
      </c>
      <c r="W5723" s="7">
        <v>55.438000000000002</v>
      </c>
      <c r="X5723" s="7">
        <v>50.063000000000002</v>
      </c>
      <c r="Y5723" s="4">
        <v>53</v>
      </c>
      <c r="Z5723" s="9">
        <v>53.6875</v>
      </c>
      <c r="AA5723" s="6">
        <v>761.36</v>
      </c>
      <c r="AB5723" s="2" t="s">
        <v>86</v>
      </c>
      <c r="AC5723" s="2"/>
    </row>
    <row r="5724" spans="1:29" ht="65" x14ac:dyDescent="0.15">
      <c r="A5724" s="3">
        <f>DATE(2000,9,7)</f>
        <v>36776</v>
      </c>
      <c r="B5724" s="2"/>
      <c r="C5724" s="2" t="s">
        <v>30</v>
      </c>
      <c r="D5724" s="2" t="s">
        <v>17606</v>
      </c>
      <c r="E5724" s="2" t="s">
        <v>17607</v>
      </c>
      <c r="F5724" s="4">
        <v>3089</v>
      </c>
      <c r="G5724" s="2" t="s">
        <v>447</v>
      </c>
      <c r="H5724" s="2" t="s">
        <v>34</v>
      </c>
      <c r="I5724" s="2" t="s">
        <v>51</v>
      </c>
      <c r="J5724" s="2" t="s">
        <v>52</v>
      </c>
      <c r="K5724" s="2" t="s">
        <v>53</v>
      </c>
      <c r="L5724" s="2" t="s">
        <v>34</v>
      </c>
      <c r="M5724" s="2"/>
      <c r="N5724" s="2"/>
      <c r="O5724" s="2"/>
      <c r="P5724" s="2" t="s">
        <v>17608</v>
      </c>
      <c r="Q5724" s="2"/>
      <c r="R5724" s="2"/>
      <c r="S5724" s="5">
        <v>32.6</v>
      </c>
      <c r="T5724" s="5">
        <v>68.5</v>
      </c>
      <c r="U5724" s="5">
        <v>5.7</v>
      </c>
      <c r="V5724" s="6">
        <v>3.13</v>
      </c>
      <c r="W5724" s="7">
        <v>17.125</v>
      </c>
      <c r="X5724" s="6">
        <v>17.25</v>
      </c>
      <c r="Y5724" s="6">
        <v>17.25</v>
      </c>
      <c r="Z5724" s="7">
        <v>17.187999999999999</v>
      </c>
      <c r="AA5724" s="2"/>
      <c r="AB5724" s="2" t="s">
        <v>47</v>
      </c>
      <c r="AC5724" s="2"/>
    </row>
    <row r="5725" spans="1:29" ht="143" x14ac:dyDescent="0.15">
      <c r="A5725" s="3">
        <f>DATE(2000,9,7)</f>
        <v>36776</v>
      </c>
      <c r="B5725" s="2"/>
      <c r="C5725" s="2" t="s">
        <v>30</v>
      </c>
      <c r="D5725" s="2" t="s">
        <v>17609</v>
      </c>
      <c r="E5725" s="2" t="s">
        <v>1467</v>
      </c>
      <c r="F5725" s="4">
        <v>4812</v>
      </c>
      <c r="G5725" s="2" t="s">
        <v>63</v>
      </c>
      <c r="H5725" s="2" t="s">
        <v>34</v>
      </c>
      <c r="I5725" s="2" t="s">
        <v>17610</v>
      </c>
      <c r="J5725" s="2" t="s">
        <v>17611</v>
      </c>
      <c r="K5725" s="2" t="s">
        <v>921</v>
      </c>
      <c r="L5725" s="2" t="s">
        <v>34</v>
      </c>
      <c r="M5725" s="7">
        <v>28.434000000000001</v>
      </c>
      <c r="N5725" s="6">
        <v>0.68</v>
      </c>
      <c r="O5725" s="6">
        <v>0.56000000000000005</v>
      </c>
      <c r="P5725" s="2" t="s">
        <v>17612</v>
      </c>
      <c r="Q5725" s="2"/>
      <c r="R5725" s="6">
        <v>3.27</v>
      </c>
      <c r="S5725" s="5">
        <v>-18</v>
      </c>
      <c r="T5725" s="7">
        <v>-14.731</v>
      </c>
      <c r="U5725" s="5">
        <v>-2.2000000000000002</v>
      </c>
      <c r="V5725" s="6">
        <v>-2.25</v>
      </c>
      <c r="W5725" s="6">
        <v>2.25</v>
      </c>
      <c r="X5725" s="7">
        <v>2.6560000000000001</v>
      </c>
      <c r="Y5725" s="7">
        <v>2.875</v>
      </c>
      <c r="Z5725" s="7">
        <v>2.4380000000000002</v>
      </c>
      <c r="AA5725" s="6">
        <v>13.39</v>
      </c>
      <c r="AB5725" s="2" t="s">
        <v>86</v>
      </c>
      <c r="AC5725" s="5">
        <v>0.1</v>
      </c>
    </row>
    <row r="5726" spans="1:29" ht="65" x14ac:dyDescent="0.15">
      <c r="A5726" s="3">
        <f>DATE(2000,9,8)</f>
        <v>36777</v>
      </c>
      <c r="B5726" s="2"/>
      <c r="C5726" s="2" t="s">
        <v>30</v>
      </c>
      <c r="D5726" s="2" t="s">
        <v>7735</v>
      </c>
      <c r="E5726" s="2" t="s">
        <v>7736</v>
      </c>
      <c r="F5726" s="4">
        <v>3841</v>
      </c>
      <c r="G5726" s="2" t="s">
        <v>226</v>
      </c>
      <c r="H5726" s="2" t="s">
        <v>34</v>
      </c>
      <c r="I5726" s="2" t="s">
        <v>769</v>
      </c>
      <c r="J5726" s="2" t="s">
        <v>770</v>
      </c>
      <c r="K5726" s="2" t="s">
        <v>226</v>
      </c>
      <c r="L5726" s="2" t="s">
        <v>34</v>
      </c>
      <c r="M5726" s="12">
        <v>65977.016000000003</v>
      </c>
      <c r="N5726" s="7">
        <v>50.688000000000002</v>
      </c>
      <c r="O5726" s="5">
        <v>51.5</v>
      </c>
      <c r="P5726" s="2" t="s">
        <v>17613</v>
      </c>
      <c r="Q5726" s="2"/>
      <c r="R5726" s="6">
        <v>26</v>
      </c>
      <c r="S5726" s="5">
        <v>-3.9</v>
      </c>
      <c r="T5726" s="5">
        <v>-3.8</v>
      </c>
      <c r="U5726" s="5">
        <v>2.1</v>
      </c>
      <c r="V5726" s="6">
        <v>-0.22</v>
      </c>
      <c r="W5726" s="7">
        <v>16.437999999999999</v>
      </c>
      <c r="X5726" s="7">
        <v>16.562999999999999</v>
      </c>
      <c r="Y5726" s="9">
        <v>16.0625</v>
      </c>
      <c r="Z5726" s="9">
        <v>25.9375</v>
      </c>
      <c r="AA5726" s="6">
        <v>18.579999999999998</v>
      </c>
      <c r="AB5726" s="2" t="s">
        <v>86</v>
      </c>
      <c r="AC5726" s="5">
        <v>575.20000000000005</v>
      </c>
    </row>
    <row r="5727" spans="1:29" ht="78" x14ac:dyDescent="0.15">
      <c r="A5727" s="3">
        <f>DATE(2000,9,11)</f>
        <v>36780</v>
      </c>
      <c r="B5727" s="2"/>
      <c r="C5727" s="2" t="s">
        <v>30</v>
      </c>
      <c r="D5727" s="2" t="s">
        <v>17614</v>
      </c>
      <c r="E5727" s="2" t="s">
        <v>17615</v>
      </c>
      <c r="F5727" s="4">
        <v>3841</v>
      </c>
      <c r="G5727" s="2" t="s">
        <v>226</v>
      </c>
      <c r="H5727" s="2" t="s">
        <v>34</v>
      </c>
      <c r="I5727" s="2" t="s">
        <v>17616</v>
      </c>
      <c r="J5727" s="2" t="s">
        <v>17617</v>
      </c>
      <c r="K5727" s="2" t="s">
        <v>137</v>
      </c>
      <c r="L5727" s="2" t="s">
        <v>34</v>
      </c>
      <c r="M5727" s="7">
        <v>70.099000000000004</v>
      </c>
      <c r="N5727" s="4">
        <v>20</v>
      </c>
      <c r="O5727" s="4">
        <v>19</v>
      </c>
      <c r="P5727" s="2" t="s">
        <v>17618</v>
      </c>
      <c r="Q5727" s="2"/>
      <c r="R5727" s="6">
        <v>12</v>
      </c>
      <c r="S5727" s="5">
        <v>3</v>
      </c>
      <c r="T5727" s="5">
        <v>6.8</v>
      </c>
      <c r="U5727" s="5">
        <v>2.9</v>
      </c>
      <c r="V5727" s="6">
        <v>0.22</v>
      </c>
      <c r="W5727" s="7">
        <v>8.9060000000000006</v>
      </c>
      <c r="X5727" s="7">
        <v>8.875</v>
      </c>
      <c r="Y5727" s="5">
        <v>9.5</v>
      </c>
      <c r="Z5727" s="7">
        <v>9.9380000000000006</v>
      </c>
      <c r="AA5727" s="6">
        <v>12.26</v>
      </c>
      <c r="AB5727" s="7">
        <v>32.588000000000001</v>
      </c>
      <c r="AC5727" s="5">
        <v>0.5</v>
      </c>
    </row>
    <row r="5728" spans="1:29" ht="104" x14ac:dyDescent="0.15">
      <c r="A5728" s="3">
        <f>DATE(2000,9,11)</f>
        <v>36780</v>
      </c>
      <c r="B5728" s="3">
        <f>DATE(2000,11,10)</f>
        <v>36840</v>
      </c>
      <c r="C5728" s="2" t="s">
        <v>95</v>
      </c>
      <c r="D5728" s="2" t="s">
        <v>16313</v>
      </c>
      <c r="E5728" s="2" t="s">
        <v>839</v>
      </c>
      <c r="F5728" s="4">
        <v>2834</v>
      </c>
      <c r="G5728" s="2" t="s">
        <v>130</v>
      </c>
      <c r="H5728" s="2" t="s">
        <v>34</v>
      </c>
      <c r="I5728" s="2" t="s">
        <v>7644</v>
      </c>
      <c r="J5728" s="2" t="s">
        <v>540</v>
      </c>
      <c r="K5728" s="2" t="s">
        <v>130</v>
      </c>
      <c r="L5728" s="2" t="s">
        <v>7645</v>
      </c>
      <c r="M5728" s="12">
        <v>14809.437</v>
      </c>
      <c r="N5728" s="2"/>
      <c r="O5728" s="2"/>
      <c r="P5728" s="2" t="s">
        <v>17619</v>
      </c>
      <c r="Q5728" s="6">
        <v>100</v>
      </c>
      <c r="R5728" s="6">
        <v>35.03</v>
      </c>
      <c r="S5728" s="5">
        <v>36.5</v>
      </c>
      <c r="T5728" s="5">
        <v>84.2</v>
      </c>
      <c r="U5728" s="5">
        <v>10.5</v>
      </c>
      <c r="V5728" s="6">
        <v>0.81</v>
      </c>
      <c r="W5728" s="7">
        <v>28.125</v>
      </c>
      <c r="X5728" s="7">
        <v>28.625</v>
      </c>
      <c r="Y5728" s="7">
        <v>31.625</v>
      </c>
      <c r="Z5728" s="4">
        <v>35</v>
      </c>
      <c r="AA5728" s="6">
        <v>44.53</v>
      </c>
      <c r="AB5728" s="7">
        <v>35.603999999999999</v>
      </c>
      <c r="AC5728" s="10">
        <v>1355.73</v>
      </c>
    </row>
    <row r="5729" spans="1:29" ht="104" x14ac:dyDescent="0.15">
      <c r="A5729" s="3">
        <f>DATE(2000,9,11)</f>
        <v>36780</v>
      </c>
      <c r="B5729" s="3">
        <f>DATE(2000,12,14)</f>
        <v>36874</v>
      </c>
      <c r="C5729" s="2" t="s">
        <v>95</v>
      </c>
      <c r="D5729" s="2" t="s">
        <v>15122</v>
      </c>
      <c r="E5729" s="2" t="s">
        <v>839</v>
      </c>
      <c r="F5729" s="4">
        <v>2836</v>
      </c>
      <c r="G5729" s="2" t="s">
        <v>130</v>
      </c>
      <c r="H5729" s="2" t="s">
        <v>34</v>
      </c>
      <c r="I5729" s="2" t="s">
        <v>3054</v>
      </c>
      <c r="J5729" s="2" t="s">
        <v>540</v>
      </c>
      <c r="K5729" s="2" t="s">
        <v>130</v>
      </c>
      <c r="L5729" s="2" t="s">
        <v>34</v>
      </c>
      <c r="M5729" s="12">
        <v>10102.040999999999</v>
      </c>
      <c r="N5729" s="7">
        <v>57.688000000000002</v>
      </c>
      <c r="O5729" s="7">
        <v>59.563000000000002</v>
      </c>
      <c r="P5729" s="2" t="s">
        <v>17620</v>
      </c>
      <c r="Q5729" s="6">
        <v>100</v>
      </c>
      <c r="R5729" s="6">
        <v>47.5</v>
      </c>
      <c r="S5729" s="5">
        <v>-12.1</v>
      </c>
      <c r="T5729" s="5">
        <v>0.5</v>
      </c>
      <c r="U5729" s="5">
        <v>7.4</v>
      </c>
      <c r="V5729" s="6">
        <v>-0.86</v>
      </c>
      <c r="W5729" s="7">
        <v>40.125</v>
      </c>
      <c r="X5729" s="7">
        <v>37.375</v>
      </c>
      <c r="Y5729" s="6">
        <v>43.25</v>
      </c>
      <c r="Z5729" s="4">
        <v>44</v>
      </c>
      <c r="AA5729" s="6">
        <v>20.55</v>
      </c>
      <c r="AB5729" s="2" t="s">
        <v>86</v>
      </c>
      <c r="AC5729" s="6">
        <v>361.61</v>
      </c>
    </row>
    <row r="5730" spans="1:29" ht="52" x14ac:dyDescent="0.15">
      <c r="A5730" s="3">
        <f>DATE(2000,9,11)</f>
        <v>36780</v>
      </c>
      <c r="B5730" s="3">
        <f>DATE(2001,1,12)</f>
        <v>36903</v>
      </c>
      <c r="C5730" s="2" t="s">
        <v>95</v>
      </c>
      <c r="D5730" s="2" t="s">
        <v>17621</v>
      </c>
      <c r="E5730" s="2" t="s">
        <v>17622</v>
      </c>
      <c r="F5730" s="4">
        <v>3262</v>
      </c>
      <c r="G5730" s="2" t="s">
        <v>237</v>
      </c>
      <c r="H5730" s="2" t="s">
        <v>34</v>
      </c>
      <c r="I5730" s="2" t="s">
        <v>17623</v>
      </c>
      <c r="J5730" s="2" t="s">
        <v>17624</v>
      </c>
      <c r="K5730" s="2" t="s">
        <v>237</v>
      </c>
      <c r="L5730" s="2" t="s">
        <v>133</v>
      </c>
      <c r="M5730" s="2"/>
      <c r="N5730" s="2"/>
      <c r="O5730" s="2"/>
      <c r="P5730" s="2" t="s">
        <v>17625</v>
      </c>
      <c r="Q5730" s="6">
        <v>100</v>
      </c>
      <c r="R5730" s="6">
        <v>16.5</v>
      </c>
      <c r="S5730" s="5">
        <v>23.5</v>
      </c>
      <c r="T5730" s="5">
        <v>56.9</v>
      </c>
      <c r="U5730" s="5">
        <v>12.3</v>
      </c>
      <c r="V5730" s="6">
        <v>1.35</v>
      </c>
      <c r="W5730" s="7">
        <v>9.8130000000000006</v>
      </c>
      <c r="X5730" s="6">
        <v>9.75</v>
      </c>
      <c r="Y5730" s="7">
        <v>16.062999999999999</v>
      </c>
      <c r="Z5730" s="7">
        <v>16.125</v>
      </c>
      <c r="AA5730" s="6">
        <v>16.989999999999998</v>
      </c>
      <c r="AB5730" s="7">
        <v>8.3249999999999993</v>
      </c>
      <c r="AC5730" s="2"/>
    </row>
    <row r="5731" spans="1:29" ht="169" x14ac:dyDescent="0.15">
      <c r="A5731" s="3">
        <f>DATE(2000,9,12)</f>
        <v>36781</v>
      </c>
      <c r="B5731" s="2"/>
      <c r="C5731" s="2" t="s">
        <v>7330</v>
      </c>
      <c r="D5731" s="2" t="s">
        <v>17626</v>
      </c>
      <c r="E5731" s="2" t="s">
        <v>4285</v>
      </c>
      <c r="F5731" s="4">
        <v>4841</v>
      </c>
      <c r="G5731" s="2" t="s">
        <v>45</v>
      </c>
      <c r="H5731" s="2" t="s">
        <v>34</v>
      </c>
      <c r="I5731" s="2" t="s">
        <v>17627</v>
      </c>
      <c r="J5731" s="2" t="s">
        <v>17628</v>
      </c>
      <c r="K5731" s="2" t="s">
        <v>921</v>
      </c>
      <c r="L5731" s="2" t="s">
        <v>34</v>
      </c>
      <c r="M5731" s="2"/>
      <c r="N5731" s="2"/>
      <c r="O5731" s="2"/>
      <c r="P5731" s="2" t="s">
        <v>17629</v>
      </c>
      <c r="Q5731" s="2"/>
      <c r="R5731" s="6">
        <v>5.78</v>
      </c>
      <c r="S5731" s="5">
        <v>3.7</v>
      </c>
      <c r="T5731" s="7">
        <v>-0.24099999999999999</v>
      </c>
      <c r="U5731" s="5">
        <v>-1.7</v>
      </c>
      <c r="V5731" s="6">
        <v>1.06</v>
      </c>
      <c r="W5731" s="4">
        <v>5</v>
      </c>
      <c r="X5731" s="6">
        <v>2.75</v>
      </c>
      <c r="Y5731" s="4">
        <v>4</v>
      </c>
      <c r="Z5731" s="7">
        <v>3.375</v>
      </c>
      <c r="AA5731" s="6">
        <v>1.19</v>
      </c>
      <c r="AB5731" s="2" t="s">
        <v>86</v>
      </c>
      <c r="AC5731" s="2"/>
    </row>
    <row r="5732" spans="1:29" ht="130" x14ac:dyDescent="0.15">
      <c r="A5732" s="3">
        <f>DATE(2000,9,13)</f>
        <v>36782</v>
      </c>
      <c r="B5732" s="3">
        <f>DATE(2000,10,18)</f>
        <v>36817</v>
      </c>
      <c r="C5732" s="2" t="s">
        <v>95</v>
      </c>
      <c r="D5732" s="2" t="s">
        <v>17630</v>
      </c>
      <c r="E5732" s="2" t="s">
        <v>17631</v>
      </c>
      <c r="F5732" s="4">
        <v>2844</v>
      </c>
      <c r="G5732" s="2" t="s">
        <v>358</v>
      </c>
      <c r="H5732" s="2" t="s">
        <v>34</v>
      </c>
      <c r="I5732" s="2" t="s">
        <v>17632</v>
      </c>
      <c r="J5732" s="2" t="s">
        <v>17633</v>
      </c>
      <c r="K5732" s="2" t="s">
        <v>447</v>
      </c>
      <c r="L5732" s="2" t="s">
        <v>34</v>
      </c>
      <c r="M5732" s="12">
        <v>1151.069</v>
      </c>
      <c r="N5732" s="7">
        <v>19.937999999999999</v>
      </c>
      <c r="O5732" s="5">
        <v>19.5</v>
      </c>
      <c r="P5732" s="2" t="s">
        <v>17634</v>
      </c>
      <c r="Q5732" s="6">
        <v>100</v>
      </c>
      <c r="R5732" s="6">
        <v>7</v>
      </c>
      <c r="S5732" s="5">
        <v>-7.4</v>
      </c>
      <c r="T5732" s="5">
        <v>-6.1</v>
      </c>
      <c r="U5732" s="5">
        <v>1.5</v>
      </c>
      <c r="V5732" s="6">
        <v>-1.01</v>
      </c>
      <c r="W5732" s="5">
        <v>3.5</v>
      </c>
      <c r="X5732" s="6">
        <v>3.75</v>
      </c>
      <c r="Y5732" s="7">
        <v>3.625</v>
      </c>
      <c r="Z5732" s="7">
        <v>6.875</v>
      </c>
      <c r="AA5732" s="6">
        <v>7.23</v>
      </c>
      <c r="AB5732" s="2" t="s">
        <v>86</v>
      </c>
      <c r="AC5732" s="5">
        <v>25.4</v>
      </c>
    </row>
    <row r="5733" spans="1:29" ht="143" x14ac:dyDescent="0.15">
      <c r="A5733" s="3">
        <f>DATE(2000,9,13)</f>
        <v>36782</v>
      </c>
      <c r="B5733" s="2"/>
      <c r="C5733" s="2" t="s">
        <v>30</v>
      </c>
      <c r="D5733" s="2" t="s">
        <v>17635</v>
      </c>
      <c r="E5733" s="2" t="s">
        <v>92</v>
      </c>
      <c r="F5733" s="4">
        <v>6798</v>
      </c>
      <c r="G5733" s="2" t="s">
        <v>53</v>
      </c>
      <c r="H5733" s="2" t="s">
        <v>34</v>
      </c>
      <c r="I5733" s="2" t="s">
        <v>17636</v>
      </c>
      <c r="J5733" s="2" t="s">
        <v>15613</v>
      </c>
      <c r="K5733" s="2" t="s">
        <v>53</v>
      </c>
      <c r="L5733" s="2" t="s">
        <v>34</v>
      </c>
      <c r="M5733" s="2"/>
      <c r="N5733" s="2"/>
      <c r="O5733" s="2"/>
      <c r="P5733" s="2" t="s">
        <v>17637</v>
      </c>
      <c r="Q5733" s="2"/>
      <c r="R5733" s="6">
        <v>2</v>
      </c>
      <c r="S5733" s="5">
        <v>-160</v>
      </c>
      <c r="T5733" s="2"/>
      <c r="U5733" s="5">
        <v>3.9</v>
      </c>
      <c r="V5733" s="6">
        <v>-15.13</v>
      </c>
      <c r="W5733" s="7">
        <v>1.875</v>
      </c>
      <c r="X5733" s="7">
        <v>1.4379999999999999</v>
      </c>
      <c r="Y5733" s="7">
        <v>1.875</v>
      </c>
      <c r="Z5733" s="9">
        <v>1.6875</v>
      </c>
      <c r="AA5733" s="6">
        <v>11.45</v>
      </c>
      <c r="AB5733" s="2" t="s">
        <v>47</v>
      </c>
      <c r="AC5733" s="2"/>
    </row>
    <row r="5734" spans="1:29" ht="143" x14ac:dyDescent="0.15">
      <c r="A5734" s="3">
        <f>DATE(2000,9,13)</f>
        <v>36782</v>
      </c>
      <c r="B5734" s="3">
        <f>DATE(2000,11,17)</f>
        <v>36847</v>
      </c>
      <c r="C5734" s="2" t="s">
        <v>95</v>
      </c>
      <c r="D5734" s="2" t="s">
        <v>17638</v>
      </c>
      <c r="E5734" s="2" t="s">
        <v>17639</v>
      </c>
      <c r="F5734" s="4">
        <v>5942</v>
      </c>
      <c r="G5734" s="2" t="s">
        <v>73</v>
      </c>
      <c r="H5734" s="2" t="s">
        <v>34</v>
      </c>
      <c r="I5734" s="2" t="s">
        <v>17640</v>
      </c>
      <c r="J5734" s="2" t="s">
        <v>17641</v>
      </c>
      <c r="K5734" s="2" t="s">
        <v>73</v>
      </c>
      <c r="L5734" s="2" t="s">
        <v>34</v>
      </c>
      <c r="M5734" s="7">
        <v>124.581</v>
      </c>
      <c r="N5734" s="7">
        <v>4.375</v>
      </c>
      <c r="O5734" s="7">
        <v>4.5629999999999997</v>
      </c>
      <c r="P5734" s="2" t="s">
        <v>17642</v>
      </c>
      <c r="Q5734" s="6">
        <v>100</v>
      </c>
      <c r="R5734" s="6">
        <v>3.19</v>
      </c>
      <c r="S5734" s="5">
        <v>-30.3</v>
      </c>
      <c r="T5734" s="5">
        <v>-29.4</v>
      </c>
      <c r="U5734" s="5">
        <v>2.9</v>
      </c>
      <c r="V5734" s="6">
        <v>-2.61</v>
      </c>
      <c r="W5734" s="7">
        <v>3.625</v>
      </c>
      <c r="X5734" s="7">
        <v>3.8130000000000002</v>
      </c>
      <c r="Y5734" s="7">
        <v>4.391</v>
      </c>
      <c r="Z5734" s="7">
        <v>3.9380000000000002</v>
      </c>
      <c r="AA5734" s="6">
        <v>13.04</v>
      </c>
      <c r="AB5734" s="2" t="s">
        <v>86</v>
      </c>
      <c r="AC5734" s="5">
        <v>247.4</v>
      </c>
    </row>
    <row r="5735" spans="1:29" ht="156" x14ac:dyDescent="0.15">
      <c r="A5735" s="3">
        <f>DATE(2000,9,13)</f>
        <v>36782</v>
      </c>
      <c r="B5735" s="3">
        <f>DATE(2000,12,31)</f>
        <v>36891</v>
      </c>
      <c r="C5735" s="2" t="s">
        <v>95</v>
      </c>
      <c r="D5735" s="2" t="s">
        <v>9705</v>
      </c>
      <c r="E5735" s="2" t="s">
        <v>2712</v>
      </c>
      <c r="F5735" s="4">
        <v>6211</v>
      </c>
      <c r="G5735" s="2" t="s">
        <v>53</v>
      </c>
      <c r="H5735" s="2" t="s">
        <v>34</v>
      </c>
      <c r="I5735" s="2" t="s">
        <v>11760</v>
      </c>
      <c r="J5735" s="2" t="s">
        <v>36</v>
      </c>
      <c r="K5735" s="2" t="s">
        <v>37</v>
      </c>
      <c r="L5735" s="2" t="s">
        <v>34</v>
      </c>
      <c r="M5735" s="10">
        <v>62599.63</v>
      </c>
      <c r="N5735" s="7">
        <v>50.688000000000002</v>
      </c>
      <c r="O5735" s="7">
        <v>50.313000000000002</v>
      </c>
      <c r="P5735" s="2" t="s">
        <v>17643</v>
      </c>
      <c r="Q5735" s="6">
        <v>100</v>
      </c>
      <c r="R5735" s="6">
        <v>194.25</v>
      </c>
      <c r="S5735" s="8">
        <v>2121</v>
      </c>
      <c r="T5735" s="8">
        <v>4528</v>
      </c>
      <c r="U5735" s="5">
        <v>69.2</v>
      </c>
      <c r="V5735" s="6">
        <v>11.13</v>
      </c>
      <c r="W5735" s="7">
        <v>159.93799999999999</v>
      </c>
      <c r="X5735" s="4">
        <v>169</v>
      </c>
      <c r="Y5735" s="6">
        <v>177.75</v>
      </c>
      <c r="Z5735" s="5">
        <v>181.5</v>
      </c>
      <c r="AA5735" s="6">
        <v>159.04</v>
      </c>
      <c r="AB5735" s="7">
        <v>29.757000000000001</v>
      </c>
      <c r="AC5735" s="8">
        <v>68128</v>
      </c>
    </row>
    <row r="5736" spans="1:29" ht="78" x14ac:dyDescent="0.15">
      <c r="A5736" s="3">
        <f>DATE(2000,9,13)</f>
        <v>36782</v>
      </c>
      <c r="B5736" s="3">
        <f>DATE(2000,9,19)</f>
        <v>36788</v>
      </c>
      <c r="C5736" s="2" t="s">
        <v>95</v>
      </c>
      <c r="D5736" s="2" t="s">
        <v>17644</v>
      </c>
      <c r="E5736" s="2" t="s">
        <v>17645</v>
      </c>
      <c r="F5736" s="4">
        <v>4953</v>
      </c>
      <c r="G5736" s="2" t="s">
        <v>116</v>
      </c>
      <c r="H5736" s="2" t="s">
        <v>34</v>
      </c>
      <c r="I5736" s="2" t="s">
        <v>17646</v>
      </c>
      <c r="J5736" s="2" t="s">
        <v>17647</v>
      </c>
      <c r="K5736" s="2" t="s">
        <v>166</v>
      </c>
      <c r="L5736" s="2" t="s">
        <v>902</v>
      </c>
      <c r="M5736" s="2"/>
      <c r="N5736" s="2"/>
      <c r="O5736" s="2"/>
      <c r="P5736" s="2" t="s">
        <v>17648</v>
      </c>
      <c r="Q5736" s="6">
        <v>100</v>
      </c>
      <c r="R5736" s="2"/>
      <c r="S5736" s="2"/>
      <c r="T5736" s="2"/>
      <c r="U5736" s="2"/>
      <c r="V5736" s="2"/>
      <c r="W5736" s="7">
        <v>1.4379999999999999</v>
      </c>
      <c r="X5736" s="7">
        <v>1.375</v>
      </c>
      <c r="Y5736" s="7">
        <v>1.3129999999999999</v>
      </c>
      <c r="Z5736" s="7">
        <v>1.375</v>
      </c>
      <c r="AA5736" s="2"/>
      <c r="AB5736" s="2" t="s">
        <v>47</v>
      </c>
      <c r="AC5736" s="2"/>
    </row>
    <row r="5737" spans="1:29" ht="104" x14ac:dyDescent="0.15">
      <c r="A5737" s="3">
        <f>DATE(2000,9,15)</f>
        <v>36784</v>
      </c>
      <c r="B5737" s="3">
        <f>DATE(2001,3,20)</f>
        <v>36970</v>
      </c>
      <c r="C5737" s="2" t="s">
        <v>95</v>
      </c>
      <c r="D5737" s="2" t="s">
        <v>17649</v>
      </c>
      <c r="E5737" s="2" t="s">
        <v>17650</v>
      </c>
      <c r="F5737" s="4">
        <v>6282</v>
      </c>
      <c r="G5737" s="2" t="s">
        <v>53</v>
      </c>
      <c r="H5737" s="2" t="s">
        <v>34</v>
      </c>
      <c r="I5737" s="2" t="s">
        <v>17651</v>
      </c>
      <c r="J5737" s="2" t="s">
        <v>2712</v>
      </c>
      <c r="K5737" s="2" t="s">
        <v>53</v>
      </c>
      <c r="L5737" s="2" t="s">
        <v>34</v>
      </c>
      <c r="M5737" s="7">
        <v>68.978999999999999</v>
      </c>
      <c r="N5737" s="7">
        <v>8.125</v>
      </c>
      <c r="O5737" s="7">
        <v>7.8129999999999997</v>
      </c>
      <c r="P5737" s="2" t="s">
        <v>17652</v>
      </c>
      <c r="Q5737" s="6">
        <v>57.38</v>
      </c>
      <c r="R5737" s="2"/>
      <c r="S5737" s="5">
        <v>-1.2</v>
      </c>
      <c r="T5737" s="7">
        <v>-1.139</v>
      </c>
      <c r="U5737" s="5">
        <v>0.1</v>
      </c>
      <c r="V5737" s="7">
        <v>-0.222</v>
      </c>
      <c r="W5737" s="6">
        <v>4.25</v>
      </c>
      <c r="X5737" s="7">
        <v>4.1879999999999997</v>
      </c>
      <c r="Y5737" s="7">
        <v>4.2030000000000003</v>
      </c>
      <c r="Z5737" s="7">
        <v>4.2030000000000003</v>
      </c>
      <c r="AA5737" s="6">
        <v>6.28</v>
      </c>
      <c r="AB5737" s="2" t="s">
        <v>86</v>
      </c>
      <c r="AC5737" s="5">
        <v>1.5</v>
      </c>
    </row>
    <row r="5738" spans="1:29" ht="91" x14ac:dyDescent="0.15">
      <c r="A5738" s="3">
        <f>DATE(2000,9,18)</f>
        <v>36787</v>
      </c>
      <c r="B5738" s="3">
        <f>DATE(2000,12,7)</f>
        <v>36867</v>
      </c>
      <c r="C5738" s="2" t="s">
        <v>95</v>
      </c>
      <c r="D5738" s="2" t="s">
        <v>17653</v>
      </c>
      <c r="E5738" s="2" t="s">
        <v>17654</v>
      </c>
      <c r="F5738" s="4">
        <v>3679</v>
      </c>
      <c r="G5738" s="2" t="s">
        <v>137</v>
      </c>
      <c r="H5738" s="2" t="s">
        <v>34</v>
      </c>
      <c r="I5738" s="2" t="s">
        <v>7432</v>
      </c>
      <c r="J5738" s="2" t="s">
        <v>7433</v>
      </c>
      <c r="K5738" s="2" t="s">
        <v>50</v>
      </c>
      <c r="L5738" s="2" t="s">
        <v>34</v>
      </c>
      <c r="M5738" s="12">
        <v>193642.33900000001</v>
      </c>
      <c r="N5738" s="6">
        <v>115.25</v>
      </c>
      <c r="O5738" s="7">
        <v>117.688</v>
      </c>
      <c r="P5738" s="2" t="s">
        <v>17655</v>
      </c>
      <c r="Q5738" s="6">
        <v>100</v>
      </c>
      <c r="R5738" s="6">
        <v>57.63</v>
      </c>
      <c r="S5738" s="5">
        <v>-22.7</v>
      </c>
      <c r="T5738" s="5">
        <v>-13</v>
      </c>
      <c r="U5738" s="5">
        <v>6.8</v>
      </c>
      <c r="V5738" s="6">
        <v>-3.22</v>
      </c>
      <c r="W5738" s="7">
        <v>49.688000000000002</v>
      </c>
      <c r="X5738" s="7">
        <v>43.625</v>
      </c>
      <c r="Y5738" s="7">
        <v>41.125</v>
      </c>
      <c r="Z5738" s="7">
        <v>57.188000000000002</v>
      </c>
      <c r="AA5738" s="6">
        <v>29.56</v>
      </c>
      <c r="AB5738" s="2" t="s">
        <v>86</v>
      </c>
      <c r="AC5738" s="8">
        <v>1464.1</v>
      </c>
    </row>
    <row r="5739" spans="1:29" ht="208" x14ac:dyDescent="0.15">
      <c r="A5739" s="3">
        <f>DATE(2000,9,18)</f>
        <v>36787</v>
      </c>
      <c r="B5739" s="2"/>
      <c r="C5739" s="2" t="s">
        <v>7330</v>
      </c>
      <c r="D5739" s="2" t="s">
        <v>17656</v>
      </c>
      <c r="E5739" s="2" t="s">
        <v>17657</v>
      </c>
      <c r="F5739" s="4">
        <v>3842</v>
      </c>
      <c r="G5739" s="2" t="s">
        <v>226</v>
      </c>
      <c r="H5739" s="2" t="s">
        <v>34</v>
      </c>
      <c r="I5739" s="2" t="s">
        <v>17658</v>
      </c>
      <c r="J5739" s="2" t="s">
        <v>2948</v>
      </c>
      <c r="K5739" s="2" t="s">
        <v>447</v>
      </c>
      <c r="L5739" s="2" t="s">
        <v>34</v>
      </c>
      <c r="M5739" s="2"/>
      <c r="N5739" s="2"/>
      <c r="O5739" s="2"/>
      <c r="P5739" s="2" t="s">
        <v>17659</v>
      </c>
      <c r="Q5739" s="2"/>
      <c r="R5739" s="6">
        <v>1.53</v>
      </c>
      <c r="S5739" s="5">
        <v>-0.5</v>
      </c>
      <c r="T5739" s="5">
        <v>-0.3</v>
      </c>
      <c r="U5739" s="5">
        <v>0.9</v>
      </c>
      <c r="V5739" s="6">
        <v>-0.2</v>
      </c>
      <c r="W5739" s="6">
        <v>1.25</v>
      </c>
      <c r="X5739" s="7">
        <v>1.4059999999999999</v>
      </c>
      <c r="Y5739" s="7">
        <v>1.5629999999999999</v>
      </c>
      <c r="Z5739" s="5">
        <v>1.5</v>
      </c>
      <c r="AA5739" s="6">
        <v>2.57</v>
      </c>
      <c r="AB5739" s="2" t="s">
        <v>86</v>
      </c>
      <c r="AC5739" s="2"/>
    </row>
    <row r="5740" spans="1:29" ht="52" x14ac:dyDescent="0.15">
      <c r="A5740" s="3">
        <f>DATE(2000,9,19)</f>
        <v>36788</v>
      </c>
      <c r="B5740" s="2"/>
      <c r="C5740" s="2" t="s">
        <v>7330</v>
      </c>
      <c r="D5740" s="2" t="s">
        <v>17660</v>
      </c>
      <c r="E5740" s="2" t="s">
        <v>17661</v>
      </c>
      <c r="F5740" s="4">
        <v>7379</v>
      </c>
      <c r="G5740" s="2" t="s">
        <v>223</v>
      </c>
      <c r="H5740" s="2" t="s">
        <v>34</v>
      </c>
      <c r="I5740" s="2" t="s">
        <v>17662</v>
      </c>
      <c r="J5740" s="2" t="s">
        <v>229</v>
      </c>
      <c r="K5740" s="2" t="s">
        <v>230</v>
      </c>
      <c r="L5740" s="2" t="s">
        <v>902</v>
      </c>
      <c r="M5740" s="2"/>
      <c r="N5740" s="2"/>
      <c r="O5740" s="2"/>
      <c r="P5740" s="2" t="s">
        <v>17663</v>
      </c>
      <c r="Q5740" s="2"/>
      <c r="R5740" s="2"/>
      <c r="S5740" s="5">
        <v>-94.6</v>
      </c>
      <c r="T5740" s="5">
        <v>-0.6</v>
      </c>
      <c r="U5740" s="5">
        <v>0.8</v>
      </c>
      <c r="V5740" s="6">
        <v>-4.26</v>
      </c>
      <c r="W5740" s="11">
        <v>1.53125</v>
      </c>
      <c r="X5740" s="9">
        <v>1.4375</v>
      </c>
      <c r="Y5740" s="9">
        <v>1.4375</v>
      </c>
      <c r="Z5740" s="11">
        <v>1.34375</v>
      </c>
      <c r="AA5740" s="6">
        <v>22.2</v>
      </c>
      <c r="AB5740" s="2" t="s">
        <v>86</v>
      </c>
      <c r="AC5740" s="6">
        <v>0.55000000000000004</v>
      </c>
    </row>
    <row r="5741" spans="1:29" ht="117" x14ac:dyDescent="0.15">
      <c r="A5741" s="3">
        <f>DATE(2000,9,19)</f>
        <v>36788</v>
      </c>
      <c r="B5741" s="2"/>
      <c r="C5741" s="2" t="s">
        <v>7330</v>
      </c>
      <c r="D5741" s="2" t="s">
        <v>17664</v>
      </c>
      <c r="E5741" s="2" t="s">
        <v>389</v>
      </c>
      <c r="F5741" s="4">
        <v>6035</v>
      </c>
      <c r="G5741" s="2" t="s">
        <v>33</v>
      </c>
      <c r="H5741" s="2" t="s">
        <v>34</v>
      </c>
      <c r="I5741" s="2" t="s">
        <v>14053</v>
      </c>
      <c r="J5741" s="2" t="s">
        <v>159</v>
      </c>
      <c r="K5741" s="2" t="s">
        <v>37</v>
      </c>
      <c r="L5741" s="2" t="s">
        <v>34</v>
      </c>
      <c r="M5741" s="12">
        <v>5539.9430000000002</v>
      </c>
      <c r="N5741" s="7">
        <v>20.625</v>
      </c>
      <c r="O5741" s="7">
        <v>20.375</v>
      </c>
      <c r="P5741" s="2" t="s">
        <v>17665</v>
      </c>
      <c r="Q5741" s="2"/>
      <c r="R5741" s="6">
        <v>17.29</v>
      </c>
      <c r="S5741" s="5">
        <v>2.8</v>
      </c>
      <c r="T5741" s="2"/>
      <c r="U5741" s="5">
        <v>6.3</v>
      </c>
      <c r="V5741" s="6">
        <v>0.7</v>
      </c>
      <c r="W5741" s="4">
        <v>14</v>
      </c>
      <c r="X5741" s="5">
        <v>13.5</v>
      </c>
      <c r="Y5741" s="7">
        <v>13.218999999999999</v>
      </c>
      <c r="Z5741" s="7">
        <v>16.625</v>
      </c>
      <c r="AA5741" s="6">
        <v>3.67</v>
      </c>
      <c r="AB5741" s="7">
        <v>64.123000000000005</v>
      </c>
      <c r="AC5741" s="5">
        <v>572.5</v>
      </c>
    </row>
    <row r="5742" spans="1:29" ht="91" x14ac:dyDescent="0.15">
      <c r="A5742" s="3">
        <f>DATE(2000,9,19)</f>
        <v>36788</v>
      </c>
      <c r="B5742" s="3">
        <f>DATE(2001,4,2)</f>
        <v>36983</v>
      </c>
      <c r="C5742" s="2" t="s">
        <v>95</v>
      </c>
      <c r="D5742" s="2" t="s">
        <v>17666</v>
      </c>
      <c r="E5742" s="2" t="s">
        <v>17667</v>
      </c>
      <c r="F5742" s="4">
        <v>6036</v>
      </c>
      <c r="G5742" s="2" t="s">
        <v>33</v>
      </c>
      <c r="H5742" s="2" t="s">
        <v>34</v>
      </c>
      <c r="I5742" s="2" t="s">
        <v>17668</v>
      </c>
      <c r="J5742" s="2" t="s">
        <v>3246</v>
      </c>
      <c r="K5742" s="2" t="s">
        <v>37</v>
      </c>
      <c r="L5742" s="2" t="s">
        <v>34</v>
      </c>
      <c r="M5742" s="7">
        <v>23.486000000000001</v>
      </c>
      <c r="N5742" s="7">
        <v>11.843999999999999</v>
      </c>
      <c r="O5742" s="4">
        <v>12</v>
      </c>
      <c r="P5742" s="2" t="s">
        <v>17669</v>
      </c>
      <c r="Q5742" s="6">
        <v>100</v>
      </c>
      <c r="R5742" s="6">
        <v>13</v>
      </c>
      <c r="S5742" s="5">
        <v>0.4</v>
      </c>
      <c r="T5742" s="5">
        <v>0.8</v>
      </c>
      <c r="U5742" s="5">
        <v>11.6</v>
      </c>
      <c r="V5742" s="6">
        <v>0.31</v>
      </c>
      <c r="W5742" s="6">
        <v>9.25</v>
      </c>
      <c r="X5742" s="7">
        <v>9.3130000000000006</v>
      </c>
      <c r="Y5742" s="6">
        <v>9.75</v>
      </c>
      <c r="Z5742" s="6">
        <v>12.25</v>
      </c>
      <c r="AA5742" s="6">
        <v>1.26</v>
      </c>
      <c r="AB5742" s="7">
        <v>110.366</v>
      </c>
      <c r="AC5742" s="2"/>
    </row>
    <row r="5743" spans="1:29" ht="143" x14ac:dyDescent="0.15">
      <c r="A5743" s="3">
        <f>DATE(2000,9,19)</f>
        <v>36788</v>
      </c>
      <c r="B5743" s="3">
        <f>DATE(2000,11,30)</f>
        <v>36860</v>
      </c>
      <c r="C5743" s="2" t="s">
        <v>95</v>
      </c>
      <c r="D5743" s="2" t="s">
        <v>17670</v>
      </c>
      <c r="E5743" s="2" t="s">
        <v>17671</v>
      </c>
      <c r="F5743" s="4">
        <v>7011</v>
      </c>
      <c r="G5743" s="2" t="s">
        <v>269</v>
      </c>
      <c r="H5743" s="2" t="s">
        <v>34</v>
      </c>
      <c r="I5743" s="2" t="s">
        <v>17672</v>
      </c>
      <c r="J5743" s="2" t="s">
        <v>244</v>
      </c>
      <c r="K5743" s="2" t="s">
        <v>53</v>
      </c>
      <c r="L5743" s="2" t="s">
        <v>34</v>
      </c>
      <c r="M5743" s="2"/>
      <c r="N5743" s="2"/>
      <c r="O5743" s="2"/>
      <c r="P5743" s="2" t="s">
        <v>17673</v>
      </c>
      <c r="Q5743" s="6">
        <v>100</v>
      </c>
      <c r="R5743" s="6">
        <v>5</v>
      </c>
      <c r="S5743" s="5">
        <v>-17.8</v>
      </c>
      <c r="T5743" s="5">
        <v>2.4</v>
      </c>
      <c r="U5743" s="5">
        <v>2.7</v>
      </c>
      <c r="V5743" s="6">
        <v>-0.89</v>
      </c>
      <c r="W5743" s="7">
        <v>4.375</v>
      </c>
      <c r="X5743" s="7">
        <v>4.375</v>
      </c>
      <c r="Y5743" s="7">
        <v>4.8440000000000003</v>
      </c>
      <c r="Z5743" s="7">
        <v>4.8440000000000003</v>
      </c>
      <c r="AA5743" s="6">
        <v>19.95</v>
      </c>
      <c r="AB5743" s="2" t="s">
        <v>86</v>
      </c>
      <c r="AC5743" s="2"/>
    </row>
    <row r="5744" spans="1:29" ht="117" x14ac:dyDescent="0.15">
      <c r="A5744" s="3">
        <f>DATE(2000,9,20)</f>
        <v>36789</v>
      </c>
      <c r="B5744" s="3">
        <f>DATE(2001,2,12)</f>
        <v>36934</v>
      </c>
      <c r="C5744" s="2" t="s">
        <v>95</v>
      </c>
      <c r="D5744" s="2" t="s">
        <v>17674</v>
      </c>
      <c r="E5744" s="2" t="s">
        <v>36</v>
      </c>
      <c r="F5744" s="4">
        <v>6035</v>
      </c>
      <c r="G5744" s="2" t="s">
        <v>33</v>
      </c>
      <c r="H5744" s="2" t="s">
        <v>34</v>
      </c>
      <c r="I5744" s="2" t="s">
        <v>1955</v>
      </c>
      <c r="J5744" s="2" t="s">
        <v>672</v>
      </c>
      <c r="K5744" s="2" t="s">
        <v>37</v>
      </c>
      <c r="L5744" s="2" t="s">
        <v>34</v>
      </c>
      <c r="M5744" s="12">
        <v>4101.2190000000001</v>
      </c>
      <c r="N5744" s="6">
        <v>33.25</v>
      </c>
      <c r="O5744" s="7">
        <v>32.875</v>
      </c>
      <c r="P5744" s="2" t="s">
        <v>17675</v>
      </c>
      <c r="Q5744" s="6">
        <v>100</v>
      </c>
      <c r="R5744" s="6">
        <v>14.32</v>
      </c>
      <c r="S5744" s="5">
        <v>11.3</v>
      </c>
      <c r="T5744" s="5">
        <v>23.2</v>
      </c>
      <c r="U5744" s="5">
        <v>13.1</v>
      </c>
      <c r="V5744" s="6">
        <v>1.17</v>
      </c>
      <c r="W5744" s="7">
        <v>10.938000000000001</v>
      </c>
      <c r="X5744" s="7">
        <v>11.313000000000001</v>
      </c>
      <c r="Y5744" s="6">
        <v>11.75</v>
      </c>
      <c r="Z5744" s="6">
        <v>13.75</v>
      </c>
      <c r="AA5744" s="6">
        <v>9.9700000000000006</v>
      </c>
      <c r="AB5744" s="7">
        <v>86.03</v>
      </c>
      <c r="AC5744" s="8">
        <v>1108.0999999999999</v>
      </c>
    </row>
    <row r="5745" spans="1:29" ht="130" x14ac:dyDescent="0.15">
      <c r="A5745" s="3">
        <f>DATE(2000,9,21)</f>
        <v>36790</v>
      </c>
      <c r="B5745" s="3">
        <f>DATE(2001,3,9)</f>
        <v>36959</v>
      </c>
      <c r="C5745" s="2" t="s">
        <v>95</v>
      </c>
      <c r="D5745" s="2" t="s">
        <v>17676</v>
      </c>
      <c r="E5745" s="2" t="s">
        <v>17677</v>
      </c>
      <c r="F5745" s="4">
        <v>7514</v>
      </c>
      <c r="G5745" s="2" t="s">
        <v>1327</v>
      </c>
      <c r="H5745" s="2" t="s">
        <v>34</v>
      </c>
      <c r="I5745" s="2" t="s">
        <v>1598</v>
      </c>
      <c r="J5745" s="2" t="s">
        <v>1599</v>
      </c>
      <c r="K5745" s="2" t="s">
        <v>105</v>
      </c>
      <c r="L5745" s="2" t="s">
        <v>34</v>
      </c>
      <c r="M5745" s="12">
        <v>31682.026999999998</v>
      </c>
      <c r="N5745" s="7">
        <v>24.812999999999999</v>
      </c>
      <c r="O5745" s="5">
        <v>25.5</v>
      </c>
      <c r="P5745" s="2" t="s">
        <v>17678</v>
      </c>
      <c r="Q5745" s="6">
        <v>19.02</v>
      </c>
      <c r="R5745" s="6">
        <v>35.5</v>
      </c>
      <c r="S5745" s="5">
        <v>358.4</v>
      </c>
      <c r="T5745" s="7">
        <v>735.06799999999998</v>
      </c>
      <c r="U5745" s="5">
        <v>18.3</v>
      </c>
      <c r="V5745" s="6">
        <v>3.33</v>
      </c>
      <c r="W5745" s="7">
        <v>24.875</v>
      </c>
      <c r="X5745" s="6">
        <v>24.25</v>
      </c>
      <c r="Y5745" s="7">
        <v>31.625</v>
      </c>
      <c r="Z5745" s="7">
        <v>31.875</v>
      </c>
      <c r="AA5745" s="6">
        <v>107.46</v>
      </c>
      <c r="AB5745" s="7">
        <v>18.192</v>
      </c>
      <c r="AC5745" s="8">
        <v>4851</v>
      </c>
    </row>
    <row r="5746" spans="1:29" ht="104" x14ac:dyDescent="0.15">
      <c r="A5746" s="3">
        <f>DATE(2000,9,21)</f>
        <v>36790</v>
      </c>
      <c r="B5746" s="3">
        <f>DATE(2001,6,29)</f>
        <v>37071</v>
      </c>
      <c r="C5746" s="2" t="s">
        <v>95</v>
      </c>
      <c r="D5746" s="2" t="s">
        <v>17551</v>
      </c>
      <c r="E5746" s="2" t="s">
        <v>17552</v>
      </c>
      <c r="F5746" s="4">
        <v>6036</v>
      </c>
      <c r="G5746" s="2" t="s">
        <v>33</v>
      </c>
      <c r="H5746" s="2" t="s">
        <v>34</v>
      </c>
      <c r="I5746" s="2" t="s">
        <v>17679</v>
      </c>
      <c r="J5746" s="2" t="s">
        <v>1181</v>
      </c>
      <c r="K5746" s="2" t="s">
        <v>37</v>
      </c>
      <c r="L5746" s="2" t="s">
        <v>34</v>
      </c>
      <c r="M5746" s="2"/>
      <c r="N5746" s="2"/>
      <c r="O5746" s="2"/>
      <c r="P5746" s="2" t="s">
        <v>17680</v>
      </c>
      <c r="Q5746" s="6">
        <v>100</v>
      </c>
      <c r="R5746" s="6">
        <v>18</v>
      </c>
      <c r="S5746" s="5">
        <v>1.1000000000000001</v>
      </c>
      <c r="T5746" s="5">
        <v>1.4</v>
      </c>
      <c r="U5746" s="5">
        <v>7.9</v>
      </c>
      <c r="V5746" s="6">
        <v>0.39</v>
      </c>
      <c r="W5746" s="7">
        <v>7.375</v>
      </c>
      <c r="X5746" s="5">
        <v>7.5</v>
      </c>
      <c r="Y5746" s="6">
        <v>14.25</v>
      </c>
      <c r="Z5746" s="6">
        <v>14.25</v>
      </c>
      <c r="AA5746" s="6">
        <v>3.18</v>
      </c>
      <c r="AB5746" s="7">
        <v>234.56899999999999</v>
      </c>
      <c r="AC5746" s="2"/>
    </row>
    <row r="5747" spans="1:29" ht="91" x14ac:dyDescent="0.15">
      <c r="A5747" s="3">
        <f>DATE(2000,9,21)</f>
        <v>36790</v>
      </c>
      <c r="B5747" s="3">
        <f>DATE(2001,1,5)</f>
        <v>36896</v>
      </c>
      <c r="C5747" s="2" t="s">
        <v>95</v>
      </c>
      <c r="D5747" s="2" t="s">
        <v>17681</v>
      </c>
      <c r="E5747" s="2" t="s">
        <v>268</v>
      </c>
      <c r="F5747" s="4">
        <v>7011</v>
      </c>
      <c r="G5747" s="2" t="s">
        <v>269</v>
      </c>
      <c r="H5747" s="2" t="s">
        <v>34</v>
      </c>
      <c r="I5747" s="2" t="s">
        <v>51</v>
      </c>
      <c r="J5747" s="2" t="s">
        <v>52</v>
      </c>
      <c r="K5747" s="2" t="s">
        <v>53</v>
      </c>
      <c r="L5747" s="2" t="s">
        <v>34</v>
      </c>
      <c r="M5747" s="2"/>
      <c r="N5747" s="2"/>
      <c r="O5747" s="2"/>
      <c r="P5747" s="2" t="s">
        <v>17682</v>
      </c>
      <c r="Q5747" s="6">
        <v>100</v>
      </c>
      <c r="R5747" s="6">
        <v>7.38</v>
      </c>
      <c r="S5747" s="5">
        <v>10.9</v>
      </c>
      <c r="T5747" s="5">
        <v>97.6</v>
      </c>
      <c r="U5747" s="5">
        <v>5.8</v>
      </c>
      <c r="V5747" s="6">
        <v>0.67</v>
      </c>
      <c r="W5747" s="7">
        <v>5.875</v>
      </c>
      <c r="X5747" s="7">
        <v>5.5629999999999997</v>
      </c>
      <c r="Y5747" s="7">
        <v>6.875</v>
      </c>
      <c r="Z5747" s="7">
        <v>6.8129999999999997</v>
      </c>
      <c r="AA5747" s="6">
        <v>15.82</v>
      </c>
      <c r="AB5747" s="7">
        <v>12.32</v>
      </c>
      <c r="AC5747" s="2"/>
    </row>
    <row r="5748" spans="1:29" ht="234" x14ac:dyDescent="0.15">
      <c r="A5748" s="3">
        <f>DATE(2000,9,21)</f>
        <v>36790</v>
      </c>
      <c r="B5748" s="3">
        <f>DATE(2001,2,28)</f>
        <v>36950</v>
      </c>
      <c r="C5748" s="2" t="s">
        <v>95</v>
      </c>
      <c r="D5748" s="2" t="s">
        <v>17683</v>
      </c>
      <c r="E5748" s="2" t="s">
        <v>203</v>
      </c>
      <c r="F5748" s="4">
        <v>6035</v>
      </c>
      <c r="G5748" s="2" t="s">
        <v>33</v>
      </c>
      <c r="H5748" s="2" t="s">
        <v>34</v>
      </c>
      <c r="I5748" s="2" t="s">
        <v>2541</v>
      </c>
      <c r="J5748" s="2" t="s">
        <v>36</v>
      </c>
      <c r="K5748" s="2" t="s">
        <v>37</v>
      </c>
      <c r="L5748" s="2" t="s">
        <v>34</v>
      </c>
      <c r="M5748" s="7">
        <v>144.446</v>
      </c>
      <c r="N5748" s="7">
        <v>11.438000000000001</v>
      </c>
      <c r="O5748" s="7">
        <v>11.313000000000001</v>
      </c>
      <c r="P5748" s="2" t="s">
        <v>17684</v>
      </c>
      <c r="Q5748" s="6">
        <v>100</v>
      </c>
      <c r="R5748" s="6">
        <v>23.21</v>
      </c>
      <c r="S5748" s="5">
        <v>7.9</v>
      </c>
      <c r="T5748" s="2"/>
      <c r="U5748" s="5">
        <v>21.7</v>
      </c>
      <c r="V5748" s="6">
        <v>1.85</v>
      </c>
      <c r="W5748" s="7">
        <v>15.813000000000001</v>
      </c>
      <c r="X5748" s="6">
        <v>15.75</v>
      </c>
      <c r="Y5748" s="7">
        <v>19.875</v>
      </c>
      <c r="Z5748" s="4">
        <v>20</v>
      </c>
      <c r="AA5748" s="6">
        <v>4.05</v>
      </c>
      <c r="AB5748" s="7">
        <v>92.813999999999993</v>
      </c>
      <c r="AC5748" s="5">
        <v>62.9</v>
      </c>
    </row>
    <row r="5749" spans="1:29" ht="195" x14ac:dyDescent="0.15">
      <c r="A5749" s="3">
        <f>DATE(2000,9,25)</f>
        <v>36794</v>
      </c>
      <c r="B5749" s="3">
        <f>DATE(2001,2,2)</f>
        <v>36924</v>
      </c>
      <c r="C5749" s="2" t="s">
        <v>95</v>
      </c>
      <c r="D5749" s="2" t="s">
        <v>17685</v>
      </c>
      <c r="E5749" s="2" t="s">
        <v>17686</v>
      </c>
      <c r="F5749" s="4">
        <v>7319</v>
      </c>
      <c r="G5749" s="2" t="s">
        <v>4563</v>
      </c>
      <c r="H5749" s="2" t="s">
        <v>34</v>
      </c>
      <c r="I5749" s="2" t="s">
        <v>14645</v>
      </c>
      <c r="J5749" s="2" t="s">
        <v>14646</v>
      </c>
      <c r="K5749" s="2" t="s">
        <v>223</v>
      </c>
      <c r="L5749" s="2" t="s">
        <v>34</v>
      </c>
      <c r="M5749" s="12">
        <v>4846.8289999999997</v>
      </c>
      <c r="N5749" s="6">
        <v>35.75</v>
      </c>
      <c r="O5749" s="7">
        <v>36.313000000000002</v>
      </c>
      <c r="P5749" s="2" t="s">
        <v>17687</v>
      </c>
      <c r="Q5749" s="6">
        <v>100</v>
      </c>
      <c r="R5749" s="6">
        <v>8</v>
      </c>
      <c r="S5749" s="5">
        <v>-4.2</v>
      </c>
      <c r="T5749" s="7">
        <v>-5.3520000000000003</v>
      </c>
      <c r="U5749" s="5">
        <v>2.8</v>
      </c>
      <c r="V5749" s="6">
        <v>-0.34</v>
      </c>
      <c r="W5749" s="7">
        <v>6.375</v>
      </c>
      <c r="X5749" s="6">
        <v>7.25</v>
      </c>
      <c r="Y5749" s="6">
        <v>8.75</v>
      </c>
      <c r="Z5749" s="6">
        <v>8.75</v>
      </c>
      <c r="AA5749" s="6">
        <v>11.31</v>
      </c>
      <c r="AB5749" s="2" t="s">
        <v>86</v>
      </c>
      <c r="AC5749" s="5">
        <v>119.2</v>
      </c>
    </row>
    <row r="5750" spans="1:29" ht="143" x14ac:dyDescent="0.15">
      <c r="A5750" s="3">
        <f>DATE(2000,9,25)</f>
        <v>36794</v>
      </c>
      <c r="B5750" s="3">
        <f>DATE(2000,11,9)</f>
        <v>36839</v>
      </c>
      <c r="C5750" s="2" t="s">
        <v>95</v>
      </c>
      <c r="D5750" s="2" t="s">
        <v>17688</v>
      </c>
      <c r="E5750" s="2" t="s">
        <v>17689</v>
      </c>
      <c r="F5750" s="4">
        <v>2087</v>
      </c>
      <c r="G5750" s="2" t="s">
        <v>577</v>
      </c>
      <c r="H5750" s="2" t="s">
        <v>34</v>
      </c>
      <c r="I5750" s="2" t="s">
        <v>17690</v>
      </c>
      <c r="J5750" s="2" t="s">
        <v>17691</v>
      </c>
      <c r="K5750" s="2" t="s">
        <v>98</v>
      </c>
      <c r="L5750" s="2" t="s">
        <v>34</v>
      </c>
      <c r="M5750" s="12">
        <v>2597.1750000000002</v>
      </c>
      <c r="N5750" s="6">
        <v>20.75</v>
      </c>
      <c r="O5750" s="7">
        <v>17.437999999999999</v>
      </c>
      <c r="P5750" s="2" t="s">
        <v>17692</v>
      </c>
      <c r="Q5750" s="6">
        <v>100</v>
      </c>
      <c r="R5750" s="6">
        <v>48.5</v>
      </c>
      <c r="S5750" s="5">
        <v>27</v>
      </c>
      <c r="T5750" s="5">
        <v>100.1</v>
      </c>
      <c r="U5750" s="5">
        <v>17.600000000000001</v>
      </c>
      <c r="V5750" s="6">
        <v>1.39</v>
      </c>
      <c r="W5750" s="7">
        <v>43.375</v>
      </c>
      <c r="X5750" s="7">
        <v>43.563000000000002</v>
      </c>
      <c r="Y5750" s="7">
        <v>47.625</v>
      </c>
      <c r="Z5750" s="7">
        <v>47.813000000000002</v>
      </c>
      <c r="AA5750" s="6">
        <v>19.32</v>
      </c>
      <c r="AB5750" s="7">
        <v>19.667000000000002</v>
      </c>
      <c r="AC5750" s="6">
        <v>53.39</v>
      </c>
    </row>
    <row r="5751" spans="1:29" ht="65" x14ac:dyDescent="0.15">
      <c r="A5751" s="3">
        <f>DATE(2000,9,25)</f>
        <v>36794</v>
      </c>
      <c r="B5751" s="2"/>
      <c r="C5751" s="2" t="s">
        <v>7330</v>
      </c>
      <c r="D5751" s="2" t="s">
        <v>17090</v>
      </c>
      <c r="E5751" s="2" t="s">
        <v>17091</v>
      </c>
      <c r="F5751" s="4">
        <v>2452</v>
      </c>
      <c r="G5751" s="2" t="s">
        <v>250</v>
      </c>
      <c r="H5751" s="2" t="s">
        <v>34</v>
      </c>
      <c r="I5751" s="2" t="s">
        <v>17693</v>
      </c>
      <c r="J5751" s="2" t="s">
        <v>302</v>
      </c>
      <c r="K5751" s="2" t="s">
        <v>53</v>
      </c>
      <c r="L5751" s="2" t="s">
        <v>34</v>
      </c>
      <c r="M5751" s="2"/>
      <c r="N5751" s="2"/>
      <c r="O5751" s="2"/>
      <c r="P5751" s="2" t="s">
        <v>17694</v>
      </c>
      <c r="Q5751" s="2"/>
      <c r="R5751" s="6">
        <v>2.5499999999999998</v>
      </c>
      <c r="S5751" s="5">
        <v>0.5</v>
      </c>
      <c r="T5751" s="5">
        <v>2.2000000000000002</v>
      </c>
      <c r="U5751" s="5">
        <v>2.1</v>
      </c>
      <c r="V5751" s="6">
        <v>0.26</v>
      </c>
      <c r="W5751" s="7">
        <v>2.4380000000000002</v>
      </c>
      <c r="X5751" s="7">
        <v>2.375</v>
      </c>
      <c r="Y5751" s="7">
        <v>2.3130000000000002</v>
      </c>
      <c r="Z5751" s="7">
        <v>2.3130000000000002</v>
      </c>
      <c r="AA5751" s="6">
        <v>2.2400000000000002</v>
      </c>
      <c r="AB5751" s="7">
        <v>6.3769999999999998</v>
      </c>
      <c r="AC5751" s="2"/>
    </row>
    <row r="5752" spans="1:29" ht="91" x14ac:dyDescent="0.15">
      <c r="A5752" s="3">
        <f>DATE(2000,9,25)</f>
        <v>36794</v>
      </c>
      <c r="B5752" s="2"/>
      <c r="C5752" s="2" t="s">
        <v>30</v>
      </c>
      <c r="D5752" s="2" t="s">
        <v>17695</v>
      </c>
      <c r="E5752" s="2" t="s">
        <v>17696</v>
      </c>
      <c r="F5752" s="4">
        <v>1531</v>
      </c>
      <c r="G5752" s="2" t="s">
        <v>341</v>
      </c>
      <c r="H5752" s="2" t="s">
        <v>34</v>
      </c>
      <c r="I5752" s="2" t="s">
        <v>17697</v>
      </c>
      <c r="J5752" s="2" t="s">
        <v>17698</v>
      </c>
      <c r="K5752" s="2" t="s">
        <v>109</v>
      </c>
      <c r="L5752" s="2" t="s">
        <v>34</v>
      </c>
      <c r="M5752" s="2"/>
      <c r="N5752" s="2"/>
      <c r="O5752" s="2"/>
      <c r="P5752" s="2" t="s">
        <v>17699</v>
      </c>
      <c r="Q5752" s="2"/>
      <c r="R5752" s="6">
        <v>30</v>
      </c>
      <c r="S5752" s="5">
        <v>74.2</v>
      </c>
      <c r="T5752" s="5">
        <v>792.3</v>
      </c>
      <c r="U5752" s="5">
        <v>26.3</v>
      </c>
      <c r="V5752" s="6">
        <v>4</v>
      </c>
      <c r="W5752" s="4">
        <v>23</v>
      </c>
      <c r="X5752" s="7">
        <v>22.312999999999999</v>
      </c>
      <c r="Y5752" s="6">
        <v>27.25</v>
      </c>
      <c r="Z5752" s="9">
        <v>28.9375</v>
      </c>
      <c r="AA5752" s="6">
        <v>18.37</v>
      </c>
      <c r="AB5752" s="7">
        <v>7.9749999999999996</v>
      </c>
      <c r="AC5752" s="2"/>
    </row>
    <row r="5753" spans="1:29" ht="117" x14ac:dyDescent="0.15">
      <c r="A5753" s="3">
        <f>DATE(2000,9,26)</f>
        <v>36795</v>
      </c>
      <c r="B5753" s="2"/>
      <c r="C5753" s="2" t="s">
        <v>30</v>
      </c>
      <c r="D5753" s="2" t="s">
        <v>15264</v>
      </c>
      <c r="E5753" s="2" t="s">
        <v>15265</v>
      </c>
      <c r="F5753" s="4">
        <v>5122</v>
      </c>
      <c r="G5753" s="2" t="s">
        <v>593</v>
      </c>
      <c r="H5753" s="2" t="s">
        <v>34</v>
      </c>
      <c r="I5753" s="2" t="s">
        <v>17700</v>
      </c>
      <c r="J5753" s="2" t="s">
        <v>17701</v>
      </c>
      <c r="K5753" s="2" t="s">
        <v>223</v>
      </c>
      <c r="L5753" s="2" t="s">
        <v>34</v>
      </c>
      <c r="M5753" s="2"/>
      <c r="N5753" s="2"/>
      <c r="O5753" s="2"/>
      <c r="P5753" s="2" t="s">
        <v>17702</v>
      </c>
      <c r="Q5753" s="2"/>
      <c r="R5753" s="2"/>
      <c r="S5753" s="5">
        <v>50.5</v>
      </c>
      <c r="T5753" s="5">
        <v>106.8</v>
      </c>
      <c r="U5753" s="5">
        <v>7.5</v>
      </c>
      <c r="V5753" s="6">
        <v>1.65</v>
      </c>
      <c r="W5753" s="7">
        <v>9.6880000000000006</v>
      </c>
      <c r="X5753" s="7">
        <v>9.3130000000000006</v>
      </c>
      <c r="Y5753" s="6">
        <v>9.25</v>
      </c>
      <c r="Z5753" s="4">
        <v>9</v>
      </c>
      <c r="AA5753" s="6">
        <v>28.72</v>
      </c>
      <c r="AB5753" s="2" t="s">
        <v>47</v>
      </c>
      <c r="AC5753" s="6">
        <v>0.34</v>
      </c>
    </row>
    <row r="5754" spans="1:29" ht="130" x14ac:dyDescent="0.15">
      <c r="A5754" s="3">
        <f>DATE(2000,9,26)</f>
        <v>36795</v>
      </c>
      <c r="B5754" s="3">
        <f>DATE(2000,12,1)</f>
        <v>36861</v>
      </c>
      <c r="C5754" s="2" t="s">
        <v>95</v>
      </c>
      <c r="D5754" s="2" t="s">
        <v>16022</v>
      </c>
      <c r="E5754" s="2" t="s">
        <v>16023</v>
      </c>
      <c r="F5754" s="4">
        <v>5812</v>
      </c>
      <c r="G5754" s="2" t="s">
        <v>230</v>
      </c>
      <c r="H5754" s="2" t="s">
        <v>34</v>
      </c>
      <c r="I5754" s="2" t="s">
        <v>7784</v>
      </c>
      <c r="J5754" s="2" t="s">
        <v>7785</v>
      </c>
      <c r="K5754" s="2" t="s">
        <v>230</v>
      </c>
      <c r="L5754" s="2" t="s">
        <v>34</v>
      </c>
      <c r="M5754" s="7">
        <v>175.48599999999999</v>
      </c>
      <c r="N5754" s="4">
        <v>7</v>
      </c>
      <c r="O5754" s="7">
        <v>6.8129999999999997</v>
      </c>
      <c r="P5754" s="2" t="s">
        <v>17703</v>
      </c>
      <c r="Q5754" s="6">
        <v>95.6</v>
      </c>
      <c r="R5754" s="6">
        <v>3.25</v>
      </c>
      <c r="S5754" s="5">
        <v>-104.1</v>
      </c>
      <c r="T5754" s="5">
        <v>-51.4</v>
      </c>
      <c r="U5754" s="5">
        <v>4.5999999999999996</v>
      </c>
      <c r="V5754" s="6">
        <v>-4.5999999999999996</v>
      </c>
      <c r="W5754" s="7">
        <v>3.266</v>
      </c>
      <c r="X5754" s="7">
        <v>3.9380000000000002</v>
      </c>
      <c r="Y5754" s="6">
        <v>3.75</v>
      </c>
      <c r="Z5754" s="6">
        <v>3.75</v>
      </c>
      <c r="AA5754" s="6">
        <v>22.53</v>
      </c>
      <c r="AB5754" s="2" t="s">
        <v>86</v>
      </c>
      <c r="AC5754" s="6">
        <v>10.74</v>
      </c>
    </row>
    <row r="5755" spans="1:29" ht="65" x14ac:dyDescent="0.15">
      <c r="A5755" s="3">
        <f>DATE(2000,9,26)</f>
        <v>36795</v>
      </c>
      <c r="B5755" s="2"/>
      <c r="C5755" s="2" t="s">
        <v>141</v>
      </c>
      <c r="D5755" s="2" t="s">
        <v>9898</v>
      </c>
      <c r="E5755" s="2" t="s">
        <v>9899</v>
      </c>
      <c r="F5755" s="4">
        <v>3561</v>
      </c>
      <c r="G5755" s="2" t="s">
        <v>300</v>
      </c>
      <c r="H5755" s="2" t="s">
        <v>34</v>
      </c>
      <c r="I5755" s="2" t="s">
        <v>143</v>
      </c>
      <c r="J5755" s="2" t="s">
        <v>144</v>
      </c>
      <c r="K5755" s="2" t="s">
        <v>53</v>
      </c>
      <c r="L5755" s="2" t="s">
        <v>139</v>
      </c>
      <c r="M5755" s="2"/>
      <c r="N5755" s="2"/>
      <c r="O5755" s="2"/>
      <c r="P5755" s="2" t="s">
        <v>17704</v>
      </c>
      <c r="Q5755" s="2"/>
      <c r="R5755" s="2"/>
      <c r="S5755" s="5">
        <v>69.099999999999994</v>
      </c>
      <c r="T5755" s="5">
        <v>312.5</v>
      </c>
      <c r="U5755" s="5">
        <v>22.9</v>
      </c>
      <c r="V5755" s="6">
        <v>1.9</v>
      </c>
      <c r="W5755" s="7">
        <v>15.938000000000001</v>
      </c>
      <c r="X5755" s="6">
        <v>18.25</v>
      </c>
      <c r="Y5755" s="5">
        <v>23.5</v>
      </c>
      <c r="Z5755" s="7">
        <v>23.437999999999999</v>
      </c>
      <c r="AA5755" s="6">
        <v>39.119999999999997</v>
      </c>
      <c r="AB5755" s="2" t="s">
        <v>47</v>
      </c>
      <c r="AC5755" s="2"/>
    </row>
    <row r="5756" spans="1:29" ht="195" x14ac:dyDescent="0.15">
      <c r="A5756" s="3">
        <f>DATE(2000,9,26)</f>
        <v>36795</v>
      </c>
      <c r="B5756" s="3">
        <f>DATE(2000,11,30)</f>
        <v>36860</v>
      </c>
      <c r="C5756" s="2" t="s">
        <v>95</v>
      </c>
      <c r="D5756" s="2" t="s">
        <v>17705</v>
      </c>
      <c r="E5756" s="2" t="s">
        <v>17706</v>
      </c>
      <c r="F5756" s="4">
        <v>6798</v>
      </c>
      <c r="G5756" s="2" t="s">
        <v>53</v>
      </c>
      <c r="H5756" s="2" t="s">
        <v>34</v>
      </c>
      <c r="I5756" s="2" t="s">
        <v>17707</v>
      </c>
      <c r="J5756" s="2" t="s">
        <v>3941</v>
      </c>
      <c r="K5756" s="2" t="s">
        <v>53</v>
      </c>
      <c r="L5756" s="2" t="s">
        <v>2105</v>
      </c>
      <c r="M5756" s="2"/>
      <c r="N5756" s="2"/>
      <c r="O5756" s="2"/>
      <c r="P5756" s="2" t="s">
        <v>17708</v>
      </c>
      <c r="Q5756" s="6">
        <v>100</v>
      </c>
      <c r="R5756" s="6">
        <v>48</v>
      </c>
      <c r="S5756" s="5">
        <v>32.5</v>
      </c>
      <c r="T5756" s="5">
        <v>119.7</v>
      </c>
      <c r="U5756" s="5">
        <v>16.8</v>
      </c>
      <c r="V5756" s="6">
        <v>1.31</v>
      </c>
      <c r="W5756" s="7">
        <v>34.563000000000002</v>
      </c>
      <c r="X5756" s="7">
        <v>34.438000000000002</v>
      </c>
      <c r="Y5756" s="7">
        <v>47.375</v>
      </c>
      <c r="Z5756" s="7">
        <v>47.438000000000002</v>
      </c>
      <c r="AA5756" s="6">
        <v>27.21</v>
      </c>
      <c r="AB5756" s="7">
        <v>38.470999999999997</v>
      </c>
      <c r="AC5756" s="6">
        <v>72.11</v>
      </c>
    </row>
    <row r="5757" spans="1:29" ht="130" x14ac:dyDescent="0.15">
      <c r="A5757" s="3">
        <f>DATE(2000,9,27)</f>
        <v>36796</v>
      </c>
      <c r="B5757" s="3">
        <f>DATE(2000,11,10)</f>
        <v>36840</v>
      </c>
      <c r="C5757" s="2" t="s">
        <v>95</v>
      </c>
      <c r="D5757" s="2" t="s">
        <v>17709</v>
      </c>
      <c r="E5757" s="2" t="s">
        <v>17710</v>
      </c>
      <c r="F5757" s="4">
        <v>3845</v>
      </c>
      <c r="G5757" s="2" t="s">
        <v>226</v>
      </c>
      <c r="H5757" s="2" t="s">
        <v>34</v>
      </c>
      <c r="I5757" s="2" t="s">
        <v>17711</v>
      </c>
      <c r="J5757" s="2" t="s">
        <v>17712</v>
      </c>
      <c r="K5757" s="2" t="s">
        <v>226</v>
      </c>
      <c r="L5757" s="2" t="s">
        <v>34</v>
      </c>
      <c r="M5757" s="2"/>
      <c r="N5757" s="2"/>
      <c r="O5757" s="2"/>
      <c r="P5757" s="2" t="s">
        <v>17713</v>
      </c>
      <c r="Q5757" s="6">
        <v>100</v>
      </c>
      <c r="R5757" s="6">
        <v>23</v>
      </c>
      <c r="S5757" s="5">
        <v>-0.2</v>
      </c>
      <c r="T5757" s="5">
        <v>82.8</v>
      </c>
      <c r="U5757" s="5">
        <v>8.1</v>
      </c>
      <c r="V5757" s="6">
        <v>-0.01</v>
      </c>
      <c r="W5757" s="7">
        <v>14.688000000000001</v>
      </c>
      <c r="X5757" s="7">
        <v>15.688000000000001</v>
      </c>
      <c r="Y5757" s="7">
        <v>22.687999999999999</v>
      </c>
      <c r="Z5757" s="6">
        <v>22.75</v>
      </c>
      <c r="AA5757" s="6">
        <v>27.6</v>
      </c>
      <c r="AB5757" s="7">
        <v>31.959</v>
      </c>
      <c r="AC5757" s="2"/>
    </row>
    <row r="5758" spans="1:29" ht="104" x14ac:dyDescent="0.15">
      <c r="A5758" s="3">
        <f>DATE(2000,9,28)</f>
        <v>36797</v>
      </c>
      <c r="B5758" s="3">
        <f>DATE(2001,1,10)</f>
        <v>36901</v>
      </c>
      <c r="C5758" s="2" t="s">
        <v>95</v>
      </c>
      <c r="D5758" s="2" t="s">
        <v>17714</v>
      </c>
      <c r="E5758" s="2" t="s">
        <v>2712</v>
      </c>
      <c r="F5758" s="4">
        <v>6211</v>
      </c>
      <c r="G5758" s="2" t="s">
        <v>53</v>
      </c>
      <c r="H5758" s="2" t="s">
        <v>34</v>
      </c>
      <c r="I5758" s="2" t="s">
        <v>16508</v>
      </c>
      <c r="J5758" s="2" t="s">
        <v>4434</v>
      </c>
      <c r="K5758" s="2" t="s">
        <v>37</v>
      </c>
      <c r="L5758" s="2" t="s">
        <v>902</v>
      </c>
      <c r="M5758" s="2"/>
      <c r="N5758" s="2"/>
      <c r="O5758" s="2"/>
      <c r="P5758" s="2" t="s">
        <v>17715</v>
      </c>
      <c r="Q5758" s="6">
        <v>100</v>
      </c>
      <c r="R5758" s="6">
        <v>95</v>
      </c>
      <c r="S5758" s="5">
        <v>87.3</v>
      </c>
      <c r="T5758" s="5">
        <v>244.4</v>
      </c>
      <c r="U5758" s="5">
        <v>36.6</v>
      </c>
      <c r="V5758" s="6">
        <v>6.23</v>
      </c>
      <c r="W5758" s="7">
        <v>76.625</v>
      </c>
      <c r="X5758" s="7">
        <v>79.875</v>
      </c>
      <c r="Y5758" s="7">
        <v>92.875</v>
      </c>
      <c r="Z5758" s="4">
        <v>93</v>
      </c>
      <c r="AA5758" s="6">
        <v>12.88</v>
      </c>
      <c r="AB5758" s="7">
        <v>7.0759999999999996</v>
      </c>
      <c r="AC5758" s="10">
        <v>13821.85</v>
      </c>
    </row>
    <row r="5759" spans="1:29" ht="78" x14ac:dyDescent="0.15">
      <c r="A5759" s="3">
        <f>DATE(2000,9,28)</f>
        <v>36797</v>
      </c>
      <c r="B5759" s="3">
        <f>DATE(2001,3,1)</f>
        <v>36951</v>
      </c>
      <c r="C5759" s="2" t="s">
        <v>95</v>
      </c>
      <c r="D5759" s="2" t="s">
        <v>17716</v>
      </c>
      <c r="E5759" s="2" t="s">
        <v>92</v>
      </c>
      <c r="F5759" s="4">
        <v>6798</v>
      </c>
      <c r="G5759" s="2" t="s">
        <v>53</v>
      </c>
      <c r="H5759" s="2" t="s">
        <v>34</v>
      </c>
      <c r="I5759" s="2" t="s">
        <v>17717</v>
      </c>
      <c r="J5759" s="2" t="s">
        <v>595</v>
      </c>
      <c r="K5759" s="2" t="s">
        <v>53</v>
      </c>
      <c r="L5759" s="2" t="s">
        <v>34</v>
      </c>
      <c r="M5759" s="2"/>
      <c r="N5759" s="2"/>
      <c r="O5759" s="2"/>
      <c r="P5759" s="2" t="s">
        <v>17718</v>
      </c>
      <c r="Q5759" s="6">
        <v>100</v>
      </c>
      <c r="R5759" s="6">
        <v>26.12</v>
      </c>
      <c r="S5759" s="5">
        <v>19.100000000000001</v>
      </c>
      <c r="T5759" s="5">
        <v>65.900000000000006</v>
      </c>
      <c r="U5759" s="5">
        <v>19.600000000000001</v>
      </c>
      <c r="V5759" s="6">
        <v>1.33</v>
      </c>
      <c r="W5759" s="7">
        <v>20.875</v>
      </c>
      <c r="X5759" s="6">
        <v>20.75</v>
      </c>
      <c r="Y5759" s="7">
        <v>25.125</v>
      </c>
      <c r="Z5759" s="7">
        <v>25.375</v>
      </c>
      <c r="AA5759" s="6">
        <v>14.88</v>
      </c>
      <c r="AB5759" s="7">
        <v>13.57</v>
      </c>
      <c r="AC5759" s="2"/>
    </row>
    <row r="5760" spans="1:29" ht="65" x14ac:dyDescent="0.15">
      <c r="A5760" s="3">
        <f>DATE(2000,9,28)</f>
        <v>36797</v>
      </c>
      <c r="B5760" s="2"/>
      <c r="C5760" s="2" t="s">
        <v>189</v>
      </c>
      <c r="D5760" s="2" t="s">
        <v>17719</v>
      </c>
      <c r="E5760" s="2" t="s">
        <v>2044</v>
      </c>
      <c r="F5760" s="4">
        <v>6798</v>
      </c>
      <c r="G5760" s="2" t="s">
        <v>53</v>
      </c>
      <c r="H5760" s="2" t="s">
        <v>34</v>
      </c>
      <c r="I5760" s="2" t="s">
        <v>143</v>
      </c>
      <c r="J5760" s="2" t="s">
        <v>144</v>
      </c>
      <c r="K5760" s="2" t="s">
        <v>53</v>
      </c>
      <c r="L5760" s="2" t="s">
        <v>139</v>
      </c>
      <c r="M5760" s="2"/>
      <c r="N5760" s="2"/>
      <c r="O5760" s="2"/>
      <c r="P5760" s="2" t="s">
        <v>17720</v>
      </c>
      <c r="Q5760" s="2"/>
      <c r="R5760" s="2"/>
      <c r="S5760" s="5">
        <v>11.3</v>
      </c>
      <c r="T5760" s="5">
        <v>55.6</v>
      </c>
      <c r="U5760" s="5">
        <v>13.1</v>
      </c>
      <c r="V5760" s="6">
        <v>1.19</v>
      </c>
      <c r="W5760" s="6">
        <v>13.75</v>
      </c>
      <c r="X5760" s="7">
        <v>13.438000000000001</v>
      </c>
      <c r="Y5760" s="6">
        <v>13.75</v>
      </c>
      <c r="Z5760" s="5">
        <v>13.5</v>
      </c>
      <c r="AA5760" s="6">
        <v>8.14</v>
      </c>
      <c r="AB5760" s="2" t="s">
        <v>47</v>
      </c>
      <c r="AC5760" s="2"/>
    </row>
    <row r="5761" spans="1:29" ht="52" x14ac:dyDescent="0.15">
      <c r="A5761" s="3">
        <f>DATE(2000,9,28)</f>
        <v>36797</v>
      </c>
      <c r="B5761" s="2"/>
      <c r="C5761" s="2" t="s">
        <v>87</v>
      </c>
      <c r="D5761" s="2" t="s">
        <v>6998</v>
      </c>
      <c r="E5761" s="2" t="s">
        <v>6822</v>
      </c>
      <c r="F5761" s="4">
        <v>3572</v>
      </c>
      <c r="G5761" s="2" t="s">
        <v>50</v>
      </c>
      <c r="H5761" s="2" t="s">
        <v>34</v>
      </c>
      <c r="I5761" s="2" t="s">
        <v>138</v>
      </c>
      <c r="J5761" s="2" t="s">
        <v>139</v>
      </c>
      <c r="K5761" s="2" t="s">
        <v>53</v>
      </c>
      <c r="L5761" s="2" t="s">
        <v>139</v>
      </c>
      <c r="M5761" s="2"/>
      <c r="N5761" s="2"/>
      <c r="O5761" s="2"/>
      <c r="P5761" s="2" t="s">
        <v>17721</v>
      </c>
      <c r="Q5761" s="2"/>
      <c r="R5761" s="2"/>
      <c r="S5761" s="5">
        <v>4.5</v>
      </c>
      <c r="T5761" s="5">
        <v>195.5</v>
      </c>
      <c r="U5761" s="5">
        <v>2.7</v>
      </c>
      <c r="V5761" s="6">
        <v>0.01</v>
      </c>
      <c r="W5761" s="7">
        <v>8.1880000000000006</v>
      </c>
      <c r="X5761" s="7">
        <v>7.9379999999999997</v>
      </c>
      <c r="Y5761" s="7">
        <v>8.875</v>
      </c>
      <c r="Z5761" s="5">
        <v>10.5</v>
      </c>
      <c r="AA5761" s="6">
        <v>113.55</v>
      </c>
      <c r="AB5761" s="2" t="s">
        <v>86</v>
      </c>
      <c r="AC5761" s="2"/>
    </row>
    <row r="5762" spans="1:29" ht="117" x14ac:dyDescent="0.15">
      <c r="A5762" s="3">
        <f>DATE(2000,9,28)</f>
        <v>36797</v>
      </c>
      <c r="B5762" s="3">
        <f>DATE(2001,1,30)</f>
        <v>36921</v>
      </c>
      <c r="C5762" s="2" t="s">
        <v>95</v>
      </c>
      <c r="D5762" s="2" t="s">
        <v>4603</v>
      </c>
      <c r="E5762" s="2" t="s">
        <v>4604</v>
      </c>
      <c r="F5762" s="4">
        <v>2015</v>
      </c>
      <c r="G5762" s="2" t="s">
        <v>577</v>
      </c>
      <c r="H5762" s="2" t="s">
        <v>34</v>
      </c>
      <c r="I5762" s="2" t="s">
        <v>17722</v>
      </c>
      <c r="J5762" s="2" t="s">
        <v>17723</v>
      </c>
      <c r="K5762" s="2" t="s">
        <v>577</v>
      </c>
      <c r="L5762" s="2" t="s">
        <v>34</v>
      </c>
      <c r="M5762" s="7">
        <v>280.101</v>
      </c>
      <c r="N5762" s="7">
        <v>7.0629999999999997</v>
      </c>
      <c r="O5762" s="7">
        <v>6.875</v>
      </c>
      <c r="P5762" s="2" t="s">
        <v>17724</v>
      </c>
      <c r="Q5762" s="6">
        <v>100</v>
      </c>
      <c r="R5762" s="6">
        <v>14.25</v>
      </c>
      <c r="S5762" s="5">
        <v>2.2000000000000002</v>
      </c>
      <c r="T5762" s="5">
        <v>25.1</v>
      </c>
      <c r="U5762" s="5">
        <v>8.9</v>
      </c>
      <c r="V5762" s="6">
        <v>0.13</v>
      </c>
      <c r="W5762" s="7">
        <v>5.875</v>
      </c>
      <c r="X5762" s="7">
        <v>6.875</v>
      </c>
      <c r="Y5762" s="7">
        <v>13.563000000000001</v>
      </c>
      <c r="Z5762" s="7">
        <v>13.625</v>
      </c>
      <c r="AA5762" s="6">
        <v>16.29</v>
      </c>
      <c r="AB5762" s="7">
        <v>47.448999999999998</v>
      </c>
      <c r="AC5762" s="5">
        <v>1.7</v>
      </c>
    </row>
    <row r="5763" spans="1:29" ht="143" x14ac:dyDescent="0.15">
      <c r="A5763" s="3">
        <f>DATE(2000,9,29)</f>
        <v>36798</v>
      </c>
      <c r="B5763" s="2"/>
      <c r="C5763" s="2" t="s">
        <v>7330</v>
      </c>
      <c r="D5763" s="2" t="s">
        <v>17725</v>
      </c>
      <c r="E5763" s="2" t="s">
        <v>17726</v>
      </c>
      <c r="F5763" s="4">
        <v>3577</v>
      </c>
      <c r="G5763" s="2" t="s">
        <v>50</v>
      </c>
      <c r="H5763" s="2" t="s">
        <v>34</v>
      </c>
      <c r="I5763" s="2" t="s">
        <v>17727</v>
      </c>
      <c r="J5763" s="2" t="s">
        <v>321</v>
      </c>
      <c r="K5763" s="2" t="s">
        <v>166</v>
      </c>
      <c r="L5763" s="2" t="s">
        <v>902</v>
      </c>
      <c r="M5763" s="2"/>
      <c r="N5763" s="2"/>
      <c r="O5763" s="2"/>
      <c r="P5763" s="2" t="s">
        <v>17728</v>
      </c>
      <c r="Q5763" s="2"/>
      <c r="R5763" s="2"/>
      <c r="S5763" s="5">
        <v>1.2</v>
      </c>
      <c r="T5763" s="7">
        <v>3.016</v>
      </c>
      <c r="U5763" s="5">
        <v>0.9</v>
      </c>
      <c r="V5763" s="6">
        <v>0.12</v>
      </c>
      <c r="W5763" s="7">
        <v>6.625</v>
      </c>
      <c r="X5763" s="7">
        <v>6.875</v>
      </c>
      <c r="Y5763" s="5">
        <v>7.5</v>
      </c>
      <c r="Z5763" s="9">
        <v>6.6875</v>
      </c>
      <c r="AA5763" s="2"/>
      <c r="AB5763" s="7">
        <v>3.3769999999999998</v>
      </c>
      <c r="AC5763" s="2"/>
    </row>
    <row r="5764" spans="1:29" ht="169" x14ac:dyDescent="0.15">
      <c r="A5764" s="3">
        <f>DATE(2000,9,29)</f>
        <v>36798</v>
      </c>
      <c r="B5764" s="3">
        <f>DATE(2001,5,22)</f>
        <v>37033</v>
      </c>
      <c r="C5764" s="2" t="s">
        <v>95</v>
      </c>
      <c r="D5764" s="2" t="s">
        <v>10474</v>
      </c>
      <c r="E5764" s="2" t="s">
        <v>10475</v>
      </c>
      <c r="F5764" s="4">
        <v>3674</v>
      </c>
      <c r="G5764" s="2" t="s">
        <v>137</v>
      </c>
      <c r="H5764" s="2" t="s">
        <v>34</v>
      </c>
      <c r="I5764" s="2" t="s">
        <v>17729</v>
      </c>
      <c r="J5764" s="2" t="s">
        <v>17730</v>
      </c>
      <c r="K5764" s="2" t="s">
        <v>137</v>
      </c>
      <c r="L5764" s="2" t="s">
        <v>2105</v>
      </c>
      <c r="M5764" s="12">
        <v>11147.076999999999</v>
      </c>
      <c r="N5764" s="2"/>
      <c r="O5764" s="2"/>
      <c r="P5764" s="2" t="s">
        <v>17731</v>
      </c>
      <c r="Q5764" s="6">
        <v>100</v>
      </c>
      <c r="R5764" s="6">
        <v>41.56</v>
      </c>
      <c r="S5764" s="5">
        <v>32.5</v>
      </c>
      <c r="T5764" s="5">
        <v>169.2</v>
      </c>
      <c r="U5764" s="5">
        <v>17.2</v>
      </c>
      <c r="V5764" s="6">
        <v>0.91</v>
      </c>
      <c r="W5764" s="7">
        <v>23.937999999999999</v>
      </c>
      <c r="X5764" s="7">
        <v>22.875</v>
      </c>
      <c r="Y5764" s="9">
        <v>26.3125</v>
      </c>
      <c r="Z5764" s="9">
        <v>33.6875</v>
      </c>
      <c r="AA5764" s="6">
        <v>33.979999999999997</v>
      </c>
      <c r="AB5764" s="7">
        <v>33.767000000000003</v>
      </c>
      <c r="AC5764" s="6">
        <v>607.28</v>
      </c>
    </row>
    <row r="5765" spans="1:29" ht="91" x14ac:dyDescent="0.15">
      <c r="A5765" s="3">
        <f>DATE(2000,9,29)</f>
        <v>36798</v>
      </c>
      <c r="B5765" s="3">
        <f>DATE(2000,12,15)</f>
        <v>36875</v>
      </c>
      <c r="C5765" s="2" t="s">
        <v>95</v>
      </c>
      <c r="D5765" s="2" t="s">
        <v>17732</v>
      </c>
      <c r="E5765" s="2" t="s">
        <v>3336</v>
      </c>
      <c r="F5765" s="4">
        <v>3714</v>
      </c>
      <c r="G5765" s="2" t="s">
        <v>105</v>
      </c>
      <c r="H5765" s="2" t="s">
        <v>34</v>
      </c>
      <c r="I5765" s="2" t="s">
        <v>17733</v>
      </c>
      <c r="J5765" s="2" t="s">
        <v>1032</v>
      </c>
      <c r="K5765" s="2" t="s">
        <v>53</v>
      </c>
      <c r="L5765" s="2" t="s">
        <v>34</v>
      </c>
      <c r="M5765" s="2"/>
      <c r="N5765" s="2"/>
      <c r="O5765" s="2"/>
      <c r="P5765" s="2" t="s">
        <v>17734</v>
      </c>
      <c r="Q5765" s="6">
        <v>100</v>
      </c>
      <c r="R5765" s="6">
        <v>13</v>
      </c>
      <c r="S5765" s="5">
        <v>20.6</v>
      </c>
      <c r="T5765" s="5">
        <v>109.6</v>
      </c>
      <c r="U5765" s="5">
        <v>7.6</v>
      </c>
      <c r="V5765" s="6">
        <v>1.1499999999999999</v>
      </c>
      <c r="W5765" s="6">
        <v>10.25</v>
      </c>
      <c r="X5765" s="7">
        <v>10.125</v>
      </c>
      <c r="Y5765" s="6">
        <v>12.25</v>
      </c>
      <c r="Z5765" s="7">
        <v>12.313000000000001</v>
      </c>
      <c r="AA5765" s="6">
        <v>17.87</v>
      </c>
      <c r="AB5765" s="7">
        <v>9.0030000000000001</v>
      </c>
      <c r="AC5765" s="2"/>
    </row>
    <row r="5766" spans="1:29" ht="143" x14ac:dyDescent="0.15">
      <c r="A5766" s="3">
        <f>DATE(2000,9,29)</f>
        <v>36798</v>
      </c>
      <c r="B5766" s="3">
        <f>DATE(2000,11,16)</f>
        <v>36846</v>
      </c>
      <c r="C5766" s="2" t="s">
        <v>95</v>
      </c>
      <c r="D5766" s="2" t="s">
        <v>11757</v>
      </c>
      <c r="E5766" s="2" t="s">
        <v>11758</v>
      </c>
      <c r="F5766" s="4">
        <v>3241</v>
      </c>
      <c r="G5766" s="2" t="s">
        <v>237</v>
      </c>
      <c r="H5766" s="2" t="s">
        <v>34</v>
      </c>
      <c r="I5766" s="2" t="s">
        <v>17735</v>
      </c>
      <c r="J5766" s="2" t="s">
        <v>17736</v>
      </c>
      <c r="K5766" s="2" t="s">
        <v>237</v>
      </c>
      <c r="L5766" s="2" t="s">
        <v>4389</v>
      </c>
      <c r="M5766" s="2"/>
      <c r="N5766" s="2"/>
      <c r="O5766" s="2"/>
      <c r="P5766" s="2" t="s">
        <v>17737</v>
      </c>
      <c r="Q5766" s="6">
        <v>100</v>
      </c>
      <c r="R5766" s="6">
        <v>73</v>
      </c>
      <c r="S5766" s="5">
        <v>217.8</v>
      </c>
      <c r="T5766" s="5">
        <v>532.20000000000005</v>
      </c>
      <c r="U5766" s="5">
        <v>25.6</v>
      </c>
      <c r="V5766" s="6">
        <v>5.92</v>
      </c>
      <c r="W5766" s="6">
        <v>52.75</v>
      </c>
      <c r="X5766" s="4">
        <v>56</v>
      </c>
      <c r="Y5766" s="6">
        <v>71.25</v>
      </c>
      <c r="Z5766" s="6">
        <v>71.25</v>
      </c>
      <c r="AA5766" s="6">
        <v>35.9</v>
      </c>
      <c r="AB5766" s="7">
        <v>8.2750000000000004</v>
      </c>
      <c r="AC5766" s="6">
        <v>333.4</v>
      </c>
    </row>
    <row r="5767" spans="1:29" ht="130" x14ac:dyDescent="0.15">
      <c r="A5767" s="3">
        <f>DATE(2000,10,2)</f>
        <v>36801</v>
      </c>
      <c r="B5767" s="3">
        <f>DATE(2001,1,26)</f>
        <v>36917</v>
      </c>
      <c r="C5767" s="2" t="s">
        <v>95</v>
      </c>
      <c r="D5767" s="2" t="s">
        <v>17738</v>
      </c>
      <c r="E5767" s="2" t="s">
        <v>500</v>
      </c>
      <c r="F5767" s="4">
        <v>3675</v>
      </c>
      <c r="G5767" s="2" t="s">
        <v>137</v>
      </c>
      <c r="H5767" s="2" t="s">
        <v>34</v>
      </c>
      <c r="I5767" s="2" t="s">
        <v>17739</v>
      </c>
      <c r="J5767" s="2" t="s">
        <v>17740</v>
      </c>
      <c r="K5767" s="2" t="s">
        <v>226</v>
      </c>
      <c r="L5767" s="2" t="s">
        <v>34</v>
      </c>
      <c r="M5767" s="7">
        <v>888.39700000000005</v>
      </c>
      <c r="N5767" s="4">
        <v>23</v>
      </c>
      <c r="O5767" s="6">
        <v>22.25</v>
      </c>
      <c r="P5767" s="2" t="s">
        <v>17741</v>
      </c>
      <c r="Q5767" s="6">
        <v>100</v>
      </c>
      <c r="R5767" s="6">
        <v>20.99</v>
      </c>
      <c r="S5767" s="5">
        <v>14.7</v>
      </c>
      <c r="T5767" s="5">
        <v>23.9</v>
      </c>
      <c r="U5767" s="5">
        <v>11.2</v>
      </c>
      <c r="V5767" s="6">
        <v>1.0900000000000001</v>
      </c>
      <c r="W5767" s="7">
        <v>15.688000000000001</v>
      </c>
      <c r="X5767" s="6">
        <v>14.75</v>
      </c>
      <c r="Y5767" s="6">
        <v>17.25</v>
      </c>
      <c r="Z5767" s="7">
        <v>16.625</v>
      </c>
      <c r="AA5767" s="6">
        <v>14.31</v>
      </c>
      <c r="AB5767" s="7">
        <v>13.557</v>
      </c>
      <c r="AC5767" s="5">
        <v>41.1</v>
      </c>
    </row>
    <row r="5768" spans="1:29" ht="65" x14ac:dyDescent="0.15">
      <c r="A5768" s="3">
        <f>DATE(2000,10,2)</f>
        <v>36801</v>
      </c>
      <c r="B5768" s="2"/>
      <c r="C5768" s="2" t="s">
        <v>7330</v>
      </c>
      <c r="D5768" s="2" t="s">
        <v>17742</v>
      </c>
      <c r="E5768" s="2" t="s">
        <v>17743</v>
      </c>
      <c r="F5768" s="4">
        <v>2834</v>
      </c>
      <c r="G5768" s="2" t="s">
        <v>130</v>
      </c>
      <c r="H5768" s="2" t="s">
        <v>34</v>
      </c>
      <c r="I5768" s="2" t="s">
        <v>2456</v>
      </c>
      <c r="J5768" s="2" t="s">
        <v>129</v>
      </c>
      <c r="K5768" s="2" t="s">
        <v>130</v>
      </c>
      <c r="L5768" s="2" t="s">
        <v>34</v>
      </c>
      <c r="M5768" s="12">
        <v>8039.9989999999998</v>
      </c>
      <c r="N5768" s="4">
        <v>84</v>
      </c>
      <c r="O5768" s="5">
        <v>82.5</v>
      </c>
      <c r="P5768" s="2" t="s">
        <v>17744</v>
      </c>
      <c r="Q5768" s="2"/>
      <c r="R5768" s="6">
        <v>20.27</v>
      </c>
      <c r="S5768" s="5">
        <v>-77.2</v>
      </c>
      <c r="T5768" s="2"/>
      <c r="U5768" s="5">
        <v>9.6</v>
      </c>
      <c r="V5768" s="6">
        <v>-15.82</v>
      </c>
      <c r="W5768" s="7">
        <v>20.062999999999999</v>
      </c>
      <c r="X5768" s="5">
        <v>20.5</v>
      </c>
      <c r="Y5768" s="7">
        <v>20.062999999999999</v>
      </c>
      <c r="Z5768" s="7">
        <v>20.125</v>
      </c>
      <c r="AA5768" s="6">
        <v>4.83</v>
      </c>
      <c r="AB5768" s="2" t="s">
        <v>86</v>
      </c>
      <c r="AC5768" s="5">
        <v>844.9</v>
      </c>
    </row>
    <row r="5769" spans="1:29" ht="130" x14ac:dyDescent="0.15">
      <c r="A5769" s="3">
        <f>DATE(2000,10,2)</f>
        <v>36801</v>
      </c>
      <c r="B5769" s="2"/>
      <c r="C5769" s="2" t="s">
        <v>30</v>
      </c>
      <c r="D5769" s="2" t="s">
        <v>9472</v>
      </c>
      <c r="E5769" s="2" t="s">
        <v>2278</v>
      </c>
      <c r="F5769" s="4">
        <v>2011</v>
      </c>
      <c r="G5769" s="2" t="s">
        <v>577</v>
      </c>
      <c r="H5769" s="2" t="s">
        <v>34</v>
      </c>
      <c r="I5769" s="2" t="s">
        <v>17745</v>
      </c>
      <c r="J5769" s="2" t="s">
        <v>3197</v>
      </c>
      <c r="K5769" s="2" t="s">
        <v>53</v>
      </c>
      <c r="L5769" s="2" t="s">
        <v>34</v>
      </c>
      <c r="M5769" s="2"/>
      <c r="N5769" s="2"/>
      <c r="O5769" s="2"/>
      <c r="P5769" s="2" t="s">
        <v>17746</v>
      </c>
      <c r="Q5769" s="2"/>
      <c r="R5769" s="6">
        <v>22.25</v>
      </c>
      <c r="S5769" s="5">
        <v>253.2</v>
      </c>
      <c r="T5769" s="5">
        <v>555.70000000000005</v>
      </c>
      <c r="U5769" s="5">
        <v>17.899999999999999</v>
      </c>
      <c r="V5769" s="6">
        <v>2.46</v>
      </c>
      <c r="W5769" s="5">
        <v>17.5</v>
      </c>
      <c r="X5769" s="7">
        <v>18.312999999999999</v>
      </c>
      <c r="Y5769" s="6">
        <v>21.75</v>
      </c>
      <c r="Z5769" s="9">
        <v>21.6875</v>
      </c>
      <c r="AA5769" s="6">
        <v>105.58</v>
      </c>
      <c r="AB5769" s="7">
        <v>7.3529999999999998</v>
      </c>
      <c r="AC5769" s="2"/>
    </row>
    <row r="5770" spans="1:29" ht="234" x14ac:dyDescent="0.15">
      <c r="A5770" s="3">
        <f>DATE(2000,10,2)</f>
        <v>36801</v>
      </c>
      <c r="B5770" s="3">
        <f>DATE(2001,3,1)</f>
        <v>36951</v>
      </c>
      <c r="C5770" s="2" t="s">
        <v>95</v>
      </c>
      <c r="D5770" s="2" t="s">
        <v>7980</v>
      </c>
      <c r="E5770" s="2" t="s">
        <v>36</v>
      </c>
      <c r="F5770" s="4">
        <v>6021</v>
      </c>
      <c r="G5770" s="2" t="s">
        <v>37</v>
      </c>
      <c r="H5770" s="2" t="s">
        <v>34</v>
      </c>
      <c r="I5770" s="2" t="s">
        <v>17747</v>
      </c>
      <c r="J5770" s="2" t="s">
        <v>263</v>
      </c>
      <c r="K5770" s="2" t="s">
        <v>37</v>
      </c>
      <c r="L5770" s="2" t="s">
        <v>34</v>
      </c>
      <c r="M5770" s="12">
        <v>37450.415999999997</v>
      </c>
      <c r="N5770" s="5">
        <v>38.5</v>
      </c>
      <c r="O5770" s="4">
        <v>39</v>
      </c>
      <c r="P5770" s="2" t="s">
        <v>17748</v>
      </c>
      <c r="Q5770" s="6">
        <v>100</v>
      </c>
      <c r="R5770" s="6">
        <v>39.78</v>
      </c>
      <c r="S5770" s="5">
        <v>458.5</v>
      </c>
      <c r="T5770" s="5">
        <v>765</v>
      </c>
      <c r="U5770" s="5">
        <v>16.899999999999999</v>
      </c>
      <c r="V5770" s="6">
        <v>2.62</v>
      </c>
      <c r="W5770" s="7">
        <v>28.187999999999999</v>
      </c>
      <c r="X5770" s="7">
        <v>30.625</v>
      </c>
      <c r="Y5770" s="7">
        <v>34.375</v>
      </c>
      <c r="Z5770" s="5">
        <v>34.5</v>
      </c>
      <c r="AA5770" s="6">
        <v>173.93</v>
      </c>
      <c r="AB5770" s="7">
        <v>60.817</v>
      </c>
      <c r="AC5770" s="8">
        <v>12244</v>
      </c>
    </row>
    <row r="5771" spans="1:29" ht="130" x14ac:dyDescent="0.15">
      <c r="A5771" s="3">
        <f>DATE(2000,10,2)</f>
        <v>36801</v>
      </c>
      <c r="B5771" s="3">
        <f>DATE(2001,4,25)</f>
        <v>37006</v>
      </c>
      <c r="C5771" s="2" t="s">
        <v>95</v>
      </c>
      <c r="D5771" s="2" t="s">
        <v>17749</v>
      </c>
      <c r="E5771" s="2" t="s">
        <v>5364</v>
      </c>
      <c r="F5771" s="4">
        <v>4813</v>
      </c>
      <c r="G5771" s="2" t="s">
        <v>63</v>
      </c>
      <c r="H5771" s="2" t="s">
        <v>34</v>
      </c>
      <c r="I5771" s="2" t="s">
        <v>17750</v>
      </c>
      <c r="J5771" s="2" t="s">
        <v>302</v>
      </c>
      <c r="K5771" s="2" t="s">
        <v>53</v>
      </c>
      <c r="L5771" s="2" t="s">
        <v>303</v>
      </c>
      <c r="M5771" s="2"/>
      <c r="N5771" s="2"/>
      <c r="O5771" s="2"/>
      <c r="P5771" s="2" t="s">
        <v>17751</v>
      </c>
      <c r="Q5771" s="6">
        <v>100</v>
      </c>
      <c r="R5771" s="6">
        <v>7.19</v>
      </c>
      <c r="S5771" s="5">
        <v>-8.6999999999999993</v>
      </c>
      <c r="T5771" s="5">
        <v>18.600000000000001</v>
      </c>
      <c r="U5771" s="5">
        <v>0</v>
      </c>
      <c r="V5771" s="6">
        <v>-0.94</v>
      </c>
      <c r="W5771" s="7">
        <v>7.875</v>
      </c>
      <c r="X5771" s="7">
        <v>8.8130000000000006</v>
      </c>
      <c r="Y5771" s="6">
        <v>10.25</v>
      </c>
      <c r="Z5771" s="4">
        <v>10</v>
      </c>
      <c r="AA5771" s="6">
        <v>9.49</v>
      </c>
      <c r="AB5771" s="7">
        <v>28.552</v>
      </c>
      <c r="AC5771" s="2"/>
    </row>
    <row r="5772" spans="1:29" ht="143" x14ac:dyDescent="0.15">
      <c r="A5772" s="3">
        <f>DATE(2000,10,3)</f>
        <v>36802</v>
      </c>
      <c r="B5772" s="3">
        <f>DATE(2000,12,7)</f>
        <v>36867</v>
      </c>
      <c r="C5772" s="2" t="s">
        <v>95</v>
      </c>
      <c r="D5772" s="2" t="s">
        <v>17752</v>
      </c>
      <c r="E5772" s="2" t="s">
        <v>1604</v>
      </c>
      <c r="F5772" s="4">
        <v>4813</v>
      </c>
      <c r="G5772" s="2" t="s">
        <v>63</v>
      </c>
      <c r="H5772" s="2" t="s">
        <v>34</v>
      </c>
      <c r="I5772" s="2" t="s">
        <v>16058</v>
      </c>
      <c r="J5772" s="2" t="s">
        <v>6519</v>
      </c>
      <c r="K5772" s="2" t="s">
        <v>63</v>
      </c>
      <c r="L5772" s="2" t="s">
        <v>34</v>
      </c>
      <c r="M5772" s="12">
        <v>9102.3919999999998</v>
      </c>
      <c r="N5772" s="7">
        <v>13.125</v>
      </c>
      <c r="O5772" s="7">
        <v>14.313000000000001</v>
      </c>
      <c r="P5772" s="2" t="s">
        <v>17753</v>
      </c>
      <c r="Q5772" s="6">
        <v>100</v>
      </c>
      <c r="R5772" s="6">
        <v>5.0599999999999996</v>
      </c>
      <c r="S5772" s="5">
        <v>-15.5</v>
      </c>
      <c r="T5772" s="5">
        <v>23.6</v>
      </c>
      <c r="U5772" s="5">
        <v>4.5999999999999996</v>
      </c>
      <c r="V5772" s="6">
        <v>-0.46</v>
      </c>
      <c r="W5772" s="7">
        <v>5.5309999999999997</v>
      </c>
      <c r="X5772" s="7">
        <v>5.0629999999999997</v>
      </c>
      <c r="Y5772" s="4">
        <v>5</v>
      </c>
      <c r="Z5772" s="7">
        <v>5.375</v>
      </c>
      <c r="AA5772" s="6">
        <v>38.659999999999997</v>
      </c>
      <c r="AB5772" s="2" t="s">
        <v>86</v>
      </c>
      <c r="AC5772" s="2"/>
    </row>
    <row r="5773" spans="1:29" ht="143" x14ac:dyDescent="0.15">
      <c r="A5773" s="3">
        <f>DATE(2000,10,3)</f>
        <v>36802</v>
      </c>
      <c r="B5773" s="2"/>
      <c r="C5773" s="2" t="s">
        <v>30</v>
      </c>
      <c r="D5773" s="2" t="s">
        <v>17754</v>
      </c>
      <c r="E5773" s="2" t="s">
        <v>7375</v>
      </c>
      <c r="F5773" s="4">
        <v>7311</v>
      </c>
      <c r="G5773" s="2" t="s">
        <v>4563</v>
      </c>
      <c r="H5773" s="2" t="s">
        <v>34</v>
      </c>
      <c r="I5773" s="2" t="s">
        <v>14645</v>
      </c>
      <c r="J5773" s="2" t="s">
        <v>14646</v>
      </c>
      <c r="K5773" s="2" t="s">
        <v>223</v>
      </c>
      <c r="L5773" s="2" t="s">
        <v>34</v>
      </c>
      <c r="M5773" s="12">
        <v>4992.6019999999999</v>
      </c>
      <c r="N5773" s="7">
        <v>26.187999999999999</v>
      </c>
      <c r="O5773" s="7">
        <v>26.062999999999999</v>
      </c>
      <c r="P5773" s="2" t="s">
        <v>17755</v>
      </c>
      <c r="Q5773" s="2"/>
      <c r="R5773" s="6">
        <v>12.15</v>
      </c>
      <c r="S5773" s="5">
        <v>6.3</v>
      </c>
      <c r="T5773" s="5">
        <v>13.1</v>
      </c>
      <c r="U5773" s="5">
        <v>3.2</v>
      </c>
      <c r="V5773" s="6">
        <v>0.44</v>
      </c>
      <c r="W5773" s="7">
        <v>10.125</v>
      </c>
      <c r="X5773" s="7">
        <v>11.375</v>
      </c>
      <c r="Y5773" s="5">
        <v>10.5</v>
      </c>
      <c r="Z5773" s="5">
        <v>10.5</v>
      </c>
      <c r="AA5773" s="6">
        <v>15.5</v>
      </c>
      <c r="AB5773" s="7">
        <v>17.696999999999999</v>
      </c>
      <c r="AC5773" s="5">
        <v>198.8</v>
      </c>
    </row>
    <row r="5774" spans="1:29" ht="91" x14ac:dyDescent="0.15">
      <c r="A5774" s="3">
        <f>DATE(2000,10,3)</f>
        <v>36802</v>
      </c>
      <c r="B5774" s="3">
        <f>DATE(2001,2,19)</f>
        <v>36941</v>
      </c>
      <c r="C5774" s="2" t="s">
        <v>95</v>
      </c>
      <c r="D5774" s="2" t="s">
        <v>17756</v>
      </c>
      <c r="E5774" s="2" t="s">
        <v>17757</v>
      </c>
      <c r="F5774" s="4">
        <v>3679</v>
      </c>
      <c r="G5774" s="2" t="s">
        <v>137</v>
      </c>
      <c r="H5774" s="2" t="s">
        <v>34</v>
      </c>
      <c r="I5774" s="2" t="s">
        <v>17758</v>
      </c>
      <c r="J5774" s="2" t="s">
        <v>17759</v>
      </c>
      <c r="K5774" s="2" t="s">
        <v>237</v>
      </c>
      <c r="L5774" s="2" t="s">
        <v>34</v>
      </c>
      <c r="M5774" s="12">
        <v>36465.656999999999</v>
      </c>
      <c r="N5774" s="4">
        <v>94</v>
      </c>
      <c r="O5774" s="5">
        <v>95.5</v>
      </c>
      <c r="P5774" s="2" t="s">
        <v>17760</v>
      </c>
      <c r="Q5774" s="6">
        <v>100</v>
      </c>
      <c r="R5774" s="6">
        <v>19</v>
      </c>
      <c r="S5774" s="5">
        <v>4.7</v>
      </c>
      <c r="T5774" s="5">
        <v>12.4</v>
      </c>
      <c r="U5774" s="5">
        <v>5.6</v>
      </c>
      <c r="V5774" s="6">
        <v>0.89</v>
      </c>
      <c r="W5774" s="7">
        <v>15.688000000000001</v>
      </c>
      <c r="X5774" s="7">
        <v>16.625</v>
      </c>
      <c r="Y5774" s="7">
        <v>18.312999999999999</v>
      </c>
      <c r="Z5774" s="7">
        <v>18.375</v>
      </c>
      <c r="AA5774" s="6">
        <v>5.1100000000000003</v>
      </c>
      <c r="AB5774" s="7">
        <v>15.185</v>
      </c>
      <c r="AC5774" s="5">
        <v>323</v>
      </c>
    </row>
    <row r="5775" spans="1:29" ht="286" x14ac:dyDescent="0.15">
      <c r="A5775" s="3">
        <f>DATE(2000,10,3)</f>
        <v>36802</v>
      </c>
      <c r="B5775" s="3">
        <f>DATE(2001,2,14)</f>
        <v>36936</v>
      </c>
      <c r="C5775" s="2" t="s">
        <v>95</v>
      </c>
      <c r="D5775" s="2" t="s">
        <v>17761</v>
      </c>
      <c r="E5775" s="2" t="s">
        <v>17762</v>
      </c>
      <c r="F5775" s="4">
        <v>3845</v>
      </c>
      <c r="G5775" s="2" t="s">
        <v>226</v>
      </c>
      <c r="H5775" s="2" t="s">
        <v>34</v>
      </c>
      <c r="I5775" s="2" t="s">
        <v>17763</v>
      </c>
      <c r="J5775" s="2" t="s">
        <v>17764</v>
      </c>
      <c r="K5775" s="2" t="s">
        <v>226</v>
      </c>
      <c r="L5775" s="2" t="s">
        <v>34</v>
      </c>
      <c r="M5775" s="7">
        <v>434.30900000000003</v>
      </c>
      <c r="N5775" s="6">
        <v>17.75</v>
      </c>
      <c r="O5775" s="4">
        <v>12</v>
      </c>
      <c r="P5775" s="2" t="s">
        <v>17765</v>
      </c>
      <c r="Q5775" s="6">
        <v>100</v>
      </c>
      <c r="R5775" s="6">
        <v>17.170000000000002</v>
      </c>
      <c r="S5775" s="5">
        <v>8.4</v>
      </c>
      <c r="T5775" s="5">
        <v>10.7</v>
      </c>
      <c r="U5775" s="5">
        <v>2.5</v>
      </c>
      <c r="V5775" s="6">
        <v>0.22</v>
      </c>
      <c r="W5775" s="7">
        <v>7.8129999999999997</v>
      </c>
      <c r="X5775" s="7">
        <v>9.4380000000000006</v>
      </c>
      <c r="Y5775" s="9">
        <v>11.5625</v>
      </c>
      <c r="Z5775" s="9">
        <v>11.6875</v>
      </c>
      <c r="AA5775" s="6">
        <v>38.57</v>
      </c>
      <c r="AB5775" s="7">
        <v>78.941999999999993</v>
      </c>
      <c r="AC5775" s="5">
        <v>1.7</v>
      </c>
    </row>
    <row r="5776" spans="1:29" ht="104" x14ac:dyDescent="0.15">
      <c r="A5776" s="3">
        <f>DATE(2000,10,3)</f>
        <v>36802</v>
      </c>
      <c r="B5776" s="3">
        <f>DATE(2000,12,15)</f>
        <v>36875</v>
      </c>
      <c r="C5776" s="2" t="s">
        <v>95</v>
      </c>
      <c r="D5776" s="2" t="s">
        <v>17766</v>
      </c>
      <c r="E5776" s="2" t="s">
        <v>17767</v>
      </c>
      <c r="F5776" s="4">
        <v>7375</v>
      </c>
      <c r="G5776" s="2" t="s">
        <v>223</v>
      </c>
      <c r="H5776" s="2" t="s">
        <v>34</v>
      </c>
      <c r="I5776" s="2" t="s">
        <v>17768</v>
      </c>
      <c r="J5776" s="2" t="s">
        <v>17769</v>
      </c>
      <c r="K5776" s="2" t="s">
        <v>63</v>
      </c>
      <c r="L5776" s="2" t="s">
        <v>4242</v>
      </c>
      <c r="M5776" s="2"/>
      <c r="N5776" s="2"/>
      <c r="O5776" s="2"/>
      <c r="P5776" s="2" t="s">
        <v>17770</v>
      </c>
      <c r="Q5776" s="6">
        <v>51</v>
      </c>
      <c r="R5776" s="6">
        <v>2.3199999999999998</v>
      </c>
      <c r="S5776" s="5">
        <v>-57</v>
      </c>
      <c r="T5776" s="5">
        <v>-34.799999999999997</v>
      </c>
      <c r="U5776" s="5">
        <v>1.7</v>
      </c>
      <c r="V5776" s="6">
        <v>-0.04</v>
      </c>
      <c r="W5776" s="6">
        <v>1.75</v>
      </c>
      <c r="X5776" s="7">
        <v>1.8129999999999999</v>
      </c>
      <c r="Y5776" s="4">
        <v>2</v>
      </c>
      <c r="Z5776" s="7">
        <v>1.9690000000000001</v>
      </c>
      <c r="AA5776" s="6">
        <v>45.16</v>
      </c>
      <c r="AB5776" s="2" t="s">
        <v>86</v>
      </c>
      <c r="AC5776" s="5">
        <v>94.9</v>
      </c>
    </row>
    <row r="5777" spans="1:29" ht="169" x14ac:dyDescent="0.15">
      <c r="A5777" s="3">
        <f t="shared" ref="A5777:A5783" si="139">DATE(2000,10,4)</f>
        <v>36803</v>
      </c>
      <c r="B5777" s="3">
        <f>DATE(2001,2,1)</f>
        <v>36923</v>
      </c>
      <c r="C5777" s="2" t="s">
        <v>95</v>
      </c>
      <c r="D5777" s="2" t="s">
        <v>17771</v>
      </c>
      <c r="E5777" s="2" t="s">
        <v>10405</v>
      </c>
      <c r="F5777" s="4">
        <v>7312</v>
      </c>
      <c r="G5777" s="2" t="s">
        <v>4563</v>
      </c>
      <c r="H5777" s="2" t="s">
        <v>34</v>
      </c>
      <c r="I5777" s="2" t="s">
        <v>17545</v>
      </c>
      <c r="J5777" s="2" t="s">
        <v>17546</v>
      </c>
      <c r="K5777" s="2" t="s">
        <v>4563</v>
      </c>
      <c r="L5777" s="2" t="s">
        <v>34</v>
      </c>
      <c r="M5777" s="12">
        <v>3907.6889999999999</v>
      </c>
      <c r="N5777" s="7">
        <v>37.313000000000002</v>
      </c>
      <c r="O5777" s="5">
        <v>39.5</v>
      </c>
      <c r="P5777" s="2" t="s">
        <v>17772</v>
      </c>
      <c r="Q5777" s="6">
        <v>100</v>
      </c>
      <c r="R5777" s="2"/>
      <c r="S5777" s="5">
        <v>0.2</v>
      </c>
      <c r="T5777" s="5">
        <v>4.5999999999999996</v>
      </c>
      <c r="U5777" s="5">
        <v>3.6</v>
      </c>
      <c r="V5777" s="6">
        <v>0.05</v>
      </c>
      <c r="W5777" s="5">
        <v>6.5</v>
      </c>
      <c r="X5777" s="7">
        <v>6.5629999999999997</v>
      </c>
      <c r="Y5777" s="7">
        <v>6.5629999999999997</v>
      </c>
      <c r="Z5777" s="6">
        <v>6.25</v>
      </c>
      <c r="AA5777" s="6">
        <v>4.3899999999999997</v>
      </c>
      <c r="AB5777" s="7">
        <v>24.547999999999998</v>
      </c>
      <c r="AC5777" s="5">
        <v>6.7</v>
      </c>
    </row>
    <row r="5778" spans="1:29" ht="143" x14ac:dyDescent="0.15">
      <c r="A5778" s="3">
        <f t="shared" si="139"/>
        <v>36803</v>
      </c>
      <c r="B5778" s="3">
        <f>DATE(2000,11,9)</f>
        <v>36839</v>
      </c>
      <c r="C5778" s="2" t="s">
        <v>95</v>
      </c>
      <c r="D5778" s="2" t="s">
        <v>17773</v>
      </c>
      <c r="E5778" s="2" t="s">
        <v>17774</v>
      </c>
      <c r="F5778" s="4">
        <v>5961</v>
      </c>
      <c r="G5778" s="2" t="s">
        <v>73</v>
      </c>
      <c r="H5778" s="2" t="s">
        <v>34</v>
      </c>
      <c r="I5778" s="2" t="s">
        <v>17775</v>
      </c>
      <c r="J5778" s="2" t="s">
        <v>17776</v>
      </c>
      <c r="K5778" s="2" t="s">
        <v>921</v>
      </c>
      <c r="L5778" s="2" t="s">
        <v>34</v>
      </c>
      <c r="M5778" s="2"/>
      <c r="N5778" s="2"/>
      <c r="O5778" s="2"/>
      <c r="P5778" s="2" t="s">
        <v>17777</v>
      </c>
      <c r="Q5778" s="6">
        <v>100</v>
      </c>
      <c r="R5778" s="6">
        <v>16.399999999999999</v>
      </c>
      <c r="S5778" s="5">
        <v>4.5</v>
      </c>
      <c r="T5778" s="5">
        <v>13.4</v>
      </c>
      <c r="U5778" s="5">
        <v>6.8</v>
      </c>
      <c r="V5778" s="6">
        <v>0.84</v>
      </c>
      <c r="W5778" s="7">
        <v>9.9689999999999994</v>
      </c>
      <c r="X5778" s="7">
        <v>11.125</v>
      </c>
      <c r="Y5778" s="7">
        <v>11.625</v>
      </c>
      <c r="Z5778" s="7">
        <v>16.062999999999999</v>
      </c>
      <c r="AA5778" s="6">
        <v>5.3</v>
      </c>
      <c r="AB5778" s="7">
        <v>15.859</v>
      </c>
      <c r="AC5778" s="2"/>
    </row>
    <row r="5779" spans="1:29" ht="65" x14ac:dyDescent="0.15">
      <c r="A5779" s="3">
        <f t="shared" si="139"/>
        <v>36803</v>
      </c>
      <c r="B5779" s="3">
        <f>DATE(2000,12,12)</f>
        <v>36872</v>
      </c>
      <c r="C5779" s="2" t="s">
        <v>95</v>
      </c>
      <c r="D5779" s="2" t="s">
        <v>17778</v>
      </c>
      <c r="E5779" s="2" t="s">
        <v>612</v>
      </c>
      <c r="F5779" s="4">
        <v>1311</v>
      </c>
      <c r="G5779" s="2" t="s">
        <v>148</v>
      </c>
      <c r="H5779" s="2" t="s">
        <v>34</v>
      </c>
      <c r="I5779" s="2" t="s">
        <v>17779</v>
      </c>
      <c r="J5779" s="2" t="s">
        <v>612</v>
      </c>
      <c r="K5779" s="2" t="s">
        <v>148</v>
      </c>
      <c r="L5779" s="2" t="s">
        <v>34</v>
      </c>
      <c r="M5779" s="2"/>
      <c r="N5779" s="2"/>
      <c r="O5779" s="2"/>
      <c r="P5779" s="2" t="s">
        <v>17780</v>
      </c>
      <c r="Q5779" s="6">
        <v>100</v>
      </c>
      <c r="R5779" s="6">
        <v>11</v>
      </c>
      <c r="S5779" s="5">
        <v>5.8</v>
      </c>
      <c r="T5779" s="5">
        <v>10.3</v>
      </c>
      <c r="U5779" s="5">
        <v>5.0999999999999996</v>
      </c>
      <c r="V5779" s="6">
        <v>1.3</v>
      </c>
      <c r="W5779" s="6">
        <v>10.75</v>
      </c>
      <c r="X5779" s="6">
        <v>10.75</v>
      </c>
      <c r="Y5779" s="7">
        <v>10.375</v>
      </c>
      <c r="Z5779" s="6">
        <v>10.25</v>
      </c>
      <c r="AA5779" s="6">
        <v>4.3499999999999996</v>
      </c>
      <c r="AB5779" s="7">
        <v>6.0679999999999996</v>
      </c>
      <c r="AC5779" s="2"/>
    </row>
    <row r="5780" spans="1:29" ht="104" x14ac:dyDescent="0.15">
      <c r="A5780" s="3">
        <f t="shared" si="139"/>
        <v>36803</v>
      </c>
      <c r="B5780" s="3">
        <f>DATE(2000,12,7)</f>
        <v>36867</v>
      </c>
      <c r="C5780" s="2" t="s">
        <v>95</v>
      </c>
      <c r="D5780" s="2" t="s">
        <v>17781</v>
      </c>
      <c r="E5780" s="2" t="s">
        <v>17782</v>
      </c>
      <c r="F5780" s="4">
        <v>3841</v>
      </c>
      <c r="G5780" s="2" t="s">
        <v>226</v>
      </c>
      <c r="H5780" s="2" t="s">
        <v>34</v>
      </c>
      <c r="I5780" s="2" t="s">
        <v>9732</v>
      </c>
      <c r="J5780" s="2" t="s">
        <v>9733</v>
      </c>
      <c r="K5780" s="2" t="s">
        <v>300</v>
      </c>
      <c r="L5780" s="2" t="s">
        <v>1791</v>
      </c>
      <c r="M5780" s="2"/>
      <c r="N5780" s="9">
        <v>52.0625</v>
      </c>
      <c r="O5780" s="9">
        <v>53.4375</v>
      </c>
      <c r="P5780" s="2" t="s">
        <v>17783</v>
      </c>
      <c r="Q5780" s="6">
        <v>100</v>
      </c>
      <c r="R5780" s="6">
        <v>7.5</v>
      </c>
      <c r="S5780" s="5">
        <v>3.4</v>
      </c>
      <c r="T5780" s="5">
        <v>3.3</v>
      </c>
      <c r="U5780" s="5">
        <v>0.6</v>
      </c>
      <c r="V5780" s="6">
        <v>0.13</v>
      </c>
      <c r="W5780" s="7">
        <v>5.875</v>
      </c>
      <c r="X5780" s="7">
        <v>7.125</v>
      </c>
      <c r="Y5780" s="7">
        <v>6.9059999999999997</v>
      </c>
      <c r="Z5780" s="7">
        <v>6.9690000000000003</v>
      </c>
      <c r="AA5780" s="6">
        <v>23.03</v>
      </c>
      <c r="AB5780" s="7">
        <v>89.006</v>
      </c>
      <c r="AC5780" s="8">
        <v>1264.8</v>
      </c>
    </row>
    <row r="5781" spans="1:29" ht="143" x14ac:dyDescent="0.15">
      <c r="A5781" s="3">
        <f t="shared" si="139"/>
        <v>36803</v>
      </c>
      <c r="B5781" s="3">
        <f>DATE(2001,1,23)</f>
        <v>36914</v>
      </c>
      <c r="C5781" s="2" t="s">
        <v>95</v>
      </c>
      <c r="D5781" s="2" t="s">
        <v>17784</v>
      </c>
      <c r="E5781" s="2" t="s">
        <v>17785</v>
      </c>
      <c r="F5781" s="4">
        <v>3845</v>
      </c>
      <c r="G5781" s="2" t="s">
        <v>226</v>
      </c>
      <c r="H5781" s="2" t="s">
        <v>34</v>
      </c>
      <c r="I5781" s="2" t="s">
        <v>17786</v>
      </c>
      <c r="J5781" s="2" t="s">
        <v>17787</v>
      </c>
      <c r="K5781" s="2" t="s">
        <v>226</v>
      </c>
      <c r="L5781" s="2" t="s">
        <v>34</v>
      </c>
      <c r="M5781" s="2"/>
      <c r="N5781" s="9">
        <v>17.3125</v>
      </c>
      <c r="O5781" s="4">
        <v>20</v>
      </c>
      <c r="P5781" s="2" t="s">
        <v>17788</v>
      </c>
      <c r="Q5781" s="6">
        <v>100</v>
      </c>
      <c r="R5781" s="6">
        <v>5.04</v>
      </c>
      <c r="S5781" s="5">
        <v>-5.8</v>
      </c>
      <c r="T5781" s="7">
        <v>-4.4089999999999998</v>
      </c>
      <c r="U5781" s="5">
        <v>0.2</v>
      </c>
      <c r="V5781" s="6">
        <v>-0.59</v>
      </c>
      <c r="W5781" s="7">
        <v>2.3439999999999999</v>
      </c>
      <c r="X5781" s="7">
        <v>2.375</v>
      </c>
      <c r="Y5781" s="7">
        <v>2.8439999999999999</v>
      </c>
      <c r="Z5781" s="4">
        <v>3</v>
      </c>
      <c r="AA5781" s="6">
        <v>9.86</v>
      </c>
      <c r="AB5781" s="2" t="s">
        <v>86</v>
      </c>
      <c r="AC5781" s="5">
        <v>6.1</v>
      </c>
    </row>
    <row r="5782" spans="1:29" ht="182" x14ac:dyDescent="0.15">
      <c r="A5782" s="3">
        <f t="shared" si="139"/>
        <v>36803</v>
      </c>
      <c r="B5782" s="3">
        <f>DATE(2001,4,2)</f>
        <v>36983</v>
      </c>
      <c r="C5782" s="2" t="s">
        <v>95</v>
      </c>
      <c r="D5782" s="2" t="s">
        <v>17789</v>
      </c>
      <c r="E5782" s="2" t="s">
        <v>17790</v>
      </c>
      <c r="F5782" s="4">
        <v>3572</v>
      </c>
      <c r="G5782" s="2" t="s">
        <v>50</v>
      </c>
      <c r="H5782" s="2" t="s">
        <v>34</v>
      </c>
      <c r="I5782" s="2" t="s">
        <v>6998</v>
      </c>
      <c r="J5782" s="2" t="s">
        <v>6822</v>
      </c>
      <c r="K5782" s="2" t="s">
        <v>50</v>
      </c>
      <c r="L5782" s="2" t="s">
        <v>34</v>
      </c>
      <c r="M5782" s="7">
        <v>941.29600000000005</v>
      </c>
      <c r="N5782" s="7">
        <v>9.375</v>
      </c>
      <c r="O5782" s="7">
        <v>9.125</v>
      </c>
      <c r="P5782" s="2" t="s">
        <v>17791</v>
      </c>
      <c r="Q5782" s="6">
        <v>100</v>
      </c>
      <c r="R5782" s="6">
        <v>14.87</v>
      </c>
      <c r="S5782" s="5">
        <v>-45.1</v>
      </c>
      <c r="T5782" s="7">
        <v>-28.236999999999998</v>
      </c>
      <c r="U5782" s="5">
        <v>8.4</v>
      </c>
      <c r="V5782" s="2"/>
      <c r="W5782" s="6">
        <v>9.25</v>
      </c>
      <c r="X5782" s="9">
        <v>9.5625</v>
      </c>
      <c r="Y5782" s="2"/>
      <c r="Z5782" s="2"/>
      <c r="AA5782" s="6">
        <v>79.22</v>
      </c>
      <c r="AB5782" s="2" t="s">
        <v>86</v>
      </c>
      <c r="AC5782" s="5">
        <v>154.6</v>
      </c>
    </row>
    <row r="5783" spans="1:29" ht="156" x14ac:dyDescent="0.15">
      <c r="A5783" s="3">
        <f t="shared" si="139"/>
        <v>36803</v>
      </c>
      <c r="B5783" s="3">
        <f>DATE(2001,2,27)</f>
        <v>36949</v>
      </c>
      <c r="C5783" s="2" t="s">
        <v>95</v>
      </c>
      <c r="D5783" s="2" t="s">
        <v>9454</v>
      </c>
      <c r="E5783" s="2" t="s">
        <v>36</v>
      </c>
      <c r="F5783" s="4">
        <v>6021</v>
      </c>
      <c r="G5783" s="2" t="s">
        <v>37</v>
      </c>
      <c r="H5783" s="2" t="s">
        <v>34</v>
      </c>
      <c r="I5783" s="2" t="s">
        <v>14278</v>
      </c>
      <c r="J5783" s="2" t="s">
        <v>2898</v>
      </c>
      <c r="K5783" s="2" t="s">
        <v>125</v>
      </c>
      <c r="L5783" s="2" t="s">
        <v>34</v>
      </c>
      <c r="M5783" s="12">
        <v>23356.333999999999</v>
      </c>
      <c r="N5783" s="4">
        <v>20</v>
      </c>
      <c r="O5783" s="6">
        <v>19.25</v>
      </c>
      <c r="P5783" s="2" t="s">
        <v>17792</v>
      </c>
      <c r="Q5783" s="6">
        <v>100</v>
      </c>
      <c r="R5783" s="6">
        <v>28.15</v>
      </c>
      <c r="S5783" s="8">
        <v>1537.5</v>
      </c>
      <c r="T5783" s="2"/>
      <c r="U5783" s="5">
        <v>10.5</v>
      </c>
      <c r="V5783" s="6">
        <v>2.0699999999999998</v>
      </c>
      <c r="W5783" s="7">
        <v>21.187999999999999</v>
      </c>
      <c r="X5783" s="7">
        <v>23.187999999999999</v>
      </c>
      <c r="Y5783" s="4">
        <v>25</v>
      </c>
      <c r="Z5783" s="6">
        <v>23.75</v>
      </c>
      <c r="AA5783" s="6">
        <v>745.8</v>
      </c>
      <c r="AB5783" s="7">
        <v>36.109000000000002</v>
      </c>
      <c r="AC5783" s="2"/>
    </row>
    <row r="5784" spans="1:29" ht="78" x14ac:dyDescent="0.15">
      <c r="A5784" s="3">
        <f>DATE(2000,10,5)</f>
        <v>36804</v>
      </c>
      <c r="B5784" s="2"/>
      <c r="C5784" s="2" t="s">
        <v>56</v>
      </c>
      <c r="D5784" s="2" t="s">
        <v>17793</v>
      </c>
      <c r="E5784" s="2" t="s">
        <v>268</v>
      </c>
      <c r="F5784" s="4">
        <v>7011</v>
      </c>
      <c r="G5784" s="2" t="s">
        <v>269</v>
      </c>
      <c r="H5784" s="2" t="s">
        <v>34</v>
      </c>
      <c r="I5784" s="2" t="s">
        <v>17794</v>
      </c>
      <c r="J5784" s="2" t="s">
        <v>92</v>
      </c>
      <c r="K5784" s="2" t="s">
        <v>53</v>
      </c>
      <c r="L5784" s="2" t="s">
        <v>34</v>
      </c>
      <c r="M5784" s="2"/>
      <c r="N5784" s="2"/>
      <c r="O5784" s="2"/>
      <c r="P5784" s="2" t="s">
        <v>17795</v>
      </c>
      <c r="Q5784" s="2"/>
      <c r="R5784" s="6">
        <v>4.5</v>
      </c>
      <c r="S5784" s="5">
        <v>-10.5</v>
      </c>
      <c r="T5784" s="5">
        <v>7.2</v>
      </c>
      <c r="U5784" s="5">
        <v>8.3000000000000007</v>
      </c>
      <c r="V5784" s="6">
        <v>-1.7</v>
      </c>
      <c r="W5784" s="7">
        <v>2.1880000000000002</v>
      </c>
      <c r="X5784" s="7">
        <v>2.0630000000000002</v>
      </c>
      <c r="Y5784" s="11">
        <v>2.03125</v>
      </c>
      <c r="Z5784" s="11">
        <v>2.34375</v>
      </c>
      <c r="AA5784" s="6">
        <v>6.39</v>
      </c>
      <c r="AB5784" s="2" t="s">
        <v>86</v>
      </c>
      <c r="AC5784" s="2"/>
    </row>
    <row r="5785" spans="1:29" ht="91" x14ac:dyDescent="0.15">
      <c r="A5785" s="3">
        <f>DATE(2000,10,5)</f>
        <v>36804</v>
      </c>
      <c r="B5785" s="3">
        <f>DATE(2001,8,1)</f>
        <v>37104</v>
      </c>
      <c r="C5785" s="2" t="s">
        <v>95</v>
      </c>
      <c r="D5785" s="2" t="s">
        <v>17796</v>
      </c>
      <c r="E5785" s="2" t="s">
        <v>3900</v>
      </c>
      <c r="F5785" s="4">
        <v>5812</v>
      </c>
      <c r="G5785" s="2" t="s">
        <v>230</v>
      </c>
      <c r="H5785" s="2" t="s">
        <v>34</v>
      </c>
      <c r="I5785" s="2" t="s">
        <v>17797</v>
      </c>
      <c r="J5785" s="2" t="s">
        <v>150</v>
      </c>
      <c r="K5785" s="2" t="s">
        <v>53</v>
      </c>
      <c r="L5785" s="2" t="s">
        <v>34</v>
      </c>
      <c r="M5785" s="2"/>
      <c r="N5785" s="2"/>
      <c r="O5785" s="2"/>
      <c r="P5785" s="2" t="s">
        <v>17798</v>
      </c>
      <c r="Q5785" s="6">
        <v>90.9</v>
      </c>
      <c r="R5785" s="6">
        <v>4.5999999999999996</v>
      </c>
      <c r="S5785" s="5">
        <v>-1.4</v>
      </c>
      <c r="T5785" s="5">
        <v>0.2</v>
      </c>
      <c r="U5785" s="5">
        <v>7.4</v>
      </c>
      <c r="V5785" s="6">
        <v>-0.94</v>
      </c>
      <c r="W5785" s="7">
        <v>3.625</v>
      </c>
      <c r="X5785" s="5">
        <v>3.5</v>
      </c>
      <c r="Y5785" s="4">
        <v>4</v>
      </c>
      <c r="Z5785" s="4">
        <v>4</v>
      </c>
      <c r="AA5785" s="6">
        <v>1.47</v>
      </c>
      <c r="AB5785" s="2" t="s">
        <v>86</v>
      </c>
      <c r="AC5785" s="2"/>
    </row>
    <row r="5786" spans="1:29" ht="78" x14ac:dyDescent="0.15">
      <c r="A5786" s="3">
        <f>DATE(2000,10,5)</f>
        <v>36804</v>
      </c>
      <c r="B5786" s="2"/>
      <c r="C5786" s="2" t="s">
        <v>30</v>
      </c>
      <c r="D5786" s="2" t="s">
        <v>17799</v>
      </c>
      <c r="E5786" s="2" t="s">
        <v>17800</v>
      </c>
      <c r="F5786" s="4">
        <v>5521</v>
      </c>
      <c r="G5786" s="2" t="s">
        <v>73</v>
      </c>
      <c r="H5786" s="2" t="s">
        <v>34</v>
      </c>
      <c r="I5786" s="2" t="s">
        <v>17801</v>
      </c>
      <c r="J5786" s="2" t="s">
        <v>150</v>
      </c>
      <c r="K5786" s="2" t="s">
        <v>53</v>
      </c>
      <c r="L5786" s="2" t="s">
        <v>34</v>
      </c>
      <c r="M5786" s="2"/>
      <c r="N5786" s="2"/>
      <c r="O5786" s="2"/>
      <c r="P5786" s="2" t="s">
        <v>17802</v>
      </c>
      <c r="Q5786" s="2"/>
      <c r="R5786" s="2"/>
      <c r="S5786" s="5">
        <v>14.1</v>
      </c>
      <c r="T5786" s="5">
        <v>-18.600000000000001</v>
      </c>
      <c r="U5786" s="5">
        <v>12.8</v>
      </c>
      <c r="V5786" s="6">
        <v>1</v>
      </c>
      <c r="W5786" s="4">
        <v>6</v>
      </c>
      <c r="X5786" s="6">
        <v>5.75</v>
      </c>
      <c r="Y5786" s="9">
        <v>5.6875</v>
      </c>
      <c r="Z5786" s="9">
        <v>5.5625</v>
      </c>
      <c r="AA5786" s="6">
        <v>12.38</v>
      </c>
      <c r="AB5786" s="2" t="s">
        <v>86</v>
      </c>
      <c r="AC5786" s="2"/>
    </row>
    <row r="5787" spans="1:29" ht="65" x14ac:dyDescent="0.15">
      <c r="A5787" s="3">
        <f>DATE(2000,10,6)</f>
        <v>36805</v>
      </c>
      <c r="B5787" s="3">
        <f>DATE(2000,12,20)</f>
        <v>36880</v>
      </c>
      <c r="C5787" s="2" t="s">
        <v>95</v>
      </c>
      <c r="D5787" s="2" t="s">
        <v>17803</v>
      </c>
      <c r="E5787" s="2" t="s">
        <v>17804</v>
      </c>
      <c r="F5787" s="4">
        <v>5812</v>
      </c>
      <c r="G5787" s="2" t="s">
        <v>230</v>
      </c>
      <c r="H5787" s="2" t="s">
        <v>34</v>
      </c>
      <c r="I5787" s="2" t="s">
        <v>12271</v>
      </c>
      <c r="J5787" s="2" t="s">
        <v>1283</v>
      </c>
      <c r="K5787" s="2" t="s">
        <v>230</v>
      </c>
      <c r="L5787" s="2" t="s">
        <v>34</v>
      </c>
      <c r="M5787" s="2"/>
      <c r="N5787" s="2"/>
      <c r="O5787" s="2"/>
      <c r="P5787" s="2" t="s">
        <v>17805</v>
      </c>
      <c r="Q5787" s="6">
        <v>100</v>
      </c>
      <c r="R5787" s="6">
        <v>9.0399999999999991</v>
      </c>
      <c r="S5787" s="5">
        <v>20.5</v>
      </c>
      <c r="T5787" s="5">
        <v>25.7</v>
      </c>
      <c r="U5787" s="5">
        <v>4.9000000000000004</v>
      </c>
      <c r="V5787" s="6">
        <v>1.74</v>
      </c>
      <c r="W5787" s="7">
        <v>4.3129999999999997</v>
      </c>
      <c r="X5787" s="7">
        <v>4.1559999999999997</v>
      </c>
      <c r="Y5787" s="7">
        <v>7.875</v>
      </c>
      <c r="Z5787" s="4">
        <v>8</v>
      </c>
      <c r="AA5787" s="6">
        <v>11.6</v>
      </c>
      <c r="AB5787" s="7">
        <v>9.2270000000000003</v>
      </c>
      <c r="AC5787" s="2"/>
    </row>
    <row r="5788" spans="1:29" ht="143" x14ac:dyDescent="0.15">
      <c r="A5788" s="3">
        <f>DATE(2000,10,9)</f>
        <v>36808</v>
      </c>
      <c r="B5788" s="3">
        <f>DATE(2001,1,16)</f>
        <v>36907</v>
      </c>
      <c r="C5788" s="2" t="s">
        <v>95</v>
      </c>
      <c r="D5788" s="2" t="s">
        <v>17806</v>
      </c>
      <c r="E5788" s="2" t="s">
        <v>17807</v>
      </c>
      <c r="F5788" s="4">
        <v>3843</v>
      </c>
      <c r="G5788" s="2" t="s">
        <v>226</v>
      </c>
      <c r="H5788" s="2" t="s">
        <v>34</v>
      </c>
      <c r="I5788" s="2" t="s">
        <v>11341</v>
      </c>
      <c r="J5788" s="2" t="s">
        <v>129</v>
      </c>
      <c r="K5788" s="2" t="s">
        <v>130</v>
      </c>
      <c r="L5788" s="2" t="s">
        <v>303</v>
      </c>
      <c r="M5788" s="12">
        <v>158347.609</v>
      </c>
      <c r="N5788" s="2"/>
      <c r="O5788" s="2"/>
      <c r="P5788" s="2" t="s">
        <v>17808</v>
      </c>
      <c r="Q5788" s="6">
        <v>100</v>
      </c>
      <c r="R5788" s="6">
        <v>53</v>
      </c>
      <c r="S5788" s="5">
        <v>56.8</v>
      </c>
      <c r="T5788" s="5">
        <v>82.2</v>
      </c>
      <c r="U5788" s="5">
        <v>29.4</v>
      </c>
      <c r="V5788" s="6">
        <v>2.42</v>
      </c>
      <c r="W5788" s="4">
        <v>27</v>
      </c>
      <c r="X5788" s="5">
        <v>27.5</v>
      </c>
      <c r="Y5788" s="7">
        <v>27.375</v>
      </c>
      <c r="Z5788" s="7">
        <v>39.875</v>
      </c>
      <c r="AA5788" s="6">
        <v>23.21</v>
      </c>
      <c r="AB5788" s="7">
        <v>28.059000000000001</v>
      </c>
      <c r="AC5788" s="6">
        <v>719.83</v>
      </c>
    </row>
    <row r="5789" spans="1:29" ht="65" x14ac:dyDescent="0.15">
      <c r="A5789" s="3">
        <f>DATE(2000,10,9)</f>
        <v>36808</v>
      </c>
      <c r="B5789" s="3">
        <f>DATE(2001,1,12)</f>
        <v>36903</v>
      </c>
      <c r="C5789" s="2" t="s">
        <v>95</v>
      </c>
      <c r="D5789" s="2" t="s">
        <v>17809</v>
      </c>
      <c r="E5789" s="2" t="s">
        <v>203</v>
      </c>
      <c r="F5789" s="4">
        <v>6035</v>
      </c>
      <c r="G5789" s="2" t="s">
        <v>33</v>
      </c>
      <c r="H5789" s="2" t="s">
        <v>34</v>
      </c>
      <c r="I5789" s="2" t="s">
        <v>17810</v>
      </c>
      <c r="J5789" s="2" t="s">
        <v>2898</v>
      </c>
      <c r="K5789" s="2" t="s">
        <v>37</v>
      </c>
      <c r="L5789" s="2" t="s">
        <v>34</v>
      </c>
      <c r="M5789" s="2"/>
      <c r="N5789" s="2"/>
      <c r="O5789" s="2"/>
      <c r="P5789" s="2" t="s">
        <v>17811</v>
      </c>
      <c r="Q5789" s="6">
        <v>100</v>
      </c>
      <c r="R5789" s="6">
        <v>20.75</v>
      </c>
      <c r="S5789" s="5">
        <v>2</v>
      </c>
      <c r="T5789" s="5">
        <v>3.9</v>
      </c>
      <c r="U5789" s="5">
        <v>20.8</v>
      </c>
      <c r="V5789" s="6">
        <v>1.1299999999999999</v>
      </c>
      <c r="W5789" s="7">
        <v>17.875</v>
      </c>
      <c r="X5789" s="5">
        <v>17.5</v>
      </c>
      <c r="Y5789" s="7">
        <v>19.875</v>
      </c>
      <c r="Z5789" s="7">
        <v>19.937999999999999</v>
      </c>
      <c r="AA5789" s="6">
        <v>1.91</v>
      </c>
      <c r="AB5789" s="7">
        <v>90.972999999999999</v>
      </c>
      <c r="AC5789" s="2"/>
    </row>
    <row r="5790" spans="1:29" ht="78" x14ac:dyDescent="0.15">
      <c r="A5790" s="3">
        <f>DATE(2000,10,10)</f>
        <v>36809</v>
      </c>
      <c r="B5790" s="3">
        <f>DATE(2001,2,9)</f>
        <v>36931</v>
      </c>
      <c r="C5790" s="2" t="s">
        <v>95</v>
      </c>
      <c r="D5790" s="2" t="s">
        <v>17812</v>
      </c>
      <c r="E5790" s="2" t="s">
        <v>10920</v>
      </c>
      <c r="F5790" s="4">
        <v>8748</v>
      </c>
      <c r="G5790" s="2" t="s">
        <v>223</v>
      </c>
      <c r="H5790" s="2" t="s">
        <v>34</v>
      </c>
      <c r="I5790" s="2" t="s">
        <v>17813</v>
      </c>
      <c r="J5790" s="2" t="s">
        <v>17814</v>
      </c>
      <c r="K5790" s="2" t="s">
        <v>454</v>
      </c>
      <c r="L5790" s="2" t="s">
        <v>34</v>
      </c>
      <c r="M5790" s="2"/>
      <c r="N5790" s="2"/>
      <c r="O5790" s="2"/>
      <c r="P5790" s="2" t="s">
        <v>17815</v>
      </c>
      <c r="Q5790" s="6">
        <v>100</v>
      </c>
      <c r="R5790" s="6">
        <v>10.55</v>
      </c>
      <c r="S5790" s="5">
        <v>1.7</v>
      </c>
      <c r="T5790" s="5">
        <v>4.7</v>
      </c>
      <c r="U5790" s="5">
        <v>3.8</v>
      </c>
      <c r="V5790" s="6">
        <v>0.44</v>
      </c>
      <c r="W5790" s="7">
        <v>8.375</v>
      </c>
      <c r="X5790" s="7">
        <v>8.4380000000000006</v>
      </c>
      <c r="Y5790" s="4">
        <v>9</v>
      </c>
      <c r="Z5790" s="6">
        <v>9.25</v>
      </c>
      <c r="AA5790" s="6">
        <v>5.13</v>
      </c>
      <c r="AB5790" s="7">
        <v>22.274000000000001</v>
      </c>
      <c r="AC5790" s="2"/>
    </row>
    <row r="5791" spans="1:29" ht="117" x14ac:dyDescent="0.15">
      <c r="A5791" s="3">
        <f>DATE(2000,10,11)</f>
        <v>36810</v>
      </c>
      <c r="B5791" s="3">
        <f>DATE(2001,3,15)</f>
        <v>36965</v>
      </c>
      <c r="C5791" s="2" t="s">
        <v>95</v>
      </c>
      <c r="D5791" s="2" t="s">
        <v>17816</v>
      </c>
      <c r="E5791" s="2" t="s">
        <v>159</v>
      </c>
      <c r="F5791" s="4">
        <v>6029</v>
      </c>
      <c r="G5791" s="2" t="s">
        <v>37</v>
      </c>
      <c r="H5791" s="2" t="s">
        <v>34</v>
      </c>
      <c r="I5791" s="2" t="s">
        <v>17817</v>
      </c>
      <c r="J5791" s="2" t="s">
        <v>17818</v>
      </c>
      <c r="K5791" s="2" t="s">
        <v>33</v>
      </c>
      <c r="L5791" s="2" t="s">
        <v>34</v>
      </c>
      <c r="M5791" s="7">
        <v>18.442</v>
      </c>
      <c r="N5791" s="7">
        <v>6.875</v>
      </c>
      <c r="O5791" s="5">
        <v>6.5</v>
      </c>
      <c r="P5791" s="2" t="s">
        <v>17819</v>
      </c>
      <c r="Q5791" s="6">
        <v>100</v>
      </c>
      <c r="R5791" s="6">
        <v>2.17</v>
      </c>
      <c r="S5791" s="5">
        <v>0</v>
      </c>
      <c r="T5791" s="2"/>
      <c r="U5791" s="5">
        <v>1.5</v>
      </c>
      <c r="V5791" s="6">
        <v>-0.01</v>
      </c>
      <c r="W5791" s="7">
        <v>1.4379999999999999</v>
      </c>
      <c r="X5791" s="7">
        <v>1.125</v>
      </c>
      <c r="Y5791" s="2"/>
      <c r="Z5791" s="2"/>
      <c r="AA5791" s="6">
        <v>4.05</v>
      </c>
      <c r="AB5791" s="2" t="s">
        <v>86</v>
      </c>
      <c r="AC5791" s="5">
        <v>23.6</v>
      </c>
    </row>
    <row r="5792" spans="1:29" ht="104" x14ac:dyDescent="0.15">
      <c r="A5792" s="3">
        <f>DATE(2000,10,11)</f>
        <v>36810</v>
      </c>
      <c r="B5792" s="3">
        <f>DATE(2001,1,31)</f>
        <v>36922</v>
      </c>
      <c r="C5792" s="2" t="s">
        <v>95</v>
      </c>
      <c r="D5792" s="2" t="s">
        <v>17820</v>
      </c>
      <c r="E5792" s="2" t="s">
        <v>10259</v>
      </c>
      <c r="F5792" s="4">
        <v>6022</v>
      </c>
      <c r="G5792" s="2" t="s">
        <v>37</v>
      </c>
      <c r="H5792" s="2" t="s">
        <v>34</v>
      </c>
      <c r="I5792" s="2" t="s">
        <v>17821</v>
      </c>
      <c r="J5792" s="2" t="s">
        <v>1072</v>
      </c>
      <c r="K5792" s="2" t="s">
        <v>53</v>
      </c>
      <c r="L5792" s="2" t="s">
        <v>34</v>
      </c>
      <c r="M5792" s="2"/>
      <c r="N5792" s="2"/>
      <c r="O5792" s="2"/>
      <c r="P5792" s="2" t="s">
        <v>17822</v>
      </c>
      <c r="Q5792" s="6">
        <v>84.8</v>
      </c>
      <c r="R5792" s="6">
        <v>9.75</v>
      </c>
      <c r="S5792" s="2"/>
      <c r="T5792" s="2"/>
      <c r="U5792" s="2"/>
      <c r="V5792" s="2"/>
      <c r="W5792" s="7">
        <v>7.9379999999999997</v>
      </c>
      <c r="X5792" s="7">
        <v>8.0630000000000006</v>
      </c>
      <c r="Y5792" s="7">
        <v>7.875</v>
      </c>
      <c r="Z5792" s="4">
        <v>9</v>
      </c>
      <c r="AA5792" s="6">
        <v>1.35</v>
      </c>
      <c r="AB5792" s="2" t="s">
        <v>47</v>
      </c>
      <c r="AC5792" s="2"/>
    </row>
    <row r="5793" spans="1:29" ht="117" x14ac:dyDescent="0.15">
      <c r="A5793" s="3">
        <f>DATE(2000,10,12)</f>
        <v>36811</v>
      </c>
      <c r="B5793" s="3">
        <f>DATE(2000,11,28)</f>
        <v>36858</v>
      </c>
      <c r="C5793" s="2" t="s">
        <v>95</v>
      </c>
      <c r="D5793" s="2" t="s">
        <v>17823</v>
      </c>
      <c r="E5793" s="2" t="s">
        <v>17824</v>
      </c>
      <c r="F5793" s="4">
        <v>3825</v>
      </c>
      <c r="G5793" s="2" t="s">
        <v>226</v>
      </c>
      <c r="H5793" s="2" t="s">
        <v>34</v>
      </c>
      <c r="I5793" s="2" t="s">
        <v>17825</v>
      </c>
      <c r="J5793" s="2" t="s">
        <v>17826</v>
      </c>
      <c r="K5793" s="2" t="s">
        <v>137</v>
      </c>
      <c r="L5793" s="2" t="s">
        <v>34</v>
      </c>
      <c r="M5793" s="7">
        <v>732.94899999999996</v>
      </c>
      <c r="N5793" s="7">
        <v>12.688000000000001</v>
      </c>
      <c r="O5793" s="7">
        <v>13.688000000000001</v>
      </c>
      <c r="P5793" s="2" t="s">
        <v>17827</v>
      </c>
      <c r="Q5793" s="6">
        <v>100</v>
      </c>
      <c r="R5793" s="6">
        <v>20</v>
      </c>
      <c r="S5793" s="5">
        <v>-8.3000000000000007</v>
      </c>
      <c r="T5793" s="5">
        <v>20.8</v>
      </c>
      <c r="U5793" s="5">
        <v>5.9</v>
      </c>
      <c r="V5793" s="6">
        <v>-1.1200000000000001</v>
      </c>
      <c r="W5793" s="7">
        <v>13.813000000000001</v>
      </c>
      <c r="X5793" s="5">
        <v>12.5</v>
      </c>
      <c r="Y5793" s="7">
        <v>19.562999999999999</v>
      </c>
      <c r="Z5793" s="7">
        <v>19.562999999999999</v>
      </c>
      <c r="AA5793" s="6">
        <v>9.49</v>
      </c>
      <c r="AB5793" s="7">
        <v>74.587000000000003</v>
      </c>
      <c r="AC5793" s="5">
        <v>211.5</v>
      </c>
    </row>
    <row r="5794" spans="1:29" ht="117" x14ac:dyDescent="0.15">
      <c r="A5794" s="3">
        <f>DATE(2000,10,12)</f>
        <v>36811</v>
      </c>
      <c r="B5794" s="3">
        <f>DATE(2000,12,31)</f>
        <v>36891</v>
      </c>
      <c r="C5794" s="2" t="s">
        <v>95</v>
      </c>
      <c r="D5794" s="2" t="s">
        <v>17828</v>
      </c>
      <c r="E5794" s="2" t="s">
        <v>17829</v>
      </c>
      <c r="F5794" s="4">
        <v>1521</v>
      </c>
      <c r="G5794" s="2" t="s">
        <v>341</v>
      </c>
      <c r="H5794" s="2" t="s">
        <v>34</v>
      </c>
      <c r="I5794" s="2" t="s">
        <v>17830</v>
      </c>
      <c r="J5794" s="2" t="s">
        <v>3499</v>
      </c>
      <c r="K5794" s="2" t="s">
        <v>341</v>
      </c>
      <c r="L5794" s="2" t="s">
        <v>34</v>
      </c>
      <c r="M5794" s="2"/>
      <c r="N5794" s="2"/>
      <c r="O5794" s="2"/>
      <c r="P5794" s="2" t="s">
        <v>17831</v>
      </c>
      <c r="Q5794" s="6">
        <v>100</v>
      </c>
      <c r="R5794" s="6">
        <v>19.100000000000001</v>
      </c>
      <c r="S5794" s="5">
        <v>33.700000000000003</v>
      </c>
      <c r="T5794" s="5">
        <v>68.7</v>
      </c>
      <c r="U5794" s="5">
        <v>19.2</v>
      </c>
      <c r="V5794" s="6">
        <v>3.05</v>
      </c>
      <c r="W5794" s="7">
        <v>15.625</v>
      </c>
      <c r="X5794" s="6">
        <v>15.75</v>
      </c>
      <c r="Y5794" s="7">
        <v>18.812999999999999</v>
      </c>
      <c r="Z5794" s="6">
        <v>18.75</v>
      </c>
      <c r="AA5794" s="6">
        <v>10.83</v>
      </c>
      <c r="AB5794" s="7">
        <v>8.0459999999999994</v>
      </c>
      <c r="AC5794" s="2"/>
    </row>
    <row r="5795" spans="1:29" ht="169" x14ac:dyDescent="0.15">
      <c r="A5795" s="3">
        <f>DATE(2000,10,12)</f>
        <v>36811</v>
      </c>
      <c r="B5795" s="2"/>
      <c r="C5795" s="2" t="s">
        <v>30</v>
      </c>
      <c r="D5795" s="2" t="s">
        <v>15748</v>
      </c>
      <c r="E5795" s="2" t="s">
        <v>268</v>
      </c>
      <c r="F5795" s="4">
        <v>7011</v>
      </c>
      <c r="G5795" s="2" t="s">
        <v>269</v>
      </c>
      <c r="H5795" s="2" t="s">
        <v>34</v>
      </c>
      <c r="I5795" s="2" t="s">
        <v>51</v>
      </c>
      <c r="J5795" s="2" t="s">
        <v>52</v>
      </c>
      <c r="K5795" s="2" t="s">
        <v>53</v>
      </c>
      <c r="L5795" s="2" t="s">
        <v>34</v>
      </c>
      <c r="M5795" s="2"/>
      <c r="N5795" s="2"/>
      <c r="O5795" s="2"/>
      <c r="P5795" s="2" t="s">
        <v>17832</v>
      </c>
      <c r="Q5795" s="2"/>
      <c r="R5795" s="6">
        <v>4.5</v>
      </c>
      <c r="S5795" s="5">
        <v>-122.5</v>
      </c>
      <c r="T5795" s="5">
        <v>54.5</v>
      </c>
      <c r="U5795" s="5">
        <v>6</v>
      </c>
      <c r="V5795" s="6">
        <v>-4.4400000000000004</v>
      </c>
      <c r="W5795" s="7">
        <v>2.8130000000000002</v>
      </c>
      <c r="X5795" s="7">
        <v>2.875</v>
      </c>
      <c r="Y5795" s="7">
        <v>3.375</v>
      </c>
      <c r="Z5795" s="5">
        <v>3.5</v>
      </c>
      <c r="AA5795" s="6">
        <v>28.13</v>
      </c>
      <c r="AB5795" s="2" t="s">
        <v>86</v>
      </c>
      <c r="AC5795" s="2"/>
    </row>
    <row r="5796" spans="1:29" ht="156" x14ac:dyDescent="0.15">
      <c r="A5796" s="3">
        <f>DATE(2000,10,12)</f>
        <v>36811</v>
      </c>
      <c r="B5796" s="3">
        <f>DATE(2000,12,1)</f>
        <v>36861</v>
      </c>
      <c r="C5796" s="2" t="s">
        <v>95</v>
      </c>
      <c r="D5796" s="2" t="s">
        <v>17833</v>
      </c>
      <c r="E5796" s="2" t="s">
        <v>17834</v>
      </c>
      <c r="F5796" s="4">
        <v>6211</v>
      </c>
      <c r="G5796" s="2" t="s">
        <v>53</v>
      </c>
      <c r="H5796" s="2" t="s">
        <v>34</v>
      </c>
      <c r="I5796" s="2" t="s">
        <v>17835</v>
      </c>
      <c r="J5796" s="2" t="s">
        <v>17836</v>
      </c>
      <c r="K5796" s="2" t="s">
        <v>37</v>
      </c>
      <c r="L5796" s="2" t="s">
        <v>1049</v>
      </c>
      <c r="M5796" s="12">
        <v>45932.307999999997</v>
      </c>
      <c r="N5796" s="2"/>
      <c r="O5796" s="2"/>
      <c r="P5796" s="2" t="s">
        <v>17837</v>
      </c>
      <c r="Q5796" s="6">
        <v>84.86</v>
      </c>
      <c r="R5796" s="6">
        <v>49</v>
      </c>
      <c r="S5796" s="5">
        <v>32.6</v>
      </c>
      <c r="T5796" s="5">
        <v>80.599999999999994</v>
      </c>
      <c r="U5796" s="5">
        <v>17.3</v>
      </c>
      <c r="V5796" s="6">
        <v>1.86</v>
      </c>
      <c r="W5796" s="7">
        <v>28.312999999999999</v>
      </c>
      <c r="X5796" s="6">
        <v>25.25</v>
      </c>
      <c r="Y5796" s="7">
        <v>47.688000000000002</v>
      </c>
      <c r="Z5796" s="7">
        <v>47.313000000000002</v>
      </c>
      <c r="AA5796" s="6">
        <v>21</v>
      </c>
      <c r="AB5796" s="7">
        <v>14.772</v>
      </c>
      <c r="AC5796" s="2"/>
    </row>
    <row r="5797" spans="1:29" ht="117" x14ac:dyDescent="0.15">
      <c r="A5797" s="3">
        <f>DATE(2000,10,13)</f>
        <v>36812</v>
      </c>
      <c r="B5797" s="3">
        <f>DATE(2000,11,22)</f>
        <v>36852</v>
      </c>
      <c r="C5797" s="2" t="s">
        <v>95</v>
      </c>
      <c r="D5797" s="2" t="s">
        <v>15051</v>
      </c>
      <c r="E5797" s="2" t="s">
        <v>15052</v>
      </c>
      <c r="F5797" s="2" t="s">
        <v>13975</v>
      </c>
      <c r="G5797" s="2" t="s">
        <v>109</v>
      </c>
      <c r="H5797" s="2" t="s">
        <v>34</v>
      </c>
      <c r="I5797" s="2" t="s">
        <v>17838</v>
      </c>
      <c r="J5797" s="2" t="s">
        <v>3941</v>
      </c>
      <c r="K5797" s="2" t="s">
        <v>53</v>
      </c>
      <c r="L5797" s="2" t="s">
        <v>34</v>
      </c>
      <c r="M5797" s="2"/>
      <c r="N5797" s="2"/>
      <c r="O5797" s="2"/>
      <c r="P5797" s="2" t="s">
        <v>17839</v>
      </c>
      <c r="Q5797" s="6">
        <v>100</v>
      </c>
      <c r="R5797" s="6">
        <v>7.55</v>
      </c>
      <c r="S5797" s="5">
        <v>-3</v>
      </c>
      <c r="T5797" s="5">
        <v>22.8</v>
      </c>
      <c r="U5797" s="5">
        <v>13.7</v>
      </c>
      <c r="V5797" s="6">
        <v>-0.47</v>
      </c>
      <c r="W5797" s="7">
        <v>6.5629999999999997</v>
      </c>
      <c r="X5797" s="7">
        <v>7.375</v>
      </c>
      <c r="Y5797" s="7">
        <v>7.375</v>
      </c>
      <c r="Z5797" s="7">
        <v>7.375</v>
      </c>
      <c r="AA5797" s="6">
        <v>6.32</v>
      </c>
      <c r="AB5797" s="7">
        <v>20.850999999999999</v>
      </c>
      <c r="AC5797" s="6">
        <v>27.71</v>
      </c>
    </row>
    <row r="5798" spans="1:29" ht="104" x14ac:dyDescent="0.15">
      <c r="A5798" s="3">
        <f>DATE(2000,10,13)</f>
        <v>36812</v>
      </c>
      <c r="B5798" s="3">
        <f>DATE(2000,11,28)</f>
        <v>36858</v>
      </c>
      <c r="C5798" s="2" t="s">
        <v>95</v>
      </c>
      <c r="D5798" s="2" t="s">
        <v>13327</v>
      </c>
      <c r="E5798" s="2" t="s">
        <v>13328</v>
      </c>
      <c r="F5798" s="4">
        <v>3669</v>
      </c>
      <c r="G5798" s="2" t="s">
        <v>921</v>
      </c>
      <c r="H5798" s="2" t="s">
        <v>34</v>
      </c>
      <c r="I5798" s="2" t="s">
        <v>17840</v>
      </c>
      <c r="J5798" s="2" t="s">
        <v>17841</v>
      </c>
      <c r="K5798" s="2" t="s">
        <v>63</v>
      </c>
      <c r="L5798" s="2" t="s">
        <v>435</v>
      </c>
      <c r="M5798" s="2"/>
      <c r="N5798" s="2"/>
      <c r="O5798" s="2"/>
      <c r="P5798" s="2" t="s">
        <v>17842</v>
      </c>
      <c r="Q5798" s="6">
        <v>100</v>
      </c>
      <c r="R5798" s="6">
        <v>8.6999999999999993</v>
      </c>
      <c r="S5798" s="5">
        <v>-6.8</v>
      </c>
      <c r="T5798" s="5">
        <v>-8.3000000000000007</v>
      </c>
      <c r="U5798" s="5">
        <v>1.8</v>
      </c>
      <c r="V5798" s="6">
        <v>-0.63</v>
      </c>
      <c r="W5798" s="6">
        <v>5.75</v>
      </c>
      <c r="X5798" s="4">
        <v>6</v>
      </c>
      <c r="Y5798" s="7">
        <v>8.5630000000000006</v>
      </c>
      <c r="Z5798" s="5">
        <v>8.5</v>
      </c>
      <c r="AA5798" s="6">
        <v>10.7</v>
      </c>
      <c r="AB5798" s="2" t="s">
        <v>86</v>
      </c>
      <c r="AC5798" s="10">
        <v>3408.44</v>
      </c>
    </row>
    <row r="5799" spans="1:29" ht="91" x14ac:dyDescent="0.15">
      <c r="A5799" s="3">
        <f>DATE(2000,10,14)</f>
        <v>36813</v>
      </c>
      <c r="B5799" s="3">
        <f>DATE(2001,2,6)</f>
        <v>36928</v>
      </c>
      <c r="C5799" s="2" t="s">
        <v>95</v>
      </c>
      <c r="D5799" s="2" t="s">
        <v>17843</v>
      </c>
      <c r="E5799" s="2" t="s">
        <v>6365</v>
      </c>
      <c r="F5799" s="4">
        <v>5999</v>
      </c>
      <c r="G5799" s="2" t="s">
        <v>73</v>
      </c>
      <c r="H5799" s="2" t="s">
        <v>34</v>
      </c>
      <c r="I5799" s="2" t="s">
        <v>17844</v>
      </c>
      <c r="J5799" s="2" t="s">
        <v>678</v>
      </c>
      <c r="K5799" s="2" t="s">
        <v>53</v>
      </c>
      <c r="L5799" s="2" t="s">
        <v>34</v>
      </c>
      <c r="M5799" s="2"/>
      <c r="N5799" s="2"/>
      <c r="O5799" s="2"/>
      <c r="P5799" s="2" t="s">
        <v>17845</v>
      </c>
      <c r="Q5799" s="6">
        <v>72.819999999999993</v>
      </c>
      <c r="R5799" s="2"/>
      <c r="S5799" s="5">
        <v>-21.5</v>
      </c>
      <c r="T5799" s="5">
        <v>-20.9</v>
      </c>
      <c r="U5799" s="5">
        <v>-3.1</v>
      </c>
      <c r="V5799" s="6">
        <v>-4.53</v>
      </c>
      <c r="W5799" s="4">
        <v>3</v>
      </c>
      <c r="X5799" s="7">
        <v>2.9689999999999999</v>
      </c>
      <c r="Y5799" s="4">
        <v>3</v>
      </c>
      <c r="Z5799" s="4">
        <v>3</v>
      </c>
      <c r="AA5799" s="6">
        <v>4.92</v>
      </c>
      <c r="AB5799" s="2" t="s">
        <v>86</v>
      </c>
      <c r="AC5799" s="2"/>
    </row>
    <row r="5800" spans="1:29" ht="208" x14ac:dyDescent="0.15">
      <c r="A5800" s="3">
        <f t="shared" ref="A5800:A5806" si="140">DATE(2000,10,16)</f>
        <v>36815</v>
      </c>
      <c r="B5800" s="3">
        <f>DATE(2000,12,1)</f>
        <v>36861</v>
      </c>
      <c r="C5800" s="2" t="s">
        <v>95</v>
      </c>
      <c r="D5800" s="2" t="s">
        <v>17846</v>
      </c>
      <c r="E5800" s="2" t="s">
        <v>17847</v>
      </c>
      <c r="F5800" s="4">
        <v>7371</v>
      </c>
      <c r="G5800" s="2" t="s">
        <v>223</v>
      </c>
      <c r="H5800" s="2" t="s">
        <v>34</v>
      </c>
      <c r="I5800" s="2" t="s">
        <v>17848</v>
      </c>
      <c r="J5800" s="2" t="s">
        <v>13128</v>
      </c>
      <c r="K5800" s="2" t="s">
        <v>148</v>
      </c>
      <c r="L5800" s="2" t="s">
        <v>34</v>
      </c>
      <c r="M5800" s="12">
        <v>47311.483</v>
      </c>
      <c r="N5800" s="7">
        <v>79.875</v>
      </c>
      <c r="O5800" s="7">
        <v>81.875</v>
      </c>
      <c r="P5800" s="2" t="s">
        <v>17849</v>
      </c>
      <c r="Q5800" s="6">
        <v>71.7</v>
      </c>
      <c r="R5800" s="6">
        <v>8</v>
      </c>
      <c r="S5800" s="5">
        <v>-2.8</v>
      </c>
      <c r="T5800" s="7">
        <v>8.6609999999999996</v>
      </c>
      <c r="U5800" s="5">
        <v>0.7</v>
      </c>
      <c r="V5800" s="9">
        <v>-6.5199999999999994E-2</v>
      </c>
      <c r="W5800" s="7">
        <v>5.125</v>
      </c>
      <c r="X5800" s="7">
        <v>4.7190000000000003</v>
      </c>
      <c r="Y5800" s="7">
        <v>7.8129999999999997</v>
      </c>
      <c r="Z5800" s="7">
        <v>7.8440000000000003</v>
      </c>
      <c r="AA5800" s="6">
        <v>43.42</v>
      </c>
      <c r="AB5800" s="7">
        <v>44.731999999999999</v>
      </c>
      <c r="AC5800" s="8">
        <v>3695.7</v>
      </c>
    </row>
    <row r="5801" spans="1:29" ht="104" x14ac:dyDescent="0.15">
      <c r="A5801" s="3">
        <f t="shared" si="140"/>
        <v>36815</v>
      </c>
      <c r="B5801" s="3">
        <f>DATE(2000,12,22)</f>
        <v>36882</v>
      </c>
      <c r="C5801" s="2" t="s">
        <v>95</v>
      </c>
      <c r="D5801" s="2" t="s">
        <v>17850</v>
      </c>
      <c r="E5801" s="2" t="s">
        <v>17851</v>
      </c>
      <c r="F5801" s="4">
        <v>2836</v>
      </c>
      <c r="G5801" s="2" t="s">
        <v>130</v>
      </c>
      <c r="H5801" s="2" t="s">
        <v>34</v>
      </c>
      <c r="I5801" s="2" t="s">
        <v>14625</v>
      </c>
      <c r="J5801" s="2" t="s">
        <v>14081</v>
      </c>
      <c r="K5801" s="2" t="s">
        <v>130</v>
      </c>
      <c r="L5801" s="2" t="s">
        <v>34</v>
      </c>
      <c r="M5801" s="12">
        <v>1009.572</v>
      </c>
      <c r="N5801" s="7">
        <v>39.688000000000002</v>
      </c>
      <c r="O5801" s="7">
        <v>37.688000000000002</v>
      </c>
      <c r="P5801" s="2" t="s">
        <v>17852</v>
      </c>
      <c r="Q5801" s="6">
        <v>100</v>
      </c>
      <c r="R5801" s="6">
        <v>44.32</v>
      </c>
      <c r="S5801" s="5">
        <v>-54.4</v>
      </c>
      <c r="T5801" s="5">
        <v>-55.5</v>
      </c>
      <c r="U5801" s="5">
        <v>4.5</v>
      </c>
      <c r="V5801" s="6">
        <v>-2.73</v>
      </c>
      <c r="W5801" s="7">
        <v>30.187999999999999</v>
      </c>
      <c r="X5801" s="7">
        <v>30.937999999999999</v>
      </c>
      <c r="Y5801" s="7">
        <v>34.875</v>
      </c>
      <c r="Z5801" s="7">
        <v>33.125</v>
      </c>
      <c r="AA5801" s="6">
        <v>17.11</v>
      </c>
      <c r="AB5801" s="2" t="s">
        <v>86</v>
      </c>
      <c r="AC5801" s="5">
        <v>22.1</v>
      </c>
    </row>
    <row r="5802" spans="1:29" ht="208" x14ac:dyDescent="0.15">
      <c r="A5802" s="3">
        <f t="shared" si="140"/>
        <v>36815</v>
      </c>
      <c r="B5802" s="2"/>
      <c r="C5802" s="2" t="s">
        <v>30</v>
      </c>
      <c r="D5802" s="2" t="s">
        <v>15748</v>
      </c>
      <c r="E5802" s="2" t="s">
        <v>268</v>
      </c>
      <c r="F5802" s="4">
        <v>7011</v>
      </c>
      <c r="G5802" s="2" t="s">
        <v>269</v>
      </c>
      <c r="H5802" s="2" t="s">
        <v>34</v>
      </c>
      <c r="I5802" s="2" t="s">
        <v>17853</v>
      </c>
      <c r="J5802" s="2" t="s">
        <v>92</v>
      </c>
      <c r="K5802" s="2" t="s">
        <v>53</v>
      </c>
      <c r="L5802" s="2" t="s">
        <v>34</v>
      </c>
      <c r="M5802" s="2"/>
      <c r="N5802" s="2"/>
      <c r="O5802" s="2"/>
      <c r="P5802" s="2" t="s">
        <v>17854</v>
      </c>
      <c r="Q5802" s="2"/>
      <c r="R5802" s="6">
        <v>4.75</v>
      </c>
      <c r="S5802" s="5">
        <v>-122.5</v>
      </c>
      <c r="T5802" s="5">
        <v>54.5</v>
      </c>
      <c r="U5802" s="5">
        <v>6</v>
      </c>
      <c r="V5802" s="6">
        <v>-4.4400000000000004</v>
      </c>
      <c r="W5802" s="7">
        <v>2.8130000000000002</v>
      </c>
      <c r="X5802" s="7">
        <v>2.875</v>
      </c>
      <c r="Y5802" s="7">
        <v>3.375</v>
      </c>
      <c r="Z5802" s="5">
        <v>3.5</v>
      </c>
      <c r="AA5802" s="6">
        <v>28.13</v>
      </c>
      <c r="AB5802" s="2" t="s">
        <v>86</v>
      </c>
      <c r="AC5802" s="2"/>
    </row>
    <row r="5803" spans="1:29" ht="39" x14ac:dyDescent="0.15">
      <c r="A5803" s="3">
        <f t="shared" si="140"/>
        <v>36815</v>
      </c>
      <c r="B5803" s="2"/>
      <c r="C5803" s="2" t="s">
        <v>141</v>
      </c>
      <c r="D5803" s="2" t="s">
        <v>17855</v>
      </c>
      <c r="E5803" s="2" t="s">
        <v>3384</v>
      </c>
      <c r="F5803" s="4">
        <v>5812</v>
      </c>
      <c r="G5803" s="2" t="s">
        <v>230</v>
      </c>
      <c r="H5803" s="2" t="s">
        <v>34</v>
      </c>
      <c r="I5803" s="2" t="s">
        <v>143</v>
      </c>
      <c r="J5803" s="2" t="s">
        <v>144</v>
      </c>
      <c r="K5803" s="2" t="s">
        <v>53</v>
      </c>
      <c r="L5803" s="2" t="s">
        <v>139</v>
      </c>
      <c r="M5803" s="2"/>
      <c r="N5803" s="2"/>
      <c r="O5803" s="2"/>
      <c r="P5803" s="2" t="s">
        <v>17856</v>
      </c>
      <c r="Q5803" s="2"/>
      <c r="R5803" s="2"/>
      <c r="S5803" s="5">
        <v>-0.7</v>
      </c>
      <c r="T5803" s="5">
        <v>7.9</v>
      </c>
      <c r="U5803" s="5">
        <v>0.2</v>
      </c>
      <c r="V5803" s="6">
        <v>-0.24</v>
      </c>
      <c r="W5803" s="7">
        <v>1.625</v>
      </c>
      <c r="X5803" s="5">
        <v>1.5</v>
      </c>
      <c r="Y5803" s="7">
        <v>1.625</v>
      </c>
      <c r="Z5803" s="7">
        <v>1.5629999999999999</v>
      </c>
      <c r="AA5803" s="6">
        <v>2.94</v>
      </c>
      <c r="AB5803" s="2" t="s">
        <v>47</v>
      </c>
      <c r="AC5803" s="2"/>
    </row>
    <row r="5804" spans="1:29" ht="130" x14ac:dyDescent="0.15">
      <c r="A5804" s="3">
        <f t="shared" si="140"/>
        <v>36815</v>
      </c>
      <c r="B5804" s="3">
        <f>DATE(2001,1,29)</f>
        <v>36920</v>
      </c>
      <c r="C5804" s="2" t="s">
        <v>95</v>
      </c>
      <c r="D5804" s="2" t="s">
        <v>17857</v>
      </c>
      <c r="E5804" s="2" t="s">
        <v>17858</v>
      </c>
      <c r="F5804" s="4">
        <v>5961</v>
      </c>
      <c r="G5804" s="2" t="s">
        <v>73</v>
      </c>
      <c r="H5804" s="2" t="s">
        <v>34</v>
      </c>
      <c r="I5804" s="2" t="s">
        <v>17859</v>
      </c>
      <c r="J5804" s="2" t="s">
        <v>17860</v>
      </c>
      <c r="K5804" s="2" t="s">
        <v>42</v>
      </c>
      <c r="L5804" s="2" t="s">
        <v>34</v>
      </c>
      <c r="M5804" s="7">
        <v>182.636</v>
      </c>
      <c r="N5804" s="4">
        <v>16</v>
      </c>
      <c r="O5804" s="5">
        <v>16.5</v>
      </c>
      <c r="P5804" s="2" t="s">
        <v>17861</v>
      </c>
      <c r="Q5804" s="6">
        <v>100</v>
      </c>
      <c r="R5804" s="6">
        <v>1.7</v>
      </c>
      <c r="S5804" s="5">
        <v>-1.6</v>
      </c>
      <c r="T5804" s="5">
        <v>-1.5</v>
      </c>
      <c r="U5804" s="5">
        <v>1.8</v>
      </c>
      <c r="V5804" s="6">
        <v>-0.37</v>
      </c>
      <c r="W5804" s="7">
        <v>1.5309999999999999</v>
      </c>
      <c r="X5804" s="6">
        <v>2.25</v>
      </c>
      <c r="Y5804" s="7">
        <v>2.0630000000000002</v>
      </c>
      <c r="Z5804" s="4">
        <v>2</v>
      </c>
      <c r="AA5804" s="6">
        <v>4.8099999999999996</v>
      </c>
      <c r="AB5804" s="2" t="s">
        <v>86</v>
      </c>
      <c r="AC5804" s="2"/>
    </row>
    <row r="5805" spans="1:29" ht="143" x14ac:dyDescent="0.15">
      <c r="A5805" s="3">
        <f t="shared" si="140"/>
        <v>36815</v>
      </c>
      <c r="B5805" s="3">
        <f>DATE(2000,11,27)</f>
        <v>36857</v>
      </c>
      <c r="C5805" s="2" t="s">
        <v>95</v>
      </c>
      <c r="D5805" s="2" t="s">
        <v>4631</v>
      </c>
      <c r="E5805" s="2" t="s">
        <v>4632</v>
      </c>
      <c r="F5805" s="4">
        <v>3589</v>
      </c>
      <c r="G5805" s="2" t="s">
        <v>300</v>
      </c>
      <c r="H5805" s="2" t="s">
        <v>34</v>
      </c>
      <c r="I5805" s="2" t="s">
        <v>13850</v>
      </c>
      <c r="J5805" s="2" t="s">
        <v>13851</v>
      </c>
      <c r="K5805" s="2" t="s">
        <v>219</v>
      </c>
      <c r="L5805" s="2" t="s">
        <v>34</v>
      </c>
      <c r="M5805" s="12">
        <v>30138.505000000001</v>
      </c>
      <c r="N5805" s="7">
        <v>72.063000000000002</v>
      </c>
      <c r="O5805" s="7">
        <v>69.688000000000002</v>
      </c>
      <c r="P5805" s="2" t="s">
        <v>17862</v>
      </c>
      <c r="Q5805" s="6">
        <v>100</v>
      </c>
      <c r="R5805" s="6">
        <v>30.5</v>
      </c>
      <c r="S5805" s="5">
        <v>43.1</v>
      </c>
      <c r="T5805" s="5">
        <v>78.2</v>
      </c>
      <c r="U5805" s="5">
        <v>2.1</v>
      </c>
      <c r="V5805" s="6">
        <v>2.2000000000000002</v>
      </c>
      <c r="W5805" s="7">
        <v>24.375</v>
      </c>
      <c r="X5805" s="7">
        <v>24.187999999999999</v>
      </c>
      <c r="Y5805" s="7">
        <v>30.125</v>
      </c>
      <c r="Z5805" s="7">
        <v>30.125</v>
      </c>
      <c r="AA5805" s="6">
        <v>19.52</v>
      </c>
      <c r="AB5805" s="7">
        <v>10.393000000000001</v>
      </c>
      <c r="AC5805" s="5">
        <v>818</v>
      </c>
    </row>
    <row r="5806" spans="1:29" ht="260" x14ac:dyDescent="0.15">
      <c r="A5806" s="3">
        <f t="shared" si="140"/>
        <v>36815</v>
      </c>
      <c r="B5806" s="3">
        <f>DATE(2001,10,9)</f>
        <v>37173</v>
      </c>
      <c r="C5806" s="2" t="s">
        <v>95</v>
      </c>
      <c r="D5806" s="2" t="s">
        <v>10354</v>
      </c>
      <c r="E5806" s="2" t="s">
        <v>7557</v>
      </c>
      <c r="F5806" s="4">
        <v>2911</v>
      </c>
      <c r="G5806" s="2" t="s">
        <v>148</v>
      </c>
      <c r="H5806" s="2" t="s">
        <v>34</v>
      </c>
      <c r="I5806" s="2" t="s">
        <v>13405</v>
      </c>
      <c r="J5806" s="2" t="s">
        <v>13406</v>
      </c>
      <c r="K5806" s="2" t="s">
        <v>148</v>
      </c>
      <c r="L5806" s="2" t="s">
        <v>34</v>
      </c>
      <c r="M5806" s="12">
        <v>59025.961000000003</v>
      </c>
      <c r="N5806" s="4">
        <v>82</v>
      </c>
      <c r="O5806" s="7">
        <v>82.875</v>
      </c>
      <c r="P5806" s="2" t="s">
        <v>17863</v>
      </c>
      <c r="Q5806" s="6">
        <v>100</v>
      </c>
      <c r="R5806" s="6">
        <v>64.87</v>
      </c>
      <c r="S5806" s="8">
        <v>2315</v>
      </c>
      <c r="T5806" s="8">
        <v>5203</v>
      </c>
      <c r="U5806" s="5">
        <v>23.2</v>
      </c>
      <c r="V5806" s="6">
        <v>4.2300000000000004</v>
      </c>
      <c r="W5806" s="7">
        <v>52.938000000000002</v>
      </c>
      <c r="X5806" s="7">
        <v>55.125</v>
      </c>
      <c r="Y5806" s="4">
        <v>59</v>
      </c>
      <c r="Z5806" s="7">
        <v>59.125</v>
      </c>
      <c r="AA5806" s="6">
        <v>551.25</v>
      </c>
      <c r="AB5806" s="7">
        <v>12.372</v>
      </c>
      <c r="AC5806" s="8">
        <v>1342</v>
      </c>
    </row>
    <row r="5807" spans="1:29" ht="143" x14ac:dyDescent="0.15">
      <c r="A5807" s="3">
        <f>DATE(2000,10,17)</f>
        <v>36816</v>
      </c>
      <c r="B5807" s="3">
        <f>DATE(2000,12,1)</f>
        <v>36861</v>
      </c>
      <c r="C5807" s="2" t="s">
        <v>95</v>
      </c>
      <c r="D5807" s="2" t="s">
        <v>17864</v>
      </c>
      <c r="E5807" s="2" t="s">
        <v>17865</v>
      </c>
      <c r="F5807" s="4">
        <v>2671</v>
      </c>
      <c r="G5807" s="2" t="s">
        <v>282</v>
      </c>
      <c r="H5807" s="2" t="s">
        <v>34</v>
      </c>
      <c r="I5807" s="2" t="s">
        <v>17866</v>
      </c>
      <c r="J5807" s="2" t="s">
        <v>17867</v>
      </c>
      <c r="K5807" s="2" t="s">
        <v>163</v>
      </c>
      <c r="L5807" s="2" t="s">
        <v>133</v>
      </c>
      <c r="M5807" s="2"/>
      <c r="N5807" s="2"/>
      <c r="O5807" s="2"/>
      <c r="P5807" s="2" t="s">
        <v>17868</v>
      </c>
      <c r="Q5807" s="6">
        <v>100</v>
      </c>
      <c r="R5807" s="6">
        <v>7.86</v>
      </c>
      <c r="S5807" s="5">
        <v>-1.9</v>
      </c>
      <c r="T5807" s="5">
        <v>11.2</v>
      </c>
      <c r="U5807" s="5">
        <v>7.2</v>
      </c>
      <c r="V5807" s="6">
        <v>-0.35</v>
      </c>
      <c r="W5807" s="7">
        <v>3.875</v>
      </c>
      <c r="X5807" s="7">
        <v>4.625</v>
      </c>
      <c r="Y5807" s="7">
        <v>5.125</v>
      </c>
      <c r="Z5807" s="5">
        <v>5.5</v>
      </c>
      <c r="AA5807" s="6">
        <v>5.56</v>
      </c>
      <c r="AB5807" s="2" t="s">
        <v>86</v>
      </c>
      <c r="AC5807" s="6">
        <v>471.28</v>
      </c>
    </row>
    <row r="5808" spans="1:29" ht="195" x14ac:dyDescent="0.15">
      <c r="A5808" s="3">
        <f>DATE(2000,10,17)</f>
        <v>36816</v>
      </c>
      <c r="B5808" s="3">
        <f>DATE(2000,12,13)</f>
        <v>36873</v>
      </c>
      <c r="C5808" s="2" t="s">
        <v>95</v>
      </c>
      <c r="D5808" s="2" t="s">
        <v>17869</v>
      </c>
      <c r="E5808" s="2" t="s">
        <v>17870</v>
      </c>
      <c r="F5808" s="4">
        <v>3841</v>
      </c>
      <c r="G5808" s="2" t="s">
        <v>226</v>
      </c>
      <c r="H5808" s="2" t="s">
        <v>34</v>
      </c>
      <c r="I5808" s="2" t="s">
        <v>51</v>
      </c>
      <c r="J5808" s="2" t="s">
        <v>52</v>
      </c>
      <c r="K5808" s="2" t="s">
        <v>53</v>
      </c>
      <c r="L5808" s="2" t="s">
        <v>34</v>
      </c>
      <c r="M5808" s="2"/>
      <c r="N5808" s="2"/>
      <c r="O5808" s="2"/>
      <c r="P5808" s="2" t="s">
        <v>17871</v>
      </c>
      <c r="Q5808" s="6">
        <v>100</v>
      </c>
      <c r="R5808" s="6">
        <v>10</v>
      </c>
      <c r="S5808" s="5">
        <v>4.0999999999999996</v>
      </c>
      <c r="T5808" s="5">
        <v>48.2</v>
      </c>
      <c r="U5808" s="5">
        <v>11.9</v>
      </c>
      <c r="V5808" s="6">
        <v>0.18</v>
      </c>
      <c r="W5808" s="7">
        <v>6.0629999999999997</v>
      </c>
      <c r="X5808" s="7">
        <v>6.4379999999999997</v>
      </c>
      <c r="Y5808" s="7">
        <v>9.125</v>
      </c>
      <c r="Z5808" s="7">
        <v>9.3130000000000006</v>
      </c>
      <c r="AA5808" s="6">
        <v>22.25</v>
      </c>
      <c r="AB5808" s="7">
        <v>16.385000000000002</v>
      </c>
      <c r="AC5808" s="2"/>
    </row>
    <row r="5809" spans="1:29" ht="52" x14ac:dyDescent="0.15">
      <c r="A5809" s="3">
        <f>DATE(2000,10,17)</f>
        <v>36816</v>
      </c>
      <c r="B5809" s="3">
        <f>DATE(2001,4,18)</f>
        <v>36999</v>
      </c>
      <c r="C5809" s="2" t="s">
        <v>95</v>
      </c>
      <c r="D5809" s="2" t="s">
        <v>17872</v>
      </c>
      <c r="E5809" s="2" t="s">
        <v>17873</v>
      </c>
      <c r="F5809" s="4">
        <v>6022</v>
      </c>
      <c r="G5809" s="2" t="s">
        <v>37</v>
      </c>
      <c r="H5809" s="2" t="s">
        <v>34</v>
      </c>
      <c r="I5809" s="2" t="s">
        <v>17874</v>
      </c>
      <c r="J5809" s="2" t="s">
        <v>36</v>
      </c>
      <c r="K5809" s="2" t="s">
        <v>37</v>
      </c>
      <c r="L5809" s="2" t="s">
        <v>34</v>
      </c>
      <c r="M5809" s="7">
        <v>38.127000000000002</v>
      </c>
      <c r="N5809" s="6">
        <v>4.75</v>
      </c>
      <c r="O5809" s="6">
        <v>4.5199999999999996</v>
      </c>
      <c r="P5809" s="2" t="s">
        <v>17875</v>
      </c>
      <c r="Q5809" s="6">
        <v>100</v>
      </c>
      <c r="R5809" s="6">
        <v>13.5</v>
      </c>
      <c r="S5809" s="5">
        <v>1</v>
      </c>
      <c r="T5809" s="2"/>
      <c r="U5809" s="5">
        <v>8.3000000000000007</v>
      </c>
      <c r="V5809" s="6">
        <v>0.95</v>
      </c>
      <c r="W5809" s="4">
        <v>9</v>
      </c>
      <c r="X5809" s="4">
        <v>9</v>
      </c>
      <c r="Y5809" s="6">
        <v>12.25</v>
      </c>
      <c r="Z5809" s="6">
        <v>12.25</v>
      </c>
      <c r="AA5809" s="6">
        <v>1.01</v>
      </c>
      <c r="AB5809" s="7">
        <v>10.138</v>
      </c>
      <c r="AC5809" s="2"/>
    </row>
    <row r="5810" spans="1:29" ht="260" x14ac:dyDescent="0.15">
      <c r="A5810" s="3">
        <f>DATE(2000,10,17)</f>
        <v>36816</v>
      </c>
      <c r="B5810" s="3">
        <f>DATE(2000,11,29)</f>
        <v>36859</v>
      </c>
      <c r="C5810" s="2" t="s">
        <v>95</v>
      </c>
      <c r="D5810" s="2" t="s">
        <v>17876</v>
      </c>
      <c r="E5810" s="2" t="s">
        <v>17877</v>
      </c>
      <c r="F5810" s="4">
        <v>3844</v>
      </c>
      <c r="G5810" s="2" t="s">
        <v>226</v>
      </c>
      <c r="H5810" s="2" t="s">
        <v>34</v>
      </c>
      <c r="I5810" s="2" t="s">
        <v>14301</v>
      </c>
      <c r="J5810" s="2" t="s">
        <v>14302</v>
      </c>
      <c r="K5810" s="2" t="s">
        <v>226</v>
      </c>
      <c r="L5810" s="2" t="s">
        <v>34</v>
      </c>
      <c r="M5810" s="12">
        <v>4346.183</v>
      </c>
      <c r="N5810" s="6">
        <v>26.25</v>
      </c>
      <c r="O5810" s="7">
        <v>25.312999999999999</v>
      </c>
      <c r="P5810" s="2" t="s">
        <v>17878</v>
      </c>
      <c r="Q5810" s="6">
        <v>23</v>
      </c>
      <c r="R5810" s="6">
        <v>2.15</v>
      </c>
      <c r="S5810" s="5">
        <v>-121.9</v>
      </c>
      <c r="T5810" s="7">
        <v>-23.224</v>
      </c>
      <c r="U5810" s="5">
        <v>2.7</v>
      </c>
      <c r="V5810" s="6">
        <v>-3.81</v>
      </c>
      <c r="W5810" s="7">
        <v>3.4380000000000002</v>
      </c>
      <c r="X5810" s="4">
        <v>4</v>
      </c>
      <c r="Y5810" s="5">
        <v>3.5</v>
      </c>
      <c r="Z5810" s="7">
        <v>3.375</v>
      </c>
      <c r="AA5810" s="6">
        <v>31.95</v>
      </c>
      <c r="AB5810" s="2" t="s">
        <v>86</v>
      </c>
      <c r="AC5810" s="6">
        <v>755.38</v>
      </c>
    </row>
    <row r="5811" spans="1:29" ht="143" x14ac:dyDescent="0.15">
      <c r="A5811" s="3">
        <f>DATE(2000,10,18)</f>
        <v>36817</v>
      </c>
      <c r="B5811" s="2"/>
      <c r="C5811" s="2" t="s">
        <v>30</v>
      </c>
      <c r="D5811" s="2" t="s">
        <v>17879</v>
      </c>
      <c r="E5811" s="2" t="s">
        <v>10826</v>
      </c>
      <c r="F5811" s="4">
        <v>3537</v>
      </c>
      <c r="G5811" s="2" t="s">
        <v>300</v>
      </c>
      <c r="H5811" s="2" t="s">
        <v>34</v>
      </c>
      <c r="I5811" s="2" t="s">
        <v>51</v>
      </c>
      <c r="J5811" s="2" t="s">
        <v>52</v>
      </c>
      <c r="K5811" s="2" t="s">
        <v>53</v>
      </c>
      <c r="L5811" s="2" t="s">
        <v>902</v>
      </c>
      <c r="M5811" s="2"/>
      <c r="N5811" s="2"/>
      <c r="O5811" s="2"/>
      <c r="P5811" s="2" t="s">
        <v>17880</v>
      </c>
      <c r="Q5811" s="2"/>
      <c r="R5811" s="6">
        <v>15.75</v>
      </c>
      <c r="S5811" s="5">
        <v>11.9</v>
      </c>
      <c r="T5811" s="5">
        <v>46.1</v>
      </c>
      <c r="U5811" s="5">
        <v>10.199999999999999</v>
      </c>
      <c r="V5811" s="6">
        <v>0.97</v>
      </c>
      <c r="W5811" s="7">
        <v>15.063000000000001</v>
      </c>
      <c r="X5811" s="6">
        <v>15.25</v>
      </c>
      <c r="Y5811" s="4">
        <v>15</v>
      </c>
      <c r="Z5811" s="9">
        <v>14.9375</v>
      </c>
      <c r="AA5811" s="6">
        <v>11.44</v>
      </c>
      <c r="AB5811" s="7">
        <v>9.8520000000000003</v>
      </c>
      <c r="AC5811" s="2"/>
    </row>
    <row r="5812" spans="1:29" ht="65" x14ac:dyDescent="0.15">
      <c r="A5812" s="3">
        <f>DATE(2000,10,18)</f>
        <v>36817</v>
      </c>
      <c r="B5812" s="2"/>
      <c r="C5812" s="2" t="s">
        <v>30</v>
      </c>
      <c r="D5812" s="2" t="s">
        <v>17881</v>
      </c>
      <c r="E5812" s="2" t="s">
        <v>17882</v>
      </c>
      <c r="F5812" s="4">
        <v>2752</v>
      </c>
      <c r="G5812" s="2" t="s">
        <v>186</v>
      </c>
      <c r="H5812" s="2" t="s">
        <v>34</v>
      </c>
      <c r="I5812" s="2" t="s">
        <v>17883</v>
      </c>
      <c r="J5812" s="2" t="s">
        <v>150</v>
      </c>
      <c r="K5812" s="2" t="s">
        <v>53</v>
      </c>
      <c r="L5812" s="2" t="s">
        <v>34</v>
      </c>
      <c r="M5812" s="2"/>
      <c r="N5812" s="2"/>
      <c r="O5812" s="2"/>
      <c r="P5812" s="2" t="s">
        <v>17884</v>
      </c>
      <c r="Q5812" s="2"/>
      <c r="R5812" s="6">
        <v>6.25</v>
      </c>
      <c r="S5812" s="5">
        <v>15.8</v>
      </c>
      <c r="T5812" s="5">
        <v>33.200000000000003</v>
      </c>
      <c r="U5812" s="5">
        <v>5.4</v>
      </c>
      <c r="V5812" s="6">
        <v>1.18</v>
      </c>
      <c r="W5812" s="7">
        <v>3.5630000000000002</v>
      </c>
      <c r="X5812" s="7">
        <v>3.375</v>
      </c>
      <c r="Y5812" s="4">
        <v>5</v>
      </c>
      <c r="Z5812" s="7">
        <v>4.875</v>
      </c>
      <c r="AA5812" s="6">
        <v>13.14</v>
      </c>
      <c r="AB5812" s="7">
        <v>3.2930000000000001</v>
      </c>
      <c r="AC5812" s="2"/>
    </row>
    <row r="5813" spans="1:29" ht="104" x14ac:dyDescent="0.15">
      <c r="A5813" s="3">
        <f>DATE(2000,10,18)</f>
        <v>36817</v>
      </c>
      <c r="B5813" s="3">
        <f>DATE(2001,4,27)</f>
        <v>37008</v>
      </c>
      <c r="C5813" s="2" t="s">
        <v>95</v>
      </c>
      <c r="D5813" s="2" t="s">
        <v>7398</v>
      </c>
      <c r="E5813" s="2" t="s">
        <v>7399</v>
      </c>
      <c r="F5813" s="4">
        <v>8062</v>
      </c>
      <c r="G5813" s="2" t="s">
        <v>454</v>
      </c>
      <c r="H5813" s="2" t="s">
        <v>34</v>
      </c>
      <c r="I5813" s="2" t="s">
        <v>17885</v>
      </c>
      <c r="J5813" s="2" t="s">
        <v>17886</v>
      </c>
      <c r="K5813" s="2" t="s">
        <v>454</v>
      </c>
      <c r="L5813" s="2" t="s">
        <v>34</v>
      </c>
      <c r="M5813" s="12">
        <v>1011.511</v>
      </c>
      <c r="N5813" s="6">
        <v>30.75</v>
      </c>
      <c r="O5813" s="6">
        <v>29.75</v>
      </c>
      <c r="P5813" s="2" t="s">
        <v>17887</v>
      </c>
      <c r="Q5813" s="6">
        <v>100</v>
      </c>
      <c r="R5813" s="6">
        <v>16.14</v>
      </c>
      <c r="S5813" s="5">
        <v>-7.4</v>
      </c>
      <c r="T5813" s="5">
        <v>255.9</v>
      </c>
      <c r="U5813" s="5">
        <v>8.8000000000000007</v>
      </c>
      <c r="V5813" s="6">
        <v>-0.15</v>
      </c>
      <c r="W5813" s="6">
        <v>13.75</v>
      </c>
      <c r="X5813" s="7">
        <v>14.188000000000001</v>
      </c>
      <c r="Y5813" s="7">
        <v>13.625</v>
      </c>
      <c r="Z5813" s="7">
        <v>12.875</v>
      </c>
      <c r="AA5813" s="6">
        <v>71.47</v>
      </c>
      <c r="AB5813" s="7">
        <v>14.108000000000001</v>
      </c>
      <c r="AC5813" s="5">
        <v>18.100000000000001</v>
      </c>
    </row>
    <row r="5814" spans="1:29" ht="39" x14ac:dyDescent="0.15">
      <c r="A5814" s="3">
        <f>DATE(2000,10,18)</f>
        <v>36817</v>
      </c>
      <c r="B5814" s="2"/>
      <c r="C5814" s="2" t="s">
        <v>189</v>
      </c>
      <c r="D5814" s="2" t="s">
        <v>17888</v>
      </c>
      <c r="E5814" s="2" t="s">
        <v>80</v>
      </c>
      <c r="F5814" s="4">
        <v>6799</v>
      </c>
      <c r="G5814" s="2" t="s">
        <v>53</v>
      </c>
      <c r="H5814" s="2" t="s">
        <v>34</v>
      </c>
      <c r="I5814" s="2" t="s">
        <v>143</v>
      </c>
      <c r="J5814" s="2" t="s">
        <v>144</v>
      </c>
      <c r="K5814" s="2" t="s">
        <v>53</v>
      </c>
      <c r="L5814" s="2" t="s">
        <v>139</v>
      </c>
      <c r="M5814" s="2"/>
      <c r="N5814" s="2"/>
      <c r="O5814" s="2"/>
      <c r="P5814" s="2" t="s">
        <v>17889</v>
      </c>
      <c r="Q5814" s="2"/>
      <c r="R5814" s="2"/>
      <c r="S5814" s="5">
        <v>-12</v>
      </c>
      <c r="T5814" s="5">
        <v>-5.0999999999999996</v>
      </c>
      <c r="U5814" s="5">
        <v>1.5</v>
      </c>
      <c r="V5814" s="6">
        <v>-0.35</v>
      </c>
      <c r="W5814" s="4">
        <v>5</v>
      </c>
      <c r="X5814" s="6">
        <v>4.99</v>
      </c>
      <c r="Y5814" s="6">
        <v>4.95</v>
      </c>
      <c r="Z5814" s="6">
        <v>4.8899999999999997</v>
      </c>
      <c r="AA5814" s="6">
        <v>33.86</v>
      </c>
      <c r="AB5814" s="2" t="s">
        <v>86</v>
      </c>
      <c r="AC5814" s="2"/>
    </row>
    <row r="5815" spans="1:29" ht="52" x14ac:dyDescent="0.15">
      <c r="A5815" s="3">
        <f>DATE(2000,10,19)</f>
        <v>36818</v>
      </c>
      <c r="B5815" s="3">
        <f>DATE(2000,12,18)</f>
        <v>36878</v>
      </c>
      <c r="C5815" s="2" t="s">
        <v>95</v>
      </c>
      <c r="D5815" s="2" t="s">
        <v>17890</v>
      </c>
      <c r="E5815" s="2" t="s">
        <v>4304</v>
      </c>
      <c r="F5815" s="4">
        <v>8742</v>
      </c>
      <c r="G5815" s="2" t="s">
        <v>223</v>
      </c>
      <c r="H5815" s="2" t="s">
        <v>34</v>
      </c>
      <c r="I5815" s="2" t="s">
        <v>17408</v>
      </c>
      <c r="J5815" s="2" t="s">
        <v>4572</v>
      </c>
      <c r="K5815" s="2" t="s">
        <v>223</v>
      </c>
      <c r="L5815" s="2" t="s">
        <v>34</v>
      </c>
      <c r="M5815" s="10">
        <v>1057.49</v>
      </c>
      <c r="N5815" s="6">
        <v>9.25</v>
      </c>
      <c r="O5815" s="7">
        <v>9.625</v>
      </c>
      <c r="P5815" s="2" t="s">
        <v>17891</v>
      </c>
      <c r="Q5815" s="6">
        <v>100</v>
      </c>
      <c r="R5815" s="6">
        <v>2</v>
      </c>
      <c r="S5815" s="5">
        <v>-5.8</v>
      </c>
      <c r="T5815" s="5">
        <v>-2.2000000000000002</v>
      </c>
      <c r="U5815" s="5">
        <v>1.7</v>
      </c>
      <c r="V5815" s="6">
        <v>-0.86</v>
      </c>
      <c r="W5815" s="7">
        <v>1.3129999999999999</v>
      </c>
      <c r="X5815" s="5">
        <v>1.5</v>
      </c>
      <c r="Y5815" s="7">
        <v>1.7809999999999999</v>
      </c>
      <c r="Z5815" s="7">
        <v>1.8440000000000001</v>
      </c>
      <c r="AA5815" s="6">
        <v>6.76</v>
      </c>
      <c r="AB5815" s="2" t="s">
        <v>86</v>
      </c>
      <c r="AC5815" s="5">
        <v>248.2</v>
      </c>
    </row>
    <row r="5816" spans="1:29" ht="104" x14ac:dyDescent="0.15">
      <c r="A5816" s="3">
        <f>DATE(2000,10,20)</f>
        <v>36819</v>
      </c>
      <c r="B5816" s="3">
        <f>DATE(2001,5,17)</f>
        <v>37028</v>
      </c>
      <c r="C5816" s="2" t="s">
        <v>95</v>
      </c>
      <c r="D5816" s="2" t="s">
        <v>17892</v>
      </c>
      <c r="E5816" s="2" t="s">
        <v>203</v>
      </c>
      <c r="F5816" s="4">
        <v>6036</v>
      </c>
      <c r="G5816" s="2" t="s">
        <v>33</v>
      </c>
      <c r="H5816" s="2" t="s">
        <v>34</v>
      </c>
      <c r="I5816" s="2" t="s">
        <v>639</v>
      </c>
      <c r="J5816" s="2" t="s">
        <v>36</v>
      </c>
      <c r="K5816" s="2" t="s">
        <v>37</v>
      </c>
      <c r="L5816" s="2" t="s">
        <v>34</v>
      </c>
      <c r="M5816" s="6">
        <v>60.99</v>
      </c>
      <c r="N5816" s="7">
        <v>15.313000000000001</v>
      </c>
      <c r="O5816" s="6">
        <v>15.25</v>
      </c>
      <c r="P5816" s="2" t="s">
        <v>17893</v>
      </c>
      <c r="Q5816" s="6">
        <v>100</v>
      </c>
      <c r="R5816" s="6">
        <v>20</v>
      </c>
      <c r="S5816" s="5">
        <v>0.8</v>
      </c>
      <c r="T5816" s="5">
        <v>1.3</v>
      </c>
      <c r="U5816" s="5">
        <v>16.5</v>
      </c>
      <c r="V5816" s="6">
        <v>0.88</v>
      </c>
      <c r="W5816" s="7">
        <v>14.688000000000001</v>
      </c>
      <c r="X5816" s="7">
        <v>14.688000000000001</v>
      </c>
      <c r="Y5816" s="6">
        <v>18.25</v>
      </c>
      <c r="Z5816" s="9">
        <v>18.8125</v>
      </c>
      <c r="AA5816" s="6">
        <v>1.1100000000000001</v>
      </c>
      <c r="AB5816" s="7">
        <v>85</v>
      </c>
      <c r="AC5816" s="5">
        <v>68.099999999999994</v>
      </c>
    </row>
    <row r="5817" spans="1:29" ht="143" x14ac:dyDescent="0.15">
      <c r="A5817" s="3">
        <f>DATE(2000,10,20)</f>
        <v>36819</v>
      </c>
      <c r="B5817" s="3">
        <f>DATE(2001,1,8)</f>
        <v>36899</v>
      </c>
      <c r="C5817" s="2" t="s">
        <v>95</v>
      </c>
      <c r="D5817" s="2" t="s">
        <v>2623</v>
      </c>
      <c r="E5817" s="2" t="s">
        <v>2624</v>
      </c>
      <c r="F5817" s="4">
        <v>2273</v>
      </c>
      <c r="G5817" s="2" t="s">
        <v>708</v>
      </c>
      <c r="H5817" s="2" t="s">
        <v>34</v>
      </c>
      <c r="I5817" s="2" t="s">
        <v>51</v>
      </c>
      <c r="J5817" s="2" t="s">
        <v>52</v>
      </c>
      <c r="K5817" s="2" t="s">
        <v>53</v>
      </c>
      <c r="L5817" s="2" t="s">
        <v>34</v>
      </c>
      <c r="M5817" s="2"/>
      <c r="N5817" s="2"/>
      <c r="O5817" s="2"/>
      <c r="P5817" s="2" t="s">
        <v>17894</v>
      </c>
      <c r="Q5817" s="6">
        <v>88.28</v>
      </c>
      <c r="R5817" s="6">
        <v>19</v>
      </c>
      <c r="S5817" s="5">
        <v>131.5</v>
      </c>
      <c r="T5817" s="5">
        <v>475.4</v>
      </c>
      <c r="U5817" s="5">
        <v>6.5</v>
      </c>
      <c r="V5817" s="6">
        <v>1</v>
      </c>
      <c r="W5817" s="7">
        <v>18.187999999999999</v>
      </c>
      <c r="X5817" s="7">
        <v>18.062999999999999</v>
      </c>
      <c r="Y5817" s="7">
        <v>18.562999999999999</v>
      </c>
      <c r="Z5817" s="7">
        <v>18.562999999999999</v>
      </c>
      <c r="AA5817" s="6">
        <v>126.63</v>
      </c>
      <c r="AB5817" s="7">
        <v>8.4280000000000008</v>
      </c>
      <c r="AC5817" s="2"/>
    </row>
    <row r="5818" spans="1:29" ht="78" x14ac:dyDescent="0.15">
      <c r="A5818" s="3">
        <f>DATE(2000,10,23)</f>
        <v>36822</v>
      </c>
      <c r="B5818" s="2"/>
      <c r="C5818" s="2" t="s">
        <v>30</v>
      </c>
      <c r="D5818" s="2" t="s">
        <v>17895</v>
      </c>
      <c r="E5818" s="2" t="s">
        <v>17896</v>
      </c>
      <c r="F5818" s="4">
        <v>5311</v>
      </c>
      <c r="G5818" s="2" t="s">
        <v>756</v>
      </c>
      <c r="H5818" s="2" t="s">
        <v>34</v>
      </c>
      <c r="I5818" s="2" t="s">
        <v>17897</v>
      </c>
      <c r="J5818" s="2" t="s">
        <v>10711</v>
      </c>
      <c r="K5818" s="2" t="s">
        <v>223</v>
      </c>
      <c r="L5818" s="2" t="s">
        <v>34</v>
      </c>
      <c r="M5818" s="7">
        <v>4.2169999999999996</v>
      </c>
      <c r="N5818" s="7">
        <v>0.17199999999999999</v>
      </c>
      <c r="O5818" s="6">
        <v>0.21</v>
      </c>
      <c r="P5818" s="2" t="s">
        <v>17898</v>
      </c>
      <c r="Q5818" s="2"/>
      <c r="R5818" s="6">
        <v>3</v>
      </c>
      <c r="S5818" s="5">
        <v>-6.4</v>
      </c>
      <c r="T5818" s="5">
        <v>-8.6999999999999993</v>
      </c>
      <c r="U5818" s="5">
        <v>4.9000000000000004</v>
      </c>
      <c r="V5818" s="6">
        <v>-0.7</v>
      </c>
      <c r="W5818" s="7">
        <v>2.0310000000000001</v>
      </c>
      <c r="X5818" s="7">
        <v>2.1560000000000001</v>
      </c>
      <c r="Y5818" s="9">
        <v>2.4375</v>
      </c>
      <c r="Z5818" s="9">
        <v>2.1875</v>
      </c>
      <c r="AA5818" s="6">
        <v>7.5</v>
      </c>
      <c r="AB5818" s="2" t="s">
        <v>86</v>
      </c>
      <c r="AC5818" s="6">
        <v>0.05</v>
      </c>
    </row>
    <row r="5819" spans="1:29" ht="221" x14ac:dyDescent="0.15">
      <c r="A5819" s="3">
        <f>DATE(2000,10,23)</f>
        <v>36822</v>
      </c>
      <c r="B5819" s="2"/>
      <c r="C5819" s="2" t="s">
        <v>30</v>
      </c>
      <c r="D5819" s="2" t="s">
        <v>15992</v>
      </c>
      <c r="E5819" s="2" t="s">
        <v>15993</v>
      </c>
      <c r="F5819" s="4">
        <v>3714</v>
      </c>
      <c r="G5819" s="2" t="s">
        <v>105</v>
      </c>
      <c r="H5819" s="2" t="s">
        <v>34</v>
      </c>
      <c r="I5819" s="2" t="s">
        <v>350</v>
      </c>
      <c r="J5819" s="2" t="s">
        <v>351</v>
      </c>
      <c r="K5819" s="2" t="s">
        <v>137</v>
      </c>
      <c r="L5819" s="2" t="s">
        <v>34</v>
      </c>
      <c r="M5819" s="12">
        <v>574752.41899999999</v>
      </c>
      <c r="N5819" s="6">
        <v>49.75</v>
      </c>
      <c r="O5819" s="7">
        <v>53.313000000000002</v>
      </c>
      <c r="P5819" s="2" t="s">
        <v>17899</v>
      </c>
      <c r="Q5819" s="2"/>
      <c r="R5819" s="6">
        <v>54.99</v>
      </c>
      <c r="S5819" s="8">
        <v>1825</v>
      </c>
      <c r="T5819" s="8">
        <v>4169</v>
      </c>
      <c r="U5819" s="5">
        <v>11.7</v>
      </c>
      <c r="V5819" s="6">
        <v>1.66</v>
      </c>
      <c r="W5819" s="7">
        <v>35.813000000000002</v>
      </c>
      <c r="X5819" s="4">
        <v>46</v>
      </c>
      <c r="Y5819" s="9">
        <v>49.9375</v>
      </c>
      <c r="Z5819" s="9">
        <v>53.3125</v>
      </c>
      <c r="AA5819" s="6">
        <v>801.05</v>
      </c>
      <c r="AB5819" s="7">
        <v>16.847999999999999</v>
      </c>
      <c r="AC5819" s="8">
        <v>8781</v>
      </c>
    </row>
    <row r="5820" spans="1:29" ht="52" x14ac:dyDescent="0.15">
      <c r="A5820" s="3">
        <f>DATE(2000,10,23)</f>
        <v>36822</v>
      </c>
      <c r="B5820" s="3">
        <f>DATE(2000,10,23)</f>
        <v>36822</v>
      </c>
      <c r="C5820" s="2" t="s">
        <v>95</v>
      </c>
      <c r="D5820" s="2" t="s">
        <v>17900</v>
      </c>
      <c r="E5820" s="2" t="s">
        <v>7349</v>
      </c>
      <c r="F5820" s="4">
        <v>8731</v>
      </c>
      <c r="G5820" s="2" t="s">
        <v>223</v>
      </c>
      <c r="H5820" s="2" t="s">
        <v>34</v>
      </c>
      <c r="I5820" s="2" t="s">
        <v>17901</v>
      </c>
      <c r="J5820" s="2" t="s">
        <v>302</v>
      </c>
      <c r="K5820" s="2" t="s">
        <v>53</v>
      </c>
      <c r="L5820" s="2" t="s">
        <v>34</v>
      </c>
      <c r="M5820" s="2"/>
      <c r="N5820" s="2"/>
      <c r="O5820" s="2"/>
      <c r="P5820" s="2" t="s">
        <v>17902</v>
      </c>
      <c r="Q5820" s="6">
        <v>82.27</v>
      </c>
      <c r="R5820" s="2"/>
      <c r="S5820" s="5">
        <v>-2.2000000000000002</v>
      </c>
      <c r="T5820" s="7">
        <v>-2.194</v>
      </c>
      <c r="U5820" s="5">
        <v>0</v>
      </c>
      <c r="V5820" s="6">
        <v>-12</v>
      </c>
      <c r="W5820" s="7">
        <v>6.6879999999999997</v>
      </c>
      <c r="X5820" s="4">
        <v>6</v>
      </c>
      <c r="Y5820" s="7">
        <v>6.1879999999999997</v>
      </c>
      <c r="Z5820" s="7">
        <v>8.875</v>
      </c>
      <c r="AA5820" s="6">
        <v>9.7100000000000009</v>
      </c>
      <c r="AB5820" s="2" t="s">
        <v>86</v>
      </c>
      <c r="AC5820" s="2"/>
    </row>
    <row r="5821" spans="1:29" ht="104" x14ac:dyDescent="0.15">
      <c r="A5821" s="3">
        <f>DATE(2000,10,24)</f>
        <v>36823</v>
      </c>
      <c r="B5821" s="3">
        <f>DATE(2001,1,18)</f>
        <v>36909</v>
      </c>
      <c r="C5821" s="2" t="s">
        <v>95</v>
      </c>
      <c r="D5821" s="2" t="s">
        <v>17903</v>
      </c>
      <c r="E5821" s="2" t="s">
        <v>5102</v>
      </c>
      <c r="F5821" s="4">
        <v>7372</v>
      </c>
      <c r="G5821" s="2" t="s">
        <v>551</v>
      </c>
      <c r="H5821" s="2" t="s">
        <v>34</v>
      </c>
      <c r="I5821" s="2" t="s">
        <v>2209</v>
      </c>
      <c r="J5821" s="2" t="s">
        <v>2210</v>
      </c>
      <c r="K5821" s="2" t="s">
        <v>50</v>
      </c>
      <c r="L5821" s="2" t="s">
        <v>34</v>
      </c>
      <c r="M5821" s="10">
        <v>97169.25</v>
      </c>
      <c r="N5821" s="5">
        <v>92.5</v>
      </c>
      <c r="O5821" s="7">
        <v>86.813000000000002</v>
      </c>
      <c r="P5821" s="2" t="s">
        <v>17904</v>
      </c>
      <c r="Q5821" s="6">
        <v>100</v>
      </c>
      <c r="R5821" s="6">
        <v>23.94</v>
      </c>
      <c r="S5821" s="5">
        <v>-22.8</v>
      </c>
      <c r="T5821" s="5">
        <v>-27.2</v>
      </c>
      <c r="U5821" s="5">
        <v>9.8000000000000007</v>
      </c>
      <c r="V5821" s="6">
        <v>0.37</v>
      </c>
      <c r="W5821" s="7">
        <v>15.688000000000001</v>
      </c>
      <c r="X5821" s="7">
        <v>21.937999999999999</v>
      </c>
      <c r="Y5821" s="7">
        <v>23.187999999999999</v>
      </c>
      <c r="Z5821" s="7">
        <v>20.375</v>
      </c>
      <c r="AA5821" s="6">
        <v>20.78</v>
      </c>
      <c r="AB5821" s="2" t="s">
        <v>86</v>
      </c>
      <c r="AC5821" s="8">
        <v>4842</v>
      </c>
    </row>
    <row r="5822" spans="1:29" ht="143" x14ac:dyDescent="0.15">
      <c r="A5822" s="3">
        <f>DATE(2000,10,24)</f>
        <v>36823</v>
      </c>
      <c r="B5822" s="3">
        <f>DATE(2001,3,8)</f>
        <v>36958</v>
      </c>
      <c r="C5822" s="2" t="s">
        <v>95</v>
      </c>
      <c r="D5822" s="2" t="s">
        <v>17905</v>
      </c>
      <c r="E5822" s="2" t="s">
        <v>1181</v>
      </c>
      <c r="F5822" s="4">
        <v>6021</v>
      </c>
      <c r="G5822" s="2" t="s">
        <v>37</v>
      </c>
      <c r="H5822" s="2" t="s">
        <v>34</v>
      </c>
      <c r="I5822" s="2" t="s">
        <v>17906</v>
      </c>
      <c r="J5822" s="2" t="s">
        <v>265</v>
      </c>
      <c r="K5822" s="2" t="s">
        <v>37</v>
      </c>
      <c r="L5822" s="2" t="s">
        <v>34</v>
      </c>
      <c r="M5822" s="7">
        <v>108.545</v>
      </c>
      <c r="N5822" s="5">
        <v>16.5</v>
      </c>
      <c r="O5822" s="7">
        <v>15.875</v>
      </c>
      <c r="P5822" s="2" t="s">
        <v>17907</v>
      </c>
      <c r="Q5822" s="6">
        <v>100</v>
      </c>
      <c r="R5822" s="6">
        <v>39.18</v>
      </c>
      <c r="S5822" s="2"/>
      <c r="T5822" s="2"/>
      <c r="U5822" s="2"/>
      <c r="V5822" s="2"/>
      <c r="W5822" s="7">
        <v>25.125</v>
      </c>
      <c r="X5822" s="4">
        <v>24</v>
      </c>
      <c r="Y5822" s="4">
        <v>24</v>
      </c>
      <c r="Z5822" s="5">
        <v>24.5</v>
      </c>
      <c r="AA5822" s="6">
        <v>0.73</v>
      </c>
      <c r="AB5822" s="2" t="s">
        <v>47</v>
      </c>
      <c r="AC5822" s="5">
        <v>31.6</v>
      </c>
    </row>
    <row r="5823" spans="1:29" ht="156" x14ac:dyDescent="0.15">
      <c r="A5823" s="3">
        <f t="shared" ref="A5823:A5828" si="141">DATE(2000,10,25)</f>
        <v>36824</v>
      </c>
      <c r="B5823" s="3">
        <f>DATE(2000,12,29)</f>
        <v>36889</v>
      </c>
      <c r="C5823" s="2" t="s">
        <v>95</v>
      </c>
      <c r="D5823" s="2" t="s">
        <v>17908</v>
      </c>
      <c r="E5823" s="2" t="s">
        <v>17909</v>
      </c>
      <c r="F5823" s="4">
        <v>3559</v>
      </c>
      <c r="G5823" s="2" t="s">
        <v>300</v>
      </c>
      <c r="H5823" s="2" t="s">
        <v>34</v>
      </c>
      <c r="I5823" s="2" t="s">
        <v>278</v>
      </c>
      <c r="J5823" s="2" t="s">
        <v>52</v>
      </c>
      <c r="K5823" s="2" t="s">
        <v>53</v>
      </c>
      <c r="L5823" s="2" t="s">
        <v>34</v>
      </c>
      <c r="M5823" s="2"/>
      <c r="N5823" s="2"/>
      <c r="O5823" s="2"/>
      <c r="P5823" s="2" t="s">
        <v>17910</v>
      </c>
      <c r="Q5823" s="6">
        <v>82.95</v>
      </c>
      <c r="R5823" s="6">
        <v>8.66</v>
      </c>
      <c r="S5823" s="5">
        <v>14.4</v>
      </c>
      <c r="T5823" s="5">
        <v>31.4</v>
      </c>
      <c r="U5823" s="5">
        <v>4.3</v>
      </c>
      <c r="V5823" s="6">
        <v>0.18</v>
      </c>
      <c r="W5823" s="9">
        <v>8.8125</v>
      </c>
      <c r="X5823" s="9">
        <v>10.1875</v>
      </c>
      <c r="Y5823" s="2"/>
      <c r="Z5823" s="2"/>
      <c r="AA5823" s="6">
        <v>97.05</v>
      </c>
      <c r="AB5823" s="7">
        <v>56.015000000000001</v>
      </c>
      <c r="AC5823" s="2"/>
    </row>
    <row r="5824" spans="1:29" ht="130" x14ac:dyDescent="0.15">
      <c r="A5824" s="3">
        <f t="shared" si="141"/>
        <v>36824</v>
      </c>
      <c r="B5824" s="3">
        <f>DATE(2000,12,6)</f>
        <v>36866</v>
      </c>
      <c r="C5824" s="2" t="s">
        <v>95</v>
      </c>
      <c r="D5824" s="2" t="s">
        <v>17911</v>
      </c>
      <c r="E5824" s="2" t="s">
        <v>849</v>
      </c>
      <c r="F5824" s="4">
        <v>7371</v>
      </c>
      <c r="G5824" s="2" t="s">
        <v>223</v>
      </c>
      <c r="H5824" s="2" t="s">
        <v>34</v>
      </c>
      <c r="I5824" s="2" t="s">
        <v>17912</v>
      </c>
      <c r="J5824" s="2" t="s">
        <v>849</v>
      </c>
      <c r="K5824" s="2" t="s">
        <v>551</v>
      </c>
      <c r="L5824" s="2" t="s">
        <v>435</v>
      </c>
      <c r="M5824" s="2"/>
      <c r="N5824" s="2"/>
      <c r="O5824" s="2"/>
      <c r="P5824" s="2" t="s">
        <v>17913</v>
      </c>
      <c r="Q5824" s="6">
        <v>100</v>
      </c>
      <c r="R5824" s="6">
        <v>3.46</v>
      </c>
      <c r="S5824" s="5">
        <v>-10.9</v>
      </c>
      <c r="T5824" s="7">
        <v>-5.5090000000000003</v>
      </c>
      <c r="U5824" s="5">
        <v>1.4</v>
      </c>
      <c r="V5824" s="6">
        <v>-1.01</v>
      </c>
      <c r="W5824" s="7">
        <v>2.9380000000000002</v>
      </c>
      <c r="X5824" s="7">
        <v>2.6880000000000002</v>
      </c>
      <c r="Y5824" s="7">
        <v>3.2810000000000001</v>
      </c>
      <c r="Z5824" s="7">
        <v>3.3130000000000002</v>
      </c>
      <c r="AA5824" s="6">
        <v>10.57</v>
      </c>
      <c r="AB5824" s="2" t="s">
        <v>86</v>
      </c>
      <c r="AC5824" s="6">
        <v>3.63</v>
      </c>
    </row>
    <row r="5825" spans="1:29" ht="143" x14ac:dyDescent="0.15">
      <c r="A5825" s="3">
        <f t="shared" si="141"/>
        <v>36824</v>
      </c>
      <c r="B5825" s="3">
        <f>DATE(2001,1,2)</f>
        <v>36893</v>
      </c>
      <c r="C5825" s="2" t="s">
        <v>95</v>
      </c>
      <c r="D5825" s="2" t="s">
        <v>17914</v>
      </c>
      <c r="E5825" s="2" t="s">
        <v>17915</v>
      </c>
      <c r="F5825" s="4">
        <v>8299</v>
      </c>
      <c r="G5825" s="2" t="s">
        <v>415</v>
      </c>
      <c r="H5825" s="2" t="s">
        <v>34</v>
      </c>
      <c r="I5825" s="2" t="s">
        <v>15014</v>
      </c>
      <c r="J5825" s="2" t="s">
        <v>15015</v>
      </c>
      <c r="K5825" s="2" t="s">
        <v>415</v>
      </c>
      <c r="L5825" s="2" t="s">
        <v>34</v>
      </c>
      <c r="M5825" s="7">
        <v>796.971</v>
      </c>
      <c r="N5825" s="7">
        <v>33.125</v>
      </c>
      <c r="O5825" s="4">
        <v>36</v>
      </c>
      <c r="P5825" s="2" t="s">
        <v>17916</v>
      </c>
      <c r="Q5825" s="6">
        <v>100</v>
      </c>
      <c r="R5825" s="6">
        <v>3.31</v>
      </c>
      <c r="S5825" s="5">
        <v>-18</v>
      </c>
      <c r="T5825" s="7">
        <v>-9.6000000000000002E-2</v>
      </c>
      <c r="U5825" s="5">
        <v>1.6</v>
      </c>
      <c r="V5825" s="6">
        <v>-1.61</v>
      </c>
      <c r="W5825" s="4">
        <v>2</v>
      </c>
      <c r="X5825" s="7">
        <v>2.3130000000000002</v>
      </c>
      <c r="Y5825" s="5">
        <v>2.5</v>
      </c>
      <c r="Z5825" s="6">
        <v>2.75</v>
      </c>
      <c r="AA5825" s="6">
        <v>13.32</v>
      </c>
      <c r="AB5825" s="2" t="s">
        <v>86</v>
      </c>
      <c r="AC5825" s="5">
        <v>67.099999999999994</v>
      </c>
    </row>
    <row r="5826" spans="1:29" ht="234" x14ac:dyDescent="0.15">
      <c r="A5826" s="3">
        <f t="shared" si="141"/>
        <v>36824</v>
      </c>
      <c r="B5826" s="3">
        <f>DATE(2001,4,10)</f>
        <v>36991</v>
      </c>
      <c r="C5826" s="2" t="s">
        <v>95</v>
      </c>
      <c r="D5826" s="2" t="s">
        <v>17917</v>
      </c>
      <c r="E5826" s="2" t="s">
        <v>17918</v>
      </c>
      <c r="F5826" s="4">
        <v>6726</v>
      </c>
      <c r="G5826" s="2" t="s">
        <v>53</v>
      </c>
      <c r="H5826" s="2" t="s">
        <v>34</v>
      </c>
      <c r="I5826" s="2" t="s">
        <v>17919</v>
      </c>
      <c r="J5826" s="2" t="s">
        <v>17920</v>
      </c>
      <c r="K5826" s="2" t="s">
        <v>53</v>
      </c>
      <c r="L5826" s="2" t="s">
        <v>34</v>
      </c>
      <c r="M5826" s="2"/>
      <c r="N5826" s="2"/>
      <c r="O5826" s="2"/>
      <c r="P5826" s="2" t="s">
        <v>17921</v>
      </c>
      <c r="Q5826" s="6">
        <v>100</v>
      </c>
      <c r="R5826" s="6">
        <v>112.09</v>
      </c>
      <c r="S5826" s="2"/>
      <c r="T5826" s="2"/>
      <c r="U5826" s="2"/>
      <c r="V5826" s="2"/>
      <c r="W5826" s="6">
        <v>60.25</v>
      </c>
      <c r="X5826" s="4">
        <v>65</v>
      </c>
      <c r="Y5826" s="4">
        <v>104</v>
      </c>
      <c r="Z5826" s="6">
        <v>104.75</v>
      </c>
      <c r="AA5826" s="6">
        <v>7.28</v>
      </c>
      <c r="AB5826" s="2" t="s">
        <v>47</v>
      </c>
      <c r="AC5826" s="8">
        <v>1096.2</v>
      </c>
    </row>
    <row r="5827" spans="1:29" ht="104" x14ac:dyDescent="0.15">
      <c r="A5827" s="3">
        <f t="shared" si="141"/>
        <v>36824</v>
      </c>
      <c r="B5827" s="3">
        <f>DATE(2000,12,22)</f>
        <v>36882</v>
      </c>
      <c r="C5827" s="2" t="s">
        <v>95</v>
      </c>
      <c r="D5827" s="2" t="s">
        <v>17922</v>
      </c>
      <c r="E5827" s="2" t="s">
        <v>17923</v>
      </c>
      <c r="F5827" s="4">
        <v>7375</v>
      </c>
      <c r="G5827" s="2" t="s">
        <v>223</v>
      </c>
      <c r="H5827" s="2" t="s">
        <v>34</v>
      </c>
      <c r="I5827" s="2" t="s">
        <v>17924</v>
      </c>
      <c r="J5827" s="2" t="s">
        <v>849</v>
      </c>
      <c r="K5827" s="2" t="s">
        <v>551</v>
      </c>
      <c r="L5827" s="2" t="s">
        <v>34</v>
      </c>
      <c r="M5827" s="2"/>
      <c r="N5827" s="2"/>
      <c r="O5827" s="2"/>
      <c r="P5827" s="2" t="s">
        <v>17925</v>
      </c>
      <c r="Q5827" s="6">
        <v>45.14</v>
      </c>
      <c r="R5827" s="6">
        <v>6.38</v>
      </c>
      <c r="S5827" s="5">
        <v>-7.1</v>
      </c>
      <c r="T5827" s="5">
        <v>-7.3</v>
      </c>
      <c r="U5827" s="5">
        <v>3.4</v>
      </c>
      <c r="V5827" s="6">
        <v>-0.43</v>
      </c>
      <c r="W5827" s="7">
        <v>3.0630000000000002</v>
      </c>
      <c r="X5827" s="7">
        <v>3.4380000000000002</v>
      </c>
      <c r="Y5827" s="7">
        <v>6.125</v>
      </c>
      <c r="Z5827" s="7">
        <v>6.125</v>
      </c>
      <c r="AA5827" s="6">
        <v>16.88</v>
      </c>
      <c r="AB5827" s="2" t="s">
        <v>86</v>
      </c>
      <c r="AC5827" s="2"/>
    </row>
    <row r="5828" spans="1:29" ht="156" x14ac:dyDescent="0.15">
      <c r="A5828" s="3">
        <f t="shared" si="141"/>
        <v>36824</v>
      </c>
      <c r="B5828" s="3">
        <f>DATE(2001,7,31)</f>
        <v>37103</v>
      </c>
      <c r="C5828" s="2" t="s">
        <v>95</v>
      </c>
      <c r="D5828" s="2" t="s">
        <v>3383</v>
      </c>
      <c r="E5828" s="2" t="s">
        <v>3384</v>
      </c>
      <c r="F5828" s="4">
        <v>5812</v>
      </c>
      <c r="G5828" s="2" t="s">
        <v>230</v>
      </c>
      <c r="H5828" s="2" t="s">
        <v>34</v>
      </c>
      <c r="I5828" s="2" t="s">
        <v>51</v>
      </c>
      <c r="J5828" s="2" t="s">
        <v>52</v>
      </c>
      <c r="K5828" s="2" t="s">
        <v>53</v>
      </c>
      <c r="L5828" s="2" t="s">
        <v>34</v>
      </c>
      <c r="M5828" s="2"/>
      <c r="N5828" s="2"/>
      <c r="O5828" s="2"/>
      <c r="P5828" s="2" t="s">
        <v>17926</v>
      </c>
      <c r="Q5828" s="6">
        <v>47.13</v>
      </c>
      <c r="R5828" s="6">
        <v>9.75</v>
      </c>
      <c r="S5828" s="5">
        <v>3.6</v>
      </c>
      <c r="T5828" s="5">
        <v>30.9</v>
      </c>
      <c r="U5828" s="5">
        <v>7.5</v>
      </c>
      <c r="V5828" s="6">
        <v>0.32</v>
      </c>
      <c r="W5828" s="7">
        <v>6.0629999999999997</v>
      </c>
      <c r="X5828" s="7">
        <v>7.3129999999999997</v>
      </c>
      <c r="Y5828" s="4">
        <v>8</v>
      </c>
      <c r="Z5828" s="4">
        <v>8</v>
      </c>
      <c r="AA5828" s="6">
        <v>10.93</v>
      </c>
      <c r="AB5828" s="7">
        <v>9.6539999999999999</v>
      </c>
      <c r="AC5828" s="2"/>
    </row>
    <row r="5829" spans="1:29" ht="117" x14ac:dyDescent="0.15">
      <c r="A5829" s="3">
        <f>DATE(2000,10,26)</f>
        <v>36825</v>
      </c>
      <c r="B5829" s="3">
        <f>DATE(2001,3,9)</f>
        <v>36959</v>
      </c>
      <c r="C5829" s="2" t="s">
        <v>95</v>
      </c>
      <c r="D5829" s="2" t="s">
        <v>17927</v>
      </c>
      <c r="E5829" s="2" t="s">
        <v>1181</v>
      </c>
      <c r="F5829" s="4">
        <v>6021</v>
      </c>
      <c r="G5829" s="2" t="s">
        <v>37</v>
      </c>
      <c r="H5829" s="2" t="s">
        <v>34</v>
      </c>
      <c r="I5829" s="2" t="s">
        <v>1963</v>
      </c>
      <c r="J5829" s="2" t="s">
        <v>36</v>
      </c>
      <c r="K5829" s="2" t="s">
        <v>37</v>
      </c>
      <c r="L5829" s="2" t="s">
        <v>34</v>
      </c>
      <c r="M5829" s="12">
        <v>24732.554</v>
      </c>
      <c r="N5829" s="7">
        <v>50.938000000000002</v>
      </c>
      <c r="O5829" s="7">
        <v>52.125</v>
      </c>
      <c r="P5829" s="2" t="s">
        <v>17928</v>
      </c>
      <c r="Q5829" s="6">
        <v>100</v>
      </c>
      <c r="R5829" s="6">
        <v>32.729999999999997</v>
      </c>
      <c r="S5829" s="5">
        <v>11.3</v>
      </c>
      <c r="T5829" s="2"/>
      <c r="U5829" s="5">
        <v>13.4</v>
      </c>
      <c r="V5829" s="6">
        <v>1.59</v>
      </c>
      <c r="W5829" s="7">
        <v>23.905999999999999</v>
      </c>
      <c r="X5829" s="6">
        <v>28.75</v>
      </c>
      <c r="Y5829" s="4">
        <v>31</v>
      </c>
      <c r="Z5829" s="7">
        <v>31.125</v>
      </c>
      <c r="AA5829" s="6">
        <v>7.05</v>
      </c>
      <c r="AB5829" s="7">
        <v>14.32</v>
      </c>
      <c r="AC5829" s="5">
        <v>751</v>
      </c>
    </row>
    <row r="5830" spans="1:29" ht="130" x14ac:dyDescent="0.15">
      <c r="A5830" s="3">
        <f>DATE(2000,10,26)</f>
        <v>36825</v>
      </c>
      <c r="B5830" s="3">
        <f>DATE(2001,2,7)</f>
        <v>36929</v>
      </c>
      <c r="C5830" s="2" t="s">
        <v>95</v>
      </c>
      <c r="D5830" s="2" t="s">
        <v>17929</v>
      </c>
      <c r="E5830" s="2" t="s">
        <v>17930</v>
      </c>
      <c r="F5830" s="4">
        <v>7373</v>
      </c>
      <c r="G5830" s="2" t="s">
        <v>223</v>
      </c>
      <c r="H5830" s="2" t="s">
        <v>34</v>
      </c>
      <c r="I5830" s="2" t="s">
        <v>17931</v>
      </c>
      <c r="J5830" s="2" t="s">
        <v>12377</v>
      </c>
      <c r="K5830" s="2" t="s">
        <v>223</v>
      </c>
      <c r="L5830" s="2" t="s">
        <v>34</v>
      </c>
      <c r="M5830" s="7">
        <v>162.76400000000001</v>
      </c>
      <c r="N5830" s="7">
        <v>13.125</v>
      </c>
      <c r="O5830" s="6">
        <v>12.25</v>
      </c>
      <c r="P5830" s="2" t="s">
        <v>17932</v>
      </c>
      <c r="Q5830" s="6">
        <v>100</v>
      </c>
      <c r="R5830" s="6">
        <v>9.34</v>
      </c>
      <c r="S5830" s="5">
        <v>14.6</v>
      </c>
      <c r="T5830" s="5">
        <v>17.600000000000001</v>
      </c>
      <c r="U5830" s="5">
        <v>3.6</v>
      </c>
      <c r="V5830" s="6">
        <v>0.81</v>
      </c>
      <c r="W5830" s="7">
        <v>6.9059999999999997</v>
      </c>
      <c r="X5830" s="7">
        <v>6.9379999999999997</v>
      </c>
      <c r="Y5830" s="7">
        <v>7.1879999999999997</v>
      </c>
      <c r="Z5830" s="7">
        <v>6.625</v>
      </c>
      <c r="AA5830" s="6">
        <v>17.34</v>
      </c>
      <c r="AB5830" s="7">
        <v>10.997999999999999</v>
      </c>
      <c r="AC5830" s="5">
        <v>38.9</v>
      </c>
    </row>
    <row r="5831" spans="1:29" ht="130" x14ac:dyDescent="0.15">
      <c r="A5831" s="3">
        <f>DATE(2000,10,26)</f>
        <v>36825</v>
      </c>
      <c r="B5831" s="3">
        <f>DATE(2001,1,11)</f>
        <v>36902</v>
      </c>
      <c r="C5831" s="2" t="s">
        <v>95</v>
      </c>
      <c r="D5831" s="2" t="s">
        <v>17933</v>
      </c>
      <c r="E5831" s="2" t="s">
        <v>17934</v>
      </c>
      <c r="F5831" s="4">
        <v>3559</v>
      </c>
      <c r="G5831" s="2" t="s">
        <v>300</v>
      </c>
      <c r="H5831" s="2" t="s">
        <v>34</v>
      </c>
      <c r="I5831" s="2" t="s">
        <v>17935</v>
      </c>
      <c r="J5831" s="2" t="s">
        <v>17936</v>
      </c>
      <c r="K5831" s="2" t="s">
        <v>300</v>
      </c>
      <c r="L5831" s="2" t="s">
        <v>34</v>
      </c>
      <c r="M5831" s="12">
        <v>6504.2910000000002</v>
      </c>
      <c r="N5831" s="7">
        <v>37.688000000000002</v>
      </c>
      <c r="O5831" s="7">
        <v>35.125</v>
      </c>
      <c r="P5831" s="2" t="s">
        <v>17937</v>
      </c>
      <c r="Q5831" s="6">
        <v>100</v>
      </c>
      <c r="R5831" s="6">
        <v>20.28</v>
      </c>
      <c r="S5831" s="5">
        <v>11.9</v>
      </c>
      <c r="T5831" s="5">
        <v>16</v>
      </c>
      <c r="U5831" s="5">
        <v>7.3</v>
      </c>
      <c r="V5831" s="6">
        <v>0.75</v>
      </c>
      <c r="W5831" s="7">
        <v>12.375</v>
      </c>
      <c r="X5831" s="5">
        <v>14.5</v>
      </c>
      <c r="Y5831" s="7">
        <v>18.875</v>
      </c>
      <c r="Z5831" s="9">
        <v>17.4375</v>
      </c>
      <c r="AA5831" s="6">
        <v>16.809999999999999</v>
      </c>
      <c r="AB5831" s="7">
        <v>27.632000000000001</v>
      </c>
      <c r="AC5831" s="5">
        <v>679.8</v>
      </c>
    </row>
    <row r="5832" spans="1:29" ht="65" x14ac:dyDescent="0.15">
      <c r="A5832" s="3">
        <f>DATE(2000,10,26)</f>
        <v>36825</v>
      </c>
      <c r="B5832" s="3">
        <f>DATE(2001,2,16)</f>
        <v>36938</v>
      </c>
      <c r="C5832" s="2" t="s">
        <v>95</v>
      </c>
      <c r="D5832" s="2" t="s">
        <v>17938</v>
      </c>
      <c r="E5832" s="2" t="s">
        <v>36</v>
      </c>
      <c r="F5832" s="4">
        <v>6035</v>
      </c>
      <c r="G5832" s="2" t="s">
        <v>33</v>
      </c>
      <c r="H5832" s="2" t="s">
        <v>34</v>
      </c>
      <c r="I5832" s="2" t="s">
        <v>17810</v>
      </c>
      <c r="J5832" s="2" t="s">
        <v>2898</v>
      </c>
      <c r="K5832" s="2" t="s">
        <v>37</v>
      </c>
      <c r="L5832" s="2" t="s">
        <v>34</v>
      </c>
      <c r="M5832" s="2"/>
      <c r="N5832" s="2"/>
      <c r="O5832" s="2"/>
      <c r="P5832" s="2" t="s">
        <v>17939</v>
      </c>
      <c r="Q5832" s="6">
        <v>100</v>
      </c>
      <c r="R5832" s="2"/>
      <c r="S5832" s="5">
        <v>1.3</v>
      </c>
      <c r="T5832" s="5">
        <v>2.4</v>
      </c>
      <c r="U5832" s="5">
        <v>17.5</v>
      </c>
      <c r="V5832" s="6">
        <v>1.79</v>
      </c>
      <c r="W5832" s="7">
        <v>18.375</v>
      </c>
      <c r="X5832" s="7">
        <v>18.875</v>
      </c>
      <c r="Y5832" s="7">
        <v>20.875</v>
      </c>
      <c r="Z5832" s="4">
        <v>21</v>
      </c>
      <c r="AA5832" s="6">
        <v>0.73</v>
      </c>
      <c r="AB5832" s="7">
        <v>65.861000000000004</v>
      </c>
      <c r="AC5832" s="2"/>
    </row>
    <row r="5833" spans="1:29" ht="143" x14ac:dyDescent="0.15">
      <c r="A5833" s="3">
        <f>DATE(2000,10,26)</f>
        <v>36825</v>
      </c>
      <c r="B5833" s="3">
        <f>DATE(2001,3,26)</f>
        <v>36976</v>
      </c>
      <c r="C5833" s="2" t="s">
        <v>95</v>
      </c>
      <c r="D5833" s="2" t="s">
        <v>17940</v>
      </c>
      <c r="E5833" s="2" t="s">
        <v>17941</v>
      </c>
      <c r="F5833" s="4">
        <v>2052</v>
      </c>
      <c r="G5833" s="2" t="s">
        <v>577</v>
      </c>
      <c r="H5833" s="2" t="s">
        <v>34</v>
      </c>
      <c r="I5833" s="2" t="s">
        <v>15394</v>
      </c>
      <c r="J5833" s="2" t="s">
        <v>15395</v>
      </c>
      <c r="K5833" s="2" t="s">
        <v>577</v>
      </c>
      <c r="L5833" s="2" t="s">
        <v>34</v>
      </c>
      <c r="M5833" s="10">
        <v>9760.89</v>
      </c>
      <c r="N5833" s="7">
        <v>24.312999999999999</v>
      </c>
      <c r="O5833" s="4">
        <v>25</v>
      </c>
      <c r="P5833" s="2" t="s">
        <v>17942</v>
      </c>
      <c r="Q5833" s="6">
        <v>100</v>
      </c>
      <c r="R5833" s="6">
        <v>42</v>
      </c>
      <c r="S5833" s="5">
        <v>157.80000000000001</v>
      </c>
      <c r="T5833" s="5">
        <v>431.1</v>
      </c>
      <c r="U5833" s="5">
        <v>5.6</v>
      </c>
      <c r="V5833" s="6">
        <v>1.81</v>
      </c>
      <c r="W5833" s="4">
        <v>35</v>
      </c>
      <c r="X5833" s="7">
        <v>35.375</v>
      </c>
      <c r="Y5833" s="7">
        <v>44.125</v>
      </c>
      <c r="Z5833" s="7">
        <v>43.938000000000002</v>
      </c>
      <c r="AA5833" s="6">
        <v>84.99</v>
      </c>
      <c r="AB5833" s="7">
        <v>13.269</v>
      </c>
      <c r="AC5833" s="5">
        <v>172.3</v>
      </c>
    </row>
    <row r="5834" spans="1:29" ht="91" x14ac:dyDescent="0.15">
      <c r="A5834" s="3">
        <f t="shared" ref="A5834:A5839" si="142">DATE(2000,10,27)</f>
        <v>36826</v>
      </c>
      <c r="B5834" s="3">
        <f>DATE(2001,3,1)</f>
        <v>36951</v>
      </c>
      <c r="C5834" s="2" t="s">
        <v>95</v>
      </c>
      <c r="D5834" s="2" t="s">
        <v>17943</v>
      </c>
      <c r="E5834" s="2" t="s">
        <v>17944</v>
      </c>
      <c r="F5834" s="4">
        <v>7375</v>
      </c>
      <c r="G5834" s="2" t="s">
        <v>223</v>
      </c>
      <c r="H5834" s="2" t="s">
        <v>34</v>
      </c>
      <c r="I5834" s="2" t="s">
        <v>17945</v>
      </c>
      <c r="J5834" s="2" t="s">
        <v>417</v>
      </c>
      <c r="K5834" s="2" t="s">
        <v>186</v>
      </c>
      <c r="L5834" s="2" t="s">
        <v>34</v>
      </c>
      <c r="M5834" s="12">
        <v>2725.663</v>
      </c>
      <c r="N5834" s="6">
        <v>15.25</v>
      </c>
      <c r="O5834" s="7">
        <v>11.438000000000001</v>
      </c>
      <c r="P5834" s="2" t="s">
        <v>17946</v>
      </c>
      <c r="Q5834" s="6">
        <v>100</v>
      </c>
      <c r="R5834" s="6">
        <v>35.700000000000003</v>
      </c>
      <c r="S5834" s="5">
        <v>-55.9</v>
      </c>
      <c r="T5834" s="5">
        <v>-31.3</v>
      </c>
      <c r="U5834" s="5">
        <v>15.2</v>
      </c>
      <c r="V5834" s="6">
        <v>-2.86</v>
      </c>
      <c r="W5834" s="7">
        <v>22.687999999999999</v>
      </c>
      <c r="X5834" s="4">
        <v>26</v>
      </c>
      <c r="Y5834" s="7">
        <v>23.875</v>
      </c>
      <c r="Z5834" s="7">
        <v>24.187999999999999</v>
      </c>
      <c r="AA5834" s="6">
        <v>18.05</v>
      </c>
      <c r="AB5834" s="2" t="s">
        <v>86</v>
      </c>
      <c r="AC5834" s="5">
        <v>29.7</v>
      </c>
    </row>
    <row r="5835" spans="1:29" ht="78" x14ac:dyDescent="0.15">
      <c r="A5835" s="3">
        <f t="shared" si="142"/>
        <v>36826</v>
      </c>
      <c r="B5835" s="3">
        <f>DATE(2001,3,16)</f>
        <v>36966</v>
      </c>
      <c r="C5835" s="2" t="s">
        <v>95</v>
      </c>
      <c r="D5835" s="2" t="s">
        <v>17947</v>
      </c>
      <c r="E5835" s="2" t="s">
        <v>17948</v>
      </c>
      <c r="F5835" s="4">
        <v>4941</v>
      </c>
      <c r="G5835" s="2" t="s">
        <v>439</v>
      </c>
      <c r="H5835" s="2" t="s">
        <v>34</v>
      </c>
      <c r="I5835" s="2" t="s">
        <v>8262</v>
      </c>
      <c r="J5835" s="2" t="s">
        <v>8263</v>
      </c>
      <c r="K5835" s="2" t="s">
        <v>148</v>
      </c>
      <c r="L5835" s="2" t="s">
        <v>34</v>
      </c>
      <c r="M5835" s="12">
        <v>64747.571000000004</v>
      </c>
      <c r="N5835" s="7">
        <v>78.875</v>
      </c>
      <c r="O5835" s="7">
        <v>80.688000000000002</v>
      </c>
      <c r="P5835" s="2" t="s">
        <v>17949</v>
      </c>
      <c r="Q5835" s="6">
        <v>35.11</v>
      </c>
      <c r="R5835" s="6">
        <v>8.3800000000000008</v>
      </c>
      <c r="S5835" s="5">
        <v>0.2</v>
      </c>
      <c r="T5835" s="5">
        <v>274.5</v>
      </c>
      <c r="U5835" s="5">
        <v>15.4</v>
      </c>
      <c r="V5835" s="2"/>
      <c r="W5835" s="7">
        <v>3.5630000000000002</v>
      </c>
      <c r="X5835" s="7">
        <v>3.5630000000000002</v>
      </c>
      <c r="Y5835" s="7">
        <v>6.5629999999999997</v>
      </c>
      <c r="Z5835" s="6">
        <v>6.25</v>
      </c>
      <c r="AA5835" s="6">
        <v>117.33</v>
      </c>
      <c r="AB5835" s="7">
        <v>19.164000000000001</v>
      </c>
      <c r="AC5835" s="5">
        <v>697</v>
      </c>
    </row>
    <row r="5836" spans="1:29" ht="299" x14ac:dyDescent="0.15">
      <c r="A5836" s="3">
        <f t="shared" si="142"/>
        <v>36826</v>
      </c>
      <c r="B5836" s="3">
        <f>DATE(2001,7,30)</f>
        <v>37102</v>
      </c>
      <c r="C5836" s="2" t="s">
        <v>95</v>
      </c>
      <c r="D5836" s="2" t="s">
        <v>9584</v>
      </c>
      <c r="E5836" s="2" t="s">
        <v>417</v>
      </c>
      <c r="F5836" s="4">
        <v>2731</v>
      </c>
      <c r="G5836" s="2" t="s">
        <v>186</v>
      </c>
      <c r="H5836" s="2" t="s">
        <v>34</v>
      </c>
      <c r="I5836" s="2" t="s">
        <v>17950</v>
      </c>
      <c r="J5836" s="2" t="s">
        <v>17951</v>
      </c>
      <c r="K5836" s="2" t="s">
        <v>186</v>
      </c>
      <c r="L5836" s="2" t="s">
        <v>303</v>
      </c>
      <c r="M5836" s="2"/>
      <c r="N5836" s="2"/>
      <c r="O5836" s="2"/>
      <c r="P5836" s="2" t="s">
        <v>17952</v>
      </c>
      <c r="Q5836" s="6">
        <v>100</v>
      </c>
      <c r="R5836" s="6">
        <v>59</v>
      </c>
      <c r="S5836" s="5">
        <v>153.30000000000001</v>
      </c>
      <c r="T5836" s="5">
        <v>425.4</v>
      </c>
      <c r="U5836" s="5">
        <v>8.1</v>
      </c>
      <c r="V5836" s="6">
        <v>2.11</v>
      </c>
      <c r="W5836" s="7">
        <v>39.188000000000002</v>
      </c>
      <c r="X5836" s="5">
        <v>39.5</v>
      </c>
      <c r="Y5836" s="9">
        <v>40.8125</v>
      </c>
      <c r="Z5836" s="9">
        <v>41.9375</v>
      </c>
      <c r="AA5836" s="6">
        <v>73.150000000000006</v>
      </c>
      <c r="AB5836" s="7">
        <v>27.946999999999999</v>
      </c>
      <c r="AC5836" s="6">
        <v>711.74</v>
      </c>
    </row>
    <row r="5837" spans="1:29" ht="117" x14ac:dyDescent="0.15">
      <c r="A5837" s="3">
        <f t="shared" si="142"/>
        <v>36826</v>
      </c>
      <c r="B5837" s="3">
        <f>DATE(2000,12,20)</f>
        <v>36880</v>
      </c>
      <c r="C5837" s="2" t="s">
        <v>95</v>
      </c>
      <c r="D5837" s="2" t="s">
        <v>17953</v>
      </c>
      <c r="E5837" s="2" t="s">
        <v>13143</v>
      </c>
      <c r="F5837" s="4">
        <v>2522</v>
      </c>
      <c r="G5837" s="2" t="s">
        <v>250</v>
      </c>
      <c r="H5837" s="2" t="s">
        <v>34</v>
      </c>
      <c r="I5837" s="2" t="s">
        <v>51</v>
      </c>
      <c r="J5837" s="2" t="s">
        <v>52</v>
      </c>
      <c r="K5837" s="2" t="s">
        <v>53</v>
      </c>
      <c r="L5837" s="2" t="s">
        <v>34</v>
      </c>
      <c r="M5837" s="2"/>
      <c r="N5837" s="2"/>
      <c r="O5837" s="2"/>
      <c r="P5837" s="2" t="s">
        <v>17954</v>
      </c>
      <c r="Q5837" s="6">
        <v>38</v>
      </c>
      <c r="R5837" s="6">
        <v>1.72</v>
      </c>
      <c r="S5837" s="5">
        <v>-0.2</v>
      </c>
      <c r="T5837" s="5">
        <v>0.2</v>
      </c>
      <c r="U5837" s="5">
        <v>2.4</v>
      </c>
      <c r="V5837" s="6">
        <v>-7.0000000000000007E-2</v>
      </c>
      <c r="W5837" s="6">
        <v>1.25</v>
      </c>
      <c r="X5837" s="7">
        <v>1.3440000000000001</v>
      </c>
      <c r="Y5837" s="5">
        <v>1.5</v>
      </c>
      <c r="Z5837" s="11">
        <v>1.53125</v>
      </c>
      <c r="AA5837" s="6">
        <v>3.31</v>
      </c>
      <c r="AB5837" s="2" t="s">
        <v>86</v>
      </c>
      <c r="AC5837" s="2"/>
    </row>
    <row r="5838" spans="1:29" ht="104" x14ac:dyDescent="0.15">
      <c r="A5838" s="3">
        <f t="shared" si="142"/>
        <v>36826</v>
      </c>
      <c r="B5838" s="3">
        <f>DATE(2001,3,7)</f>
        <v>36957</v>
      </c>
      <c r="C5838" s="2" t="s">
        <v>95</v>
      </c>
      <c r="D5838" s="2" t="s">
        <v>17955</v>
      </c>
      <c r="E5838" s="2" t="s">
        <v>17956</v>
      </c>
      <c r="F5838" s="4">
        <v>7373</v>
      </c>
      <c r="G5838" s="2" t="s">
        <v>223</v>
      </c>
      <c r="H5838" s="2" t="s">
        <v>34</v>
      </c>
      <c r="I5838" s="2" t="s">
        <v>17957</v>
      </c>
      <c r="J5838" s="2" t="s">
        <v>4572</v>
      </c>
      <c r="K5838" s="2" t="s">
        <v>223</v>
      </c>
      <c r="L5838" s="2" t="s">
        <v>17048</v>
      </c>
      <c r="M5838" s="2"/>
      <c r="N5838" s="2"/>
      <c r="O5838" s="2"/>
      <c r="P5838" s="2" t="s">
        <v>17958</v>
      </c>
      <c r="Q5838" s="6">
        <v>100</v>
      </c>
      <c r="R5838" s="6">
        <v>5.56</v>
      </c>
      <c r="S5838" s="5">
        <v>-1.3</v>
      </c>
      <c r="T5838" s="5">
        <v>-0.3</v>
      </c>
      <c r="U5838" s="5">
        <v>0.3</v>
      </c>
      <c r="V5838" s="6">
        <v>-0.08</v>
      </c>
      <c r="W5838" s="7">
        <v>3.375</v>
      </c>
      <c r="X5838" s="7">
        <v>4.4379999999999997</v>
      </c>
      <c r="Y5838" s="7">
        <v>4.0629999999999997</v>
      </c>
      <c r="Z5838" s="7">
        <v>4.2190000000000003</v>
      </c>
      <c r="AA5838" s="6">
        <v>17.46</v>
      </c>
      <c r="AB5838" s="2" t="s">
        <v>86</v>
      </c>
      <c r="AC5838" s="6">
        <v>6.03</v>
      </c>
    </row>
    <row r="5839" spans="1:29" ht="208" x14ac:dyDescent="0.15">
      <c r="A5839" s="3">
        <f t="shared" si="142"/>
        <v>36826</v>
      </c>
      <c r="B5839" s="3">
        <f>DATE(2001,1,16)</f>
        <v>36907</v>
      </c>
      <c r="C5839" s="2" t="s">
        <v>95</v>
      </c>
      <c r="D5839" s="2" t="s">
        <v>17959</v>
      </c>
      <c r="E5839" s="2" t="s">
        <v>17960</v>
      </c>
      <c r="F5839" s="4">
        <v>3674</v>
      </c>
      <c r="G5839" s="2" t="s">
        <v>137</v>
      </c>
      <c r="H5839" s="2" t="s">
        <v>34</v>
      </c>
      <c r="I5839" s="2" t="s">
        <v>17961</v>
      </c>
      <c r="J5839" s="2" t="s">
        <v>10974</v>
      </c>
      <c r="K5839" s="2" t="s">
        <v>137</v>
      </c>
      <c r="L5839" s="2" t="s">
        <v>34</v>
      </c>
      <c r="M5839" s="12">
        <v>2617.1950000000002</v>
      </c>
      <c r="N5839" s="7">
        <v>27.625</v>
      </c>
      <c r="O5839" s="7">
        <v>28.625</v>
      </c>
      <c r="P5839" s="2" t="s">
        <v>17962</v>
      </c>
      <c r="Q5839" s="6">
        <v>100</v>
      </c>
      <c r="R5839" s="6">
        <v>13.91</v>
      </c>
      <c r="S5839" s="5">
        <v>16.899999999999999</v>
      </c>
      <c r="T5839" s="5">
        <v>17.5</v>
      </c>
      <c r="U5839" s="5">
        <v>7.2</v>
      </c>
      <c r="V5839" s="6">
        <v>0.92</v>
      </c>
      <c r="W5839" s="6">
        <v>11.75</v>
      </c>
      <c r="X5839" s="7">
        <v>11.938000000000001</v>
      </c>
      <c r="Y5839" s="7">
        <v>13.063000000000001</v>
      </c>
      <c r="Z5839" s="4">
        <v>13</v>
      </c>
      <c r="AA5839" s="6">
        <v>18.239999999999998</v>
      </c>
      <c r="AB5839" s="7">
        <v>11.457000000000001</v>
      </c>
      <c r="AC5839" s="5">
        <v>117.1</v>
      </c>
    </row>
    <row r="5840" spans="1:29" ht="169" x14ac:dyDescent="0.15">
      <c r="A5840" s="3">
        <f>DATE(2000,10,30)</f>
        <v>36829</v>
      </c>
      <c r="B5840" s="3">
        <f>DATE(2001,2,1)</f>
        <v>36923</v>
      </c>
      <c r="C5840" s="2" t="s">
        <v>95</v>
      </c>
      <c r="D5840" s="2" t="s">
        <v>17963</v>
      </c>
      <c r="E5840" s="2" t="s">
        <v>177</v>
      </c>
      <c r="F5840" s="4">
        <v>1311</v>
      </c>
      <c r="G5840" s="2" t="s">
        <v>148</v>
      </c>
      <c r="H5840" s="2" t="s">
        <v>34</v>
      </c>
      <c r="I5840" s="2" t="s">
        <v>17964</v>
      </c>
      <c r="J5840" s="2" t="s">
        <v>1608</v>
      </c>
      <c r="K5840" s="2" t="s">
        <v>148</v>
      </c>
      <c r="L5840" s="2" t="s">
        <v>34</v>
      </c>
      <c r="M5840" s="7">
        <v>998.47199999999998</v>
      </c>
      <c r="N5840" s="6">
        <v>51.64</v>
      </c>
      <c r="O5840" s="5">
        <v>51.2</v>
      </c>
      <c r="P5840" s="2" t="s">
        <v>17965</v>
      </c>
      <c r="Q5840" s="6">
        <v>100</v>
      </c>
      <c r="R5840" s="6">
        <v>21.52</v>
      </c>
      <c r="S5840" s="5">
        <v>29</v>
      </c>
      <c r="T5840" s="5">
        <v>83</v>
      </c>
      <c r="U5840" s="5">
        <v>10.8</v>
      </c>
      <c r="V5840" s="6">
        <v>1.55</v>
      </c>
      <c r="W5840" s="6">
        <v>19.75</v>
      </c>
      <c r="X5840" s="7">
        <v>19.562999999999999</v>
      </c>
      <c r="Y5840" s="7">
        <v>19.875</v>
      </c>
      <c r="Z5840" s="7">
        <v>19.812999999999999</v>
      </c>
      <c r="AA5840" s="6">
        <v>18.52</v>
      </c>
      <c r="AB5840" s="7">
        <v>11.135999999999999</v>
      </c>
      <c r="AC5840" s="5">
        <v>64.400000000000006</v>
      </c>
    </row>
    <row r="5841" spans="1:29" ht="130" x14ac:dyDescent="0.15">
      <c r="A5841" s="3">
        <f>DATE(2000,10,30)</f>
        <v>36829</v>
      </c>
      <c r="B5841" s="3">
        <f>DATE(2001,1,31)</f>
        <v>36922</v>
      </c>
      <c r="C5841" s="2" t="s">
        <v>95</v>
      </c>
      <c r="D5841" s="2" t="s">
        <v>17966</v>
      </c>
      <c r="E5841" s="2" t="s">
        <v>839</v>
      </c>
      <c r="F5841" s="4">
        <v>2834</v>
      </c>
      <c r="G5841" s="2" t="s">
        <v>130</v>
      </c>
      <c r="H5841" s="2" t="s">
        <v>34</v>
      </c>
      <c r="I5841" s="2" t="s">
        <v>17967</v>
      </c>
      <c r="J5841" s="2" t="s">
        <v>6292</v>
      </c>
      <c r="K5841" s="2" t="s">
        <v>130</v>
      </c>
      <c r="L5841" s="2" t="s">
        <v>902</v>
      </c>
      <c r="M5841" s="2"/>
      <c r="N5841" s="2"/>
      <c r="O5841" s="2"/>
      <c r="P5841" s="2" t="s">
        <v>17968</v>
      </c>
      <c r="Q5841" s="6">
        <v>100</v>
      </c>
      <c r="R5841" s="6">
        <v>4.5999999999999996</v>
      </c>
      <c r="S5841" s="5">
        <v>2.8</v>
      </c>
      <c r="T5841" s="5">
        <v>2.2999999999999998</v>
      </c>
      <c r="U5841" s="5">
        <v>1.2</v>
      </c>
      <c r="V5841" s="6">
        <v>0.33</v>
      </c>
      <c r="W5841" s="7">
        <v>4.0940000000000003</v>
      </c>
      <c r="X5841" s="6">
        <v>4.25</v>
      </c>
      <c r="Y5841" s="7">
        <v>4.125</v>
      </c>
      <c r="Z5841" s="7">
        <v>4.4690000000000003</v>
      </c>
      <c r="AA5841" s="6">
        <v>5.68</v>
      </c>
      <c r="AB5841" s="7">
        <v>23.451000000000001</v>
      </c>
      <c r="AC5841" s="6">
        <v>10.06</v>
      </c>
    </row>
    <row r="5842" spans="1:29" ht="143" x14ac:dyDescent="0.15">
      <c r="A5842" s="3">
        <f>DATE(2000,10,30)</f>
        <v>36829</v>
      </c>
      <c r="B5842" s="3">
        <f>DATE(2001,3,1)</f>
        <v>36951</v>
      </c>
      <c r="C5842" s="2" t="s">
        <v>95</v>
      </c>
      <c r="D5842" s="2" t="s">
        <v>12217</v>
      </c>
      <c r="E5842" s="2" t="s">
        <v>36</v>
      </c>
      <c r="F5842" s="4">
        <v>6036</v>
      </c>
      <c r="G5842" s="2" t="s">
        <v>33</v>
      </c>
      <c r="H5842" s="2" t="s">
        <v>34</v>
      </c>
      <c r="I5842" s="2" t="s">
        <v>2050</v>
      </c>
      <c r="J5842" s="2" t="s">
        <v>36</v>
      </c>
      <c r="K5842" s="2" t="s">
        <v>37</v>
      </c>
      <c r="L5842" s="2" t="s">
        <v>34</v>
      </c>
      <c r="M5842" s="12">
        <v>11662.468999999999</v>
      </c>
      <c r="N5842" s="7">
        <v>54.938000000000002</v>
      </c>
      <c r="O5842" s="4">
        <v>54</v>
      </c>
      <c r="P5842" s="2" t="s">
        <v>17969</v>
      </c>
      <c r="Q5842" s="6">
        <v>100</v>
      </c>
      <c r="R5842" s="6">
        <v>7.86</v>
      </c>
      <c r="S5842" s="5">
        <v>25.1</v>
      </c>
      <c r="T5842" s="5">
        <v>48.5</v>
      </c>
      <c r="U5842" s="5">
        <v>4.3</v>
      </c>
      <c r="V5842" s="6">
        <v>0.52</v>
      </c>
      <c r="W5842" s="6">
        <v>5.75</v>
      </c>
      <c r="X5842" s="7">
        <v>5.9379999999999997</v>
      </c>
      <c r="Y5842" s="7">
        <v>6.7809999999999997</v>
      </c>
      <c r="Z5842" s="7">
        <v>6.7809999999999997</v>
      </c>
      <c r="AA5842" s="6">
        <v>48.58</v>
      </c>
      <c r="AB5842" s="7">
        <v>86.21</v>
      </c>
      <c r="AC5842" s="8">
        <v>4238.2</v>
      </c>
    </row>
    <row r="5843" spans="1:29" ht="91" x14ac:dyDescent="0.15">
      <c r="A5843" s="3">
        <f>DATE(2000,10,30)</f>
        <v>36829</v>
      </c>
      <c r="B5843" s="3">
        <f>DATE(2000,12,27)</f>
        <v>36887</v>
      </c>
      <c r="C5843" s="2" t="s">
        <v>95</v>
      </c>
      <c r="D5843" s="2" t="s">
        <v>17970</v>
      </c>
      <c r="E5843" s="2" t="s">
        <v>4847</v>
      </c>
      <c r="F5843" s="4">
        <v>6726</v>
      </c>
      <c r="G5843" s="2" t="s">
        <v>53</v>
      </c>
      <c r="H5843" s="2" t="s">
        <v>34</v>
      </c>
      <c r="I5843" s="2" t="s">
        <v>17971</v>
      </c>
      <c r="J5843" s="2" t="s">
        <v>386</v>
      </c>
      <c r="K5843" s="2" t="s">
        <v>53</v>
      </c>
      <c r="L5843" s="2" t="s">
        <v>34</v>
      </c>
      <c r="M5843" s="7">
        <v>70.442999999999998</v>
      </c>
      <c r="N5843" s="6">
        <v>8.75</v>
      </c>
      <c r="O5843" s="7">
        <v>8.6880000000000006</v>
      </c>
      <c r="P5843" s="2" t="s">
        <v>17972</v>
      </c>
      <c r="Q5843" s="6">
        <v>100</v>
      </c>
      <c r="R5843" s="2"/>
      <c r="S5843" s="2"/>
      <c r="T5843" s="2"/>
      <c r="U5843" s="2"/>
      <c r="V5843" s="2"/>
      <c r="W5843" s="6">
        <v>12.75</v>
      </c>
      <c r="X5843" s="6">
        <v>12.75</v>
      </c>
      <c r="Y5843" s="5">
        <v>12.5</v>
      </c>
      <c r="Z5843" s="7">
        <v>12.563000000000001</v>
      </c>
      <c r="AA5843" s="2"/>
      <c r="AB5843" s="2" t="s">
        <v>47</v>
      </c>
      <c r="AC5843" s="2"/>
    </row>
    <row r="5844" spans="1:29" ht="143" x14ac:dyDescent="0.15">
      <c r="A5844" s="3">
        <f>DATE(2000,10,31)</f>
        <v>36830</v>
      </c>
      <c r="B5844" s="3">
        <f>DATE(2000,12,31)</f>
        <v>36891</v>
      </c>
      <c r="C5844" s="2" t="s">
        <v>95</v>
      </c>
      <c r="D5844" s="2" t="s">
        <v>17973</v>
      </c>
      <c r="E5844" s="2" t="s">
        <v>17974</v>
      </c>
      <c r="F5844" s="4">
        <v>6153</v>
      </c>
      <c r="G5844" s="2" t="s">
        <v>370</v>
      </c>
      <c r="H5844" s="2" t="s">
        <v>34</v>
      </c>
      <c r="I5844" s="2" t="s">
        <v>10313</v>
      </c>
      <c r="J5844" s="2" t="s">
        <v>17975</v>
      </c>
      <c r="K5844" s="2" t="s">
        <v>53</v>
      </c>
      <c r="L5844" s="2" t="s">
        <v>34</v>
      </c>
      <c r="M5844" s="12">
        <v>1401.7529999999999</v>
      </c>
      <c r="N5844" s="7">
        <v>20.625</v>
      </c>
      <c r="O5844" s="7">
        <v>20.625</v>
      </c>
      <c r="P5844" s="2" t="s">
        <v>17976</v>
      </c>
      <c r="Q5844" s="6">
        <v>100</v>
      </c>
      <c r="R5844" s="6">
        <v>3.67</v>
      </c>
      <c r="S5844" s="5">
        <v>5.6</v>
      </c>
      <c r="T5844" s="7">
        <v>10.944000000000001</v>
      </c>
      <c r="U5844" s="5">
        <v>1.2</v>
      </c>
      <c r="V5844" s="6">
        <v>0.23</v>
      </c>
      <c r="W5844" s="4">
        <v>2</v>
      </c>
      <c r="X5844" s="7">
        <v>2.3130000000000002</v>
      </c>
      <c r="Y5844" s="7">
        <v>2.1880000000000002</v>
      </c>
      <c r="Z5844" s="6">
        <v>2.25</v>
      </c>
      <c r="AA5844" s="6">
        <v>21.54</v>
      </c>
      <c r="AB5844" s="7">
        <v>15.135999999999999</v>
      </c>
      <c r="AC5844" s="5">
        <v>26.2</v>
      </c>
    </row>
    <row r="5845" spans="1:29" ht="130" x14ac:dyDescent="0.15">
      <c r="A5845" s="3">
        <f>DATE(2000,10,31)</f>
        <v>36830</v>
      </c>
      <c r="B5845" s="3">
        <f>DATE(2001,4,10)</f>
        <v>36991</v>
      </c>
      <c r="C5845" s="2" t="s">
        <v>95</v>
      </c>
      <c r="D5845" s="2" t="s">
        <v>17977</v>
      </c>
      <c r="E5845" s="2" t="s">
        <v>17978</v>
      </c>
      <c r="F5845" s="4">
        <v>6331</v>
      </c>
      <c r="G5845" s="2" t="s">
        <v>125</v>
      </c>
      <c r="H5845" s="2" t="s">
        <v>34</v>
      </c>
      <c r="I5845" s="2" t="s">
        <v>17979</v>
      </c>
      <c r="J5845" s="2" t="s">
        <v>124</v>
      </c>
      <c r="K5845" s="2" t="s">
        <v>125</v>
      </c>
      <c r="L5845" s="2" t="s">
        <v>34</v>
      </c>
      <c r="M5845" s="12">
        <v>1701.2760000000001</v>
      </c>
      <c r="N5845" s="6">
        <v>67.75</v>
      </c>
      <c r="O5845" s="7">
        <v>66.813000000000002</v>
      </c>
      <c r="P5845" s="2" t="s">
        <v>17980</v>
      </c>
      <c r="Q5845" s="6">
        <v>100</v>
      </c>
      <c r="R5845" s="6">
        <v>44</v>
      </c>
      <c r="S5845" s="5">
        <v>31.6</v>
      </c>
      <c r="T5845" s="5">
        <v>91.3</v>
      </c>
      <c r="U5845" s="5">
        <v>34.299999999999997</v>
      </c>
      <c r="V5845" s="6">
        <v>5.09</v>
      </c>
      <c r="W5845" s="6">
        <v>30.75</v>
      </c>
      <c r="X5845" s="7">
        <v>32.125</v>
      </c>
      <c r="Y5845" s="7">
        <v>34.563000000000002</v>
      </c>
      <c r="Z5845" s="7">
        <v>42.063000000000002</v>
      </c>
      <c r="AA5845" s="6">
        <v>6</v>
      </c>
      <c r="AB5845" s="7">
        <v>5.6870000000000003</v>
      </c>
      <c r="AC5845" s="5">
        <v>36.799999999999997</v>
      </c>
    </row>
    <row r="5846" spans="1:29" ht="117" x14ac:dyDescent="0.15">
      <c r="A5846" s="3">
        <f>DATE(2000,11,1)</f>
        <v>36831</v>
      </c>
      <c r="B5846" s="3">
        <f>DATE(2001,1,30)</f>
        <v>36921</v>
      </c>
      <c r="C5846" s="2" t="s">
        <v>95</v>
      </c>
      <c r="D5846" s="2" t="s">
        <v>17981</v>
      </c>
      <c r="E5846" s="2" t="s">
        <v>36</v>
      </c>
      <c r="F5846" s="4">
        <v>6022</v>
      </c>
      <c r="G5846" s="2" t="s">
        <v>37</v>
      </c>
      <c r="H5846" s="2" t="s">
        <v>34</v>
      </c>
      <c r="I5846" s="2" t="s">
        <v>526</v>
      </c>
      <c r="J5846" s="2" t="s">
        <v>159</v>
      </c>
      <c r="K5846" s="2" t="s">
        <v>37</v>
      </c>
      <c r="L5846" s="2" t="s">
        <v>34</v>
      </c>
      <c r="M5846" s="12">
        <v>9399.6190000000006</v>
      </c>
      <c r="N5846" s="7">
        <v>55.125</v>
      </c>
      <c r="O5846" s="7">
        <v>54.563000000000002</v>
      </c>
      <c r="P5846" s="2" t="s">
        <v>17982</v>
      </c>
      <c r="Q5846" s="6">
        <v>100</v>
      </c>
      <c r="R5846" s="6">
        <v>27.74</v>
      </c>
      <c r="S5846" s="5">
        <v>100.9</v>
      </c>
      <c r="T5846" s="5">
        <v>142.6</v>
      </c>
      <c r="U5846" s="5">
        <v>11.5</v>
      </c>
      <c r="V5846" s="6">
        <v>2.17</v>
      </c>
      <c r="W5846" s="7">
        <v>18.875</v>
      </c>
      <c r="X5846" s="7">
        <v>24.312999999999999</v>
      </c>
      <c r="Y5846" s="7">
        <v>24.437999999999999</v>
      </c>
      <c r="Z5846" s="7">
        <v>24.125</v>
      </c>
      <c r="AA5846" s="6">
        <v>44.22</v>
      </c>
      <c r="AB5846" s="7">
        <v>42.030999999999999</v>
      </c>
      <c r="AC5846" s="8">
        <v>1519.1</v>
      </c>
    </row>
    <row r="5847" spans="1:29" ht="91" x14ac:dyDescent="0.15">
      <c r="A5847" s="3">
        <f>DATE(2000,11,1)</f>
        <v>36831</v>
      </c>
      <c r="B5847" s="2"/>
      <c r="C5847" s="2" t="s">
        <v>30</v>
      </c>
      <c r="D5847" s="2" t="s">
        <v>17983</v>
      </c>
      <c r="E5847" s="2" t="s">
        <v>1817</v>
      </c>
      <c r="F5847" s="4">
        <v>4512</v>
      </c>
      <c r="G5847" s="2" t="s">
        <v>59</v>
      </c>
      <c r="H5847" s="2" t="s">
        <v>34</v>
      </c>
      <c r="I5847" s="2" t="s">
        <v>1818</v>
      </c>
      <c r="J5847" s="2" t="s">
        <v>58</v>
      </c>
      <c r="K5847" s="2" t="s">
        <v>59</v>
      </c>
      <c r="L5847" s="2" t="s">
        <v>34</v>
      </c>
      <c r="M5847" s="12">
        <v>2150.9380000000001</v>
      </c>
      <c r="N5847" s="6">
        <v>28.25</v>
      </c>
      <c r="O5847" s="7">
        <v>28.375</v>
      </c>
      <c r="P5847" s="2" t="s">
        <v>17984</v>
      </c>
      <c r="Q5847" s="2"/>
      <c r="R5847" s="6">
        <v>13</v>
      </c>
      <c r="S5847" s="5">
        <v>31.3</v>
      </c>
      <c r="T5847" s="5">
        <v>63.2</v>
      </c>
      <c r="U5847" s="5">
        <v>8</v>
      </c>
      <c r="V5847" s="6">
        <v>1.51</v>
      </c>
      <c r="W5847" s="7">
        <v>10.438000000000001</v>
      </c>
      <c r="X5847" s="7">
        <v>10.813000000000001</v>
      </c>
      <c r="Y5847" s="9">
        <v>11.0625</v>
      </c>
      <c r="Z5847" s="7">
        <v>13.625</v>
      </c>
      <c r="AA5847" s="6">
        <v>20.27</v>
      </c>
      <c r="AB5847" s="7">
        <v>3.4380000000000002</v>
      </c>
      <c r="AC5847" s="5">
        <v>999</v>
      </c>
    </row>
    <row r="5848" spans="1:29" ht="104" x14ac:dyDescent="0.15">
      <c r="A5848" s="3">
        <f>DATE(2000,11,2)</f>
        <v>36832</v>
      </c>
      <c r="B5848" s="3">
        <f>DATE(2001,5,15)</f>
        <v>37026</v>
      </c>
      <c r="C5848" s="2" t="s">
        <v>95</v>
      </c>
      <c r="D5848" s="2" t="s">
        <v>6325</v>
      </c>
      <c r="E5848" s="2" t="s">
        <v>92</v>
      </c>
      <c r="F5848" s="4">
        <v>6798</v>
      </c>
      <c r="G5848" s="2" t="s">
        <v>53</v>
      </c>
      <c r="H5848" s="2" t="s">
        <v>34</v>
      </c>
      <c r="I5848" s="2" t="s">
        <v>17985</v>
      </c>
      <c r="J5848" s="2" t="s">
        <v>6321</v>
      </c>
      <c r="K5848" s="2" t="s">
        <v>53</v>
      </c>
      <c r="L5848" s="2" t="s">
        <v>34</v>
      </c>
      <c r="M5848" s="7">
        <v>274.197</v>
      </c>
      <c r="N5848" s="7">
        <v>12.125</v>
      </c>
      <c r="O5848" s="7">
        <v>12.188000000000001</v>
      </c>
      <c r="P5848" s="2" t="s">
        <v>17986</v>
      </c>
      <c r="Q5848" s="6">
        <v>54.71</v>
      </c>
      <c r="R5848" s="6">
        <v>12.89</v>
      </c>
      <c r="S5848" s="5">
        <v>46.3</v>
      </c>
      <c r="T5848" s="7">
        <v>32.344000000000001</v>
      </c>
      <c r="U5848" s="5">
        <v>12.6</v>
      </c>
      <c r="V5848" s="6">
        <v>2.21</v>
      </c>
      <c r="W5848" s="7">
        <v>11.438000000000001</v>
      </c>
      <c r="X5848" s="5">
        <v>12.5</v>
      </c>
      <c r="Y5848" s="7">
        <v>13.375</v>
      </c>
      <c r="Z5848" s="7">
        <v>13.625</v>
      </c>
      <c r="AA5848" s="6">
        <v>20.99</v>
      </c>
      <c r="AB5848" s="7">
        <v>27.292999999999999</v>
      </c>
      <c r="AC5848" s="5">
        <v>3.6</v>
      </c>
    </row>
    <row r="5849" spans="1:29" ht="91" x14ac:dyDescent="0.15">
      <c r="A5849" s="3">
        <f>DATE(2000,11,2)</f>
        <v>36832</v>
      </c>
      <c r="B5849" s="2"/>
      <c r="C5849" s="2" t="s">
        <v>30</v>
      </c>
      <c r="D5849" s="2" t="s">
        <v>17987</v>
      </c>
      <c r="E5849" s="2" t="s">
        <v>265</v>
      </c>
      <c r="F5849" s="4">
        <v>6021</v>
      </c>
      <c r="G5849" s="2" t="s">
        <v>37</v>
      </c>
      <c r="H5849" s="2" t="s">
        <v>34</v>
      </c>
      <c r="I5849" s="2" t="s">
        <v>17988</v>
      </c>
      <c r="J5849" s="2" t="s">
        <v>263</v>
      </c>
      <c r="K5849" s="2" t="s">
        <v>33</v>
      </c>
      <c r="L5849" s="2" t="s">
        <v>34</v>
      </c>
      <c r="M5849" s="7">
        <v>154.65700000000001</v>
      </c>
      <c r="N5849" s="7">
        <v>6.125</v>
      </c>
      <c r="O5849" s="4">
        <v>6</v>
      </c>
      <c r="P5849" s="2" t="s">
        <v>17989</v>
      </c>
      <c r="Q5849" s="2"/>
      <c r="R5849" s="6">
        <v>15</v>
      </c>
      <c r="S5849" s="5">
        <v>2</v>
      </c>
      <c r="T5849" s="5">
        <v>7.2</v>
      </c>
      <c r="U5849" s="5">
        <v>11.4</v>
      </c>
      <c r="V5849" s="6">
        <v>0.84</v>
      </c>
      <c r="W5849" s="4">
        <v>9</v>
      </c>
      <c r="X5849" s="4">
        <v>9</v>
      </c>
      <c r="Y5849" s="5">
        <v>9.5</v>
      </c>
      <c r="Z5849" s="4">
        <v>9</v>
      </c>
      <c r="AA5849" s="6">
        <v>2.54</v>
      </c>
      <c r="AB5849" s="7">
        <v>75.272999999999996</v>
      </c>
      <c r="AC5849" s="5">
        <v>112.3</v>
      </c>
    </row>
    <row r="5850" spans="1:29" ht="52" x14ac:dyDescent="0.15">
      <c r="A5850" s="3">
        <f>DATE(2000,11,2)</f>
        <v>36832</v>
      </c>
      <c r="B5850" s="3">
        <f>DATE(2001,5,1)</f>
        <v>37012</v>
      </c>
      <c r="C5850" s="2" t="s">
        <v>95</v>
      </c>
      <c r="D5850" s="2" t="s">
        <v>17990</v>
      </c>
      <c r="E5850" s="2" t="s">
        <v>1181</v>
      </c>
      <c r="F5850" s="4">
        <v>6021</v>
      </c>
      <c r="G5850" s="2" t="s">
        <v>37</v>
      </c>
      <c r="H5850" s="2" t="s">
        <v>34</v>
      </c>
      <c r="I5850" s="2" t="s">
        <v>17991</v>
      </c>
      <c r="J5850" s="2" t="s">
        <v>36</v>
      </c>
      <c r="K5850" s="2" t="s">
        <v>37</v>
      </c>
      <c r="L5850" s="2" t="s">
        <v>34</v>
      </c>
      <c r="M5850" s="7">
        <v>156.56100000000001</v>
      </c>
      <c r="N5850" s="7">
        <v>14.375</v>
      </c>
      <c r="O5850" s="7">
        <v>14.188000000000001</v>
      </c>
      <c r="P5850" s="2" t="s">
        <v>17992</v>
      </c>
      <c r="Q5850" s="6">
        <v>100</v>
      </c>
      <c r="R5850" s="6">
        <v>48</v>
      </c>
      <c r="S5850" s="5">
        <v>1.4</v>
      </c>
      <c r="T5850" s="2"/>
      <c r="U5850" s="5">
        <v>21.3</v>
      </c>
      <c r="V5850" s="6">
        <v>1.06</v>
      </c>
      <c r="W5850" s="4">
        <v>33</v>
      </c>
      <c r="X5850" s="6">
        <v>34.43</v>
      </c>
      <c r="Y5850" s="2"/>
      <c r="Z5850" s="2"/>
      <c r="AA5850" s="6">
        <v>1.37</v>
      </c>
      <c r="AB5850" s="7">
        <v>56.530999999999999</v>
      </c>
      <c r="AC5850" s="5">
        <v>28.8</v>
      </c>
    </row>
    <row r="5851" spans="1:29" ht="65" x14ac:dyDescent="0.15">
      <c r="A5851" s="3">
        <f>DATE(2000,11,2)</f>
        <v>36832</v>
      </c>
      <c r="B5851" s="3">
        <f>DATE(2001,2,1)</f>
        <v>36923</v>
      </c>
      <c r="C5851" s="2" t="s">
        <v>95</v>
      </c>
      <c r="D5851" s="2" t="s">
        <v>17993</v>
      </c>
      <c r="E5851" s="2" t="s">
        <v>16821</v>
      </c>
      <c r="F5851" s="4">
        <v>7372</v>
      </c>
      <c r="G5851" s="2" t="s">
        <v>551</v>
      </c>
      <c r="H5851" s="2" t="s">
        <v>34</v>
      </c>
      <c r="I5851" s="2" t="s">
        <v>17994</v>
      </c>
      <c r="J5851" s="2" t="s">
        <v>17995</v>
      </c>
      <c r="K5851" s="2" t="s">
        <v>551</v>
      </c>
      <c r="L5851" s="2" t="s">
        <v>1049</v>
      </c>
      <c r="M5851" s="2"/>
      <c r="N5851" s="2"/>
      <c r="O5851" s="2"/>
      <c r="P5851" s="2" t="s">
        <v>17996</v>
      </c>
      <c r="Q5851" s="6">
        <v>100</v>
      </c>
      <c r="R5851" s="6">
        <v>11.5</v>
      </c>
      <c r="S5851" s="5">
        <v>9.9</v>
      </c>
      <c r="T5851" s="5">
        <v>23.1</v>
      </c>
      <c r="U5851" s="5">
        <v>4.5</v>
      </c>
      <c r="V5851" s="6">
        <v>0.33</v>
      </c>
      <c r="W5851" s="4">
        <v>5</v>
      </c>
      <c r="X5851" s="5">
        <v>5.5</v>
      </c>
      <c r="Y5851" s="4">
        <v>11</v>
      </c>
      <c r="Z5851" s="7">
        <v>10.875</v>
      </c>
      <c r="AA5851" s="6">
        <v>29.36</v>
      </c>
      <c r="AB5851" s="7">
        <v>23.995000000000001</v>
      </c>
      <c r="AC5851" s="6">
        <v>198.46</v>
      </c>
    </row>
    <row r="5852" spans="1:29" ht="260" x14ac:dyDescent="0.15">
      <c r="A5852" s="3">
        <f>DATE(2000,11,3)</f>
        <v>36833</v>
      </c>
      <c r="B5852" s="3">
        <f>DATE(2001,4,2)</f>
        <v>36983</v>
      </c>
      <c r="C5852" s="2" t="s">
        <v>95</v>
      </c>
      <c r="D5852" s="2" t="s">
        <v>10286</v>
      </c>
      <c r="E5852" s="2" t="s">
        <v>10287</v>
      </c>
      <c r="F5852" s="4">
        <v>1531</v>
      </c>
      <c r="G5852" s="2" t="s">
        <v>341</v>
      </c>
      <c r="H5852" s="2" t="s">
        <v>34</v>
      </c>
      <c r="I5852" s="2" t="s">
        <v>9795</v>
      </c>
      <c r="J5852" s="2" t="s">
        <v>2071</v>
      </c>
      <c r="K5852" s="2" t="s">
        <v>109</v>
      </c>
      <c r="L5852" s="2" t="s">
        <v>34</v>
      </c>
      <c r="M5852" s="12">
        <v>7171.1890000000003</v>
      </c>
      <c r="N5852" s="7">
        <v>12.563000000000001</v>
      </c>
      <c r="O5852" s="7">
        <v>12.563000000000001</v>
      </c>
      <c r="P5852" s="2" t="s">
        <v>17997</v>
      </c>
      <c r="Q5852" s="6">
        <v>100</v>
      </c>
      <c r="R5852" s="6">
        <v>16</v>
      </c>
      <c r="S5852" s="5">
        <v>61</v>
      </c>
      <c r="T5852" s="5">
        <v>112.4</v>
      </c>
      <c r="U5852" s="5">
        <v>7.3</v>
      </c>
      <c r="V5852" s="6">
        <v>1.38</v>
      </c>
      <c r="W5852" s="5">
        <v>12.5</v>
      </c>
      <c r="X5852" s="7">
        <v>13.938000000000001</v>
      </c>
      <c r="Y5852" s="7">
        <v>14.125</v>
      </c>
      <c r="Z5852" s="7">
        <v>14.188000000000001</v>
      </c>
      <c r="AA5852" s="6">
        <v>42.29</v>
      </c>
      <c r="AB5852" s="7">
        <v>7.7549999999999999</v>
      </c>
      <c r="AC5852" s="8">
        <v>1215</v>
      </c>
    </row>
    <row r="5853" spans="1:29" ht="130" x14ac:dyDescent="0.15">
      <c r="A5853" s="3">
        <f>DATE(2000,11,3)</f>
        <v>36833</v>
      </c>
      <c r="B5853" s="3">
        <f>DATE(2001,1,25)</f>
        <v>36916</v>
      </c>
      <c r="C5853" s="2" t="s">
        <v>95</v>
      </c>
      <c r="D5853" s="2" t="s">
        <v>17998</v>
      </c>
      <c r="E5853" s="2" t="s">
        <v>17999</v>
      </c>
      <c r="F5853" s="4">
        <v>5172</v>
      </c>
      <c r="G5853" s="2" t="s">
        <v>593</v>
      </c>
      <c r="H5853" s="2" t="s">
        <v>34</v>
      </c>
      <c r="I5853" s="2" t="s">
        <v>18000</v>
      </c>
      <c r="J5853" s="2" t="s">
        <v>612</v>
      </c>
      <c r="K5853" s="2" t="s">
        <v>148</v>
      </c>
      <c r="L5853" s="2" t="s">
        <v>18001</v>
      </c>
      <c r="M5853" s="2"/>
      <c r="N5853" s="2"/>
      <c r="O5853" s="2"/>
      <c r="P5853" s="2" t="s">
        <v>18002</v>
      </c>
      <c r="Q5853" s="6">
        <v>100</v>
      </c>
      <c r="R5853" s="6">
        <v>5</v>
      </c>
      <c r="S5853" s="5">
        <v>2.1</v>
      </c>
      <c r="T5853" s="5">
        <v>21.1</v>
      </c>
      <c r="U5853" s="5">
        <v>4.5</v>
      </c>
      <c r="V5853" s="6">
        <v>0.15</v>
      </c>
      <c r="W5853" s="7">
        <v>3.375</v>
      </c>
      <c r="X5853" s="7">
        <v>3.4380000000000002</v>
      </c>
      <c r="Y5853" s="7">
        <v>4.8129999999999997</v>
      </c>
      <c r="Z5853" s="7">
        <v>4.8129999999999997</v>
      </c>
      <c r="AA5853" s="6">
        <v>14</v>
      </c>
      <c r="AB5853" s="7">
        <v>14.423</v>
      </c>
      <c r="AC5853" s="6">
        <v>675.11</v>
      </c>
    </row>
    <row r="5854" spans="1:29" ht="65" x14ac:dyDescent="0.15">
      <c r="A5854" s="3">
        <f>DATE(2000,11,3)</f>
        <v>36833</v>
      </c>
      <c r="B5854" s="3">
        <f>DATE(2001,7,2)</f>
        <v>37074</v>
      </c>
      <c r="C5854" s="2" t="s">
        <v>95</v>
      </c>
      <c r="D5854" s="2" t="s">
        <v>18003</v>
      </c>
      <c r="E5854" s="2" t="s">
        <v>1072</v>
      </c>
      <c r="F5854" s="4">
        <v>6799</v>
      </c>
      <c r="G5854" s="2" t="s">
        <v>53</v>
      </c>
      <c r="H5854" s="2" t="s">
        <v>34</v>
      </c>
      <c r="I5854" s="2" t="s">
        <v>14050</v>
      </c>
      <c r="J5854" s="2" t="s">
        <v>263</v>
      </c>
      <c r="K5854" s="2" t="s">
        <v>37</v>
      </c>
      <c r="L5854" s="2" t="s">
        <v>34</v>
      </c>
      <c r="M5854" s="7">
        <v>19.213999999999999</v>
      </c>
      <c r="N5854" s="7">
        <v>4.3129999999999997</v>
      </c>
      <c r="O5854" s="7">
        <v>4.3129999999999997</v>
      </c>
      <c r="P5854" s="2" t="s">
        <v>18004</v>
      </c>
      <c r="Q5854" s="6">
        <v>100</v>
      </c>
      <c r="R5854" s="6">
        <v>13.55</v>
      </c>
      <c r="S5854" s="5">
        <v>0.4</v>
      </c>
      <c r="T5854" s="5">
        <v>1.8</v>
      </c>
      <c r="U5854" s="5">
        <v>14.8</v>
      </c>
      <c r="V5854" s="6">
        <v>0.6</v>
      </c>
      <c r="W5854" s="7">
        <v>11.813000000000001</v>
      </c>
      <c r="X5854" s="6">
        <v>11.75</v>
      </c>
      <c r="Y5854" s="7">
        <v>12.875</v>
      </c>
      <c r="Z5854" s="7">
        <v>12.875</v>
      </c>
      <c r="AA5854" s="6">
        <v>1.87</v>
      </c>
      <c r="AB5854" s="7">
        <v>214.977</v>
      </c>
      <c r="AC5854" s="5">
        <v>13.1</v>
      </c>
    </row>
    <row r="5855" spans="1:29" ht="182" x14ac:dyDescent="0.15">
      <c r="A5855" s="3">
        <f>DATE(2000,11,6)</f>
        <v>36836</v>
      </c>
      <c r="B5855" s="2"/>
      <c r="C5855" s="2" t="s">
        <v>7330</v>
      </c>
      <c r="D5855" s="2" t="s">
        <v>18005</v>
      </c>
      <c r="E5855" s="2" t="s">
        <v>18006</v>
      </c>
      <c r="F5855" s="4">
        <v>3949</v>
      </c>
      <c r="G5855" s="2" t="s">
        <v>112</v>
      </c>
      <c r="H5855" s="2" t="s">
        <v>34</v>
      </c>
      <c r="I5855" s="2" t="s">
        <v>51</v>
      </c>
      <c r="J5855" s="2" t="s">
        <v>52</v>
      </c>
      <c r="K5855" s="2" t="s">
        <v>53</v>
      </c>
      <c r="L5855" s="2" t="s">
        <v>34</v>
      </c>
      <c r="M5855" s="2"/>
      <c r="N5855" s="2"/>
      <c r="O5855" s="2"/>
      <c r="P5855" s="2" t="s">
        <v>18007</v>
      </c>
      <c r="Q5855" s="2"/>
      <c r="R5855" s="6">
        <v>3.2</v>
      </c>
      <c r="S5855" s="5">
        <v>2</v>
      </c>
      <c r="T5855" s="5">
        <v>7</v>
      </c>
      <c r="U5855" s="5">
        <v>5.9</v>
      </c>
      <c r="V5855" s="6">
        <v>0.47</v>
      </c>
      <c r="W5855" s="7">
        <v>2.6880000000000002</v>
      </c>
      <c r="X5855" s="7">
        <v>2.5310000000000001</v>
      </c>
      <c r="Y5855" s="5">
        <v>2.5</v>
      </c>
      <c r="Z5855" s="7">
        <v>2.8130000000000002</v>
      </c>
      <c r="AA5855" s="6">
        <v>4.08</v>
      </c>
      <c r="AB5855" s="7">
        <v>9.9689999999999994</v>
      </c>
      <c r="AC5855" s="2"/>
    </row>
    <row r="5856" spans="1:29" ht="65" x14ac:dyDescent="0.15">
      <c r="A5856" s="3">
        <f>DATE(2000,11,6)</f>
        <v>36836</v>
      </c>
      <c r="B5856" s="3">
        <f>DATE(2001,1,3)</f>
        <v>36894</v>
      </c>
      <c r="C5856" s="2" t="s">
        <v>95</v>
      </c>
      <c r="D5856" s="2" t="s">
        <v>18008</v>
      </c>
      <c r="E5856" s="2" t="s">
        <v>18009</v>
      </c>
      <c r="F5856" s="4">
        <v>3577</v>
      </c>
      <c r="G5856" s="2" t="s">
        <v>50</v>
      </c>
      <c r="H5856" s="2" t="s">
        <v>34</v>
      </c>
      <c r="I5856" s="2" t="s">
        <v>18010</v>
      </c>
      <c r="J5856" s="2" t="s">
        <v>18011</v>
      </c>
      <c r="K5856" s="2" t="s">
        <v>50</v>
      </c>
      <c r="L5856" s="2" t="s">
        <v>34</v>
      </c>
      <c r="M5856" s="12">
        <v>2589.0390000000002</v>
      </c>
      <c r="N5856" s="6">
        <v>58.75</v>
      </c>
      <c r="O5856" s="4">
        <v>61</v>
      </c>
      <c r="P5856" s="2" t="s">
        <v>18012</v>
      </c>
      <c r="Q5856" s="6">
        <v>100</v>
      </c>
      <c r="R5856" s="6">
        <v>9.75</v>
      </c>
      <c r="S5856" s="5">
        <v>-0.4</v>
      </c>
      <c r="T5856" s="5">
        <v>-1.2</v>
      </c>
      <c r="U5856" s="5">
        <v>6.1</v>
      </c>
      <c r="V5856" s="6">
        <v>-7.0000000000000007E-2</v>
      </c>
      <c r="W5856" s="4">
        <v>7</v>
      </c>
      <c r="X5856" s="4">
        <v>7</v>
      </c>
      <c r="Y5856" s="7">
        <v>9.3130000000000006</v>
      </c>
      <c r="Z5856" s="7">
        <v>9.3130000000000006</v>
      </c>
      <c r="AA5856" s="6">
        <v>5.46</v>
      </c>
      <c r="AB5856" s="2" t="s">
        <v>86</v>
      </c>
      <c r="AC5856" s="6">
        <v>108.06</v>
      </c>
    </row>
    <row r="5857" spans="1:29" ht="143" x14ac:dyDescent="0.15">
      <c r="A5857" s="3">
        <f>DATE(2000,11,6)</f>
        <v>36836</v>
      </c>
      <c r="B5857" s="2"/>
      <c r="C5857" s="2" t="s">
        <v>30</v>
      </c>
      <c r="D5857" s="2" t="s">
        <v>18013</v>
      </c>
      <c r="E5857" s="2" t="s">
        <v>18014</v>
      </c>
      <c r="F5857" s="4">
        <v>6159</v>
      </c>
      <c r="G5857" s="2" t="s">
        <v>370</v>
      </c>
      <c r="H5857" s="2" t="s">
        <v>34</v>
      </c>
      <c r="I5857" s="2" t="s">
        <v>18015</v>
      </c>
      <c r="J5857" s="2" t="s">
        <v>18016</v>
      </c>
      <c r="K5857" s="2" t="s">
        <v>551</v>
      </c>
      <c r="L5857" s="2" t="s">
        <v>34</v>
      </c>
      <c r="M5857" s="12">
        <v>2211.7170000000001</v>
      </c>
      <c r="N5857" s="5">
        <v>29.5</v>
      </c>
      <c r="O5857" s="7">
        <v>27.812999999999999</v>
      </c>
      <c r="P5857" s="2" t="s">
        <v>18017</v>
      </c>
      <c r="Q5857" s="2"/>
      <c r="R5857" s="6">
        <v>7</v>
      </c>
      <c r="S5857" s="5">
        <v>-6.2</v>
      </c>
      <c r="T5857" s="5">
        <v>54.5</v>
      </c>
      <c r="U5857" s="5">
        <v>8.4</v>
      </c>
      <c r="V5857" s="6">
        <v>-0.31</v>
      </c>
      <c r="W5857" s="6">
        <v>3.75</v>
      </c>
      <c r="X5857" s="7">
        <v>4.2190000000000003</v>
      </c>
      <c r="Y5857" s="6">
        <v>4.25</v>
      </c>
      <c r="Z5857" s="7">
        <v>5.859</v>
      </c>
      <c r="AA5857" s="6">
        <v>19.05</v>
      </c>
      <c r="AB5857" s="7">
        <v>19.798999999999999</v>
      </c>
      <c r="AC5857" s="5">
        <v>87.6</v>
      </c>
    </row>
    <row r="5858" spans="1:29" ht="156" x14ac:dyDescent="0.15">
      <c r="A5858" s="3">
        <f>DATE(2000,11,7)</f>
        <v>36837</v>
      </c>
      <c r="B5858" s="3">
        <f>DATE(2001,2,27)</f>
        <v>36949</v>
      </c>
      <c r="C5858" s="2" t="s">
        <v>95</v>
      </c>
      <c r="D5858" s="2" t="s">
        <v>18018</v>
      </c>
      <c r="E5858" s="2" t="s">
        <v>18019</v>
      </c>
      <c r="F5858" s="4">
        <v>7372</v>
      </c>
      <c r="G5858" s="2" t="s">
        <v>551</v>
      </c>
      <c r="H5858" s="2" t="s">
        <v>34</v>
      </c>
      <c r="I5858" s="2" t="s">
        <v>18020</v>
      </c>
      <c r="J5858" s="2" t="s">
        <v>18021</v>
      </c>
      <c r="K5858" s="2" t="s">
        <v>551</v>
      </c>
      <c r="L5858" s="2" t="s">
        <v>34</v>
      </c>
      <c r="M5858" s="7">
        <v>223.89599999999999</v>
      </c>
      <c r="N5858" s="5">
        <v>22.5</v>
      </c>
      <c r="O5858" s="7">
        <v>21.437999999999999</v>
      </c>
      <c r="P5858" s="2" t="s">
        <v>18022</v>
      </c>
      <c r="Q5858" s="6">
        <v>100</v>
      </c>
      <c r="R5858" s="6">
        <v>8.33</v>
      </c>
      <c r="S5858" s="5">
        <v>-2.9</v>
      </c>
      <c r="T5858" s="5">
        <v>-3.3</v>
      </c>
      <c r="U5858" s="5">
        <v>2.2000000000000002</v>
      </c>
      <c r="V5858" s="6">
        <v>-0.28999999999999998</v>
      </c>
      <c r="W5858" s="4">
        <v>5</v>
      </c>
      <c r="X5858" s="7">
        <v>5.5629999999999997</v>
      </c>
      <c r="Y5858" s="7">
        <v>6.8129999999999997</v>
      </c>
      <c r="Z5858" s="6">
        <v>6.75</v>
      </c>
      <c r="AA5858" s="6">
        <v>10.76</v>
      </c>
      <c r="AB5858" s="2" t="s">
        <v>86</v>
      </c>
      <c r="AC5858" s="5">
        <v>8.6999999999999993</v>
      </c>
    </row>
    <row r="5859" spans="1:29" ht="117" x14ac:dyDescent="0.15">
      <c r="A5859" s="3">
        <f>DATE(2000,11,8)</f>
        <v>36838</v>
      </c>
      <c r="B5859" s="3">
        <f>DATE(2001,3,30)</f>
        <v>36980</v>
      </c>
      <c r="C5859" s="2" t="s">
        <v>95</v>
      </c>
      <c r="D5859" s="2" t="s">
        <v>18023</v>
      </c>
      <c r="E5859" s="2" t="s">
        <v>389</v>
      </c>
      <c r="F5859" s="4">
        <v>6035</v>
      </c>
      <c r="G5859" s="2" t="s">
        <v>33</v>
      </c>
      <c r="H5859" s="2" t="s">
        <v>34</v>
      </c>
      <c r="I5859" s="2" t="s">
        <v>18024</v>
      </c>
      <c r="J5859" s="2" t="s">
        <v>1181</v>
      </c>
      <c r="K5859" s="2" t="s">
        <v>37</v>
      </c>
      <c r="L5859" s="2" t="s">
        <v>34</v>
      </c>
      <c r="M5859" s="7">
        <v>163.047</v>
      </c>
      <c r="N5859" s="7">
        <v>20.625</v>
      </c>
      <c r="O5859" s="5">
        <v>20.5</v>
      </c>
      <c r="P5859" s="2" t="s">
        <v>18025</v>
      </c>
      <c r="Q5859" s="6">
        <v>100</v>
      </c>
      <c r="R5859" s="6">
        <v>19.13</v>
      </c>
      <c r="S5859" s="2"/>
      <c r="T5859" s="2"/>
      <c r="U5859" s="2"/>
      <c r="V5859" s="2"/>
      <c r="W5859" s="6">
        <v>13.25</v>
      </c>
      <c r="X5859" s="7">
        <v>13.625</v>
      </c>
      <c r="Y5859" s="6">
        <v>17.25</v>
      </c>
      <c r="Z5859" s="6">
        <v>17.05</v>
      </c>
      <c r="AA5859" s="6">
        <v>0.67</v>
      </c>
      <c r="AB5859" s="2" t="s">
        <v>47</v>
      </c>
      <c r="AC5859" s="5">
        <v>31.4</v>
      </c>
    </row>
    <row r="5860" spans="1:29" ht="117" x14ac:dyDescent="0.15">
      <c r="A5860" s="3">
        <f>DATE(2000,11,8)</f>
        <v>36838</v>
      </c>
      <c r="B5860" s="2"/>
      <c r="C5860" s="2" t="s">
        <v>30</v>
      </c>
      <c r="D5860" s="2" t="s">
        <v>18026</v>
      </c>
      <c r="E5860" s="2" t="s">
        <v>18027</v>
      </c>
      <c r="F5860" s="4">
        <v>3841</v>
      </c>
      <c r="G5860" s="2" t="s">
        <v>226</v>
      </c>
      <c r="H5860" s="2" t="s">
        <v>34</v>
      </c>
      <c r="I5860" s="2" t="s">
        <v>5165</v>
      </c>
      <c r="J5860" s="2" t="s">
        <v>5166</v>
      </c>
      <c r="K5860" s="2" t="s">
        <v>226</v>
      </c>
      <c r="L5860" s="2" t="s">
        <v>34</v>
      </c>
      <c r="M5860" s="12">
        <v>1700.162</v>
      </c>
      <c r="N5860" s="7">
        <v>36.313000000000002</v>
      </c>
      <c r="O5860" s="7">
        <v>36.313000000000002</v>
      </c>
      <c r="P5860" s="2" t="s">
        <v>18028</v>
      </c>
      <c r="Q5860" s="2"/>
      <c r="R5860" s="6">
        <v>3.29</v>
      </c>
      <c r="S5860" s="5">
        <v>1.8</v>
      </c>
      <c r="T5860" s="5">
        <v>5.5</v>
      </c>
      <c r="U5860" s="5">
        <v>0.7</v>
      </c>
      <c r="V5860" s="6">
        <v>0.2</v>
      </c>
      <c r="W5860" s="7">
        <v>2.375</v>
      </c>
      <c r="X5860" s="7">
        <v>2.7189999999999999</v>
      </c>
      <c r="Y5860" s="5">
        <v>2.5</v>
      </c>
      <c r="Z5860" s="9">
        <v>2.6875</v>
      </c>
      <c r="AA5860" s="6">
        <v>8.7899999999999991</v>
      </c>
      <c r="AB5860" s="7">
        <v>8.4169999999999998</v>
      </c>
      <c r="AC5860" s="5">
        <v>8.1999999999999993</v>
      </c>
    </row>
    <row r="5861" spans="1:29" ht="78" x14ac:dyDescent="0.15">
      <c r="A5861" s="3">
        <f>DATE(2000,11,9)</f>
        <v>36839</v>
      </c>
      <c r="B5861" s="3">
        <f>DATE(2000,12,26)</f>
        <v>36886</v>
      </c>
      <c r="C5861" s="2" t="s">
        <v>95</v>
      </c>
      <c r="D5861" s="2" t="s">
        <v>10605</v>
      </c>
      <c r="E5861" s="2" t="s">
        <v>10606</v>
      </c>
      <c r="F5861" s="4">
        <v>3826</v>
      </c>
      <c r="G5861" s="2" t="s">
        <v>226</v>
      </c>
      <c r="H5861" s="2" t="s">
        <v>34</v>
      </c>
      <c r="I5861" s="2" t="s">
        <v>2220</v>
      </c>
      <c r="J5861" s="2" t="s">
        <v>2221</v>
      </c>
      <c r="K5861" s="2" t="s">
        <v>226</v>
      </c>
      <c r="L5861" s="2" t="s">
        <v>34</v>
      </c>
      <c r="M5861" s="10">
        <v>12161.84</v>
      </c>
      <c r="N5861" s="6">
        <v>47.75</v>
      </c>
      <c r="O5861" s="7">
        <v>47.063000000000002</v>
      </c>
      <c r="P5861" s="2" t="s">
        <v>18029</v>
      </c>
      <c r="Q5861" s="6">
        <v>100</v>
      </c>
      <c r="R5861" s="6">
        <v>4.05</v>
      </c>
      <c r="S5861" s="5">
        <v>-1.6</v>
      </c>
      <c r="T5861" s="5">
        <v>-2</v>
      </c>
      <c r="U5861" s="5">
        <v>2.1</v>
      </c>
      <c r="V5861" s="6">
        <v>-0.17</v>
      </c>
      <c r="W5861" s="6">
        <v>2.75</v>
      </c>
      <c r="X5861" s="7">
        <v>2.6880000000000002</v>
      </c>
      <c r="Y5861" s="9">
        <v>2.5625</v>
      </c>
      <c r="Z5861" s="7">
        <v>3.875</v>
      </c>
      <c r="AA5861" s="6">
        <v>9.2799999999999994</v>
      </c>
      <c r="AB5861" s="2" t="s">
        <v>86</v>
      </c>
      <c r="AC5861" s="5">
        <v>217</v>
      </c>
    </row>
    <row r="5862" spans="1:29" ht="130" x14ac:dyDescent="0.15">
      <c r="A5862" s="3">
        <f>DATE(2000,11,9)</f>
        <v>36839</v>
      </c>
      <c r="B5862" s="3">
        <f>DATE(2001,1,2)</f>
        <v>36893</v>
      </c>
      <c r="C5862" s="2" t="s">
        <v>95</v>
      </c>
      <c r="D5862" s="2" t="s">
        <v>18030</v>
      </c>
      <c r="E5862" s="2" t="s">
        <v>18031</v>
      </c>
      <c r="F5862" s="4">
        <v>2851</v>
      </c>
      <c r="G5862" s="2" t="s">
        <v>98</v>
      </c>
      <c r="H5862" s="2" t="s">
        <v>34</v>
      </c>
      <c r="I5862" s="2" t="s">
        <v>6692</v>
      </c>
      <c r="J5862" s="2" t="s">
        <v>4875</v>
      </c>
      <c r="K5862" s="2" t="s">
        <v>125</v>
      </c>
      <c r="L5862" s="2" t="s">
        <v>34</v>
      </c>
      <c r="M5862" s="12">
        <v>364033.18099999998</v>
      </c>
      <c r="N5862" s="4">
        <v>62200</v>
      </c>
      <c r="O5862" s="4">
        <v>62200</v>
      </c>
      <c r="P5862" s="2" t="s">
        <v>18032</v>
      </c>
      <c r="Q5862" s="6">
        <v>100</v>
      </c>
      <c r="R5862" s="6">
        <v>37.82</v>
      </c>
      <c r="S5862" s="5">
        <v>55.8</v>
      </c>
      <c r="T5862" s="7">
        <v>145.22399999999999</v>
      </c>
      <c r="U5862" s="5">
        <v>13.4</v>
      </c>
      <c r="V5862" s="6">
        <v>2.11</v>
      </c>
      <c r="W5862" s="6">
        <v>20.75</v>
      </c>
      <c r="X5862" s="4">
        <v>25</v>
      </c>
      <c r="Y5862" s="7">
        <v>37.625</v>
      </c>
      <c r="Z5862" s="7">
        <v>37.655999999999999</v>
      </c>
      <c r="AA5862" s="6">
        <v>26.52</v>
      </c>
      <c r="AB5862" s="7">
        <v>7.8579999999999997</v>
      </c>
      <c r="AC5862" s="8">
        <v>2770</v>
      </c>
    </row>
    <row r="5863" spans="1:29" ht="65" x14ac:dyDescent="0.15">
      <c r="A5863" s="3">
        <f>DATE(2000,11,9)</f>
        <v>36839</v>
      </c>
      <c r="B5863" s="2"/>
      <c r="C5863" s="2" t="s">
        <v>7330</v>
      </c>
      <c r="D5863" s="2" t="s">
        <v>18033</v>
      </c>
      <c r="E5863" s="2" t="s">
        <v>839</v>
      </c>
      <c r="F5863" s="4">
        <v>2834</v>
      </c>
      <c r="G5863" s="2" t="s">
        <v>130</v>
      </c>
      <c r="H5863" s="2" t="s">
        <v>34</v>
      </c>
      <c r="I5863" s="2" t="s">
        <v>18034</v>
      </c>
      <c r="J5863" s="2" t="s">
        <v>18035</v>
      </c>
      <c r="K5863" s="2" t="s">
        <v>130</v>
      </c>
      <c r="L5863" s="2" t="s">
        <v>34</v>
      </c>
      <c r="M5863" s="2"/>
      <c r="N5863" s="2"/>
      <c r="O5863" s="2"/>
      <c r="P5863" s="2" t="s">
        <v>18036</v>
      </c>
      <c r="Q5863" s="2"/>
      <c r="R5863" s="2"/>
      <c r="S5863" s="5">
        <v>-4.9000000000000004</v>
      </c>
      <c r="T5863" s="5">
        <v>-4.7</v>
      </c>
      <c r="U5863" s="5">
        <v>5.4</v>
      </c>
      <c r="V5863" s="6">
        <v>-4.21</v>
      </c>
      <c r="W5863" s="7">
        <v>5.9379999999999997</v>
      </c>
      <c r="X5863" s="7">
        <v>5.9379999999999997</v>
      </c>
      <c r="Y5863" s="7">
        <v>5.9379999999999997</v>
      </c>
      <c r="Z5863" s="7">
        <v>5.9379999999999997</v>
      </c>
      <c r="AA5863" s="6">
        <v>1.1599999999999999</v>
      </c>
      <c r="AB5863" s="2" t="s">
        <v>86</v>
      </c>
      <c r="AC5863" s="2"/>
    </row>
    <row r="5864" spans="1:29" ht="117" x14ac:dyDescent="0.15">
      <c r="A5864" s="3">
        <f>DATE(2000,11,9)</f>
        <v>36839</v>
      </c>
      <c r="B5864" s="3">
        <f>DATE(2001,1,26)</f>
        <v>36917</v>
      </c>
      <c r="C5864" s="2" t="s">
        <v>95</v>
      </c>
      <c r="D5864" s="2" t="s">
        <v>18037</v>
      </c>
      <c r="E5864" s="2" t="s">
        <v>17155</v>
      </c>
      <c r="F5864" s="4">
        <v>3812</v>
      </c>
      <c r="G5864" s="2" t="s">
        <v>226</v>
      </c>
      <c r="H5864" s="2" t="s">
        <v>34</v>
      </c>
      <c r="I5864" s="2" t="s">
        <v>13819</v>
      </c>
      <c r="J5864" s="2" t="s">
        <v>7077</v>
      </c>
      <c r="K5864" s="2" t="s">
        <v>226</v>
      </c>
      <c r="L5864" s="2" t="s">
        <v>34</v>
      </c>
      <c r="M5864" s="12">
        <v>12998.087</v>
      </c>
      <c r="N5864" s="4">
        <v>70</v>
      </c>
      <c r="O5864" s="6">
        <v>69.75</v>
      </c>
      <c r="P5864" s="2" t="s">
        <v>18038</v>
      </c>
      <c r="Q5864" s="6">
        <v>100</v>
      </c>
      <c r="R5864" s="6">
        <v>32.1</v>
      </c>
      <c r="S5864" s="5">
        <v>21.4</v>
      </c>
      <c r="T5864" s="5">
        <v>73.8</v>
      </c>
      <c r="U5864" s="5">
        <v>19.2</v>
      </c>
      <c r="V5864" s="6">
        <v>2.0099999999999998</v>
      </c>
      <c r="W5864" s="6">
        <v>31.75</v>
      </c>
      <c r="X5864" s="4">
        <v>31</v>
      </c>
      <c r="Y5864" s="7">
        <v>31.437999999999999</v>
      </c>
      <c r="Z5864" s="7">
        <v>31.562999999999999</v>
      </c>
      <c r="AA5864" s="6">
        <v>10.4</v>
      </c>
      <c r="AB5864" s="7">
        <v>10.16</v>
      </c>
      <c r="AC5864" s="5">
        <v>275</v>
      </c>
    </row>
    <row r="5865" spans="1:29" ht="247" x14ac:dyDescent="0.15">
      <c r="A5865" s="3">
        <f>DATE(2000,11,9)</f>
        <v>36839</v>
      </c>
      <c r="B5865" s="2"/>
      <c r="C5865" s="2" t="s">
        <v>30</v>
      </c>
      <c r="D5865" s="2" t="s">
        <v>7750</v>
      </c>
      <c r="E5865" s="2" t="s">
        <v>7751</v>
      </c>
      <c r="F5865" s="4">
        <v>4931</v>
      </c>
      <c r="G5865" s="2" t="s">
        <v>439</v>
      </c>
      <c r="H5865" s="2" t="s">
        <v>34</v>
      </c>
      <c r="I5865" s="2" t="s">
        <v>18039</v>
      </c>
      <c r="J5865" s="2" t="s">
        <v>18040</v>
      </c>
      <c r="K5865" s="2" t="s">
        <v>439</v>
      </c>
      <c r="L5865" s="2" t="s">
        <v>34</v>
      </c>
      <c r="M5865" s="7">
        <v>998.27599999999995</v>
      </c>
      <c r="N5865" s="7">
        <v>23.875</v>
      </c>
      <c r="O5865" s="9">
        <v>24.9375</v>
      </c>
      <c r="P5865" s="2" t="s">
        <v>18041</v>
      </c>
      <c r="Q5865" s="2"/>
      <c r="R5865" s="2"/>
      <c r="S5865" s="5">
        <v>34.6</v>
      </c>
      <c r="T5865" s="5">
        <v>669.7</v>
      </c>
      <c r="U5865" s="5">
        <v>28.1</v>
      </c>
      <c r="V5865" s="6">
        <v>0.7</v>
      </c>
      <c r="W5865" s="7">
        <v>21.312999999999999</v>
      </c>
      <c r="X5865" s="7">
        <v>21.375</v>
      </c>
      <c r="Y5865" s="7">
        <v>23.312999999999999</v>
      </c>
      <c r="Z5865" s="5">
        <v>22.5</v>
      </c>
      <c r="AA5865" s="6">
        <v>69.349999999999994</v>
      </c>
      <c r="AB5865" s="2" t="s">
        <v>47</v>
      </c>
      <c r="AC5865" s="5">
        <v>119.1</v>
      </c>
    </row>
    <row r="5866" spans="1:29" ht="130" x14ac:dyDescent="0.15">
      <c r="A5866" s="3">
        <f>DATE(2000,11,10)</f>
        <v>36840</v>
      </c>
      <c r="B5866" s="3">
        <f>DATE(2001,2,15)</f>
        <v>36937</v>
      </c>
      <c r="C5866" s="2" t="s">
        <v>95</v>
      </c>
      <c r="D5866" s="2" t="s">
        <v>18042</v>
      </c>
      <c r="E5866" s="2" t="s">
        <v>4620</v>
      </c>
      <c r="F5866" s="4">
        <v>3661</v>
      </c>
      <c r="G5866" s="2" t="s">
        <v>921</v>
      </c>
      <c r="H5866" s="2" t="s">
        <v>34</v>
      </c>
      <c r="I5866" s="2" t="s">
        <v>7444</v>
      </c>
      <c r="J5866" s="2" t="s">
        <v>7445</v>
      </c>
      <c r="K5866" s="2" t="s">
        <v>50</v>
      </c>
      <c r="L5866" s="2" t="s">
        <v>34</v>
      </c>
      <c r="M5866" s="12">
        <v>394795.19199999998</v>
      </c>
      <c r="N5866" s="7">
        <v>50.063000000000002</v>
      </c>
      <c r="O5866" s="7">
        <v>50.375</v>
      </c>
      <c r="P5866" s="2" t="s">
        <v>18043</v>
      </c>
      <c r="Q5866" s="6">
        <v>100</v>
      </c>
      <c r="R5866" s="2"/>
      <c r="S5866" s="5">
        <v>-10.6</v>
      </c>
      <c r="T5866" s="7">
        <v>-9.3190000000000008</v>
      </c>
      <c r="U5866" s="5">
        <v>3.7</v>
      </c>
      <c r="V5866" s="7">
        <v>-1.075</v>
      </c>
      <c r="W5866" s="7">
        <v>13.625</v>
      </c>
      <c r="X5866" s="7">
        <v>14.938000000000001</v>
      </c>
      <c r="Y5866" s="9">
        <v>19.0625</v>
      </c>
      <c r="Z5866" s="9">
        <v>19.1875</v>
      </c>
      <c r="AA5866" s="6">
        <v>11.23</v>
      </c>
      <c r="AB5866" s="2" t="s">
        <v>86</v>
      </c>
      <c r="AC5866" s="8">
        <v>4234</v>
      </c>
    </row>
    <row r="5867" spans="1:29" ht="169" x14ac:dyDescent="0.15">
      <c r="A5867" s="3">
        <f>DATE(2000,11,10)</f>
        <v>36840</v>
      </c>
      <c r="B5867" s="3">
        <f>DATE(2001,1,31)</f>
        <v>36922</v>
      </c>
      <c r="C5867" s="2" t="s">
        <v>95</v>
      </c>
      <c r="D5867" s="2" t="s">
        <v>18044</v>
      </c>
      <c r="E5867" s="2" t="s">
        <v>18045</v>
      </c>
      <c r="F5867" s="4">
        <v>5993</v>
      </c>
      <c r="G5867" s="2" t="s">
        <v>73</v>
      </c>
      <c r="H5867" s="2" t="s">
        <v>34</v>
      </c>
      <c r="I5867" s="2" t="s">
        <v>18046</v>
      </c>
      <c r="J5867" s="2" t="s">
        <v>302</v>
      </c>
      <c r="K5867" s="2" t="s">
        <v>53</v>
      </c>
      <c r="L5867" s="2" t="s">
        <v>34</v>
      </c>
      <c r="M5867" s="2"/>
      <c r="N5867" s="2"/>
      <c r="O5867" s="2"/>
      <c r="P5867" s="2" t="s">
        <v>18047</v>
      </c>
      <c r="Q5867" s="6">
        <v>34.549999999999997</v>
      </c>
      <c r="R5867" s="6">
        <v>5.5</v>
      </c>
      <c r="S5867" s="5">
        <v>3.2</v>
      </c>
      <c r="T5867" s="5">
        <v>4.9000000000000004</v>
      </c>
      <c r="U5867" s="5">
        <v>5</v>
      </c>
      <c r="V5867" s="6">
        <v>0.56000000000000005</v>
      </c>
      <c r="W5867" s="7">
        <v>3.8130000000000002</v>
      </c>
      <c r="X5867" s="5">
        <v>3.5</v>
      </c>
      <c r="Y5867" s="7">
        <v>5.3129999999999997</v>
      </c>
      <c r="Z5867" s="7">
        <v>5.375</v>
      </c>
      <c r="AA5867" s="6">
        <v>5.85</v>
      </c>
      <c r="AB5867" s="7">
        <v>6.3959999999999999</v>
      </c>
      <c r="AC5867" s="2"/>
    </row>
    <row r="5868" spans="1:29" ht="52" x14ac:dyDescent="0.15">
      <c r="A5868" s="3">
        <f>DATE(2000,11,10)</f>
        <v>36840</v>
      </c>
      <c r="B5868" s="2"/>
      <c r="C5868" s="2" t="s">
        <v>7330</v>
      </c>
      <c r="D5868" s="2" t="s">
        <v>18048</v>
      </c>
      <c r="E5868" s="2" t="s">
        <v>12930</v>
      </c>
      <c r="F5868" s="4">
        <v>4213</v>
      </c>
      <c r="G5868" s="2" t="s">
        <v>173</v>
      </c>
      <c r="H5868" s="2" t="s">
        <v>34</v>
      </c>
      <c r="I5868" s="2" t="s">
        <v>51</v>
      </c>
      <c r="J5868" s="2" t="s">
        <v>52</v>
      </c>
      <c r="K5868" s="2" t="s">
        <v>53</v>
      </c>
      <c r="L5868" s="2" t="s">
        <v>34</v>
      </c>
      <c r="M5868" s="2"/>
      <c r="N5868" s="2"/>
      <c r="O5868" s="2"/>
      <c r="P5868" s="2" t="s">
        <v>18049</v>
      </c>
      <c r="Q5868" s="2"/>
      <c r="R5868" s="2"/>
      <c r="S5868" s="5">
        <v>4.7</v>
      </c>
      <c r="T5868" s="5">
        <v>18.899999999999999</v>
      </c>
      <c r="U5868" s="5">
        <v>25.5</v>
      </c>
      <c r="V5868" s="6">
        <v>1.99</v>
      </c>
      <c r="W5868" s="4">
        <v>24</v>
      </c>
      <c r="X5868" s="6">
        <v>24.25</v>
      </c>
      <c r="Y5868" s="5">
        <v>27.5</v>
      </c>
      <c r="Z5868" s="5">
        <v>25.5</v>
      </c>
      <c r="AA5868" s="6">
        <v>2.42</v>
      </c>
      <c r="AB5868" s="2" t="s">
        <v>47</v>
      </c>
      <c r="AC5868" s="2"/>
    </row>
    <row r="5869" spans="1:29" ht="156" x14ac:dyDescent="0.15">
      <c r="A5869" s="3">
        <f t="shared" ref="A5869:A5874" si="143">DATE(2000,11,13)</f>
        <v>36843</v>
      </c>
      <c r="B5869" s="3">
        <f>DATE(2000,12,19)</f>
        <v>36879</v>
      </c>
      <c r="C5869" s="2" t="s">
        <v>95</v>
      </c>
      <c r="D5869" s="2" t="s">
        <v>18050</v>
      </c>
      <c r="E5869" s="2" t="s">
        <v>18051</v>
      </c>
      <c r="F5869" s="4">
        <v>3845</v>
      </c>
      <c r="G5869" s="2" t="s">
        <v>226</v>
      </c>
      <c r="H5869" s="2" t="s">
        <v>34</v>
      </c>
      <c r="I5869" s="2" t="s">
        <v>18052</v>
      </c>
      <c r="J5869" s="2" t="s">
        <v>11036</v>
      </c>
      <c r="K5869" s="2" t="s">
        <v>226</v>
      </c>
      <c r="L5869" s="2" t="s">
        <v>2105</v>
      </c>
      <c r="M5869" s="2"/>
      <c r="N5869" s="2"/>
      <c r="O5869" s="2"/>
      <c r="P5869" s="2" t="s">
        <v>18053</v>
      </c>
      <c r="Q5869" s="6">
        <v>100</v>
      </c>
      <c r="R5869" s="6">
        <v>18.5</v>
      </c>
      <c r="S5869" s="5">
        <v>-0.3</v>
      </c>
      <c r="T5869" s="5">
        <v>38.4</v>
      </c>
      <c r="U5869" s="5">
        <v>5.5</v>
      </c>
      <c r="V5869" s="6">
        <v>-0.03</v>
      </c>
      <c r="W5869" s="7">
        <v>14.625</v>
      </c>
      <c r="X5869" s="7">
        <v>18.125</v>
      </c>
      <c r="Y5869" s="7">
        <v>18.312999999999999</v>
      </c>
      <c r="Z5869" s="7">
        <v>18.375</v>
      </c>
      <c r="AA5869" s="6">
        <v>20.99</v>
      </c>
      <c r="AB5869" s="7">
        <v>26.222999999999999</v>
      </c>
      <c r="AC5869" s="2"/>
    </row>
    <row r="5870" spans="1:29" ht="156" x14ac:dyDescent="0.15">
      <c r="A5870" s="3">
        <f t="shared" si="143"/>
        <v>36843</v>
      </c>
      <c r="B5870" s="2"/>
      <c r="C5870" s="2" t="s">
        <v>30</v>
      </c>
      <c r="D5870" s="2" t="s">
        <v>18054</v>
      </c>
      <c r="E5870" s="2" t="s">
        <v>18055</v>
      </c>
      <c r="F5870" s="4">
        <v>3663</v>
      </c>
      <c r="G5870" s="2" t="s">
        <v>921</v>
      </c>
      <c r="H5870" s="2" t="s">
        <v>34</v>
      </c>
      <c r="I5870" s="2" t="s">
        <v>18056</v>
      </c>
      <c r="J5870" s="2" t="s">
        <v>18057</v>
      </c>
      <c r="K5870" s="2" t="s">
        <v>921</v>
      </c>
      <c r="L5870" s="2" t="s">
        <v>34</v>
      </c>
      <c r="M5870" s="7">
        <v>759.99400000000003</v>
      </c>
      <c r="N5870" s="4">
        <v>9</v>
      </c>
      <c r="O5870" s="7">
        <v>8.8130000000000006</v>
      </c>
      <c r="P5870" s="2" t="s">
        <v>18058</v>
      </c>
      <c r="Q5870" s="2"/>
      <c r="R5870" s="6">
        <v>17.149999999999999</v>
      </c>
      <c r="S5870" s="5">
        <v>-19.399999999999999</v>
      </c>
      <c r="T5870" s="5">
        <v>-36.299999999999997</v>
      </c>
      <c r="U5870" s="5">
        <v>4.0999999999999996</v>
      </c>
      <c r="V5870" s="6">
        <v>-0.56999999999999995</v>
      </c>
      <c r="W5870" s="4">
        <v>14</v>
      </c>
      <c r="X5870" s="7">
        <v>12.813000000000001</v>
      </c>
      <c r="Y5870" s="9">
        <v>11.8125</v>
      </c>
      <c r="Z5870" s="4">
        <v>12</v>
      </c>
      <c r="AA5870" s="6">
        <v>37.700000000000003</v>
      </c>
      <c r="AB5870" s="2" t="s">
        <v>86</v>
      </c>
      <c r="AC5870" s="5">
        <v>1.9</v>
      </c>
    </row>
    <row r="5871" spans="1:29" ht="273" x14ac:dyDescent="0.15">
      <c r="A5871" s="3">
        <f t="shared" si="143"/>
        <v>36843</v>
      </c>
      <c r="B5871" s="3">
        <f>DATE(2001,2,12)</f>
        <v>36934</v>
      </c>
      <c r="C5871" s="2" t="s">
        <v>95</v>
      </c>
      <c r="D5871" s="2" t="s">
        <v>18059</v>
      </c>
      <c r="E5871" s="2" t="s">
        <v>18060</v>
      </c>
      <c r="F5871" s="4">
        <v>4731</v>
      </c>
      <c r="G5871" s="2" t="s">
        <v>173</v>
      </c>
      <c r="H5871" s="2" t="s">
        <v>34</v>
      </c>
      <c r="I5871" s="2" t="s">
        <v>18061</v>
      </c>
      <c r="J5871" s="2" t="s">
        <v>18062</v>
      </c>
      <c r="K5871" s="2" t="s">
        <v>59</v>
      </c>
      <c r="L5871" s="2" t="s">
        <v>34</v>
      </c>
      <c r="M5871" s="12">
        <v>11715.061</v>
      </c>
      <c r="N5871" s="6">
        <v>45.27</v>
      </c>
      <c r="O5871" s="6">
        <v>45.75</v>
      </c>
      <c r="P5871" s="2" t="s">
        <v>18063</v>
      </c>
      <c r="Q5871" s="6">
        <v>100</v>
      </c>
      <c r="R5871" s="6">
        <v>28.13</v>
      </c>
      <c r="S5871" s="5">
        <v>66.3</v>
      </c>
      <c r="T5871" s="5">
        <v>185.9</v>
      </c>
      <c r="U5871" s="5">
        <v>11.3</v>
      </c>
      <c r="V5871" s="6">
        <v>2.02</v>
      </c>
      <c r="W5871" s="4">
        <v>16</v>
      </c>
      <c r="X5871" s="5">
        <v>17.5</v>
      </c>
      <c r="Y5871" s="7">
        <v>27.625</v>
      </c>
      <c r="Z5871" s="6">
        <v>27.75</v>
      </c>
      <c r="AA5871" s="6">
        <v>32.380000000000003</v>
      </c>
      <c r="AB5871" s="7">
        <v>9.7850000000000001</v>
      </c>
      <c r="AC5871" s="5">
        <v>176.6</v>
      </c>
    </row>
    <row r="5872" spans="1:29" ht="130" x14ac:dyDescent="0.15">
      <c r="A5872" s="3">
        <f t="shared" si="143"/>
        <v>36843</v>
      </c>
      <c r="B5872" s="2"/>
      <c r="C5872" s="2" t="s">
        <v>30</v>
      </c>
      <c r="D5872" s="2" t="s">
        <v>7964</v>
      </c>
      <c r="E5872" s="2" t="s">
        <v>4060</v>
      </c>
      <c r="F5872" s="4">
        <v>6282</v>
      </c>
      <c r="G5872" s="2" t="s">
        <v>53</v>
      </c>
      <c r="H5872" s="2" t="s">
        <v>34</v>
      </c>
      <c r="I5872" s="2" t="s">
        <v>248</v>
      </c>
      <c r="J5872" s="2" t="s">
        <v>249</v>
      </c>
      <c r="K5872" s="2" t="s">
        <v>250</v>
      </c>
      <c r="L5872" s="2" t="s">
        <v>34</v>
      </c>
      <c r="M5872" s="12">
        <v>1285.6489999999999</v>
      </c>
      <c r="N5872" s="7">
        <v>24.937999999999999</v>
      </c>
      <c r="O5872" s="7">
        <v>26.312999999999999</v>
      </c>
      <c r="P5872" s="2" t="s">
        <v>18064</v>
      </c>
      <c r="Q5872" s="2"/>
      <c r="R5872" s="2"/>
      <c r="S5872" s="5">
        <v>90.8</v>
      </c>
      <c r="T5872" s="5">
        <v>964.3</v>
      </c>
      <c r="U5872" s="5">
        <v>23.3</v>
      </c>
      <c r="V5872" s="6">
        <v>0.59</v>
      </c>
      <c r="W5872" s="4">
        <v>3</v>
      </c>
      <c r="X5872" s="7">
        <v>2.5630000000000002</v>
      </c>
      <c r="Y5872" s="9">
        <v>2.6875</v>
      </c>
      <c r="Z5872" s="7">
        <v>2.375</v>
      </c>
      <c r="AA5872" s="6">
        <v>61.3</v>
      </c>
      <c r="AB5872" s="2" t="s">
        <v>47</v>
      </c>
      <c r="AC5872" s="5">
        <v>246.3</v>
      </c>
    </row>
    <row r="5873" spans="1:29" ht="169" x14ac:dyDescent="0.15">
      <c r="A5873" s="3">
        <f t="shared" si="143"/>
        <v>36843</v>
      </c>
      <c r="B5873" s="2"/>
      <c r="C5873" s="2" t="s">
        <v>30</v>
      </c>
      <c r="D5873" s="2" t="s">
        <v>9472</v>
      </c>
      <c r="E5873" s="2" t="s">
        <v>2278</v>
      </c>
      <c r="F5873" s="4">
        <v>2011</v>
      </c>
      <c r="G5873" s="2" t="s">
        <v>577</v>
      </c>
      <c r="H5873" s="2" t="s">
        <v>34</v>
      </c>
      <c r="I5873" s="2" t="s">
        <v>18065</v>
      </c>
      <c r="J5873" s="2" t="s">
        <v>18066</v>
      </c>
      <c r="K5873" s="2" t="s">
        <v>577</v>
      </c>
      <c r="L5873" s="2" t="s">
        <v>34</v>
      </c>
      <c r="M5873" s="12">
        <v>1512.1780000000001</v>
      </c>
      <c r="N5873" s="4">
        <v>28</v>
      </c>
      <c r="O5873" s="6">
        <v>27.75</v>
      </c>
      <c r="P5873" s="2" t="s">
        <v>18067</v>
      </c>
      <c r="Q5873" s="2"/>
      <c r="R5873" s="6">
        <v>25.02</v>
      </c>
      <c r="S5873" s="5">
        <v>253.2</v>
      </c>
      <c r="T5873" s="5">
        <v>555.70000000000005</v>
      </c>
      <c r="U5873" s="5">
        <v>17.899999999999999</v>
      </c>
      <c r="V5873" s="6">
        <v>2.46</v>
      </c>
      <c r="W5873" s="5">
        <v>17.5</v>
      </c>
      <c r="X5873" s="7">
        <v>18.312999999999999</v>
      </c>
      <c r="Y5873" s="6">
        <v>21.75</v>
      </c>
      <c r="Z5873" s="7">
        <v>21.687999999999999</v>
      </c>
      <c r="AA5873" s="6">
        <v>105.61</v>
      </c>
      <c r="AB5873" s="7">
        <v>7.9379999999999997</v>
      </c>
      <c r="AC5873" s="5">
        <v>46.2</v>
      </c>
    </row>
    <row r="5874" spans="1:29" ht="312" x14ac:dyDescent="0.15">
      <c r="A5874" s="3">
        <f t="shared" si="143"/>
        <v>36843</v>
      </c>
      <c r="B5874" s="3">
        <f>DATE(2002,3,14)</f>
        <v>37329</v>
      </c>
      <c r="C5874" s="2" t="s">
        <v>95</v>
      </c>
      <c r="D5874" s="2" t="s">
        <v>2230</v>
      </c>
      <c r="E5874" s="2" t="s">
        <v>2231</v>
      </c>
      <c r="F5874" s="2" t="s">
        <v>3218</v>
      </c>
      <c r="G5874" s="2" t="s">
        <v>426</v>
      </c>
      <c r="H5874" s="2" t="s">
        <v>34</v>
      </c>
      <c r="I5874" s="2" t="s">
        <v>18068</v>
      </c>
      <c r="J5874" s="2" t="s">
        <v>3217</v>
      </c>
      <c r="K5874" s="2" t="s">
        <v>426</v>
      </c>
      <c r="L5874" s="2" t="s">
        <v>34</v>
      </c>
      <c r="M5874" s="12">
        <v>8034.4070000000002</v>
      </c>
      <c r="N5874" s="7">
        <v>41.688000000000002</v>
      </c>
      <c r="O5874" s="7">
        <v>41.625</v>
      </c>
      <c r="P5874" s="2" t="s">
        <v>18069</v>
      </c>
      <c r="Q5874" s="6">
        <v>100</v>
      </c>
      <c r="R5874" s="6">
        <v>55.5</v>
      </c>
      <c r="S5874" s="5">
        <v>248.8</v>
      </c>
      <c r="T5874" s="5">
        <v>753.4</v>
      </c>
      <c r="U5874" s="5">
        <v>23.2</v>
      </c>
      <c r="V5874" s="6">
        <v>2.2599999999999998</v>
      </c>
      <c r="W5874" s="7">
        <v>35.313000000000002</v>
      </c>
      <c r="X5874" s="6">
        <v>34.75</v>
      </c>
      <c r="Y5874" s="7">
        <v>45.938000000000002</v>
      </c>
      <c r="Z5874" s="7">
        <v>46.125</v>
      </c>
      <c r="AA5874" s="6">
        <v>109.21</v>
      </c>
      <c r="AB5874" s="7">
        <v>16.814</v>
      </c>
      <c r="AC5874" s="5">
        <v>204</v>
      </c>
    </row>
    <row r="5875" spans="1:29" ht="169" x14ac:dyDescent="0.15">
      <c r="A5875" s="3">
        <f>DATE(2000,11,14)</f>
        <v>36844</v>
      </c>
      <c r="B5875" s="3">
        <f>DATE(2001,2,28)</f>
        <v>36950</v>
      </c>
      <c r="C5875" s="2" t="s">
        <v>95</v>
      </c>
      <c r="D5875" s="2" t="s">
        <v>18070</v>
      </c>
      <c r="E5875" s="2" t="s">
        <v>18071</v>
      </c>
      <c r="F5875" s="4">
        <v>6399</v>
      </c>
      <c r="G5875" s="2" t="s">
        <v>125</v>
      </c>
      <c r="H5875" s="2" t="s">
        <v>34</v>
      </c>
      <c r="I5875" s="2" t="s">
        <v>18072</v>
      </c>
      <c r="J5875" s="2" t="s">
        <v>18073</v>
      </c>
      <c r="K5875" s="2" t="s">
        <v>125</v>
      </c>
      <c r="L5875" s="2" t="s">
        <v>34</v>
      </c>
      <c r="M5875" s="12">
        <v>2319.7660000000001</v>
      </c>
      <c r="N5875" s="7">
        <v>66.375</v>
      </c>
      <c r="O5875" s="7">
        <v>67.563000000000002</v>
      </c>
      <c r="P5875" s="2" t="s">
        <v>18074</v>
      </c>
      <c r="Q5875" s="6">
        <v>100</v>
      </c>
      <c r="R5875" s="6">
        <v>14.12</v>
      </c>
      <c r="S5875" s="5">
        <v>14.4</v>
      </c>
      <c r="T5875" s="5">
        <v>14.6</v>
      </c>
      <c r="U5875" s="5">
        <v>18.3</v>
      </c>
      <c r="V5875" s="6">
        <v>0.37</v>
      </c>
      <c r="W5875" s="7">
        <v>13.563000000000001</v>
      </c>
      <c r="X5875" s="7">
        <v>13.813000000000001</v>
      </c>
      <c r="Y5875" s="4">
        <v>14</v>
      </c>
      <c r="Z5875" s="7">
        <v>14.313000000000001</v>
      </c>
      <c r="AA5875" s="6">
        <v>38.15</v>
      </c>
      <c r="AB5875" s="7">
        <v>45.649000000000001</v>
      </c>
      <c r="AC5875" s="5">
        <v>4</v>
      </c>
    </row>
    <row r="5876" spans="1:29" ht="156" x14ac:dyDescent="0.15">
      <c r="A5876" s="3">
        <f>DATE(2000,11,14)</f>
        <v>36844</v>
      </c>
      <c r="B5876" s="2"/>
      <c r="C5876" s="2" t="s">
        <v>30</v>
      </c>
      <c r="D5876" s="2" t="s">
        <v>17998</v>
      </c>
      <c r="E5876" s="2" t="s">
        <v>17999</v>
      </c>
      <c r="F5876" s="4">
        <v>5172</v>
      </c>
      <c r="G5876" s="2" t="s">
        <v>593</v>
      </c>
      <c r="H5876" s="2" t="s">
        <v>34</v>
      </c>
      <c r="I5876" s="2" t="s">
        <v>18075</v>
      </c>
      <c r="J5876" s="2" t="s">
        <v>8583</v>
      </c>
      <c r="K5876" s="2" t="s">
        <v>148</v>
      </c>
      <c r="L5876" s="2" t="s">
        <v>34</v>
      </c>
      <c r="M5876" s="2"/>
      <c r="N5876" s="2"/>
      <c r="O5876" s="2"/>
      <c r="P5876" s="2" t="s">
        <v>18076</v>
      </c>
      <c r="Q5876" s="2"/>
      <c r="R5876" s="6">
        <v>6</v>
      </c>
      <c r="S5876" s="5">
        <v>-4.0999999999999996</v>
      </c>
      <c r="T5876" s="7">
        <v>11.324999999999999</v>
      </c>
      <c r="U5876" s="5">
        <v>4.0999999999999996</v>
      </c>
      <c r="V5876" s="6">
        <v>-0.28999999999999998</v>
      </c>
      <c r="W5876" s="7">
        <v>3.375</v>
      </c>
      <c r="X5876" s="7">
        <v>3.4380000000000002</v>
      </c>
      <c r="Y5876" s="7">
        <v>4.8129999999999997</v>
      </c>
      <c r="Z5876" s="7">
        <v>4.8129999999999997</v>
      </c>
      <c r="AA5876" s="6">
        <v>14</v>
      </c>
      <c r="AB5876" s="2" t="s">
        <v>86</v>
      </c>
      <c r="AC5876" s="2"/>
    </row>
    <row r="5877" spans="1:29" ht="130" x14ac:dyDescent="0.15">
      <c r="A5877" s="3">
        <f>DATE(2000,11,14)</f>
        <v>36844</v>
      </c>
      <c r="B5877" s="3">
        <f>DATE(2001,2,15)</f>
        <v>36937</v>
      </c>
      <c r="C5877" s="2" t="s">
        <v>95</v>
      </c>
      <c r="D5877" s="2" t="s">
        <v>18077</v>
      </c>
      <c r="E5877" s="2" t="s">
        <v>49</v>
      </c>
      <c r="F5877" s="4">
        <v>3577</v>
      </c>
      <c r="G5877" s="2" t="s">
        <v>50</v>
      </c>
      <c r="H5877" s="2" t="s">
        <v>34</v>
      </c>
      <c r="I5877" s="2" t="s">
        <v>17758</v>
      </c>
      <c r="J5877" s="2" t="s">
        <v>17759</v>
      </c>
      <c r="K5877" s="2" t="s">
        <v>237</v>
      </c>
      <c r="L5877" s="2" t="s">
        <v>34</v>
      </c>
      <c r="M5877" s="12">
        <v>35942.749000000003</v>
      </c>
      <c r="N5877" s="4">
        <v>95</v>
      </c>
      <c r="O5877" s="7">
        <v>95.375</v>
      </c>
      <c r="P5877" s="2" t="s">
        <v>18078</v>
      </c>
      <c r="Q5877" s="6">
        <v>100</v>
      </c>
      <c r="R5877" s="6">
        <v>21</v>
      </c>
      <c r="S5877" s="5">
        <v>-3.2</v>
      </c>
      <c r="T5877" s="5">
        <v>1.6</v>
      </c>
      <c r="U5877" s="5">
        <v>9.9</v>
      </c>
      <c r="V5877" s="6">
        <v>-0.47</v>
      </c>
      <c r="W5877" s="7">
        <v>13.875</v>
      </c>
      <c r="X5877" s="7">
        <v>14.875</v>
      </c>
      <c r="Y5877" s="7">
        <v>20.562999999999999</v>
      </c>
      <c r="Z5877" s="7">
        <v>20.625</v>
      </c>
      <c r="AA5877" s="6">
        <v>6.49</v>
      </c>
      <c r="AB5877" s="2" t="s">
        <v>86</v>
      </c>
      <c r="AC5877" s="5">
        <v>323</v>
      </c>
    </row>
    <row r="5878" spans="1:29" ht="182" x14ac:dyDescent="0.15">
      <c r="A5878" s="3">
        <f>DATE(2000,11,15)</f>
        <v>36845</v>
      </c>
      <c r="B5878" s="3">
        <f>DATE(2001,8,10)</f>
        <v>37113</v>
      </c>
      <c r="C5878" s="2" t="s">
        <v>95</v>
      </c>
      <c r="D5878" s="2" t="s">
        <v>3558</v>
      </c>
      <c r="E5878" s="2" t="s">
        <v>1893</v>
      </c>
      <c r="F5878" s="4">
        <v>4841</v>
      </c>
      <c r="G5878" s="2" t="s">
        <v>45</v>
      </c>
      <c r="H5878" s="2" t="s">
        <v>34</v>
      </c>
      <c r="I5878" s="2" t="s">
        <v>278</v>
      </c>
      <c r="J5878" s="2" t="s">
        <v>52</v>
      </c>
      <c r="K5878" s="2" t="s">
        <v>53</v>
      </c>
      <c r="L5878" s="2" t="s">
        <v>34</v>
      </c>
      <c r="M5878" s="2"/>
      <c r="N5878" s="2"/>
      <c r="O5878" s="2"/>
      <c r="P5878" s="2" t="s">
        <v>18079</v>
      </c>
      <c r="Q5878" s="6">
        <v>100</v>
      </c>
      <c r="R5878" s="2"/>
      <c r="S5878" s="8">
        <v>-1459</v>
      </c>
      <c r="T5878" s="5">
        <v>987</v>
      </c>
      <c r="U5878" s="5">
        <v>13.2</v>
      </c>
      <c r="V5878" s="2"/>
      <c r="W5878" s="7">
        <v>17.937999999999999</v>
      </c>
      <c r="X5878" s="7">
        <v>15.563000000000001</v>
      </c>
      <c r="Y5878" s="7">
        <v>15.625</v>
      </c>
      <c r="Z5878" s="7">
        <v>16.625</v>
      </c>
      <c r="AA5878" s="10">
        <v>2587.8000000000002</v>
      </c>
      <c r="AB5878" s="7">
        <v>902.76400000000001</v>
      </c>
      <c r="AC5878" s="2"/>
    </row>
    <row r="5879" spans="1:29" ht="130" x14ac:dyDescent="0.15">
      <c r="A5879" s="3">
        <f>DATE(2000,11,16)</f>
        <v>36846</v>
      </c>
      <c r="B5879" s="3">
        <f>DATE(2001,7,17)</f>
        <v>37089</v>
      </c>
      <c r="C5879" s="2" t="s">
        <v>95</v>
      </c>
      <c r="D5879" s="2" t="s">
        <v>18080</v>
      </c>
      <c r="E5879" s="2" t="s">
        <v>18081</v>
      </c>
      <c r="F5879" s="4">
        <v>5812</v>
      </c>
      <c r="G5879" s="2" t="s">
        <v>230</v>
      </c>
      <c r="H5879" s="2" t="s">
        <v>34</v>
      </c>
      <c r="I5879" s="2" t="s">
        <v>11303</v>
      </c>
      <c r="J5879" s="2" t="s">
        <v>244</v>
      </c>
      <c r="K5879" s="2" t="s">
        <v>53</v>
      </c>
      <c r="L5879" s="2" t="s">
        <v>34</v>
      </c>
      <c r="M5879" s="2"/>
      <c r="N5879" s="2"/>
      <c r="O5879" s="2"/>
      <c r="P5879" s="2" t="s">
        <v>18082</v>
      </c>
      <c r="Q5879" s="6">
        <v>100</v>
      </c>
      <c r="R5879" s="6">
        <v>12</v>
      </c>
      <c r="S5879" s="5">
        <v>3.7</v>
      </c>
      <c r="T5879" s="5">
        <v>17.8</v>
      </c>
      <c r="U5879" s="5">
        <v>8.3000000000000007</v>
      </c>
      <c r="V5879" s="6">
        <v>0.62</v>
      </c>
      <c r="W5879" s="7">
        <v>9.6880000000000006</v>
      </c>
      <c r="X5879" s="7">
        <v>9.3130000000000006</v>
      </c>
      <c r="Y5879" s="9">
        <v>12.6875</v>
      </c>
      <c r="Z5879" s="7">
        <v>12.625</v>
      </c>
      <c r="AA5879" s="6">
        <v>5.81</v>
      </c>
      <c r="AB5879" s="7">
        <v>12.862</v>
      </c>
      <c r="AC5879" s="2"/>
    </row>
    <row r="5880" spans="1:29" ht="117" x14ac:dyDescent="0.15">
      <c r="A5880" s="3">
        <f>DATE(2000,11,17)</f>
        <v>36847</v>
      </c>
      <c r="B5880" s="2"/>
      <c r="C5880" s="2" t="s">
        <v>30</v>
      </c>
      <c r="D5880" s="2" t="s">
        <v>18083</v>
      </c>
      <c r="E5880" s="2" t="s">
        <v>18084</v>
      </c>
      <c r="F5880" s="4">
        <v>2844</v>
      </c>
      <c r="G5880" s="2" t="s">
        <v>358</v>
      </c>
      <c r="H5880" s="2" t="s">
        <v>34</v>
      </c>
      <c r="I5880" s="2" t="s">
        <v>18085</v>
      </c>
      <c r="J5880" s="2" t="s">
        <v>1072</v>
      </c>
      <c r="K5880" s="2" t="s">
        <v>53</v>
      </c>
      <c r="L5880" s="2" t="s">
        <v>303</v>
      </c>
      <c r="M5880" s="2"/>
      <c r="N5880" s="2"/>
      <c r="O5880" s="2"/>
      <c r="P5880" s="2" t="s">
        <v>18086</v>
      </c>
      <c r="Q5880" s="2"/>
      <c r="R5880" s="6">
        <v>21</v>
      </c>
      <c r="S5880" s="5">
        <v>10.4</v>
      </c>
      <c r="T5880" s="5">
        <v>26.5</v>
      </c>
      <c r="U5880" s="5">
        <v>10.3</v>
      </c>
      <c r="V5880" s="6">
        <v>1.44</v>
      </c>
      <c r="W5880" s="4">
        <v>16</v>
      </c>
      <c r="X5880" s="6">
        <v>16.75</v>
      </c>
      <c r="Y5880" s="7">
        <v>18.312999999999999</v>
      </c>
      <c r="Z5880" s="6">
        <v>17.75</v>
      </c>
      <c r="AA5880" s="6">
        <v>6.61</v>
      </c>
      <c r="AB5880" s="7">
        <v>9.2739999999999991</v>
      </c>
      <c r="AC5880" s="2"/>
    </row>
    <row r="5881" spans="1:29" ht="52" x14ac:dyDescent="0.15">
      <c r="A5881" s="3">
        <f>DATE(2000,11,19)</f>
        <v>36849</v>
      </c>
      <c r="B5881" s="2"/>
      <c r="C5881" s="2" t="s">
        <v>30</v>
      </c>
      <c r="D5881" s="2" t="s">
        <v>5461</v>
      </c>
      <c r="E5881" s="2" t="s">
        <v>5462</v>
      </c>
      <c r="F5881" s="4">
        <v>2045</v>
      </c>
      <c r="G5881" s="2" t="s">
        <v>577</v>
      </c>
      <c r="H5881" s="2" t="s">
        <v>34</v>
      </c>
      <c r="I5881" s="2" t="s">
        <v>18087</v>
      </c>
      <c r="J5881" s="2" t="s">
        <v>18088</v>
      </c>
      <c r="K5881" s="2" t="s">
        <v>577</v>
      </c>
      <c r="L5881" s="2" t="s">
        <v>34</v>
      </c>
      <c r="M5881" s="12">
        <v>135924.72899999999</v>
      </c>
      <c r="N5881" s="7">
        <v>56.563000000000002</v>
      </c>
      <c r="O5881" s="7">
        <v>56.563000000000002</v>
      </c>
      <c r="P5881" s="2" t="s">
        <v>18089</v>
      </c>
      <c r="Q5881" s="2"/>
      <c r="R5881" s="2"/>
      <c r="S5881" s="5">
        <v>371.1</v>
      </c>
      <c r="T5881" s="5">
        <v>900.2</v>
      </c>
      <c r="U5881" s="5">
        <v>2.4</v>
      </c>
      <c r="V5881" s="6">
        <v>2.68</v>
      </c>
      <c r="W5881" s="7">
        <v>86.563000000000002</v>
      </c>
      <c r="X5881" s="7">
        <v>90.313000000000002</v>
      </c>
      <c r="Y5881" s="4">
        <v>95</v>
      </c>
      <c r="Z5881" s="4">
        <v>95</v>
      </c>
      <c r="AA5881" s="6">
        <v>131.08000000000001</v>
      </c>
      <c r="AB5881" s="2" t="s">
        <v>47</v>
      </c>
      <c r="AC5881" s="8">
        <v>2945</v>
      </c>
    </row>
    <row r="5882" spans="1:29" ht="130" x14ac:dyDescent="0.15">
      <c r="A5882" s="3">
        <f>DATE(2000,11,20)</f>
        <v>36850</v>
      </c>
      <c r="B5882" s="3">
        <f>DATE(2001,4,16)</f>
        <v>36997</v>
      </c>
      <c r="C5882" s="2" t="s">
        <v>95</v>
      </c>
      <c r="D5882" s="2" t="s">
        <v>18090</v>
      </c>
      <c r="E5882" s="2" t="s">
        <v>18091</v>
      </c>
      <c r="F5882" s="4">
        <v>3559</v>
      </c>
      <c r="G5882" s="2" t="s">
        <v>300</v>
      </c>
      <c r="H5882" s="2" t="s">
        <v>34</v>
      </c>
      <c r="I5882" s="2" t="s">
        <v>18092</v>
      </c>
      <c r="J5882" s="2" t="s">
        <v>14397</v>
      </c>
      <c r="K5882" s="2" t="s">
        <v>300</v>
      </c>
      <c r="L5882" s="2" t="s">
        <v>34</v>
      </c>
      <c r="M5882" s="7">
        <v>666.56600000000003</v>
      </c>
      <c r="N5882" s="4">
        <v>10</v>
      </c>
      <c r="O5882" s="7">
        <v>10.438000000000001</v>
      </c>
      <c r="P5882" s="2" t="s">
        <v>18093</v>
      </c>
      <c r="Q5882" s="6">
        <v>100</v>
      </c>
      <c r="R5882" s="6">
        <v>27.94</v>
      </c>
      <c r="S5882" s="5">
        <v>-1.4</v>
      </c>
      <c r="T5882" s="5">
        <v>5.4</v>
      </c>
      <c r="U5882" s="5">
        <v>7.5</v>
      </c>
      <c r="V5882" s="6">
        <v>-0.15</v>
      </c>
      <c r="W5882" s="6">
        <v>12.25</v>
      </c>
      <c r="X5882" s="5">
        <v>11.5</v>
      </c>
      <c r="Y5882" s="5">
        <v>22.5</v>
      </c>
      <c r="Z5882" s="6">
        <v>23.25</v>
      </c>
      <c r="AA5882" s="6">
        <v>9.58</v>
      </c>
      <c r="AB5882" s="2" t="s">
        <v>86</v>
      </c>
      <c r="AC5882" s="5">
        <v>4</v>
      </c>
    </row>
    <row r="5883" spans="1:29" ht="195" x14ac:dyDescent="0.15">
      <c r="A5883" s="3">
        <f>DATE(2000,11,20)</f>
        <v>36850</v>
      </c>
      <c r="B5883" s="3">
        <f>DATE(2001,4,2)</f>
        <v>36983</v>
      </c>
      <c r="C5883" s="2" t="s">
        <v>95</v>
      </c>
      <c r="D5883" s="2" t="s">
        <v>4392</v>
      </c>
      <c r="E5883" s="2" t="s">
        <v>263</v>
      </c>
      <c r="F5883" s="4">
        <v>6022</v>
      </c>
      <c r="G5883" s="2" t="s">
        <v>37</v>
      </c>
      <c r="H5883" s="2" t="s">
        <v>34</v>
      </c>
      <c r="I5883" s="2" t="s">
        <v>1963</v>
      </c>
      <c r="J5883" s="2" t="s">
        <v>36</v>
      </c>
      <c r="K5883" s="2" t="s">
        <v>37</v>
      </c>
      <c r="L5883" s="2" t="s">
        <v>34</v>
      </c>
      <c r="M5883" s="12">
        <v>23585.911</v>
      </c>
      <c r="N5883" s="7">
        <v>46.375</v>
      </c>
      <c r="O5883" s="5">
        <v>46.5</v>
      </c>
      <c r="P5883" s="2" t="s">
        <v>18094</v>
      </c>
      <c r="Q5883" s="6">
        <v>100</v>
      </c>
      <c r="R5883" s="6">
        <v>35.57</v>
      </c>
      <c r="S5883" s="5">
        <v>265.60000000000002</v>
      </c>
      <c r="T5883" s="5">
        <v>446.8</v>
      </c>
      <c r="U5883" s="5">
        <v>11.6</v>
      </c>
      <c r="V5883" s="6">
        <v>2.0099999999999998</v>
      </c>
      <c r="W5883" s="5">
        <v>25.5</v>
      </c>
      <c r="X5883" s="4">
        <v>25</v>
      </c>
      <c r="Y5883" s="7">
        <v>33.563000000000002</v>
      </c>
      <c r="Z5883" s="5">
        <v>33.5</v>
      </c>
      <c r="AA5883" s="6">
        <v>138.44</v>
      </c>
      <c r="AB5883" s="7">
        <v>64.831999999999994</v>
      </c>
      <c r="AC5883" s="5">
        <v>779.6</v>
      </c>
    </row>
    <row r="5884" spans="1:29" ht="65" x14ac:dyDescent="0.15">
      <c r="A5884" s="3">
        <f>DATE(2000,11,20)</f>
        <v>36850</v>
      </c>
      <c r="B5884" s="3">
        <f>DATE(2000,12,19)</f>
        <v>36879</v>
      </c>
      <c r="C5884" s="2" t="s">
        <v>95</v>
      </c>
      <c r="D5884" s="2" t="s">
        <v>18095</v>
      </c>
      <c r="E5884" s="2" t="s">
        <v>18096</v>
      </c>
      <c r="F5884" s="4">
        <v>3421</v>
      </c>
      <c r="G5884" s="2" t="s">
        <v>163</v>
      </c>
      <c r="H5884" s="2" t="s">
        <v>34</v>
      </c>
      <c r="I5884" s="2" t="s">
        <v>18097</v>
      </c>
      <c r="J5884" s="2" t="s">
        <v>18098</v>
      </c>
      <c r="K5884" s="2" t="s">
        <v>163</v>
      </c>
      <c r="L5884" s="2" t="s">
        <v>215</v>
      </c>
      <c r="M5884" s="2"/>
      <c r="N5884" s="2"/>
      <c r="O5884" s="2"/>
      <c r="P5884" s="2" t="s">
        <v>18099</v>
      </c>
      <c r="Q5884" s="6">
        <v>23.78</v>
      </c>
      <c r="R5884" s="6">
        <v>5</v>
      </c>
      <c r="S5884" s="5">
        <v>0.1</v>
      </c>
      <c r="T5884" s="5">
        <v>7.8</v>
      </c>
      <c r="U5884" s="5">
        <v>9.6999999999999993</v>
      </c>
      <c r="V5884" s="6">
        <v>0.01</v>
      </c>
      <c r="W5884" s="7">
        <v>5.9379999999999997</v>
      </c>
      <c r="X5884" s="7">
        <v>5.6879999999999997</v>
      </c>
      <c r="Y5884" s="7">
        <v>6.1879999999999997</v>
      </c>
      <c r="Z5884" s="5">
        <v>5.5</v>
      </c>
      <c r="AA5884" s="6">
        <v>8.07</v>
      </c>
      <c r="AB5884" s="7">
        <v>10.926</v>
      </c>
      <c r="AC5884" s="2"/>
    </row>
    <row r="5885" spans="1:29" ht="130" x14ac:dyDescent="0.15">
      <c r="A5885" s="3">
        <f>DATE(2000,11,21)</f>
        <v>36851</v>
      </c>
      <c r="B5885" s="3">
        <f>DATE(2001,3,23)</f>
        <v>36973</v>
      </c>
      <c r="C5885" s="2" t="s">
        <v>95</v>
      </c>
      <c r="D5885" s="2" t="s">
        <v>7820</v>
      </c>
      <c r="E5885" s="2" t="s">
        <v>7821</v>
      </c>
      <c r="F5885" s="4">
        <v>6021</v>
      </c>
      <c r="G5885" s="2" t="s">
        <v>37</v>
      </c>
      <c r="H5885" s="2" t="s">
        <v>34</v>
      </c>
      <c r="I5885" s="2" t="s">
        <v>8768</v>
      </c>
      <c r="J5885" s="2" t="s">
        <v>3780</v>
      </c>
      <c r="K5885" s="2" t="s">
        <v>37</v>
      </c>
      <c r="L5885" s="2" t="s">
        <v>34</v>
      </c>
      <c r="M5885" s="12">
        <v>1073.671</v>
      </c>
      <c r="N5885" s="6">
        <v>91.25</v>
      </c>
      <c r="O5885" s="4">
        <v>90</v>
      </c>
      <c r="P5885" s="2" t="s">
        <v>18100</v>
      </c>
      <c r="Q5885" s="6">
        <v>100</v>
      </c>
      <c r="R5885" s="6">
        <v>25.99</v>
      </c>
      <c r="S5885" s="5">
        <v>17.2</v>
      </c>
      <c r="T5885" s="2"/>
      <c r="U5885" s="5">
        <v>10.4</v>
      </c>
      <c r="V5885" s="6">
        <v>1.43</v>
      </c>
      <c r="W5885" s="6">
        <v>18.25</v>
      </c>
      <c r="X5885" s="4">
        <v>18</v>
      </c>
      <c r="Y5885" s="6">
        <v>23.75</v>
      </c>
      <c r="Z5885" s="4">
        <v>23</v>
      </c>
      <c r="AA5885" s="6">
        <v>11.79</v>
      </c>
      <c r="AB5885" s="7">
        <v>16.492000000000001</v>
      </c>
      <c r="AC5885" s="5">
        <v>101.7</v>
      </c>
    </row>
    <row r="5886" spans="1:29" ht="130" x14ac:dyDescent="0.15">
      <c r="A5886" s="3">
        <f>DATE(2000,11,24)</f>
        <v>36854</v>
      </c>
      <c r="B5886" s="3">
        <f>DATE(2001,5,11)</f>
        <v>37022</v>
      </c>
      <c r="C5886" s="2" t="s">
        <v>95</v>
      </c>
      <c r="D5886" s="2" t="s">
        <v>16776</v>
      </c>
      <c r="E5886" s="2" t="s">
        <v>36</v>
      </c>
      <c r="F5886" s="4">
        <v>6036</v>
      </c>
      <c r="G5886" s="2" t="s">
        <v>33</v>
      </c>
      <c r="H5886" s="2" t="s">
        <v>34</v>
      </c>
      <c r="I5886" s="2" t="s">
        <v>14410</v>
      </c>
      <c r="J5886" s="2" t="s">
        <v>7190</v>
      </c>
      <c r="K5886" s="2" t="s">
        <v>37</v>
      </c>
      <c r="L5886" s="2" t="s">
        <v>34</v>
      </c>
      <c r="M5886" s="7">
        <v>213.05699999999999</v>
      </c>
      <c r="N5886" s="7">
        <v>13.438000000000001</v>
      </c>
      <c r="O5886" s="7">
        <v>12.813000000000001</v>
      </c>
      <c r="P5886" s="2" t="s">
        <v>18101</v>
      </c>
      <c r="Q5886" s="6">
        <v>100</v>
      </c>
      <c r="R5886" s="6">
        <v>19.5</v>
      </c>
      <c r="S5886" s="5">
        <v>5.7</v>
      </c>
      <c r="T5886" s="5">
        <v>10.5</v>
      </c>
      <c r="U5886" s="5">
        <v>15.6</v>
      </c>
      <c r="V5886" s="6">
        <v>0.74</v>
      </c>
      <c r="W5886" s="6">
        <v>9.75</v>
      </c>
      <c r="X5886" s="7">
        <v>9.8130000000000006</v>
      </c>
      <c r="Y5886" s="7">
        <v>9.8130000000000006</v>
      </c>
      <c r="Z5886" s="4">
        <v>11</v>
      </c>
      <c r="AA5886" s="6">
        <v>7.91</v>
      </c>
      <c r="AB5886" s="7">
        <v>85.36</v>
      </c>
      <c r="AC5886" s="5">
        <v>29</v>
      </c>
    </row>
    <row r="5887" spans="1:29" ht="91" x14ac:dyDescent="0.15">
      <c r="A5887" s="3">
        <f>DATE(2000,11,27)</f>
        <v>36857</v>
      </c>
      <c r="B5887" s="3">
        <f>DATE(2001,9,4)</f>
        <v>37138</v>
      </c>
      <c r="C5887" s="2" t="s">
        <v>95</v>
      </c>
      <c r="D5887" s="2" t="s">
        <v>18102</v>
      </c>
      <c r="E5887" s="2" t="s">
        <v>13328</v>
      </c>
      <c r="F5887" s="4">
        <v>3669</v>
      </c>
      <c r="G5887" s="2" t="s">
        <v>921</v>
      </c>
      <c r="H5887" s="2" t="s">
        <v>34</v>
      </c>
      <c r="I5887" s="2" t="s">
        <v>18103</v>
      </c>
      <c r="J5887" s="2" t="s">
        <v>973</v>
      </c>
      <c r="K5887" s="2" t="s">
        <v>63</v>
      </c>
      <c r="L5887" s="2" t="s">
        <v>34</v>
      </c>
      <c r="M5887" s="2"/>
      <c r="N5887" s="5">
        <v>94.2</v>
      </c>
      <c r="O5887" s="6">
        <v>91.25</v>
      </c>
      <c r="P5887" s="2" t="s">
        <v>18104</v>
      </c>
      <c r="Q5887" s="6">
        <v>100</v>
      </c>
      <c r="R5887" s="2"/>
      <c r="S5887" s="5">
        <v>1.6</v>
      </c>
      <c r="T5887" s="7">
        <v>11.151999999999999</v>
      </c>
      <c r="U5887" s="5">
        <v>5.4</v>
      </c>
      <c r="V5887" s="6">
        <v>0.3</v>
      </c>
      <c r="W5887" s="4">
        <v>16</v>
      </c>
      <c r="X5887" s="4">
        <v>16</v>
      </c>
      <c r="Y5887" s="7">
        <v>33.625</v>
      </c>
      <c r="Z5887" s="6">
        <v>33.75</v>
      </c>
      <c r="AA5887" s="6">
        <v>5.37</v>
      </c>
      <c r="AB5887" s="7">
        <v>47.92</v>
      </c>
      <c r="AC5887" s="2"/>
    </row>
    <row r="5888" spans="1:29" ht="169" x14ac:dyDescent="0.15">
      <c r="A5888" s="3">
        <f>DATE(2000,11,27)</f>
        <v>36857</v>
      </c>
      <c r="B5888" s="3">
        <f>DATE(2001,1,5)</f>
        <v>36896</v>
      </c>
      <c r="C5888" s="2" t="s">
        <v>95</v>
      </c>
      <c r="D5888" s="2" t="s">
        <v>18105</v>
      </c>
      <c r="E5888" s="2" t="s">
        <v>18106</v>
      </c>
      <c r="F5888" s="4">
        <v>7372</v>
      </c>
      <c r="G5888" s="2" t="s">
        <v>551</v>
      </c>
      <c r="H5888" s="2" t="s">
        <v>34</v>
      </c>
      <c r="I5888" s="2" t="s">
        <v>18107</v>
      </c>
      <c r="J5888" s="2" t="s">
        <v>18108</v>
      </c>
      <c r="K5888" s="2" t="s">
        <v>226</v>
      </c>
      <c r="L5888" s="2" t="s">
        <v>34</v>
      </c>
      <c r="M5888" s="12">
        <v>20612.163</v>
      </c>
      <c r="N5888" s="5">
        <v>50.5</v>
      </c>
      <c r="O5888" s="7">
        <v>50.688000000000002</v>
      </c>
      <c r="P5888" s="2" t="s">
        <v>18109</v>
      </c>
      <c r="Q5888" s="6">
        <v>100</v>
      </c>
      <c r="R5888" s="6">
        <v>17.75</v>
      </c>
      <c r="S5888" s="5">
        <v>4.3</v>
      </c>
      <c r="T5888" s="5">
        <v>9.4</v>
      </c>
      <c r="U5888" s="5">
        <v>1.4</v>
      </c>
      <c r="V5888" s="6">
        <v>0.11</v>
      </c>
      <c r="W5888" s="7">
        <v>9.875</v>
      </c>
      <c r="X5888" s="5">
        <v>13.5</v>
      </c>
      <c r="Y5888" s="5">
        <v>17.5</v>
      </c>
      <c r="Z5888" s="5">
        <v>17.5</v>
      </c>
      <c r="AA5888" s="6">
        <v>37.270000000000003</v>
      </c>
      <c r="AB5888" s="7">
        <v>220.99199999999999</v>
      </c>
      <c r="AC5888" s="5">
        <v>703</v>
      </c>
    </row>
    <row r="5889" spans="1:29" ht="91" x14ac:dyDescent="0.15">
      <c r="A5889" s="3">
        <f>DATE(2000,11,27)</f>
        <v>36857</v>
      </c>
      <c r="B5889" s="2"/>
      <c r="C5889" s="2" t="s">
        <v>30</v>
      </c>
      <c r="D5889" s="2" t="s">
        <v>18110</v>
      </c>
      <c r="E5889" s="2" t="s">
        <v>18111</v>
      </c>
      <c r="F5889" s="4">
        <v>3845</v>
      </c>
      <c r="G5889" s="2" t="s">
        <v>226</v>
      </c>
      <c r="H5889" s="2" t="s">
        <v>34</v>
      </c>
      <c r="I5889" s="2" t="s">
        <v>18112</v>
      </c>
      <c r="J5889" s="2" t="s">
        <v>18113</v>
      </c>
      <c r="K5889" s="2" t="s">
        <v>226</v>
      </c>
      <c r="L5889" s="2" t="s">
        <v>34</v>
      </c>
      <c r="M5889" s="7">
        <v>187.12200000000001</v>
      </c>
      <c r="N5889" s="7">
        <v>6.6879999999999997</v>
      </c>
      <c r="O5889" s="7">
        <v>6.2190000000000003</v>
      </c>
      <c r="P5889" s="2" t="s">
        <v>18114</v>
      </c>
      <c r="Q5889" s="2"/>
      <c r="R5889" s="6">
        <v>15</v>
      </c>
      <c r="S5889" s="5">
        <v>-3.1</v>
      </c>
      <c r="T5889" s="5">
        <v>10.4</v>
      </c>
      <c r="U5889" s="5">
        <v>16.899999999999999</v>
      </c>
      <c r="V5889" s="6">
        <v>-0.32</v>
      </c>
      <c r="W5889" s="7">
        <v>11.938000000000001</v>
      </c>
      <c r="X5889" s="6">
        <v>13.25</v>
      </c>
      <c r="Y5889" s="6">
        <v>13.25</v>
      </c>
      <c r="Z5889" s="7">
        <v>13.625</v>
      </c>
      <c r="AA5889" s="6">
        <v>9.5500000000000007</v>
      </c>
      <c r="AB5889" s="7">
        <v>196.19200000000001</v>
      </c>
      <c r="AC5889" s="2"/>
    </row>
    <row r="5890" spans="1:29" ht="39" x14ac:dyDescent="0.15">
      <c r="A5890" s="3">
        <f>DATE(2000,11,28)</f>
        <v>36858</v>
      </c>
      <c r="B5890" s="2"/>
      <c r="C5890" s="2" t="s">
        <v>189</v>
      </c>
      <c r="D5890" s="2" t="s">
        <v>7616</v>
      </c>
      <c r="E5890" s="2" t="s">
        <v>7617</v>
      </c>
      <c r="F5890" s="4">
        <v>2899</v>
      </c>
      <c r="G5890" s="2" t="s">
        <v>98</v>
      </c>
      <c r="H5890" s="2" t="s">
        <v>34</v>
      </c>
      <c r="I5890" s="2" t="s">
        <v>143</v>
      </c>
      <c r="J5890" s="2" t="s">
        <v>144</v>
      </c>
      <c r="K5890" s="2" t="s">
        <v>53</v>
      </c>
      <c r="L5890" s="2" t="s">
        <v>139</v>
      </c>
      <c r="M5890" s="2"/>
      <c r="N5890" s="2"/>
      <c r="O5890" s="2"/>
      <c r="P5890" s="2" t="s">
        <v>18115</v>
      </c>
      <c r="Q5890" s="2"/>
      <c r="R5890" s="2"/>
      <c r="S5890" s="5">
        <v>144</v>
      </c>
      <c r="T5890" s="5">
        <v>668</v>
      </c>
      <c r="U5890" s="5">
        <v>8</v>
      </c>
      <c r="V5890" s="6">
        <v>1.34</v>
      </c>
      <c r="W5890" s="5">
        <v>18.5</v>
      </c>
      <c r="X5890" s="7">
        <v>18.937999999999999</v>
      </c>
      <c r="Y5890" s="9">
        <v>19.3125</v>
      </c>
      <c r="Z5890" s="7">
        <v>19.125</v>
      </c>
      <c r="AA5890" s="6">
        <v>107.43</v>
      </c>
      <c r="AB5890" s="2" t="s">
        <v>47</v>
      </c>
      <c r="AC5890" s="2"/>
    </row>
    <row r="5891" spans="1:29" ht="143" x14ac:dyDescent="0.15">
      <c r="A5891" s="3">
        <f>DATE(2000,11,29)</f>
        <v>36859</v>
      </c>
      <c r="B5891" s="3">
        <f>DATE(2001,5,14)</f>
        <v>37025</v>
      </c>
      <c r="C5891" s="2" t="s">
        <v>95</v>
      </c>
      <c r="D5891" s="2" t="s">
        <v>18116</v>
      </c>
      <c r="E5891" s="2" t="s">
        <v>17873</v>
      </c>
      <c r="F5891" s="4">
        <v>6022</v>
      </c>
      <c r="G5891" s="2" t="s">
        <v>37</v>
      </c>
      <c r="H5891" s="2" t="s">
        <v>34</v>
      </c>
      <c r="I5891" s="2" t="s">
        <v>18117</v>
      </c>
      <c r="J5891" s="2" t="s">
        <v>36</v>
      </c>
      <c r="K5891" s="2" t="s">
        <v>37</v>
      </c>
      <c r="L5891" s="2" t="s">
        <v>34</v>
      </c>
      <c r="M5891" s="7">
        <v>172.38900000000001</v>
      </c>
      <c r="N5891" s="5">
        <v>24.1</v>
      </c>
      <c r="O5891" s="6">
        <v>22.15</v>
      </c>
      <c r="P5891" s="2" t="s">
        <v>18118</v>
      </c>
      <c r="Q5891" s="6">
        <v>100</v>
      </c>
      <c r="R5891" s="6">
        <v>13.61</v>
      </c>
      <c r="S5891" s="5">
        <v>5</v>
      </c>
      <c r="T5891" s="2"/>
      <c r="U5891" s="5">
        <v>9.4</v>
      </c>
      <c r="V5891" s="6">
        <v>0.79</v>
      </c>
      <c r="W5891" s="4">
        <v>13</v>
      </c>
      <c r="X5891" s="6">
        <v>13.25</v>
      </c>
      <c r="Y5891" s="6">
        <v>13.25</v>
      </c>
      <c r="Z5891" s="7">
        <v>12.375</v>
      </c>
      <c r="AA5891" s="6">
        <v>6.43</v>
      </c>
      <c r="AB5891" s="7">
        <v>15.555999999999999</v>
      </c>
      <c r="AC5891" s="5">
        <v>68.5</v>
      </c>
    </row>
    <row r="5892" spans="1:29" ht="208" x14ac:dyDescent="0.15">
      <c r="A5892" s="3">
        <f>DATE(2000,11,30)</f>
        <v>36860</v>
      </c>
      <c r="B5892" s="3">
        <f>DATE(2001,10,29)</f>
        <v>37193</v>
      </c>
      <c r="C5892" s="2" t="s">
        <v>95</v>
      </c>
      <c r="D5892" s="2" t="s">
        <v>18119</v>
      </c>
      <c r="E5892" s="2" t="s">
        <v>92</v>
      </c>
      <c r="F5892" s="4">
        <v>6798</v>
      </c>
      <c r="G5892" s="2" t="s">
        <v>53</v>
      </c>
      <c r="H5892" s="2" t="s">
        <v>34</v>
      </c>
      <c r="I5892" s="2" t="s">
        <v>51</v>
      </c>
      <c r="J5892" s="2" t="s">
        <v>52</v>
      </c>
      <c r="K5892" s="2" t="s">
        <v>53</v>
      </c>
      <c r="L5892" s="2" t="s">
        <v>34</v>
      </c>
      <c r="M5892" s="2"/>
      <c r="N5892" s="2"/>
      <c r="O5892" s="2"/>
      <c r="P5892" s="2" t="s">
        <v>18120</v>
      </c>
      <c r="Q5892" s="6">
        <v>71.959999999999994</v>
      </c>
      <c r="R5892" s="6">
        <v>13</v>
      </c>
      <c r="S5892" s="5">
        <v>5.2</v>
      </c>
      <c r="T5892" s="7">
        <v>23.466000000000001</v>
      </c>
      <c r="U5892" s="5">
        <v>16.3</v>
      </c>
      <c r="V5892" s="6">
        <v>-0.74</v>
      </c>
      <c r="W5892" s="6">
        <v>7.75</v>
      </c>
      <c r="X5892" s="4">
        <v>8</v>
      </c>
      <c r="Y5892" s="7">
        <v>8.125</v>
      </c>
      <c r="Z5892" s="4">
        <v>9</v>
      </c>
      <c r="AA5892" s="6">
        <v>2.33</v>
      </c>
      <c r="AB5892" s="7">
        <v>10.778</v>
      </c>
      <c r="AC5892" s="2"/>
    </row>
    <row r="5893" spans="1:29" ht="130" x14ac:dyDescent="0.15">
      <c r="A5893" s="3">
        <f>DATE(2000,12,4)</f>
        <v>36864</v>
      </c>
      <c r="B5893" s="3">
        <f>DATE(2001,4,30)</f>
        <v>37011</v>
      </c>
      <c r="C5893" s="2" t="s">
        <v>95</v>
      </c>
      <c r="D5893" s="2" t="s">
        <v>17393</v>
      </c>
      <c r="E5893" s="2" t="s">
        <v>17394</v>
      </c>
      <c r="F5893" s="4">
        <v>2048</v>
      </c>
      <c r="G5893" s="2" t="s">
        <v>577</v>
      </c>
      <c r="H5893" s="2" t="s">
        <v>34</v>
      </c>
      <c r="I5893" s="2" t="s">
        <v>18121</v>
      </c>
      <c r="J5893" s="2" t="s">
        <v>18122</v>
      </c>
      <c r="K5893" s="2" t="s">
        <v>577</v>
      </c>
      <c r="L5893" s="2" t="s">
        <v>34</v>
      </c>
      <c r="M5893" s="2"/>
      <c r="N5893" s="2"/>
      <c r="O5893" s="2"/>
      <c r="P5893" s="2" t="s">
        <v>18123</v>
      </c>
      <c r="Q5893" s="6">
        <v>100</v>
      </c>
      <c r="R5893" s="6">
        <v>54.5</v>
      </c>
      <c r="S5893" s="5">
        <v>45</v>
      </c>
      <c r="T5893" s="5">
        <v>87.3</v>
      </c>
      <c r="U5893" s="5">
        <v>40.1</v>
      </c>
      <c r="V5893" s="6">
        <v>4.33</v>
      </c>
      <c r="W5893" s="7">
        <v>36.688000000000002</v>
      </c>
      <c r="X5893" s="6">
        <v>36.25</v>
      </c>
      <c r="Y5893" s="7">
        <v>41.875</v>
      </c>
      <c r="Z5893" s="7">
        <v>41.313000000000002</v>
      </c>
      <c r="AA5893" s="6">
        <v>9.81</v>
      </c>
      <c r="AB5893" s="7">
        <v>7.0860000000000003</v>
      </c>
      <c r="AC5893" s="2"/>
    </row>
    <row r="5894" spans="1:29" ht="143" x14ac:dyDescent="0.15">
      <c r="A5894" s="3">
        <f>DATE(2000,12,4)</f>
        <v>36864</v>
      </c>
      <c r="B5894" s="3">
        <f>DATE(2001,2,15)</f>
        <v>36937</v>
      </c>
      <c r="C5894" s="2" t="s">
        <v>95</v>
      </c>
      <c r="D5894" s="2" t="s">
        <v>18124</v>
      </c>
      <c r="E5894" s="2" t="s">
        <v>786</v>
      </c>
      <c r="F5894" s="4">
        <v>5122</v>
      </c>
      <c r="G5894" s="2" t="s">
        <v>593</v>
      </c>
      <c r="H5894" s="2" t="s">
        <v>34</v>
      </c>
      <c r="I5894" s="2" t="s">
        <v>6702</v>
      </c>
      <c r="J5894" s="2" t="s">
        <v>6703</v>
      </c>
      <c r="K5894" s="2" t="s">
        <v>593</v>
      </c>
      <c r="L5894" s="2" t="s">
        <v>34</v>
      </c>
      <c r="M5894" s="12">
        <v>26498.953000000001</v>
      </c>
      <c r="N5894" s="7">
        <v>94.563000000000002</v>
      </c>
      <c r="O5894" s="5">
        <v>95.5</v>
      </c>
      <c r="P5894" s="2" t="s">
        <v>18125</v>
      </c>
      <c r="Q5894" s="6">
        <v>100</v>
      </c>
      <c r="R5894" s="6">
        <v>42.54</v>
      </c>
      <c r="S5894" s="5">
        <v>25.3</v>
      </c>
      <c r="T5894" s="5">
        <v>119.7</v>
      </c>
      <c r="U5894" s="5">
        <v>12.6</v>
      </c>
      <c r="V5894" s="6">
        <v>0.66</v>
      </c>
      <c r="W5894" s="7">
        <v>32.188000000000002</v>
      </c>
      <c r="X5894" s="4">
        <v>33</v>
      </c>
      <c r="Y5894" s="7">
        <v>38.875</v>
      </c>
      <c r="Z5894" s="7">
        <v>39.438000000000002</v>
      </c>
      <c r="AA5894" s="6">
        <v>35.35</v>
      </c>
      <c r="AB5894" s="7">
        <v>20.120999999999999</v>
      </c>
      <c r="AC5894" s="5">
        <v>491.1</v>
      </c>
    </row>
    <row r="5895" spans="1:29" ht="299" x14ac:dyDescent="0.15">
      <c r="A5895" s="3">
        <f>DATE(2000,12,4)</f>
        <v>36864</v>
      </c>
      <c r="B5895" s="3">
        <f>DATE(2001,9,28)</f>
        <v>37162</v>
      </c>
      <c r="C5895" s="2" t="s">
        <v>95</v>
      </c>
      <c r="D5895" s="2" t="s">
        <v>9472</v>
      </c>
      <c r="E5895" s="2" t="s">
        <v>2278</v>
      </c>
      <c r="F5895" s="4">
        <v>2011</v>
      </c>
      <c r="G5895" s="2" t="s">
        <v>577</v>
      </c>
      <c r="H5895" s="2" t="s">
        <v>34</v>
      </c>
      <c r="I5895" s="2" t="s">
        <v>2960</v>
      </c>
      <c r="J5895" s="2" t="s">
        <v>18126</v>
      </c>
      <c r="K5895" s="2" t="s">
        <v>577</v>
      </c>
      <c r="L5895" s="2" t="s">
        <v>34</v>
      </c>
      <c r="M5895" s="12">
        <v>3010.9989999999998</v>
      </c>
      <c r="N5895" s="5">
        <v>12.5</v>
      </c>
      <c r="O5895" s="7">
        <v>12.125</v>
      </c>
      <c r="P5895" s="2" t="s">
        <v>18127</v>
      </c>
      <c r="Q5895" s="6">
        <v>100</v>
      </c>
      <c r="R5895" s="6">
        <v>25.59</v>
      </c>
      <c r="S5895" s="5">
        <v>137.9</v>
      </c>
      <c r="T5895" s="5">
        <v>509.3</v>
      </c>
      <c r="U5895" s="5">
        <v>17.600000000000001</v>
      </c>
      <c r="V5895" s="6">
        <v>1.29</v>
      </c>
      <c r="W5895" s="5">
        <v>17.5</v>
      </c>
      <c r="X5895" s="7">
        <v>18.312999999999999</v>
      </c>
      <c r="Y5895" s="4">
        <v>25</v>
      </c>
      <c r="Z5895" s="9">
        <v>25.0625</v>
      </c>
      <c r="AA5895" s="6">
        <v>105.61</v>
      </c>
      <c r="AB5895" s="7">
        <v>13.811</v>
      </c>
      <c r="AC5895" s="5">
        <v>83.5</v>
      </c>
    </row>
    <row r="5896" spans="1:29" ht="143" x14ac:dyDescent="0.15">
      <c r="A5896" s="3">
        <f>DATE(2000,12,4)</f>
        <v>36864</v>
      </c>
      <c r="B5896" s="3">
        <f>DATE(2001,8,2)</f>
        <v>37105</v>
      </c>
      <c r="C5896" s="2" t="s">
        <v>95</v>
      </c>
      <c r="D5896" s="2" t="s">
        <v>5461</v>
      </c>
      <c r="E5896" s="2" t="s">
        <v>5462</v>
      </c>
      <c r="F5896" s="4">
        <v>2045</v>
      </c>
      <c r="G5896" s="2" t="s">
        <v>577</v>
      </c>
      <c r="H5896" s="2" t="s">
        <v>34</v>
      </c>
      <c r="I5896" s="2" t="s">
        <v>8719</v>
      </c>
      <c r="J5896" s="2" t="s">
        <v>8720</v>
      </c>
      <c r="K5896" s="2" t="s">
        <v>577</v>
      </c>
      <c r="L5896" s="2" t="s">
        <v>34</v>
      </c>
      <c r="M5896" s="12">
        <v>68570.854999999996</v>
      </c>
      <c r="N5896" s="7">
        <v>43.813000000000002</v>
      </c>
      <c r="O5896" s="7">
        <v>44.188000000000002</v>
      </c>
      <c r="P5896" s="2" t="s">
        <v>18128</v>
      </c>
      <c r="Q5896" s="6">
        <v>100</v>
      </c>
      <c r="R5896" s="6">
        <v>97.46</v>
      </c>
      <c r="S5896" s="5">
        <v>371.1</v>
      </c>
      <c r="T5896" s="5">
        <v>900.2</v>
      </c>
      <c r="U5896" s="5">
        <v>2.4</v>
      </c>
      <c r="V5896" s="6">
        <v>2.68</v>
      </c>
      <c r="W5896" s="6">
        <v>79.75</v>
      </c>
      <c r="X5896" s="6">
        <v>82.25</v>
      </c>
      <c r="Y5896" s="7">
        <v>89.625</v>
      </c>
      <c r="Z5896" s="5">
        <v>89.5</v>
      </c>
      <c r="AA5896" s="6">
        <v>131.08000000000001</v>
      </c>
      <c r="AB5896" s="7">
        <v>18.579000000000001</v>
      </c>
      <c r="AC5896" s="5">
        <v>705</v>
      </c>
    </row>
    <row r="5897" spans="1:29" ht="130" x14ac:dyDescent="0.15">
      <c r="A5897" s="3">
        <f>DATE(2000,12,5)</f>
        <v>36865</v>
      </c>
      <c r="B5897" s="3">
        <f>DATE(2001,6,11)</f>
        <v>37053</v>
      </c>
      <c r="C5897" s="2" t="s">
        <v>95</v>
      </c>
      <c r="D5897" s="2" t="s">
        <v>9438</v>
      </c>
      <c r="E5897" s="2" t="s">
        <v>265</v>
      </c>
      <c r="F5897" s="4">
        <v>6021</v>
      </c>
      <c r="G5897" s="2" t="s">
        <v>37</v>
      </c>
      <c r="H5897" s="2" t="s">
        <v>34</v>
      </c>
      <c r="I5897" s="2" t="s">
        <v>13707</v>
      </c>
      <c r="J5897" s="2" t="s">
        <v>36</v>
      </c>
      <c r="K5897" s="2" t="s">
        <v>37</v>
      </c>
      <c r="L5897" s="2" t="s">
        <v>34</v>
      </c>
      <c r="M5897" s="12">
        <v>12913.705</v>
      </c>
      <c r="N5897" s="5">
        <v>33.5</v>
      </c>
      <c r="O5897" s="7">
        <v>32.875</v>
      </c>
      <c r="P5897" s="2" t="s">
        <v>18129</v>
      </c>
      <c r="Q5897" s="6">
        <v>100</v>
      </c>
      <c r="R5897" s="6">
        <v>30.81</v>
      </c>
      <c r="S5897" s="5">
        <v>18</v>
      </c>
      <c r="T5897" s="5">
        <v>29.9</v>
      </c>
      <c r="U5897" s="5">
        <v>11.4</v>
      </c>
      <c r="V5897" s="6">
        <v>1.34</v>
      </c>
      <c r="W5897" s="6">
        <v>21.25</v>
      </c>
      <c r="X5897" s="7">
        <v>24.312999999999999</v>
      </c>
      <c r="Y5897" s="9">
        <v>30.5625</v>
      </c>
      <c r="Z5897" s="6">
        <v>29.75</v>
      </c>
      <c r="AA5897" s="6">
        <v>13.72</v>
      </c>
      <c r="AB5897" s="7">
        <v>68.12</v>
      </c>
      <c r="AC5897" s="8">
        <v>1621.4</v>
      </c>
    </row>
    <row r="5898" spans="1:29" ht="117" x14ac:dyDescent="0.15">
      <c r="A5898" s="3">
        <f>DATE(2000,12,6)</f>
        <v>36866</v>
      </c>
      <c r="B5898" s="3">
        <f>DATE(2001,2,28)</f>
        <v>36950</v>
      </c>
      <c r="C5898" s="2" t="s">
        <v>95</v>
      </c>
      <c r="D5898" s="2" t="s">
        <v>18130</v>
      </c>
      <c r="E5898" s="2" t="s">
        <v>18131</v>
      </c>
      <c r="F5898" s="4">
        <v>3671</v>
      </c>
      <c r="G5898" s="2" t="s">
        <v>137</v>
      </c>
      <c r="H5898" s="2" t="s">
        <v>34</v>
      </c>
      <c r="I5898" s="2" t="s">
        <v>18132</v>
      </c>
      <c r="J5898" s="2" t="s">
        <v>18133</v>
      </c>
      <c r="K5898" s="2" t="s">
        <v>921</v>
      </c>
      <c r="L5898" s="2" t="s">
        <v>34</v>
      </c>
      <c r="M5898" s="12">
        <v>4738.5780000000004</v>
      </c>
      <c r="N5898" s="4">
        <v>46</v>
      </c>
      <c r="O5898" s="4">
        <v>45</v>
      </c>
      <c r="P5898" s="2" t="s">
        <v>18134</v>
      </c>
      <c r="Q5898" s="6">
        <v>100</v>
      </c>
      <c r="R5898" s="6">
        <v>14.14</v>
      </c>
      <c r="S5898" s="5">
        <v>5.0999999999999996</v>
      </c>
      <c r="T5898" s="7">
        <v>7.2969999999999997</v>
      </c>
      <c r="U5898" s="5">
        <v>3.2</v>
      </c>
      <c r="V5898" s="6">
        <v>0.6</v>
      </c>
      <c r="W5898" s="7">
        <v>5.5629999999999997</v>
      </c>
      <c r="X5898" s="7">
        <v>6.4379999999999997</v>
      </c>
      <c r="Y5898" s="5">
        <v>13.5</v>
      </c>
      <c r="Z5898" s="7">
        <v>13.125</v>
      </c>
      <c r="AA5898" s="6">
        <v>20.56</v>
      </c>
      <c r="AB5898" s="7">
        <v>73.997</v>
      </c>
      <c r="AC5898" s="5">
        <v>186.7</v>
      </c>
    </row>
    <row r="5899" spans="1:29" ht="117" x14ac:dyDescent="0.15">
      <c r="A5899" s="3">
        <f>DATE(2000,12,7)</f>
        <v>36867</v>
      </c>
      <c r="B5899" s="3">
        <f>DATE(2001,2,1)</f>
        <v>36923</v>
      </c>
      <c r="C5899" s="2" t="s">
        <v>95</v>
      </c>
      <c r="D5899" s="2" t="s">
        <v>18135</v>
      </c>
      <c r="E5899" s="2" t="s">
        <v>18136</v>
      </c>
      <c r="F5899" s="4">
        <v>5735</v>
      </c>
      <c r="G5899" s="2" t="s">
        <v>1227</v>
      </c>
      <c r="H5899" s="2" t="s">
        <v>34</v>
      </c>
      <c r="I5899" s="2" t="s">
        <v>18137</v>
      </c>
      <c r="J5899" s="2" t="s">
        <v>1367</v>
      </c>
      <c r="K5899" s="2" t="s">
        <v>1227</v>
      </c>
      <c r="L5899" s="2" t="s">
        <v>34</v>
      </c>
      <c r="M5899" s="12">
        <v>6656.1180000000004</v>
      </c>
      <c r="N5899" s="7">
        <v>22.937999999999999</v>
      </c>
      <c r="O5899" s="7">
        <v>22.312999999999999</v>
      </c>
      <c r="P5899" s="2" t="s">
        <v>18138</v>
      </c>
      <c r="Q5899" s="6">
        <v>100</v>
      </c>
      <c r="R5899" s="6">
        <v>12.55</v>
      </c>
      <c r="S5899" s="5">
        <v>58.6</v>
      </c>
      <c r="T5899" s="5">
        <v>149.19999999999999</v>
      </c>
      <c r="U5899" s="5">
        <v>3</v>
      </c>
      <c r="V5899" s="6">
        <v>1.61</v>
      </c>
      <c r="W5899" s="5">
        <v>6.5</v>
      </c>
      <c r="X5899" s="6">
        <v>10.25</v>
      </c>
      <c r="Y5899" s="7">
        <v>12.125</v>
      </c>
      <c r="Z5899" s="7">
        <v>12.188000000000001</v>
      </c>
      <c r="AA5899" s="6">
        <v>32.1</v>
      </c>
      <c r="AB5899" s="7">
        <v>6.1520000000000001</v>
      </c>
      <c r="AC5899" s="5">
        <v>845</v>
      </c>
    </row>
    <row r="5900" spans="1:29" ht="104" x14ac:dyDescent="0.15">
      <c r="A5900" s="3">
        <f>DATE(2000,12,7)</f>
        <v>36867</v>
      </c>
      <c r="B5900" s="3">
        <f>DATE(2001,1,25)</f>
        <v>36916</v>
      </c>
      <c r="C5900" s="2" t="s">
        <v>95</v>
      </c>
      <c r="D5900" s="2" t="s">
        <v>18139</v>
      </c>
      <c r="E5900" s="2" t="s">
        <v>15087</v>
      </c>
      <c r="F5900" s="4">
        <v>7373</v>
      </c>
      <c r="G5900" s="2" t="s">
        <v>223</v>
      </c>
      <c r="H5900" s="2" t="s">
        <v>34</v>
      </c>
      <c r="I5900" s="2" t="s">
        <v>18140</v>
      </c>
      <c r="J5900" s="2" t="s">
        <v>18141</v>
      </c>
      <c r="K5900" s="2" t="s">
        <v>921</v>
      </c>
      <c r="L5900" s="2" t="s">
        <v>11620</v>
      </c>
      <c r="M5900" s="2"/>
      <c r="N5900" s="2"/>
      <c r="O5900" s="2"/>
      <c r="P5900" s="2" t="s">
        <v>18142</v>
      </c>
      <c r="Q5900" s="6">
        <v>100</v>
      </c>
      <c r="R5900" s="6">
        <v>5.8</v>
      </c>
      <c r="S5900" s="5">
        <v>-29.6</v>
      </c>
      <c r="T5900" s="5">
        <v>-27.9</v>
      </c>
      <c r="U5900" s="5">
        <v>0.6</v>
      </c>
      <c r="V5900" s="6">
        <v>-1.32</v>
      </c>
      <c r="W5900" s="6">
        <v>3.75</v>
      </c>
      <c r="X5900" s="7">
        <v>4.9690000000000003</v>
      </c>
      <c r="Y5900" s="7">
        <v>5.7190000000000003</v>
      </c>
      <c r="Z5900" s="7">
        <v>5.6879999999999997</v>
      </c>
      <c r="AA5900" s="6">
        <v>21.7</v>
      </c>
      <c r="AB5900" s="2" t="s">
        <v>86</v>
      </c>
      <c r="AC5900" s="10">
        <v>3619.25</v>
      </c>
    </row>
    <row r="5901" spans="1:29" ht="117" x14ac:dyDescent="0.15">
      <c r="A5901" s="3">
        <f>DATE(2000,12,8)</f>
        <v>36868</v>
      </c>
      <c r="B5901" s="3">
        <f>DATE(2001,4,30)</f>
        <v>37011</v>
      </c>
      <c r="C5901" s="2" t="s">
        <v>95</v>
      </c>
      <c r="D5901" s="2" t="s">
        <v>18143</v>
      </c>
      <c r="E5901" s="2" t="s">
        <v>36</v>
      </c>
      <c r="F5901" s="4">
        <v>6712</v>
      </c>
      <c r="G5901" s="2" t="s">
        <v>37</v>
      </c>
      <c r="H5901" s="2" t="s">
        <v>34</v>
      </c>
      <c r="I5901" s="2" t="s">
        <v>18144</v>
      </c>
      <c r="J5901" s="2" t="s">
        <v>1181</v>
      </c>
      <c r="K5901" s="2" t="s">
        <v>37</v>
      </c>
      <c r="L5901" s="2" t="s">
        <v>34</v>
      </c>
      <c r="M5901" s="2"/>
      <c r="N5901" s="2"/>
      <c r="O5901" s="2"/>
      <c r="P5901" s="2" t="s">
        <v>18145</v>
      </c>
      <c r="Q5901" s="6">
        <v>100</v>
      </c>
      <c r="R5901" s="6">
        <v>12.6</v>
      </c>
      <c r="S5901" s="5">
        <v>0.5</v>
      </c>
      <c r="T5901" s="5">
        <v>1</v>
      </c>
      <c r="U5901" s="5">
        <v>11.9</v>
      </c>
      <c r="V5901" s="6">
        <v>0.57999999999999996</v>
      </c>
      <c r="W5901" s="6">
        <v>9.25</v>
      </c>
      <c r="X5901" s="4">
        <v>10</v>
      </c>
      <c r="Y5901" s="7">
        <v>11.438000000000001</v>
      </c>
      <c r="Z5901" s="7">
        <v>11.563000000000001</v>
      </c>
      <c r="AA5901" s="6">
        <v>0.88</v>
      </c>
      <c r="AB5901" s="7">
        <v>137.08099999999999</v>
      </c>
      <c r="AC5901" s="2"/>
    </row>
    <row r="5902" spans="1:29" ht="65" x14ac:dyDescent="0.15">
      <c r="A5902" s="3">
        <f>DATE(2000,12,9)</f>
        <v>36869</v>
      </c>
      <c r="B5902" s="3">
        <f>DATE(2001,7,1)</f>
        <v>37073</v>
      </c>
      <c r="C5902" s="2" t="s">
        <v>95</v>
      </c>
      <c r="D5902" s="2" t="s">
        <v>18146</v>
      </c>
      <c r="E5902" s="2" t="s">
        <v>389</v>
      </c>
      <c r="F5902" s="4">
        <v>6035</v>
      </c>
      <c r="G5902" s="2" t="s">
        <v>33</v>
      </c>
      <c r="H5902" s="2" t="s">
        <v>34</v>
      </c>
      <c r="I5902" s="2" t="s">
        <v>18147</v>
      </c>
      <c r="J5902" s="2" t="s">
        <v>18148</v>
      </c>
      <c r="K5902" s="2" t="s">
        <v>33</v>
      </c>
      <c r="L5902" s="2" t="s">
        <v>34</v>
      </c>
      <c r="M5902" s="7">
        <v>55.006</v>
      </c>
      <c r="N5902" s="7">
        <v>6.5940000000000003</v>
      </c>
      <c r="O5902" s="7">
        <v>6.5940000000000003</v>
      </c>
      <c r="P5902" s="2" t="s">
        <v>18149</v>
      </c>
      <c r="Q5902" s="6">
        <v>100</v>
      </c>
      <c r="R5902" s="6">
        <v>20.38</v>
      </c>
      <c r="S5902" s="5">
        <v>5.6</v>
      </c>
      <c r="T5902" s="5">
        <v>9.1999999999999993</v>
      </c>
      <c r="U5902" s="5">
        <v>13.2</v>
      </c>
      <c r="V5902" s="6">
        <v>1.35</v>
      </c>
      <c r="W5902" s="6">
        <v>12.75</v>
      </c>
      <c r="X5902" s="7">
        <v>16.155999999999999</v>
      </c>
      <c r="Y5902" s="7">
        <v>19.625</v>
      </c>
      <c r="Z5902" s="7">
        <v>19.625</v>
      </c>
      <c r="AA5902" s="6">
        <v>4.33</v>
      </c>
      <c r="AB5902" s="7">
        <v>48.731999999999999</v>
      </c>
      <c r="AC5902" s="5">
        <v>53.5</v>
      </c>
    </row>
    <row r="5903" spans="1:29" ht="104" x14ac:dyDescent="0.15">
      <c r="A5903" s="3">
        <f>DATE(2000,12,11)</f>
        <v>36871</v>
      </c>
      <c r="B5903" s="2"/>
      <c r="C5903" s="2" t="s">
        <v>7330</v>
      </c>
      <c r="D5903" s="2" t="s">
        <v>18150</v>
      </c>
      <c r="E5903" s="2" t="s">
        <v>18151</v>
      </c>
      <c r="F5903" s="4">
        <v>8742</v>
      </c>
      <c r="G5903" s="2" t="s">
        <v>223</v>
      </c>
      <c r="H5903" s="2" t="s">
        <v>34</v>
      </c>
      <c r="I5903" s="2" t="s">
        <v>51</v>
      </c>
      <c r="J5903" s="2" t="s">
        <v>52</v>
      </c>
      <c r="K5903" s="2" t="s">
        <v>53</v>
      </c>
      <c r="L5903" s="2" t="s">
        <v>34</v>
      </c>
      <c r="M5903" s="2"/>
      <c r="N5903" s="2"/>
      <c r="O5903" s="2"/>
      <c r="P5903" s="2" t="s">
        <v>18152</v>
      </c>
      <c r="Q5903" s="2"/>
      <c r="R5903" s="6">
        <v>1.87</v>
      </c>
      <c r="S5903" s="5">
        <v>0.4</v>
      </c>
      <c r="T5903" s="5">
        <v>1.8</v>
      </c>
      <c r="U5903" s="5">
        <v>3.5</v>
      </c>
      <c r="V5903" s="6">
        <v>0.2</v>
      </c>
      <c r="W5903" s="7">
        <v>1.0940000000000001</v>
      </c>
      <c r="X5903" s="4">
        <v>1</v>
      </c>
      <c r="Y5903" s="9">
        <v>1.5625</v>
      </c>
      <c r="Z5903" s="5">
        <v>1.5</v>
      </c>
      <c r="AA5903" s="6">
        <v>1.78</v>
      </c>
      <c r="AB5903" s="7">
        <v>7.3819999999999997</v>
      </c>
      <c r="AC5903" s="2"/>
    </row>
    <row r="5904" spans="1:29" ht="117" x14ac:dyDescent="0.15">
      <c r="A5904" s="3">
        <f>DATE(2000,12,11)</f>
        <v>36871</v>
      </c>
      <c r="B5904" s="3">
        <f>DATE(2001,2,22)</f>
        <v>36944</v>
      </c>
      <c r="C5904" s="2" t="s">
        <v>95</v>
      </c>
      <c r="D5904" s="2" t="s">
        <v>18153</v>
      </c>
      <c r="E5904" s="2" t="s">
        <v>18154</v>
      </c>
      <c r="F5904" s="4">
        <v>3669</v>
      </c>
      <c r="G5904" s="2" t="s">
        <v>921</v>
      </c>
      <c r="H5904" s="2" t="s">
        <v>34</v>
      </c>
      <c r="I5904" s="2" t="s">
        <v>18155</v>
      </c>
      <c r="J5904" s="2" t="s">
        <v>18156</v>
      </c>
      <c r="K5904" s="2" t="s">
        <v>105</v>
      </c>
      <c r="L5904" s="2" t="s">
        <v>1049</v>
      </c>
      <c r="M5904" s="2"/>
      <c r="N5904" s="2"/>
      <c r="O5904" s="2"/>
      <c r="P5904" s="2" t="s">
        <v>18157</v>
      </c>
      <c r="Q5904" s="6">
        <v>100</v>
      </c>
      <c r="R5904" s="6">
        <v>18</v>
      </c>
      <c r="S5904" s="5">
        <v>2.2000000000000002</v>
      </c>
      <c r="T5904" s="5">
        <v>11.8</v>
      </c>
      <c r="U5904" s="5">
        <v>9.1999999999999993</v>
      </c>
      <c r="V5904" s="6">
        <v>0.31</v>
      </c>
      <c r="W5904" s="7">
        <v>12.438000000000001</v>
      </c>
      <c r="X5904" s="4">
        <v>13</v>
      </c>
      <c r="Y5904" s="6">
        <v>17.75</v>
      </c>
      <c r="Z5904" s="6">
        <v>17.75</v>
      </c>
      <c r="AA5904" s="6">
        <v>6.33</v>
      </c>
      <c r="AB5904" s="7">
        <v>18.3</v>
      </c>
      <c r="AC5904" s="10">
        <v>3806.96</v>
      </c>
    </row>
    <row r="5905" spans="1:29" ht="182" x14ac:dyDescent="0.15">
      <c r="A5905" s="3">
        <f>DATE(2000,12,11)</f>
        <v>36871</v>
      </c>
      <c r="B5905" s="2"/>
      <c r="C5905" s="2" t="s">
        <v>30</v>
      </c>
      <c r="D5905" s="2" t="s">
        <v>16619</v>
      </c>
      <c r="E5905" s="2" t="s">
        <v>268</v>
      </c>
      <c r="F5905" s="4">
        <v>7011</v>
      </c>
      <c r="G5905" s="2" t="s">
        <v>269</v>
      </c>
      <c r="H5905" s="2" t="s">
        <v>34</v>
      </c>
      <c r="I5905" s="2" t="s">
        <v>18158</v>
      </c>
      <c r="J5905" s="2" t="s">
        <v>18159</v>
      </c>
      <c r="K5905" s="2" t="s">
        <v>364</v>
      </c>
      <c r="L5905" s="2" t="s">
        <v>34</v>
      </c>
      <c r="M5905" s="7">
        <v>62.825000000000003</v>
      </c>
      <c r="N5905" s="4">
        <v>2</v>
      </c>
      <c r="O5905" s="6">
        <v>1.75</v>
      </c>
      <c r="P5905" s="2" t="s">
        <v>18160</v>
      </c>
      <c r="Q5905" s="2"/>
      <c r="R5905" s="6">
        <v>2.59</v>
      </c>
      <c r="S5905" s="5">
        <v>10.8</v>
      </c>
      <c r="T5905" s="5">
        <v>33.1</v>
      </c>
      <c r="U5905" s="5">
        <v>2.7</v>
      </c>
      <c r="V5905" s="6">
        <v>0.3</v>
      </c>
      <c r="W5905" s="5">
        <v>3.6</v>
      </c>
      <c r="X5905" s="6">
        <v>2.25</v>
      </c>
      <c r="Y5905" s="9">
        <v>2.6875</v>
      </c>
      <c r="Z5905" s="5">
        <v>2.5</v>
      </c>
      <c r="AA5905" s="6">
        <v>35.93</v>
      </c>
      <c r="AB5905" s="7">
        <v>7.1079999999999997</v>
      </c>
      <c r="AC5905" s="5">
        <v>14</v>
      </c>
    </row>
    <row r="5906" spans="1:29" ht="52" x14ac:dyDescent="0.15">
      <c r="A5906" s="3">
        <f>DATE(2000,12,11)</f>
        <v>36871</v>
      </c>
      <c r="B5906" s="3">
        <f>DATE(2001,4,30)</f>
        <v>37011</v>
      </c>
      <c r="C5906" s="2" t="s">
        <v>95</v>
      </c>
      <c r="D5906" s="2" t="s">
        <v>17988</v>
      </c>
      <c r="E5906" s="2" t="s">
        <v>263</v>
      </c>
      <c r="F5906" s="4">
        <v>6035</v>
      </c>
      <c r="G5906" s="2" t="s">
        <v>33</v>
      </c>
      <c r="H5906" s="2" t="s">
        <v>34</v>
      </c>
      <c r="I5906" s="2" t="s">
        <v>8238</v>
      </c>
      <c r="J5906" s="2" t="s">
        <v>36</v>
      </c>
      <c r="K5906" s="2" t="s">
        <v>37</v>
      </c>
      <c r="L5906" s="2" t="s">
        <v>34</v>
      </c>
      <c r="M5906" s="2"/>
      <c r="N5906" s="2"/>
      <c r="O5906" s="2"/>
      <c r="P5906" s="2" t="s">
        <v>18161</v>
      </c>
      <c r="Q5906" s="6">
        <v>100</v>
      </c>
      <c r="R5906" s="6">
        <v>10</v>
      </c>
      <c r="S5906" s="5">
        <v>34.9</v>
      </c>
      <c r="T5906" s="5">
        <v>13.9</v>
      </c>
      <c r="U5906" s="5">
        <v>10.8</v>
      </c>
      <c r="V5906" s="6">
        <v>1.75</v>
      </c>
      <c r="W5906" s="6">
        <v>9.25</v>
      </c>
      <c r="X5906" s="7">
        <v>9.1880000000000006</v>
      </c>
      <c r="Y5906" s="7">
        <v>9.5310000000000006</v>
      </c>
      <c r="Z5906" s="7">
        <v>9.5310000000000006</v>
      </c>
      <c r="AA5906" s="6">
        <v>19.88</v>
      </c>
      <c r="AB5906" s="7">
        <v>189.56700000000001</v>
      </c>
      <c r="AC5906" s="2"/>
    </row>
    <row r="5907" spans="1:29" ht="78" x14ac:dyDescent="0.15">
      <c r="A5907" s="3">
        <f>DATE(2000,12,12)</f>
        <v>36872</v>
      </c>
      <c r="B5907" s="3">
        <f>DATE(2001,3,30)</f>
        <v>36980</v>
      </c>
      <c r="C5907" s="2" t="s">
        <v>95</v>
      </c>
      <c r="D5907" s="2" t="s">
        <v>18162</v>
      </c>
      <c r="E5907" s="2" t="s">
        <v>36</v>
      </c>
      <c r="F5907" s="4">
        <v>6021</v>
      </c>
      <c r="G5907" s="2" t="s">
        <v>37</v>
      </c>
      <c r="H5907" s="2" t="s">
        <v>34</v>
      </c>
      <c r="I5907" s="2" t="s">
        <v>2336</v>
      </c>
      <c r="J5907" s="2" t="s">
        <v>2337</v>
      </c>
      <c r="K5907" s="2" t="s">
        <v>37</v>
      </c>
      <c r="L5907" s="2" t="s">
        <v>34</v>
      </c>
      <c r="M5907" s="10">
        <v>5362.81</v>
      </c>
      <c r="N5907" s="7">
        <v>34.063000000000002</v>
      </c>
      <c r="O5907" s="7">
        <v>33.813000000000002</v>
      </c>
      <c r="P5907" s="2" t="s">
        <v>18163</v>
      </c>
      <c r="Q5907" s="6">
        <v>100</v>
      </c>
      <c r="R5907" s="6">
        <v>26.42</v>
      </c>
      <c r="S5907" s="5">
        <v>3.4</v>
      </c>
      <c r="T5907" s="5">
        <v>6.3</v>
      </c>
      <c r="U5907" s="5">
        <v>14.5</v>
      </c>
      <c r="V5907" s="6">
        <v>1.6</v>
      </c>
      <c r="W5907" s="4">
        <v>22</v>
      </c>
      <c r="X5907" s="7">
        <v>21.437999999999999</v>
      </c>
      <c r="Y5907" s="5">
        <v>25.5</v>
      </c>
      <c r="Z5907" s="5">
        <v>25.5</v>
      </c>
      <c r="AA5907" s="6">
        <v>1.97</v>
      </c>
      <c r="AB5907" s="7">
        <v>64.807000000000002</v>
      </c>
      <c r="AC5907" s="5">
        <v>890.9</v>
      </c>
    </row>
    <row r="5908" spans="1:29" ht="65" x14ac:dyDescent="0.15">
      <c r="A5908" s="3">
        <f>DATE(2000,12,12)</f>
        <v>36872</v>
      </c>
      <c r="B5908" s="2"/>
      <c r="C5908" s="2" t="s">
        <v>7330</v>
      </c>
      <c r="D5908" s="2" t="s">
        <v>18164</v>
      </c>
      <c r="E5908" s="2" t="s">
        <v>2855</v>
      </c>
      <c r="F5908" s="4">
        <v>6029</v>
      </c>
      <c r="G5908" s="2" t="s">
        <v>37</v>
      </c>
      <c r="H5908" s="2" t="s">
        <v>34</v>
      </c>
      <c r="I5908" s="2" t="s">
        <v>18165</v>
      </c>
      <c r="J5908" s="2" t="s">
        <v>36</v>
      </c>
      <c r="K5908" s="2" t="s">
        <v>37</v>
      </c>
      <c r="L5908" s="2" t="s">
        <v>34</v>
      </c>
      <c r="M5908" s="2"/>
      <c r="N5908" s="7">
        <v>4.125</v>
      </c>
      <c r="O5908" s="7">
        <v>4.125</v>
      </c>
      <c r="P5908" s="2" t="s">
        <v>18166</v>
      </c>
      <c r="Q5908" s="2"/>
      <c r="R5908" s="2"/>
      <c r="S5908" s="2"/>
      <c r="T5908" s="2"/>
      <c r="U5908" s="2"/>
      <c r="V5908" s="2"/>
      <c r="W5908" s="6">
        <v>11.25</v>
      </c>
      <c r="X5908" s="6">
        <v>11.25</v>
      </c>
      <c r="Y5908" s="6">
        <v>11.25</v>
      </c>
      <c r="Z5908" s="6">
        <v>11.25</v>
      </c>
      <c r="AA5908" s="2"/>
      <c r="AB5908" s="2" t="s">
        <v>47</v>
      </c>
      <c r="AC5908" s="5">
        <v>25.8</v>
      </c>
    </row>
    <row r="5909" spans="1:29" ht="91" x14ac:dyDescent="0.15">
      <c r="A5909" s="3">
        <f>DATE(2000,12,12)</f>
        <v>36872</v>
      </c>
      <c r="B5909" s="3">
        <f>DATE(2001,6,30)</f>
        <v>37072</v>
      </c>
      <c r="C5909" s="2" t="s">
        <v>95</v>
      </c>
      <c r="D5909" s="2" t="s">
        <v>18167</v>
      </c>
      <c r="E5909" s="2" t="s">
        <v>18168</v>
      </c>
      <c r="F5909" s="4">
        <v>4213</v>
      </c>
      <c r="G5909" s="2" t="s">
        <v>173</v>
      </c>
      <c r="H5909" s="2" t="s">
        <v>34</v>
      </c>
      <c r="I5909" s="2" t="s">
        <v>18169</v>
      </c>
      <c r="J5909" s="2" t="s">
        <v>18170</v>
      </c>
      <c r="K5909" s="2" t="s">
        <v>173</v>
      </c>
      <c r="L5909" s="2" t="s">
        <v>34</v>
      </c>
      <c r="M5909" s="7">
        <v>937.04200000000003</v>
      </c>
      <c r="N5909" s="7">
        <v>17.125</v>
      </c>
      <c r="O5909" s="7">
        <v>17.125</v>
      </c>
      <c r="P5909" s="2" t="s">
        <v>18171</v>
      </c>
      <c r="Q5909" s="6">
        <v>100</v>
      </c>
      <c r="R5909" s="6">
        <v>34.32</v>
      </c>
      <c r="S5909" s="5">
        <v>22.8</v>
      </c>
      <c r="T5909" s="5">
        <v>120.1</v>
      </c>
      <c r="U5909" s="5">
        <v>20</v>
      </c>
      <c r="V5909" s="6">
        <v>1.9</v>
      </c>
      <c r="W5909" s="7">
        <v>21.905999999999999</v>
      </c>
      <c r="X5909" s="5">
        <v>22.5</v>
      </c>
      <c r="Y5909" s="5">
        <v>28.5</v>
      </c>
      <c r="Z5909" s="7">
        <v>28.125</v>
      </c>
      <c r="AA5909" s="6">
        <v>11.15</v>
      </c>
      <c r="AB5909" s="7">
        <v>13.992000000000001</v>
      </c>
      <c r="AC5909" s="5">
        <v>13.3</v>
      </c>
    </row>
    <row r="5910" spans="1:29" ht="91" x14ac:dyDescent="0.15">
      <c r="A5910" s="3">
        <f>DATE(2000,12,13)</f>
        <v>36873</v>
      </c>
      <c r="B5910" s="2"/>
      <c r="C5910" s="2" t="s">
        <v>30</v>
      </c>
      <c r="D5910" s="2" t="s">
        <v>18172</v>
      </c>
      <c r="E5910" s="2" t="s">
        <v>18173</v>
      </c>
      <c r="F5910" s="4">
        <v>5045</v>
      </c>
      <c r="G5910" s="2" t="s">
        <v>76</v>
      </c>
      <c r="H5910" s="2" t="s">
        <v>34</v>
      </c>
      <c r="I5910" s="2" t="s">
        <v>18174</v>
      </c>
      <c r="J5910" s="2" t="s">
        <v>1072</v>
      </c>
      <c r="K5910" s="2" t="s">
        <v>45</v>
      </c>
      <c r="L5910" s="2" t="s">
        <v>902</v>
      </c>
      <c r="M5910" s="2"/>
      <c r="N5910" s="2"/>
      <c r="O5910" s="2"/>
      <c r="P5910" s="2" t="s">
        <v>18175</v>
      </c>
      <c r="Q5910" s="2"/>
      <c r="R5910" s="6">
        <v>16</v>
      </c>
      <c r="S5910" s="5">
        <v>4.0999999999999996</v>
      </c>
      <c r="T5910" s="5">
        <v>21.5</v>
      </c>
      <c r="U5910" s="5">
        <v>17.3</v>
      </c>
      <c r="V5910" s="6">
        <v>1.02</v>
      </c>
      <c r="W5910" s="7">
        <v>7.625</v>
      </c>
      <c r="X5910" s="4">
        <v>8</v>
      </c>
      <c r="Y5910" s="9">
        <v>8.4375</v>
      </c>
      <c r="Z5910" s="9">
        <v>8.4375</v>
      </c>
      <c r="AA5910" s="6">
        <v>3.55</v>
      </c>
      <c r="AB5910" s="7">
        <v>5.8360000000000003</v>
      </c>
      <c r="AC5910" s="5">
        <v>0.8</v>
      </c>
    </row>
    <row r="5911" spans="1:29" ht="130" x14ac:dyDescent="0.15">
      <c r="A5911" s="3">
        <f>DATE(2000,12,14)</f>
        <v>36874</v>
      </c>
      <c r="B5911" s="3">
        <f>DATE(2001,2,28)</f>
        <v>36950</v>
      </c>
      <c r="C5911" s="2" t="s">
        <v>95</v>
      </c>
      <c r="D5911" s="2" t="s">
        <v>16917</v>
      </c>
      <c r="E5911" s="2" t="s">
        <v>16918</v>
      </c>
      <c r="F5911" s="4">
        <v>3398</v>
      </c>
      <c r="G5911" s="2" t="s">
        <v>163</v>
      </c>
      <c r="H5911" s="2" t="s">
        <v>34</v>
      </c>
      <c r="I5911" s="2" t="s">
        <v>18176</v>
      </c>
      <c r="J5911" s="2" t="s">
        <v>18177</v>
      </c>
      <c r="K5911" s="2" t="s">
        <v>3562</v>
      </c>
      <c r="L5911" s="2" t="s">
        <v>303</v>
      </c>
      <c r="M5911" s="2"/>
      <c r="N5911" s="2"/>
      <c r="O5911" s="2"/>
      <c r="P5911" s="2" t="s">
        <v>18178</v>
      </c>
      <c r="Q5911" s="6">
        <v>100</v>
      </c>
      <c r="R5911" s="6">
        <v>18.13</v>
      </c>
      <c r="S5911" s="5">
        <v>6.1</v>
      </c>
      <c r="T5911" s="5">
        <v>20</v>
      </c>
      <c r="U5911" s="5">
        <v>11</v>
      </c>
      <c r="V5911" s="6">
        <v>1.06</v>
      </c>
      <c r="W5911" s="5">
        <v>8.5</v>
      </c>
      <c r="X5911" s="7">
        <v>8.9380000000000006</v>
      </c>
      <c r="Y5911" s="7">
        <v>17.812999999999999</v>
      </c>
      <c r="Z5911" s="7">
        <v>17.812999999999999</v>
      </c>
      <c r="AA5911" s="6">
        <v>5.66</v>
      </c>
      <c r="AB5911" s="7">
        <v>13.051</v>
      </c>
      <c r="AC5911" s="6">
        <v>155.94999999999999</v>
      </c>
    </row>
    <row r="5912" spans="1:29" ht="130" x14ac:dyDescent="0.15">
      <c r="A5912" s="3">
        <f>DATE(2000,12,14)</f>
        <v>36874</v>
      </c>
      <c r="B5912" s="3">
        <f>DATE(2001,8,31)</f>
        <v>37134</v>
      </c>
      <c r="C5912" s="2" t="s">
        <v>95</v>
      </c>
      <c r="D5912" s="2" t="s">
        <v>7081</v>
      </c>
      <c r="E5912" s="2" t="s">
        <v>7082</v>
      </c>
      <c r="F5912" s="4">
        <v>5812</v>
      </c>
      <c r="G5912" s="2" t="s">
        <v>230</v>
      </c>
      <c r="H5912" s="2" t="s">
        <v>34</v>
      </c>
      <c r="I5912" s="2" t="s">
        <v>18179</v>
      </c>
      <c r="J5912" s="2" t="s">
        <v>150</v>
      </c>
      <c r="K5912" s="2" t="s">
        <v>53</v>
      </c>
      <c r="L5912" s="2" t="s">
        <v>34</v>
      </c>
      <c r="M5912" s="2"/>
      <c r="N5912" s="2"/>
      <c r="O5912" s="2"/>
      <c r="P5912" s="2" t="s">
        <v>18180</v>
      </c>
      <c r="Q5912" s="6">
        <v>39.49</v>
      </c>
      <c r="R5912" s="6">
        <v>11.55</v>
      </c>
      <c r="S5912" s="5">
        <v>22.8</v>
      </c>
      <c r="T5912" s="5">
        <v>78.3</v>
      </c>
      <c r="U5912" s="5">
        <v>6.4</v>
      </c>
      <c r="V5912" s="6">
        <v>1.03</v>
      </c>
      <c r="W5912" s="7">
        <v>10.813000000000001</v>
      </c>
      <c r="X5912" s="7">
        <v>10.375</v>
      </c>
      <c r="Y5912" s="9">
        <v>10.1875</v>
      </c>
      <c r="Z5912" s="9">
        <v>10.3125</v>
      </c>
      <c r="AA5912" s="6">
        <v>21.83</v>
      </c>
      <c r="AB5912" s="7">
        <v>10.598000000000001</v>
      </c>
      <c r="AC5912" s="2"/>
    </row>
    <row r="5913" spans="1:29" ht="117" x14ac:dyDescent="0.15">
      <c r="A5913" s="3">
        <f>DATE(2000,12,14)</f>
        <v>36874</v>
      </c>
      <c r="B5913" s="3">
        <f>DATE(2001,6,27)</f>
        <v>37069</v>
      </c>
      <c r="C5913" s="2" t="s">
        <v>95</v>
      </c>
      <c r="D5913" s="2" t="s">
        <v>18181</v>
      </c>
      <c r="E5913" s="2" t="s">
        <v>7001</v>
      </c>
      <c r="F5913" s="4">
        <v>3679</v>
      </c>
      <c r="G5913" s="2" t="s">
        <v>137</v>
      </c>
      <c r="H5913" s="2" t="s">
        <v>34</v>
      </c>
      <c r="I5913" s="2" t="s">
        <v>18182</v>
      </c>
      <c r="J5913" s="2" t="s">
        <v>18183</v>
      </c>
      <c r="K5913" s="2" t="s">
        <v>163</v>
      </c>
      <c r="L5913" s="2" t="s">
        <v>303</v>
      </c>
      <c r="M5913" s="2"/>
      <c r="N5913" s="2"/>
      <c r="O5913" s="2"/>
      <c r="P5913" s="2" t="s">
        <v>18184</v>
      </c>
      <c r="Q5913" s="2"/>
      <c r="R5913" s="2"/>
      <c r="S5913" s="5">
        <v>0.8</v>
      </c>
      <c r="T5913" s="5">
        <v>3.1</v>
      </c>
      <c r="U5913" s="5">
        <v>1.7</v>
      </c>
      <c r="V5913" s="6">
        <v>0.11</v>
      </c>
      <c r="W5913" s="7">
        <v>0.875</v>
      </c>
      <c r="X5913" s="7">
        <v>1.375</v>
      </c>
      <c r="Y5913" s="6">
        <v>1.75</v>
      </c>
      <c r="Z5913" s="7">
        <v>1.8440000000000001</v>
      </c>
      <c r="AA5913" s="6">
        <v>6.56</v>
      </c>
      <c r="AB5913" s="7">
        <v>17.963000000000001</v>
      </c>
      <c r="AC5913" s="2"/>
    </row>
    <row r="5914" spans="1:29" ht="39" x14ac:dyDescent="0.15">
      <c r="A5914" s="3">
        <f>DATE(2000,12,15)</f>
        <v>36875</v>
      </c>
      <c r="B5914" s="2"/>
      <c r="C5914" s="2" t="s">
        <v>141</v>
      </c>
      <c r="D5914" s="2" t="s">
        <v>18185</v>
      </c>
      <c r="E5914" s="2" t="s">
        <v>18186</v>
      </c>
      <c r="F5914" s="4">
        <v>3851</v>
      </c>
      <c r="G5914" s="2" t="s">
        <v>226</v>
      </c>
      <c r="H5914" s="2" t="s">
        <v>34</v>
      </c>
      <c r="I5914" s="2" t="s">
        <v>143</v>
      </c>
      <c r="J5914" s="2" t="s">
        <v>144</v>
      </c>
      <c r="K5914" s="2" t="s">
        <v>53</v>
      </c>
      <c r="L5914" s="2" t="s">
        <v>139</v>
      </c>
      <c r="M5914" s="2"/>
      <c r="N5914" s="2"/>
      <c r="O5914" s="2"/>
      <c r="P5914" s="2" t="s">
        <v>18187</v>
      </c>
      <c r="Q5914" s="2"/>
      <c r="R5914" s="2"/>
      <c r="S5914" s="5">
        <v>31.2</v>
      </c>
      <c r="T5914" s="5">
        <v>77</v>
      </c>
      <c r="U5914" s="5">
        <v>11.7</v>
      </c>
      <c r="V5914" s="6">
        <v>1.75</v>
      </c>
      <c r="W5914" s="7">
        <v>26.437999999999999</v>
      </c>
      <c r="X5914" s="4">
        <v>23</v>
      </c>
      <c r="Y5914" s="9">
        <v>23.3125</v>
      </c>
      <c r="Z5914" s="9">
        <v>24.1875</v>
      </c>
      <c r="AA5914" s="6">
        <v>17.670000000000002</v>
      </c>
      <c r="AB5914" s="2" t="s">
        <v>47</v>
      </c>
      <c r="AC5914" s="2"/>
    </row>
    <row r="5915" spans="1:29" ht="130" x14ac:dyDescent="0.15">
      <c r="A5915" s="3">
        <f>DATE(2000,12,15)</f>
        <v>36875</v>
      </c>
      <c r="B5915" s="3">
        <f>DATE(2001,3,31)</f>
        <v>36981</v>
      </c>
      <c r="C5915" s="2" t="s">
        <v>95</v>
      </c>
      <c r="D5915" s="2" t="s">
        <v>18188</v>
      </c>
      <c r="E5915" s="2" t="s">
        <v>36</v>
      </c>
      <c r="F5915" s="4">
        <v>6022</v>
      </c>
      <c r="G5915" s="2" t="s">
        <v>37</v>
      </c>
      <c r="H5915" s="2" t="s">
        <v>34</v>
      </c>
      <c r="I5915" s="2" t="s">
        <v>8886</v>
      </c>
      <c r="J5915" s="2" t="s">
        <v>3246</v>
      </c>
      <c r="K5915" s="2" t="s">
        <v>37</v>
      </c>
      <c r="L5915" s="2" t="s">
        <v>34</v>
      </c>
      <c r="M5915" s="12">
        <v>4605.5110000000004</v>
      </c>
      <c r="N5915" s="4">
        <v>57</v>
      </c>
      <c r="O5915" s="7">
        <v>58.375</v>
      </c>
      <c r="P5915" s="2" t="s">
        <v>18189</v>
      </c>
      <c r="Q5915" s="6">
        <v>100</v>
      </c>
      <c r="R5915" s="6">
        <v>13.38</v>
      </c>
      <c r="S5915" s="5">
        <v>8.5</v>
      </c>
      <c r="T5915" s="5">
        <v>22.3</v>
      </c>
      <c r="U5915" s="5">
        <v>8.9</v>
      </c>
      <c r="V5915" s="6">
        <v>0.61</v>
      </c>
      <c r="W5915" s="6">
        <v>8.75</v>
      </c>
      <c r="X5915" s="7">
        <v>8.625</v>
      </c>
      <c r="Y5915" s="6">
        <v>12.75</v>
      </c>
      <c r="Z5915" s="7">
        <v>12.938000000000001</v>
      </c>
      <c r="AA5915" s="6">
        <v>14.14</v>
      </c>
      <c r="AB5915" s="7">
        <v>79.7</v>
      </c>
      <c r="AC5915" s="8">
        <v>1715</v>
      </c>
    </row>
    <row r="5916" spans="1:29" ht="65" x14ac:dyDescent="0.15">
      <c r="A5916" s="3">
        <f>DATE(2000,12,15)</f>
        <v>36875</v>
      </c>
      <c r="B5916" s="3">
        <f>DATE(2001,5,17)</f>
        <v>37028</v>
      </c>
      <c r="C5916" s="2" t="s">
        <v>95</v>
      </c>
      <c r="D5916" s="2" t="s">
        <v>18190</v>
      </c>
      <c r="E5916" s="2" t="s">
        <v>18191</v>
      </c>
      <c r="F5916" s="4">
        <v>6035</v>
      </c>
      <c r="G5916" s="2" t="s">
        <v>33</v>
      </c>
      <c r="H5916" s="2" t="s">
        <v>34</v>
      </c>
      <c r="I5916" s="2" t="s">
        <v>18192</v>
      </c>
      <c r="J5916" s="2" t="s">
        <v>36</v>
      </c>
      <c r="K5916" s="2" t="s">
        <v>37</v>
      </c>
      <c r="L5916" s="2" t="s">
        <v>34</v>
      </c>
      <c r="M5916" s="7">
        <v>10.304</v>
      </c>
      <c r="N5916" s="6">
        <v>13.25</v>
      </c>
      <c r="O5916" s="6">
        <v>13.25</v>
      </c>
      <c r="P5916" s="2" t="s">
        <v>18193</v>
      </c>
      <c r="Q5916" s="6">
        <v>100</v>
      </c>
      <c r="R5916" s="6">
        <v>16.27</v>
      </c>
      <c r="S5916" s="5">
        <v>0.4</v>
      </c>
      <c r="T5916" s="2"/>
      <c r="U5916" s="5">
        <v>16.3</v>
      </c>
      <c r="V5916" s="6">
        <v>0.57999999999999996</v>
      </c>
      <c r="W5916" s="7">
        <v>12.406000000000001</v>
      </c>
      <c r="X5916" s="6">
        <v>12.25</v>
      </c>
      <c r="Y5916" s="7">
        <v>15.625</v>
      </c>
      <c r="Z5916" s="6">
        <v>15.75</v>
      </c>
      <c r="AA5916" s="6">
        <v>0.84</v>
      </c>
      <c r="AB5916" s="7">
        <v>67.962999999999994</v>
      </c>
      <c r="AC5916" s="5">
        <v>2.7</v>
      </c>
    </row>
    <row r="5917" spans="1:29" ht="78" x14ac:dyDescent="0.15">
      <c r="A5917" s="3">
        <f>DATE(2000,12,15)</f>
        <v>36875</v>
      </c>
      <c r="B5917" s="3">
        <f>DATE(2000,12,15)</f>
        <v>36875</v>
      </c>
      <c r="C5917" s="2" t="s">
        <v>95</v>
      </c>
      <c r="D5917" s="2" t="s">
        <v>18194</v>
      </c>
      <c r="E5917" s="2" t="s">
        <v>18195</v>
      </c>
      <c r="F5917" s="4">
        <v>5511</v>
      </c>
      <c r="G5917" s="2" t="s">
        <v>73</v>
      </c>
      <c r="H5917" s="2" t="s">
        <v>34</v>
      </c>
      <c r="I5917" s="2" t="s">
        <v>18196</v>
      </c>
      <c r="J5917" s="2" t="s">
        <v>1620</v>
      </c>
      <c r="K5917" s="2" t="s">
        <v>53</v>
      </c>
      <c r="L5917" s="2" t="s">
        <v>34</v>
      </c>
      <c r="M5917" s="2"/>
      <c r="N5917" s="2"/>
      <c r="O5917" s="2"/>
      <c r="P5917" s="2" t="s">
        <v>18197</v>
      </c>
      <c r="Q5917" s="6">
        <v>20.12</v>
      </c>
      <c r="R5917" s="6">
        <v>10.5</v>
      </c>
      <c r="S5917" s="5">
        <v>33.299999999999997</v>
      </c>
      <c r="T5917" s="5">
        <v>171.8</v>
      </c>
      <c r="U5917" s="5">
        <v>21.3</v>
      </c>
      <c r="V5917" s="6">
        <v>1.1399999999999999</v>
      </c>
      <c r="W5917" s="6">
        <v>7.75</v>
      </c>
      <c r="X5917" s="5">
        <v>7.5</v>
      </c>
      <c r="Y5917" s="5">
        <v>7.5</v>
      </c>
      <c r="Z5917" s="7">
        <v>7.5629999999999997</v>
      </c>
      <c r="AA5917" s="6">
        <v>19.850000000000001</v>
      </c>
      <c r="AB5917" s="7">
        <v>7.56</v>
      </c>
      <c r="AC5917" s="2"/>
    </row>
    <row r="5918" spans="1:29" ht="78" x14ac:dyDescent="0.15">
      <c r="A5918" s="3">
        <f>DATE(2000,12,16)</f>
        <v>36876</v>
      </c>
      <c r="B5918" s="3">
        <f>DATE(2001,3,7)</f>
        <v>36957</v>
      </c>
      <c r="C5918" s="2" t="s">
        <v>95</v>
      </c>
      <c r="D5918" s="2" t="s">
        <v>16496</v>
      </c>
      <c r="E5918" s="2" t="s">
        <v>612</v>
      </c>
      <c r="F5918" s="4">
        <v>1311</v>
      </c>
      <c r="G5918" s="2" t="s">
        <v>148</v>
      </c>
      <c r="H5918" s="2" t="s">
        <v>34</v>
      </c>
      <c r="I5918" s="2" t="s">
        <v>16497</v>
      </c>
      <c r="J5918" s="2" t="s">
        <v>1072</v>
      </c>
      <c r="K5918" s="2" t="s">
        <v>53</v>
      </c>
      <c r="L5918" s="2" t="s">
        <v>34</v>
      </c>
      <c r="M5918" s="2"/>
      <c r="N5918" s="2"/>
      <c r="O5918" s="2"/>
      <c r="P5918" s="2" t="s">
        <v>18198</v>
      </c>
      <c r="Q5918" s="6">
        <v>71.489999999999995</v>
      </c>
      <c r="R5918" s="6">
        <v>10.5</v>
      </c>
      <c r="S5918" s="5">
        <v>1</v>
      </c>
      <c r="T5918" s="6">
        <v>57.24</v>
      </c>
      <c r="U5918" s="5">
        <v>14.8</v>
      </c>
      <c r="V5918" s="6">
        <v>-0.09</v>
      </c>
      <c r="W5918" s="7">
        <v>8.375</v>
      </c>
      <c r="X5918" s="7">
        <v>7.875</v>
      </c>
      <c r="Y5918" s="2"/>
      <c r="Z5918" s="2"/>
      <c r="AA5918" s="6">
        <v>10.07</v>
      </c>
      <c r="AB5918" s="7">
        <v>12.448</v>
      </c>
      <c r="AC5918" s="2"/>
    </row>
    <row r="5919" spans="1:29" ht="104" x14ac:dyDescent="0.15">
      <c r="A5919" s="3">
        <f>DATE(2000,12,16)</f>
        <v>36876</v>
      </c>
      <c r="B5919" s="2"/>
      <c r="C5919" s="2" t="s">
        <v>189</v>
      </c>
      <c r="D5919" s="2" t="s">
        <v>18199</v>
      </c>
      <c r="E5919" s="2" t="s">
        <v>6365</v>
      </c>
      <c r="F5919" s="4">
        <v>5945</v>
      </c>
      <c r="G5919" s="2" t="s">
        <v>73</v>
      </c>
      <c r="H5919" s="2" t="s">
        <v>34</v>
      </c>
      <c r="I5919" s="2" t="s">
        <v>143</v>
      </c>
      <c r="J5919" s="2" t="s">
        <v>144</v>
      </c>
      <c r="K5919" s="2" t="s">
        <v>53</v>
      </c>
      <c r="L5919" s="2" t="s">
        <v>139</v>
      </c>
      <c r="M5919" s="2"/>
      <c r="N5919" s="2"/>
      <c r="O5919" s="2"/>
      <c r="P5919" s="2" t="s">
        <v>18200</v>
      </c>
      <c r="Q5919" s="2"/>
      <c r="R5919" s="2"/>
      <c r="S5919" s="5">
        <v>-234.3</v>
      </c>
      <c r="T5919" s="5">
        <v>-184.2</v>
      </c>
      <c r="U5919" s="5">
        <v>1.2</v>
      </c>
      <c r="V5919" s="6">
        <v>-2.12</v>
      </c>
      <c r="W5919" s="7">
        <v>1.2809999999999999</v>
      </c>
      <c r="X5919" s="7">
        <v>1.0309999999999999</v>
      </c>
      <c r="Y5919" s="2"/>
      <c r="Z5919" s="2"/>
      <c r="AA5919" s="6">
        <v>132.28</v>
      </c>
      <c r="AB5919" s="2" t="s">
        <v>86</v>
      </c>
      <c r="AC5919" s="2"/>
    </row>
    <row r="5920" spans="1:29" ht="117" x14ac:dyDescent="0.15">
      <c r="A5920" s="3">
        <f>DATE(2000,12,18)</f>
        <v>36878</v>
      </c>
      <c r="B5920" s="3">
        <f>DATE(2001,2,19)</f>
        <v>36941</v>
      </c>
      <c r="C5920" s="2" t="s">
        <v>95</v>
      </c>
      <c r="D5920" s="2" t="s">
        <v>18201</v>
      </c>
      <c r="E5920" s="2" t="s">
        <v>18202</v>
      </c>
      <c r="F5920" s="4">
        <v>8742</v>
      </c>
      <c r="G5920" s="2" t="s">
        <v>223</v>
      </c>
      <c r="H5920" s="2" t="s">
        <v>34</v>
      </c>
      <c r="I5920" s="2" t="s">
        <v>15117</v>
      </c>
      <c r="J5920" s="2" t="s">
        <v>4784</v>
      </c>
      <c r="K5920" s="2" t="s">
        <v>186</v>
      </c>
      <c r="L5920" s="2" t="s">
        <v>2105</v>
      </c>
      <c r="M5920" s="2"/>
      <c r="N5920" s="2"/>
      <c r="O5920" s="2"/>
      <c r="P5920" s="2" t="s">
        <v>18203</v>
      </c>
      <c r="Q5920" s="6">
        <v>100</v>
      </c>
      <c r="R5920" s="6">
        <v>36.75</v>
      </c>
      <c r="S5920" s="5">
        <v>59</v>
      </c>
      <c r="T5920" s="5">
        <v>229.7</v>
      </c>
      <c r="U5920" s="5">
        <v>9.4</v>
      </c>
      <c r="V5920" s="6">
        <v>0.99</v>
      </c>
      <c r="W5920" s="7">
        <v>25.812999999999999</v>
      </c>
      <c r="X5920" s="7">
        <v>24.625</v>
      </c>
      <c r="Y5920" s="4">
        <v>36</v>
      </c>
      <c r="Z5920" s="6">
        <v>36.25</v>
      </c>
      <c r="AA5920" s="6">
        <v>57.81</v>
      </c>
      <c r="AB5920" s="7">
        <v>16.63</v>
      </c>
      <c r="AC5920" s="6">
        <v>620.84</v>
      </c>
    </row>
    <row r="5921" spans="1:29" ht="130" x14ac:dyDescent="0.15">
      <c r="A5921" s="3">
        <f>DATE(2000,12,18)</f>
        <v>36878</v>
      </c>
      <c r="B5921" s="3">
        <f>DATE(2001,4,30)</f>
        <v>37011</v>
      </c>
      <c r="C5921" s="2" t="s">
        <v>95</v>
      </c>
      <c r="D5921" s="2" t="s">
        <v>18204</v>
      </c>
      <c r="E5921" s="2" t="s">
        <v>265</v>
      </c>
      <c r="F5921" s="4">
        <v>6022</v>
      </c>
      <c r="G5921" s="2" t="s">
        <v>37</v>
      </c>
      <c r="H5921" s="2" t="s">
        <v>34</v>
      </c>
      <c r="I5921" s="2" t="s">
        <v>8872</v>
      </c>
      <c r="J5921" s="2" t="s">
        <v>8873</v>
      </c>
      <c r="K5921" s="2" t="s">
        <v>37</v>
      </c>
      <c r="L5921" s="2" t="s">
        <v>34</v>
      </c>
      <c r="M5921" s="7">
        <v>451.97300000000001</v>
      </c>
      <c r="N5921" s="6">
        <v>20.25</v>
      </c>
      <c r="O5921" s="7">
        <v>19.437999999999999</v>
      </c>
      <c r="P5921" s="2" t="s">
        <v>18205</v>
      </c>
      <c r="Q5921" s="6">
        <v>100</v>
      </c>
      <c r="R5921" s="6">
        <v>10.86</v>
      </c>
      <c r="S5921" s="5">
        <v>0.6</v>
      </c>
      <c r="T5921" s="5">
        <v>1</v>
      </c>
      <c r="U5921" s="5">
        <v>5.2</v>
      </c>
      <c r="V5921" s="6">
        <v>0.17</v>
      </c>
      <c r="W5921" s="6">
        <v>6.25</v>
      </c>
      <c r="X5921" s="5">
        <v>5.5</v>
      </c>
      <c r="Y5921" s="6">
        <v>7.25</v>
      </c>
      <c r="Z5921" s="7">
        <v>10.125</v>
      </c>
      <c r="AA5921" s="6">
        <v>3.38</v>
      </c>
      <c r="AB5921" s="7">
        <v>138.476</v>
      </c>
      <c r="AC5921" s="5">
        <v>150.4</v>
      </c>
    </row>
    <row r="5922" spans="1:29" ht="182" x14ac:dyDescent="0.15">
      <c r="A5922" s="3">
        <f>DATE(2000,12,18)</f>
        <v>36878</v>
      </c>
      <c r="B5922" s="3">
        <f>DATE(2001,11,27)</f>
        <v>37222</v>
      </c>
      <c r="C5922" s="2" t="s">
        <v>95</v>
      </c>
      <c r="D5922" s="2" t="s">
        <v>18206</v>
      </c>
      <c r="E5922" s="2" t="s">
        <v>4695</v>
      </c>
      <c r="F5922" s="4">
        <v>2337</v>
      </c>
      <c r="G5922" s="2" t="s">
        <v>708</v>
      </c>
      <c r="H5922" s="2" t="s">
        <v>34</v>
      </c>
      <c r="I5922" s="2" t="s">
        <v>18207</v>
      </c>
      <c r="J5922" s="2" t="s">
        <v>18208</v>
      </c>
      <c r="K5922" s="2" t="s">
        <v>358</v>
      </c>
      <c r="L5922" s="2" t="s">
        <v>133</v>
      </c>
      <c r="M5922" s="2"/>
      <c r="N5922" s="2"/>
      <c r="O5922" s="2"/>
      <c r="P5922" s="2" t="s">
        <v>18209</v>
      </c>
      <c r="Q5922" s="6">
        <v>100</v>
      </c>
      <c r="R5922" s="6">
        <v>10.75</v>
      </c>
      <c r="S5922" s="5">
        <v>18.399999999999999</v>
      </c>
      <c r="T5922" s="5">
        <v>28.7</v>
      </c>
      <c r="U5922" s="5">
        <v>7.1</v>
      </c>
      <c r="V5922" s="6">
        <v>0.82</v>
      </c>
      <c r="W5922" s="9">
        <v>4.8125</v>
      </c>
      <c r="X5922" s="7">
        <v>4.875</v>
      </c>
      <c r="Y5922" s="5">
        <v>8.5</v>
      </c>
      <c r="Z5922" s="9">
        <v>8.4375</v>
      </c>
      <c r="AA5922" s="6">
        <v>22.14</v>
      </c>
      <c r="AB5922" s="7">
        <v>12.311</v>
      </c>
      <c r="AC5922" s="10">
        <v>1902.97</v>
      </c>
    </row>
    <row r="5923" spans="1:29" ht="78" x14ac:dyDescent="0.15">
      <c r="A5923" s="3">
        <f>DATE(2000,12,18)</f>
        <v>36878</v>
      </c>
      <c r="B5923" s="3">
        <f>DATE(2001,3,30)</f>
        <v>36980</v>
      </c>
      <c r="C5923" s="2" t="s">
        <v>95</v>
      </c>
      <c r="D5923" s="2" t="s">
        <v>18210</v>
      </c>
      <c r="E5923" s="2" t="s">
        <v>1072</v>
      </c>
      <c r="F5923" s="4">
        <v>6799</v>
      </c>
      <c r="G5923" s="2" t="s">
        <v>53</v>
      </c>
      <c r="H5923" s="2" t="s">
        <v>34</v>
      </c>
      <c r="I5923" s="2" t="s">
        <v>6678</v>
      </c>
      <c r="J5923" s="2" t="s">
        <v>159</v>
      </c>
      <c r="K5923" s="2" t="s">
        <v>37</v>
      </c>
      <c r="L5923" s="2" t="s">
        <v>34</v>
      </c>
      <c r="M5923" s="12">
        <v>4971.4579999999996</v>
      </c>
      <c r="N5923" s="5">
        <v>25.5</v>
      </c>
      <c r="O5923" s="7">
        <v>26.312999999999999</v>
      </c>
      <c r="P5923" s="2" t="s">
        <v>18211</v>
      </c>
      <c r="Q5923" s="6">
        <v>100</v>
      </c>
      <c r="R5923" s="6">
        <v>27</v>
      </c>
      <c r="S5923" s="5">
        <v>47.3</v>
      </c>
      <c r="T5923" s="5">
        <v>170.2</v>
      </c>
      <c r="U5923" s="5">
        <v>9.4</v>
      </c>
      <c r="V5923" s="6">
        <v>1.64</v>
      </c>
      <c r="W5923" s="7">
        <v>18.125</v>
      </c>
      <c r="X5923" s="7">
        <v>19.437999999999999</v>
      </c>
      <c r="Y5923" s="7">
        <v>26.312999999999999</v>
      </c>
      <c r="Z5923" s="7">
        <v>26.312999999999999</v>
      </c>
      <c r="AA5923" s="6">
        <v>28.56</v>
      </c>
      <c r="AB5923" s="7">
        <v>6.6559999999999997</v>
      </c>
      <c r="AC5923" s="8">
        <v>1325.9</v>
      </c>
    </row>
    <row r="5924" spans="1:29" ht="65" x14ac:dyDescent="0.15">
      <c r="A5924" s="3">
        <f>DATE(2000,12,18)</f>
        <v>36878</v>
      </c>
      <c r="B5924" s="2"/>
      <c r="C5924" s="2" t="s">
        <v>56</v>
      </c>
      <c r="D5924" s="2" t="s">
        <v>18212</v>
      </c>
      <c r="E5924" s="2" t="s">
        <v>18213</v>
      </c>
      <c r="F5924" s="4">
        <v>3577</v>
      </c>
      <c r="G5924" s="2" t="s">
        <v>50</v>
      </c>
      <c r="H5924" s="2" t="s">
        <v>34</v>
      </c>
      <c r="I5924" s="2" t="s">
        <v>18214</v>
      </c>
      <c r="J5924" s="2" t="s">
        <v>18215</v>
      </c>
      <c r="K5924" s="2" t="s">
        <v>551</v>
      </c>
      <c r="L5924" s="2" t="s">
        <v>34</v>
      </c>
      <c r="M5924" s="7">
        <v>34.896000000000001</v>
      </c>
      <c r="N5924" s="4">
        <v>3</v>
      </c>
      <c r="O5924" s="7">
        <v>2.6880000000000002</v>
      </c>
      <c r="P5924" s="2" t="s">
        <v>18216</v>
      </c>
      <c r="Q5924" s="2"/>
      <c r="R5924" s="6">
        <v>3.75</v>
      </c>
      <c r="S5924" s="5">
        <v>0.3</v>
      </c>
      <c r="T5924" s="2"/>
      <c r="U5924" s="5">
        <v>4.4000000000000004</v>
      </c>
      <c r="V5924" s="6">
        <v>0.06</v>
      </c>
      <c r="W5924" s="4">
        <v>2</v>
      </c>
      <c r="X5924" s="6">
        <v>2.25</v>
      </c>
      <c r="Y5924" s="6">
        <v>2.75</v>
      </c>
      <c r="Z5924" s="11">
        <v>2.421875</v>
      </c>
      <c r="AA5924" s="6">
        <v>3.29</v>
      </c>
      <c r="AB5924" s="2" t="s">
        <v>86</v>
      </c>
      <c r="AC5924" s="6">
        <v>2.19</v>
      </c>
    </row>
    <row r="5925" spans="1:29" ht="117" x14ac:dyDescent="0.15">
      <c r="A5925" s="3">
        <f>DATE(2000,12,19)</f>
        <v>36879</v>
      </c>
      <c r="B5925" s="3">
        <f>DATE(2001,1,31)</f>
        <v>36922</v>
      </c>
      <c r="C5925" s="2" t="s">
        <v>95</v>
      </c>
      <c r="D5925" s="2" t="s">
        <v>18217</v>
      </c>
      <c r="E5925" s="2" t="s">
        <v>18218</v>
      </c>
      <c r="F5925" s="4">
        <v>7374</v>
      </c>
      <c r="G5925" s="2" t="s">
        <v>223</v>
      </c>
      <c r="H5925" s="2" t="s">
        <v>34</v>
      </c>
      <c r="I5925" s="2" t="s">
        <v>7176</v>
      </c>
      <c r="J5925" s="2" t="s">
        <v>417</v>
      </c>
      <c r="K5925" s="2" t="s">
        <v>186</v>
      </c>
      <c r="L5925" s="2" t="s">
        <v>2105</v>
      </c>
      <c r="M5925" s="2"/>
      <c r="N5925" s="2"/>
      <c r="O5925" s="2"/>
      <c r="P5925" s="2" t="s">
        <v>18219</v>
      </c>
      <c r="Q5925" s="6">
        <v>100</v>
      </c>
      <c r="R5925" s="6">
        <v>4.3600000000000003</v>
      </c>
      <c r="S5925" s="5">
        <v>-20</v>
      </c>
      <c r="T5925" s="5">
        <v>-15.3</v>
      </c>
      <c r="U5925" s="5">
        <v>1.3</v>
      </c>
      <c r="V5925" s="6">
        <v>-1.6</v>
      </c>
      <c r="W5925" s="7">
        <v>1.0309999999999999</v>
      </c>
      <c r="X5925" s="5">
        <v>1.5</v>
      </c>
      <c r="Y5925" s="7">
        <v>4.1879999999999997</v>
      </c>
      <c r="Z5925" s="7">
        <v>4.2190000000000003</v>
      </c>
      <c r="AA5925" s="6">
        <v>21.24</v>
      </c>
      <c r="AB5925" s="2" t="s">
        <v>86</v>
      </c>
      <c r="AC5925" s="6">
        <v>108.76</v>
      </c>
    </row>
    <row r="5926" spans="1:29" ht="130" x14ac:dyDescent="0.15">
      <c r="A5926" s="3">
        <f>DATE(2000,12,20)</f>
        <v>36880</v>
      </c>
      <c r="B5926" s="3">
        <f>DATE(2001,2,27)</f>
        <v>36949</v>
      </c>
      <c r="C5926" s="2" t="s">
        <v>95</v>
      </c>
      <c r="D5926" s="2" t="s">
        <v>17106</v>
      </c>
      <c r="E5926" s="2" t="s">
        <v>17107</v>
      </c>
      <c r="F5926" s="4">
        <v>3296</v>
      </c>
      <c r="G5926" s="2" t="s">
        <v>237</v>
      </c>
      <c r="H5926" s="2" t="s">
        <v>34</v>
      </c>
      <c r="I5926" s="2" t="s">
        <v>18220</v>
      </c>
      <c r="J5926" s="2" t="s">
        <v>1072</v>
      </c>
      <c r="K5926" s="2" t="s">
        <v>7998</v>
      </c>
      <c r="L5926" s="2" t="s">
        <v>34</v>
      </c>
      <c r="M5926" s="2"/>
      <c r="N5926" s="4">
        <v>66500</v>
      </c>
      <c r="O5926" s="4">
        <v>66200</v>
      </c>
      <c r="P5926" s="2" t="s">
        <v>18221</v>
      </c>
      <c r="Q5926" s="6">
        <v>100</v>
      </c>
      <c r="R5926" s="6">
        <v>13</v>
      </c>
      <c r="S5926" s="5">
        <v>206.8</v>
      </c>
      <c r="T5926" s="5">
        <v>491.8</v>
      </c>
      <c r="U5926" s="5">
        <v>6.7</v>
      </c>
      <c r="V5926" s="6">
        <v>1.38</v>
      </c>
      <c r="W5926" s="4">
        <v>10</v>
      </c>
      <c r="X5926" s="6">
        <v>10.75</v>
      </c>
      <c r="Y5926" s="7">
        <v>12.875</v>
      </c>
      <c r="Z5926" s="7">
        <v>12.875</v>
      </c>
      <c r="AA5926" s="6">
        <v>147.74</v>
      </c>
      <c r="AB5926" s="7">
        <v>5.9530000000000003</v>
      </c>
      <c r="AC5926" s="2"/>
    </row>
    <row r="5927" spans="1:29" ht="91" x14ac:dyDescent="0.15">
      <c r="A5927" s="3">
        <f>DATE(2000,12,20)</f>
        <v>36880</v>
      </c>
      <c r="B5927" s="3">
        <f>DATE(2001,2,9)</f>
        <v>36931</v>
      </c>
      <c r="C5927" s="2" t="s">
        <v>95</v>
      </c>
      <c r="D5927" s="2" t="s">
        <v>18222</v>
      </c>
      <c r="E5927" s="2" t="s">
        <v>18223</v>
      </c>
      <c r="F5927" s="4">
        <v>4412</v>
      </c>
      <c r="G5927" s="2" t="s">
        <v>173</v>
      </c>
      <c r="H5927" s="2" t="s">
        <v>34</v>
      </c>
      <c r="I5927" s="2" t="s">
        <v>18224</v>
      </c>
      <c r="J5927" s="2" t="s">
        <v>18225</v>
      </c>
      <c r="K5927" s="2" t="s">
        <v>173</v>
      </c>
      <c r="L5927" s="2" t="s">
        <v>34</v>
      </c>
      <c r="M5927" s="6">
        <v>119.25</v>
      </c>
      <c r="N5927" s="4">
        <v>650</v>
      </c>
      <c r="O5927" s="4">
        <v>650</v>
      </c>
      <c r="P5927" s="2" t="s">
        <v>18226</v>
      </c>
      <c r="Q5927" s="6">
        <v>100</v>
      </c>
      <c r="R5927" s="6">
        <v>7</v>
      </c>
      <c r="S5927" s="5">
        <v>0.8</v>
      </c>
      <c r="T5927" s="5">
        <v>11.9</v>
      </c>
      <c r="U5927" s="5">
        <v>2.8</v>
      </c>
      <c r="V5927" s="6">
        <v>0.14000000000000001</v>
      </c>
      <c r="W5927" s="7">
        <v>5.125</v>
      </c>
      <c r="X5927" s="4">
        <v>5</v>
      </c>
      <c r="Y5927" s="4">
        <v>5</v>
      </c>
      <c r="Z5927" s="7">
        <v>6.8440000000000003</v>
      </c>
      <c r="AA5927" s="6">
        <v>6.56</v>
      </c>
      <c r="AB5927" s="2" t="s">
        <v>86</v>
      </c>
      <c r="AC5927" s="2"/>
    </row>
    <row r="5928" spans="1:29" ht="65" x14ac:dyDescent="0.15">
      <c r="A5928" s="3">
        <f>DATE(2000,12,21)</f>
        <v>36881</v>
      </c>
      <c r="B5928" s="2"/>
      <c r="C5928" s="2" t="s">
        <v>7330</v>
      </c>
      <c r="D5928" s="2" t="s">
        <v>13457</v>
      </c>
      <c r="E5928" s="2" t="s">
        <v>3900</v>
      </c>
      <c r="F5928" s="4">
        <v>5812</v>
      </c>
      <c r="G5928" s="2" t="s">
        <v>230</v>
      </c>
      <c r="H5928" s="2" t="s">
        <v>34</v>
      </c>
      <c r="I5928" s="2" t="s">
        <v>18227</v>
      </c>
      <c r="J5928" s="2" t="s">
        <v>844</v>
      </c>
      <c r="K5928" s="2" t="s">
        <v>109</v>
      </c>
      <c r="L5928" s="2" t="s">
        <v>34</v>
      </c>
      <c r="M5928" s="2"/>
      <c r="N5928" s="2"/>
      <c r="O5928" s="2"/>
      <c r="P5928" s="2" t="s">
        <v>18228</v>
      </c>
      <c r="Q5928" s="2"/>
      <c r="R5928" s="6">
        <v>2.75</v>
      </c>
      <c r="S5928" s="5">
        <v>1</v>
      </c>
      <c r="T5928" s="5">
        <v>3.3</v>
      </c>
      <c r="U5928" s="5">
        <v>1.9</v>
      </c>
      <c r="V5928" s="6">
        <v>0.13</v>
      </c>
      <c r="W5928" s="6">
        <v>3.25</v>
      </c>
      <c r="X5928" s="7">
        <v>2.8130000000000002</v>
      </c>
      <c r="Y5928" s="11">
        <v>3.03125</v>
      </c>
      <c r="Z5928" s="7">
        <v>3.125</v>
      </c>
      <c r="AA5928" s="6">
        <v>7.66</v>
      </c>
      <c r="AB5928" s="7">
        <v>17.506</v>
      </c>
      <c r="AC5928" s="2"/>
    </row>
    <row r="5929" spans="1:29" ht="104" x14ac:dyDescent="0.15">
      <c r="A5929" s="3">
        <f>DATE(2000,12,21)</f>
        <v>36881</v>
      </c>
      <c r="B5929" s="3">
        <f>DATE(2001,4,5)</f>
        <v>36986</v>
      </c>
      <c r="C5929" s="2" t="s">
        <v>95</v>
      </c>
      <c r="D5929" s="2" t="s">
        <v>18229</v>
      </c>
      <c r="E5929" s="2" t="s">
        <v>18230</v>
      </c>
      <c r="F5929" s="4">
        <v>7372</v>
      </c>
      <c r="G5929" s="2" t="s">
        <v>551</v>
      </c>
      <c r="H5929" s="2" t="s">
        <v>34</v>
      </c>
      <c r="I5929" s="2" t="s">
        <v>15288</v>
      </c>
      <c r="J5929" s="2" t="s">
        <v>1550</v>
      </c>
      <c r="K5929" s="2" t="s">
        <v>551</v>
      </c>
      <c r="L5929" s="2" t="s">
        <v>34</v>
      </c>
      <c r="M5929" s="12">
        <v>363932.06300000002</v>
      </c>
      <c r="N5929" s="7">
        <v>43.438000000000002</v>
      </c>
      <c r="O5929" s="7">
        <v>46.438000000000002</v>
      </c>
      <c r="P5929" s="2" t="s">
        <v>18231</v>
      </c>
      <c r="Q5929" s="6">
        <v>100</v>
      </c>
      <c r="R5929" s="6">
        <v>45.65</v>
      </c>
      <c r="S5929" s="5">
        <v>-20.8</v>
      </c>
      <c r="T5929" s="5">
        <v>25.1</v>
      </c>
      <c r="U5929" s="5">
        <v>14.9</v>
      </c>
      <c r="V5929" s="6">
        <v>-1.03</v>
      </c>
      <c r="W5929" s="7">
        <v>56.938000000000002</v>
      </c>
      <c r="X5929" s="7">
        <v>35.313000000000002</v>
      </c>
      <c r="Y5929" s="7">
        <v>46.563000000000002</v>
      </c>
      <c r="Z5929" s="7">
        <v>50.063000000000002</v>
      </c>
      <c r="AA5929" s="6">
        <v>20.07</v>
      </c>
      <c r="AB5929" s="2" t="s">
        <v>86</v>
      </c>
      <c r="AC5929" s="8">
        <v>2641</v>
      </c>
    </row>
    <row r="5930" spans="1:29" ht="325" x14ac:dyDescent="0.15">
      <c r="A5930" s="3">
        <f>DATE(2000,12,21)</f>
        <v>36881</v>
      </c>
      <c r="B5930" s="3">
        <f>DATE(2001,5,30)</f>
        <v>37041</v>
      </c>
      <c r="C5930" s="2" t="s">
        <v>95</v>
      </c>
      <c r="D5930" s="2" t="s">
        <v>1849</v>
      </c>
      <c r="E5930" s="2" t="s">
        <v>1850</v>
      </c>
      <c r="F5930" s="4">
        <v>3812</v>
      </c>
      <c r="G5930" s="2" t="s">
        <v>226</v>
      </c>
      <c r="H5930" s="2" t="s">
        <v>34</v>
      </c>
      <c r="I5930" s="2" t="s">
        <v>9671</v>
      </c>
      <c r="J5930" s="2" t="s">
        <v>9672</v>
      </c>
      <c r="K5930" s="2" t="s">
        <v>226</v>
      </c>
      <c r="L5930" s="2" t="s">
        <v>34</v>
      </c>
      <c r="M5930" s="12">
        <v>5825.8549999999996</v>
      </c>
      <c r="N5930" s="7">
        <v>81.938000000000002</v>
      </c>
      <c r="O5930" s="7">
        <v>74.125</v>
      </c>
      <c r="P5930" s="2" t="s">
        <v>18232</v>
      </c>
      <c r="Q5930" s="6">
        <v>100</v>
      </c>
      <c r="R5930" s="6">
        <v>80.25</v>
      </c>
      <c r="S5930" s="5">
        <v>202.8</v>
      </c>
      <c r="T5930" s="5">
        <v>619.29999999999995</v>
      </c>
      <c r="U5930" s="5">
        <v>33.9</v>
      </c>
      <c r="V5930" s="6">
        <v>4.41</v>
      </c>
      <c r="W5930" s="7">
        <v>60.688000000000002</v>
      </c>
      <c r="X5930" s="7">
        <v>61.688000000000002</v>
      </c>
      <c r="Y5930" s="7">
        <v>62.625</v>
      </c>
      <c r="Z5930" s="7">
        <v>77.938000000000002</v>
      </c>
      <c r="AA5930" s="6">
        <v>49.65</v>
      </c>
      <c r="AB5930" s="7">
        <v>11.531000000000001</v>
      </c>
      <c r="AC5930" s="5">
        <v>319</v>
      </c>
    </row>
    <row r="5931" spans="1:29" ht="130" x14ac:dyDescent="0.15">
      <c r="A5931" s="3">
        <f>DATE(2000,12,21)</f>
        <v>36881</v>
      </c>
      <c r="B5931" s="3">
        <f>DATE(2001,4,18)</f>
        <v>36999</v>
      </c>
      <c r="C5931" s="2" t="s">
        <v>95</v>
      </c>
      <c r="D5931" s="2" t="s">
        <v>18233</v>
      </c>
      <c r="E5931" s="2" t="s">
        <v>10711</v>
      </c>
      <c r="F5931" s="4">
        <v>7375</v>
      </c>
      <c r="G5931" s="2" t="s">
        <v>223</v>
      </c>
      <c r="H5931" s="2" t="s">
        <v>34</v>
      </c>
      <c r="I5931" s="2" t="s">
        <v>13454</v>
      </c>
      <c r="J5931" s="2" t="s">
        <v>13455</v>
      </c>
      <c r="K5931" s="2" t="s">
        <v>63</v>
      </c>
      <c r="L5931" s="2" t="s">
        <v>34</v>
      </c>
      <c r="M5931" s="2"/>
      <c r="N5931" s="2"/>
      <c r="O5931" s="2"/>
      <c r="P5931" s="2" t="s">
        <v>18234</v>
      </c>
      <c r="Q5931" s="6">
        <v>100</v>
      </c>
      <c r="R5931" s="6">
        <v>2.15</v>
      </c>
      <c r="S5931" s="5">
        <v>-43.4</v>
      </c>
      <c r="T5931" s="7">
        <v>-39.872</v>
      </c>
      <c r="U5931" s="5">
        <v>2.9</v>
      </c>
      <c r="V5931" s="9">
        <v>-0.52990000000000004</v>
      </c>
      <c r="W5931" s="7">
        <v>1.7190000000000001</v>
      </c>
      <c r="X5931" s="7">
        <v>1.4059999999999999</v>
      </c>
      <c r="Y5931" s="7">
        <v>2.0310000000000001</v>
      </c>
      <c r="Z5931" s="7">
        <v>2.0310000000000001</v>
      </c>
      <c r="AA5931" s="6">
        <v>84.03</v>
      </c>
      <c r="AB5931" s="2" t="s">
        <v>86</v>
      </c>
      <c r="AC5931" s="5">
        <v>238.2</v>
      </c>
    </row>
    <row r="5932" spans="1:29" ht="78" x14ac:dyDescent="0.15">
      <c r="A5932" s="3">
        <f t="shared" ref="A5932:A5937" si="144">DATE(2000,12,22)</f>
        <v>36882</v>
      </c>
      <c r="B5932" s="2"/>
      <c r="C5932" s="2" t="s">
        <v>7330</v>
      </c>
      <c r="D5932" s="2" t="s">
        <v>8663</v>
      </c>
      <c r="E5932" s="2" t="s">
        <v>8664</v>
      </c>
      <c r="F5932" s="4">
        <v>2511</v>
      </c>
      <c r="G5932" s="2" t="s">
        <v>250</v>
      </c>
      <c r="H5932" s="2" t="s">
        <v>34</v>
      </c>
      <c r="I5932" s="2" t="s">
        <v>18235</v>
      </c>
      <c r="J5932" s="2" t="s">
        <v>1032</v>
      </c>
      <c r="K5932" s="2" t="s">
        <v>53</v>
      </c>
      <c r="L5932" s="2" t="s">
        <v>34</v>
      </c>
      <c r="M5932" s="2"/>
      <c r="N5932" s="2"/>
      <c r="O5932" s="2"/>
      <c r="P5932" s="2" t="s">
        <v>18236</v>
      </c>
      <c r="Q5932" s="2"/>
      <c r="R5932" s="6">
        <v>10.3</v>
      </c>
      <c r="S5932" s="5">
        <v>13.2</v>
      </c>
      <c r="T5932" s="5">
        <v>29.9</v>
      </c>
      <c r="U5932" s="5">
        <v>11.2</v>
      </c>
      <c r="V5932" s="6">
        <v>1.34</v>
      </c>
      <c r="W5932" s="7">
        <v>7.0629999999999997</v>
      </c>
      <c r="X5932" s="7">
        <v>6.8129999999999997</v>
      </c>
      <c r="Y5932" s="9">
        <v>10.0625</v>
      </c>
      <c r="Z5932" s="9">
        <v>10.0625</v>
      </c>
      <c r="AA5932" s="6">
        <v>9.58</v>
      </c>
      <c r="AB5932" s="7">
        <v>5.2830000000000004</v>
      </c>
      <c r="AC5932" s="2"/>
    </row>
    <row r="5933" spans="1:29" ht="208" x14ac:dyDescent="0.15">
      <c r="A5933" s="3">
        <f t="shared" si="144"/>
        <v>36882</v>
      </c>
      <c r="B5933" s="3">
        <f>DATE(2001,3,15)</f>
        <v>36965</v>
      </c>
      <c r="C5933" s="2" t="s">
        <v>95</v>
      </c>
      <c r="D5933" s="2" t="s">
        <v>18237</v>
      </c>
      <c r="E5933" s="2" t="s">
        <v>11796</v>
      </c>
      <c r="F5933" s="4">
        <v>3714</v>
      </c>
      <c r="G5933" s="2" t="s">
        <v>105</v>
      </c>
      <c r="H5933" s="2" t="s">
        <v>34</v>
      </c>
      <c r="I5933" s="2" t="s">
        <v>18235</v>
      </c>
      <c r="J5933" s="2" t="s">
        <v>1032</v>
      </c>
      <c r="K5933" s="2" t="s">
        <v>53</v>
      </c>
      <c r="L5933" s="2" t="s">
        <v>34</v>
      </c>
      <c r="M5933" s="2"/>
      <c r="N5933" s="2"/>
      <c r="O5933" s="2"/>
      <c r="P5933" s="2" t="s">
        <v>18238</v>
      </c>
      <c r="Q5933" s="6">
        <v>66.66</v>
      </c>
      <c r="R5933" s="6">
        <v>9.5</v>
      </c>
      <c r="S5933" s="5">
        <v>10.9</v>
      </c>
      <c r="T5933" s="7">
        <v>144.179</v>
      </c>
      <c r="U5933" s="5">
        <v>5</v>
      </c>
      <c r="V5933" s="6">
        <v>0.42</v>
      </c>
      <c r="W5933" s="4">
        <v>6</v>
      </c>
      <c r="X5933" s="7">
        <v>5.4379999999999997</v>
      </c>
      <c r="Y5933" s="6">
        <v>8.25</v>
      </c>
      <c r="Z5933" s="6">
        <v>8.25</v>
      </c>
      <c r="AA5933" s="6">
        <v>18.12</v>
      </c>
      <c r="AB5933" s="7">
        <v>6.7670000000000003</v>
      </c>
      <c r="AC5933" s="2"/>
    </row>
    <row r="5934" spans="1:29" ht="91" x14ac:dyDescent="0.15">
      <c r="A5934" s="3">
        <f t="shared" si="144"/>
        <v>36882</v>
      </c>
      <c r="B5934" s="2"/>
      <c r="C5934" s="2" t="s">
        <v>7330</v>
      </c>
      <c r="D5934" s="2" t="s">
        <v>18239</v>
      </c>
      <c r="E5934" s="2" t="s">
        <v>18240</v>
      </c>
      <c r="F5934" s="4">
        <v>3531</v>
      </c>
      <c r="G5934" s="2" t="s">
        <v>300</v>
      </c>
      <c r="H5934" s="2" t="s">
        <v>34</v>
      </c>
      <c r="I5934" s="2" t="s">
        <v>51</v>
      </c>
      <c r="J5934" s="2" t="s">
        <v>52</v>
      </c>
      <c r="K5934" s="2" t="s">
        <v>53</v>
      </c>
      <c r="L5934" s="2" t="s">
        <v>34</v>
      </c>
      <c r="M5934" s="2"/>
      <c r="N5934" s="2"/>
      <c r="O5934" s="2"/>
      <c r="P5934" s="2" t="s">
        <v>18241</v>
      </c>
      <c r="Q5934" s="2"/>
      <c r="R5934" s="6">
        <v>18</v>
      </c>
      <c r="S5934" s="5">
        <v>13.2</v>
      </c>
      <c r="T5934" s="5">
        <v>32.700000000000003</v>
      </c>
      <c r="U5934" s="5">
        <v>19</v>
      </c>
      <c r="V5934" s="6">
        <v>2.2799999999999998</v>
      </c>
      <c r="W5934" s="7">
        <v>12.125</v>
      </c>
      <c r="X5934" s="6">
        <v>10.75</v>
      </c>
      <c r="Y5934" s="5">
        <v>14.5</v>
      </c>
      <c r="Z5934" s="5">
        <v>14.5</v>
      </c>
      <c r="AA5934" s="6">
        <v>5.37</v>
      </c>
      <c r="AB5934" s="7">
        <v>5.6909999999999998</v>
      </c>
      <c r="AC5934" s="2"/>
    </row>
    <row r="5935" spans="1:29" ht="104" x14ac:dyDescent="0.15">
      <c r="A5935" s="3">
        <f t="shared" si="144"/>
        <v>36882</v>
      </c>
      <c r="B5935" s="3">
        <f>DATE(2001,4,10)</f>
        <v>36991</v>
      </c>
      <c r="C5935" s="2" t="s">
        <v>95</v>
      </c>
      <c r="D5935" s="2" t="s">
        <v>9273</v>
      </c>
      <c r="E5935" s="2" t="s">
        <v>9274</v>
      </c>
      <c r="F5935" s="4">
        <v>2021</v>
      </c>
      <c r="G5935" s="2" t="s">
        <v>577</v>
      </c>
      <c r="H5935" s="2" t="s">
        <v>34</v>
      </c>
      <c r="I5935" s="2" t="s">
        <v>51</v>
      </c>
      <c r="J5935" s="2" t="s">
        <v>52</v>
      </c>
      <c r="K5935" s="2" t="s">
        <v>53</v>
      </c>
      <c r="L5935" s="2" t="s">
        <v>34</v>
      </c>
      <c r="M5935" s="2"/>
      <c r="N5935" s="2"/>
      <c r="O5935" s="2"/>
      <c r="P5935" s="2" t="s">
        <v>18242</v>
      </c>
      <c r="Q5935" s="6">
        <v>100</v>
      </c>
      <c r="R5935" s="6">
        <v>30.1</v>
      </c>
      <c r="S5935" s="5">
        <v>46.8</v>
      </c>
      <c r="T5935" s="5">
        <v>132.69999999999999</v>
      </c>
      <c r="U5935" s="5">
        <v>13.6</v>
      </c>
      <c r="V5935" s="6">
        <v>2.39</v>
      </c>
      <c r="W5935" s="4">
        <v>27</v>
      </c>
      <c r="X5935" s="7">
        <v>27.312999999999999</v>
      </c>
      <c r="Y5935" s="7">
        <v>29.969000000000001</v>
      </c>
      <c r="Z5935" s="7">
        <v>29.969000000000001</v>
      </c>
      <c r="AA5935" s="6">
        <v>18.28</v>
      </c>
      <c r="AB5935" s="7">
        <v>8.5229999999999997</v>
      </c>
      <c r="AC5935" s="2"/>
    </row>
    <row r="5936" spans="1:29" ht="156" x14ac:dyDescent="0.15">
      <c r="A5936" s="3">
        <f t="shared" si="144"/>
        <v>36882</v>
      </c>
      <c r="B5936" s="3">
        <f>DATE(2001,3,26)</f>
        <v>36976</v>
      </c>
      <c r="C5936" s="2" t="s">
        <v>95</v>
      </c>
      <c r="D5936" s="2" t="s">
        <v>18243</v>
      </c>
      <c r="E5936" s="2" t="s">
        <v>18244</v>
      </c>
      <c r="F5936" s="4">
        <v>1311</v>
      </c>
      <c r="G5936" s="2" t="s">
        <v>148</v>
      </c>
      <c r="H5936" s="2" t="s">
        <v>34</v>
      </c>
      <c r="I5936" s="2" t="s">
        <v>18245</v>
      </c>
      <c r="J5936" s="2" t="s">
        <v>18246</v>
      </c>
      <c r="K5936" s="2" t="s">
        <v>148</v>
      </c>
      <c r="L5936" s="2" t="s">
        <v>34</v>
      </c>
      <c r="M5936" s="2"/>
      <c r="N5936" s="2"/>
      <c r="O5936" s="2"/>
      <c r="P5936" s="2" t="s">
        <v>18247</v>
      </c>
      <c r="Q5936" s="6">
        <v>100</v>
      </c>
      <c r="R5936" s="6">
        <v>19</v>
      </c>
      <c r="S5936" s="5">
        <v>5.2</v>
      </c>
      <c r="T5936" s="5">
        <v>11.9</v>
      </c>
      <c r="U5936" s="5">
        <v>2.9</v>
      </c>
      <c r="V5936" s="6">
        <v>0.23</v>
      </c>
      <c r="W5936" s="4">
        <v>14</v>
      </c>
      <c r="X5936" s="7">
        <v>14.625</v>
      </c>
      <c r="Y5936" s="7">
        <v>14.625</v>
      </c>
      <c r="Z5936" s="7">
        <v>14.625</v>
      </c>
      <c r="AA5936" s="6">
        <v>19.62</v>
      </c>
      <c r="AB5936" s="7">
        <v>60.716999999999999</v>
      </c>
      <c r="AC5936" s="2"/>
    </row>
    <row r="5937" spans="1:29" ht="78" x14ac:dyDescent="0.15">
      <c r="A5937" s="3">
        <f t="shared" si="144"/>
        <v>36882</v>
      </c>
      <c r="B5937" s="3">
        <f>DATE(2001,6,6)</f>
        <v>37048</v>
      </c>
      <c r="C5937" s="2" t="s">
        <v>95</v>
      </c>
      <c r="D5937" s="2" t="s">
        <v>10545</v>
      </c>
      <c r="E5937" s="2" t="s">
        <v>612</v>
      </c>
      <c r="F5937" s="4">
        <v>1311</v>
      </c>
      <c r="G5937" s="2" t="s">
        <v>148</v>
      </c>
      <c r="H5937" s="2" t="s">
        <v>34</v>
      </c>
      <c r="I5937" s="2" t="s">
        <v>18248</v>
      </c>
      <c r="J5937" s="2" t="s">
        <v>18249</v>
      </c>
      <c r="K5937" s="2" t="s">
        <v>148</v>
      </c>
      <c r="L5937" s="2" t="s">
        <v>34</v>
      </c>
      <c r="M5937" s="7">
        <v>85.912999999999997</v>
      </c>
      <c r="N5937" s="7">
        <v>9.875</v>
      </c>
      <c r="O5937" s="7">
        <v>9.875</v>
      </c>
      <c r="P5937" s="2" t="s">
        <v>18250</v>
      </c>
      <c r="Q5937" s="6">
        <v>63.05</v>
      </c>
      <c r="R5937" s="6">
        <v>4.17</v>
      </c>
      <c r="S5937" s="5">
        <v>-9.8000000000000007</v>
      </c>
      <c r="T5937" s="7">
        <v>13.695</v>
      </c>
      <c r="U5937" s="5">
        <v>4</v>
      </c>
      <c r="V5937" s="6">
        <v>-3.76</v>
      </c>
      <c r="W5937" s="6">
        <v>3.25</v>
      </c>
      <c r="X5937" s="7">
        <v>3.125</v>
      </c>
      <c r="Y5937" s="5">
        <v>0.5</v>
      </c>
      <c r="Z5937" s="5">
        <v>0.5</v>
      </c>
      <c r="AA5937" s="6">
        <v>12.23</v>
      </c>
      <c r="AB5937" s="2" t="s">
        <v>86</v>
      </c>
      <c r="AC5937" s="5">
        <v>11.9</v>
      </c>
    </row>
    <row r="5938" spans="1:29" ht="130" x14ac:dyDescent="0.15">
      <c r="A5938" s="3">
        <f>DATE(2000,12,23)</f>
        <v>36883</v>
      </c>
      <c r="B5938" s="3">
        <f>DATE(2002,2,7)</f>
        <v>37294</v>
      </c>
      <c r="C5938" s="2" t="s">
        <v>95</v>
      </c>
      <c r="D5938" s="2" t="s">
        <v>9625</v>
      </c>
      <c r="E5938" s="2" t="s">
        <v>9626</v>
      </c>
      <c r="F5938" s="4">
        <v>4741</v>
      </c>
      <c r="G5938" s="2" t="s">
        <v>173</v>
      </c>
      <c r="H5938" s="2" t="s">
        <v>34</v>
      </c>
      <c r="I5938" s="2" t="s">
        <v>18251</v>
      </c>
      <c r="J5938" s="2" t="s">
        <v>1072</v>
      </c>
      <c r="K5938" s="2" t="s">
        <v>53</v>
      </c>
      <c r="L5938" s="2" t="s">
        <v>34</v>
      </c>
      <c r="M5938" s="2"/>
      <c r="N5938" s="2"/>
      <c r="O5938" s="2"/>
      <c r="P5938" s="2" t="s">
        <v>18252</v>
      </c>
      <c r="Q5938" s="6">
        <v>100</v>
      </c>
      <c r="R5938" s="6">
        <v>3.46</v>
      </c>
      <c r="S5938" s="5">
        <v>2.5</v>
      </c>
      <c r="T5938" s="2"/>
      <c r="U5938" s="5">
        <v>7.1</v>
      </c>
      <c r="V5938" s="6">
        <v>0.33</v>
      </c>
      <c r="W5938" s="6">
        <v>2.25</v>
      </c>
      <c r="X5938" s="6">
        <v>2.25</v>
      </c>
      <c r="Y5938" s="6">
        <v>2.25</v>
      </c>
      <c r="Z5938" s="6">
        <v>2.25</v>
      </c>
      <c r="AA5938" s="6">
        <v>7.45</v>
      </c>
      <c r="AB5938" s="7">
        <v>4.4809999999999999</v>
      </c>
      <c r="AC5938" s="2"/>
    </row>
    <row r="5939" spans="1:29" ht="78" x14ac:dyDescent="0.15">
      <c r="A5939" s="3">
        <f>DATE(2000,12,26)</f>
        <v>36886</v>
      </c>
      <c r="B5939" s="3">
        <f>DATE(2001,2,15)</f>
        <v>36937</v>
      </c>
      <c r="C5939" s="2" t="s">
        <v>95</v>
      </c>
      <c r="D5939" s="2" t="s">
        <v>17754</v>
      </c>
      <c r="E5939" s="2" t="s">
        <v>7375</v>
      </c>
      <c r="F5939" s="4">
        <v>7311</v>
      </c>
      <c r="G5939" s="2" t="s">
        <v>4563</v>
      </c>
      <c r="H5939" s="2" t="s">
        <v>34</v>
      </c>
      <c r="I5939" s="2" t="s">
        <v>18253</v>
      </c>
      <c r="J5939" s="2" t="s">
        <v>18254</v>
      </c>
      <c r="K5939" s="2" t="s">
        <v>186</v>
      </c>
      <c r="L5939" s="2" t="s">
        <v>5907</v>
      </c>
      <c r="M5939" s="2"/>
      <c r="N5939" s="2"/>
      <c r="O5939" s="2"/>
      <c r="P5939" s="2" t="s">
        <v>18255</v>
      </c>
      <c r="Q5939" s="6">
        <v>100</v>
      </c>
      <c r="R5939" s="6">
        <v>7</v>
      </c>
      <c r="S5939" s="5">
        <v>6.3</v>
      </c>
      <c r="T5939" s="5">
        <v>13.1</v>
      </c>
      <c r="U5939" s="5">
        <v>3.2</v>
      </c>
      <c r="V5939" s="6">
        <v>0.44</v>
      </c>
      <c r="W5939" s="7">
        <v>5.5940000000000003</v>
      </c>
      <c r="X5939" s="7">
        <v>4.375</v>
      </c>
      <c r="Y5939" s="7">
        <v>6.6559999999999997</v>
      </c>
      <c r="Z5939" s="7">
        <v>6.6879999999999997</v>
      </c>
      <c r="AA5939" s="6">
        <v>15.53</v>
      </c>
      <c r="AB5939" s="7">
        <v>8.7050000000000001</v>
      </c>
      <c r="AC5939" s="6">
        <v>43.39</v>
      </c>
    </row>
    <row r="5940" spans="1:29" ht="52" x14ac:dyDescent="0.15">
      <c r="A5940" s="3">
        <f>DATE(2000,12,27)</f>
        <v>36887</v>
      </c>
      <c r="B5940" s="3">
        <f>DATE(2000,12,27)</f>
        <v>36887</v>
      </c>
      <c r="C5940" s="2" t="s">
        <v>95</v>
      </c>
      <c r="D5940" s="2" t="s">
        <v>18256</v>
      </c>
      <c r="E5940" s="2" t="s">
        <v>18257</v>
      </c>
      <c r="F5940" s="4">
        <v>3845</v>
      </c>
      <c r="G5940" s="2" t="s">
        <v>226</v>
      </c>
      <c r="H5940" s="2" t="s">
        <v>34</v>
      </c>
      <c r="I5940" s="2" t="s">
        <v>18258</v>
      </c>
      <c r="J5940" s="2" t="s">
        <v>6185</v>
      </c>
      <c r="K5940" s="2" t="s">
        <v>454</v>
      </c>
      <c r="L5940" s="2" t="s">
        <v>210</v>
      </c>
      <c r="M5940" s="2"/>
      <c r="N5940" s="2"/>
      <c r="O5940" s="2"/>
      <c r="P5940" s="2" t="s">
        <v>18259</v>
      </c>
      <c r="Q5940" s="6">
        <v>51.52</v>
      </c>
      <c r="R5940" s="2"/>
      <c r="S5940" s="5">
        <v>1</v>
      </c>
      <c r="T5940" s="2"/>
      <c r="U5940" s="5">
        <v>-2.1</v>
      </c>
      <c r="V5940" s="6">
        <v>-0.2</v>
      </c>
      <c r="W5940" s="7">
        <v>1.9379999999999999</v>
      </c>
      <c r="X5940" s="4">
        <v>2</v>
      </c>
      <c r="Y5940" s="7">
        <v>1.9059999999999999</v>
      </c>
      <c r="Z5940" s="7">
        <v>1.625</v>
      </c>
      <c r="AA5940" s="6">
        <v>1.88</v>
      </c>
      <c r="AB5940" s="2" t="s">
        <v>86</v>
      </c>
      <c r="AC5940" s="2"/>
    </row>
    <row r="5941" spans="1:29" ht="130" x14ac:dyDescent="0.15">
      <c r="A5941" s="3">
        <f>DATE(2000,12,27)</f>
        <v>36887</v>
      </c>
      <c r="B5941" s="3">
        <f>DATE(2001,7,1)</f>
        <v>37073</v>
      </c>
      <c r="C5941" s="2" t="s">
        <v>95</v>
      </c>
      <c r="D5941" s="2" t="s">
        <v>18260</v>
      </c>
      <c r="E5941" s="2" t="s">
        <v>265</v>
      </c>
      <c r="F5941" s="4">
        <v>6021</v>
      </c>
      <c r="G5941" s="2" t="s">
        <v>37</v>
      </c>
      <c r="H5941" s="2" t="s">
        <v>34</v>
      </c>
      <c r="I5941" s="2" t="s">
        <v>4525</v>
      </c>
      <c r="J5941" s="2" t="s">
        <v>36</v>
      </c>
      <c r="K5941" s="2" t="s">
        <v>37</v>
      </c>
      <c r="L5941" s="2" t="s">
        <v>34</v>
      </c>
      <c r="M5941" s="12">
        <v>1504.165</v>
      </c>
      <c r="N5941" s="7">
        <v>23.875</v>
      </c>
      <c r="O5941" s="6">
        <v>22.75</v>
      </c>
      <c r="P5941" s="2" t="s">
        <v>18261</v>
      </c>
      <c r="Q5941" s="6">
        <v>100</v>
      </c>
      <c r="R5941" s="6">
        <v>28.44</v>
      </c>
      <c r="S5941" s="5">
        <v>5.5</v>
      </c>
      <c r="T5941" s="5">
        <v>7.9</v>
      </c>
      <c r="U5941" s="5">
        <v>10.6</v>
      </c>
      <c r="V5941" s="6">
        <v>1.0900000000000001</v>
      </c>
      <c r="W5941" s="6">
        <v>13.25</v>
      </c>
      <c r="X5941" s="6">
        <v>19.75</v>
      </c>
      <c r="Y5941" s="6">
        <v>21.25</v>
      </c>
      <c r="Z5941" s="9">
        <v>26.4375</v>
      </c>
      <c r="AA5941" s="6">
        <v>5.07</v>
      </c>
      <c r="AB5941" s="7">
        <v>140.99799999999999</v>
      </c>
      <c r="AC5941" s="5">
        <v>241.1</v>
      </c>
    </row>
    <row r="5942" spans="1:29" ht="143" x14ac:dyDescent="0.15">
      <c r="A5942" s="3">
        <f>DATE(2000,12,27)</f>
        <v>36887</v>
      </c>
      <c r="B5942" s="2"/>
      <c r="C5942" s="2" t="s">
        <v>30</v>
      </c>
      <c r="D5942" s="2" t="s">
        <v>17390</v>
      </c>
      <c r="E5942" s="2" t="s">
        <v>12536</v>
      </c>
      <c r="F5942" s="4">
        <v>5995</v>
      </c>
      <c r="G5942" s="2" t="s">
        <v>73</v>
      </c>
      <c r="H5942" s="2" t="s">
        <v>34</v>
      </c>
      <c r="I5942" s="2" t="s">
        <v>17391</v>
      </c>
      <c r="J5942" s="2" t="s">
        <v>302</v>
      </c>
      <c r="K5942" s="2" t="s">
        <v>53</v>
      </c>
      <c r="L5942" s="2" t="s">
        <v>34</v>
      </c>
      <c r="M5942" s="2"/>
      <c r="N5942" s="2"/>
      <c r="O5942" s="2"/>
      <c r="P5942" s="2" t="s">
        <v>18262</v>
      </c>
      <c r="Q5942" s="2"/>
      <c r="R5942" s="6">
        <v>4.25</v>
      </c>
      <c r="S5942" s="5">
        <v>-1</v>
      </c>
      <c r="T5942" s="5">
        <v>6.7</v>
      </c>
      <c r="U5942" s="5">
        <v>6.3</v>
      </c>
      <c r="V5942" s="6">
        <v>-0.14000000000000001</v>
      </c>
      <c r="W5942" s="4">
        <v>2</v>
      </c>
      <c r="X5942" s="7">
        <v>2.3130000000000002</v>
      </c>
      <c r="Y5942" s="7">
        <v>3.625</v>
      </c>
      <c r="Z5942" s="7">
        <v>4.125</v>
      </c>
      <c r="AA5942" s="6">
        <v>7.79</v>
      </c>
      <c r="AB5942" s="7">
        <v>24.102</v>
      </c>
      <c r="AC5942" s="2"/>
    </row>
    <row r="5943" spans="1:29" ht="156" x14ac:dyDescent="0.15">
      <c r="A5943" s="3">
        <f>DATE(2000,12,27)</f>
        <v>36887</v>
      </c>
      <c r="B5943" s="2"/>
      <c r="C5943" s="2" t="s">
        <v>56</v>
      </c>
      <c r="D5943" s="2" t="s">
        <v>18263</v>
      </c>
      <c r="E5943" s="2" t="s">
        <v>18264</v>
      </c>
      <c r="F5943" s="4">
        <v>5012</v>
      </c>
      <c r="G5943" s="2" t="s">
        <v>76</v>
      </c>
      <c r="H5943" s="2" t="s">
        <v>34</v>
      </c>
      <c r="I5943" s="2" t="s">
        <v>51</v>
      </c>
      <c r="J5943" s="2" t="s">
        <v>52</v>
      </c>
      <c r="K5943" s="2" t="s">
        <v>53</v>
      </c>
      <c r="L5943" s="2" t="s">
        <v>34</v>
      </c>
      <c r="M5943" s="2"/>
      <c r="N5943" s="2"/>
      <c r="O5943" s="2"/>
      <c r="P5943" s="2" t="s">
        <v>18265</v>
      </c>
      <c r="Q5943" s="2"/>
      <c r="R5943" s="6">
        <v>5</v>
      </c>
      <c r="S5943" s="5">
        <v>-0.6</v>
      </c>
      <c r="T5943" s="7">
        <v>0.28299999999999997</v>
      </c>
      <c r="U5943" s="5">
        <v>8.4</v>
      </c>
      <c r="V5943" s="6">
        <v>-0.46</v>
      </c>
      <c r="W5943" s="7">
        <v>1.6879999999999999</v>
      </c>
      <c r="X5943" s="7">
        <v>1.625</v>
      </c>
      <c r="Y5943" s="6">
        <v>2.75</v>
      </c>
      <c r="Z5943" s="7">
        <v>2.875</v>
      </c>
      <c r="AA5943" s="6">
        <v>1.3</v>
      </c>
      <c r="AB5943" s="2" t="s">
        <v>86</v>
      </c>
      <c r="AC5943" s="2"/>
    </row>
    <row r="5944" spans="1:29" ht="104" x14ac:dyDescent="0.15">
      <c r="A5944" s="3">
        <f>DATE(2000,12,28)</f>
        <v>36888</v>
      </c>
      <c r="B5944" s="2"/>
      <c r="C5944" s="2" t="s">
        <v>30</v>
      </c>
      <c r="D5944" s="2" t="s">
        <v>17895</v>
      </c>
      <c r="E5944" s="2" t="s">
        <v>17896</v>
      </c>
      <c r="F5944" s="4">
        <v>5311</v>
      </c>
      <c r="G5944" s="2" t="s">
        <v>756</v>
      </c>
      <c r="H5944" s="2" t="s">
        <v>34</v>
      </c>
      <c r="I5944" s="2" t="s">
        <v>18266</v>
      </c>
      <c r="J5944" s="2" t="s">
        <v>1032</v>
      </c>
      <c r="K5944" s="2" t="s">
        <v>53</v>
      </c>
      <c r="L5944" s="2" t="s">
        <v>34</v>
      </c>
      <c r="M5944" s="2"/>
      <c r="N5944" s="2"/>
      <c r="O5944" s="2"/>
      <c r="P5944" s="2" t="s">
        <v>18267</v>
      </c>
      <c r="Q5944" s="2"/>
      <c r="R5944" s="6">
        <v>3.5</v>
      </c>
      <c r="S5944" s="5">
        <v>-6.4</v>
      </c>
      <c r="T5944" s="5">
        <v>-8.6999999999999993</v>
      </c>
      <c r="U5944" s="5">
        <v>4.9000000000000004</v>
      </c>
      <c r="V5944" s="6">
        <v>-0.7</v>
      </c>
      <c r="W5944" s="7">
        <v>1.6879999999999999</v>
      </c>
      <c r="X5944" s="4">
        <v>2</v>
      </c>
      <c r="Y5944" s="7">
        <v>2.5939999999999999</v>
      </c>
      <c r="Z5944" s="7">
        <v>4.125</v>
      </c>
      <c r="AA5944" s="6">
        <v>7.5</v>
      </c>
      <c r="AB5944" s="2" t="s">
        <v>86</v>
      </c>
      <c r="AC5944" s="2"/>
    </row>
    <row r="5945" spans="1:29" ht="143" x14ac:dyDescent="0.15">
      <c r="A5945" s="3">
        <f>DATE(2000,12,29)</f>
        <v>36889</v>
      </c>
      <c r="B5945" s="3">
        <f>DATE(2001,7,2)</f>
        <v>37074</v>
      </c>
      <c r="C5945" s="2" t="s">
        <v>95</v>
      </c>
      <c r="D5945" s="2" t="s">
        <v>18268</v>
      </c>
      <c r="E5945" s="2" t="s">
        <v>18269</v>
      </c>
      <c r="F5945" s="4">
        <v>8299</v>
      </c>
      <c r="G5945" s="2" t="s">
        <v>415</v>
      </c>
      <c r="H5945" s="2" t="s">
        <v>34</v>
      </c>
      <c r="I5945" s="2" t="s">
        <v>18270</v>
      </c>
      <c r="J5945" s="2" t="s">
        <v>18271</v>
      </c>
      <c r="K5945" s="2" t="s">
        <v>415</v>
      </c>
      <c r="L5945" s="2" t="s">
        <v>99</v>
      </c>
      <c r="M5945" s="2"/>
      <c r="N5945" s="2"/>
      <c r="O5945" s="2"/>
      <c r="P5945" s="2" t="s">
        <v>18272</v>
      </c>
      <c r="Q5945" s="6">
        <v>45.58</v>
      </c>
      <c r="R5945" s="6">
        <v>16.5</v>
      </c>
      <c r="S5945" s="5">
        <v>-13.2</v>
      </c>
      <c r="T5945" s="5">
        <v>46.6</v>
      </c>
      <c r="U5945" s="5">
        <v>32.299999999999997</v>
      </c>
      <c r="V5945" s="6">
        <v>-1.38</v>
      </c>
      <c r="W5945" s="7">
        <v>8.125</v>
      </c>
      <c r="X5945" s="4">
        <v>8</v>
      </c>
      <c r="Y5945" s="7">
        <v>8.0630000000000006</v>
      </c>
      <c r="Z5945" s="7">
        <v>8.0630000000000006</v>
      </c>
      <c r="AA5945" s="6">
        <v>11.2</v>
      </c>
      <c r="AB5945" s="7">
        <v>25.619</v>
      </c>
      <c r="AC5945" s="6">
        <v>607.16</v>
      </c>
    </row>
    <row r="5946" spans="1:29" ht="195" x14ac:dyDescent="0.15">
      <c r="A5946" s="3">
        <f>DATE(2000,12,29)</f>
        <v>36889</v>
      </c>
      <c r="B5946" s="2"/>
      <c r="C5946" s="2" t="s">
        <v>30</v>
      </c>
      <c r="D5946" s="2" t="s">
        <v>17895</v>
      </c>
      <c r="E5946" s="2" t="s">
        <v>17896</v>
      </c>
      <c r="F5946" s="4">
        <v>5311</v>
      </c>
      <c r="G5946" s="2" t="s">
        <v>756</v>
      </c>
      <c r="H5946" s="2" t="s">
        <v>34</v>
      </c>
      <c r="I5946" s="2" t="s">
        <v>18273</v>
      </c>
      <c r="J5946" s="2" t="s">
        <v>18274</v>
      </c>
      <c r="K5946" s="2" t="s">
        <v>4563</v>
      </c>
      <c r="L5946" s="2" t="s">
        <v>34</v>
      </c>
      <c r="M5946" s="7">
        <v>116.574</v>
      </c>
      <c r="N5946" s="7">
        <v>17.125</v>
      </c>
      <c r="O5946" s="7">
        <v>17.125</v>
      </c>
      <c r="P5946" s="2" t="s">
        <v>18275</v>
      </c>
      <c r="Q5946" s="2"/>
      <c r="R5946" s="6">
        <v>7.04</v>
      </c>
      <c r="S5946" s="5">
        <v>-6.4</v>
      </c>
      <c r="T5946" s="5">
        <v>-8.6999999999999993</v>
      </c>
      <c r="U5946" s="5">
        <v>4.9000000000000004</v>
      </c>
      <c r="V5946" s="6">
        <v>-0.85</v>
      </c>
      <c r="W5946" s="7">
        <v>1.6879999999999999</v>
      </c>
      <c r="X5946" s="4">
        <v>2</v>
      </c>
      <c r="Y5946" s="7">
        <v>2.5939999999999999</v>
      </c>
      <c r="Z5946" s="7">
        <v>4.125</v>
      </c>
      <c r="AA5946" s="6">
        <v>7.5</v>
      </c>
      <c r="AB5946" s="2" t="s">
        <v>86</v>
      </c>
      <c r="AC5946" s="5">
        <v>1.6</v>
      </c>
    </row>
    <row r="5947" spans="1:29" ht="143" x14ac:dyDescent="0.15">
      <c r="A5947" s="3">
        <f>DATE(2000,12,29)</f>
        <v>36889</v>
      </c>
      <c r="B5947" s="2"/>
      <c r="C5947" s="2" t="s">
        <v>30</v>
      </c>
      <c r="D5947" s="2" t="s">
        <v>967</v>
      </c>
      <c r="E5947" s="2" t="s">
        <v>18276</v>
      </c>
      <c r="F5947" s="4">
        <v>3089</v>
      </c>
      <c r="G5947" s="2" t="s">
        <v>447</v>
      </c>
      <c r="H5947" s="2" t="s">
        <v>34</v>
      </c>
      <c r="I5947" s="2" t="s">
        <v>18277</v>
      </c>
      <c r="J5947" s="2" t="s">
        <v>80</v>
      </c>
      <c r="K5947" s="2" t="s">
        <v>53</v>
      </c>
      <c r="L5947" s="2" t="s">
        <v>34</v>
      </c>
      <c r="M5947" s="2"/>
      <c r="N5947" s="2"/>
      <c r="O5947" s="2"/>
      <c r="P5947" s="2" t="s">
        <v>18278</v>
      </c>
      <c r="Q5947" s="2"/>
      <c r="R5947" s="6">
        <v>3.1</v>
      </c>
      <c r="S5947" s="5">
        <v>1.3</v>
      </c>
      <c r="T5947" s="5">
        <v>24.9</v>
      </c>
      <c r="U5947" s="5">
        <v>4.0999999999999996</v>
      </c>
      <c r="V5947" s="6">
        <v>-0.04</v>
      </c>
      <c r="W5947" s="7">
        <v>1.625</v>
      </c>
      <c r="X5947" s="7">
        <v>1.6879999999999999</v>
      </c>
      <c r="Y5947" s="7">
        <v>1.9690000000000001</v>
      </c>
      <c r="Z5947" s="7">
        <v>1.875</v>
      </c>
      <c r="AA5947" s="6">
        <v>22.69</v>
      </c>
      <c r="AB5947" s="7">
        <v>12.832000000000001</v>
      </c>
      <c r="AC5947" s="2"/>
    </row>
    <row r="5948" spans="1:29" ht="195" x14ac:dyDescent="0.15">
      <c r="A5948" s="3">
        <f>DATE(2001,1,2)</f>
        <v>36893</v>
      </c>
      <c r="B5948" s="2"/>
      <c r="C5948" s="2" t="s">
        <v>30</v>
      </c>
      <c r="D5948" s="2" t="s">
        <v>16563</v>
      </c>
      <c r="E5948" s="2" t="s">
        <v>12851</v>
      </c>
      <c r="F5948" s="4">
        <v>7359</v>
      </c>
      <c r="G5948" s="2" t="s">
        <v>223</v>
      </c>
      <c r="H5948" s="2" t="s">
        <v>34</v>
      </c>
      <c r="I5948" s="2" t="s">
        <v>12348</v>
      </c>
      <c r="J5948" s="2" t="s">
        <v>12347</v>
      </c>
      <c r="K5948" s="2" t="s">
        <v>223</v>
      </c>
      <c r="L5948" s="2" t="s">
        <v>34</v>
      </c>
      <c r="M5948" s="12">
        <v>1199.521</v>
      </c>
      <c r="N5948" s="7">
        <v>13.188000000000001</v>
      </c>
      <c r="O5948" s="7">
        <v>14.313000000000001</v>
      </c>
      <c r="P5948" s="2" t="s">
        <v>18279</v>
      </c>
      <c r="Q5948" s="2"/>
      <c r="R5948" s="2"/>
      <c r="S5948" s="5">
        <v>-18.399999999999999</v>
      </c>
      <c r="T5948" s="7">
        <v>43.058999999999997</v>
      </c>
      <c r="U5948" s="5">
        <v>1.6</v>
      </c>
      <c r="V5948" s="6">
        <v>-0.87</v>
      </c>
      <c r="W5948" s="7">
        <v>1.1879999999999999</v>
      </c>
      <c r="X5948" s="6">
        <v>1.25</v>
      </c>
      <c r="Y5948" s="4">
        <v>2</v>
      </c>
      <c r="Z5948" s="6">
        <v>2.25</v>
      </c>
      <c r="AA5948" s="6">
        <v>21.17</v>
      </c>
      <c r="AB5948" s="2" t="s">
        <v>86</v>
      </c>
      <c r="AC5948" s="5">
        <v>34.4</v>
      </c>
    </row>
    <row r="5949" spans="1:29" ht="169" x14ac:dyDescent="0.15">
      <c r="A5949" s="3">
        <f>DATE(2001,1,4)</f>
        <v>36895</v>
      </c>
      <c r="B5949" s="3">
        <f>DATE(2001,2,20)</f>
        <v>36942</v>
      </c>
      <c r="C5949" s="2" t="s">
        <v>95</v>
      </c>
      <c r="D5949" s="2" t="s">
        <v>18280</v>
      </c>
      <c r="E5949" s="2" t="s">
        <v>10711</v>
      </c>
      <c r="F5949" s="4">
        <v>7375</v>
      </c>
      <c r="G5949" s="2" t="s">
        <v>223</v>
      </c>
      <c r="H5949" s="2" t="s">
        <v>34</v>
      </c>
      <c r="I5949" s="2" t="s">
        <v>18281</v>
      </c>
      <c r="J5949" s="2" t="s">
        <v>18282</v>
      </c>
      <c r="K5949" s="2" t="s">
        <v>173</v>
      </c>
      <c r="L5949" s="2" t="s">
        <v>34</v>
      </c>
      <c r="M5949" s="12">
        <v>1677.7329999999999</v>
      </c>
      <c r="N5949" s="4">
        <v>30</v>
      </c>
      <c r="O5949" s="4">
        <v>30</v>
      </c>
      <c r="P5949" s="2" t="s">
        <v>18283</v>
      </c>
      <c r="Q5949" s="6">
        <v>100</v>
      </c>
      <c r="R5949" s="6">
        <v>4.16</v>
      </c>
      <c r="S5949" s="5">
        <v>-3.1</v>
      </c>
      <c r="T5949" s="5">
        <v>-2.9</v>
      </c>
      <c r="U5949" s="5">
        <v>0.2</v>
      </c>
      <c r="V5949" s="6">
        <v>-0.33</v>
      </c>
      <c r="W5949" s="7">
        <v>2.8130000000000002</v>
      </c>
      <c r="X5949" s="7">
        <v>3.625</v>
      </c>
      <c r="Y5949" s="7">
        <v>4.0629999999999997</v>
      </c>
      <c r="Z5949" s="7">
        <v>4.0629999999999997</v>
      </c>
      <c r="AA5949" s="6">
        <v>10.96</v>
      </c>
      <c r="AB5949" s="2" t="s">
        <v>86</v>
      </c>
      <c r="AC5949" s="5">
        <v>51</v>
      </c>
    </row>
    <row r="5950" spans="1:29" ht="104" x14ac:dyDescent="0.15">
      <c r="A5950" s="3">
        <f>DATE(2001,1,5)</f>
        <v>36896</v>
      </c>
      <c r="B5950" s="2"/>
      <c r="C5950" s="2" t="s">
        <v>30</v>
      </c>
      <c r="D5950" s="2" t="s">
        <v>13994</v>
      </c>
      <c r="E5950" s="2" t="s">
        <v>13995</v>
      </c>
      <c r="F5950" s="4">
        <v>3812</v>
      </c>
      <c r="G5950" s="2" t="s">
        <v>226</v>
      </c>
      <c r="H5950" s="2" t="s">
        <v>34</v>
      </c>
      <c r="I5950" s="2" t="s">
        <v>18284</v>
      </c>
      <c r="J5950" s="2" t="s">
        <v>18285</v>
      </c>
      <c r="K5950" s="2" t="s">
        <v>921</v>
      </c>
      <c r="L5950" s="2" t="s">
        <v>34</v>
      </c>
      <c r="M5950" s="7">
        <v>33.914999999999999</v>
      </c>
      <c r="N5950" s="7">
        <v>5.1879999999999997</v>
      </c>
      <c r="O5950" s="7">
        <v>5.625</v>
      </c>
      <c r="P5950" s="2" t="s">
        <v>18286</v>
      </c>
      <c r="Q5950" s="2"/>
      <c r="R5950" s="6">
        <v>7.5</v>
      </c>
      <c r="S5950" s="5">
        <v>3.7</v>
      </c>
      <c r="T5950" s="5">
        <v>7.1</v>
      </c>
      <c r="U5950" s="5">
        <v>3.1</v>
      </c>
      <c r="V5950" s="6">
        <v>0.97</v>
      </c>
      <c r="W5950" s="7">
        <v>3.125</v>
      </c>
      <c r="X5950" s="7">
        <v>3.125</v>
      </c>
      <c r="Y5950" s="11">
        <v>7.96875</v>
      </c>
      <c r="Z5950" s="11">
        <v>8.015625</v>
      </c>
      <c r="AA5950" s="6">
        <v>3.77</v>
      </c>
      <c r="AB5950" s="7">
        <v>9.9329999999999998</v>
      </c>
      <c r="AC5950" s="6">
        <v>0.05</v>
      </c>
    </row>
    <row r="5951" spans="1:29" ht="104" x14ac:dyDescent="0.15">
      <c r="A5951" s="3">
        <f>DATE(2001,1,8)</f>
        <v>36899</v>
      </c>
      <c r="B5951" s="3">
        <f>DATE(2001,3,28)</f>
        <v>36978</v>
      </c>
      <c r="C5951" s="2" t="s">
        <v>95</v>
      </c>
      <c r="D5951" s="2" t="s">
        <v>18287</v>
      </c>
      <c r="E5951" s="2" t="s">
        <v>18288</v>
      </c>
      <c r="F5951" s="4">
        <v>7372</v>
      </c>
      <c r="G5951" s="2" t="s">
        <v>551</v>
      </c>
      <c r="H5951" s="2" t="s">
        <v>34</v>
      </c>
      <c r="I5951" s="2" t="s">
        <v>18289</v>
      </c>
      <c r="J5951" s="2" t="s">
        <v>15466</v>
      </c>
      <c r="K5951" s="2" t="s">
        <v>551</v>
      </c>
      <c r="L5951" s="2" t="s">
        <v>34</v>
      </c>
      <c r="M5951" s="7">
        <v>119.20699999999999</v>
      </c>
      <c r="N5951" s="6">
        <v>2.75</v>
      </c>
      <c r="O5951" s="7">
        <v>2.625</v>
      </c>
      <c r="P5951" s="2" t="s">
        <v>18290</v>
      </c>
      <c r="Q5951" s="6">
        <v>100</v>
      </c>
      <c r="R5951" s="6">
        <v>1.61</v>
      </c>
      <c r="S5951" s="5">
        <v>-20.399999999999999</v>
      </c>
      <c r="T5951" s="7">
        <v>-15.351000000000001</v>
      </c>
      <c r="U5951" s="5">
        <v>2.6</v>
      </c>
      <c r="V5951" s="9">
        <v>-1.0298</v>
      </c>
      <c r="W5951" s="7">
        <v>0.875</v>
      </c>
      <c r="X5951" s="7">
        <v>1.375</v>
      </c>
      <c r="Y5951" s="7">
        <v>1.6879999999999999</v>
      </c>
      <c r="Z5951" s="7">
        <v>1.5629999999999999</v>
      </c>
      <c r="AA5951" s="6">
        <v>20.47</v>
      </c>
      <c r="AB5951" s="2" t="s">
        <v>86</v>
      </c>
      <c r="AC5951" s="5">
        <v>41.5</v>
      </c>
    </row>
    <row r="5952" spans="1:29" ht="208" x14ac:dyDescent="0.15">
      <c r="A5952" s="3">
        <f>DATE(2001,1,9)</f>
        <v>36900</v>
      </c>
      <c r="B5952" s="2"/>
      <c r="C5952" s="2" t="s">
        <v>30</v>
      </c>
      <c r="D5952" s="2" t="s">
        <v>17761</v>
      </c>
      <c r="E5952" s="2" t="s">
        <v>17762</v>
      </c>
      <c r="F5952" s="4">
        <v>3845</v>
      </c>
      <c r="G5952" s="2" t="s">
        <v>226</v>
      </c>
      <c r="H5952" s="2" t="s">
        <v>34</v>
      </c>
      <c r="I5952" s="2" t="s">
        <v>18291</v>
      </c>
      <c r="J5952" s="2" t="s">
        <v>18292</v>
      </c>
      <c r="K5952" s="2" t="s">
        <v>226</v>
      </c>
      <c r="L5952" s="2" t="s">
        <v>34</v>
      </c>
      <c r="M5952" s="6">
        <v>445.94</v>
      </c>
      <c r="N5952" s="7">
        <v>16.312999999999999</v>
      </c>
      <c r="O5952" s="6">
        <v>19.25</v>
      </c>
      <c r="P5952" s="2" t="s">
        <v>18293</v>
      </c>
      <c r="Q5952" s="2"/>
      <c r="R5952" s="6">
        <v>11.5</v>
      </c>
      <c r="S5952" s="5">
        <v>7.5</v>
      </c>
      <c r="T5952" s="5">
        <v>11.7</v>
      </c>
      <c r="U5952" s="5">
        <v>2.7</v>
      </c>
      <c r="V5952" s="6">
        <v>0.21</v>
      </c>
      <c r="W5952" s="7">
        <v>7.8129999999999997</v>
      </c>
      <c r="X5952" s="7">
        <v>9.4380000000000006</v>
      </c>
      <c r="Y5952" s="7">
        <v>11.563000000000001</v>
      </c>
      <c r="Z5952" s="7">
        <v>11.688000000000001</v>
      </c>
      <c r="AA5952" s="6">
        <v>38.56</v>
      </c>
      <c r="AB5952" s="7">
        <v>52.523000000000003</v>
      </c>
      <c r="AC5952" s="5">
        <v>101.9</v>
      </c>
    </row>
    <row r="5953" spans="1:29" ht="130" x14ac:dyDescent="0.15">
      <c r="A5953" s="3">
        <f>DATE(2001,1,10)</f>
        <v>36901</v>
      </c>
      <c r="B5953" s="3">
        <f>DATE(2001,5,24)</f>
        <v>37035</v>
      </c>
      <c r="C5953" s="2" t="s">
        <v>95</v>
      </c>
      <c r="D5953" s="2" t="s">
        <v>5823</v>
      </c>
      <c r="E5953" s="2" t="s">
        <v>5824</v>
      </c>
      <c r="F5953" s="4">
        <v>4731</v>
      </c>
      <c r="G5953" s="2" t="s">
        <v>173</v>
      </c>
      <c r="H5953" s="2" t="s">
        <v>34</v>
      </c>
      <c r="I5953" s="2" t="s">
        <v>18294</v>
      </c>
      <c r="J5953" s="2" t="s">
        <v>18295</v>
      </c>
      <c r="K5953" s="2" t="s">
        <v>173</v>
      </c>
      <c r="L5953" s="2" t="s">
        <v>34</v>
      </c>
      <c r="M5953" s="12">
        <v>71519.217999999993</v>
      </c>
      <c r="N5953" s="5">
        <v>58.5</v>
      </c>
      <c r="O5953" s="6">
        <v>59.25</v>
      </c>
      <c r="P5953" s="2" t="s">
        <v>18296</v>
      </c>
      <c r="Q5953" s="6">
        <v>100</v>
      </c>
      <c r="R5953" s="6">
        <v>12.2</v>
      </c>
      <c r="S5953" s="5">
        <v>13.5</v>
      </c>
      <c r="T5953" s="5">
        <v>62.1</v>
      </c>
      <c r="U5953" s="5">
        <v>7.6</v>
      </c>
      <c r="V5953" s="6">
        <v>0.36</v>
      </c>
      <c r="W5953" s="7">
        <v>7.0629999999999997</v>
      </c>
      <c r="X5953" s="7">
        <v>7.0309999999999997</v>
      </c>
      <c r="Y5953" s="11">
        <v>11.40625</v>
      </c>
      <c r="Z5953" s="7">
        <v>11.625</v>
      </c>
      <c r="AA5953" s="6">
        <v>36.64</v>
      </c>
      <c r="AB5953" s="7">
        <v>11.004</v>
      </c>
      <c r="AC5953" s="2"/>
    </row>
    <row r="5954" spans="1:29" ht="143" x14ac:dyDescent="0.15">
      <c r="A5954" s="3">
        <f>DATE(2001,1,12)</f>
        <v>36903</v>
      </c>
      <c r="B5954" s="3">
        <f>DATE(2001,2,26)</f>
        <v>36948</v>
      </c>
      <c r="C5954" s="2" t="s">
        <v>95</v>
      </c>
      <c r="D5954" s="2" t="s">
        <v>6847</v>
      </c>
      <c r="E5954" s="2" t="s">
        <v>6848</v>
      </c>
      <c r="F5954" s="4">
        <v>2221</v>
      </c>
      <c r="G5954" s="2" t="s">
        <v>708</v>
      </c>
      <c r="H5954" s="2" t="s">
        <v>34</v>
      </c>
      <c r="I5954" s="2" t="s">
        <v>17733</v>
      </c>
      <c r="J5954" s="2" t="s">
        <v>1032</v>
      </c>
      <c r="K5954" s="2" t="s">
        <v>53</v>
      </c>
      <c r="L5954" s="2" t="s">
        <v>34</v>
      </c>
      <c r="M5954" s="2"/>
      <c r="N5954" s="2"/>
      <c r="O5954" s="2"/>
      <c r="P5954" s="2" t="s">
        <v>18297</v>
      </c>
      <c r="Q5954" s="6">
        <v>31.04</v>
      </c>
      <c r="R5954" s="6">
        <v>5</v>
      </c>
      <c r="S5954" s="5">
        <v>-1.4</v>
      </c>
      <c r="T5954" s="5">
        <v>182.7</v>
      </c>
      <c r="U5954" s="5">
        <v>-2.5</v>
      </c>
      <c r="V5954" s="6">
        <v>-0.03</v>
      </c>
      <c r="W5954" s="7">
        <v>4.1879999999999997</v>
      </c>
      <c r="X5954" s="4">
        <v>5</v>
      </c>
      <c r="Y5954" s="9">
        <v>5.3125</v>
      </c>
      <c r="Z5954" s="9">
        <v>5.3125</v>
      </c>
      <c r="AA5954" s="6">
        <v>61.98</v>
      </c>
      <c r="AB5954" s="7">
        <v>10.898</v>
      </c>
      <c r="AC5954" s="2"/>
    </row>
    <row r="5955" spans="1:29" ht="104" x14ac:dyDescent="0.15">
      <c r="A5955" s="3">
        <f>DATE(2001,1,15)</f>
        <v>36906</v>
      </c>
      <c r="B5955" s="3">
        <f>DATE(2001,6,26)</f>
        <v>37068</v>
      </c>
      <c r="C5955" s="2" t="s">
        <v>95</v>
      </c>
      <c r="D5955" s="2" t="s">
        <v>18298</v>
      </c>
      <c r="E5955" s="2" t="s">
        <v>18299</v>
      </c>
      <c r="F5955" s="4">
        <v>4832</v>
      </c>
      <c r="G5955" s="2" t="s">
        <v>45</v>
      </c>
      <c r="H5955" s="2" t="s">
        <v>34</v>
      </c>
      <c r="I5955" s="2" t="s">
        <v>18300</v>
      </c>
      <c r="J5955" s="2" t="s">
        <v>9299</v>
      </c>
      <c r="K5955" s="2" t="s">
        <v>53</v>
      </c>
      <c r="L5955" s="2" t="s">
        <v>34</v>
      </c>
      <c r="M5955" s="2"/>
      <c r="N5955" s="2"/>
      <c r="O5955" s="2"/>
      <c r="P5955" s="2" t="s">
        <v>18301</v>
      </c>
      <c r="Q5955" s="6">
        <v>100</v>
      </c>
      <c r="R5955" s="6">
        <v>26</v>
      </c>
      <c r="S5955" s="5">
        <v>-34.9</v>
      </c>
      <c r="T5955" s="5">
        <v>87.2</v>
      </c>
      <c r="U5955" s="5">
        <v>11.2</v>
      </c>
      <c r="V5955" s="6">
        <v>-1.29</v>
      </c>
      <c r="W5955" s="6">
        <v>14.75</v>
      </c>
      <c r="X5955" s="5">
        <v>17.5</v>
      </c>
      <c r="Y5955" s="5">
        <v>17.5</v>
      </c>
      <c r="Z5955" s="6">
        <v>24.75</v>
      </c>
      <c r="AA5955" s="6">
        <v>36.96</v>
      </c>
      <c r="AB5955" s="7">
        <v>202.80600000000001</v>
      </c>
      <c r="AC5955" s="2"/>
    </row>
    <row r="5956" spans="1:29" ht="156" x14ac:dyDescent="0.15">
      <c r="A5956" s="3">
        <f>DATE(2001,1,15)</f>
        <v>36906</v>
      </c>
      <c r="B5956" s="3">
        <f>DATE(2001,12,12)</f>
        <v>37237</v>
      </c>
      <c r="C5956" s="2" t="s">
        <v>95</v>
      </c>
      <c r="D5956" s="2" t="s">
        <v>18302</v>
      </c>
      <c r="E5956" s="2" t="s">
        <v>18303</v>
      </c>
      <c r="F5956" s="4">
        <v>2047</v>
      </c>
      <c r="G5956" s="2" t="s">
        <v>577</v>
      </c>
      <c r="H5956" s="2" t="s">
        <v>34</v>
      </c>
      <c r="I5956" s="2" t="s">
        <v>18304</v>
      </c>
      <c r="J5956" s="2" t="s">
        <v>18305</v>
      </c>
      <c r="K5956" s="2" t="s">
        <v>577</v>
      </c>
      <c r="L5956" s="2" t="s">
        <v>215</v>
      </c>
      <c r="M5956" s="8">
        <v>8356.7999999999993</v>
      </c>
      <c r="N5956" s="2"/>
      <c r="O5956" s="2"/>
      <c r="P5956" s="2" t="s">
        <v>18306</v>
      </c>
      <c r="Q5956" s="6">
        <v>100</v>
      </c>
      <c r="R5956" s="6">
        <v>33.5</v>
      </c>
      <c r="S5956" s="5">
        <v>369</v>
      </c>
      <c r="T5956" s="2"/>
      <c r="U5956" s="5">
        <v>1.8</v>
      </c>
      <c r="V5956" s="6">
        <v>0.96</v>
      </c>
      <c r="W5956" s="7">
        <v>24.125</v>
      </c>
      <c r="X5956" s="7">
        <v>24.625</v>
      </c>
      <c r="Y5956" s="5">
        <v>31.5</v>
      </c>
      <c r="Z5956" s="5">
        <v>31.5</v>
      </c>
      <c r="AA5956" s="6">
        <v>306.97000000000003</v>
      </c>
      <c r="AB5956" s="7">
        <v>32.622999999999998</v>
      </c>
      <c r="AC5956" s="10">
        <v>6286.29</v>
      </c>
    </row>
    <row r="5957" spans="1:29" ht="143" x14ac:dyDescent="0.15">
      <c r="A5957" s="3">
        <f>DATE(2001,1,15)</f>
        <v>36906</v>
      </c>
      <c r="B5957" s="3">
        <f>DATE(2001,2,28)</f>
        <v>36950</v>
      </c>
      <c r="C5957" s="2" t="s">
        <v>95</v>
      </c>
      <c r="D5957" s="2" t="s">
        <v>18307</v>
      </c>
      <c r="E5957" s="2" t="s">
        <v>18308</v>
      </c>
      <c r="F5957" s="4">
        <v>7513</v>
      </c>
      <c r="G5957" s="2" t="s">
        <v>1327</v>
      </c>
      <c r="H5957" s="2" t="s">
        <v>34</v>
      </c>
      <c r="I5957" s="2" t="s">
        <v>5951</v>
      </c>
      <c r="J5957" s="2" t="s">
        <v>5952</v>
      </c>
      <c r="K5957" s="2" t="s">
        <v>1327</v>
      </c>
      <c r="L5957" s="2" t="s">
        <v>34</v>
      </c>
      <c r="M5957" s="2"/>
      <c r="N5957" s="2"/>
      <c r="O5957" s="2"/>
      <c r="P5957" s="2" t="s">
        <v>18309</v>
      </c>
      <c r="Q5957" s="6">
        <v>100</v>
      </c>
      <c r="R5957" s="6">
        <v>13</v>
      </c>
      <c r="S5957" s="5">
        <v>81.900000000000006</v>
      </c>
      <c r="T5957" s="5">
        <v>375.2</v>
      </c>
      <c r="U5957" s="5">
        <v>6.8</v>
      </c>
      <c r="V5957" s="6">
        <v>1.41</v>
      </c>
      <c r="W5957" s="7">
        <v>8.0630000000000006</v>
      </c>
      <c r="X5957" s="7">
        <v>8.4380000000000006</v>
      </c>
      <c r="Y5957" s="7">
        <v>8.4380000000000006</v>
      </c>
      <c r="Z5957" s="7">
        <v>12.875</v>
      </c>
      <c r="AA5957" s="6">
        <v>57.98</v>
      </c>
      <c r="AB5957" s="7">
        <v>15.654</v>
      </c>
      <c r="AC5957" s="2"/>
    </row>
    <row r="5958" spans="1:29" ht="156" x14ac:dyDescent="0.15">
      <c r="A5958" s="3">
        <f>DATE(2001,1,15)</f>
        <v>36906</v>
      </c>
      <c r="B5958" s="3">
        <f>DATE(2001,3,13)</f>
        <v>36963</v>
      </c>
      <c r="C5958" s="2" t="s">
        <v>95</v>
      </c>
      <c r="D5958" s="2" t="s">
        <v>18310</v>
      </c>
      <c r="E5958" s="2" t="s">
        <v>18311</v>
      </c>
      <c r="F5958" s="4">
        <v>7373</v>
      </c>
      <c r="G5958" s="2" t="s">
        <v>223</v>
      </c>
      <c r="H5958" s="2" t="s">
        <v>34</v>
      </c>
      <c r="I5958" s="2" t="s">
        <v>10177</v>
      </c>
      <c r="J5958" s="2" t="s">
        <v>10178</v>
      </c>
      <c r="K5958" s="2" t="s">
        <v>137</v>
      </c>
      <c r="L5958" s="2" t="s">
        <v>34</v>
      </c>
      <c r="M5958" s="8">
        <v>223772.5</v>
      </c>
      <c r="N5958" s="7">
        <v>32.125</v>
      </c>
      <c r="O5958" s="7">
        <v>31.375</v>
      </c>
      <c r="P5958" s="2" t="s">
        <v>18312</v>
      </c>
      <c r="Q5958" s="6">
        <v>91.08</v>
      </c>
      <c r="R5958" s="6">
        <v>25</v>
      </c>
      <c r="S5958" s="5">
        <v>9.8000000000000007</v>
      </c>
      <c r="T5958" s="7">
        <v>58.750999999999998</v>
      </c>
      <c r="U5958" s="5">
        <v>14.9</v>
      </c>
      <c r="V5958" s="6">
        <v>0.28000000000000003</v>
      </c>
      <c r="W5958" s="7">
        <v>15.625</v>
      </c>
      <c r="X5958" s="7">
        <v>18.062999999999999</v>
      </c>
      <c r="Y5958" s="7">
        <v>18.062999999999999</v>
      </c>
      <c r="Z5958" s="7">
        <v>24.655999999999999</v>
      </c>
      <c r="AA5958" s="6">
        <v>29.7</v>
      </c>
      <c r="AB5958" s="7">
        <v>15.776</v>
      </c>
      <c r="AC5958" s="8">
        <v>2976</v>
      </c>
    </row>
    <row r="5959" spans="1:29" ht="169" x14ac:dyDescent="0.15">
      <c r="A5959" s="3">
        <f>DATE(2001,1,16)</f>
        <v>36907</v>
      </c>
      <c r="B5959" s="3">
        <f>DATE(2001,3,20)</f>
        <v>36970</v>
      </c>
      <c r="C5959" s="2" t="s">
        <v>95</v>
      </c>
      <c r="D5959" s="2" t="s">
        <v>18313</v>
      </c>
      <c r="E5959" s="2" t="s">
        <v>5102</v>
      </c>
      <c r="F5959" s="4">
        <v>7372</v>
      </c>
      <c r="G5959" s="2" t="s">
        <v>551</v>
      </c>
      <c r="H5959" s="2" t="s">
        <v>34</v>
      </c>
      <c r="I5959" s="2" t="s">
        <v>18314</v>
      </c>
      <c r="J5959" s="2" t="s">
        <v>5102</v>
      </c>
      <c r="K5959" s="2" t="s">
        <v>551</v>
      </c>
      <c r="L5959" s="2" t="s">
        <v>34</v>
      </c>
      <c r="M5959" s="12">
        <v>3533.953</v>
      </c>
      <c r="N5959" s="4">
        <v>44</v>
      </c>
      <c r="O5959" s="7">
        <v>30.312999999999999</v>
      </c>
      <c r="P5959" s="2" t="s">
        <v>18315</v>
      </c>
      <c r="Q5959" s="6">
        <v>100</v>
      </c>
      <c r="R5959" s="6">
        <v>11.39</v>
      </c>
      <c r="S5959" s="5">
        <v>-1.7</v>
      </c>
      <c r="T5959" s="7">
        <v>-2.004</v>
      </c>
      <c r="U5959" s="5">
        <v>3.9</v>
      </c>
      <c r="V5959" s="6">
        <v>0.22</v>
      </c>
      <c r="W5959" s="7">
        <v>4.9690000000000003</v>
      </c>
      <c r="X5959" s="5">
        <v>7.5</v>
      </c>
      <c r="Y5959" s="7">
        <v>7.9379999999999997</v>
      </c>
      <c r="Z5959" s="5">
        <v>8.5</v>
      </c>
      <c r="AA5959" s="6">
        <v>27.41</v>
      </c>
      <c r="AB5959" s="2" t="s">
        <v>86</v>
      </c>
      <c r="AC5959" s="5">
        <v>119.9</v>
      </c>
    </row>
    <row r="5960" spans="1:29" ht="208" x14ac:dyDescent="0.15">
      <c r="A5960" s="3">
        <f>DATE(2001,1,16)</f>
        <v>36907</v>
      </c>
      <c r="B5960" s="3">
        <f>DATE(2001,8,7)</f>
        <v>37110</v>
      </c>
      <c r="C5960" s="2" t="s">
        <v>95</v>
      </c>
      <c r="D5960" s="2" t="s">
        <v>18316</v>
      </c>
      <c r="E5960" s="2" t="s">
        <v>18317</v>
      </c>
      <c r="F5960" s="4">
        <v>6712</v>
      </c>
      <c r="G5960" s="2" t="s">
        <v>37</v>
      </c>
      <c r="H5960" s="2" t="s">
        <v>34</v>
      </c>
      <c r="I5960" s="2" t="s">
        <v>18294</v>
      </c>
      <c r="J5960" s="2" t="s">
        <v>18295</v>
      </c>
      <c r="K5960" s="2" t="s">
        <v>173</v>
      </c>
      <c r="L5960" s="2" t="s">
        <v>34</v>
      </c>
      <c r="M5960" s="12">
        <v>63667.807000000001</v>
      </c>
      <c r="N5960" s="7">
        <v>59.438000000000002</v>
      </c>
      <c r="O5960" s="7">
        <v>59.375</v>
      </c>
      <c r="P5960" s="2" t="s">
        <v>18318</v>
      </c>
      <c r="Q5960" s="6">
        <v>100</v>
      </c>
      <c r="R5960" s="6">
        <v>7.44</v>
      </c>
      <c r="S5960" s="5">
        <v>7.5</v>
      </c>
      <c r="T5960" s="5">
        <v>12.5</v>
      </c>
      <c r="U5960" s="5">
        <v>7.2</v>
      </c>
      <c r="V5960" s="6">
        <v>0.89</v>
      </c>
      <c r="W5960" s="4">
        <v>7</v>
      </c>
      <c r="X5960" s="7">
        <v>7.2190000000000003</v>
      </c>
      <c r="Y5960" s="9">
        <v>8.5625</v>
      </c>
      <c r="Z5960" s="9">
        <v>8.5625</v>
      </c>
      <c r="AA5960" s="6">
        <v>8.27</v>
      </c>
      <c r="AB5960" s="7">
        <v>30.498000000000001</v>
      </c>
      <c r="AC5960" s="2"/>
    </row>
    <row r="5961" spans="1:29" ht="130" x14ac:dyDescent="0.15">
      <c r="A5961" s="3">
        <f>DATE(2001,1,16)</f>
        <v>36907</v>
      </c>
      <c r="B5961" s="3">
        <f>DATE(2001,12,1)</f>
        <v>37226</v>
      </c>
      <c r="C5961" s="2" t="s">
        <v>95</v>
      </c>
      <c r="D5961" s="2" t="s">
        <v>18319</v>
      </c>
      <c r="E5961" s="2" t="s">
        <v>6994</v>
      </c>
      <c r="F5961" s="4">
        <v>2335</v>
      </c>
      <c r="G5961" s="2" t="s">
        <v>708</v>
      </c>
      <c r="H5961" s="2" t="s">
        <v>34</v>
      </c>
      <c r="I5961" s="2" t="s">
        <v>51</v>
      </c>
      <c r="J5961" s="2" t="s">
        <v>52</v>
      </c>
      <c r="K5961" s="2" t="s">
        <v>53</v>
      </c>
      <c r="L5961" s="2" t="s">
        <v>34</v>
      </c>
      <c r="M5961" s="2"/>
      <c r="N5961" s="2"/>
      <c r="O5961" s="2"/>
      <c r="P5961" s="2" t="s">
        <v>18320</v>
      </c>
      <c r="Q5961" s="6">
        <v>43.63</v>
      </c>
      <c r="R5961" s="6">
        <v>5</v>
      </c>
      <c r="S5961" s="5">
        <v>7.7</v>
      </c>
      <c r="T5961" s="5">
        <v>3.2</v>
      </c>
      <c r="U5961" s="5">
        <v>9.4</v>
      </c>
      <c r="V5961" s="6">
        <v>1.44</v>
      </c>
      <c r="W5961" s="7">
        <v>2.8130000000000002</v>
      </c>
      <c r="X5961" s="7">
        <v>2.8130000000000002</v>
      </c>
      <c r="Y5961" s="6">
        <v>2.75</v>
      </c>
      <c r="Z5961" s="11">
        <v>3.15625</v>
      </c>
      <c r="AA5961" s="6">
        <v>5.08</v>
      </c>
      <c r="AB5961" s="7">
        <v>10.465</v>
      </c>
      <c r="AC5961" s="2"/>
    </row>
    <row r="5962" spans="1:29" ht="169" x14ac:dyDescent="0.15">
      <c r="A5962" s="3">
        <f>DATE(2001,1,17)</f>
        <v>36908</v>
      </c>
      <c r="B5962" s="2"/>
      <c r="C5962" s="2" t="s">
        <v>30</v>
      </c>
      <c r="D5962" s="2" t="s">
        <v>18321</v>
      </c>
      <c r="E5962" s="2" t="s">
        <v>3246</v>
      </c>
      <c r="F5962" s="4">
        <v>6712</v>
      </c>
      <c r="G5962" s="2" t="s">
        <v>37</v>
      </c>
      <c r="H5962" s="2" t="s">
        <v>34</v>
      </c>
      <c r="I5962" s="2" t="s">
        <v>3569</v>
      </c>
      <c r="J5962" s="2" t="s">
        <v>36</v>
      </c>
      <c r="K5962" s="2" t="s">
        <v>37</v>
      </c>
      <c r="L5962" s="2" t="s">
        <v>34</v>
      </c>
      <c r="M5962" s="6">
        <v>72.989999999999995</v>
      </c>
      <c r="N5962" s="4">
        <v>9</v>
      </c>
      <c r="O5962" s="4">
        <v>9</v>
      </c>
      <c r="P5962" s="2" t="s">
        <v>18322</v>
      </c>
      <c r="Q5962" s="2"/>
      <c r="R5962" s="6">
        <v>11.81</v>
      </c>
      <c r="S5962" s="5">
        <v>5.9</v>
      </c>
      <c r="T5962" s="5">
        <v>10.7</v>
      </c>
      <c r="U5962" s="5">
        <v>11.8</v>
      </c>
      <c r="V5962" s="6">
        <v>1.1399999999999999</v>
      </c>
      <c r="W5962" s="4">
        <v>11</v>
      </c>
      <c r="X5962" s="6">
        <v>11.75</v>
      </c>
      <c r="Y5962" s="7">
        <v>12.563000000000001</v>
      </c>
      <c r="Z5962" s="7">
        <v>13.125</v>
      </c>
      <c r="AA5962" s="6">
        <v>5.15</v>
      </c>
      <c r="AB5962" s="7">
        <v>73.522000000000006</v>
      </c>
      <c r="AC5962" s="5">
        <v>28.7</v>
      </c>
    </row>
    <row r="5963" spans="1:29" ht="143" x14ac:dyDescent="0.15">
      <c r="A5963" s="3">
        <f>DATE(2001,1,17)</f>
        <v>36908</v>
      </c>
      <c r="B5963" s="3">
        <f>DATE(2001,3,30)</f>
        <v>36980</v>
      </c>
      <c r="C5963" s="2" t="s">
        <v>95</v>
      </c>
      <c r="D5963" s="2" t="s">
        <v>18323</v>
      </c>
      <c r="E5963" s="2" t="s">
        <v>17357</v>
      </c>
      <c r="F5963" s="4">
        <v>7372</v>
      </c>
      <c r="G5963" s="2" t="s">
        <v>551</v>
      </c>
      <c r="H5963" s="2" t="s">
        <v>34</v>
      </c>
      <c r="I5963" s="2" t="s">
        <v>16414</v>
      </c>
      <c r="J5963" s="2" t="s">
        <v>16415</v>
      </c>
      <c r="K5963" s="2" t="s">
        <v>551</v>
      </c>
      <c r="L5963" s="2" t="s">
        <v>34</v>
      </c>
      <c r="M5963" s="12">
        <v>3050.1750000000002</v>
      </c>
      <c r="N5963" s="6">
        <v>61.25</v>
      </c>
      <c r="O5963" s="7">
        <v>66.938000000000002</v>
      </c>
      <c r="P5963" s="2" t="s">
        <v>18324</v>
      </c>
      <c r="Q5963" s="6">
        <v>100</v>
      </c>
      <c r="R5963" s="6">
        <v>36</v>
      </c>
      <c r="S5963" s="5">
        <v>6.9</v>
      </c>
      <c r="T5963" s="5">
        <v>7.9</v>
      </c>
      <c r="U5963" s="5">
        <v>3.5</v>
      </c>
      <c r="V5963" s="6">
        <v>0.25</v>
      </c>
      <c r="W5963" s="7">
        <v>27.812999999999999</v>
      </c>
      <c r="X5963" s="7">
        <v>32.875</v>
      </c>
      <c r="Y5963" s="6">
        <v>28.75</v>
      </c>
      <c r="Z5963" s="7">
        <v>31.562999999999999</v>
      </c>
      <c r="AA5963" s="6">
        <v>26.33</v>
      </c>
      <c r="AB5963" s="7">
        <v>182.66</v>
      </c>
      <c r="AC5963" s="5">
        <v>97.8</v>
      </c>
    </row>
    <row r="5964" spans="1:29" ht="169" x14ac:dyDescent="0.15">
      <c r="A5964" s="3">
        <f>DATE(2001,1,18)</f>
        <v>36909</v>
      </c>
      <c r="B5964" s="3">
        <f>DATE(2001,6,29)</f>
        <v>37071</v>
      </c>
      <c r="C5964" s="2" t="s">
        <v>95</v>
      </c>
      <c r="D5964" s="2" t="s">
        <v>18325</v>
      </c>
      <c r="E5964" s="2" t="s">
        <v>18326</v>
      </c>
      <c r="F5964" s="4">
        <v>3577</v>
      </c>
      <c r="G5964" s="2" t="s">
        <v>50</v>
      </c>
      <c r="H5964" s="2" t="s">
        <v>34</v>
      </c>
      <c r="I5964" s="2" t="s">
        <v>18327</v>
      </c>
      <c r="J5964" s="2" t="s">
        <v>18328</v>
      </c>
      <c r="K5964" s="2" t="s">
        <v>112</v>
      </c>
      <c r="L5964" s="2" t="s">
        <v>885</v>
      </c>
      <c r="M5964" s="12">
        <v>1095.653</v>
      </c>
      <c r="N5964" s="2"/>
      <c r="O5964" s="2"/>
      <c r="P5964" s="2" t="s">
        <v>18329</v>
      </c>
      <c r="Q5964" s="6">
        <v>100</v>
      </c>
      <c r="R5964" s="6">
        <v>9.25</v>
      </c>
      <c r="S5964" s="5">
        <v>10.1</v>
      </c>
      <c r="T5964" s="5">
        <v>18.3</v>
      </c>
      <c r="U5964" s="5">
        <v>5</v>
      </c>
      <c r="V5964" s="6">
        <v>0.53</v>
      </c>
      <c r="W5964" s="7">
        <v>6.9379999999999997</v>
      </c>
      <c r="X5964" s="7">
        <v>8.625</v>
      </c>
      <c r="Y5964" s="5">
        <v>8.5</v>
      </c>
      <c r="Z5964" s="7">
        <v>8.6880000000000006</v>
      </c>
      <c r="AA5964" s="6">
        <v>18.53</v>
      </c>
      <c r="AB5964" s="7">
        <v>12.065</v>
      </c>
      <c r="AC5964" s="6">
        <v>17.55</v>
      </c>
    </row>
    <row r="5965" spans="1:29" ht="208" x14ac:dyDescent="0.15">
      <c r="A5965" s="3">
        <f>DATE(2001,1,18)</f>
        <v>36909</v>
      </c>
      <c r="B5965" s="3">
        <f>DATE(2001,5,23)</f>
        <v>37034</v>
      </c>
      <c r="C5965" s="2" t="s">
        <v>95</v>
      </c>
      <c r="D5965" s="2" t="s">
        <v>18330</v>
      </c>
      <c r="E5965" s="2" t="s">
        <v>389</v>
      </c>
      <c r="F5965" s="4">
        <v>6035</v>
      </c>
      <c r="G5965" s="2" t="s">
        <v>33</v>
      </c>
      <c r="H5965" s="2" t="s">
        <v>34</v>
      </c>
      <c r="I5965" s="2" t="s">
        <v>18331</v>
      </c>
      <c r="J5965" s="2" t="s">
        <v>203</v>
      </c>
      <c r="K5965" s="2" t="s">
        <v>33</v>
      </c>
      <c r="L5965" s="2" t="s">
        <v>34</v>
      </c>
      <c r="M5965" s="7">
        <v>56.091000000000001</v>
      </c>
      <c r="N5965" s="5">
        <v>20.5</v>
      </c>
      <c r="O5965" s="4">
        <v>20</v>
      </c>
      <c r="P5965" s="2" t="s">
        <v>18332</v>
      </c>
      <c r="Q5965" s="6">
        <v>100</v>
      </c>
      <c r="R5965" s="6">
        <v>19.38</v>
      </c>
      <c r="S5965" s="5">
        <v>1.5</v>
      </c>
      <c r="T5965" s="2"/>
      <c r="U5965" s="5">
        <v>17.5</v>
      </c>
      <c r="V5965" s="6">
        <v>1.05</v>
      </c>
      <c r="W5965" s="6">
        <v>15.75</v>
      </c>
      <c r="X5965" s="6">
        <v>15.75</v>
      </c>
      <c r="Y5965" s="6">
        <v>15.75</v>
      </c>
      <c r="Z5965" s="7">
        <v>18.125</v>
      </c>
      <c r="AA5965" s="6">
        <v>1.39</v>
      </c>
      <c r="AB5965" s="7">
        <v>19.309000000000001</v>
      </c>
      <c r="AC5965" s="5">
        <v>6.9</v>
      </c>
    </row>
    <row r="5966" spans="1:29" ht="130" x14ac:dyDescent="0.15">
      <c r="A5966" s="3">
        <f>DATE(2001,1,18)</f>
        <v>36909</v>
      </c>
      <c r="B5966" s="3">
        <f>DATE(2001,5,18)</f>
        <v>37029</v>
      </c>
      <c r="C5966" s="2" t="s">
        <v>95</v>
      </c>
      <c r="D5966" s="2" t="s">
        <v>18333</v>
      </c>
      <c r="E5966" s="2" t="s">
        <v>124</v>
      </c>
      <c r="F5966" s="4">
        <v>6311</v>
      </c>
      <c r="G5966" s="2" t="s">
        <v>125</v>
      </c>
      <c r="H5966" s="2" t="s">
        <v>34</v>
      </c>
      <c r="I5966" s="2" t="s">
        <v>18334</v>
      </c>
      <c r="J5966" s="2" t="s">
        <v>5499</v>
      </c>
      <c r="K5966" s="2" t="s">
        <v>125</v>
      </c>
      <c r="L5966" s="2" t="s">
        <v>34</v>
      </c>
      <c r="M5966" s="7">
        <v>47.706000000000003</v>
      </c>
      <c r="N5966" s="6">
        <v>10.25</v>
      </c>
      <c r="O5966" s="7">
        <v>9.625</v>
      </c>
      <c r="P5966" s="2" t="s">
        <v>18335</v>
      </c>
      <c r="Q5966" s="6">
        <v>52</v>
      </c>
      <c r="R5966" s="6">
        <v>11.28</v>
      </c>
      <c r="S5966" s="5">
        <v>12.1</v>
      </c>
      <c r="T5966" s="2"/>
      <c r="U5966" s="5">
        <v>19.8</v>
      </c>
      <c r="V5966" s="6">
        <v>1.45</v>
      </c>
      <c r="W5966" s="7">
        <v>9.875</v>
      </c>
      <c r="X5966" s="6">
        <v>10.75</v>
      </c>
      <c r="Y5966" s="4">
        <v>11</v>
      </c>
      <c r="Z5966" s="4">
        <v>11</v>
      </c>
      <c r="AA5966" s="6">
        <v>8.1199999999999992</v>
      </c>
      <c r="AB5966" s="7">
        <v>4.8529999999999998</v>
      </c>
      <c r="AC5966" s="6">
        <v>2.73</v>
      </c>
    </row>
    <row r="5967" spans="1:29" ht="156" x14ac:dyDescent="0.15">
      <c r="A5967" s="3">
        <f>DATE(2001,1,18)</f>
        <v>36909</v>
      </c>
      <c r="B5967" s="3">
        <f>DATE(2001,3,22)</f>
        <v>36972</v>
      </c>
      <c r="C5967" s="2" t="s">
        <v>95</v>
      </c>
      <c r="D5967" s="2" t="s">
        <v>7780</v>
      </c>
      <c r="E5967" s="2" t="s">
        <v>612</v>
      </c>
      <c r="F5967" s="4">
        <v>1311</v>
      </c>
      <c r="G5967" s="2" t="s">
        <v>148</v>
      </c>
      <c r="H5967" s="2" t="s">
        <v>34</v>
      </c>
      <c r="I5967" s="2" t="s">
        <v>11217</v>
      </c>
      <c r="J5967" s="2" t="s">
        <v>177</v>
      </c>
      <c r="K5967" s="2" t="s">
        <v>148</v>
      </c>
      <c r="L5967" s="2" t="s">
        <v>34</v>
      </c>
      <c r="M5967" s="12">
        <v>2596.5720000000001</v>
      </c>
      <c r="N5967" s="7">
        <v>15.313000000000001</v>
      </c>
      <c r="O5967" s="7">
        <v>15.938000000000001</v>
      </c>
      <c r="P5967" s="2" t="s">
        <v>18336</v>
      </c>
      <c r="Q5967" s="6">
        <v>100</v>
      </c>
      <c r="R5967" s="6">
        <v>8.25</v>
      </c>
      <c r="S5967" s="5">
        <v>12.2</v>
      </c>
      <c r="T5967" s="7">
        <v>25.954999999999998</v>
      </c>
      <c r="U5967" s="5">
        <v>6.8</v>
      </c>
      <c r="V5967" s="6">
        <v>0.95</v>
      </c>
      <c r="W5967" s="7">
        <v>7.625</v>
      </c>
      <c r="X5967" s="7">
        <v>7.5629999999999997</v>
      </c>
      <c r="Y5967" s="5">
        <v>7.5</v>
      </c>
      <c r="Z5967" s="7">
        <v>8.125</v>
      </c>
      <c r="AA5967" s="6">
        <v>7.86</v>
      </c>
      <c r="AB5967" s="7">
        <v>6.2960000000000003</v>
      </c>
      <c r="AC5967" s="5">
        <v>23</v>
      </c>
    </row>
    <row r="5968" spans="1:29" ht="117" x14ac:dyDescent="0.15">
      <c r="A5968" s="3">
        <f>DATE(2001,1,20)</f>
        <v>36911</v>
      </c>
      <c r="B5968" s="3">
        <f>DATE(2001,6,28)</f>
        <v>37070</v>
      </c>
      <c r="C5968" s="2" t="s">
        <v>95</v>
      </c>
      <c r="D5968" s="2" t="s">
        <v>18337</v>
      </c>
      <c r="E5968" s="2" t="s">
        <v>124</v>
      </c>
      <c r="F5968" s="4">
        <v>6351</v>
      </c>
      <c r="G5968" s="2" t="s">
        <v>125</v>
      </c>
      <c r="H5968" s="2" t="s">
        <v>34</v>
      </c>
      <c r="I5968" s="2" t="s">
        <v>18338</v>
      </c>
      <c r="J5968" s="2" t="s">
        <v>18339</v>
      </c>
      <c r="K5968" s="2" t="s">
        <v>125</v>
      </c>
      <c r="L5968" s="2" t="s">
        <v>902</v>
      </c>
      <c r="M5968" s="2"/>
      <c r="N5968" s="2"/>
      <c r="O5968" s="2"/>
      <c r="P5968" s="2" t="s">
        <v>18340</v>
      </c>
      <c r="Q5968" s="6">
        <v>100</v>
      </c>
      <c r="R5968" s="6">
        <v>14</v>
      </c>
      <c r="S5968" s="5">
        <v>9.4</v>
      </c>
      <c r="T5968" s="2"/>
      <c r="U5968" s="5">
        <v>6.6</v>
      </c>
      <c r="V5968" s="6">
        <v>1.0900000000000001</v>
      </c>
      <c r="W5968" s="5">
        <v>7.5</v>
      </c>
      <c r="X5968" s="7">
        <v>7.875</v>
      </c>
      <c r="Y5968" s="2"/>
      <c r="Z5968" s="2"/>
      <c r="AA5968" s="6">
        <v>8.48</v>
      </c>
      <c r="AB5968" s="7">
        <v>7.7889999999999997</v>
      </c>
      <c r="AC5968" s="6">
        <v>33.979999999999997</v>
      </c>
    </row>
    <row r="5969" spans="1:29" ht="117" x14ac:dyDescent="0.15">
      <c r="A5969" s="3">
        <f>DATE(2001,1,22)</f>
        <v>36913</v>
      </c>
      <c r="B5969" s="3">
        <f>DATE(2001,3,15)</f>
        <v>36965</v>
      </c>
      <c r="C5969" s="2" t="s">
        <v>95</v>
      </c>
      <c r="D5969" s="2" t="s">
        <v>18083</v>
      </c>
      <c r="E5969" s="2" t="s">
        <v>18084</v>
      </c>
      <c r="F5969" s="4">
        <v>2844</v>
      </c>
      <c r="G5969" s="2" t="s">
        <v>358</v>
      </c>
      <c r="H5969" s="2" t="s">
        <v>34</v>
      </c>
      <c r="I5969" s="2" t="s">
        <v>13790</v>
      </c>
      <c r="J5969" s="2" t="s">
        <v>8653</v>
      </c>
      <c r="K5969" s="2" t="s">
        <v>593</v>
      </c>
      <c r="L5969" s="2" t="s">
        <v>34</v>
      </c>
      <c r="M5969" s="10">
        <v>9295.73</v>
      </c>
      <c r="N5969" s="5">
        <v>24.5</v>
      </c>
      <c r="O5969" s="6">
        <v>24.25</v>
      </c>
      <c r="P5969" s="2" t="s">
        <v>18341</v>
      </c>
      <c r="Q5969" s="6">
        <v>100</v>
      </c>
      <c r="R5969" s="6">
        <v>26</v>
      </c>
      <c r="S5969" s="5">
        <v>11.6</v>
      </c>
      <c r="T5969" s="5">
        <v>27.6</v>
      </c>
      <c r="U5969" s="5">
        <v>10.7</v>
      </c>
      <c r="V5969" s="6">
        <v>1.6</v>
      </c>
      <c r="W5969" s="4">
        <v>16</v>
      </c>
      <c r="X5969" s="6">
        <v>16.75</v>
      </c>
      <c r="Y5969" s="7">
        <v>18.312999999999999</v>
      </c>
      <c r="Z5969" s="6">
        <v>17.75</v>
      </c>
      <c r="AA5969" s="6">
        <v>6.61</v>
      </c>
      <c r="AB5969" s="7">
        <v>10.757</v>
      </c>
      <c r="AC5969" s="5">
        <v>159.1</v>
      </c>
    </row>
    <row r="5970" spans="1:29" ht="78" x14ac:dyDescent="0.15">
      <c r="A5970" s="3">
        <f>DATE(2001,1,22)</f>
        <v>36913</v>
      </c>
      <c r="B5970" s="2"/>
      <c r="C5970" s="2" t="s">
        <v>30</v>
      </c>
      <c r="D5970" s="2" t="s">
        <v>18342</v>
      </c>
      <c r="E5970" s="2" t="s">
        <v>18343</v>
      </c>
      <c r="F5970" s="4">
        <v>7379</v>
      </c>
      <c r="G5970" s="2" t="s">
        <v>223</v>
      </c>
      <c r="H5970" s="2" t="s">
        <v>34</v>
      </c>
      <c r="I5970" s="2" t="s">
        <v>18344</v>
      </c>
      <c r="J5970" s="2" t="s">
        <v>150</v>
      </c>
      <c r="K5970" s="2" t="s">
        <v>53</v>
      </c>
      <c r="L5970" s="2" t="s">
        <v>34</v>
      </c>
      <c r="M5970" s="2"/>
      <c r="N5970" s="2"/>
      <c r="O5970" s="2"/>
      <c r="P5970" s="2" t="s">
        <v>18345</v>
      </c>
      <c r="Q5970" s="2"/>
      <c r="R5970" s="6">
        <v>22</v>
      </c>
      <c r="S5970" s="5">
        <v>15.2</v>
      </c>
      <c r="T5970" s="5">
        <v>51.9</v>
      </c>
      <c r="U5970" s="5">
        <v>12.6</v>
      </c>
      <c r="V5970" s="6">
        <v>1.19</v>
      </c>
      <c r="W5970" s="7">
        <v>20.125</v>
      </c>
      <c r="X5970" s="7">
        <v>17.812999999999999</v>
      </c>
      <c r="Y5970" s="9">
        <v>18.9375</v>
      </c>
      <c r="Z5970" s="9">
        <v>19.1875</v>
      </c>
      <c r="AA5970" s="6">
        <v>12.47</v>
      </c>
      <c r="AB5970" s="7">
        <v>11.714</v>
      </c>
      <c r="AC5970" s="2"/>
    </row>
    <row r="5971" spans="1:29" ht="104" x14ac:dyDescent="0.15">
      <c r="A5971" s="3">
        <f>DATE(2001,1,22)</f>
        <v>36913</v>
      </c>
      <c r="B5971" s="3">
        <f>DATE(2001,8,22)</f>
        <v>37125</v>
      </c>
      <c r="C5971" s="2" t="s">
        <v>95</v>
      </c>
      <c r="D5971" s="2" t="s">
        <v>18346</v>
      </c>
      <c r="E5971" s="2" t="s">
        <v>612</v>
      </c>
      <c r="F5971" s="4">
        <v>1311</v>
      </c>
      <c r="G5971" s="2" t="s">
        <v>148</v>
      </c>
      <c r="H5971" s="2" t="s">
        <v>34</v>
      </c>
      <c r="I5971" s="2" t="s">
        <v>18347</v>
      </c>
      <c r="J5971" s="2" t="s">
        <v>18348</v>
      </c>
      <c r="K5971" s="2" t="s">
        <v>148</v>
      </c>
      <c r="L5971" s="2" t="s">
        <v>34</v>
      </c>
      <c r="M5971" s="2"/>
      <c r="N5971" s="2"/>
      <c r="O5971" s="2"/>
      <c r="P5971" s="2" t="s">
        <v>18349</v>
      </c>
      <c r="Q5971" s="6">
        <v>100</v>
      </c>
      <c r="R5971" s="6">
        <v>11.5</v>
      </c>
      <c r="S5971" s="5">
        <v>3.1</v>
      </c>
      <c r="T5971" s="5">
        <v>5.9</v>
      </c>
      <c r="U5971" s="5">
        <v>1.9</v>
      </c>
      <c r="V5971" s="6">
        <v>0.59</v>
      </c>
      <c r="W5971" s="6">
        <v>9.25</v>
      </c>
      <c r="X5971" s="7">
        <v>9.125</v>
      </c>
      <c r="Y5971" s="7">
        <v>9.875</v>
      </c>
      <c r="Z5971" s="9">
        <v>9.9375</v>
      </c>
      <c r="AA5971" s="6">
        <v>5.21</v>
      </c>
      <c r="AB5971" s="7">
        <v>13.532</v>
      </c>
      <c r="AC5971" s="2"/>
    </row>
    <row r="5972" spans="1:29" ht="104" x14ac:dyDescent="0.15">
      <c r="A5972" s="3">
        <f>DATE(2001,1,22)</f>
        <v>36913</v>
      </c>
      <c r="B5972" s="3">
        <f>DATE(2001,3,9)</f>
        <v>36959</v>
      </c>
      <c r="C5972" s="2" t="s">
        <v>95</v>
      </c>
      <c r="D5972" s="2" t="s">
        <v>18350</v>
      </c>
      <c r="E5972" s="2" t="s">
        <v>18351</v>
      </c>
      <c r="F5972" s="4">
        <v>3089</v>
      </c>
      <c r="G5972" s="2" t="s">
        <v>447</v>
      </c>
      <c r="H5972" s="2" t="s">
        <v>34</v>
      </c>
      <c r="I5972" s="2" t="s">
        <v>18352</v>
      </c>
      <c r="J5972" s="2" t="s">
        <v>18353</v>
      </c>
      <c r="K5972" s="2" t="s">
        <v>282</v>
      </c>
      <c r="L5972" s="2" t="s">
        <v>2105</v>
      </c>
      <c r="M5972" s="2"/>
      <c r="N5972" s="2"/>
      <c r="O5972" s="2"/>
      <c r="P5972" s="2" t="s">
        <v>18354</v>
      </c>
      <c r="Q5972" s="6">
        <v>100</v>
      </c>
      <c r="R5972" s="6">
        <v>21.5</v>
      </c>
      <c r="S5972" s="5">
        <v>13.9</v>
      </c>
      <c r="T5972" s="5">
        <v>45.8</v>
      </c>
      <c r="U5972" s="5">
        <v>10.6</v>
      </c>
      <c r="V5972" s="6">
        <v>0.6</v>
      </c>
      <c r="W5972" s="6">
        <v>13.75</v>
      </c>
      <c r="X5972" s="4">
        <v>14</v>
      </c>
      <c r="Y5972" s="7">
        <v>20.937999999999999</v>
      </c>
      <c r="Z5972" s="7">
        <v>21.030999999999999</v>
      </c>
      <c r="AA5972" s="6">
        <v>9.31</v>
      </c>
      <c r="AB5972" s="7">
        <v>10.316000000000001</v>
      </c>
      <c r="AC5972" s="2"/>
    </row>
    <row r="5973" spans="1:29" ht="117" x14ac:dyDescent="0.15">
      <c r="A5973" s="3">
        <f>DATE(2001,1,23)</f>
        <v>36914</v>
      </c>
      <c r="B5973" s="3">
        <f>DATE(2001,7,2)</f>
        <v>37074</v>
      </c>
      <c r="C5973" s="2" t="s">
        <v>95</v>
      </c>
      <c r="D5973" s="2" t="s">
        <v>11122</v>
      </c>
      <c r="E5973" s="2" t="s">
        <v>5900</v>
      </c>
      <c r="F5973" s="4">
        <v>6035</v>
      </c>
      <c r="G5973" s="2" t="s">
        <v>33</v>
      </c>
      <c r="H5973" s="2" t="s">
        <v>34</v>
      </c>
      <c r="I5973" s="2" t="s">
        <v>2707</v>
      </c>
      <c r="J5973" s="2" t="s">
        <v>263</v>
      </c>
      <c r="K5973" s="2" t="s">
        <v>33</v>
      </c>
      <c r="L5973" s="2" t="s">
        <v>34</v>
      </c>
      <c r="M5973" s="10">
        <v>6028.39</v>
      </c>
      <c r="N5973" s="7">
        <v>26.812999999999999</v>
      </c>
      <c r="O5973" s="7">
        <v>26.437999999999999</v>
      </c>
      <c r="P5973" s="2" t="s">
        <v>18355</v>
      </c>
      <c r="Q5973" s="6">
        <v>100</v>
      </c>
      <c r="R5973" s="6">
        <v>24.64</v>
      </c>
      <c r="S5973" s="5">
        <v>13.9</v>
      </c>
      <c r="T5973" s="7">
        <v>23.536999999999999</v>
      </c>
      <c r="U5973" s="5">
        <v>17.7</v>
      </c>
      <c r="V5973" s="6">
        <v>1.41</v>
      </c>
      <c r="W5973" s="6">
        <v>21.75</v>
      </c>
      <c r="X5973" s="5">
        <v>22.5</v>
      </c>
      <c r="Y5973" s="7">
        <v>23.875</v>
      </c>
      <c r="Z5973" s="7">
        <v>23.687999999999999</v>
      </c>
      <c r="AA5973" s="6">
        <v>9.24</v>
      </c>
      <c r="AB5973" s="7">
        <v>38.866999999999997</v>
      </c>
      <c r="AC5973" s="5">
        <v>530.79999999999995</v>
      </c>
    </row>
    <row r="5974" spans="1:29" ht="104" x14ac:dyDescent="0.15">
      <c r="A5974" s="3">
        <f>DATE(2001,1,23)</f>
        <v>36914</v>
      </c>
      <c r="B5974" s="3">
        <f>DATE(2001,4,30)</f>
        <v>37011</v>
      </c>
      <c r="C5974" s="2" t="s">
        <v>95</v>
      </c>
      <c r="D5974" s="2" t="s">
        <v>18356</v>
      </c>
      <c r="E5974" s="2" t="s">
        <v>5232</v>
      </c>
      <c r="F5974" s="4">
        <v>3577</v>
      </c>
      <c r="G5974" s="2" t="s">
        <v>50</v>
      </c>
      <c r="H5974" s="2" t="s">
        <v>34</v>
      </c>
      <c r="I5974" s="2" t="s">
        <v>15270</v>
      </c>
      <c r="J5974" s="2" t="s">
        <v>12389</v>
      </c>
      <c r="K5974" s="2" t="s">
        <v>137</v>
      </c>
      <c r="L5974" s="2" t="s">
        <v>34</v>
      </c>
      <c r="M5974" s="12">
        <v>21296.044000000002</v>
      </c>
      <c r="N5974" s="6">
        <v>40.409999999999997</v>
      </c>
      <c r="O5974" s="6">
        <v>40.65</v>
      </c>
      <c r="P5974" s="2" t="s">
        <v>18357</v>
      </c>
      <c r="Q5974" s="6">
        <v>100</v>
      </c>
      <c r="R5974" s="6">
        <v>13.43</v>
      </c>
      <c r="S5974" s="5">
        <v>2.7</v>
      </c>
      <c r="T5974" s="5">
        <v>3</v>
      </c>
      <c r="U5974" s="5">
        <v>5</v>
      </c>
      <c r="V5974" s="6">
        <v>0.76</v>
      </c>
      <c r="W5974" s="7">
        <v>14.875</v>
      </c>
      <c r="X5974" s="7">
        <v>18.375</v>
      </c>
      <c r="Y5974" s="7">
        <v>20.937999999999999</v>
      </c>
      <c r="Z5974" s="4">
        <v>21</v>
      </c>
      <c r="AA5974" s="6">
        <v>3.24</v>
      </c>
      <c r="AB5974" s="7">
        <v>30.364999999999998</v>
      </c>
      <c r="AC5974" s="8">
        <v>4518.7</v>
      </c>
    </row>
    <row r="5975" spans="1:29" ht="104" x14ac:dyDescent="0.15">
      <c r="A5975" s="3">
        <f>DATE(2001,1,23)</f>
        <v>36914</v>
      </c>
      <c r="B5975" s="2"/>
      <c r="C5975" s="2" t="s">
        <v>30</v>
      </c>
      <c r="D5975" s="2" t="s">
        <v>18358</v>
      </c>
      <c r="E5975" s="2" t="s">
        <v>18359</v>
      </c>
      <c r="F5975" s="4">
        <v>7373</v>
      </c>
      <c r="G5975" s="2" t="s">
        <v>223</v>
      </c>
      <c r="H5975" s="2" t="s">
        <v>34</v>
      </c>
      <c r="I5975" s="2" t="s">
        <v>8770</v>
      </c>
      <c r="J5975" s="2" t="s">
        <v>8771</v>
      </c>
      <c r="K5975" s="2" t="s">
        <v>921</v>
      </c>
      <c r="L5975" s="2" t="s">
        <v>34</v>
      </c>
      <c r="M5975" s="12">
        <v>1022.579</v>
      </c>
      <c r="N5975" s="7">
        <v>36.875</v>
      </c>
      <c r="O5975" s="7">
        <v>30.375</v>
      </c>
      <c r="P5975" s="2" t="s">
        <v>18360</v>
      </c>
      <c r="Q5975" s="2"/>
      <c r="R5975" s="6">
        <v>10.44</v>
      </c>
      <c r="S5975" s="5">
        <v>-16.7</v>
      </c>
      <c r="T5975" s="5">
        <v>-2.4</v>
      </c>
      <c r="U5975" s="5">
        <v>5.9</v>
      </c>
      <c r="V5975" s="6">
        <v>-1.06</v>
      </c>
      <c r="W5975" s="7">
        <v>6.4059999999999997</v>
      </c>
      <c r="X5975" s="7">
        <v>7.625</v>
      </c>
      <c r="Y5975" s="9">
        <v>8.1875</v>
      </c>
      <c r="Z5975" s="4">
        <v>9</v>
      </c>
      <c r="AA5975" s="6">
        <v>17.61</v>
      </c>
      <c r="AB5975" s="2" t="s">
        <v>86</v>
      </c>
      <c r="AC5975" s="6">
        <v>69.72</v>
      </c>
    </row>
    <row r="5976" spans="1:29" ht="52" x14ac:dyDescent="0.15">
      <c r="A5976" s="3">
        <f>DATE(2001,1,24)</f>
        <v>36915</v>
      </c>
      <c r="B5976" s="2"/>
      <c r="C5976" s="2" t="s">
        <v>30</v>
      </c>
      <c r="D5976" s="2" t="s">
        <v>18361</v>
      </c>
      <c r="E5976" s="2" t="s">
        <v>18362</v>
      </c>
      <c r="F5976" s="4">
        <v>5961</v>
      </c>
      <c r="G5976" s="2" t="s">
        <v>73</v>
      </c>
      <c r="H5976" s="2" t="s">
        <v>34</v>
      </c>
      <c r="I5976" s="2" t="s">
        <v>18363</v>
      </c>
      <c r="J5976" s="2" t="s">
        <v>8500</v>
      </c>
      <c r="K5976" s="2" t="s">
        <v>223</v>
      </c>
      <c r="L5976" s="2" t="s">
        <v>34</v>
      </c>
      <c r="M5976" s="6">
        <v>3.55</v>
      </c>
      <c r="N5976" s="7">
        <v>0.93799999999999994</v>
      </c>
      <c r="O5976" s="7">
        <v>0.875</v>
      </c>
      <c r="P5976" s="2" t="s">
        <v>18364</v>
      </c>
      <c r="Q5976" s="2"/>
      <c r="R5976" s="2"/>
      <c r="S5976" s="5">
        <v>-23.6</v>
      </c>
      <c r="T5976" s="7">
        <v>-8.8460000000000001</v>
      </c>
      <c r="U5976" s="5">
        <v>-18.100000000000001</v>
      </c>
      <c r="V5976" s="6">
        <v>-97.6</v>
      </c>
      <c r="W5976" s="7">
        <v>0.90600000000000003</v>
      </c>
      <c r="X5976" s="7">
        <v>1.218</v>
      </c>
      <c r="Y5976" s="7">
        <v>1.2190000000000001</v>
      </c>
      <c r="Z5976" s="7">
        <v>1.0629999999999999</v>
      </c>
      <c r="AA5976" s="6">
        <v>14.29</v>
      </c>
      <c r="AB5976" s="2" t="s">
        <v>86</v>
      </c>
      <c r="AC5976" s="5">
        <v>0.1</v>
      </c>
    </row>
    <row r="5977" spans="1:29" ht="130" x14ac:dyDescent="0.15">
      <c r="A5977" s="3">
        <f>DATE(2001,1,24)</f>
        <v>36915</v>
      </c>
      <c r="B5977" s="3">
        <f>DATE(2001,8,9)</f>
        <v>37112</v>
      </c>
      <c r="C5977" s="2" t="s">
        <v>95</v>
      </c>
      <c r="D5977" s="2" t="s">
        <v>7166</v>
      </c>
      <c r="E5977" s="2" t="s">
        <v>7167</v>
      </c>
      <c r="F5977" s="4">
        <v>6021</v>
      </c>
      <c r="G5977" s="2" t="s">
        <v>37</v>
      </c>
      <c r="H5977" s="2" t="s">
        <v>34</v>
      </c>
      <c r="I5977" s="2" t="s">
        <v>13707</v>
      </c>
      <c r="J5977" s="2" t="s">
        <v>36</v>
      </c>
      <c r="K5977" s="2" t="s">
        <v>37</v>
      </c>
      <c r="L5977" s="2" t="s">
        <v>34</v>
      </c>
      <c r="M5977" s="12">
        <v>15169.032999999999</v>
      </c>
      <c r="N5977" s="4">
        <v>36</v>
      </c>
      <c r="O5977" s="6">
        <v>36.25</v>
      </c>
      <c r="P5977" s="2" t="s">
        <v>18365</v>
      </c>
      <c r="Q5977" s="6">
        <v>100</v>
      </c>
      <c r="R5977" s="6">
        <v>40.67</v>
      </c>
      <c r="S5977" s="5">
        <v>48</v>
      </c>
      <c r="T5977" s="5">
        <v>81.2</v>
      </c>
      <c r="U5977" s="5">
        <v>13.8</v>
      </c>
      <c r="V5977" s="6">
        <v>1.92</v>
      </c>
      <c r="W5977" s="6">
        <v>26.25</v>
      </c>
      <c r="X5977" s="7">
        <v>27.625</v>
      </c>
      <c r="Y5977" s="9">
        <v>38.0625</v>
      </c>
      <c r="Z5977" s="7">
        <v>38.375</v>
      </c>
      <c r="AA5977" s="6">
        <v>24.67</v>
      </c>
      <c r="AB5977" s="7">
        <v>54.892000000000003</v>
      </c>
      <c r="AC5977" s="8">
        <v>1471</v>
      </c>
    </row>
    <row r="5978" spans="1:29" ht="143" x14ac:dyDescent="0.15">
      <c r="A5978" s="3">
        <f>DATE(2001,1,24)</f>
        <v>36915</v>
      </c>
      <c r="B5978" s="3">
        <f>DATE(2002,3,25)</f>
        <v>37340</v>
      </c>
      <c r="C5978" s="2" t="s">
        <v>95</v>
      </c>
      <c r="D5978" s="2" t="s">
        <v>18366</v>
      </c>
      <c r="E5978" s="2" t="s">
        <v>18367</v>
      </c>
      <c r="F5978" s="4">
        <v>8069</v>
      </c>
      <c r="G5978" s="2" t="s">
        <v>454</v>
      </c>
      <c r="H5978" s="2" t="s">
        <v>34</v>
      </c>
      <c r="I5978" s="2" t="s">
        <v>51</v>
      </c>
      <c r="J5978" s="2" t="s">
        <v>52</v>
      </c>
      <c r="K5978" s="2" t="s">
        <v>53</v>
      </c>
      <c r="L5978" s="2" t="s">
        <v>34</v>
      </c>
      <c r="M5978" s="2"/>
      <c r="N5978" s="2"/>
      <c r="O5978" s="2"/>
      <c r="P5978" s="2" t="s">
        <v>18368</v>
      </c>
      <c r="Q5978" s="6">
        <v>100</v>
      </c>
      <c r="R5978" s="6">
        <v>5.0999999999999996</v>
      </c>
      <c r="S5978" s="5">
        <v>7.1</v>
      </c>
      <c r="T5978" s="5">
        <v>10.3</v>
      </c>
      <c r="U5978" s="5">
        <v>4</v>
      </c>
      <c r="V5978" s="6">
        <v>0.48</v>
      </c>
      <c r="W5978" s="7">
        <v>3.8130000000000002</v>
      </c>
      <c r="X5978" s="7">
        <v>3.875</v>
      </c>
      <c r="Y5978" s="11">
        <v>3.90625</v>
      </c>
      <c r="Z5978" s="7">
        <v>4.875</v>
      </c>
      <c r="AA5978" s="6">
        <v>8.6199999999999992</v>
      </c>
      <c r="AB5978" s="7">
        <v>7.806</v>
      </c>
      <c r="AC5978" s="2"/>
    </row>
    <row r="5979" spans="1:29" ht="91" x14ac:dyDescent="0.15">
      <c r="A5979" s="3">
        <f>DATE(2001,1,24)</f>
        <v>36915</v>
      </c>
      <c r="B5979" s="3">
        <f>DATE(2001,6,28)</f>
        <v>37070</v>
      </c>
      <c r="C5979" s="2" t="s">
        <v>95</v>
      </c>
      <c r="D5979" s="2" t="s">
        <v>18369</v>
      </c>
      <c r="E5979" s="2" t="s">
        <v>389</v>
      </c>
      <c r="F5979" s="4">
        <v>6035</v>
      </c>
      <c r="G5979" s="2" t="s">
        <v>33</v>
      </c>
      <c r="H5979" s="2" t="s">
        <v>34</v>
      </c>
      <c r="I5979" s="2" t="s">
        <v>13707</v>
      </c>
      <c r="J5979" s="2" t="s">
        <v>36</v>
      </c>
      <c r="K5979" s="2" t="s">
        <v>37</v>
      </c>
      <c r="L5979" s="2" t="s">
        <v>34</v>
      </c>
      <c r="M5979" s="12">
        <v>15169.032999999999</v>
      </c>
      <c r="N5979" s="4">
        <v>36</v>
      </c>
      <c r="O5979" s="6">
        <v>36.25</v>
      </c>
      <c r="P5979" s="2" t="s">
        <v>18370</v>
      </c>
      <c r="Q5979" s="6">
        <v>100</v>
      </c>
      <c r="R5979" s="6">
        <v>18.5</v>
      </c>
      <c r="S5979" s="5">
        <v>7.8</v>
      </c>
      <c r="T5979" s="7">
        <v>13.183999999999999</v>
      </c>
      <c r="U5979" s="5">
        <v>16.7</v>
      </c>
      <c r="V5979" s="6">
        <v>0.91</v>
      </c>
      <c r="W5979" s="7">
        <v>17.312999999999999</v>
      </c>
      <c r="X5979" s="5">
        <v>20.5</v>
      </c>
      <c r="Y5979" s="7">
        <v>18.625</v>
      </c>
      <c r="Z5979" s="7">
        <v>18.625</v>
      </c>
      <c r="AA5979" s="6">
        <v>9.2899999999999991</v>
      </c>
      <c r="AB5979" s="7">
        <v>14.315</v>
      </c>
      <c r="AC5979" s="8">
        <v>1471</v>
      </c>
    </row>
    <row r="5980" spans="1:29" ht="117" x14ac:dyDescent="0.15">
      <c r="A5980" s="3">
        <f>DATE(2001,1,25)</f>
        <v>36916</v>
      </c>
      <c r="B5980" s="3">
        <f>DATE(2001,5,16)</f>
        <v>37027</v>
      </c>
      <c r="C5980" s="2" t="s">
        <v>95</v>
      </c>
      <c r="D5980" s="2" t="s">
        <v>18371</v>
      </c>
      <c r="E5980" s="2" t="s">
        <v>612</v>
      </c>
      <c r="F5980" s="4">
        <v>1311</v>
      </c>
      <c r="G5980" s="2" t="s">
        <v>148</v>
      </c>
      <c r="H5980" s="2" t="s">
        <v>34</v>
      </c>
      <c r="I5980" s="2" t="s">
        <v>5310</v>
      </c>
      <c r="J5980" s="2" t="s">
        <v>612</v>
      </c>
      <c r="K5980" s="2" t="s">
        <v>148</v>
      </c>
      <c r="L5980" s="2" t="s">
        <v>34</v>
      </c>
      <c r="M5980" s="6">
        <v>118.36</v>
      </c>
      <c r="N5980" s="6">
        <v>9.75</v>
      </c>
      <c r="O5980" s="9">
        <v>9.4375</v>
      </c>
      <c r="P5980" s="2" t="s">
        <v>18372</v>
      </c>
      <c r="Q5980" s="6">
        <v>100</v>
      </c>
      <c r="R5980" s="2"/>
      <c r="S5980" s="5">
        <v>24.9</v>
      </c>
      <c r="T5980" s="2"/>
      <c r="U5980" s="5">
        <v>0.2</v>
      </c>
      <c r="V5980" s="6">
        <v>0.18</v>
      </c>
      <c r="W5980" s="7">
        <v>1.0309999999999999</v>
      </c>
      <c r="X5980" s="7">
        <v>1.7190000000000001</v>
      </c>
      <c r="Y5980" s="7">
        <v>1.125</v>
      </c>
      <c r="Z5980" s="6">
        <v>1.1599999999999999</v>
      </c>
      <c r="AA5980" s="6">
        <v>87.94</v>
      </c>
      <c r="AB5980" s="2" t="s">
        <v>47</v>
      </c>
      <c r="AC5980" s="2"/>
    </row>
    <row r="5981" spans="1:29" ht="156" x14ac:dyDescent="0.15">
      <c r="A5981" s="3">
        <f>DATE(2001,1,25)</f>
        <v>36916</v>
      </c>
      <c r="B5981" s="3">
        <f>DATE(2001,6,20)</f>
        <v>37062</v>
      </c>
      <c r="C5981" s="2" t="s">
        <v>95</v>
      </c>
      <c r="D5981" s="2" t="s">
        <v>18373</v>
      </c>
      <c r="E5981" s="2" t="s">
        <v>18374</v>
      </c>
      <c r="F5981" s="4">
        <v>5812</v>
      </c>
      <c r="G5981" s="2" t="s">
        <v>230</v>
      </c>
      <c r="H5981" s="2" t="s">
        <v>34</v>
      </c>
      <c r="I5981" s="2" t="s">
        <v>18375</v>
      </c>
      <c r="J5981" s="2" t="s">
        <v>3900</v>
      </c>
      <c r="K5981" s="2" t="s">
        <v>230</v>
      </c>
      <c r="L5981" s="2" t="s">
        <v>133</v>
      </c>
      <c r="M5981" s="2"/>
      <c r="N5981" s="2"/>
      <c r="O5981" s="2"/>
      <c r="P5981" s="2" t="s">
        <v>18376</v>
      </c>
      <c r="Q5981" s="6">
        <v>57.07</v>
      </c>
      <c r="R5981" s="6">
        <v>32</v>
      </c>
      <c r="S5981" s="5">
        <v>74</v>
      </c>
      <c r="T5981" s="5">
        <v>295</v>
      </c>
      <c r="U5981" s="5">
        <v>-5.6</v>
      </c>
      <c r="V5981" s="6">
        <v>1.1599999999999999</v>
      </c>
      <c r="W5981" s="7">
        <v>25.187999999999999</v>
      </c>
      <c r="X5981" s="7">
        <v>24.875</v>
      </c>
      <c r="Y5981" s="5">
        <v>28.5</v>
      </c>
      <c r="Z5981" s="7">
        <v>28.875</v>
      </c>
      <c r="AA5981" s="6">
        <v>63.29</v>
      </c>
      <c r="AB5981" s="7">
        <v>14.404</v>
      </c>
      <c r="AC5981" s="6">
        <v>800.22</v>
      </c>
    </row>
    <row r="5982" spans="1:29" ht="130" x14ac:dyDescent="0.15">
      <c r="A5982" s="3">
        <f t="shared" ref="A5982:A5988" si="145">DATE(2001,1,26)</f>
        <v>36917</v>
      </c>
      <c r="B5982" s="3">
        <f>DATE(2001,6,5)</f>
        <v>37047</v>
      </c>
      <c r="C5982" s="2" t="s">
        <v>95</v>
      </c>
      <c r="D5982" s="2" t="s">
        <v>5615</v>
      </c>
      <c r="E5982" s="2" t="s">
        <v>672</v>
      </c>
      <c r="F5982" s="4">
        <v>6021</v>
      </c>
      <c r="G5982" s="2" t="s">
        <v>37</v>
      </c>
      <c r="H5982" s="2" t="s">
        <v>34</v>
      </c>
      <c r="I5982" s="2" t="s">
        <v>16508</v>
      </c>
      <c r="J5982" s="2" t="s">
        <v>4434</v>
      </c>
      <c r="K5982" s="2" t="s">
        <v>37</v>
      </c>
      <c r="L5982" s="2" t="s">
        <v>902</v>
      </c>
      <c r="M5982" s="2"/>
      <c r="N5982" s="2"/>
      <c r="O5982" s="2"/>
      <c r="P5982" s="2" t="s">
        <v>18377</v>
      </c>
      <c r="Q5982" s="6">
        <v>100</v>
      </c>
      <c r="R5982" s="6">
        <v>57.92</v>
      </c>
      <c r="S5982" s="5">
        <v>98.8</v>
      </c>
      <c r="T5982" s="7">
        <v>175.351</v>
      </c>
      <c r="U5982" s="5">
        <v>24.3</v>
      </c>
      <c r="V5982" s="6">
        <v>2.4700000000000002</v>
      </c>
      <c r="W5982" s="7">
        <v>43.125</v>
      </c>
      <c r="X5982" s="7">
        <v>44.688000000000002</v>
      </c>
      <c r="Y5982" s="5">
        <v>53.5</v>
      </c>
      <c r="Z5982" s="6">
        <v>53.79</v>
      </c>
      <c r="AA5982" s="6">
        <v>39.53</v>
      </c>
      <c r="AB5982" s="7">
        <v>81.837000000000003</v>
      </c>
      <c r="AC5982" s="5">
        <v>621.79999999999995</v>
      </c>
    </row>
    <row r="5983" spans="1:29" ht="130" x14ac:dyDescent="0.15">
      <c r="A5983" s="3">
        <f t="shared" si="145"/>
        <v>36917</v>
      </c>
      <c r="B5983" s="3">
        <f>DATE(2001,3,22)</f>
        <v>36972</v>
      </c>
      <c r="C5983" s="2" t="s">
        <v>95</v>
      </c>
      <c r="D5983" s="2" t="s">
        <v>18378</v>
      </c>
      <c r="E5983" s="2" t="s">
        <v>5549</v>
      </c>
      <c r="F5983" s="4">
        <v>7371</v>
      </c>
      <c r="G5983" s="2" t="s">
        <v>223</v>
      </c>
      <c r="H5983" s="2" t="s">
        <v>34</v>
      </c>
      <c r="I5983" s="2" t="s">
        <v>18379</v>
      </c>
      <c r="J5983" s="2" t="s">
        <v>18380</v>
      </c>
      <c r="K5983" s="2" t="s">
        <v>223</v>
      </c>
      <c r="L5983" s="2" t="s">
        <v>34</v>
      </c>
      <c r="M5983" s="2"/>
      <c r="N5983" s="2"/>
      <c r="O5983" s="2"/>
      <c r="P5983" s="2" t="s">
        <v>18381</v>
      </c>
      <c r="Q5983" s="6">
        <v>100</v>
      </c>
      <c r="R5983" s="6">
        <v>5</v>
      </c>
      <c r="S5983" s="5">
        <v>-2.2999999999999998</v>
      </c>
      <c r="T5983" s="7">
        <v>-1.9850000000000001</v>
      </c>
      <c r="U5983" s="5">
        <v>3.3</v>
      </c>
      <c r="V5983" s="6">
        <v>-0.3</v>
      </c>
      <c r="W5983" s="6">
        <v>2.25</v>
      </c>
      <c r="X5983" s="6">
        <v>2.75</v>
      </c>
      <c r="Y5983" s="7">
        <v>3.125</v>
      </c>
      <c r="Z5983" s="7">
        <v>4.9059999999999997</v>
      </c>
      <c r="AA5983" s="6">
        <v>7.66</v>
      </c>
      <c r="AB5983" s="2" t="s">
        <v>86</v>
      </c>
      <c r="AC5983" s="2"/>
    </row>
    <row r="5984" spans="1:29" ht="52" x14ac:dyDescent="0.15">
      <c r="A5984" s="3">
        <f t="shared" si="145"/>
        <v>36917</v>
      </c>
      <c r="B5984" s="3">
        <f>DATE(2001,1,26)</f>
        <v>36917</v>
      </c>
      <c r="C5984" s="2" t="s">
        <v>95</v>
      </c>
      <c r="D5984" s="2" t="s">
        <v>18382</v>
      </c>
      <c r="E5984" s="2" t="s">
        <v>18383</v>
      </c>
      <c r="F5984" s="4">
        <v>5261</v>
      </c>
      <c r="G5984" s="2" t="s">
        <v>73</v>
      </c>
      <c r="H5984" s="2" t="s">
        <v>34</v>
      </c>
      <c r="I5984" s="2" t="s">
        <v>18384</v>
      </c>
      <c r="J5984" s="2" t="s">
        <v>6365</v>
      </c>
      <c r="K5984" s="2" t="s">
        <v>73</v>
      </c>
      <c r="L5984" s="2" t="s">
        <v>34</v>
      </c>
      <c r="M5984" s="2"/>
      <c r="N5984" s="2"/>
      <c r="O5984" s="2"/>
      <c r="P5984" s="2" t="s">
        <v>18385</v>
      </c>
      <c r="Q5984" s="6">
        <v>100</v>
      </c>
      <c r="R5984" s="2"/>
      <c r="S5984" s="5">
        <v>-43.1</v>
      </c>
      <c r="T5984" s="7">
        <v>-39.215000000000003</v>
      </c>
      <c r="U5984" s="5">
        <v>1.4</v>
      </c>
      <c r="V5984" s="6">
        <v>-2.89</v>
      </c>
      <c r="W5984" s="5">
        <v>14.5</v>
      </c>
      <c r="X5984" s="6">
        <v>14.75</v>
      </c>
      <c r="Y5984" s="6">
        <v>14.75</v>
      </c>
      <c r="Z5984" s="5">
        <v>14.8</v>
      </c>
      <c r="AA5984" s="6">
        <v>17.739999999999998</v>
      </c>
      <c r="AB5984" s="2" t="s">
        <v>86</v>
      </c>
      <c r="AC5984" s="2"/>
    </row>
    <row r="5985" spans="1:29" ht="130" x14ac:dyDescent="0.15">
      <c r="A5985" s="3">
        <f t="shared" si="145"/>
        <v>36917</v>
      </c>
      <c r="B5985" s="3">
        <f>DATE(2001,4,18)</f>
        <v>36999</v>
      </c>
      <c r="C5985" s="2" t="s">
        <v>95</v>
      </c>
      <c r="D5985" s="2" t="s">
        <v>18386</v>
      </c>
      <c r="E5985" s="2" t="s">
        <v>18387</v>
      </c>
      <c r="F5985" s="4">
        <v>3841</v>
      </c>
      <c r="G5985" s="2" t="s">
        <v>226</v>
      </c>
      <c r="H5985" s="2" t="s">
        <v>34</v>
      </c>
      <c r="I5985" s="2" t="s">
        <v>5669</v>
      </c>
      <c r="J5985" s="2" t="s">
        <v>5670</v>
      </c>
      <c r="K5985" s="2" t="s">
        <v>130</v>
      </c>
      <c r="L5985" s="2" t="s">
        <v>34</v>
      </c>
      <c r="M5985" s="10">
        <v>146040.62</v>
      </c>
      <c r="N5985" s="7">
        <v>91.938000000000002</v>
      </c>
      <c r="O5985" s="5">
        <v>91.6</v>
      </c>
      <c r="P5985" s="2" t="s">
        <v>18388</v>
      </c>
      <c r="Q5985" s="6">
        <v>100</v>
      </c>
      <c r="R5985" s="6">
        <v>2.9</v>
      </c>
      <c r="S5985" s="5">
        <v>-8</v>
      </c>
      <c r="T5985" s="7">
        <v>-1.6950000000000001</v>
      </c>
      <c r="U5985" s="5">
        <v>-0.8</v>
      </c>
      <c r="V5985" s="6">
        <v>-0.32</v>
      </c>
      <c r="W5985" s="7">
        <v>1.875</v>
      </c>
      <c r="X5985" s="7">
        <v>2.0630000000000002</v>
      </c>
      <c r="Y5985" s="7">
        <v>2.7189999999999999</v>
      </c>
      <c r="Z5985" s="7">
        <v>2.625</v>
      </c>
      <c r="AA5985" s="6">
        <v>26.34</v>
      </c>
      <c r="AB5985" s="2" t="s">
        <v>86</v>
      </c>
      <c r="AC5985" s="8">
        <v>3411</v>
      </c>
    </row>
    <row r="5986" spans="1:29" ht="91" x14ac:dyDescent="0.15">
      <c r="A5986" s="3">
        <f t="shared" si="145"/>
        <v>36917</v>
      </c>
      <c r="B5986" s="3">
        <f>DATE(2001,4,30)</f>
        <v>37011</v>
      </c>
      <c r="C5986" s="2" t="s">
        <v>95</v>
      </c>
      <c r="D5986" s="2" t="s">
        <v>18048</v>
      </c>
      <c r="E5986" s="2" t="s">
        <v>12930</v>
      </c>
      <c r="F5986" s="4">
        <v>4213</v>
      </c>
      <c r="G5986" s="2" t="s">
        <v>173</v>
      </c>
      <c r="H5986" s="2" t="s">
        <v>34</v>
      </c>
      <c r="I5986" s="2" t="s">
        <v>18389</v>
      </c>
      <c r="J5986" s="2" t="s">
        <v>17282</v>
      </c>
      <c r="K5986" s="2" t="s">
        <v>173</v>
      </c>
      <c r="L5986" s="2" t="s">
        <v>34</v>
      </c>
      <c r="M5986" s="2"/>
      <c r="N5986" s="2"/>
      <c r="O5986" s="2"/>
      <c r="P5986" s="2" t="s">
        <v>18390</v>
      </c>
      <c r="Q5986" s="6">
        <v>100</v>
      </c>
      <c r="R5986" s="6">
        <v>35</v>
      </c>
      <c r="S5986" s="5">
        <v>4.7</v>
      </c>
      <c r="T5986" s="5">
        <v>18.899999999999999</v>
      </c>
      <c r="U5986" s="5">
        <v>25.5</v>
      </c>
      <c r="V5986" s="6">
        <v>1.99</v>
      </c>
      <c r="W5986" s="7">
        <v>24.125</v>
      </c>
      <c r="X5986" s="5">
        <v>26.5</v>
      </c>
      <c r="Y5986" s="4">
        <v>34</v>
      </c>
      <c r="Z5986" s="4">
        <v>34</v>
      </c>
      <c r="AA5986" s="6">
        <v>2.42</v>
      </c>
      <c r="AB5986" s="7">
        <v>13.022</v>
      </c>
      <c r="AC5986" s="2"/>
    </row>
    <row r="5987" spans="1:29" ht="52" x14ac:dyDescent="0.15">
      <c r="A5987" s="3">
        <f t="shared" si="145"/>
        <v>36917</v>
      </c>
      <c r="B5987" s="3">
        <f>DATE(2001,6,29)</f>
        <v>37071</v>
      </c>
      <c r="C5987" s="2" t="s">
        <v>95</v>
      </c>
      <c r="D5987" s="2" t="s">
        <v>18391</v>
      </c>
      <c r="E5987" s="2" t="s">
        <v>14170</v>
      </c>
      <c r="F5987" s="4">
        <v>6035</v>
      </c>
      <c r="G5987" s="2" t="s">
        <v>33</v>
      </c>
      <c r="H5987" s="2" t="s">
        <v>34</v>
      </c>
      <c r="I5987" s="2" t="s">
        <v>18392</v>
      </c>
      <c r="J5987" s="2" t="s">
        <v>263</v>
      </c>
      <c r="K5987" s="2" t="s">
        <v>37</v>
      </c>
      <c r="L5987" s="2" t="s">
        <v>34</v>
      </c>
      <c r="M5987" s="2"/>
      <c r="N5987" s="2"/>
      <c r="O5987" s="2"/>
      <c r="P5987" s="2" t="s">
        <v>18393</v>
      </c>
      <c r="Q5987" s="6">
        <v>100</v>
      </c>
      <c r="R5987" s="6">
        <v>23.5</v>
      </c>
      <c r="S5987" s="5">
        <v>-0.2</v>
      </c>
      <c r="T5987" s="5">
        <v>1.6</v>
      </c>
      <c r="U5987" s="5">
        <v>22.8</v>
      </c>
      <c r="V5987" s="6">
        <v>-3.94</v>
      </c>
      <c r="W5987" s="5">
        <v>17.5</v>
      </c>
      <c r="X5987" s="5">
        <v>17.5</v>
      </c>
      <c r="Y5987" s="6">
        <v>19.25</v>
      </c>
      <c r="Z5987" s="6">
        <v>22.75</v>
      </c>
      <c r="AA5987" s="6">
        <v>0.74</v>
      </c>
      <c r="AB5987" s="7">
        <v>34.429000000000002</v>
      </c>
      <c r="AC5987" s="2"/>
    </row>
    <row r="5988" spans="1:29" ht="78" x14ac:dyDescent="0.15">
      <c r="A5988" s="3">
        <f t="shared" si="145"/>
        <v>36917</v>
      </c>
      <c r="B5988" s="3">
        <f>DATE(2001,3,23)</f>
        <v>36973</v>
      </c>
      <c r="C5988" s="2" t="s">
        <v>95</v>
      </c>
      <c r="D5988" s="2" t="s">
        <v>18394</v>
      </c>
      <c r="E5988" s="2" t="s">
        <v>18395</v>
      </c>
      <c r="F5988" s="4">
        <v>3663</v>
      </c>
      <c r="G5988" s="2" t="s">
        <v>921</v>
      </c>
      <c r="H5988" s="2" t="s">
        <v>34</v>
      </c>
      <c r="I5988" s="2" t="s">
        <v>18396</v>
      </c>
      <c r="J5988" s="2" t="s">
        <v>18397</v>
      </c>
      <c r="K5988" s="2" t="s">
        <v>921</v>
      </c>
      <c r="L5988" s="2" t="s">
        <v>34</v>
      </c>
      <c r="M5988" s="2"/>
      <c r="N5988" s="2"/>
      <c r="O5988" s="2"/>
      <c r="P5988" s="2" t="s">
        <v>18398</v>
      </c>
      <c r="Q5988" s="6">
        <v>100</v>
      </c>
      <c r="R5988" s="6">
        <v>11.25</v>
      </c>
      <c r="S5988" s="5">
        <v>1.6</v>
      </c>
      <c r="T5988" s="5">
        <v>1.5</v>
      </c>
      <c r="U5988" s="5">
        <v>5.3</v>
      </c>
      <c r="V5988" s="6">
        <v>0.44</v>
      </c>
      <c r="W5988" s="7">
        <v>10.125</v>
      </c>
      <c r="X5988" s="4">
        <v>10</v>
      </c>
      <c r="Y5988" s="7">
        <v>10.938000000000001</v>
      </c>
      <c r="Z5988" s="7">
        <v>10.875</v>
      </c>
      <c r="AA5988" s="6">
        <v>3.47</v>
      </c>
      <c r="AB5988" s="7">
        <v>40.56</v>
      </c>
      <c r="AC5988" s="2"/>
    </row>
    <row r="5989" spans="1:29" ht="143" x14ac:dyDescent="0.15">
      <c r="A5989" s="3">
        <f>DATE(2001,1,29)</f>
        <v>36920</v>
      </c>
      <c r="B5989" s="2"/>
      <c r="C5989" s="2" t="s">
        <v>30</v>
      </c>
      <c r="D5989" s="2" t="s">
        <v>18399</v>
      </c>
      <c r="E5989" s="2" t="s">
        <v>18400</v>
      </c>
      <c r="F5989" s="4">
        <v>7372</v>
      </c>
      <c r="G5989" s="2" t="s">
        <v>551</v>
      </c>
      <c r="H5989" s="2" t="s">
        <v>34</v>
      </c>
      <c r="I5989" s="2" t="s">
        <v>18401</v>
      </c>
      <c r="J5989" s="2" t="s">
        <v>18402</v>
      </c>
      <c r="K5989" s="2" t="s">
        <v>551</v>
      </c>
      <c r="L5989" s="2" t="s">
        <v>34</v>
      </c>
      <c r="M5989" s="12">
        <v>13394.672</v>
      </c>
      <c r="N5989" s="7">
        <v>38.375</v>
      </c>
      <c r="O5989" s="5">
        <v>38.5</v>
      </c>
      <c r="P5989" s="2" t="s">
        <v>18403</v>
      </c>
      <c r="Q5989" s="2"/>
      <c r="R5989" s="6">
        <v>54</v>
      </c>
      <c r="S5989" s="5">
        <v>-35.200000000000003</v>
      </c>
      <c r="T5989" s="5">
        <v>-14.4</v>
      </c>
      <c r="U5989" s="5">
        <v>8.9</v>
      </c>
      <c r="V5989" s="6">
        <v>-1.1399999999999999</v>
      </c>
      <c r="W5989" s="6">
        <v>46.25</v>
      </c>
      <c r="X5989" s="7">
        <v>42.813000000000002</v>
      </c>
      <c r="Y5989" s="7">
        <v>50.375</v>
      </c>
      <c r="Z5989" s="7">
        <v>51.125</v>
      </c>
      <c r="AA5989" s="6">
        <v>47.01</v>
      </c>
      <c r="AB5989" s="2" t="s">
        <v>86</v>
      </c>
      <c r="AC5989" s="5">
        <v>195.2</v>
      </c>
    </row>
    <row r="5990" spans="1:29" ht="221" x14ac:dyDescent="0.15">
      <c r="A5990" s="3">
        <f>DATE(2001,1,29)</f>
        <v>36920</v>
      </c>
      <c r="B5990" s="3">
        <f>DATE(2001,4,11)</f>
        <v>36992</v>
      </c>
      <c r="C5990" s="2" t="s">
        <v>95</v>
      </c>
      <c r="D5990" s="2" t="s">
        <v>18404</v>
      </c>
      <c r="E5990" s="2" t="s">
        <v>1046</v>
      </c>
      <c r="F5990" s="4">
        <v>3674</v>
      </c>
      <c r="G5990" s="2" t="s">
        <v>137</v>
      </c>
      <c r="H5990" s="2" t="s">
        <v>34</v>
      </c>
      <c r="I5990" s="2" t="s">
        <v>18405</v>
      </c>
      <c r="J5990" s="2" t="s">
        <v>13887</v>
      </c>
      <c r="K5990" s="2" t="s">
        <v>137</v>
      </c>
      <c r="L5990" s="2" t="s">
        <v>34</v>
      </c>
      <c r="M5990" s="12">
        <v>15379.299000000001</v>
      </c>
      <c r="N5990" s="7">
        <v>60.063000000000002</v>
      </c>
      <c r="O5990" s="7">
        <v>58.125</v>
      </c>
      <c r="P5990" s="2" t="s">
        <v>18406</v>
      </c>
      <c r="Q5990" s="6">
        <v>100</v>
      </c>
      <c r="R5990" s="6">
        <v>24.88</v>
      </c>
      <c r="S5990" s="5">
        <v>95.4</v>
      </c>
      <c r="T5990" s="7">
        <v>185.102</v>
      </c>
      <c r="U5990" s="5">
        <v>10.1</v>
      </c>
      <c r="V5990" s="6">
        <v>1.49</v>
      </c>
      <c r="W5990" s="4">
        <v>29</v>
      </c>
      <c r="X5990" s="7">
        <v>26.812999999999999</v>
      </c>
      <c r="Y5990" s="6">
        <v>36.25</v>
      </c>
      <c r="Z5990" s="5">
        <v>35.1</v>
      </c>
      <c r="AA5990" s="6">
        <v>60.76</v>
      </c>
      <c r="AB5990" s="7">
        <v>10.913</v>
      </c>
      <c r="AC5990" s="5">
        <v>53.1</v>
      </c>
    </row>
    <row r="5991" spans="1:29" ht="78" x14ac:dyDescent="0.15">
      <c r="A5991" s="3">
        <f>DATE(2001,1,29)</f>
        <v>36920</v>
      </c>
      <c r="B5991" s="2"/>
      <c r="C5991" s="2" t="s">
        <v>30</v>
      </c>
      <c r="D5991" s="2" t="s">
        <v>3829</v>
      </c>
      <c r="E5991" s="2" t="s">
        <v>159</v>
      </c>
      <c r="F5991" s="4">
        <v>6712</v>
      </c>
      <c r="G5991" s="2" t="s">
        <v>37</v>
      </c>
      <c r="H5991" s="2" t="s">
        <v>34</v>
      </c>
      <c r="I5991" s="2" t="s">
        <v>18407</v>
      </c>
      <c r="J5991" s="2" t="s">
        <v>7190</v>
      </c>
      <c r="K5991" s="2" t="s">
        <v>33</v>
      </c>
      <c r="L5991" s="2" t="s">
        <v>34</v>
      </c>
      <c r="M5991" s="7">
        <v>31.571999999999999</v>
      </c>
      <c r="N5991" s="7">
        <v>10.125</v>
      </c>
      <c r="O5991" s="7">
        <v>10.063000000000001</v>
      </c>
      <c r="P5991" s="2" t="s">
        <v>18408</v>
      </c>
      <c r="Q5991" s="2"/>
      <c r="R5991" s="6">
        <v>16.13</v>
      </c>
      <c r="S5991" s="5">
        <v>1.3</v>
      </c>
      <c r="T5991" s="5">
        <v>1.9</v>
      </c>
      <c r="U5991" s="5">
        <v>16.5</v>
      </c>
      <c r="V5991" s="6">
        <v>0.63</v>
      </c>
      <c r="W5991" s="7">
        <v>12.563000000000001</v>
      </c>
      <c r="X5991" s="7">
        <v>12.438000000000001</v>
      </c>
      <c r="Y5991" s="5">
        <v>12.5</v>
      </c>
      <c r="Z5991" s="7">
        <v>14.375</v>
      </c>
      <c r="AA5991" s="6">
        <v>2.14</v>
      </c>
      <c r="AB5991" s="7">
        <v>85.924999999999997</v>
      </c>
      <c r="AC5991" s="2"/>
    </row>
    <row r="5992" spans="1:29" ht="208" x14ac:dyDescent="0.15">
      <c r="A5992" s="3">
        <f>DATE(2001,1,30)</f>
        <v>36921</v>
      </c>
      <c r="B5992" s="3">
        <f>DATE(2001,5,31)</f>
        <v>37042</v>
      </c>
      <c r="C5992" s="2" t="s">
        <v>95</v>
      </c>
      <c r="D5992" s="2" t="s">
        <v>18409</v>
      </c>
      <c r="E5992" s="2" t="s">
        <v>5549</v>
      </c>
      <c r="F5992" s="4">
        <v>7371</v>
      </c>
      <c r="G5992" s="2" t="s">
        <v>223</v>
      </c>
      <c r="H5992" s="2" t="s">
        <v>34</v>
      </c>
      <c r="I5992" s="2" t="s">
        <v>18410</v>
      </c>
      <c r="J5992" s="2" t="s">
        <v>18411</v>
      </c>
      <c r="K5992" s="2" t="s">
        <v>125</v>
      </c>
      <c r="L5992" s="2" t="s">
        <v>34</v>
      </c>
      <c r="M5992" s="12">
        <v>1864.336</v>
      </c>
      <c r="N5992" s="6">
        <v>30.79</v>
      </c>
      <c r="O5992" s="6">
        <v>29.55</v>
      </c>
      <c r="P5992" s="2" t="s">
        <v>18412</v>
      </c>
      <c r="Q5992" s="6">
        <v>100</v>
      </c>
      <c r="R5992" s="6">
        <v>5.67</v>
      </c>
      <c r="S5992" s="5">
        <v>-1.9</v>
      </c>
      <c r="T5992" s="5">
        <v>-0.4</v>
      </c>
      <c r="U5992" s="5">
        <v>1.3</v>
      </c>
      <c r="V5992" s="6">
        <v>-0.24</v>
      </c>
      <c r="W5992" s="7">
        <v>4.0629999999999997</v>
      </c>
      <c r="X5992" s="6">
        <v>3.75</v>
      </c>
      <c r="Y5992" s="7">
        <v>6.4379999999999997</v>
      </c>
      <c r="Z5992" s="6">
        <v>6.25</v>
      </c>
      <c r="AA5992" s="6">
        <v>7.82</v>
      </c>
      <c r="AB5992" s="2" t="s">
        <v>86</v>
      </c>
      <c r="AC5992" s="5">
        <v>300.89999999999998</v>
      </c>
    </row>
    <row r="5993" spans="1:29" ht="78" x14ac:dyDescent="0.15">
      <c r="A5993" s="3">
        <f>DATE(2001,1,30)</f>
        <v>36921</v>
      </c>
      <c r="B5993" s="3">
        <f>DATE(2001,10,9)</f>
        <v>37173</v>
      </c>
      <c r="C5993" s="2" t="s">
        <v>95</v>
      </c>
      <c r="D5993" s="2" t="s">
        <v>18413</v>
      </c>
      <c r="E5993" s="2" t="s">
        <v>18414</v>
      </c>
      <c r="F5993" s="4">
        <v>4011</v>
      </c>
      <c r="G5993" s="2" t="s">
        <v>173</v>
      </c>
      <c r="H5993" s="2" t="s">
        <v>34</v>
      </c>
      <c r="I5993" s="2" t="s">
        <v>11479</v>
      </c>
      <c r="J5993" s="2" t="s">
        <v>11480</v>
      </c>
      <c r="K5993" s="2" t="s">
        <v>173</v>
      </c>
      <c r="L5993" s="2" t="s">
        <v>902</v>
      </c>
      <c r="M5993" s="2"/>
      <c r="N5993" s="2"/>
      <c r="O5993" s="2"/>
      <c r="P5993" s="2" t="s">
        <v>18415</v>
      </c>
      <c r="Q5993" s="6">
        <v>100</v>
      </c>
      <c r="R5993" s="6">
        <v>17.149999999999999</v>
      </c>
      <c r="S5993" s="5">
        <v>45.6</v>
      </c>
      <c r="T5993" s="6">
        <v>119.95</v>
      </c>
      <c r="U5993" s="5">
        <v>10.199999999999999</v>
      </c>
      <c r="V5993" s="6">
        <v>0.93</v>
      </c>
      <c r="W5993" s="7">
        <v>15.813000000000001</v>
      </c>
      <c r="X5993" s="7">
        <v>14.938000000000001</v>
      </c>
      <c r="Y5993" s="4">
        <v>16</v>
      </c>
      <c r="Z5993" s="7">
        <v>15.875</v>
      </c>
      <c r="AA5993" s="6">
        <v>46.39</v>
      </c>
      <c r="AB5993" s="7">
        <v>12.692</v>
      </c>
      <c r="AC5993" s="6">
        <v>12.68</v>
      </c>
    </row>
    <row r="5994" spans="1:29" ht="169" x14ac:dyDescent="0.15">
      <c r="A5994" s="3">
        <f>DATE(2001,1,31)</f>
        <v>36922</v>
      </c>
      <c r="B5994" s="3">
        <f>DATE(2001,6,29)</f>
        <v>37071</v>
      </c>
      <c r="C5994" s="2" t="s">
        <v>95</v>
      </c>
      <c r="D5994" s="2" t="s">
        <v>18416</v>
      </c>
      <c r="E5994" s="2" t="s">
        <v>265</v>
      </c>
      <c r="F5994" s="4">
        <v>6021</v>
      </c>
      <c r="G5994" s="2" t="s">
        <v>37</v>
      </c>
      <c r="H5994" s="2" t="s">
        <v>34</v>
      </c>
      <c r="I5994" s="2" t="s">
        <v>18417</v>
      </c>
      <c r="J5994" s="2" t="s">
        <v>36</v>
      </c>
      <c r="K5994" s="2" t="s">
        <v>37</v>
      </c>
      <c r="L5994" s="2" t="s">
        <v>34</v>
      </c>
      <c r="M5994" s="7">
        <v>412.68200000000002</v>
      </c>
      <c r="N5994" s="7">
        <v>37.188000000000002</v>
      </c>
      <c r="O5994" s="7">
        <v>37.313000000000002</v>
      </c>
      <c r="P5994" s="2" t="s">
        <v>18418</v>
      </c>
      <c r="Q5994" s="6">
        <v>100</v>
      </c>
      <c r="R5994" s="6">
        <v>11</v>
      </c>
      <c r="S5994" s="5">
        <v>2.8</v>
      </c>
      <c r="T5994" s="7">
        <v>4.4349999999999996</v>
      </c>
      <c r="U5994" s="5">
        <v>8.5</v>
      </c>
      <c r="V5994" s="6">
        <v>0.66</v>
      </c>
      <c r="W5994" s="7">
        <v>8.625</v>
      </c>
      <c r="X5994" s="7">
        <v>8.5630000000000006</v>
      </c>
      <c r="Y5994" s="7">
        <v>8.625</v>
      </c>
      <c r="Z5994" s="7">
        <v>10.188000000000001</v>
      </c>
      <c r="AA5994" s="6">
        <v>4.3099999999999996</v>
      </c>
      <c r="AB5994" s="7">
        <v>34.042999999999999</v>
      </c>
      <c r="AC5994" s="5">
        <v>130.4</v>
      </c>
    </row>
    <row r="5995" spans="1:29" ht="65" x14ac:dyDescent="0.15">
      <c r="A5995" s="3">
        <f>DATE(2001,2,1)</f>
        <v>36923</v>
      </c>
      <c r="B5995" s="3">
        <f>DATE(2001,4,5)</f>
        <v>36986</v>
      </c>
      <c r="C5995" s="2" t="s">
        <v>95</v>
      </c>
      <c r="D5995" s="2" t="s">
        <v>18419</v>
      </c>
      <c r="E5995" s="2" t="s">
        <v>11753</v>
      </c>
      <c r="F5995" s="4">
        <v>7372</v>
      </c>
      <c r="G5995" s="2" t="s">
        <v>551</v>
      </c>
      <c r="H5995" s="2" t="s">
        <v>34</v>
      </c>
      <c r="I5995" s="2" t="s">
        <v>18420</v>
      </c>
      <c r="J5995" s="2" t="s">
        <v>18421</v>
      </c>
      <c r="K5995" s="2" t="s">
        <v>551</v>
      </c>
      <c r="L5995" s="2" t="s">
        <v>34</v>
      </c>
      <c r="M5995" s="7">
        <v>130.51400000000001</v>
      </c>
      <c r="N5995" s="7">
        <v>22.125</v>
      </c>
      <c r="O5995" s="7">
        <v>22.125</v>
      </c>
      <c r="P5995" s="2" t="s">
        <v>18422</v>
      </c>
      <c r="Q5995" s="6">
        <v>100</v>
      </c>
      <c r="R5995" s="6">
        <v>1.3</v>
      </c>
      <c r="S5995" s="5">
        <v>-2.9</v>
      </c>
      <c r="T5995" s="7">
        <v>-0.69399999999999995</v>
      </c>
      <c r="U5995" s="5">
        <v>0</v>
      </c>
      <c r="V5995" s="6">
        <v>-0.28999999999999998</v>
      </c>
      <c r="W5995" s="7">
        <v>0.68799999999999994</v>
      </c>
      <c r="X5995" s="7">
        <v>1.1879999999999999</v>
      </c>
      <c r="Y5995" s="7">
        <v>1.0309999999999999</v>
      </c>
      <c r="Z5995" s="7">
        <v>1.125</v>
      </c>
      <c r="AA5995" s="6">
        <v>8.84</v>
      </c>
      <c r="AB5995" s="2" t="s">
        <v>86</v>
      </c>
      <c r="AC5995" s="5">
        <v>3</v>
      </c>
    </row>
    <row r="5996" spans="1:29" ht="130" x14ac:dyDescent="0.15">
      <c r="A5996" s="3">
        <f>DATE(2001,2,2)</f>
        <v>36924</v>
      </c>
      <c r="B5996" s="3">
        <f>DATE(2001,6,28)</f>
        <v>37070</v>
      </c>
      <c r="C5996" s="2" t="s">
        <v>95</v>
      </c>
      <c r="D5996" s="2" t="s">
        <v>18423</v>
      </c>
      <c r="E5996" s="2" t="s">
        <v>8873</v>
      </c>
      <c r="F5996" s="4">
        <v>6022</v>
      </c>
      <c r="G5996" s="2" t="s">
        <v>37</v>
      </c>
      <c r="H5996" s="2" t="s">
        <v>34</v>
      </c>
      <c r="I5996" s="2" t="s">
        <v>18424</v>
      </c>
      <c r="J5996" s="2" t="s">
        <v>159</v>
      </c>
      <c r="K5996" s="2" t="s">
        <v>37</v>
      </c>
      <c r="L5996" s="2" t="s">
        <v>34</v>
      </c>
      <c r="M5996" s="7">
        <v>45.631</v>
      </c>
      <c r="N5996" s="5">
        <v>19.5</v>
      </c>
      <c r="O5996" s="4">
        <v>18</v>
      </c>
      <c r="P5996" s="2" t="s">
        <v>18425</v>
      </c>
      <c r="Q5996" s="6">
        <v>100</v>
      </c>
      <c r="R5996" s="6">
        <v>14.34</v>
      </c>
      <c r="S5996" s="5">
        <v>0.9</v>
      </c>
      <c r="T5996" s="2"/>
      <c r="U5996" s="5">
        <v>6.4</v>
      </c>
      <c r="V5996" s="6">
        <v>0.1</v>
      </c>
      <c r="W5996" s="6">
        <v>9.25</v>
      </c>
      <c r="X5996" s="6">
        <v>9.25</v>
      </c>
      <c r="Y5996" s="6">
        <v>9.25</v>
      </c>
      <c r="Z5996" s="6">
        <v>9.25</v>
      </c>
      <c r="AA5996" s="6">
        <v>2.39</v>
      </c>
      <c r="AB5996" s="7">
        <v>46.845999999999997</v>
      </c>
      <c r="AC5996" s="2"/>
    </row>
    <row r="5997" spans="1:29" ht="117" x14ac:dyDescent="0.15">
      <c r="A5997" s="3">
        <f>DATE(2001,2,2)</f>
        <v>36924</v>
      </c>
      <c r="B5997" s="3">
        <f>DATE(2001,8,8)</f>
        <v>37111</v>
      </c>
      <c r="C5997" s="2" t="s">
        <v>95</v>
      </c>
      <c r="D5997" s="2" t="s">
        <v>18426</v>
      </c>
      <c r="E5997" s="2" t="s">
        <v>11318</v>
      </c>
      <c r="F5997" s="4">
        <v>3577</v>
      </c>
      <c r="G5997" s="2" t="s">
        <v>50</v>
      </c>
      <c r="H5997" s="2" t="s">
        <v>34</v>
      </c>
      <c r="I5997" s="2" t="s">
        <v>18427</v>
      </c>
      <c r="J5997" s="2" t="s">
        <v>5508</v>
      </c>
      <c r="K5997" s="2" t="s">
        <v>50</v>
      </c>
      <c r="L5997" s="2" t="s">
        <v>303</v>
      </c>
      <c r="M5997" s="2"/>
      <c r="N5997" s="2"/>
      <c r="O5997" s="2"/>
      <c r="P5997" s="2" t="s">
        <v>18428</v>
      </c>
      <c r="Q5997" s="6">
        <v>91.71</v>
      </c>
      <c r="R5997" s="6">
        <v>3.3</v>
      </c>
      <c r="S5997" s="5">
        <v>-7.9</v>
      </c>
      <c r="T5997" s="5">
        <v>1.7</v>
      </c>
      <c r="U5997" s="5">
        <v>2</v>
      </c>
      <c r="V5997" s="6">
        <v>-0.47</v>
      </c>
      <c r="W5997" s="7">
        <v>2.1880000000000002</v>
      </c>
      <c r="X5997" s="7">
        <v>2.125</v>
      </c>
      <c r="Y5997" s="9">
        <v>2.6875</v>
      </c>
      <c r="Z5997" s="5">
        <v>2.5</v>
      </c>
      <c r="AA5997" s="6">
        <v>18.23</v>
      </c>
      <c r="AB5997" s="2" t="s">
        <v>86</v>
      </c>
      <c r="AC5997" s="2"/>
    </row>
    <row r="5998" spans="1:29" ht="195" x14ac:dyDescent="0.15">
      <c r="A5998" s="3">
        <f>DATE(2001,2,4)</f>
        <v>36926</v>
      </c>
      <c r="B5998" s="3">
        <f>DATE(2001,9,17)</f>
        <v>37151</v>
      </c>
      <c r="C5998" s="2" t="s">
        <v>95</v>
      </c>
      <c r="D5998" s="2" t="s">
        <v>7556</v>
      </c>
      <c r="E5998" s="2" t="s">
        <v>7557</v>
      </c>
      <c r="F5998" s="4">
        <v>2911</v>
      </c>
      <c r="G5998" s="2" t="s">
        <v>148</v>
      </c>
      <c r="H5998" s="2" t="s">
        <v>34</v>
      </c>
      <c r="I5998" s="2" t="s">
        <v>18429</v>
      </c>
      <c r="J5998" s="2" t="s">
        <v>1435</v>
      </c>
      <c r="K5998" s="2" t="s">
        <v>148</v>
      </c>
      <c r="L5998" s="2" t="s">
        <v>34</v>
      </c>
      <c r="M5998" s="12">
        <v>14263.596</v>
      </c>
      <c r="N5998" s="6">
        <v>53.35</v>
      </c>
      <c r="O5998" s="6">
        <v>53.35</v>
      </c>
      <c r="P5998" s="2" t="s">
        <v>18430</v>
      </c>
      <c r="Q5998" s="6">
        <v>100</v>
      </c>
      <c r="R5998" s="6">
        <v>46.5</v>
      </c>
      <c r="S5998" s="5">
        <v>529.4</v>
      </c>
      <c r="T5998" s="8">
        <v>1396.3</v>
      </c>
      <c r="U5998" s="5">
        <v>18</v>
      </c>
      <c r="V5998" s="6">
        <v>3.47</v>
      </c>
      <c r="W5998" s="5">
        <v>33.5</v>
      </c>
      <c r="X5998" s="6">
        <v>34.61</v>
      </c>
      <c r="Y5998" s="6">
        <v>40.19</v>
      </c>
      <c r="Z5998" s="6">
        <v>40.19</v>
      </c>
      <c r="AA5998" s="6">
        <v>144.69</v>
      </c>
      <c r="AB5998" s="7">
        <v>8.8940000000000001</v>
      </c>
      <c r="AC5998" s="5">
        <v>149</v>
      </c>
    </row>
    <row r="5999" spans="1:29" ht="169" x14ac:dyDescent="0.15">
      <c r="A5999" s="3">
        <f>DATE(2001,2,5)</f>
        <v>36927</v>
      </c>
      <c r="B5999" s="3">
        <f>DATE(2001,5,3)</f>
        <v>37014</v>
      </c>
      <c r="C5999" s="2" t="s">
        <v>95</v>
      </c>
      <c r="D5999" s="2" t="s">
        <v>18431</v>
      </c>
      <c r="E5999" s="2" t="s">
        <v>18432</v>
      </c>
      <c r="F5999" s="4">
        <v>3812</v>
      </c>
      <c r="G5999" s="2" t="s">
        <v>226</v>
      </c>
      <c r="H5999" s="2" t="s">
        <v>34</v>
      </c>
      <c r="I5999" s="2" t="s">
        <v>9732</v>
      </c>
      <c r="J5999" s="2" t="s">
        <v>9733</v>
      </c>
      <c r="K5999" s="2" t="s">
        <v>300</v>
      </c>
      <c r="L5999" s="2" t="s">
        <v>1791</v>
      </c>
      <c r="M5999" s="2"/>
      <c r="N5999" s="6">
        <v>61.38</v>
      </c>
      <c r="O5999" s="6">
        <v>60.95</v>
      </c>
      <c r="P5999" s="2" t="s">
        <v>18433</v>
      </c>
      <c r="Q5999" s="6">
        <v>100</v>
      </c>
      <c r="R5999" s="6">
        <v>23</v>
      </c>
      <c r="S5999" s="5">
        <v>24.3</v>
      </c>
      <c r="T5999" s="7">
        <v>51.218000000000004</v>
      </c>
      <c r="U5999" s="5">
        <v>6.3</v>
      </c>
      <c r="V5999" s="6">
        <v>1.4</v>
      </c>
      <c r="W5999" s="7">
        <v>22.297000000000001</v>
      </c>
      <c r="X5999" s="7">
        <v>23.375</v>
      </c>
      <c r="Y5999" s="7">
        <v>22.562999999999999</v>
      </c>
      <c r="Z5999" s="7">
        <v>22.812999999999999</v>
      </c>
      <c r="AA5999" s="6">
        <v>16.95</v>
      </c>
      <c r="AB5999" s="7">
        <v>9.5649999999999995</v>
      </c>
      <c r="AC5999" s="8">
        <v>1480.7</v>
      </c>
    </row>
    <row r="6000" spans="1:29" ht="130" x14ac:dyDescent="0.15">
      <c r="A6000" s="3">
        <f>DATE(2001,2,5)</f>
        <v>36927</v>
      </c>
      <c r="B6000" s="3">
        <f>DATE(2001,5,8)</f>
        <v>37019</v>
      </c>
      <c r="C6000" s="2" t="s">
        <v>95</v>
      </c>
      <c r="D6000" s="2" t="s">
        <v>5966</v>
      </c>
      <c r="E6000" s="2" t="s">
        <v>5967</v>
      </c>
      <c r="F6000" s="4">
        <v>1381</v>
      </c>
      <c r="G6000" s="2" t="s">
        <v>148</v>
      </c>
      <c r="H6000" s="2" t="s">
        <v>34</v>
      </c>
      <c r="I6000" s="2" t="s">
        <v>7777</v>
      </c>
      <c r="J6000" s="2" t="s">
        <v>7778</v>
      </c>
      <c r="K6000" s="2" t="s">
        <v>148</v>
      </c>
      <c r="L6000" s="2" t="s">
        <v>34</v>
      </c>
      <c r="M6000" s="12">
        <v>1209.692</v>
      </c>
      <c r="N6000" s="7">
        <v>35.188000000000002</v>
      </c>
      <c r="O6000" s="7">
        <v>37.313000000000002</v>
      </c>
      <c r="P6000" s="2" t="s">
        <v>18434</v>
      </c>
      <c r="Q6000" s="6">
        <v>100</v>
      </c>
      <c r="R6000" s="6">
        <v>36</v>
      </c>
      <c r="S6000" s="5">
        <v>6.1</v>
      </c>
      <c r="T6000" s="5">
        <v>41.4</v>
      </c>
      <c r="U6000" s="5">
        <v>4.5</v>
      </c>
      <c r="V6000" s="6">
        <v>0.16</v>
      </c>
      <c r="W6000" s="6">
        <v>33.340000000000003</v>
      </c>
      <c r="X6000" s="5">
        <v>33.1</v>
      </c>
      <c r="Y6000" s="6">
        <v>35.049999999999997</v>
      </c>
      <c r="Z6000" s="5">
        <v>36.700000000000003</v>
      </c>
      <c r="AA6000" s="6">
        <v>37.090000000000003</v>
      </c>
      <c r="AB6000" s="7">
        <v>107.636</v>
      </c>
      <c r="AC6000" s="5">
        <v>62.7</v>
      </c>
    </row>
    <row r="6001" spans="1:29" ht="130" x14ac:dyDescent="0.15">
      <c r="A6001" s="3">
        <f>DATE(2001,2,6)</f>
        <v>36928</v>
      </c>
      <c r="B6001" s="3">
        <f>DATE(2001,4,5)</f>
        <v>36986</v>
      </c>
      <c r="C6001" s="2" t="s">
        <v>95</v>
      </c>
      <c r="D6001" s="2" t="s">
        <v>18435</v>
      </c>
      <c r="E6001" s="2" t="s">
        <v>18436</v>
      </c>
      <c r="F6001" s="4">
        <v>5812</v>
      </c>
      <c r="G6001" s="2" t="s">
        <v>230</v>
      </c>
      <c r="H6001" s="2" t="s">
        <v>34</v>
      </c>
      <c r="I6001" s="2" t="s">
        <v>9805</v>
      </c>
      <c r="J6001" s="2" t="s">
        <v>9806</v>
      </c>
      <c r="K6001" s="2" t="s">
        <v>230</v>
      </c>
      <c r="L6001" s="2" t="s">
        <v>303</v>
      </c>
      <c r="M6001" s="2"/>
      <c r="N6001" s="2"/>
      <c r="O6001" s="2"/>
      <c r="P6001" s="2" t="s">
        <v>18437</v>
      </c>
      <c r="Q6001" s="6">
        <v>100</v>
      </c>
      <c r="R6001" s="6">
        <v>40</v>
      </c>
      <c r="S6001" s="5">
        <v>16</v>
      </c>
      <c r="T6001" s="5">
        <v>36.1</v>
      </c>
      <c r="U6001" s="5">
        <v>1.6</v>
      </c>
      <c r="V6001" s="6">
        <v>1.22</v>
      </c>
      <c r="W6001" s="4">
        <v>33</v>
      </c>
      <c r="X6001" s="5">
        <v>33.1</v>
      </c>
      <c r="Y6001" s="6">
        <v>39.549999999999997</v>
      </c>
      <c r="Z6001" s="6">
        <v>39.549999999999997</v>
      </c>
      <c r="AA6001" s="6">
        <v>12.78</v>
      </c>
      <c r="AB6001" s="7">
        <v>21.254999999999999</v>
      </c>
      <c r="AC6001" s="6">
        <v>852.87</v>
      </c>
    </row>
    <row r="6002" spans="1:29" ht="91" x14ac:dyDescent="0.15">
      <c r="A6002" s="3">
        <f>DATE(2001,2,6)</f>
        <v>36928</v>
      </c>
      <c r="B6002" s="3">
        <f>DATE(2001,3,29)</f>
        <v>36979</v>
      </c>
      <c r="C6002" s="2" t="s">
        <v>95</v>
      </c>
      <c r="D6002" s="2" t="s">
        <v>18438</v>
      </c>
      <c r="E6002" s="2" t="s">
        <v>18439</v>
      </c>
      <c r="F6002" s="4">
        <v>7375</v>
      </c>
      <c r="G6002" s="2" t="s">
        <v>223</v>
      </c>
      <c r="H6002" s="2" t="s">
        <v>34</v>
      </c>
      <c r="I6002" s="2" t="s">
        <v>18440</v>
      </c>
      <c r="J6002" s="2" t="s">
        <v>18441</v>
      </c>
      <c r="K6002" s="2" t="s">
        <v>223</v>
      </c>
      <c r="L6002" s="2" t="s">
        <v>34</v>
      </c>
      <c r="M6002" s="2"/>
      <c r="N6002" s="2"/>
      <c r="O6002" s="2"/>
      <c r="P6002" s="2" t="s">
        <v>18442</v>
      </c>
      <c r="Q6002" s="6">
        <v>100</v>
      </c>
      <c r="R6002" s="6">
        <v>3</v>
      </c>
      <c r="S6002" s="5">
        <v>-38.700000000000003</v>
      </c>
      <c r="T6002" s="5">
        <v>-30.6</v>
      </c>
      <c r="U6002" s="5">
        <v>1.6</v>
      </c>
      <c r="V6002" s="6">
        <v>-1.77</v>
      </c>
      <c r="W6002" s="7">
        <v>1.6879999999999999</v>
      </c>
      <c r="X6002" s="4">
        <v>2</v>
      </c>
      <c r="Y6002" s="7">
        <v>2.9380000000000002</v>
      </c>
      <c r="Z6002" s="7">
        <v>2.9380000000000002</v>
      </c>
      <c r="AA6002" s="6">
        <v>42.5</v>
      </c>
      <c r="AB6002" s="2" t="s">
        <v>86</v>
      </c>
      <c r="AC6002" s="2"/>
    </row>
    <row r="6003" spans="1:29" ht="247" x14ac:dyDescent="0.15">
      <c r="A6003" s="3">
        <f>DATE(2001,2,7)</f>
        <v>36929</v>
      </c>
      <c r="B6003" s="3">
        <f>DATE(2001,3,29)</f>
        <v>36979</v>
      </c>
      <c r="C6003" s="2" t="s">
        <v>95</v>
      </c>
      <c r="D6003" s="2" t="s">
        <v>18443</v>
      </c>
      <c r="E6003" s="2" t="s">
        <v>18444</v>
      </c>
      <c r="F6003" s="4">
        <v>3577</v>
      </c>
      <c r="G6003" s="2" t="s">
        <v>50</v>
      </c>
      <c r="H6003" s="2" t="s">
        <v>34</v>
      </c>
      <c r="I6003" s="2" t="s">
        <v>18445</v>
      </c>
      <c r="J6003" s="2" t="s">
        <v>18446</v>
      </c>
      <c r="K6003" s="2" t="s">
        <v>50</v>
      </c>
      <c r="L6003" s="2" t="s">
        <v>215</v>
      </c>
      <c r="M6003" s="2"/>
      <c r="N6003" s="2"/>
      <c r="O6003" s="2"/>
      <c r="P6003" s="2" t="s">
        <v>18447</v>
      </c>
      <c r="Q6003" s="6">
        <v>100</v>
      </c>
      <c r="R6003" s="6">
        <v>18</v>
      </c>
      <c r="S6003" s="5">
        <v>4.2</v>
      </c>
      <c r="T6003" s="7">
        <v>13.475</v>
      </c>
      <c r="U6003" s="5">
        <v>2.9</v>
      </c>
      <c r="V6003" s="6">
        <v>1.05</v>
      </c>
      <c r="W6003" s="6">
        <v>9.8800000000000008</v>
      </c>
      <c r="X6003" s="6">
        <v>11.88</v>
      </c>
      <c r="Y6003" s="7">
        <v>13.125</v>
      </c>
      <c r="Z6003" s="7">
        <v>17.437999999999999</v>
      </c>
      <c r="AA6003" s="6">
        <v>4.3600000000000003</v>
      </c>
      <c r="AB6003" s="7">
        <v>11.081</v>
      </c>
      <c r="AC6003" s="6">
        <v>49.43</v>
      </c>
    </row>
    <row r="6004" spans="1:29" ht="65" x14ac:dyDescent="0.15">
      <c r="A6004" s="3">
        <f>DATE(2001,2,8)</f>
        <v>36930</v>
      </c>
      <c r="B6004" s="3">
        <f>DATE(2001,8,31)</f>
        <v>37134</v>
      </c>
      <c r="C6004" s="2" t="s">
        <v>95</v>
      </c>
      <c r="D6004" s="2" t="s">
        <v>1003</v>
      </c>
      <c r="E6004" s="2" t="s">
        <v>389</v>
      </c>
      <c r="F6004" s="4">
        <v>6035</v>
      </c>
      <c r="G6004" s="2" t="s">
        <v>33</v>
      </c>
      <c r="H6004" s="2" t="s">
        <v>34</v>
      </c>
      <c r="I6004" s="2" t="s">
        <v>18448</v>
      </c>
      <c r="J6004" s="2" t="s">
        <v>265</v>
      </c>
      <c r="K6004" s="2" t="s">
        <v>37</v>
      </c>
      <c r="L6004" s="2" t="s">
        <v>34</v>
      </c>
      <c r="M6004" s="7">
        <v>207.792</v>
      </c>
      <c r="N6004" s="7">
        <v>19.437999999999999</v>
      </c>
      <c r="O6004" s="7">
        <v>19.875</v>
      </c>
      <c r="P6004" s="2" t="s">
        <v>18449</v>
      </c>
      <c r="Q6004" s="6">
        <v>100</v>
      </c>
      <c r="R6004" s="6">
        <v>37.5</v>
      </c>
      <c r="S6004" s="5">
        <v>7.5</v>
      </c>
      <c r="T6004" s="5">
        <v>8.1</v>
      </c>
      <c r="U6004" s="5">
        <v>31.1</v>
      </c>
      <c r="V6004" s="6">
        <v>2.61</v>
      </c>
      <c r="W6004" s="7">
        <v>34.625</v>
      </c>
      <c r="X6004" s="7">
        <v>34.625</v>
      </c>
      <c r="Y6004" s="9">
        <v>36.4375</v>
      </c>
      <c r="Z6004" s="9">
        <v>36.5625</v>
      </c>
      <c r="AA6004" s="6">
        <v>3.09</v>
      </c>
      <c r="AB6004" s="7">
        <v>108.518</v>
      </c>
      <c r="AC6004" s="5">
        <v>64.8</v>
      </c>
    </row>
    <row r="6005" spans="1:29" ht="65" x14ac:dyDescent="0.15">
      <c r="A6005" s="3">
        <f>DATE(2001,2,9)</f>
        <v>36931</v>
      </c>
      <c r="B6005" s="2"/>
      <c r="C6005" s="2" t="s">
        <v>7330</v>
      </c>
      <c r="D6005" s="2" t="s">
        <v>18450</v>
      </c>
      <c r="E6005" s="2" t="s">
        <v>1072</v>
      </c>
      <c r="F6005" s="4">
        <v>6799</v>
      </c>
      <c r="G6005" s="2" t="s">
        <v>53</v>
      </c>
      <c r="H6005" s="2" t="s">
        <v>34</v>
      </c>
      <c r="I6005" s="2" t="s">
        <v>18451</v>
      </c>
      <c r="J6005" s="2" t="s">
        <v>36</v>
      </c>
      <c r="K6005" s="2" t="s">
        <v>37</v>
      </c>
      <c r="L6005" s="2" t="s">
        <v>34</v>
      </c>
      <c r="M6005" s="2"/>
      <c r="N6005" s="2"/>
      <c r="O6005" s="2"/>
      <c r="P6005" s="2" t="s">
        <v>18452</v>
      </c>
      <c r="Q6005" s="2"/>
      <c r="R6005" s="2"/>
      <c r="S6005" s="5">
        <v>-0.6</v>
      </c>
      <c r="T6005" s="7">
        <v>-0.378</v>
      </c>
      <c r="U6005" s="5">
        <v>12.4</v>
      </c>
      <c r="V6005" s="9">
        <v>-0.94550000000000001</v>
      </c>
      <c r="W6005" s="7">
        <v>8.875</v>
      </c>
      <c r="X6005" s="7">
        <v>8.875</v>
      </c>
      <c r="Y6005" s="4">
        <v>13</v>
      </c>
      <c r="Z6005" s="6">
        <v>13.25</v>
      </c>
      <c r="AA6005" s="6">
        <v>0.68</v>
      </c>
      <c r="AB6005" s="2" t="s">
        <v>86</v>
      </c>
      <c r="AC6005" s="2"/>
    </row>
    <row r="6006" spans="1:29" ht="78" x14ac:dyDescent="0.15">
      <c r="A6006" s="3">
        <f>DATE(2001,2,9)</f>
        <v>36931</v>
      </c>
      <c r="B6006" s="3">
        <f>DATE(2001,7,23)</f>
        <v>37095</v>
      </c>
      <c r="C6006" s="2" t="s">
        <v>95</v>
      </c>
      <c r="D6006" s="2" t="s">
        <v>18453</v>
      </c>
      <c r="E6006" s="2" t="s">
        <v>386</v>
      </c>
      <c r="F6006" s="4">
        <v>6726</v>
      </c>
      <c r="G6006" s="2" t="s">
        <v>53</v>
      </c>
      <c r="H6006" s="2" t="s">
        <v>34</v>
      </c>
      <c r="I6006" s="2" t="s">
        <v>18454</v>
      </c>
      <c r="J6006" s="2" t="s">
        <v>386</v>
      </c>
      <c r="K6006" s="2" t="s">
        <v>53</v>
      </c>
      <c r="L6006" s="2" t="s">
        <v>34</v>
      </c>
      <c r="M6006" s="7">
        <v>47.584000000000003</v>
      </c>
      <c r="N6006" s="6">
        <v>12.17</v>
      </c>
      <c r="O6006" s="6">
        <v>12.12</v>
      </c>
      <c r="P6006" s="2" t="s">
        <v>18455</v>
      </c>
      <c r="Q6006" s="6">
        <v>100</v>
      </c>
      <c r="R6006" s="2"/>
      <c r="S6006" s="2"/>
      <c r="T6006" s="2"/>
      <c r="U6006" s="2"/>
      <c r="V6006" s="2"/>
      <c r="W6006" s="6">
        <v>12.56</v>
      </c>
      <c r="X6006" s="6">
        <v>12.51</v>
      </c>
      <c r="Y6006" s="5">
        <v>12.5</v>
      </c>
      <c r="Z6006" s="6">
        <v>12.46</v>
      </c>
      <c r="AA6006" s="6">
        <v>13.36</v>
      </c>
      <c r="AB6006" s="2" t="s">
        <v>47</v>
      </c>
      <c r="AC6006" s="2"/>
    </row>
    <row r="6007" spans="1:29" ht="234" x14ac:dyDescent="0.15">
      <c r="A6007" s="3">
        <f>DATE(2001,2,12)</f>
        <v>36934</v>
      </c>
      <c r="B6007" s="3">
        <f>DATE(2002,8,1)</f>
        <v>37469</v>
      </c>
      <c r="C6007" s="2" t="s">
        <v>95</v>
      </c>
      <c r="D6007" s="2" t="s">
        <v>18456</v>
      </c>
      <c r="E6007" s="2" t="s">
        <v>8365</v>
      </c>
      <c r="F6007" s="4">
        <v>4911</v>
      </c>
      <c r="G6007" s="2" t="s">
        <v>439</v>
      </c>
      <c r="H6007" s="2" t="s">
        <v>34</v>
      </c>
      <c r="I6007" s="2" t="s">
        <v>6834</v>
      </c>
      <c r="J6007" s="2" t="s">
        <v>1888</v>
      </c>
      <c r="K6007" s="2" t="s">
        <v>439</v>
      </c>
      <c r="L6007" s="2" t="s">
        <v>34</v>
      </c>
      <c r="M6007" s="12">
        <v>2409.933</v>
      </c>
      <c r="N6007" s="6">
        <v>21.85</v>
      </c>
      <c r="O6007" s="6">
        <v>21.77</v>
      </c>
      <c r="P6007" s="2" t="s">
        <v>18457</v>
      </c>
      <c r="Q6007" s="6">
        <v>100</v>
      </c>
      <c r="R6007" s="6">
        <v>25</v>
      </c>
      <c r="S6007" s="2"/>
      <c r="T6007" s="2"/>
      <c r="U6007" s="2"/>
      <c r="V6007" s="2"/>
      <c r="W6007" s="6">
        <v>18.82</v>
      </c>
      <c r="X6007" s="4">
        <v>21</v>
      </c>
      <c r="Y6007" s="6">
        <v>22.27</v>
      </c>
      <c r="Z6007" s="6">
        <v>22.21</v>
      </c>
      <c r="AA6007" s="6">
        <v>88.61</v>
      </c>
      <c r="AB6007" s="2" t="s">
        <v>47</v>
      </c>
      <c r="AC6007" s="8">
        <v>1864.6</v>
      </c>
    </row>
    <row r="6008" spans="1:29" ht="39" x14ac:dyDescent="0.15">
      <c r="A6008" s="3">
        <f>DATE(2001,2,12)</f>
        <v>36934</v>
      </c>
      <c r="B6008" s="2"/>
      <c r="C6008" s="2" t="s">
        <v>189</v>
      </c>
      <c r="D6008" s="2" t="s">
        <v>18458</v>
      </c>
      <c r="E6008" s="2" t="s">
        <v>18459</v>
      </c>
      <c r="F6008" s="4">
        <v>2033</v>
      </c>
      <c r="G6008" s="2" t="s">
        <v>577</v>
      </c>
      <c r="H6008" s="2" t="s">
        <v>34</v>
      </c>
      <c r="I6008" s="2" t="s">
        <v>143</v>
      </c>
      <c r="J6008" s="2" t="s">
        <v>144</v>
      </c>
      <c r="K6008" s="2" t="s">
        <v>53</v>
      </c>
      <c r="L6008" s="2" t="s">
        <v>139</v>
      </c>
      <c r="M6008" s="2"/>
      <c r="N6008" s="2"/>
      <c r="O6008" s="2"/>
      <c r="P6008" s="2" t="s">
        <v>18460</v>
      </c>
      <c r="Q6008" s="2"/>
      <c r="R6008" s="2"/>
      <c r="S6008" s="5">
        <v>118.2</v>
      </c>
      <c r="T6008" s="5">
        <v>180.4</v>
      </c>
      <c r="U6008" s="5">
        <v>0.5</v>
      </c>
      <c r="V6008" s="6">
        <v>2.2200000000000002</v>
      </c>
      <c r="W6008" s="6">
        <v>9.25</v>
      </c>
      <c r="X6008" s="6">
        <v>9.09</v>
      </c>
      <c r="Y6008" s="6">
        <v>9.24</v>
      </c>
      <c r="Z6008" s="6">
        <v>9.0399999999999991</v>
      </c>
      <c r="AA6008" s="6">
        <v>52.23</v>
      </c>
      <c r="AB6008" s="2" t="s">
        <v>47</v>
      </c>
      <c r="AC6008" s="2"/>
    </row>
    <row r="6009" spans="1:29" ht="78" x14ac:dyDescent="0.15">
      <c r="A6009" s="3">
        <f>DATE(2001,2,12)</f>
        <v>36934</v>
      </c>
      <c r="B6009" s="2"/>
      <c r="C6009" s="2" t="s">
        <v>7330</v>
      </c>
      <c r="D6009" s="2" t="s">
        <v>18461</v>
      </c>
      <c r="E6009" s="2" t="s">
        <v>18462</v>
      </c>
      <c r="F6009" s="4">
        <v>5947</v>
      </c>
      <c r="G6009" s="2" t="s">
        <v>73</v>
      </c>
      <c r="H6009" s="2" t="s">
        <v>34</v>
      </c>
      <c r="I6009" s="2" t="s">
        <v>18463</v>
      </c>
      <c r="J6009" s="2" t="s">
        <v>1072</v>
      </c>
      <c r="K6009" s="2" t="s">
        <v>53</v>
      </c>
      <c r="L6009" s="2" t="s">
        <v>34</v>
      </c>
      <c r="M6009" s="2"/>
      <c r="N6009" s="2"/>
      <c r="O6009" s="2"/>
      <c r="P6009" s="2" t="s">
        <v>18464</v>
      </c>
      <c r="Q6009" s="2"/>
      <c r="R6009" s="2"/>
      <c r="S6009" s="5">
        <v>-8.6999999999999993</v>
      </c>
      <c r="T6009" s="7">
        <v>9.8390000000000004</v>
      </c>
      <c r="U6009" s="5">
        <v>-0.9</v>
      </c>
      <c r="V6009" s="6">
        <v>-0.57999999999999996</v>
      </c>
      <c r="W6009" s="7">
        <v>1.5629999999999999</v>
      </c>
      <c r="X6009" s="7">
        <v>1.125</v>
      </c>
      <c r="Y6009" s="7">
        <v>1.141</v>
      </c>
      <c r="Z6009" s="7">
        <v>1.141</v>
      </c>
      <c r="AA6009" s="6">
        <v>7.5</v>
      </c>
      <c r="AB6009" s="7">
        <v>15.404</v>
      </c>
      <c r="AC6009" s="2"/>
    </row>
    <row r="6010" spans="1:29" ht="65" x14ac:dyDescent="0.15">
      <c r="A6010" s="3">
        <f>DATE(2001,2,12)</f>
        <v>36934</v>
      </c>
      <c r="B6010" s="2"/>
      <c r="C6010" s="2" t="s">
        <v>30</v>
      </c>
      <c r="D6010" s="2" t="s">
        <v>18465</v>
      </c>
      <c r="E6010" s="2" t="s">
        <v>18466</v>
      </c>
      <c r="F6010" s="4">
        <v>7993</v>
      </c>
      <c r="G6010" s="2" t="s">
        <v>364</v>
      </c>
      <c r="H6010" s="2" t="s">
        <v>34</v>
      </c>
      <c r="I6010" s="2" t="s">
        <v>18467</v>
      </c>
      <c r="J6010" s="2" t="s">
        <v>18468</v>
      </c>
      <c r="K6010" s="2" t="s">
        <v>551</v>
      </c>
      <c r="L6010" s="2" t="s">
        <v>34</v>
      </c>
      <c r="M6010" s="2"/>
      <c r="N6010" s="2"/>
      <c r="O6010" s="2"/>
      <c r="P6010" s="2" t="s">
        <v>18469</v>
      </c>
      <c r="Q6010" s="2"/>
      <c r="R6010" s="2"/>
      <c r="S6010" s="5">
        <v>-2.1</v>
      </c>
      <c r="T6010" s="5">
        <v>-1.9</v>
      </c>
      <c r="U6010" s="5">
        <v>1.6</v>
      </c>
      <c r="V6010" s="6">
        <v>-0.63</v>
      </c>
      <c r="W6010" s="7">
        <v>3.4380000000000002</v>
      </c>
      <c r="X6010" s="7">
        <v>3.9380000000000002</v>
      </c>
      <c r="Y6010" s="7">
        <v>3.9689999999999999</v>
      </c>
      <c r="Z6010" s="7">
        <v>3.9060000000000001</v>
      </c>
      <c r="AA6010" s="6">
        <v>3.3</v>
      </c>
      <c r="AB6010" s="2" t="s">
        <v>86</v>
      </c>
      <c r="AC6010" s="2"/>
    </row>
    <row r="6011" spans="1:29" ht="65" x14ac:dyDescent="0.15">
      <c r="A6011" s="3">
        <f>DATE(2001,2,13)</f>
        <v>36935</v>
      </c>
      <c r="B6011" s="3">
        <f>DATE(2001,11,12)</f>
        <v>37207</v>
      </c>
      <c r="C6011" s="2" t="s">
        <v>95</v>
      </c>
      <c r="D6011" s="2" t="s">
        <v>18470</v>
      </c>
      <c r="E6011" s="2" t="s">
        <v>1181</v>
      </c>
      <c r="F6011" s="4">
        <v>6022</v>
      </c>
      <c r="G6011" s="2" t="s">
        <v>37</v>
      </c>
      <c r="H6011" s="2" t="s">
        <v>34</v>
      </c>
      <c r="I6011" s="2" t="s">
        <v>489</v>
      </c>
      <c r="J6011" s="2" t="s">
        <v>490</v>
      </c>
      <c r="K6011" s="2" t="s">
        <v>37</v>
      </c>
      <c r="L6011" s="2" t="s">
        <v>34</v>
      </c>
      <c r="M6011" s="12">
        <v>3928.922</v>
      </c>
      <c r="N6011" s="6">
        <v>25.22</v>
      </c>
      <c r="O6011" s="6">
        <v>25.63</v>
      </c>
      <c r="P6011" s="2" t="s">
        <v>18471</v>
      </c>
      <c r="Q6011" s="6">
        <v>100</v>
      </c>
      <c r="R6011" s="6">
        <v>32</v>
      </c>
      <c r="S6011" s="5">
        <v>9.9</v>
      </c>
      <c r="T6011" s="7">
        <v>18.059000000000001</v>
      </c>
      <c r="U6011" s="5">
        <v>19.100000000000001</v>
      </c>
      <c r="V6011" s="6">
        <v>1.86</v>
      </c>
      <c r="W6011" s="7">
        <v>14.875</v>
      </c>
      <c r="X6011" s="6">
        <v>21.25</v>
      </c>
      <c r="Y6011" s="9">
        <v>31.3125</v>
      </c>
      <c r="Z6011" s="7">
        <v>31.375</v>
      </c>
      <c r="AA6011" s="6">
        <v>5.3</v>
      </c>
      <c r="AB6011" s="7">
        <v>10.929</v>
      </c>
      <c r="AC6011" s="5">
        <v>292.5</v>
      </c>
    </row>
    <row r="6012" spans="1:29" ht="130" x14ac:dyDescent="0.15">
      <c r="A6012" s="3">
        <f>DATE(2001,2,14)</f>
        <v>36936</v>
      </c>
      <c r="B6012" s="3">
        <f>DATE(2001,3,30)</f>
        <v>36980</v>
      </c>
      <c r="C6012" s="2" t="s">
        <v>95</v>
      </c>
      <c r="D6012" s="2" t="s">
        <v>18013</v>
      </c>
      <c r="E6012" s="2" t="s">
        <v>18014</v>
      </c>
      <c r="F6012" s="4">
        <v>6159</v>
      </c>
      <c r="G6012" s="2" t="s">
        <v>370</v>
      </c>
      <c r="H6012" s="2" t="s">
        <v>34</v>
      </c>
      <c r="I6012" s="2" t="s">
        <v>18472</v>
      </c>
      <c r="J6012" s="2" t="s">
        <v>9774</v>
      </c>
      <c r="K6012" s="2" t="s">
        <v>173</v>
      </c>
      <c r="L6012" s="2" t="s">
        <v>34</v>
      </c>
      <c r="M6012" s="2"/>
      <c r="N6012" s="2"/>
      <c r="O6012" s="2"/>
      <c r="P6012" s="2" t="s">
        <v>18473</v>
      </c>
      <c r="Q6012" s="6">
        <v>100</v>
      </c>
      <c r="R6012" s="6">
        <v>5.68</v>
      </c>
      <c r="S6012" s="5">
        <v>-6.2</v>
      </c>
      <c r="T6012" s="5">
        <v>54.5</v>
      </c>
      <c r="U6012" s="5">
        <v>8.4</v>
      </c>
      <c r="V6012" s="6">
        <v>-0.31</v>
      </c>
      <c r="W6012" s="6">
        <v>3.75</v>
      </c>
      <c r="X6012" s="7">
        <v>4.0629999999999997</v>
      </c>
      <c r="Y6012" s="7">
        <v>5.516</v>
      </c>
      <c r="Z6012" s="7">
        <v>5.5940000000000003</v>
      </c>
      <c r="AA6012" s="6">
        <v>19.05</v>
      </c>
      <c r="AB6012" s="7">
        <v>19.277000000000001</v>
      </c>
      <c r="AC6012" s="2"/>
    </row>
    <row r="6013" spans="1:29" ht="78" x14ac:dyDescent="0.15">
      <c r="A6013" s="3">
        <f>DATE(2001,2,14)</f>
        <v>36936</v>
      </c>
      <c r="B6013" s="3">
        <f>DATE(2001,8,1)</f>
        <v>37104</v>
      </c>
      <c r="C6013" s="2" t="s">
        <v>95</v>
      </c>
      <c r="D6013" s="2" t="s">
        <v>18474</v>
      </c>
      <c r="E6013" s="2" t="s">
        <v>18475</v>
      </c>
      <c r="F6013" s="4">
        <v>7389</v>
      </c>
      <c r="G6013" s="2" t="s">
        <v>223</v>
      </c>
      <c r="H6013" s="2" t="s">
        <v>34</v>
      </c>
      <c r="I6013" s="2" t="s">
        <v>7551</v>
      </c>
      <c r="J6013" s="2" t="s">
        <v>7552</v>
      </c>
      <c r="K6013" s="2" t="s">
        <v>125</v>
      </c>
      <c r="L6013" s="2" t="s">
        <v>34</v>
      </c>
      <c r="M6013" s="7">
        <v>296.428</v>
      </c>
      <c r="N6013" s="6">
        <v>36.049999999999997</v>
      </c>
      <c r="O6013" s="6">
        <v>34.92</v>
      </c>
      <c r="P6013" s="2" t="s">
        <v>18476</v>
      </c>
      <c r="Q6013" s="6">
        <v>77</v>
      </c>
      <c r="R6013" s="2"/>
      <c r="S6013" s="5">
        <v>-11.3</v>
      </c>
      <c r="T6013" s="5">
        <v>2.4</v>
      </c>
      <c r="U6013" s="5">
        <v>0.9</v>
      </c>
      <c r="V6013" s="6">
        <v>-0.48</v>
      </c>
      <c r="W6013" s="7">
        <v>1.2190000000000001</v>
      </c>
      <c r="X6013" s="7">
        <v>1.4379999999999999</v>
      </c>
      <c r="Y6013" s="7">
        <v>1.9059999999999999</v>
      </c>
      <c r="Z6013" s="6">
        <v>1.75</v>
      </c>
      <c r="AA6013" s="6">
        <v>25.68</v>
      </c>
      <c r="AB6013" s="2" t="s">
        <v>86</v>
      </c>
      <c r="AC6013" s="5">
        <v>263</v>
      </c>
    </row>
    <row r="6014" spans="1:29" ht="104" x14ac:dyDescent="0.15">
      <c r="A6014" s="3">
        <f>DATE(2001,2,15)</f>
        <v>36937</v>
      </c>
      <c r="B6014" s="3">
        <f>DATE(2001,5,14)</f>
        <v>37025</v>
      </c>
      <c r="C6014" s="2" t="s">
        <v>95</v>
      </c>
      <c r="D6014" s="2" t="s">
        <v>18477</v>
      </c>
      <c r="E6014" s="2" t="s">
        <v>10247</v>
      </c>
      <c r="F6014" s="4">
        <v>5812</v>
      </c>
      <c r="G6014" s="2" t="s">
        <v>230</v>
      </c>
      <c r="H6014" s="2" t="s">
        <v>34</v>
      </c>
      <c r="I6014" s="2" t="s">
        <v>51</v>
      </c>
      <c r="J6014" s="2" t="s">
        <v>52</v>
      </c>
      <c r="K6014" s="2" t="s">
        <v>53</v>
      </c>
      <c r="L6014" s="2" t="s">
        <v>34</v>
      </c>
      <c r="M6014" s="2"/>
      <c r="N6014" s="2"/>
      <c r="O6014" s="2"/>
      <c r="P6014" s="2" t="s">
        <v>18478</v>
      </c>
      <c r="Q6014" s="6">
        <v>100</v>
      </c>
      <c r="R6014" s="6">
        <v>25.65</v>
      </c>
      <c r="S6014" s="5">
        <v>14.7</v>
      </c>
      <c r="T6014" s="5">
        <v>41.4</v>
      </c>
      <c r="U6014" s="5">
        <v>18.8</v>
      </c>
      <c r="V6014" s="6">
        <v>2.0499999999999998</v>
      </c>
      <c r="W6014" s="7">
        <v>19.062999999999999</v>
      </c>
      <c r="X6014" s="7">
        <v>18.875</v>
      </c>
      <c r="Y6014" s="5">
        <v>18.5</v>
      </c>
      <c r="Z6014" s="7">
        <v>24.625</v>
      </c>
      <c r="AA6014" s="6">
        <v>6.76</v>
      </c>
      <c r="AB6014" s="7">
        <v>7.5750000000000002</v>
      </c>
      <c r="AC6014" s="2"/>
    </row>
    <row r="6015" spans="1:29" ht="117" x14ac:dyDescent="0.15">
      <c r="A6015" s="3">
        <f>DATE(2001,2,15)</f>
        <v>36937</v>
      </c>
      <c r="B6015" s="3">
        <f>DATE(2001,9,28)</f>
        <v>37162</v>
      </c>
      <c r="C6015" s="2" t="s">
        <v>95</v>
      </c>
      <c r="D6015" s="2" t="s">
        <v>17448</v>
      </c>
      <c r="E6015" s="2" t="s">
        <v>92</v>
      </c>
      <c r="F6015" s="4">
        <v>6798</v>
      </c>
      <c r="G6015" s="2" t="s">
        <v>53</v>
      </c>
      <c r="H6015" s="2" t="s">
        <v>34</v>
      </c>
      <c r="I6015" s="2" t="s">
        <v>17450</v>
      </c>
      <c r="J6015" s="2" t="s">
        <v>92</v>
      </c>
      <c r="K6015" s="2" t="s">
        <v>53</v>
      </c>
      <c r="L6015" s="2" t="s">
        <v>885</v>
      </c>
      <c r="M6015" s="7">
        <v>906.79100000000005</v>
      </c>
      <c r="N6015" s="2"/>
      <c r="O6015" s="2"/>
      <c r="P6015" s="2" t="s">
        <v>18479</v>
      </c>
      <c r="Q6015" s="6">
        <v>44.1</v>
      </c>
      <c r="R6015" s="6">
        <v>16.25</v>
      </c>
      <c r="S6015" s="5">
        <v>58.8</v>
      </c>
      <c r="T6015" s="5">
        <v>374.6</v>
      </c>
      <c r="U6015" s="5">
        <v>6.1</v>
      </c>
      <c r="V6015" s="6">
        <v>0.22</v>
      </c>
      <c r="W6015" s="6">
        <v>14.55</v>
      </c>
      <c r="X6015" s="6">
        <v>14.45</v>
      </c>
      <c r="Y6015" s="6">
        <v>16.46</v>
      </c>
      <c r="Z6015" s="6">
        <v>16.45</v>
      </c>
      <c r="AA6015" s="6">
        <v>73.349999999999994</v>
      </c>
      <c r="AB6015" s="7">
        <v>16.888999999999999</v>
      </c>
      <c r="AC6015" s="6">
        <v>39.479999999999997</v>
      </c>
    </row>
    <row r="6016" spans="1:29" ht="78" x14ac:dyDescent="0.15">
      <c r="A6016" s="3">
        <f>DATE(2001,2,20)</f>
        <v>36942</v>
      </c>
      <c r="B6016" s="2"/>
      <c r="C6016" s="2" t="s">
        <v>30</v>
      </c>
      <c r="D6016" s="2" t="s">
        <v>18480</v>
      </c>
      <c r="E6016" s="2" t="s">
        <v>58</v>
      </c>
      <c r="F6016" s="4">
        <v>4512</v>
      </c>
      <c r="G6016" s="2" t="s">
        <v>59</v>
      </c>
      <c r="H6016" s="2" t="s">
        <v>34</v>
      </c>
      <c r="I6016" s="2" t="s">
        <v>8303</v>
      </c>
      <c r="J6016" s="2" t="s">
        <v>302</v>
      </c>
      <c r="K6016" s="2" t="s">
        <v>53</v>
      </c>
      <c r="L6016" s="2" t="s">
        <v>34</v>
      </c>
      <c r="M6016" s="2"/>
      <c r="N6016" s="2"/>
      <c r="O6016" s="2"/>
      <c r="P6016" s="2" t="s">
        <v>18481</v>
      </c>
      <c r="Q6016" s="2"/>
      <c r="R6016" s="6">
        <v>4</v>
      </c>
      <c r="S6016" s="5">
        <v>-8.1999999999999993</v>
      </c>
      <c r="T6016" s="7">
        <v>7.8680000000000003</v>
      </c>
      <c r="U6016" s="5">
        <v>0</v>
      </c>
      <c r="V6016" s="6">
        <v>-0.95</v>
      </c>
      <c r="W6016" s="6">
        <v>2.25</v>
      </c>
      <c r="X6016" s="6">
        <v>2.25</v>
      </c>
      <c r="Y6016" s="5">
        <v>2.5</v>
      </c>
      <c r="Z6016" s="7">
        <v>2.125</v>
      </c>
      <c r="AA6016" s="6">
        <v>8.65</v>
      </c>
      <c r="AB6016" s="7">
        <v>161.959</v>
      </c>
      <c r="AC6016" s="2"/>
    </row>
    <row r="6017" spans="1:29" ht="143" x14ac:dyDescent="0.15">
      <c r="A6017" s="3">
        <f>DATE(2001,2,20)</f>
        <v>36942</v>
      </c>
      <c r="B6017" s="3">
        <f>DATE(2001,4,2)</f>
        <v>36983</v>
      </c>
      <c r="C6017" s="2" t="s">
        <v>95</v>
      </c>
      <c r="D6017" s="2" t="s">
        <v>18482</v>
      </c>
      <c r="E6017" s="2" t="s">
        <v>438</v>
      </c>
      <c r="F6017" s="4">
        <v>4911</v>
      </c>
      <c r="G6017" s="2" t="s">
        <v>439</v>
      </c>
      <c r="H6017" s="2" t="s">
        <v>34</v>
      </c>
      <c r="I6017" s="2" t="s">
        <v>278</v>
      </c>
      <c r="J6017" s="2" t="s">
        <v>52</v>
      </c>
      <c r="K6017" s="2" t="s">
        <v>53</v>
      </c>
      <c r="L6017" s="2" t="s">
        <v>34</v>
      </c>
      <c r="M6017" s="2"/>
      <c r="N6017" s="2"/>
      <c r="O6017" s="2"/>
      <c r="P6017" s="2" t="s">
        <v>18483</v>
      </c>
      <c r="Q6017" s="6">
        <v>80.31</v>
      </c>
      <c r="R6017" s="6">
        <v>35.5</v>
      </c>
      <c r="S6017" s="5">
        <v>412</v>
      </c>
      <c r="T6017" s="8">
        <v>1132</v>
      </c>
      <c r="U6017" s="2"/>
      <c r="V6017" s="6">
        <v>1.39</v>
      </c>
      <c r="W6017" s="5">
        <v>25.9</v>
      </c>
      <c r="X6017" s="5">
        <v>25.3</v>
      </c>
      <c r="Y6017" s="6">
        <v>25.72</v>
      </c>
      <c r="Z6017" s="6">
        <v>26.11</v>
      </c>
      <c r="AA6017" s="6">
        <v>338.7</v>
      </c>
      <c r="AB6017" s="7">
        <v>19.917999999999999</v>
      </c>
      <c r="AC6017" s="2"/>
    </row>
    <row r="6018" spans="1:29" ht="182" x14ac:dyDescent="0.15">
      <c r="A6018" s="3">
        <f>DATE(2001,2,20)</f>
        <v>36942</v>
      </c>
      <c r="B6018" s="3">
        <f>DATE(2001,6,18)</f>
        <v>37060</v>
      </c>
      <c r="C6018" s="2" t="s">
        <v>95</v>
      </c>
      <c r="D6018" s="2" t="s">
        <v>18484</v>
      </c>
      <c r="E6018" s="2" t="s">
        <v>5549</v>
      </c>
      <c r="F6018" s="4">
        <v>7371</v>
      </c>
      <c r="G6018" s="2" t="s">
        <v>223</v>
      </c>
      <c r="H6018" s="2" t="s">
        <v>34</v>
      </c>
      <c r="I6018" s="2" t="s">
        <v>5513</v>
      </c>
      <c r="J6018" s="2" t="s">
        <v>5514</v>
      </c>
      <c r="K6018" s="2" t="s">
        <v>551</v>
      </c>
      <c r="L6018" s="2" t="s">
        <v>34</v>
      </c>
      <c r="M6018" s="12">
        <v>2191.9760000000001</v>
      </c>
      <c r="N6018" s="5">
        <v>24.5</v>
      </c>
      <c r="O6018" s="7">
        <v>19.937999999999999</v>
      </c>
      <c r="P6018" s="2" t="s">
        <v>18485</v>
      </c>
      <c r="Q6018" s="6">
        <v>100</v>
      </c>
      <c r="R6018" s="6">
        <v>9.7200000000000006</v>
      </c>
      <c r="S6018" s="5">
        <v>-60.9</v>
      </c>
      <c r="T6018" s="5">
        <v>-9.8000000000000007</v>
      </c>
      <c r="U6018" s="5">
        <v>8.1</v>
      </c>
      <c r="V6018" s="6">
        <v>-1.71</v>
      </c>
      <c r="W6018" s="7">
        <v>4.6879999999999997</v>
      </c>
      <c r="X6018" s="6">
        <v>5.75</v>
      </c>
      <c r="Y6018" s="7">
        <v>6.9379999999999997</v>
      </c>
      <c r="Z6018" s="7">
        <v>7.3129999999999997</v>
      </c>
      <c r="AA6018" s="6">
        <v>36.36</v>
      </c>
      <c r="AB6018" s="2" t="s">
        <v>86</v>
      </c>
      <c r="AC6018" s="5">
        <v>235.6</v>
      </c>
    </row>
    <row r="6019" spans="1:29" ht="208" x14ac:dyDescent="0.15">
      <c r="A6019" s="3">
        <f>DATE(2001,2,20)</f>
        <v>36942</v>
      </c>
      <c r="B6019" s="3">
        <f>DATE(2002,6,28)</f>
        <v>37435</v>
      </c>
      <c r="C6019" s="2" t="s">
        <v>95</v>
      </c>
      <c r="D6019" s="2" t="s">
        <v>18486</v>
      </c>
      <c r="E6019" s="2" t="s">
        <v>441</v>
      </c>
      <c r="F6019" s="4">
        <v>4931</v>
      </c>
      <c r="G6019" s="2" t="s">
        <v>439</v>
      </c>
      <c r="H6019" s="2" t="s">
        <v>34</v>
      </c>
      <c r="I6019" s="2" t="s">
        <v>14217</v>
      </c>
      <c r="J6019" s="2" t="s">
        <v>18487</v>
      </c>
      <c r="K6019" s="2" t="s">
        <v>439</v>
      </c>
      <c r="L6019" s="2" t="s">
        <v>34</v>
      </c>
      <c r="M6019" s="12">
        <v>2249.9490000000001</v>
      </c>
      <c r="N6019" s="6">
        <v>18.350000000000001</v>
      </c>
      <c r="O6019" s="5">
        <v>18.5</v>
      </c>
      <c r="P6019" s="2" t="s">
        <v>18488</v>
      </c>
      <c r="Q6019" s="6">
        <v>100</v>
      </c>
      <c r="R6019" s="6">
        <v>53.04</v>
      </c>
      <c r="S6019" s="5">
        <v>95.6</v>
      </c>
      <c r="T6019" s="6">
        <v>341.32</v>
      </c>
      <c r="U6019" s="5">
        <v>22.2</v>
      </c>
      <c r="V6019" s="6">
        <v>2.6</v>
      </c>
      <c r="W6019" s="5">
        <v>33.1</v>
      </c>
      <c r="X6019" s="5">
        <v>33.1</v>
      </c>
      <c r="Y6019" s="5">
        <v>36.4</v>
      </c>
      <c r="Z6019" s="6">
        <v>36.36</v>
      </c>
      <c r="AA6019" s="6">
        <v>34.520000000000003</v>
      </c>
      <c r="AB6019" s="7">
        <v>13.711</v>
      </c>
      <c r="AC6019" s="5">
        <v>33.200000000000003</v>
      </c>
    </row>
    <row r="6020" spans="1:29" ht="182" x14ac:dyDescent="0.15">
      <c r="A6020" s="3">
        <f>DATE(2001,2,20)</f>
        <v>36942</v>
      </c>
      <c r="B6020" s="3">
        <f>DATE(2001,9,6)</f>
        <v>37140</v>
      </c>
      <c r="C6020" s="2" t="s">
        <v>95</v>
      </c>
      <c r="D6020" s="2" t="s">
        <v>3805</v>
      </c>
      <c r="E6020" s="2" t="s">
        <v>3806</v>
      </c>
      <c r="F6020" s="4">
        <v>2211</v>
      </c>
      <c r="G6020" s="2" t="s">
        <v>708</v>
      </c>
      <c r="H6020" s="2" t="s">
        <v>34</v>
      </c>
      <c r="I6020" s="2" t="s">
        <v>51</v>
      </c>
      <c r="J6020" s="2" t="s">
        <v>52</v>
      </c>
      <c r="K6020" s="2" t="s">
        <v>53</v>
      </c>
      <c r="L6020" s="2" t="s">
        <v>34</v>
      </c>
      <c r="M6020" s="2"/>
      <c r="N6020" s="2"/>
      <c r="O6020" s="2"/>
      <c r="P6020" s="2" t="s">
        <v>18489</v>
      </c>
      <c r="Q6020" s="6">
        <v>62.95</v>
      </c>
      <c r="R6020" s="6">
        <v>46</v>
      </c>
      <c r="S6020" s="5">
        <v>60.1</v>
      </c>
      <c r="T6020" s="5">
        <v>246.7</v>
      </c>
      <c r="U6020" s="5">
        <v>45.7</v>
      </c>
      <c r="V6020" s="6">
        <v>3.31</v>
      </c>
      <c r="W6020" s="5">
        <v>37.5</v>
      </c>
      <c r="X6020" s="5">
        <v>36.1</v>
      </c>
      <c r="Y6020" s="6">
        <v>43.82</v>
      </c>
      <c r="Z6020" s="6">
        <v>43.73</v>
      </c>
      <c r="AA6020" s="6">
        <v>17.93</v>
      </c>
      <c r="AB6020" s="7">
        <v>9.032</v>
      </c>
      <c r="AC6020" s="2"/>
    </row>
    <row r="6021" spans="1:29" ht="195" x14ac:dyDescent="0.15">
      <c r="A6021" s="3">
        <f>DATE(2001,2,21)</f>
        <v>36943</v>
      </c>
      <c r="B6021" s="3">
        <f>DATE(2001,7,2)</f>
        <v>37074</v>
      </c>
      <c r="C6021" s="2" t="s">
        <v>95</v>
      </c>
      <c r="D6021" s="2" t="s">
        <v>18490</v>
      </c>
      <c r="E6021" s="2" t="s">
        <v>18491</v>
      </c>
      <c r="F6021" s="4">
        <v>3571</v>
      </c>
      <c r="G6021" s="2" t="s">
        <v>50</v>
      </c>
      <c r="H6021" s="2" t="s">
        <v>34</v>
      </c>
      <c r="I6021" s="2" t="s">
        <v>15145</v>
      </c>
      <c r="J6021" s="2" t="s">
        <v>15146</v>
      </c>
      <c r="K6021" s="2" t="s">
        <v>921</v>
      </c>
      <c r="L6021" s="2" t="s">
        <v>34</v>
      </c>
      <c r="M6021" s="12">
        <v>51343.288</v>
      </c>
      <c r="N6021" s="6">
        <v>17.329999999999998</v>
      </c>
      <c r="O6021" s="6">
        <v>17.29</v>
      </c>
      <c r="P6021" s="2" t="s">
        <v>18492</v>
      </c>
      <c r="Q6021" s="6">
        <v>100</v>
      </c>
      <c r="R6021" s="6">
        <v>7.34</v>
      </c>
      <c r="S6021" s="5">
        <v>3.9</v>
      </c>
      <c r="T6021" s="5">
        <v>4.7</v>
      </c>
      <c r="U6021" s="5">
        <v>1.3</v>
      </c>
      <c r="V6021" s="6">
        <v>0.24</v>
      </c>
      <c r="W6021" s="7">
        <v>7.6559999999999997</v>
      </c>
      <c r="X6021" s="5">
        <v>7.5</v>
      </c>
      <c r="Y6021" s="7">
        <v>7.9379999999999997</v>
      </c>
      <c r="Z6021" s="7">
        <v>7.875</v>
      </c>
      <c r="AA6021" s="6">
        <v>15.8</v>
      </c>
      <c r="AB6021" s="7">
        <v>31.268999999999998</v>
      </c>
      <c r="AC6021" s="8">
        <v>3655</v>
      </c>
    </row>
    <row r="6022" spans="1:29" ht="221" x14ac:dyDescent="0.15">
      <c r="A6022" s="3">
        <f>DATE(2001,2,21)</f>
        <v>36943</v>
      </c>
      <c r="B6022" s="3">
        <f>DATE(2001,7,23)</f>
        <v>37095</v>
      </c>
      <c r="C6022" s="2" t="s">
        <v>95</v>
      </c>
      <c r="D6022" s="2" t="s">
        <v>18493</v>
      </c>
      <c r="E6022" s="2" t="s">
        <v>263</v>
      </c>
      <c r="F6022" s="4">
        <v>6712</v>
      </c>
      <c r="G6022" s="2" t="s">
        <v>37</v>
      </c>
      <c r="H6022" s="2" t="s">
        <v>34</v>
      </c>
      <c r="I6022" s="2" t="s">
        <v>18494</v>
      </c>
      <c r="J6022" s="2" t="s">
        <v>263</v>
      </c>
      <c r="K6022" s="2" t="s">
        <v>37</v>
      </c>
      <c r="L6022" s="2" t="s">
        <v>34</v>
      </c>
      <c r="M6022" s="7">
        <v>89.212999999999994</v>
      </c>
      <c r="N6022" s="4">
        <v>11</v>
      </c>
      <c r="O6022" s="7">
        <v>11.125</v>
      </c>
      <c r="P6022" s="2" t="s">
        <v>18495</v>
      </c>
      <c r="Q6022" s="6">
        <v>100</v>
      </c>
      <c r="R6022" s="6">
        <v>10.07</v>
      </c>
      <c r="S6022" s="5">
        <v>1.1000000000000001</v>
      </c>
      <c r="T6022" s="7">
        <v>1.897</v>
      </c>
      <c r="U6022" s="5">
        <v>5.8</v>
      </c>
      <c r="V6022" s="6">
        <v>0.44</v>
      </c>
      <c r="W6022" s="5">
        <v>6.5</v>
      </c>
      <c r="X6022" s="5">
        <v>7.5</v>
      </c>
      <c r="Y6022" s="6">
        <v>9.25</v>
      </c>
      <c r="Z6022" s="7">
        <v>8.8130000000000006</v>
      </c>
      <c r="AA6022" s="6">
        <v>2.4700000000000002</v>
      </c>
      <c r="AB6022" s="7">
        <v>98.632000000000005</v>
      </c>
      <c r="AC6022" s="2"/>
    </row>
    <row r="6023" spans="1:29" ht="117" x14ac:dyDescent="0.15">
      <c r="A6023" s="3">
        <f>DATE(2001,2,21)</f>
        <v>36943</v>
      </c>
      <c r="B6023" s="3">
        <f>DATE(2001,7,27)</f>
        <v>37099</v>
      </c>
      <c r="C6023" s="2" t="s">
        <v>95</v>
      </c>
      <c r="D6023" s="2" t="s">
        <v>18496</v>
      </c>
      <c r="E6023" s="2" t="s">
        <v>18497</v>
      </c>
      <c r="F6023" s="4">
        <v>7379</v>
      </c>
      <c r="G6023" s="2" t="s">
        <v>223</v>
      </c>
      <c r="H6023" s="2" t="s">
        <v>34</v>
      </c>
      <c r="I6023" s="2" t="s">
        <v>18498</v>
      </c>
      <c r="J6023" s="2" t="s">
        <v>1464</v>
      </c>
      <c r="K6023" s="2" t="s">
        <v>223</v>
      </c>
      <c r="L6023" s="2" t="s">
        <v>902</v>
      </c>
      <c r="M6023" s="2"/>
      <c r="N6023" s="2"/>
      <c r="O6023" s="2"/>
      <c r="P6023" s="2" t="s">
        <v>18499</v>
      </c>
      <c r="Q6023" s="6">
        <v>100</v>
      </c>
      <c r="R6023" s="6">
        <v>9.09</v>
      </c>
      <c r="S6023" s="5">
        <v>2.9</v>
      </c>
      <c r="T6023" s="7">
        <v>26.591999999999999</v>
      </c>
      <c r="U6023" s="5">
        <v>5.7</v>
      </c>
      <c r="V6023" s="6">
        <v>7.0000000000000007E-2</v>
      </c>
      <c r="W6023" s="7">
        <v>6.9379999999999997</v>
      </c>
      <c r="X6023" s="7">
        <v>6.5309999999999997</v>
      </c>
      <c r="Y6023" s="7">
        <v>6.5629999999999997</v>
      </c>
      <c r="Z6023" s="7">
        <v>5.9379999999999997</v>
      </c>
      <c r="AA6023" s="6">
        <v>41.12</v>
      </c>
      <c r="AB6023" s="7">
        <v>43.343000000000004</v>
      </c>
      <c r="AC6023" s="6">
        <v>34.36</v>
      </c>
    </row>
    <row r="6024" spans="1:29" ht="104" x14ac:dyDescent="0.15">
      <c r="A6024" s="3">
        <f>DATE(2001,2,22)</f>
        <v>36944</v>
      </c>
      <c r="B6024" s="3">
        <f>DATE(2002,3,1)</f>
        <v>37316</v>
      </c>
      <c r="C6024" s="2" t="s">
        <v>95</v>
      </c>
      <c r="D6024" s="2" t="s">
        <v>18500</v>
      </c>
      <c r="E6024" s="2" t="s">
        <v>36</v>
      </c>
      <c r="F6024" s="4">
        <v>6021</v>
      </c>
      <c r="G6024" s="2" t="s">
        <v>37</v>
      </c>
      <c r="H6024" s="2" t="s">
        <v>34</v>
      </c>
      <c r="I6024" s="2" t="s">
        <v>4131</v>
      </c>
      <c r="J6024" s="2" t="s">
        <v>36</v>
      </c>
      <c r="K6024" s="2" t="s">
        <v>37</v>
      </c>
      <c r="L6024" s="2" t="s">
        <v>34</v>
      </c>
      <c r="M6024" s="7">
        <v>422.274</v>
      </c>
      <c r="N6024" s="6">
        <v>21.25</v>
      </c>
      <c r="O6024" s="6">
        <v>18.75</v>
      </c>
      <c r="P6024" s="2" t="s">
        <v>18501</v>
      </c>
      <c r="Q6024" s="6">
        <v>100</v>
      </c>
      <c r="R6024" s="6">
        <v>23.65</v>
      </c>
      <c r="S6024" s="5">
        <v>5.8</v>
      </c>
      <c r="T6024" s="7">
        <v>7.9340000000000002</v>
      </c>
      <c r="U6024" s="5">
        <v>13</v>
      </c>
      <c r="V6024" s="6">
        <v>1.5</v>
      </c>
      <c r="W6024" s="7">
        <v>15.125</v>
      </c>
      <c r="X6024" s="7">
        <v>14.875</v>
      </c>
      <c r="Y6024" s="4">
        <v>14</v>
      </c>
      <c r="Z6024" s="9">
        <v>19.5625</v>
      </c>
      <c r="AA6024" s="6">
        <v>3.13</v>
      </c>
      <c r="AB6024" s="7">
        <v>33.74</v>
      </c>
      <c r="AC6024" s="5">
        <v>72.8</v>
      </c>
    </row>
    <row r="6025" spans="1:29" ht="182" x14ac:dyDescent="0.15">
      <c r="A6025" s="3">
        <f>DATE(2001,2,22)</f>
        <v>36944</v>
      </c>
      <c r="B6025" s="3">
        <f>DATE(2001,4,3)</f>
        <v>36984</v>
      </c>
      <c r="C6025" s="2" t="s">
        <v>95</v>
      </c>
      <c r="D6025" s="2" t="s">
        <v>18502</v>
      </c>
      <c r="E6025" s="2" t="s">
        <v>18503</v>
      </c>
      <c r="F6025" s="4">
        <v>3661</v>
      </c>
      <c r="G6025" s="2" t="s">
        <v>921</v>
      </c>
      <c r="H6025" s="2" t="s">
        <v>34</v>
      </c>
      <c r="I6025" s="2" t="s">
        <v>18504</v>
      </c>
      <c r="J6025" s="2" t="s">
        <v>18503</v>
      </c>
      <c r="K6025" s="2" t="s">
        <v>921</v>
      </c>
      <c r="L6025" s="2" t="s">
        <v>34</v>
      </c>
      <c r="M6025" s="2"/>
      <c r="N6025" s="2"/>
      <c r="O6025" s="2"/>
      <c r="P6025" s="2" t="s">
        <v>18505</v>
      </c>
      <c r="Q6025" s="6">
        <v>94.37</v>
      </c>
      <c r="R6025" s="6">
        <v>23.5</v>
      </c>
      <c r="S6025" s="5">
        <v>-206.1</v>
      </c>
      <c r="T6025" s="7">
        <v>-14.496</v>
      </c>
      <c r="U6025" s="5">
        <v>16.7</v>
      </c>
      <c r="V6025" s="6">
        <v>-4.04</v>
      </c>
      <c r="W6025" s="7">
        <v>15.172000000000001</v>
      </c>
      <c r="X6025" s="7">
        <v>12.375</v>
      </c>
      <c r="Y6025" s="7">
        <v>23.062999999999999</v>
      </c>
      <c r="Z6025" s="7">
        <v>23.062999999999999</v>
      </c>
      <c r="AA6025" s="6">
        <v>59.25</v>
      </c>
      <c r="AB6025" s="2" t="s">
        <v>86</v>
      </c>
      <c r="AC6025" s="2"/>
    </row>
    <row r="6026" spans="1:29" ht="117" x14ac:dyDescent="0.15">
      <c r="A6026" s="3">
        <f>DATE(2001,2,22)</f>
        <v>36944</v>
      </c>
      <c r="B6026" s="3">
        <f>DATE(2001,6,7)</f>
        <v>37049</v>
      </c>
      <c r="C6026" s="2" t="s">
        <v>95</v>
      </c>
      <c r="D6026" s="2" t="s">
        <v>18506</v>
      </c>
      <c r="E6026" s="2" t="s">
        <v>18507</v>
      </c>
      <c r="F6026" s="4">
        <v>5941</v>
      </c>
      <c r="G6026" s="2" t="s">
        <v>73</v>
      </c>
      <c r="H6026" s="2" t="s">
        <v>34</v>
      </c>
      <c r="I6026" s="2" t="s">
        <v>10622</v>
      </c>
      <c r="J6026" s="2" t="s">
        <v>10623</v>
      </c>
      <c r="K6026" s="2" t="s">
        <v>73</v>
      </c>
      <c r="L6026" s="2" t="s">
        <v>34</v>
      </c>
      <c r="M6026" s="7">
        <v>168.84100000000001</v>
      </c>
      <c r="N6026" s="6">
        <v>10.75</v>
      </c>
      <c r="O6026" s="7">
        <v>9.375</v>
      </c>
      <c r="P6026" s="2" t="s">
        <v>18508</v>
      </c>
      <c r="Q6026" s="6">
        <v>100</v>
      </c>
      <c r="R6026" s="6">
        <v>6.05</v>
      </c>
      <c r="S6026" s="5">
        <v>20</v>
      </c>
      <c r="T6026" s="5">
        <v>18.8</v>
      </c>
      <c r="U6026" s="5">
        <v>9.6999999999999993</v>
      </c>
      <c r="V6026" s="6">
        <v>3.3</v>
      </c>
      <c r="W6026" s="5">
        <v>9.4</v>
      </c>
      <c r="X6026" s="6">
        <v>9.35</v>
      </c>
      <c r="Y6026" s="6">
        <v>10.25</v>
      </c>
      <c r="Z6026" s="5">
        <v>11.5</v>
      </c>
      <c r="AA6026" s="6">
        <v>5.74</v>
      </c>
      <c r="AB6026" s="7">
        <v>2.7869999999999999</v>
      </c>
      <c r="AC6026" s="5">
        <v>8.1</v>
      </c>
    </row>
    <row r="6027" spans="1:29" ht="156" x14ac:dyDescent="0.15">
      <c r="A6027" s="3">
        <f>DATE(2001,2,22)</f>
        <v>36944</v>
      </c>
      <c r="B6027" s="3">
        <f>DATE(2001,4,6)</f>
        <v>36987</v>
      </c>
      <c r="C6027" s="2" t="s">
        <v>95</v>
      </c>
      <c r="D6027" s="2" t="s">
        <v>18509</v>
      </c>
      <c r="E6027" s="2" t="s">
        <v>18510</v>
      </c>
      <c r="F6027" s="4">
        <v>5999</v>
      </c>
      <c r="G6027" s="2" t="s">
        <v>73</v>
      </c>
      <c r="H6027" s="2" t="s">
        <v>34</v>
      </c>
      <c r="I6027" s="2" t="s">
        <v>5905</v>
      </c>
      <c r="J6027" s="2" t="s">
        <v>5906</v>
      </c>
      <c r="K6027" s="2" t="s">
        <v>226</v>
      </c>
      <c r="L6027" s="2" t="s">
        <v>5907</v>
      </c>
      <c r="M6027" s="2"/>
      <c r="N6027" s="2"/>
      <c r="O6027" s="2"/>
      <c r="P6027" s="2" t="s">
        <v>18511</v>
      </c>
      <c r="Q6027" s="6">
        <v>100</v>
      </c>
      <c r="R6027" s="6">
        <v>11.5</v>
      </c>
      <c r="S6027" s="5">
        <v>22.6</v>
      </c>
      <c r="T6027" s="7">
        <v>79.302999999999997</v>
      </c>
      <c r="U6027" s="5">
        <v>1</v>
      </c>
      <c r="V6027" s="6">
        <v>0.54</v>
      </c>
      <c r="W6027" s="7">
        <v>8.4380000000000006</v>
      </c>
      <c r="X6027" s="7">
        <v>8.3130000000000006</v>
      </c>
      <c r="Y6027" s="7">
        <v>11.313000000000001</v>
      </c>
      <c r="Z6027" s="7">
        <v>11.343999999999999</v>
      </c>
      <c r="AA6027" s="6">
        <v>40.18</v>
      </c>
      <c r="AB6027" s="7">
        <v>12.459</v>
      </c>
      <c r="AC6027" s="6">
        <v>60.27</v>
      </c>
    </row>
    <row r="6028" spans="1:29" ht="117" x14ac:dyDescent="0.15">
      <c r="A6028" s="3">
        <f>DATE(2001,2,23)</f>
        <v>36945</v>
      </c>
      <c r="B6028" s="3">
        <f>DATE(2001,5,9)</f>
        <v>37020</v>
      </c>
      <c r="C6028" s="2" t="s">
        <v>95</v>
      </c>
      <c r="D6028" s="2" t="s">
        <v>18512</v>
      </c>
      <c r="E6028" s="2" t="s">
        <v>18513</v>
      </c>
      <c r="F6028" s="4">
        <v>7361</v>
      </c>
      <c r="G6028" s="2" t="s">
        <v>223</v>
      </c>
      <c r="H6028" s="2" t="s">
        <v>34</v>
      </c>
      <c r="I6028" s="2" t="s">
        <v>1168</v>
      </c>
      <c r="J6028" s="2" t="s">
        <v>1169</v>
      </c>
      <c r="K6028" s="2" t="s">
        <v>125</v>
      </c>
      <c r="L6028" s="2" t="s">
        <v>34</v>
      </c>
      <c r="M6028" s="12">
        <v>8778.0779999999995</v>
      </c>
      <c r="N6028" s="6">
        <v>33.14</v>
      </c>
      <c r="O6028" s="6">
        <v>33.630000000000003</v>
      </c>
      <c r="P6028" s="2" t="s">
        <v>18514</v>
      </c>
      <c r="Q6028" s="6">
        <v>100</v>
      </c>
      <c r="R6028" s="6">
        <v>14.33</v>
      </c>
      <c r="S6028" s="5">
        <v>6.1</v>
      </c>
      <c r="T6028" s="5">
        <v>13.9</v>
      </c>
      <c r="U6028" s="5">
        <v>4.3</v>
      </c>
      <c r="V6028" s="6">
        <v>0.88</v>
      </c>
      <c r="W6028" s="5">
        <v>11.5</v>
      </c>
      <c r="X6028" s="5">
        <v>11.5</v>
      </c>
      <c r="Y6028" s="6">
        <v>12.25</v>
      </c>
      <c r="Z6028" s="7">
        <v>14.125</v>
      </c>
      <c r="AA6028" s="6">
        <v>7.15</v>
      </c>
      <c r="AB6028" s="7">
        <v>9.5939999999999994</v>
      </c>
      <c r="AC6028" s="8">
        <v>1118</v>
      </c>
    </row>
    <row r="6029" spans="1:29" ht="130" x14ac:dyDescent="0.15">
      <c r="A6029" s="3">
        <f>DATE(2001,2,23)</f>
        <v>36945</v>
      </c>
      <c r="B6029" s="3">
        <f>DATE(2001,4,6)</f>
        <v>36987</v>
      </c>
      <c r="C6029" s="2" t="s">
        <v>95</v>
      </c>
      <c r="D6029" s="2" t="s">
        <v>18515</v>
      </c>
      <c r="E6029" s="2" t="s">
        <v>3001</v>
      </c>
      <c r="F6029" s="4">
        <v>8734</v>
      </c>
      <c r="G6029" s="2" t="s">
        <v>223</v>
      </c>
      <c r="H6029" s="2" t="s">
        <v>34</v>
      </c>
      <c r="I6029" s="2" t="s">
        <v>18516</v>
      </c>
      <c r="J6029" s="2" t="s">
        <v>18517</v>
      </c>
      <c r="K6029" s="2" t="s">
        <v>223</v>
      </c>
      <c r="L6029" s="2" t="s">
        <v>303</v>
      </c>
      <c r="M6029" s="2"/>
      <c r="N6029" s="2"/>
      <c r="O6029" s="2"/>
      <c r="P6029" s="2" t="s">
        <v>18518</v>
      </c>
      <c r="Q6029" s="6">
        <v>100</v>
      </c>
      <c r="R6029" s="6">
        <v>6</v>
      </c>
      <c r="S6029" s="5">
        <v>-4.2</v>
      </c>
      <c r="T6029" s="6">
        <v>4.51</v>
      </c>
      <c r="U6029" s="5">
        <v>4.2</v>
      </c>
      <c r="V6029" s="6">
        <v>-0.23</v>
      </c>
      <c r="W6029" s="6">
        <v>5.75</v>
      </c>
      <c r="X6029" s="6">
        <v>5.25</v>
      </c>
      <c r="Y6029" s="7">
        <v>5.8440000000000003</v>
      </c>
      <c r="Z6029" s="7">
        <v>5.8440000000000003</v>
      </c>
      <c r="AA6029" s="6">
        <v>18.399999999999999</v>
      </c>
      <c r="AB6029" s="2" t="s">
        <v>86</v>
      </c>
      <c r="AC6029" s="2"/>
    </row>
    <row r="6030" spans="1:29" ht="182" x14ac:dyDescent="0.15">
      <c r="A6030" s="3">
        <f>DATE(2001,2,23)</f>
        <v>36945</v>
      </c>
      <c r="B6030" s="3">
        <f>DATE(2001,7,2)</f>
        <v>37074</v>
      </c>
      <c r="C6030" s="2" t="s">
        <v>95</v>
      </c>
      <c r="D6030" s="2" t="s">
        <v>18519</v>
      </c>
      <c r="E6030" s="2" t="s">
        <v>92</v>
      </c>
      <c r="F6030" s="4">
        <v>6798</v>
      </c>
      <c r="G6030" s="2" t="s">
        <v>53</v>
      </c>
      <c r="H6030" s="2" t="s">
        <v>34</v>
      </c>
      <c r="I6030" s="2" t="s">
        <v>10502</v>
      </c>
      <c r="J6030" s="2" t="s">
        <v>6321</v>
      </c>
      <c r="K6030" s="2" t="s">
        <v>53</v>
      </c>
      <c r="L6030" s="2" t="s">
        <v>34</v>
      </c>
      <c r="M6030" s="12">
        <v>9353.268</v>
      </c>
      <c r="N6030" s="6">
        <v>28.57</v>
      </c>
      <c r="O6030" s="6">
        <v>28.87</v>
      </c>
      <c r="P6030" s="2" t="s">
        <v>18520</v>
      </c>
      <c r="Q6030" s="6">
        <v>100</v>
      </c>
      <c r="R6030" s="6">
        <v>57.52</v>
      </c>
      <c r="S6030" s="5">
        <v>371</v>
      </c>
      <c r="T6030" s="5">
        <v>628.1</v>
      </c>
      <c r="U6030" s="5">
        <v>20.8</v>
      </c>
      <c r="V6030" s="6">
        <v>4.38</v>
      </c>
      <c r="W6030" s="4">
        <v>52</v>
      </c>
      <c r="X6030" s="5">
        <v>52.1</v>
      </c>
      <c r="Y6030" s="5">
        <v>55.4</v>
      </c>
      <c r="Z6030" s="6">
        <v>55.58</v>
      </c>
      <c r="AA6030" s="6">
        <v>74.5</v>
      </c>
      <c r="AB6030" s="7">
        <v>13.662000000000001</v>
      </c>
      <c r="AC6030" s="5">
        <v>53.3</v>
      </c>
    </row>
    <row r="6031" spans="1:29" ht="325" x14ac:dyDescent="0.15">
      <c r="A6031" s="3">
        <f>DATE(2001,2,23)</f>
        <v>36945</v>
      </c>
      <c r="B6031" s="3">
        <f>DATE(2002,1,30)</f>
        <v>37286</v>
      </c>
      <c r="C6031" s="2" t="s">
        <v>95</v>
      </c>
      <c r="D6031" s="2" t="s">
        <v>18521</v>
      </c>
      <c r="E6031" s="2" t="s">
        <v>18522</v>
      </c>
      <c r="F6031" s="4">
        <v>4841</v>
      </c>
      <c r="G6031" s="2" t="s">
        <v>45</v>
      </c>
      <c r="H6031" s="2" t="s">
        <v>34</v>
      </c>
      <c r="I6031" s="2" t="s">
        <v>3558</v>
      </c>
      <c r="J6031" s="2" t="s">
        <v>1893</v>
      </c>
      <c r="K6031" s="2" t="s">
        <v>45</v>
      </c>
      <c r="L6031" s="2" t="s">
        <v>34</v>
      </c>
      <c r="M6031" s="12">
        <v>41602.572999999997</v>
      </c>
      <c r="N6031" s="5">
        <v>14.6</v>
      </c>
      <c r="O6031" s="5">
        <v>15.3</v>
      </c>
      <c r="P6031" s="2" t="s">
        <v>18523</v>
      </c>
      <c r="Q6031" s="6">
        <v>76</v>
      </c>
      <c r="R6031" s="2"/>
      <c r="S6031" s="8">
        <v>-1220.9000000000001</v>
      </c>
      <c r="T6031" s="5">
        <v>-325.3</v>
      </c>
      <c r="U6031" s="5">
        <v>-8.1</v>
      </c>
      <c r="V6031" s="6">
        <v>-13.24</v>
      </c>
      <c r="W6031" s="7">
        <v>44.375</v>
      </c>
      <c r="X6031" s="7">
        <v>43.563000000000002</v>
      </c>
      <c r="Y6031" s="6">
        <v>50.75</v>
      </c>
      <c r="Z6031" s="7">
        <v>49.875</v>
      </c>
      <c r="AA6031" s="6">
        <v>99.47</v>
      </c>
      <c r="AB6031" s="2" t="s">
        <v>86</v>
      </c>
      <c r="AC6031" s="8">
        <v>1795</v>
      </c>
    </row>
    <row r="6032" spans="1:29" ht="91" x14ac:dyDescent="0.15">
      <c r="A6032" s="3">
        <f>DATE(2001,2,26)</f>
        <v>36948</v>
      </c>
      <c r="B6032" s="3">
        <f>DATE(2001,5,31)</f>
        <v>37042</v>
      </c>
      <c r="C6032" s="2" t="s">
        <v>95</v>
      </c>
      <c r="D6032" s="2" t="s">
        <v>18524</v>
      </c>
      <c r="E6032" s="2" t="s">
        <v>18525</v>
      </c>
      <c r="F6032" s="4">
        <v>6324</v>
      </c>
      <c r="G6032" s="2" t="s">
        <v>125</v>
      </c>
      <c r="H6032" s="2" t="s">
        <v>34</v>
      </c>
      <c r="I6032" s="2" t="s">
        <v>5905</v>
      </c>
      <c r="J6032" s="2" t="s">
        <v>5906</v>
      </c>
      <c r="K6032" s="2" t="s">
        <v>226</v>
      </c>
      <c r="L6032" s="2" t="s">
        <v>5907</v>
      </c>
      <c r="M6032" s="2"/>
      <c r="N6032" s="2"/>
      <c r="O6032" s="2"/>
      <c r="P6032" s="2" t="s">
        <v>18526</v>
      </c>
      <c r="Q6032" s="6">
        <v>100</v>
      </c>
      <c r="R6032" s="6">
        <v>9.06</v>
      </c>
      <c r="S6032" s="5">
        <v>0.1</v>
      </c>
      <c r="T6032" s="5">
        <v>0.7</v>
      </c>
      <c r="U6032" s="5">
        <v>2</v>
      </c>
      <c r="V6032" s="6">
        <v>0.03</v>
      </c>
      <c r="W6032" s="5">
        <v>7.4</v>
      </c>
      <c r="X6032" s="6">
        <v>7.55</v>
      </c>
      <c r="Y6032" s="5">
        <v>7.7</v>
      </c>
      <c r="Z6032" s="6">
        <v>8.85</v>
      </c>
      <c r="AA6032" s="6">
        <v>2.6</v>
      </c>
      <c r="AB6032" s="7">
        <v>233.512</v>
      </c>
      <c r="AC6032" s="6">
        <v>60.27</v>
      </c>
    </row>
    <row r="6033" spans="1:29" ht="52" x14ac:dyDescent="0.15">
      <c r="A6033" s="3">
        <f>DATE(2001,2,26)</f>
        <v>36948</v>
      </c>
      <c r="B6033" s="3">
        <f>DATE(2001,4,30)</f>
        <v>37011</v>
      </c>
      <c r="C6033" s="2" t="s">
        <v>95</v>
      </c>
      <c r="D6033" s="2" t="s">
        <v>18527</v>
      </c>
      <c r="E6033" s="2" t="s">
        <v>781</v>
      </c>
      <c r="F6033" s="4">
        <v>7372</v>
      </c>
      <c r="G6033" s="2" t="s">
        <v>551</v>
      </c>
      <c r="H6033" s="2" t="s">
        <v>34</v>
      </c>
      <c r="I6033" s="2" t="s">
        <v>18528</v>
      </c>
      <c r="J6033" s="2" t="s">
        <v>15144</v>
      </c>
      <c r="K6033" s="2" t="s">
        <v>551</v>
      </c>
      <c r="L6033" s="2" t="s">
        <v>34</v>
      </c>
      <c r="M6033" s="7">
        <v>423.28500000000003</v>
      </c>
      <c r="N6033" s="7">
        <v>25.562999999999999</v>
      </c>
      <c r="O6033" s="6">
        <v>25.25</v>
      </c>
      <c r="P6033" s="2" t="s">
        <v>18529</v>
      </c>
      <c r="Q6033" s="6">
        <v>100</v>
      </c>
      <c r="R6033" s="6">
        <v>3.7</v>
      </c>
      <c r="S6033" s="5">
        <v>-4.0999999999999996</v>
      </c>
      <c r="T6033" s="7">
        <v>0.45400000000000001</v>
      </c>
      <c r="U6033" s="5">
        <v>0.6</v>
      </c>
      <c r="V6033" s="6">
        <v>-0.39</v>
      </c>
      <c r="W6033" s="7">
        <v>2.5310000000000001</v>
      </c>
      <c r="X6033" s="6">
        <v>2.25</v>
      </c>
      <c r="Y6033" s="7">
        <v>2.625</v>
      </c>
      <c r="Z6033" s="7">
        <v>3.5630000000000002</v>
      </c>
      <c r="AA6033" s="6">
        <v>10.75</v>
      </c>
      <c r="AB6033" s="2" t="s">
        <v>86</v>
      </c>
      <c r="AC6033" s="5">
        <v>33.299999999999997</v>
      </c>
    </row>
    <row r="6034" spans="1:29" ht="91" x14ac:dyDescent="0.15">
      <c r="A6034" s="3">
        <f>DATE(2001,2,27)</f>
        <v>36949</v>
      </c>
      <c r="B6034" s="2"/>
      <c r="C6034" s="2" t="s">
        <v>30</v>
      </c>
      <c r="D6034" s="2" t="s">
        <v>18530</v>
      </c>
      <c r="E6034" s="2" t="s">
        <v>18531</v>
      </c>
      <c r="F6034" s="4">
        <v>7011</v>
      </c>
      <c r="G6034" s="2" t="s">
        <v>269</v>
      </c>
      <c r="H6034" s="2" t="s">
        <v>34</v>
      </c>
      <c r="I6034" s="2" t="s">
        <v>18532</v>
      </c>
      <c r="J6034" s="2" t="s">
        <v>150</v>
      </c>
      <c r="K6034" s="2" t="s">
        <v>53</v>
      </c>
      <c r="L6034" s="2" t="s">
        <v>34</v>
      </c>
      <c r="M6034" s="2"/>
      <c r="N6034" s="2"/>
      <c r="O6034" s="2"/>
      <c r="P6034" s="2" t="s">
        <v>18533</v>
      </c>
      <c r="Q6034" s="2"/>
      <c r="R6034" s="6">
        <v>11</v>
      </c>
      <c r="S6034" s="5">
        <v>6.3</v>
      </c>
      <c r="T6034" s="5">
        <v>20.8</v>
      </c>
      <c r="U6034" s="5">
        <v>10</v>
      </c>
      <c r="V6034" s="6">
        <v>1.53</v>
      </c>
      <c r="W6034" s="4">
        <v>7</v>
      </c>
      <c r="X6034" s="6">
        <v>6.66</v>
      </c>
      <c r="Y6034" s="6">
        <v>9.75</v>
      </c>
      <c r="Z6034" s="7">
        <v>9.625</v>
      </c>
      <c r="AA6034" s="6">
        <v>4.13</v>
      </c>
      <c r="AB6034" s="7">
        <v>4.8630000000000004</v>
      </c>
      <c r="AC6034" s="2"/>
    </row>
    <row r="6035" spans="1:29" ht="104" x14ac:dyDescent="0.15">
      <c r="A6035" s="3">
        <f>DATE(2001,3,2)</f>
        <v>36952</v>
      </c>
      <c r="B6035" s="3">
        <f>DATE(2001,8,24)</f>
        <v>37127</v>
      </c>
      <c r="C6035" s="2" t="s">
        <v>95</v>
      </c>
      <c r="D6035" s="2" t="s">
        <v>18534</v>
      </c>
      <c r="E6035" s="2" t="s">
        <v>92</v>
      </c>
      <c r="F6035" s="4">
        <v>6798</v>
      </c>
      <c r="G6035" s="2" t="s">
        <v>53</v>
      </c>
      <c r="H6035" s="2" t="s">
        <v>34</v>
      </c>
      <c r="I6035" s="2" t="s">
        <v>18535</v>
      </c>
      <c r="J6035" s="2" t="s">
        <v>18536</v>
      </c>
      <c r="K6035" s="2" t="s">
        <v>109</v>
      </c>
      <c r="L6035" s="2" t="s">
        <v>34</v>
      </c>
      <c r="M6035" s="2"/>
      <c r="N6035" s="2"/>
      <c r="O6035" s="2"/>
      <c r="P6035" s="2" t="s">
        <v>18537</v>
      </c>
      <c r="Q6035" s="6">
        <v>100</v>
      </c>
      <c r="R6035" s="6">
        <v>3.13</v>
      </c>
      <c r="S6035" s="5">
        <v>244.5</v>
      </c>
      <c r="T6035" s="5">
        <v>268.2</v>
      </c>
      <c r="U6035" s="5">
        <v>4.5</v>
      </c>
      <c r="V6035" s="6">
        <v>9.92</v>
      </c>
      <c r="W6035" s="6">
        <v>6.73</v>
      </c>
      <c r="X6035" s="6">
        <v>6.45</v>
      </c>
      <c r="Y6035" s="6">
        <v>5.79</v>
      </c>
      <c r="Z6035" s="6">
        <v>5.77</v>
      </c>
      <c r="AA6035" s="6">
        <v>21.35</v>
      </c>
      <c r="AB6035" s="7">
        <v>0.54200000000000004</v>
      </c>
      <c r="AC6035" s="2"/>
    </row>
    <row r="6036" spans="1:29" ht="91" x14ac:dyDescent="0.15">
      <c r="A6036" s="3">
        <f>DATE(2001,3,5)</f>
        <v>36955</v>
      </c>
      <c r="B6036" s="3">
        <f>DATE(2001,7,14)</f>
        <v>37086</v>
      </c>
      <c r="C6036" s="2" t="s">
        <v>95</v>
      </c>
      <c r="D6036" s="2" t="s">
        <v>18538</v>
      </c>
      <c r="E6036" s="2" t="s">
        <v>36</v>
      </c>
      <c r="F6036" s="4">
        <v>6021</v>
      </c>
      <c r="G6036" s="2" t="s">
        <v>37</v>
      </c>
      <c r="H6036" s="2" t="s">
        <v>34</v>
      </c>
      <c r="I6036" s="2" t="s">
        <v>18539</v>
      </c>
      <c r="J6036" s="2" t="s">
        <v>36</v>
      </c>
      <c r="K6036" s="2" t="s">
        <v>37</v>
      </c>
      <c r="L6036" s="2" t="s">
        <v>34</v>
      </c>
      <c r="M6036" s="2"/>
      <c r="N6036" s="2"/>
      <c r="O6036" s="2"/>
      <c r="P6036" s="2" t="s">
        <v>18540</v>
      </c>
      <c r="Q6036" s="6">
        <v>100</v>
      </c>
      <c r="R6036" s="6">
        <v>72.5</v>
      </c>
      <c r="S6036" s="5">
        <v>11.5</v>
      </c>
      <c r="T6036" s="7">
        <v>18.745999999999999</v>
      </c>
      <c r="U6036" s="5">
        <v>31.6</v>
      </c>
      <c r="V6036" s="6">
        <v>3.79</v>
      </c>
      <c r="W6036" s="5">
        <v>66.5</v>
      </c>
      <c r="X6036" s="7">
        <v>69.625</v>
      </c>
      <c r="Y6036" s="7">
        <v>69.625</v>
      </c>
      <c r="Z6036" s="7">
        <v>69.625</v>
      </c>
      <c r="AA6036" s="6">
        <v>3.03</v>
      </c>
      <c r="AB6036" s="7">
        <v>20.402999999999999</v>
      </c>
      <c r="AC6036" s="2"/>
    </row>
    <row r="6037" spans="1:29" ht="78" x14ac:dyDescent="0.15">
      <c r="A6037" s="3">
        <f>DATE(2001,3,5)</f>
        <v>36955</v>
      </c>
      <c r="B6037" s="3">
        <f>DATE(2001,5,21)</f>
        <v>37032</v>
      </c>
      <c r="C6037" s="2" t="s">
        <v>95</v>
      </c>
      <c r="D6037" s="2" t="s">
        <v>18541</v>
      </c>
      <c r="E6037" s="2" t="s">
        <v>5087</v>
      </c>
      <c r="F6037" s="4">
        <v>3841</v>
      </c>
      <c r="G6037" s="2" t="s">
        <v>226</v>
      </c>
      <c r="H6037" s="2" t="s">
        <v>34</v>
      </c>
      <c r="I6037" s="2" t="s">
        <v>18542</v>
      </c>
      <c r="J6037" s="2" t="s">
        <v>18543</v>
      </c>
      <c r="K6037" s="2" t="s">
        <v>593</v>
      </c>
      <c r="L6037" s="2" t="s">
        <v>34</v>
      </c>
      <c r="M6037" s="2"/>
      <c r="N6037" s="2"/>
      <c r="O6037" s="2"/>
      <c r="P6037" s="2" t="s">
        <v>18544</v>
      </c>
      <c r="Q6037" s="6">
        <v>100</v>
      </c>
      <c r="R6037" s="6">
        <v>8.92</v>
      </c>
      <c r="S6037" s="5">
        <v>1.3</v>
      </c>
      <c r="T6037" s="5">
        <v>6.8</v>
      </c>
      <c r="U6037" s="5">
        <v>3.2</v>
      </c>
      <c r="V6037" s="6">
        <v>0.28999999999999998</v>
      </c>
      <c r="W6037" s="7">
        <v>4.875</v>
      </c>
      <c r="X6037" s="7">
        <v>5.375</v>
      </c>
      <c r="Y6037" s="7">
        <v>8.375</v>
      </c>
      <c r="Z6037" s="7">
        <v>8.4060000000000006</v>
      </c>
      <c r="AA6037" s="6">
        <v>4.1500000000000004</v>
      </c>
      <c r="AB6037" s="7">
        <v>18.63</v>
      </c>
      <c r="AC6037" s="2"/>
    </row>
    <row r="6038" spans="1:29" ht="104" x14ac:dyDescent="0.15">
      <c r="A6038" s="3">
        <f>DATE(2001,3,5)</f>
        <v>36955</v>
      </c>
      <c r="B6038" s="3">
        <f>DATE(2001,7,2)</f>
        <v>37074</v>
      </c>
      <c r="C6038" s="2" t="s">
        <v>95</v>
      </c>
      <c r="D6038" s="2" t="s">
        <v>18545</v>
      </c>
      <c r="E6038" s="2" t="s">
        <v>36</v>
      </c>
      <c r="F6038" s="4">
        <v>6021</v>
      </c>
      <c r="G6038" s="2" t="s">
        <v>37</v>
      </c>
      <c r="H6038" s="2" t="s">
        <v>34</v>
      </c>
      <c r="I6038" s="2" t="s">
        <v>8755</v>
      </c>
      <c r="J6038" s="2" t="s">
        <v>2337</v>
      </c>
      <c r="K6038" s="2" t="s">
        <v>37</v>
      </c>
      <c r="L6038" s="2" t="s">
        <v>34</v>
      </c>
      <c r="M6038" s="12">
        <v>2160.9209999999998</v>
      </c>
      <c r="N6038" s="4">
        <v>45</v>
      </c>
      <c r="O6038" s="4">
        <v>45</v>
      </c>
      <c r="P6038" s="2" t="s">
        <v>18546</v>
      </c>
      <c r="Q6038" s="6">
        <v>100</v>
      </c>
      <c r="R6038" s="6">
        <v>23.51</v>
      </c>
      <c r="S6038" s="5">
        <v>6</v>
      </c>
      <c r="T6038" s="5">
        <v>9.9</v>
      </c>
      <c r="U6038" s="5">
        <v>12.1</v>
      </c>
      <c r="V6038" s="6">
        <v>1.3</v>
      </c>
      <c r="W6038" s="6">
        <v>14.75</v>
      </c>
      <c r="X6038" s="7">
        <v>14.875</v>
      </c>
      <c r="Y6038" s="6">
        <v>22.75</v>
      </c>
      <c r="Z6038" s="7">
        <v>22.812999999999999</v>
      </c>
      <c r="AA6038" s="6">
        <v>4.5599999999999996</v>
      </c>
      <c r="AB6038" s="7">
        <v>65.709999999999994</v>
      </c>
      <c r="AC6038" s="5">
        <v>513.4</v>
      </c>
    </row>
    <row r="6039" spans="1:29" ht="182" x14ac:dyDescent="0.15">
      <c r="A6039" s="3">
        <f>DATE(2001,3,5)</f>
        <v>36955</v>
      </c>
      <c r="B6039" s="2"/>
      <c r="C6039" s="2" t="s">
        <v>30</v>
      </c>
      <c r="D6039" s="2" t="s">
        <v>1045</v>
      </c>
      <c r="E6039" s="2" t="s">
        <v>18547</v>
      </c>
      <c r="F6039" s="4">
        <v>3674</v>
      </c>
      <c r="G6039" s="2" t="s">
        <v>137</v>
      </c>
      <c r="H6039" s="2" t="s">
        <v>34</v>
      </c>
      <c r="I6039" s="2" t="s">
        <v>8179</v>
      </c>
      <c r="J6039" s="2" t="s">
        <v>207</v>
      </c>
      <c r="K6039" s="2" t="s">
        <v>137</v>
      </c>
      <c r="L6039" s="2" t="s">
        <v>34</v>
      </c>
      <c r="M6039" s="12">
        <v>2374.5129999999999</v>
      </c>
      <c r="N6039" s="4">
        <v>20</v>
      </c>
      <c r="O6039" s="6">
        <v>21.75</v>
      </c>
      <c r="P6039" s="2" t="s">
        <v>18548</v>
      </c>
      <c r="Q6039" s="2"/>
      <c r="R6039" s="6">
        <v>38.72</v>
      </c>
      <c r="S6039" s="5">
        <v>91</v>
      </c>
      <c r="T6039" s="5">
        <v>153.5</v>
      </c>
      <c r="U6039" s="5">
        <v>11.2</v>
      </c>
      <c r="V6039" s="6">
        <v>3.04</v>
      </c>
      <c r="W6039" s="7">
        <v>31.359000000000002</v>
      </c>
      <c r="X6039" s="7">
        <v>31.187999999999999</v>
      </c>
      <c r="Y6039" s="5">
        <v>31.5</v>
      </c>
      <c r="Z6039" s="7">
        <v>31.625</v>
      </c>
      <c r="AA6039" s="6">
        <v>29.88</v>
      </c>
      <c r="AB6039" s="7">
        <v>8.9920000000000009</v>
      </c>
      <c r="AC6039" s="5">
        <v>382.2</v>
      </c>
    </row>
    <row r="6040" spans="1:29" ht="65" x14ac:dyDescent="0.15">
      <c r="A6040" s="3">
        <f>DATE(2001,3,6)</f>
        <v>36956</v>
      </c>
      <c r="B6040" s="2"/>
      <c r="C6040" s="2" t="s">
        <v>30</v>
      </c>
      <c r="D6040" s="2" t="s">
        <v>18549</v>
      </c>
      <c r="E6040" s="2" t="s">
        <v>4679</v>
      </c>
      <c r="F6040" s="4">
        <v>7372</v>
      </c>
      <c r="G6040" s="2" t="s">
        <v>551</v>
      </c>
      <c r="H6040" s="2" t="s">
        <v>34</v>
      </c>
      <c r="I6040" s="2" t="s">
        <v>18550</v>
      </c>
      <c r="J6040" s="2" t="s">
        <v>18551</v>
      </c>
      <c r="K6040" s="2" t="s">
        <v>50</v>
      </c>
      <c r="L6040" s="2" t="s">
        <v>34</v>
      </c>
      <c r="M6040" s="12">
        <v>12461.904</v>
      </c>
      <c r="N6040" s="7">
        <v>19.375</v>
      </c>
      <c r="O6040" s="7">
        <v>22.062999999999999</v>
      </c>
      <c r="P6040" s="2" t="s">
        <v>18552</v>
      </c>
      <c r="Q6040" s="2"/>
      <c r="R6040" s="6">
        <v>22</v>
      </c>
      <c r="S6040" s="5">
        <v>-4.5999999999999996</v>
      </c>
      <c r="T6040" s="7">
        <v>-3.1629999999999998</v>
      </c>
      <c r="U6040" s="5">
        <v>3.5</v>
      </c>
      <c r="V6040" s="6">
        <v>-0.43</v>
      </c>
      <c r="W6040" s="7">
        <v>15.125</v>
      </c>
      <c r="X6040" s="7">
        <v>19.625</v>
      </c>
      <c r="Y6040" s="7">
        <v>23.125</v>
      </c>
      <c r="Z6040" s="11">
        <v>23.609375</v>
      </c>
      <c r="AA6040" s="6">
        <v>10.7</v>
      </c>
      <c r="AB6040" s="2" t="s">
        <v>86</v>
      </c>
      <c r="AC6040" s="5">
        <v>595.9</v>
      </c>
    </row>
    <row r="6041" spans="1:29" ht="52" x14ac:dyDescent="0.15">
      <c r="A6041" s="3">
        <f>DATE(2001,3,6)</f>
        <v>36956</v>
      </c>
      <c r="B6041" s="2"/>
      <c r="C6041" s="2" t="s">
        <v>7330</v>
      </c>
      <c r="D6041" s="2" t="s">
        <v>397</v>
      </c>
      <c r="E6041" s="2" t="s">
        <v>398</v>
      </c>
      <c r="F6041" s="4">
        <v>7812</v>
      </c>
      <c r="G6041" s="2" t="s">
        <v>42</v>
      </c>
      <c r="H6041" s="2" t="s">
        <v>34</v>
      </c>
      <c r="I6041" s="2" t="s">
        <v>18553</v>
      </c>
      <c r="J6041" s="2" t="s">
        <v>398</v>
      </c>
      <c r="K6041" s="2" t="s">
        <v>42</v>
      </c>
      <c r="L6041" s="2" t="s">
        <v>34</v>
      </c>
      <c r="M6041" s="2"/>
      <c r="N6041" s="2"/>
      <c r="O6041" s="2"/>
      <c r="P6041" s="2" t="s">
        <v>18554</v>
      </c>
      <c r="Q6041" s="2"/>
      <c r="R6041" s="2"/>
      <c r="S6041" s="5">
        <v>-0.9</v>
      </c>
      <c r="T6041" s="7">
        <v>9.9000000000000005E-2</v>
      </c>
      <c r="U6041" s="5">
        <v>0.9</v>
      </c>
      <c r="V6041" s="7">
        <v>-0.34499999999999997</v>
      </c>
      <c r="W6041" s="7">
        <v>12.625</v>
      </c>
      <c r="X6041" s="5">
        <v>12.5</v>
      </c>
      <c r="Y6041" s="7">
        <v>13.875</v>
      </c>
      <c r="Z6041" s="9">
        <v>13.4375</v>
      </c>
      <c r="AA6041" s="6">
        <v>1.36</v>
      </c>
      <c r="AB6041" s="2" t="s">
        <v>86</v>
      </c>
      <c r="AC6041" s="2"/>
    </row>
    <row r="6042" spans="1:29" ht="208" x14ac:dyDescent="0.15">
      <c r="A6042" s="3">
        <f>DATE(2001,3,7)</f>
        <v>36957</v>
      </c>
      <c r="B6042" s="2"/>
      <c r="C6042" s="2" t="s">
        <v>30</v>
      </c>
      <c r="D6042" s="2" t="s">
        <v>6192</v>
      </c>
      <c r="E6042" s="2" t="s">
        <v>177</v>
      </c>
      <c r="F6042" s="4">
        <v>1311</v>
      </c>
      <c r="G6042" s="2" t="s">
        <v>148</v>
      </c>
      <c r="H6042" s="2" t="s">
        <v>34</v>
      </c>
      <c r="I6042" s="2" t="s">
        <v>10568</v>
      </c>
      <c r="J6042" s="2" t="s">
        <v>10569</v>
      </c>
      <c r="K6042" s="2" t="s">
        <v>148</v>
      </c>
      <c r="L6042" s="2" t="s">
        <v>34</v>
      </c>
      <c r="M6042" s="2"/>
      <c r="N6042" s="2"/>
      <c r="O6042" s="2"/>
      <c r="P6042" s="2" t="s">
        <v>18555</v>
      </c>
      <c r="Q6042" s="2"/>
      <c r="R6042" s="6">
        <v>60</v>
      </c>
      <c r="S6042" s="5">
        <v>76.900000000000006</v>
      </c>
      <c r="T6042" s="5">
        <v>443.2</v>
      </c>
      <c r="U6042" s="5">
        <v>12</v>
      </c>
      <c r="V6042" s="6">
        <v>2.2599999999999998</v>
      </c>
      <c r="W6042" s="6">
        <v>44.25</v>
      </c>
      <c r="X6042" s="6">
        <v>45.62</v>
      </c>
      <c r="Y6042" s="6">
        <v>61.11</v>
      </c>
      <c r="Z6042" s="6">
        <v>61.22</v>
      </c>
      <c r="AA6042" s="6">
        <v>33.06</v>
      </c>
      <c r="AB6042" s="7">
        <v>9.7279999999999998</v>
      </c>
      <c r="AC6042" s="2"/>
    </row>
    <row r="6043" spans="1:29" ht="104" x14ac:dyDescent="0.15">
      <c r="A6043" s="3">
        <f>DATE(2001,3,7)</f>
        <v>36957</v>
      </c>
      <c r="B6043" s="3">
        <f>DATE(2001,12,21)</f>
        <v>37246</v>
      </c>
      <c r="C6043" s="2" t="s">
        <v>95</v>
      </c>
      <c r="D6043" s="2" t="s">
        <v>18556</v>
      </c>
      <c r="E6043" s="2" t="s">
        <v>18557</v>
      </c>
      <c r="F6043" s="4">
        <v>7372</v>
      </c>
      <c r="G6043" s="2" t="s">
        <v>551</v>
      </c>
      <c r="H6043" s="2" t="s">
        <v>34</v>
      </c>
      <c r="I6043" s="2" t="s">
        <v>18558</v>
      </c>
      <c r="J6043" s="2" t="s">
        <v>1072</v>
      </c>
      <c r="K6043" s="2" t="s">
        <v>53</v>
      </c>
      <c r="L6043" s="2" t="s">
        <v>34</v>
      </c>
      <c r="M6043" s="2"/>
      <c r="N6043" s="2"/>
      <c r="O6043" s="2"/>
      <c r="P6043" s="2" t="s">
        <v>18559</v>
      </c>
      <c r="Q6043" s="6">
        <v>75.650000000000006</v>
      </c>
      <c r="R6043" s="6">
        <v>6.4</v>
      </c>
      <c r="S6043" s="5">
        <v>-1</v>
      </c>
      <c r="T6043" s="5">
        <v>-0.1</v>
      </c>
      <c r="U6043" s="5">
        <v>4.5</v>
      </c>
      <c r="V6043" s="6">
        <v>-0.19</v>
      </c>
      <c r="W6043" s="6">
        <v>4.25</v>
      </c>
      <c r="X6043" s="5">
        <v>4.5</v>
      </c>
      <c r="Y6043" s="6">
        <v>5.75</v>
      </c>
      <c r="Z6043" s="4">
        <v>5</v>
      </c>
      <c r="AA6043" s="6">
        <v>4.62</v>
      </c>
      <c r="AB6043" s="2" t="s">
        <v>86</v>
      </c>
      <c r="AC6043" s="2"/>
    </row>
    <row r="6044" spans="1:29" ht="78" x14ac:dyDescent="0.15">
      <c r="A6044" s="3">
        <f>DATE(2001,3,9)</f>
        <v>36959</v>
      </c>
      <c r="B6044" s="3">
        <f>DATE(2001,5,11)</f>
        <v>37022</v>
      </c>
      <c r="C6044" s="2" t="s">
        <v>95</v>
      </c>
      <c r="D6044" s="2" t="s">
        <v>18560</v>
      </c>
      <c r="E6044" s="2" t="s">
        <v>18561</v>
      </c>
      <c r="F6044" s="4">
        <v>3829</v>
      </c>
      <c r="G6044" s="2" t="s">
        <v>226</v>
      </c>
      <c r="H6044" s="2" t="s">
        <v>34</v>
      </c>
      <c r="I6044" s="2" t="s">
        <v>18562</v>
      </c>
      <c r="J6044" s="2" t="s">
        <v>18563</v>
      </c>
      <c r="K6044" s="2" t="s">
        <v>137</v>
      </c>
      <c r="L6044" s="2" t="s">
        <v>303</v>
      </c>
      <c r="M6044" s="2"/>
      <c r="N6044" s="2"/>
      <c r="O6044" s="2"/>
      <c r="P6044" s="2" t="s">
        <v>18564</v>
      </c>
      <c r="Q6044" s="6">
        <v>100</v>
      </c>
      <c r="R6044" s="6">
        <v>11.05</v>
      </c>
      <c r="S6044" s="5">
        <v>4.5999999999999996</v>
      </c>
      <c r="T6044" s="7">
        <v>6.0910000000000002</v>
      </c>
      <c r="U6044" s="5">
        <v>6.9</v>
      </c>
      <c r="V6044" s="6">
        <v>0.63</v>
      </c>
      <c r="W6044" s="7">
        <v>9.4689999999999994</v>
      </c>
      <c r="X6044" s="4">
        <v>10</v>
      </c>
      <c r="Y6044" s="7">
        <v>10.813000000000001</v>
      </c>
      <c r="Z6044" s="6">
        <v>10.75</v>
      </c>
      <c r="AA6044" s="6">
        <v>6.88</v>
      </c>
      <c r="AB6044" s="7">
        <v>10.170999999999999</v>
      </c>
      <c r="AC6044" s="6">
        <v>72.39</v>
      </c>
    </row>
    <row r="6045" spans="1:29" ht="65" x14ac:dyDescent="0.15">
      <c r="A6045" s="3">
        <f>DATE(2001,3,9)</f>
        <v>36959</v>
      </c>
      <c r="B6045" s="2"/>
      <c r="C6045" s="2" t="s">
        <v>87</v>
      </c>
      <c r="D6045" s="2" t="s">
        <v>8351</v>
      </c>
      <c r="E6045" s="2" t="s">
        <v>5676</v>
      </c>
      <c r="F6045" s="4">
        <v>4911</v>
      </c>
      <c r="G6045" s="2" t="s">
        <v>439</v>
      </c>
      <c r="H6045" s="2" t="s">
        <v>34</v>
      </c>
      <c r="I6045" s="2" t="s">
        <v>18565</v>
      </c>
      <c r="J6045" s="2" t="s">
        <v>18566</v>
      </c>
      <c r="K6045" s="2" t="s">
        <v>439</v>
      </c>
      <c r="L6045" s="2" t="s">
        <v>34</v>
      </c>
      <c r="M6045" s="10">
        <v>9444.61</v>
      </c>
      <c r="N6045" s="6">
        <v>41.61</v>
      </c>
      <c r="O6045" s="6">
        <v>42.35</v>
      </c>
      <c r="P6045" s="2" t="s">
        <v>18567</v>
      </c>
      <c r="Q6045" s="2"/>
      <c r="R6045" s="2"/>
      <c r="S6045" s="5">
        <v>404.1</v>
      </c>
      <c r="T6045" s="12">
        <v>1205.577</v>
      </c>
      <c r="U6045" s="5">
        <v>17.5</v>
      </c>
      <c r="V6045" s="6">
        <v>2.5</v>
      </c>
      <c r="W6045" s="6">
        <v>33.450000000000003</v>
      </c>
      <c r="X6045" s="6">
        <v>35.15</v>
      </c>
      <c r="Y6045" s="6">
        <v>34.479999999999997</v>
      </c>
      <c r="Z6045" s="6">
        <v>33.61</v>
      </c>
      <c r="AA6045" s="6">
        <v>158.97</v>
      </c>
      <c r="AB6045" s="2" t="s">
        <v>47</v>
      </c>
      <c r="AC6045" s="5">
        <v>102</v>
      </c>
    </row>
    <row r="6046" spans="1:29" ht="221" x14ac:dyDescent="0.15">
      <c r="A6046" s="3">
        <f>DATE(2001,3,12)</f>
        <v>36962</v>
      </c>
      <c r="B6046" s="2"/>
      <c r="C6046" s="2" t="s">
        <v>30</v>
      </c>
      <c r="D6046" s="2" t="s">
        <v>514</v>
      </c>
      <c r="E6046" s="2" t="s">
        <v>515</v>
      </c>
      <c r="F6046" s="4">
        <v>6311</v>
      </c>
      <c r="G6046" s="2" t="s">
        <v>125</v>
      </c>
      <c r="H6046" s="2" t="s">
        <v>34</v>
      </c>
      <c r="I6046" s="2" t="s">
        <v>18568</v>
      </c>
      <c r="J6046" s="2" t="s">
        <v>854</v>
      </c>
      <c r="K6046" s="2" t="s">
        <v>125</v>
      </c>
      <c r="L6046" s="2" t="s">
        <v>303</v>
      </c>
      <c r="M6046" s="2"/>
      <c r="N6046" s="2"/>
      <c r="O6046" s="2"/>
      <c r="P6046" s="2" t="s">
        <v>18569</v>
      </c>
      <c r="Q6046" s="2"/>
      <c r="R6046" s="6">
        <v>48.13</v>
      </c>
      <c r="S6046" s="8">
        <v>1106</v>
      </c>
      <c r="T6046" s="2"/>
      <c r="U6046" s="5">
        <v>16.2</v>
      </c>
      <c r="V6046" s="6">
        <v>1.98</v>
      </c>
      <c r="W6046" s="6">
        <v>39.01</v>
      </c>
      <c r="X6046" s="6">
        <v>38.25</v>
      </c>
      <c r="Y6046" s="5">
        <v>38.799999999999997</v>
      </c>
      <c r="Z6046" s="5">
        <v>39.299999999999997</v>
      </c>
      <c r="AA6046" s="6">
        <v>499.6</v>
      </c>
      <c r="AB6046" s="7">
        <v>14.006</v>
      </c>
      <c r="AC6046" s="10">
        <v>2092.77</v>
      </c>
    </row>
    <row r="6047" spans="1:29" ht="117" x14ac:dyDescent="0.15">
      <c r="A6047" s="3">
        <f>DATE(2001,3,12)</f>
        <v>36962</v>
      </c>
      <c r="B6047" s="3">
        <f>DATE(2001,7,10)</f>
        <v>37082</v>
      </c>
      <c r="C6047" s="2" t="s">
        <v>95</v>
      </c>
      <c r="D6047" s="2" t="s">
        <v>18570</v>
      </c>
      <c r="E6047" s="2" t="s">
        <v>5102</v>
      </c>
      <c r="F6047" s="4">
        <v>7373</v>
      </c>
      <c r="G6047" s="2" t="s">
        <v>223</v>
      </c>
      <c r="H6047" s="2" t="s">
        <v>34</v>
      </c>
      <c r="I6047" s="2" t="s">
        <v>549</v>
      </c>
      <c r="J6047" s="2" t="s">
        <v>550</v>
      </c>
      <c r="K6047" s="2" t="s">
        <v>551</v>
      </c>
      <c r="L6047" s="2" t="s">
        <v>34</v>
      </c>
      <c r="M6047" s="12">
        <v>2625.6610000000001</v>
      </c>
      <c r="N6047" s="7">
        <v>5.8129999999999997</v>
      </c>
      <c r="O6047" s="7">
        <v>5.5309999999999997</v>
      </c>
      <c r="P6047" s="2" t="s">
        <v>18571</v>
      </c>
      <c r="Q6047" s="6">
        <v>100</v>
      </c>
      <c r="R6047" s="6">
        <v>4.05</v>
      </c>
      <c r="S6047" s="5">
        <v>-62.5</v>
      </c>
      <c r="T6047" s="5">
        <v>-61.2</v>
      </c>
      <c r="U6047" s="5">
        <v>3.5</v>
      </c>
      <c r="V6047" s="6">
        <v>-1</v>
      </c>
      <c r="W6047" s="7">
        <v>2.9689999999999999</v>
      </c>
      <c r="X6047" s="7">
        <v>3.3130000000000002</v>
      </c>
      <c r="Y6047" s="7">
        <v>3.0939999999999999</v>
      </c>
      <c r="Z6047" s="7">
        <v>3.4689999999999999</v>
      </c>
      <c r="AA6047" s="6">
        <v>63.1</v>
      </c>
      <c r="AB6047" s="2" t="s">
        <v>86</v>
      </c>
      <c r="AC6047" s="5">
        <v>698.2</v>
      </c>
    </row>
    <row r="6048" spans="1:29" ht="156" x14ac:dyDescent="0.15">
      <c r="A6048" s="3">
        <f>DATE(2001,3,12)</f>
        <v>36962</v>
      </c>
      <c r="B6048" s="3">
        <f>DATE(2001,5,24)</f>
        <v>37035</v>
      </c>
      <c r="C6048" s="2" t="s">
        <v>95</v>
      </c>
      <c r="D6048" s="2" t="s">
        <v>9898</v>
      </c>
      <c r="E6048" s="2" t="s">
        <v>9899</v>
      </c>
      <c r="F6048" s="4">
        <v>3561</v>
      </c>
      <c r="G6048" s="2" t="s">
        <v>300</v>
      </c>
      <c r="H6048" s="2" t="s">
        <v>34</v>
      </c>
      <c r="I6048" s="2" t="s">
        <v>11511</v>
      </c>
      <c r="J6048" s="2" t="s">
        <v>11512</v>
      </c>
      <c r="K6048" s="2" t="s">
        <v>300</v>
      </c>
      <c r="L6048" s="2" t="s">
        <v>34</v>
      </c>
      <c r="M6048" s="12">
        <v>3002.1179999999999</v>
      </c>
      <c r="N6048" s="6">
        <v>95.52</v>
      </c>
      <c r="O6048" s="6">
        <v>95.87</v>
      </c>
      <c r="P6048" s="2" t="s">
        <v>18572</v>
      </c>
      <c r="Q6048" s="6">
        <v>100</v>
      </c>
      <c r="R6048" s="6">
        <v>24.38</v>
      </c>
      <c r="S6048" s="5">
        <v>56.6</v>
      </c>
      <c r="T6048" s="5">
        <v>284</v>
      </c>
      <c r="U6048" s="5">
        <v>23.6</v>
      </c>
      <c r="V6048" s="6">
        <v>1.45</v>
      </c>
      <c r="W6048" s="6">
        <v>16.61</v>
      </c>
      <c r="X6048" s="6">
        <v>18.04</v>
      </c>
      <c r="Y6048" s="6">
        <v>18.149999999999999</v>
      </c>
      <c r="Z6048" s="6">
        <v>19.43</v>
      </c>
      <c r="AA6048" s="6">
        <v>39.119999999999997</v>
      </c>
      <c r="AB6048" s="7">
        <v>8.2690000000000001</v>
      </c>
      <c r="AC6048" s="5">
        <v>73.7</v>
      </c>
    </row>
    <row r="6049" spans="1:29" ht="143" x14ac:dyDescent="0.15">
      <c r="A6049" s="3">
        <f>DATE(2001,3,13)</f>
        <v>36963</v>
      </c>
      <c r="B6049" s="3">
        <f>DATE(2001,6,1)</f>
        <v>37043</v>
      </c>
      <c r="C6049" s="2" t="s">
        <v>95</v>
      </c>
      <c r="D6049" s="2" t="s">
        <v>18573</v>
      </c>
      <c r="E6049" s="2" t="s">
        <v>18574</v>
      </c>
      <c r="F6049" s="4">
        <v>6153</v>
      </c>
      <c r="G6049" s="2" t="s">
        <v>370</v>
      </c>
      <c r="H6049" s="2" t="s">
        <v>34</v>
      </c>
      <c r="I6049" s="2" t="s">
        <v>9732</v>
      </c>
      <c r="J6049" s="2" t="s">
        <v>9733</v>
      </c>
      <c r="K6049" s="2" t="s">
        <v>300</v>
      </c>
      <c r="L6049" s="2" t="s">
        <v>1791</v>
      </c>
      <c r="M6049" s="2"/>
      <c r="N6049" s="6">
        <v>46.83</v>
      </c>
      <c r="O6049" s="6">
        <v>45.38</v>
      </c>
      <c r="P6049" s="2" t="s">
        <v>18575</v>
      </c>
      <c r="Q6049" s="6">
        <v>100</v>
      </c>
      <c r="R6049" s="6">
        <v>35.020000000000003</v>
      </c>
      <c r="S6049" s="5">
        <v>611.6</v>
      </c>
      <c r="T6049" s="8">
        <v>4911.1000000000004</v>
      </c>
      <c r="U6049" s="5">
        <v>24</v>
      </c>
      <c r="V6049" s="6">
        <v>2.33</v>
      </c>
      <c r="W6049" s="6">
        <v>23.72</v>
      </c>
      <c r="X6049" s="6">
        <v>22.75</v>
      </c>
      <c r="Y6049" s="6">
        <v>31.13</v>
      </c>
      <c r="Z6049" s="6">
        <v>30.05</v>
      </c>
      <c r="AA6049" s="6">
        <v>261.91000000000003</v>
      </c>
      <c r="AB6049" s="7">
        <v>13.154</v>
      </c>
      <c r="AC6049" s="8">
        <v>1480.7</v>
      </c>
    </row>
    <row r="6050" spans="1:29" ht="78" x14ac:dyDescent="0.15">
      <c r="A6050" s="3">
        <f>DATE(2001,3,13)</f>
        <v>36963</v>
      </c>
      <c r="B6050" s="3">
        <f>DATE(2001,8,9)</f>
        <v>37112</v>
      </c>
      <c r="C6050" s="2" t="s">
        <v>95</v>
      </c>
      <c r="D6050" s="2" t="s">
        <v>18576</v>
      </c>
      <c r="E6050" s="2" t="s">
        <v>6348</v>
      </c>
      <c r="F6050" s="4">
        <v>7374</v>
      </c>
      <c r="G6050" s="2" t="s">
        <v>223</v>
      </c>
      <c r="H6050" s="2" t="s">
        <v>34</v>
      </c>
      <c r="I6050" s="2" t="s">
        <v>18577</v>
      </c>
      <c r="J6050" s="2" t="s">
        <v>849</v>
      </c>
      <c r="K6050" s="2" t="s">
        <v>551</v>
      </c>
      <c r="L6050" s="2" t="s">
        <v>34</v>
      </c>
      <c r="M6050" s="7">
        <v>31.802</v>
      </c>
      <c r="N6050" s="7">
        <v>0.875</v>
      </c>
      <c r="O6050" s="7">
        <v>0.875</v>
      </c>
      <c r="P6050" s="2" t="s">
        <v>18578</v>
      </c>
      <c r="Q6050" s="6">
        <v>100</v>
      </c>
      <c r="R6050" s="2"/>
      <c r="S6050" s="5">
        <v>-17</v>
      </c>
      <c r="T6050" s="5">
        <v>-8.1999999999999993</v>
      </c>
      <c r="U6050" s="5">
        <v>5.7</v>
      </c>
      <c r="V6050" s="6">
        <v>-3.14</v>
      </c>
      <c r="W6050" s="6">
        <v>1.75</v>
      </c>
      <c r="X6050" s="7">
        <v>1.5629999999999999</v>
      </c>
      <c r="Y6050" s="6">
        <v>1.75</v>
      </c>
      <c r="Z6050" s="6">
        <v>1.75</v>
      </c>
      <c r="AA6050" s="6">
        <v>27.44</v>
      </c>
      <c r="AB6050" s="2" t="s">
        <v>86</v>
      </c>
      <c r="AC6050" s="5">
        <v>1.9</v>
      </c>
    </row>
    <row r="6051" spans="1:29" ht="104" x14ac:dyDescent="0.15">
      <c r="A6051" s="3">
        <f>DATE(2001,3,13)</f>
        <v>36963</v>
      </c>
      <c r="B6051" s="3">
        <f>DATE(2001,6,7)</f>
        <v>37049</v>
      </c>
      <c r="C6051" s="2" t="s">
        <v>95</v>
      </c>
      <c r="D6051" s="2" t="s">
        <v>18579</v>
      </c>
      <c r="E6051" s="2" t="s">
        <v>18580</v>
      </c>
      <c r="F6051" s="4">
        <v>8744</v>
      </c>
      <c r="G6051" s="2" t="s">
        <v>223</v>
      </c>
      <c r="H6051" s="2" t="s">
        <v>34</v>
      </c>
      <c r="I6051" s="2" t="s">
        <v>18581</v>
      </c>
      <c r="J6051" s="2" t="s">
        <v>18582</v>
      </c>
      <c r="K6051" s="2" t="s">
        <v>921</v>
      </c>
      <c r="L6051" s="2" t="s">
        <v>34</v>
      </c>
      <c r="M6051" s="7">
        <v>42.808999999999997</v>
      </c>
      <c r="N6051" s="6">
        <v>2.25</v>
      </c>
      <c r="O6051" s="7">
        <v>2.2189999999999999</v>
      </c>
      <c r="P6051" s="2" t="s">
        <v>18583</v>
      </c>
      <c r="Q6051" s="6">
        <v>100</v>
      </c>
      <c r="R6051" s="6">
        <v>1.32</v>
      </c>
      <c r="S6051" s="5">
        <v>-6.4</v>
      </c>
      <c r="T6051" s="5">
        <v>-6.1</v>
      </c>
      <c r="U6051" s="5">
        <v>1.1000000000000001</v>
      </c>
      <c r="V6051" s="6">
        <v>-0.79</v>
      </c>
      <c r="W6051" s="4">
        <v>2</v>
      </c>
      <c r="X6051" s="7">
        <v>1.8129999999999999</v>
      </c>
      <c r="Y6051" s="5">
        <v>1.5</v>
      </c>
      <c r="Z6051" s="7">
        <v>1.375</v>
      </c>
      <c r="AA6051" s="6">
        <v>8.07</v>
      </c>
      <c r="AB6051" s="2" t="s">
        <v>86</v>
      </c>
      <c r="AC6051" s="5">
        <v>19.899999999999999</v>
      </c>
    </row>
    <row r="6052" spans="1:29" ht="104" x14ac:dyDescent="0.15">
      <c r="A6052" s="3">
        <f>DATE(2001,3,13)</f>
        <v>36963</v>
      </c>
      <c r="B6052" s="3">
        <f>DATE(2001,6,4)</f>
        <v>37046</v>
      </c>
      <c r="C6052" s="2" t="s">
        <v>95</v>
      </c>
      <c r="D6052" s="2" t="s">
        <v>18584</v>
      </c>
      <c r="E6052" s="2" t="s">
        <v>18585</v>
      </c>
      <c r="F6052" s="4">
        <v>8748</v>
      </c>
      <c r="G6052" s="2" t="s">
        <v>223</v>
      </c>
      <c r="H6052" s="2" t="s">
        <v>34</v>
      </c>
      <c r="I6052" s="2" t="s">
        <v>51</v>
      </c>
      <c r="J6052" s="2" t="s">
        <v>52</v>
      </c>
      <c r="K6052" s="2" t="s">
        <v>53</v>
      </c>
      <c r="L6052" s="2" t="s">
        <v>34</v>
      </c>
      <c r="M6052" s="2"/>
      <c r="N6052" s="2"/>
      <c r="O6052" s="2"/>
      <c r="P6052" s="2" t="s">
        <v>18586</v>
      </c>
      <c r="Q6052" s="6">
        <v>100</v>
      </c>
      <c r="R6052" s="6">
        <v>5.0199999999999996</v>
      </c>
      <c r="S6052" s="5">
        <v>6.1</v>
      </c>
      <c r="T6052" s="5">
        <v>8.8000000000000007</v>
      </c>
      <c r="U6052" s="5">
        <v>5.7</v>
      </c>
      <c r="V6052" s="6">
        <v>0.6</v>
      </c>
      <c r="W6052" s="7">
        <v>4.375</v>
      </c>
      <c r="X6052" s="7">
        <v>4.6879999999999997</v>
      </c>
      <c r="Y6052" s="7">
        <v>4.7809999999999997</v>
      </c>
      <c r="Z6052" s="6">
        <v>4.75</v>
      </c>
      <c r="AA6052" s="6">
        <v>9.98</v>
      </c>
      <c r="AB6052" s="7">
        <v>12.667</v>
      </c>
      <c r="AC6052" s="2"/>
    </row>
    <row r="6053" spans="1:29" ht="65" x14ac:dyDescent="0.15">
      <c r="A6053" s="3">
        <f>DATE(2001,3,14)</f>
        <v>36964</v>
      </c>
      <c r="B6053" s="3">
        <f>DATE(2001,8,16)</f>
        <v>37119</v>
      </c>
      <c r="C6053" s="2" t="s">
        <v>95</v>
      </c>
      <c r="D6053" s="2" t="s">
        <v>1270</v>
      </c>
      <c r="E6053" s="2" t="s">
        <v>1271</v>
      </c>
      <c r="F6053" s="4">
        <v>3532</v>
      </c>
      <c r="G6053" s="2" t="s">
        <v>300</v>
      </c>
      <c r="H6053" s="2" t="s">
        <v>34</v>
      </c>
      <c r="I6053" s="2" t="s">
        <v>18587</v>
      </c>
      <c r="J6053" s="2" t="s">
        <v>18588</v>
      </c>
      <c r="K6053" s="2" t="s">
        <v>237</v>
      </c>
      <c r="L6053" s="2" t="s">
        <v>34</v>
      </c>
      <c r="M6053" s="2"/>
      <c r="N6053" s="2"/>
      <c r="O6053" s="2"/>
      <c r="P6053" s="2" t="s">
        <v>18589</v>
      </c>
      <c r="Q6053" s="6">
        <v>100</v>
      </c>
      <c r="R6053" s="6">
        <v>13.24</v>
      </c>
      <c r="S6053" s="5">
        <v>-2</v>
      </c>
      <c r="T6053" s="7">
        <v>2.4510000000000001</v>
      </c>
      <c r="U6053" s="5">
        <v>29.6</v>
      </c>
      <c r="V6053" s="6">
        <v>-2.15</v>
      </c>
      <c r="W6053" s="5">
        <v>12.5</v>
      </c>
      <c r="X6053" s="6">
        <v>10.75</v>
      </c>
      <c r="Y6053" s="6">
        <v>10.75</v>
      </c>
      <c r="Z6053" s="6">
        <v>10.75</v>
      </c>
      <c r="AA6053" s="6">
        <v>0.99</v>
      </c>
      <c r="AB6053" s="2" t="s">
        <v>86</v>
      </c>
      <c r="AC6053" s="2"/>
    </row>
    <row r="6054" spans="1:29" ht="117" x14ac:dyDescent="0.15">
      <c r="A6054" s="3">
        <f>DATE(2001,3,15)</f>
        <v>36965</v>
      </c>
      <c r="B6054" s="2"/>
      <c r="C6054" s="2" t="s">
        <v>30</v>
      </c>
      <c r="D6054" s="2" t="s">
        <v>7146</v>
      </c>
      <c r="E6054" s="2" t="s">
        <v>7147</v>
      </c>
      <c r="F6054" s="4">
        <v>5411</v>
      </c>
      <c r="G6054" s="2" t="s">
        <v>1461</v>
      </c>
      <c r="H6054" s="2" t="s">
        <v>34</v>
      </c>
      <c r="I6054" s="2" t="s">
        <v>18590</v>
      </c>
      <c r="J6054" s="2" t="s">
        <v>52</v>
      </c>
      <c r="K6054" s="2" t="s">
        <v>53</v>
      </c>
      <c r="L6054" s="2" t="s">
        <v>34</v>
      </c>
      <c r="M6054" s="2"/>
      <c r="N6054" s="2"/>
      <c r="O6054" s="2"/>
      <c r="P6054" s="2" t="s">
        <v>18591</v>
      </c>
      <c r="Q6054" s="2"/>
      <c r="R6054" s="6">
        <v>4.5</v>
      </c>
      <c r="S6054" s="5">
        <v>-29.5</v>
      </c>
      <c r="T6054" s="5">
        <v>5.3</v>
      </c>
      <c r="U6054" s="5">
        <v>-3.2</v>
      </c>
      <c r="V6054" s="6">
        <v>-5.96</v>
      </c>
      <c r="W6054" s="5">
        <v>2.6</v>
      </c>
      <c r="X6054" s="5">
        <v>2.5</v>
      </c>
      <c r="Y6054" s="5">
        <v>4.0999999999999996</v>
      </c>
      <c r="Z6054" s="5">
        <v>4.0999999999999996</v>
      </c>
      <c r="AA6054" s="6">
        <v>5</v>
      </c>
      <c r="AB6054" s="2" t="s">
        <v>86</v>
      </c>
      <c r="AC6054" s="2"/>
    </row>
    <row r="6055" spans="1:29" ht="143" x14ac:dyDescent="0.15">
      <c r="A6055" s="3">
        <f>DATE(2001,3,16)</f>
        <v>36966</v>
      </c>
      <c r="B6055" s="3">
        <f>DATE(2001,8,29)</f>
        <v>37132</v>
      </c>
      <c r="C6055" s="2" t="s">
        <v>95</v>
      </c>
      <c r="D6055" s="2" t="s">
        <v>3018</v>
      </c>
      <c r="E6055" s="2" t="s">
        <v>3019</v>
      </c>
      <c r="F6055" s="4">
        <v>5122</v>
      </c>
      <c r="G6055" s="2" t="s">
        <v>593</v>
      </c>
      <c r="H6055" s="2" t="s">
        <v>34</v>
      </c>
      <c r="I6055" s="2" t="s">
        <v>10547</v>
      </c>
      <c r="J6055" s="2" t="s">
        <v>10548</v>
      </c>
      <c r="K6055" s="2" t="s">
        <v>593</v>
      </c>
      <c r="L6055" s="2" t="s">
        <v>34</v>
      </c>
      <c r="M6055" s="12">
        <v>2878.1590000000001</v>
      </c>
      <c r="N6055" s="6">
        <v>48.48</v>
      </c>
      <c r="O6055" s="5">
        <v>45.2</v>
      </c>
      <c r="P6055" s="2" t="s">
        <v>18592</v>
      </c>
      <c r="Q6055" s="6">
        <v>100</v>
      </c>
      <c r="R6055" s="6">
        <v>17.940000000000001</v>
      </c>
      <c r="S6055" s="5">
        <v>-472.8</v>
      </c>
      <c r="T6055" s="5">
        <v>306.39999999999998</v>
      </c>
      <c r="U6055" s="5">
        <v>5.5</v>
      </c>
      <c r="V6055" s="6">
        <v>-3.62</v>
      </c>
      <c r="W6055" s="6">
        <v>17.45</v>
      </c>
      <c r="X6055" s="6">
        <v>16.350000000000001</v>
      </c>
      <c r="Y6055" s="6">
        <v>15.94</v>
      </c>
      <c r="Z6055" s="6">
        <v>15.87</v>
      </c>
      <c r="AA6055" s="6">
        <v>135.15</v>
      </c>
      <c r="AB6055" s="7">
        <v>16.065000000000001</v>
      </c>
      <c r="AC6055" s="5">
        <v>120.8</v>
      </c>
    </row>
    <row r="6056" spans="1:29" ht="78" x14ac:dyDescent="0.15">
      <c r="A6056" s="3">
        <f>DATE(2001,3,16)</f>
        <v>36966</v>
      </c>
      <c r="B6056" s="3">
        <f>DATE(2001,5,11)</f>
        <v>37022</v>
      </c>
      <c r="C6056" s="2" t="s">
        <v>95</v>
      </c>
      <c r="D6056" s="2" t="s">
        <v>18593</v>
      </c>
      <c r="E6056" s="2" t="s">
        <v>4880</v>
      </c>
      <c r="F6056" s="4">
        <v>4923</v>
      </c>
      <c r="G6056" s="2" t="s">
        <v>439</v>
      </c>
      <c r="H6056" s="2" t="s">
        <v>34</v>
      </c>
      <c r="I6056" s="2" t="s">
        <v>18594</v>
      </c>
      <c r="J6056" s="2" t="s">
        <v>18595</v>
      </c>
      <c r="K6056" s="2" t="s">
        <v>148</v>
      </c>
      <c r="L6056" s="2" t="s">
        <v>902</v>
      </c>
      <c r="M6056" s="2"/>
      <c r="N6056" s="2"/>
      <c r="O6056" s="2"/>
      <c r="P6056" s="2" t="s">
        <v>18596</v>
      </c>
      <c r="Q6056" s="6">
        <v>100</v>
      </c>
      <c r="R6056" s="6">
        <v>27</v>
      </c>
      <c r="S6056" s="5">
        <v>21.4</v>
      </c>
      <c r="T6056" s="7">
        <v>61.198999999999998</v>
      </c>
      <c r="U6056" s="5">
        <v>14.2</v>
      </c>
      <c r="V6056" s="6">
        <v>1.68</v>
      </c>
      <c r="W6056" s="6">
        <v>26.25</v>
      </c>
      <c r="X6056" s="5">
        <v>25.2</v>
      </c>
      <c r="Y6056" s="6">
        <v>26.42</v>
      </c>
      <c r="Z6056" s="6">
        <v>26.43</v>
      </c>
      <c r="AA6056" s="6">
        <v>12.49</v>
      </c>
      <c r="AB6056" s="7">
        <v>13.163</v>
      </c>
      <c r="AC6056" s="6">
        <v>44.7</v>
      </c>
    </row>
    <row r="6057" spans="1:29" ht="39" x14ac:dyDescent="0.15">
      <c r="A6057" s="3">
        <f>DATE(2001,3,19)</f>
        <v>36969</v>
      </c>
      <c r="B6057" s="2"/>
      <c r="C6057" s="2" t="s">
        <v>189</v>
      </c>
      <c r="D6057" s="2" t="s">
        <v>4056</v>
      </c>
      <c r="E6057" s="2" t="s">
        <v>4057</v>
      </c>
      <c r="F6057" s="4">
        <v>3679</v>
      </c>
      <c r="G6057" s="2" t="s">
        <v>137</v>
      </c>
      <c r="H6057" s="2" t="s">
        <v>34</v>
      </c>
      <c r="I6057" s="2" t="s">
        <v>143</v>
      </c>
      <c r="J6057" s="2" t="s">
        <v>144</v>
      </c>
      <c r="K6057" s="2" t="s">
        <v>53</v>
      </c>
      <c r="L6057" s="2" t="s">
        <v>139</v>
      </c>
      <c r="M6057" s="2"/>
      <c r="N6057" s="2"/>
      <c r="O6057" s="2"/>
      <c r="P6057" s="2" t="s">
        <v>18597</v>
      </c>
      <c r="Q6057" s="2"/>
      <c r="R6057" s="2"/>
      <c r="S6057" s="5">
        <v>1.7</v>
      </c>
      <c r="T6057" s="5">
        <v>9.8000000000000007</v>
      </c>
      <c r="U6057" s="5">
        <v>7.7</v>
      </c>
      <c r="V6057" s="6">
        <v>0.3</v>
      </c>
      <c r="W6057" s="5">
        <v>14.5</v>
      </c>
      <c r="X6057" s="4">
        <v>14</v>
      </c>
      <c r="Y6057" s="6">
        <v>12.75</v>
      </c>
      <c r="Z6057" s="6">
        <v>12.65</v>
      </c>
      <c r="AA6057" s="6">
        <v>5.65</v>
      </c>
      <c r="AB6057" s="2" t="s">
        <v>47</v>
      </c>
      <c r="AC6057" s="2"/>
    </row>
    <row r="6058" spans="1:29" ht="182" x14ac:dyDescent="0.15">
      <c r="A6058" s="3">
        <f>DATE(2001,3,19)</f>
        <v>36969</v>
      </c>
      <c r="B6058" s="3">
        <f>DATE(2001,6,22)</f>
        <v>37064</v>
      </c>
      <c r="C6058" s="2" t="s">
        <v>95</v>
      </c>
      <c r="D6058" s="2" t="s">
        <v>10957</v>
      </c>
      <c r="E6058" s="2" t="s">
        <v>10958</v>
      </c>
      <c r="F6058" s="4">
        <v>7311</v>
      </c>
      <c r="G6058" s="2" t="s">
        <v>4563</v>
      </c>
      <c r="H6058" s="2" t="s">
        <v>34</v>
      </c>
      <c r="I6058" s="2" t="s">
        <v>15983</v>
      </c>
      <c r="J6058" s="2" t="s">
        <v>15984</v>
      </c>
      <c r="K6058" s="2" t="s">
        <v>4563</v>
      </c>
      <c r="L6058" s="2" t="s">
        <v>34</v>
      </c>
      <c r="M6058" s="12">
        <v>12749.476000000001</v>
      </c>
      <c r="N6058" s="6">
        <v>34.17</v>
      </c>
      <c r="O6058" s="6">
        <v>34.21</v>
      </c>
      <c r="P6058" s="2" t="s">
        <v>18598</v>
      </c>
      <c r="Q6058" s="6">
        <v>100</v>
      </c>
      <c r="R6058" s="6">
        <v>40.24</v>
      </c>
      <c r="S6058" s="5">
        <v>61.6</v>
      </c>
      <c r="T6058" s="7">
        <v>267.29599999999999</v>
      </c>
      <c r="U6058" s="5">
        <v>8.1</v>
      </c>
      <c r="V6058" s="6">
        <v>1.21</v>
      </c>
      <c r="W6058" s="5">
        <v>39.299999999999997</v>
      </c>
      <c r="X6058" s="6">
        <v>37.520000000000003</v>
      </c>
      <c r="Y6058" s="5">
        <v>37.5</v>
      </c>
      <c r="Z6058" s="5">
        <v>37.4</v>
      </c>
      <c r="AA6058" s="6">
        <v>50.2</v>
      </c>
      <c r="AB6058" s="7">
        <v>10.747999999999999</v>
      </c>
      <c r="AC6058" s="5">
        <v>708.3</v>
      </c>
    </row>
    <row r="6059" spans="1:29" ht="130" x14ac:dyDescent="0.15">
      <c r="A6059" s="3">
        <f>DATE(2001,3,19)</f>
        <v>36969</v>
      </c>
      <c r="B6059" s="2"/>
      <c r="C6059" s="2" t="s">
        <v>7330</v>
      </c>
      <c r="D6059" s="2" t="s">
        <v>18599</v>
      </c>
      <c r="E6059" s="2" t="s">
        <v>18600</v>
      </c>
      <c r="F6059" s="4">
        <v>3995</v>
      </c>
      <c r="G6059" s="2" t="s">
        <v>112</v>
      </c>
      <c r="H6059" s="2" t="s">
        <v>34</v>
      </c>
      <c r="I6059" s="2" t="s">
        <v>18601</v>
      </c>
      <c r="J6059" s="2" t="s">
        <v>7424</v>
      </c>
      <c r="K6059" s="2" t="s">
        <v>1517</v>
      </c>
      <c r="L6059" s="2" t="s">
        <v>34</v>
      </c>
      <c r="M6059" s="2"/>
      <c r="N6059" s="2"/>
      <c r="O6059" s="2"/>
      <c r="P6059" s="2" t="s">
        <v>18602</v>
      </c>
      <c r="Q6059" s="2"/>
      <c r="R6059" s="6">
        <v>7.75</v>
      </c>
      <c r="S6059" s="5">
        <v>-10.7</v>
      </c>
      <c r="T6059" s="7">
        <v>19.661999999999999</v>
      </c>
      <c r="U6059" s="5">
        <v>9.1</v>
      </c>
      <c r="V6059" s="6">
        <v>-1.19</v>
      </c>
      <c r="W6059" s="7">
        <v>4.5629999999999997</v>
      </c>
      <c r="X6059" s="7">
        <v>4.6879999999999997</v>
      </c>
      <c r="Y6059" s="5">
        <v>5.5</v>
      </c>
      <c r="Z6059" s="9">
        <v>5.8125</v>
      </c>
      <c r="AA6059" s="6">
        <v>8.94</v>
      </c>
      <c r="AB6059" s="7">
        <v>12.742000000000001</v>
      </c>
      <c r="AC6059" s="2"/>
    </row>
    <row r="6060" spans="1:29" ht="91" x14ac:dyDescent="0.15">
      <c r="A6060" s="3">
        <f>DATE(2001,3,20)</f>
        <v>36970</v>
      </c>
      <c r="B6060" s="3">
        <f>DATE(2001,6,4)</f>
        <v>37046</v>
      </c>
      <c r="C6060" s="2" t="s">
        <v>95</v>
      </c>
      <c r="D6060" s="2" t="s">
        <v>18603</v>
      </c>
      <c r="E6060" s="2" t="s">
        <v>18604</v>
      </c>
      <c r="F6060" s="4">
        <v>2911</v>
      </c>
      <c r="G6060" s="2" t="s">
        <v>148</v>
      </c>
      <c r="H6060" s="2" t="s">
        <v>34</v>
      </c>
      <c r="I6060" s="2" t="s">
        <v>18605</v>
      </c>
      <c r="J6060" s="2" t="s">
        <v>147</v>
      </c>
      <c r="K6060" s="2" t="s">
        <v>148</v>
      </c>
      <c r="L6060" s="2" t="s">
        <v>34</v>
      </c>
      <c r="M6060" s="12">
        <v>2236.357</v>
      </c>
      <c r="N6060" s="6">
        <v>35.549999999999997</v>
      </c>
      <c r="O6060" s="6">
        <v>35.85</v>
      </c>
      <c r="P6060" s="2" t="s">
        <v>18606</v>
      </c>
      <c r="Q6060" s="6">
        <v>100</v>
      </c>
      <c r="R6060" s="6">
        <v>1.9</v>
      </c>
      <c r="S6060" s="5">
        <v>9.1</v>
      </c>
      <c r="T6060" s="5">
        <v>21.4</v>
      </c>
      <c r="U6060" s="5">
        <v>3.4</v>
      </c>
      <c r="V6060" s="6">
        <v>0.33</v>
      </c>
      <c r="W6060" s="5">
        <v>1.7</v>
      </c>
      <c r="X6060" s="6">
        <v>1.69</v>
      </c>
      <c r="Y6060" s="5">
        <v>1.7</v>
      </c>
      <c r="Z6060" s="6">
        <v>1.83</v>
      </c>
      <c r="AA6060" s="6">
        <v>15</v>
      </c>
      <c r="AB6060" s="7">
        <v>3.2320000000000002</v>
      </c>
      <c r="AC6060" s="5">
        <v>14.6</v>
      </c>
    </row>
    <row r="6061" spans="1:29" ht="104" x14ac:dyDescent="0.15">
      <c r="A6061" s="3">
        <f>DATE(2001,3,20)</f>
        <v>36970</v>
      </c>
      <c r="B6061" s="3">
        <f>DATE(2001,12,31)</f>
        <v>37256</v>
      </c>
      <c r="C6061" s="2" t="s">
        <v>95</v>
      </c>
      <c r="D6061" s="2" t="s">
        <v>18607</v>
      </c>
      <c r="E6061" s="2" t="s">
        <v>18608</v>
      </c>
      <c r="F6061" s="4">
        <v>3571</v>
      </c>
      <c r="G6061" s="2" t="s">
        <v>50</v>
      </c>
      <c r="H6061" s="2" t="s">
        <v>34</v>
      </c>
      <c r="I6061" s="2" t="s">
        <v>51</v>
      </c>
      <c r="J6061" s="2" t="s">
        <v>52</v>
      </c>
      <c r="K6061" s="2" t="s">
        <v>53</v>
      </c>
      <c r="L6061" s="2" t="s">
        <v>34</v>
      </c>
      <c r="M6061" s="2"/>
      <c r="N6061" s="2"/>
      <c r="O6061" s="2"/>
      <c r="P6061" s="2" t="s">
        <v>18609</v>
      </c>
      <c r="Q6061" s="6">
        <v>93.5</v>
      </c>
      <c r="R6061" s="6">
        <v>5</v>
      </c>
      <c r="S6061" s="5">
        <v>-9.8000000000000007</v>
      </c>
      <c r="T6061" s="7">
        <v>-11.821</v>
      </c>
      <c r="U6061" s="5">
        <v>8.6999999999999993</v>
      </c>
      <c r="V6061" s="6">
        <v>-1.91</v>
      </c>
      <c r="W6061" s="6">
        <v>3.51</v>
      </c>
      <c r="X6061" s="5">
        <v>3.6</v>
      </c>
      <c r="Y6061" s="4">
        <v>4</v>
      </c>
      <c r="Z6061" s="6">
        <v>3.95</v>
      </c>
      <c r="AA6061" s="6">
        <v>5.16</v>
      </c>
      <c r="AB6061" s="2" t="s">
        <v>86</v>
      </c>
      <c r="AC6061" s="2"/>
    </row>
    <row r="6062" spans="1:29" ht="91" x14ac:dyDescent="0.15">
      <c r="A6062" s="3">
        <f>DATE(2001,3,21)</f>
        <v>36971</v>
      </c>
      <c r="B6062" s="3">
        <f>DATE(2001,5,1)</f>
        <v>37012</v>
      </c>
      <c r="C6062" s="2" t="s">
        <v>95</v>
      </c>
      <c r="D6062" s="2" t="s">
        <v>18610</v>
      </c>
      <c r="E6062" s="2" t="s">
        <v>18611</v>
      </c>
      <c r="F6062" s="4">
        <v>7372</v>
      </c>
      <c r="G6062" s="2" t="s">
        <v>551</v>
      </c>
      <c r="H6062" s="2" t="s">
        <v>34</v>
      </c>
      <c r="I6062" s="2" t="s">
        <v>18612</v>
      </c>
      <c r="J6062" s="2" t="s">
        <v>18613</v>
      </c>
      <c r="K6062" s="2" t="s">
        <v>551</v>
      </c>
      <c r="L6062" s="2" t="s">
        <v>34</v>
      </c>
      <c r="M6062" s="12">
        <v>5384.5429999999997</v>
      </c>
      <c r="N6062" s="7">
        <v>17.687999999999999</v>
      </c>
      <c r="O6062" s="7">
        <v>19.562999999999999</v>
      </c>
      <c r="P6062" s="2" t="s">
        <v>18614</v>
      </c>
      <c r="Q6062" s="6">
        <v>100</v>
      </c>
      <c r="R6062" s="6">
        <v>5.64</v>
      </c>
      <c r="S6062" s="5">
        <v>-20.5</v>
      </c>
      <c r="T6062" s="7">
        <v>-19.747</v>
      </c>
      <c r="U6062" s="5">
        <v>1.3</v>
      </c>
      <c r="V6062" s="6">
        <v>-5.34</v>
      </c>
      <c r="W6062" s="7">
        <v>3.4689999999999999</v>
      </c>
      <c r="X6062" s="4">
        <v>5</v>
      </c>
      <c r="Y6062" s="7">
        <v>5.5309999999999997</v>
      </c>
      <c r="Z6062" s="7">
        <v>5.5469999999999997</v>
      </c>
      <c r="AA6062" s="6">
        <v>30.78</v>
      </c>
      <c r="AB6062" s="2" t="s">
        <v>86</v>
      </c>
      <c r="AC6062" s="5">
        <v>375</v>
      </c>
    </row>
    <row r="6063" spans="1:29" ht="104" x14ac:dyDescent="0.15">
      <c r="A6063" s="3">
        <f>DATE(2001,3,22)</f>
        <v>36972</v>
      </c>
      <c r="B6063" s="3">
        <f>DATE(2001,6,19)</f>
        <v>37061</v>
      </c>
      <c r="C6063" s="2" t="s">
        <v>95</v>
      </c>
      <c r="D6063" s="2" t="s">
        <v>18615</v>
      </c>
      <c r="E6063" s="2" t="s">
        <v>9653</v>
      </c>
      <c r="F6063" s="4">
        <v>7372</v>
      </c>
      <c r="G6063" s="2" t="s">
        <v>551</v>
      </c>
      <c r="H6063" s="2" t="s">
        <v>34</v>
      </c>
      <c r="I6063" s="2" t="s">
        <v>18616</v>
      </c>
      <c r="J6063" s="2" t="s">
        <v>18617</v>
      </c>
      <c r="K6063" s="2" t="s">
        <v>551</v>
      </c>
      <c r="L6063" s="2" t="s">
        <v>34</v>
      </c>
      <c r="M6063" s="7">
        <v>24.905999999999999</v>
      </c>
      <c r="N6063" s="7">
        <v>1.1719999999999999</v>
      </c>
      <c r="O6063" s="6">
        <v>1.25</v>
      </c>
      <c r="P6063" s="2" t="s">
        <v>18618</v>
      </c>
      <c r="Q6063" s="6">
        <v>100</v>
      </c>
      <c r="R6063" s="6">
        <v>1.61</v>
      </c>
      <c r="S6063" s="5">
        <v>-10.199999999999999</v>
      </c>
      <c r="T6063" s="5">
        <v>-9.6999999999999993</v>
      </c>
      <c r="U6063" s="5">
        <v>1.5</v>
      </c>
      <c r="V6063" s="6">
        <v>-0.84</v>
      </c>
      <c r="W6063" s="6">
        <v>1.25</v>
      </c>
      <c r="X6063" s="7">
        <v>1.0629999999999999</v>
      </c>
      <c r="Y6063" s="7">
        <v>1.1559999999999999</v>
      </c>
      <c r="Z6063" s="7">
        <v>1.375</v>
      </c>
      <c r="AA6063" s="6">
        <v>12.27</v>
      </c>
      <c r="AB6063" s="2" t="s">
        <v>86</v>
      </c>
      <c r="AC6063" s="5">
        <v>0.2</v>
      </c>
    </row>
    <row r="6064" spans="1:29" ht="52" x14ac:dyDescent="0.15">
      <c r="A6064" s="3">
        <f>DATE(2001,3,22)</f>
        <v>36972</v>
      </c>
      <c r="B6064" s="2"/>
      <c r="C6064" s="2" t="s">
        <v>141</v>
      </c>
      <c r="D6064" s="2" t="s">
        <v>18619</v>
      </c>
      <c r="E6064" s="2" t="s">
        <v>18620</v>
      </c>
      <c r="F6064" s="4">
        <v>7372</v>
      </c>
      <c r="G6064" s="2" t="s">
        <v>551</v>
      </c>
      <c r="H6064" s="2" t="s">
        <v>34</v>
      </c>
      <c r="I6064" s="2" t="s">
        <v>143</v>
      </c>
      <c r="J6064" s="2" t="s">
        <v>144</v>
      </c>
      <c r="K6064" s="2" t="s">
        <v>53</v>
      </c>
      <c r="L6064" s="2" t="s">
        <v>139</v>
      </c>
      <c r="M6064" s="2"/>
      <c r="N6064" s="2"/>
      <c r="O6064" s="2"/>
      <c r="P6064" s="2" t="s">
        <v>18621</v>
      </c>
      <c r="Q6064" s="2"/>
      <c r="R6064" s="2"/>
      <c r="S6064" s="5">
        <v>24.4</v>
      </c>
      <c r="T6064" s="7">
        <v>62.933</v>
      </c>
      <c r="U6064" s="5">
        <v>2</v>
      </c>
      <c r="V6064" s="6">
        <v>0.06</v>
      </c>
      <c r="W6064" s="6">
        <v>5.28</v>
      </c>
      <c r="X6064" s="6">
        <v>5.07</v>
      </c>
      <c r="Y6064" s="6">
        <v>5.74</v>
      </c>
      <c r="Z6064" s="6">
        <v>6.75</v>
      </c>
      <c r="AA6064" s="6">
        <v>470.7</v>
      </c>
      <c r="AB6064" s="2" t="s">
        <v>47</v>
      </c>
      <c r="AC6064" s="2"/>
    </row>
    <row r="6065" spans="1:29" ht="104" x14ac:dyDescent="0.15">
      <c r="A6065" s="3">
        <f>DATE(2001,3,22)</f>
        <v>36972</v>
      </c>
      <c r="B6065" s="3">
        <f>DATE(2001,6,8)</f>
        <v>37050</v>
      </c>
      <c r="C6065" s="2" t="s">
        <v>95</v>
      </c>
      <c r="D6065" s="2" t="s">
        <v>18622</v>
      </c>
      <c r="E6065" s="2" t="s">
        <v>7419</v>
      </c>
      <c r="F6065" s="4">
        <v>5065</v>
      </c>
      <c r="G6065" s="2" t="s">
        <v>76</v>
      </c>
      <c r="H6065" s="2" t="s">
        <v>34</v>
      </c>
      <c r="I6065" s="2" t="s">
        <v>3706</v>
      </c>
      <c r="J6065" s="2" t="s">
        <v>2195</v>
      </c>
      <c r="K6065" s="2" t="s">
        <v>76</v>
      </c>
      <c r="L6065" s="2" t="s">
        <v>34</v>
      </c>
      <c r="M6065" s="12">
        <v>2297.5569999999998</v>
      </c>
      <c r="N6065" s="6">
        <v>21.62</v>
      </c>
      <c r="O6065" s="5">
        <v>21.5</v>
      </c>
      <c r="P6065" s="2" t="s">
        <v>18623</v>
      </c>
      <c r="Q6065" s="6">
        <v>100</v>
      </c>
      <c r="R6065" s="6">
        <v>20.49</v>
      </c>
      <c r="S6065" s="5">
        <v>32.799999999999997</v>
      </c>
      <c r="T6065" s="5">
        <v>68.900000000000006</v>
      </c>
      <c r="U6065" s="5">
        <v>14</v>
      </c>
      <c r="V6065" s="6">
        <v>1.1100000000000001</v>
      </c>
      <c r="W6065" s="5">
        <v>14.7</v>
      </c>
      <c r="X6065" s="5">
        <v>15.9</v>
      </c>
      <c r="Y6065" s="6">
        <v>17.96</v>
      </c>
      <c r="Z6065" s="6">
        <v>18.010000000000002</v>
      </c>
      <c r="AA6065" s="6">
        <v>28.63</v>
      </c>
      <c r="AB6065" s="7">
        <v>8.484</v>
      </c>
      <c r="AC6065" s="5">
        <v>167.2</v>
      </c>
    </row>
    <row r="6066" spans="1:29" ht="130" x14ac:dyDescent="0.15">
      <c r="A6066" s="3">
        <f>DATE(2001,3,22)</f>
        <v>36972</v>
      </c>
      <c r="B6066" s="3">
        <f>DATE(2001,9,18)</f>
        <v>37152</v>
      </c>
      <c r="C6066" s="2" t="s">
        <v>95</v>
      </c>
      <c r="D6066" s="2" t="s">
        <v>10954</v>
      </c>
      <c r="E6066" s="2" t="s">
        <v>92</v>
      </c>
      <c r="F6066" s="4">
        <v>6798</v>
      </c>
      <c r="G6066" s="2" t="s">
        <v>53</v>
      </c>
      <c r="H6066" s="2" t="s">
        <v>34</v>
      </c>
      <c r="I6066" s="2" t="s">
        <v>14361</v>
      </c>
      <c r="J6066" s="2" t="s">
        <v>92</v>
      </c>
      <c r="K6066" s="2" t="s">
        <v>53</v>
      </c>
      <c r="L6066" s="2" t="s">
        <v>34</v>
      </c>
      <c r="M6066" s="7">
        <v>149.54400000000001</v>
      </c>
      <c r="N6066" s="6">
        <v>2.35</v>
      </c>
      <c r="O6066" s="6">
        <v>2.35</v>
      </c>
      <c r="P6066" s="2" t="s">
        <v>18624</v>
      </c>
      <c r="Q6066" s="6">
        <v>8.6999999999999993</v>
      </c>
      <c r="R6066" s="2"/>
      <c r="S6066" s="2"/>
      <c r="T6066" s="2"/>
      <c r="U6066" s="2"/>
      <c r="V6066" s="2"/>
      <c r="W6066" s="7">
        <v>5.125</v>
      </c>
      <c r="X6066" s="6">
        <v>5.75</v>
      </c>
      <c r="Y6066" s="7">
        <v>6.8280000000000003</v>
      </c>
      <c r="Z6066" s="7">
        <v>6.875</v>
      </c>
      <c r="AA6066" s="6">
        <v>13.31</v>
      </c>
      <c r="AB6066" s="2" t="s">
        <v>47</v>
      </c>
      <c r="AC6066" s="2"/>
    </row>
    <row r="6067" spans="1:29" ht="52" x14ac:dyDescent="0.15">
      <c r="A6067" s="3">
        <f>DATE(2001,3,23)</f>
        <v>36973</v>
      </c>
      <c r="B6067" s="3">
        <f>DATE(2001,7,2)</f>
        <v>37074</v>
      </c>
      <c r="C6067" s="2" t="s">
        <v>95</v>
      </c>
      <c r="D6067" s="2" t="s">
        <v>18625</v>
      </c>
      <c r="E6067" s="2" t="s">
        <v>3536</v>
      </c>
      <c r="F6067" s="4">
        <v>6141</v>
      </c>
      <c r="G6067" s="2" t="s">
        <v>370</v>
      </c>
      <c r="H6067" s="2" t="s">
        <v>34</v>
      </c>
      <c r="I6067" s="2" t="s">
        <v>12303</v>
      </c>
      <c r="J6067" s="2" t="s">
        <v>36</v>
      </c>
      <c r="K6067" s="2" t="s">
        <v>37</v>
      </c>
      <c r="L6067" s="2" t="s">
        <v>34</v>
      </c>
      <c r="M6067" s="12">
        <v>82844.794999999998</v>
      </c>
      <c r="N6067" s="6">
        <v>45.43</v>
      </c>
      <c r="O6067" s="5">
        <v>46.2</v>
      </c>
      <c r="P6067" s="2" t="s">
        <v>18626</v>
      </c>
      <c r="Q6067" s="6">
        <v>100</v>
      </c>
      <c r="R6067" s="6">
        <v>21.03</v>
      </c>
      <c r="S6067" s="5">
        <v>1.7</v>
      </c>
      <c r="T6067" s="7">
        <v>49.994999999999997</v>
      </c>
      <c r="U6067" s="5">
        <v>2.1</v>
      </c>
      <c r="V6067" s="6">
        <v>0.27</v>
      </c>
      <c r="W6067" s="7">
        <v>6.625</v>
      </c>
      <c r="X6067" s="4">
        <v>7</v>
      </c>
      <c r="Y6067" s="7">
        <v>20.375</v>
      </c>
      <c r="Z6067" s="7">
        <v>20.375</v>
      </c>
      <c r="AA6067" s="6">
        <v>5.42</v>
      </c>
      <c r="AB6067" s="7">
        <v>41.588000000000001</v>
      </c>
      <c r="AC6067" s="8">
        <v>16978</v>
      </c>
    </row>
    <row r="6068" spans="1:29" ht="156" x14ac:dyDescent="0.15">
      <c r="A6068" s="3">
        <f>DATE(2001,3,23)</f>
        <v>36973</v>
      </c>
      <c r="B6068" s="3">
        <f>DATE(2001,8,6)</f>
        <v>37109</v>
      </c>
      <c r="C6068" s="2" t="s">
        <v>95</v>
      </c>
      <c r="D6068" s="2" t="s">
        <v>18627</v>
      </c>
      <c r="E6068" s="2" t="s">
        <v>18628</v>
      </c>
      <c r="F6068" s="4">
        <v>7389</v>
      </c>
      <c r="G6068" s="2" t="s">
        <v>223</v>
      </c>
      <c r="H6068" s="2" t="s">
        <v>34</v>
      </c>
      <c r="I6068" s="2" t="s">
        <v>9557</v>
      </c>
      <c r="J6068" s="2" t="s">
        <v>9558</v>
      </c>
      <c r="K6068" s="2" t="s">
        <v>50</v>
      </c>
      <c r="L6068" s="2" t="s">
        <v>34</v>
      </c>
      <c r="M6068" s="7">
        <v>359.52800000000002</v>
      </c>
      <c r="N6068" s="7">
        <v>3.125</v>
      </c>
      <c r="O6068" s="6">
        <v>2.17</v>
      </c>
      <c r="P6068" s="2" t="s">
        <v>18629</v>
      </c>
      <c r="Q6068" s="6">
        <v>100</v>
      </c>
      <c r="R6068" s="6">
        <v>2.96</v>
      </c>
      <c r="S6068" s="5">
        <v>-67</v>
      </c>
      <c r="T6068" s="5">
        <v>-55.8</v>
      </c>
      <c r="U6068" s="5">
        <v>1.2</v>
      </c>
      <c r="V6068" s="6">
        <v>-2.14</v>
      </c>
      <c r="W6068" s="7">
        <v>1.375</v>
      </c>
      <c r="X6068" s="6">
        <v>1.75</v>
      </c>
      <c r="Y6068" s="7">
        <v>2.125</v>
      </c>
      <c r="Z6068" s="6">
        <v>1.75</v>
      </c>
      <c r="AA6068" s="6">
        <v>47.35</v>
      </c>
      <c r="AB6068" s="2" t="s">
        <v>86</v>
      </c>
      <c r="AC6068" s="5">
        <v>133.1</v>
      </c>
    </row>
    <row r="6069" spans="1:29" ht="234" x14ac:dyDescent="0.15">
      <c r="A6069" s="3">
        <f>DATE(2001,3,23)</f>
        <v>36973</v>
      </c>
      <c r="B6069" s="3">
        <f>DATE(2001,8,31)</f>
        <v>37134</v>
      </c>
      <c r="C6069" s="2" t="s">
        <v>95</v>
      </c>
      <c r="D6069" s="2" t="s">
        <v>18630</v>
      </c>
      <c r="E6069" s="2" t="s">
        <v>18631</v>
      </c>
      <c r="F6069" s="4">
        <v>5812</v>
      </c>
      <c r="G6069" s="2" t="s">
        <v>230</v>
      </c>
      <c r="H6069" s="2" t="s">
        <v>34</v>
      </c>
      <c r="I6069" s="2" t="s">
        <v>51</v>
      </c>
      <c r="J6069" s="2" t="s">
        <v>52</v>
      </c>
      <c r="K6069" s="2" t="s">
        <v>53</v>
      </c>
      <c r="L6069" s="2" t="s">
        <v>34</v>
      </c>
      <c r="M6069" s="2"/>
      <c r="N6069" s="2"/>
      <c r="O6069" s="2"/>
      <c r="P6069" s="2" t="s">
        <v>18632</v>
      </c>
      <c r="Q6069" s="6">
        <v>60</v>
      </c>
      <c r="R6069" s="6">
        <v>8.75</v>
      </c>
      <c r="S6069" s="5">
        <v>-3</v>
      </c>
      <c r="T6069" s="5">
        <v>9.5</v>
      </c>
      <c r="U6069" s="5">
        <v>6.8</v>
      </c>
      <c r="V6069" s="6">
        <v>-0.57999999999999996</v>
      </c>
      <c r="W6069" s="6">
        <v>5.75</v>
      </c>
      <c r="X6069" s="7">
        <v>6.625</v>
      </c>
      <c r="Y6069" s="7">
        <v>7.5629999999999997</v>
      </c>
      <c r="Z6069" s="7">
        <v>7.625</v>
      </c>
      <c r="AA6069" s="6">
        <v>4.32</v>
      </c>
      <c r="AB6069" s="7">
        <v>7.2759999999999998</v>
      </c>
      <c r="AC6069" s="2"/>
    </row>
    <row r="6070" spans="1:29" ht="117" x14ac:dyDescent="0.15">
      <c r="A6070" s="3">
        <f>DATE(2001,3,26)</f>
        <v>36976</v>
      </c>
      <c r="B6070" s="3">
        <f>DATE(2001,6,11)</f>
        <v>37053</v>
      </c>
      <c r="C6070" s="2" t="s">
        <v>95</v>
      </c>
      <c r="D6070" s="2" t="s">
        <v>18633</v>
      </c>
      <c r="E6070" s="2" t="s">
        <v>2728</v>
      </c>
      <c r="F6070" s="4">
        <v>3674</v>
      </c>
      <c r="G6070" s="2" t="s">
        <v>137</v>
      </c>
      <c r="H6070" s="2" t="s">
        <v>34</v>
      </c>
      <c r="I6070" s="2" t="s">
        <v>13845</v>
      </c>
      <c r="J6070" s="2" t="s">
        <v>13846</v>
      </c>
      <c r="K6070" s="2" t="s">
        <v>137</v>
      </c>
      <c r="L6070" s="2" t="s">
        <v>34</v>
      </c>
      <c r="M6070" s="12">
        <v>6015.4889999999996</v>
      </c>
      <c r="N6070" s="6">
        <v>18.04</v>
      </c>
      <c r="O6070" s="6">
        <v>18.23</v>
      </c>
      <c r="P6070" s="2" t="s">
        <v>18634</v>
      </c>
      <c r="Q6070" s="6">
        <v>100</v>
      </c>
      <c r="R6070" s="6">
        <v>16.350000000000001</v>
      </c>
      <c r="S6070" s="5">
        <v>-0.8</v>
      </c>
      <c r="T6070" s="5">
        <v>51.4</v>
      </c>
      <c r="U6070" s="5">
        <v>2.7</v>
      </c>
      <c r="V6070" s="6">
        <v>0.17</v>
      </c>
      <c r="W6070" s="7">
        <v>7.875</v>
      </c>
      <c r="X6070" s="9">
        <v>8.8125</v>
      </c>
      <c r="Y6070" s="2"/>
      <c r="Z6070" s="2"/>
      <c r="AA6070" s="6">
        <v>49.46</v>
      </c>
      <c r="AB6070" s="7">
        <v>22.064</v>
      </c>
      <c r="AC6070" s="10">
        <v>1133.24</v>
      </c>
    </row>
    <row r="6071" spans="1:29" ht="156" x14ac:dyDescent="0.15">
      <c r="A6071" s="3">
        <f>DATE(2001,3,26)</f>
        <v>36976</v>
      </c>
      <c r="B6071" s="3">
        <f>DATE(2001,8,21)</f>
        <v>37124</v>
      </c>
      <c r="C6071" s="2" t="s">
        <v>95</v>
      </c>
      <c r="D6071" s="2" t="s">
        <v>18635</v>
      </c>
      <c r="E6071" s="2" t="s">
        <v>367</v>
      </c>
      <c r="F6071" s="4">
        <v>6211</v>
      </c>
      <c r="G6071" s="2" t="s">
        <v>53</v>
      </c>
      <c r="H6071" s="2" t="s">
        <v>34</v>
      </c>
      <c r="I6071" s="2" t="s">
        <v>12454</v>
      </c>
      <c r="J6071" s="2" t="s">
        <v>2712</v>
      </c>
      <c r="K6071" s="2" t="s">
        <v>53</v>
      </c>
      <c r="L6071" s="2" t="s">
        <v>34</v>
      </c>
      <c r="M6071" s="2"/>
      <c r="N6071" s="2"/>
      <c r="O6071" s="2"/>
      <c r="P6071" s="2" t="s">
        <v>18636</v>
      </c>
      <c r="Q6071" s="6">
        <v>18</v>
      </c>
      <c r="R6071" s="6">
        <v>6</v>
      </c>
      <c r="S6071" s="5">
        <v>-63.1</v>
      </c>
      <c r="T6071" s="2"/>
      <c r="U6071" s="5">
        <v>1.9</v>
      </c>
      <c r="V6071" s="6">
        <v>-0.61</v>
      </c>
      <c r="W6071" s="6">
        <v>2.97</v>
      </c>
      <c r="X6071" s="5">
        <v>2.5</v>
      </c>
      <c r="Y6071" s="6">
        <v>4.22</v>
      </c>
      <c r="Z6071" s="5">
        <v>4.5999999999999996</v>
      </c>
      <c r="AA6071" s="6">
        <v>102.22</v>
      </c>
      <c r="AB6071" s="2" t="s">
        <v>86</v>
      </c>
      <c r="AC6071" s="2"/>
    </row>
    <row r="6072" spans="1:29" ht="169" x14ac:dyDescent="0.15">
      <c r="A6072" s="3">
        <f>DATE(2001,3,26)</f>
        <v>36976</v>
      </c>
      <c r="B6072" s="2"/>
      <c r="C6072" s="2" t="s">
        <v>30</v>
      </c>
      <c r="D6072" s="2" t="s">
        <v>12681</v>
      </c>
      <c r="E6072" s="2" t="s">
        <v>12682</v>
      </c>
      <c r="F6072" s="4">
        <v>8741</v>
      </c>
      <c r="G6072" s="2" t="s">
        <v>223</v>
      </c>
      <c r="H6072" s="2" t="s">
        <v>34</v>
      </c>
      <c r="I6072" s="2" t="s">
        <v>11511</v>
      </c>
      <c r="J6072" s="2" t="s">
        <v>11512</v>
      </c>
      <c r="K6072" s="2" t="s">
        <v>300</v>
      </c>
      <c r="L6072" s="2" t="s">
        <v>34</v>
      </c>
      <c r="M6072" s="12">
        <v>3085.5439999999999</v>
      </c>
      <c r="N6072" s="5">
        <v>95.5</v>
      </c>
      <c r="O6072" s="6">
        <v>94.67</v>
      </c>
      <c r="P6072" s="2" t="s">
        <v>18637</v>
      </c>
      <c r="Q6072" s="2"/>
      <c r="R6072" s="6">
        <v>4.16</v>
      </c>
      <c r="S6072" s="5">
        <v>6.1</v>
      </c>
      <c r="T6072" s="7">
        <v>21.073</v>
      </c>
      <c r="U6072" s="5">
        <v>0.8</v>
      </c>
      <c r="V6072" s="6">
        <v>0.18</v>
      </c>
      <c r="W6072" s="5">
        <v>3.2</v>
      </c>
      <c r="X6072" s="5">
        <v>3.4</v>
      </c>
      <c r="Y6072" s="6">
        <v>4.03</v>
      </c>
      <c r="Z6072" s="6">
        <v>4.1500000000000004</v>
      </c>
      <c r="AA6072" s="6">
        <v>33.74</v>
      </c>
      <c r="AB6072" s="7">
        <v>12.894</v>
      </c>
      <c r="AC6072" s="5">
        <v>73.7</v>
      </c>
    </row>
    <row r="6073" spans="1:29" ht="143" x14ac:dyDescent="0.15">
      <c r="A6073" s="3">
        <f>DATE(2001,3,27)</f>
        <v>36977</v>
      </c>
      <c r="B6073" s="3">
        <f>DATE(2001,6,22)</f>
        <v>37064</v>
      </c>
      <c r="C6073" s="2" t="s">
        <v>95</v>
      </c>
      <c r="D6073" s="2" t="s">
        <v>2456</v>
      </c>
      <c r="E6073" s="2" t="s">
        <v>129</v>
      </c>
      <c r="F6073" s="4">
        <v>2834</v>
      </c>
      <c r="G6073" s="2" t="s">
        <v>130</v>
      </c>
      <c r="H6073" s="2" t="s">
        <v>34</v>
      </c>
      <c r="I6073" s="2" t="s">
        <v>5669</v>
      </c>
      <c r="J6073" s="2" t="s">
        <v>5670</v>
      </c>
      <c r="K6073" s="2" t="s">
        <v>130</v>
      </c>
      <c r="L6073" s="2" t="s">
        <v>34</v>
      </c>
      <c r="M6073" s="12">
        <v>133373.285</v>
      </c>
      <c r="N6073" s="6">
        <v>83.25</v>
      </c>
      <c r="O6073" s="6">
        <v>86.28</v>
      </c>
      <c r="P6073" s="2" t="s">
        <v>18638</v>
      </c>
      <c r="Q6073" s="6">
        <v>100</v>
      </c>
      <c r="R6073" s="6">
        <v>41.84</v>
      </c>
      <c r="S6073" s="5">
        <v>230.7</v>
      </c>
      <c r="T6073" s="5">
        <v>344.6</v>
      </c>
      <c r="U6073" s="5">
        <v>6.6</v>
      </c>
      <c r="V6073" s="6">
        <v>0.97</v>
      </c>
      <c r="W6073" s="5">
        <v>33.4</v>
      </c>
      <c r="X6073" s="5">
        <v>27.5</v>
      </c>
      <c r="Y6073" s="6">
        <v>30.05</v>
      </c>
      <c r="Z6073" s="6">
        <v>38.75</v>
      </c>
      <c r="AA6073" s="6">
        <v>236.68</v>
      </c>
      <c r="AB6073" s="7">
        <v>38.222000000000001</v>
      </c>
      <c r="AC6073" s="8">
        <v>3411</v>
      </c>
    </row>
    <row r="6074" spans="1:29" ht="130" x14ac:dyDescent="0.15">
      <c r="A6074" s="3">
        <f>DATE(2001,3,27)</f>
        <v>36977</v>
      </c>
      <c r="B6074" s="3">
        <f>DATE(2001,7,31)</f>
        <v>37103</v>
      </c>
      <c r="C6074" s="2" t="s">
        <v>95</v>
      </c>
      <c r="D6074" s="2" t="s">
        <v>12561</v>
      </c>
      <c r="E6074" s="2" t="s">
        <v>36</v>
      </c>
      <c r="F6074" s="4">
        <v>6036</v>
      </c>
      <c r="G6074" s="2" t="s">
        <v>33</v>
      </c>
      <c r="H6074" s="2" t="s">
        <v>34</v>
      </c>
      <c r="I6074" s="2" t="s">
        <v>18639</v>
      </c>
      <c r="J6074" s="2" t="s">
        <v>36</v>
      </c>
      <c r="K6074" s="2" t="s">
        <v>37</v>
      </c>
      <c r="L6074" s="2" t="s">
        <v>34</v>
      </c>
      <c r="M6074" s="12">
        <v>1146.211</v>
      </c>
      <c r="N6074" s="6">
        <v>41.05</v>
      </c>
      <c r="O6074" s="5">
        <v>42.3</v>
      </c>
      <c r="P6074" s="2" t="s">
        <v>18640</v>
      </c>
      <c r="Q6074" s="6">
        <v>100</v>
      </c>
      <c r="R6074" s="6">
        <v>27.74</v>
      </c>
      <c r="S6074" s="5">
        <v>37.1</v>
      </c>
      <c r="T6074" s="2"/>
      <c r="U6074" s="5">
        <v>11.3</v>
      </c>
      <c r="V6074" s="6">
        <v>1.46</v>
      </c>
      <c r="W6074" s="7">
        <v>25.875</v>
      </c>
      <c r="X6074" s="5">
        <v>26.5</v>
      </c>
      <c r="Y6074" s="6">
        <v>26.75</v>
      </c>
      <c r="Z6074" s="7">
        <v>28.125</v>
      </c>
      <c r="AA6074" s="6">
        <v>26.71</v>
      </c>
      <c r="AB6074" s="7">
        <v>31.574999999999999</v>
      </c>
      <c r="AC6074" s="5">
        <v>257.7</v>
      </c>
    </row>
    <row r="6075" spans="1:29" ht="117" x14ac:dyDescent="0.15">
      <c r="A6075" s="3">
        <f>DATE(2001,3,28)</f>
        <v>36978</v>
      </c>
      <c r="B6075" s="3">
        <f>DATE(2001,5,31)</f>
        <v>37042</v>
      </c>
      <c r="C6075" s="2" t="s">
        <v>95</v>
      </c>
      <c r="D6075" s="2" t="s">
        <v>18641</v>
      </c>
      <c r="E6075" s="2" t="s">
        <v>781</v>
      </c>
      <c r="F6075" s="4">
        <v>7372</v>
      </c>
      <c r="G6075" s="2" t="s">
        <v>551</v>
      </c>
      <c r="H6075" s="2" t="s">
        <v>34</v>
      </c>
      <c r="I6075" s="2" t="s">
        <v>11391</v>
      </c>
      <c r="J6075" s="2" t="s">
        <v>11392</v>
      </c>
      <c r="K6075" s="2" t="s">
        <v>551</v>
      </c>
      <c r="L6075" s="2" t="s">
        <v>303</v>
      </c>
      <c r="M6075" s="2"/>
      <c r="N6075" s="2"/>
      <c r="O6075" s="2"/>
      <c r="P6075" s="2" t="s">
        <v>18642</v>
      </c>
      <c r="Q6075" s="6">
        <v>100</v>
      </c>
      <c r="R6075" s="6">
        <v>12</v>
      </c>
      <c r="S6075" s="5">
        <v>-56.9</v>
      </c>
      <c r="T6075" s="5">
        <v>-8.3000000000000007</v>
      </c>
      <c r="U6075" s="5">
        <v>1</v>
      </c>
      <c r="V6075" s="6">
        <v>-2.88</v>
      </c>
      <c r="W6075" s="6">
        <v>6.75</v>
      </c>
      <c r="X6075" s="7">
        <v>7.9379999999999997</v>
      </c>
      <c r="Y6075" s="7">
        <v>11.813000000000001</v>
      </c>
      <c r="Z6075" s="7">
        <v>11.766</v>
      </c>
      <c r="AA6075" s="6">
        <v>20.36</v>
      </c>
      <c r="AB6075" s="2" t="s">
        <v>86</v>
      </c>
      <c r="AC6075" s="6">
        <v>97.16</v>
      </c>
    </row>
    <row r="6076" spans="1:29" ht="91" x14ac:dyDescent="0.15">
      <c r="A6076" s="3">
        <f>DATE(2001,3,30)</f>
        <v>36980</v>
      </c>
      <c r="B6076" s="3">
        <f>DATE(2002,2,1)</f>
        <v>37288</v>
      </c>
      <c r="C6076" s="2" t="s">
        <v>95</v>
      </c>
      <c r="D6076" s="2" t="s">
        <v>18643</v>
      </c>
      <c r="E6076" s="2" t="s">
        <v>203</v>
      </c>
      <c r="F6076" s="4">
        <v>6035</v>
      </c>
      <c r="G6076" s="2" t="s">
        <v>33</v>
      </c>
      <c r="H6076" s="2" t="s">
        <v>34</v>
      </c>
      <c r="I6076" s="2" t="s">
        <v>18644</v>
      </c>
      <c r="J6076" s="2" t="s">
        <v>36</v>
      </c>
      <c r="K6076" s="2" t="s">
        <v>37</v>
      </c>
      <c r="L6076" s="2" t="s">
        <v>34</v>
      </c>
      <c r="M6076" s="7">
        <v>211.70500000000001</v>
      </c>
      <c r="N6076" s="4">
        <v>40</v>
      </c>
      <c r="O6076" s="7">
        <v>39.563000000000002</v>
      </c>
      <c r="P6076" s="2" t="s">
        <v>18645</v>
      </c>
      <c r="Q6076" s="6">
        <v>100</v>
      </c>
      <c r="R6076" s="6">
        <v>15.14</v>
      </c>
      <c r="S6076" s="5">
        <v>-3.4</v>
      </c>
      <c r="T6076" s="5">
        <v>-3.1</v>
      </c>
      <c r="U6076" s="5">
        <v>15.3</v>
      </c>
      <c r="V6076" s="6">
        <v>-1.55</v>
      </c>
      <c r="W6076" s="7">
        <v>11.875</v>
      </c>
      <c r="X6076" s="6">
        <v>11.75</v>
      </c>
      <c r="Y6076" s="7">
        <v>14.125</v>
      </c>
      <c r="Z6076" s="6">
        <v>14.25</v>
      </c>
      <c r="AA6076" s="6">
        <v>2.21</v>
      </c>
      <c r="AB6076" s="2" t="s">
        <v>86</v>
      </c>
      <c r="AC6076" s="5">
        <v>41.6</v>
      </c>
    </row>
    <row r="6077" spans="1:29" ht="78" x14ac:dyDescent="0.15">
      <c r="A6077" s="3">
        <f>DATE(2001,3,30)</f>
        <v>36980</v>
      </c>
      <c r="B6077" s="3">
        <f>DATE(2001,7,12)</f>
        <v>37084</v>
      </c>
      <c r="C6077" s="2" t="s">
        <v>95</v>
      </c>
      <c r="D6077" s="2" t="s">
        <v>18646</v>
      </c>
      <c r="E6077" s="2" t="s">
        <v>1563</v>
      </c>
      <c r="F6077" s="4">
        <v>6411</v>
      </c>
      <c r="G6077" s="2" t="s">
        <v>125</v>
      </c>
      <c r="H6077" s="2" t="s">
        <v>34</v>
      </c>
      <c r="I6077" s="2" t="s">
        <v>18647</v>
      </c>
      <c r="J6077" s="2" t="s">
        <v>124</v>
      </c>
      <c r="K6077" s="2" t="s">
        <v>125</v>
      </c>
      <c r="L6077" s="2" t="s">
        <v>34</v>
      </c>
      <c r="M6077" s="2"/>
      <c r="N6077" s="2"/>
      <c r="O6077" s="2"/>
      <c r="P6077" s="2" t="s">
        <v>18648</v>
      </c>
      <c r="Q6077" s="6">
        <v>100</v>
      </c>
      <c r="R6077" s="6">
        <v>4.92</v>
      </c>
      <c r="S6077" s="5">
        <v>-0.7</v>
      </c>
      <c r="T6077" s="7">
        <v>8.4489999999999998</v>
      </c>
      <c r="U6077" s="5">
        <v>3.7</v>
      </c>
      <c r="V6077" s="6">
        <v>-0.08</v>
      </c>
      <c r="W6077" s="6">
        <v>3.75</v>
      </c>
      <c r="X6077" s="6">
        <v>3.75</v>
      </c>
      <c r="Y6077" s="6">
        <v>4.75</v>
      </c>
      <c r="Z6077" s="7">
        <v>4.7190000000000003</v>
      </c>
      <c r="AA6077" s="6">
        <v>9.09</v>
      </c>
      <c r="AB6077" s="7">
        <v>16.408999999999999</v>
      </c>
      <c r="AC6077" s="2"/>
    </row>
    <row r="6078" spans="1:29" ht="78" x14ac:dyDescent="0.15">
      <c r="A6078" s="3">
        <f>DATE(2001,3,30)</f>
        <v>36980</v>
      </c>
      <c r="B6078" s="3">
        <f>DATE(2001,8,31)</f>
        <v>37134</v>
      </c>
      <c r="C6078" s="2" t="s">
        <v>95</v>
      </c>
      <c r="D6078" s="2" t="s">
        <v>6436</v>
      </c>
      <c r="E6078" s="2" t="s">
        <v>263</v>
      </c>
      <c r="F6078" s="4">
        <v>6035</v>
      </c>
      <c r="G6078" s="2" t="s">
        <v>33</v>
      </c>
      <c r="H6078" s="2" t="s">
        <v>34</v>
      </c>
      <c r="I6078" s="2" t="s">
        <v>51</v>
      </c>
      <c r="J6078" s="2" t="s">
        <v>52</v>
      </c>
      <c r="K6078" s="2" t="s">
        <v>53</v>
      </c>
      <c r="L6078" s="2" t="s">
        <v>34</v>
      </c>
      <c r="M6078" s="2"/>
      <c r="N6078" s="2"/>
      <c r="O6078" s="2"/>
      <c r="P6078" s="2" t="s">
        <v>18649</v>
      </c>
      <c r="Q6078" s="6">
        <v>100</v>
      </c>
      <c r="R6078" s="6">
        <v>1.45</v>
      </c>
      <c r="S6078" s="5">
        <v>3.9</v>
      </c>
      <c r="T6078" s="5">
        <v>1.9</v>
      </c>
      <c r="U6078" s="5">
        <v>6.5</v>
      </c>
      <c r="V6078" s="6">
        <v>1.08</v>
      </c>
      <c r="W6078" s="5">
        <v>1.3</v>
      </c>
      <c r="X6078" s="5">
        <v>1.4</v>
      </c>
      <c r="Y6078" s="5">
        <v>1.4</v>
      </c>
      <c r="Z6078" s="5">
        <v>1.4</v>
      </c>
      <c r="AA6078" s="6">
        <v>1.06</v>
      </c>
      <c r="AB6078" s="7">
        <v>254.30799999999999</v>
      </c>
      <c r="AC6078" s="2"/>
    </row>
    <row r="6079" spans="1:29" ht="104" x14ac:dyDescent="0.15">
      <c r="A6079" s="3">
        <f>DATE(2001,3,30)</f>
        <v>36980</v>
      </c>
      <c r="B6079" s="3">
        <f>DATE(2001,8,1)</f>
        <v>37104</v>
      </c>
      <c r="C6079" s="2" t="s">
        <v>95</v>
      </c>
      <c r="D6079" s="2" t="s">
        <v>18650</v>
      </c>
      <c r="E6079" s="2" t="s">
        <v>92</v>
      </c>
      <c r="F6079" s="4">
        <v>6798</v>
      </c>
      <c r="G6079" s="2" t="s">
        <v>53</v>
      </c>
      <c r="H6079" s="2" t="s">
        <v>34</v>
      </c>
      <c r="I6079" s="2" t="s">
        <v>4726</v>
      </c>
      <c r="J6079" s="2" t="s">
        <v>4727</v>
      </c>
      <c r="K6079" s="2" t="s">
        <v>370</v>
      </c>
      <c r="L6079" s="2" t="s">
        <v>34</v>
      </c>
      <c r="M6079" s="2"/>
      <c r="N6079" s="2"/>
      <c r="O6079" s="2"/>
      <c r="P6079" s="2" t="s">
        <v>18651</v>
      </c>
      <c r="Q6079" s="6">
        <v>100</v>
      </c>
      <c r="R6079" s="6">
        <v>25</v>
      </c>
      <c r="S6079" s="5">
        <v>142.80000000000001</v>
      </c>
      <c r="T6079" s="5">
        <v>246.2</v>
      </c>
      <c r="U6079" s="5">
        <v>16.399999999999999</v>
      </c>
      <c r="V6079" s="6">
        <v>2.48</v>
      </c>
      <c r="W6079" s="6">
        <v>22.45</v>
      </c>
      <c r="X6079" s="6">
        <v>23.72</v>
      </c>
      <c r="Y6079" s="6">
        <v>24.92</v>
      </c>
      <c r="Z6079" s="6">
        <v>25.02</v>
      </c>
      <c r="AA6079" s="6">
        <v>56.56</v>
      </c>
      <c r="AB6079" s="7">
        <v>10.034000000000001</v>
      </c>
      <c r="AC6079" s="2"/>
    </row>
    <row r="6080" spans="1:29" ht="234" x14ac:dyDescent="0.15">
      <c r="A6080" s="3">
        <f>DATE(2001,3,30)</f>
        <v>36980</v>
      </c>
      <c r="B6080" s="3">
        <f>DATE(2001,5,31)</f>
        <v>37042</v>
      </c>
      <c r="C6080" s="2" t="s">
        <v>95</v>
      </c>
      <c r="D6080" s="2" t="s">
        <v>18652</v>
      </c>
      <c r="E6080" s="2" t="s">
        <v>612</v>
      </c>
      <c r="F6080" s="4">
        <v>1311</v>
      </c>
      <c r="G6080" s="2" t="s">
        <v>148</v>
      </c>
      <c r="H6080" s="2" t="s">
        <v>34</v>
      </c>
      <c r="I6080" s="2" t="s">
        <v>18653</v>
      </c>
      <c r="J6080" s="2" t="s">
        <v>612</v>
      </c>
      <c r="K6080" s="2" t="s">
        <v>148</v>
      </c>
      <c r="L6080" s="2" t="s">
        <v>34</v>
      </c>
      <c r="M6080" s="2"/>
      <c r="N6080" s="2"/>
      <c r="O6080" s="2"/>
      <c r="P6080" s="2" t="s">
        <v>18654</v>
      </c>
      <c r="Q6080" s="6">
        <v>100</v>
      </c>
      <c r="R6080" s="6">
        <v>12.5</v>
      </c>
      <c r="S6080" s="5">
        <v>17.899999999999999</v>
      </c>
      <c r="T6080" s="5">
        <v>50.3</v>
      </c>
      <c r="U6080" s="5">
        <v>7.1</v>
      </c>
      <c r="V6080" s="6">
        <v>1.6</v>
      </c>
      <c r="W6080" s="5">
        <v>9.5</v>
      </c>
      <c r="X6080" s="7">
        <v>9.0310000000000006</v>
      </c>
      <c r="Y6080" s="7">
        <v>12.327999999999999</v>
      </c>
      <c r="Z6080" s="7">
        <v>12.313000000000001</v>
      </c>
      <c r="AA6080" s="6">
        <v>9.66</v>
      </c>
      <c r="AB6080" s="7">
        <v>8.7949999999999999</v>
      </c>
      <c r="AC6080" s="2"/>
    </row>
    <row r="6081" spans="1:29" ht="65" x14ac:dyDescent="0.15">
      <c r="A6081" s="3">
        <f>DATE(2001,4,2)</f>
        <v>36983</v>
      </c>
      <c r="B6081" s="3">
        <f>DATE(2001,11,8)</f>
        <v>37203</v>
      </c>
      <c r="C6081" s="2" t="s">
        <v>95</v>
      </c>
      <c r="D6081" s="2" t="s">
        <v>18655</v>
      </c>
      <c r="E6081" s="2" t="s">
        <v>36</v>
      </c>
      <c r="F6081" s="4">
        <v>6035</v>
      </c>
      <c r="G6081" s="2" t="s">
        <v>33</v>
      </c>
      <c r="H6081" s="2" t="s">
        <v>34</v>
      </c>
      <c r="I6081" s="2" t="s">
        <v>18656</v>
      </c>
      <c r="J6081" s="2" t="s">
        <v>1181</v>
      </c>
      <c r="K6081" s="2" t="s">
        <v>37</v>
      </c>
      <c r="L6081" s="2" t="s">
        <v>34</v>
      </c>
      <c r="M6081" s="2"/>
      <c r="N6081" s="2"/>
      <c r="O6081" s="2"/>
      <c r="P6081" s="2" t="s">
        <v>18657</v>
      </c>
      <c r="Q6081" s="6">
        <v>100</v>
      </c>
      <c r="R6081" s="6">
        <v>21</v>
      </c>
      <c r="S6081" s="5">
        <v>1.2</v>
      </c>
      <c r="T6081" s="5">
        <v>2.8</v>
      </c>
      <c r="U6081" s="5">
        <v>15.7</v>
      </c>
      <c r="V6081" s="6">
        <v>0.48</v>
      </c>
      <c r="W6081" s="5">
        <v>11.5</v>
      </c>
      <c r="X6081" s="6">
        <v>11.25</v>
      </c>
      <c r="Y6081" s="7">
        <v>20.062999999999999</v>
      </c>
      <c r="Z6081" s="7">
        <v>19.937999999999999</v>
      </c>
      <c r="AA6081" s="6">
        <v>1.2</v>
      </c>
      <c r="AB6081" s="7">
        <v>114.896</v>
      </c>
      <c r="AC6081" s="2"/>
    </row>
    <row r="6082" spans="1:29" ht="169" x14ac:dyDescent="0.15">
      <c r="A6082" s="3">
        <f>DATE(2001,4,2)</f>
        <v>36983</v>
      </c>
      <c r="B6082" s="3">
        <f>DATE(2001,11,2)</f>
        <v>37197</v>
      </c>
      <c r="C6082" s="2" t="s">
        <v>95</v>
      </c>
      <c r="D6082" s="2" t="s">
        <v>18658</v>
      </c>
      <c r="E6082" s="2" t="s">
        <v>18659</v>
      </c>
      <c r="F6082" s="4">
        <v>3674</v>
      </c>
      <c r="G6082" s="2" t="s">
        <v>137</v>
      </c>
      <c r="H6082" s="2" t="s">
        <v>34</v>
      </c>
      <c r="I6082" s="2" t="s">
        <v>8179</v>
      </c>
      <c r="J6082" s="2" t="s">
        <v>207</v>
      </c>
      <c r="K6082" s="2" t="s">
        <v>137</v>
      </c>
      <c r="L6082" s="2" t="s">
        <v>34</v>
      </c>
      <c r="M6082" s="12">
        <v>2447.9520000000002</v>
      </c>
      <c r="N6082" s="6">
        <v>19.010000000000002</v>
      </c>
      <c r="O6082" s="5">
        <v>17.899999999999999</v>
      </c>
      <c r="P6082" s="2" t="s">
        <v>18660</v>
      </c>
      <c r="Q6082" s="6">
        <v>100</v>
      </c>
      <c r="R6082" s="6">
        <v>13.54</v>
      </c>
      <c r="S6082" s="5">
        <v>32.6</v>
      </c>
      <c r="T6082" s="7">
        <v>106.301</v>
      </c>
      <c r="U6082" s="5">
        <v>4.9000000000000004</v>
      </c>
      <c r="V6082" s="2"/>
      <c r="W6082" s="6">
        <v>9.6300000000000008</v>
      </c>
      <c r="X6082" s="6">
        <v>9.4700000000000006</v>
      </c>
      <c r="Y6082" s="5">
        <v>9.3000000000000007</v>
      </c>
      <c r="Z6082" s="6">
        <v>9.48</v>
      </c>
      <c r="AA6082" s="6">
        <v>37.72</v>
      </c>
      <c r="AB6082" s="7">
        <v>9.3580000000000005</v>
      </c>
      <c r="AC6082" s="5">
        <v>382.2</v>
      </c>
    </row>
    <row r="6083" spans="1:29" ht="182" x14ac:dyDescent="0.15">
      <c r="A6083" s="3">
        <f>DATE(2001,4,2)</f>
        <v>36983</v>
      </c>
      <c r="B6083" s="3">
        <f>DATE(2001,6,28)</f>
        <v>37070</v>
      </c>
      <c r="C6083" s="2" t="s">
        <v>95</v>
      </c>
      <c r="D6083" s="2" t="s">
        <v>2981</v>
      </c>
      <c r="E6083" s="2" t="s">
        <v>2982</v>
      </c>
      <c r="F6083" s="4">
        <v>3643</v>
      </c>
      <c r="G6083" s="2" t="s">
        <v>137</v>
      </c>
      <c r="H6083" s="2" t="s">
        <v>34</v>
      </c>
      <c r="I6083" s="2" t="s">
        <v>18661</v>
      </c>
      <c r="J6083" s="2" t="s">
        <v>386</v>
      </c>
      <c r="K6083" s="2" t="s">
        <v>53</v>
      </c>
      <c r="L6083" s="2" t="s">
        <v>34</v>
      </c>
      <c r="M6083" s="2"/>
      <c r="N6083" s="2"/>
      <c r="O6083" s="2"/>
      <c r="P6083" s="2" t="s">
        <v>18662</v>
      </c>
      <c r="Q6083" s="6">
        <v>58.16</v>
      </c>
      <c r="R6083" s="2"/>
      <c r="S6083" s="5">
        <v>-14.5</v>
      </c>
      <c r="T6083" s="5">
        <v>21</v>
      </c>
      <c r="U6083" s="5">
        <v>14.3</v>
      </c>
      <c r="V6083" s="6">
        <v>-1.72</v>
      </c>
      <c r="W6083" s="6">
        <v>6.15</v>
      </c>
      <c r="X6083" s="4">
        <v>7</v>
      </c>
      <c r="Y6083" s="5">
        <v>6.9</v>
      </c>
      <c r="Z6083" s="5">
        <v>6.8</v>
      </c>
      <c r="AA6083" s="6">
        <v>8.39</v>
      </c>
      <c r="AB6083" s="2" t="s">
        <v>86</v>
      </c>
      <c r="AC6083" s="2"/>
    </row>
    <row r="6084" spans="1:29" ht="78" x14ac:dyDescent="0.15">
      <c r="A6084" s="3">
        <f>DATE(2001,4,2)</f>
        <v>36983</v>
      </c>
      <c r="B6084" s="3">
        <f>DATE(2001,8,8)</f>
        <v>37111</v>
      </c>
      <c r="C6084" s="2" t="s">
        <v>95</v>
      </c>
      <c r="D6084" s="2" t="s">
        <v>6984</v>
      </c>
      <c r="E6084" s="2" t="s">
        <v>6060</v>
      </c>
      <c r="F6084" s="4">
        <v>6512</v>
      </c>
      <c r="G6084" s="2" t="s">
        <v>109</v>
      </c>
      <c r="H6084" s="2" t="s">
        <v>34</v>
      </c>
      <c r="I6084" s="2" t="s">
        <v>18663</v>
      </c>
      <c r="J6084" s="2" t="s">
        <v>17449</v>
      </c>
      <c r="K6084" s="2" t="s">
        <v>109</v>
      </c>
      <c r="L6084" s="2" t="s">
        <v>34</v>
      </c>
      <c r="M6084" s="2"/>
      <c r="N6084" s="2"/>
      <c r="O6084" s="2"/>
      <c r="P6084" s="2" t="s">
        <v>18664</v>
      </c>
      <c r="Q6084" s="6">
        <v>32.31</v>
      </c>
      <c r="R6084" s="6">
        <v>2.65</v>
      </c>
      <c r="S6084" s="5">
        <v>0.5</v>
      </c>
      <c r="T6084" s="7">
        <v>1.7589999999999999</v>
      </c>
      <c r="U6084" s="5">
        <v>3.5</v>
      </c>
      <c r="V6084" s="6">
        <v>0.12</v>
      </c>
      <c r="W6084" s="7">
        <v>1.875</v>
      </c>
      <c r="X6084" s="7">
        <v>1.875</v>
      </c>
      <c r="Y6084" s="7">
        <v>2.468</v>
      </c>
      <c r="Z6084" s="7">
        <v>2.468</v>
      </c>
      <c r="AA6084" s="6">
        <v>4.29</v>
      </c>
      <c r="AB6084" s="7">
        <v>35.594999999999999</v>
      </c>
      <c r="AC6084" s="2"/>
    </row>
    <row r="6085" spans="1:29" ht="143" x14ac:dyDescent="0.15">
      <c r="A6085" s="3">
        <f>DATE(2001,4,2)</f>
        <v>36983</v>
      </c>
      <c r="B6085" s="3">
        <f>DATE(2001,5,25)</f>
        <v>37036</v>
      </c>
      <c r="C6085" s="2" t="s">
        <v>95</v>
      </c>
      <c r="D6085" s="2" t="s">
        <v>18665</v>
      </c>
      <c r="E6085" s="2" t="s">
        <v>18666</v>
      </c>
      <c r="F6085" s="4">
        <v>2841</v>
      </c>
      <c r="G6085" s="2" t="s">
        <v>358</v>
      </c>
      <c r="H6085" s="2" t="s">
        <v>34</v>
      </c>
      <c r="I6085" s="2" t="s">
        <v>18667</v>
      </c>
      <c r="J6085" s="2" t="s">
        <v>18668</v>
      </c>
      <c r="K6085" s="2" t="s">
        <v>358</v>
      </c>
      <c r="L6085" s="2" t="s">
        <v>34</v>
      </c>
      <c r="M6085" s="6">
        <v>833.91</v>
      </c>
      <c r="N6085" s="6">
        <v>22.98</v>
      </c>
      <c r="O6085" s="6">
        <v>23.35</v>
      </c>
      <c r="P6085" s="2" t="s">
        <v>18669</v>
      </c>
      <c r="Q6085" s="6">
        <v>85.42</v>
      </c>
      <c r="R6085" s="6">
        <v>7</v>
      </c>
      <c r="S6085" s="5">
        <v>-0.8</v>
      </c>
      <c r="T6085" s="5">
        <v>15.1</v>
      </c>
      <c r="U6085" s="5">
        <v>1.5</v>
      </c>
      <c r="V6085" s="6">
        <v>-0.05</v>
      </c>
      <c r="W6085" s="4">
        <v>4</v>
      </c>
      <c r="X6085" s="6">
        <v>4.25</v>
      </c>
      <c r="Y6085" s="7">
        <v>4.7190000000000003</v>
      </c>
      <c r="Z6085" s="7">
        <v>4.9690000000000003</v>
      </c>
      <c r="AA6085" s="6">
        <v>14.19</v>
      </c>
      <c r="AB6085" s="7">
        <v>28.960999999999999</v>
      </c>
      <c r="AC6085" s="5">
        <v>21.6</v>
      </c>
    </row>
    <row r="6086" spans="1:29" ht="104" x14ac:dyDescent="0.15">
      <c r="A6086" s="3">
        <f>DATE(2001,4,3)</f>
        <v>36984</v>
      </c>
      <c r="B6086" s="3">
        <f>DATE(2001,8,30)</f>
        <v>37133</v>
      </c>
      <c r="C6086" s="2" t="s">
        <v>95</v>
      </c>
      <c r="D6086" s="2" t="s">
        <v>514</v>
      </c>
      <c r="E6086" s="2" t="s">
        <v>515</v>
      </c>
      <c r="F6086" s="4">
        <v>6311</v>
      </c>
      <c r="G6086" s="2" t="s">
        <v>125</v>
      </c>
      <c r="H6086" s="2" t="s">
        <v>34</v>
      </c>
      <c r="I6086" s="2" t="s">
        <v>830</v>
      </c>
      <c r="J6086" s="2" t="s">
        <v>831</v>
      </c>
      <c r="K6086" s="2" t="s">
        <v>125</v>
      </c>
      <c r="L6086" s="2" t="s">
        <v>34</v>
      </c>
      <c r="M6086" s="12">
        <v>187513.60500000001</v>
      </c>
      <c r="N6086" s="6">
        <v>80.209999999999994</v>
      </c>
      <c r="O6086" s="6">
        <v>76.84</v>
      </c>
      <c r="P6086" s="2" t="s">
        <v>18670</v>
      </c>
      <c r="Q6086" s="6">
        <v>100</v>
      </c>
      <c r="R6086" s="6">
        <v>46</v>
      </c>
      <c r="S6086" s="8">
        <v>1147</v>
      </c>
      <c r="T6086" s="2"/>
      <c r="U6086" s="5">
        <v>16.600000000000001</v>
      </c>
      <c r="V6086" s="6">
        <v>2.0699999999999998</v>
      </c>
      <c r="W6086" s="6">
        <v>39.01</v>
      </c>
      <c r="X6086" s="6">
        <v>38.25</v>
      </c>
      <c r="Y6086" s="5">
        <v>38.799999999999997</v>
      </c>
      <c r="Z6086" s="5">
        <v>39.299999999999997</v>
      </c>
      <c r="AA6086" s="6">
        <v>499.6</v>
      </c>
      <c r="AB6086" s="7">
        <v>10.916</v>
      </c>
      <c r="AC6086" s="5">
        <v>256</v>
      </c>
    </row>
    <row r="6087" spans="1:29" ht="117" x14ac:dyDescent="0.15">
      <c r="A6087" s="3">
        <f>DATE(2001,4,3)</f>
        <v>36984</v>
      </c>
      <c r="B6087" s="3">
        <f>DATE(2001,8,24)</f>
        <v>37127</v>
      </c>
      <c r="C6087" s="2" t="s">
        <v>95</v>
      </c>
      <c r="D6087" s="2" t="s">
        <v>18671</v>
      </c>
      <c r="E6087" s="2" t="s">
        <v>18672</v>
      </c>
      <c r="F6087" s="4">
        <v>3559</v>
      </c>
      <c r="G6087" s="2" t="s">
        <v>300</v>
      </c>
      <c r="H6087" s="2" t="s">
        <v>34</v>
      </c>
      <c r="I6087" s="2" t="s">
        <v>18673</v>
      </c>
      <c r="J6087" s="2" t="s">
        <v>18674</v>
      </c>
      <c r="K6087" s="2" t="s">
        <v>551</v>
      </c>
      <c r="L6087" s="2" t="s">
        <v>34</v>
      </c>
      <c r="M6087" s="7">
        <v>144.535</v>
      </c>
      <c r="N6087" s="4">
        <v>11</v>
      </c>
      <c r="O6087" s="6">
        <v>11.75</v>
      </c>
      <c r="P6087" s="2" t="s">
        <v>18675</v>
      </c>
      <c r="Q6087" s="6">
        <v>100</v>
      </c>
      <c r="R6087" s="6">
        <v>5.8</v>
      </c>
      <c r="S6087" s="5">
        <v>3.1</v>
      </c>
      <c r="T6087" s="7">
        <v>5.5609999999999999</v>
      </c>
      <c r="U6087" s="5">
        <v>1.5</v>
      </c>
      <c r="V6087" s="6">
        <v>0.42</v>
      </c>
      <c r="W6087" s="7">
        <v>3.375</v>
      </c>
      <c r="X6087" s="7">
        <v>3.6880000000000002</v>
      </c>
      <c r="Y6087" s="7">
        <v>5.0629999999999997</v>
      </c>
      <c r="Z6087" s="7">
        <v>5.2809999999999997</v>
      </c>
      <c r="AA6087" s="6">
        <v>7.09</v>
      </c>
      <c r="AB6087" s="7">
        <v>10.510999999999999</v>
      </c>
      <c r="AC6087" s="5">
        <v>16.399999999999999</v>
      </c>
    </row>
    <row r="6088" spans="1:29" ht="91" x14ac:dyDescent="0.15">
      <c r="A6088" s="3">
        <f>DATE(2001,4,3)</f>
        <v>36984</v>
      </c>
      <c r="B6088" s="3">
        <f>DATE(2001,6,18)</f>
        <v>37060</v>
      </c>
      <c r="C6088" s="2" t="s">
        <v>95</v>
      </c>
      <c r="D6088" s="2" t="s">
        <v>18676</v>
      </c>
      <c r="E6088" s="2" t="s">
        <v>18677</v>
      </c>
      <c r="F6088" s="4">
        <v>7373</v>
      </c>
      <c r="G6088" s="2" t="s">
        <v>223</v>
      </c>
      <c r="H6088" s="2" t="s">
        <v>34</v>
      </c>
      <c r="I6088" s="2" t="s">
        <v>15030</v>
      </c>
      <c r="J6088" s="2" t="s">
        <v>15031</v>
      </c>
      <c r="K6088" s="2" t="s">
        <v>226</v>
      </c>
      <c r="L6088" s="2" t="s">
        <v>34</v>
      </c>
      <c r="M6088" s="12">
        <v>1573.3219999999999</v>
      </c>
      <c r="N6088" s="6">
        <v>21.21</v>
      </c>
      <c r="O6088" s="6">
        <v>21.27</v>
      </c>
      <c r="P6088" s="2" t="s">
        <v>18678</v>
      </c>
      <c r="Q6088" s="6">
        <v>100</v>
      </c>
      <c r="R6088" s="6">
        <v>3.55</v>
      </c>
      <c r="S6088" s="5">
        <v>-0.7</v>
      </c>
      <c r="T6088" s="5">
        <v>2.5</v>
      </c>
      <c r="U6088" s="5">
        <v>1.9</v>
      </c>
      <c r="V6088" s="6">
        <v>-0.12</v>
      </c>
      <c r="W6088" s="7">
        <v>1.375</v>
      </c>
      <c r="X6088" s="7">
        <v>1.9379999999999999</v>
      </c>
      <c r="Y6088" s="7">
        <v>3.4380000000000002</v>
      </c>
      <c r="Z6088" s="7">
        <v>3.4380000000000002</v>
      </c>
      <c r="AA6088" s="6">
        <v>6.04</v>
      </c>
      <c r="AB6088" s="2" t="s">
        <v>86</v>
      </c>
      <c r="AC6088" s="5">
        <v>378.2</v>
      </c>
    </row>
    <row r="6089" spans="1:29" ht="104" x14ac:dyDescent="0.15">
      <c r="A6089" s="3">
        <f>DATE(2001,4,4)</f>
        <v>36985</v>
      </c>
      <c r="B6089" s="2"/>
      <c r="C6089" s="2" t="s">
        <v>56</v>
      </c>
      <c r="D6089" s="2" t="s">
        <v>18679</v>
      </c>
      <c r="E6089" s="2" t="s">
        <v>18680</v>
      </c>
      <c r="F6089" s="4">
        <v>6141</v>
      </c>
      <c r="G6089" s="2" t="s">
        <v>370</v>
      </c>
      <c r="H6089" s="2" t="s">
        <v>34</v>
      </c>
      <c r="I6089" s="2" t="s">
        <v>18681</v>
      </c>
      <c r="J6089" s="2" t="s">
        <v>17536</v>
      </c>
      <c r="K6089" s="2" t="s">
        <v>109</v>
      </c>
      <c r="L6089" s="2" t="s">
        <v>34</v>
      </c>
      <c r="M6089" s="2"/>
      <c r="N6089" s="2"/>
      <c r="O6089" s="2"/>
      <c r="P6089" s="2" t="s">
        <v>18682</v>
      </c>
      <c r="Q6089" s="2"/>
      <c r="R6089" s="6">
        <v>2.5</v>
      </c>
      <c r="S6089" s="5">
        <v>2.4</v>
      </c>
      <c r="T6089" s="2"/>
      <c r="U6089" s="5">
        <v>4.3</v>
      </c>
      <c r="V6089" s="6">
        <v>0.12</v>
      </c>
      <c r="W6089" s="6">
        <v>1.75</v>
      </c>
      <c r="X6089" s="7">
        <v>1.7190000000000001</v>
      </c>
      <c r="Y6089" s="7">
        <v>1.6879999999999999</v>
      </c>
      <c r="Z6089" s="7">
        <v>1.6879999999999999</v>
      </c>
      <c r="AA6089" s="6">
        <v>20.05</v>
      </c>
      <c r="AB6089" s="7">
        <v>39.406999999999996</v>
      </c>
      <c r="AC6089" s="2"/>
    </row>
    <row r="6090" spans="1:29" ht="208" x14ac:dyDescent="0.15">
      <c r="A6090" s="3">
        <f>DATE(2001,4,5)</f>
        <v>36986</v>
      </c>
      <c r="B6090" s="3">
        <f>DATE(2001,12,21)</f>
        <v>37246</v>
      </c>
      <c r="C6090" s="2" t="s">
        <v>95</v>
      </c>
      <c r="D6090" s="2" t="s">
        <v>4101</v>
      </c>
      <c r="E6090" s="2" t="s">
        <v>4102</v>
      </c>
      <c r="F6090" s="4">
        <v>2026</v>
      </c>
      <c r="G6090" s="2" t="s">
        <v>577</v>
      </c>
      <c r="H6090" s="2" t="s">
        <v>34</v>
      </c>
      <c r="I6090" s="2" t="s">
        <v>10616</v>
      </c>
      <c r="J6090" s="2" t="s">
        <v>10617</v>
      </c>
      <c r="K6090" s="2" t="s">
        <v>593</v>
      </c>
      <c r="L6090" s="2" t="s">
        <v>34</v>
      </c>
      <c r="M6090" s="12">
        <v>1286.5219999999999</v>
      </c>
      <c r="N6090" s="6">
        <v>46.95</v>
      </c>
      <c r="O6090" s="6">
        <v>48.73</v>
      </c>
      <c r="P6090" s="2" t="s">
        <v>18683</v>
      </c>
      <c r="Q6090" s="6">
        <v>100</v>
      </c>
      <c r="R6090" s="6">
        <v>40.92</v>
      </c>
      <c r="S6090" s="5">
        <v>99</v>
      </c>
      <c r="T6090" s="5">
        <v>330.1</v>
      </c>
      <c r="U6090" s="5">
        <v>19.899999999999999</v>
      </c>
      <c r="V6090" s="6">
        <v>2.77</v>
      </c>
      <c r="W6090" s="6">
        <v>32.369999999999997</v>
      </c>
      <c r="X6090" s="5">
        <v>32.5</v>
      </c>
      <c r="Y6090" s="6">
        <v>37.869999999999997</v>
      </c>
      <c r="Z6090" s="6">
        <v>38.049999999999997</v>
      </c>
      <c r="AA6090" s="6">
        <v>35.57</v>
      </c>
      <c r="AB6090" s="7">
        <v>10.757</v>
      </c>
      <c r="AC6090" s="6">
        <v>21.09</v>
      </c>
    </row>
    <row r="6091" spans="1:29" ht="78" x14ac:dyDescent="0.15">
      <c r="A6091" s="3">
        <f>DATE(2001,4,9)</f>
        <v>36990</v>
      </c>
      <c r="B6091" s="3">
        <f>DATE(2001,8,13)</f>
        <v>37116</v>
      </c>
      <c r="C6091" s="2" t="s">
        <v>95</v>
      </c>
      <c r="D6091" s="2" t="s">
        <v>18684</v>
      </c>
      <c r="E6091" s="2" t="s">
        <v>7985</v>
      </c>
      <c r="F6091" s="4">
        <v>7389</v>
      </c>
      <c r="G6091" s="2" t="s">
        <v>223</v>
      </c>
      <c r="H6091" s="2" t="s">
        <v>34</v>
      </c>
      <c r="I6091" s="2" t="s">
        <v>6547</v>
      </c>
      <c r="J6091" s="2" t="s">
        <v>6548</v>
      </c>
      <c r="K6091" s="2" t="s">
        <v>45</v>
      </c>
      <c r="L6091" s="2" t="s">
        <v>34</v>
      </c>
      <c r="M6091" s="2"/>
      <c r="N6091" s="2"/>
      <c r="O6091" s="2"/>
      <c r="P6091" s="2" t="s">
        <v>18685</v>
      </c>
      <c r="Q6091" s="6">
        <v>64.819999999999993</v>
      </c>
      <c r="R6091" s="6">
        <v>2.19</v>
      </c>
      <c r="S6091" s="8">
        <v>-2465.1999999999998</v>
      </c>
      <c r="T6091" s="8">
        <v>-1775.4</v>
      </c>
      <c r="U6091" s="5">
        <v>0.9</v>
      </c>
      <c r="V6091" s="6">
        <v>-38.99</v>
      </c>
      <c r="W6091" s="7">
        <v>1.3440000000000001</v>
      </c>
      <c r="X6091" s="5">
        <v>1.5</v>
      </c>
      <c r="Y6091" s="6">
        <v>2.14</v>
      </c>
      <c r="Z6091" s="6">
        <v>2.14</v>
      </c>
      <c r="AA6091" s="6">
        <v>62.81</v>
      </c>
      <c r="AB6091" s="2" t="s">
        <v>86</v>
      </c>
      <c r="AC6091" s="2"/>
    </row>
    <row r="6092" spans="1:29" ht="117" x14ac:dyDescent="0.15">
      <c r="A6092" s="3">
        <f>DATE(2001,4,10)</f>
        <v>36991</v>
      </c>
      <c r="B6092" s="3">
        <f>DATE(2001,9,28)</f>
        <v>37162</v>
      </c>
      <c r="C6092" s="2" t="s">
        <v>95</v>
      </c>
      <c r="D6092" s="2" t="s">
        <v>18686</v>
      </c>
      <c r="E6092" s="2" t="s">
        <v>36</v>
      </c>
      <c r="F6092" s="4">
        <v>6011</v>
      </c>
      <c r="G6092" s="2" t="s">
        <v>3583</v>
      </c>
      <c r="H6092" s="2" t="s">
        <v>34</v>
      </c>
      <c r="I6092" s="2" t="s">
        <v>18687</v>
      </c>
      <c r="J6092" s="2" t="s">
        <v>265</v>
      </c>
      <c r="K6092" s="2" t="s">
        <v>37</v>
      </c>
      <c r="L6092" s="2" t="s">
        <v>34</v>
      </c>
      <c r="M6092" s="7">
        <v>361.61200000000002</v>
      </c>
      <c r="N6092" s="6">
        <v>14.62</v>
      </c>
      <c r="O6092" s="6">
        <v>14.36</v>
      </c>
      <c r="P6092" s="2" t="s">
        <v>18688</v>
      </c>
      <c r="Q6092" s="6">
        <v>100</v>
      </c>
      <c r="R6092" s="6">
        <v>28.75</v>
      </c>
      <c r="S6092" s="5">
        <v>3.7</v>
      </c>
      <c r="T6092" s="7">
        <v>5.3490000000000002</v>
      </c>
      <c r="U6092" s="5">
        <v>12.2</v>
      </c>
      <c r="V6092" s="6">
        <v>1.73</v>
      </c>
      <c r="W6092" s="6">
        <v>18.309999999999999</v>
      </c>
      <c r="X6092" s="6">
        <v>17.88</v>
      </c>
      <c r="Y6092" s="6">
        <v>26.25</v>
      </c>
      <c r="Z6092" s="6">
        <v>26.25</v>
      </c>
      <c r="AA6092" s="6">
        <v>2.1</v>
      </c>
      <c r="AB6092" s="7">
        <v>54.936999999999998</v>
      </c>
      <c r="AC6092" s="5">
        <v>102.2</v>
      </c>
    </row>
    <row r="6093" spans="1:29" ht="65" x14ac:dyDescent="0.15">
      <c r="A6093" s="3">
        <f>DATE(2001,4,10)</f>
        <v>36991</v>
      </c>
      <c r="B6093" s="3">
        <f>DATE(2001,7,2)</f>
        <v>37074</v>
      </c>
      <c r="C6093" s="2" t="s">
        <v>95</v>
      </c>
      <c r="D6093" s="2" t="s">
        <v>18689</v>
      </c>
      <c r="E6093" s="2" t="s">
        <v>18690</v>
      </c>
      <c r="F6093" s="4">
        <v>2084</v>
      </c>
      <c r="G6093" s="2" t="s">
        <v>577</v>
      </c>
      <c r="H6093" s="2" t="s">
        <v>34</v>
      </c>
      <c r="I6093" s="2" t="s">
        <v>18691</v>
      </c>
      <c r="J6093" s="2" t="s">
        <v>18692</v>
      </c>
      <c r="K6093" s="2" t="s">
        <v>577</v>
      </c>
      <c r="L6093" s="2" t="s">
        <v>34</v>
      </c>
      <c r="M6093" s="12">
        <v>1280.509</v>
      </c>
      <c r="N6093" s="6">
        <v>70.97</v>
      </c>
      <c r="O6093" s="6">
        <v>68.45</v>
      </c>
      <c r="P6093" s="2" t="s">
        <v>18693</v>
      </c>
      <c r="Q6093" s="6">
        <v>100</v>
      </c>
      <c r="R6093" s="6">
        <v>29.5</v>
      </c>
      <c r="S6093" s="5">
        <v>6.3</v>
      </c>
      <c r="T6093" s="7">
        <v>12.237</v>
      </c>
      <c r="U6093" s="5">
        <v>7.3</v>
      </c>
      <c r="V6093" s="6">
        <v>1.25</v>
      </c>
      <c r="W6093" s="6">
        <v>16.75</v>
      </c>
      <c r="X6093" s="5">
        <v>17.100000000000001</v>
      </c>
      <c r="Y6093" s="6">
        <v>17.52</v>
      </c>
      <c r="Z6093" s="6">
        <v>28.85</v>
      </c>
      <c r="AA6093" s="6">
        <v>4.87</v>
      </c>
      <c r="AB6093" s="7">
        <v>15.183999999999999</v>
      </c>
      <c r="AC6093" s="6">
        <v>145.66999999999999</v>
      </c>
    </row>
    <row r="6094" spans="1:29" ht="117" x14ac:dyDescent="0.15">
      <c r="A6094" s="3">
        <f>DATE(2001,4,11)</f>
        <v>36992</v>
      </c>
      <c r="B6094" s="3">
        <f>DATE(2001,6,1)</f>
        <v>37043</v>
      </c>
      <c r="C6094" s="2" t="s">
        <v>95</v>
      </c>
      <c r="D6094" s="2" t="s">
        <v>9740</v>
      </c>
      <c r="E6094" s="2" t="s">
        <v>9741</v>
      </c>
      <c r="F6094" s="4">
        <v>3497</v>
      </c>
      <c r="G6094" s="2" t="s">
        <v>163</v>
      </c>
      <c r="H6094" s="2" t="s">
        <v>34</v>
      </c>
      <c r="I6094" s="2" t="s">
        <v>506</v>
      </c>
      <c r="J6094" s="2" t="s">
        <v>507</v>
      </c>
      <c r="K6094" s="2" t="s">
        <v>300</v>
      </c>
      <c r="L6094" s="2" t="s">
        <v>34</v>
      </c>
      <c r="M6094" s="12">
        <v>18801.253000000001</v>
      </c>
      <c r="N6094" s="6">
        <v>59.23</v>
      </c>
      <c r="O6094" s="5">
        <v>60.2</v>
      </c>
      <c r="P6094" s="2" t="s">
        <v>18694</v>
      </c>
      <c r="Q6094" s="6">
        <v>100</v>
      </c>
      <c r="R6094" s="6">
        <v>6.36</v>
      </c>
      <c r="S6094" s="5">
        <v>2.7</v>
      </c>
      <c r="T6094" s="6">
        <v>8.35</v>
      </c>
      <c r="U6094" s="5">
        <v>3.5</v>
      </c>
      <c r="V6094" s="6">
        <v>0.32</v>
      </c>
      <c r="W6094" s="7">
        <v>3.0310000000000001</v>
      </c>
      <c r="X6094" s="5">
        <v>3.5</v>
      </c>
      <c r="Y6094" s="6">
        <v>6.25</v>
      </c>
      <c r="Z6094" s="6">
        <v>6.26</v>
      </c>
      <c r="AA6094" s="6">
        <v>8.0500000000000007</v>
      </c>
      <c r="AB6094" s="7">
        <v>14.544</v>
      </c>
      <c r="AC6094" s="5">
        <v>149.5</v>
      </c>
    </row>
    <row r="6095" spans="1:29" ht="104" x14ac:dyDescent="0.15">
      <c r="A6095" s="3">
        <f>DATE(2001,4,13)</f>
        <v>36994</v>
      </c>
      <c r="B6095" s="2"/>
      <c r="C6095" s="2" t="s">
        <v>30</v>
      </c>
      <c r="D6095" s="2" t="s">
        <v>18530</v>
      </c>
      <c r="E6095" s="2" t="s">
        <v>18531</v>
      </c>
      <c r="F6095" s="4">
        <v>7011</v>
      </c>
      <c r="G6095" s="2" t="s">
        <v>269</v>
      </c>
      <c r="H6095" s="2" t="s">
        <v>34</v>
      </c>
      <c r="I6095" s="2" t="s">
        <v>18695</v>
      </c>
      <c r="J6095" s="2" t="s">
        <v>150</v>
      </c>
      <c r="K6095" s="2" t="s">
        <v>53</v>
      </c>
      <c r="L6095" s="2" t="s">
        <v>34</v>
      </c>
      <c r="M6095" s="2"/>
      <c r="N6095" s="2"/>
      <c r="O6095" s="2"/>
      <c r="P6095" s="2" t="s">
        <v>18696</v>
      </c>
      <c r="Q6095" s="2"/>
      <c r="R6095" s="6">
        <v>12</v>
      </c>
      <c r="S6095" s="5">
        <v>5.5</v>
      </c>
      <c r="T6095" s="5">
        <v>25.9</v>
      </c>
      <c r="U6095" s="5">
        <v>10.199999999999999</v>
      </c>
      <c r="V6095" s="6">
        <v>1.31</v>
      </c>
      <c r="W6095" s="5">
        <v>8.5</v>
      </c>
      <c r="X6095" s="5">
        <v>8.9</v>
      </c>
      <c r="Y6095" s="5">
        <v>8.9</v>
      </c>
      <c r="Z6095" s="6">
        <v>9.7799999999999994</v>
      </c>
      <c r="AA6095" s="6">
        <v>4.13</v>
      </c>
      <c r="AB6095" s="7">
        <v>3.9940000000000002</v>
      </c>
      <c r="AC6095" s="2"/>
    </row>
    <row r="6096" spans="1:29" ht="156" x14ac:dyDescent="0.15">
      <c r="A6096" s="3">
        <f>DATE(2001,4,13)</f>
        <v>36994</v>
      </c>
      <c r="B6096" s="3">
        <f>DATE(2001,6,19)</f>
        <v>37061</v>
      </c>
      <c r="C6096" s="2" t="s">
        <v>95</v>
      </c>
      <c r="D6096" s="2" t="s">
        <v>18697</v>
      </c>
      <c r="E6096" s="2" t="s">
        <v>18698</v>
      </c>
      <c r="F6096" s="4">
        <v>2331</v>
      </c>
      <c r="G6096" s="2" t="s">
        <v>708</v>
      </c>
      <c r="H6096" s="2" t="s">
        <v>34</v>
      </c>
      <c r="I6096" s="2" t="s">
        <v>13915</v>
      </c>
      <c r="J6096" s="2" t="s">
        <v>13916</v>
      </c>
      <c r="K6096" s="2" t="s">
        <v>708</v>
      </c>
      <c r="L6096" s="2" t="s">
        <v>34</v>
      </c>
      <c r="M6096" s="12">
        <v>4479.3810000000003</v>
      </c>
      <c r="N6096" s="6">
        <v>35.950000000000003</v>
      </c>
      <c r="O6096" s="6">
        <v>35.75</v>
      </c>
      <c r="P6096" s="2" t="s">
        <v>18699</v>
      </c>
      <c r="Q6096" s="6">
        <v>100</v>
      </c>
      <c r="R6096" s="6">
        <v>20.64</v>
      </c>
      <c r="S6096" s="5">
        <v>25.7</v>
      </c>
      <c r="T6096" s="7">
        <v>80.338999999999999</v>
      </c>
      <c r="U6096" s="5">
        <v>10.8</v>
      </c>
      <c r="V6096" s="6">
        <v>2.88</v>
      </c>
      <c r="W6096" s="7">
        <v>15.438000000000001</v>
      </c>
      <c r="X6096" s="5">
        <v>17.399999999999999</v>
      </c>
      <c r="Y6096" s="5">
        <v>17.399999999999999</v>
      </c>
      <c r="Z6096" s="6">
        <v>19.87</v>
      </c>
      <c r="AA6096" s="6">
        <v>9.86</v>
      </c>
      <c r="AB6096" s="7">
        <v>8.3320000000000007</v>
      </c>
      <c r="AC6096" s="5">
        <v>93.6</v>
      </c>
    </row>
    <row r="6097" spans="1:29" ht="117" x14ac:dyDescent="0.15">
      <c r="A6097" s="3">
        <f>DATE(2001,4,16)</f>
        <v>36997</v>
      </c>
      <c r="B6097" s="3">
        <f>DATE(2001,5,31)</f>
        <v>37042</v>
      </c>
      <c r="C6097" s="2" t="s">
        <v>95</v>
      </c>
      <c r="D6097" s="2" t="s">
        <v>18700</v>
      </c>
      <c r="E6097" s="2" t="s">
        <v>18701</v>
      </c>
      <c r="F6097" s="4">
        <v>6411</v>
      </c>
      <c r="G6097" s="2" t="s">
        <v>125</v>
      </c>
      <c r="H6097" s="2" t="s">
        <v>34</v>
      </c>
      <c r="I6097" s="2" t="s">
        <v>18702</v>
      </c>
      <c r="J6097" s="2" t="s">
        <v>1563</v>
      </c>
      <c r="K6097" s="2" t="s">
        <v>125</v>
      </c>
      <c r="L6097" s="2" t="s">
        <v>303</v>
      </c>
      <c r="M6097" s="2"/>
      <c r="N6097" s="2"/>
      <c r="O6097" s="2"/>
      <c r="P6097" s="2" t="s">
        <v>18703</v>
      </c>
      <c r="Q6097" s="6">
        <v>100</v>
      </c>
      <c r="R6097" s="6">
        <v>13.5</v>
      </c>
      <c r="S6097" s="5">
        <v>-10</v>
      </c>
      <c r="T6097" s="7">
        <v>19.029</v>
      </c>
      <c r="U6097" s="5">
        <v>10.1</v>
      </c>
      <c r="V6097" s="6">
        <v>-0.77</v>
      </c>
      <c r="W6097" s="4">
        <v>7</v>
      </c>
      <c r="X6097" s="6">
        <v>8.02</v>
      </c>
      <c r="Y6097" s="6">
        <v>13.15</v>
      </c>
      <c r="Z6097" s="6">
        <v>13.14</v>
      </c>
      <c r="AA6097" s="6">
        <v>13.05</v>
      </c>
      <c r="AB6097" s="2" t="s">
        <v>86</v>
      </c>
      <c r="AC6097" s="2"/>
    </row>
    <row r="6098" spans="1:29" ht="143" x14ac:dyDescent="0.15">
      <c r="A6098" s="3">
        <f>DATE(2001,4,16)</f>
        <v>36997</v>
      </c>
      <c r="B6098" s="2"/>
      <c r="C6098" s="2" t="s">
        <v>30</v>
      </c>
      <c r="D6098" s="2" t="s">
        <v>17799</v>
      </c>
      <c r="E6098" s="2" t="s">
        <v>17800</v>
      </c>
      <c r="F6098" s="4">
        <v>5521</v>
      </c>
      <c r="G6098" s="2" t="s">
        <v>73</v>
      </c>
      <c r="H6098" s="2" t="s">
        <v>34</v>
      </c>
      <c r="I6098" s="2" t="s">
        <v>17801</v>
      </c>
      <c r="J6098" s="2" t="s">
        <v>150</v>
      </c>
      <c r="K6098" s="2" t="s">
        <v>53</v>
      </c>
      <c r="L6098" s="2" t="s">
        <v>34</v>
      </c>
      <c r="M6098" s="2"/>
      <c r="N6098" s="2"/>
      <c r="O6098" s="2"/>
      <c r="P6098" s="2" t="s">
        <v>18704</v>
      </c>
      <c r="Q6098" s="2"/>
      <c r="R6098" s="2"/>
      <c r="S6098" s="5">
        <v>6.3</v>
      </c>
      <c r="T6098" s="5">
        <v>-63.4</v>
      </c>
      <c r="U6098" s="5">
        <v>12.8</v>
      </c>
      <c r="V6098" s="6">
        <v>0.52</v>
      </c>
      <c r="W6098" s="6">
        <v>3.35</v>
      </c>
      <c r="X6098" s="5">
        <v>4.0999999999999996</v>
      </c>
      <c r="Y6098" s="5">
        <v>4.9000000000000004</v>
      </c>
      <c r="Z6098" s="6">
        <v>4.72</v>
      </c>
      <c r="AA6098" s="6">
        <v>12.29</v>
      </c>
      <c r="AB6098" s="2" t="s">
        <v>86</v>
      </c>
      <c r="AC6098" s="2"/>
    </row>
    <row r="6099" spans="1:29" ht="208" x14ac:dyDescent="0.15">
      <c r="A6099" s="3">
        <f>DATE(2001,4,16)</f>
        <v>36997</v>
      </c>
      <c r="B6099" s="3">
        <f>DATE(2001,9,4)</f>
        <v>37138</v>
      </c>
      <c r="C6099" s="2" t="s">
        <v>95</v>
      </c>
      <c r="D6099" s="2" t="s">
        <v>2050</v>
      </c>
      <c r="E6099" s="2" t="s">
        <v>36</v>
      </c>
      <c r="F6099" s="4">
        <v>6021</v>
      </c>
      <c r="G6099" s="2" t="s">
        <v>37</v>
      </c>
      <c r="H6099" s="2" t="s">
        <v>34</v>
      </c>
      <c r="I6099" s="2" t="s">
        <v>2897</v>
      </c>
      <c r="J6099" s="2" t="s">
        <v>2898</v>
      </c>
      <c r="K6099" s="2" t="s">
        <v>37</v>
      </c>
      <c r="L6099" s="2" t="s">
        <v>34</v>
      </c>
      <c r="M6099" s="12">
        <v>32302.813999999998</v>
      </c>
      <c r="N6099" s="5">
        <v>31.2</v>
      </c>
      <c r="O6099" s="5">
        <v>30.4</v>
      </c>
      <c r="P6099" s="2" t="s">
        <v>18705</v>
      </c>
      <c r="Q6099" s="6">
        <v>100</v>
      </c>
      <c r="R6099" s="6">
        <v>63.84</v>
      </c>
      <c r="S6099" s="5">
        <v>829.7</v>
      </c>
      <c r="T6099" s="8">
        <v>1567.2</v>
      </c>
      <c r="U6099" s="5">
        <v>32.6</v>
      </c>
      <c r="V6099" s="6">
        <v>4.04</v>
      </c>
      <c r="W6099" s="6">
        <v>58.95</v>
      </c>
      <c r="X6099" s="5">
        <v>60.2</v>
      </c>
      <c r="Y6099" s="6">
        <v>62.05</v>
      </c>
      <c r="Z6099" s="6">
        <v>61.51</v>
      </c>
      <c r="AA6099" s="6">
        <v>204.04</v>
      </c>
      <c r="AB6099" s="7">
        <v>59.351999999999997</v>
      </c>
      <c r="AC6099" s="8">
        <v>22694</v>
      </c>
    </row>
    <row r="6100" spans="1:29" ht="52" x14ac:dyDescent="0.15">
      <c r="A6100" s="3">
        <f>DATE(2001,4,18)</f>
        <v>36999</v>
      </c>
      <c r="B6100" s="3">
        <f>DATE(2001,9,7)</f>
        <v>37141</v>
      </c>
      <c r="C6100" s="2" t="s">
        <v>95</v>
      </c>
      <c r="D6100" s="2" t="s">
        <v>18706</v>
      </c>
      <c r="E6100" s="2" t="s">
        <v>389</v>
      </c>
      <c r="F6100" s="4">
        <v>6036</v>
      </c>
      <c r="G6100" s="2" t="s">
        <v>33</v>
      </c>
      <c r="H6100" s="2" t="s">
        <v>34</v>
      </c>
      <c r="I6100" s="2" t="s">
        <v>18707</v>
      </c>
      <c r="J6100" s="2" t="s">
        <v>1295</v>
      </c>
      <c r="K6100" s="2" t="s">
        <v>33</v>
      </c>
      <c r="L6100" s="2" t="s">
        <v>34</v>
      </c>
      <c r="M6100" s="7">
        <v>10.488</v>
      </c>
      <c r="N6100" s="6">
        <v>11.97</v>
      </c>
      <c r="O6100" s="6">
        <v>11.05</v>
      </c>
      <c r="P6100" s="2" t="s">
        <v>18708</v>
      </c>
      <c r="Q6100" s="6">
        <v>100</v>
      </c>
      <c r="R6100" s="6">
        <v>16</v>
      </c>
      <c r="S6100" s="5">
        <v>0.2</v>
      </c>
      <c r="T6100" s="7">
        <v>0.55600000000000005</v>
      </c>
      <c r="U6100" s="5">
        <v>16.5</v>
      </c>
      <c r="V6100" s="6">
        <v>0.51</v>
      </c>
      <c r="W6100" s="4">
        <v>10</v>
      </c>
      <c r="X6100" s="4">
        <v>10</v>
      </c>
      <c r="Y6100" s="4">
        <v>10</v>
      </c>
      <c r="Z6100" s="4">
        <v>10</v>
      </c>
      <c r="AA6100" s="6">
        <v>1.1299999999999999</v>
      </c>
      <c r="AB6100" s="7">
        <v>74.974000000000004</v>
      </c>
      <c r="AC6100" s="2"/>
    </row>
    <row r="6101" spans="1:29" ht="65" x14ac:dyDescent="0.15">
      <c r="A6101" s="3">
        <f>DATE(2001,4,19)</f>
        <v>37000</v>
      </c>
      <c r="B6101" s="3">
        <f>DATE(2001,6,7)</f>
        <v>37049</v>
      </c>
      <c r="C6101" s="2" t="s">
        <v>95</v>
      </c>
      <c r="D6101" s="2" t="s">
        <v>18709</v>
      </c>
      <c r="E6101" s="2" t="s">
        <v>12459</v>
      </c>
      <c r="F6101" s="4">
        <v>7389</v>
      </c>
      <c r="G6101" s="2" t="s">
        <v>223</v>
      </c>
      <c r="H6101" s="2" t="s">
        <v>34</v>
      </c>
      <c r="I6101" s="2" t="s">
        <v>5443</v>
      </c>
      <c r="J6101" s="2" t="s">
        <v>5444</v>
      </c>
      <c r="K6101" s="2" t="s">
        <v>50</v>
      </c>
      <c r="L6101" s="2" t="s">
        <v>34</v>
      </c>
      <c r="M6101" s="12">
        <v>156887.625</v>
      </c>
      <c r="N6101" s="6">
        <v>114.47</v>
      </c>
      <c r="O6101" s="6">
        <v>114.83</v>
      </c>
      <c r="P6101" s="2" t="s">
        <v>18710</v>
      </c>
      <c r="Q6101" s="6">
        <v>100</v>
      </c>
      <c r="R6101" s="6">
        <v>4</v>
      </c>
      <c r="S6101" s="5">
        <v>-14.8</v>
      </c>
      <c r="T6101" s="7">
        <v>-19.442</v>
      </c>
      <c r="U6101" s="5">
        <v>3.1</v>
      </c>
      <c r="V6101" s="6">
        <v>0.83</v>
      </c>
      <c r="W6101" s="6">
        <v>1.85</v>
      </c>
      <c r="X6101" s="6">
        <v>3.01</v>
      </c>
      <c r="Y6101" s="5">
        <v>3.2</v>
      </c>
      <c r="Z6101" s="6">
        <v>3.92</v>
      </c>
      <c r="AA6101" s="6">
        <v>19.54</v>
      </c>
      <c r="AB6101" s="2" t="s">
        <v>86</v>
      </c>
      <c r="AC6101" s="8">
        <v>3563</v>
      </c>
    </row>
    <row r="6102" spans="1:29" ht="182" x14ac:dyDescent="0.15">
      <c r="A6102" s="3">
        <f>DATE(2001,4,19)</f>
        <v>37000</v>
      </c>
      <c r="B6102" s="3">
        <f>DATE(2001,4,19)</f>
        <v>37000</v>
      </c>
      <c r="C6102" s="2" t="s">
        <v>95</v>
      </c>
      <c r="D6102" s="2" t="s">
        <v>11162</v>
      </c>
      <c r="E6102" s="2" t="s">
        <v>11163</v>
      </c>
      <c r="F6102" s="4">
        <v>3861</v>
      </c>
      <c r="G6102" s="2" t="s">
        <v>226</v>
      </c>
      <c r="H6102" s="2" t="s">
        <v>34</v>
      </c>
      <c r="I6102" s="2" t="s">
        <v>18711</v>
      </c>
      <c r="J6102" s="2" t="s">
        <v>7424</v>
      </c>
      <c r="K6102" s="2" t="s">
        <v>223</v>
      </c>
      <c r="L6102" s="2" t="s">
        <v>34</v>
      </c>
      <c r="M6102" s="7">
        <v>82.795000000000002</v>
      </c>
      <c r="N6102" s="6">
        <v>5.09</v>
      </c>
      <c r="O6102" s="5">
        <v>3.3</v>
      </c>
      <c r="P6102" s="2" t="s">
        <v>18712</v>
      </c>
      <c r="Q6102" s="6">
        <v>83.47</v>
      </c>
      <c r="R6102" s="2"/>
      <c r="S6102" s="5">
        <v>-17</v>
      </c>
      <c r="T6102" s="5">
        <v>94.2</v>
      </c>
      <c r="U6102" s="5">
        <v>-29.2</v>
      </c>
      <c r="V6102" s="6">
        <v>-1.99</v>
      </c>
      <c r="W6102" s="6">
        <v>3.99</v>
      </c>
      <c r="X6102" s="6">
        <v>3.95</v>
      </c>
      <c r="Y6102" s="5">
        <v>4.0999999999999996</v>
      </c>
      <c r="Z6102" s="6">
        <v>4.3499999999999996</v>
      </c>
      <c r="AA6102" s="6">
        <v>8.77</v>
      </c>
      <c r="AB6102" s="7">
        <v>15.863</v>
      </c>
      <c r="AC6102" s="5">
        <v>35.1</v>
      </c>
    </row>
    <row r="6103" spans="1:29" ht="182" x14ac:dyDescent="0.15">
      <c r="A6103" s="3">
        <f>DATE(2001,4,20)</f>
        <v>37001</v>
      </c>
      <c r="B6103" s="3">
        <f>DATE(2001,10,9)</f>
        <v>37173</v>
      </c>
      <c r="C6103" s="2" t="s">
        <v>95</v>
      </c>
      <c r="D6103" s="2" t="s">
        <v>6329</v>
      </c>
      <c r="E6103" s="2" t="s">
        <v>265</v>
      </c>
      <c r="F6103" s="4">
        <v>6021</v>
      </c>
      <c r="G6103" s="2" t="s">
        <v>37</v>
      </c>
      <c r="H6103" s="2" t="s">
        <v>34</v>
      </c>
      <c r="I6103" s="2" t="s">
        <v>18713</v>
      </c>
      <c r="J6103" s="2" t="s">
        <v>203</v>
      </c>
      <c r="K6103" s="2" t="s">
        <v>33</v>
      </c>
      <c r="L6103" s="2" t="s">
        <v>34</v>
      </c>
      <c r="M6103" s="7">
        <v>19.117999999999999</v>
      </c>
      <c r="N6103" s="5">
        <v>17.5</v>
      </c>
      <c r="O6103" s="5">
        <v>17.5</v>
      </c>
      <c r="P6103" s="2" t="s">
        <v>18714</v>
      </c>
      <c r="Q6103" s="6">
        <v>100</v>
      </c>
      <c r="R6103" s="6">
        <v>9.0500000000000007</v>
      </c>
      <c r="S6103" s="5">
        <v>1.1000000000000001</v>
      </c>
      <c r="T6103" s="5">
        <v>2</v>
      </c>
      <c r="U6103" s="5">
        <v>9.8000000000000007</v>
      </c>
      <c r="V6103" s="6">
        <v>0.73</v>
      </c>
      <c r="W6103" s="7">
        <v>10.125</v>
      </c>
      <c r="X6103" s="6">
        <v>9.9499999999999993</v>
      </c>
      <c r="Y6103" s="6">
        <v>9.9499999999999993</v>
      </c>
      <c r="Z6103" s="5">
        <v>10.199999999999999</v>
      </c>
      <c r="AA6103" s="6">
        <v>1.56</v>
      </c>
      <c r="AB6103" s="7">
        <v>97.944999999999993</v>
      </c>
      <c r="AC6103" s="5">
        <v>7.2</v>
      </c>
    </row>
    <row r="6104" spans="1:29" ht="156" x14ac:dyDescent="0.15">
      <c r="A6104" s="3">
        <f>DATE(2001,4,20)</f>
        <v>37001</v>
      </c>
      <c r="B6104" s="2"/>
      <c r="C6104" s="2" t="s">
        <v>30</v>
      </c>
      <c r="D6104" s="2" t="s">
        <v>562</v>
      </c>
      <c r="E6104" s="2" t="s">
        <v>18715</v>
      </c>
      <c r="F6104" s="4">
        <v>3841</v>
      </c>
      <c r="G6104" s="2" t="s">
        <v>226</v>
      </c>
      <c r="H6104" s="2" t="s">
        <v>34</v>
      </c>
      <c r="I6104" s="2" t="s">
        <v>16697</v>
      </c>
      <c r="J6104" s="2" t="s">
        <v>150</v>
      </c>
      <c r="K6104" s="2" t="s">
        <v>53</v>
      </c>
      <c r="L6104" s="2" t="s">
        <v>34</v>
      </c>
      <c r="M6104" s="2"/>
      <c r="N6104" s="2"/>
      <c r="O6104" s="2"/>
      <c r="P6104" s="2" t="s">
        <v>18716</v>
      </c>
      <c r="Q6104" s="2"/>
      <c r="R6104" s="6">
        <v>32</v>
      </c>
      <c r="S6104" s="2"/>
      <c r="T6104" s="2"/>
      <c r="U6104" s="2"/>
      <c r="V6104" s="2"/>
      <c r="W6104" s="5">
        <v>20.5</v>
      </c>
      <c r="X6104" s="6">
        <v>20.83</v>
      </c>
      <c r="Y6104" s="6">
        <v>23.75</v>
      </c>
      <c r="Z6104" s="6">
        <v>23.16</v>
      </c>
      <c r="AA6104" s="6">
        <v>57.57</v>
      </c>
      <c r="AB6104" s="2" t="s">
        <v>47</v>
      </c>
      <c r="AC6104" s="2"/>
    </row>
    <row r="6105" spans="1:29" ht="104" x14ac:dyDescent="0.15">
      <c r="A6105" s="3">
        <f>DATE(2001,4,23)</f>
        <v>37004</v>
      </c>
      <c r="B6105" s="2"/>
      <c r="C6105" s="2" t="s">
        <v>30</v>
      </c>
      <c r="D6105" s="2" t="s">
        <v>18717</v>
      </c>
      <c r="E6105" s="2" t="s">
        <v>18718</v>
      </c>
      <c r="F6105" s="4">
        <v>3089</v>
      </c>
      <c r="G6105" s="2" t="s">
        <v>447</v>
      </c>
      <c r="H6105" s="2" t="s">
        <v>34</v>
      </c>
      <c r="I6105" s="2" t="s">
        <v>18719</v>
      </c>
      <c r="J6105" s="2" t="s">
        <v>80</v>
      </c>
      <c r="K6105" s="2" t="s">
        <v>53</v>
      </c>
      <c r="L6105" s="2" t="s">
        <v>34</v>
      </c>
      <c r="M6105" s="2"/>
      <c r="N6105" s="2"/>
      <c r="O6105" s="2"/>
      <c r="P6105" s="2" t="s">
        <v>18720</v>
      </c>
      <c r="Q6105" s="2"/>
      <c r="R6105" s="6">
        <v>18</v>
      </c>
      <c r="S6105" s="5">
        <v>4.2</v>
      </c>
      <c r="T6105" s="5">
        <v>37.1</v>
      </c>
      <c r="U6105" s="5">
        <v>18.399999999999999</v>
      </c>
      <c r="V6105" s="6">
        <v>0.67</v>
      </c>
      <c r="W6105" s="6">
        <v>13.29</v>
      </c>
      <c r="X6105" s="6">
        <v>12.81</v>
      </c>
      <c r="Y6105" s="6">
        <v>15.36</v>
      </c>
      <c r="Z6105" s="5">
        <v>14.9</v>
      </c>
      <c r="AA6105" s="6">
        <v>6.35</v>
      </c>
      <c r="AB6105" s="7">
        <v>15.465999999999999</v>
      </c>
      <c r="AC6105" s="2"/>
    </row>
    <row r="6106" spans="1:29" ht="52" x14ac:dyDescent="0.15">
      <c r="A6106" s="3">
        <f>DATE(2001,4,24)</f>
        <v>37005</v>
      </c>
      <c r="B6106" s="2"/>
      <c r="C6106" s="2" t="s">
        <v>189</v>
      </c>
      <c r="D6106" s="2" t="s">
        <v>18717</v>
      </c>
      <c r="E6106" s="2" t="s">
        <v>18718</v>
      </c>
      <c r="F6106" s="4">
        <v>3089</v>
      </c>
      <c r="G6106" s="2" t="s">
        <v>447</v>
      </c>
      <c r="H6106" s="2" t="s">
        <v>34</v>
      </c>
      <c r="I6106" s="2" t="s">
        <v>143</v>
      </c>
      <c r="J6106" s="2" t="s">
        <v>144</v>
      </c>
      <c r="K6106" s="2" t="s">
        <v>53</v>
      </c>
      <c r="L6106" s="2" t="s">
        <v>139</v>
      </c>
      <c r="M6106" s="2"/>
      <c r="N6106" s="2"/>
      <c r="O6106" s="2"/>
      <c r="P6106" s="2" t="s">
        <v>18721</v>
      </c>
      <c r="Q6106" s="2"/>
      <c r="R6106" s="2"/>
      <c r="S6106" s="5">
        <v>4.2</v>
      </c>
      <c r="T6106" s="5">
        <v>37.1</v>
      </c>
      <c r="U6106" s="5">
        <v>18.399999999999999</v>
      </c>
      <c r="V6106" s="6">
        <v>0.67</v>
      </c>
      <c r="W6106" s="6">
        <v>13.01</v>
      </c>
      <c r="X6106" s="6">
        <v>15.36</v>
      </c>
      <c r="Y6106" s="5">
        <v>14.9</v>
      </c>
      <c r="Z6106" s="6">
        <v>14.84</v>
      </c>
      <c r="AA6106" s="6">
        <v>6.35</v>
      </c>
      <c r="AB6106" s="2" t="s">
        <v>47</v>
      </c>
      <c r="AC6106" s="2"/>
    </row>
    <row r="6107" spans="1:29" ht="156" x14ac:dyDescent="0.15">
      <c r="A6107" s="3">
        <f>DATE(2001,4,24)</f>
        <v>37005</v>
      </c>
      <c r="B6107" s="3">
        <f>DATE(2001,12,31)</f>
        <v>37256</v>
      </c>
      <c r="C6107" s="2" t="s">
        <v>95</v>
      </c>
      <c r="D6107" s="2" t="s">
        <v>18722</v>
      </c>
      <c r="E6107" s="2" t="s">
        <v>9503</v>
      </c>
      <c r="F6107" s="4">
        <v>3312</v>
      </c>
      <c r="G6107" s="2" t="s">
        <v>163</v>
      </c>
      <c r="H6107" s="2" t="s">
        <v>34</v>
      </c>
      <c r="I6107" s="2" t="s">
        <v>278</v>
      </c>
      <c r="J6107" s="2" t="s">
        <v>52</v>
      </c>
      <c r="K6107" s="2" t="s">
        <v>53</v>
      </c>
      <c r="L6107" s="2" t="s">
        <v>34</v>
      </c>
      <c r="M6107" s="2"/>
      <c r="N6107" s="2"/>
      <c r="O6107" s="2"/>
      <c r="P6107" s="2" t="s">
        <v>18723</v>
      </c>
      <c r="Q6107" s="6">
        <v>100</v>
      </c>
      <c r="R6107" s="6">
        <v>17.5</v>
      </c>
      <c r="S6107" s="5">
        <v>-218</v>
      </c>
      <c r="T6107" s="5">
        <v>-61</v>
      </c>
      <c r="U6107" s="5">
        <v>28.1</v>
      </c>
      <c r="V6107" s="6">
        <v>-2.4500000000000002</v>
      </c>
      <c r="W6107" s="6">
        <v>15.47</v>
      </c>
      <c r="X6107" s="6">
        <v>15.89</v>
      </c>
      <c r="Y6107" s="5">
        <v>18.899999999999999</v>
      </c>
      <c r="Z6107" s="5">
        <v>18.7</v>
      </c>
      <c r="AA6107" s="6">
        <v>88.77</v>
      </c>
      <c r="AB6107" s="2" t="s">
        <v>86</v>
      </c>
      <c r="AC6107" s="2"/>
    </row>
    <row r="6108" spans="1:29" ht="273" x14ac:dyDescent="0.15">
      <c r="A6108" s="3">
        <f>DATE(2001,4,25)</f>
        <v>37006</v>
      </c>
      <c r="B6108" s="2"/>
      <c r="C6108" s="2" t="s">
        <v>30</v>
      </c>
      <c r="D6108" s="2" t="s">
        <v>13651</v>
      </c>
      <c r="E6108" s="2" t="s">
        <v>13652</v>
      </c>
      <c r="F6108" s="4">
        <v>3731</v>
      </c>
      <c r="G6108" s="2" t="s">
        <v>105</v>
      </c>
      <c r="H6108" s="2" t="s">
        <v>34</v>
      </c>
      <c r="I6108" s="2" t="s">
        <v>13819</v>
      </c>
      <c r="J6108" s="2" t="s">
        <v>7077</v>
      </c>
      <c r="K6108" s="2" t="s">
        <v>226</v>
      </c>
      <c r="L6108" s="2" t="s">
        <v>34</v>
      </c>
      <c r="M6108" s="12">
        <v>4399.7039999999997</v>
      </c>
      <c r="N6108" s="6">
        <v>72.73</v>
      </c>
      <c r="O6108" s="5">
        <v>75.5</v>
      </c>
      <c r="P6108" s="2" t="s">
        <v>18724</v>
      </c>
      <c r="Q6108" s="2"/>
      <c r="R6108" s="6">
        <v>67.5</v>
      </c>
      <c r="S6108" s="5">
        <v>93</v>
      </c>
      <c r="T6108" s="2"/>
      <c r="U6108" s="5">
        <v>7.3</v>
      </c>
      <c r="V6108" s="6">
        <v>2.9</v>
      </c>
      <c r="W6108" s="6">
        <v>55.83</v>
      </c>
      <c r="X6108" s="6">
        <v>55.05</v>
      </c>
      <c r="Y6108" s="5">
        <v>64.099999999999994</v>
      </c>
      <c r="Z6108" s="6">
        <v>64.66</v>
      </c>
      <c r="AA6108" s="6">
        <v>35.4</v>
      </c>
      <c r="AB6108" s="7">
        <v>14.561</v>
      </c>
      <c r="AC6108" s="5">
        <v>280</v>
      </c>
    </row>
    <row r="6109" spans="1:29" ht="52" x14ac:dyDescent="0.15">
      <c r="A6109" s="3">
        <f>DATE(2001,4,25)</f>
        <v>37006</v>
      </c>
      <c r="B6109" s="3">
        <f>DATE(2001,6,21)</f>
        <v>37063</v>
      </c>
      <c r="C6109" s="2" t="s">
        <v>95</v>
      </c>
      <c r="D6109" s="2" t="s">
        <v>8649</v>
      </c>
      <c r="E6109" s="2" t="s">
        <v>8650</v>
      </c>
      <c r="F6109" s="4">
        <v>3911</v>
      </c>
      <c r="G6109" s="2" t="s">
        <v>112</v>
      </c>
      <c r="H6109" s="2" t="s">
        <v>34</v>
      </c>
      <c r="I6109" s="2" t="s">
        <v>18725</v>
      </c>
      <c r="J6109" s="2" t="s">
        <v>18726</v>
      </c>
      <c r="K6109" s="2" t="s">
        <v>112</v>
      </c>
      <c r="L6109" s="2" t="s">
        <v>34</v>
      </c>
      <c r="M6109" s="2"/>
      <c r="N6109" s="2"/>
      <c r="O6109" s="2"/>
      <c r="P6109" s="2" t="s">
        <v>18727</v>
      </c>
      <c r="Q6109" s="6">
        <v>100</v>
      </c>
      <c r="R6109" s="6">
        <v>14</v>
      </c>
      <c r="S6109" s="5">
        <v>5.3</v>
      </c>
      <c r="T6109" s="5">
        <v>12.9</v>
      </c>
      <c r="U6109" s="5">
        <v>13.2</v>
      </c>
      <c r="V6109" s="6">
        <v>0.91</v>
      </c>
      <c r="W6109" s="6">
        <v>9.3699999999999992</v>
      </c>
      <c r="X6109" s="5">
        <v>9.6</v>
      </c>
      <c r="Y6109" s="6">
        <v>12.36</v>
      </c>
      <c r="Z6109" s="7">
        <v>12.544</v>
      </c>
      <c r="AA6109" s="6">
        <v>5.29</v>
      </c>
      <c r="AB6109" s="7">
        <v>7.8949999999999996</v>
      </c>
      <c r="AC6109" s="2"/>
    </row>
    <row r="6110" spans="1:29" ht="78" x14ac:dyDescent="0.15">
      <c r="A6110" s="3">
        <f>DATE(2001,4,26)</f>
        <v>37007</v>
      </c>
      <c r="B6110" s="3">
        <f>DATE(2001,11,1)</f>
        <v>37196</v>
      </c>
      <c r="C6110" s="2" t="s">
        <v>95</v>
      </c>
      <c r="D6110" s="2" t="s">
        <v>18728</v>
      </c>
      <c r="E6110" s="2" t="s">
        <v>5549</v>
      </c>
      <c r="F6110" s="4">
        <v>7373</v>
      </c>
      <c r="G6110" s="2" t="s">
        <v>223</v>
      </c>
      <c r="H6110" s="2" t="s">
        <v>34</v>
      </c>
      <c r="I6110" s="2" t="s">
        <v>18729</v>
      </c>
      <c r="J6110" s="2" t="s">
        <v>18730</v>
      </c>
      <c r="K6110" s="2" t="s">
        <v>454</v>
      </c>
      <c r="L6110" s="2" t="s">
        <v>34</v>
      </c>
      <c r="M6110" s="12">
        <v>4112.9709999999995</v>
      </c>
      <c r="N6110" s="6">
        <v>118.26</v>
      </c>
      <c r="O6110" s="5">
        <v>118.9</v>
      </c>
      <c r="P6110" s="2" t="s">
        <v>18731</v>
      </c>
      <c r="Q6110" s="6">
        <v>86.17</v>
      </c>
      <c r="R6110" s="6">
        <v>2</v>
      </c>
      <c r="S6110" s="5">
        <v>-6.2</v>
      </c>
      <c r="T6110" s="6">
        <v>-4.1100000000000003</v>
      </c>
      <c r="U6110" s="5">
        <v>1</v>
      </c>
      <c r="V6110" s="6">
        <v>-0.96</v>
      </c>
      <c r="W6110" s="6">
        <v>1.54</v>
      </c>
      <c r="X6110" s="5">
        <v>1.7</v>
      </c>
      <c r="Y6110" s="6">
        <v>1.95</v>
      </c>
      <c r="Z6110" s="6">
        <v>1.94</v>
      </c>
      <c r="AA6110" s="6">
        <v>8.1300000000000008</v>
      </c>
      <c r="AB6110" s="2" t="s">
        <v>86</v>
      </c>
      <c r="AC6110" s="5">
        <v>120.7</v>
      </c>
    </row>
    <row r="6111" spans="1:29" ht="104" x14ac:dyDescent="0.15">
      <c r="A6111" s="3">
        <f>DATE(2001,4,26)</f>
        <v>37007</v>
      </c>
      <c r="B6111" s="2"/>
      <c r="C6111" s="2" t="s">
        <v>30</v>
      </c>
      <c r="D6111" s="2" t="s">
        <v>18732</v>
      </c>
      <c r="E6111" s="2" t="s">
        <v>18733</v>
      </c>
      <c r="F6111" s="4">
        <v>7371</v>
      </c>
      <c r="G6111" s="2" t="s">
        <v>223</v>
      </c>
      <c r="H6111" s="2" t="s">
        <v>34</v>
      </c>
      <c r="I6111" s="2" t="s">
        <v>1711</v>
      </c>
      <c r="J6111" s="2" t="s">
        <v>1712</v>
      </c>
      <c r="K6111" s="2" t="s">
        <v>50</v>
      </c>
      <c r="L6111" s="2" t="s">
        <v>34</v>
      </c>
      <c r="M6111" s="8">
        <v>32419</v>
      </c>
      <c r="N6111" s="4">
        <v>17</v>
      </c>
      <c r="O6111" s="5">
        <v>18.2</v>
      </c>
      <c r="P6111" s="2" t="s">
        <v>18734</v>
      </c>
      <c r="Q6111" s="2"/>
      <c r="R6111" s="6">
        <v>5.75</v>
      </c>
      <c r="S6111" s="5">
        <v>-59.5</v>
      </c>
      <c r="T6111" s="5">
        <v>-6.2</v>
      </c>
      <c r="U6111" s="5">
        <v>2.6</v>
      </c>
      <c r="V6111" s="6">
        <v>-1.06</v>
      </c>
      <c r="W6111" s="5">
        <v>3.3</v>
      </c>
      <c r="X6111" s="5">
        <v>3.9</v>
      </c>
      <c r="Y6111" s="6">
        <v>4.33</v>
      </c>
      <c r="Z6111" s="6">
        <v>5.65</v>
      </c>
      <c r="AA6111" s="6">
        <v>56.94</v>
      </c>
      <c r="AB6111" s="2" t="s">
        <v>86</v>
      </c>
      <c r="AC6111" s="8">
        <v>2569</v>
      </c>
    </row>
    <row r="6112" spans="1:29" ht="91" x14ac:dyDescent="0.15">
      <c r="A6112" s="3">
        <f>DATE(2001,4,27)</f>
        <v>37008</v>
      </c>
      <c r="B6112" s="3">
        <f>DATE(2002,2,22)</f>
        <v>37309</v>
      </c>
      <c r="C6112" s="2" t="s">
        <v>95</v>
      </c>
      <c r="D6112" s="2" t="s">
        <v>18530</v>
      </c>
      <c r="E6112" s="2" t="s">
        <v>18531</v>
      </c>
      <c r="F6112" s="4">
        <v>7011</v>
      </c>
      <c r="G6112" s="2" t="s">
        <v>269</v>
      </c>
      <c r="H6112" s="2" t="s">
        <v>34</v>
      </c>
      <c r="I6112" s="2" t="s">
        <v>18735</v>
      </c>
      <c r="J6112" s="2" t="s">
        <v>18736</v>
      </c>
      <c r="K6112" s="2" t="s">
        <v>364</v>
      </c>
      <c r="L6112" s="2" t="s">
        <v>34</v>
      </c>
      <c r="M6112" s="2"/>
      <c r="N6112" s="2"/>
      <c r="O6112" s="2"/>
      <c r="P6112" s="2" t="s">
        <v>18737</v>
      </c>
      <c r="Q6112" s="6">
        <v>70.42</v>
      </c>
      <c r="R6112" s="6">
        <v>12</v>
      </c>
      <c r="S6112" s="5">
        <v>5</v>
      </c>
      <c r="T6112" s="5">
        <v>26.9</v>
      </c>
      <c r="U6112" s="5">
        <v>10.5</v>
      </c>
      <c r="V6112" s="6">
        <v>1.2</v>
      </c>
      <c r="W6112" s="6">
        <v>9.83</v>
      </c>
      <c r="X6112" s="6">
        <v>10.28</v>
      </c>
      <c r="Y6112" s="5">
        <v>10.3</v>
      </c>
      <c r="Z6112" s="6">
        <v>10.65</v>
      </c>
      <c r="AA6112" s="6">
        <v>4.13</v>
      </c>
      <c r="AB6112" s="7">
        <v>5.1950000000000003</v>
      </c>
      <c r="AC6112" s="2"/>
    </row>
    <row r="6113" spans="1:29" ht="91" x14ac:dyDescent="0.15">
      <c r="A6113" s="3">
        <f>DATE(2001,4,27)</f>
        <v>37008</v>
      </c>
      <c r="B6113" s="3">
        <f>DATE(2001,7,27)</f>
        <v>37099</v>
      </c>
      <c r="C6113" s="2" t="s">
        <v>95</v>
      </c>
      <c r="D6113" s="2" t="s">
        <v>18738</v>
      </c>
      <c r="E6113" s="2" t="s">
        <v>344</v>
      </c>
      <c r="F6113" s="4">
        <v>6035</v>
      </c>
      <c r="G6113" s="2" t="s">
        <v>33</v>
      </c>
      <c r="H6113" s="2" t="s">
        <v>34</v>
      </c>
      <c r="I6113" s="2" t="s">
        <v>18739</v>
      </c>
      <c r="J6113" s="2" t="s">
        <v>1181</v>
      </c>
      <c r="K6113" s="2" t="s">
        <v>37</v>
      </c>
      <c r="L6113" s="2" t="s">
        <v>34</v>
      </c>
      <c r="M6113" s="2"/>
      <c r="N6113" s="2"/>
      <c r="O6113" s="2"/>
      <c r="P6113" s="2" t="s">
        <v>18740</v>
      </c>
      <c r="Q6113" s="6">
        <v>100</v>
      </c>
      <c r="R6113" s="6">
        <v>22.75</v>
      </c>
      <c r="S6113" s="5">
        <v>0.5</v>
      </c>
      <c r="T6113" s="2"/>
      <c r="U6113" s="5">
        <v>12.2</v>
      </c>
      <c r="V6113" s="6">
        <v>0.63</v>
      </c>
      <c r="W6113" s="5">
        <v>9.4</v>
      </c>
      <c r="X6113" s="5">
        <v>11.2</v>
      </c>
      <c r="Y6113" s="6">
        <v>20.62</v>
      </c>
      <c r="Z6113" s="4">
        <v>21</v>
      </c>
      <c r="AA6113" s="6">
        <v>0.88</v>
      </c>
      <c r="AB6113" s="7">
        <v>72.701999999999998</v>
      </c>
      <c r="AC6113" s="2"/>
    </row>
    <row r="6114" spans="1:29" ht="130" x14ac:dyDescent="0.15">
      <c r="A6114" s="3">
        <f>DATE(2001,4,27)</f>
        <v>37008</v>
      </c>
      <c r="B6114" s="3">
        <f>DATE(2001,6,21)</f>
        <v>37063</v>
      </c>
      <c r="C6114" s="2" t="s">
        <v>95</v>
      </c>
      <c r="D6114" s="2" t="s">
        <v>18741</v>
      </c>
      <c r="E6114" s="2" t="s">
        <v>3484</v>
      </c>
      <c r="F6114" s="4">
        <v>6311</v>
      </c>
      <c r="G6114" s="2" t="s">
        <v>125</v>
      </c>
      <c r="H6114" s="2" t="s">
        <v>34</v>
      </c>
      <c r="I6114" s="2" t="s">
        <v>18742</v>
      </c>
      <c r="J6114" s="2" t="s">
        <v>6851</v>
      </c>
      <c r="K6114" s="2" t="s">
        <v>125</v>
      </c>
      <c r="L6114" s="2" t="s">
        <v>34</v>
      </c>
      <c r="M6114" s="2"/>
      <c r="N6114" s="2"/>
      <c r="O6114" s="2"/>
      <c r="P6114" s="2" t="s">
        <v>18743</v>
      </c>
      <c r="Q6114" s="6">
        <v>100</v>
      </c>
      <c r="R6114" s="6">
        <v>18.5</v>
      </c>
      <c r="S6114" s="5">
        <v>-66.7</v>
      </c>
      <c r="T6114" s="5">
        <v>-19.100000000000001</v>
      </c>
      <c r="U6114" s="5">
        <v>18.5</v>
      </c>
      <c r="V6114" s="6">
        <v>-7.36</v>
      </c>
      <c r="W6114" s="4">
        <v>12</v>
      </c>
      <c r="X6114" s="4">
        <v>12</v>
      </c>
      <c r="Y6114" s="6">
        <v>18.25</v>
      </c>
      <c r="Z6114" s="5">
        <v>18.2</v>
      </c>
      <c r="AA6114" s="6">
        <v>9.06</v>
      </c>
      <c r="AB6114" s="2" t="s">
        <v>86</v>
      </c>
      <c r="AC6114" s="2"/>
    </row>
    <row r="6115" spans="1:29" ht="91" x14ac:dyDescent="0.15">
      <c r="A6115" s="3">
        <f>DATE(2001,4,27)</f>
        <v>37008</v>
      </c>
      <c r="B6115" s="3">
        <f>DATE(2001,7,9)</f>
        <v>37081</v>
      </c>
      <c r="C6115" s="2" t="s">
        <v>95</v>
      </c>
      <c r="D6115" s="2" t="s">
        <v>18744</v>
      </c>
      <c r="E6115" s="2" t="s">
        <v>18745</v>
      </c>
      <c r="F6115" s="4">
        <v>4813</v>
      </c>
      <c r="G6115" s="2" t="s">
        <v>63</v>
      </c>
      <c r="H6115" s="2" t="s">
        <v>34</v>
      </c>
      <c r="I6115" s="2" t="s">
        <v>18746</v>
      </c>
      <c r="J6115" s="2" t="s">
        <v>18747</v>
      </c>
      <c r="K6115" s="2" t="s">
        <v>186</v>
      </c>
      <c r="L6115" s="2" t="s">
        <v>34</v>
      </c>
      <c r="M6115" s="2"/>
      <c r="N6115" s="2"/>
      <c r="O6115" s="2"/>
      <c r="P6115" s="2" t="s">
        <v>18748</v>
      </c>
      <c r="Q6115" s="6">
        <v>100</v>
      </c>
      <c r="R6115" s="6">
        <v>3</v>
      </c>
      <c r="S6115" s="5">
        <v>-14.7</v>
      </c>
      <c r="T6115" s="5">
        <v>5.9</v>
      </c>
      <c r="U6115" s="5">
        <v>5.0999999999999996</v>
      </c>
      <c r="V6115" s="6">
        <v>-0.32</v>
      </c>
      <c r="W6115" s="6">
        <v>2.35</v>
      </c>
      <c r="X6115" s="5">
        <v>2.2000000000000002</v>
      </c>
      <c r="Y6115" s="5">
        <v>2.6</v>
      </c>
      <c r="Z6115" s="6">
        <v>2.4700000000000002</v>
      </c>
      <c r="AA6115" s="6">
        <v>47.03</v>
      </c>
      <c r="AB6115" s="2" t="s">
        <v>86</v>
      </c>
      <c r="AC6115" s="2"/>
    </row>
    <row r="6116" spans="1:29" ht="130" x14ac:dyDescent="0.15">
      <c r="A6116" s="3">
        <f>DATE(2001,4,29)</f>
        <v>37010</v>
      </c>
      <c r="B6116" s="3">
        <f>DATE(2001,7,18)</f>
        <v>37090</v>
      </c>
      <c r="C6116" s="2" t="s">
        <v>95</v>
      </c>
      <c r="D6116" s="2" t="s">
        <v>18749</v>
      </c>
      <c r="E6116" s="2" t="s">
        <v>18750</v>
      </c>
      <c r="F6116" s="4">
        <v>3826</v>
      </c>
      <c r="G6116" s="2" t="s">
        <v>226</v>
      </c>
      <c r="H6116" s="2" t="s">
        <v>34</v>
      </c>
      <c r="I6116" s="2" t="s">
        <v>18751</v>
      </c>
      <c r="J6116" s="2" t="s">
        <v>6711</v>
      </c>
      <c r="K6116" s="2" t="s">
        <v>130</v>
      </c>
      <c r="L6116" s="2" t="s">
        <v>34</v>
      </c>
      <c r="M6116" s="12">
        <v>2203.011</v>
      </c>
      <c r="N6116" s="6">
        <v>38.56</v>
      </c>
      <c r="O6116" s="6">
        <v>38.56</v>
      </c>
      <c r="P6116" s="2" t="s">
        <v>18752</v>
      </c>
      <c r="Q6116" s="6">
        <v>100</v>
      </c>
      <c r="R6116" s="6">
        <v>24.34</v>
      </c>
      <c r="S6116" s="5">
        <v>2.6</v>
      </c>
      <c r="T6116" s="5">
        <v>2.2999999999999998</v>
      </c>
      <c r="U6116" s="5">
        <v>5.6</v>
      </c>
      <c r="V6116" s="6">
        <v>0.11</v>
      </c>
      <c r="W6116" s="6">
        <v>16.64</v>
      </c>
      <c r="X6116" s="6">
        <v>16.850000000000001</v>
      </c>
      <c r="Y6116" s="5">
        <v>23.2</v>
      </c>
      <c r="Z6116" s="5">
        <v>23.2</v>
      </c>
      <c r="AA6116" s="6">
        <v>22.49</v>
      </c>
      <c r="AB6116" s="2" t="s">
        <v>86</v>
      </c>
      <c r="AC6116" s="5">
        <v>322.10000000000002</v>
      </c>
    </row>
    <row r="6117" spans="1:29" ht="156" x14ac:dyDescent="0.15">
      <c r="A6117" s="3">
        <f>DATE(2001,4,30)</f>
        <v>37011</v>
      </c>
      <c r="B6117" s="3">
        <f>DATE(2001,8,1)</f>
        <v>37104</v>
      </c>
      <c r="C6117" s="2" t="s">
        <v>95</v>
      </c>
      <c r="D6117" s="2" t="s">
        <v>3303</v>
      </c>
      <c r="E6117" s="2" t="s">
        <v>36</v>
      </c>
      <c r="F6117" s="4">
        <v>6021</v>
      </c>
      <c r="G6117" s="2" t="s">
        <v>37</v>
      </c>
      <c r="H6117" s="2" t="s">
        <v>34</v>
      </c>
      <c r="I6117" s="2" t="s">
        <v>18753</v>
      </c>
      <c r="J6117" s="2" t="s">
        <v>36</v>
      </c>
      <c r="K6117" s="2" t="s">
        <v>37</v>
      </c>
      <c r="L6117" s="2" t="s">
        <v>34</v>
      </c>
      <c r="M6117" s="12">
        <v>5441.7240000000002</v>
      </c>
      <c r="N6117" s="6">
        <v>50.46</v>
      </c>
      <c r="O6117" s="6">
        <v>49.51</v>
      </c>
      <c r="P6117" s="2" t="s">
        <v>18754</v>
      </c>
      <c r="Q6117" s="6">
        <v>100</v>
      </c>
      <c r="R6117" s="6">
        <v>31.59</v>
      </c>
      <c r="S6117" s="5">
        <v>18</v>
      </c>
      <c r="T6117" s="5">
        <v>31.7</v>
      </c>
      <c r="U6117" s="5">
        <v>19.899999999999999</v>
      </c>
      <c r="V6117" s="6">
        <v>2.11</v>
      </c>
      <c r="W6117" s="6">
        <v>18.32</v>
      </c>
      <c r="X6117" s="5">
        <v>18.5</v>
      </c>
      <c r="Y6117" s="5">
        <v>18.7</v>
      </c>
      <c r="Z6117" s="5">
        <v>28.1</v>
      </c>
      <c r="AA6117" s="6">
        <v>8.4700000000000006</v>
      </c>
      <c r="AB6117" s="7">
        <v>40.781999999999996</v>
      </c>
      <c r="AC6117" s="5">
        <v>941.3</v>
      </c>
    </row>
    <row r="6118" spans="1:29" ht="91" x14ac:dyDescent="0.15">
      <c r="A6118" s="3">
        <f>DATE(2001,4,30)</f>
        <v>37011</v>
      </c>
      <c r="B6118" s="3">
        <f>DATE(2001,11,14)</f>
        <v>37209</v>
      </c>
      <c r="C6118" s="2" t="s">
        <v>95</v>
      </c>
      <c r="D6118" s="2" t="s">
        <v>15870</v>
      </c>
      <c r="E6118" s="2" t="s">
        <v>15871</v>
      </c>
      <c r="F6118" s="4">
        <v>5961</v>
      </c>
      <c r="G6118" s="2" t="s">
        <v>73</v>
      </c>
      <c r="H6118" s="2" t="s">
        <v>34</v>
      </c>
      <c r="I6118" s="2" t="s">
        <v>51</v>
      </c>
      <c r="J6118" s="2" t="s">
        <v>52</v>
      </c>
      <c r="K6118" s="2" t="s">
        <v>53</v>
      </c>
      <c r="L6118" s="2" t="s">
        <v>303</v>
      </c>
      <c r="M6118" s="2"/>
      <c r="N6118" s="2"/>
      <c r="O6118" s="2"/>
      <c r="P6118" s="2" t="s">
        <v>18755</v>
      </c>
      <c r="Q6118" s="6">
        <v>74.7</v>
      </c>
      <c r="R6118" s="6">
        <v>3.75</v>
      </c>
      <c r="S6118" s="5">
        <v>1.6</v>
      </c>
      <c r="T6118" s="5">
        <v>5.6</v>
      </c>
      <c r="U6118" s="5">
        <v>2.1</v>
      </c>
      <c r="V6118" s="6">
        <v>0.35</v>
      </c>
      <c r="W6118" s="6">
        <v>2.63</v>
      </c>
      <c r="X6118" s="6">
        <v>3.05</v>
      </c>
      <c r="Y6118" s="5">
        <v>3.5</v>
      </c>
      <c r="Z6118" s="5">
        <v>3.5</v>
      </c>
      <c r="AA6118" s="6">
        <v>4.34</v>
      </c>
      <c r="AB6118" s="7">
        <v>6.4359999999999999</v>
      </c>
      <c r="AC6118" s="2"/>
    </row>
    <row r="6119" spans="1:29" ht="65" x14ac:dyDescent="0.15">
      <c r="A6119" s="3">
        <f>DATE(2001,5,1)</f>
        <v>37012</v>
      </c>
      <c r="B6119" s="3">
        <f>DATE(2001,9,14)</f>
        <v>37148</v>
      </c>
      <c r="C6119" s="2" t="s">
        <v>95</v>
      </c>
      <c r="D6119" s="2" t="s">
        <v>18756</v>
      </c>
      <c r="E6119" s="2" t="s">
        <v>203</v>
      </c>
      <c r="F6119" s="4">
        <v>6035</v>
      </c>
      <c r="G6119" s="2" t="s">
        <v>33</v>
      </c>
      <c r="H6119" s="2" t="s">
        <v>34</v>
      </c>
      <c r="I6119" s="2" t="s">
        <v>17475</v>
      </c>
      <c r="J6119" s="2" t="s">
        <v>263</v>
      </c>
      <c r="K6119" s="2" t="s">
        <v>37</v>
      </c>
      <c r="L6119" s="2" t="s">
        <v>34</v>
      </c>
      <c r="M6119" s="7">
        <v>566.60900000000004</v>
      </c>
      <c r="N6119" s="6">
        <v>25.05</v>
      </c>
      <c r="O6119" s="6">
        <v>24.22</v>
      </c>
      <c r="P6119" s="2" t="s">
        <v>18757</v>
      </c>
      <c r="Q6119" s="6">
        <v>100</v>
      </c>
      <c r="R6119" s="6">
        <v>11.5</v>
      </c>
      <c r="S6119" s="5">
        <v>1.5</v>
      </c>
      <c r="T6119" s="2"/>
      <c r="U6119" s="5">
        <v>9.6</v>
      </c>
      <c r="V6119" s="6">
        <v>0.63</v>
      </c>
      <c r="W6119" s="6">
        <v>9.25</v>
      </c>
      <c r="X6119" s="5">
        <v>9.5</v>
      </c>
      <c r="Y6119" s="4">
        <v>11</v>
      </c>
      <c r="Z6119" s="6">
        <v>11.01</v>
      </c>
      <c r="AA6119" s="6">
        <v>2.52</v>
      </c>
      <c r="AB6119" s="7">
        <v>41.917000000000002</v>
      </c>
      <c r="AC6119" s="5">
        <v>250.5</v>
      </c>
    </row>
    <row r="6120" spans="1:29" ht="91" x14ac:dyDescent="0.15">
      <c r="A6120" s="3">
        <f>DATE(2001,5,1)</f>
        <v>37012</v>
      </c>
      <c r="B6120" s="2"/>
      <c r="C6120" s="2" t="s">
        <v>30</v>
      </c>
      <c r="D6120" s="2" t="s">
        <v>18758</v>
      </c>
      <c r="E6120" s="2" t="s">
        <v>4601</v>
      </c>
      <c r="F6120" s="4">
        <v>5812</v>
      </c>
      <c r="G6120" s="2" t="s">
        <v>230</v>
      </c>
      <c r="H6120" s="2" t="s">
        <v>34</v>
      </c>
      <c r="I6120" s="2" t="s">
        <v>18085</v>
      </c>
      <c r="J6120" s="2" t="s">
        <v>1072</v>
      </c>
      <c r="K6120" s="2" t="s">
        <v>53</v>
      </c>
      <c r="L6120" s="2" t="s">
        <v>303</v>
      </c>
      <c r="M6120" s="2"/>
      <c r="N6120" s="2"/>
      <c r="O6120" s="2"/>
      <c r="P6120" s="2" t="s">
        <v>18759</v>
      </c>
      <c r="Q6120" s="2"/>
      <c r="R6120" s="6">
        <v>28.25</v>
      </c>
      <c r="S6120" s="5">
        <v>9.6999999999999993</v>
      </c>
      <c r="T6120" s="5">
        <v>27.8</v>
      </c>
      <c r="U6120" s="5">
        <v>0.5</v>
      </c>
      <c r="V6120" s="6">
        <v>2.12</v>
      </c>
      <c r="W6120" s="6">
        <v>21.26</v>
      </c>
      <c r="X6120" s="6">
        <v>23.91</v>
      </c>
      <c r="Y6120" s="5">
        <v>27.3</v>
      </c>
      <c r="Z6120" s="6">
        <v>27.62</v>
      </c>
      <c r="AA6120" s="6">
        <v>4.17</v>
      </c>
      <c r="AB6120" s="7">
        <v>10.576000000000001</v>
      </c>
      <c r="AC6120" s="2"/>
    </row>
    <row r="6121" spans="1:29" ht="169" x14ac:dyDescent="0.15">
      <c r="A6121" s="3">
        <f>DATE(2001,5,1)</f>
        <v>37012</v>
      </c>
      <c r="B6121" s="3">
        <f>DATE(2001,9,28)</f>
        <v>37162</v>
      </c>
      <c r="C6121" s="2" t="s">
        <v>95</v>
      </c>
      <c r="D6121" s="2" t="s">
        <v>18760</v>
      </c>
      <c r="E6121" s="2" t="s">
        <v>265</v>
      </c>
      <c r="F6121" s="4">
        <v>6021</v>
      </c>
      <c r="G6121" s="2" t="s">
        <v>37</v>
      </c>
      <c r="H6121" s="2" t="s">
        <v>34</v>
      </c>
      <c r="I6121" s="2" t="s">
        <v>17348</v>
      </c>
      <c r="J6121" s="2" t="s">
        <v>265</v>
      </c>
      <c r="K6121" s="2" t="s">
        <v>37</v>
      </c>
      <c r="L6121" s="2" t="s">
        <v>34</v>
      </c>
      <c r="M6121" s="7">
        <v>88.971000000000004</v>
      </c>
      <c r="N6121" s="6">
        <v>9.84</v>
      </c>
      <c r="O6121" s="5">
        <v>10.1</v>
      </c>
      <c r="P6121" s="2" t="s">
        <v>18761</v>
      </c>
      <c r="Q6121" s="6">
        <v>100</v>
      </c>
      <c r="R6121" s="6">
        <v>14</v>
      </c>
      <c r="S6121" s="5">
        <v>6.4</v>
      </c>
      <c r="T6121" s="5">
        <v>10.6</v>
      </c>
      <c r="U6121" s="5">
        <v>8.9</v>
      </c>
      <c r="V6121" s="6">
        <v>0.75</v>
      </c>
      <c r="W6121" s="5">
        <v>11.5</v>
      </c>
      <c r="X6121" s="4">
        <v>12</v>
      </c>
      <c r="Y6121" s="6">
        <v>13.35</v>
      </c>
      <c r="Z6121" s="6">
        <v>13.37</v>
      </c>
      <c r="AA6121" s="6">
        <v>8.42</v>
      </c>
      <c r="AB6121" s="7">
        <v>86.968999999999994</v>
      </c>
      <c r="AC6121" s="2"/>
    </row>
    <row r="6122" spans="1:29" ht="130" x14ac:dyDescent="0.15">
      <c r="A6122" s="3">
        <f>DATE(2001,5,1)</f>
        <v>37012</v>
      </c>
      <c r="B6122" s="3">
        <f>DATE(2001,7,31)</f>
        <v>37103</v>
      </c>
      <c r="C6122" s="2" t="s">
        <v>95</v>
      </c>
      <c r="D6122" s="2" t="s">
        <v>17695</v>
      </c>
      <c r="E6122" s="2" t="s">
        <v>17696</v>
      </c>
      <c r="F6122" s="4">
        <v>1531</v>
      </c>
      <c r="G6122" s="2" t="s">
        <v>341</v>
      </c>
      <c r="H6122" s="2" t="s">
        <v>34</v>
      </c>
      <c r="I6122" s="2" t="s">
        <v>18762</v>
      </c>
      <c r="J6122" s="2" t="s">
        <v>18763</v>
      </c>
      <c r="K6122" s="2" t="s">
        <v>341</v>
      </c>
      <c r="L6122" s="2" t="s">
        <v>34</v>
      </c>
      <c r="M6122" s="12">
        <v>1616.1020000000001</v>
      </c>
      <c r="N6122" s="5">
        <v>42.5</v>
      </c>
      <c r="O6122" s="6">
        <v>42.91</v>
      </c>
      <c r="P6122" s="2" t="s">
        <v>18764</v>
      </c>
      <c r="Q6122" s="6">
        <v>100</v>
      </c>
      <c r="R6122" s="6">
        <v>41.82</v>
      </c>
      <c r="S6122" s="5">
        <v>90.9</v>
      </c>
      <c r="T6122" s="5">
        <v>753.4</v>
      </c>
      <c r="U6122" s="5">
        <v>29.2</v>
      </c>
      <c r="V6122" s="6">
        <v>4.8499999999999996</v>
      </c>
      <c r="W6122" s="5">
        <v>30.8</v>
      </c>
      <c r="X6122" s="5">
        <v>33.799999999999997</v>
      </c>
      <c r="Y6122" s="5">
        <v>38.4</v>
      </c>
      <c r="Z6122" s="6">
        <v>38.79</v>
      </c>
      <c r="AA6122" s="6">
        <v>18.62</v>
      </c>
      <c r="AB6122" s="7">
        <v>8.8840000000000003</v>
      </c>
      <c r="AC6122" s="5">
        <v>199.3</v>
      </c>
    </row>
    <row r="6123" spans="1:29" ht="143" x14ac:dyDescent="0.15">
      <c r="A6123" s="3">
        <f>DATE(2001,5,3)</f>
        <v>37014</v>
      </c>
      <c r="B6123" s="3">
        <f>DATE(2001,10,31)</f>
        <v>37195</v>
      </c>
      <c r="C6123" s="2" t="s">
        <v>95</v>
      </c>
      <c r="D6123" s="2" t="s">
        <v>18765</v>
      </c>
      <c r="E6123" s="2" t="s">
        <v>92</v>
      </c>
      <c r="F6123" s="4">
        <v>6798</v>
      </c>
      <c r="G6123" s="2" t="s">
        <v>53</v>
      </c>
      <c r="H6123" s="2" t="s">
        <v>34</v>
      </c>
      <c r="I6123" s="2" t="s">
        <v>18766</v>
      </c>
      <c r="J6123" s="2" t="s">
        <v>92</v>
      </c>
      <c r="K6123" s="2" t="s">
        <v>53</v>
      </c>
      <c r="L6123" s="2" t="s">
        <v>34</v>
      </c>
      <c r="M6123" s="12">
        <v>3010.018</v>
      </c>
      <c r="N6123" s="6">
        <v>25.18</v>
      </c>
      <c r="O6123" s="5">
        <v>23.9</v>
      </c>
      <c r="P6123" s="2" t="s">
        <v>18767</v>
      </c>
      <c r="Q6123" s="6">
        <v>100</v>
      </c>
      <c r="R6123" s="6">
        <v>49.73</v>
      </c>
      <c r="S6123" s="5">
        <v>117.4</v>
      </c>
      <c r="T6123" s="5">
        <v>312.3</v>
      </c>
      <c r="U6123" s="5">
        <v>14.2</v>
      </c>
      <c r="V6123" s="6">
        <v>4.1399999999999997</v>
      </c>
      <c r="W6123" s="5">
        <v>45.6</v>
      </c>
      <c r="X6123" s="6">
        <v>44.91</v>
      </c>
      <c r="Y6123" s="6">
        <v>45.56</v>
      </c>
      <c r="Z6123" s="4">
        <v>46</v>
      </c>
      <c r="AA6123" s="6">
        <v>22.74</v>
      </c>
      <c r="AB6123" s="7">
        <v>12.728999999999999</v>
      </c>
      <c r="AC6123" s="5">
        <v>18.7</v>
      </c>
    </row>
    <row r="6124" spans="1:29" ht="117" x14ac:dyDescent="0.15">
      <c r="A6124" s="3">
        <f>DATE(2001,5,4)</f>
        <v>37015</v>
      </c>
      <c r="B6124" s="3">
        <f>DATE(2001,8,3)</f>
        <v>37106</v>
      </c>
      <c r="C6124" s="2" t="s">
        <v>95</v>
      </c>
      <c r="D6124" s="2" t="s">
        <v>11959</v>
      </c>
      <c r="E6124" s="2" t="s">
        <v>11960</v>
      </c>
      <c r="F6124" s="4">
        <v>6035</v>
      </c>
      <c r="G6124" s="2" t="s">
        <v>33</v>
      </c>
      <c r="H6124" s="2" t="s">
        <v>34</v>
      </c>
      <c r="I6124" s="2" t="s">
        <v>2336</v>
      </c>
      <c r="J6124" s="2" t="s">
        <v>2337</v>
      </c>
      <c r="K6124" s="2" t="s">
        <v>37</v>
      </c>
      <c r="L6124" s="2" t="s">
        <v>34</v>
      </c>
      <c r="M6124" s="12">
        <v>7595.8019999999997</v>
      </c>
      <c r="N6124" s="6">
        <v>46.31</v>
      </c>
      <c r="O6124" s="6">
        <v>46.84</v>
      </c>
      <c r="P6124" s="2" t="s">
        <v>18768</v>
      </c>
      <c r="Q6124" s="6">
        <v>100</v>
      </c>
      <c r="R6124" s="6">
        <v>26.43</v>
      </c>
      <c r="S6124" s="5">
        <v>5.8</v>
      </c>
      <c r="T6124" s="5">
        <v>11.8</v>
      </c>
      <c r="U6124" s="5">
        <v>11.9</v>
      </c>
      <c r="V6124" s="6">
        <v>1.35</v>
      </c>
      <c r="W6124" s="6">
        <v>15.35</v>
      </c>
      <c r="X6124" s="4">
        <v>16</v>
      </c>
      <c r="Y6124" s="6">
        <v>25.15</v>
      </c>
      <c r="Z6124" s="6">
        <v>25.48</v>
      </c>
      <c r="AA6124" s="6">
        <v>4.43</v>
      </c>
      <c r="AB6124" s="7">
        <v>76.948999999999998</v>
      </c>
      <c r="AC6124" s="5">
        <v>900.4</v>
      </c>
    </row>
    <row r="6125" spans="1:29" ht="143" x14ac:dyDescent="0.15">
      <c r="A6125" s="3">
        <f>DATE(2001,5,4)</f>
        <v>37015</v>
      </c>
      <c r="B6125" s="3">
        <f>DATE(2001,12,31)</f>
        <v>37256</v>
      </c>
      <c r="C6125" s="2" t="s">
        <v>95</v>
      </c>
      <c r="D6125" s="2" t="s">
        <v>8584</v>
      </c>
      <c r="E6125" s="2" t="s">
        <v>147</v>
      </c>
      <c r="F6125" s="4">
        <v>2911</v>
      </c>
      <c r="G6125" s="2" t="s">
        <v>148</v>
      </c>
      <c r="H6125" s="2" t="s">
        <v>34</v>
      </c>
      <c r="I6125" s="2" t="s">
        <v>18605</v>
      </c>
      <c r="J6125" s="2" t="s">
        <v>147</v>
      </c>
      <c r="K6125" s="2" t="s">
        <v>148</v>
      </c>
      <c r="L6125" s="2" t="s">
        <v>34</v>
      </c>
      <c r="M6125" s="12">
        <v>2297.4740000000002</v>
      </c>
      <c r="N6125" s="6">
        <v>45.47</v>
      </c>
      <c r="O6125" s="5">
        <v>42.7</v>
      </c>
      <c r="P6125" s="2" t="s">
        <v>18769</v>
      </c>
      <c r="Q6125" s="6">
        <v>100</v>
      </c>
      <c r="R6125" s="6">
        <v>55</v>
      </c>
      <c r="S6125" s="5">
        <v>511.9</v>
      </c>
      <c r="T6125" s="8">
        <v>1178.2</v>
      </c>
      <c r="U6125" s="5">
        <v>19.7</v>
      </c>
      <c r="V6125" s="6">
        <v>6.04</v>
      </c>
      <c r="W6125" s="6">
        <v>45.43</v>
      </c>
      <c r="X6125" s="6">
        <v>41.01</v>
      </c>
      <c r="Y6125" s="6">
        <v>42.71</v>
      </c>
      <c r="Z6125" s="5">
        <v>50.5</v>
      </c>
      <c r="AA6125" s="6">
        <v>71.08</v>
      </c>
      <c r="AB6125" s="7">
        <v>6.3339999999999996</v>
      </c>
      <c r="AC6125" s="5">
        <v>14.6</v>
      </c>
    </row>
    <row r="6126" spans="1:29" ht="65" x14ac:dyDescent="0.15">
      <c r="A6126" s="3">
        <f>DATE(2001,5,7)</f>
        <v>37018</v>
      </c>
      <c r="B6126" s="3">
        <f>DATE(2001,12,20)</f>
        <v>37245</v>
      </c>
      <c r="C6126" s="2" t="s">
        <v>95</v>
      </c>
      <c r="D6126" s="2" t="s">
        <v>18770</v>
      </c>
      <c r="E6126" s="2" t="s">
        <v>36</v>
      </c>
      <c r="F6126" s="4">
        <v>6022</v>
      </c>
      <c r="G6126" s="2" t="s">
        <v>37</v>
      </c>
      <c r="H6126" s="2" t="s">
        <v>34</v>
      </c>
      <c r="I6126" s="2" t="s">
        <v>18771</v>
      </c>
      <c r="J6126" s="2" t="s">
        <v>2712</v>
      </c>
      <c r="K6126" s="2" t="s">
        <v>53</v>
      </c>
      <c r="L6126" s="2" t="s">
        <v>133</v>
      </c>
      <c r="M6126" s="2"/>
      <c r="N6126" s="2"/>
      <c r="O6126" s="2"/>
      <c r="P6126" s="2" t="s">
        <v>18772</v>
      </c>
      <c r="Q6126" s="6">
        <v>56.54</v>
      </c>
      <c r="R6126" s="6">
        <v>35</v>
      </c>
      <c r="S6126" s="5">
        <v>228.7</v>
      </c>
      <c r="T6126" s="5">
        <v>457.3</v>
      </c>
      <c r="U6126" s="5">
        <v>16.399999999999999</v>
      </c>
      <c r="V6126" s="6">
        <v>1.82</v>
      </c>
      <c r="W6126" s="6">
        <v>24.95</v>
      </c>
      <c r="X6126" s="6">
        <v>24.98</v>
      </c>
      <c r="Y6126" s="6">
        <v>34.31</v>
      </c>
      <c r="Z6126" s="6">
        <v>34.369999999999997</v>
      </c>
      <c r="AA6126" s="6">
        <v>124.64</v>
      </c>
      <c r="AB6126" s="7">
        <v>50.154000000000003</v>
      </c>
      <c r="AC6126" s="2"/>
    </row>
    <row r="6127" spans="1:29" ht="104" x14ac:dyDescent="0.15">
      <c r="A6127" s="3">
        <f>DATE(2001,5,7)</f>
        <v>37018</v>
      </c>
      <c r="B6127" s="3">
        <f>DATE(2001,7,24)</f>
        <v>37096</v>
      </c>
      <c r="C6127" s="2" t="s">
        <v>95</v>
      </c>
      <c r="D6127" s="2" t="s">
        <v>12376</v>
      </c>
      <c r="E6127" s="2" t="s">
        <v>12377</v>
      </c>
      <c r="F6127" s="4">
        <v>7374</v>
      </c>
      <c r="G6127" s="2" t="s">
        <v>223</v>
      </c>
      <c r="H6127" s="2" t="s">
        <v>34</v>
      </c>
      <c r="I6127" s="2" t="s">
        <v>9454</v>
      </c>
      <c r="J6127" s="2" t="s">
        <v>36</v>
      </c>
      <c r="K6127" s="2" t="s">
        <v>37</v>
      </c>
      <c r="L6127" s="2" t="s">
        <v>34</v>
      </c>
      <c r="M6127" s="12">
        <v>17426.058000000001</v>
      </c>
      <c r="N6127" s="6">
        <v>21.24</v>
      </c>
      <c r="O6127" s="5">
        <v>21.2</v>
      </c>
      <c r="P6127" s="2" t="s">
        <v>18773</v>
      </c>
      <c r="Q6127" s="6">
        <v>100</v>
      </c>
      <c r="R6127" s="6">
        <v>31</v>
      </c>
      <c r="S6127" s="5">
        <v>-17.600000000000001</v>
      </c>
      <c r="T6127" s="5">
        <v>184.4</v>
      </c>
      <c r="U6127" s="5">
        <v>4.8</v>
      </c>
      <c r="V6127" s="6">
        <v>-0.23</v>
      </c>
      <c r="W6127" s="6">
        <v>22.66</v>
      </c>
      <c r="X6127" s="6">
        <v>23.52</v>
      </c>
      <c r="Y6127" s="6">
        <v>29.05</v>
      </c>
      <c r="Z6127" s="6">
        <v>29.52</v>
      </c>
      <c r="AA6127" s="6">
        <v>65.349999999999994</v>
      </c>
      <c r="AB6127" s="7">
        <v>21.585999999999999</v>
      </c>
      <c r="AC6127" s="8">
        <v>4142</v>
      </c>
    </row>
    <row r="6128" spans="1:29" ht="104" x14ac:dyDescent="0.15">
      <c r="A6128" s="3">
        <f>DATE(2001,5,7)</f>
        <v>37018</v>
      </c>
      <c r="B6128" s="3">
        <f>DATE(2001,6,19)</f>
        <v>37061</v>
      </c>
      <c r="C6128" s="2" t="s">
        <v>95</v>
      </c>
      <c r="D6128" s="2" t="s">
        <v>18732</v>
      </c>
      <c r="E6128" s="2" t="s">
        <v>18733</v>
      </c>
      <c r="F6128" s="4">
        <v>7371</v>
      </c>
      <c r="G6128" s="2" t="s">
        <v>223</v>
      </c>
      <c r="H6128" s="2" t="s">
        <v>34</v>
      </c>
      <c r="I6128" s="2" t="s">
        <v>18774</v>
      </c>
      <c r="J6128" s="2" t="s">
        <v>9239</v>
      </c>
      <c r="K6128" s="2" t="s">
        <v>223</v>
      </c>
      <c r="L6128" s="2" t="s">
        <v>17069</v>
      </c>
      <c r="M6128" s="2"/>
      <c r="N6128" s="2"/>
      <c r="O6128" s="2"/>
      <c r="P6128" s="2" t="s">
        <v>18775</v>
      </c>
      <c r="Q6128" s="6">
        <v>100</v>
      </c>
      <c r="R6128" s="6">
        <v>7.5</v>
      </c>
      <c r="S6128" s="5">
        <v>-59.5</v>
      </c>
      <c r="T6128" s="5">
        <v>-6.2</v>
      </c>
      <c r="U6128" s="5">
        <v>2.6</v>
      </c>
      <c r="V6128" s="6">
        <v>-1.06</v>
      </c>
      <c r="W6128" s="5">
        <v>3.3</v>
      </c>
      <c r="X6128" s="5">
        <v>3.9</v>
      </c>
      <c r="Y6128" s="6">
        <v>4.33</v>
      </c>
      <c r="Z6128" s="6">
        <v>5.65</v>
      </c>
      <c r="AA6128" s="6">
        <v>56.94</v>
      </c>
      <c r="AB6128" s="2" t="s">
        <v>86</v>
      </c>
      <c r="AC6128" s="6">
        <v>289.83999999999997</v>
      </c>
    </row>
    <row r="6129" spans="1:29" ht="143" x14ac:dyDescent="0.15">
      <c r="A6129" s="3">
        <f>DATE(2001,5,7)</f>
        <v>37018</v>
      </c>
      <c r="B6129" s="3">
        <f>DATE(2001,6,19)</f>
        <v>37061</v>
      </c>
      <c r="C6129" s="2" t="s">
        <v>95</v>
      </c>
      <c r="D6129" s="2" t="s">
        <v>18776</v>
      </c>
      <c r="E6129" s="2" t="s">
        <v>15018</v>
      </c>
      <c r="F6129" s="4">
        <v>3841</v>
      </c>
      <c r="G6129" s="2" t="s">
        <v>226</v>
      </c>
      <c r="H6129" s="2" t="s">
        <v>34</v>
      </c>
      <c r="I6129" s="2" t="s">
        <v>16396</v>
      </c>
      <c r="J6129" s="2" t="s">
        <v>15342</v>
      </c>
      <c r="K6129" s="2" t="s">
        <v>226</v>
      </c>
      <c r="L6129" s="2" t="s">
        <v>303</v>
      </c>
      <c r="M6129" s="2"/>
      <c r="N6129" s="2"/>
      <c r="O6129" s="2"/>
      <c r="P6129" s="2" t="s">
        <v>18777</v>
      </c>
      <c r="Q6129" s="6">
        <v>100</v>
      </c>
      <c r="R6129" s="6">
        <v>3.11</v>
      </c>
      <c r="S6129" s="5">
        <v>-10.7</v>
      </c>
      <c r="T6129" s="5">
        <v>-10.4</v>
      </c>
      <c r="U6129" s="5">
        <v>0.4</v>
      </c>
      <c r="V6129" s="6">
        <v>-0.74</v>
      </c>
      <c r="W6129" s="6">
        <v>1.65</v>
      </c>
      <c r="X6129" s="6">
        <v>1.65</v>
      </c>
      <c r="Y6129" s="6">
        <v>2.87</v>
      </c>
      <c r="Z6129" s="6">
        <v>2.92</v>
      </c>
      <c r="AA6129" s="6">
        <v>17.36</v>
      </c>
      <c r="AB6129" s="2" t="s">
        <v>86</v>
      </c>
      <c r="AC6129" s="6">
        <v>11.43</v>
      </c>
    </row>
    <row r="6130" spans="1:29" ht="195" x14ac:dyDescent="0.15">
      <c r="A6130" s="3">
        <f>DATE(2001,5,7)</f>
        <v>37018</v>
      </c>
      <c r="B6130" s="3">
        <f>DATE(2001,11,16)</f>
        <v>37211</v>
      </c>
      <c r="C6130" s="2" t="s">
        <v>95</v>
      </c>
      <c r="D6130" s="2" t="s">
        <v>18778</v>
      </c>
      <c r="E6130" s="2" t="s">
        <v>18779</v>
      </c>
      <c r="F6130" s="4">
        <v>7372</v>
      </c>
      <c r="G6130" s="2" t="s">
        <v>551</v>
      </c>
      <c r="H6130" s="2" t="s">
        <v>34</v>
      </c>
      <c r="I6130" s="2" t="s">
        <v>18780</v>
      </c>
      <c r="J6130" s="2" t="s">
        <v>18781</v>
      </c>
      <c r="K6130" s="2" t="s">
        <v>551</v>
      </c>
      <c r="L6130" s="2" t="s">
        <v>34</v>
      </c>
      <c r="M6130" s="7">
        <v>37.529000000000003</v>
      </c>
      <c r="N6130" s="6">
        <v>1.33</v>
      </c>
      <c r="O6130" s="7">
        <v>1.2450000000000001</v>
      </c>
      <c r="P6130" s="2" t="s">
        <v>18782</v>
      </c>
      <c r="Q6130" s="6">
        <v>100</v>
      </c>
      <c r="R6130" s="6">
        <v>1.7</v>
      </c>
      <c r="S6130" s="5">
        <v>-15</v>
      </c>
      <c r="T6130" s="7">
        <v>-15.436</v>
      </c>
      <c r="U6130" s="5">
        <v>3.1</v>
      </c>
      <c r="V6130" s="6">
        <v>-1.92</v>
      </c>
      <c r="W6130" s="5">
        <v>1.1000000000000001</v>
      </c>
      <c r="X6130" s="6">
        <v>1.1499999999999999</v>
      </c>
      <c r="Y6130" s="6">
        <v>1.65</v>
      </c>
      <c r="Z6130" s="6">
        <v>1.71</v>
      </c>
      <c r="AA6130" s="6">
        <v>8</v>
      </c>
      <c r="AB6130" s="2" t="s">
        <v>86</v>
      </c>
      <c r="AC6130" s="5">
        <v>8.5</v>
      </c>
    </row>
    <row r="6131" spans="1:29" ht="247" x14ac:dyDescent="0.15">
      <c r="A6131" s="3">
        <f>DATE(2001,5,8)</f>
        <v>37019</v>
      </c>
      <c r="B6131" s="3">
        <f>DATE(2001,8,2)</f>
        <v>37105</v>
      </c>
      <c r="C6131" s="2" t="s">
        <v>95</v>
      </c>
      <c r="D6131" s="2" t="s">
        <v>6192</v>
      </c>
      <c r="E6131" s="2" t="s">
        <v>177</v>
      </c>
      <c r="F6131" s="4">
        <v>1311</v>
      </c>
      <c r="G6131" s="2" t="s">
        <v>148</v>
      </c>
      <c r="H6131" s="2" t="s">
        <v>34</v>
      </c>
      <c r="I6131" s="2" t="s">
        <v>1436</v>
      </c>
      <c r="J6131" s="2" t="s">
        <v>1437</v>
      </c>
      <c r="K6131" s="2" t="s">
        <v>439</v>
      </c>
      <c r="L6131" s="2" t="s">
        <v>34</v>
      </c>
      <c r="M6131" s="12">
        <v>19056.588</v>
      </c>
      <c r="N6131" s="6">
        <v>39.54</v>
      </c>
      <c r="O6131" s="6">
        <v>40.36</v>
      </c>
      <c r="P6131" s="2" t="s">
        <v>18783</v>
      </c>
      <c r="Q6131" s="6">
        <v>100</v>
      </c>
      <c r="R6131" s="6">
        <v>71.2</v>
      </c>
      <c r="S6131" s="5">
        <v>76.900000000000006</v>
      </c>
      <c r="T6131" s="5">
        <v>443.2</v>
      </c>
      <c r="U6131" s="5">
        <v>12</v>
      </c>
      <c r="V6131" s="6">
        <v>2.2599999999999998</v>
      </c>
      <c r="W6131" s="6">
        <v>44.25</v>
      </c>
      <c r="X6131" s="6">
        <v>45.62</v>
      </c>
      <c r="Y6131" s="6">
        <v>61.11</v>
      </c>
      <c r="Z6131" s="6">
        <v>61.22</v>
      </c>
      <c r="AA6131" s="6">
        <v>33.46</v>
      </c>
      <c r="AB6131" s="7">
        <v>11.371</v>
      </c>
      <c r="AC6131" s="8">
        <v>1210.7</v>
      </c>
    </row>
    <row r="6132" spans="1:29" ht="104" x14ac:dyDescent="0.15">
      <c r="A6132" s="3">
        <f>DATE(2001,5,8)</f>
        <v>37019</v>
      </c>
      <c r="B6132" s="2"/>
      <c r="C6132" s="2" t="s">
        <v>30</v>
      </c>
      <c r="D6132" s="2" t="s">
        <v>967</v>
      </c>
      <c r="E6132" s="2" t="s">
        <v>18276</v>
      </c>
      <c r="F6132" s="4">
        <v>3089</v>
      </c>
      <c r="G6132" s="2" t="s">
        <v>447</v>
      </c>
      <c r="H6132" s="2" t="s">
        <v>34</v>
      </c>
      <c r="I6132" s="2" t="s">
        <v>51</v>
      </c>
      <c r="J6132" s="2" t="s">
        <v>52</v>
      </c>
      <c r="K6132" s="2" t="s">
        <v>53</v>
      </c>
      <c r="L6132" s="2" t="s">
        <v>34</v>
      </c>
      <c r="M6132" s="2"/>
      <c r="N6132" s="2"/>
      <c r="O6132" s="2"/>
      <c r="P6132" s="2" t="s">
        <v>18784</v>
      </c>
      <c r="Q6132" s="2"/>
      <c r="R6132" s="6">
        <v>3</v>
      </c>
      <c r="S6132" s="5">
        <v>1.3</v>
      </c>
      <c r="T6132" s="5">
        <v>34.299999999999997</v>
      </c>
      <c r="U6132" s="5">
        <v>4.0999999999999996</v>
      </c>
      <c r="V6132" s="6">
        <v>-0.04</v>
      </c>
      <c r="W6132" s="7">
        <v>1.625</v>
      </c>
      <c r="X6132" s="7">
        <v>1.6879999999999999</v>
      </c>
      <c r="Y6132" s="7">
        <v>1.9690000000000001</v>
      </c>
      <c r="Z6132" s="7">
        <v>1.875</v>
      </c>
      <c r="AA6132" s="6">
        <v>22.69</v>
      </c>
      <c r="AB6132" s="7">
        <v>9.8569999999999993</v>
      </c>
      <c r="AC6132" s="2"/>
    </row>
    <row r="6133" spans="1:29" ht="312" x14ac:dyDescent="0.15">
      <c r="A6133" s="3">
        <f>DATE(2001,5,8)</f>
        <v>37019</v>
      </c>
      <c r="B6133" s="3">
        <f>DATE(2002,1,18)</f>
        <v>37274</v>
      </c>
      <c r="C6133" s="2" t="s">
        <v>95</v>
      </c>
      <c r="D6133" s="2" t="s">
        <v>13651</v>
      </c>
      <c r="E6133" s="2" t="s">
        <v>13652</v>
      </c>
      <c r="F6133" s="4">
        <v>3731</v>
      </c>
      <c r="G6133" s="2" t="s">
        <v>105</v>
      </c>
      <c r="H6133" s="2" t="s">
        <v>34</v>
      </c>
      <c r="I6133" s="2" t="s">
        <v>9671</v>
      </c>
      <c r="J6133" s="2" t="s">
        <v>9672</v>
      </c>
      <c r="K6133" s="2" t="s">
        <v>226</v>
      </c>
      <c r="L6133" s="2" t="s">
        <v>34</v>
      </c>
      <c r="M6133" s="12">
        <v>6657.2560000000003</v>
      </c>
      <c r="N6133" s="5">
        <v>91.5</v>
      </c>
      <c r="O6133" s="4">
        <v>88</v>
      </c>
      <c r="P6133" s="2" t="s">
        <v>18785</v>
      </c>
      <c r="Q6133" s="6">
        <v>100</v>
      </c>
      <c r="R6133" s="6">
        <v>67.5</v>
      </c>
      <c r="S6133" s="5">
        <v>93</v>
      </c>
      <c r="T6133" s="5">
        <v>262</v>
      </c>
      <c r="U6133" s="5">
        <v>7.3</v>
      </c>
      <c r="V6133" s="6">
        <v>2.9</v>
      </c>
      <c r="W6133" s="6">
        <v>55.83</v>
      </c>
      <c r="X6133" s="6">
        <v>55.05</v>
      </c>
      <c r="Y6133" s="5">
        <v>64.099999999999994</v>
      </c>
      <c r="Z6133" s="6">
        <v>64.66</v>
      </c>
      <c r="AA6133" s="6">
        <v>35.4</v>
      </c>
      <c r="AB6133" s="7">
        <v>14.561</v>
      </c>
      <c r="AC6133" s="5">
        <v>319</v>
      </c>
    </row>
    <row r="6134" spans="1:29" ht="208" x14ac:dyDescent="0.15">
      <c r="A6134" s="3">
        <f>DATE(2001,5,9)</f>
        <v>37020</v>
      </c>
      <c r="B6134" s="3">
        <f>DATE(2002,7,26)</f>
        <v>37463</v>
      </c>
      <c r="C6134" s="2" t="s">
        <v>95</v>
      </c>
      <c r="D6134" s="2" t="s">
        <v>18786</v>
      </c>
      <c r="E6134" s="2" t="s">
        <v>10600</v>
      </c>
      <c r="F6134" s="4">
        <v>2051</v>
      </c>
      <c r="G6134" s="2" t="s">
        <v>577</v>
      </c>
      <c r="H6134" s="2" t="s">
        <v>34</v>
      </c>
      <c r="I6134" s="2" t="s">
        <v>51</v>
      </c>
      <c r="J6134" s="2" t="s">
        <v>52</v>
      </c>
      <c r="K6134" s="2" t="s">
        <v>53</v>
      </c>
      <c r="L6134" s="2" t="s">
        <v>34</v>
      </c>
      <c r="M6134" s="2"/>
      <c r="N6134" s="2"/>
      <c r="O6134" s="2"/>
      <c r="P6134" s="2" t="s">
        <v>18787</v>
      </c>
      <c r="Q6134" s="6">
        <v>37</v>
      </c>
      <c r="R6134" s="6">
        <v>2.5</v>
      </c>
      <c r="S6134" s="5">
        <v>-1.5</v>
      </c>
      <c r="T6134" s="5">
        <v>19.100000000000001</v>
      </c>
      <c r="U6134" s="5">
        <v>4.5999999999999996</v>
      </c>
      <c r="V6134" s="6">
        <v>-0.26</v>
      </c>
      <c r="W6134" s="7">
        <v>0.96899999999999997</v>
      </c>
      <c r="X6134" s="7">
        <v>1.625</v>
      </c>
      <c r="Y6134" s="9">
        <v>1.1875</v>
      </c>
      <c r="Z6134" s="9">
        <v>1.1875</v>
      </c>
      <c r="AA6134" s="6">
        <v>5.78</v>
      </c>
      <c r="AB6134" s="7">
        <v>10.500999999999999</v>
      </c>
      <c r="AC6134" s="2"/>
    </row>
    <row r="6135" spans="1:29" ht="65" x14ac:dyDescent="0.15">
      <c r="A6135" s="3">
        <f>DATE(2001,5,10)</f>
        <v>37021</v>
      </c>
      <c r="B6135" s="2"/>
      <c r="C6135" s="2" t="s">
        <v>87</v>
      </c>
      <c r="D6135" s="2" t="s">
        <v>17278</v>
      </c>
      <c r="E6135" s="2" t="s">
        <v>17279</v>
      </c>
      <c r="F6135" s="4">
        <v>3571</v>
      </c>
      <c r="G6135" s="2" t="s">
        <v>50</v>
      </c>
      <c r="H6135" s="2" t="s">
        <v>34</v>
      </c>
      <c r="I6135" s="2" t="s">
        <v>18788</v>
      </c>
      <c r="J6135" s="2" t="s">
        <v>18789</v>
      </c>
      <c r="K6135" s="2" t="s">
        <v>223</v>
      </c>
      <c r="L6135" s="2" t="s">
        <v>8464</v>
      </c>
      <c r="M6135" s="2"/>
      <c r="N6135" s="2"/>
      <c r="O6135" s="2"/>
      <c r="P6135" s="2" t="s">
        <v>18790</v>
      </c>
      <c r="Q6135" s="2"/>
      <c r="R6135" s="2"/>
      <c r="S6135" s="5">
        <v>-772.9</v>
      </c>
      <c r="T6135" s="7">
        <v>33.281999999999996</v>
      </c>
      <c r="U6135" s="5">
        <v>16.2</v>
      </c>
      <c r="V6135" s="6">
        <v>-7.23</v>
      </c>
      <c r="W6135" s="5">
        <v>11.6</v>
      </c>
      <c r="X6135" s="6">
        <v>11.67</v>
      </c>
      <c r="Y6135" s="6">
        <v>12.57</v>
      </c>
      <c r="Z6135" s="6">
        <v>12.58</v>
      </c>
      <c r="AA6135" s="2"/>
      <c r="AB6135" s="2" t="s">
        <v>86</v>
      </c>
      <c r="AC6135" s="10">
        <v>2517.21</v>
      </c>
    </row>
    <row r="6136" spans="1:29" ht="52" x14ac:dyDescent="0.15">
      <c r="A6136" s="3">
        <f>DATE(2001,5,10)</f>
        <v>37021</v>
      </c>
      <c r="B6136" s="2"/>
      <c r="C6136" s="2" t="s">
        <v>87</v>
      </c>
      <c r="D6136" s="2" t="s">
        <v>17020</v>
      </c>
      <c r="E6136" s="2" t="s">
        <v>10711</v>
      </c>
      <c r="F6136" s="4">
        <v>7375</v>
      </c>
      <c r="G6136" s="2" t="s">
        <v>223</v>
      </c>
      <c r="H6136" s="2" t="s">
        <v>34</v>
      </c>
      <c r="I6136" s="2" t="s">
        <v>18788</v>
      </c>
      <c r="J6136" s="2" t="s">
        <v>18789</v>
      </c>
      <c r="K6136" s="2" t="s">
        <v>223</v>
      </c>
      <c r="L6136" s="2" t="s">
        <v>8464</v>
      </c>
      <c r="M6136" s="2"/>
      <c r="N6136" s="2"/>
      <c r="O6136" s="2"/>
      <c r="P6136" s="2" t="s">
        <v>18791</v>
      </c>
      <c r="Q6136" s="2"/>
      <c r="R6136" s="2"/>
      <c r="S6136" s="5">
        <v>-345.9</v>
      </c>
      <c r="T6136" s="5">
        <v>-22.9</v>
      </c>
      <c r="U6136" s="5">
        <v>9.1</v>
      </c>
      <c r="V6136" s="6">
        <v>-2.99</v>
      </c>
      <c r="W6136" s="6">
        <v>13.18</v>
      </c>
      <c r="X6136" s="6">
        <v>12.73</v>
      </c>
      <c r="Y6136" s="5">
        <v>12.7</v>
      </c>
      <c r="Z6136" s="6">
        <v>12.84</v>
      </c>
      <c r="AA6136" s="6">
        <v>130.29</v>
      </c>
      <c r="AB6136" s="2" t="s">
        <v>86</v>
      </c>
      <c r="AC6136" s="10">
        <v>2517.21</v>
      </c>
    </row>
    <row r="6137" spans="1:29" ht="156" x14ac:dyDescent="0.15">
      <c r="A6137" s="3">
        <f>DATE(2001,5,10)</f>
        <v>37021</v>
      </c>
      <c r="B6137" s="2"/>
      <c r="C6137" s="2" t="s">
        <v>30</v>
      </c>
      <c r="D6137" s="2" t="s">
        <v>18792</v>
      </c>
      <c r="E6137" s="2" t="s">
        <v>18793</v>
      </c>
      <c r="F6137" s="4">
        <v>6798</v>
      </c>
      <c r="G6137" s="2" t="s">
        <v>53</v>
      </c>
      <c r="H6137" s="2" t="s">
        <v>34</v>
      </c>
      <c r="I6137" s="2" t="s">
        <v>11784</v>
      </c>
      <c r="J6137" s="2" t="s">
        <v>92</v>
      </c>
      <c r="K6137" s="2" t="s">
        <v>53</v>
      </c>
      <c r="L6137" s="2" t="s">
        <v>34</v>
      </c>
      <c r="M6137" s="12">
        <v>1160.3520000000001</v>
      </c>
      <c r="N6137" s="5">
        <v>21.8</v>
      </c>
      <c r="O6137" s="6">
        <v>22.61</v>
      </c>
      <c r="P6137" s="2" t="s">
        <v>18794</v>
      </c>
      <c r="Q6137" s="2"/>
      <c r="R6137" s="6">
        <v>21.93</v>
      </c>
      <c r="S6137" s="5">
        <v>116.9</v>
      </c>
      <c r="T6137" s="5">
        <v>380</v>
      </c>
      <c r="U6137" s="5">
        <v>25.1</v>
      </c>
      <c r="V6137" s="6">
        <v>2.4500000000000002</v>
      </c>
      <c r="W6137" s="6">
        <v>21.58</v>
      </c>
      <c r="X6137" s="6">
        <v>21.45</v>
      </c>
      <c r="Y6137" s="5">
        <v>21.3</v>
      </c>
      <c r="Z6137" s="5">
        <v>21.8</v>
      </c>
      <c r="AA6137" s="6">
        <v>44.51</v>
      </c>
      <c r="AB6137" s="7">
        <v>10.119999999999999</v>
      </c>
      <c r="AC6137" s="5">
        <v>60.7</v>
      </c>
    </row>
    <row r="6138" spans="1:29" ht="247" x14ac:dyDescent="0.15">
      <c r="A6138" s="3">
        <f>DATE(2001,5,10)</f>
        <v>37021</v>
      </c>
      <c r="B6138" s="3">
        <f>DATE(2003,6,26)</f>
        <v>37798</v>
      </c>
      <c r="C6138" s="2" t="s">
        <v>95</v>
      </c>
      <c r="D6138" s="2" t="s">
        <v>18795</v>
      </c>
      <c r="E6138" s="2" t="s">
        <v>18796</v>
      </c>
      <c r="F6138" s="2" t="s">
        <v>3218</v>
      </c>
      <c r="G6138" s="2" t="s">
        <v>426</v>
      </c>
      <c r="H6138" s="2" t="s">
        <v>34</v>
      </c>
      <c r="I6138" s="2" t="s">
        <v>51</v>
      </c>
      <c r="J6138" s="2" t="s">
        <v>52</v>
      </c>
      <c r="K6138" s="2" t="s">
        <v>53</v>
      </c>
      <c r="L6138" s="2" t="s">
        <v>34</v>
      </c>
      <c r="M6138" s="2"/>
      <c r="N6138" s="2"/>
      <c r="O6138" s="2"/>
      <c r="P6138" s="2" t="s">
        <v>18797</v>
      </c>
      <c r="Q6138" s="6">
        <v>53.73</v>
      </c>
      <c r="R6138" s="6">
        <v>3</v>
      </c>
      <c r="S6138" s="5">
        <v>-40.5</v>
      </c>
      <c r="T6138" s="7">
        <v>23.145</v>
      </c>
      <c r="U6138" s="5">
        <v>-0.5</v>
      </c>
      <c r="V6138" s="6">
        <v>-3.15</v>
      </c>
      <c r="W6138" s="5">
        <v>7.3</v>
      </c>
      <c r="X6138" s="4">
        <v>7</v>
      </c>
      <c r="Y6138" s="6">
        <v>6.92</v>
      </c>
      <c r="Z6138" s="6">
        <v>6.11</v>
      </c>
      <c r="AA6138" s="6">
        <v>12.86</v>
      </c>
      <c r="AB6138" s="2" t="s">
        <v>86</v>
      </c>
      <c r="AC6138" s="2"/>
    </row>
    <row r="6139" spans="1:29" ht="78" x14ac:dyDescent="0.15">
      <c r="A6139" s="3">
        <f>DATE(2001,5,11)</f>
        <v>37022</v>
      </c>
      <c r="B6139" s="2"/>
      <c r="C6139" s="2" t="s">
        <v>87</v>
      </c>
      <c r="D6139" s="2" t="s">
        <v>18798</v>
      </c>
      <c r="E6139" s="2" t="s">
        <v>18799</v>
      </c>
      <c r="F6139" s="4">
        <v>6211</v>
      </c>
      <c r="G6139" s="2" t="s">
        <v>53</v>
      </c>
      <c r="H6139" s="2" t="s">
        <v>34</v>
      </c>
      <c r="I6139" s="2" t="s">
        <v>18800</v>
      </c>
      <c r="J6139" s="2" t="s">
        <v>16983</v>
      </c>
      <c r="K6139" s="2" t="s">
        <v>37</v>
      </c>
      <c r="L6139" s="2" t="s">
        <v>902</v>
      </c>
      <c r="M6139" s="2"/>
      <c r="N6139" s="2"/>
      <c r="O6139" s="2"/>
      <c r="P6139" s="2" t="s">
        <v>18801</v>
      </c>
      <c r="Q6139" s="2"/>
      <c r="R6139" s="2"/>
      <c r="S6139" s="5">
        <v>-72.3</v>
      </c>
      <c r="T6139" s="7">
        <v>141.727</v>
      </c>
      <c r="U6139" s="5">
        <v>1.1000000000000001</v>
      </c>
      <c r="V6139" s="7">
        <v>-0.39900000000000002</v>
      </c>
      <c r="W6139" s="6">
        <v>7.36</v>
      </c>
      <c r="X6139" s="6">
        <v>7.96</v>
      </c>
      <c r="Y6139" s="6">
        <v>8.56</v>
      </c>
      <c r="Z6139" s="6">
        <v>8.26</v>
      </c>
      <c r="AA6139" s="6">
        <v>178.15</v>
      </c>
      <c r="AB6139" s="2" t="s">
        <v>47</v>
      </c>
      <c r="AC6139" s="8">
        <v>21042.7</v>
      </c>
    </row>
    <row r="6140" spans="1:29" ht="117" x14ac:dyDescent="0.15">
      <c r="A6140" s="3">
        <f>DATE(2001,5,11)</f>
        <v>37022</v>
      </c>
      <c r="B6140" s="3">
        <f>DATE(2001,7,19)</f>
        <v>37091</v>
      </c>
      <c r="C6140" s="2" t="s">
        <v>95</v>
      </c>
      <c r="D6140" s="2" t="s">
        <v>18802</v>
      </c>
      <c r="E6140" s="2" t="s">
        <v>18803</v>
      </c>
      <c r="F6140" s="4">
        <v>8731</v>
      </c>
      <c r="G6140" s="2" t="s">
        <v>223</v>
      </c>
      <c r="H6140" s="2" t="s">
        <v>34</v>
      </c>
      <c r="I6140" s="2" t="s">
        <v>4010</v>
      </c>
      <c r="J6140" s="2" t="s">
        <v>4011</v>
      </c>
      <c r="K6140" s="2" t="s">
        <v>130</v>
      </c>
      <c r="L6140" s="2" t="s">
        <v>34</v>
      </c>
      <c r="M6140" s="12">
        <v>182293.891</v>
      </c>
      <c r="N6140" s="6">
        <v>75.94</v>
      </c>
      <c r="O6140" s="6">
        <v>76.69</v>
      </c>
      <c r="P6140" s="2" t="s">
        <v>18804</v>
      </c>
      <c r="Q6140" s="6">
        <v>100</v>
      </c>
      <c r="R6140" s="6">
        <v>18</v>
      </c>
      <c r="S6140" s="5">
        <v>-30.9</v>
      </c>
      <c r="T6140" s="5">
        <v>-31.3</v>
      </c>
      <c r="U6140" s="5">
        <v>5.0999999999999996</v>
      </c>
      <c r="V6140" s="6">
        <v>-1.53</v>
      </c>
      <c r="W6140" s="6">
        <v>10.16</v>
      </c>
      <c r="X6140" s="6">
        <v>9.91</v>
      </c>
      <c r="Y6140" s="6">
        <v>17.34</v>
      </c>
      <c r="Z6140" s="5">
        <v>17.5</v>
      </c>
      <c r="AA6140" s="6">
        <v>32.200000000000003</v>
      </c>
      <c r="AB6140" s="2" t="s">
        <v>86</v>
      </c>
      <c r="AC6140" s="8">
        <v>2158.5</v>
      </c>
    </row>
    <row r="6141" spans="1:29" ht="156" x14ac:dyDescent="0.15">
      <c r="A6141" s="3">
        <f t="shared" ref="A6141:A6149" si="146">DATE(2001,5,14)</f>
        <v>37025</v>
      </c>
      <c r="B6141" s="3">
        <f>DATE(2001,10,1)</f>
        <v>37165</v>
      </c>
      <c r="C6141" s="2" t="s">
        <v>95</v>
      </c>
      <c r="D6141" s="2" t="s">
        <v>18805</v>
      </c>
      <c r="E6141" s="2" t="s">
        <v>18806</v>
      </c>
      <c r="F6141" s="4">
        <v>7389</v>
      </c>
      <c r="G6141" s="2" t="s">
        <v>223</v>
      </c>
      <c r="H6141" s="2" t="s">
        <v>34</v>
      </c>
      <c r="I6141" s="2" t="s">
        <v>18807</v>
      </c>
      <c r="J6141" s="2" t="s">
        <v>2155</v>
      </c>
      <c r="K6141" s="2" t="s">
        <v>53</v>
      </c>
      <c r="L6141" s="2" t="s">
        <v>34</v>
      </c>
      <c r="M6141" s="2"/>
      <c r="N6141" s="2"/>
      <c r="O6141" s="2"/>
      <c r="P6141" s="2" t="s">
        <v>18808</v>
      </c>
      <c r="Q6141" s="6">
        <v>20.399999999999999</v>
      </c>
      <c r="R6141" s="6">
        <v>0.94</v>
      </c>
      <c r="S6141" s="5">
        <v>-20.9</v>
      </c>
      <c r="T6141" s="7">
        <v>8.7319999999999993</v>
      </c>
      <c r="U6141" s="5">
        <v>4.7</v>
      </c>
      <c r="V6141" s="6">
        <v>-0.56000000000000005</v>
      </c>
      <c r="W6141" s="6">
        <v>2.31</v>
      </c>
      <c r="X6141" s="6">
        <v>2.0499999999999998</v>
      </c>
      <c r="Y6141" s="6">
        <v>2.5499999999999998</v>
      </c>
      <c r="Z6141" s="6">
        <v>2.5299999999999998</v>
      </c>
      <c r="AA6141" s="6">
        <v>38.54</v>
      </c>
      <c r="AB6141" s="2" t="s">
        <v>86</v>
      </c>
      <c r="AC6141" s="2"/>
    </row>
    <row r="6142" spans="1:29" ht="156" x14ac:dyDescent="0.15">
      <c r="A6142" s="3">
        <f t="shared" si="146"/>
        <v>37025</v>
      </c>
      <c r="B6142" s="3">
        <f>DATE(2001,10,31)</f>
        <v>37195</v>
      </c>
      <c r="C6142" s="2" t="s">
        <v>95</v>
      </c>
      <c r="D6142" s="2" t="s">
        <v>18805</v>
      </c>
      <c r="E6142" s="2" t="s">
        <v>18806</v>
      </c>
      <c r="F6142" s="4">
        <v>7389</v>
      </c>
      <c r="G6142" s="2" t="s">
        <v>223</v>
      </c>
      <c r="H6142" s="2" t="s">
        <v>34</v>
      </c>
      <c r="I6142" s="2" t="s">
        <v>18807</v>
      </c>
      <c r="J6142" s="2" t="s">
        <v>2155</v>
      </c>
      <c r="K6142" s="2" t="s">
        <v>53</v>
      </c>
      <c r="L6142" s="2" t="s">
        <v>34</v>
      </c>
      <c r="M6142" s="2"/>
      <c r="N6142" s="2"/>
      <c r="O6142" s="2"/>
      <c r="P6142" s="2" t="s">
        <v>18809</v>
      </c>
      <c r="Q6142" s="6">
        <v>40.380000000000003</v>
      </c>
      <c r="R6142" s="6">
        <v>3.35</v>
      </c>
      <c r="S6142" s="5">
        <v>-20.9</v>
      </c>
      <c r="T6142" s="7">
        <v>8.7319999999999993</v>
      </c>
      <c r="U6142" s="5">
        <v>4.7</v>
      </c>
      <c r="V6142" s="6">
        <v>-0.56000000000000005</v>
      </c>
      <c r="W6142" s="6">
        <v>2.31</v>
      </c>
      <c r="X6142" s="6">
        <v>2.0499999999999998</v>
      </c>
      <c r="Y6142" s="6">
        <v>2.5499999999999998</v>
      </c>
      <c r="Z6142" s="6">
        <v>2.5299999999999998</v>
      </c>
      <c r="AA6142" s="6">
        <v>38.54</v>
      </c>
      <c r="AB6142" s="2" t="s">
        <v>86</v>
      </c>
      <c r="AC6142" s="2"/>
    </row>
    <row r="6143" spans="1:29" ht="65" x14ac:dyDescent="0.15">
      <c r="A6143" s="3">
        <f t="shared" si="146"/>
        <v>37025</v>
      </c>
      <c r="B6143" s="2"/>
      <c r="C6143" s="2" t="s">
        <v>30</v>
      </c>
      <c r="D6143" s="2" t="s">
        <v>18810</v>
      </c>
      <c r="E6143" s="2" t="s">
        <v>844</v>
      </c>
      <c r="F6143" s="4">
        <v>6552</v>
      </c>
      <c r="G6143" s="2" t="s">
        <v>109</v>
      </c>
      <c r="H6143" s="2" t="s">
        <v>34</v>
      </c>
      <c r="I6143" s="2" t="s">
        <v>18811</v>
      </c>
      <c r="J6143" s="2" t="s">
        <v>80</v>
      </c>
      <c r="K6143" s="2" t="s">
        <v>53</v>
      </c>
      <c r="L6143" s="2" t="s">
        <v>34</v>
      </c>
      <c r="M6143" s="2"/>
      <c r="N6143" s="2"/>
      <c r="O6143" s="2"/>
      <c r="P6143" s="2" t="s">
        <v>18812</v>
      </c>
      <c r="Q6143" s="2"/>
      <c r="R6143" s="6">
        <v>5.5</v>
      </c>
      <c r="S6143" s="5">
        <v>-5</v>
      </c>
      <c r="T6143" s="5">
        <v>-5.9</v>
      </c>
      <c r="U6143" s="5">
        <v>7.7</v>
      </c>
      <c r="V6143" s="6">
        <v>-1.18</v>
      </c>
      <c r="W6143" s="6">
        <v>4.0199999999999996</v>
      </c>
      <c r="X6143" s="6">
        <v>5.15</v>
      </c>
      <c r="Y6143" s="6">
        <v>5.15</v>
      </c>
      <c r="Z6143" s="6">
        <v>5.22</v>
      </c>
      <c r="AA6143" s="6">
        <v>4.16</v>
      </c>
      <c r="AB6143" s="2" t="s">
        <v>86</v>
      </c>
      <c r="AC6143" s="2"/>
    </row>
    <row r="6144" spans="1:29" ht="156" x14ac:dyDescent="0.15">
      <c r="A6144" s="3">
        <f t="shared" si="146"/>
        <v>37025</v>
      </c>
      <c r="B6144" s="3">
        <f>DATE(2001,8,31)</f>
        <v>37134</v>
      </c>
      <c r="C6144" s="2" t="s">
        <v>95</v>
      </c>
      <c r="D6144" s="2" t="s">
        <v>18813</v>
      </c>
      <c r="E6144" s="2" t="s">
        <v>18814</v>
      </c>
      <c r="F6144" s="4">
        <v>7375</v>
      </c>
      <c r="G6144" s="2" t="s">
        <v>223</v>
      </c>
      <c r="H6144" s="2" t="s">
        <v>34</v>
      </c>
      <c r="I6144" s="2" t="s">
        <v>18815</v>
      </c>
      <c r="J6144" s="2" t="s">
        <v>18816</v>
      </c>
      <c r="K6144" s="2" t="s">
        <v>63</v>
      </c>
      <c r="L6144" s="2" t="s">
        <v>303</v>
      </c>
      <c r="M6144" s="2"/>
      <c r="N6144" s="2"/>
      <c r="O6144" s="2"/>
      <c r="P6144" s="2" t="s">
        <v>18817</v>
      </c>
      <c r="Q6144" s="6">
        <v>100</v>
      </c>
      <c r="R6144" s="6">
        <v>3.4</v>
      </c>
      <c r="S6144" s="8">
        <v>-1547.2</v>
      </c>
      <c r="T6144" s="5">
        <v>-221.2</v>
      </c>
      <c r="U6144" s="5">
        <v>4.4000000000000004</v>
      </c>
      <c r="V6144" s="6">
        <v>-20.09</v>
      </c>
      <c r="W6144" s="6">
        <v>2.06</v>
      </c>
      <c r="X6144" s="6">
        <v>3.12</v>
      </c>
      <c r="Y6144" s="6">
        <v>3.39</v>
      </c>
      <c r="Z6144" s="6">
        <v>3.36</v>
      </c>
      <c r="AA6144" s="6">
        <v>82.23</v>
      </c>
      <c r="AB6144" s="2" t="s">
        <v>86</v>
      </c>
      <c r="AC6144" s="10">
        <v>10717.14</v>
      </c>
    </row>
    <row r="6145" spans="1:29" ht="104" x14ac:dyDescent="0.15">
      <c r="A6145" s="3">
        <f t="shared" si="146"/>
        <v>37025</v>
      </c>
      <c r="B6145" s="3">
        <f>DATE(2001,8,1)</f>
        <v>37104</v>
      </c>
      <c r="C6145" s="2" t="s">
        <v>95</v>
      </c>
      <c r="D6145" s="2" t="s">
        <v>7585</v>
      </c>
      <c r="E6145" s="2" t="s">
        <v>612</v>
      </c>
      <c r="F6145" s="4">
        <v>1311</v>
      </c>
      <c r="G6145" s="2" t="s">
        <v>148</v>
      </c>
      <c r="H6145" s="2" t="s">
        <v>34</v>
      </c>
      <c r="I6145" s="2" t="s">
        <v>13030</v>
      </c>
      <c r="J6145" s="2" t="s">
        <v>1435</v>
      </c>
      <c r="K6145" s="2" t="s">
        <v>148</v>
      </c>
      <c r="L6145" s="2" t="s">
        <v>34</v>
      </c>
      <c r="M6145" s="12">
        <v>6770.9040000000005</v>
      </c>
      <c r="N6145" s="6">
        <v>70.09</v>
      </c>
      <c r="O6145" s="6">
        <v>70.06</v>
      </c>
      <c r="P6145" s="2" t="s">
        <v>18818</v>
      </c>
      <c r="Q6145" s="6">
        <v>100</v>
      </c>
      <c r="R6145" s="6">
        <v>66</v>
      </c>
      <c r="S6145" s="5">
        <v>83.4</v>
      </c>
      <c r="T6145" s="7">
        <v>-144.26400000000001</v>
      </c>
      <c r="U6145" s="5">
        <v>10.9</v>
      </c>
      <c r="V6145" s="6">
        <v>4.38</v>
      </c>
      <c r="W6145" s="6">
        <v>47.42</v>
      </c>
      <c r="X6145" s="6">
        <v>53.28</v>
      </c>
      <c r="Y6145" s="6">
        <v>64.430000000000007</v>
      </c>
      <c r="Z6145" s="6">
        <v>64.459999999999994</v>
      </c>
      <c r="AA6145" s="6">
        <v>18.25</v>
      </c>
      <c r="AB6145" s="2" t="s">
        <v>86</v>
      </c>
      <c r="AC6145" s="5">
        <v>235.9</v>
      </c>
    </row>
    <row r="6146" spans="1:29" ht="117" x14ac:dyDescent="0.15">
      <c r="A6146" s="3">
        <f t="shared" si="146"/>
        <v>37025</v>
      </c>
      <c r="B6146" s="3">
        <f>DATE(2001,8,13)</f>
        <v>37116</v>
      </c>
      <c r="C6146" s="2" t="s">
        <v>95</v>
      </c>
      <c r="D6146" s="2" t="s">
        <v>18819</v>
      </c>
      <c r="E6146" s="2" t="s">
        <v>10223</v>
      </c>
      <c r="F6146" s="4">
        <v>7373</v>
      </c>
      <c r="G6146" s="2" t="s">
        <v>223</v>
      </c>
      <c r="H6146" s="2" t="s">
        <v>34</v>
      </c>
      <c r="I6146" s="2" t="s">
        <v>18820</v>
      </c>
      <c r="J6146" s="2" t="s">
        <v>18821</v>
      </c>
      <c r="K6146" s="2" t="s">
        <v>223</v>
      </c>
      <c r="L6146" s="2" t="s">
        <v>34</v>
      </c>
      <c r="M6146" s="7">
        <v>100.117</v>
      </c>
      <c r="N6146" s="5">
        <v>7.5</v>
      </c>
      <c r="O6146" s="4">
        <v>7</v>
      </c>
      <c r="P6146" s="2" t="s">
        <v>18822</v>
      </c>
      <c r="Q6146" s="6">
        <v>100</v>
      </c>
      <c r="R6146" s="6">
        <v>2.94</v>
      </c>
      <c r="S6146" s="5">
        <v>3.2</v>
      </c>
      <c r="T6146" s="5">
        <v>7.9</v>
      </c>
      <c r="U6146" s="5">
        <v>0.8</v>
      </c>
      <c r="V6146" s="6">
        <v>0.11</v>
      </c>
      <c r="W6146" s="6">
        <v>1.35</v>
      </c>
      <c r="X6146" s="6">
        <v>1.44</v>
      </c>
      <c r="Y6146" s="6">
        <v>1.63</v>
      </c>
      <c r="Z6146" s="6">
        <v>2.29</v>
      </c>
      <c r="AA6146" s="6">
        <v>28.17</v>
      </c>
      <c r="AB6146" s="7">
        <v>20.995999999999999</v>
      </c>
      <c r="AC6146" s="5">
        <v>32.200000000000003</v>
      </c>
    </row>
    <row r="6147" spans="1:29" ht="104" x14ac:dyDescent="0.15">
      <c r="A6147" s="3">
        <f t="shared" si="146"/>
        <v>37025</v>
      </c>
      <c r="B6147" s="3">
        <f>DATE(2001,7,18)</f>
        <v>37090</v>
      </c>
      <c r="C6147" s="2" t="s">
        <v>95</v>
      </c>
      <c r="D6147" s="2" t="s">
        <v>13559</v>
      </c>
      <c r="E6147" s="2" t="s">
        <v>13560</v>
      </c>
      <c r="F6147" s="4">
        <v>5961</v>
      </c>
      <c r="G6147" s="2" t="s">
        <v>73</v>
      </c>
      <c r="H6147" s="2" t="s">
        <v>34</v>
      </c>
      <c r="I6147" s="2" t="s">
        <v>18823</v>
      </c>
      <c r="J6147" s="2" t="s">
        <v>18824</v>
      </c>
      <c r="K6147" s="2" t="s">
        <v>45</v>
      </c>
      <c r="L6147" s="2" t="s">
        <v>34</v>
      </c>
      <c r="M6147" s="10">
        <v>13451.53</v>
      </c>
      <c r="N6147" s="6">
        <v>35.869999999999997</v>
      </c>
      <c r="O6147" s="6">
        <v>33.85</v>
      </c>
      <c r="P6147" s="2" t="s">
        <v>18825</v>
      </c>
      <c r="Q6147" s="6">
        <v>100</v>
      </c>
      <c r="R6147" s="6">
        <v>2.9</v>
      </c>
      <c r="S6147" s="5">
        <v>-11.1</v>
      </c>
      <c r="T6147" s="7">
        <v>-0.55300000000000005</v>
      </c>
      <c r="U6147" s="5">
        <v>0.3</v>
      </c>
      <c r="V6147" s="6">
        <v>-0.76</v>
      </c>
      <c r="W6147" s="5">
        <v>2.6</v>
      </c>
      <c r="X6147" s="6">
        <v>2.56</v>
      </c>
      <c r="Y6147" s="5">
        <v>2.7</v>
      </c>
      <c r="Z6147" s="6">
        <v>2.65</v>
      </c>
      <c r="AA6147" s="6">
        <v>15.82</v>
      </c>
      <c r="AB6147" s="2" t="s">
        <v>86</v>
      </c>
      <c r="AC6147" s="5">
        <v>488</v>
      </c>
    </row>
    <row r="6148" spans="1:29" ht="52" x14ac:dyDescent="0.15">
      <c r="A6148" s="3">
        <f t="shared" si="146"/>
        <v>37025</v>
      </c>
      <c r="B6148" s="3">
        <f>DATE(2001,5,14)</f>
        <v>37025</v>
      </c>
      <c r="C6148" s="2" t="s">
        <v>95</v>
      </c>
      <c r="D6148" s="2" t="s">
        <v>2577</v>
      </c>
      <c r="E6148" s="2" t="s">
        <v>2578</v>
      </c>
      <c r="F6148" s="4">
        <v>5091</v>
      </c>
      <c r="G6148" s="2" t="s">
        <v>76</v>
      </c>
      <c r="H6148" s="2" t="s">
        <v>34</v>
      </c>
      <c r="I6148" s="2" t="s">
        <v>4259</v>
      </c>
      <c r="J6148" s="2" t="s">
        <v>7773</v>
      </c>
      <c r="K6148" s="2" t="s">
        <v>137</v>
      </c>
      <c r="L6148" s="2" t="s">
        <v>34</v>
      </c>
      <c r="M6148" s="7">
        <v>45.036000000000001</v>
      </c>
      <c r="N6148" s="6">
        <v>1.44</v>
      </c>
      <c r="O6148" s="6">
        <v>1.48</v>
      </c>
      <c r="P6148" s="2" t="s">
        <v>18826</v>
      </c>
      <c r="Q6148" s="6">
        <v>2.3199999999999998</v>
      </c>
      <c r="R6148" s="2"/>
      <c r="S6148" s="5">
        <v>-4.2</v>
      </c>
      <c r="T6148" s="6">
        <v>-2.76</v>
      </c>
      <c r="U6148" s="5">
        <v>4.5999999999999996</v>
      </c>
      <c r="V6148" s="6">
        <v>-0.5</v>
      </c>
      <c r="W6148" s="6">
        <v>1.37</v>
      </c>
      <c r="X6148" s="6">
        <v>1.37</v>
      </c>
      <c r="Y6148" s="6">
        <v>1.39</v>
      </c>
      <c r="Z6148" s="6">
        <v>1.37</v>
      </c>
      <c r="AA6148" s="6">
        <v>8.91</v>
      </c>
      <c r="AB6148" s="2" t="s">
        <v>86</v>
      </c>
      <c r="AC6148" s="6">
        <v>8.0299999999999994</v>
      </c>
    </row>
    <row r="6149" spans="1:29" ht="156" x14ac:dyDescent="0.15">
      <c r="A6149" s="3">
        <f t="shared" si="146"/>
        <v>37025</v>
      </c>
      <c r="B6149" s="2"/>
      <c r="C6149" s="2" t="s">
        <v>30</v>
      </c>
      <c r="D6149" s="2" t="s">
        <v>2050</v>
      </c>
      <c r="E6149" s="2" t="s">
        <v>36</v>
      </c>
      <c r="F6149" s="4">
        <v>6021</v>
      </c>
      <c r="G6149" s="2" t="s">
        <v>37</v>
      </c>
      <c r="H6149" s="2" t="s">
        <v>34</v>
      </c>
      <c r="I6149" s="2" t="s">
        <v>2900</v>
      </c>
      <c r="J6149" s="2" t="s">
        <v>265</v>
      </c>
      <c r="K6149" s="2" t="s">
        <v>37</v>
      </c>
      <c r="L6149" s="2" t="s">
        <v>34</v>
      </c>
      <c r="M6149" s="12">
        <v>18842.489000000001</v>
      </c>
      <c r="N6149" s="4">
        <v>60</v>
      </c>
      <c r="O6149" s="6">
        <v>60.08</v>
      </c>
      <c r="P6149" s="2" t="s">
        <v>18827</v>
      </c>
      <c r="Q6149" s="2"/>
      <c r="R6149" s="6">
        <v>70.06</v>
      </c>
      <c r="S6149" s="5">
        <v>829.7</v>
      </c>
      <c r="T6149" s="8">
        <v>1567.2</v>
      </c>
      <c r="U6149" s="5">
        <v>32.6</v>
      </c>
      <c r="V6149" s="6">
        <v>4.04</v>
      </c>
      <c r="W6149" s="6">
        <v>58.95</v>
      </c>
      <c r="X6149" s="5">
        <v>60.2</v>
      </c>
      <c r="Y6149" s="6">
        <v>62.05</v>
      </c>
      <c r="Z6149" s="6">
        <v>61.51</v>
      </c>
      <c r="AA6149" s="6">
        <v>204.04</v>
      </c>
      <c r="AB6149" s="7">
        <v>60.411000000000001</v>
      </c>
      <c r="AC6149" s="8">
        <v>4499.1000000000004</v>
      </c>
    </row>
    <row r="6150" spans="1:29" ht="247" x14ac:dyDescent="0.15">
      <c r="A6150" s="3">
        <f>DATE(2001,5,15)</f>
        <v>37026</v>
      </c>
      <c r="B6150" s="2"/>
      <c r="C6150" s="2" t="s">
        <v>30</v>
      </c>
      <c r="D6150" s="2" t="s">
        <v>18828</v>
      </c>
      <c r="E6150" s="2" t="s">
        <v>4572</v>
      </c>
      <c r="F6150" s="4">
        <v>7379</v>
      </c>
      <c r="G6150" s="2" t="s">
        <v>223</v>
      </c>
      <c r="H6150" s="2" t="s">
        <v>34</v>
      </c>
      <c r="I6150" s="2" t="s">
        <v>18829</v>
      </c>
      <c r="J6150" s="2" t="s">
        <v>18830</v>
      </c>
      <c r="K6150" s="2" t="s">
        <v>63</v>
      </c>
      <c r="L6150" s="2" t="s">
        <v>34</v>
      </c>
      <c r="M6150" s="7">
        <v>59.985999999999997</v>
      </c>
      <c r="N6150" s="5">
        <v>1.9</v>
      </c>
      <c r="O6150" s="6">
        <v>1.89</v>
      </c>
      <c r="P6150" s="2" t="s">
        <v>18831</v>
      </c>
      <c r="Q6150" s="2"/>
      <c r="R6150" s="6">
        <v>0.91</v>
      </c>
      <c r="S6150" s="5">
        <v>-169</v>
      </c>
      <c r="T6150" s="5">
        <v>-90.9</v>
      </c>
      <c r="U6150" s="5">
        <v>2.6</v>
      </c>
      <c r="V6150" s="6">
        <v>-3.13</v>
      </c>
      <c r="W6150" s="6">
        <v>1.71</v>
      </c>
      <c r="X6150" s="6">
        <v>1.72</v>
      </c>
      <c r="Y6150" s="6">
        <v>1.0900000000000001</v>
      </c>
      <c r="Z6150" s="6">
        <v>1.03</v>
      </c>
      <c r="AA6150" s="6">
        <v>63.68</v>
      </c>
      <c r="AB6150" s="2" t="s">
        <v>86</v>
      </c>
      <c r="AC6150" s="5">
        <v>227.4</v>
      </c>
    </row>
    <row r="6151" spans="1:29" ht="130" x14ac:dyDescent="0.15">
      <c r="A6151" s="3">
        <f>DATE(2001,5,15)</f>
        <v>37026</v>
      </c>
      <c r="B6151" s="3">
        <f>DATE(2001,7,19)</f>
        <v>37091</v>
      </c>
      <c r="C6151" s="2" t="s">
        <v>95</v>
      </c>
      <c r="D6151" s="2" t="s">
        <v>18832</v>
      </c>
      <c r="E6151" s="2" t="s">
        <v>18833</v>
      </c>
      <c r="F6151" s="4">
        <v>3663</v>
      </c>
      <c r="G6151" s="2" t="s">
        <v>921</v>
      </c>
      <c r="H6151" s="2" t="s">
        <v>34</v>
      </c>
      <c r="I6151" s="2" t="s">
        <v>18834</v>
      </c>
      <c r="J6151" s="2" t="s">
        <v>12125</v>
      </c>
      <c r="K6151" s="2" t="s">
        <v>137</v>
      </c>
      <c r="L6151" s="2" t="s">
        <v>34</v>
      </c>
      <c r="M6151" s="12">
        <v>1401.768</v>
      </c>
      <c r="N6151" s="4">
        <v>26</v>
      </c>
      <c r="O6151" s="6">
        <v>25.04</v>
      </c>
      <c r="P6151" s="2" t="s">
        <v>18835</v>
      </c>
      <c r="Q6151" s="6">
        <v>100</v>
      </c>
      <c r="R6151" s="6">
        <v>30.26</v>
      </c>
      <c r="S6151" s="5">
        <v>85.8</v>
      </c>
      <c r="T6151" s="7">
        <v>87.935000000000002</v>
      </c>
      <c r="U6151" s="5">
        <v>6.2</v>
      </c>
      <c r="V6151" s="6">
        <v>1.98</v>
      </c>
      <c r="W6151" s="6">
        <v>25.95</v>
      </c>
      <c r="X6151" s="6">
        <v>25.06</v>
      </c>
      <c r="Y6151" s="6">
        <v>26.01</v>
      </c>
      <c r="Z6151" s="6">
        <v>28.26</v>
      </c>
      <c r="AA6151" s="6">
        <v>42.29</v>
      </c>
      <c r="AB6151" s="7">
        <v>15.297000000000001</v>
      </c>
      <c r="AC6151" s="5">
        <v>146.9</v>
      </c>
    </row>
    <row r="6152" spans="1:29" ht="78" x14ac:dyDescent="0.15">
      <c r="A6152" s="3">
        <f>DATE(2001,5,15)</f>
        <v>37026</v>
      </c>
      <c r="B6152" s="2"/>
      <c r="C6152" s="2" t="s">
        <v>30</v>
      </c>
      <c r="D6152" s="2" t="s">
        <v>18836</v>
      </c>
      <c r="E6152" s="2" t="s">
        <v>18837</v>
      </c>
      <c r="F6152" s="4">
        <v>8731</v>
      </c>
      <c r="G6152" s="2" t="s">
        <v>223</v>
      </c>
      <c r="H6152" s="2" t="s">
        <v>34</v>
      </c>
      <c r="I6152" s="2" t="s">
        <v>18838</v>
      </c>
      <c r="J6152" s="2" t="s">
        <v>18839</v>
      </c>
      <c r="K6152" s="2" t="s">
        <v>223</v>
      </c>
      <c r="L6152" s="2" t="s">
        <v>34</v>
      </c>
      <c r="M6152" s="2"/>
      <c r="N6152" s="2"/>
      <c r="O6152" s="2"/>
      <c r="P6152" s="2" t="s">
        <v>18840</v>
      </c>
      <c r="Q6152" s="2"/>
      <c r="R6152" s="2"/>
      <c r="S6152" s="5">
        <v>-5.7</v>
      </c>
      <c r="T6152" s="5">
        <v>-5.4</v>
      </c>
      <c r="U6152" s="5">
        <v>0.5</v>
      </c>
      <c r="V6152" s="6">
        <v>-0.48</v>
      </c>
      <c r="W6152" s="5">
        <v>1.8</v>
      </c>
      <c r="X6152" s="6">
        <v>1.88</v>
      </c>
      <c r="Y6152" s="5">
        <v>1.5</v>
      </c>
      <c r="Z6152" s="6">
        <v>1.43</v>
      </c>
      <c r="AA6152" s="6">
        <v>12.46</v>
      </c>
      <c r="AB6152" s="2" t="s">
        <v>86</v>
      </c>
      <c r="AC6152" s="2"/>
    </row>
    <row r="6153" spans="1:29" ht="130" x14ac:dyDescent="0.15">
      <c r="A6153" s="3">
        <f>DATE(2001,5,16)</f>
        <v>37027</v>
      </c>
      <c r="B6153" s="3">
        <f>DATE(2001,8,1)</f>
        <v>37104</v>
      </c>
      <c r="C6153" s="2" t="s">
        <v>95</v>
      </c>
      <c r="D6153" s="2" t="s">
        <v>18841</v>
      </c>
      <c r="E6153" s="2" t="s">
        <v>18842</v>
      </c>
      <c r="F6153" s="4">
        <v>7372</v>
      </c>
      <c r="G6153" s="2" t="s">
        <v>551</v>
      </c>
      <c r="H6153" s="2" t="s">
        <v>34</v>
      </c>
      <c r="I6153" s="2" t="s">
        <v>18843</v>
      </c>
      <c r="J6153" s="2" t="s">
        <v>18844</v>
      </c>
      <c r="K6153" s="2" t="s">
        <v>226</v>
      </c>
      <c r="L6153" s="2" t="s">
        <v>34</v>
      </c>
      <c r="M6153" s="12">
        <v>1246.713</v>
      </c>
      <c r="N6153" s="6">
        <v>24.76</v>
      </c>
      <c r="O6153" s="6">
        <v>24.03</v>
      </c>
      <c r="P6153" s="2" t="s">
        <v>18845</v>
      </c>
      <c r="Q6153" s="6">
        <v>100</v>
      </c>
      <c r="R6153" s="6">
        <v>21.03</v>
      </c>
      <c r="S6153" s="5">
        <v>10.6</v>
      </c>
      <c r="T6153" s="5">
        <v>21.2</v>
      </c>
      <c r="U6153" s="5">
        <v>8.8000000000000007</v>
      </c>
      <c r="V6153" s="6">
        <v>1.23</v>
      </c>
      <c r="W6153" s="6">
        <v>14.06</v>
      </c>
      <c r="X6153" s="6">
        <v>13.27</v>
      </c>
      <c r="Y6153" s="6">
        <v>12.81</v>
      </c>
      <c r="Z6153" s="6">
        <v>21.05</v>
      </c>
      <c r="AA6153" s="6">
        <v>7.86</v>
      </c>
      <c r="AB6153" s="7">
        <v>12.814</v>
      </c>
      <c r="AC6153" s="5">
        <v>119.1</v>
      </c>
    </row>
    <row r="6154" spans="1:29" ht="182" x14ac:dyDescent="0.15">
      <c r="A6154" s="3">
        <f>DATE(2001,5,16)</f>
        <v>37027</v>
      </c>
      <c r="B6154" s="3">
        <f>DATE(2001,7,25)</f>
        <v>37097</v>
      </c>
      <c r="C6154" s="2" t="s">
        <v>95</v>
      </c>
      <c r="D6154" s="2" t="s">
        <v>18846</v>
      </c>
      <c r="E6154" s="2" t="s">
        <v>18847</v>
      </c>
      <c r="F6154" s="4">
        <v>3826</v>
      </c>
      <c r="G6154" s="2" t="s">
        <v>226</v>
      </c>
      <c r="H6154" s="2" t="s">
        <v>34</v>
      </c>
      <c r="I6154" s="2" t="s">
        <v>18848</v>
      </c>
      <c r="J6154" s="2" t="s">
        <v>80</v>
      </c>
      <c r="K6154" s="2" t="s">
        <v>53</v>
      </c>
      <c r="L6154" s="2" t="s">
        <v>34</v>
      </c>
      <c r="M6154" s="2"/>
      <c r="N6154" s="2"/>
      <c r="O6154" s="2"/>
      <c r="P6154" s="2" t="s">
        <v>18849</v>
      </c>
      <c r="Q6154" s="6">
        <v>100</v>
      </c>
      <c r="R6154" s="6">
        <v>22.8</v>
      </c>
      <c r="S6154" s="5">
        <v>1.9</v>
      </c>
      <c r="T6154" s="5">
        <v>3</v>
      </c>
      <c r="U6154" s="5">
        <v>12.3</v>
      </c>
      <c r="V6154" s="6">
        <v>1.48</v>
      </c>
      <c r="W6154" s="4">
        <v>19</v>
      </c>
      <c r="X6154" s="4">
        <v>19</v>
      </c>
      <c r="Y6154" s="6">
        <v>22.62</v>
      </c>
      <c r="Z6154" s="6">
        <v>22.62</v>
      </c>
      <c r="AA6154" s="6">
        <v>1.1200000000000001</v>
      </c>
      <c r="AB6154" s="7">
        <v>13.81</v>
      </c>
      <c r="AC6154" s="2"/>
    </row>
    <row r="6155" spans="1:29" ht="143" x14ac:dyDescent="0.15">
      <c r="A6155" s="3">
        <f>DATE(2001,5,16)</f>
        <v>37027</v>
      </c>
      <c r="B6155" s="3">
        <f>DATE(2001,10,2)</f>
        <v>37166</v>
      </c>
      <c r="C6155" s="2" t="s">
        <v>95</v>
      </c>
      <c r="D6155" s="2" t="s">
        <v>18850</v>
      </c>
      <c r="E6155" s="2" t="s">
        <v>36</v>
      </c>
      <c r="F6155" s="4">
        <v>6035</v>
      </c>
      <c r="G6155" s="2" t="s">
        <v>33</v>
      </c>
      <c r="H6155" s="2" t="s">
        <v>34</v>
      </c>
      <c r="I6155" s="2" t="s">
        <v>14921</v>
      </c>
      <c r="J6155" s="2" t="s">
        <v>159</v>
      </c>
      <c r="K6155" s="2" t="s">
        <v>37</v>
      </c>
      <c r="L6155" s="2" t="s">
        <v>34</v>
      </c>
      <c r="M6155" s="7">
        <v>77.111000000000004</v>
      </c>
      <c r="N6155" s="6">
        <v>12.55</v>
      </c>
      <c r="O6155" s="6">
        <v>13.02</v>
      </c>
      <c r="P6155" s="2" t="s">
        <v>18851</v>
      </c>
      <c r="Q6155" s="6">
        <v>100</v>
      </c>
      <c r="R6155" s="6">
        <v>20.86</v>
      </c>
      <c r="S6155" s="5">
        <v>0.1</v>
      </c>
      <c r="T6155" s="7">
        <v>0.221</v>
      </c>
      <c r="U6155" s="5">
        <v>16.8</v>
      </c>
      <c r="V6155" s="6">
        <v>0.43</v>
      </c>
      <c r="W6155" s="6">
        <v>11.75</v>
      </c>
      <c r="X6155" s="5">
        <v>11.9</v>
      </c>
      <c r="Y6155" s="5">
        <v>11.9</v>
      </c>
      <c r="Z6155" s="6">
        <v>16.05</v>
      </c>
      <c r="AA6155" s="6">
        <v>0.3</v>
      </c>
      <c r="AB6155" s="7">
        <v>42.985999999999997</v>
      </c>
      <c r="AC6155" s="5">
        <v>33.799999999999997</v>
      </c>
    </row>
    <row r="6156" spans="1:29" ht="117" x14ac:dyDescent="0.15">
      <c r="A6156" s="3">
        <f>DATE(2001,5,17)</f>
        <v>37028</v>
      </c>
      <c r="B6156" s="2"/>
      <c r="C6156" s="2" t="s">
        <v>30</v>
      </c>
      <c r="D6156" s="2" t="s">
        <v>18852</v>
      </c>
      <c r="E6156" s="2" t="s">
        <v>18853</v>
      </c>
      <c r="F6156" s="4">
        <v>4522</v>
      </c>
      <c r="G6156" s="2" t="s">
        <v>59</v>
      </c>
      <c r="H6156" s="2" t="s">
        <v>34</v>
      </c>
      <c r="I6156" s="2" t="s">
        <v>18854</v>
      </c>
      <c r="J6156" s="2" t="s">
        <v>150</v>
      </c>
      <c r="K6156" s="2" t="s">
        <v>53</v>
      </c>
      <c r="L6156" s="2" t="s">
        <v>34</v>
      </c>
      <c r="M6156" s="2"/>
      <c r="N6156" s="2"/>
      <c r="O6156" s="2"/>
      <c r="P6156" s="2" t="s">
        <v>18855</v>
      </c>
      <c r="Q6156" s="2"/>
      <c r="R6156" s="6">
        <v>23</v>
      </c>
      <c r="S6156" s="5">
        <v>-17.7</v>
      </c>
      <c r="T6156" s="5">
        <v>126.8</v>
      </c>
      <c r="U6156" s="5">
        <v>10.5</v>
      </c>
      <c r="V6156" s="6">
        <v>-1.58</v>
      </c>
      <c r="W6156" s="6">
        <v>10.75</v>
      </c>
      <c r="X6156" s="5">
        <v>12.6</v>
      </c>
      <c r="Y6156" s="6">
        <v>19.75</v>
      </c>
      <c r="Z6156" s="5">
        <v>19.5</v>
      </c>
      <c r="AA6156" s="6">
        <v>11.39</v>
      </c>
      <c r="AB6156" s="2" t="s">
        <v>86</v>
      </c>
      <c r="AC6156" s="2"/>
    </row>
    <row r="6157" spans="1:29" ht="117" x14ac:dyDescent="0.15">
      <c r="A6157" s="3">
        <f>DATE(2001,5,17)</f>
        <v>37028</v>
      </c>
      <c r="B6157" s="3">
        <f>DATE(2001,9,28)</f>
        <v>37162</v>
      </c>
      <c r="C6157" s="2" t="s">
        <v>95</v>
      </c>
      <c r="D6157" s="2" t="s">
        <v>18856</v>
      </c>
      <c r="E6157" s="2" t="s">
        <v>18857</v>
      </c>
      <c r="F6157" s="4">
        <v>7374</v>
      </c>
      <c r="G6157" s="2" t="s">
        <v>223</v>
      </c>
      <c r="H6157" s="2" t="s">
        <v>34</v>
      </c>
      <c r="I6157" s="2" t="s">
        <v>18858</v>
      </c>
      <c r="J6157" s="2" t="s">
        <v>849</v>
      </c>
      <c r="K6157" s="2" t="s">
        <v>551</v>
      </c>
      <c r="L6157" s="2" t="s">
        <v>34</v>
      </c>
      <c r="M6157" s="2"/>
      <c r="N6157" s="2"/>
      <c r="O6157" s="2"/>
      <c r="P6157" s="2" t="s">
        <v>18859</v>
      </c>
      <c r="Q6157" s="6">
        <v>100</v>
      </c>
      <c r="R6157" s="6">
        <v>11</v>
      </c>
      <c r="S6157" s="5">
        <v>1.4</v>
      </c>
      <c r="T6157" s="5">
        <v>4.8</v>
      </c>
      <c r="U6157" s="5">
        <v>5.8</v>
      </c>
      <c r="V6157" s="6">
        <v>0.31</v>
      </c>
      <c r="W6157" s="6">
        <v>5.91</v>
      </c>
      <c r="X6157" s="6">
        <v>5.91</v>
      </c>
      <c r="Y6157" s="6">
        <v>10.25</v>
      </c>
      <c r="Z6157" s="6">
        <v>10.26</v>
      </c>
      <c r="AA6157" s="6">
        <v>4.5199999999999996</v>
      </c>
      <c r="AB6157" s="7">
        <v>29.213999999999999</v>
      </c>
      <c r="AC6157" s="2"/>
    </row>
    <row r="6158" spans="1:29" ht="91" x14ac:dyDescent="0.15">
      <c r="A6158" s="3">
        <f>DATE(2001,5,17)</f>
        <v>37028</v>
      </c>
      <c r="B6158" s="3">
        <f>DATE(2002,1,18)</f>
        <v>37274</v>
      </c>
      <c r="C6158" s="2" t="s">
        <v>95</v>
      </c>
      <c r="D6158" s="2" t="s">
        <v>18860</v>
      </c>
      <c r="E6158" s="2" t="s">
        <v>386</v>
      </c>
      <c r="F6158" s="4">
        <v>6726</v>
      </c>
      <c r="G6158" s="2" t="s">
        <v>53</v>
      </c>
      <c r="H6158" s="2" t="s">
        <v>34</v>
      </c>
      <c r="I6158" s="2" t="s">
        <v>18861</v>
      </c>
      <c r="J6158" s="2" t="s">
        <v>5037</v>
      </c>
      <c r="K6158" s="2" t="s">
        <v>53</v>
      </c>
      <c r="L6158" s="2" t="s">
        <v>34</v>
      </c>
      <c r="M6158" s="2"/>
      <c r="N6158" s="6">
        <v>10.11</v>
      </c>
      <c r="O6158" s="6">
        <v>10.050000000000001</v>
      </c>
      <c r="P6158" s="2" t="s">
        <v>18862</v>
      </c>
      <c r="Q6158" s="6">
        <v>100</v>
      </c>
      <c r="R6158" s="2"/>
      <c r="S6158" s="2"/>
      <c r="T6158" s="2"/>
      <c r="U6158" s="2"/>
      <c r="V6158" s="2"/>
      <c r="W6158" s="6">
        <v>6.97</v>
      </c>
      <c r="X6158" s="6">
        <v>6.94</v>
      </c>
      <c r="Y6158" s="6">
        <v>6.95</v>
      </c>
      <c r="Z6158" s="6">
        <v>6.95</v>
      </c>
      <c r="AA6158" s="2"/>
      <c r="AB6158" s="2" t="s">
        <v>47</v>
      </c>
      <c r="AC6158" s="2"/>
    </row>
    <row r="6159" spans="1:29" ht="182" x14ac:dyDescent="0.15">
      <c r="A6159" s="3">
        <f>DATE(2001,5,17)</f>
        <v>37028</v>
      </c>
      <c r="B6159" s="3">
        <f>DATE(2001,11,9)</f>
        <v>37204</v>
      </c>
      <c r="C6159" s="2" t="s">
        <v>95</v>
      </c>
      <c r="D6159" s="2" t="s">
        <v>18863</v>
      </c>
      <c r="E6159" s="2" t="s">
        <v>15558</v>
      </c>
      <c r="F6159" s="4">
        <v>8741</v>
      </c>
      <c r="G6159" s="2" t="s">
        <v>223</v>
      </c>
      <c r="H6159" s="2" t="s">
        <v>34</v>
      </c>
      <c r="I6159" s="2" t="s">
        <v>18864</v>
      </c>
      <c r="J6159" s="2" t="s">
        <v>18865</v>
      </c>
      <c r="K6159" s="2" t="s">
        <v>223</v>
      </c>
      <c r="L6159" s="2" t="s">
        <v>34</v>
      </c>
      <c r="M6159" s="12">
        <v>1248.3620000000001</v>
      </c>
      <c r="N6159" s="6">
        <v>30.44</v>
      </c>
      <c r="O6159" s="5">
        <v>29.9</v>
      </c>
      <c r="P6159" s="2" t="s">
        <v>18866</v>
      </c>
      <c r="Q6159" s="6">
        <v>100</v>
      </c>
      <c r="R6159" s="6">
        <v>2.99</v>
      </c>
      <c r="S6159" s="5">
        <v>8.8000000000000007</v>
      </c>
      <c r="T6159" s="7">
        <v>30.925000000000001</v>
      </c>
      <c r="U6159" s="5">
        <v>5.6</v>
      </c>
      <c r="V6159" s="7">
        <v>0.68700000000000006</v>
      </c>
      <c r="W6159" s="5">
        <v>3.3</v>
      </c>
      <c r="X6159" s="6">
        <v>3.24</v>
      </c>
      <c r="Y6159" s="6">
        <v>3.11</v>
      </c>
      <c r="Z6159" s="6">
        <v>3.19</v>
      </c>
      <c r="AA6159" s="6">
        <v>12.08</v>
      </c>
      <c r="AB6159" s="7">
        <v>4.8490000000000002</v>
      </c>
      <c r="AC6159" s="5">
        <v>12.3</v>
      </c>
    </row>
    <row r="6160" spans="1:29" ht="65" x14ac:dyDescent="0.15">
      <c r="A6160" s="3">
        <f>DATE(2001,5,17)</f>
        <v>37028</v>
      </c>
      <c r="B6160" s="2"/>
      <c r="C6160" s="2" t="s">
        <v>87</v>
      </c>
      <c r="D6160" s="2" t="s">
        <v>9573</v>
      </c>
      <c r="E6160" s="2" t="s">
        <v>268</v>
      </c>
      <c r="F6160" s="4">
        <v>7011</v>
      </c>
      <c r="G6160" s="2" t="s">
        <v>269</v>
      </c>
      <c r="H6160" s="2" t="s">
        <v>34</v>
      </c>
      <c r="I6160" s="2" t="s">
        <v>16428</v>
      </c>
      <c r="J6160" s="2" t="s">
        <v>18867</v>
      </c>
      <c r="K6160" s="2" t="s">
        <v>269</v>
      </c>
      <c r="L6160" s="2" t="s">
        <v>303</v>
      </c>
      <c r="M6160" s="2"/>
      <c r="N6160" s="2"/>
      <c r="O6160" s="2"/>
      <c r="P6160" s="2" t="s">
        <v>18868</v>
      </c>
      <c r="Q6160" s="2"/>
      <c r="R6160" s="2"/>
      <c r="S6160" s="5">
        <v>-321.2</v>
      </c>
      <c r="T6160" s="5">
        <v>580.4</v>
      </c>
      <c r="U6160" s="5">
        <v>10.5</v>
      </c>
      <c r="V6160" s="6">
        <v>-2.57</v>
      </c>
      <c r="W6160" s="6">
        <v>1.93</v>
      </c>
      <c r="X6160" s="6">
        <v>2.3199999999999998</v>
      </c>
      <c r="Y6160" s="6">
        <v>2.35</v>
      </c>
      <c r="Z6160" s="6">
        <v>2.69</v>
      </c>
      <c r="AA6160" s="6">
        <v>168.2</v>
      </c>
      <c r="AB6160" s="2" t="s">
        <v>47</v>
      </c>
      <c r="AC6160" s="2"/>
    </row>
    <row r="6161" spans="1:29" ht="52" x14ac:dyDescent="0.15">
      <c r="A6161" s="3">
        <f>DATE(2001,5,18)</f>
        <v>37029</v>
      </c>
      <c r="B6161" s="2"/>
      <c r="C6161" s="2" t="s">
        <v>30</v>
      </c>
      <c r="D6161" s="2" t="s">
        <v>8437</v>
      </c>
      <c r="E6161" s="2" t="s">
        <v>18869</v>
      </c>
      <c r="F6161" s="4">
        <v>3661</v>
      </c>
      <c r="G6161" s="2" t="s">
        <v>921</v>
      </c>
      <c r="H6161" s="2" t="s">
        <v>34</v>
      </c>
      <c r="I6161" s="2" t="s">
        <v>13920</v>
      </c>
      <c r="J6161" s="2" t="s">
        <v>13921</v>
      </c>
      <c r="K6161" s="2" t="s">
        <v>921</v>
      </c>
      <c r="L6161" s="2" t="s">
        <v>133</v>
      </c>
      <c r="M6161" s="2"/>
      <c r="N6161" s="2"/>
      <c r="O6161" s="2"/>
      <c r="P6161" s="2" t="s">
        <v>18870</v>
      </c>
      <c r="Q6161" s="2"/>
      <c r="R6161" s="2"/>
      <c r="S6161" s="8">
        <v>-5277</v>
      </c>
      <c r="T6161" s="8">
        <v>-1335</v>
      </c>
      <c r="U6161" s="5">
        <v>6.5</v>
      </c>
      <c r="V6161" s="6">
        <v>-1.56</v>
      </c>
      <c r="W6161" s="6">
        <v>9.9499999999999993</v>
      </c>
      <c r="X6161" s="6">
        <v>9.81</v>
      </c>
      <c r="Y6161" s="6">
        <v>9.9499999999999993</v>
      </c>
      <c r="Z6161" s="5">
        <v>9.9</v>
      </c>
      <c r="AA6161" s="10">
        <v>3405.81</v>
      </c>
      <c r="AB6161" s="2" t="s">
        <v>86</v>
      </c>
      <c r="AC6161" s="10">
        <v>2098.08</v>
      </c>
    </row>
    <row r="6162" spans="1:29" ht="143" x14ac:dyDescent="0.15">
      <c r="A6162" s="3">
        <f>DATE(2001,5,18)</f>
        <v>37029</v>
      </c>
      <c r="B6162" s="3">
        <f>DATE(2001,8,28)</f>
        <v>37131</v>
      </c>
      <c r="C6162" s="2" t="s">
        <v>95</v>
      </c>
      <c r="D6162" s="2" t="s">
        <v>18871</v>
      </c>
      <c r="E6162" s="2" t="s">
        <v>18872</v>
      </c>
      <c r="F6162" s="4">
        <v>7375</v>
      </c>
      <c r="G6162" s="2" t="s">
        <v>223</v>
      </c>
      <c r="H6162" s="2" t="s">
        <v>34</v>
      </c>
      <c r="I6162" s="2" t="s">
        <v>18873</v>
      </c>
      <c r="J6162" s="2" t="s">
        <v>12359</v>
      </c>
      <c r="K6162" s="2" t="s">
        <v>42</v>
      </c>
      <c r="L6162" s="2" t="s">
        <v>133</v>
      </c>
      <c r="M6162" s="2"/>
      <c r="N6162" s="2"/>
      <c r="O6162" s="2"/>
      <c r="P6162" s="2" t="s">
        <v>18874</v>
      </c>
      <c r="Q6162" s="6">
        <v>100</v>
      </c>
      <c r="R6162" s="6">
        <v>5</v>
      </c>
      <c r="S6162" s="5">
        <v>-307.5</v>
      </c>
      <c r="T6162" s="7">
        <v>-17.353000000000002</v>
      </c>
      <c r="U6162" s="5">
        <v>2</v>
      </c>
      <c r="V6162" s="6">
        <v>-4.5999999999999996</v>
      </c>
      <c r="W6162" s="5">
        <v>2.7</v>
      </c>
      <c r="X6162" s="4">
        <v>3</v>
      </c>
      <c r="Y6162" s="6">
        <v>3.01</v>
      </c>
      <c r="Z6162" s="6">
        <v>4.8499999999999996</v>
      </c>
      <c r="AA6162" s="6">
        <v>71.17</v>
      </c>
      <c r="AB6162" s="2" t="s">
        <v>86</v>
      </c>
      <c r="AC6162" s="10">
        <v>9998.66</v>
      </c>
    </row>
    <row r="6163" spans="1:29" ht="65" x14ac:dyDescent="0.15">
      <c r="A6163" s="3">
        <f>DATE(2001,5,21)</f>
        <v>37032</v>
      </c>
      <c r="B6163" s="3">
        <f>DATE(2001,11,17)</f>
        <v>37212</v>
      </c>
      <c r="C6163" s="2" t="s">
        <v>95</v>
      </c>
      <c r="D6163" s="2" t="s">
        <v>11132</v>
      </c>
      <c r="E6163" s="2" t="s">
        <v>11133</v>
      </c>
      <c r="F6163" s="4">
        <v>6712</v>
      </c>
      <c r="G6163" s="2" t="s">
        <v>37</v>
      </c>
      <c r="H6163" s="2" t="s">
        <v>34</v>
      </c>
      <c r="I6163" s="2" t="s">
        <v>18875</v>
      </c>
      <c r="J6163" s="2" t="s">
        <v>36</v>
      </c>
      <c r="K6163" s="2" t="s">
        <v>37</v>
      </c>
      <c r="L6163" s="2" t="s">
        <v>34</v>
      </c>
      <c r="M6163" s="2"/>
      <c r="N6163" s="2"/>
      <c r="O6163" s="2"/>
      <c r="P6163" s="2" t="s">
        <v>18876</v>
      </c>
      <c r="Q6163" s="6">
        <v>100</v>
      </c>
      <c r="R6163" s="6">
        <v>19</v>
      </c>
      <c r="S6163" s="5">
        <v>1.5</v>
      </c>
      <c r="T6163" s="5">
        <v>3.6</v>
      </c>
      <c r="U6163" s="5">
        <v>12.4</v>
      </c>
      <c r="V6163" s="6">
        <v>0.6</v>
      </c>
      <c r="W6163" s="5">
        <v>14.6</v>
      </c>
      <c r="X6163" s="6">
        <v>14.88</v>
      </c>
      <c r="Y6163" s="6">
        <v>14.88</v>
      </c>
      <c r="Z6163" s="6">
        <v>18.36</v>
      </c>
      <c r="AA6163" s="6">
        <v>2.44</v>
      </c>
      <c r="AB6163" s="7">
        <v>291.11</v>
      </c>
      <c r="AC6163" s="2"/>
    </row>
    <row r="6164" spans="1:29" ht="195" x14ac:dyDescent="0.15">
      <c r="A6164" s="3">
        <f>DATE(2001,5,22)</f>
        <v>37033</v>
      </c>
      <c r="B6164" s="3">
        <f>DATE(2001,12,21)</f>
        <v>37246</v>
      </c>
      <c r="C6164" s="2" t="s">
        <v>95</v>
      </c>
      <c r="D6164" s="2" t="s">
        <v>13550</v>
      </c>
      <c r="E6164" s="2" t="s">
        <v>3900</v>
      </c>
      <c r="F6164" s="4">
        <v>5812</v>
      </c>
      <c r="G6164" s="2" t="s">
        <v>230</v>
      </c>
      <c r="H6164" s="2" t="s">
        <v>34</v>
      </c>
      <c r="I6164" s="2" t="s">
        <v>51</v>
      </c>
      <c r="J6164" s="2" t="s">
        <v>52</v>
      </c>
      <c r="K6164" s="2" t="s">
        <v>53</v>
      </c>
      <c r="L6164" s="2" t="s">
        <v>34</v>
      </c>
      <c r="M6164" s="2"/>
      <c r="N6164" s="2"/>
      <c r="O6164" s="2"/>
      <c r="P6164" s="2" t="s">
        <v>18877</v>
      </c>
      <c r="Q6164" s="6">
        <v>56.59</v>
      </c>
      <c r="R6164" s="6">
        <v>8.5</v>
      </c>
      <c r="S6164" s="5">
        <v>-0.9</v>
      </c>
      <c r="T6164" s="5">
        <v>8.1999999999999993</v>
      </c>
      <c r="U6164" s="5">
        <v>-4</v>
      </c>
      <c r="V6164" s="6">
        <v>-0.43</v>
      </c>
      <c r="W6164" s="5">
        <v>7.3</v>
      </c>
      <c r="X6164" s="5">
        <v>7.4</v>
      </c>
      <c r="Y6164" s="5">
        <v>7.9</v>
      </c>
      <c r="Z6164" s="6">
        <v>7.93</v>
      </c>
      <c r="AA6164" s="6">
        <v>2.34</v>
      </c>
      <c r="AB6164" s="7">
        <v>9.2040000000000006</v>
      </c>
      <c r="AC6164" s="2"/>
    </row>
    <row r="6165" spans="1:29" ht="130" x14ac:dyDescent="0.15">
      <c r="A6165" s="3">
        <f>DATE(2001,5,23)</f>
        <v>37034</v>
      </c>
      <c r="B6165" s="3">
        <f>DATE(2001,9,20)</f>
        <v>37154</v>
      </c>
      <c r="C6165" s="2" t="s">
        <v>95</v>
      </c>
      <c r="D6165" s="2" t="s">
        <v>18878</v>
      </c>
      <c r="E6165" s="2" t="s">
        <v>5102</v>
      </c>
      <c r="F6165" s="4">
        <v>7372</v>
      </c>
      <c r="G6165" s="2" t="s">
        <v>551</v>
      </c>
      <c r="H6165" s="2" t="s">
        <v>34</v>
      </c>
      <c r="I6165" s="2" t="s">
        <v>18879</v>
      </c>
      <c r="J6165" s="2" t="s">
        <v>18880</v>
      </c>
      <c r="K6165" s="2" t="s">
        <v>551</v>
      </c>
      <c r="L6165" s="2" t="s">
        <v>34</v>
      </c>
      <c r="M6165" s="7">
        <v>46.139000000000003</v>
      </c>
      <c r="N6165" s="5">
        <v>2.2000000000000002</v>
      </c>
      <c r="O6165" s="6">
        <v>1.89</v>
      </c>
      <c r="P6165" s="2" t="s">
        <v>18881</v>
      </c>
      <c r="Q6165" s="6">
        <v>100</v>
      </c>
      <c r="R6165" s="6">
        <v>3.42</v>
      </c>
      <c r="S6165" s="5">
        <v>-15.3</v>
      </c>
      <c r="T6165" s="7">
        <v>-10.654</v>
      </c>
      <c r="U6165" s="5">
        <v>3.3</v>
      </c>
      <c r="V6165" s="6">
        <v>-0.72</v>
      </c>
      <c r="W6165" s="6">
        <v>2.12</v>
      </c>
      <c r="X6165" s="6">
        <v>2.34</v>
      </c>
      <c r="Y6165" s="6">
        <v>2.5299999999999998</v>
      </c>
      <c r="Z6165" s="6">
        <v>2.0499999999999998</v>
      </c>
      <c r="AA6165" s="6">
        <v>21.46</v>
      </c>
      <c r="AB6165" s="2" t="s">
        <v>86</v>
      </c>
      <c r="AC6165" s="5">
        <v>6.4</v>
      </c>
    </row>
    <row r="6166" spans="1:29" ht="65" x14ac:dyDescent="0.15">
      <c r="A6166" s="3">
        <f>DATE(2001,5,23)</f>
        <v>37034</v>
      </c>
      <c r="B6166" s="3">
        <f>DATE(2001,7,20)</f>
        <v>37092</v>
      </c>
      <c r="C6166" s="2" t="s">
        <v>95</v>
      </c>
      <c r="D6166" s="2" t="s">
        <v>18882</v>
      </c>
      <c r="E6166" s="2" t="s">
        <v>612</v>
      </c>
      <c r="F6166" s="4">
        <v>1311</v>
      </c>
      <c r="G6166" s="2" t="s">
        <v>148</v>
      </c>
      <c r="H6166" s="2" t="s">
        <v>34</v>
      </c>
      <c r="I6166" s="2" t="s">
        <v>18883</v>
      </c>
      <c r="J6166" s="2" t="s">
        <v>1608</v>
      </c>
      <c r="K6166" s="2" t="s">
        <v>148</v>
      </c>
      <c r="L6166" s="2" t="s">
        <v>34</v>
      </c>
      <c r="M6166" s="10">
        <v>5566.93</v>
      </c>
      <c r="N6166" s="6">
        <v>46.77</v>
      </c>
      <c r="O6166" s="6">
        <v>45.99</v>
      </c>
      <c r="P6166" s="2" t="s">
        <v>18884</v>
      </c>
      <c r="Q6166" s="6">
        <v>100</v>
      </c>
      <c r="R6166" s="6">
        <v>8.2200000000000006</v>
      </c>
      <c r="S6166" s="5">
        <v>-6.4</v>
      </c>
      <c r="T6166" s="6">
        <v>-1.97</v>
      </c>
      <c r="U6166" s="5">
        <v>0.8</v>
      </c>
      <c r="V6166" s="6">
        <v>-1.55</v>
      </c>
      <c r="W6166" s="5">
        <v>7.2</v>
      </c>
      <c r="X6166" s="6">
        <v>7.37</v>
      </c>
      <c r="Y6166" s="6">
        <v>8.0299999999999994</v>
      </c>
      <c r="Z6166" s="6">
        <v>8.07</v>
      </c>
      <c r="AA6166" s="6">
        <v>4.57</v>
      </c>
      <c r="AB6166" s="2" t="s">
        <v>86</v>
      </c>
      <c r="AC6166" s="5">
        <v>30.8</v>
      </c>
    </row>
    <row r="6167" spans="1:29" ht="169" x14ac:dyDescent="0.15">
      <c r="A6167" s="3">
        <f>DATE(2001,5,23)</f>
        <v>37034</v>
      </c>
      <c r="B6167" s="3">
        <f>DATE(2001,9,13)</f>
        <v>37147</v>
      </c>
      <c r="C6167" s="2" t="s">
        <v>95</v>
      </c>
      <c r="D6167" s="2" t="s">
        <v>5470</v>
      </c>
      <c r="E6167" s="2" t="s">
        <v>5471</v>
      </c>
      <c r="F6167" s="4">
        <v>1381</v>
      </c>
      <c r="G6167" s="2" t="s">
        <v>148</v>
      </c>
      <c r="H6167" s="2" t="s">
        <v>34</v>
      </c>
      <c r="I6167" s="2" t="s">
        <v>18885</v>
      </c>
      <c r="J6167" s="2" t="s">
        <v>5872</v>
      </c>
      <c r="K6167" s="2" t="s">
        <v>148</v>
      </c>
      <c r="L6167" s="2" t="s">
        <v>34</v>
      </c>
      <c r="M6167" s="12">
        <v>1795.7860000000001</v>
      </c>
      <c r="N6167" s="6">
        <v>32.65</v>
      </c>
      <c r="O6167" s="5">
        <v>27.5</v>
      </c>
      <c r="P6167" s="2" t="s">
        <v>18886</v>
      </c>
      <c r="Q6167" s="6">
        <v>100</v>
      </c>
      <c r="R6167" s="6">
        <v>32.65</v>
      </c>
      <c r="S6167" s="5">
        <v>67.5</v>
      </c>
      <c r="T6167" s="5">
        <v>159.4</v>
      </c>
      <c r="U6167" s="5">
        <v>8.6999999999999993</v>
      </c>
      <c r="V6167" s="6">
        <v>1.1200000000000001</v>
      </c>
      <c r="W6167" s="5">
        <v>28.1</v>
      </c>
      <c r="X6167" s="5">
        <v>28.8</v>
      </c>
      <c r="Y6167" s="6">
        <v>27.72</v>
      </c>
      <c r="Z6167" s="6">
        <v>26.55</v>
      </c>
      <c r="AA6167" s="6">
        <v>58.97</v>
      </c>
      <c r="AB6167" s="7">
        <v>17.475999999999999</v>
      </c>
      <c r="AC6167" s="5">
        <v>274.89999999999998</v>
      </c>
    </row>
    <row r="6168" spans="1:29" ht="78" x14ac:dyDescent="0.15">
      <c r="A6168" s="3">
        <f>DATE(2001,5,23)</f>
        <v>37034</v>
      </c>
      <c r="B6168" s="3">
        <f>DATE(2001,9,4)</f>
        <v>37138</v>
      </c>
      <c r="C6168" s="2" t="s">
        <v>95</v>
      </c>
      <c r="D6168" s="2" t="s">
        <v>18887</v>
      </c>
      <c r="E6168" s="2" t="s">
        <v>18888</v>
      </c>
      <c r="F6168" s="4">
        <v>7372</v>
      </c>
      <c r="G6168" s="2" t="s">
        <v>551</v>
      </c>
      <c r="H6168" s="2" t="s">
        <v>34</v>
      </c>
      <c r="I6168" s="2" t="s">
        <v>16800</v>
      </c>
      <c r="J6168" s="2" t="s">
        <v>4572</v>
      </c>
      <c r="K6168" s="2" t="s">
        <v>223</v>
      </c>
      <c r="L6168" s="2" t="s">
        <v>34</v>
      </c>
      <c r="M6168" s="12">
        <v>29604.538</v>
      </c>
      <c r="N6168" s="6">
        <v>64.78</v>
      </c>
      <c r="O6168" s="6">
        <v>61.93</v>
      </c>
      <c r="P6168" s="2" t="s">
        <v>18889</v>
      </c>
      <c r="Q6168" s="6">
        <v>100</v>
      </c>
      <c r="R6168" s="6">
        <v>25</v>
      </c>
      <c r="S6168" s="5">
        <v>-26.3</v>
      </c>
      <c r="T6168" s="5">
        <v>63.9</v>
      </c>
      <c r="U6168" s="5">
        <v>6.3</v>
      </c>
      <c r="V6168" s="6">
        <v>-0.72</v>
      </c>
      <c r="W6168" s="6">
        <v>17.64</v>
      </c>
      <c r="X6168" s="6">
        <v>18.04</v>
      </c>
      <c r="Y6168" s="6">
        <v>17.559999999999999</v>
      </c>
      <c r="Z6168" s="6">
        <v>24.27</v>
      </c>
      <c r="AA6168" s="6">
        <v>35.86</v>
      </c>
      <c r="AB6168" s="7">
        <v>39.243000000000002</v>
      </c>
      <c r="AC6168" s="5">
        <v>393</v>
      </c>
    </row>
    <row r="6169" spans="1:29" ht="143" x14ac:dyDescent="0.15">
      <c r="A6169" s="3">
        <f>DATE(2001,5,23)</f>
        <v>37034</v>
      </c>
      <c r="B6169" s="3">
        <f>DATE(2001,9,28)</f>
        <v>37162</v>
      </c>
      <c r="C6169" s="2" t="s">
        <v>95</v>
      </c>
      <c r="D6169" s="2" t="s">
        <v>17582</v>
      </c>
      <c r="E6169" s="2" t="s">
        <v>17583</v>
      </c>
      <c r="F6169" s="4">
        <v>7372</v>
      </c>
      <c r="G6169" s="2" t="s">
        <v>551</v>
      </c>
      <c r="H6169" s="2" t="s">
        <v>34</v>
      </c>
      <c r="I6169" s="2" t="s">
        <v>16800</v>
      </c>
      <c r="J6169" s="2" t="s">
        <v>4572</v>
      </c>
      <c r="K6169" s="2" t="s">
        <v>223</v>
      </c>
      <c r="L6169" s="2" t="s">
        <v>34</v>
      </c>
      <c r="M6169" s="12">
        <v>29604.538</v>
      </c>
      <c r="N6169" s="6">
        <v>64.78</v>
      </c>
      <c r="O6169" s="6">
        <v>61.93</v>
      </c>
      <c r="P6169" s="2" t="s">
        <v>18890</v>
      </c>
      <c r="Q6169" s="6">
        <v>21.47</v>
      </c>
      <c r="R6169" s="6">
        <v>32.5</v>
      </c>
      <c r="S6169" s="5">
        <v>7.1</v>
      </c>
      <c r="T6169" s="5">
        <v>98.4</v>
      </c>
      <c r="U6169" s="5">
        <v>4.0999999999999996</v>
      </c>
      <c r="V6169" s="6">
        <v>0.21</v>
      </c>
      <c r="W6169" s="6">
        <v>19.25</v>
      </c>
      <c r="X6169" s="6">
        <v>21.25</v>
      </c>
      <c r="Y6169" s="6">
        <v>21.31</v>
      </c>
      <c r="Z6169" s="6">
        <v>29.35</v>
      </c>
      <c r="AA6169" s="6">
        <v>36.33</v>
      </c>
      <c r="AB6169" s="7">
        <v>20.533999999999999</v>
      </c>
      <c r="AC6169" s="5">
        <v>634.79999999999995</v>
      </c>
    </row>
    <row r="6170" spans="1:29" ht="169" x14ac:dyDescent="0.15">
      <c r="A6170" s="3">
        <f>DATE(2001,5,24)</f>
        <v>37035</v>
      </c>
      <c r="B6170" s="3">
        <f>DATE(2001,10,18)</f>
        <v>37182</v>
      </c>
      <c r="C6170" s="2" t="s">
        <v>95</v>
      </c>
      <c r="D6170" s="2" t="s">
        <v>18891</v>
      </c>
      <c r="E6170" s="2" t="s">
        <v>18892</v>
      </c>
      <c r="F6170" s="4">
        <v>3661</v>
      </c>
      <c r="G6170" s="2" t="s">
        <v>921</v>
      </c>
      <c r="H6170" s="2" t="s">
        <v>34</v>
      </c>
      <c r="I6170" s="2" t="s">
        <v>18132</v>
      </c>
      <c r="J6170" s="2" t="s">
        <v>18133</v>
      </c>
      <c r="K6170" s="2" t="s">
        <v>921</v>
      </c>
      <c r="L6170" s="2" t="s">
        <v>34</v>
      </c>
      <c r="M6170" s="10">
        <v>1806.44</v>
      </c>
      <c r="N6170" s="6">
        <v>27.74</v>
      </c>
      <c r="O6170" s="6">
        <v>28.85</v>
      </c>
      <c r="P6170" s="2" t="s">
        <v>18893</v>
      </c>
      <c r="Q6170" s="6">
        <v>100</v>
      </c>
      <c r="R6170" s="6">
        <v>6.42</v>
      </c>
      <c r="S6170" s="5">
        <v>-90.5</v>
      </c>
      <c r="T6170" s="5">
        <v>-85.2</v>
      </c>
      <c r="U6170" s="5">
        <v>0.3</v>
      </c>
      <c r="V6170" s="6">
        <v>-2.31</v>
      </c>
      <c r="W6170" s="6">
        <v>4.47</v>
      </c>
      <c r="X6170" s="6">
        <v>4.45</v>
      </c>
      <c r="Y6170" s="6">
        <v>4.9400000000000004</v>
      </c>
      <c r="Z6170" s="6">
        <v>5.84</v>
      </c>
      <c r="AA6170" s="6">
        <v>53.42</v>
      </c>
      <c r="AB6170" s="2" t="s">
        <v>86</v>
      </c>
      <c r="AC6170" s="5">
        <v>173.3</v>
      </c>
    </row>
    <row r="6171" spans="1:29" ht="78" x14ac:dyDescent="0.15">
      <c r="A6171" s="3">
        <f>DATE(2001,5,24)</f>
        <v>37035</v>
      </c>
      <c r="B6171" s="2"/>
      <c r="C6171" s="2" t="s">
        <v>30</v>
      </c>
      <c r="D6171" s="2" t="s">
        <v>18894</v>
      </c>
      <c r="E6171" s="2" t="s">
        <v>18895</v>
      </c>
      <c r="F6171" s="4">
        <v>5082</v>
      </c>
      <c r="G6171" s="2" t="s">
        <v>76</v>
      </c>
      <c r="H6171" s="2" t="s">
        <v>34</v>
      </c>
      <c r="I6171" s="2" t="s">
        <v>18896</v>
      </c>
      <c r="J6171" s="2" t="s">
        <v>6365</v>
      </c>
      <c r="K6171" s="2" t="s">
        <v>76</v>
      </c>
      <c r="L6171" s="2" t="s">
        <v>34</v>
      </c>
      <c r="M6171" s="2"/>
      <c r="N6171" s="2"/>
      <c r="O6171" s="2"/>
      <c r="P6171" s="2" t="s">
        <v>18897</v>
      </c>
      <c r="Q6171" s="2"/>
      <c r="R6171" s="2"/>
      <c r="S6171" s="5">
        <v>-9.1</v>
      </c>
      <c r="T6171" s="7">
        <v>7.181</v>
      </c>
      <c r="U6171" s="5">
        <v>3.4</v>
      </c>
      <c r="V6171" s="6">
        <v>-2.73</v>
      </c>
      <c r="W6171" s="6">
        <v>1.05</v>
      </c>
      <c r="X6171" s="6">
        <v>1.18</v>
      </c>
      <c r="Y6171" s="6">
        <v>1.35</v>
      </c>
      <c r="Z6171" s="6">
        <v>1.18</v>
      </c>
      <c r="AA6171" s="6">
        <v>3.35</v>
      </c>
      <c r="AB6171" s="2" t="s">
        <v>86</v>
      </c>
      <c r="AC6171" s="2"/>
    </row>
    <row r="6172" spans="1:29" ht="104" x14ac:dyDescent="0.15">
      <c r="A6172" s="3">
        <f>DATE(2001,5,24)</f>
        <v>37035</v>
      </c>
      <c r="B6172" s="3">
        <f>DATE(2001,12,3)</f>
        <v>37228</v>
      </c>
      <c r="C6172" s="2" t="s">
        <v>95</v>
      </c>
      <c r="D6172" s="2" t="s">
        <v>18599</v>
      </c>
      <c r="E6172" s="2" t="s">
        <v>18600</v>
      </c>
      <c r="F6172" s="4">
        <v>3995</v>
      </c>
      <c r="G6172" s="2" t="s">
        <v>112</v>
      </c>
      <c r="H6172" s="2" t="s">
        <v>34</v>
      </c>
      <c r="I6172" s="2" t="s">
        <v>18898</v>
      </c>
      <c r="J6172" s="2" t="s">
        <v>18899</v>
      </c>
      <c r="K6172" s="2" t="s">
        <v>163</v>
      </c>
      <c r="L6172" s="2" t="s">
        <v>34</v>
      </c>
      <c r="M6172" s="2"/>
      <c r="N6172" s="6">
        <v>35.369999999999997</v>
      </c>
      <c r="O6172" s="6">
        <v>35.130000000000003</v>
      </c>
      <c r="P6172" s="2" t="s">
        <v>18900</v>
      </c>
      <c r="Q6172" s="6">
        <v>100</v>
      </c>
      <c r="R6172" s="6">
        <v>11</v>
      </c>
      <c r="S6172" s="5">
        <v>-10.7</v>
      </c>
      <c r="T6172" s="7">
        <v>19.661999999999999</v>
      </c>
      <c r="U6172" s="5">
        <v>9.1</v>
      </c>
      <c r="V6172" s="6">
        <v>-1.19</v>
      </c>
      <c r="W6172" s="6">
        <v>7.82</v>
      </c>
      <c r="X6172" s="6">
        <v>7.92</v>
      </c>
      <c r="Y6172" s="6">
        <v>9.83</v>
      </c>
      <c r="Z6172" s="6">
        <v>9.91</v>
      </c>
      <c r="AA6172" s="6">
        <v>8.94</v>
      </c>
      <c r="AB6172" s="7">
        <v>16.068000000000001</v>
      </c>
      <c r="AC6172" s="5">
        <v>37.4</v>
      </c>
    </row>
    <row r="6173" spans="1:29" ht="169" x14ac:dyDescent="0.15">
      <c r="A6173" s="3">
        <f>DATE(2001,5,25)</f>
        <v>37036</v>
      </c>
      <c r="B6173" s="3">
        <f>DATE(2001,8,15)</f>
        <v>37118</v>
      </c>
      <c r="C6173" s="2" t="s">
        <v>95</v>
      </c>
      <c r="D6173" s="2" t="s">
        <v>17254</v>
      </c>
      <c r="E6173" s="2" t="s">
        <v>17255</v>
      </c>
      <c r="F6173" s="4">
        <v>3083</v>
      </c>
      <c r="G6173" s="2" t="s">
        <v>447</v>
      </c>
      <c r="H6173" s="2" t="s">
        <v>34</v>
      </c>
      <c r="I6173" s="2" t="s">
        <v>17256</v>
      </c>
      <c r="J6173" s="2" t="s">
        <v>14408</v>
      </c>
      <c r="K6173" s="2" t="s">
        <v>98</v>
      </c>
      <c r="L6173" s="2" t="s">
        <v>11620</v>
      </c>
      <c r="M6173" s="2"/>
      <c r="N6173" s="2"/>
      <c r="O6173" s="2"/>
      <c r="P6173" s="2" t="s">
        <v>18901</v>
      </c>
      <c r="Q6173" s="6">
        <v>100</v>
      </c>
      <c r="R6173" s="6">
        <v>8.17</v>
      </c>
      <c r="S6173" s="5">
        <v>4.9000000000000004</v>
      </c>
      <c r="T6173" s="5">
        <v>15.2</v>
      </c>
      <c r="U6173" s="5">
        <v>10.3</v>
      </c>
      <c r="V6173" s="6">
        <v>1.08</v>
      </c>
      <c r="W6173" s="6">
        <v>5.07</v>
      </c>
      <c r="X6173" s="5">
        <v>7.2</v>
      </c>
      <c r="Y6173" s="5">
        <v>7.5</v>
      </c>
      <c r="Z6173" s="5">
        <v>7.5</v>
      </c>
      <c r="AA6173" s="6">
        <v>3.81</v>
      </c>
      <c r="AB6173" s="7">
        <v>4.6989999999999998</v>
      </c>
      <c r="AC6173" s="6">
        <v>1.57</v>
      </c>
    </row>
    <row r="6174" spans="1:29" ht="91" x14ac:dyDescent="0.15">
      <c r="A6174" s="3">
        <f>DATE(2001,5,28)</f>
        <v>37039</v>
      </c>
      <c r="B6174" s="3">
        <f>DATE(2001,11,6)</f>
        <v>37201</v>
      </c>
      <c r="C6174" s="2" t="s">
        <v>95</v>
      </c>
      <c r="D6174" s="2" t="s">
        <v>15880</v>
      </c>
      <c r="E6174" s="2" t="s">
        <v>15881</v>
      </c>
      <c r="F6174" s="4">
        <v>5192</v>
      </c>
      <c r="G6174" s="2" t="s">
        <v>593</v>
      </c>
      <c r="H6174" s="2" t="s">
        <v>34</v>
      </c>
      <c r="I6174" s="2" t="s">
        <v>18902</v>
      </c>
      <c r="J6174" s="2" t="s">
        <v>18903</v>
      </c>
      <c r="K6174" s="2" t="s">
        <v>551</v>
      </c>
      <c r="L6174" s="2" t="s">
        <v>34</v>
      </c>
      <c r="M6174" s="7">
        <v>243.184</v>
      </c>
      <c r="N6174" s="6">
        <v>2.2599999999999998</v>
      </c>
      <c r="O6174" s="6">
        <v>2.65</v>
      </c>
      <c r="P6174" s="2" t="s">
        <v>18904</v>
      </c>
      <c r="Q6174" s="6">
        <v>100</v>
      </c>
      <c r="R6174" s="6">
        <v>1.52</v>
      </c>
      <c r="S6174" s="5">
        <v>-65.900000000000006</v>
      </c>
      <c r="T6174" s="5">
        <v>-11.1</v>
      </c>
      <c r="U6174" s="5">
        <v>-0.7</v>
      </c>
      <c r="V6174" s="6">
        <v>-5.14</v>
      </c>
      <c r="W6174" s="6">
        <v>0.93</v>
      </c>
      <c r="X6174" s="6">
        <v>1.29</v>
      </c>
      <c r="Y6174" s="6">
        <v>1.29</v>
      </c>
      <c r="Z6174" s="6">
        <v>1.46</v>
      </c>
      <c r="AA6174" s="6">
        <v>12.45</v>
      </c>
      <c r="AB6174" s="2" t="s">
        <v>86</v>
      </c>
      <c r="AC6174" s="5">
        <v>222.3</v>
      </c>
    </row>
    <row r="6175" spans="1:29" ht="52" x14ac:dyDescent="0.15">
      <c r="A6175" s="3">
        <f>DATE(2001,5,29)</f>
        <v>37040</v>
      </c>
      <c r="B6175" s="3">
        <f>DATE(2001,7,26)</f>
        <v>37098</v>
      </c>
      <c r="C6175" s="2" t="s">
        <v>95</v>
      </c>
      <c r="D6175" s="2" t="s">
        <v>18905</v>
      </c>
      <c r="E6175" s="2" t="s">
        <v>432</v>
      </c>
      <c r="F6175" s="4">
        <v>3841</v>
      </c>
      <c r="G6175" s="2" t="s">
        <v>226</v>
      </c>
      <c r="H6175" s="2" t="s">
        <v>34</v>
      </c>
      <c r="I6175" s="2" t="s">
        <v>13663</v>
      </c>
      <c r="J6175" s="2" t="s">
        <v>13664</v>
      </c>
      <c r="K6175" s="2" t="s">
        <v>53</v>
      </c>
      <c r="L6175" s="2" t="s">
        <v>34</v>
      </c>
      <c r="M6175" s="2"/>
      <c r="N6175" s="2"/>
      <c r="O6175" s="2"/>
      <c r="P6175" s="2" t="s">
        <v>18906</v>
      </c>
      <c r="Q6175" s="6">
        <v>50.29</v>
      </c>
      <c r="R6175" s="2"/>
      <c r="S6175" s="5">
        <v>-12.6</v>
      </c>
      <c r="T6175" s="5">
        <v>-11.1</v>
      </c>
      <c r="U6175" s="5">
        <v>0</v>
      </c>
      <c r="V6175" s="6">
        <v>-1.26</v>
      </c>
      <c r="W6175" s="5">
        <v>5.0999999999999996</v>
      </c>
      <c r="X6175" s="5">
        <v>5.2</v>
      </c>
      <c r="Y6175" s="6">
        <v>5.85</v>
      </c>
      <c r="Z6175" s="6">
        <v>5.81</v>
      </c>
      <c r="AA6175" s="6">
        <v>9.98</v>
      </c>
      <c r="AB6175" s="2" t="s">
        <v>86</v>
      </c>
      <c r="AC6175" s="2"/>
    </row>
    <row r="6176" spans="1:29" ht="65" x14ac:dyDescent="0.15">
      <c r="A6176" s="3">
        <f>DATE(2001,5,29)</f>
        <v>37040</v>
      </c>
      <c r="B6176" s="3">
        <f>DATE(2001,6,30)</f>
        <v>37072</v>
      </c>
      <c r="C6176" s="2" t="s">
        <v>95</v>
      </c>
      <c r="D6176" s="2" t="s">
        <v>18907</v>
      </c>
      <c r="E6176" s="2" t="s">
        <v>18908</v>
      </c>
      <c r="F6176" s="4">
        <v>4953</v>
      </c>
      <c r="G6176" s="2" t="s">
        <v>116</v>
      </c>
      <c r="H6176" s="2" t="s">
        <v>34</v>
      </c>
      <c r="I6176" s="2" t="s">
        <v>12279</v>
      </c>
      <c r="J6176" s="2" t="s">
        <v>12280</v>
      </c>
      <c r="K6176" s="2" t="s">
        <v>116</v>
      </c>
      <c r="L6176" s="2" t="s">
        <v>34</v>
      </c>
      <c r="M6176" s="10">
        <v>3132.54</v>
      </c>
      <c r="N6176" s="6">
        <v>16.95</v>
      </c>
      <c r="O6176" s="5">
        <v>16.8</v>
      </c>
      <c r="P6176" s="2" t="s">
        <v>18909</v>
      </c>
      <c r="Q6176" s="6">
        <v>100</v>
      </c>
      <c r="R6176" s="2"/>
      <c r="S6176" s="5">
        <v>-0.2</v>
      </c>
      <c r="T6176" s="7">
        <v>2.407</v>
      </c>
      <c r="U6176" s="5">
        <v>0.8</v>
      </c>
      <c r="V6176" s="7">
        <v>-2.1000000000000001E-2</v>
      </c>
      <c r="W6176" s="5">
        <v>2.7</v>
      </c>
      <c r="X6176" s="5">
        <v>2.8</v>
      </c>
      <c r="Y6176" s="5">
        <v>2.9</v>
      </c>
      <c r="Z6176" s="5">
        <v>2.6</v>
      </c>
      <c r="AA6176" s="6">
        <v>12.14</v>
      </c>
      <c r="AB6176" s="7">
        <v>59.238999999999997</v>
      </c>
      <c r="AC6176" s="6">
        <v>107.77</v>
      </c>
    </row>
    <row r="6177" spans="1:29" ht="130" x14ac:dyDescent="0.15">
      <c r="A6177" s="3">
        <f>DATE(2001,5,30)</f>
        <v>37041</v>
      </c>
      <c r="B6177" s="3">
        <f>DATE(2001,9,6)</f>
        <v>37140</v>
      </c>
      <c r="C6177" s="2" t="s">
        <v>95</v>
      </c>
      <c r="D6177" s="2" t="s">
        <v>18185</v>
      </c>
      <c r="E6177" s="2" t="s">
        <v>18186</v>
      </c>
      <c r="F6177" s="4">
        <v>3851</v>
      </c>
      <c r="G6177" s="2" t="s">
        <v>226</v>
      </c>
      <c r="H6177" s="2" t="s">
        <v>34</v>
      </c>
      <c r="I6177" s="2" t="s">
        <v>18910</v>
      </c>
      <c r="J6177" s="2" t="s">
        <v>18911</v>
      </c>
      <c r="K6177" s="2" t="s">
        <v>226</v>
      </c>
      <c r="L6177" s="2" t="s">
        <v>133</v>
      </c>
      <c r="M6177" s="2"/>
      <c r="N6177" s="2"/>
      <c r="O6177" s="2"/>
      <c r="P6177" s="2" t="s">
        <v>18912</v>
      </c>
      <c r="Q6177" s="6">
        <v>32.630000000000003</v>
      </c>
      <c r="R6177" s="6">
        <v>28.5</v>
      </c>
      <c r="S6177" s="5">
        <v>30.5</v>
      </c>
      <c r="T6177" s="7">
        <v>76.054000000000002</v>
      </c>
      <c r="U6177" s="5">
        <v>12.4</v>
      </c>
      <c r="V6177" s="6">
        <v>1.7</v>
      </c>
      <c r="W6177" s="5">
        <v>24.3</v>
      </c>
      <c r="X6177" s="5">
        <v>23.4</v>
      </c>
      <c r="Y6177" s="4">
        <v>28</v>
      </c>
      <c r="Z6177" s="4">
        <v>28</v>
      </c>
      <c r="AA6177" s="6">
        <v>17.98</v>
      </c>
      <c r="AB6177" s="7">
        <v>9.7050000000000001</v>
      </c>
      <c r="AC6177" s="2"/>
    </row>
    <row r="6178" spans="1:29" ht="117" x14ac:dyDescent="0.15">
      <c r="A6178" s="3">
        <f>DATE(2001,5,30)</f>
        <v>37041</v>
      </c>
      <c r="B6178" s="2"/>
      <c r="C6178" s="2" t="s">
        <v>30</v>
      </c>
      <c r="D6178" s="2" t="s">
        <v>6301</v>
      </c>
      <c r="E6178" s="2" t="s">
        <v>4476</v>
      </c>
      <c r="F6178" s="4">
        <v>3841</v>
      </c>
      <c r="G6178" s="2" t="s">
        <v>226</v>
      </c>
      <c r="H6178" s="2" t="s">
        <v>34</v>
      </c>
      <c r="I6178" s="2" t="s">
        <v>9732</v>
      </c>
      <c r="J6178" s="2" t="s">
        <v>9733</v>
      </c>
      <c r="K6178" s="2" t="s">
        <v>300</v>
      </c>
      <c r="L6178" s="2" t="s">
        <v>1791</v>
      </c>
      <c r="M6178" s="2"/>
      <c r="N6178" s="5">
        <v>56.3</v>
      </c>
      <c r="O6178" s="6">
        <v>57.45</v>
      </c>
      <c r="P6178" s="2" t="s">
        <v>18913</v>
      </c>
      <c r="Q6178" s="2"/>
      <c r="R6178" s="6">
        <v>60</v>
      </c>
      <c r="S6178" s="5">
        <v>110.5</v>
      </c>
      <c r="T6178" s="5">
        <v>251.6</v>
      </c>
      <c r="U6178" s="5">
        <v>12.9</v>
      </c>
      <c r="V6178" s="6">
        <v>2.15</v>
      </c>
      <c r="W6178" s="5">
        <v>45.2</v>
      </c>
      <c r="X6178" s="4">
        <v>46</v>
      </c>
      <c r="Y6178" s="6">
        <v>56.09</v>
      </c>
      <c r="Z6178" s="6">
        <v>56.45</v>
      </c>
      <c r="AA6178" s="6">
        <v>50.75</v>
      </c>
      <c r="AB6178" s="7">
        <v>15.986000000000001</v>
      </c>
      <c r="AC6178" s="8">
        <v>2601.1</v>
      </c>
    </row>
    <row r="6179" spans="1:29" ht="91" x14ac:dyDescent="0.15">
      <c r="A6179" s="3">
        <f>DATE(2001,5,30)</f>
        <v>37041</v>
      </c>
      <c r="B6179" s="3">
        <f>DATE(2001,8,28)</f>
        <v>37131</v>
      </c>
      <c r="C6179" s="2" t="s">
        <v>95</v>
      </c>
      <c r="D6179" s="2" t="s">
        <v>18914</v>
      </c>
      <c r="E6179" s="2" t="s">
        <v>18915</v>
      </c>
      <c r="F6179" s="4">
        <v>3841</v>
      </c>
      <c r="G6179" s="2" t="s">
        <v>226</v>
      </c>
      <c r="H6179" s="2" t="s">
        <v>34</v>
      </c>
      <c r="I6179" s="2" t="s">
        <v>769</v>
      </c>
      <c r="J6179" s="2" t="s">
        <v>770</v>
      </c>
      <c r="K6179" s="2" t="s">
        <v>226</v>
      </c>
      <c r="L6179" s="2" t="s">
        <v>34</v>
      </c>
      <c r="M6179" s="12">
        <v>55004.701000000001</v>
      </c>
      <c r="N6179" s="4">
        <v>43</v>
      </c>
      <c r="O6179" s="6">
        <v>42.98</v>
      </c>
      <c r="P6179" s="2" t="s">
        <v>18916</v>
      </c>
      <c r="Q6179" s="6">
        <v>100</v>
      </c>
      <c r="R6179" s="6">
        <v>48</v>
      </c>
      <c r="S6179" s="5">
        <v>46.7</v>
      </c>
      <c r="T6179" s="5">
        <v>55.2</v>
      </c>
      <c r="U6179" s="5">
        <v>6.7</v>
      </c>
      <c r="V6179" s="6">
        <v>0.7</v>
      </c>
      <c r="W6179" s="5">
        <v>42.2</v>
      </c>
      <c r="X6179" s="4">
        <v>44</v>
      </c>
      <c r="Y6179" s="6">
        <v>46.77</v>
      </c>
      <c r="Z6179" s="6">
        <v>46.77</v>
      </c>
      <c r="AA6179" s="6">
        <v>64.73</v>
      </c>
      <c r="AB6179" s="7">
        <v>77.588999999999999</v>
      </c>
      <c r="AC6179" s="8">
        <v>1030.3</v>
      </c>
    </row>
    <row r="6180" spans="1:29" ht="208" x14ac:dyDescent="0.15">
      <c r="A6180" s="3">
        <f>DATE(2001,5,30)</f>
        <v>37041</v>
      </c>
      <c r="B6180" s="3">
        <f>DATE(2001,10,4)</f>
        <v>37168</v>
      </c>
      <c r="C6180" s="2" t="s">
        <v>95</v>
      </c>
      <c r="D6180" s="2" t="s">
        <v>18917</v>
      </c>
      <c r="E6180" s="2" t="s">
        <v>18918</v>
      </c>
      <c r="F6180" s="4">
        <v>5083</v>
      </c>
      <c r="G6180" s="2" t="s">
        <v>76</v>
      </c>
      <c r="H6180" s="2" t="s">
        <v>34</v>
      </c>
      <c r="I6180" s="2" t="s">
        <v>18919</v>
      </c>
      <c r="J6180" s="2" t="s">
        <v>18920</v>
      </c>
      <c r="K6180" s="2" t="s">
        <v>300</v>
      </c>
      <c r="L6180" s="2" t="s">
        <v>34</v>
      </c>
      <c r="M6180" s="12">
        <v>9632.7289999999994</v>
      </c>
      <c r="N6180" s="6">
        <v>36.33</v>
      </c>
      <c r="O6180" s="6">
        <v>37.36</v>
      </c>
      <c r="P6180" s="2" t="s">
        <v>18921</v>
      </c>
      <c r="Q6180" s="6">
        <v>100</v>
      </c>
      <c r="R6180" s="6">
        <v>35.119999999999997</v>
      </c>
      <c r="S6180" s="5">
        <v>4.7</v>
      </c>
      <c r="T6180" s="2"/>
      <c r="U6180" s="5">
        <v>8.5</v>
      </c>
      <c r="V6180" s="6">
        <v>1.35</v>
      </c>
      <c r="W6180" s="6">
        <v>22.75</v>
      </c>
      <c r="X6180" s="4">
        <v>29</v>
      </c>
      <c r="Y6180" s="5">
        <v>35.6</v>
      </c>
      <c r="Z6180" s="5">
        <v>35.5</v>
      </c>
      <c r="AA6180" s="6">
        <v>3.32</v>
      </c>
      <c r="AB6180" s="7">
        <v>19.053999999999998</v>
      </c>
      <c r="AC6180" s="5">
        <v>484.4</v>
      </c>
    </row>
    <row r="6181" spans="1:29" ht="143" x14ac:dyDescent="0.15">
      <c r="A6181" s="3">
        <f>DATE(2001,5,31)</f>
        <v>37042</v>
      </c>
      <c r="B6181" s="3">
        <f>DATE(2001,12,31)</f>
        <v>37256</v>
      </c>
      <c r="C6181" s="2" t="s">
        <v>95</v>
      </c>
      <c r="D6181" s="2" t="s">
        <v>18922</v>
      </c>
      <c r="E6181" s="2" t="s">
        <v>1181</v>
      </c>
      <c r="F6181" s="4">
        <v>6021</v>
      </c>
      <c r="G6181" s="2" t="s">
        <v>37</v>
      </c>
      <c r="H6181" s="2" t="s">
        <v>34</v>
      </c>
      <c r="I6181" s="2" t="s">
        <v>18923</v>
      </c>
      <c r="J6181" s="2" t="s">
        <v>1181</v>
      </c>
      <c r="K6181" s="2" t="s">
        <v>37</v>
      </c>
      <c r="L6181" s="2" t="s">
        <v>34</v>
      </c>
      <c r="M6181" s="6">
        <v>20.149999999999999</v>
      </c>
      <c r="N6181" s="5">
        <v>15.5</v>
      </c>
      <c r="O6181" s="5">
        <v>15.5</v>
      </c>
      <c r="P6181" s="2" t="s">
        <v>18924</v>
      </c>
      <c r="Q6181" s="6">
        <v>100</v>
      </c>
      <c r="R6181" s="6">
        <v>12.95</v>
      </c>
      <c r="S6181" s="2"/>
      <c r="T6181" s="2"/>
      <c r="U6181" s="2"/>
      <c r="V6181" s="2"/>
      <c r="W6181" s="5">
        <v>11.5</v>
      </c>
      <c r="X6181" s="5">
        <v>11.5</v>
      </c>
      <c r="Y6181" s="6">
        <v>11.05</v>
      </c>
      <c r="Z6181" s="6">
        <v>11.05</v>
      </c>
      <c r="AA6181" s="2"/>
      <c r="AB6181" s="2" t="s">
        <v>47</v>
      </c>
      <c r="AC6181" s="2"/>
    </row>
    <row r="6182" spans="1:29" ht="130" x14ac:dyDescent="0.15">
      <c r="A6182" s="3">
        <f>DATE(2001,5,31)</f>
        <v>37042</v>
      </c>
      <c r="B6182" s="3">
        <f>DATE(2001,9,7)</f>
        <v>37141</v>
      </c>
      <c r="C6182" s="2" t="s">
        <v>95</v>
      </c>
      <c r="D6182" s="2" t="s">
        <v>18925</v>
      </c>
      <c r="E6182" s="2" t="s">
        <v>5269</v>
      </c>
      <c r="F6182" s="4">
        <v>3841</v>
      </c>
      <c r="G6182" s="2" t="s">
        <v>226</v>
      </c>
      <c r="H6182" s="2" t="s">
        <v>34</v>
      </c>
      <c r="I6182" s="2" t="s">
        <v>18926</v>
      </c>
      <c r="J6182" s="2" t="s">
        <v>18927</v>
      </c>
      <c r="K6182" s="2" t="s">
        <v>226</v>
      </c>
      <c r="L6182" s="2" t="s">
        <v>34</v>
      </c>
      <c r="M6182" s="7">
        <v>73.566000000000003</v>
      </c>
      <c r="N6182" s="6">
        <v>24.25</v>
      </c>
      <c r="O6182" s="6">
        <v>25.15</v>
      </c>
      <c r="P6182" s="2" t="s">
        <v>18928</v>
      </c>
      <c r="Q6182" s="6">
        <v>100</v>
      </c>
      <c r="R6182" s="6">
        <v>10.5</v>
      </c>
      <c r="S6182" s="5">
        <v>2.2999999999999998</v>
      </c>
      <c r="T6182" s="7">
        <v>6.4530000000000003</v>
      </c>
      <c r="U6182" s="5">
        <v>8</v>
      </c>
      <c r="V6182" s="6">
        <v>0.34</v>
      </c>
      <c r="W6182" s="6">
        <v>8.99</v>
      </c>
      <c r="X6182" s="6">
        <v>8.61</v>
      </c>
      <c r="Y6182" s="5">
        <v>9.8000000000000007</v>
      </c>
      <c r="Z6182" s="6">
        <v>9.77</v>
      </c>
      <c r="AA6182" s="6">
        <v>6.68</v>
      </c>
      <c r="AB6182" s="7">
        <v>18.312000000000001</v>
      </c>
      <c r="AC6182" s="5">
        <v>3.8</v>
      </c>
    </row>
    <row r="6183" spans="1:29" ht="130" x14ac:dyDescent="0.15">
      <c r="A6183" s="3">
        <f>DATE(2001,5,31)</f>
        <v>37042</v>
      </c>
      <c r="B6183" s="3">
        <f>DATE(2001,9,21)</f>
        <v>37155</v>
      </c>
      <c r="C6183" s="2" t="s">
        <v>95</v>
      </c>
      <c r="D6183" s="2" t="s">
        <v>18929</v>
      </c>
      <c r="E6183" s="2" t="s">
        <v>92</v>
      </c>
      <c r="F6183" s="4">
        <v>6798</v>
      </c>
      <c r="G6183" s="2" t="s">
        <v>53</v>
      </c>
      <c r="H6183" s="2" t="s">
        <v>34</v>
      </c>
      <c r="I6183" s="2" t="s">
        <v>18930</v>
      </c>
      <c r="J6183" s="2" t="s">
        <v>92</v>
      </c>
      <c r="K6183" s="2" t="s">
        <v>53</v>
      </c>
      <c r="L6183" s="2" t="s">
        <v>34</v>
      </c>
      <c r="M6183" s="7">
        <v>146.38399999999999</v>
      </c>
      <c r="N6183" s="6">
        <v>12.53</v>
      </c>
      <c r="O6183" s="6">
        <v>12.35</v>
      </c>
      <c r="P6183" s="2" t="s">
        <v>18931</v>
      </c>
      <c r="Q6183" s="6">
        <v>100</v>
      </c>
      <c r="R6183" s="6">
        <v>7.3</v>
      </c>
      <c r="S6183" s="5">
        <v>-1.7</v>
      </c>
      <c r="T6183" s="5">
        <v>17.899999999999999</v>
      </c>
      <c r="U6183" s="5">
        <v>7.5</v>
      </c>
      <c r="V6183" s="6">
        <v>-0.19</v>
      </c>
      <c r="W6183" s="6">
        <v>5.71</v>
      </c>
      <c r="X6183" s="6">
        <v>5.98</v>
      </c>
      <c r="Y6183" s="6">
        <v>5.76</v>
      </c>
      <c r="Z6183" s="6">
        <v>6.45</v>
      </c>
      <c r="AA6183" s="6">
        <v>8.65</v>
      </c>
      <c r="AB6183" s="7">
        <v>11.539</v>
      </c>
      <c r="AC6183" s="5">
        <v>0.3</v>
      </c>
    </row>
    <row r="6184" spans="1:29" ht="156" x14ac:dyDescent="0.15">
      <c r="A6184" s="3">
        <f>DATE(2001,6,1)</f>
        <v>37043</v>
      </c>
      <c r="B6184" s="3">
        <f>DATE(2001,8,2)</f>
        <v>37105</v>
      </c>
      <c r="C6184" s="2" t="s">
        <v>95</v>
      </c>
      <c r="D6184" s="2" t="s">
        <v>18932</v>
      </c>
      <c r="E6184" s="2" t="s">
        <v>18933</v>
      </c>
      <c r="F6184" s="4">
        <v>2731</v>
      </c>
      <c r="G6184" s="2" t="s">
        <v>186</v>
      </c>
      <c r="H6184" s="2" t="s">
        <v>34</v>
      </c>
      <c r="I6184" s="2" t="s">
        <v>18873</v>
      </c>
      <c r="J6184" s="2" t="s">
        <v>12359</v>
      </c>
      <c r="K6184" s="2" t="s">
        <v>42</v>
      </c>
      <c r="L6184" s="2" t="s">
        <v>133</v>
      </c>
      <c r="M6184" s="12">
        <v>73781.804000000004</v>
      </c>
      <c r="N6184" s="2"/>
      <c r="O6184" s="2"/>
      <c r="P6184" s="2" t="s">
        <v>18934</v>
      </c>
      <c r="Q6184" s="6">
        <v>100</v>
      </c>
      <c r="R6184" s="6">
        <v>60</v>
      </c>
      <c r="S6184" s="5">
        <v>52.7</v>
      </c>
      <c r="T6184" s="7">
        <v>244.41800000000001</v>
      </c>
      <c r="U6184" s="5">
        <v>13.6</v>
      </c>
      <c r="V6184" s="6">
        <v>1.73</v>
      </c>
      <c r="W6184" s="6">
        <v>51.11</v>
      </c>
      <c r="X6184" s="5">
        <v>53.5</v>
      </c>
      <c r="Y6184" s="6">
        <v>57.45</v>
      </c>
      <c r="Z6184" s="6">
        <v>56.78</v>
      </c>
      <c r="AA6184" s="6">
        <v>28.85</v>
      </c>
      <c r="AB6184" s="7">
        <v>16.265000000000001</v>
      </c>
      <c r="AC6184" s="10">
        <v>9998.66</v>
      </c>
    </row>
    <row r="6185" spans="1:29" ht="52" x14ac:dyDescent="0.15">
      <c r="A6185" s="3">
        <f>DATE(2001,6,4)</f>
        <v>37046</v>
      </c>
      <c r="B6185" s="3">
        <f>DATE(2001,12,31)</f>
        <v>37256</v>
      </c>
      <c r="C6185" s="2" t="s">
        <v>95</v>
      </c>
      <c r="D6185" s="2" t="s">
        <v>9983</v>
      </c>
      <c r="E6185" s="2" t="s">
        <v>389</v>
      </c>
      <c r="F6185" s="4">
        <v>6035</v>
      </c>
      <c r="G6185" s="2" t="s">
        <v>33</v>
      </c>
      <c r="H6185" s="2" t="s">
        <v>34</v>
      </c>
      <c r="I6185" s="2" t="s">
        <v>8238</v>
      </c>
      <c r="J6185" s="2" t="s">
        <v>36</v>
      </c>
      <c r="K6185" s="2" t="s">
        <v>37</v>
      </c>
      <c r="L6185" s="2" t="s">
        <v>34</v>
      </c>
      <c r="M6185" s="2"/>
      <c r="N6185" s="2"/>
      <c r="O6185" s="2"/>
      <c r="P6185" s="2" t="s">
        <v>18935</v>
      </c>
      <c r="Q6185" s="6">
        <v>100</v>
      </c>
      <c r="R6185" s="6">
        <v>7.25</v>
      </c>
      <c r="S6185" s="5">
        <v>13</v>
      </c>
      <c r="T6185" s="5">
        <v>19.399999999999999</v>
      </c>
      <c r="U6185" s="5">
        <v>3.6</v>
      </c>
      <c r="V6185" s="6">
        <v>0.68</v>
      </c>
      <c r="W6185" s="6">
        <v>5.15</v>
      </c>
      <c r="X6185" s="5">
        <v>5.3</v>
      </c>
      <c r="Y6185" s="6">
        <v>6.92</v>
      </c>
      <c r="Z6185" s="5">
        <v>6.9</v>
      </c>
      <c r="AA6185" s="6">
        <v>19.440000000000001</v>
      </c>
      <c r="AB6185" s="7">
        <v>174.16399999999999</v>
      </c>
      <c r="AC6185" s="2"/>
    </row>
    <row r="6186" spans="1:29" ht="78" x14ac:dyDescent="0.15">
      <c r="A6186" s="3">
        <f>DATE(2001,6,4)</f>
        <v>37046</v>
      </c>
      <c r="B6186" s="3">
        <f>DATE(2001,11,13)</f>
        <v>37208</v>
      </c>
      <c r="C6186" s="2" t="s">
        <v>95</v>
      </c>
      <c r="D6186" s="2" t="s">
        <v>18936</v>
      </c>
      <c r="E6186" s="2" t="s">
        <v>18937</v>
      </c>
      <c r="F6186" s="4">
        <v>7374</v>
      </c>
      <c r="G6186" s="2" t="s">
        <v>223</v>
      </c>
      <c r="H6186" s="2" t="s">
        <v>34</v>
      </c>
      <c r="I6186" s="2" t="s">
        <v>13663</v>
      </c>
      <c r="J6186" s="2" t="s">
        <v>13664</v>
      </c>
      <c r="K6186" s="2" t="s">
        <v>53</v>
      </c>
      <c r="L6186" s="2" t="s">
        <v>34</v>
      </c>
      <c r="M6186" s="2"/>
      <c r="N6186" s="2"/>
      <c r="O6186" s="2"/>
      <c r="P6186" s="2" t="s">
        <v>18938</v>
      </c>
      <c r="Q6186" s="6">
        <v>59.14</v>
      </c>
      <c r="R6186" s="6">
        <v>3.5</v>
      </c>
      <c r="S6186" s="5">
        <v>-33.700000000000003</v>
      </c>
      <c r="T6186" s="5">
        <v>-17.2</v>
      </c>
      <c r="U6186" s="5">
        <v>1.9</v>
      </c>
      <c r="V6186" s="6">
        <v>-1.82</v>
      </c>
      <c r="W6186" s="5">
        <v>1.9</v>
      </c>
      <c r="X6186" s="6">
        <v>1.95</v>
      </c>
      <c r="Y6186" s="6">
        <v>3.38</v>
      </c>
      <c r="Z6186" s="6">
        <v>3.38</v>
      </c>
      <c r="AA6186" s="6">
        <v>20.350000000000001</v>
      </c>
      <c r="AB6186" s="2" t="s">
        <v>86</v>
      </c>
      <c r="AC6186" s="2"/>
    </row>
    <row r="6187" spans="1:29" ht="39" x14ac:dyDescent="0.15">
      <c r="A6187" s="3">
        <f>DATE(2001,6,4)</f>
        <v>37046</v>
      </c>
      <c r="B6187" s="2"/>
      <c r="C6187" s="2" t="s">
        <v>30</v>
      </c>
      <c r="D6187" s="2" t="s">
        <v>18939</v>
      </c>
      <c r="E6187" s="2" t="s">
        <v>18940</v>
      </c>
      <c r="F6187" s="4">
        <v>6531</v>
      </c>
      <c r="G6187" s="2" t="s">
        <v>109</v>
      </c>
      <c r="H6187" s="2" t="s">
        <v>34</v>
      </c>
      <c r="I6187" s="2" t="s">
        <v>18941</v>
      </c>
      <c r="J6187" s="2" t="s">
        <v>18942</v>
      </c>
      <c r="K6187" s="2" t="s">
        <v>109</v>
      </c>
      <c r="L6187" s="2" t="s">
        <v>303</v>
      </c>
      <c r="M6187" s="2"/>
      <c r="N6187" s="7">
        <v>2.8769999999999998</v>
      </c>
      <c r="O6187" s="7">
        <v>3.0369999999999999</v>
      </c>
      <c r="P6187" s="2" t="s">
        <v>18943</v>
      </c>
      <c r="Q6187" s="2"/>
      <c r="R6187" s="2"/>
      <c r="S6187" s="5">
        <v>-223</v>
      </c>
      <c r="T6187" s="7">
        <v>106.617</v>
      </c>
      <c r="U6187" s="5">
        <v>2.4</v>
      </c>
      <c r="V6187" s="7">
        <v>-6.3710000000000004</v>
      </c>
      <c r="W6187" s="6">
        <v>4.05</v>
      </c>
      <c r="X6187" s="4">
        <v>4</v>
      </c>
      <c r="Y6187" s="6">
        <v>4.08</v>
      </c>
      <c r="Z6187" s="6">
        <v>3.64</v>
      </c>
      <c r="AA6187" s="6">
        <v>36.909999999999997</v>
      </c>
      <c r="AB6187" s="2" t="s">
        <v>47</v>
      </c>
      <c r="AC6187" s="6">
        <v>253.49</v>
      </c>
    </row>
    <row r="6188" spans="1:29" ht="130" x14ac:dyDescent="0.15">
      <c r="A6188" s="3">
        <f>DATE(2001,6,4)</f>
        <v>37046</v>
      </c>
      <c r="B6188" s="3">
        <f>DATE(2001,8,23)</f>
        <v>37126</v>
      </c>
      <c r="C6188" s="2" t="s">
        <v>95</v>
      </c>
      <c r="D6188" s="2" t="s">
        <v>16743</v>
      </c>
      <c r="E6188" s="2" t="s">
        <v>16744</v>
      </c>
      <c r="F6188" s="4">
        <v>7375</v>
      </c>
      <c r="G6188" s="2" t="s">
        <v>223</v>
      </c>
      <c r="H6188" s="2" t="s">
        <v>34</v>
      </c>
      <c r="I6188" s="2" t="s">
        <v>18944</v>
      </c>
      <c r="J6188" s="2" t="s">
        <v>17923</v>
      </c>
      <c r="K6188" s="2" t="s">
        <v>223</v>
      </c>
      <c r="L6188" s="2" t="s">
        <v>34</v>
      </c>
      <c r="M6188" s="2"/>
      <c r="N6188" s="2"/>
      <c r="O6188" s="2"/>
      <c r="P6188" s="2" t="s">
        <v>18945</v>
      </c>
      <c r="Q6188" s="6">
        <v>100</v>
      </c>
      <c r="R6188" s="6">
        <v>2.6</v>
      </c>
      <c r="S6188" s="5">
        <v>-217.1</v>
      </c>
      <c r="T6188" s="5">
        <v>-48</v>
      </c>
      <c r="U6188" s="5">
        <v>2.8</v>
      </c>
      <c r="V6188" s="6">
        <v>-6.39</v>
      </c>
      <c r="W6188" s="6">
        <v>1.39</v>
      </c>
      <c r="X6188" s="5">
        <v>1.6</v>
      </c>
      <c r="Y6188" s="6">
        <v>2.56</v>
      </c>
      <c r="Z6188" s="6">
        <v>2.5499999999999998</v>
      </c>
      <c r="AA6188" s="6">
        <v>40.76</v>
      </c>
      <c r="AB6188" s="2" t="s">
        <v>86</v>
      </c>
      <c r="AC6188" s="2"/>
    </row>
    <row r="6189" spans="1:29" ht="130" x14ac:dyDescent="0.15">
      <c r="A6189" s="3">
        <f>DATE(2001,6,4)</f>
        <v>37046</v>
      </c>
      <c r="B6189" s="3">
        <f>DATE(2001,8,1)</f>
        <v>37104</v>
      </c>
      <c r="C6189" s="2" t="s">
        <v>95</v>
      </c>
      <c r="D6189" s="2" t="s">
        <v>2001</v>
      </c>
      <c r="E6189" s="2" t="s">
        <v>2002</v>
      </c>
      <c r="F6189" s="4">
        <v>5731</v>
      </c>
      <c r="G6189" s="2" t="s">
        <v>1227</v>
      </c>
      <c r="H6189" s="2" t="s">
        <v>34</v>
      </c>
      <c r="I6189" s="2" t="s">
        <v>18946</v>
      </c>
      <c r="J6189" s="2" t="s">
        <v>18947</v>
      </c>
      <c r="K6189" s="2" t="s">
        <v>1227</v>
      </c>
      <c r="L6189" s="2" t="s">
        <v>34</v>
      </c>
      <c r="M6189" s="6">
        <v>438.18</v>
      </c>
      <c r="N6189" s="5">
        <v>26.3</v>
      </c>
      <c r="O6189" s="6">
        <v>28.41</v>
      </c>
      <c r="P6189" s="2" t="s">
        <v>18948</v>
      </c>
      <c r="Q6189" s="6">
        <v>79.260000000000005</v>
      </c>
      <c r="R6189" s="6">
        <v>28.75</v>
      </c>
      <c r="S6189" s="5">
        <v>4.8</v>
      </c>
      <c r="T6189" s="5">
        <v>13.9</v>
      </c>
      <c r="U6189" s="5">
        <v>7.3</v>
      </c>
      <c r="V6189" s="6">
        <v>1.0900000000000001</v>
      </c>
      <c r="W6189" s="6">
        <v>13.29</v>
      </c>
      <c r="X6189" s="4">
        <v>15</v>
      </c>
      <c r="Y6189" s="5">
        <v>24.2</v>
      </c>
      <c r="Z6189" s="4">
        <v>27</v>
      </c>
      <c r="AA6189" s="6">
        <v>4.07</v>
      </c>
      <c r="AB6189" s="7">
        <v>17.140999999999998</v>
      </c>
      <c r="AC6189" s="5">
        <v>34.299999999999997</v>
      </c>
    </row>
    <row r="6190" spans="1:29" ht="104" x14ac:dyDescent="0.15">
      <c r="A6190" s="3">
        <f>DATE(2001,6,5)</f>
        <v>37047</v>
      </c>
      <c r="B6190" s="3">
        <f>DATE(2001,11,16)</f>
        <v>37211</v>
      </c>
      <c r="C6190" s="2" t="s">
        <v>95</v>
      </c>
      <c r="D6190" s="2" t="s">
        <v>18949</v>
      </c>
      <c r="E6190" s="2" t="s">
        <v>203</v>
      </c>
      <c r="F6190" s="4">
        <v>6036</v>
      </c>
      <c r="G6190" s="2" t="s">
        <v>33</v>
      </c>
      <c r="H6190" s="2" t="s">
        <v>34</v>
      </c>
      <c r="I6190" s="2" t="s">
        <v>7668</v>
      </c>
      <c r="J6190" s="2" t="s">
        <v>7190</v>
      </c>
      <c r="K6190" s="2" t="s">
        <v>33</v>
      </c>
      <c r="L6190" s="2" t="s">
        <v>34</v>
      </c>
      <c r="M6190" s="7">
        <v>78.567999999999998</v>
      </c>
      <c r="N6190" s="6">
        <v>12.26</v>
      </c>
      <c r="O6190" s="5">
        <v>12.3</v>
      </c>
      <c r="P6190" s="2" t="s">
        <v>18950</v>
      </c>
      <c r="Q6190" s="6">
        <v>100</v>
      </c>
      <c r="R6190" s="6">
        <v>11.47</v>
      </c>
      <c r="S6190" s="5">
        <v>0.5</v>
      </c>
      <c r="T6190" s="5">
        <v>1</v>
      </c>
      <c r="U6190" s="5">
        <v>11.1</v>
      </c>
      <c r="V6190" s="6">
        <v>0.22</v>
      </c>
      <c r="W6190" s="6">
        <v>7.96</v>
      </c>
      <c r="X6190" s="6">
        <v>8.25</v>
      </c>
      <c r="Y6190" s="6">
        <v>10.98</v>
      </c>
      <c r="Z6190" s="4">
        <v>11</v>
      </c>
      <c r="AA6190" s="6">
        <v>2.63</v>
      </c>
      <c r="AB6190" s="7">
        <v>109.50700000000001</v>
      </c>
      <c r="AC6190" s="5">
        <v>24.1</v>
      </c>
    </row>
    <row r="6191" spans="1:29" ht="52" x14ac:dyDescent="0.15">
      <c r="A6191" s="3">
        <f>DATE(2001,6,5)</f>
        <v>37047</v>
      </c>
      <c r="B6191" s="3">
        <f>DATE(2002,1,18)</f>
        <v>37274</v>
      </c>
      <c r="C6191" s="2" t="s">
        <v>95</v>
      </c>
      <c r="D6191" s="2" t="s">
        <v>18951</v>
      </c>
      <c r="E6191" s="2" t="s">
        <v>263</v>
      </c>
      <c r="F6191" s="4">
        <v>6712</v>
      </c>
      <c r="G6191" s="2" t="s">
        <v>37</v>
      </c>
      <c r="H6191" s="2" t="s">
        <v>34</v>
      </c>
      <c r="I6191" s="2" t="s">
        <v>18952</v>
      </c>
      <c r="J6191" s="2" t="s">
        <v>36</v>
      </c>
      <c r="K6191" s="2" t="s">
        <v>37</v>
      </c>
      <c r="L6191" s="2" t="s">
        <v>34</v>
      </c>
      <c r="M6191" s="2"/>
      <c r="N6191" s="2"/>
      <c r="O6191" s="2"/>
      <c r="P6191" s="2" t="s">
        <v>18953</v>
      </c>
      <c r="Q6191" s="6">
        <v>100</v>
      </c>
      <c r="R6191" s="6">
        <v>12.49</v>
      </c>
      <c r="S6191" s="5">
        <v>2.6</v>
      </c>
      <c r="T6191" s="5">
        <v>4.9000000000000004</v>
      </c>
      <c r="U6191" s="5">
        <v>5.7</v>
      </c>
      <c r="V6191" s="6">
        <v>0.79</v>
      </c>
      <c r="W6191" s="5">
        <v>7.8</v>
      </c>
      <c r="X6191" s="6">
        <v>12.05</v>
      </c>
      <c r="Y6191" s="6">
        <v>12.09</v>
      </c>
      <c r="Z6191" s="5">
        <v>12.1</v>
      </c>
      <c r="AA6191" s="6">
        <v>3.13</v>
      </c>
      <c r="AB6191" s="7">
        <v>109.01600000000001</v>
      </c>
      <c r="AC6191" s="2"/>
    </row>
    <row r="6192" spans="1:29" ht="143" x14ac:dyDescent="0.15">
      <c r="A6192" s="3">
        <f>DATE(2001,6,6)</f>
        <v>37048</v>
      </c>
      <c r="B6192" s="2"/>
      <c r="C6192" s="2" t="s">
        <v>30</v>
      </c>
      <c r="D6192" s="2" t="s">
        <v>18119</v>
      </c>
      <c r="E6192" s="2" t="s">
        <v>92</v>
      </c>
      <c r="F6192" s="4">
        <v>6798</v>
      </c>
      <c r="G6192" s="2" t="s">
        <v>53</v>
      </c>
      <c r="H6192" s="2" t="s">
        <v>34</v>
      </c>
      <c r="I6192" s="2" t="s">
        <v>51</v>
      </c>
      <c r="J6192" s="2" t="s">
        <v>52</v>
      </c>
      <c r="K6192" s="2" t="s">
        <v>53</v>
      </c>
      <c r="L6192" s="2" t="s">
        <v>34</v>
      </c>
      <c r="M6192" s="2"/>
      <c r="N6192" s="2"/>
      <c r="O6192" s="2"/>
      <c r="P6192" s="2" t="s">
        <v>18954</v>
      </c>
      <c r="Q6192" s="2"/>
      <c r="R6192" s="6">
        <v>15.5</v>
      </c>
      <c r="S6192" s="5">
        <v>5</v>
      </c>
      <c r="T6192" s="2"/>
      <c r="U6192" s="5">
        <v>17</v>
      </c>
      <c r="V6192" s="6">
        <v>-0.92</v>
      </c>
      <c r="W6192" s="6">
        <v>7.75</v>
      </c>
      <c r="X6192" s="4">
        <v>8</v>
      </c>
      <c r="Y6192" s="7">
        <v>8.125</v>
      </c>
      <c r="Z6192" s="4">
        <v>9</v>
      </c>
      <c r="AA6192" s="6">
        <v>2.41</v>
      </c>
      <c r="AB6192" s="7">
        <v>10.994</v>
      </c>
      <c r="AC6192" s="2"/>
    </row>
    <row r="6193" spans="1:29" ht="104" x14ac:dyDescent="0.15">
      <c r="A6193" s="3">
        <f>DATE(2001,6,6)</f>
        <v>37048</v>
      </c>
      <c r="B6193" s="3">
        <f>DATE(2001,12,13)</f>
        <v>37238</v>
      </c>
      <c r="C6193" s="2" t="s">
        <v>95</v>
      </c>
      <c r="D6193" s="2" t="s">
        <v>18955</v>
      </c>
      <c r="E6193" s="2" t="s">
        <v>9854</v>
      </c>
      <c r="F6193" s="4">
        <v>6282</v>
      </c>
      <c r="G6193" s="2" t="s">
        <v>53</v>
      </c>
      <c r="H6193" s="2" t="s">
        <v>34</v>
      </c>
      <c r="I6193" s="2" t="s">
        <v>18956</v>
      </c>
      <c r="J6193" s="2" t="s">
        <v>124</v>
      </c>
      <c r="K6193" s="2" t="s">
        <v>125</v>
      </c>
      <c r="L6193" s="2" t="s">
        <v>34</v>
      </c>
      <c r="M6193" s="2"/>
      <c r="N6193" s="2"/>
      <c r="O6193" s="2"/>
      <c r="P6193" s="2" t="s">
        <v>18957</v>
      </c>
      <c r="Q6193" s="6">
        <v>34.39</v>
      </c>
      <c r="R6193" s="6">
        <v>33.700000000000003</v>
      </c>
      <c r="S6193" s="5">
        <v>99.8</v>
      </c>
      <c r="T6193" s="5">
        <v>329.7</v>
      </c>
      <c r="U6193" s="5">
        <v>27.3</v>
      </c>
      <c r="V6193" s="6">
        <v>2.0699999999999998</v>
      </c>
      <c r="W6193" s="7">
        <v>24.062999999999999</v>
      </c>
      <c r="X6193" s="4">
        <v>27</v>
      </c>
      <c r="Y6193" s="4">
        <v>36</v>
      </c>
      <c r="Z6193" s="6">
        <v>38.75</v>
      </c>
      <c r="AA6193" s="6">
        <v>49.12</v>
      </c>
      <c r="AB6193" s="7">
        <v>2.4700000000000002</v>
      </c>
      <c r="AC6193" s="2"/>
    </row>
    <row r="6194" spans="1:29" ht="91" x14ac:dyDescent="0.15">
      <c r="A6194" s="3">
        <f>DATE(2001,6,7)</f>
        <v>37049</v>
      </c>
      <c r="B6194" s="3">
        <f>DATE(2002,6,12)</f>
        <v>37419</v>
      </c>
      <c r="C6194" s="2" t="s">
        <v>95</v>
      </c>
      <c r="D6194" s="2" t="s">
        <v>18958</v>
      </c>
      <c r="E6194" s="2" t="s">
        <v>124</v>
      </c>
      <c r="F6194" s="4">
        <v>6311</v>
      </c>
      <c r="G6194" s="2" t="s">
        <v>125</v>
      </c>
      <c r="H6194" s="2" t="s">
        <v>34</v>
      </c>
      <c r="I6194" s="2" t="s">
        <v>18959</v>
      </c>
      <c r="J6194" s="2" t="s">
        <v>4015</v>
      </c>
      <c r="K6194" s="2" t="s">
        <v>125</v>
      </c>
      <c r="L6194" s="2" t="s">
        <v>34</v>
      </c>
      <c r="M6194" s="7">
        <v>18.591999999999999</v>
      </c>
      <c r="N6194" s="6">
        <v>4.96</v>
      </c>
      <c r="O6194" s="6">
        <v>4.8600000000000003</v>
      </c>
      <c r="P6194" s="2" t="s">
        <v>18960</v>
      </c>
      <c r="Q6194" s="6">
        <v>19</v>
      </c>
      <c r="R6194" s="6">
        <v>250</v>
      </c>
      <c r="S6194" s="5">
        <v>-1.2</v>
      </c>
      <c r="T6194" s="2"/>
      <c r="U6194" s="5">
        <v>542.4</v>
      </c>
      <c r="V6194" s="6">
        <v>-21.88</v>
      </c>
      <c r="W6194" s="4">
        <v>85</v>
      </c>
      <c r="X6194" s="4">
        <v>85</v>
      </c>
      <c r="Y6194" s="4">
        <v>85</v>
      </c>
      <c r="Z6194" s="4">
        <v>85</v>
      </c>
      <c r="AA6194" s="6">
        <v>0.05</v>
      </c>
      <c r="AB6194" s="7">
        <v>42.774999999999999</v>
      </c>
      <c r="AC6194" s="2"/>
    </row>
    <row r="6195" spans="1:29" ht="156" x14ac:dyDescent="0.15">
      <c r="A6195" s="3">
        <f>DATE(2001,6,7)</f>
        <v>37049</v>
      </c>
      <c r="B6195" s="3">
        <f>DATE(2001,9,25)</f>
        <v>37159</v>
      </c>
      <c r="C6195" s="2" t="s">
        <v>95</v>
      </c>
      <c r="D6195" s="2" t="s">
        <v>18961</v>
      </c>
      <c r="E6195" s="2" t="s">
        <v>10711</v>
      </c>
      <c r="F6195" s="4">
        <v>7375</v>
      </c>
      <c r="G6195" s="2" t="s">
        <v>223</v>
      </c>
      <c r="H6195" s="2" t="s">
        <v>34</v>
      </c>
      <c r="I6195" s="2" t="s">
        <v>18962</v>
      </c>
      <c r="J6195" s="2" t="s">
        <v>10711</v>
      </c>
      <c r="K6195" s="2" t="s">
        <v>223</v>
      </c>
      <c r="L6195" s="2" t="s">
        <v>34</v>
      </c>
      <c r="M6195" s="7">
        <v>155.39099999999999</v>
      </c>
      <c r="N6195" s="6">
        <v>0.95</v>
      </c>
      <c r="O6195" s="6">
        <v>1.17</v>
      </c>
      <c r="P6195" s="2" t="s">
        <v>18963</v>
      </c>
      <c r="Q6195" s="6">
        <v>100</v>
      </c>
      <c r="R6195" s="6">
        <v>1.64</v>
      </c>
      <c r="S6195" s="5">
        <v>-93.4</v>
      </c>
      <c r="T6195" s="5">
        <v>-93.4</v>
      </c>
      <c r="U6195" s="5">
        <v>0.5</v>
      </c>
      <c r="V6195" s="6">
        <v>-2.35</v>
      </c>
      <c r="W6195" s="5">
        <v>1.3</v>
      </c>
      <c r="X6195" s="6">
        <v>1.55</v>
      </c>
      <c r="Y6195" s="6">
        <v>1.48</v>
      </c>
      <c r="Z6195" s="6">
        <v>1.79</v>
      </c>
      <c r="AA6195" s="6">
        <v>41.69</v>
      </c>
      <c r="AB6195" s="2" t="s">
        <v>86</v>
      </c>
      <c r="AC6195" s="5">
        <v>68.7</v>
      </c>
    </row>
    <row r="6196" spans="1:29" ht="52" x14ac:dyDescent="0.15">
      <c r="A6196" s="3">
        <f>DATE(2001,6,7)</f>
        <v>37049</v>
      </c>
      <c r="B6196" s="3">
        <f>DATE(2001,8,17)</f>
        <v>37120</v>
      </c>
      <c r="C6196" s="2" t="s">
        <v>95</v>
      </c>
      <c r="D6196" s="2" t="s">
        <v>18964</v>
      </c>
      <c r="E6196" s="2" t="s">
        <v>18965</v>
      </c>
      <c r="F6196" s="4">
        <v>7373</v>
      </c>
      <c r="G6196" s="2" t="s">
        <v>223</v>
      </c>
      <c r="H6196" s="2" t="s">
        <v>34</v>
      </c>
      <c r="I6196" s="2" t="s">
        <v>10993</v>
      </c>
      <c r="J6196" s="2" t="s">
        <v>10994</v>
      </c>
      <c r="K6196" s="2" t="s">
        <v>105</v>
      </c>
      <c r="L6196" s="2" t="s">
        <v>34</v>
      </c>
      <c r="M6196" s="12">
        <v>5411.2449999999999</v>
      </c>
      <c r="N6196" s="6">
        <v>43.03</v>
      </c>
      <c r="O6196" s="6">
        <v>42.59</v>
      </c>
      <c r="P6196" s="2" t="s">
        <v>18966</v>
      </c>
      <c r="Q6196" s="6">
        <v>100</v>
      </c>
      <c r="R6196" s="6">
        <v>3.6</v>
      </c>
      <c r="S6196" s="5">
        <v>0.7</v>
      </c>
      <c r="T6196" s="7">
        <v>1.169</v>
      </c>
      <c r="U6196" s="5">
        <v>0.7</v>
      </c>
      <c r="V6196" s="6">
        <v>0.38</v>
      </c>
      <c r="W6196" s="5">
        <v>2.6</v>
      </c>
      <c r="X6196" s="6">
        <v>2.65</v>
      </c>
      <c r="Y6196" s="6">
        <v>3.55</v>
      </c>
      <c r="Z6196" s="5">
        <v>3.5</v>
      </c>
      <c r="AA6196" s="6">
        <v>0.82</v>
      </c>
      <c r="AB6196" s="7">
        <v>2.798</v>
      </c>
      <c r="AC6196" s="5">
        <v>268</v>
      </c>
    </row>
    <row r="6197" spans="1:29" ht="130" x14ac:dyDescent="0.15">
      <c r="A6197" s="3">
        <f>DATE(2001,6,9)</f>
        <v>37051</v>
      </c>
      <c r="B6197" s="3">
        <f>DATE(2001,8,21)</f>
        <v>37124</v>
      </c>
      <c r="C6197" s="2" t="s">
        <v>95</v>
      </c>
      <c r="D6197" s="2" t="s">
        <v>9997</v>
      </c>
      <c r="E6197" s="2" t="s">
        <v>612</v>
      </c>
      <c r="F6197" s="4">
        <v>1311</v>
      </c>
      <c r="G6197" s="2" t="s">
        <v>148</v>
      </c>
      <c r="H6197" s="2" t="s">
        <v>34</v>
      </c>
      <c r="I6197" s="2" t="s">
        <v>18967</v>
      </c>
      <c r="J6197" s="2" t="s">
        <v>612</v>
      </c>
      <c r="K6197" s="2" t="s">
        <v>148</v>
      </c>
      <c r="L6197" s="2" t="s">
        <v>34</v>
      </c>
      <c r="M6197" s="12">
        <v>1038.0309999999999</v>
      </c>
      <c r="N6197" s="6">
        <v>24.75</v>
      </c>
      <c r="O6197" s="6">
        <v>24.75</v>
      </c>
      <c r="P6197" s="2" t="s">
        <v>18968</v>
      </c>
      <c r="Q6197" s="6">
        <v>100</v>
      </c>
      <c r="R6197" s="6">
        <v>10.11</v>
      </c>
      <c r="S6197" s="5">
        <v>-6.4</v>
      </c>
      <c r="T6197" s="5">
        <v>161.80000000000001</v>
      </c>
      <c r="U6197" s="5">
        <v>2.1</v>
      </c>
      <c r="V6197" s="6">
        <v>-0.47</v>
      </c>
      <c r="W6197" s="6">
        <v>9.7899999999999991</v>
      </c>
      <c r="X6197" s="6">
        <v>10.57</v>
      </c>
      <c r="Y6197" s="2"/>
      <c r="Z6197" s="2"/>
      <c r="AA6197" s="6">
        <v>32.799999999999997</v>
      </c>
      <c r="AB6197" s="7">
        <v>8.3360000000000003</v>
      </c>
      <c r="AC6197" s="5">
        <v>20.2</v>
      </c>
    </row>
    <row r="6198" spans="1:29" ht="130" x14ac:dyDescent="0.15">
      <c r="A6198" s="3">
        <f>DATE(2001,6,11)</f>
        <v>37053</v>
      </c>
      <c r="B6198" s="3">
        <f>DATE(2001,10,31)</f>
        <v>37195</v>
      </c>
      <c r="C6198" s="2" t="s">
        <v>95</v>
      </c>
      <c r="D6198" s="2" t="s">
        <v>264</v>
      </c>
      <c r="E6198" s="2" t="s">
        <v>265</v>
      </c>
      <c r="F6198" s="4">
        <v>6022</v>
      </c>
      <c r="G6198" s="2" t="s">
        <v>37</v>
      </c>
      <c r="H6198" s="2" t="s">
        <v>34</v>
      </c>
      <c r="I6198" s="2" t="s">
        <v>18969</v>
      </c>
      <c r="J6198" s="2" t="s">
        <v>18970</v>
      </c>
      <c r="K6198" s="2" t="s">
        <v>37</v>
      </c>
      <c r="L6198" s="2" t="s">
        <v>34</v>
      </c>
      <c r="M6198" s="12">
        <v>2726.1750000000002</v>
      </c>
      <c r="N6198" s="6">
        <v>20.67</v>
      </c>
      <c r="O6198" s="5">
        <v>21.1</v>
      </c>
      <c r="P6198" s="2" t="s">
        <v>18971</v>
      </c>
      <c r="Q6198" s="6">
        <v>100</v>
      </c>
      <c r="R6198" s="6">
        <v>48.1</v>
      </c>
      <c r="S6198" s="5">
        <v>20.7</v>
      </c>
      <c r="T6198" s="5">
        <v>31.2</v>
      </c>
      <c r="U6198" s="5">
        <v>23.9</v>
      </c>
      <c r="V6198" s="6">
        <v>3.06</v>
      </c>
      <c r="W6198" s="6">
        <v>36.49</v>
      </c>
      <c r="X6198" s="6">
        <v>38.22</v>
      </c>
      <c r="Y6198" s="4">
        <v>46</v>
      </c>
      <c r="Z6198" s="6">
        <v>46.73</v>
      </c>
      <c r="AA6198" s="6">
        <v>6.7</v>
      </c>
      <c r="AB6198" s="7">
        <v>65.953000000000003</v>
      </c>
      <c r="AC6198" s="2"/>
    </row>
    <row r="6199" spans="1:29" ht="52" x14ac:dyDescent="0.15">
      <c r="A6199" s="3">
        <f>DATE(2001,6,11)</f>
        <v>37053</v>
      </c>
      <c r="B6199" s="3">
        <f>DATE(2001,10,31)</f>
        <v>37195</v>
      </c>
      <c r="C6199" s="2" t="s">
        <v>95</v>
      </c>
      <c r="D6199" s="2" t="s">
        <v>18972</v>
      </c>
      <c r="E6199" s="2" t="s">
        <v>1181</v>
      </c>
      <c r="F6199" s="4">
        <v>6021</v>
      </c>
      <c r="G6199" s="2" t="s">
        <v>37</v>
      </c>
      <c r="H6199" s="2" t="s">
        <v>34</v>
      </c>
      <c r="I6199" s="2" t="s">
        <v>18969</v>
      </c>
      <c r="J6199" s="2" t="s">
        <v>18970</v>
      </c>
      <c r="K6199" s="2" t="s">
        <v>37</v>
      </c>
      <c r="L6199" s="2" t="s">
        <v>34</v>
      </c>
      <c r="M6199" s="12">
        <v>2726.1750000000002</v>
      </c>
      <c r="N6199" s="6">
        <v>20.67</v>
      </c>
      <c r="O6199" s="5">
        <v>21.1</v>
      </c>
      <c r="P6199" s="2" t="s">
        <v>18973</v>
      </c>
      <c r="Q6199" s="6">
        <v>100</v>
      </c>
      <c r="R6199" s="6">
        <v>11.5</v>
      </c>
      <c r="S6199" s="5">
        <v>10.7</v>
      </c>
      <c r="T6199" s="5">
        <v>16.2</v>
      </c>
      <c r="U6199" s="5">
        <v>4.4000000000000004</v>
      </c>
      <c r="V6199" s="6">
        <v>0.75</v>
      </c>
      <c r="W6199" s="6">
        <v>8.33</v>
      </c>
      <c r="X6199" s="6">
        <v>9.75</v>
      </c>
      <c r="Y6199" s="6">
        <v>11.22</v>
      </c>
      <c r="Z6199" s="6">
        <v>11.22</v>
      </c>
      <c r="AA6199" s="6">
        <v>14.33</v>
      </c>
      <c r="AB6199" s="7">
        <v>62.093000000000004</v>
      </c>
      <c r="AC6199" s="2"/>
    </row>
    <row r="6200" spans="1:29" ht="143" x14ac:dyDescent="0.15">
      <c r="A6200" s="3">
        <f>DATE(2001,6,11)</f>
        <v>37053</v>
      </c>
      <c r="B6200" s="3">
        <f>DATE(2001,8,27)</f>
        <v>37130</v>
      </c>
      <c r="C6200" s="2" t="s">
        <v>95</v>
      </c>
      <c r="D6200" s="2" t="s">
        <v>18974</v>
      </c>
      <c r="E6200" s="2" t="s">
        <v>18975</v>
      </c>
      <c r="F6200" s="4">
        <v>7372</v>
      </c>
      <c r="G6200" s="2" t="s">
        <v>551</v>
      </c>
      <c r="H6200" s="2" t="s">
        <v>34</v>
      </c>
      <c r="I6200" s="2" t="s">
        <v>12071</v>
      </c>
      <c r="J6200" s="2" t="s">
        <v>12072</v>
      </c>
      <c r="K6200" s="2" t="s">
        <v>551</v>
      </c>
      <c r="L6200" s="2" t="s">
        <v>34</v>
      </c>
      <c r="M6200" s="12">
        <v>3752.6570000000002</v>
      </c>
      <c r="N6200" s="6">
        <v>25.51</v>
      </c>
      <c r="O6200" s="6">
        <v>27.19</v>
      </c>
      <c r="P6200" s="2" t="s">
        <v>18976</v>
      </c>
      <c r="Q6200" s="6">
        <v>100</v>
      </c>
      <c r="R6200" s="6">
        <v>35.119999999999997</v>
      </c>
      <c r="S6200" s="5">
        <v>21.9</v>
      </c>
      <c r="T6200" s="5">
        <v>46.2</v>
      </c>
      <c r="U6200" s="5">
        <v>7.9</v>
      </c>
      <c r="V6200" s="6">
        <v>0.63</v>
      </c>
      <c r="W6200" s="6">
        <v>18.03</v>
      </c>
      <c r="X6200" s="6">
        <v>18.34</v>
      </c>
      <c r="Y6200" s="6">
        <v>30.52</v>
      </c>
      <c r="Z6200" s="6">
        <v>32.270000000000003</v>
      </c>
      <c r="AA6200" s="6">
        <v>30.71</v>
      </c>
      <c r="AB6200" s="7">
        <v>42.594999999999999</v>
      </c>
      <c r="AC6200" s="5">
        <v>286.7</v>
      </c>
    </row>
    <row r="6201" spans="1:29" ht="91" x14ac:dyDescent="0.15">
      <c r="A6201" s="3">
        <f>DATE(2001,6,11)</f>
        <v>37053</v>
      </c>
      <c r="B6201" s="3">
        <f>DATE(2001,9,25)</f>
        <v>37159</v>
      </c>
      <c r="C6201" s="2" t="s">
        <v>95</v>
      </c>
      <c r="D6201" s="2" t="s">
        <v>18977</v>
      </c>
      <c r="E6201" s="2" t="s">
        <v>18978</v>
      </c>
      <c r="F6201" s="4">
        <v>8093</v>
      </c>
      <c r="G6201" s="2" t="s">
        <v>454</v>
      </c>
      <c r="H6201" s="2" t="s">
        <v>34</v>
      </c>
      <c r="I6201" s="2" t="s">
        <v>18979</v>
      </c>
      <c r="J6201" s="2" t="s">
        <v>3461</v>
      </c>
      <c r="K6201" s="2" t="s">
        <v>130</v>
      </c>
      <c r="L6201" s="2" t="s">
        <v>8464</v>
      </c>
      <c r="M6201" s="2"/>
      <c r="N6201" s="2"/>
      <c r="O6201" s="2"/>
      <c r="P6201" s="2" t="s">
        <v>18980</v>
      </c>
      <c r="Q6201" s="6">
        <v>100</v>
      </c>
      <c r="R6201" s="2"/>
      <c r="S6201" s="5">
        <v>2.5</v>
      </c>
      <c r="T6201" s="5">
        <v>9.6</v>
      </c>
      <c r="U6201" s="5">
        <v>3.6</v>
      </c>
      <c r="V6201" s="6">
        <v>0.16</v>
      </c>
      <c r="W6201" s="6">
        <v>6.65</v>
      </c>
      <c r="X6201" s="5">
        <v>7.5</v>
      </c>
      <c r="Y6201" s="6">
        <v>7.01</v>
      </c>
      <c r="Z6201" s="6">
        <v>7.24</v>
      </c>
      <c r="AA6201" s="6">
        <v>9.74</v>
      </c>
      <c r="AB6201" s="7">
        <v>20.081</v>
      </c>
      <c r="AC6201" s="2"/>
    </row>
    <row r="6202" spans="1:29" ht="91" x14ac:dyDescent="0.15">
      <c r="A6202" s="3">
        <f>DATE(2001,6,12)</f>
        <v>37054</v>
      </c>
      <c r="B6202" s="3">
        <f>DATE(2001,8,15)</f>
        <v>37118</v>
      </c>
      <c r="C6202" s="2" t="s">
        <v>95</v>
      </c>
      <c r="D6202" s="2" t="s">
        <v>18981</v>
      </c>
      <c r="E6202" s="2" t="s">
        <v>18982</v>
      </c>
      <c r="F6202" s="4">
        <v>7373</v>
      </c>
      <c r="G6202" s="2" t="s">
        <v>223</v>
      </c>
      <c r="H6202" s="2" t="s">
        <v>34</v>
      </c>
      <c r="I6202" s="2" t="s">
        <v>18983</v>
      </c>
      <c r="J6202" s="2" t="s">
        <v>3669</v>
      </c>
      <c r="K6202" s="2" t="s">
        <v>223</v>
      </c>
      <c r="L6202" s="2" t="s">
        <v>34</v>
      </c>
      <c r="M6202" s="2"/>
      <c r="N6202" s="2"/>
      <c r="O6202" s="2"/>
      <c r="P6202" s="2" t="s">
        <v>18984</v>
      </c>
      <c r="Q6202" s="6">
        <v>100</v>
      </c>
      <c r="R6202" s="6">
        <v>3.1</v>
      </c>
      <c r="S6202" s="5">
        <v>-7.9</v>
      </c>
      <c r="T6202" s="5">
        <v>-8.1</v>
      </c>
      <c r="U6202" s="5">
        <v>2.2000000000000002</v>
      </c>
      <c r="V6202" s="6">
        <v>-0.54</v>
      </c>
      <c r="W6202" s="6">
        <v>1.74</v>
      </c>
      <c r="X6202" s="5">
        <v>1.9</v>
      </c>
      <c r="Y6202" s="6">
        <v>2.69</v>
      </c>
      <c r="Z6202" s="6">
        <v>2.73</v>
      </c>
      <c r="AA6202" s="6">
        <v>15.5</v>
      </c>
      <c r="AB6202" s="2" t="s">
        <v>86</v>
      </c>
      <c r="AC6202" s="2"/>
    </row>
    <row r="6203" spans="1:29" ht="65" x14ac:dyDescent="0.15">
      <c r="A6203" s="3">
        <f>DATE(2001,6,13)</f>
        <v>37055</v>
      </c>
      <c r="B6203" s="3">
        <f>DATE(2001,6,13)</f>
        <v>37055</v>
      </c>
      <c r="C6203" s="2" t="s">
        <v>95</v>
      </c>
      <c r="D6203" s="2" t="s">
        <v>18985</v>
      </c>
      <c r="E6203" s="2" t="s">
        <v>18986</v>
      </c>
      <c r="F6203" s="4">
        <v>5047</v>
      </c>
      <c r="G6203" s="2" t="s">
        <v>76</v>
      </c>
      <c r="H6203" s="2" t="s">
        <v>34</v>
      </c>
      <c r="I6203" s="2" t="s">
        <v>18987</v>
      </c>
      <c r="J6203" s="2" t="s">
        <v>80</v>
      </c>
      <c r="K6203" s="2" t="s">
        <v>53</v>
      </c>
      <c r="L6203" s="2" t="s">
        <v>34</v>
      </c>
      <c r="M6203" s="2"/>
      <c r="N6203" s="2"/>
      <c r="O6203" s="2"/>
      <c r="P6203" s="2" t="s">
        <v>18988</v>
      </c>
      <c r="Q6203" s="6">
        <v>100</v>
      </c>
      <c r="R6203" s="2"/>
      <c r="S6203" s="5">
        <v>-0.2</v>
      </c>
      <c r="T6203" s="7">
        <v>0.17299999999999999</v>
      </c>
      <c r="U6203" s="5">
        <v>9.8000000000000007</v>
      </c>
      <c r="V6203" s="7">
        <v>-1.6579999999999999</v>
      </c>
      <c r="W6203" s="5">
        <v>0.4</v>
      </c>
      <c r="X6203" s="6">
        <v>2.88</v>
      </c>
      <c r="Y6203" s="4">
        <v>5</v>
      </c>
      <c r="Z6203" s="4">
        <v>3</v>
      </c>
      <c r="AA6203" s="2"/>
      <c r="AB6203" s="2" t="s">
        <v>47</v>
      </c>
      <c r="AC6203" s="2"/>
    </row>
    <row r="6204" spans="1:29" ht="169" x14ac:dyDescent="0.15">
      <c r="A6204" s="3">
        <f>DATE(2001,6,13)</f>
        <v>37055</v>
      </c>
      <c r="B6204" s="3">
        <f>DATE(2001,11,16)</f>
        <v>37211</v>
      </c>
      <c r="C6204" s="2" t="s">
        <v>95</v>
      </c>
      <c r="D6204" s="2" t="s">
        <v>18989</v>
      </c>
      <c r="E6204" s="2" t="s">
        <v>10887</v>
      </c>
      <c r="F6204" s="4">
        <v>2834</v>
      </c>
      <c r="G6204" s="2" t="s">
        <v>130</v>
      </c>
      <c r="H6204" s="2" t="s">
        <v>34</v>
      </c>
      <c r="I6204" s="2" t="s">
        <v>18990</v>
      </c>
      <c r="J6204" s="2" t="s">
        <v>18991</v>
      </c>
      <c r="K6204" s="2" t="s">
        <v>223</v>
      </c>
      <c r="L6204" s="2" t="s">
        <v>34</v>
      </c>
      <c r="M6204" s="2"/>
      <c r="N6204" s="2"/>
      <c r="O6204" s="2"/>
      <c r="P6204" s="2" t="s">
        <v>18992</v>
      </c>
      <c r="Q6204" s="6">
        <v>100</v>
      </c>
      <c r="R6204" s="6">
        <v>3.85</v>
      </c>
      <c r="S6204" s="5">
        <v>-53.8</v>
      </c>
      <c r="T6204" s="5">
        <v>-30.9</v>
      </c>
      <c r="U6204" s="5">
        <v>1.9</v>
      </c>
      <c r="V6204" s="6">
        <v>-1.47</v>
      </c>
      <c r="W6204" s="6">
        <v>3.33</v>
      </c>
      <c r="X6204" s="6">
        <v>3.45</v>
      </c>
      <c r="Y6204" s="6">
        <v>4.3600000000000003</v>
      </c>
      <c r="Z6204" s="6">
        <v>4.2699999999999996</v>
      </c>
      <c r="AA6204" s="6">
        <v>37.53</v>
      </c>
      <c r="AB6204" s="2" t="s">
        <v>86</v>
      </c>
      <c r="AC6204" s="5">
        <v>569.9</v>
      </c>
    </row>
    <row r="6205" spans="1:29" ht="117" x14ac:dyDescent="0.15">
      <c r="A6205" s="3">
        <f>DATE(2001,6,13)</f>
        <v>37055</v>
      </c>
      <c r="B6205" s="3">
        <f>DATE(2001,8,9)</f>
        <v>37112</v>
      </c>
      <c r="C6205" s="2" t="s">
        <v>95</v>
      </c>
      <c r="D6205" s="2" t="s">
        <v>18993</v>
      </c>
      <c r="E6205" s="2" t="s">
        <v>18994</v>
      </c>
      <c r="F6205" s="4">
        <v>3669</v>
      </c>
      <c r="G6205" s="2" t="s">
        <v>921</v>
      </c>
      <c r="H6205" s="2" t="s">
        <v>34</v>
      </c>
      <c r="I6205" s="2" t="s">
        <v>18995</v>
      </c>
      <c r="J6205" s="2" t="s">
        <v>3669</v>
      </c>
      <c r="K6205" s="2" t="s">
        <v>551</v>
      </c>
      <c r="L6205" s="2" t="s">
        <v>34</v>
      </c>
      <c r="M6205" s="2"/>
      <c r="N6205" s="2"/>
      <c r="O6205" s="2"/>
      <c r="P6205" s="2" t="s">
        <v>18996</v>
      </c>
      <c r="Q6205" s="6">
        <v>100</v>
      </c>
      <c r="R6205" s="6">
        <v>8.15</v>
      </c>
      <c r="S6205" s="5">
        <v>0.8</v>
      </c>
      <c r="T6205" s="5">
        <v>0.3</v>
      </c>
      <c r="U6205" s="5">
        <v>3.5</v>
      </c>
      <c r="V6205" s="6">
        <v>7.0000000000000007E-2</v>
      </c>
      <c r="W6205" s="6">
        <v>3.69</v>
      </c>
      <c r="X6205" s="5">
        <v>4.2</v>
      </c>
      <c r="Y6205" s="6">
        <v>7.99</v>
      </c>
      <c r="Z6205" s="6">
        <v>7.98</v>
      </c>
      <c r="AA6205" s="6">
        <v>8.58</v>
      </c>
      <c r="AB6205" s="2" t="s">
        <v>86</v>
      </c>
      <c r="AC6205" s="2"/>
    </row>
    <row r="6206" spans="1:29" ht="143" x14ac:dyDescent="0.15">
      <c r="A6206" s="3">
        <f>DATE(2001,6,13)</f>
        <v>37055</v>
      </c>
      <c r="B6206" s="3">
        <f>DATE(2002,1,22)</f>
        <v>37278</v>
      </c>
      <c r="C6206" s="2" t="s">
        <v>95</v>
      </c>
      <c r="D6206" s="2" t="s">
        <v>18997</v>
      </c>
      <c r="E6206" s="2" t="s">
        <v>1181</v>
      </c>
      <c r="F6206" s="4">
        <v>6021</v>
      </c>
      <c r="G6206" s="2" t="s">
        <v>37</v>
      </c>
      <c r="H6206" s="2" t="s">
        <v>34</v>
      </c>
      <c r="I6206" s="2" t="s">
        <v>18998</v>
      </c>
      <c r="J6206" s="2" t="s">
        <v>672</v>
      </c>
      <c r="K6206" s="2" t="s">
        <v>37</v>
      </c>
      <c r="L6206" s="2" t="s">
        <v>34</v>
      </c>
      <c r="M6206" s="7">
        <v>104.461</v>
      </c>
      <c r="N6206" s="4">
        <v>25</v>
      </c>
      <c r="O6206" s="4">
        <v>25</v>
      </c>
      <c r="P6206" s="2" t="s">
        <v>18999</v>
      </c>
      <c r="Q6206" s="6">
        <v>100</v>
      </c>
      <c r="R6206" s="6">
        <v>35.979999999999997</v>
      </c>
      <c r="S6206" s="5">
        <v>4.9000000000000004</v>
      </c>
      <c r="T6206" s="2"/>
      <c r="U6206" s="5">
        <v>22.3</v>
      </c>
      <c r="V6206" s="6">
        <v>2.1</v>
      </c>
      <c r="W6206" s="4">
        <v>30</v>
      </c>
      <c r="X6206" s="6">
        <v>28.75</v>
      </c>
      <c r="Y6206" s="4">
        <v>33</v>
      </c>
      <c r="Z6206" s="6">
        <v>32.75</v>
      </c>
      <c r="AA6206" s="6">
        <v>2.31</v>
      </c>
      <c r="AB6206" s="7">
        <v>14.55</v>
      </c>
      <c r="AC6206" s="2"/>
    </row>
    <row r="6207" spans="1:29" ht="169" x14ac:dyDescent="0.15">
      <c r="A6207" s="3">
        <f>DATE(2001,6,14)</f>
        <v>37056</v>
      </c>
      <c r="B6207" s="3">
        <f>DATE(2001,9,18)</f>
        <v>37152</v>
      </c>
      <c r="C6207" s="2" t="s">
        <v>95</v>
      </c>
      <c r="D6207" s="2" t="s">
        <v>12075</v>
      </c>
      <c r="E6207" s="2" t="s">
        <v>12076</v>
      </c>
      <c r="F6207" s="4">
        <v>7379</v>
      </c>
      <c r="G6207" s="2" t="s">
        <v>223</v>
      </c>
      <c r="H6207" s="2" t="s">
        <v>34</v>
      </c>
      <c r="I6207" s="2" t="s">
        <v>19000</v>
      </c>
      <c r="J6207" s="2" t="s">
        <v>1464</v>
      </c>
      <c r="K6207" s="2" t="s">
        <v>223</v>
      </c>
      <c r="L6207" s="2" t="s">
        <v>34</v>
      </c>
      <c r="M6207" s="7">
        <v>401.50099999999998</v>
      </c>
      <c r="N6207" s="6">
        <v>6.63</v>
      </c>
      <c r="O6207" s="6">
        <v>6.17</v>
      </c>
      <c r="P6207" s="2" t="s">
        <v>19001</v>
      </c>
      <c r="Q6207" s="6">
        <v>100</v>
      </c>
      <c r="R6207" s="6">
        <v>2.42</v>
      </c>
      <c r="S6207" s="5">
        <v>-9.6</v>
      </c>
      <c r="T6207" s="5">
        <v>-4</v>
      </c>
      <c r="U6207" s="5">
        <v>4</v>
      </c>
      <c r="V6207" s="6">
        <v>-0.78</v>
      </c>
      <c r="W6207" s="4">
        <v>2</v>
      </c>
      <c r="X6207" s="6">
        <v>1.88</v>
      </c>
      <c r="Y6207" s="5">
        <v>2.4</v>
      </c>
      <c r="Z6207" s="6">
        <v>2.37</v>
      </c>
      <c r="AA6207" s="6">
        <v>11.32</v>
      </c>
      <c r="AB6207" s="2" t="s">
        <v>86</v>
      </c>
      <c r="AC6207" s="5">
        <v>5.9</v>
      </c>
    </row>
    <row r="6208" spans="1:29" ht="169" x14ac:dyDescent="0.15">
      <c r="A6208" s="3">
        <f>DATE(2001,6,14)</f>
        <v>37056</v>
      </c>
      <c r="B6208" s="3">
        <f>DATE(2001,12,10)</f>
        <v>37235</v>
      </c>
      <c r="C6208" s="2" t="s">
        <v>95</v>
      </c>
      <c r="D6208" s="2" t="s">
        <v>17817</v>
      </c>
      <c r="E6208" s="2" t="s">
        <v>17818</v>
      </c>
      <c r="F6208" s="4">
        <v>6035</v>
      </c>
      <c r="G6208" s="2" t="s">
        <v>33</v>
      </c>
      <c r="H6208" s="2" t="s">
        <v>34</v>
      </c>
      <c r="I6208" s="2" t="s">
        <v>2392</v>
      </c>
      <c r="J6208" s="2" t="s">
        <v>36</v>
      </c>
      <c r="K6208" s="2" t="s">
        <v>37</v>
      </c>
      <c r="L6208" s="2" t="s">
        <v>34</v>
      </c>
      <c r="M6208" s="7">
        <v>995.447</v>
      </c>
      <c r="N6208" s="6">
        <v>23.92</v>
      </c>
      <c r="O6208" s="6">
        <v>24.05</v>
      </c>
      <c r="P6208" s="2" t="s">
        <v>19002</v>
      </c>
      <c r="Q6208" s="6">
        <v>100</v>
      </c>
      <c r="R6208" s="6">
        <v>14.5</v>
      </c>
      <c r="S6208" s="5">
        <v>0</v>
      </c>
      <c r="T6208" s="5">
        <v>1.4</v>
      </c>
      <c r="U6208" s="5">
        <v>6</v>
      </c>
      <c r="V6208" s="6">
        <v>0.11</v>
      </c>
      <c r="W6208" s="6">
        <v>7.75</v>
      </c>
      <c r="X6208" s="4">
        <v>8</v>
      </c>
      <c r="Y6208" s="5">
        <v>13.1</v>
      </c>
      <c r="Z6208" s="6">
        <v>13.45</v>
      </c>
      <c r="AA6208" s="6">
        <v>4.0999999999999996</v>
      </c>
      <c r="AB6208" s="7">
        <v>1046.3820000000001</v>
      </c>
      <c r="AC6208" s="5">
        <v>155.6</v>
      </c>
    </row>
    <row r="6209" spans="1:29" ht="156" x14ac:dyDescent="0.15">
      <c r="A6209" s="3">
        <f>DATE(2001,6,14)</f>
        <v>37056</v>
      </c>
      <c r="B6209" s="3">
        <f>DATE(2002,1,18)</f>
        <v>37274</v>
      </c>
      <c r="C6209" s="2" t="s">
        <v>95</v>
      </c>
      <c r="D6209" s="2" t="s">
        <v>19003</v>
      </c>
      <c r="E6209" s="2" t="s">
        <v>265</v>
      </c>
      <c r="F6209" s="4">
        <v>6022</v>
      </c>
      <c r="G6209" s="2" t="s">
        <v>37</v>
      </c>
      <c r="H6209" s="2" t="s">
        <v>34</v>
      </c>
      <c r="I6209" s="2" t="s">
        <v>8872</v>
      </c>
      <c r="J6209" s="2" t="s">
        <v>8873</v>
      </c>
      <c r="K6209" s="2" t="s">
        <v>37</v>
      </c>
      <c r="L6209" s="2" t="s">
        <v>34</v>
      </c>
      <c r="M6209" s="7">
        <v>592.59699999999998</v>
      </c>
      <c r="N6209" s="6">
        <v>26.18</v>
      </c>
      <c r="O6209" s="4">
        <v>26</v>
      </c>
      <c r="P6209" s="2" t="s">
        <v>19004</v>
      </c>
      <c r="Q6209" s="6">
        <v>100</v>
      </c>
      <c r="R6209" s="6">
        <v>24.76</v>
      </c>
      <c r="S6209" s="5">
        <v>16.7</v>
      </c>
      <c r="T6209" s="5">
        <v>27.9</v>
      </c>
      <c r="U6209" s="5">
        <v>11.3</v>
      </c>
      <c r="V6209" s="6">
        <v>1.05</v>
      </c>
      <c r="W6209" s="6">
        <v>19.989999999999998</v>
      </c>
      <c r="X6209" s="6">
        <v>19.760000000000002</v>
      </c>
      <c r="Y6209" s="6">
        <v>23.48</v>
      </c>
      <c r="Z6209" s="6">
        <v>23.44</v>
      </c>
      <c r="AA6209" s="6">
        <v>14.95</v>
      </c>
      <c r="AB6209" s="7">
        <v>95.894999999999996</v>
      </c>
      <c r="AC6209" s="5">
        <v>141.80000000000001</v>
      </c>
    </row>
    <row r="6210" spans="1:29" ht="65" x14ac:dyDescent="0.15">
      <c r="A6210" s="3">
        <f>DATE(2001,6,14)</f>
        <v>37056</v>
      </c>
      <c r="B6210" s="3">
        <f>DATE(2001,11,30)</f>
        <v>37225</v>
      </c>
      <c r="C6210" s="2" t="s">
        <v>95</v>
      </c>
      <c r="D6210" s="2" t="s">
        <v>19005</v>
      </c>
      <c r="E6210" s="2" t="s">
        <v>36</v>
      </c>
      <c r="F6210" s="4">
        <v>6035</v>
      </c>
      <c r="G6210" s="2" t="s">
        <v>33</v>
      </c>
      <c r="H6210" s="2" t="s">
        <v>34</v>
      </c>
      <c r="I6210" s="2" t="s">
        <v>19006</v>
      </c>
      <c r="J6210" s="2" t="s">
        <v>1072</v>
      </c>
      <c r="K6210" s="2" t="s">
        <v>53</v>
      </c>
      <c r="L6210" s="2" t="s">
        <v>34</v>
      </c>
      <c r="M6210" s="2"/>
      <c r="N6210" s="2"/>
      <c r="O6210" s="2"/>
      <c r="P6210" s="2" t="s">
        <v>19007</v>
      </c>
      <c r="Q6210" s="6">
        <v>100</v>
      </c>
      <c r="R6210" s="6">
        <v>14</v>
      </c>
      <c r="S6210" s="5">
        <v>1</v>
      </c>
      <c r="T6210" s="2"/>
      <c r="U6210" s="5">
        <v>12.5</v>
      </c>
      <c r="V6210" s="6">
        <v>0.9</v>
      </c>
      <c r="W6210" s="5">
        <v>12.1</v>
      </c>
      <c r="X6210" s="5">
        <v>12.1</v>
      </c>
      <c r="Y6210" s="6">
        <v>13.61</v>
      </c>
      <c r="Z6210" s="6">
        <v>13.62</v>
      </c>
      <c r="AA6210" s="6">
        <v>1.26</v>
      </c>
      <c r="AB6210" s="7">
        <v>77.438000000000002</v>
      </c>
      <c r="AC6210" s="2"/>
    </row>
    <row r="6211" spans="1:29" ht="195" x14ac:dyDescent="0.15">
      <c r="A6211" s="3">
        <f>DATE(2001,6,17)</f>
        <v>37059</v>
      </c>
      <c r="B6211" s="3">
        <f>DATE(2001,11,9)</f>
        <v>37204</v>
      </c>
      <c r="C6211" s="2" t="s">
        <v>95</v>
      </c>
      <c r="D6211" s="2" t="s">
        <v>19008</v>
      </c>
      <c r="E6211" s="2" t="s">
        <v>265</v>
      </c>
      <c r="F6211" s="4">
        <v>6712</v>
      </c>
      <c r="G6211" s="2" t="s">
        <v>37</v>
      </c>
      <c r="H6211" s="2" t="s">
        <v>34</v>
      </c>
      <c r="I6211" s="2" t="s">
        <v>13566</v>
      </c>
      <c r="J6211" s="2" t="s">
        <v>36</v>
      </c>
      <c r="K6211" s="2" t="s">
        <v>37</v>
      </c>
      <c r="L6211" s="2" t="s">
        <v>34</v>
      </c>
      <c r="M6211" s="7">
        <v>350.43799999999999</v>
      </c>
      <c r="N6211" s="6">
        <v>14.08</v>
      </c>
      <c r="O6211" s="6">
        <v>14.08</v>
      </c>
      <c r="P6211" s="2" t="s">
        <v>19009</v>
      </c>
      <c r="Q6211" s="6">
        <v>100</v>
      </c>
      <c r="R6211" s="6">
        <v>16.260000000000002</v>
      </c>
      <c r="S6211" s="5">
        <v>2.5</v>
      </c>
      <c r="T6211" s="2"/>
      <c r="U6211" s="5">
        <v>14.7</v>
      </c>
      <c r="V6211" s="6">
        <v>1.01</v>
      </c>
      <c r="W6211" s="6">
        <v>10.35</v>
      </c>
      <c r="X6211" s="6">
        <v>10.25</v>
      </c>
      <c r="Y6211" s="2"/>
      <c r="Z6211" s="5">
        <v>14.8</v>
      </c>
      <c r="AA6211" s="6">
        <v>2.44</v>
      </c>
      <c r="AB6211" s="7">
        <v>49.765000000000001</v>
      </c>
      <c r="AC6211" s="5">
        <v>58.5</v>
      </c>
    </row>
    <row r="6212" spans="1:29" ht="65" x14ac:dyDescent="0.15">
      <c r="A6212" s="3">
        <f>DATE(2001,6,18)</f>
        <v>37060</v>
      </c>
      <c r="B6212" s="3">
        <f>DATE(2001,8,17)</f>
        <v>37120</v>
      </c>
      <c r="C6212" s="2" t="s">
        <v>95</v>
      </c>
      <c r="D6212" s="2" t="s">
        <v>19010</v>
      </c>
      <c r="E6212" s="2" t="s">
        <v>849</v>
      </c>
      <c r="F6212" s="4">
        <v>7372</v>
      </c>
      <c r="G6212" s="2" t="s">
        <v>551</v>
      </c>
      <c r="H6212" s="2" t="s">
        <v>34</v>
      </c>
      <c r="I6212" s="2" t="s">
        <v>6347</v>
      </c>
      <c r="J6212" s="2" t="s">
        <v>6348</v>
      </c>
      <c r="K6212" s="2" t="s">
        <v>223</v>
      </c>
      <c r="L6212" s="2" t="s">
        <v>34</v>
      </c>
      <c r="M6212" s="12">
        <v>35444.233</v>
      </c>
      <c r="N6212" s="6">
        <v>52.23</v>
      </c>
      <c r="O6212" s="6">
        <v>52.34</v>
      </c>
      <c r="P6212" s="2" t="s">
        <v>19011</v>
      </c>
      <c r="Q6212" s="6">
        <v>100</v>
      </c>
      <c r="R6212" s="6">
        <v>22</v>
      </c>
      <c r="S6212" s="5">
        <v>2.8</v>
      </c>
      <c r="T6212" s="2"/>
      <c r="U6212" s="5">
        <v>3.8</v>
      </c>
      <c r="V6212" s="6">
        <v>0.77</v>
      </c>
      <c r="W6212" s="6">
        <v>19.350000000000001</v>
      </c>
      <c r="X6212" s="5">
        <v>17.5</v>
      </c>
      <c r="Y6212" s="6">
        <v>21.52</v>
      </c>
      <c r="Z6212" s="6">
        <v>21.53</v>
      </c>
      <c r="AA6212" s="6">
        <v>3.27</v>
      </c>
      <c r="AB6212" s="2" t="s">
        <v>47</v>
      </c>
      <c r="AC6212" s="8">
        <v>1165.7</v>
      </c>
    </row>
    <row r="6213" spans="1:29" ht="312" x14ac:dyDescent="0.15">
      <c r="A6213" s="3">
        <f>DATE(2001,6,18)</f>
        <v>37060</v>
      </c>
      <c r="B6213" s="3">
        <f>DATE(2001,10,1)</f>
        <v>37165</v>
      </c>
      <c r="C6213" s="2" t="s">
        <v>95</v>
      </c>
      <c r="D6213" s="2" t="s">
        <v>19012</v>
      </c>
      <c r="E6213" s="2" t="s">
        <v>19013</v>
      </c>
      <c r="F6213" s="4">
        <v>4724</v>
      </c>
      <c r="G6213" s="2" t="s">
        <v>173</v>
      </c>
      <c r="H6213" s="2" t="s">
        <v>34</v>
      </c>
      <c r="I6213" s="2" t="s">
        <v>9795</v>
      </c>
      <c r="J6213" s="2" t="s">
        <v>2071</v>
      </c>
      <c r="K6213" s="2" t="s">
        <v>109</v>
      </c>
      <c r="L6213" s="2" t="s">
        <v>34</v>
      </c>
      <c r="M6213" s="12">
        <v>15503.066000000001</v>
      </c>
      <c r="N6213" s="6">
        <v>19.02</v>
      </c>
      <c r="O6213" s="6">
        <v>19.559999999999999</v>
      </c>
      <c r="P6213" s="2" t="s">
        <v>19014</v>
      </c>
      <c r="Q6213" s="6">
        <v>100</v>
      </c>
      <c r="R6213" s="6">
        <v>31.66</v>
      </c>
      <c r="S6213" s="5">
        <v>152.1</v>
      </c>
      <c r="T6213" s="5">
        <v>569.20000000000005</v>
      </c>
      <c r="U6213" s="5">
        <v>5.6</v>
      </c>
      <c r="V6213" s="6">
        <v>1.7</v>
      </c>
      <c r="W6213" s="7">
        <v>15.563000000000001</v>
      </c>
      <c r="X6213" s="5">
        <v>19.5</v>
      </c>
      <c r="Y6213" s="9">
        <v>18.5625</v>
      </c>
      <c r="Z6213" s="9">
        <v>18.5625</v>
      </c>
      <c r="AA6213" s="6">
        <v>87.56</v>
      </c>
      <c r="AB6213" s="7">
        <v>10.218</v>
      </c>
      <c r="AC6213" s="8">
        <v>2099</v>
      </c>
    </row>
    <row r="6214" spans="1:29" ht="91" x14ac:dyDescent="0.15">
      <c r="A6214" s="3">
        <f>DATE(2001,6,18)</f>
        <v>37060</v>
      </c>
      <c r="B6214" s="3">
        <f>DATE(2001,10,11)</f>
        <v>37175</v>
      </c>
      <c r="C6214" s="2" t="s">
        <v>95</v>
      </c>
      <c r="D6214" s="2" t="s">
        <v>19015</v>
      </c>
      <c r="E6214" s="2" t="s">
        <v>19016</v>
      </c>
      <c r="F6214" s="4">
        <v>2048</v>
      </c>
      <c r="G6214" s="2" t="s">
        <v>577</v>
      </c>
      <c r="H6214" s="2" t="s">
        <v>34</v>
      </c>
      <c r="I6214" s="2" t="s">
        <v>2142</v>
      </c>
      <c r="J6214" s="2" t="s">
        <v>2143</v>
      </c>
      <c r="K6214" s="2" t="s">
        <v>577</v>
      </c>
      <c r="L6214" s="2" t="s">
        <v>34</v>
      </c>
      <c r="M6214" s="2"/>
      <c r="N6214" s="2"/>
      <c r="O6214" s="2"/>
      <c r="P6214" s="2" t="s">
        <v>19017</v>
      </c>
      <c r="Q6214" s="6">
        <v>100</v>
      </c>
      <c r="R6214" s="6">
        <v>23</v>
      </c>
      <c r="S6214" s="5">
        <v>-0.5</v>
      </c>
      <c r="T6214" s="5">
        <v>32.799999999999997</v>
      </c>
      <c r="U6214" s="5">
        <v>18.3</v>
      </c>
      <c r="V6214" s="6">
        <v>-0.05</v>
      </c>
      <c r="W6214" s="5">
        <v>19.5</v>
      </c>
      <c r="X6214" s="5">
        <v>19.3</v>
      </c>
      <c r="Y6214" s="6">
        <v>22.19</v>
      </c>
      <c r="Z6214" s="6">
        <v>22.25</v>
      </c>
      <c r="AA6214" s="6">
        <v>10</v>
      </c>
      <c r="AB6214" s="7">
        <v>31.047000000000001</v>
      </c>
      <c r="AC6214" s="2"/>
    </row>
    <row r="6215" spans="1:29" ht="117" x14ac:dyDescent="0.15">
      <c r="A6215" s="3">
        <f>DATE(2001,6,19)</f>
        <v>37061</v>
      </c>
      <c r="B6215" s="3">
        <f>DATE(2001,11,8)</f>
        <v>37203</v>
      </c>
      <c r="C6215" s="2" t="s">
        <v>95</v>
      </c>
      <c r="D6215" s="2" t="s">
        <v>19018</v>
      </c>
      <c r="E6215" s="2" t="s">
        <v>265</v>
      </c>
      <c r="F6215" s="4">
        <v>6022</v>
      </c>
      <c r="G6215" s="2" t="s">
        <v>37</v>
      </c>
      <c r="H6215" s="2" t="s">
        <v>34</v>
      </c>
      <c r="I6215" s="2" t="s">
        <v>3099</v>
      </c>
      <c r="J6215" s="2" t="s">
        <v>265</v>
      </c>
      <c r="K6215" s="2" t="s">
        <v>37</v>
      </c>
      <c r="L6215" s="2" t="s">
        <v>34</v>
      </c>
      <c r="M6215" s="7">
        <v>369.47199999999998</v>
      </c>
      <c r="N6215" s="6">
        <v>15.15</v>
      </c>
      <c r="O6215" s="6">
        <v>15.22</v>
      </c>
      <c r="P6215" s="2" t="s">
        <v>19019</v>
      </c>
      <c r="Q6215" s="6">
        <v>100</v>
      </c>
      <c r="R6215" s="6">
        <v>18.3</v>
      </c>
      <c r="S6215" s="5">
        <v>6.9</v>
      </c>
      <c r="T6215" s="5">
        <v>12.2</v>
      </c>
      <c r="U6215" s="5">
        <v>8.6999999999999993</v>
      </c>
      <c r="V6215" s="6">
        <v>0.91</v>
      </c>
      <c r="W6215" s="5">
        <v>13.5</v>
      </c>
      <c r="X6215" s="6">
        <v>13.74</v>
      </c>
      <c r="Y6215" s="5">
        <v>17.5</v>
      </c>
      <c r="Z6215" s="5">
        <v>17.600000000000001</v>
      </c>
      <c r="AA6215" s="6">
        <v>7.47</v>
      </c>
      <c r="AB6215" s="7">
        <v>103.67100000000001</v>
      </c>
      <c r="AC6215" s="5">
        <v>100.4</v>
      </c>
    </row>
    <row r="6216" spans="1:29" ht="78" x14ac:dyDescent="0.15">
      <c r="A6216" s="3">
        <f>DATE(2001,6,22)</f>
        <v>37064</v>
      </c>
      <c r="B6216" s="3">
        <f>DATE(2001,11,1)</f>
        <v>37196</v>
      </c>
      <c r="C6216" s="2" t="s">
        <v>95</v>
      </c>
      <c r="D6216" s="2" t="s">
        <v>17987</v>
      </c>
      <c r="E6216" s="2" t="s">
        <v>265</v>
      </c>
      <c r="F6216" s="4">
        <v>6021</v>
      </c>
      <c r="G6216" s="2" t="s">
        <v>37</v>
      </c>
      <c r="H6216" s="2" t="s">
        <v>34</v>
      </c>
      <c r="I6216" s="2" t="s">
        <v>8169</v>
      </c>
      <c r="J6216" s="2" t="s">
        <v>36</v>
      </c>
      <c r="K6216" s="2" t="s">
        <v>37</v>
      </c>
      <c r="L6216" s="2" t="s">
        <v>34</v>
      </c>
      <c r="M6216" s="7">
        <v>353.97199999999998</v>
      </c>
      <c r="N6216" s="6">
        <v>26.25</v>
      </c>
      <c r="O6216" s="6">
        <v>26.32</v>
      </c>
      <c r="P6216" s="2" t="s">
        <v>19020</v>
      </c>
      <c r="Q6216" s="6">
        <v>100</v>
      </c>
      <c r="R6216" s="6">
        <v>18.5</v>
      </c>
      <c r="S6216" s="5">
        <v>1.5</v>
      </c>
      <c r="T6216" s="7">
        <v>6.681</v>
      </c>
      <c r="U6216" s="5">
        <v>11.7</v>
      </c>
      <c r="V6216" s="6">
        <v>0.56999999999999995</v>
      </c>
      <c r="W6216" s="6">
        <v>14.25</v>
      </c>
      <c r="X6216" s="6">
        <v>14.65</v>
      </c>
      <c r="Y6216" s="4">
        <v>15</v>
      </c>
      <c r="Z6216" s="6">
        <v>17.75</v>
      </c>
      <c r="AA6216" s="6">
        <v>2.54</v>
      </c>
      <c r="AB6216" s="7">
        <v>110.73099999999999</v>
      </c>
      <c r="AC6216" s="5">
        <v>219.6</v>
      </c>
    </row>
    <row r="6217" spans="1:29" ht="117" x14ac:dyDescent="0.15">
      <c r="A6217" s="3">
        <f>DATE(2001,6,22)</f>
        <v>37064</v>
      </c>
      <c r="B6217" s="3">
        <f>DATE(2001,12,31)</f>
        <v>37256</v>
      </c>
      <c r="C6217" s="2" t="s">
        <v>95</v>
      </c>
      <c r="D6217" s="2" t="s">
        <v>18165</v>
      </c>
      <c r="E6217" s="2" t="s">
        <v>36</v>
      </c>
      <c r="F6217" s="4">
        <v>6022</v>
      </c>
      <c r="G6217" s="2" t="s">
        <v>37</v>
      </c>
      <c r="H6217" s="2" t="s">
        <v>34</v>
      </c>
      <c r="I6217" s="2" t="s">
        <v>17438</v>
      </c>
      <c r="J6217" s="2" t="s">
        <v>36</v>
      </c>
      <c r="K6217" s="2" t="s">
        <v>33</v>
      </c>
      <c r="L6217" s="2" t="s">
        <v>34</v>
      </c>
      <c r="M6217" s="7">
        <v>220.79900000000001</v>
      </c>
      <c r="N6217" s="5">
        <v>11.6</v>
      </c>
      <c r="O6217" s="5">
        <v>11.8</v>
      </c>
      <c r="P6217" s="2" t="s">
        <v>19021</v>
      </c>
      <c r="Q6217" s="6">
        <v>100</v>
      </c>
      <c r="R6217" s="6">
        <v>9.9700000000000006</v>
      </c>
      <c r="S6217" s="5">
        <v>2.4</v>
      </c>
      <c r="T6217" s="2"/>
      <c r="U6217" s="5">
        <v>6.2</v>
      </c>
      <c r="V6217" s="9">
        <v>0.44779999999999998</v>
      </c>
      <c r="W6217" s="4">
        <v>5</v>
      </c>
      <c r="X6217" s="6">
        <v>5.15</v>
      </c>
      <c r="Y6217" s="4">
        <v>9</v>
      </c>
      <c r="Z6217" s="5">
        <v>9.1</v>
      </c>
      <c r="AA6217" s="6">
        <v>5.42</v>
      </c>
      <c r="AB6217" s="7">
        <v>20.489000000000001</v>
      </c>
      <c r="AC6217" s="2"/>
    </row>
    <row r="6218" spans="1:29" ht="52" x14ac:dyDescent="0.15">
      <c r="A6218" s="3">
        <f>DATE(2001,6,22)</f>
        <v>37064</v>
      </c>
      <c r="B6218" s="2"/>
      <c r="C6218" s="2" t="s">
        <v>7330</v>
      </c>
      <c r="D6218" s="2" t="s">
        <v>19022</v>
      </c>
      <c r="E6218" s="2" t="s">
        <v>19023</v>
      </c>
      <c r="F6218" s="4">
        <v>7999</v>
      </c>
      <c r="G6218" s="2" t="s">
        <v>364</v>
      </c>
      <c r="H6218" s="2" t="s">
        <v>34</v>
      </c>
      <c r="I6218" s="2" t="s">
        <v>19024</v>
      </c>
      <c r="J6218" s="2" t="s">
        <v>19023</v>
      </c>
      <c r="K6218" s="2" t="s">
        <v>364</v>
      </c>
      <c r="L6218" s="2" t="s">
        <v>34</v>
      </c>
      <c r="M6218" s="2"/>
      <c r="N6218" s="2"/>
      <c r="O6218" s="2"/>
      <c r="P6218" s="2" t="s">
        <v>19025</v>
      </c>
      <c r="Q6218" s="2"/>
      <c r="R6218" s="2"/>
      <c r="S6218" s="5">
        <v>-16.100000000000001</v>
      </c>
      <c r="T6218" s="7">
        <v>-14.247999999999999</v>
      </c>
      <c r="U6218" s="5">
        <v>0.9</v>
      </c>
      <c r="V6218" s="6">
        <v>-0.83</v>
      </c>
      <c r="W6218" s="5">
        <v>1.2</v>
      </c>
      <c r="X6218" s="6">
        <v>1.1100000000000001</v>
      </c>
      <c r="Y6218" s="5">
        <v>1.1000000000000001</v>
      </c>
      <c r="Z6218" s="6">
        <v>1.1299999999999999</v>
      </c>
      <c r="AA6218" s="6">
        <v>19.52</v>
      </c>
      <c r="AB6218" s="2" t="s">
        <v>86</v>
      </c>
      <c r="AC6218" s="2"/>
    </row>
    <row r="6219" spans="1:29" ht="221" x14ac:dyDescent="0.15">
      <c r="A6219" s="3">
        <f>DATE(2001,6,25)</f>
        <v>37067</v>
      </c>
      <c r="B6219" s="3">
        <f>DATE(2001,9,28)</f>
        <v>37162</v>
      </c>
      <c r="C6219" s="2" t="s">
        <v>95</v>
      </c>
      <c r="D6219" s="2" t="s">
        <v>19026</v>
      </c>
      <c r="E6219" s="2" t="s">
        <v>19027</v>
      </c>
      <c r="F6219" s="4">
        <v>3663</v>
      </c>
      <c r="G6219" s="2" t="s">
        <v>921</v>
      </c>
      <c r="H6219" s="2" t="s">
        <v>34</v>
      </c>
      <c r="I6219" s="2" t="s">
        <v>11266</v>
      </c>
      <c r="J6219" s="2" t="s">
        <v>10715</v>
      </c>
      <c r="K6219" s="2" t="s">
        <v>223</v>
      </c>
      <c r="L6219" s="2" t="s">
        <v>34</v>
      </c>
      <c r="M6219" s="10">
        <v>1329.57</v>
      </c>
      <c r="N6219" s="6">
        <v>20.16</v>
      </c>
      <c r="O6219" s="5">
        <v>20.3</v>
      </c>
      <c r="P6219" s="2" t="s">
        <v>19028</v>
      </c>
      <c r="Q6219" s="6">
        <v>100</v>
      </c>
      <c r="R6219" s="6">
        <v>15.13</v>
      </c>
      <c r="S6219" s="5">
        <v>3</v>
      </c>
      <c r="T6219" s="7">
        <v>3.2010000000000001</v>
      </c>
      <c r="U6219" s="5">
        <v>13.6</v>
      </c>
      <c r="V6219" s="6">
        <v>1.06</v>
      </c>
      <c r="W6219" s="5">
        <v>14.5</v>
      </c>
      <c r="X6219" s="4">
        <v>14</v>
      </c>
      <c r="Y6219" s="4">
        <v>15</v>
      </c>
      <c r="Z6219" s="6">
        <v>14.96</v>
      </c>
      <c r="AA6219" s="6">
        <v>2.75</v>
      </c>
      <c r="AB6219" s="7">
        <v>28.786999999999999</v>
      </c>
      <c r="AC6219" s="6">
        <v>92.68</v>
      </c>
    </row>
    <row r="6220" spans="1:29" ht="130" x14ac:dyDescent="0.15">
      <c r="A6220" s="3">
        <f>DATE(2001,6,25)</f>
        <v>37067</v>
      </c>
      <c r="B6220" s="3">
        <f>DATE(2002,1,7)</f>
        <v>37263</v>
      </c>
      <c r="C6220" s="2" t="s">
        <v>95</v>
      </c>
      <c r="D6220" s="2" t="s">
        <v>8934</v>
      </c>
      <c r="E6220" s="2" t="s">
        <v>5071</v>
      </c>
      <c r="F6220" s="4">
        <v>6035</v>
      </c>
      <c r="G6220" s="2" t="s">
        <v>33</v>
      </c>
      <c r="H6220" s="2" t="s">
        <v>34</v>
      </c>
      <c r="I6220" s="2" t="s">
        <v>2324</v>
      </c>
      <c r="J6220" s="2" t="s">
        <v>14447</v>
      </c>
      <c r="K6220" s="2" t="s">
        <v>33</v>
      </c>
      <c r="L6220" s="2" t="s">
        <v>34</v>
      </c>
      <c r="M6220" s="12">
        <v>20595.022000000001</v>
      </c>
      <c r="N6220" s="4">
        <v>37</v>
      </c>
      <c r="O6220" s="6">
        <v>36.61</v>
      </c>
      <c r="P6220" s="2" t="s">
        <v>19029</v>
      </c>
      <c r="Q6220" s="6">
        <v>100</v>
      </c>
      <c r="R6220" s="6">
        <v>43.45</v>
      </c>
      <c r="S6220" s="5">
        <v>181.4</v>
      </c>
      <c r="T6220" s="2"/>
      <c r="U6220" s="5">
        <v>15</v>
      </c>
      <c r="V6220" s="6">
        <v>1.52</v>
      </c>
      <c r="W6220" s="6">
        <v>35.82</v>
      </c>
      <c r="X6220" s="6">
        <v>36.880000000000003</v>
      </c>
      <c r="Y6220" s="5">
        <v>37.9</v>
      </c>
      <c r="Z6220" s="5">
        <v>37.700000000000003</v>
      </c>
      <c r="AA6220" s="6">
        <v>114.87</v>
      </c>
      <c r="AB6220" s="7">
        <v>96.867999999999995</v>
      </c>
      <c r="AC6220" s="8">
        <v>6670</v>
      </c>
    </row>
    <row r="6221" spans="1:29" ht="143" x14ac:dyDescent="0.15">
      <c r="A6221" s="3">
        <f>DATE(2001,6,25)</f>
        <v>37067</v>
      </c>
      <c r="B6221" s="3">
        <f>DATE(2001,12,14)</f>
        <v>37239</v>
      </c>
      <c r="C6221" s="2" t="s">
        <v>95</v>
      </c>
      <c r="D6221" s="2" t="s">
        <v>8982</v>
      </c>
      <c r="E6221" s="2" t="s">
        <v>6864</v>
      </c>
      <c r="F6221" s="4">
        <v>1041</v>
      </c>
      <c r="G6221" s="2" t="s">
        <v>166</v>
      </c>
      <c r="H6221" s="2" t="s">
        <v>34</v>
      </c>
      <c r="I6221" s="2" t="s">
        <v>19030</v>
      </c>
      <c r="J6221" s="2" t="s">
        <v>1248</v>
      </c>
      <c r="K6221" s="2" t="s">
        <v>166</v>
      </c>
      <c r="L6221" s="2" t="s">
        <v>902</v>
      </c>
      <c r="M6221" s="2"/>
      <c r="N6221" s="2"/>
      <c r="O6221" s="2"/>
      <c r="P6221" s="2" t="s">
        <v>19031</v>
      </c>
      <c r="Q6221" s="6">
        <v>100</v>
      </c>
      <c r="R6221" s="6">
        <v>8.7200000000000006</v>
      </c>
      <c r="S6221" s="5">
        <v>-100.3</v>
      </c>
      <c r="T6221" s="7">
        <v>148.94200000000001</v>
      </c>
      <c r="U6221" s="5">
        <v>2.2000000000000002</v>
      </c>
      <c r="V6221" s="6">
        <v>-0.33</v>
      </c>
      <c r="W6221" s="6">
        <v>6.82</v>
      </c>
      <c r="X6221" s="6">
        <v>6.65</v>
      </c>
      <c r="Y6221" s="6">
        <v>8.0500000000000007</v>
      </c>
      <c r="Z6221" s="4">
        <v>8</v>
      </c>
      <c r="AA6221" s="6">
        <v>263.31</v>
      </c>
      <c r="AB6221" s="7">
        <v>474.18</v>
      </c>
      <c r="AC6221" s="5">
        <v>623</v>
      </c>
    </row>
    <row r="6222" spans="1:29" ht="130" x14ac:dyDescent="0.15">
      <c r="A6222" s="3">
        <f>DATE(2001,6,25)</f>
        <v>37067</v>
      </c>
      <c r="B6222" s="3">
        <f>DATE(2001,8,6)</f>
        <v>37109</v>
      </c>
      <c r="C6222" s="2" t="s">
        <v>95</v>
      </c>
      <c r="D6222" s="2" t="s">
        <v>19032</v>
      </c>
      <c r="E6222" s="2" t="s">
        <v>19033</v>
      </c>
      <c r="F6222" s="4">
        <v>3711</v>
      </c>
      <c r="G6222" s="2" t="s">
        <v>105</v>
      </c>
      <c r="H6222" s="2" t="s">
        <v>34</v>
      </c>
      <c r="I6222" s="2" t="s">
        <v>19034</v>
      </c>
      <c r="J6222" s="2" t="s">
        <v>19035</v>
      </c>
      <c r="K6222" s="2" t="s">
        <v>105</v>
      </c>
      <c r="L6222" s="2" t="s">
        <v>34</v>
      </c>
      <c r="M6222" s="7">
        <v>398.79199999999997</v>
      </c>
      <c r="N6222" s="6">
        <v>25.79</v>
      </c>
      <c r="O6222" s="6">
        <v>26.73</v>
      </c>
      <c r="P6222" s="2" t="s">
        <v>19036</v>
      </c>
      <c r="Q6222" s="6">
        <v>100</v>
      </c>
      <c r="R6222" s="6">
        <v>3.7</v>
      </c>
      <c r="S6222" s="5">
        <v>-7</v>
      </c>
      <c r="T6222" s="5">
        <v>-3.4</v>
      </c>
      <c r="U6222" s="5">
        <v>2.7</v>
      </c>
      <c r="V6222" s="6">
        <v>-1.21</v>
      </c>
      <c r="W6222" s="6">
        <v>2.99</v>
      </c>
      <c r="X6222" s="4">
        <v>3</v>
      </c>
      <c r="Y6222" s="6">
        <v>3.65</v>
      </c>
      <c r="Z6222" s="6">
        <v>3.66</v>
      </c>
      <c r="AA6222" s="6">
        <v>5.75</v>
      </c>
      <c r="AB6222" s="2" t="s">
        <v>86</v>
      </c>
      <c r="AC6222" s="2"/>
    </row>
    <row r="6223" spans="1:29" ht="78" x14ac:dyDescent="0.15">
      <c r="A6223" s="3">
        <f>DATE(2001,6,26)</f>
        <v>37068</v>
      </c>
      <c r="B6223" s="2"/>
      <c r="C6223" s="2" t="s">
        <v>87</v>
      </c>
      <c r="D6223" s="2" t="s">
        <v>16998</v>
      </c>
      <c r="E6223" s="2" t="s">
        <v>398</v>
      </c>
      <c r="F6223" s="4">
        <v>7812</v>
      </c>
      <c r="G6223" s="2" t="s">
        <v>42</v>
      </c>
      <c r="H6223" s="2" t="s">
        <v>34</v>
      </c>
      <c r="I6223" s="2" t="s">
        <v>2025</v>
      </c>
      <c r="J6223" s="2" t="s">
        <v>16036</v>
      </c>
      <c r="K6223" s="2" t="s">
        <v>42</v>
      </c>
      <c r="L6223" s="2" t="s">
        <v>34</v>
      </c>
      <c r="M6223" s="2"/>
      <c r="N6223" s="2"/>
      <c r="O6223" s="2"/>
      <c r="P6223" s="2" t="s">
        <v>19037</v>
      </c>
      <c r="Q6223" s="2"/>
      <c r="R6223" s="2"/>
      <c r="S6223" s="5">
        <v>8.6999999999999993</v>
      </c>
      <c r="T6223" s="6">
        <v>36.32</v>
      </c>
      <c r="U6223" s="5">
        <v>3.6</v>
      </c>
      <c r="V6223" s="6">
        <v>0.09</v>
      </c>
      <c r="W6223" s="6">
        <v>2.19</v>
      </c>
      <c r="X6223" s="6">
        <v>2.83</v>
      </c>
      <c r="Y6223" s="6">
        <v>2.75</v>
      </c>
      <c r="Z6223" s="6">
        <v>2.75</v>
      </c>
      <c r="AA6223" s="6">
        <v>42.46</v>
      </c>
      <c r="AB6223" s="2" t="s">
        <v>47</v>
      </c>
      <c r="AC6223" s="2"/>
    </row>
    <row r="6224" spans="1:29" ht="117" x14ac:dyDescent="0.15">
      <c r="A6224" s="3">
        <f>DATE(2001,6,26)</f>
        <v>37068</v>
      </c>
      <c r="B6224" s="3">
        <f>DATE(2001,10,23)</f>
        <v>37187</v>
      </c>
      <c r="C6224" s="2" t="s">
        <v>95</v>
      </c>
      <c r="D6224" s="2" t="s">
        <v>4703</v>
      </c>
      <c r="E6224" s="2" t="s">
        <v>36</v>
      </c>
      <c r="F6224" s="4">
        <v>6022</v>
      </c>
      <c r="G6224" s="2" t="s">
        <v>37</v>
      </c>
      <c r="H6224" s="2" t="s">
        <v>34</v>
      </c>
      <c r="I6224" s="2" t="s">
        <v>8064</v>
      </c>
      <c r="J6224" s="2" t="s">
        <v>159</v>
      </c>
      <c r="K6224" s="2" t="s">
        <v>37</v>
      </c>
      <c r="L6224" s="2" t="s">
        <v>34</v>
      </c>
      <c r="M6224" s="12">
        <v>1146.4880000000001</v>
      </c>
      <c r="N6224" s="6">
        <v>22.65</v>
      </c>
      <c r="O6224" s="6">
        <v>23.82</v>
      </c>
      <c r="P6224" s="2" t="s">
        <v>19038</v>
      </c>
      <c r="Q6224" s="6">
        <v>100</v>
      </c>
      <c r="R6224" s="6">
        <v>42.41</v>
      </c>
      <c r="S6224" s="5">
        <v>11.3</v>
      </c>
      <c r="T6224" s="2"/>
      <c r="U6224" s="5">
        <v>17.899999999999999</v>
      </c>
      <c r="V6224" s="6">
        <v>2.91</v>
      </c>
      <c r="W6224" s="6">
        <v>40.25</v>
      </c>
      <c r="X6224" s="4">
        <v>41</v>
      </c>
      <c r="Y6224" s="4">
        <v>40</v>
      </c>
      <c r="Z6224" s="6">
        <v>41.25</v>
      </c>
      <c r="AA6224" s="6">
        <v>3.81</v>
      </c>
      <c r="AB6224" s="7">
        <v>11.244</v>
      </c>
      <c r="AC6224" s="5">
        <v>291.2</v>
      </c>
    </row>
    <row r="6225" spans="1:29" ht="91" x14ac:dyDescent="0.15">
      <c r="A6225" s="3">
        <f>DATE(2001,6,26)</f>
        <v>37068</v>
      </c>
      <c r="B6225" s="2"/>
      <c r="C6225" s="2" t="s">
        <v>7330</v>
      </c>
      <c r="D6225" s="2" t="s">
        <v>19039</v>
      </c>
      <c r="E6225" s="2" t="s">
        <v>58</v>
      </c>
      <c r="F6225" s="4">
        <v>4512</v>
      </c>
      <c r="G6225" s="2" t="s">
        <v>59</v>
      </c>
      <c r="H6225" s="2" t="s">
        <v>34</v>
      </c>
      <c r="I6225" s="2" t="s">
        <v>51</v>
      </c>
      <c r="J6225" s="2" t="s">
        <v>52</v>
      </c>
      <c r="K6225" s="2" t="s">
        <v>53</v>
      </c>
      <c r="L6225" s="2" t="s">
        <v>34</v>
      </c>
      <c r="M6225" s="2"/>
      <c r="N6225" s="2"/>
      <c r="O6225" s="2"/>
      <c r="P6225" s="2" t="s">
        <v>19040</v>
      </c>
      <c r="Q6225" s="2"/>
      <c r="R6225" s="6">
        <v>0.2</v>
      </c>
      <c r="S6225" s="5">
        <v>-29.9</v>
      </c>
      <c r="T6225" s="5">
        <v>-23.4</v>
      </c>
      <c r="U6225" s="5">
        <v>1</v>
      </c>
      <c r="V6225" s="6">
        <v>-1.58</v>
      </c>
      <c r="W6225" s="6">
        <v>1.05</v>
      </c>
      <c r="X6225" s="6">
        <v>1.19</v>
      </c>
      <c r="Y6225" s="5">
        <v>1.1000000000000001</v>
      </c>
      <c r="Z6225" s="4">
        <v>1</v>
      </c>
      <c r="AA6225" s="6">
        <v>20.57</v>
      </c>
      <c r="AB6225" s="2" t="s">
        <v>86</v>
      </c>
      <c r="AC6225" s="2"/>
    </row>
    <row r="6226" spans="1:29" ht="130" x14ac:dyDescent="0.15">
      <c r="A6226" s="3">
        <f>DATE(2001,6,27)</f>
        <v>37069</v>
      </c>
      <c r="B6226" s="3">
        <f>DATE(2001,8,9)</f>
        <v>37112</v>
      </c>
      <c r="C6226" s="2" t="s">
        <v>95</v>
      </c>
      <c r="D6226" s="2" t="s">
        <v>19041</v>
      </c>
      <c r="E6226" s="2" t="s">
        <v>19042</v>
      </c>
      <c r="F6226" s="4">
        <v>2325</v>
      </c>
      <c r="G6226" s="2" t="s">
        <v>708</v>
      </c>
      <c r="H6226" s="2" t="s">
        <v>34</v>
      </c>
      <c r="I6226" s="2" t="s">
        <v>12045</v>
      </c>
      <c r="J6226" s="2" t="s">
        <v>12046</v>
      </c>
      <c r="K6226" s="2" t="s">
        <v>708</v>
      </c>
      <c r="L6226" s="2" t="s">
        <v>34</v>
      </c>
      <c r="M6226" s="7">
        <v>152.179</v>
      </c>
      <c r="N6226" s="6">
        <v>18.86</v>
      </c>
      <c r="O6226" s="5">
        <v>19.5</v>
      </c>
      <c r="P6226" s="2" t="s">
        <v>19043</v>
      </c>
      <c r="Q6226" s="6">
        <v>100</v>
      </c>
      <c r="R6226" s="6">
        <v>4.75</v>
      </c>
      <c r="S6226" s="5">
        <v>-7.4</v>
      </c>
      <c r="T6226" s="7">
        <v>1.296</v>
      </c>
      <c r="U6226" s="5">
        <v>8.8000000000000007</v>
      </c>
      <c r="V6226" s="6">
        <v>-3.15</v>
      </c>
      <c r="W6226" s="6">
        <v>2.75</v>
      </c>
      <c r="X6226" s="6">
        <v>2.65</v>
      </c>
      <c r="Y6226" s="6">
        <v>4.58</v>
      </c>
      <c r="Z6226" s="6">
        <v>4.57</v>
      </c>
      <c r="AA6226" s="6">
        <v>2.86</v>
      </c>
      <c r="AB6226" s="2" t="s">
        <v>86</v>
      </c>
      <c r="AC6226" s="6">
        <v>2.54</v>
      </c>
    </row>
    <row r="6227" spans="1:29" ht="182" x14ac:dyDescent="0.15">
      <c r="A6227" s="3">
        <f>DATE(2001,6,27)</f>
        <v>37069</v>
      </c>
      <c r="B6227" s="3">
        <f>DATE(2001,11,12)</f>
        <v>37207</v>
      </c>
      <c r="C6227" s="2" t="s">
        <v>95</v>
      </c>
      <c r="D6227" s="2" t="s">
        <v>19044</v>
      </c>
      <c r="E6227" s="2" t="s">
        <v>1181</v>
      </c>
      <c r="F6227" s="4">
        <v>6029</v>
      </c>
      <c r="G6227" s="2" t="s">
        <v>37</v>
      </c>
      <c r="H6227" s="2" t="s">
        <v>34</v>
      </c>
      <c r="I6227" s="2" t="s">
        <v>6678</v>
      </c>
      <c r="J6227" s="2" t="s">
        <v>159</v>
      </c>
      <c r="K6227" s="2" t="s">
        <v>37</v>
      </c>
      <c r="L6227" s="2" t="s">
        <v>34</v>
      </c>
      <c r="M6227" s="12">
        <v>6966.0990000000002</v>
      </c>
      <c r="N6227" s="6">
        <v>31.23</v>
      </c>
      <c r="O6227" s="6">
        <v>31.75</v>
      </c>
      <c r="P6227" s="2" t="s">
        <v>19045</v>
      </c>
      <c r="Q6227" s="6">
        <v>100</v>
      </c>
      <c r="R6227" s="6">
        <v>16.440000000000001</v>
      </c>
      <c r="S6227" s="5">
        <v>2.7</v>
      </c>
      <c r="T6227" s="7">
        <v>4.3250000000000002</v>
      </c>
      <c r="U6227" s="5">
        <v>8.6</v>
      </c>
      <c r="V6227" s="6">
        <v>0.97</v>
      </c>
      <c r="W6227" s="5">
        <v>14.5</v>
      </c>
      <c r="X6227" s="5">
        <v>14.5</v>
      </c>
      <c r="Y6227" s="4">
        <v>16</v>
      </c>
      <c r="Z6227" s="5">
        <v>16.5</v>
      </c>
      <c r="AA6227" s="6">
        <v>2.78</v>
      </c>
      <c r="AB6227" s="7">
        <v>46.566000000000003</v>
      </c>
      <c r="AC6227" s="2"/>
    </row>
    <row r="6228" spans="1:29" ht="65" x14ac:dyDescent="0.15">
      <c r="A6228" s="3">
        <f>DATE(2001,6,27)</f>
        <v>37069</v>
      </c>
      <c r="B6228" s="3">
        <f>DATE(2001,9,28)</f>
        <v>37162</v>
      </c>
      <c r="C6228" s="2" t="s">
        <v>95</v>
      </c>
      <c r="D6228" s="2" t="s">
        <v>19046</v>
      </c>
      <c r="E6228" s="2" t="s">
        <v>3536</v>
      </c>
      <c r="F6228" s="4">
        <v>6141</v>
      </c>
      <c r="G6228" s="2" t="s">
        <v>370</v>
      </c>
      <c r="H6228" s="2" t="s">
        <v>34</v>
      </c>
      <c r="I6228" s="2" t="s">
        <v>4531</v>
      </c>
      <c r="J6228" s="2" t="s">
        <v>4532</v>
      </c>
      <c r="K6228" s="2" t="s">
        <v>125</v>
      </c>
      <c r="L6228" s="2" t="s">
        <v>34</v>
      </c>
      <c r="M6228" s="7">
        <v>19.231000000000002</v>
      </c>
      <c r="N6228" s="5">
        <v>15.1</v>
      </c>
      <c r="O6228" s="5">
        <v>15.3</v>
      </c>
      <c r="P6228" s="2" t="s">
        <v>19047</v>
      </c>
      <c r="Q6228" s="6">
        <v>100</v>
      </c>
      <c r="R6228" s="6">
        <v>7.5</v>
      </c>
      <c r="S6228" s="5">
        <v>0.9</v>
      </c>
      <c r="T6228" s="5">
        <v>6.5</v>
      </c>
      <c r="U6228" s="5">
        <v>10.8</v>
      </c>
      <c r="V6228" s="6">
        <v>0.65</v>
      </c>
      <c r="W6228" s="6">
        <v>4.45</v>
      </c>
      <c r="X6228" s="5">
        <v>4.5999999999999996</v>
      </c>
      <c r="Y6228" s="5">
        <v>4.5999999999999996</v>
      </c>
      <c r="Z6228" s="4">
        <v>7</v>
      </c>
      <c r="AA6228" s="6">
        <v>8.92</v>
      </c>
      <c r="AB6228" s="7">
        <v>8.7520000000000007</v>
      </c>
      <c r="AC6228" s="5">
        <v>78.2</v>
      </c>
    </row>
    <row r="6229" spans="1:29" ht="130" x14ac:dyDescent="0.15">
      <c r="A6229" s="3">
        <f>DATE(2001,6,28)</f>
        <v>37070</v>
      </c>
      <c r="B6229" s="3">
        <f>DATE(2001,12,3)</f>
        <v>37228</v>
      </c>
      <c r="C6229" s="2" t="s">
        <v>95</v>
      </c>
      <c r="D6229" s="2" t="s">
        <v>19048</v>
      </c>
      <c r="E6229" s="2" t="s">
        <v>1181</v>
      </c>
      <c r="F6229" s="4">
        <v>6021</v>
      </c>
      <c r="G6229" s="2" t="s">
        <v>37</v>
      </c>
      <c r="H6229" s="2" t="s">
        <v>34</v>
      </c>
      <c r="I6229" s="2" t="s">
        <v>19049</v>
      </c>
      <c r="J6229" s="2" t="s">
        <v>19050</v>
      </c>
      <c r="K6229" s="2" t="s">
        <v>37</v>
      </c>
      <c r="L6229" s="2" t="s">
        <v>34</v>
      </c>
      <c r="M6229" s="7">
        <v>333.44499999999999</v>
      </c>
      <c r="N6229" s="6">
        <v>21.45</v>
      </c>
      <c r="O6229" s="5">
        <v>22.4</v>
      </c>
      <c r="P6229" s="2" t="s">
        <v>19051</v>
      </c>
      <c r="Q6229" s="6">
        <v>100</v>
      </c>
      <c r="R6229" s="6">
        <v>39.18</v>
      </c>
      <c r="S6229" s="5">
        <v>6.3</v>
      </c>
      <c r="T6229" s="5">
        <v>11.4</v>
      </c>
      <c r="U6229" s="5">
        <v>9.5</v>
      </c>
      <c r="V6229" s="6">
        <v>2.17</v>
      </c>
      <c r="W6229" s="4">
        <v>28</v>
      </c>
      <c r="X6229" s="4">
        <v>27</v>
      </c>
      <c r="Y6229" s="6">
        <v>35.46</v>
      </c>
      <c r="Z6229" s="5">
        <v>35.700000000000003</v>
      </c>
      <c r="AA6229" s="6">
        <v>2.94</v>
      </c>
      <c r="AB6229" s="7">
        <v>34.011000000000003</v>
      </c>
      <c r="AC6229" s="5">
        <v>87.3</v>
      </c>
    </row>
    <row r="6230" spans="1:29" ht="130" x14ac:dyDescent="0.15">
      <c r="A6230" s="3">
        <f>DATE(2001,6,28)</f>
        <v>37070</v>
      </c>
      <c r="B6230" s="3">
        <f>DATE(2001,10,1)</f>
        <v>37165</v>
      </c>
      <c r="C6230" s="2" t="s">
        <v>95</v>
      </c>
      <c r="D6230" s="2" t="s">
        <v>19052</v>
      </c>
      <c r="E6230" s="2" t="s">
        <v>19053</v>
      </c>
      <c r="F6230" s="4">
        <v>3531</v>
      </c>
      <c r="G6230" s="2" t="s">
        <v>300</v>
      </c>
      <c r="H6230" s="2" t="s">
        <v>34</v>
      </c>
      <c r="I6230" s="2" t="s">
        <v>19054</v>
      </c>
      <c r="J6230" s="2" t="s">
        <v>19055</v>
      </c>
      <c r="K6230" s="2" t="s">
        <v>300</v>
      </c>
      <c r="L6230" s="2" t="s">
        <v>34</v>
      </c>
      <c r="M6230" s="7">
        <v>591.53099999999995</v>
      </c>
      <c r="N6230" s="6">
        <v>20.85</v>
      </c>
      <c r="O6230" s="5">
        <v>21.2</v>
      </c>
      <c r="P6230" s="2" t="s">
        <v>19056</v>
      </c>
      <c r="Q6230" s="6">
        <v>100</v>
      </c>
      <c r="R6230" s="6">
        <v>3.42</v>
      </c>
      <c r="S6230" s="5">
        <v>-35.9</v>
      </c>
      <c r="T6230" s="7">
        <v>-3.3109999999999999</v>
      </c>
      <c r="U6230" s="5">
        <v>2</v>
      </c>
      <c r="V6230" s="6">
        <v>-1.66</v>
      </c>
      <c r="W6230" s="6">
        <v>2.5099999999999998</v>
      </c>
      <c r="X6230" s="5">
        <v>2.6</v>
      </c>
      <c r="Y6230" s="2"/>
      <c r="Z6230" s="2"/>
      <c r="AA6230" s="6">
        <v>21.69</v>
      </c>
      <c r="AB6230" s="2" t="s">
        <v>86</v>
      </c>
      <c r="AC6230" s="5">
        <v>236.3</v>
      </c>
    </row>
    <row r="6231" spans="1:29" ht="195" x14ac:dyDescent="0.15">
      <c r="A6231" s="3">
        <f>DATE(2001,6,28)</f>
        <v>37070</v>
      </c>
      <c r="B6231" s="3">
        <f>DATE(2001,11,9)</f>
        <v>37204</v>
      </c>
      <c r="C6231" s="2" t="s">
        <v>95</v>
      </c>
      <c r="D6231" s="2" t="s">
        <v>19057</v>
      </c>
      <c r="E6231" s="2" t="s">
        <v>12023</v>
      </c>
      <c r="F6231" s="4">
        <v>8071</v>
      </c>
      <c r="G6231" s="2" t="s">
        <v>454</v>
      </c>
      <c r="H6231" s="2" t="s">
        <v>34</v>
      </c>
      <c r="I6231" s="2" t="s">
        <v>6696</v>
      </c>
      <c r="J6231" s="2" t="s">
        <v>6697</v>
      </c>
      <c r="K6231" s="2" t="s">
        <v>454</v>
      </c>
      <c r="L6231" s="2" t="s">
        <v>34</v>
      </c>
      <c r="M6231" s="7">
        <v>273.613</v>
      </c>
      <c r="N6231" s="6">
        <v>43.49</v>
      </c>
      <c r="O6231" s="5">
        <v>45.5</v>
      </c>
      <c r="P6231" s="2" t="s">
        <v>19058</v>
      </c>
      <c r="Q6231" s="6">
        <v>100</v>
      </c>
      <c r="R6231" s="6">
        <v>16.91</v>
      </c>
      <c r="S6231" s="5">
        <v>-1.2</v>
      </c>
      <c r="T6231" s="5">
        <v>8</v>
      </c>
      <c r="U6231" s="5">
        <v>4</v>
      </c>
      <c r="V6231" s="6">
        <v>-0.16</v>
      </c>
      <c r="W6231" s="6">
        <v>16.149999999999999</v>
      </c>
      <c r="X6231" s="6">
        <v>16.95</v>
      </c>
      <c r="Y6231" s="6">
        <v>15.51</v>
      </c>
      <c r="Z6231" s="6">
        <v>15.65</v>
      </c>
      <c r="AA6231" s="6">
        <v>9.8699999999999992</v>
      </c>
      <c r="AB6231" s="7">
        <v>34.542000000000002</v>
      </c>
      <c r="AC6231" s="5">
        <v>11.8</v>
      </c>
    </row>
    <row r="6232" spans="1:29" ht="143" x14ac:dyDescent="0.15">
      <c r="A6232" s="3">
        <f>DATE(2001,6,29)</f>
        <v>37071</v>
      </c>
      <c r="B6232" s="3">
        <f>DATE(2001,9,3)</f>
        <v>37137</v>
      </c>
      <c r="C6232" s="2" t="s">
        <v>95</v>
      </c>
      <c r="D6232" s="2" t="s">
        <v>19059</v>
      </c>
      <c r="E6232" s="2" t="s">
        <v>19060</v>
      </c>
      <c r="F6232" s="4">
        <v>3845</v>
      </c>
      <c r="G6232" s="2" t="s">
        <v>226</v>
      </c>
      <c r="H6232" s="2" t="s">
        <v>34</v>
      </c>
      <c r="I6232" s="2" t="s">
        <v>5268</v>
      </c>
      <c r="J6232" s="2" t="s">
        <v>5269</v>
      </c>
      <c r="K6232" s="2" t="s">
        <v>226</v>
      </c>
      <c r="L6232" s="2" t="s">
        <v>34</v>
      </c>
      <c r="M6232" s="12">
        <v>6928.5510000000004</v>
      </c>
      <c r="N6232" s="4">
        <v>17</v>
      </c>
      <c r="O6232" s="6">
        <v>17.559999999999999</v>
      </c>
      <c r="P6232" s="2" t="s">
        <v>19061</v>
      </c>
      <c r="Q6232" s="6">
        <v>100</v>
      </c>
      <c r="R6232" s="6">
        <v>5.27</v>
      </c>
      <c r="S6232" s="5">
        <v>-14</v>
      </c>
      <c r="T6232" s="5">
        <v>-12.9</v>
      </c>
      <c r="U6232" s="5">
        <v>-0.3</v>
      </c>
      <c r="V6232" s="6">
        <v>-5.22</v>
      </c>
      <c r="W6232" s="5">
        <v>3.4</v>
      </c>
      <c r="X6232" s="5">
        <v>5.8</v>
      </c>
      <c r="Y6232" s="6">
        <v>5.21</v>
      </c>
      <c r="Z6232" s="5">
        <v>5.2</v>
      </c>
      <c r="AA6232" s="6">
        <v>9.0500000000000007</v>
      </c>
      <c r="AB6232" s="2" t="s">
        <v>86</v>
      </c>
      <c r="AC6232" s="5">
        <v>54</v>
      </c>
    </row>
    <row r="6233" spans="1:29" ht="156" x14ac:dyDescent="0.15">
      <c r="A6233" s="3">
        <f>DATE(2001,6,29)</f>
        <v>37071</v>
      </c>
      <c r="B6233" s="3">
        <f>DATE(2001,11,30)</f>
        <v>37225</v>
      </c>
      <c r="C6233" s="2" t="s">
        <v>95</v>
      </c>
      <c r="D6233" s="2" t="s">
        <v>19062</v>
      </c>
      <c r="E6233" s="2" t="s">
        <v>265</v>
      </c>
      <c r="F6233" s="4">
        <v>6022</v>
      </c>
      <c r="G6233" s="2" t="s">
        <v>37</v>
      </c>
      <c r="H6233" s="2" t="s">
        <v>34</v>
      </c>
      <c r="I6233" s="2" t="s">
        <v>2336</v>
      </c>
      <c r="J6233" s="2" t="s">
        <v>2337</v>
      </c>
      <c r="K6233" s="2" t="s">
        <v>37</v>
      </c>
      <c r="L6233" s="2" t="s">
        <v>34</v>
      </c>
      <c r="M6233" s="12">
        <v>8498.4130000000005</v>
      </c>
      <c r="N6233" s="4">
        <v>26</v>
      </c>
      <c r="O6233" s="6">
        <v>26.19</v>
      </c>
      <c r="P6233" s="2" t="s">
        <v>19063</v>
      </c>
      <c r="Q6233" s="6">
        <v>100</v>
      </c>
      <c r="R6233" s="6">
        <v>40.89</v>
      </c>
      <c r="S6233" s="5">
        <v>5.6</v>
      </c>
      <c r="T6233" s="5">
        <v>8.6999999999999993</v>
      </c>
      <c r="U6233" s="5">
        <v>15</v>
      </c>
      <c r="V6233" s="6">
        <v>1.99</v>
      </c>
      <c r="W6233" s="5">
        <v>29.5</v>
      </c>
      <c r="X6233" s="5">
        <v>31.5</v>
      </c>
      <c r="Y6233" s="6">
        <v>37.75</v>
      </c>
      <c r="Z6233" s="5">
        <v>38.299999999999997</v>
      </c>
      <c r="AA6233" s="6">
        <v>2.74</v>
      </c>
      <c r="AB6233" s="7">
        <v>55.906999999999996</v>
      </c>
      <c r="AC6233" s="5">
        <v>927.8</v>
      </c>
    </row>
    <row r="6234" spans="1:29" ht="117" x14ac:dyDescent="0.15">
      <c r="A6234" s="3">
        <f>DATE(2001,6,29)</f>
        <v>37071</v>
      </c>
      <c r="B6234" s="3">
        <f>DATE(2001,10,24)</f>
        <v>37188</v>
      </c>
      <c r="C6234" s="2" t="s">
        <v>95</v>
      </c>
      <c r="D6234" s="2" t="s">
        <v>19064</v>
      </c>
      <c r="E6234" s="2" t="s">
        <v>19065</v>
      </c>
      <c r="F6234" s="4">
        <v>2834</v>
      </c>
      <c r="G6234" s="2" t="s">
        <v>130</v>
      </c>
      <c r="H6234" s="2" t="s">
        <v>34</v>
      </c>
      <c r="I6234" s="2" t="s">
        <v>19066</v>
      </c>
      <c r="J6234" s="2" t="s">
        <v>2066</v>
      </c>
      <c r="K6234" s="2" t="s">
        <v>130</v>
      </c>
      <c r="L6234" s="2" t="s">
        <v>34</v>
      </c>
      <c r="M6234" s="12">
        <v>2612.3090000000002</v>
      </c>
      <c r="N6234" s="5">
        <v>69.2</v>
      </c>
      <c r="O6234" s="5">
        <v>69.7</v>
      </c>
      <c r="P6234" s="2" t="s">
        <v>19067</v>
      </c>
      <c r="Q6234" s="6">
        <v>100</v>
      </c>
      <c r="R6234" s="6">
        <v>18.3</v>
      </c>
      <c r="S6234" s="5">
        <v>5.0999999999999996</v>
      </c>
      <c r="T6234" s="5">
        <v>13.8</v>
      </c>
      <c r="U6234" s="5">
        <v>0.3</v>
      </c>
      <c r="V6234" s="6">
        <v>0.17</v>
      </c>
      <c r="W6234" s="5">
        <v>15.3</v>
      </c>
      <c r="X6234" s="5">
        <v>16.899999999999999</v>
      </c>
      <c r="Y6234" s="6">
        <v>17.89</v>
      </c>
      <c r="Z6234" s="6">
        <v>17.420000000000002</v>
      </c>
      <c r="AA6234" s="6">
        <v>26.69</v>
      </c>
      <c r="AB6234" s="7">
        <v>63.02</v>
      </c>
      <c r="AC6234" s="5">
        <v>223.6</v>
      </c>
    </row>
    <row r="6235" spans="1:29" ht="169" x14ac:dyDescent="0.15">
      <c r="A6235" s="3">
        <f>DATE(2001,6,29)</f>
        <v>37071</v>
      </c>
      <c r="B6235" s="2"/>
      <c r="C6235" s="2" t="s">
        <v>30</v>
      </c>
      <c r="D6235" s="2" t="s">
        <v>19068</v>
      </c>
      <c r="E6235" s="2" t="s">
        <v>19069</v>
      </c>
      <c r="F6235" s="4">
        <v>7361</v>
      </c>
      <c r="G6235" s="2" t="s">
        <v>223</v>
      </c>
      <c r="H6235" s="2" t="s">
        <v>34</v>
      </c>
      <c r="I6235" s="2" t="s">
        <v>13979</v>
      </c>
      <c r="J6235" s="2" t="s">
        <v>13980</v>
      </c>
      <c r="K6235" s="2" t="s">
        <v>4563</v>
      </c>
      <c r="L6235" s="2" t="s">
        <v>34</v>
      </c>
      <c r="M6235" s="12">
        <v>6457.2730000000001</v>
      </c>
      <c r="N6235" s="4">
        <v>60</v>
      </c>
      <c r="O6235" s="6">
        <v>58.52</v>
      </c>
      <c r="P6235" s="2" t="s">
        <v>19070</v>
      </c>
      <c r="Q6235" s="2"/>
      <c r="R6235" s="6">
        <v>12.96</v>
      </c>
      <c r="S6235" s="5">
        <v>-47.6</v>
      </c>
      <c r="T6235" s="5">
        <v>-28.4</v>
      </c>
      <c r="U6235" s="5">
        <v>3.3</v>
      </c>
      <c r="V6235" s="6">
        <v>-1.32</v>
      </c>
      <c r="W6235" s="6">
        <v>7.91</v>
      </c>
      <c r="X6235" s="5">
        <v>10.1</v>
      </c>
      <c r="Y6235" s="6">
        <v>10.88</v>
      </c>
      <c r="Z6235" s="6">
        <v>12.49</v>
      </c>
      <c r="AA6235" s="6">
        <v>37.33</v>
      </c>
      <c r="AB6235" s="2" t="s">
        <v>86</v>
      </c>
      <c r="AC6235" s="5">
        <v>572.1</v>
      </c>
    </row>
    <row r="6236" spans="1:29" ht="26" x14ac:dyDescent="0.15">
      <c r="A6236" s="3">
        <f>DATE(2001,6,29)</f>
        <v>37071</v>
      </c>
      <c r="B6236" s="2"/>
      <c r="C6236" s="2" t="s">
        <v>7330</v>
      </c>
      <c r="D6236" s="2" t="s">
        <v>19071</v>
      </c>
      <c r="E6236" s="2" t="s">
        <v>19072</v>
      </c>
      <c r="F6236" s="4">
        <v>3443</v>
      </c>
      <c r="G6236" s="2" t="s">
        <v>163</v>
      </c>
      <c r="H6236" s="2" t="s">
        <v>34</v>
      </c>
      <c r="I6236" s="2" t="s">
        <v>138</v>
      </c>
      <c r="J6236" s="2" t="s">
        <v>139</v>
      </c>
      <c r="K6236" s="2" t="s">
        <v>53</v>
      </c>
      <c r="L6236" s="2" t="s">
        <v>139</v>
      </c>
      <c r="M6236" s="2"/>
      <c r="N6236" s="2"/>
      <c r="O6236" s="2"/>
      <c r="P6236" s="2" t="s">
        <v>19073</v>
      </c>
      <c r="Q6236" s="2"/>
      <c r="R6236" s="2"/>
      <c r="S6236" s="5">
        <v>19.8</v>
      </c>
      <c r="T6236" s="5">
        <v>36.4</v>
      </c>
      <c r="U6236" s="5">
        <v>26.7</v>
      </c>
      <c r="V6236" s="6">
        <v>2.58</v>
      </c>
      <c r="W6236" s="5">
        <v>36.5</v>
      </c>
      <c r="X6236" s="5">
        <v>35.5</v>
      </c>
      <c r="Y6236" s="5">
        <v>34.5</v>
      </c>
      <c r="Z6236" s="5">
        <v>33.799999999999997</v>
      </c>
      <c r="AA6236" s="6">
        <v>7.6</v>
      </c>
      <c r="AB6236" s="2" t="s">
        <v>47</v>
      </c>
      <c r="AC6236" s="2"/>
    </row>
    <row r="6237" spans="1:29" ht="156" x14ac:dyDescent="0.15">
      <c r="A6237" s="3">
        <f>DATE(2001,7,2)</f>
        <v>37074</v>
      </c>
      <c r="B6237" s="3">
        <f>DATE(2001,12,1)</f>
        <v>37226</v>
      </c>
      <c r="C6237" s="2" t="s">
        <v>95</v>
      </c>
      <c r="D6237" s="2" t="s">
        <v>19074</v>
      </c>
      <c r="E6237" s="2" t="s">
        <v>92</v>
      </c>
      <c r="F6237" s="4">
        <v>6798</v>
      </c>
      <c r="G6237" s="2" t="s">
        <v>53</v>
      </c>
      <c r="H6237" s="2" t="s">
        <v>34</v>
      </c>
      <c r="I6237" s="2" t="s">
        <v>19075</v>
      </c>
      <c r="J6237" s="2" t="s">
        <v>2128</v>
      </c>
      <c r="K6237" s="2" t="s">
        <v>53</v>
      </c>
      <c r="L6237" s="2" t="s">
        <v>34</v>
      </c>
      <c r="M6237" s="7">
        <v>393.48099999999999</v>
      </c>
      <c r="N6237" s="6">
        <v>13.11</v>
      </c>
      <c r="O6237" s="6">
        <v>13.79</v>
      </c>
      <c r="P6237" s="2" t="s">
        <v>19076</v>
      </c>
      <c r="Q6237" s="6">
        <v>100</v>
      </c>
      <c r="R6237" s="6">
        <v>13.05</v>
      </c>
      <c r="S6237" s="5">
        <v>15.5</v>
      </c>
      <c r="T6237" s="5">
        <v>29.1</v>
      </c>
      <c r="U6237" s="5">
        <v>14.3</v>
      </c>
      <c r="V6237" s="6">
        <v>1.62</v>
      </c>
      <c r="W6237" s="6">
        <v>10.75</v>
      </c>
      <c r="X6237" s="6">
        <v>10.75</v>
      </c>
      <c r="Y6237" s="5">
        <v>11.5</v>
      </c>
      <c r="Z6237" s="7">
        <v>11.375</v>
      </c>
      <c r="AA6237" s="6">
        <v>9.51</v>
      </c>
      <c r="AB6237" s="7">
        <v>8.7629999999999999</v>
      </c>
      <c r="AC6237" s="5">
        <v>2.1</v>
      </c>
    </row>
    <row r="6238" spans="1:29" ht="143" x14ac:dyDescent="0.15">
      <c r="A6238" s="3">
        <f>DATE(2001,7,2)</f>
        <v>37074</v>
      </c>
      <c r="B6238" s="3">
        <f>DATE(2001,8,14)</f>
        <v>37117</v>
      </c>
      <c r="C6238" s="2" t="s">
        <v>95</v>
      </c>
      <c r="D6238" s="2" t="s">
        <v>19077</v>
      </c>
      <c r="E6238" s="2" t="s">
        <v>19078</v>
      </c>
      <c r="F6238" s="4">
        <v>2051</v>
      </c>
      <c r="G6238" s="2" t="s">
        <v>577</v>
      </c>
      <c r="H6238" s="2" t="s">
        <v>34</v>
      </c>
      <c r="I6238" s="2" t="s">
        <v>14211</v>
      </c>
      <c r="J6238" s="2" t="s">
        <v>14212</v>
      </c>
      <c r="K6238" s="2" t="s">
        <v>577</v>
      </c>
      <c r="L6238" s="2" t="s">
        <v>34</v>
      </c>
      <c r="M6238" s="12">
        <v>15797.209000000001</v>
      </c>
      <c r="N6238" s="6">
        <v>19.489999999999998</v>
      </c>
      <c r="O6238" s="6">
        <v>19.489999999999998</v>
      </c>
      <c r="P6238" s="2" t="s">
        <v>19079</v>
      </c>
      <c r="Q6238" s="6">
        <v>100</v>
      </c>
      <c r="R6238" s="6">
        <v>40.25</v>
      </c>
      <c r="S6238" s="5">
        <v>15.9</v>
      </c>
      <c r="T6238" s="5">
        <v>271.89999999999998</v>
      </c>
      <c r="U6238" s="5">
        <v>15.6</v>
      </c>
      <c r="V6238" s="6">
        <v>0.38</v>
      </c>
      <c r="W6238" s="5">
        <v>24.3</v>
      </c>
      <c r="X6238" s="4">
        <v>26</v>
      </c>
      <c r="Y6238" s="6">
        <v>39.82</v>
      </c>
      <c r="Z6238" s="6">
        <v>39.86</v>
      </c>
      <c r="AA6238" s="6">
        <v>42.48</v>
      </c>
      <c r="AB6238" s="7">
        <v>22.823</v>
      </c>
      <c r="AC6238" s="5">
        <v>548</v>
      </c>
    </row>
    <row r="6239" spans="1:29" ht="143" x14ac:dyDescent="0.15">
      <c r="A6239" s="3">
        <f>DATE(2001,7,2)</f>
        <v>37074</v>
      </c>
      <c r="B6239" s="2"/>
      <c r="C6239" s="2" t="s">
        <v>30</v>
      </c>
      <c r="D6239" s="2" t="s">
        <v>19080</v>
      </c>
      <c r="E6239" s="2" t="s">
        <v>19081</v>
      </c>
      <c r="F6239" s="4">
        <v>7373</v>
      </c>
      <c r="G6239" s="2" t="s">
        <v>223</v>
      </c>
      <c r="H6239" s="2" t="s">
        <v>34</v>
      </c>
      <c r="I6239" s="2" t="s">
        <v>9138</v>
      </c>
      <c r="J6239" s="2" t="s">
        <v>9139</v>
      </c>
      <c r="K6239" s="2" t="s">
        <v>551</v>
      </c>
      <c r="L6239" s="2" t="s">
        <v>34</v>
      </c>
      <c r="M6239" s="12">
        <v>3428.6669999999999</v>
      </c>
      <c r="N6239" s="5">
        <v>46.5</v>
      </c>
      <c r="O6239" s="6">
        <v>45.95</v>
      </c>
      <c r="P6239" s="2" t="s">
        <v>19082</v>
      </c>
      <c r="Q6239" s="2"/>
      <c r="R6239" s="2"/>
      <c r="S6239" s="5">
        <v>0.8</v>
      </c>
      <c r="T6239" s="5">
        <v>4.9000000000000004</v>
      </c>
      <c r="U6239" s="5">
        <v>2.6</v>
      </c>
      <c r="V6239" s="6">
        <v>0.03</v>
      </c>
      <c r="W6239" s="6">
        <v>7.19</v>
      </c>
      <c r="X6239" s="6">
        <v>7.36</v>
      </c>
      <c r="Y6239" s="6">
        <v>7.19</v>
      </c>
      <c r="Z6239" s="5">
        <v>7.9</v>
      </c>
      <c r="AA6239" s="6">
        <v>8.99</v>
      </c>
      <c r="AB6239" s="2" t="s">
        <v>47</v>
      </c>
      <c r="AC6239" s="5">
        <v>153.1</v>
      </c>
    </row>
    <row r="6240" spans="1:29" ht="104" x14ac:dyDescent="0.15">
      <c r="A6240" s="3">
        <f>DATE(2001,7,2)</f>
        <v>37074</v>
      </c>
      <c r="B6240" s="3">
        <f>DATE(2001,10,17)</f>
        <v>37181</v>
      </c>
      <c r="C6240" s="2" t="s">
        <v>95</v>
      </c>
      <c r="D6240" s="2" t="s">
        <v>19083</v>
      </c>
      <c r="E6240" s="2" t="s">
        <v>5564</v>
      </c>
      <c r="F6240" s="4">
        <v>8071</v>
      </c>
      <c r="G6240" s="2" t="s">
        <v>454</v>
      </c>
      <c r="H6240" s="2" t="s">
        <v>34</v>
      </c>
      <c r="I6240" s="2" t="s">
        <v>51</v>
      </c>
      <c r="J6240" s="2" t="s">
        <v>52</v>
      </c>
      <c r="K6240" s="2" t="s">
        <v>53</v>
      </c>
      <c r="L6240" s="2" t="s">
        <v>34</v>
      </c>
      <c r="M6240" s="2"/>
      <c r="N6240" s="2"/>
      <c r="O6240" s="2"/>
      <c r="P6240" s="2" t="s">
        <v>19084</v>
      </c>
      <c r="Q6240" s="6">
        <v>100</v>
      </c>
      <c r="R6240" s="6">
        <v>18</v>
      </c>
      <c r="S6240" s="5">
        <v>12.2</v>
      </c>
      <c r="T6240" s="5">
        <v>75.599999999999994</v>
      </c>
      <c r="U6240" s="5">
        <v>8</v>
      </c>
      <c r="V6240" s="6">
        <v>1.25</v>
      </c>
      <c r="W6240" s="5">
        <v>17.5</v>
      </c>
      <c r="X6240" s="5">
        <v>17.7</v>
      </c>
      <c r="Y6240" s="6">
        <v>16.850000000000001</v>
      </c>
      <c r="Z6240" s="6">
        <v>16.96</v>
      </c>
      <c r="AA6240" s="6">
        <v>3.01</v>
      </c>
      <c r="AB6240" s="7">
        <v>13.645</v>
      </c>
      <c r="AC6240" s="2"/>
    </row>
    <row r="6241" spans="1:29" ht="104" x14ac:dyDescent="0.15">
      <c r="A6241" s="3">
        <f>DATE(2001,7,3)</f>
        <v>37075</v>
      </c>
      <c r="B6241" s="2"/>
      <c r="C6241" s="2" t="s">
        <v>30</v>
      </c>
      <c r="D6241" s="2" t="s">
        <v>19026</v>
      </c>
      <c r="E6241" s="2" t="s">
        <v>19027</v>
      </c>
      <c r="F6241" s="4">
        <v>3663</v>
      </c>
      <c r="G6241" s="2" t="s">
        <v>921</v>
      </c>
      <c r="H6241" s="2" t="s">
        <v>34</v>
      </c>
      <c r="I6241" s="2" t="s">
        <v>13358</v>
      </c>
      <c r="J6241" s="2" t="s">
        <v>13359</v>
      </c>
      <c r="K6241" s="2" t="s">
        <v>921</v>
      </c>
      <c r="L6241" s="2" t="s">
        <v>34</v>
      </c>
      <c r="M6241" s="12">
        <v>3014.0439999999999</v>
      </c>
      <c r="N6241" s="6">
        <v>77.55</v>
      </c>
      <c r="O6241" s="6">
        <v>77.25</v>
      </c>
      <c r="P6241" s="2" t="s">
        <v>19085</v>
      </c>
      <c r="Q6241" s="2"/>
      <c r="R6241" s="2"/>
      <c r="S6241" s="5">
        <v>2.2000000000000002</v>
      </c>
      <c r="T6241" s="2"/>
      <c r="U6241" s="5">
        <v>13.2</v>
      </c>
      <c r="V6241" s="6">
        <v>0.76</v>
      </c>
      <c r="W6241" s="5">
        <v>14.5</v>
      </c>
      <c r="X6241" s="4">
        <v>14</v>
      </c>
      <c r="Y6241" s="4">
        <v>15</v>
      </c>
      <c r="Z6241" s="6">
        <v>14.96</v>
      </c>
      <c r="AA6241" s="6">
        <v>2.75</v>
      </c>
      <c r="AB6241" s="2" t="s">
        <v>47</v>
      </c>
      <c r="AC6241" s="5">
        <v>32.700000000000003</v>
      </c>
    </row>
    <row r="6242" spans="1:29" ht="130" x14ac:dyDescent="0.15">
      <c r="A6242" s="3">
        <f>DATE(2001,7,9)</f>
        <v>37081</v>
      </c>
      <c r="B6242" s="3">
        <f>DATE(2001,12,30)</f>
        <v>37255</v>
      </c>
      <c r="C6242" s="2" t="s">
        <v>95</v>
      </c>
      <c r="D6242" s="2" t="s">
        <v>8515</v>
      </c>
      <c r="E6242" s="2" t="s">
        <v>8516</v>
      </c>
      <c r="F6242" s="4">
        <v>7993</v>
      </c>
      <c r="G6242" s="2" t="s">
        <v>364</v>
      </c>
      <c r="H6242" s="2" t="s">
        <v>34</v>
      </c>
      <c r="I6242" s="2" t="s">
        <v>2400</v>
      </c>
      <c r="J6242" s="2" t="s">
        <v>2401</v>
      </c>
      <c r="K6242" s="2" t="s">
        <v>112</v>
      </c>
      <c r="L6242" s="2" t="s">
        <v>34</v>
      </c>
      <c r="M6242" s="12">
        <v>4741.0619999999999</v>
      </c>
      <c r="N6242" s="6">
        <v>59.12</v>
      </c>
      <c r="O6242" s="6">
        <v>56.65</v>
      </c>
      <c r="P6242" s="2" t="s">
        <v>19086</v>
      </c>
      <c r="Q6242" s="6">
        <v>100</v>
      </c>
      <c r="R6242" s="6">
        <v>59.2</v>
      </c>
      <c r="S6242" s="5">
        <v>-53.8</v>
      </c>
      <c r="T6242" s="5">
        <v>48.6</v>
      </c>
      <c r="U6242" s="5">
        <v>-4.8</v>
      </c>
      <c r="V6242" s="6">
        <v>-3.13</v>
      </c>
      <c r="W6242" s="4">
        <v>57</v>
      </c>
      <c r="X6242" s="6">
        <v>53.91</v>
      </c>
      <c r="Y6242" s="6">
        <v>56.96</v>
      </c>
      <c r="Z6242" s="6">
        <v>54.98</v>
      </c>
      <c r="AA6242" s="6">
        <v>14.83</v>
      </c>
      <c r="AB6242" s="2" t="s">
        <v>86</v>
      </c>
      <c r="AC6242" s="5">
        <v>244.9</v>
      </c>
    </row>
    <row r="6243" spans="1:29" ht="78" x14ac:dyDescent="0.15">
      <c r="A6243" s="3">
        <f>DATE(2001,7,9)</f>
        <v>37081</v>
      </c>
      <c r="B6243" s="3">
        <f>DATE(2001,12,21)</f>
        <v>37246</v>
      </c>
      <c r="C6243" s="2" t="s">
        <v>95</v>
      </c>
      <c r="D6243" s="2" t="s">
        <v>19087</v>
      </c>
      <c r="E6243" s="2" t="s">
        <v>19088</v>
      </c>
      <c r="F6243" s="4">
        <v>8299</v>
      </c>
      <c r="G6243" s="2" t="s">
        <v>415</v>
      </c>
      <c r="H6243" s="2" t="s">
        <v>34</v>
      </c>
      <c r="I6243" s="2" t="s">
        <v>19089</v>
      </c>
      <c r="J6243" s="2" t="s">
        <v>19090</v>
      </c>
      <c r="K6243" s="2" t="s">
        <v>415</v>
      </c>
      <c r="L6243" s="2" t="s">
        <v>34</v>
      </c>
      <c r="M6243" s="7">
        <v>996.70399999999995</v>
      </c>
      <c r="N6243" s="5">
        <v>38.200000000000003</v>
      </c>
      <c r="O6243" s="5">
        <v>37.9</v>
      </c>
      <c r="P6243" s="2" t="s">
        <v>19091</v>
      </c>
      <c r="Q6243" s="6">
        <v>100</v>
      </c>
      <c r="R6243" s="6">
        <v>12</v>
      </c>
      <c r="S6243" s="5">
        <v>1.6</v>
      </c>
      <c r="T6243" s="5">
        <v>4.7</v>
      </c>
      <c r="U6243" s="5">
        <v>3.9</v>
      </c>
      <c r="V6243" s="6">
        <v>0.25</v>
      </c>
      <c r="W6243" s="6">
        <v>7.95</v>
      </c>
      <c r="X6243" s="6">
        <v>9.19</v>
      </c>
      <c r="Y6243" s="6">
        <v>11.58</v>
      </c>
      <c r="Z6243" s="6">
        <v>11.63</v>
      </c>
      <c r="AA6243" s="6">
        <v>6.97</v>
      </c>
      <c r="AB6243" s="7">
        <v>30.945</v>
      </c>
      <c r="AC6243" s="5">
        <v>47.3</v>
      </c>
    </row>
    <row r="6244" spans="1:29" ht="156" x14ac:dyDescent="0.15">
      <c r="A6244" s="3">
        <f>DATE(2001,7,9)</f>
        <v>37081</v>
      </c>
      <c r="B6244" s="3">
        <f>DATE(2001,10,23)</f>
        <v>37187</v>
      </c>
      <c r="C6244" s="2" t="s">
        <v>95</v>
      </c>
      <c r="D6244" s="2" t="s">
        <v>19092</v>
      </c>
      <c r="E6244" s="2" t="s">
        <v>19093</v>
      </c>
      <c r="F6244" s="4">
        <v>7374</v>
      </c>
      <c r="G6244" s="2" t="s">
        <v>223</v>
      </c>
      <c r="H6244" s="2" t="s">
        <v>34</v>
      </c>
      <c r="I6244" s="2" t="s">
        <v>18902</v>
      </c>
      <c r="J6244" s="2" t="s">
        <v>18903</v>
      </c>
      <c r="K6244" s="2" t="s">
        <v>551</v>
      </c>
      <c r="L6244" s="2" t="s">
        <v>34</v>
      </c>
      <c r="M6244" s="7">
        <v>283.00299999999999</v>
      </c>
      <c r="N6244" s="6">
        <v>1.36</v>
      </c>
      <c r="O6244" s="6">
        <v>1.37</v>
      </c>
      <c r="P6244" s="2" t="s">
        <v>19094</v>
      </c>
      <c r="Q6244" s="6">
        <v>100</v>
      </c>
      <c r="R6244" s="6">
        <v>3.12</v>
      </c>
      <c r="S6244" s="5">
        <v>-12.2</v>
      </c>
      <c r="T6244" s="5">
        <v>-12.2</v>
      </c>
      <c r="U6244" s="5">
        <v>1.9</v>
      </c>
      <c r="V6244" s="6">
        <v>-0.55000000000000004</v>
      </c>
      <c r="W6244" s="6">
        <v>1.29</v>
      </c>
      <c r="X6244" s="6">
        <v>1.28</v>
      </c>
      <c r="Y6244" s="5">
        <v>2.4</v>
      </c>
      <c r="Z6244" s="6">
        <v>2.4500000000000002</v>
      </c>
      <c r="AA6244" s="6">
        <v>21.98</v>
      </c>
      <c r="AB6244" s="2" t="s">
        <v>86</v>
      </c>
      <c r="AC6244" s="5">
        <v>202.2</v>
      </c>
    </row>
    <row r="6245" spans="1:29" ht="130" x14ac:dyDescent="0.15">
      <c r="A6245" s="3">
        <f>DATE(2001,7,10)</f>
        <v>37082</v>
      </c>
      <c r="B6245" s="3">
        <f>DATE(2001,12,14)</f>
        <v>37239</v>
      </c>
      <c r="C6245" s="2" t="s">
        <v>95</v>
      </c>
      <c r="D6245" s="2" t="s">
        <v>18331</v>
      </c>
      <c r="E6245" s="2" t="s">
        <v>203</v>
      </c>
      <c r="F6245" s="4">
        <v>6035</v>
      </c>
      <c r="G6245" s="2" t="s">
        <v>33</v>
      </c>
      <c r="H6245" s="2" t="s">
        <v>34</v>
      </c>
      <c r="I6245" s="2" t="s">
        <v>13707</v>
      </c>
      <c r="J6245" s="2" t="s">
        <v>36</v>
      </c>
      <c r="K6245" s="2" t="s">
        <v>37</v>
      </c>
      <c r="L6245" s="2" t="s">
        <v>34</v>
      </c>
      <c r="M6245" s="12">
        <v>14420.786</v>
      </c>
      <c r="N6245" s="6">
        <v>35.630000000000003</v>
      </c>
      <c r="O6245" s="5">
        <v>35.299999999999997</v>
      </c>
      <c r="P6245" s="2" t="s">
        <v>19095</v>
      </c>
      <c r="Q6245" s="6">
        <v>100</v>
      </c>
      <c r="R6245" s="6">
        <v>35.69</v>
      </c>
      <c r="S6245" s="5">
        <v>5.5</v>
      </c>
      <c r="T6245" s="5">
        <v>9.3000000000000007</v>
      </c>
      <c r="U6245" s="5">
        <v>10.8</v>
      </c>
      <c r="V6245" s="6">
        <v>1.86</v>
      </c>
      <c r="W6245" s="4">
        <v>24</v>
      </c>
      <c r="X6245" s="6">
        <v>27.91</v>
      </c>
      <c r="Y6245" s="4">
        <v>34</v>
      </c>
      <c r="Z6245" s="5">
        <v>33.799999999999997</v>
      </c>
      <c r="AA6245" s="6">
        <v>2.83</v>
      </c>
      <c r="AB6245" s="7">
        <v>83.733000000000004</v>
      </c>
      <c r="AC6245" s="8">
        <v>1758.2</v>
      </c>
    </row>
    <row r="6246" spans="1:29" ht="195" x14ac:dyDescent="0.15">
      <c r="A6246" s="3">
        <f>DATE(2001,7,10)</f>
        <v>37082</v>
      </c>
      <c r="B6246" s="3">
        <f>DATE(2001,8,6)</f>
        <v>37109</v>
      </c>
      <c r="C6246" s="2" t="s">
        <v>95</v>
      </c>
      <c r="D6246" s="2" t="s">
        <v>19096</v>
      </c>
      <c r="E6246" s="2" t="s">
        <v>19097</v>
      </c>
      <c r="F6246" s="4">
        <v>7372</v>
      </c>
      <c r="G6246" s="2" t="s">
        <v>551</v>
      </c>
      <c r="H6246" s="2" t="s">
        <v>34</v>
      </c>
      <c r="I6246" s="2" t="s">
        <v>278</v>
      </c>
      <c r="J6246" s="2" t="s">
        <v>52</v>
      </c>
      <c r="K6246" s="2" t="s">
        <v>53</v>
      </c>
      <c r="L6246" s="2" t="s">
        <v>34</v>
      </c>
      <c r="M6246" s="2"/>
      <c r="N6246" s="2"/>
      <c r="O6246" s="2"/>
      <c r="P6246" s="2" t="s">
        <v>19098</v>
      </c>
      <c r="Q6246" s="6">
        <v>92.29</v>
      </c>
      <c r="R6246" s="6">
        <v>14.19</v>
      </c>
      <c r="S6246" s="5">
        <v>-58</v>
      </c>
      <c r="T6246" s="6">
        <v>-55.73</v>
      </c>
      <c r="U6246" s="5">
        <v>2</v>
      </c>
      <c r="V6246" s="6">
        <v>-13.86</v>
      </c>
      <c r="W6246" s="6">
        <v>18.649999999999999</v>
      </c>
      <c r="X6246" s="5">
        <v>17.7</v>
      </c>
      <c r="Y6246" s="6">
        <v>18.059999999999999</v>
      </c>
      <c r="Z6246" s="6">
        <v>18.05</v>
      </c>
      <c r="AA6246" s="6">
        <v>107.49</v>
      </c>
      <c r="AB6246" s="2" t="s">
        <v>86</v>
      </c>
      <c r="AC6246" s="2"/>
    </row>
    <row r="6247" spans="1:29" ht="65" x14ac:dyDescent="0.15">
      <c r="A6247" s="3">
        <f>DATE(2001,7,10)</f>
        <v>37082</v>
      </c>
      <c r="B6247" s="3">
        <f>DATE(2001,10,1)</f>
        <v>37165</v>
      </c>
      <c r="C6247" s="2" t="s">
        <v>95</v>
      </c>
      <c r="D6247" s="2" t="s">
        <v>19099</v>
      </c>
      <c r="E6247" s="2" t="s">
        <v>595</v>
      </c>
      <c r="F6247" s="4">
        <v>6726</v>
      </c>
      <c r="G6247" s="2" t="s">
        <v>53</v>
      </c>
      <c r="H6247" s="2" t="s">
        <v>34</v>
      </c>
      <c r="I6247" s="2" t="s">
        <v>19100</v>
      </c>
      <c r="J6247" s="2" t="s">
        <v>19101</v>
      </c>
      <c r="K6247" s="2" t="s">
        <v>53</v>
      </c>
      <c r="L6247" s="2" t="s">
        <v>34</v>
      </c>
      <c r="M6247" s="2"/>
      <c r="N6247" s="2"/>
      <c r="O6247" s="2"/>
      <c r="P6247" s="2" t="s">
        <v>19102</v>
      </c>
      <c r="Q6247" s="6">
        <v>100</v>
      </c>
      <c r="R6247" s="6">
        <v>19</v>
      </c>
      <c r="S6247" s="5">
        <v>4.5999999999999996</v>
      </c>
      <c r="T6247" s="5">
        <v>8.1</v>
      </c>
      <c r="U6247" s="5">
        <v>2.2000000000000002</v>
      </c>
      <c r="V6247" s="6">
        <v>0.65</v>
      </c>
      <c r="W6247" s="4">
        <v>20</v>
      </c>
      <c r="X6247" s="4">
        <v>22</v>
      </c>
      <c r="Y6247" s="4">
        <v>20</v>
      </c>
      <c r="Z6247" s="4">
        <v>20</v>
      </c>
      <c r="AA6247" s="6">
        <v>6.86</v>
      </c>
      <c r="AB6247" s="7">
        <v>19.562000000000001</v>
      </c>
      <c r="AC6247" s="2"/>
    </row>
    <row r="6248" spans="1:29" ht="156" x14ac:dyDescent="0.15">
      <c r="A6248" s="3">
        <f>DATE(2001,7,10)</f>
        <v>37082</v>
      </c>
      <c r="B6248" s="3">
        <f>DATE(2001,8,20)</f>
        <v>37123</v>
      </c>
      <c r="C6248" s="2" t="s">
        <v>95</v>
      </c>
      <c r="D6248" s="2" t="s">
        <v>12121</v>
      </c>
      <c r="E6248" s="2" t="s">
        <v>612</v>
      </c>
      <c r="F6248" s="4">
        <v>1311</v>
      </c>
      <c r="G6248" s="2" t="s">
        <v>148</v>
      </c>
      <c r="H6248" s="2" t="s">
        <v>34</v>
      </c>
      <c r="I6248" s="2" t="s">
        <v>19103</v>
      </c>
      <c r="J6248" s="2" t="s">
        <v>1435</v>
      </c>
      <c r="K6248" s="2" t="s">
        <v>148</v>
      </c>
      <c r="L6248" s="2" t="s">
        <v>34</v>
      </c>
      <c r="M6248" s="12">
        <v>7634.6139999999996</v>
      </c>
      <c r="N6248" s="6">
        <v>77.349999999999994</v>
      </c>
      <c r="O6248" s="6">
        <v>75.67</v>
      </c>
      <c r="P6248" s="2" t="s">
        <v>19104</v>
      </c>
      <c r="Q6248" s="6">
        <v>100</v>
      </c>
      <c r="R6248" s="6">
        <v>45</v>
      </c>
      <c r="S6248" s="5">
        <v>86.1</v>
      </c>
      <c r="T6248" s="5">
        <v>243.5</v>
      </c>
      <c r="U6248" s="5">
        <v>5.4</v>
      </c>
      <c r="V6248" s="6">
        <v>1.33</v>
      </c>
      <c r="W6248" s="6">
        <v>31.28</v>
      </c>
      <c r="X6248" s="5">
        <v>29.9</v>
      </c>
      <c r="Y6248" s="6">
        <v>44.43</v>
      </c>
      <c r="Z6248" s="6">
        <v>44.43</v>
      </c>
      <c r="AA6248" s="6">
        <v>37.47</v>
      </c>
      <c r="AB6248" s="7">
        <v>20.742999999999999</v>
      </c>
      <c r="AC6248" s="5">
        <v>312</v>
      </c>
    </row>
    <row r="6249" spans="1:29" ht="78" x14ac:dyDescent="0.15">
      <c r="A6249" s="3">
        <f>DATE(2001,7,13)</f>
        <v>37085</v>
      </c>
      <c r="B6249" s="2"/>
      <c r="C6249" s="2" t="s">
        <v>87</v>
      </c>
      <c r="D6249" s="2" t="s">
        <v>16998</v>
      </c>
      <c r="E6249" s="2" t="s">
        <v>398</v>
      </c>
      <c r="F6249" s="4">
        <v>7812</v>
      </c>
      <c r="G6249" s="2" t="s">
        <v>42</v>
      </c>
      <c r="H6249" s="2" t="s">
        <v>34</v>
      </c>
      <c r="I6249" s="2" t="s">
        <v>19105</v>
      </c>
      <c r="J6249" s="2" t="s">
        <v>19106</v>
      </c>
      <c r="K6249" s="2" t="s">
        <v>45</v>
      </c>
      <c r="L6249" s="2" t="s">
        <v>902</v>
      </c>
      <c r="M6249" s="2"/>
      <c r="N6249" s="2"/>
      <c r="O6249" s="2"/>
      <c r="P6249" s="2" t="s">
        <v>19107</v>
      </c>
      <c r="Q6249" s="2"/>
      <c r="R6249" s="2"/>
      <c r="S6249" s="5">
        <v>7.2</v>
      </c>
      <c r="T6249" s="7">
        <v>36.585999999999999</v>
      </c>
      <c r="U6249" s="2"/>
      <c r="V6249" s="9">
        <v>7.0400000000000004E-2</v>
      </c>
      <c r="W6249" s="6">
        <v>2.5499999999999998</v>
      </c>
      <c r="X6249" s="6">
        <v>2.39</v>
      </c>
      <c r="Y6249" s="5">
        <v>2.5</v>
      </c>
      <c r="Z6249" s="5">
        <v>2.5</v>
      </c>
      <c r="AA6249" s="6">
        <v>42.46</v>
      </c>
      <c r="AB6249" s="2" t="s">
        <v>47</v>
      </c>
      <c r="AC6249" s="2"/>
    </row>
    <row r="6250" spans="1:29" ht="247" x14ac:dyDescent="0.15">
      <c r="A6250" s="3">
        <f t="shared" ref="A6250:A6257" si="147">DATE(2001,7,16)</f>
        <v>37088</v>
      </c>
      <c r="B6250" s="3">
        <f>DATE(2002,2,5)</f>
        <v>37292</v>
      </c>
      <c r="C6250" s="2" t="s">
        <v>95</v>
      </c>
      <c r="D6250" s="2" t="s">
        <v>19108</v>
      </c>
      <c r="E6250" s="2" t="s">
        <v>19109</v>
      </c>
      <c r="F6250" s="4">
        <v>4724</v>
      </c>
      <c r="G6250" s="2" t="s">
        <v>173</v>
      </c>
      <c r="H6250" s="2" t="s">
        <v>34</v>
      </c>
      <c r="I6250" s="2" t="s">
        <v>13762</v>
      </c>
      <c r="J6250" s="2" t="s">
        <v>13763</v>
      </c>
      <c r="K6250" s="2" t="s">
        <v>45</v>
      </c>
      <c r="L6250" s="2" t="s">
        <v>34</v>
      </c>
      <c r="M6250" s="2"/>
      <c r="N6250" s="2"/>
      <c r="O6250" s="2"/>
      <c r="P6250" s="2" t="s">
        <v>19110</v>
      </c>
      <c r="Q6250" s="6">
        <v>64.62</v>
      </c>
      <c r="R6250" s="6">
        <v>39.54</v>
      </c>
      <c r="S6250" s="5">
        <v>0.9</v>
      </c>
      <c r="T6250" s="6">
        <v>38.979999999999997</v>
      </c>
      <c r="U6250" s="5">
        <v>2.4</v>
      </c>
      <c r="V6250" s="7">
        <v>-0.17499999999999999</v>
      </c>
      <c r="W6250" s="6">
        <v>43.27</v>
      </c>
      <c r="X6250" s="5">
        <v>48.7</v>
      </c>
      <c r="Y6250" s="6">
        <v>44.89</v>
      </c>
      <c r="Z6250" s="6">
        <v>47.88</v>
      </c>
      <c r="AA6250" s="6">
        <v>53.7</v>
      </c>
      <c r="AB6250" s="7">
        <v>308.52699999999999</v>
      </c>
      <c r="AC6250" s="6">
        <v>736.82</v>
      </c>
    </row>
    <row r="6251" spans="1:29" ht="65" x14ac:dyDescent="0.15">
      <c r="A6251" s="3">
        <f t="shared" si="147"/>
        <v>37088</v>
      </c>
      <c r="B6251" s="3">
        <f>DATE(2001,10,15)</f>
        <v>37179</v>
      </c>
      <c r="C6251" s="2" t="s">
        <v>95</v>
      </c>
      <c r="D6251" s="2" t="s">
        <v>19111</v>
      </c>
      <c r="E6251" s="2" t="s">
        <v>19112</v>
      </c>
      <c r="F6251" s="4">
        <v>3949</v>
      </c>
      <c r="G6251" s="2" t="s">
        <v>112</v>
      </c>
      <c r="H6251" s="2" t="s">
        <v>34</v>
      </c>
      <c r="I6251" s="2" t="s">
        <v>19113</v>
      </c>
      <c r="J6251" s="2" t="s">
        <v>19114</v>
      </c>
      <c r="K6251" s="2" t="s">
        <v>112</v>
      </c>
      <c r="L6251" s="2" t="s">
        <v>902</v>
      </c>
      <c r="M6251" s="2"/>
      <c r="N6251" s="2"/>
      <c r="O6251" s="2"/>
      <c r="P6251" s="2" t="s">
        <v>19115</v>
      </c>
      <c r="Q6251" s="6">
        <v>100</v>
      </c>
      <c r="R6251" s="2"/>
      <c r="S6251" s="5">
        <v>-3.4</v>
      </c>
      <c r="T6251" s="5">
        <v>-0.8</v>
      </c>
      <c r="U6251" s="5">
        <v>3.7</v>
      </c>
      <c r="V6251" s="6">
        <v>-0.56999999999999995</v>
      </c>
      <c r="W6251" s="6">
        <v>0.92</v>
      </c>
      <c r="X6251" s="5">
        <v>1.2</v>
      </c>
      <c r="Y6251" s="6">
        <v>1.49</v>
      </c>
      <c r="Z6251" s="5">
        <v>1.5</v>
      </c>
      <c r="AA6251" s="6">
        <v>5.91</v>
      </c>
      <c r="AB6251" s="2" t="s">
        <v>86</v>
      </c>
      <c r="AC6251" s="2"/>
    </row>
    <row r="6252" spans="1:29" ht="78" x14ac:dyDescent="0.15">
      <c r="A6252" s="3">
        <f t="shared" si="147"/>
        <v>37088</v>
      </c>
      <c r="B6252" s="3">
        <f>DATE(2001,12,31)</f>
        <v>37256</v>
      </c>
      <c r="C6252" s="2" t="s">
        <v>95</v>
      </c>
      <c r="D6252" s="2" t="s">
        <v>19116</v>
      </c>
      <c r="E6252" s="2" t="s">
        <v>36</v>
      </c>
      <c r="F6252" s="4">
        <v>6011</v>
      </c>
      <c r="G6252" s="2" t="s">
        <v>3583</v>
      </c>
      <c r="H6252" s="2" t="s">
        <v>34</v>
      </c>
      <c r="I6252" s="2" t="s">
        <v>19117</v>
      </c>
      <c r="J6252" s="2" t="s">
        <v>1181</v>
      </c>
      <c r="K6252" s="2" t="s">
        <v>37</v>
      </c>
      <c r="L6252" s="2" t="s">
        <v>34</v>
      </c>
      <c r="M6252" s="7">
        <v>53.695999999999998</v>
      </c>
      <c r="N6252" s="4">
        <v>13</v>
      </c>
      <c r="O6252" s="5">
        <v>13.2</v>
      </c>
      <c r="P6252" s="2" t="s">
        <v>19118</v>
      </c>
      <c r="Q6252" s="6">
        <v>100</v>
      </c>
      <c r="R6252" s="6">
        <v>18.5</v>
      </c>
      <c r="S6252" s="5">
        <v>1.2</v>
      </c>
      <c r="T6252" s="2"/>
      <c r="U6252" s="5">
        <v>13.4</v>
      </c>
      <c r="V6252" s="6">
        <v>0.65</v>
      </c>
      <c r="W6252" s="6">
        <v>11.48</v>
      </c>
      <c r="X6252" s="5">
        <v>11.3</v>
      </c>
      <c r="Y6252" s="6">
        <v>12.25</v>
      </c>
      <c r="Z6252" s="6">
        <v>17.97</v>
      </c>
      <c r="AA6252" s="6">
        <v>1.97</v>
      </c>
      <c r="AB6252" s="7">
        <v>110.015</v>
      </c>
      <c r="AC6252" s="5">
        <v>31.3</v>
      </c>
    </row>
    <row r="6253" spans="1:29" ht="234" x14ac:dyDescent="0.15">
      <c r="A6253" s="3">
        <f t="shared" si="147"/>
        <v>37088</v>
      </c>
      <c r="B6253" s="2"/>
      <c r="C6253" s="2" t="s">
        <v>7330</v>
      </c>
      <c r="D6253" s="2" t="s">
        <v>19119</v>
      </c>
      <c r="E6253" s="2" t="s">
        <v>17995</v>
      </c>
      <c r="F6253" s="4">
        <v>7371</v>
      </c>
      <c r="G6253" s="2" t="s">
        <v>223</v>
      </c>
      <c r="H6253" s="2" t="s">
        <v>34</v>
      </c>
      <c r="I6253" s="2" t="s">
        <v>16262</v>
      </c>
      <c r="J6253" s="2" t="s">
        <v>849</v>
      </c>
      <c r="K6253" s="2" t="s">
        <v>551</v>
      </c>
      <c r="L6253" s="2" t="s">
        <v>902</v>
      </c>
      <c r="M6253" s="2"/>
      <c r="N6253" s="2"/>
      <c r="O6253" s="2"/>
      <c r="P6253" s="2" t="s">
        <v>19120</v>
      </c>
      <c r="Q6253" s="2"/>
      <c r="R6253" s="6">
        <v>2</v>
      </c>
      <c r="S6253" s="5">
        <v>-1.6</v>
      </c>
      <c r="T6253" s="7">
        <v>3.6520000000000001</v>
      </c>
      <c r="U6253" s="5">
        <v>0</v>
      </c>
      <c r="V6253" s="6">
        <v>-0.15</v>
      </c>
      <c r="W6253" s="6">
        <v>1.67</v>
      </c>
      <c r="X6253" s="5">
        <v>1.7</v>
      </c>
      <c r="Y6253" s="6">
        <v>1.64</v>
      </c>
      <c r="Z6253" s="6">
        <v>1.62</v>
      </c>
      <c r="AA6253" s="6">
        <v>11.5</v>
      </c>
      <c r="AB6253" s="2" t="s">
        <v>86</v>
      </c>
      <c r="AC6253" s="6">
        <v>105.66</v>
      </c>
    </row>
    <row r="6254" spans="1:29" ht="182" x14ac:dyDescent="0.15">
      <c r="A6254" s="3">
        <f t="shared" si="147"/>
        <v>37088</v>
      </c>
      <c r="B6254" s="3">
        <f>DATE(2001,11,13)</f>
        <v>37208</v>
      </c>
      <c r="C6254" s="2" t="s">
        <v>95</v>
      </c>
      <c r="D6254" s="2" t="s">
        <v>19121</v>
      </c>
      <c r="E6254" s="2" t="s">
        <v>19122</v>
      </c>
      <c r="F6254" s="4">
        <v>3826</v>
      </c>
      <c r="G6254" s="2" t="s">
        <v>226</v>
      </c>
      <c r="H6254" s="2" t="s">
        <v>34</v>
      </c>
      <c r="I6254" s="2" t="s">
        <v>19123</v>
      </c>
      <c r="J6254" s="2" t="s">
        <v>19124</v>
      </c>
      <c r="K6254" s="2" t="s">
        <v>226</v>
      </c>
      <c r="L6254" s="2" t="s">
        <v>34</v>
      </c>
      <c r="M6254" s="12">
        <v>1748.595</v>
      </c>
      <c r="N6254" s="6">
        <v>27.93</v>
      </c>
      <c r="O6254" s="6">
        <v>28.19</v>
      </c>
      <c r="P6254" s="2" t="s">
        <v>19125</v>
      </c>
      <c r="Q6254" s="6">
        <v>100</v>
      </c>
      <c r="R6254" s="6">
        <v>8.57</v>
      </c>
      <c r="S6254" s="5">
        <v>-5</v>
      </c>
      <c r="T6254" s="5">
        <v>25.4</v>
      </c>
      <c r="U6254" s="5">
        <v>2</v>
      </c>
      <c r="V6254" s="6">
        <v>-0.08</v>
      </c>
      <c r="W6254" s="6">
        <v>8.3800000000000008</v>
      </c>
      <c r="X6254" s="6">
        <v>8.5500000000000007</v>
      </c>
      <c r="Y6254" s="6">
        <v>8.4600000000000009</v>
      </c>
      <c r="Z6254" s="6">
        <v>8.65</v>
      </c>
      <c r="AA6254" s="6">
        <v>68.23</v>
      </c>
      <c r="AB6254" s="7">
        <v>42.003</v>
      </c>
      <c r="AC6254" s="5">
        <v>125.6</v>
      </c>
    </row>
    <row r="6255" spans="1:29" ht="130" x14ac:dyDescent="0.15">
      <c r="A6255" s="3">
        <f t="shared" si="147"/>
        <v>37088</v>
      </c>
      <c r="B6255" s="3">
        <f>DATE(2001,8,31)</f>
        <v>37134</v>
      </c>
      <c r="C6255" s="2" t="s">
        <v>95</v>
      </c>
      <c r="D6255" s="2" t="s">
        <v>19126</v>
      </c>
      <c r="E6255" s="2" t="s">
        <v>16728</v>
      </c>
      <c r="F6255" s="4">
        <v>7389</v>
      </c>
      <c r="G6255" s="2" t="s">
        <v>223</v>
      </c>
      <c r="H6255" s="2" t="s">
        <v>34</v>
      </c>
      <c r="I6255" s="2" t="s">
        <v>7683</v>
      </c>
      <c r="J6255" s="2" t="s">
        <v>7684</v>
      </c>
      <c r="K6255" s="2" t="s">
        <v>1461</v>
      </c>
      <c r="L6255" s="2" t="s">
        <v>2105</v>
      </c>
      <c r="M6255" s="2"/>
      <c r="N6255" s="2"/>
      <c r="O6255" s="2"/>
      <c r="P6255" s="2" t="s">
        <v>19127</v>
      </c>
      <c r="Q6255" s="6">
        <v>44.04</v>
      </c>
      <c r="R6255" s="6">
        <v>2.15</v>
      </c>
      <c r="S6255" s="5">
        <v>-61.7</v>
      </c>
      <c r="T6255" s="7">
        <v>-48.551000000000002</v>
      </c>
      <c r="U6255" s="5">
        <v>-4.8</v>
      </c>
      <c r="V6255" s="6">
        <v>-3.87</v>
      </c>
      <c r="W6255" s="6">
        <v>1.22</v>
      </c>
      <c r="X6255" s="6">
        <v>1.25</v>
      </c>
      <c r="Y6255" s="6">
        <v>2.11</v>
      </c>
      <c r="Z6255" s="6">
        <v>2.12</v>
      </c>
      <c r="AA6255" s="6">
        <v>18.03</v>
      </c>
      <c r="AB6255" s="2" t="s">
        <v>86</v>
      </c>
      <c r="AC6255" s="10">
        <v>1257.5899999999999</v>
      </c>
    </row>
    <row r="6256" spans="1:29" ht="195" x14ac:dyDescent="0.15">
      <c r="A6256" s="3">
        <f t="shared" si="147"/>
        <v>37088</v>
      </c>
      <c r="B6256" s="3">
        <f>DATE(2001,12,6)</f>
        <v>37231</v>
      </c>
      <c r="C6256" s="2" t="s">
        <v>95</v>
      </c>
      <c r="D6256" s="2" t="s">
        <v>19128</v>
      </c>
      <c r="E6256" s="2" t="s">
        <v>19129</v>
      </c>
      <c r="F6256" s="4">
        <v>3571</v>
      </c>
      <c r="G6256" s="2" t="s">
        <v>50</v>
      </c>
      <c r="H6256" s="2" t="s">
        <v>34</v>
      </c>
      <c r="I6256" s="2" t="s">
        <v>10145</v>
      </c>
      <c r="J6256" s="2" t="s">
        <v>10146</v>
      </c>
      <c r="K6256" s="2" t="s">
        <v>223</v>
      </c>
      <c r="L6256" s="2" t="s">
        <v>34</v>
      </c>
      <c r="M6256" s="12">
        <v>6729.4660000000003</v>
      </c>
      <c r="N6256" s="6">
        <v>19.760000000000002</v>
      </c>
      <c r="O6256" s="6">
        <v>19.36</v>
      </c>
      <c r="P6256" s="2" t="s">
        <v>19130</v>
      </c>
      <c r="Q6256" s="6">
        <v>100</v>
      </c>
      <c r="R6256" s="6">
        <v>30.11</v>
      </c>
      <c r="S6256" s="5">
        <v>99.9</v>
      </c>
      <c r="T6256" s="5">
        <v>430.4</v>
      </c>
      <c r="U6256" s="5">
        <v>10</v>
      </c>
      <c r="V6256" s="6">
        <v>0.68</v>
      </c>
      <c r="W6256" s="6">
        <v>23.56</v>
      </c>
      <c r="X6256" s="6">
        <v>25.17</v>
      </c>
      <c r="Y6256" s="6">
        <v>26.45</v>
      </c>
      <c r="Z6256" s="6">
        <v>25.92</v>
      </c>
      <c r="AA6256" s="6">
        <v>147.04</v>
      </c>
      <c r="AB6256" s="7">
        <v>24.175000000000001</v>
      </c>
      <c r="AC6256" s="5">
        <v>992.8</v>
      </c>
    </row>
    <row r="6257" spans="1:29" ht="130" x14ac:dyDescent="0.15">
      <c r="A6257" s="3">
        <f t="shared" si="147"/>
        <v>37088</v>
      </c>
      <c r="B6257" s="3">
        <f>DATE(2001,11,19)</f>
        <v>37214</v>
      </c>
      <c r="C6257" s="2" t="s">
        <v>95</v>
      </c>
      <c r="D6257" s="2" t="s">
        <v>19131</v>
      </c>
      <c r="E6257" s="2" t="s">
        <v>389</v>
      </c>
      <c r="F6257" s="4">
        <v>6035</v>
      </c>
      <c r="G6257" s="2" t="s">
        <v>33</v>
      </c>
      <c r="H6257" s="2" t="s">
        <v>34</v>
      </c>
      <c r="I6257" s="2" t="s">
        <v>19132</v>
      </c>
      <c r="J6257" s="2" t="s">
        <v>265</v>
      </c>
      <c r="K6257" s="2" t="s">
        <v>37</v>
      </c>
      <c r="L6257" s="2" t="s">
        <v>34</v>
      </c>
      <c r="M6257" s="10">
        <v>4697.1899999999996</v>
      </c>
      <c r="N6257" s="6">
        <v>24.87</v>
      </c>
      <c r="O6257" s="6">
        <v>24.94</v>
      </c>
      <c r="P6257" s="2" t="s">
        <v>19133</v>
      </c>
      <c r="Q6257" s="6">
        <v>100</v>
      </c>
      <c r="R6257" s="6">
        <v>28</v>
      </c>
      <c r="S6257" s="5">
        <v>1.2</v>
      </c>
      <c r="T6257" s="5">
        <v>3.2</v>
      </c>
      <c r="U6257" s="5">
        <v>18.600000000000001</v>
      </c>
      <c r="V6257" s="6">
        <v>-0.06</v>
      </c>
      <c r="W6257" s="6">
        <v>21.07</v>
      </c>
      <c r="X6257" s="6">
        <v>26.05</v>
      </c>
      <c r="Y6257" s="5">
        <v>27.2</v>
      </c>
      <c r="Z6257" s="6">
        <v>27.23</v>
      </c>
      <c r="AA6257" s="6">
        <v>4.29</v>
      </c>
      <c r="AB6257" s="7">
        <v>258.51100000000002</v>
      </c>
      <c r="AC6257" s="5">
        <v>647.29999999999995</v>
      </c>
    </row>
    <row r="6258" spans="1:29" ht="104" x14ac:dyDescent="0.15">
      <c r="A6258" s="3">
        <f>DATE(2001,7,17)</f>
        <v>37089</v>
      </c>
      <c r="B6258" s="3">
        <f>DATE(2002,3,11)</f>
        <v>37326</v>
      </c>
      <c r="C6258" s="2" t="s">
        <v>95</v>
      </c>
      <c r="D6258" s="2" t="s">
        <v>19134</v>
      </c>
      <c r="E6258" s="2" t="s">
        <v>265</v>
      </c>
      <c r="F6258" s="4">
        <v>6022</v>
      </c>
      <c r="G6258" s="2" t="s">
        <v>37</v>
      </c>
      <c r="H6258" s="2" t="s">
        <v>34</v>
      </c>
      <c r="I6258" s="2" t="s">
        <v>19135</v>
      </c>
      <c r="J6258" s="2" t="s">
        <v>16534</v>
      </c>
      <c r="K6258" s="2" t="s">
        <v>33</v>
      </c>
      <c r="L6258" s="2" t="s">
        <v>34</v>
      </c>
      <c r="M6258" s="12">
        <v>2885.038</v>
      </c>
      <c r="N6258" s="6">
        <v>12.92</v>
      </c>
      <c r="O6258" s="6">
        <v>12.86</v>
      </c>
      <c r="P6258" s="2" t="s">
        <v>19136</v>
      </c>
      <c r="Q6258" s="6">
        <v>100</v>
      </c>
      <c r="R6258" s="6">
        <v>16.100000000000001</v>
      </c>
      <c r="S6258" s="5">
        <v>3.9</v>
      </c>
      <c r="T6258" s="2"/>
      <c r="U6258" s="5">
        <v>8.4</v>
      </c>
      <c r="V6258" s="6">
        <v>0.37</v>
      </c>
      <c r="W6258" s="5">
        <v>10.9</v>
      </c>
      <c r="X6258" s="6">
        <v>10.75</v>
      </c>
      <c r="Y6258" s="6">
        <v>15.33</v>
      </c>
      <c r="Z6258" s="6">
        <v>15.34</v>
      </c>
      <c r="AA6258" s="6">
        <v>10.47</v>
      </c>
      <c r="AB6258" s="2" t="s">
        <v>47</v>
      </c>
      <c r="AC6258" s="5">
        <v>975</v>
      </c>
    </row>
    <row r="6259" spans="1:29" ht="117" x14ac:dyDescent="0.15">
      <c r="A6259" s="3">
        <f t="shared" ref="A6259:A6264" si="148">DATE(2001,7,19)</f>
        <v>37091</v>
      </c>
      <c r="B6259" s="3">
        <f>DATE(2002,1,18)</f>
        <v>37274</v>
      </c>
      <c r="C6259" s="2" t="s">
        <v>95</v>
      </c>
      <c r="D6259" s="2" t="s">
        <v>19137</v>
      </c>
      <c r="E6259" s="2" t="s">
        <v>389</v>
      </c>
      <c r="F6259" s="4">
        <v>6035</v>
      </c>
      <c r="G6259" s="2" t="s">
        <v>33</v>
      </c>
      <c r="H6259" s="2" t="s">
        <v>34</v>
      </c>
      <c r="I6259" s="2" t="s">
        <v>19138</v>
      </c>
      <c r="J6259" s="2" t="s">
        <v>203</v>
      </c>
      <c r="K6259" s="2" t="s">
        <v>33</v>
      </c>
      <c r="L6259" s="2" t="s">
        <v>34</v>
      </c>
      <c r="M6259" s="7">
        <v>525.19200000000001</v>
      </c>
      <c r="N6259" s="6">
        <v>22.36</v>
      </c>
      <c r="O6259" s="6">
        <v>22.61</v>
      </c>
      <c r="P6259" s="2" t="s">
        <v>19139</v>
      </c>
      <c r="Q6259" s="6">
        <v>100</v>
      </c>
      <c r="R6259" s="6">
        <v>30</v>
      </c>
      <c r="S6259" s="5">
        <v>11.2</v>
      </c>
      <c r="T6259" s="2"/>
      <c r="U6259" s="5">
        <v>16.5</v>
      </c>
      <c r="V6259" s="6">
        <v>2.34</v>
      </c>
      <c r="W6259" s="6">
        <v>24.35</v>
      </c>
      <c r="X6259" s="5">
        <v>24.2</v>
      </c>
      <c r="Y6259" s="6">
        <v>28.83</v>
      </c>
      <c r="Z6259" s="6">
        <v>29.08</v>
      </c>
      <c r="AA6259" s="6">
        <v>4.76</v>
      </c>
      <c r="AB6259" s="2" t="s">
        <v>47</v>
      </c>
      <c r="AC6259" s="2"/>
    </row>
    <row r="6260" spans="1:29" ht="143" x14ac:dyDescent="0.15">
      <c r="A6260" s="3">
        <f t="shared" si="148"/>
        <v>37091</v>
      </c>
      <c r="B6260" s="3">
        <f>DATE(2001,12,31)</f>
        <v>37256</v>
      </c>
      <c r="C6260" s="2" t="s">
        <v>95</v>
      </c>
      <c r="D6260" s="2" t="s">
        <v>19140</v>
      </c>
      <c r="E6260" s="2" t="s">
        <v>389</v>
      </c>
      <c r="F6260" s="4">
        <v>6035</v>
      </c>
      <c r="G6260" s="2" t="s">
        <v>33</v>
      </c>
      <c r="H6260" s="2" t="s">
        <v>34</v>
      </c>
      <c r="I6260" s="2" t="s">
        <v>19141</v>
      </c>
      <c r="J6260" s="2" t="s">
        <v>1181</v>
      </c>
      <c r="K6260" s="2" t="s">
        <v>37</v>
      </c>
      <c r="L6260" s="2" t="s">
        <v>34</v>
      </c>
      <c r="M6260" s="2"/>
      <c r="N6260" s="2"/>
      <c r="O6260" s="2"/>
      <c r="P6260" s="2" t="s">
        <v>19142</v>
      </c>
      <c r="Q6260" s="6">
        <v>100</v>
      </c>
      <c r="R6260" s="6">
        <v>12.01</v>
      </c>
      <c r="S6260" s="5">
        <v>0.2</v>
      </c>
      <c r="T6260" s="6">
        <v>0.28000000000000003</v>
      </c>
      <c r="U6260" s="5">
        <v>10.3</v>
      </c>
      <c r="V6260" s="6">
        <v>0.24</v>
      </c>
      <c r="W6260" s="6">
        <v>6.35</v>
      </c>
      <c r="X6260" s="6">
        <v>6.35</v>
      </c>
      <c r="Y6260" s="6">
        <v>6.35</v>
      </c>
      <c r="Z6260" s="4">
        <v>10</v>
      </c>
      <c r="AA6260" s="6">
        <v>0.81</v>
      </c>
      <c r="AB6260" s="7">
        <v>136.47</v>
      </c>
      <c r="AC6260" s="2"/>
    </row>
    <row r="6261" spans="1:29" ht="117" x14ac:dyDescent="0.15">
      <c r="A6261" s="3">
        <f t="shared" si="148"/>
        <v>37091</v>
      </c>
      <c r="B6261" s="3">
        <f>DATE(2001,12,31)</f>
        <v>37256</v>
      </c>
      <c r="C6261" s="2" t="s">
        <v>95</v>
      </c>
      <c r="D6261" s="2" t="s">
        <v>2589</v>
      </c>
      <c r="E6261" s="2" t="s">
        <v>2590</v>
      </c>
      <c r="F6261" s="4">
        <v>7832</v>
      </c>
      <c r="G6261" s="2" t="s">
        <v>42</v>
      </c>
      <c r="H6261" s="2" t="s">
        <v>34</v>
      </c>
      <c r="I6261" s="2" t="s">
        <v>2587</v>
      </c>
      <c r="J6261" s="2" t="s">
        <v>2588</v>
      </c>
      <c r="K6261" s="2" t="s">
        <v>109</v>
      </c>
      <c r="L6261" s="2" t="s">
        <v>34</v>
      </c>
      <c r="M6261" s="7">
        <v>14.922000000000001</v>
      </c>
      <c r="N6261" s="6">
        <v>1.31</v>
      </c>
      <c r="O6261" s="6">
        <v>1.45</v>
      </c>
      <c r="P6261" s="2" t="s">
        <v>19143</v>
      </c>
      <c r="Q6261" s="6">
        <v>100</v>
      </c>
      <c r="R6261" s="6">
        <v>1.87</v>
      </c>
      <c r="S6261" s="5">
        <v>-11.3</v>
      </c>
      <c r="T6261" s="5">
        <v>-22.2</v>
      </c>
      <c r="U6261" s="5">
        <v>4.3</v>
      </c>
      <c r="V6261" s="6">
        <v>-1.1299999999999999</v>
      </c>
      <c r="W6261" s="6">
        <v>2.0499999999999998</v>
      </c>
      <c r="X6261" s="6">
        <v>2.0499999999999998</v>
      </c>
      <c r="Y6261" s="5">
        <v>1.8</v>
      </c>
      <c r="Z6261" s="5">
        <v>1.8</v>
      </c>
      <c r="AA6261" s="6">
        <v>3.4</v>
      </c>
      <c r="AB6261" s="2" t="s">
        <v>86</v>
      </c>
      <c r="AC6261" s="5">
        <v>16</v>
      </c>
    </row>
    <row r="6262" spans="1:29" ht="91" x14ac:dyDescent="0.15">
      <c r="A6262" s="3">
        <f t="shared" si="148"/>
        <v>37091</v>
      </c>
      <c r="B6262" s="3">
        <f>DATE(2001,9,20)</f>
        <v>37154</v>
      </c>
      <c r="C6262" s="2" t="s">
        <v>95</v>
      </c>
      <c r="D6262" s="2" t="s">
        <v>18581</v>
      </c>
      <c r="E6262" s="2" t="s">
        <v>18582</v>
      </c>
      <c r="F6262" s="4">
        <v>3669</v>
      </c>
      <c r="G6262" s="2" t="s">
        <v>921</v>
      </c>
      <c r="H6262" s="2" t="s">
        <v>34</v>
      </c>
      <c r="I6262" s="2" t="s">
        <v>12170</v>
      </c>
      <c r="J6262" s="2" t="s">
        <v>12171</v>
      </c>
      <c r="K6262" s="2" t="s">
        <v>226</v>
      </c>
      <c r="L6262" s="2" t="s">
        <v>34</v>
      </c>
      <c r="M6262" s="2"/>
      <c r="N6262" s="2"/>
      <c r="O6262" s="2"/>
      <c r="P6262" s="2" t="s">
        <v>19144</v>
      </c>
      <c r="Q6262" s="6">
        <v>100</v>
      </c>
      <c r="R6262" s="6">
        <v>3.75</v>
      </c>
      <c r="S6262" s="5">
        <v>-22.3</v>
      </c>
      <c r="T6262" s="5">
        <v>-10.4</v>
      </c>
      <c r="U6262" s="5">
        <v>2</v>
      </c>
      <c r="V6262" s="6">
        <v>-1.75</v>
      </c>
      <c r="W6262" s="6">
        <v>1.98</v>
      </c>
      <c r="X6262" s="5">
        <v>2.2000000000000002</v>
      </c>
      <c r="Y6262" s="6">
        <v>2.31</v>
      </c>
      <c r="Z6262" s="6">
        <v>3.67</v>
      </c>
      <c r="AA6262" s="6">
        <v>11.95</v>
      </c>
      <c r="AB6262" s="2" t="s">
        <v>86</v>
      </c>
      <c r="AC6262" s="2"/>
    </row>
    <row r="6263" spans="1:29" ht="286" x14ac:dyDescent="0.15">
      <c r="A6263" s="3">
        <f t="shared" si="148"/>
        <v>37091</v>
      </c>
      <c r="B6263" s="3">
        <f>DATE(2001,10,25)</f>
        <v>37189</v>
      </c>
      <c r="C6263" s="2" t="s">
        <v>95</v>
      </c>
      <c r="D6263" s="2" t="s">
        <v>19145</v>
      </c>
      <c r="E6263" s="2" t="s">
        <v>19146</v>
      </c>
      <c r="F6263" s="4">
        <v>7311</v>
      </c>
      <c r="G6263" s="2" t="s">
        <v>4563</v>
      </c>
      <c r="H6263" s="2" t="s">
        <v>34</v>
      </c>
      <c r="I6263" s="2" t="s">
        <v>19147</v>
      </c>
      <c r="J6263" s="2" t="s">
        <v>4562</v>
      </c>
      <c r="K6263" s="2" t="s">
        <v>223</v>
      </c>
      <c r="L6263" s="2" t="s">
        <v>34</v>
      </c>
      <c r="M6263" s="7">
        <v>64.394999999999996</v>
      </c>
      <c r="N6263" s="6">
        <v>1.93</v>
      </c>
      <c r="O6263" s="6">
        <v>1.85</v>
      </c>
      <c r="P6263" s="2" t="s">
        <v>19148</v>
      </c>
      <c r="Q6263" s="6">
        <v>100</v>
      </c>
      <c r="R6263" s="6">
        <v>1.81</v>
      </c>
      <c r="S6263" s="5">
        <v>-128.9</v>
      </c>
      <c r="T6263" s="5">
        <v>-25.3</v>
      </c>
      <c r="U6263" s="5">
        <v>2</v>
      </c>
      <c r="V6263" s="6">
        <v>-5.18</v>
      </c>
      <c r="W6263" s="6">
        <v>1.68</v>
      </c>
      <c r="X6263" s="6">
        <v>1.75</v>
      </c>
      <c r="Y6263" s="6">
        <v>1.65</v>
      </c>
      <c r="Z6263" s="6">
        <v>1.62</v>
      </c>
      <c r="AA6263" s="6">
        <v>25.98</v>
      </c>
      <c r="AB6263" s="2" t="s">
        <v>86</v>
      </c>
      <c r="AC6263" s="5">
        <v>1.8</v>
      </c>
    </row>
    <row r="6264" spans="1:29" ht="156" x14ac:dyDescent="0.15">
      <c r="A6264" s="3">
        <f t="shared" si="148"/>
        <v>37091</v>
      </c>
      <c r="B6264" s="3">
        <f>DATE(2001,12,31)</f>
        <v>37256</v>
      </c>
      <c r="C6264" s="2" t="s">
        <v>95</v>
      </c>
      <c r="D6264" s="2" t="s">
        <v>7870</v>
      </c>
      <c r="E6264" s="2" t="s">
        <v>844</v>
      </c>
      <c r="F6264" s="4">
        <v>6552</v>
      </c>
      <c r="G6264" s="2" t="s">
        <v>109</v>
      </c>
      <c r="H6264" s="2" t="s">
        <v>34</v>
      </c>
      <c r="I6264" s="2" t="s">
        <v>2587</v>
      </c>
      <c r="J6264" s="2" t="s">
        <v>2588</v>
      </c>
      <c r="K6264" s="2" t="s">
        <v>109</v>
      </c>
      <c r="L6264" s="2" t="s">
        <v>34</v>
      </c>
      <c r="M6264" s="7">
        <v>14.922000000000001</v>
      </c>
      <c r="N6264" s="6">
        <v>1.31</v>
      </c>
      <c r="O6264" s="6">
        <v>1.45</v>
      </c>
      <c r="P6264" s="2" t="s">
        <v>19149</v>
      </c>
      <c r="Q6264" s="6">
        <v>100</v>
      </c>
      <c r="R6264" s="6">
        <v>2</v>
      </c>
      <c r="S6264" s="5">
        <v>-15.1</v>
      </c>
      <c r="T6264" s="5">
        <v>-22.5</v>
      </c>
      <c r="U6264" s="5">
        <v>8.6</v>
      </c>
      <c r="V6264" s="6">
        <v>-2.4500000000000002</v>
      </c>
      <c r="W6264" s="5">
        <v>1.9</v>
      </c>
      <c r="X6264" s="5">
        <v>1.9</v>
      </c>
      <c r="Y6264" s="4">
        <v>2</v>
      </c>
      <c r="Z6264" s="4">
        <v>2</v>
      </c>
      <c r="AA6264" s="6">
        <v>7.45</v>
      </c>
      <c r="AB6264" s="2" t="s">
        <v>86</v>
      </c>
      <c r="AC6264" s="5">
        <v>8.1</v>
      </c>
    </row>
    <row r="6265" spans="1:29" ht="65" x14ac:dyDescent="0.15">
      <c r="A6265" s="3">
        <f>DATE(2001,7,20)</f>
        <v>37092</v>
      </c>
      <c r="B6265" s="3">
        <f>DATE(2002,1,4)</f>
        <v>37260</v>
      </c>
      <c r="C6265" s="2" t="s">
        <v>95</v>
      </c>
      <c r="D6265" s="2" t="s">
        <v>19150</v>
      </c>
      <c r="E6265" s="2" t="s">
        <v>19151</v>
      </c>
      <c r="F6265" s="4">
        <v>6331</v>
      </c>
      <c r="G6265" s="2" t="s">
        <v>125</v>
      </c>
      <c r="H6265" s="2" t="s">
        <v>34</v>
      </c>
      <c r="I6265" s="2" t="s">
        <v>19152</v>
      </c>
      <c r="J6265" s="2" t="s">
        <v>19153</v>
      </c>
      <c r="K6265" s="2" t="s">
        <v>125</v>
      </c>
      <c r="L6265" s="2" t="s">
        <v>34</v>
      </c>
      <c r="M6265" s="12">
        <v>1485.7809999999999</v>
      </c>
      <c r="N6265" s="6">
        <v>206.61</v>
      </c>
      <c r="O6265" s="6">
        <v>206.33</v>
      </c>
      <c r="P6265" s="2" t="s">
        <v>19154</v>
      </c>
      <c r="Q6265" s="6">
        <v>100</v>
      </c>
      <c r="R6265" s="6">
        <v>16.5</v>
      </c>
      <c r="S6265" s="5">
        <v>14.5</v>
      </c>
      <c r="T6265" s="2"/>
      <c r="U6265" s="5">
        <v>13.2</v>
      </c>
      <c r="V6265" s="6">
        <v>1.3</v>
      </c>
      <c r="W6265" s="6">
        <v>14.75</v>
      </c>
      <c r="X6265" s="4">
        <v>15</v>
      </c>
      <c r="Y6265" s="4">
        <v>15</v>
      </c>
      <c r="Z6265" s="6">
        <v>16.149999999999999</v>
      </c>
      <c r="AA6265" s="6">
        <v>10.95</v>
      </c>
      <c r="AB6265" s="7">
        <v>9.5470000000000006</v>
      </c>
      <c r="AC6265" s="2"/>
    </row>
    <row r="6266" spans="1:29" ht="52" x14ac:dyDescent="0.15">
      <c r="A6266" s="3">
        <f>DATE(2001,7,20)</f>
        <v>37092</v>
      </c>
      <c r="B6266" s="3">
        <f>DATE(2001,12,18)</f>
        <v>37243</v>
      </c>
      <c r="C6266" s="2" t="s">
        <v>95</v>
      </c>
      <c r="D6266" s="2" t="s">
        <v>19155</v>
      </c>
      <c r="E6266" s="2" t="s">
        <v>36</v>
      </c>
      <c r="F6266" s="4">
        <v>6021</v>
      </c>
      <c r="G6266" s="2" t="s">
        <v>37</v>
      </c>
      <c r="H6266" s="2" t="s">
        <v>34</v>
      </c>
      <c r="I6266" s="2" t="s">
        <v>19156</v>
      </c>
      <c r="J6266" s="2" t="s">
        <v>265</v>
      </c>
      <c r="K6266" s="2" t="s">
        <v>37</v>
      </c>
      <c r="L6266" s="2" t="s">
        <v>34</v>
      </c>
      <c r="M6266" s="7">
        <v>11.401999999999999</v>
      </c>
      <c r="N6266" s="6">
        <v>7.55</v>
      </c>
      <c r="O6266" s="5">
        <v>7.5</v>
      </c>
      <c r="P6266" s="2" t="s">
        <v>19157</v>
      </c>
      <c r="Q6266" s="6">
        <v>100</v>
      </c>
      <c r="R6266" s="6">
        <v>10.33</v>
      </c>
      <c r="S6266" s="2"/>
      <c r="T6266" s="2"/>
      <c r="U6266" s="2"/>
      <c r="V6266" s="2"/>
      <c r="W6266" s="4">
        <v>9</v>
      </c>
      <c r="X6266" s="5">
        <v>8.5</v>
      </c>
      <c r="Y6266" s="5">
        <v>9.5</v>
      </c>
      <c r="Z6266" s="5">
        <v>9.5</v>
      </c>
      <c r="AA6266" s="6">
        <v>2.82</v>
      </c>
      <c r="AB6266" s="2" t="s">
        <v>47</v>
      </c>
      <c r="AC6266" s="2"/>
    </row>
    <row r="6267" spans="1:29" ht="169" x14ac:dyDescent="0.15">
      <c r="A6267" s="3">
        <f>DATE(2001,7,24)</f>
        <v>37096</v>
      </c>
      <c r="B6267" s="3">
        <f>DATE(2001,11,4)</f>
        <v>37199</v>
      </c>
      <c r="C6267" s="2" t="s">
        <v>95</v>
      </c>
      <c r="D6267" s="2" t="s">
        <v>19158</v>
      </c>
      <c r="E6267" s="2" t="s">
        <v>19159</v>
      </c>
      <c r="F6267" s="4">
        <v>8711</v>
      </c>
      <c r="G6267" s="2" t="s">
        <v>223</v>
      </c>
      <c r="H6267" s="2" t="s">
        <v>34</v>
      </c>
      <c r="I6267" s="2" t="s">
        <v>51</v>
      </c>
      <c r="J6267" s="2" t="s">
        <v>52</v>
      </c>
      <c r="K6267" s="2" t="s">
        <v>53</v>
      </c>
      <c r="L6267" s="2" t="s">
        <v>34</v>
      </c>
      <c r="M6267" s="2"/>
      <c r="N6267" s="2"/>
      <c r="O6267" s="2"/>
      <c r="P6267" s="2" t="s">
        <v>19160</v>
      </c>
      <c r="Q6267" s="6">
        <v>100</v>
      </c>
      <c r="R6267" s="6">
        <v>1.6</v>
      </c>
      <c r="S6267" s="5">
        <v>-0.4</v>
      </c>
      <c r="T6267" s="5">
        <v>0.3</v>
      </c>
      <c r="U6267" s="5">
        <v>1.7</v>
      </c>
      <c r="V6267" s="6">
        <v>-0.06</v>
      </c>
      <c r="W6267" s="6">
        <v>1.1100000000000001</v>
      </c>
      <c r="X6267" s="6">
        <v>1.06</v>
      </c>
      <c r="Y6267" s="6">
        <v>1.56</v>
      </c>
      <c r="Z6267" s="6">
        <v>1.57</v>
      </c>
      <c r="AA6267" s="6">
        <v>5.84</v>
      </c>
      <c r="AB6267" s="2" t="s">
        <v>86</v>
      </c>
      <c r="AC6267" s="2"/>
    </row>
    <row r="6268" spans="1:29" ht="156" x14ac:dyDescent="0.15">
      <c r="A6268" s="3">
        <f>DATE(2001,7,24)</f>
        <v>37096</v>
      </c>
      <c r="B6268" s="3">
        <f>DATE(2002,1,2)</f>
        <v>37258</v>
      </c>
      <c r="C6268" s="2" t="s">
        <v>95</v>
      </c>
      <c r="D6268" s="2" t="s">
        <v>19161</v>
      </c>
      <c r="E6268" s="2" t="s">
        <v>203</v>
      </c>
      <c r="F6268" s="4">
        <v>6035</v>
      </c>
      <c r="G6268" s="2" t="s">
        <v>33</v>
      </c>
      <c r="H6268" s="2" t="s">
        <v>34</v>
      </c>
      <c r="I6268" s="2" t="s">
        <v>19162</v>
      </c>
      <c r="J6268" s="2" t="s">
        <v>263</v>
      </c>
      <c r="K6268" s="2" t="s">
        <v>33</v>
      </c>
      <c r="L6268" s="2" t="s">
        <v>34</v>
      </c>
      <c r="M6268" s="7">
        <v>28.943000000000001</v>
      </c>
      <c r="N6268" s="6">
        <v>13.32</v>
      </c>
      <c r="O6268" s="6">
        <v>13.32</v>
      </c>
      <c r="P6268" s="2" t="s">
        <v>19163</v>
      </c>
      <c r="Q6268" s="6">
        <v>100</v>
      </c>
      <c r="R6268" s="6">
        <v>15.18</v>
      </c>
      <c r="S6268" s="5">
        <v>0.4</v>
      </c>
      <c r="T6268" s="7">
        <v>0.92900000000000005</v>
      </c>
      <c r="U6268" s="5">
        <v>14</v>
      </c>
      <c r="V6268" s="6">
        <v>0.34</v>
      </c>
      <c r="W6268" s="6">
        <v>13.92</v>
      </c>
      <c r="X6268" s="4">
        <v>14</v>
      </c>
      <c r="Y6268" s="6">
        <v>14.38</v>
      </c>
      <c r="Z6268" s="5">
        <v>14.4</v>
      </c>
      <c r="AA6268" s="6">
        <v>1.21</v>
      </c>
      <c r="AB6268" s="7">
        <v>59.72</v>
      </c>
      <c r="AC6268" s="5">
        <v>7.6</v>
      </c>
    </row>
    <row r="6269" spans="1:29" ht="208" x14ac:dyDescent="0.15">
      <c r="A6269" s="3">
        <f>DATE(2001,7,25)</f>
        <v>37097</v>
      </c>
      <c r="B6269" s="2"/>
      <c r="C6269" s="2" t="s">
        <v>30</v>
      </c>
      <c r="D6269" s="2" t="s">
        <v>19164</v>
      </c>
      <c r="E6269" s="2" t="s">
        <v>1027</v>
      </c>
      <c r="F6269" s="4">
        <v>4813</v>
      </c>
      <c r="G6269" s="2" t="s">
        <v>63</v>
      </c>
      <c r="H6269" s="2" t="s">
        <v>34</v>
      </c>
      <c r="I6269" s="2" t="s">
        <v>19165</v>
      </c>
      <c r="J6269" s="2" t="s">
        <v>6519</v>
      </c>
      <c r="K6269" s="2" t="s">
        <v>63</v>
      </c>
      <c r="L6269" s="2" t="s">
        <v>34</v>
      </c>
      <c r="M6269" s="6">
        <v>387.74</v>
      </c>
      <c r="N6269" s="6">
        <v>19.29</v>
      </c>
      <c r="O6269" s="6">
        <v>20.39</v>
      </c>
      <c r="P6269" s="2" t="s">
        <v>19166</v>
      </c>
      <c r="Q6269" s="2"/>
      <c r="R6269" s="6">
        <v>40</v>
      </c>
      <c r="S6269" s="5">
        <v>3</v>
      </c>
      <c r="T6269" s="5">
        <v>14.8</v>
      </c>
      <c r="U6269" s="5">
        <v>9</v>
      </c>
      <c r="V6269" s="6">
        <v>0.3</v>
      </c>
      <c r="W6269" s="5">
        <v>30.3</v>
      </c>
      <c r="X6269" s="6">
        <v>31.75</v>
      </c>
      <c r="Y6269" s="4">
        <v>37</v>
      </c>
      <c r="Z6269" s="6">
        <v>37.15</v>
      </c>
      <c r="AA6269" s="6">
        <v>7.88</v>
      </c>
      <c r="AB6269" s="7">
        <v>36.722999999999999</v>
      </c>
      <c r="AC6269" s="5">
        <v>1.6</v>
      </c>
    </row>
    <row r="6270" spans="1:29" ht="169" x14ac:dyDescent="0.15">
      <c r="A6270" s="3">
        <f>DATE(2001,7,30)</f>
        <v>37102</v>
      </c>
      <c r="B6270" s="3">
        <f>DATE(2001,10,25)</f>
        <v>37189</v>
      </c>
      <c r="C6270" s="2" t="s">
        <v>95</v>
      </c>
      <c r="D6270" s="2" t="s">
        <v>14197</v>
      </c>
      <c r="E6270" s="2" t="s">
        <v>14198</v>
      </c>
      <c r="F6270" s="4">
        <v>6153</v>
      </c>
      <c r="G6270" s="2" t="s">
        <v>370</v>
      </c>
      <c r="H6270" s="2" t="s">
        <v>34</v>
      </c>
      <c r="I6270" s="2" t="s">
        <v>4726</v>
      </c>
      <c r="J6270" s="2" t="s">
        <v>4727</v>
      </c>
      <c r="K6270" s="2" t="s">
        <v>370</v>
      </c>
      <c r="L6270" s="2" t="s">
        <v>34</v>
      </c>
      <c r="M6270" s="2"/>
      <c r="N6270" s="2"/>
      <c r="O6270" s="2"/>
      <c r="P6270" s="2" t="s">
        <v>19167</v>
      </c>
      <c r="Q6270" s="6">
        <v>100</v>
      </c>
      <c r="R6270" s="6">
        <v>53.75</v>
      </c>
      <c r="S6270" s="5">
        <v>291</v>
      </c>
      <c r="T6270" s="8">
        <v>1500</v>
      </c>
      <c r="U6270" s="5">
        <v>23.3</v>
      </c>
      <c r="V6270" s="6">
        <v>2.64</v>
      </c>
      <c r="W6270" s="6">
        <v>36.17</v>
      </c>
      <c r="X6270" s="5">
        <v>35.9</v>
      </c>
      <c r="Y6270" s="6">
        <v>52.99</v>
      </c>
      <c r="Z6270" s="6">
        <v>52.93</v>
      </c>
      <c r="AA6270" s="6">
        <v>96.91</v>
      </c>
      <c r="AB6270" s="7">
        <v>14.07</v>
      </c>
      <c r="AC6270" s="2"/>
    </row>
    <row r="6271" spans="1:29" ht="143" x14ac:dyDescent="0.15">
      <c r="A6271" s="3">
        <f>DATE(2001,7,31)</f>
        <v>37103</v>
      </c>
      <c r="B6271" s="3">
        <f>DATE(2001,11,7)</f>
        <v>37202</v>
      </c>
      <c r="C6271" s="2" t="s">
        <v>95</v>
      </c>
      <c r="D6271" s="2" t="s">
        <v>19168</v>
      </c>
      <c r="E6271" s="2" t="s">
        <v>19169</v>
      </c>
      <c r="F6271" s="4">
        <v>7373</v>
      </c>
      <c r="G6271" s="2" t="s">
        <v>223</v>
      </c>
      <c r="H6271" s="2" t="s">
        <v>34</v>
      </c>
      <c r="I6271" s="2" t="s">
        <v>19170</v>
      </c>
      <c r="J6271" s="2" t="s">
        <v>17923</v>
      </c>
      <c r="K6271" s="2" t="s">
        <v>223</v>
      </c>
      <c r="L6271" s="2" t="s">
        <v>34</v>
      </c>
      <c r="M6271" s="7">
        <v>61.756999999999998</v>
      </c>
      <c r="N6271" s="6">
        <v>0.54</v>
      </c>
      <c r="O6271" s="6">
        <v>0.61</v>
      </c>
      <c r="P6271" s="2" t="s">
        <v>19171</v>
      </c>
      <c r="Q6271" s="6">
        <v>100</v>
      </c>
      <c r="R6271" s="6">
        <v>0.44</v>
      </c>
      <c r="S6271" s="5">
        <v>-385.1</v>
      </c>
      <c r="T6271" s="5">
        <v>-117.3</v>
      </c>
      <c r="U6271" s="5">
        <v>0.7</v>
      </c>
      <c r="V6271" s="6">
        <v>-4.96</v>
      </c>
      <c r="W6271" s="6">
        <v>0.87</v>
      </c>
      <c r="X6271" s="4">
        <v>1</v>
      </c>
      <c r="Y6271" s="6">
        <v>0.53</v>
      </c>
      <c r="Z6271" s="6">
        <v>0.45</v>
      </c>
      <c r="AA6271" s="6">
        <v>95.47</v>
      </c>
      <c r="AB6271" s="2" t="s">
        <v>86</v>
      </c>
      <c r="AC6271" s="5">
        <v>68.7</v>
      </c>
    </row>
    <row r="6272" spans="1:29" ht="156" x14ac:dyDescent="0.15">
      <c r="A6272" s="3">
        <f>DATE(2001,7,31)</f>
        <v>37103</v>
      </c>
      <c r="B6272" s="2"/>
      <c r="C6272" s="2" t="s">
        <v>7330</v>
      </c>
      <c r="D6272" s="2" t="s">
        <v>19172</v>
      </c>
      <c r="E6272" s="2" t="s">
        <v>1283</v>
      </c>
      <c r="F6272" s="4">
        <v>5812</v>
      </c>
      <c r="G6272" s="2" t="s">
        <v>230</v>
      </c>
      <c r="H6272" s="2" t="s">
        <v>34</v>
      </c>
      <c r="I6272" s="2" t="s">
        <v>19173</v>
      </c>
      <c r="J6272" s="2" t="s">
        <v>9299</v>
      </c>
      <c r="K6272" s="2" t="s">
        <v>53</v>
      </c>
      <c r="L6272" s="2" t="s">
        <v>34</v>
      </c>
      <c r="M6272" s="2"/>
      <c r="N6272" s="2"/>
      <c r="O6272" s="2"/>
      <c r="P6272" s="2" t="s">
        <v>19174</v>
      </c>
      <c r="Q6272" s="2"/>
      <c r="R6272" s="6">
        <v>4.5</v>
      </c>
      <c r="S6272" s="5">
        <v>0.9</v>
      </c>
      <c r="T6272" s="7">
        <v>4.2270000000000003</v>
      </c>
      <c r="U6272" s="5">
        <v>4.4000000000000004</v>
      </c>
      <c r="V6272" s="6">
        <v>0.25</v>
      </c>
      <c r="W6272" s="6">
        <v>2.86</v>
      </c>
      <c r="X6272" s="4">
        <v>3</v>
      </c>
      <c r="Y6272" s="4">
        <v>3</v>
      </c>
      <c r="Z6272" s="6">
        <v>3.22</v>
      </c>
      <c r="AA6272" s="6">
        <v>3.52</v>
      </c>
      <c r="AB6272" s="7">
        <v>12.648999999999999</v>
      </c>
      <c r="AC6272" s="2"/>
    </row>
    <row r="6273" spans="1:29" ht="130" x14ac:dyDescent="0.15">
      <c r="A6273" s="3">
        <f>DATE(2001,7,31)</f>
        <v>37103</v>
      </c>
      <c r="B6273" s="3">
        <f>DATE(2001,12,31)</f>
        <v>37256</v>
      </c>
      <c r="C6273" s="2" t="s">
        <v>95</v>
      </c>
      <c r="D6273" s="2" t="s">
        <v>19175</v>
      </c>
      <c r="E6273" s="2" t="s">
        <v>265</v>
      </c>
      <c r="F6273" s="4">
        <v>6021</v>
      </c>
      <c r="G6273" s="2" t="s">
        <v>37</v>
      </c>
      <c r="H6273" s="2" t="s">
        <v>34</v>
      </c>
      <c r="I6273" s="2" t="s">
        <v>19176</v>
      </c>
      <c r="J6273" s="2" t="s">
        <v>36</v>
      </c>
      <c r="K6273" s="2" t="s">
        <v>37</v>
      </c>
      <c r="L6273" s="2" t="s">
        <v>34</v>
      </c>
      <c r="M6273" s="7">
        <v>807.75300000000004</v>
      </c>
      <c r="N6273" s="6">
        <v>38.950000000000003</v>
      </c>
      <c r="O6273" s="5">
        <v>39.5</v>
      </c>
      <c r="P6273" s="2" t="s">
        <v>19177</v>
      </c>
      <c r="Q6273" s="6">
        <v>100</v>
      </c>
      <c r="R6273" s="6">
        <v>24.75</v>
      </c>
      <c r="S6273" s="5">
        <v>5.3</v>
      </c>
      <c r="T6273" s="5">
        <v>10.199999999999999</v>
      </c>
      <c r="U6273" s="5">
        <v>16.899999999999999</v>
      </c>
      <c r="V6273" s="6">
        <v>1.3</v>
      </c>
      <c r="W6273" s="6">
        <v>18.489999999999998</v>
      </c>
      <c r="X6273" s="5">
        <v>18.5</v>
      </c>
      <c r="Y6273" s="6">
        <v>24.08</v>
      </c>
      <c r="Z6273" s="4">
        <v>24</v>
      </c>
      <c r="AA6273" s="6">
        <v>3.77</v>
      </c>
      <c r="AB6273" s="7">
        <v>72.403000000000006</v>
      </c>
      <c r="AC6273" s="5">
        <v>138.30000000000001</v>
      </c>
    </row>
    <row r="6274" spans="1:29" ht="130" x14ac:dyDescent="0.15">
      <c r="A6274" s="3">
        <f>DATE(2001,7,31)</f>
        <v>37103</v>
      </c>
      <c r="B6274" s="3">
        <f>DATE(2001,9,20)</f>
        <v>37154</v>
      </c>
      <c r="C6274" s="2" t="s">
        <v>95</v>
      </c>
      <c r="D6274" s="2" t="s">
        <v>347</v>
      </c>
      <c r="E6274" s="2" t="s">
        <v>348</v>
      </c>
      <c r="F6274" s="4">
        <v>7359</v>
      </c>
      <c r="G6274" s="2" t="s">
        <v>223</v>
      </c>
      <c r="H6274" s="2" t="s">
        <v>34</v>
      </c>
      <c r="I6274" s="2" t="s">
        <v>6692</v>
      </c>
      <c r="J6274" s="2" t="s">
        <v>515</v>
      </c>
      <c r="K6274" s="2" t="s">
        <v>125</v>
      </c>
      <c r="L6274" s="2" t="s">
        <v>34</v>
      </c>
      <c r="M6274" s="10">
        <v>473357.29</v>
      </c>
      <c r="N6274" s="4">
        <v>69200</v>
      </c>
      <c r="O6274" s="4">
        <v>69500</v>
      </c>
      <c r="P6274" s="2" t="s">
        <v>19178</v>
      </c>
      <c r="Q6274" s="6">
        <v>100</v>
      </c>
      <c r="R6274" s="6">
        <v>55</v>
      </c>
      <c r="S6274" s="5">
        <v>47</v>
      </c>
      <c r="T6274" s="2"/>
      <c r="U6274" s="5">
        <v>31.2</v>
      </c>
      <c r="V6274" s="6">
        <v>4.13</v>
      </c>
      <c r="W6274" s="6">
        <v>50.47</v>
      </c>
      <c r="X6274" s="5">
        <v>52.3</v>
      </c>
      <c r="Y6274" s="6">
        <v>54.72</v>
      </c>
      <c r="Z6274" s="6">
        <v>54.95</v>
      </c>
      <c r="AA6274" s="6">
        <v>10.49</v>
      </c>
      <c r="AB6274" s="2" t="s">
        <v>47</v>
      </c>
      <c r="AC6274" s="8">
        <v>7143</v>
      </c>
    </row>
    <row r="6275" spans="1:29" ht="260" x14ac:dyDescent="0.15">
      <c r="A6275" s="3">
        <f>DATE(2001,8,1)</f>
        <v>37104</v>
      </c>
      <c r="B6275" s="2"/>
      <c r="C6275" s="2" t="s">
        <v>30</v>
      </c>
      <c r="D6275" s="2" t="s">
        <v>19179</v>
      </c>
      <c r="E6275" s="2" t="s">
        <v>19180</v>
      </c>
      <c r="F6275" s="4">
        <v>3648</v>
      </c>
      <c r="G6275" s="2" t="s">
        <v>137</v>
      </c>
      <c r="H6275" s="2" t="s">
        <v>34</v>
      </c>
      <c r="I6275" s="2" t="s">
        <v>315</v>
      </c>
      <c r="J6275" s="2" t="s">
        <v>316</v>
      </c>
      <c r="K6275" s="2" t="s">
        <v>226</v>
      </c>
      <c r="L6275" s="2" t="s">
        <v>34</v>
      </c>
      <c r="M6275" s="12">
        <v>8320.5390000000007</v>
      </c>
      <c r="N6275" s="5">
        <v>56.3</v>
      </c>
      <c r="O6275" s="6">
        <v>57.29</v>
      </c>
      <c r="P6275" s="2" t="s">
        <v>19181</v>
      </c>
      <c r="Q6275" s="2"/>
      <c r="R6275" s="6">
        <v>57.79</v>
      </c>
      <c r="S6275" s="5">
        <v>305</v>
      </c>
      <c r="T6275" s="5">
        <v>755.4</v>
      </c>
      <c r="U6275" s="5">
        <v>10.5</v>
      </c>
      <c r="V6275" s="6">
        <v>1.62</v>
      </c>
      <c r="W6275" s="6">
        <v>39.24</v>
      </c>
      <c r="X6275" s="6">
        <v>41.51</v>
      </c>
      <c r="Y6275" s="5">
        <v>52.9</v>
      </c>
      <c r="Z6275" s="6">
        <v>54.52</v>
      </c>
      <c r="AA6275" s="6">
        <v>93.61</v>
      </c>
      <c r="AB6275" s="7">
        <v>21.542999999999999</v>
      </c>
      <c r="AC6275" s="5">
        <v>675.3</v>
      </c>
    </row>
    <row r="6276" spans="1:29" ht="143" x14ac:dyDescent="0.15">
      <c r="A6276" s="3">
        <f>DATE(2001,8,1)</f>
        <v>37104</v>
      </c>
      <c r="B6276" s="2"/>
      <c r="C6276" s="2" t="s">
        <v>30</v>
      </c>
      <c r="D6276" s="2" t="s">
        <v>19182</v>
      </c>
      <c r="E6276" s="2" t="s">
        <v>19183</v>
      </c>
      <c r="F6276" s="4">
        <v>3571</v>
      </c>
      <c r="G6276" s="2" t="s">
        <v>50</v>
      </c>
      <c r="H6276" s="2" t="s">
        <v>34</v>
      </c>
      <c r="I6276" s="2" t="s">
        <v>8711</v>
      </c>
      <c r="J6276" s="2" t="s">
        <v>8712</v>
      </c>
      <c r="K6276" s="2" t="s">
        <v>300</v>
      </c>
      <c r="L6276" s="2" t="s">
        <v>34</v>
      </c>
      <c r="M6276" s="12">
        <v>1514.2329999999999</v>
      </c>
      <c r="N6276" s="6">
        <v>44.85</v>
      </c>
      <c r="O6276" s="5">
        <v>44.1</v>
      </c>
      <c r="P6276" s="2" t="s">
        <v>19184</v>
      </c>
      <c r="Q6276" s="2"/>
      <c r="R6276" s="6">
        <v>7.25</v>
      </c>
      <c r="S6276" s="5">
        <v>3.4</v>
      </c>
      <c r="T6276" s="5">
        <v>9.6</v>
      </c>
      <c r="U6276" s="5">
        <v>1.8</v>
      </c>
      <c r="V6276" s="6">
        <v>0.27</v>
      </c>
      <c r="W6276" s="6">
        <v>5.89</v>
      </c>
      <c r="X6276" s="6">
        <v>5.73</v>
      </c>
      <c r="Y6276" s="6">
        <v>7.16</v>
      </c>
      <c r="Z6276" s="6">
        <v>7.19</v>
      </c>
      <c r="AA6276" s="6">
        <v>11.76</v>
      </c>
      <c r="AB6276" s="7">
        <v>13.256</v>
      </c>
      <c r="AC6276" s="5">
        <v>24.8</v>
      </c>
    </row>
    <row r="6277" spans="1:29" ht="143" x14ac:dyDescent="0.15">
      <c r="A6277" s="3">
        <f>DATE(2001,8,1)</f>
        <v>37104</v>
      </c>
      <c r="B6277" s="3">
        <f>DATE(2002,1,18)</f>
        <v>37274</v>
      </c>
      <c r="C6277" s="2" t="s">
        <v>95</v>
      </c>
      <c r="D6277" s="2" t="s">
        <v>19185</v>
      </c>
      <c r="E6277" s="2" t="s">
        <v>19186</v>
      </c>
      <c r="F6277" s="4">
        <v>5211</v>
      </c>
      <c r="G6277" s="2" t="s">
        <v>73</v>
      </c>
      <c r="H6277" s="2" t="s">
        <v>34</v>
      </c>
      <c r="I6277" s="2" t="s">
        <v>19187</v>
      </c>
      <c r="J6277" s="2" t="s">
        <v>150</v>
      </c>
      <c r="K6277" s="2" t="s">
        <v>53</v>
      </c>
      <c r="L6277" s="2" t="s">
        <v>34</v>
      </c>
      <c r="M6277" s="2"/>
      <c r="N6277" s="2"/>
      <c r="O6277" s="2"/>
      <c r="P6277" s="2" t="s">
        <v>19188</v>
      </c>
      <c r="Q6277" s="6">
        <v>36.51</v>
      </c>
      <c r="R6277" s="6">
        <v>1.4</v>
      </c>
      <c r="S6277" s="5">
        <v>1</v>
      </c>
      <c r="T6277" s="5">
        <v>3.9</v>
      </c>
      <c r="U6277" s="5">
        <v>1.7</v>
      </c>
      <c r="V6277" s="6">
        <v>0.14000000000000001</v>
      </c>
      <c r="W6277" s="6">
        <v>1.1100000000000001</v>
      </c>
      <c r="X6277" s="6">
        <v>1.1100000000000001</v>
      </c>
      <c r="Y6277" s="6">
        <v>1.1200000000000001</v>
      </c>
      <c r="Z6277" s="6">
        <v>1.19</v>
      </c>
      <c r="AA6277" s="6">
        <v>7.14</v>
      </c>
      <c r="AB6277" s="7">
        <v>10.08</v>
      </c>
      <c r="AC6277" s="2"/>
    </row>
    <row r="6278" spans="1:29" ht="195" x14ac:dyDescent="0.15">
      <c r="A6278" s="3">
        <f>DATE(2001,8,1)</f>
        <v>37104</v>
      </c>
      <c r="B6278" s="3">
        <f>DATE(2002,1,25)</f>
        <v>37281</v>
      </c>
      <c r="C6278" s="2" t="s">
        <v>95</v>
      </c>
      <c r="D6278" s="2" t="s">
        <v>19189</v>
      </c>
      <c r="E6278" s="2" t="s">
        <v>265</v>
      </c>
      <c r="F6278" s="4">
        <v>6021</v>
      </c>
      <c r="G6278" s="2" t="s">
        <v>37</v>
      </c>
      <c r="H6278" s="2" t="s">
        <v>34</v>
      </c>
      <c r="I6278" s="2" t="s">
        <v>17234</v>
      </c>
      <c r="J6278" s="2" t="s">
        <v>159</v>
      </c>
      <c r="K6278" s="2" t="s">
        <v>37</v>
      </c>
      <c r="L6278" s="2" t="s">
        <v>34</v>
      </c>
      <c r="M6278" s="7">
        <v>76.433000000000007</v>
      </c>
      <c r="N6278" s="5">
        <v>18.5</v>
      </c>
      <c r="O6278" s="5">
        <v>18.5</v>
      </c>
      <c r="P6278" s="2" t="s">
        <v>19190</v>
      </c>
      <c r="Q6278" s="6">
        <v>100</v>
      </c>
      <c r="R6278" s="6">
        <v>24.21</v>
      </c>
      <c r="S6278" s="5">
        <v>2.5</v>
      </c>
      <c r="T6278" s="7">
        <v>4.117</v>
      </c>
      <c r="U6278" s="5">
        <v>12.9</v>
      </c>
      <c r="V6278" s="2"/>
      <c r="W6278" s="6">
        <v>15.75</v>
      </c>
      <c r="X6278" s="4">
        <v>16</v>
      </c>
      <c r="Y6278" s="4">
        <v>25</v>
      </c>
      <c r="Z6278" s="5">
        <v>25.5</v>
      </c>
      <c r="AA6278" s="6">
        <v>1.6</v>
      </c>
      <c r="AB6278" s="7">
        <v>51.128999999999998</v>
      </c>
      <c r="AC6278" s="5">
        <v>62.8</v>
      </c>
    </row>
    <row r="6279" spans="1:29" ht="104" x14ac:dyDescent="0.15">
      <c r="A6279" s="3">
        <f>DATE(2001,8,1)</f>
        <v>37104</v>
      </c>
      <c r="B6279" s="3">
        <f>DATE(2001,11,1)</f>
        <v>37196</v>
      </c>
      <c r="C6279" s="2" t="s">
        <v>95</v>
      </c>
      <c r="D6279" s="2" t="s">
        <v>19191</v>
      </c>
      <c r="E6279" s="2" t="s">
        <v>19192</v>
      </c>
      <c r="F6279" s="4">
        <v>6211</v>
      </c>
      <c r="G6279" s="2" t="s">
        <v>53</v>
      </c>
      <c r="H6279" s="2" t="s">
        <v>34</v>
      </c>
      <c r="I6279" s="2" t="s">
        <v>16508</v>
      </c>
      <c r="J6279" s="2" t="s">
        <v>4434</v>
      </c>
      <c r="K6279" s="2" t="s">
        <v>37</v>
      </c>
      <c r="L6279" s="2" t="s">
        <v>902</v>
      </c>
      <c r="M6279" s="2"/>
      <c r="N6279" s="2"/>
      <c r="O6279" s="2"/>
      <c r="P6279" s="2" t="s">
        <v>19193</v>
      </c>
      <c r="Q6279" s="6">
        <v>100</v>
      </c>
      <c r="R6279" s="6">
        <v>24</v>
      </c>
      <c r="S6279" s="5">
        <v>24.9</v>
      </c>
      <c r="T6279" s="7">
        <v>122.902</v>
      </c>
      <c r="U6279" s="5">
        <v>14.2</v>
      </c>
      <c r="V6279" s="6">
        <v>0.94</v>
      </c>
      <c r="W6279" s="6">
        <v>25.85</v>
      </c>
      <c r="X6279" s="4">
        <v>27</v>
      </c>
      <c r="Y6279" s="6">
        <v>24.77</v>
      </c>
      <c r="Z6279" s="6">
        <v>24.44</v>
      </c>
      <c r="AA6279" s="6">
        <v>25.45</v>
      </c>
      <c r="AB6279" s="7">
        <v>8.1029999999999998</v>
      </c>
      <c r="AC6279" s="10">
        <v>11737.62</v>
      </c>
    </row>
    <row r="6280" spans="1:29" ht="104" x14ac:dyDescent="0.15">
      <c r="A6280" s="3">
        <f>DATE(2001,8,2)</f>
        <v>37105</v>
      </c>
      <c r="B6280" s="3">
        <f>DATE(2001,10,29)</f>
        <v>37193</v>
      </c>
      <c r="C6280" s="2" t="s">
        <v>95</v>
      </c>
      <c r="D6280" s="2" t="s">
        <v>19194</v>
      </c>
      <c r="E6280" s="2" t="s">
        <v>19195</v>
      </c>
      <c r="F6280" s="4">
        <v>3825</v>
      </c>
      <c r="G6280" s="2" t="s">
        <v>226</v>
      </c>
      <c r="H6280" s="2" t="s">
        <v>34</v>
      </c>
      <c r="I6280" s="2" t="s">
        <v>6748</v>
      </c>
      <c r="J6280" s="2" t="s">
        <v>6749</v>
      </c>
      <c r="K6280" s="2" t="s">
        <v>226</v>
      </c>
      <c r="L6280" s="2" t="s">
        <v>34</v>
      </c>
      <c r="M6280" s="12">
        <v>6257.759</v>
      </c>
      <c r="N6280" s="6">
        <v>35.86</v>
      </c>
      <c r="O6280" s="5">
        <v>34.9</v>
      </c>
      <c r="P6280" s="2" t="s">
        <v>19196</v>
      </c>
      <c r="Q6280" s="6">
        <v>100</v>
      </c>
      <c r="R6280" s="6">
        <v>6.07</v>
      </c>
      <c r="S6280" s="5">
        <v>-46</v>
      </c>
      <c r="T6280" s="5">
        <v>-31</v>
      </c>
      <c r="U6280" s="5">
        <v>4.8</v>
      </c>
      <c r="V6280" s="6">
        <v>-1.62</v>
      </c>
      <c r="W6280" s="6">
        <v>4.6500000000000004</v>
      </c>
      <c r="X6280" s="4">
        <v>4</v>
      </c>
      <c r="Y6280" s="6">
        <v>5.99</v>
      </c>
      <c r="Z6280" s="5">
        <v>5.8</v>
      </c>
      <c r="AA6280" s="6">
        <v>28.51</v>
      </c>
      <c r="AB6280" s="2" t="s">
        <v>86</v>
      </c>
      <c r="AC6280" s="5">
        <v>242.4</v>
      </c>
    </row>
    <row r="6281" spans="1:29" ht="234" x14ac:dyDescent="0.15">
      <c r="A6281" s="3">
        <f>DATE(2001,8,3)</f>
        <v>37106</v>
      </c>
      <c r="B6281" s="3">
        <f>DATE(2001,11,14)</f>
        <v>37209</v>
      </c>
      <c r="C6281" s="2" t="s">
        <v>95</v>
      </c>
      <c r="D6281" s="2" t="s">
        <v>3237</v>
      </c>
      <c r="E6281" s="2" t="s">
        <v>3238</v>
      </c>
      <c r="F6281" s="4">
        <v>7382</v>
      </c>
      <c r="G6281" s="2" t="s">
        <v>223</v>
      </c>
      <c r="H6281" s="2" t="s">
        <v>34</v>
      </c>
      <c r="I6281" s="2" t="s">
        <v>9732</v>
      </c>
      <c r="J6281" s="2" t="s">
        <v>9733</v>
      </c>
      <c r="K6281" s="2" t="s">
        <v>300</v>
      </c>
      <c r="L6281" s="2" t="s">
        <v>1791</v>
      </c>
      <c r="M6281" s="2"/>
      <c r="N6281" s="2"/>
      <c r="O6281" s="2"/>
      <c r="P6281" s="2" t="s">
        <v>19197</v>
      </c>
      <c r="Q6281" s="6">
        <v>100</v>
      </c>
      <c r="R6281" s="6">
        <v>22.95</v>
      </c>
      <c r="S6281" s="5">
        <v>50.1</v>
      </c>
      <c r="T6281" s="5">
        <v>169.1</v>
      </c>
      <c r="U6281" s="5">
        <v>9.9</v>
      </c>
      <c r="V6281" s="6">
        <v>0.49</v>
      </c>
      <c r="W6281" s="6">
        <v>14.35</v>
      </c>
      <c r="X6281" s="6">
        <v>14.94</v>
      </c>
      <c r="Y6281" s="6">
        <v>23.12</v>
      </c>
      <c r="Z6281" s="6">
        <v>23.12</v>
      </c>
      <c r="AA6281" s="6">
        <v>79.39</v>
      </c>
      <c r="AB6281" s="7">
        <v>22.635000000000002</v>
      </c>
      <c r="AC6281" s="8">
        <v>2601.1</v>
      </c>
    </row>
    <row r="6282" spans="1:29" ht="130" x14ac:dyDescent="0.15">
      <c r="A6282" s="3">
        <f>DATE(2001,8,6)</f>
        <v>37109</v>
      </c>
      <c r="B6282" s="3">
        <f>DATE(2001,11,1)</f>
        <v>37196</v>
      </c>
      <c r="C6282" s="2" t="s">
        <v>95</v>
      </c>
      <c r="D6282" s="2" t="s">
        <v>19198</v>
      </c>
      <c r="E6282" s="2" t="s">
        <v>19199</v>
      </c>
      <c r="F6282" s="4">
        <v>8732</v>
      </c>
      <c r="G6282" s="2" t="s">
        <v>223</v>
      </c>
      <c r="H6282" s="2" t="s">
        <v>34</v>
      </c>
      <c r="I6282" s="2" t="s">
        <v>19200</v>
      </c>
      <c r="J6282" s="2" t="s">
        <v>19201</v>
      </c>
      <c r="K6282" s="2" t="s">
        <v>223</v>
      </c>
      <c r="L6282" s="2" t="s">
        <v>34</v>
      </c>
      <c r="M6282" s="7">
        <v>75.623000000000005</v>
      </c>
      <c r="N6282" s="5">
        <v>2.5</v>
      </c>
      <c r="O6282" s="6">
        <v>2.35</v>
      </c>
      <c r="P6282" s="2" t="s">
        <v>19202</v>
      </c>
      <c r="Q6282" s="6">
        <v>100</v>
      </c>
      <c r="R6282" s="6">
        <v>3.3</v>
      </c>
      <c r="S6282" s="5">
        <v>2</v>
      </c>
      <c r="T6282" s="5">
        <v>5.0999999999999996</v>
      </c>
      <c r="U6282" s="5">
        <v>1.1000000000000001</v>
      </c>
      <c r="V6282" s="6">
        <v>0.16</v>
      </c>
      <c r="W6282" s="5">
        <v>2.4</v>
      </c>
      <c r="X6282" s="5">
        <v>2.8</v>
      </c>
      <c r="Y6282" s="5">
        <v>2.8</v>
      </c>
      <c r="Z6282" s="5">
        <v>2.7</v>
      </c>
      <c r="AA6282" s="6">
        <v>13.34</v>
      </c>
      <c r="AB6282" s="7">
        <v>14.228</v>
      </c>
      <c r="AC6282" s="5">
        <v>10.6</v>
      </c>
    </row>
    <row r="6283" spans="1:29" ht="143" x14ac:dyDescent="0.15">
      <c r="A6283" s="3">
        <f>DATE(2001,8,6)</f>
        <v>37109</v>
      </c>
      <c r="B6283" s="2"/>
      <c r="C6283" s="2" t="s">
        <v>30</v>
      </c>
      <c r="D6283" s="2" t="s">
        <v>16932</v>
      </c>
      <c r="E6283" s="2" t="s">
        <v>58</v>
      </c>
      <c r="F6283" s="4">
        <v>4512</v>
      </c>
      <c r="G6283" s="2" t="s">
        <v>59</v>
      </c>
      <c r="H6283" s="2" t="s">
        <v>34</v>
      </c>
      <c r="I6283" s="2" t="s">
        <v>19203</v>
      </c>
      <c r="J6283" s="2" t="s">
        <v>19204</v>
      </c>
      <c r="K6283" s="2" t="s">
        <v>59</v>
      </c>
      <c r="L6283" s="2" t="s">
        <v>34</v>
      </c>
      <c r="M6283" s="2"/>
      <c r="N6283" s="2"/>
      <c r="O6283" s="2"/>
      <c r="P6283" s="2" t="s">
        <v>19205</v>
      </c>
      <c r="Q6283" s="2"/>
      <c r="R6283" s="6">
        <v>30</v>
      </c>
      <c r="S6283" s="5">
        <v>-333</v>
      </c>
      <c r="T6283" s="5">
        <v>115</v>
      </c>
      <c r="U6283" s="5">
        <v>-8.1</v>
      </c>
      <c r="V6283" s="6">
        <v>-4.96</v>
      </c>
      <c r="W6283" s="6">
        <v>16.91</v>
      </c>
      <c r="X6283" s="6">
        <v>16.88</v>
      </c>
      <c r="Y6283" s="6">
        <v>17.75</v>
      </c>
      <c r="Z6283" s="4">
        <v>18</v>
      </c>
      <c r="AA6283" s="6">
        <v>67.069999999999993</v>
      </c>
      <c r="AB6283" s="2" t="s">
        <v>86</v>
      </c>
      <c r="AC6283" s="2"/>
    </row>
    <row r="6284" spans="1:29" ht="104" x14ac:dyDescent="0.15">
      <c r="A6284" s="3">
        <f>DATE(2001,8,7)</f>
        <v>37110</v>
      </c>
      <c r="B6284" s="3">
        <f>DATE(2001,11,28)</f>
        <v>37223</v>
      </c>
      <c r="C6284" s="2" t="s">
        <v>95</v>
      </c>
      <c r="D6284" s="2" t="s">
        <v>10777</v>
      </c>
      <c r="E6284" s="2" t="s">
        <v>10778</v>
      </c>
      <c r="F6284" s="4">
        <v>5531</v>
      </c>
      <c r="G6284" s="2" t="s">
        <v>73</v>
      </c>
      <c r="H6284" s="2" t="s">
        <v>34</v>
      </c>
      <c r="I6284" s="2" t="s">
        <v>19206</v>
      </c>
      <c r="J6284" s="2" t="s">
        <v>13884</v>
      </c>
      <c r="K6284" s="2" t="s">
        <v>73</v>
      </c>
      <c r="L6284" s="2" t="s">
        <v>34</v>
      </c>
      <c r="M6284" s="2"/>
      <c r="N6284" s="2"/>
      <c r="O6284" s="2"/>
      <c r="P6284" s="2" t="s">
        <v>19207</v>
      </c>
      <c r="Q6284" s="6">
        <v>100</v>
      </c>
      <c r="R6284" s="6">
        <v>17</v>
      </c>
      <c r="S6284" s="5">
        <v>17.600000000000001</v>
      </c>
      <c r="T6284" s="5">
        <v>65.599999999999994</v>
      </c>
      <c r="U6284" s="5">
        <v>19.2</v>
      </c>
      <c r="V6284" s="6">
        <v>1.05</v>
      </c>
      <c r="W6284" s="6">
        <v>13.15</v>
      </c>
      <c r="X6284" s="5">
        <v>14.2</v>
      </c>
      <c r="Y6284" s="6">
        <v>13.75</v>
      </c>
      <c r="Z6284" s="6">
        <v>14.56</v>
      </c>
      <c r="AA6284" s="6">
        <v>16.7</v>
      </c>
      <c r="AB6284" s="7">
        <v>11.15</v>
      </c>
      <c r="AC6284" s="2"/>
    </row>
    <row r="6285" spans="1:29" ht="65" x14ac:dyDescent="0.15">
      <c r="A6285" s="3">
        <f>DATE(2001,8,7)</f>
        <v>37110</v>
      </c>
      <c r="B6285" s="2"/>
      <c r="C6285" s="2" t="s">
        <v>7330</v>
      </c>
      <c r="D6285" s="2" t="s">
        <v>19208</v>
      </c>
      <c r="E6285" s="2" t="s">
        <v>19209</v>
      </c>
      <c r="F6285" s="4">
        <v>4522</v>
      </c>
      <c r="G6285" s="2" t="s">
        <v>59</v>
      </c>
      <c r="H6285" s="2" t="s">
        <v>34</v>
      </c>
      <c r="I6285" s="2" t="s">
        <v>19210</v>
      </c>
      <c r="J6285" s="2" t="s">
        <v>1563</v>
      </c>
      <c r="K6285" s="2" t="s">
        <v>125</v>
      </c>
      <c r="L6285" s="2" t="s">
        <v>34</v>
      </c>
      <c r="M6285" s="2"/>
      <c r="N6285" s="2"/>
      <c r="O6285" s="2"/>
      <c r="P6285" s="2" t="s">
        <v>19211</v>
      </c>
      <c r="Q6285" s="2"/>
      <c r="R6285" s="2"/>
      <c r="S6285" s="2"/>
      <c r="T6285" s="2"/>
      <c r="U6285" s="2"/>
      <c r="V6285" s="2"/>
      <c r="W6285" s="7">
        <v>14.625</v>
      </c>
      <c r="X6285" s="7">
        <v>14.625</v>
      </c>
      <c r="Y6285" s="7">
        <v>14.625</v>
      </c>
      <c r="Z6285" s="7">
        <v>14.625</v>
      </c>
      <c r="AA6285" s="2"/>
      <c r="AB6285" s="2" t="s">
        <v>47</v>
      </c>
      <c r="AC6285" s="2"/>
    </row>
    <row r="6286" spans="1:29" ht="130" x14ac:dyDescent="0.15">
      <c r="A6286" s="3">
        <f>DATE(2001,8,7)</f>
        <v>37110</v>
      </c>
      <c r="B6286" s="3">
        <f>DATE(2001,10,25)</f>
        <v>37189</v>
      </c>
      <c r="C6286" s="2" t="s">
        <v>95</v>
      </c>
      <c r="D6286" s="2" t="s">
        <v>15878</v>
      </c>
      <c r="E6286" s="2" t="s">
        <v>15879</v>
      </c>
      <c r="F6286" s="4">
        <v>7375</v>
      </c>
      <c r="G6286" s="2" t="s">
        <v>223</v>
      </c>
      <c r="H6286" s="2" t="s">
        <v>34</v>
      </c>
      <c r="I6286" s="2" t="s">
        <v>19212</v>
      </c>
      <c r="J6286" s="2" t="s">
        <v>1739</v>
      </c>
      <c r="K6286" s="2" t="s">
        <v>223</v>
      </c>
      <c r="L6286" s="2" t="s">
        <v>34</v>
      </c>
      <c r="M6286" s="2"/>
      <c r="N6286" s="2"/>
      <c r="O6286" s="2"/>
      <c r="P6286" s="2" t="s">
        <v>19213</v>
      </c>
      <c r="Q6286" s="6">
        <v>100</v>
      </c>
      <c r="R6286" s="6">
        <v>2.2999999999999998</v>
      </c>
      <c r="S6286" s="5">
        <v>-3.1</v>
      </c>
      <c r="T6286" s="5">
        <v>-1</v>
      </c>
      <c r="U6286" s="5">
        <v>0.2</v>
      </c>
      <c r="V6286" s="6">
        <v>-0.17</v>
      </c>
      <c r="W6286" s="6">
        <v>1.17</v>
      </c>
      <c r="X6286" s="5">
        <v>1.2</v>
      </c>
      <c r="Y6286" s="6">
        <v>2.2599999999999998</v>
      </c>
      <c r="Z6286" s="6">
        <v>2.2599999999999998</v>
      </c>
      <c r="AA6286" s="6">
        <v>18.62</v>
      </c>
      <c r="AB6286" s="2" t="s">
        <v>86</v>
      </c>
      <c r="AC6286" s="2"/>
    </row>
    <row r="6287" spans="1:29" ht="143" x14ac:dyDescent="0.15">
      <c r="A6287" s="3">
        <f>DATE(2001,8,9)</f>
        <v>37112</v>
      </c>
      <c r="B6287" s="3">
        <f>DATE(2002,1,3)</f>
        <v>37259</v>
      </c>
      <c r="C6287" s="2" t="s">
        <v>95</v>
      </c>
      <c r="D6287" s="2" t="s">
        <v>19214</v>
      </c>
      <c r="E6287" s="2" t="s">
        <v>19215</v>
      </c>
      <c r="F6287" s="4">
        <v>8299</v>
      </c>
      <c r="G6287" s="2" t="s">
        <v>415</v>
      </c>
      <c r="H6287" s="2" t="s">
        <v>34</v>
      </c>
      <c r="I6287" s="2" t="s">
        <v>19216</v>
      </c>
      <c r="J6287" s="2" t="s">
        <v>80</v>
      </c>
      <c r="K6287" s="2" t="s">
        <v>53</v>
      </c>
      <c r="L6287" s="2" t="s">
        <v>34</v>
      </c>
      <c r="M6287" s="2"/>
      <c r="N6287" s="2"/>
      <c r="O6287" s="2"/>
      <c r="P6287" s="2" t="s">
        <v>19217</v>
      </c>
      <c r="Q6287" s="6">
        <v>100</v>
      </c>
      <c r="R6287" s="6">
        <v>6</v>
      </c>
      <c r="S6287" s="5">
        <v>3.1</v>
      </c>
      <c r="T6287" s="5">
        <v>13.3</v>
      </c>
      <c r="U6287" s="5">
        <v>8</v>
      </c>
      <c r="V6287" s="6">
        <v>0.43</v>
      </c>
      <c r="W6287" s="6">
        <v>4.55</v>
      </c>
      <c r="X6287" s="6">
        <v>4.29</v>
      </c>
      <c r="Y6287" s="4">
        <v>5</v>
      </c>
      <c r="Z6287" s="6">
        <v>5.07</v>
      </c>
      <c r="AA6287" s="6">
        <v>7.22</v>
      </c>
      <c r="AB6287" s="7">
        <v>7.4180000000000001</v>
      </c>
      <c r="AC6287" s="2"/>
    </row>
    <row r="6288" spans="1:29" ht="65" x14ac:dyDescent="0.15">
      <c r="A6288" s="3">
        <f>DATE(2001,8,10)</f>
        <v>37113</v>
      </c>
      <c r="B6288" s="2"/>
      <c r="C6288" s="2" t="s">
        <v>30</v>
      </c>
      <c r="D6288" s="2" t="s">
        <v>19218</v>
      </c>
      <c r="E6288" s="2" t="s">
        <v>2044</v>
      </c>
      <c r="F6288" s="4">
        <v>6798</v>
      </c>
      <c r="G6288" s="2" t="s">
        <v>53</v>
      </c>
      <c r="H6288" s="2" t="s">
        <v>34</v>
      </c>
      <c r="I6288" s="2" t="s">
        <v>19219</v>
      </c>
      <c r="J6288" s="2" t="s">
        <v>80</v>
      </c>
      <c r="K6288" s="2" t="s">
        <v>53</v>
      </c>
      <c r="L6288" s="2" t="s">
        <v>34</v>
      </c>
      <c r="M6288" s="2"/>
      <c r="N6288" s="2"/>
      <c r="O6288" s="2"/>
      <c r="P6288" s="2" t="s">
        <v>19220</v>
      </c>
      <c r="Q6288" s="2"/>
      <c r="R6288" s="6">
        <v>19</v>
      </c>
      <c r="S6288" s="5">
        <v>0.7</v>
      </c>
      <c r="T6288" s="7">
        <v>0.20300000000000001</v>
      </c>
      <c r="U6288" s="5">
        <v>4.0999999999999996</v>
      </c>
      <c r="V6288" s="9">
        <v>0.60909999999999997</v>
      </c>
      <c r="W6288" s="5">
        <v>17.899999999999999</v>
      </c>
      <c r="X6288" s="5">
        <v>17.899999999999999</v>
      </c>
      <c r="Y6288" s="6">
        <v>18.25</v>
      </c>
      <c r="Z6288" s="6">
        <v>17.95</v>
      </c>
      <c r="AA6288" s="6">
        <v>1.1200000000000001</v>
      </c>
      <c r="AB6288" s="7">
        <v>344.88400000000001</v>
      </c>
      <c r="AC6288" s="2"/>
    </row>
    <row r="6289" spans="1:29" ht="117" x14ac:dyDescent="0.15">
      <c r="A6289" s="3">
        <f>DATE(2001,8,13)</f>
        <v>37116</v>
      </c>
      <c r="B6289" s="3">
        <f>DATE(2001,10,9)</f>
        <v>37173</v>
      </c>
      <c r="C6289" s="2" t="s">
        <v>95</v>
      </c>
      <c r="D6289" s="2" t="s">
        <v>19221</v>
      </c>
      <c r="E6289" s="2" t="s">
        <v>9774</v>
      </c>
      <c r="F6289" s="4">
        <v>4724</v>
      </c>
      <c r="G6289" s="2" t="s">
        <v>173</v>
      </c>
      <c r="H6289" s="2" t="s">
        <v>34</v>
      </c>
      <c r="I6289" s="2" t="s">
        <v>9795</v>
      </c>
      <c r="J6289" s="2" t="s">
        <v>2071</v>
      </c>
      <c r="K6289" s="2" t="s">
        <v>109</v>
      </c>
      <c r="L6289" s="2" t="s">
        <v>34</v>
      </c>
      <c r="M6289" s="12">
        <v>17528.955999999998</v>
      </c>
      <c r="N6289" s="6">
        <v>19.62</v>
      </c>
      <c r="O6289" s="6">
        <v>19.95</v>
      </c>
      <c r="P6289" s="2" t="s">
        <v>19222</v>
      </c>
      <c r="Q6289" s="6">
        <v>100</v>
      </c>
      <c r="R6289" s="6">
        <v>16.5</v>
      </c>
      <c r="S6289" s="5">
        <v>7.2</v>
      </c>
      <c r="T6289" s="5">
        <v>4.8</v>
      </c>
      <c r="U6289" s="5">
        <v>6.5</v>
      </c>
      <c r="V6289" s="6">
        <v>0.3</v>
      </c>
      <c r="W6289" s="6">
        <v>11.35</v>
      </c>
      <c r="X6289" s="6">
        <v>11.85</v>
      </c>
      <c r="Y6289" s="6">
        <v>16.329999999999998</v>
      </c>
      <c r="Z6289" s="6">
        <v>16.329999999999998</v>
      </c>
      <c r="AA6289" s="6">
        <v>24.27</v>
      </c>
      <c r="AB6289" s="7">
        <v>83.894999999999996</v>
      </c>
      <c r="AC6289" s="5">
        <v>967</v>
      </c>
    </row>
    <row r="6290" spans="1:29" ht="130" x14ac:dyDescent="0.15">
      <c r="A6290" s="3">
        <f>DATE(2001,8,13)</f>
        <v>37116</v>
      </c>
      <c r="B6290" s="2"/>
      <c r="C6290" s="2" t="s">
        <v>30</v>
      </c>
      <c r="D6290" s="2" t="s">
        <v>19223</v>
      </c>
      <c r="E6290" s="2" t="s">
        <v>19224</v>
      </c>
      <c r="F6290" s="4">
        <v>5611</v>
      </c>
      <c r="G6290" s="2" t="s">
        <v>756</v>
      </c>
      <c r="H6290" s="2" t="s">
        <v>34</v>
      </c>
      <c r="I6290" s="2" t="s">
        <v>19225</v>
      </c>
      <c r="J6290" s="2" t="s">
        <v>80</v>
      </c>
      <c r="K6290" s="2" t="s">
        <v>53</v>
      </c>
      <c r="L6290" s="2" t="s">
        <v>34</v>
      </c>
      <c r="M6290" s="2"/>
      <c r="N6290" s="2"/>
      <c r="O6290" s="2"/>
      <c r="P6290" s="2" t="s">
        <v>19226</v>
      </c>
      <c r="Q6290" s="2"/>
      <c r="R6290" s="6">
        <v>4.5</v>
      </c>
      <c r="S6290" s="5">
        <v>1.4</v>
      </c>
      <c r="T6290" s="5">
        <v>21.4</v>
      </c>
      <c r="U6290" s="5">
        <v>6.5</v>
      </c>
      <c r="V6290" s="6">
        <v>0.05</v>
      </c>
      <c r="W6290" s="6">
        <v>1.95</v>
      </c>
      <c r="X6290" s="5">
        <v>1.9</v>
      </c>
      <c r="Y6290" s="6">
        <v>2.0699999999999998</v>
      </c>
      <c r="Z6290" s="6">
        <v>3.75</v>
      </c>
      <c r="AA6290" s="6">
        <v>30.04</v>
      </c>
      <c r="AB6290" s="7">
        <v>20.771999999999998</v>
      </c>
      <c r="AC6290" s="2"/>
    </row>
    <row r="6291" spans="1:29" ht="182" x14ac:dyDescent="0.15">
      <c r="A6291" s="3">
        <f>DATE(2001,8,13)</f>
        <v>37116</v>
      </c>
      <c r="B6291" s="3">
        <f>DATE(2001,9,26)</f>
        <v>37160</v>
      </c>
      <c r="C6291" s="2" t="s">
        <v>95</v>
      </c>
      <c r="D6291" s="2" t="s">
        <v>19227</v>
      </c>
      <c r="E6291" s="2" t="s">
        <v>3688</v>
      </c>
      <c r="F6291" s="4">
        <v>2731</v>
      </c>
      <c r="G6291" s="2" t="s">
        <v>186</v>
      </c>
      <c r="H6291" s="2" t="s">
        <v>34</v>
      </c>
      <c r="I6291" s="2" t="s">
        <v>19228</v>
      </c>
      <c r="J6291" s="2" t="s">
        <v>19229</v>
      </c>
      <c r="K6291" s="2" t="s">
        <v>186</v>
      </c>
      <c r="L6291" s="2" t="s">
        <v>34</v>
      </c>
      <c r="M6291" s="6">
        <v>33.130000000000003</v>
      </c>
      <c r="N6291" s="6">
        <v>21.71</v>
      </c>
      <c r="O6291" s="6">
        <v>21.74</v>
      </c>
      <c r="P6291" s="2" t="s">
        <v>19230</v>
      </c>
      <c r="Q6291" s="6">
        <v>100</v>
      </c>
      <c r="R6291" s="6">
        <v>6.09</v>
      </c>
      <c r="S6291" s="5">
        <v>-8.9</v>
      </c>
      <c r="T6291" s="7">
        <v>11.015000000000001</v>
      </c>
      <c r="U6291" s="5">
        <v>4.5999999999999996</v>
      </c>
      <c r="V6291" s="6">
        <v>-0.6</v>
      </c>
      <c r="W6291" s="6">
        <v>7.75</v>
      </c>
      <c r="X6291" s="6">
        <v>7.56</v>
      </c>
      <c r="Y6291" s="5">
        <v>7.5</v>
      </c>
      <c r="Z6291" s="6">
        <v>7.61</v>
      </c>
      <c r="AA6291" s="6">
        <v>14.75</v>
      </c>
      <c r="AB6291" s="7">
        <v>214.11799999999999</v>
      </c>
      <c r="AC6291" s="6">
        <v>80.150000000000006</v>
      </c>
    </row>
    <row r="6292" spans="1:29" ht="91" x14ac:dyDescent="0.15">
      <c r="A6292" s="3">
        <f>DATE(2001,8,13)</f>
        <v>37116</v>
      </c>
      <c r="B6292" s="2"/>
      <c r="C6292" s="2" t="s">
        <v>7330</v>
      </c>
      <c r="D6292" s="2" t="s">
        <v>5565</v>
      </c>
      <c r="E6292" s="2" t="s">
        <v>5566</v>
      </c>
      <c r="F6292" s="4">
        <v>8099</v>
      </c>
      <c r="G6292" s="2" t="s">
        <v>454</v>
      </c>
      <c r="H6292" s="2" t="s">
        <v>34</v>
      </c>
      <c r="I6292" s="2" t="s">
        <v>51</v>
      </c>
      <c r="J6292" s="2" t="s">
        <v>52</v>
      </c>
      <c r="K6292" s="2" t="s">
        <v>53</v>
      </c>
      <c r="L6292" s="2" t="s">
        <v>34</v>
      </c>
      <c r="M6292" s="2"/>
      <c r="N6292" s="2"/>
      <c r="O6292" s="2"/>
      <c r="P6292" s="2" t="s">
        <v>19231</v>
      </c>
      <c r="Q6292" s="2"/>
      <c r="R6292" s="2"/>
      <c r="S6292" s="5">
        <v>-11</v>
      </c>
      <c r="T6292" s="5">
        <v>11.2</v>
      </c>
      <c r="U6292" s="5">
        <v>12.7</v>
      </c>
      <c r="V6292" s="6">
        <v>-3.77</v>
      </c>
      <c r="W6292" s="4">
        <v>5</v>
      </c>
      <c r="X6292" s="6">
        <v>4.93</v>
      </c>
      <c r="Y6292" s="6">
        <v>5.05</v>
      </c>
      <c r="Z6292" s="4">
        <v>6</v>
      </c>
      <c r="AA6292" s="6">
        <v>2.92</v>
      </c>
      <c r="AB6292" s="2" t="s">
        <v>47</v>
      </c>
      <c r="AC6292" s="2"/>
    </row>
    <row r="6293" spans="1:29" ht="182" x14ac:dyDescent="0.15">
      <c r="A6293" s="3">
        <f>DATE(2001,8,14)</f>
        <v>37117</v>
      </c>
      <c r="B6293" s="2"/>
      <c r="C6293" s="2" t="s">
        <v>30</v>
      </c>
      <c r="D6293" s="2" t="s">
        <v>19232</v>
      </c>
      <c r="E6293" s="2" t="s">
        <v>19233</v>
      </c>
      <c r="F6293" s="4">
        <v>7375</v>
      </c>
      <c r="G6293" s="2" t="s">
        <v>223</v>
      </c>
      <c r="H6293" s="2" t="s">
        <v>34</v>
      </c>
      <c r="I6293" s="2" t="s">
        <v>11746</v>
      </c>
      <c r="J6293" s="2" t="s">
        <v>6519</v>
      </c>
      <c r="K6293" s="2" t="s">
        <v>63</v>
      </c>
      <c r="L6293" s="2" t="s">
        <v>34</v>
      </c>
      <c r="M6293" s="12">
        <v>20134.507000000001</v>
      </c>
      <c r="N6293" s="6">
        <v>61.06</v>
      </c>
      <c r="O6293" s="5">
        <v>56.9</v>
      </c>
      <c r="P6293" s="2" t="s">
        <v>19234</v>
      </c>
      <c r="Q6293" s="2"/>
      <c r="R6293" s="6">
        <v>43</v>
      </c>
      <c r="S6293" s="5">
        <v>231.5</v>
      </c>
      <c r="T6293" s="5">
        <v>913.4</v>
      </c>
      <c r="U6293" s="5">
        <v>14.4</v>
      </c>
      <c r="V6293" s="6">
        <v>1.63</v>
      </c>
      <c r="W6293" s="6">
        <v>30.76</v>
      </c>
      <c r="X6293" s="6">
        <v>30.47</v>
      </c>
      <c r="Y6293" s="6">
        <v>30.62</v>
      </c>
      <c r="Z6293" s="6">
        <v>34.71</v>
      </c>
      <c r="AA6293" s="6">
        <v>141.01</v>
      </c>
      <c r="AB6293" s="7">
        <v>18.324000000000002</v>
      </c>
      <c r="AC6293" s="5">
        <v>67.2</v>
      </c>
    </row>
    <row r="6294" spans="1:29" ht="104" x14ac:dyDescent="0.15">
      <c r="A6294" s="3">
        <f>DATE(2001,8,14)</f>
        <v>37117</v>
      </c>
      <c r="B6294" s="2"/>
      <c r="C6294" s="2" t="s">
        <v>30</v>
      </c>
      <c r="D6294" s="2" t="s">
        <v>19235</v>
      </c>
      <c r="E6294" s="2" t="s">
        <v>19236</v>
      </c>
      <c r="F6294" s="4">
        <v>7383</v>
      </c>
      <c r="G6294" s="2" t="s">
        <v>223</v>
      </c>
      <c r="H6294" s="2" t="s">
        <v>34</v>
      </c>
      <c r="I6294" s="2" t="s">
        <v>19237</v>
      </c>
      <c r="J6294" s="2" t="s">
        <v>19238</v>
      </c>
      <c r="K6294" s="2" t="s">
        <v>186</v>
      </c>
      <c r="L6294" s="2" t="s">
        <v>303</v>
      </c>
      <c r="M6294" s="2"/>
      <c r="N6294" s="2"/>
      <c r="O6294" s="2"/>
      <c r="P6294" s="2" t="s">
        <v>19239</v>
      </c>
      <c r="Q6294" s="2"/>
      <c r="R6294" s="6">
        <v>5</v>
      </c>
      <c r="S6294" s="5">
        <v>-0.2</v>
      </c>
      <c r="T6294" s="7">
        <v>4.9290000000000003</v>
      </c>
      <c r="U6294" s="5">
        <v>5.4</v>
      </c>
      <c r="V6294" s="6">
        <v>-0.02</v>
      </c>
      <c r="W6294" s="7">
        <v>3.5950000000000002</v>
      </c>
      <c r="X6294" s="6">
        <v>3.35</v>
      </c>
      <c r="Y6294" s="6">
        <v>4.34</v>
      </c>
      <c r="Z6294" s="6">
        <v>4.87</v>
      </c>
      <c r="AA6294" s="6">
        <v>5.8</v>
      </c>
      <c r="AB6294" s="7">
        <v>17.96</v>
      </c>
      <c r="AC6294" s="10">
        <v>3260.95</v>
      </c>
    </row>
    <row r="6295" spans="1:29" ht="130" x14ac:dyDescent="0.15">
      <c r="A6295" s="3">
        <f>DATE(2001,8,14)</f>
        <v>37117</v>
      </c>
      <c r="B6295" s="3">
        <f>DATE(2002,1,24)</f>
        <v>37280</v>
      </c>
      <c r="C6295" s="2" t="s">
        <v>95</v>
      </c>
      <c r="D6295" s="2" t="s">
        <v>15447</v>
      </c>
      <c r="E6295" s="2" t="s">
        <v>612</v>
      </c>
      <c r="F6295" s="4">
        <v>1311</v>
      </c>
      <c r="G6295" s="2" t="s">
        <v>148</v>
      </c>
      <c r="H6295" s="2" t="s">
        <v>34</v>
      </c>
      <c r="I6295" s="2" t="s">
        <v>16944</v>
      </c>
      <c r="J6295" s="2" t="s">
        <v>1435</v>
      </c>
      <c r="K6295" s="2" t="s">
        <v>148</v>
      </c>
      <c r="L6295" s="2" t="s">
        <v>34</v>
      </c>
      <c r="M6295" s="10">
        <v>6316.99</v>
      </c>
      <c r="N6295" s="6">
        <v>50.76</v>
      </c>
      <c r="O6295" s="6">
        <v>52.66</v>
      </c>
      <c r="P6295" s="2" t="s">
        <v>19240</v>
      </c>
      <c r="Q6295" s="6">
        <v>100</v>
      </c>
      <c r="R6295" s="6">
        <v>60.4</v>
      </c>
      <c r="S6295" s="5">
        <v>370.6</v>
      </c>
      <c r="T6295" s="5">
        <v>714.2</v>
      </c>
      <c r="U6295" s="5">
        <v>16.3</v>
      </c>
      <c r="V6295" s="6">
        <v>7.3</v>
      </c>
      <c r="W6295" s="6">
        <v>46.02</v>
      </c>
      <c r="X6295" s="6">
        <v>45.65</v>
      </c>
      <c r="Y6295" s="6">
        <v>59.83</v>
      </c>
      <c r="Z6295" s="6">
        <v>60.95</v>
      </c>
      <c r="AA6295" s="6">
        <v>49.91</v>
      </c>
      <c r="AB6295" s="7">
        <v>6.0110000000000001</v>
      </c>
      <c r="AC6295" s="5">
        <v>477.8</v>
      </c>
    </row>
    <row r="6296" spans="1:29" ht="65" x14ac:dyDescent="0.15">
      <c r="A6296" s="3">
        <f>DATE(2001,8,16)</f>
        <v>37119</v>
      </c>
      <c r="B6296" s="2"/>
      <c r="C6296" s="2" t="s">
        <v>87</v>
      </c>
      <c r="D6296" s="2" t="s">
        <v>19241</v>
      </c>
      <c r="E6296" s="2" t="s">
        <v>19242</v>
      </c>
      <c r="F6296" s="4">
        <v>6211</v>
      </c>
      <c r="G6296" s="2" t="s">
        <v>53</v>
      </c>
      <c r="H6296" s="2" t="s">
        <v>34</v>
      </c>
      <c r="I6296" s="2" t="s">
        <v>16085</v>
      </c>
      <c r="J6296" s="2" t="s">
        <v>367</v>
      </c>
      <c r="K6296" s="2" t="s">
        <v>53</v>
      </c>
      <c r="L6296" s="2" t="s">
        <v>34</v>
      </c>
      <c r="M6296" s="12">
        <v>21219.294999999998</v>
      </c>
      <c r="N6296" s="6">
        <v>12.87</v>
      </c>
      <c r="O6296" s="6">
        <v>12.75</v>
      </c>
      <c r="P6296" s="2" t="s">
        <v>19243</v>
      </c>
      <c r="Q6296" s="2"/>
      <c r="R6296" s="2"/>
      <c r="S6296" s="5">
        <v>59.9</v>
      </c>
      <c r="T6296" s="5">
        <v>261.10000000000002</v>
      </c>
      <c r="U6296" s="5">
        <v>19.600000000000001</v>
      </c>
      <c r="V6296" s="6">
        <v>2.4</v>
      </c>
      <c r="W6296" s="6">
        <v>34.94</v>
      </c>
      <c r="X6296" s="6">
        <v>36.03</v>
      </c>
      <c r="Y6296" s="6">
        <v>36.65</v>
      </c>
      <c r="Z6296" s="4">
        <v>36</v>
      </c>
      <c r="AA6296" s="6">
        <v>25.84</v>
      </c>
      <c r="AB6296" s="2" t="s">
        <v>47</v>
      </c>
      <c r="AC6296" s="8">
        <v>2574</v>
      </c>
    </row>
    <row r="6297" spans="1:29" ht="117" x14ac:dyDescent="0.15">
      <c r="A6297" s="3">
        <f>DATE(2001,8,16)</f>
        <v>37119</v>
      </c>
      <c r="B6297" s="3">
        <f>DATE(2003,1,24)</f>
        <v>37645</v>
      </c>
      <c r="C6297" s="2" t="s">
        <v>95</v>
      </c>
      <c r="D6297" s="2" t="s">
        <v>19244</v>
      </c>
      <c r="E6297" s="2" t="s">
        <v>13537</v>
      </c>
      <c r="F6297" s="4">
        <v>6035</v>
      </c>
      <c r="G6297" s="2" t="s">
        <v>33</v>
      </c>
      <c r="H6297" s="2" t="s">
        <v>34</v>
      </c>
      <c r="I6297" s="2" t="s">
        <v>19245</v>
      </c>
      <c r="J6297" s="2" t="s">
        <v>159</v>
      </c>
      <c r="K6297" s="2" t="s">
        <v>37</v>
      </c>
      <c r="L6297" s="2" t="s">
        <v>34</v>
      </c>
      <c r="M6297" s="7">
        <v>474.61799999999999</v>
      </c>
      <c r="N6297" s="6">
        <v>10.55</v>
      </c>
      <c r="O6297" s="6">
        <v>11.13</v>
      </c>
      <c r="P6297" s="2" t="s">
        <v>19246</v>
      </c>
      <c r="Q6297" s="6">
        <v>29.44</v>
      </c>
      <c r="R6297" s="6">
        <v>32</v>
      </c>
      <c r="S6297" s="5">
        <v>2.9</v>
      </c>
      <c r="T6297" s="7">
        <v>4.5469999999999997</v>
      </c>
      <c r="U6297" s="5">
        <v>11.2</v>
      </c>
      <c r="V6297" s="6">
        <v>0.63</v>
      </c>
      <c r="W6297" s="4">
        <v>17</v>
      </c>
      <c r="X6297" s="5">
        <v>15.9</v>
      </c>
      <c r="Y6297" s="5">
        <v>15.9</v>
      </c>
      <c r="Z6297" s="5">
        <v>31.2</v>
      </c>
      <c r="AA6297" s="6">
        <v>4.54</v>
      </c>
      <c r="AB6297" s="7">
        <v>34.049999999999997</v>
      </c>
      <c r="AC6297" s="5">
        <v>51</v>
      </c>
    </row>
    <row r="6298" spans="1:29" ht="169" x14ac:dyDescent="0.15">
      <c r="A6298" s="3">
        <f>DATE(2001,8,16)</f>
        <v>37119</v>
      </c>
      <c r="B6298" s="3">
        <f>DATE(2002,1,3)</f>
        <v>37259</v>
      </c>
      <c r="C6298" s="2" t="s">
        <v>95</v>
      </c>
      <c r="D6298" s="2" t="s">
        <v>19247</v>
      </c>
      <c r="E6298" s="2" t="s">
        <v>36</v>
      </c>
      <c r="F6298" s="4">
        <v>6022</v>
      </c>
      <c r="G6298" s="2" t="s">
        <v>37</v>
      </c>
      <c r="H6298" s="2" t="s">
        <v>34</v>
      </c>
      <c r="I6298" s="2" t="s">
        <v>19248</v>
      </c>
      <c r="J6298" s="2" t="s">
        <v>36</v>
      </c>
      <c r="K6298" s="2" t="s">
        <v>37</v>
      </c>
      <c r="L6298" s="2" t="s">
        <v>34</v>
      </c>
      <c r="M6298" s="6">
        <v>24.93</v>
      </c>
      <c r="N6298" s="6">
        <v>14.74</v>
      </c>
      <c r="O6298" s="6">
        <v>14.74</v>
      </c>
      <c r="P6298" s="2" t="s">
        <v>19249</v>
      </c>
      <c r="Q6298" s="6">
        <v>86.31</v>
      </c>
      <c r="R6298" s="6">
        <v>17.350000000000001</v>
      </c>
      <c r="S6298" s="5">
        <v>3.4</v>
      </c>
      <c r="T6298" s="2"/>
      <c r="U6298" s="5">
        <v>8.5</v>
      </c>
      <c r="V6298" s="6">
        <v>1.62</v>
      </c>
      <c r="W6298" s="6">
        <v>12.75</v>
      </c>
      <c r="X6298" s="5">
        <v>13.2</v>
      </c>
      <c r="Y6298" s="5">
        <v>15.5</v>
      </c>
      <c r="Z6298" s="4">
        <v>15</v>
      </c>
      <c r="AA6298" s="6">
        <v>1.59</v>
      </c>
      <c r="AB6298" s="7">
        <v>6.2430000000000003</v>
      </c>
      <c r="AC6298" s="2"/>
    </row>
    <row r="6299" spans="1:29" ht="143" x14ac:dyDescent="0.15">
      <c r="A6299" s="3">
        <f>DATE(2001,8,16)</f>
        <v>37119</v>
      </c>
      <c r="B6299" s="3">
        <f>DATE(2001,10,19)</f>
        <v>37183</v>
      </c>
      <c r="C6299" s="2" t="s">
        <v>95</v>
      </c>
      <c r="D6299" s="2" t="s">
        <v>19250</v>
      </c>
      <c r="E6299" s="2" t="s">
        <v>19251</v>
      </c>
      <c r="F6299" s="4">
        <v>7372</v>
      </c>
      <c r="G6299" s="2" t="s">
        <v>551</v>
      </c>
      <c r="H6299" s="2" t="s">
        <v>34</v>
      </c>
      <c r="I6299" s="2" t="s">
        <v>18902</v>
      </c>
      <c r="J6299" s="2" t="s">
        <v>18903</v>
      </c>
      <c r="K6299" s="2" t="s">
        <v>551</v>
      </c>
      <c r="L6299" s="2" t="s">
        <v>34</v>
      </c>
      <c r="M6299" s="7">
        <v>208.05199999999999</v>
      </c>
      <c r="N6299" s="6">
        <v>1.28</v>
      </c>
      <c r="O6299" s="6">
        <v>1.24</v>
      </c>
      <c r="P6299" s="2" t="s">
        <v>19252</v>
      </c>
      <c r="Q6299" s="6">
        <v>100</v>
      </c>
      <c r="R6299" s="2"/>
      <c r="S6299" s="5">
        <v>-52.4</v>
      </c>
      <c r="T6299" s="5">
        <v>-42</v>
      </c>
      <c r="U6299" s="5">
        <v>0.2</v>
      </c>
      <c r="V6299" s="6">
        <v>-1.1399999999999999</v>
      </c>
      <c r="W6299" s="6">
        <v>1.05</v>
      </c>
      <c r="X6299" s="6">
        <v>1.1100000000000001</v>
      </c>
      <c r="Y6299" s="6">
        <v>0.91</v>
      </c>
      <c r="Z6299" s="6">
        <v>0.88</v>
      </c>
      <c r="AA6299" s="6">
        <v>47.21</v>
      </c>
      <c r="AB6299" s="2" t="s">
        <v>86</v>
      </c>
      <c r="AC6299" s="5">
        <v>202.2</v>
      </c>
    </row>
    <row r="6300" spans="1:29" ht="104" x14ac:dyDescent="0.15">
      <c r="A6300" s="3">
        <f>DATE(2001,8,20)</f>
        <v>37123</v>
      </c>
      <c r="B6300" s="2"/>
      <c r="C6300" s="2" t="s">
        <v>30</v>
      </c>
      <c r="D6300" s="2" t="s">
        <v>19253</v>
      </c>
      <c r="E6300" s="2" t="s">
        <v>19254</v>
      </c>
      <c r="F6300" s="4">
        <v>8731</v>
      </c>
      <c r="G6300" s="2" t="s">
        <v>223</v>
      </c>
      <c r="H6300" s="2" t="s">
        <v>34</v>
      </c>
      <c r="I6300" s="2" t="s">
        <v>562</v>
      </c>
      <c r="J6300" s="2" t="s">
        <v>18715</v>
      </c>
      <c r="K6300" s="2" t="s">
        <v>226</v>
      </c>
      <c r="L6300" s="2" t="s">
        <v>34</v>
      </c>
      <c r="M6300" s="7">
        <v>877.80399999999997</v>
      </c>
      <c r="N6300" s="6">
        <v>16.850000000000001</v>
      </c>
      <c r="O6300" s="5">
        <v>17.100000000000001</v>
      </c>
      <c r="P6300" s="2" t="s">
        <v>19255</v>
      </c>
      <c r="Q6300" s="2"/>
      <c r="R6300" s="6">
        <v>2</v>
      </c>
      <c r="S6300" s="5">
        <v>-0.6</v>
      </c>
      <c r="T6300" s="2"/>
      <c r="U6300" s="5">
        <v>-0.1</v>
      </c>
      <c r="V6300" s="6">
        <v>-0.15</v>
      </c>
      <c r="W6300" s="6">
        <v>0.67</v>
      </c>
      <c r="X6300" s="6">
        <v>1.05</v>
      </c>
      <c r="Y6300" s="6">
        <v>1.1200000000000001</v>
      </c>
      <c r="Z6300" s="5">
        <v>1.2</v>
      </c>
      <c r="AA6300" s="6">
        <v>3.93</v>
      </c>
      <c r="AB6300" s="2" t="s">
        <v>86</v>
      </c>
      <c r="AC6300" s="2"/>
    </row>
    <row r="6301" spans="1:29" ht="78" x14ac:dyDescent="0.15">
      <c r="A6301" s="3">
        <f>DATE(2001,8,21)</f>
        <v>37124</v>
      </c>
      <c r="B6301" s="3">
        <f>DATE(2001,11,30)</f>
        <v>37225</v>
      </c>
      <c r="C6301" s="2" t="s">
        <v>95</v>
      </c>
      <c r="D6301" s="2" t="s">
        <v>19256</v>
      </c>
      <c r="E6301" s="2" t="s">
        <v>19257</v>
      </c>
      <c r="F6301" s="4">
        <v>4213</v>
      </c>
      <c r="G6301" s="2" t="s">
        <v>173</v>
      </c>
      <c r="H6301" s="2" t="s">
        <v>34</v>
      </c>
      <c r="I6301" s="2" t="s">
        <v>19258</v>
      </c>
      <c r="J6301" s="2" t="s">
        <v>172</v>
      </c>
      <c r="K6301" s="2" t="s">
        <v>173</v>
      </c>
      <c r="L6301" s="2" t="s">
        <v>34</v>
      </c>
      <c r="M6301" s="7">
        <v>569.81299999999999</v>
      </c>
      <c r="N6301" s="6">
        <v>27.43</v>
      </c>
      <c r="O6301" s="5">
        <v>27.2</v>
      </c>
      <c r="P6301" s="2" t="s">
        <v>19259</v>
      </c>
      <c r="Q6301" s="6">
        <v>100</v>
      </c>
      <c r="R6301" s="6">
        <v>21.75</v>
      </c>
      <c r="S6301" s="5">
        <v>35.4</v>
      </c>
      <c r="T6301" s="5">
        <v>89.3</v>
      </c>
      <c r="U6301" s="5">
        <v>11.6</v>
      </c>
      <c r="V6301" s="6">
        <v>1.4</v>
      </c>
      <c r="W6301" s="5">
        <v>20.2</v>
      </c>
      <c r="X6301" s="6">
        <v>21.75</v>
      </c>
      <c r="Y6301" s="6">
        <v>20.75</v>
      </c>
      <c r="Z6301" s="6">
        <v>21.49</v>
      </c>
      <c r="AA6301" s="6">
        <v>24.8</v>
      </c>
      <c r="AB6301" s="7">
        <v>9.3019999999999996</v>
      </c>
      <c r="AC6301" s="2"/>
    </row>
    <row r="6302" spans="1:29" ht="143" x14ac:dyDescent="0.15">
      <c r="A6302" s="3">
        <f>DATE(2001,8,21)</f>
        <v>37124</v>
      </c>
      <c r="B6302" s="3">
        <f>DATE(2001,12,28)</f>
        <v>37253</v>
      </c>
      <c r="C6302" s="2" t="s">
        <v>95</v>
      </c>
      <c r="D6302" s="2" t="s">
        <v>19260</v>
      </c>
      <c r="E6302" s="2" t="s">
        <v>2855</v>
      </c>
      <c r="F6302" s="4">
        <v>6021</v>
      </c>
      <c r="G6302" s="2" t="s">
        <v>37</v>
      </c>
      <c r="H6302" s="2" t="s">
        <v>34</v>
      </c>
      <c r="I6302" s="2" t="s">
        <v>17438</v>
      </c>
      <c r="J6302" s="2" t="s">
        <v>36</v>
      </c>
      <c r="K6302" s="2" t="s">
        <v>33</v>
      </c>
      <c r="L6302" s="2" t="s">
        <v>34</v>
      </c>
      <c r="M6302" s="7">
        <v>172.71199999999999</v>
      </c>
      <c r="N6302" s="4">
        <v>14</v>
      </c>
      <c r="O6302" s="5">
        <v>14.1</v>
      </c>
      <c r="P6302" s="2" t="s">
        <v>19261</v>
      </c>
      <c r="Q6302" s="6">
        <v>100</v>
      </c>
      <c r="R6302" s="6">
        <v>13.08</v>
      </c>
      <c r="S6302" s="2"/>
      <c r="T6302" s="2"/>
      <c r="U6302" s="2"/>
      <c r="V6302" s="2"/>
      <c r="W6302" s="4">
        <v>9</v>
      </c>
      <c r="X6302" s="4">
        <v>9</v>
      </c>
      <c r="Y6302" s="4">
        <v>13</v>
      </c>
      <c r="Z6302" s="4">
        <v>13</v>
      </c>
      <c r="AA6302" s="6">
        <v>1.48</v>
      </c>
      <c r="AB6302" s="2" t="s">
        <v>47</v>
      </c>
      <c r="AC6302" s="2"/>
    </row>
    <row r="6303" spans="1:29" ht="130" x14ac:dyDescent="0.15">
      <c r="A6303" s="3">
        <f>DATE(2001,8,21)</f>
        <v>37124</v>
      </c>
      <c r="B6303" s="3">
        <f>DATE(2001,11,30)</f>
        <v>37225</v>
      </c>
      <c r="C6303" s="2" t="s">
        <v>95</v>
      </c>
      <c r="D6303" s="2" t="s">
        <v>19262</v>
      </c>
      <c r="E6303" s="2" t="s">
        <v>12954</v>
      </c>
      <c r="F6303" s="4">
        <v>7371</v>
      </c>
      <c r="G6303" s="2" t="s">
        <v>223</v>
      </c>
      <c r="H6303" s="2" t="s">
        <v>34</v>
      </c>
      <c r="I6303" s="2" t="s">
        <v>19263</v>
      </c>
      <c r="J6303" s="2" t="s">
        <v>4572</v>
      </c>
      <c r="K6303" s="2" t="s">
        <v>223</v>
      </c>
      <c r="L6303" s="2" t="s">
        <v>34</v>
      </c>
      <c r="M6303" s="12">
        <v>1147.835</v>
      </c>
      <c r="N6303" s="6">
        <v>16.649999999999999</v>
      </c>
      <c r="O6303" s="6">
        <v>16.760000000000002</v>
      </c>
      <c r="P6303" s="2" t="s">
        <v>19264</v>
      </c>
      <c r="Q6303" s="6">
        <v>100</v>
      </c>
      <c r="R6303" s="6">
        <v>8.86</v>
      </c>
      <c r="S6303" s="5">
        <v>2.8</v>
      </c>
      <c r="T6303" s="5">
        <v>17.8</v>
      </c>
      <c r="U6303" s="5">
        <v>5.6</v>
      </c>
      <c r="V6303" s="6">
        <v>0.19</v>
      </c>
      <c r="W6303" s="5">
        <v>3.6</v>
      </c>
      <c r="X6303" s="5">
        <v>3.7</v>
      </c>
      <c r="Y6303" s="6">
        <v>7.75</v>
      </c>
      <c r="Z6303" s="5">
        <v>7.8</v>
      </c>
      <c r="AA6303" s="6">
        <v>15.34</v>
      </c>
      <c r="AB6303" s="7">
        <v>22.562000000000001</v>
      </c>
      <c r="AC6303" s="5">
        <v>53.8</v>
      </c>
    </row>
    <row r="6304" spans="1:29" ht="182" x14ac:dyDescent="0.15">
      <c r="A6304" s="3">
        <f>DATE(2001,8,21)</f>
        <v>37124</v>
      </c>
      <c r="B6304" s="3">
        <f>DATE(2002,2,26)</f>
        <v>37313</v>
      </c>
      <c r="C6304" s="2" t="s">
        <v>95</v>
      </c>
      <c r="D6304" s="2" t="s">
        <v>19265</v>
      </c>
      <c r="E6304" s="2" t="s">
        <v>2728</v>
      </c>
      <c r="F6304" s="4">
        <v>3674</v>
      </c>
      <c r="G6304" s="2" t="s">
        <v>137</v>
      </c>
      <c r="H6304" s="2" t="s">
        <v>34</v>
      </c>
      <c r="I6304" s="2" t="s">
        <v>14301</v>
      </c>
      <c r="J6304" s="2" t="s">
        <v>14302</v>
      </c>
      <c r="K6304" s="2" t="s">
        <v>226</v>
      </c>
      <c r="L6304" s="2" t="s">
        <v>34</v>
      </c>
      <c r="M6304" s="12">
        <v>3806.3020000000001</v>
      </c>
      <c r="N6304" s="6">
        <v>20.329999999999998</v>
      </c>
      <c r="O6304" s="6">
        <v>20.350000000000001</v>
      </c>
      <c r="P6304" s="2" t="s">
        <v>19266</v>
      </c>
      <c r="Q6304" s="6">
        <v>26.58</v>
      </c>
      <c r="R6304" s="6">
        <v>17.5</v>
      </c>
      <c r="S6304" s="5">
        <v>-3.8</v>
      </c>
      <c r="T6304" s="5">
        <v>5.9</v>
      </c>
      <c r="U6304" s="5">
        <v>6.8</v>
      </c>
      <c r="V6304" s="6">
        <v>-0.23</v>
      </c>
      <c r="W6304" s="6">
        <v>17.61</v>
      </c>
      <c r="X6304" s="6">
        <v>13.69</v>
      </c>
      <c r="Y6304" s="6">
        <v>20.85</v>
      </c>
      <c r="Z6304" s="4">
        <v>21</v>
      </c>
      <c r="AA6304" s="6">
        <v>16.71</v>
      </c>
      <c r="AB6304" s="2" t="s">
        <v>86</v>
      </c>
      <c r="AC6304" s="5">
        <v>340.2</v>
      </c>
    </row>
    <row r="6305" spans="1:29" ht="156" x14ac:dyDescent="0.15">
      <c r="A6305" s="3">
        <f>DATE(2001,8,22)</f>
        <v>37125</v>
      </c>
      <c r="B6305" s="3">
        <f>DATE(2001,10,12)</f>
        <v>37176</v>
      </c>
      <c r="C6305" s="2" t="s">
        <v>95</v>
      </c>
      <c r="D6305" s="2" t="s">
        <v>19267</v>
      </c>
      <c r="E6305" s="2" t="s">
        <v>19268</v>
      </c>
      <c r="F6305" s="4">
        <v>6531</v>
      </c>
      <c r="G6305" s="2" t="s">
        <v>109</v>
      </c>
      <c r="H6305" s="2" t="s">
        <v>34</v>
      </c>
      <c r="I6305" s="2" t="s">
        <v>12740</v>
      </c>
      <c r="J6305" s="2" t="s">
        <v>1888</v>
      </c>
      <c r="K6305" s="2" t="s">
        <v>439</v>
      </c>
      <c r="L6305" s="2" t="s">
        <v>34</v>
      </c>
      <c r="M6305" s="2"/>
      <c r="N6305" s="2"/>
      <c r="O6305" s="2"/>
      <c r="P6305" s="2" t="s">
        <v>19269</v>
      </c>
      <c r="Q6305" s="6">
        <v>32.75</v>
      </c>
      <c r="R6305" s="6">
        <v>17</v>
      </c>
      <c r="S6305" s="5">
        <v>17.100000000000001</v>
      </c>
      <c r="T6305" s="5">
        <v>46.1</v>
      </c>
      <c r="U6305" s="5">
        <v>9.9</v>
      </c>
      <c r="V6305" s="6">
        <v>1.76</v>
      </c>
      <c r="W6305" s="5">
        <v>12.1</v>
      </c>
      <c r="X6305" s="6">
        <v>12.25</v>
      </c>
      <c r="Y6305" s="6">
        <v>12.79</v>
      </c>
      <c r="Z6305" s="6">
        <v>17.28</v>
      </c>
      <c r="AA6305" s="6">
        <v>8.7200000000000006</v>
      </c>
      <c r="AB6305" s="7">
        <v>6.2779999999999996</v>
      </c>
      <c r="AC6305" s="6">
        <v>13.81</v>
      </c>
    </row>
    <row r="6306" spans="1:29" ht="104" x14ac:dyDescent="0.15">
      <c r="A6306" s="3">
        <f>DATE(2001,8,22)</f>
        <v>37125</v>
      </c>
      <c r="B6306" s="3">
        <f>DATE(2002,1,31)</f>
        <v>37287</v>
      </c>
      <c r="C6306" s="2" t="s">
        <v>95</v>
      </c>
      <c r="D6306" s="2" t="s">
        <v>19270</v>
      </c>
      <c r="E6306" s="2" t="s">
        <v>2855</v>
      </c>
      <c r="F6306" s="4">
        <v>6021</v>
      </c>
      <c r="G6306" s="2" t="s">
        <v>37</v>
      </c>
      <c r="H6306" s="2" t="s">
        <v>34</v>
      </c>
      <c r="I6306" s="2" t="s">
        <v>3057</v>
      </c>
      <c r="J6306" s="2" t="s">
        <v>36</v>
      </c>
      <c r="K6306" s="2" t="s">
        <v>37</v>
      </c>
      <c r="L6306" s="2" t="s">
        <v>34</v>
      </c>
      <c r="M6306" s="2"/>
      <c r="N6306" s="2"/>
      <c r="O6306" s="2"/>
      <c r="P6306" s="2" t="s">
        <v>19271</v>
      </c>
      <c r="Q6306" s="6">
        <v>100</v>
      </c>
      <c r="R6306" s="6">
        <v>37.15</v>
      </c>
      <c r="S6306" s="2"/>
      <c r="T6306" s="2"/>
      <c r="U6306" s="2"/>
      <c r="V6306" s="2"/>
      <c r="W6306" s="5">
        <v>25.5</v>
      </c>
      <c r="X6306" s="5">
        <v>24.4</v>
      </c>
      <c r="Y6306" s="5">
        <v>35.9</v>
      </c>
      <c r="Z6306" s="7">
        <v>35.795000000000002</v>
      </c>
      <c r="AA6306" s="6">
        <v>0.88</v>
      </c>
      <c r="AB6306" s="2" t="s">
        <v>47</v>
      </c>
      <c r="AC6306" s="2"/>
    </row>
    <row r="6307" spans="1:29" ht="130" x14ac:dyDescent="0.15">
      <c r="A6307" s="3">
        <f>DATE(2001,8,24)</f>
        <v>37127</v>
      </c>
      <c r="B6307" s="2"/>
      <c r="C6307" s="2" t="s">
        <v>87</v>
      </c>
      <c r="D6307" s="2" t="s">
        <v>19272</v>
      </c>
      <c r="E6307" s="2" t="s">
        <v>1888</v>
      </c>
      <c r="F6307" s="4">
        <v>4911</v>
      </c>
      <c r="G6307" s="2" t="s">
        <v>439</v>
      </c>
      <c r="H6307" s="2" t="s">
        <v>34</v>
      </c>
      <c r="I6307" s="2" t="s">
        <v>19273</v>
      </c>
      <c r="J6307" s="2" t="s">
        <v>1888</v>
      </c>
      <c r="K6307" s="2" t="s">
        <v>439</v>
      </c>
      <c r="L6307" s="2" t="s">
        <v>34</v>
      </c>
      <c r="M6307" s="2"/>
      <c r="N6307" s="2"/>
      <c r="O6307" s="2"/>
      <c r="P6307" s="2" t="s">
        <v>19274</v>
      </c>
      <c r="Q6307" s="2"/>
      <c r="R6307" s="2"/>
      <c r="S6307" s="8">
        <v>-2669.6</v>
      </c>
      <c r="T6307" s="8">
        <v>1207.0999999999999</v>
      </c>
      <c r="U6307" s="5">
        <v>4.4000000000000004</v>
      </c>
      <c r="V6307" s="6">
        <v>-8.0299999999999994</v>
      </c>
      <c r="W6307" s="6">
        <v>10.53</v>
      </c>
      <c r="X6307" s="6">
        <v>10.83</v>
      </c>
      <c r="Y6307" s="4">
        <v>11</v>
      </c>
      <c r="Z6307" s="6">
        <v>10.58</v>
      </c>
      <c r="AA6307" s="6">
        <v>325.81</v>
      </c>
      <c r="AB6307" s="2" t="s">
        <v>86</v>
      </c>
      <c r="AC6307" s="2"/>
    </row>
    <row r="6308" spans="1:29" ht="169" x14ac:dyDescent="0.15">
      <c r="A6308" s="3">
        <f>DATE(2001,8,24)</f>
        <v>37127</v>
      </c>
      <c r="B6308" s="3">
        <f>DATE(2001,11,8)</f>
        <v>37203</v>
      </c>
      <c r="C6308" s="2" t="s">
        <v>95</v>
      </c>
      <c r="D6308" s="2" t="s">
        <v>19275</v>
      </c>
      <c r="E6308" s="2" t="s">
        <v>19276</v>
      </c>
      <c r="F6308" s="4">
        <v>7361</v>
      </c>
      <c r="G6308" s="2" t="s">
        <v>223</v>
      </c>
      <c r="H6308" s="2" t="s">
        <v>34</v>
      </c>
      <c r="I6308" s="2" t="s">
        <v>19277</v>
      </c>
      <c r="J6308" s="2" t="s">
        <v>17263</v>
      </c>
      <c r="K6308" s="2" t="s">
        <v>551</v>
      </c>
      <c r="L6308" s="2" t="s">
        <v>34</v>
      </c>
      <c r="M6308" s="2"/>
      <c r="N6308" s="2"/>
      <c r="O6308" s="2"/>
      <c r="P6308" s="2" t="s">
        <v>19278</v>
      </c>
      <c r="Q6308" s="6">
        <v>100</v>
      </c>
      <c r="R6308" s="6">
        <v>9.25</v>
      </c>
      <c r="S6308" s="5">
        <v>-25.5</v>
      </c>
      <c r="T6308" s="5">
        <v>-7.9</v>
      </c>
      <c r="U6308" s="5">
        <v>3.5</v>
      </c>
      <c r="V6308" s="6">
        <v>-1.25</v>
      </c>
      <c r="W6308" s="6">
        <v>7.02</v>
      </c>
      <c r="X6308" s="6">
        <v>6.95</v>
      </c>
      <c r="Y6308" s="6">
        <v>9.16</v>
      </c>
      <c r="Z6308" s="6">
        <v>9.17</v>
      </c>
      <c r="AA6308" s="6">
        <v>20.399999999999999</v>
      </c>
      <c r="AB6308" s="2" t="s">
        <v>86</v>
      </c>
      <c r="AC6308" s="2"/>
    </row>
    <row r="6309" spans="1:29" ht="156" x14ac:dyDescent="0.15">
      <c r="A6309" s="3">
        <f>DATE(2001,8,24)</f>
        <v>37127</v>
      </c>
      <c r="B6309" s="2"/>
      <c r="C6309" s="2" t="s">
        <v>30</v>
      </c>
      <c r="D6309" s="2" t="s">
        <v>19279</v>
      </c>
      <c r="E6309" s="2" t="s">
        <v>92</v>
      </c>
      <c r="F6309" s="4">
        <v>6798</v>
      </c>
      <c r="G6309" s="2" t="s">
        <v>53</v>
      </c>
      <c r="H6309" s="2" t="s">
        <v>34</v>
      </c>
      <c r="I6309" s="2" t="s">
        <v>51</v>
      </c>
      <c r="J6309" s="2" t="s">
        <v>52</v>
      </c>
      <c r="K6309" s="2" t="s">
        <v>53</v>
      </c>
      <c r="L6309" s="2" t="s">
        <v>34</v>
      </c>
      <c r="M6309" s="2"/>
      <c r="N6309" s="2"/>
      <c r="O6309" s="2"/>
      <c r="P6309" s="2" t="s">
        <v>19280</v>
      </c>
      <c r="Q6309" s="2"/>
      <c r="R6309" s="6">
        <v>14.5</v>
      </c>
      <c r="S6309" s="5">
        <v>3.3</v>
      </c>
      <c r="T6309" s="5">
        <v>92.6</v>
      </c>
      <c r="U6309" s="5">
        <v>18.399999999999999</v>
      </c>
      <c r="V6309" s="6">
        <v>-0.17</v>
      </c>
      <c r="W6309" s="5">
        <v>12.8</v>
      </c>
      <c r="X6309" s="5">
        <v>12.8</v>
      </c>
      <c r="Y6309" s="6">
        <v>14.34</v>
      </c>
      <c r="Z6309" s="6">
        <v>14.35</v>
      </c>
      <c r="AA6309" s="6">
        <v>15.7</v>
      </c>
      <c r="AB6309" s="7">
        <v>22.94</v>
      </c>
      <c r="AC6309" s="2"/>
    </row>
    <row r="6310" spans="1:29" ht="195" x14ac:dyDescent="0.15">
      <c r="A6310" s="3">
        <f>DATE(2001,8,27)</f>
        <v>37130</v>
      </c>
      <c r="B6310" s="3">
        <f>DATE(2002,5,15)</f>
        <v>37391</v>
      </c>
      <c r="C6310" s="2" t="s">
        <v>95</v>
      </c>
      <c r="D6310" s="2" t="s">
        <v>19281</v>
      </c>
      <c r="E6310" s="2" t="s">
        <v>19282</v>
      </c>
      <c r="F6310" s="4">
        <v>3827</v>
      </c>
      <c r="G6310" s="2" t="s">
        <v>226</v>
      </c>
      <c r="H6310" s="2" t="s">
        <v>34</v>
      </c>
      <c r="I6310" s="2" t="s">
        <v>19283</v>
      </c>
      <c r="J6310" s="2" t="s">
        <v>19284</v>
      </c>
      <c r="K6310" s="2" t="s">
        <v>454</v>
      </c>
      <c r="L6310" s="2" t="s">
        <v>902</v>
      </c>
      <c r="M6310" s="2"/>
      <c r="N6310" s="2"/>
      <c r="O6310" s="2"/>
      <c r="P6310" s="2" t="s">
        <v>19285</v>
      </c>
      <c r="Q6310" s="6">
        <v>100</v>
      </c>
      <c r="R6310" s="6">
        <v>6.41</v>
      </c>
      <c r="S6310" s="5">
        <v>0.3</v>
      </c>
      <c r="T6310" s="5">
        <v>17.5</v>
      </c>
      <c r="U6310" s="5">
        <v>3.6</v>
      </c>
      <c r="V6310" s="2"/>
      <c r="W6310" s="6">
        <v>3.01</v>
      </c>
      <c r="X6310" s="6">
        <v>3.01</v>
      </c>
      <c r="Y6310" s="6">
        <v>3.63</v>
      </c>
      <c r="Z6310" s="6">
        <v>3.59</v>
      </c>
      <c r="AA6310" s="6">
        <v>25.89</v>
      </c>
      <c r="AB6310" s="7">
        <v>196.77799999999999</v>
      </c>
      <c r="AC6310" s="6">
        <v>47.96</v>
      </c>
    </row>
    <row r="6311" spans="1:29" ht="156" x14ac:dyDescent="0.15">
      <c r="A6311" s="3">
        <f>DATE(2001,8,27)</f>
        <v>37130</v>
      </c>
      <c r="B6311" s="3">
        <f>DATE(2001,11,14)</f>
        <v>37209</v>
      </c>
      <c r="C6311" s="2" t="s">
        <v>95</v>
      </c>
      <c r="D6311" s="2" t="s">
        <v>6323</v>
      </c>
      <c r="E6311" s="2" t="s">
        <v>4145</v>
      </c>
      <c r="F6311" s="4">
        <v>3823</v>
      </c>
      <c r="G6311" s="2" t="s">
        <v>226</v>
      </c>
      <c r="H6311" s="2" t="s">
        <v>34</v>
      </c>
      <c r="I6311" s="2" t="s">
        <v>19286</v>
      </c>
      <c r="J6311" s="2" t="s">
        <v>19287</v>
      </c>
      <c r="K6311" s="2" t="s">
        <v>250</v>
      </c>
      <c r="L6311" s="2" t="s">
        <v>34</v>
      </c>
      <c r="M6311" s="12">
        <v>2209.9029999999998</v>
      </c>
      <c r="N6311" s="6">
        <v>13.44</v>
      </c>
      <c r="O6311" s="5">
        <v>13.2</v>
      </c>
      <c r="P6311" s="2" t="s">
        <v>19288</v>
      </c>
      <c r="Q6311" s="6">
        <v>100</v>
      </c>
      <c r="R6311" s="6">
        <v>2.25</v>
      </c>
      <c r="S6311" s="5">
        <v>-0.4</v>
      </c>
      <c r="T6311" s="6">
        <v>58.46</v>
      </c>
      <c r="U6311" s="5">
        <v>0.1</v>
      </c>
      <c r="V6311" s="9">
        <v>-0.16320000000000001</v>
      </c>
      <c r="W6311" s="6">
        <v>1.71</v>
      </c>
      <c r="X6311" s="6">
        <v>1.85</v>
      </c>
      <c r="Y6311" s="6">
        <v>2.19</v>
      </c>
      <c r="Z6311" s="6">
        <v>2.1800000000000002</v>
      </c>
      <c r="AA6311" s="6">
        <v>14.17</v>
      </c>
      <c r="AB6311" s="7">
        <v>3.899</v>
      </c>
      <c r="AC6311" s="5">
        <v>104.3</v>
      </c>
    </row>
    <row r="6312" spans="1:29" ht="117" x14ac:dyDescent="0.15">
      <c r="A6312" s="3">
        <f>DATE(2001,8,28)</f>
        <v>37131</v>
      </c>
      <c r="B6312" s="3">
        <f>DATE(2001,12,31)</f>
        <v>37256</v>
      </c>
      <c r="C6312" s="2" t="s">
        <v>95</v>
      </c>
      <c r="D6312" s="2" t="s">
        <v>12758</v>
      </c>
      <c r="E6312" s="2" t="s">
        <v>1181</v>
      </c>
      <c r="F6312" s="4">
        <v>6021</v>
      </c>
      <c r="G6312" s="2" t="s">
        <v>37</v>
      </c>
      <c r="H6312" s="2" t="s">
        <v>34</v>
      </c>
      <c r="I6312" s="2" t="s">
        <v>19289</v>
      </c>
      <c r="J6312" s="2" t="s">
        <v>263</v>
      </c>
      <c r="K6312" s="2" t="s">
        <v>37</v>
      </c>
      <c r="L6312" s="2" t="s">
        <v>34</v>
      </c>
      <c r="M6312" s="7">
        <v>50.582999999999998</v>
      </c>
      <c r="N6312" s="6">
        <v>27.95</v>
      </c>
      <c r="O6312" s="6">
        <v>27.95</v>
      </c>
      <c r="P6312" s="2" t="s">
        <v>19290</v>
      </c>
      <c r="Q6312" s="6">
        <v>100</v>
      </c>
      <c r="R6312" s="6">
        <v>13.98</v>
      </c>
      <c r="S6312" s="5">
        <v>0.6</v>
      </c>
      <c r="T6312" s="2"/>
      <c r="U6312" s="5">
        <v>9.4</v>
      </c>
      <c r="V6312" s="6">
        <v>0.38</v>
      </c>
      <c r="W6312" s="4">
        <v>9</v>
      </c>
      <c r="X6312" s="4">
        <v>9</v>
      </c>
      <c r="Y6312" s="4">
        <v>9</v>
      </c>
      <c r="Z6312" s="6">
        <v>11.65</v>
      </c>
      <c r="AA6312" s="6">
        <v>1.51</v>
      </c>
      <c r="AB6312" s="7">
        <v>125.66</v>
      </c>
      <c r="AC6312" s="2"/>
    </row>
    <row r="6313" spans="1:29" ht="169" x14ac:dyDescent="0.15">
      <c r="A6313" s="3">
        <f>DATE(2001,8,29)</f>
        <v>37132</v>
      </c>
      <c r="B6313" s="3">
        <f>DATE(2002,1,30)</f>
        <v>37286</v>
      </c>
      <c r="C6313" s="2" t="s">
        <v>95</v>
      </c>
      <c r="D6313" s="2" t="s">
        <v>19291</v>
      </c>
      <c r="E6313" s="2" t="s">
        <v>19292</v>
      </c>
      <c r="F6313" s="4">
        <v>2611</v>
      </c>
      <c r="G6313" s="2" t="s">
        <v>282</v>
      </c>
      <c r="H6313" s="2" t="s">
        <v>34</v>
      </c>
      <c r="I6313" s="2" t="s">
        <v>19293</v>
      </c>
      <c r="J6313" s="2" t="s">
        <v>16332</v>
      </c>
      <c r="K6313" s="2" t="s">
        <v>282</v>
      </c>
      <c r="L6313" s="2" t="s">
        <v>34</v>
      </c>
      <c r="M6313" s="12">
        <v>2910.473</v>
      </c>
      <c r="N6313" s="6">
        <v>32.17</v>
      </c>
      <c r="O6313" s="6">
        <v>32.75</v>
      </c>
      <c r="P6313" s="2" t="s">
        <v>19294</v>
      </c>
      <c r="Q6313" s="6">
        <v>100</v>
      </c>
      <c r="R6313" s="6">
        <v>29.28</v>
      </c>
      <c r="S6313" s="5">
        <v>186.1</v>
      </c>
      <c r="T6313" s="5">
        <v>800.1</v>
      </c>
      <c r="U6313" s="5">
        <v>23</v>
      </c>
      <c r="V6313" s="6">
        <v>1.84</v>
      </c>
      <c r="W6313" s="6">
        <v>27.04</v>
      </c>
      <c r="X6313" s="6">
        <v>27.66</v>
      </c>
      <c r="Y6313" s="6">
        <v>29.75</v>
      </c>
      <c r="Z6313" s="6">
        <v>30.16</v>
      </c>
      <c r="AA6313" s="6">
        <v>100.73</v>
      </c>
      <c r="AB6313" s="7">
        <v>11.983000000000001</v>
      </c>
      <c r="AC6313" s="5">
        <v>19.8</v>
      </c>
    </row>
    <row r="6314" spans="1:29" ht="117" x14ac:dyDescent="0.15">
      <c r="A6314" s="3">
        <f>DATE(2001,8,30)</f>
        <v>37133</v>
      </c>
      <c r="B6314" s="2"/>
      <c r="C6314" s="2" t="s">
        <v>7330</v>
      </c>
      <c r="D6314" s="2" t="s">
        <v>19295</v>
      </c>
      <c r="E6314" s="2" t="s">
        <v>19296</v>
      </c>
      <c r="F6314" s="4">
        <v>4832</v>
      </c>
      <c r="G6314" s="2" t="s">
        <v>45</v>
      </c>
      <c r="H6314" s="2" t="s">
        <v>34</v>
      </c>
      <c r="I6314" s="2" t="s">
        <v>19297</v>
      </c>
      <c r="J6314" s="2" t="s">
        <v>19298</v>
      </c>
      <c r="K6314" s="2" t="s">
        <v>415</v>
      </c>
      <c r="L6314" s="2" t="s">
        <v>34</v>
      </c>
      <c r="M6314" s="2"/>
      <c r="N6314" s="2"/>
      <c r="O6314" s="2"/>
      <c r="P6314" s="2" t="s">
        <v>19299</v>
      </c>
      <c r="Q6314" s="2"/>
      <c r="R6314" s="6">
        <v>1.05</v>
      </c>
      <c r="S6314" s="5">
        <v>-12.4</v>
      </c>
      <c r="T6314" s="5">
        <v>-10.9</v>
      </c>
      <c r="U6314" s="5">
        <v>2.1</v>
      </c>
      <c r="V6314" s="6">
        <v>-5.53</v>
      </c>
      <c r="W6314" s="5">
        <v>1.8</v>
      </c>
      <c r="X6314" s="5">
        <v>1.8</v>
      </c>
      <c r="Y6314" s="5">
        <v>1.8</v>
      </c>
      <c r="Z6314" s="5">
        <v>1.8</v>
      </c>
      <c r="AA6314" s="6">
        <v>2.2400000000000002</v>
      </c>
      <c r="AB6314" s="2" t="s">
        <v>86</v>
      </c>
      <c r="AC6314" s="2"/>
    </row>
    <row r="6315" spans="1:29" ht="169" x14ac:dyDescent="0.15">
      <c r="A6315" s="3">
        <f>DATE(2001,8,30)</f>
        <v>37133</v>
      </c>
      <c r="B6315" s="2"/>
      <c r="C6315" s="2" t="s">
        <v>30</v>
      </c>
      <c r="D6315" s="2" t="s">
        <v>19279</v>
      </c>
      <c r="E6315" s="2" t="s">
        <v>92</v>
      </c>
      <c r="F6315" s="4">
        <v>6798</v>
      </c>
      <c r="G6315" s="2" t="s">
        <v>53</v>
      </c>
      <c r="H6315" s="2" t="s">
        <v>34</v>
      </c>
      <c r="I6315" s="2" t="s">
        <v>51</v>
      </c>
      <c r="J6315" s="2" t="s">
        <v>52</v>
      </c>
      <c r="K6315" s="2" t="s">
        <v>53</v>
      </c>
      <c r="L6315" s="2" t="s">
        <v>34</v>
      </c>
      <c r="M6315" s="2"/>
      <c r="N6315" s="2"/>
      <c r="O6315" s="2"/>
      <c r="P6315" s="2" t="s">
        <v>19300</v>
      </c>
      <c r="Q6315" s="2"/>
      <c r="R6315" s="6">
        <v>14.5</v>
      </c>
      <c r="S6315" s="5">
        <v>14.6</v>
      </c>
      <c r="T6315" s="5">
        <v>113.3</v>
      </c>
      <c r="U6315" s="5">
        <v>19.399999999999999</v>
      </c>
      <c r="V6315" s="6">
        <v>0.54</v>
      </c>
      <c r="W6315" s="5">
        <v>12.8</v>
      </c>
      <c r="X6315" s="5">
        <v>12.8</v>
      </c>
      <c r="Y6315" s="6">
        <v>14.34</v>
      </c>
      <c r="Z6315" s="6">
        <v>14.35</v>
      </c>
      <c r="AA6315" s="6">
        <v>15.7</v>
      </c>
      <c r="AB6315" s="7">
        <v>15.679</v>
      </c>
      <c r="AC6315" s="2"/>
    </row>
    <row r="6316" spans="1:29" ht="156" x14ac:dyDescent="0.15">
      <c r="A6316" s="3">
        <f>DATE(2001,8,31)</f>
        <v>37134</v>
      </c>
      <c r="B6316" s="3">
        <f>DATE(2001,10,15)</f>
        <v>37179</v>
      </c>
      <c r="C6316" s="2" t="s">
        <v>95</v>
      </c>
      <c r="D6316" s="2" t="s">
        <v>19301</v>
      </c>
      <c r="E6316" s="2" t="s">
        <v>19302</v>
      </c>
      <c r="F6316" s="4">
        <v>5043</v>
      </c>
      <c r="G6316" s="2" t="s">
        <v>76</v>
      </c>
      <c r="H6316" s="2" t="s">
        <v>34</v>
      </c>
      <c r="I6316" s="2" t="s">
        <v>19303</v>
      </c>
      <c r="J6316" s="2" t="s">
        <v>19304</v>
      </c>
      <c r="K6316" s="2" t="s">
        <v>300</v>
      </c>
      <c r="L6316" s="2" t="s">
        <v>34</v>
      </c>
      <c r="M6316" s="2"/>
      <c r="N6316" s="2"/>
      <c r="O6316" s="2"/>
      <c r="P6316" s="2" t="s">
        <v>19305</v>
      </c>
      <c r="Q6316" s="6">
        <v>100</v>
      </c>
      <c r="R6316" s="6">
        <v>10</v>
      </c>
      <c r="S6316" s="5">
        <v>3.1</v>
      </c>
      <c r="T6316" s="5">
        <v>13.2</v>
      </c>
      <c r="U6316" s="5">
        <v>9.8000000000000007</v>
      </c>
      <c r="V6316" s="6">
        <v>0.49</v>
      </c>
      <c r="W6316" s="5">
        <v>4.2</v>
      </c>
      <c r="X6316" s="5">
        <v>5.6</v>
      </c>
      <c r="Y6316" s="6">
        <v>9.7799999999999994</v>
      </c>
      <c r="Z6316" s="6">
        <v>9.7799999999999994</v>
      </c>
      <c r="AA6316" s="6">
        <v>6.36</v>
      </c>
      <c r="AB6316" s="7">
        <v>11.563000000000001</v>
      </c>
      <c r="AC6316" s="2"/>
    </row>
    <row r="6317" spans="1:29" ht="65" x14ac:dyDescent="0.15">
      <c r="A6317" s="3">
        <f>DATE(2001,9,4)</f>
        <v>37138</v>
      </c>
      <c r="B6317" s="3">
        <f>DATE(2002,3,8)</f>
        <v>37323</v>
      </c>
      <c r="C6317" s="2" t="s">
        <v>95</v>
      </c>
      <c r="D6317" s="2" t="s">
        <v>11985</v>
      </c>
      <c r="E6317" s="2" t="s">
        <v>1398</v>
      </c>
      <c r="F6317" s="4">
        <v>6035</v>
      </c>
      <c r="G6317" s="2" t="s">
        <v>33</v>
      </c>
      <c r="H6317" s="2" t="s">
        <v>34</v>
      </c>
      <c r="I6317" s="2" t="s">
        <v>14410</v>
      </c>
      <c r="J6317" s="2" t="s">
        <v>7190</v>
      </c>
      <c r="K6317" s="2" t="s">
        <v>37</v>
      </c>
      <c r="L6317" s="2" t="s">
        <v>34</v>
      </c>
      <c r="M6317" s="7">
        <v>308.77499999999998</v>
      </c>
      <c r="N6317" s="6">
        <v>20.65</v>
      </c>
      <c r="O6317" s="6">
        <v>19.75</v>
      </c>
      <c r="P6317" s="2" t="s">
        <v>19306</v>
      </c>
      <c r="Q6317" s="6">
        <v>100</v>
      </c>
      <c r="R6317" s="6">
        <v>21.5</v>
      </c>
      <c r="S6317" s="5">
        <v>3.8</v>
      </c>
      <c r="T6317" s="2"/>
      <c r="U6317" s="5">
        <v>17.100000000000001</v>
      </c>
      <c r="V6317" s="6">
        <v>0.84</v>
      </c>
      <c r="W6317" s="6">
        <v>19.71</v>
      </c>
      <c r="X6317" s="4">
        <v>22</v>
      </c>
      <c r="Y6317" s="5">
        <v>20.399999999999999</v>
      </c>
      <c r="Z6317" s="6">
        <v>21.15</v>
      </c>
      <c r="AA6317" s="6">
        <v>4.45</v>
      </c>
      <c r="AB6317" s="7">
        <v>8.3770000000000007</v>
      </c>
      <c r="AC6317" s="5">
        <v>104.9</v>
      </c>
    </row>
    <row r="6318" spans="1:29" ht="182" x14ac:dyDescent="0.15">
      <c r="A6318" s="3">
        <f>DATE(2001,9,4)</f>
        <v>37138</v>
      </c>
      <c r="B6318" s="3">
        <f>DATE(2002,5,3)</f>
        <v>37379</v>
      </c>
      <c r="C6318" s="2" t="s">
        <v>95</v>
      </c>
      <c r="D6318" s="2" t="s">
        <v>1711</v>
      </c>
      <c r="E6318" s="2" t="s">
        <v>1712</v>
      </c>
      <c r="F6318" s="4">
        <v>3571</v>
      </c>
      <c r="G6318" s="2" t="s">
        <v>50</v>
      </c>
      <c r="H6318" s="2" t="s">
        <v>34</v>
      </c>
      <c r="I6318" s="2" t="s">
        <v>2209</v>
      </c>
      <c r="J6318" s="2" t="s">
        <v>2210</v>
      </c>
      <c r="K6318" s="2" t="s">
        <v>50</v>
      </c>
      <c r="L6318" s="2" t="s">
        <v>34</v>
      </c>
      <c r="M6318" s="12">
        <v>48821.764000000003</v>
      </c>
      <c r="N6318" s="6">
        <v>18.87</v>
      </c>
      <c r="O6318" s="6">
        <v>18.21</v>
      </c>
      <c r="P6318" s="2" t="s">
        <v>19307</v>
      </c>
      <c r="Q6318" s="6">
        <v>100</v>
      </c>
      <c r="R6318" s="6">
        <v>14.68</v>
      </c>
      <c r="S6318" s="5">
        <v>-318</v>
      </c>
      <c r="T6318" s="8">
        <v>3286</v>
      </c>
      <c r="U6318" s="5">
        <v>6.9</v>
      </c>
      <c r="V6318" s="6">
        <v>-0.19</v>
      </c>
      <c r="W6318" s="6">
        <v>13.32</v>
      </c>
      <c r="X6318" s="6">
        <v>12.35</v>
      </c>
      <c r="Y6318" s="6">
        <v>11.08</v>
      </c>
      <c r="Z6318" s="6">
        <v>10.41</v>
      </c>
      <c r="AA6318" s="10">
        <v>1700</v>
      </c>
      <c r="AB6318" s="7">
        <v>12.576000000000001</v>
      </c>
      <c r="AC6318" s="8">
        <v>3240</v>
      </c>
    </row>
    <row r="6319" spans="1:29" ht="208" x14ac:dyDescent="0.15">
      <c r="A6319" s="3">
        <f>DATE(2001,9,4)</f>
        <v>37138</v>
      </c>
      <c r="B6319" s="3">
        <f>DATE(2001,11,20)</f>
        <v>37215</v>
      </c>
      <c r="C6319" s="2" t="s">
        <v>95</v>
      </c>
      <c r="D6319" s="2" t="s">
        <v>13382</v>
      </c>
      <c r="E6319" s="2" t="s">
        <v>13383</v>
      </c>
      <c r="F6319" s="4">
        <v>1381</v>
      </c>
      <c r="G6319" s="2" t="s">
        <v>148</v>
      </c>
      <c r="H6319" s="2" t="s">
        <v>34</v>
      </c>
      <c r="I6319" s="2" t="s">
        <v>19308</v>
      </c>
      <c r="J6319" s="2" t="s">
        <v>19309</v>
      </c>
      <c r="K6319" s="2" t="s">
        <v>148</v>
      </c>
      <c r="L6319" s="2" t="s">
        <v>34</v>
      </c>
      <c r="M6319" s="12">
        <v>3116.902</v>
      </c>
      <c r="N6319" s="6">
        <v>22.98</v>
      </c>
      <c r="O6319" s="6">
        <v>22.97</v>
      </c>
      <c r="P6319" s="2" t="s">
        <v>19310</v>
      </c>
      <c r="Q6319" s="6">
        <v>100</v>
      </c>
      <c r="R6319" s="6">
        <v>16.829999999999998</v>
      </c>
      <c r="S6319" s="5">
        <v>198.2</v>
      </c>
      <c r="T6319" s="5">
        <v>399.1</v>
      </c>
      <c r="U6319" s="5">
        <v>8</v>
      </c>
      <c r="V6319" s="6">
        <v>1.1000000000000001</v>
      </c>
      <c r="W6319" s="6">
        <v>15.36</v>
      </c>
      <c r="X6319" s="5">
        <v>14.4</v>
      </c>
      <c r="Y6319" s="5">
        <v>15.1</v>
      </c>
      <c r="Z6319" s="4">
        <v>15</v>
      </c>
      <c r="AA6319" s="6">
        <v>176.6</v>
      </c>
      <c r="AB6319" s="7">
        <v>13.807</v>
      </c>
      <c r="AC6319" s="6">
        <v>387.35</v>
      </c>
    </row>
    <row r="6320" spans="1:29" ht="208" x14ac:dyDescent="0.15">
      <c r="A6320" s="3">
        <f>DATE(2001,9,6)</f>
        <v>37140</v>
      </c>
      <c r="B6320" s="3">
        <f>DATE(2002,3,7)</f>
        <v>37322</v>
      </c>
      <c r="C6320" s="2" t="s">
        <v>95</v>
      </c>
      <c r="D6320" s="2" t="s">
        <v>16081</v>
      </c>
      <c r="E6320" s="2" t="s">
        <v>263</v>
      </c>
      <c r="F6320" s="4">
        <v>6021</v>
      </c>
      <c r="G6320" s="2" t="s">
        <v>37</v>
      </c>
      <c r="H6320" s="2" t="s">
        <v>34</v>
      </c>
      <c r="I6320" s="2" t="s">
        <v>19311</v>
      </c>
      <c r="J6320" s="2" t="s">
        <v>1181</v>
      </c>
      <c r="K6320" s="2" t="s">
        <v>37</v>
      </c>
      <c r="L6320" s="2" t="s">
        <v>34</v>
      </c>
      <c r="M6320" s="7">
        <v>198.81700000000001</v>
      </c>
      <c r="N6320" s="5">
        <v>16.7</v>
      </c>
      <c r="O6320" s="6">
        <v>16.71</v>
      </c>
      <c r="P6320" s="2" t="s">
        <v>19312</v>
      </c>
      <c r="Q6320" s="6">
        <v>100</v>
      </c>
      <c r="R6320" s="6">
        <v>24.51</v>
      </c>
      <c r="S6320" s="5">
        <v>15.5</v>
      </c>
      <c r="T6320" s="5">
        <v>27.8</v>
      </c>
      <c r="U6320" s="5">
        <v>12.8</v>
      </c>
      <c r="V6320" s="6">
        <v>1.77</v>
      </c>
      <c r="W6320" s="6">
        <v>22.26</v>
      </c>
      <c r="X6320" s="6">
        <v>20.95</v>
      </c>
      <c r="Y6320" s="6">
        <v>21.62</v>
      </c>
      <c r="Z6320" s="6">
        <v>21.69</v>
      </c>
      <c r="AA6320" s="6">
        <v>8.74</v>
      </c>
      <c r="AB6320" s="7">
        <v>68.781000000000006</v>
      </c>
      <c r="AC6320" s="5">
        <v>34.4</v>
      </c>
    </row>
    <row r="6321" spans="1:29" ht="156" x14ac:dyDescent="0.15">
      <c r="A6321" s="3">
        <f>DATE(2001,9,6)</f>
        <v>37140</v>
      </c>
      <c r="B6321" s="3">
        <f>DATE(2001,12,18)</f>
        <v>37243</v>
      </c>
      <c r="C6321" s="2" t="s">
        <v>95</v>
      </c>
      <c r="D6321" s="2" t="s">
        <v>19313</v>
      </c>
      <c r="E6321" s="2" t="s">
        <v>19314</v>
      </c>
      <c r="F6321" s="4">
        <v>7373</v>
      </c>
      <c r="G6321" s="2" t="s">
        <v>223</v>
      </c>
      <c r="H6321" s="2" t="s">
        <v>34</v>
      </c>
      <c r="I6321" s="2" t="s">
        <v>16886</v>
      </c>
      <c r="J6321" s="2" t="s">
        <v>10922</v>
      </c>
      <c r="K6321" s="2" t="s">
        <v>223</v>
      </c>
      <c r="L6321" s="2" t="s">
        <v>34</v>
      </c>
      <c r="M6321" s="12">
        <v>1893.5039999999999</v>
      </c>
      <c r="N6321" s="6">
        <v>49.16</v>
      </c>
      <c r="O6321" s="5">
        <v>50.1</v>
      </c>
      <c r="P6321" s="2" t="s">
        <v>19315</v>
      </c>
      <c r="Q6321" s="6">
        <v>100</v>
      </c>
      <c r="R6321" s="6">
        <v>2.63</v>
      </c>
      <c r="S6321" s="5">
        <v>-9.3000000000000007</v>
      </c>
      <c r="T6321" s="5">
        <v>-0.4</v>
      </c>
      <c r="U6321" s="5">
        <v>0.7</v>
      </c>
      <c r="V6321" s="6">
        <v>-1.46</v>
      </c>
      <c r="W6321" s="6">
        <v>2.65</v>
      </c>
      <c r="X6321" s="6">
        <v>2.25</v>
      </c>
      <c r="Y6321" s="6">
        <v>2.5099999999999998</v>
      </c>
      <c r="Z6321" s="5">
        <v>2.5</v>
      </c>
      <c r="AA6321" s="6">
        <v>6.57</v>
      </c>
      <c r="AB6321" s="2" t="s">
        <v>86</v>
      </c>
      <c r="AC6321" s="6">
        <v>98.16</v>
      </c>
    </row>
    <row r="6322" spans="1:29" ht="104" x14ac:dyDescent="0.15">
      <c r="A6322" s="3">
        <f>DATE(2001,9,6)</f>
        <v>37140</v>
      </c>
      <c r="B6322" s="2"/>
      <c r="C6322" s="2" t="s">
        <v>7330</v>
      </c>
      <c r="D6322" s="2" t="s">
        <v>1206</v>
      </c>
      <c r="E6322" s="2" t="s">
        <v>1207</v>
      </c>
      <c r="F6322" s="4">
        <v>4522</v>
      </c>
      <c r="G6322" s="2" t="s">
        <v>59</v>
      </c>
      <c r="H6322" s="2" t="s">
        <v>34</v>
      </c>
      <c r="I6322" s="2" t="s">
        <v>19316</v>
      </c>
      <c r="J6322" s="2" t="s">
        <v>150</v>
      </c>
      <c r="K6322" s="2" t="s">
        <v>53</v>
      </c>
      <c r="L6322" s="2" t="s">
        <v>34</v>
      </c>
      <c r="M6322" s="2"/>
      <c r="N6322" s="2"/>
      <c r="O6322" s="2"/>
      <c r="P6322" s="2" t="s">
        <v>19317</v>
      </c>
      <c r="Q6322" s="2"/>
      <c r="R6322" s="2"/>
      <c r="S6322" s="5">
        <v>-7.7</v>
      </c>
      <c r="T6322" s="7">
        <v>17.692</v>
      </c>
      <c r="U6322" s="5">
        <v>16.100000000000001</v>
      </c>
      <c r="V6322" s="6">
        <v>-1.5</v>
      </c>
      <c r="W6322" s="4">
        <v>19</v>
      </c>
      <c r="X6322" s="4">
        <v>20</v>
      </c>
      <c r="Y6322" s="5">
        <v>20.5</v>
      </c>
      <c r="Z6322" s="5">
        <v>20.3</v>
      </c>
      <c r="AA6322" s="2"/>
      <c r="AB6322" s="7">
        <v>46.305999999999997</v>
      </c>
      <c r="AC6322" s="2"/>
    </row>
    <row r="6323" spans="1:29" ht="104" x14ac:dyDescent="0.15">
      <c r="A6323" s="3">
        <f>DATE(2001,9,6)</f>
        <v>37140</v>
      </c>
      <c r="B6323" s="3">
        <f>DATE(2002,4,1)</f>
        <v>37347</v>
      </c>
      <c r="C6323" s="2" t="s">
        <v>95</v>
      </c>
      <c r="D6323" s="2" t="s">
        <v>19318</v>
      </c>
      <c r="E6323" s="2" t="s">
        <v>203</v>
      </c>
      <c r="F6323" s="4">
        <v>6036</v>
      </c>
      <c r="G6323" s="2" t="s">
        <v>33</v>
      </c>
      <c r="H6323" s="2" t="s">
        <v>34</v>
      </c>
      <c r="I6323" s="2" t="s">
        <v>18147</v>
      </c>
      <c r="J6323" s="2" t="s">
        <v>18148</v>
      </c>
      <c r="K6323" s="2" t="s">
        <v>33</v>
      </c>
      <c r="L6323" s="2" t="s">
        <v>34</v>
      </c>
      <c r="M6323" s="7">
        <v>260.375</v>
      </c>
      <c r="N6323" s="5">
        <v>6.8</v>
      </c>
      <c r="O6323" s="5">
        <v>6.8</v>
      </c>
      <c r="P6323" s="2" t="s">
        <v>19319</v>
      </c>
      <c r="Q6323" s="6">
        <v>100</v>
      </c>
      <c r="R6323" s="6">
        <v>22</v>
      </c>
      <c r="S6323" s="5">
        <v>1.8</v>
      </c>
      <c r="T6323" s="5">
        <v>2.7</v>
      </c>
      <c r="U6323" s="5">
        <v>12.9</v>
      </c>
      <c r="V6323" s="6">
        <v>1.79</v>
      </c>
      <c r="W6323" s="4">
        <v>13</v>
      </c>
      <c r="X6323" s="6">
        <v>14.24</v>
      </c>
      <c r="Y6323" s="6">
        <v>21.45</v>
      </c>
      <c r="Z6323" s="6">
        <v>21.48</v>
      </c>
      <c r="AA6323" s="6">
        <v>1</v>
      </c>
      <c r="AB6323" s="7">
        <v>60.273000000000003</v>
      </c>
      <c r="AC6323" s="5">
        <v>143.80000000000001</v>
      </c>
    </row>
    <row r="6324" spans="1:29" ht="143" x14ac:dyDescent="0.15">
      <c r="A6324" s="3">
        <f>DATE(2001,9,7)</f>
        <v>37141</v>
      </c>
      <c r="B6324" s="3">
        <f>DATE(2001,11,1)</f>
        <v>37196</v>
      </c>
      <c r="C6324" s="2" t="s">
        <v>95</v>
      </c>
      <c r="D6324" s="2" t="s">
        <v>9962</v>
      </c>
      <c r="E6324" s="2" t="s">
        <v>612</v>
      </c>
      <c r="F6324" s="4">
        <v>1311</v>
      </c>
      <c r="G6324" s="2" t="s">
        <v>148</v>
      </c>
      <c r="H6324" s="2" t="s">
        <v>34</v>
      </c>
      <c r="I6324" s="2" t="s">
        <v>13839</v>
      </c>
      <c r="J6324" s="2" t="s">
        <v>3759</v>
      </c>
      <c r="K6324" s="2" t="s">
        <v>439</v>
      </c>
      <c r="L6324" s="2" t="s">
        <v>34</v>
      </c>
      <c r="M6324" s="10">
        <v>15255.91</v>
      </c>
      <c r="N6324" s="6">
        <v>62.63</v>
      </c>
      <c r="O6324" s="6">
        <v>60.26</v>
      </c>
      <c r="P6324" s="2" t="s">
        <v>19320</v>
      </c>
      <c r="Q6324" s="6">
        <v>100</v>
      </c>
      <c r="R6324" s="6">
        <v>40.200000000000003</v>
      </c>
      <c r="S6324" s="5">
        <v>201.5</v>
      </c>
      <c r="T6324" s="5">
        <v>482.8</v>
      </c>
      <c r="U6324" s="5">
        <v>17.899999999999999</v>
      </c>
      <c r="V6324" s="6">
        <v>4.54</v>
      </c>
      <c r="W6324" s="6">
        <v>33.25</v>
      </c>
      <c r="X6324" s="6">
        <v>32.89</v>
      </c>
      <c r="Y6324" s="6">
        <v>32.96</v>
      </c>
      <c r="Z6324" s="6">
        <v>38.68</v>
      </c>
      <c r="AA6324" s="6">
        <v>43.76</v>
      </c>
      <c r="AB6324" s="7">
        <v>6.7759999999999998</v>
      </c>
      <c r="AC6324" s="5">
        <v>476</v>
      </c>
    </row>
    <row r="6325" spans="1:29" ht="104" x14ac:dyDescent="0.15">
      <c r="A6325" s="3">
        <f>DATE(2001,9,10)</f>
        <v>37144</v>
      </c>
      <c r="B6325" s="3">
        <f>DATE(2002,2,11)</f>
        <v>37298</v>
      </c>
      <c r="C6325" s="2" t="s">
        <v>95</v>
      </c>
      <c r="D6325" s="2" t="s">
        <v>19321</v>
      </c>
      <c r="E6325" s="2" t="s">
        <v>19322</v>
      </c>
      <c r="F6325" s="4">
        <v>7993</v>
      </c>
      <c r="G6325" s="2" t="s">
        <v>364</v>
      </c>
      <c r="H6325" s="2" t="s">
        <v>34</v>
      </c>
      <c r="I6325" s="2" t="s">
        <v>51</v>
      </c>
      <c r="J6325" s="2" t="s">
        <v>52</v>
      </c>
      <c r="K6325" s="2" t="s">
        <v>53</v>
      </c>
      <c r="L6325" s="2" t="s">
        <v>34</v>
      </c>
      <c r="M6325" s="2"/>
      <c r="N6325" s="2"/>
      <c r="O6325" s="2"/>
      <c r="P6325" s="2" t="s">
        <v>19323</v>
      </c>
      <c r="Q6325" s="6">
        <v>100</v>
      </c>
      <c r="R6325" s="6">
        <v>8.5</v>
      </c>
      <c r="S6325" s="5">
        <v>1.1000000000000001</v>
      </c>
      <c r="T6325" s="5">
        <v>24</v>
      </c>
      <c r="U6325" s="5">
        <v>4.7</v>
      </c>
      <c r="V6325" s="6">
        <v>0.15</v>
      </c>
      <c r="W6325" s="6">
        <v>5.84</v>
      </c>
      <c r="X6325" s="6">
        <v>5.96</v>
      </c>
      <c r="Y6325" s="6">
        <v>8.08</v>
      </c>
      <c r="Z6325" s="6">
        <v>8.08</v>
      </c>
      <c r="AA6325" s="6">
        <v>6.53</v>
      </c>
      <c r="AB6325" s="7">
        <v>11.772</v>
      </c>
      <c r="AC6325" s="2"/>
    </row>
    <row r="6326" spans="1:29" ht="78" x14ac:dyDescent="0.15">
      <c r="A6326" s="3">
        <f>DATE(2001,9,10)</f>
        <v>37144</v>
      </c>
      <c r="B6326" s="3">
        <f>DATE(2002,3,25)</f>
        <v>37340</v>
      </c>
      <c r="C6326" s="2" t="s">
        <v>95</v>
      </c>
      <c r="D6326" s="2" t="s">
        <v>19324</v>
      </c>
      <c r="E6326" s="2" t="s">
        <v>203</v>
      </c>
      <c r="F6326" s="4">
        <v>6035</v>
      </c>
      <c r="G6326" s="2" t="s">
        <v>33</v>
      </c>
      <c r="H6326" s="2" t="s">
        <v>34</v>
      </c>
      <c r="I6326" s="2" t="s">
        <v>19325</v>
      </c>
      <c r="J6326" s="2" t="s">
        <v>36</v>
      </c>
      <c r="K6326" s="2" t="s">
        <v>33</v>
      </c>
      <c r="L6326" s="2" t="s">
        <v>34</v>
      </c>
      <c r="M6326" s="7">
        <v>443.83499999999998</v>
      </c>
      <c r="N6326" s="6">
        <v>9.09</v>
      </c>
      <c r="O6326" s="6">
        <v>9.09</v>
      </c>
      <c r="P6326" s="2" t="s">
        <v>19326</v>
      </c>
      <c r="Q6326" s="6">
        <v>100</v>
      </c>
      <c r="R6326" s="6">
        <v>19</v>
      </c>
      <c r="S6326" s="5">
        <v>5.6</v>
      </c>
      <c r="T6326" s="5">
        <v>10.3</v>
      </c>
      <c r="U6326" s="5">
        <v>13.4</v>
      </c>
      <c r="V6326" s="6">
        <v>0.67</v>
      </c>
      <c r="W6326" s="6">
        <v>15.85</v>
      </c>
      <c r="X6326" s="5">
        <v>14.5</v>
      </c>
      <c r="Y6326" s="6">
        <v>18.62</v>
      </c>
      <c r="Z6326" s="6">
        <v>18.62</v>
      </c>
      <c r="AA6326" s="6">
        <v>8.64</v>
      </c>
      <c r="AB6326" s="7">
        <v>114.642</v>
      </c>
      <c r="AC6326" s="5">
        <v>155.69999999999999</v>
      </c>
    </row>
    <row r="6327" spans="1:29" ht="104" x14ac:dyDescent="0.15">
      <c r="A6327" s="3">
        <f>DATE(2001,9,13)</f>
        <v>37147</v>
      </c>
      <c r="B6327" s="3">
        <f>DATE(2001,12,28)</f>
        <v>37253</v>
      </c>
      <c r="C6327" s="2" t="s">
        <v>95</v>
      </c>
      <c r="D6327" s="2" t="s">
        <v>19327</v>
      </c>
      <c r="E6327" s="2" t="s">
        <v>19328</v>
      </c>
      <c r="F6327" s="4">
        <v>3674</v>
      </c>
      <c r="G6327" s="2" t="s">
        <v>137</v>
      </c>
      <c r="H6327" s="2" t="s">
        <v>34</v>
      </c>
      <c r="I6327" s="2" t="s">
        <v>19329</v>
      </c>
      <c r="J6327" s="2" t="s">
        <v>18133</v>
      </c>
      <c r="K6327" s="2" t="s">
        <v>137</v>
      </c>
      <c r="L6327" s="2" t="s">
        <v>34</v>
      </c>
      <c r="M6327" s="7">
        <v>406.149</v>
      </c>
      <c r="N6327" s="6">
        <v>3.23</v>
      </c>
      <c r="O6327" s="6">
        <v>3.23</v>
      </c>
      <c r="P6327" s="2" t="s">
        <v>19330</v>
      </c>
      <c r="Q6327" s="6">
        <v>7.7</v>
      </c>
      <c r="R6327" s="6">
        <v>1.26</v>
      </c>
      <c r="S6327" s="5">
        <v>-127.8</v>
      </c>
      <c r="T6327" s="2"/>
      <c r="U6327" s="5">
        <v>2.9</v>
      </c>
      <c r="V6327" s="6">
        <v>-0.81</v>
      </c>
      <c r="W6327" s="5">
        <v>1.2</v>
      </c>
      <c r="X6327" s="6">
        <v>1.35</v>
      </c>
      <c r="Y6327" s="6">
        <v>1.35</v>
      </c>
      <c r="Z6327" s="6">
        <v>1.35</v>
      </c>
      <c r="AA6327" s="6">
        <v>156</v>
      </c>
      <c r="AB6327" s="2" t="s">
        <v>86</v>
      </c>
      <c r="AC6327" s="5">
        <v>174.9</v>
      </c>
    </row>
    <row r="6328" spans="1:29" ht="130" x14ac:dyDescent="0.15">
      <c r="A6328" s="3">
        <f>DATE(2001,9,17)</f>
        <v>37151</v>
      </c>
      <c r="B6328" s="3">
        <f>DATE(2003,1,10)</f>
        <v>37631</v>
      </c>
      <c r="C6328" s="2" t="s">
        <v>95</v>
      </c>
      <c r="D6328" s="2" t="s">
        <v>15595</v>
      </c>
      <c r="E6328" s="2" t="s">
        <v>4205</v>
      </c>
      <c r="F6328" s="4">
        <v>4941</v>
      </c>
      <c r="G6328" s="2" t="s">
        <v>439</v>
      </c>
      <c r="H6328" s="2" t="s">
        <v>34</v>
      </c>
      <c r="I6328" s="2" t="s">
        <v>19331</v>
      </c>
      <c r="J6328" s="2" t="s">
        <v>16631</v>
      </c>
      <c r="K6328" s="2" t="s">
        <v>439</v>
      </c>
      <c r="L6328" s="2" t="s">
        <v>1049</v>
      </c>
      <c r="M6328" s="12">
        <v>22467.278999999999</v>
      </c>
      <c r="N6328" s="2"/>
      <c r="O6328" s="2"/>
      <c r="P6328" s="2" t="s">
        <v>19332</v>
      </c>
      <c r="Q6328" s="6">
        <v>100</v>
      </c>
      <c r="R6328" s="6">
        <v>46</v>
      </c>
      <c r="S6328" s="5">
        <v>163.69999999999999</v>
      </c>
      <c r="T6328" s="7">
        <v>646.14400000000001</v>
      </c>
      <c r="U6328" s="5">
        <v>17.2</v>
      </c>
      <c r="V6328" s="6">
        <v>1.62</v>
      </c>
      <c r="W6328" s="6">
        <v>33.43</v>
      </c>
      <c r="X6328" s="6">
        <v>32.74</v>
      </c>
      <c r="Y6328" s="4">
        <v>34</v>
      </c>
      <c r="Z6328" s="6">
        <v>34.74</v>
      </c>
      <c r="AA6328" s="6">
        <v>99.61</v>
      </c>
      <c r="AB6328" s="7">
        <v>17.346</v>
      </c>
      <c r="AC6328" s="10">
        <v>9656.65</v>
      </c>
    </row>
    <row r="6329" spans="1:29" ht="143" x14ac:dyDescent="0.15">
      <c r="A6329" s="3">
        <f>DATE(2001,9,19)</f>
        <v>37153</v>
      </c>
      <c r="B6329" s="2"/>
      <c r="C6329" s="2" t="s">
        <v>30</v>
      </c>
      <c r="D6329" s="2" t="s">
        <v>1150</v>
      </c>
      <c r="E6329" s="2" t="s">
        <v>1151</v>
      </c>
      <c r="F6329" s="4">
        <v>2816</v>
      </c>
      <c r="G6329" s="2" t="s">
        <v>98</v>
      </c>
      <c r="H6329" s="2" t="s">
        <v>34</v>
      </c>
      <c r="I6329" s="2" t="s">
        <v>19333</v>
      </c>
      <c r="J6329" s="2" t="s">
        <v>19334</v>
      </c>
      <c r="K6329" s="2" t="s">
        <v>163</v>
      </c>
      <c r="L6329" s="2" t="s">
        <v>34</v>
      </c>
      <c r="M6329" s="7">
        <v>376.79199999999997</v>
      </c>
      <c r="N6329" s="6">
        <v>3.85</v>
      </c>
      <c r="O6329" s="5">
        <v>2.5</v>
      </c>
      <c r="P6329" s="2" t="s">
        <v>19335</v>
      </c>
      <c r="Q6329" s="2"/>
      <c r="R6329" s="6">
        <v>23.38</v>
      </c>
      <c r="S6329" s="5">
        <v>128.19999999999999</v>
      </c>
      <c r="T6329" s="5">
        <v>191.3</v>
      </c>
      <c r="U6329" s="5">
        <v>7.4</v>
      </c>
      <c r="V6329" s="6">
        <v>2.5499999999999998</v>
      </c>
      <c r="W6329" s="5">
        <v>16.5</v>
      </c>
      <c r="X6329" s="4">
        <v>16</v>
      </c>
      <c r="Y6329" s="6">
        <v>15.61</v>
      </c>
      <c r="Z6329" s="6">
        <v>15.41</v>
      </c>
      <c r="AA6329" s="6">
        <v>49.68</v>
      </c>
      <c r="AB6329" s="7">
        <v>8.1950000000000003</v>
      </c>
      <c r="AC6329" s="6">
        <v>24.8</v>
      </c>
    </row>
    <row r="6330" spans="1:29" ht="117" x14ac:dyDescent="0.15">
      <c r="A6330" s="3">
        <f>DATE(2001,9,20)</f>
        <v>37154</v>
      </c>
      <c r="B6330" s="3">
        <f>DATE(2001,11,28)</f>
        <v>37223</v>
      </c>
      <c r="C6330" s="2" t="s">
        <v>95</v>
      </c>
      <c r="D6330" s="2" t="s">
        <v>10415</v>
      </c>
      <c r="E6330" s="2" t="s">
        <v>781</v>
      </c>
      <c r="F6330" s="4">
        <v>7373</v>
      </c>
      <c r="G6330" s="2" t="s">
        <v>223</v>
      </c>
      <c r="H6330" s="2" t="s">
        <v>34</v>
      </c>
      <c r="I6330" s="2" t="s">
        <v>11266</v>
      </c>
      <c r="J6330" s="2" t="s">
        <v>10715</v>
      </c>
      <c r="K6330" s="2" t="s">
        <v>223</v>
      </c>
      <c r="L6330" s="2" t="s">
        <v>34</v>
      </c>
      <c r="M6330" s="12">
        <v>1167.1610000000001</v>
      </c>
      <c r="N6330" s="6">
        <v>17.170000000000002</v>
      </c>
      <c r="O6330" s="6">
        <v>17.510000000000002</v>
      </c>
      <c r="P6330" s="2" t="s">
        <v>19336</v>
      </c>
      <c r="Q6330" s="6">
        <v>100</v>
      </c>
      <c r="R6330" s="6">
        <v>17.32</v>
      </c>
      <c r="S6330" s="5">
        <v>2.6</v>
      </c>
      <c r="T6330" s="5">
        <v>11.1</v>
      </c>
      <c r="U6330" s="5">
        <v>4.9000000000000004</v>
      </c>
      <c r="V6330" s="6">
        <v>0.28999999999999998</v>
      </c>
      <c r="W6330" s="6">
        <v>9.2200000000000006</v>
      </c>
      <c r="X6330" s="5">
        <v>10.8</v>
      </c>
      <c r="Y6330" s="6">
        <v>11.75</v>
      </c>
      <c r="Z6330" s="6">
        <v>11.74</v>
      </c>
      <c r="AA6330" s="6">
        <v>8.93</v>
      </c>
      <c r="AB6330" s="7">
        <v>25.298999999999999</v>
      </c>
      <c r="AC6330" s="5">
        <v>27.3</v>
      </c>
    </row>
    <row r="6331" spans="1:29" ht="65" x14ac:dyDescent="0.15">
      <c r="A6331" s="3">
        <f>DATE(2001,9,20)</f>
        <v>37154</v>
      </c>
      <c r="B6331" s="3">
        <f>DATE(2002,1,31)</f>
        <v>37287</v>
      </c>
      <c r="C6331" s="2" t="s">
        <v>95</v>
      </c>
      <c r="D6331" s="2" t="s">
        <v>19337</v>
      </c>
      <c r="E6331" s="2" t="s">
        <v>265</v>
      </c>
      <c r="F6331" s="4">
        <v>6022</v>
      </c>
      <c r="G6331" s="2" t="s">
        <v>37</v>
      </c>
      <c r="H6331" s="2" t="s">
        <v>34</v>
      </c>
      <c r="I6331" s="2" t="s">
        <v>19338</v>
      </c>
      <c r="J6331" s="2" t="s">
        <v>19339</v>
      </c>
      <c r="K6331" s="2" t="s">
        <v>53</v>
      </c>
      <c r="L6331" s="2" t="s">
        <v>34</v>
      </c>
      <c r="M6331" s="7">
        <v>812.375</v>
      </c>
      <c r="N6331" s="4">
        <v>2450</v>
      </c>
      <c r="O6331" s="4">
        <v>2375</v>
      </c>
      <c r="P6331" s="2" t="s">
        <v>19340</v>
      </c>
      <c r="Q6331" s="6">
        <v>100</v>
      </c>
      <c r="R6331" s="6">
        <v>18</v>
      </c>
      <c r="S6331" s="5">
        <v>5</v>
      </c>
      <c r="T6331" s="2"/>
      <c r="U6331" s="5">
        <v>10.4</v>
      </c>
      <c r="V6331" s="6">
        <v>1.1100000000000001</v>
      </c>
      <c r="W6331" s="4">
        <v>17</v>
      </c>
      <c r="X6331" s="5">
        <v>16.899999999999999</v>
      </c>
      <c r="Y6331" s="4">
        <v>17</v>
      </c>
      <c r="Z6331" s="4">
        <v>17</v>
      </c>
      <c r="AA6331" s="6">
        <v>4.42</v>
      </c>
      <c r="AB6331" s="2" t="s">
        <v>47</v>
      </c>
      <c r="AC6331" s="2"/>
    </row>
    <row r="6332" spans="1:29" ht="182" x14ac:dyDescent="0.15">
      <c r="A6332" s="3">
        <f>DATE(2001,9,21)</f>
        <v>37155</v>
      </c>
      <c r="B6332" s="3">
        <f>DATE(2002,3,19)</f>
        <v>37334</v>
      </c>
      <c r="C6332" s="2" t="s">
        <v>95</v>
      </c>
      <c r="D6332" s="2" t="s">
        <v>19341</v>
      </c>
      <c r="E6332" s="2" t="s">
        <v>19342</v>
      </c>
      <c r="F6332" s="4">
        <v>2834</v>
      </c>
      <c r="G6332" s="2" t="s">
        <v>130</v>
      </c>
      <c r="H6332" s="2" t="s">
        <v>34</v>
      </c>
      <c r="I6332" s="2" t="s">
        <v>19343</v>
      </c>
      <c r="J6332" s="2" t="s">
        <v>19344</v>
      </c>
      <c r="K6332" s="2" t="s">
        <v>577</v>
      </c>
      <c r="L6332" s="2" t="s">
        <v>34</v>
      </c>
      <c r="M6332" s="2"/>
      <c r="N6332" s="2"/>
      <c r="O6332" s="2"/>
      <c r="P6332" s="2" t="s">
        <v>19345</v>
      </c>
      <c r="Q6332" s="6">
        <v>100</v>
      </c>
      <c r="R6332" s="6">
        <v>2.5</v>
      </c>
      <c r="S6332" s="5">
        <v>-3.3</v>
      </c>
      <c r="T6332" s="7">
        <v>-3.9660000000000002</v>
      </c>
      <c r="U6332" s="5">
        <v>5</v>
      </c>
      <c r="V6332" s="6">
        <v>-1.59</v>
      </c>
      <c r="W6332" s="5">
        <v>2.5</v>
      </c>
      <c r="X6332" s="5">
        <v>2.5</v>
      </c>
      <c r="Y6332" s="5">
        <v>2.5</v>
      </c>
      <c r="Z6332" s="5">
        <v>2.5</v>
      </c>
      <c r="AA6332" s="6">
        <v>2.1</v>
      </c>
      <c r="AB6332" s="2" t="s">
        <v>86</v>
      </c>
      <c r="AC6332" s="6">
        <v>52.02</v>
      </c>
    </row>
    <row r="6333" spans="1:29" ht="208" x14ac:dyDescent="0.15">
      <c r="A6333" s="3">
        <f>DATE(2001,9,21)</f>
        <v>37155</v>
      </c>
      <c r="B6333" s="3">
        <f>DATE(2001,11,7)</f>
        <v>37202</v>
      </c>
      <c r="C6333" s="2" t="s">
        <v>95</v>
      </c>
      <c r="D6333" s="2" t="s">
        <v>15660</v>
      </c>
      <c r="E6333" s="2" t="s">
        <v>10711</v>
      </c>
      <c r="F6333" s="4">
        <v>7375</v>
      </c>
      <c r="G6333" s="2" t="s">
        <v>223</v>
      </c>
      <c r="H6333" s="2" t="s">
        <v>34</v>
      </c>
      <c r="I6333" s="2" t="s">
        <v>4689</v>
      </c>
      <c r="J6333" s="2" t="s">
        <v>1604</v>
      </c>
      <c r="K6333" s="2" t="s">
        <v>63</v>
      </c>
      <c r="L6333" s="2" t="s">
        <v>34</v>
      </c>
      <c r="M6333" s="12">
        <v>143251.24400000001</v>
      </c>
      <c r="N6333" s="6">
        <v>44.25</v>
      </c>
      <c r="O6333" s="6">
        <v>45.06</v>
      </c>
      <c r="P6333" s="2" t="s">
        <v>19346</v>
      </c>
      <c r="Q6333" s="6">
        <v>58.5</v>
      </c>
      <c r="R6333" s="6">
        <v>6.6</v>
      </c>
      <c r="S6333" s="5">
        <v>-202.8</v>
      </c>
      <c r="T6333" s="5">
        <v>33.1</v>
      </c>
      <c r="U6333" s="5">
        <v>3.4</v>
      </c>
      <c r="V6333" s="6">
        <v>-2.91</v>
      </c>
      <c r="W6333" s="6">
        <v>5.25</v>
      </c>
      <c r="X6333" s="6">
        <v>3.52</v>
      </c>
      <c r="Y6333" s="6">
        <v>3.54</v>
      </c>
      <c r="Z6333" s="6">
        <v>5.53</v>
      </c>
      <c r="AA6333" s="6">
        <v>120.93</v>
      </c>
      <c r="AB6333" s="2" t="s">
        <v>86</v>
      </c>
      <c r="AC6333" s="5">
        <v>562</v>
      </c>
    </row>
    <row r="6334" spans="1:29" ht="117" x14ac:dyDescent="0.15">
      <c r="A6334" s="3">
        <f>DATE(2001,9,24)</f>
        <v>37158</v>
      </c>
      <c r="B6334" s="3">
        <f>DATE(2001,12,12)</f>
        <v>37237</v>
      </c>
      <c r="C6334" s="2" t="s">
        <v>95</v>
      </c>
      <c r="D6334" s="2" t="s">
        <v>19347</v>
      </c>
      <c r="E6334" s="2" t="s">
        <v>375</v>
      </c>
      <c r="F6334" s="4">
        <v>4813</v>
      </c>
      <c r="G6334" s="2" t="s">
        <v>63</v>
      </c>
      <c r="H6334" s="2" t="s">
        <v>34</v>
      </c>
      <c r="I6334" s="2" t="s">
        <v>16490</v>
      </c>
      <c r="J6334" s="2" t="s">
        <v>7938</v>
      </c>
      <c r="K6334" s="2" t="s">
        <v>223</v>
      </c>
      <c r="L6334" s="2" t="s">
        <v>34</v>
      </c>
      <c r="M6334" s="12">
        <v>9674.9249999999993</v>
      </c>
      <c r="N6334" s="6">
        <v>39.86</v>
      </c>
      <c r="O6334" s="6">
        <v>42.22</v>
      </c>
      <c r="P6334" s="2" t="s">
        <v>19348</v>
      </c>
      <c r="Q6334" s="6">
        <v>100</v>
      </c>
      <c r="R6334" s="6">
        <v>35.619999999999997</v>
      </c>
      <c r="S6334" s="5">
        <v>37.700000000000003</v>
      </c>
      <c r="T6334" s="7">
        <v>72.475999999999999</v>
      </c>
      <c r="U6334" s="5">
        <v>6.2</v>
      </c>
      <c r="V6334" s="6">
        <v>1.1200000000000001</v>
      </c>
      <c r="W6334" s="6">
        <v>34.06</v>
      </c>
      <c r="X6334" s="6">
        <v>34.979999999999997</v>
      </c>
      <c r="Y6334" s="6">
        <v>36.369999999999997</v>
      </c>
      <c r="Z6334" s="5">
        <v>38.299999999999997</v>
      </c>
      <c r="AA6334" s="6">
        <v>32.6</v>
      </c>
      <c r="AB6334" s="7">
        <v>22.321999999999999</v>
      </c>
      <c r="AC6334" s="5">
        <v>450</v>
      </c>
    </row>
    <row r="6335" spans="1:29" ht="78" x14ac:dyDescent="0.15">
      <c r="A6335" s="3">
        <f>DATE(2001,9,24)</f>
        <v>37158</v>
      </c>
      <c r="B6335" s="3">
        <f>DATE(2001,12,19)</f>
        <v>37244</v>
      </c>
      <c r="C6335" s="2" t="s">
        <v>95</v>
      </c>
      <c r="D6335" s="2" t="s">
        <v>19349</v>
      </c>
      <c r="E6335" s="2" t="s">
        <v>19350</v>
      </c>
      <c r="F6335" s="4">
        <v>3841</v>
      </c>
      <c r="G6335" s="2" t="s">
        <v>226</v>
      </c>
      <c r="H6335" s="2" t="s">
        <v>34</v>
      </c>
      <c r="I6335" s="2" t="s">
        <v>12170</v>
      </c>
      <c r="J6335" s="2" t="s">
        <v>12171</v>
      </c>
      <c r="K6335" s="2" t="s">
        <v>226</v>
      </c>
      <c r="L6335" s="2" t="s">
        <v>34</v>
      </c>
      <c r="M6335" s="2"/>
      <c r="N6335" s="2"/>
      <c r="O6335" s="2"/>
      <c r="P6335" s="2" t="s">
        <v>19351</v>
      </c>
      <c r="Q6335" s="6">
        <v>100</v>
      </c>
      <c r="R6335" s="6">
        <v>1.89</v>
      </c>
      <c r="S6335" s="5">
        <v>6</v>
      </c>
      <c r="T6335" s="5">
        <v>6.1</v>
      </c>
      <c r="U6335" s="5">
        <v>0.4</v>
      </c>
      <c r="V6335" s="6">
        <v>0.06</v>
      </c>
      <c r="W6335" s="6">
        <v>1.65</v>
      </c>
      <c r="X6335" s="6">
        <v>1.44</v>
      </c>
      <c r="Y6335" s="6">
        <v>1.76</v>
      </c>
      <c r="Z6335" s="6">
        <v>1.76</v>
      </c>
      <c r="AA6335" s="6">
        <v>106.64</v>
      </c>
      <c r="AB6335" s="7">
        <v>39.624000000000002</v>
      </c>
      <c r="AC6335" s="2"/>
    </row>
    <row r="6336" spans="1:29" ht="169" x14ac:dyDescent="0.15">
      <c r="A6336" s="3">
        <f>DATE(2001,9,24)</f>
        <v>37158</v>
      </c>
      <c r="B6336" s="2"/>
      <c r="C6336" s="2" t="s">
        <v>30</v>
      </c>
      <c r="D6336" s="2" t="s">
        <v>19145</v>
      </c>
      <c r="E6336" s="2" t="s">
        <v>19146</v>
      </c>
      <c r="F6336" s="4">
        <v>7311</v>
      </c>
      <c r="G6336" s="2" t="s">
        <v>4563</v>
      </c>
      <c r="H6336" s="2" t="s">
        <v>34</v>
      </c>
      <c r="I6336" s="2" t="s">
        <v>19352</v>
      </c>
      <c r="J6336" s="2" t="s">
        <v>19353</v>
      </c>
      <c r="K6336" s="2" t="s">
        <v>364</v>
      </c>
      <c r="L6336" s="2" t="s">
        <v>34</v>
      </c>
      <c r="M6336" s="7">
        <v>2.113</v>
      </c>
      <c r="N6336" s="7">
        <v>0.65600000000000003</v>
      </c>
      <c r="O6336" s="7">
        <v>0.65600000000000003</v>
      </c>
      <c r="P6336" s="2" t="s">
        <v>19354</v>
      </c>
      <c r="Q6336" s="2"/>
      <c r="R6336" s="2"/>
      <c r="S6336" s="5">
        <v>-128.9</v>
      </c>
      <c r="T6336" s="5">
        <v>-25.3</v>
      </c>
      <c r="U6336" s="5">
        <v>2</v>
      </c>
      <c r="V6336" s="6">
        <v>-5.18</v>
      </c>
      <c r="W6336" s="6">
        <v>1.68</v>
      </c>
      <c r="X6336" s="6">
        <v>1.75</v>
      </c>
      <c r="Y6336" s="6">
        <v>1.65</v>
      </c>
      <c r="Z6336" s="6">
        <v>1.62</v>
      </c>
      <c r="AA6336" s="6">
        <v>26.62</v>
      </c>
      <c r="AB6336" s="2" t="s">
        <v>86</v>
      </c>
      <c r="AC6336" s="2"/>
    </row>
    <row r="6337" spans="1:29" ht="104" x14ac:dyDescent="0.15">
      <c r="A6337" s="3">
        <f>DATE(2001,9,26)</f>
        <v>37160</v>
      </c>
      <c r="B6337" s="3">
        <f>DATE(2001,10,4)</f>
        <v>37168</v>
      </c>
      <c r="C6337" s="2" t="s">
        <v>95</v>
      </c>
      <c r="D6337" s="2" t="s">
        <v>19355</v>
      </c>
      <c r="E6337" s="2" t="s">
        <v>19356</v>
      </c>
      <c r="F6337" s="4">
        <v>3728</v>
      </c>
      <c r="G6337" s="2" t="s">
        <v>219</v>
      </c>
      <c r="H6337" s="2" t="s">
        <v>34</v>
      </c>
      <c r="I6337" s="2" t="s">
        <v>19357</v>
      </c>
      <c r="J6337" s="2" t="s">
        <v>80</v>
      </c>
      <c r="K6337" s="2" t="s">
        <v>53</v>
      </c>
      <c r="L6337" s="2" t="s">
        <v>34</v>
      </c>
      <c r="M6337" s="2"/>
      <c r="N6337" s="2"/>
      <c r="O6337" s="2"/>
      <c r="P6337" s="2" t="s">
        <v>19358</v>
      </c>
      <c r="Q6337" s="6">
        <v>51.01</v>
      </c>
      <c r="R6337" s="6">
        <v>0.85</v>
      </c>
      <c r="S6337" s="5">
        <v>-0.2</v>
      </c>
      <c r="T6337" s="7">
        <v>1.837</v>
      </c>
      <c r="U6337" s="5">
        <v>1</v>
      </c>
      <c r="V6337" s="6">
        <v>-0.03</v>
      </c>
      <c r="W6337" s="5">
        <v>1.3</v>
      </c>
      <c r="X6337" s="6">
        <v>1.38</v>
      </c>
      <c r="Y6337" s="6">
        <v>1.42</v>
      </c>
      <c r="Z6337" s="6">
        <v>1.25</v>
      </c>
      <c r="AA6337" s="6">
        <v>4.4000000000000004</v>
      </c>
      <c r="AB6337" s="7">
        <v>14.579000000000001</v>
      </c>
      <c r="AC6337" s="2"/>
    </row>
    <row r="6338" spans="1:29" ht="130" x14ac:dyDescent="0.15">
      <c r="A6338" s="3">
        <f>DATE(2001,9,26)</f>
        <v>37160</v>
      </c>
      <c r="B6338" s="3">
        <f>DATE(2001,12,3)</f>
        <v>37228</v>
      </c>
      <c r="C6338" s="2" t="s">
        <v>95</v>
      </c>
      <c r="D6338" s="2" t="s">
        <v>19359</v>
      </c>
      <c r="E6338" s="2" t="s">
        <v>3119</v>
      </c>
      <c r="F6338" s="4">
        <v>3579</v>
      </c>
      <c r="G6338" s="2" t="s">
        <v>50</v>
      </c>
      <c r="H6338" s="2" t="s">
        <v>34</v>
      </c>
      <c r="I6338" s="2" t="s">
        <v>19360</v>
      </c>
      <c r="J6338" s="2" t="s">
        <v>19361</v>
      </c>
      <c r="K6338" s="2" t="s">
        <v>226</v>
      </c>
      <c r="L6338" s="2" t="s">
        <v>926</v>
      </c>
      <c r="M6338" s="2"/>
      <c r="N6338" s="2"/>
      <c r="O6338" s="2"/>
      <c r="P6338" s="2" t="s">
        <v>19362</v>
      </c>
      <c r="Q6338" s="6">
        <v>100</v>
      </c>
      <c r="R6338" s="6">
        <v>7.13</v>
      </c>
      <c r="S6338" s="5">
        <v>-0.5</v>
      </c>
      <c r="T6338" s="7">
        <v>2.4209999999999998</v>
      </c>
      <c r="U6338" s="5">
        <v>6.4</v>
      </c>
      <c r="V6338" s="6">
        <v>-0.08</v>
      </c>
      <c r="W6338" s="4">
        <v>3</v>
      </c>
      <c r="X6338" s="6">
        <v>3.25</v>
      </c>
      <c r="Y6338" s="4">
        <v>7</v>
      </c>
      <c r="Z6338" s="6">
        <v>6.99</v>
      </c>
      <c r="AA6338" s="6">
        <v>5.79</v>
      </c>
      <c r="AB6338" s="7">
        <v>253.96199999999999</v>
      </c>
      <c r="AC6338" s="6">
        <v>214.68</v>
      </c>
    </row>
    <row r="6339" spans="1:29" ht="182" x14ac:dyDescent="0.15">
      <c r="A6339" s="3">
        <f>DATE(2001,9,26)</f>
        <v>37160</v>
      </c>
      <c r="B6339" s="2"/>
      <c r="C6339" s="2" t="s">
        <v>30</v>
      </c>
      <c r="D6339" s="2" t="s">
        <v>19363</v>
      </c>
      <c r="E6339" s="2" t="s">
        <v>92</v>
      </c>
      <c r="F6339" s="4">
        <v>6798</v>
      </c>
      <c r="G6339" s="2" t="s">
        <v>53</v>
      </c>
      <c r="H6339" s="2" t="s">
        <v>34</v>
      </c>
      <c r="I6339" s="2" t="s">
        <v>19364</v>
      </c>
      <c r="J6339" s="2" t="s">
        <v>302</v>
      </c>
      <c r="K6339" s="2" t="s">
        <v>53</v>
      </c>
      <c r="L6339" s="2" t="s">
        <v>34</v>
      </c>
      <c r="M6339" s="2"/>
      <c r="N6339" s="2"/>
      <c r="O6339" s="2"/>
      <c r="P6339" s="2" t="s">
        <v>19365</v>
      </c>
      <c r="Q6339" s="2"/>
      <c r="R6339" s="6">
        <v>2.33</v>
      </c>
      <c r="S6339" s="5">
        <v>-13</v>
      </c>
      <c r="T6339" s="2"/>
      <c r="U6339" s="5">
        <v>2.5</v>
      </c>
      <c r="V6339" s="6">
        <v>-0.32</v>
      </c>
      <c r="W6339" s="5">
        <v>2.5</v>
      </c>
      <c r="X6339" s="6">
        <v>2.58</v>
      </c>
      <c r="Y6339" s="6">
        <v>2.59</v>
      </c>
      <c r="Z6339" s="6">
        <v>2.58</v>
      </c>
      <c r="AA6339" s="6">
        <v>34.81</v>
      </c>
      <c r="AB6339" s="2" t="s">
        <v>47</v>
      </c>
      <c r="AC6339" s="2"/>
    </row>
    <row r="6340" spans="1:29" ht="78" x14ac:dyDescent="0.15">
      <c r="A6340" s="3">
        <f>DATE(2001,9,27)</f>
        <v>37161</v>
      </c>
      <c r="B6340" s="3">
        <f>DATE(2002,2,19)</f>
        <v>37306</v>
      </c>
      <c r="C6340" s="2" t="s">
        <v>95</v>
      </c>
      <c r="D6340" s="2" t="s">
        <v>19366</v>
      </c>
      <c r="E6340" s="2" t="s">
        <v>19367</v>
      </c>
      <c r="F6340" s="4">
        <v>4911</v>
      </c>
      <c r="G6340" s="2" t="s">
        <v>439</v>
      </c>
      <c r="H6340" s="2" t="s">
        <v>34</v>
      </c>
      <c r="I6340" s="2" t="s">
        <v>19368</v>
      </c>
      <c r="J6340" s="2" t="s">
        <v>19369</v>
      </c>
      <c r="K6340" s="2" t="s">
        <v>439</v>
      </c>
      <c r="L6340" s="2" t="s">
        <v>34</v>
      </c>
      <c r="M6340" s="2"/>
      <c r="N6340" s="2"/>
      <c r="O6340" s="2"/>
      <c r="P6340" s="2" t="s">
        <v>19370</v>
      </c>
      <c r="Q6340" s="6">
        <v>100</v>
      </c>
      <c r="R6340" s="6">
        <v>26.8</v>
      </c>
      <c r="S6340" s="5">
        <v>51.2</v>
      </c>
      <c r="T6340" s="5">
        <v>457.4</v>
      </c>
      <c r="U6340" s="5">
        <v>14.8</v>
      </c>
      <c r="V6340" s="6">
        <v>0.56000000000000005</v>
      </c>
      <c r="W6340" s="6">
        <v>17.649999999999999</v>
      </c>
      <c r="X6340" s="5">
        <v>19.2</v>
      </c>
      <c r="Y6340" s="6">
        <v>25.06</v>
      </c>
      <c r="Z6340" s="5">
        <v>25.5</v>
      </c>
      <c r="AA6340" s="6">
        <v>103.48</v>
      </c>
      <c r="AB6340" s="7">
        <v>17.687000000000001</v>
      </c>
      <c r="AC6340" s="8">
        <v>1526</v>
      </c>
    </row>
    <row r="6341" spans="1:29" ht="143" x14ac:dyDescent="0.15">
      <c r="A6341" s="3">
        <f>DATE(2001,9,28)</f>
        <v>37162</v>
      </c>
      <c r="B6341" s="3">
        <f>DATE(2002,2,20)</f>
        <v>37307</v>
      </c>
      <c r="C6341" s="2" t="s">
        <v>95</v>
      </c>
      <c r="D6341" s="2" t="s">
        <v>16376</v>
      </c>
      <c r="E6341" s="2" t="s">
        <v>16377</v>
      </c>
      <c r="F6341" s="4">
        <v>3674</v>
      </c>
      <c r="G6341" s="2" t="s">
        <v>137</v>
      </c>
      <c r="H6341" s="2" t="s">
        <v>34</v>
      </c>
      <c r="I6341" s="2" t="s">
        <v>19371</v>
      </c>
      <c r="J6341" s="2" t="s">
        <v>1046</v>
      </c>
      <c r="K6341" s="2" t="s">
        <v>137</v>
      </c>
      <c r="L6341" s="2" t="s">
        <v>34</v>
      </c>
      <c r="M6341" s="7">
        <v>607.61900000000003</v>
      </c>
      <c r="N6341" s="6">
        <v>28.14</v>
      </c>
      <c r="O6341" s="5">
        <v>26.7</v>
      </c>
      <c r="P6341" s="2" t="s">
        <v>19372</v>
      </c>
      <c r="Q6341" s="6">
        <v>100</v>
      </c>
      <c r="R6341" s="6">
        <v>15.59</v>
      </c>
      <c r="S6341" s="5">
        <v>-114.6</v>
      </c>
      <c r="T6341" s="5">
        <v>-96.5</v>
      </c>
      <c r="U6341" s="5">
        <v>4.5999999999999996</v>
      </c>
      <c r="V6341" s="6">
        <v>-8.86</v>
      </c>
      <c r="W6341" s="5">
        <v>12.5</v>
      </c>
      <c r="X6341" s="6">
        <v>11.36</v>
      </c>
      <c r="Y6341" s="6">
        <v>15.25</v>
      </c>
      <c r="Z6341" s="6">
        <v>14.59</v>
      </c>
      <c r="AA6341" s="6">
        <v>14.05</v>
      </c>
      <c r="AB6341" s="2" t="s">
        <v>86</v>
      </c>
      <c r="AC6341" s="5">
        <v>32.799999999999997</v>
      </c>
    </row>
    <row r="6342" spans="1:29" ht="195" x14ac:dyDescent="0.15">
      <c r="A6342" s="3">
        <f>DATE(2001,10,1)</f>
        <v>37165</v>
      </c>
      <c r="B6342" s="3">
        <f>DATE(2002,2,13)</f>
        <v>37300</v>
      </c>
      <c r="C6342" s="2" t="s">
        <v>95</v>
      </c>
      <c r="D6342" s="2" t="s">
        <v>19373</v>
      </c>
      <c r="E6342" s="2" t="s">
        <v>19374</v>
      </c>
      <c r="F6342" s="4">
        <v>2842</v>
      </c>
      <c r="G6342" s="2" t="s">
        <v>358</v>
      </c>
      <c r="H6342" s="2" t="s">
        <v>34</v>
      </c>
      <c r="I6342" s="2" t="s">
        <v>19375</v>
      </c>
      <c r="J6342" s="2" t="s">
        <v>150</v>
      </c>
      <c r="K6342" s="2" t="s">
        <v>53</v>
      </c>
      <c r="L6342" s="2" t="s">
        <v>34</v>
      </c>
      <c r="M6342" s="2"/>
      <c r="N6342" s="2"/>
      <c r="O6342" s="2"/>
      <c r="P6342" s="2" t="s">
        <v>19376</v>
      </c>
      <c r="Q6342" s="6">
        <v>45.74</v>
      </c>
      <c r="R6342" s="6">
        <v>52.5</v>
      </c>
      <c r="S6342" s="5">
        <v>22</v>
      </c>
      <c r="T6342" s="5">
        <v>42.7</v>
      </c>
      <c r="U6342" s="5">
        <v>43.5</v>
      </c>
      <c r="V6342" s="6">
        <v>4.12</v>
      </c>
      <c r="W6342" s="5">
        <v>39.299999999999997</v>
      </c>
      <c r="X6342" s="6">
        <v>39.19</v>
      </c>
      <c r="Y6342" s="6">
        <v>46.45</v>
      </c>
      <c r="Z6342" s="6">
        <v>45.78</v>
      </c>
      <c r="AA6342" s="6">
        <v>5.31</v>
      </c>
      <c r="AB6342" s="7">
        <v>8.5220000000000002</v>
      </c>
      <c r="AC6342" s="2"/>
    </row>
    <row r="6343" spans="1:29" ht="130" x14ac:dyDescent="0.15">
      <c r="A6343" s="3">
        <f>DATE(2001,10,1)</f>
        <v>37165</v>
      </c>
      <c r="B6343" s="3">
        <f>DATE(2002,3,1)</f>
        <v>37316</v>
      </c>
      <c r="C6343" s="2" t="s">
        <v>95</v>
      </c>
      <c r="D6343" s="2" t="s">
        <v>6177</v>
      </c>
      <c r="E6343" s="2" t="s">
        <v>265</v>
      </c>
      <c r="F6343" s="4">
        <v>6036</v>
      </c>
      <c r="G6343" s="2" t="s">
        <v>33</v>
      </c>
      <c r="H6343" s="2" t="s">
        <v>34</v>
      </c>
      <c r="I6343" s="2" t="s">
        <v>19377</v>
      </c>
      <c r="J6343" s="2" t="s">
        <v>389</v>
      </c>
      <c r="K6343" s="2" t="s">
        <v>33</v>
      </c>
      <c r="L6343" s="2" t="s">
        <v>34</v>
      </c>
      <c r="M6343" s="7">
        <v>111.405</v>
      </c>
      <c r="N6343" s="6">
        <v>16.55</v>
      </c>
      <c r="O6343" s="6">
        <v>16.75</v>
      </c>
      <c r="P6343" s="2" t="s">
        <v>19378</v>
      </c>
      <c r="Q6343" s="6">
        <v>100</v>
      </c>
      <c r="R6343" s="6">
        <v>22</v>
      </c>
      <c r="S6343" s="5">
        <v>4.4000000000000004</v>
      </c>
      <c r="T6343" s="5">
        <v>8.8000000000000007</v>
      </c>
      <c r="U6343" s="5">
        <v>10.199999999999999</v>
      </c>
      <c r="V6343" s="6">
        <v>1.34</v>
      </c>
      <c r="W6343" s="4">
        <v>14</v>
      </c>
      <c r="X6343" s="6">
        <v>13.73</v>
      </c>
      <c r="Y6343" s="4">
        <v>20</v>
      </c>
      <c r="Z6343" s="4">
        <v>20</v>
      </c>
      <c r="AA6343" s="6">
        <v>3.41</v>
      </c>
      <c r="AB6343" s="7">
        <v>113.248</v>
      </c>
      <c r="AC6343" s="5">
        <v>63.3</v>
      </c>
    </row>
    <row r="6344" spans="1:29" ht="182" x14ac:dyDescent="0.15">
      <c r="A6344" s="3">
        <f>DATE(2001,10,1)</f>
        <v>37165</v>
      </c>
      <c r="B6344" s="3">
        <f>DATE(2001,12,14)</f>
        <v>37239</v>
      </c>
      <c r="C6344" s="2" t="s">
        <v>95</v>
      </c>
      <c r="D6344" s="2" t="s">
        <v>19379</v>
      </c>
      <c r="E6344" s="2" t="s">
        <v>14580</v>
      </c>
      <c r="F6344" s="4">
        <v>3674</v>
      </c>
      <c r="G6344" s="2" t="s">
        <v>137</v>
      </c>
      <c r="H6344" s="2" t="s">
        <v>34</v>
      </c>
      <c r="I6344" s="2" t="s">
        <v>19380</v>
      </c>
      <c r="J6344" s="2" t="s">
        <v>19381</v>
      </c>
      <c r="K6344" s="2" t="s">
        <v>137</v>
      </c>
      <c r="L6344" s="2" t="s">
        <v>34</v>
      </c>
      <c r="M6344" s="12">
        <v>1169.7819999999999</v>
      </c>
      <c r="N6344" s="6">
        <v>8.3800000000000008</v>
      </c>
      <c r="O6344" s="6">
        <v>8.2799999999999994</v>
      </c>
      <c r="P6344" s="2" t="s">
        <v>19382</v>
      </c>
      <c r="Q6344" s="6">
        <v>100</v>
      </c>
      <c r="R6344" s="6">
        <v>9.2200000000000006</v>
      </c>
      <c r="S6344" s="5">
        <v>-143.19999999999999</v>
      </c>
      <c r="T6344" s="5">
        <v>-35</v>
      </c>
      <c r="U6344" s="5">
        <v>12.6</v>
      </c>
      <c r="V6344" s="6">
        <v>-2.27</v>
      </c>
      <c r="W6344" s="5">
        <v>9.9</v>
      </c>
      <c r="X6344" s="6">
        <v>9.98</v>
      </c>
      <c r="Y6344" s="6">
        <v>8.43</v>
      </c>
      <c r="Z6344" s="6">
        <v>8.24</v>
      </c>
      <c r="AA6344" s="6">
        <v>63.75</v>
      </c>
      <c r="AB6344" s="2" t="s">
        <v>86</v>
      </c>
      <c r="AC6344" s="5">
        <v>178</v>
      </c>
    </row>
    <row r="6345" spans="1:29" ht="130" x14ac:dyDescent="0.15">
      <c r="A6345" s="3">
        <f>DATE(2001,10,2)</f>
        <v>37166</v>
      </c>
      <c r="B6345" s="3">
        <f>DATE(2001,11,14)</f>
        <v>37209</v>
      </c>
      <c r="C6345" s="2" t="s">
        <v>95</v>
      </c>
      <c r="D6345" s="2" t="s">
        <v>19383</v>
      </c>
      <c r="E6345" s="2" t="s">
        <v>19384</v>
      </c>
      <c r="F6345" s="4">
        <v>3674</v>
      </c>
      <c r="G6345" s="2" t="s">
        <v>137</v>
      </c>
      <c r="H6345" s="2" t="s">
        <v>34</v>
      </c>
      <c r="I6345" s="2" t="s">
        <v>8602</v>
      </c>
      <c r="J6345" s="2" t="s">
        <v>4655</v>
      </c>
      <c r="K6345" s="2" t="s">
        <v>53</v>
      </c>
      <c r="L6345" s="2" t="s">
        <v>34</v>
      </c>
      <c r="M6345" s="2"/>
      <c r="N6345" s="2"/>
      <c r="O6345" s="2"/>
      <c r="P6345" s="2" t="s">
        <v>19385</v>
      </c>
      <c r="Q6345" s="6">
        <v>71</v>
      </c>
      <c r="R6345" s="2"/>
      <c r="S6345" s="5">
        <v>-438.6</v>
      </c>
      <c r="T6345" s="7">
        <v>87.951999999999998</v>
      </c>
      <c r="U6345" s="5">
        <v>-1.1000000000000001</v>
      </c>
      <c r="V6345" s="6">
        <v>-6.3</v>
      </c>
      <c r="W6345" s="7">
        <v>17.687999999999999</v>
      </c>
      <c r="X6345" s="7">
        <v>14.938000000000001</v>
      </c>
      <c r="Y6345" s="7">
        <v>14.625</v>
      </c>
      <c r="Z6345" s="6">
        <v>13.75</v>
      </c>
      <c r="AA6345" s="6">
        <v>69.53</v>
      </c>
      <c r="AB6345" s="2" t="s">
        <v>86</v>
      </c>
      <c r="AC6345" s="2"/>
    </row>
    <row r="6346" spans="1:29" ht="52" x14ac:dyDescent="0.15">
      <c r="A6346" s="3">
        <f>DATE(2001,10,3)</f>
        <v>37167</v>
      </c>
      <c r="B6346" s="3">
        <f>DATE(2002,4,3)</f>
        <v>37349</v>
      </c>
      <c r="C6346" s="2" t="s">
        <v>95</v>
      </c>
      <c r="D6346" s="2" t="s">
        <v>19386</v>
      </c>
      <c r="E6346" s="2" t="s">
        <v>18148</v>
      </c>
      <c r="F6346" s="4">
        <v>6035</v>
      </c>
      <c r="G6346" s="2" t="s">
        <v>33</v>
      </c>
      <c r="H6346" s="2" t="s">
        <v>34</v>
      </c>
      <c r="I6346" s="2" t="s">
        <v>19387</v>
      </c>
      <c r="J6346" s="2" t="s">
        <v>36</v>
      </c>
      <c r="K6346" s="2" t="s">
        <v>37</v>
      </c>
      <c r="L6346" s="2" t="s">
        <v>34</v>
      </c>
      <c r="M6346" s="7">
        <v>35.627000000000002</v>
      </c>
      <c r="N6346" s="4">
        <v>16</v>
      </c>
      <c r="O6346" s="4">
        <v>16</v>
      </c>
      <c r="P6346" s="2" t="s">
        <v>19388</v>
      </c>
      <c r="Q6346" s="6">
        <v>100</v>
      </c>
      <c r="R6346" s="6">
        <v>12.25</v>
      </c>
      <c r="S6346" s="5">
        <v>0.6</v>
      </c>
      <c r="T6346" s="5">
        <v>1</v>
      </c>
      <c r="U6346" s="5">
        <v>8.5</v>
      </c>
      <c r="V6346" s="6">
        <v>0.45</v>
      </c>
      <c r="W6346" s="5">
        <v>8.1</v>
      </c>
      <c r="X6346" s="5">
        <v>11.9</v>
      </c>
      <c r="Y6346" s="6">
        <v>11.86</v>
      </c>
      <c r="Z6346" s="6">
        <v>11.88</v>
      </c>
      <c r="AA6346" s="6">
        <v>1.23</v>
      </c>
      <c r="AB6346" s="7">
        <v>118.51600000000001</v>
      </c>
      <c r="AC6346" s="2"/>
    </row>
    <row r="6347" spans="1:29" ht="143" x14ac:dyDescent="0.15">
      <c r="A6347" s="3">
        <f>DATE(2001,10,5)</f>
        <v>37169</v>
      </c>
      <c r="B6347" s="3">
        <f>DATE(2002,1,18)</f>
        <v>37274</v>
      </c>
      <c r="C6347" s="2" t="s">
        <v>95</v>
      </c>
      <c r="D6347" s="2" t="s">
        <v>19389</v>
      </c>
      <c r="E6347" s="2" t="s">
        <v>36</v>
      </c>
      <c r="F6347" s="4">
        <v>6036</v>
      </c>
      <c r="G6347" s="2" t="s">
        <v>33</v>
      </c>
      <c r="H6347" s="2" t="s">
        <v>34</v>
      </c>
      <c r="I6347" s="2" t="s">
        <v>19390</v>
      </c>
      <c r="J6347" s="2" t="s">
        <v>265</v>
      </c>
      <c r="K6347" s="2" t="s">
        <v>37</v>
      </c>
      <c r="L6347" s="2" t="s">
        <v>34</v>
      </c>
      <c r="M6347" s="7">
        <v>48.112000000000002</v>
      </c>
      <c r="N6347" s="6">
        <v>10.75</v>
      </c>
      <c r="O6347" s="6">
        <v>10.95</v>
      </c>
      <c r="P6347" s="2" t="s">
        <v>19391</v>
      </c>
      <c r="Q6347" s="6">
        <v>100</v>
      </c>
      <c r="R6347" s="6">
        <v>30.6</v>
      </c>
      <c r="S6347" s="5">
        <v>0.8</v>
      </c>
      <c r="T6347" s="5">
        <v>1.6</v>
      </c>
      <c r="U6347" s="5">
        <v>27.5</v>
      </c>
      <c r="V6347" s="6">
        <v>0.6</v>
      </c>
      <c r="W6347" s="6">
        <v>21.65</v>
      </c>
      <c r="X6347" s="6">
        <v>22.54</v>
      </c>
      <c r="Y6347" s="6">
        <v>28.85</v>
      </c>
      <c r="Z6347" s="6">
        <v>28.75</v>
      </c>
      <c r="AA6347" s="6">
        <v>1.61</v>
      </c>
      <c r="AB6347" s="7">
        <v>145.06100000000001</v>
      </c>
      <c r="AC6347" s="5">
        <v>26.8</v>
      </c>
    </row>
    <row r="6348" spans="1:29" ht="156" x14ac:dyDescent="0.15">
      <c r="A6348" s="3">
        <f>DATE(2001,10,5)</f>
        <v>37169</v>
      </c>
      <c r="B6348" s="3">
        <f>DATE(2001,11,20)</f>
        <v>37215</v>
      </c>
      <c r="C6348" s="2" t="s">
        <v>95</v>
      </c>
      <c r="D6348" s="2" t="s">
        <v>19392</v>
      </c>
      <c r="E6348" s="2" t="s">
        <v>19393</v>
      </c>
      <c r="F6348" s="4">
        <v>7373</v>
      </c>
      <c r="G6348" s="2" t="s">
        <v>223</v>
      </c>
      <c r="H6348" s="2" t="s">
        <v>34</v>
      </c>
      <c r="I6348" s="2" t="s">
        <v>18342</v>
      </c>
      <c r="J6348" s="2" t="s">
        <v>18343</v>
      </c>
      <c r="K6348" s="2" t="s">
        <v>223</v>
      </c>
      <c r="L6348" s="2" t="s">
        <v>34</v>
      </c>
      <c r="M6348" s="6">
        <v>162.76</v>
      </c>
      <c r="N6348" s="6">
        <v>16.739999999999998</v>
      </c>
      <c r="O6348" s="5">
        <v>16.7</v>
      </c>
      <c r="P6348" s="2" t="s">
        <v>19394</v>
      </c>
      <c r="Q6348" s="6">
        <v>43.54</v>
      </c>
      <c r="R6348" s="6">
        <v>3.8</v>
      </c>
      <c r="S6348" s="5">
        <v>-0.5</v>
      </c>
      <c r="T6348" s="7">
        <v>-2.1429999999999998</v>
      </c>
      <c r="U6348" s="5">
        <v>2.4</v>
      </c>
      <c r="V6348" s="9">
        <v>-3.49E-2</v>
      </c>
      <c r="W6348" s="6">
        <v>3.68</v>
      </c>
      <c r="X6348" s="6">
        <v>3.85</v>
      </c>
      <c r="Y6348" s="6">
        <v>3.81</v>
      </c>
      <c r="Z6348" s="6">
        <v>3.73</v>
      </c>
      <c r="AA6348" s="6">
        <v>14.61</v>
      </c>
      <c r="AB6348" s="2" t="s">
        <v>86</v>
      </c>
      <c r="AC6348" s="5">
        <v>7.3</v>
      </c>
    </row>
    <row r="6349" spans="1:29" ht="117" x14ac:dyDescent="0.15">
      <c r="A6349" s="3">
        <f>DATE(2001,10,8)</f>
        <v>37172</v>
      </c>
      <c r="B6349" s="3">
        <f>DATE(2002,6,14)</f>
        <v>37421</v>
      </c>
      <c r="C6349" s="2" t="s">
        <v>95</v>
      </c>
      <c r="D6349" s="2" t="s">
        <v>19395</v>
      </c>
      <c r="E6349" s="2" t="s">
        <v>10819</v>
      </c>
      <c r="F6349" s="4">
        <v>7312</v>
      </c>
      <c r="G6349" s="2" t="s">
        <v>4563</v>
      </c>
      <c r="H6349" s="2" t="s">
        <v>34</v>
      </c>
      <c r="I6349" s="2" t="s">
        <v>8034</v>
      </c>
      <c r="J6349" s="2" t="s">
        <v>8035</v>
      </c>
      <c r="K6349" s="2" t="s">
        <v>45</v>
      </c>
      <c r="L6349" s="2" t="s">
        <v>34</v>
      </c>
      <c r="M6349" s="12">
        <v>25974.286</v>
      </c>
      <c r="N6349" s="5">
        <v>39.299999999999997</v>
      </c>
      <c r="O6349" s="6">
        <v>39.409999999999997</v>
      </c>
      <c r="P6349" s="2" t="s">
        <v>19396</v>
      </c>
      <c r="Q6349" s="6">
        <v>100</v>
      </c>
      <c r="R6349" s="6">
        <v>13.61</v>
      </c>
      <c r="S6349" s="5">
        <v>-28.4</v>
      </c>
      <c r="T6349" s="5">
        <v>41.8</v>
      </c>
      <c r="U6349" s="5">
        <v>6.7</v>
      </c>
      <c r="V6349" s="6">
        <v>-0.79</v>
      </c>
      <c r="W6349" s="5">
        <v>10.1</v>
      </c>
      <c r="X6349" s="4">
        <v>11</v>
      </c>
      <c r="Y6349" s="5">
        <v>13.4</v>
      </c>
      <c r="Z6349" s="6">
        <v>13.49</v>
      </c>
      <c r="AA6349" s="6">
        <v>35.1</v>
      </c>
      <c r="AB6349" s="2" t="s">
        <v>86</v>
      </c>
      <c r="AC6349" s="5">
        <v>266.39999999999998</v>
      </c>
    </row>
    <row r="6350" spans="1:29" ht="143" x14ac:dyDescent="0.15">
      <c r="A6350" s="3">
        <f>DATE(2001,10,8)</f>
        <v>37172</v>
      </c>
      <c r="B6350" s="3">
        <f>DATE(2002,1,24)</f>
        <v>37280</v>
      </c>
      <c r="C6350" s="2" t="s">
        <v>95</v>
      </c>
      <c r="D6350" s="2" t="s">
        <v>19397</v>
      </c>
      <c r="E6350" s="2" t="s">
        <v>3900</v>
      </c>
      <c r="F6350" s="4">
        <v>5812</v>
      </c>
      <c r="G6350" s="2" t="s">
        <v>230</v>
      </c>
      <c r="H6350" s="2" t="s">
        <v>34</v>
      </c>
      <c r="I6350" s="2" t="s">
        <v>51</v>
      </c>
      <c r="J6350" s="2" t="s">
        <v>52</v>
      </c>
      <c r="K6350" s="2" t="s">
        <v>53</v>
      </c>
      <c r="L6350" s="2" t="s">
        <v>34</v>
      </c>
      <c r="M6350" s="2"/>
      <c r="N6350" s="2"/>
      <c r="O6350" s="2"/>
      <c r="P6350" s="2" t="s">
        <v>19398</v>
      </c>
      <c r="Q6350" s="6">
        <v>100</v>
      </c>
      <c r="R6350" s="6">
        <v>2.8</v>
      </c>
      <c r="S6350" s="5">
        <v>0.3</v>
      </c>
      <c r="T6350" s="5">
        <v>1</v>
      </c>
      <c r="U6350" s="5">
        <v>1.9</v>
      </c>
      <c r="V6350" s="6">
        <v>0.04</v>
      </c>
      <c r="W6350" s="6">
        <v>1.47</v>
      </c>
      <c r="X6350" s="5">
        <v>1.5</v>
      </c>
      <c r="Y6350" s="5">
        <v>1.5</v>
      </c>
      <c r="Z6350" s="6">
        <v>2.58</v>
      </c>
      <c r="AA6350" s="6">
        <v>9.19</v>
      </c>
      <c r="AB6350" s="7">
        <v>182.554</v>
      </c>
      <c r="AC6350" s="2"/>
    </row>
    <row r="6351" spans="1:29" ht="156" x14ac:dyDescent="0.15">
      <c r="A6351" s="3">
        <f>DATE(2001,10,8)</f>
        <v>37172</v>
      </c>
      <c r="B6351" s="3">
        <f>DATE(2002,2,15)</f>
        <v>37302</v>
      </c>
      <c r="C6351" s="2" t="s">
        <v>95</v>
      </c>
      <c r="D6351" s="2" t="s">
        <v>16452</v>
      </c>
      <c r="E6351" s="2" t="s">
        <v>16453</v>
      </c>
      <c r="F6351" s="4">
        <v>4812</v>
      </c>
      <c r="G6351" s="2" t="s">
        <v>63</v>
      </c>
      <c r="H6351" s="2" t="s">
        <v>34</v>
      </c>
      <c r="I6351" s="2" t="s">
        <v>19399</v>
      </c>
      <c r="J6351" s="2" t="s">
        <v>19400</v>
      </c>
      <c r="K6351" s="2" t="s">
        <v>63</v>
      </c>
      <c r="L6351" s="2" t="s">
        <v>34</v>
      </c>
      <c r="M6351" s="12">
        <v>34915.690999999999</v>
      </c>
      <c r="N6351" s="5">
        <v>15.6</v>
      </c>
      <c r="O6351" s="6">
        <v>15.42</v>
      </c>
      <c r="P6351" s="2" t="s">
        <v>19401</v>
      </c>
      <c r="Q6351" s="6">
        <v>80.33</v>
      </c>
      <c r="R6351" s="6">
        <v>14.51</v>
      </c>
      <c r="S6351" s="5">
        <v>-195.8</v>
      </c>
      <c r="T6351" s="5">
        <v>-471.5</v>
      </c>
      <c r="U6351" s="5">
        <v>20.3</v>
      </c>
      <c r="V6351" s="6">
        <v>0.12</v>
      </c>
      <c r="W6351" s="6">
        <v>10.01</v>
      </c>
      <c r="X6351" s="6">
        <v>10.039999999999999</v>
      </c>
      <c r="Y6351" s="6">
        <v>13.54</v>
      </c>
      <c r="Z6351" s="6">
        <v>13.44</v>
      </c>
      <c r="AA6351" s="6">
        <v>181</v>
      </c>
      <c r="AB6351" s="2" t="s">
        <v>86</v>
      </c>
      <c r="AC6351" s="8">
        <v>4875</v>
      </c>
    </row>
    <row r="6352" spans="1:29" ht="130" x14ac:dyDescent="0.15">
      <c r="A6352" s="3">
        <f>DATE(2001,10,10)</f>
        <v>37174</v>
      </c>
      <c r="B6352" s="3">
        <f>DATE(2002,2,22)</f>
        <v>37309</v>
      </c>
      <c r="C6352" s="2" t="s">
        <v>95</v>
      </c>
      <c r="D6352" s="2" t="s">
        <v>19402</v>
      </c>
      <c r="E6352" s="2" t="s">
        <v>19403</v>
      </c>
      <c r="F6352" s="4">
        <v>6021</v>
      </c>
      <c r="G6352" s="2" t="s">
        <v>37</v>
      </c>
      <c r="H6352" s="2" t="s">
        <v>34</v>
      </c>
      <c r="I6352" s="2" t="s">
        <v>16355</v>
      </c>
      <c r="J6352" s="2" t="s">
        <v>36</v>
      </c>
      <c r="K6352" s="2" t="s">
        <v>37</v>
      </c>
      <c r="L6352" s="2" t="s">
        <v>34</v>
      </c>
      <c r="M6352" s="7">
        <v>31.788</v>
      </c>
      <c r="N6352" s="5">
        <v>15.3</v>
      </c>
      <c r="O6352" s="5">
        <v>14.9</v>
      </c>
      <c r="P6352" s="2" t="s">
        <v>19404</v>
      </c>
      <c r="Q6352" s="6">
        <v>100</v>
      </c>
      <c r="R6352" s="6">
        <v>14.75</v>
      </c>
      <c r="S6352" s="5">
        <v>0.1</v>
      </c>
      <c r="T6352" s="2"/>
      <c r="U6352" s="5">
        <v>12.5</v>
      </c>
      <c r="V6352" s="6">
        <v>0.68</v>
      </c>
      <c r="W6352" s="6">
        <v>7.75</v>
      </c>
      <c r="X6352" s="6">
        <v>7.75</v>
      </c>
      <c r="Y6352" s="6">
        <v>7.75</v>
      </c>
      <c r="Z6352" s="5">
        <v>14.1</v>
      </c>
      <c r="AA6352" s="6">
        <v>0.22</v>
      </c>
      <c r="AB6352" s="7">
        <v>45.097000000000001</v>
      </c>
      <c r="AC6352" s="5">
        <v>20.6</v>
      </c>
    </row>
    <row r="6353" spans="1:29" ht="182" x14ac:dyDescent="0.15">
      <c r="A6353" s="3">
        <f>DATE(2001,10,10)</f>
        <v>37174</v>
      </c>
      <c r="B6353" s="3">
        <f>DATE(2001,11,27)</f>
        <v>37222</v>
      </c>
      <c r="C6353" s="2" t="s">
        <v>95</v>
      </c>
      <c r="D6353" s="2" t="s">
        <v>19405</v>
      </c>
      <c r="E6353" s="2" t="s">
        <v>19406</v>
      </c>
      <c r="F6353" s="4">
        <v>6211</v>
      </c>
      <c r="G6353" s="2" t="s">
        <v>53</v>
      </c>
      <c r="H6353" s="2" t="s">
        <v>34</v>
      </c>
      <c r="I6353" s="2" t="s">
        <v>7748</v>
      </c>
      <c r="J6353" s="2" t="s">
        <v>265</v>
      </c>
      <c r="K6353" s="2" t="s">
        <v>37</v>
      </c>
      <c r="L6353" s="2" t="s">
        <v>902</v>
      </c>
      <c r="M6353" s="2"/>
      <c r="N6353" s="2"/>
      <c r="O6353" s="2"/>
      <c r="P6353" s="2" t="s">
        <v>19407</v>
      </c>
      <c r="Q6353" s="6">
        <v>11.2</v>
      </c>
      <c r="R6353" s="6">
        <v>9.5</v>
      </c>
      <c r="S6353" s="5">
        <v>63.9</v>
      </c>
      <c r="T6353" s="7">
        <v>198.00200000000001</v>
      </c>
      <c r="U6353" s="5">
        <v>5.9</v>
      </c>
      <c r="V6353" s="6">
        <v>0.17</v>
      </c>
      <c r="W6353" s="6">
        <v>6.37</v>
      </c>
      <c r="X6353" s="5">
        <v>6.2</v>
      </c>
      <c r="Y6353" s="4">
        <v>8</v>
      </c>
      <c r="Z6353" s="6">
        <v>9.2799999999999994</v>
      </c>
      <c r="AA6353" s="6">
        <v>378.34</v>
      </c>
      <c r="AB6353" s="7">
        <v>46.500999999999998</v>
      </c>
      <c r="AC6353" s="10">
        <v>19736.41</v>
      </c>
    </row>
    <row r="6354" spans="1:29" ht="130" x14ac:dyDescent="0.15">
      <c r="A6354" s="3">
        <f>DATE(2001,10,12)</f>
        <v>37176</v>
      </c>
      <c r="B6354" s="3">
        <f>DATE(2002,3,15)</f>
        <v>37330</v>
      </c>
      <c r="C6354" s="2" t="s">
        <v>95</v>
      </c>
      <c r="D6354" s="2" t="s">
        <v>19408</v>
      </c>
      <c r="E6354" s="2" t="s">
        <v>19409</v>
      </c>
      <c r="F6354" s="4">
        <v>4841</v>
      </c>
      <c r="G6354" s="2" t="s">
        <v>45</v>
      </c>
      <c r="H6354" s="2" t="s">
        <v>34</v>
      </c>
      <c r="I6354" s="2" t="s">
        <v>3558</v>
      </c>
      <c r="J6354" s="2" t="s">
        <v>3892</v>
      </c>
      <c r="K6354" s="2" t="s">
        <v>45</v>
      </c>
      <c r="L6354" s="2" t="s">
        <v>34</v>
      </c>
      <c r="M6354" s="10">
        <v>36906.97</v>
      </c>
      <c r="N6354" s="6">
        <v>12.37</v>
      </c>
      <c r="O6354" s="4">
        <v>12</v>
      </c>
      <c r="P6354" s="2" t="s">
        <v>19410</v>
      </c>
      <c r="Q6354" s="6">
        <v>10.44</v>
      </c>
      <c r="R6354" s="6">
        <v>3.23</v>
      </c>
      <c r="S6354" s="5">
        <v>-88.6</v>
      </c>
      <c r="T6354" s="7">
        <v>-202.053</v>
      </c>
      <c r="U6354" s="5">
        <v>1.7</v>
      </c>
      <c r="V6354" s="9">
        <v>-0.4788</v>
      </c>
      <c r="W6354" s="6">
        <v>3.13</v>
      </c>
      <c r="X6354" s="6">
        <v>2.93</v>
      </c>
      <c r="Y6354" s="6">
        <v>2.82</v>
      </c>
      <c r="Z6354" s="6">
        <v>2.93</v>
      </c>
      <c r="AA6354" s="6">
        <v>205.19</v>
      </c>
      <c r="AB6354" s="2" t="s">
        <v>86</v>
      </c>
      <c r="AC6354" s="8">
        <v>2864</v>
      </c>
    </row>
    <row r="6355" spans="1:29" ht="130" x14ac:dyDescent="0.15">
      <c r="A6355" s="3">
        <f>DATE(2001,10,12)</f>
        <v>37176</v>
      </c>
      <c r="B6355" s="2"/>
      <c r="C6355" s="2" t="s">
        <v>30</v>
      </c>
      <c r="D6355" s="2" t="s">
        <v>19411</v>
      </c>
      <c r="E6355" s="2" t="s">
        <v>19412</v>
      </c>
      <c r="F6355" s="4">
        <v>4841</v>
      </c>
      <c r="G6355" s="2" t="s">
        <v>45</v>
      </c>
      <c r="H6355" s="2" t="s">
        <v>34</v>
      </c>
      <c r="I6355" s="2" t="s">
        <v>3558</v>
      </c>
      <c r="J6355" s="2" t="s">
        <v>3892</v>
      </c>
      <c r="K6355" s="2" t="s">
        <v>45</v>
      </c>
      <c r="L6355" s="2" t="s">
        <v>34</v>
      </c>
      <c r="M6355" s="12">
        <v>36793.542999999998</v>
      </c>
      <c r="N6355" s="6">
        <v>12.37</v>
      </c>
      <c r="O6355" s="4">
        <v>12</v>
      </c>
      <c r="P6355" s="2" t="s">
        <v>19413</v>
      </c>
      <c r="Q6355" s="2"/>
      <c r="R6355" s="6">
        <v>1.1599999999999999</v>
      </c>
      <c r="S6355" s="5">
        <v>-50.1</v>
      </c>
      <c r="T6355" s="7">
        <v>-6.4420000000000002</v>
      </c>
      <c r="U6355" s="5">
        <v>9.1</v>
      </c>
      <c r="V6355" s="6">
        <v>-11.6</v>
      </c>
      <c r="W6355" s="6">
        <v>1.17</v>
      </c>
      <c r="X6355" s="6">
        <v>1.02</v>
      </c>
      <c r="Y6355" s="6">
        <v>1.08</v>
      </c>
      <c r="Z6355" s="6">
        <v>1.05</v>
      </c>
      <c r="AA6355" s="6">
        <v>75.25</v>
      </c>
      <c r="AB6355" s="2" t="s">
        <v>86</v>
      </c>
      <c r="AC6355" s="8">
        <v>2864</v>
      </c>
    </row>
    <row r="6356" spans="1:29" ht="117" x14ac:dyDescent="0.15">
      <c r="A6356" s="3">
        <f>DATE(2001,10,15)</f>
        <v>37179</v>
      </c>
      <c r="B6356" s="2"/>
      <c r="C6356" s="2" t="s">
        <v>7330</v>
      </c>
      <c r="D6356" s="2" t="s">
        <v>19414</v>
      </c>
      <c r="E6356" s="2" t="s">
        <v>19415</v>
      </c>
      <c r="F6356" s="4">
        <v>6726</v>
      </c>
      <c r="G6356" s="2" t="s">
        <v>53</v>
      </c>
      <c r="H6356" s="2" t="s">
        <v>34</v>
      </c>
      <c r="I6356" s="2" t="s">
        <v>19416</v>
      </c>
      <c r="J6356" s="2" t="s">
        <v>19417</v>
      </c>
      <c r="K6356" s="2" t="s">
        <v>53</v>
      </c>
      <c r="L6356" s="2" t="s">
        <v>19418</v>
      </c>
      <c r="M6356" s="2"/>
      <c r="N6356" s="2"/>
      <c r="O6356" s="2"/>
      <c r="P6356" s="2" t="s">
        <v>19419</v>
      </c>
      <c r="Q6356" s="2"/>
      <c r="R6356" s="6">
        <v>10.5</v>
      </c>
      <c r="S6356" s="5">
        <v>4.0999999999999996</v>
      </c>
      <c r="T6356" s="5">
        <v>4.7</v>
      </c>
      <c r="U6356" s="5">
        <v>17.100000000000001</v>
      </c>
      <c r="V6356" s="6">
        <v>0.73</v>
      </c>
      <c r="W6356" s="5">
        <v>12.5</v>
      </c>
      <c r="X6356" s="5">
        <v>12.5</v>
      </c>
      <c r="Y6356" s="5">
        <v>12.5</v>
      </c>
      <c r="Z6356" s="5">
        <v>12.5</v>
      </c>
      <c r="AA6356" s="6">
        <v>5.69</v>
      </c>
      <c r="AB6356" s="7">
        <v>44.188000000000002</v>
      </c>
      <c r="AC6356" s="2"/>
    </row>
    <row r="6357" spans="1:29" ht="169" x14ac:dyDescent="0.15">
      <c r="A6357" s="3">
        <f>DATE(2001,10,15)</f>
        <v>37179</v>
      </c>
      <c r="B6357" s="3">
        <f>DATE(2002,4,1)</f>
        <v>37347</v>
      </c>
      <c r="C6357" s="2" t="s">
        <v>95</v>
      </c>
      <c r="D6357" s="2" t="s">
        <v>19420</v>
      </c>
      <c r="E6357" s="2" t="s">
        <v>265</v>
      </c>
      <c r="F6357" s="4">
        <v>6022</v>
      </c>
      <c r="G6357" s="2" t="s">
        <v>37</v>
      </c>
      <c r="H6357" s="2" t="s">
        <v>34</v>
      </c>
      <c r="I6357" s="2" t="s">
        <v>19421</v>
      </c>
      <c r="J6357" s="2" t="s">
        <v>36</v>
      </c>
      <c r="K6357" s="2" t="s">
        <v>37</v>
      </c>
      <c r="L6357" s="2" t="s">
        <v>34</v>
      </c>
      <c r="M6357" s="7">
        <v>289.35399999999998</v>
      </c>
      <c r="N6357" s="6">
        <v>23.06</v>
      </c>
      <c r="O6357" s="4">
        <v>24</v>
      </c>
      <c r="P6357" s="2" t="s">
        <v>19422</v>
      </c>
      <c r="Q6357" s="6">
        <v>100</v>
      </c>
      <c r="R6357" s="6">
        <v>26.01</v>
      </c>
      <c r="S6357" s="5">
        <v>7.3</v>
      </c>
      <c r="T6357" s="2"/>
      <c r="U6357" s="5">
        <v>14.8</v>
      </c>
      <c r="V6357" s="6">
        <v>1.83</v>
      </c>
      <c r="W6357" s="6">
        <v>16.75</v>
      </c>
      <c r="X6357" s="6">
        <v>16.47</v>
      </c>
      <c r="Y6357" s="5">
        <v>26.3</v>
      </c>
      <c r="Z6357" s="5">
        <v>26.2</v>
      </c>
      <c r="AA6357" s="6">
        <v>3.96</v>
      </c>
      <c r="AB6357" s="7">
        <v>17.173999999999999</v>
      </c>
      <c r="AC6357" s="5">
        <v>75.599999999999994</v>
      </c>
    </row>
    <row r="6358" spans="1:29" ht="169" x14ac:dyDescent="0.15">
      <c r="A6358" s="3">
        <f>DATE(2001,10,15)</f>
        <v>37179</v>
      </c>
      <c r="B6358" s="3">
        <f>DATE(2001,12,29)</f>
        <v>37254</v>
      </c>
      <c r="C6358" s="2" t="s">
        <v>95</v>
      </c>
      <c r="D6358" s="2" t="s">
        <v>19423</v>
      </c>
      <c r="E6358" s="2" t="s">
        <v>18168</v>
      </c>
      <c r="F6358" s="4">
        <v>4212</v>
      </c>
      <c r="G6358" s="2" t="s">
        <v>173</v>
      </c>
      <c r="H6358" s="2" t="s">
        <v>34</v>
      </c>
      <c r="I6358" s="2" t="s">
        <v>19424</v>
      </c>
      <c r="J6358" s="2" t="s">
        <v>172</v>
      </c>
      <c r="K6358" s="2" t="s">
        <v>173</v>
      </c>
      <c r="L6358" s="2" t="s">
        <v>34</v>
      </c>
      <c r="M6358" s="2"/>
      <c r="N6358" s="2"/>
      <c r="O6358" s="2"/>
      <c r="P6358" s="2" t="s">
        <v>19425</v>
      </c>
      <c r="Q6358" s="6">
        <v>100</v>
      </c>
      <c r="R6358" s="6">
        <v>12.28</v>
      </c>
      <c r="S6358" s="5">
        <v>7.1</v>
      </c>
      <c r="T6358" s="5">
        <v>19.3</v>
      </c>
      <c r="U6358" s="5">
        <v>9.6</v>
      </c>
      <c r="V6358" s="6">
        <v>1.08</v>
      </c>
      <c r="W6358" s="6">
        <v>9.4499999999999993</v>
      </c>
      <c r="X6358" s="6">
        <v>9.9499999999999993</v>
      </c>
      <c r="Y6358" s="6">
        <v>9.9499999999999993</v>
      </c>
      <c r="Z6358" s="5">
        <v>12.8</v>
      </c>
      <c r="AA6358" s="6">
        <v>6.83</v>
      </c>
      <c r="AB6358" s="7">
        <v>7.3010000000000002</v>
      </c>
      <c r="AC6358" s="2"/>
    </row>
    <row r="6359" spans="1:29" ht="130" x14ac:dyDescent="0.15">
      <c r="A6359" s="3">
        <f>DATE(2001,10,18)</f>
        <v>37182</v>
      </c>
      <c r="B6359" s="3">
        <f>DATE(2002,1,31)</f>
        <v>37287</v>
      </c>
      <c r="C6359" s="2" t="s">
        <v>95</v>
      </c>
      <c r="D6359" s="2" t="s">
        <v>13494</v>
      </c>
      <c r="E6359" s="2" t="s">
        <v>13495</v>
      </c>
      <c r="F6359" s="4">
        <v>6324</v>
      </c>
      <c r="G6359" s="2" t="s">
        <v>125</v>
      </c>
      <c r="H6359" s="2" t="s">
        <v>34</v>
      </c>
      <c r="I6359" s="2" t="s">
        <v>19426</v>
      </c>
      <c r="J6359" s="2" t="s">
        <v>4335</v>
      </c>
      <c r="K6359" s="2" t="s">
        <v>125</v>
      </c>
      <c r="L6359" s="2" t="s">
        <v>34</v>
      </c>
      <c r="M6359" s="12">
        <v>6482.8869999999997</v>
      </c>
      <c r="N6359" s="5">
        <v>101.5</v>
      </c>
      <c r="O6359" s="6">
        <v>104.65</v>
      </c>
      <c r="P6359" s="2" t="s">
        <v>19427</v>
      </c>
      <c r="Q6359" s="6">
        <v>100</v>
      </c>
      <c r="R6359" s="6">
        <v>66</v>
      </c>
      <c r="S6359" s="5">
        <v>59.3</v>
      </c>
      <c r="T6359" s="5">
        <v>107.5</v>
      </c>
      <c r="U6359" s="5">
        <v>19.600000000000001</v>
      </c>
      <c r="V6359" s="6">
        <v>3.43</v>
      </c>
      <c r="W6359" s="6">
        <v>45.15</v>
      </c>
      <c r="X6359" s="6">
        <v>45.11</v>
      </c>
      <c r="Y6359" s="5">
        <v>62.1</v>
      </c>
      <c r="Z6359" s="5">
        <v>63.5</v>
      </c>
      <c r="AA6359" s="6">
        <v>19.55</v>
      </c>
      <c r="AB6359" s="7">
        <v>15.725</v>
      </c>
      <c r="AC6359" s="5">
        <v>530.4</v>
      </c>
    </row>
    <row r="6360" spans="1:29" ht="117" x14ac:dyDescent="0.15">
      <c r="A6360" s="3">
        <f>DATE(2001,10,22)</f>
        <v>37186</v>
      </c>
      <c r="B6360" s="3">
        <f>DATE(2002,1,17)</f>
        <v>37273</v>
      </c>
      <c r="C6360" s="2" t="s">
        <v>95</v>
      </c>
      <c r="D6360" s="2" t="s">
        <v>19428</v>
      </c>
      <c r="E6360" s="2" t="s">
        <v>612</v>
      </c>
      <c r="F6360" s="4">
        <v>1311</v>
      </c>
      <c r="G6360" s="2" t="s">
        <v>148</v>
      </c>
      <c r="H6360" s="2" t="s">
        <v>34</v>
      </c>
      <c r="I6360" s="2" t="s">
        <v>19429</v>
      </c>
      <c r="J6360" s="2" t="s">
        <v>1608</v>
      </c>
      <c r="K6360" s="2" t="s">
        <v>148</v>
      </c>
      <c r="L6360" s="2" t="s">
        <v>34</v>
      </c>
      <c r="M6360" s="7">
        <v>175.71600000000001</v>
      </c>
      <c r="N6360" s="6">
        <v>6.12</v>
      </c>
      <c r="O6360" s="6">
        <v>6.11</v>
      </c>
      <c r="P6360" s="2" t="s">
        <v>19430</v>
      </c>
      <c r="Q6360" s="6">
        <v>100</v>
      </c>
      <c r="R6360" s="6">
        <v>7.32</v>
      </c>
      <c r="S6360" s="5">
        <v>11.3</v>
      </c>
      <c r="T6360" s="5">
        <v>30.3</v>
      </c>
      <c r="U6360" s="5">
        <v>5.6</v>
      </c>
      <c r="V6360" s="6">
        <v>0.97</v>
      </c>
      <c r="W6360" s="5">
        <v>5.5</v>
      </c>
      <c r="X6360" s="5">
        <v>5.2</v>
      </c>
      <c r="Y6360" s="6">
        <v>6.76</v>
      </c>
      <c r="Z6360" s="6">
        <v>6.95</v>
      </c>
      <c r="AA6360" s="6">
        <v>12.75</v>
      </c>
      <c r="AB6360" s="7">
        <v>8.8339999999999996</v>
      </c>
      <c r="AC6360" s="5">
        <v>3.1</v>
      </c>
    </row>
    <row r="6361" spans="1:29" ht="91" x14ac:dyDescent="0.15">
      <c r="A6361" s="3">
        <f>DATE(2001,10,22)</f>
        <v>37186</v>
      </c>
      <c r="B6361" s="2"/>
      <c r="C6361" s="2" t="s">
        <v>7330</v>
      </c>
      <c r="D6361" s="2" t="s">
        <v>19431</v>
      </c>
      <c r="E6361" s="2" t="s">
        <v>5102</v>
      </c>
      <c r="F6361" s="4">
        <v>7372</v>
      </c>
      <c r="G6361" s="2" t="s">
        <v>551</v>
      </c>
      <c r="H6361" s="2" t="s">
        <v>34</v>
      </c>
      <c r="I6361" s="2" t="s">
        <v>4438</v>
      </c>
      <c r="J6361" s="2" t="s">
        <v>678</v>
      </c>
      <c r="K6361" s="2" t="s">
        <v>53</v>
      </c>
      <c r="L6361" s="2" t="s">
        <v>34</v>
      </c>
      <c r="M6361" s="2"/>
      <c r="N6361" s="2"/>
      <c r="O6361" s="2"/>
      <c r="P6361" s="2" t="s">
        <v>19432</v>
      </c>
      <c r="Q6361" s="2"/>
      <c r="R6361" s="6">
        <v>3</v>
      </c>
      <c r="S6361" s="5">
        <v>-41.9</v>
      </c>
      <c r="T6361" s="7">
        <v>-37.857999999999997</v>
      </c>
      <c r="U6361" s="5">
        <v>30.7</v>
      </c>
      <c r="V6361" s="9">
        <v>-13.2857</v>
      </c>
      <c r="W6361" s="6">
        <v>2.39</v>
      </c>
      <c r="X6361" s="6">
        <v>2.35</v>
      </c>
      <c r="Y6361" s="6">
        <v>2.36</v>
      </c>
      <c r="Z6361" s="6">
        <v>2.5499999999999998</v>
      </c>
      <c r="AA6361" s="6">
        <v>22.63</v>
      </c>
      <c r="AB6361" s="2" t="s">
        <v>86</v>
      </c>
      <c r="AC6361" s="2"/>
    </row>
    <row r="6362" spans="1:29" ht="117" x14ac:dyDescent="0.15">
      <c r="A6362" s="3">
        <f>DATE(2001,10,23)</f>
        <v>37187</v>
      </c>
      <c r="B6362" s="3">
        <f>DATE(2002,3,29)</f>
        <v>37344</v>
      </c>
      <c r="C6362" s="2" t="s">
        <v>95</v>
      </c>
      <c r="D6362" s="2" t="s">
        <v>19433</v>
      </c>
      <c r="E6362" s="2" t="s">
        <v>36</v>
      </c>
      <c r="F6362" s="4">
        <v>6021</v>
      </c>
      <c r="G6362" s="2" t="s">
        <v>37</v>
      </c>
      <c r="H6362" s="2" t="s">
        <v>34</v>
      </c>
      <c r="I6362" s="2" t="s">
        <v>19434</v>
      </c>
      <c r="J6362" s="2" t="s">
        <v>672</v>
      </c>
      <c r="K6362" s="2" t="s">
        <v>37</v>
      </c>
      <c r="L6362" s="2" t="s">
        <v>34</v>
      </c>
      <c r="M6362" s="7">
        <v>48.901000000000003</v>
      </c>
      <c r="N6362" s="5">
        <v>12.5</v>
      </c>
      <c r="O6362" s="5">
        <v>12.5</v>
      </c>
      <c r="P6362" s="2" t="s">
        <v>19435</v>
      </c>
      <c r="Q6362" s="6">
        <v>100</v>
      </c>
      <c r="R6362" s="6">
        <v>13.46</v>
      </c>
      <c r="S6362" s="5">
        <v>0.3</v>
      </c>
      <c r="T6362" s="7">
        <v>0.53500000000000003</v>
      </c>
      <c r="U6362" s="5">
        <v>13.1</v>
      </c>
      <c r="V6362" s="6">
        <v>0.57999999999999996</v>
      </c>
      <c r="W6362" s="4">
        <v>11</v>
      </c>
      <c r="X6362" s="6">
        <v>11.25</v>
      </c>
      <c r="Y6362" s="6">
        <v>11.58</v>
      </c>
      <c r="Z6362" s="6">
        <v>11.58</v>
      </c>
      <c r="AA6362" s="6">
        <v>0.51</v>
      </c>
      <c r="AB6362" s="7">
        <v>21.797000000000001</v>
      </c>
      <c r="AC6362" s="5">
        <v>36.799999999999997</v>
      </c>
    </row>
    <row r="6363" spans="1:29" ht="286" x14ac:dyDescent="0.15">
      <c r="A6363" s="3">
        <f>DATE(2001,10,23)</f>
        <v>37187</v>
      </c>
      <c r="B6363" s="3">
        <f>DATE(2002,2,22)</f>
        <v>37309</v>
      </c>
      <c r="C6363" s="2" t="s">
        <v>95</v>
      </c>
      <c r="D6363" s="2" t="s">
        <v>19436</v>
      </c>
      <c r="E6363" s="2" t="s">
        <v>19437</v>
      </c>
      <c r="F6363" s="4">
        <v>1531</v>
      </c>
      <c r="G6363" s="2" t="s">
        <v>341</v>
      </c>
      <c r="H6363" s="2" t="s">
        <v>34</v>
      </c>
      <c r="I6363" s="2" t="s">
        <v>11145</v>
      </c>
      <c r="J6363" s="2" t="s">
        <v>11146</v>
      </c>
      <c r="K6363" s="2" t="s">
        <v>341</v>
      </c>
      <c r="L6363" s="2" t="s">
        <v>34</v>
      </c>
      <c r="M6363" s="12">
        <v>1566.8720000000001</v>
      </c>
      <c r="N6363" s="6">
        <v>20.39</v>
      </c>
      <c r="O6363" s="6">
        <v>20.96</v>
      </c>
      <c r="P6363" s="2" t="s">
        <v>19438</v>
      </c>
      <c r="Q6363" s="6">
        <v>100</v>
      </c>
      <c r="R6363" s="6">
        <v>21.96</v>
      </c>
      <c r="S6363" s="5">
        <v>56.4</v>
      </c>
      <c r="T6363" s="5">
        <v>108.8</v>
      </c>
      <c r="U6363" s="5">
        <v>10.6</v>
      </c>
      <c r="V6363" s="6">
        <v>1.81</v>
      </c>
      <c r="W6363" s="6">
        <v>11.82</v>
      </c>
      <c r="X6363" s="4">
        <v>12</v>
      </c>
      <c r="Y6363" s="6">
        <v>15.25</v>
      </c>
      <c r="Z6363" s="6">
        <v>15.55</v>
      </c>
      <c r="AA6363" s="6">
        <v>40.54</v>
      </c>
      <c r="AB6363" s="7">
        <v>15.218</v>
      </c>
      <c r="AC6363" s="5">
        <v>239.3</v>
      </c>
    </row>
    <row r="6364" spans="1:29" ht="221" x14ac:dyDescent="0.15">
      <c r="A6364" s="3">
        <f>DATE(2001,10,23)</f>
        <v>37187</v>
      </c>
      <c r="B6364" s="2"/>
      <c r="C6364" s="2" t="s">
        <v>30</v>
      </c>
      <c r="D6364" s="2" t="s">
        <v>12919</v>
      </c>
      <c r="E6364" s="2" t="s">
        <v>92</v>
      </c>
      <c r="F6364" s="4">
        <v>6798</v>
      </c>
      <c r="G6364" s="2" t="s">
        <v>53</v>
      </c>
      <c r="H6364" s="2" t="s">
        <v>34</v>
      </c>
      <c r="I6364" s="2" t="s">
        <v>19439</v>
      </c>
      <c r="J6364" s="2" t="s">
        <v>2044</v>
      </c>
      <c r="K6364" s="2" t="s">
        <v>53</v>
      </c>
      <c r="L6364" s="2" t="s">
        <v>34</v>
      </c>
      <c r="M6364" s="7">
        <v>124.21599999999999</v>
      </c>
      <c r="N6364" s="5">
        <v>11.6</v>
      </c>
      <c r="O6364" s="6">
        <v>11.64</v>
      </c>
      <c r="P6364" s="2" t="s">
        <v>19440</v>
      </c>
      <c r="Q6364" s="2"/>
      <c r="R6364" s="6">
        <v>17.5</v>
      </c>
      <c r="S6364" s="5">
        <v>38.5</v>
      </c>
      <c r="T6364" s="5">
        <v>102.4</v>
      </c>
      <c r="U6364" s="5">
        <v>27</v>
      </c>
      <c r="V6364" s="6">
        <v>4.4800000000000004</v>
      </c>
      <c r="W6364" s="5">
        <v>12.6</v>
      </c>
      <c r="X6364" s="4">
        <v>12</v>
      </c>
      <c r="Y6364" s="5">
        <v>12.1</v>
      </c>
      <c r="Z6364" s="6">
        <v>16.14</v>
      </c>
      <c r="AA6364" s="6">
        <v>8.64</v>
      </c>
      <c r="AB6364" s="7">
        <v>6.923</v>
      </c>
      <c r="AC6364" s="6">
        <v>5.12</v>
      </c>
    </row>
    <row r="6365" spans="1:29" ht="182" x14ac:dyDescent="0.15">
      <c r="A6365" s="3">
        <f>DATE(2001,10,24)</f>
        <v>37188</v>
      </c>
      <c r="B6365" s="3">
        <f>DATE(2002,5,14)</f>
        <v>37390</v>
      </c>
      <c r="C6365" s="2" t="s">
        <v>95</v>
      </c>
      <c r="D6365" s="2" t="s">
        <v>19441</v>
      </c>
      <c r="E6365" s="2" t="s">
        <v>19442</v>
      </c>
      <c r="F6365" s="4">
        <v>7373</v>
      </c>
      <c r="G6365" s="2" t="s">
        <v>223</v>
      </c>
      <c r="H6365" s="2" t="s">
        <v>34</v>
      </c>
      <c r="I6365" s="2" t="s">
        <v>19443</v>
      </c>
      <c r="J6365" s="2" t="s">
        <v>19444</v>
      </c>
      <c r="K6365" s="2" t="s">
        <v>223</v>
      </c>
      <c r="L6365" s="2" t="s">
        <v>34</v>
      </c>
      <c r="M6365" s="6">
        <v>527.22</v>
      </c>
      <c r="N6365" s="5">
        <v>31.8</v>
      </c>
      <c r="O6365" s="6">
        <v>33.89</v>
      </c>
      <c r="P6365" s="2" t="s">
        <v>19445</v>
      </c>
      <c r="Q6365" s="6">
        <v>100</v>
      </c>
      <c r="R6365" s="6">
        <v>17.22</v>
      </c>
      <c r="S6365" s="5">
        <v>-93.3</v>
      </c>
      <c r="T6365" s="5">
        <v>-63.8</v>
      </c>
      <c r="U6365" s="5">
        <v>4.0999999999999996</v>
      </c>
      <c r="V6365" s="6">
        <v>-3.69</v>
      </c>
      <c r="W6365" s="6">
        <v>12.03</v>
      </c>
      <c r="X6365" s="6">
        <v>12.54</v>
      </c>
      <c r="Y6365" s="6">
        <v>15.92</v>
      </c>
      <c r="Z6365" s="6">
        <v>16.98</v>
      </c>
      <c r="AA6365" s="6">
        <v>25.4</v>
      </c>
      <c r="AB6365" s="2" t="s">
        <v>86</v>
      </c>
      <c r="AC6365" s="5">
        <v>160.19999999999999</v>
      </c>
    </row>
    <row r="6366" spans="1:29" ht="117" x14ac:dyDescent="0.15">
      <c r="A6366" s="3">
        <f>DATE(2001,10,24)</f>
        <v>37188</v>
      </c>
      <c r="B6366" s="3">
        <f>DATE(2001,12,5)</f>
        <v>37230</v>
      </c>
      <c r="C6366" s="2" t="s">
        <v>95</v>
      </c>
      <c r="D6366" s="2" t="s">
        <v>19446</v>
      </c>
      <c r="E6366" s="2" t="s">
        <v>10885</v>
      </c>
      <c r="F6366" s="4">
        <v>2835</v>
      </c>
      <c r="G6366" s="2" t="s">
        <v>130</v>
      </c>
      <c r="H6366" s="2" t="s">
        <v>34</v>
      </c>
      <c r="I6366" s="2" t="s">
        <v>7700</v>
      </c>
      <c r="J6366" s="2" t="s">
        <v>7701</v>
      </c>
      <c r="K6366" s="2" t="s">
        <v>130</v>
      </c>
      <c r="L6366" s="2" t="s">
        <v>34</v>
      </c>
      <c r="M6366" s="12">
        <v>77416.210999999996</v>
      </c>
      <c r="N6366" s="6">
        <v>54.24</v>
      </c>
      <c r="O6366" s="6">
        <v>54.55</v>
      </c>
      <c r="P6366" s="2" t="s">
        <v>19447</v>
      </c>
      <c r="Q6366" s="6">
        <v>100</v>
      </c>
      <c r="R6366" s="6">
        <v>30.5</v>
      </c>
      <c r="S6366" s="5">
        <v>4</v>
      </c>
      <c r="T6366" s="5">
        <v>3.7</v>
      </c>
      <c r="U6366" s="5">
        <v>1.8</v>
      </c>
      <c r="V6366" s="6">
        <v>0.36</v>
      </c>
      <c r="W6366" s="5">
        <v>21.5</v>
      </c>
      <c r="X6366" s="4">
        <v>23</v>
      </c>
      <c r="Y6366" s="6">
        <v>30.26</v>
      </c>
      <c r="Z6366" s="6">
        <v>30.25</v>
      </c>
      <c r="AA6366" s="6">
        <v>10.25</v>
      </c>
      <c r="AB6366" s="7">
        <v>137.114</v>
      </c>
      <c r="AC6366" s="5">
        <v>594.20000000000005</v>
      </c>
    </row>
    <row r="6367" spans="1:29" ht="208" x14ac:dyDescent="0.15">
      <c r="A6367" s="3">
        <f>DATE(2001,10,25)</f>
        <v>37189</v>
      </c>
      <c r="B6367" s="3">
        <f>DATE(2002,5,31)</f>
        <v>37407</v>
      </c>
      <c r="C6367" s="2" t="s">
        <v>95</v>
      </c>
      <c r="D6367" s="2" t="s">
        <v>19448</v>
      </c>
      <c r="E6367" s="2" t="s">
        <v>19449</v>
      </c>
      <c r="F6367" s="4">
        <v>7372</v>
      </c>
      <c r="G6367" s="2" t="s">
        <v>551</v>
      </c>
      <c r="H6367" s="2" t="s">
        <v>34</v>
      </c>
      <c r="I6367" s="2" t="s">
        <v>19450</v>
      </c>
      <c r="J6367" s="2" t="s">
        <v>10150</v>
      </c>
      <c r="K6367" s="2" t="s">
        <v>53</v>
      </c>
      <c r="L6367" s="2" t="s">
        <v>34</v>
      </c>
      <c r="M6367" s="2"/>
      <c r="N6367" s="2"/>
      <c r="O6367" s="2"/>
      <c r="P6367" s="2" t="s">
        <v>19451</v>
      </c>
      <c r="Q6367" s="6">
        <v>65.349999999999994</v>
      </c>
      <c r="R6367" s="6">
        <v>2.7</v>
      </c>
      <c r="S6367" s="5">
        <v>-6</v>
      </c>
      <c r="T6367" s="5">
        <v>-8.5</v>
      </c>
      <c r="U6367" s="5">
        <v>3.2</v>
      </c>
      <c r="V6367" s="6">
        <v>-0.48</v>
      </c>
      <c r="W6367" s="5">
        <v>1.6</v>
      </c>
      <c r="X6367" s="6">
        <v>1.55</v>
      </c>
      <c r="Y6367" s="5">
        <v>1.5</v>
      </c>
      <c r="Z6367" s="6">
        <v>2.54</v>
      </c>
      <c r="AA6367" s="6">
        <v>12.47</v>
      </c>
      <c r="AB6367" s="2" t="s">
        <v>86</v>
      </c>
      <c r="AC6367" s="2"/>
    </row>
    <row r="6368" spans="1:29" ht="65" x14ac:dyDescent="0.15">
      <c r="A6368" s="3">
        <f>DATE(2001,10,25)</f>
        <v>37189</v>
      </c>
      <c r="B6368" s="3">
        <f>DATE(2002,1,3)</f>
        <v>37259</v>
      </c>
      <c r="C6368" s="2" t="s">
        <v>95</v>
      </c>
      <c r="D6368" s="2" t="s">
        <v>5122</v>
      </c>
      <c r="E6368" s="2" t="s">
        <v>19452</v>
      </c>
      <c r="F6368" s="4">
        <v>1311</v>
      </c>
      <c r="G6368" s="2" t="s">
        <v>148</v>
      </c>
      <c r="H6368" s="2" t="s">
        <v>34</v>
      </c>
      <c r="I6368" s="2" t="s">
        <v>19453</v>
      </c>
      <c r="J6368" s="2" t="s">
        <v>19454</v>
      </c>
      <c r="K6368" s="2" t="s">
        <v>148</v>
      </c>
      <c r="L6368" s="2" t="s">
        <v>34</v>
      </c>
      <c r="M6368" s="7">
        <v>198.31399999999999</v>
      </c>
      <c r="N6368" s="6">
        <v>14.35</v>
      </c>
      <c r="O6368" s="5">
        <v>14.4</v>
      </c>
      <c r="P6368" s="2" t="s">
        <v>19455</v>
      </c>
      <c r="Q6368" s="6">
        <v>20</v>
      </c>
      <c r="R6368" s="6">
        <v>14</v>
      </c>
      <c r="S6368" s="5">
        <v>4.5999999999999996</v>
      </c>
      <c r="T6368" s="7">
        <v>2.9180000000000001</v>
      </c>
      <c r="U6368" s="5">
        <v>10.5</v>
      </c>
      <c r="V6368" s="6">
        <v>3.45</v>
      </c>
      <c r="W6368" s="4">
        <v>6</v>
      </c>
      <c r="X6368" s="4">
        <v>6</v>
      </c>
      <c r="Y6368" s="4">
        <v>6</v>
      </c>
      <c r="Z6368" s="6">
        <v>13.45</v>
      </c>
      <c r="AA6368" s="6">
        <v>1.34</v>
      </c>
      <c r="AB6368" s="7">
        <v>8.9250000000000007</v>
      </c>
      <c r="AC6368" s="5">
        <v>19.5</v>
      </c>
    </row>
    <row r="6369" spans="1:29" ht="195" x14ac:dyDescent="0.15">
      <c r="A6369" s="3">
        <f>DATE(2001,10,29)</f>
        <v>37193</v>
      </c>
      <c r="B6369" s="3">
        <f>DATE(2001,12,7)</f>
        <v>37232</v>
      </c>
      <c r="C6369" s="2" t="s">
        <v>95</v>
      </c>
      <c r="D6369" s="2" t="s">
        <v>19456</v>
      </c>
      <c r="E6369" s="2" t="s">
        <v>92</v>
      </c>
      <c r="F6369" s="4">
        <v>6798</v>
      </c>
      <c r="G6369" s="2" t="s">
        <v>53</v>
      </c>
      <c r="H6369" s="2" t="s">
        <v>34</v>
      </c>
      <c r="I6369" s="2" t="s">
        <v>19457</v>
      </c>
      <c r="J6369" s="2" t="s">
        <v>92</v>
      </c>
      <c r="K6369" s="2" t="s">
        <v>53</v>
      </c>
      <c r="L6369" s="2" t="s">
        <v>34</v>
      </c>
      <c r="M6369" s="2"/>
      <c r="N6369" s="2"/>
      <c r="O6369" s="2"/>
      <c r="P6369" s="2" t="s">
        <v>19458</v>
      </c>
      <c r="Q6369" s="6">
        <v>100</v>
      </c>
      <c r="R6369" s="6">
        <v>24</v>
      </c>
      <c r="S6369" s="5">
        <v>61</v>
      </c>
      <c r="T6369" s="2"/>
      <c r="U6369" s="5">
        <v>18.7</v>
      </c>
      <c r="V6369" s="6">
        <v>1.51</v>
      </c>
      <c r="W6369" s="6">
        <v>20.25</v>
      </c>
      <c r="X6369" s="6">
        <v>19.95</v>
      </c>
      <c r="Y6369" s="6">
        <v>23.81</v>
      </c>
      <c r="Z6369" s="6">
        <v>23.82</v>
      </c>
      <c r="AA6369" s="6">
        <v>41.1</v>
      </c>
      <c r="AB6369" s="7">
        <v>14.228</v>
      </c>
      <c r="AC6369" s="2"/>
    </row>
    <row r="6370" spans="1:29" ht="169" x14ac:dyDescent="0.15">
      <c r="A6370" s="3">
        <f>DATE(2001,10,29)</f>
        <v>37193</v>
      </c>
      <c r="B6370" s="3">
        <f>DATE(2001,12,31)</f>
        <v>37256</v>
      </c>
      <c r="C6370" s="2" t="s">
        <v>95</v>
      </c>
      <c r="D6370" s="2" t="s">
        <v>19459</v>
      </c>
      <c r="E6370" s="2" t="s">
        <v>19460</v>
      </c>
      <c r="F6370" s="4">
        <v>5084</v>
      </c>
      <c r="G6370" s="2" t="s">
        <v>76</v>
      </c>
      <c r="H6370" s="2" t="s">
        <v>34</v>
      </c>
      <c r="I6370" s="2" t="s">
        <v>278</v>
      </c>
      <c r="J6370" s="2" t="s">
        <v>52</v>
      </c>
      <c r="K6370" s="2" t="s">
        <v>53</v>
      </c>
      <c r="L6370" s="2" t="s">
        <v>34</v>
      </c>
      <c r="M6370" s="2"/>
      <c r="N6370" s="2"/>
      <c r="O6370" s="2"/>
      <c r="P6370" s="2" t="s">
        <v>19461</v>
      </c>
      <c r="Q6370" s="6">
        <v>83</v>
      </c>
      <c r="R6370" s="6">
        <v>16.45</v>
      </c>
      <c r="S6370" s="2"/>
      <c r="T6370" s="2"/>
      <c r="U6370" s="2"/>
      <c r="V6370" s="2"/>
      <c r="W6370" s="5">
        <v>12.9</v>
      </c>
      <c r="X6370" s="6">
        <v>13.75</v>
      </c>
      <c r="Y6370" s="5">
        <v>13.6</v>
      </c>
      <c r="Z6370" s="6">
        <v>13.35</v>
      </c>
      <c r="AA6370" s="6">
        <v>65</v>
      </c>
      <c r="AB6370" s="2" t="s">
        <v>47</v>
      </c>
      <c r="AC6370" s="2"/>
    </row>
    <row r="6371" spans="1:29" ht="117" x14ac:dyDescent="0.15">
      <c r="A6371" s="3">
        <f>DATE(2001,10,29)</f>
        <v>37193</v>
      </c>
      <c r="B6371" s="3">
        <f>DATE(2001,12,21)</f>
        <v>37246</v>
      </c>
      <c r="C6371" s="2" t="s">
        <v>95</v>
      </c>
      <c r="D6371" s="2" t="s">
        <v>19462</v>
      </c>
      <c r="E6371" s="2" t="s">
        <v>5102</v>
      </c>
      <c r="F6371" s="4">
        <v>7372</v>
      </c>
      <c r="G6371" s="2" t="s">
        <v>551</v>
      </c>
      <c r="H6371" s="2" t="s">
        <v>34</v>
      </c>
      <c r="I6371" s="2" t="s">
        <v>18020</v>
      </c>
      <c r="J6371" s="2" t="s">
        <v>18021</v>
      </c>
      <c r="K6371" s="2" t="s">
        <v>551</v>
      </c>
      <c r="L6371" s="2" t="s">
        <v>34</v>
      </c>
      <c r="M6371" s="7">
        <v>236.42400000000001</v>
      </c>
      <c r="N6371" s="6">
        <v>17.059999999999999</v>
      </c>
      <c r="O6371" s="6">
        <v>16.91</v>
      </c>
      <c r="P6371" s="2" t="s">
        <v>19463</v>
      </c>
      <c r="Q6371" s="6">
        <v>100</v>
      </c>
      <c r="R6371" s="6">
        <v>1.83</v>
      </c>
      <c r="S6371" s="5">
        <v>-41.8</v>
      </c>
      <c r="T6371" s="7">
        <v>-39.496000000000002</v>
      </c>
      <c r="U6371" s="5">
        <v>1.5</v>
      </c>
      <c r="V6371" s="6">
        <v>-1.96</v>
      </c>
      <c r="W6371" s="5">
        <v>1.3</v>
      </c>
      <c r="X6371" s="6">
        <v>1.22</v>
      </c>
      <c r="Y6371" s="6">
        <v>1.63</v>
      </c>
      <c r="Z6371" s="6">
        <v>1.61</v>
      </c>
      <c r="AA6371" s="6">
        <v>23.51</v>
      </c>
      <c r="AB6371" s="2" t="s">
        <v>86</v>
      </c>
      <c r="AC6371" s="5">
        <v>22.1</v>
      </c>
    </row>
    <row r="6372" spans="1:29" ht="65" x14ac:dyDescent="0.15">
      <c r="A6372" s="3">
        <f>DATE(2001,10,30)</f>
        <v>37194</v>
      </c>
      <c r="B6372" s="3">
        <f>DATE(2002,1,14)</f>
        <v>37270</v>
      </c>
      <c r="C6372" s="2" t="s">
        <v>95</v>
      </c>
      <c r="D6372" s="2" t="s">
        <v>19464</v>
      </c>
      <c r="E6372" s="2" t="s">
        <v>19465</v>
      </c>
      <c r="F6372" s="4">
        <v>7372</v>
      </c>
      <c r="G6372" s="2" t="s">
        <v>551</v>
      </c>
      <c r="H6372" s="2" t="s">
        <v>34</v>
      </c>
      <c r="I6372" s="2" t="s">
        <v>5443</v>
      </c>
      <c r="J6372" s="2" t="s">
        <v>5444</v>
      </c>
      <c r="K6372" s="2" t="s">
        <v>50</v>
      </c>
      <c r="L6372" s="2" t="s">
        <v>34</v>
      </c>
      <c r="M6372" s="12">
        <v>162846.56400000001</v>
      </c>
      <c r="N6372" s="6">
        <v>108.65</v>
      </c>
      <c r="O6372" s="6">
        <v>108.07</v>
      </c>
      <c r="P6372" s="2" t="s">
        <v>19466</v>
      </c>
      <c r="Q6372" s="6">
        <v>100</v>
      </c>
      <c r="R6372" s="6">
        <v>4.6500000000000004</v>
      </c>
      <c r="S6372" s="5">
        <v>-13</v>
      </c>
      <c r="T6372" s="7">
        <v>-5.8419999999999996</v>
      </c>
      <c r="U6372" s="2"/>
      <c r="V6372" s="6">
        <v>-0.16</v>
      </c>
      <c r="W6372" s="6">
        <v>3.59</v>
      </c>
      <c r="X6372" s="6">
        <v>3.54</v>
      </c>
      <c r="Y6372" s="6">
        <v>4.55</v>
      </c>
      <c r="Z6372" s="6">
        <v>4.57</v>
      </c>
      <c r="AA6372" s="6">
        <v>26.78</v>
      </c>
      <c r="AB6372" s="2" t="s">
        <v>86</v>
      </c>
      <c r="AC6372" s="8">
        <v>3715</v>
      </c>
    </row>
    <row r="6373" spans="1:29" ht="182" x14ac:dyDescent="0.15">
      <c r="A6373" s="3">
        <f>DATE(2001,10,30)</f>
        <v>37194</v>
      </c>
      <c r="B6373" s="3">
        <f>DATE(2001,11,1)</f>
        <v>37196</v>
      </c>
      <c r="C6373" s="2" t="s">
        <v>95</v>
      </c>
      <c r="D6373" s="2" t="s">
        <v>19467</v>
      </c>
      <c r="E6373" s="2" t="s">
        <v>92</v>
      </c>
      <c r="F6373" s="4">
        <v>6798</v>
      </c>
      <c r="G6373" s="2" t="s">
        <v>53</v>
      </c>
      <c r="H6373" s="2" t="s">
        <v>34</v>
      </c>
      <c r="I6373" s="2" t="s">
        <v>19468</v>
      </c>
      <c r="J6373" s="2" t="s">
        <v>80</v>
      </c>
      <c r="K6373" s="2" t="s">
        <v>53</v>
      </c>
      <c r="L6373" s="2" t="s">
        <v>34</v>
      </c>
      <c r="M6373" s="2"/>
      <c r="N6373" s="2"/>
      <c r="O6373" s="2"/>
      <c r="P6373" s="2" t="s">
        <v>19469</v>
      </c>
      <c r="Q6373" s="6">
        <v>97.69</v>
      </c>
      <c r="R6373" s="6">
        <v>26</v>
      </c>
      <c r="S6373" s="5">
        <v>-4.2</v>
      </c>
      <c r="T6373" s="5">
        <v>25.1</v>
      </c>
      <c r="U6373" s="5">
        <v>24.7</v>
      </c>
      <c r="V6373" s="6">
        <v>-2.79</v>
      </c>
      <c r="W6373" s="6">
        <v>14.76</v>
      </c>
      <c r="X6373" s="6">
        <v>17.75</v>
      </c>
      <c r="Y6373" s="6">
        <v>17.75</v>
      </c>
      <c r="Z6373" s="6">
        <v>17.850000000000001</v>
      </c>
      <c r="AA6373" s="6">
        <v>1.51</v>
      </c>
      <c r="AB6373" s="7">
        <v>3.956</v>
      </c>
      <c r="AC6373" s="2"/>
    </row>
    <row r="6374" spans="1:29" ht="65" x14ac:dyDescent="0.15">
      <c r="A6374" s="3">
        <f>DATE(2001,10,30)</f>
        <v>37194</v>
      </c>
      <c r="B6374" s="2"/>
      <c r="C6374" s="2" t="s">
        <v>30</v>
      </c>
      <c r="D6374" s="2" t="s">
        <v>11712</v>
      </c>
      <c r="E6374" s="2" t="s">
        <v>203</v>
      </c>
      <c r="F6374" s="4">
        <v>6712</v>
      </c>
      <c r="G6374" s="2" t="s">
        <v>37</v>
      </c>
      <c r="H6374" s="2" t="s">
        <v>34</v>
      </c>
      <c r="I6374" s="2" t="s">
        <v>19470</v>
      </c>
      <c r="J6374" s="2" t="s">
        <v>159</v>
      </c>
      <c r="K6374" s="2" t="s">
        <v>37</v>
      </c>
      <c r="L6374" s="2" t="s">
        <v>34</v>
      </c>
      <c r="M6374" s="6">
        <v>11.04</v>
      </c>
      <c r="N6374" s="5">
        <v>6.5</v>
      </c>
      <c r="O6374" s="5">
        <v>6.6</v>
      </c>
      <c r="P6374" s="2" t="s">
        <v>19471</v>
      </c>
      <c r="Q6374" s="2"/>
      <c r="R6374" s="2"/>
      <c r="S6374" s="5">
        <v>-22.5</v>
      </c>
      <c r="T6374" s="5">
        <v>-19.2</v>
      </c>
      <c r="U6374" s="5">
        <v>7.3</v>
      </c>
      <c r="V6374" s="6">
        <v>-16.89</v>
      </c>
      <c r="W6374" s="6">
        <v>1.27</v>
      </c>
      <c r="X6374" s="6">
        <v>1.35</v>
      </c>
      <c r="Y6374" s="6">
        <v>1.32</v>
      </c>
      <c r="Z6374" s="5">
        <v>1.2</v>
      </c>
      <c r="AA6374" s="6">
        <v>1.33</v>
      </c>
      <c r="AB6374" s="2" t="s">
        <v>86</v>
      </c>
      <c r="AC6374" s="5">
        <v>13</v>
      </c>
    </row>
    <row r="6375" spans="1:29" ht="286" x14ac:dyDescent="0.15">
      <c r="A6375" s="3">
        <f>DATE(2001,10,30)</f>
        <v>37194</v>
      </c>
      <c r="B6375" s="3">
        <f>DATE(2002,2,13)</f>
        <v>37300</v>
      </c>
      <c r="C6375" s="2" t="s">
        <v>95</v>
      </c>
      <c r="D6375" s="2" t="s">
        <v>19472</v>
      </c>
      <c r="E6375" s="2" t="s">
        <v>19473</v>
      </c>
      <c r="F6375" s="4">
        <v>3577</v>
      </c>
      <c r="G6375" s="2" t="s">
        <v>50</v>
      </c>
      <c r="H6375" s="2" t="s">
        <v>34</v>
      </c>
      <c r="I6375" s="2" t="s">
        <v>19474</v>
      </c>
      <c r="J6375" s="2" t="s">
        <v>1924</v>
      </c>
      <c r="K6375" s="2" t="s">
        <v>921</v>
      </c>
      <c r="L6375" s="2" t="s">
        <v>34</v>
      </c>
      <c r="M6375" s="7">
        <v>82.007999999999996</v>
      </c>
      <c r="N6375" s="6">
        <v>5.43</v>
      </c>
      <c r="O6375" s="6">
        <v>4.53</v>
      </c>
      <c r="P6375" s="2" t="s">
        <v>19475</v>
      </c>
      <c r="Q6375" s="6">
        <v>100</v>
      </c>
      <c r="R6375" s="6">
        <v>3.58</v>
      </c>
      <c r="S6375" s="5">
        <v>-10.8</v>
      </c>
      <c r="T6375" s="7">
        <v>-7.3940000000000001</v>
      </c>
      <c r="U6375" s="5">
        <v>1.3</v>
      </c>
      <c r="V6375" s="6">
        <v>-0.75</v>
      </c>
      <c r="W6375" s="5">
        <v>3.1</v>
      </c>
      <c r="X6375" s="5">
        <v>2.4</v>
      </c>
      <c r="Y6375" s="5">
        <v>2.6</v>
      </c>
      <c r="Z6375" s="6">
        <v>2.92</v>
      </c>
      <c r="AA6375" s="6">
        <v>14.07</v>
      </c>
      <c r="AB6375" s="2" t="s">
        <v>86</v>
      </c>
      <c r="AC6375" s="5">
        <v>30.3</v>
      </c>
    </row>
    <row r="6376" spans="1:29" ht="221" x14ac:dyDescent="0.15">
      <c r="A6376" s="3">
        <f>DATE(2001,10,30)</f>
        <v>37194</v>
      </c>
      <c r="B6376" s="3">
        <f>DATE(2001,12,12)</f>
        <v>37237</v>
      </c>
      <c r="C6376" s="2" t="s">
        <v>95</v>
      </c>
      <c r="D6376" s="2" t="s">
        <v>19476</v>
      </c>
      <c r="E6376" s="2" t="s">
        <v>19477</v>
      </c>
      <c r="F6376" s="4">
        <v>2033</v>
      </c>
      <c r="G6376" s="2" t="s">
        <v>577</v>
      </c>
      <c r="H6376" s="2" t="s">
        <v>34</v>
      </c>
      <c r="I6376" s="2" t="s">
        <v>18087</v>
      </c>
      <c r="J6376" s="2" t="s">
        <v>18088</v>
      </c>
      <c r="K6376" s="2" t="s">
        <v>577</v>
      </c>
      <c r="L6376" s="2" t="s">
        <v>34</v>
      </c>
      <c r="M6376" s="12">
        <v>114852.322</v>
      </c>
      <c r="N6376" s="6">
        <v>48.16</v>
      </c>
      <c r="O6376" s="6">
        <v>47.88</v>
      </c>
      <c r="P6376" s="2" t="s">
        <v>19478</v>
      </c>
      <c r="Q6376" s="6">
        <v>100</v>
      </c>
      <c r="R6376" s="6">
        <v>15.25</v>
      </c>
      <c r="S6376" s="5">
        <v>-0.4</v>
      </c>
      <c r="T6376" s="5">
        <v>11.5</v>
      </c>
      <c r="U6376" s="5">
        <v>5.5</v>
      </c>
      <c r="V6376" s="6">
        <v>-0.04</v>
      </c>
      <c r="W6376" s="6">
        <v>6.51</v>
      </c>
      <c r="X6376" s="5">
        <v>6.8</v>
      </c>
      <c r="Y6376" s="6">
        <v>10.050000000000001</v>
      </c>
      <c r="Z6376" s="5">
        <v>10.5</v>
      </c>
      <c r="AA6376" s="6">
        <v>11.07</v>
      </c>
      <c r="AB6376" s="7">
        <v>51.935000000000002</v>
      </c>
      <c r="AC6376" s="8">
        <v>2495</v>
      </c>
    </row>
    <row r="6377" spans="1:29" ht="65" x14ac:dyDescent="0.15">
      <c r="A6377" s="3">
        <f>DATE(2001,11,1)</f>
        <v>37196</v>
      </c>
      <c r="B6377" s="3">
        <f>DATE(2002,2,21)</f>
        <v>37308</v>
      </c>
      <c r="C6377" s="2" t="s">
        <v>95</v>
      </c>
      <c r="D6377" s="2" t="s">
        <v>19479</v>
      </c>
      <c r="E6377" s="2" t="s">
        <v>92</v>
      </c>
      <c r="F6377" s="4">
        <v>6798</v>
      </c>
      <c r="G6377" s="2" t="s">
        <v>53</v>
      </c>
      <c r="H6377" s="2" t="s">
        <v>34</v>
      </c>
      <c r="I6377" s="2" t="s">
        <v>19480</v>
      </c>
      <c r="J6377" s="2" t="s">
        <v>244</v>
      </c>
      <c r="K6377" s="2" t="s">
        <v>53</v>
      </c>
      <c r="L6377" s="2" t="s">
        <v>34</v>
      </c>
      <c r="M6377" s="2"/>
      <c r="N6377" s="2"/>
      <c r="O6377" s="2"/>
      <c r="P6377" s="2" t="s">
        <v>19481</v>
      </c>
      <c r="Q6377" s="6">
        <v>17</v>
      </c>
      <c r="R6377" s="2"/>
      <c r="S6377" s="5">
        <v>-13.9</v>
      </c>
      <c r="T6377" s="5">
        <v>36.799999999999997</v>
      </c>
      <c r="U6377" s="5">
        <v>12.2</v>
      </c>
      <c r="V6377" s="6">
        <v>-3.96</v>
      </c>
      <c r="W6377" s="6">
        <v>3.25</v>
      </c>
      <c r="X6377" s="6">
        <v>3.22</v>
      </c>
      <c r="Y6377" s="5">
        <v>3.3</v>
      </c>
      <c r="Z6377" s="6">
        <v>3.35</v>
      </c>
      <c r="AA6377" s="6">
        <v>20.07</v>
      </c>
      <c r="AB6377" s="7">
        <v>64.218000000000004</v>
      </c>
      <c r="AC6377" s="2"/>
    </row>
    <row r="6378" spans="1:29" ht="130" x14ac:dyDescent="0.15">
      <c r="A6378" s="3">
        <f>DATE(2001,11,2)</f>
        <v>37197</v>
      </c>
      <c r="B6378" s="3">
        <f>DATE(2002,2,13)</f>
        <v>37300</v>
      </c>
      <c r="C6378" s="2" t="s">
        <v>95</v>
      </c>
      <c r="D6378" s="2" t="s">
        <v>19482</v>
      </c>
      <c r="E6378" s="2" t="s">
        <v>19483</v>
      </c>
      <c r="F6378" s="4">
        <v>2869</v>
      </c>
      <c r="G6378" s="2" t="s">
        <v>98</v>
      </c>
      <c r="H6378" s="2" t="s">
        <v>34</v>
      </c>
      <c r="I6378" s="2" t="s">
        <v>19484</v>
      </c>
      <c r="J6378" s="2" t="s">
        <v>19485</v>
      </c>
      <c r="K6378" s="2" t="s">
        <v>439</v>
      </c>
      <c r="L6378" s="2" t="s">
        <v>8464</v>
      </c>
      <c r="M6378" s="2"/>
      <c r="N6378" s="2"/>
      <c r="O6378" s="2"/>
      <c r="P6378" s="2" t="s">
        <v>19486</v>
      </c>
      <c r="Q6378" s="6">
        <v>100</v>
      </c>
      <c r="R6378" s="6">
        <v>5.63</v>
      </c>
      <c r="S6378" s="5">
        <v>4.9000000000000004</v>
      </c>
      <c r="T6378" s="5">
        <v>13.3</v>
      </c>
      <c r="U6378" s="5">
        <v>3.7</v>
      </c>
      <c r="V6378" s="6">
        <v>0.28999999999999998</v>
      </c>
      <c r="W6378" s="6">
        <v>3.96</v>
      </c>
      <c r="X6378" s="6">
        <v>4.29</v>
      </c>
      <c r="Y6378" s="6">
        <v>5.58</v>
      </c>
      <c r="Z6378" s="6">
        <v>5.58</v>
      </c>
      <c r="AA6378" s="6">
        <v>16.39</v>
      </c>
      <c r="AB6378" s="7">
        <v>12.243</v>
      </c>
      <c r="AC6378" s="6">
        <v>276.04000000000002</v>
      </c>
    </row>
    <row r="6379" spans="1:29" ht="195" x14ac:dyDescent="0.15">
      <c r="A6379" s="3">
        <f>DATE(2001,11,6)</f>
        <v>37201</v>
      </c>
      <c r="B6379" s="3">
        <f>DATE(2002,2,11)</f>
        <v>37298</v>
      </c>
      <c r="C6379" s="2" t="s">
        <v>95</v>
      </c>
      <c r="D6379" s="2" t="s">
        <v>16176</v>
      </c>
      <c r="E6379" s="2" t="s">
        <v>5102</v>
      </c>
      <c r="F6379" s="4">
        <v>7372</v>
      </c>
      <c r="G6379" s="2" t="s">
        <v>551</v>
      </c>
      <c r="H6379" s="2" t="s">
        <v>34</v>
      </c>
      <c r="I6379" s="2" t="s">
        <v>51</v>
      </c>
      <c r="J6379" s="2" t="s">
        <v>52</v>
      </c>
      <c r="K6379" s="2" t="s">
        <v>53</v>
      </c>
      <c r="L6379" s="2" t="s">
        <v>34</v>
      </c>
      <c r="M6379" s="2"/>
      <c r="N6379" s="2"/>
      <c r="O6379" s="2"/>
      <c r="P6379" s="2" t="s">
        <v>19487</v>
      </c>
      <c r="Q6379" s="6">
        <v>86.07</v>
      </c>
      <c r="R6379" s="6">
        <v>1.85</v>
      </c>
      <c r="S6379" s="5">
        <v>-63.9</v>
      </c>
      <c r="T6379" s="5">
        <v>-24.7</v>
      </c>
      <c r="U6379" s="5">
        <v>4</v>
      </c>
      <c r="V6379" s="6">
        <v>-11.04</v>
      </c>
      <c r="W6379" s="6">
        <v>1.75</v>
      </c>
      <c r="X6379" s="6">
        <v>1.75</v>
      </c>
      <c r="Y6379" s="6">
        <v>1.74</v>
      </c>
      <c r="Z6379" s="5">
        <v>1.7</v>
      </c>
      <c r="AA6379" s="6">
        <v>5.84</v>
      </c>
      <c r="AB6379" s="2" t="s">
        <v>86</v>
      </c>
      <c r="AC6379" s="2"/>
    </row>
    <row r="6380" spans="1:29" ht="169" x14ac:dyDescent="0.15">
      <c r="A6380" s="3">
        <f>DATE(2001,11,6)</f>
        <v>37201</v>
      </c>
      <c r="B6380" s="3">
        <f>DATE(2002,4,26)</f>
        <v>37372</v>
      </c>
      <c r="C6380" s="2" t="s">
        <v>95</v>
      </c>
      <c r="D6380" s="2" t="s">
        <v>19488</v>
      </c>
      <c r="E6380" s="2" t="s">
        <v>92</v>
      </c>
      <c r="F6380" s="4">
        <v>6798</v>
      </c>
      <c r="G6380" s="2" t="s">
        <v>53</v>
      </c>
      <c r="H6380" s="2" t="s">
        <v>34</v>
      </c>
      <c r="I6380" s="2" t="s">
        <v>16608</v>
      </c>
      <c r="J6380" s="2" t="s">
        <v>16609</v>
      </c>
      <c r="K6380" s="2" t="s">
        <v>109</v>
      </c>
      <c r="L6380" s="2" t="s">
        <v>34</v>
      </c>
      <c r="M6380" s="12">
        <v>87664.034</v>
      </c>
      <c r="N6380" s="4">
        <v>900</v>
      </c>
      <c r="O6380" s="4">
        <v>925</v>
      </c>
      <c r="P6380" s="2" t="s">
        <v>19489</v>
      </c>
      <c r="Q6380" s="6">
        <v>62.44</v>
      </c>
      <c r="R6380" s="6">
        <v>42.7</v>
      </c>
      <c r="S6380" s="5">
        <v>64.2</v>
      </c>
      <c r="T6380" s="5">
        <v>171.1</v>
      </c>
      <c r="U6380" s="5">
        <v>23.9</v>
      </c>
      <c r="V6380" s="6">
        <v>2.31</v>
      </c>
      <c r="W6380" s="6">
        <v>39.75</v>
      </c>
      <c r="X6380" s="5">
        <v>39.799999999999997</v>
      </c>
      <c r="Y6380" s="5">
        <v>42.8</v>
      </c>
      <c r="Z6380" s="6">
        <v>42.89</v>
      </c>
      <c r="AA6380" s="6">
        <v>27.39</v>
      </c>
      <c r="AB6380" s="7">
        <v>16.143000000000001</v>
      </c>
      <c r="AC6380" s="8">
        <v>1468</v>
      </c>
    </row>
    <row r="6381" spans="1:29" ht="286" x14ac:dyDescent="0.15">
      <c r="A6381" s="3">
        <f>DATE(2001,11,7)</f>
        <v>37202</v>
      </c>
      <c r="B6381" s="3">
        <f>DATE(2002,1,7)</f>
        <v>37263</v>
      </c>
      <c r="C6381" s="2" t="s">
        <v>95</v>
      </c>
      <c r="D6381" s="2" t="s">
        <v>19490</v>
      </c>
      <c r="E6381" s="2" t="s">
        <v>19491</v>
      </c>
      <c r="F6381" s="4">
        <v>4939</v>
      </c>
      <c r="G6381" s="2" t="s">
        <v>439</v>
      </c>
      <c r="H6381" s="2" t="s">
        <v>34</v>
      </c>
      <c r="I6381" s="2" t="s">
        <v>7414</v>
      </c>
      <c r="J6381" s="2" t="s">
        <v>2754</v>
      </c>
      <c r="K6381" s="2" t="s">
        <v>439</v>
      </c>
      <c r="L6381" s="2" t="s">
        <v>34</v>
      </c>
      <c r="M6381" s="12">
        <v>3437.0659999999998</v>
      </c>
      <c r="N6381" s="6">
        <v>28.65</v>
      </c>
      <c r="O6381" s="6">
        <v>27.75</v>
      </c>
      <c r="P6381" s="2" t="s">
        <v>19492</v>
      </c>
      <c r="Q6381" s="6">
        <v>20</v>
      </c>
      <c r="R6381" s="6">
        <v>20.69</v>
      </c>
      <c r="S6381" s="5">
        <v>97.6</v>
      </c>
      <c r="T6381" s="5">
        <v>198.4</v>
      </c>
      <c r="U6381" s="5">
        <v>5.3</v>
      </c>
      <c r="V6381" s="6">
        <v>1.1399999999999999</v>
      </c>
      <c r="W6381" s="6">
        <v>18.350000000000001</v>
      </c>
      <c r="X6381" s="6">
        <v>17.989999999999998</v>
      </c>
      <c r="Y6381" s="6">
        <v>20.55</v>
      </c>
      <c r="Z6381" s="6">
        <v>19.95</v>
      </c>
      <c r="AA6381" s="6">
        <v>100.1</v>
      </c>
      <c r="AB6381" s="7">
        <v>11.363</v>
      </c>
      <c r="AC6381" s="5">
        <v>811.3</v>
      </c>
    </row>
    <row r="6382" spans="1:29" ht="91" x14ac:dyDescent="0.15">
      <c r="A6382" s="3">
        <f>DATE(2001,11,7)</f>
        <v>37202</v>
      </c>
      <c r="B6382" s="3">
        <f>DATE(2001,11,30)</f>
        <v>37225</v>
      </c>
      <c r="C6382" s="2" t="s">
        <v>95</v>
      </c>
      <c r="D6382" s="2" t="s">
        <v>19493</v>
      </c>
      <c r="E6382" s="2" t="s">
        <v>11753</v>
      </c>
      <c r="F6382" s="4">
        <v>7372</v>
      </c>
      <c r="G6382" s="2" t="s">
        <v>551</v>
      </c>
      <c r="H6382" s="2" t="s">
        <v>34</v>
      </c>
      <c r="I6382" s="2" t="s">
        <v>19494</v>
      </c>
      <c r="J6382" s="2" t="s">
        <v>244</v>
      </c>
      <c r="K6382" s="2" t="s">
        <v>53</v>
      </c>
      <c r="L6382" s="2" t="s">
        <v>34</v>
      </c>
      <c r="M6382" s="2"/>
      <c r="N6382" s="2"/>
      <c r="O6382" s="2"/>
      <c r="P6382" s="2" t="s">
        <v>19495</v>
      </c>
      <c r="Q6382" s="6">
        <v>35.020000000000003</v>
      </c>
      <c r="R6382" s="6">
        <v>1.25</v>
      </c>
      <c r="S6382" s="5">
        <v>-19.8</v>
      </c>
      <c r="T6382" s="6">
        <v>-17.329999999999998</v>
      </c>
      <c r="U6382" s="5">
        <v>0.1</v>
      </c>
      <c r="V6382" s="6">
        <v>-1.73</v>
      </c>
      <c r="W6382" s="6">
        <v>1.26</v>
      </c>
      <c r="X6382" s="5">
        <v>1.1000000000000001</v>
      </c>
      <c r="Y6382" s="5">
        <v>1.1000000000000001</v>
      </c>
      <c r="Z6382" s="7">
        <v>1.2410000000000001</v>
      </c>
      <c r="AA6382" s="6">
        <v>11.42</v>
      </c>
      <c r="AB6382" s="2" t="s">
        <v>86</v>
      </c>
      <c r="AC6382" s="2"/>
    </row>
    <row r="6383" spans="1:29" ht="117" x14ac:dyDescent="0.15">
      <c r="A6383" s="3">
        <f>DATE(2001,11,8)</f>
        <v>37203</v>
      </c>
      <c r="B6383" s="3">
        <f>DATE(2002,3,21)</f>
        <v>37336</v>
      </c>
      <c r="C6383" s="2" t="s">
        <v>95</v>
      </c>
      <c r="D6383" s="2" t="s">
        <v>9641</v>
      </c>
      <c r="E6383" s="2" t="s">
        <v>263</v>
      </c>
      <c r="F6383" s="4">
        <v>6029</v>
      </c>
      <c r="G6383" s="2" t="s">
        <v>37</v>
      </c>
      <c r="H6383" s="2" t="s">
        <v>34</v>
      </c>
      <c r="I6383" s="2" t="s">
        <v>13707</v>
      </c>
      <c r="J6383" s="2" t="s">
        <v>36</v>
      </c>
      <c r="K6383" s="2" t="s">
        <v>37</v>
      </c>
      <c r="L6383" s="2" t="s">
        <v>34</v>
      </c>
      <c r="M6383" s="12">
        <v>14187.353999999999</v>
      </c>
      <c r="N6383" s="6">
        <v>33.94</v>
      </c>
      <c r="O6383" s="6">
        <v>33.97</v>
      </c>
      <c r="P6383" s="2" t="s">
        <v>19496</v>
      </c>
      <c r="Q6383" s="6">
        <v>100</v>
      </c>
      <c r="R6383" s="6">
        <v>18.71</v>
      </c>
      <c r="S6383" s="5">
        <v>32.700000000000003</v>
      </c>
      <c r="T6383" s="5">
        <v>59.4</v>
      </c>
      <c r="U6383" s="5">
        <v>12.6</v>
      </c>
      <c r="V6383" s="6">
        <v>1.34</v>
      </c>
      <c r="W6383" s="5">
        <v>17.3</v>
      </c>
      <c r="X6383" s="5">
        <v>17.2</v>
      </c>
      <c r="Y6383" s="6">
        <v>18.28</v>
      </c>
      <c r="Z6383" s="6">
        <v>18.22</v>
      </c>
      <c r="AA6383" s="6">
        <v>24.32</v>
      </c>
      <c r="AB6383" s="7">
        <v>63.601999999999997</v>
      </c>
      <c r="AC6383" s="8">
        <v>1985.4</v>
      </c>
    </row>
    <row r="6384" spans="1:29" ht="117" x14ac:dyDescent="0.15">
      <c r="A6384" s="3">
        <f>DATE(2001,11,8)</f>
        <v>37203</v>
      </c>
      <c r="B6384" s="3">
        <f>DATE(2002,3,12)</f>
        <v>37327</v>
      </c>
      <c r="C6384" s="2" t="s">
        <v>95</v>
      </c>
      <c r="D6384" s="2" t="s">
        <v>19497</v>
      </c>
      <c r="E6384" s="2" t="s">
        <v>36</v>
      </c>
      <c r="F6384" s="4">
        <v>6022</v>
      </c>
      <c r="G6384" s="2" t="s">
        <v>37</v>
      </c>
      <c r="H6384" s="2" t="s">
        <v>34</v>
      </c>
      <c r="I6384" s="2" t="s">
        <v>13707</v>
      </c>
      <c r="J6384" s="2" t="s">
        <v>36</v>
      </c>
      <c r="K6384" s="2" t="s">
        <v>37</v>
      </c>
      <c r="L6384" s="2" t="s">
        <v>34</v>
      </c>
      <c r="M6384" s="12">
        <v>14187.353999999999</v>
      </c>
      <c r="N6384" s="6">
        <v>33.94</v>
      </c>
      <c r="O6384" s="6">
        <v>33.97</v>
      </c>
      <c r="P6384" s="2" t="s">
        <v>19498</v>
      </c>
      <c r="Q6384" s="6">
        <v>100</v>
      </c>
      <c r="R6384" s="6">
        <v>24.45</v>
      </c>
      <c r="S6384" s="5">
        <v>3</v>
      </c>
      <c r="T6384" s="5">
        <v>-0.5</v>
      </c>
      <c r="U6384" s="5">
        <v>17.3</v>
      </c>
      <c r="V6384" s="6">
        <v>0.27</v>
      </c>
      <c r="W6384" s="6">
        <v>23.59</v>
      </c>
      <c r="X6384" s="6">
        <v>24.15</v>
      </c>
      <c r="Y6384" s="6">
        <v>31.77</v>
      </c>
      <c r="Z6384" s="6">
        <v>31.85</v>
      </c>
      <c r="AA6384" s="6">
        <v>11.07</v>
      </c>
      <c r="AB6384" s="7">
        <v>3353.3820000000001</v>
      </c>
      <c r="AC6384" s="8">
        <v>1985.4</v>
      </c>
    </row>
    <row r="6385" spans="1:29" ht="260" x14ac:dyDescent="0.15">
      <c r="A6385" s="3">
        <f>DATE(2001,11,9)</f>
        <v>37204</v>
      </c>
      <c r="B6385" s="2"/>
      <c r="C6385" s="2" t="s">
        <v>30</v>
      </c>
      <c r="D6385" s="2" t="s">
        <v>8262</v>
      </c>
      <c r="E6385" s="2" t="s">
        <v>8263</v>
      </c>
      <c r="F6385" s="4">
        <v>1311</v>
      </c>
      <c r="G6385" s="2" t="s">
        <v>148</v>
      </c>
      <c r="H6385" s="2" t="s">
        <v>34</v>
      </c>
      <c r="I6385" s="2" t="s">
        <v>14627</v>
      </c>
      <c r="J6385" s="2" t="s">
        <v>1977</v>
      </c>
      <c r="K6385" s="2" t="s">
        <v>439</v>
      </c>
      <c r="L6385" s="2" t="s">
        <v>34</v>
      </c>
      <c r="M6385" s="12">
        <v>14226.752</v>
      </c>
      <c r="N6385" s="6">
        <v>38.76</v>
      </c>
      <c r="O6385" s="6">
        <v>44.31</v>
      </c>
      <c r="P6385" s="2" t="s">
        <v>19499</v>
      </c>
      <c r="Q6385" s="2"/>
      <c r="R6385" s="6">
        <v>9.8000000000000007</v>
      </c>
      <c r="S6385" s="5">
        <v>226</v>
      </c>
      <c r="T6385" s="8">
        <v>2770</v>
      </c>
      <c r="U6385" s="5">
        <v>11.4</v>
      </c>
      <c r="V6385" s="6">
        <v>0.1</v>
      </c>
      <c r="W6385" s="5">
        <v>11.3</v>
      </c>
      <c r="X6385" s="6">
        <v>8.41</v>
      </c>
      <c r="Y6385" s="6">
        <v>8.6300000000000008</v>
      </c>
      <c r="Z6385" s="6">
        <v>9.24</v>
      </c>
      <c r="AA6385" s="6">
        <v>749.86</v>
      </c>
      <c r="AB6385" s="7">
        <v>11.855</v>
      </c>
      <c r="AC6385" s="5">
        <v>237</v>
      </c>
    </row>
    <row r="6386" spans="1:29" ht="65" x14ac:dyDescent="0.15">
      <c r="A6386" s="3">
        <f>DATE(2001,11,9)</f>
        <v>37204</v>
      </c>
      <c r="B6386" s="2"/>
      <c r="C6386" s="2" t="s">
        <v>30</v>
      </c>
      <c r="D6386" s="2" t="s">
        <v>19500</v>
      </c>
      <c r="E6386" s="2" t="s">
        <v>19501</v>
      </c>
      <c r="F6386" s="4">
        <v>6331</v>
      </c>
      <c r="G6386" s="2" t="s">
        <v>125</v>
      </c>
      <c r="H6386" s="2" t="s">
        <v>34</v>
      </c>
      <c r="I6386" s="2" t="s">
        <v>19502</v>
      </c>
      <c r="J6386" s="2" t="s">
        <v>19503</v>
      </c>
      <c r="K6386" s="2" t="s">
        <v>125</v>
      </c>
      <c r="L6386" s="2" t="s">
        <v>34</v>
      </c>
      <c r="M6386" s="7">
        <v>261.81200000000001</v>
      </c>
      <c r="N6386" s="6">
        <v>15.82</v>
      </c>
      <c r="O6386" s="5">
        <v>15.7</v>
      </c>
      <c r="P6386" s="2" t="s">
        <v>19504</v>
      </c>
      <c r="Q6386" s="2"/>
      <c r="R6386" s="6">
        <v>3.1</v>
      </c>
      <c r="S6386" s="5">
        <v>-16</v>
      </c>
      <c r="T6386" s="2"/>
      <c r="U6386" s="5">
        <v>7.3</v>
      </c>
      <c r="V6386" s="6">
        <v>-2.94</v>
      </c>
      <c r="W6386" s="6">
        <v>1.35</v>
      </c>
      <c r="X6386" s="6">
        <v>1.29</v>
      </c>
      <c r="Y6386" s="6">
        <v>2.5099999999999998</v>
      </c>
      <c r="Z6386" s="6">
        <v>2.73</v>
      </c>
      <c r="AA6386" s="6">
        <v>10.31</v>
      </c>
      <c r="AB6386" s="2" t="s">
        <v>86</v>
      </c>
      <c r="AC6386" s="5">
        <v>255.9</v>
      </c>
    </row>
    <row r="6387" spans="1:29" ht="65" x14ac:dyDescent="0.15">
      <c r="A6387" s="3">
        <f>DATE(2001,11,9)</f>
        <v>37204</v>
      </c>
      <c r="B6387" s="3">
        <f>DATE(2001,12,27)</f>
        <v>37252</v>
      </c>
      <c r="C6387" s="2" t="s">
        <v>95</v>
      </c>
      <c r="D6387" s="2" t="s">
        <v>19505</v>
      </c>
      <c r="E6387" s="2" t="s">
        <v>19506</v>
      </c>
      <c r="F6387" s="4">
        <v>3554</v>
      </c>
      <c r="G6387" s="2" t="s">
        <v>300</v>
      </c>
      <c r="H6387" s="2" t="s">
        <v>34</v>
      </c>
      <c r="I6387" s="2" t="s">
        <v>19507</v>
      </c>
      <c r="J6387" s="2" t="s">
        <v>19508</v>
      </c>
      <c r="K6387" s="2" t="s">
        <v>300</v>
      </c>
      <c r="L6387" s="2" t="s">
        <v>34</v>
      </c>
      <c r="M6387" s="6">
        <v>162.01</v>
      </c>
      <c r="N6387" s="5">
        <v>13.5</v>
      </c>
      <c r="O6387" s="6">
        <v>13.45</v>
      </c>
      <c r="P6387" s="2" t="s">
        <v>19509</v>
      </c>
      <c r="Q6387" s="6">
        <v>4.68</v>
      </c>
      <c r="R6387" s="6">
        <v>12.75</v>
      </c>
      <c r="S6387" s="5">
        <v>-2.6</v>
      </c>
      <c r="T6387" s="7">
        <v>-3.641</v>
      </c>
      <c r="U6387" s="5">
        <v>0.4</v>
      </c>
      <c r="V6387" s="6">
        <v>-0.22</v>
      </c>
      <c r="W6387" s="4">
        <v>12</v>
      </c>
      <c r="X6387" s="6">
        <v>11.85</v>
      </c>
      <c r="Y6387" s="6">
        <v>12.52</v>
      </c>
      <c r="Z6387" s="6">
        <v>12.52</v>
      </c>
      <c r="AA6387" s="6">
        <v>10.52</v>
      </c>
      <c r="AB6387" s="2" t="s">
        <v>86</v>
      </c>
      <c r="AC6387" s="6">
        <v>164.2</v>
      </c>
    </row>
    <row r="6388" spans="1:29" ht="156" x14ac:dyDescent="0.15">
      <c r="A6388" s="3">
        <f>DATE(2001,11,13)</f>
        <v>37208</v>
      </c>
      <c r="B6388" s="3">
        <f>DATE(2002,4,16)</f>
        <v>37362</v>
      </c>
      <c r="C6388" s="2" t="s">
        <v>95</v>
      </c>
      <c r="D6388" s="2" t="s">
        <v>13024</v>
      </c>
      <c r="E6388" s="2" t="s">
        <v>36</v>
      </c>
      <c r="F6388" s="4">
        <v>6022</v>
      </c>
      <c r="G6388" s="2" t="s">
        <v>37</v>
      </c>
      <c r="H6388" s="2" t="s">
        <v>34</v>
      </c>
      <c r="I6388" s="2" t="s">
        <v>19510</v>
      </c>
      <c r="J6388" s="2" t="s">
        <v>159</v>
      </c>
      <c r="K6388" s="2" t="s">
        <v>37</v>
      </c>
      <c r="L6388" s="2" t="s">
        <v>34</v>
      </c>
      <c r="M6388" s="7">
        <v>223.08600000000001</v>
      </c>
      <c r="N6388" s="6">
        <v>18.25</v>
      </c>
      <c r="O6388" s="6">
        <v>18.440000000000001</v>
      </c>
      <c r="P6388" s="2" t="s">
        <v>19511</v>
      </c>
      <c r="Q6388" s="6">
        <v>100</v>
      </c>
      <c r="R6388" s="6">
        <v>33.18</v>
      </c>
      <c r="S6388" s="5">
        <v>2.1</v>
      </c>
      <c r="T6388" s="5">
        <v>3.7</v>
      </c>
      <c r="U6388" s="5">
        <v>15.2</v>
      </c>
      <c r="V6388" s="6">
        <v>1.75</v>
      </c>
      <c r="W6388" s="6">
        <v>18.170000000000002</v>
      </c>
      <c r="X6388" s="6">
        <v>18.27</v>
      </c>
      <c r="Y6388" s="6">
        <v>30.85</v>
      </c>
      <c r="Z6388" s="5">
        <v>31.2</v>
      </c>
      <c r="AA6388" s="6">
        <v>1.21</v>
      </c>
      <c r="AB6388" s="7">
        <v>55.375</v>
      </c>
      <c r="AC6388" s="5">
        <v>57.7</v>
      </c>
    </row>
    <row r="6389" spans="1:29" ht="91" x14ac:dyDescent="0.15">
      <c r="A6389" s="3">
        <f>DATE(2001,11,14)</f>
        <v>37209</v>
      </c>
      <c r="B6389" s="2"/>
      <c r="C6389" s="2" t="s">
        <v>30</v>
      </c>
      <c r="D6389" s="2" t="s">
        <v>17006</v>
      </c>
      <c r="E6389" s="2" t="s">
        <v>263</v>
      </c>
      <c r="F6389" s="4">
        <v>6021</v>
      </c>
      <c r="G6389" s="2" t="s">
        <v>37</v>
      </c>
      <c r="H6389" s="2" t="s">
        <v>34</v>
      </c>
      <c r="I6389" s="2" t="s">
        <v>35</v>
      </c>
      <c r="J6389" s="2" t="s">
        <v>36</v>
      </c>
      <c r="K6389" s="2" t="s">
        <v>37</v>
      </c>
      <c r="L6389" s="2" t="s">
        <v>34</v>
      </c>
      <c r="M6389" s="7">
        <v>740.06399999999996</v>
      </c>
      <c r="N6389" s="6">
        <v>11.76</v>
      </c>
      <c r="O6389" s="5">
        <v>11.5</v>
      </c>
      <c r="P6389" s="2" t="s">
        <v>19512</v>
      </c>
      <c r="Q6389" s="2"/>
      <c r="R6389" s="6">
        <v>28</v>
      </c>
      <c r="S6389" s="5">
        <v>9.1</v>
      </c>
      <c r="T6389" s="5">
        <v>17.399999999999999</v>
      </c>
      <c r="U6389" s="5">
        <v>14.8</v>
      </c>
      <c r="V6389" s="6">
        <v>0.91</v>
      </c>
      <c r="W6389" s="6">
        <v>21.66</v>
      </c>
      <c r="X6389" s="5">
        <v>21.9</v>
      </c>
      <c r="Y6389" s="5">
        <v>22.4</v>
      </c>
      <c r="Z6389" s="6">
        <v>22.61</v>
      </c>
      <c r="AA6389" s="6">
        <v>9.76</v>
      </c>
      <c r="AB6389" s="7">
        <v>93.198999999999998</v>
      </c>
      <c r="AC6389" s="5">
        <v>353.6</v>
      </c>
    </row>
    <row r="6390" spans="1:29" ht="169" x14ac:dyDescent="0.15">
      <c r="A6390" s="3">
        <f>DATE(2001,11,15)</f>
        <v>37210</v>
      </c>
      <c r="B6390" s="3">
        <f>DATE(2002,1,24)</f>
        <v>37280</v>
      </c>
      <c r="C6390" s="2" t="s">
        <v>95</v>
      </c>
      <c r="D6390" s="2" t="s">
        <v>19513</v>
      </c>
      <c r="E6390" s="2" t="s">
        <v>5232</v>
      </c>
      <c r="F6390" s="4">
        <v>3577</v>
      </c>
      <c r="G6390" s="2" t="s">
        <v>50</v>
      </c>
      <c r="H6390" s="2" t="s">
        <v>34</v>
      </c>
      <c r="I6390" s="2" t="s">
        <v>2220</v>
      </c>
      <c r="J6390" s="2" t="s">
        <v>2221</v>
      </c>
      <c r="K6390" s="2" t="s">
        <v>226</v>
      </c>
      <c r="L6390" s="2" t="s">
        <v>34</v>
      </c>
      <c r="M6390" s="12">
        <v>9952.6910000000007</v>
      </c>
      <c r="N6390" s="6">
        <v>28.62</v>
      </c>
      <c r="O6390" s="6">
        <v>29.23</v>
      </c>
      <c r="P6390" s="2" t="s">
        <v>19514</v>
      </c>
      <c r="Q6390" s="6">
        <v>100</v>
      </c>
      <c r="R6390" s="6">
        <v>2</v>
      </c>
      <c r="S6390" s="5">
        <v>-8.6</v>
      </c>
      <c r="T6390" s="5">
        <v>-4.3</v>
      </c>
      <c r="U6390" s="5">
        <v>2.5</v>
      </c>
      <c r="V6390" s="6">
        <v>-0.73</v>
      </c>
      <c r="W6390" s="6">
        <v>1.44</v>
      </c>
      <c r="X6390" s="6">
        <v>1.85</v>
      </c>
      <c r="Y6390" s="6">
        <v>1.91</v>
      </c>
      <c r="Z6390" s="6">
        <v>1.92</v>
      </c>
      <c r="AA6390" s="6">
        <v>12</v>
      </c>
      <c r="AB6390" s="2" t="s">
        <v>86</v>
      </c>
      <c r="AC6390" s="5">
        <v>252</v>
      </c>
    </row>
    <row r="6391" spans="1:29" ht="156" x14ac:dyDescent="0.15">
      <c r="A6391" s="3">
        <f>DATE(2001,11,15)</f>
        <v>37210</v>
      </c>
      <c r="B6391" s="2"/>
      <c r="C6391" s="2" t="s">
        <v>30</v>
      </c>
      <c r="D6391" s="2" t="s">
        <v>19515</v>
      </c>
      <c r="E6391" s="2" t="s">
        <v>18837</v>
      </c>
      <c r="F6391" s="4">
        <v>8731</v>
      </c>
      <c r="G6391" s="2" t="s">
        <v>223</v>
      </c>
      <c r="H6391" s="2" t="s">
        <v>34</v>
      </c>
      <c r="I6391" s="2" t="s">
        <v>19516</v>
      </c>
      <c r="J6391" s="2" t="s">
        <v>13768</v>
      </c>
      <c r="K6391" s="2" t="s">
        <v>223</v>
      </c>
      <c r="L6391" s="2" t="s">
        <v>34</v>
      </c>
      <c r="M6391" s="7">
        <v>14.352</v>
      </c>
      <c r="N6391" s="6">
        <v>0.06</v>
      </c>
      <c r="O6391" s="6">
        <v>0.05</v>
      </c>
      <c r="P6391" s="2" t="s">
        <v>19517</v>
      </c>
      <c r="Q6391" s="2"/>
      <c r="R6391" s="6">
        <v>2.0499999999999998</v>
      </c>
      <c r="S6391" s="5">
        <v>-5.6</v>
      </c>
      <c r="T6391" s="6">
        <v>-1.65</v>
      </c>
      <c r="U6391" s="5">
        <v>0.6</v>
      </c>
      <c r="V6391" s="9">
        <v>-1.7233000000000001</v>
      </c>
      <c r="W6391" s="5">
        <v>4.4000000000000004</v>
      </c>
      <c r="X6391" s="5">
        <v>4.3</v>
      </c>
      <c r="Y6391" s="6">
        <v>4.42</v>
      </c>
      <c r="Z6391" s="6">
        <v>4.45</v>
      </c>
      <c r="AA6391" s="6">
        <v>1.07</v>
      </c>
      <c r="AB6391" s="2" t="s">
        <v>86</v>
      </c>
      <c r="AC6391" s="6">
        <v>11.08</v>
      </c>
    </row>
    <row r="6392" spans="1:29" ht="182" x14ac:dyDescent="0.15">
      <c r="A6392" s="3">
        <f>DATE(2001,11,16)</f>
        <v>37211</v>
      </c>
      <c r="B6392" s="3">
        <f>DATE(2002,3,29)</f>
        <v>37344</v>
      </c>
      <c r="C6392" s="2" t="s">
        <v>95</v>
      </c>
      <c r="D6392" s="2" t="s">
        <v>19518</v>
      </c>
      <c r="E6392" s="2" t="s">
        <v>36</v>
      </c>
      <c r="F6392" s="4">
        <v>6712</v>
      </c>
      <c r="G6392" s="2" t="s">
        <v>37</v>
      </c>
      <c r="H6392" s="2" t="s">
        <v>34</v>
      </c>
      <c r="I6392" s="2" t="s">
        <v>19519</v>
      </c>
      <c r="J6392" s="2" t="s">
        <v>36</v>
      </c>
      <c r="K6392" s="2" t="s">
        <v>37</v>
      </c>
      <c r="L6392" s="2" t="s">
        <v>34</v>
      </c>
      <c r="M6392" s="7">
        <v>116.886</v>
      </c>
      <c r="N6392" s="5">
        <v>14.5</v>
      </c>
      <c r="O6392" s="6">
        <v>14.25</v>
      </c>
      <c r="P6392" s="2" t="s">
        <v>19520</v>
      </c>
      <c r="Q6392" s="6">
        <v>53.32</v>
      </c>
      <c r="R6392" s="6">
        <v>10.55</v>
      </c>
      <c r="S6392" s="5">
        <v>1.8</v>
      </c>
      <c r="T6392" s="2"/>
      <c r="U6392" s="5">
        <v>9.4</v>
      </c>
      <c r="V6392" s="6">
        <v>0.3</v>
      </c>
      <c r="W6392" s="6">
        <v>10.49</v>
      </c>
      <c r="X6392" s="4">
        <v>10</v>
      </c>
      <c r="Y6392" s="4">
        <v>10</v>
      </c>
      <c r="Z6392" s="6">
        <v>9.86</v>
      </c>
      <c r="AA6392" s="6">
        <v>6.24</v>
      </c>
      <c r="AB6392" s="7">
        <v>2.8359999999999999</v>
      </c>
      <c r="AC6392" s="5">
        <v>186.5</v>
      </c>
    </row>
    <row r="6393" spans="1:29" ht="169" x14ac:dyDescent="0.15">
      <c r="A6393" s="3">
        <f>DATE(2001,11,16)</f>
        <v>37211</v>
      </c>
      <c r="B6393" s="3">
        <f>DATE(2002,3,4)</f>
        <v>37319</v>
      </c>
      <c r="C6393" s="2" t="s">
        <v>95</v>
      </c>
      <c r="D6393" s="2" t="s">
        <v>17799</v>
      </c>
      <c r="E6393" s="2" t="s">
        <v>17800</v>
      </c>
      <c r="F6393" s="4">
        <v>5521</v>
      </c>
      <c r="G6393" s="2" t="s">
        <v>73</v>
      </c>
      <c r="H6393" s="2" t="s">
        <v>34</v>
      </c>
      <c r="I6393" s="2" t="s">
        <v>17801</v>
      </c>
      <c r="J6393" s="2" t="s">
        <v>150</v>
      </c>
      <c r="K6393" s="2" t="s">
        <v>53</v>
      </c>
      <c r="L6393" s="2" t="s">
        <v>34</v>
      </c>
      <c r="M6393" s="2"/>
      <c r="N6393" s="2"/>
      <c r="O6393" s="2"/>
      <c r="P6393" s="2" t="s">
        <v>19521</v>
      </c>
      <c r="Q6393" s="6">
        <v>39.479999999999997</v>
      </c>
      <c r="R6393" s="6">
        <v>3.53</v>
      </c>
      <c r="S6393" s="5">
        <v>-6.5</v>
      </c>
      <c r="T6393" s="5">
        <v>-90.9</v>
      </c>
      <c r="U6393" s="5">
        <v>12.4</v>
      </c>
      <c r="V6393" s="6">
        <v>-0.48</v>
      </c>
      <c r="W6393" s="6">
        <v>2.4700000000000002</v>
      </c>
      <c r="X6393" s="6">
        <v>2.4900000000000002</v>
      </c>
      <c r="Y6393" s="6">
        <v>2.44</v>
      </c>
      <c r="Z6393" s="5">
        <v>2.6</v>
      </c>
      <c r="AA6393" s="6">
        <v>12.27</v>
      </c>
      <c r="AB6393" s="2" t="s">
        <v>86</v>
      </c>
      <c r="AC6393" s="2"/>
    </row>
    <row r="6394" spans="1:29" ht="312" x14ac:dyDescent="0.15">
      <c r="A6394" s="3">
        <f>DATE(2001,11,18)</f>
        <v>37213</v>
      </c>
      <c r="B6394" s="3">
        <f>DATE(2002,8,30)</f>
        <v>37498</v>
      </c>
      <c r="C6394" s="2" t="s">
        <v>95</v>
      </c>
      <c r="D6394" s="2" t="s">
        <v>9521</v>
      </c>
      <c r="E6394" s="2" t="s">
        <v>19522</v>
      </c>
      <c r="F6394" s="4">
        <v>2911</v>
      </c>
      <c r="G6394" s="2" t="s">
        <v>148</v>
      </c>
      <c r="H6394" s="2" t="s">
        <v>34</v>
      </c>
      <c r="I6394" s="2" t="s">
        <v>18429</v>
      </c>
      <c r="J6394" s="2" t="s">
        <v>1435</v>
      </c>
      <c r="K6394" s="2" t="s">
        <v>148</v>
      </c>
      <c r="L6394" s="2" t="s">
        <v>34</v>
      </c>
      <c r="M6394" s="12">
        <v>20932.266</v>
      </c>
      <c r="N6394" s="6">
        <v>53.35</v>
      </c>
      <c r="O6394" s="6">
        <v>53.35</v>
      </c>
      <c r="P6394" s="2" t="s">
        <v>19523</v>
      </c>
      <c r="Q6394" s="6">
        <v>100</v>
      </c>
      <c r="R6394" s="6">
        <v>24.24</v>
      </c>
      <c r="S6394" s="8">
        <v>1999</v>
      </c>
      <c r="T6394" s="8">
        <v>5230</v>
      </c>
      <c r="U6394" s="5">
        <v>10.6</v>
      </c>
      <c r="V6394" s="6">
        <v>3.14</v>
      </c>
      <c r="W6394" s="6">
        <v>26.98</v>
      </c>
      <c r="X6394" s="5">
        <v>24.3</v>
      </c>
      <c r="Y6394" s="6">
        <v>25.98</v>
      </c>
      <c r="Z6394" s="6">
        <v>25.98</v>
      </c>
      <c r="AA6394" s="6">
        <v>625.48</v>
      </c>
      <c r="AB6394" s="7">
        <v>6.7729999999999997</v>
      </c>
      <c r="AC6394" s="5">
        <v>199</v>
      </c>
    </row>
    <row r="6395" spans="1:29" ht="182" x14ac:dyDescent="0.15">
      <c r="A6395" s="3">
        <f t="shared" ref="A6395:A6400" si="149">DATE(2001,11,19)</f>
        <v>37214</v>
      </c>
      <c r="B6395" s="3">
        <f>DATE(2002,2,28)</f>
        <v>37315</v>
      </c>
      <c r="C6395" s="2" t="s">
        <v>95</v>
      </c>
      <c r="D6395" s="2" t="s">
        <v>19524</v>
      </c>
      <c r="E6395" s="2" t="s">
        <v>265</v>
      </c>
      <c r="F6395" s="4">
        <v>6022</v>
      </c>
      <c r="G6395" s="2" t="s">
        <v>37</v>
      </c>
      <c r="H6395" s="2" t="s">
        <v>34</v>
      </c>
      <c r="I6395" s="2" t="s">
        <v>15328</v>
      </c>
      <c r="J6395" s="2" t="s">
        <v>36</v>
      </c>
      <c r="K6395" s="2" t="s">
        <v>37</v>
      </c>
      <c r="L6395" s="2" t="s">
        <v>34</v>
      </c>
      <c r="M6395" s="12">
        <v>1980.9059999999999</v>
      </c>
      <c r="N6395" s="6">
        <v>43.12</v>
      </c>
      <c r="O6395" s="6">
        <v>43.19</v>
      </c>
      <c r="P6395" s="2" t="s">
        <v>19525</v>
      </c>
      <c r="Q6395" s="6">
        <v>100</v>
      </c>
      <c r="R6395" s="6">
        <v>20.25</v>
      </c>
      <c r="S6395" s="5">
        <v>5.7</v>
      </c>
      <c r="T6395" s="2"/>
      <c r="U6395" s="5">
        <v>11.1</v>
      </c>
      <c r="V6395" s="9">
        <v>1.0619000000000001</v>
      </c>
      <c r="W6395" s="6">
        <v>16.45</v>
      </c>
      <c r="X6395" s="6">
        <v>16.39</v>
      </c>
      <c r="Y6395" s="5">
        <v>19.399999999999999</v>
      </c>
      <c r="Z6395" s="6">
        <v>19.350000000000001</v>
      </c>
      <c r="AA6395" s="6">
        <v>5.27</v>
      </c>
      <c r="AB6395" s="7">
        <v>12.018000000000001</v>
      </c>
      <c r="AC6395" s="2"/>
    </row>
    <row r="6396" spans="1:29" ht="221" x14ac:dyDescent="0.15">
      <c r="A6396" s="3">
        <f t="shared" si="149"/>
        <v>37214</v>
      </c>
      <c r="B6396" s="3">
        <f>DATE(2002,3,20)</f>
        <v>37335</v>
      </c>
      <c r="C6396" s="2" t="s">
        <v>95</v>
      </c>
      <c r="D6396" s="2" t="s">
        <v>19526</v>
      </c>
      <c r="E6396" s="2" t="s">
        <v>19527</v>
      </c>
      <c r="F6396" s="4">
        <v>3253</v>
      </c>
      <c r="G6396" s="2" t="s">
        <v>237</v>
      </c>
      <c r="H6396" s="2" t="s">
        <v>34</v>
      </c>
      <c r="I6396" s="2" t="s">
        <v>3074</v>
      </c>
      <c r="J6396" s="2" t="s">
        <v>19528</v>
      </c>
      <c r="K6396" s="2" t="s">
        <v>708</v>
      </c>
      <c r="L6396" s="2" t="s">
        <v>34</v>
      </c>
      <c r="M6396" s="12">
        <v>2412.3240000000001</v>
      </c>
      <c r="N6396" s="6">
        <v>51.38</v>
      </c>
      <c r="O6396" s="6">
        <v>47.28</v>
      </c>
      <c r="P6396" s="2" t="s">
        <v>19529</v>
      </c>
      <c r="Q6396" s="6">
        <v>100</v>
      </c>
      <c r="R6396" s="6">
        <v>25.58</v>
      </c>
      <c r="S6396" s="5">
        <v>83.3</v>
      </c>
      <c r="T6396" s="5">
        <v>173.7</v>
      </c>
      <c r="U6396" s="5">
        <v>4.8</v>
      </c>
      <c r="V6396" s="6">
        <v>1.46</v>
      </c>
      <c r="W6396" s="6">
        <v>17.45</v>
      </c>
      <c r="X6396" s="5">
        <v>16.899999999999999</v>
      </c>
      <c r="Y6396" s="5">
        <v>17.600000000000001</v>
      </c>
      <c r="Z6396" s="6">
        <v>21.47</v>
      </c>
      <c r="AA6396" s="6">
        <v>55.88</v>
      </c>
      <c r="AB6396" s="7">
        <v>12.901999999999999</v>
      </c>
      <c r="AC6396" s="2"/>
    </row>
    <row r="6397" spans="1:29" ht="195" x14ac:dyDescent="0.15">
      <c r="A6397" s="3">
        <f t="shared" si="149"/>
        <v>37214</v>
      </c>
      <c r="B6397" s="3">
        <f>DATE(2002,1,8)</f>
        <v>37264</v>
      </c>
      <c r="C6397" s="2" t="s">
        <v>95</v>
      </c>
      <c r="D6397" s="2" t="s">
        <v>19530</v>
      </c>
      <c r="E6397" s="2" t="s">
        <v>19531</v>
      </c>
      <c r="F6397" s="4">
        <v>7371</v>
      </c>
      <c r="G6397" s="2" t="s">
        <v>223</v>
      </c>
      <c r="H6397" s="2" t="s">
        <v>34</v>
      </c>
      <c r="I6397" s="2" t="s">
        <v>17598</v>
      </c>
      <c r="J6397" s="2" t="s">
        <v>540</v>
      </c>
      <c r="K6397" s="2" t="s">
        <v>130</v>
      </c>
      <c r="L6397" s="2" t="s">
        <v>34</v>
      </c>
      <c r="M6397" s="7">
        <v>624.83199999999999</v>
      </c>
      <c r="N6397" s="6">
        <v>15.24</v>
      </c>
      <c r="O6397" s="5">
        <v>14.8</v>
      </c>
      <c r="P6397" s="2" t="s">
        <v>19532</v>
      </c>
      <c r="Q6397" s="6">
        <v>100</v>
      </c>
      <c r="R6397" s="6">
        <v>4.4400000000000004</v>
      </c>
      <c r="S6397" s="5">
        <v>-21.8</v>
      </c>
      <c r="T6397" s="5">
        <v>-17.100000000000001</v>
      </c>
      <c r="U6397" s="5">
        <v>5.0999999999999996</v>
      </c>
      <c r="V6397" s="6">
        <v>-4.68</v>
      </c>
      <c r="W6397" s="4">
        <v>3</v>
      </c>
      <c r="X6397" s="6">
        <v>3.18</v>
      </c>
      <c r="Y6397" s="6">
        <v>3.38</v>
      </c>
      <c r="Z6397" s="6">
        <v>4.1100000000000003</v>
      </c>
      <c r="AA6397" s="6">
        <v>23</v>
      </c>
      <c r="AB6397" s="2" t="s">
        <v>86</v>
      </c>
      <c r="AC6397" s="5">
        <v>42.8</v>
      </c>
    </row>
    <row r="6398" spans="1:29" ht="65" x14ac:dyDescent="0.15">
      <c r="A6398" s="3">
        <f t="shared" si="149"/>
        <v>37214</v>
      </c>
      <c r="B6398" s="3">
        <f>DATE(2002,3,8)</f>
        <v>37323</v>
      </c>
      <c r="C6398" s="2" t="s">
        <v>95</v>
      </c>
      <c r="D6398" s="2" t="s">
        <v>19533</v>
      </c>
      <c r="E6398" s="2" t="s">
        <v>19534</v>
      </c>
      <c r="F6398" s="4">
        <v>6141</v>
      </c>
      <c r="G6398" s="2" t="s">
        <v>370</v>
      </c>
      <c r="H6398" s="2" t="s">
        <v>34</v>
      </c>
      <c r="I6398" s="2" t="s">
        <v>6733</v>
      </c>
      <c r="J6398" s="2" t="s">
        <v>6734</v>
      </c>
      <c r="K6398" s="2" t="s">
        <v>109</v>
      </c>
      <c r="L6398" s="2" t="s">
        <v>34</v>
      </c>
      <c r="M6398" s="7">
        <v>25.913</v>
      </c>
      <c r="N6398" s="7">
        <v>2.1379999999999999</v>
      </c>
      <c r="O6398" s="6">
        <v>1.83</v>
      </c>
      <c r="P6398" s="2" t="s">
        <v>19535</v>
      </c>
      <c r="Q6398" s="6">
        <v>100</v>
      </c>
      <c r="R6398" s="6">
        <v>10</v>
      </c>
      <c r="S6398" s="5">
        <v>16.3</v>
      </c>
      <c r="T6398" s="7">
        <v>18.788</v>
      </c>
      <c r="U6398" s="5">
        <v>13.9</v>
      </c>
      <c r="V6398" s="6">
        <v>1.63</v>
      </c>
      <c r="W6398" s="5">
        <v>5.3</v>
      </c>
      <c r="X6398" s="5">
        <v>9.4</v>
      </c>
      <c r="Y6398" s="5">
        <v>9.4</v>
      </c>
      <c r="Z6398" s="6">
        <v>9.4499999999999993</v>
      </c>
      <c r="AA6398" s="6">
        <v>9.99</v>
      </c>
      <c r="AB6398" s="7">
        <v>33.656999999999996</v>
      </c>
      <c r="AC6398" s="6">
        <v>14.47</v>
      </c>
    </row>
    <row r="6399" spans="1:29" ht="143" x14ac:dyDescent="0.15">
      <c r="A6399" s="3">
        <f t="shared" si="149"/>
        <v>37214</v>
      </c>
      <c r="B6399" s="3">
        <f>DATE(2002,4,1)</f>
        <v>37347</v>
      </c>
      <c r="C6399" s="2" t="s">
        <v>95</v>
      </c>
      <c r="D6399" s="2" t="s">
        <v>13165</v>
      </c>
      <c r="E6399" s="2" t="s">
        <v>483</v>
      </c>
      <c r="F6399" s="4">
        <v>6162</v>
      </c>
      <c r="G6399" s="2" t="s">
        <v>109</v>
      </c>
      <c r="H6399" s="2" t="s">
        <v>34</v>
      </c>
      <c r="I6399" s="2" t="s">
        <v>19536</v>
      </c>
      <c r="J6399" s="2" t="s">
        <v>15797</v>
      </c>
      <c r="K6399" s="2" t="s">
        <v>33</v>
      </c>
      <c r="L6399" s="2" t="s">
        <v>34</v>
      </c>
      <c r="M6399" s="7">
        <v>250.898</v>
      </c>
      <c r="N6399" s="5">
        <v>7.8</v>
      </c>
      <c r="O6399" s="6">
        <v>7.79</v>
      </c>
      <c r="P6399" s="2" t="s">
        <v>19537</v>
      </c>
      <c r="Q6399" s="6">
        <v>100</v>
      </c>
      <c r="R6399" s="6">
        <v>8.93</v>
      </c>
      <c r="S6399" s="5">
        <v>11.6</v>
      </c>
      <c r="T6399" s="2"/>
      <c r="U6399" s="5">
        <v>9.1</v>
      </c>
      <c r="V6399" s="6">
        <v>0.68</v>
      </c>
      <c r="W6399" s="6">
        <v>8.26</v>
      </c>
      <c r="X6399" s="6">
        <v>8.35</v>
      </c>
      <c r="Y6399" s="5">
        <v>8.8000000000000007</v>
      </c>
      <c r="Z6399" s="6">
        <v>8.66</v>
      </c>
      <c r="AA6399" s="6">
        <v>16.600000000000001</v>
      </c>
      <c r="AB6399" s="2" t="s">
        <v>47</v>
      </c>
      <c r="AC6399" s="2"/>
    </row>
    <row r="6400" spans="1:29" ht="143" x14ac:dyDescent="0.15">
      <c r="A6400" s="3">
        <f t="shared" si="149"/>
        <v>37214</v>
      </c>
      <c r="B6400" s="3">
        <f>DATE(2002,3,1)</f>
        <v>37316</v>
      </c>
      <c r="C6400" s="2" t="s">
        <v>95</v>
      </c>
      <c r="D6400" s="2" t="s">
        <v>11074</v>
      </c>
      <c r="E6400" s="2" t="s">
        <v>3900</v>
      </c>
      <c r="F6400" s="4">
        <v>5812</v>
      </c>
      <c r="G6400" s="2" t="s">
        <v>230</v>
      </c>
      <c r="H6400" s="2" t="s">
        <v>34</v>
      </c>
      <c r="I6400" s="2" t="s">
        <v>7222</v>
      </c>
      <c r="J6400" s="2" t="s">
        <v>7082</v>
      </c>
      <c r="K6400" s="2" t="s">
        <v>230</v>
      </c>
      <c r="L6400" s="2" t="s">
        <v>34</v>
      </c>
      <c r="M6400" s="7">
        <v>347.64699999999999</v>
      </c>
      <c r="N6400" s="6">
        <v>8.01</v>
      </c>
      <c r="O6400" s="6">
        <v>8.16</v>
      </c>
      <c r="P6400" s="2" t="s">
        <v>19538</v>
      </c>
      <c r="Q6400" s="6">
        <v>100</v>
      </c>
      <c r="R6400" s="6">
        <v>5</v>
      </c>
      <c r="S6400" s="5">
        <v>-1.5</v>
      </c>
      <c r="T6400" s="5">
        <v>7.9</v>
      </c>
      <c r="U6400" s="5">
        <v>3.8</v>
      </c>
      <c r="V6400" s="6">
        <v>-0.05</v>
      </c>
      <c r="W6400" s="6">
        <v>2.31</v>
      </c>
      <c r="X6400" s="6">
        <v>2.35</v>
      </c>
      <c r="Y6400" s="6">
        <v>3.52</v>
      </c>
      <c r="Z6400" s="6">
        <v>3.62</v>
      </c>
      <c r="AA6400" s="6">
        <v>12.9</v>
      </c>
      <c r="AB6400" s="7">
        <v>42.658000000000001</v>
      </c>
      <c r="AC6400" s="5">
        <v>14.2</v>
      </c>
    </row>
    <row r="6401" spans="1:29" ht="182" x14ac:dyDescent="0.15">
      <c r="A6401" s="3">
        <f>DATE(2001,11,20)</f>
        <v>37215</v>
      </c>
      <c r="B6401" s="3">
        <f>DATE(2002,8,21)</f>
        <v>37489</v>
      </c>
      <c r="C6401" s="2" t="s">
        <v>95</v>
      </c>
      <c r="D6401" s="2" t="s">
        <v>19539</v>
      </c>
      <c r="E6401" s="2" t="s">
        <v>1181</v>
      </c>
      <c r="F6401" s="4">
        <v>6021</v>
      </c>
      <c r="G6401" s="2" t="s">
        <v>37</v>
      </c>
      <c r="H6401" s="2" t="s">
        <v>34</v>
      </c>
      <c r="I6401" s="2" t="s">
        <v>8845</v>
      </c>
      <c r="J6401" s="2" t="s">
        <v>265</v>
      </c>
      <c r="K6401" s="2" t="s">
        <v>37</v>
      </c>
      <c r="L6401" s="2" t="s">
        <v>34</v>
      </c>
      <c r="M6401" s="7">
        <v>359.03100000000001</v>
      </c>
      <c r="N6401" s="6">
        <v>22.99</v>
      </c>
      <c r="O6401" s="6">
        <v>22.62</v>
      </c>
      <c r="P6401" s="2" t="s">
        <v>19540</v>
      </c>
      <c r="Q6401" s="6">
        <v>100</v>
      </c>
      <c r="R6401" s="6">
        <v>28.36</v>
      </c>
      <c r="S6401" s="5">
        <v>7.7</v>
      </c>
      <c r="T6401" s="5">
        <v>12.3</v>
      </c>
      <c r="U6401" s="5">
        <v>11.4</v>
      </c>
      <c r="V6401" s="6">
        <v>1.44</v>
      </c>
      <c r="W6401" s="5">
        <v>21.5</v>
      </c>
      <c r="X6401" s="4">
        <v>22</v>
      </c>
      <c r="Y6401" s="6">
        <v>26.25</v>
      </c>
      <c r="Z6401" s="6">
        <v>26.25</v>
      </c>
      <c r="AA6401" s="6">
        <v>5.38</v>
      </c>
      <c r="AB6401" s="7">
        <v>66.55</v>
      </c>
      <c r="AC6401" s="5">
        <v>40.6</v>
      </c>
    </row>
    <row r="6402" spans="1:29" ht="273" x14ac:dyDescent="0.15">
      <c r="A6402" s="3">
        <f>DATE(2001,11,20)</f>
        <v>37215</v>
      </c>
      <c r="B6402" s="2"/>
      <c r="C6402" s="2" t="s">
        <v>30</v>
      </c>
      <c r="D6402" s="2" t="s">
        <v>19541</v>
      </c>
      <c r="E6402" s="2" t="s">
        <v>19542</v>
      </c>
      <c r="F6402" s="4">
        <v>4481</v>
      </c>
      <c r="G6402" s="2" t="s">
        <v>173</v>
      </c>
      <c r="H6402" s="2" t="s">
        <v>34</v>
      </c>
      <c r="I6402" s="2" t="s">
        <v>19543</v>
      </c>
      <c r="J6402" s="2" t="s">
        <v>19544</v>
      </c>
      <c r="K6402" s="2" t="s">
        <v>173</v>
      </c>
      <c r="L6402" s="2" t="s">
        <v>303</v>
      </c>
      <c r="M6402" s="2"/>
      <c r="N6402" s="2"/>
      <c r="O6402" s="2"/>
      <c r="P6402" s="2" t="s">
        <v>19545</v>
      </c>
      <c r="Q6402" s="2"/>
      <c r="R6402" s="2"/>
      <c r="S6402" s="5">
        <v>323.5</v>
      </c>
      <c r="T6402" s="5">
        <v>863.1</v>
      </c>
      <c r="U6402" s="5">
        <v>20</v>
      </c>
      <c r="V6402" s="6">
        <v>1.67</v>
      </c>
      <c r="W6402" s="6">
        <v>12.75</v>
      </c>
      <c r="X6402" s="6">
        <v>15.01</v>
      </c>
      <c r="Y6402" s="5">
        <v>16.100000000000001</v>
      </c>
      <c r="Z6402" s="5">
        <v>15.3</v>
      </c>
      <c r="AA6402" s="6">
        <v>192.25</v>
      </c>
      <c r="AB6402" s="2" t="s">
        <v>47</v>
      </c>
      <c r="AC6402" s="6">
        <v>247.23</v>
      </c>
    </row>
    <row r="6403" spans="1:29" ht="208" x14ac:dyDescent="0.15">
      <c r="A6403" s="3">
        <f>DATE(2001,11,21)</f>
        <v>37216</v>
      </c>
      <c r="B6403" s="3">
        <f>DATE(2002,5,24)</f>
        <v>37400</v>
      </c>
      <c r="C6403" s="2" t="s">
        <v>95</v>
      </c>
      <c r="D6403" s="2" t="s">
        <v>19164</v>
      </c>
      <c r="E6403" s="2" t="s">
        <v>1027</v>
      </c>
      <c r="F6403" s="4">
        <v>4813</v>
      </c>
      <c r="G6403" s="2" t="s">
        <v>63</v>
      </c>
      <c r="H6403" s="2" t="s">
        <v>34</v>
      </c>
      <c r="I6403" s="2" t="s">
        <v>19546</v>
      </c>
      <c r="J6403" s="2" t="s">
        <v>6519</v>
      </c>
      <c r="K6403" s="2" t="s">
        <v>63</v>
      </c>
      <c r="L6403" s="2" t="s">
        <v>34</v>
      </c>
      <c r="M6403" s="7">
        <v>156.55699999999999</v>
      </c>
      <c r="N6403" s="6">
        <v>20.05</v>
      </c>
      <c r="O6403" s="5">
        <v>17.600000000000001</v>
      </c>
      <c r="P6403" s="2" t="s">
        <v>19547</v>
      </c>
      <c r="Q6403" s="6">
        <v>100</v>
      </c>
      <c r="R6403" s="6">
        <v>33</v>
      </c>
      <c r="S6403" s="5">
        <v>2.9</v>
      </c>
      <c r="T6403" s="6">
        <v>29.01</v>
      </c>
      <c r="U6403" s="5">
        <v>9.1999999999999993</v>
      </c>
      <c r="V6403" s="6">
        <v>0.31</v>
      </c>
      <c r="W6403" s="5">
        <v>30.3</v>
      </c>
      <c r="X6403" s="6">
        <v>31.75</v>
      </c>
      <c r="Y6403" s="4">
        <v>37</v>
      </c>
      <c r="Z6403" s="6">
        <v>37.15</v>
      </c>
      <c r="AA6403" s="6">
        <v>8.07</v>
      </c>
      <c r="AB6403" s="7">
        <v>30.126000000000001</v>
      </c>
      <c r="AC6403" s="5">
        <v>0.6</v>
      </c>
    </row>
    <row r="6404" spans="1:29" ht="208" x14ac:dyDescent="0.15">
      <c r="A6404" s="3">
        <f>DATE(2001,11,21)</f>
        <v>37216</v>
      </c>
      <c r="B6404" s="2"/>
      <c r="C6404" s="2" t="s">
        <v>7330</v>
      </c>
      <c r="D6404" s="2" t="s">
        <v>19548</v>
      </c>
      <c r="E6404" s="2" t="s">
        <v>19549</v>
      </c>
      <c r="F6404" s="4">
        <v>7375</v>
      </c>
      <c r="G6404" s="2" t="s">
        <v>223</v>
      </c>
      <c r="H6404" s="2" t="s">
        <v>34</v>
      </c>
      <c r="I6404" s="2" t="s">
        <v>18174</v>
      </c>
      <c r="J6404" s="2" t="s">
        <v>1072</v>
      </c>
      <c r="K6404" s="2" t="s">
        <v>45</v>
      </c>
      <c r="L6404" s="2" t="s">
        <v>902</v>
      </c>
      <c r="M6404" s="2"/>
      <c r="N6404" s="2"/>
      <c r="O6404" s="2"/>
      <c r="P6404" s="2" t="s">
        <v>19550</v>
      </c>
      <c r="Q6404" s="2"/>
      <c r="R6404" s="2"/>
      <c r="S6404" s="5">
        <v>-7.4</v>
      </c>
      <c r="T6404" s="2"/>
      <c r="U6404" s="5">
        <v>2.2999999999999998</v>
      </c>
      <c r="V6404" s="6">
        <v>-2.06</v>
      </c>
      <c r="W6404" s="6">
        <v>0.85</v>
      </c>
      <c r="X6404" s="6">
        <v>1.1399999999999999</v>
      </c>
      <c r="Y6404" s="6">
        <v>1.1399999999999999</v>
      </c>
      <c r="Z6404" s="6">
        <v>1.1399999999999999</v>
      </c>
      <c r="AA6404" s="6">
        <v>6.8</v>
      </c>
      <c r="AB6404" s="2" t="s">
        <v>86</v>
      </c>
      <c r="AC6404" s="5">
        <v>0.1</v>
      </c>
    </row>
    <row r="6405" spans="1:29" ht="91" x14ac:dyDescent="0.15">
      <c r="A6405" s="3">
        <f>DATE(2001,11,26)</f>
        <v>37221</v>
      </c>
      <c r="B6405" s="3">
        <f>DATE(2002,5,22)</f>
        <v>37398</v>
      </c>
      <c r="C6405" s="2" t="s">
        <v>95</v>
      </c>
      <c r="D6405" s="2" t="s">
        <v>17131</v>
      </c>
      <c r="E6405" s="2" t="s">
        <v>17132</v>
      </c>
      <c r="F6405" s="4">
        <v>7389</v>
      </c>
      <c r="G6405" s="2" t="s">
        <v>223</v>
      </c>
      <c r="H6405" s="2" t="s">
        <v>34</v>
      </c>
      <c r="I6405" s="2" t="s">
        <v>19551</v>
      </c>
      <c r="J6405" s="2" t="s">
        <v>19552</v>
      </c>
      <c r="K6405" s="2" t="s">
        <v>73</v>
      </c>
      <c r="L6405" s="2" t="s">
        <v>34</v>
      </c>
      <c r="M6405" s="2"/>
      <c r="N6405" s="2"/>
      <c r="O6405" s="2"/>
      <c r="P6405" s="2" t="s">
        <v>19553</v>
      </c>
      <c r="Q6405" s="6">
        <v>100</v>
      </c>
      <c r="R6405" s="2"/>
      <c r="S6405" s="2"/>
      <c r="T6405" s="2"/>
      <c r="U6405" s="2"/>
      <c r="V6405" s="2"/>
      <c r="W6405" s="6">
        <v>1.95</v>
      </c>
      <c r="X6405" s="6">
        <v>2.59</v>
      </c>
      <c r="Y6405" s="6">
        <v>2.37</v>
      </c>
      <c r="Z6405" s="5">
        <v>2.2999999999999998</v>
      </c>
      <c r="AA6405" s="6">
        <v>11.29</v>
      </c>
      <c r="AB6405" s="2" t="s">
        <v>47</v>
      </c>
      <c r="AC6405" s="2"/>
    </row>
    <row r="6406" spans="1:29" ht="156" x14ac:dyDescent="0.15">
      <c r="A6406" s="3">
        <f>DATE(2001,11,28)</f>
        <v>37223</v>
      </c>
      <c r="B6406" s="3">
        <f>DATE(2002,8,13)</f>
        <v>37481</v>
      </c>
      <c r="C6406" s="2" t="s">
        <v>95</v>
      </c>
      <c r="D6406" s="2" t="s">
        <v>8314</v>
      </c>
      <c r="E6406" s="2" t="s">
        <v>19554</v>
      </c>
      <c r="F6406" s="4">
        <v>2879</v>
      </c>
      <c r="G6406" s="2" t="s">
        <v>98</v>
      </c>
      <c r="H6406" s="2" t="s">
        <v>34</v>
      </c>
      <c r="I6406" s="2" t="s">
        <v>278</v>
      </c>
      <c r="J6406" s="2" t="s">
        <v>52</v>
      </c>
      <c r="K6406" s="2" t="s">
        <v>53</v>
      </c>
      <c r="L6406" s="2" t="s">
        <v>34</v>
      </c>
      <c r="M6406" s="2"/>
      <c r="N6406" s="2"/>
      <c r="O6406" s="2"/>
      <c r="P6406" s="2" t="s">
        <v>19555</v>
      </c>
      <c r="Q6406" s="6">
        <v>85</v>
      </c>
      <c r="R6406" s="6">
        <v>17.010000000000002</v>
      </c>
      <c r="S6406" s="5">
        <v>84</v>
      </c>
      <c r="T6406" s="8">
        <v>1048</v>
      </c>
      <c r="U6406" s="5">
        <v>21.9</v>
      </c>
      <c r="V6406" s="6">
        <v>0.33</v>
      </c>
      <c r="W6406" s="6">
        <v>31.83</v>
      </c>
      <c r="X6406" s="6">
        <v>32.01</v>
      </c>
      <c r="Y6406" s="5">
        <v>31.9</v>
      </c>
      <c r="Z6406" s="6">
        <v>32.75</v>
      </c>
      <c r="AA6406" s="6">
        <v>258.08999999999997</v>
      </c>
      <c r="AB6406" s="7">
        <v>12.247999999999999</v>
      </c>
      <c r="AC6406" s="2"/>
    </row>
    <row r="6407" spans="1:29" ht="169" x14ac:dyDescent="0.15">
      <c r="A6407" s="3">
        <f>DATE(2001,12,3)</f>
        <v>37228</v>
      </c>
      <c r="B6407" s="3">
        <f>DATE(2002,6,6)</f>
        <v>37413</v>
      </c>
      <c r="C6407" s="2" t="s">
        <v>95</v>
      </c>
      <c r="D6407" s="2" t="s">
        <v>6623</v>
      </c>
      <c r="E6407" s="2" t="s">
        <v>781</v>
      </c>
      <c r="F6407" s="4">
        <v>7372</v>
      </c>
      <c r="G6407" s="2" t="s">
        <v>551</v>
      </c>
      <c r="H6407" s="2" t="s">
        <v>34</v>
      </c>
      <c r="I6407" s="2" t="s">
        <v>9138</v>
      </c>
      <c r="J6407" s="2" t="s">
        <v>9139</v>
      </c>
      <c r="K6407" s="2" t="s">
        <v>551</v>
      </c>
      <c r="L6407" s="2" t="s">
        <v>34</v>
      </c>
      <c r="M6407" s="12">
        <v>2959.7640000000001</v>
      </c>
      <c r="N6407" s="6">
        <v>55.39</v>
      </c>
      <c r="O6407" s="6">
        <v>53.03</v>
      </c>
      <c r="P6407" s="2" t="s">
        <v>19556</v>
      </c>
      <c r="Q6407" s="6">
        <v>100</v>
      </c>
      <c r="R6407" s="6">
        <v>20.420000000000002</v>
      </c>
      <c r="S6407" s="5">
        <v>-192.4</v>
      </c>
      <c r="T6407" s="5">
        <v>149.30000000000001</v>
      </c>
      <c r="U6407" s="5">
        <v>4.3</v>
      </c>
      <c r="V6407" s="6">
        <v>-4.9400000000000004</v>
      </c>
      <c r="W6407" s="6">
        <v>11.13</v>
      </c>
      <c r="X6407" s="6">
        <v>10.31</v>
      </c>
      <c r="Y6407" s="6">
        <v>10.95</v>
      </c>
      <c r="Z6407" s="6">
        <v>17.850000000000001</v>
      </c>
      <c r="AA6407" s="6">
        <v>37.799999999999997</v>
      </c>
      <c r="AB6407" s="7">
        <v>6.5250000000000004</v>
      </c>
      <c r="AC6407" s="6">
        <v>476.44</v>
      </c>
    </row>
    <row r="6408" spans="1:29" ht="169" x14ac:dyDescent="0.15">
      <c r="A6408" s="3">
        <f>DATE(2001,12,3)</f>
        <v>37228</v>
      </c>
      <c r="B6408" s="3">
        <f>DATE(2002,1,15)</f>
        <v>37271</v>
      </c>
      <c r="C6408" s="2" t="s">
        <v>95</v>
      </c>
      <c r="D6408" s="2" t="s">
        <v>19557</v>
      </c>
      <c r="E6408" s="2" t="s">
        <v>6709</v>
      </c>
      <c r="F6408" s="4">
        <v>2836</v>
      </c>
      <c r="G6408" s="2" t="s">
        <v>130</v>
      </c>
      <c r="H6408" s="2" t="s">
        <v>34</v>
      </c>
      <c r="I6408" s="2" t="s">
        <v>15331</v>
      </c>
      <c r="J6408" s="2" t="s">
        <v>15332</v>
      </c>
      <c r="K6408" s="2" t="s">
        <v>130</v>
      </c>
      <c r="L6408" s="2" t="s">
        <v>34</v>
      </c>
      <c r="M6408" s="12">
        <v>8998.4210000000003</v>
      </c>
      <c r="N6408" s="6">
        <v>38.83</v>
      </c>
      <c r="O6408" s="6">
        <v>42.32</v>
      </c>
      <c r="P6408" s="2" t="s">
        <v>19558</v>
      </c>
      <c r="Q6408" s="6">
        <v>100</v>
      </c>
      <c r="R6408" s="6">
        <v>47.41</v>
      </c>
      <c r="S6408" s="5">
        <v>-98.5</v>
      </c>
      <c r="T6408" s="5">
        <v>-83.8</v>
      </c>
      <c r="U6408" s="5">
        <v>9.1999999999999993</v>
      </c>
      <c r="V6408" s="6">
        <v>-3.28</v>
      </c>
      <c r="W6408" s="6">
        <v>36.590000000000003</v>
      </c>
      <c r="X6408" s="6">
        <v>37.049999999999997</v>
      </c>
      <c r="Y6408" s="6">
        <v>41.42</v>
      </c>
      <c r="Z6408" s="6">
        <v>45.15</v>
      </c>
      <c r="AA6408" s="6">
        <v>31.16</v>
      </c>
      <c r="AB6408" s="2" t="s">
        <v>86</v>
      </c>
      <c r="AC6408" s="5">
        <v>26.3</v>
      </c>
    </row>
    <row r="6409" spans="1:29" ht="78" x14ac:dyDescent="0.15">
      <c r="A6409" s="3">
        <f>DATE(2001,12,3)</f>
        <v>37228</v>
      </c>
      <c r="B6409" s="3">
        <f>DATE(2002,2,25)</f>
        <v>37312</v>
      </c>
      <c r="C6409" s="2" t="s">
        <v>95</v>
      </c>
      <c r="D6409" s="2" t="s">
        <v>19559</v>
      </c>
      <c r="E6409" s="2" t="s">
        <v>19560</v>
      </c>
      <c r="F6409" s="4">
        <v>4011</v>
      </c>
      <c r="G6409" s="2" t="s">
        <v>173</v>
      </c>
      <c r="H6409" s="2" t="s">
        <v>34</v>
      </c>
      <c r="I6409" s="2" t="s">
        <v>19561</v>
      </c>
      <c r="J6409" s="2" t="s">
        <v>19562</v>
      </c>
      <c r="K6409" s="2" t="s">
        <v>173</v>
      </c>
      <c r="L6409" s="2" t="s">
        <v>34</v>
      </c>
      <c r="M6409" s="7">
        <v>198.523</v>
      </c>
      <c r="N6409" s="6">
        <v>29.64</v>
      </c>
      <c r="O6409" s="5">
        <v>29.4</v>
      </c>
      <c r="P6409" s="2" t="s">
        <v>19563</v>
      </c>
      <c r="Q6409" s="6">
        <v>100</v>
      </c>
      <c r="R6409" s="6">
        <v>2.5</v>
      </c>
      <c r="S6409" s="5">
        <v>3</v>
      </c>
      <c r="T6409" s="7">
        <v>5.1459999999999999</v>
      </c>
      <c r="U6409" s="5">
        <v>2.5</v>
      </c>
      <c r="V6409" s="6">
        <v>0.42</v>
      </c>
      <c r="W6409" s="5">
        <v>1.6</v>
      </c>
      <c r="X6409" s="6">
        <v>1.53</v>
      </c>
      <c r="Y6409" s="6">
        <v>1.55</v>
      </c>
      <c r="Z6409" s="6">
        <v>2.44</v>
      </c>
      <c r="AA6409" s="6">
        <v>7.08</v>
      </c>
      <c r="AB6409" s="7">
        <v>9.2799999999999994</v>
      </c>
      <c r="AC6409" s="5">
        <v>11.4</v>
      </c>
    </row>
    <row r="6410" spans="1:29" ht="91" x14ac:dyDescent="0.15">
      <c r="A6410" s="3">
        <f>DATE(2001,12,3)</f>
        <v>37228</v>
      </c>
      <c r="B6410" s="3">
        <f>DATE(2002,1,23)</f>
        <v>37279</v>
      </c>
      <c r="C6410" s="2" t="s">
        <v>95</v>
      </c>
      <c r="D6410" s="2" t="s">
        <v>19564</v>
      </c>
      <c r="E6410" s="2" t="s">
        <v>19565</v>
      </c>
      <c r="F6410" s="4">
        <v>2676</v>
      </c>
      <c r="G6410" s="2" t="s">
        <v>282</v>
      </c>
      <c r="H6410" s="2" t="s">
        <v>34</v>
      </c>
      <c r="I6410" s="2" t="s">
        <v>9732</v>
      </c>
      <c r="J6410" s="2" t="s">
        <v>9733</v>
      </c>
      <c r="K6410" s="2" t="s">
        <v>300</v>
      </c>
      <c r="L6410" s="2" t="s">
        <v>1791</v>
      </c>
      <c r="M6410" s="2"/>
      <c r="N6410" s="2"/>
      <c r="O6410" s="2"/>
      <c r="P6410" s="2" t="s">
        <v>19566</v>
      </c>
      <c r="Q6410" s="6">
        <v>100</v>
      </c>
      <c r="R6410" s="6">
        <v>43.5</v>
      </c>
      <c r="S6410" s="5">
        <v>48.5</v>
      </c>
      <c r="T6410" s="6">
        <v>125.24</v>
      </c>
      <c r="U6410" s="5">
        <v>12.8</v>
      </c>
      <c r="V6410" s="9">
        <v>3.2113999999999998</v>
      </c>
      <c r="W6410" s="4">
        <v>33</v>
      </c>
      <c r="X6410" s="6">
        <v>32.75</v>
      </c>
      <c r="Y6410" s="6">
        <v>42.95</v>
      </c>
      <c r="Z6410" s="6">
        <v>43.05</v>
      </c>
      <c r="AA6410" s="6">
        <v>12</v>
      </c>
      <c r="AB6410" s="7">
        <v>6.8</v>
      </c>
      <c r="AC6410" s="8">
        <v>2587.1999999999998</v>
      </c>
    </row>
    <row r="6411" spans="1:29" ht="52" x14ac:dyDescent="0.15">
      <c r="A6411" s="3">
        <f>DATE(2001,12,3)</f>
        <v>37228</v>
      </c>
      <c r="B6411" s="2"/>
      <c r="C6411" s="2" t="s">
        <v>30</v>
      </c>
      <c r="D6411" s="2" t="s">
        <v>14910</v>
      </c>
      <c r="E6411" s="2" t="s">
        <v>14911</v>
      </c>
      <c r="F6411" s="4">
        <v>7011</v>
      </c>
      <c r="G6411" s="2" t="s">
        <v>269</v>
      </c>
      <c r="H6411" s="2" t="s">
        <v>34</v>
      </c>
      <c r="I6411" s="2" t="s">
        <v>19567</v>
      </c>
      <c r="J6411" s="2" t="s">
        <v>18867</v>
      </c>
      <c r="K6411" s="2" t="s">
        <v>269</v>
      </c>
      <c r="L6411" s="2" t="s">
        <v>303</v>
      </c>
      <c r="M6411" s="2"/>
      <c r="N6411" s="2"/>
      <c r="O6411" s="2"/>
      <c r="P6411" s="2" t="s">
        <v>19568</v>
      </c>
      <c r="Q6411" s="2"/>
      <c r="R6411" s="2"/>
      <c r="S6411" s="5">
        <v>336</v>
      </c>
      <c r="T6411" s="8">
        <v>1372</v>
      </c>
      <c r="U6411" s="5">
        <v>19.600000000000001</v>
      </c>
      <c r="V6411" s="6">
        <v>1.63</v>
      </c>
      <c r="W6411" s="6">
        <v>26.48</v>
      </c>
      <c r="X6411" s="6">
        <v>27.14</v>
      </c>
      <c r="Y6411" s="6">
        <v>27.26</v>
      </c>
      <c r="Z6411" s="6">
        <v>27.35</v>
      </c>
      <c r="AA6411" s="6">
        <v>197.75</v>
      </c>
      <c r="AB6411" s="2" t="s">
        <v>47</v>
      </c>
      <c r="AC6411" s="6">
        <v>637.77</v>
      </c>
    </row>
    <row r="6412" spans="1:29" ht="130" x14ac:dyDescent="0.15">
      <c r="A6412" s="3">
        <f>DATE(2001,12,6)</f>
        <v>37231</v>
      </c>
      <c r="B6412" s="3">
        <f>DATE(2002,2,12)</f>
        <v>37299</v>
      </c>
      <c r="C6412" s="2" t="s">
        <v>95</v>
      </c>
      <c r="D6412" s="2" t="s">
        <v>19569</v>
      </c>
      <c r="E6412" s="2" t="s">
        <v>839</v>
      </c>
      <c r="F6412" s="4">
        <v>2834</v>
      </c>
      <c r="G6412" s="2" t="s">
        <v>130</v>
      </c>
      <c r="H6412" s="2" t="s">
        <v>34</v>
      </c>
      <c r="I6412" s="2" t="s">
        <v>15478</v>
      </c>
      <c r="J6412" s="2" t="s">
        <v>15479</v>
      </c>
      <c r="K6412" s="2" t="s">
        <v>130</v>
      </c>
      <c r="L6412" s="2" t="s">
        <v>34</v>
      </c>
      <c r="M6412" s="12">
        <v>6147.1610000000001</v>
      </c>
      <c r="N6412" s="6">
        <v>29.56</v>
      </c>
      <c r="O6412" s="6">
        <v>28.41</v>
      </c>
      <c r="P6412" s="2" t="s">
        <v>19570</v>
      </c>
      <c r="Q6412" s="6">
        <v>100</v>
      </c>
      <c r="R6412" s="6">
        <v>35</v>
      </c>
      <c r="S6412" s="5">
        <v>2.2000000000000002</v>
      </c>
      <c r="T6412" s="5">
        <v>1.1000000000000001</v>
      </c>
      <c r="U6412" s="5">
        <v>1.1000000000000001</v>
      </c>
      <c r="V6412" s="6">
        <v>0.04</v>
      </c>
      <c r="W6412" s="6">
        <v>21.34</v>
      </c>
      <c r="X6412" s="6">
        <v>19.739999999999998</v>
      </c>
      <c r="Y6412" s="5">
        <v>28.2</v>
      </c>
      <c r="Z6412" s="6">
        <v>27.12</v>
      </c>
      <c r="AA6412" s="6">
        <v>55.65</v>
      </c>
      <c r="AB6412" s="2" t="s">
        <v>86</v>
      </c>
      <c r="AC6412" s="5">
        <v>61.5</v>
      </c>
    </row>
    <row r="6413" spans="1:29" ht="52" x14ac:dyDescent="0.15">
      <c r="A6413" s="3">
        <f>DATE(2001,12,6)</f>
        <v>37231</v>
      </c>
      <c r="B6413" s="2"/>
      <c r="C6413" s="2" t="s">
        <v>7330</v>
      </c>
      <c r="D6413" s="2" t="s">
        <v>19571</v>
      </c>
      <c r="E6413" s="2" t="s">
        <v>4480</v>
      </c>
      <c r="F6413" s="4">
        <v>8742</v>
      </c>
      <c r="G6413" s="2" t="s">
        <v>223</v>
      </c>
      <c r="H6413" s="2" t="s">
        <v>34</v>
      </c>
      <c r="I6413" s="2" t="s">
        <v>19572</v>
      </c>
      <c r="J6413" s="2" t="s">
        <v>9379</v>
      </c>
      <c r="K6413" s="2" t="s">
        <v>223</v>
      </c>
      <c r="L6413" s="2" t="s">
        <v>17048</v>
      </c>
      <c r="M6413" s="2"/>
      <c r="N6413" s="2"/>
      <c r="O6413" s="2"/>
      <c r="P6413" s="2" t="s">
        <v>19573</v>
      </c>
      <c r="Q6413" s="2"/>
      <c r="R6413" s="2"/>
      <c r="S6413" s="5">
        <v>8</v>
      </c>
      <c r="T6413" s="7">
        <v>12.567</v>
      </c>
      <c r="U6413" s="5">
        <v>20.3</v>
      </c>
      <c r="V6413" s="6">
        <v>1.3</v>
      </c>
      <c r="W6413" s="5">
        <v>6.5</v>
      </c>
      <c r="X6413" s="5">
        <v>7.2</v>
      </c>
      <c r="Y6413" s="6">
        <v>6.95</v>
      </c>
      <c r="Z6413" s="4">
        <v>7</v>
      </c>
      <c r="AA6413" s="6">
        <v>30.16</v>
      </c>
      <c r="AB6413" s="2" t="s">
        <v>86</v>
      </c>
      <c r="AC6413" s="6">
        <v>166.93</v>
      </c>
    </row>
    <row r="6414" spans="1:29" ht="104" x14ac:dyDescent="0.15">
      <c r="A6414" s="3">
        <f>DATE(2001,12,6)</f>
        <v>37231</v>
      </c>
      <c r="B6414" s="3">
        <f>DATE(2002,4,12)</f>
        <v>37358</v>
      </c>
      <c r="C6414" s="2" t="s">
        <v>95</v>
      </c>
      <c r="D6414" s="2" t="s">
        <v>19574</v>
      </c>
      <c r="E6414" s="2" t="s">
        <v>19575</v>
      </c>
      <c r="F6414" s="4">
        <v>3841</v>
      </c>
      <c r="G6414" s="2" t="s">
        <v>226</v>
      </c>
      <c r="H6414" s="2" t="s">
        <v>34</v>
      </c>
      <c r="I6414" s="2" t="s">
        <v>769</v>
      </c>
      <c r="J6414" s="2" t="s">
        <v>770</v>
      </c>
      <c r="K6414" s="2" t="s">
        <v>226</v>
      </c>
      <c r="L6414" s="2" t="s">
        <v>34</v>
      </c>
      <c r="M6414" s="12">
        <v>50204.720999999998</v>
      </c>
      <c r="N6414" s="6">
        <v>48.42</v>
      </c>
      <c r="O6414" s="4">
        <v>48</v>
      </c>
      <c r="P6414" s="2" t="s">
        <v>19576</v>
      </c>
      <c r="Q6414" s="6">
        <v>83.3</v>
      </c>
      <c r="R6414" s="6">
        <v>7.91</v>
      </c>
      <c r="S6414" s="5">
        <v>-10.6</v>
      </c>
      <c r="T6414" s="5">
        <v>-9.1999999999999993</v>
      </c>
      <c r="U6414" s="5">
        <v>0.2</v>
      </c>
      <c r="V6414" s="6">
        <v>-0.32</v>
      </c>
      <c r="W6414" s="5">
        <v>5.9</v>
      </c>
      <c r="X6414" s="6">
        <v>5.67</v>
      </c>
      <c r="Y6414" s="6">
        <v>7.75</v>
      </c>
      <c r="Z6414" s="6">
        <v>7.81</v>
      </c>
      <c r="AA6414" s="6">
        <v>36.049999999999997</v>
      </c>
      <c r="AB6414" s="2" t="s">
        <v>86</v>
      </c>
      <c r="AC6414" s="5">
        <v>283.10000000000002</v>
      </c>
    </row>
    <row r="6415" spans="1:29" ht="182" x14ac:dyDescent="0.15">
      <c r="A6415" s="3">
        <f>DATE(2001,12,7)</f>
        <v>37232</v>
      </c>
      <c r="B6415" s="3">
        <f>DATE(2002,4,15)</f>
        <v>37361</v>
      </c>
      <c r="C6415" s="2" t="s">
        <v>95</v>
      </c>
      <c r="D6415" s="2" t="s">
        <v>19080</v>
      </c>
      <c r="E6415" s="2" t="s">
        <v>19081</v>
      </c>
      <c r="F6415" s="4">
        <v>7373</v>
      </c>
      <c r="G6415" s="2" t="s">
        <v>223</v>
      </c>
      <c r="H6415" s="2" t="s">
        <v>34</v>
      </c>
      <c r="I6415" s="2" t="s">
        <v>6919</v>
      </c>
      <c r="J6415" s="2" t="s">
        <v>6920</v>
      </c>
      <c r="K6415" s="2" t="s">
        <v>223</v>
      </c>
      <c r="L6415" s="2" t="s">
        <v>34</v>
      </c>
      <c r="M6415" s="10">
        <v>1325.17</v>
      </c>
      <c r="N6415" s="6">
        <v>23.65</v>
      </c>
      <c r="O6415" s="6">
        <v>24.22</v>
      </c>
      <c r="P6415" s="2" t="s">
        <v>19577</v>
      </c>
      <c r="Q6415" s="6">
        <v>100</v>
      </c>
      <c r="R6415" s="6">
        <v>11</v>
      </c>
      <c r="S6415" s="5">
        <v>-4.5999999999999996</v>
      </c>
      <c r="T6415" s="7">
        <v>-2.464</v>
      </c>
      <c r="U6415" s="5">
        <v>2.4</v>
      </c>
      <c r="V6415" s="6">
        <v>-0.51</v>
      </c>
      <c r="W6415" s="6">
        <v>7.19</v>
      </c>
      <c r="X6415" s="6">
        <v>7.36</v>
      </c>
      <c r="Y6415" s="6">
        <v>7.19</v>
      </c>
      <c r="Z6415" s="5">
        <v>7.9</v>
      </c>
      <c r="AA6415" s="6">
        <v>9.06</v>
      </c>
      <c r="AB6415" s="2" t="s">
        <v>86</v>
      </c>
      <c r="AC6415" s="5">
        <v>139.19999999999999</v>
      </c>
    </row>
    <row r="6416" spans="1:29" ht="52" x14ac:dyDescent="0.15">
      <c r="A6416" s="3">
        <f>DATE(2001,12,7)</f>
        <v>37232</v>
      </c>
      <c r="B6416" s="3">
        <f>DATE(2002,2,19)</f>
        <v>37306</v>
      </c>
      <c r="C6416" s="2" t="s">
        <v>95</v>
      </c>
      <c r="D6416" s="2" t="s">
        <v>19578</v>
      </c>
      <c r="E6416" s="2" t="s">
        <v>19579</v>
      </c>
      <c r="F6416" s="4">
        <v>7372</v>
      </c>
      <c r="G6416" s="2" t="s">
        <v>551</v>
      </c>
      <c r="H6416" s="2" t="s">
        <v>34</v>
      </c>
      <c r="I6416" s="2" t="s">
        <v>16796</v>
      </c>
      <c r="J6416" s="2" t="s">
        <v>16797</v>
      </c>
      <c r="K6416" s="2" t="s">
        <v>551</v>
      </c>
      <c r="L6416" s="2" t="s">
        <v>34</v>
      </c>
      <c r="M6416" s="2"/>
      <c r="N6416" s="2"/>
      <c r="O6416" s="2"/>
      <c r="P6416" s="2" t="s">
        <v>19580</v>
      </c>
      <c r="Q6416" s="6">
        <v>100</v>
      </c>
      <c r="R6416" s="6">
        <v>4.75</v>
      </c>
      <c r="S6416" s="5">
        <v>-2</v>
      </c>
      <c r="T6416" s="2"/>
      <c r="U6416" s="5">
        <v>2.7</v>
      </c>
      <c r="V6416" s="6">
        <v>-0.09</v>
      </c>
      <c r="W6416" s="5">
        <v>2.2000000000000002</v>
      </c>
      <c r="X6416" s="5">
        <v>2.6</v>
      </c>
      <c r="Y6416" s="6">
        <v>4.25</v>
      </c>
      <c r="Z6416" s="6">
        <v>4.32</v>
      </c>
      <c r="AA6416" s="6">
        <v>12.49</v>
      </c>
      <c r="AB6416" s="2" t="s">
        <v>86</v>
      </c>
      <c r="AC6416" s="2"/>
    </row>
    <row r="6417" spans="1:29" ht="143" x14ac:dyDescent="0.15">
      <c r="A6417" s="3">
        <f>DATE(2001,12,12)</f>
        <v>37237</v>
      </c>
      <c r="B6417" s="2"/>
      <c r="C6417" s="2" t="s">
        <v>30</v>
      </c>
      <c r="D6417" s="2" t="s">
        <v>19164</v>
      </c>
      <c r="E6417" s="2" t="s">
        <v>1027</v>
      </c>
      <c r="F6417" s="4">
        <v>4813</v>
      </c>
      <c r="G6417" s="2" t="s">
        <v>63</v>
      </c>
      <c r="H6417" s="2" t="s">
        <v>34</v>
      </c>
      <c r="I6417" s="2" t="s">
        <v>19581</v>
      </c>
      <c r="J6417" s="2" t="s">
        <v>19582</v>
      </c>
      <c r="K6417" s="2" t="s">
        <v>63</v>
      </c>
      <c r="L6417" s="2" t="s">
        <v>34</v>
      </c>
      <c r="M6417" s="7">
        <v>145.233</v>
      </c>
      <c r="N6417" s="4">
        <v>63</v>
      </c>
      <c r="O6417" s="6">
        <v>61.51</v>
      </c>
      <c r="P6417" s="2" t="s">
        <v>19583</v>
      </c>
      <c r="Q6417" s="2"/>
      <c r="R6417" s="6">
        <v>33</v>
      </c>
      <c r="S6417" s="5">
        <v>2.9</v>
      </c>
      <c r="T6417" s="6">
        <v>29.01</v>
      </c>
      <c r="U6417" s="5">
        <v>9.1999999999999993</v>
      </c>
      <c r="V6417" s="6">
        <v>0.31</v>
      </c>
      <c r="W6417" s="5">
        <v>30.3</v>
      </c>
      <c r="X6417" s="6">
        <v>31.75</v>
      </c>
      <c r="Y6417" s="4">
        <v>37</v>
      </c>
      <c r="Z6417" s="6">
        <v>37.15</v>
      </c>
      <c r="AA6417" s="6">
        <v>8.07</v>
      </c>
      <c r="AB6417" s="7">
        <v>30.126000000000001</v>
      </c>
      <c r="AC6417" s="5">
        <v>31</v>
      </c>
    </row>
    <row r="6418" spans="1:29" ht="156" x14ac:dyDescent="0.15">
      <c r="A6418" s="3">
        <f>DATE(2001,12,12)</f>
        <v>37237</v>
      </c>
      <c r="B6418" s="3">
        <f>DATE(2002,2,13)</f>
        <v>37300</v>
      </c>
      <c r="C6418" s="2" t="s">
        <v>95</v>
      </c>
      <c r="D6418" s="2" t="s">
        <v>19068</v>
      </c>
      <c r="E6418" s="2" t="s">
        <v>19069</v>
      </c>
      <c r="F6418" s="4">
        <v>7361</v>
      </c>
      <c r="G6418" s="2" t="s">
        <v>223</v>
      </c>
      <c r="H6418" s="2" t="s">
        <v>34</v>
      </c>
      <c r="I6418" s="2" t="s">
        <v>12515</v>
      </c>
      <c r="J6418" s="2" t="s">
        <v>12371</v>
      </c>
      <c r="K6418" s="2" t="s">
        <v>223</v>
      </c>
      <c r="L6418" s="2" t="s">
        <v>34</v>
      </c>
      <c r="M6418" s="12">
        <v>8663.7990000000009</v>
      </c>
      <c r="N6418" s="6">
        <v>19.14</v>
      </c>
      <c r="O6418" s="6">
        <v>17.579999999999998</v>
      </c>
      <c r="P6418" s="2" t="s">
        <v>19584</v>
      </c>
      <c r="Q6418" s="6">
        <v>100</v>
      </c>
      <c r="R6418" s="6">
        <v>10.5</v>
      </c>
      <c r="S6418" s="5">
        <v>-32.700000000000003</v>
      </c>
      <c r="T6418" s="5">
        <v>-6.4</v>
      </c>
      <c r="U6418" s="5">
        <v>3.1</v>
      </c>
      <c r="V6418" s="6">
        <v>-0.88</v>
      </c>
      <c r="W6418" s="6">
        <v>7.91</v>
      </c>
      <c r="X6418" s="5">
        <v>10.1</v>
      </c>
      <c r="Y6418" s="6">
        <v>10.88</v>
      </c>
      <c r="Z6418" s="6">
        <v>12.49</v>
      </c>
      <c r="AA6418" s="6">
        <v>38.659999999999997</v>
      </c>
      <c r="AB6418" s="2" t="s">
        <v>86</v>
      </c>
      <c r="AC6418" s="5">
        <v>346.1</v>
      </c>
    </row>
    <row r="6419" spans="1:29" ht="117" x14ac:dyDescent="0.15">
      <c r="A6419" s="3">
        <f>DATE(2001,12,14)</f>
        <v>37239</v>
      </c>
      <c r="B6419" s="3">
        <f>DATE(2002,4,30)</f>
        <v>37376</v>
      </c>
      <c r="C6419" s="2" t="s">
        <v>95</v>
      </c>
      <c r="D6419" s="2" t="s">
        <v>19585</v>
      </c>
      <c r="E6419" s="2" t="s">
        <v>92</v>
      </c>
      <c r="F6419" s="4">
        <v>6798</v>
      </c>
      <c r="G6419" s="2" t="s">
        <v>53</v>
      </c>
      <c r="H6419" s="2" t="s">
        <v>34</v>
      </c>
      <c r="I6419" s="2" t="s">
        <v>19586</v>
      </c>
      <c r="J6419" s="2" t="s">
        <v>3941</v>
      </c>
      <c r="K6419" s="2" t="s">
        <v>53</v>
      </c>
      <c r="L6419" s="2" t="s">
        <v>34</v>
      </c>
      <c r="M6419" s="2"/>
      <c r="N6419" s="2"/>
      <c r="O6419" s="2"/>
      <c r="P6419" s="2" t="s">
        <v>19587</v>
      </c>
      <c r="Q6419" s="6">
        <v>100</v>
      </c>
      <c r="R6419" s="2"/>
      <c r="S6419" s="2"/>
      <c r="T6419" s="2"/>
      <c r="U6419" s="2"/>
      <c r="V6419" s="2"/>
      <c r="W6419" s="7">
        <v>7.3129999999999997</v>
      </c>
      <c r="X6419" s="7">
        <v>7.3129999999999997</v>
      </c>
      <c r="Y6419" s="7">
        <v>7.3129999999999997</v>
      </c>
      <c r="Z6419" s="7">
        <v>7.3129999999999997</v>
      </c>
      <c r="AA6419" s="6">
        <v>7.15</v>
      </c>
      <c r="AB6419" s="2" t="s">
        <v>47</v>
      </c>
      <c r="AC6419" s="2"/>
    </row>
    <row r="6420" spans="1:29" ht="169" x14ac:dyDescent="0.15">
      <c r="A6420" s="3">
        <f>DATE(2001,12,14)</f>
        <v>37239</v>
      </c>
      <c r="B6420" s="3">
        <f>DATE(2002,5,14)</f>
        <v>37390</v>
      </c>
      <c r="C6420" s="2" t="s">
        <v>95</v>
      </c>
      <c r="D6420" s="2" t="s">
        <v>16608</v>
      </c>
      <c r="E6420" s="2" t="s">
        <v>16609</v>
      </c>
      <c r="F6420" s="4">
        <v>6531</v>
      </c>
      <c r="G6420" s="2" t="s">
        <v>109</v>
      </c>
      <c r="H6420" s="2" t="s">
        <v>34</v>
      </c>
      <c r="I6420" s="2" t="s">
        <v>4726</v>
      </c>
      <c r="J6420" s="2" t="s">
        <v>4727</v>
      </c>
      <c r="K6420" s="2" t="s">
        <v>370</v>
      </c>
      <c r="L6420" s="2" t="s">
        <v>34</v>
      </c>
      <c r="M6420" s="2"/>
      <c r="N6420" s="2"/>
      <c r="O6420" s="2"/>
      <c r="P6420" s="2" t="s">
        <v>19588</v>
      </c>
      <c r="Q6420" s="6">
        <v>100</v>
      </c>
      <c r="R6420" s="2"/>
      <c r="S6420" s="5">
        <v>333</v>
      </c>
      <c r="T6420" s="5">
        <v>664.1</v>
      </c>
      <c r="U6420" s="5">
        <v>31</v>
      </c>
      <c r="V6420" s="6">
        <v>2.29</v>
      </c>
      <c r="W6420" s="4">
        <v>1055</v>
      </c>
      <c r="X6420" s="4">
        <v>1050</v>
      </c>
      <c r="Y6420" s="4">
        <v>1050</v>
      </c>
      <c r="Z6420" s="4">
        <v>1260</v>
      </c>
      <c r="AA6420" s="6">
        <v>94.13</v>
      </c>
      <c r="AB6420" s="7">
        <v>9.7309999999999999</v>
      </c>
      <c r="AC6420" s="2"/>
    </row>
    <row r="6421" spans="1:29" ht="208" x14ac:dyDescent="0.15">
      <c r="A6421" s="3">
        <f>DATE(2001,12,17)</f>
        <v>37242</v>
      </c>
      <c r="B6421" s="3">
        <f>DATE(2002,6,26)</f>
        <v>37433</v>
      </c>
      <c r="C6421" s="2" t="s">
        <v>95</v>
      </c>
      <c r="D6421" s="2" t="s">
        <v>2825</v>
      </c>
      <c r="E6421" s="2" t="s">
        <v>1046</v>
      </c>
      <c r="F6421" s="4">
        <v>3674</v>
      </c>
      <c r="G6421" s="2" t="s">
        <v>137</v>
      </c>
      <c r="H6421" s="2" t="s">
        <v>34</v>
      </c>
      <c r="I6421" s="2" t="s">
        <v>19589</v>
      </c>
      <c r="J6421" s="2" t="s">
        <v>19590</v>
      </c>
      <c r="K6421" s="2" t="s">
        <v>137</v>
      </c>
      <c r="L6421" s="2" t="s">
        <v>34</v>
      </c>
      <c r="M6421" s="2"/>
      <c r="N6421" s="2"/>
      <c r="O6421" s="2"/>
      <c r="P6421" s="2" t="s">
        <v>19591</v>
      </c>
      <c r="Q6421" s="6">
        <v>100</v>
      </c>
      <c r="R6421" s="6">
        <v>46.37</v>
      </c>
      <c r="S6421" s="5">
        <v>8.5</v>
      </c>
      <c r="T6421" s="5">
        <v>22.7</v>
      </c>
      <c r="U6421" s="5">
        <v>6.8</v>
      </c>
      <c r="V6421" s="6">
        <v>0.19</v>
      </c>
      <c r="W6421" s="6">
        <v>23.95</v>
      </c>
      <c r="X6421" s="5">
        <v>21.2</v>
      </c>
      <c r="Y6421" s="6">
        <v>26.35</v>
      </c>
      <c r="Z6421" s="6">
        <v>26.99</v>
      </c>
      <c r="AA6421" s="6">
        <v>44.12</v>
      </c>
      <c r="AB6421" s="7">
        <v>584.66099999999994</v>
      </c>
      <c r="AC6421" s="2"/>
    </row>
    <row r="6422" spans="1:29" ht="78" x14ac:dyDescent="0.15">
      <c r="A6422" s="3">
        <f>DATE(2001,12,17)</f>
        <v>37242</v>
      </c>
      <c r="B6422" s="3">
        <f>DATE(2002,2,11)</f>
        <v>37298</v>
      </c>
      <c r="C6422" s="2" t="s">
        <v>95</v>
      </c>
      <c r="D6422" s="2" t="s">
        <v>19592</v>
      </c>
      <c r="E6422" s="2" t="s">
        <v>3845</v>
      </c>
      <c r="F6422" s="4">
        <v>6141</v>
      </c>
      <c r="G6422" s="2" t="s">
        <v>370</v>
      </c>
      <c r="H6422" s="2" t="s">
        <v>34</v>
      </c>
      <c r="I6422" s="2" t="s">
        <v>9795</v>
      </c>
      <c r="J6422" s="2" t="s">
        <v>2071</v>
      </c>
      <c r="K6422" s="2" t="s">
        <v>109</v>
      </c>
      <c r="L6422" s="2" t="s">
        <v>34</v>
      </c>
      <c r="M6422" s="12">
        <v>15949.236000000001</v>
      </c>
      <c r="N6422" s="6">
        <v>19.05</v>
      </c>
      <c r="O6422" s="5">
        <v>19.5</v>
      </c>
      <c r="P6422" s="2" t="s">
        <v>19593</v>
      </c>
      <c r="Q6422" s="6">
        <v>100</v>
      </c>
      <c r="R6422" s="6">
        <v>3</v>
      </c>
      <c r="S6422" s="5">
        <v>8.1999999999999993</v>
      </c>
      <c r="T6422" s="5">
        <v>38.700000000000003</v>
      </c>
      <c r="U6422" s="5">
        <v>3.3</v>
      </c>
      <c r="V6422" s="6">
        <v>0.28000000000000003</v>
      </c>
      <c r="W6422" s="7">
        <v>11.625</v>
      </c>
      <c r="X6422" s="7">
        <v>11.625</v>
      </c>
      <c r="Y6422" s="7">
        <v>11.625</v>
      </c>
      <c r="Z6422" s="7">
        <v>11.625</v>
      </c>
      <c r="AA6422" s="6">
        <v>28.38</v>
      </c>
      <c r="AB6422" s="7">
        <v>10.262</v>
      </c>
      <c r="AC6422" s="8">
        <v>3201</v>
      </c>
    </row>
    <row r="6423" spans="1:29" ht="195" x14ac:dyDescent="0.15">
      <c r="A6423" s="3">
        <f>DATE(2001,12,17)</f>
        <v>37242</v>
      </c>
      <c r="B6423" s="3">
        <f>DATE(2002,7,16)</f>
        <v>37453</v>
      </c>
      <c r="C6423" s="2" t="s">
        <v>95</v>
      </c>
      <c r="D6423" s="2" t="s">
        <v>3409</v>
      </c>
      <c r="E6423" s="2" t="s">
        <v>540</v>
      </c>
      <c r="F6423" s="4">
        <v>2836</v>
      </c>
      <c r="G6423" s="2" t="s">
        <v>130</v>
      </c>
      <c r="H6423" s="2" t="s">
        <v>34</v>
      </c>
      <c r="I6423" s="2" t="s">
        <v>5534</v>
      </c>
      <c r="J6423" s="2" t="s">
        <v>5535</v>
      </c>
      <c r="K6423" s="2" t="s">
        <v>130</v>
      </c>
      <c r="L6423" s="2" t="s">
        <v>34</v>
      </c>
      <c r="M6423" s="12">
        <v>61005.578999999998</v>
      </c>
      <c r="N6423" s="6">
        <v>59.49</v>
      </c>
      <c r="O6423" s="6">
        <v>58.39</v>
      </c>
      <c r="P6423" s="2" t="s">
        <v>19594</v>
      </c>
      <c r="Q6423" s="6">
        <v>100</v>
      </c>
      <c r="R6423" s="6">
        <v>29.15</v>
      </c>
      <c r="S6423" s="5">
        <v>128.30000000000001</v>
      </c>
      <c r="T6423" s="7">
        <v>89.328000000000003</v>
      </c>
      <c r="U6423" s="5">
        <v>3.7</v>
      </c>
      <c r="V6423" s="6">
        <v>0.23</v>
      </c>
      <c r="W6423" s="6">
        <v>25.52</v>
      </c>
      <c r="X6423" s="6">
        <v>24.45</v>
      </c>
      <c r="Y6423" s="6">
        <v>26.96</v>
      </c>
      <c r="Z6423" s="6">
        <v>25.62</v>
      </c>
      <c r="AA6423" s="6">
        <v>544.63</v>
      </c>
      <c r="AB6423" s="7">
        <v>252.39400000000001</v>
      </c>
      <c r="AC6423" s="8">
        <v>2429.1999999999998</v>
      </c>
    </row>
    <row r="6424" spans="1:29" ht="195" x14ac:dyDescent="0.15">
      <c r="A6424" s="3">
        <f>DATE(2001,12,18)</f>
        <v>37243</v>
      </c>
      <c r="B6424" s="3">
        <f>DATE(2002,2,21)</f>
        <v>37308</v>
      </c>
      <c r="C6424" s="2" t="s">
        <v>95</v>
      </c>
      <c r="D6424" s="2" t="s">
        <v>19595</v>
      </c>
      <c r="E6424" s="2" t="s">
        <v>19596</v>
      </c>
      <c r="F6424" s="4">
        <v>7382</v>
      </c>
      <c r="G6424" s="2" t="s">
        <v>223</v>
      </c>
      <c r="H6424" s="2" t="s">
        <v>34</v>
      </c>
      <c r="I6424" s="2" t="s">
        <v>19597</v>
      </c>
      <c r="J6424" s="2" t="s">
        <v>19598</v>
      </c>
      <c r="K6424" s="2" t="s">
        <v>137</v>
      </c>
      <c r="L6424" s="2" t="s">
        <v>34</v>
      </c>
      <c r="M6424" s="2"/>
      <c r="N6424" s="2"/>
      <c r="O6424" s="2"/>
      <c r="P6424" s="2" t="s">
        <v>19599</v>
      </c>
      <c r="Q6424" s="6">
        <v>100</v>
      </c>
      <c r="R6424" s="6">
        <v>38.86</v>
      </c>
      <c r="S6424" s="5">
        <v>23.5</v>
      </c>
      <c r="T6424" s="5">
        <v>100.9</v>
      </c>
      <c r="U6424" s="5">
        <v>13.4</v>
      </c>
      <c r="V6424" s="6">
        <v>1.28</v>
      </c>
      <c r="W6424" s="6">
        <v>25.07</v>
      </c>
      <c r="X6424" s="6">
        <v>28.71</v>
      </c>
      <c r="Y6424" s="6">
        <v>38.630000000000003</v>
      </c>
      <c r="Z6424" s="6">
        <v>38.450000000000003</v>
      </c>
      <c r="AA6424" s="6">
        <v>19.559999999999999</v>
      </c>
      <c r="AB6424" s="7">
        <v>16.588000000000001</v>
      </c>
      <c r="AC6424" s="2"/>
    </row>
    <row r="6425" spans="1:29" ht="117" x14ac:dyDescent="0.15">
      <c r="A6425" s="3">
        <f>DATE(2001,12,18)</f>
        <v>37243</v>
      </c>
      <c r="B6425" s="3">
        <f>DATE(2002,4,15)</f>
        <v>37361</v>
      </c>
      <c r="C6425" s="2" t="s">
        <v>95</v>
      </c>
      <c r="D6425" s="2" t="s">
        <v>19600</v>
      </c>
      <c r="E6425" s="2" t="s">
        <v>19601</v>
      </c>
      <c r="F6425" s="4">
        <v>3845</v>
      </c>
      <c r="G6425" s="2" t="s">
        <v>226</v>
      </c>
      <c r="H6425" s="2" t="s">
        <v>34</v>
      </c>
      <c r="I6425" s="2" t="s">
        <v>10926</v>
      </c>
      <c r="J6425" s="2" t="s">
        <v>10927</v>
      </c>
      <c r="K6425" s="2" t="s">
        <v>226</v>
      </c>
      <c r="L6425" s="2" t="s">
        <v>34</v>
      </c>
      <c r="M6425" s="7">
        <v>112.104</v>
      </c>
      <c r="N6425" s="5">
        <v>34.6</v>
      </c>
      <c r="O6425" s="5">
        <v>34.299999999999997</v>
      </c>
      <c r="P6425" s="2" t="s">
        <v>19602</v>
      </c>
      <c r="Q6425" s="6">
        <v>100</v>
      </c>
      <c r="R6425" s="6">
        <v>8</v>
      </c>
      <c r="S6425" s="5">
        <v>0.1</v>
      </c>
      <c r="T6425" s="7">
        <v>8.4079999999999995</v>
      </c>
      <c r="U6425" s="5">
        <v>3.8</v>
      </c>
      <c r="V6425" s="6">
        <v>0.01</v>
      </c>
      <c r="W6425" s="5">
        <v>7.3</v>
      </c>
      <c r="X6425" s="6">
        <v>7.45</v>
      </c>
      <c r="Y6425" s="5">
        <v>7.5</v>
      </c>
      <c r="Z6425" s="6">
        <v>8.09</v>
      </c>
      <c r="AA6425" s="6">
        <v>8.77</v>
      </c>
      <c r="AB6425" s="7">
        <v>13.452</v>
      </c>
      <c r="AC6425" s="5">
        <v>37.4</v>
      </c>
    </row>
    <row r="6426" spans="1:29" ht="221" x14ac:dyDescent="0.15">
      <c r="A6426" s="3">
        <f>DATE(2001,12,18)</f>
        <v>37243</v>
      </c>
      <c r="B6426" s="3">
        <f>DATE(2002,3,15)</f>
        <v>37330</v>
      </c>
      <c r="C6426" s="2" t="s">
        <v>95</v>
      </c>
      <c r="D6426" s="2" t="s">
        <v>19603</v>
      </c>
      <c r="E6426" s="2" t="s">
        <v>612</v>
      </c>
      <c r="F6426" s="4">
        <v>1311</v>
      </c>
      <c r="G6426" s="2" t="s">
        <v>148</v>
      </c>
      <c r="H6426" s="2" t="s">
        <v>34</v>
      </c>
      <c r="I6426" s="2" t="s">
        <v>11399</v>
      </c>
      <c r="J6426" s="2" t="s">
        <v>1435</v>
      </c>
      <c r="K6426" s="2" t="s">
        <v>148</v>
      </c>
      <c r="L6426" s="2" t="s">
        <v>34</v>
      </c>
      <c r="M6426" s="7">
        <v>336.87299999999999</v>
      </c>
      <c r="N6426" s="6">
        <v>7.79</v>
      </c>
      <c r="O6426" s="6">
        <v>7.94</v>
      </c>
      <c r="P6426" s="2" t="s">
        <v>19604</v>
      </c>
      <c r="Q6426" s="6">
        <v>100</v>
      </c>
      <c r="R6426" s="6">
        <v>25.95</v>
      </c>
      <c r="S6426" s="5">
        <v>45</v>
      </c>
      <c r="T6426" s="7">
        <v>117.807</v>
      </c>
      <c r="U6426" s="5">
        <v>11.2</v>
      </c>
      <c r="V6426" s="6">
        <v>3.27</v>
      </c>
      <c r="W6426" s="6">
        <v>17.05</v>
      </c>
      <c r="X6426" s="5">
        <v>18.100000000000001</v>
      </c>
      <c r="Y6426" s="6">
        <v>22.51</v>
      </c>
      <c r="Z6426" s="6">
        <v>22.78</v>
      </c>
      <c r="AA6426" s="6">
        <v>12.54</v>
      </c>
      <c r="AB6426" s="7">
        <v>7.93</v>
      </c>
      <c r="AC6426" s="5">
        <v>3.1</v>
      </c>
    </row>
    <row r="6427" spans="1:29" ht="156" x14ac:dyDescent="0.15">
      <c r="A6427" s="3">
        <f>DATE(2001,12,19)</f>
        <v>37244</v>
      </c>
      <c r="B6427" s="2"/>
      <c r="C6427" s="2" t="s">
        <v>30</v>
      </c>
      <c r="D6427" s="2" t="s">
        <v>19605</v>
      </c>
      <c r="E6427" s="2" t="s">
        <v>58</v>
      </c>
      <c r="F6427" s="4">
        <v>4512</v>
      </c>
      <c r="G6427" s="2" t="s">
        <v>59</v>
      </c>
      <c r="H6427" s="2" t="s">
        <v>34</v>
      </c>
      <c r="I6427" s="2" t="s">
        <v>19606</v>
      </c>
      <c r="J6427" s="2" t="s">
        <v>58</v>
      </c>
      <c r="K6427" s="2" t="s">
        <v>59</v>
      </c>
      <c r="L6427" s="2" t="s">
        <v>34</v>
      </c>
      <c r="M6427" s="2"/>
      <c r="N6427" s="2"/>
      <c r="O6427" s="2"/>
      <c r="P6427" s="2" t="s">
        <v>19607</v>
      </c>
      <c r="Q6427" s="2"/>
      <c r="R6427" s="2"/>
      <c r="S6427" s="5">
        <v>-5.2</v>
      </c>
      <c r="T6427" s="7">
        <v>28.292999999999999</v>
      </c>
      <c r="U6427" s="5">
        <v>1</v>
      </c>
      <c r="V6427" s="6">
        <v>-0.08</v>
      </c>
      <c r="W6427" s="6">
        <v>2.4900000000000002</v>
      </c>
      <c r="X6427" s="5">
        <v>2.5</v>
      </c>
      <c r="Y6427" s="5">
        <v>2.5</v>
      </c>
      <c r="Z6427" s="6">
        <v>3.11</v>
      </c>
      <c r="AA6427" s="6">
        <v>34.15</v>
      </c>
      <c r="AB6427" s="2" t="s">
        <v>47</v>
      </c>
      <c r="AC6427" s="2"/>
    </row>
    <row r="6428" spans="1:29" ht="130" x14ac:dyDescent="0.15">
      <c r="A6428" s="3">
        <f>DATE(2001,12,19)</f>
        <v>37244</v>
      </c>
      <c r="B6428" s="3">
        <f>DATE(2002,6,17)</f>
        <v>37424</v>
      </c>
      <c r="C6428" s="2" t="s">
        <v>95</v>
      </c>
      <c r="D6428" s="2" t="s">
        <v>19608</v>
      </c>
      <c r="E6428" s="2" t="s">
        <v>1181</v>
      </c>
      <c r="F6428" s="4">
        <v>6021</v>
      </c>
      <c r="G6428" s="2" t="s">
        <v>37</v>
      </c>
      <c r="H6428" s="2" t="s">
        <v>34</v>
      </c>
      <c r="I6428" s="2" t="s">
        <v>19609</v>
      </c>
      <c r="J6428" s="2" t="s">
        <v>36</v>
      </c>
      <c r="K6428" s="2" t="s">
        <v>37</v>
      </c>
      <c r="L6428" s="2" t="s">
        <v>34</v>
      </c>
      <c r="M6428" s="7">
        <v>9.7040000000000006</v>
      </c>
      <c r="N6428" s="6">
        <v>10.75</v>
      </c>
      <c r="O6428" s="6">
        <v>10.75</v>
      </c>
      <c r="P6428" s="2" t="s">
        <v>19610</v>
      </c>
      <c r="Q6428" s="6">
        <v>100</v>
      </c>
      <c r="R6428" s="6">
        <v>10.69</v>
      </c>
      <c r="S6428" s="5">
        <v>-1</v>
      </c>
      <c r="T6428" s="2"/>
      <c r="U6428" s="5">
        <v>7.5</v>
      </c>
      <c r="V6428" s="6">
        <v>-1.62</v>
      </c>
      <c r="W6428" s="6">
        <v>6.05</v>
      </c>
      <c r="X6428" s="6">
        <v>6.75</v>
      </c>
      <c r="Y6428" s="5">
        <v>9.8000000000000007</v>
      </c>
      <c r="Z6428" s="4">
        <v>10</v>
      </c>
      <c r="AA6428" s="6">
        <v>0.54</v>
      </c>
      <c r="AB6428" s="2" t="s">
        <v>86</v>
      </c>
      <c r="AC6428" s="2"/>
    </row>
    <row r="6429" spans="1:29" ht="91" x14ac:dyDescent="0.15">
      <c r="A6429" s="3">
        <f>DATE(2001,12,20)</f>
        <v>37245</v>
      </c>
      <c r="B6429" s="2"/>
      <c r="C6429" s="2" t="s">
        <v>30</v>
      </c>
      <c r="D6429" s="2" t="s">
        <v>19611</v>
      </c>
      <c r="E6429" s="2" t="s">
        <v>19612</v>
      </c>
      <c r="F6429" s="4">
        <v>7372</v>
      </c>
      <c r="G6429" s="2" t="s">
        <v>551</v>
      </c>
      <c r="H6429" s="2" t="s">
        <v>34</v>
      </c>
      <c r="I6429" s="2" t="s">
        <v>19613</v>
      </c>
      <c r="J6429" s="2" t="s">
        <v>19612</v>
      </c>
      <c r="K6429" s="2" t="s">
        <v>551</v>
      </c>
      <c r="L6429" s="2" t="s">
        <v>34</v>
      </c>
      <c r="M6429" s="6">
        <v>337.79</v>
      </c>
      <c r="N6429" s="5">
        <v>21.7</v>
      </c>
      <c r="O6429" s="6">
        <v>20.45</v>
      </c>
      <c r="P6429" s="2" t="s">
        <v>19614</v>
      </c>
      <c r="Q6429" s="2"/>
      <c r="R6429" s="6">
        <v>6</v>
      </c>
      <c r="S6429" s="5">
        <v>-16.5</v>
      </c>
      <c r="T6429" s="7">
        <v>-0.41699999999999998</v>
      </c>
      <c r="U6429" s="5">
        <v>2.2999999999999998</v>
      </c>
      <c r="V6429" s="6">
        <v>-0.8</v>
      </c>
      <c r="W6429" s="6">
        <v>3.98</v>
      </c>
      <c r="X6429" s="5">
        <v>4.5</v>
      </c>
      <c r="Y6429" s="6">
        <v>5.55</v>
      </c>
      <c r="Z6429" s="6">
        <v>6.15</v>
      </c>
      <c r="AA6429" s="6">
        <v>20.309999999999999</v>
      </c>
      <c r="AB6429" s="2" t="s">
        <v>86</v>
      </c>
      <c r="AC6429" s="5">
        <v>34.4</v>
      </c>
    </row>
    <row r="6430" spans="1:29" ht="130" x14ac:dyDescent="0.15">
      <c r="A6430" s="3">
        <f>DATE(2001,12,20)</f>
        <v>37245</v>
      </c>
      <c r="B6430" s="2"/>
      <c r="C6430" s="2" t="s">
        <v>30</v>
      </c>
      <c r="D6430" s="2" t="s">
        <v>19615</v>
      </c>
      <c r="E6430" s="2" t="s">
        <v>19616</v>
      </c>
      <c r="F6430" s="4">
        <v>7359</v>
      </c>
      <c r="G6430" s="2" t="s">
        <v>223</v>
      </c>
      <c r="H6430" s="2" t="s">
        <v>34</v>
      </c>
      <c r="I6430" s="2" t="s">
        <v>9732</v>
      </c>
      <c r="J6430" s="2" t="s">
        <v>9733</v>
      </c>
      <c r="K6430" s="2" t="s">
        <v>300</v>
      </c>
      <c r="L6430" s="2" t="s">
        <v>1791</v>
      </c>
      <c r="M6430" s="2"/>
      <c r="N6430" s="5">
        <v>57.4</v>
      </c>
      <c r="O6430" s="5">
        <v>58.2</v>
      </c>
      <c r="P6430" s="2" t="s">
        <v>19617</v>
      </c>
      <c r="Q6430" s="2"/>
      <c r="R6430" s="6">
        <v>38</v>
      </c>
      <c r="S6430" s="5">
        <v>27.2</v>
      </c>
      <c r="T6430" s="7">
        <v>75.292000000000002</v>
      </c>
      <c r="U6430" s="5">
        <v>4.5</v>
      </c>
      <c r="V6430" s="7">
        <v>1.095</v>
      </c>
      <c r="W6430" s="5">
        <v>24.8</v>
      </c>
      <c r="X6430" s="6">
        <v>24.97</v>
      </c>
      <c r="Y6430" s="5">
        <v>37.5</v>
      </c>
      <c r="Z6430" s="6">
        <v>37.51</v>
      </c>
      <c r="AA6430" s="6">
        <v>12.32</v>
      </c>
      <c r="AB6430" s="7">
        <v>21.433</v>
      </c>
      <c r="AC6430" s="8">
        <v>2587.1999999999998</v>
      </c>
    </row>
    <row r="6431" spans="1:29" ht="52" x14ac:dyDescent="0.15">
      <c r="A6431" s="3">
        <f>DATE(2002,1,3)</f>
        <v>37259</v>
      </c>
      <c r="B6431" s="2"/>
      <c r="C6431" s="2" t="s">
        <v>30</v>
      </c>
      <c r="D6431" s="2" t="s">
        <v>19618</v>
      </c>
      <c r="E6431" s="2" t="s">
        <v>19619</v>
      </c>
      <c r="F6431" s="4">
        <v>7379</v>
      </c>
      <c r="G6431" s="2" t="s">
        <v>223</v>
      </c>
      <c r="H6431" s="2" t="s">
        <v>34</v>
      </c>
      <c r="I6431" s="2" t="s">
        <v>19620</v>
      </c>
      <c r="J6431" s="2" t="s">
        <v>19621</v>
      </c>
      <c r="K6431" s="2" t="s">
        <v>223</v>
      </c>
      <c r="L6431" s="2" t="s">
        <v>34</v>
      </c>
      <c r="M6431" s="7">
        <v>74.572000000000003</v>
      </c>
      <c r="N6431" s="6">
        <v>6.08</v>
      </c>
      <c r="O6431" s="6">
        <v>6.72</v>
      </c>
      <c r="P6431" s="2" t="s">
        <v>19622</v>
      </c>
      <c r="Q6431" s="2"/>
      <c r="R6431" s="6">
        <v>2</v>
      </c>
      <c r="S6431" s="5">
        <v>-52.6</v>
      </c>
      <c r="T6431" s="5">
        <v>-26.8</v>
      </c>
      <c r="U6431" s="5">
        <v>2.5</v>
      </c>
      <c r="V6431" s="6">
        <v>-2.14</v>
      </c>
      <c r="W6431" s="5">
        <v>1.6</v>
      </c>
      <c r="X6431" s="6">
        <v>1.56</v>
      </c>
      <c r="Y6431" s="6">
        <v>1.95</v>
      </c>
      <c r="Z6431" s="6">
        <v>1.97</v>
      </c>
      <c r="AA6431" s="6">
        <v>24.91</v>
      </c>
      <c r="AB6431" s="2" t="s">
        <v>86</v>
      </c>
      <c r="AC6431" s="5">
        <v>7.7</v>
      </c>
    </row>
    <row r="6432" spans="1:29" ht="78" x14ac:dyDescent="0.15">
      <c r="A6432" s="3">
        <f>DATE(2002,1,5)</f>
        <v>37261</v>
      </c>
      <c r="B6432" s="3">
        <f>DATE(2002,4,24)</f>
        <v>37370</v>
      </c>
      <c r="C6432" s="2" t="s">
        <v>95</v>
      </c>
      <c r="D6432" s="2" t="s">
        <v>19623</v>
      </c>
      <c r="E6432" s="2" t="s">
        <v>19624</v>
      </c>
      <c r="F6432" s="4">
        <v>7372</v>
      </c>
      <c r="G6432" s="2" t="s">
        <v>551</v>
      </c>
      <c r="H6432" s="2" t="s">
        <v>34</v>
      </c>
      <c r="I6432" s="2" t="s">
        <v>19625</v>
      </c>
      <c r="J6432" s="2" t="s">
        <v>4679</v>
      </c>
      <c r="K6432" s="2" t="s">
        <v>551</v>
      </c>
      <c r="L6432" s="2" t="s">
        <v>34</v>
      </c>
      <c r="M6432" s="12">
        <v>2701.1309999999999</v>
      </c>
      <c r="N6432" s="6">
        <v>16.34</v>
      </c>
      <c r="O6432" s="6">
        <v>16.34</v>
      </c>
      <c r="P6432" s="2" t="s">
        <v>19626</v>
      </c>
      <c r="Q6432" s="6">
        <v>100</v>
      </c>
      <c r="R6432" s="6">
        <v>5.3</v>
      </c>
      <c r="S6432" s="5">
        <v>-20.2</v>
      </c>
      <c r="T6432" s="5">
        <v>-13.4</v>
      </c>
      <c r="U6432" s="5">
        <v>2.7</v>
      </c>
      <c r="V6432" s="6">
        <v>-1.1000000000000001</v>
      </c>
      <c r="W6432" s="6">
        <v>2.99</v>
      </c>
      <c r="X6432" s="6">
        <v>3.14</v>
      </c>
      <c r="Y6432" s="2"/>
      <c r="Z6432" s="2"/>
      <c r="AA6432" s="6">
        <v>19.3</v>
      </c>
      <c r="AB6432" s="2" t="s">
        <v>86</v>
      </c>
      <c r="AC6432" s="5">
        <v>100.2</v>
      </c>
    </row>
    <row r="6433" spans="1:29" ht="247" x14ac:dyDescent="0.15">
      <c r="A6433" s="3">
        <f>DATE(2002,1,7)</f>
        <v>37263</v>
      </c>
      <c r="B6433" s="3">
        <f>DATE(2002,2,27)</f>
        <v>37314</v>
      </c>
      <c r="C6433" s="2" t="s">
        <v>95</v>
      </c>
      <c r="D6433" s="2" t="s">
        <v>19627</v>
      </c>
      <c r="E6433" s="2" t="s">
        <v>19628</v>
      </c>
      <c r="F6433" s="4">
        <v>1623</v>
      </c>
      <c r="G6433" s="2" t="s">
        <v>341</v>
      </c>
      <c r="H6433" s="2" t="s">
        <v>34</v>
      </c>
      <c r="I6433" s="2" t="s">
        <v>2714</v>
      </c>
      <c r="J6433" s="2" t="s">
        <v>2715</v>
      </c>
      <c r="K6433" s="2" t="s">
        <v>341</v>
      </c>
      <c r="L6433" s="2" t="s">
        <v>34</v>
      </c>
      <c r="M6433" s="7">
        <v>715.13499999999999</v>
      </c>
      <c r="N6433" s="6">
        <v>17.440000000000001</v>
      </c>
      <c r="O6433" s="5">
        <v>17.3</v>
      </c>
      <c r="P6433" s="2" t="s">
        <v>19629</v>
      </c>
      <c r="Q6433" s="6">
        <v>100</v>
      </c>
      <c r="R6433" s="6">
        <v>5.76</v>
      </c>
      <c r="S6433" s="5">
        <v>-5</v>
      </c>
      <c r="T6433" s="5">
        <v>25.2</v>
      </c>
      <c r="U6433" s="5">
        <v>8.8000000000000007</v>
      </c>
      <c r="V6433" s="6">
        <v>-0.34</v>
      </c>
      <c r="W6433" s="6">
        <v>4.0599999999999996</v>
      </c>
      <c r="X6433" s="6">
        <v>4.42</v>
      </c>
      <c r="Y6433" s="6">
        <v>5.73</v>
      </c>
      <c r="Z6433" s="6">
        <v>5.61</v>
      </c>
      <c r="AA6433" s="6">
        <v>14.52</v>
      </c>
      <c r="AB6433" s="7">
        <v>308.88900000000001</v>
      </c>
      <c r="AC6433" s="6">
        <v>130.47999999999999</v>
      </c>
    </row>
    <row r="6434" spans="1:29" ht="117" x14ac:dyDescent="0.15">
      <c r="A6434" s="3">
        <f>DATE(2002,1,7)</f>
        <v>37263</v>
      </c>
      <c r="B6434" s="3">
        <f>DATE(2002,3,20)</f>
        <v>37335</v>
      </c>
      <c r="C6434" s="2" t="s">
        <v>95</v>
      </c>
      <c r="D6434" s="2" t="s">
        <v>19630</v>
      </c>
      <c r="E6434" s="2" t="s">
        <v>3461</v>
      </c>
      <c r="F6434" s="4">
        <v>2834</v>
      </c>
      <c r="G6434" s="2" t="s">
        <v>130</v>
      </c>
      <c r="H6434" s="2" t="s">
        <v>34</v>
      </c>
      <c r="I6434" s="2" t="s">
        <v>2124</v>
      </c>
      <c r="J6434" s="2" t="s">
        <v>2125</v>
      </c>
      <c r="K6434" s="2" t="s">
        <v>130</v>
      </c>
      <c r="L6434" s="2" t="s">
        <v>34</v>
      </c>
      <c r="M6434" s="12">
        <v>8256.4470000000001</v>
      </c>
      <c r="N6434" s="6">
        <v>42.66</v>
      </c>
      <c r="O6434" s="6">
        <v>43.41</v>
      </c>
      <c r="P6434" s="2" t="s">
        <v>19631</v>
      </c>
      <c r="Q6434" s="6">
        <v>100</v>
      </c>
      <c r="R6434" s="6">
        <v>2.21</v>
      </c>
      <c r="S6434" s="5">
        <v>-29.2</v>
      </c>
      <c r="T6434" s="5">
        <v>-30.3</v>
      </c>
      <c r="U6434" s="5">
        <v>1</v>
      </c>
      <c r="V6434" s="6">
        <v>-1.1299999999999999</v>
      </c>
      <c r="W6434" s="6">
        <v>1.57</v>
      </c>
      <c r="X6434" s="6">
        <v>2.59</v>
      </c>
      <c r="Y6434" s="6">
        <v>2.1800000000000002</v>
      </c>
      <c r="Z6434" s="6">
        <v>2.19</v>
      </c>
      <c r="AA6434" s="6">
        <v>26.53</v>
      </c>
      <c r="AB6434" s="2" t="s">
        <v>86</v>
      </c>
      <c r="AC6434" s="5">
        <v>320.7</v>
      </c>
    </row>
    <row r="6435" spans="1:29" ht="104" x14ac:dyDescent="0.15">
      <c r="A6435" s="3">
        <f>DATE(2002,1,7)</f>
        <v>37263</v>
      </c>
      <c r="B6435" s="3">
        <f>DATE(2002,3,31)</f>
        <v>37346</v>
      </c>
      <c r="C6435" s="2" t="s">
        <v>95</v>
      </c>
      <c r="D6435" s="2" t="s">
        <v>19632</v>
      </c>
      <c r="E6435" s="2" t="s">
        <v>19633</v>
      </c>
      <c r="F6435" s="4">
        <v>2086</v>
      </c>
      <c r="G6435" s="2" t="s">
        <v>577</v>
      </c>
      <c r="H6435" s="2" t="s">
        <v>34</v>
      </c>
      <c r="I6435" s="2" t="s">
        <v>19634</v>
      </c>
      <c r="J6435" s="2" t="s">
        <v>19635</v>
      </c>
      <c r="K6435" s="2" t="s">
        <v>577</v>
      </c>
      <c r="L6435" s="2" t="s">
        <v>7645</v>
      </c>
      <c r="M6435" s="10">
        <v>2298.89</v>
      </c>
      <c r="N6435" s="7">
        <v>12.596</v>
      </c>
      <c r="O6435" s="7">
        <v>12.561999999999999</v>
      </c>
      <c r="P6435" s="2" t="s">
        <v>19636</v>
      </c>
      <c r="Q6435" s="6">
        <v>100</v>
      </c>
      <c r="R6435" s="2"/>
      <c r="S6435" s="5">
        <v>1.5</v>
      </c>
      <c r="T6435" s="5">
        <v>3.1</v>
      </c>
      <c r="U6435" s="5">
        <v>2.7</v>
      </c>
      <c r="V6435" s="6">
        <v>0.44</v>
      </c>
      <c r="W6435" s="6">
        <v>6.01</v>
      </c>
      <c r="X6435" s="5">
        <v>6.1</v>
      </c>
      <c r="Y6435" s="6">
        <v>7.28</v>
      </c>
      <c r="Z6435" s="6">
        <v>7.29</v>
      </c>
      <c r="AA6435" s="6">
        <v>3.29</v>
      </c>
      <c r="AB6435" s="7">
        <v>10.6</v>
      </c>
      <c r="AC6435" s="6">
        <v>17.64</v>
      </c>
    </row>
    <row r="6436" spans="1:29" ht="195" x14ac:dyDescent="0.15">
      <c r="A6436" s="3">
        <f>DATE(2002,1,10)</f>
        <v>37266</v>
      </c>
      <c r="B6436" s="3">
        <f>DATE(2002,2,21)</f>
        <v>37308</v>
      </c>
      <c r="C6436" s="2" t="s">
        <v>95</v>
      </c>
      <c r="D6436" s="2" t="s">
        <v>19637</v>
      </c>
      <c r="E6436" s="2" t="s">
        <v>973</v>
      </c>
      <c r="F6436" s="4">
        <v>4813</v>
      </c>
      <c r="G6436" s="2" t="s">
        <v>63</v>
      </c>
      <c r="H6436" s="2" t="s">
        <v>34</v>
      </c>
      <c r="I6436" s="2" t="s">
        <v>19638</v>
      </c>
      <c r="J6436" s="2" t="s">
        <v>19639</v>
      </c>
      <c r="K6436" s="2" t="s">
        <v>63</v>
      </c>
      <c r="L6436" s="2" t="s">
        <v>34</v>
      </c>
      <c r="M6436" s="2"/>
      <c r="N6436" s="5">
        <v>0.8</v>
      </c>
      <c r="O6436" s="6">
        <v>1.65</v>
      </c>
      <c r="P6436" s="2" t="s">
        <v>19640</v>
      </c>
      <c r="Q6436" s="6">
        <v>100</v>
      </c>
      <c r="R6436" s="6">
        <v>3.5</v>
      </c>
      <c r="S6436" s="5">
        <v>-220.7</v>
      </c>
      <c r="T6436" s="5">
        <v>-61.2</v>
      </c>
      <c r="U6436" s="5">
        <v>36.799999999999997</v>
      </c>
      <c r="V6436" s="6">
        <v>-47.5</v>
      </c>
      <c r="W6436" s="6">
        <v>1.86</v>
      </c>
      <c r="X6436" s="6">
        <v>1.99</v>
      </c>
      <c r="Y6436" s="6">
        <v>1.98</v>
      </c>
      <c r="Z6436" s="6">
        <v>3.46</v>
      </c>
      <c r="AA6436" s="6">
        <v>4.93</v>
      </c>
      <c r="AB6436" s="2" t="s">
        <v>86</v>
      </c>
      <c r="AC6436" s="2"/>
    </row>
    <row r="6437" spans="1:29" ht="130" x14ac:dyDescent="0.15">
      <c r="A6437" s="3">
        <f>DATE(2002,1,11)</f>
        <v>37267</v>
      </c>
      <c r="B6437" s="2"/>
      <c r="C6437" s="2" t="s">
        <v>7330</v>
      </c>
      <c r="D6437" s="2" t="s">
        <v>19641</v>
      </c>
      <c r="E6437" s="2" t="s">
        <v>19642</v>
      </c>
      <c r="F6437" s="4">
        <v>7319</v>
      </c>
      <c r="G6437" s="2" t="s">
        <v>4563</v>
      </c>
      <c r="H6437" s="2" t="s">
        <v>34</v>
      </c>
      <c r="I6437" s="2" t="s">
        <v>51</v>
      </c>
      <c r="J6437" s="2" t="s">
        <v>52</v>
      </c>
      <c r="K6437" s="2" t="s">
        <v>53</v>
      </c>
      <c r="L6437" s="2" t="s">
        <v>34</v>
      </c>
      <c r="M6437" s="2"/>
      <c r="N6437" s="2"/>
      <c r="O6437" s="2"/>
      <c r="P6437" s="2" t="s">
        <v>19643</v>
      </c>
      <c r="Q6437" s="2"/>
      <c r="R6437" s="6">
        <v>8</v>
      </c>
      <c r="S6437" s="5">
        <v>21.6</v>
      </c>
      <c r="T6437" s="7">
        <v>29.533999999999999</v>
      </c>
      <c r="U6437" s="5">
        <v>4.5</v>
      </c>
      <c r="V6437" s="6">
        <v>1.1100000000000001</v>
      </c>
      <c r="W6437" s="6">
        <v>7.45</v>
      </c>
      <c r="X6437" s="6">
        <v>7.55</v>
      </c>
      <c r="Y6437" s="5">
        <v>7.6</v>
      </c>
      <c r="Z6437" s="6">
        <v>7.65</v>
      </c>
      <c r="AA6437" s="6">
        <v>19.420000000000002</v>
      </c>
      <c r="AB6437" s="7">
        <v>3.0110000000000001</v>
      </c>
      <c r="AC6437" s="2"/>
    </row>
    <row r="6438" spans="1:29" ht="156" x14ac:dyDescent="0.15">
      <c r="A6438" s="3">
        <f>DATE(2002,1,11)</f>
        <v>37267</v>
      </c>
      <c r="B6438" s="2"/>
      <c r="C6438" s="2" t="s">
        <v>7330</v>
      </c>
      <c r="D6438" s="2" t="s">
        <v>19644</v>
      </c>
      <c r="E6438" s="2" t="s">
        <v>36</v>
      </c>
      <c r="F6438" s="4">
        <v>6021</v>
      </c>
      <c r="G6438" s="2" t="s">
        <v>37</v>
      </c>
      <c r="H6438" s="2" t="s">
        <v>34</v>
      </c>
      <c r="I6438" s="2" t="s">
        <v>19645</v>
      </c>
      <c r="J6438" s="2" t="s">
        <v>36</v>
      </c>
      <c r="K6438" s="2" t="s">
        <v>37</v>
      </c>
      <c r="L6438" s="2" t="s">
        <v>34</v>
      </c>
      <c r="M6438" s="2"/>
      <c r="N6438" s="2"/>
      <c r="O6438" s="2"/>
      <c r="P6438" s="2" t="s">
        <v>19646</v>
      </c>
      <c r="Q6438" s="2"/>
      <c r="R6438" s="6">
        <v>32.9</v>
      </c>
      <c r="S6438" s="5">
        <v>1</v>
      </c>
      <c r="T6438" s="7">
        <v>2.3769999999999998</v>
      </c>
      <c r="U6438" s="5">
        <v>13.2</v>
      </c>
      <c r="V6438" s="6">
        <v>0.53</v>
      </c>
      <c r="W6438" s="6">
        <v>25.05</v>
      </c>
      <c r="X6438" s="5">
        <v>24.6</v>
      </c>
      <c r="Y6438" s="4">
        <v>26</v>
      </c>
      <c r="Z6438" s="4">
        <v>26</v>
      </c>
      <c r="AA6438" s="6">
        <v>1.92</v>
      </c>
      <c r="AB6438" s="7">
        <v>36.14</v>
      </c>
      <c r="AC6438" s="5">
        <v>20.6</v>
      </c>
    </row>
    <row r="6439" spans="1:29" ht="52" x14ac:dyDescent="0.15">
      <c r="A6439" s="3">
        <f>DATE(2002,1,15)</f>
        <v>37271</v>
      </c>
      <c r="B6439" s="2"/>
      <c r="C6439" s="2" t="s">
        <v>189</v>
      </c>
      <c r="D6439" s="2" t="s">
        <v>12692</v>
      </c>
      <c r="E6439" s="2" t="s">
        <v>12693</v>
      </c>
      <c r="F6439" s="4">
        <v>7812</v>
      </c>
      <c r="G6439" s="2" t="s">
        <v>42</v>
      </c>
      <c r="H6439" s="2" t="s">
        <v>34</v>
      </c>
      <c r="I6439" s="2" t="s">
        <v>143</v>
      </c>
      <c r="J6439" s="2" t="s">
        <v>144</v>
      </c>
      <c r="K6439" s="2" t="s">
        <v>53</v>
      </c>
      <c r="L6439" s="2" t="s">
        <v>139</v>
      </c>
      <c r="M6439" s="2"/>
      <c r="N6439" s="2"/>
      <c r="O6439" s="2"/>
      <c r="P6439" s="2" t="s">
        <v>19647</v>
      </c>
      <c r="Q6439" s="2"/>
      <c r="R6439" s="2"/>
      <c r="S6439" s="5">
        <v>-55.7</v>
      </c>
      <c r="T6439" s="5">
        <v>591.20000000000005</v>
      </c>
      <c r="U6439" s="5">
        <v>10.4</v>
      </c>
      <c r="V6439" s="6">
        <v>-0.22</v>
      </c>
      <c r="W6439" s="6">
        <v>20.75</v>
      </c>
      <c r="X6439" s="6">
        <v>19.88</v>
      </c>
      <c r="Y6439" s="6">
        <v>22.27</v>
      </c>
      <c r="Z6439" s="6">
        <v>21.53</v>
      </c>
      <c r="AA6439" s="6">
        <v>239.55</v>
      </c>
      <c r="AB6439" s="2" t="s">
        <v>47</v>
      </c>
      <c r="AC6439" s="2"/>
    </row>
    <row r="6440" spans="1:29" ht="117" x14ac:dyDescent="0.15">
      <c r="A6440" s="3">
        <f>DATE(2002,1,16)</f>
        <v>37272</v>
      </c>
      <c r="B6440" s="2"/>
      <c r="C6440" s="2" t="s">
        <v>30</v>
      </c>
      <c r="D6440" s="2" t="s">
        <v>19648</v>
      </c>
      <c r="E6440" s="2" t="s">
        <v>19649</v>
      </c>
      <c r="F6440" s="4">
        <v>7372</v>
      </c>
      <c r="G6440" s="2" t="s">
        <v>551</v>
      </c>
      <c r="H6440" s="2" t="s">
        <v>34</v>
      </c>
      <c r="I6440" s="2" t="s">
        <v>19650</v>
      </c>
      <c r="J6440" s="2" t="s">
        <v>11753</v>
      </c>
      <c r="K6440" s="2" t="s">
        <v>551</v>
      </c>
      <c r="L6440" s="2" t="s">
        <v>34</v>
      </c>
      <c r="M6440" s="12">
        <v>1334.4449999999999</v>
      </c>
      <c r="N6440" s="6">
        <v>22.75</v>
      </c>
      <c r="O6440" s="5">
        <v>19.3</v>
      </c>
      <c r="P6440" s="2" t="s">
        <v>19651</v>
      </c>
      <c r="Q6440" s="2"/>
      <c r="R6440" s="6">
        <v>10.29</v>
      </c>
      <c r="S6440" s="5">
        <v>-16.7</v>
      </c>
      <c r="T6440" s="5">
        <v>-12</v>
      </c>
      <c r="U6440" s="5">
        <v>2</v>
      </c>
      <c r="V6440" s="6">
        <v>-0.68</v>
      </c>
      <c r="W6440" s="6">
        <v>8.31</v>
      </c>
      <c r="X6440" s="6">
        <v>8.85</v>
      </c>
      <c r="Y6440" s="6">
        <v>8.31</v>
      </c>
      <c r="Z6440" s="6">
        <v>7.99</v>
      </c>
      <c r="AA6440" s="6">
        <v>25.27</v>
      </c>
      <c r="AB6440" s="2" t="s">
        <v>86</v>
      </c>
      <c r="AC6440" s="5">
        <v>65.099999999999994</v>
      </c>
    </row>
    <row r="6441" spans="1:29" ht="182" x14ac:dyDescent="0.15">
      <c r="A6441" s="3">
        <f>DATE(2002,1,16)</f>
        <v>37272</v>
      </c>
      <c r="B6441" s="2"/>
      <c r="C6441" s="2" t="s">
        <v>30</v>
      </c>
      <c r="D6441" s="2" t="s">
        <v>19652</v>
      </c>
      <c r="E6441" s="2" t="s">
        <v>19653</v>
      </c>
      <c r="F6441" s="4">
        <v>3312</v>
      </c>
      <c r="G6441" s="2" t="s">
        <v>163</v>
      </c>
      <c r="H6441" s="2" t="s">
        <v>34</v>
      </c>
      <c r="I6441" s="2" t="s">
        <v>19654</v>
      </c>
      <c r="J6441" s="2" t="s">
        <v>19655</v>
      </c>
      <c r="K6441" s="2" t="s">
        <v>163</v>
      </c>
      <c r="L6441" s="2" t="s">
        <v>34</v>
      </c>
      <c r="M6441" s="2"/>
      <c r="N6441" s="5">
        <v>17.7</v>
      </c>
      <c r="O6441" s="6">
        <v>18.309999999999999</v>
      </c>
      <c r="P6441" s="2" t="s">
        <v>19656</v>
      </c>
      <c r="Q6441" s="2"/>
      <c r="R6441" s="6">
        <v>1.52</v>
      </c>
      <c r="S6441" s="5">
        <v>-667.3</v>
      </c>
      <c r="T6441" s="5">
        <v>-305.2</v>
      </c>
      <c r="U6441" s="5">
        <v>-7.5</v>
      </c>
      <c r="V6441" s="6">
        <v>-16.16</v>
      </c>
      <c r="W6441" s="6">
        <v>1.56</v>
      </c>
      <c r="X6441" s="6">
        <v>1.58</v>
      </c>
      <c r="Y6441" s="6">
        <v>1.77</v>
      </c>
      <c r="Z6441" s="6">
        <v>1.53</v>
      </c>
      <c r="AA6441" s="6">
        <v>41.29</v>
      </c>
      <c r="AB6441" s="2" t="s">
        <v>86</v>
      </c>
      <c r="AC6441" s="5">
        <v>147</v>
      </c>
    </row>
    <row r="6442" spans="1:29" ht="182" x14ac:dyDescent="0.15">
      <c r="A6442" s="3">
        <f>DATE(2002,1,17)</f>
        <v>37273</v>
      </c>
      <c r="B6442" s="2"/>
      <c r="C6442" s="2" t="s">
        <v>30</v>
      </c>
      <c r="D6442" s="2" t="s">
        <v>19652</v>
      </c>
      <c r="E6442" s="2" t="s">
        <v>19653</v>
      </c>
      <c r="F6442" s="4">
        <v>3312</v>
      </c>
      <c r="G6442" s="2" t="s">
        <v>163</v>
      </c>
      <c r="H6442" s="2" t="s">
        <v>34</v>
      </c>
      <c r="I6442" s="2" t="s">
        <v>19654</v>
      </c>
      <c r="J6442" s="2" t="s">
        <v>19655</v>
      </c>
      <c r="K6442" s="2" t="s">
        <v>163</v>
      </c>
      <c r="L6442" s="2" t="s">
        <v>34</v>
      </c>
      <c r="M6442" s="2"/>
      <c r="N6442" s="6">
        <v>18.309999999999999</v>
      </c>
      <c r="O6442" s="6">
        <v>18.28</v>
      </c>
      <c r="P6442" s="2" t="s">
        <v>19657</v>
      </c>
      <c r="Q6442" s="2"/>
      <c r="R6442" s="2"/>
      <c r="S6442" s="5">
        <v>-454.6</v>
      </c>
      <c r="T6442" s="5">
        <v>-199.9</v>
      </c>
      <c r="U6442" s="5">
        <v>7.9</v>
      </c>
      <c r="V6442" s="6">
        <v>-11</v>
      </c>
      <c r="W6442" s="5">
        <v>1.2</v>
      </c>
      <c r="X6442" s="6">
        <v>1.57</v>
      </c>
      <c r="Y6442" s="6">
        <v>1.96</v>
      </c>
      <c r="Z6442" s="6">
        <v>1.91</v>
      </c>
      <c r="AA6442" s="6">
        <v>41.29</v>
      </c>
      <c r="AB6442" s="2" t="s">
        <v>86</v>
      </c>
      <c r="AC6442" s="2"/>
    </row>
    <row r="6443" spans="1:29" ht="156" x14ac:dyDescent="0.15">
      <c r="A6443" s="3">
        <f>DATE(2002,1,17)</f>
        <v>37273</v>
      </c>
      <c r="B6443" s="3">
        <f>DATE(2002,3,26)</f>
        <v>37341</v>
      </c>
      <c r="C6443" s="2" t="s">
        <v>95</v>
      </c>
      <c r="D6443" s="2" t="s">
        <v>8770</v>
      </c>
      <c r="E6443" s="2" t="s">
        <v>8771</v>
      </c>
      <c r="F6443" s="4">
        <v>3663</v>
      </c>
      <c r="G6443" s="2" t="s">
        <v>921</v>
      </c>
      <c r="H6443" s="2" t="s">
        <v>34</v>
      </c>
      <c r="I6443" s="2" t="s">
        <v>18056</v>
      </c>
      <c r="J6443" s="2" t="s">
        <v>18057</v>
      </c>
      <c r="K6443" s="2" t="s">
        <v>921</v>
      </c>
      <c r="L6443" s="2" t="s">
        <v>34</v>
      </c>
      <c r="M6443" s="7">
        <v>316.19900000000001</v>
      </c>
      <c r="N6443" s="6">
        <v>3.07</v>
      </c>
      <c r="O6443" s="6">
        <v>3.22</v>
      </c>
      <c r="P6443" s="2" t="s">
        <v>19658</v>
      </c>
      <c r="Q6443" s="6">
        <v>100</v>
      </c>
      <c r="R6443" s="6">
        <v>7.94</v>
      </c>
      <c r="S6443" s="5">
        <v>-107.8</v>
      </c>
      <c r="T6443" s="5">
        <v>-5.5</v>
      </c>
      <c r="U6443" s="5">
        <v>3.4</v>
      </c>
      <c r="V6443" s="6">
        <v>-3.87</v>
      </c>
      <c r="W6443" s="6">
        <v>11.04</v>
      </c>
      <c r="X6443" s="6">
        <v>8.7200000000000006</v>
      </c>
      <c r="Y6443" s="6">
        <v>6.75</v>
      </c>
      <c r="Z6443" s="5">
        <v>6.4</v>
      </c>
      <c r="AA6443" s="6">
        <v>31.37</v>
      </c>
      <c r="AB6443" s="2" t="s">
        <v>86</v>
      </c>
      <c r="AC6443" s="5">
        <v>16.600000000000001</v>
      </c>
    </row>
    <row r="6444" spans="1:29" ht="65" x14ac:dyDescent="0.15">
      <c r="A6444" s="3">
        <f>DATE(2002,1,19)</f>
        <v>37275</v>
      </c>
      <c r="B6444" s="2"/>
      <c r="C6444" s="2" t="s">
        <v>87</v>
      </c>
      <c r="D6444" s="2" t="s">
        <v>15954</v>
      </c>
      <c r="E6444" s="2" t="s">
        <v>15955</v>
      </c>
      <c r="F6444" s="4">
        <v>7372</v>
      </c>
      <c r="G6444" s="2" t="s">
        <v>551</v>
      </c>
      <c r="H6444" s="2" t="s">
        <v>34</v>
      </c>
      <c r="I6444" s="2" t="s">
        <v>19659</v>
      </c>
      <c r="J6444" s="2" t="s">
        <v>19660</v>
      </c>
      <c r="K6444" s="2" t="s">
        <v>42</v>
      </c>
      <c r="L6444" s="2" t="s">
        <v>34</v>
      </c>
      <c r="M6444" s="12">
        <v>137748.86499999999</v>
      </c>
      <c r="N6444" s="2"/>
      <c r="O6444" s="2"/>
      <c r="P6444" s="2" t="s">
        <v>19661</v>
      </c>
      <c r="Q6444" s="2"/>
      <c r="R6444" s="2"/>
      <c r="S6444" s="5">
        <v>-132.80000000000001</v>
      </c>
      <c r="T6444" s="5">
        <v>-30.6</v>
      </c>
      <c r="U6444" s="5">
        <v>2.2000000000000002</v>
      </c>
      <c r="V6444" s="6">
        <v>-0.78</v>
      </c>
      <c r="W6444" s="6">
        <v>8.7100000000000009</v>
      </c>
      <c r="X6444" s="6">
        <v>8.41</v>
      </c>
      <c r="Y6444" s="6">
        <v>7.44</v>
      </c>
      <c r="Z6444" s="6">
        <v>7.44</v>
      </c>
      <c r="AA6444" s="2"/>
      <c r="AB6444" s="2" t="s">
        <v>86</v>
      </c>
      <c r="AC6444" s="5">
        <v>719</v>
      </c>
    </row>
    <row r="6445" spans="1:29" ht="117" x14ac:dyDescent="0.15">
      <c r="A6445" s="3">
        <f>DATE(2002,1,23)</f>
        <v>37279</v>
      </c>
      <c r="B6445" s="3">
        <f>DATE(2002,8,1)</f>
        <v>37469</v>
      </c>
      <c r="C6445" s="2" t="s">
        <v>95</v>
      </c>
      <c r="D6445" s="2" t="s">
        <v>19662</v>
      </c>
      <c r="E6445" s="2" t="s">
        <v>389</v>
      </c>
      <c r="F6445" s="4">
        <v>6035</v>
      </c>
      <c r="G6445" s="2" t="s">
        <v>33</v>
      </c>
      <c r="H6445" s="2" t="s">
        <v>34</v>
      </c>
      <c r="I6445" s="2" t="s">
        <v>19663</v>
      </c>
      <c r="J6445" s="2" t="s">
        <v>1181</v>
      </c>
      <c r="K6445" s="2" t="s">
        <v>37</v>
      </c>
      <c r="L6445" s="2" t="s">
        <v>34</v>
      </c>
      <c r="M6445" s="7">
        <v>2.0649999999999999</v>
      </c>
      <c r="N6445" s="6">
        <v>11.15</v>
      </c>
      <c r="O6445" s="6">
        <v>11.44</v>
      </c>
      <c r="P6445" s="2" t="s">
        <v>19664</v>
      </c>
      <c r="Q6445" s="6">
        <v>100</v>
      </c>
      <c r="R6445" s="2"/>
      <c r="S6445" s="5">
        <v>-1</v>
      </c>
      <c r="T6445" s="7">
        <v>-0.91400000000000003</v>
      </c>
      <c r="U6445" s="5">
        <v>6.1</v>
      </c>
      <c r="V6445" s="9">
        <v>-1.3635999999999999</v>
      </c>
      <c r="W6445" s="5">
        <v>12.5</v>
      </c>
      <c r="X6445" s="5">
        <v>12.5</v>
      </c>
      <c r="Y6445" s="4">
        <v>17</v>
      </c>
      <c r="Z6445" s="2"/>
      <c r="AA6445" s="2"/>
      <c r="AB6445" s="2" t="s">
        <v>86</v>
      </c>
      <c r="AC6445" s="2"/>
    </row>
    <row r="6446" spans="1:29" ht="52" x14ac:dyDescent="0.15">
      <c r="A6446" s="3">
        <f>DATE(2002,1,24)</f>
        <v>37280</v>
      </c>
      <c r="B6446" s="3">
        <f>DATE(2002,4,9)</f>
        <v>37355</v>
      </c>
      <c r="C6446" s="2" t="s">
        <v>95</v>
      </c>
      <c r="D6446" s="2" t="s">
        <v>19665</v>
      </c>
      <c r="E6446" s="2" t="s">
        <v>19666</v>
      </c>
      <c r="F6446" s="4">
        <v>7372</v>
      </c>
      <c r="G6446" s="2" t="s">
        <v>551</v>
      </c>
      <c r="H6446" s="2" t="s">
        <v>34</v>
      </c>
      <c r="I6446" s="2" t="s">
        <v>15467</v>
      </c>
      <c r="J6446" s="2" t="s">
        <v>15468</v>
      </c>
      <c r="K6446" s="2" t="s">
        <v>551</v>
      </c>
      <c r="L6446" s="2" t="s">
        <v>34</v>
      </c>
      <c r="M6446" s="12">
        <v>12408.786</v>
      </c>
      <c r="N6446" s="6">
        <v>38.43</v>
      </c>
      <c r="O6446" s="6">
        <v>35.909999999999997</v>
      </c>
      <c r="P6446" s="2" t="s">
        <v>19667</v>
      </c>
      <c r="Q6446" s="6">
        <v>100</v>
      </c>
      <c r="R6446" s="2"/>
      <c r="S6446" s="5">
        <v>-110.4</v>
      </c>
      <c r="T6446" s="2"/>
      <c r="U6446" s="5">
        <v>8.4</v>
      </c>
      <c r="V6446" s="6">
        <v>-23.51</v>
      </c>
      <c r="W6446" s="6">
        <v>19.95</v>
      </c>
      <c r="X6446" s="6">
        <v>19.37</v>
      </c>
      <c r="Y6446" s="5">
        <v>19.5</v>
      </c>
      <c r="Z6446" s="6">
        <v>19.91</v>
      </c>
      <c r="AA6446" s="6">
        <v>4.6900000000000004</v>
      </c>
      <c r="AB6446" s="2" t="s">
        <v>86</v>
      </c>
      <c r="AC6446" s="10">
        <v>1636.96</v>
      </c>
    </row>
    <row r="6447" spans="1:29" ht="117" x14ac:dyDescent="0.15">
      <c r="A6447" s="3">
        <f>DATE(2002,1,28)</f>
        <v>37284</v>
      </c>
      <c r="B6447" s="3">
        <f>DATE(2002,5,14)</f>
        <v>37390</v>
      </c>
      <c r="C6447" s="2" t="s">
        <v>95</v>
      </c>
      <c r="D6447" s="2" t="s">
        <v>16987</v>
      </c>
      <c r="E6447" s="2" t="s">
        <v>16988</v>
      </c>
      <c r="F6447" s="4">
        <v>7299</v>
      </c>
      <c r="G6447" s="2" t="s">
        <v>1517</v>
      </c>
      <c r="H6447" s="2" t="s">
        <v>34</v>
      </c>
      <c r="I6447" s="2" t="s">
        <v>51</v>
      </c>
      <c r="J6447" s="2" t="s">
        <v>52</v>
      </c>
      <c r="K6447" s="2" t="s">
        <v>53</v>
      </c>
      <c r="L6447" s="2" t="s">
        <v>34</v>
      </c>
      <c r="M6447" s="2"/>
      <c r="N6447" s="2"/>
      <c r="O6447" s="2"/>
      <c r="P6447" s="2" t="s">
        <v>19668</v>
      </c>
      <c r="Q6447" s="6">
        <v>100</v>
      </c>
      <c r="R6447" s="6">
        <v>5.3</v>
      </c>
      <c r="S6447" s="5">
        <v>-21.2</v>
      </c>
      <c r="T6447" s="5">
        <v>2.6</v>
      </c>
      <c r="U6447" s="5">
        <v>1.2</v>
      </c>
      <c r="V6447" s="6">
        <v>-1.01</v>
      </c>
      <c r="W6447" s="6">
        <v>2.85</v>
      </c>
      <c r="X6447" s="6">
        <v>3.15</v>
      </c>
      <c r="Y6447" s="5">
        <v>1.6</v>
      </c>
      <c r="Z6447" s="5">
        <v>1.6</v>
      </c>
      <c r="AA6447" s="6">
        <v>20.69</v>
      </c>
      <c r="AB6447" s="2" t="s">
        <v>86</v>
      </c>
      <c r="AC6447" s="2"/>
    </row>
    <row r="6448" spans="1:29" ht="117" x14ac:dyDescent="0.15">
      <c r="A6448" s="3">
        <f>DATE(2002,1,28)</f>
        <v>37284</v>
      </c>
      <c r="B6448" s="2"/>
      <c r="C6448" s="2" t="s">
        <v>30</v>
      </c>
      <c r="D6448" s="2" t="s">
        <v>19448</v>
      </c>
      <c r="E6448" s="2" t="s">
        <v>19449</v>
      </c>
      <c r="F6448" s="4">
        <v>7372</v>
      </c>
      <c r="G6448" s="2" t="s">
        <v>551</v>
      </c>
      <c r="H6448" s="2" t="s">
        <v>34</v>
      </c>
      <c r="I6448" s="2" t="s">
        <v>19669</v>
      </c>
      <c r="J6448" s="2" t="s">
        <v>16415</v>
      </c>
      <c r="K6448" s="2" t="s">
        <v>551</v>
      </c>
      <c r="L6448" s="2" t="s">
        <v>34</v>
      </c>
      <c r="M6448" s="2"/>
      <c r="N6448" s="2"/>
      <c r="O6448" s="2"/>
      <c r="P6448" s="2" t="s">
        <v>19670</v>
      </c>
      <c r="Q6448" s="2"/>
      <c r="R6448" s="6">
        <v>2.9</v>
      </c>
      <c r="S6448" s="5">
        <v>-7.5</v>
      </c>
      <c r="T6448" s="7">
        <v>-9.4139999999999997</v>
      </c>
      <c r="U6448" s="5">
        <v>3</v>
      </c>
      <c r="V6448" s="6">
        <v>-0.61</v>
      </c>
      <c r="W6448" s="5">
        <v>1.6</v>
      </c>
      <c r="X6448" s="6">
        <v>1.55</v>
      </c>
      <c r="Y6448" s="5">
        <v>1.5</v>
      </c>
      <c r="Z6448" s="6">
        <v>2.54</v>
      </c>
      <c r="AA6448" s="6">
        <v>12.47</v>
      </c>
      <c r="AB6448" s="2" t="s">
        <v>86</v>
      </c>
      <c r="AC6448" s="2"/>
    </row>
    <row r="6449" spans="1:29" ht="104" x14ac:dyDescent="0.15">
      <c r="A6449" s="3">
        <f>DATE(2002,1,29)</f>
        <v>37285</v>
      </c>
      <c r="B6449" s="3">
        <f>DATE(2002,5,1)</f>
        <v>37377</v>
      </c>
      <c r="C6449" s="2" t="s">
        <v>95</v>
      </c>
      <c r="D6449" s="2" t="s">
        <v>19671</v>
      </c>
      <c r="E6449" s="2" t="s">
        <v>19672</v>
      </c>
      <c r="F6449" s="4">
        <v>7011</v>
      </c>
      <c r="G6449" s="2" t="s">
        <v>269</v>
      </c>
      <c r="H6449" s="2" t="s">
        <v>34</v>
      </c>
      <c r="I6449" s="2" t="s">
        <v>19673</v>
      </c>
      <c r="J6449" s="2" t="s">
        <v>268</v>
      </c>
      <c r="K6449" s="2" t="s">
        <v>269</v>
      </c>
      <c r="L6449" s="2" t="s">
        <v>34</v>
      </c>
      <c r="M6449" s="2"/>
      <c r="N6449" s="2"/>
      <c r="O6449" s="2"/>
      <c r="P6449" s="2" t="s">
        <v>19674</v>
      </c>
      <c r="Q6449" s="6">
        <v>100</v>
      </c>
      <c r="R6449" s="6">
        <v>9.0399999999999991</v>
      </c>
      <c r="S6449" s="5">
        <v>-15.4</v>
      </c>
      <c r="T6449" s="2"/>
      <c r="U6449" s="5">
        <v>15.8</v>
      </c>
      <c r="V6449" s="6">
        <v>-1.29</v>
      </c>
      <c r="W6449" s="6">
        <v>7.73</v>
      </c>
      <c r="X6449" s="4">
        <v>8</v>
      </c>
      <c r="Y6449" s="5">
        <v>8.3000000000000007</v>
      </c>
      <c r="Z6449" s="6">
        <v>8.33</v>
      </c>
      <c r="AA6449" s="6">
        <v>11.98</v>
      </c>
      <c r="AB6449" s="7">
        <v>14.593999999999999</v>
      </c>
      <c r="AC6449" s="2"/>
    </row>
    <row r="6450" spans="1:29" ht="143" x14ac:dyDescent="0.15">
      <c r="A6450" s="3">
        <f>DATE(2002,1,30)</f>
        <v>37286</v>
      </c>
      <c r="B6450" s="3">
        <f>DATE(2002,4,17)</f>
        <v>37363</v>
      </c>
      <c r="C6450" s="2" t="s">
        <v>95</v>
      </c>
      <c r="D6450" s="2" t="s">
        <v>19675</v>
      </c>
      <c r="E6450" s="2" t="s">
        <v>2692</v>
      </c>
      <c r="F6450" s="4">
        <v>1531</v>
      </c>
      <c r="G6450" s="2" t="s">
        <v>341</v>
      </c>
      <c r="H6450" s="2" t="s">
        <v>34</v>
      </c>
      <c r="I6450" s="2" t="s">
        <v>19676</v>
      </c>
      <c r="J6450" s="2" t="s">
        <v>19677</v>
      </c>
      <c r="K6450" s="2" t="s">
        <v>341</v>
      </c>
      <c r="L6450" s="2" t="s">
        <v>34</v>
      </c>
      <c r="M6450" s="6">
        <v>601.92999999999995</v>
      </c>
      <c r="N6450" s="5">
        <v>81.2</v>
      </c>
      <c r="O6450" s="5">
        <v>80.099999999999994</v>
      </c>
      <c r="P6450" s="2" t="s">
        <v>19678</v>
      </c>
      <c r="Q6450" s="6">
        <v>100</v>
      </c>
      <c r="R6450" s="6">
        <v>46.48</v>
      </c>
      <c r="S6450" s="5">
        <v>53.7</v>
      </c>
      <c r="T6450" s="7">
        <v>89.968000000000004</v>
      </c>
      <c r="U6450" s="5">
        <v>24.8</v>
      </c>
      <c r="V6450" s="6">
        <v>5.01</v>
      </c>
      <c r="W6450" s="6">
        <v>30.99</v>
      </c>
      <c r="X6450" s="6">
        <v>30.23</v>
      </c>
      <c r="Y6450" s="6">
        <v>44.48</v>
      </c>
      <c r="Z6450" s="6">
        <v>44.12</v>
      </c>
      <c r="AA6450" s="6">
        <v>10.62</v>
      </c>
      <c r="AB6450" s="7">
        <v>7.0010000000000003</v>
      </c>
      <c r="AC6450" s="2"/>
    </row>
    <row r="6451" spans="1:29" ht="143" x14ac:dyDescent="0.15">
      <c r="A6451" s="3">
        <f>DATE(2002,2,1)</f>
        <v>37288</v>
      </c>
      <c r="B6451" s="3">
        <f>DATE(2002,4,13)</f>
        <v>37359</v>
      </c>
      <c r="C6451" s="2" t="s">
        <v>95</v>
      </c>
      <c r="D6451" s="2" t="s">
        <v>19071</v>
      </c>
      <c r="E6451" s="2" t="s">
        <v>19072</v>
      </c>
      <c r="F6451" s="4">
        <v>3443</v>
      </c>
      <c r="G6451" s="2" t="s">
        <v>163</v>
      </c>
      <c r="H6451" s="2" t="s">
        <v>34</v>
      </c>
      <c r="I6451" s="2" t="s">
        <v>19679</v>
      </c>
      <c r="J6451" s="2" t="s">
        <v>1072</v>
      </c>
      <c r="K6451" s="2" t="s">
        <v>53</v>
      </c>
      <c r="L6451" s="2" t="s">
        <v>34</v>
      </c>
      <c r="M6451" s="2"/>
      <c r="N6451" s="2"/>
      <c r="O6451" s="2"/>
      <c r="P6451" s="2" t="s">
        <v>19680</v>
      </c>
      <c r="Q6451" s="6">
        <v>100</v>
      </c>
      <c r="R6451" s="6">
        <v>33.9</v>
      </c>
      <c r="S6451" s="5">
        <v>7</v>
      </c>
      <c r="T6451" s="5">
        <v>12</v>
      </c>
      <c r="U6451" s="5">
        <v>27.3</v>
      </c>
      <c r="V6451" s="6">
        <v>0.91</v>
      </c>
      <c r="W6451" s="6">
        <v>31.25</v>
      </c>
      <c r="X6451" s="5">
        <v>31.6</v>
      </c>
      <c r="Y6451" s="5">
        <v>33.4</v>
      </c>
      <c r="Z6451" s="6">
        <v>33.42</v>
      </c>
      <c r="AA6451" s="6">
        <v>7.61</v>
      </c>
      <c r="AB6451" s="7">
        <v>8.7789999999999999</v>
      </c>
      <c r="AC6451" s="2"/>
    </row>
    <row r="6452" spans="1:29" ht="234" x14ac:dyDescent="0.15">
      <c r="A6452" s="3">
        <f>DATE(2002,2,4)</f>
        <v>37291</v>
      </c>
      <c r="B6452" s="3">
        <f>DATE(2002,3,21)</f>
        <v>37336</v>
      </c>
      <c r="C6452" s="2" t="s">
        <v>95</v>
      </c>
      <c r="D6452" s="2" t="s">
        <v>19681</v>
      </c>
      <c r="E6452" s="2" t="s">
        <v>19682</v>
      </c>
      <c r="F6452" s="4">
        <v>5632</v>
      </c>
      <c r="G6452" s="2" t="s">
        <v>756</v>
      </c>
      <c r="H6452" s="2" t="s">
        <v>34</v>
      </c>
      <c r="I6452" s="2" t="s">
        <v>19683</v>
      </c>
      <c r="J6452" s="2" t="s">
        <v>5184</v>
      </c>
      <c r="K6452" s="2" t="s">
        <v>756</v>
      </c>
      <c r="L6452" s="2" t="s">
        <v>34</v>
      </c>
      <c r="M6452" s="12">
        <v>6792.9849999999997</v>
      </c>
      <c r="N6452" s="6">
        <v>17.75</v>
      </c>
      <c r="O6452" s="6">
        <v>16.78</v>
      </c>
      <c r="P6452" s="2" t="s">
        <v>19684</v>
      </c>
      <c r="Q6452" s="6">
        <v>18.23</v>
      </c>
      <c r="R6452" s="6">
        <v>19.72</v>
      </c>
      <c r="S6452" s="5">
        <v>314.89999999999998</v>
      </c>
      <c r="T6452" s="7">
        <v>695.78599999999994</v>
      </c>
      <c r="U6452" s="5">
        <v>1.3</v>
      </c>
      <c r="V6452" s="6">
        <v>0.64</v>
      </c>
      <c r="W6452" s="6">
        <v>16.72</v>
      </c>
      <c r="X6452" s="5">
        <v>17.899999999999999</v>
      </c>
      <c r="Y6452" s="5">
        <v>17.5</v>
      </c>
      <c r="Z6452" s="4">
        <v>18</v>
      </c>
      <c r="AA6452" s="6">
        <v>491.53</v>
      </c>
      <c r="AB6452" s="7">
        <v>17.890999999999998</v>
      </c>
      <c r="AC6452" s="8">
        <v>1375</v>
      </c>
    </row>
    <row r="6453" spans="1:29" ht="156" x14ac:dyDescent="0.15">
      <c r="A6453" s="3">
        <f>DATE(2002,2,4)</f>
        <v>37291</v>
      </c>
      <c r="B6453" s="3">
        <f>DATE(2002,4,30)</f>
        <v>37376</v>
      </c>
      <c r="C6453" s="2" t="s">
        <v>95</v>
      </c>
      <c r="D6453" s="2" t="s">
        <v>19685</v>
      </c>
      <c r="E6453" s="2" t="s">
        <v>1663</v>
      </c>
      <c r="F6453" s="4">
        <v>1041</v>
      </c>
      <c r="G6453" s="2" t="s">
        <v>166</v>
      </c>
      <c r="H6453" s="2" t="s">
        <v>34</v>
      </c>
      <c r="I6453" s="2" t="s">
        <v>11460</v>
      </c>
      <c r="J6453" s="2" t="s">
        <v>277</v>
      </c>
      <c r="K6453" s="2" t="s">
        <v>166</v>
      </c>
      <c r="L6453" s="2" t="s">
        <v>902</v>
      </c>
      <c r="M6453" s="7">
        <v>268.64800000000002</v>
      </c>
      <c r="N6453" s="7">
        <v>1.069</v>
      </c>
      <c r="O6453" s="2"/>
      <c r="P6453" s="2" t="s">
        <v>19686</v>
      </c>
      <c r="Q6453" s="6">
        <v>1.32</v>
      </c>
      <c r="R6453" s="6">
        <v>16</v>
      </c>
      <c r="S6453" s="5">
        <v>-16.399999999999999</v>
      </c>
      <c r="T6453" s="5">
        <v>58.7</v>
      </c>
      <c r="U6453" s="5">
        <v>-0.9</v>
      </c>
      <c r="V6453" s="6">
        <v>-0.25</v>
      </c>
      <c r="W6453" s="6">
        <v>11.05</v>
      </c>
      <c r="X6453" s="5">
        <v>15.7</v>
      </c>
      <c r="Y6453" s="2"/>
      <c r="Z6453" s="2"/>
      <c r="AA6453" s="6">
        <v>92.21</v>
      </c>
      <c r="AB6453" s="2" t="s">
        <v>86</v>
      </c>
      <c r="AC6453" s="5">
        <v>82.5</v>
      </c>
    </row>
    <row r="6454" spans="1:29" ht="117" x14ac:dyDescent="0.15">
      <c r="A6454" s="3">
        <f>DATE(2002,2,7)</f>
        <v>37294</v>
      </c>
      <c r="B6454" s="3">
        <f>DATE(2002,8,22)</f>
        <v>37490</v>
      </c>
      <c r="C6454" s="2" t="s">
        <v>95</v>
      </c>
      <c r="D6454" s="2" t="s">
        <v>19687</v>
      </c>
      <c r="E6454" s="2" t="s">
        <v>6709</v>
      </c>
      <c r="F6454" s="4">
        <v>2835</v>
      </c>
      <c r="G6454" s="2" t="s">
        <v>130</v>
      </c>
      <c r="H6454" s="2" t="s">
        <v>34</v>
      </c>
      <c r="I6454" s="2" t="s">
        <v>19688</v>
      </c>
      <c r="J6454" s="2" t="s">
        <v>13055</v>
      </c>
      <c r="K6454" s="2" t="s">
        <v>130</v>
      </c>
      <c r="L6454" s="2" t="s">
        <v>34</v>
      </c>
      <c r="M6454" s="7">
        <v>604.44399999999996</v>
      </c>
      <c r="N6454" s="6">
        <v>12.28</v>
      </c>
      <c r="O6454" s="6">
        <v>12.05</v>
      </c>
      <c r="P6454" s="2" t="s">
        <v>19689</v>
      </c>
      <c r="Q6454" s="6">
        <v>100</v>
      </c>
      <c r="R6454" s="6">
        <v>4.1399999999999997</v>
      </c>
      <c r="S6454" s="5">
        <v>-15.1</v>
      </c>
      <c r="T6454" s="2"/>
      <c r="U6454" s="5">
        <v>1.1000000000000001</v>
      </c>
      <c r="V6454" s="9">
        <v>-0.43969999999999998</v>
      </c>
      <c r="W6454" s="5">
        <v>5.5</v>
      </c>
      <c r="X6454" s="6">
        <v>6.35</v>
      </c>
      <c r="Y6454" s="7">
        <v>3.9710000000000001</v>
      </c>
      <c r="Z6454" s="7">
        <v>3.9729999999999999</v>
      </c>
      <c r="AA6454" s="6">
        <v>34.35</v>
      </c>
      <c r="AB6454" s="2" t="s">
        <v>86</v>
      </c>
      <c r="AC6454" s="5">
        <v>131.1</v>
      </c>
    </row>
    <row r="6455" spans="1:29" ht="26" x14ac:dyDescent="0.15">
      <c r="A6455" s="3">
        <f>DATE(2002,2,8)</f>
        <v>37295</v>
      </c>
      <c r="B6455" s="2"/>
      <c r="C6455" s="2" t="s">
        <v>189</v>
      </c>
      <c r="D6455" s="2" t="s">
        <v>12142</v>
      </c>
      <c r="E6455" s="2" t="s">
        <v>1063</v>
      </c>
      <c r="F6455" s="4">
        <v>5311</v>
      </c>
      <c r="G6455" s="2" t="s">
        <v>756</v>
      </c>
      <c r="H6455" s="2" t="s">
        <v>34</v>
      </c>
      <c r="I6455" s="2" t="s">
        <v>143</v>
      </c>
      <c r="J6455" s="2" t="s">
        <v>144</v>
      </c>
      <c r="K6455" s="2" t="s">
        <v>53</v>
      </c>
      <c r="L6455" s="2" t="s">
        <v>139</v>
      </c>
      <c r="M6455" s="2"/>
      <c r="N6455" s="2"/>
      <c r="O6455" s="2"/>
      <c r="P6455" s="2" t="s">
        <v>19690</v>
      </c>
      <c r="Q6455" s="2"/>
      <c r="R6455" s="2"/>
      <c r="S6455" s="5">
        <v>65.8</v>
      </c>
      <c r="T6455" s="7">
        <v>385.99400000000003</v>
      </c>
      <c r="U6455" s="5">
        <v>31.8</v>
      </c>
      <c r="V6455" s="6">
        <v>0.78</v>
      </c>
      <c r="W6455" s="5">
        <v>14.3</v>
      </c>
      <c r="X6455" s="6">
        <v>12.94</v>
      </c>
      <c r="Y6455" s="5">
        <v>15.5</v>
      </c>
      <c r="Z6455" s="6">
        <v>16.260000000000002</v>
      </c>
      <c r="AA6455" s="6">
        <v>83.71</v>
      </c>
      <c r="AB6455" s="2" t="s">
        <v>47</v>
      </c>
      <c r="AC6455" s="2"/>
    </row>
    <row r="6456" spans="1:29" ht="130" x14ac:dyDescent="0.15">
      <c r="A6456" s="3">
        <f>DATE(2002,2,8)</f>
        <v>37295</v>
      </c>
      <c r="B6456" s="3">
        <f>DATE(2002,4,20)</f>
        <v>37366</v>
      </c>
      <c r="C6456" s="2" t="s">
        <v>95</v>
      </c>
      <c r="D6456" s="2" t="s">
        <v>5565</v>
      </c>
      <c r="E6456" s="2" t="s">
        <v>5566</v>
      </c>
      <c r="F6456" s="4">
        <v>8099</v>
      </c>
      <c r="G6456" s="2" t="s">
        <v>454</v>
      </c>
      <c r="H6456" s="2" t="s">
        <v>34</v>
      </c>
      <c r="I6456" s="2" t="s">
        <v>19691</v>
      </c>
      <c r="J6456" s="2" t="s">
        <v>19692</v>
      </c>
      <c r="K6456" s="2" t="s">
        <v>454</v>
      </c>
      <c r="L6456" s="2" t="s">
        <v>4242</v>
      </c>
      <c r="M6456" s="7">
        <v>140.68199999999999</v>
      </c>
      <c r="N6456" s="7">
        <v>12.128</v>
      </c>
      <c r="O6456" s="7">
        <v>12.311</v>
      </c>
      <c r="P6456" s="2" t="s">
        <v>19693</v>
      </c>
      <c r="Q6456" s="6">
        <v>100</v>
      </c>
      <c r="R6456" s="6">
        <v>10.25</v>
      </c>
      <c r="S6456" s="5">
        <v>-13.2</v>
      </c>
      <c r="T6456" s="5">
        <v>8.1</v>
      </c>
      <c r="U6456" s="5">
        <v>12.1</v>
      </c>
      <c r="V6456" s="6">
        <v>-4.5199999999999996</v>
      </c>
      <c r="W6456" s="4">
        <v>8</v>
      </c>
      <c r="X6456" s="4">
        <v>8</v>
      </c>
      <c r="Y6456" s="7">
        <v>10.135</v>
      </c>
      <c r="Z6456" s="6">
        <v>10.119999999999999</v>
      </c>
      <c r="AA6456" s="6">
        <v>2.92</v>
      </c>
      <c r="AB6456" s="7">
        <v>21.939</v>
      </c>
      <c r="AC6456" s="6">
        <v>60.33</v>
      </c>
    </row>
    <row r="6457" spans="1:29" ht="78" x14ac:dyDescent="0.15">
      <c r="A6457" s="3">
        <f>DATE(2002,2,10)</f>
        <v>37297</v>
      </c>
      <c r="B6457" s="3">
        <f>DATE(2002,10,28)</f>
        <v>37557</v>
      </c>
      <c r="C6457" s="2" t="s">
        <v>95</v>
      </c>
      <c r="D6457" s="2" t="s">
        <v>19694</v>
      </c>
      <c r="E6457" s="2" t="s">
        <v>19695</v>
      </c>
      <c r="F6457" s="4">
        <v>3944</v>
      </c>
      <c r="G6457" s="2" t="s">
        <v>112</v>
      </c>
      <c r="H6457" s="2" t="s">
        <v>34</v>
      </c>
      <c r="I6457" s="2" t="s">
        <v>19696</v>
      </c>
      <c r="J6457" s="2" t="s">
        <v>19697</v>
      </c>
      <c r="K6457" s="2" t="s">
        <v>112</v>
      </c>
      <c r="L6457" s="2" t="s">
        <v>34</v>
      </c>
      <c r="M6457" s="7">
        <v>350.048</v>
      </c>
      <c r="N6457" s="6">
        <v>18.25</v>
      </c>
      <c r="O6457" s="6">
        <v>18.25</v>
      </c>
      <c r="P6457" s="2" t="s">
        <v>19698</v>
      </c>
      <c r="Q6457" s="6">
        <v>100</v>
      </c>
      <c r="R6457" s="6">
        <v>4.5</v>
      </c>
      <c r="S6457" s="5">
        <v>-13.5</v>
      </c>
      <c r="T6457" s="7">
        <v>-4.8019999999999996</v>
      </c>
      <c r="U6457" s="5">
        <v>2.7</v>
      </c>
      <c r="V6457" s="6">
        <v>-1.19</v>
      </c>
      <c r="W6457" s="5">
        <v>1.9</v>
      </c>
      <c r="X6457" s="6">
        <v>3.05</v>
      </c>
      <c r="Y6457" s="6">
        <v>4.2300000000000004</v>
      </c>
      <c r="Z6457" s="6">
        <v>4.2300000000000004</v>
      </c>
      <c r="AA6457" s="6">
        <v>12.1</v>
      </c>
      <c r="AB6457" s="2" t="s">
        <v>86</v>
      </c>
      <c r="AC6457" s="6">
        <v>62.16</v>
      </c>
    </row>
    <row r="6458" spans="1:29" ht="78" x14ac:dyDescent="0.15">
      <c r="A6458" s="3">
        <f>DATE(2002,2,11)</f>
        <v>37298</v>
      </c>
      <c r="B6458" s="3">
        <f>DATE(2002,9,13)</f>
        <v>37512</v>
      </c>
      <c r="C6458" s="2" t="s">
        <v>95</v>
      </c>
      <c r="D6458" s="2" t="s">
        <v>19699</v>
      </c>
      <c r="E6458" s="2" t="s">
        <v>36</v>
      </c>
      <c r="F6458" s="4">
        <v>6035</v>
      </c>
      <c r="G6458" s="2" t="s">
        <v>33</v>
      </c>
      <c r="H6458" s="2" t="s">
        <v>34</v>
      </c>
      <c r="I6458" s="2" t="s">
        <v>19245</v>
      </c>
      <c r="J6458" s="2" t="s">
        <v>159</v>
      </c>
      <c r="K6458" s="2" t="s">
        <v>37</v>
      </c>
      <c r="L6458" s="2" t="s">
        <v>34</v>
      </c>
      <c r="M6458" s="7">
        <v>524.45500000000004</v>
      </c>
      <c r="N6458" s="4">
        <v>12</v>
      </c>
      <c r="O6458" s="6">
        <v>12.19</v>
      </c>
      <c r="P6458" s="2" t="s">
        <v>19700</v>
      </c>
      <c r="Q6458" s="6">
        <v>100</v>
      </c>
      <c r="R6458" s="6">
        <v>13.75</v>
      </c>
      <c r="S6458" s="5">
        <v>0</v>
      </c>
      <c r="T6458" s="7">
        <v>0.17699999999999999</v>
      </c>
      <c r="U6458" s="5">
        <v>11.1</v>
      </c>
      <c r="V6458" s="6">
        <v>0.03</v>
      </c>
      <c r="W6458" s="5">
        <v>8.6</v>
      </c>
      <c r="X6458" s="5">
        <v>13.5</v>
      </c>
      <c r="Y6458" s="5">
        <v>13.5</v>
      </c>
      <c r="Z6458" s="6">
        <v>13.48</v>
      </c>
      <c r="AA6458" s="6">
        <v>1.06</v>
      </c>
      <c r="AB6458" s="2" t="s">
        <v>86</v>
      </c>
      <c r="AC6458" s="5">
        <v>197.7</v>
      </c>
    </row>
    <row r="6459" spans="1:29" ht="130" x14ac:dyDescent="0.15">
      <c r="A6459" s="3">
        <f>DATE(2002,2,13)</f>
        <v>37300</v>
      </c>
      <c r="B6459" s="3">
        <f>DATE(2002,5,15)</f>
        <v>37391</v>
      </c>
      <c r="C6459" s="2" t="s">
        <v>95</v>
      </c>
      <c r="D6459" s="2" t="s">
        <v>19701</v>
      </c>
      <c r="E6459" s="2" t="s">
        <v>5549</v>
      </c>
      <c r="F6459" s="4">
        <v>7371</v>
      </c>
      <c r="G6459" s="2" t="s">
        <v>223</v>
      </c>
      <c r="H6459" s="2" t="s">
        <v>34</v>
      </c>
      <c r="I6459" s="2" t="s">
        <v>51</v>
      </c>
      <c r="J6459" s="2" t="s">
        <v>52</v>
      </c>
      <c r="K6459" s="2" t="s">
        <v>53</v>
      </c>
      <c r="L6459" s="2" t="s">
        <v>34</v>
      </c>
      <c r="M6459" s="2"/>
      <c r="N6459" s="2"/>
      <c r="O6459" s="2"/>
      <c r="P6459" s="2" t="s">
        <v>19702</v>
      </c>
      <c r="Q6459" s="6">
        <v>52.2</v>
      </c>
      <c r="R6459" s="6">
        <v>7.15</v>
      </c>
      <c r="S6459" s="5">
        <v>2.5</v>
      </c>
      <c r="T6459" s="5">
        <v>13.1</v>
      </c>
      <c r="U6459" s="5">
        <v>3.2</v>
      </c>
      <c r="V6459" s="6">
        <v>0.16</v>
      </c>
      <c r="W6459" s="6">
        <v>5.56</v>
      </c>
      <c r="X6459" s="6">
        <v>6.04</v>
      </c>
      <c r="Y6459" s="6">
        <v>6.05</v>
      </c>
      <c r="Z6459" s="6">
        <v>6.89</v>
      </c>
      <c r="AA6459" s="6">
        <v>15.34</v>
      </c>
      <c r="AB6459" s="7">
        <v>17.803999999999998</v>
      </c>
      <c r="AC6459" s="2"/>
    </row>
    <row r="6460" spans="1:29" ht="78" x14ac:dyDescent="0.15">
      <c r="A6460" s="3">
        <f>DATE(2002,2,13)</f>
        <v>37300</v>
      </c>
      <c r="B6460" s="2"/>
      <c r="C6460" s="2" t="s">
        <v>56</v>
      </c>
      <c r="D6460" s="2" t="s">
        <v>19703</v>
      </c>
      <c r="E6460" s="2" t="s">
        <v>263</v>
      </c>
      <c r="F6460" s="4">
        <v>6035</v>
      </c>
      <c r="G6460" s="2" t="s">
        <v>33</v>
      </c>
      <c r="H6460" s="2" t="s">
        <v>34</v>
      </c>
      <c r="I6460" s="2" t="s">
        <v>19704</v>
      </c>
      <c r="J6460" s="2" t="s">
        <v>159</v>
      </c>
      <c r="K6460" s="2" t="s">
        <v>37</v>
      </c>
      <c r="L6460" s="2" t="s">
        <v>34</v>
      </c>
      <c r="M6460" s="2"/>
      <c r="N6460" s="7">
        <v>22.446999999999999</v>
      </c>
      <c r="O6460" s="6">
        <v>22.75</v>
      </c>
      <c r="P6460" s="2" t="s">
        <v>19705</v>
      </c>
      <c r="Q6460" s="2"/>
      <c r="R6460" s="6">
        <v>11.6</v>
      </c>
      <c r="S6460" s="5">
        <v>4.7</v>
      </c>
      <c r="T6460" s="5">
        <v>9.1</v>
      </c>
      <c r="U6460" s="5">
        <v>7.3</v>
      </c>
      <c r="V6460" s="6">
        <v>0.6</v>
      </c>
      <c r="W6460" s="6">
        <v>8.76</v>
      </c>
      <c r="X6460" s="6">
        <v>8.7899999999999991</v>
      </c>
      <c r="Y6460" s="6">
        <v>8.7899999999999991</v>
      </c>
      <c r="Z6460" s="5">
        <v>8.8000000000000007</v>
      </c>
      <c r="AA6460" s="6">
        <v>7.55</v>
      </c>
      <c r="AB6460" s="7">
        <v>89.664000000000001</v>
      </c>
      <c r="AC6460" s="2"/>
    </row>
    <row r="6461" spans="1:29" ht="104" x14ac:dyDescent="0.15">
      <c r="A6461" s="3">
        <f>DATE(2002,2,14)</f>
        <v>37301</v>
      </c>
      <c r="B6461" s="3">
        <f>DATE(2002,7,26)</f>
        <v>37463</v>
      </c>
      <c r="C6461" s="2" t="s">
        <v>95</v>
      </c>
      <c r="D6461" s="2" t="s">
        <v>19706</v>
      </c>
      <c r="E6461" s="2" t="s">
        <v>19707</v>
      </c>
      <c r="F6461" s="4">
        <v>7812</v>
      </c>
      <c r="G6461" s="2" t="s">
        <v>42</v>
      </c>
      <c r="H6461" s="2" t="s">
        <v>34</v>
      </c>
      <c r="I6461" s="2" t="s">
        <v>51</v>
      </c>
      <c r="J6461" s="2" t="s">
        <v>52</v>
      </c>
      <c r="K6461" s="2" t="s">
        <v>53</v>
      </c>
      <c r="L6461" s="2" t="s">
        <v>34</v>
      </c>
      <c r="M6461" s="2"/>
      <c r="N6461" s="2"/>
      <c r="O6461" s="2"/>
      <c r="P6461" s="2" t="s">
        <v>19708</v>
      </c>
      <c r="Q6461" s="6">
        <v>100</v>
      </c>
      <c r="R6461" s="6">
        <v>14.5</v>
      </c>
      <c r="S6461" s="5">
        <v>2.1</v>
      </c>
      <c r="T6461" s="5">
        <v>38.299999999999997</v>
      </c>
      <c r="U6461" s="5">
        <v>7.3</v>
      </c>
      <c r="V6461" s="6">
        <v>0.2</v>
      </c>
      <c r="W6461" s="5">
        <v>9.6999999999999993</v>
      </c>
      <c r="X6461" s="6">
        <v>10.93</v>
      </c>
      <c r="Y6461" s="5">
        <v>14.3</v>
      </c>
      <c r="Z6461" s="7">
        <v>14.292</v>
      </c>
      <c r="AA6461" s="6">
        <v>10.19</v>
      </c>
      <c r="AB6461" s="7">
        <v>26.972999999999999</v>
      </c>
      <c r="AC6461" s="2"/>
    </row>
    <row r="6462" spans="1:29" ht="143" x14ac:dyDescent="0.15">
      <c r="A6462" s="3">
        <f>DATE(2002,2,14)</f>
        <v>37301</v>
      </c>
      <c r="B6462" s="3">
        <f>DATE(2002,3,28)</f>
        <v>37343</v>
      </c>
      <c r="C6462" s="2" t="s">
        <v>95</v>
      </c>
      <c r="D6462" s="2" t="s">
        <v>19709</v>
      </c>
      <c r="E6462" s="2" t="s">
        <v>19710</v>
      </c>
      <c r="F6462" s="4">
        <v>3845</v>
      </c>
      <c r="G6462" s="2" t="s">
        <v>226</v>
      </c>
      <c r="H6462" s="2" t="s">
        <v>34</v>
      </c>
      <c r="I6462" s="2" t="s">
        <v>19711</v>
      </c>
      <c r="J6462" s="2" t="s">
        <v>15018</v>
      </c>
      <c r="K6462" s="2" t="s">
        <v>226</v>
      </c>
      <c r="L6462" s="2" t="s">
        <v>303</v>
      </c>
      <c r="M6462" s="12">
        <v>5324.991</v>
      </c>
      <c r="N6462" s="2"/>
      <c r="O6462" s="2"/>
      <c r="P6462" s="2" t="s">
        <v>19712</v>
      </c>
      <c r="Q6462" s="6">
        <v>100</v>
      </c>
      <c r="R6462" s="6">
        <v>12.5</v>
      </c>
      <c r="S6462" s="5">
        <v>0.4</v>
      </c>
      <c r="T6462" s="5">
        <v>2.2000000000000002</v>
      </c>
      <c r="U6462" s="5">
        <v>3.2</v>
      </c>
      <c r="V6462" s="6">
        <v>0.02</v>
      </c>
      <c r="W6462" s="5">
        <v>7.7</v>
      </c>
      <c r="X6462" s="5">
        <v>8.9</v>
      </c>
      <c r="Y6462" s="6">
        <v>12.39</v>
      </c>
      <c r="Z6462" s="6">
        <v>12.39</v>
      </c>
      <c r="AA6462" s="6">
        <v>23.1</v>
      </c>
      <c r="AB6462" s="2" t="s">
        <v>86</v>
      </c>
      <c r="AC6462" s="6">
        <v>43.65</v>
      </c>
    </row>
    <row r="6463" spans="1:29" ht="273" x14ac:dyDescent="0.15">
      <c r="A6463" s="3">
        <f>DATE(2002,2,15)</f>
        <v>37302</v>
      </c>
      <c r="B6463" s="3">
        <f>DATE(2002,6,3)</f>
        <v>37410</v>
      </c>
      <c r="C6463" s="2" t="s">
        <v>95</v>
      </c>
      <c r="D6463" s="2" t="s">
        <v>19713</v>
      </c>
      <c r="E6463" s="2" t="s">
        <v>2754</v>
      </c>
      <c r="F6463" s="4">
        <v>4911</v>
      </c>
      <c r="G6463" s="2" t="s">
        <v>439</v>
      </c>
      <c r="H6463" s="2" t="s">
        <v>34</v>
      </c>
      <c r="I6463" s="2" t="s">
        <v>19714</v>
      </c>
      <c r="J6463" s="2" t="s">
        <v>5676</v>
      </c>
      <c r="K6463" s="2" t="s">
        <v>439</v>
      </c>
      <c r="L6463" s="2" t="s">
        <v>34</v>
      </c>
      <c r="M6463" s="12">
        <v>9543.5139999999992</v>
      </c>
      <c r="N6463" s="5">
        <v>22.9</v>
      </c>
      <c r="O6463" s="6">
        <v>23.25</v>
      </c>
      <c r="P6463" s="2" t="s">
        <v>19715</v>
      </c>
      <c r="Q6463" s="6">
        <v>27.04</v>
      </c>
      <c r="R6463" s="6">
        <v>12.86</v>
      </c>
      <c r="S6463" s="5">
        <v>203.5</v>
      </c>
      <c r="T6463" s="5">
        <v>900.7</v>
      </c>
      <c r="U6463" s="5">
        <v>11.3</v>
      </c>
      <c r="V6463" s="6">
        <v>1.02</v>
      </c>
      <c r="W6463" s="5">
        <v>9.6</v>
      </c>
      <c r="X6463" s="4">
        <v>10</v>
      </c>
      <c r="Y6463" s="6">
        <v>11.38</v>
      </c>
      <c r="Z6463" s="6">
        <v>11.38</v>
      </c>
      <c r="AA6463" s="6">
        <v>198.54</v>
      </c>
      <c r="AB6463" s="7">
        <v>17.864000000000001</v>
      </c>
      <c r="AC6463" s="6">
        <v>503.15</v>
      </c>
    </row>
    <row r="6464" spans="1:29" ht="169" x14ac:dyDescent="0.15">
      <c r="A6464" s="3">
        <f>DATE(2002,2,17)</f>
        <v>37304</v>
      </c>
      <c r="B6464" s="3">
        <f>DATE(2002,6,24)</f>
        <v>37431</v>
      </c>
      <c r="C6464" s="2" t="s">
        <v>95</v>
      </c>
      <c r="D6464" s="2" t="s">
        <v>19716</v>
      </c>
      <c r="E6464" s="2" t="s">
        <v>18133</v>
      </c>
      <c r="F6464" s="4">
        <v>3661</v>
      </c>
      <c r="G6464" s="2" t="s">
        <v>921</v>
      </c>
      <c r="H6464" s="2" t="s">
        <v>34</v>
      </c>
      <c r="I6464" s="2" t="s">
        <v>12255</v>
      </c>
      <c r="J6464" s="2" t="s">
        <v>12256</v>
      </c>
      <c r="K6464" s="2" t="s">
        <v>921</v>
      </c>
      <c r="L6464" s="2" t="s">
        <v>34</v>
      </c>
      <c r="M6464" s="12">
        <v>4441.4210000000003</v>
      </c>
      <c r="N6464" s="6">
        <v>8.73</v>
      </c>
      <c r="O6464" s="6">
        <v>8.73</v>
      </c>
      <c r="P6464" s="2" t="s">
        <v>19717</v>
      </c>
      <c r="Q6464" s="6">
        <v>100</v>
      </c>
      <c r="R6464" s="6">
        <v>6.2</v>
      </c>
      <c r="S6464" s="5">
        <v>-188.3</v>
      </c>
      <c r="T6464" s="5">
        <v>-106.5</v>
      </c>
      <c r="U6464" s="5">
        <v>4</v>
      </c>
      <c r="V6464" s="6">
        <v>-1.4</v>
      </c>
      <c r="W6464" s="6">
        <v>5.1100000000000003</v>
      </c>
      <c r="X6464" s="6">
        <v>5.54</v>
      </c>
      <c r="Y6464" s="6">
        <v>5.54</v>
      </c>
      <c r="Z6464" s="6">
        <v>5.54</v>
      </c>
      <c r="AA6464" s="6">
        <v>139.66999999999999</v>
      </c>
      <c r="AB6464" s="2" t="s">
        <v>86</v>
      </c>
      <c r="AC6464" s="5">
        <v>472.5</v>
      </c>
    </row>
    <row r="6465" spans="1:29" ht="182" x14ac:dyDescent="0.15">
      <c r="A6465" s="3">
        <f>DATE(2002,2,19)</f>
        <v>37306</v>
      </c>
      <c r="B6465" s="2"/>
      <c r="C6465" s="2" t="s">
        <v>30</v>
      </c>
      <c r="D6465" s="2" t="s">
        <v>19718</v>
      </c>
      <c r="E6465" s="2" t="s">
        <v>19719</v>
      </c>
      <c r="F6465" s="4">
        <v>2835</v>
      </c>
      <c r="G6465" s="2" t="s">
        <v>130</v>
      </c>
      <c r="H6465" s="2" t="s">
        <v>34</v>
      </c>
      <c r="I6465" s="2" t="s">
        <v>19720</v>
      </c>
      <c r="J6465" s="2" t="s">
        <v>19721</v>
      </c>
      <c r="K6465" s="2" t="s">
        <v>226</v>
      </c>
      <c r="L6465" s="2" t="s">
        <v>34</v>
      </c>
      <c r="M6465" s="12">
        <v>2720.864</v>
      </c>
      <c r="N6465" s="6">
        <v>20.03</v>
      </c>
      <c r="O6465" s="6">
        <v>22.02</v>
      </c>
      <c r="P6465" s="2" t="s">
        <v>19722</v>
      </c>
      <c r="Q6465" s="2"/>
      <c r="R6465" s="6">
        <v>28.81</v>
      </c>
      <c r="S6465" s="5">
        <v>-4.5</v>
      </c>
      <c r="T6465" s="5">
        <v>-3</v>
      </c>
      <c r="U6465" s="5">
        <v>1.7</v>
      </c>
      <c r="V6465" s="6">
        <v>-0.27</v>
      </c>
      <c r="W6465" s="6">
        <v>22.58</v>
      </c>
      <c r="X6465" s="6">
        <v>25.51</v>
      </c>
      <c r="Y6465" s="6">
        <v>27.57</v>
      </c>
      <c r="Z6465" s="6">
        <v>30.15</v>
      </c>
      <c r="AA6465" s="6">
        <v>17.88</v>
      </c>
      <c r="AB6465" s="2" t="s">
        <v>86</v>
      </c>
      <c r="AC6465" s="5">
        <v>71.900000000000006</v>
      </c>
    </row>
    <row r="6466" spans="1:29" ht="247" x14ac:dyDescent="0.15">
      <c r="A6466" s="3">
        <f>DATE(2002,2,19)</f>
        <v>37306</v>
      </c>
      <c r="B6466" s="2"/>
      <c r="C6466" s="2" t="s">
        <v>19723</v>
      </c>
      <c r="D6466" s="2" t="s">
        <v>19467</v>
      </c>
      <c r="E6466" s="2" t="s">
        <v>2044</v>
      </c>
      <c r="F6466" s="4">
        <v>6798</v>
      </c>
      <c r="G6466" s="2" t="s">
        <v>53</v>
      </c>
      <c r="H6466" s="2" t="s">
        <v>34</v>
      </c>
      <c r="I6466" s="2" t="s">
        <v>19439</v>
      </c>
      <c r="J6466" s="2" t="s">
        <v>2044</v>
      </c>
      <c r="K6466" s="2" t="s">
        <v>53</v>
      </c>
      <c r="L6466" s="2" t="s">
        <v>34</v>
      </c>
      <c r="M6466" s="6">
        <v>91.57</v>
      </c>
      <c r="N6466" s="5">
        <v>9.1999999999999993</v>
      </c>
      <c r="O6466" s="6">
        <v>9.5500000000000007</v>
      </c>
      <c r="P6466" s="2" t="s">
        <v>19724</v>
      </c>
      <c r="Q6466" s="6">
        <v>18.420000000000002</v>
      </c>
      <c r="R6466" s="6">
        <v>19</v>
      </c>
      <c r="S6466" s="5">
        <v>-3.5</v>
      </c>
      <c r="T6466" s="7">
        <v>-0.71699999999999997</v>
      </c>
      <c r="U6466" s="5">
        <v>8.1999999999999993</v>
      </c>
      <c r="V6466" s="9">
        <v>-0.77329999999999999</v>
      </c>
      <c r="W6466" s="5">
        <v>17.399999999999999</v>
      </c>
      <c r="X6466" s="5">
        <v>17.3</v>
      </c>
      <c r="Y6466" s="5">
        <v>18.100000000000001</v>
      </c>
      <c r="Z6466" s="6">
        <v>18.149999999999999</v>
      </c>
      <c r="AA6466" s="6">
        <v>1.44</v>
      </c>
      <c r="AB6466" s="2" t="s">
        <v>86</v>
      </c>
      <c r="AC6466" s="6">
        <v>0.81</v>
      </c>
    </row>
    <row r="6467" spans="1:29" ht="169" x14ac:dyDescent="0.15">
      <c r="A6467" s="3">
        <f>DATE(2002,2,19)</f>
        <v>37306</v>
      </c>
      <c r="B6467" s="3">
        <f>DATE(2002,4,11)</f>
        <v>37357</v>
      </c>
      <c r="C6467" s="2" t="s">
        <v>95</v>
      </c>
      <c r="D6467" s="2" t="s">
        <v>15408</v>
      </c>
      <c r="E6467" s="2" t="s">
        <v>15407</v>
      </c>
      <c r="F6467" s="4">
        <v>4724</v>
      </c>
      <c r="G6467" s="2" t="s">
        <v>173</v>
      </c>
      <c r="H6467" s="2" t="s">
        <v>34</v>
      </c>
      <c r="I6467" s="2" t="s">
        <v>17505</v>
      </c>
      <c r="J6467" s="2" t="s">
        <v>17506</v>
      </c>
      <c r="K6467" s="2" t="s">
        <v>551</v>
      </c>
      <c r="L6467" s="2" t="s">
        <v>34</v>
      </c>
      <c r="M6467" s="12">
        <v>5400.6769999999997</v>
      </c>
      <c r="N6467" s="6">
        <v>42.94</v>
      </c>
      <c r="O6467" s="5">
        <v>43.6</v>
      </c>
      <c r="P6467" s="2" t="s">
        <v>19725</v>
      </c>
      <c r="Q6467" s="6">
        <v>34.53</v>
      </c>
      <c r="R6467" s="6">
        <v>28</v>
      </c>
      <c r="S6467" s="5">
        <v>-91.2</v>
      </c>
      <c r="T6467" s="5">
        <v>42.6</v>
      </c>
      <c r="U6467" s="5">
        <v>5</v>
      </c>
      <c r="V6467" s="6">
        <v>-4.62</v>
      </c>
      <c r="W6467" s="6">
        <v>19.96</v>
      </c>
      <c r="X6467" s="5">
        <v>19.2</v>
      </c>
      <c r="Y6467" s="6">
        <v>24.91</v>
      </c>
      <c r="Z6467" s="4">
        <v>25</v>
      </c>
      <c r="AA6467" s="6">
        <v>49.92</v>
      </c>
      <c r="AB6467" s="2" t="s">
        <v>86</v>
      </c>
      <c r="AC6467" s="5">
        <v>18.899999999999999</v>
      </c>
    </row>
    <row r="6468" spans="1:29" ht="130" x14ac:dyDescent="0.15">
      <c r="A6468" s="3">
        <f>DATE(2002,2,20)</f>
        <v>37307</v>
      </c>
      <c r="B6468" s="3">
        <f>DATE(2002,5,14)</f>
        <v>37390</v>
      </c>
      <c r="C6468" s="2" t="s">
        <v>95</v>
      </c>
      <c r="D6468" s="2" t="s">
        <v>19726</v>
      </c>
      <c r="E6468" s="2" t="s">
        <v>19727</v>
      </c>
      <c r="F6468" s="4">
        <v>7372</v>
      </c>
      <c r="G6468" s="2" t="s">
        <v>551</v>
      </c>
      <c r="H6468" s="2" t="s">
        <v>34</v>
      </c>
      <c r="I6468" s="2" t="s">
        <v>13112</v>
      </c>
      <c r="J6468" s="2" t="s">
        <v>7760</v>
      </c>
      <c r="K6468" s="2" t="s">
        <v>551</v>
      </c>
      <c r="L6468" s="2" t="s">
        <v>34</v>
      </c>
      <c r="M6468" s="12">
        <v>1450.876</v>
      </c>
      <c r="N6468" s="6">
        <v>12.55</v>
      </c>
      <c r="O6468" s="6">
        <v>10.119999999999999</v>
      </c>
      <c r="P6468" s="2" t="s">
        <v>19728</v>
      </c>
      <c r="Q6468" s="6">
        <v>100</v>
      </c>
      <c r="R6468" s="6">
        <v>11.13</v>
      </c>
      <c r="S6468" s="5">
        <v>-7.6</v>
      </c>
      <c r="T6468" s="5">
        <v>-3.2</v>
      </c>
      <c r="U6468" s="5">
        <v>3.7</v>
      </c>
      <c r="V6468" s="6">
        <v>-0.24</v>
      </c>
      <c r="W6468" s="6">
        <v>10.16</v>
      </c>
      <c r="X6468" s="5">
        <v>9.5</v>
      </c>
      <c r="Y6468" s="5">
        <v>9.1999999999999993</v>
      </c>
      <c r="Z6468" s="6">
        <v>9.66</v>
      </c>
      <c r="AA6468" s="6">
        <v>33.020000000000003</v>
      </c>
      <c r="AB6468" s="2" t="s">
        <v>86</v>
      </c>
      <c r="AC6468" s="5">
        <v>63.3</v>
      </c>
    </row>
    <row r="6469" spans="1:29" ht="78" x14ac:dyDescent="0.15">
      <c r="A6469" s="3">
        <f>DATE(2002,2,20)</f>
        <v>37307</v>
      </c>
      <c r="B6469" s="3">
        <f>DATE(2002,5,31)</f>
        <v>37407</v>
      </c>
      <c r="C6469" s="2" t="s">
        <v>95</v>
      </c>
      <c r="D6469" s="2" t="s">
        <v>19729</v>
      </c>
      <c r="E6469" s="2" t="s">
        <v>19730</v>
      </c>
      <c r="F6469" s="4">
        <v>1389</v>
      </c>
      <c r="G6469" s="2" t="s">
        <v>148</v>
      </c>
      <c r="H6469" s="2" t="s">
        <v>34</v>
      </c>
      <c r="I6469" s="2" t="s">
        <v>5300</v>
      </c>
      <c r="J6469" s="2" t="s">
        <v>5301</v>
      </c>
      <c r="K6469" s="2" t="s">
        <v>148</v>
      </c>
      <c r="L6469" s="2" t="s">
        <v>34</v>
      </c>
      <c r="M6469" s="12">
        <v>4353.0150000000003</v>
      </c>
      <c r="N6469" s="6">
        <v>30.03</v>
      </c>
      <c r="O6469" s="6">
        <v>31.97</v>
      </c>
      <c r="P6469" s="2" t="s">
        <v>19731</v>
      </c>
      <c r="Q6469" s="6">
        <v>100</v>
      </c>
      <c r="R6469" s="6">
        <v>28</v>
      </c>
      <c r="S6469" s="5">
        <v>9.6999999999999993</v>
      </c>
      <c r="T6469" s="5">
        <v>26.9</v>
      </c>
      <c r="U6469" s="5">
        <v>5.3</v>
      </c>
      <c r="V6469" s="6">
        <v>0.65</v>
      </c>
      <c r="W6469" s="5">
        <v>18.399999999999999</v>
      </c>
      <c r="X6469" s="6">
        <v>21.99</v>
      </c>
      <c r="Y6469" s="6">
        <v>27.65</v>
      </c>
      <c r="Z6469" s="6">
        <v>27.72</v>
      </c>
      <c r="AA6469" s="6">
        <v>14.84</v>
      </c>
      <c r="AB6469" s="7">
        <v>24.873000000000001</v>
      </c>
      <c r="AC6469" s="5">
        <v>44</v>
      </c>
    </row>
    <row r="6470" spans="1:29" ht="78" x14ac:dyDescent="0.15">
      <c r="A6470" s="3">
        <f>DATE(2002,2,20)</f>
        <v>37307</v>
      </c>
      <c r="B6470" s="3">
        <f>DATE(2002,3,22)</f>
        <v>37337</v>
      </c>
      <c r="C6470" s="2" t="s">
        <v>95</v>
      </c>
      <c r="D6470" s="2" t="s">
        <v>19732</v>
      </c>
      <c r="E6470" s="2" t="s">
        <v>19733</v>
      </c>
      <c r="F6470" s="4">
        <v>4953</v>
      </c>
      <c r="G6470" s="2" t="s">
        <v>116</v>
      </c>
      <c r="H6470" s="2" t="s">
        <v>34</v>
      </c>
      <c r="I6470" s="2" t="s">
        <v>19734</v>
      </c>
      <c r="J6470" s="2" t="s">
        <v>9872</v>
      </c>
      <c r="K6470" s="2" t="s">
        <v>8457</v>
      </c>
      <c r="L6470" s="2" t="s">
        <v>34</v>
      </c>
      <c r="M6470" s="2"/>
      <c r="N6470" s="2"/>
      <c r="O6470" s="2"/>
      <c r="P6470" s="2" t="s">
        <v>19735</v>
      </c>
      <c r="Q6470" s="6">
        <v>100</v>
      </c>
      <c r="R6470" s="6">
        <v>16</v>
      </c>
      <c r="S6470" s="5">
        <v>11.5</v>
      </c>
      <c r="T6470" s="5">
        <v>18.100000000000001</v>
      </c>
      <c r="U6470" s="5">
        <v>10.199999999999999</v>
      </c>
      <c r="V6470" s="6">
        <v>1.1000000000000001</v>
      </c>
      <c r="W6470" s="5">
        <v>12.7</v>
      </c>
      <c r="X6470" s="5">
        <v>12.7</v>
      </c>
      <c r="Y6470" s="5">
        <v>10.6</v>
      </c>
      <c r="Z6470" s="5">
        <v>10.6</v>
      </c>
      <c r="AA6470" s="6">
        <v>10.49</v>
      </c>
      <c r="AB6470" s="7">
        <v>11.561</v>
      </c>
      <c r="AC6470" s="2"/>
    </row>
    <row r="6471" spans="1:29" ht="208" x14ac:dyDescent="0.15">
      <c r="A6471" s="3">
        <f t="shared" ref="A6471:A6476" si="150">DATE(2002,2,22)</f>
        <v>37309</v>
      </c>
      <c r="B6471" s="3">
        <f>DATE(2002,9,30)</f>
        <v>37529</v>
      </c>
      <c r="C6471" s="2" t="s">
        <v>95</v>
      </c>
      <c r="D6471" s="2" t="s">
        <v>19736</v>
      </c>
      <c r="E6471" s="2" t="s">
        <v>19737</v>
      </c>
      <c r="F6471" s="4">
        <v>5511</v>
      </c>
      <c r="G6471" s="2" t="s">
        <v>73</v>
      </c>
      <c r="H6471" s="2" t="s">
        <v>34</v>
      </c>
      <c r="I6471" s="2" t="s">
        <v>278</v>
      </c>
      <c r="J6471" s="2" t="s">
        <v>52</v>
      </c>
      <c r="K6471" s="2" t="s">
        <v>53</v>
      </c>
      <c r="L6471" s="2" t="s">
        <v>34</v>
      </c>
      <c r="M6471" s="2"/>
      <c r="N6471" s="2"/>
      <c r="O6471" s="2"/>
      <c r="P6471" s="2" t="s">
        <v>19738</v>
      </c>
      <c r="Q6471" s="6">
        <v>64.010000000000005</v>
      </c>
      <c r="R6471" s="6">
        <v>16.3</v>
      </c>
      <c r="S6471" s="5">
        <v>74.099999999999994</v>
      </c>
      <c r="T6471" s="7">
        <v>123.129</v>
      </c>
      <c r="U6471" s="5">
        <v>2.7</v>
      </c>
      <c r="V6471" s="6">
        <v>0.45</v>
      </c>
      <c r="W6471" s="6">
        <v>25.21</v>
      </c>
      <c r="X6471" s="6">
        <v>28.51</v>
      </c>
      <c r="Y6471" s="4">
        <v>26</v>
      </c>
      <c r="Z6471" s="6">
        <v>27.02</v>
      </c>
      <c r="AA6471" s="6">
        <v>36.840000000000003</v>
      </c>
      <c r="AB6471" s="7">
        <v>31.495000000000001</v>
      </c>
      <c r="AC6471" s="2"/>
    </row>
    <row r="6472" spans="1:29" ht="65" x14ac:dyDescent="0.15">
      <c r="A6472" s="3">
        <f t="shared" si="150"/>
        <v>37309</v>
      </c>
      <c r="B6472" s="2"/>
      <c r="C6472" s="2" t="s">
        <v>87</v>
      </c>
      <c r="D6472" s="2" t="s">
        <v>19739</v>
      </c>
      <c r="E6472" s="2" t="s">
        <v>16352</v>
      </c>
      <c r="F6472" s="4">
        <v>7372</v>
      </c>
      <c r="G6472" s="2" t="s">
        <v>551</v>
      </c>
      <c r="H6472" s="2" t="s">
        <v>34</v>
      </c>
      <c r="I6472" s="2" t="s">
        <v>143</v>
      </c>
      <c r="J6472" s="2" t="s">
        <v>144</v>
      </c>
      <c r="K6472" s="2" t="s">
        <v>53</v>
      </c>
      <c r="L6472" s="2" t="s">
        <v>139</v>
      </c>
      <c r="M6472" s="2"/>
      <c r="N6472" s="2"/>
      <c r="O6472" s="2"/>
      <c r="P6472" s="2" t="s">
        <v>19740</v>
      </c>
      <c r="Q6472" s="2"/>
      <c r="R6472" s="2"/>
      <c r="S6472" s="5">
        <v>-43.4</v>
      </c>
      <c r="T6472" s="7">
        <v>-35.387999999999998</v>
      </c>
      <c r="U6472" s="5">
        <v>2.5</v>
      </c>
      <c r="V6472" s="6">
        <v>-3.96</v>
      </c>
      <c r="W6472" s="6">
        <v>3.86</v>
      </c>
      <c r="X6472" s="6">
        <v>3.25</v>
      </c>
      <c r="Y6472" s="6">
        <v>3.76</v>
      </c>
      <c r="Z6472" s="6">
        <v>4.0199999999999996</v>
      </c>
      <c r="AA6472" s="6">
        <v>48.02</v>
      </c>
      <c r="AB6472" s="2" t="s">
        <v>86</v>
      </c>
      <c r="AC6472" s="2"/>
    </row>
    <row r="6473" spans="1:29" ht="338" x14ac:dyDescent="0.15">
      <c r="A6473" s="3">
        <f t="shared" si="150"/>
        <v>37309</v>
      </c>
      <c r="B6473" s="3">
        <f>DATE(2002,12,11)</f>
        <v>37601</v>
      </c>
      <c r="C6473" s="2" t="s">
        <v>95</v>
      </c>
      <c r="D6473" s="2" t="s">
        <v>10993</v>
      </c>
      <c r="E6473" s="2" t="s">
        <v>10994</v>
      </c>
      <c r="F6473" s="4">
        <v>3714</v>
      </c>
      <c r="G6473" s="2" t="s">
        <v>105</v>
      </c>
      <c r="H6473" s="2" t="s">
        <v>34</v>
      </c>
      <c r="I6473" s="2" t="s">
        <v>9671</v>
      </c>
      <c r="J6473" s="2" t="s">
        <v>9672</v>
      </c>
      <c r="K6473" s="2" t="s">
        <v>226</v>
      </c>
      <c r="L6473" s="2" t="s">
        <v>34</v>
      </c>
      <c r="M6473" s="12">
        <v>8992.0619999999999</v>
      </c>
      <c r="N6473" s="6">
        <v>109.95</v>
      </c>
      <c r="O6473" s="6">
        <v>108.44</v>
      </c>
      <c r="P6473" s="2" t="s">
        <v>19741</v>
      </c>
      <c r="Q6473" s="6">
        <v>100</v>
      </c>
      <c r="R6473" s="6">
        <v>51.76</v>
      </c>
      <c r="S6473" s="5">
        <v>223</v>
      </c>
      <c r="T6473" s="8">
        <v>1381</v>
      </c>
      <c r="U6473" s="5">
        <v>15.5</v>
      </c>
      <c r="V6473" s="6">
        <v>1.75</v>
      </c>
      <c r="W6473" s="6">
        <v>45.04</v>
      </c>
      <c r="X6473" s="5">
        <v>39.799999999999997</v>
      </c>
      <c r="Y6473" s="5">
        <v>50.3</v>
      </c>
      <c r="Z6473" s="6">
        <v>50.31</v>
      </c>
      <c r="AA6473" s="6">
        <v>126.29</v>
      </c>
      <c r="AB6473" s="7">
        <v>17.207000000000001</v>
      </c>
      <c r="AC6473" s="5">
        <v>196</v>
      </c>
    </row>
    <row r="6474" spans="1:29" ht="156" x14ac:dyDescent="0.15">
      <c r="A6474" s="3">
        <f t="shared" si="150"/>
        <v>37309</v>
      </c>
      <c r="B6474" s="2"/>
      <c r="C6474" s="2" t="s">
        <v>30</v>
      </c>
      <c r="D6474" s="2" t="s">
        <v>19742</v>
      </c>
      <c r="E6474" s="2" t="s">
        <v>844</v>
      </c>
      <c r="F6474" s="4">
        <v>6552</v>
      </c>
      <c r="G6474" s="2" t="s">
        <v>109</v>
      </c>
      <c r="H6474" s="2" t="s">
        <v>34</v>
      </c>
      <c r="I6474" s="2" t="s">
        <v>19743</v>
      </c>
      <c r="J6474" s="2" t="s">
        <v>80</v>
      </c>
      <c r="K6474" s="2" t="s">
        <v>53</v>
      </c>
      <c r="L6474" s="2" t="s">
        <v>34</v>
      </c>
      <c r="M6474" s="2"/>
      <c r="N6474" s="2"/>
      <c r="O6474" s="2"/>
      <c r="P6474" s="2" t="s">
        <v>19744</v>
      </c>
      <c r="Q6474" s="2"/>
      <c r="R6474" s="6">
        <v>25</v>
      </c>
      <c r="S6474" s="5">
        <v>0.2</v>
      </c>
      <c r="T6474" s="7">
        <v>0.307</v>
      </c>
      <c r="U6474" s="5">
        <v>5.9</v>
      </c>
      <c r="V6474" s="6">
        <v>7.0000000000000007E-2</v>
      </c>
      <c r="W6474" s="4">
        <v>19</v>
      </c>
      <c r="X6474" s="4">
        <v>19</v>
      </c>
      <c r="Y6474" s="6">
        <v>21.94</v>
      </c>
      <c r="Z6474" s="5">
        <v>22.4</v>
      </c>
      <c r="AA6474" s="6">
        <v>3.25</v>
      </c>
      <c r="AB6474" s="7">
        <v>308.38400000000001</v>
      </c>
      <c r="AC6474" s="2"/>
    </row>
    <row r="6475" spans="1:29" ht="169" x14ac:dyDescent="0.15">
      <c r="A6475" s="3">
        <f t="shared" si="150"/>
        <v>37309</v>
      </c>
      <c r="B6475" s="2"/>
      <c r="C6475" s="2" t="s">
        <v>30</v>
      </c>
      <c r="D6475" s="2" t="s">
        <v>19742</v>
      </c>
      <c r="E6475" s="2" t="s">
        <v>844</v>
      </c>
      <c r="F6475" s="4">
        <v>6552</v>
      </c>
      <c r="G6475" s="2" t="s">
        <v>109</v>
      </c>
      <c r="H6475" s="2" t="s">
        <v>34</v>
      </c>
      <c r="I6475" s="2" t="s">
        <v>19743</v>
      </c>
      <c r="J6475" s="2" t="s">
        <v>80</v>
      </c>
      <c r="K6475" s="2" t="s">
        <v>53</v>
      </c>
      <c r="L6475" s="2" t="s">
        <v>34</v>
      </c>
      <c r="M6475" s="2"/>
      <c r="N6475" s="2"/>
      <c r="O6475" s="2"/>
      <c r="P6475" s="2" t="s">
        <v>19745</v>
      </c>
      <c r="Q6475" s="2"/>
      <c r="R6475" s="6">
        <v>25</v>
      </c>
      <c r="S6475" s="5">
        <v>0.2</v>
      </c>
      <c r="T6475" s="7">
        <v>0.307</v>
      </c>
      <c r="U6475" s="5">
        <v>5.9</v>
      </c>
      <c r="V6475" s="6">
        <v>7.0000000000000007E-2</v>
      </c>
      <c r="W6475" s="4">
        <v>19</v>
      </c>
      <c r="X6475" s="4">
        <v>19</v>
      </c>
      <c r="Y6475" s="6">
        <v>21.94</v>
      </c>
      <c r="Z6475" s="5">
        <v>22.4</v>
      </c>
      <c r="AA6475" s="6">
        <v>3.25</v>
      </c>
      <c r="AB6475" s="7">
        <v>305.108</v>
      </c>
      <c r="AC6475" s="2"/>
    </row>
    <row r="6476" spans="1:29" ht="169" x14ac:dyDescent="0.15">
      <c r="A6476" s="3">
        <f t="shared" si="150"/>
        <v>37309</v>
      </c>
      <c r="B6476" s="3">
        <f>DATE(2002,6,26)</f>
        <v>37433</v>
      </c>
      <c r="C6476" s="2" t="s">
        <v>95</v>
      </c>
      <c r="D6476" s="2" t="s">
        <v>19746</v>
      </c>
      <c r="E6476" s="2" t="s">
        <v>19747</v>
      </c>
      <c r="F6476" s="4">
        <v>3577</v>
      </c>
      <c r="G6476" s="2" t="s">
        <v>50</v>
      </c>
      <c r="H6476" s="2" t="s">
        <v>34</v>
      </c>
      <c r="I6476" s="2" t="s">
        <v>19748</v>
      </c>
      <c r="J6476" s="2" t="s">
        <v>19749</v>
      </c>
      <c r="K6476" s="2" t="s">
        <v>223</v>
      </c>
      <c r="L6476" s="2" t="s">
        <v>34</v>
      </c>
      <c r="M6476" s="7">
        <v>425.52699999999999</v>
      </c>
      <c r="N6476" s="6">
        <v>6.95</v>
      </c>
      <c r="O6476" s="6">
        <v>8.39</v>
      </c>
      <c r="P6476" s="2" t="s">
        <v>19750</v>
      </c>
      <c r="Q6476" s="6">
        <v>100</v>
      </c>
      <c r="R6476" s="6">
        <v>9.5500000000000007</v>
      </c>
      <c r="S6476" s="5">
        <v>-4.5</v>
      </c>
      <c r="T6476" s="5">
        <v>-2.1</v>
      </c>
      <c r="U6476" s="5">
        <v>1.3</v>
      </c>
      <c r="V6476" s="6">
        <v>-0.18</v>
      </c>
      <c r="W6476" s="6">
        <v>10.58</v>
      </c>
      <c r="X6476" s="5">
        <v>10.3</v>
      </c>
      <c r="Y6476" s="5">
        <v>10.5</v>
      </c>
      <c r="Z6476" s="6">
        <v>11.45</v>
      </c>
      <c r="AA6476" s="6">
        <v>28.84</v>
      </c>
      <c r="AB6476" s="2" t="s">
        <v>86</v>
      </c>
      <c r="AC6476" s="5">
        <v>58.9</v>
      </c>
    </row>
    <row r="6477" spans="1:29" ht="169" x14ac:dyDescent="0.15">
      <c r="A6477" s="3">
        <f>DATE(2002,2,25)</f>
        <v>37312</v>
      </c>
      <c r="B6477" s="3">
        <f>DATE(2002,9,30)</f>
        <v>37529</v>
      </c>
      <c r="C6477" s="2" t="s">
        <v>95</v>
      </c>
      <c r="D6477" s="2" t="s">
        <v>7324</v>
      </c>
      <c r="E6477" s="2" t="s">
        <v>612</v>
      </c>
      <c r="F6477" s="4">
        <v>1311</v>
      </c>
      <c r="G6477" s="2" t="s">
        <v>148</v>
      </c>
      <c r="H6477" s="2" t="s">
        <v>34</v>
      </c>
      <c r="I6477" s="2" t="s">
        <v>19751</v>
      </c>
      <c r="J6477" s="2" t="s">
        <v>612</v>
      </c>
      <c r="K6477" s="2" t="s">
        <v>148</v>
      </c>
      <c r="L6477" s="2" t="s">
        <v>34</v>
      </c>
      <c r="M6477" s="2"/>
      <c r="N6477" s="2"/>
      <c r="O6477" s="2"/>
      <c r="P6477" s="2" t="s">
        <v>19752</v>
      </c>
      <c r="Q6477" s="6">
        <v>100</v>
      </c>
      <c r="R6477" s="2"/>
      <c r="S6477" s="5">
        <v>-3.6</v>
      </c>
      <c r="T6477" s="7">
        <v>80.611000000000004</v>
      </c>
      <c r="U6477" s="5">
        <v>9.6</v>
      </c>
      <c r="V6477" s="6">
        <v>-0.26</v>
      </c>
      <c r="W6477" s="6">
        <v>15.18</v>
      </c>
      <c r="X6477" s="6">
        <v>15.65</v>
      </c>
      <c r="Y6477" s="5">
        <v>16.100000000000001</v>
      </c>
      <c r="Z6477" s="6">
        <v>16.079999999999998</v>
      </c>
      <c r="AA6477" s="6">
        <v>14.08</v>
      </c>
      <c r="AB6477" s="7">
        <v>6.0730000000000004</v>
      </c>
      <c r="AC6477" s="2"/>
    </row>
    <row r="6478" spans="1:29" ht="169" x14ac:dyDescent="0.15">
      <c r="A6478" s="3">
        <f>DATE(2002,2,26)</f>
        <v>37313</v>
      </c>
      <c r="B6478" s="3">
        <f>DATE(2002,6,21)</f>
        <v>37428</v>
      </c>
      <c r="C6478" s="2" t="s">
        <v>95</v>
      </c>
      <c r="D6478" s="2" t="s">
        <v>19753</v>
      </c>
      <c r="E6478" s="2" t="s">
        <v>389</v>
      </c>
      <c r="F6478" s="4">
        <v>6035</v>
      </c>
      <c r="G6478" s="2" t="s">
        <v>33</v>
      </c>
      <c r="H6478" s="2" t="s">
        <v>34</v>
      </c>
      <c r="I6478" s="2" t="s">
        <v>16543</v>
      </c>
      <c r="J6478" s="2" t="s">
        <v>36</v>
      </c>
      <c r="K6478" s="2" t="s">
        <v>37</v>
      </c>
      <c r="L6478" s="2" t="s">
        <v>34</v>
      </c>
      <c r="M6478" s="12">
        <v>1364.8050000000001</v>
      </c>
      <c r="N6478" s="6">
        <v>41.04</v>
      </c>
      <c r="O6478" s="6">
        <v>41.15</v>
      </c>
      <c r="P6478" s="2" t="s">
        <v>19754</v>
      </c>
      <c r="Q6478" s="6">
        <v>100</v>
      </c>
      <c r="R6478" s="6">
        <v>10.86</v>
      </c>
      <c r="S6478" s="2"/>
      <c r="T6478" s="2"/>
      <c r="U6478" s="2"/>
      <c r="V6478" s="2"/>
      <c r="W6478" s="6">
        <v>5.65</v>
      </c>
      <c r="X6478" s="5">
        <v>5.8</v>
      </c>
      <c r="Y6478" s="6">
        <v>10.01</v>
      </c>
      <c r="Z6478" s="5">
        <v>9.9</v>
      </c>
      <c r="AA6478" s="6">
        <v>1.5</v>
      </c>
      <c r="AB6478" s="2" t="s">
        <v>47</v>
      </c>
      <c r="AC6478" s="2"/>
    </row>
    <row r="6479" spans="1:29" ht="143" x14ac:dyDescent="0.15">
      <c r="A6479" s="3">
        <f>DATE(2002,2,26)</f>
        <v>37313</v>
      </c>
      <c r="B6479" s="2"/>
      <c r="C6479" s="2" t="s">
        <v>30</v>
      </c>
      <c r="D6479" s="2" t="s">
        <v>19755</v>
      </c>
      <c r="E6479" s="2" t="s">
        <v>19756</v>
      </c>
      <c r="F6479" s="4">
        <v>7999</v>
      </c>
      <c r="G6479" s="2" t="s">
        <v>364</v>
      </c>
      <c r="H6479" s="2" t="s">
        <v>34</v>
      </c>
      <c r="I6479" s="2" t="s">
        <v>19757</v>
      </c>
      <c r="J6479" s="2" t="s">
        <v>19758</v>
      </c>
      <c r="K6479" s="2" t="s">
        <v>223</v>
      </c>
      <c r="L6479" s="2" t="s">
        <v>34</v>
      </c>
      <c r="M6479" s="7">
        <v>362.95600000000002</v>
      </c>
      <c r="N6479" s="6">
        <v>9.3800000000000008</v>
      </c>
      <c r="O6479" s="6">
        <v>9.3699999999999992</v>
      </c>
      <c r="P6479" s="2" t="s">
        <v>19759</v>
      </c>
      <c r="Q6479" s="2"/>
      <c r="R6479" s="6">
        <v>2.1</v>
      </c>
      <c r="S6479" s="5">
        <v>3.3</v>
      </c>
      <c r="T6479" s="7">
        <v>3.4390000000000001</v>
      </c>
      <c r="U6479" s="5">
        <v>0.2</v>
      </c>
      <c r="V6479" s="6">
        <v>0.28000000000000003</v>
      </c>
      <c r="W6479" s="6">
        <v>2.86</v>
      </c>
      <c r="X6479" s="6">
        <v>2.35</v>
      </c>
      <c r="Y6479" s="6">
        <v>1.98</v>
      </c>
      <c r="Z6479" s="6">
        <v>1.95</v>
      </c>
      <c r="AA6479" s="6">
        <v>11.17</v>
      </c>
      <c r="AB6479" s="7">
        <v>11.603</v>
      </c>
      <c r="AC6479" s="5">
        <v>12.6</v>
      </c>
    </row>
    <row r="6480" spans="1:29" ht="260" x14ac:dyDescent="0.15">
      <c r="A6480" s="3">
        <f t="shared" ref="A6480:A6486" si="151">DATE(2002,2,27)</f>
        <v>37314</v>
      </c>
      <c r="B6480" s="3">
        <f>DATE(2002,4,28)</f>
        <v>37374</v>
      </c>
      <c r="C6480" s="2" t="s">
        <v>95</v>
      </c>
      <c r="D6480" s="2" t="s">
        <v>19760</v>
      </c>
      <c r="E6480" s="2" t="s">
        <v>515</v>
      </c>
      <c r="F6480" s="4">
        <v>6331</v>
      </c>
      <c r="G6480" s="2" t="s">
        <v>125</v>
      </c>
      <c r="H6480" s="2" t="s">
        <v>34</v>
      </c>
      <c r="I6480" s="2" t="s">
        <v>19761</v>
      </c>
      <c r="J6480" s="2" t="s">
        <v>302</v>
      </c>
      <c r="K6480" s="2" t="s">
        <v>53</v>
      </c>
      <c r="L6480" s="2" t="s">
        <v>34</v>
      </c>
      <c r="M6480" s="2"/>
      <c r="N6480" s="2"/>
      <c r="O6480" s="2"/>
      <c r="P6480" s="2" t="s">
        <v>19762</v>
      </c>
      <c r="Q6480" s="6">
        <v>100</v>
      </c>
      <c r="R6480" s="6">
        <v>2.1</v>
      </c>
      <c r="S6480" s="5">
        <v>-11.3</v>
      </c>
      <c r="T6480" s="5">
        <v>-3.8</v>
      </c>
      <c r="U6480" s="5">
        <v>3.4</v>
      </c>
      <c r="V6480" s="6">
        <v>-1.26</v>
      </c>
      <c r="W6480" s="6">
        <v>1.38</v>
      </c>
      <c r="X6480" s="6">
        <v>1.38</v>
      </c>
      <c r="Y6480" s="6">
        <v>2.0299999999999998</v>
      </c>
      <c r="Z6480" s="6">
        <v>2.0099999999999998</v>
      </c>
      <c r="AA6480" s="6">
        <v>9.61</v>
      </c>
      <c r="AB6480" s="2" t="s">
        <v>86</v>
      </c>
      <c r="AC6480" s="2"/>
    </row>
    <row r="6481" spans="1:29" ht="130" x14ac:dyDescent="0.15">
      <c r="A6481" s="3">
        <f t="shared" si="151"/>
        <v>37314</v>
      </c>
      <c r="B6481" s="2"/>
      <c r="C6481" s="2" t="s">
        <v>30</v>
      </c>
      <c r="D6481" s="2" t="s">
        <v>15778</v>
      </c>
      <c r="E6481" s="2" t="s">
        <v>4572</v>
      </c>
      <c r="F6481" s="4">
        <v>7375</v>
      </c>
      <c r="G6481" s="2" t="s">
        <v>223</v>
      </c>
      <c r="H6481" s="2" t="s">
        <v>34</v>
      </c>
      <c r="I6481" s="2" t="s">
        <v>19763</v>
      </c>
      <c r="J6481" s="2" t="s">
        <v>302</v>
      </c>
      <c r="K6481" s="2" t="s">
        <v>53</v>
      </c>
      <c r="L6481" s="2" t="s">
        <v>2105</v>
      </c>
      <c r="M6481" s="2"/>
      <c r="N6481" s="2"/>
      <c r="O6481" s="2"/>
      <c r="P6481" s="2" t="s">
        <v>19764</v>
      </c>
      <c r="Q6481" s="2"/>
      <c r="R6481" s="6">
        <v>3</v>
      </c>
      <c r="S6481" s="5">
        <v>-5.0999999999999996</v>
      </c>
      <c r="T6481" s="5">
        <v>-1.1000000000000001</v>
      </c>
      <c r="U6481" s="5">
        <v>4.5999999999999996</v>
      </c>
      <c r="V6481" s="6">
        <v>-1.07</v>
      </c>
      <c r="W6481" s="6">
        <v>2.35</v>
      </c>
      <c r="X6481" s="5">
        <v>2.6</v>
      </c>
      <c r="Y6481" s="5">
        <v>2.6</v>
      </c>
      <c r="Z6481" s="6">
        <v>2.62</v>
      </c>
      <c r="AA6481" s="6">
        <v>4.66</v>
      </c>
      <c r="AB6481" s="2" t="s">
        <v>86</v>
      </c>
      <c r="AC6481" s="2"/>
    </row>
    <row r="6482" spans="1:29" ht="91" x14ac:dyDescent="0.15">
      <c r="A6482" s="3">
        <f t="shared" si="151"/>
        <v>37314</v>
      </c>
      <c r="B6482" s="3">
        <f>DATE(2002,5,5)</f>
        <v>37381</v>
      </c>
      <c r="C6482" s="2" t="s">
        <v>95</v>
      </c>
      <c r="D6482" s="2" t="s">
        <v>19765</v>
      </c>
      <c r="E6482" s="2" t="s">
        <v>19766</v>
      </c>
      <c r="F6482" s="4">
        <v>3841</v>
      </c>
      <c r="G6482" s="2" t="s">
        <v>226</v>
      </c>
      <c r="H6482" s="2" t="s">
        <v>34</v>
      </c>
      <c r="I6482" s="2" t="s">
        <v>4779</v>
      </c>
      <c r="J6482" s="2" t="s">
        <v>4780</v>
      </c>
      <c r="K6482" s="2" t="s">
        <v>226</v>
      </c>
      <c r="L6482" s="2" t="s">
        <v>34</v>
      </c>
      <c r="M6482" s="12">
        <v>31731.376</v>
      </c>
      <c r="N6482" s="5">
        <v>55.7</v>
      </c>
      <c r="O6482" s="6">
        <v>55.48</v>
      </c>
      <c r="P6482" s="2" t="s">
        <v>19767</v>
      </c>
      <c r="Q6482" s="6">
        <v>100</v>
      </c>
      <c r="R6482" s="6">
        <v>10</v>
      </c>
      <c r="S6482" s="5">
        <v>-13.7</v>
      </c>
      <c r="T6482" s="5">
        <v>-12.2</v>
      </c>
      <c r="U6482" s="5">
        <v>0.7</v>
      </c>
      <c r="V6482" s="6">
        <v>-1.02</v>
      </c>
      <c r="W6482" s="6">
        <v>8.09</v>
      </c>
      <c r="X6482" s="5">
        <v>8.3000000000000007</v>
      </c>
      <c r="Y6482" s="6">
        <v>9.77</v>
      </c>
      <c r="Z6482" s="6">
        <v>9.73</v>
      </c>
      <c r="AA6482" s="6">
        <v>14.16</v>
      </c>
      <c r="AB6482" s="2" t="s">
        <v>86</v>
      </c>
      <c r="AC6482" s="5">
        <v>582</v>
      </c>
    </row>
    <row r="6483" spans="1:29" ht="91" x14ac:dyDescent="0.15">
      <c r="A6483" s="3">
        <f t="shared" si="151"/>
        <v>37314</v>
      </c>
      <c r="B6483" s="3">
        <f>DATE(2002,9,3)</f>
        <v>37502</v>
      </c>
      <c r="C6483" s="2" t="s">
        <v>95</v>
      </c>
      <c r="D6483" s="2" t="s">
        <v>19768</v>
      </c>
      <c r="E6483" s="2" t="s">
        <v>367</v>
      </c>
      <c r="F6483" s="4">
        <v>6211</v>
      </c>
      <c r="G6483" s="2" t="s">
        <v>53</v>
      </c>
      <c r="H6483" s="2" t="s">
        <v>34</v>
      </c>
      <c r="I6483" s="2" t="s">
        <v>11804</v>
      </c>
      <c r="J6483" s="2" t="s">
        <v>11805</v>
      </c>
      <c r="K6483" s="2" t="s">
        <v>53</v>
      </c>
      <c r="L6483" s="2" t="s">
        <v>34</v>
      </c>
      <c r="M6483" s="12">
        <v>1393.1990000000001</v>
      </c>
      <c r="N6483" s="6">
        <v>46.45</v>
      </c>
      <c r="O6483" s="6">
        <v>46.42</v>
      </c>
      <c r="P6483" s="2" t="s">
        <v>19769</v>
      </c>
      <c r="Q6483" s="6">
        <v>100</v>
      </c>
      <c r="R6483" s="6">
        <v>11.58</v>
      </c>
      <c r="S6483" s="5">
        <v>-2.8</v>
      </c>
      <c r="T6483" s="5">
        <v>-9.3000000000000007</v>
      </c>
      <c r="U6483" s="5">
        <v>6.4</v>
      </c>
      <c r="V6483" s="6">
        <v>-0.4</v>
      </c>
      <c r="W6483" s="4">
        <v>10</v>
      </c>
      <c r="X6483" s="6">
        <v>10.25</v>
      </c>
      <c r="Y6483" s="5">
        <v>10.6</v>
      </c>
      <c r="Z6483" s="6">
        <v>12.26</v>
      </c>
      <c r="AA6483" s="6">
        <v>7.86</v>
      </c>
      <c r="AB6483" s="2" t="s">
        <v>86</v>
      </c>
      <c r="AC6483" s="5">
        <v>253.6</v>
      </c>
    </row>
    <row r="6484" spans="1:29" ht="117" x14ac:dyDescent="0.15">
      <c r="A6484" s="3">
        <f t="shared" si="151"/>
        <v>37314</v>
      </c>
      <c r="B6484" s="3">
        <f>DATE(2002,7,26)</f>
        <v>37463</v>
      </c>
      <c r="C6484" s="2" t="s">
        <v>95</v>
      </c>
      <c r="D6484" s="2" t="s">
        <v>19770</v>
      </c>
      <c r="E6484" s="2" t="s">
        <v>265</v>
      </c>
      <c r="F6484" s="4">
        <v>6021</v>
      </c>
      <c r="G6484" s="2" t="s">
        <v>37</v>
      </c>
      <c r="H6484" s="2" t="s">
        <v>34</v>
      </c>
      <c r="I6484" s="2" t="s">
        <v>18969</v>
      </c>
      <c r="J6484" s="2" t="s">
        <v>18970</v>
      </c>
      <c r="K6484" s="2" t="s">
        <v>37</v>
      </c>
      <c r="L6484" s="2" t="s">
        <v>34</v>
      </c>
      <c r="M6484" s="12">
        <v>3241.1509999999998</v>
      </c>
      <c r="N6484" s="6">
        <v>24.17</v>
      </c>
      <c r="O6484" s="6">
        <v>24.99</v>
      </c>
      <c r="P6484" s="2" t="s">
        <v>19771</v>
      </c>
      <c r="Q6484" s="6">
        <v>100</v>
      </c>
      <c r="R6484" s="6">
        <v>20.5</v>
      </c>
      <c r="S6484" s="5">
        <v>2.8</v>
      </c>
      <c r="T6484" s="5">
        <v>4.9000000000000004</v>
      </c>
      <c r="U6484" s="5">
        <v>7.8</v>
      </c>
      <c r="V6484" s="6">
        <v>1.37</v>
      </c>
      <c r="W6484" s="5">
        <v>13.3</v>
      </c>
      <c r="X6484" s="6">
        <v>13.25</v>
      </c>
      <c r="Y6484" s="5">
        <v>20.2</v>
      </c>
      <c r="Z6484" s="6">
        <v>20.149999999999999</v>
      </c>
      <c r="AA6484" s="6">
        <v>1.93</v>
      </c>
      <c r="AB6484" s="7">
        <v>73.831000000000003</v>
      </c>
      <c r="AC6484" s="5">
        <v>650.6</v>
      </c>
    </row>
    <row r="6485" spans="1:29" ht="169" x14ac:dyDescent="0.15">
      <c r="A6485" s="3">
        <f t="shared" si="151"/>
        <v>37314</v>
      </c>
      <c r="B6485" s="3">
        <f>DATE(2002,11,13)</f>
        <v>37573</v>
      </c>
      <c r="C6485" s="2" t="s">
        <v>95</v>
      </c>
      <c r="D6485" s="2" t="s">
        <v>19772</v>
      </c>
      <c r="E6485" s="2" t="s">
        <v>19773</v>
      </c>
      <c r="F6485" s="4">
        <v>4813</v>
      </c>
      <c r="G6485" s="2" t="s">
        <v>63</v>
      </c>
      <c r="H6485" s="2" t="s">
        <v>34</v>
      </c>
      <c r="I6485" s="2" t="s">
        <v>19774</v>
      </c>
      <c r="J6485" s="2" t="s">
        <v>4189</v>
      </c>
      <c r="K6485" s="2" t="s">
        <v>223</v>
      </c>
      <c r="L6485" s="2" t="s">
        <v>4242</v>
      </c>
      <c r="M6485" s="2"/>
      <c r="N6485" s="2"/>
      <c r="O6485" s="2"/>
      <c r="P6485" s="2" t="s">
        <v>19775</v>
      </c>
      <c r="Q6485" s="6">
        <v>100</v>
      </c>
      <c r="R6485" s="6">
        <v>0.13</v>
      </c>
      <c r="S6485" s="5">
        <v>-64.099999999999994</v>
      </c>
      <c r="T6485" s="5">
        <v>-16.399999999999999</v>
      </c>
      <c r="U6485" s="5">
        <v>0</v>
      </c>
      <c r="V6485" s="6">
        <v>-2.21</v>
      </c>
      <c r="W6485" s="6">
        <v>0.94</v>
      </c>
      <c r="X6485" s="6">
        <v>1.05</v>
      </c>
      <c r="Y6485" s="7">
        <v>0.99099999999999999</v>
      </c>
      <c r="Z6485" s="6">
        <v>0.91</v>
      </c>
      <c r="AA6485" s="6">
        <v>27.94</v>
      </c>
      <c r="AB6485" s="2" t="s">
        <v>86</v>
      </c>
      <c r="AC6485" s="6">
        <v>48.57</v>
      </c>
    </row>
    <row r="6486" spans="1:29" ht="91" x14ac:dyDescent="0.15">
      <c r="A6486" s="3">
        <f t="shared" si="151"/>
        <v>37314</v>
      </c>
      <c r="B6486" s="3">
        <f>DATE(2002,7,24)</f>
        <v>37461</v>
      </c>
      <c r="C6486" s="2" t="s">
        <v>95</v>
      </c>
      <c r="D6486" s="2" t="s">
        <v>19776</v>
      </c>
      <c r="E6486" s="2" t="s">
        <v>263</v>
      </c>
      <c r="F6486" s="4">
        <v>6712</v>
      </c>
      <c r="G6486" s="2" t="s">
        <v>37</v>
      </c>
      <c r="H6486" s="2" t="s">
        <v>34</v>
      </c>
      <c r="I6486" s="2" t="s">
        <v>19777</v>
      </c>
      <c r="J6486" s="2" t="s">
        <v>36</v>
      </c>
      <c r="K6486" s="2" t="s">
        <v>37</v>
      </c>
      <c r="L6486" s="2" t="s">
        <v>34</v>
      </c>
      <c r="M6486" s="7">
        <v>57.792999999999999</v>
      </c>
      <c r="N6486" s="6">
        <v>9.94</v>
      </c>
      <c r="O6486" s="5">
        <v>10.6</v>
      </c>
      <c r="P6486" s="2" t="s">
        <v>19778</v>
      </c>
      <c r="Q6486" s="6">
        <v>100</v>
      </c>
      <c r="R6486" s="6">
        <v>14.25</v>
      </c>
      <c r="S6486" s="5">
        <v>0.4</v>
      </c>
      <c r="T6486" s="2"/>
      <c r="U6486" s="5">
        <v>13.2</v>
      </c>
      <c r="V6486" s="6">
        <v>0.32</v>
      </c>
      <c r="W6486" s="5">
        <v>13.4</v>
      </c>
      <c r="X6486" s="5">
        <v>13.4</v>
      </c>
      <c r="Y6486" s="5">
        <v>13.4</v>
      </c>
      <c r="Z6486" s="4">
        <v>14</v>
      </c>
      <c r="AA6486" s="6">
        <v>1.29</v>
      </c>
      <c r="AB6486" s="7">
        <v>48.598999999999997</v>
      </c>
      <c r="AC6486" s="2"/>
    </row>
    <row r="6487" spans="1:29" ht="156" x14ac:dyDescent="0.15">
      <c r="A6487" s="3">
        <f>DATE(2002,2,28)</f>
        <v>37315</v>
      </c>
      <c r="B6487" s="2"/>
      <c r="C6487" s="2" t="s">
        <v>30</v>
      </c>
      <c r="D6487" s="2" t="s">
        <v>18056</v>
      </c>
      <c r="E6487" s="2" t="s">
        <v>18057</v>
      </c>
      <c r="F6487" s="4">
        <v>3669</v>
      </c>
      <c r="G6487" s="2" t="s">
        <v>921</v>
      </c>
      <c r="H6487" s="2" t="s">
        <v>34</v>
      </c>
      <c r="I6487" s="2" t="s">
        <v>19779</v>
      </c>
      <c r="J6487" s="2" t="s">
        <v>12588</v>
      </c>
      <c r="K6487" s="2" t="s">
        <v>921</v>
      </c>
      <c r="L6487" s="2" t="s">
        <v>34</v>
      </c>
      <c r="M6487" s="7">
        <v>618.90099999999995</v>
      </c>
      <c r="N6487" s="6">
        <v>4.4800000000000004</v>
      </c>
      <c r="O6487" s="5">
        <v>4.7</v>
      </c>
      <c r="P6487" s="2" t="s">
        <v>19780</v>
      </c>
      <c r="Q6487" s="2"/>
      <c r="R6487" s="6">
        <v>2.86</v>
      </c>
      <c r="S6487" s="5">
        <v>-25.6</v>
      </c>
      <c r="T6487" s="5">
        <v>-5.8</v>
      </c>
      <c r="U6487" s="5">
        <v>2</v>
      </c>
      <c r="V6487" s="6">
        <v>-0.44</v>
      </c>
      <c r="W6487" s="6">
        <v>4.87</v>
      </c>
      <c r="X6487" s="5">
        <v>4.2</v>
      </c>
      <c r="Y6487" s="6">
        <v>3.07</v>
      </c>
      <c r="Z6487" s="6">
        <v>3.22</v>
      </c>
      <c r="AA6487" s="6">
        <v>59.29</v>
      </c>
      <c r="AB6487" s="2" t="s">
        <v>86</v>
      </c>
      <c r="AC6487" s="6">
        <v>36.47</v>
      </c>
    </row>
    <row r="6488" spans="1:29" ht="273" x14ac:dyDescent="0.15">
      <c r="A6488" s="3">
        <f>DATE(2002,3,4)</f>
        <v>37319</v>
      </c>
      <c r="B6488" s="3">
        <f>DATE(2002,6,28)</f>
        <v>37435</v>
      </c>
      <c r="C6488" s="2" t="s">
        <v>95</v>
      </c>
      <c r="D6488" s="2" t="s">
        <v>19781</v>
      </c>
      <c r="E6488" s="2" t="s">
        <v>19782</v>
      </c>
      <c r="F6488" s="4">
        <v>7389</v>
      </c>
      <c r="G6488" s="2" t="s">
        <v>223</v>
      </c>
      <c r="H6488" s="2" t="s">
        <v>34</v>
      </c>
      <c r="I6488" s="2" t="s">
        <v>19783</v>
      </c>
      <c r="J6488" s="2" t="s">
        <v>19782</v>
      </c>
      <c r="K6488" s="2" t="s">
        <v>223</v>
      </c>
      <c r="L6488" s="2" t="s">
        <v>34</v>
      </c>
      <c r="M6488" s="2"/>
      <c r="N6488" s="2"/>
      <c r="O6488" s="2"/>
      <c r="P6488" s="2" t="s">
        <v>19784</v>
      </c>
      <c r="Q6488" s="6">
        <v>15.36</v>
      </c>
      <c r="R6488" s="6">
        <v>3.35</v>
      </c>
      <c r="S6488" s="5">
        <v>13.6</v>
      </c>
      <c r="T6488" s="5">
        <v>12.8</v>
      </c>
      <c r="U6488" s="5">
        <v>0.5</v>
      </c>
      <c r="V6488" s="6">
        <v>0.28000000000000003</v>
      </c>
      <c r="W6488" s="6">
        <v>8.74</v>
      </c>
      <c r="X6488" s="4">
        <v>9</v>
      </c>
      <c r="Y6488" s="6">
        <v>6.07</v>
      </c>
      <c r="Z6488" s="6">
        <v>5.31</v>
      </c>
      <c r="AA6488" s="6">
        <v>48.6</v>
      </c>
      <c r="AB6488" s="7">
        <v>10.795</v>
      </c>
      <c r="AC6488" s="6">
        <v>34.950000000000003</v>
      </c>
    </row>
    <row r="6489" spans="1:29" ht="65" x14ac:dyDescent="0.15">
      <c r="A6489" s="3">
        <f>DATE(2002,3,4)</f>
        <v>37319</v>
      </c>
      <c r="B6489" s="3">
        <f>DATE(2002,7,10)</f>
        <v>37447</v>
      </c>
      <c r="C6489" s="2" t="s">
        <v>95</v>
      </c>
      <c r="D6489" s="2" t="s">
        <v>19785</v>
      </c>
      <c r="E6489" s="2" t="s">
        <v>92</v>
      </c>
      <c r="F6489" s="4">
        <v>6798</v>
      </c>
      <c r="G6489" s="2" t="s">
        <v>53</v>
      </c>
      <c r="H6489" s="2" t="s">
        <v>34</v>
      </c>
      <c r="I6489" s="2" t="s">
        <v>19786</v>
      </c>
      <c r="J6489" s="2" t="s">
        <v>11969</v>
      </c>
      <c r="K6489" s="2" t="s">
        <v>53</v>
      </c>
      <c r="L6489" s="2" t="s">
        <v>34</v>
      </c>
      <c r="M6489" s="12">
        <v>2132.3339999999998</v>
      </c>
      <c r="N6489" s="6">
        <v>43.22</v>
      </c>
      <c r="O6489" s="6">
        <v>44.28</v>
      </c>
      <c r="P6489" s="2" t="s">
        <v>19787</v>
      </c>
      <c r="Q6489" s="6">
        <v>100</v>
      </c>
      <c r="R6489" s="6">
        <v>26.1</v>
      </c>
      <c r="S6489" s="5">
        <v>27.4</v>
      </c>
      <c r="T6489" s="7">
        <v>69.313000000000002</v>
      </c>
      <c r="U6489" s="5">
        <v>10.1</v>
      </c>
      <c r="V6489" s="6">
        <v>1.67</v>
      </c>
      <c r="W6489" s="6">
        <v>23.71</v>
      </c>
      <c r="X6489" s="6">
        <v>24.43</v>
      </c>
      <c r="Y6489" s="6">
        <v>26.53</v>
      </c>
      <c r="Z6489" s="6">
        <v>26.55</v>
      </c>
      <c r="AA6489" s="6">
        <v>16.16</v>
      </c>
      <c r="AB6489" s="7">
        <v>22.872</v>
      </c>
      <c r="AC6489" s="2"/>
    </row>
    <row r="6490" spans="1:29" ht="117" x14ac:dyDescent="0.15">
      <c r="A6490" s="3">
        <f>DATE(2002,3,8)</f>
        <v>37323</v>
      </c>
      <c r="B6490" s="3">
        <f>DATE(2002,5,14)</f>
        <v>37390</v>
      </c>
      <c r="C6490" s="2" t="s">
        <v>95</v>
      </c>
      <c r="D6490" s="2" t="s">
        <v>19788</v>
      </c>
      <c r="E6490" s="2" t="s">
        <v>19789</v>
      </c>
      <c r="F6490" s="4">
        <v>3674</v>
      </c>
      <c r="G6490" s="2" t="s">
        <v>137</v>
      </c>
      <c r="H6490" s="2" t="s">
        <v>34</v>
      </c>
      <c r="I6490" s="2" t="s">
        <v>19790</v>
      </c>
      <c r="J6490" s="2" t="s">
        <v>2728</v>
      </c>
      <c r="K6490" s="2" t="s">
        <v>137</v>
      </c>
      <c r="L6490" s="2" t="s">
        <v>34</v>
      </c>
      <c r="M6490" s="12">
        <v>2813.732</v>
      </c>
      <c r="N6490" s="6">
        <v>36.65</v>
      </c>
      <c r="O6490" s="6">
        <v>31.17</v>
      </c>
      <c r="P6490" s="2" t="s">
        <v>19791</v>
      </c>
      <c r="Q6490" s="6">
        <v>100</v>
      </c>
      <c r="R6490" s="6">
        <v>53.45</v>
      </c>
      <c r="S6490" s="5">
        <v>-0.3</v>
      </c>
      <c r="T6490" s="5">
        <v>15.6</v>
      </c>
      <c r="U6490" s="5">
        <v>9.6999999999999993</v>
      </c>
      <c r="V6490" s="6">
        <v>-0.01</v>
      </c>
      <c r="W6490" s="6">
        <v>35.35</v>
      </c>
      <c r="X6490" s="6">
        <v>39.61</v>
      </c>
      <c r="Y6490" s="5">
        <v>41.2</v>
      </c>
      <c r="Z6490" s="6">
        <v>45.77</v>
      </c>
      <c r="AA6490" s="6">
        <v>23.11</v>
      </c>
      <c r="AB6490" s="7">
        <v>157.09399999999999</v>
      </c>
      <c r="AC6490" s="5">
        <v>601.5</v>
      </c>
    </row>
    <row r="6491" spans="1:29" ht="156" x14ac:dyDescent="0.15">
      <c r="A6491" s="3">
        <f>DATE(2002,3,8)</f>
        <v>37323</v>
      </c>
      <c r="B6491" s="3">
        <f>DATE(2002,4,16)</f>
        <v>37362</v>
      </c>
      <c r="C6491" s="2" t="s">
        <v>95</v>
      </c>
      <c r="D6491" s="2" t="s">
        <v>19792</v>
      </c>
      <c r="E6491" s="2" t="s">
        <v>19793</v>
      </c>
      <c r="F6491" s="4">
        <v>3728</v>
      </c>
      <c r="G6491" s="2" t="s">
        <v>219</v>
      </c>
      <c r="H6491" s="2" t="s">
        <v>34</v>
      </c>
      <c r="I6491" s="2" t="s">
        <v>19794</v>
      </c>
      <c r="J6491" s="2" t="s">
        <v>19795</v>
      </c>
      <c r="K6491" s="2" t="s">
        <v>219</v>
      </c>
      <c r="L6491" s="2" t="s">
        <v>1049</v>
      </c>
      <c r="M6491" s="2"/>
      <c r="N6491" s="2"/>
      <c r="O6491" s="2"/>
      <c r="P6491" s="2" t="s">
        <v>19796</v>
      </c>
      <c r="Q6491" s="6">
        <v>26.24</v>
      </c>
      <c r="R6491" s="6">
        <v>3.25</v>
      </c>
      <c r="S6491" s="5">
        <v>-12.2</v>
      </c>
      <c r="T6491" s="5">
        <v>-0.6</v>
      </c>
      <c r="U6491" s="5">
        <v>0.1</v>
      </c>
      <c r="V6491" s="6">
        <v>-1.53</v>
      </c>
      <c r="W6491" s="6">
        <v>3.15</v>
      </c>
      <c r="X6491" s="6">
        <v>3.17</v>
      </c>
      <c r="Y6491" s="6">
        <v>3.18</v>
      </c>
      <c r="Z6491" s="6">
        <v>3.23</v>
      </c>
      <c r="AA6491" s="6">
        <v>10.16</v>
      </c>
      <c r="AB6491" s="2" t="s">
        <v>86</v>
      </c>
      <c r="AC6491" s="2"/>
    </row>
    <row r="6492" spans="1:29" ht="91" x14ac:dyDescent="0.15">
      <c r="A6492" s="3">
        <f>DATE(2002,3,8)</f>
        <v>37323</v>
      </c>
      <c r="B6492" s="3">
        <f>DATE(2002,5,8)</f>
        <v>37384</v>
      </c>
      <c r="C6492" s="2" t="s">
        <v>95</v>
      </c>
      <c r="D6492" s="2" t="s">
        <v>19797</v>
      </c>
      <c r="E6492" s="2" t="s">
        <v>19798</v>
      </c>
      <c r="F6492" s="4">
        <v>7381</v>
      </c>
      <c r="G6492" s="2" t="s">
        <v>223</v>
      </c>
      <c r="H6492" s="2" t="s">
        <v>34</v>
      </c>
      <c r="I6492" s="2" t="s">
        <v>19799</v>
      </c>
      <c r="J6492" s="2" t="s">
        <v>1072</v>
      </c>
      <c r="K6492" s="2" t="s">
        <v>53</v>
      </c>
      <c r="L6492" s="2" t="s">
        <v>734</v>
      </c>
      <c r="M6492" s="2"/>
      <c r="N6492" s="2"/>
      <c r="O6492" s="2"/>
      <c r="P6492" s="2" t="s">
        <v>19800</v>
      </c>
      <c r="Q6492" s="6">
        <v>100</v>
      </c>
      <c r="R6492" s="6">
        <v>33</v>
      </c>
      <c r="S6492" s="5">
        <v>3.7</v>
      </c>
      <c r="T6492" s="5">
        <v>73</v>
      </c>
      <c r="U6492" s="5">
        <v>11.5</v>
      </c>
      <c r="V6492" s="6">
        <v>0.23</v>
      </c>
      <c r="W6492" s="5">
        <v>34.1</v>
      </c>
      <c r="X6492" s="5">
        <v>34.4</v>
      </c>
      <c r="Y6492" s="6">
        <v>33.81</v>
      </c>
      <c r="Z6492" s="6">
        <v>33.33</v>
      </c>
      <c r="AA6492" s="6">
        <v>15.03</v>
      </c>
      <c r="AB6492" s="7">
        <v>9.7859999999999996</v>
      </c>
      <c r="AC6492" s="6">
        <v>135.97</v>
      </c>
    </row>
    <row r="6493" spans="1:29" ht="169" x14ac:dyDescent="0.15">
      <c r="A6493" s="3">
        <f>DATE(2002,3,11)</f>
        <v>37326</v>
      </c>
      <c r="B6493" s="3">
        <f>DATE(2002,5,23)</f>
        <v>37399</v>
      </c>
      <c r="C6493" s="2" t="s">
        <v>95</v>
      </c>
      <c r="D6493" s="2" t="s">
        <v>19801</v>
      </c>
      <c r="E6493" s="2" t="s">
        <v>19802</v>
      </c>
      <c r="F6493" s="4">
        <v>7389</v>
      </c>
      <c r="G6493" s="2" t="s">
        <v>223</v>
      </c>
      <c r="H6493" s="2" t="s">
        <v>34</v>
      </c>
      <c r="I6493" s="2" t="s">
        <v>19803</v>
      </c>
      <c r="J6493" s="2" t="s">
        <v>19804</v>
      </c>
      <c r="K6493" s="2" t="s">
        <v>4563</v>
      </c>
      <c r="L6493" s="2" t="s">
        <v>34</v>
      </c>
      <c r="M6493" s="7">
        <v>130.87700000000001</v>
      </c>
      <c r="N6493" s="5">
        <v>2.8</v>
      </c>
      <c r="O6493" s="6">
        <v>2.75</v>
      </c>
      <c r="P6493" s="2" t="s">
        <v>19805</v>
      </c>
      <c r="Q6493" s="6">
        <v>100</v>
      </c>
      <c r="R6493" s="6">
        <v>1.95</v>
      </c>
      <c r="S6493" s="5">
        <v>-142</v>
      </c>
      <c r="T6493" s="5">
        <v>-122.4</v>
      </c>
      <c r="U6493" s="5">
        <v>2.2000000000000002</v>
      </c>
      <c r="V6493" s="6">
        <v>-2.2200000000000002</v>
      </c>
      <c r="W6493" s="6">
        <v>1.53</v>
      </c>
      <c r="X6493" s="6">
        <v>1.55</v>
      </c>
      <c r="Y6493" s="6">
        <v>1.78</v>
      </c>
      <c r="Z6493" s="6">
        <v>1.71</v>
      </c>
      <c r="AA6493" s="6">
        <v>65.739999999999995</v>
      </c>
      <c r="AB6493" s="2" t="s">
        <v>86</v>
      </c>
      <c r="AC6493" s="5">
        <v>26.9</v>
      </c>
    </row>
    <row r="6494" spans="1:29" ht="208" x14ac:dyDescent="0.15">
      <c r="A6494" s="3">
        <f>DATE(2002,3,11)</f>
        <v>37326</v>
      </c>
      <c r="B6494" s="3">
        <f>DATE(2002,6,28)</f>
        <v>37435</v>
      </c>
      <c r="C6494" s="2" t="s">
        <v>95</v>
      </c>
      <c r="D6494" s="2" t="s">
        <v>19806</v>
      </c>
      <c r="E6494" s="2" t="s">
        <v>612</v>
      </c>
      <c r="F6494" s="4">
        <v>1311</v>
      </c>
      <c r="G6494" s="2" t="s">
        <v>148</v>
      </c>
      <c r="H6494" s="2" t="s">
        <v>34</v>
      </c>
      <c r="I6494" s="2" t="s">
        <v>10943</v>
      </c>
      <c r="J6494" s="2" t="s">
        <v>1608</v>
      </c>
      <c r="K6494" s="2" t="s">
        <v>148</v>
      </c>
      <c r="L6494" s="2" t="s">
        <v>34</v>
      </c>
      <c r="M6494" s="7">
        <v>914.48400000000004</v>
      </c>
      <c r="N6494" s="4">
        <v>7</v>
      </c>
      <c r="O6494" s="6">
        <v>6.93</v>
      </c>
      <c r="P6494" s="2" t="s">
        <v>19807</v>
      </c>
      <c r="Q6494" s="6">
        <v>100</v>
      </c>
      <c r="R6494" s="6">
        <v>18</v>
      </c>
      <c r="S6494" s="5">
        <v>-13.1</v>
      </c>
      <c r="T6494" s="5">
        <v>9.8000000000000007</v>
      </c>
      <c r="U6494" s="5">
        <v>4.5</v>
      </c>
      <c r="V6494" s="6">
        <v>-2.73</v>
      </c>
      <c r="W6494" s="6">
        <v>9.82</v>
      </c>
      <c r="X6494" s="6">
        <v>9.75</v>
      </c>
      <c r="Y6494" s="6">
        <v>9.15</v>
      </c>
      <c r="Z6494" s="4">
        <v>12</v>
      </c>
      <c r="AA6494" s="6">
        <v>5.33</v>
      </c>
      <c r="AB6494" s="7">
        <v>53.174999999999997</v>
      </c>
      <c r="AC6494" s="5">
        <v>117.6</v>
      </c>
    </row>
    <row r="6495" spans="1:29" ht="65" x14ac:dyDescent="0.15">
      <c r="A6495" s="3">
        <f>DATE(2002,3,13)</f>
        <v>37328</v>
      </c>
      <c r="B6495" s="2"/>
      <c r="C6495" s="2" t="s">
        <v>189</v>
      </c>
      <c r="D6495" s="2" t="s">
        <v>15885</v>
      </c>
      <c r="E6495" s="2" t="s">
        <v>14572</v>
      </c>
      <c r="F6495" s="4">
        <v>4213</v>
      </c>
      <c r="G6495" s="2" t="s">
        <v>173</v>
      </c>
      <c r="H6495" s="2" t="s">
        <v>34</v>
      </c>
      <c r="I6495" s="2" t="s">
        <v>143</v>
      </c>
      <c r="J6495" s="2" t="s">
        <v>144</v>
      </c>
      <c r="K6495" s="2" t="s">
        <v>53</v>
      </c>
      <c r="L6495" s="2" t="s">
        <v>139</v>
      </c>
      <c r="M6495" s="2"/>
      <c r="N6495" s="2"/>
      <c r="O6495" s="2"/>
      <c r="P6495" s="2" t="s">
        <v>19808</v>
      </c>
      <c r="Q6495" s="2"/>
      <c r="R6495" s="2"/>
      <c r="S6495" s="5">
        <v>-53.9</v>
      </c>
      <c r="T6495" s="5">
        <v>-24.7</v>
      </c>
      <c r="U6495" s="5">
        <v>-1.5</v>
      </c>
      <c r="V6495" s="6">
        <v>-9.4600000000000009</v>
      </c>
      <c r="W6495" s="4">
        <v>1</v>
      </c>
      <c r="X6495" s="4">
        <v>1</v>
      </c>
      <c r="Y6495" s="4">
        <v>1</v>
      </c>
      <c r="Z6495" s="4">
        <v>1</v>
      </c>
      <c r="AA6495" s="6">
        <v>6.12</v>
      </c>
      <c r="AB6495" s="2" t="s">
        <v>86</v>
      </c>
      <c r="AC6495" s="2"/>
    </row>
    <row r="6496" spans="1:29" ht="221" x14ac:dyDescent="0.15">
      <c r="A6496" s="3">
        <f>DATE(2002,3,14)</f>
        <v>37329</v>
      </c>
      <c r="B6496" s="3">
        <f>DATE(2002,11,22)</f>
        <v>37582</v>
      </c>
      <c r="C6496" s="2" t="s">
        <v>95</v>
      </c>
      <c r="D6496" s="2" t="s">
        <v>19809</v>
      </c>
      <c r="E6496" s="2" t="s">
        <v>92</v>
      </c>
      <c r="F6496" s="4">
        <v>6798</v>
      </c>
      <c r="G6496" s="2" t="s">
        <v>53</v>
      </c>
      <c r="H6496" s="2" t="s">
        <v>34</v>
      </c>
      <c r="I6496" s="2" t="s">
        <v>51</v>
      </c>
      <c r="J6496" s="2" t="s">
        <v>52</v>
      </c>
      <c r="K6496" s="2" t="s">
        <v>53</v>
      </c>
      <c r="L6496" s="2" t="s">
        <v>34</v>
      </c>
      <c r="M6496" s="2"/>
      <c r="N6496" s="2"/>
      <c r="O6496" s="2"/>
      <c r="P6496" s="2" t="s">
        <v>19810</v>
      </c>
      <c r="Q6496" s="6">
        <v>37.64</v>
      </c>
      <c r="R6496" s="6">
        <v>2.1</v>
      </c>
      <c r="S6496" s="5">
        <v>-124.8</v>
      </c>
      <c r="T6496" s="5">
        <v>-80.099999999999994</v>
      </c>
      <c r="U6496" s="5">
        <v>3.8</v>
      </c>
      <c r="V6496" s="6">
        <v>-3.99</v>
      </c>
      <c r="W6496" s="6">
        <v>1.75</v>
      </c>
      <c r="X6496" s="6">
        <v>1.75</v>
      </c>
      <c r="Y6496" s="6">
        <v>1.81</v>
      </c>
      <c r="Z6496" s="5">
        <v>1.8</v>
      </c>
      <c r="AA6496" s="6">
        <v>31.44</v>
      </c>
      <c r="AB6496" s="2" t="s">
        <v>86</v>
      </c>
      <c r="AC6496" s="2"/>
    </row>
    <row r="6497" spans="1:29" ht="182" x14ac:dyDescent="0.15">
      <c r="A6497" s="3">
        <f>DATE(2002,3,17)</f>
        <v>37332</v>
      </c>
      <c r="B6497" s="3">
        <f>DATE(2002,4,20)</f>
        <v>37366</v>
      </c>
      <c r="C6497" s="2" t="s">
        <v>95</v>
      </c>
      <c r="D6497" s="2" t="s">
        <v>19811</v>
      </c>
      <c r="E6497" s="2" t="s">
        <v>19812</v>
      </c>
      <c r="F6497" s="4">
        <v>3089</v>
      </c>
      <c r="G6497" s="2" t="s">
        <v>447</v>
      </c>
      <c r="H6497" s="2" t="s">
        <v>34</v>
      </c>
      <c r="I6497" s="2" t="s">
        <v>19813</v>
      </c>
      <c r="J6497" s="2" t="s">
        <v>302</v>
      </c>
      <c r="K6497" s="2" t="s">
        <v>53</v>
      </c>
      <c r="L6497" s="2" t="s">
        <v>34</v>
      </c>
      <c r="M6497" s="2"/>
      <c r="N6497" s="2"/>
      <c r="O6497" s="2"/>
      <c r="P6497" s="2" t="s">
        <v>19814</v>
      </c>
      <c r="Q6497" s="6">
        <v>100</v>
      </c>
      <c r="R6497" s="6">
        <v>50</v>
      </c>
      <c r="S6497" s="5">
        <v>25.4</v>
      </c>
      <c r="T6497" s="5">
        <v>61.5</v>
      </c>
      <c r="U6497" s="5">
        <v>15.2</v>
      </c>
      <c r="V6497" s="6">
        <v>3.46</v>
      </c>
      <c r="W6497" s="5">
        <v>50.6</v>
      </c>
      <c r="X6497" s="5">
        <v>50.6</v>
      </c>
      <c r="Y6497" s="5">
        <v>49.6</v>
      </c>
      <c r="Z6497" s="5">
        <v>49.6</v>
      </c>
      <c r="AA6497" s="6">
        <v>6.77</v>
      </c>
      <c r="AB6497" s="7">
        <v>8.0399999999999991</v>
      </c>
      <c r="AC6497" s="2"/>
    </row>
    <row r="6498" spans="1:29" ht="130" x14ac:dyDescent="0.15">
      <c r="A6498" s="3">
        <f t="shared" ref="A6498:A6503" si="152">DATE(2002,3,18)</f>
        <v>37333</v>
      </c>
      <c r="B6498" s="3">
        <f>DATE(2002,4,26)</f>
        <v>37372</v>
      </c>
      <c r="C6498" s="2" t="s">
        <v>95</v>
      </c>
      <c r="D6498" s="2" t="s">
        <v>19815</v>
      </c>
      <c r="E6498" s="2" t="s">
        <v>19816</v>
      </c>
      <c r="F6498" s="4">
        <v>1311</v>
      </c>
      <c r="G6498" s="2" t="s">
        <v>148</v>
      </c>
      <c r="H6498" s="2" t="s">
        <v>34</v>
      </c>
      <c r="I6498" s="2" t="s">
        <v>19817</v>
      </c>
      <c r="J6498" s="2" t="s">
        <v>19818</v>
      </c>
      <c r="K6498" s="2" t="s">
        <v>148</v>
      </c>
      <c r="L6498" s="2" t="s">
        <v>885</v>
      </c>
      <c r="M6498" s="2"/>
      <c r="N6498" s="7">
        <v>3.077</v>
      </c>
      <c r="O6498" s="2"/>
      <c r="P6498" s="2" t="s">
        <v>19819</v>
      </c>
      <c r="Q6498" s="6">
        <v>100</v>
      </c>
      <c r="R6498" s="6">
        <v>2.84</v>
      </c>
      <c r="S6498" s="5">
        <v>-0.5</v>
      </c>
      <c r="T6498" s="5">
        <v>15.7</v>
      </c>
      <c r="U6498" s="5">
        <v>1.6</v>
      </c>
      <c r="V6498" s="6">
        <v>-0.02</v>
      </c>
      <c r="W6498" s="6">
        <v>2.77</v>
      </c>
      <c r="X6498" s="6">
        <v>2.72</v>
      </c>
      <c r="Y6498" s="5">
        <v>2.8</v>
      </c>
      <c r="Z6498" s="5">
        <v>2.8</v>
      </c>
      <c r="AA6498" s="6">
        <v>19.100000000000001</v>
      </c>
      <c r="AB6498" s="7">
        <v>33.585999999999999</v>
      </c>
      <c r="AC6498" s="6">
        <v>54.25</v>
      </c>
    </row>
    <row r="6499" spans="1:29" ht="130" x14ac:dyDescent="0.15">
      <c r="A6499" s="3">
        <f t="shared" si="152"/>
        <v>37333</v>
      </c>
      <c r="B6499" s="3">
        <f>DATE(2002,7,1)</f>
        <v>37438</v>
      </c>
      <c r="C6499" s="2" t="s">
        <v>95</v>
      </c>
      <c r="D6499" s="2" t="s">
        <v>7950</v>
      </c>
      <c r="E6499" s="2" t="s">
        <v>7951</v>
      </c>
      <c r="F6499" s="4">
        <v>3089</v>
      </c>
      <c r="G6499" s="2" t="s">
        <v>447</v>
      </c>
      <c r="H6499" s="2" t="s">
        <v>34</v>
      </c>
      <c r="I6499" s="2" t="s">
        <v>15095</v>
      </c>
      <c r="J6499" s="2" t="s">
        <v>15096</v>
      </c>
      <c r="K6499" s="2" t="s">
        <v>163</v>
      </c>
      <c r="L6499" s="2" t="s">
        <v>34</v>
      </c>
      <c r="M6499" s="2"/>
      <c r="N6499" s="6">
        <v>38.99</v>
      </c>
      <c r="O6499" s="6">
        <v>38.79</v>
      </c>
      <c r="P6499" s="2" t="s">
        <v>19820</v>
      </c>
      <c r="Q6499" s="6">
        <v>100</v>
      </c>
      <c r="R6499" s="6">
        <v>21.5</v>
      </c>
      <c r="S6499" s="5">
        <v>26</v>
      </c>
      <c r="T6499" s="5">
        <v>103.4</v>
      </c>
      <c r="U6499" s="5">
        <v>4.5999999999999996</v>
      </c>
      <c r="V6499" s="6">
        <v>1.26</v>
      </c>
      <c r="W6499" s="6">
        <v>20.93</v>
      </c>
      <c r="X6499" s="6">
        <v>21.04</v>
      </c>
      <c r="Y6499" s="6">
        <v>21.35</v>
      </c>
      <c r="Z6499" s="6">
        <v>21.45</v>
      </c>
      <c r="AA6499" s="6">
        <v>20.47</v>
      </c>
      <c r="AB6499" s="7">
        <v>12.266</v>
      </c>
      <c r="AC6499" s="5">
        <v>512</v>
      </c>
    </row>
    <row r="6500" spans="1:29" ht="247" x14ac:dyDescent="0.15">
      <c r="A6500" s="3">
        <f t="shared" si="152"/>
        <v>37333</v>
      </c>
      <c r="B6500" s="3">
        <f>DATE(2002,9,13)</f>
        <v>37512</v>
      </c>
      <c r="C6500" s="2" t="s">
        <v>95</v>
      </c>
      <c r="D6500" s="2" t="s">
        <v>19821</v>
      </c>
      <c r="E6500" s="2" t="s">
        <v>19822</v>
      </c>
      <c r="F6500" s="4">
        <v>7372</v>
      </c>
      <c r="G6500" s="2" t="s">
        <v>551</v>
      </c>
      <c r="H6500" s="2" t="s">
        <v>34</v>
      </c>
      <c r="I6500" s="2" t="s">
        <v>11565</v>
      </c>
      <c r="J6500" s="2" t="s">
        <v>11566</v>
      </c>
      <c r="K6500" s="2" t="s">
        <v>551</v>
      </c>
      <c r="L6500" s="2" t="s">
        <v>34</v>
      </c>
      <c r="M6500" s="12">
        <v>3562.5039999999999</v>
      </c>
      <c r="N6500" s="6">
        <v>27.35</v>
      </c>
      <c r="O6500" s="4">
        <v>27</v>
      </c>
      <c r="P6500" s="2" t="s">
        <v>19823</v>
      </c>
      <c r="Q6500" s="6">
        <v>31.55</v>
      </c>
      <c r="R6500" s="6">
        <v>15.43</v>
      </c>
      <c r="S6500" s="5">
        <v>14</v>
      </c>
      <c r="T6500" s="5">
        <v>22.2</v>
      </c>
      <c r="U6500" s="5">
        <v>1.8</v>
      </c>
      <c r="V6500" s="6">
        <v>0.28999999999999998</v>
      </c>
      <c r="W6500" s="5">
        <v>17.399999999999999</v>
      </c>
      <c r="X6500" s="6">
        <v>15.54</v>
      </c>
      <c r="Y6500" s="6">
        <v>19.45</v>
      </c>
      <c r="Z6500" s="5">
        <v>19.7</v>
      </c>
      <c r="AA6500" s="6">
        <v>47.17</v>
      </c>
      <c r="AB6500" s="7">
        <v>45.186999999999998</v>
      </c>
      <c r="AC6500" s="6">
        <v>748.59</v>
      </c>
    </row>
    <row r="6501" spans="1:29" ht="117" x14ac:dyDescent="0.15">
      <c r="A6501" s="3">
        <f t="shared" si="152"/>
        <v>37333</v>
      </c>
      <c r="B6501" s="3">
        <f>DATE(2002,5,14)</f>
        <v>37390</v>
      </c>
      <c r="C6501" s="2" t="s">
        <v>95</v>
      </c>
      <c r="D6501" s="2" t="s">
        <v>19824</v>
      </c>
      <c r="E6501" s="2" t="s">
        <v>849</v>
      </c>
      <c r="F6501" s="4">
        <v>7372</v>
      </c>
      <c r="G6501" s="2" t="s">
        <v>551</v>
      </c>
      <c r="H6501" s="2" t="s">
        <v>34</v>
      </c>
      <c r="I6501" s="2" t="s">
        <v>19825</v>
      </c>
      <c r="J6501" s="2" t="s">
        <v>11936</v>
      </c>
      <c r="K6501" s="2" t="s">
        <v>551</v>
      </c>
      <c r="L6501" s="2" t="s">
        <v>34</v>
      </c>
      <c r="M6501" s="7">
        <v>513.33699999999999</v>
      </c>
      <c r="N6501" s="6">
        <v>21.01</v>
      </c>
      <c r="O6501" s="6">
        <v>21.96</v>
      </c>
      <c r="P6501" s="2" t="s">
        <v>19826</v>
      </c>
      <c r="Q6501" s="6">
        <v>100</v>
      </c>
      <c r="R6501" s="6">
        <v>18.850000000000001</v>
      </c>
      <c r="S6501" s="5">
        <v>2.5</v>
      </c>
      <c r="T6501" s="5">
        <v>6</v>
      </c>
      <c r="U6501" s="5">
        <v>4.8</v>
      </c>
      <c r="V6501" s="6">
        <v>0.4</v>
      </c>
      <c r="W6501" s="6">
        <v>14.29</v>
      </c>
      <c r="X6501" s="6">
        <v>12.01</v>
      </c>
      <c r="Y6501" s="6">
        <v>18.68</v>
      </c>
      <c r="Z6501" s="6">
        <v>18.68</v>
      </c>
      <c r="AA6501" s="6">
        <v>6.19</v>
      </c>
      <c r="AB6501" s="7">
        <v>32.061999999999998</v>
      </c>
      <c r="AC6501" s="5">
        <v>86.1</v>
      </c>
    </row>
    <row r="6502" spans="1:29" ht="104" x14ac:dyDescent="0.15">
      <c r="A6502" s="3">
        <f t="shared" si="152"/>
        <v>37333</v>
      </c>
      <c r="B6502" s="3">
        <f>DATE(2003,1,23)</f>
        <v>37644</v>
      </c>
      <c r="C6502" s="2" t="s">
        <v>95</v>
      </c>
      <c r="D6502" s="2" t="s">
        <v>19827</v>
      </c>
      <c r="E6502" s="2" t="s">
        <v>3373</v>
      </c>
      <c r="F6502" s="4">
        <v>6311</v>
      </c>
      <c r="G6502" s="2" t="s">
        <v>125</v>
      </c>
      <c r="H6502" s="2" t="s">
        <v>34</v>
      </c>
      <c r="I6502" s="2" t="s">
        <v>19828</v>
      </c>
      <c r="J6502" s="2" t="s">
        <v>19829</v>
      </c>
      <c r="K6502" s="2" t="s">
        <v>125</v>
      </c>
      <c r="L6502" s="2" t="s">
        <v>34</v>
      </c>
      <c r="M6502" s="7">
        <v>481.67500000000001</v>
      </c>
      <c r="N6502" s="5">
        <v>17.399999999999999</v>
      </c>
      <c r="O6502" s="6">
        <v>17.45</v>
      </c>
      <c r="P6502" s="2" t="s">
        <v>19830</v>
      </c>
      <c r="Q6502" s="6">
        <v>18.78</v>
      </c>
      <c r="R6502" s="6">
        <v>29</v>
      </c>
      <c r="S6502" s="5">
        <v>18.600000000000001</v>
      </c>
      <c r="T6502" s="2"/>
      <c r="U6502" s="5">
        <v>25.9</v>
      </c>
      <c r="V6502" s="6">
        <v>2.75</v>
      </c>
      <c r="W6502" s="6">
        <v>23.52</v>
      </c>
      <c r="X6502" s="4">
        <v>26</v>
      </c>
      <c r="Y6502" s="6">
        <v>28.55</v>
      </c>
      <c r="Z6502" s="6">
        <v>28.75</v>
      </c>
      <c r="AA6502" s="6">
        <v>6.68</v>
      </c>
      <c r="AB6502" s="7">
        <v>5.58</v>
      </c>
      <c r="AC6502" s="6">
        <v>143.31</v>
      </c>
    </row>
    <row r="6503" spans="1:29" ht="91" x14ac:dyDescent="0.15">
      <c r="A6503" s="3">
        <f t="shared" si="152"/>
        <v>37333</v>
      </c>
      <c r="B6503" s="2"/>
      <c r="C6503" s="2" t="s">
        <v>30</v>
      </c>
      <c r="D6503" s="2" t="s">
        <v>19831</v>
      </c>
      <c r="E6503" s="2" t="s">
        <v>19832</v>
      </c>
      <c r="F6503" s="4">
        <v>2833</v>
      </c>
      <c r="G6503" s="2" t="s">
        <v>130</v>
      </c>
      <c r="H6503" s="2" t="s">
        <v>34</v>
      </c>
      <c r="I6503" s="2" t="s">
        <v>19833</v>
      </c>
      <c r="J6503" s="2" t="s">
        <v>19834</v>
      </c>
      <c r="K6503" s="2" t="s">
        <v>130</v>
      </c>
      <c r="L6503" s="2" t="s">
        <v>34</v>
      </c>
      <c r="M6503" s="2"/>
      <c r="N6503" s="2"/>
      <c r="O6503" s="2"/>
      <c r="P6503" s="2" t="s">
        <v>19835</v>
      </c>
      <c r="Q6503" s="2"/>
      <c r="R6503" s="2"/>
      <c r="S6503" s="5">
        <v>2.2000000000000002</v>
      </c>
      <c r="T6503" s="7">
        <v>8.3160000000000007</v>
      </c>
      <c r="U6503" s="5">
        <v>0.4</v>
      </c>
      <c r="V6503" s="9">
        <v>5.7500000000000002E-2</v>
      </c>
      <c r="W6503" s="5">
        <v>1.5</v>
      </c>
      <c r="X6503" s="7">
        <v>1.669</v>
      </c>
      <c r="Y6503" s="6">
        <v>1.34</v>
      </c>
      <c r="Z6503" s="6">
        <v>1.35</v>
      </c>
      <c r="AA6503" s="6">
        <v>9.66</v>
      </c>
      <c r="AB6503" s="2" t="s">
        <v>47</v>
      </c>
      <c r="AC6503" s="2"/>
    </row>
    <row r="6504" spans="1:29" ht="169" x14ac:dyDescent="0.15">
      <c r="A6504" s="3">
        <f>DATE(2002,3,19)</f>
        <v>37334</v>
      </c>
      <c r="B6504" s="2"/>
      <c r="C6504" s="2" t="s">
        <v>30</v>
      </c>
      <c r="D6504" s="2" t="s">
        <v>19836</v>
      </c>
      <c r="E6504" s="2" t="s">
        <v>19837</v>
      </c>
      <c r="F6504" s="4">
        <v>3661</v>
      </c>
      <c r="G6504" s="2" t="s">
        <v>921</v>
      </c>
      <c r="H6504" s="2" t="s">
        <v>34</v>
      </c>
      <c r="I6504" s="2" t="s">
        <v>19838</v>
      </c>
      <c r="J6504" s="2" t="s">
        <v>19839</v>
      </c>
      <c r="K6504" s="2" t="s">
        <v>137</v>
      </c>
      <c r="L6504" s="2" t="s">
        <v>34</v>
      </c>
      <c r="M6504" s="7">
        <v>249.63499999999999</v>
      </c>
      <c r="N6504" s="6">
        <v>4.3099999999999996</v>
      </c>
      <c r="O6504" s="6">
        <v>3.97</v>
      </c>
      <c r="P6504" s="2" t="s">
        <v>19840</v>
      </c>
      <c r="Q6504" s="2"/>
      <c r="R6504" s="6">
        <v>1.76</v>
      </c>
      <c r="S6504" s="5">
        <v>-106.3</v>
      </c>
      <c r="T6504" s="5">
        <v>-44.6</v>
      </c>
      <c r="U6504" s="5">
        <v>1.7</v>
      </c>
      <c r="V6504" s="6">
        <v>-0.68</v>
      </c>
      <c r="W6504" s="5">
        <v>1.8</v>
      </c>
      <c r="X6504" s="7">
        <v>1.7310000000000001</v>
      </c>
      <c r="Y6504" s="7">
        <v>1.7290000000000001</v>
      </c>
      <c r="Z6504" s="6">
        <v>1.55</v>
      </c>
      <c r="AA6504" s="6">
        <v>163.65</v>
      </c>
      <c r="AB6504" s="2" t="s">
        <v>86</v>
      </c>
      <c r="AC6504" s="6">
        <v>160.72999999999999</v>
      </c>
    </row>
    <row r="6505" spans="1:29" ht="156" x14ac:dyDescent="0.15">
      <c r="A6505" s="3">
        <f>DATE(2002,3,20)</f>
        <v>37335</v>
      </c>
      <c r="B6505" s="3">
        <f>DATE(2002,7,3)</f>
        <v>37440</v>
      </c>
      <c r="C6505" s="2" t="s">
        <v>95</v>
      </c>
      <c r="D6505" s="2" t="s">
        <v>19841</v>
      </c>
      <c r="E6505" s="2" t="s">
        <v>19842</v>
      </c>
      <c r="F6505" s="4">
        <v>8731</v>
      </c>
      <c r="G6505" s="2" t="s">
        <v>223</v>
      </c>
      <c r="H6505" s="2" t="s">
        <v>34</v>
      </c>
      <c r="I6505" s="2" t="s">
        <v>19843</v>
      </c>
      <c r="J6505" s="2" t="s">
        <v>19844</v>
      </c>
      <c r="K6505" s="2" t="s">
        <v>130</v>
      </c>
      <c r="L6505" s="2" t="s">
        <v>1049</v>
      </c>
      <c r="M6505" s="10">
        <v>11319.66</v>
      </c>
      <c r="N6505" s="7">
        <v>59.118000000000002</v>
      </c>
      <c r="O6505" s="7">
        <v>58.741</v>
      </c>
      <c r="P6505" s="2" t="s">
        <v>19845</v>
      </c>
      <c r="Q6505" s="6">
        <v>89.07</v>
      </c>
      <c r="R6505" s="6">
        <v>11.25</v>
      </c>
      <c r="S6505" s="5">
        <v>-14.6</v>
      </c>
      <c r="T6505" s="5">
        <v>-13.7</v>
      </c>
      <c r="U6505" s="5">
        <v>1</v>
      </c>
      <c r="V6505" s="6">
        <v>-1.1000000000000001</v>
      </c>
      <c r="W6505" s="6">
        <v>4.95</v>
      </c>
      <c r="X6505" s="6">
        <v>5.09</v>
      </c>
      <c r="Y6505" s="6">
        <v>10.37</v>
      </c>
      <c r="Z6505" s="6">
        <v>10.25</v>
      </c>
      <c r="AA6505" s="6">
        <v>13.32</v>
      </c>
      <c r="AB6505" s="2" t="s">
        <v>86</v>
      </c>
      <c r="AC6505" s="6">
        <v>262.95999999999998</v>
      </c>
    </row>
    <row r="6506" spans="1:29" ht="52" x14ac:dyDescent="0.15">
      <c r="A6506" s="3">
        <f>DATE(2002,3,20)</f>
        <v>37335</v>
      </c>
      <c r="B6506" s="3">
        <f>DATE(2002,9,9)</f>
        <v>37508</v>
      </c>
      <c r="C6506" s="2" t="s">
        <v>95</v>
      </c>
      <c r="D6506" s="2" t="s">
        <v>19846</v>
      </c>
      <c r="E6506" s="2" t="s">
        <v>1181</v>
      </c>
      <c r="F6506" s="4">
        <v>6022</v>
      </c>
      <c r="G6506" s="2" t="s">
        <v>37</v>
      </c>
      <c r="H6506" s="2" t="s">
        <v>34</v>
      </c>
      <c r="I6506" s="2" t="s">
        <v>19847</v>
      </c>
      <c r="J6506" s="2" t="s">
        <v>36</v>
      </c>
      <c r="K6506" s="2" t="s">
        <v>37</v>
      </c>
      <c r="L6506" s="2" t="s">
        <v>34</v>
      </c>
      <c r="M6506" s="7">
        <v>662.28700000000003</v>
      </c>
      <c r="N6506" s="6">
        <v>25.02</v>
      </c>
      <c r="O6506" s="6">
        <v>25.25</v>
      </c>
      <c r="P6506" s="2" t="s">
        <v>19848</v>
      </c>
      <c r="Q6506" s="6">
        <v>100</v>
      </c>
      <c r="R6506" s="6">
        <v>52.2</v>
      </c>
      <c r="S6506" s="5">
        <v>5.0999999999999996</v>
      </c>
      <c r="T6506" s="7">
        <v>7.8129999999999997</v>
      </c>
      <c r="U6506" s="5">
        <v>24.4</v>
      </c>
      <c r="V6506" s="6">
        <v>3.08</v>
      </c>
      <c r="W6506" s="6">
        <v>38.25</v>
      </c>
      <c r="X6506" s="6">
        <v>38.25</v>
      </c>
      <c r="Y6506" s="2"/>
      <c r="Z6506" s="2"/>
      <c r="AA6506" s="6">
        <v>1.67</v>
      </c>
      <c r="AB6506" s="7">
        <v>11.923999999999999</v>
      </c>
      <c r="AC6506" s="2"/>
    </row>
    <row r="6507" spans="1:29" ht="156" x14ac:dyDescent="0.15">
      <c r="A6507" s="3">
        <f>DATE(2002,3,21)</f>
        <v>37336</v>
      </c>
      <c r="B6507" s="3">
        <f>DATE(2002,8,30)</f>
        <v>37498</v>
      </c>
      <c r="C6507" s="2" t="s">
        <v>95</v>
      </c>
      <c r="D6507" s="2" t="s">
        <v>19849</v>
      </c>
      <c r="E6507" s="2" t="s">
        <v>36</v>
      </c>
      <c r="F6507" s="4">
        <v>6022</v>
      </c>
      <c r="G6507" s="2" t="s">
        <v>37</v>
      </c>
      <c r="H6507" s="2" t="s">
        <v>34</v>
      </c>
      <c r="I6507" s="2" t="s">
        <v>19850</v>
      </c>
      <c r="J6507" s="2" t="s">
        <v>159</v>
      </c>
      <c r="K6507" s="2" t="s">
        <v>37</v>
      </c>
      <c r="L6507" s="2" t="s">
        <v>34</v>
      </c>
      <c r="M6507" s="7">
        <v>785.41800000000001</v>
      </c>
      <c r="N6507" s="6">
        <v>19.88</v>
      </c>
      <c r="O6507" s="6">
        <v>19.75</v>
      </c>
      <c r="P6507" s="2" t="s">
        <v>19851</v>
      </c>
      <c r="Q6507" s="6">
        <v>100</v>
      </c>
      <c r="R6507" s="6">
        <v>13.95</v>
      </c>
      <c r="S6507" s="5">
        <v>5</v>
      </c>
      <c r="T6507" s="7">
        <v>8.9870000000000001</v>
      </c>
      <c r="U6507" s="5">
        <v>5.0999999999999996</v>
      </c>
      <c r="V6507" s="6">
        <v>0.63</v>
      </c>
      <c r="W6507" s="5">
        <v>12.9</v>
      </c>
      <c r="X6507" s="5">
        <v>13.3</v>
      </c>
      <c r="Y6507" s="5">
        <v>13.5</v>
      </c>
      <c r="Z6507" s="6">
        <v>13.45</v>
      </c>
      <c r="AA6507" s="6">
        <v>7.93</v>
      </c>
      <c r="AB6507" s="7">
        <v>21.442</v>
      </c>
      <c r="AC6507" s="2"/>
    </row>
    <row r="6508" spans="1:29" ht="65" x14ac:dyDescent="0.15">
      <c r="A6508" s="3">
        <f>DATE(2002,3,22)</f>
        <v>37337</v>
      </c>
      <c r="B6508" s="3">
        <f>DATE(2002,7,7)</f>
        <v>37444</v>
      </c>
      <c r="C6508" s="2" t="s">
        <v>95</v>
      </c>
      <c r="D6508" s="2" t="s">
        <v>18110</v>
      </c>
      <c r="E6508" s="2" t="s">
        <v>18111</v>
      </c>
      <c r="F6508" s="4">
        <v>3845</v>
      </c>
      <c r="G6508" s="2" t="s">
        <v>226</v>
      </c>
      <c r="H6508" s="2" t="s">
        <v>34</v>
      </c>
      <c r="I6508" s="2" t="s">
        <v>19852</v>
      </c>
      <c r="J6508" s="2" t="s">
        <v>19853</v>
      </c>
      <c r="K6508" s="2" t="s">
        <v>226</v>
      </c>
      <c r="L6508" s="2" t="s">
        <v>11620</v>
      </c>
      <c r="M6508" s="2"/>
      <c r="N6508" s="2"/>
      <c r="O6508" s="2"/>
      <c r="P6508" s="2" t="s">
        <v>19854</v>
      </c>
      <c r="Q6508" s="6">
        <v>100</v>
      </c>
      <c r="R6508" s="6">
        <v>14.25</v>
      </c>
      <c r="S6508" s="5">
        <v>-2.1</v>
      </c>
      <c r="T6508" s="5">
        <v>-8</v>
      </c>
      <c r="U6508" s="5">
        <v>16.7</v>
      </c>
      <c r="V6508" s="6">
        <v>-0.22</v>
      </c>
      <c r="W6508" s="5">
        <v>15.3</v>
      </c>
      <c r="X6508" s="6">
        <v>15.45</v>
      </c>
      <c r="Y6508" s="5">
        <v>14.1</v>
      </c>
      <c r="Z6508" s="6">
        <v>14.04</v>
      </c>
      <c r="AA6508" s="6">
        <v>9.76</v>
      </c>
      <c r="AB6508" s="2" t="s">
        <v>86</v>
      </c>
      <c r="AC6508" s="6">
        <v>21.17</v>
      </c>
    </row>
    <row r="6509" spans="1:29" ht="65" x14ac:dyDescent="0.15">
      <c r="A6509" s="3">
        <f>DATE(2002,3,24)</f>
        <v>37339</v>
      </c>
      <c r="B6509" s="2"/>
      <c r="C6509" s="2" t="s">
        <v>87</v>
      </c>
      <c r="D6509" s="2" t="s">
        <v>963</v>
      </c>
      <c r="E6509" s="2" t="s">
        <v>964</v>
      </c>
      <c r="F6509" s="4">
        <v>3411</v>
      </c>
      <c r="G6509" s="2" t="s">
        <v>163</v>
      </c>
      <c r="H6509" s="2" t="s">
        <v>34</v>
      </c>
      <c r="I6509" s="2" t="s">
        <v>16685</v>
      </c>
      <c r="J6509" s="2" t="s">
        <v>16686</v>
      </c>
      <c r="K6509" s="2" t="s">
        <v>163</v>
      </c>
      <c r="L6509" s="2" t="s">
        <v>303</v>
      </c>
      <c r="M6509" s="10">
        <v>2651.45</v>
      </c>
      <c r="N6509" s="2"/>
      <c r="O6509" s="2"/>
      <c r="P6509" s="2" t="s">
        <v>19855</v>
      </c>
      <c r="Q6509" s="2"/>
      <c r="R6509" s="2"/>
      <c r="S6509" s="5">
        <v>-976</v>
      </c>
      <c r="T6509" s="5">
        <v>814</v>
      </c>
      <c r="U6509" s="5">
        <v>6.4</v>
      </c>
      <c r="V6509" s="6">
        <v>-7.77</v>
      </c>
      <c r="W6509" s="6">
        <v>7.18</v>
      </c>
      <c r="X6509" s="6">
        <v>8.65</v>
      </c>
      <c r="Y6509" s="6">
        <v>8.64</v>
      </c>
      <c r="Z6509" s="6">
        <v>8.64</v>
      </c>
      <c r="AA6509" s="6">
        <v>125.65</v>
      </c>
      <c r="AB6509" s="2" t="s">
        <v>47</v>
      </c>
      <c r="AC6509" s="6">
        <v>114.95</v>
      </c>
    </row>
    <row r="6510" spans="1:29" ht="78" x14ac:dyDescent="0.15">
      <c r="A6510" s="3">
        <f>DATE(2002,3,25)</f>
        <v>37340</v>
      </c>
      <c r="B6510" s="3">
        <f>DATE(2002,10,2)</f>
        <v>37531</v>
      </c>
      <c r="C6510" s="2" t="s">
        <v>95</v>
      </c>
      <c r="D6510" s="2" t="s">
        <v>19856</v>
      </c>
      <c r="E6510" s="2" t="s">
        <v>2168</v>
      </c>
      <c r="F6510" s="4">
        <v>2911</v>
      </c>
      <c r="G6510" s="2" t="s">
        <v>148</v>
      </c>
      <c r="H6510" s="2" t="s">
        <v>34</v>
      </c>
      <c r="I6510" s="2" t="s">
        <v>10568</v>
      </c>
      <c r="J6510" s="2" t="s">
        <v>10569</v>
      </c>
      <c r="K6510" s="2" t="s">
        <v>148</v>
      </c>
      <c r="L6510" s="2" t="s">
        <v>34</v>
      </c>
      <c r="M6510" s="2"/>
      <c r="N6510" s="2"/>
      <c r="O6510" s="2"/>
      <c r="P6510" s="2" t="s">
        <v>19857</v>
      </c>
      <c r="Q6510" s="6">
        <v>100</v>
      </c>
      <c r="R6510" s="6">
        <v>22</v>
      </c>
      <c r="S6510" s="5">
        <v>-10.5</v>
      </c>
      <c r="T6510" s="5">
        <v>161.9</v>
      </c>
      <c r="U6510" s="5">
        <v>9.6</v>
      </c>
      <c r="V6510" s="6">
        <v>-0.13</v>
      </c>
      <c r="W6510" s="5">
        <v>15.3</v>
      </c>
      <c r="X6510" s="6">
        <v>15.49</v>
      </c>
      <c r="Y6510" s="6">
        <v>15.49</v>
      </c>
      <c r="Z6510" s="5">
        <v>21.5</v>
      </c>
      <c r="AA6510" s="6">
        <v>79.73</v>
      </c>
      <c r="AB6510" s="7">
        <v>56.444000000000003</v>
      </c>
      <c r="AC6510" s="2"/>
    </row>
    <row r="6511" spans="1:29" ht="78" x14ac:dyDescent="0.15">
      <c r="A6511" s="3">
        <f>DATE(2002,3,25)</f>
        <v>37340</v>
      </c>
      <c r="B6511" s="2"/>
      <c r="C6511" s="2" t="s">
        <v>30</v>
      </c>
      <c r="D6511" s="2" t="s">
        <v>19858</v>
      </c>
      <c r="E6511" s="2" t="s">
        <v>5309</v>
      </c>
      <c r="F6511" s="4">
        <v>1311</v>
      </c>
      <c r="G6511" s="2" t="s">
        <v>148</v>
      </c>
      <c r="H6511" s="2" t="s">
        <v>34</v>
      </c>
      <c r="I6511" s="2" t="s">
        <v>19859</v>
      </c>
      <c r="J6511" s="2" t="s">
        <v>1072</v>
      </c>
      <c r="K6511" s="2" t="s">
        <v>53</v>
      </c>
      <c r="L6511" s="2" t="s">
        <v>34</v>
      </c>
      <c r="M6511" s="2"/>
      <c r="N6511" s="2"/>
      <c r="O6511" s="2"/>
      <c r="P6511" s="2" t="s">
        <v>19860</v>
      </c>
      <c r="Q6511" s="2"/>
      <c r="R6511" s="2"/>
      <c r="S6511" s="5">
        <v>133.5</v>
      </c>
      <c r="T6511" s="7">
        <v>418.97699999999998</v>
      </c>
      <c r="U6511" s="5">
        <v>11.6</v>
      </c>
      <c r="V6511" s="6">
        <v>2.09</v>
      </c>
      <c r="W6511" s="6">
        <v>12.92</v>
      </c>
      <c r="X6511" s="5">
        <v>14.1</v>
      </c>
      <c r="Y6511" s="4">
        <v>14</v>
      </c>
      <c r="Z6511" s="6">
        <v>13.35</v>
      </c>
      <c r="AA6511" s="6">
        <v>63.08</v>
      </c>
      <c r="AB6511" s="2" t="s">
        <v>47</v>
      </c>
      <c r="AC6511" s="2"/>
    </row>
    <row r="6512" spans="1:29" ht="65" x14ac:dyDescent="0.15">
      <c r="A6512" s="3">
        <f>DATE(2002,3,26)</f>
        <v>37341</v>
      </c>
      <c r="B6512" s="3">
        <f>DATE(2002,7,22)</f>
        <v>37459</v>
      </c>
      <c r="C6512" s="2" t="s">
        <v>95</v>
      </c>
      <c r="D6512" s="2" t="s">
        <v>1039</v>
      </c>
      <c r="E6512" s="2" t="s">
        <v>1040</v>
      </c>
      <c r="F6512" s="4">
        <v>6035</v>
      </c>
      <c r="G6512" s="2" t="s">
        <v>33</v>
      </c>
      <c r="H6512" s="2" t="s">
        <v>34</v>
      </c>
      <c r="I6512" s="2" t="s">
        <v>19861</v>
      </c>
      <c r="J6512" s="2" t="s">
        <v>159</v>
      </c>
      <c r="K6512" s="2" t="s">
        <v>37</v>
      </c>
      <c r="L6512" s="2" t="s">
        <v>34</v>
      </c>
      <c r="M6512" s="2"/>
      <c r="N6512" s="5">
        <v>28.4</v>
      </c>
      <c r="O6512" s="6">
        <v>28.35</v>
      </c>
      <c r="P6512" s="2" t="s">
        <v>19862</v>
      </c>
      <c r="Q6512" s="6">
        <v>100</v>
      </c>
      <c r="R6512" s="6">
        <v>26</v>
      </c>
      <c r="S6512" s="5">
        <v>1.1000000000000001</v>
      </c>
      <c r="T6512" s="7">
        <v>5.8380000000000001</v>
      </c>
      <c r="U6512" s="5">
        <v>13.6</v>
      </c>
      <c r="V6512" s="6">
        <v>-0.24</v>
      </c>
      <c r="W6512" s="4">
        <v>16</v>
      </c>
      <c r="X6512" s="5">
        <v>17.5</v>
      </c>
      <c r="Y6512" s="7">
        <v>17.937999999999999</v>
      </c>
      <c r="Z6512" s="6">
        <v>25.63</v>
      </c>
      <c r="AA6512" s="6">
        <v>5.71</v>
      </c>
      <c r="AB6512" s="7">
        <v>414.92500000000001</v>
      </c>
      <c r="AC6512" s="2"/>
    </row>
    <row r="6513" spans="1:29" ht="143" x14ac:dyDescent="0.15">
      <c r="A6513" s="3">
        <f>DATE(2002,3,26)</f>
        <v>37341</v>
      </c>
      <c r="B6513" s="3">
        <f>DATE(2002,7,1)</f>
        <v>37438</v>
      </c>
      <c r="C6513" s="2" t="s">
        <v>95</v>
      </c>
      <c r="D6513" s="2" t="s">
        <v>19863</v>
      </c>
      <c r="E6513" s="2" t="s">
        <v>19864</v>
      </c>
      <c r="F6513" s="4">
        <v>2653</v>
      </c>
      <c r="G6513" s="2" t="s">
        <v>282</v>
      </c>
      <c r="H6513" s="2" t="s">
        <v>34</v>
      </c>
      <c r="I6513" s="2" t="s">
        <v>19865</v>
      </c>
      <c r="J6513" s="2" t="s">
        <v>19866</v>
      </c>
      <c r="K6513" s="2" t="s">
        <v>447</v>
      </c>
      <c r="L6513" s="2" t="s">
        <v>902</v>
      </c>
      <c r="M6513" s="2"/>
      <c r="N6513" s="2"/>
      <c r="O6513" s="2"/>
      <c r="P6513" s="2" t="s">
        <v>19867</v>
      </c>
      <c r="Q6513" s="6">
        <v>100</v>
      </c>
      <c r="R6513" s="6">
        <v>67</v>
      </c>
      <c r="S6513" s="5">
        <v>13.5</v>
      </c>
      <c r="T6513" s="5">
        <v>31</v>
      </c>
      <c r="U6513" s="5">
        <v>18.8</v>
      </c>
      <c r="V6513" s="6">
        <v>3.01</v>
      </c>
      <c r="W6513" s="6">
        <v>50.25</v>
      </c>
      <c r="X6513" s="5">
        <v>50.1</v>
      </c>
      <c r="Y6513" s="6">
        <v>66.55</v>
      </c>
      <c r="Z6513" s="6">
        <v>66.55</v>
      </c>
      <c r="AA6513" s="6">
        <v>4.2</v>
      </c>
      <c r="AB6513" s="7">
        <v>13.409000000000001</v>
      </c>
      <c r="AC6513" s="2"/>
    </row>
    <row r="6514" spans="1:29" ht="104" x14ac:dyDescent="0.15">
      <c r="A6514" s="3">
        <f>DATE(2002,3,26)</f>
        <v>37341</v>
      </c>
      <c r="B6514" s="3">
        <f>DATE(2002,6,20)</f>
        <v>37427</v>
      </c>
      <c r="C6514" s="2" t="s">
        <v>95</v>
      </c>
      <c r="D6514" s="2" t="s">
        <v>19868</v>
      </c>
      <c r="E6514" s="2" t="s">
        <v>19869</v>
      </c>
      <c r="F6514" s="4">
        <v>8742</v>
      </c>
      <c r="G6514" s="2" t="s">
        <v>223</v>
      </c>
      <c r="H6514" s="2" t="s">
        <v>34</v>
      </c>
      <c r="I6514" s="2" t="s">
        <v>19870</v>
      </c>
      <c r="J6514" s="2" t="s">
        <v>4572</v>
      </c>
      <c r="K6514" s="2" t="s">
        <v>223</v>
      </c>
      <c r="L6514" s="2" t="s">
        <v>34</v>
      </c>
      <c r="M6514" s="2"/>
      <c r="N6514" s="2"/>
      <c r="O6514" s="2"/>
      <c r="P6514" s="2" t="s">
        <v>19871</v>
      </c>
      <c r="Q6514" s="6">
        <v>100</v>
      </c>
      <c r="R6514" s="2"/>
      <c r="S6514" s="5">
        <v>0.3</v>
      </c>
      <c r="T6514" s="7">
        <v>0.70499999999999996</v>
      </c>
      <c r="U6514" s="5">
        <v>0.4</v>
      </c>
      <c r="V6514" s="6">
        <v>0.05</v>
      </c>
      <c r="W6514" s="5">
        <v>1.4</v>
      </c>
      <c r="X6514" s="6">
        <v>1.45</v>
      </c>
      <c r="Y6514" s="6">
        <v>1.45</v>
      </c>
      <c r="Z6514" s="6">
        <v>1.95</v>
      </c>
      <c r="AA6514" s="6">
        <v>5.9</v>
      </c>
      <c r="AB6514" s="7">
        <v>24.454999999999998</v>
      </c>
      <c r="AC6514" s="2"/>
    </row>
    <row r="6515" spans="1:29" ht="104" x14ac:dyDescent="0.15">
      <c r="A6515" s="3">
        <f>DATE(2002,3,27)</f>
        <v>37342</v>
      </c>
      <c r="B6515" s="3">
        <f>DATE(2002,6,7)</f>
        <v>37414</v>
      </c>
      <c r="C6515" s="2" t="s">
        <v>95</v>
      </c>
      <c r="D6515" s="2" t="s">
        <v>19872</v>
      </c>
      <c r="E6515" s="2" t="s">
        <v>268</v>
      </c>
      <c r="F6515" s="4">
        <v>7011</v>
      </c>
      <c r="G6515" s="2" t="s">
        <v>269</v>
      </c>
      <c r="H6515" s="2" t="s">
        <v>34</v>
      </c>
      <c r="I6515" s="2" t="s">
        <v>19873</v>
      </c>
      <c r="J6515" s="2" t="s">
        <v>268</v>
      </c>
      <c r="K6515" s="2" t="s">
        <v>269</v>
      </c>
      <c r="L6515" s="2" t="s">
        <v>8464</v>
      </c>
      <c r="M6515" s="2"/>
      <c r="N6515" s="2"/>
      <c r="O6515" s="2"/>
      <c r="P6515" s="2" t="s">
        <v>19874</v>
      </c>
      <c r="Q6515" s="6">
        <v>100</v>
      </c>
      <c r="R6515" s="6">
        <v>34</v>
      </c>
      <c r="S6515" s="5">
        <v>12</v>
      </c>
      <c r="T6515" s="6">
        <v>6.83</v>
      </c>
      <c r="U6515" s="5">
        <v>26.6</v>
      </c>
      <c r="V6515" s="6">
        <v>0.72</v>
      </c>
      <c r="W6515" s="6">
        <v>31.63</v>
      </c>
      <c r="X6515" s="5">
        <v>31.4</v>
      </c>
      <c r="Y6515" s="5">
        <v>31.7</v>
      </c>
      <c r="Z6515" s="6">
        <v>33.64</v>
      </c>
      <c r="AA6515" s="6">
        <v>15.56</v>
      </c>
      <c r="AB6515" s="7">
        <v>98.301000000000002</v>
      </c>
      <c r="AC6515" s="2"/>
    </row>
    <row r="6516" spans="1:29" ht="130" x14ac:dyDescent="0.15">
      <c r="A6516" s="3">
        <f>DATE(2002,3,28)</f>
        <v>37343</v>
      </c>
      <c r="B6516" s="3">
        <f>DATE(2002,10,4)</f>
        <v>37533</v>
      </c>
      <c r="C6516" s="2" t="s">
        <v>95</v>
      </c>
      <c r="D6516" s="2" t="s">
        <v>19875</v>
      </c>
      <c r="E6516" s="2" t="s">
        <v>19876</v>
      </c>
      <c r="F6516" s="4">
        <v>3663</v>
      </c>
      <c r="G6516" s="2" t="s">
        <v>921</v>
      </c>
      <c r="H6516" s="2" t="s">
        <v>34</v>
      </c>
      <c r="I6516" s="2" t="s">
        <v>19877</v>
      </c>
      <c r="J6516" s="2" t="s">
        <v>19878</v>
      </c>
      <c r="K6516" s="2" t="s">
        <v>921</v>
      </c>
      <c r="L6516" s="2" t="s">
        <v>34</v>
      </c>
      <c r="M6516" s="7">
        <v>139.37700000000001</v>
      </c>
      <c r="N6516" s="6">
        <v>6.19</v>
      </c>
      <c r="O6516" s="6">
        <v>6.19</v>
      </c>
      <c r="P6516" s="2" t="s">
        <v>19879</v>
      </c>
      <c r="Q6516" s="6">
        <v>100</v>
      </c>
      <c r="R6516" s="2"/>
      <c r="S6516" s="5">
        <v>-2.8</v>
      </c>
      <c r="T6516" s="5">
        <v>-3.2</v>
      </c>
      <c r="U6516" s="5">
        <v>3.3</v>
      </c>
      <c r="V6516" s="6">
        <v>-0.46</v>
      </c>
      <c r="W6516" s="6">
        <v>1.65</v>
      </c>
      <c r="X6516" s="6">
        <v>1.65</v>
      </c>
      <c r="Y6516" s="6">
        <v>3.15</v>
      </c>
      <c r="Z6516" s="6">
        <v>2.99</v>
      </c>
      <c r="AA6516" s="6">
        <v>5.95</v>
      </c>
      <c r="AB6516" s="2" t="s">
        <v>86</v>
      </c>
      <c r="AC6516" s="5">
        <v>50.8</v>
      </c>
    </row>
    <row r="6517" spans="1:29" ht="247" x14ac:dyDescent="0.15">
      <c r="A6517" s="3">
        <f>DATE(2002,4,1)</f>
        <v>37347</v>
      </c>
      <c r="B6517" s="3">
        <f>DATE(2002,6,3)</f>
        <v>37410</v>
      </c>
      <c r="C6517" s="2" t="s">
        <v>95</v>
      </c>
      <c r="D6517" s="2" t="s">
        <v>19880</v>
      </c>
      <c r="E6517" s="2" t="s">
        <v>19881</v>
      </c>
      <c r="F6517" s="4">
        <v>7011</v>
      </c>
      <c r="G6517" s="2" t="s">
        <v>269</v>
      </c>
      <c r="H6517" s="2" t="s">
        <v>34</v>
      </c>
      <c r="I6517" s="2" t="s">
        <v>9795</v>
      </c>
      <c r="J6517" s="2" t="s">
        <v>2071</v>
      </c>
      <c r="K6517" s="2" t="s">
        <v>109</v>
      </c>
      <c r="L6517" s="2" t="s">
        <v>34</v>
      </c>
      <c r="M6517" s="12">
        <v>17970.972000000002</v>
      </c>
      <c r="N6517" s="6">
        <v>19.02</v>
      </c>
      <c r="O6517" s="6">
        <v>18.66</v>
      </c>
      <c r="P6517" s="2" t="s">
        <v>19882</v>
      </c>
      <c r="Q6517" s="6">
        <v>100</v>
      </c>
      <c r="R6517" s="6">
        <v>23.34</v>
      </c>
      <c r="S6517" s="5">
        <v>51.5</v>
      </c>
      <c r="T6517" s="5">
        <v>102.5</v>
      </c>
      <c r="U6517" s="5">
        <v>7.2</v>
      </c>
      <c r="V6517" s="6">
        <v>1.2</v>
      </c>
      <c r="W6517" s="5">
        <v>24.5</v>
      </c>
      <c r="X6517" s="6">
        <v>24.02</v>
      </c>
      <c r="Y6517" s="6">
        <v>24.99</v>
      </c>
      <c r="Z6517" s="6">
        <v>24.75</v>
      </c>
      <c r="AA6517" s="6">
        <v>38.159999999999997</v>
      </c>
      <c r="AB6517" s="7">
        <v>13.1</v>
      </c>
      <c r="AC6517" s="8">
        <v>1138</v>
      </c>
    </row>
    <row r="6518" spans="1:29" ht="130" x14ac:dyDescent="0.15">
      <c r="A6518" s="3">
        <f>DATE(2002,4,2)</f>
        <v>37348</v>
      </c>
      <c r="B6518" s="2"/>
      <c r="C6518" s="2" t="s">
        <v>30</v>
      </c>
      <c r="D6518" s="2" t="s">
        <v>19883</v>
      </c>
      <c r="E6518" s="2" t="s">
        <v>3900</v>
      </c>
      <c r="F6518" s="4">
        <v>5812</v>
      </c>
      <c r="G6518" s="2" t="s">
        <v>230</v>
      </c>
      <c r="H6518" s="2" t="s">
        <v>34</v>
      </c>
      <c r="I6518" s="2" t="s">
        <v>11303</v>
      </c>
      <c r="J6518" s="2" t="s">
        <v>244</v>
      </c>
      <c r="K6518" s="2" t="s">
        <v>53</v>
      </c>
      <c r="L6518" s="2" t="s">
        <v>34</v>
      </c>
      <c r="M6518" s="2"/>
      <c r="N6518" s="2"/>
      <c r="O6518" s="2"/>
      <c r="P6518" s="2" t="s">
        <v>19884</v>
      </c>
      <c r="Q6518" s="2"/>
      <c r="R6518" s="2"/>
      <c r="S6518" s="5">
        <v>1.5</v>
      </c>
      <c r="T6518" s="5">
        <v>54.7</v>
      </c>
      <c r="U6518" s="5">
        <v>19.3</v>
      </c>
      <c r="V6518" s="6">
        <v>0.03</v>
      </c>
      <c r="W6518" s="6">
        <v>20.82</v>
      </c>
      <c r="X6518" s="6">
        <v>20.66</v>
      </c>
      <c r="Y6518" s="6">
        <v>20.02</v>
      </c>
      <c r="Z6518" s="4">
        <v>20</v>
      </c>
      <c r="AA6518" s="6">
        <v>24.33</v>
      </c>
      <c r="AB6518" s="2" t="s">
        <v>47</v>
      </c>
      <c r="AC6518" s="2"/>
    </row>
    <row r="6519" spans="1:29" ht="143" x14ac:dyDescent="0.15">
      <c r="A6519" s="3">
        <f>DATE(2002,4,2)</f>
        <v>37348</v>
      </c>
      <c r="B6519" s="3">
        <f>DATE(2002,6,14)</f>
        <v>37421</v>
      </c>
      <c r="C6519" s="2" t="s">
        <v>95</v>
      </c>
      <c r="D6519" s="2" t="s">
        <v>15767</v>
      </c>
      <c r="E6519" s="2" t="s">
        <v>15768</v>
      </c>
      <c r="F6519" s="4">
        <v>7373</v>
      </c>
      <c r="G6519" s="2" t="s">
        <v>223</v>
      </c>
      <c r="H6519" s="2" t="s">
        <v>34</v>
      </c>
      <c r="I6519" s="2" t="s">
        <v>19885</v>
      </c>
      <c r="J6519" s="2" t="s">
        <v>19886</v>
      </c>
      <c r="K6519" s="2" t="s">
        <v>223</v>
      </c>
      <c r="L6519" s="2" t="s">
        <v>34</v>
      </c>
      <c r="M6519" s="7">
        <v>366.09699999999998</v>
      </c>
      <c r="N6519" s="5">
        <v>16.600000000000001</v>
      </c>
      <c r="O6519" s="5">
        <v>16.5</v>
      </c>
      <c r="P6519" s="2" t="s">
        <v>19887</v>
      </c>
      <c r="Q6519" s="6">
        <v>100</v>
      </c>
      <c r="R6519" s="6">
        <v>15.51</v>
      </c>
      <c r="S6519" s="5">
        <v>0.2</v>
      </c>
      <c r="T6519" s="5">
        <v>4.5999999999999996</v>
      </c>
      <c r="U6519" s="5">
        <v>5.5</v>
      </c>
      <c r="V6519" s="6">
        <v>0.02</v>
      </c>
      <c r="W6519" s="7">
        <v>9.5020000000000007</v>
      </c>
      <c r="X6519" s="6">
        <v>9.7100000000000009</v>
      </c>
      <c r="Y6519" s="4">
        <v>12</v>
      </c>
      <c r="Z6519" s="6">
        <v>12.06</v>
      </c>
      <c r="AA6519" s="6">
        <v>10.43</v>
      </c>
      <c r="AB6519" s="7">
        <v>500.51600000000002</v>
      </c>
      <c r="AC6519" s="5">
        <v>10.9</v>
      </c>
    </row>
    <row r="6520" spans="1:29" ht="273" x14ac:dyDescent="0.15">
      <c r="A6520" s="3">
        <f>DATE(2002,4,2)</f>
        <v>37348</v>
      </c>
      <c r="B6520" s="3">
        <f>DATE(2003,2,27)</f>
        <v>37679</v>
      </c>
      <c r="C6520" s="2" t="s">
        <v>95</v>
      </c>
      <c r="D6520" s="2" t="s">
        <v>19888</v>
      </c>
      <c r="E6520" s="2" t="s">
        <v>14481</v>
      </c>
      <c r="F6520" s="4">
        <v>8071</v>
      </c>
      <c r="G6520" s="2" t="s">
        <v>454</v>
      </c>
      <c r="H6520" s="2" t="s">
        <v>34</v>
      </c>
      <c r="I6520" s="2" t="s">
        <v>18729</v>
      </c>
      <c r="J6520" s="2" t="s">
        <v>18730</v>
      </c>
      <c r="K6520" s="2" t="s">
        <v>454</v>
      </c>
      <c r="L6520" s="2" t="s">
        <v>34</v>
      </c>
      <c r="M6520" s="12">
        <v>7082.357</v>
      </c>
      <c r="N6520" s="6">
        <v>79.44</v>
      </c>
      <c r="O6520" s="6">
        <v>80.650000000000006</v>
      </c>
      <c r="P6520" s="2" t="s">
        <v>19889</v>
      </c>
      <c r="Q6520" s="6">
        <v>100</v>
      </c>
      <c r="R6520" s="6">
        <v>19.100000000000001</v>
      </c>
      <c r="S6520" s="5">
        <v>19.7</v>
      </c>
      <c r="T6520" s="7">
        <v>69.525999999999996</v>
      </c>
      <c r="U6520" s="5">
        <v>1.6</v>
      </c>
      <c r="V6520" s="2"/>
      <c r="W6520" s="6">
        <v>24.03</v>
      </c>
      <c r="X6520" s="4">
        <v>25</v>
      </c>
      <c r="Y6520" s="6">
        <v>26.13</v>
      </c>
      <c r="Z6520" s="6">
        <v>26.27</v>
      </c>
      <c r="AA6520" s="6">
        <v>33.49</v>
      </c>
      <c r="AB6520" s="7">
        <v>13.913</v>
      </c>
      <c r="AC6520" s="6">
        <v>113.85</v>
      </c>
    </row>
    <row r="6521" spans="1:29" ht="65" x14ac:dyDescent="0.15">
      <c r="A6521" s="3">
        <f>DATE(2002,4,4)</f>
        <v>37350</v>
      </c>
      <c r="B6521" s="3">
        <f>DATE(2002,8,30)</f>
        <v>37498</v>
      </c>
      <c r="C6521" s="2" t="s">
        <v>95</v>
      </c>
      <c r="D6521" s="2" t="s">
        <v>19890</v>
      </c>
      <c r="E6521" s="2" t="s">
        <v>19891</v>
      </c>
      <c r="F6521" s="4">
        <v>6035</v>
      </c>
      <c r="G6521" s="2" t="s">
        <v>33</v>
      </c>
      <c r="H6521" s="2" t="s">
        <v>34</v>
      </c>
      <c r="I6521" s="2" t="s">
        <v>19892</v>
      </c>
      <c r="J6521" s="2" t="s">
        <v>1181</v>
      </c>
      <c r="K6521" s="2" t="s">
        <v>37</v>
      </c>
      <c r="L6521" s="2" t="s">
        <v>34</v>
      </c>
      <c r="M6521" s="2"/>
      <c r="N6521" s="2"/>
      <c r="O6521" s="2"/>
      <c r="P6521" s="2" t="s">
        <v>19893</v>
      </c>
      <c r="Q6521" s="6">
        <v>100</v>
      </c>
      <c r="R6521" s="6">
        <v>25.01</v>
      </c>
      <c r="S6521" s="2"/>
      <c r="T6521" s="2"/>
      <c r="U6521" s="2"/>
      <c r="V6521" s="2"/>
      <c r="W6521" s="6">
        <v>12.41</v>
      </c>
      <c r="X6521" s="6">
        <v>12.41</v>
      </c>
      <c r="Y6521" s="6">
        <v>12.41</v>
      </c>
      <c r="Z6521" s="5">
        <v>23.5</v>
      </c>
      <c r="AA6521" s="6">
        <v>0.28999999999999998</v>
      </c>
      <c r="AB6521" s="2" t="s">
        <v>47</v>
      </c>
      <c r="AC6521" s="2"/>
    </row>
    <row r="6522" spans="1:29" ht="104" x14ac:dyDescent="0.15">
      <c r="A6522" s="3">
        <f>DATE(2002,4,5)</f>
        <v>37351</v>
      </c>
      <c r="B6522" s="3">
        <f>DATE(2002,9,27)</f>
        <v>37526</v>
      </c>
      <c r="C6522" s="2" t="s">
        <v>95</v>
      </c>
      <c r="D6522" s="2" t="s">
        <v>19894</v>
      </c>
      <c r="E6522" s="2" t="s">
        <v>19895</v>
      </c>
      <c r="F6522" s="4">
        <v>7379</v>
      </c>
      <c r="G6522" s="2" t="s">
        <v>223</v>
      </c>
      <c r="H6522" s="2" t="s">
        <v>34</v>
      </c>
      <c r="I6522" s="2" t="s">
        <v>18902</v>
      </c>
      <c r="J6522" s="2" t="s">
        <v>18903</v>
      </c>
      <c r="K6522" s="2" t="s">
        <v>551</v>
      </c>
      <c r="L6522" s="2" t="s">
        <v>34</v>
      </c>
      <c r="M6522" s="6">
        <v>315.43</v>
      </c>
      <c r="N6522" s="6">
        <v>0.44</v>
      </c>
      <c r="O6522" s="6">
        <v>0.41</v>
      </c>
      <c r="P6522" s="2" t="s">
        <v>19896</v>
      </c>
      <c r="Q6522" s="6">
        <v>100</v>
      </c>
      <c r="R6522" s="2"/>
      <c r="S6522" s="5">
        <v>-48.5</v>
      </c>
      <c r="T6522" s="7">
        <v>-33.139000000000003</v>
      </c>
      <c r="U6522" s="5">
        <v>2.4</v>
      </c>
      <c r="V6522" s="6">
        <v>-0.97</v>
      </c>
      <c r="W6522" s="6">
        <v>1.34</v>
      </c>
      <c r="X6522" s="5">
        <v>1.3</v>
      </c>
      <c r="Y6522" s="6">
        <v>1.67</v>
      </c>
      <c r="Z6522" s="6">
        <v>1.66</v>
      </c>
      <c r="AA6522" s="6">
        <v>49</v>
      </c>
      <c r="AB6522" s="2" t="s">
        <v>86</v>
      </c>
      <c r="AC6522" s="5">
        <v>40</v>
      </c>
    </row>
    <row r="6523" spans="1:29" ht="221" x14ac:dyDescent="0.15">
      <c r="A6523" s="3">
        <f>DATE(2002,4,10)</f>
        <v>37356</v>
      </c>
      <c r="B6523" s="3">
        <f>DATE(2002,9,16)</f>
        <v>37515</v>
      </c>
      <c r="C6523" s="2" t="s">
        <v>95</v>
      </c>
      <c r="D6523" s="2" t="s">
        <v>19897</v>
      </c>
      <c r="E6523" s="2" t="s">
        <v>389</v>
      </c>
      <c r="F6523" s="4">
        <v>6035</v>
      </c>
      <c r="G6523" s="2" t="s">
        <v>33</v>
      </c>
      <c r="H6523" s="2" t="s">
        <v>34</v>
      </c>
      <c r="I6523" s="2" t="s">
        <v>19898</v>
      </c>
      <c r="J6523" s="2" t="s">
        <v>263</v>
      </c>
      <c r="K6523" s="2" t="s">
        <v>37</v>
      </c>
      <c r="L6523" s="2" t="s">
        <v>34</v>
      </c>
      <c r="M6523" s="7">
        <v>52.383000000000003</v>
      </c>
      <c r="N6523" s="5">
        <v>17.8</v>
      </c>
      <c r="O6523" s="5">
        <v>17.600000000000001</v>
      </c>
      <c r="P6523" s="2" t="s">
        <v>19899</v>
      </c>
      <c r="Q6523" s="6">
        <v>100</v>
      </c>
      <c r="R6523" s="6">
        <v>30</v>
      </c>
      <c r="S6523" s="5">
        <v>1</v>
      </c>
      <c r="T6523" s="2"/>
      <c r="U6523" s="5">
        <v>19.100000000000001</v>
      </c>
      <c r="V6523" s="6">
        <v>1.86</v>
      </c>
      <c r="W6523" s="6">
        <v>21.75</v>
      </c>
      <c r="X6523" s="6">
        <v>21.75</v>
      </c>
      <c r="Y6523" s="5">
        <v>27.1</v>
      </c>
      <c r="Z6523" s="6">
        <v>28.65</v>
      </c>
      <c r="AA6523" s="6">
        <v>0.52</v>
      </c>
      <c r="AB6523" s="7">
        <v>12.965999999999999</v>
      </c>
      <c r="AC6523" s="5">
        <v>43.4</v>
      </c>
    </row>
    <row r="6524" spans="1:29" ht="78" x14ac:dyDescent="0.15">
      <c r="A6524" s="3">
        <f>DATE(2002,4,11)</f>
        <v>37357</v>
      </c>
      <c r="B6524" s="3">
        <f>DATE(2002,8,31)</f>
        <v>37499</v>
      </c>
      <c r="C6524" s="2" t="s">
        <v>95</v>
      </c>
      <c r="D6524" s="2" t="s">
        <v>19900</v>
      </c>
      <c r="E6524" s="2" t="s">
        <v>19901</v>
      </c>
      <c r="F6524" s="4">
        <v>6021</v>
      </c>
      <c r="G6524" s="2" t="s">
        <v>37</v>
      </c>
      <c r="H6524" s="2" t="s">
        <v>34</v>
      </c>
      <c r="I6524" s="2" t="s">
        <v>18969</v>
      </c>
      <c r="J6524" s="2" t="s">
        <v>18970</v>
      </c>
      <c r="K6524" s="2" t="s">
        <v>37</v>
      </c>
      <c r="L6524" s="2" t="s">
        <v>34</v>
      </c>
      <c r="M6524" s="12">
        <v>3818.3310000000001</v>
      </c>
      <c r="N6524" s="6">
        <v>26.69</v>
      </c>
      <c r="O6524" s="6">
        <v>26.91</v>
      </c>
      <c r="P6524" s="2" t="s">
        <v>19902</v>
      </c>
      <c r="Q6524" s="6">
        <v>100</v>
      </c>
      <c r="R6524" s="6">
        <v>28</v>
      </c>
      <c r="S6524" s="5">
        <v>9.1999999999999993</v>
      </c>
      <c r="T6524" s="2"/>
      <c r="U6524" s="5">
        <v>11.3</v>
      </c>
      <c r="V6524" s="6">
        <v>1.69</v>
      </c>
      <c r="W6524" s="5">
        <v>22.3</v>
      </c>
      <c r="X6524" s="6">
        <v>22.85</v>
      </c>
      <c r="Y6524" s="5">
        <v>27.9</v>
      </c>
      <c r="Z6524" s="6">
        <v>27.92</v>
      </c>
      <c r="AA6524" s="6">
        <v>5.17</v>
      </c>
      <c r="AB6524" s="7">
        <v>23.376999999999999</v>
      </c>
      <c r="AC6524" s="5">
        <v>499.3</v>
      </c>
    </row>
    <row r="6525" spans="1:29" ht="143" x14ac:dyDescent="0.15">
      <c r="A6525" s="3">
        <f>DATE(2002,4,11)</f>
        <v>37357</v>
      </c>
      <c r="B6525" s="3">
        <f>DATE(2002,7,31)</f>
        <v>37468</v>
      </c>
      <c r="C6525" s="2" t="s">
        <v>95</v>
      </c>
      <c r="D6525" s="2" t="s">
        <v>15264</v>
      </c>
      <c r="E6525" s="2" t="s">
        <v>15265</v>
      </c>
      <c r="F6525" s="4">
        <v>5122</v>
      </c>
      <c r="G6525" s="2" t="s">
        <v>593</v>
      </c>
      <c r="H6525" s="2" t="s">
        <v>34</v>
      </c>
      <c r="I6525" s="2" t="s">
        <v>51</v>
      </c>
      <c r="J6525" s="2" t="s">
        <v>52</v>
      </c>
      <c r="K6525" s="2" t="s">
        <v>53</v>
      </c>
      <c r="L6525" s="2" t="s">
        <v>34</v>
      </c>
      <c r="M6525" s="2"/>
      <c r="N6525" s="2"/>
      <c r="O6525" s="2"/>
      <c r="P6525" s="2" t="s">
        <v>19903</v>
      </c>
      <c r="Q6525" s="6">
        <v>100</v>
      </c>
      <c r="R6525" s="6">
        <v>19.5</v>
      </c>
      <c r="S6525" s="5">
        <v>53.9</v>
      </c>
      <c r="T6525" s="5">
        <v>106.4</v>
      </c>
      <c r="U6525" s="5">
        <v>8.6999999999999993</v>
      </c>
      <c r="V6525" s="6">
        <v>1.67</v>
      </c>
      <c r="W6525" s="6">
        <v>14.93</v>
      </c>
      <c r="X6525" s="6">
        <v>15.38</v>
      </c>
      <c r="Y6525" s="6">
        <v>19.12</v>
      </c>
      <c r="Z6525" s="6">
        <v>19.23</v>
      </c>
      <c r="AA6525" s="6">
        <v>32.07</v>
      </c>
      <c r="AB6525" s="7">
        <v>6.0529999999999999</v>
      </c>
      <c r="AC6525" s="2"/>
    </row>
    <row r="6526" spans="1:29" ht="130" x14ac:dyDescent="0.15">
      <c r="A6526" s="3">
        <f>DATE(2002,4,13)</f>
        <v>37359</v>
      </c>
      <c r="B6526" s="3">
        <f>DATE(2003,1,9)</f>
        <v>37630</v>
      </c>
      <c r="C6526" s="2" t="s">
        <v>95</v>
      </c>
      <c r="D6526" s="2" t="s">
        <v>10110</v>
      </c>
      <c r="E6526" s="2" t="s">
        <v>10111</v>
      </c>
      <c r="F6526" s="4">
        <v>3585</v>
      </c>
      <c r="G6526" s="2" t="s">
        <v>300</v>
      </c>
      <c r="H6526" s="2" t="s">
        <v>34</v>
      </c>
      <c r="I6526" s="2" t="s">
        <v>51</v>
      </c>
      <c r="J6526" s="2" t="s">
        <v>52</v>
      </c>
      <c r="K6526" s="2" t="s">
        <v>53</v>
      </c>
      <c r="L6526" s="2" t="s">
        <v>34</v>
      </c>
      <c r="M6526" s="2"/>
      <c r="N6526" s="2"/>
      <c r="O6526" s="2"/>
      <c r="P6526" s="2" t="s">
        <v>19904</v>
      </c>
      <c r="Q6526" s="6">
        <v>100</v>
      </c>
      <c r="R6526" s="6">
        <v>46</v>
      </c>
      <c r="S6526" s="5">
        <v>43.6</v>
      </c>
      <c r="T6526" s="5">
        <v>227.8</v>
      </c>
      <c r="U6526" s="5">
        <v>24.9</v>
      </c>
      <c r="V6526" s="6">
        <v>3.89</v>
      </c>
      <c r="W6526" s="5">
        <v>35.700000000000003</v>
      </c>
      <c r="X6526" s="6">
        <v>37.409999999999997</v>
      </c>
      <c r="Y6526" s="6">
        <v>40.75</v>
      </c>
      <c r="Z6526" s="5">
        <v>41.6</v>
      </c>
      <c r="AA6526" s="6">
        <v>10.45</v>
      </c>
      <c r="AB6526" s="7">
        <v>8.9890000000000008</v>
      </c>
      <c r="AC6526" s="2"/>
    </row>
    <row r="6527" spans="1:29" ht="156" x14ac:dyDescent="0.15">
      <c r="A6527" s="3">
        <f>DATE(2002,4,15)</f>
        <v>37361</v>
      </c>
      <c r="B6527" s="3">
        <f>DATE(2002,6,19)</f>
        <v>37426</v>
      </c>
      <c r="C6527" s="2" t="s">
        <v>95</v>
      </c>
      <c r="D6527" s="2" t="s">
        <v>19905</v>
      </c>
      <c r="E6527" s="2" t="s">
        <v>19906</v>
      </c>
      <c r="F6527" s="4">
        <v>3825</v>
      </c>
      <c r="G6527" s="2" t="s">
        <v>226</v>
      </c>
      <c r="H6527" s="2" t="s">
        <v>34</v>
      </c>
      <c r="I6527" s="2" t="s">
        <v>19907</v>
      </c>
      <c r="J6527" s="2" t="s">
        <v>19908</v>
      </c>
      <c r="K6527" s="2" t="s">
        <v>137</v>
      </c>
      <c r="L6527" s="2" t="s">
        <v>34</v>
      </c>
      <c r="M6527" s="7">
        <v>713.64599999999996</v>
      </c>
      <c r="N6527" s="6">
        <v>12.95</v>
      </c>
      <c r="O6527" s="6">
        <v>14.79</v>
      </c>
      <c r="P6527" s="2" t="s">
        <v>19909</v>
      </c>
      <c r="Q6527" s="6">
        <v>100</v>
      </c>
      <c r="R6527" s="6">
        <v>1.35</v>
      </c>
      <c r="S6527" s="5">
        <v>-7.3</v>
      </c>
      <c r="T6527" s="6">
        <v>8.5399999999999991</v>
      </c>
      <c r="U6527" s="5">
        <v>2.9</v>
      </c>
      <c r="V6527" s="6">
        <v>-0.87</v>
      </c>
      <c r="W6527" s="5">
        <v>1.1000000000000001</v>
      </c>
      <c r="X6527" s="6">
        <v>1.31</v>
      </c>
      <c r="Y6527" s="6">
        <v>1.32</v>
      </c>
      <c r="Z6527" s="6">
        <v>1.33</v>
      </c>
      <c r="AA6527" s="6">
        <v>8.2799999999999994</v>
      </c>
      <c r="AB6527" s="7">
        <v>30.445</v>
      </c>
      <c r="AC6527" s="5">
        <v>74.8</v>
      </c>
    </row>
    <row r="6528" spans="1:29" ht="78" x14ac:dyDescent="0.15">
      <c r="A6528" s="3">
        <f>DATE(2002,4,16)</f>
        <v>37362</v>
      </c>
      <c r="B6528" s="2"/>
      <c r="C6528" s="2" t="s">
        <v>30</v>
      </c>
      <c r="D6528" s="2" t="s">
        <v>19910</v>
      </c>
      <c r="E6528" s="2" t="s">
        <v>19911</v>
      </c>
      <c r="F6528" s="4">
        <v>2844</v>
      </c>
      <c r="G6528" s="2" t="s">
        <v>358</v>
      </c>
      <c r="H6528" s="2" t="s">
        <v>34</v>
      </c>
      <c r="I6528" s="2" t="s">
        <v>51</v>
      </c>
      <c r="J6528" s="2" t="s">
        <v>52</v>
      </c>
      <c r="K6528" s="2" t="s">
        <v>53</v>
      </c>
      <c r="L6528" s="2" t="s">
        <v>34</v>
      </c>
      <c r="M6528" s="2"/>
      <c r="N6528" s="2"/>
      <c r="O6528" s="2"/>
      <c r="P6528" s="2" t="s">
        <v>19912</v>
      </c>
      <c r="Q6528" s="2"/>
      <c r="R6528" s="6">
        <v>4</v>
      </c>
      <c r="S6528" s="5">
        <v>0.4</v>
      </c>
      <c r="T6528" s="5">
        <v>2.1</v>
      </c>
      <c r="U6528" s="5">
        <v>9.9</v>
      </c>
      <c r="V6528" s="6">
        <v>0.1</v>
      </c>
      <c r="W6528" s="6">
        <v>3.13</v>
      </c>
      <c r="X6528" s="4">
        <v>3</v>
      </c>
      <c r="Y6528" s="6">
        <v>3.71</v>
      </c>
      <c r="Z6528" s="5">
        <v>3.7</v>
      </c>
      <c r="AA6528" s="6">
        <v>4.41</v>
      </c>
      <c r="AB6528" s="7">
        <v>58.146999999999998</v>
      </c>
      <c r="AC6528" s="2"/>
    </row>
    <row r="6529" spans="1:29" ht="234" x14ac:dyDescent="0.15">
      <c r="A6529" s="3">
        <f>DATE(2002,4,18)</f>
        <v>37364</v>
      </c>
      <c r="B6529" s="3">
        <f>DATE(2003,2,21)</f>
        <v>37673</v>
      </c>
      <c r="C6529" s="2" t="s">
        <v>95</v>
      </c>
      <c r="D6529" s="2" t="s">
        <v>19913</v>
      </c>
      <c r="E6529" s="2" t="s">
        <v>6365</v>
      </c>
      <c r="F6529" s="4">
        <v>5961</v>
      </c>
      <c r="G6529" s="2" t="s">
        <v>73</v>
      </c>
      <c r="H6529" s="2" t="s">
        <v>34</v>
      </c>
      <c r="I6529" s="2" t="s">
        <v>51</v>
      </c>
      <c r="J6529" s="2" t="s">
        <v>52</v>
      </c>
      <c r="K6529" s="2" t="s">
        <v>53</v>
      </c>
      <c r="L6529" s="2" t="s">
        <v>34</v>
      </c>
      <c r="M6529" s="2"/>
      <c r="N6529" s="2"/>
      <c r="O6529" s="2"/>
      <c r="P6529" s="2" t="s">
        <v>19914</v>
      </c>
      <c r="Q6529" s="6">
        <v>34.79</v>
      </c>
      <c r="R6529" s="6">
        <v>1.5</v>
      </c>
      <c r="S6529" s="5">
        <v>-4.0999999999999996</v>
      </c>
      <c r="T6529" s="7">
        <v>-3.2210000000000001</v>
      </c>
      <c r="U6529" s="5">
        <v>1.7</v>
      </c>
      <c r="V6529" s="6">
        <v>-0.3</v>
      </c>
      <c r="W6529" s="6">
        <v>1.04</v>
      </c>
      <c r="X6529" s="5">
        <v>1.1000000000000001</v>
      </c>
      <c r="Y6529" s="6">
        <v>1.05</v>
      </c>
      <c r="Z6529" s="6">
        <v>1.08</v>
      </c>
      <c r="AA6529" s="6">
        <v>13.98</v>
      </c>
      <c r="AB6529" s="2" t="s">
        <v>86</v>
      </c>
      <c r="AC6529" s="2"/>
    </row>
    <row r="6530" spans="1:29" ht="52" x14ac:dyDescent="0.15">
      <c r="A6530" s="3">
        <f>DATE(2002,4,19)</f>
        <v>37365</v>
      </c>
      <c r="B6530" s="2"/>
      <c r="C6530" s="2" t="s">
        <v>189</v>
      </c>
      <c r="D6530" s="2" t="s">
        <v>19915</v>
      </c>
      <c r="E6530" s="2" t="s">
        <v>19916</v>
      </c>
      <c r="F6530" s="4">
        <v>4899</v>
      </c>
      <c r="G6530" s="2" t="s">
        <v>63</v>
      </c>
      <c r="H6530" s="2" t="s">
        <v>34</v>
      </c>
      <c r="I6530" s="2" t="s">
        <v>143</v>
      </c>
      <c r="J6530" s="2" t="s">
        <v>144</v>
      </c>
      <c r="K6530" s="2" t="s">
        <v>53</v>
      </c>
      <c r="L6530" s="2" t="s">
        <v>139</v>
      </c>
      <c r="M6530" s="2"/>
      <c r="N6530" s="2"/>
      <c r="O6530" s="2"/>
      <c r="P6530" s="2" t="s">
        <v>19917</v>
      </c>
      <c r="Q6530" s="2"/>
      <c r="R6530" s="2"/>
      <c r="S6530" s="5">
        <v>-28.1</v>
      </c>
      <c r="T6530" s="7">
        <v>-19.155999999999999</v>
      </c>
      <c r="U6530" s="5">
        <v>3</v>
      </c>
      <c r="V6530" s="6">
        <v>-0.67</v>
      </c>
      <c r="W6530" s="6">
        <v>1.78</v>
      </c>
      <c r="X6530" s="6">
        <v>1.74</v>
      </c>
      <c r="Y6530" s="6">
        <v>1.93</v>
      </c>
      <c r="Z6530" s="5">
        <v>1.8</v>
      </c>
      <c r="AA6530" s="6">
        <v>42.78</v>
      </c>
      <c r="AB6530" s="2" t="s">
        <v>86</v>
      </c>
      <c r="AC6530" s="2"/>
    </row>
    <row r="6531" spans="1:29" ht="117" x14ac:dyDescent="0.15">
      <c r="A6531" s="3">
        <f>DATE(2002,4,22)</f>
        <v>37368</v>
      </c>
      <c r="B6531" s="3">
        <f>DATE(2002,6,10)</f>
        <v>37417</v>
      </c>
      <c r="C6531" s="2" t="s">
        <v>95</v>
      </c>
      <c r="D6531" s="2" t="s">
        <v>19918</v>
      </c>
      <c r="E6531" s="2" t="s">
        <v>19919</v>
      </c>
      <c r="F6531" s="4">
        <v>3674</v>
      </c>
      <c r="G6531" s="2" t="s">
        <v>137</v>
      </c>
      <c r="H6531" s="2" t="s">
        <v>34</v>
      </c>
      <c r="I6531" s="2" t="s">
        <v>19920</v>
      </c>
      <c r="J6531" s="2" t="s">
        <v>207</v>
      </c>
      <c r="K6531" s="2" t="s">
        <v>137</v>
      </c>
      <c r="L6531" s="2" t="s">
        <v>34</v>
      </c>
      <c r="M6531" s="7">
        <v>302.37799999999999</v>
      </c>
      <c r="N6531" s="6">
        <v>11.36</v>
      </c>
      <c r="O6531" s="6">
        <v>10.33</v>
      </c>
      <c r="P6531" s="2" t="s">
        <v>19921</v>
      </c>
      <c r="Q6531" s="6">
        <v>100</v>
      </c>
      <c r="R6531" s="6">
        <v>5.58</v>
      </c>
      <c r="S6531" s="5">
        <v>-22.1</v>
      </c>
      <c r="T6531" s="2"/>
      <c r="U6531" s="2"/>
      <c r="V6531" s="6">
        <v>-2.25</v>
      </c>
      <c r="W6531" s="6">
        <v>4.8499999999999996</v>
      </c>
      <c r="X6531" s="6">
        <v>6.08</v>
      </c>
      <c r="Y6531" s="6">
        <v>6.05</v>
      </c>
      <c r="Z6531" s="6">
        <v>4.88</v>
      </c>
      <c r="AA6531" s="6">
        <v>9.83</v>
      </c>
      <c r="AB6531" s="2" t="s">
        <v>47</v>
      </c>
      <c r="AC6531" s="5">
        <v>42.3</v>
      </c>
    </row>
    <row r="6532" spans="1:29" ht="117" x14ac:dyDescent="0.15">
      <c r="A6532" s="3">
        <f>DATE(2002,4,23)</f>
        <v>37369</v>
      </c>
      <c r="B6532" s="3">
        <f>DATE(2002,6,5)</f>
        <v>37412</v>
      </c>
      <c r="C6532" s="2" t="s">
        <v>95</v>
      </c>
      <c r="D6532" s="2" t="s">
        <v>19922</v>
      </c>
      <c r="E6532" s="2" t="s">
        <v>12911</v>
      </c>
      <c r="F6532" s="4">
        <v>7372</v>
      </c>
      <c r="G6532" s="2" t="s">
        <v>551</v>
      </c>
      <c r="H6532" s="2" t="s">
        <v>34</v>
      </c>
      <c r="I6532" s="2" t="s">
        <v>6919</v>
      </c>
      <c r="J6532" s="2" t="s">
        <v>6920</v>
      </c>
      <c r="K6532" s="2" t="s">
        <v>223</v>
      </c>
      <c r="L6532" s="2" t="s">
        <v>34</v>
      </c>
      <c r="M6532" s="10">
        <v>1378.38</v>
      </c>
      <c r="N6532" s="5">
        <v>18.600000000000001</v>
      </c>
      <c r="O6532" s="4">
        <v>18</v>
      </c>
      <c r="P6532" s="2" t="s">
        <v>19923</v>
      </c>
      <c r="Q6532" s="6">
        <v>100</v>
      </c>
      <c r="R6532" s="6">
        <v>3.95</v>
      </c>
      <c r="S6532" s="5">
        <v>-43.6</v>
      </c>
      <c r="T6532" s="7">
        <v>2.556</v>
      </c>
      <c r="U6532" s="5">
        <v>0.3</v>
      </c>
      <c r="V6532" s="6">
        <v>-1.1200000000000001</v>
      </c>
      <c r="W6532" s="6">
        <v>2.36</v>
      </c>
      <c r="X6532" s="6">
        <v>2.4500000000000002</v>
      </c>
      <c r="Y6532" s="6">
        <v>2.38</v>
      </c>
      <c r="Z6532" s="5">
        <v>3.9</v>
      </c>
      <c r="AA6532" s="6">
        <v>48.99</v>
      </c>
      <c r="AB6532" s="2" t="s">
        <v>86</v>
      </c>
      <c r="AC6532" s="5">
        <v>69.5</v>
      </c>
    </row>
    <row r="6533" spans="1:29" ht="182" x14ac:dyDescent="0.15">
      <c r="A6533" s="3">
        <f>DATE(2002,4,24)</f>
        <v>37370</v>
      </c>
      <c r="B6533" s="2"/>
      <c r="C6533" s="2" t="s">
        <v>30</v>
      </c>
      <c r="D6533" s="2" t="s">
        <v>19913</v>
      </c>
      <c r="E6533" s="2" t="s">
        <v>6365</v>
      </c>
      <c r="F6533" s="4">
        <v>5961</v>
      </c>
      <c r="G6533" s="2" t="s">
        <v>73</v>
      </c>
      <c r="H6533" s="2" t="s">
        <v>34</v>
      </c>
      <c r="I6533" s="2" t="s">
        <v>19924</v>
      </c>
      <c r="J6533" s="2" t="s">
        <v>6365</v>
      </c>
      <c r="K6533" s="2" t="s">
        <v>73</v>
      </c>
      <c r="L6533" s="2" t="s">
        <v>34</v>
      </c>
      <c r="M6533" s="2"/>
      <c r="N6533" s="2"/>
      <c r="O6533" s="2"/>
      <c r="P6533" s="2" t="s">
        <v>19925</v>
      </c>
      <c r="Q6533" s="2"/>
      <c r="R6533" s="6">
        <v>1.22</v>
      </c>
      <c r="S6533" s="5">
        <v>-4.9000000000000004</v>
      </c>
      <c r="T6533" s="7">
        <v>-4.0940000000000003</v>
      </c>
      <c r="U6533" s="5">
        <v>1.8</v>
      </c>
      <c r="V6533" s="6">
        <v>-0.35</v>
      </c>
      <c r="W6533" s="6">
        <v>1.04</v>
      </c>
      <c r="X6533" s="5">
        <v>1.1000000000000001</v>
      </c>
      <c r="Y6533" s="6">
        <v>1.05</v>
      </c>
      <c r="Z6533" s="6">
        <v>1.1299999999999999</v>
      </c>
      <c r="AA6533" s="6">
        <v>13.98</v>
      </c>
      <c r="AB6533" s="2" t="s">
        <v>86</v>
      </c>
      <c r="AC6533" s="2"/>
    </row>
    <row r="6534" spans="1:29" ht="156" x14ac:dyDescent="0.15">
      <c r="A6534" s="3">
        <f>DATE(2002,4,24)</f>
        <v>37370</v>
      </c>
      <c r="B6534" s="3">
        <f>DATE(2002,6,28)</f>
        <v>37435</v>
      </c>
      <c r="C6534" s="2" t="s">
        <v>95</v>
      </c>
      <c r="D6534" s="2" t="s">
        <v>19926</v>
      </c>
      <c r="E6534" s="2" t="s">
        <v>8624</v>
      </c>
      <c r="F6534" s="4">
        <v>7371</v>
      </c>
      <c r="G6534" s="2" t="s">
        <v>223</v>
      </c>
      <c r="H6534" s="2" t="s">
        <v>34</v>
      </c>
      <c r="I6534" s="2" t="s">
        <v>569</v>
      </c>
      <c r="J6534" s="2" t="s">
        <v>2347</v>
      </c>
      <c r="K6534" s="2" t="s">
        <v>551</v>
      </c>
      <c r="L6534" s="2" t="s">
        <v>34</v>
      </c>
      <c r="M6534" s="10">
        <v>5574.27</v>
      </c>
      <c r="N6534" s="6">
        <v>21.07</v>
      </c>
      <c r="O6534" s="6">
        <v>21.47</v>
      </c>
      <c r="P6534" s="2" t="s">
        <v>19927</v>
      </c>
      <c r="Q6534" s="6">
        <v>100</v>
      </c>
      <c r="R6534" s="6">
        <v>14.35</v>
      </c>
      <c r="S6534" s="5">
        <v>-9.1</v>
      </c>
      <c r="T6534" s="7">
        <v>-1.631</v>
      </c>
      <c r="U6534" s="5">
        <v>5.5</v>
      </c>
      <c r="V6534" s="2"/>
      <c r="W6534" s="6">
        <v>10.88</v>
      </c>
      <c r="X6534" s="7">
        <v>11.625999999999999</v>
      </c>
      <c r="Y6534" s="5">
        <v>12.3</v>
      </c>
      <c r="Z6534" s="6">
        <v>17.39</v>
      </c>
      <c r="AA6534" s="6">
        <v>15.27</v>
      </c>
      <c r="AB6534" s="2" t="s">
        <v>86</v>
      </c>
      <c r="AC6534" s="5">
        <v>179.2</v>
      </c>
    </row>
    <row r="6535" spans="1:29" ht="78" x14ac:dyDescent="0.15">
      <c r="A6535" s="3">
        <f>DATE(2002,4,25)</f>
        <v>37371</v>
      </c>
      <c r="B6535" s="3">
        <f>DATE(2002,7,12)</f>
        <v>37449</v>
      </c>
      <c r="C6535" s="2" t="s">
        <v>95</v>
      </c>
      <c r="D6535" s="2" t="s">
        <v>19928</v>
      </c>
      <c r="E6535" s="2" t="s">
        <v>19929</v>
      </c>
      <c r="F6535" s="4">
        <v>3823</v>
      </c>
      <c r="G6535" s="2" t="s">
        <v>226</v>
      </c>
      <c r="H6535" s="2" t="s">
        <v>34</v>
      </c>
      <c r="I6535" s="2" t="s">
        <v>19930</v>
      </c>
      <c r="J6535" s="2" t="s">
        <v>19931</v>
      </c>
      <c r="K6535" s="2" t="s">
        <v>137</v>
      </c>
      <c r="L6535" s="2" t="s">
        <v>34</v>
      </c>
      <c r="M6535" s="7">
        <v>270.93799999999999</v>
      </c>
      <c r="N6535" s="7">
        <v>52.389000000000003</v>
      </c>
      <c r="O6535" s="6">
        <v>52.15</v>
      </c>
      <c r="P6535" s="2" t="s">
        <v>19932</v>
      </c>
      <c r="Q6535" s="6">
        <v>100</v>
      </c>
      <c r="R6535" s="6">
        <v>3.95</v>
      </c>
      <c r="S6535" s="5">
        <v>-0.2</v>
      </c>
      <c r="T6535" s="7">
        <v>0.34799999999999998</v>
      </c>
      <c r="U6535" s="5">
        <v>1.6</v>
      </c>
      <c r="V6535" s="6">
        <v>-0.03</v>
      </c>
      <c r="W6535" s="6">
        <v>1.55</v>
      </c>
      <c r="X6535" s="6">
        <v>1.65</v>
      </c>
      <c r="Y6535" s="5">
        <v>3.7</v>
      </c>
      <c r="Z6535" s="6">
        <v>3.84</v>
      </c>
      <c r="AA6535" s="6">
        <v>4.74</v>
      </c>
      <c r="AB6535" s="7">
        <v>147.47</v>
      </c>
      <c r="AC6535" s="6">
        <v>5.07</v>
      </c>
    </row>
    <row r="6536" spans="1:29" ht="65" x14ac:dyDescent="0.15">
      <c r="A6536" s="3">
        <f>DATE(2002,4,25)</f>
        <v>37371</v>
      </c>
      <c r="B6536" s="3">
        <f>DATE(2002,7,17)</f>
        <v>37454</v>
      </c>
      <c r="C6536" s="2" t="s">
        <v>95</v>
      </c>
      <c r="D6536" s="2" t="s">
        <v>19933</v>
      </c>
      <c r="E6536" s="2" t="s">
        <v>612</v>
      </c>
      <c r="F6536" s="4">
        <v>1311</v>
      </c>
      <c r="G6536" s="2" t="s">
        <v>148</v>
      </c>
      <c r="H6536" s="2" t="s">
        <v>34</v>
      </c>
      <c r="I6536" s="2" t="s">
        <v>19934</v>
      </c>
      <c r="J6536" s="2" t="s">
        <v>19935</v>
      </c>
      <c r="K6536" s="2" t="s">
        <v>148</v>
      </c>
      <c r="L6536" s="2" t="s">
        <v>34</v>
      </c>
      <c r="M6536" s="2"/>
      <c r="N6536" s="2"/>
      <c r="O6536" s="2"/>
      <c r="P6536" s="2" t="s">
        <v>19936</v>
      </c>
      <c r="Q6536" s="6">
        <v>100</v>
      </c>
      <c r="R6536" s="6">
        <v>17</v>
      </c>
      <c r="S6536" s="5">
        <v>3</v>
      </c>
      <c r="T6536" s="5">
        <v>23.5</v>
      </c>
      <c r="U6536" s="5">
        <v>14.9</v>
      </c>
      <c r="V6536" s="6">
        <v>0.6</v>
      </c>
      <c r="W6536" s="5">
        <v>18.399999999999999</v>
      </c>
      <c r="X6536" s="6">
        <v>18.95</v>
      </c>
      <c r="Y6536" s="5">
        <v>18.2</v>
      </c>
      <c r="Z6536" s="7">
        <v>16.899000000000001</v>
      </c>
      <c r="AA6536" s="6">
        <v>4.88</v>
      </c>
      <c r="AB6536" s="7">
        <v>9.7910000000000004</v>
      </c>
      <c r="AC6536" s="2"/>
    </row>
    <row r="6537" spans="1:29" ht="65" x14ac:dyDescent="0.15">
      <c r="A6537" s="3">
        <f>DATE(2002,4,25)</f>
        <v>37371</v>
      </c>
      <c r="B6537" s="3">
        <f>DATE(2002,8,14)</f>
        <v>37482</v>
      </c>
      <c r="C6537" s="2" t="s">
        <v>95</v>
      </c>
      <c r="D6537" s="2" t="s">
        <v>19937</v>
      </c>
      <c r="E6537" s="2" t="s">
        <v>389</v>
      </c>
      <c r="F6537" s="4">
        <v>6035</v>
      </c>
      <c r="G6537" s="2" t="s">
        <v>33</v>
      </c>
      <c r="H6537" s="2" t="s">
        <v>34</v>
      </c>
      <c r="I6537" s="2" t="s">
        <v>19938</v>
      </c>
      <c r="J6537" s="2" t="s">
        <v>263</v>
      </c>
      <c r="K6537" s="2" t="s">
        <v>37</v>
      </c>
      <c r="L6537" s="2" t="s">
        <v>34</v>
      </c>
      <c r="M6537" s="7">
        <v>106.901</v>
      </c>
      <c r="N6537" s="5">
        <v>26.3</v>
      </c>
      <c r="O6537" s="5">
        <v>27.5</v>
      </c>
      <c r="P6537" s="2" t="s">
        <v>19939</v>
      </c>
      <c r="Q6537" s="6">
        <v>100</v>
      </c>
      <c r="R6537" s="2"/>
      <c r="S6537" s="2"/>
      <c r="T6537" s="2"/>
      <c r="U6537" s="2"/>
      <c r="V6537" s="2"/>
      <c r="W6537" s="5">
        <v>5.5</v>
      </c>
      <c r="X6537" s="4">
        <v>6</v>
      </c>
      <c r="Y6537" s="6">
        <v>6.75</v>
      </c>
      <c r="Z6537" s="6">
        <v>6.76</v>
      </c>
      <c r="AA6537" s="2"/>
      <c r="AB6537" s="2" t="s">
        <v>47</v>
      </c>
      <c r="AC6537" s="5">
        <v>25.6</v>
      </c>
    </row>
    <row r="6538" spans="1:29" ht="169" x14ac:dyDescent="0.15">
      <c r="A6538" s="3">
        <f>DATE(2002,4,26)</f>
        <v>37372</v>
      </c>
      <c r="B6538" s="2"/>
      <c r="C6538" s="2" t="s">
        <v>30</v>
      </c>
      <c r="D6538" s="2" t="s">
        <v>19279</v>
      </c>
      <c r="E6538" s="2" t="s">
        <v>92</v>
      </c>
      <c r="F6538" s="4">
        <v>6798</v>
      </c>
      <c r="G6538" s="2" t="s">
        <v>53</v>
      </c>
      <c r="H6538" s="2" t="s">
        <v>34</v>
      </c>
      <c r="I6538" s="2" t="s">
        <v>19439</v>
      </c>
      <c r="J6538" s="2" t="s">
        <v>2044</v>
      </c>
      <c r="K6538" s="2" t="s">
        <v>53</v>
      </c>
      <c r="L6538" s="2" t="s">
        <v>34</v>
      </c>
      <c r="M6538" s="7">
        <v>80.194999999999993</v>
      </c>
      <c r="N6538" s="5">
        <v>8.6999999999999993</v>
      </c>
      <c r="O6538" s="6">
        <v>9.09</v>
      </c>
      <c r="P6538" s="2" t="s">
        <v>19940</v>
      </c>
      <c r="Q6538" s="2"/>
      <c r="R6538" s="6">
        <v>7.5</v>
      </c>
      <c r="S6538" s="5">
        <v>-25.4</v>
      </c>
      <c r="T6538" s="6">
        <v>-14.75</v>
      </c>
      <c r="U6538" s="5">
        <v>16.8</v>
      </c>
      <c r="V6538" s="6">
        <v>-1.1200000000000001</v>
      </c>
      <c r="W6538" s="6">
        <v>7.52</v>
      </c>
      <c r="X6538" s="6">
        <v>7.32</v>
      </c>
      <c r="Y6538" s="6">
        <v>7.05</v>
      </c>
      <c r="Z6538" s="5">
        <v>7.7</v>
      </c>
      <c r="AA6538" s="6">
        <v>15.7</v>
      </c>
      <c r="AB6538" s="2" t="s">
        <v>86</v>
      </c>
      <c r="AC6538" s="6">
        <v>1.07</v>
      </c>
    </row>
    <row r="6539" spans="1:29" ht="91" x14ac:dyDescent="0.15">
      <c r="A6539" s="3">
        <f t="shared" ref="A6539:A6544" si="153">DATE(2002,4,29)</f>
        <v>37375</v>
      </c>
      <c r="B6539" s="3">
        <f>DATE(2002,7,31)</f>
        <v>37468</v>
      </c>
      <c r="C6539" s="2" t="s">
        <v>95</v>
      </c>
      <c r="D6539" s="2" t="s">
        <v>19941</v>
      </c>
      <c r="E6539" s="2" t="s">
        <v>265</v>
      </c>
      <c r="F6539" s="4">
        <v>6021</v>
      </c>
      <c r="G6539" s="2" t="s">
        <v>37</v>
      </c>
      <c r="H6539" s="2" t="s">
        <v>34</v>
      </c>
      <c r="I6539" s="2" t="s">
        <v>14053</v>
      </c>
      <c r="J6539" s="2" t="s">
        <v>159</v>
      </c>
      <c r="K6539" s="2" t="s">
        <v>37</v>
      </c>
      <c r="L6539" s="2" t="s">
        <v>34</v>
      </c>
      <c r="M6539" s="12">
        <v>8882.5429999999997</v>
      </c>
      <c r="N6539" s="5">
        <v>26.5</v>
      </c>
      <c r="O6539" s="6">
        <v>27.04</v>
      </c>
      <c r="P6539" s="2" t="s">
        <v>19942</v>
      </c>
      <c r="Q6539" s="6">
        <v>100</v>
      </c>
      <c r="R6539" s="6">
        <v>26</v>
      </c>
      <c r="S6539" s="5">
        <v>3.4</v>
      </c>
      <c r="T6539" s="2"/>
      <c r="U6539" s="5">
        <v>12.5</v>
      </c>
      <c r="V6539" s="6">
        <v>1.08</v>
      </c>
      <c r="W6539" s="5">
        <v>18.5</v>
      </c>
      <c r="X6539" s="6">
        <v>18.54</v>
      </c>
      <c r="Y6539" s="6">
        <v>18.46</v>
      </c>
      <c r="Z6539" s="6">
        <v>24.96</v>
      </c>
      <c r="AA6539" s="6">
        <v>3.08</v>
      </c>
      <c r="AB6539" s="7">
        <v>31.521000000000001</v>
      </c>
      <c r="AC6539" s="2"/>
    </row>
    <row r="6540" spans="1:29" ht="221" x14ac:dyDescent="0.15">
      <c r="A6540" s="3">
        <f t="shared" si="153"/>
        <v>37375</v>
      </c>
      <c r="B6540" s="3">
        <f>DATE(2002,9,11)</f>
        <v>37510</v>
      </c>
      <c r="C6540" s="2" t="s">
        <v>95</v>
      </c>
      <c r="D6540" s="2" t="s">
        <v>19943</v>
      </c>
      <c r="E6540" s="2" t="s">
        <v>1181</v>
      </c>
      <c r="F6540" s="4">
        <v>6021</v>
      </c>
      <c r="G6540" s="2" t="s">
        <v>37</v>
      </c>
      <c r="H6540" s="2" t="s">
        <v>34</v>
      </c>
      <c r="I6540" s="2" t="s">
        <v>3057</v>
      </c>
      <c r="J6540" s="2" t="s">
        <v>17388</v>
      </c>
      <c r="K6540" s="2" t="s">
        <v>37</v>
      </c>
      <c r="L6540" s="2" t="s">
        <v>34</v>
      </c>
      <c r="M6540" s="7">
        <v>199.50700000000001</v>
      </c>
      <c r="N6540" s="7">
        <v>26.751000000000001</v>
      </c>
      <c r="O6540" s="6">
        <v>26.59</v>
      </c>
      <c r="P6540" s="2" t="s">
        <v>19944</v>
      </c>
      <c r="Q6540" s="6">
        <v>100</v>
      </c>
      <c r="R6540" s="6">
        <v>13.45</v>
      </c>
      <c r="S6540" s="2"/>
      <c r="T6540" s="2"/>
      <c r="U6540" s="2"/>
      <c r="V6540" s="2"/>
      <c r="W6540" s="5">
        <v>5.9</v>
      </c>
      <c r="X6540" s="5">
        <v>5.9</v>
      </c>
      <c r="Y6540" s="5">
        <v>5.9</v>
      </c>
      <c r="Z6540" s="5">
        <v>10.7</v>
      </c>
      <c r="AA6540" s="6">
        <v>8.83</v>
      </c>
      <c r="AB6540" s="2" t="s">
        <v>47</v>
      </c>
      <c r="AC6540" s="5">
        <v>160.30000000000001</v>
      </c>
    </row>
    <row r="6541" spans="1:29" ht="169" x14ac:dyDescent="0.15">
      <c r="A6541" s="3">
        <f t="shared" si="153"/>
        <v>37375</v>
      </c>
      <c r="B6541" s="3">
        <f>DATE(2002,8,5)</f>
        <v>37473</v>
      </c>
      <c r="C6541" s="2" t="s">
        <v>95</v>
      </c>
      <c r="D6541" s="2" t="s">
        <v>19945</v>
      </c>
      <c r="E6541" s="2" t="s">
        <v>19946</v>
      </c>
      <c r="F6541" s="4">
        <v>7372</v>
      </c>
      <c r="G6541" s="2" t="s">
        <v>551</v>
      </c>
      <c r="H6541" s="2" t="s">
        <v>34</v>
      </c>
      <c r="I6541" s="2" t="s">
        <v>19947</v>
      </c>
      <c r="J6541" s="2" t="s">
        <v>19948</v>
      </c>
      <c r="K6541" s="2" t="s">
        <v>223</v>
      </c>
      <c r="L6541" s="2" t="s">
        <v>34</v>
      </c>
      <c r="M6541" s="12">
        <v>1465.8209999999999</v>
      </c>
      <c r="N6541" s="5">
        <v>57.5</v>
      </c>
      <c r="O6541" s="6">
        <v>55.74</v>
      </c>
      <c r="P6541" s="2" t="s">
        <v>19949</v>
      </c>
      <c r="Q6541" s="6">
        <v>100</v>
      </c>
      <c r="R6541" s="6">
        <v>22.18</v>
      </c>
      <c r="S6541" s="5">
        <v>-24.6</v>
      </c>
      <c r="T6541" s="5">
        <v>28.2</v>
      </c>
      <c r="U6541" s="5">
        <v>10.8</v>
      </c>
      <c r="V6541" s="6">
        <v>-0.7</v>
      </c>
      <c r="W6541" s="6">
        <v>18.98</v>
      </c>
      <c r="X6541" s="6">
        <v>17.440000000000001</v>
      </c>
      <c r="Y6541" s="6">
        <v>19.52</v>
      </c>
      <c r="Z6541" s="6">
        <v>19.12</v>
      </c>
      <c r="AA6541" s="6">
        <v>35.47</v>
      </c>
      <c r="AB6541" s="2" t="s">
        <v>86</v>
      </c>
      <c r="AC6541" s="5">
        <v>106.1</v>
      </c>
    </row>
    <row r="6542" spans="1:29" ht="143" x14ac:dyDescent="0.15">
      <c r="A6542" s="3">
        <f t="shared" si="153"/>
        <v>37375</v>
      </c>
      <c r="B6542" s="3">
        <f>DATE(2002,5,29)</f>
        <v>37405</v>
      </c>
      <c r="C6542" s="2" t="s">
        <v>95</v>
      </c>
      <c r="D6542" s="2" t="s">
        <v>19950</v>
      </c>
      <c r="E6542" s="2" t="s">
        <v>1289</v>
      </c>
      <c r="F6542" s="4">
        <v>3089</v>
      </c>
      <c r="G6542" s="2" t="s">
        <v>447</v>
      </c>
      <c r="H6542" s="2" t="s">
        <v>34</v>
      </c>
      <c r="I6542" s="2" t="s">
        <v>19951</v>
      </c>
      <c r="J6542" s="2" t="s">
        <v>10150</v>
      </c>
      <c r="K6542" s="2" t="s">
        <v>53</v>
      </c>
      <c r="L6542" s="2" t="s">
        <v>34</v>
      </c>
      <c r="M6542" s="2"/>
      <c r="N6542" s="2"/>
      <c r="O6542" s="2"/>
      <c r="P6542" s="2" t="s">
        <v>19952</v>
      </c>
      <c r="Q6542" s="6">
        <v>21.32</v>
      </c>
      <c r="R6542" s="6">
        <v>55</v>
      </c>
      <c r="S6542" s="5">
        <v>1.6</v>
      </c>
      <c r="T6542" s="7">
        <v>5.1260000000000003</v>
      </c>
      <c r="U6542" s="5">
        <v>72.599999999999994</v>
      </c>
      <c r="V6542" s="6">
        <v>4.24</v>
      </c>
      <c r="W6542" s="4">
        <v>50</v>
      </c>
      <c r="X6542" s="4">
        <v>50</v>
      </c>
      <c r="Y6542" s="4">
        <v>50</v>
      </c>
      <c r="Z6542" s="4">
        <v>51</v>
      </c>
      <c r="AA6542" s="6">
        <v>0.4</v>
      </c>
      <c r="AB6542" s="7">
        <v>4.3280000000000003</v>
      </c>
      <c r="AC6542" s="2"/>
    </row>
    <row r="6543" spans="1:29" ht="117" x14ac:dyDescent="0.15">
      <c r="A6543" s="3">
        <f t="shared" si="153"/>
        <v>37375</v>
      </c>
      <c r="B6543" s="2"/>
      <c r="C6543" s="2" t="s">
        <v>30</v>
      </c>
      <c r="D6543" s="2" t="s">
        <v>19953</v>
      </c>
      <c r="E6543" s="2" t="s">
        <v>19954</v>
      </c>
      <c r="F6543" s="4">
        <v>4941</v>
      </c>
      <c r="G6543" s="2" t="s">
        <v>439</v>
      </c>
      <c r="H6543" s="2" t="s">
        <v>34</v>
      </c>
      <c r="I6543" s="2" t="s">
        <v>12422</v>
      </c>
      <c r="J6543" s="2" t="s">
        <v>12423</v>
      </c>
      <c r="K6543" s="2" t="s">
        <v>439</v>
      </c>
      <c r="L6543" s="2" t="s">
        <v>34</v>
      </c>
      <c r="M6543" s="12">
        <v>1616.2719999999999</v>
      </c>
      <c r="N6543" s="6">
        <v>23.78</v>
      </c>
      <c r="O6543" s="5">
        <v>24.1</v>
      </c>
      <c r="P6543" s="2" t="s">
        <v>19955</v>
      </c>
      <c r="Q6543" s="2"/>
      <c r="R6543" s="6">
        <v>33</v>
      </c>
      <c r="S6543" s="5">
        <v>3.8</v>
      </c>
      <c r="T6543" s="5">
        <v>13.9</v>
      </c>
      <c r="U6543" s="5">
        <v>12.9</v>
      </c>
      <c r="V6543" s="6">
        <v>1.59</v>
      </c>
      <c r="W6543" s="5">
        <v>27.5</v>
      </c>
      <c r="X6543" s="4">
        <v>27</v>
      </c>
      <c r="Y6543" s="6">
        <v>31.02</v>
      </c>
      <c r="Z6543" s="6">
        <v>31.35</v>
      </c>
      <c r="AA6543" s="6">
        <v>2.39</v>
      </c>
      <c r="AB6543" s="7">
        <v>11.138</v>
      </c>
      <c r="AC6543" s="5">
        <v>4.5999999999999996</v>
      </c>
    </row>
    <row r="6544" spans="1:29" ht="117" x14ac:dyDescent="0.15">
      <c r="A6544" s="3">
        <f t="shared" si="153"/>
        <v>37375</v>
      </c>
      <c r="B6544" s="3">
        <f>DATE(2002,7,31)</f>
        <v>37468</v>
      </c>
      <c r="C6544" s="2" t="s">
        <v>95</v>
      </c>
      <c r="D6544" s="2" t="s">
        <v>19956</v>
      </c>
      <c r="E6544" s="2" t="s">
        <v>4335</v>
      </c>
      <c r="F6544" s="4">
        <v>6324</v>
      </c>
      <c r="G6544" s="2" t="s">
        <v>125</v>
      </c>
      <c r="H6544" s="2" t="s">
        <v>34</v>
      </c>
      <c r="I6544" s="2" t="s">
        <v>9822</v>
      </c>
      <c r="J6544" s="2" t="s">
        <v>5189</v>
      </c>
      <c r="K6544" s="2" t="s">
        <v>454</v>
      </c>
      <c r="L6544" s="2" t="s">
        <v>34</v>
      </c>
      <c r="M6544" s="12">
        <v>6022.4040000000005</v>
      </c>
      <c r="N6544" s="6">
        <v>66.650000000000006</v>
      </c>
      <c r="O6544" s="5">
        <v>68.2</v>
      </c>
      <c r="P6544" s="2" t="s">
        <v>19957</v>
      </c>
      <c r="Q6544" s="6">
        <v>100</v>
      </c>
      <c r="R6544" s="6">
        <v>105.08</v>
      </c>
      <c r="S6544" s="5">
        <v>118.9</v>
      </c>
      <c r="T6544" s="7">
        <v>219.51400000000001</v>
      </c>
      <c r="U6544" s="5">
        <v>29</v>
      </c>
      <c r="V6544" s="6">
        <v>3.23</v>
      </c>
      <c r="W6544" s="5">
        <v>79.599999999999994</v>
      </c>
      <c r="X6544" s="6">
        <v>84.25</v>
      </c>
      <c r="Y6544" s="6">
        <v>98.87</v>
      </c>
      <c r="Z6544" s="6">
        <v>100.66</v>
      </c>
      <c r="AA6544" s="6">
        <v>35.79</v>
      </c>
      <c r="AB6544" s="7">
        <v>22.132000000000001</v>
      </c>
      <c r="AC6544" s="5">
        <v>406.4</v>
      </c>
    </row>
    <row r="6545" spans="1:29" ht="208" x14ac:dyDescent="0.15">
      <c r="A6545" s="3">
        <f>DATE(2002,4,30)</f>
        <v>37376</v>
      </c>
      <c r="B6545" s="3">
        <f>DATE(2002,7,9)</f>
        <v>37446</v>
      </c>
      <c r="C6545" s="2" t="s">
        <v>95</v>
      </c>
      <c r="D6545" s="2" t="s">
        <v>19958</v>
      </c>
      <c r="E6545" s="2" t="s">
        <v>19959</v>
      </c>
      <c r="F6545" s="4">
        <v>7372</v>
      </c>
      <c r="G6545" s="2" t="s">
        <v>551</v>
      </c>
      <c r="H6545" s="2" t="s">
        <v>34</v>
      </c>
      <c r="I6545" s="2" t="s">
        <v>19960</v>
      </c>
      <c r="J6545" s="2" t="s">
        <v>19961</v>
      </c>
      <c r="K6545" s="2" t="s">
        <v>223</v>
      </c>
      <c r="L6545" s="2" t="s">
        <v>34</v>
      </c>
      <c r="M6545" s="7">
        <v>845.495</v>
      </c>
      <c r="N6545" s="6">
        <v>23.73</v>
      </c>
      <c r="O6545" s="4">
        <v>25</v>
      </c>
      <c r="P6545" s="2" t="s">
        <v>19962</v>
      </c>
      <c r="Q6545" s="6">
        <v>100</v>
      </c>
      <c r="R6545" s="6">
        <v>16.649999999999999</v>
      </c>
      <c r="S6545" s="5">
        <v>14.9</v>
      </c>
      <c r="T6545" s="7">
        <v>37.283999999999999</v>
      </c>
      <c r="U6545" s="5">
        <v>2.9</v>
      </c>
      <c r="V6545" s="6">
        <v>0.81</v>
      </c>
      <c r="W6545" s="6">
        <v>15.66</v>
      </c>
      <c r="X6545" s="6">
        <v>14.25</v>
      </c>
      <c r="Y6545" s="7">
        <v>16.428999999999998</v>
      </c>
      <c r="Z6545" s="6">
        <v>17.440000000000001</v>
      </c>
      <c r="AA6545" s="6">
        <v>15.67</v>
      </c>
      <c r="AB6545" s="7">
        <v>9.8829999999999991</v>
      </c>
      <c r="AC6545" s="5">
        <v>3.7</v>
      </c>
    </row>
    <row r="6546" spans="1:29" ht="143" x14ac:dyDescent="0.15">
      <c r="A6546" s="3">
        <f>DATE(2002,4,30)</f>
        <v>37376</v>
      </c>
      <c r="B6546" s="2"/>
      <c r="C6546" s="2" t="s">
        <v>30</v>
      </c>
      <c r="D6546" s="2" t="s">
        <v>19963</v>
      </c>
      <c r="E6546" s="2" t="s">
        <v>19964</v>
      </c>
      <c r="F6546" s="4">
        <v>3661</v>
      </c>
      <c r="G6546" s="2" t="s">
        <v>921</v>
      </c>
      <c r="H6546" s="2" t="s">
        <v>34</v>
      </c>
      <c r="I6546" s="2" t="s">
        <v>19965</v>
      </c>
      <c r="J6546" s="2" t="s">
        <v>2712</v>
      </c>
      <c r="K6546" s="2" t="s">
        <v>53</v>
      </c>
      <c r="L6546" s="2" t="s">
        <v>34</v>
      </c>
      <c r="M6546" s="2"/>
      <c r="N6546" s="2"/>
      <c r="O6546" s="2"/>
      <c r="P6546" s="2" t="s">
        <v>19966</v>
      </c>
      <c r="Q6546" s="2"/>
      <c r="R6546" s="6">
        <v>3.75</v>
      </c>
      <c r="S6546" s="5">
        <v>-5.4</v>
      </c>
      <c r="T6546" s="7">
        <v>-2.3330000000000002</v>
      </c>
      <c r="U6546" s="5">
        <v>0.6</v>
      </c>
      <c r="V6546" s="6">
        <v>-3.1</v>
      </c>
      <c r="W6546" s="5">
        <v>1.1000000000000001</v>
      </c>
      <c r="X6546" s="6">
        <v>1.1399999999999999</v>
      </c>
      <c r="Y6546" s="6">
        <v>1.57</v>
      </c>
      <c r="Z6546" s="6">
        <v>1.75</v>
      </c>
      <c r="AA6546" s="6">
        <v>10.77</v>
      </c>
      <c r="AB6546" s="2" t="s">
        <v>86</v>
      </c>
      <c r="AC6546" s="2"/>
    </row>
    <row r="6547" spans="1:29" ht="130" x14ac:dyDescent="0.15">
      <c r="A6547" s="3">
        <f>DATE(2002,5,1)</f>
        <v>37377</v>
      </c>
      <c r="B6547" s="3">
        <f>DATE(2002,12,1)</f>
        <v>37591</v>
      </c>
      <c r="C6547" s="2" t="s">
        <v>95</v>
      </c>
      <c r="D6547" s="2" t="s">
        <v>19967</v>
      </c>
      <c r="E6547" s="2" t="s">
        <v>265</v>
      </c>
      <c r="F6547" s="4">
        <v>6021</v>
      </c>
      <c r="G6547" s="2" t="s">
        <v>37</v>
      </c>
      <c r="H6547" s="2" t="s">
        <v>34</v>
      </c>
      <c r="I6547" s="2" t="s">
        <v>19390</v>
      </c>
      <c r="J6547" s="2" t="s">
        <v>265</v>
      </c>
      <c r="K6547" s="2" t="s">
        <v>37</v>
      </c>
      <c r="L6547" s="2" t="s">
        <v>34</v>
      </c>
      <c r="M6547" s="7">
        <v>83.656999999999996</v>
      </c>
      <c r="N6547" s="4">
        <v>16</v>
      </c>
      <c r="O6547" s="4">
        <v>15</v>
      </c>
      <c r="P6547" s="2" t="s">
        <v>19968</v>
      </c>
      <c r="Q6547" s="6">
        <v>100</v>
      </c>
      <c r="R6547" s="6">
        <v>11.56</v>
      </c>
      <c r="S6547" s="5">
        <v>0</v>
      </c>
      <c r="T6547" s="2"/>
      <c r="U6547" s="5">
        <v>8.5</v>
      </c>
      <c r="V6547" s="6">
        <v>-0.01</v>
      </c>
      <c r="W6547" s="4">
        <v>9</v>
      </c>
      <c r="X6547" s="4">
        <v>9</v>
      </c>
      <c r="Y6547" s="4">
        <v>9</v>
      </c>
      <c r="Z6547" s="5">
        <v>10.9</v>
      </c>
      <c r="AA6547" s="6">
        <v>1.75</v>
      </c>
      <c r="AB6547" s="7">
        <v>668.10400000000004</v>
      </c>
      <c r="AC6547" s="5">
        <v>49.7</v>
      </c>
    </row>
    <row r="6548" spans="1:29" ht="130" x14ac:dyDescent="0.15">
      <c r="A6548" s="3">
        <f>DATE(2002,5,2)</f>
        <v>37378</v>
      </c>
      <c r="B6548" s="3">
        <f>DATE(2002,6,14)</f>
        <v>37421</v>
      </c>
      <c r="C6548" s="2" t="s">
        <v>95</v>
      </c>
      <c r="D6548" s="2" t="s">
        <v>14244</v>
      </c>
      <c r="E6548" s="2" t="s">
        <v>14245</v>
      </c>
      <c r="F6548" s="4">
        <v>3469</v>
      </c>
      <c r="G6548" s="2" t="s">
        <v>163</v>
      </c>
      <c r="H6548" s="2" t="s">
        <v>34</v>
      </c>
      <c r="I6548" s="2" t="s">
        <v>13819</v>
      </c>
      <c r="J6548" s="2" t="s">
        <v>7077</v>
      </c>
      <c r="K6548" s="2" t="s">
        <v>226</v>
      </c>
      <c r="L6548" s="2" t="s">
        <v>34</v>
      </c>
      <c r="M6548" s="12">
        <v>18991.309000000001</v>
      </c>
      <c r="N6548" s="5">
        <v>99.5</v>
      </c>
      <c r="O6548" s="6">
        <v>99.65</v>
      </c>
      <c r="P6548" s="2" t="s">
        <v>19969</v>
      </c>
      <c r="Q6548" s="6">
        <v>100</v>
      </c>
      <c r="R6548" s="6">
        <v>33.5</v>
      </c>
      <c r="S6548" s="5">
        <v>10.6</v>
      </c>
      <c r="T6548" s="5">
        <v>25.5</v>
      </c>
      <c r="U6548" s="5">
        <v>5.7</v>
      </c>
      <c r="V6548" s="6">
        <v>1.74</v>
      </c>
      <c r="W6548" s="5">
        <v>32.5</v>
      </c>
      <c r="X6548" s="6">
        <v>28.53</v>
      </c>
      <c r="Y6548" s="6">
        <v>33.28</v>
      </c>
      <c r="Z6548" s="6">
        <v>33.26</v>
      </c>
      <c r="AA6548" s="6">
        <v>5.89</v>
      </c>
      <c r="AB6548" s="7">
        <v>11.052</v>
      </c>
      <c r="AC6548" s="5">
        <v>377</v>
      </c>
    </row>
    <row r="6549" spans="1:29" ht="234" x14ac:dyDescent="0.15">
      <c r="A6549" s="3">
        <f>DATE(2002,5,2)</f>
        <v>37378</v>
      </c>
      <c r="B6549" s="3">
        <f>DATE(2002,7,31)</f>
        <v>37468</v>
      </c>
      <c r="C6549" s="2" t="s">
        <v>95</v>
      </c>
      <c r="D6549" s="2" t="s">
        <v>17793</v>
      </c>
      <c r="E6549" s="2" t="s">
        <v>268</v>
      </c>
      <c r="F6549" s="4">
        <v>7011</v>
      </c>
      <c r="G6549" s="2" t="s">
        <v>269</v>
      </c>
      <c r="H6549" s="2" t="s">
        <v>34</v>
      </c>
      <c r="I6549" s="2" t="s">
        <v>16619</v>
      </c>
      <c r="J6549" s="2" t="s">
        <v>268</v>
      </c>
      <c r="K6549" s="2" t="s">
        <v>269</v>
      </c>
      <c r="L6549" s="2" t="s">
        <v>34</v>
      </c>
      <c r="M6549" s="6">
        <v>31.61</v>
      </c>
      <c r="N6549" s="6">
        <v>0.95</v>
      </c>
      <c r="O6549" s="6">
        <v>0.94</v>
      </c>
      <c r="P6549" s="2" t="s">
        <v>19970</v>
      </c>
      <c r="Q6549" s="6">
        <v>100</v>
      </c>
      <c r="R6549" s="6">
        <v>5.57</v>
      </c>
      <c r="S6549" s="5">
        <v>-7.2</v>
      </c>
      <c r="T6549" s="5">
        <v>11.8</v>
      </c>
      <c r="U6549" s="5">
        <v>7.3</v>
      </c>
      <c r="V6549" s="6">
        <v>-1.31</v>
      </c>
      <c r="W6549" s="6">
        <v>1.86</v>
      </c>
      <c r="X6549" s="6">
        <v>1.94</v>
      </c>
      <c r="Y6549" s="6">
        <v>1.94</v>
      </c>
      <c r="Z6549" s="6">
        <v>2.15</v>
      </c>
      <c r="AA6549" s="6">
        <v>5.73</v>
      </c>
      <c r="AB6549" s="7">
        <v>92.971000000000004</v>
      </c>
      <c r="AC6549" s="5">
        <v>8.3000000000000007</v>
      </c>
    </row>
    <row r="6550" spans="1:29" ht="78" x14ac:dyDescent="0.15">
      <c r="A6550" s="3">
        <f>DATE(2002,5,2)</f>
        <v>37378</v>
      </c>
      <c r="B6550" s="3">
        <f>DATE(2002,6,18)</f>
        <v>37425</v>
      </c>
      <c r="C6550" s="2" t="s">
        <v>95</v>
      </c>
      <c r="D6550" s="2" t="s">
        <v>18172</v>
      </c>
      <c r="E6550" s="2" t="s">
        <v>18173</v>
      </c>
      <c r="F6550" s="4">
        <v>5045</v>
      </c>
      <c r="G6550" s="2" t="s">
        <v>76</v>
      </c>
      <c r="H6550" s="2" t="s">
        <v>34</v>
      </c>
      <c r="I6550" s="2" t="s">
        <v>19971</v>
      </c>
      <c r="J6550" s="2" t="s">
        <v>973</v>
      </c>
      <c r="K6550" s="2" t="s">
        <v>63</v>
      </c>
      <c r="L6550" s="2" t="s">
        <v>34</v>
      </c>
      <c r="M6550" s="12">
        <v>1488.2449999999999</v>
      </c>
      <c r="N6550" s="6">
        <v>3.92</v>
      </c>
      <c r="O6550" s="5">
        <v>3.9</v>
      </c>
      <c r="P6550" s="2" t="s">
        <v>19972</v>
      </c>
      <c r="Q6550" s="6">
        <v>100</v>
      </c>
      <c r="R6550" s="6">
        <v>37</v>
      </c>
      <c r="S6550" s="5">
        <v>8.6999999999999993</v>
      </c>
      <c r="T6550" s="7">
        <v>25.257000000000001</v>
      </c>
      <c r="U6550" s="5">
        <v>22</v>
      </c>
      <c r="V6550" s="6">
        <v>2.78</v>
      </c>
      <c r="W6550" s="5">
        <v>16.7</v>
      </c>
      <c r="X6550" s="6">
        <v>16.64</v>
      </c>
      <c r="Y6550" s="6">
        <v>36.08</v>
      </c>
      <c r="Z6550" s="6">
        <v>35.950000000000003</v>
      </c>
      <c r="AA6550" s="6">
        <v>3.15</v>
      </c>
      <c r="AB6550" s="7">
        <v>7.2309999999999999</v>
      </c>
      <c r="AC6550" s="8">
        <v>1110</v>
      </c>
    </row>
    <row r="6551" spans="1:29" ht="91" x14ac:dyDescent="0.15">
      <c r="A6551" s="3">
        <f>DATE(2002,5,7)</f>
        <v>37383</v>
      </c>
      <c r="B6551" s="2"/>
      <c r="C6551" s="2" t="s">
        <v>30</v>
      </c>
      <c r="D6551" s="2" t="s">
        <v>19755</v>
      </c>
      <c r="E6551" s="2" t="s">
        <v>19756</v>
      </c>
      <c r="F6551" s="4">
        <v>7999</v>
      </c>
      <c r="G6551" s="2" t="s">
        <v>364</v>
      </c>
      <c r="H6551" s="2" t="s">
        <v>34</v>
      </c>
      <c r="I6551" s="2" t="s">
        <v>19973</v>
      </c>
      <c r="J6551" s="2" t="s">
        <v>1032</v>
      </c>
      <c r="K6551" s="2" t="s">
        <v>53</v>
      </c>
      <c r="L6551" s="2" t="s">
        <v>34</v>
      </c>
      <c r="M6551" s="2"/>
      <c r="N6551" s="2"/>
      <c r="O6551" s="2"/>
      <c r="P6551" s="2" t="s">
        <v>19974</v>
      </c>
      <c r="Q6551" s="2"/>
      <c r="R6551" s="6">
        <v>3.3</v>
      </c>
      <c r="S6551" s="5">
        <v>3.1</v>
      </c>
      <c r="T6551" s="7">
        <v>3.2480000000000002</v>
      </c>
      <c r="U6551" s="5">
        <v>0.2</v>
      </c>
      <c r="V6551" s="6">
        <v>0.26</v>
      </c>
      <c r="W6551" s="6">
        <v>1.75</v>
      </c>
      <c r="X6551" s="6">
        <v>1.68</v>
      </c>
      <c r="Y6551" s="5">
        <v>2.2000000000000002</v>
      </c>
      <c r="Z6551" s="4">
        <v>2</v>
      </c>
      <c r="AA6551" s="6">
        <v>11.75</v>
      </c>
      <c r="AB6551" s="7">
        <v>19.652999999999999</v>
      </c>
      <c r="AC6551" s="2"/>
    </row>
    <row r="6552" spans="1:29" ht="156" x14ac:dyDescent="0.15">
      <c r="A6552" s="3">
        <f>DATE(2002,5,7)</f>
        <v>37383</v>
      </c>
      <c r="B6552" s="3">
        <f>DATE(2002,10,1)</f>
        <v>37530</v>
      </c>
      <c r="C6552" s="2" t="s">
        <v>95</v>
      </c>
      <c r="D6552" s="2" t="s">
        <v>19975</v>
      </c>
      <c r="E6552" s="2" t="s">
        <v>265</v>
      </c>
      <c r="F6552" s="4">
        <v>6021</v>
      </c>
      <c r="G6552" s="2" t="s">
        <v>37</v>
      </c>
      <c r="H6552" s="2" t="s">
        <v>34</v>
      </c>
      <c r="I6552" s="2" t="s">
        <v>13442</v>
      </c>
      <c r="J6552" s="2" t="s">
        <v>3246</v>
      </c>
      <c r="K6552" s="2" t="s">
        <v>37</v>
      </c>
      <c r="L6552" s="2" t="s">
        <v>34</v>
      </c>
      <c r="M6552" s="12">
        <v>1852.789</v>
      </c>
      <c r="N6552" s="6">
        <v>23.19</v>
      </c>
      <c r="O6552" s="6">
        <v>23.06</v>
      </c>
      <c r="P6552" s="2" t="s">
        <v>19976</v>
      </c>
      <c r="Q6552" s="6">
        <v>100</v>
      </c>
      <c r="R6552" s="6">
        <v>18.7</v>
      </c>
      <c r="S6552" s="5">
        <v>7.9</v>
      </c>
      <c r="T6552" s="2"/>
      <c r="U6552" s="5">
        <v>9.6999999999999993</v>
      </c>
      <c r="V6552" s="6">
        <v>0.98</v>
      </c>
      <c r="W6552" s="5">
        <v>14.3</v>
      </c>
      <c r="X6552" s="6">
        <v>14.45</v>
      </c>
      <c r="Y6552" s="5">
        <v>14.6</v>
      </c>
      <c r="Z6552" s="7">
        <v>18.195</v>
      </c>
      <c r="AA6552" s="6">
        <v>8.5399999999999991</v>
      </c>
      <c r="AB6552" s="2" t="s">
        <v>47</v>
      </c>
      <c r="AC6552" s="5">
        <v>260.8</v>
      </c>
    </row>
    <row r="6553" spans="1:29" ht="208" x14ac:dyDescent="0.15">
      <c r="A6553" s="3">
        <f>DATE(2002,5,8)</f>
        <v>37384</v>
      </c>
      <c r="B6553" s="2"/>
      <c r="C6553" s="2" t="s">
        <v>30</v>
      </c>
      <c r="D6553" s="2" t="s">
        <v>2740</v>
      </c>
      <c r="E6553" s="2" t="s">
        <v>2741</v>
      </c>
      <c r="F6553" s="4">
        <v>3571</v>
      </c>
      <c r="G6553" s="2" t="s">
        <v>50</v>
      </c>
      <c r="H6553" s="2" t="s">
        <v>34</v>
      </c>
      <c r="I6553" s="2" t="s">
        <v>3558</v>
      </c>
      <c r="J6553" s="2" t="s">
        <v>3892</v>
      </c>
      <c r="K6553" s="2" t="s">
        <v>45</v>
      </c>
      <c r="L6553" s="2" t="s">
        <v>34</v>
      </c>
      <c r="M6553" s="12">
        <v>30735.037</v>
      </c>
      <c r="N6553" s="6">
        <v>10.55</v>
      </c>
      <c r="O6553" s="6">
        <v>10.61</v>
      </c>
      <c r="P6553" s="2" t="s">
        <v>19977</v>
      </c>
      <c r="Q6553" s="2"/>
      <c r="R6553" s="6">
        <v>1.65</v>
      </c>
      <c r="S6553" s="5">
        <v>-35.1</v>
      </c>
      <c r="T6553" s="5">
        <v>-14.2</v>
      </c>
      <c r="U6553" s="5">
        <v>0.8</v>
      </c>
      <c r="V6553" s="6">
        <v>-0.6</v>
      </c>
      <c r="W6553" s="6">
        <v>1.28</v>
      </c>
      <c r="X6553" s="6">
        <v>1.1299999999999999</v>
      </c>
      <c r="Y6553" s="6">
        <v>1.67</v>
      </c>
      <c r="Z6553" s="6">
        <v>1.69</v>
      </c>
      <c r="AA6553" s="6">
        <v>55.89</v>
      </c>
      <c r="AB6553" s="2" t="s">
        <v>86</v>
      </c>
      <c r="AC6553" s="8">
        <v>1975</v>
      </c>
    </row>
    <row r="6554" spans="1:29" ht="143" x14ac:dyDescent="0.15">
      <c r="A6554" s="3">
        <f>DATE(2002,5,8)</f>
        <v>37384</v>
      </c>
      <c r="B6554" s="3">
        <f>DATE(2002,9,27)</f>
        <v>37526</v>
      </c>
      <c r="C6554" s="2" t="s">
        <v>95</v>
      </c>
      <c r="D6554" s="2" t="s">
        <v>19978</v>
      </c>
      <c r="E6554" s="2" t="s">
        <v>19979</v>
      </c>
      <c r="F6554" s="4">
        <v>3351</v>
      </c>
      <c r="G6554" s="2" t="s">
        <v>163</v>
      </c>
      <c r="H6554" s="2" t="s">
        <v>34</v>
      </c>
      <c r="I6554" s="2" t="s">
        <v>19980</v>
      </c>
      <c r="J6554" s="2" t="s">
        <v>19981</v>
      </c>
      <c r="K6554" s="2" t="s">
        <v>98</v>
      </c>
      <c r="L6554" s="2" t="s">
        <v>34</v>
      </c>
      <c r="M6554" s="7">
        <v>808.02099999999996</v>
      </c>
      <c r="N6554" s="6">
        <v>18.350000000000001</v>
      </c>
      <c r="O6554" s="6">
        <v>18.09</v>
      </c>
      <c r="P6554" s="2" t="s">
        <v>19982</v>
      </c>
      <c r="Q6554" s="6">
        <v>100</v>
      </c>
      <c r="R6554" s="6">
        <v>11.52</v>
      </c>
      <c r="S6554" s="5">
        <v>9.5</v>
      </c>
      <c r="T6554" s="5">
        <v>19.100000000000001</v>
      </c>
      <c r="U6554" s="5">
        <v>8.3000000000000007</v>
      </c>
      <c r="V6554" s="6">
        <v>0.61</v>
      </c>
      <c r="W6554" s="4">
        <v>14</v>
      </c>
      <c r="X6554" s="5">
        <v>14.5</v>
      </c>
      <c r="Y6554" s="4">
        <v>12</v>
      </c>
      <c r="Z6554" s="5">
        <v>11.7</v>
      </c>
      <c r="AA6554" s="6">
        <v>15.3</v>
      </c>
      <c r="AB6554" s="7">
        <v>14.996</v>
      </c>
      <c r="AC6554" s="5">
        <v>205</v>
      </c>
    </row>
    <row r="6555" spans="1:29" ht="78" x14ac:dyDescent="0.15">
      <c r="A6555" s="3">
        <f>DATE(2002,5,9)</f>
        <v>37385</v>
      </c>
      <c r="B6555" s="2"/>
      <c r="C6555" s="2" t="s">
        <v>87</v>
      </c>
      <c r="D6555" s="2" t="s">
        <v>19983</v>
      </c>
      <c r="E6555" s="2" t="s">
        <v>7568</v>
      </c>
      <c r="F6555" s="4">
        <v>4812</v>
      </c>
      <c r="G6555" s="2" t="s">
        <v>63</v>
      </c>
      <c r="H6555" s="2" t="s">
        <v>34</v>
      </c>
      <c r="I6555" s="2" t="s">
        <v>5443</v>
      </c>
      <c r="J6555" s="2" t="s">
        <v>5444</v>
      </c>
      <c r="K6555" s="2" t="s">
        <v>50</v>
      </c>
      <c r="L6555" s="2" t="s">
        <v>34</v>
      </c>
      <c r="M6555" s="12">
        <v>144549.334</v>
      </c>
      <c r="N6555" s="6">
        <v>79.930000000000007</v>
      </c>
      <c r="O6555" s="6">
        <v>79.680000000000007</v>
      </c>
      <c r="P6555" s="2" t="s">
        <v>19984</v>
      </c>
      <c r="Q6555" s="2"/>
      <c r="R6555" s="2"/>
      <c r="S6555" s="5">
        <v>-523.4</v>
      </c>
      <c r="T6555" s="2"/>
      <c r="U6555" s="5">
        <v>11.6</v>
      </c>
      <c r="V6555" s="6">
        <v>-12.81</v>
      </c>
      <c r="W6555" s="6">
        <v>3.39</v>
      </c>
      <c r="X6555" s="6">
        <v>3.42</v>
      </c>
      <c r="Y6555" s="6">
        <v>4.29</v>
      </c>
      <c r="Z6555" s="6">
        <v>3.97</v>
      </c>
      <c r="AA6555" s="2"/>
      <c r="AB6555" s="2" t="s">
        <v>47</v>
      </c>
      <c r="AC6555" s="8">
        <v>3967</v>
      </c>
    </row>
    <row r="6556" spans="1:29" ht="143" x14ac:dyDescent="0.15">
      <c r="A6556" s="3">
        <f>DATE(2002,5,9)</f>
        <v>37385</v>
      </c>
      <c r="B6556" s="3">
        <f>DATE(2002,7,25)</f>
        <v>37462</v>
      </c>
      <c r="C6556" s="2" t="s">
        <v>95</v>
      </c>
      <c r="D6556" s="2" t="s">
        <v>19985</v>
      </c>
      <c r="E6556" s="2" t="s">
        <v>19986</v>
      </c>
      <c r="F6556" s="4">
        <v>8071</v>
      </c>
      <c r="G6556" s="2" t="s">
        <v>454</v>
      </c>
      <c r="H6556" s="2" t="s">
        <v>34</v>
      </c>
      <c r="I6556" s="2" t="s">
        <v>19987</v>
      </c>
      <c r="J6556" s="2" t="s">
        <v>19988</v>
      </c>
      <c r="K6556" s="2" t="s">
        <v>454</v>
      </c>
      <c r="L6556" s="2" t="s">
        <v>34</v>
      </c>
      <c r="M6556" s="12">
        <v>6861.4889999999996</v>
      </c>
      <c r="N6556" s="6">
        <v>102.04</v>
      </c>
      <c r="O6556" s="6">
        <v>103.96</v>
      </c>
      <c r="P6556" s="2" t="s">
        <v>19989</v>
      </c>
      <c r="Q6556" s="6">
        <v>100</v>
      </c>
      <c r="R6556" s="6">
        <v>23.2</v>
      </c>
      <c r="S6556" s="5">
        <v>13.7</v>
      </c>
      <c r="T6556" s="7">
        <v>54.656999999999996</v>
      </c>
      <c r="U6556" s="5">
        <v>4.9000000000000004</v>
      </c>
      <c r="V6556" s="9">
        <v>0.75839999999999996</v>
      </c>
      <c r="W6556" s="9">
        <v>10.8864</v>
      </c>
      <c r="X6556" s="11">
        <v>11.61642</v>
      </c>
      <c r="Y6556" s="6">
        <v>22.92</v>
      </c>
      <c r="Z6556" s="6">
        <v>23.22</v>
      </c>
      <c r="AA6556" s="6">
        <v>19.329999999999998</v>
      </c>
      <c r="AB6556" s="7">
        <v>18.001999999999999</v>
      </c>
      <c r="AC6556" s="5">
        <v>245</v>
      </c>
    </row>
    <row r="6557" spans="1:29" ht="169" x14ac:dyDescent="0.15">
      <c r="A6557" s="3">
        <f>DATE(2002,5,13)</f>
        <v>37389</v>
      </c>
      <c r="B6557" s="3">
        <f>DATE(2002,6,17)</f>
        <v>37424</v>
      </c>
      <c r="C6557" s="2" t="s">
        <v>95</v>
      </c>
      <c r="D6557" s="2" t="s">
        <v>19990</v>
      </c>
      <c r="E6557" s="2" t="s">
        <v>19991</v>
      </c>
      <c r="F6557" s="4">
        <v>5961</v>
      </c>
      <c r="G6557" s="2" t="s">
        <v>73</v>
      </c>
      <c r="H6557" s="2" t="s">
        <v>34</v>
      </c>
      <c r="I6557" s="2" t="s">
        <v>1060</v>
      </c>
      <c r="J6557" s="2" t="s">
        <v>1061</v>
      </c>
      <c r="K6557" s="2" t="s">
        <v>756</v>
      </c>
      <c r="L6557" s="2" t="s">
        <v>34</v>
      </c>
      <c r="M6557" s="12">
        <v>16776.428</v>
      </c>
      <c r="N6557" s="4">
        <v>52</v>
      </c>
      <c r="O6557" s="6">
        <v>54.89</v>
      </c>
      <c r="P6557" s="2" t="s">
        <v>19992</v>
      </c>
      <c r="Q6557" s="6">
        <v>100</v>
      </c>
      <c r="R6557" s="6">
        <v>62</v>
      </c>
      <c r="S6557" s="5">
        <v>77.599999999999994</v>
      </c>
      <c r="T6557" s="7">
        <v>156.27099999999999</v>
      </c>
      <c r="U6557" s="5">
        <v>13.9</v>
      </c>
      <c r="V6557" s="6">
        <v>2.56</v>
      </c>
      <c r="W6557" s="6">
        <v>34.159999999999997</v>
      </c>
      <c r="X6557" s="6">
        <v>34.65</v>
      </c>
      <c r="Y6557" s="6">
        <v>36.729999999999997</v>
      </c>
      <c r="Z6557" s="6">
        <v>36.82</v>
      </c>
      <c r="AA6557" s="6">
        <v>30.01</v>
      </c>
      <c r="AB6557" s="7">
        <v>14.305999999999999</v>
      </c>
      <c r="AC6557" s="5">
        <v>510</v>
      </c>
    </row>
    <row r="6558" spans="1:29" ht="130" x14ac:dyDescent="0.15">
      <c r="A6558" s="3">
        <f>DATE(2002,5,14)</f>
        <v>37390</v>
      </c>
      <c r="B6558" s="3">
        <f>DATE(2002,7,8)</f>
        <v>37445</v>
      </c>
      <c r="C6558" s="2" t="s">
        <v>95</v>
      </c>
      <c r="D6558" s="2" t="s">
        <v>19993</v>
      </c>
      <c r="E6558" s="2" t="s">
        <v>19994</v>
      </c>
      <c r="F6558" s="4">
        <v>3845</v>
      </c>
      <c r="G6558" s="2" t="s">
        <v>226</v>
      </c>
      <c r="H6558" s="2" t="s">
        <v>34</v>
      </c>
      <c r="I6558" s="2" t="s">
        <v>5268</v>
      </c>
      <c r="J6558" s="2" t="s">
        <v>5269</v>
      </c>
      <c r="K6558" s="2" t="s">
        <v>226</v>
      </c>
      <c r="L6558" s="2" t="s">
        <v>34</v>
      </c>
      <c r="M6558" s="12">
        <v>10480.709000000001</v>
      </c>
      <c r="N6558" s="6">
        <v>25.13</v>
      </c>
      <c r="O6558" s="6">
        <v>24.94</v>
      </c>
      <c r="P6558" s="2" t="s">
        <v>19995</v>
      </c>
      <c r="Q6558" s="6">
        <v>100</v>
      </c>
      <c r="R6558" s="6">
        <v>6.84</v>
      </c>
      <c r="S6558" s="5">
        <v>-7.8</v>
      </c>
      <c r="T6558" s="5">
        <v>-8.1</v>
      </c>
      <c r="U6558" s="5">
        <v>0.6</v>
      </c>
      <c r="V6558" s="6">
        <v>-0.87</v>
      </c>
      <c r="W6558" s="6">
        <v>5.07</v>
      </c>
      <c r="X6558" s="6">
        <v>5.52</v>
      </c>
      <c r="Y6558" s="6">
        <v>6.78</v>
      </c>
      <c r="Z6558" s="6">
        <v>6.78</v>
      </c>
      <c r="AA6558" s="6">
        <v>9.86</v>
      </c>
      <c r="AB6558" s="2" t="s">
        <v>86</v>
      </c>
      <c r="AC6558" s="5">
        <v>201</v>
      </c>
    </row>
    <row r="6559" spans="1:29" ht="117" x14ac:dyDescent="0.15">
      <c r="A6559" s="3">
        <f>DATE(2002,5,14)</f>
        <v>37390</v>
      </c>
      <c r="B6559" s="3">
        <f>DATE(2002,8,23)</f>
        <v>37491</v>
      </c>
      <c r="C6559" s="2" t="s">
        <v>95</v>
      </c>
      <c r="D6559" s="2" t="s">
        <v>19996</v>
      </c>
      <c r="E6559" s="2" t="s">
        <v>1181</v>
      </c>
      <c r="F6559" s="4">
        <v>6021</v>
      </c>
      <c r="G6559" s="2" t="s">
        <v>37</v>
      </c>
      <c r="H6559" s="2" t="s">
        <v>34</v>
      </c>
      <c r="I6559" s="2" t="s">
        <v>3057</v>
      </c>
      <c r="J6559" s="2" t="s">
        <v>17388</v>
      </c>
      <c r="K6559" s="2" t="s">
        <v>37</v>
      </c>
      <c r="L6559" s="2" t="s">
        <v>34</v>
      </c>
      <c r="M6559" s="7">
        <v>214.679</v>
      </c>
      <c r="N6559" s="6">
        <v>24.35</v>
      </c>
      <c r="O6559" s="6">
        <v>24.38</v>
      </c>
      <c r="P6559" s="2" t="s">
        <v>19997</v>
      </c>
      <c r="Q6559" s="6">
        <v>100</v>
      </c>
      <c r="R6559" s="6">
        <v>5.04</v>
      </c>
      <c r="S6559" s="5">
        <v>1.2</v>
      </c>
      <c r="T6559" s="2"/>
      <c r="U6559" s="5">
        <v>3.1</v>
      </c>
      <c r="V6559" s="6">
        <v>0.31</v>
      </c>
      <c r="W6559" s="6">
        <v>4.75</v>
      </c>
      <c r="X6559" s="6">
        <v>4.8499999999999996</v>
      </c>
      <c r="Y6559" s="6">
        <v>4.6500000000000004</v>
      </c>
      <c r="Z6559" s="6">
        <v>4.66</v>
      </c>
      <c r="AA6559" s="6">
        <v>3.85</v>
      </c>
      <c r="AB6559" s="7">
        <v>17.181000000000001</v>
      </c>
      <c r="AC6559" s="5">
        <v>160.30000000000001</v>
      </c>
    </row>
    <row r="6560" spans="1:29" ht="143" x14ac:dyDescent="0.15">
      <c r="A6560" s="3">
        <f>DATE(2002,5,14)</f>
        <v>37390</v>
      </c>
      <c r="B6560" s="3">
        <f>DATE(2002,10,31)</f>
        <v>37560</v>
      </c>
      <c r="C6560" s="2" t="s">
        <v>95</v>
      </c>
      <c r="D6560" s="2" t="s">
        <v>17390</v>
      </c>
      <c r="E6560" s="2" t="s">
        <v>12536</v>
      </c>
      <c r="F6560" s="4">
        <v>5995</v>
      </c>
      <c r="G6560" s="2" t="s">
        <v>73</v>
      </c>
      <c r="H6560" s="2" t="s">
        <v>34</v>
      </c>
      <c r="I6560" s="2" t="s">
        <v>19998</v>
      </c>
      <c r="J6560" s="2" t="s">
        <v>10150</v>
      </c>
      <c r="K6560" s="2" t="s">
        <v>53</v>
      </c>
      <c r="L6560" s="2" t="s">
        <v>34</v>
      </c>
      <c r="M6560" s="2"/>
      <c r="N6560" s="2"/>
      <c r="O6560" s="2"/>
      <c r="P6560" s="2" t="s">
        <v>19999</v>
      </c>
      <c r="Q6560" s="6">
        <v>73.81</v>
      </c>
      <c r="R6560" s="6">
        <v>4.25</v>
      </c>
      <c r="S6560" s="5">
        <v>-1</v>
      </c>
      <c r="T6560" s="5">
        <v>5.0999999999999996</v>
      </c>
      <c r="U6560" s="5">
        <v>6.4</v>
      </c>
      <c r="V6560" s="6">
        <v>-0.1</v>
      </c>
      <c r="W6560" s="7">
        <v>3.403</v>
      </c>
      <c r="X6560" s="5">
        <v>3.4</v>
      </c>
      <c r="Y6560" s="5">
        <v>3.4</v>
      </c>
      <c r="Z6560" s="6">
        <v>3.87</v>
      </c>
      <c r="AA6560" s="6">
        <v>7.8</v>
      </c>
      <c r="AB6560" s="2" t="s">
        <v>86</v>
      </c>
      <c r="AC6560" s="2"/>
    </row>
    <row r="6561" spans="1:29" ht="143" x14ac:dyDescent="0.15">
      <c r="A6561" s="3">
        <f>DATE(2002,5,15)</f>
        <v>37391</v>
      </c>
      <c r="B6561" s="3">
        <f>DATE(2002,6,27)</f>
        <v>37434</v>
      </c>
      <c r="C6561" s="2" t="s">
        <v>95</v>
      </c>
      <c r="D6561" s="2" t="s">
        <v>20000</v>
      </c>
      <c r="E6561" s="2" t="s">
        <v>20001</v>
      </c>
      <c r="F6561" s="4">
        <v>7389</v>
      </c>
      <c r="G6561" s="2" t="s">
        <v>223</v>
      </c>
      <c r="H6561" s="2" t="s">
        <v>34</v>
      </c>
      <c r="I6561" s="2" t="s">
        <v>6702</v>
      </c>
      <c r="J6561" s="2" t="s">
        <v>6703</v>
      </c>
      <c r="K6561" s="2" t="s">
        <v>593</v>
      </c>
      <c r="L6561" s="2" t="s">
        <v>34</v>
      </c>
      <c r="M6561" s="12">
        <v>31369.094000000001</v>
      </c>
      <c r="N6561" s="5">
        <v>67.400000000000006</v>
      </c>
      <c r="O6561" s="6">
        <v>67.63</v>
      </c>
      <c r="P6561" s="2" t="s">
        <v>20002</v>
      </c>
      <c r="Q6561" s="6">
        <v>100</v>
      </c>
      <c r="R6561" s="6">
        <v>16</v>
      </c>
      <c r="S6561" s="5">
        <v>7.6</v>
      </c>
      <c r="T6561" s="5">
        <v>18.3</v>
      </c>
      <c r="U6561" s="5">
        <v>8.9</v>
      </c>
      <c r="V6561" s="6">
        <v>0.64</v>
      </c>
      <c r="W6561" s="5">
        <v>12.1</v>
      </c>
      <c r="X6561" s="7">
        <v>13.331</v>
      </c>
      <c r="Y6561" s="5">
        <v>15.9</v>
      </c>
      <c r="Z6561" s="5">
        <v>15.9</v>
      </c>
      <c r="AA6561" s="6">
        <v>11.71</v>
      </c>
      <c r="AB6561" s="7">
        <v>14.958</v>
      </c>
      <c r="AC6561" s="5">
        <v>869.2</v>
      </c>
    </row>
    <row r="6562" spans="1:29" ht="117" x14ac:dyDescent="0.15">
      <c r="A6562" s="3">
        <f>DATE(2002,5,15)</f>
        <v>37391</v>
      </c>
      <c r="B6562" s="3">
        <f>DATE(2002,8,7)</f>
        <v>37475</v>
      </c>
      <c r="C6562" s="2" t="s">
        <v>95</v>
      </c>
      <c r="D6562" s="2" t="s">
        <v>20003</v>
      </c>
      <c r="E6562" s="2" t="s">
        <v>20004</v>
      </c>
      <c r="F6562" s="4">
        <v>1381</v>
      </c>
      <c r="G6562" s="2" t="s">
        <v>148</v>
      </c>
      <c r="H6562" s="2" t="s">
        <v>34</v>
      </c>
      <c r="I6562" s="2" t="s">
        <v>7447</v>
      </c>
      <c r="J6562" s="2" t="s">
        <v>7448</v>
      </c>
      <c r="K6562" s="2" t="s">
        <v>148</v>
      </c>
      <c r="L6562" s="2" t="s">
        <v>34</v>
      </c>
      <c r="M6562" s="12">
        <v>4394.268</v>
      </c>
      <c r="N6562" s="6">
        <v>33.119999999999997</v>
      </c>
      <c r="O6562" s="5">
        <v>33.299999999999997</v>
      </c>
      <c r="P6562" s="2" t="s">
        <v>20005</v>
      </c>
      <c r="Q6562" s="6">
        <v>100</v>
      </c>
      <c r="R6562" s="6">
        <v>28.5</v>
      </c>
      <c r="S6562" s="5">
        <v>21.6</v>
      </c>
      <c r="T6562" s="5">
        <v>39.1</v>
      </c>
      <c r="U6562" s="5">
        <v>16.3</v>
      </c>
      <c r="V6562" s="6">
        <v>1.1200000000000001</v>
      </c>
      <c r="W6562" s="6">
        <v>24.53</v>
      </c>
      <c r="X6562" s="6">
        <v>23.99</v>
      </c>
      <c r="Y6562" s="6">
        <v>26.61</v>
      </c>
      <c r="Z6562" s="6">
        <v>26.87</v>
      </c>
      <c r="AA6562" s="6">
        <v>20.29</v>
      </c>
      <c r="AB6562" s="7">
        <v>24.542000000000002</v>
      </c>
      <c r="AC6562" s="5">
        <v>337</v>
      </c>
    </row>
    <row r="6563" spans="1:29" ht="156" x14ac:dyDescent="0.15">
      <c r="A6563" s="3">
        <f>DATE(2002,5,15)</f>
        <v>37391</v>
      </c>
      <c r="B6563" s="3">
        <f>DATE(2002,6,26)</f>
        <v>37433</v>
      </c>
      <c r="C6563" s="2" t="s">
        <v>95</v>
      </c>
      <c r="D6563" s="2" t="s">
        <v>20006</v>
      </c>
      <c r="E6563" s="2" t="s">
        <v>20007</v>
      </c>
      <c r="F6563" s="4">
        <v>2369</v>
      </c>
      <c r="G6563" s="2" t="s">
        <v>708</v>
      </c>
      <c r="H6563" s="2" t="s">
        <v>34</v>
      </c>
      <c r="I6563" s="2" t="s">
        <v>20008</v>
      </c>
      <c r="J6563" s="2" t="s">
        <v>20009</v>
      </c>
      <c r="K6563" s="2" t="s">
        <v>708</v>
      </c>
      <c r="L6563" s="2" t="s">
        <v>34</v>
      </c>
      <c r="M6563" s="7">
        <v>642.43299999999999</v>
      </c>
      <c r="N6563" s="6">
        <v>27.15</v>
      </c>
      <c r="O6563" s="6">
        <v>27.96</v>
      </c>
      <c r="P6563" s="2" t="s">
        <v>20010</v>
      </c>
      <c r="Q6563" s="6">
        <v>100</v>
      </c>
      <c r="R6563" s="6">
        <v>6.85</v>
      </c>
      <c r="S6563" s="5">
        <v>12.3</v>
      </c>
      <c r="T6563" s="5">
        <v>25.2</v>
      </c>
      <c r="U6563" s="5">
        <v>7.2</v>
      </c>
      <c r="V6563" s="6">
        <v>0.62</v>
      </c>
      <c r="W6563" s="5">
        <v>6.8</v>
      </c>
      <c r="X6563" s="6">
        <v>8.25</v>
      </c>
      <c r="Y6563" s="6">
        <v>6.73</v>
      </c>
      <c r="Z6563" s="6">
        <v>6.76</v>
      </c>
      <c r="AA6563" s="6">
        <v>19.809999999999999</v>
      </c>
      <c r="AB6563" s="7">
        <v>5.2679999999999998</v>
      </c>
      <c r="AC6563" s="5">
        <v>152.1</v>
      </c>
    </row>
    <row r="6564" spans="1:29" ht="130" x14ac:dyDescent="0.15">
      <c r="A6564" s="3">
        <f>DATE(2002,5,16)</f>
        <v>37392</v>
      </c>
      <c r="B6564" s="2"/>
      <c r="C6564" s="2" t="s">
        <v>30</v>
      </c>
      <c r="D6564" s="2" t="s">
        <v>20011</v>
      </c>
      <c r="E6564" s="2" t="s">
        <v>20012</v>
      </c>
      <c r="F6564" s="4">
        <v>7374</v>
      </c>
      <c r="G6564" s="2" t="s">
        <v>223</v>
      </c>
      <c r="H6564" s="2" t="s">
        <v>34</v>
      </c>
      <c r="I6564" s="2" t="s">
        <v>19960</v>
      </c>
      <c r="J6564" s="2" t="s">
        <v>19961</v>
      </c>
      <c r="K6564" s="2" t="s">
        <v>223</v>
      </c>
      <c r="L6564" s="2" t="s">
        <v>34</v>
      </c>
      <c r="M6564" s="7">
        <v>611.10500000000002</v>
      </c>
      <c r="N6564" s="6">
        <v>31.94</v>
      </c>
      <c r="O6564" s="5">
        <v>32.299999999999997</v>
      </c>
      <c r="P6564" s="2" t="s">
        <v>20013</v>
      </c>
      <c r="Q6564" s="2"/>
      <c r="R6564" s="6">
        <v>13.75</v>
      </c>
      <c r="S6564" s="5">
        <v>4.3</v>
      </c>
      <c r="T6564" s="7">
        <v>12.353</v>
      </c>
      <c r="U6564" s="5">
        <v>4.2</v>
      </c>
      <c r="V6564" s="6">
        <v>0.72</v>
      </c>
      <c r="W6564" s="6">
        <v>5.95</v>
      </c>
      <c r="X6564" s="6">
        <v>6.85</v>
      </c>
      <c r="Y6564" s="6">
        <v>7.15</v>
      </c>
      <c r="Z6564" s="7">
        <v>12.045</v>
      </c>
      <c r="AA6564" s="6">
        <v>6.12</v>
      </c>
      <c r="AB6564" s="7">
        <v>11.689</v>
      </c>
      <c r="AC6564" s="5">
        <v>3.7</v>
      </c>
    </row>
    <row r="6565" spans="1:29" ht="130" x14ac:dyDescent="0.15">
      <c r="A6565" s="3">
        <f>DATE(2002,5,16)</f>
        <v>37392</v>
      </c>
      <c r="B6565" s="3">
        <f>DATE(2002,12,31)</f>
        <v>37621</v>
      </c>
      <c r="C6565" s="2" t="s">
        <v>95</v>
      </c>
      <c r="D6565" s="2" t="s">
        <v>20014</v>
      </c>
      <c r="E6565" s="2" t="s">
        <v>265</v>
      </c>
      <c r="F6565" s="4">
        <v>6712</v>
      </c>
      <c r="G6565" s="2" t="s">
        <v>37</v>
      </c>
      <c r="H6565" s="2" t="s">
        <v>34</v>
      </c>
      <c r="I6565" s="2" t="s">
        <v>20015</v>
      </c>
      <c r="J6565" s="2" t="s">
        <v>3780</v>
      </c>
      <c r="K6565" s="2" t="s">
        <v>37</v>
      </c>
      <c r="L6565" s="2" t="s">
        <v>34</v>
      </c>
      <c r="M6565" s="2"/>
      <c r="N6565" s="2"/>
      <c r="O6565" s="2"/>
      <c r="P6565" s="2" t="s">
        <v>20016</v>
      </c>
      <c r="Q6565" s="6">
        <v>100</v>
      </c>
      <c r="R6565" s="6">
        <v>26.5</v>
      </c>
      <c r="S6565" s="5">
        <v>1.4</v>
      </c>
      <c r="T6565" s="5">
        <v>3.8</v>
      </c>
      <c r="U6565" s="5">
        <v>9.6</v>
      </c>
      <c r="V6565" s="6">
        <v>0.43</v>
      </c>
      <c r="W6565" s="6">
        <v>18.25</v>
      </c>
      <c r="X6565" s="6">
        <v>18.239999999999998</v>
      </c>
      <c r="Y6565" s="6">
        <v>26.14</v>
      </c>
      <c r="Z6565" s="6">
        <v>26.15</v>
      </c>
      <c r="AA6565" s="6">
        <v>3.27</v>
      </c>
      <c r="AB6565" s="7">
        <v>171.00399999999999</v>
      </c>
      <c r="AC6565" s="2"/>
    </row>
    <row r="6566" spans="1:29" ht="156" x14ac:dyDescent="0.15">
      <c r="A6566" s="3">
        <f>DATE(2002,5,17)</f>
        <v>37393</v>
      </c>
      <c r="B6566" s="2"/>
      <c r="C6566" s="2" t="s">
        <v>30</v>
      </c>
      <c r="D6566" s="2" t="s">
        <v>20017</v>
      </c>
      <c r="E6566" s="2" t="s">
        <v>1181</v>
      </c>
      <c r="F6566" s="4">
        <v>6021</v>
      </c>
      <c r="G6566" s="2" t="s">
        <v>37</v>
      </c>
      <c r="H6566" s="2" t="s">
        <v>34</v>
      </c>
      <c r="I6566" s="2" t="s">
        <v>20018</v>
      </c>
      <c r="J6566" s="2" t="s">
        <v>1181</v>
      </c>
      <c r="K6566" s="2" t="s">
        <v>37</v>
      </c>
      <c r="L6566" s="2" t="s">
        <v>34</v>
      </c>
      <c r="M6566" s="7">
        <v>84.361000000000004</v>
      </c>
      <c r="N6566" s="7">
        <v>27.248999999999999</v>
      </c>
      <c r="O6566" s="6">
        <v>27.12</v>
      </c>
      <c r="P6566" s="2" t="s">
        <v>20019</v>
      </c>
      <c r="Q6566" s="2"/>
      <c r="R6566" s="2"/>
      <c r="S6566" s="2"/>
      <c r="T6566" s="2"/>
      <c r="U6566" s="2"/>
      <c r="V6566" s="2"/>
      <c r="W6566" s="6">
        <v>15.56</v>
      </c>
      <c r="X6566" s="5">
        <v>15.8</v>
      </c>
      <c r="Y6566" s="5">
        <v>15.8</v>
      </c>
      <c r="Z6566" s="4">
        <v>17</v>
      </c>
      <c r="AA6566" s="6">
        <v>1.19</v>
      </c>
      <c r="AB6566" s="2" t="s">
        <v>47</v>
      </c>
      <c r="AC6566" s="2"/>
    </row>
    <row r="6567" spans="1:29" ht="325" x14ac:dyDescent="0.15">
      <c r="A6567" s="3">
        <f>DATE(2002,5,17)</f>
        <v>37393</v>
      </c>
      <c r="B6567" s="2"/>
      <c r="C6567" s="2" t="s">
        <v>7330</v>
      </c>
      <c r="D6567" s="2" t="s">
        <v>20020</v>
      </c>
      <c r="E6567" s="2" t="s">
        <v>20021</v>
      </c>
      <c r="F6567" s="4">
        <v>3663</v>
      </c>
      <c r="G6567" s="2" t="s">
        <v>921</v>
      </c>
      <c r="H6567" s="2" t="s">
        <v>34</v>
      </c>
      <c r="I6567" s="2" t="s">
        <v>20022</v>
      </c>
      <c r="J6567" s="2" t="s">
        <v>20023</v>
      </c>
      <c r="K6567" s="2" t="s">
        <v>223</v>
      </c>
      <c r="L6567" s="2" t="s">
        <v>34</v>
      </c>
      <c r="M6567" s="2"/>
      <c r="N6567" s="2"/>
      <c r="O6567" s="2"/>
      <c r="P6567" s="2" t="s">
        <v>20024</v>
      </c>
      <c r="Q6567" s="2"/>
      <c r="R6567" s="6">
        <v>0.6</v>
      </c>
      <c r="S6567" s="5">
        <v>-10.8</v>
      </c>
      <c r="T6567" s="7">
        <v>-7.8739999999999997</v>
      </c>
      <c r="U6567" s="5">
        <v>-3.6</v>
      </c>
      <c r="V6567" s="6">
        <v>-4.01</v>
      </c>
      <c r="W6567" s="7">
        <v>29.687999999999999</v>
      </c>
      <c r="X6567" s="7">
        <v>29.687999999999999</v>
      </c>
      <c r="Y6567" s="7">
        <v>29.687999999999999</v>
      </c>
      <c r="Z6567" s="7">
        <v>29.687999999999999</v>
      </c>
      <c r="AA6567" s="6">
        <v>2.13</v>
      </c>
      <c r="AB6567" s="2" t="s">
        <v>86</v>
      </c>
      <c r="AC6567" s="2"/>
    </row>
    <row r="6568" spans="1:29" ht="273" x14ac:dyDescent="0.15">
      <c r="A6568" s="3">
        <f>DATE(2002,5,20)</f>
        <v>37396</v>
      </c>
      <c r="B6568" s="3">
        <f>DATE(2002,12,20)</f>
        <v>37610</v>
      </c>
      <c r="C6568" s="2" t="s">
        <v>95</v>
      </c>
      <c r="D6568" s="2" t="s">
        <v>20025</v>
      </c>
      <c r="E6568" s="2" t="s">
        <v>2037</v>
      </c>
      <c r="F6568" s="4">
        <v>3663</v>
      </c>
      <c r="G6568" s="2" t="s">
        <v>921</v>
      </c>
      <c r="H6568" s="2" t="s">
        <v>34</v>
      </c>
      <c r="I6568" s="2" t="s">
        <v>14179</v>
      </c>
      <c r="J6568" s="2" t="s">
        <v>14180</v>
      </c>
      <c r="K6568" s="2" t="s">
        <v>226</v>
      </c>
      <c r="L6568" s="2" t="s">
        <v>34</v>
      </c>
      <c r="M6568" s="7">
        <v>395.15699999999998</v>
      </c>
      <c r="N6568" s="6">
        <v>8.42</v>
      </c>
      <c r="O6568" s="6">
        <v>8.01</v>
      </c>
      <c r="P6568" s="2" t="s">
        <v>20026</v>
      </c>
      <c r="Q6568" s="6">
        <v>100</v>
      </c>
      <c r="R6568" s="6">
        <v>3.44</v>
      </c>
      <c r="S6568" s="5">
        <v>-34.4</v>
      </c>
      <c r="T6568" s="7">
        <v>-53.819000000000003</v>
      </c>
      <c r="U6568" s="5">
        <v>5.8</v>
      </c>
      <c r="V6568" s="6">
        <v>-3</v>
      </c>
      <c r="W6568" s="5">
        <v>10.6</v>
      </c>
      <c r="X6568" s="6">
        <v>10.85</v>
      </c>
      <c r="Y6568" s="6">
        <v>13.35</v>
      </c>
      <c r="Z6568" s="6">
        <v>13.38</v>
      </c>
      <c r="AA6568" s="6">
        <v>11.39</v>
      </c>
      <c r="AB6568" s="2" t="s">
        <v>86</v>
      </c>
      <c r="AC6568" s="5">
        <v>34.4</v>
      </c>
    </row>
    <row r="6569" spans="1:29" ht="143" x14ac:dyDescent="0.15">
      <c r="A6569" s="3">
        <f>DATE(2002,5,21)</f>
        <v>37397</v>
      </c>
      <c r="B6569" s="3">
        <f>DATE(2002,11,7)</f>
        <v>37567</v>
      </c>
      <c r="C6569" s="2" t="s">
        <v>95</v>
      </c>
      <c r="D6569" s="2" t="s">
        <v>10345</v>
      </c>
      <c r="E6569" s="2" t="s">
        <v>10346</v>
      </c>
      <c r="F6569" s="4">
        <v>6035</v>
      </c>
      <c r="G6569" s="2" t="s">
        <v>33</v>
      </c>
      <c r="H6569" s="2" t="s">
        <v>34</v>
      </c>
      <c r="I6569" s="2" t="s">
        <v>15550</v>
      </c>
      <c r="J6569" s="2" t="s">
        <v>6896</v>
      </c>
      <c r="K6569" s="2" t="s">
        <v>37</v>
      </c>
      <c r="L6569" s="2" t="s">
        <v>34</v>
      </c>
      <c r="M6569" s="12">
        <v>234191.49799999999</v>
      </c>
      <c r="N6569" s="6">
        <v>45.26</v>
      </c>
      <c r="O6569" s="4">
        <v>45</v>
      </c>
      <c r="P6569" s="2" t="s">
        <v>20027</v>
      </c>
      <c r="Q6569" s="6">
        <v>100</v>
      </c>
      <c r="R6569" s="6">
        <v>40.4</v>
      </c>
      <c r="S6569" s="5">
        <v>440.6</v>
      </c>
      <c r="T6569" s="7">
        <v>876.17600000000004</v>
      </c>
      <c r="U6569" s="5">
        <v>17.7</v>
      </c>
      <c r="V6569" s="6">
        <v>3.06</v>
      </c>
      <c r="W6569" s="6">
        <v>33.49</v>
      </c>
      <c r="X6569" s="6">
        <v>35.840000000000003</v>
      </c>
      <c r="Y6569" s="5">
        <v>36.5</v>
      </c>
      <c r="Z6569" s="6">
        <v>39.340000000000003</v>
      </c>
      <c r="AA6569" s="6">
        <v>143.49</v>
      </c>
      <c r="AB6569" s="7">
        <v>59.841999999999999</v>
      </c>
      <c r="AC6569" s="8">
        <v>183778</v>
      </c>
    </row>
    <row r="6570" spans="1:29" ht="182" x14ac:dyDescent="0.15">
      <c r="A6570" s="3">
        <f>DATE(2002,5,21)</f>
        <v>37397</v>
      </c>
      <c r="B6570" s="2"/>
      <c r="C6570" s="2" t="s">
        <v>30</v>
      </c>
      <c r="D6570" s="2" t="s">
        <v>18758</v>
      </c>
      <c r="E6570" s="2" t="s">
        <v>4601</v>
      </c>
      <c r="F6570" s="4">
        <v>5812</v>
      </c>
      <c r="G6570" s="2" t="s">
        <v>230</v>
      </c>
      <c r="H6570" s="2" t="s">
        <v>34</v>
      </c>
      <c r="I6570" s="2" t="s">
        <v>16697</v>
      </c>
      <c r="J6570" s="2" t="s">
        <v>150</v>
      </c>
      <c r="K6570" s="2" t="s">
        <v>53</v>
      </c>
      <c r="L6570" s="2" t="s">
        <v>34</v>
      </c>
      <c r="M6570" s="2"/>
      <c r="N6570" s="2"/>
      <c r="O6570" s="2"/>
      <c r="P6570" s="2" t="s">
        <v>20028</v>
      </c>
      <c r="Q6570" s="2"/>
      <c r="R6570" s="6">
        <v>17</v>
      </c>
      <c r="S6570" s="5">
        <v>0.5</v>
      </c>
      <c r="T6570" s="5">
        <v>18.5</v>
      </c>
      <c r="U6570" s="5">
        <v>0.5</v>
      </c>
      <c r="V6570" s="6">
        <v>0.11</v>
      </c>
      <c r="W6570" s="5">
        <v>15.5</v>
      </c>
      <c r="X6570" s="6">
        <v>15.23</v>
      </c>
      <c r="Y6570" s="4">
        <v>15</v>
      </c>
      <c r="Z6570" s="6">
        <v>14.18</v>
      </c>
      <c r="AA6570" s="6">
        <v>4.1900000000000004</v>
      </c>
      <c r="AB6570" s="7">
        <v>17.747</v>
      </c>
      <c r="AC6570" s="2"/>
    </row>
    <row r="6571" spans="1:29" ht="182" x14ac:dyDescent="0.15">
      <c r="A6571" s="3">
        <f>DATE(2002,5,21)</f>
        <v>37397</v>
      </c>
      <c r="B6571" s="3">
        <f>DATE(2002,7,25)</f>
        <v>37462</v>
      </c>
      <c r="C6571" s="2" t="s">
        <v>95</v>
      </c>
      <c r="D6571" s="2" t="s">
        <v>18758</v>
      </c>
      <c r="E6571" s="2" t="s">
        <v>4601</v>
      </c>
      <c r="F6571" s="4">
        <v>5812</v>
      </c>
      <c r="G6571" s="2" t="s">
        <v>230</v>
      </c>
      <c r="H6571" s="2" t="s">
        <v>34</v>
      </c>
      <c r="I6571" s="2" t="s">
        <v>20029</v>
      </c>
      <c r="J6571" s="2" t="s">
        <v>244</v>
      </c>
      <c r="K6571" s="2" t="s">
        <v>53</v>
      </c>
      <c r="L6571" s="2" t="s">
        <v>34</v>
      </c>
      <c r="M6571" s="2"/>
      <c r="N6571" s="2"/>
      <c r="O6571" s="2"/>
      <c r="P6571" s="2" t="s">
        <v>20030</v>
      </c>
      <c r="Q6571" s="6">
        <v>100</v>
      </c>
      <c r="R6571" s="6">
        <v>17</v>
      </c>
      <c r="S6571" s="5">
        <v>0.5</v>
      </c>
      <c r="T6571" s="5">
        <v>18.5</v>
      </c>
      <c r="U6571" s="5">
        <v>0.5</v>
      </c>
      <c r="V6571" s="6">
        <v>0.11</v>
      </c>
      <c r="W6571" s="5">
        <v>15.5</v>
      </c>
      <c r="X6571" s="6">
        <v>15.23</v>
      </c>
      <c r="Y6571" s="4">
        <v>15</v>
      </c>
      <c r="Z6571" s="6">
        <v>14.18</v>
      </c>
      <c r="AA6571" s="6">
        <v>4.18</v>
      </c>
      <c r="AB6571" s="7">
        <v>17.68</v>
      </c>
      <c r="AC6571" s="2"/>
    </row>
    <row r="6572" spans="1:29" ht="39" x14ac:dyDescent="0.15">
      <c r="A6572" s="3">
        <f>DATE(2002,5,22)</f>
        <v>37398</v>
      </c>
      <c r="B6572" s="2"/>
      <c r="C6572" s="2" t="s">
        <v>7330</v>
      </c>
      <c r="D6572" s="2" t="s">
        <v>20031</v>
      </c>
      <c r="E6572" s="2" t="s">
        <v>20032</v>
      </c>
      <c r="F6572" s="4">
        <v>8062</v>
      </c>
      <c r="G6572" s="2" t="s">
        <v>454</v>
      </c>
      <c r="H6572" s="2" t="s">
        <v>34</v>
      </c>
      <c r="I6572" s="2" t="s">
        <v>138</v>
      </c>
      <c r="J6572" s="2" t="s">
        <v>139</v>
      </c>
      <c r="K6572" s="2" t="s">
        <v>53</v>
      </c>
      <c r="L6572" s="2" t="s">
        <v>139</v>
      </c>
      <c r="M6572" s="2"/>
      <c r="N6572" s="2"/>
      <c r="O6572" s="2"/>
      <c r="P6572" s="2" t="s">
        <v>20033</v>
      </c>
      <c r="Q6572" s="2"/>
      <c r="R6572" s="2"/>
      <c r="S6572" s="5">
        <v>0.7</v>
      </c>
      <c r="T6572" s="5">
        <v>4.4000000000000004</v>
      </c>
      <c r="U6572" s="5">
        <v>0.5</v>
      </c>
      <c r="V6572" s="6">
        <v>0.04</v>
      </c>
      <c r="W6572" s="6">
        <v>2.25</v>
      </c>
      <c r="X6572" s="6">
        <v>3.23</v>
      </c>
      <c r="Y6572" s="5">
        <v>3.4</v>
      </c>
      <c r="Z6572" s="6">
        <v>3.51</v>
      </c>
      <c r="AA6572" s="6">
        <v>14.16</v>
      </c>
      <c r="AB6572" s="2" t="s">
        <v>47</v>
      </c>
      <c r="AC6572" s="2"/>
    </row>
    <row r="6573" spans="1:29" ht="156" x14ac:dyDescent="0.15">
      <c r="A6573" s="3">
        <f>DATE(2002,5,23)</f>
        <v>37399</v>
      </c>
      <c r="B6573" s="3">
        <f>DATE(2002,10,29)</f>
        <v>37558</v>
      </c>
      <c r="C6573" s="2" t="s">
        <v>95</v>
      </c>
      <c r="D6573" s="2" t="s">
        <v>15675</v>
      </c>
      <c r="E6573" s="2" t="s">
        <v>15676</v>
      </c>
      <c r="F6573" s="4">
        <v>3825</v>
      </c>
      <c r="G6573" s="2" t="s">
        <v>226</v>
      </c>
      <c r="H6573" s="2" t="s">
        <v>34</v>
      </c>
      <c r="I6573" s="2" t="s">
        <v>19877</v>
      </c>
      <c r="J6573" s="2" t="s">
        <v>19878</v>
      </c>
      <c r="K6573" s="2" t="s">
        <v>921</v>
      </c>
      <c r="L6573" s="2" t="s">
        <v>34</v>
      </c>
      <c r="M6573" s="6">
        <v>135.69</v>
      </c>
      <c r="N6573" s="6">
        <v>5.29</v>
      </c>
      <c r="O6573" s="6">
        <v>5.0199999999999996</v>
      </c>
      <c r="P6573" s="2" t="s">
        <v>20034</v>
      </c>
      <c r="Q6573" s="6">
        <v>100</v>
      </c>
      <c r="R6573" s="6">
        <v>16.84</v>
      </c>
      <c r="S6573" s="5">
        <v>-2.2999999999999998</v>
      </c>
      <c r="T6573" s="5">
        <v>0.6</v>
      </c>
      <c r="U6573" s="5">
        <v>11.1</v>
      </c>
      <c r="V6573" s="6">
        <v>-0.36</v>
      </c>
      <c r="W6573" s="6">
        <v>11.22</v>
      </c>
      <c r="X6573" s="6">
        <v>11.41</v>
      </c>
      <c r="Y6573" s="5">
        <v>13.8</v>
      </c>
      <c r="Z6573" s="5">
        <v>13.3</v>
      </c>
      <c r="AA6573" s="6">
        <v>6.25</v>
      </c>
      <c r="AB6573" s="2" t="s">
        <v>86</v>
      </c>
      <c r="AC6573" s="5">
        <v>49.6</v>
      </c>
    </row>
    <row r="6574" spans="1:29" ht="65" x14ac:dyDescent="0.15">
      <c r="A6574" s="3">
        <f>DATE(2002,5,28)</f>
        <v>37404</v>
      </c>
      <c r="B6574" s="3">
        <f>DATE(2002,5,28)</f>
        <v>37404</v>
      </c>
      <c r="C6574" s="2" t="s">
        <v>95</v>
      </c>
      <c r="D6574" s="2" t="s">
        <v>15830</v>
      </c>
      <c r="E6574" s="2" t="s">
        <v>15831</v>
      </c>
      <c r="F6574" s="4">
        <v>3841</v>
      </c>
      <c r="G6574" s="2" t="s">
        <v>226</v>
      </c>
      <c r="H6574" s="2" t="s">
        <v>34</v>
      </c>
      <c r="I6574" s="2" t="s">
        <v>20035</v>
      </c>
      <c r="J6574" s="2" t="s">
        <v>302</v>
      </c>
      <c r="K6574" s="2" t="s">
        <v>53</v>
      </c>
      <c r="L6574" s="2" t="s">
        <v>34</v>
      </c>
      <c r="M6574" s="2"/>
      <c r="N6574" s="2"/>
      <c r="O6574" s="2"/>
      <c r="P6574" s="2" t="s">
        <v>20036</v>
      </c>
      <c r="Q6574" s="6">
        <v>84.84</v>
      </c>
      <c r="R6574" s="2"/>
      <c r="S6574" s="5">
        <v>-7.8</v>
      </c>
      <c r="T6574" s="7">
        <v>-2.6749999999999998</v>
      </c>
      <c r="U6574" s="5">
        <v>0.8</v>
      </c>
      <c r="V6574" s="6">
        <v>-1.22</v>
      </c>
      <c r="W6574" s="5">
        <v>1.4</v>
      </c>
      <c r="X6574" s="6">
        <v>1.95</v>
      </c>
      <c r="Y6574" s="5">
        <v>2.5</v>
      </c>
      <c r="Z6574" s="4">
        <v>2</v>
      </c>
      <c r="AA6574" s="6">
        <v>11.57</v>
      </c>
      <c r="AB6574" s="2" t="s">
        <v>86</v>
      </c>
      <c r="AC6574" s="2"/>
    </row>
    <row r="6575" spans="1:29" ht="195" x14ac:dyDescent="0.15">
      <c r="A6575" s="3">
        <f>DATE(2002,5,29)</f>
        <v>37405</v>
      </c>
      <c r="B6575" s="3">
        <f>DATE(2002,11,26)</f>
        <v>37586</v>
      </c>
      <c r="C6575" s="2" t="s">
        <v>95</v>
      </c>
      <c r="D6575" s="2" t="s">
        <v>20037</v>
      </c>
      <c r="E6575" s="2" t="s">
        <v>612</v>
      </c>
      <c r="F6575" s="4">
        <v>1311</v>
      </c>
      <c r="G6575" s="2" t="s">
        <v>148</v>
      </c>
      <c r="H6575" s="2" t="s">
        <v>34</v>
      </c>
      <c r="I6575" s="2" t="s">
        <v>20038</v>
      </c>
      <c r="J6575" s="2" t="s">
        <v>1608</v>
      </c>
      <c r="K6575" s="2" t="s">
        <v>148</v>
      </c>
      <c r="L6575" s="2" t="s">
        <v>34</v>
      </c>
      <c r="M6575" s="12">
        <v>1698.6130000000001</v>
      </c>
      <c r="N6575" s="6">
        <v>36.549999999999997</v>
      </c>
      <c r="O6575" s="6">
        <v>35.31</v>
      </c>
      <c r="P6575" s="2" t="s">
        <v>20039</v>
      </c>
      <c r="Q6575" s="6">
        <v>100</v>
      </c>
      <c r="R6575" s="6">
        <v>2.09</v>
      </c>
      <c r="S6575" s="5">
        <v>-141.5</v>
      </c>
      <c r="T6575" s="5">
        <v>82.7</v>
      </c>
      <c r="U6575" s="5">
        <v>3.7</v>
      </c>
      <c r="V6575" s="6">
        <v>-3.8</v>
      </c>
      <c r="W6575" s="6">
        <v>1.75</v>
      </c>
      <c r="X6575" s="6">
        <v>1.88</v>
      </c>
      <c r="Y6575" s="5">
        <v>1.9</v>
      </c>
      <c r="Z6575" s="6">
        <v>2.02</v>
      </c>
      <c r="AA6575" s="6">
        <v>42.49</v>
      </c>
      <c r="AB6575" s="7">
        <v>21.59</v>
      </c>
      <c r="AC6575" s="6">
        <v>25.13</v>
      </c>
    </row>
    <row r="6576" spans="1:29" ht="130" x14ac:dyDescent="0.15">
      <c r="A6576" s="3">
        <f>DATE(2002,5,29)</f>
        <v>37405</v>
      </c>
      <c r="B6576" s="2"/>
      <c r="C6576" s="2" t="s">
        <v>7330</v>
      </c>
      <c r="D6576" s="2" t="s">
        <v>8169</v>
      </c>
      <c r="E6576" s="2" t="s">
        <v>36</v>
      </c>
      <c r="F6576" s="4">
        <v>6712</v>
      </c>
      <c r="G6576" s="2" t="s">
        <v>37</v>
      </c>
      <c r="H6576" s="2" t="s">
        <v>34</v>
      </c>
      <c r="I6576" s="2" t="s">
        <v>20040</v>
      </c>
      <c r="J6576" s="2" t="s">
        <v>9396</v>
      </c>
      <c r="K6576" s="2" t="s">
        <v>37</v>
      </c>
      <c r="L6576" s="2" t="s">
        <v>34</v>
      </c>
      <c r="M6576" s="2"/>
      <c r="N6576" s="2"/>
      <c r="O6576" s="2"/>
      <c r="P6576" s="2" t="s">
        <v>20041</v>
      </c>
      <c r="Q6576" s="2"/>
      <c r="R6576" s="2"/>
      <c r="S6576" s="5">
        <v>40.5</v>
      </c>
      <c r="T6576" s="2"/>
      <c r="U6576" s="5">
        <v>22.2</v>
      </c>
      <c r="V6576" s="6">
        <v>3.05</v>
      </c>
      <c r="W6576" s="4">
        <v>38</v>
      </c>
      <c r="X6576" s="5">
        <v>36.6</v>
      </c>
      <c r="Y6576" s="5">
        <v>36.6</v>
      </c>
      <c r="Z6576" s="6">
        <v>36.93</v>
      </c>
      <c r="AA6576" s="6">
        <v>10.36</v>
      </c>
      <c r="AB6576" s="2" t="s">
        <v>47</v>
      </c>
      <c r="AC6576" s="2"/>
    </row>
    <row r="6577" spans="1:29" ht="117" x14ac:dyDescent="0.15">
      <c r="A6577" s="3">
        <f>DATE(2002,5,29)</f>
        <v>37405</v>
      </c>
      <c r="B6577" s="3">
        <f>DATE(2002,8,1)</f>
        <v>37469</v>
      </c>
      <c r="C6577" s="2" t="s">
        <v>95</v>
      </c>
      <c r="D6577" s="2" t="s">
        <v>20042</v>
      </c>
      <c r="E6577" s="2" t="s">
        <v>849</v>
      </c>
      <c r="F6577" s="4">
        <v>7372</v>
      </c>
      <c r="G6577" s="2" t="s">
        <v>551</v>
      </c>
      <c r="H6577" s="2" t="s">
        <v>34</v>
      </c>
      <c r="I6577" s="2" t="s">
        <v>20043</v>
      </c>
      <c r="J6577" s="2" t="s">
        <v>20044</v>
      </c>
      <c r="K6577" s="2" t="s">
        <v>551</v>
      </c>
      <c r="L6577" s="2" t="s">
        <v>34</v>
      </c>
      <c r="M6577" s="7">
        <v>979.31899999999996</v>
      </c>
      <c r="N6577" s="6">
        <v>6.14</v>
      </c>
      <c r="O6577" s="6">
        <v>6.06</v>
      </c>
      <c r="P6577" s="2" t="s">
        <v>20045</v>
      </c>
      <c r="Q6577" s="6">
        <v>100</v>
      </c>
      <c r="R6577" s="6">
        <v>2.2599999999999998</v>
      </c>
      <c r="S6577" s="5">
        <v>-31.5</v>
      </c>
      <c r="T6577" s="5">
        <v>-28.3</v>
      </c>
      <c r="U6577" s="5">
        <v>3</v>
      </c>
      <c r="V6577" s="6">
        <v>-1.26</v>
      </c>
      <c r="W6577" s="6">
        <v>1.05</v>
      </c>
      <c r="X6577" s="6">
        <v>1.06</v>
      </c>
      <c r="Y6577" s="6">
        <v>2.2200000000000002</v>
      </c>
      <c r="Z6577" s="6">
        <v>2.2200000000000002</v>
      </c>
      <c r="AA6577" s="6">
        <v>25.31</v>
      </c>
      <c r="AB6577" s="2" t="s">
        <v>86</v>
      </c>
      <c r="AC6577" s="5">
        <v>117.7</v>
      </c>
    </row>
    <row r="6578" spans="1:29" ht="247" x14ac:dyDescent="0.15">
      <c r="A6578" s="3">
        <f>DATE(2002,5,30)</f>
        <v>37406</v>
      </c>
      <c r="B6578" s="2"/>
      <c r="C6578" s="2" t="s">
        <v>30</v>
      </c>
      <c r="D6578" s="2" t="s">
        <v>20046</v>
      </c>
      <c r="E6578" s="2" t="s">
        <v>4601</v>
      </c>
      <c r="F6578" s="4">
        <v>5812</v>
      </c>
      <c r="G6578" s="2" t="s">
        <v>230</v>
      </c>
      <c r="H6578" s="2" t="s">
        <v>34</v>
      </c>
      <c r="I6578" s="2" t="s">
        <v>51</v>
      </c>
      <c r="J6578" s="2" t="s">
        <v>52</v>
      </c>
      <c r="K6578" s="2" t="s">
        <v>53</v>
      </c>
      <c r="L6578" s="2" t="s">
        <v>34</v>
      </c>
      <c r="M6578" s="2"/>
      <c r="N6578" s="2"/>
      <c r="O6578" s="2"/>
      <c r="P6578" s="2" t="s">
        <v>20047</v>
      </c>
      <c r="Q6578" s="2"/>
      <c r="R6578" s="6">
        <v>13.5</v>
      </c>
      <c r="S6578" s="5">
        <v>7.4</v>
      </c>
      <c r="T6578" s="5">
        <v>48.5</v>
      </c>
      <c r="U6578" s="5">
        <v>12.8</v>
      </c>
      <c r="V6578" s="6">
        <v>0.56999999999999995</v>
      </c>
      <c r="W6578" s="6">
        <v>10.039999999999999</v>
      </c>
      <c r="X6578" s="6">
        <v>10.35</v>
      </c>
      <c r="Y6578" s="6">
        <v>10.59</v>
      </c>
      <c r="Z6578" s="6">
        <v>12.13</v>
      </c>
      <c r="AA6578" s="6">
        <v>13.27</v>
      </c>
      <c r="AB6578" s="7">
        <v>13.847</v>
      </c>
      <c r="AC6578" s="2"/>
    </row>
    <row r="6579" spans="1:29" ht="130" x14ac:dyDescent="0.15">
      <c r="A6579" s="3">
        <f>DATE(2002,5,30)</f>
        <v>37406</v>
      </c>
      <c r="B6579" s="3">
        <f>DATE(2002,7,31)</f>
        <v>37468</v>
      </c>
      <c r="C6579" s="2" t="s">
        <v>95</v>
      </c>
      <c r="D6579" s="2" t="s">
        <v>20048</v>
      </c>
      <c r="E6579" s="2" t="s">
        <v>20049</v>
      </c>
      <c r="F6579" s="4">
        <v>7374</v>
      </c>
      <c r="G6579" s="2" t="s">
        <v>223</v>
      </c>
      <c r="H6579" s="2" t="s">
        <v>34</v>
      </c>
      <c r="I6579" s="2" t="s">
        <v>20050</v>
      </c>
      <c r="J6579" s="2" t="s">
        <v>20051</v>
      </c>
      <c r="K6579" s="2" t="s">
        <v>223</v>
      </c>
      <c r="L6579" s="2" t="s">
        <v>34</v>
      </c>
      <c r="M6579" s="6">
        <v>271.66000000000003</v>
      </c>
      <c r="N6579" s="6">
        <v>16.850000000000001</v>
      </c>
      <c r="O6579" s="5">
        <v>16.7</v>
      </c>
      <c r="P6579" s="2" t="s">
        <v>20052</v>
      </c>
      <c r="Q6579" s="6">
        <v>100</v>
      </c>
      <c r="R6579" s="6">
        <v>3</v>
      </c>
      <c r="S6579" s="5">
        <v>-20.100000000000001</v>
      </c>
      <c r="T6579" s="5">
        <v>7.8</v>
      </c>
      <c r="U6579" s="5">
        <v>2</v>
      </c>
      <c r="V6579" s="6">
        <v>-0.91</v>
      </c>
      <c r="W6579" s="6">
        <v>2.08</v>
      </c>
      <c r="X6579" s="6">
        <v>2.23</v>
      </c>
      <c r="Y6579" s="4">
        <v>2</v>
      </c>
      <c r="Z6579" s="6">
        <v>2.97</v>
      </c>
      <c r="AA6579" s="6">
        <v>22.93</v>
      </c>
      <c r="AB6579" s="2" t="s">
        <v>86</v>
      </c>
      <c r="AC6579" s="5">
        <v>54.6</v>
      </c>
    </row>
    <row r="6580" spans="1:29" ht="104" x14ac:dyDescent="0.15">
      <c r="A6580" s="3">
        <f>DATE(2002,5,31)</f>
        <v>37407</v>
      </c>
      <c r="B6580" s="2"/>
      <c r="C6580" s="2" t="s">
        <v>30</v>
      </c>
      <c r="D6580" s="2" t="s">
        <v>20053</v>
      </c>
      <c r="E6580" s="2" t="s">
        <v>263</v>
      </c>
      <c r="F6580" s="4">
        <v>6712</v>
      </c>
      <c r="G6580" s="2" t="s">
        <v>37</v>
      </c>
      <c r="H6580" s="2" t="s">
        <v>34</v>
      </c>
      <c r="I6580" s="2" t="s">
        <v>19289</v>
      </c>
      <c r="J6580" s="2" t="s">
        <v>263</v>
      </c>
      <c r="K6580" s="2" t="s">
        <v>37</v>
      </c>
      <c r="L6580" s="2" t="s">
        <v>34</v>
      </c>
      <c r="M6580" s="7">
        <v>65.572000000000003</v>
      </c>
      <c r="N6580" s="4">
        <v>23</v>
      </c>
      <c r="O6580" s="4">
        <v>23</v>
      </c>
      <c r="P6580" s="2" t="s">
        <v>20054</v>
      </c>
      <c r="Q6580" s="2"/>
      <c r="R6580" s="2"/>
      <c r="S6580" s="5">
        <v>2.1</v>
      </c>
      <c r="T6580" s="2"/>
      <c r="U6580" s="5">
        <v>14.3</v>
      </c>
      <c r="V6580" s="6">
        <v>1.37</v>
      </c>
      <c r="W6580" s="5">
        <v>16.5</v>
      </c>
      <c r="X6580" s="5">
        <v>17.399999999999999</v>
      </c>
      <c r="Y6580" s="4">
        <v>22</v>
      </c>
      <c r="Z6580" s="4">
        <v>22</v>
      </c>
      <c r="AA6580" s="6">
        <v>1.54</v>
      </c>
      <c r="AB6580" s="2" t="s">
        <v>47</v>
      </c>
      <c r="AC6580" s="2"/>
    </row>
    <row r="6581" spans="1:29" ht="273" x14ac:dyDescent="0.15">
      <c r="A6581" s="3">
        <f>DATE(2002,5,31)</f>
        <v>37407</v>
      </c>
      <c r="B6581" s="3">
        <f>DATE(2003,8,8)</f>
        <v>37841</v>
      </c>
      <c r="C6581" s="2" t="s">
        <v>95</v>
      </c>
      <c r="D6581" s="2" t="s">
        <v>19108</v>
      </c>
      <c r="E6581" s="2" t="s">
        <v>19109</v>
      </c>
      <c r="F6581" s="4">
        <v>4724</v>
      </c>
      <c r="G6581" s="2" t="s">
        <v>173</v>
      </c>
      <c r="H6581" s="2" t="s">
        <v>34</v>
      </c>
      <c r="I6581" s="2" t="s">
        <v>20055</v>
      </c>
      <c r="J6581" s="2" t="s">
        <v>13763</v>
      </c>
      <c r="K6581" s="2" t="s">
        <v>45</v>
      </c>
      <c r="L6581" s="2" t="s">
        <v>34</v>
      </c>
      <c r="M6581" s="12">
        <v>13491.784</v>
      </c>
      <c r="N6581" s="5">
        <v>28.5</v>
      </c>
      <c r="O6581" s="5">
        <v>24.9</v>
      </c>
      <c r="P6581" s="2" t="s">
        <v>20056</v>
      </c>
      <c r="Q6581" s="6">
        <v>53.46</v>
      </c>
      <c r="R6581" s="6">
        <v>51.36</v>
      </c>
      <c r="S6581" s="5">
        <v>66.3</v>
      </c>
      <c r="T6581" s="7">
        <v>155.505</v>
      </c>
      <c r="U6581" s="5">
        <v>4.7</v>
      </c>
      <c r="V6581" s="6">
        <v>0.52</v>
      </c>
      <c r="W6581" s="7">
        <v>40.465000000000003</v>
      </c>
      <c r="X6581" s="6">
        <v>37.83</v>
      </c>
      <c r="Y6581" s="5">
        <v>71.5</v>
      </c>
      <c r="Z6581" s="6">
        <v>73.63</v>
      </c>
      <c r="AA6581" s="6">
        <v>118.52</v>
      </c>
      <c r="AB6581" s="7">
        <v>57.722999999999999</v>
      </c>
      <c r="AC6581" s="8">
        <v>1709.6</v>
      </c>
    </row>
    <row r="6582" spans="1:29" ht="195" x14ac:dyDescent="0.15">
      <c r="A6582" s="3">
        <f>DATE(2002,5,31)</f>
        <v>37407</v>
      </c>
      <c r="B6582" s="2"/>
      <c r="C6582" s="2" t="s">
        <v>30</v>
      </c>
      <c r="D6582" s="2" t="s">
        <v>20057</v>
      </c>
      <c r="E6582" s="2" t="s">
        <v>18282</v>
      </c>
      <c r="F6582" s="4">
        <v>4724</v>
      </c>
      <c r="G6582" s="2" t="s">
        <v>173</v>
      </c>
      <c r="H6582" s="2" t="s">
        <v>34</v>
      </c>
      <c r="I6582" s="2" t="s">
        <v>20055</v>
      </c>
      <c r="J6582" s="2" t="s">
        <v>13763</v>
      </c>
      <c r="K6582" s="2" t="s">
        <v>45</v>
      </c>
      <c r="L6582" s="2" t="s">
        <v>34</v>
      </c>
      <c r="M6582" s="12">
        <v>12419.239</v>
      </c>
      <c r="N6582" s="5">
        <v>28.5</v>
      </c>
      <c r="O6582" s="5">
        <v>24.9</v>
      </c>
      <c r="P6582" s="2" t="s">
        <v>20058</v>
      </c>
      <c r="Q6582" s="2"/>
      <c r="R6582" s="6">
        <v>51.48</v>
      </c>
      <c r="S6582" s="5">
        <v>24</v>
      </c>
      <c r="T6582" s="7">
        <v>72.304000000000002</v>
      </c>
      <c r="U6582" s="5">
        <v>9.9</v>
      </c>
      <c r="V6582" s="6">
        <v>0.41</v>
      </c>
      <c r="W6582" s="6">
        <v>51.76</v>
      </c>
      <c r="X6582" s="7">
        <v>49.710999999999999</v>
      </c>
      <c r="Y6582" s="6">
        <v>47.89</v>
      </c>
      <c r="Z6582" s="6">
        <v>49.05</v>
      </c>
      <c r="AA6582" s="6">
        <v>60.25</v>
      </c>
      <c r="AB6582" s="7">
        <v>80.081999999999994</v>
      </c>
      <c r="AC6582" s="8">
        <v>1709.6</v>
      </c>
    </row>
    <row r="6583" spans="1:29" ht="104" x14ac:dyDescent="0.15">
      <c r="A6583" s="3">
        <f>DATE(2002,6,3)</f>
        <v>37410</v>
      </c>
      <c r="B6583" s="3">
        <f>DATE(2002,12,3)</f>
        <v>37593</v>
      </c>
      <c r="C6583" s="2" t="s">
        <v>95</v>
      </c>
      <c r="D6583" s="2" t="s">
        <v>20059</v>
      </c>
      <c r="E6583" s="2" t="s">
        <v>1181</v>
      </c>
      <c r="F6583" s="4">
        <v>6021</v>
      </c>
      <c r="G6583" s="2" t="s">
        <v>37</v>
      </c>
      <c r="H6583" s="2" t="s">
        <v>34</v>
      </c>
      <c r="I6583" s="2" t="s">
        <v>20060</v>
      </c>
      <c r="J6583" s="2" t="s">
        <v>159</v>
      </c>
      <c r="K6583" s="2" t="s">
        <v>37</v>
      </c>
      <c r="L6583" s="2" t="s">
        <v>34</v>
      </c>
      <c r="M6583" s="7">
        <v>69.596999999999994</v>
      </c>
      <c r="N6583" s="6">
        <v>28.45</v>
      </c>
      <c r="O6583" s="6">
        <v>28.45</v>
      </c>
      <c r="P6583" s="2" t="s">
        <v>20061</v>
      </c>
      <c r="Q6583" s="6">
        <v>100</v>
      </c>
      <c r="R6583" s="6">
        <v>30</v>
      </c>
      <c r="S6583" s="2"/>
      <c r="T6583" s="2"/>
      <c r="U6583" s="2"/>
      <c r="V6583" s="2"/>
      <c r="W6583" s="5">
        <v>25.5</v>
      </c>
      <c r="X6583" s="5">
        <v>25.5</v>
      </c>
      <c r="Y6583" s="5">
        <v>25.5</v>
      </c>
      <c r="Z6583" s="5">
        <v>25.5</v>
      </c>
      <c r="AA6583" s="6">
        <v>0.68</v>
      </c>
      <c r="AB6583" s="2" t="s">
        <v>47</v>
      </c>
      <c r="AC6583" s="2"/>
    </row>
    <row r="6584" spans="1:29" ht="130" x14ac:dyDescent="0.15">
      <c r="A6584" s="3">
        <f>DATE(2002,6,3)</f>
        <v>37410</v>
      </c>
      <c r="B6584" s="2"/>
      <c r="C6584" s="2" t="s">
        <v>141</v>
      </c>
      <c r="D6584" s="2" t="s">
        <v>20062</v>
      </c>
      <c r="E6584" s="2" t="s">
        <v>20063</v>
      </c>
      <c r="F6584" s="4">
        <v>7389</v>
      </c>
      <c r="G6584" s="2" t="s">
        <v>223</v>
      </c>
      <c r="H6584" s="2" t="s">
        <v>34</v>
      </c>
      <c r="I6584" s="2" t="s">
        <v>143</v>
      </c>
      <c r="J6584" s="2" t="s">
        <v>144</v>
      </c>
      <c r="K6584" s="2" t="s">
        <v>53</v>
      </c>
      <c r="L6584" s="2" t="s">
        <v>139</v>
      </c>
      <c r="M6584" s="2"/>
      <c r="N6584" s="2"/>
      <c r="O6584" s="2"/>
      <c r="P6584" s="2" t="s">
        <v>20064</v>
      </c>
      <c r="Q6584" s="2"/>
      <c r="R6584" s="2"/>
      <c r="S6584" s="5">
        <v>-42.3</v>
      </c>
      <c r="T6584" s="7">
        <v>-4.5129999999999999</v>
      </c>
      <c r="U6584" s="5">
        <v>2.7</v>
      </c>
      <c r="V6584" s="6">
        <v>-0.69</v>
      </c>
      <c r="W6584" s="6">
        <v>14.45</v>
      </c>
      <c r="X6584" s="6">
        <v>14.01</v>
      </c>
      <c r="Y6584" s="6">
        <v>13.81</v>
      </c>
      <c r="Z6584" s="6">
        <v>14.05</v>
      </c>
      <c r="AA6584" s="6">
        <v>61.47</v>
      </c>
      <c r="AB6584" s="2" t="s">
        <v>86</v>
      </c>
      <c r="AC6584" s="2"/>
    </row>
    <row r="6585" spans="1:29" ht="143" x14ac:dyDescent="0.15">
      <c r="A6585" s="3">
        <f>DATE(2002,6,3)</f>
        <v>37410</v>
      </c>
      <c r="B6585" s="2"/>
      <c r="C6585" s="2" t="s">
        <v>30</v>
      </c>
      <c r="D6585" s="2" t="s">
        <v>20065</v>
      </c>
      <c r="E6585" s="2" t="s">
        <v>20066</v>
      </c>
      <c r="F6585" s="4">
        <v>5812</v>
      </c>
      <c r="G6585" s="2" t="s">
        <v>230</v>
      </c>
      <c r="H6585" s="2" t="s">
        <v>34</v>
      </c>
      <c r="I6585" s="2" t="s">
        <v>51</v>
      </c>
      <c r="J6585" s="2" t="s">
        <v>52</v>
      </c>
      <c r="K6585" s="2" t="s">
        <v>53</v>
      </c>
      <c r="L6585" s="2" t="s">
        <v>34</v>
      </c>
      <c r="M6585" s="2"/>
      <c r="N6585" s="2"/>
      <c r="O6585" s="2"/>
      <c r="P6585" s="2" t="s">
        <v>20067</v>
      </c>
      <c r="Q6585" s="2"/>
      <c r="R6585" s="6">
        <v>1.75</v>
      </c>
      <c r="S6585" s="5">
        <v>-3.2</v>
      </c>
      <c r="T6585" s="5">
        <v>3.9</v>
      </c>
      <c r="U6585" s="5">
        <v>2.2000000000000002</v>
      </c>
      <c r="V6585" s="6">
        <v>-0.53</v>
      </c>
      <c r="W6585" s="6">
        <v>1.25</v>
      </c>
      <c r="X6585" s="6">
        <v>1.66</v>
      </c>
      <c r="Y6585" s="6">
        <v>1.66</v>
      </c>
      <c r="Z6585" s="6">
        <v>1.74</v>
      </c>
      <c r="AA6585" s="6">
        <v>5.92</v>
      </c>
      <c r="AB6585" s="7">
        <v>15.566000000000001</v>
      </c>
      <c r="AC6585" s="2"/>
    </row>
    <row r="6586" spans="1:29" ht="65" x14ac:dyDescent="0.15">
      <c r="A6586" s="3">
        <f>DATE(2002,6,6)</f>
        <v>37413</v>
      </c>
      <c r="B6586" s="2"/>
      <c r="C6586" s="2" t="s">
        <v>30</v>
      </c>
      <c r="D6586" s="2" t="s">
        <v>20068</v>
      </c>
      <c r="E6586" s="2" t="s">
        <v>20069</v>
      </c>
      <c r="F6586" s="4">
        <v>8099</v>
      </c>
      <c r="G6586" s="2" t="s">
        <v>454</v>
      </c>
      <c r="H6586" s="2" t="s">
        <v>34</v>
      </c>
      <c r="I6586" s="2" t="s">
        <v>20070</v>
      </c>
      <c r="J6586" s="2" t="s">
        <v>14030</v>
      </c>
      <c r="K6586" s="2" t="s">
        <v>454</v>
      </c>
      <c r="L6586" s="2" t="s">
        <v>34</v>
      </c>
      <c r="M6586" s="2"/>
      <c r="N6586" s="2"/>
      <c r="O6586" s="2"/>
      <c r="P6586" s="2" t="s">
        <v>20071</v>
      </c>
      <c r="Q6586" s="2"/>
      <c r="R6586" s="6">
        <v>12</v>
      </c>
      <c r="S6586" s="5">
        <v>0.8</v>
      </c>
      <c r="T6586" s="7">
        <v>4.1790000000000003</v>
      </c>
      <c r="U6586" s="5">
        <v>5.7</v>
      </c>
      <c r="V6586" s="7">
        <v>0.245</v>
      </c>
      <c r="W6586" s="6">
        <v>8.0500000000000007</v>
      </c>
      <c r="X6586" s="7">
        <v>7.3609999999999998</v>
      </c>
      <c r="Y6586" s="6">
        <v>7.95</v>
      </c>
      <c r="Z6586" s="5">
        <v>7.5</v>
      </c>
      <c r="AA6586" s="6">
        <v>1.51</v>
      </c>
      <c r="AB6586" s="7">
        <v>28.806999999999999</v>
      </c>
      <c r="AC6586" s="2"/>
    </row>
    <row r="6587" spans="1:29" ht="104" x14ac:dyDescent="0.15">
      <c r="A6587" s="3">
        <f>DATE(2002,6,6)</f>
        <v>37413</v>
      </c>
      <c r="B6587" s="3">
        <f>DATE(2002,6,6)</f>
        <v>37413</v>
      </c>
      <c r="C6587" s="2" t="s">
        <v>95</v>
      </c>
      <c r="D6587" s="2" t="s">
        <v>20072</v>
      </c>
      <c r="E6587" s="2" t="s">
        <v>20073</v>
      </c>
      <c r="F6587" s="4">
        <v>5963</v>
      </c>
      <c r="G6587" s="2" t="s">
        <v>73</v>
      </c>
      <c r="H6587" s="2" t="s">
        <v>34</v>
      </c>
      <c r="I6587" s="2" t="s">
        <v>20074</v>
      </c>
      <c r="J6587" s="2" t="s">
        <v>150</v>
      </c>
      <c r="K6587" s="2" t="s">
        <v>53</v>
      </c>
      <c r="L6587" s="2" t="s">
        <v>34</v>
      </c>
      <c r="M6587" s="2"/>
      <c r="N6587" s="2"/>
      <c r="O6587" s="2"/>
      <c r="P6587" s="2" t="s">
        <v>20075</v>
      </c>
      <c r="Q6587" s="6">
        <v>12.84</v>
      </c>
      <c r="R6587" s="2"/>
      <c r="S6587" s="5">
        <v>-0.2</v>
      </c>
      <c r="T6587" s="7">
        <v>5.1550000000000002</v>
      </c>
      <c r="U6587" s="5">
        <v>2.2999999999999998</v>
      </c>
      <c r="V6587" s="6">
        <v>-0.02</v>
      </c>
      <c r="W6587" s="5">
        <v>1.1000000000000001</v>
      </c>
      <c r="X6587" s="6">
        <v>1.1499999999999999</v>
      </c>
      <c r="Y6587" s="6">
        <v>1.1599999999999999</v>
      </c>
      <c r="Z6587" s="6">
        <v>1.32</v>
      </c>
      <c r="AA6587" s="6">
        <v>13.58</v>
      </c>
      <c r="AB6587" s="2" t="s">
        <v>86</v>
      </c>
      <c r="AC6587" s="2"/>
    </row>
    <row r="6588" spans="1:29" ht="169" x14ac:dyDescent="0.15">
      <c r="A6588" s="3">
        <f>DATE(2002,6,10)</f>
        <v>37417</v>
      </c>
      <c r="B6588" s="2"/>
      <c r="C6588" s="2" t="s">
        <v>30</v>
      </c>
      <c r="D6588" s="2" t="s">
        <v>19913</v>
      </c>
      <c r="E6588" s="2" t="s">
        <v>6365</v>
      </c>
      <c r="F6588" s="4">
        <v>5961</v>
      </c>
      <c r="G6588" s="2" t="s">
        <v>73</v>
      </c>
      <c r="H6588" s="2" t="s">
        <v>34</v>
      </c>
      <c r="I6588" s="2" t="s">
        <v>51</v>
      </c>
      <c r="J6588" s="2" t="s">
        <v>52</v>
      </c>
      <c r="K6588" s="2" t="s">
        <v>53</v>
      </c>
      <c r="L6588" s="2" t="s">
        <v>34</v>
      </c>
      <c r="M6588" s="2"/>
      <c r="N6588" s="2"/>
      <c r="O6588" s="2"/>
      <c r="P6588" s="2" t="s">
        <v>20076</v>
      </c>
      <c r="Q6588" s="2"/>
      <c r="R6588" s="6">
        <v>1.3</v>
      </c>
      <c r="S6588" s="5">
        <v>-4.9000000000000004</v>
      </c>
      <c r="T6588" s="7">
        <v>-4.0940000000000003</v>
      </c>
      <c r="U6588" s="5">
        <v>1.8</v>
      </c>
      <c r="V6588" s="6">
        <v>-0.35</v>
      </c>
      <c r="W6588" s="6">
        <v>1.04</v>
      </c>
      <c r="X6588" s="5">
        <v>1.1000000000000001</v>
      </c>
      <c r="Y6588" s="6">
        <v>1.24</v>
      </c>
      <c r="Z6588" s="5">
        <v>1.2</v>
      </c>
      <c r="AA6588" s="6">
        <v>13.98</v>
      </c>
      <c r="AB6588" s="2" t="s">
        <v>86</v>
      </c>
      <c r="AC6588" s="2"/>
    </row>
    <row r="6589" spans="1:29" ht="143" x14ac:dyDescent="0.15">
      <c r="A6589" s="3">
        <f>DATE(2002,6,10)</f>
        <v>37417</v>
      </c>
      <c r="B6589" s="3">
        <f>DATE(2002,7,22)</f>
        <v>37459</v>
      </c>
      <c r="C6589" s="2" t="s">
        <v>95</v>
      </c>
      <c r="D6589" s="2" t="s">
        <v>20077</v>
      </c>
      <c r="E6589" s="2" t="s">
        <v>20078</v>
      </c>
      <c r="F6589" s="4">
        <v>7373</v>
      </c>
      <c r="G6589" s="2" t="s">
        <v>223</v>
      </c>
      <c r="H6589" s="2" t="s">
        <v>34</v>
      </c>
      <c r="I6589" s="2" t="s">
        <v>549</v>
      </c>
      <c r="J6589" s="2" t="s">
        <v>550</v>
      </c>
      <c r="K6589" s="2" t="s">
        <v>551</v>
      </c>
      <c r="L6589" s="2" t="s">
        <v>34</v>
      </c>
      <c r="M6589" s="12">
        <v>1196.5640000000001</v>
      </c>
      <c r="N6589" s="6">
        <v>3.36</v>
      </c>
      <c r="O6589" s="6">
        <v>3.33</v>
      </c>
      <c r="P6589" s="2" t="s">
        <v>20079</v>
      </c>
      <c r="Q6589" s="6">
        <v>100</v>
      </c>
      <c r="R6589" s="6">
        <v>9</v>
      </c>
      <c r="S6589" s="5">
        <v>-110.7</v>
      </c>
      <c r="T6589" s="5">
        <v>-49.6</v>
      </c>
      <c r="U6589" s="5">
        <v>7.2</v>
      </c>
      <c r="V6589" s="6">
        <v>-5.01</v>
      </c>
      <c r="W6589" s="6">
        <v>4.8099999999999996</v>
      </c>
      <c r="X6589" s="6">
        <v>5.14</v>
      </c>
      <c r="Y6589" s="5">
        <v>8.9</v>
      </c>
      <c r="Z6589" s="6">
        <v>8.89</v>
      </c>
      <c r="AA6589" s="6">
        <v>22.71</v>
      </c>
      <c r="AB6589" s="2" t="s">
        <v>86</v>
      </c>
      <c r="AC6589" s="5">
        <v>683.3</v>
      </c>
    </row>
    <row r="6590" spans="1:29" ht="169" x14ac:dyDescent="0.15">
      <c r="A6590" s="3">
        <f>DATE(2002,6,10)</f>
        <v>37417</v>
      </c>
      <c r="B6590" s="3">
        <f>DATE(2002,9,6)</f>
        <v>37505</v>
      </c>
      <c r="C6590" s="2" t="s">
        <v>95</v>
      </c>
      <c r="D6590" s="2" t="s">
        <v>20080</v>
      </c>
      <c r="E6590" s="2" t="s">
        <v>8995</v>
      </c>
      <c r="F6590" s="4">
        <v>7372</v>
      </c>
      <c r="G6590" s="2" t="s">
        <v>551</v>
      </c>
      <c r="H6590" s="2" t="s">
        <v>34</v>
      </c>
      <c r="I6590" s="2" t="s">
        <v>19650</v>
      </c>
      <c r="J6590" s="2" t="s">
        <v>11753</v>
      </c>
      <c r="K6590" s="2" t="s">
        <v>551</v>
      </c>
      <c r="L6590" s="2" t="s">
        <v>34</v>
      </c>
      <c r="M6590" s="7">
        <v>356.13400000000001</v>
      </c>
      <c r="N6590" s="6">
        <v>5.32</v>
      </c>
      <c r="O6590" s="6">
        <v>4.21</v>
      </c>
      <c r="P6590" s="2" t="s">
        <v>20081</v>
      </c>
      <c r="Q6590" s="6">
        <v>100</v>
      </c>
      <c r="R6590" s="6">
        <v>12.67</v>
      </c>
      <c r="S6590" s="5">
        <v>-5.7</v>
      </c>
      <c r="T6590" s="5">
        <v>-6.3</v>
      </c>
      <c r="U6590" s="5">
        <v>6.6</v>
      </c>
      <c r="V6590" s="6">
        <v>-0.36</v>
      </c>
      <c r="W6590" s="6">
        <v>17.62</v>
      </c>
      <c r="X6590" s="5">
        <v>15.1</v>
      </c>
      <c r="Y6590" s="6">
        <v>14.93</v>
      </c>
      <c r="Z6590" s="6">
        <v>9.66</v>
      </c>
      <c r="AA6590" s="6">
        <v>17.46</v>
      </c>
      <c r="AB6590" s="2" t="s">
        <v>86</v>
      </c>
      <c r="AC6590" s="5">
        <v>61.8</v>
      </c>
    </row>
    <row r="6591" spans="1:29" ht="117" x14ac:dyDescent="0.15">
      <c r="A6591" s="3">
        <f>DATE(2002,6,11)</f>
        <v>37418</v>
      </c>
      <c r="B6591" s="3">
        <f>DATE(2002,7,23)</f>
        <v>37460</v>
      </c>
      <c r="C6591" s="2" t="s">
        <v>95</v>
      </c>
      <c r="D6591" s="2" t="s">
        <v>20082</v>
      </c>
      <c r="E6591" s="2" t="s">
        <v>20083</v>
      </c>
      <c r="F6591" s="4">
        <v>7363</v>
      </c>
      <c r="G6591" s="2" t="s">
        <v>223</v>
      </c>
      <c r="H6591" s="2" t="s">
        <v>34</v>
      </c>
      <c r="I6591" s="2" t="s">
        <v>20084</v>
      </c>
      <c r="J6591" s="2" t="s">
        <v>4572</v>
      </c>
      <c r="K6591" s="2" t="s">
        <v>223</v>
      </c>
      <c r="L6591" s="2" t="s">
        <v>34</v>
      </c>
      <c r="M6591" s="2"/>
      <c r="N6591" s="2"/>
      <c r="O6591" s="2"/>
      <c r="P6591" s="2" t="s">
        <v>20085</v>
      </c>
      <c r="Q6591" s="6">
        <v>100</v>
      </c>
      <c r="R6591" s="6">
        <v>4</v>
      </c>
      <c r="S6591" s="5">
        <v>-3.8</v>
      </c>
      <c r="T6591" s="5">
        <v>3.4</v>
      </c>
      <c r="U6591" s="5">
        <v>3.4</v>
      </c>
      <c r="V6591" s="6">
        <v>-0.39</v>
      </c>
      <c r="W6591" s="5">
        <v>2.7</v>
      </c>
      <c r="X6591" s="6">
        <v>2.79</v>
      </c>
      <c r="Y6591" s="6">
        <v>3.95</v>
      </c>
      <c r="Z6591" s="6">
        <v>3.95</v>
      </c>
      <c r="AA6591" s="6">
        <v>10.16</v>
      </c>
      <c r="AB6591" s="7">
        <v>17.626000000000001</v>
      </c>
      <c r="AC6591" s="6">
        <v>12.8</v>
      </c>
    </row>
    <row r="6592" spans="1:29" ht="234" x14ac:dyDescent="0.15">
      <c r="A6592" s="3">
        <f>DATE(2002,6,12)</f>
        <v>37419</v>
      </c>
      <c r="B6592" s="3">
        <f>DATE(2003,9,22)</f>
        <v>37886</v>
      </c>
      <c r="C6592" s="2" t="s">
        <v>95</v>
      </c>
      <c r="D6592" s="2" t="s">
        <v>20086</v>
      </c>
      <c r="E6592" s="2" t="s">
        <v>20087</v>
      </c>
      <c r="F6592" s="4">
        <v>4832</v>
      </c>
      <c r="G6592" s="2" t="s">
        <v>45</v>
      </c>
      <c r="H6592" s="2" t="s">
        <v>34</v>
      </c>
      <c r="I6592" s="2" t="s">
        <v>20088</v>
      </c>
      <c r="J6592" s="2" t="s">
        <v>20089</v>
      </c>
      <c r="K6592" s="2" t="s">
        <v>45</v>
      </c>
      <c r="L6592" s="2" t="s">
        <v>34</v>
      </c>
      <c r="M6592" s="12">
        <v>9376.9429999999993</v>
      </c>
      <c r="N6592" s="6">
        <v>31.86</v>
      </c>
      <c r="O6592" s="6">
        <v>33.65</v>
      </c>
      <c r="P6592" s="2" t="s">
        <v>20090</v>
      </c>
      <c r="Q6592" s="6">
        <v>100</v>
      </c>
      <c r="R6592" s="6">
        <v>32.049999999999997</v>
      </c>
      <c r="S6592" s="5">
        <v>34.200000000000003</v>
      </c>
      <c r="T6592" s="5">
        <v>81.900000000000006</v>
      </c>
      <c r="U6592" s="5">
        <v>10.199999999999999</v>
      </c>
      <c r="V6592" s="6">
        <v>0.31</v>
      </c>
      <c r="W6592" s="6">
        <v>24.85</v>
      </c>
      <c r="X6592" s="6">
        <v>24.45</v>
      </c>
      <c r="Y6592" s="4">
        <v>26</v>
      </c>
      <c r="Z6592" s="6">
        <v>27.68</v>
      </c>
      <c r="AA6592" s="6">
        <v>108.71</v>
      </c>
      <c r="AB6592" s="7">
        <v>67.209000000000003</v>
      </c>
      <c r="AC6592" s="6">
        <v>380.83</v>
      </c>
    </row>
    <row r="6593" spans="1:29" ht="104" x14ac:dyDescent="0.15">
      <c r="A6593" s="3">
        <f>DATE(2002,6,12)</f>
        <v>37419</v>
      </c>
      <c r="B6593" s="3">
        <f>DATE(2002,11,15)</f>
        <v>37575</v>
      </c>
      <c r="C6593" s="2" t="s">
        <v>95</v>
      </c>
      <c r="D6593" s="2" t="s">
        <v>20091</v>
      </c>
      <c r="E6593" s="2" t="s">
        <v>20092</v>
      </c>
      <c r="F6593" s="4">
        <v>7389</v>
      </c>
      <c r="G6593" s="2" t="s">
        <v>223</v>
      </c>
      <c r="H6593" s="2" t="s">
        <v>34</v>
      </c>
      <c r="I6593" s="2" t="s">
        <v>20093</v>
      </c>
      <c r="J6593" s="2" t="s">
        <v>3197</v>
      </c>
      <c r="K6593" s="2" t="s">
        <v>53</v>
      </c>
      <c r="L6593" s="2" t="s">
        <v>34</v>
      </c>
      <c r="M6593" s="2"/>
      <c r="N6593" s="2"/>
      <c r="O6593" s="2"/>
      <c r="P6593" s="2" t="s">
        <v>20094</v>
      </c>
      <c r="Q6593" s="6">
        <v>100</v>
      </c>
      <c r="R6593" s="6">
        <v>6.25</v>
      </c>
      <c r="S6593" s="5">
        <v>0.9</v>
      </c>
      <c r="T6593" s="5">
        <v>15.9</v>
      </c>
      <c r="U6593" s="5">
        <v>10.1</v>
      </c>
      <c r="V6593" s="6">
        <v>0.1</v>
      </c>
      <c r="W6593" s="5">
        <v>3.8</v>
      </c>
      <c r="X6593" s="6">
        <v>4.1500000000000004</v>
      </c>
      <c r="Y6593" s="6">
        <v>5.92</v>
      </c>
      <c r="Z6593" s="6">
        <v>5.95</v>
      </c>
      <c r="AA6593" s="6">
        <v>9.06</v>
      </c>
      <c r="AB6593" s="7">
        <v>14.090999999999999</v>
      </c>
      <c r="AC6593" s="2"/>
    </row>
    <row r="6594" spans="1:29" ht="104" x14ac:dyDescent="0.15">
      <c r="A6594" s="3">
        <f>DATE(2002,6,13)</f>
        <v>37420</v>
      </c>
      <c r="B6594" s="3">
        <f>DATE(2002,10,15)</f>
        <v>37544</v>
      </c>
      <c r="C6594" s="2" t="s">
        <v>95</v>
      </c>
      <c r="D6594" s="2" t="s">
        <v>20095</v>
      </c>
      <c r="E6594" s="2" t="s">
        <v>263</v>
      </c>
      <c r="F6594" s="4">
        <v>6021</v>
      </c>
      <c r="G6594" s="2" t="s">
        <v>37</v>
      </c>
      <c r="H6594" s="2" t="s">
        <v>34</v>
      </c>
      <c r="I6594" s="2" t="s">
        <v>295</v>
      </c>
      <c r="J6594" s="2" t="s">
        <v>296</v>
      </c>
      <c r="K6594" s="2" t="s">
        <v>37</v>
      </c>
      <c r="L6594" s="2" t="s">
        <v>34</v>
      </c>
      <c r="M6594" s="2"/>
      <c r="N6594" s="2"/>
      <c r="O6594" s="2"/>
      <c r="P6594" s="2" t="s">
        <v>20096</v>
      </c>
      <c r="Q6594" s="6">
        <v>100</v>
      </c>
      <c r="R6594" s="6">
        <v>35</v>
      </c>
      <c r="S6594" s="5">
        <v>14.3</v>
      </c>
      <c r="T6594" s="2"/>
      <c r="U6594" s="5">
        <v>14.3</v>
      </c>
      <c r="V6594" s="6">
        <v>1.81</v>
      </c>
      <c r="W6594" s="5">
        <v>26.2</v>
      </c>
      <c r="X6594" s="7">
        <v>28.361000000000001</v>
      </c>
      <c r="Y6594" s="4">
        <v>29</v>
      </c>
      <c r="Z6594" s="5">
        <v>29.3</v>
      </c>
      <c r="AA6594" s="6">
        <v>7.8</v>
      </c>
      <c r="AB6594" s="7">
        <v>13.54</v>
      </c>
      <c r="AC6594" s="2"/>
    </row>
    <row r="6595" spans="1:29" ht="182" x14ac:dyDescent="0.15">
      <c r="A6595" s="3">
        <f>DATE(2002,6,13)</f>
        <v>37420</v>
      </c>
      <c r="B6595" s="3">
        <f>DATE(2002,9,13)</f>
        <v>37512</v>
      </c>
      <c r="C6595" s="2" t="s">
        <v>95</v>
      </c>
      <c r="D6595" s="2" t="s">
        <v>20097</v>
      </c>
      <c r="E6595" s="2" t="s">
        <v>17282</v>
      </c>
      <c r="F6595" s="4">
        <v>4412</v>
      </c>
      <c r="G6595" s="2" t="s">
        <v>173</v>
      </c>
      <c r="H6595" s="2" t="s">
        <v>34</v>
      </c>
      <c r="I6595" s="2" t="s">
        <v>51</v>
      </c>
      <c r="J6595" s="2" t="s">
        <v>52</v>
      </c>
      <c r="K6595" s="2" t="s">
        <v>53</v>
      </c>
      <c r="L6595" s="2" t="s">
        <v>34</v>
      </c>
      <c r="M6595" s="2"/>
      <c r="N6595" s="2"/>
      <c r="O6595" s="2"/>
      <c r="P6595" s="2" t="s">
        <v>20098</v>
      </c>
      <c r="Q6595" s="6">
        <v>54.19</v>
      </c>
      <c r="R6595" s="6">
        <v>8</v>
      </c>
      <c r="S6595" s="5">
        <v>-2.8</v>
      </c>
      <c r="T6595" s="6">
        <v>106.51</v>
      </c>
      <c r="U6595" s="5">
        <v>12.1</v>
      </c>
      <c r="V6595" s="6">
        <v>-0.21</v>
      </c>
      <c r="W6595" s="7">
        <v>5.9489999999999998</v>
      </c>
      <c r="X6595" s="7">
        <v>5.9489999999999998</v>
      </c>
      <c r="Y6595" s="7">
        <v>5.9489999999999998</v>
      </c>
      <c r="Z6595" s="4">
        <v>7</v>
      </c>
      <c r="AA6595" s="6">
        <v>10.57</v>
      </c>
      <c r="AB6595" s="7">
        <v>10.537000000000001</v>
      </c>
      <c r="AC6595" s="2"/>
    </row>
    <row r="6596" spans="1:29" ht="156" x14ac:dyDescent="0.15">
      <c r="A6596" s="3">
        <f>DATE(2002,6,14)</f>
        <v>37421</v>
      </c>
      <c r="B6596" s="3">
        <f>DATE(2003,1,1)</f>
        <v>37622</v>
      </c>
      <c r="C6596" s="2" t="s">
        <v>95</v>
      </c>
      <c r="D6596" s="2" t="s">
        <v>20099</v>
      </c>
      <c r="E6596" s="2" t="s">
        <v>20100</v>
      </c>
      <c r="F6596" s="4">
        <v>5047</v>
      </c>
      <c r="G6596" s="2" t="s">
        <v>76</v>
      </c>
      <c r="H6596" s="2" t="s">
        <v>34</v>
      </c>
      <c r="I6596" s="2" t="s">
        <v>6702</v>
      </c>
      <c r="J6596" s="2" t="s">
        <v>6703</v>
      </c>
      <c r="K6596" s="2" t="s">
        <v>593</v>
      </c>
      <c r="L6596" s="2" t="s">
        <v>34</v>
      </c>
      <c r="M6596" s="12">
        <v>31066.469000000001</v>
      </c>
      <c r="N6596" s="6">
        <v>61.94</v>
      </c>
      <c r="O6596" s="6">
        <v>64.55</v>
      </c>
      <c r="P6596" s="2" t="s">
        <v>20101</v>
      </c>
      <c r="Q6596" s="6">
        <v>100</v>
      </c>
      <c r="R6596" s="6">
        <v>29.26</v>
      </c>
      <c r="S6596" s="5">
        <v>-23.7</v>
      </c>
      <c r="T6596" s="7">
        <v>86.587999999999994</v>
      </c>
      <c r="U6596" s="5">
        <v>8.6</v>
      </c>
      <c r="V6596" s="6">
        <v>1.1599999999999999</v>
      </c>
      <c r="W6596" s="6">
        <v>31.24</v>
      </c>
      <c r="X6596" s="6">
        <v>28.21</v>
      </c>
      <c r="Y6596" s="6">
        <v>31.45</v>
      </c>
      <c r="Z6596" s="6">
        <v>32.68</v>
      </c>
      <c r="AA6596" s="6">
        <v>24.8</v>
      </c>
      <c r="AB6596" s="7">
        <v>13.574999999999999</v>
      </c>
      <c r="AC6596" s="5">
        <v>869.2</v>
      </c>
    </row>
    <row r="6597" spans="1:29" ht="247" x14ac:dyDescent="0.15">
      <c r="A6597" s="3">
        <f>DATE(2002,6,17)</f>
        <v>37424</v>
      </c>
      <c r="B6597" s="3">
        <f>DATE(2002,6,17)</f>
        <v>37424</v>
      </c>
      <c r="C6597" s="2" t="s">
        <v>95</v>
      </c>
      <c r="D6597" s="2" t="s">
        <v>20102</v>
      </c>
      <c r="E6597" s="2" t="s">
        <v>2692</v>
      </c>
      <c r="F6597" s="4">
        <v>1521</v>
      </c>
      <c r="G6597" s="2" t="s">
        <v>341</v>
      </c>
      <c r="H6597" s="2" t="s">
        <v>34</v>
      </c>
      <c r="I6597" s="2" t="s">
        <v>9873</v>
      </c>
      <c r="J6597" s="2" t="s">
        <v>2692</v>
      </c>
      <c r="K6597" s="2" t="s">
        <v>341</v>
      </c>
      <c r="L6597" s="2" t="s">
        <v>34</v>
      </c>
      <c r="M6597" s="12">
        <v>3501.194</v>
      </c>
      <c r="N6597" s="5">
        <v>55.5</v>
      </c>
      <c r="O6597" s="5">
        <v>57.3</v>
      </c>
      <c r="P6597" s="2" t="s">
        <v>20103</v>
      </c>
      <c r="Q6597" s="6">
        <v>73.13</v>
      </c>
      <c r="R6597" s="2"/>
      <c r="S6597" s="5">
        <v>9.8000000000000007</v>
      </c>
      <c r="T6597" s="5">
        <v>12.7</v>
      </c>
      <c r="U6597" s="5">
        <v>20.7</v>
      </c>
      <c r="V6597" s="6">
        <v>2.5</v>
      </c>
      <c r="W6597" s="5">
        <v>3.1</v>
      </c>
      <c r="X6597" s="6">
        <v>3.15</v>
      </c>
      <c r="Y6597" s="6">
        <v>3.64</v>
      </c>
      <c r="Z6597" s="6">
        <v>3.64</v>
      </c>
      <c r="AA6597" s="6">
        <v>3.12</v>
      </c>
      <c r="AB6597" s="7">
        <v>18.638999999999999</v>
      </c>
      <c r="AC6597" s="5">
        <v>483.6</v>
      </c>
    </row>
    <row r="6598" spans="1:29" ht="156" x14ac:dyDescent="0.15">
      <c r="A6598" s="3">
        <f>DATE(2002,6,17)</f>
        <v>37424</v>
      </c>
      <c r="B6598" s="3">
        <f>DATE(2002,8,5)</f>
        <v>37473</v>
      </c>
      <c r="C6598" s="2" t="s">
        <v>95</v>
      </c>
      <c r="D6598" s="2" t="s">
        <v>20102</v>
      </c>
      <c r="E6598" s="2" t="s">
        <v>2692</v>
      </c>
      <c r="F6598" s="4">
        <v>1521</v>
      </c>
      <c r="G6598" s="2" t="s">
        <v>341</v>
      </c>
      <c r="H6598" s="2" t="s">
        <v>34</v>
      </c>
      <c r="I6598" s="2" t="s">
        <v>9873</v>
      </c>
      <c r="J6598" s="2" t="s">
        <v>2692</v>
      </c>
      <c r="K6598" s="2" t="s">
        <v>341</v>
      </c>
      <c r="L6598" s="2" t="s">
        <v>34</v>
      </c>
      <c r="M6598" s="12">
        <v>3501.194</v>
      </c>
      <c r="N6598" s="5">
        <v>55.5</v>
      </c>
      <c r="O6598" s="5">
        <v>57.3</v>
      </c>
      <c r="P6598" s="2" t="s">
        <v>20104</v>
      </c>
      <c r="Q6598" s="6">
        <v>26.87</v>
      </c>
      <c r="R6598" s="6">
        <v>3.68</v>
      </c>
      <c r="S6598" s="5">
        <v>9.8000000000000007</v>
      </c>
      <c r="T6598" s="5">
        <v>12.7</v>
      </c>
      <c r="U6598" s="5">
        <v>20.7</v>
      </c>
      <c r="V6598" s="6">
        <v>2.5</v>
      </c>
      <c r="W6598" s="5">
        <v>3.1</v>
      </c>
      <c r="X6598" s="6">
        <v>3.15</v>
      </c>
      <c r="Y6598" s="6">
        <v>3.64</v>
      </c>
      <c r="Z6598" s="6">
        <v>3.64</v>
      </c>
      <c r="AA6598" s="6">
        <v>3.12</v>
      </c>
      <c r="AB6598" s="7">
        <v>10.693</v>
      </c>
      <c r="AC6598" s="5">
        <v>483.6</v>
      </c>
    </row>
    <row r="6599" spans="1:29" ht="143" x14ac:dyDescent="0.15">
      <c r="A6599" s="3">
        <f>DATE(2002,6,17)</f>
        <v>37424</v>
      </c>
      <c r="B6599" s="3">
        <f>DATE(2002,10,1)</f>
        <v>37530</v>
      </c>
      <c r="C6599" s="2" t="s">
        <v>95</v>
      </c>
      <c r="D6599" s="2" t="s">
        <v>20105</v>
      </c>
      <c r="E6599" s="2" t="s">
        <v>265</v>
      </c>
      <c r="F6599" s="4">
        <v>6021</v>
      </c>
      <c r="G6599" s="2" t="s">
        <v>37</v>
      </c>
      <c r="H6599" s="2" t="s">
        <v>34</v>
      </c>
      <c r="I6599" s="2" t="s">
        <v>18753</v>
      </c>
      <c r="J6599" s="2" t="s">
        <v>36</v>
      </c>
      <c r="K6599" s="2" t="s">
        <v>37</v>
      </c>
      <c r="L6599" s="2" t="s">
        <v>34</v>
      </c>
      <c r="M6599" s="12">
        <v>3328.4949999999999</v>
      </c>
      <c r="N6599" s="6">
        <v>30.81</v>
      </c>
      <c r="O6599" s="6">
        <v>30.81</v>
      </c>
      <c r="P6599" s="2" t="s">
        <v>20106</v>
      </c>
      <c r="Q6599" s="6">
        <v>100</v>
      </c>
      <c r="R6599" s="6">
        <v>52.09</v>
      </c>
      <c r="S6599" s="5">
        <v>27.9</v>
      </c>
      <c r="T6599" s="5">
        <v>47.7</v>
      </c>
      <c r="U6599" s="5">
        <v>17.3</v>
      </c>
      <c r="V6599" s="6">
        <v>2.93</v>
      </c>
      <c r="W6599" s="5">
        <v>42.1</v>
      </c>
      <c r="X6599" s="5">
        <v>41.9</v>
      </c>
      <c r="Y6599" s="5">
        <v>51.5</v>
      </c>
      <c r="Z6599" s="6">
        <v>51.72</v>
      </c>
      <c r="AA6599" s="6">
        <v>9.43</v>
      </c>
      <c r="AB6599" s="7">
        <v>50.673000000000002</v>
      </c>
      <c r="AC6599" s="5">
        <v>826.6</v>
      </c>
    </row>
    <row r="6600" spans="1:29" ht="65" x14ac:dyDescent="0.15">
      <c r="A6600" s="3">
        <f>DATE(2002,6,20)</f>
        <v>37427</v>
      </c>
      <c r="B6600" s="3">
        <f>DATE(2003,3,3)</f>
        <v>37683</v>
      </c>
      <c r="C6600" s="2" t="s">
        <v>95</v>
      </c>
      <c r="D6600" s="2" t="s">
        <v>20107</v>
      </c>
      <c r="E6600" s="2" t="s">
        <v>2898</v>
      </c>
      <c r="F6600" s="4">
        <v>6021</v>
      </c>
      <c r="G6600" s="2" t="s">
        <v>37</v>
      </c>
      <c r="H6600" s="2" t="s">
        <v>34</v>
      </c>
      <c r="I6600" s="2" t="s">
        <v>20108</v>
      </c>
      <c r="J6600" s="2" t="s">
        <v>1072</v>
      </c>
      <c r="K6600" s="2" t="s">
        <v>53</v>
      </c>
      <c r="L6600" s="2" t="s">
        <v>34</v>
      </c>
      <c r="M6600" s="2"/>
      <c r="N6600" s="2"/>
      <c r="O6600" s="2"/>
      <c r="P6600" s="2" t="s">
        <v>20109</v>
      </c>
      <c r="Q6600" s="6">
        <v>100</v>
      </c>
      <c r="R6600" s="6">
        <v>24</v>
      </c>
      <c r="S6600" s="2"/>
      <c r="T6600" s="2"/>
      <c r="U6600" s="2"/>
      <c r="V6600" s="2"/>
      <c r="W6600" s="5">
        <v>12.7</v>
      </c>
      <c r="X6600" s="6">
        <v>13.17</v>
      </c>
      <c r="Y6600" s="6">
        <v>13.17</v>
      </c>
      <c r="Z6600" s="5">
        <v>22.3</v>
      </c>
      <c r="AA6600" s="6">
        <v>0.21</v>
      </c>
      <c r="AB6600" s="2" t="s">
        <v>47</v>
      </c>
      <c r="AC6600" s="2"/>
    </row>
    <row r="6601" spans="1:29" ht="260" x14ac:dyDescent="0.15">
      <c r="A6601" s="3">
        <f>DATE(2002,6,20)</f>
        <v>37427</v>
      </c>
      <c r="B6601" s="3">
        <f>DATE(2003,7,1)</f>
        <v>37803</v>
      </c>
      <c r="C6601" s="2" t="s">
        <v>95</v>
      </c>
      <c r="D6601" s="2" t="s">
        <v>20110</v>
      </c>
      <c r="E6601" s="2" t="s">
        <v>20111</v>
      </c>
      <c r="F6601" s="4">
        <v>8071</v>
      </c>
      <c r="G6601" s="2" t="s">
        <v>454</v>
      </c>
      <c r="H6601" s="2" t="s">
        <v>34</v>
      </c>
      <c r="I6601" s="2" t="s">
        <v>20112</v>
      </c>
      <c r="J6601" s="2" t="s">
        <v>13465</v>
      </c>
      <c r="K6601" s="2" t="s">
        <v>223</v>
      </c>
      <c r="L6601" s="2" t="s">
        <v>34</v>
      </c>
      <c r="M6601" s="7">
        <v>25.132999999999999</v>
      </c>
      <c r="N6601" s="6">
        <v>5.35</v>
      </c>
      <c r="O6601" s="5">
        <v>5.3</v>
      </c>
      <c r="P6601" s="2" t="s">
        <v>20113</v>
      </c>
      <c r="Q6601" s="6">
        <v>100</v>
      </c>
      <c r="R6601" s="6">
        <v>0.44</v>
      </c>
      <c r="S6601" s="5">
        <v>-1.1000000000000001</v>
      </c>
      <c r="T6601" s="7">
        <v>-0.624</v>
      </c>
      <c r="U6601" s="5">
        <v>-1</v>
      </c>
      <c r="V6601" s="6">
        <v>-0.45</v>
      </c>
      <c r="W6601" s="6">
        <v>5.49</v>
      </c>
      <c r="X6601" s="5">
        <v>5.0999999999999996</v>
      </c>
      <c r="Y6601" s="5">
        <v>0.4</v>
      </c>
      <c r="Z6601" s="5">
        <v>0.4</v>
      </c>
      <c r="AA6601" s="6">
        <v>2.5</v>
      </c>
      <c r="AB6601" s="2" t="s">
        <v>86</v>
      </c>
      <c r="AC6601" s="6">
        <v>0.38</v>
      </c>
    </row>
    <row r="6602" spans="1:29" ht="78" x14ac:dyDescent="0.15">
      <c r="A6602" s="3">
        <f>DATE(2002,6,21)</f>
        <v>37428</v>
      </c>
      <c r="B6602" s="3">
        <f>DATE(2003,5,23)</f>
        <v>37764</v>
      </c>
      <c r="C6602" s="2" t="s">
        <v>95</v>
      </c>
      <c r="D6602" s="2" t="s">
        <v>20114</v>
      </c>
      <c r="E6602" s="2" t="s">
        <v>36</v>
      </c>
      <c r="F6602" s="4">
        <v>6021</v>
      </c>
      <c r="G6602" s="2" t="s">
        <v>37</v>
      </c>
      <c r="H6602" s="2" t="s">
        <v>34</v>
      </c>
      <c r="I6602" s="2" t="s">
        <v>19289</v>
      </c>
      <c r="J6602" s="2" t="s">
        <v>263</v>
      </c>
      <c r="K6602" s="2" t="s">
        <v>37</v>
      </c>
      <c r="L6602" s="2" t="s">
        <v>34</v>
      </c>
      <c r="M6602" s="7">
        <v>69.787000000000006</v>
      </c>
      <c r="N6602" s="4">
        <v>25</v>
      </c>
      <c r="O6602" s="4">
        <v>24</v>
      </c>
      <c r="P6602" s="2" t="s">
        <v>20115</v>
      </c>
      <c r="Q6602" s="6">
        <v>100</v>
      </c>
      <c r="R6602" s="2"/>
      <c r="S6602" s="5">
        <v>0.6</v>
      </c>
      <c r="T6602" s="2"/>
      <c r="U6602" s="5">
        <v>8</v>
      </c>
      <c r="V6602" s="6">
        <v>0.59</v>
      </c>
      <c r="W6602" s="4">
        <v>6</v>
      </c>
      <c r="X6602" s="4">
        <v>6</v>
      </c>
      <c r="Y6602" s="4">
        <v>6</v>
      </c>
      <c r="Z6602" s="4">
        <v>6</v>
      </c>
      <c r="AA6602" s="6">
        <v>0.93</v>
      </c>
      <c r="AB6602" s="7">
        <v>23.986000000000001</v>
      </c>
      <c r="AC6602" s="2"/>
    </row>
    <row r="6603" spans="1:29" ht="221" x14ac:dyDescent="0.15">
      <c r="A6603" s="3">
        <f>DATE(2002,6,25)</f>
        <v>37432</v>
      </c>
      <c r="B6603" s="3">
        <f>DATE(2002,10,1)</f>
        <v>37530</v>
      </c>
      <c r="C6603" s="2" t="s">
        <v>95</v>
      </c>
      <c r="D6603" s="2" t="s">
        <v>20116</v>
      </c>
      <c r="E6603" s="2" t="s">
        <v>20117</v>
      </c>
      <c r="F6603" s="4">
        <v>3231</v>
      </c>
      <c r="G6603" s="2" t="s">
        <v>237</v>
      </c>
      <c r="H6603" s="2" t="s">
        <v>34</v>
      </c>
      <c r="I6603" s="2" t="s">
        <v>8345</v>
      </c>
      <c r="J6603" s="2" t="s">
        <v>8346</v>
      </c>
      <c r="K6603" s="2" t="s">
        <v>105</v>
      </c>
      <c r="L6603" s="2" t="s">
        <v>902</v>
      </c>
      <c r="M6603" s="12">
        <v>6100.4120000000003</v>
      </c>
      <c r="N6603" s="7">
        <v>66.078999999999994</v>
      </c>
      <c r="O6603" s="6">
        <v>65.989999999999995</v>
      </c>
      <c r="P6603" s="2" t="s">
        <v>20118</v>
      </c>
      <c r="Q6603" s="6">
        <v>100</v>
      </c>
      <c r="R6603" s="6">
        <v>25.88</v>
      </c>
      <c r="S6603" s="5">
        <v>6</v>
      </c>
      <c r="T6603" s="5">
        <v>38.5</v>
      </c>
      <c r="U6603" s="5">
        <v>10.8</v>
      </c>
      <c r="V6603" s="6">
        <v>0.56999999999999995</v>
      </c>
      <c r="W6603" s="6">
        <v>19.829999999999998</v>
      </c>
      <c r="X6603" s="6">
        <v>20.22</v>
      </c>
      <c r="Y6603" s="4">
        <v>27</v>
      </c>
      <c r="Z6603" s="6">
        <v>26.84</v>
      </c>
      <c r="AA6603" s="6">
        <v>10.59</v>
      </c>
      <c r="AB6603" s="7">
        <v>23.218</v>
      </c>
      <c r="AC6603" s="10">
        <v>1047.3800000000001</v>
      </c>
    </row>
    <row r="6604" spans="1:29" ht="91" x14ac:dyDescent="0.15">
      <c r="A6604" s="3">
        <f>DATE(2002,6,25)</f>
        <v>37432</v>
      </c>
      <c r="B6604" s="2"/>
      <c r="C6604" s="2" t="s">
        <v>30</v>
      </c>
      <c r="D6604" s="2" t="s">
        <v>20119</v>
      </c>
      <c r="E6604" s="2" t="s">
        <v>1608</v>
      </c>
      <c r="F6604" s="4">
        <v>1311</v>
      </c>
      <c r="G6604" s="2" t="s">
        <v>148</v>
      </c>
      <c r="H6604" s="2" t="s">
        <v>34</v>
      </c>
      <c r="I6604" s="2" t="s">
        <v>19859</v>
      </c>
      <c r="J6604" s="2" t="s">
        <v>1072</v>
      </c>
      <c r="K6604" s="2" t="s">
        <v>53</v>
      </c>
      <c r="L6604" s="2" t="s">
        <v>34</v>
      </c>
      <c r="M6604" s="2"/>
      <c r="N6604" s="2"/>
      <c r="O6604" s="2"/>
      <c r="P6604" s="2" t="s">
        <v>20120</v>
      </c>
      <c r="Q6604" s="2"/>
      <c r="R6604" s="6">
        <v>40</v>
      </c>
      <c r="S6604" s="5">
        <v>27</v>
      </c>
      <c r="T6604" s="7">
        <v>49.034999999999997</v>
      </c>
      <c r="U6604" s="5">
        <v>5.0999999999999996</v>
      </c>
      <c r="V6604" s="6">
        <v>0.75</v>
      </c>
      <c r="W6604" s="6">
        <v>33.18</v>
      </c>
      <c r="X6604" s="6">
        <v>33.54</v>
      </c>
      <c r="Y6604" s="6">
        <v>38.68</v>
      </c>
      <c r="Z6604" s="6">
        <v>39.130000000000003</v>
      </c>
      <c r="AA6604" s="6">
        <v>8.92</v>
      </c>
      <c r="AB6604" s="7">
        <v>56.31</v>
      </c>
      <c r="AC6604" s="2"/>
    </row>
    <row r="6605" spans="1:29" ht="78" x14ac:dyDescent="0.15">
      <c r="A6605" s="3">
        <f>DATE(2002,6,25)</f>
        <v>37432</v>
      </c>
      <c r="B6605" s="3">
        <f>DATE(2002,8,23)</f>
        <v>37491</v>
      </c>
      <c r="C6605" s="2" t="s">
        <v>95</v>
      </c>
      <c r="D6605" s="2" t="s">
        <v>20121</v>
      </c>
      <c r="E6605" s="2" t="s">
        <v>20122</v>
      </c>
      <c r="F6605" s="4">
        <v>7372</v>
      </c>
      <c r="G6605" s="2" t="s">
        <v>551</v>
      </c>
      <c r="H6605" s="2" t="s">
        <v>34</v>
      </c>
      <c r="I6605" s="2" t="s">
        <v>20123</v>
      </c>
      <c r="J6605" s="2" t="s">
        <v>1893</v>
      </c>
      <c r="K6605" s="2" t="s">
        <v>45</v>
      </c>
      <c r="L6605" s="2" t="s">
        <v>34</v>
      </c>
      <c r="M6605" s="2"/>
      <c r="N6605" s="2"/>
      <c r="O6605" s="2"/>
      <c r="P6605" s="2" t="s">
        <v>20124</v>
      </c>
      <c r="Q6605" s="6">
        <v>100</v>
      </c>
      <c r="R6605" s="6">
        <v>3</v>
      </c>
      <c r="S6605" s="5">
        <v>-109.7</v>
      </c>
      <c r="T6605" s="7">
        <v>-54.567999999999998</v>
      </c>
      <c r="U6605" s="5">
        <v>1.9</v>
      </c>
      <c r="V6605" s="6">
        <v>-3.52</v>
      </c>
      <c r="W6605" s="6">
        <v>1.87</v>
      </c>
      <c r="X6605" s="6">
        <v>2.79</v>
      </c>
      <c r="Y6605" s="6">
        <v>2.89</v>
      </c>
      <c r="Z6605" s="6">
        <v>2.86</v>
      </c>
      <c r="AA6605" s="6">
        <v>33.29</v>
      </c>
      <c r="AB6605" s="2" t="s">
        <v>86</v>
      </c>
      <c r="AC6605" s="2"/>
    </row>
    <row r="6606" spans="1:29" ht="52" x14ac:dyDescent="0.15">
      <c r="A6606" s="3">
        <f>DATE(2002,6,28)</f>
        <v>37435</v>
      </c>
      <c r="B6606" s="3">
        <f>DATE(2002,10,4)</f>
        <v>37533</v>
      </c>
      <c r="C6606" s="2" t="s">
        <v>95</v>
      </c>
      <c r="D6606" s="2" t="s">
        <v>20125</v>
      </c>
      <c r="E6606" s="2" t="s">
        <v>1181</v>
      </c>
      <c r="F6606" s="4">
        <v>6021</v>
      </c>
      <c r="G6606" s="2" t="s">
        <v>37</v>
      </c>
      <c r="H6606" s="2" t="s">
        <v>34</v>
      </c>
      <c r="I6606" s="2" t="s">
        <v>20126</v>
      </c>
      <c r="J6606" s="2" t="s">
        <v>263</v>
      </c>
      <c r="K6606" s="2" t="s">
        <v>37</v>
      </c>
      <c r="L6606" s="2" t="s">
        <v>34</v>
      </c>
      <c r="M6606" s="2"/>
      <c r="N6606" s="2"/>
      <c r="O6606" s="2"/>
      <c r="P6606" s="2" t="s">
        <v>20127</v>
      </c>
      <c r="Q6606" s="6">
        <v>100</v>
      </c>
      <c r="R6606" s="2"/>
      <c r="S6606" s="2"/>
      <c r="T6606" s="2"/>
      <c r="U6606" s="2"/>
      <c r="V6606" s="2"/>
      <c r="W6606" s="6">
        <v>2.25</v>
      </c>
      <c r="X6606" s="6">
        <v>2.89</v>
      </c>
      <c r="Y6606" s="6">
        <v>2.89</v>
      </c>
      <c r="Z6606" s="6">
        <v>2.92</v>
      </c>
      <c r="AA6606" s="6">
        <v>3.73</v>
      </c>
      <c r="AB6606" s="2" t="s">
        <v>47</v>
      </c>
      <c r="AC6606" s="2"/>
    </row>
    <row r="6607" spans="1:29" ht="52" x14ac:dyDescent="0.15">
      <c r="A6607" s="3">
        <f>DATE(2002,7,2)</f>
        <v>37439</v>
      </c>
      <c r="B6607" s="3">
        <f>DATE(2002,9,4)</f>
        <v>37503</v>
      </c>
      <c r="C6607" s="2" t="s">
        <v>95</v>
      </c>
      <c r="D6607" s="2" t="s">
        <v>20128</v>
      </c>
      <c r="E6607" s="2" t="s">
        <v>20129</v>
      </c>
      <c r="F6607" s="4">
        <v>2369</v>
      </c>
      <c r="G6607" s="2" t="s">
        <v>708</v>
      </c>
      <c r="H6607" s="2" t="s">
        <v>34</v>
      </c>
      <c r="I6607" s="2" t="s">
        <v>6692</v>
      </c>
      <c r="J6607" s="2" t="s">
        <v>515</v>
      </c>
      <c r="K6607" s="2" t="s">
        <v>125</v>
      </c>
      <c r="L6607" s="2" t="s">
        <v>34</v>
      </c>
      <c r="M6607" s="12">
        <v>573382.91099999996</v>
      </c>
      <c r="N6607" s="4">
        <v>65500</v>
      </c>
      <c r="O6607" s="4">
        <v>66500</v>
      </c>
      <c r="P6607" s="2" t="s">
        <v>20130</v>
      </c>
      <c r="Q6607" s="6">
        <v>100</v>
      </c>
      <c r="R6607" s="6">
        <v>60</v>
      </c>
      <c r="S6607" s="5">
        <v>25.7</v>
      </c>
      <c r="T6607" s="5">
        <v>48.8</v>
      </c>
      <c r="U6607" s="5">
        <v>29.4</v>
      </c>
      <c r="V6607" s="6">
        <v>5.6</v>
      </c>
      <c r="W6607" s="6">
        <v>52.91</v>
      </c>
      <c r="X6607" s="6">
        <v>56.55</v>
      </c>
      <c r="Y6607" s="5">
        <v>56.2</v>
      </c>
      <c r="Z6607" s="5">
        <v>59.8</v>
      </c>
      <c r="AA6607" s="6">
        <v>4.51</v>
      </c>
      <c r="AB6607" s="7">
        <v>5.6509999999999998</v>
      </c>
      <c r="AC6607" s="8">
        <v>7260</v>
      </c>
    </row>
    <row r="6608" spans="1:29" ht="104" x14ac:dyDescent="0.15">
      <c r="A6608" s="3">
        <f>DATE(2002,7,8)</f>
        <v>37445</v>
      </c>
      <c r="B6608" s="3">
        <f>DATE(2002,10,3)</f>
        <v>37532</v>
      </c>
      <c r="C6608" s="2" t="s">
        <v>95</v>
      </c>
      <c r="D6608" s="2" t="s">
        <v>20131</v>
      </c>
      <c r="E6608" s="2" t="s">
        <v>20132</v>
      </c>
      <c r="F6608" s="4">
        <v>7374</v>
      </c>
      <c r="G6608" s="2" t="s">
        <v>223</v>
      </c>
      <c r="H6608" s="2" t="s">
        <v>34</v>
      </c>
      <c r="I6608" s="2" t="s">
        <v>16575</v>
      </c>
      <c r="J6608" s="2" t="s">
        <v>16576</v>
      </c>
      <c r="K6608" s="2" t="s">
        <v>223</v>
      </c>
      <c r="L6608" s="2" t="s">
        <v>34</v>
      </c>
      <c r="M6608" s="12">
        <v>15881.531000000001</v>
      </c>
      <c r="N6608" s="6">
        <v>56.24</v>
      </c>
      <c r="O6608" s="6">
        <v>57.05</v>
      </c>
      <c r="P6608" s="2" t="s">
        <v>20133</v>
      </c>
      <c r="Q6608" s="6">
        <v>100</v>
      </c>
      <c r="R6608" s="6">
        <v>23.62</v>
      </c>
      <c r="S6608" s="5">
        <v>-49.2</v>
      </c>
      <c r="T6608" s="5">
        <v>28.2</v>
      </c>
      <c r="U6608" s="5">
        <v>2.6</v>
      </c>
      <c r="V6608" s="6">
        <v>-6.59</v>
      </c>
      <c r="W6608" s="6">
        <v>19.149999999999999</v>
      </c>
      <c r="X6608" s="4">
        <v>20</v>
      </c>
      <c r="Y6608" s="6">
        <v>21.61</v>
      </c>
      <c r="Z6608" s="6">
        <v>21.77</v>
      </c>
      <c r="AA6608" s="6">
        <v>60.6</v>
      </c>
      <c r="AB6608" s="2" t="s">
        <v>86</v>
      </c>
      <c r="AC6608" s="6">
        <v>738.52</v>
      </c>
    </row>
    <row r="6609" spans="1:29" ht="169" x14ac:dyDescent="0.15">
      <c r="A6609" s="3">
        <f>DATE(2002,7,9)</f>
        <v>37446</v>
      </c>
      <c r="B6609" s="3">
        <f>DATE(2002,8,5)</f>
        <v>37473</v>
      </c>
      <c r="C6609" s="2" t="s">
        <v>95</v>
      </c>
      <c r="D6609" s="2" t="s">
        <v>20134</v>
      </c>
      <c r="E6609" s="2" t="s">
        <v>20135</v>
      </c>
      <c r="F6609" s="4">
        <v>3556</v>
      </c>
      <c r="G6609" s="2" t="s">
        <v>300</v>
      </c>
      <c r="H6609" s="2" t="s">
        <v>34</v>
      </c>
      <c r="I6609" s="2" t="s">
        <v>278</v>
      </c>
      <c r="J6609" s="2" t="s">
        <v>52</v>
      </c>
      <c r="K6609" s="2" t="s">
        <v>53</v>
      </c>
      <c r="L6609" s="2" t="s">
        <v>34</v>
      </c>
      <c r="M6609" s="2"/>
      <c r="N6609" s="2"/>
      <c r="O6609" s="2"/>
      <c r="P6609" s="2" t="s">
        <v>20136</v>
      </c>
      <c r="Q6609" s="6">
        <v>81.42</v>
      </c>
      <c r="R6609" s="6">
        <v>3.09</v>
      </c>
      <c r="S6609" s="5">
        <v>-39.4</v>
      </c>
      <c r="T6609" s="7">
        <v>-29.939</v>
      </c>
      <c r="U6609" s="5">
        <v>1.4</v>
      </c>
      <c r="V6609" s="6">
        <v>-0.63</v>
      </c>
      <c r="W6609" s="6">
        <v>4.55</v>
      </c>
      <c r="X6609" s="6">
        <v>4.29</v>
      </c>
      <c r="Y6609" s="5">
        <v>4.0999999999999996</v>
      </c>
      <c r="Z6609" s="6">
        <v>3.95</v>
      </c>
      <c r="AA6609" s="6">
        <v>66.86</v>
      </c>
      <c r="AB6609" s="2" t="s">
        <v>86</v>
      </c>
      <c r="AC6609" s="2"/>
    </row>
    <row r="6610" spans="1:29" ht="156" x14ac:dyDescent="0.15">
      <c r="A6610" s="3">
        <f>DATE(2002,7,9)</f>
        <v>37446</v>
      </c>
      <c r="B6610" s="2"/>
      <c r="C6610" s="2" t="s">
        <v>141</v>
      </c>
      <c r="D6610" s="2" t="s">
        <v>20137</v>
      </c>
      <c r="E6610" s="2" t="s">
        <v>11951</v>
      </c>
      <c r="F6610" s="4">
        <v>8744</v>
      </c>
      <c r="G6610" s="2" t="s">
        <v>223</v>
      </c>
      <c r="H6610" s="2" t="s">
        <v>34</v>
      </c>
      <c r="I6610" s="2" t="s">
        <v>143</v>
      </c>
      <c r="J6610" s="2" t="s">
        <v>144</v>
      </c>
      <c r="K6610" s="2" t="s">
        <v>53</v>
      </c>
      <c r="L6610" s="2" t="s">
        <v>139</v>
      </c>
      <c r="M6610" s="2"/>
      <c r="N6610" s="2"/>
      <c r="O6610" s="2"/>
      <c r="P6610" s="2" t="s">
        <v>20138</v>
      </c>
      <c r="Q6610" s="2"/>
      <c r="R6610" s="2"/>
      <c r="S6610" s="5">
        <v>22</v>
      </c>
      <c r="T6610" s="7">
        <v>41.734000000000002</v>
      </c>
      <c r="U6610" s="5">
        <v>1.5</v>
      </c>
      <c r="V6610" s="9">
        <v>0.2311</v>
      </c>
      <c r="W6610" s="6">
        <v>14.02</v>
      </c>
      <c r="X6610" s="6">
        <v>14.39</v>
      </c>
      <c r="Y6610" s="6">
        <v>14.39</v>
      </c>
      <c r="Z6610" s="5">
        <v>14.5</v>
      </c>
      <c r="AA6610" s="6">
        <v>21.16</v>
      </c>
      <c r="AB6610" s="2" t="s">
        <v>47</v>
      </c>
      <c r="AC6610" s="2"/>
    </row>
    <row r="6611" spans="1:29" ht="65" x14ac:dyDescent="0.15">
      <c r="A6611" s="3">
        <f>DATE(2002,7,9)</f>
        <v>37446</v>
      </c>
      <c r="B6611" s="3">
        <f>DATE(2003,2,25)</f>
        <v>37677</v>
      </c>
      <c r="C6611" s="2" t="s">
        <v>95</v>
      </c>
      <c r="D6611" s="2" t="s">
        <v>20139</v>
      </c>
      <c r="E6611" s="2" t="s">
        <v>1181</v>
      </c>
      <c r="F6611" s="4">
        <v>6021</v>
      </c>
      <c r="G6611" s="2" t="s">
        <v>37</v>
      </c>
      <c r="H6611" s="2" t="s">
        <v>34</v>
      </c>
      <c r="I6611" s="2" t="s">
        <v>20140</v>
      </c>
      <c r="J6611" s="2" t="s">
        <v>1181</v>
      </c>
      <c r="K6611" s="2" t="s">
        <v>37</v>
      </c>
      <c r="L6611" s="2" t="s">
        <v>34</v>
      </c>
      <c r="M6611" s="2"/>
      <c r="N6611" s="2"/>
      <c r="O6611" s="2"/>
      <c r="P6611" s="2" t="s">
        <v>20141</v>
      </c>
      <c r="Q6611" s="6">
        <v>100</v>
      </c>
      <c r="R6611" s="6">
        <v>14.55</v>
      </c>
      <c r="S6611" s="5">
        <v>0.5</v>
      </c>
      <c r="T6611" s="7">
        <v>0.84799999999999998</v>
      </c>
      <c r="U6611" s="5">
        <v>11.4</v>
      </c>
      <c r="V6611" s="6">
        <v>0.61</v>
      </c>
      <c r="W6611" s="5">
        <v>10.1</v>
      </c>
      <c r="X6611" s="5">
        <v>10.1</v>
      </c>
      <c r="Y6611" s="5">
        <v>10.1</v>
      </c>
      <c r="Z6611" s="6">
        <v>14.03</v>
      </c>
      <c r="AA6611" s="6">
        <v>0.82</v>
      </c>
      <c r="AB6611" s="7">
        <v>16.806999999999999</v>
      </c>
      <c r="AC6611" s="2"/>
    </row>
    <row r="6612" spans="1:29" ht="78" x14ac:dyDescent="0.15">
      <c r="A6612" s="3">
        <f>DATE(2002,7,10)</f>
        <v>37447</v>
      </c>
      <c r="B6612" s="2"/>
      <c r="C6612" s="2" t="s">
        <v>87</v>
      </c>
      <c r="D6612" s="2" t="s">
        <v>19399</v>
      </c>
      <c r="E6612" s="2" t="s">
        <v>19400</v>
      </c>
      <c r="F6612" s="4">
        <v>4812</v>
      </c>
      <c r="G6612" s="2" t="s">
        <v>63</v>
      </c>
      <c r="H6612" s="2" t="s">
        <v>34</v>
      </c>
      <c r="I6612" s="2" t="s">
        <v>14734</v>
      </c>
      <c r="J6612" s="2" t="s">
        <v>14733</v>
      </c>
      <c r="K6612" s="2" t="s">
        <v>63</v>
      </c>
      <c r="L6612" s="2" t="s">
        <v>34</v>
      </c>
      <c r="M6612" s="2"/>
      <c r="N6612" s="2"/>
      <c r="O6612" s="2"/>
      <c r="P6612" s="2" t="s">
        <v>20142</v>
      </c>
      <c r="Q6612" s="2"/>
      <c r="R6612" s="2"/>
      <c r="S6612" s="5">
        <v>184</v>
      </c>
      <c r="T6612" s="8">
        <v>3203</v>
      </c>
      <c r="U6612" s="5">
        <v>9.5</v>
      </c>
      <c r="V6612" s="6">
        <v>0.06</v>
      </c>
      <c r="W6612" s="6">
        <v>5.76</v>
      </c>
      <c r="X6612" s="6">
        <v>5.15</v>
      </c>
      <c r="Y6612" s="6">
        <v>5.45</v>
      </c>
      <c r="Z6612" s="6">
        <v>5.75</v>
      </c>
      <c r="AA6612" s="10">
        <v>2706.23</v>
      </c>
      <c r="AB6612" s="2" t="s">
        <v>47</v>
      </c>
      <c r="AC6612" s="8">
        <v>1077.2</v>
      </c>
    </row>
    <row r="6613" spans="1:29" ht="208" x14ac:dyDescent="0.15">
      <c r="A6613" s="3">
        <f>DATE(2002,7,10)</f>
        <v>37447</v>
      </c>
      <c r="B6613" s="2"/>
      <c r="C6613" s="2" t="s">
        <v>141</v>
      </c>
      <c r="D6613" s="2" t="s">
        <v>20143</v>
      </c>
      <c r="E6613" s="2" t="s">
        <v>612</v>
      </c>
      <c r="F6613" s="4">
        <v>1382</v>
      </c>
      <c r="G6613" s="2" t="s">
        <v>148</v>
      </c>
      <c r="H6613" s="2" t="s">
        <v>34</v>
      </c>
      <c r="I6613" s="2" t="s">
        <v>143</v>
      </c>
      <c r="J6613" s="2" t="s">
        <v>144</v>
      </c>
      <c r="K6613" s="2" t="s">
        <v>53</v>
      </c>
      <c r="L6613" s="2" t="s">
        <v>139</v>
      </c>
      <c r="M6613" s="2"/>
      <c r="N6613" s="2"/>
      <c r="O6613" s="2"/>
      <c r="P6613" s="2" t="s">
        <v>20144</v>
      </c>
      <c r="Q6613" s="2"/>
      <c r="R6613" s="2"/>
      <c r="S6613" s="5">
        <v>69.599999999999994</v>
      </c>
      <c r="T6613" s="7">
        <v>261.17099999999999</v>
      </c>
      <c r="U6613" s="5">
        <v>18.399999999999999</v>
      </c>
      <c r="V6613" s="6">
        <v>2.25</v>
      </c>
      <c r="W6613" s="6">
        <v>29.28</v>
      </c>
      <c r="X6613" s="6">
        <v>29.58</v>
      </c>
      <c r="Y6613" s="5">
        <v>29.7</v>
      </c>
      <c r="Z6613" s="5">
        <v>28.9</v>
      </c>
      <c r="AA6613" s="6">
        <v>30.5</v>
      </c>
      <c r="AB6613" s="2" t="s">
        <v>47</v>
      </c>
      <c r="AC6613" s="2"/>
    </row>
    <row r="6614" spans="1:29" ht="91" x14ac:dyDescent="0.15">
      <c r="A6614" s="3">
        <f>DATE(2002,7,11)</f>
        <v>37448</v>
      </c>
      <c r="B6614" s="2"/>
      <c r="C6614" s="2" t="s">
        <v>30</v>
      </c>
      <c r="D6614" s="2" t="s">
        <v>20145</v>
      </c>
      <c r="E6614" s="2" t="s">
        <v>2728</v>
      </c>
      <c r="F6614" s="4">
        <v>3674</v>
      </c>
      <c r="G6614" s="2" t="s">
        <v>137</v>
      </c>
      <c r="H6614" s="2" t="s">
        <v>34</v>
      </c>
      <c r="I6614" s="2" t="s">
        <v>20146</v>
      </c>
      <c r="J6614" s="2" t="s">
        <v>2208</v>
      </c>
      <c r="K6614" s="2" t="s">
        <v>921</v>
      </c>
      <c r="L6614" s="2" t="s">
        <v>34</v>
      </c>
      <c r="M6614" s="7">
        <v>231.55199999999999</v>
      </c>
      <c r="N6614" s="6">
        <v>8.24</v>
      </c>
      <c r="O6614" s="6">
        <v>8.5500000000000007</v>
      </c>
      <c r="P6614" s="2" t="s">
        <v>20147</v>
      </c>
      <c r="Q6614" s="2"/>
      <c r="R6614" s="6">
        <v>8.75</v>
      </c>
      <c r="S6614" s="5">
        <v>-18.8</v>
      </c>
      <c r="T6614" s="7">
        <v>-3.0409999999999999</v>
      </c>
      <c r="U6614" s="5">
        <v>9.8000000000000007</v>
      </c>
      <c r="V6614" s="6">
        <v>-1.55</v>
      </c>
      <c r="W6614" s="6">
        <v>6.72</v>
      </c>
      <c r="X6614" s="6">
        <v>6.67</v>
      </c>
      <c r="Y6614" s="6">
        <v>6.65</v>
      </c>
      <c r="Z6614" s="6">
        <v>8.66</v>
      </c>
      <c r="AA6614" s="6">
        <v>12.23</v>
      </c>
      <c r="AB6614" s="2" t="s">
        <v>86</v>
      </c>
      <c r="AC6614" s="6">
        <v>115.34</v>
      </c>
    </row>
    <row r="6615" spans="1:29" ht="143" x14ac:dyDescent="0.15">
      <c r="A6615" s="3">
        <f>DATE(2002,7,12)</f>
        <v>37449</v>
      </c>
      <c r="B6615" s="2"/>
      <c r="C6615" s="2" t="s">
        <v>30</v>
      </c>
      <c r="D6615" s="2" t="s">
        <v>13353</v>
      </c>
      <c r="E6615" s="2" t="s">
        <v>20148</v>
      </c>
      <c r="F6615" s="4">
        <v>3826</v>
      </c>
      <c r="G6615" s="2" t="s">
        <v>226</v>
      </c>
      <c r="H6615" s="2" t="s">
        <v>34</v>
      </c>
      <c r="I6615" s="2" t="s">
        <v>16444</v>
      </c>
      <c r="J6615" s="2" t="s">
        <v>16445</v>
      </c>
      <c r="K6615" s="2" t="s">
        <v>300</v>
      </c>
      <c r="L6615" s="2" t="s">
        <v>34</v>
      </c>
      <c r="M6615" s="7">
        <v>720.28300000000002</v>
      </c>
      <c r="N6615" s="6">
        <v>18.05</v>
      </c>
      <c r="O6615" s="6">
        <v>17.649999999999999</v>
      </c>
      <c r="P6615" s="2" t="s">
        <v>20149</v>
      </c>
      <c r="Q6615" s="2"/>
      <c r="R6615" s="6">
        <v>30.47</v>
      </c>
      <c r="S6615" s="5">
        <v>24.5</v>
      </c>
      <c r="T6615" s="2"/>
      <c r="U6615" s="5">
        <v>9.9</v>
      </c>
      <c r="V6615" s="6">
        <v>0.73</v>
      </c>
      <c r="W6615" s="6">
        <v>23.81</v>
      </c>
      <c r="X6615" s="6">
        <v>22.06</v>
      </c>
      <c r="Y6615" s="4">
        <v>24</v>
      </c>
      <c r="Z6615" s="6">
        <v>23.53</v>
      </c>
      <c r="AA6615" s="6">
        <v>32.340000000000003</v>
      </c>
      <c r="AB6615" s="7">
        <v>17.359000000000002</v>
      </c>
      <c r="AC6615" s="6">
        <v>221.34</v>
      </c>
    </row>
    <row r="6616" spans="1:29" ht="208" x14ac:dyDescent="0.15">
      <c r="A6616" s="3">
        <f>DATE(2002,7,15)</f>
        <v>37452</v>
      </c>
      <c r="B6616" s="3">
        <f>DATE(2003,4,15)</f>
        <v>37726</v>
      </c>
      <c r="C6616" s="2" t="s">
        <v>95</v>
      </c>
      <c r="D6616" s="2" t="s">
        <v>20150</v>
      </c>
      <c r="E6616" s="2" t="s">
        <v>7907</v>
      </c>
      <c r="F6616" s="4">
        <v>2834</v>
      </c>
      <c r="G6616" s="2" t="s">
        <v>130</v>
      </c>
      <c r="H6616" s="2" t="s">
        <v>34</v>
      </c>
      <c r="I6616" s="2" t="s">
        <v>7393</v>
      </c>
      <c r="J6616" s="2" t="s">
        <v>5670</v>
      </c>
      <c r="K6616" s="2" t="s">
        <v>130</v>
      </c>
      <c r="L6616" s="2" t="s">
        <v>34</v>
      </c>
      <c r="M6616" s="12">
        <v>225121.87700000001</v>
      </c>
      <c r="N6616" s="6">
        <v>28.78</v>
      </c>
      <c r="O6616" s="6">
        <v>28.55</v>
      </c>
      <c r="P6616" s="2" t="s">
        <v>20151</v>
      </c>
      <c r="Q6616" s="6">
        <v>100</v>
      </c>
      <c r="R6616" s="6">
        <v>45.08</v>
      </c>
      <c r="S6616" s="8">
        <v>2169</v>
      </c>
      <c r="T6616" s="8">
        <v>3414</v>
      </c>
      <c r="U6616" s="5">
        <v>9.1999999999999993</v>
      </c>
      <c r="V6616" s="6">
        <v>1.47</v>
      </c>
      <c r="W6616" s="6">
        <v>35.119999999999997</v>
      </c>
      <c r="X6616" s="6">
        <v>32.590000000000003</v>
      </c>
      <c r="Y6616" s="6">
        <v>39.25</v>
      </c>
      <c r="Z6616" s="5">
        <v>39.4</v>
      </c>
      <c r="AA6616" s="10">
        <v>1293.1199999999999</v>
      </c>
      <c r="AB6616" s="7">
        <v>21.61</v>
      </c>
      <c r="AC6616" s="8">
        <v>1196</v>
      </c>
    </row>
    <row r="6617" spans="1:29" ht="65" x14ac:dyDescent="0.15">
      <c r="A6617" s="3">
        <f>DATE(2002,7,16)</f>
        <v>37453</v>
      </c>
      <c r="B6617" s="2"/>
      <c r="C6617" s="2" t="s">
        <v>7330</v>
      </c>
      <c r="D6617" s="2" t="s">
        <v>20152</v>
      </c>
      <c r="E6617" s="2" t="s">
        <v>20153</v>
      </c>
      <c r="F6617" s="4">
        <v>3679</v>
      </c>
      <c r="G6617" s="2" t="s">
        <v>137</v>
      </c>
      <c r="H6617" s="2" t="s">
        <v>34</v>
      </c>
      <c r="I6617" s="2" t="s">
        <v>20152</v>
      </c>
      <c r="J6617" s="2" t="s">
        <v>20153</v>
      </c>
      <c r="K6617" s="2" t="s">
        <v>137</v>
      </c>
      <c r="L6617" s="2" t="s">
        <v>34</v>
      </c>
      <c r="M6617" s="6">
        <v>2.3199999999999998</v>
      </c>
      <c r="N6617" s="6">
        <v>1.01</v>
      </c>
      <c r="O6617" s="6">
        <v>1.01</v>
      </c>
      <c r="P6617" s="2" t="s">
        <v>20154</v>
      </c>
      <c r="Q6617" s="2"/>
      <c r="R6617" s="2"/>
      <c r="S6617" s="5">
        <v>-0.7</v>
      </c>
      <c r="T6617" s="7">
        <v>-0.63800000000000001</v>
      </c>
      <c r="U6617" s="5">
        <v>-3.3</v>
      </c>
      <c r="V6617" s="6">
        <v>-3.32</v>
      </c>
      <c r="W6617" s="6">
        <v>1.01</v>
      </c>
      <c r="X6617" s="6">
        <v>1.01</v>
      </c>
      <c r="Y6617" s="6">
        <v>1.01</v>
      </c>
      <c r="Z6617" s="6">
        <v>1.01</v>
      </c>
      <c r="AA6617" s="2"/>
      <c r="AB6617" s="2" t="s">
        <v>86</v>
      </c>
      <c r="AC6617" s="6">
        <v>0</v>
      </c>
    </row>
    <row r="6618" spans="1:29" ht="117" x14ac:dyDescent="0.15">
      <c r="A6618" s="3">
        <f>DATE(2002,7,16)</f>
        <v>37453</v>
      </c>
      <c r="B6618" s="2"/>
      <c r="C6618" s="2" t="s">
        <v>30</v>
      </c>
      <c r="D6618" s="2" t="s">
        <v>20155</v>
      </c>
      <c r="E6618" s="2" t="s">
        <v>6734</v>
      </c>
      <c r="F6618" s="4">
        <v>6141</v>
      </c>
      <c r="G6618" s="2" t="s">
        <v>370</v>
      </c>
      <c r="H6618" s="2" t="s">
        <v>34</v>
      </c>
      <c r="I6618" s="2" t="s">
        <v>6895</v>
      </c>
      <c r="J6618" s="2" t="s">
        <v>6896</v>
      </c>
      <c r="K6618" s="2" t="s">
        <v>33</v>
      </c>
      <c r="L6618" s="2" t="s">
        <v>34</v>
      </c>
      <c r="M6618" s="2"/>
      <c r="N6618" s="6">
        <v>24.39</v>
      </c>
      <c r="O6618" s="5">
        <v>24.4</v>
      </c>
      <c r="P6618" s="2" t="s">
        <v>20156</v>
      </c>
      <c r="Q6618" s="2"/>
      <c r="R6618" s="6">
        <v>22.45</v>
      </c>
      <c r="S6618" s="5">
        <v>64.099999999999994</v>
      </c>
      <c r="T6618" s="7">
        <v>137.01499999999999</v>
      </c>
      <c r="U6618" s="5">
        <v>14.7</v>
      </c>
      <c r="V6618" s="6">
        <v>1.67</v>
      </c>
      <c r="W6618" s="5">
        <v>24.5</v>
      </c>
      <c r="X6618" s="6">
        <v>21.95</v>
      </c>
      <c r="Y6618" s="6">
        <v>21.38</v>
      </c>
      <c r="Z6618" s="5">
        <v>23.5</v>
      </c>
      <c r="AA6618" s="6">
        <v>41.01</v>
      </c>
      <c r="AB6618" s="7">
        <v>132.65600000000001</v>
      </c>
      <c r="AC6618" s="2"/>
    </row>
    <row r="6619" spans="1:29" ht="104" x14ac:dyDescent="0.15">
      <c r="A6619" s="3">
        <f>DATE(2002,7,22)</f>
        <v>37459</v>
      </c>
      <c r="B6619" s="3">
        <f>DATE(2003,1,3)</f>
        <v>37624</v>
      </c>
      <c r="C6619" s="2" t="s">
        <v>95</v>
      </c>
      <c r="D6619" s="2" t="s">
        <v>20157</v>
      </c>
      <c r="E6619" s="2" t="s">
        <v>263</v>
      </c>
      <c r="F6619" s="4">
        <v>6712</v>
      </c>
      <c r="G6619" s="2" t="s">
        <v>37</v>
      </c>
      <c r="H6619" s="2" t="s">
        <v>34</v>
      </c>
      <c r="I6619" s="2" t="s">
        <v>20158</v>
      </c>
      <c r="J6619" s="2" t="s">
        <v>159</v>
      </c>
      <c r="K6619" s="2" t="s">
        <v>37</v>
      </c>
      <c r="L6619" s="2" t="s">
        <v>34</v>
      </c>
      <c r="M6619" s="7">
        <v>201.572</v>
      </c>
      <c r="N6619" s="6">
        <v>17.78</v>
      </c>
      <c r="O6619" s="5">
        <v>17.5</v>
      </c>
      <c r="P6619" s="2" t="s">
        <v>20159</v>
      </c>
      <c r="Q6619" s="6">
        <v>100</v>
      </c>
      <c r="R6619" s="6">
        <v>21.27</v>
      </c>
      <c r="S6619" s="5">
        <v>1</v>
      </c>
      <c r="T6619" s="7">
        <v>2.1549999999999998</v>
      </c>
      <c r="U6619" s="5">
        <v>19.399999999999999</v>
      </c>
      <c r="V6619" s="6">
        <v>0.72</v>
      </c>
      <c r="W6619" s="4">
        <v>16</v>
      </c>
      <c r="X6619" s="6">
        <v>16.95</v>
      </c>
      <c r="Y6619" s="7">
        <v>19.172000000000001</v>
      </c>
      <c r="Z6619" s="5">
        <v>18.5</v>
      </c>
      <c r="AA6619" s="6">
        <v>1.51</v>
      </c>
      <c r="AB6619" s="7">
        <v>54.640999999999998</v>
      </c>
      <c r="AC6619" s="2"/>
    </row>
    <row r="6620" spans="1:29" ht="234" x14ac:dyDescent="0.15">
      <c r="A6620" s="3">
        <f>DATE(2002,7,22)</f>
        <v>37459</v>
      </c>
      <c r="B6620" s="3">
        <f>DATE(2005,3,15)</f>
        <v>38426</v>
      </c>
      <c r="C6620" s="2" t="s">
        <v>95</v>
      </c>
      <c r="D6620" s="2" t="s">
        <v>20160</v>
      </c>
      <c r="E6620" s="2" t="s">
        <v>263</v>
      </c>
      <c r="F6620" s="4">
        <v>6035</v>
      </c>
      <c r="G6620" s="2" t="s">
        <v>33</v>
      </c>
      <c r="H6620" s="2" t="s">
        <v>34</v>
      </c>
      <c r="I6620" s="2" t="s">
        <v>20161</v>
      </c>
      <c r="J6620" s="2" t="s">
        <v>263</v>
      </c>
      <c r="K6620" s="2" t="s">
        <v>33</v>
      </c>
      <c r="L6620" s="2" t="s">
        <v>34</v>
      </c>
      <c r="M6620" s="7">
        <v>667.32899999999995</v>
      </c>
      <c r="N6620" s="6">
        <v>29.84</v>
      </c>
      <c r="O6620" s="5">
        <v>28.5</v>
      </c>
      <c r="P6620" s="2" t="s">
        <v>20162</v>
      </c>
      <c r="Q6620" s="6">
        <v>100</v>
      </c>
      <c r="R6620" s="6">
        <v>20</v>
      </c>
      <c r="S6620" s="5">
        <v>2.5</v>
      </c>
      <c r="T6620" s="2"/>
      <c r="U6620" s="5">
        <v>11.7</v>
      </c>
      <c r="V6620" s="6">
        <v>0.79</v>
      </c>
      <c r="W6620" s="6">
        <v>13.88</v>
      </c>
      <c r="X6620" s="7">
        <v>13.379</v>
      </c>
      <c r="Y6620" s="6">
        <v>19.45</v>
      </c>
      <c r="Z6620" s="6">
        <v>19.45</v>
      </c>
      <c r="AA6620" s="6">
        <v>3.17</v>
      </c>
      <c r="AB6620" s="7">
        <v>41.838999999999999</v>
      </c>
      <c r="AC6620" s="2"/>
    </row>
    <row r="6621" spans="1:29" ht="182" x14ac:dyDescent="0.15">
      <c r="A6621" s="3">
        <f>DATE(2002,7,23)</f>
        <v>37460</v>
      </c>
      <c r="B6621" s="3">
        <f>DATE(2002,10,29)</f>
        <v>37558</v>
      </c>
      <c r="C6621" s="2" t="s">
        <v>95</v>
      </c>
      <c r="D6621" s="2" t="s">
        <v>20163</v>
      </c>
      <c r="E6621" s="2" t="s">
        <v>1181</v>
      </c>
      <c r="F6621" s="4">
        <v>6021</v>
      </c>
      <c r="G6621" s="2" t="s">
        <v>37</v>
      </c>
      <c r="H6621" s="2" t="s">
        <v>34</v>
      </c>
      <c r="I6621" s="2" t="s">
        <v>20164</v>
      </c>
      <c r="J6621" s="2" t="s">
        <v>36</v>
      </c>
      <c r="K6621" s="2" t="s">
        <v>33</v>
      </c>
      <c r="L6621" s="2" t="s">
        <v>34</v>
      </c>
      <c r="M6621" s="7">
        <v>462.15899999999999</v>
      </c>
      <c r="N6621" s="6">
        <v>25.57</v>
      </c>
      <c r="O6621" s="5">
        <v>25.5</v>
      </c>
      <c r="P6621" s="2" t="s">
        <v>20165</v>
      </c>
      <c r="Q6621" s="6">
        <v>100</v>
      </c>
      <c r="R6621" s="6">
        <v>22.51</v>
      </c>
      <c r="S6621" s="5">
        <v>3.7</v>
      </c>
      <c r="T6621" s="2"/>
      <c r="U6621" s="5">
        <v>8.4</v>
      </c>
      <c r="V6621" s="9">
        <v>1.0235000000000001</v>
      </c>
      <c r="W6621" s="5">
        <v>18.8</v>
      </c>
      <c r="X6621" s="7">
        <v>18.001000000000001</v>
      </c>
      <c r="Y6621" s="6">
        <v>20.97</v>
      </c>
      <c r="Z6621" s="6">
        <v>20.62</v>
      </c>
      <c r="AA6621" s="6">
        <v>2.61</v>
      </c>
      <c r="AB6621" s="7">
        <v>23.387</v>
      </c>
      <c r="AC6621" s="5">
        <v>71.7</v>
      </c>
    </row>
    <row r="6622" spans="1:29" ht="143" x14ac:dyDescent="0.15">
      <c r="A6622" s="3">
        <f>DATE(2002,7,23)</f>
        <v>37460</v>
      </c>
      <c r="B6622" s="3">
        <f>DATE(2002,11,18)</f>
        <v>37578</v>
      </c>
      <c r="C6622" s="2" t="s">
        <v>95</v>
      </c>
      <c r="D6622" s="2" t="s">
        <v>20166</v>
      </c>
      <c r="E6622" s="2" t="s">
        <v>265</v>
      </c>
      <c r="F6622" s="4">
        <v>6022</v>
      </c>
      <c r="G6622" s="2" t="s">
        <v>37</v>
      </c>
      <c r="H6622" s="2" t="s">
        <v>34</v>
      </c>
      <c r="I6622" s="2" t="s">
        <v>17438</v>
      </c>
      <c r="J6622" s="2" t="s">
        <v>36</v>
      </c>
      <c r="K6622" s="2" t="s">
        <v>33</v>
      </c>
      <c r="L6622" s="2" t="s">
        <v>34</v>
      </c>
      <c r="M6622" s="7">
        <v>347.75299999999999</v>
      </c>
      <c r="N6622" s="7">
        <v>14.881</v>
      </c>
      <c r="O6622" s="6">
        <v>15.28</v>
      </c>
      <c r="P6622" s="2" t="s">
        <v>20167</v>
      </c>
      <c r="Q6622" s="6">
        <v>100</v>
      </c>
      <c r="R6622" s="6">
        <v>9.35</v>
      </c>
      <c r="S6622" s="5">
        <v>12.1</v>
      </c>
      <c r="T6622" s="7">
        <v>22.391999999999999</v>
      </c>
      <c r="U6622" s="5">
        <v>4.0999999999999996</v>
      </c>
      <c r="V6622" s="7">
        <v>0.47699999999999998</v>
      </c>
      <c r="W6622" s="6">
        <v>7.49</v>
      </c>
      <c r="X6622" s="4">
        <v>7</v>
      </c>
      <c r="Y6622" s="6">
        <v>8.2899999999999991</v>
      </c>
      <c r="Z6622" s="6">
        <v>8.39</v>
      </c>
      <c r="AA6622" s="6">
        <v>24.8</v>
      </c>
      <c r="AB6622" s="7">
        <v>48.337000000000003</v>
      </c>
      <c r="AC6622" s="2"/>
    </row>
    <row r="6623" spans="1:29" ht="65" x14ac:dyDescent="0.15">
      <c r="A6623" s="3">
        <f>DATE(2002,7,23)</f>
        <v>37460</v>
      </c>
      <c r="B6623" s="3">
        <f>DATE(2002,11,6)</f>
        <v>37566</v>
      </c>
      <c r="C6623" s="2" t="s">
        <v>95</v>
      </c>
      <c r="D6623" s="2" t="s">
        <v>20168</v>
      </c>
      <c r="E6623" s="2" t="s">
        <v>11833</v>
      </c>
      <c r="F6623" s="4">
        <v>2819</v>
      </c>
      <c r="G6623" s="2" t="s">
        <v>98</v>
      </c>
      <c r="H6623" s="2" t="s">
        <v>34</v>
      </c>
      <c r="I6623" s="2" t="s">
        <v>14014</v>
      </c>
      <c r="J6623" s="2" t="s">
        <v>14015</v>
      </c>
      <c r="K6623" s="2" t="s">
        <v>98</v>
      </c>
      <c r="L6623" s="2" t="s">
        <v>34</v>
      </c>
      <c r="M6623" s="12">
        <v>42945.697999999997</v>
      </c>
      <c r="N6623" s="6">
        <v>37.049999999999997</v>
      </c>
      <c r="O6623" s="6">
        <v>40.28</v>
      </c>
      <c r="P6623" s="2" t="s">
        <v>20169</v>
      </c>
      <c r="Q6623" s="6">
        <v>100</v>
      </c>
      <c r="R6623" s="6">
        <v>29.2</v>
      </c>
      <c r="S6623" s="5">
        <v>13.2</v>
      </c>
      <c r="T6623" s="7">
        <v>39.823999999999998</v>
      </c>
      <c r="U6623" s="5">
        <v>15.9</v>
      </c>
      <c r="V6623" s="6">
        <v>0.92</v>
      </c>
      <c r="W6623" s="6">
        <v>23.22</v>
      </c>
      <c r="X6623" s="6">
        <v>22.76</v>
      </c>
      <c r="Y6623" s="5">
        <v>22.8</v>
      </c>
      <c r="Z6623" s="6">
        <v>28.77</v>
      </c>
      <c r="AA6623" s="6">
        <v>14.14</v>
      </c>
      <c r="AB6623" s="7">
        <v>19.811</v>
      </c>
      <c r="AC6623" s="8">
        <v>3625</v>
      </c>
    </row>
    <row r="6624" spans="1:29" ht="169" x14ac:dyDescent="0.15">
      <c r="A6624" s="3">
        <f>DATE(2002,7,23)</f>
        <v>37460</v>
      </c>
      <c r="B6624" s="3">
        <f>DATE(2004,6,11)</f>
        <v>38149</v>
      </c>
      <c r="C6624" s="2" t="s">
        <v>95</v>
      </c>
      <c r="D6624" s="2" t="s">
        <v>20170</v>
      </c>
      <c r="E6624" s="2" t="s">
        <v>263</v>
      </c>
      <c r="F6624" s="4">
        <v>6022</v>
      </c>
      <c r="G6624" s="2" t="s">
        <v>37</v>
      </c>
      <c r="H6624" s="2" t="s">
        <v>34</v>
      </c>
      <c r="I6624" s="2" t="s">
        <v>1963</v>
      </c>
      <c r="J6624" s="2" t="s">
        <v>36</v>
      </c>
      <c r="K6624" s="2" t="s">
        <v>37</v>
      </c>
      <c r="L6624" s="2" t="s">
        <v>34</v>
      </c>
      <c r="M6624" s="12">
        <v>37829.555999999997</v>
      </c>
      <c r="N6624" s="6">
        <v>58.68</v>
      </c>
      <c r="O6624" s="6">
        <v>62.24</v>
      </c>
      <c r="P6624" s="2" t="s">
        <v>20171</v>
      </c>
      <c r="Q6624" s="6">
        <v>100</v>
      </c>
      <c r="R6624" s="6">
        <v>31</v>
      </c>
      <c r="S6624" s="5">
        <v>11.1</v>
      </c>
      <c r="T6624" s="7">
        <v>18.914999999999999</v>
      </c>
      <c r="U6624" s="5">
        <v>6.1</v>
      </c>
      <c r="V6624" s="6">
        <v>1.27</v>
      </c>
      <c r="W6624" s="6">
        <v>26.65</v>
      </c>
      <c r="X6624" s="5">
        <v>25.3</v>
      </c>
      <c r="Y6624" s="5">
        <v>24.9</v>
      </c>
      <c r="Z6624" s="5">
        <v>24.5</v>
      </c>
      <c r="AA6624" s="6">
        <v>8.27</v>
      </c>
      <c r="AB6624" s="7">
        <v>57.756999999999998</v>
      </c>
      <c r="AC6624" s="8">
        <v>1344.5</v>
      </c>
    </row>
    <row r="6625" spans="1:29" ht="130" x14ac:dyDescent="0.15">
      <c r="A6625" s="3">
        <f>DATE(2002,7,23)</f>
        <v>37460</v>
      </c>
      <c r="B6625" s="3">
        <f>DATE(2002,9,20)</f>
        <v>37519</v>
      </c>
      <c r="C6625" s="2" t="s">
        <v>95</v>
      </c>
      <c r="D6625" s="2" t="s">
        <v>20172</v>
      </c>
      <c r="E6625" s="2" t="s">
        <v>2728</v>
      </c>
      <c r="F6625" s="4">
        <v>3674</v>
      </c>
      <c r="G6625" s="2" t="s">
        <v>137</v>
      </c>
      <c r="H6625" s="2" t="s">
        <v>34</v>
      </c>
      <c r="I6625" s="2" t="s">
        <v>9138</v>
      </c>
      <c r="J6625" s="2" t="s">
        <v>9139</v>
      </c>
      <c r="K6625" s="2" t="s">
        <v>551</v>
      </c>
      <c r="L6625" s="2" t="s">
        <v>34</v>
      </c>
      <c r="M6625" s="12">
        <v>4034.384</v>
      </c>
      <c r="N6625" s="6">
        <v>41.82</v>
      </c>
      <c r="O6625" s="6">
        <v>42.94</v>
      </c>
      <c r="P6625" s="2" t="s">
        <v>20173</v>
      </c>
      <c r="Q6625" s="6">
        <v>100</v>
      </c>
      <c r="R6625" s="6">
        <v>4.05</v>
      </c>
      <c r="S6625" s="5">
        <v>-22.4</v>
      </c>
      <c r="T6625" s="5">
        <v>-4.4000000000000004</v>
      </c>
      <c r="U6625" s="5">
        <v>2.4</v>
      </c>
      <c r="V6625" s="6">
        <v>-1.49</v>
      </c>
      <c r="W6625" s="6">
        <v>2.4500000000000002</v>
      </c>
      <c r="X6625" s="7">
        <v>2.4510000000000001</v>
      </c>
      <c r="Y6625" s="7">
        <v>2.4009999999999998</v>
      </c>
      <c r="Z6625" s="6">
        <v>3.98</v>
      </c>
      <c r="AA6625" s="6">
        <v>14.97</v>
      </c>
      <c r="AB6625" s="2" t="s">
        <v>86</v>
      </c>
      <c r="AC6625" s="5">
        <v>483.6</v>
      </c>
    </row>
    <row r="6626" spans="1:29" ht="130" x14ac:dyDescent="0.15">
      <c r="A6626" s="3">
        <f>DATE(2002,7,26)</f>
        <v>37463</v>
      </c>
      <c r="B6626" s="3">
        <f>DATE(2003,2,28)</f>
        <v>37680</v>
      </c>
      <c r="C6626" s="2" t="s">
        <v>95</v>
      </c>
      <c r="D6626" s="2" t="s">
        <v>11831</v>
      </c>
      <c r="E6626" s="2" t="s">
        <v>676</v>
      </c>
      <c r="F6626" s="4">
        <v>2841</v>
      </c>
      <c r="G6626" s="2" t="s">
        <v>358</v>
      </c>
      <c r="H6626" s="2" t="s">
        <v>34</v>
      </c>
      <c r="I6626" s="2" t="s">
        <v>20174</v>
      </c>
      <c r="J6626" s="2" t="s">
        <v>150</v>
      </c>
      <c r="K6626" s="2" t="s">
        <v>53</v>
      </c>
      <c r="L6626" s="2" t="s">
        <v>34</v>
      </c>
      <c r="M6626" s="2"/>
      <c r="N6626" s="2"/>
      <c r="O6626" s="2"/>
      <c r="P6626" s="2" t="s">
        <v>20175</v>
      </c>
      <c r="Q6626" s="6">
        <v>22.14</v>
      </c>
      <c r="R6626" s="6">
        <v>10.3</v>
      </c>
      <c r="S6626" s="5">
        <v>23</v>
      </c>
      <c r="T6626" s="7">
        <v>190.92599999999999</v>
      </c>
      <c r="U6626" s="5">
        <v>8.1</v>
      </c>
      <c r="V6626" s="6">
        <v>0.36</v>
      </c>
      <c r="W6626" s="6">
        <v>10.130000000000001</v>
      </c>
      <c r="X6626" s="6">
        <v>9.8800000000000008</v>
      </c>
      <c r="Y6626" s="6">
        <v>9.94</v>
      </c>
      <c r="Z6626" s="4">
        <v>10</v>
      </c>
      <c r="AA6626" s="6">
        <v>64.819999999999993</v>
      </c>
      <c r="AB6626" s="7">
        <v>9.1850000000000005</v>
      </c>
      <c r="AC6626" s="2"/>
    </row>
    <row r="6627" spans="1:29" ht="117" x14ac:dyDescent="0.15">
      <c r="A6627" s="3">
        <f>DATE(2002,7,26)</f>
        <v>37463</v>
      </c>
      <c r="B6627" s="2"/>
      <c r="C6627" s="2" t="s">
        <v>30</v>
      </c>
      <c r="D6627" s="2" t="s">
        <v>20176</v>
      </c>
      <c r="E6627" s="2" t="s">
        <v>7568</v>
      </c>
      <c r="F6627" s="4">
        <v>4899</v>
      </c>
      <c r="G6627" s="2" t="s">
        <v>63</v>
      </c>
      <c r="H6627" s="2" t="s">
        <v>34</v>
      </c>
      <c r="I6627" s="2" t="s">
        <v>19173</v>
      </c>
      <c r="J6627" s="2" t="s">
        <v>9299</v>
      </c>
      <c r="K6627" s="2" t="s">
        <v>53</v>
      </c>
      <c r="L6627" s="2" t="s">
        <v>34</v>
      </c>
      <c r="M6627" s="2"/>
      <c r="N6627" s="2"/>
      <c r="O6627" s="2"/>
      <c r="P6627" s="2" t="s">
        <v>20177</v>
      </c>
      <c r="Q6627" s="2"/>
      <c r="R6627" s="6">
        <v>4.1500000000000004</v>
      </c>
      <c r="S6627" s="5">
        <v>-86</v>
      </c>
      <c r="T6627" s="7">
        <v>-89.974999999999994</v>
      </c>
      <c r="U6627" s="5">
        <v>5</v>
      </c>
      <c r="V6627" s="6">
        <v>-1.55</v>
      </c>
      <c r="W6627" s="5">
        <v>3.1</v>
      </c>
      <c r="X6627" s="7">
        <v>3.0110000000000001</v>
      </c>
      <c r="Y6627" s="6">
        <v>3.08</v>
      </c>
      <c r="Z6627" s="6">
        <v>3.11</v>
      </c>
      <c r="AA6627" s="6">
        <v>60.95</v>
      </c>
      <c r="AB6627" s="2" t="s">
        <v>86</v>
      </c>
      <c r="AC6627" s="2"/>
    </row>
    <row r="6628" spans="1:29" ht="143" x14ac:dyDescent="0.15">
      <c r="A6628" s="3">
        <f>DATE(2002,7,26)</f>
        <v>37463</v>
      </c>
      <c r="B6628" s="3">
        <f>DATE(2003,2,7)</f>
        <v>37659</v>
      </c>
      <c r="C6628" s="2" t="s">
        <v>95</v>
      </c>
      <c r="D6628" s="2" t="s">
        <v>11447</v>
      </c>
      <c r="E6628" s="2" t="s">
        <v>11448</v>
      </c>
      <c r="F6628" s="4">
        <v>3339</v>
      </c>
      <c r="G6628" s="2" t="s">
        <v>163</v>
      </c>
      <c r="H6628" s="2" t="s">
        <v>34</v>
      </c>
      <c r="I6628" s="2" t="s">
        <v>1152</v>
      </c>
      <c r="J6628" s="2" t="s">
        <v>1153</v>
      </c>
      <c r="K6628" s="2" t="s">
        <v>98</v>
      </c>
      <c r="L6628" s="2" t="s">
        <v>34</v>
      </c>
      <c r="M6628" s="12">
        <v>1793.912</v>
      </c>
      <c r="N6628" s="6">
        <v>18.43</v>
      </c>
      <c r="O6628" s="6">
        <v>16.059999999999999</v>
      </c>
      <c r="P6628" s="2" t="s">
        <v>20178</v>
      </c>
      <c r="Q6628" s="6">
        <v>35.39</v>
      </c>
      <c r="R6628" s="6">
        <v>20.25</v>
      </c>
      <c r="S6628" s="5">
        <v>-5.7</v>
      </c>
      <c r="T6628" s="2"/>
      <c r="U6628" s="5">
        <v>21.1</v>
      </c>
      <c r="V6628" s="6">
        <v>-1.02</v>
      </c>
      <c r="W6628" s="6">
        <v>30.39</v>
      </c>
      <c r="X6628" s="5">
        <v>33.200000000000003</v>
      </c>
      <c r="Y6628" s="5">
        <v>33.299999999999997</v>
      </c>
      <c r="Z6628" s="5">
        <v>37.4</v>
      </c>
      <c r="AA6628" s="6">
        <v>6.42</v>
      </c>
      <c r="AB6628" s="7">
        <v>8.1280000000000001</v>
      </c>
      <c r="AC6628" s="5">
        <v>266.89999999999998</v>
      </c>
    </row>
    <row r="6629" spans="1:29" ht="65" x14ac:dyDescent="0.15">
      <c r="A6629" s="3">
        <f>DATE(2002,7,29)</f>
        <v>37466</v>
      </c>
      <c r="B6629" s="2"/>
      <c r="C6629" s="2" t="s">
        <v>7330</v>
      </c>
      <c r="D6629" s="2" t="s">
        <v>11162</v>
      </c>
      <c r="E6629" s="2" t="s">
        <v>11163</v>
      </c>
      <c r="F6629" s="4">
        <v>3861</v>
      </c>
      <c r="G6629" s="2" t="s">
        <v>226</v>
      </c>
      <c r="H6629" s="2" t="s">
        <v>34</v>
      </c>
      <c r="I6629" s="2" t="s">
        <v>11164</v>
      </c>
      <c r="J6629" s="2" t="s">
        <v>11165</v>
      </c>
      <c r="K6629" s="2" t="s">
        <v>358</v>
      </c>
      <c r="L6629" s="2" t="s">
        <v>34</v>
      </c>
      <c r="M6629" s="2"/>
      <c r="N6629" s="2"/>
      <c r="O6629" s="2"/>
      <c r="P6629" s="2" t="s">
        <v>20179</v>
      </c>
      <c r="Q6629" s="2"/>
      <c r="R6629" s="2"/>
      <c r="S6629" s="5">
        <v>-15.9</v>
      </c>
      <c r="T6629" s="5">
        <v>80.7</v>
      </c>
      <c r="U6629" s="5">
        <v>8.1999999999999993</v>
      </c>
      <c r="V6629" s="6">
        <v>-1.83</v>
      </c>
      <c r="W6629" s="6">
        <v>2.74</v>
      </c>
      <c r="X6629" s="6">
        <v>2.74</v>
      </c>
      <c r="Y6629" s="6">
        <v>2.74</v>
      </c>
      <c r="Z6629" s="5">
        <v>2.5</v>
      </c>
      <c r="AA6629" s="6">
        <v>8.77</v>
      </c>
      <c r="AB6629" s="7">
        <v>37.319000000000003</v>
      </c>
      <c r="AC6629" s="2"/>
    </row>
    <row r="6630" spans="1:29" ht="221" x14ac:dyDescent="0.15">
      <c r="A6630" s="3">
        <f>DATE(2002,7,29)</f>
        <v>37466</v>
      </c>
      <c r="B6630" s="2"/>
      <c r="C6630" s="2" t="s">
        <v>7330</v>
      </c>
      <c r="D6630" s="2" t="s">
        <v>20180</v>
      </c>
      <c r="E6630" s="2" t="s">
        <v>92</v>
      </c>
      <c r="F6630" s="4">
        <v>6798</v>
      </c>
      <c r="G6630" s="2" t="s">
        <v>53</v>
      </c>
      <c r="H6630" s="2" t="s">
        <v>34</v>
      </c>
      <c r="I6630" s="2" t="s">
        <v>51</v>
      </c>
      <c r="J6630" s="2" t="s">
        <v>52</v>
      </c>
      <c r="K6630" s="2" t="s">
        <v>53</v>
      </c>
      <c r="L6630" s="2" t="s">
        <v>34</v>
      </c>
      <c r="M6630" s="2"/>
      <c r="N6630" s="2"/>
      <c r="O6630" s="2"/>
      <c r="P6630" s="2" t="s">
        <v>20181</v>
      </c>
      <c r="Q6630" s="2"/>
      <c r="R6630" s="6">
        <v>63.15</v>
      </c>
      <c r="S6630" s="5">
        <v>-17.600000000000001</v>
      </c>
      <c r="T6630" s="6">
        <v>-18.170000000000002</v>
      </c>
      <c r="U6630" s="5">
        <v>11.9</v>
      </c>
      <c r="V6630" s="6">
        <v>-19.079999999999998</v>
      </c>
      <c r="W6630" s="6">
        <v>34.35</v>
      </c>
      <c r="X6630" s="6">
        <v>34.049999999999997</v>
      </c>
      <c r="Y6630" s="4">
        <v>34</v>
      </c>
      <c r="Z6630" s="6">
        <v>37.25</v>
      </c>
      <c r="AA6630" s="6">
        <v>1.26</v>
      </c>
      <c r="AB6630" s="2" t="s">
        <v>86</v>
      </c>
      <c r="AC6630" s="2"/>
    </row>
    <row r="6631" spans="1:29" ht="221" x14ac:dyDescent="0.15">
      <c r="A6631" s="3">
        <f>DATE(2002,7,29)</f>
        <v>37466</v>
      </c>
      <c r="B6631" s="2"/>
      <c r="C6631" s="2" t="s">
        <v>7330</v>
      </c>
      <c r="D6631" s="2" t="s">
        <v>20182</v>
      </c>
      <c r="E6631" s="2" t="s">
        <v>92</v>
      </c>
      <c r="F6631" s="4">
        <v>6798</v>
      </c>
      <c r="G6631" s="2" t="s">
        <v>53</v>
      </c>
      <c r="H6631" s="2" t="s">
        <v>34</v>
      </c>
      <c r="I6631" s="2" t="s">
        <v>51</v>
      </c>
      <c r="J6631" s="2" t="s">
        <v>52</v>
      </c>
      <c r="K6631" s="2" t="s">
        <v>53</v>
      </c>
      <c r="L6631" s="2" t="s">
        <v>34</v>
      </c>
      <c r="M6631" s="2"/>
      <c r="N6631" s="2"/>
      <c r="O6631" s="2"/>
      <c r="P6631" s="2" t="s">
        <v>20183</v>
      </c>
      <c r="Q6631" s="2"/>
      <c r="R6631" s="6">
        <v>73.849999999999994</v>
      </c>
      <c r="S6631" s="5">
        <v>-19.3</v>
      </c>
      <c r="T6631" s="7">
        <v>4.6379999999999999</v>
      </c>
      <c r="U6631" s="5">
        <v>30.6</v>
      </c>
      <c r="V6631" s="6">
        <v>-20.73</v>
      </c>
      <c r="W6631" s="4">
        <v>40</v>
      </c>
      <c r="X6631" s="6">
        <v>40.04</v>
      </c>
      <c r="Y6631" s="5">
        <v>42.6</v>
      </c>
      <c r="Z6631" s="5">
        <v>45.2</v>
      </c>
      <c r="AA6631" s="6">
        <v>1.24</v>
      </c>
      <c r="AB6631" s="7">
        <v>29.27</v>
      </c>
      <c r="AC6631" s="2"/>
    </row>
    <row r="6632" spans="1:29" ht="221" x14ac:dyDescent="0.15">
      <c r="A6632" s="3">
        <f>DATE(2002,7,29)</f>
        <v>37466</v>
      </c>
      <c r="B6632" s="2"/>
      <c r="C6632" s="2" t="s">
        <v>7330</v>
      </c>
      <c r="D6632" s="2" t="s">
        <v>20184</v>
      </c>
      <c r="E6632" s="2" t="s">
        <v>92</v>
      </c>
      <c r="F6632" s="4">
        <v>6798</v>
      </c>
      <c r="G6632" s="2" t="s">
        <v>53</v>
      </c>
      <c r="H6632" s="2" t="s">
        <v>34</v>
      </c>
      <c r="I6632" s="2" t="s">
        <v>51</v>
      </c>
      <c r="J6632" s="2" t="s">
        <v>52</v>
      </c>
      <c r="K6632" s="2" t="s">
        <v>53</v>
      </c>
      <c r="L6632" s="2" t="s">
        <v>34</v>
      </c>
      <c r="M6632" s="2"/>
      <c r="N6632" s="2"/>
      <c r="O6632" s="2"/>
      <c r="P6632" s="2" t="s">
        <v>20185</v>
      </c>
      <c r="Q6632" s="2"/>
      <c r="R6632" s="6">
        <v>58.3</v>
      </c>
      <c r="S6632" s="5">
        <v>-15</v>
      </c>
      <c r="T6632" s="7">
        <v>3.286</v>
      </c>
      <c r="U6632" s="5">
        <v>34.9</v>
      </c>
      <c r="V6632" s="6">
        <v>-17.37</v>
      </c>
      <c r="W6632" s="6">
        <v>32.25</v>
      </c>
      <c r="X6632" s="6">
        <v>32.07</v>
      </c>
      <c r="Y6632" s="6">
        <v>32.25</v>
      </c>
      <c r="Z6632" s="4">
        <v>35</v>
      </c>
      <c r="AA6632" s="6">
        <v>1.17</v>
      </c>
      <c r="AB6632" s="7">
        <v>29.529</v>
      </c>
      <c r="AC6632" s="2"/>
    </row>
    <row r="6633" spans="1:29" ht="91" x14ac:dyDescent="0.15">
      <c r="A6633" s="3">
        <f>DATE(2002,7,31)</f>
        <v>37468</v>
      </c>
      <c r="B6633" s="3">
        <f>DATE(2002,12,11)</f>
        <v>37601</v>
      </c>
      <c r="C6633" s="2" t="s">
        <v>95</v>
      </c>
      <c r="D6633" s="2" t="s">
        <v>20186</v>
      </c>
      <c r="E6633" s="2" t="s">
        <v>20187</v>
      </c>
      <c r="F6633" s="4">
        <v>7011</v>
      </c>
      <c r="G6633" s="2" t="s">
        <v>269</v>
      </c>
      <c r="H6633" s="2" t="s">
        <v>34</v>
      </c>
      <c r="I6633" s="2" t="s">
        <v>11169</v>
      </c>
      <c r="J6633" s="2" t="s">
        <v>11170</v>
      </c>
      <c r="K6633" s="2" t="s">
        <v>269</v>
      </c>
      <c r="L6633" s="2" t="s">
        <v>34</v>
      </c>
      <c r="M6633" s="12">
        <v>4838.0460000000003</v>
      </c>
      <c r="N6633" s="6">
        <v>47.32</v>
      </c>
      <c r="O6633" s="6">
        <v>46.43</v>
      </c>
      <c r="P6633" s="2" t="s">
        <v>20188</v>
      </c>
      <c r="Q6633" s="6">
        <v>37.880000000000003</v>
      </c>
      <c r="R6633" s="6">
        <v>10.54</v>
      </c>
      <c r="S6633" s="5">
        <v>6.2</v>
      </c>
      <c r="T6633" s="7">
        <v>27.029</v>
      </c>
      <c r="U6633" s="5">
        <v>7.6</v>
      </c>
      <c r="V6633" s="6">
        <v>0.49</v>
      </c>
      <c r="W6633" s="4">
        <v>8</v>
      </c>
      <c r="X6633" s="4">
        <v>9</v>
      </c>
      <c r="Y6633" s="5">
        <v>10.199999999999999</v>
      </c>
      <c r="Z6633" s="6">
        <v>10.25</v>
      </c>
      <c r="AA6633" s="6">
        <v>12.39</v>
      </c>
      <c r="AB6633" s="7">
        <v>12.443</v>
      </c>
      <c r="AC6633" s="5">
        <v>341.5</v>
      </c>
    </row>
    <row r="6634" spans="1:29" ht="78" x14ac:dyDescent="0.15">
      <c r="A6634" s="3">
        <f>DATE(2002,7,31)</f>
        <v>37468</v>
      </c>
      <c r="B6634" s="3">
        <f>DATE(2002,12,30)</f>
        <v>37620</v>
      </c>
      <c r="C6634" s="2" t="s">
        <v>95</v>
      </c>
      <c r="D6634" s="2" t="s">
        <v>20189</v>
      </c>
      <c r="E6634" s="2" t="s">
        <v>36</v>
      </c>
      <c r="F6634" s="4">
        <v>6021</v>
      </c>
      <c r="G6634" s="2" t="s">
        <v>37</v>
      </c>
      <c r="H6634" s="2" t="s">
        <v>34</v>
      </c>
      <c r="I6634" s="2" t="s">
        <v>20190</v>
      </c>
      <c r="J6634" s="2" t="s">
        <v>20191</v>
      </c>
      <c r="K6634" s="2" t="s">
        <v>37</v>
      </c>
      <c r="L6634" s="2" t="s">
        <v>2105</v>
      </c>
      <c r="M6634" s="2"/>
      <c r="N6634" s="2"/>
      <c r="O6634" s="2"/>
      <c r="P6634" s="2" t="s">
        <v>20192</v>
      </c>
      <c r="Q6634" s="6">
        <v>100</v>
      </c>
      <c r="R6634" s="6">
        <v>15.1</v>
      </c>
      <c r="S6634" s="5">
        <v>12.8</v>
      </c>
      <c r="T6634" s="2"/>
      <c r="U6634" s="5">
        <v>6.8</v>
      </c>
      <c r="V6634" s="9">
        <v>0.83940000000000003</v>
      </c>
      <c r="W6634" s="6">
        <v>13.58</v>
      </c>
      <c r="X6634" s="5">
        <v>13.8</v>
      </c>
      <c r="Y6634" s="6">
        <v>14.82</v>
      </c>
      <c r="Z6634" s="6">
        <v>14.86</v>
      </c>
      <c r="AA6634" s="6">
        <v>13.53</v>
      </c>
      <c r="AB6634" s="2" t="s">
        <v>47</v>
      </c>
      <c r="AC6634" s="2"/>
    </row>
    <row r="6635" spans="1:29" ht="143" x14ac:dyDescent="0.15">
      <c r="A6635" s="3">
        <f>DATE(2002,8,1)</f>
        <v>37469</v>
      </c>
      <c r="B6635" s="3">
        <f>DATE(2002,9,9)</f>
        <v>37508</v>
      </c>
      <c r="C6635" s="2" t="s">
        <v>95</v>
      </c>
      <c r="D6635" s="2" t="s">
        <v>20193</v>
      </c>
      <c r="E6635" s="2" t="s">
        <v>20194</v>
      </c>
      <c r="F6635" s="4">
        <v>6282</v>
      </c>
      <c r="G6635" s="2" t="s">
        <v>53</v>
      </c>
      <c r="H6635" s="2" t="s">
        <v>34</v>
      </c>
      <c r="I6635" s="2" t="s">
        <v>20195</v>
      </c>
      <c r="J6635" s="2" t="s">
        <v>20196</v>
      </c>
      <c r="K6635" s="2" t="s">
        <v>454</v>
      </c>
      <c r="L6635" s="2" t="s">
        <v>303</v>
      </c>
      <c r="M6635" s="2"/>
      <c r="N6635" s="2"/>
      <c r="O6635" s="2"/>
      <c r="P6635" s="2" t="s">
        <v>20197</v>
      </c>
      <c r="Q6635" s="6">
        <v>100</v>
      </c>
      <c r="R6635" s="6">
        <v>3.32</v>
      </c>
      <c r="S6635" s="5">
        <v>-1.8</v>
      </c>
      <c r="T6635" s="5">
        <v>8</v>
      </c>
      <c r="U6635" s="5">
        <v>5</v>
      </c>
      <c r="V6635" s="6">
        <v>-0.17</v>
      </c>
      <c r="W6635" s="6">
        <v>2.0499999999999998</v>
      </c>
      <c r="X6635" s="5">
        <v>2.2000000000000002</v>
      </c>
      <c r="Y6635" s="6">
        <v>3.28</v>
      </c>
      <c r="Z6635" s="6">
        <v>3.28</v>
      </c>
      <c r="AA6635" s="6">
        <v>12.35</v>
      </c>
      <c r="AB6635" s="7">
        <v>6.0229999999999997</v>
      </c>
      <c r="AC6635" s="2"/>
    </row>
    <row r="6636" spans="1:29" ht="65" x14ac:dyDescent="0.15">
      <c r="A6636" s="3">
        <f>DATE(2002,8,6)</f>
        <v>37474</v>
      </c>
      <c r="B6636" s="3">
        <f>DATE(2002,10,15)</f>
        <v>37544</v>
      </c>
      <c r="C6636" s="2" t="s">
        <v>95</v>
      </c>
      <c r="D6636" s="2" t="s">
        <v>13555</v>
      </c>
      <c r="E6636" s="2" t="s">
        <v>13556</v>
      </c>
      <c r="F6636" s="4">
        <v>7372</v>
      </c>
      <c r="G6636" s="2" t="s">
        <v>551</v>
      </c>
      <c r="H6636" s="2" t="s">
        <v>34</v>
      </c>
      <c r="I6636" s="2" t="s">
        <v>20198</v>
      </c>
      <c r="J6636" s="2" t="s">
        <v>658</v>
      </c>
      <c r="K6636" s="2" t="s">
        <v>551</v>
      </c>
      <c r="L6636" s="2" t="s">
        <v>34</v>
      </c>
      <c r="M6636" s="2"/>
      <c r="N6636" s="2"/>
      <c r="O6636" s="2"/>
      <c r="P6636" s="2" t="s">
        <v>20199</v>
      </c>
      <c r="Q6636" s="6">
        <v>100</v>
      </c>
      <c r="R6636" s="6">
        <v>6.25</v>
      </c>
      <c r="S6636" s="5">
        <v>-1.8</v>
      </c>
      <c r="T6636" s="5">
        <v>3.3</v>
      </c>
      <c r="U6636" s="5">
        <v>1.7</v>
      </c>
      <c r="V6636" s="6">
        <v>-0.37</v>
      </c>
      <c r="W6636" s="6">
        <v>2.39</v>
      </c>
      <c r="X6636" s="6">
        <v>1.91</v>
      </c>
      <c r="Y6636" s="6">
        <v>6.05</v>
      </c>
      <c r="Z6636" s="6">
        <v>6.08</v>
      </c>
      <c r="AA6636" s="6">
        <v>4.82</v>
      </c>
      <c r="AB6636" s="7">
        <v>94.179000000000002</v>
      </c>
      <c r="AC6636" s="2"/>
    </row>
    <row r="6637" spans="1:29" ht="130" x14ac:dyDescent="0.15">
      <c r="A6637" s="3">
        <f>DATE(2002,8,6)</f>
        <v>37474</v>
      </c>
      <c r="B6637" s="2"/>
      <c r="C6637" s="2" t="s">
        <v>30</v>
      </c>
      <c r="D6637" s="2" t="s">
        <v>20200</v>
      </c>
      <c r="E6637" s="2" t="s">
        <v>20201</v>
      </c>
      <c r="F6637" s="4">
        <v>8211</v>
      </c>
      <c r="G6637" s="2" t="s">
        <v>415</v>
      </c>
      <c r="H6637" s="2" t="s">
        <v>34</v>
      </c>
      <c r="I6637" s="2" t="s">
        <v>51</v>
      </c>
      <c r="J6637" s="2" t="s">
        <v>52</v>
      </c>
      <c r="K6637" s="2" t="s">
        <v>53</v>
      </c>
      <c r="L6637" s="2" t="s">
        <v>34</v>
      </c>
      <c r="M6637" s="2"/>
      <c r="N6637" s="2"/>
      <c r="O6637" s="2"/>
      <c r="P6637" s="2" t="s">
        <v>20202</v>
      </c>
      <c r="Q6637" s="2"/>
      <c r="R6637" s="6">
        <v>7.75</v>
      </c>
      <c r="S6637" s="5">
        <v>2.2999999999999998</v>
      </c>
      <c r="T6637" s="5">
        <v>14.8</v>
      </c>
      <c r="U6637" s="5">
        <v>6.3</v>
      </c>
      <c r="V6637" s="6">
        <v>0.35</v>
      </c>
      <c r="W6637" s="5">
        <v>5.5</v>
      </c>
      <c r="X6637" s="6">
        <v>5.85</v>
      </c>
      <c r="Y6637" s="6">
        <v>7.25</v>
      </c>
      <c r="Z6637" s="6">
        <v>7.34</v>
      </c>
      <c r="AA6637" s="6">
        <v>6.54</v>
      </c>
      <c r="AB6637" s="7">
        <v>12.097</v>
      </c>
      <c r="AC6637" s="2"/>
    </row>
    <row r="6638" spans="1:29" ht="91" x14ac:dyDescent="0.15">
      <c r="A6638" s="3">
        <f>DATE(2002,8,6)</f>
        <v>37474</v>
      </c>
      <c r="B6638" s="3">
        <f>DATE(2002,10,31)</f>
        <v>37560</v>
      </c>
      <c r="C6638" s="2" t="s">
        <v>95</v>
      </c>
      <c r="D6638" s="2" t="s">
        <v>20203</v>
      </c>
      <c r="E6638" s="2" t="s">
        <v>1181</v>
      </c>
      <c r="F6638" s="4">
        <v>6021</v>
      </c>
      <c r="G6638" s="2" t="s">
        <v>37</v>
      </c>
      <c r="H6638" s="2" t="s">
        <v>34</v>
      </c>
      <c r="I6638" s="2" t="s">
        <v>20204</v>
      </c>
      <c r="J6638" s="2" t="s">
        <v>3246</v>
      </c>
      <c r="K6638" s="2" t="s">
        <v>37</v>
      </c>
      <c r="L6638" s="2" t="s">
        <v>34</v>
      </c>
      <c r="M6638" s="12">
        <v>7497.6909999999998</v>
      </c>
      <c r="N6638" s="5">
        <v>42.2</v>
      </c>
      <c r="O6638" s="6">
        <v>42.52</v>
      </c>
      <c r="P6638" s="2" t="s">
        <v>20205</v>
      </c>
      <c r="Q6638" s="6">
        <v>100</v>
      </c>
      <c r="R6638" s="2"/>
      <c r="S6638" s="5">
        <v>2.8</v>
      </c>
      <c r="T6638" s="7">
        <v>5.2140000000000004</v>
      </c>
      <c r="U6638" s="5">
        <v>11.9</v>
      </c>
      <c r="V6638" s="6">
        <v>1.62</v>
      </c>
      <c r="W6638" s="6">
        <v>30.38</v>
      </c>
      <c r="X6638" s="5">
        <v>30.8</v>
      </c>
      <c r="Y6638" s="5">
        <v>33.1</v>
      </c>
      <c r="Z6638" s="6">
        <v>33.15</v>
      </c>
      <c r="AA6638" s="6">
        <v>1.6</v>
      </c>
      <c r="AB6638" s="7">
        <v>15.683999999999999</v>
      </c>
      <c r="AC6638" s="2"/>
    </row>
    <row r="6639" spans="1:29" ht="169" x14ac:dyDescent="0.15">
      <c r="A6639" s="3">
        <f>DATE(2002,8,7)</f>
        <v>37475</v>
      </c>
      <c r="B6639" s="3">
        <f>DATE(2003,7,29)</f>
        <v>37831</v>
      </c>
      <c r="C6639" s="2" t="s">
        <v>95</v>
      </c>
      <c r="D6639" s="2" t="s">
        <v>20206</v>
      </c>
      <c r="E6639" s="2" t="s">
        <v>612</v>
      </c>
      <c r="F6639" s="4">
        <v>1311</v>
      </c>
      <c r="G6639" s="2" t="s">
        <v>148</v>
      </c>
      <c r="H6639" s="2" t="s">
        <v>34</v>
      </c>
      <c r="I6639" s="2" t="s">
        <v>20207</v>
      </c>
      <c r="J6639" s="2" t="s">
        <v>150</v>
      </c>
      <c r="K6639" s="2" t="s">
        <v>53</v>
      </c>
      <c r="L6639" s="2" t="s">
        <v>34</v>
      </c>
      <c r="M6639" s="2"/>
      <c r="N6639" s="2"/>
      <c r="O6639" s="2"/>
      <c r="P6639" s="2" t="s">
        <v>20208</v>
      </c>
      <c r="Q6639" s="6">
        <v>95.24</v>
      </c>
      <c r="R6639" s="6">
        <v>18</v>
      </c>
      <c r="S6639" s="5">
        <v>-12.6</v>
      </c>
      <c r="T6639" s="7">
        <v>65.995999999999995</v>
      </c>
      <c r="U6639" s="5">
        <v>-0.6</v>
      </c>
      <c r="V6639" s="6">
        <v>-2.5099999999999998</v>
      </c>
      <c r="W6639" s="6">
        <v>14.65</v>
      </c>
      <c r="X6639" s="5">
        <v>14.9</v>
      </c>
      <c r="Y6639" s="5">
        <v>16.5</v>
      </c>
      <c r="Z6639" s="6">
        <v>16.05</v>
      </c>
      <c r="AA6639" s="6">
        <v>12.14</v>
      </c>
      <c r="AB6639" s="7">
        <v>8.5630000000000006</v>
      </c>
      <c r="AC6639" s="2"/>
    </row>
    <row r="6640" spans="1:29" ht="117" x14ac:dyDescent="0.15">
      <c r="A6640" s="3">
        <f>DATE(2002,8,7)</f>
        <v>37475</v>
      </c>
      <c r="B6640" s="3">
        <f>DATE(2003,3,3)</f>
        <v>37683</v>
      </c>
      <c r="C6640" s="2" t="s">
        <v>95</v>
      </c>
      <c r="D6640" s="2" t="s">
        <v>7705</v>
      </c>
      <c r="E6640" s="2" t="s">
        <v>7706</v>
      </c>
      <c r="F6640" s="4">
        <v>7011</v>
      </c>
      <c r="G6640" s="2" t="s">
        <v>269</v>
      </c>
      <c r="H6640" s="2" t="s">
        <v>34</v>
      </c>
      <c r="I6640" s="2" t="s">
        <v>20209</v>
      </c>
      <c r="J6640" s="2" t="s">
        <v>20210</v>
      </c>
      <c r="K6640" s="2" t="s">
        <v>364</v>
      </c>
      <c r="L6640" s="2" t="s">
        <v>34</v>
      </c>
      <c r="M6640" s="7">
        <v>324.46300000000002</v>
      </c>
      <c r="N6640" s="6">
        <v>15.28</v>
      </c>
      <c r="O6640" s="5">
        <v>16.7</v>
      </c>
      <c r="P6640" s="2" t="s">
        <v>20211</v>
      </c>
      <c r="Q6640" s="6">
        <v>100</v>
      </c>
      <c r="R6640" s="6">
        <v>12.75</v>
      </c>
      <c r="S6640" s="5">
        <v>-27.9</v>
      </c>
      <c r="T6640" s="5">
        <v>79.900000000000006</v>
      </c>
      <c r="U6640" s="5">
        <v>-3.7</v>
      </c>
      <c r="V6640" s="6">
        <v>-1.1200000000000001</v>
      </c>
      <c r="W6640" s="5">
        <v>15.1</v>
      </c>
      <c r="X6640" s="6">
        <v>15.99</v>
      </c>
      <c r="Y6640" s="4">
        <v>16</v>
      </c>
      <c r="Z6640" s="4">
        <v>16</v>
      </c>
      <c r="AA6640" s="6">
        <v>25.36</v>
      </c>
      <c r="AB6640" s="7">
        <v>29.515000000000001</v>
      </c>
      <c r="AC6640" s="5">
        <v>38.4</v>
      </c>
    </row>
    <row r="6641" spans="1:29" ht="78" x14ac:dyDescent="0.15">
      <c r="A6641" s="3">
        <f>DATE(2002,8,8)</f>
        <v>37476</v>
      </c>
      <c r="B6641" s="3">
        <f>DATE(2002,12,31)</f>
        <v>37621</v>
      </c>
      <c r="C6641" s="2" t="s">
        <v>95</v>
      </c>
      <c r="D6641" s="2" t="s">
        <v>20212</v>
      </c>
      <c r="E6641" s="2" t="s">
        <v>36</v>
      </c>
      <c r="F6641" s="4">
        <v>6021</v>
      </c>
      <c r="G6641" s="2" t="s">
        <v>37</v>
      </c>
      <c r="H6641" s="2" t="s">
        <v>34</v>
      </c>
      <c r="I6641" s="2" t="s">
        <v>18969</v>
      </c>
      <c r="J6641" s="2" t="s">
        <v>18970</v>
      </c>
      <c r="K6641" s="2" t="s">
        <v>37</v>
      </c>
      <c r="L6641" s="2" t="s">
        <v>34</v>
      </c>
      <c r="M6641" s="12">
        <v>2575.114</v>
      </c>
      <c r="N6641" s="6">
        <v>26.01</v>
      </c>
      <c r="O6641" s="6">
        <v>25.98</v>
      </c>
      <c r="P6641" s="2" t="s">
        <v>20213</v>
      </c>
      <c r="Q6641" s="6">
        <v>100</v>
      </c>
      <c r="R6641" s="6">
        <v>15.75</v>
      </c>
      <c r="S6641" s="5">
        <v>6.3</v>
      </c>
      <c r="T6641" s="5">
        <v>9.9</v>
      </c>
      <c r="U6641" s="5">
        <v>6</v>
      </c>
      <c r="V6641" s="6">
        <v>0.84</v>
      </c>
      <c r="W6641" s="6">
        <v>12.25</v>
      </c>
      <c r="X6641" s="6">
        <v>10.56</v>
      </c>
      <c r="Y6641" s="5">
        <v>11.5</v>
      </c>
      <c r="Z6641" s="7">
        <v>15.589</v>
      </c>
      <c r="AA6641" s="6">
        <v>7.42</v>
      </c>
      <c r="AB6641" s="7">
        <v>54.292000000000002</v>
      </c>
      <c r="AC6641" s="5">
        <v>646.6</v>
      </c>
    </row>
    <row r="6642" spans="1:29" ht="91" x14ac:dyDescent="0.15">
      <c r="A6642" s="3">
        <f>DATE(2002,8,9)</f>
        <v>37477</v>
      </c>
      <c r="B6642" s="3">
        <f>DATE(2003,5,30)</f>
        <v>37771</v>
      </c>
      <c r="C6642" s="2" t="s">
        <v>95</v>
      </c>
      <c r="D6642" s="2" t="s">
        <v>4774</v>
      </c>
      <c r="E6642" s="2" t="s">
        <v>849</v>
      </c>
      <c r="F6642" s="4">
        <v>7372</v>
      </c>
      <c r="G6642" s="2" t="s">
        <v>551</v>
      </c>
      <c r="H6642" s="2" t="s">
        <v>34</v>
      </c>
      <c r="I6642" s="2" t="s">
        <v>51</v>
      </c>
      <c r="J6642" s="2" t="s">
        <v>52</v>
      </c>
      <c r="K6642" s="2" t="s">
        <v>53</v>
      </c>
      <c r="L6642" s="2" t="s">
        <v>34</v>
      </c>
      <c r="M6642" s="2"/>
      <c r="N6642" s="2"/>
      <c r="O6642" s="2"/>
      <c r="P6642" s="2" t="s">
        <v>20214</v>
      </c>
      <c r="Q6642" s="6">
        <v>40</v>
      </c>
      <c r="R6642" s="6">
        <v>1.5</v>
      </c>
      <c r="S6642" s="5">
        <v>0.1</v>
      </c>
      <c r="T6642" s="7">
        <v>1.794</v>
      </c>
      <c r="U6642" s="5">
        <v>2.8</v>
      </c>
      <c r="V6642" s="6">
        <v>0.06</v>
      </c>
      <c r="W6642" s="5">
        <v>0.5</v>
      </c>
      <c r="X6642" s="5">
        <v>1.5</v>
      </c>
      <c r="Y6642" s="6">
        <v>1.32</v>
      </c>
      <c r="Z6642" s="6">
        <v>1.45</v>
      </c>
      <c r="AA6642" s="6">
        <v>2.48</v>
      </c>
      <c r="AB6642" s="2" t="s">
        <v>86</v>
      </c>
      <c r="AC6642" s="2"/>
    </row>
    <row r="6643" spans="1:29" ht="130" x14ac:dyDescent="0.15">
      <c r="A6643" s="3">
        <f>DATE(2002,8,9)</f>
        <v>37477</v>
      </c>
      <c r="B6643" s="3">
        <f>DATE(2002,9,30)</f>
        <v>37529</v>
      </c>
      <c r="C6643" s="2" t="s">
        <v>95</v>
      </c>
      <c r="D6643" s="2" t="s">
        <v>20215</v>
      </c>
      <c r="E6643" s="2" t="s">
        <v>3322</v>
      </c>
      <c r="F6643" s="4">
        <v>8734</v>
      </c>
      <c r="G6643" s="2" t="s">
        <v>223</v>
      </c>
      <c r="H6643" s="2" t="s">
        <v>34</v>
      </c>
      <c r="I6643" s="2" t="s">
        <v>20216</v>
      </c>
      <c r="J6643" s="2" t="s">
        <v>20217</v>
      </c>
      <c r="K6643" s="2" t="s">
        <v>223</v>
      </c>
      <c r="L6643" s="2" t="s">
        <v>133</v>
      </c>
      <c r="M6643" s="2"/>
      <c r="N6643" s="2"/>
      <c r="O6643" s="2"/>
      <c r="P6643" s="2" t="s">
        <v>20218</v>
      </c>
      <c r="Q6643" s="6">
        <v>100</v>
      </c>
      <c r="R6643" s="6">
        <v>14.5</v>
      </c>
      <c r="S6643" s="5">
        <v>3.1</v>
      </c>
      <c r="T6643" s="5">
        <v>6.4</v>
      </c>
      <c r="U6643" s="5">
        <v>4.9000000000000004</v>
      </c>
      <c r="V6643" s="6">
        <v>0.63</v>
      </c>
      <c r="W6643" s="4">
        <v>10</v>
      </c>
      <c r="X6643" s="5">
        <v>9.8000000000000007</v>
      </c>
      <c r="Y6643" s="6">
        <v>14.39</v>
      </c>
      <c r="Z6643" s="5">
        <v>14.4</v>
      </c>
      <c r="AA6643" s="6">
        <v>4.82</v>
      </c>
      <c r="AB6643" s="7">
        <v>15.385</v>
      </c>
      <c r="AC6643" s="2"/>
    </row>
    <row r="6644" spans="1:29" ht="117" x14ac:dyDescent="0.15">
      <c r="A6644" s="3">
        <f>DATE(2002,8,9)</f>
        <v>37477</v>
      </c>
      <c r="B6644" s="3">
        <f>DATE(2002,11,13)</f>
        <v>37573</v>
      </c>
      <c r="C6644" s="2" t="s">
        <v>95</v>
      </c>
      <c r="D6644" s="2" t="s">
        <v>20219</v>
      </c>
      <c r="E6644" s="2" t="s">
        <v>20220</v>
      </c>
      <c r="F6644" s="4">
        <v>3661</v>
      </c>
      <c r="G6644" s="2" t="s">
        <v>921</v>
      </c>
      <c r="H6644" s="2" t="s">
        <v>34</v>
      </c>
      <c r="I6644" s="2" t="s">
        <v>13358</v>
      </c>
      <c r="J6644" s="2" t="s">
        <v>13359</v>
      </c>
      <c r="K6644" s="2" t="s">
        <v>921</v>
      </c>
      <c r="L6644" s="2" t="s">
        <v>34</v>
      </c>
      <c r="M6644" s="12">
        <v>4219.4290000000001</v>
      </c>
      <c r="N6644" s="5">
        <v>47.7</v>
      </c>
      <c r="O6644" s="6">
        <v>46.87</v>
      </c>
      <c r="P6644" s="2" t="s">
        <v>20221</v>
      </c>
      <c r="Q6644" s="6">
        <v>100</v>
      </c>
      <c r="R6644" s="6">
        <v>2.2999999999999998</v>
      </c>
      <c r="S6644" s="5">
        <v>1.1000000000000001</v>
      </c>
      <c r="T6644" s="7">
        <v>2.6930000000000001</v>
      </c>
      <c r="U6644" s="5">
        <v>0.8</v>
      </c>
      <c r="V6644" s="6">
        <v>0.15</v>
      </c>
      <c r="W6644" s="6">
        <v>1.25</v>
      </c>
      <c r="X6644" s="6">
        <v>1.27</v>
      </c>
      <c r="Y6644" s="6">
        <v>2.21</v>
      </c>
      <c r="Z6644" s="6">
        <v>2.19</v>
      </c>
      <c r="AA6644" s="6">
        <v>6.89</v>
      </c>
      <c r="AB6644" s="7">
        <v>14.233000000000001</v>
      </c>
      <c r="AC6644" s="5">
        <v>466.1</v>
      </c>
    </row>
    <row r="6645" spans="1:29" ht="117" x14ac:dyDescent="0.15">
      <c r="A6645" s="3">
        <f>DATE(2002,8,12)</f>
        <v>37480</v>
      </c>
      <c r="B6645" s="3">
        <f>DATE(2002,9,13)</f>
        <v>37512</v>
      </c>
      <c r="C6645" s="2" t="s">
        <v>95</v>
      </c>
      <c r="D6645" s="2" t="s">
        <v>20222</v>
      </c>
      <c r="E6645" s="2" t="s">
        <v>2071</v>
      </c>
      <c r="F6645" s="4">
        <v>6531</v>
      </c>
      <c r="G6645" s="2" t="s">
        <v>109</v>
      </c>
      <c r="H6645" s="2" t="s">
        <v>34</v>
      </c>
      <c r="I6645" s="2" t="s">
        <v>20223</v>
      </c>
      <c r="J6645" s="2" t="s">
        <v>20224</v>
      </c>
      <c r="K6645" s="2" t="s">
        <v>109</v>
      </c>
      <c r="L6645" s="2" t="s">
        <v>34</v>
      </c>
      <c r="M6645" s="2"/>
      <c r="N6645" s="2"/>
      <c r="O6645" s="2"/>
      <c r="P6645" s="2" t="s">
        <v>20225</v>
      </c>
      <c r="Q6645" s="6">
        <v>100</v>
      </c>
      <c r="R6645" s="6">
        <v>19</v>
      </c>
      <c r="S6645" s="5">
        <v>8.9</v>
      </c>
      <c r="T6645" s="5">
        <v>23.8</v>
      </c>
      <c r="U6645" s="5">
        <v>4.9000000000000004</v>
      </c>
      <c r="V6645" s="6">
        <v>1.42</v>
      </c>
      <c r="W6645" s="5">
        <v>8.9</v>
      </c>
      <c r="X6645" s="6">
        <v>9.11</v>
      </c>
      <c r="Y6645" s="6">
        <v>18.86</v>
      </c>
      <c r="Z6645" s="6">
        <v>18.850000000000001</v>
      </c>
      <c r="AA6645" s="6">
        <v>5.73</v>
      </c>
      <c r="AB6645" s="7">
        <v>10.547000000000001</v>
      </c>
      <c r="AC6645" s="2"/>
    </row>
    <row r="6646" spans="1:29" ht="130" x14ac:dyDescent="0.15">
      <c r="A6646" s="3">
        <f>DATE(2002,8,12)</f>
        <v>37480</v>
      </c>
      <c r="B6646" s="3">
        <f>DATE(2002,10,8)</f>
        <v>37537</v>
      </c>
      <c r="C6646" s="2" t="s">
        <v>95</v>
      </c>
      <c r="D6646" s="2" t="s">
        <v>11321</v>
      </c>
      <c r="E6646" s="2" t="s">
        <v>11322</v>
      </c>
      <c r="F6646" s="4">
        <v>5944</v>
      </c>
      <c r="G6646" s="2" t="s">
        <v>73</v>
      </c>
      <c r="H6646" s="2" t="s">
        <v>34</v>
      </c>
      <c r="I6646" s="2" t="s">
        <v>20226</v>
      </c>
      <c r="J6646" s="2" t="s">
        <v>20227</v>
      </c>
      <c r="K6646" s="2" t="s">
        <v>73</v>
      </c>
      <c r="L6646" s="2" t="s">
        <v>34</v>
      </c>
      <c r="M6646" s="12">
        <v>3878.4059999999999</v>
      </c>
      <c r="N6646" s="6">
        <v>21.56</v>
      </c>
      <c r="O6646" s="6">
        <v>23.19</v>
      </c>
      <c r="P6646" s="2" t="s">
        <v>20228</v>
      </c>
      <c r="Q6646" s="6">
        <v>12</v>
      </c>
      <c r="R6646" s="6">
        <v>2.4</v>
      </c>
      <c r="S6646" s="5">
        <v>-4.5</v>
      </c>
      <c r="T6646" s="7">
        <v>-1.952</v>
      </c>
      <c r="U6646" s="5">
        <v>1.2</v>
      </c>
      <c r="V6646" s="6">
        <v>-0.27</v>
      </c>
      <c r="W6646" s="2"/>
      <c r="X6646" s="5">
        <v>1.4</v>
      </c>
      <c r="Y6646" s="6">
        <v>1.39</v>
      </c>
      <c r="Z6646" s="6">
        <v>2.35</v>
      </c>
      <c r="AA6646" s="6">
        <v>16.649999999999999</v>
      </c>
      <c r="AB6646" s="2" t="s">
        <v>86</v>
      </c>
      <c r="AC6646" s="6">
        <v>145.27000000000001</v>
      </c>
    </row>
    <row r="6647" spans="1:29" ht="156" x14ac:dyDescent="0.15">
      <c r="A6647" s="3">
        <f>DATE(2002,8,12)</f>
        <v>37480</v>
      </c>
      <c r="B6647" s="3">
        <f>DATE(2002,11,20)</f>
        <v>37580</v>
      </c>
      <c r="C6647" s="2" t="s">
        <v>95</v>
      </c>
      <c r="D6647" s="2" t="s">
        <v>11321</v>
      </c>
      <c r="E6647" s="2" t="s">
        <v>11322</v>
      </c>
      <c r="F6647" s="4">
        <v>5944</v>
      </c>
      <c r="G6647" s="2" t="s">
        <v>73</v>
      </c>
      <c r="H6647" s="2" t="s">
        <v>34</v>
      </c>
      <c r="I6647" s="2" t="s">
        <v>20226</v>
      </c>
      <c r="J6647" s="2" t="s">
        <v>20227</v>
      </c>
      <c r="K6647" s="2" t="s">
        <v>73</v>
      </c>
      <c r="L6647" s="2" t="s">
        <v>34</v>
      </c>
      <c r="M6647" s="12">
        <v>3878.4059999999999</v>
      </c>
      <c r="N6647" s="6">
        <v>21.56</v>
      </c>
      <c r="O6647" s="6">
        <v>23.19</v>
      </c>
      <c r="P6647" s="2" t="s">
        <v>20229</v>
      </c>
      <c r="Q6647" s="6">
        <v>49.08</v>
      </c>
      <c r="R6647" s="6">
        <v>2.4</v>
      </c>
      <c r="S6647" s="5">
        <v>-4.5</v>
      </c>
      <c r="T6647" s="7">
        <v>-1.952</v>
      </c>
      <c r="U6647" s="5">
        <v>1.2</v>
      </c>
      <c r="V6647" s="6">
        <v>-0.27</v>
      </c>
      <c r="W6647" s="2"/>
      <c r="X6647" s="5">
        <v>1.4</v>
      </c>
      <c r="Y6647" s="6">
        <v>1.39</v>
      </c>
      <c r="Z6647" s="6">
        <v>2.35</v>
      </c>
      <c r="AA6647" s="6">
        <v>16.649999999999999</v>
      </c>
      <c r="AB6647" s="2" t="s">
        <v>86</v>
      </c>
      <c r="AC6647" s="6">
        <v>145.27000000000001</v>
      </c>
    </row>
    <row r="6648" spans="1:29" ht="143" x14ac:dyDescent="0.15">
      <c r="A6648" s="3">
        <f>DATE(2002,8,12)</f>
        <v>37480</v>
      </c>
      <c r="B6648" s="3">
        <f>DATE(2002,12,6)</f>
        <v>37596</v>
      </c>
      <c r="C6648" s="2" t="s">
        <v>95</v>
      </c>
      <c r="D6648" s="2" t="s">
        <v>20230</v>
      </c>
      <c r="E6648" s="2" t="s">
        <v>13283</v>
      </c>
      <c r="F6648" s="4">
        <v>3559</v>
      </c>
      <c r="G6648" s="2" t="s">
        <v>300</v>
      </c>
      <c r="H6648" s="2" t="s">
        <v>34</v>
      </c>
      <c r="I6648" s="2" t="s">
        <v>17935</v>
      </c>
      <c r="J6648" s="2" t="s">
        <v>17936</v>
      </c>
      <c r="K6648" s="2" t="s">
        <v>300</v>
      </c>
      <c r="L6648" s="2" t="s">
        <v>34</v>
      </c>
      <c r="M6648" s="12">
        <v>4778.6260000000002</v>
      </c>
      <c r="N6648" s="6">
        <v>26.39</v>
      </c>
      <c r="O6648" s="4">
        <v>25</v>
      </c>
      <c r="P6648" s="2" t="s">
        <v>20231</v>
      </c>
      <c r="Q6648" s="6">
        <v>100</v>
      </c>
      <c r="R6648" s="6">
        <v>4.91</v>
      </c>
      <c r="S6648" s="5">
        <v>-91.5</v>
      </c>
      <c r="T6648" s="5">
        <v>-69.099999999999994</v>
      </c>
      <c r="U6648" s="5">
        <v>0.5</v>
      </c>
      <c r="V6648" s="6">
        <v>-3.01</v>
      </c>
      <c r="W6648" s="6">
        <v>2.75</v>
      </c>
      <c r="X6648" s="6">
        <v>2.85</v>
      </c>
      <c r="Y6648" s="6">
        <v>4.72</v>
      </c>
      <c r="Z6648" s="6">
        <v>4.47</v>
      </c>
      <c r="AA6648" s="6">
        <v>30.6</v>
      </c>
      <c r="AB6648" s="2" t="s">
        <v>86</v>
      </c>
      <c r="AC6648" s="5">
        <v>524.9</v>
      </c>
    </row>
    <row r="6649" spans="1:29" ht="78" x14ac:dyDescent="0.15">
      <c r="A6649" s="3">
        <f>DATE(2002,8,13)</f>
        <v>37481</v>
      </c>
      <c r="B6649" s="3">
        <f>DATE(2003,1,3)</f>
        <v>37624</v>
      </c>
      <c r="C6649" s="2" t="s">
        <v>95</v>
      </c>
      <c r="D6649" s="2" t="s">
        <v>14159</v>
      </c>
      <c r="E6649" s="2" t="s">
        <v>14160</v>
      </c>
      <c r="F6649" s="4">
        <v>3061</v>
      </c>
      <c r="G6649" s="2" t="s">
        <v>447</v>
      </c>
      <c r="H6649" s="2" t="s">
        <v>34</v>
      </c>
      <c r="I6649" s="2" t="s">
        <v>14161</v>
      </c>
      <c r="J6649" s="2" t="s">
        <v>14162</v>
      </c>
      <c r="K6649" s="2" t="s">
        <v>98</v>
      </c>
      <c r="L6649" s="2" t="s">
        <v>34</v>
      </c>
      <c r="M6649" s="2"/>
      <c r="N6649" s="2"/>
      <c r="O6649" s="2"/>
      <c r="P6649" s="2" t="s">
        <v>20232</v>
      </c>
      <c r="Q6649" s="6">
        <v>34.79</v>
      </c>
      <c r="R6649" s="6">
        <v>2.8</v>
      </c>
      <c r="S6649" s="5">
        <v>0.8</v>
      </c>
      <c r="T6649" s="2"/>
      <c r="U6649" s="5">
        <v>2.1</v>
      </c>
      <c r="V6649" s="6">
        <v>0.26</v>
      </c>
      <c r="W6649" s="6">
        <v>1.65</v>
      </c>
      <c r="X6649" s="6">
        <v>1.53</v>
      </c>
      <c r="Y6649" s="6">
        <v>1.53</v>
      </c>
      <c r="Z6649" s="6">
        <v>2.75</v>
      </c>
      <c r="AA6649" s="6">
        <v>3.48</v>
      </c>
      <c r="AB6649" s="7">
        <v>8.4459999999999997</v>
      </c>
      <c r="AC6649" s="2"/>
    </row>
    <row r="6650" spans="1:29" ht="78" x14ac:dyDescent="0.15">
      <c r="A6650" s="3">
        <f>DATE(2002,8,14)</f>
        <v>37482</v>
      </c>
      <c r="B6650" s="3">
        <f>DATE(2002,12,31)</f>
        <v>37621</v>
      </c>
      <c r="C6650" s="2" t="s">
        <v>95</v>
      </c>
      <c r="D6650" s="2" t="s">
        <v>8169</v>
      </c>
      <c r="E6650" s="2" t="s">
        <v>36</v>
      </c>
      <c r="F6650" s="4">
        <v>6712</v>
      </c>
      <c r="G6650" s="2" t="s">
        <v>37</v>
      </c>
      <c r="H6650" s="2" t="s">
        <v>34</v>
      </c>
      <c r="I6650" s="2" t="s">
        <v>3289</v>
      </c>
      <c r="J6650" s="2" t="s">
        <v>159</v>
      </c>
      <c r="K6650" s="2" t="s">
        <v>37</v>
      </c>
      <c r="L6650" s="2" t="s">
        <v>34</v>
      </c>
      <c r="M6650" s="2"/>
      <c r="N6650" s="2"/>
      <c r="O6650" s="2"/>
      <c r="P6650" s="2" t="s">
        <v>20233</v>
      </c>
      <c r="Q6650" s="6">
        <v>6.24</v>
      </c>
      <c r="R6650" s="6">
        <v>40.54</v>
      </c>
      <c r="S6650" s="5">
        <v>38.799999999999997</v>
      </c>
      <c r="T6650" s="2"/>
      <c r="U6650" s="5">
        <v>23.5</v>
      </c>
      <c r="V6650" s="6">
        <v>2.78</v>
      </c>
      <c r="W6650" s="5">
        <v>41.5</v>
      </c>
      <c r="X6650" s="5">
        <v>40.200000000000003</v>
      </c>
      <c r="Y6650" s="6">
        <v>40.25</v>
      </c>
      <c r="Z6650" s="4">
        <v>40</v>
      </c>
      <c r="AA6650" s="6">
        <v>10.35</v>
      </c>
      <c r="AB6650" s="2" t="s">
        <v>47</v>
      </c>
      <c r="AC6650" s="2"/>
    </row>
    <row r="6651" spans="1:29" ht="52" x14ac:dyDescent="0.15">
      <c r="A6651" s="3">
        <f>DATE(2002,8,14)</f>
        <v>37482</v>
      </c>
      <c r="B6651" s="3">
        <f>DATE(2002,12,27)</f>
        <v>37617</v>
      </c>
      <c r="C6651" s="2" t="s">
        <v>95</v>
      </c>
      <c r="D6651" s="2" t="s">
        <v>20234</v>
      </c>
      <c r="E6651" s="2" t="s">
        <v>263</v>
      </c>
      <c r="F6651" s="4">
        <v>6712</v>
      </c>
      <c r="G6651" s="2" t="s">
        <v>37</v>
      </c>
      <c r="H6651" s="2" t="s">
        <v>34</v>
      </c>
      <c r="I6651" s="2" t="s">
        <v>20235</v>
      </c>
      <c r="J6651" s="2" t="s">
        <v>20236</v>
      </c>
      <c r="K6651" s="2" t="s">
        <v>37</v>
      </c>
      <c r="L6651" s="2" t="s">
        <v>34</v>
      </c>
      <c r="M6651" s="5">
        <v>212.4</v>
      </c>
      <c r="N6651" s="6">
        <v>14.39</v>
      </c>
      <c r="O6651" s="6">
        <v>14.58</v>
      </c>
      <c r="P6651" s="2" t="s">
        <v>20237</v>
      </c>
      <c r="Q6651" s="6">
        <v>100</v>
      </c>
      <c r="R6651" s="2"/>
      <c r="S6651" s="2"/>
      <c r="T6651" s="2"/>
      <c r="U6651" s="2"/>
      <c r="V6651" s="2"/>
      <c r="W6651" s="4">
        <v>5150</v>
      </c>
      <c r="X6651" s="4">
        <v>5150</v>
      </c>
      <c r="Y6651" s="4">
        <v>5150</v>
      </c>
      <c r="Z6651" s="4">
        <v>5150</v>
      </c>
      <c r="AA6651" s="2"/>
      <c r="AB6651" s="2" t="s">
        <v>47</v>
      </c>
      <c r="AC6651" s="2"/>
    </row>
    <row r="6652" spans="1:29" ht="78" x14ac:dyDescent="0.15">
      <c r="A6652" s="3">
        <f>DATE(2002,8,19)</f>
        <v>37487</v>
      </c>
      <c r="B6652" s="3">
        <f>DATE(2002,11,1)</f>
        <v>37561</v>
      </c>
      <c r="C6652" s="2" t="s">
        <v>95</v>
      </c>
      <c r="D6652" s="2" t="s">
        <v>20238</v>
      </c>
      <c r="E6652" s="2" t="s">
        <v>14395</v>
      </c>
      <c r="F6652" s="4">
        <v>3523</v>
      </c>
      <c r="G6652" s="2" t="s">
        <v>300</v>
      </c>
      <c r="H6652" s="2" t="s">
        <v>34</v>
      </c>
      <c r="I6652" s="2" t="s">
        <v>6692</v>
      </c>
      <c r="J6652" s="2" t="s">
        <v>515</v>
      </c>
      <c r="K6652" s="2" t="s">
        <v>125</v>
      </c>
      <c r="L6652" s="2" t="s">
        <v>34</v>
      </c>
      <c r="M6652" s="12">
        <v>83254.433999999994</v>
      </c>
      <c r="N6652" s="4">
        <v>74900</v>
      </c>
      <c r="O6652" s="4">
        <v>73300</v>
      </c>
      <c r="P6652" s="2" t="s">
        <v>20239</v>
      </c>
      <c r="Q6652" s="6">
        <v>100</v>
      </c>
      <c r="R6652" s="6">
        <v>12.75</v>
      </c>
      <c r="S6652" s="5">
        <v>14.9</v>
      </c>
      <c r="T6652" s="5">
        <v>35.4</v>
      </c>
      <c r="U6652" s="5">
        <v>9.4</v>
      </c>
      <c r="V6652" s="6">
        <v>1.36</v>
      </c>
      <c r="W6652" s="6">
        <v>14.73</v>
      </c>
      <c r="X6652" s="6">
        <v>14.67</v>
      </c>
      <c r="Y6652" s="5">
        <v>12.8</v>
      </c>
      <c r="Z6652" s="6">
        <v>12.94</v>
      </c>
      <c r="AA6652" s="6">
        <v>10.88</v>
      </c>
      <c r="AB6652" s="7">
        <v>6.9349999999999996</v>
      </c>
      <c r="AC6652" s="8">
        <v>7260</v>
      </c>
    </row>
    <row r="6653" spans="1:29" ht="156" x14ac:dyDescent="0.15">
      <c r="A6653" s="3">
        <f>DATE(2002,8,19)</f>
        <v>37487</v>
      </c>
      <c r="B6653" s="2"/>
      <c r="C6653" s="2" t="s">
        <v>30</v>
      </c>
      <c r="D6653" s="2" t="s">
        <v>20240</v>
      </c>
      <c r="E6653" s="2" t="s">
        <v>13752</v>
      </c>
      <c r="F6653" s="4">
        <v>6331</v>
      </c>
      <c r="G6653" s="2" t="s">
        <v>125</v>
      </c>
      <c r="H6653" s="2" t="s">
        <v>34</v>
      </c>
      <c r="I6653" s="2" t="s">
        <v>20241</v>
      </c>
      <c r="J6653" s="2" t="s">
        <v>1563</v>
      </c>
      <c r="K6653" s="2" t="s">
        <v>125</v>
      </c>
      <c r="L6653" s="2" t="s">
        <v>34</v>
      </c>
      <c r="M6653" s="2"/>
      <c r="N6653" s="2"/>
      <c r="O6653" s="2"/>
      <c r="P6653" s="2" t="s">
        <v>20242</v>
      </c>
      <c r="Q6653" s="2"/>
      <c r="R6653" s="6">
        <v>3.08</v>
      </c>
      <c r="S6653" s="5">
        <v>-2.5</v>
      </c>
      <c r="T6653" s="7">
        <v>-3.4159999999999999</v>
      </c>
      <c r="U6653" s="5">
        <v>2.7</v>
      </c>
      <c r="V6653" s="6">
        <v>-0.2</v>
      </c>
      <c r="W6653" s="5">
        <v>2.7</v>
      </c>
      <c r="X6653" s="6">
        <v>2.75</v>
      </c>
      <c r="Y6653" s="6">
        <v>2.75</v>
      </c>
      <c r="Z6653" s="5">
        <v>2.9</v>
      </c>
      <c r="AA6653" s="6">
        <v>12.28</v>
      </c>
      <c r="AB6653" s="2" t="s">
        <v>86</v>
      </c>
      <c r="AC6653" s="2"/>
    </row>
    <row r="6654" spans="1:29" ht="312" x14ac:dyDescent="0.15">
      <c r="A6654" s="3">
        <f>DATE(2002,8,20)</f>
        <v>37488</v>
      </c>
      <c r="B6654" s="3">
        <f>DATE(2002,10,31)</f>
        <v>37560</v>
      </c>
      <c r="C6654" s="2" t="s">
        <v>95</v>
      </c>
      <c r="D6654" s="2" t="s">
        <v>20243</v>
      </c>
      <c r="E6654" s="2" t="s">
        <v>612</v>
      </c>
      <c r="F6654" s="4">
        <v>1311</v>
      </c>
      <c r="G6654" s="2" t="s">
        <v>148</v>
      </c>
      <c r="H6654" s="2" t="s">
        <v>34</v>
      </c>
      <c r="I6654" s="2" t="s">
        <v>20244</v>
      </c>
      <c r="J6654" s="2" t="s">
        <v>1435</v>
      </c>
      <c r="K6654" s="2" t="s">
        <v>148</v>
      </c>
      <c r="L6654" s="2" t="s">
        <v>34</v>
      </c>
      <c r="M6654" s="2"/>
      <c r="N6654" s="2"/>
      <c r="O6654" s="2"/>
      <c r="P6654" s="2" t="s">
        <v>20245</v>
      </c>
      <c r="Q6654" s="6">
        <v>42.13</v>
      </c>
      <c r="R6654" s="6">
        <v>21.48</v>
      </c>
      <c r="S6654" s="5">
        <v>23.3</v>
      </c>
      <c r="T6654" s="7">
        <v>208.376</v>
      </c>
      <c r="U6654" s="5">
        <v>9.4</v>
      </c>
      <c r="V6654" s="6">
        <v>0.45</v>
      </c>
      <c r="W6654" s="6">
        <v>16.91</v>
      </c>
      <c r="X6654" s="5">
        <v>17.8</v>
      </c>
      <c r="Y6654" s="6">
        <v>17.52</v>
      </c>
      <c r="Z6654" s="6">
        <v>23.52</v>
      </c>
      <c r="AA6654" s="6">
        <v>50.35</v>
      </c>
      <c r="AB6654" s="7">
        <v>40.923000000000002</v>
      </c>
      <c r="AC6654" s="2"/>
    </row>
    <row r="6655" spans="1:29" ht="208" x14ac:dyDescent="0.15">
      <c r="A6655" s="3">
        <f>DATE(2002,8,20)</f>
        <v>37488</v>
      </c>
      <c r="B6655" s="3">
        <f>DATE(2003,2,28)</f>
        <v>37680</v>
      </c>
      <c r="C6655" s="2" t="s">
        <v>95</v>
      </c>
      <c r="D6655" s="2" t="s">
        <v>20246</v>
      </c>
      <c r="E6655" s="2" t="s">
        <v>20247</v>
      </c>
      <c r="F6655" s="4">
        <v>6794</v>
      </c>
      <c r="G6655" s="2" t="s">
        <v>53</v>
      </c>
      <c r="H6655" s="2" t="s">
        <v>34</v>
      </c>
      <c r="I6655" s="2" t="s">
        <v>20248</v>
      </c>
      <c r="J6655" s="2" t="s">
        <v>244</v>
      </c>
      <c r="K6655" s="2" t="s">
        <v>53</v>
      </c>
      <c r="L6655" s="2" t="s">
        <v>34</v>
      </c>
      <c r="M6655" s="2"/>
      <c r="N6655" s="2"/>
      <c r="O6655" s="2"/>
      <c r="P6655" s="2" t="s">
        <v>20249</v>
      </c>
      <c r="Q6655" s="6">
        <v>80.55</v>
      </c>
      <c r="R6655" s="6">
        <v>3.6</v>
      </c>
      <c r="S6655" s="5">
        <v>0.7</v>
      </c>
      <c r="T6655" s="7">
        <v>3.6190000000000002</v>
      </c>
      <c r="U6655" s="5">
        <v>4.8</v>
      </c>
      <c r="V6655" s="2"/>
      <c r="W6655" s="5">
        <v>2.5</v>
      </c>
      <c r="X6655" s="5">
        <v>2.7</v>
      </c>
      <c r="Y6655" s="6">
        <v>3.15</v>
      </c>
      <c r="Z6655" s="6">
        <v>3.06</v>
      </c>
      <c r="AA6655" s="6">
        <v>3.8</v>
      </c>
      <c r="AB6655" s="7">
        <v>1.3220000000000001</v>
      </c>
      <c r="AC6655" s="2"/>
    </row>
    <row r="6656" spans="1:29" ht="143" x14ac:dyDescent="0.15">
      <c r="A6656" s="3">
        <f>DATE(2002,8,20)</f>
        <v>37488</v>
      </c>
      <c r="B6656" s="2"/>
      <c r="C6656" s="2" t="s">
        <v>30</v>
      </c>
      <c r="D6656" s="2" t="s">
        <v>20250</v>
      </c>
      <c r="E6656" s="2" t="s">
        <v>20251</v>
      </c>
      <c r="F6656" s="4">
        <v>7375</v>
      </c>
      <c r="G6656" s="2" t="s">
        <v>223</v>
      </c>
      <c r="H6656" s="2" t="s">
        <v>34</v>
      </c>
      <c r="I6656" s="2" t="s">
        <v>20252</v>
      </c>
      <c r="J6656" s="2" t="s">
        <v>10598</v>
      </c>
      <c r="K6656" s="2" t="s">
        <v>223</v>
      </c>
      <c r="L6656" s="2" t="s">
        <v>34</v>
      </c>
      <c r="M6656" s="2"/>
      <c r="N6656" s="2"/>
      <c r="O6656" s="2"/>
      <c r="P6656" s="2" t="s">
        <v>20253</v>
      </c>
      <c r="Q6656" s="2"/>
      <c r="R6656" s="6">
        <v>2.65</v>
      </c>
      <c r="S6656" s="5">
        <v>-12.6</v>
      </c>
      <c r="T6656" s="7">
        <v>-7.242</v>
      </c>
      <c r="U6656" s="5">
        <v>3.2</v>
      </c>
      <c r="V6656" s="6">
        <v>-0.59</v>
      </c>
      <c r="W6656" s="7">
        <v>2.2010000000000001</v>
      </c>
      <c r="X6656" s="6">
        <v>2.1800000000000002</v>
      </c>
      <c r="Y6656" s="5">
        <v>2.2999999999999998</v>
      </c>
      <c r="Z6656" s="6">
        <v>2.25</v>
      </c>
      <c r="AA6656" s="6">
        <v>29.91</v>
      </c>
      <c r="AB6656" s="2" t="s">
        <v>86</v>
      </c>
      <c r="AC6656" s="2"/>
    </row>
    <row r="6657" spans="1:29" ht="65" x14ac:dyDescent="0.15">
      <c r="A6657" s="3">
        <f>DATE(2002,8,21)</f>
        <v>37489</v>
      </c>
      <c r="B6657" s="2"/>
      <c r="C6657" s="2" t="s">
        <v>39</v>
      </c>
      <c r="D6657" s="2" t="s">
        <v>10345</v>
      </c>
      <c r="E6657" s="2" t="s">
        <v>10346</v>
      </c>
      <c r="F6657" s="4">
        <v>6035</v>
      </c>
      <c r="G6657" s="2" t="s">
        <v>33</v>
      </c>
      <c r="H6657" s="2" t="s">
        <v>34</v>
      </c>
      <c r="I6657" s="2" t="s">
        <v>20254</v>
      </c>
      <c r="J6657" s="2" t="s">
        <v>20255</v>
      </c>
      <c r="K6657" s="2" t="s">
        <v>370</v>
      </c>
      <c r="L6657" s="2" t="s">
        <v>34</v>
      </c>
      <c r="M6657" s="2"/>
      <c r="N6657" s="2"/>
      <c r="O6657" s="2"/>
      <c r="P6657" s="2" t="s">
        <v>20256</v>
      </c>
      <c r="Q6657" s="2"/>
      <c r="R6657" s="2"/>
      <c r="S6657" s="5">
        <v>416.8</v>
      </c>
      <c r="T6657" s="7">
        <v>817.11800000000005</v>
      </c>
      <c r="U6657" s="5">
        <v>20.3</v>
      </c>
      <c r="V6657" s="6">
        <v>2.89</v>
      </c>
      <c r="W6657" s="6">
        <v>34.35</v>
      </c>
      <c r="X6657" s="6">
        <v>34.590000000000003</v>
      </c>
      <c r="Y6657" s="6">
        <v>35.270000000000003</v>
      </c>
      <c r="Z6657" s="6">
        <v>35.67</v>
      </c>
      <c r="AA6657" s="6">
        <v>137.34</v>
      </c>
      <c r="AB6657" s="2" t="s">
        <v>47</v>
      </c>
      <c r="AC6657" s="2"/>
    </row>
    <row r="6658" spans="1:29" ht="130" x14ac:dyDescent="0.15">
      <c r="A6658" s="3">
        <f>DATE(2002,8,22)</f>
        <v>37490</v>
      </c>
      <c r="B6658" s="3">
        <f>DATE(2003,2,14)</f>
        <v>37666</v>
      </c>
      <c r="C6658" s="2" t="s">
        <v>95</v>
      </c>
      <c r="D6658" s="2" t="s">
        <v>19138</v>
      </c>
      <c r="E6658" s="2" t="s">
        <v>203</v>
      </c>
      <c r="F6658" s="4">
        <v>6036</v>
      </c>
      <c r="G6658" s="2" t="s">
        <v>33</v>
      </c>
      <c r="H6658" s="2" t="s">
        <v>34</v>
      </c>
      <c r="I6658" s="2" t="s">
        <v>18969</v>
      </c>
      <c r="J6658" s="2" t="s">
        <v>18970</v>
      </c>
      <c r="K6658" s="2" t="s">
        <v>37</v>
      </c>
      <c r="L6658" s="2" t="s">
        <v>34</v>
      </c>
      <c r="M6658" s="12">
        <v>3420.8719999999998</v>
      </c>
      <c r="N6658" s="6">
        <v>27.01</v>
      </c>
      <c r="O6658" s="7">
        <v>26.071999999999999</v>
      </c>
      <c r="P6658" s="2" t="s">
        <v>20257</v>
      </c>
      <c r="Q6658" s="6">
        <v>100</v>
      </c>
      <c r="R6658" s="6">
        <v>33.06</v>
      </c>
      <c r="S6658" s="5">
        <v>29.9</v>
      </c>
      <c r="T6658" s="2"/>
      <c r="U6658" s="5">
        <v>20.8</v>
      </c>
      <c r="V6658" s="6">
        <v>1.42</v>
      </c>
      <c r="W6658" s="6">
        <v>30.59</v>
      </c>
      <c r="X6658" s="6">
        <v>31.08</v>
      </c>
      <c r="Y6658" s="6">
        <v>31.24</v>
      </c>
      <c r="Z6658" s="6">
        <v>31.67</v>
      </c>
      <c r="AA6658" s="6">
        <v>21.36</v>
      </c>
      <c r="AB6658" s="7">
        <v>24.997</v>
      </c>
      <c r="AC6658" s="5">
        <v>646.6</v>
      </c>
    </row>
    <row r="6659" spans="1:29" ht="130" x14ac:dyDescent="0.15">
      <c r="A6659" s="3">
        <f>DATE(2002,8,22)</f>
        <v>37490</v>
      </c>
      <c r="B6659" s="3">
        <f>DATE(2002,10,31)</f>
        <v>37560</v>
      </c>
      <c r="C6659" s="2" t="s">
        <v>95</v>
      </c>
      <c r="D6659" s="2" t="s">
        <v>20258</v>
      </c>
      <c r="E6659" s="2" t="s">
        <v>36</v>
      </c>
      <c r="F6659" s="4">
        <v>6011</v>
      </c>
      <c r="G6659" s="2" t="s">
        <v>3583</v>
      </c>
      <c r="H6659" s="2" t="s">
        <v>34</v>
      </c>
      <c r="I6659" s="2" t="s">
        <v>19850</v>
      </c>
      <c r="J6659" s="2" t="s">
        <v>159</v>
      </c>
      <c r="K6659" s="2" t="s">
        <v>37</v>
      </c>
      <c r="L6659" s="2" t="s">
        <v>34</v>
      </c>
      <c r="M6659" s="7">
        <v>807.00400000000002</v>
      </c>
      <c r="N6659" s="6">
        <v>19.98</v>
      </c>
      <c r="O6659" s="6">
        <v>19.41</v>
      </c>
      <c r="P6659" s="2" t="s">
        <v>20259</v>
      </c>
      <c r="Q6659" s="6">
        <v>78</v>
      </c>
      <c r="R6659" s="2"/>
      <c r="S6659" s="5">
        <v>-8.1999999999999993</v>
      </c>
      <c r="T6659" s="2"/>
      <c r="U6659" s="5">
        <v>3.7</v>
      </c>
      <c r="V6659" s="6">
        <v>-4.79</v>
      </c>
      <c r="W6659" s="6">
        <v>14.35</v>
      </c>
      <c r="X6659" s="6">
        <v>14.35</v>
      </c>
      <c r="Y6659" s="6">
        <v>14.35</v>
      </c>
      <c r="Z6659" s="6">
        <v>14.35</v>
      </c>
      <c r="AA6659" s="6">
        <v>1.72</v>
      </c>
      <c r="AB6659" s="2" t="s">
        <v>86</v>
      </c>
      <c r="AC6659" s="2"/>
    </row>
    <row r="6660" spans="1:29" ht="91" x14ac:dyDescent="0.15">
      <c r="A6660" s="3">
        <f>DATE(2002,8,28)</f>
        <v>37496</v>
      </c>
      <c r="B6660" s="3">
        <f>DATE(2003,3,1)</f>
        <v>37681</v>
      </c>
      <c r="C6660" s="2" t="s">
        <v>95</v>
      </c>
      <c r="D6660" s="2" t="s">
        <v>20260</v>
      </c>
      <c r="E6660" s="2" t="s">
        <v>36</v>
      </c>
      <c r="F6660" s="4">
        <v>6021</v>
      </c>
      <c r="G6660" s="2" t="s">
        <v>37</v>
      </c>
      <c r="H6660" s="2" t="s">
        <v>34</v>
      </c>
      <c r="I6660" s="2" t="s">
        <v>19421</v>
      </c>
      <c r="J6660" s="2" t="s">
        <v>36</v>
      </c>
      <c r="K6660" s="2" t="s">
        <v>37</v>
      </c>
      <c r="L6660" s="2" t="s">
        <v>34</v>
      </c>
      <c r="M6660" s="7">
        <v>346.37900000000002</v>
      </c>
      <c r="N6660" s="6">
        <v>27.01</v>
      </c>
      <c r="O6660" s="6">
        <v>27.65</v>
      </c>
      <c r="P6660" s="2" t="s">
        <v>20261</v>
      </c>
      <c r="Q6660" s="6">
        <v>100</v>
      </c>
      <c r="R6660" s="6">
        <v>29.57</v>
      </c>
      <c r="S6660" s="5">
        <v>3.4</v>
      </c>
      <c r="T6660" s="2"/>
      <c r="U6660" s="5">
        <v>12</v>
      </c>
      <c r="V6660" s="6">
        <v>1.61</v>
      </c>
      <c r="W6660" s="4">
        <v>22</v>
      </c>
      <c r="X6660" s="6">
        <v>25.25</v>
      </c>
      <c r="Y6660" s="5">
        <v>28.4</v>
      </c>
      <c r="Z6660" s="6">
        <v>28.25</v>
      </c>
      <c r="AA6660" s="6">
        <v>1.99</v>
      </c>
      <c r="AB6660" s="7">
        <v>20.771999999999998</v>
      </c>
      <c r="AC6660" s="5">
        <v>162.6</v>
      </c>
    </row>
    <row r="6661" spans="1:29" ht="78" x14ac:dyDescent="0.15">
      <c r="A6661" s="3">
        <f>DATE(2002,8,29)</f>
        <v>37497</v>
      </c>
      <c r="B6661" s="3">
        <f>DATE(2003,1,29)</f>
        <v>37650</v>
      </c>
      <c r="C6661" s="2" t="s">
        <v>95</v>
      </c>
      <c r="D6661" s="2" t="s">
        <v>20262</v>
      </c>
      <c r="E6661" s="2" t="s">
        <v>36</v>
      </c>
      <c r="F6661" s="4">
        <v>6022</v>
      </c>
      <c r="G6661" s="2" t="s">
        <v>37</v>
      </c>
      <c r="H6661" s="2" t="s">
        <v>34</v>
      </c>
      <c r="I6661" s="2" t="s">
        <v>19861</v>
      </c>
      <c r="J6661" s="2" t="s">
        <v>159</v>
      </c>
      <c r="K6661" s="2" t="s">
        <v>37</v>
      </c>
      <c r="L6661" s="2" t="s">
        <v>34</v>
      </c>
      <c r="M6661" s="2"/>
      <c r="N6661" s="2"/>
      <c r="O6661" s="2"/>
      <c r="P6661" s="2" t="s">
        <v>20263</v>
      </c>
      <c r="Q6661" s="6">
        <v>100</v>
      </c>
      <c r="R6661" s="6">
        <v>26</v>
      </c>
      <c r="S6661" s="5">
        <v>3.9</v>
      </c>
      <c r="T6661" s="5">
        <v>7.2</v>
      </c>
      <c r="U6661" s="5">
        <v>8.8000000000000007</v>
      </c>
      <c r="V6661" s="6">
        <v>0.69</v>
      </c>
      <c r="W6661" s="7">
        <v>22.989000000000001</v>
      </c>
      <c r="X6661" s="7">
        <v>23.318999999999999</v>
      </c>
      <c r="Y6661" s="6">
        <v>23.93</v>
      </c>
      <c r="Z6661" s="6">
        <v>25.61</v>
      </c>
      <c r="AA6661" s="6">
        <v>5.29</v>
      </c>
      <c r="AB6661" s="7">
        <v>95.405000000000001</v>
      </c>
      <c r="AC6661" s="2"/>
    </row>
    <row r="6662" spans="1:29" ht="104" x14ac:dyDescent="0.15">
      <c r="A6662" s="3">
        <f>DATE(2002,8,29)</f>
        <v>37497</v>
      </c>
      <c r="B6662" s="3">
        <f>DATE(2002,12,17)</f>
        <v>37607</v>
      </c>
      <c r="C6662" s="2" t="s">
        <v>95</v>
      </c>
      <c r="D6662" s="2" t="s">
        <v>20264</v>
      </c>
      <c r="E6662" s="2" t="s">
        <v>2710</v>
      </c>
      <c r="F6662" s="4">
        <v>6722</v>
      </c>
      <c r="G6662" s="2" t="s">
        <v>53</v>
      </c>
      <c r="H6662" s="2" t="s">
        <v>34</v>
      </c>
      <c r="I6662" s="2" t="s">
        <v>20265</v>
      </c>
      <c r="J6662" s="2" t="s">
        <v>20266</v>
      </c>
      <c r="K6662" s="2" t="s">
        <v>53</v>
      </c>
      <c r="L6662" s="2" t="s">
        <v>34</v>
      </c>
      <c r="M6662" s="12">
        <v>1442.248</v>
      </c>
      <c r="N6662" s="6">
        <v>19.29</v>
      </c>
      <c r="O6662" s="6">
        <v>19.11</v>
      </c>
      <c r="P6662" s="2" t="s">
        <v>20267</v>
      </c>
      <c r="Q6662" s="6">
        <v>100</v>
      </c>
      <c r="R6662" s="2"/>
      <c r="S6662" s="5">
        <v>-2.2999999999999998</v>
      </c>
      <c r="T6662" s="5">
        <v>8.1</v>
      </c>
      <c r="U6662" s="5">
        <v>5</v>
      </c>
      <c r="V6662" s="6">
        <v>-0.11</v>
      </c>
      <c r="W6662" s="7">
        <v>3.5329999999999999</v>
      </c>
      <c r="X6662" s="7">
        <v>3.5390000000000001</v>
      </c>
      <c r="Y6662" s="7">
        <v>3.9489999999999998</v>
      </c>
      <c r="Z6662" s="7">
        <v>3.964</v>
      </c>
      <c r="AA6662" s="6">
        <v>18.66</v>
      </c>
      <c r="AB6662" s="2" t="s">
        <v>86</v>
      </c>
      <c r="AC6662" s="5">
        <v>75.2</v>
      </c>
    </row>
    <row r="6663" spans="1:29" ht="104" x14ac:dyDescent="0.15">
      <c r="A6663" s="3">
        <f>DATE(2002,9,3)</f>
        <v>37502</v>
      </c>
      <c r="B6663" s="2"/>
      <c r="C6663" s="2" t="s">
        <v>30</v>
      </c>
      <c r="D6663" s="2" t="s">
        <v>20268</v>
      </c>
      <c r="E6663" s="2" t="s">
        <v>20269</v>
      </c>
      <c r="F6663" s="4">
        <v>7372</v>
      </c>
      <c r="G6663" s="2" t="s">
        <v>551</v>
      </c>
      <c r="H6663" s="2" t="s">
        <v>34</v>
      </c>
      <c r="I6663" s="2" t="s">
        <v>20270</v>
      </c>
      <c r="J6663" s="2" t="s">
        <v>20271</v>
      </c>
      <c r="K6663" s="2" t="s">
        <v>53</v>
      </c>
      <c r="L6663" s="2" t="s">
        <v>34</v>
      </c>
      <c r="M6663" s="7">
        <v>22.574999999999999</v>
      </c>
      <c r="N6663" s="5">
        <v>10.7</v>
      </c>
      <c r="O6663" s="5">
        <v>10.7</v>
      </c>
      <c r="P6663" s="2" t="s">
        <v>20272</v>
      </c>
      <c r="Q6663" s="2"/>
      <c r="R6663" s="6">
        <v>5</v>
      </c>
      <c r="S6663" s="5">
        <v>-7.8</v>
      </c>
      <c r="T6663" s="7">
        <v>-2.9580000000000002</v>
      </c>
      <c r="U6663" s="5">
        <v>1.8</v>
      </c>
      <c r="V6663" s="7">
        <v>-0.26700000000000002</v>
      </c>
      <c r="W6663" s="6">
        <v>3.17</v>
      </c>
      <c r="X6663" s="7">
        <v>3.0609999999999999</v>
      </c>
      <c r="Y6663" s="6">
        <v>2.77</v>
      </c>
      <c r="Z6663" s="6">
        <v>3.35</v>
      </c>
      <c r="AA6663" s="6">
        <v>29.43</v>
      </c>
      <c r="AB6663" s="2" t="s">
        <v>86</v>
      </c>
      <c r="AC6663" s="6">
        <v>1.1599999999999999</v>
      </c>
    </row>
    <row r="6664" spans="1:29" ht="104" x14ac:dyDescent="0.15">
      <c r="A6664" s="3">
        <f>DATE(2002,9,3)</f>
        <v>37502</v>
      </c>
      <c r="B6664" s="3">
        <f>DATE(2003,5,30)</f>
        <v>37771</v>
      </c>
      <c r="C6664" s="2" t="s">
        <v>95</v>
      </c>
      <c r="D6664" s="2" t="s">
        <v>4774</v>
      </c>
      <c r="E6664" s="2" t="s">
        <v>849</v>
      </c>
      <c r="F6664" s="4">
        <v>7372</v>
      </c>
      <c r="G6664" s="2" t="s">
        <v>551</v>
      </c>
      <c r="H6664" s="2" t="s">
        <v>34</v>
      </c>
      <c r="I6664" s="2" t="s">
        <v>20273</v>
      </c>
      <c r="J6664" s="2" t="s">
        <v>1620</v>
      </c>
      <c r="K6664" s="2" t="s">
        <v>53</v>
      </c>
      <c r="L6664" s="2" t="s">
        <v>34</v>
      </c>
      <c r="M6664" s="2"/>
      <c r="N6664" s="2"/>
      <c r="O6664" s="2"/>
      <c r="P6664" s="2" t="s">
        <v>20274</v>
      </c>
      <c r="Q6664" s="6">
        <v>41.64</v>
      </c>
      <c r="R6664" s="6">
        <v>1.91</v>
      </c>
      <c r="S6664" s="5">
        <v>0.3</v>
      </c>
      <c r="T6664" s="2"/>
      <c r="U6664" s="5">
        <v>2.8</v>
      </c>
      <c r="V6664" s="6">
        <v>0.13</v>
      </c>
      <c r="W6664" s="7">
        <v>1.2709999999999999</v>
      </c>
      <c r="X6664" s="6">
        <v>1.27</v>
      </c>
      <c r="Y6664" s="7">
        <v>1.7509999999999999</v>
      </c>
      <c r="Z6664" s="6">
        <v>1.83</v>
      </c>
      <c r="AA6664" s="6">
        <v>2.48</v>
      </c>
      <c r="AB6664" s="2" t="s">
        <v>47</v>
      </c>
      <c r="AC6664" s="2"/>
    </row>
    <row r="6665" spans="1:29" ht="65" x14ac:dyDescent="0.15">
      <c r="A6665" s="3">
        <f>DATE(2002,9,4)</f>
        <v>37503</v>
      </c>
      <c r="B6665" s="3">
        <f>DATE(2003,1,13)</f>
        <v>37634</v>
      </c>
      <c r="C6665" s="2" t="s">
        <v>95</v>
      </c>
      <c r="D6665" s="2" t="s">
        <v>20275</v>
      </c>
      <c r="E6665" s="2" t="s">
        <v>2898</v>
      </c>
      <c r="F6665" s="4">
        <v>6021</v>
      </c>
      <c r="G6665" s="2" t="s">
        <v>37</v>
      </c>
      <c r="H6665" s="2" t="s">
        <v>34</v>
      </c>
      <c r="I6665" s="2" t="s">
        <v>16761</v>
      </c>
      <c r="J6665" s="2" t="s">
        <v>159</v>
      </c>
      <c r="K6665" s="2" t="s">
        <v>37</v>
      </c>
      <c r="L6665" s="2" t="s">
        <v>34</v>
      </c>
      <c r="M6665" s="7">
        <v>270.97899999999998</v>
      </c>
      <c r="N6665" s="6">
        <v>18.64</v>
      </c>
      <c r="O6665" s="6">
        <v>18.75</v>
      </c>
      <c r="P6665" s="2" t="s">
        <v>20276</v>
      </c>
      <c r="Q6665" s="6">
        <v>100</v>
      </c>
      <c r="R6665" s="6">
        <v>17</v>
      </c>
      <c r="S6665" s="5">
        <v>1.5</v>
      </c>
      <c r="T6665" s="2"/>
      <c r="U6665" s="5">
        <v>7.4</v>
      </c>
      <c r="V6665" s="9">
        <v>0.70189999999999997</v>
      </c>
      <c r="W6665" s="5">
        <v>9.6999999999999993</v>
      </c>
      <c r="X6665" s="6">
        <v>9.94</v>
      </c>
      <c r="Y6665" s="4">
        <v>16</v>
      </c>
      <c r="Z6665" s="6">
        <v>16.73</v>
      </c>
      <c r="AA6665" s="6">
        <v>2.06</v>
      </c>
      <c r="AB6665" s="2" t="s">
        <v>47</v>
      </c>
      <c r="AC6665" s="2"/>
    </row>
    <row r="6666" spans="1:29" ht="65" x14ac:dyDescent="0.15">
      <c r="A6666" s="3">
        <f>DATE(2002,9,6)</f>
        <v>37505</v>
      </c>
      <c r="B6666" s="3">
        <f>DATE(2002,12,20)</f>
        <v>37610</v>
      </c>
      <c r="C6666" s="2" t="s">
        <v>95</v>
      </c>
      <c r="D6666" s="2" t="s">
        <v>20277</v>
      </c>
      <c r="E6666" s="2" t="s">
        <v>265</v>
      </c>
      <c r="F6666" s="4">
        <v>6022</v>
      </c>
      <c r="G6666" s="2" t="s">
        <v>37</v>
      </c>
      <c r="H6666" s="2" t="s">
        <v>34</v>
      </c>
      <c r="I6666" s="2" t="s">
        <v>20278</v>
      </c>
      <c r="J6666" s="2" t="s">
        <v>16553</v>
      </c>
      <c r="K6666" s="2" t="s">
        <v>33</v>
      </c>
      <c r="L6666" s="2" t="s">
        <v>34</v>
      </c>
      <c r="M6666" s="7">
        <v>193.75200000000001</v>
      </c>
      <c r="N6666" s="6">
        <v>21.37</v>
      </c>
      <c r="O6666" s="6">
        <v>21.19</v>
      </c>
      <c r="P6666" s="2" t="s">
        <v>20279</v>
      </c>
      <c r="Q6666" s="6">
        <v>100</v>
      </c>
      <c r="R6666" s="6">
        <v>17.5</v>
      </c>
      <c r="S6666" s="5">
        <v>-0.6</v>
      </c>
      <c r="T6666" s="7">
        <v>-0.70399999999999996</v>
      </c>
      <c r="U6666" s="5">
        <v>16.2</v>
      </c>
      <c r="V6666" s="6">
        <v>-0.7</v>
      </c>
      <c r="W6666" s="6">
        <v>13.75</v>
      </c>
      <c r="X6666" s="5">
        <v>13.5</v>
      </c>
      <c r="Y6666" s="6">
        <v>17.25</v>
      </c>
      <c r="Z6666" s="6">
        <v>17.260000000000002</v>
      </c>
      <c r="AA6666" s="6">
        <v>0.88</v>
      </c>
      <c r="AB6666" s="2" t="s">
        <v>86</v>
      </c>
      <c r="AC6666" s="2"/>
    </row>
    <row r="6667" spans="1:29" ht="91" x14ac:dyDescent="0.15">
      <c r="A6667" s="3">
        <f>DATE(2002,9,6)</f>
        <v>37505</v>
      </c>
      <c r="B6667" s="3">
        <f>DATE(2003,1,2)</f>
        <v>37623</v>
      </c>
      <c r="C6667" s="2" t="s">
        <v>95</v>
      </c>
      <c r="D6667" s="2" t="s">
        <v>20280</v>
      </c>
      <c r="E6667" s="2" t="s">
        <v>20281</v>
      </c>
      <c r="F6667" s="4">
        <v>2671</v>
      </c>
      <c r="G6667" s="2" t="s">
        <v>282</v>
      </c>
      <c r="H6667" s="2" t="s">
        <v>34</v>
      </c>
      <c r="I6667" s="2" t="s">
        <v>51</v>
      </c>
      <c r="J6667" s="2" t="s">
        <v>52</v>
      </c>
      <c r="K6667" s="2" t="s">
        <v>53</v>
      </c>
      <c r="L6667" s="2" t="s">
        <v>34</v>
      </c>
      <c r="M6667" s="2"/>
      <c r="N6667" s="2"/>
      <c r="O6667" s="2"/>
      <c r="P6667" s="2" t="s">
        <v>20282</v>
      </c>
      <c r="Q6667" s="6">
        <v>100</v>
      </c>
      <c r="R6667" s="6">
        <v>1.82</v>
      </c>
      <c r="S6667" s="5">
        <v>-1.4</v>
      </c>
      <c r="T6667" s="6">
        <v>5.28</v>
      </c>
      <c r="U6667" s="5">
        <v>1.6</v>
      </c>
      <c r="V6667" s="6">
        <v>-0.25</v>
      </c>
      <c r="W6667" s="5">
        <v>1.1000000000000001</v>
      </c>
      <c r="X6667" s="6">
        <v>1.05</v>
      </c>
      <c r="Y6667" s="6">
        <v>1.73</v>
      </c>
      <c r="Z6667" s="6">
        <v>1.69</v>
      </c>
      <c r="AA6667" s="6">
        <v>5.52</v>
      </c>
      <c r="AB6667" s="7">
        <v>8.06</v>
      </c>
      <c r="AC6667" s="2"/>
    </row>
    <row r="6668" spans="1:29" ht="156" x14ac:dyDescent="0.15">
      <c r="A6668" s="3">
        <f>DATE(2002,9,9)</f>
        <v>37508</v>
      </c>
      <c r="B6668" s="3">
        <f>DATE(2003,7,1)</f>
        <v>37803</v>
      </c>
      <c r="C6668" s="2" t="s">
        <v>95</v>
      </c>
      <c r="D6668" s="2" t="s">
        <v>20283</v>
      </c>
      <c r="E6668" s="2" t="s">
        <v>20284</v>
      </c>
      <c r="F6668" s="4">
        <v>2835</v>
      </c>
      <c r="G6668" s="2" t="s">
        <v>130</v>
      </c>
      <c r="H6668" s="2" t="s">
        <v>34</v>
      </c>
      <c r="I6668" s="2" t="s">
        <v>20285</v>
      </c>
      <c r="J6668" s="2" t="s">
        <v>20286</v>
      </c>
      <c r="K6668" s="2" t="s">
        <v>130</v>
      </c>
      <c r="L6668" s="2" t="s">
        <v>34</v>
      </c>
      <c r="M6668" s="7">
        <v>182.197</v>
      </c>
      <c r="N6668" s="6">
        <v>13.74</v>
      </c>
      <c r="O6668" s="6">
        <v>13.42</v>
      </c>
      <c r="P6668" s="2" t="s">
        <v>20287</v>
      </c>
      <c r="Q6668" s="6">
        <v>100</v>
      </c>
      <c r="R6668" s="6">
        <v>1.87</v>
      </c>
      <c r="S6668" s="5">
        <v>-4.4000000000000004</v>
      </c>
      <c r="T6668" s="7">
        <v>-1.8260000000000001</v>
      </c>
      <c r="U6668" s="5">
        <v>0.2</v>
      </c>
      <c r="V6668" s="6">
        <v>-0.35</v>
      </c>
      <c r="W6668" s="6">
        <v>1.1599999999999999</v>
      </c>
      <c r="X6668" s="5">
        <v>1.1000000000000001</v>
      </c>
      <c r="Y6668" s="5">
        <v>1.8</v>
      </c>
      <c r="Z6668" s="6">
        <v>1.91</v>
      </c>
      <c r="AA6668" s="6">
        <v>12.58</v>
      </c>
      <c r="AB6668" s="2" t="s">
        <v>86</v>
      </c>
      <c r="AC6668" s="6">
        <v>30.67</v>
      </c>
    </row>
    <row r="6669" spans="1:29" ht="65" x14ac:dyDescent="0.15">
      <c r="A6669" s="3">
        <f>DATE(2002,9,11)</f>
        <v>37510</v>
      </c>
      <c r="B6669" s="3">
        <f>DATE(2003,7,31)</f>
        <v>37833</v>
      </c>
      <c r="C6669" s="2" t="s">
        <v>95</v>
      </c>
      <c r="D6669" s="2" t="s">
        <v>20288</v>
      </c>
      <c r="E6669" s="2" t="s">
        <v>32</v>
      </c>
      <c r="F6669" s="4">
        <v>6035</v>
      </c>
      <c r="G6669" s="2" t="s">
        <v>33</v>
      </c>
      <c r="H6669" s="2" t="s">
        <v>34</v>
      </c>
      <c r="I6669" s="2" t="s">
        <v>19645</v>
      </c>
      <c r="J6669" s="2" t="s">
        <v>36</v>
      </c>
      <c r="K6669" s="2" t="s">
        <v>37</v>
      </c>
      <c r="L6669" s="2" t="s">
        <v>34</v>
      </c>
      <c r="M6669" s="2"/>
      <c r="N6669" s="2"/>
      <c r="O6669" s="2"/>
      <c r="P6669" s="2" t="s">
        <v>20289</v>
      </c>
      <c r="Q6669" s="6">
        <v>100</v>
      </c>
      <c r="R6669" s="6">
        <v>35.1</v>
      </c>
      <c r="S6669" s="5">
        <v>3.2</v>
      </c>
      <c r="T6669" s="2"/>
      <c r="U6669" s="5">
        <v>10.5</v>
      </c>
      <c r="V6669" s="9">
        <v>0.65880000000000005</v>
      </c>
      <c r="W6669" s="5">
        <v>23.6</v>
      </c>
      <c r="X6669" s="5">
        <v>23.2</v>
      </c>
      <c r="Y6669" s="6">
        <v>34.51</v>
      </c>
      <c r="Z6669" s="6">
        <v>34.549999999999997</v>
      </c>
      <c r="AA6669" s="6">
        <v>4.8499999999999996</v>
      </c>
      <c r="AB6669" s="7">
        <v>54.015999999999998</v>
      </c>
      <c r="AC6669" s="2"/>
    </row>
    <row r="6670" spans="1:29" ht="130" x14ac:dyDescent="0.15">
      <c r="A6670" s="3">
        <f>DATE(2002,9,12)</f>
        <v>37511</v>
      </c>
      <c r="B6670" s="3">
        <f>DATE(2003,2,10)</f>
        <v>37662</v>
      </c>
      <c r="C6670" s="2" t="s">
        <v>95</v>
      </c>
      <c r="D6670" s="2" t="s">
        <v>20290</v>
      </c>
      <c r="E6670" s="2" t="s">
        <v>20291</v>
      </c>
      <c r="F6670" s="4">
        <v>6552</v>
      </c>
      <c r="G6670" s="2" t="s">
        <v>109</v>
      </c>
      <c r="H6670" s="2" t="s">
        <v>34</v>
      </c>
      <c r="I6670" s="2" t="s">
        <v>51</v>
      </c>
      <c r="J6670" s="2" t="s">
        <v>52</v>
      </c>
      <c r="K6670" s="2" t="s">
        <v>53</v>
      </c>
      <c r="L6670" s="2" t="s">
        <v>34</v>
      </c>
      <c r="M6670" s="2"/>
      <c r="N6670" s="2"/>
      <c r="O6670" s="2"/>
      <c r="P6670" s="2" t="s">
        <v>20292</v>
      </c>
      <c r="Q6670" s="6">
        <v>61.74</v>
      </c>
      <c r="R6670" s="6">
        <v>4.9000000000000004</v>
      </c>
      <c r="S6670" s="5">
        <v>-3.6</v>
      </c>
      <c r="T6670" s="7">
        <v>-3.2130000000000001</v>
      </c>
      <c r="U6670" s="5">
        <v>7.2</v>
      </c>
      <c r="V6670" s="6">
        <v>-0.79</v>
      </c>
      <c r="W6670" s="6">
        <v>4.3499999999999996</v>
      </c>
      <c r="X6670" s="5">
        <v>4.0999999999999996</v>
      </c>
      <c r="Y6670" s="6">
        <v>4.6500000000000004</v>
      </c>
      <c r="Z6670" s="6">
        <v>4.6500000000000004</v>
      </c>
      <c r="AA6670" s="6">
        <v>4.6399999999999997</v>
      </c>
      <c r="AB6670" s="2" t="s">
        <v>86</v>
      </c>
      <c r="AC6670" s="2"/>
    </row>
    <row r="6671" spans="1:29" ht="52" x14ac:dyDescent="0.15">
      <c r="A6671" s="3">
        <f>DATE(2002,9,12)</f>
        <v>37511</v>
      </c>
      <c r="B6671" s="3">
        <f>DATE(2003,3,28)</f>
        <v>37708</v>
      </c>
      <c r="C6671" s="2" t="s">
        <v>95</v>
      </c>
      <c r="D6671" s="2" t="s">
        <v>20293</v>
      </c>
      <c r="E6671" s="2" t="s">
        <v>2712</v>
      </c>
      <c r="F6671" s="4">
        <v>6211</v>
      </c>
      <c r="G6671" s="2" t="s">
        <v>53</v>
      </c>
      <c r="H6671" s="2" t="s">
        <v>34</v>
      </c>
      <c r="I6671" s="2" t="s">
        <v>20294</v>
      </c>
      <c r="J6671" s="2" t="s">
        <v>14170</v>
      </c>
      <c r="K6671" s="2" t="s">
        <v>37</v>
      </c>
      <c r="L6671" s="2" t="s">
        <v>34</v>
      </c>
      <c r="M6671" s="7">
        <v>38.823</v>
      </c>
      <c r="N6671" s="6">
        <v>19.77</v>
      </c>
      <c r="O6671" s="5">
        <v>19.7</v>
      </c>
      <c r="P6671" s="2" t="s">
        <v>20295</v>
      </c>
      <c r="Q6671" s="6">
        <v>100</v>
      </c>
      <c r="R6671" s="6">
        <v>19.05</v>
      </c>
      <c r="S6671" s="5">
        <v>0.2</v>
      </c>
      <c r="T6671" s="2"/>
      <c r="U6671" s="5">
        <v>14.4</v>
      </c>
      <c r="V6671" s="6">
        <v>0.3</v>
      </c>
      <c r="W6671" s="6">
        <v>15.87</v>
      </c>
      <c r="X6671" s="6">
        <v>15.87</v>
      </c>
      <c r="Y6671" s="6">
        <v>15.87</v>
      </c>
      <c r="Z6671" s="6">
        <v>18.45</v>
      </c>
      <c r="AA6671" s="6">
        <v>0.49</v>
      </c>
      <c r="AB6671" s="7">
        <v>49.631999999999998</v>
      </c>
      <c r="AC6671" s="2"/>
    </row>
    <row r="6672" spans="1:29" ht="156" x14ac:dyDescent="0.15">
      <c r="A6672" s="3">
        <f>DATE(2002,9,13)</f>
        <v>37512</v>
      </c>
      <c r="B6672" s="3">
        <f>DATE(2003,2,24)</f>
        <v>37676</v>
      </c>
      <c r="C6672" s="2" t="s">
        <v>95</v>
      </c>
      <c r="D6672" s="2" t="s">
        <v>20296</v>
      </c>
      <c r="E6672" s="2" t="s">
        <v>20297</v>
      </c>
      <c r="F6672" s="4">
        <v>8021</v>
      </c>
      <c r="G6672" s="2" t="s">
        <v>454</v>
      </c>
      <c r="H6672" s="2" t="s">
        <v>34</v>
      </c>
      <c r="I6672" s="2" t="s">
        <v>51</v>
      </c>
      <c r="J6672" s="2" t="s">
        <v>52</v>
      </c>
      <c r="K6672" s="2" t="s">
        <v>53</v>
      </c>
      <c r="L6672" s="2" t="s">
        <v>34</v>
      </c>
      <c r="M6672" s="2"/>
      <c r="N6672" s="2"/>
      <c r="O6672" s="2"/>
      <c r="P6672" s="2" t="s">
        <v>20298</v>
      </c>
      <c r="Q6672" s="6">
        <v>100</v>
      </c>
      <c r="R6672" s="6">
        <v>5.75</v>
      </c>
      <c r="S6672" s="5">
        <v>-3.5</v>
      </c>
      <c r="T6672" s="5">
        <v>14.3</v>
      </c>
      <c r="U6672" s="5">
        <v>24.3</v>
      </c>
      <c r="V6672" s="6">
        <v>-1.63</v>
      </c>
      <c r="W6672" s="4">
        <v>3</v>
      </c>
      <c r="X6672" s="6">
        <v>3.69</v>
      </c>
      <c r="Y6672" s="5">
        <v>4.5</v>
      </c>
      <c r="Z6672" s="6">
        <v>4.45</v>
      </c>
      <c r="AA6672" s="6">
        <v>2.1800000000000002</v>
      </c>
      <c r="AB6672" s="7">
        <v>8.7409999999999997</v>
      </c>
      <c r="AC6672" s="2"/>
    </row>
    <row r="6673" spans="1:29" ht="195" x14ac:dyDescent="0.15">
      <c r="A6673" s="3">
        <f>DATE(2002,9,16)</f>
        <v>37515</v>
      </c>
      <c r="B6673" s="3">
        <f>DATE(2003,2,6)</f>
        <v>37658</v>
      </c>
      <c r="C6673" s="2" t="s">
        <v>95</v>
      </c>
      <c r="D6673" s="2" t="s">
        <v>7371</v>
      </c>
      <c r="E6673" s="2" t="s">
        <v>6321</v>
      </c>
      <c r="F6673" s="4">
        <v>6798</v>
      </c>
      <c r="G6673" s="2" t="s">
        <v>53</v>
      </c>
      <c r="H6673" s="2" t="s">
        <v>34</v>
      </c>
      <c r="I6673" s="2" t="s">
        <v>51</v>
      </c>
      <c r="J6673" s="2" t="s">
        <v>52</v>
      </c>
      <c r="K6673" s="2" t="s">
        <v>53</v>
      </c>
      <c r="L6673" s="2" t="s">
        <v>34</v>
      </c>
      <c r="M6673" s="2"/>
      <c r="N6673" s="2"/>
      <c r="O6673" s="2"/>
      <c r="P6673" s="2" t="s">
        <v>20299</v>
      </c>
      <c r="Q6673" s="6">
        <v>100</v>
      </c>
      <c r="R6673" s="2"/>
      <c r="S6673" s="5">
        <v>-17.100000000000001</v>
      </c>
      <c r="T6673" s="7">
        <v>69.965999999999994</v>
      </c>
      <c r="U6673" s="5">
        <v>8.9</v>
      </c>
      <c r="V6673" s="6">
        <v>-1.31</v>
      </c>
      <c r="W6673" s="6">
        <v>10.52</v>
      </c>
      <c r="X6673" s="5">
        <v>10.7</v>
      </c>
      <c r="Y6673" s="6">
        <v>11.69</v>
      </c>
      <c r="Z6673" s="6">
        <v>11.67</v>
      </c>
      <c r="AA6673" s="6">
        <v>13.12</v>
      </c>
      <c r="AB6673" s="7">
        <v>16.651</v>
      </c>
      <c r="AC6673" s="2"/>
    </row>
    <row r="6674" spans="1:29" ht="78" x14ac:dyDescent="0.15">
      <c r="A6674" s="3">
        <f>DATE(2002,9,19)</f>
        <v>37518</v>
      </c>
      <c r="B6674" s="3">
        <f>DATE(2003,2,28)</f>
        <v>37680</v>
      </c>
      <c r="C6674" s="2" t="s">
        <v>95</v>
      </c>
      <c r="D6674" s="2" t="s">
        <v>20300</v>
      </c>
      <c r="E6674" s="2" t="s">
        <v>36</v>
      </c>
      <c r="F6674" s="4">
        <v>6035</v>
      </c>
      <c r="G6674" s="2" t="s">
        <v>33</v>
      </c>
      <c r="H6674" s="2" t="s">
        <v>34</v>
      </c>
      <c r="I6674" s="2" t="s">
        <v>4531</v>
      </c>
      <c r="J6674" s="2" t="s">
        <v>4532</v>
      </c>
      <c r="K6674" s="2" t="s">
        <v>125</v>
      </c>
      <c r="L6674" s="2" t="s">
        <v>34</v>
      </c>
      <c r="M6674" s="6">
        <v>235.47</v>
      </c>
      <c r="N6674" s="6">
        <v>18.420000000000002</v>
      </c>
      <c r="O6674" s="6">
        <v>16.649999999999999</v>
      </c>
      <c r="P6674" s="2" t="s">
        <v>20301</v>
      </c>
      <c r="Q6674" s="6">
        <v>100</v>
      </c>
      <c r="R6674" s="6">
        <v>19.25</v>
      </c>
      <c r="S6674" s="5">
        <v>0.3</v>
      </c>
      <c r="T6674" s="2"/>
      <c r="U6674" s="5">
        <v>18.899999999999999</v>
      </c>
      <c r="V6674" s="6">
        <v>0.23</v>
      </c>
      <c r="W6674" s="6">
        <v>14.04</v>
      </c>
      <c r="X6674" s="6">
        <v>13.63</v>
      </c>
      <c r="Y6674" s="7">
        <v>13.000999999999999</v>
      </c>
      <c r="Z6674" s="6">
        <v>18.32</v>
      </c>
      <c r="AA6674" s="6">
        <v>1.51</v>
      </c>
      <c r="AB6674" s="7">
        <v>72.997</v>
      </c>
      <c r="AC6674" s="2"/>
    </row>
    <row r="6675" spans="1:29" ht="104" x14ac:dyDescent="0.15">
      <c r="A6675" s="3">
        <f>DATE(2002,9,19)</f>
        <v>37518</v>
      </c>
      <c r="B6675" s="2"/>
      <c r="C6675" s="2" t="s">
        <v>30</v>
      </c>
      <c r="D6675" s="2" t="s">
        <v>20302</v>
      </c>
      <c r="E6675" s="2" t="s">
        <v>20303</v>
      </c>
      <c r="F6675" s="4">
        <v>3674</v>
      </c>
      <c r="G6675" s="2" t="s">
        <v>137</v>
      </c>
      <c r="H6675" s="2" t="s">
        <v>34</v>
      </c>
      <c r="I6675" s="2" t="s">
        <v>15582</v>
      </c>
      <c r="J6675" s="2" t="s">
        <v>678</v>
      </c>
      <c r="K6675" s="2" t="s">
        <v>53</v>
      </c>
      <c r="L6675" s="2" t="s">
        <v>34</v>
      </c>
      <c r="M6675" s="2"/>
      <c r="N6675" s="2"/>
      <c r="O6675" s="2"/>
      <c r="P6675" s="2" t="s">
        <v>20304</v>
      </c>
      <c r="Q6675" s="2"/>
      <c r="R6675" s="6">
        <v>1.1000000000000001</v>
      </c>
      <c r="S6675" s="5">
        <v>-21.8</v>
      </c>
      <c r="T6675" s="7">
        <v>-12.348000000000001</v>
      </c>
      <c r="U6675" s="5">
        <v>1.6</v>
      </c>
      <c r="V6675" s="6">
        <v>-0.39</v>
      </c>
      <c r="W6675" s="5">
        <v>1.1000000000000001</v>
      </c>
      <c r="X6675" s="6">
        <v>1.0900000000000001</v>
      </c>
      <c r="Y6675" s="6">
        <v>1.1200000000000001</v>
      </c>
      <c r="Z6675" s="6">
        <v>1.17</v>
      </c>
      <c r="AA6675" s="6">
        <v>56.53</v>
      </c>
      <c r="AB6675" s="2" t="s">
        <v>86</v>
      </c>
      <c r="AC6675" s="2"/>
    </row>
    <row r="6676" spans="1:29" ht="104" x14ac:dyDescent="0.15">
      <c r="A6676" s="3">
        <f>DATE(2002,9,20)</f>
        <v>37519</v>
      </c>
      <c r="B6676" s="3">
        <f>DATE(2003,1,9)</f>
        <v>37630</v>
      </c>
      <c r="C6676" s="2" t="s">
        <v>95</v>
      </c>
      <c r="D6676" s="2" t="s">
        <v>20305</v>
      </c>
      <c r="E6676" s="2" t="s">
        <v>1181</v>
      </c>
      <c r="F6676" s="4">
        <v>6021</v>
      </c>
      <c r="G6676" s="2" t="s">
        <v>37</v>
      </c>
      <c r="H6676" s="2" t="s">
        <v>34</v>
      </c>
      <c r="I6676" s="2" t="s">
        <v>3057</v>
      </c>
      <c r="J6676" s="2" t="s">
        <v>17388</v>
      </c>
      <c r="K6676" s="2" t="s">
        <v>37</v>
      </c>
      <c r="L6676" s="2" t="s">
        <v>34</v>
      </c>
      <c r="M6676" s="7">
        <v>342.375</v>
      </c>
      <c r="N6676" s="7">
        <v>28.768000000000001</v>
      </c>
      <c r="O6676" s="6">
        <v>28.99</v>
      </c>
      <c r="P6676" s="2" t="s">
        <v>20306</v>
      </c>
      <c r="Q6676" s="6">
        <v>100</v>
      </c>
      <c r="R6676" s="6">
        <v>14.15</v>
      </c>
      <c r="S6676" s="2"/>
      <c r="T6676" s="2"/>
      <c r="U6676" s="2"/>
      <c r="V6676" s="2"/>
      <c r="W6676" s="6">
        <v>12.25</v>
      </c>
      <c r="X6676" s="6">
        <v>12.25</v>
      </c>
      <c r="Y6676" s="2"/>
      <c r="Z6676" s="2"/>
      <c r="AA6676" s="2"/>
      <c r="AB6676" s="2" t="s">
        <v>47</v>
      </c>
      <c r="AC6676" s="2"/>
    </row>
    <row r="6677" spans="1:29" ht="104" x14ac:dyDescent="0.15">
      <c r="A6677" s="3">
        <f>DATE(2002,9,23)</f>
        <v>37522</v>
      </c>
      <c r="B6677" s="3">
        <f>DATE(2003,2,28)</f>
        <v>37680</v>
      </c>
      <c r="C6677" s="2" t="s">
        <v>95</v>
      </c>
      <c r="D6677" s="2" t="s">
        <v>20307</v>
      </c>
      <c r="E6677" s="2" t="s">
        <v>1181</v>
      </c>
      <c r="F6677" s="4">
        <v>6021</v>
      </c>
      <c r="G6677" s="2" t="s">
        <v>37</v>
      </c>
      <c r="H6677" s="2" t="s">
        <v>34</v>
      </c>
      <c r="I6677" s="2" t="s">
        <v>20308</v>
      </c>
      <c r="J6677" s="2" t="s">
        <v>36</v>
      </c>
      <c r="K6677" s="2" t="s">
        <v>37</v>
      </c>
      <c r="L6677" s="2" t="s">
        <v>34</v>
      </c>
      <c r="M6677" s="7">
        <v>237.28200000000001</v>
      </c>
      <c r="N6677" s="6">
        <v>37.21</v>
      </c>
      <c r="O6677" s="5">
        <v>37.299999999999997</v>
      </c>
      <c r="P6677" s="2" t="s">
        <v>20309</v>
      </c>
      <c r="Q6677" s="6">
        <v>100</v>
      </c>
      <c r="R6677" s="6">
        <v>39.380000000000003</v>
      </c>
      <c r="S6677" s="5">
        <v>2.2999999999999998</v>
      </c>
      <c r="T6677" s="2"/>
      <c r="U6677" s="5">
        <v>23.8</v>
      </c>
      <c r="V6677" s="6">
        <v>2.04</v>
      </c>
      <c r="W6677" s="4">
        <v>24</v>
      </c>
      <c r="X6677" s="6">
        <v>23.76</v>
      </c>
      <c r="Y6677" s="5">
        <v>37.4</v>
      </c>
      <c r="Z6677" s="5">
        <v>37.6</v>
      </c>
      <c r="AA6677" s="6">
        <v>1.56</v>
      </c>
      <c r="AB6677" s="2" t="s">
        <v>86</v>
      </c>
      <c r="AC6677" s="2"/>
    </row>
    <row r="6678" spans="1:29" ht="143" x14ac:dyDescent="0.15">
      <c r="A6678" s="3">
        <f>DATE(2002,9,23)</f>
        <v>37522</v>
      </c>
      <c r="B6678" s="3">
        <f>DATE(2003,3,28)</f>
        <v>37708</v>
      </c>
      <c r="C6678" s="2" t="s">
        <v>95</v>
      </c>
      <c r="D6678" s="2" t="s">
        <v>20310</v>
      </c>
      <c r="E6678" s="2" t="s">
        <v>20311</v>
      </c>
      <c r="F6678" s="2" t="s">
        <v>20312</v>
      </c>
      <c r="G6678" s="2" t="s">
        <v>426</v>
      </c>
      <c r="H6678" s="2" t="s">
        <v>34</v>
      </c>
      <c r="I6678" s="2" t="s">
        <v>20313</v>
      </c>
      <c r="J6678" s="2" t="s">
        <v>150</v>
      </c>
      <c r="K6678" s="2" t="s">
        <v>53</v>
      </c>
      <c r="L6678" s="2" t="s">
        <v>34</v>
      </c>
      <c r="M6678" s="2"/>
      <c r="N6678" s="2"/>
      <c r="O6678" s="2"/>
      <c r="P6678" s="2" t="s">
        <v>20314</v>
      </c>
      <c r="Q6678" s="6">
        <v>77.06</v>
      </c>
      <c r="R6678" s="6">
        <v>33.5</v>
      </c>
      <c r="S6678" s="5">
        <v>123.8</v>
      </c>
      <c r="T6678" s="7">
        <v>459.67899999999997</v>
      </c>
      <c r="U6678" s="5">
        <v>13.3</v>
      </c>
      <c r="V6678" s="6">
        <v>2.19</v>
      </c>
      <c r="W6678" s="6">
        <v>25.24</v>
      </c>
      <c r="X6678" s="6">
        <v>24.49</v>
      </c>
      <c r="Y6678" s="6">
        <v>28.99</v>
      </c>
      <c r="Z6678" s="5">
        <v>29.4</v>
      </c>
      <c r="AA6678" s="6">
        <v>56.04</v>
      </c>
      <c r="AB6678" s="7">
        <v>6.5389999999999997</v>
      </c>
      <c r="AC6678" s="2"/>
    </row>
    <row r="6679" spans="1:29" ht="195" x14ac:dyDescent="0.15">
      <c r="A6679" s="3">
        <f>DATE(2002,9,24)</f>
        <v>37523</v>
      </c>
      <c r="B6679" s="3">
        <f>DATE(2003,4,23)</f>
        <v>37734</v>
      </c>
      <c r="C6679" s="2" t="s">
        <v>95</v>
      </c>
      <c r="D6679" s="2" t="s">
        <v>10695</v>
      </c>
      <c r="E6679" s="2" t="s">
        <v>10696</v>
      </c>
      <c r="F6679" s="4">
        <v>8051</v>
      </c>
      <c r="G6679" s="2" t="s">
        <v>454</v>
      </c>
      <c r="H6679" s="2" t="s">
        <v>34</v>
      </c>
      <c r="I6679" s="2" t="s">
        <v>10838</v>
      </c>
      <c r="J6679" s="2" t="s">
        <v>10648</v>
      </c>
      <c r="K6679" s="2" t="s">
        <v>454</v>
      </c>
      <c r="L6679" s="2" t="s">
        <v>34</v>
      </c>
      <c r="M6679" s="2"/>
      <c r="N6679" s="2"/>
      <c r="O6679" s="2"/>
      <c r="P6679" s="2" t="s">
        <v>20315</v>
      </c>
      <c r="Q6679" s="6">
        <v>57.57</v>
      </c>
      <c r="R6679" s="6">
        <v>3.9</v>
      </c>
      <c r="S6679" s="5">
        <v>-3.3</v>
      </c>
      <c r="T6679" s="7">
        <v>17.849</v>
      </c>
      <c r="U6679" s="5">
        <v>2.6</v>
      </c>
      <c r="V6679" s="6">
        <v>-0.19</v>
      </c>
      <c r="W6679" s="5">
        <v>2.5</v>
      </c>
      <c r="X6679" s="6">
        <v>2.5499999999999998</v>
      </c>
      <c r="Y6679" s="6">
        <v>3.15</v>
      </c>
      <c r="Z6679" s="6">
        <v>3.15</v>
      </c>
      <c r="AA6679" s="6">
        <v>17.46</v>
      </c>
      <c r="AB6679" s="7">
        <v>15.943</v>
      </c>
      <c r="AC6679" s="2"/>
    </row>
    <row r="6680" spans="1:29" ht="65" x14ac:dyDescent="0.15">
      <c r="A6680" s="3">
        <f>DATE(2002,9,25)</f>
        <v>37524</v>
      </c>
      <c r="B6680" s="3">
        <f>DATE(2002,12,13)</f>
        <v>37603</v>
      </c>
      <c r="C6680" s="2" t="s">
        <v>95</v>
      </c>
      <c r="D6680" s="2" t="s">
        <v>15077</v>
      </c>
      <c r="E6680" s="2" t="s">
        <v>265</v>
      </c>
      <c r="F6680" s="4">
        <v>6021</v>
      </c>
      <c r="G6680" s="2" t="s">
        <v>37</v>
      </c>
      <c r="H6680" s="2" t="s">
        <v>34</v>
      </c>
      <c r="I6680" s="2" t="s">
        <v>5994</v>
      </c>
      <c r="J6680" s="2" t="s">
        <v>5995</v>
      </c>
      <c r="K6680" s="2" t="s">
        <v>37</v>
      </c>
      <c r="L6680" s="2" t="s">
        <v>34</v>
      </c>
      <c r="M6680" s="12">
        <v>11294.511</v>
      </c>
      <c r="N6680" s="6">
        <v>24.76</v>
      </c>
      <c r="O6680" s="6">
        <v>25.64</v>
      </c>
      <c r="P6680" s="2" t="s">
        <v>20316</v>
      </c>
      <c r="Q6680" s="6">
        <v>100</v>
      </c>
      <c r="R6680" s="6">
        <v>22.63</v>
      </c>
      <c r="S6680" s="5">
        <v>2.8</v>
      </c>
      <c r="T6680" s="2"/>
      <c r="U6680" s="5">
        <v>12.6</v>
      </c>
      <c r="V6680" s="6">
        <v>1.07</v>
      </c>
      <c r="W6680" s="5">
        <v>12.5</v>
      </c>
      <c r="X6680" s="6">
        <v>13.75</v>
      </c>
      <c r="Y6680" s="6">
        <v>22.36</v>
      </c>
      <c r="Z6680" s="6">
        <v>22.36</v>
      </c>
      <c r="AA6680" s="6">
        <v>2.41</v>
      </c>
      <c r="AB6680" s="2" t="s">
        <v>47</v>
      </c>
      <c r="AC6680" s="2"/>
    </row>
    <row r="6681" spans="1:29" ht="130" x14ac:dyDescent="0.15">
      <c r="A6681" s="3">
        <f>DATE(2002,9,25)</f>
        <v>37524</v>
      </c>
      <c r="B6681" s="2"/>
      <c r="C6681" s="2" t="s">
        <v>7330</v>
      </c>
      <c r="D6681" s="2" t="s">
        <v>20317</v>
      </c>
      <c r="E6681" s="2" t="s">
        <v>20318</v>
      </c>
      <c r="F6681" s="4">
        <v>6022</v>
      </c>
      <c r="G6681" s="2" t="s">
        <v>37</v>
      </c>
      <c r="H6681" s="2" t="s">
        <v>34</v>
      </c>
      <c r="I6681" s="2" t="s">
        <v>14053</v>
      </c>
      <c r="J6681" s="2" t="s">
        <v>159</v>
      </c>
      <c r="K6681" s="2" t="s">
        <v>37</v>
      </c>
      <c r="L6681" s="2" t="s">
        <v>34</v>
      </c>
      <c r="M6681" s="12">
        <v>7067.2129999999997</v>
      </c>
      <c r="N6681" s="6">
        <v>20.87</v>
      </c>
      <c r="O6681" s="6">
        <v>21.66</v>
      </c>
      <c r="P6681" s="2" t="s">
        <v>20319</v>
      </c>
      <c r="Q6681" s="2"/>
      <c r="R6681" s="6">
        <v>16.47</v>
      </c>
      <c r="S6681" s="5">
        <v>5</v>
      </c>
      <c r="T6681" s="7">
        <v>8.0359999999999996</v>
      </c>
      <c r="U6681" s="5">
        <v>5.6</v>
      </c>
      <c r="V6681" s="6">
        <v>0.82</v>
      </c>
      <c r="W6681" s="4">
        <v>15</v>
      </c>
      <c r="X6681" s="4">
        <v>15</v>
      </c>
      <c r="Y6681" s="6">
        <v>16.18</v>
      </c>
      <c r="Z6681" s="6">
        <v>16.489999999999998</v>
      </c>
      <c r="AA6681" s="6">
        <v>4.43</v>
      </c>
      <c r="AB6681" s="7">
        <v>65.122</v>
      </c>
      <c r="AC6681" s="2"/>
    </row>
    <row r="6682" spans="1:29" ht="234" x14ac:dyDescent="0.15">
      <c r="A6682" s="3">
        <f>DATE(2002,9,26)</f>
        <v>37525</v>
      </c>
      <c r="B6682" s="3">
        <f>DATE(2003,7,1)</f>
        <v>37803</v>
      </c>
      <c r="C6682" s="2" t="s">
        <v>95</v>
      </c>
      <c r="D6682" s="2" t="s">
        <v>2740</v>
      </c>
      <c r="E6682" s="2" t="s">
        <v>2741</v>
      </c>
      <c r="F6682" s="4">
        <v>3571</v>
      </c>
      <c r="G6682" s="2" t="s">
        <v>50</v>
      </c>
      <c r="H6682" s="2" t="s">
        <v>34</v>
      </c>
      <c r="I6682" s="2" t="s">
        <v>16645</v>
      </c>
      <c r="J6682" s="2" t="s">
        <v>16646</v>
      </c>
      <c r="K6682" s="2" t="s">
        <v>223</v>
      </c>
      <c r="L6682" s="2" t="s">
        <v>34</v>
      </c>
      <c r="M6682" s="7">
        <v>64.341999999999999</v>
      </c>
      <c r="N6682" s="6">
        <v>1.32</v>
      </c>
      <c r="O6682" s="6">
        <v>1.21</v>
      </c>
      <c r="P6682" s="2" t="s">
        <v>20320</v>
      </c>
      <c r="Q6682" s="6">
        <v>100</v>
      </c>
      <c r="R6682" s="6">
        <v>1.65</v>
      </c>
      <c r="S6682" s="5">
        <v>-49.4</v>
      </c>
      <c r="T6682" s="6">
        <v>-28.06</v>
      </c>
      <c r="U6682" s="5">
        <v>0.1</v>
      </c>
      <c r="V6682" s="6">
        <v>-0.89</v>
      </c>
      <c r="W6682" s="6">
        <v>1.28</v>
      </c>
      <c r="X6682" s="6">
        <v>1.1299999999999999</v>
      </c>
      <c r="Y6682" s="6">
        <v>1.67</v>
      </c>
      <c r="Z6682" s="6">
        <v>1.69</v>
      </c>
      <c r="AA6682" s="6">
        <v>55.93</v>
      </c>
      <c r="AB6682" s="2" t="s">
        <v>86</v>
      </c>
      <c r="AC6682" s="6">
        <v>97.7</v>
      </c>
    </row>
    <row r="6683" spans="1:29" ht="130" x14ac:dyDescent="0.15">
      <c r="A6683" s="3">
        <f>DATE(2002,9,26)</f>
        <v>37525</v>
      </c>
      <c r="B6683" s="3">
        <f>DATE(2003,1,15)</f>
        <v>37636</v>
      </c>
      <c r="C6683" s="2" t="s">
        <v>95</v>
      </c>
      <c r="D6683" s="2" t="s">
        <v>20321</v>
      </c>
      <c r="E6683" s="2" t="s">
        <v>20322</v>
      </c>
      <c r="F6683" s="4">
        <v>6411</v>
      </c>
      <c r="G6683" s="2" t="s">
        <v>125</v>
      </c>
      <c r="H6683" s="2" t="s">
        <v>34</v>
      </c>
      <c r="I6683" s="2" t="s">
        <v>20323</v>
      </c>
      <c r="J6683" s="2" t="s">
        <v>302</v>
      </c>
      <c r="K6683" s="2" t="s">
        <v>53</v>
      </c>
      <c r="L6683" s="2" t="s">
        <v>34</v>
      </c>
      <c r="M6683" s="2"/>
      <c r="N6683" s="2"/>
      <c r="O6683" s="2"/>
      <c r="P6683" s="2" t="s">
        <v>20324</v>
      </c>
      <c r="Q6683" s="6">
        <v>67.42</v>
      </c>
      <c r="R6683" s="6">
        <v>6</v>
      </c>
      <c r="S6683" s="5">
        <v>-0.7</v>
      </c>
      <c r="T6683" s="7">
        <v>0.21299999999999999</v>
      </c>
      <c r="U6683" s="5">
        <v>5.2</v>
      </c>
      <c r="V6683" s="6">
        <v>-0.15</v>
      </c>
      <c r="W6683" s="6">
        <v>5.55</v>
      </c>
      <c r="X6683" s="6">
        <v>5.47</v>
      </c>
      <c r="Y6683" s="5">
        <v>5.5</v>
      </c>
      <c r="Z6683" s="6">
        <v>5.74</v>
      </c>
      <c r="AA6683" s="6">
        <v>3.95</v>
      </c>
      <c r="AB6683" s="2" t="s">
        <v>86</v>
      </c>
      <c r="AC6683" s="2"/>
    </row>
    <row r="6684" spans="1:29" ht="91" x14ac:dyDescent="0.15">
      <c r="A6684" s="3">
        <f>DATE(2002,9,27)</f>
        <v>37526</v>
      </c>
      <c r="B6684" s="3">
        <f>DATE(2003,1,17)</f>
        <v>37638</v>
      </c>
      <c r="C6684" s="2" t="s">
        <v>95</v>
      </c>
      <c r="D6684" s="2" t="s">
        <v>20325</v>
      </c>
      <c r="E6684" s="2" t="s">
        <v>20326</v>
      </c>
      <c r="F6684" s="4">
        <v>6035</v>
      </c>
      <c r="G6684" s="2" t="s">
        <v>33</v>
      </c>
      <c r="H6684" s="2" t="s">
        <v>34</v>
      </c>
      <c r="I6684" s="2" t="s">
        <v>295</v>
      </c>
      <c r="J6684" s="2" t="s">
        <v>296</v>
      </c>
      <c r="K6684" s="2" t="s">
        <v>37</v>
      </c>
      <c r="L6684" s="2" t="s">
        <v>34</v>
      </c>
      <c r="M6684" s="2"/>
      <c r="N6684" s="2"/>
      <c r="O6684" s="2"/>
      <c r="P6684" s="2" t="s">
        <v>20327</v>
      </c>
      <c r="Q6684" s="6">
        <v>100</v>
      </c>
      <c r="R6684" s="6">
        <v>46.5</v>
      </c>
      <c r="S6684" s="5">
        <v>19.2</v>
      </c>
      <c r="T6684" s="2"/>
      <c r="U6684" s="5">
        <v>15.5</v>
      </c>
      <c r="V6684" s="6">
        <v>1.9</v>
      </c>
      <c r="W6684" s="4">
        <v>28</v>
      </c>
      <c r="X6684" s="6">
        <v>28.05</v>
      </c>
      <c r="Y6684" s="6">
        <v>28.12</v>
      </c>
      <c r="Z6684" s="4">
        <v>46</v>
      </c>
      <c r="AA6684" s="6">
        <v>9.73</v>
      </c>
      <c r="AB6684" s="7">
        <v>19.056999999999999</v>
      </c>
      <c r="AC6684" s="2"/>
    </row>
    <row r="6685" spans="1:29" ht="117" x14ac:dyDescent="0.15">
      <c r="A6685" s="3">
        <f>DATE(2002,9,27)</f>
        <v>37526</v>
      </c>
      <c r="B6685" s="3">
        <f>DATE(2003,3,14)</f>
        <v>37694</v>
      </c>
      <c r="C6685" s="2" t="s">
        <v>95</v>
      </c>
      <c r="D6685" s="2" t="s">
        <v>20328</v>
      </c>
      <c r="E6685" s="2" t="s">
        <v>36</v>
      </c>
      <c r="F6685" s="4">
        <v>6035</v>
      </c>
      <c r="G6685" s="2" t="s">
        <v>33</v>
      </c>
      <c r="H6685" s="2" t="s">
        <v>34</v>
      </c>
      <c r="I6685" s="2" t="s">
        <v>13707</v>
      </c>
      <c r="J6685" s="2" t="s">
        <v>36</v>
      </c>
      <c r="K6685" s="2" t="s">
        <v>37</v>
      </c>
      <c r="L6685" s="2" t="s">
        <v>34</v>
      </c>
      <c r="M6685" s="12">
        <v>18121.005000000001</v>
      </c>
      <c r="N6685" s="6">
        <v>35.22</v>
      </c>
      <c r="O6685" s="6">
        <v>35.04</v>
      </c>
      <c r="P6685" s="2" t="s">
        <v>20329</v>
      </c>
      <c r="Q6685" s="6">
        <v>100</v>
      </c>
      <c r="R6685" s="6">
        <v>36.18</v>
      </c>
      <c r="S6685" s="5">
        <v>3.5</v>
      </c>
      <c r="T6685" s="2"/>
      <c r="U6685" s="5">
        <v>22.7</v>
      </c>
      <c r="V6685" s="6">
        <v>2.44</v>
      </c>
      <c r="W6685" s="5">
        <v>26.7</v>
      </c>
      <c r="X6685" s="7">
        <v>26.931000000000001</v>
      </c>
      <c r="Y6685" s="6">
        <v>34.47</v>
      </c>
      <c r="Z6685" s="5">
        <v>34.200000000000003</v>
      </c>
      <c r="AA6685" s="6">
        <v>1.32</v>
      </c>
      <c r="AB6685" s="7">
        <v>32.027000000000001</v>
      </c>
      <c r="AC6685" s="2"/>
    </row>
    <row r="6686" spans="1:29" ht="91" x14ac:dyDescent="0.15">
      <c r="A6686" s="3">
        <f>DATE(2002,9,30)</f>
        <v>37529</v>
      </c>
      <c r="B6686" s="3">
        <f>DATE(2003,1,31)</f>
        <v>37652</v>
      </c>
      <c r="C6686" s="2" t="s">
        <v>95</v>
      </c>
      <c r="D6686" s="2" t="s">
        <v>20330</v>
      </c>
      <c r="E6686" s="2" t="s">
        <v>20331</v>
      </c>
      <c r="F6686" s="4">
        <v>3841</v>
      </c>
      <c r="G6686" s="2" t="s">
        <v>226</v>
      </c>
      <c r="H6686" s="2" t="s">
        <v>34</v>
      </c>
      <c r="I6686" s="2" t="s">
        <v>20332</v>
      </c>
      <c r="J6686" s="2" t="s">
        <v>540</v>
      </c>
      <c r="K6686" s="2" t="s">
        <v>130</v>
      </c>
      <c r="L6686" s="2" t="s">
        <v>902</v>
      </c>
      <c r="M6686" s="2"/>
      <c r="N6686" s="2"/>
      <c r="O6686" s="2"/>
      <c r="P6686" s="2" t="s">
        <v>20333</v>
      </c>
      <c r="Q6686" s="6">
        <v>100</v>
      </c>
      <c r="R6686" s="6">
        <v>4.05</v>
      </c>
      <c r="S6686" s="5">
        <v>-7.8</v>
      </c>
      <c r="T6686" s="7">
        <v>-28.966000000000001</v>
      </c>
      <c r="U6686" s="5">
        <v>1.2</v>
      </c>
      <c r="V6686" s="6">
        <v>-0.81</v>
      </c>
      <c r="W6686" s="6">
        <v>2.0499999999999998</v>
      </c>
      <c r="X6686" s="6">
        <v>2.25</v>
      </c>
      <c r="Y6686" s="6">
        <v>3.68</v>
      </c>
      <c r="Z6686" s="6">
        <v>3.74</v>
      </c>
      <c r="AA6686" s="6">
        <v>9.48</v>
      </c>
      <c r="AB6686" s="2" t="s">
        <v>86</v>
      </c>
      <c r="AC6686" s="6">
        <v>86.38</v>
      </c>
    </row>
    <row r="6687" spans="1:29" ht="78" x14ac:dyDescent="0.15">
      <c r="A6687" s="3">
        <f>DATE(2002,9,30)</f>
        <v>37529</v>
      </c>
      <c r="B6687" s="2"/>
      <c r="C6687" s="2" t="s">
        <v>30</v>
      </c>
      <c r="D6687" s="2" t="s">
        <v>20334</v>
      </c>
      <c r="E6687" s="2" t="s">
        <v>3102</v>
      </c>
      <c r="F6687" s="4">
        <v>5651</v>
      </c>
      <c r="G6687" s="2" t="s">
        <v>756</v>
      </c>
      <c r="H6687" s="2" t="s">
        <v>34</v>
      </c>
      <c r="I6687" s="2" t="s">
        <v>51</v>
      </c>
      <c r="J6687" s="2" t="s">
        <v>52</v>
      </c>
      <c r="K6687" s="2" t="s">
        <v>53</v>
      </c>
      <c r="L6687" s="2" t="s">
        <v>34</v>
      </c>
      <c r="M6687" s="2"/>
      <c r="N6687" s="2"/>
      <c r="O6687" s="2"/>
      <c r="P6687" s="2" t="s">
        <v>20335</v>
      </c>
      <c r="Q6687" s="2"/>
      <c r="R6687" s="6">
        <v>7.5</v>
      </c>
      <c r="S6687" s="5">
        <v>-0.6</v>
      </c>
      <c r="T6687" s="7">
        <v>23.408000000000001</v>
      </c>
      <c r="U6687" s="5">
        <v>6.5</v>
      </c>
      <c r="V6687" s="6">
        <v>-0.02</v>
      </c>
      <c r="W6687" s="6">
        <v>5.0599999999999996</v>
      </c>
      <c r="X6687" s="6">
        <v>4.93</v>
      </c>
      <c r="Y6687" s="6">
        <v>4.72</v>
      </c>
      <c r="Z6687" s="5">
        <v>5.5</v>
      </c>
      <c r="AA6687" s="6">
        <v>32.56</v>
      </c>
      <c r="AB6687" s="7">
        <v>17622.849999999999</v>
      </c>
      <c r="AC6687" s="2"/>
    </row>
    <row r="6688" spans="1:29" ht="117" x14ac:dyDescent="0.15">
      <c r="A6688" s="3">
        <f>DATE(2002,9,30)</f>
        <v>37529</v>
      </c>
      <c r="B6688" s="3">
        <f>DATE(2002,12,6)</f>
        <v>37596</v>
      </c>
      <c r="C6688" s="2" t="s">
        <v>95</v>
      </c>
      <c r="D6688" s="2" t="s">
        <v>20336</v>
      </c>
      <c r="E6688" s="2" t="s">
        <v>612</v>
      </c>
      <c r="F6688" s="4">
        <v>1311</v>
      </c>
      <c r="G6688" s="2" t="s">
        <v>148</v>
      </c>
      <c r="H6688" s="2" t="s">
        <v>34</v>
      </c>
      <c r="I6688" s="2" t="s">
        <v>16693</v>
      </c>
      <c r="J6688" s="2" t="s">
        <v>1608</v>
      </c>
      <c r="K6688" s="2" t="s">
        <v>148</v>
      </c>
      <c r="L6688" s="2" t="s">
        <v>34</v>
      </c>
      <c r="M6688" s="12">
        <v>11093.684999999999</v>
      </c>
      <c r="N6688" s="6">
        <v>44.54</v>
      </c>
      <c r="O6688" s="6">
        <v>45.68</v>
      </c>
      <c r="P6688" s="2" t="s">
        <v>20337</v>
      </c>
      <c r="Q6688" s="6">
        <v>100</v>
      </c>
      <c r="R6688" s="6">
        <v>20.75</v>
      </c>
      <c r="S6688" s="5">
        <v>14.8</v>
      </c>
      <c r="T6688" s="7">
        <v>36.723999999999997</v>
      </c>
      <c r="U6688" s="5">
        <v>8.8000000000000007</v>
      </c>
      <c r="V6688" s="6">
        <v>1.45</v>
      </c>
      <c r="W6688" s="6">
        <v>13.46</v>
      </c>
      <c r="X6688" s="6">
        <v>13.55</v>
      </c>
      <c r="Y6688" s="6">
        <v>20.53</v>
      </c>
      <c r="Z6688" s="6">
        <v>20.53</v>
      </c>
      <c r="AA6688" s="6">
        <v>6.72</v>
      </c>
      <c r="AB6688" s="7">
        <v>10.715</v>
      </c>
      <c r="AC6688" s="5">
        <v>31</v>
      </c>
    </row>
    <row r="6689" spans="1:29" ht="156" x14ac:dyDescent="0.15">
      <c r="A6689" s="3">
        <f>DATE(2002,10,1)</f>
        <v>37530</v>
      </c>
      <c r="B6689" s="3">
        <f>DATE(2003,2,7)</f>
        <v>37659</v>
      </c>
      <c r="C6689" s="2" t="s">
        <v>95</v>
      </c>
      <c r="D6689" s="2" t="s">
        <v>20338</v>
      </c>
      <c r="E6689" s="2" t="s">
        <v>20339</v>
      </c>
      <c r="F6689" s="4">
        <v>3411</v>
      </c>
      <c r="G6689" s="2" t="s">
        <v>163</v>
      </c>
      <c r="H6689" s="2" t="s">
        <v>34</v>
      </c>
      <c r="I6689" s="2" t="s">
        <v>14482</v>
      </c>
      <c r="J6689" s="2" t="s">
        <v>244</v>
      </c>
      <c r="K6689" s="2" t="s">
        <v>53</v>
      </c>
      <c r="L6689" s="2" t="s">
        <v>34</v>
      </c>
      <c r="M6689" s="2"/>
      <c r="N6689" s="2"/>
      <c r="O6689" s="2"/>
      <c r="P6689" s="2" t="s">
        <v>20340</v>
      </c>
      <c r="Q6689" s="6">
        <v>100</v>
      </c>
      <c r="R6689" s="6">
        <v>20</v>
      </c>
      <c r="S6689" s="5">
        <v>12.3</v>
      </c>
      <c r="T6689" s="7">
        <v>56.634</v>
      </c>
      <c r="U6689" s="5">
        <v>8.3000000000000007</v>
      </c>
      <c r="V6689" s="6">
        <v>1.33</v>
      </c>
      <c r="W6689" s="5">
        <v>13.8</v>
      </c>
      <c r="X6689" s="5">
        <v>13.9</v>
      </c>
      <c r="Y6689" s="6">
        <v>19.27</v>
      </c>
      <c r="Z6689" s="6">
        <v>19.329999999999998</v>
      </c>
      <c r="AA6689" s="6">
        <v>8.7100000000000009</v>
      </c>
      <c r="AB6689" s="7">
        <v>7.1929999999999996</v>
      </c>
      <c r="AC6689" s="2"/>
    </row>
    <row r="6690" spans="1:29" ht="182" x14ac:dyDescent="0.15">
      <c r="A6690" s="3">
        <f>DATE(2002,10,3)</f>
        <v>37532</v>
      </c>
      <c r="B6690" s="2"/>
      <c r="C6690" s="2" t="s">
        <v>30</v>
      </c>
      <c r="D6690" s="2" t="s">
        <v>20341</v>
      </c>
      <c r="E6690" s="2" t="s">
        <v>36</v>
      </c>
      <c r="F6690" s="4">
        <v>6035</v>
      </c>
      <c r="G6690" s="2" t="s">
        <v>33</v>
      </c>
      <c r="H6690" s="2" t="s">
        <v>34</v>
      </c>
      <c r="I6690" s="2" t="s">
        <v>13707</v>
      </c>
      <c r="J6690" s="2" t="s">
        <v>36</v>
      </c>
      <c r="K6690" s="2" t="s">
        <v>37</v>
      </c>
      <c r="L6690" s="2" t="s">
        <v>34</v>
      </c>
      <c r="M6690" s="12">
        <v>17982.895</v>
      </c>
      <c r="N6690" s="6">
        <v>33.19</v>
      </c>
      <c r="O6690" s="6">
        <v>32.69</v>
      </c>
      <c r="P6690" s="2" t="s">
        <v>20342</v>
      </c>
      <c r="Q6690" s="2"/>
      <c r="R6690" s="6">
        <v>25</v>
      </c>
      <c r="S6690" s="5">
        <v>5.6</v>
      </c>
      <c r="T6690" s="6">
        <v>8.26</v>
      </c>
      <c r="U6690" s="5">
        <v>18.399999999999999</v>
      </c>
      <c r="V6690" s="6">
        <v>1.05</v>
      </c>
      <c r="W6690" s="6">
        <v>18.14</v>
      </c>
      <c r="X6690" s="6">
        <v>17.46</v>
      </c>
      <c r="Y6690" s="6">
        <v>23.14</v>
      </c>
      <c r="Z6690" s="6">
        <v>22.97</v>
      </c>
      <c r="AA6690" s="6">
        <v>5.37</v>
      </c>
      <c r="AB6690" s="7">
        <v>41.811999999999998</v>
      </c>
      <c r="AC6690" s="2"/>
    </row>
    <row r="6691" spans="1:29" ht="130" x14ac:dyDescent="0.15">
      <c r="A6691" s="3">
        <f>DATE(2002,10,4)</f>
        <v>37533</v>
      </c>
      <c r="B6691" s="3">
        <f>DATE(2003,3,13)</f>
        <v>37693</v>
      </c>
      <c r="C6691" s="2" t="s">
        <v>95</v>
      </c>
      <c r="D6691" s="2" t="s">
        <v>20343</v>
      </c>
      <c r="E6691" s="2" t="s">
        <v>92</v>
      </c>
      <c r="F6691" s="4">
        <v>6798</v>
      </c>
      <c r="G6691" s="2" t="s">
        <v>53</v>
      </c>
      <c r="H6691" s="2" t="s">
        <v>34</v>
      </c>
      <c r="I6691" s="2" t="s">
        <v>17985</v>
      </c>
      <c r="J6691" s="2" t="s">
        <v>6321</v>
      </c>
      <c r="K6691" s="2" t="s">
        <v>53</v>
      </c>
      <c r="L6691" s="2" t="s">
        <v>34</v>
      </c>
      <c r="M6691" s="12">
        <v>1967.046</v>
      </c>
      <c r="N6691" s="6">
        <v>21.13</v>
      </c>
      <c r="O6691" s="6">
        <v>20.95</v>
      </c>
      <c r="P6691" s="2" t="s">
        <v>20344</v>
      </c>
      <c r="Q6691" s="6">
        <v>100</v>
      </c>
      <c r="R6691" s="6">
        <v>11.11</v>
      </c>
      <c r="S6691" s="5">
        <v>22.7</v>
      </c>
      <c r="T6691" s="7">
        <v>51.264000000000003</v>
      </c>
      <c r="U6691" s="5">
        <v>11.6</v>
      </c>
      <c r="V6691" s="6">
        <v>0.53</v>
      </c>
      <c r="W6691" s="6">
        <v>12.05</v>
      </c>
      <c r="X6691" s="6">
        <v>12.13</v>
      </c>
      <c r="Y6691" s="6">
        <v>11.84</v>
      </c>
      <c r="Z6691" s="6">
        <v>10.73</v>
      </c>
      <c r="AA6691" s="6">
        <v>34.799999999999997</v>
      </c>
      <c r="AB6691" s="7">
        <v>51.551000000000002</v>
      </c>
      <c r="AC6691" s="6">
        <v>9.23</v>
      </c>
    </row>
    <row r="6692" spans="1:29" ht="169" x14ac:dyDescent="0.15">
      <c r="A6692" s="3">
        <f>DATE(2002,10,7)</f>
        <v>37536</v>
      </c>
      <c r="B6692" s="3">
        <f>DATE(2003,4,7)</f>
        <v>37718</v>
      </c>
      <c r="C6692" s="2" t="s">
        <v>95</v>
      </c>
      <c r="D6692" s="2" t="s">
        <v>20345</v>
      </c>
      <c r="E6692" s="2" t="s">
        <v>1181</v>
      </c>
      <c r="F6692" s="4">
        <v>6021</v>
      </c>
      <c r="G6692" s="2" t="s">
        <v>37</v>
      </c>
      <c r="H6692" s="2" t="s">
        <v>34</v>
      </c>
      <c r="I6692" s="2" t="s">
        <v>20346</v>
      </c>
      <c r="J6692" s="2" t="s">
        <v>36</v>
      </c>
      <c r="K6692" s="2" t="s">
        <v>37</v>
      </c>
      <c r="L6692" s="2" t="s">
        <v>34</v>
      </c>
      <c r="M6692" s="7">
        <v>175.85300000000001</v>
      </c>
      <c r="N6692" s="6">
        <v>24.11</v>
      </c>
      <c r="O6692" s="6">
        <v>23.74</v>
      </c>
      <c r="P6692" s="2" t="s">
        <v>20347</v>
      </c>
      <c r="Q6692" s="6">
        <v>100</v>
      </c>
      <c r="R6692" s="2"/>
      <c r="S6692" s="5">
        <v>1.8</v>
      </c>
      <c r="T6692" s="7">
        <v>3.226</v>
      </c>
      <c r="U6692" s="5">
        <v>10.1</v>
      </c>
      <c r="V6692" s="6">
        <v>1.41</v>
      </c>
      <c r="W6692" s="5">
        <v>22.5</v>
      </c>
      <c r="X6692" s="6">
        <v>22.55</v>
      </c>
      <c r="Y6692" s="6">
        <v>23.35</v>
      </c>
      <c r="Z6692" s="6">
        <v>23.25</v>
      </c>
      <c r="AA6692" s="6">
        <v>1.22</v>
      </c>
      <c r="AB6692" s="7">
        <v>44.167000000000002</v>
      </c>
      <c r="AC6692" s="2"/>
    </row>
    <row r="6693" spans="1:29" ht="39" x14ac:dyDescent="0.15">
      <c r="A6693" s="3">
        <f>DATE(2002,10,10)</f>
        <v>37539</v>
      </c>
      <c r="B6693" s="2"/>
      <c r="C6693" s="2" t="s">
        <v>7330</v>
      </c>
      <c r="D6693" s="2" t="s">
        <v>15250</v>
      </c>
      <c r="E6693" s="2" t="s">
        <v>15251</v>
      </c>
      <c r="F6693" s="4">
        <v>3714</v>
      </c>
      <c r="G6693" s="2" t="s">
        <v>105</v>
      </c>
      <c r="H6693" s="2" t="s">
        <v>34</v>
      </c>
      <c r="I6693" s="2" t="s">
        <v>20348</v>
      </c>
      <c r="J6693" s="2" t="s">
        <v>20349</v>
      </c>
      <c r="K6693" s="2" t="s">
        <v>137</v>
      </c>
      <c r="L6693" s="2" t="s">
        <v>5907</v>
      </c>
      <c r="M6693" s="2"/>
      <c r="N6693" s="2"/>
      <c r="O6693" s="2"/>
      <c r="P6693" s="2" t="s">
        <v>20350</v>
      </c>
      <c r="Q6693" s="2"/>
      <c r="R6693" s="2"/>
      <c r="S6693" s="5">
        <v>-28.1</v>
      </c>
      <c r="T6693" s="2"/>
      <c r="U6693" s="5">
        <v>13.8</v>
      </c>
      <c r="V6693" s="6">
        <v>-5.36</v>
      </c>
      <c r="W6693" s="5">
        <v>2.7</v>
      </c>
      <c r="X6693" s="5">
        <v>2.6</v>
      </c>
      <c r="Y6693" s="6">
        <v>2.5099999999999998</v>
      </c>
      <c r="Z6693" s="6">
        <v>2.58</v>
      </c>
      <c r="AA6693" s="6">
        <v>14.14</v>
      </c>
      <c r="AB6693" s="2" t="s">
        <v>86</v>
      </c>
      <c r="AC6693" s="2"/>
    </row>
    <row r="6694" spans="1:29" ht="143" x14ac:dyDescent="0.15">
      <c r="A6694" s="3">
        <f>DATE(2002,10,11)</f>
        <v>37540</v>
      </c>
      <c r="B6694" s="3">
        <f>DATE(2003,2,28)</f>
        <v>37680</v>
      </c>
      <c r="C6694" s="2" t="s">
        <v>95</v>
      </c>
      <c r="D6694" s="2" t="s">
        <v>20351</v>
      </c>
      <c r="E6694" s="2" t="s">
        <v>172</v>
      </c>
      <c r="F6694" s="4">
        <v>4212</v>
      </c>
      <c r="G6694" s="2" t="s">
        <v>173</v>
      </c>
      <c r="H6694" s="2" t="s">
        <v>34</v>
      </c>
      <c r="I6694" s="2" t="s">
        <v>51</v>
      </c>
      <c r="J6694" s="2" t="s">
        <v>52</v>
      </c>
      <c r="K6694" s="2" t="s">
        <v>53</v>
      </c>
      <c r="L6694" s="2" t="s">
        <v>34</v>
      </c>
      <c r="M6694" s="2"/>
      <c r="N6694" s="2"/>
      <c r="O6694" s="2"/>
      <c r="P6694" s="2" t="s">
        <v>20352</v>
      </c>
      <c r="Q6694" s="6">
        <v>31.99</v>
      </c>
      <c r="R6694" s="6">
        <v>13</v>
      </c>
      <c r="S6694" s="5">
        <v>5.5</v>
      </c>
      <c r="T6694" s="7">
        <v>17.782</v>
      </c>
      <c r="U6694" s="5">
        <v>5.3</v>
      </c>
      <c r="V6694" s="6">
        <v>0.73</v>
      </c>
      <c r="W6694" s="7">
        <v>9.9139999999999997</v>
      </c>
      <c r="X6694" s="5">
        <v>10.4</v>
      </c>
      <c r="Y6694" s="6">
        <v>12.31</v>
      </c>
      <c r="Z6694" s="5">
        <v>12.4</v>
      </c>
      <c r="AA6694" s="6">
        <v>4.9400000000000004</v>
      </c>
      <c r="AB6694" s="7">
        <v>11.92</v>
      </c>
      <c r="AC6694" s="2"/>
    </row>
    <row r="6695" spans="1:29" ht="182" x14ac:dyDescent="0.15">
      <c r="A6695" s="3">
        <f>DATE(2002,10,11)</f>
        <v>37540</v>
      </c>
      <c r="B6695" s="3">
        <f>DATE(2003,9,25)</f>
        <v>37889</v>
      </c>
      <c r="C6695" s="2" t="s">
        <v>95</v>
      </c>
      <c r="D6695" s="2" t="s">
        <v>13464</v>
      </c>
      <c r="E6695" s="2" t="s">
        <v>13465</v>
      </c>
      <c r="F6695" s="4">
        <v>8731</v>
      </c>
      <c r="G6695" s="2" t="s">
        <v>223</v>
      </c>
      <c r="H6695" s="2" t="s">
        <v>34</v>
      </c>
      <c r="I6695" s="2" t="s">
        <v>20353</v>
      </c>
      <c r="J6695" s="2" t="s">
        <v>20354</v>
      </c>
      <c r="K6695" s="2" t="s">
        <v>223</v>
      </c>
      <c r="L6695" s="2" t="s">
        <v>34</v>
      </c>
      <c r="M6695" s="2"/>
      <c r="N6695" s="2"/>
      <c r="O6695" s="2"/>
      <c r="P6695" s="2" t="s">
        <v>20355</v>
      </c>
      <c r="Q6695" s="6">
        <v>100</v>
      </c>
      <c r="R6695" s="6">
        <v>14.5</v>
      </c>
      <c r="S6695" s="5">
        <v>89.6</v>
      </c>
      <c r="T6695" s="7">
        <v>212.50899999999999</v>
      </c>
      <c r="U6695" s="5">
        <v>13.7</v>
      </c>
      <c r="V6695" s="6">
        <v>0.75</v>
      </c>
      <c r="W6695" s="6">
        <v>8.08</v>
      </c>
      <c r="X6695" s="6">
        <v>7.92</v>
      </c>
      <c r="Y6695" s="6">
        <v>8.31</v>
      </c>
      <c r="Z6695" s="6">
        <v>9.9600000000000009</v>
      </c>
      <c r="AA6695" s="6">
        <v>117.59</v>
      </c>
      <c r="AB6695" s="7">
        <v>8.5399999999999991</v>
      </c>
      <c r="AC6695" s="2"/>
    </row>
    <row r="6696" spans="1:29" ht="117" x14ac:dyDescent="0.15">
      <c r="A6696" s="3">
        <f>DATE(2002,10,21)</f>
        <v>37550</v>
      </c>
      <c r="B6696" s="3">
        <f>DATE(2002,12,19)</f>
        <v>37609</v>
      </c>
      <c r="C6696" s="2" t="s">
        <v>95</v>
      </c>
      <c r="D6696" s="2" t="s">
        <v>18879</v>
      </c>
      <c r="E6696" s="2" t="s">
        <v>18880</v>
      </c>
      <c r="F6696" s="4">
        <v>7372</v>
      </c>
      <c r="G6696" s="2" t="s">
        <v>551</v>
      </c>
      <c r="H6696" s="2" t="s">
        <v>34</v>
      </c>
      <c r="I6696" s="2" t="s">
        <v>20356</v>
      </c>
      <c r="J6696" s="2" t="s">
        <v>9115</v>
      </c>
      <c r="K6696" s="2" t="s">
        <v>551</v>
      </c>
      <c r="L6696" s="2" t="s">
        <v>34</v>
      </c>
      <c r="M6696" s="6">
        <v>426.25</v>
      </c>
      <c r="N6696" s="6">
        <v>12.15</v>
      </c>
      <c r="O6696" s="6">
        <v>11.96</v>
      </c>
      <c r="P6696" s="2" t="s">
        <v>20357</v>
      </c>
      <c r="Q6696" s="6">
        <v>100</v>
      </c>
      <c r="R6696" s="6">
        <v>3.19</v>
      </c>
      <c r="S6696" s="5">
        <v>-78.900000000000006</v>
      </c>
      <c r="T6696" s="7">
        <v>-14.592000000000001</v>
      </c>
      <c r="U6696" s="5">
        <v>1.6</v>
      </c>
      <c r="V6696" s="6">
        <v>-13.99</v>
      </c>
      <c r="W6696" s="6">
        <v>1.29</v>
      </c>
      <c r="X6696" s="6">
        <v>2.41</v>
      </c>
      <c r="Y6696" s="6">
        <v>3.11</v>
      </c>
      <c r="Z6696" s="6">
        <v>3.11</v>
      </c>
      <c r="AA6696" s="6">
        <v>7.41</v>
      </c>
      <c r="AB6696" s="2" t="s">
        <v>86</v>
      </c>
      <c r="AC6696" s="6">
        <v>196.74</v>
      </c>
    </row>
    <row r="6697" spans="1:29" ht="104" x14ac:dyDescent="0.15">
      <c r="A6697" s="3">
        <f>DATE(2002,10,21)</f>
        <v>37550</v>
      </c>
      <c r="B6697" s="2"/>
      <c r="C6697" s="2" t="s">
        <v>7330</v>
      </c>
      <c r="D6697" s="2" t="s">
        <v>20358</v>
      </c>
      <c r="E6697" s="2" t="s">
        <v>36</v>
      </c>
      <c r="F6697" s="4">
        <v>6021</v>
      </c>
      <c r="G6697" s="2" t="s">
        <v>37</v>
      </c>
      <c r="H6697" s="2" t="s">
        <v>34</v>
      </c>
      <c r="I6697" s="2" t="s">
        <v>20359</v>
      </c>
      <c r="J6697" s="2" t="s">
        <v>159</v>
      </c>
      <c r="K6697" s="2" t="s">
        <v>37</v>
      </c>
      <c r="L6697" s="2" t="s">
        <v>34</v>
      </c>
      <c r="M6697" s="7">
        <v>103.396</v>
      </c>
      <c r="N6697" s="6">
        <v>14.61</v>
      </c>
      <c r="O6697" s="6">
        <v>14.62</v>
      </c>
      <c r="P6697" s="2" t="s">
        <v>20360</v>
      </c>
      <c r="Q6697" s="2"/>
      <c r="R6697" s="6">
        <v>34</v>
      </c>
      <c r="S6697" s="5">
        <v>2.5</v>
      </c>
      <c r="T6697" s="2"/>
      <c r="U6697" s="5">
        <v>3.9</v>
      </c>
      <c r="V6697" s="9">
        <v>0.42670000000000002</v>
      </c>
      <c r="W6697" s="6">
        <v>22.15</v>
      </c>
      <c r="X6697" s="5">
        <v>22.7</v>
      </c>
      <c r="Y6697" s="5">
        <v>22.5</v>
      </c>
      <c r="Z6697" s="5">
        <v>26.5</v>
      </c>
      <c r="AA6697" s="6">
        <v>1.4</v>
      </c>
      <c r="AB6697" s="7">
        <v>53.686999999999998</v>
      </c>
      <c r="AC6697" s="2"/>
    </row>
    <row r="6698" spans="1:29" ht="78" x14ac:dyDescent="0.15">
      <c r="A6698" s="3">
        <f>DATE(2002,10,21)</f>
        <v>37550</v>
      </c>
      <c r="B6698" s="2"/>
      <c r="C6698" s="2" t="s">
        <v>87</v>
      </c>
      <c r="D6698" s="2" t="s">
        <v>20361</v>
      </c>
      <c r="E6698" s="2" t="s">
        <v>1085</v>
      </c>
      <c r="F6698" s="4">
        <v>6021</v>
      </c>
      <c r="G6698" s="2" t="s">
        <v>37</v>
      </c>
      <c r="H6698" s="2" t="s">
        <v>34</v>
      </c>
      <c r="I6698" s="2" t="s">
        <v>20362</v>
      </c>
      <c r="J6698" s="2" t="s">
        <v>263</v>
      </c>
      <c r="K6698" s="2" t="s">
        <v>37</v>
      </c>
      <c r="L6698" s="2" t="s">
        <v>34</v>
      </c>
      <c r="M6698" s="12">
        <v>43224.436999999998</v>
      </c>
      <c r="N6698" s="6">
        <v>39.08</v>
      </c>
      <c r="O6698" s="6">
        <v>38.97</v>
      </c>
      <c r="P6698" s="2" t="s">
        <v>20363</v>
      </c>
      <c r="Q6698" s="2"/>
      <c r="R6698" s="2"/>
      <c r="S6698" s="8">
        <v>1718</v>
      </c>
      <c r="T6698" s="8">
        <v>6892</v>
      </c>
      <c r="U6698" s="5">
        <v>21.3</v>
      </c>
      <c r="V6698" s="6">
        <v>0.83</v>
      </c>
      <c r="W6698" s="6">
        <v>16.88</v>
      </c>
      <c r="X6698" s="6">
        <v>18.97</v>
      </c>
      <c r="Y6698" s="6">
        <v>20.27</v>
      </c>
      <c r="Z6698" s="6">
        <v>19.91</v>
      </c>
      <c r="AA6698" s="10">
        <v>1993.78</v>
      </c>
      <c r="AB6698" s="2" t="s">
        <v>47</v>
      </c>
      <c r="AC6698" s="2"/>
    </row>
    <row r="6699" spans="1:29" ht="78" x14ac:dyDescent="0.15">
      <c r="A6699" s="3">
        <f>DATE(2002,10,21)</f>
        <v>37550</v>
      </c>
      <c r="B6699" s="3">
        <f>DATE(2003,1,8)</f>
        <v>37629</v>
      </c>
      <c r="C6699" s="2" t="s">
        <v>95</v>
      </c>
      <c r="D6699" s="2" t="s">
        <v>20364</v>
      </c>
      <c r="E6699" s="2" t="s">
        <v>7651</v>
      </c>
      <c r="F6699" s="4">
        <v>3845</v>
      </c>
      <c r="G6699" s="2" t="s">
        <v>226</v>
      </c>
      <c r="H6699" s="2" t="s">
        <v>34</v>
      </c>
      <c r="I6699" s="2" t="s">
        <v>15843</v>
      </c>
      <c r="J6699" s="2" t="s">
        <v>7462</v>
      </c>
      <c r="K6699" s="2" t="s">
        <v>130</v>
      </c>
      <c r="L6699" s="2" t="s">
        <v>34</v>
      </c>
      <c r="M6699" s="12">
        <v>3962.665</v>
      </c>
      <c r="N6699" s="5">
        <v>18.600000000000001</v>
      </c>
      <c r="O6699" s="5">
        <v>18.5</v>
      </c>
      <c r="P6699" s="2" t="s">
        <v>20365</v>
      </c>
      <c r="Q6699" s="6">
        <v>100</v>
      </c>
      <c r="R6699" s="6">
        <v>44.5</v>
      </c>
      <c r="S6699" s="5">
        <v>9.9</v>
      </c>
      <c r="T6699" s="7">
        <v>22.754999999999999</v>
      </c>
      <c r="U6699" s="5">
        <v>9.8000000000000007</v>
      </c>
      <c r="V6699" s="6">
        <v>2.15</v>
      </c>
      <c r="W6699" s="6">
        <v>36.770000000000003</v>
      </c>
      <c r="X6699" s="6">
        <v>38.15</v>
      </c>
      <c r="Y6699" s="6">
        <v>44.04</v>
      </c>
      <c r="Z6699" s="6">
        <v>44.09</v>
      </c>
      <c r="AA6699" s="6">
        <v>4.54</v>
      </c>
      <c r="AB6699" s="7">
        <v>12.137</v>
      </c>
      <c r="AC6699" s="6">
        <v>918.83</v>
      </c>
    </row>
    <row r="6700" spans="1:29" ht="52" x14ac:dyDescent="0.15">
      <c r="A6700" s="3">
        <f>DATE(2002,10,21)</f>
        <v>37550</v>
      </c>
      <c r="B6700" s="3">
        <f>DATE(2003,1,9)</f>
        <v>37630</v>
      </c>
      <c r="C6700" s="2" t="s">
        <v>95</v>
      </c>
      <c r="D6700" s="2" t="s">
        <v>3460</v>
      </c>
      <c r="E6700" s="2" t="s">
        <v>3461</v>
      </c>
      <c r="F6700" s="4">
        <v>2834</v>
      </c>
      <c r="G6700" s="2" t="s">
        <v>130</v>
      </c>
      <c r="H6700" s="2" t="s">
        <v>34</v>
      </c>
      <c r="I6700" s="2" t="s">
        <v>20366</v>
      </c>
      <c r="J6700" s="2" t="s">
        <v>20367</v>
      </c>
      <c r="K6700" s="2" t="s">
        <v>116</v>
      </c>
      <c r="L6700" s="2" t="s">
        <v>34</v>
      </c>
      <c r="M6700" s="12">
        <v>1155.201</v>
      </c>
      <c r="N6700" s="6">
        <v>36.01</v>
      </c>
      <c r="O6700" s="7">
        <v>35.631999999999998</v>
      </c>
      <c r="P6700" s="2" t="s">
        <v>20368</v>
      </c>
      <c r="Q6700" s="6">
        <v>100</v>
      </c>
      <c r="R6700" s="6">
        <v>8.57</v>
      </c>
      <c r="S6700" s="5">
        <v>0</v>
      </c>
      <c r="T6700" s="7">
        <v>2.956</v>
      </c>
      <c r="U6700" s="5">
        <v>6.1</v>
      </c>
      <c r="V6700" s="6">
        <v>-0.03</v>
      </c>
      <c r="W6700" s="7">
        <v>4.1989999999999998</v>
      </c>
      <c r="X6700" s="7">
        <v>3.7490000000000001</v>
      </c>
      <c r="Y6700" s="6">
        <v>8.39</v>
      </c>
      <c r="Z6700" s="7">
        <v>8.3650000000000002</v>
      </c>
      <c r="AA6700" s="6">
        <v>4.3899999999999997</v>
      </c>
      <c r="AB6700" s="7">
        <v>18.687999999999999</v>
      </c>
      <c r="AC6700" s="6">
        <v>6.24</v>
      </c>
    </row>
    <row r="6701" spans="1:29" ht="143" x14ac:dyDescent="0.15">
      <c r="A6701" s="3">
        <f>DATE(2002,10,22)</f>
        <v>37551</v>
      </c>
      <c r="B6701" s="2"/>
      <c r="C6701" s="2" t="s">
        <v>30</v>
      </c>
      <c r="D6701" s="2" t="s">
        <v>20369</v>
      </c>
      <c r="E6701" s="2" t="s">
        <v>20370</v>
      </c>
      <c r="F6701" s="4">
        <v>7389</v>
      </c>
      <c r="G6701" s="2" t="s">
        <v>223</v>
      </c>
      <c r="H6701" s="2" t="s">
        <v>34</v>
      </c>
      <c r="I6701" s="2" t="s">
        <v>20371</v>
      </c>
      <c r="J6701" s="2" t="s">
        <v>302</v>
      </c>
      <c r="K6701" s="2" t="s">
        <v>53</v>
      </c>
      <c r="L6701" s="2" t="s">
        <v>34</v>
      </c>
      <c r="M6701" s="2"/>
      <c r="N6701" s="2"/>
      <c r="O6701" s="2"/>
      <c r="P6701" s="2" t="s">
        <v>20372</v>
      </c>
      <c r="Q6701" s="2"/>
      <c r="R6701" s="6">
        <v>3.5</v>
      </c>
      <c r="S6701" s="5">
        <v>-38.9</v>
      </c>
      <c r="T6701" s="7">
        <v>-14.042999999999999</v>
      </c>
      <c r="U6701" s="5">
        <v>5.3</v>
      </c>
      <c r="V6701" s="6">
        <v>-5.0199999999999996</v>
      </c>
      <c r="W6701" s="6">
        <v>1.87</v>
      </c>
      <c r="X6701" s="6">
        <v>2.11</v>
      </c>
      <c r="Y6701" s="5">
        <v>2.5</v>
      </c>
      <c r="Z6701" s="6">
        <v>2.58</v>
      </c>
      <c r="AA6701" s="6">
        <v>7.67</v>
      </c>
      <c r="AB6701" s="2" t="s">
        <v>86</v>
      </c>
      <c r="AC6701" s="2"/>
    </row>
    <row r="6702" spans="1:29" ht="130" x14ac:dyDescent="0.15">
      <c r="A6702" s="3">
        <f>DATE(2002,10,22)</f>
        <v>37551</v>
      </c>
      <c r="B6702" s="3">
        <f>DATE(2002,12,13)</f>
        <v>37603</v>
      </c>
      <c r="C6702" s="2" t="s">
        <v>95</v>
      </c>
      <c r="D6702" s="2" t="s">
        <v>20250</v>
      </c>
      <c r="E6702" s="2" t="s">
        <v>20251</v>
      </c>
      <c r="F6702" s="4">
        <v>7375</v>
      </c>
      <c r="G6702" s="2" t="s">
        <v>223</v>
      </c>
      <c r="H6702" s="2" t="s">
        <v>34</v>
      </c>
      <c r="I6702" s="2" t="s">
        <v>15288</v>
      </c>
      <c r="J6702" s="2" t="s">
        <v>1550</v>
      </c>
      <c r="K6702" s="2" t="s">
        <v>551</v>
      </c>
      <c r="L6702" s="2" t="s">
        <v>34</v>
      </c>
      <c r="M6702" s="12">
        <v>245486.00599999999</v>
      </c>
      <c r="N6702" s="6">
        <v>51.67</v>
      </c>
      <c r="O6702" s="5">
        <v>53.2</v>
      </c>
      <c r="P6702" s="2" t="s">
        <v>20373</v>
      </c>
      <c r="Q6702" s="6">
        <v>100</v>
      </c>
      <c r="R6702" s="6">
        <v>3.33</v>
      </c>
      <c r="S6702" s="5">
        <v>-12.6</v>
      </c>
      <c r="T6702" s="7">
        <v>-7.242</v>
      </c>
      <c r="U6702" s="5">
        <v>3.2</v>
      </c>
      <c r="V6702" s="6">
        <v>-0.59</v>
      </c>
      <c r="W6702" s="7">
        <v>2.2010000000000001</v>
      </c>
      <c r="X6702" s="6">
        <v>2.1800000000000002</v>
      </c>
      <c r="Y6702" s="5">
        <v>2.2999999999999998</v>
      </c>
      <c r="Z6702" s="6">
        <v>2.25</v>
      </c>
      <c r="AA6702" s="6">
        <v>27.03</v>
      </c>
      <c r="AB6702" s="2" t="s">
        <v>86</v>
      </c>
      <c r="AC6702" s="8">
        <v>40475</v>
      </c>
    </row>
    <row r="6703" spans="1:29" ht="169" x14ac:dyDescent="0.15">
      <c r="A6703" s="3">
        <f>DATE(2002,10,24)</f>
        <v>37553</v>
      </c>
      <c r="B6703" s="3">
        <f>DATE(2003,4,30)</f>
        <v>37741</v>
      </c>
      <c r="C6703" s="2" t="s">
        <v>95</v>
      </c>
      <c r="D6703" s="2" t="s">
        <v>20374</v>
      </c>
      <c r="E6703" s="2" t="s">
        <v>203</v>
      </c>
      <c r="F6703" s="4">
        <v>6035</v>
      </c>
      <c r="G6703" s="2" t="s">
        <v>33</v>
      </c>
      <c r="H6703" s="2" t="s">
        <v>34</v>
      </c>
      <c r="I6703" s="2" t="s">
        <v>13442</v>
      </c>
      <c r="J6703" s="2" t="s">
        <v>3246</v>
      </c>
      <c r="K6703" s="2" t="s">
        <v>37</v>
      </c>
      <c r="L6703" s="2" t="s">
        <v>34</v>
      </c>
      <c r="M6703" s="12">
        <v>1667.3040000000001</v>
      </c>
      <c r="N6703" s="6">
        <v>18.440000000000001</v>
      </c>
      <c r="O6703" s="6">
        <v>18.989999999999998</v>
      </c>
      <c r="P6703" s="2" t="s">
        <v>20375</v>
      </c>
      <c r="Q6703" s="6">
        <v>100</v>
      </c>
      <c r="R6703" s="6">
        <v>4.8899999999999997</v>
      </c>
      <c r="S6703" s="5">
        <v>-15.9</v>
      </c>
      <c r="T6703" s="2"/>
      <c r="U6703" s="5">
        <v>3.1</v>
      </c>
      <c r="V6703" s="6">
        <v>-1.32</v>
      </c>
      <c r="W6703" s="6">
        <v>3.31</v>
      </c>
      <c r="X6703" s="5">
        <v>3.7</v>
      </c>
      <c r="Y6703" s="6">
        <v>4.53</v>
      </c>
      <c r="Z6703" s="6">
        <v>4.5599999999999996</v>
      </c>
      <c r="AA6703" s="6">
        <v>16.149999999999999</v>
      </c>
      <c r="AB6703" s="2" t="s">
        <v>86</v>
      </c>
      <c r="AC6703" s="2"/>
    </row>
    <row r="6704" spans="1:29" ht="234" x14ac:dyDescent="0.15">
      <c r="A6704" s="3">
        <f>DATE(2002,10,24)</f>
        <v>37553</v>
      </c>
      <c r="B6704" s="3">
        <f>DATE(2002,12,2)</f>
        <v>37592</v>
      </c>
      <c r="C6704" s="2" t="s">
        <v>95</v>
      </c>
      <c r="D6704" s="2" t="s">
        <v>20376</v>
      </c>
      <c r="E6704" s="2" t="s">
        <v>20377</v>
      </c>
      <c r="F6704" s="4">
        <v>3571</v>
      </c>
      <c r="G6704" s="2" t="s">
        <v>50</v>
      </c>
      <c r="H6704" s="2" t="s">
        <v>34</v>
      </c>
      <c r="I6704" s="2" t="s">
        <v>11896</v>
      </c>
      <c r="J6704" s="2" t="s">
        <v>11897</v>
      </c>
      <c r="K6704" s="2" t="s">
        <v>226</v>
      </c>
      <c r="L6704" s="2" t="s">
        <v>34</v>
      </c>
      <c r="M6704" s="7">
        <v>640.72400000000005</v>
      </c>
      <c r="N6704" s="5">
        <v>33.1</v>
      </c>
      <c r="O6704" s="6">
        <v>32.380000000000003</v>
      </c>
      <c r="P6704" s="2" t="s">
        <v>20378</v>
      </c>
      <c r="Q6704" s="6">
        <v>100</v>
      </c>
      <c r="R6704" s="6">
        <v>4.75</v>
      </c>
      <c r="S6704" s="5">
        <v>2.6</v>
      </c>
      <c r="T6704" s="7">
        <v>9.7080000000000002</v>
      </c>
      <c r="U6704" s="5">
        <v>2</v>
      </c>
      <c r="V6704" s="9">
        <v>0.14810000000000001</v>
      </c>
      <c r="W6704" s="5">
        <v>3.5</v>
      </c>
      <c r="X6704" s="5">
        <v>3.6</v>
      </c>
      <c r="Y6704" s="6">
        <v>4.68</v>
      </c>
      <c r="Z6704" s="6">
        <v>4.6900000000000004</v>
      </c>
      <c r="AA6704" s="6">
        <v>17.350000000000001</v>
      </c>
      <c r="AB6704" s="7">
        <v>14.484999999999999</v>
      </c>
      <c r="AC6704" s="6">
        <v>40.21</v>
      </c>
    </row>
    <row r="6705" spans="1:29" ht="117" x14ac:dyDescent="0.15">
      <c r="A6705" s="3">
        <f>DATE(2002,10,25)</f>
        <v>37554</v>
      </c>
      <c r="B6705" s="2"/>
      <c r="C6705" s="2" t="s">
        <v>56</v>
      </c>
      <c r="D6705" s="2" t="s">
        <v>14382</v>
      </c>
      <c r="E6705" s="2" t="s">
        <v>203</v>
      </c>
      <c r="F6705" s="4">
        <v>6035</v>
      </c>
      <c r="G6705" s="2" t="s">
        <v>33</v>
      </c>
      <c r="H6705" s="2" t="s">
        <v>34</v>
      </c>
      <c r="I6705" s="2" t="s">
        <v>20379</v>
      </c>
      <c r="J6705" s="2" t="s">
        <v>150</v>
      </c>
      <c r="K6705" s="2" t="s">
        <v>53</v>
      </c>
      <c r="L6705" s="2" t="s">
        <v>34</v>
      </c>
      <c r="M6705" s="2"/>
      <c r="N6705" s="2"/>
      <c r="O6705" s="2"/>
      <c r="P6705" s="2" t="s">
        <v>20380</v>
      </c>
      <c r="Q6705" s="2"/>
      <c r="R6705" s="6">
        <v>12.5</v>
      </c>
      <c r="S6705" s="5">
        <v>0.4</v>
      </c>
      <c r="T6705" s="2"/>
      <c r="U6705" s="5">
        <v>11</v>
      </c>
      <c r="V6705" s="6">
        <v>0.28999999999999998</v>
      </c>
      <c r="W6705" s="6">
        <v>12.12</v>
      </c>
      <c r="X6705" s="5">
        <v>12.1</v>
      </c>
      <c r="Y6705" s="6">
        <v>12.11</v>
      </c>
      <c r="Z6705" s="6">
        <v>12.11</v>
      </c>
      <c r="AA6705" s="6">
        <v>1.28</v>
      </c>
      <c r="AB6705" s="7">
        <v>61.738999999999997</v>
      </c>
      <c r="AC6705" s="2"/>
    </row>
    <row r="6706" spans="1:29" ht="65" x14ac:dyDescent="0.15">
      <c r="A6706" s="3">
        <f>DATE(2002,10,28)</f>
        <v>37557</v>
      </c>
      <c r="B6706" s="3">
        <f>DATE(2002,12,20)</f>
        <v>37610</v>
      </c>
      <c r="C6706" s="2" t="s">
        <v>95</v>
      </c>
      <c r="D6706" s="2" t="s">
        <v>20381</v>
      </c>
      <c r="E6706" s="2" t="s">
        <v>20382</v>
      </c>
      <c r="F6706" s="4">
        <v>7372</v>
      </c>
      <c r="G6706" s="2" t="s">
        <v>551</v>
      </c>
      <c r="H6706" s="2" t="s">
        <v>34</v>
      </c>
      <c r="I6706" s="2" t="s">
        <v>20383</v>
      </c>
      <c r="J6706" s="2" t="s">
        <v>10056</v>
      </c>
      <c r="K6706" s="2" t="s">
        <v>1461</v>
      </c>
      <c r="L6706" s="2" t="s">
        <v>34</v>
      </c>
      <c r="M6706" s="2"/>
      <c r="N6706" s="2"/>
      <c r="O6706" s="2"/>
      <c r="P6706" s="2" t="s">
        <v>20384</v>
      </c>
      <c r="Q6706" s="6">
        <v>85.22</v>
      </c>
      <c r="R6706" s="6">
        <v>7</v>
      </c>
      <c r="S6706" s="5">
        <v>17.2</v>
      </c>
      <c r="T6706" s="7">
        <v>26.286999999999999</v>
      </c>
      <c r="U6706" s="5">
        <v>-0.1</v>
      </c>
      <c r="V6706" s="6">
        <v>1.26</v>
      </c>
      <c r="W6706" s="7">
        <v>5.2990000000000004</v>
      </c>
      <c r="X6706" s="5">
        <v>5.8</v>
      </c>
      <c r="Y6706" s="7">
        <v>6.8390000000000004</v>
      </c>
      <c r="Z6706" s="6">
        <v>6.86</v>
      </c>
      <c r="AA6706" s="6">
        <v>13.53</v>
      </c>
      <c r="AB6706" s="7">
        <v>3.6429999999999998</v>
      </c>
      <c r="AC6706" s="2"/>
    </row>
    <row r="6707" spans="1:29" ht="117" x14ac:dyDescent="0.15">
      <c r="A6707" s="3">
        <f>DATE(2002,10,28)</f>
        <v>37557</v>
      </c>
      <c r="B6707" s="3">
        <f>DATE(2002,12,4)</f>
        <v>37594</v>
      </c>
      <c r="C6707" s="2" t="s">
        <v>95</v>
      </c>
      <c r="D6707" s="2" t="s">
        <v>20385</v>
      </c>
      <c r="E6707" s="2" t="s">
        <v>20386</v>
      </c>
      <c r="F6707" s="4">
        <v>2087</v>
      </c>
      <c r="G6707" s="2" t="s">
        <v>577</v>
      </c>
      <c r="H6707" s="2" t="s">
        <v>34</v>
      </c>
      <c r="I6707" s="2" t="s">
        <v>20387</v>
      </c>
      <c r="J6707" s="2" t="s">
        <v>20388</v>
      </c>
      <c r="K6707" s="2" t="s">
        <v>282</v>
      </c>
      <c r="L6707" s="2" t="s">
        <v>902</v>
      </c>
      <c r="M6707" s="7">
        <v>92.974999999999994</v>
      </c>
      <c r="N6707" s="7">
        <v>2.7240000000000002</v>
      </c>
      <c r="O6707" s="7">
        <v>2.944</v>
      </c>
      <c r="P6707" s="2" t="s">
        <v>20389</v>
      </c>
      <c r="Q6707" s="6">
        <v>92.6</v>
      </c>
      <c r="R6707" s="6">
        <v>2.5</v>
      </c>
      <c r="S6707" s="5">
        <v>-0.3</v>
      </c>
      <c r="T6707" s="7">
        <v>3.5750000000000002</v>
      </c>
      <c r="U6707" s="5">
        <v>3.5</v>
      </c>
      <c r="V6707" s="6">
        <v>-0.03</v>
      </c>
      <c r="W6707" s="7">
        <v>1.9990000000000001</v>
      </c>
      <c r="X6707" s="6">
        <v>2.1800000000000002</v>
      </c>
      <c r="Y6707" s="6">
        <v>2.4300000000000002</v>
      </c>
      <c r="Z6707" s="6">
        <v>2.46</v>
      </c>
      <c r="AA6707" s="6">
        <v>10.89</v>
      </c>
      <c r="AB6707" s="7">
        <v>31.193000000000001</v>
      </c>
      <c r="AC6707" s="6">
        <v>6.84</v>
      </c>
    </row>
    <row r="6708" spans="1:29" ht="143" x14ac:dyDescent="0.15">
      <c r="A6708" s="3">
        <f>DATE(2002,10,29)</f>
        <v>37558</v>
      </c>
      <c r="B6708" s="3">
        <f>DATE(2003,2,12)</f>
        <v>37664</v>
      </c>
      <c r="C6708" s="2" t="s">
        <v>95</v>
      </c>
      <c r="D6708" s="2" t="s">
        <v>20390</v>
      </c>
      <c r="E6708" s="2" t="s">
        <v>92</v>
      </c>
      <c r="F6708" s="4">
        <v>6798</v>
      </c>
      <c r="G6708" s="2" t="s">
        <v>53</v>
      </c>
      <c r="H6708" s="2" t="s">
        <v>34</v>
      </c>
      <c r="I6708" s="2" t="s">
        <v>18930</v>
      </c>
      <c r="J6708" s="2" t="s">
        <v>92</v>
      </c>
      <c r="K6708" s="2" t="s">
        <v>53</v>
      </c>
      <c r="L6708" s="2" t="s">
        <v>34</v>
      </c>
      <c r="M6708" s="7">
        <v>465.90699999999998</v>
      </c>
      <c r="N6708" s="6">
        <v>12.82</v>
      </c>
      <c r="O6708" s="6">
        <v>12.76</v>
      </c>
      <c r="P6708" s="2" t="s">
        <v>20391</v>
      </c>
      <c r="Q6708" s="6">
        <v>100</v>
      </c>
      <c r="R6708" s="6">
        <v>12.23</v>
      </c>
      <c r="S6708" s="5">
        <v>23.9</v>
      </c>
      <c r="T6708" s="7">
        <v>39.524999999999999</v>
      </c>
      <c r="U6708" s="5">
        <v>7.9</v>
      </c>
      <c r="V6708" s="6">
        <v>0.76</v>
      </c>
      <c r="W6708" s="5">
        <v>11.3</v>
      </c>
      <c r="X6708" s="5">
        <v>11.6</v>
      </c>
      <c r="Y6708" s="6">
        <v>11.84</v>
      </c>
      <c r="Z6708" s="6">
        <v>11.85</v>
      </c>
      <c r="AA6708" s="6">
        <v>34.19</v>
      </c>
      <c r="AB6708" s="7">
        <v>30.359000000000002</v>
      </c>
      <c r="AC6708" s="6">
        <v>2.48</v>
      </c>
    </row>
    <row r="6709" spans="1:29" ht="182" x14ac:dyDescent="0.15">
      <c r="A6709" s="3">
        <f>DATE(2002,11,1)</f>
        <v>37561</v>
      </c>
      <c r="B6709" s="2"/>
      <c r="C6709" s="2" t="s">
        <v>30</v>
      </c>
      <c r="D6709" s="2" t="s">
        <v>20392</v>
      </c>
      <c r="E6709" s="2" t="s">
        <v>263</v>
      </c>
      <c r="F6709" s="4">
        <v>6029</v>
      </c>
      <c r="G6709" s="2" t="s">
        <v>37</v>
      </c>
      <c r="H6709" s="2" t="s">
        <v>34</v>
      </c>
      <c r="I6709" s="2" t="s">
        <v>20158</v>
      </c>
      <c r="J6709" s="2" t="s">
        <v>159</v>
      </c>
      <c r="K6709" s="2" t="s">
        <v>37</v>
      </c>
      <c r="L6709" s="2" t="s">
        <v>34</v>
      </c>
      <c r="M6709" s="7">
        <v>312.904</v>
      </c>
      <c r="N6709" s="6">
        <v>19.39</v>
      </c>
      <c r="O6709" s="6">
        <v>18.38</v>
      </c>
      <c r="P6709" s="2" t="s">
        <v>20393</v>
      </c>
      <c r="Q6709" s="2"/>
      <c r="R6709" s="6">
        <v>27.61</v>
      </c>
      <c r="S6709" s="5">
        <v>6.5</v>
      </c>
      <c r="T6709" s="2"/>
      <c r="U6709" s="5">
        <v>13.6</v>
      </c>
      <c r="V6709" s="6">
        <v>1.82</v>
      </c>
      <c r="W6709" s="6">
        <v>21.05</v>
      </c>
      <c r="X6709" s="6">
        <v>20.82</v>
      </c>
      <c r="Y6709" s="6">
        <v>20.82</v>
      </c>
      <c r="Z6709" s="6">
        <v>26.69</v>
      </c>
      <c r="AA6709" s="6">
        <v>4.4000000000000004</v>
      </c>
      <c r="AB6709" s="7">
        <v>17.751999999999999</v>
      </c>
      <c r="AC6709" s="2"/>
    </row>
    <row r="6710" spans="1:29" ht="52" x14ac:dyDescent="0.15">
      <c r="A6710" s="3">
        <f>DATE(2002,11,4)</f>
        <v>37564</v>
      </c>
      <c r="B6710" s="3">
        <f>DATE(2003,1,13)</f>
        <v>37634</v>
      </c>
      <c r="C6710" s="2" t="s">
        <v>95</v>
      </c>
      <c r="D6710" s="2" t="s">
        <v>20394</v>
      </c>
      <c r="E6710" s="2" t="s">
        <v>20395</v>
      </c>
      <c r="F6710" s="4">
        <v>7375</v>
      </c>
      <c r="G6710" s="2" t="s">
        <v>223</v>
      </c>
      <c r="H6710" s="2" t="s">
        <v>34</v>
      </c>
      <c r="I6710" s="2" t="s">
        <v>9378</v>
      </c>
      <c r="J6710" s="2" t="s">
        <v>9379</v>
      </c>
      <c r="K6710" s="2" t="s">
        <v>223</v>
      </c>
      <c r="L6710" s="2" t="s">
        <v>34</v>
      </c>
      <c r="M6710" s="12">
        <v>4341.7089999999998</v>
      </c>
      <c r="N6710" s="6">
        <v>31.78</v>
      </c>
      <c r="O6710" s="6">
        <v>31.98</v>
      </c>
      <c r="P6710" s="2" t="s">
        <v>20396</v>
      </c>
      <c r="Q6710" s="6">
        <v>100</v>
      </c>
      <c r="R6710" s="2"/>
      <c r="S6710" s="5">
        <v>-0.9</v>
      </c>
      <c r="T6710" s="7">
        <v>-1.069</v>
      </c>
      <c r="U6710" s="5">
        <v>1.9</v>
      </c>
      <c r="V6710" s="6">
        <v>-0.21</v>
      </c>
      <c r="W6710" s="6">
        <v>2.27</v>
      </c>
      <c r="X6710" s="6">
        <v>2.35</v>
      </c>
      <c r="Y6710" s="6">
        <v>2.75</v>
      </c>
      <c r="Z6710" s="6">
        <v>2.73</v>
      </c>
      <c r="AA6710" s="6">
        <v>3.62</v>
      </c>
      <c r="AB6710" s="2" t="s">
        <v>86</v>
      </c>
      <c r="AC6710" s="6">
        <v>217.97</v>
      </c>
    </row>
    <row r="6711" spans="1:29" ht="117" x14ac:dyDescent="0.15">
      <c r="A6711" s="3">
        <f>DATE(2002,11,4)</f>
        <v>37564</v>
      </c>
      <c r="B6711" s="3">
        <f>DATE(2003,2,5)</f>
        <v>37657</v>
      </c>
      <c r="C6711" s="2" t="s">
        <v>95</v>
      </c>
      <c r="D6711" s="2" t="s">
        <v>20397</v>
      </c>
      <c r="E6711" s="2" t="s">
        <v>20398</v>
      </c>
      <c r="F6711" s="4">
        <v>7375</v>
      </c>
      <c r="G6711" s="2" t="s">
        <v>223</v>
      </c>
      <c r="H6711" s="2" t="s">
        <v>34</v>
      </c>
      <c r="I6711" s="2" t="s">
        <v>20399</v>
      </c>
      <c r="J6711" s="2" t="s">
        <v>20400</v>
      </c>
      <c r="K6711" s="2" t="s">
        <v>223</v>
      </c>
      <c r="L6711" s="2" t="s">
        <v>34</v>
      </c>
      <c r="M6711" s="2"/>
      <c r="N6711" s="2"/>
      <c r="O6711" s="2"/>
      <c r="P6711" s="2" t="s">
        <v>20401</v>
      </c>
      <c r="Q6711" s="6">
        <v>100</v>
      </c>
      <c r="R6711" s="6">
        <v>4.8499999999999996</v>
      </c>
      <c r="S6711" s="5">
        <v>-53.3</v>
      </c>
      <c r="T6711" s="7">
        <v>-9.6760000000000002</v>
      </c>
      <c r="U6711" s="5">
        <v>3.7</v>
      </c>
      <c r="V6711" s="6">
        <v>-2.7</v>
      </c>
      <c r="W6711" s="6">
        <v>1.65</v>
      </c>
      <c r="X6711" s="6">
        <v>1.97</v>
      </c>
      <c r="Y6711" s="5">
        <v>4.7</v>
      </c>
      <c r="Z6711" s="5">
        <v>4.7</v>
      </c>
      <c r="AA6711" s="6">
        <v>20.190000000000001</v>
      </c>
      <c r="AB6711" s="2" t="s">
        <v>86</v>
      </c>
      <c r="AC6711" s="2"/>
    </row>
    <row r="6712" spans="1:29" ht="117" x14ac:dyDescent="0.15">
      <c r="A6712" s="3">
        <f>DATE(2002,11,4)</f>
        <v>37564</v>
      </c>
      <c r="B6712" s="3">
        <f>DATE(2003,2,28)</f>
        <v>37680</v>
      </c>
      <c r="C6712" s="2" t="s">
        <v>95</v>
      </c>
      <c r="D6712" s="2" t="s">
        <v>3435</v>
      </c>
      <c r="E6712" s="2" t="s">
        <v>3436</v>
      </c>
      <c r="F6712" s="4">
        <v>3569</v>
      </c>
      <c r="G6712" s="2" t="s">
        <v>300</v>
      </c>
      <c r="H6712" s="2" t="s">
        <v>34</v>
      </c>
      <c r="I6712" s="2" t="s">
        <v>16001</v>
      </c>
      <c r="J6712" s="2" t="s">
        <v>16002</v>
      </c>
      <c r="K6712" s="2" t="s">
        <v>300</v>
      </c>
      <c r="L6712" s="2" t="s">
        <v>34</v>
      </c>
      <c r="M6712" s="2"/>
      <c r="N6712" s="5">
        <v>26.5</v>
      </c>
      <c r="O6712" s="5">
        <v>26.5</v>
      </c>
      <c r="P6712" s="2" t="s">
        <v>20402</v>
      </c>
      <c r="Q6712" s="6">
        <v>100</v>
      </c>
      <c r="R6712" s="6">
        <v>17</v>
      </c>
      <c r="S6712" s="5">
        <v>8.5</v>
      </c>
      <c r="T6712" s="7">
        <v>23.673999999999999</v>
      </c>
      <c r="U6712" s="5">
        <v>8.5</v>
      </c>
      <c r="V6712" s="6">
        <v>0.57999999999999996</v>
      </c>
      <c r="W6712" s="6">
        <v>13.28</v>
      </c>
      <c r="X6712" s="5">
        <v>13.5</v>
      </c>
      <c r="Y6712" s="6">
        <v>16.75</v>
      </c>
      <c r="Z6712" s="6">
        <v>16.82</v>
      </c>
      <c r="AA6712" s="6">
        <v>14.58</v>
      </c>
      <c r="AB6712" s="7">
        <v>18.542999999999999</v>
      </c>
      <c r="AC6712" s="2"/>
    </row>
    <row r="6713" spans="1:29" ht="52" x14ac:dyDescent="0.15">
      <c r="A6713" s="3">
        <f>DATE(2002,11,5)</f>
        <v>37565</v>
      </c>
      <c r="B6713" s="3">
        <f>DATE(2002,11,5)</f>
        <v>37565</v>
      </c>
      <c r="C6713" s="2" t="s">
        <v>95</v>
      </c>
      <c r="D6713" s="2" t="s">
        <v>20403</v>
      </c>
      <c r="E6713" s="2" t="s">
        <v>20404</v>
      </c>
      <c r="F6713" s="4">
        <v>7373</v>
      </c>
      <c r="G6713" s="2" t="s">
        <v>223</v>
      </c>
      <c r="H6713" s="2" t="s">
        <v>34</v>
      </c>
      <c r="I6713" s="2" t="s">
        <v>20405</v>
      </c>
      <c r="J6713" s="2" t="s">
        <v>20406</v>
      </c>
      <c r="K6713" s="2" t="s">
        <v>226</v>
      </c>
      <c r="L6713" s="2" t="s">
        <v>34</v>
      </c>
      <c r="M6713" s="2"/>
      <c r="N6713" s="2"/>
      <c r="O6713" s="2"/>
      <c r="P6713" s="2" t="s">
        <v>20407</v>
      </c>
      <c r="Q6713" s="6">
        <v>100</v>
      </c>
      <c r="R6713" s="2"/>
      <c r="S6713" s="2"/>
      <c r="T6713" s="2"/>
      <c r="U6713" s="2"/>
      <c r="V6713" s="2"/>
      <c r="W6713" s="6">
        <v>0.08</v>
      </c>
      <c r="X6713" s="6">
        <v>5.12</v>
      </c>
      <c r="Y6713" s="4">
        <v>5</v>
      </c>
      <c r="Z6713" s="4">
        <v>7</v>
      </c>
      <c r="AA6713" s="2"/>
      <c r="AB6713" s="2" t="s">
        <v>47</v>
      </c>
      <c r="AC6713" s="2"/>
    </row>
    <row r="6714" spans="1:29" ht="65" x14ac:dyDescent="0.15">
      <c r="A6714" s="3">
        <f>DATE(2002,11,5)</f>
        <v>37565</v>
      </c>
      <c r="B6714" s="2"/>
      <c r="C6714" s="2" t="s">
        <v>7330</v>
      </c>
      <c r="D6714" s="2" t="s">
        <v>20408</v>
      </c>
      <c r="E6714" s="2" t="s">
        <v>20409</v>
      </c>
      <c r="F6714" s="4">
        <v>3577</v>
      </c>
      <c r="G6714" s="2" t="s">
        <v>50</v>
      </c>
      <c r="H6714" s="2" t="s">
        <v>34</v>
      </c>
      <c r="I6714" s="2" t="s">
        <v>20410</v>
      </c>
      <c r="J6714" s="2" t="s">
        <v>2712</v>
      </c>
      <c r="K6714" s="2" t="s">
        <v>53</v>
      </c>
      <c r="L6714" s="2" t="s">
        <v>34</v>
      </c>
      <c r="M6714" s="2"/>
      <c r="N6714" s="2"/>
      <c r="O6714" s="2"/>
      <c r="P6714" s="2" t="s">
        <v>20411</v>
      </c>
      <c r="Q6714" s="2"/>
      <c r="R6714" s="6">
        <v>2.5</v>
      </c>
      <c r="S6714" s="5">
        <v>-5.5</v>
      </c>
      <c r="T6714" s="7">
        <v>-1.702</v>
      </c>
      <c r="U6714" s="8">
        <v>256773.1</v>
      </c>
      <c r="V6714" s="5">
        <v>-51000</v>
      </c>
      <c r="W6714" s="5">
        <v>1.7</v>
      </c>
      <c r="X6714" s="6">
        <v>1.68</v>
      </c>
      <c r="Y6714" s="7">
        <v>2.1890000000000001</v>
      </c>
      <c r="Z6714" s="6">
        <v>2.08</v>
      </c>
      <c r="AA6714" s="6">
        <v>10.97</v>
      </c>
      <c r="AB6714" s="2" t="s">
        <v>86</v>
      </c>
      <c r="AC6714" s="2"/>
    </row>
    <row r="6715" spans="1:29" ht="117" x14ac:dyDescent="0.15">
      <c r="A6715" s="3">
        <f>DATE(2002,11,6)</f>
        <v>37566</v>
      </c>
      <c r="B6715" s="3">
        <f>DATE(2003,1,21)</f>
        <v>37642</v>
      </c>
      <c r="C6715" s="2" t="s">
        <v>95</v>
      </c>
      <c r="D6715" s="2" t="s">
        <v>20412</v>
      </c>
      <c r="E6715" s="2" t="s">
        <v>92</v>
      </c>
      <c r="F6715" s="4">
        <v>6798</v>
      </c>
      <c r="G6715" s="2" t="s">
        <v>53</v>
      </c>
      <c r="H6715" s="2" t="s">
        <v>34</v>
      </c>
      <c r="I6715" s="2" t="s">
        <v>17481</v>
      </c>
      <c r="J6715" s="2" t="s">
        <v>92</v>
      </c>
      <c r="K6715" s="2" t="s">
        <v>53</v>
      </c>
      <c r="L6715" s="2" t="s">
        <v>34</v>
      </c>
      <c r="M6715" s="12">
        <v>1071.3209999999999</v>
      </c>
      <c r="N6715" s="6">
        <v>34.18</v>
      </c>
      <c r="O6715" s="4">
        <v>34</v>
      </c>
      <c r="P6715" s="2" t="s">
        <v>20413</v>
      </c>
      <c r="Q6715" s="6">
        <v>100</v>
      </c>
      <c r="R6715" s="6">
        <v>7.46</v>
      </c>
      <c r="S6715" s="5">
        <v>7.1</v>
      </c>
      <c r="T6715" s="7">
        <v>56.735999999999997</v>
      </c>
      <c r="U6715" s="5">
        <v>7.4</v>
      </c>
      <c r="V6715" s="6">
        <v>0.25</v>
      </c>
      <c r="W6715" s="6">
        <v>5.97</v>
      </c>
      <c r="X6715" s="6">
        <v>5.69</v>
      </c>
      <c r="Y6715" s="6">
        <v>7.22</v>
      </c>
      <c r="Z6715" s="6">
        <v>7.21</v>
      </c>
      <c r="AA6715" s="6">
        <v>27.88</v>
      </c>
      <c r="AB6715" s="7">
        <v>15.211</v>
      </c>
      <c r="AC6715" s="5">
        <v>36.299999999999997</v>
      </c>
    </row>
    <row r="6716" spans="1:29" ht="65" x14ac:dyDescent="0.15">
      <c r="A6716" s="3">
        <f>DATE(2002,11,8)</f>
        <v>37568</v>
      </c>
      <c r="B6716" s="3">
        <f>DATE(2003,1,17)</f>
        <v>37638</v>
      </c>
      <c r="C6716" s="2" t="s">
        <v>95</v>
      </c>
      <c r="D6716" s="2" t="s">
        <v>6696</v>
      </c>
      <c r="E6716" s="2" t="s">
        <v>6697</v>
      </c>
      <c r="F6716" s="4">
        <v>8071</v>
      </c>
      <c r="G6716" s="2" t="s">
        <v>454</v>
      </c>
      <c r="H6716" s="2" t="s">
        <v>34</v>
      </c>
      <c r="I6716" s="2" t="s">
        <v>19987</v>
      </c>
      <c r="J6716" s="2" t="s">
        <v>19988</v>
      </c>
      <c r="K6716" s="2" t="s">
        <v>454</v>
      </c>
      <c r="L6716" s="2" t="s">
        <v>34</v>
      </c>
      <c r="M6716" s="12">
        <v>3110.0140000000001</v>
      </c>
      <c r="N6716" s="6">
        <v>23.95</v>
      </c>
      <c r="O6716" s="6">
        <v>22.75</v>
      </c>
      <c r="P6716" s="2" t="s">
        <v>20414</v>
      </c>
      <c r="Q6716" s="6">
        <v>100</v>
      </c>
      <c r="R6716" s="6">
        <v>47.5</v>
      </c>
      <c r="S6716" s="5">
        <v>11.9</v>
      </c>
      <c r="T6716" s="6">
        <v>39.99</v>
      </c>
      <c r="U6716" s="5">
        <v>23.4</v>
      </c>
      <c r="V6716" s="6">
        <v>0.86</v>
      </c>
      <c r="W6716" s="6">
        <v>39.31</v>
      </c>
      <c r="X6716" s="6">
        <v>40.880000000000003</v>
      </c>
      <c r="Y6716" s="6">
        <v>40.19</v>
      </c>
      <c r="Z6716" s="6">
        <v>46.64</v>
      </c>
      <c r="AA6716" s="6">
        <v>12.06</v>
      </c>
      <c r="AB6716" s="7">
        <v>15.762</v>
      </c>
      <c r="AC6716" s="5">
        <v>98.4</v>
      </c>
    </row>
    <row r="6717" spans="1:29" ht="156" x14ac:dyDescent="0.15">
      <c r="A6717" s="3">
        <f>DATE(2002,11,8)</f>
        <v>37568</v>
      </c>
      <c r="B6717" s="3">
        <f>DATE(2003,2,28)</f>
        <v>37680</v>
      </c>
      <c r="C6717" s="2" t="s">
        <v>95</v>
      </c>
      <c r="D6717" s="2" t="s">
        <v>20415</v>
      </c>
      <c r="E6717" s="2" t="s">
        <v>203</v>
      </c>
      <c r="F6717" s="4">
        <v>6035</v>
      </c>
      <c r="G6717" s="2" t="s">
        <v>33</v>
      </c>
      <c r="H6717" s="2" t="s">
        <v>34</v>
      </c>
      <c r="I6717" s="2" t="s">
        <v>13489</v>
      </c>
      <c r="J6717" s="2" t="s">
        <v>13490</v>
      </c>
      <c r="K6717" s="2" t="s">
        <v>37</v>
      </c>
      <c r="L6717" s="2" t="s">
        <v>34</v>
      </c>
      <c r="M6717" s="7">
        <v>875.17399999999998</v>
      </c>
      <c r="N6717" s="5">
        <v>25.9</v>
      </c>
      <c r="O6717" s="6">
        <v>25.35</v>
      </c>
      <c r="P6717" s="2" t="s">
        <v>20416</v>
      </c>
      <c r="Q6717" s="6">
        <v>100</v>
      </c>
      <c r="R6717" s="6">
        <v>46</v>
      </c>
      <c r="S6717" s="5">
        <v>13.6</v>
      </c>
      <c r="T6717" s="2"/>
      <c r="U6717" s="5">
        <v>17.100000000000001</v>
      </c>
      <c r="V6717" s="6">
        <v>2.56</v>
      </c>
      <c r="W6717" s="5">
        <v>35.4</v>
      </c>
      <c r="X6717" s="6">
        <v>36.880000000000003</v>
      </c>
      <c r="Y6717" s="6">
        <v>43.95</v>
      </c>
      <c r="Z6717" s="6">
        <v>43.61</v>
      </c>
      <c r="AA6717" s="6">
        <v>5.19</v>
      </c>
      <c r="AB6717" s="7">
        <v>22.437999999999999</v>
      </c>
      <c r="AC6717" s="2"/>
    </row>
    <row r="6718" spans="1:29" ht="78" x14ac:dyDescent="0.15">
      <c r="A6718" s="3">
        <f>DATE(2002,11,8)</f>
        <v>37568</v>
      </c>
      <c r="B6718" s="3">
        <f>DATE(2003,1,21)</f>
        <v>37642</v>
      </c>
      <c r="C6718" s="2" t="s">
        <v>95</v>
      </c>
      <c r="D6718" s="2" t="s">
        <v>20417</v>
      </c>
      <c r="E6718" s="2" t="s">
        <v>20418</v>
      </c>
      <c r="F6718" s="4">
        <v>7373</v>
      </c>
      <c r="G6718" s="2" t="s">
        <v>223</v>
      </c>
      <c r="H6718" s="2" t="s">
        <v>34</v>
      </c>
      <c r="I6718" s="2" t="s">
        <v>51</v>
      </c>
      <c r="J6718" s="2" t="s">
        <v>52</v>
      </c>
      <c r="K6718" s="2" t="s">
        <v>53</v>
      </c>
      <c r="L6718" s="2" t="s">
        <v>34</v>
      </c>
      <c r="M6718" s="2"/>
      <c r="N6718" s="2"/>
      <c r="O6718" s="2"/>
      <c r="P6718" s="2" t="s">
        <v>20419</v>
      </c>
      <c r="Q6718" s="6">
        <v>100</v>
      </c>
      <c r="R6718" s="6">
        <v>16.3</v>
      </c>
      <c r="S6718" s="5">
        <v>3.1</v>
      </c>
      <c r="T6718" s="7">
        <v>6.5389999999999997</v>
      </c>
      <c r="U6718" s="5">
        <v>7.7</v>
      </c>
      <c r="V6718" s="6">
        <v>0.77</v>
      </c>
      <c r="W6718" s="4">
        <v>12</v>
      </c>
      <c r="X6718" s="4">
        <v>13</v>
      </c>
      <c r="Y6718" s="7">
        <v>15.701000000000001</v>
      </c>
      <c r="Z6718" s="6">
        <v>15.85</v>
      </c>
      <c r="AA6718" s="6">
        <v>3.86</v>
      </c>
      <c r="AB6718" s="7">
        <v>9.4960000000000004</v>
      </c>
      <c r="AC6718" s="2"/>
    </row>
    <row r="6719" spans="1:29" ht="117" x14ac:dyDescent="0.15">
      <c r="A6719" s="3">
        <f>DATE(2002,11,11)</f>
        <v>37571</v>
      </c>
      <c r="B6719" s="3">
        <f>DATE(2003,3,18)</f>
        <v>37698</v>
      </c>
      <c r="C6719" s="2" t="s">
        <v>95</v>
      </c>
      <c r="D6719" s="2" t="s">
        <v>20420</v>
      </c>
      <c r="E6719" s="2" t="s">
        <v>500</v>
      </c>
      <c r="F6719" s="4">
        <v>3679</v>
      </c>
      <c r="G6719" s="2" t="s">
        <v>137</v>
      </c>
      <c r="H6719" s="2" t="s">
        <v>34</v>
      </c>
      <c r="I6719" s="2" t="s">
        <v>51</v>
      </c>
      <c r="J6719" s="2" t="s">
        <v>52</v>
      </c>
      <c r="K6719" s="2" t="s">
        <v>53</v>
      </c>
      <c r="L6719" s="2" t="s">
        <v>34</v>
      </c>
      <c r="M6719" s="2"/>
      <c r="N6719" s="2"/>
      <c r="O6719" s="2"/>
      <c r="P6719" s="2" t="s">
        <v>20421</v>
      </c>
      <c r="Q6719" s="6">
        <v>73.28</v>
      </c>
      <c r="R6719" s="6">
        <v>26</v>
      </c>
      <c r="S6719" s="5">
        <v>-25.8</v>
      </c>
      <c r="T6719" s="7">
        <v>-8.5609999999999999</v>
      </c>
      <c r="U6719" s="5">
        <v>15.2</v>
      </c>
      <c r="V6719" s="6">
        <v>-2.39</v>
      </c>
      <c r="W6719" s="6">
        <v>16.21</v>
      </c>
      <c r="X6719" s="4">
        <v>16</v>
      </c>
      <c r="Y6719" s="6">
        <v>15.42</v>
      </c>
      <c r="Z6719" s="6">
        <v>21.97</v>
      </c>
      <c r="AA6719" s="6">
        <v>11.74</v>
      </c>
      <c r="AB6719" s="2" t="s">
        <v>86</v>
      </c>
      <c r="AC6719" s="2"/>
    </row>
    <row r="6720" spans="1:29" ht="169" x14ac:dyDescent="0.15">
      <c r="A6720" s="3">
        <f>DATE(2002,11,12)</f>
        <v>37572</v>
      </c>
      <c r="B6720" s="3">
        <f>DATE(2003,3,25)</f>
        <v>37705</v>
      </c>
      <c r="C6720" s="2" t="s">
        <v>95</v>
      </c>
      <c r="D6720" s="2" t="s">
        <v>20422</v>
      </c>
      <c r="E6720" s="2" t="s">
        <v>20423</v>
      </c>
      <c r="F6720" s="4">
        <v>3629</v>
      </c>
      <c r="G6720" s="2" t="s">
        <v>137</v>
      </c>
      <c r="H6720" s="2" t="s">
        <v>34</v>
      </c>
      <c r="I6720" s="2" t="s">
        <v>20424</v>
      </c>
      <c r="J6720" s="2" t="s">
        <v>20425</v>
      </c>
      <c r="K6720" s="2" t="s">
        <v>137</v>
      </c>
      <c r="L6720" s="2" t="s">
        <v>34</v>
      </c>
      <c r="M6720" s="6">
        <v>252.54</v>
      </c>
      <c r="N6720" s="6">
        <v>5.1100000000000003</v>
      </c>
      <c r="O6720" s="6">
        <v>5.35</v>
      </c>
      <c r="P6720" s="2" t="s">
        <v>20426</v>
      </c>
      <c r="Q6720" s="6">
        <v>100</v>
      </c>
      <c r="R6720" s="6">
        <v>4.2</v>
      </c>
      <c r="S6720" s="5">
        <v>-30.4</v>
      </c>
      <c r="T6720" s="7">
        <v>-28.588999999999999</v>
      </c>
      <c r="U6720" s="5">
        <v>4.9000000000000004</v>
      </c>
      <c r="V6720" s="6">
        <v>-2.82</v>
      </c>
      <c r="W6720" s="6">
        <v>2.84</v>
      </c>
      <c r="X6720" s="6">
        <v>2.19</v>
      </c>
      <c r="Y6720" s="6">
        <v>3.85</v>
      </c>
      <c r="Z6720" s="6">
        <v>3.88</v>
      </c>
      <c r="AA6720" s="6">
        <v>10.8</v>
      </c>
      <c r="AB6720" s="2" t="s">
        <v>86</v>
      </c>
      <c r="AC6720" s="6">
        <v>56.17</v>
      </c>
    </row>
    <row r="6721" spans="1:29" ht="130" x14ac:dyDescent="0.15">
      <c r="A6721" s="3">
        <f>DATE(2002,11,12)</f>
        <v>37572</v>
      </c>
      <c r="B6721" s="3">
        <f>DATE(2002,12,19)</f>
        <v>37609</v>
      </c>
      <c r="C6721" s="2" t="s">
        <v>95</v>
      </c>
      <c r="D6721" s="2" t="s">
        <v>20427</v>
      </c>
      <c r="E6721" s="2" t="s">
        <v>20428</v>
      </c>
      <c r="F6721" s="4">
        <v>3579</v>
      </c>
      <c r="G6721" s="2" t="s">
        <v>50</v>
      </c>
      <c r="H6721" s="2" t="s">
        <v>34</v>
      </c>
      <c r="I6721" s="2" t="s">
        <v>20429</v>
      </c>
      <c r="J6721" s="2" t="s">
        <v>1620</v>
      </c>
      <c r="K6721" s="2" t="s">
        <v>53</v>
      </c>
      <c r="L6721" s="2" t="s">
        <v>34</v>
      </c>
      <c r="M6721" s="2"/>
      <c r="N6721" s="2"/>
      <c r="O6721" s="2"/>
      <c r="P6721" s="2" t="s">
        <v>20430</v>
      </c>
      <c r="Q6721" s="6">
        <v>100</v>
      </c>
      <c r="R6721" s="6">
        <v>12.5</v>
      </c>
      <c r="S6721" s="5">
        <v>5.9</v>
      </c>
      <c r="T6721" s="7">
        <v>18.635000000000002</v>
      </c>
      <c r="U6721" s="5">
        <v>4.9000000000000004</v>
      </c>
      <c r="V6721" s="6">
        <v>0.92</v>
      </c>
      <c r="W6721" s="6">
        <v>9.5299999999999994</v>
      </c>
      <c r="X6721" s="6">
        <v>9.4499999999999993</v>
      </c>
      <c r="Y6721" s="6">
        <v>12.38</v>
      </c>
      <c r="Z6721" s="6">
        <v>12.39</v>
      </c>
      <c r="AA6721" s="6">
        <v>8.98</v>
      </c>
      <c r="AB6721" s="7">
        <v>8.0429999999999993</v>
      </c>
      <c r="AC6721" s="2"/>
    </row>
    <row r="6722" spans="1:29" ht="39" x14ac:dyDescent="0.15">
      <c r="A6722" s="3">
        <f>DATE(2002,11,12)</f>
        <v>37572</v>
      </c>
      <c r="B6722" s="2"/>
      <c r="C6722" s="2" t="s">
        <v>189</v>
      </c>
      <c r="D6722" s="2" t="s">
        <v>18015</v>
      </c>
      <c r="E6722" s="2" t="s">
        <v>18016</v>
      </c>
      <c r="F6722" s="4">
        <v>7372</v>
      </c>
      <c r="G6722" s="2" t="s">
        <v>551</v>
      </c>
      <c r="H6722" s="2" t="s">
        <v>34</v>
      </c>
      <c r="I6722" s="2" t="s">
        <v>143</v>
      </c>
      <c r="J6722" s="2" t="s">
        <v>144</v>
      </c>
      <c r="K6722" s="2" t="s">
        <v>53</v>
      </c>
      <c r="L6722" s="2" t="s">
        <v>139</v>
      </c>
      <c r="M6722" s="2"/>
      <c r="N6722" s="2"/>
      <c r="O6722" s="2"/>
      <c r="P6722" s="2" t="s">
        <v>20431</v>
      </c>
      <c r="Q6722" s="2"/>
      <c r="R6722" s="2"/>
      <c r="S6722" s="5">
        <v>-65.400000000000006</v>
      </c>
      <c r="T6722" s="7">
        <v>41.055</v>
      </c>
      <c r="U6722" s="5">
        <v>-65.2</v>
      </c>
      <c r="V6722" s="7">
        <v>-484.37</v>
      </c>
      <c r="W6722" s="7">
        <v>1.1990000000000001</v>
      </c>
      <c r="X6722" s="6">
        <v>1.01</v>
      </c>
      <c r="Y6722" s="7">
        <v>0.83499999999999996</v>
      </c>
      <c r="Z6722" s="6">
        <v>0.75</v>
      </c>
      <c r="AA6722" s="6">
        <v>13.68</v>
      </c>
      <c r="AB6722" s="2" t="s">
        <v>86</v>
      </c>
      <c r="AC6722" s="2"/>
    </row>
    <row r="6723" spans="1:29" ht="91" x14ac:dyDescent="0.15">
      <c r="A6723" s="3">
        <f>DATE(2002,11,13)</f>
        <v>37573</v>
      </c>
      <c r="B6723" s="2"/>
      <c r="C6723" s="2" t="s">
        <v>7330</v>
      </c>
      <c r="D6723" s="2" t="s">
        <v>20432</v>
      </c>
      <c r="E6723" s="2" t="s">
        <v>20433</v>
      </c>
      <c r="F6723" s="4">
        <v>3679</v>
      </c>
      <c r="G6723" s="2" t="s">
        <v>137</v>
      </c>
      <c r="H6723" s="2" t="s">
        <v>34</v>
      </c>
      <c r="I6723" s="2" t="s">
        <v>20434</v>
      </c>
      <c r="J6723" s="2" t="s">
        <v>595</v>
      </c>
      <c r="K6723" s="2" t="s">
        <v>53</v>
      </c>
      <c r="L6723" s="2" t="s">
        <v>34</v>
      </c>
      <c r="M6723" s="2"/>
      <c r="N6723" s="2"/>
      <c r="O6723" s="2"/>
      <c r="P6723" s="2" t="s">
        <v>20435</v>
      </c>
      <c r="Q6723" s="2"/>
      <c r="R6723" s="6">
        <v>5</v>
      </c>
      <c r="S6723" s="5">
        <v>0.7</v>
      </c>
      <c r="T6723" s="6">
        <v>1.36</v>
      </c>
      <c r="U6723" s="5">
        <v>3.3</v>
      </c>
      <c r="V6723" s="6">
        <v>0.52</v>
      </c>
      <c r="W6723" s="6">
        <v>3.53</v>
      </c>
      <c r="X6723" s="5">
        <v>4.0999999999999996</v>
      </c>
      <c r="Y6723" s="6">
        <v>4.25</v>
      </c>
      <c r="Z6723" s="5">
        <v>4.0999999999999996</v>
      </c>
      <c r="AA6723" s="6">
        <v>1.34</v>
      </c>
      <c r="AB6723" s="7">
        <v>3.9529999999999998</v>
      </c>
      <c r="AC6723" s="2"/>
    </row>
    <row r="6724" spans="1:29" ht="78" x14ac:dyDescent="0.15">
      <c r="A6724" s="3">
        <f>DATE(2002,11,13)</f>
        <v>37573</v>
      </c>
      <c r="B6724" s="2"/>
      <c r="C6724" s="2" t="s">
        <v>189</v>
      </c>
      <c r="D6724" s="2" t="s">
        <v>20436</v>
      </c>
      <c r="E6724" s="2" t="s">
        <v>20437</v>
      </c>
      <c r="F6724" s="4">
        <v>2676</v>
      </c>
      <c r="G6724" s="2" t="s">
        <v>282</v>
      </c>
      <c r="H6724" s="2" t="s">
        <v>34</v>
      </c>
      <c r="I6724" s="2" t="s">
        <v>143</v>
      </c>
      <c r="J6724" s="2" t="s">
        <v>144</v>
      </c>
      <c r="K6724" s="2" t="s">
        <v>53</v>
      </c>
      <c r="L6724" s="2" t="s">
        <v>139</v>
      </c>
      <c r="M6724" s="2"/>
      <c r="N6724" s="2"/>
      <c r="O6724" s="2"/>
      <c r="P6724" s="2" t="s">
        <v>20438</v>
      </c>
      <c r="Q6724" s="2"/>
      <c r="R6724" s="2"/>
      <c r="S6724" s="5">
        <v>61.5</v>
      </c>
      <c r="T6724" s="7">
        <v>169.17500000000001</v>
      </c>
      <c r="U6724" s="5">
        <v>0</v>
      </c>
      <c r="V6724" s="6">
        <v>0.98</v>
      </c>
      <c r="W6724" s="6">
        <v>9.27</v>
      </c>
      <c r="X6724" s="5">
        <v>9.1999999999999993</v>
      </c>
      <c r="Y6724" s="6">
        <v>10.81</v>
      </c>
      <c r="Z6724" s="6">
        <v>10.48</v>
      </c>
      <c r="AA6724" s="6">
        <v>61.21</v>
      </c>
      <c r="AB6724" s="2" t="s">
        <v>47</v>
      </c>
      <c r="AC6724" s="2"/>
    </row>
    <row r="6725" spans="1:29" ht="130" x14ac:dyDescent="0.15">
      <c r="A6725" s="3">
        <f>DATE(2002,11,13)</f>
        <v>37573</v>
      </c>
      <c r="B6725" s="2"/>
      <c r="C6725" s="2" t="s">
        <v>30</v>
      </c>
      <c r="D6725" s="2" t="s">
        <v>20439</v>
      </c>
      <c r="E6725" s="2" t="s">
        <v>92</v>
      </c>
      <c r="F6725" s="4">
        <v>6798</v>
      </c>
      <c r="G6725" s="2" t="s">
        <v>53</v>
      </c>
      <c r="H6725" s="2" t="s">
        <v>34</v>
      </c>
      <c r="I6725" s="2" t="s">
        <v>4936</v>
      </c>
      <c r="J6725" s="2" t="s">
        <v>92</v>
      </c>
      <c r="K6725" s="2" t="s">
        <v>53</v>
      </c>
      <c r="L6725" s="2" t="s">
        <v>34</v>
      </c>
      <c r="M6725" s="12">
        <v>6299.0190000000002</v>
      </c>
      <c r="N6725" s="5">
        <v>33.1</v>
      </c>
      <c r="O6725" s="6">
        <v>33.770000000000003</v>
      </c>
      <c r="P6725" s="2" t="s">
        <v>20440</v>
      </c>
      <c r="Q6725" s="2"/>
      <c r="R6725" s="6">
        <v>18</v>
      </c>
      <c r="S6725" s="5">
        <v>18</v>
      </c>
      <c r="T6725" s="7">
        <v>94.123000000000005</v>
      </c>
      <c r="U6725" s="5">
        <v>3.5</v>
      </c>
      <c r="V6725" s="6">
        <v>-0.15</v>
      </c>
      <c r="W6725" s="5">
        <v>14.6</v>
      </c>
      <c r="X6725" s="5">
        <v>14.8</v>
      </c>
      <c r="Y6725" s="6">
        <v>16.59</v>
      </c>
      <c r="Z6725" s="6">
        <v>16.989999999999998</v>
      </c>
      <c r="AA6725" s="6">
        <v>83.08</v>
      </c>
      <c r="AB6725" s="7">
        <v>192.78800000000001</v>
      </c>
      <c r="AC6725" s="6">
        <v>223.85</v>
      </c>
    </row>
    <row r="6726" spans="1:29" ht="91" x14ac:dyDescent="0.15">
      <c r="A6726" s="3">
        <f>DATE(2002,11,14)</f>
        <v>37574</v>
      </c>
      <c r="B6726" s="3">
        <f>DATE(2003,2,7)</f>
        <v>37659</v>
      </c>
      <c r="C6726" s="2" t="s">
        <v>95</v>
      </c>
      <c r="D6726" s="2" t="s">
        <v>20441</v>
      </c>
      <c r="E6726" s="2" t="s">
        <v>16546</v>
      </c>
      <c r="F6726" s="4">
        <v>7371</v>
      </c>
      <c r="G6726" s="2" t="s">
        <v>223</v>
      </c>
      <c r="H6726" s="2" t="s">
        <v>34</v>
      </c>
      <c r="I6726" s="2" t="s">
        <v>278</v>
      </c>
      <c r="J6726" s="2" t="s">
        <v>52</v>
      </c>
      <c r="K6726" s="2" t="s">
        <v>53</v>
      </c>
      <c r="L6726" s="2" t="s">
        <v>34</v>
      </c>
      <c r="M6726" s="2"/>
      <c r="N6726" s="2"/>
      <c r="O6726" s="2"/>
      <c r="P6726" s="2" t="s">
        <v>20442</v>
      </c>
      <c r="Q6726" s="6">
        <v>56</v>
      </c>
      <c r="R6726" s="6">
        <v>62.48</v>
      </c>
      <c r="S6726" s="5">
        <v>34.6</v>
      </c>
      <c r="T6726" s="6">
        <v>53.04</v>
      </c>
      <c r="U6726" s="5">
        <v>2.7</v>
      </c>
      <c r="V6726" s="9">
        <v>0.54330000000000001</v>
      </c>
      <c r="W6726" s="6">
        <v>72.75</v>
      </c>
      <c r="X6726" s="6">
        <v>69.39</v>
      </c>
      <c r="Y6726" s="6">
        <v>72.02</v>
      </c>
      <c r="Z6726" s="6">
        <v>68.33</v>
      </c>
      <c r="AA6726" s="6">
        <v>20.14</v>
      </c>
      <c r="AB6726" s="7">
        <v>81.891000000000005</v>
      </c>
      <c r="AC6726" s="2"/>
    </row>
    <row r="6727" spans="1:29" ht="156" x14ac:dyDescent="0.15">
      <c r="A6727" s="3">
        <f>DATE(2002,11,14)</f>
        <v>37574</v>
      </c>
      <c r="B6727" s="3">
        <f>DATE(2003,3,28)</f>
        <v>37708</v>
      </c>
      <c r="C6727" s="2" t="s">
        <v>95</v>
      </c>
      <c r="D6727" s="2" t="s">
        <v>10372</v>
      </c>
      <c r="E6727" s="2" t="s">
        <v>10373</v>
      </c>
      <c r="F6727" s="4">
        <v>6141</v>
      </c>
      <c r="G6727" s="2" t="s">
        <v>370</v>
      </c>
      <c r="H6727" s="2" t="s">
        <v>34</v>
      </c>
      <c r="I6727" s="2" t="s">
        <v>14331</v>
      </c>
      <c r="J6727" s="2" t="s">
        <v>36</v>
      </c>
      <c r="K6727" s="2" t="s">
        <v>37</v>
      </c>
      <c r="L6727" s="2" t="s">
        <v>303</v>
      </c>
      <c r="M6727" s="12">
        <v>107083.054</v>
      </c>
      <c r="N6727" s="6">
        <v>10.77</v>
      </c>
      <c r="O6727" s="7">
        <v>11.493</v>
      </c>
      <c r="P6727" s="2" t="s">
        <v>20443</v>
      </c>
      <c r="Q6727" s="6">
        <v>100</v>
      </c>
      <c r="R6727" s="6">
        <v>29.99</v>
      </c>
      <c r="S6727" s="8">
        <v>1768.5</v>
      </c>
      <c r="T6727" s="8">
        <v>3404</v>
      </c>
      <c r="U6727" s="5">
        <v>18.600000000000001</v>
      </c>
      <c r="V6727" s="6">
        <v>3.73</v>
      </c>
      <c r="W6727" s="6">
        <v>24.41</v>
      </c>
      <c r="X6727" s="6">
        <v>22.46</v>
      </c>
      <c r="Y6727" s="5">
        <v>27.5</v>
      </c>
      <c r="Z6727" s="6">
        <v>29.35</v>
      </c>
      <c r="AA6727" s="6">
        <v>454.83</v>
      </c>
      <c r="AB6727" s="7">
        <v>30.23</v>
      </c>
      <c r="AC6727" s="2"/>
    </row>
    <row r="6728" spans="1:29" ht="52" x14ac:dyDescent="0.15">
      <c r="A6728" s="3">
        <f>DATE(2002,11,14)</f>
        <v>37574</v>
      </c>
      <c r="B6728" s="3">
        <f>DATE(2003,2,10)</f>
        <v>37662</v>
      </c>
      <c r="C6728" s="2" t="s">
        <v>95</v>
      </c>
      <c r="D6728" s="2" t="s">
        <v>20444</v>
      </c>
      <c r="E6728" s="2" t="s">
        <v>7907</v>
      </c>
      <c r="F6728" s="4">
        <v>2834</v>
      </c>
      <c r="G6728" s="2" t="s">
        <v>130</v>
      </c>
      <c r="H6728" s="2" t="s">
        <v>34</v>
      </c>
      <c r="I6728" s="2" t="s">
        <v>5669</v>
      </c>
      <c r="J6728" s="2" t="s">
        <v>5670</v>
      </c>
      <c r="K6728" s="2" t="s">
        <v>130</v>
      </c>
      <c r="L6728" s="2" t="s">
        <v>34</v>
      </c>
      <c r="M6728" s="12">
        <v>178829.00399999999</v>
      </c>
      <c r="N6728" s="6">
        <v>60.46</v>
      </c>
      <c r="O6728" s="6">
        <v>60.15</v>
      </c>
      <c r="P6728" s="2" t="s">
        <v>20445</v>
      </c>
      <c r="Q6728" s="6">
        <v>100</v>
      </c>
      <c r="R6728" s="6">
        <v>7.41</v>
      </c>
      <c r="S6728" s="5">
        <v>-22.5</v>
      </c>
      <c r="T6728" s="7">
        <v>-21.123999999999999</v>
      </c>
      <c r="U6728" s="5">
        <v>2.5</v>
      </c>
      <c r="V6728" s="6">
        <v>-1.65</v>
      </c>
      <c r="W6728" s="6">
        <v>4.4400000000000004</v>
      </c>
      <c r="X6728" s="6">
        <v>7.25</v>
      </c>
      <c r="Y6728" s="6">
        <v>7.24</v>
      </c>
      <c r="Z6728" s="6">
        <v>7.18</v>
      </c>
      <c r="AA6728" s="6">
        <v>13.63</v>
      </c>
      <c r="AB6728" s="2" t="s">
        <v>86</v>
      </c>
      <c r="AC6728" s="8">
        <v>7245</v>
      </c>
    </row>
    <row r="6729" spans="1:29" ht="169" x14ac:dyDescent="0.15">
      <c r="A6729" s="3">
        <f>DATE(2002,11,18)</f>
        <v>37578</v>
      </c>
      <c r="B6729" s="3">
        <f>DATE(2003,5,1)</f>
        <v>37742</v>
      </c>
      <c r="C6729" s="2" t="s">
        <v>95</v>
      </c>
      <c r="D6729" s="2" t="s">
        <v>20446</v>
      </c>
      <c r="E6729" s="2" t="s">
        <v>265</v>
      </c>
      <c r="F6729" s="4">
        <v>6021</v>
      </c>
      <c r="G6729" s="2" t="s">
        <v>37</v>
      </c>
      <c r="H6729" s="2" t="s">
        <v>34</v>
      </c>
      <c r="I6729" s="2" t="s">
        <v>20447</v>
      </c>
      <c r="J6729" s="2" t="s">
        <v>36</v>
      </c>
      <c r="K6729" s="2" t="s">
        <v>37</v>
      </c>
      <c r="L6729" s="2" t="s">
        <v>34</v>
      </c>
      <c r="M6729" s="7">
        <v>167.39599999999999</v>
      </c>
      <c r="N6729" s="4">
        <v>18</v>
      </c>
      <c r="O6729" s="6">
        <v>16.850000000000001</v>
      </c>
      <c r="P6729" s="2" t="s">
        <v>20448</v>
      </c>
      <c r="Q6729" s="6">
        <v>100</v>
      </c>
      <c r="R6729" s="2"/>
      <c r="S6729" s="5">
        <v>4.0999999999999996</v>
      </c>
      <c r="T6729" s="2"/>
      <c r="U6729" s="5">
        <v>8.1</v>
      </c>
      <c r="V6729" s="9">
        <v>1.1209</v>
      </c>
      <c r="W6729" s="5">
        <v>19.8</v>
      </c>
      <c r="X6729" s="5">
        <v>19.8</v>
      </c>
      <c r="Y6729" s="6">
        <v>19.989999999999998</v>
      </c>
      <c r="Z6729" s="5">
        <v>21.2</v>
      </c>
      <c r="AA6729" s="6">
        <v>3.55</v>
      </c>
      <c r="AB6729" s="7">
        <v>12.875</v>
      </c>
      <c r="AC6729" s="2"/>
    </row>
    <row r="6730" spans="1:29" ht="78" x14ac:dyDescent="0.15">
      <c r="A6730" s="3">
        <f>DATE(2002,11,18)</f>
        <v>37578</v>
      </c>
      <c r="B6730" s="2"/>
      <c r="C6730" s="2" t="s">
        <v>141</v>
      </c>
      <c r="D6730" s="2" t="s">
        <v>20449</v>
      </c>
      <c r="E6730" s="2" t="s">
        <v>20450</v>
      </c>
      <c r="F6730" s="4">
        <v>4833</v>
      </c>
      <c r="G6730" s="2" t="s">
        <v>45</v>
      </c>
      <c r="H6730" s="2" t="s">
        <v>34</v>
      </c>
      <c r="I6730" s="2" t="s">
        <v>143</v>
      </c>
      <c r="J6730" s="2" t="s">
        <v>144</v>
      </c>
      <c r="K6730" s="2" t="s">
        <v>53</v>
      </c>
      <c r="L6730" s="2" t="s">
        <v>139</v>
      </c>
      <c r="M6730" s="2"/>
      <c r="N6730" s="2"/>
      <c r="O6730" s="2"/>
      <c r="P6730" s="2" t="s">
        <v>20451</v>
      </c>
      <c r="Q6730" s="2"/>
      <c r="R6730" s="2"/>
      <c r="S6730" s="5">
        <v>-4.5</v>
      </c>
      <c r="T6730" s="7">
        <v>27.016999999999999</v>
      </c>
      <c r="U6730" s="5">
        <v>26.9</v>
      </c>
      <c r="V6730" s="6">
        <v>-0.5</v>
      </c>
      <c r="W6730" s="7">
        <v>46.081000000000003</v>
      </c>
      <c r="X6730" s="6">
        <v>49.91</v>
      </c>
      <c r="Y6730" s="6">
        <v>50.05</v>
      </c>
      <c r="Z6730" s="6">
        <v>50.16</v>
      </c>
      <c r="AA6730" s="2"/>
      <c r="AB6730" s="2" t="s">
        <v>47</v>
      </c>
      <c r="AC6730" s="2"/>
    </row>
    <row r="6731" spans="1:29" ht="182" x14ac:dyDescent="0.15">
      <c r="A6731" s="3">
        <f>DATE(2002,11,19)</f>
        <v>37579</v>
      </c>
      <c r="B6731" s="3">
        <f>DATE(2003,1,17)</f>
        <v>37638</v>
      </c>
      <c r="C6731" s="2" t="s">
        <v>95</v>
      </c>
      <c r="D6731" s="2" t="s">
        <v>19755</v>
      </c>
      <c r="E6731" s="2" t="s">
        <v>19756</v>
      </c>
      <c r="F6731" s="4">
        <v>7999</v>
      </c>
      <c r="G6731" s="2" t="s">
        <v>364</v>
      </c>
      <c r="H6731" s="2" t="s">
        <v>34</v>
      </c>
      <c r="I6731" s="2" t="s">
        <v>19757</v>
      </c>
      <c r="J6731" s="2" t="s">
        <v>19758</v>
      </c>
      <c r="K6731" s="2" t="s">
        <v>223</v>
      </c>
      <c r="L6731" s="2" t="s">
        <v>34</v>
      </c>
      <c r="M6731" s="7">
        <v>448.42200000000003</v>
      </c>
      <c r="N6731" s="6">
        <v>6.09</v>
      </c>
      <c r="O6731" s="6">
        <v>6.29</v>
      </c>
      <c r="P6731" s="2" t="s">
        <v>20452</v>
      </c>
      <c r="Q6731" s="6">
        <v>69.62</v>
      </c>
      <c r="R6731" s="6">
        <v>1.6</v>
      </c>
      <c r="S6731" s="5">
        <v>2.5</v>
      </c>
      <c r="T6731" s="7">
        <v>3.5910000000000002</v>
      </c>
      <c r="U6731" s="5">
        <v>0.3</v>
      </c>
      <c r="V6731" s="6">
        <v>0.21</v>
      </c>
      <c r="W6731" s="4">
        <v>1</v>
      </c>
      <c r="X6731" s="5">
        <v>1.1000000000000001</v>
      </c>
      <c r="Y6731" s="6">
        <v>1.52</v>
      </c>
      <c r="Z6731" s="6">
        <v>1.52</v>
      </c>
      <c r="AA6731" s="6">
        <v>11.76</v>
      </c>
      <c r="AB6731" s="7">
        <v>10.96</v>
      </c>
      <c r="AC6731" s="6">
        <v>9.57</v>
      </c>
    </row>
    <row r="6732" spans="1:29" ht="78" x14ac:dyDescent="0.15">
      <c r="A6732" s="3">
        <f>DATE(2002,11,20)</f>
        <v>37580</v>
      </c>
      <c r="B6732" s="3">
        <f>DATE(2003,6,12)</f>
        <v>37784</v>
      </c>
      <c r="C6732" s="2" t="s">
        <v>95</v>
      </c>
      <c r="D6732" s="2" t="s">
        <v>20453</v>
      </c>
      <c r="E6732" s="2" t="s">
        <v>36</v>
      </c>
      <c r="F6732" s="4">
        <v>6022</v>
      </c>
      <c r="G6732" s="2" t="s">
        <v>37</v>
      </c>
      <c r="H6732" s="2" t="s">
        <v>34</v>
      </c>
      <c r="I6732" s="2" t="s">
        <v>20454</v>
      </c>
      <c r="J6732" s="2" t="s">
        <v>36</v>
      </c>
      <c r="K6732" s="2" t="s">
        <v>37</v>
      </c>
      <c r="L6732" s="2" t="s">
        <v>34</v>
      </c>
      <c r="M6732" s="7">
        <v>155.27699999999999</v>
      </c>
      <c r="N6732" s="6">
        <v>25.15</v>
      </c>
      <c r="O6732" s="6">
        <v>25.15</v>
      </c>
      <c r="P6732" s="2" t="s">
        <v>20455</v>
      </c>
      <c r="Q6732" s="6">
        <v>100</v>
      </c>
      <c r="R6732" s="6">
        <v>21</v>
      </c>
      <c r="S6732" s="5">
        <v>0.7</v>
      </c>
      <c r="T6732" s="2"/>
      <c r="U6732" s="5">
        <v>10.1</v>
      </c>
      <c r="V6732" s="6">
        <v>0.7</v>
      </c>
      <c r="W6732" s="6">
        <v>8.84</v>
      </c>
      <c r="X6732" s="6">
        <v>8.84</v>
      </c>
      <c r="Y6732" s="6">
        <v>8.84</v>
      </c>
      <c r="Z6732" s="6">
        <v>19.25</v>
      </c>
      <c r="AA6732" s="6">
        <v>1.04</v>
      </c>
      <c r="AB6732" s="7">
        <v>39.536999999999999</v>
      </c>
      <c r="AC6732" s="2"/>
    </row>
    <row r="6733" spans="1:29" ht="208" x14ac:dyDescent="0.15">
      <c r="A6733" s="3">
        <f>DATE(2002,11,20)</f>
        <v>37580</v>
      </c>
      <c r="B6733" s="3">
        <f>DATE(2003,6,23)</f>
        <v>37795</v>
      </c>
      <c r="C6733" s="2" t="s">
        <v>95</v>
      </c>
      <c r="D6733" s="2" t="s">
        <v>20456</v>
      </c>
      <c r="E6733" s="2" t="s">
        <v>20457</v>
      </c>
      <c r="F6733" s="4">
        <v>1099</v>
      </c>
      <c r="G6733" s="2" t="s">
        <v>166</v>
      </c>
      <c r="H6733" s="2" t="s">
        <v>34</v>
      </c>
      <c r="I6733" s="2" t="s">
        <v>20458</v>
      </c>
      <c r="J6733" s="2" t="s">
        <v>20459</v>
      </c>
      <c r="K6733" s="2" t="s">
        <v>163</v>
      </c>
      <c r="L6733" s="2" t="s">
        <v>18001</v>
      </c>
      <c r="M6733" s="2"/>
      <c r="N6733" s="5">
        <v>20.9</v>
      </c>
      <c r="O6733" s="5">
        <v>21.5</v>
      </c>
      <c r="P6733" s="2" t="s">
        <v>20460</v>
      </c>
      <c r="Q6733" s="6">
        <v>51.12</v>
      </c>
      <c r="R6733" s="2"/>
      <c r="S6733" s="5">
        <v>37.1</v>
      </c>
      <c r="T6733" s="7">
        <v>95.617000000000004</v>
      </c>
      <c r="U6733" s="5">
        <v>12.9</v>
      </c>
      <c r="V6733" s="6">
        <v>0.88</v>
      </c>
      <c r="W6733" s="6">
        <v>7.68</v>
      </c>
      <c r="X6733" s="6">
        <v>7.48</v>
      </c>
      <c r="Y6733" s="6">
        <v>7.41</v>
      </c>
      <c r="Z6733" s="6">
        <v>7.03</v>
      </c>
      <c r="AA6733" s="6">
        <v>43.5</v>
      </c>
      <c r="AB6733" s="7">
        <v>14.255000000000001</v>
      </c>
      <c r="AC6733" s="10">
        <v>1109.8499999999999</v>
      </c>
    </row>
    <row r="6734" spans="1:29" ht="104" x14ac:dyDescent="0.15">
      <c r="A6734" s="3">
        <f>DATE(2002,11,21)</f>
        <v>37581</v>
      </c>
      <c r="B6734" s="3">
        <f>DATE(2002,12,28)</f>
        <v>37618</v>
      </c>
      <c r="C6734" s="2" t="s">
        <v>95</v>
      </c>
      <c r="D6734" s="2" t="s">
        <v>20461</v>
      </c>
      <c r="E6734" s="2" t="s">
        <v>302</v>
      </c>
      <c r="F6734" s="4">
        <v>6799</v>
      </c>
      <c r="G6734" s="2" t="s">
        <v>53</v>
      </c>
      <c r="H6734" s="2" t="s">
        <v>34</v>
      </c>
      <c r="I6734" s="2" t="s">
        <v>20462</v>
      </c>
      <c r="J6734" s="2" t="s">
        <v>20463</v>
      </c>
      <c r="K6734" s="2" t="s">
        <v>59</v>
      </c>
      <c r="L6734" s="2" t="s">
        <v>34</v>
      </c>
      <c r="M6734" s="2"/>
      <c r="N6734" s="2"/>
      <c r="O6734" s="2"/>
      <c r="P6734" s="2" t="s">
        <v>20464</v>
      </c>
      <c r="Q6734" s="6">
        <v>100</v>
      </c>
      <c r="R6734" s="6">
        <v>1.45</v>
      </c>
      <c r="S6734" s="5">
        <v>-19.2</v>
      </c>
      <c r="T6734" s="7">
        <v>12.548999999999999</v>
      </c>
      <c r="U6734" s="5">
        <v>4.7</v>
      </c>
      <c r="V6734" s="6">
        <v>-5.3</v>
      </c>
      <c r="W6734" s="6">
        <v>1.1100000000000001</v>
      </c>
      <c r="X6734" s="6">
        <v>1.25</v>
      </c>
      <c r="Y6734" s="6">
        <v>1.25</v>
      </c>
      <c r="Z6734" s="6">
        <v>1.25</v>
      </c>
      <c r="AA6734" s="6">
        <v>3.58</v>
      </c>
      <c r="AB6734" s="2" t="s">
        <v>86</v>
      </c>
      <c r="AC6734" s="2"/>
    </row>
    <row r="6735" spans="1:29" ht="65" x14ac:dyDescent="0.15">
      <c r="A6735" s="3">
        <f>DATE(2002,11,21)</f>
        <v>37581</v>
      </c>
      <c r="B6735" s="3">
        <f>DATE(2003,3,6)</f>
        <v>37686</v>
      </c>
      <c r="C6735" s="2" t="s">
        <v>95</v>
      </c>
      <c r="D6735" s="2" t="s">
        <v>20465</v>
      </c>
      <c r="E6735" s="2" t="s">
        <v>839</v>
      </c>
      <c r="F6735" s="4">
        <v>2834</v>
      </c>
      <c r="G6735" s="2" t="s">
        <v>130</v>
      </c>
      <c r="H6735" s="2" t="s">
        <v>34</v>
      </c>
      <c r="I6735" s="2" t="s">
        <v>20466</v>
      </c>
      <c r="J6735" s="2" t="s">
        <v>4011</v>
      </c>
      <c r="K6735" s="2" t="s">
        <v>130</v>
      </c>
      <c r="L6735" s="2" t="s">
        <v>734</v>
      </c>
      <c r="M6735" s="2"/>
      <c r="N6735" s="7">
        <v>28.398</v>
      </c>
      <c r="O6735" s="7">
        <v>27.978999999999999</v>
      </c>
      <c r="P6735" s="2" t="s">
        <v>20467</v>
      </c>
      <c r="Q6735" s="6">
        <v>100</v>
      </c>
      <c r="R6735" s="6">
        <v>6.5</v>
      </c>
      <c r="S6735" s="5">
        <v>-29.1</v>
      </c>
      <c r="T6735" s="7">
        <v>-29.927</v>
      </c>
      <c r="U6735" s="5">
        <v>-1.1000000000000001</v>
      </c>
      <c r="V6735" s="6">
        <v>-2.67</v>
      </c>
      <c r="W6735" s="4">
        <v>4</v>
      </c>
      <c r="X6735" s="4">
        <v>6</v>
      </c>
      <c r="Y6735" s="6">
        <v>6.41</v>
      </c>
      <c r="Z6735" s="6">
        <v>6.39</v>
      </c>
      <c r="AA6735" s="6">
        <v>10.98</v>
      </c>
      <c r="AB6735" s="2" t="s">
        <v>86</v>
      </c>
      <c r="AC6735" s="6">
        <v>172.22</v>
      </c>
    </row>
    <row r="6736" spans="1:29" ht="117" x14ac:dyDescent="0.15">
      <c r="A6736" s="3">
        <f>DATE(2002,11,22)</f>
        <v>37582</v>
      </c>
      <c r="B6736" s="3">
        <f>DATE(2003,3,3)</f>
        <v>37683</v>
      </c>
      <c r="C6736" s="2" t="s">
        <v>95</v>
      </c>
      <c r="D6736" s="2" t="s">
        <v>15083</v>
      </c>
      <c r="E6736" s="2" t="s">
        <v>15084</v>
      </c>
      <c r="F6736" s="4">
        <v>7373</v>
      </c>
      <c r="G6736" s="2" t="s">
        <v>223</v>
      </c>
      <c r="H6736" s="2" t="s">
        <v>34</v>
      </c>
      <c r="I6736" s="2" t="s">
        <v>20468</v>
      </c>
      <c r="J6736" s="2" t="s">
        <v>20469</v>
      </c>
      <c r="K6736" s="2" t="s">
        <v>223</v>
      </c>
      <c r="L6736" s="2" t="s">
        <v>34</v>
      </c>
      <c r="M6736" s="2"/>
      <c r="N6736" s="2"/>
      <c r="O6736" s="2"/>
      <c r="P6736" s="2" t="s">
        <v>20470</v>
      </c>
      <c r="Q6736" s="6">
        <v>100</v>
      </c>
      <c r="R6736" s="6">
        <v>1.7</v>
      </c>
      <c r="S6736" s="5">
        <v>-4.3</v>
      </c>
      <c r="T6736" s="7">
        <v>3.2669999999999999</v>
      </c>
      <c r="U6736" s="5">
        <v>0.6</v>
      </c>
      <c r="V6736" s="9">
        <v>-0.9002</v>
      </c>
      <c r="W6736" s="6">
        <v>1.65</v>
      </c>
      <c r="X6736" s="6">
        <v>1.88</v>
      </c>
      <c r="Y6736" s="7">
        <v>1.669</v>
      </c>
      <c r="Z6736" s="6">
        <v>1.67</v>
      </c>
      <c r="AA6736" s="6">
        <v>4.83</v>
      </c>
      <c r="AB6736" s="7">
        <v>7.0510000000000002</v>
      </c>
      <c r="AC6736" s="2"/>
    </row>
    <row r="6737" spans="1:29" ht="117" x14ac:dyDescent="0.15">
      <c r="A6737" s="3">
        <f>DATE(2002,11,25)</f>
        <v>37585</v>
      </c>
      <c r="B6737" s="3">
        <f>DATE(2003,2,19)</f>
        <v>37671</v>
      </c>
      <c r="C6737" s="2" t="s">
        <v>95</v>
      </c>
      <c r="D6737" s="2" t="s">
        <v>20471</v>
      </c>
      <c r="E6737" s="2" t="s">
        <v>781</v>
      </c>
      <c r="F6737" s="4">
        <v>7372</v>
      </c>
      <c r="G6737" s="2" t="s">
        <v>551</v>
      </c>
      <c r="H6737" s="2" t="s">
        <v>34</v>
      </c>
      <c r="I6737" s="2" t="s">
        <v>20472</v>
      </c>
      <c r="J6737" s="2" t="s">
        <v>20473</v>
      </c>
      <c r="K6737" s="2" t="s">
        <v>551</v>
      </c>
      <c r="L6737" s="2" t="s">
        <v>34</v>
      </c>
      <c r="M6737" s="6">
        <v>95.84</v>
      </c>
      <c r="N6737" s="7">
        <v>7.4189999999999996</v>
      </c>
      <c r="O6737" s="6">
        <v>7.33</v>
      </c>
      <c r="P6737" s="2" t="s">
        <v>20474</v>
      </c>
      <c r="Q6737" s="6">
        <v>100</v>
      </c>
      <c r="R6737" s="2"/>
      <c r="S6737" s="5">
        <v>-5.6</v>
      </c>
      <c r="T6737" s="7">
        <v>5.3559999999999999</v>
      </c>
      <c r="U6737" s="5">
        <v>0.5</v>
      </c>
      <c r="V6737" s="6">
        <v>-0.74</v>
      </c>
      <c r="W6737" s="6">
        <v>1.99</v>
      </c>
      <c r="X6737" s="6">
        <v>1.94</v>
      </c>
      <c r="Y6737" s="6">
        <v>2.08</v>
      </c>
      <c r="Z6737" s="4">
        <v>2</v>
      </c>
      <c r="AA6737" s="6">
        <v>7.57</v>
      </c>
      <c r="AB6737" s="2" t="s">
        <v>86</v>
      </c>
      <c r="AC6737" s="6">
        <v>23.66</v>
      </c>
    </row>
    <row r="6738" spans="1:29" ht="91" x14ac:dyDescent="0.15">
      <c r="A6738" s="3">
        <f>DATE(2002,12,2)</f>
        <v>37592</v>
      </c>
      <c r="B6738" s="3">
        <f>DATE(2003,5,12)</f>
        <v>37753</v>
      </c>
      <c r="C6738" s="2" t="s">
        <v>95</v>
      </c>
      <c r="D6738" s="2" t="s">
        <v>20475</v>
      </c>
      <c r="E6738" s="2" t="s">
        <v>265</v>
      </c>
      <c r="F6738" s="4">
        <v>6021</v>
      </c>
      <c r="G6738" s="2" t="s">
        <v>37</v>
      </c>
      <c r="H6738" s="2" t="s">
        <v>34</v>
      </c>
      <c r="I6738" s="2" t="s">
        <v>9615</v>
      </c>
      <c r="J6738" s="2" t="s">
        <v>8873</v>
      </c>
      <c r="K6738" s="2" t="s">
        <v>37</v>
      </c>
      <c r="L6738" s="2" t="s">
        <v>34</v>
      </c>
      <c r="M6738" s="7">
        <v>230.50399999999999</v>
      </c>
      <c r="N6738" s="6">
        <v>25.73</v>
      </c>
      <c r="O6738" s="6">
        <v>25.12</v>
      </c>
      <c r="P6738" s="2" t="s">
        <v>20476</v>
      </c>
      <c r="Q6738" s="6">
        <v>100</v>
      </c>
      <c r="R6738" s="2"/>
      <c r="S6738" s="5">
        <v>5.6</v>
      </c>
      <c r="T6738" s="7">
        <v>8.2620000000000005</v>
      </c>
      <c r="U6738" s="5">
        <v>15.5</v>
      </c>
      <c r="V6738" s="6">
        <v>2</v>
      </c>
      <c r="W6738" s="4">
        <v>24</v>
      </c>
      <c r="X6738" s="4">
        <v>24</v>
      </c>
      <c r="Y6738" s="2"/>
      <c r="Z6738" s="2"/>
      <c r="AA6738" s="2"/>
      <c r="AB6738" s="7">
        <v>50.281999999999996</v>
      </c>
      <c r="AC6738" s="2"/>
    </row>
    <row r="6739" spans="1:29" ht="169" x14ac:dyDescent="0.15">
      <c r="A6739" s="3">
        <f>DATE(2002,12,3)</f>
        <v>37593</v>
      </c>
      <c r="B6739" s="2"/>
      <c r="C6739" s="2" t="s">
        <v>30</v>
      </c>
      <c r="D6739" s="2" t="s">
        <v>20477</v>
      </c>
      <c r="E6739" s="2" t="s">
        <v>9346</v>
      </c>
      <c r="F6739" s="4">
        <v>3949</v>
      </c>
      <c r="G6739" s="2" t="s">
        <v>112</v>
      </c>
      <c r="H6739" s="2" t="s">
        <v>34</v>
      </c>
      <c r="I6739" s="2" t="s">
        <v>20478</v>
      </c>
      <c r="J6739" s="2" t="s">
        <v>150</v>
      </c>
      <c r="K6739" s="2" t="s">
        <v>53</v>
      </c>
      <c r="L6739" s="2" t="s">
        <v>34</v>
      </c>
      <c r="M6739" s="2"/>
      <c r="N6739" s="2"/>
      <c r="O6739" s="2"/>
      <c r="P6739" s="2" t="s">
        <v>20479</v>
      </c>
      <c r="Q6739" s="2"/>
      <c r="R6739" s="6">
        <v>8.5</v>
      </c>
      <c r="S6739" s="5">
        <v>3.5</v>
      </c>
      <c r="T6739" s="7">
        <v>9.5180000000000007</v>
      </c>
      <c r="U6739" s="5">
        <v>5.4</v>
      </c>
      <c r="V6739" s="6">
        <v>0.43</v>
      </c>
      <c r="W6739" s="6">
        <v>6.77</v>
      </c>
      <c r="X6739" s="7">
        <v>6.2110000000000003</v>
      </c>
      <c r="Y6739" s="6">
        <v>6.39</v>
      </c>
      <c r="Z6739" s="6">
        <v>6.39</v>
      </c>
      <c r="AA6739" s="6">
        <v>8.09</v>
      </c>
      <c r="AB6739" s="7">
        <v>14.352</v>
      </c>
      <c r="AC6739" s="2"/>
    </row>
    <row r="6740" spans="1:29" ht="117" x14ac:dyDescent="0.15">
      <c r="A6740" s="3">
        <f>DATE(2002,12,4)</f>
        <v>37594</v>
      </c>
      <c r="B6740" s="3">
        <f>DATE(2003,1,23)</f>
        <v>37644</v>
      </c>
      <c r="C6740" s="2" t="s">
        <v>95</v>
      </c>
      <c r="D6740" s="2" t="s">
        <v>20480</v>
      </c>
      <c r="E6740" s="2" t="s">
        <v>20481</v>
      </c>
      <c r="F6740" s="4">
        <v>2834</v>
      </c>
      <c r="G6740" s="2" t="s">
        <v>130</v>
      </c>
      <c r="H6740" s="2" t="s">
        <v>34</v>
      </c>
      <c r="I6740" s="2" t="s">
        <v>13899</v>
      </c>
      <c r="J6740" s="2" t="s">
        <v>540</v>
      </c>
      <c r="K6740" s="2" t="s">
        <v>130</v>
      </c>
      <c r="L6740" s="2" t="s">
        <v>34</v>
      </c>
      <c r="M6740" s="12">
        <v>7530.9709999999995</v>
      </c>
      <c r="N6740" s="6">
        <v>37.61</v>
      </c>
      <c r="O6740" s="6">
        <v>38.74</v>
      </c>
      <c r="P6740" s="2" t="s">
        <v>20482</v>
      </c>
      <c r="Q6740" s="6">
        <v>100</v>
      </c>
      <c r="R6740" s="6">
        <v>6</v>
      </c>
      <c r="S6740" s="5">
        <v>-31.5</v>
      </c>
      <c r="T6740" s="7">
        <v>-41.362000000000002</v>
      </c>
      <c r="U6740" s="5">
        <v>0.6</v>
      </c>
      <c r="V6740" s="6">
        <v>-0.31</v>
      </c>
      <c r="W6740" s="6">
        <v>4.68</v>
      </c>
      <c r="X6740" s="5">
        <v>4.5</v>
      </c>
      <c r="Y6740" s="6">
        <v>5.82</v>
      </c>
      <c r="Z6740" s="6">
        <v>5.86</v>
      </c>
      <c r="AA6740" s="6">
        <v>76.900000000000006</v>
      </c>
      <c r="AB6740" s="2" t="s">
        <v>86</v>
      </c>
      <c r="AC6740" s="6">
        <v>624.79</v>
      </c>
    </row>
    <row r="6741" spans="1:29" ht="117" x14ac:dyDescent="0.15">
      <c r="A6741" s="3">
        <f>DATE(2002,12,5)</f>
        <v>37595</v>
      </c>
      <c r="B6741" s="3">
        <f>DATE(2003,3,3)</f>
        <v>37683</v>
      </c>
      <c r="C6741" s="2" t="s">
        <v>95</v>
      </c>
      <c r="D6741" s="2" t="s">
        <v>20483</v>
      </c>
      <c r="E6741" s="2" t="s">
        <v>20484</v>
      </c>
      <c r="F6741" s="4">
        <v>7375</v>
      </c>
      <c r="G6741" s="2" t="s">
        <v>223</v>
      </c>
      <c r="H6741" s="2" t="s">
        <v>34</v>
      </c>
      <c r="I6741" s="2" t="s">
        <v>20485</v>
      </c>
      <c r="J6741" s="2" t="s">
        <v>2123</v>
      </c>
      <c r="K6741" s="2" t="s">
        <v>223</v>
      </c>
      <c r="L6741" s="2" t="s">
        <v>34</v>
      </c>
      <c r="M6741" s="12">
        <v>2674.9349999999999</v>
      </c>
      <c r="N6741" s="6">
        <v>35.46</v>
      </c>
      <c r="O6741" s="6">
        <v>35.86</v>
      </c>
      <c r="P6741" s="2" t="s">
        <v>20486</v>
      </c>
      <c r="Q6741" s="6">
        <v>100</v>
      </c>
      <c r="R6741" s="6">
        <v>7</v>
      </c>
      <c r="S6741" s="5">
        <v>1.2</v>
      </c>
      <c r="T6741" s="7">
        <v>4.8040000000000003</v>
      </c>
      <c r="U6741" s="5">
        <v>1.9</v>
      </c>
      <c r="V6741" s="6">
        <v>7.0000000000000007E-2</v>
      </c>
      <c r="W6741" s="6">
        <v>5.58</v>
      </c>
      <c r="X6741" s="6">
        <v>5.29</v>
      </c>
      <c r="Y6741" s="6">
        <v>5.35</v>
      </c>
      <c r="Z6741" s="6">
        <v>7.01</v>
      </c>
      <c r="AA6741" s="6">
        <v>15.42</v>
      </c>
      <c r="AB6741" s="7">
        <v>58.703000000000003</v>
      </c>
      <c r="AC6741" s="5">
        <v>136</v>
      </c>
    </row>
    <row r="6742" spans="1:29" ht="65" x14ac:dyDescent="0.15">
      <c r="A6742" s="3">
        <f>DATE(2002,12,6)</f>
        <v>37596</v>
      </c>
      <c r="B6742" s="3">
        <f>DATE(2003,2,21)</f>
        <v>37673</v>
      </c>
      <c r="C6742" s="2" t="s">
        <v>95</v>
      </c>
      <c r="D6742" s="2" t="s">
        <v>4367</v>
      </c>
      <c r="E6742" s="2" t="s">
        <v>4368</v>
      </c>
      <c r="F6742" s="4">
        <v>7372</v>
      </c>
      <c r="G6742" s="2" t="s">
        <v>551</v>
      </c>
      <c r="H6742" s="2" t="s">
        <v>34</v>
      </c>
      <c r="I6742" s="2" t="s">
        <v>5443</v>
      </c>
      <c r="J6742" s="2" t="s">
        <v>5444</v>
      </c>
      <c r="K6742" s="2" t="s">
        <v>50</v>
      </c>
      <c r="L6742" s="2" t="s">
        <v>34</v>
      </c>
      <c r="M6742" s="12">
        <v>131133.91099999999</v>
      </c>
      <c r="N6742" s="6">
        <v>82.32</v>
      </c>
      <c r="O6742" s="6">
        <v>79.59</v>
      </c>
      <c r="P6742" s="2" t="s">
        <v>20487</v>
      </c>
      <c r="Q6742" s="6">
        <v>100</v>
      </c>
      <c r="R6742" s="6">
        <v>10.5</v>
      </c>
      <c r="S6742" s="5">
        <v>-55.4</v>
      </c>
      <c r="T6742" s="7">
        <v>19.524000000000001</v>
      </c>
      <c r="U6742" s="5">
        <v>3.4</v>
      </c>
      <c r="V6742" s="6">
        <v>-0.28999999999999998</v>
      </c>
      <c r="W6742" s="6">
        <v>9.25</v>
      </c>
      <c r="X6742" s="6">
        <v>8.17</v>
      </c>
      <c r="Y6742" s="6">
        <v>10.29</v>
      </c>
      <c r="Z6742" s="6">
        <v>10.28</v>
      </c>
      <c r="AA6742" s="6">
        <v>195.17</v>
      </c>
      <c r="AB6742" s="2" t="s">
        <v>86</v>
      </c>
      <c r="AC6742" s="8">
        <v>5222</v>
      </c>
    </row>
    <row r="6743" spans="1:29" ht="104" x14ac:dyDescent="0.15">
      <c r="A6743" s="3">
        <f>DATE(2002,12,9)</f>
        <v>37599</v>
      </c>
      <c r="B6743" s="3">
        <f>DATE(2003,3,27)</f>
        <v>37707</v>
      </c>
      <c r="C6743" s="2" t="s">
        <v>95</v>
      </c>
      <c r="D6743" s="2" t="s">
        <v>20488</v>
      </c>
      <c r="E6743" s="2" t="s">
        <v>20489</v>
      </c>
      <c r="F6743" s="4">
        <v>8071</v>
      </c>
      <c r="G6743" s="2" t="s">
        <v>454</v>
      </c>
      <c r="H6743" s="2" t="s">
        <v>34</v>
      </c>
      <c r="I6743" s="2" t="s">
        <v>20490</v>
      </c>
      <c r="J6743" s="2" t="s">
        <v>1072</v>
      </c>
      <c r="K6743" s="2" t="s">
        <v>53</v>
      </c>
      <c r="L6743" s="2" t="s">
        <v>34</v>
      </c>
      <c r="M6743" s="2"/>
      <c r="N6743" s="2"/>
      <c r="O6743" s="2"/>
      <c r="P6743" s="2" t="s">
        <v>20491</v>
      </c>
      <c r="Q6743" s="6">
        <v>95.29</v>
      </c>
      <c r="R6743" s="6">
        <v>21.25</v>
      </c>
      <c r="S6743" s="5">
        <v>40.6</v>
      </c>
      <c r="T6743" s="7">
        <v>111.459</v>
      </c>
      <c r="U6743" s="5">
        <v>14.5</v>
      </c>
      <c r="V6743" s="6">
        <v>1.3</v>
      </c>
      <c r="W6743" s="6">
        <v>16.82</v>
      </c>
      <c r="X6743" s="6">
        <v>16.45</v>
      </c>
      <c r="Y6743" s="6">
        <v>21.01</v>
      </c>
      <c r="Z6743" s="6">
        <v>21.16</v>
      </c>
      <c r="AA6743" s="6">
        <v>30.66</v>
      </c>
      <c r="AB6743" s="7">
        <v>8.266</v>
      </c>
      <c r="AC6743" s="2"/>
    </row>
    <row r="6744" spans="1:29" ht="169" x14ac:dyDescent="0.15">
      <c r="A6744" s="3">
        <f>DATE(2002,12,11)</f>
        <v>37601</v>
      </c>
      <c r="B6744" s="2"/>
      <c r="C6744" s="2" t="s">
        <v>30</v>
      </c>
      <c r="D6744" s="2" t="s">
        <v>20492</v>
      </c>
      <c r="E6744" s="2" t="s">
        <v>92</v>
      </c>
      <c r="F6744" s="4">
        <v>6798</v>
      </c>
      <c r="G6744" s="2" t="s">
        <v>53</v>
      </c>
      <c r="H6744" s="2" t="s">
        <v>34</v>
      </c>
      <c r="I6744" s="2" t="s">
        <v>20493</v>
      </c>
      <c r="J6744" s="2" t="s">
        <v>20494</v>
      </c>
      <c r="K6744" s="2" t="s">
        <v>53</v>
      </c>
      <c r="L6744" s="2" t="s">
        <v>34</v>
      </c>
      <c r="M6744" s="2"/>
      <c r="N6744" s="2"/>
      <c r="O6744" s="2"/>
      <c r="P6744" s="2" t="s">
        <v>20495</v>
      </c>
      <c r="Q6744" s="2"/>
      <c r="R6744" s="6">
        <v>11.5</v>
      </c>
      <c r="S6744" s="5">
        <v>-46.4</v>
      </c>
      <c r="T6744" s="7">
        <v>21.047999999999998</v>
      </c>
      <c r="U6744" s="5">
        <v>16.7</v>
      </c>
      <c r="V6744" s="6">
        <v>-3.97</v>
      </c>
      <c r="W6744" s="6">
        <v>8.0500000000000007</v>
      </c>
      <c r="X6744" s="6">
        <v>8.0500000000000007</v>
      </c>
      <c r="Y6744" s="5">
        <v>8.3000000000000007</v>
      </c>
      <c r="Z6744" s="6">
        <v>8.36</v>
      </c>
      <c r="AA6744" s="6">
        <v>13.95</v>
      </c>
      <c r="AB6744" s="7">
        <v>55.793999999999997</v>
      </c>
      <c r="AC6744" s="2"/>
    </row>
    <row r="6745" spans="1:29" ht="104" x14ac:dyDescent="0.15">
      <c r="A6745" s="3">
        <f>DATE(2002,12,13)</f>
        <v>37603</v>
      </c>
      <c r="B6745" s="2"/>
      <c r="C6745" s="2" t="s">
        <v>30</v>
      </c>
      <c r="D6745" s="2" t="s">
        <v>20496</v>
      </c>
      <c r="E6745" s="2" t="s">
        <v>20497</v>
      </c>
      <c r="F6745" s="4">
        <v>7372</v>
      </c>
      <c r="G6745" s="2" t="s">
        <v>551</v>
      </c>
      <c r="H6745" s="2" t="s">
        <v>34</v>
      </c>
      <c r="I6745" s="2" t="s">
        <v>19173</v>
      </c>
      <c r="J6745" s="2" t="s">
        <v>9299</v>
      </c>
      <c r="K6745" s="2" t="s">
        <v>53</v>
      </c>
      <c r="L6745" s="2" t="s">
        <v>34</v>
      </c>
      <c r="M6745" s="2"/>
      <c r="N6745" s="2"/>
      <c r="O6745" s="2"/>
      <c r="P6745" s="2" t="s">
        <v>20498</v>
      </c>
      <c r="Q6745" s="2"/>
      <c r="R6745" s="6">
        <v>9.5</v>
      </c>
      <c r="S6745" s="5">
        <v>-100.1</v>
      </c>
      <c r="T6745" s="5">
        <v>-56.4</v>
      </c>
      <c r="U6745" s="5">
        <v>12.6</v>
      </c>
      <c r="V6745" s="6">
        <v>-10.34</v>
      </c>
      <c r="W6745" s="6">
        <v>4.53</v>
      </c>
      <c r="X6745" s="6">
        <v>4.47</v>
      </c>
      <c r="Y6745" s="6">
        <v>4.42</v>
      </c>
      <c r="Z6745" s="6">
        <v>4.45</v>
      </c>
      <c r="AA6745" s="6">
        <v>10.050000000000001</v>
      </c>
      <c r="AB6745" s="2" t="s">
        <v>86</v>
      </c>
      <c r="AC6745" s="2"/>
    </row>
    <row r="6746" spans="1:29" ht="52" x14ac:dyDescent="0.15">
      <c r="A6746" s="3">
        <f>DATE(2002,12,13)</f>
        <v>37603</v>
      </c>
      <c r="B6746" s="3">
        <f>DATE(2002,12,13)</f>
        <v>37603</v>
      </c>
      <c r="C6746" s="2" t="s">
        <v>95</v>
      </c>
      <c r="D6746" s="2" t="s">
        <v>20499</v>
      </c>
      <c r="E6746" s="2" t="s">
        <v>20500</v>
      </c>
      <c r="F6746" s="4">
        <v>7948</v>
      </c>
      <c r="G6746" s="2" t="s">
        <v>364</v>
      </c>
      <c r="H6746" s="2" t="s">
        <v>34</v>
      </c>
      <c r="I6746" s="2" t="s">
        <v>20501</v>
      </c>
      <c r="J6746" s="2" t="s">
        <v>20502</v>
      </c>
      <c r="K6746" s="2" t="s">
        <v>551</v>
      </c>
      <c r="L6746" s="2" t="s">
        <v>34</v>
      </c>
      <c r="M6746" s="2"/>
      <c r="N6746" s="2"/>
      <c r="O6746" s="2"/>
      <c r="P6746" s="2" t="s">
        <v>20503</v>
      </c>
      <c r="Q6746" s="6">
        <v>100</v>
      </c>
      <c r="R6746" s="2"/>
      <c r="S6746" s="2"/>
      <c r="T6746" s="2"/>
      <c r="U6746" s="2"/>
      <c r="V6746" s="2"/>
      <c r="W6746" s="6">
        <v>0.05</v>
      </c>
      <c r="X6746" s="4">
        <v>2</v>
      </c>
      <c r="Y6746" s="5">
        <v>2.5</v>
      </c>
      <c r="Z6746" s="6">
        <v>2.75</v>
      </c>
      <c r="AA6746" s="6">
        <v>10.5</v>
      </c>
      <c r="AB6746" s="2" t="s">
        <v>47</v>
      </c>
      <c r="AC6746" s="2"/>
    </row>
    <row r="6747" spans="1:29" ht="247" x14ac:dyDescent="0.15">
      <c r="A6747" s="3">
        <f>DATE(2002,12,13)</f>
        <v>37603</v>
      </c>
      <c r="B6747" s="3">
        <f>DATE(2003,9,29)</f>
        <v>37893</v>
      </c>
      <c r="C6747" s="2" t="s">
        <v>95</v>
      </c>
      <c r="D6747" s="2" t="s">
        <v>20504</v>
      </c>
      <c r="E6747" s="2" t="s">
        <v>20505</v>
      </c>
      <c r="F6747" s="2" t="s">
        <v>8313</v>
      </c>
      <c r="G6747" s="2" t="s">
        <v>426</v>
      </c>
      <c r="H6747" s="2" t="s">
        <v>34</v>
      </c>
      <c r="I6747" s="2" t="s">
        <v>20506</v>
      </c>
      <c r="J6747" s="2" t="s">
        <v>1072</v>
      </c>
      <c r="K6747" s="2" t="s">
        <v>7998</v>
      </c>
      <c r="L6747" s="2" t="s">
        <v>4389</v>
      </c>
      <c r="M6747" s="7">
        <v>63.317999999999998</v>
      </c>
      <c r="N6747" s="7">
        <v>0.55100000000000005</v>
      </c>
      <c r="O6747" s="7">
        <v>0.57199999999999995</v>
      </c>
      <c r="P6747" s="2" t="s">
        <v>20507</v>
      </c>
      <c r="Q6747" s="6">
        <v>26.59</v>
      </c>
      <c r="R6747" s="6">
        <v>3.78</v>
      </c>
      <c r="S6747" s="5">
        <v>16.100000000000001</v>
      </c>
      <c r="T6747" s="7">
        <v>77.024000000000001</v>
      </c>
      <c r="U6747" s="5">
        <v>3.1</v>
      </c>
      <c r="V6747" s="6">
        <v>-0.04</v>
      </c>
      <c r="W6747" s="5">
        <v>2.6</v>
      </c>
      <c r="X6747" s="6">
        <v>2.5499999999999998</v>
      </c>
      <c r="Y6747" s="6">
        <v>2.5099999999999998</v>
      </c>
      <c r="Z6747" s="4">
        <v>3</v>
      </c>
      <c r="AA6747" s="6">
        <v>64.08</v>
      </c>
      <c r="AB6747" s="7">
        <v>14.744999999999999</v>
      </c>
      <c r="AC6747" s="6">
        <v>43.12</v>
      </c>
    </row>
    <row r="6748" spans="1:29" ht="195" x14ac:dyDescent="0.15">
      <c r="A6748" s="3">
        <f>DATE(2002,12,13)</f>
        <v>37603</v>
      </c>
      <c r="B6748" s="3">
        <f>DATE(2003,9,29)</f>
        <v>37893</v>
      </c>
      <c r="C6748" s="2" t="s">
        <v>95</v>
      </c>
      <c r="D6748" s="2" t="s">
        <v>20504</v>
      </c>
      <c r="E6748" s="2" t="s">
        <v>20505</v>
      </c>
      <c r="F6748" s="2" t="s">
        <v>8313</v>
      </c>
      <c r="G6748" s="2" t="s">
        <v>426</v>
      </c>
      <c r="H6748" s="2" t="s">
        <v>34</v>
      </c>
      <c r="I6748" s="2" t="s">
        <v>51</v>
      </c>
      <c r="J6748" s="2" t="s">
        <v>52</v>
      </c>
      <c r="K6748" s="2" t="s">
        <v>53</v>
      </c>
      <c r="L6748" s="2" t="s">
        <v>34</v>
      </c>
      <c r="M6748" s="2"/>
      <c r="N6748" s="2"/>
      <c r="O6748" s="2"/>
      <c r="P6748" s="2" t="s">
        <v>20508</v>
      </c>
      <c r="Q6748" s="6">
        <v>47.18</v>
      </c>
      <c r="R6748" s="6">
        <v>3.4</v>
      </c>
      <c r="S6748" s="5">
        <v>-116.2</v>
      </c>
      <c r="T6748" s="7">
        <v>90.236000000000004</v>
      </c>
      <c r="U6748" s="5">
        <v>2.9</v>
      </c>
      <c r="V6748" s="6">
        <v>-2.25</v>
      </c>
      <c r="W6748" s="5">
        <v>2.6</v>
      </c>
      <c r="X6748" s="6">
        <v>2.5499999999999998</v>
      </c>
      <c r="Y6748" s="6">
        <v>2.5099999999999998</v>
      </c>
      <c r="Z6748" s="4">
        <v>3</v>
      </c>
      <c r="AA6748" s="6">
        <v>64.08</v>
      </c>
      <c r="AB6748" s="7">
        <v>12.901999999999999</v>
      </c>
      <c r="AC6748" s="2"/>
    </row>
    <row r="6749" spans="1:29" ht="143" x14ac:dyDescent="0.15">
      <c r="A6749" s="3">
        <f>DATE(2002,12,16)</f>
        <v>37606</v>
      </c>
      <c r="B6749" s="3">
        <f>DATE(2003,3,26)</f>
        <v>37706</v>
      </c>
      <c r="C6749" s="2" t="s">
        <v>95</v>
      </c>
      <c r="D6749" s="2" t="s">
        <v>20509</v>
      </c>
      <c r="E6749" s="2" t="s">
        <v>20510</v>
      </c>
      <c r="F6749" s="4">
        <v>6361</v>
      </c>
      <c r="G6749" s="2" t="s">
        <v>125</v>
      </c>
      <c r="H6749" s="2" t="s">
        <v>34</v>
      </c>
      <c r="I6749" s="2" t="s">
        <v>7551</v>
      </c>
      <c r="J6749" s="2" t="s">
        <v>7552</v>
      </c>
      <c r="K6749" s="2" t="s">
        <v>125</v>
      </c>
      <c r="L6749" s="2" t="s">
        <v>34</v>
      </c>
      <c r="M6749" s="12">
        <v>3035.1550000000002</v>
      </c>
      <c r="N6749" s="6">
        <v>32.86</v>
      </c>
      <c r="O6749" s="6">
        <v>32.61</v>
      </c>
      <c r="P6749" s="2" t="s">
        <v>20511</v>
      </c>
      <c r="Q6749" s="6">
        <v>78.22</v>
      </c>
      <c r="R6749" s="6">
        <v>14.71</v>
      </c>
      <c r="S6749" s="5">
        <v>18.600000000000001</v>
      </c>
      <c r="T6749" s="7">
        <v>33.311999999999998</v>
      </c>
      <c r="U6749" s="5">
        <v>5.2</v>
      </c>
      <c r="V6749" s="6">
        <v>1.78</v>
      </c>
      <c r="W6749" s="6">
        <v>12.69</v>
      </c>
      <c r="X6749" s="6">
        <v>13.27</v>
      </c>
      <c r="Y6749" s="6">
        <v>13.41</v>
      </c>
      <c r="Z6749" s="6">
        <v>14.46</v>
      </c>
      <c r="AA6749" s="6">
        <v>9.5299999999999994</v>
      </c>
      <c r="AB6749" s="7">
        <v>5.0380000000000003</v>
      </c>
      <c r="AC6749" s="6">
        <v>491.71</v>
      </c>
    </row>
    <row r="6750" spans="1:29" ht="130" x14ac:dyDescent="0.15">
      <c r="A6750" s="3">
        <f>DATE(2002,12,16)</f>
        <v>37606</v>
      </c>
      <c r="B6750" s="3">
        <f>DATE(2003,6,3)</f>
        <v>37775</v>
      </c>
      <c r="C6750" s="2" t="s">
        <v>95</v>
      </c>
      <c r="D6750" s="2" t="s">
        <v>20512</v>
      </c>
      <c r="E6750" s="2" t="s">
        <v>20513</v>
      </c>
      <c r="F6750" s="4">
        <v>5083</v>
      </c>
      <c r="G6750" s="2" t="s">
        <v>76</v>
      </c>
      <c r="H6750" s="2" t="s">
        <v>34</v>
      </c>
      <c r="I6750" s="2" t="s">
        <v>20514</v>
      </c>
      <c r="J6750" s="2" t="s">
        <v>1072</v>
      </c>
      <c r="K6750" s="2" t="s">
        <v>53</v>
      </c>
      <c r="L6750" s="2" t="s">
        <v>34</v>
      </c>
      <c r="M6750" s="2"/>
      <c r="N6750" s="2"/>
      <c r="O6750" s="2"/>
      <c r="P6750" s="2" t="s">
        <v>20515</v>
      </c>
      <c r="Q6750" s="6">
        <v>30.32</v>
      </c>
      <c r="R6750" s="6">
        <v>6.01</v>
      </c>
      <c r="S6750" s="5">
        <v>3</v>
      </c>
      <c r="T6750" s="7">
        <v>10.787000000000001</v>
      </c>
      <c r="U6750" s="5">
        <v>7.1</v>
      </c>
      <c r="V6750" s="6">
        <v>0.23</v>
      </c>
      <c r="W6750" s="6">
        <v>4.25</v>
      </c>
      <c r="X6750" s="6">
        <v>4.3600000000000003</v>
      </c>
      <c r="Y6750" s="6">
        <v>4.32</v>
      </c>
      <c r="Z6750" s="6">
        <v>5.08</v>
      </c>
      <c r="AA6750" s="6">
        <v>12.63</v>
      </c>
      <c r="AB6750" s="7">
        <v>25.603000000000002</v>
      </c>
      <c r="AC6750" s="2"/>
    </row>
    <row r="6751" spans="1:29" ht="260" x14ac:dyDescent="0.15">
      <c r="A6751" s="3">
        <f>DATE(2002,12,16)</f>
        <v>37606</v>
      </c>
      <c r="B6751" s="3">
        <f>DATE(2003,3,26)</f>
        <v>37706</v>
      </c>
      <c r="C6751" s="2" t="s">
        <v>95</v>
      </c>
      <c r="D6751" s="2" t="s">
        <v>20477</v>
      </c>
      <c r="E6751" s="2" t="s">
        <v>9346</v>
      </c>
      <c r="F6751" s="4">
        <v>3949</v>
      </c>
      <c r="G6751" s="2" t="s">
        <v>112</v>
      </c>
      <c r="H6751" s="2" t="s">
        <v>34</v>
      </c>
      <c r="I6751" s="2" t="s">
        <v>20516</v>
      </c>
      <c r="J6751" s="2" t="s">
        <v>13671</v>
      </c>
      <c r="K6751" s="2" t="s">
        <v>112</v>
      </c>
      <c r="L6751" s="2" t="s">
        <v>34</v>
      </c>
      <c r="M6751" s="7">
        <v>177.417</v>
      </c>
      <c r="N6751" s="6">
        <v>9.48</v>
      </c>
      <c r="O6751" s="6">
        <v>9.5299999999999994</v>
      </c>
      <c r="P6751" s="2" t="s">
        <v>20517</v>
      </c>
      <c r="Q6751" s="6">
        <v>100</v>
      </c>
      <c r="R6751" s="6">
        <v>9</v>
      </c>
      <c r="S6751" s="5">
        <v>3.5</v>
      </c>
      <c r="T6751" s="7">
        <v>9.5180000000000007</v>
      </c>
      <c r="U6751" s="5">
        <v>5.4</v>
      </c>
      <c r="V6751" s="6">
        <v>0.43</v>
      </c>
      <c r="W6751" s="6">
        <v>6.77</v>
      </c>
      <c r="X6751" s="7">
        <v>6.2110000000000003</v>
      </c>
      <c r="Y6751" s="6">
        <v>6.39</v>
      </c>
      <c r="Z6751" s="6">
        <v>6.39</v>
      </c>
      <c r="AA6751" s="6">
        <v>8.09</v>
      </c>
      <c r="AB6751" s="7">
        <v>14.96</v>
      </c>
      <c r="AC6751" s="6">
        <v>11.23</v>
      </c>
    </row>
    <row r="6752" spans="1:29" ht="221" x14ac:dyDescent="0.15">
      <c r="A6752" s="3">
        <f>DATE(2002,12,17)</f>
        <v>37607</v>
      </c>
      <c r="B6752" s="3">
        <f>DATE(2003,7,22)</f>
        <v>37824</v>
      </c>
      <c r="C6752" s="2" t="s">
        <v>95</v>
      </c>
      <c r="D6752" s="2" t="s">
        <v>20518</v>
      </c>
      <c r="E6752" s="2" t="s">
        <v>36</v>
      </c>
      <c r="F6752" s="4">
        <v>6035</v>
      </c>
      <c r="G6752" s="2" t="s">
        <v>33</v>
      </c>
      <c r="H6752" s="2" t="s">
        <v>34</v>
      </c>
      <c r="I6752" s="2" t="s">
        <v>7189</v>
      </c>
      <c r="J6752" s="2" t="s">
        <v>7190</v>
      </c>
      <c r="K6752" s="2" t="s">
        <v>37</v>
      </c>
      <c r="L6752" s="2" t="s">
        <v>34</v>
      </c>
      <c r="M6752" s="7">
        <v>755.11199999999997</v>
      </c>
      <c r="N6752" s="6">
        <v>34.28</v>
      </c>
      <c r="O6752" s="6">
        <v>33.97</v>
      </c>
      <c r="P6752" s="2" t="s">
        <v>20519</v>
      </c>
      <c r="Q6752" s="6">
        <v>100</v>
      </c>
      <c r="R6752" s="6">
        <v>31</v>
      </c>
      <c r="S6752" s="5">
        <v>8</v>
      </c>
      <c r="T6752" s="7">
        <v>13.428000000000001</v>
      </c>
      <c r="U6752" s="5">
        <v>18.2</v>
      </c>
      <c r="V6752" s="6">
        <v>2.4900000000000002</v>
      </c>
      <c r="W6752" s="6">
        <v>27.17</v>
      </c>
      <c r="X6752" s="5">
        <v>27.1</v>
      </c>
      <c r="Y6752" s="6">
        <v>30.16</v>
      </c>
      <c r="Z6752" s="6">
        <v>30.14</v>
      </c>
      <c r="AA6752" s="6">
        <v>3.08</v>
      </c>
      <c r="AB6752" s="7">
        <v>22.035</v>
      </c>
      <c r="AC6752" s="2"/>
    </row>
    <row r="6753" spans="1:29" ht="91" x14ac:dyDescent="0.15">
      <c r="A6753" s="3">
        <f>DATE(2002,12,17)</f>
        <v>37607</v>
      </c>
      <c r="B6753" s="3">
        <f>DATE(2003,4,23)</f>
        <v>37734</v>
      </c>
      <c r="C6753" s="2" t="s">
        <v>95</v>
      </c>
      <c r="D6753" s="2" t="s">
        <v>20520</v>
      </c>
      <c r="E6753" s="2" t="s">
        <v>20521</v>
      </c>
      <c r="F6753" s="4">
        <v>3635</v>
      </c>
      <c r="G6753" s="2" t="s">
        <v>137</v>
      </c>
      <c r="H6753" s="2" t="s">
        <v>34</v>
      </c>
      <c r="I6753" s="2" t="s">
        <v>20522</v>
      </c>
      <c r="J6753" s="2" t="s">
        <v>20523</v>
      </c>
      <c r="K6753" s="2" t="s">
        <v>300</v>
      </c>
      <c r="L6753" s="2" t="s">
        <v>1086</v>
      </c>
      <c r="M6753" s="7">
        <v>537.21600000000001</v>
      </c>
      <c r="N6753" s="7">
        <v>0.99399999999999999</v>
      </c>
      <c r="O6753" s="7">
        <v>0.99399999999999999</v>
      </c>
      <c r="P6753" s="2" t="s">
        <v>20524</v>
      </c>
      <c r="Q6753" s="6">
        <v>100</v>
      </c>
      <c r="R6753" s="6">
        <v>7.37</v>
      </c>
      <c r="S6753" s="5">
        <v>5.7</v>
      </c>
      <c r="T6753" s="7">
        <v>27.745000000000001</v>
      </c>
      <c r="U6753" s="5">
        <v>2.9</v>
      </c>
      <c r="V6753" s="6">
        <v>0.4</v>
      </c>
      <c r="W6753" s="5">
        <v>5.0999999999999996</v>
      </c>
      <c r="X6753" s="6">
        <v>5.98</v>
      </c>
      <c r="Y6753" s="6">
        <v>7.24</v>
      </c>
      <c r="Z6753" s="6">
        <v>7.24</v>
      </c>
      <c r="AA6753" s="6">
        <v>12.82</v>
      </c>
      <c r="AB6753" s="7">
        <v>12.46</v>
      </c>
      <c r="AC6753" s="6">
        <v>83.19</v>
      </c>
    </row>
    <row r="6754" spans="1:29" ht="260" x14ac:dyDescent="0.15">
      <c r="A6754" s="3">
        <f>DATE(2002,12,18)</f>
        <v>37608</v>
      </c>
      <c r="B6754" s="3">
        <f>DATE(2003,7,15)</f>
        <v>37817</v>
      </c>
      <c r="C6754" s="2" t="s">
        <v>95</v>
      </c>
      <c r="D6754" s="2" t="s">
        <v>20525</v>
      </c>
      <c r="E6754" s="2" t="s">
        <v>2898</v>
      </c>
      <c r="F6754" s="4">
        <v>6021</v>
      </c>
      <c r="G6754" s="2" t="s">
        <v>37</v>
      </c>
      <c r="H6754" s="2" t="s">
        <v>34</v>
      </c>
      <c r="I6754" s="2" t="s">
        <v>8288</v>
      </c>
      <c r="J6754" s="2" t="s">
        <v>36</v>
      </c>
      <c r="K6754" s="2" t="s">
        <v>37</v>
      </c>
      <c r="L6754" s="2" t="s">
        <v>34</v>
      </c>
      <c r="M6754" s="7">
        <v>244.851</v>
      </c>
      <c r="N6754" s="6">
        <v>18.34</v>
      </c>
      <c r="O6754" s="5">
        <v>18.5</v>
      </c>
      <c r="P6754" s="2" t="s">
        <v>20526</v>
      </c>
      <c r="Q6754" s="6">
        <v>100</v>
      </c>
      <c r="R6754" s="6">
        <v>18.73</v>
      </c>
      <c r="S6754" s="5">
        <v>0.9</v>
      </c>
      <c r="T6754" s="6">
        <v>1.49</v>
      </c>
      <c r="U6754" s="5">
        <v>10.7</v>
      </c>
      <c r="V6754" s="6">
        <v>0.85</v>
      </c>
      <c r="W6754" s="5">
        <v>12.7</v>
      </c>
      <c r="X6754" s="6">
        <v>12.25</v>
      </c>
      <c r="Y6754" s="4">
        <v>13</v>
      </c>
      <c r="Z6754" s="6">
        <v>15.52</v>
      </c>
      <c r="AA6754" s="6">
        <v>1.02</v>
      </c>
      <c r="AB6754" s="7">
        <v>142.38</v>
      </c>
      <c r="AC6754" s="2"/>
    </row>
    <row r="6755" spans="1:29" ht="78" x14ac:dyDescent="0.15">
      <c r="A6755" s="3">
        <f>DATE(2002,12,19)</f>
        <v>37609</v>
      </c>
      <c r="B6755" s="3">
        <f>DATE(2003,5,31)</f>
        <v>37772</v>
      </c>
      <c r="C6755" s="2" t="s">
        <v>95</v>
      </c>
      <c r="D6755" s="2" t="s">
        <v>20527</v>
      </c>
      <c r="E6755" s="2" t="s">
        <v>203</v>
      </c>
      <c r="F6755" s="4">
        <v>6035</v>
      </c>
      <c r="G6755" s="2" t="s">
        <v>33</v>
      </c>
      <c r="H6755" s="2" t="s">
        <v>34</v>
      </c>
      <c r="I6755" s="2" t="s">
        <v>17310</v>
      </c>
      <c r="J6755" s="2" t="s">
        <v>17311</v>
      </c>
      <c r="K6755" s="2" t="s">
        <v>33</v>
      </c>
      <c r="L6755" s="2" t="s">
        <v>34</v>
      </c>
      <c r="M6755" s="6">
        <v>530.04999999999995</v>
      </c>
      <c r="N6755" s="6">
        <v>20.64</v>
      </c>
      <c r="O6755" s="6">
        <v>20.37</v>
      </c>
      <c r="P6755" s="2" t="s">
        <v>20528</v>
      </c>
      <c r="Q6755" s="6">
        <v>100</v>
      </c>
      <c r="R6755" s="6">
        <v>27</v>
      </c>
      <c r="S6755" s="5">
        <v>7</v>
      </c>
      <c r="T6755" s="2"/>
      <c r="U6755" s="5">
        <v>11.6</v>
      </c>
      <c r="V6755" s="9">
        <v>1.4167000000000001</v>
      </c>
      <c r="W6755" s="6">
        <v>25.78</v>
      </c>
      <c r="X6755" s="4">
        <v>27</v>
      </c>
      <c r="Y6755" s="6">
        <v>27.05</v>
      </c>
      <c r="Z6755" s="6">
        <v>26.14</v>
      </c>
      <c r="AA6755" s="6">
        <v>4.71</v>
      </c>
      <c r="AB6755" s="7">
        <v>23.748000000000001</v>
      </c>
      <c r="AC6755" s="2"/>
    </row>
    <row r="6756" spans="1:29" ht="52" x14ac:dyDescent="0.15">
      <c r="A6756" s="3">
        <f>DATE(2002,12,19)</f>
        <v>37609</v>
      </c>
      <c r="B6756" s="3">
        <f>DATE(2002,12,19)</f>
        <v>37609</v>
      </c>
      <c r="C6756" s="2" t="s">
        <v>95</v>
      </c>
      <c r="D6756" s="2" t="s">
        <v>20529</v>
      </c>
      <c r="E6756" s="2" t="s">
        <v>20370</v>
      </c>
      <c r="F6756" s="4">
        <v>7389</v>
      </c>
      <c r="G6756" s="2" t="s">
        <v>223</v>
      </c>
      <c r="H6756" s="2" t="s">
        <v>34</v>
      </c>
      <c r="I6756" s="2" t="s">
        <v>20530</v>
      </c>
      <c r="J6756" s="2" t="s">
        <v>20531</v>
      </c>
      <c r="K6756" s="2" t="s">
        <v>223</v>
      </c>
      <c r="L6756" s="2" t="s">
        <v>34</v>
      </c>
      <c r="M6756" s="7">
        <v>2.1619999999999999</v>
      </c>
      <c r="N6756" s="6">
        <v>0.13</v>
      </c>
      <c r="O6756" s="5">
        <v>0.1</v>
      </c>
      <c r="P6756" s="2" t="s">
        <v>20532</v>
      </c>
      <c r="Q6756" s="6">
        <v>100</v>
      </c>
      <c r="R6756" s="2"/>
      <c r="S6756" s="5">
        <v>-0.7</v>
      </c>
      <c r="T6756" s="7">
        <v>-0.50900000000000001</v>
      </c>
      <c r="U6756" s="5">
        <v>-0.8</v>
      </c>
      <c r="V6756" s="9">
        <v>-0.9506</v>
      </c>
      <c r="W6756" s="6">
        <v>2.5299999999999998</v>
      </c>
      <c r="X6756" s="6">
        <v>2.5299999999999998</v>
      </c>
      <c r="Y6756" s="6">
        <v>2.5299999999999998</v>
      </c>
      <c r="Z6756" s="6">
        <v>2.5299999999999998</v>
      </c>
      <c r="AA6756" s="6">
        <v>36.4</v>
      </c>
      <c r="AB6756" s="2" t="s">
        <v>86</v>
      </c>
      <c r="AC6756" s="6">
        <v>7.0000000000000007E-2</v>
      </c>
    </row>
    <row r="6757" spans="1:29" ht="65" x14ac:dyDescent="0.15">
      <c r="A6757" s="3">
        <f>DATE(2002,12,20)</f>
        <v>37610</v>
      </c>
      <c r="B6757" s="2"/>
      <c r="C6757" s="2" t="s">
        <v>30</v>
      </c>
      <c r="D6757" s="2" t="s">
        <v>20533</v>
      </c>
      <c r="E6757" s="2" t="s">
        <v>540</v>
      </c>
      <c r="F6757" s="4">
        <v>2836</v>
      </c>
      <c r="G6757" s="2" t="s">
        <v>130</v>
      </c>
      <c r="H6757" s="2" t="s">
        <v>34</v>
      </c>
      <c r="I6757" s="2" t="s">
        <v>278</v>
      </c>
      <c r="J6757" s="2" t="s">
        <v>52</v>
      </c>
      <c r="K6757" s="2" t="s">
        <v>53</v>
      </c>
      <c r="L6757" s="2" t="s">
        <v>34</v>
      </c>
      <c r="M6757" s="2"/>
      <c r="N6757" s="2"/>
      <c r="O6757" s="2"/>
      <c r="P6757" s="2" t="s">
        <v>20534</v>
      </c>
      <c r="Q6757" s="2"/>
      <c r="R6757" s="2"/>
      <c r="S6757" s="5">
        <v>72</v>
      </c>
      <c r="T6757" s="6">
        <v>114.67</v>
      </c>
      <c r="U6757" s="5">
        <v>0.1</v>
      </c>
      <c r="V6757" s="6">
        <v>0.48</v>
      </c>
      <c r="W6757" s="6">
        <v>5.65</v>
      </c>
      <c r="X6757" s="6">
        <v>5.65</v>
      </c>
      <c r="Y6757" s="6">
        <v>5.75</v>
      </c>
      <c r="Z6757" s="6">
        <v>5.76</v>
      </c>
      <c r="AA6757" s="6">
        <v>150</v>
      </c>
      <c r="AB6757" s="2" t="s">
        <v>47</v>
      </c>
      <c r="AC6757" s="2"/>
    </row>
    <row r="6758" spans="1:29" ht="78" x14ac:dyDescent="0.15">
      <c r="A6758" s="3">
        <f>DATE(2002,12,20)</f>
        <v>37610</v>
      </c>
      <c r="B6758" s="3">
        <f>DATE(2003,4,25)</f>
        <v>37736</v>
      </c>
      <c r="C6758" s="2" t="s">
        <v>95</v>
      </c>
      <c r="D6758" s="2" t="s">
        <v>20535</v>
      </c>
      <c r="E6758" s="2" t="s">
        <v>2712</v>
      </c>
      <c r="F6758" s="4">
        <v>6211</v>
      </c>
      <c r="G6758" s="2" t="s">
        <v>53</v>
      </c>
      <c r="H6758" s="2" t="s">
        <v>34</v>
      </c>
      <c r="I6758" s="2" t="s">
        <v>20536</v>
      </c>
      <c r="J6758" s="2" t="s">
        <v>2898</v>
      </c>
      <c r="K6758" s="2" t="s">
        <v>37</v>
      </c>
      <c r="L6758" s="2" t="s">
        <v>34</v>
      </c>
      <c r="M6758" s="7">
        <v>136.05500000000001</v>
      </c>
      <c r="N6758" s="4">
        <v>19</v>
      </c>
      <c r="O6758" s="6">
        <v>18.75</v>
      </c>
      <c r="P6758" s="2" t="s">
        <v>20537</v>
      </c>
      <c r="Q6758" s="6">
        <v>100</v>
      </c>
      <c r="R6758" s="6">
        <v>22.04</v>
      </c>
      <c r="S6758" s="5">
        <v>0.1</v>
      </c>
      <c r="T6758" s="2"/>
      <c r="U6758" s="5">
        <v>19.5</v>
      </c>
      <c r="V6758" s="7">
        <v>0.47099999999999997</v>
      </c>
      <c r="W6758" s="6">
        <v>19.25</v>
      </c>
      <c r="X6758" s="6">
        <v>19.25</v>
      </c>
      <c r="Y6758" s="2"/>
      <c r="Z6758" s="2"/>
      <c r="AA6758" s="6">
        <v>0.3</v>
      </c>
      <c r="AB6758" s="7">
        <v>184.46600000000001</v>
      </c>
      <c r="AC6758" s="2"/>
    </row>
    <row r="6759" spans="1:29" ht="52" x14ac:dyDescent="0.15">
      <c r="A6759" s="3">
        <f>DATE(2002,12,23)</f>
        <v>37613</v>
      </c>
      <c r="B6759" s="3">
        <f>DATE(2003,3,19)</f>
        <v>37699</v>
      </c>
      <c r="C6759" s="2" t="s">
        <v>95</v>
      </c>
      <c r="D6759" s="2" t="s">
        <v>20538</v>
      </c>
      <c r="E6759" s="2" t="s">
        <v>18557</v>
      </c>
      <c r="F6759" s="4">
        <v>7372</v>
      </c>
      <c r="G6759" s="2" t="s">
        <v>551</v>
      </c>
      <c r="H6759" s="2" t="s">
        <v>34</v>
      </c>
      <c r="I6759" s="2" t="s">
        <v>12515</v>
      </c>
      <c r="J6759" s="2" t="s">
        <v>12371</v>
      </c>
      <c r="K6759" s="2" t="s">
        <v>223</v>
      </c>
      <c r="L6759" s="2" t="s">
        <v>34</v>
      </c>
      <c r="M6759" s="12">
        <v>10866.558999999999</v>
      </c>
      <c r="N6759" s="6">
        <v>17.72</v>
      </c>
      <c r="O6759" s="6">
        <v>17.37</v>
      </c>
      <c r="P6759" s="2" t="s">
        <v>20539</v>
      </c>
      <c r="Q6759" s="6">
        <v>100</v>
      </c>
      <c r="R6759" s="6">
        <v>1.65</v>
      </c>
      <c r="S6759" s="5">
        <v>-500.8</v>
      </c>
      <c r="T6759" s="7">
        <v>-24.673999999999999</v>
      </c>
      <c r="U6759" s="5">
        <v>0.3</v>
      </c>
      <c r="V6759" s="6">
        <v>-3.51</v>
      </c>
      <c r="W6759" s="6">
        <v>1.28</v>
      </c>
      <c r="X6759" s="6">
        <v>1.17</v>
      </c>
      <c r="Y6759" s="5">
        <v>1.6</v>
      </c>
      <c r="Z6759" s="5">
        <v>1.6</v>
      </c>
      <c r="AA6759" s="6">
        <v>146.36000000000001</v>
      </c>
      <c r="AB6759" s="2" t="s">
        <v>86</v>
      </c>
      <c r="AC6759" s="6">
        <v>775.69</v>
      </c>
    </row>
    <row r="6760" spans="1:29" ht="78" x14ac:dyDescent="0.15">
      <c r="A6760" s="3">
        <f>DATE(2002,12,23)</f>
        <v>37613</v>
      </c>
      <c r="B6760" s="2"/>
      <c r="C6760" s="2" t="s">
        <v>56</v>
      </c>
      <c r="D6760" s="2" t="s">
        <v>20540</v>
      </c>
      <c r="E6760" s="2" t="s">
        <v>10623</v>
      </c>
      <c r="F6760" s="4">
        <v>5941</v>
      </c>
      <c r="G6760" s="2" t="s">
        <v>73</v>
      </c>
      <c r="H6760" s="2" t="s">
        <v>34</v>
      </c>
      <c r="I6760" s="2" t="s">
        <v>20541</v>
      </c>
      <c r="J6760" s="2" t="s">
        <v>302</v>
      </c>
      <c r="K6760" s="2" t="s">
        <v>53</v>
      </c>
      <c r="L6760" s="2" t="s">
        <v>34</v>
      </c>
      <c r="M6760" s="2"/>
      <c r="N6760" s="2"/>
      <c r="O6760" s="2"/>
      <c r="P6760" s="2" t="s">
        <v>20542</v>
      </c>
      <c r="Q6760" s="2"/>
      <c r="R6760" s="2"/>
      <c r="S6760" s="5">
        <v>3.7</v>
      </c>
      <c r="T6760" s="7">
        <v>11.696</v>
      </c>
      <c r="U6760" s="5">
        <v>34.200000000000003</v>
      </c>
      <c r="V6760" s="6">
        <v>2.16</v>
      </c>
      <c r="W6760" s="5">
        <v>7.1</v>
      </c>
      <c r="X6760" s="4">
        <v>7</v>
      </c>
      <c r="Y6760" s="6">
        <v>7.26</v>
      </c>
      <c r="Z6760" s="6">
        <v>7.29</v>
      </c>
      <c r="AA6760" s="6">
        <v>6.62</v>
      </c>
      <c r="AB6760" s="2" t="s">
        <v>47</v>
      </c>
      <c r="AC6760" s="2"/>
    </row>
    <row r="6761" spans="1:29" ht="208" x14ac:dyDescent="0.15">
      <c r="A6761" s="3">
        <f>DATE(2002,12,23)</f>
        <v>37613</v>
      </c>
      <c r="B6761" s="3">
        <f>DATE(2003,5,6)</f>
        <v>37747</v>
      </c>
      <c r="C6761" s="2" t="s">
        <v>95</v>
      </c>
      <c r="D6761" s="2" t="s">
        <v>20543</v>
      </c>
      <c r="E6761" s="2" t="s">
        <v>20544</v>
      </c>
      <c r="F6761" s="4">
        <v>2086</v>
      </c>
      <c r="G6761" s="2" t="s">
        <v>577</v>
      </c>
      <c r="H6761" s="2" t="s">
        <v>34</v>
      </c>
      <c r="I6761" s="2" t="s">
        <v>20545</v>
      </c>
      <c r="J6761" s="2" t="s">
        <v>17466</v>
      </c>
      <c r="K6761" s="2" t="s">
        <v>577</v>
      </c>
      <c r="L6761" s="2" t="s">
        <v>4389</v>
      </c>
      <c r="M6761" s="7">
        <v>58.807000000000002</v>
      </c>
      <c r="N6761" s="7">
        <v>1.855</v>
      </c>
      <c r="O6761" s="7">
        <v>1.9079999999999999</v>
      </c>
      <c r="P6761" s="2" t="s">
        <v>20546</v>
      </c>
      <c r="Q6761" s="6">
        <v>100</v>
      </c>
      <c r="R6761" s="6">
        <v>23.16</v>
      </c>
      <c r="S6761" s="5">
        <v>37.700000000000003</v>
      </c>
      <c r="T6761" s="7">
        <v>411.86399999999998</v>
      </c>
      <c r="U6761" s="2"/>
      <c r="V6761" s="9">
        <v>0.86909999999999998</v>
      </c>
      <c r="W6761" s="6">
        <v>8.66</v>
      </c>
      <c r="X6761" s="6">
        <v>10.09</v>
      </c>
      <c r="Y6761" s="6">
        <v>20.59</v>
      </c>
      <c r="Z6761" s="6">
        <v>20.55</v>
      </c>
      <c r="AA6761" s="6">
        <v>119.58</v>
      </c>
      <c r="AB6761" s="7">
        <v>21.562000000000001</v>
      </c>
      <c r="AC6761" s="6">
        <v>460.49</v>
      </c>
    </row>
    <row r="6762" spans="1:29" ht="117" x14ac:dyDescent="0.15">
      <c r="A6762" s="3">
        <f>DATE(2002,12,24)</f>
        <v>37614</v>
      </c>
      <c r="B6762" s="3">
        <f>DATE(2003,3,26)</f>
        <v>37706</v>
      </c>
      <c r="C6762" s="2" t="s">
        <v>95</v>
      </c>
      <c r="D6762" s="2" t="s">
        <v>20547</v>
      </c>
      <c r="E6762" s="2" t="s">
        <v>92</v>
      </c>
      <c r="F6762" s="4">
        <v>6798</v>
      </c>
      <c r="G6762" s="2" t="s">
        <v>53</v>
      </c>
      <c r="H6762" s="2" t="s">
        <v>34</v>
      </c>
      <c r="I6762" s="2" t="s">
        <v>20548</v>
      </c>
      <c r="J6762" s="2" t="s">
        <v>20549</v>
      </c>
      <c r="K6762" s="2" t="s">
        <v>53</v>
      </c>
      <c r="L6762" s="2" t="s">
        <v>34</v>
      </c>
      <c r="M6762" s="2"/>
      <c r="N6762" s="2"/>
      <c r="O6762" s="2"/>
      <c r="P6762" s="2" t="s">
        <v>20550</v>
      </c>
      <c r="Q6762" s="6">
        <v>100</v>
      </c>
      <c r="R6762" s="6">
        <v>11.52</v>
      </c>
      <c r="S6762" s="5">
        <v>3.7</v>
      </c>
      <c r="T6762" s="7">
        <v>10.589</v>
      </c>
      <c r="U6762" s="5">
        <v>13.7</v>
      </c>
      <c r="V6762" s="6">
        <v>0.46</v>
      </c>
      <c r="W6762" s="6">
        <v>10.78</v>
      </c>
      <c r="X6762" s="5">
        <v>10.7</v>
      </c>
      <c r="Y6762" s="6">
        <v>11.47</v>
      </c>
      <c r="Z6762" s="6">
        <v>11.47</v>
      </c>
      <c r="AA6762" s="6">
        <v>8.0500000000000007</v>
      </c>
      <c r="AB6762" s="7">
        <v>37.198</v>
      </c>
      <c r="AC6762" s="2"/>
    </row>
    <row r="6763" spans="1:29" ht="117" x14ac:dyDescent="0.15">
      <c r="A6763" s="3">
        <f>DATE(2002,12,24)</f>
        <v>37614</v>
      </c>
      <c r="B6763" s="3">
        <f>DATE(2003,8,6)</f>
        <v>37839</v>
      </c>
      <c r="C6763" s="2" t="s">
        <v>95</v>
      </c>
      <c r="D6763" s="2" t="s">
        <v>20551</v>
      </c>
      <c r="E6763" s="2" t="s">
        <v>20552</v>
      </c>
      <c r="F6763" s="4">
        <v>7948</v>
      </c>
      <c r="G6763" s="2" t="s">
        <v>364</v>
      </c>
      <c r="H6763" s="2" t="s">
        <v>34</v>
      </c>
      <c r="I6763" s="2" t="s">
        <v>20553</v>
      </c>
      <c r="J6763" s="2" t="s">
        <v>20554</v>
      </c>
      <c r="K6763" s="2" t="s">
        <v>269</v>
      </c>
      <c r="L6763" s="2" t="s">
        <v>34</v>
      </c>
      <c r="M6763" s="7">
        <v>273.36099999999999</v>
      </c>
      <c r="N6763" s="6">
        <v>8.07</v>
      </c>
      <c r="O6763" s="6">
        <v>8.07</v>
      </c>
      <c r="P6763" s="2" t="s">
        <v>20555</v>
      </c>
      <c r="Q6763" s="6">
        <v>100</v>
      </c>
      <c r="R6763" s="6">
        <v>32</v>
      </c>
      <c r="S6763" s="5">
        <v>-1.5</v>
      </c>
      <c r="T6763" s="7">
        <v>-0.66300000000000003</v>
      </c>
      <c r="U6763" s="5">
        <v>1</v>
      </c>
      <c r="V6763" s="6">
        <v>-2.4900000000000002</v>
      </c>
      <c r="W6763" s="4">
        <v>13</v>
      </c>
      <c r="X6763" s="4">
        <v>13</v>
      </c>
      <c r="Y6763" s="5">
        <v>28.5</v>
      </c>
      <c r="Z6763" s="4">
        <v>31</v>
      </c>
      <c r="AA6763" s="6">
        <v>0.6</v>
      </c>
      <c r="AB6763" s="2" t="s">
        <v>86</v>
      </c>
      <c r="AC6763" s="6">
        <v>13.74</v>
      </c>
    </row>
    <row r="6764" spans="1:29" ht="169" x14ac:dyDescent="0.15">
      <c r="A6764" s="3">
        <f>DATE(2002,12,25)</f>
        <v>37615</v>
      </c>
      <c r="B6764" s="2"/>
      <c r="C6764" s="2" t="s">
        <v>30</v>
      </c>
      <c r="D6764" s="2" t="s">
        <v>20556</v>
      </c>
      <c r="E6764" s="2" t="s">
        <v>20557</v>
      </c>
      <c r="F6764" s="4">
        <v>7372</v>
      </c>
      <c r="G6764" s="2" t="s">
        <v>551</v>
      </c>
      <c r="H6764" s="2" t="s">
        <v>34</v>
      </c>
      <c r="I6764" s="2" t="s">
        <v>51</v>
      </c>
      <c r="J6764" s="2" t="s">
        <v>52</v>
      </c>
      <c r="K6764" s="2" t="s">
        <v>53</v>
      </c>
      <c r="L6764" s="2" t="s">
        <v>34</v>
      </c>
      <c r="M6764" s="2"/>
      <c r="N6764" s="2"/>
      <c r="O6764" s="2"/>
      <c r="P6764" s="2" t="s">
        <v>20558</v>
      </c>
      <c r="Q6764" s="2"/>
      <c r="R6764" s="6">
        <v>1.83</v>
      </c>
      <c r="S6764" s="5">
        <v>-19.5</v>
      </c>
      <c r="T6764" s="7">
        <v>-18.186</v>
      </c>
      <c r="U6764" s="5">
        <v>2.4</v>
      </c>
      <c r="V6764" s="6">
        <v>-0.72</v>
      </c>
      <c r="W6764" s="6">
        <v>1.32</v>
      </c>
      <c r="X6764" s="6">
        <v>1.76</v>
      </c>
      <c r="Y6764" s="6">
        <v>1.76</v>
      </c>
      <c r="Z6764" s="6">
        <v>1.77</v>
      </c>
      <c r="AA6764" s="6">
        <v>27.29</v>
      </c>
      <c r="AB6764" s="2" t="s">
        <v>86</v>
      </c>
      <c r="AC6764" s="2"/>
    </row>
    <row r="6765" spans="1:29" ht="182" x14ac:dyDescent="0.15">
      <c r="A6765" s="3">
        <f>DATE(2002,12,30)</f>
        <v>37620</v>
      </c>
      <c r="B6765" s="3">
        <f>DATE(2003,6,20)</f>
        <v>37792</v>
      </c>
      <c r="C6765" s="2" t="s">
        <v>95</v>
      </c>
      <c r="D6765" s="2" t="s">
        <v>20559</v>
      </c>
      <c r="E6765" s="2" t="s">
        <v>36</v>
      </c>
      <c r="F6765" s="4">
        <v>6021</v>
      </c>
      <c r="G6765" s="2" t="s">
        <v>37</v>
      </c>
      <c r="H6765" s="2" t="s">
        <v>34</v>
      </c>
      <c r="I6765" s="2" t="s">
        <v>20560</v>
      </c>
      <c r="J6765" s="2" t="s">
        <v>14170</v>
      </c>
      <c r="K6765" s="2" t="s">
        <v>33</v>
      </c>
      <c r="L6765" s="2" t="s">
        <v>34</v>
      </c>
      <c r="M6765" s="7">
        <v>26.420999999999999</v>
      </c>
      <c r="N6765" s="5">
        <v>25.5</v>
      </c>
      <c r="O6765" s="6">
        <v>25.61</v>
      </c>
      <c r="P6765" s="2" t="s">
        <v>20561</v>
      </c>
      <c r="Q6765" s="6">
        <v>100</v>
      </c>
      <c r="R6765" s="6">
        <v>24.25</v>
      </c>
      <c r="S6765" s="5">
        <v>0.5</v>
      </c>
      <c r="T6765" s="7">
        <v>0.83099999999999996</v>
      </c>
      <c r="U6765" s="5">
        <v>19.8</v>
      </c>
      <c r="V6765" s="6">
        <v>1.1499999999999999</v>
      </c>
      <c r="W6765" s="4">
        <v>21</v>
      </c>
      <c r="X6765" s="4">
        <v>21</v>
      </c>
      <c r="Y6765" s="4">
        <v>21</v>
      </c>
      <c r="Z6765" s="6">
        <v>23.75</v>
      </c>
      <c r="AA6765" s="6">
        <v>0.46</v>
      </c>
      <c r="AB6765" s="7">
        <v>28.292999999999999</v>
      </c>
      <c r="AC6765" s="2"/>
    </row>
    <row r="6766" spans="1:29" ht="78" x14ac:dyDescent="0.15">
      <c r="A6766" s="3">
        <f>DATE(2002,12,31)</f>
        <v>37621</v>
      </c>
      <c r="B6766" s="3">
        <f>DATE(2003,8,15)</f>
        <v>37848</v>
      </c>
      <c r="C6766" s="2" t="s">
        <v>95</v>
      </c>
      <c r="D6766" s="2" t="s">
        <v>20562</v>
      </c>
      <c r="E6766" s="2" t="s">
        <v>5900</v>
      </c>
      <c r="F6766" s="4">
        <v>6035</v>
      </c>
      <c r="G6766" s="2" t="s">
        <v>33</v>
      </c>
      <c r="H6766" s="2" t="s">
        <v>34</v>
      </c>
      <c r="I6766" s="2" t="s">
        <v>20563</v>
      </c>
      <c r="J6766" s="2" t="s">
        <v>159</v>
      </c>
      <c r="K6766" s="2" t="s">
        <v>37</v>
      </c>
      <c r="L6766" s="2" t="s">
        <v>34</v>
      </c>
      <c r="M6766" s="2"/>
      <c r="N6766" s="2"/>
      <c r="O6766" s="2"/>
      <c r="P6766" s="2" t="s">
        <v>20564</v>
      </c>
      <c r="Q6766" s="6">
        <v>100</v>
      </c>
      <c r="R6766" s="2"/>
      <c r="S6766" s="2"/>
      <c r="T6766" s="2"/>
      <c r="U6766" s="2"/>
      <c r="V6766" s="2"/>
      <c r="W6766" s="5">
        <v>5.5</v>
      </c>
      <c r="X6766" s="4">
        <v>6</v>
      </c>
      <c r="Y6766" s="4">
        <v>6</v>
      </c>
      <c r="Z6766" s="4">
        <v>6</v>
      </c>
      <c r="AA6766" s="6">
        <v>1.1499999999999999</v>
      </c>
      <c r="AB6766" s="2" t="s">
        <v>47</v>
      </c>
      <c r="AC6766" s="2"/>
    </row>
    <row r="6767" spans="1:29" ht="39" x14ac:dyDescent="0.15">
      <c r="A6767" s="3">
        <f>DATE(2003,1,2)</f>
        <v>37623</v>
      </c>
      <c r="B6767" s="3">
        <f>DATE(2003,1,2)</f>
        <v>37623</v>
      </c>
      <c r="C6767" s="2" t="s">
        <v>95</v>
      </c>
      <c r="D6767" s="2" t="s">
        <v>20565</v>
      </c>
      <c r="E6767" s="2" t="s">
        <v>3600</v>
      </c>
      <c r="F6767" s="4">
        <v>8082</v>
      </c>
      <c r="G6767" s="2" t="s">
        <v>454</v>
      </c>
      <c r="H6767" s="2" t="s">
        <v>34</v>
      </c>
      <c r="I6767" s="2" t="s">
        <v>20566</v>
      </c>
      <c r="J6767" s="2" t="s">
        <v>20567</v>
      </c>
      <c r="K6767" s="2" t="s">
        <v>130</v>
      </c>
      <c r="L6767" s="2" t="s">
        <v>34</v>
      </c>
      <c r="M6767" s="2"/>
      <c r="N6767" s="2"/>
      <c r="O6767" s="2"/>
      <c r="P6767" s="2" t="s">
        <v>20568</v>
      </c>
      <c r="Q6767" s="6">
        <v>100</v>
      </c>
      <c r="R6767" s="2"/>
      <c r="S6767" s="5">
        <v>0.4</v>
      </c>
      <c r="T6767" s="7">
        <v>0.70899999999999996</v>
      </c>
      <c r="U6767" s="5">
        <v>1.9</v>
      </c>
      <c r="V6767" s="9">
        <v>0.10050000000000001</v>
      </c>
      <c r="W6767" s="6">
        <v>3.37</v>
      </c>
      <c r="X6767" s="6">
        <v>3.21</v>
      </c>
      <c r="Y6767" s="6">
        <v>3.01</v>
      </c>
      <c r="Z6767" s="6">
        <v>3.01</v>
      </c>
      <c r="AA6767" s="6">
        <v>23.92</v>
      </c>
      <c r="AB6767" s="2" t="s">
        <v>47</v>
      </c>
      <c r="AC6767" s="2"/>
    </row>
    <row r="6768" spans="1:29" ht="78" x14ac:dyDescent="0.15">
      <c r="A6768" s="3">
        <f>DATE(2003,1,3)</f>
        <v>37624</v>
      </c>
      <c r="B6768" s="3">
        <f>DATE(2003,5,1)</f>
        <v>37742</v>
      </c>
      <c r="C6768" s="2" t="s">
        <v>95</v>
      </c>
      <c r="D6768" s="2" t="s">
        <v>20569</v>
      </c>
      <c r="E6768" s="2" t="s">
        <v>15149</v>
      </c>
      <c r="F6768" s="4">
        <v>1021</v>
      </c>
      <c r="G6768" s="2" t="s">
        <v>166</v>
      </c>
      <c r="H6768" s="2" t="s">
        <v>34</v>
      </c>
      <c r="I6768" s="2" t="s">
        <v>20570</v>
      </c>
      <c r="J6768" s="2" t="s">
        <v>3793</v>
      </c>
      <c r="K6768" s="2" t="s">
        <v>166</v>
      </c>
      <c r="L6768" s="2" t="s">
        <v>34</v>
      </c>
      <c r="M6768" s="2"/>
      <c r="N6768" s="2"/>
      <c r="O6768" s="2"/>
      <c r="P6768" s="2" t="s">
        <v>20571</v>
      </c>
      <c r="Q6768" s="6">
        <v>54.4</v>
      </c>
      <c r="R6768" s="2"/>
      <c r="S6768" s="5">
        <v>69.099999999999994</v>
      </c>
      <c r="T6768" s="5">
        <v>186.8</v>
      </c>
      <c r="U6768" s="5">
        <v>2.6</v>
      </c>
      <c r="V6768" s="9">
        <v>0.14180000000000001</v>
      </c>
      <c r="W6768" s="6">
        <v>14.38</v>
      </c>
      <c r="X6768" s="6">
        <v>14.95</v>
      </c>
      <c r="Y6768" s="6">
        <v>15.17</v>
      </c>
      <c r="Z6768" s="6">
        <v>15.19</v>
      </c>
      <c r="AA6768" s="6">
        <v>14.1</v>
      </c>
      <c r="AB6768" s="2" t="s">
        <v>47</v>
      </c>
      <c r="AC6768" s="2"/>
    </row>
    <row r="6769" spans="1:29" ht="91" x14ac:dyDescent="0.15">
      <c r="A6769" s="3">
        <f>DATE(2003,1,5)</f>
        <v>37626</v>
      </c>
      <c r="B6769" s="3">
        <f>DATE(2003,6,20)</f>
        <v>37792</v>
      </c>
      <c r="C6769" s="2" t="s">
        <v>95</v>
      </c>
      <c r="D6769" s="2" t="s">
        <v>20572</v>
      </c>
      <c r="E6769" s="2" t="s">
        <v>6348</v>
      </c>
      <c r="F6769" s="4">
        <v>7374</v>
      </c>
      <c r="G6769" s="2" t="s">
        <v>223</v>
      </c>
      <c r="H6769" s="2" t="s">
        <v>34</v>
      </c>
      <c r="I6769" s="2" t="s">
        <v>6347</v>
      </c>
      <c r="J6769" s="2" t="s">
        <v>6348</v>
      </c>
      <c r="K6769" s="2" t="s">
        <v>223</v>
      </c>
      <c r="L6769" s="2" t="s">
        <v>34</v>
      </c>
      <c r="M6769" s="12">
        <v>25248.455999999998</v>
      </c>
      <c r="N6769" s="5">
        <v>40.5</v>
      </c>
      <c r="O6769" s="5">
        <v>40.5</v>
      </c>
      <c r="P6769" s="2" t="s">
        <v>20573</v>
      </c>
      <c r="Q6769" s="6">
        <v>100</v>
      </c>
      <c r="R6769" s="6">
        <v>17</v>
      </c>
      <c r="S6769" s="5">
        <v>-15.6</v>
      </c>
      <c r="T6769" s="7">
        <v>2.9129999999999998</v>
      </c>
      <c r="U6769" s="5">
        <v>4.0999999999999996</v>
      </c>
      <c r="V6769" s="6">
        <v>-0.62</v>
      </c>
      <c r="W6769" s="6">
        <v>10.25</v>
      </c>
      <c r="X6769" s="6">
        <v>10.26</v>
      </c>
      <c r="Y6769" s="2"/>
      <c r="Z6769" s="6">
        <v>16.489999999999998</v>
      </c>
      <c r="AA6769" s="6">
        <v>28.6</v>
      </c>
      <c r="AB6769" s="2" t="s">
        <v>86</v>
      </c>
      <c r="AC6769" s="10">
        <v>1564.51</v>
      </c>
    </row>
    <row r="6770" spans="1:29" ht="156" x14ac:dyDescent="0.15">
      <c r="A6770" s="3">
        <f>DATE(2003,1,9)</f>
        <v>37630</v>
      </c>
      <c r="B6770" s="2"/>
      <c r="C6770" s="2" t="s">
        <v>30</v>
      </c>
      <c r="D6770" s="2" t="s">
        <v>10695</v>
      </c>
      <c r="E6770" s="2" t="s">
        <v>10696</v>
      </c>
      <c r="F6770" s="4">
        <v>8051</v>
      </c>
      <c r="G6770" s="2" t="s">
        <v>454</v>
      </c>
      <c r="H6770" s="2" t="s">
        <v>34</v>
      </c>
      <c r="I6770" s="2" t="s">
        <v>20574</v>
      </c>
      <c r="J6770" s="2" t="s">
        <v>7641</v>
      </c>
      <c r="K6770" s="2" t="s">
        <v>454</v>
      </c>
      <c r="L6770" s="2" t="s">
        <v>34</v>
      </c>
      <c r="M6770" s="2"/>
      <c r="N6770" s="2"/>
      <c r="O6770" s="2"/>
      <c r="P6770" s="2" t="s">
        <v>20575</v>
      </c>
      <c r="Q6770" s="2"/>
      <c r="R6770" s="6">
        <v>4</v>
      </c>
      <c r="S6770" s="5">
        <v>-1</v>
      </c>
      <c r="T6770" s="7">
        <v>17.908000000000001</v>
      </c>
      <c r="U6770" s="5">
        <v>2.8</v>
      </c>
      <c r="V6770" s="6">
        <v>-0.06</v>
      </c>
      <c r="W6770" s="5">
        <v>2.5</v>
      </c>
      <c r="X6770" s="6">
        <v>2.5499999999999998</v>
      </c>
      <c r="Y6770" s="6">
        <v>3.15</v>
      </c>
      <c r="Z6770" s="6">
        <v>3.15</v>
      </c>
      <c r="AA6770" s="6">
        <v>17.46</v>
      </c>
      <c r="AB6770" s="7">
        <v>16.724</v>
      </c>
      <c r="AC6770" s="2"/>
    </row>
    <row r="6771" spans="1:29" ht="234" x14ac:dyDescent="0.15">
      <c r="A6771" s="3">
        <f>DATE(2003,1,9)</f>
        <v>37630</v>
      </c>
      <c r="B6771" s="2"/>
      <c r="C6771" s="2" t="s">
        <v>30</v>
      </c>
      <c r="D6771" s="2" t="s">
        <v>20576</v>
      </c>
      <c r="E6771" s="2" t="s">
        <v>20577</v>
      </c>
      <c r="F6771" s="4">
        <v>3569</v>
      </c>
      <c r="G6771" s="2" t="s">
        <v>300</v>
      </c>
      <c r="H6771" s="2" t="s">
        <v>34</v>
      </c>
      <c r="I6771" s="2" t="s">
        <v>20578</v>
      </c>
      <c r="J6771" s="2" t="s">
        <v>1072</v>
      </c>
      <c r="K6771" s="2" t="s">
        <v>53</v>
      </c>
      <c r="L6771" s="2" t="s">
        <v>34</v>
      </c>
      <c r="M6771" s="2"/>
      <c r="N6771" s="2"/>
      <c r="O6771" s="2"/>
      <c r="P6771" s="2" t="s">
        <v>20579</v>
      </c>
      <c r="Q6771" s="2"/>
      <c r="R6771" s="6">
        <v>2.2000000000000002</v>
      </c>
      <c r="S6771" s="5">
        <v>0.2</v>
      </c>
      <c r="T6771" s="2"/>
      <c r="U6771" s="5">
        <v>2.8</v>
      </c>
      <c r="V6771" s="6">
        <v>0.09</v>
      </c>
      <c r="W6771" s="6">
        <v>1.1100000000000001</v>
      </c>
      <c r="X6771" s="6">
        <v>1.1100000000000001</v>
      </c>
      <c r="Y6771" s="5">
        <v>1.2</v>
      </c>
      <c r="Z6771" s="5">
        <v>1.2</v>
      </c>
      <c r="AA6771" s="6">
        <v>1.57</v>
      </c>
      <c r="AB6771" s="7">
        <v>5.75</v>
      </c>
      <c r="AC6771" s="2"/>
    </row>
    <row r="6772" spans="1:29" ht="65" x14ac:dyDescent="0.15">
      <c r="A6772" s="3">
        <f>DATE(2003,1,13)</f>
        <v>37634</v>
      </c>
      <c r="B6772" s="3">
        <f>DATE(2003,3,10)</f>
        <v>37690</v>
      </c>
      <c r="C6772" s="2" t="s">
        <v>95</v>
      </c>
      <c r="D6772" s="2" t="s">
        <v>20580</v>
      </c>
      <c r="E6772" s="2" t="s">
        <v>14582</v>
      </c>
      <c r="F6772" s="4">
        <v>3841</v>
      </c>
      <c r="G6772" s="2" t="s">
        <v>226</v>
      </c>
      <c r="H6772" s="2" t="s">
        <v>34</v>
      </c>
      <c r="I6772" s="2" t="s">
        <v>5464</v>
      </c>
      <c r="J6772" s="2" t="s">
        <v>5465</v>
      </c>
      <c r="K6772" s="2" t="s">
        <v>226</v>
      </c>
      <c r="L6772" s="2" t="s">
        <v>34</v>
      </c>
      <c r="M6772" s="7">
        <v>541.10799999999995</v>
      </c>
      <c r="N6772" s="6">
        <v>17.45</v>
      </c>
      <c r="O6772" s="6">
        <v>17.28</v>
      </c>
      <c r="P6772" s="2" t="s">
        <v>20581</v>
      </c>
      <c r="Q6772" s="6">
        <v>100</v>
      </c>
      <c r="R6772" s="6">
        <v>4.3499999999999996</v>
      </c>
      <c r="S6772" s="5">
        <v>-0.5</v>
      </c>
      <c r="T6772" s="6">
        <v>0.65</v>
      </c>
      <c r="U6772" s="5">
        <v>1.3</v>
      </c>
      <c r="V6772" s="6">
        <v>-0.04</v>
      </c>
      <c r="W6772" s="6">
        <v>3.35</v>
      </c>
      <c r="X6772" s="4">
        <v>3</v>
      </c>
      <c r="Y6772" s="6">
        <v>4.22</v>
      </c>
      <c r="Z6772" s="6">
        <v>4.2300000000000004</v>
      </c>
      <c r="AA6772" s="6">
        <v>10.77</v>
      </c>
      <c r="AB6772" s="2" t="s">
        <v>86</v>
      </c>
      <c r="AC6772" s="6">
        <v>5.63</v>
      </c>
    </row>
    <row r="6773" spans="1:29" ht="117" x14ac:dyDescent="0.15">
      <c r="A6773" s="3">
        <f>DATE(2003,1,13)</f>
        <v>37634</v>
      </c>
      <c r="B6773" s="3">
        <f>DATE(2003,3,3)</f>
        <v>37683</v>
      </c>
      <c r="C6773" s="2" t="s">
        <v>95</v>
      </c>
      <c r="D6773" s="2" t="s">
        <v>20582</v>
      </c>
      <c r="E6773" s="2" t="s">
        <v>2728</v>
      </c>
      <c r="F6773" s="4">
        <v>3674</v>
      </c>
      <c r="G6773" s="2" t="s">
        <v>137</v>
      </c>
      <c r="H6773" s="2" t="s">
        <v>34</v>
      </c>
      <c r="I6773" s="2" t="s">
        <v>9138</v>
      </c>
      <c r="J6773" s="2" t="s">
        <v>9139</v>
      </c>
      <c r="K6773" s="2" t="s">
        <v>551</v>
      </c>
      <c r="L6773" s="2" t="s">
        <v>34</v>
      </c>
      <c r="M6773" s="12">
        <v>3461.2420000000002</v>
      </c>
      <c r="N6773" s="6">
        <v>41.77</v>
      </c>
      <c r="O6773" s="6">
        <v>42.97</v>
      </c>
      <c r="P6773" s="2" t="s">
        <v>20583</v>
      </c>
      <c r="Q6773" s="6">
        <v>100</v>
      </c>
      <c r="R6773" s="6">
        <v>7</v>
      </c>
      <c r="S6773" s="5">
        <v>-70.400000000000006</v>
      </c>
      <c r="T6773" s="7">
        <v>1.8660000000000001</v>
      </c>
      <c r="U6773" s="5">
        <v>4.0999999999999996</v>
      </c>
      <c r="V6773" s="6">
        <v>-2.19</v>
      </c>
      <c r="W6773" s="5">
        <v>3.7</v>
      </c>
      <c r="X6773" s="5">
        <v>3.7</v>
      </c>
      <c r="Y6773" s="6">
        <v>6.91</v>
      </c>
      <c r="Z6773" s="6">
        <v>6.89</v>
      </c>
      <c r="AA6773" s="6">
        <v>33.590000000000003</v>
      </c>
      <c r="AB6773" s="2" t="s">
        <v>86</v>
      </c>
      <c r="AC6773" s="6">
        <v>414.73</v>
      </c>
    </row>
    <row r="6774" spans="1:29" ht="169" x14ac:dyDescent="0.15">
      <c r="A6774" s="3">
        <f>DATE(2003,1,15)</f>
        <v>37636</v>
      </c>
      <c r="B6774" s="2"/>
      <c r="C6774" s="2" t="s">
        <v>30</v>
      </c>
      <c r="D6774" s="2" t="s">
        <v>20584</v>
      </c>
      <c r="E6774" s="2" t="s">
        <v>20585</v>
      </c>
      <c r="F6774" s="4">
        <v>7379</v>
      </c>
      <c r="G6774" s="2" t="s">
        <v>223</v>
      </c>
      <c r="H6774" s="2" t="s">
        <v>34</v>
      </c>
      <c r="I6774" s="2" t="s">
        <v>20586</v>
      </c>
      <c r="J6774" s="2" t="s">
        <v>302</v>
      </c>
      <c r="K6774" s="2" t="s">
        <v>53</v>
      </c>
      <c r="L6774" s="2" t="s">
        <v>34</v>
      </c>
      <c r="M6774" s="2"/>
      <c r="N6774" s="2"/>
      <c r="O6774" s="2"/>
      <c r="P6774" s="2" t="s">
        <v>20587</v>
      </c>
      <c r="Q6774" s="2"/>
      <c r="R6774" s="6">
        <v>4.95</v>
      </c>
      <c r="S6774" s="5">
        <v>-10.4</v>
      </c>
      <c r="T6774" s="6">
        <v>4.32</v>
      </c>
      <c r="U6774" s="5">
        <v>4.3</v>
      </c>
      <c r="V6774" s="6">
        <v>-0.26</v>
      </c>
      <c r="W6774" s="6">
        <v>4.57</v>
      </c>
      <c r="X6774" s="6">
        <v>4.57</v>
      </c>
      <c r="Y6774" s="6">
        <v>5.17</v>
      </c>
      <c r="Z6774" s="6">
        <v>5.28</v>
      </c>
      <c r="AA6774" s="6">
        <v>22.98</v>
      </c>
      <c r="AB6774" s="2" t="s">
        <v>86</v>
      </c>
      <c r="AC6774" s="2"/>
    </row>
    <row r="6775" spans="1:29" ht="169" x14ac:dyDescent="0.15">
      <c r="A6775" s="3">
        <f>DATE(2003,1,15)</f>
        <v>37636</v>
      </c>
      <c r="B6775" s="2"/>
      <c r="C6775" s="2" t="s">
        <v>30</v>
      </c>
      <c r="D6775" s="2" t="s">
        <v>20439</v>
      </c>
      <c r="E6775" s="2" t="s">
        <v>92</v>
      </c>
      <c r="F6775" s="4">
        <v>6798</v>
      </c>
      <c r="G6775" s="2" t="s">
        <v>53</v>
      </c>
      <c r="H6775" s="2" t="s">
        <v>34</v>
      </c>
      <c r="I6775" s="2" t="s">
        <v>51</v>
      </c>
      <c r="J6775" s="2" t="s">
        <v>52</v>
      </c>
      <c r="K6775" s="2" t="s">
        <v>53</v>
      </c>
      <c r="L6775" s="2" t="s">
        <v>34</v>
      </c>
      <c r="M6775" s="2"/>
      <c r="N6775" s="2"/>
      <c r="O6775" s="2"/>
      <c r="P6775" s="2" t="s">
        <v>20588</v>
      </c>
      <c r="Q6775" s="2"/>
      <c r="R6775" s="6">
        <v>20</v>
      </c>
      <c r="S6775" s="5">
        <v>8.4</v>
      </c>
      <c r="T6775" s="7">
        <v>109.215</v>
      </c>
      <c r="U6775" s="5">
        <v>3.3</v>
      </c>
      <c r="V6775" s="6">
        <v>-0.17</v>
      </c>
      <c r="W6775" s="5">
        <v>14.6</v>
      </c>
      <c r="X6775" s="5">
        <v>14.8</v>
      </c>
      <c r="Y6775" s="6">
        <v>16.59</v>
      </c>
      <c r="Z6775" s="6">
        <v>16.989999999999998</v>
      </c>
      <c r="AA6775" s="6">
        <v>83.08</v>
      </c>
      <c r="AB6775" s="7">
        <v>107.669</v>
      </c>
      <c r="AC6775" s="2"/>
    </row>
    <row r="6776" spans="1:29" ht="52" x14ac:dyDescent="0.15">
      <c r="A6776" s="3">
        <f>DATE(2003,1,16)</f>
        <v>37637</v>
      </c>
      <c r="B6776" s="3">
        <f>DATE(2003,2,21)</f>
        <v>37673</v>
      </c>
      <c r="C6776" s="2" t="s">
        <v>95</v>
      </c>
      <c r="D6776" s="2" t="s">
        <v>20589</v>
      </c>
      <c r="E6776" s="2" t="s">
        <v>20590</v>
      </c>
      <c r="F6776" s="4">
        <v>3651</v>
      </c>
      <c r="G6776" s="2" t="s">
        <v>137</v>
      </c>
      <c r="H6776" s="2" t="s">
        <v>34</v>
      </c>
      <c r="I6776" s="2" t="s">
        <v>20591</v>
      </c>
      <c r="J6776" s="2" t="s">
        <v>244</v>
      </c>
      <c r="K6776" s="2" t="s">
        <v>53</v>
      </c>
      <c r="L6776" s="2" t="s">
        <v>34</v>
      </c>
      <c r="M6776" s="2"/>
      <c r="N6776" s="2"/>
      <c r="O6776" s="2"/>
      <c r="P6776" s="2" t="s">
        <v>20592</v>
      </c>
      <c r="Q6776" s="6">
        <v>74</v>
      </c>
      <c r="R6776" s="2"/>
      <c r="S6776" s="5">
        <v>-32</v>
      </c>
      <c r="T6776" s="7">
        <v>4.609</v>
      </c>
      <c r="U6776" s="5">
        <v>6.9</v>
      </c>
      <c r="V6776" s="6">
        <v>-12.8</v>
      </c>
      <c r="W6776" s="6">
        <v>0.92</v>
      </c>
      <c r="X6776" s="5">
        <v>1.1000000000000001</v>
      </c>
      <c r="Y6776" s="5">
        <v>1.1000000000000001</v>
      </c>
      <c r="Z6776" s="6">
        <v>1.25</v>
      </c>
      <c r="AA6776" s="6">
        <v>19.46</v>
      </c>
      <c r="AB6776" s="2" t="s">
        <v>86</v>
      </c>
      <c r="AC6776" s="2"/>
    </row>
    <row r="6777" spans="1:29" ht="117" x14ac:dyDescent="0.15">
      <c r="A6777" s="3">
        <f>DATE(2003,1,16)</f>
        <v>37637</v>
      </c>
      <c r="B6777" s="3">
        <f>DATE(2003,8,1)</f>
        <v>37834</v>
      </c>
      <c r="C6777" s="2" t="s">
        <v>95</v>
      </c>
      <c r="D6777" s="2" t="s">
        <v>20593</v>
      </c>
      <c r="E6777" s="2" t="s">
        <v>36</v>
      </c>
      <c r="F6777" s="4">
        <v>6021</v>
      </c>
      <c r="G6777" s="2" t="s">
        <v>37</v>
      </c>
      <c r="H6777" s="2" t="s">
        <v>34</v>
      </c>
      <c r="I6777" s="2" t="s">
        <v>4525</v>
      </c>
      <c r="J6777" s="2" t="s">
        <v>36</v>
      </c>
      <c r="K6777" s="2" t="s">
        <v>37</v>
      </c>
      <c r="L6777" s="2" t="s">
        <v>34</v>
      </c>
      <c r="M6777" s="12">
        <v>1752.7349999999999</v>
      </c>
      <c r="N6777" s="5">
        <v>18.7</v>
      </c>
      <c r="O6777" s="6">
        <v>18.82</v>
      </c>
      <c r="P6777" s="2" t="s">
        <v>20594</v>
      </c>
      <c r="Q6777" s="6">
        <v>100</v>
      </c>
      <c r="R6777" s="6">
        <v>24.98</v>
      </c>
      <c r="S6777" s="5">
        <v>4.7</v>
      </c>
      <c r="T6777" s="7">
        <v>8.2050000000000001</v>
      </c>
      <c r="U6777" s="5">
        <v>7.8</v>
      </c>
      <c r="V6777" s="6">
        <v>1.22</v>
      </c>
      <c r="W6777" s="4">
        <v>16</v>
      </c>
      <c r="X6777" s="6">
        <v>17.850000000000001</v>
      </c>
      <c r="Y6777" s="6">
        <v>24.02</v>
      </c>
      <c r="Z6777" s="6">
        <v>24.12</v>
      </c>
      <c r="AA6777" s="6">
        <v>3.34</v>
      </c>
      <c r="AB6777" s="7">
        <v>24.384</v>
      </c>
      <c r="AC6777" s="2"/>
    </row>
    <row r="6778" spans="1:29" ht="65" x14ac:dyDescent="0.15">
      <c r="A6778" s="3">
        <f>DATE(2003,1,16)</f>
        <v>37637</v>
      </c>
      <c r="B6778" s="3">
        <f>DATE(2003,3,28)</f>
        <v>37708</v>
      </c>
      <c r="C6778" s="2" t="s">
        <v>95</v>
      </c>
      <c r="D6778" s="2" t="s">
        <v>20595</v>
      </c>
      <c r="E6778" s="2" t="s">
        <v>540</v>
      </c>
      <c r="F6778" s="4">
        <v>2836</v>
      </c>
      <c r="G6778" s="2" t="s">
        <v>130</v>
      </c>
      <c r="H6778" s="2" t="s">
        <v>34</v>
      </c>
      <c r="I6778" s="2" t="s">
        <v>5669</v>
      </c>
      <c r="J6778" s="2" t="s">
        <v>5670</v>
      </c>
      <c r="K6778" s="2" t="s">
        <v>130</v>
      </c>
      <c r="L6778" s="2" t="s">
        <v>34</v>
      </c>
      <c r="M6778" s="12">
        <v>158658.75599999999</v>
      </c>
      <c r="N6778" s="6">
        <v>54.68</v>
      </c>
      <c r="O6778" s="6">
        <v>54.79</v>
      </c>
      <c r="P6778" s="2" t="s">
        <v>20596</v>
      </c>
      <c r="Q6778" s="6">
        <v>100</v>
      </c>
      <c r="R6778" s="6">
        <v>5.74</v>
      </c>
      <c r="S6778" s="5">
        <v>-25.4</v>
      </c>
      <c r="T6778" s="7">
        <v>-20.645</v>
      </c>
      <c r="U6778" s="5">
        <v>3.2</v>
      </c>
      <c r="V6778" s="6">
        <v>-1.1399999999999999</v>
      </c>
      <c r="W6778" s="6">
        <v>3.08</v>
      </c>
      <c r="X6778" s="6">
        <v>3.03</v>
      </c>
      <c r="Y6778" s="6">
        <v>5.64</v>
      </c>
      <c r="Z6778" s="6">
        <v>5.64</v>
      </c>
      <c r="AA6778" s="6">
        <v>22.6</v>
      </c>
      <c r="AB6778" s="2" t="s">
        <v>86</v>
      </c>
      <c r="AC6778" s="8">
        <v>7475</v>
      </c>
    </row>
    <row r="6779" spans="1:29" ht="117" x14ac:dyDescent="0.15">
      <c r="A6779" s="3">
        <f>DATE(2003,1,21)</f>
        <v>37642</v>
      </c>
      <c r="B6779" s="3">
        <f>DATE(2003,4,8)</f>
        <v>37719</v>
      </c>
      <c r="C6779" s="2" t="s">
        <v>95</v>
      </c>
      <c r="D6779" s="2" t="s">
        <v>20597</v>
      </c>
      <c r="E6779" s="2" t="s">
        <v>849</v>
      </c>
      <c r="F6779" s="4">
        <v>7372</v>
      </c>
      <c r="G6779" s="2" t="s">
        <v>551</v>
      </c>
      <c r="H6779" s="2" t="s">
        <v>34</v>
      </c>
      <c r="I6779" s="2" t="s">
        <v>10762</v>
      </c>
      <c r="J6779" s="2" t="s">
        <v>10763</v>
      </c>
      <c r="K6779" s="2" t="s">
        <v>223</v>
      </c>
      <c r="L6779" s="2" t="s">
        <v>34</v>
      </c>
      <c r="M6779" s="12">
        <v>6883.5959999999995</v>
      </c>
      <c r="N6779" s="6">
        <v>20.74</v>
      </c>
      <c r="O6779" s="4">
        <v>20</v>
      </c>
      <c r="P6779" s="2" t="s">
        <v>20598</v>
      </c>
      <c r="Q6779" s="6">
        <v>100</v>
      </c>
      <c r="R6779" s="6">
        <v>9</v>
      </c>
      <c r="S6779" s="5">
        <v>-16</v>
      </c>
      <c r="T6779" s="7">
        <v>-1.4079999999999999</v>
      </c>
      <c r="U6779" s="5">
        <v>7.2</v>
      </c>
      <c r="V6779" s="6">
        <v>-0.88</v>
      </c>
      <c r="W6779" s="6">
        <v>2.65</v>
      </c>
      <c r="X6779" s="5">
        <v>2.5</v>
      </c>
      <c r="Y6779" s="6">
        <v>8.81</v>
      </c>
      <c r="Z6779" s="6">
        <v>8.77</v>
      </c>
      <c r="AA6779" s="6">
        <v>17.059999999999999</v>
      </c>
      <c r="AB6779" s="2" t="s">
        <v>86</v>
      </c>
      <c r="AC6779" s="6">
        <v>439.74</v>
      </c>
    </row>
    <row r="6780" spans="1:29" ht="117" x14ac:dyDescent="0.15">
      <c r="A6780" s="3">
        <f>DATE(2003,1,21)</f>
        <v>37642</v>
      </c>
      <c r="B6780" s="3">
        <f>DATE(2003,7,2)</f>
        <v>37804</v>
      </c>
      <c r="C6780" s="2" t="s">
        <v>95</v>
      </c>
      <c r="D6780" s="2" t="s">
        <v>8755</v>
      </c>
      <c r="E6780" s="2" t="s">
        <v>2337</v>
      </c>
      <c r="F6780" s="4">
        <v>6022</v>
      </c>
      <c r="G6780" s="2" t="s">
        <v>37</v>
      </c>
      <c r="H6780" s="2" t="s">
        <v>34</v>
      </c>
      <c r="I6780" s="2" t="s">
        <v>13707</v>
      </c>
      <c r="J6780" s="2" t="s">
        <v>36</v>
      </c>
      <c r="K6780" s="2" t="s">
        <v>37</v>
      </c>
      <c r="L6780" s="2" t="s">
        <v>34</v>
      </c>
      <c r="M6780" s="12">
        <v>17934.286</v>
      </c>
      <c r="N6780" s="6">
        <v>34.44</v>
      </c>
      <c r="O6780" s="5">
        <v>33.700000000000003</v>
      </c>
      <c r="P6780" s="2" t="s">
        <v>20599</v>
      </c>
      <c r="Q6780" s="6">
        <v>100</v>
      </c>
      <c r="R6780" s="6">
        <v>47.09</v>
      </c>
      <c r="S6780" s="5">
        <v>183.9</v>
      </c>
      <c r="T6780" s="7">
        <v>291.25799999999998</v>
      </c>
      <c r="U6780" s="5">
        <v>17.5</v>
      </c>
      <c r="V6780" s="6">
        <v>2.5499999999999998</v>
      </c>
      <c r="W6780" s="6">
        <v>38.07</v>
      </c>
      <c r="X6780" s="6">
        <v>37.75</v>
      </c>
      <c r="Y6780" s="6">
        <v>42.34</v>
      </c>
      <c r="Z6780" s="6">
        <v>41.61</v>
      </c>
      <c r="AA6780" s="6">
        <v>71.69</v>
      </c>
      <c r="AB6780" s="7">
        <v>14.332000000000001</v>
      </c>
      <c r="AC6780" s="2"/>
    </row>
    <row r="6781" spans="1:29" ht="130" x14ac:dyDescent="0.15">
      <c r="A6781" s="3">
        <f>DATE(2003,1,21)</f>
        <v>37642</v>
      </c>
      <c r="B6781" s="3">
        <f>DATE(2003,3,3)</f>
        <v>37683</v>
      </c>
      <c r="C6781" s="2" t="s">
        <v>95</v>
      </c>
      <c r="D6781" s="2" t="s">
        <v>20600</v>
      </c>
      <c r="E6781" s="2" t="s">
        <v>20601</v>
      </c>
      <c r="F6781" s="4">
        <v>7389</v>
      </c>
      <c r="G6781" s="2" t="s">
        <v>223</v>
      </c>
      <c r="H6781" s="2" t="s">
        <v>34</v>
      </c>
      <c r="I6781" s="2" t="s">
        <v>20602</v>
      </c>
      <c r="J6781" s="2" t="s">
        <v>20603</v>
      </c>
      <c r="K6781" s="2" t="s">
        <v>223</v>
      </c>
      <c r="L6781" s="2" t="s">
        <v>34</v>
      </c>
      <c r="M6781" s="7">
        <v>367.27100000000002</v>
      </c>
      <c r="N6781" s="6">
        <v>15.74</v>
      </c>
      <c r="O6781" s="6">
        <v>15.73</v>
      </c>
      <c r="P6781" s="2" t="s">
        <v>20604</v>
      </c>
      <c r="Q6781" s="6">
        <v>100</v>
      </c>
      <c r="R6781" s="6">
        <v>4.75</v>
      </c>
      <c r="S6781" s="5">
        <v>3.2</v>
      </c>
      <c r="T6781" s="7">
        <v>7.7839999999999998</v>
      </c>
      <c r="U6781" s="5">
        <v>-1</v>
      </c>
      <c r="V6781" s="6">
        <v>0.28000000000000003</v>
      </c>
      <c r="W6781" s="6">
        <v>1.73</v>
      </c>
      <c r="X6781" s="6">
        <v>1.56</v>
      </c>
      <c r="Y6781" s="6">
        <v>4.55</v>
      </c>
      <c r="Z6781" s="5">
        <v>4.5999999999999996</v>
      </c>
      <c r="AA6781" s="6">
        <v>10.78</v>
      </c>
      <c r="AB6781" s="7">
        <v>13.372</v>
      </c>
      <c r="AC6781" s="6">
        <v>194.63</v>
      </c>
    </row>
    <row r="6782" spans="1:29" ht="169" x14ac:dyDescent="0.15">
      <c r="A6782" s="3">
        <f>DATE(2003,1,22)</f>
        <v>37643</v>
      </c>
      <c r="B6782" s="2"/>
      <c r="C6782" s="2" t="s">
        <v>30</v>
      </c>
      <c r="D6782" s="2" t="s">
        <v>20605</v>
      </c>
      <c r="E6782" s="2" t="s">
        <v>20606</v>
      </c>
      <c r="F6782" s="4">
        <v>7372</v>
      </c>
      <c r="G6782" s="2" t="s">
        <v>551</v>
      </c>
      <c r="H6782" s="2" t="s">
        <v>34</v>
      </c>
      <c r="I6782" s="2" t="s">
        <v>20607</v>
      </c>
      <c r="J6782" s="2" t="s">
        <v>20608</v>
      </c>
      <c r="K6782" s="2" t="s">
        <v>300</v>
      </c>
      <c r="L6782" s="2" t="s">
        <v>902</v>
      </c>
      <c r="M6782" s="7">
        <v>414.30099999999999</v>
      </c>
      <c r="N6782" s="7">
        <v>8.6240000000000006</v>
      </c>
      <c r="O6782" s="7">
        <v>8.6289999999999996</v>
      </c>
      <c r="P6782" s="2" t="s">
        <v>20609</v>
      </c>
      <c r="Q6782" s="2"/>
      <c r="R6782" s="6">
        <v>1.3</v>
      </c>
      <c r="S6782" s="5">
        <v>-40.799999999999997</v>
      </c>
      <c r="T6782" s="7">
        <v>-0.42699999999999999</v>
      </c>
      <c r="U6782" s="5">
        <v>2.1</v>
      </c>
      <c r="V6782" s="6">
        <v>-4.43</v>
      </c>
      <c r="W6782" s="6">
        <v>1.1499999999999999</v>
      </c>
      <c r="X6782" s="5">
        <v>1.2</v>
      </c>
      <c r="Y6782" s="6">
        <v>1.29</v>
      </c>
      <c r="Z6782" s="6">
        <v>2.37</v>
      </c>
      <c r="AA6782" s="6">
        <v>10.63</v>
      </c>
      <c r="AB6782" s="2" t="s">
        <v>86</v>
      </c>
      <c r="AC6782" s="6">
        <v>69.73</v>
      </c>
    </row>
    <row r="6783" spans="1:29" ht="169" x14ac:dyDescent="0.15">
      <c r="A6783" s="3">
        <f>DATE(2003,1,22)</f>
        <v>37643</v>
      </c>
      <c r="B6783" s="3">
        <f>DATE(2003,1,31)</f>
        <v>37652</v>
      </c>
      <c r="C6783" s="2" t="s">
        <v>95</v>
      </c>
      <c r="D6783" s="2" t="s">
        <v>20605</v>
      </c>
      <c r="E6783" s="2" t="s">
        <v>20606</v>
      </c>
      <c r="F6783" s="4">
        <v>7372</v>
      </c>
      <c r="G6783" s="2" t="s">
        <v>551</v>
      </c>
      <c r="H6783" s="2" t="s">
        <v>34</v>
      </c>
      <c r="I6783" s="2" t="s">
        <v>20607</v>
      </c>
      <c r="J6783" s="2" t="s">
        <v>20608</v>
      </c>
      <c r="K6783" s="2" t="s">
        <v>300</v>
      </c>
      <c r="L6783" s="2" t="s">
        <v>902</v>
      </c>
      <c r="M6783" s="2"/>
      <c r="N6783" s="7">
        <v>8.6240000000000006</v>
      </c>
      <c r="O6783" s="7">
        <v>8.6289999999999996</v>
      </c>
      <c r="P6783" s="2" t="s">
        <v>20610</v>
      </c>
      <c r="Q6783" s="6">
        <v>24.17</v>
      </c>
      <c r="R6783" s="6">
        <v>1.3</v>
      </c>
      <c r="S6783" s="5">
        <v>-40.799999999999997</v>
      </c>
      <c r="T6783" s="7">
        <v>-0.42699999999999999</v>
      </c>
      <c r="U6783" s="5">
        <v>2.1</v>
      </c>
      <c r="V6783" s="6">
        <v>-4.43</v>
      </c>
      <c r="W6783" s="6">
        <v>1.1499999999999999</v>
      </c>
      <c r="X6783" s="5">
        <v>1.2</v>
      </c>
      <c r="Y6783" s="6">
        <v>1.29</v>
      </c>
      <c r="Z6783" s="6">
        <v>2.37</v>
      </c>
      <c r="AA6783" s="6">
        <v>10.63</v>
      </c>
      <c r="AB6783" s="2" t="s">
        <v>86</v>
      </c>
      <c r="AC6783" s="6">
        <v>69.73</v>
      </c>
    </row>
    <row r="6784" spans="1:29" ht="130" x14ac:dyDescent="0.15">
      <c r="A6784" s="3">
        <f>DATE(2003,1,22)</f>
        <v>37643</v>
      </c>
      <c r="B6784" s="2"/>
      <c r="C6784" s="2" t="s">
        <v>30</v>
      </c>
      <c r="D6784" s="2" t="s">
        <v>20584</v>
      </c>
      <c r="E6784" s="2" t="s">
        <v>20585</v>
      </c>
      <c r="F6784" s="4">
        <v>7379</v>
      </c>
      <c r="G6784" s="2" t="s">
        <v>223</v>
      </c>
      <c r="H6784" s="2" t="s">
        <v>34</v>
      </c>
      <c r="I6784" s="2" t="s">
        <v>20611</v>
      </c>
      <c r="J6784" s="2" t="s">
        <v>2712</v>
      </c>
      <c r="K6784" s="2" t="s">
        <v>53</v>
      </c>
      <c r="L6784" s="2" t="s">
        <v>34</v>
      </c>
      <c r="M6784" s="2"/>
      <c r="N6784" s="2"/>
      <c r="O6784" s="2"/>
      <c r="P6784" s="2" t="s">
        <v>20612</v>
      </c>
      <c r="Q6784" s="2"/>
      <c r="R6784" s="6">
        <v>5.55</v>
      </c>
      <c r="S6784" s="5">
        <v>-10.4</v>
      </c>
      <c r="T6784" s="6">
        <v>4.32</v>
      </c>
      <c r="U6784" s="5">
        <v>4.3</v>
      </c>
      <c r="V6784" s="6">
        <v>-0.26</v>
      </c>
      <c r="W6784" s="6">
        <v>4.57</v>
      </c>
      <c r="X6784" s="6">
        <v>4.57</v>
      </c>
      <c r="Y6784" s="6">
        <v>5.17</v>
      </c>
      <c r="Z6784" s="6">
        <v>5.28</v>
      </c>
      <c r="AA6784" s="6">
        <v>22.98</v>
      </c>
      <c r="AB6784" s="2" t="s">
        <v>86</v>
      </c>
      <c r="AC6784" s="2"/>
    </row>
    <row r="6785" spans="1:29" ht="143" x14ac:dyDescent="0.15">
      <c r="A6785" s="3">
        <f>DATE(2003,1,22)</f>
        <v>37643</v>
      </c>
      <c r="B6785" s="3">
        <f>DATE(2003,3,31)</f>
        <v>37711</v>
      </c>
      <c r="C6785" s="2" t="s">
        <v>95</v>
      </c>
      <c r="D6785" s="2" t="s">
        <v>20556</v>
      </c>
      <c r="E6785" s="2" t="s">
        <v>20557</v>
      </c>
      <c r="F6785" s="4">
        <v>7372</v>
      </c>
      <c r="G6785" s="2" t="s">
        <v>551</v>
      </c>
      <c r="H6785" s="2" t="s">
        <v>34</v>
      </c>
      <c r="I6785" s="2" t="s">
        <v>20613</v>
      </c>
      <c r="J6785" s="2" t="s">
        <v>302</v>
      </c>
      <c r="K6785" s="2" t="s">
        <v>53</v>
      </c>
      <c r="L6785" s="2" t="s">
        <v>34</v>
      </c>
      <c r="M6785" s="2"/>
      <c r="N6785" s="2"/>
      <c r="O6785" s="2"/>
      <c r="P6785" s="2" t="s">
        <v>20614</v>
      </c>
      <c r="Q6785" s="6">
        <v>100</v>
      </c>
      <c r="R6785" s="6">
        <v>1.94</v>
      </c>
      <c r="S6785" s="5">
        <v>-19.5</v>
      </c>
      <c r="T6785" s="7">
        <v>-18.186</v>
      </c>
      <c r="U6785" s="5">
        <v>2.4</v>
      </c>
      <c r="V6785" s="6">
        <v>-0.72</v>
      </c>
      <c r="W6785" s="6">
        <v>1.32</v>
      </c>
      <c r="X6785" s="6">
        <v>1.76</v>
      </c>
      <c r="Y6785" s="6">
        <v>1.76</v>
      </c>
      <c r="Z6785" s="6">
        <v>1.77</v>
      </c>
      <c r="AA6785" s="6">
        <v>27.29</v>
      </c>
      <c r="AB6785" s="2" t="s">
        <v>86</v>
      </c>
      <c r="AC6785" s="2"/>
    </row>
    <row r="6786" spans="1:29" ht="130" x14ac:dyDescent="0.15">
      <c r="A6786" s="3">
        <f>DATE(2003,1,23)</f>
        <v>37644</v>
      </c>
      <c r="B6786" s="3">
        <f>DATE(2003,5,1)</f>
        <v>37742</v>
      </c>
      <c r="C6786" s="2" t="s">
        <v>95</v>
      </c>
      <c r="D6786" s="2" t="s">
        <v>20615</v>
      </c>
      <c r="E6786" s="2" t="s">
        <v>263</v>
      </c>
      <c r="F6786" s="4">
        <v>6035</v>
      </c>
      <c r="G6786" s="2" t="s">
        <v>33</v>
      </c>
      <c r="H6786" s="2" t="s">
        <v>34</v>
      </c>
      <c r="I6786" s="2" t="s">
        <v>20616</v>
      </c>
      <c r="J6786" s="2" t="s">
        <v>36</v>
      </c>
      <c r="K6786" s="2" t="s">
        <v>37</v>
      </c>
      <c r="L6786" s="2" t="s">
        <v>34</v>
      </c>
      <c r="M6786" s="6">
        <v>552.61</v>
      </c>
      <c r="N6786" s="6">
        <v>25.44</v>
      </c>
      <c r="O6786" s="5">
        <v>24.3</v>
      </c>
      <c r="P6786" s="2" t="s">
        <v>20617</v>
      </c>
      <c r="Q6786" s="6">
        <v>100</v>
      </c>
      <c r="R6786" s="2"/>
      <c r="S6786" s="5">
        <v>1.2</v>
      </c>
      <c r="T6786" s="2"/>
      <c r="U6786" s="5">
        <v>2.6</v>
      </c>
      <c r="V6786" s="9">
        <v>0.1598</v>
      </c>
      <c r="W6786" s="4">
        <v>4</v>
      </c>
      <c r="X6786" s="6">
        <v>3.99</v>
      </c>
      <c r="Y6786" s="6">
        <v>5.19</v>
      </c>
      <c r="Z6786" s="6">
        <v>5.17</v>
      </c>
      <c r="AA6786" s="6">
        <v>7.75</v>
      </c>
      <c r="AB6786" s="7">
        <v>28.658000000000001</v>
      </c>
      <c r="AC6786" s="2"/>
    </row>
    <row r="6787" spans="1:29" ht="130" x14ac:dyDescent="0.15">
      <c r="A6787" s="3">
        <f>DATE(2003,1,23)</f>
        <v>37644</v>
      </c>
      <c r="B6787" s="3">
        <f>DATE(2003,10,21)</f>
        <v>37915</v>
      </c>
      <c r="C6787" s="2" t="s">
        <v>95</v>
      </c>
      <c r="D6787" s="2" t="s">
        <v>20605</v>
      </c>
      <c r="E6787" s="2" t="s">
        <v>20606</v>
      </c>
      <c r="F6787" s="4">
        <v>7372</v>
      </c>
      <c r="G6787" s="2" t="s">
        <v>551</v>
      </c>
      <c r="H6787" s="2" t="s">
        <v>34</v>
      </c>
      <c r="I6787" s="2" t="s">
        <v>17571</v>
      </c>
      <c r="J6787" s="2" t="s">
        <v>17572</v>
      </c>
      <c r="K6787" s="2" t="s">
        <v>50</v>
      </c>
      <c r="L6787" s="2" t="s">
        <v>34</v>
      </c>
      <c r="M6787" s="7">
        <v>896.28599999999994</v>
      </c>
      <c r="N6787" s="6">
        <v>17.84</v>
      </c>
      <c r="O6787" s="6">
        <v>17.46</v>
      </c>
      <c r="P6787" s="2" t="s">
        <v>20618</v>
      </c>
      <c r="Q6787" s="6">
        <v>100</v>
      </c>
      <c r="R6787" s="6">
        <v>2.6</v>
      </c>
      <c r="S6787" s="5">
        <v>-40.799999999999997</v>
      </c>
      <c r="T6787" s="7">
        <v>-0.42699999999999999</v>
      </c>
      <c r="U6787" s="5">
        <v>2.1</v>
      </c>
      <c r="V6787" s="6">
        <v>-4.43</v>
      </c>
      <c r="W6787" s="6">
        <v>1.1499999999999999</v>
      </c>
      <c r="X6787" s="5">
        <v>1.2</v>
      </c>
      <c r="Y6787" s="6">
        <v>2.37</v>
      </c>
      <c r="Z6787" s="6">
        <v>2.2400000000000002</v>
      </c>
      <c r="AA6787" s="6">
        <v>10.63</v>
      </c>
      <c r="AB6787" s="2" t="s">
        <v>86</v>
      </c>
      <c r="AC6787" s="6">
        <v>498.37</v>
      </c>
    </row>
    <row r="6788" spans="1:29" ht="117" x14ac:dyDescent="0.15">
      <c r="A6788" s="3">
        <f>DATE(2003,1,24)</f>
        <v>37645</v>
      </c>
      <c r="B6788" s="3">
        <f>DATE(2003,4,7)</f>
        <v>37718</v>
      </c>
      <c r="C6788" s="2" t="s">
        <v>95</v>
      </c>
      <c r="D6788" s="2" t="s">
        <v>20619</v>
      </c>
      <c r="E6788" s="2" t="s">
        <v>20620</v>
      </c>
      <c r="F6788" s="4">
        <v>5461</v>
      </c>
      <c r="G6788" s="2" t="s">
        <v>1461</v>
      </c>
      <c r="H6788" s="2" t="s">
        <v>34</v>
      </c>
      <c r="I6788" s="2" t="s">
        <v>20621</v>
      </c>
      <c r="J6788" s="2" t="s">
        <v>20622</v>
      </c>
      <c r="K6788" s="2" t="s">
        <v>1461</v>
      </c>
      <c r="L6788" s="2" t="s">
        <v>34</v>
      </c>
      <c r="M6788" s="12">
        <v>1854.8309999999999</v>
      </c>
      <c r="N6788" s="6">
        <v>30.75</v>
      </c>
      <c r="O6788" s="6">
        <v>29.96</v>
      </c>
      <c r="P6788" s="2" t="s">
        <v>20623</v>
      </c>
      <c r="Q6788" s="6">
        <v>100</v>
      </c>
      <c r="R6788" s="6">
        <v>5.0599999999999996</v>
      </c>
      <c r="S6788" s="5">
        <v>1</v>
      </c>
      <c r="T6788" s="7">
        <v>-0.48199999999999998</v>
      </c>
      <c r="U6788" s="5">
        <v>1.8</v>
      </c>
      <c r="V6788" s="6">
        <v>-0.12</v>
      </c>
      <c r="W6788" s="5">
        <v>4.8</v>
      </c>
      <c r="X6788" s="6">
        <v>4.95</v>
      </c>
      <c r="Y6788" s="5">
        <v>4.5</v>
      </c>
      <c r="Z6788" s="6">
        <v>4.4400000000000004</v>
      </c>
      <c r="AA6788" s="6">
        <v>8.11</v>
      </c>
      <c r="AB6788" s="2" t="s">
        <v>86</v>
      </c>
      <c r="AC6788" s="6">
        <v>32.380000000000003</v>
      </c>
    </row>
    <row r="6789" spans="1:29" ht="156" x14ac:dyDescent="0.15">
      <c r="A6789" s="3">
        <f>DATE(2003,2,3)</f>
        <v>37655</v>
      </c>
      <c r="B6789" s="3">
        <f>DATE(2003,6,2)</f>
        <v>37774</v>
      </c>
      <c r="C6789" s="2" t="s">
        <v>95</v>
      </c>
      <c r="D6789" s="2" t="s">
        <v>8405</v>
      </c>
      <c r="E6789" s="2" t="s">
        <v>8406</v>
      </c>
      <c r="F6789" s="4">
        <v>1382</v>
      </c>
      <c r="G6789" s="2" t="s">
        <v>148</v>
      </c>
      <c r="H6789" s="2" t="s">
        <v>34</v>
      </c>
      <c r="I6789" s="2" t="s">
        <v>1526</v>
      </c>
      <c r="J6789" s="2" t="s">
        <v>302</v>
      </c>
      <c r="K6789" s="2" t="s">
        <v>53</v>
      </c>
      <c r="L6789" s="2" t="s">
        <v>34</v>
      </c>
      <c r="M6789" s="2"/>
      <c r="N6789" s="2"/>
      <c r="O6789" s="2"/>
      <c r="P6789" s="2" t="s">
        <v>20624</v>
      </c>
      <c r="Q6789" s="6">
        <v>100</v>
      </c>
      <c r="R6789" s="2"/>
      <c r="S6789" s="5">
        <v>-8.1</v>
      </c>
      <c r="T6789" s="7">
        <v>19.062999999999999</v>
      </c>
      <c r="U6789" s="5">
        <v>-14.8</v>
      </c>
      <c r="V6789" s="6">
        <v>-2.62</v>
      </c>
      <c r="W6789" s="4">
        <v>10</v>
      </c>
      <c r="X6789" s="4">
        <v>10</v>
      </c>
      <c r="Y6789" s="4">
        <v>10</v>
      </c>
      <c r="Z6789" s="4">
        <v>10</v>
      </c>
      <c r="AA6789" s="6">
        <v>22.05</v>
      </c>
      <c r="AB6789" s="7">
        <v>29.303000000000001</v>
      </c>
      <c r="AC6789" s="2"/>
    </row>
    <row r="6790" spans="1:29" ht="221" x14ac:dyDescent="0.15">
      <c r="A6790" s="3">
        <f>DATE(2003,2,3)</f>
        <v>37655</v>
      </c>
      <c r="B6790" s="3">
        <f>DATE(2003,6,4)</f>
        <v>37776</v>
      </c>
      <c r="C6790" s="2" t="s">
        <v>95</v>
      </c>
      <c r="D6790" s="2" t="s">
        <v>19453</v>
      </c>
      <c r="E6790" s="2" t="s">
        <v>19454</v>
      </c>
      <c r="F6790" s="4">
        <v>1382</v>
      </c>
      <c r="G6790" s="2" t="s">
        <v>148</v>
      </c>
      <c r="H6790" s="2" t="s">
        <v>34</v>
      </c>
      <c r="I6790" s="2" t="s">
        <v>20625</v>
      </c>
      <c r="J6790" s="2" t="s">
        <v>1608</v>
      </c>
      <c r="K6790" s="2" t="s">
        <v>148</v>
      </c>
      <c r="L6790" s="2" t="s">
        <v>34</v>
      </c>
      <c r="M6790" s="7">
        <v>243.93600000000001</v>
      </c>
      <c r="N6790" s="5">
        <v>9.5</v>
      </c>
      <c r="O6790" s="6">
        <v>9.31</v>
      </c>
      <c r="P6790" s="2" t="s">
        <v>20626</v>
      </c>
      <c r="Q6790" s="6">
        <v>100</v>
      </c>
      <c r="R6790" s="6">
        <v>16.79</v>
      </c>
      <c r="S6790" s="5">
        <v>1.4</v>
      </c>
      <c r="T6790" s="7">
        <v>43.344999999999999</v>
      </c>
      <c r="U6790" s="5">
        <v>10.5</v>
      </c>
      <c r="V6790" s="6">
        <v>0.03</v>
      </c>
      <c r="W6790" s="6">
        <v>13.08</v>
      </c>
      <c r="X6790" s="6">
        <v>14.35</v>
      </c>
      <c r="Y6790" s="6">
        <v>16.25</v>
      </c>
      <c r="Z6790" s="5">
        <v>16.100000000000001</v>
      </c>
      <c r="AA6790" s="6">
        <v>16.54</v>
      </c>
      <c r="AB6790" s="7">
        <v>70.539000000000001</v>
      </c>
      <c r="AC6790" s="6">
        <v>1.03</v>
      </c>
    </row>
    <row r="6791" spans="1:29" ht="208" x14ac:dyDescent="0.15">
      <c r="A6791" s="3">
        <f>DATE(2003,2,4)</f>
        <v>37656</v>
      </c>
      <c r="B6791" s="3">
        <f>DATE(2003,6,19)</f>
        <v>37791</v>
      </c>
      <c r="C6791" s="2" t="s">
        <v>95</v>
      </c>
      <c r="D6791" s="2" t="s">
        <v>3227</v>
      </c>
      <c r="E6791" s="2" t="s">
        <v>3228</v>
      </c>
      <c r="F6791" s="4">
        <v>2325</v>
      </c>
      <c r="G6791" s="2" t="s">
        <v>708</v>
      </c>
      <c r="H6791" s="2" t="s">
        <v>34</v>
      </c>
      <c r="I6791" s="2" t="s">
        <v>20627</v>
      </c>
      <c r="J6791" s="2" t="s">
        <v>20628</v>
      </c>
      <c r="K6791" s="2" t="s">
        <v>708</v>
      </c>
      <c r="L6791" s="2" t="s">
        <v>34</v>
      </c>
      <c r="M6791" s="7">
        <v>107.422</v>
      </c>
      <c r="N6791" s="6">
        <v>20.38</v>
      </c>
      <c r="O6791" s="6">
        <v>20.95</v>
      </c>
      <c r="P6791" s="2" t="s">
        <v>20629</v>
      </c>
      <c r="Q6791" s="6">
        <v>100</v>
      </c>
      <c r="R6791" s="6">
        <v>9.48</v>
      </c>
      <c r="S6791" s="5">
        <v>21.3</v>
      </c>
      <c r="T6791" s="7">
        <v>20.715</v>
      </c>
      <c r="U6791" s="5">
        <v>11.8</v>
      </c>
      <c r="V6791" s="6">
        <v>2.25</v>
      </c>
      <c r="W6791" s="6">
        <v>4.1900000000000004</v>
      </c>
      <c r="X6791" s="6">
        <v>4.92</v>
      </c>
      <c r="Y6791" s="6">
        <v>8.9600000000000009</v>
      </c>
      <c r="Z6791" s="5">
        <v>8.9</v>
      </c>
      <c r="AA6791" s="6">
        <v>8.7799999999999994</v>
      </c>
      <c r="AB6791" s="7">
        <v>4.7309999999999999</v>
      </c>
      <c r="AC6791" s="6">
        <v>1.52</v>
      </c>
    </row>
    <row r="6792" spans="1:29" ht="117" x14ac:dyDescent="0.15">
      <c r="A6792" s="3">
        <f>DATE(2003,2,5)</f>
        <v>37657</v>
      </c>
      <c r="B6792" s="3">
        <f>DATE(2003,3,17)</f>
        <v>37697</v>
      </c>
      <c r="C6792" s="2" t="s">
        <v>95</v>
      </c>
      <c r="D6792" s="2" t="s">
        <v>20630</v>
      </c>
      <c r="E6792" s="2" t="s">
        <v>10361</v>
      </c>
      <c r="F6792" s="4">
        <v>7373</v>
      </c>
      <c r="G6792" s="2" t="s">
        <v>223</v>
      </c>
      <c r="H6792" s="2" t="s">
        <v>34</v>
      </c>
      <c r="I6792" s="2" t="s">
        <v>10762</v>
      </c>
      <c r="J6792" s="2" t="s">
        <v>10763</v>
      </c>
      <c r="K6792" s="2" t="s">
        <v>223</v>
      </c>
      <c r="L6792" s="2" t="s">
        <v>34</v>
      </c>
      <c r="M6792" s="12">
        <v>6682.5529999999999</v>
      </c>
      <c r="N6792" s="6">
        <v>18.78</v>
      </c>
      <c r="O6792" s="6">
        <v>18.68</v>
      </c>
      <c r="P6792" s="2" t="s">
        <v>20631</v>
      </c>
      <c r="Q6792" s="6">
        <v>100</v>
      </c>
      <c r="R6792" s="6">
        <v>7</v>
      </c>
      <c r="S6792" s="5">
        <v>6.6</v>
      </c>
      <c r="T6792" s="7">
        <v>15.212</v>
      </c>
      <c r="U6792" s="5">
        <v>1.2</v>
      </c>
      <c r="V6792" s="6">
        <v>0.51</v>
      </c>
      <c r="W6792" s="6">
        <v>4.8899999999999997</v>
      </c>
      <c r="X6792" s="6">
        <v>4.74</v>
      </c>
      <c r="Y6792" s="6">
        <v>6.93</v>
      </c>
      <c r="Z6792" s="6">
        <v>6.92</v>
      </c>
      <c r="AA6792" s="6">
        <v>18.3</v>
      </c>
      <c r="AB6792" s="7">
        <v>9.9870000000000001</v>
      </c>
      <c r="AC6792" s="6">
        <v>439.74</v>
      </c>
    </row>
    <row r="6793" spans="1:29" ht="117" x14ac:dyDescent="0.15">
      <c r="A6793" s="3">
        <f>DATE(2003,2,7)</f>
        <v>37659</v>
      </c>
      <c r="B6793" s="2"/>
      <c r="C6793" s="2" t="s">
        <v>30</v>
      </c>
      <c r="D6793" s="2" t="s">
        <v>20483</v>
      </c>
      <c r="E6793" s="2" t="s">
        <v>20484</v>
      </c>
      <c r="F6793" s="4">
        <v>7375</v>
      </c>
      <c r="G6793" s="2" t="s">
        <v>223</v>
      </c>
      <c r="H6793" s="2" t="s">
        <v>34</v>
      </c>
      <c r="I6793" s="2" t="s">
        <v>51</v>
      </c>
      <c r="J6793" s="2" t="s">
        <v>52</v>
      </c>
      <c r="K6793" s="2" t="s">
        <v>53</v>
      </c>
      <c r="L6793" s="2" t="s">
        <v>34</v>
      </c>
      <c r="M6793" s="2"/>
      <c r="N6793" s="2"/>
      <c r="O6793" s="2"/>
      <c r="P6793" s="2" t="s">
        <v>20632</v>
      </c>
      <c r="Q6793" s="2"/>
      <c r="R6793" s="6">
        <v>8</v>
      </c>
      <c r="S6793" s="5">
        <v>1.4</v>
      </c>
      <c r="T6793" s="6">
        <v>4.97</v>
      </c>
      <c r="U6793" s="5">
        <v>1.9</v>
      </c>
      <c r="V6793" s="6">
        <v>0.08</v>
      </c>
      <c r="W6793" s="5">
        <v>7.1</v>
      </c>
      <c r="X6793" s="4">
        <v>7</v>
      </c>
      <c r="Y6793" s="6">
        <v>7.76</v>
      </c>
      <c r="Z6793" s="5">
        <v>7.9</v>
      </c>
      <c r="AA6793" s="6">
        <v>17.25</v>
      </c>
      <c r="AB6793" s="7">
        <v>46.47</v>
      </c>
      <c r="AC6793" s="2"/>
    </row>
    <row r="6794" spans="1:29" ht="143" x14ac:dyDescent="0.15">
      <c r="A6794" s="3">
        <f>DATE(2003,2,7)</f>
        <v>37659</v>
      </c>
      <c r="B6794" s="2"/>
      <c r="C6794" s="2" t="s">
        <v>7330</v>
      </c>
      <c r="D6794" s="2" t="s">
        <v>20633</v>
      </c>
      <c r="E6794" s="2" t="s">
        <v>2800</v>
      </c>
      <c r="F6794" s="4">
        <v>6162</v>
      </c>
      <c r="G6794" s="2" t="s">
        <v>109</v>
      </c>
      <c r="H6794" s="2" t="s">
        <v>34</v>
      </c>
      <c r="I6794" s="2" t="s">
        <v>20634</v>
      </c>
      <c r="J6794" s="2" t="s">
        <v>36</v>
      </c>
      <c r="K6794" s="2" t="s">
        <v>37</v>
      </c>
      <c r="L6794" s="2" t="s">
        <v>34</v>
      </c>
      <c r="M6794" s="2"/>
      <c r="N6794" s="2"/>
      <c r="O6794" s="2"/>
      <c r="P6794" s="2" t="s">
        <v>20635</v>
      </c>
      <c r="Q6794" s="2"/>
      <c r="R6794" s="6">
        <v>24</v>
      </c>
      <c r="S6794" s="5">
        <v>0.4</v>
      </c>
      <c r="T6794" s="2"/>
      <c r="U6794" s="5">
        <v>19.899999999999999</v>
      </c>
      <c r="V6794" s="6">
        <v>0.23</v>
      </c>
      <c r="W6794" s="5">
        <v>22.9</v>
      </c>
      <c r="X6794" s="5">
        <v>22.9</v>
      </c>
      <c r="Y6794" s="6">
        <v>23.51</v>
      </c>
      <c r="Z6794" s="6">
        <v>23.51</v>
      </c>
      <c r="AA6794" s="6">
        <v>1.86</v>
      </c>
      <c r="AB6794" s="7">
        <v>126.203</v>
      </c>
      <c r="AC6794" s="2"/>
    </row>
    <row r="6795" spans="1:29" ht="78" x14ac:dyDescent="0.15">
      <c r="A6795" s="3">
        <f>DATE(2003,2,10)</f>
        <v>37662</v>
      </c>
      <c r="B6795" s="3">
        <f>DATE(2003,4,29)</f>
        <v>37740</v>
      </c>
      <c r="C6795" s="2" t="s">
        <v>95</v>
      </c>
      <c r="D6795" s="2" t="s">
        <v>2872</v>
      </c>
      <c r="E6795" s="2" t="s">
        <v>839</v>
      </c>
      <c r="F6795" s="4">
        <v>2834</v>
      </c>
      <c r="G6795" s="2" t="s">
        <v>130</v>
      </c>
      <c r="H6795" s="2" t="s">
        <v>34</v>
      </c>
      <c r="I6795" s="2" t="s">
        <v>5669</v>
      </c>
      <c r="J6795" s="2" t="s">
        <v>5670</v>
      </c>
      <c r="K6795" s="2" t="s">
        <v>130</v>
      </c>
      <c r="L6795" s="2" t="s">
        <v>34</v>
      </c>
      <c r="M6795" s="12">
        <v>169917.17600000001</v>
      </c>
      <c r="N6795" s="6">
        <v>52.04</v>
      </c>
      <c r="O6795" s="4">
        <v>52</v>
      </c>
      <c r="P6795" s="2" t="s">
        <v>20636</v>
      </c>
      <c r="Q6795" s="6">
        <v>100</v>
      </c>
      <c r="R6795" s="6">
        <v>45</v>
      </c>
      <c r="S6795" s="5">
        <v>-88.1</v>
      </c>
      <c r="T6795" s="7">
        <v>-70.912000000000006</v>
      </c>
      <c r="U6795" s="5">
        <v>0.1</v>
      </c>
      <c r="V6795" s="6">
        <v>-1.9</v>
      </c>
      <c r="W6795" s="5">
        <v>32.799999999999997</v>
      </c>
      <c r="X6795" s="6">
        <v>34.69</v>
      </c>
      <c r="Y6795" s="5">
        <v>42.2</v>
      </c>
      <c r="Z6795" s="6">
        <v>43.92</v>
      </c>
      <c r="AA6795" s="6">
        <v>46.66</v>
      </c>
      <c r="AB6795" s="2" t="s">
        <v>86</v>
      </c>
      <c r="AC6795" s="8">
        <v>7475</v>
      </c>
    </row>
    <row r="6796" spans="1:29" ht="143" x14ac:dyDescent="0.15">
      <c r="A6796" s="3">
        <f>DATE(2003,2,12)</f>
        <v>37664</v>
      </c>
      <c r="B6796" s="2"/>
      <c r="C6796" s="2" t="s">
        <v>7330</v>
      </c>
      <c r="D6796" s="2" t="s">
        <v>20637</v>
      </c>
      <c r="E6796" s="2" t="s">
        <v>20638</v>
      </c>
      <c r="F6796" s="4">
        <v>3826</v>
      </c>
      <c r="G6796" s="2" t="s">
        <v>226</v>
      </c>
      <c r="H6796" s="2" t="s">
        <v>34</v>
      </c>
      <c r="I6796" s="2" t="s">
        <v>20639</v>
      </c>
      <c r="J6796" s="2" t="s">
        <v>2712</v>
      </c>
      <c r="K6796" s="2" t="s">
        <v>53</v>
      </c>
      <c r="L6796" s="2" t="s">
        <v>34</v>
      </c>
      <c r="M6796" s="2"/>
      <c r="N6796" s="2"/>
      <c r="O6796" s="2"/>
      <c r="P6796" s="2" t="s">
        <v>20640</v>
      </c>
      <c r="Q6796" s="2"/>
      <c r="R6796" s="6">
        <v>4.5</v>
      </c>
      <c r="S6796" s="5">
        <v>-41</v>
      </c>
      <c r="T6796" s="7">
        <v>-40.527999999999999</v>
      </c>
      <c r="U6796" s="5">
        <v>6.8</v>
      </c>
      <c r="V6796" s="6">
        <v>-1.68</v>
      </c>
      <c r="W6796" s="6">
        <v>2.87</v>
      </c>
      <c r="X6796" s="4">
        <v>3</v>
      </c>
      <c r="Y6796" s="4">
        <v>3</v>
      </c>
      <c r="Z6796" s="5">
        <v>3.5</v>
      </c>
      <c r="AA6796" s="6">
        <v>24.49</v>
      </c>
      <c r="AB6796" s="2" t="s">
        <v>86</v>
      </c>
      <c r="AC6796" s="2"/>
    </row>
    <row r="6797" spans="1:29" ht="208" x14ac:dyDescent="0.15">
      <c r="A6797" s="3">
        <f>DATE(2003,2,18)</f>
        <v>37670</v>
      </c>
      <c r="B6797" s="3">
        <f>DATE(2003,7,15)</f>
        <v>37817</v>
      </c>
      <c r="C6797" s="2" t="s">
        <v>95</v>
      </c>
      <c r="D6797" s="2" t="s">
        <v>20641</v>
      </c>
      <c r="E6797" s="2" t="s">
        <v>8046</v>
      </c>
      <c r="F6797" s="4">
        <v>3663</v>
      </c>
      <c r="G6797" s="2" t="s">
        <v>921</v>
      </c>
      <c r="H6797" s="2" t="s">
        <v>34</v>
      </c>
      <c r="I6797" s="2" t="s">
        <v>20642</v>
      </c>
      <c r="J6797" s="2" t="s">
        <v>8046</v>
      </c>
      <c r="K6797" s="2" t="s">
        <v>921</v>
      </c>
      <c r="L6797" s="2" t="s">
        <v>34</v>
      </c>
      <c r="M6797" s="7">
        <v>985.26199999999994</v>
      </c>
      <c r="N6797" s="6">
        <v>7.99</v>
      </c>
      <c r="O6797" s="6">
        <v>7.59</v>
      </c>
      <c r="P6797" s="2" t="s">
        <v>20643</v>
      </c>
      <c r="Q6797" s="6">
        <v>100</v>
      </c>
      <c r="R6797" s="6">
        <v>15.99</v>
      </c>
      <c r="S6797" s="5">
        <v>6.8</v>
      </c>
      <c r="T6797" s="6">
        <v>38.79</v>
      </c>
      <c r="U6797" s="5">
        <v>9</v>
      </c>
      <c r="V6797" s="6">
        <v>0.14000000000000001</v>
      </c>
      <c r="W6797" s="6">
        <v>12.95</v>
      </c>
      <c r="X6797" s="6">
        <v>13.23</v>
      </c>
      <c r="Y6797" s="5">
        <v>13.5</v>
      </c>
      <c r="Z6797" s="6">
        <v>12.98</v>
      </c>
      <c r="AA6797" s="6">
        <v>30.54</v>
      </c>
      <c r="AB6797" s="7">
        <v>25.321000000000002</v>
      </c>
      <c r="AC6797" s="2"/>
    </row>
    <row r="6798" spans="1:29" ht="169" x14ac:dyDescent="0.15">
      <c r="A6798" s="3">
        <f>DATE(2003,2,18)</f>
        <v>37670</v>
      </c>
      <c r="B6798" s="3">
        <f>DATE(2003,7,23)</f>
        <v>37825</v>
      </c>
      <c r="C6798" s="2" t="s">
        <v>95</v>
      </c>
      <c r="D6798" s="2" t="s">
        <v>9328</v>
      </c>
      <c r="E6798" s="2" t="s">
        <v>20644</v>
      </c>
      <c r="F6798" s="4">
        <v>6531</v>
      </c>
      <c r="G6798" s="2" t="s">
        <v>109</v>
      </c>
      <c r="H6798" s="2" t="s">
        <v>34</v>
      </c>
      <c r="I6798" s="2" t="s">
        <v>20645</v>
      </c>
      <c r="J6798" s="2" t="s">
        <v>2071</v>
      </c>
      <c r="K6798" s="2" t="s">
        <v>109</v>
      </c>
      <c r="L6798" s="2" t="s">
        <v>34</v>
      </c>
      <c r="M6798" s="2"/>
      <c r="N6798" s="2"/>
      <c r="O6798" s="2"/>
      <c r="P6798" s="2" t="s">
        <v>20646</v>
      </c>
      <c r="Q6798" s="6">
        <v>100</v>
      </c>
      <c r="R6798" s="6">
        <v>11.16</v>
      </c>
      <c r="S6798" s="5">
        <v>5.9</v>
      </c>
      <c r="T6798" s="7">
        <v>33.731999999999999</v>
      </c>
      <c r="U6798" s="5">
        <v>17.399999999999999</v>
      </c>
      <c r="V6798" s="6">
        <v>0.13</v>
      </c>
      <c r="W6798" s="6">
        <v>8.24</v>
      </c>
      <c r="X6798" s="6">
        <v>8.3699999999999992</v>
      </c>
      <c r="Y6798" s="6">
        <v>9.7200000000000006</v>
      </c>
      <c r="Z6798" s="6">
        <v>10.99</v>
      </c>
      <c r="AA6798" s="6">
        <v>23.24</v>
      </c>
      <c r="AB6798" s="7">
        <v>31.207000000000001</v>
      </c>
      <c r="AC6798" s="2"/>
    </row>
    <row r="6799" spans="1:29" ht="130" x14ac:dyDescent="0.15">
      <c r="A6799" s="3">
        <f>DATE(2003,2,18)</f>
        <v>37670</v>
      </c>
      <c r="B6799" s="3">
        <f>DATE(2003,3,26)</f>
        <v>37706</v>
      </c>
      <c r="C6799" s="2" t="s">
        <v>95</v>
      </c>
      <c r="D6799" s="2" t="s">
        <v>14717</v>
      </c>
      <c r="E6799" s="2" t="s">
        <v>14718</v>
      </c>
      <c r="F6799" s="4">
        <v>7375</v>
      </c>
      <c r="G6799" s="2" t="s">
        <v>223</v>
      </c>
      <c r="H6799" s="2" t="s">
        <v>34</v>
      </c>
      <c r="I6799" s="2" t="s">
        <v>20647</v>
      </c>
      <c r="J6799" s="2" t="s">
        <v>20648</v>
      </c>
      <c r="K6799" s="2" t="s">
        <v>223</v>
      </c>
      <c r="L6799" s="2" t="s">
        <v>303</v>
      </c>
      <c r="M6799" s="12">
        <v>4453.7139999999999</v>
      </c>
      <c r="N6799" s="7">
        <v>2.1549999999999998</v>
      </c>
      <c r="O6799" s="7">
        <v>2.1080000000000001</v>
      </c>
      <c r="P6799" s="2" t="s">
        <v>20649</v>
      </c>
      <c r="Q6799" s="6">
        <v>94.67</v>
      </c>
      <c r="R6799" s="6">
        <v>7.35</v>
      </c>
      <c r="S6799" s="5">
        <v>-10.199999999999999</v>
      </c>
      <c r="T6799" s="7">
        <v>8.4190000000000005</v>
      </c>
      <c r="U6799" s="5">
        <v>3.4</v>
      </c>
      <c r="V6799" s="6">
        <v>-0.31</v>
      </c>
      <c r="W6799" s="6">
        <v>4.5599999999999996</v>
      </c>
      <c r="X6799" s="6">
        <v>4.58</v>
      </c>
      <c r="Y6799" s="6">
        <v>7.29</v>
      </c>
      <c r="Z6799" s="6">
        <v>7.28</v>
      </c>
      <c r="AA6799" s="6">
        <v>32.409999999999997</v>
      </c>
      <c r="AB6799" s="2" t="s">
        <v>86</v>
      </c>
      <c r="AC6799" s="10">
        <v>1683.55</v>
      </c>
    </row>
    <row r="6800" spans="1:29" ht="91" x14ac:dyDescent="0.15">
      <c r="A6800" s="3">
        <f>DATE(2003,2,19)</f>
        <v>37671</v>
      </c>
      <c r="B6800" s="3">
        <f>DATE(2003,4,5)</f>
        <v>37716</v>
      </c>
      <c r="C6800" s="2" t="s">
        <v>95</v>
      </c>
      <c r="D6800" s="2" t="s">
        <v>20650</v>
      </c>
      <c r="E6800" s="2" t="s">
        <v>20651</v>
      </c>
      <c r="F6800" s="4">
        <v>6099</v>
      </c>
      <c r="G6800" s="2" t="s">
        <v>3583</v>
      </c>
      <c r="H6800" s="2" t="s">
        <v>34</v>
      </c>
      <c r="I6800" s="2" t="s">
        <v>20652</v>
      </c>
      <c r="J6800" s="2" t="s">
        <v>20653</v>
      </c>
      <c r="K6800" s="2" t="s">
        <v>3583</v>
      </c>
      <c r="L6800" s="2" t="s">
        <v>7645</v>
      </c>
      <c r="M6800" s="2"/>
      <c r="N6800" s="2"/>
      <c r="O6800" s="2"/>
      <c r="P6800" s="2" t="s">
        <v>20654</v>
      </c>
      <c r="Q6800" s="6">
        <v>100</v>
      </c>
      <c r="R6800" s="6">
        <v>3.5</v>
      </c>
      <c r="S6800" s="2"/>
      <c r="T6800" s="2"/>
      <c r="U6800" s="2"/>
      <c r="V6800" s="2"/>
      <c r="W6800" s="6">
        <v>1.83</v>
      </c>
      <c r="X6800" s="7">
        <v>1.8460000000000001</v>
      </c>
      <c r="Y6800" s="7">
        <v>1.8520000000000001</v>
      </c>
      <c r="Z6800" s="7">
        <v>1.861</v>
      </c>
      <c r="AA6800" s="6">
        <v>2.37</v>
      </c>
      <c r="AB6800" s="2" t="s">
        <v>47</v>
      </c>
      <c r="AC6800" s="2"/>
    </row>
    <row r="6801" spans="1:29" ht="143" x14ac:dyDescent="0.15">
      <c r="A6801" s="3">
        <f>DATE(2003,2,19)</f>
        <v>37671</v>
      </c>
      <c r="B6801" s="3">
        <f>DATE(2003,5,28)</f>
        <v>37769</v>
      </c>
      <c r="C6801" s="2" t="s">
        <v>95</v>
      </c>
      <c r="D6801" s="2" t="s">
        <v>20655</v>
      </c>
      <c r="E6801" s="2" t="s">
        <v>92</v>
      </c>
      <c r="F6801" s="4">
        <v>6798</v>
      </c>
      <c r="G6801" s="2" t="s">
        <v>53</v>
      </c>
      <c r="H6801" s="2" t="s">
        <v>34</v>
      </c>
      <c r="I6801" s="2" t="s">
        <v>14039</v>
      </c>
      <c r="J6801" s="2" t="s">
        <v>92</v>
      </c>
      <c r="K6801" s="2" t="s">
        <v>53</v>
      </c>
      <c r="L6801" s="2" t="s">
        <v>34</v>
      </c>
      <c r="M6801" s="6">
        <v>369.41</v>
      </c>
      <c r="N6801" s="6">
        <v>7.37</v>
      </c>
      <c r="O6801" s="6">
        <v>7.03</v>
      </c>
      <c r="P6801" s="2" t="s">
        <v>20656</v>
      </c>
      <c r="Q6801" s="6">
        <v>100</v>
      </c>
      <c r="R6801" s="6">
        <v>13.36</v>
      </c>
      <c r="S6801" s="5">
        <v>-1.2</v>
      </c>
      <c r="T6801" s="7">
        <v>1.3280000000000001</v>
      </c>
      <c r="U6801" s="5">
        <v>7</v>
      </c>
      <c r="V6801" s="6">
        <v>-0.53</v>
      </c>
      <c r="W6801" s="5">
        <v>9.5</v>
      </c>
      <c r="X6801" s="5">
        <v>9.8000000000000007</v>
      </c>
      <c r="Y6801" s="6">
        <v>9.51</v>
      </c>
      <c r="Z6801" s="6">
        <v>12.52</v>
      </c>
      <c r="AA6801" s="6">
        <v>2.76</v>
      </c>
      <c r="AB6801" s="2" t="s">
        <v>86</v>
      </c>
      <c r="AC6801" s="6">
        <v>1.38</v>
      </c>
    </row>
    <row r="6802" spans="1:29" ht="208" x14ac:dyDescent="0.15">
      <c r="A6802" s="3">
        <f>DATE(2003,2,19)</f>
        <v>37671</v>
      </c>
      <c r="B6802" s="3">
        <f>DATE(2003,8,4)</f>
        <v>37837</v>
      </c>
      <c r="C6802" s="2" t="s">
        <v>95</v>
      </c>
      <c r="D6802" s="2" t="s">
        <v>12083</v>
      </c>
      <c r="E6802" s="2" t="s">
        <v>10623</v>
      </c>
      <c r="F6802" s="4">
        <v>5941</v>
      </c>
      <c r="G6802" s="2" t="s">
        <v>73</v>
      </c>
      <c r="H6802" s="2" t="s">
        <v>34</v>
      </c>
      <c r="I6802" s="2" t="s">
        <v>10622</v>
      </c>
      <c r="J6802" s="2" t="s">
        <v>10623</v>
      </c>
      <c r="K6802" s="2" t="s">
        <v>73</v>
      </c>
      <c r="L6802" s="2" t="s">
        <v>34</v>
      </c>
      <c r="M6802" s="7">
        <v>385.66899999999998</v>
      </c>
      <c r="N6802" s="6">
        <v>14.94</v>
      </c>
      <c r="O6802" s="6">
        <v>16.48</v>
      </c>
      <c r="P6802" s="2" t="s">
        <v>20657</v>
      </c>
      <c r="Q6802" s="6">
        <v>100</v>
      </c>
      <c r="R6802" s="6">
        <v>5.46</v>
      </c>
      <c r="S6802" s="5">
        <v>19.100000000000001</v>
      </c>
      <c r="T6802" s="6">
        <v>67.06</v>
      </c>
      <c r="U6802" s="5">
        <v>6.6</v>
      </c>
      <c r="V6802" s="6">
        <v>0.56000000000000005</v>
      </c>
      <c r="W6802" s="6">
        <v>5.19</v>
      </c>
      <c r="X6802" s="6">
        <v>5.49</v>
      </c>
      <c r="Y6802" s="6">
        <v>5.51</v>
      </c>
      <c r="Z6802" s="6">
        <v>6.14</v>
      </c>
      <c r="AA6802" s="6">
        <v>32.96</v>
      </c>
      <c r="AB6802" s="7">
        <v>10.906000000000001</v>
      </c>
      <c r="AC6802" s="6">
        <v>10.210000000000001</v>
      </c>
    </row>
    <row r="6803" spans="1:29" ht="65" x14ac:dyDescent="0.15">
      <c r="A6803" s="3">
        <f>DATE(2003,2,19)</f>
        <v>37671</v>
      </c>
      <c r="B6803" s="2"/>
      <c r="C6803" s="2" t="s">
        <v>7330</v>
      </c>
      <c r="D6803" s="2" t="s">
        <v>20658</v>
      </c>
      <c r="E6803" s="2" t="s">
        <v>20659</v>
      </c>
      <c r="F6803" s="4">
        <v>6022</v>
      </c>
      <c r="G6803" s="2" t="s">
        <v>37</v>
      </c>
      <c r="H6803" s="2" t="s">
        <v>34</v>
      </c>
      <c r="I6803" s="2" t="s">
        <v>20660</v>
      </c>
      <c r="J6803" s="2" t="s">
        <v>672</v>
      </c>
      <c r="K6803" s="2" t="s">
        <v>37</v>
      </c>
      <c r="L6803" s="2" t="s">
        <v>34</v>
      </c>
      <c r="M6803" s="2"/>
      <c r="N6803" s="2"/>
      <c r="O6803" s="2"/>
      <c r="P6803" s="2" t="s">
        <v>20661</v>
      </c>
      <c r="Q6803" s="2"/>
      <c r="R6803" s="6">
        <v>67.900000000000006</v>
      </c>
      <c r="S6803" s="5">
        <v>4.2</v>
      </c>
      <c r="T6803" s="7">
        <v>7.766</v>
      </c>
      <c r="U6803" s="5">
        <v>40.299999999999997</v>
      </c>
      <c r="V6803" s="6">
        <v>5</v>
      </c>
      <c r="W6803" s="6">
        <v>42.75</v>
      </c>
      <c r="X6803" s="5">
        <v>44.5</v>
      </c>
      <c r="Y6803" s="2"/>
      <c r="Z6803" s="2"/>
      <c r="AA6803" s="6">
        <v>0.84</v>
      </c>
      <c r="AB6803" s="7">
        <v>12.831</v>
      </c>
      <c r="AC6803" s="2"/>
    </row>
    <row r="6804" spans="1:29" ht="143" x14ac:dyDescent="0.15">
      <c r="A6804" s="3">
        <f>DATE(2003,2,20)</f>
        <v>37672</v>
      </c>
      <c r="B6804" s="2"/>
      <c r="C6804" s="2" t="s">
        <v>30</v>
      </c>
      <c r="D6804" s="2" t="s">
        <v>20662</v>
      </c>
      <c r="E6804" s="2" t="s">
        <v>6292</v>
      </c>
      <c r="F6804" s="4">
        <v>2836</v>
      </c>
      <c r="G6804" s="2" t="s">
        <v>130</v>
      </c>
      <c r="H6804" s="2" t="s">
        <v>34</v>
      </c>
      <c r="I6804" s="2" t="s">
        <v>20663</v>
      </c>
      <c r="J6804" s="2" t="s">
        <v>20664</v>
      </c>
      <c r="K6804" s="2" t="s">
        <v>130</v>
      </c>
      <c r="L6804" s="2" t="s">
        <v>34</v>
      </c>
      <c r="M6804" s="12">
        <v>1139.0519999999999</v>
      </c>
      <c r="N6804" s="6">
        <v>18.27</v>
      </c>
      <c r="O6804" s="6">
        <v>18.63</v>
      </c>
      <c r="P6804" s="2" t="s">
        <v>20665</v>
      </c>
      <c r="Q6804" s="2"/>
      <c r="R6804" s="6">
        <v>17.68</v>
      </c>
      <c r="S6804" s="5">
        <v>30.5</v>
      </c>
      <c r="T6804" s="7">
        <v>25.257000000000001</v>
      </c>
      <c r="U6804" s="5">
        <v>4.3</v>
      </c>
      <c r="V6804" s="6">
        <v>0.69</v>
      </c>
      <c r="W6804" s="6">
        <v>13.98</v>
      </c>
      <c r="X6804" s="6">
        <v>14.03</v>
      </c>
      <c r="Y6804" s="5">
        <v>12.9</v>
      </c>
      <c r="Z6804" s="6">
        <v>13.32</v>
      </c>
      <c r="AA6804" s="6">
        <v>43.39</v>
      </c>
      <c r="AB6804" s="7">
        <v>46.136000000000003</v>
      </c>
      <c r="AC6804" s="6">
        <v>234.45</v>
      </c>
    </row>
    <row r="6805" spans="1:29" ht="104" x14ac:dyDescent="0.15">
      <c r="A6805" s="3">
        <f>DATE(2003,2,21)</f>
        <v>37673</v>
      </c>
      <c r="B6805" s="3">
        <f>DATE(2003,5,5)</f>
        <v>37746</v>
      </c>
      <c r="C6805" s="2" t="s">
        <v>95</v>
      </c>
      <c r="D6805" s="2" t="s">
        <v>20666</v>
      </c>
      <c r="E6805" s="2" t="s">
        <v>20667</v>
      </c>
      <c r="F6805" s="4">
        <v>3423</v>
      </c>
      <c r="G6805" s="2" t="s">
        <v>163</v>
      </c>
      <c r="H6805" s="2" t="s">
        <v>34</v>
      </c>
      <c r="I6805" s="2" t="s">
        <v>20668</v>
      </c>
      <c r="J6805" s="2" t="s">
        <v>244</v>
      </c>
      <c r="K6805" s="2" t="s">
        <v>53</v>
      </c>
      <c r="L6805" s="2" t="s">
        <v>34</v>
      </c>
      <c r="M6805" s="2"/>
      <c r="N6805" s="2"/>
      <c r="O6805" s="2"/>
      <c r="P6805" s="2" t="s">
        <v>20669</v>
      </c>
      <c r="Q6805" s="6">
        <v>92.5</v>
      </c>
      <c r="R6805" s="6">
        <v>3.5</v>
      </c>
      <c r="S6805" s="5">
        <v>-5.7</v>
      </c>
      <c r="T6805" s="7">
        <v>8.1980000000000004</v>
      </c>
      <c r="U6805" s="5">
        <v>2.9</v>
      </c>
      <c r="V6805" s="6">
        <v>-8.61</v>
      </c>
      <c r="W6805" s="6">
        <v>2.85</v>
      </c>
      <c r="X6805" s="6">
        <v>2.5099999999999998</v>
      </c>
      <c r="Y6805" s="6">
        <v>3.03</v>
      </c>
      <c r="Z6805" s="6">
        <v>3.51</v>
      </c>
      <c r="AA6805" s="6">
        <v>6.4</v>
      </c>
      <c r="AB6805" s="7">
        <v>6.9470000000000001</v>
      </c>
      <c r="AC6805" s="2"/>
    </row>
    <row r="6806" spans="1:29" ht="52" x14ac:dyDescent="0.15">
      <c r="A6806" s="3">
        <f>DATE(2003,2,21)</f>
        <v>37673</v>
      </c>
      <c r="B6806" s="3">
        <f>DATE(2003,2,21)</f>
        <v>37673</v>
      </c>
      <c r="C6806" s="2" t="s">
        <v>95</v>
      </c>
      <c r="D6806" s="2" t="s">
        <v>19913</v>
      </c>
      <c r="E6806" s="2" t="s">
        <v>6365</v>
      </c>
      <c r="F6806" s="4">
        <v>5961</v>
      </c>
      <c r="G6806" s="2" t="s">
        <v>73</v>
      </c>
      <c r="H6806" s="2" t="s">
        <v>34</v>
      </c>
      <c r="I6806" s="2" t="s">
        <v>20670</v>
      </c>
      <c r="J6806" s="2" t="s">
        <v>10711</v>
      </c>
      <c r="K6806" s="2" t="s">
        <v>223</v>
      </c>
      <c r="L6806" s="2" t="s">
        <v>34</v>
      </c>
      <c r="M6806" s="2"/>
      <c r="N6806" s="2"/>
      <c r="O6806" s="2"/>
      <c r="P6806" s="2" t="s">
        <v>20671</v>
      </c>
      <c r="Q6806" s="6">
        <v>100</v>
      </c>
      <c r="R6806" s="2"/>
      <c r="S6806" s="5">
        <v>-4.3</v>
      </c>
      <c r="T6806" s="7">
        <v>-2.9990000000000001</v>
      </c>
      <c r="U6806" s="5">
        <v>1.7</v>
      </c>
      <c r="V6806" s="6">
        <v>-0.31</v>
      </c>
      <c r="W6806" s="6">
        <v>1.49</v>
      </c>
      <c r="X6806" s="5">
        <v>1.5</v>
      </c>
      <c r="Y6806" s="6">
        <v>1.49</v>
      </c>
      <c r="Z6806" s="2"/>
      <c r="AA6806" s="2"/>
      <c r="AB6806" s="2" t="s">
        <v>86</v>
      </c>
      <c r="AC6806" s="2"/>
    </row>
    <row r="6807" spans="1:29" ht="195" x14ac:dyDescent="0.15">
      <c r="A6807" s="3">
        <f>DATE(2003,2,24)</f>
        <v>37676</v>
      </c>
      <c r="B6807" s="2"/>
      <c r="C6807" s="2" t="s">
        <v>30</v>
      </c>
      <c r="D6807" s="2" t="s">
        <v>20672</v>
      </c>
      <c r="E6807" s="2" t="s">
        <v>20673</v>
      </c>
      <c r="F6807" s="4">
        <v>7372</v>
      </c>
      <c r="G6807" s="2" t="s">
        <v>551</v>
      </c>
      <c r="H6807" s="2" t="s">
        <v>34</v>
      </c>
      <c r="I6807" s="2" t="s">
        <v>20674</v>
      </c>
      <c r="J6807" s="2" t="s">
        <v>244</v>
      </c>
      <c r="K6807" s="2" t="s">
        <v>53</v>
      </c>
      <c r="L6807" s="2" t="s">
        <v>34</v>
      </c>
      <c r="M6807" s="2"/>
      <c r="N6807" s="2"/>
      <c r="O6807" s="2"/>
      <c r="P6807" s="2" t="s">
        <v>20675</v>
      </c>
      <c r="Q6807" s="2"/>
      <c r="R6807" s="6">
        <v>3.55</v>
      </c>
      <c r="S6807" s="5">
        <v>-6.8</v>
      </c>
      <c r="T6807" s="7">
        <v>-4.2279999999999998</v>
      </c>
      <c r="U6807" s="5">
        <v>4.2</v>
      </c>
      <c r="V6807" s="6">
        <v>-0.83</v>
      </c>
      <c r="W6807" s="6">
        <v>1.89</v>
      </c>
      <c r="X6807" s="6">
        <v>1.69</v>
      </c>
      <c r="Y6807" s="5">
        <v>1.6</v>
      </c>
      <c r="Z6807" s="6">
        <v>1.55</v>
      </c>
      <c r="AA6807" s="6">
        <v>8.0399999999999991</v>
      </c>
      <c r="AB6807" s="2" t="s">
        <v>86</v>
      </c>
      <c r="AC6807" s="2"/>
    </row>
    <row r="6808" spans="1:29" ht="247" x14ac:dyDescent="0.15">
      <c r="A6808" s="3">
        <f>DATE(2003,2,24)</f>
        <v>37676</v>
      </c>
      <c r="B6808" s="3">
        <f>DATE(2003,4,25)</f>
        <v>37736</v>
      </c>
      <c r="C6808" s="2" t="s">
        <v>95</v>
      </c>
      <c r="D6808" s="2" t="s">
        <v>11217</v>
      </c>
      <c r="E6808" s="2" t="s">
        <v>177</v>
      </c>
      <c r="F6808" s="4">
        <v>1311</v>
      </c>
      <c r="G6808" s="2" t="s">
        <v>148</v>
      </c>
      <c r="H6808" s="2" t="s">
        <v>34</v>
      </c>
      <c r="I6808" s="2" t="s">
        <v>16944</v>
      </c>
      <c r="J6808" s="2" t="s">
        <v>1435</v>
      </c>
      <c r="K6808" s="2" t="s">
        <v>148</v>
      </c>
      <c r="L6808" s="2" t="s">
        <v>34</v>
      </c>
      <c r="M6808" s="12">
        <v>6714.7049999999999</v>
      </c>
      <c r="N6808" s="5">
        <v>48.3</v>
      </c>
      <c r="O6808" s="5">
        <v>49.2</v>
      </c>
      <c r="P6808" s="2" t="s">
        <v>20676</v>
      </c>
      <c r="Q6808" s="6">
        <v>100</v>
      </c>
      <c r="R6808" s="6">
        <v>19.97</v>
      </c>
      <c r="S6808" s="5">
        <v>135.19999999999999</v>
      </c>
      <c r="T6808" s="7">
        <v>785.87400000000002</v>
      </c>
      <c r="U6808" s="5">
        <v>8.9</v>
      </c>
      <c r="V6808" s="6">
        <v>0.74</v>
      </c>
      <c r="W6808" s="6">
        <v>18.190000000000001</v>
      </c>
      <c r="X6808" s="6">
        <v>19.27</v>
      </c>
      <c r="Y6808" s="4">
        <v>20</v>
      </c>
      <c r="Z6808" s="6">
        <v>20.27</v>
      </c>
      <c r="AA6808" s="6">
        <v>176.29</v>
      </c>
      <c r="AB6808" s="7">
        <v>12.026</v>
      </c>
      <c r="AC6808" s="5">
        <v>332</v>
      </c>
    </row>
    <row r="6809" spans="1:29" ht="156" x14ac:dyDescent="0.15">
      <c r="A6809" s="3">
        <f>DATE(2003,2,24)</f>
        <v>37676</v>
      </c>
      <c r="B6809" s="3">
        <f>DATE(2003,10,31)</f>
        <v>37925</v>
      </c>
      <c r="C6809" s="2" t="s">
        <v>95</v>
      </c>
      <c r="D6809" s="2" t="s">
        <v>20677</v>
      </c>
      <c r="E6809" s="2" t="s">
        <v>36</v>
      </c>
      <c r="F6809" s="4">
        <v>6035</v>
      </c>
      <c r="G6809" s="2" t="s">
        <v>33</v>
      </c>
      <c r="H6809" s="2" t="s">
        <v>34</v>
      </c>
      <c r="I6809" s="2" t="s">
        <v>20678</v>
      </c>
      <c r="J6809" s="2" t="s">
        <v>263</v>
      </c>
      <c r="K6809" s="2" t="s">
        <v>37</v>
      </c>
      <c r="L6809" s="2" t="s">
        <v>34</v>
      </c>
      <c r="M6809" s="7">
        <v>28.030999999999999</v>
      </c>
      <c r="N6809" s="6">
        <v>22.45</v>
      </c>
      <c r="O6809" s="6">
        <v>22.96</v>
      </c>
      <c r="P6809" s="2" t="s">
        <v>20679</v>
      </c>
      <c r="Q6809" s="6">
        <v>100</v>
      </c>
      <c r="R6809" s="6">
        <v>22</v>
      </c>
      <c r="S6809" s="5">
        <v>5.2</v>
      </c>
      <c r="T6809" s="2"/>
      <c r="U6809" s="5">
        <v>20</v>
      </c>
      <c r="V6809" s="6">
        <v>1.7</v>
      </c>
      <c r="W6809" s="6">
        <v>20.420000000000002</v>
      </c>
      <c r="X6809" s="5">
        <v>20.7</v>
      </c>
      <c r="Y6809" s="6">
        <v>20.56</v>
      </c>
      <c r="Z6809" s="5">
        <v>22.3</v>
      </c>
      <c r="AA6809" s="6">
        <v>3.1</v>
      </c>
      <c r="AB6809" s="7">
        <v>17.193000000000001</v>
      </c>
      <c r="AC6809" s="2"/>
    </row>
    <row r="6810" spans="1:29" ht="143" x14ac:dyDescent="0.15">
      <c r="A6810" s="3">
        <f>DATE(2003,2,25)</f>
        <v>37677</v>
      </c>
      <c r="B6810" s="3">
        <f>DATE(2003,7,30)</f>
        <v>37832</v>
      </c>
      <c r="C6810" s="2" t="s">
        <v>95</v>
      </c>
      <c r="D6810" s="2" t="s">
        <v>20680</v>
      </c>
      <c r="E6810" s="2" t="s">
        <v>3812</v>
      </c>
      <c r="F6810" s="4">
        <v>2834</v>
      </c>
      <c r="G6810" s="2" t="s">
        <v>130</v>
      </c>
      <c r="H6810" s="2" t="s">
        <v>34</v>
      </c>
      <c r="I6810" s="2" t="s">
        <v>20681</v>
      </c>
      <c r="J6810" s="2" t="s">
        <v>20682</v>
      </c>
      <c r="K6810" s="2" t="s">
        <v>130</v>
      </c>
      <c r="L6810" s="2" t="s">
        <v>34</v>
      </c>
      <c r="M6810" s="7">
        <v>138.43700000000001</v>
      </c>
      <c r="N6810" s="6">
        <v>4.47</v>
      </c>
      <c r="O6810" s="6">
        <v>4.21</v>
      </c>
      <c r="P6810" s="2" t="s">
        <v>20683</v>
      </c>
      <c r="Q6810" s="6">
        <v>100</v>
      </c>
      <c r="R6810" s="6">
        <v>2.61</v>
      </c>
      <c r="S6810" s="5">
        <v>-20</v>
      </c>
      <c r="T6810" s="7">
        <v>-22.780999999999999</v>
      </c>
      <c r="U6810" s="5">
        <v>3.3</v>
      </c>
      <c r="V6810" s="6">
        <v>-0.73</v>
      </c>
      <c r="W6810" s="6">
        <v>1.44</v>
      </c>
      <c r="X6810" s="6">
        <v>1.42</v>
      </c>
      <c r="Y6810" s="5">
        <v>1.8</v>
      </c>
      <c r="Z6810" s="6">
        <v>1.83</v>
      </c>
      <c r="AA6810" s="6">
        <v>27.57</v>
      </c>
      <c r="AB6810" s="2" t="s">
        <v>86</v>
      </c>
      <c r="AC6810" s="6">
        <v>47.19</v>
      </c>
    </row>
    <row r="6811" spans="1:29" ht="143" x14ac:dyDescent="0.15">
      <c r="A6811" s="3">
        <f>DATE(2003,3,4)</f>
        <v>37684</v>
      </c>
      <c r="B6811" s="2"/>
      <c r="C6811" s="2" t="s">
        <v>30</v>
      </c>
      <c r="D6811" s="2" t="s">
        <v>20684</v>
      </c>
      <c r="E6811" s="2" t="s">
        <v>20685</v>
      </c>
      <c r="F6811" s="4">
        <v>8011</v>
      </c>
      <c r="G6811" s="2" t="s">
        <v>454</v>
      </c>
      <c r="H6811" s="2" t="s">
        <v>34</v>
      </c>
      <c r="I6811" s="2" t="s">
        <v>20686</v>
      </c>
      <c r="J6811" s="2" t="s">
        <v>14030</v>
      </c>
      <c r="K6811" s="2" t="s">
        <v>454</v>
      </c>
      <c r="L6811" s="2" t="s">
        <v>34</v>
      </c>
      <c r="M6811" s="2"/>
      <c r="N6811" s="2"/>
      <c r="O6811" s="2"/>
      <c r="P6811" s="2" t="s">
        <v>20687</v>
      </c>
      <c r="Q6811" s="2"/>
      <c r="R6811" s="6">
        <v>7.5</v>
      </c>
      <c r="S6811" s="5">
        <v>-5.5</v>
      </c>
      <c r="T6811" s="6">
        <v>3.56</v>
      </c>
      <c r="U6811" s="5">
        <v>22.2</v>
      </c>
      <c r="V6811" s="6">
        <v>-2.63</v>
      </c>
      <c r="W6811" s="5">
        <v>4.5999999999999996</v>
      </c>
      <c r="X6811" s="6">
        <v>4.47</v>
      </c>
      <c r="Y6811" s="6">
        <v>4.45</v>
      </c>
      <c r="Z6811" s="6">
        <v>4.45</v>
      </c>
      <c r="AA6811" s="6">
        <v>2.09</v>
      </c>
      <c r="AB6811" s="2" t="s">
        <v>86</v>
      </c>
      <c r="AC6811" s="2"/>
    </row>
    <row r="6812" spans="1:29" ht="65" x14ac:dyDescent="0.15">
      <c r="A6812" s="3">
        <f>DATE(2003,3,5)</f>
        <v>37685</v>
      </c>
      <c r="B6812" s="3">
        <f>DATE(2003,7,1)</f>
        <v>37803</v>
      </c>
      <c r="C6812" s="2" t="s">
        <v>95</v>
      </c>
      <c r="D6812" s="2" t="s">
        <v>20688</v>
      </c>
      <c r="E6812" s="2" t="s">
        <v>20689</v>
      </c>
      <c r="F6812" s="4">
        <v>2431</v>
      </c>
      <c r="G6812" s="2" t="s">
        <v>250</v>
      </c>
      <c r="H6812" s="2" t="s">
        <v>34</v>
      </c>
      <c r="I6812" s="2" t="s">
        <v>20690</v>
      </c>
      <c r="J6812" s="2" t="s">
        <v>20691</v>
      </c>
      <c r="K6812" s="2" t="s">
        <v>163</v>
      </c>
      <c r="L6812" s="2" t="s">
        <v>902</v>
      </c>
      <c r="M6812" s="12">
        <v>8843.6830000000009</v>
      </c>
      <c r="N6812" s="7">
        <v>28.332999999999998</v>
      </c>
      <c r="O6812" s="6">
        <v>27.88</v>
      </c>
      <c r="P6812" s="2" t="s">
        <v>20692</v>
      </c>
      <c r="Q6812" s="6">
        <v>100</v>
      </c>
      <c r="R6812" s="6">
        <v>15.17</v>
      </c>
      <c r="S6812" s="5">
        <v>0.6</v>
      </c>
      <c r="T6812" s="7">
        <v>5.2030000000000003</v>
      </c>
      <c r="U6812" s="5">
        <v>13.3</v>
      </c>
      <c r="V6812" s="6">
        <v>0.25</v>
      </c>
      <c r="W6812" s="6">
        <v>8.69</v>
      </c>
      <c r="X6812" s="5">
        <v>8.6999999999999993</v>
      </c>
      <c r="Y6812" s="5">
        <v>8.8000000000000007</v>
      </c>
      <c r="Z6812" s="4">
        <v>15</v>
      </c>
      <c r="AA6812" s="6">
        <v>2.39</v>
      </c>
      <c r="AB6812" s="7">
        <v>20.195</v>
      </c>
      <c r="AC6812" s="6">
        <v>109.67</v>
      </c>
    </row>
    <row r="6813" spans="1:29" ht="78" x14ac:dyDescent="0.15">
      <c r="A6813" s="3">
        <f>DATE(2003,3,5)</f>
        <v>37685</v>
      </c>
      <c r="B6813" s="2"/>
      <c r="C6813" s="2" t="s">
        <v>30</v>
      </c>
      <c r="D6813" s="2" t="s">
        <v>9298</v>
      </c>
      <c r="E6813" s="2" t="s">
        <v>9299</v>
      </c>
      <c r="F6813" s="4">
        <v>6799</v>
      </c>
      <c r="G6813" s="2" t="s">
        <v>53</v>
      </c>
      <c r="H6813" s="2" t="s">
        <v>34</v>
      </c>
      <c r="I6813" s="2" t="s">
        <v>20693</v>
      </c>
      <c r="J6813" s="2" t="s">
        <v>302</v>
      </c>
      <c r="K6813" s="2" t="s">
        <v>53</v>
      </c>
      <c r="L6813" s="2" t="s">
        <v>34</v>
      </c>
      <c r="M6813" s="2"/>
      <c r="N6813" s="2"/>
      <c r="O6813" s="2"/>
      <c r="P6813" s="2" t="s">
        <v>20694</v>
      </c>
      <c r="Q6813" s="2"/>
      <c r="R6813" s="6">
        <v>45</v>
      </c>
      <c r="S6813" s="5">
        <v>6.5</v>
      </c>
      <c r="T6813" s="7">
        <v>26.870999999999999</v>
      </c>
      <c r="U6813" s="5">
        <v>9.1999999999999993</v>
      </c>
      <c r="V6813" s="9">
        <v>0.33750000000000002</v>
      </c>
      <c r="W6813" s="6">
        <v>35.450000000000003</v>
      </c>
      <c r="X6813" s="6">
        <v>36.39</v>
      </c>
      <c r="Y6813" s="6">
        <v>37.78</v>
      </c>
      <c r="Z6813" s="5">
        <v>38.299999999999997</v>
      </c>
      <c r="AA6813" s="6">
        <v>2.39</v>
      </c>
      <c r="AB6813" s="7">
        <v>48.118000000000002</v>
      </c>
      <c r="AC6813" s="2"/>
    </row>
    <row r="6814" spans="1:29" ht="91" x14ac:dyDescent="0.15">
      <c r="A6814" s="3">
        <f>DATE(2003,3,6)</f>
        <v>37686</v>
      </c>
      <c r="B6814" s="3">
        <f>DATE(2003,10,31)</f>
        <v>37925</v>
      </c>
      <c r="C6814" s="2" t="s">
        <v>95</v>
      </c>
      <c r="D6814" s="2" t="s">
        <v>20695</v>
      </c>
      <c r="E6814" s="2" t="s">
        <v>672</v>
      </c>
      <c r="F6814" s="4">
        <v>6021</v>
      </c>
      <c r="G6814" s="2" t="s">
        <v>37</v>
      </c>
      <c r="H6814" s="2" t="s">
        <v>34</v>
      </c>
      <c r="I6814" s="2" t="s">
        <v>20696</v>
      </c>
      <c r="J6814" s="2" t="s">
        <v>1181</v>
      </c>
      <c r="K6814" s="2" t="s">
        <v>37</v>
      </c>
      <c r="L6814" s="2" t="s">
        <v>34</v>
      </c>
      <c r="M6814" s="2"/>
      <c r="N6814" s="2"/>
      <c r="O6814" s="2"/>
      <c r="P6814" s="2" t="s">
        <v>20697</v>
      </c>
      <c r="Q6814" s="6">
        <v>100</v>
      </c>
      <c r="R6814" s="6">
        <v>37</v>
      </c>
      <c r="S6814" s="5">
        <v>4</v>
      </c>
      <c r="T6814" s="7">
        <v>5.7649999999999997</v>
      </c>
      <c r="U6814" s="5">
        <v>18.2</v>
      </c>
      <c r="V6814" s="6">
        <v>1.82</v>
      </c>
      <c r="W6814" s="5">
        <v>27.9</v>
      </c>
      <c r="X6814" s="6">
        <v>28.75</v>
      </c>
      <c r="Y6814" s="5">
        <v>45.5</v>
      </c>
      <c r="Z6814" s="4">
        <v>43</v>
      </c>
      <c r="AA6814" s="6">
        <v>2.21</v>
      </c>
      <c r="AB6814" s="7">
        <v>36.106000000000002</v>
      </c>
      <c r="AC6814" s="2"/>
    </row>
    <row r="6815" spans="1:29" ht="52" x14ac:dyDescent="0.15">
      <c r="A6815" s="3">
        <f>DATE(2003,3,6)</f>
        <v>37686</v>
      </c>
      <c r="B6815" s="2"/>
      <c r="C6815" s="2" t="s">
        <v>189</v>
      </c>
      <c r="D6815" s="2" t="s">
        <v>6924</v>
      </c>
      <c r="E6815" s="2" t="s">
        <v>5782</v>
      </c>
      <c r="F6815" s="4">
        <v>4833</v>
      </c>
      <c r="G6815" s="2" t="s">
        <v>45</v>
      </c>
      <c r="H6815" s="2" t="s">
        <v>34</v>
      </c>
      <c r="I6815" s="2" t="s">
        <v>143</v>
      </c>
      <c r="J6815" s="2" t="s">
        <v>144</v>
      </c>
      <c r="K6815" s="2" t="s">
        <v>53</v>
      </c>
      <c r="L6815" s="2" t="s">
        <v>139</v>
      </c>
      <c r="M6815" s="2"/>
      <c r="N6815" s="2"/>
      <c r="O6815" s="2"/>
      <c r="P6815" s="2" t="s">
        <v>20698</v>
      </c>
      <c r="Q6815" s="2"/>
      <c r="R6815" s="2"/>
      <c r="S6815" s="5">
        <v>-286.3</v>
      </c>
      <c r="T6815" s="7">
        <v>85.522999999999996</v>
      </c>
      <c r="U6815" s="5">
        <v>-14.7</v>
      </c>
      <c r="V6815" s="6">
        <v>-6.11</v>
      </c>
      <c r="W6815" s="6">
        <v>2.38</v>
      </c>
      <c r="X6815" s="6">
        <v>2.39</v>
      </c>
      <c r="Y6815" s="5">
        <v>2.2999999999999998</v>
      </c>
      <c r="Z6815" s="6">
        <v>2.35</v>
      </c>
      <c r="AA6815" s="6">
        <v>64.88</v>
      </c>
      <c r="AB6815" s="2" t="s">
        <v>86</v>
      </c>
      <c r="AC6815" s="2"/>
    </row>
    <row r="6816" spans="1:29" ht="156" x14ac:dyDescent="0.15">
      <c r="A6816" s="3">
        <f>DATE(2003,3,7)</f>
        <v>37687</v>
      </c>
      <c r="B6816" s="3">
        <f>DATE(2003,6,30)</f>
        <v>37802</v>
      </c>
      <c r="C6816" s="2" t="s">
        <v>95</v>
      </c>
      <c r="D6816" s="2" t="s">
        <v>20699</v>
      </c>
      <c r="E6816" s="2" t="s">
        <v>20700</v>
      </c>
      <c r="F6816" s="4">
        <v>3845</v>
      </c>
      <c r="G6816" s="2" t="s">
        <v>226</v>
      </c>
      <c r="H6816" s="2" t="s">
        <v>34</v>
      </c>
      <c r="I6816" s="2" t="s">
        <v>20701</v>
      </c>
      <c r="J6816" s="2" t="s">
        <v>20702</v>
      </c>
      <c r="K6816" s="2" t="s">
        <v>226</v>
      </c>
      <c r="L6816" s="2" t="s">
        <v>34</v>
      </c>
      <c r="M6816" s="7">
        <v>215.20500000000001</v>
      </c>
      <c r="N6816" s="6">
        <v>4.1900000000000004</v>
      </c>
      <c r="O6816" s="5">
        <v>4.8</v>
      </c>
      <c r="P6816" s="2" t="s">
        <v>20703</v>
      </c>
      <c r="Q6816" s="6">
        <v>100</v>
      </c>
      <c r="R6816" s="6">
        <v>2.2999999999999998</v>
      </c>
      <c r="S6816" s="5">
        <v>-21.2</v>
      </c>
      <c r="T6816" s="7">
        <v>-12.506</v>
      </c>
      <c r="U6816" s="5">
        <v>-0.2</v>
      </c>
      <c r="V6816" s="6">
        <v>-1.93</v>
      </c>
      <c r="W6816" s="6">
        <v>1.35</v>
      </c>
      <c r="X6816" s="6">
        <v>1.65</v>
      </c>
      <c r="Y6816" s="4">
        <v>2</v>
      </c>
      <c r="Z6816" s="6">
        <v>2.4500000000000002</v>
      </c>
      <c r="AA6816" s="6">
        <v>17.46</v>
      </c>
      <c r="AB6816" s="2" t="s">
        <v>86</v>
      </c>
      <c r="AC6816" s="6">
        <v>50.84</v>
      </c>
    </row>
    <row r="6817" spans="1:29" ht="156" x14ac:dyDescent="0.15">
      <c r="A6817" s="3">
        <f>DATE(2003,3,10)</f>
        <v>37690</v>
      </c>
      <c r="B6817" s="2"/>
      <c r="C6817" s="2" t="s">
        <v>7330</v>
      </c>
      <c r="D6817" s="2" t="s">
        <v>20704</v>
      </c>
      <c r="E6817" s="2" t="s">
        <v>7926</v>
      </c>
      <c r="F6817" s="4">
        <v>3661</v>
      </c>
      <c r="G6817" s="2" t="s">
        <v>921</v>
      </c>
      <c r="H6817" s="2" t="s">
        <v>34</v>
      </c>
      <c r="I6817" s="2" t="s">
        <v>1558</v>
      </c>
      <c r="J6817" s="2" t="s">
        <v>52</v>
      </c>
      <c r="K6817" s="2" t="s">
        <v>53</v>
      </c>
      <c r="L6817" s="2" t="s">
        <v>34</v>
      </c>
      <c r="M6817" s="2"/>
      <c r="N6817" s="2"/>
      <c r="O6817" s="2"/>
      <c r="P6817" s="2" t="s">
        <v>20705</v>
      </c>
      <c r="Q6817" s="2"/>
      <c r="R6817" s="2"/>
      <c r="S6817" s="5">
        <v>-26.2</v>
      </c>
      <c r="T6817" s="7">
        <v>-27.265999999999998</v>
      </c>
      <c r="U6817" s="5">
        <v>-40.4</v>
      </c>
      <c r="V6817" s="6">
        <v>-33.29</v>
      </c>
      <c r="W6817" s="6">
        <v>6.74</v>
      </c>
      <c r="X6817" s="6">
        <v>6.29</v>
      </c>
      <c r="Y6817" s="6">
        <v>6.23</v>
      </c>
      <c r="Z6817" s="5">
        <v>6.1</v>
      </c>
      <c r="AA6817" s="2"/>
      <c r="AB6817" s="2" t="s">
        <v>86</v>
      </c>
      <c r="AC6817" s="2"/>
    </row>
    <row r="6818" spans="1:29" ht="130" x14ac:dyDescent="0.15">
      <c r="A6818" s="3">
        <f>DATE(2003,3,12)</f>
        <v>37692</v>
      </c>
      <c r="B6818" s="3">
        <f>DATE(2003,9,2)</f>
        <v>37866</v>
      </c>
      <c r="C6818" s="2" t="s">
        <v>95</v>
      </c>
      <c r="D6818" s="2" t="s">
        <v>20706</v>
      </c>
      <c r="E6818" s="2" t="s">
        <v>14170</v>
      </c>
      <c r="F6818" s="4">
        <v>6035</v>
      </c>
      <c r="G6818" s="2" t="s">
        <v>33</v>
      </c>
      <c r="H6818" s="2" t="s">
        <v>34</v>
      </c>
      <c r="I6818" s="2" t="s">
        <v>19245</v>
      </c>
      <c r="J6818" s="2" t="s">
        <v>159</v>
      </c>
      <c r="K6818" s="2" t="s">
        <v>37</v>
      </c>
      <c r="L6818" s="2" t="s">
        <v>34</v>
      </c>
      <c r="M6818" s="7">
        <v>699.77800000000002</v>
      </c>
      <c r="N6818" s="6">
        <v>15.55</v>
      </c>
      <c r="O6818" s="6">
        <v>16.03</v>
      </c>
      <c r="P6818" s="2" t="s">
        <v>20707</v>
      </c>
      <c r="Q6818" s="6">
        <v>100</v>
      </c>
      <c r="R6818" s="6">
        <v>26.25</v>
      </c>
      <c r="S6818" s="5">
        <v>8.6</v>
      </c>
      <c r="T6818" s="7">
        <v>9.8320000000000007</v>
      </c>
      <c r="U6818" s="5">
        <v>16.3</v>
      </c>
      <c r="V6818" s="6">
        <v>2.02</v>
      </c>
      <c r="W6818" s="6">
        <v>21.65</v>
      </c>
      <c r="X6818" s="6">
        <v>21.49</v>
      </c>
      <c r="Y6818" s="6">
        <v>26.03</v>
      </c>
      <c r="Z6818" s="6">
        <v>26.03</v>
      </c>
      <c r="AA6818" s="6">
        <v>4.6500000000000004</v>
      </c>
      <c r="AB6818" s="7">
        <v>36.405999999999999</v>
      </c>
      <c r="AC6818" s="2"/>
    </row>
    <row r="6819" spans="1:29" ht="130" x14ac:dyDescent="0.15">
      <c r="A6819" s="3">
        <f>DATE(2003,3,13)</f>
        <v>37693</v>
      </c>
      <c r="B6819" s="3">
        <f>DATE(2003,7,18)</f>
        <v>37820</v>
      </c>
      <c r="C6819" s="2" t="s">
        <v>95</v>
      </c>
      <c r="D6819" s="2" t="s">
        <v>17614</v>
      </c>
      <c r="E6819" s="2" t="s">
        <v>17615</v>
      </c>
      <c r="F6819" s="4">
        <v>3841</v>
      </c>
      <c r="G6819" s="2" t="s">
        <v>226</v>
      </c>
      <c r="H6819" s="2" t="s">
        <v>34</v>
      </c>
      <c r="I6819" s="2" t="s">
        <v>20708</v>
      </c>
      <c r="J6819" s="2" t="s">
        <v>20709</v>
      </c>
      <c r="K6819" s="2" t="s">
        <v>226</v>
      </c>
      <c r="L6819" s="2" t="s">
        <v>34</v>
      </c>
      <c r="M6819" s="2"/>
      <c r="N6819" s="2"/>
      <c r="O6819" s="2"/>
      <c r="P6819" s="2" t="s">
        <v>20710</v>
      </c>
      <c r="Q6819" s="6">
        <v>100</v>
      </c>
      <c r="R6819" s="6">
        <v>4.75</v>
      </c>
      <c r="S6819" s="5">
        <v>-5.3</v>
      </c>
      <c r="T6819" s="7">
        <v>4.5019999999999998</v>
      </c>
      <c r="U6819" s="5">
        <v>2.1</v>
      </c>
      <c r="V6819" s="6">
        <v>-0.4</v>
      </c>
      <c r="W6819" s="5">
        <v>2.7</v>
      </c>
      <c r="X6819" s="6">
        <v>2.84</v>
      </c>
      <c r="Y6819" s="6">
        <v>4.2300000000000004</v>
      </c>
      <c r="Z6819" s="6">
        <v>4.34</v>
      </c>
      <c r="AA6819" s="6">
        <v>13.26</v>
      </c>
      <c r="AB6819" s="7">
        <v>27.481000000000002</v>
      </c>
      <c r="AC6819" s="2"/>
    </row>
    <row r="6820" spans="1:29" ht="117" x14ac:dyDescent="0.15">
      <c r="A6820" s="3">
        <f>DATE(2003,3,13)</f>
        <v>37693</v>
      </c>
      <c r="B6820" s="3">
        <f>DATE(2003,8,12)</f>
        <v>37845</v>
      </c>
      <c r="C6820" s="2" t="s">
        <v>95</v>
      </c>
      <c r="D6820" s="2" t="s">
        <v>7720</v>
      </c>
      <c r="E6820" s="2" t="s">
        <v>36</v>
      </c>
      <c r="F6820" s="4">
        <v>6022</v>
      </c>
      <c r="G6820" s="2" t="s">
        <v>37</v>
      </c>
      <c r="H6820" s="2" t="s">
        <v>34</v>
      </c>
      <c r="I6820" s="2" t="s">
        <v>16147</v>
      </c>
      <c r="J6820" s="2" t="s">
        <v>672</v>
      </c>
      <c r="K6820" s="2" t="s">
        <v>37</v>
      </c>
      <c r="L6820" s="2" t="s">
        <v>34</v>
      </c>
      <c r="M6820" s="12">
        <v>2503.694</v>
      </c>
      <c r="N6820" s="6">
        <v>32.75</v>
      </c>
      <c r="O6820" s="6">
        <v>33.25</v>
      </c>
      <c r="P6820" s="2" t="s">
        <v>20711</v>
      </c>
      <c r="Q6820" s="6">
        <v>100</v>
      </c>
      <c r="R6820" s="6">
        <v>46</v>
      </c>
      <c r="S6820" s="5">
        <v>24.5</v>
      </c>
      <c r="T6820" s="7">
        <v>39.914000000000001</v>
      </c>
      <c r="U6820" s="5">
        <v>17.2</v>
      </c>
      <c r="V6820" s="6">
        <v>2.25</v>
      </c>
      <c r="W6820" s="6">
        <v>30.91</v>
      </c>
      <c r="X6820" s="4">
        <v>31</v>
      </c>
      <c r="Y6820" s="6">
        <v>42.49</v>
      </c>
      <c r="Z6820" s="6">
        <v>42.77</v>
      </c>
      <c r="AA6820" s="6">
        <v>10.78</v>
      </c>
      <c r="AB6820" s="7">
        <v>22.012</v>
      </c>
      <c r="AC6820" s="2"/>
    </row>
    <row r="6821" spans="1:29" ht="182" x14ac:dyDescent="0.15">
      <c r="A6821" s="3">
        <f>DATE(2003,3,17)</f>
        <v>37697</v>
      </c>
      <c r="B6821" s="2"/>
      <c r="C6821" s="2" t="s">
        <v>30</v>
      </c>
      <c r="D6821" s="2" t="s">
        <v>19371</v>
      </c>
      <c r="E6821" s="2" t="s">
        <v>13887</v>
      </c>
      <c r="F6821" s="4">
        <v>3674</v>
      </c>
      <c r="G6821" s="2" t="s">
        <v>137</v>
      </c>
      <c r="H6821" s="2" t="s">
        <v>34</v>
      </c>
      <c r="I6821" s="2" t="s">
        <v>20712</v>
      </c>
      <c r="J6821" s="2" t="s">
        <v>207</v>
      </c>
      <c r="K6821" s="2" t="s">
        <v>137</v>
      </c>
      <c r="L6821" s="2" t="s">
        <v>34</v>
      </c>
      <c r="M6821" s="6">
        <v>352.98</v>
      </c>
      <c r="N6821" s="6">
        <v>6.03</v>
      </c>
      <c r="O6821" s="6">
        <v>5.85</v>
      </c>
      <c r="P6821" s="2" t="s">
        <v>20713</v>
      </c>
      <c r="Q6821" s="2"/>
      <c r="R6821" s="6">
        <v>17.88</v>
      </c>
      <c r="S6821" s="5">
        <v>-15.7</v>
      </c>
      <c r="T6821" s="2"/>
      <c r="U6821" s="5">
        <v>11.8</v>
      </c>
      <c r="V6821" s="9">
        <v>-0.5585</v>
      </c>
      <c r="W6821" s="6">
        <v>12.73</v>
      </c>
      <c r="X6821" s="6">
        <v>13.17</v>
      </c>
      <c r="Y6821" s="6">
        <v>13.62</v>
      </c>
      <c r="Z6821" s="6">
        <v>13.08</v>
      </c>
      <c r="AA6821" s="6">
        <v>31.2</v>
      </c>
      <c r="AB6821" s="2" t="s">
        <v>47</v>
      </c>
      <c r="AC6821" s="6">
        <v>87.07</v>
      </c>
    </row>
    <row r="6822" spans="1:29" ht="156" x14ac:dyDescent="0.15">
      <c r="A6822" s="3">
        <f>DATE(2003,3,17)</f>
        <v>37697</v>
      </c>
      <c r="B6822" s="3">
        <f>DATE(2003,9,18)</f>
        <v>37882</v>
      </c>
      <c r="C6822" s="2" t="s">
        <v>95</v>
      </c>
      <c r="D6822" s="2" t="s">
        <v>20714</v>
      </c>
      <c r="E6822" s="2" t="s">
        <v>20715</v>
      </c>
      <c r="F6822" s="4">
        <v>3578</v>
      </c>
      <c r="G6822" s="2" t="s">
        <v>50</v>
      </c>
      <c r="H6822" s="2" t="s">
        <v>34</v>
      </c>
      <c r="I6822" s="2" t="s">
        <v>20716</v>
      </c>
      <c r="J6822" s="2" t="s">
        <v>20717</v>
      </c>
      <c r="K6822" s="2" t="s">
        <v>551</v>
      </c>
      <c r="L6822" s="2" t="s">
        <v>34</v>
      </c>
      <c r="M6822" s="12">
        <v>1528.377</v>
      </c>
      <c r="N6822" s="6">
        <v>32.19</v>
      </c>
      <c r="O6822" s="6">
        <v>31.76</v>
      </c>
      <c r="P6822" s="2" t="s">
        <v>20718</v>
      </c>
      <c r="Q6822" s="6">
        <v>100</v>
      </c>
      <c r="R6822" s="6">
        <v>9</v>
      </c>
      <c r="S6822" s="5">
        <v>3.1</v>
      </c>
      <c r="T6822" s="7">
        <v>14.757</v>
      </c>
      <c r="U6822" s="5">
        <v>3.6</v>
      </c>
      <c r="V6822" s="6">
        <v>0.46</v>
      </c>
      <c r="W6822" s="6">
        <v>7.82</v>
      </c>
      <c r="X6822" s="6">
        <v>7.85</v>
      </c>
      <c r="Y6822" s="5">
        <v>8.8000000000000007</v>
      </c>
      <c r="Z6822" s="6">
        <v>8.76</v>
      </c>
      <c r="AA6822" s="6">
        <v>6.47</v>
      </c>
      <c r="AB6822" s="7">
        <v>11.106</v>
      </c>
      <c r="AC6822" s="6">
        <v>116.17</v>
      </c>
    </row>
    <row r="6823" spans="1:29" ht="52" x14ac:dyDescent="0.15">
      <c r="A6823" s="3">
        <f>DATE(2003,3,19)</f>
        <v>37699</v>
      </c>
      <c r="B6823" s="2"/>
      <c r="C6823" s="2" t="s">
        <v>56</v>
      </c>
      <c r="D6823" s="2" t="s">
        <v>20719</v>
      </c>
      <c r="E6823" s="2" t="s">
        <v>1072</v>
      </c>
      <c r="F6823" s="4">
        <v>6799</v>
      </c>
      <c r="G6823" s="2" t="s">
        <v>53</v>
      </c>
      <c r="H6823" s="2" t="s">
        <v>34</v>
      </c>
      <c r="I6823" s="2" t="s">
        <v>51</v>
      </c>
      <c r="J6823" s="2" t="s">
        <v>52</v>
      </c>
      <c r="K6823" s="2" t="s">
        <v>53</v>
      </c>
      <c r="L6823" s="2" t="s">
        <v>34</v>
      </c>
      <c r="M6823" s="2"/>
      <c r="N6823" s="2"/>
      <c r="O6823" s="2"/>
      <c r="P6823" s="2" t="s">
        <v>20720</v>
      </c>
      <c r="Q6823" s="2"/>
      <c r="R6823" s="2"/>
      <c r="S6823" s="2"/>
      <c r="T6823" s="2"/>
      <c r="U6823" s="2"/>
      <c r="V6823" s="2"/>
      <c r="W6823" s="6">
        <v>1.01</v>
      </c>
      <c r="X6823" s="6">
        <v>1.01</v>
      </c>
      <c r="Y6823" s="6">
        <v>1.01</v>
      </c>
      <c r="Z6823" s="6">
        <v>1.01</v>
      </c>
      <c r="AA6823" s="6">
        <v>1.1399999999999999</v>
      </c>
      <c r="AB6823" s="2" t="s">
        <v>47</v>
      </c>
      <c r="AC6823" s="2"/>
    </row>
    <row r="6824" spans="1:29" ht="91" x14ac:dyDescent="0.15">
      <c r="A6824" s="3">
        <f>DATE(2003,3,21)</f>
        <v>37701</v>
      </c>
      <c r="B6824" s="3">
        <f>DATE(2003,8,18)</f>
        <v>37851</v>
      </c>
      <c r="C6824" s="2" t="s">
        <v>95</v>
      </c>
      <c r="D6824" s="2" t="s">
        <v>20721</v>
      </c>
      <c r="E6824" s="2" t="s">
        <v>389</v>
      </c>
      <c r="F6824" s="4">
        <v>6035</v>
      </c>
      <c r="G6824" s="2" t="s">
        <v>33</v>
      </c>
      <c r="H6824" s="2" t="s">
        <v>34</v>
      </c>
      <c r="I6824" s="2" t="s">
        <v>17234</v>
      </c>
      <c r="J6824" s="2" t="s">
        <v>159</v>
      </c>
      <c r="K6824" s="2" t="s">
        <v>37</v>
      </c>
      <c r="L6824" s="2" t="s">
        <v>34</v>
      </c>
      <c r="M6824" s="7">
        <v>147.904</v>
      </c>
      <c r="N6824" s="6">
        <v>29.74</v>
      </c>
      <c r="O6824" s="6">
        <v>29.19</v>
      </c>
      <c r="P6824" s="2" t="s">
        <v>20722</v>
      </c>
      <c r="Q6824" s="6">
        <v>100</v>
      </c>
      <c r="R6824" s="6">
        <v>23.81</v>
      </c>
      <c r="S6824" s="5">
        <v>3</v>
      </c>
      <c r="T6824" s="2"/>
      <c r="U6824" s="5">
        <v>12.6</v>
      </c>
      <c r="V6824" s="6">
        <v>1.48</v>
      </c>
      <c r="W6824" s="6">
        <v>18.11</v>
      </c>
      <c r="X6824" s="6">
        <v>18.03</v>
      </c>
      <c r="Y6824" s="6">
        <v>23.43</v>
      </c>
      <c r="Z6824" s="6">
        <v>23.35</v>
      </c>
      <c r="AA6824" s="6">
        <v>2.0099999999999998</v>
      </c>
      <c r="AB6824" s="7">
        <v>21.608000000000001</v>
      </c>
      <c r="AC6824" s="2"/>
    </row>
    <row r="6825" spans="1:29" ht="195" x14ac:dyDescent="0.15">
      <c r="A6825" s="3">
        <f>DATE(2003,3,21)</f>
        <v>37701</v>
      </c>
      <c r="B6825" s="2"/>
      <c r="C6825" s="2" t="s">
        <v>30</v>
      </c>
      <c r="D6825" s="2" t="s">
        <v>20408</v>
      </c>
      <c r="E6825" s="2" t="s">
        <v>20409</v>
      </c>
      <c r="F6825" s="4">
        <v>3577</v>
      </c>
      <c r="G6825" s="2" t="s">
        <v>50</v>
      </c>
      <c r="H6825" s="2" t="s">
        <v>34</v>
      </c>
      <c r="I6825" s="2" t="s">
        <v>20723</v>
      </c>
      <c r="J6825" s="2" t="s">
        <v>9299</v>
      </c>
      <c r="K6825" s="2" t="s">
        <v>53</v>
      </c>
      <c r="L6825" s="2" t="s">
        <v>34</v>
      </c>
      <c r="M6825" s="2"/>
      <c r="N6825" s="2"/>
      <c r="O6825" s="2"/>
      <c r="P6825" s="2" t="s">
        <v>20724</v>
      </c>
      <c r="Q6825" s="2"/>
      <c r="R6825" s="6">
        <v>3.06</v>
      </c>
      <c r="S6825" s="5">
        <v>1</v>
      </c>
      <c r="T6825" s="7">
        <v>2.3730000000000002</v>
      </c>
      <c r="U6825" s="5">
        <v>2.5</v>
      </c>
      <c r="V6825" s="6">
        <v>0.1</v>
      </c>
      <c r="W6825" s="6">
        <v>1.45</v>
      </c>
      <c r="X6825" s="6">
        <v>1.45</v>
      </c>
      <c r="Y6825" s="5">
        <v>2.2999999999999998</v>
      </c>
      <c r="Z6825" s="6">
        <v>2.33</v>
      </c>
      <c r="AA6825" s="6">
        <v>10.65</v>
      </c>
      <c r="AB6825" s="7">
        <v>14.455</v>
      </c>
      <c r="AC6825" s="2"/>
    </row>
    <row r="6826" spans="1:29" ht="169" x14ac:dyDescent="0.15">
      <c r="A6826" s="3">
        <f>DATE(2003,3,24)</f>
        <v>37704</v>
      </c>
      <c r="B6826" s="3">
        <f>DATE(2003,5,15)</f>
        <v>37756</v>
      </c>
      <c r="C6826" s="2" t="s">
        <v>95</v>
      </c>
      <c r="D6826" s="2" t="s">
        <v>20725</v>
      </c>
      <c r="E6826" s="2" t="s">
        <v>20726</v>
      </c>
      <c r="F6826" s="4">
        <v>3674</v>
      </c>
      <c r="G6826" s="2" t="s">
        <v>137</v>
      </c>
      <c r="H6826" s="2" t="s">
        <v>34</v>
      </c>
      <c r="I6826" s="2" t="s">
        <v>51</v>
      </c>
      <c r="J6826" s="2" t="s">
        <v>52</v>
      </c>
      <c r="K6826" s="2" t="s">
        <v>53</v>
      </c>
      <c r="L6826" s="2" t="s">
        <v>34</v>
      </c>
      <c r="M6826" s="2"/>
      <c r="N6826" s="2"/>
      <c r="O6826" s="2"/>
      <c r="P6826" s="2" t="s">
        <v>20727</v>
      </c>
      <c r="Q6826" s="6">
        <v>69.680000000000007</v>
      </c>
      <c r="R6826" s="2"/>
      <c r="S6826" s="5">
        <v>-13.2</v>
      </c>
      <c r="T6826" s="7">
        <v>-11.904999999999999</v>
      </c>
      <c r="U6826" s="5">
        <v>15.7</v>
      </c>
      <c r="V6826" s="9">
        <v>-6.9599000000000002</v>
      </c>
      <c r="W6826" s="6">
        <v>1.56</v>
      </c>
      <c r="X6826" s="5">
        <v>1.5</v>
      </c>
      <c r="Y6826" s="6">
        <v>1.41</v>
      </c>
      <c r="Z6826" s="5">
        <v>1.4</v>
      </c>
      <c r="AA6826" s="6">
        <v>11.41</v>
      </c>
      <c r="AB6826" s="2" t="s">
        <v>86</v>
      </c>
      <c r="AC6826" s="2"/>
    </row>
    <row r="6827" spans="1:29" ht="39" x14ac:dyDescent="0.15">
      <c r="A6827" s="3">
        <f>DATE(2003,3,25)</f>
        <v>37705</v>
      </c>
      <c r="B6827" s="2"/>
      <c r="C6827" s="2" t="s">
        <v>7330</v>
      </c>
      <c r="D6827" s="2" t="s">
        <v>20728</v>
      </c>
      <c r="E6827" s="2" t="s">
        <v>20729</v>
      </c>
      <c r="F6827" s="4">
        <v>7948</v>
      </c>
      <c r="G6827" s="2" t="s">
        <v>364</v>
      </c>
      <c r="H6827" s="2" t="s">
        <v>34</v>
      </c>
      <c r="I6827" s="2" t="s">
        <v>149</v>
      </c>
      <c r="J6827" s="2" t="s">
        <v>150</v>
      </c>
      <c r="K6827" s="2" t="s">
        <v>53</v>
      </c>
      <c r="L6827" s="2" t="s">
        <v>151</v>
      </c>
      <c r="M6827" s="2"/>
      <c r="N6827" s="2"/>
      <c r="O6827" s="2"/>
      <c r="P6827" s="2" t="s">
        <v>20730</v>
      </c>
      <c r="Q6827" s="2"/>
      <c r="R6827" s="2"/>
      <c r="S6827" s="5">
        <v>-15.8</v>
      </c>
      <c r="T6827" s="7">
        <v>-23.224</v>
      </c>
      <c r="U6827" s="5">
        <v>7.1</v>
      </c>
      <c r="V6827" s="6">
        <v>-1.06</v>
      </c>
      <c r="W6827" s="6">
        <v>3.18</v>
      </c>
      <c r="X6827" s="6">
        <v>3.27</v>
      </c>
      <c r="Y6827" s="6">
        <v>4.25</v>
      </c>
      <c r="Z6827" s="6">
        <v>4.03</v>
      </c>
      <c r="AA6827" s="6">
        <v>14.72</v>
      </c>
      <c r="AB6827" s="2" t="s">
        <v>86</v>
      </c>
      <c r="AC6827" s="2"/>
    </row>
    <row r="6828" spans="1:29" ht="117" x14ac:dyDescent="0.15">
      <c r="A6828" s="3">
        <f>DATE(2003,3,26)</f>
        <v>37706</v>
      </c>
      <c r="B6828" s="3">
        <f>DATE(2003,8,8)</f>
        <v>37841</v>
      </c>
      <c r="C6828" s="2" t="s">
        <v>95</v>
      </c>
      <c r="D6828" s="2" t="s">
        <v>20731</v>
      </c>
      <c r="E6828" s="2" t="s">
        <v>20732</v>
      </c>
      <c r="F6828" s="4">
        <v>2657</v>
      </c>
      <c r="G6828" s="2" t="s">
        <v>282</v>
      </c>
      <c r="H6828" s="2" t="s">
        <v>34</v>
      </c>
      <c r="I6828" s="2" t="s">
        <v>6233</v>
      </c>
      <c r="J6828" s="2" t="s">
        <v>6234</v>
      </c>
      <c r="K6828" s="2" t="s">
        <v>282</v>
      </c>
      <c r="L6828" s="2" t="s">
        <v>34</v>
      </c>
      <c r="M6828" s="7">
        <v>38.954000000000001</v>
      </c>
      <c r="N6828" s="6">
        <v>5.35</v>
      </c>
      <c r="O6828" s="6">
        <v>5.07</v>
      </c>
      <c r="P6828" s="2" t="s">
        <v>20733</v>
      </c>
      <c r="Q6828" s="6">
        <v>100</v>
      </c>
      <c r="R6828" s="2"/>
      <c r="S6828" s="5">
        <v>1.4</v>
      </c>
      <c r="T6828" s="7">
        <v>123.807</v>
      </c>
      <c r="U6828" s="5">
        <v>6.2</v>
      </c>
      <c r="V6828" s="6">
        <v>0.03</v>
      </c>
      <c r="W6828" s="6">
        <v>4.83</v>
      </c>
      <c r="X6828" s="6">
        <v>4.9800000000000004</v>
      </c>
      <c r="Y6828" s="6">
        <v>5.35</v>
      </c>
      <c r="Z6828" s="6">
        <v>5.07</v>
      </c>
      <c r="AA6828" s="6">
        <v>33.630000000000003</v>
      </c>
      <c r="AB6828" s="7">
        <v>14.042999999999999</v>
      </c>
      <c r="AC6828" s="6">
        <v>13.76</v>
      </c>
    </row>
    <row r="6829" spans="1:29" ht="91" x14ac:dyDescent="0.15">
      <c r="A6829" s="3">
        <f>DATE(2003,3,26)</f>
        <v>37706</v>
      </c>
      <c r="B6829" s="2"/>
      <c r="C6829" s="2" t="s">
        <v>7330</v>
      </c>
      <c r="D6829" s="2" t="s">
        <v>20734</v>
      </c>
      <c r="E6829" s="2" t="s">
        <v>2337</v>
      </c>
      <c r="F6829" s="4">
        <v>6021</v>
      </c>
      <c r="G6829" s="2" t="s">
        <v>37</v>
      </c>
      <c r="H6829" s="2" t="s">
        <v>34</v>
      </c>
      <c r="I6829" s="2" t="s">
        <v>51</v>
      </c>
      <c r="J6829" s="2" t="s">
        <v>52</v>
      </c>
      <c r="K6829" s="2" t="s">
        <v>53</v>
      </c>
      <c r="L6829" s="2" t="s">
        <v>34</v>
      </c>
      <c r="M6829" s="2"/>
      <c r="N6829" s="2"/>
      <c r="O6829" s="2"/>
      <c r="P6829" s="2" t="s">
        <v>20735</v>
      </c>
      <c r="Q6829" s="2"/>
      <c r="R6829" s="6">
        <v>14.2</v>
      </c>
      <c r="S6829" s="2"/>
      <c r="T6829" s="2"/>
      <c r="U6829" s="2"/>
      <c r="V6829" s="2"/>
      <c r="W6829" s="6">
        <v>13.55</v>
      </c>
      <c r="X6829" s="5">
        <v>14.4</v>
      </c>
      <c r="Y6829" s="2"/>
      <c r="Z6829" s="2"/>
      <c r="AA6829" s="6">
        <v>0.99</v>
      </c>
      <c r="AB6829" s="2" t="s">
        <v>47</v>
      </c>
      <c r="AC6829" s="2"/>
    </row>
    <row r="6830" spans="1:29" ht="65" x14ac:dyDescent="0.15">
      <c r="A6830" s="3">
        <f>DATE(2003,3,26)</f>
        <v>37706</v>
      </c>
      <c r="B6830" s="3">
        <f>DATE(2003,12,5)</f>
        <v>37960</v>
      </c>
      <c r="C6830" s="2" t="s">
        <v>95</v>
      </c>
      <c r="D6830" s="2" t="s">
        <v>19713</v>
      </c>
      <c r="E6830" s="2" t="s">
        <v>2754</v>
      </c>
      <c r="F6830" s="4">
        <v>4911</v>
      </c>
      <c r="G6830" s="2" t="s">
        <v>439</v>
      </c>
      <c r="H6830" s="2" t="s">
        <v>34</v>
      </c>
      <c r="I6830" s="2" t="s">
        <v>1526</v>
      </c>
      <c r="J6830" s="2" t="s">
        <v>302</v>
      </c>
      <c r="K6830" s="2" t="s">
        <v>53</v>
      </c>
      <c r="L6830" s="2" t="s">
        <v>34</v>
      </c>
      <c r="M6830" s="2"/>
      <c r="N6830" s="2"/>
      <c r="O6830" s="2"/>
      <c r="P6830" s="2" t="s">
        <v>20736</v>
      </c>
      <c r="Q6830" s="6">
        <v>100</v>
      </c>
      <c r="R6830" s="2"/>
      <c r="S6830" s="8">
        <v>-2907.7</v>
      </c>
      <c r="T6830" s="7">
        <v>481.89600000000002</v>
      </c>
      <c r="U6830" s="5">
        <v>-6.8</v>
      </c>
      <c r="V6830" s="2"/>
      <c r="W6830" s="4">
        <v>6</v>
      </c>
      <c r="X6830" s="6">
        <v>6.17</v>
      </c>
      <c r="Y6830" s="4">
        <v>8</v>
      </c>
      <c r="Z6830" s="6">
        <v>8.14</v>
      </c>
      <c r="AA6830" s="2"/>
      <c r="AB6830" s="2" t="s">
        <v>47</v>
      </c>
      <c r="AC6830" s="2"/>
    </row>
    <row r="6831" spans="1:29" ht="156" x14ac:dyDescent="0.15">
      <c r="A6831" s="3">
        <f>DATE(2003,3,26)</f>
        <v>37706</v>
      </c>
      <c r="B6831" s="3">
        <f>DATE(2003,7,1)</f>
        <v>37803</v>
      </c>
      <c r="C6831" s="2" t="s">
        <v>95</v>
      </c>
      <c r="D6831" s="2" t="s">
        <v>20737</v>
      </c>
      <c r="E6831" s="2" t="s">
        <v>20738</v>
      </c>
      <c r="F6831" s="4">
        <v>8221</v>
      </c>
      <c r="G6831" s="2" t="s">
        <v>415</v>
      </c>
      <c r="H6831" s="2" t="s">
        <v>34</v>
      </c>
      <c r="I6831" s="2" t="s">
        <v>15014</v>
      </c>
      <c r="J6831" s="2" t="s">
        <v>15015</v>
      </c>
      <c r="K6831" s="2" t="s">
        <v>415</v>
      </c>
      <c r="L6831" s="2" t="s">
        <v>34</v>
      </c>
      <c r="M6831" s="12">
        <v>2103.6860000000001</v>
      </c>
      <c r="N6831" s="6">
        <v>50.97</v>
      </c>
      <c r="O6831" s="5">
        <v>49.4</v>
      </c>
      <c r="P6831" s="2" t="s">
        <v>20739</v>
      </c>
      <c r="Q6831" s="6">
        <v>100</v>
      </c>
      <c r="R6831" s="6">
        <v>15.43</v>
      </c>
      <c r="S6831" s="5">
        <v>5.8</v>
      </c>
      <c r="T6831" s="7">
        <v>13.887</v>
      </c>
      <c r="U6831" s="5">
        <v>2.1</v>
      </c>
      <c r="V6831" s="6">
        <v>0.39</v>
      </c>
      <c r="W6831" s="4">
        <v>10</v>
      </c>
      <c r="X6831" s="4">
        <v>10</v>
      </c>
      <c r="Y6831" s="6">
        <v>10.220000000000001</v>
      </c>
      <c r="Z6831" s="6">
        <v>13.65</v>
      </c>
      <c r="AA6831" s="6">
        <v>14.21</v>
      </c>
      <c r="AB6831" s="7">
        <v>24.629000000000001</v>
      </c>
      <c r="AC6831" s="6">
        <v>33.47</v>
      </c>
    </row>
    <row r="6832" spans="1:29" ht="65" x14ac:dyDescent="0.15">
      <c r="A6832" s="3">
        <f>DATE(2003,3,27)</f>
        <v>37707</v>
      </c>
      <c r="B6832" s="2"/>
      <c r="C6832" s="2" t="s">
        <v>7330</v>
      </c>
      <c r="D6832" s="2" t="s">
        <v>20684</v>
      </c>
      <c r="E6832" s="2" t="s">
        <v>20685</v>
      </c>
      <c r="F6832" s="4">
        <v>8011</v>
      </c>
      <c r="G6832" s="2" t="s">
        <v>454</v>
      </c>
      <c r="H6832" s="2" t="s">
        <v>34</v>
      </c>
      <c r="I6832" s="2" t="s">
        <v>20740</v>
      </c>
      <c r="J6832" s="2" t="s">
        <v>1194</v>
      </c>
      <c r="K6832" s="2" t="s">
        <v>53</v>
      </c>
      <c r="L6832" s="2" t="s">
        <v>34</v>
      </c>
      <c r="M6832" s="2"/>
      <c r="N6832" s="2"/>
      <c r="O6832" s="2"/>
      <c r="P6832" s="2" t="s">
        <v>20741</v>
      </c>
      <c r="Q6832" s="2"/>
      <c r="R6832" s="6">
        <v>6.25</v>
      </c>
      <c r="S6832" s="5">
        <v>-3.9</v>
      </c>
      <c r="T6832" s="7">
        <v>3.6019999999999999</v>
      </c>
      <c r="U6832" s="5">
        <v>22.4</v>
      </c>
      <c r="V6832" s="6">
        <v>-1.89</v>
      </c>
      <c r="W6832" s="6">
        <v>5.21</v>
      </c>
      <c r="X6832" s="4">
        <v>5</v>
      </c>
      <c r="Y6832" s="6">
        <v>5.51</v>
      </c>
      <c r="Z6832" s="6">
        <v>5.75</v>
      </c>
      <c r="AA6832" s="6">
        <v>2.09</v>
      </c>
      <c r="AB6832" s="2" t="s">
        <v>86</v>
      </c>
      <c r="AC6832" s="2"/>
    </row>
    <row r="6833" spans="1:29" ht="117" x14ac:dyDescent="0.15">
      <c r="A6833" s="3">
        <f>DATE(2003,3,27)</f>
        <v>37707</v>
      </c>
      <c r="B6833" s="3">
        <f>DATE(2003,9,4)</f>
        <v>37868</v>
      </c>
      <c r="C6833" s="2" t="s">
        <v>95</v>
      </c>
      <c r="D6833" s="2" t="s">
        <v>20176</v>
      </c>
      <c r="E6833" s="2" t="s">
        <v>7568</v>
      </c>
      <c r="F6833" s="4">
        <v>4899</v>
      </c>
      <c r="G6833" s="2" t="s">
        <v>63</v>
      </c>
      <c r="H6833" s="2" t="s">
        <v>34</v>
      </c>
      <c r="I6833" s="2" t="s">
        <v>20742</v>
      </c>
      <c r="J6833" s="2" t="s">
        <v>20743</v>
      </c>
      <c r="K6833" s="2" t="s">
        <v>551</v>
      </c>
      <c r="L6833" s="2" t="s">
        <v>902</v>
      </c>
      <c r="M6833" s="7">
        <v>33.134</v>
      </c>
      <c r="N6833" s="7">
        <v>0.438</v>
      </c>
      <c r="O6833" s="7">
        <v>0.40799999999999997</v>
      </c>
      <c r="P6833" s="2" t="s">
        <v>20744</v>
      </c>
      <c r="Q6833" s="6">
        <v>100</v>
      </c>
      <c r="R6833" s="2"/>
      <c r="S6833" s="5">
        <v>-70.099999999999994</v>
      </c>
      <c r="T6833" s="7">
        <v>-52.741999999999997</v>
      </c>
      <c r="U6833" s="5">
        <v>4.3</v>
      </c>
      <c r="V6833" s="6">
        <v>-1.49</v>
      </c>
      <c r="W6833" s="6">
        <v>2.5499999999999998</v>
      </c>
      <c r="X6833" s="6">
        <v>2.4300000000000002</v>
      </c>
      <c r="Y6833" s="6">
        <v>2.68</v>
      </c>
      <c r="Z6833" s="6">
        <v>2.66</v>
      </c>
      <c r="AA6833" s="6">
        <v>38.69</v>
      </c>
      <c r="AB6833" s="2" t="s">
        <v>86</v>
      </c>
      <c r="AC6833" s="6">
        <v>18.309999999999999</v>
      </c>
    </row>
    <row r="6834" spans="1:29" ht="117" x14ac:dyDescent="0.15">
      <c r="A6834" s="3">
        <f>DATE(2003,3,27)</f>
        <v>37707</v>
      </c>
      <c r="B6834" s="3">
        <f>DATE(2004,3,1)</f>
        <v>38047</v>
      </c>
      <c r="C6834" s="2" t="s">
        <v>95</v>
      </c>
      <c r="D6834" s="2" t="s">
        <v>20745</v>
      </c>
      <c r="E6834" s="2" t="s">
        <v>20746</v>
      </c>
      <c r="F6834" s="4">
        <v>6726</v>
      </c>
      <c r="G6834" s="2" t="s">
        <v>53</v>
      </c>
      <c r="H6834" s="2" t="s">
        <v>34</v>
      </c>
      <c r="I6834" s="2" t="s">
        <v>12274</v>
      </c>
      <c r="J6834" s="2" t="s">
        <v>7957</v>
      </c>
      <c r="K6834" s="2" t="s">
        <v>370</v>
      </c>
      <c r="L6834" s="2" t="s">
        <v>34</v>
      </c>
      <c r="M6834" s="7">
        <v>85.412999999999997</v>
      </c>
      <c r="N6834" s="5">
        <v>13.2</v>
      </c>
      <c r="O6834" s="5">
        <v>13.1</v>
      </c>
      <c r="P6834" s="2" t="s">
        <v>20747</v>
      </c>
      <c r="Q6834" s="6">
        <v>100</v>
      </c>
      <c r="R6834" s="6">
        <v>5.01</v>
      </c>
      <c r="S6834" s="5">
        <v>6</v>
      </c>
      <c r="T6834" s="7">
        <v>6.2939999999999996</v>
      </c>
      <c r="U6834" s="5">
        <v>6.1</v>
      </c>
      <c r="V6834" s="6">
        <v>0.48</v>
      </c>
      <c r="W6834" s="6">
        <v>4.2300000000000004</v>
      </c>
      <c r="X6834" s="6">
        <v>4.28</v>
      </c>
      <c r="Y6834" s="6">
        <v>4.0199999999999996</v>
      </c>
      <c r="Z6834" s="6">
        <v>4.6500000000000004</v>
      </c>
      <c r="AA6834" s="6">
        <v>11.85</v>
      </c>
      <c r="AB6834" s="7">
        <v>18.795999999999999</v>
      </c>
      <c r="AC6834" s="6">
        <v>0.05</v>
      </c>
    </row>
    <row r="6835" spans="1:29" ht="130" x14ac:dyDescent="0.15">
      <c r="A6835" s="3">
        <f>DATE(2003,3,31)</f>
        <v>37711</v>
      </c>
      <c r="B6835" s="3">
        <f>DATE(2003,8,25)</f>
        <v>37858</v>
      </c>
      <c r="C6835" s="2" t="s">
        <v>95</v>
      </c>
      <c r="D6835" s="2" t="s">
        <v>20748</v>
      </c>
      <c r="E6835" s="2" t="s">
        <v>265</v>
      </c>
      <c r="F6835" s="4">
        <v>6021</v>
      </c>
      <c r="G6835" s="2" t="s">
        <v>37</v>
      </c>
      <c r="H6835" s="2" t="s">
        <v>34</v>
      </c>
      <c r="I6835" s="2" t="s">
        <v>13374</v>
      </c>
      <c r="J6835" s="2" t="s">
        <v>36</v>
      </c>
      <c r="K6835" s="2" t="s">
        <v>37</v>
      </c>
      <c r="L6835" s="2" t="s">
        <v>34</v>
      </c>
      <c r="M6835" s="7">
        <v>254.39099999999999</v>
      </c>
      <c r="N6835" s="5">
        <v>15.9</v>
      </c>
      <c r="O6835" s="6">
        <v>16.75</v>
      </c>
      <c r="P6835" s="2" t="s">
        <v>20749</v>
      </c>
      <c r="Q6835" s="6">
        <v>100</v>
      </c>
      <c r="R6835" s="2"/>
      <c r="S6835" s="2"/>
      <c r="T6835" s="2"/>
      <c r="U6835" s="2"/>
      <c r="V6835" s="2"/>
      <c r="W6835" s="4">
        <v>19</v>
      </c>
      <c r="X6835" s="4">
        <v>19</v>
      </c>
      <c r="Y6835" s="2"/>
      <c r="Z6835" s="2"/>
      <c r="AA6835" s="2"/>
      <c r="AB6835" s="2" t="s">
        <v>47</v>
      </c>
      <c r="AC6835" s="2"/>
    </row>
    <row r="6836" spans="1:29" ht="117" x14ac:dyDescent="0.15">
      <c r="A6836" s="3">
        <f>DATE(2003,3,31)</f>
        <v>37711</v>
      </c>
      <c r="B6836" s="3">
        <f>DATE(2003,10,29)</f>
        <v>37923</v>
      </c>
      <c r="C6836" s="2" t="s">
        <v>95</v>
      </c>
      <c r="D6836" s="2" t="s">
        <v>20750</v>
      </c>
      <c r="E6836" s="2" t="s">
        <v>20751</v>
      </c>
      <c r="F6836" s="4">
        <v>1311</v>
      </c>
      <c r="G6836" s="2" t="s">
        <v>148</v>
      </c>
      <c r="H6836" s="2" t="s">
        <v>34</v>
      </c>
      <c r="I6836" s="2" t="s">
        <v>20752</v>
      </c>
      <c r="J6836" s="2" t="s">
        <v>612</v>
      </c>
      <c r="K6836" s="2" t="s">
        <v>148</v>
      </c>
      <c r="L6836" s="2" t="s">
        <v>34</v>
      </c>
      <c r="M6836" s="7">
        <v>858.51099999999997</v>
      </c>
      <c r="N6836" s="6">
        <v>45.31</v>
      </c>
      <c r="O6836" s="6">
        <v>45.89</v>
      </c>
      <c r="P6836" s="2" t="s">
        <v>20753</v>
      </c>
      <c r="Q6836" s="6">
        <v>100</v>
      </c>
      <c r="R6836" s="6">
        <v>12.49</v>
      </c>
      <c r="S6836" s="5">
        <v>-12.9</v>
      </c>
      <c r="T6836" s="7">
        <v>8.9949999999999992</v>
      </c>
      <c r="U6836" s="5">
        <v>3.4</v>
      </c>
      <c r="V6836" s="6">
        <v>-2.12</v>
      </c>
      <c r="W6836" s="5">
        <v>10.4</v>
      </c>
      <c r="X6836" s="5">
        <v>10.5</v>
      </c>
      <c r="Y6836" s="5">
        <v>11.9</v>
      </c>
      <c r="Z6836" s="5">
        <v>12.4</v>
      </c>
      <c r="AA6836" s="6">
        <v>6.14</v>
      </c>
      <c r="AB6836" s="7">
        <v>29.867999999999999</v>
      </c>
      <c r="AC6836" s="6">
        <v>1.31</v>
      </c>
    </row>
    <row r="6837" spans="1:29" ht="52" x14ac:dyDescent="0.15">
      <c r="A6837" s="3">
        <f>DATE(2003,3,31)</f>
        <v>37711</v>
      </c>
      <c r="B6837" s="2"/>
      <c r="C6837" s="2" t="s">
        <v>30</v>
      </c>
      <c r="D6837" s="2" t="s">
        <v>11931</v>
      </c>
      <c r="E6837" s="2" t="s">
        <v>11932</v>
      </c>
      <c r="F6837" s="4">
        <v>2911</v>
      </c>
      <c r="G6837" s="2" t="s">
        <v>148</v>
      </c>
      <c r="H6837" s="2" t="s">
        <v>34</v>
      </c>
      <c r="I6837" s="2" t="s">
        <v>20754</v>
      </c>
      <c r="J6837" s="2" t="s">
        <v>20755</v>
      </c>
      <c r="K6837" s="2" t="s">
        <v>148</v>
      </c>
      <c r="L6837" s="2" t="s">
        <v>34</v>
      </c>
      <c r="M6837" s="7">
        <v>436.084</v>
      </c>
      <c r="N6837" s="5">
        <v>17.100000000000001</v>
      </c>
      <c r="O6837" s="6">
        <v>17.38</v>
      </c>
      <c r="P6837" s="2" t="s">
        <v>20756</v>
      </c>
      <c r="Q6837" s="2"/>
      <c r="R6837" s="6">
        <v>28.96</v>
      </c>
      <c r="S6837" s="5">
        <v>25.3</v>
      </c>
      <c r="T6837" s="7">
        <v>51.103999999999999</v>
      </c>
      <c r="U6837" s="5">
        <v>1.9</v>
      </c>
      <c r="V6837" s="9">
        <v>0.20749999999999999</v>
      </c>
      <c r="W6837" s="5">
        <v>21.8</v>
      </c>
      <c r="X6837" s="5">
        <v>22.1</v>
      </c>
      <c r="Y6837" s="6">
        <v>28.64</v>
      </c>
      <c r="Z6837" s="6">
        <v>29.45</v>
      </c>
      <c r="AA6837" s="6">
        <v>15.52</v>
      </c>
      <c r="AB6837" s="7">
        <v>171.89699999999999</v>
      </c>
      <c r="AC6837" s="6">
        <v>113.93</v>
      </c>
    </row>
    <row r="6838" spans="1:29" ht="78" x14ac:dyDescent="0.15">
      <c r="A6838" s="3">
        <f>DATE(2003,3,31)</f>
        <v>37711</v>
      </c>
      <c r="B6838" s="2"/>
      <c r="C6838" s="2" t="s">
        <v>30</v>
      </c>
      <c r="D6838" s="2" t="s">
        <v>20757</v>
      </c>
      <c r="E6838" s="2" t="s">
        <v>849</v>
      </c>
      <c r="F6838" s="4">
        <v>7372</v>
      </c>
      <c r="G6838" s="2" t="s">
        <v>551</v>
      </c>
      <c r="H6838" s="2" t="s">
        <v>34</v>
      </c>
      <c r="I6838" s="2" t="s">
        <v>20758</v>
      </c>
      <c r="J6838" s="2" t="s">
        <v>302</v>
      </c>
      <c r="K6838" s="2" t="s">
        <v>53</v>
      </c>
      <c r="L6838" s="2" t="s">
        <v>34</v>
      </c>
      <c r="M6838" s="2"/>
      <c r="N6838" s="2"/>
      <c r="O6838" s="2"/>
      <c r="P6838" s="2" t="s">
        <v>20759</v>
      </c>
      <c r="Q6838" s="2"/>
      <c r="R6838" s="6">
        <v>2.17</v>
      </c>
      <c r="S6838" s="5">
        <v>-27.6</v>
      </c>
      <c r="T6838" s="7">
        <v>-5.7350000000000003</v>
      </c>
      <c r="U6838" s="5">
        <v>1.1000000000000001</v>
      </c>
      <c r="V6838" s="6">
        <v>-0.81</v>
      </c>
      <c r="W6838" s="6">
        <v>1.52</v>
      </c>
      <c r="X6838" s="6">
        <v>1.55</v>
      </c>
      <c r="Y6838" s="6">
        <v>1.77</v>
      </c>
      <c r="Z6838" s="5">
        <v>1.7</v>
      </c>
      <c r="AA6838" s="6">
        <v>35.14</v>
      </c>
      <c r="AB6838" s="2" t="s">
        <v>86</v>
      </c>
      <c r="AC6838" s="2"/>
    </row>
    <row r="6839" spans="1:29" ht="117" x14ac:dyDescent="0.15">
      <c r="A6839" s="3">
        <f>DATE(2003,4,1)</f>
        <v>37712</v>
      </c>
      <c r="B6839" s="3">
        <f>DATE(2003,8,7)</f>
        <v>37840</v>
      </c>
      <c r="C6839" s="2" t="s">
        <v>95</v>
      </c>
      <c r="D6839" s="2" t="s">
        <v>20760</v>
      </c>
      <c r="E6839" s="2" t="s">
        <v>20761</v>
      </c>
      <c r="F6839" s="4">
        <v>1521</v>
      </c>
      <c r="G6839" s="2" t="s">
        <v>341</v>
      </c>
      <c r="H6839" s="2" t="s">
        <v>34</v>
      </c>
      <c r="I6839" s="2" t="s">
        <v>6692</v>
      </c>
      <c r="J6839" s="2" t="s">
        <v>515</v>
      </c>
      <c r="K6839" s="2" t="s">
        <v>125</v>
      </c>
      <c r="L6839" s="2" t="s">
        <v>34</v>
      </c>
      <c r="M6839" s="12">
        <v>507089.44099999999</v>
      </c>
      <c r="N6839" s="4">
        <v>65500</v>
      </c>
      <c r="O6839" s="4">
        <v>69700</v>
      </c>
      <c r="P6839" s="2" t="s">
        <v>20762</v>
      </c>
      <c r="Q6839" s="6">
        <v>100</v>
      </c>
      <c r="R6839" s="6">
        <v>12.5</v>
      </c>
      <c r="S6839" s="5">
        <v>121.1</v>
      </c>
      <c r="T6839" s="7">
        <v>217.726</v>
      </c>
      <c r="U6839" s="5">
        <v>9.6999999999999993</v>
      </c>
      <c r="V6839" s="6">
        <v>0.88</v>
      </c>
      <c r="W6839" s="6">
        <v>11.37</v>
      </c>
      <c r="X6839" s="6">
        <v>11.04</v>
      </c>
      <c r="Y6839" s="6">
        <v>11.13</v>
      </c>
      <c r="Z6839" s="6">
        <v>12.43</v>
      </c>
      <c r="AA6839" s="6">
        <v>136.11000000000001</v>
      </c>
      <c r="AB6839" s="7">
        <v>9.0950000000000006</v>
      </c>
      <c r="AC6839" s="8">
        <v>16130</v>
      </c>
    </row>
    <row r="6840" spans="1:29" ht="195" x14ac:dyDescent="0.15">
      <c r="A6840" s="3">
        <f>DATE(2003,4,1)</f>
        <v>37712</v>
      </c>
      <c r="B6840" s="3">
        <f>DATE(2003,11,12)</f>
        <v>37937</v>
      </c>
      <c r="C6840" s="2" t="s">
        <v>95</v>
      </c>
      <c r="D6840" s="2" t="s">
        <v>19411</v>
      </c>
      <c r="E6840" s="2" t="s">
        <v>19412</v>
      </c>
      <c r="F6840" s="4">
        <v>4841</v>
      </c>
      <c r="G6840" s="2" t="s">
        <v>45</v>
      </c>
      <c r="H6840" s="2" t="s">
        <v>34</v>
      </c>
      <c r="I6840" s="2" t="s">
        <v>3558</v>
      </c>
      <c r="J6840" s="2" t="s">
        <v>3892</v>
      </c>
      <c r="K6840" s="2" t="s">
        <v>45</v>
      </c>
      <c r="L6840" s="2" t="s">
        <v>34</v>
      </c>
      <c r="M6840" s="12">
        <v>23373.306</v>
      </c>
      <c r="N6840" s="6">
        <v>9.91</v>
      </c>
      <c r="O6840" s="6">
        <v>10.06</v>
      </c>
      <c r="P6840" s="2" t="s">
        <v>20763</v>
      </c>
      <c r="Q6840" s="6">
        <v>13</v>
      </c>
      <c r="R6840" s="6">
        <v>3.2</v>
      </c>
      <c r="S6840" s="5">
        <v>-164</v>
      </c>
      <c r="T6840" s="7">
        <v>60.646999999999998</v>
      </c>
      <c r="U6840" s="5">
        <v>2</v>
      </c>
      <c r="V6840" s="6">
        <v>-4.3600000000000003</v>
      </c>
      <c r="W6840" s="5">
        <v>2.2000000000000002</v>
      </c>
      <c r="X6840" s="6">
        <v>2.19</v>
      </c>
      <c r="Y6840" s="6">
        <v>2.19</v>
      </c>
      <c r="Z6840" s="5">
        <v>2.2000000000000002</v>
      </c>
      <c r="AA6840" s="6">
        <v>49.07</v>
      </c>
      <c r="AB6840" s="2" t="s">
        <v>86</v>
      </c>
      <c r="AC6840" s="8">
        <v>4585</v>
      </c>
    </row>
    <row r="6841" spans="1:29" ht="91" x14ac:dyDescent="0.15">
      <c r="A6841" s="3">
        <f>DATE(2003,4,1)</f>
        <v>37712</v>
      </c>
      <c r="B6841" s="3">
        <f>DATE(2003,6,12)</f>
        <v>37784</v>
      </c>
      <c r="C6841" s="2" t="s">
        <v>95</v>
      </c>
      <c r="D6841" s="2" t="s">
        <v>14697</v>
      </c>
      <c r="E6841" s="2" t="s">
        <v>14698</v>
      </c>
      <c r="F6841" s="4">
        <v>7213</v>
      </c>
      <c r="G6841" s="2" t="s">
        <v>1517</v>
      </c>
      <c r="H6841" s="2" t="s">
        <v>34</v>
      </c>
      <c r="I6841" s="2" t="s">
        <v>17636</v>
      </c>
      <c r="J6841" s="2" t="s">
        <v>15613</v>
      </c>
      <c r="K6841" s="2" t="s">
        <v>53</v>
      </c>
      <c r="L6841" s="2" t="s">
        <v>34</v>
      </c>
      <c r="M6841" s="2"/>
      <c r="N6841" s="2"/>
      <c r="O6841" s="2"/>
      <c r="P6841" s="2" t="s">
        <v>20764</v>
      </c>
      <c r="Q6841" s="6">
        <v>100</v>
      </c>
      <c r="R6841" s="6">
        <v>10</v>
      </c>
      <c r="S6841" s="5">
        <v>-11.7</v>
      </c>
      <c r="T6841" s="7">
        <v>14.183999999999999</v>
      </c>
      <c r="U6841" s="5">
        <v>19.100000000000001</v>
      </c>
      <c r="V6841" s="6">
        <v>-2.2400000000000002</v>
      </c>
      <c r="W6841" s="6">
        <v>5.24</v>
      </c>
      <c r="X6841" s="6">
        <v>5.16</v>
      </c>
      <c r="Y6841" s="5">
        <v>5.2</v>
      </c>
      <c r="Z6841" s="6">
        <v>8.5299999999999994</v>
      </c>
      <c r="AA6841" s="6">
        <v>11.18</v>
      </c>
      <c r="AB6841" s="2" t="s">
        <v>86</v>
      </c>
      <c r="AC6841" s="2"/>
    </row>
    <row r="6842" spans="1:29" ht="78" x14ac:dyDescent="0.15">
      <c r="A6842" s="3">
        <f>DATE(2003,4,1)</f>
        <v>37712</v>
      </c>
      <c r="B6842" s="3">
        <f>DATE(2003,5,21)</f>
        <v>37762</v>
      </c>
      <c r="C6842" s="2" t="s">
        <v>95</v>
      </c>
      <c r="D6842" s="2" t="s">
        <v>20765</v>
      </c>
      <c r="E6842" s="2" t="s">
        <v>7957</v>
      </c>
      <c r="F6842" s="4">
        <v>6141</v>
      </c>
      <c r="G6842" s="2" t="s">
        <v>370</v>
      </c>
      <c r="H6842" s="2" t="s">
        <v>34</v>
      </c>
      <c r="I6842" s="2" t="s">
        <v>6733</v>
      </c>
      <c r="J6842" s="2" t="s">
        <v>6734</v>
      </c>
      <c r="K6842" s="2" t="s">
        <v>109</v>
      </c>
      <c r="L6842" s="2" t="s">
        <v>34</v>
      </c>
      <c r="M6842" s="2"/>
      <c r="N6842" s="5">
        <v>1.7</v>
      </c>
      <c r="O6842" s="5">
        <v>1.7</v>
      </c>
      <c r="P6842" s="2" t="s">
        <v>20766</v>
      </c>
      <c r="Q6842" s="6">
        <v>100</v>
      </c>
      <c r="R6842" s="6">
        <v>1.87</v>
      </c>
      <c r="S6842" s="5">
        <v>2.1</v>
      </c>
      <c r="T6842" s="7">
        <v>4.4710000000000001</v>
      </c>
      <c r="U6842" s="5">
        <v>4.0999999999999996</v>
      </c>
      <c r="V6842" s="6">
        <v>0.17</v>
      </c>
      <c r="W6842" s="6">
        <v>1.21</v>
      </c>
      <c r="X6842" s="6">
        <v>1.34</v>
      </c>
      <c r="Y6842" s="6">
        <v>1.82</v>
      </c>
      <c r="Z6842" s="6">
        <v>1.82</v>
      </c>
      <c r="AA6842" s="6">
        <v>11.54</v>
      </c>
      <c r="AB6842" s="7">
        <v>34.35</v>
      </c>
      <c r="AC6842" s="6">
        <v>59.24</v>
      </c>
    </row>
    <row r="6843" spans="1:29" ht="221" x14ac:dyDescent="0.15">
      <c r="A6843" s="3">
        <f>DATE(2003,4,2)</f>
        <v>37713</v>
      </c>
      <c r="B6843" s="3">
        <f>DATE(2004,2,26)</f>
        <v>38043</v>
      </c>
      <c r="C6843" s="2" t="s">
        <v>95</v>
      </c>
      <c r="D6843" s="2" t="s">
        <v>20767</v>
      </c>
      <c r="E6843" s="2" t="s">
        <v>20768</v>
      </c>
      <c r="F6843" s="4">
        <v>6099</v>
      </c>
      <c r="G6843" s="2" t="s">
        <v>3583</v>
      </c>
      <c r="H6843" s="2" t="s">
        <v>34</v>
      </c>
      <c r="I6843" s="2" t="s">
        <v>6356</v>
      </c>
      <c r="J6843" s="2" t="s">
        <v>6357</v>
      </c>
      <c r="K6843" s="2" t="s">
        <v>223</v>
      </c>
      <c r="L6843" s="2" t="s">
        <v>34</v>
      </c>
      <c r="M6843" s="12">
        <v>31327.850999999999</v>
      </c>
      <c r="N6843" s="6">
        <v>34.79</v>
      </c>
      <c r="O6843" s="6">
        <v>34.14</v>
      </c>
      <c r="P6843" s="2" t="s">
        <v>20769</v>
      </c>
      <c r="Q6843" s="6">
        <v>100</v>
      </c>
      <c r="R6843" s="6">
        <v>14.35</v>
      </c>
      <c r="S6843" s="5">
        <v>324.3</v>
      </c>
      <c r="T6843" s="2"/>
      <c r="U6843" s="5">
        <v>4.0999999999999996</v>
      </c>
      <c r="V6843" s="6">
        <v>0.64</v>
      </c>
      <c r="W6843" s="5">
        <v>9.3000000000000007</v>
      </c>
      <c r="X6843" s="6">
        <v>11.87</v>
      </c>
      <c r="Y6843" s="6">
        <v>12.44</v>
      </c>
      <c r="Z6843" s="6">
        <v>12.12</v>
      </c>
      <c r="AA6843" s="6">
        <v>486.47</v>
      </c>
      <c r="AB6843" s="7">
        <v>11.71</v>
      </c>
      <c r="AC6843" s="8">
        <v>1066.0999999999999</v>
      </c>
    </row>
    <row r="6844" spans="1:29" ht="169" x14ac:dyDescent="0.15">
      <c r="A6844" s="3">
        <f>DATE(2003,4,3)</f>
        <v>37714</v>
      </c>
      <c r="B6844" s="3">
        <f>DATE(2003,5,21)</f>
        <v>37762</v>
      </c>
      <c r="C6844" s="2" t="s">
        <v>95</v>
      </c>
      <c r="D6844" s="2" t="s">
        <v>15939</v>
      </c>
      <c r="E6844" s="2" t="s">
        <v>7410</v>
      </c>
      <c r="F6844" s="4">
        <v>7372</v>
      </c>
      <c r="G6844" s="2" t="s">
        <v>551</v>
      </c>
      <c r="H6844" s="2" t="s">
        <v>34</v>
      </c>
      <c r="I6844" s="2" t="s">
        <v>5525</v>
      </c>
      <c r="J6844" s="2" t="s">
        <v>20770</v>
      </c>
      <c r="K6844" s="2" t="s">
        <v>223</v>
      </c>
      <c r="L6844" s="2" t="s">
        <v>902</v>
      </c>
      <c r="M6844" s="12">
        <v>16748.722000000002</v>
      </c>
      <c r="N6844" s="6">
        <v>26.07</v>
      </c>
      <c r="O6844" s="6">
        <v>27.06</v>
      </c>
      <c r="P6844" s="2" t="s">
        <v>20771</v>
      </c>
      <c r="Q6844" s="6">
        <v>100</v>
      </c>
      <c r="R6844" s="6">
        <v>14</v>
      </c>
      <c r="S6844" s="5">
        <v>4.5</v>
      </c>
      <c r="T6844" s="7">
        <v>8.4269999999999996</v>
      </c>
      <c r="U6844" s="5">
        <v>5.2</v>
      </c>
      <c r="V6844" s="6">
        <v>0.53</v>
      </c>
      <c r="W6844" s="5">
        <v>9.6999999999999993</v>
      </c>
      <c r="X6844" s="6">
        <v>9.9700000000000006</v>
      </c>
      <c r="Y6844" s="6">
        <v>13.86</v>
      </c>
      <c r="Z6844" s="6">
        <v>13.86</v>
      </c>
      <c r="AA6844" s="6">
        <v>7.86</v>
      </c>
      <c r="AB6844" s="7">
        <v>16.317</v>
      </c>
      <c r="AC6844" s="6">
        <v>551.04999999999995</v>
      </c>
    </row>
    <row r="6845" spans="1:29" ht="104" x14ac:dyDescent="0.15">
      <c r="A6845" s="3">
        <f>DATE(2003,4,4)</f>
        <v>37715</v>
      </c>
      <c r="B6845" s="2"/>
      <c r="C6845" s="2" t="s">
        <v>7330</v>
      </c>
      <c r="D6845" s="2" t="s">
        <v>20772</v>
      </c>
      <c r="E6845" s="2" t="s">
        <v>20773</v>
      </c>
      <c r="F6845" s="4">
        <v>7997</v>
      </c>
      <c r="G6845" s="2" t="s">
        <v>364</v>
      </c>
      <c r="H6845" s="2" t="s">
        <v>34</v>
      </c>
      <c r="I6845" s="2" t="s">
        <v>51</v>
      </c>
      <c r="J6845" s="2" t="s">
        <v>52</v>
      </c>
      <c r="K6845" s="2" t="s">
        <v>53</v>
      </c>
      <c r="L6845" s="2" t="s">
        <v>34</v>
      </c>
      <c r="M6845" s="2"/>
      <c r="N6845" s="2"/>
      <c r="O6845" s="2"/>
      <c r="P6845" s="2" t="s">
        <v>20774</v>
      </c>
      <c r="Q6845" s="2"/>
      <c r="R6845" s="6">
        <v>3</v>
      </c>
      <c r="S6845" s="5">
        <v>-15.8</v>
      </c>
      <c r="T6845" s="7">
        <v>10.045999999999999</v>
      </c>
      <c r="U6845" s="5">
        <v>1.1000000000000001</v>
      </c>
      <c r="V6845" s="6">
        <v>-0.93</v>
      </c>
      <c r="W6845" s="6">
        <v>2.41</v>
      </c>
      <c r="X6845" s="5">
        <v>2.4</v>
      </c>
      <c r="Y6845" s="6">
        <v>2.76</v>
      </c>
      <c r="Z6845" s="6">
        <v>2.73</v>
      </c>
      <c r="AA6845" s="6">
        <v>18.21</v>
      </c>
      <c r="AB6845" s="2" t="s">
        <v>86</v>
      </c>
      <c r="AC6845" s="2"/>
    </row>
    <row r="6846" spans="1:29" ht="117" x14ac:dyDescent="0.15">
      <c r="A6846" s="3">
        <f>DATE(2003,4,7)</f>
        <v>37718</v>
      </c>
      <c r="B6846" s="3">
        <f>DATE(2003,5,5)</f>
        <v>37746</v>
      </c>
      <c r="C6846" s="2" t="s">
        <v>95</v>
      </c>
      <c r="D6846" s="2" t="s">
        <v>20775</v>
      </c>
      <c r="E6846" s="2" t="s">
        <v>20776</v>
      </c>
      <c r="F6846" s="4">
        <v>3663</v>
      </c>
      <c r="G6846" s="2" t="s">
        <v>921</v>
      </c>
      <c r="H6846" s="2" t="s">
        <v>34</v>
      </c>
      <c r="I6846" s="2" t="s">
        <v>20777</v>
      </c>
      <c r="J6846" s="2" t="s">
        <v>15546</v>
      </c>
      <c r="K6846" s="2" t="s">
        <v>50</v>
      </c>
      <c r="L6846" s="2" t="s">
        <v>34</v>
      </c>
      <c r="M6846" s="2"/>
      <c r="N6846" s="5">
        <v>5.0999999999999996</v>
      </c>
      <c r="O6846" s="6">
        <v>5.05</v>
      </c>
      <c r="P6846" s="2" t="s">
        <v>20778</v>
      </c>
      <c r="Q6846" s="6">
        <v>9</v>
      </c>
      <c r="R6846" s="6">
        <v>2.31</v>
      </c>
      <c r="S6846" s="5">
        <v>-14.4</v>
      </c>
      <c r="T6846" s="7">
        <v>18.405000000000001</v>
      </c>
      <c r="U6846" s="5">
        <v>2.2999999999999998</v>
      </c>
      <c r="V6846" s="6">
        <v>-0.17</v>
      </c>
      <c r="W6846" s="6">
        <v>1.83</v>
      </c>
      <c r="X6846" s="6">
        <v>2.2200000000000002</v>
      </c>
      <c r="Y6846" s="6">
        <v>2.2799999999999998</v>
      </c>
      <c r="Z6846" s="6">
        <v>2.27</v>
      </c>
      <c r="AA6846" s="6">
        <v>82.14</v>
      </c>
      <c r="AB6846" s="2" t="s">
        <v>86</v>
      </c>
      <c r="AC6846" s="6">
        <v>209.48</v>
      </c>
    </row>
    <row r="6847" spans="1:29" ht="117" x14ac:dyDescent="0.15">
      <c r="A6847" s="3">
        <f>DATE(2003,4,7)</f>
        <v>37718</v>
      </c>
      <c r="B6847" s="3">
        <f>DATE(2003,5,5)</f>
        <v>37746</v>
      </c>
      <c r="C6847" s="2" t="s">
        <v>95</v>
      </c>
      <c r="D6847" s="2" t="s">
        <v>20775</v>
      </c>
      <c r="E6847" s="2" t="s">
        <v>20776</v>
      </c>
      <c r="F6847" s="4">
        <v>3663</v>
      </c>
      <c r="G6847" s="2" t="s">
        <v>921</v>
      </c>
      <c r="H6847" s="2" t="s">
        <v>34</v>
      </c>
      <c r="I6847" s="2" t="s">
        <v>20777</v>
      </c>
      <c r="J6847" s="2" t="s">
        <v>15546</v>
      </c>
      <c r="K6847" s="2" t="s">
        <v>50</v>
      </c>
      <c r="L6847" s="2" t="s">
        <v>34</v>
      </c>
      <c r="M6847" s="7">
        <v>163.232</v>
      </c>
      <c r="N6847" s="5">
        <v>5.0999999999999996</v>
      </c>
      <c r="O6847" s="6">
        <v>5.05</v>
      </c>
      <c r="P6847" s="2" t="s">
        <v>20779</v>
      </c>
      <c r="Q6847" s="6">
        <v>91</v>
      </c>
      <c r="R6847" s="6">
        <v>2.31</v>
      </c>
      <c r="S6847" s="5">
        <v>-14.4</v>
      </c>
      <c r="T6847" s="7">
        <v>18.405000000000001</v>
      </c>
      <c r="U6847" s="5">
        <v>2.2999999999999998</v>
      </c>
      <c r="V6847" s="6">
        <v>-0.17</v>
      </c>
      <c r="W6847" s="6">
        <v>1.83</v>
      </c>
      <c r="X6847" s="6">
        <v>2.2200000000000002</v>
      </c>
      <c r="Y6847" s="6">
        <v>2.2799999999999998</v>
      </c>
      <c r="Z6847" s="6">
        <v>2.27</v>
      </c>
      <c r="AA6847" s="6">
        <v>82.14</v>
      </c>
      <c r="AB6847" s="2" t="s">
        <v>86</v>
      </c>
      <c r="AC6847" s="6">
        <v>209.48</v>
      </c>
    </row>
    <row r="6848" spans="1:29" ht="117" x14ac:dyDescent="0.15">
      <c r="A6848" s="3">
        <f>DATE(2003,4,7)</f>
        <v>37718</v>
      </c>
      <c r="B6848" s="3">
        <f>DATE(2003,12,9)</f>
        <v>37964</v>
      </c>
      <c r="C6848" s="2" t="s">
        <v>95</v>
      </c>
      <c r="D6848" s="2" t="s">
        <v>20780</v>
      </c>
      <c r="E6848" s="2" t="s">
        <v>20781</v>
      </c>
      <c r="F6848" s="4">
        <v>2891</v>
      </c>
      <c r="G6848" s="2" t="s">
        <v>98</v>
      </c>
      <c r="H6848" s="2" t="s">
        <v>34</v>
      </c>
      <c r="I6848" s="2" t="s">
        <v>20782</v>
      </c>
      <c r="J6848" s="2" t="s">
        <v>302</v>
      </c>
      <c r="K6848" s="2" t="s">
        <v>53</v>
      </c>
      <c r="L6848" s="2" t="s">
        <v>34</v>
      </c>
      <c r="M6848" s="2"/>
      <c r="N6848" s="2"/>
      <c r="O6848" s="2"/>
      <c r="P6848" s="2" t="s">
        <v>20783</v>
      </c>
      <c r="Q6848" s="6">
        <v>79.209999999999994</v>
      </c>
      <c r="R6848" s="6">
        <v>6.95</v>
      </c>
      <c r="S6848" s="5">
        <v>0.8</v>
      </c>
      <c r="T6848" s="7">
        <v>1.7909999999999999</v>
      </c>
      <c r="U6848" s="5">
        <v>4.2</v>
      </c>
      <c r="V6848" s="6">
        <v>0.28000000000000003</v>
      </c>
      <c r="W6848" s="6">
        <v>4.05</v>
      </c>
      <c r="X6848" s="6">
        <v>4.08</v>
      </c>
      <c r="Y6848" s="6">
        <v>4.3899999999999997</v>
      </c>
      <c r="Z6848" s="6">
        <v>5.59</v>
      </c>
      <c r="AA6848" s="6">
        <v>2.92</v>
      </c>
      <c r="AB6848" s="7">
        <v>14.356</v>
      </c>
      <c r="AC6848" s="2"/>
    </row>
    <row r="6849" spans="1:29" ht="130" x14ac:dyDescent="0.15">
      <c r="A6849" s="3">
        <f>DATE(2003,4,9)</f>
        <v>37720</v>
      </c>
      <c r="B6849" s="3">
        <f>DATE(2003,9,24)</f>
        <v>37888</v>
      </c>
      <c r="C6849" s="2" t="s">
        <v>95</v>
      </c>
      <c r="D6849" s="2" t="s">
        <v>20240</v>
      </c>
      <c r="E6849" s="2" t="s">
        <v>13752</v>
      </c>
      <c r="F6849" s="4">
        <v>6331</v>
      </c>
      <c r="G6849" s="2" t="s">
        <v>125</v>
      </c>
      <c r="H6849" s="2" t="s">
        <v>34</v>
      </c>
      <c r="I6849" s="2" t="s">
        <v>9378</v>
      </c>
      <c r="J6849" s="2" t="s">
        <v>9379</v>
      </c>
      <c r="K6849" s="2" t="s">
        <v>223</v>
      </c>
      <c r="L6849" s="2" t="s">
        <v>34</v>
      </c>
      <c r="M6849" s="12">
        <v>5389.2049999999999</v>
      </c>
      <c r="N6849" s="6">
        <v>31.26</v>
      </c>
      <c r="O6849" s="6">
        <v>31.49</v>
      </c>
      <c r="P6849" s="2" t="s">
        <v>20784</v>
      </c>
      <c r="Q6849" s="6">
        <v>100</v>
      </c>
      <c r="R6849" s="6">
        <v>3.3</v>
      </c>
      <c r="S6849" s="5">
        <v>-3</v>
      </c>
      <c r="T6849" s="7">
        <v>-2.5750000000000002</v>
      </c>
      <c r="U6849" s="5">
        <v>2.5</v>
      </c>
      <c r="V6849" s="6">
        <v>-0.24</v>
      </c>
      <c r="W6849" s="6">
        <v>2.85</v>
      </c>
      <c r="X6849" s="5">
        <v>2.7</v>
      </c>
      <c r="Y6849" s="5">
        <v>2.9</v>
      </c>
      <c r="Z6849" s="6">
        <v>3.23</v>
      </c>
      <c r="AA6849" s="6">
        <v>12.28</v>
      </c>
      <c r="AB6849" s="2" t="s">
        <v>86</v>
      </c>
      <c r="AC6849" s="6">
        <v>182.16</v>
      </c>
    </row>
    <row r="6850" spans="1:29" ht="104" x14ac:dyDescent="0.15">
      <c r="A6850" s="3">
        <f>DATE(2003,4,9)</f>
        <v>37720</v>
      </c>
      <c r="B6850" s="3">
        <f>DATE(2003,6,30)</f>
        <v>37802</v>
      </c>
      <c r="C6850" s="2" t="s">
        <v>95</v>
      </c>
      <c r="D6850" s="2" t="s">
        <v>20785</v>
      </c>
      <c r="E6850" s="2" t="s">
        <v>2269</v>
      </c>
      <c r="F6850" s="4">
        <v>8063</v>
      </c>
      <c r="G6850" s="2" t="s">
        <v>454</v>
      </c>
      <c r="H6850" s="2" t="s">
        <v>34</v>
      </c>
      <c r="I6850" s="2" t="s">
        <v>20786</v>
      </c>
      <c r="J6850" s="2" t="s">
        <v>20787</v>
      </c>
      <c r="K6850" s="2" t="s">
        <v>454</v>
      </c>
      <c r="L6850" s="2" t="s">
        <v>34</v>
      </c>
      <c r="M6850" s="7">
        <v>45.271000000000001</v>
      </c>
      <c r="N6850" s="6">
        <v>8.5500000000000007</v>
      </c>
      <c r="O6850" s="5">
        <v>8.6</v>
      </c>
      <c r="P6850" s="2" t="s">
        <v>20788</v>
      </c>
      <c r="Q6850" s="6">
        <v>100</v>
      </c>
      <c r="R6850" s="6">
        <v>5</v>
      </c>
      <c r="S6850" s="5">
        <v>11.6</v>
      </c>
      <c r="T6850" s="7">
        <v>10.757999999999999</v>
      </c>
      <c r="U6850" s="5">
        <v>4</v>
      </c>
      <c r="V6850" s="6">
        <v>1.01</v>
      </c>
      <c r="W6850" s="5">
        <v>3.8</v>
      </c>
      <c r="X6850" s="5">
        <v>3.5</v>
      </c>
      <c r="Y6850" s="6">
        <v>4.8099999999999996</v>
      </c>
      <c r="Z6850" s="6">
        <v>4.82</v>
      </c>
      <c r="AA6850" s="6">
        <v>9.3000000000000007</v>
      </c>
      <c r="AB6850" s="7">
        <v>9.141</v>
      </c>
      <c r="AC6850" s="6">
        <v>2.39</v>
      </c>
    </row>
    <row r="6851" spans="1:29" ht="130" x14ac:dyDescent="0.15">
      <c r="A6851" s="3">
        <f>DATE(2003,4,9)</f>
        <v>37720</v>
      </c>
      <c r="B6851" s="2"/>
      <c r="C6851" s="2" t="s">
        <v>30</v>
      </c>
      <c r="D6851" s="2" t="s">
        <v>20789</v>
      </c>
      <c r="E6851" s="2" t="s">
        <v>20790</v>
      </c>
      <c r="F6851" s="4">
        <v>2834</v>
      </c>
      <c r="G6851" s="2" t="s">
        <v>130</v>
      </c>
      <c r="H6851" s="2" t="s">
        <v>34</v>
      </c>
      <c r="I6851" s="2" t="s">
        <v>20791</v>
      </c>
      <c r="J6851" s="2" t="s">
        <v>839</v>
      </c>
      <c r="K6851" s="2" t="s">
        <v>130</v>
      </c>
      <c r="L6851" s="2" t="s">
        <v>902</v>
      </c>
      <c r="M6851" s="7">
        <v>440.12299999999999</v>
      </c>
      <c r="N6851" s="4">
        <v>11</v>
      </c>
      <c r="O6851" s="6">
        <v>10.55</v>
      </c>
      <c r="P6851" s="2" t="s">
        <v>20792</v>
      </c>
      <c r="Q6851" s="2"/>
      <c r="R6851" s="6">
        <v>10.5</v>
      </c>
      <c r="S6851" s="5">
        <v>-25.5</v>
      </c>
      <c r="T6851" s="7">
        <v>-26.591000000000001</v>
      </c>
      <c r="U6851" s="5">
        <v>2.6</v>
      </c>
      <c r="V6851" s="6">
        <v>-1.2</v>
      </c>
      <c r="W6851" s="6">
        <v>6.85</v>
      </c>
      <c r="X6851" s="6">
        <v>7.03</v>
      </c>
      <c r="Y6851" s="6">
        <v>7.28</v>
      </c>
      <c r="Z6851" s="6">
        <v>9.99</v>
      </c>
      <c r="AA6851" s="6">
        <v>21.38</v>
      </c>
      <c r="AB6851" s="2" t="s">
        <v>86</v>
      </c>
      <c r="AC6851" s="6">
        <v>173.44</v>
      </c>
    </row>
    <row r="6852" spans="1:29" ht="156" x14ac:dyDescent="0.15">
      <c r="A6852" s="3">
        <f>DATE(2003,4,10)</f>
        <v>37721</v>
      </c>
      <c r="B6852" s="3">
        <f>DATE(2003,6,23)</f>
        <v>37795</v>
      </c>
      <c r="C6852" s="2" t="s">
        <v>95</v>
      </c>
      <c r="D6852" s="2" t="s">
        <v>20057</v>
      </c>
      <c r="E6852" s="2" t="s">
        <v>18282</v>
      </c>
      <c r="F6852" s="4">
        <v>4724</v>
      </c>
      <c r="G6852" s="2" t="s">
        <v>173</v>
      </c>
      <c r="H6852" s="2" t="s">
        <v>34</v>
      </c>
      <c r="I6852" s="2" t="s">
        <v>20055</v>
      </c>
      <c r="J6852" s="2" t="s">
        <v>13763</v>
      </c>
      <c r="K6852" s="2" t="s">
        <v>45</v>
      </c>
      <c r="L6852" s="2" t="s">
        <v>34</v>
      </c>
      <c r="M6852" s="12">
        <v>12684.281000000001</v>
      </c>
      <c r="N6852" s="6">
        <v>26.69</v>
      </c>
      <c r="O6852" s="6">
        <v>27.05</v>
      </c>
      <c r="P6852" s="2" t="s">
        <v>20793</v>
      </c>
      <c r="Q6852" s="6">
        <v>37.75</v>
      </c>
      <c r="R6852" s="6">
        <v>60.24</v>
      </c>
      <c r="S6852" s="5">
        <v>77.8</v>
      </c>
      <c r="T6852" s="7">
        <v>120.514</v>
      </c>
      <c r="U6852" s="5">
        <v>10.7</v>
      </c>
      <c r="V6852" s="6">
        <v>1.33</v>
      </c>
      <c r="W6852" s="6">
        <v>54.87</v>
      </c>
      <c r="X6852" s="5">
        <v>53.3</v>
      </c>
      <c r="Y6852" s="5">
        <v>63.5</v>
      </c>
      <c r="Z6852" s="6">
        <v>64.39</v>
      </c>
      <c r="AA6852" s="6">
        <v>56.85</v>
      </c>
      <c r="AB6852" s="7">
        <v>27.805</v>
      </c>
      <c r="AC6852" s="10">
        <v>3865.67</v>
      </c>
    </row>
    <row r="6853" spans="1:29" ht="143" x14ac:dyDescent="0.15">
      <c r="A6853" s="3">
        <f>DATE(2003,4,10)</f>
        <v>37721</v>
      </c>
      <c r="B6853" s="2"/>
      <c r="C6853" s="2" t="s">
        <v>30</v>
      </c>
      <c r="D6853" s="2" t="s">
        <v>20794</v>
      </c>
      <c r="E6853" s="2" t="s">
        <v>20795</v>
      </c>
      <c r="F6853" s="4">
        <v>4813</v>
      </c>
      <c r="G6853" s="2" t="s">
        <v>63</v>
      </c>
      <c r="H6853" s="2" t="s">
        <v>34</v>
      </c>
      <c r="I6853" s="2" t="s">
        <v>11860</v>
      </c>
      <c r="J6853" s="2" t="s">
        <v>973</v>
      </c>
      <c r="K6853" s="2" t="s">
        <v>63</v>
      </c>
      <c r="L6853" s="2" t="s">
        <v>34</v>
      </c>
      <c r="M6853" s="12">
        <v>1290.9459999999999</v>
      </c>
      <c r="N6853" s="6">
        <v>14.38</v>
      </c>
      <c r="O6853" s="6">
        <v>14.57</v>
      </c>
      <c r="P6853" s="2" t="s">
        <v>20796</v>
      </c>
      <c r="Q6853" s="2"/>
      <c r="R6853" s="6">
        <v>1.4</v>
      </c>
      <c r="S6853" s="5">
        <v>-51.5</v>
      </c>
      <c r="T6853" s="7">
        <v>-16.613</v>
      </c>
      <c r="U6853" s="5">
        <v>2.7</v>
      </c>
      <c r="V6853" s="6">
        <v>-1.1599999999999999</v>
      </c>
      <c r="W6853" s="6">
        <v>1.24</v>
      </c>
      <c r="X6853" s="6">
        <v>1.22</v>
      </c>
      <c r="Y6853" s="6">
        <v>1.65</v>
      </c>
      <c r="Z6853" s="5">
        <v>1.6</v>
      </c>
      <c r="AA6853" s="6">
        <v>42.82</v>
      </c>
      <c r="AB6853" s="2" t="s">
        <v>86</v>
      </c>
      <c r="AC6853" s="10">
        <v>1078.48</v>
      </c>
    </row>
    <row r="6854" spans="1:29" ht="39" x14ac:dyDescent="0.15">
      <c r="A6854" s="3">
        <f>DATE(2003,4,10)</f>
        <v>37721</v>
      </c>
      <c r="B6854" s="3">
        <f>DATE(2003,4,10)</f>
        <v>37721</v>
      </c>
      <c r="C6854" s="2" t="s">
        <v>95</v>
      </c>
      <c r="D6854" s="2" t="s">
        <v>20797</v>
      </c>
      <c r="E6854" s="2" t="s">
        <v>10711</v>
      </c>
      <c r="F6854" s="4">
        <v>7375</v>
      </c>
      <c r="G6854" s="2" t="s">
        <v>223</v>
      </c>
      <c r="H6854" s="2" t="s">
        <v>34</v>
      </c>
      <c r="I6854" s="2" t="s">
        <v>20797</v>
      </c>
      <c r="J6854" s="2" t="s">
        <v>10711</v>
      </c>
      <c r="K6854" s="2" t="s">
        <v>223</v>
      </c>
      <c r="L6854" s="2" t="s">
        <v>34</v>
      </c>
      <c r="M6854" s="7">
        <v>0.84199999999999997</v>
      </c>
      <c r="N6854" s="2"/>
      <c r="O6854" s="5">
        <v>1.3</v>
      </c>
      <c r="P6854" s="2" t="s">
        <v>20798</v>
      </c>
      <c r="Q6854" s="6">
        <v>100</v>
      </c>
      <c r="R6854" s="2"/>
      <c r="S6854" s="5">
        <v>-0.2</v>
      </c>
      <c r="T6854" s="2"/>
      <c r="U6854" s="5">
        <v>-896.9</v>
      </c>
      <c r="V6854" s="6">
        <v>-2</v>
      </c>
      <c r="W6854" s="6">
        <v>0.11</v>
      </c>
      <c r="X6854" s="5">
        <v>1.5</v>
      </c>
      <c r="Y6854" s="2"/>
      <c r="Z6854" s="5">
        <v>1.3</v>
      </c>
      <c r="AA6854" s="2"/>
      <c r="AB6854" s="2" t="s">
        <v>86</v>
      </c>
      <c r="AC6854" s="2"/>
    </row>
    <row r="6855" spans="1:29" ht="169" x14ac:dyDescent="0.15">
      <c r="A6855" s="3">
        <f>DATE(2003,4,12)</f>
        <v>37723</v>
      </c>
      <c r="B6855" s="2"/>
      <c r="C6855" s="2" t="s">
        <v>30</v>
      </c>
      <c r="D6855" s="2" t="s">
        <v>20799</v>
      </c>
      <c r="E6855" s="2" t="s">
        <v>5526</v>
      </c>
      <c r="F6855" s="4">
        <v>7374</v>
      </c>
      <c r="G6855" s="2" t="s">
        <v>223</v>
      </c>
      <c r="H6855" s="2" t="s">
        <v>34</v>
      </c>
      <c r="I6855" s="2" t="s">
        <v>20800</v>
      </c>
      <c r="J6855" s="2" t="s">
        <v>4572</v>
      </c>
      <c r="K6855" s="2" t="s">
        <v>223</v>
      </c>
      <c r="L6855" s="2" t="s">
        <v>133</v>
      </c>
      <c r="M6855" s="7">
        <v>352.286</v>
      </c>
      <c r="N6855" s="7">
        <v>31.245000000000001</v>
      </c>
      <c r="O6855" s="7">
        <v>31.245000000000001</v>
      </c>
      <c r="P6855" s="2" t="s">
        <v>20801</v>
      </c>
      <c r="Q6855" s="2"/>
      <c r="R6855" s="6">
        <v>2.2999999999999998</v>
      </c>
      <c r="S6855" s="5">
        <v>-16.600000000000001</v>
      </c>
      <c r="T6855" s="7">
        <v>-2.657</v>
      </c>
      <c r="U6855" s="5">
        <v>3.4</v>
      </c>
      <c r="V6855" s="6">
        <v>-1.0900000000000001</v>
      </c>
      <c r="W6855" s="6">
        <v>1.63</v>
      </c>
      <c r="X6855" s="5">
        <v>1.6</v>
      </c>
      <c r="Y6855" s="6">
        <v>2.25</v>
      </c>
      <c r="Z6855" s="6">
        <v>2.25</v>
      </c>
      <c r="AA6855" s="6">
        <v>15.21</v>
      </c>
      <c r="AB6855" s="2" t="s">
        <v>86</v>
      </c>
      <c r="AC6855" s="6">
        <v>33.71</v>
      </c>
    </row>
    <row r="6856" spans="1:29" ht="104" x14ac:dyDescent="0.15">
      <c r="A6856" s="3">
        <f>DATE(2003,4,14)</f>
        <v>37725</v>
      </c>
      <c r="B6856" s="2"/>
      <c r="C6856" s="2" t="s">
        <v>30</v>
      </c>
      <c r="D6856" s="2" t="s">
        <v>1360</v>
      </c>
      <c r="E6856" s="2" t="s">
        <v>1361</v>
      </c>
      <c r="F6856" s="4">
        <v>7373</v>
      </c>
      <c r="G6856" s="2" t="s">
        <v>223</v>
      </c>
      <c r="H6856" s="2" t="s">
        <v>34</v>
      </c>
      <c r="I6856" s="2" t="s">
        <v>20802</v>
      </c>
      <c r="J6856" s="2" t="s">
        <v>20803</v>
      </c>
      <c r="K6856" s="2" t="s">
        <v>223</v>
      </c>
      <c r="L6856" s="2" t="s">
        <v>34</v>
      </c>
      <c r="M6856" s="2"/>
      <c r="N6856" s="2"/>
      <c r="O6856" s="2"/>
      <c r="P6856" s="2" t="s">
        <v>20804</v>
      </c>
      <c r="Q6856" s="2"/>
      <c r="R6856" s="6">
        <v>5</v>
      </c>
      <c r="S6856" s="5">
        <v>-8.1999999999999993</v>
      </c>
      <c r="T6856" s="2"/>
      <c r="U6856" s="5">
        <v>4.7</v>
      </c>
      <c r="V6856" s="6">
        <v>-0.26</v>
      </c>
      <c r="W6856" s="6">
        <v>3.02</v>
      </c>
      <c r="X6856" s="4">
        <v>3</v>
      </c>
      <c r="Y6856" s="6">
        <v>2.84</v>
      </c>
      <c r="Z6856" s="6">
        <v>4.49</v>
      </c>
      <c r="AA6856" s="6">
        <v>30.29</v>
      </c>
      <c r="AB6856" s="2" t="s">
        <v>86</v>
      </c>
      <c r="AC6856" s="2"/>
    </row>
    <row r="6857" spans="1:29" ht="130" x14ac:dyDescent="0.15">
      <c r="A6857" s="3">
        <f>DATE(2003,4,15)</f>
        <v>37726</v>
      </c>
      <c r="B6857" s="3">
        <f>DATE(2003,8,21)</f>
        <v>37854</v>
      </c>
      <c r="C6857" s="2" t="s">
        <v>95</v>
      </c>
      <c r="D6857" s="2" t="s">
        <v>20805</v>
      </c>
      <c r="E6857" s="2" t="s">
        <v>20806</v>
      </c>
      <c r="F6857" s="4">
        <v>2836</v>
      </c>
      <c r="G6857" s="2" t="s">
        <v>130</v>
      </c>
      <c r="H6857" s="2" t="s">
        <v>34</v>
      </c>
      <c r="I6857" s="2" t="s">
        <v>20807</v>
      </c>
      <c r="J6857" s="2" t="s">
        <v>6292</v>
      </c>
      <c r="K6857" s="2" t="s">
        <v>130</v>
      </c>
      <c r="L6857" s="2" t="s">
        <v>34</v>
      </c>
      <c r="M6857" s="7">
        <v>35.890999999999998</v>
      </c>
      <c r="N6857" s="6">
        <v>1.17</v>
      </c>
      <c r="O6857" s="6">
        <v>1.1499999999999999</v>
      </c>
      <c r="P6857" s="2" t="s">
        <v>20808</v>
      </c>
      <c r="Q6857" s="6">
        <v>100</v>
      </c>
      <c r="R6857" s="6">
        <v>2.23</v>
      </c>
      <c r="S6857" s="5">
        <v>-5.9</v>
      </c>
      <c r="T6857" s="7">
        <v>-6.8540000000000001</v>
      </c>
      <c r="U6857" s="5">
        <v>2.2999999999999998</v>
      </c>
      <c r="V6857" s="6">
        <v>-0.34</v>
      </c>
      <c r="W6857" s="6">
        <v>1.0900000000000001</v>
      </c>
      <c r="X6857" s="6">
        <v>1.1499999999999999</v>
      </c>
      <c r="Y6857" s="6">
        <v>1.55</v>
      </c>
      <c r="Z6857" s="6">
        <v>1.61</v>
      </c>
      <c r="AA6857" s="6">
        <v>17.940000000000001</v>
      </c>
      <c r="AB6857" s="2" t="s">
        <v>86</v>
      </c>
      <c r="AC6857" s="5">
        <v>11.6</v>
      </c>
    </row>
    <row r="6858" spans="1:29" ht="299" x14ac:dyDescent="0.15">
      <c r="A6858" s="3">
        <f>DATE(2003,4,16)</f>
        <v>37727</v>
      </c>
      <c r="B6858" s="3">
        <f>DATE(2004,9,15)</f>
        <v>38245</v>
      </c>
      <c r="C6858" s="2" t="s">
        <v>95</v>
      </c>
      <c r="D6858" s="2" t="s">
        <v>3821</v>
      </c>
      <c r="E6858" s="2" t="s">
        <v>265</v>
      </c>
      <c r="F6858" s="4">
        <v>6022</v>
      </c>
      <c r="G6858" s="2" t="s">
        <v>37</v>
      </c>
      <c r="H6858" s="2" t="s">
        <v>34</v>
      </c>
      <c r="I6858" s="2" t="s">
        <v>20809</v>
      </c>
      <c r="J6858" s="2" t="s">
        <v>36</v>
      </c>
      <c r="K6858" s="2" t="s">
        <v>37</v>
      </c>
      <c r="L6858" s="2" t="s">
        <v>34</v>
      </c>
      <c r="M6858" s="7">
        <v>413.34399999999999</v>
      </c>
      <c r="N6858" s="5">
        <v>25.3</v>
      </c>
      <c r="O6858" s="6">
        <v>24.13</v>
      </c>
      <c r="P6858" s="2" t="s">
        <v>20810</v>
      </c>
      <c r="Q6858" s="6">
        <v>100</v>
      </c>
      <c r="R6858" s="6">
        <v>91.83</v>
      </c>
      <c r="S6858" s="5">
        <v>20.7</v>
      </c>
      <c r="T6858" s="7">
        <v>35.697000000000003</v>
      </c>
      <c r="U6858" s="5">
        <v>39</v>
      </c>
      <c r="V6858" s="6">
        <v>4.72</v>
      </c>
      <c r="W6858" s="6">
        <v>45.42</v>
      </c>
      <c r="X6858" s="5">
        <v>45.5</v>
      </c>
      <c r="Y6858" s="6">
        <v>46.38</v>
      </c>
      <c r="Z6858" s="6">
        <v>66.86</v>
      </c>
      <c r="AA6858" s="6">
        <v>4.34</v>
      </c>
      <c r="AB6858" s="7">
        <v>68.971000000000004</v>
      </c>
      <c r="AC6858" s="2"/>
    </row>
    <row r="6859" spans="1:29" ht="104" x14ac:dyDescent="0.15">
      <c r="A6859" s="3">
        <f>DATE(2003,4,16)</f>
        <v>37727</v>
      </c>
      <c r="B6859" s="3">
        <f>DATE(2003,7,3)</f>
        <v>37805</v>
      </c>
      <c r="C6859" s="2" t="s">
        <v>95</v>
      </c>
      <c r="D6859" s="2" t="s">
        <v>6364</v>
      </c>
      <c r="E6859" s="2" t="s">
        <v>6365</v>
      </c>
      <c r="F6859" s="4">
        <v>5961</v>
      </c>
      <c r="G6859" s="2" t="s">
        <v>73</v>
      </c>
      <c r="H6859" s="2" t="s">
        <v>34</v>
      </c>
      <c r="I6859" s="2" t="s">
        <v>51</v>
      </c>
      <c r="J6859" s="2" t="s">
        <v>52</v>
      </c>
      <c r="K6859" s="2" t="s">
        <v>53</v>
      </c>
      <c r="L6859" s="2" t="s">
        <v>34</v>
      </c>
      <c r="M6859" s="2"/>
      <c r="N6859" s="2"/>
      <c r="O6859" s="2"/>
      <c r="P6859" s="2" t="s">
        <v>20811</v>
      </c>
      <c r="Q6859" s="6">
        <v>100</v>
      </c>
      <c r="R6859" s="6">
        <v>7.25</v>
      </c>
      <c r="S6859" s="5">
        <v>-18.600000000000001</v>
      </c>
      <c r="T6859" s="7">
        <v>-11.337</v>
      </c>
      <c r="U6859" s="5">
        <v>8.8000000000000007</v>
      </c>
      <c r="V6859" s="6">
        <v>-2.23</v>
      </c>
      <c r="W6859" s="6">
        <v>4.1500000000000004</v>
      </c>
      <c r="X6859" s="5">
        <v>4.2</v>
      </c>
      <c r="Y6859" s="5">
        <v>7.1</v>
      </c>
      <c r="Z6859" s="6">
        <v>7.12</v>
      </c>
      <c r="AA6859" s="6">
        <v>8.36</v>
      </c>
      <c r="AB6859" s="2" t="s">
        <v>86</v>
      </c>
      <c r="AC6859" s="2"/>
    </row>
    <row r="6860" spans="1:29" ht="52" x14ac:dyDescent="0.15">
      <c r="A6860" s="3">
        <f>DATE(2003,4,16)</f>
        <v>37727</v>
      </c>
      <c r="B6860" s="2"/>
      <c r="C6860" s="2" t="s">
        <v>7330</v>
      </c>
      <c r="D6860" s="2" t="s">
        <v>20812</v>
      </c>
      <c r="E6860" s="2" t="s">
        <v>19238</v>
      </c>
      <c r="F6860" s="4">
        <v>2721</v>
      </c>
      <c r="G6860" s="2" t="s">
        <v>186</v>
      </c>
      <c r="H6860" s="2" t="s">
        <v>34</v>
      </c>
      <c r="I6860" s="2" t="s">
        <v>20813</v>
      </c>
      <c r="J6860" s="2" t="s">
        <v>1072</v>
      </c>
      <c r="K6860" s="2" t="s">
        <v>53</v>
      </c>
      <c r="L6860" s="2" t="s">
        <v>34</v>
      </c>
      <c r="M6860" s="2"/>
      <c r="N6860" s="2"/>
      <c r="O6860" s="2"/>
      <c r="P6860" s="2" t="s">
        <v>20814</v>
      </c>
      <c r="Q6860" s="2"/>
      <c r="R6860" s="6">
        <v>1.5</v>
      </c>
      <c r="S6860" s="5">
        <v>-0.7</v>
      </c>
      <c r="T6860" s="7">
        <v>-0.80600000000000005</v>
      </c>
      <c r="U6860" s="5">
        <v>3.2</v>
      </c>
      <c r="V6860" s="6">
        <v>-0.43</v>
      </c>
      <c r="W6860" s="5">
        <v>1.1000000000000001</v>
      </c>
      <c r="X6860" s="5">
        <v>1.1000000000000001</v>
      </c>
      <c r="Y6860" s="5">
        <v>1.1000000000000001</v>
      </c>
      <c r="Z6860" s="6">
        <v>1.21</v>
      </c>
      <c r="AA6860" s="6">
        <v>1.62</v>
      </c>
      <c r="AB6860" s="2" t="s">
        <v>86</v>
      </c>
      <c r="AC6860" s="2"/>
    </row>
    <row r="6861" spans="1:29" ht="117" x14ac:dyDescent="0.15">
      <c r="A6861" s="3">
        <f>DATE(2003,4,16)</f>
        <v>37727</v>
      </c>
      <c r="B6861" s="3">
        <f>DATE(2003,5,30)</f>
        <v>37771</v>
      </c>
      <c r="C6861" s="2" t="s">
        <v>95</v>
      </c>
      <c r="D6861" s="2" t="s">
        <v>20815</v>
      </c>
      <c r="E6861" s="2" t="s">
        <v>20816</v>
      </c>
      <c r="F6861" s="4">
        <v>3663</v>
      </c>
      <c r="G6861" s="2" t="s">
        <v>921</v>
      </c>
      <c r="H6861" s="2" t="s">
        <v>34</v>
      </c>
      <c r="I6861" s="2" t="s">
        <v>4651</v>
      </c>
      <c r="J6861" s="2" t="s">
        <v>4652</v>
      </c>
      <c r="K6861" s="2" t="s">
        <v>163</v>
      </c>
      <c r="L6861" s="2" t="s">
        <v>34</v>
      </c>
      <c r="M6861" s="12">
        <v>1028.8130000000001</v>
      </c>
      <c r="N6861" s="6">
        <v>17.22</v>
      </c>
      <c r="O6861" s="6">
        <v>18.239999999999998</v>
      </c>
      <c r="P6861" s="2" t="s">
        <v>20817</v>
      </c>
      <c r="Q6861" s="6">
        <v>100</v>
      </c>
      <c r="R6861" s="6">
        <v>13.25</v>
      </c>
      <c r="S6861" s="5">
        <v>18.899999999999999</v>
      </c>
      <c r="T6861" s="2"/>
      <c r="U6861" s="5">
        <v>5.4</v>
      </c>
      <c r="V6861" s="6">
        <v>1.79</v>
      </c>
      <c r="W6861" s="6">
        <v>11.46</v>
      </c>
      <c r="X6861" s="6">
        <v>11.27</v>
      </c>
      <c r="Y6861" s="5">
        <v>11.4</v>
      </c>
      <c r="Z6861" s="6">
        <v>13.18</v>
      </c>
      <c r="AA6861" s="6">
        <v>10.75</v>
      </c>
      <c r="AB6861" s="7">
        <v>8.5410000000000004</v>
      </c>
      <c r="AC6861" s="6">
        <v>44.26</v>
      </c>
    </row>
    <row r="6862" spans="1:29" ht="78" x14ac:dyDescent="0.15">
      <c r="A6862" s="3">
        <f>DATE(2003,4,16)</f>
        <v>37727</v>
      </c>
      <c r="B6862" s="2"/>
      <c r="C6862" s="2" t="s">
        <v>30</v>
      </c>
      <c r="D6862" s="2" t="s">
        <v>20818</v>
      </c>
      <c r="E6862" s="2" t="s">
        <v>20819</v>
      </c>
      <c r="F6862" s="2" t="s">
        <v>20820</v>
      </c>
      <c r="G6862" s="2" t="s">
        <v>426</v>
      </c>
      <c r="H6862" s="2" t="s">
        <v>34</v>
      </c>
      <c r="I6862" s="2" t="s">
        <v>51</v>
      </c>
      <c r="J6862" s="2" t="s">
        <v>52</v>
      </c>
      <c r="K6862" s="2" t="s">
        <v>53</v>
      </c>
      <c r="L6862" s="2" t="s">
        <v>34</v>
      </c>
      <c r="M6862" s="2"/>
      <c r="N6862" s="2"/>
      <c r="O6862" s="2"/>
      <c r="P6862" s="2" t="s">
        <v>20821</v>
      </c>
      <c r="Q6862" s="2"/>
      <c r="R6862" s="6">
        <v>11</v>
      </c>
      <c r="S6862" s="5">
        <v>4.3</v>
      </c>
      <c r="T6862" s="2"/>
      <c r="U6862" s="5">
        <v>9.6</v>
      </c>
      <c r="V6862" s="6">
        <v>0.79</v>
      </c>
      <c r="W6862" s="5">
        <v>9.5</v>
      </c>
      <c r="X6862" s="5">
        <v>9.8000000000000007</v>
      </c>
      <c r="Y6862" s="4">
        <v>11</v>
      </c>
      <c r="Z6862" s="6">
        <v>10.96</v>
      </c>
      <c r="AA6862" s="6">
        <v>5.13</v>
      </c>
      <c r="AB6862" s="2" t="s">
        <v>47</v>
      </c>
      <c r="AC6862" s="2"/>
    </row>
    <row r="6863" spans="1:29" ht="91" x14ac:dyDescent="0.15">
      <c r="A6863" s="3">
        <f>DATE(2003,4,17)</f>
        <v>37728</v>
      </c>
      <c r="B6863" s="3">
        <f>DATE(2003,7,31)</f>
        <v>37833</v>
      </c>
      <c r="C6863" s="2" t="s">
        <v>95</v>
      </c>
      <c r="D6863" s="2" t="s">
        <v>20822</v>
      </c>
      <c r="E6863" s="2" t="s">
        <v>672</v>
      </c>
      <c r="F6863" s="4">
        <v>6035</v>
      </c>
      <c r="G6863" s="2" t="s">
        <v>33</v>
      </c>
      <c r="H6863" s="2" t="s">
        <v>34</v>
      </c>
      <c r="I6863" s="2" t="s">
        <v>295</v>
      </c>
      <c r="J6863" s="2" t="s">
        <v>296</v>
      </c>
      <c r="K6863" s="2" t="s">
        <v>37</v>
      </c>
      <c r="L6863" s="2" t="s">
        <v>34</v>
      </c>
      <c r="M6863" s="2"/>
      <c r="N6863" s="2"/>
      <c r="O6863" s="2"/>
      <c r="P6863" s="2" t="s">
        <v>20823</v>
      </c>
      <c r="Q6863" s="6">
        <v>100</v>
      </c>
      <c r="R6863" s="6">
        <v>54</v>
      </c>
      <c r="S6863" s="5">
        <v>14</v>
      </c>
      <c r="T6863" s="2"/>
      <c r="U6863" s="5">
        <v>23.4</v>
      </c>
      <c r="V6863" s="6">
        <v>2.85</v>
      </c>
      <c r="W6863" s="6">
        <v>48.85</v>
      </c>
      <c r="X6863" s="6">
        <v>49.35</v>
      </c>
      <c r="Y6863" s="6">
        <v>53.58</v>
      </c>
      <c r="Z6863" s="6">
        <v>53.58</v>
      </c>
      <c r="AA6863" s="6">
        <v>5.29</v>
      </c>
      <c r="AB6863" s="7">
        <v>21.334</v>
      </c>
      <c r="AC6863" s="2"/>
    </row>
    <row r="6864" spans="1:29" ht="78" x14ac:dyDescent="0.15">
      <c r="A6864" s="3">
        <f>DATE(2003,4,17)</f>
        <v>37728</v>
      </c>
      <c r="B6864" s="3">
        <f>DATE(2003,8,25)</f>
        <v>37858</v>
      </c>
      <c r="C6864" s="2" t="s">
        <v>95</v>
      </c>
      <c r="D6864" s="2" t="s">
        <v>20824</v>
      </c>
      <c r="E6864" s="2" t="s">
        <v>1181</v>
      </c>
      <c r="F6864" s="4">
        <v>6021</v>
      </c>
      <c r="G6864" s="2" t="s">
        <v>37</v>
      </c>
      <c r="H6864" s="2" t="s">
        <v>34</v>
      </c>
      <c r="I6864" s="2" t="s">
        <v>3057</v>
      </c>
      <c r="J6864" s="2" t="s">
        <v>17388</v>
      </c>
      <c r="K6864" s="2" t="s">
        <v>37</v>
      </c>
      <c r="L6864" s="2" t="s">
        <v>34</v>
      </c>
      <c r="M6864" s="7">
        <v>433.101</v>
      </c>
      <c r="N6864" s="6">
        <v>29.58</v>
      </c>
      <c r="O6864" s="6">
        <v>29.58</v>
      </c>
      <c r="P6864" s="2" t="s">
        <v>20825</v>
      </c>
      <c r="Q6864" s="6">
        <v>100</v>
      </c>
      <c r="R6864" s="2"/>
      <c r="S6864" s="2"/>
      <c r="T6864" s="2"/>
      <c r="U6864" s="2"/>
      <c r="V6864" s="2"/>
      <c r="W6864" s="5">
        <v>12.5</v>
      </c>
      <c r="X6864" s="5">
        <v>12.5</v>
      </c>
      <c r="Y6864" s="5">
        <v>12.5</v>
      </c>
      <c r="Z6864" s="5">
        <v>12.5</v>
      </c>
      <c r="AA6864" s="2"/>
      <c r="AB6864" s="2" t="s">
        <v>47</v>
      </c>
      <c r="AC6864" s="2"/>
    </row>
    <row r="6865" spans="1:29" ht="91" x14ac:dyDescent="0.15">
      <c r="A6865" s="3">
        <f>DATE(2003,4,21)</f>
        <v>37732</v>
      </c>
      <c r="B6865" s="3">
        <f>DATE(2003,6,25)</f>
        <v>37797</v>
      </c>
      <c r="C6865" s="2" t="s">
        <v>95</v>
      </c>
      <c r="D6865" s="2" t="s">
        <v>20826</v>
      </c>
      <c r="E6865" s="2" t="s">
        <v>20827</v>
      </c>
      <c r="F6865" s="4">
        <v>5045</v>
      </c>
      <c r="G6865" s="2" t="s">
        <v>76</v>
      </c>
      <c r="H6865" s="2" t="s">
        <v>34</v>
      </c>
      <c r="I6865" s="2" t="s">
        <v>19000</v>
      </c>
      <c r="J6865" s="2" t="s">
        <v>1464</v>
      </c>
      <c r="K6865" s="2" t="s">
        <v>223</v>
      </c>
      <c r="L6865" s="2" t="s">
        <v>34</v>
      </c>
      <c r="M6865" s="7">
        <v>293.24200000000002</v>
      </c>
      <c r="N6865" s="6">
        <v>5.05</v>
      </c>
      <c r="O6865" s="5">
        <v>5.2</v>
      </c>
      <c r="P6865" s="2" t="s">
        <v>20828</v>
      </c>
      <c r="Q6865" s="6">
        <v>100</v>
      </c>
      <c r="R6865" s="6">
        <v>4.05</v>
      </c>
      <c r="S6865" s="5">
        <v>-1.1000000000000001</v>
      </c>
      <c r="T6865" s="7">
        <v>-2.5710000000000002</v>
      </c>
      <c r="U6865" s="5">
        <v>4.0999999999999996</v>
      </c>
      <c r="V6865" s="6">
        <v>-0.17</v>
      </c>
      <c r="W6865" s="5">
        <v>2.2000000000000002</v>
      </c>
      <c r="X6865" s="5">
        <v>2.2999999999999998</v>
      </c>
      <c r="Y6865" s="6">
        <v>3.96</v>
      </c>
      <c r="Z6865" s="6">
        <v>3.95</v>
      </c>
      <c r="AA6865" s="6">
        <v>6.39</v>
      </c>
      <c r="AB6865" s="2" t="s">
        <v>86</v>
      </c>
      <c r="AC6865" s="6">
        <v>4.7699999999999996</v>
      </c>
    </row>
    <row r="6866" spans="1:29" ht="195" x14ac:dyDescent="0.15">
      <c r="A6866" s="3">
        <f>DATE(2003,4,21)</f>
        <v>37732</v>
      </c>
      <c r="B6866" s="3">
        <f>DATE(2003,6,16)</f>
        <v>37788</v>
      </c>
      <c r="C6866" s="2" t="s">
        <v>95</v>
      </c>
      <c r="D6866" s="2" t="s">
        <v>20799</v>
      </c>
      <c r="E6866" s="2" t="s">
        <v>5526</v>
      </c>
      <c r="F6866" s="4">
        <v>7374</v>
      </c>
      <c r="G6866" s="2" t="s">
        <v>223</v>
      </c>
      <c r="H6866" s="2" t="s">
        <v>34</v>
      </c>
      <c r="I6866" s="2" t="s">
        <v>20829</v>
      </c>
      <c r="J6866" s="2" t="s">
        <v>20830</v>
      </c>
      <c r="K6866" s="2" t="s">
        <v>551</v>
      </c>
      <c r="L6866" s="2" t="s">
        <v>34</v>
      </c>
      <c r="M6866" s="7">
        <v>384.452</v>
      </c>
      <c r="N6866" s="5">
        <v>8.5</v>
      </c>
      <c r="O6866" s="5">
        <v>8.6</v>
      </c>
      <c r="P6866" s="2" t="s">
        <v>20831</v>
      </c>
      <c r="Q6866" s="6">
        <v>100</v>
      </c>
      <c r="R6866" s="6">
        <v>3.22</v>
      </c>
      <c r="S6866" s="5">
        <v>-16.600000000000001</v>
      </c>
      <c r="T6866" s="7">
        <v>-2.657</v>
      </c>
      <c r="U6866" s="5">
        <v>3.4</v>
      </c>
      <c r="V6866" s="6">
        <v>-1.0900000000000001</v>
      </c>
      <c r="W6866" s="6">
        <v>1.63</v>
      </c>
      <c r="X6866" s="5">
        <v>1.6</v>
      </c>
      <c r="Y6866" s="6">
        <v>2.25</v>
      </c>
      <c r="Z6866" s="6">
        <v>2.25</v>
      </c>
      <c r="AA6866" s="6">
        <v>15.21</v>
      </c>
      <c r="AB6866" s="2" t="s">
        <v>86</v>
      </c>
      <c r="AC6866" s="6">
        <v>76.06</v>
      </c>
    </row>
    <row r="6867" spans="1:29" ht="182" x14ac:dyDescent="0.15">
      <c r="A6867" s="3">
        <f>DATE(2003,4,21)</f>
        <v>37732</v>
      </c>
      <c r="B6867" s="3">
        <f>DATE(2003,6,17)</f>
        <v>37789</v>
      </c>
      <c r="C6867" s="2" t="s">
        <v>95</v>
      </c>
      <c r="D6867" s="2" t="s">
        <v>20832</v>
      </c>
      <c r="E6867" s="2" t="s">
        <v>20833</v>
      </c>
      <c r="F6867" s="4">
        <v>4922</v>
      </c>
      <c r="G6867" s="2" t="s">
        <v>439</v>
      </c>
      <c r="H6867" s="2" t="s">
        <v>34</v>
      </c>
      <c r="I6867" s="2" t="s">
        <v>51</v>
      </c>
      <c r="J6867" s="2" t="s">
        <v>52</v>
      </c>
      <c r="K6867" s="2" t="s">
        <v>53</v>
      </c>
      <c r="L6867" s="2" t="s">
        <v>34</v>
      </c>
      <c r="M6867" s="2"/>
      <c r="N6867" s="2"/>
      <c r="O6867" s="2"/>
      <c r="P6867" s="2" t="s">
        <v>20834</v>
      </c>
      <c r="Q6867" s="6">
        <v>54.6</v>
      </c>
      <c r="R6867" s="2"/>
      <c r="S6867" s="5">
        <v>99.5</v>
      </c>
      <c r="T6867" s="7">
        <v>207.21899999999999</v>
      </c>
      <c r="U6867" s="5">
        <v>4.3</v>
      </c>
      <c r="V6867" s="6">
        <v>0.96</v>
      </c>
      <c r="W6867" s="5">
        <v>34.700000000000003</v>
      </c>
      <c r="X6867" s="5">
        <v>35.5</v>
      </c>
      <c r="Y6867" s="6">
        <v>36.25</v>
      </c>
      <c r="Z6867" s="6">
        <v>36.25</v>
      </c>
      <c r="AA6867" s="6">
        <v>13.68</v>
      </c>
      <c r="AB6867" s="7">
        <v>8.5519999999999996</v>
      </c>
      <c r="AC6867" s="2"/>
    </row>
    <row r="6868" spans="1:29" ht="195" x14ac:dyDescent="0.15">
      <c r="A6868" s="3">
        <f>DATE(2003,4,22)</f>
        <v>37733</v>
      </c>
      <c r="B6868" s="3">
        <f>DATE(2003,9,26)</f>
        <v>37890</v>
      </c>
      <c r="C6868" s="2" t="s">
        <v>95</v>
      </c>
      <c r="D6868" s="2" t="s">
        <v>20835</v>
      </c>
      <c r="E6868" s="2" t="s">
        <v>20836</v>
      </c>
      <c r="F6868" s="4">
        <v>3669</v>
      </c>
      <c r="G6868" s="2" t="s">
        <v>921</v>
      </c>
      <c r="H6868" s="2" t="s">
        <v>34</v>
      </c>
      <c r="I6868" s="2" t="s">
        <v>18780</v>
      </c>
      <c r="J6868" s="2" t="s">
        <v>18781</v>
      </c>
      <c r="K6868" s="2" t="s">
        <v>551</v>
      </c>
      <c r="L6868" s="2" t="s">
        <v>34</v>
      </c>
      <c r="M6868" s="7">
        <v>44.841000000000001</v>
      </c>
      <c r="N6868" s="6">
        <v>0.74</v>
      </c>
      <c r="O6868" s="6">
        <v>0.76</v>
      </c>
      <c r="P6868" s="2" t="s">
        <v>20837</v>
      </c>
      <c r="Q6868" s="6">
        <v>100</v>
      </c>
      <c r="R6868" s="2"/>
      <c r="S6868" s="5">
        <v>-6.1</v>
      </c>
      <c r="T6868" s="7">
        <v>-2.3159999999999998</v>
      </c>
      <c r="U6868" s="5">
        <v>2.1</v>
      </c>
      <c r="V6868" s="6">
        <v>-0.3</v>
      </c>
      <c r="W6868" s="6">
        <v>1.38</v>
      </c>
      <c r="X6868" s="6">
        <v>1.44</v>
      </c>
      <c r="Y6868" s="6">
        <v>1.77</v>
      </c>
      <c r="Z6868" s="6">
        <v>1.79</v>
      </c>
      <c r="AA6868" s="6">
        <v>20.52</v>
      </c>
      <c r="AB6868" s="2" t="s">
        <v>86</v>
      </c>
      <c r="AC6868" s="6">
        <v>0.69</v>
      </c>
    </row>
    <row r="6869" spans="1:29" ht="169" x14ac:dyDescent="0.15">
      <c r="A6869" s="3">
        <f>DATE(2003,4,22)</f>
        <v>37733</v>
      </c>
      <c r="B6869" s="3">
        <f>DATE(2003,9,24)</f>
        <v>37888</v>
      </c>
      <c r="C6869" s="2" t="s">
        <v>95</v>
      </c>
      <c r="D6869" s="2" t="s">
        <v>20838</v>
      </c>
      <c r="E6869" s="2" t="s">
        <v>3959</v>
      </c>
      <c r="F6869" s="4">
        <v>3949</v>
      </c>
      <c r="G6869" s="2" t="s">
        <v>112</v>
      </c>
      <c r="H6869" s="2" t="s">
        <v>34</v>
      </c>
      <c r="I6869" s="2" t="s">
        <v>51</v>
      </c>
      <c r="J6869" s="2" t="s">
        <v>52</v>
      </c>
      <c r="K6869" s="2" t="s">
        <v>53</v>
      </c>
      <c r="L6869" s="2" t="s">
        <v>34</v>
      </c>
      <c r="M6869" s="2"/>
      <c r="N6869" s="2"/>
      <c r="O6869" s="2"/>
      <c r="P6869" s="2" t="s">
        <v>20839</v>
      </c>
      <c r="Q6869" s="6">
        <v>100</v>
      </c>
      <c r="R6869" s="6">
        <v>6.57</v>
      </c>
      <c r="S6869" s="5">
        <v>13</v>
      </c>
      <c r="T6869" s="7">
        <v>21.238</v>
      </c>
      <c r="U6869" s="5">
        <v>2.6</v>
      </c>
      <c r="V6869" s="6">
        <v>1.1100000000000001</v>
      </c>
      <c r="W6869" s="6">
        <v>4.71</v>
      </c>
      <c r="X6869" s="5">
        <v>4.7</v>
      </c>
      <c r="Y6869" s="5">
        <v>6.4</v>
      </c>
      <c r="Z6869" s="6">
        <v>6.37</v>
      </c>
      <c r="AA6869" s="6">
        <v>9.59</v>
      </c>
      <c r="AB6869" s="7">
        <v>6.8019999999999996</v>
      </c>
      <c r="AC6869" s="2"/>
    </row>
    <row r="6870" spans="1:29" ht="143" x14ac:dyDescent="0.15">
      <c r="A6870" s="3">
        <f>DATE(2003,4,23)</f>
        <v>37734</v>
      </c>
      <c r="B6870" s="2"/>
      <c r="C6870" s="2" t="s">
        <v>30</v>
      </c>
      <c r="D6870" s="2" t="s">
        <v>20840</v>
      </c>
      <c r="E6870" s="2" t="s">
        <v>92</v>
      </c>
      <c r="F6870" s="4">
        <v>6798</v>
      </c>
      <c r="G6870" s="2" t="s">
        <v>53</v>
      </c>
      <c r="H6870" s="2" t="s">
        <v>34</v>
      </c>
      <c r="I6870" s="2" t="s">
        <v>20841</v>
      </c>
      <c r="J6870" s="2" t="s">
        <v>20842</v>
      </c>
      <c r="K6870" s="2" t="s">
        <v>109</v>
      </c>
      <c r="L6870" s="2" t="s">
        <v>34</v>
      </c>
      <c r="M6870" s="2"/>
      <c r="N6870" s="2"/>
      <c r="O6870" s="2"/>
      <c r="P6870" s="2" t="s">
        <v>20843</v>
      </c>
      <c r="Q6870" s="2"/>
      <c r="R6870" s="6">
        <v>120</v>
      </c>
      <c r="S6870" s="5">
        <v>0.7</v>
      </c>
      <c r="T6870" s="7">
        <v>30.292000000000002</v>
      </c>
      <c r="U6870" s="5">
        <v>36.9</v>
      </c>
      <c r="V6870" s="6">
        <v>0.37</v>
      </c>
      <c r="W6870" s="6">
        <v>84.95</v>
      </c>
      <c r="X6870" s="5">
        <v>86.5</v>
      </c>
      <c r="Y6870" s="5">
        <v>96.5</v>
      </c>
      <c r="Z6870" s="4">
        <v>98</v>
      </c>
      <c r="AA6870" s="6">
        <v>1.59</v>
      </c>
      <c r="AB6870" s="7">
        <v>23.175000000000001</v>
      </c>
      <c r="AC6870" s="2"/>
    </row>
    <row r="6871" spans="1:29" ht="130" x14ac:dyDescent="0.15">
      <c r="A6871" s="3">
        <f>DATE(2003,4,24)</f>
        <v>37735</v>
      </c>
      <c r="B6871" s="3">
        <f>DATE(2003,8,12)</f>
        <v>37845</v>
      </c>
      <c r="C6871" s="2" t="s">
        <v>95</v>
      </c>
      <c r="D6871" s="2" t="s">
        <v>20844</v>
      </c>
      <c r="E6871" s="2" t="s">
        <v>849</v>
      </c>
      <c r="F6871" s="4">
        <v>7372</v>
      </c>
      <c r="G6871" s="2" t="s">
        <v>551</v>
      </c>
      <c r="H6871" s="2" t="s">
        <v>34</v>
      </c>
      <c r="I6871" s="2" t="s">
        <v>16093</v>
      </c>
      <c r="J6871" s="2" t="s">
        <v>20845</v>
      </c>
      <c r="K6871" s="2" t="s">
        <v>551</v>
      </c>
      <c r="L6871" s="2" t="s">
        <v>34</v>
      </c>
      <c r="M6871" s="7">
        <v>300.05900000000003</v>
      </c>
      <c r="N6871" s="6">
        <v>5.03</v>
      </c>
      <c r="O6871" s="6">
        <v>5.01</v>
      </c>
      <c r="P6871" s="2" t="s">
        <v>20846</v>
      </c>
      <c r="Q6871" s="6">
        <v>100</v>
      </c>
      <c r="R6871" s="6">
        <v>4.78</v>
      </c>
      <c r="S6871" s="5">
        <v>-49.7</v>
      </c>
      <c r="T6871" s="7">
        <v>-32.804000000000002</v>
      </c>
      <c r="U6871" s="5">
        <v>1.7</v>
      </c>
      <c r="V6871" s="6">
        <v>-1.51</v>
      </c>
      <c r="W6871" s="6">
        <v>2.58</v>
      </c>
      <c r="X6871" s="6">
        <v>2.59</v>
      </c>
      <c r="Y6871" s="6">
        <v>4.1399999999999997</v>
      </c>
      <c r="Z6871" s="6">
        <v>4.18</v>
      </c>
      <c r="AA6871" s="6">
        <v>33.22</v>
      </c>
      <c r="AB6871" s="2" t="s">
        <v>86</v>
      </c>
      <c r="AC6871" s="6">
        <v>20.28</v>
      </c>
    </row>
    <row r="6872" spans="1:29" ht="130" x14ac:dyDescent="0.15">
      <c r="A6872" s="3">
        <f>DATE(2003,4,25)</f>
        <v>37736</v>
      </c>
      <c r="B6872" s="3">
        <f>DATE(2003,7,1)</f>
        <v>37803</v>
      </c>
      <c r="C6872" s="2" t="s">
        <v>95</v>
      </c>
      <c r="D6872" s="2" t="s">
        <v>20847</v>
      </c>
      <c r="E6872" s="2" t="s">
        <v>398</v>
      </c>
      <c r="F6872" s="4">
        <v>7812</v>
      </c>
      <c r="G6872" s="2" t="s">
        <v>42</v>
      </c>
      <c r="H6872" s="2" t="s">
        <v>34</v>
      </c>
      <c r="I6872" s="2" t="s">
        <v>3558</v>
      </c>
      <c r="J6872" s="2" t="s">
        <v>3892</v>
      </c>
      <c r="K6872" s="2" t="s">
        <v>45</v>
      </c>
      <c r="L6872" s="2" t="s">
        <v>34</v>
      </c>
      <c r="M6872" s="12">
        <v>24212.887999999999</v>
      </c>
      <c r="N6872" s="6">
        <v>10.42</v>
      </c>
      <c r="O6872" s="6">
        <v>10.67</v>
      </c>
      <c r="P6872" s="2" t="s">
        <v>20848</v>
      </c>
      <c r="Q6872" s="6">
        <v>10</v>
      </c>
      <c r="R6872" s="6">
        <v>1.21</v>
      </c>
      <c r="S6872" s="5">
        <v>-118.2</v>
      </c>
      <c r="T6872" s="7">
        <v>87.382000000000005</v>
      </c>
      <c r="U6872" s="5">
        <v>1</v>
      </c>
      <c r="V6872" s="6">
        <v>-2.63</v>
      </c>
      <c r="W6872" s="6">
        <v>1.1499999999999999</v>
      </c>
      <c r="X6872" s="5">
        <v>1.1000000000000001</v>
      </c>
      <c r="Y6872" s="6">
        <v>1.05</v>
      </c>
      <c r="Z6872" s="6">
        <v>1.19</v>
      </c>
      <c r="AA6872" s="6">
        <v>4.88</v>
      </c>
      <c r="AB6872" s="7">
        <v>22.145</v>
      </c>
      <c r="AC6872" s="8">
        <v>4582</v>
      </c>
    </row>
    <row r="6873" spans="1:29" ht="65" x14ac:dyDescent="0.15">
      <c r="A6873" s="3">
        <f>DATE(2003,4,29)</f>
        <v>37740</v>
      </c>
      <c r="B6873" s="3">
        <f>DATE(2003,7,23)</f>
        <v>37825</v>
      </c>
      <c r="C6873" s="2" t="s">
        <v>95</v>
      </c>
      <c r="D6873" s="2" t="s">
        <v>20849</v>
      </c>
      <c r="E6873" s="2" t="s">
        <v>3786</v>
      </c>
      <c r="F6873" s="4">
        <v>7033</v>
      </c>
      <c r="G6873" s="2" t="s">
        <v>269</v>
      </c>
      <c r="H6873" s="2" t="s">
        <v>34</v>
      </c>
      <c r="I6873" s="2" t="s">
        <v>20850</v>
      </c>
      <c r="J6873" s="2" t="s">
        <v>244</v>
      </c>
      <c r="K6873" s="2" t="s">
        <v>53</v>
      </c>
      <c r="L6873" s="2" t="s">
        <v>34</v>
      </c>
      <c r="M6873" s="2"/>
      <c r="N6873" s="2"/>
      <c r="O6873" s="2"/>
      <c r="P6873" s="2" t="s">
        <v>20851</v>
      </c>
      <c r="Q6873" s="6">
        <v>100</v>
      </c>
      <c r="R6873" s="6">
        <v>14.5</v>
      </c>
      <c r="S6873" s="5">
        <v>9.3000000000000007</v>
      </c>
      <c r="T6873" s="7">
        <v>11.946</v>
      </c>
      <c r="U6873" s="5">
        <v>4</v>
      </c>
      <c r="V6873" s="6">
        <v>1.19</v>
      </c>
      <c r="W6873" s="5">
        <v>9.3000000000000007</v>
      </c>
      <c r="X6873" s="6">
        <v>9.35</v>
      </c>
      <c r="Y6873" s="6">
        <v>9.35</v>
      </c>
      <c r="Z6873" s="5">
        <v>14.1</v>
      </c>
      <c r="AA6873" s="6">
        <v>6.97</v>
      </c>
      <c r="AB6873" s="7">
        <v>10.811</v>
      </c>
      <c r="AC6873" s="2"/>
    </row>
    <row r="6874" spans="1:29" ht="169" x14ac:dyDescent="0.15">
      <c r="A6874" s="3">
        <f>DATE(2003,4,30)</f>
        <v>37741</v>
      </c>
      <c r="B6874" s="2"/>
      <c r="C6874" s="2" t="s">
        <v>30</v>
      </c>
      <c r="D6874" s="2" t="s">
        <v>19910</v>
      </c>
      <c r="E6874" s="2" t="s">
        <v>19911</v>
      </c>
      <c r="F6874" s="4">
        <v>2844</v>
      </c>
      <c r="G6874" s="2" t="s">
        <v>358</v>
      </c>
      <c r="H6874" s="2" t="s">
        <v>34</v>
      </c>
      <c r="I6874" s="2" t="s">
        <v>20852</v>
      </c>
      <c r="J6874" s="2" t="s">
        <v>1072</v>
      </c>
      <c r="K6874" s="2" t="s">
        <v>53</v>
      </c>
      <c r="L6874" s="2" t="s">
        <v>34</v>
      </c>
      <c r="M6874" s="2"/>
      <c r="N6874" s="2"/>
      <c r="O6874" s="2"/>
      <c r="P6874" s="2" t="s">
        <v>20853</v>
      </c>
      <c r="Q6874" s="2"/>
      <c r="R6874" s="6">
        <v>4.5999999999999996</v>
      </c>
      <c r="S6874" s="5">
        <v>0.8</v>
      </c>
      <c r="T6874" s="7">
        <v>1.8069999999999999</v>
      </c>
      <c r="U6874" s="5">
        <v>8.5</v>
      </c>
      <c r="V6874" s="6">
        <v>0.18</v>
      </c>
      <c r="W6874" s="6">
        <v>3.02</v>
      </c>
      <c r="X6874" s="6">
        <v>3.18</v>
      </c>
      <c r="Y6874" s="6">
        <v>3.19</v>
      </c>
      <c r="Z6874" s="6">
        <v>3.31</v>
      </c>
      <c r="AA6874" s="6">
        <v>4.41</v>
      </c>
      <c r="AB6874" s="7">
        <v>9.7119999999999997</v>
      </c>
      <c r="AC6874" s="2"/>
    </row>
    <row r="6875" spans="1:29" ht="78" x14ac:dyDescent="0.15">
      <c r="A6875" s="3">
        <f>DATE(2003,4,30)</f>
        <v>37741</v>
      </c>
      <c r="B6875" s="3">
        <f>DATE(2003,9,15)</f>
        <v>37879</v>
      </c>
      <c r="C6875" s="2" t="s">
        <v>95</v>
      </c>
      <c r="D6875" s="2" t="s">
        <v>20854</v>
      </c>
      <c r="E6875" s="2" t="s">
        <v>1181</v>
      </c>
      <c r="F6875" s="4">
        <v>6021</v>
      </c>
      <c r="G6875" s="2" t="s">
        <v>37</v>
      </c>
      <c r="H6875" s="2" t="s">
        <v>34</v>
      </c>
      <c r="I6875" s="2" t="s">
        <v>20855</v>
      </c>
      <c r="J6875" s="2" t="s">
        <v>36</v>
      </c>
      <c r="K6875" s="2" t="s">
        <v>37</v>
      </c>
      <c r="L6875" s="2" t="s">
        <v>34</v>
      </c>
      <c r="M6875" s="2"/>
      <c r="N6875" s="2"/>
      <c r="O6875" s="2"/>
      <c r="P6875" s="2" t="s">
        <v>20856</v>
      </c>
      <c r="Q6875" s="6">
        <v>100</v>
      </c>
      <c r="R6875" s="6">
        <v>12.5</v>
      </c>
      <c r="S6875" s="2"/>
      <c r="T6875" s="2"/>
      <c r="U6875" s="2"/>
      <c r="V6875" s="2"/>
      <c r="W6875" s="6">
        <v>11.05</v>
      </c>
      <c r="X6875" s="6">
        <v>11.05</v>
      </c>
      <c r="Y6875" s="4">
        <v>12</v>
      </c>
      <c r="Z6875" s="6">
        <v>12.23</v>
      </c>
      <c r="AA6875" s="6">
        <v>1.99</v>
      </c>
      <c r="AB6875" s="2" t="s">
        <v>47</v>
      </c>
      <c r="AC6875" s="2"/>
    </row>
    <row r="6876" spans="1:29" ht="78" x14ac:dyDescent="0.15">
      <c r="A6876" s="3">
        <f>DATE(2003,5,2)</f>
        <v>37743</v>
      </c>
      <c r="B6876" s="3">
        <f>DATE(2003,8,28)</f>
        <v>37861</v>
      </c>
      <c r="C6876" s="2" t="s">
        <v>95</v>
      </c>
      <c r="D6876" s="2" t="s">
        <v>20857</v>
      </c>
      <c r="E6876" s="2" t="s">
        <v>20858</v>
      </c>
      <c r="F6876" s="4">
        <v>7375</v>
      </c>
      <c r="G6876" s="2" t="s">
        <v>223</v>
      </c>
      <c r="H6876" s="2" t="s">
        <v>34</v>
      </c>
      <c r="I6876" s="2" t="s">
        <v>20859</v>
      </c>
      <c r="J6876" s="2" t="s">
        <v>244</v>
      </c>
      <c r="K6876" s="2" t="s">
        <v>53</v>
      </c>
      <c r="L6876" s="2" t="s">
        <v>34</v>
      </c>
      <c r="M6876" s="2"/>
      <c r="N6876" s="2"/>
      <c r="O6876" s="2"/>
      <c r="P6876" s="2" t="s">
        <v>20860</v>
      </c>
      <c r="Q6876" s="6">
        <v>100</v>
      </c>
      <c r="R6876" s="6">
        <v>12</v>
      </c>
      <c r="S6876" s="5">
        <v>-5.5</v>
      </c>
      <c r="T6876" s="7">
        <v>-2.2669999999999999</v>
      </c>
      <c r="U6876" s="5">
        <v>1.9</v>
      </c>
      <c r="V6876" s="6">
        <v>-2.79</v>
      </c>
      <c r="W6876" s="5">
        <v>8.4</v>
      </c>
      <c r="X6876" s="6">
        <v>9.17</v>
      </c>
      <c r="Y6876" s="4">
        <v>8</v>
      </c>
      <c r="Z6876" s="6">
        <v>11.82</v>
      </c>
      <c r="AA6876" s="6">
        <v>2.23</v>
      </c>
      <c r="AB6876" s="2" t="s">
        <v>86</v>
      </c>
      <c r="AC6876" s="2"/>
    </row>
    <row r="6877" spans="1:29" ht="156" x14ac:dyDescent="0.15">
      <c r="A6877" s="3">
        <f>DATE(2003,5,5)</f>
        <v>37746</v>
      </c>
      <c r="B6877" s="3">
        <f>DATE(2003,11,12)</f>
        <v>37937</v>
      </c>
      <c r="C6877" s="2" t="s">
        <v>95</v>
      </c>
      <c r="D6877" s="2" t="s">
        <v>20861</v>
      </c>
      <c r="E6877" s="2" t="s">
        <v>9761</v>
      </c>
      <c r="F6877" s="4">
        <v>7379</v>
      </c>
      <c r="G6877" s="2" t="s">
        <v>223</v>
      </c>
      <c r="H6877" s="2" t="s">
        <v>34</v>
      </c>
      <c r="I6877" s="2" t="s">
        <v>51</v>
      </c>
      <c r="J6877" s="2" t="s">
        <v>52</v>
      </c>
      <c r="K6877" s="2" t="s">
        <v>53</v>
      </c>
      <c r="L6877" s="2" t="s">
        <v>34</v>
      </c>
      <c r="M6877" s="2"/>
      <c r="N6877" s="2"/>
      <c r="O6877" s="2"/>
      <c r="P6877" s="2" t="s">
        <v>20862</v>
      </c>
      <c r="Q6877" s="6">
        <v>33.76</v>
      </c>
      <c r="R6877" s="6">
        <v>3.25</v>
      </c>
      <c r="S6877" s="5">
        <v>1</v>
      </c>
      <c r="T6877" s="7">
        <v>1.3779999999999999</v>
      </c>
      <c r="U6877" s="5">
        <v>2.9</v>
      </c>
      <c r="V6877" s="6">
        <v>7.0000000000000007E-2</v>
      </c>
      <c r="W6877" s="6">
        <v>2.94</v>
      </c>
      <c r="X6877" s="6">
        <v>2.97</v>
      </c>
      <c r="Y6877" s="5">
        <v>3.1</v>
      </c>
      <c r="Z6877" s="6">
        <v>3.21</v>
      </c>
      <c r="AA6877" s="6">
        <v>13.09</v>
      </c>
      <c r="AB6877" s="7">
        <v>4.7679999999999998</v>
      </c>
      <c r="AC6877" s="2"/>
    </row>
    <row r="6878" spans="1:29" ht="117" x14ac:dyDescent="0.15">
      <c r="A6878" s="3">
        <f>DATE(2003,5,5)</f>
        <v>37746</v>
      </c>
      <c r="B6878" s="3">
        <f>DATE(2003,8,8)</f>
        <v>37841</v>
      </c>
      <c r="C6878" s="2" t="s">
        <v>95</v>
      </c>
      <c r="D6878" s="2" t="s">
        <v>20863</v>
      </c>
      <c r="E6878" s="2" t="s">
        <v>20370</v>
      </c>
      <c r="F6878" s="4">
        <v>7389</v>
      </c>
      <c r="G6878" s="2" t="s">
        <v>223</v>
      </c>
      <c r="H6878" s="2" t="s">
        <v>34</v>
      </c>
      <c r="I6878" s="2" t="s">
        <v>20055</v>
      </c>
      <c r="J6878" s="2" t="s">
        <v>13763</v>
      </c>
      <c r="K6878" s="2" t="s">
        <v>45</v>
      </c>
      <c r="L6878" s="2" t="s">
        <v>34</v>
      </c>
      <c r="M6878" s="12">
        <v>12942.132</v>
      </c>
      <c r="N6878" s="5">
        <v>34.1</v>
      </c>
      <c r="O6878" s="6">
        <v>34.11</v>
      </c>
      <c r="P6878" s="2" t="s">
        <v>20864</v>
      </c>
      <c r="Q6878" s="6">
        <v>100</v>
      </c>
      <c r="R6878" s="6">
        <v>21.67</v>
      </c>
      <c r="S6878" s="5">
        <v>15.4</v>
      </c>
      <c r="T6878" s="7">
        <v>21.443000000000001</v>
      </c>
      <c r="U6878" s="5">
        <v>0.8</v>
      </c>
      <c r="V6878" s="6">
        <v>0.49</v>
      </c>
      <c r="W6878" s="4">
        <v>14</v>
      </c>
      <c r="X6878" s="6">
        <v>14.69</v>
      </c>
      <c r="Y6878" s="6">
        <v>20.72</v>
      </c>
      <c r="Z6878" s="5">
        <v>20.9</v>
      </c>
      <c r="AA6878" s="6">
        <v>22.59</v>
      </c>
      <c r="AB6878" s="7">
        <v>46.155000000000001</v>
      </c>
      <c r="AC6878" s="10">
        <v>3865.67</v>
      </c>
    </row>
    <row r="6879" spans="1:29" ht="143" x14ac:dyDescent="0.15">
      <c r="A6879" s="3">
        <f>DATE(2003,5,5)</f>
        <v>37746</v>
      </c>
      <c r="B6879" s="3">
        <f>DATE(2003,8,11)</f>
        <v>37844</v>
      </c>
      <c r="C6879" s="2" t="s">
        <v>95</v>
      </c>
      <c r="D6879" s="2" t="s">
        <v>13236</v>
      </c>
      <c r="E6879" s="2" t="s">
        <v>4865</v>
      </c>
      <c r="F6879" s="4">
        <v>3674</v>
      </c>
      <c r="G6879" s="2" t="s">
        <v>137</v>
      </c>
      <c r="H6879" s="2" t="s">
        <v>34</v>
      </c>
      <c r="I6879" s="2" t="s">
        <v>17501</v>
      </c>
      <c r="J6879" s="2" t="s">
        <v>4865</v>
      </c>
      <c r="K6879" s="2" t="s">
        <v>137</v>
      </c>
      <c r="L6879" s="2" t="s">
        <v>34</v>
      </c>
      <c r="M6879" s="7">
        <v>362.22199999999998</v>
      </c>
      <c r="N6879" s="5">
        <v>16.5</v>
      </c>
      <c r="O6879" s="6">
        <v>17.53</v>
      </c>
      <c r="P6879" s="2" t="s">
        <v>20865</v>
      </c>
      <c r="Q6879" s="6">
        <v>100</v>
      </c>
      <c r="R6879" s="6">
        <v>5.88</v>
      </c>
      <c r="S6879" s="5">
        <v>-59.3</v>
      </c>
      <c r="T6879" s="7">
        <v>-23.744</v>
      </c>
      <c r="U6879" s="5">
        <v>2</v>
      </c>
      <c r="V6879" s="6">
        <v>-1.06</v>
      </c>
      <c r="W6879" s="6">
        <v>4.6100000000000003</v>
      </c>
      <c r="X6879" s="6">
        <v>4.74</v>
      </c>
      <c r="Y6879" s="5">
        <v>5.4</v>
      </c>
      <c r="Z6879" s="6">
        <v>5.65</v>
      </c>
      <c r="AA6879" s="6">
        <v>56.05</v>
      </c>
      <c r="AB6879" s="2" t="s">
        <v>86</v>
      </c>
      <c r="AC6879" s="5">
        <v>136.9</v>
      </c>
    </row>
    <row r="6880" spans="1:29" ht="130" x14ac:dyDescent="0.15">
      <c r="A6880" s="3">
        <f>DATE(2003,5,5)</f>
        <v>37746</v>
      </c>
      <c r="B6880" s="3">
        <f>DATE(2004,3,1)</f>
        <v>38047</v>
      </c>
      <c r="C6880" s="2" t="s">
        <v>95</v>
      </c>
      <c r="D6880" s="2" t="s">
        <v>20866</v>
      </c>
      <c r="E6880" s="2" t="s">
        <v>20867</v>
      </c>
      <c r="F6880" s="4">
        <v>3519</v>
      </c>
      <c r="G6880" s="2" t="s">
        <v>300</v>
      </c>
      <c r="H6880" s="2" t="s">
        <v>34</v>
      </c>
      <c r="I6880" s="2" t="s">
        <v>20868</v>
      </c>
      <c r="J6880" s="2" t="s">
        <v>1072</v>
      </c>
      <c r="K6880" s="2" t="s">
        <v>53</v>
      </c>
      <c r="L6880" s="2" t="s">
        <v>34</v>
      </c>
      <c r="M6880" s="2"/>
      <c r="N6880" s="2"/>
      <c r="O6880" s="2"/>
      <c r="P6880" s="2" t="s">
        <v>20869</v>
      </c>
      <c r="Q6880" s="6">
        <v>48.62</v>
      </c>
      <c r="R6880" s="6">
        <v>3.26</v>
      </c>
      <c r="S6880" s="5">
        <v>2.2999999999999998</v>
      </c>
      <c r="T6880" s="7">
        <v>-0.34200000000000003</v>
      </c>
      <c r="U6880" s="5">
        <v>7.1</v>
      </c>
      <c r="V6880" s="6">
        <v>1.18</v>
      </c>
      <c r="W6880" s="6">
        <v>1.69</v>
      </c>
      <c r="X6880" s="6">
        <v>1.76</v>
      </c>
      <c r="Y6880" s="6">
        <v>2.99</v>
      </c>
      <c r="Z6880" s="6">
        <v>2.94</v>
      </c>
      <c r="AA6880" s="6">
        <v>1.95</v>
      </c>
      <c r="AB6880" s="2" t="s">
        <v>86</v>
      </c>
      <c r="AC6880" s="2"/>
    </row>
    <row r="6881" spans="1:29" ht="169" x14ac:dyDescent="0.15">
      <c r="A6881" s="3">
        <f>DATE(2003,5,7)</f>
        <v>37748</v>
      </c>
      <c r="B6881" s="3">
        <f>DATE(2003,10,21)</f>
        <v>37915</v>
      </c>
      <c r="C6881" s="2" t="s">
        <v>95</v>
      </c>
      <c r="D6881" s="2" t="s">
        <v>20870</v>
      </c>
      <c r="E6881" s="2" t="s">
        <v>672</v>
      </c>
      <c r="F6881" s="4">
        <v>6022</v>
      </c>
      <c r="G6881" s="2" t="s">
        <v>37</v>
      </c>
      <c r="H6881" s="2" t="s">
        <v>34</v>
      </c>
      <c r="I6881" s="2" t="s">
        <v>20871</v>
      </c>
      <c r="J6881" s="2" t="s">
        <v>20872</v>
      </c>
      <c r="K6881" s="2" t="s">
        <v>37</v>
      </c>
      <c r="L6881" s="2" t="s">
        <v>34</v>
      </c>
      <c r="M6881" s="7">
        <v>730.52099999999996</v>
      </c>
      <c r="N6881" s="6">
        <v>39.83</v>
      </c>
      <c r="O6881" s="6">
        <v>39.130000000000003</v>
      </c>
      <c r="P6881" s="2" t="s">
        <v>20873</v>
      </c>
      <c r="Q6881" s="6">
        <v>100</v>
      </c>
      <c r="R6881" s="2"/>
      <c r="S6881" s="5">
        <v>1.2</v>
      </c>
      <c r="T6881" s="7">
        <v>3.9510000000000001</v>
      </c>
      <c r="U6881" s="5">
        <v>17.8</v>
      </c>
      <c r="V6881" s="6">
        <v>0.1</v>
      </c>
      <c r="W6881" s="6">
        <v>27.44</v>
      </c>
      <c r="X6881" s="6">
        <v>30.08</v>
      </c>
      <c r="Y6881" s="6">
        <v>35.53</v>
      </c>
      <c r="Z6881" s="6">
        <v>35.119999999999997</v>
      </c>
      <c r="AA6881" s="6">
        <v>11.62</v>
      </c>
      <c r="AB6881" s="7">
        <v>1156.5840000000001</v>
      </c>
      <c r="AC6881" s="2"/>
    </row>
    <row r="6882" spans="1:29" ht="104" x14ac:dyDescent="0.15">
      <c r="A6882" s="3">
        <f>DATE(2003,5,7)</f>
        <v>37748</v>
      </c>
      <c r="B6882" s="2"/>
      <c r="C6882" s="2" t="s">
        <v>7330</v>
      </c>
      <c r="D6882" s="2" t="s">
        <v>20874</v>
      </c>
      <c r="E6882" s="2" t="s">
        <v>1181</v>
      </c>
      <c r="F6882" s="4">
        <v>6021</v>
      </c>
      <c r="G6882" s="2" t="s">
        <v>37</v>
      </c>
      <c r="H6882" s="2" t="s">
        <v>34</v>
      </c>
      <c r="I6882" s="2" t="s">
        <v>18117</v>
      </c>
      <c r="J6882" s="2" t="s">
        <v>36</v>
      </c>
      <c r="K6882" s="2" t="s">
        <v>37</v>
      </c>
      <c r="L6882" s="2" t="s">
        <v>34</v>
      </c>
      <c r="M6882" s="7">
        <v>418.10700000000003</v>
      </c>
      <c r="N6882" s="6">
        <v>35.61</v>
      </c>
      <c r="O6882" s="6">
        <v>35.49</v>
      </c>
      <c r="P6882" s="2" t="s">
        <v>20875</v>
      </c>
      <c r="Q6882" s="2"/>
      <c r="R6882" s="6">
        <v>30</v>
      </c>
      <c r="S6882" s="5">
        <v>0</v>
      </c>
      <c r="T6882" s="2"/>
      <c r="U6882" s="5">
        <v>24.2</v>
      </c>
      <c r="V6882" s="6">
        <v>-0.04</v>
      </c>
      <c r="W6882" s="4">
        <v>21</v>
      </c>
      <c r="X6882" s="4">
        <v>21</v>
      </c>
      <c r="Y6882" s="4">
        <v>21</v>
      </c>
      <c r="Z6882" s="4">
        <v>21</v>
      </c>
      <c r="AA6882" s="6">
        <v>0.13</v>
      </c>
      <c r="AB6882" s="2" t="s">
        <v>86</v>
      </c>
      <c r="AC6882" s="2"/>
    </row>
    <row r="6883" spans="1:29" ht="91" x14ac:dyDescent="0.15">
      <c r="A6883" s="3">
        <f>DATE(2003,5,8)</f>
        <v>37749</v>
      </c>
      <c r="B6883" s="3">
        <f>DATE(2003,7,10)</f>
        <v>37812</v>
      </c>
      <c r="C6883" s="2" t="s">
        <v>95</v>
      </c>
      <c r="D6883" s="2" t="s">
        <v>11119</v>
      </c>
      <c r="E6883" s="2" t="s">
        <v>92</v>
      </c>
      <c r="F6883" s="4">
        <v>6798</v>
      </c>
      <c r="G6883" s="2" t="s">
        <v>53</v>
      </c>
      <c r="H6883" s="2" t="s">
        <v>34</v>
      </c>
      <c r="I6883" s="2" t="s">
        <v>20876</v>
      </c>
      <c r="J6883" s="2" t="s">
        <v>92</v>
      </c>
      <c r="K6883" s="2" t="s">
        <v>53</v>
      </c>
      <c r="L6883" s="2" t="s">
        <v>34</v>
      </c>
      <c r="M6883" s="2"/>
      <c r="N6883" s="2"/>
      <c r="O6883" s="2"/>
      <c r="P6883" s="2" t="s">
        <v>20877</v>
      </c>
      <c r="Q6883" s="6">
        <v>100</v>
      </c>
      <c r="R6883" s="6">
        <v>12.35</v>
      </c>
      <c r="S6883" s="5">
        <v>4.9000000000000004</v>
      </c>
      <c r="T6883" s="7">
        <v>38.066000000000003</v>
      </c>
      <c r="U6883" s="5">
        <v>10.3</v>
      </c>
      <c r="V6883" s="6">
        <v>0.1</v>
      </c>
      <c r="W6883" s="6">
        <v>10.74</v>
      </c>
      <c r="X6883" s="6">
        <v>10.99</v>
      </c>
      <c r="Y6883" s="5">
        <v>11.1</v>
      </c>
      <c r="Z6883" s="6">
        <v>12.19</v>
      </c>
      <c r="AA6883" s="6">
        <v>28.52</v>
      </c>
      <c r="AB6883" s="7">
        <v>151.821</v>
      </c>
      <c r="AC6883" s="2"/>
    </row>
    <row r="6884" spans="1:29" ht="91" x14ac:dyDescent="0.15">
      <c r="A6884" s="3">
        <f>DATE(2003,5,9)</f>
        <v>37750</v>
      </c>
      <c r="B6884" s="3">
        <f>DATE(2003,7,22)</f>
        <v>37824</v>
      </c>
      <c r="C6884" s="2" t="s">
        <v>95</v>
      </c>
      <c r="D6884" s="2" t="s">
        <v>20878</v>
      </c>
      <c r="E6884" s="2" t="s">
        <v>20879</v>
      </c>
      <c r="F6884" s="4">
        <v>7372</v>
      </c>
      <c r="G6884" s="2" t="s">
        <v>551</v>
      </c>
      <c r="H6884" s="2" t="s">
        <v>34</v>
      </c>
      <c r="I6884" s="2" t="s">
        <v>20383</v>
      </c>
      <c r="J6884" s="2" t="s">
        <v>10056</v>
      </c>
      <c r="K6884" s="2" t="s">
        <v>1461</v>
      </c>
      <c r="L6884" s="2" t="s">
        <v>34</v>
      </c>
      <c r="M6884" s="2"/>
      <c r="N6884" s="2"/>
      <c r="O6884" s="2"/>
      <c r="P6884" s="2" t="s">
        <v>20880</v>
      </c>
      <c r="Q6884" s="6">
        <v>100</v>
      </c>
      <c r="R6884" s="2"/>
      <c r="S6884" s="5">
        <v>18.7</v>
      </c>
      <c r="T6884" s="7">
        <v>2.4340000000000002</v>
      </c>
      <c r="U6884" s="5">
        <v>1</v>
      </c>
      <c r="V6884" s="6">
        <v>1.19</v>
      </c>
      <c r="W6884" s="6">
        <v>1.06</v>
      </c>
      <c r="X6884" s="6">
        <v>1.08</v>
      </c>
      <c r="Y6884" s="6">
        <v>1.26</v>
      </c>
      <c r="Z6884" s="6">
        <v>1.27</v>
      </c>
      <c r="AA6884" s="6">
        <v>15.58</v>
      </c>
      <c r="AB6884" s="2" t="s">
        <v>86</v>
      </c>
      <c r="AC6884" s="2"/>
    </row>
    <row r="6885" spans="1:29" ht="234" x14ac:dyDescent="0.15">
      <c r="A6885" s="3">
        <f>DATE(2003,5,9)</f>
        <v>37750</v>
      </c>
      <c r="B6885" s="2"/>
      <c r="C6885" s="2" t="s">
        <v>30</v>
      </c>
      <c r="D6885" s="2" t="s">
        <v>20408</v>
      </c>
      <c r="E6885" s="2" t="s">
        <v>20409</v>
      </c>
      <c r="F6885" s="4">
        <v>3577</v>
      </c>
      <c r="G6885" s="2" t="s">
        <v>50</v>
      </c>
      <c r="H6885" s="2" t="s">
        <v>34</v>
      </c>
      <c r="I6885" s="2" t="s">
        <v>20881</v>
      </c>
      <c r="J6885" s="2" t="s">
        <v>244</v>
      </c>
      <c r="K6885" s="2" t="s">
        <v>53</v>
      </c>
      <c r="L6885" s="2" t="s">
        <v>34</v>
      </c>
      <c r="M6885" s="2"/>
      <c r="N6885" s="2"/>
      <c r="O6885" s="2"/>
      <c r="P6885" s="2" t="s">
        <v>20882</v>
      </c>
      <c r="Q6885" s="2"/>
      <c r="R6885" s="6">
        <v>4.5</v>
      </c>
      <c r="S6885" s="5">
        <v>0.9</v>
      </c>
      <c r="T6885" s="7">
        <v>2.3809999999999998</v>
      </c>
      <c r="U6885" s="5">
        <v>2.5</v>
      </c>
      <c r="V6885" s="6">
        <v>0.09</v>
      </c>
      <c r="W6885" s="6">
        <v>1.45</v>
      </c>
      <c r="X6885" s="6">
        <v>1.45</v>
      </c>
      <c r="Y6885" s="6">
        <v>2.85</v>
      </c>
      <c r="Z6885" s="6">
        <v>2.75</v>
      </c>
      <c r="AA6885" s="6">
        <v>10.65</v>
      </c>
      <c r="AB6885" s="7">
        <v>22.826000000000001</v>
      </c>
      <c r="AC6885" s="2"/>
    </row>
    <row r="6886" spans="1:29" ht="117" x14ac:dyDescent="0.15">
      <c r="A6886" s="3">
        <f>DATE(2003,5,12)</f>
        <v>37753</v>
      </c>
      <c r="B6886" s="3">
        <f>DATE(2003,10,31)</f>
        <v>37925</v>
      </c>
      <c r="C6886" s="2" t="s">
        <v>95</v>
      </c>
      <c r="D6886" s="2" t="s">
        <v>20883</v>
      </c>
      <c r="E6886" s="2" t="s">
        <v>20884</v>
      </c>
      <c r="F6886" s="4">
        <v>6794</v>
      </c>
      <c r="G6886" s="2" t="s">
        <v>53</v>
      </c>
      <c r="H6886" s="2" t="s">
        <v>34</v>
      </c>
      <c r="I6886" s="2" t="s">
        <v>51</v>
      </c>
      <c r="J6886" s="2" t="s">
        <v>52</v>
      </c>
      <c r="K6886" s="2" t="s">
        <v>53</v>
      </c>
      <c r="L6886" s="2" t="s">
        <v>34</v>
      </c>
      <c r="M6886" s="2"/>
      <c r="N6886" s="2"/>
      <c r="O6886" s="2"/>
      <c r="P6886" s="2" t="s">
        <v>20885</v>
      </c>
      <c r="Q6886" s="6">
        <v>100</v>
      </c>
      <c r="R6886" s="6">
        <v>6.75</v>
      </c>
      <c r="S6886" s="5">
        <v>3</v>
      </c>
      <c r="T6886" s="7">
        <v>5.7039999999999997</v>
      </c>
      <c r="U6886" s="5">
        <v>2.9</v>
      </c>
      <c r="V6886" s="6">
        <v>0.4</v>
      </c>
      <c r="W6886" s="5">
        <v>4.3</v>
      </c>
      <c r="X6886" s="6">
        <v>4.25</v>
      </c>
      <c r="Y6886" s="6">
        <v>6.55</v>
      </c>
      <c r="Z6886" s="5">
        <v>6.5</v>
      </c>
      <c r="AA6886" s="6">
        <v>7.06</v>
      </c>
      <c r="AB6886" s="7">
        <v>12.369</v>
      </c>
      <c r="AC6886" s="2"/>
    </row>
    <row r="6887" spans="1:29" ht="156" x14ac:dyDescent="0.15">
      <c r="A6887" s="3">
        <f>DATE(2003,5,13)</f>
        <v>37754</v>
      </c>
      <c r="B6887" s="3">
        <f>DATE(2003,8,15)</f>
        <v>37848</v>
      </c>
      <c r="C6887" s="2" t="s">
        <v>95</v>
      </c>
      <c r="D6887" s="2" t="s">
        <v>20886</v>
      </c>
      <c r="E6887" s="2" t="s">
        <v>20887</v>
      </c>
      <c r="F6887" s="4">
        <v>2097</v>
      </c>
      <c r="G6887" s="2" t="s">
        <v>577</v>
      </c>
      <c r="H6887" s="2" t="s">
        <v>34</v>
      </c>
      <c r="I6887" s="2" t="s">
        <v>51</v>
      </c>
      <c r="J6887" s="2" t="s">
        <v>52</v>
      </c>
      <c r="K6887" s="2" t="s">
        <v>53</v>
      </c>
      <c r="L6887" s="2" t="s">
        <v>34</v>
      </c>
      <c r="M6887" s="2"/>
      <c r="N6887" s="2"/>
      <c r="O6887" s="2"/>
      <c r="P6887" s="2" t="s">
        <v>20888</v>
      </c>
      <c r="Q6887" s="6">
        <v>100</v>
      </c>
      <c r="R6887" s="6">
        <v>3.62</v>
      </c>
      <c r="S6887" s="5">
        <v>-9.6</v>
      </c>
      <c r="T6887" s="7">
        <v>58.024999999999999</v>
      </c>
      <c r="U6887" s="5">
        <v>-2.6</v>
      </c>
      <c r="V6887" s="6">
        <v>-0.69</v>
      </c>
      <c r="W6887" s="6">
        <v>2.23</v>
      </c>
      <c r="X6887" s="6">
        <v>2.2400000000000002</v>
      </c>
      <c r="Y6887" s="6">
        <v>3.36</v>
      </c>
      <c r="Z6887" s="6">
        <v>3.38</v>
      </c>
      <c r="AA6887" s="6">
        <v>20.16</v>
      </c>
      <c r="AB6887" s="7">
        <v>12.968999999999999</v>
      </c>
      <c r="AC6887" s="2"/>
    </row>
    <row r="6888" spans="1:29" ht="169" x14ac:dyDescent="0.15">
      <c r="A6888" s="3">
        <f>DATE(2003,5,14)</f>
        <v>37755</v>
      </c>
      <c r="B6888" s="3">
        <f>DATE(2003,11,20)</f>
        <v>37945</v>
      </c>
      <c r="C6888" s="2" t="s">
        <v>95</v>
      </c>
      <c r="D6888" s="2" t="s">
        <v>20889</v>
      </c>
      <c r="E6888" s="2" t="s">
        <v>92</v>
      </c>
      <c r="F6888" s="4">
        <v>6798</v>
      </c>
      <c r="G6888" s="2" t="s">
        <v>53</v>
      </c>
      <c r="H6888" s="2" t="s">
        <v>34</v>
      </c>
      <c r="I6888" s="2" t="s">
        <v>20890</v>
      </c>
      <c r="J6888" s="2" t="s">
        <v>92</v>
      </c>
      <c r="K6888" s="2" t="s">
        <v>53</v>
      </c>
      <c r="L6888" s="2" t="s">
        <v>34</v>
      </c>
      <c r="M6888" s="7">
        <v>489.42500000000001</v>
      </c>
      <c r="N6888" s="4">
        <v>30</v>
      </c>
      <c r="O6888" s="6">
        <v>29.39</v>
      </c>
      <c r="P6888" s="2" t="s">
        <v>20891</v>
      </c>
      <c r="Q6888" s="6">
        <v>100</v>
      </c>
      <c r="R6888" s="6">
        <v>13.92</v>
      </c>
      <c r="S6888" s="5">
        <v>8.8000000000000007</v>
      </c>
      <c r="T6888" s="7">
        <v>66.591999999999999</v>
      </c>
      <c r="U6888" s="5">
        <v>-2.4</v>
      </c>
      <c r="V6888" s="6">
        <v>-0.09</v>
      </c>
      <c r="W6888" s="6">
        <v>10.65</v>
      </c>
      <c r="X6888" s="6">
        <v>10.75</v>
      </c>
      <c r="Y6888" s="6">
        <v>10.67</v>
      </c>
      <c r="Z6888" s="6">
        <v>10.45</v>
      </c>
      <c r="AA6888" s="6">
        <v>32.07</v>
      </c>
      <c r="AB6888" s="7">
        <v>79.144999999999996</v>
      </c>
      <c r="AC6888" s="6">
        <v>8.1199999999999992</v>
      </c>
    </row>
    <row r="6889" spans="1:29" ht="208" x14ac:dyDescent="0.15">
      <c r="A6889" s="3">
        <f>DATE(2003,5,14)</f>
        <v>37755</v>
      </c>
      <c r="B6889" s="3">
        <f>DATE(2003,10,3)</f>
        <v>37897</v>
      </c>
      <c r="C6889" s="2" t="s">
        <v>95</v>
      </c>
      <c r="D6889" s="2" t="s">
        <v>19289</v>
      </c>
      <c r="E6889" s="2" t="s">
        <v>263</v>
      </c>
      <c r="F6889" s="4">
        <v>6022</v>
      </c>
      <c r="G6889" s="2" t="s">
        <v>37</v>
      </c>
      <c r="H6889" s="2" t="s">
        <v>34</v>
      </c>
      <c r="I6889" s="2" t="s">
        <v>19850</v>
      </c>
      <c r="J6889" s="2" t="s">
        <v>159</v>
      </c>
      <c r="K6889" s="2" t="s">
        <v>37</v>
      </c>
      <c r="L6889" s="2" t="s">
        <v>34</v>
      </c>
      <c r="M6889" s="12">
        <v>1061.635</v>
      </c>
      <c r="N6889" s="6">
        <v>25.18</v>
      </c>
      <c r="O6889" s="6">
        <v>24.66</v>
      </c>
      <c r="P6889" s="2" t="s">
        <v>20892</v>
      </c>
      <c r="Q6889" s="6">
        <v>100</v>
      </c>
      <c r="R6889" s="6">
        <v>34.479999999999997</v>
      </c>
      <c r="S6889" s="5">
        <v>6.3</v>
      </c>
      <c r="T6889" s="2"/>
      <c r="U6889" s="5">
        <v>13.6</v>
      </c>
      <c r="V6889" s="6">
        <v>1.59</v>
      </c>
      <c r="W6889" s="6">
        <v>26.01</v>
      </c>
      <c r="X6889" s="5">
        <v>29.5</v>
      </c>
      <c r="Y6889" s="6">
        <v>28.76</v>
      </c>
      <c r="Z6889" s="5">
        <v>32.5</v>
      </c>
      <c r="AA6889" s="6">
        <v>3.22</v>
      </c>
      <c r="AB6889" s="7">
        <v>23.727</v>
      </c>
      <c r="AC6889" s="2"/>
    </row>
    <row r="6890" spans="1:29" ht="208" x14ac:dyDescent="0.15">
      <c r="A6890" s="3">
        <f>DATE(2003,5,15)</f>
        <v>37756</v>
      </c>
      <c r="B6890" s="3">
        <f>DATE(2003,11,7)</f>
        <v>37932</v>
      </c>
      <c r="C6890" s="2" t="s">
        <v>95</v>
      </c>
      <c r="D6890" s="2" t="s">
        <v>20893</v>
      </c>
      <c r="E6890" s="2" t="s">
        <v>17319</v>
      </c>
      <c r="F6890" s="4">
        <v>4899</v>
      </c>
      <c r="G6890" s="2" t="s">
        <v>63</v>
      </c>
      <c r="H6890" s="2" t="s">
        <v>34</v>
      </c>
      <c r="I6890" s="2" t="s">
        <v>248</v>
      </c>
      <c r="J6890" s="2" t="s">
        <v>249</v>
      </c>
      <c r="K6890" s="2" t="s">
        <v>250</v>
      </c>
      <c r="L6890" s="2" t="s">
        <v>34</v>
      </c>
      <c r="M6890" s="12">
        <v>2169.8789999999999</v>
      </c>
      <c r="N6890" s="6">
        <v>37.520000000000003</v>
      </c>
      <c r="O6890" s="6">
        <v>38.15</v>
      </c>
      <c r="P6890" s="2" t="s">
        <v>20894</v>
      </c>
      <c r="Q6890" s="6">
        <v>52.6</v>
      </c>
      <c r="R6890" s="6">
        <v>15.93</v>
      </c>
      <c r="S6890" s="8">
        <v>1726.6</v>
      </c>
      <c r="T6890" s="6">
        <v>11.61</v>
      </c>
      <c r="U6890" s="5">
        <v>11.4</v>
      </c>
      <c r="V6890" s="6">
        <v>24.06</v>
      </c>
      <c r="W6890" s="6">
        <v>10.94</v>
      </c>
      <c r="X6890" s="5">
        <v>10.6</v>
      </c>
      <c r="Y6890" s="6">
        <v>14.43</v>
      </c>
      <c r="Z6890" s="5">
        <v>14.8</v>
      </c>
      <c r="AA6890" s="6">
        <v>50</v>
      </c>
      <c r="AB6890" s="2" t="s">
        <v>86</v>
      </c>
      <c r="AC6890" s="6">
        <v>497.31</v>
      </c>
    </row>
    <row r="6891" spans="1:29" ht="65" x14ac:dyDescent="0.15">
      <c r="A6891" s="3">
        <f>DATE(2003,5,16)</f>
        <v>37757</v>
      </c>
      <c r="B6891" s="3">
        <f>DATE(2003,10,6)</f>
        <v>37900</v>
      </c>
      <c r="C6891" s="2" t="s">
        <v>95</v>
      </c>
      <c r="D6891" s="2" t="s">
        <v>20895</v>
      </c>
      <c r="E6891" s="2" t="s">
        <v>1181</v>
      </c>
      <c r="F6891" s="4">
        <v>6021</v>
      </c>
      <c r="G6891" s="2" t="s">
        <v>37</v>
      </c>
      <c r="H6891" s="2" t="s">
        <v>34</v>
      </c>
      <c r="I6891" s="2" t="s">
        <v>20896</v>
      </c>
      <c r="J6891" s="2" t="s">
        <v>2855</v>
      </c>
      <c r="K6891" s="2" t="s">
        <v>37</v>
      </c>
      <c r="L6891" s="2" t="s">
        <v>34</v>
      </c>
      <c r="M6891" s="2"/>
      <c r="N6891" s="2"/>
      <c r="O6891" s="2"/>
      <c r="P6891" s="2" t="s">
        <v>20897</v>
      </c>
      <c r="Q6891" s="6">
        <v>100</v>
      </c>
      <c r="R6891" s="6">
        <v>20</v>
      </c>
      <c r="S6891" s="2"/>
      <c r="T6891" s="2"/>
      <c r="U6891" s="2"/>
      <c r="V6891" s="2"/>
      <c r="W6891" s="5">
        <v>7.8</v>
      </c>
      <c r="X6891" s="5">
        <v>7.8</v>
      </c>
      <c r="Y6891" s="2"/>
      <c r="Z6891" s="2"/>
      <c r="AA6891" s="6">
        <v>1.04</v>
      </c>
      <c r="AB6891" s="2" t="s">
        <v>47</v>
      </c>
      <c r="AC6891" s="2"/>
    </row>
    <row r="6892" spans="1:29" ht="91" x14ac:dyDescent="0.15">
      <c r="A6892" s="3">
        <f>DATE(2003,5,16)</f>
        <v>37757</v>
      </c>
      <c r="B6892" s="3">
        <f>DATE(2003,8,28)</f>
        <v>37861</v>
      </c>
      <c r="C6892" s="2" t="s">
        <v>95</v>
      </c>
      <c r="D6892" s="2" t="s">
        <v>20898</v>
      </c>
      <c r="E6892" s="2" t="s">
        <v>203</v>
      </c>
      <c r="F6892" s="4">
        <v>6035</v>
      </c>
      <c r="G6892" s="2" t="s">
        <v>33</v>
      </c>
      <c r="H6892" s="2" t="s">
        <v>34</v>
      </c>
      <c r="I6892" s="2" t="s">
        <v>20899</v>
      </c>
      <c r="J6892" s="2" t="s">
        <v>1181</v>
      </c>
      <c r="K6892" s="2" t="s">
        <v>37</v>
      </c>
      <c r="L6892" s="2" t="s">
        <v>34</v>
      </c>
      <c r="M6892" s="2"/>
      <c r="N6892" s="2"/>
      <c r="O6892" s="2"/>
      <c r="P6892" s="2" t="s">
        <v>20900</v>
      </c>
      <c r="Q6892" s="6">
        <v>100</v>
      </c>
      <c r="R6892" s="6">
        <v>23.75</v>
      </c>
      <c r="S6892" s="5">
        <v>16</v>
      </c>
      <c r="T6892" s="2"/>
      <c r="U6892" s="5">
        <v>16.100000000000001</v>
      </c>
      <c r="V6892" s="6">
        <v>1.82</v>
      </c>
      <c r="W6892" s="6">
        <v>19.36</v>
      </c>
      <c r="X6892" s="6">
        <v>19.07</v>
      </c>
      <c r="Y6892" s="5">
        <v>23.5</v>
      </c>
      <c r="Z6892" s="6">
        <v>23.42</v>
      </c>
      <c r="AA6892" s="6">
        <v>8.2799999999999994</v>
      </c>
      <c r="AB6892" s="7">
        <v>26.844999999999999</v>
      </c>
      <c r="AC6892" s="2"/>
    </row>
    <row r="6893" spans="1:29" ht="156" x14ac:dyDescent="0.15">
      <c r="A6893" s="3">
        <f>DATE(2003,5,16)</f>
        <v>37757</v>
      </c>
      <c r="B6893" s="3">
        <f>DATE(2003,11,5)</f>
        <v>37930</v>
      </c>
      <c r="C6893" s="2" t="s">
        <v>95</v>
      </c>
      <c r="D6893" s="2" t="s">
        <v>20901</v>
      </c>
      <c r="E6893" s="2" t="s">
        <v>20902</v>
      </c>
      <c r="F6893" s="4">
        <v>5211</v>
      </c>
      <c r="G6893" s="2" t="s">
        <v>73</v>
      </c>
      <c r="H6893" s="2" t="s">
        <v>34</v>
      </c>
      <c r="I6893" s="2" t="s">
        <v>51</v>
      </c>
      <c r="J6893" s="2" t="s">
        <v>52</v>
      </c>
      <c r="K6893" s="2" t="s">
        <v>53</v>
      </c>
      <c r="L6893" s="2" t="s">
        <v>34</v>
      </c>
      <c r="M6893" s="2"/>
      <c r="N6893" s="2"/>
      <c r="O6893" s="2"/>
      <c r="P6893" s="2" t="s">
        <v>20903</v>
      </c>
      <c r="Q6893" s="6">
        <v>55.51</v>
      </c>
      <c r="R6893" s="6">
        <v>25.75</v>
      </c>
      <c r="S6893" s="5">
        <v>4.4000000000000004</v>
      </c>
      <c r="T6893" s="7">
        <v>-14.503</v>
      </c>
      <c r="U6893" s="5">
        <v>31.9</v>
      </c>
      <c r="V6893" s="6">
        <v>1.91</v>
      </c>
      <c r="W6893" s="4">
        <v>20</v>
      </c>
      <c r="X6893" s="5">
        <v>19.7</v>
      </c>
      <c r="Y6893" s="4">
        <v>23</v>
      </c>
      <c r="Z6893" s="4">
        <v>23</v>
      </c>
      <c r="AA6893" s="6">
        <v>2.04</v>
      </c>
      <c r="AB6893" s="2" t="s">
        <v>86</v>
      </c>
      <c r="AC6893" s="2"/>
    </row>
    <row r="6894" spans="1:29" ht="143" x14ac:dyDescent="0.15">
      <c r="A6894" s="3">
        <f>DATE(2003,5,19)</f>
        <v>37760</v>
      </c>
      <c r="B6894" s="3">
        <f>DATE(2003,11,3)</f>
        <v>37928</v>
      </c>
      <c r="C6894" s="2" t="s">
        <v>95</v>
      </c>
      <c r="D6894" s="2" t="s">
        <v>20164</v>
      </c>
      <c r="E6894" s="2" t="s">
        <v>36</v>
      </c>
      <c r="F6894" s="4">
        <v>6035</v>
      </c>
      <c r="G6894" s="2" t="s">
        <v>33</v>
      </c>
      <c r="H6894" s="2" t="s">
        <v>34</v>
      </c>
      <c r="I6894" s="2" t="s">
        <v>12303</v>
      </c>
      <c r="J6894" s="2" t="s">
        <v>36</v>
      </c>
      <c r="K6894" s="2" t="s">
        <v>37</v>
      </c>
      <c r="L6894" s="2" t="s">
        <v>34</v>
      </c>
      <c r="M6894" s="10">
        <v>78646.42</v>
      </c>
      <c r="N6894" s="6">
        <v>47.56</v>
      </c>
      <c r="O6894" s="6">
        <v>47.38</v>
      </c>
      <c r="P6894" s="2" t="s">
        <v>20904</v>
      </c>
      <c r="Q6894" s="6">
        <v>100</v>
      </c>
      <c r="R6894" s="6">
        <v>33.700000000000003</v>
      </c>
      <c r="S6894" s="5">
        <v>32.4</v>
      </c>
      <c r="T6894" s="2"/>
      <c r="U6894" s="5">
        <v>15.8</v>
      </c>
      <c r="V6894" s="6">
        <v>1.81</v>
      </c>
      <c r="W6894" s="6">
        <v>29.81</v>
      </c>
      <c r="X6894" s="6">
        <v>29.18</v>
      </c>
      <c r="Y6894" s="6">
        <v>28.44</v>
      </c>
      <c r="Z6894" s="6">
        <v>34.79</v>
      </c>
      <c r="AA6894" s="6">
        <v>16.89</v>
      </c>
      <c r="AB6894" s="7">
        <v>27.116</v>
      </c>
      <c r="AC6894" s="2"/>
    </row>
    <row r="6895" spans="1:29" ht="117" x14ac:dyDescent="0.15">
      <c r="A6895" s="3">
        <f>DATE(2003,5,19)</f>
        <v>37760</v>
      </c>
      <c r="B6895" s="2"/>
      <c r="C6895" s="2" t="s">
        <v>30</v>
      </c>
      <c r="D6895" s="2" t="s">
        <v>356</v>
      </c>
      <c r="E6895" s="2" t="s">
        <v>357</v>
      </c>
      <c r="F6895" s="4">
        <v>2844</v>
      </c>
      <c r="G6895" s="2" t="s">
        <v>358</v>
      </c>
      <c r="H6895" s="2" t="s">
        <v>34</v>
      </c>
      <c r="I6895" s="2" t="s">
        <v>51</v>
      </c>
      <c r="J6895" s="2" t="s">
        <v>52</v>
      </c>
      <c r="K6895" s="2" t="s">
        <v>53</v>
      </c>
      <c r="L6895" s="2" t="s">
        <v>34</v>
      </c>
      <c r="M6895" s="2"/>
      <c r="N6895" s="2"/>
      <c r="O6895" s="2"/>
      <c r="P6895" s="2" t="s">
        <v>20905</v>
      </c>
      <c r="Q6895" s="2"/>
      <c r="R6895" s="6">
        <v>4</v>
      </c>
      <c r="S6895" s="5">
        <v>5.5</v>
      </c>
      <c r="T6895" s="7">
        <v>7.202</v>
      </c>
      <c r="U6895" s="5">
        <v>2.9</v>
      </c>
      <c r="V6895" s="6">
        <v>0.27</v>
      </c>
      <c r="W6895" s="6">
        <v>2.56</v>
      </c>
      <c r="X6895" s="5">
        <v>2.5</v>
      </c>
      <c r="Y6895" s="5">
        <v>2.5</v>
      </c>
      <c r="Z6895" s="5">
        <v>3.7</v>
      </c>
      <c r="AA6895" s="6">
        <v>10.029999999999999</v>
      </c>
      <c r="AB6895" s="7">
        <v>13.015000000000001</v>
      </c>
      <c r="AC6895" s="2"/>
    </row>
    <row r="6896" spans="1:29" ht="78" x14ac:dyDescent="0.15">
      <c r="A6896" s="3">
        <f>DATE(2003,5,20)</f>
        <v>37761</v>
      </c>
      <c r="B6896" s="2"/>
      <c r="C6896" s="2" t="s">
        <v>7330</v>
      </c>
      <c r="D6896" s="2" t="s">
        <v>20906</v>
      </c>
      <c r="E6896" s="2" t="s">
        <v>3941</v>
      </c>
      <c r="F6896" s="4">
        <v>6798</v>
      </c>
      <c r="G6896" s="2" t="s">
        <v>53</v>
      </c>
      <c r="H6896" s="2" t="s">
        <v>34</v>
      </c>
      <c r="I6896" s="2" t="s">
        <v>20907</v>
      </c>
      <c r="J6896" s="2" t="s">
        <v>1248</v>
      </c>
      <c r="K6896" s="2" t="s">
        <v>166</v>
      </c>
      <c r="L6896" s="2" t="s">
        <v>902</v>
      </c>
      <c r="M6896" s="2"/>
      <c r="N6896" s="7">
        <v>8.2000000000000003E-2</v>
      </c>
      <c r="O6896" s="7">
        <v>8.1000000000000003E-2</v>
      </c>
      <c r="P6896" s="2" t="s">
        <v>20908</v>
      </c>
      <c r="Q6896" s="2"/>
      <c r="R6896" s="6">
        <v>31</v>
      </c>
      <c r="S6896" s="5">
        <v>0.3</v>
      </c>
      <c r="T6896" s="2"/>
      <c r="U6896" s="2"/>
      <c r="V6896" s="6">
        <v>0.2</v>
      </c>
      <c r="W6896" s="4">
        <v>19</v>
      </c>
      <c r="X6896" s="4">
        <v>19</v>
      </c>
      <c r="Y6896" s="4">
        <v>20</v>
      </c>
      <c r="Z6896" s="4">
        <v>18</v>
      </c>
      <c r="AA6896" s="6">
        <v>1.01</v>
      </c>
      <c r="AB6896" s="2" t="s">
        <v>47</v>
      </c>
      <c r="AC6896" s="2"/>
    </row>
    <row r="6897" spans="1:29" ht="117" x14ac:dyDescent="0.15">
      <c r="A6897" s="3">
        <f>DATE(2003,5,20)</f>
        <v>37761</v>
      </c>
      <c r="B6897" s="2"/>
      <c r="C6897" s="2" t="s">
        <v>30</v>
      </c>
      <c r="D6897" s="2" t="s">
        <v>20072</v>
      </c>
      <c r="E6897" s="2" t="s">
        <v>20073</v>
      </c>
      <c r="F6897" s="4">
        <v>5963</v>
      </c>
      <c r="G6897" s="2" t="s">
        <v>73</v>
      </c>
      <c r="H6897" s="2" t="s">
        <v>34</v>
      </c>
      <c r="I6897" s="2" t="s">
        <v>51</v>
      </c>
      <c r="J6897" s="2" t="s">
        <v>52</v>
      </c>
      <c r="K6897" s="2" t="s">
        <v>53</v>
      </c>
      <c r="L6897" s="2" t="s">
        <v>34</v>
      </c>
      <c r="M6897" s="2"/>
      <c r="N6897" s="2"/>
      <c r="O6897" s="2"/>
      <c r="P6897" s="2" t="s">
        <v>20909</v>
      </c>
      <c r="Q6897" s="2"/>
      <c r="R6897" s="6">
        <v>1</v>
      </c>
      <c r="S6897" s="5">
        <v>-1.2</v>
      </c>
      <c r="T6897" s="7">
        <v>3.4279999999999999</v>
      </c>
      <c r="U6897" s="5">
        <v>2.2000000000000002</v>
      </c>
      <c r="V6897" s="6">
        <v>-0.09</v>
      </c>
      <c r="W6897" s="5">
        <v>1.1000000000000001</v>
      </c>
      <c r="X6897" s="6">
        <v>1.1499999999999999</v>
      </c>
      <c r="Y6897" s="4">
        <v>1</v>
      </c>
      <c r="Z6897" s="6">
        <v>0.99</v>
      </c>
      <c r="AA6897" s="6">
        <v>13.64</v>
      </c>
      <c r="AB6897" s="7">
        <v>178.387</v>
      </c>
      <c r="AC6897" s="2"/>
    </row>
    <row r="6898" spans="1:29" ht="156" x14ac:dyDescent="0.15">
      <c r="A6898" s="3">
        <f>DATE(2003,5,21)</f>
        <v>37762</v>
      </c>
      <c r="B6898" s="2"/>
      <c r="C6898" s="2" t="s">
        <v>30</v>
      </c>
      <c r="D6898" s="2" t="s">
        <v>20910</v>
      </c>
      <c r="E6898" s="2" t="s">
        <v>5427</v>
      </c>
      <c r="F6898" s="4">
        <v>5311</v>
      </c>
      <c r="G6898" s="2" t="s">
        <v>756</v>
      </c>
      <c r="H6898" s="2" t="s">
        <v>34</v>
      </c>
      <c r="I6898" s="2" t="s">
        <v>20911</v>
      </c>
      <c r="J6898" s="2" t="s">
        <v>9299</v>
      </c>
      <c r="K6898" s="2" t="s">
        <v>53</v>
      </c>
      <c r="L6898" s="2" t="s">
        <v>34</v>
      </c>
      <c r="M6898" s="2"/>
      <c r="N6898" s="2"/>
      <c r="O6898" s="2"/>
      <c r="P6898" s="2" t="s">
        <v>20912</v>
      </c>
      <c r="Q6898" s="2"/>
      <c r="R6898" s="6">
        <v>5.5</v>
      </c>
      <c r="S6898" s="5">
        <v>2</v>
      </c>
      <c r="T6898" s="7">
        <v>40.466000000000001</v>
      </c>
      <c r="U6898" s="5">
        <v>17.7</v>
      </c>
      <c r="V6898" s="6">
        <v>0.17</v>
      </c>
      <c r="W6898" s="6">
        <v>3.34</v>
      </c>
      <c r="X6898" s="5">
        <v>4.7</v>
      </c>
      <c r="Y6898" s="6">
        <v>4.71</v>
      </c>
      <c r="Z6898" s="6">
        <v>4.99</v>
      </c>
      <c r="AA6898" s="6">
        <v>11.58</v>
      </c>
      <c r="AB6898" s="7">
        <v>8.6</v>
      </c>
      <c r="AC6898" s="2"/>
    </row>
    <row r="6899" spans="1:29" ht="117" x14ac:dyDescent="0.15">
      <c r="A6899" s="3">
        <f>DATE(2003,5,21)</f>
        <v>37762</v>
      </c>
      <c r="B6899" s="3">
        <f>DATE(2003,12,1)</f>
        <v>37956</v>
      </c>
      <c r="C6899" s="2" t="s">
        <v>95</v>
      </c>
      <c r="D6899" s="2" t="s">
        <v>12447</v>
      </c>
      <c r="E6899" s="2" t="s">
        <v>36</v>
      </c>
      <c r="F6899" s="4">
        <v>6035</v>
      </c>
      <c r="G6899" s="2" t="s">
        <v>33</v>
      </c>
      <c r="H6899" s="2" t="s">
        <v>34</v>
      </c>
      <c r="I6899" s="2" t="s">
        <v>7189</v>
      </c>
      <c r="J6899" s="2" t="s">
        <v>7190</v>
      </c>
      <c r="K6899" s="2" t="s">
        <v>37</v>
      </c>
      <c r="L6899" s="2" t="s">
        <v>34</v>
      </c>
      <c r="M6899" s="7">
        <v>806.74699999999996</v>
      </c>
      <c r="N6899" s="5">
        <v>35.1</v>
      </c>
      <c r="O6899" s="6">
        <v>35.92</v>
      </c>
      <c r="P6899" s="2" t="s">
        <v>20913</v>
      </c>
      <c r="Q6899" s="6">
        <v>100</v>
      </c>
      <c r="R6899" s="6">
        <v>26.57</v>
      </c>
      <c r="S6899" s="5">
        <v>23.3</v>
      </c>
      <c r="T6899" s="2"/>
      <c r="U6899" s="5">
        <v>19.899999999999999</v>
      </c>
      <c r="V6899" s="6">
        <v>2.38</v>
      </c>
      <c r="W6899" s="6">
        <v>24.81</v>
      </c>
      <c r="X6899" s="5">
        <v>24.8</v>
      </c>
      <c r="Y6899" s="6">
        <v>27.51</v>
      </c>
      <c r="Z6899" s="6">
        <v>27.93</v>
      </c>
      <c r="AA6899" s="6">
        <v>9.4</v>
      </c>
      <c r="AB6899" s="7">
        <v>28.847999999999999</v>
      </c>
      <c r="AC6899" s="2"/>
    </row>
    <row r="6900" spans="1:29" ht="143" x14ac:dyDescent="0.15">
      <c r="A6900" s="3">
        <f>DATE(2003,5,23)</f>
        <v>37764</v>
      </c>
      <c r="B6900" s="3">
        <f>DATE(2003,9,30)</f>
        <v>37894</v>
      </c>
      <c r="C6900" s="2" t="s">
        <v>95</v>
      </c>
      <c r="D6900" s="2" t="s">
        <v>19960</v>
      </c>
      <c r="E6900" s="2" t="s">
        <v>19961</v>
      </c>
      <c r="F6900" s="4">
        <v>7375</v>
      </c>
      <c r="G6900" s="2" t="s">
        <v>223</v>
      </c>
      <c r="H6900" s="2" t="s">
        <v>34</v>
      </c>
      <c r="I6900" s="2" t="s">
        <v>7551</v>
      </c>
      <c r="J6900" s="2" t="s">
        <v>7552</v>
      </c>
      <c r="K6900" s="2" t="s">
        <v>125</v>
      </c>
      <c r="L6900" s="2" t="s">
        <v>34</v>
      </c>
      <c r="M6900" s="10">
        <v>4703.16</v>
      </c>
      <c r="N6900" s="6">
        <v>38.36</v>
      </c>
      <c r="O6900" s="6">
        <v>38.36</v>
      </c>
      <c r="P6900" s="2" t="s">
        <v>20914</v>
      </c>
      <c r="Q6900" s="6">
        <v>42.75</v>
      </c>
      <c r="R6900" s="6">
        <v>23.6</v>
      </c>
      <c r="S6900" s="5">
        <v>38</v>
      </c>
      <c r="T6900" s="6">
        <v>103.88</v>
      </c>
      <c r="U6900" s="5">
        <v>10.3</v>
      </c>
      <c r="V6900" s="6">
        <v>0.92</v>
      </c>
      <c r="W6900" s="6">
        <v>18.91</v>
      </c>
      <c r="X6900" s="6">
        <v>19.02</v>
      </c>
      <c r="Y6900" s="5">
        <v>19.7</v>
      </c>
      <c r="Z6900" s="5">
        <v>19.7</v>
      </c>
      <c r="AA6900" s="6">
        <v>39.75</v>
      </c>
      <c r="AB6900" s="7">
        <v>13.201000000000001</v>
      </c>
      <c r="AC6900" s="6">
        <v>433.38</v>
      </c>
    </row>
    <row r="6901" spans="1:29" ht="78" x14ac:dyDescent="0.15">
      <c r="A6901" s="3">
        <f>DATE(2003,5,23)</f>
        <v>37764</v>
      </c>
      <c r="B6901" s="2"/>
      <c r="C6901" s="2" t="s">
        <v>7330</v>
      </c>
      <c r="D6901" s="2" t="s">
        <v>20915</v>
      </c>
      <c r="E6901" s="2" t="s">
        <v>20916</v>
      </c>
      <c r="F6901" s="4">
        <v>6035</v>
      </c>
      <c r="G6901" s="2" t="s">
        <v>33</v>
      </c>
      <c r="H6901" s="2" t="s">
        <v>34</v>
      </c>
      <c r="I6901" s="2" t="s">
        <v>20917</v>
      </c>
      <c r="J6901" s="2" t="s">
        <v>124</v>
      </c>
      <c r="K6901" s="2" t="s">
        <v>125</v>
      </c>
      <c r="L6901" s="2" t="s">
        <v>34</v>
      </c>
      <c r="M6901" s="2"/>
      <c r="N6901" s="2"/>
      <c r="O6901" s="2"/>
      <c r="P6901" s="2" t="s">
        <v>20918</v>
      </c>
      <c r="Q6901" s="2"/>
      <c r="R6901" s="6">
        <v>18</v>
      </c>
      <c r="S6901" s="5">
        <v>0.5</v>
      </c>
      <c r="T6901" s="2"/>
      <c r="U6901" s="5">
        <v>15.5</v>
      </c>
      <c r="V6901" s="6">
        <v>0.75</v>
      </c>
      <c r="W6901" s="6">
        <v>11.65</v>
      </c>
      <c r="X6901" s="6">
        <v>11.65</v>
      </c>
      <c r="Y6901" s="6">
        <v>11.65</v>
      </c>
      <c r="Z6901" s="6">
        <v>11.65</v>
      </c>
      <c r="AA6901" s="6">
        <v>0.65</v>
      </c>
      <c r="AB6901" s="2" t="s">
        <v>47</v>
      </c>
      <c r="AC6901" s="2"/>
    </row>
    <row r="6902" spans="1:29" ht="195" x14ac:dyDescent="0.15">
      <c r="A6902" s="3">
        <f>DATE(2003,5,27)</f>
        <v>37768</v>
      </c>
      <c r="B6902" s="3">
        <f>DATE(2004,2,12)</f>
        <v>38029</v>
      </c>
      <c r="C6902" s="2" t="s">
        <v>95</v>
      </c>
      <c r="D6902" s="2" t="s">
        <v>20919</v>
      </c>
      <c r="E6902" s="2" t="s">
        <v>20920</v>
      </c>
      <c r="F6902" s="4">
        <v>1381</v>
      </c>
      <c r="G6902" s="2" t="s">
        <v>148</v>
      </c>
      <c r="H6902" s="2" t="s">
        <v>34</v>
      </c>
      <c r="I6902" s="2" t="s">
        <v>20921</v>
      </c>
      <c r="J6902" s="2" t="s">
        <v>7778</v>
      </c>
      <c r="K6902" s="2" t="s">
        <v>148</v>
      </c>
      <c r="L6902" s="2" t="s">
        <v>34</v>
      </c>
      <c r="M6902" s="10">
        <v>2605.86</v>
      </c>
      <c r="N6902" s="6">
        <v>36.46</v>
      </c>
      <c r="O6902" s="5">
        <v>35.700000000000003</v>
      </c>
      <c r="P6902" s="2" t="s">
        <v>20922</v>
      </c>
      <c r="Q6902" s="6">
        <v>80.88</v>
      </c>
      <c r="R6902" s="6">
        <v>20.190000000000001</v>
      </c>
      <c r="S6902" s="5">
        <v>10.1</v>
      </c>
      <c r="T6902" s="6">
        <v>9.58</v>
      </c>
      <c r="U6902" s="5">
        <v>8.5</v>
      </c>
      <c r="V6902" s="6">
        <v>1.78</v>
      </c>
      <c r="W6902" s="6">
        <v>19.18</v>
      </c>
      <c r="X6902" s="5">
        <v>19.399999999999999</v>
      </c>
      <c r="Y6902" s="6">
        <v>20.22</v>
      </c>
      <c r="Z6902" s="6">
        <v>20.03</v>
      </c>
      <c r="AA6902" s="6">
        <v>5.45</v>
      </c>
      <c r="AB6902" s="7">
        <v>41.820999999999998</v>
      </c>
      <c r="AC6902" s="5">
        <v>70.8</v>
      </c>
    </row>
    <row r="6903" spans="1:29" ht="104" x14ac:dyDescent="0.15">
      <c r="A6903" s="3">
        <f>DATE(2003,5,28)</f>
        <v>37769</v>
      </c>
      <c r="B6903" s="3">
        <f>DATE(2003,12,30)</f>
        <v>37985</v>
      </c>
      <c r="C6903" s="2" t="s">
        <v>95</v>
      </c>
      <c r="D6903" s="2" t="s">
        <v>20923</v>
      </c>
      <c r="E6903" s="2" t="s">
        <v>36</v>
      </c>
      <c r="F6903" s="4">
        <v>6022</v>
      </c>
      <c r="G6903" s="2" t="s">
        <v>37</v>
      </c>
      <c r="H6903" s="2" t="s">
        <v>34</v>
      </c>
      <c r="I6903" s="2" t="s">
        <v>20924</v>
      </c>
      <c r="J6903" s="2" t="s">
        <v>36</v>
      </c>
      <c r="K6903" s="2" t="s">
        <v>37</v>
      </c>
      <c r="L6903" s="2" t="s">
        <v>34</v>
      </c>
      <c r="M6903" s="6">
        <v>138.97999999999999</v>
      </c>
      <c r="N6903" s="6">
        <v>14.79</v>
      </c>
      <c r="O6903" s="6">
        <v>15.35</v>
      </c>
      <c r="P6903" s="2" t="s">
        <v>20925</v>
      </c>
      <c r="Q6903" s="6">
        <v>100</v>
      </c>
      <c r="R6903" s="6">
        <v>25.5</v>
      </c>
      <c r="S6903" s="5">
        <v>3</v>
      </c>
      <c r="T6903" s="2"/>
      <c r="U6903" s="5">
        <v>11</v>
      </c>
      <c r="V6903" s="6">
        <v>1.0900000000000001</v>
      </c>
      <c r="W6903" s="6">
        <v>16.02</v>
      </c>
      <c r="X6903" s="5">
        <v>15.5</v>
      </c>
      <c r="Y6903" s="5">
        <v>15.5</v>
      </c>
      <c r="Z6903" s="4">
        <v>25</v>
      </c>
      <c r="AA6903" s="6">
        <v>2.64</v>
      </c>
      <c r="AB6903" s="7">
        <v>21.707999999999998</v>
      </c>
      <c r="AC6903" s="2"/>
    </row>
    <row r="6904" spans="1:29" ht="130" x14ac:dyDescent="0.15">
      <c r="A6904" s="3">
        <f>DATE(2003,5,28)</f>
        <v>37769</v>
      </c>
      <c r="B6904" s="3">
        <f>DATE(2003,8,19)</f>
        <v>37852</v>
      </c>
      <c r="C6904" s="2" t="s">
        <v>95</v>
      </c>
      <c r="D6904" s="2" t="s">
        <v>20926</v>
      </c>
      <c r="E6904" s="2" t="s">
        <v>13394</v>
      </c>
      <c r="F6904" s="4">
        <v>1311</v>
      </c>
      <c r="G6904" s="2" t="s">
        <v>148</v>
      </c>
      <c r="H6904" s="2" t="s">
        <v>34</v>
      </c>
      <c r="I6904" s="2" t="s">
        <v>20927</v>
      </c>
      <c r="J6904" s="2" t="s">
        <v>150</v>
      </c>
      <c r="K6904" s="2" t="s">
        <v>53</v>
      </c>
      <c r="L6904" s="2" t="s">
        <v>34</v>
      </c>
      <c r="M6904" s="2"/>
      <c r="N6904" s="2"/>
      <c r="O6904" s="2"/>
      <c r="P6904" s="2" t="s">
        <v>20928</v>
      </c>
      <c r="Q6904" s="6">
        <v>86.34</v>
      </c>
      <c r="R6904" s="6">
        <v>6.25</v>
      </c>
      <c r="S6904" s="5">
        <v>-10.1</v>
      </c>
      <c r="T6904" s="7">
        <v>5.6260000000000003</v>
      </c>
      <c r="U6904" s="5">
        <v>4.8</v>
      </c>
      <c r="V6904" s="6">
        <v>-2.1</v>
      </c>
      <c r="W6904" s="6">
        <v>4.1500000000000004</v>
      </c>
      <c r="X6904" s="6">
        <v>4.05</v>
      </c>
      <c r="Y6904" s="6">
        <v>5.85</v>
      </c>
      <c r="Z6904" s="6">
        <v>5.88</v>
      </c>
      <c r="AA6904" s="6">
        <v>4.95</v>
      </c>
      <c r="AB6904" s="7">
        <v>36.073</v>
      </c>
      <c r="AC6904" s="2"/>
    </row>
    <row r="6905" spans="1:29" ht="143" x14ac:dyDescent="0.15">
      <c r="A6905" s="3">
        <f>DATE(2003,5,28)</f>
        <v>37769</v>
      </c>
      <c r="B6905" s="3">
        <f>DATE(2004,1,1)</f>
        <v>37987</v>
      </c>
      <c r="C6905" s="2" t="s">
        <v>95</v>
      </c>
      <c r="D6905" s="2" t="s">
        <v>20929</v>
      </c>
      <c r="E6905" s="2" t="s">
        <v>36</v>
      </c>
      <c r="F6905" s="4">
        <v>6021</v>
      </c>
      <c r="G6905" s="2" t="s">
        <v>37</v>
      </c>
      <c r="H6905" s="2" t="s">
        <v>34</v>
      </c>
      <c r="I6905" s="2" t="s">
        <v>19663</v>
      </c>
      <c r="J6905" s="2" t="s">
        <v>1181</v>
      </c>
      <c r="K6905" s="2" t="s">
        <v>37</v>
      </c>
      <c r="L6905" s="2" t="s">
        <v>34</v>
      </c>
      <c r="M6905" s="7">
        <v>120.172</v>
      </c>
      <c r="N6905" s="6">
        <v>17.93</v>
      </c>
      <c r="O6905" s="6">
        <v>17.52</v>
      </c>
      <c r="P6905" s="2" t="s">
        <v>20930</v>
      </c>
      <c r="Q6905" s="6">
        <v>100</v>
      </c>
      <c r="R6905" s="6">
        <v>24.02</v>
      </c>
      <c r="S6905" s="5">
        <v>1.2</v>
      </c>
      <c r="T6905" s="7">
        <v>2.327</v>
      </c>
      <c r="U6905" s="5">
        <v>11.4</v>
      </c>
      <c r="V6905" s="6">
        <v>0.8</v>
      </c>
      <c r="W6905" s="5">
        <v>11.8</v>
      </c>
      <c r="X6905" s="5">
        <v>11.8</v>
      </c>
      <c r="Y6905" s="4">
        <v>22</v>
      </c>
      <c r="Z6905" s="5">
        <v>22.5</v>
      </c>
      <c r="AA6905" s="6">
        <v>1.42</v>
      </c>
      <c r="AB6905" s="7">
        <v>102.67400000000001</v>
      </c>
      <c r="AC6905" s="2"/>
    </row>
    <row r="6906" spans="1:29" ht="91" x14ac:dyDescent="0.15">
      <c r="A6906" s="3">
        <f>DATE(2003,5,28)</f>
        <v>37769</v>
      </c>
      <c r="B6906" s="2"/>
      <c r="C6906" s="2" t="s">
        <v>30</v>
      </c>
      <c r="D6906" s="2" t="s">
        <v>20866</v>
      </c>
      <c r="E6906" s="2" t="s">
        <v>20867</v>
      </c>
      <c r="F6906" s="4">
        <v>3519</v>
      </c>
      <c r="G6906" s="2" t="s">
        <v>300</v>
      </c>
      <c r="H6906" s="2" t="s">
        <v>34</v>
      </c>
      <c r="I6906" s="2" t="s">
        <v>20931</v>
      </c>
      <c r="J6906" s="2" t="s">
        <v>20867</v>
      </c>
      <c r="K6906" s="2" t="s">
        <v>300</v>
      </c>
      <c r="L6906" s="2" t="s">
        <v>34</v>
      </c>
      <c r="M6906" s="2"/>
      <c r="N6906" s="2"/>
      <c r="O6906" s="2"/>
      <c r="P6906" s="2" t="s">
        <v>20932</v>
      </c>
      <c r="Q6906" s="2"/>
      <c r="R6906" s="6">
        <v>3.45</v>
      </c>
      <c r="S6906" s="5">
        <v>2.2999999999999998</v>
      </c>
      <c r="T6906" s="7">
        <v>-0.34200000000000003</v>
      </c>
      <c r="U6906" s="5">
        <v>7.1</v>
      </c>
      <c r="V6906" s="6">
        <v>1.18</v>
      </c>
      <c r="W6906" s="6">
        <v>2.94</v>
      </c>
      <c r="X6906" s="6">
        <v>2.94</v>
      </c>
      <c r="Y6906" s="6">
        <v>2.94</v>
      </c>
      <c r="Z6906" s="6">
        <v>3.01</v>
      </c>
      <c r="AA6906" s="6">
        <v>1.95</v>
      </c>
      <c r="AB6906" s="2" t="s">
        <v>86</v>
      </c>
      <c r="AC6906" s="2"/>
    </row>
    <row r="6907" spans="1:29" ht="143" x14ac:dyDescent="0.15">
      <c r="A6907" s="3">
        <f>DATE(2003,5,29)</f>
        <v>37770</v>
      </c>
      <c r="B6907" s="3">
        <f>DATE(2003,10,16)</f>
        <v>37910</v>
      </c>
      <c r="C6907" s="2" t="s">
        <v>95</v>
      </c>
      <c r="D6907" s="2" t="s">
        <v>8255</v>
      </c>
      <c r="E6907" s="2" t="s">
        <v>92</v>
      </c>
      <c r="F6907" s="4">
        <v>6798</v>
      </c>
      <c r="G6907" s="2" t="s">
        <v>53</v>
      </c>
      <c r="H6907" s="2" t="s">
        <v>34</v>
      </c>
      <c r="I6907" s="2" t="s">
        <v>20933</v>
      </c>
      <c r="J6907" s="2" t="s">
        <v>20934</v>
      </c>
      <c r="K6907" s="2" t="s">
        <v>109</v>
      </c>
      <c r="L6907" s="2" t="s">
        <v>34</v>
      </c>
      <c r="M6907" s="2"/>
      <c r="N6907" s="2"/>
      <c r="O6907" s="2"/>
      <c r="P6907" s="2" t="s">
        <v>20935</v>
      </c>
      <c r="Q6907" s="6">
        <v>100</v>
      </c>
      <c r="R6907" s="6">
        <v>29.25</v>
      </c>
      <c r="S6907" s="5">
        <v>9.1999999999999993</v>
      </c>
      <c r="T6907" s="7">
        <v>88.225999999999999</v>
      </c>
      <c r="U6907" s="5">
        <v>10.6</v>
      </c>
      <c r="V6907" s="6">
        <v>0.31</v>
      </c>
      <c r="W6907" s="6">
        <v>25.06</v>
      </c>
      <c r="X6907" s="6">
        <v>25.16</v>
      </c>
      <c r="Y6907" s="6">
        <v>29.68</v>
      </c>
      <c r="Z6907" s="6">
        <v>29.98</v>
      </c>
      <c r="AA6907" s="6">
        <v>29.41</v>
      </c>
      <c r="AB6907" s="7">
        <v>112.90900000000001</v>
      </c>
      <c r="AC6907" s="2"/>
    </row>
    <row r="6908" spans="1:29" ht="169" x14ac:dyDescent="0.15">
      <c r="A6908" s="3">
        <f>DATE(2003,5,29)</f>
        <v>37770</v>
      </c>
      <c r="B6908" s="3">
        <f>DATE(2003,12,4)</f>
        <v>37959</v>
      </c>
      <c r="C6908" s="2" t="s">
        <v>95</v>
      </c>
      <c r="D6908" s="2" t="s">
        <v>20936</v>
      </c>
      <c r="E6908" s="2" t="s">
        <v>10569</v>
      </c>
      <c r="F6908" s="4">
        <v>1311</v>
      </c>
      <c r="G6908" s="2" t="s">
        <v>148</v>
      </c>
      <c r="H6908" s="2" t="s">
        <v>34</v>
      </c>
      <c r="I6908" s="2" t="s">
        <v>20937</v>
      </c>
      <c r="J6908" s="2" t="s">
        <v>18348</v>
      </c>
      <c r="K6908" s="2" t="s">
        <v>148</v>
      </c>
      <c r="L6908" s="2" t="s">
        <v>34</v>
      </c>
      <c r="M6908" s="7">
        <v>41.695999999999998</v>
      </c>
      <c r="N6908" s="6">
        <v>5.08</v>
      </c>
      <c r="O6908" s="5">
        <v>5.8</v>
      </c>
      <c r="P6908" s="2" t="s">
        <v>20938</v>
      </c>
      <c r="Q6908" s="6">
        <v>100</v>
      </c>
      <c r="R6908" s="6">
        <v>9.6999999999999993</v>
      </c>
      <c r="S6908" s="5">
        <v>0.6</v>
      </c>
      <c r="T6908" s="7">
        <v>7.4089999999999998</v>
      </c>
      <c r="U6908" s="5">
        <v>8.4</v>
      </c>
      <c r="V6908" s="6">
        <v>0.35</v>
      </c>
      <c r="W6908" s="5">
        <v>4.5</v>
      </c>
      <c r="X6908" s="5">
        <v>4.3</v>
      </c>
      <c r="Y6908" s="6">
        <v>5.82</v>
      </c>
      <c r="Z6908" s="6">
        <v>6.65</v>
      </c>
      <c r="AA6908" s="6">
        <v>2.13</v>
      </c>
      <c r="AB6908" s="7">
        <v>10.981</v>
      </c>
      <c r="AC6908" s="6">
        <v>0.59</v>
      </c>
    </row>
    <row r="6909" spans="1:29" ht="156" x14ac:dyDescent="0.15">
      <c r="A6909" s="3">
        <f>DATE(2003,5,30)</f>
        <v>37771</v>
      </c>
      <c r="B6909" s="3">
        <f>DATE(2003,12,1)</f>
        <v>37956</v>
      </c>
      <c r="C6909" s="2" t="s">
        <v>95</v>
      </c>
      <c r="D6909" s="2" t="s">
        <v>20939</v>
      </c>
      <c r="E6909" s="2" t="s">
        <v>20940</v>
      </c>
      <c r="F6909" s="4">
        <v>7371</v>
      </c>
      <c r="G6909" s="2" t="s">
        <v>223</v>
      </c>
      <c r="H6909" s="2" t="s">
        <v>34</v>
      </c>
      <c r="I6909" s="2" t="s">
        <v>20941</v>
      </c>
      <c r="J6909" s="2" t="s">
        <v>9299</v>
      </c>
      <c r="K6909" s="2" t="s">
        <v>53</v>
      </c>
      <c r="L6909" s="2" t="s">
        <v>34</v>
      </c>
      <c r="M6909" s="2"/>
      <c r="N6909" s="2"/>
      <c r="O6909" s="2"/>
      <c r="P6909" s="2" t="s">
        <v>20942</v>
      </c>
      <c r="Q6909" s="6">
        <v>71.599999999999994</v>
      </c>
      <c r="R6909" s="6">
        <v>3.23</v>
      </c>
      <c r="S6909" s="5">
        <v>-20.6</v>
      </c>
      <c r="T6909" s="2"/>
      <c r="U6909" s="5">
        <v>4.5</v>
      </c>
      <c r="V6909" s="6">
        <v>-0.71</v>
      </c>
      <c r="W6909" s="5">
        <v>3.2</v>
      </c>
      <c r="X6909" s="5">
        <v>3.2</v>
      </c>
      <c r="Y6909" s="6">
        <v>3.22</v>
      </c>
      <c r="Z6909" s="6">
        <v>3.24</v>
      </c>
      <c r="AA6909" s="6">
        <v>28.46</v>
      </c>
      <c r="AB6909" s="2" t="s">
        <v>86</v>
      </c>
      <c r="AC6909" s="2"/>
    </row>
    <row r="6910" spans="1:29" ht="65" x14ac:dyDescent="0.15">
      <c r="A6910" s="3">
        <f>DATE(2003,5,30)</f>
        <v>37771</v>
      </c>
      <c r="B6910" s="2"/>
      <c r="C6910" s="2" t="s">
        <v>7330</v>
      </c>
      <c r="D6910" s="2" t="s">
        <v>20943</v>
      </c>
      <c r="E6910" s="2" t="s">
        <v>20944</v>
      </c>
      <c r="F6910" s="4">
        <v>5961</v>
      </c>
      <c r="G6910" s="2" t="s">
        <v>73</v>
      </c>
      <c r="H6910" s="2" t="s">
        <v>34</v>
      </c>
      <c r="I6910" s="2" t="s">
        <v>20945</v>
      </c>
      <c r="J6910" s="2" t="s">
        <v>5600</v>
      </c>
      <c r="K6910" s="2" t="s">
        <v>358</v>
      </c>
      <c r="L6910" s="2" t="s">
        <v>34</v>
      </c>
      <c r="M6910" s="7">
        <v>0.68799999999999994</v>
      </c>
      <c r="N6910" s="6">
        <v>7.0000000000000007E-2</v>
      </c>
      <c r="O6910" s="6">
        <v>0.06</v>
      </c>
      <c r="P6910" s="2" t="s">
        <v>20946</v>
      </c>
      <c r="Q6910" s="2"/>
      <c r="R6910" s="2"/>
      <c r="S6910" s="5">
        <v>0.7</v>
      </c>
      <c r="T6910" s="7">
        <v>0.48199999999999998</v>
      </c>
      <c r="U6910" s="5">
        <v>1</v>
      </c>
      <c r="V6910" s="6">
        <v>0.03</v>
      </c>
      <c r="W6910" s="6">
        <v>1.95</v>
      </c>
      <c r="X6910" s="4">
        <v>2</v>
      </c>
      <c r="Y6910" s="5">
        <v>2.2000000000000002</v>
      </c>
      <c r="Z6910" s="5">
        <v>2.2999999999999998</v>
      </c>
      <c r="AA6910" s="6">
        <v>16.5</v>
      </c>
      <c r="AB6910" s="2" t="s">
        <v>47</v>
      </c>
      <c r="AC6910" s="6">
        <v>0</v>
      </c>
    </row>
    <row r="6911" spans="1:29" ht="234" x14ac:dyDescent="0.15">
      <c r="A6911" s="3">
        <f>DATE(2003,6,2)</f>
        <v>37774</v>
      </c>
      <c r="B6911" s="3">
        <f>DATE(2003,8,29)</f>
        <v>37862</v>
      </c>
      <c r="C6911" s="2" t="s">
        <v>95</v>
      </c>
      <c r="D6911" s="2" t="s">
        <v>20947</v>
      </c>
      <c r="E6911" s="2" t="s">
        <v>4679</v>
      </c>
      <c r="F6911" s="4">
        <v>7372</v>
      </c>
      <c r="G6911" s="2" t="s">
        <v>551</v>
      </c>
      <c r="H6911" s="2" t="s">
        <v>34</v>
      </c>
      <c r="I6911" s="2" t="s">
        <v>15467</v>
      </c>
      <c r="J6911" s="2" t="s">
        <v>15468</v>
      </c>
      <c r="K6911" s="2" t="s">
        <v>551</v>
      </c>
      <c r="L6911" s="2" t="s">
        <v>34</v>
      </c>
      <c r="M6911" s="12">
        <v>5277.4530000000004</v>
      </c>
      <c r="N6911" s="6">
        <v>14.97</v>
      </c>
      <c r="O6911" s="6">
        <v>15.04</v>
      </c>
      <c r="P6911" s="2" t="s">
        <v>20948</v>
      </c>
      <c r="Q6911" s="6">
        <v>100</v>
      </c>
      <c r="R6911" s="6">
        <v>14.33</v>
      </c>
      <c r="S6911" s="5">
        <v>52.9</v>
      </c>
      <c r="T6911" s="7">
        <v>88.078999999999994</v>
      </c>
      <c r="U6911" s="5">
        <v>3.9</v>
      </c>
      <c r="V6911" s="6">
        <v>0.44</v>
      </c>
      <c r="W6911" s="6">
        <v>11.37</v>
      </c>
      <c r="X6911" s="6">
        <v>11.81</v>
      </c>
      <c r="Y6911" s="6">
        <v>12.59</v>
      </c>
      <c r="Z6911" s="6">
        <v>12.69</v>
      </c>
      <c r="AA6911" s="6">
        <v>121.36</v>
      </c>
      <c r="AB6911" s="7">
        <v>43.517000000000003</v>
      </c>
      <c r="AC6911" s="10">
        <v>1932.84</v>
      </c>
    </row>
    <row r="6912" spans="1:29" ht="156" x14ac:dyDescent="0.15">
      <c r="A6912" s="3">
        <f>DATE(2003,6,2)</f>
        <v>37774</v>
      </c>
      <c r="B6912" s="3">
        <f>DATE(2003,8,22)</f>
        <v>37855</v>
      </c>
      <c r="C6912" s="2" t="s">
        <v>95</v>
      </c>
      <c r="D6912" s="2" t="s">
        <v>20533</v>
      </c>
      <c r="E6912" s="2" t="s">
        <v>540</v>
      </c>
      <c r="F6912" s="4">
        <v>2836</v>
      </c>
      <c r="G6912" s="2" t="s">
        <v>130</v>
      </c>
      <c r="H6912" s="2" t="s">
        <v>34</v>
      </c>
      <c r="I6912" s="2" t="s">
        <v>20949</v>
      </c>
      <c r="J6912" s="2" t="s">
        <v>20950</v>
      </c>
      <c r="K6912" s="2" t="s">
        <v>130</v>
      </c>
      <c r="L6912" s="2" t="s">
        <v>34</v>
      </c>
      <c r="M6912" s="7">
        <v>778.55399999999997</v>
      </c>
      <c r="N6912" s="6">
        <v>14.68</v>
      </c>
      <c r="O6912" s="6">
        <v>14.95</v>
      </c>
      <c r="P6912" s="2" t="s">
        <v>20951</v>
      </c>
      <c r="Q6912" s="6">
        <v>20.420000000000002</v>
      </c>
      <c r="R6912" s="6">
        <v>6.25</v>
      </c>
      <c r="S6912" s="5">
        <v>120.3</v>
      </c>
      <c r="T6912" s="7">
        <v>198.268</v>
      </c>
      <c r="U6912" s="5">
        <v>0.9</v>
      </c>
      <c r="V6912" s="6">
        <v>0.8</v>
      </c>
      <c r="W6912" s="6">
        <v>5.05</v>
      </c>
      <c r="X6912" s="6">
        <v>5.08</v>
      </c>
      <c r="Y6912" s="6">
        <v>6.22</v>
      </c>
      <c r="Z6912" s="6">
        <v>6.21</v>
      </c>
      <c r="AA6912" s="6">
        <v>150</v>
      </c>
      <c r="AB6912" s="7">
        <v>6.7149999999999999</v>
      </c>
      <c r="AC6912" s="6">
        <v>309.3</v>
      </c>
    </row>
    <row r="6913" spans="1:29" ht="104" x14ac:dyDescent="0.15">
      <c r="A6913" s="3">
        <f>DATE(2003,6,3)</f>
        <v>37775</v>
      </c>
      <c r="B6913" s="3">
        <f>DATE(2003,9,24)</f>
        <v>37888</v>
      </c>
      <c r="C6913" s="2" t="s">
        <v>95</v>
      </c>
      <c r="D6913" s="2" t="s">
        <v>20952</v>
      </c>
      <c r="E6913" s="2" t="s">
        <v>4335</v>
      </c>
      <c r="F6913" s="4">
        <v>6324</v>
      </c>
      <c r="G6913" s="2" t="s">
        <v>125</v>
      </c>
      <c r="H6913" s="2" t="s">
        <v>34</v>
      </c>
      <c r="I6913" s="2" t="s">
        <v>19426</v>
      </c>
      <c r="J6913" s="2" t="s">
        <v>4335</v>
      </c>
      <c r="K6913" s="2" t="s">
        <v>125</v>
      </c>
      <c r="L6913" s="2" t="s">
        <v>34</v>
      </c>
      <c r="M6913" s="12">
        <v>11506.790999999999</v>
      </c>
      <c r="N6913" s="6">
        <v>83.15</v>
      </c>
      <c r="O6913" s="6">
        <v>84.48</v>
      </c>
      <c r="P6913" s="2" t="s">
        <v>20953</v>
      </c>
      <c r="Q6913" s="6">
        <v>100</v>
      </c>
      <c r="R6913" s="6">
        <v>20.5</v>
      </c>
      <c r="S6913" s="5">
        <v>62.9</v>
      </c>
      <c r="T6913" s="7">
        <v>58.472000000000001</v>
      </c>
      <c r="U6913" s="5">
        <v>7.5</v>
      </c>
      <c r="V6913" s="6">
        <v>1.48</v>
      </c>
      <c r="W6913" s="6">
        <v>17.190000000000001</v>
      </c>
      <c r="X6913" s="4">
        <v>18</v>
      </c>
      <c r="Y6913" s="6">
        <v>17.95</v>
      </c>
      <c r="Z6913" s="5">
        <v>20.7</v>
      </c>
      <c r="AA6913" s="6">
        <v>41.87</v>
      </c>
      <c r="AB6913" s="7">
        <v>10.423999999999999</v>
      </c>
      <c r="AC6913" s="10">
        <v>7124.46</v>
      </c>
    </row>
    <row r="6914" spans="1:29" ht="117" x14ac:dyDescent="0.15">
      <c r="A6914" s="3">
        <f>DATE(2003,6,3)</f>
        <v>37775</v>
      </c>
      <c r="B6914" s="3">
        <f>DATE(2003,11,14)</f>
        <v>37939</v>
      </c>
      <c r="C6914" s="2" t="s">
        <v>95</v>
      </c>
      <c r="D6914" s="2" t="s">
        <v>20954</v>
      </c>
      <c r="E6914" s="2" t="s">
        <v>20955</v>
      </c>
      <c r="F6914" s="4">
        <v>5399</v>
      </c>
      <c r="G6914" s="2" t="s">
        <v>756</v>
      </c>
      <c r="H6914" s="2" t="s">
        <v>34</v>
      </c>
      <c r="I6914" s="2" t="s">
        <v>20956</v>
      </c>
      <c r="J6914" s="2" t="s">
        <v>20957</v>
      </c>
      <c r="K6914" s="2" t="s">
        <v>756</v>
      </c>
      <c r="L6914" s="2" t="s">
        <v>34</v>
      </c>
      <c r="M6914" s="2"/>
      <c r="N6914" s="2"/>
      <c r="O6914" s="2"/>
      <c r="P6914" s="2" t="s">
        <v>20958</v>
      </c>
      <c r="Q6914" s="6">
        <v>96</v>
      </c>
      <c r="R6914" s="6">
        <v>3</v>
      </c>
      <c r="S6914" s="5">
        <v>-21.3</v>
      </c>
      <c r="T6914" s="7">
        <v>-7.6749999999999998</v>
      </c>
      <c r="U6914" s="5">
        <v>4</v>
      </c>
      <c r="V6914" s="6">
        <v>-2.35</v>
      </c>
      <c r="W6914" s="6">
        <v>2.25</v>
      </c>
      <c r="X6914" s="6">
        <v>2.33</v>
      </c>
      <c r="Y6914" s="6">
        <v>2.2400000000000002</v>
      </c>
      <c r="Z6914" s="6">
        <v>2.74</v>
      </c>
      <c r="AA6914" s="6">
        <v>9.06</v>
      </c>
      <c r="AB6914" s="2" t="s">
        <v>86</v>
      </c>
      <c r="AC6914" s="2"/>
    </row>
    <row r="6915" spans="1:29" ht="117" x14ac:dyDescent="0.15">
      <c r="A6915" s="3">
        <f>DATE(2003,6,3)</f>
        <v>37775</v>
      </c>
      <c r="B6915" s="2"/>
      <c r="C6915" s="2" t="s">
        <v>30</v>
      </c>
      <c r="D6915" s="2" t="s">
        <v>1459</v>
      </c>
      <c r="E6915" s="2" t="s">
        <v>7147</v>
      </c>
      <c r="F6915" s="4">
        <v>5411</v>
      </c>
      <c r="G6915" s="2" t="s">
        <v>1461</v>
      </c>
      <c r="H6915" s="2" t="s">
        <v>34</v>
      </c>
      <c r="I6915" s="2" t="s">
        <v>20959</v>
      </c>
      <c r="J6915" s="2" t="s">
        <v>844</v>
      </c>
      <c r="K6915" s="2" t="s">
        <v>109</v>
      </c>
      <c r="L6915" s="2" t="s">
        <v>34</v>
      </c>
      <c r="M6915" s="2"/>
      <c r="N6915" s="2"/>
      <c r="O6915" s="2"/>
      <c r="P6915" s="2" t="s">
        <v>20960</v>
      </c>
      <c r="Q6915" s="2"/>
      <c r="R6915" s="6">
        <v>2.25</v>
      </c>
      <c r="S6915" s="5">
        <v>-2.6</v>
      </c>
      <c r="T6915" s="2"/>
      <c r="U6915" s="5">
        <v>2.8</v>
      </c>
      <c r="V6915" s="6">
        <v>-0.36</v>
      </c>
      <c r="W6915" s="6">
        <v>1.52</v>
      </c>
      <c r="X6915" s="6">
        <v>1.86</v>
      </c>
      <c r="Y6915" s="6">
        <v>2.19</v>
      </c>
      <c r="Z6915" s="6">
        <v>2.11</v>
      </c>
      <c r="AA6915" s="6">
        <v>7.19</v>
      </c>
      <c r="AB6915" s="2" t="s">
        <v>47</v>
      </c>
      <c r="AC6915" s="2"/>
    </row>
    <row r="6916" spans="1:29" ht="169" x14ac:dyDescent="0.15">
      <c r="A6916" s="3">
        <f>DATE(2003,6,4)</f>
        <v>37776</v>
      </c>
      <c r="B6916" s="3">
        <f>DATE(2003,10,28)</f>
        <v>37922</v>
      </c>
      <c r="C6916" s="2" t="s">
        <v>95</v>
      </c>
      <c r="D6916" s="2" t="s">
        <v>20961</v>
      </c>
      <c r="E6916" s="2" t="s">
        <v>20962</v>
      </c>
      <c r="F6916" s="4">
        <v>3571</v>
      </c>
      <c r="G6916" s="2" t="s">
        <v>50</v>
      </c>
      <c r="H6916" s="2" t="s">
        <v>34</v>
      </c>
      <c r="I6916" s="2" t="s">
        <v>18550</v>
      </c>
      <c r="J6916" s="2" t="s">
        <v>18551</v>
      </c>
      <c r="K6916" s="2" t="s">
        <v>50</v>
      </c>
      <c r="L6916" s="2" t="s">
        <v>34</v>
      </c>
      <c r="M6916" s="7">
        <v>304.262</v>
      </c>
      <c r="N6916" s="6">
        <v>14.44</v>
      </c>
      <c r="O6916" s="6">
        <v>15.96</v>
      </c>
      <c r="P6916" s="2" t="s">
        <v>20963</v>
      </c>
      <c r="Q6916" s="6">
        <v>100</v>
      </c>
      <c r="R6916" s="6">
        <v>1.0900000000000001</v>
      </c>
      <c r="S6916" s="5">
        <v>-133.4</v>
      </c>
      <c r="T6916" s="7">
        <v>-30.635000000000002</v>
      </c>
      <c r="U6916" s="5">
        <v>0.1</v>
      </c>
      <c r="V6916" s="6">
        <v>-0.91</v>
      </c>
      <c r="W6916" s="6">
        <v>0.87</v>
      </c>
      <c r="X6916" s="6">
        <v>1.1100000000000001</v>
      </c>
      <c r="Y6916" s="6">
        <v>1.28</v>
      </c>
      <c r="Z6916" s="6">
        <v>1.19</v>
      </c>
      <c r="AA6916" s="6">
        <v>148.30000000000001</v>
      </c>
      <c r="AB6916" s="2" t="s">
        <v>86</v>
      </c>
      <c r="AC6916" s="6">
        <v>264.47000000000003</v>
      </c>
    </row>
    <row r="6917" spans="1:29" ht="65" x14ac:dyDescent="0.15">
      <c r="A6917" s="3">
        <f>DATE(2003,6,5)</f>
        <v>37777</v>
      </c>
      <c r="B6917" s="3">
        <f>DATE(2003,8,8)</f>
        <v>37841</v>
      </c>
      <c r="C6917" s="2" t="s">
        <v>95</v>
      </c>
      <c r="D6917" s="2" t="s">
        <v>20964</v>
      </c>
      <c r="E6917" s="2" t="s">
        <v>849</v>
      </c>
      <c r="F6917" s="4">
        <v>7372</v>
      </c>
      <c r="G6917" s="2" t="s">
        <v>551</v>
      </c>
      <c r="H6917" s="2" t="s">
        <v>34</v>
      </c>
      <c r="I6917" s="2" t="s">
        <v>20965</v>
      </c>
      <c r="J6917" s="2" t="s">
        <v>13664</v>
      </c>
      <c r="K6917" s="2" t="s">
        <v>53</v>
      </c>
      <c r="L6917" s="2" t="s">
        <v>34</v>
      </c>
      <c r="M6917" s="2"/>
      <c r="N6917" s="2"/>
      <c r="O6917" s="2"/>
      <c r="P6917" s="2" t="s">
        <v>20966</v>
      </c>
      <c r="Q6917" s="6">
        <v>100</v>
      </c>
      <c r="R6917" s="6">
        <v>5.7</v>
      </c>
      <c r="S6917" s="5">
        <v>-0.5</v>
      </c>
      <c r="T6917" s="7">
        <v>0.48699999999999999</v>
      </c>
      <c r="U6917" s="5">
        <v>2.4</v>
      </c>
      <c r="V6917" s="6">
        <v>-0.09</v>
      </c>
      <c r="W6917" s="4">
        <v>4</v>
      </c>
      <c r="X6917" s="5">
        <v>4.2</v>
      </c>
      <c r="Y6917" s="6">
        <v>5.54</v>
      </c>
      <c r="Z6917" s="6">
        <v>5.54</v>
      </c>
      <c r="AA6917" s="6">
        <v>4.9400000000000004</v>
      </c>
      <c r="AB6917" s="2" t="s">
        <v>86</v>
      </c>
      <c r="AC6917" s="2"/>
    </row>
    <row r="6918" spans="1:29" ht="65" x14ac:dyDescent="0.15">
      <c r="A6918" s="3">
        <f>DATE(2003,6,5)</f>
        <v>37777</v>
      </c>
      <c r="B6918" s="3">
        <f>DATE(2003,11,7)</f>
        <v>37932</v>
      </c>
      <c r="C6918" s="2" t="s">
        <v>95</v>
      </c>
      <c r="D6918" s="2" t="s">
        <v>20967</v>
      </c>
      <c r="E6918" s="2" t="s">
        <v>32</v>
      </c>
      <c r="F6918" s="4">
        <v>6035</v>
      </c>
      <c r="G6918" s="2" t="s">
        <v>33</v>
      </c>
      <c r="H6918" s="2" t="s">
        <v>34</v>
      </c>
      <c r="I6918" s="2" t="s">
        <v>20968</v>
      </c>
      <c r="J6918" s="2" t="s">
        <v>36</v>
      </c>
      <c r="K6918" s="2" t="s">
        <v>37</v>
      </c>
      <c r="L6918" s="2" t="s">
        <v>34</v>
      </c>
      <c r="M6918" s="12">
        <v>1727.115</v>
      </c>
      <c r="N6918" s="6">
        <v>38.049999999999997</v>
      </c>
      <c r="O6918" s="5">
        <v>38.200000000000003</v>
      </c>
      <c r="P6918" s="2" t="s">
        <v>20969</v>
      </c>
      <c r="Q6918" s="6">
        <v>100</v>
      </c>
      <c r="R6918" s="2"/>
      <c r="S6918" s="5">
        <v>1.2</v>
      </c>
      <c r="T6918" s="2"/>
      <c r="U6918" s="5">
        <v>5.8</v>
      </c>
      <c r="V6918" s="6">
        <v>0.45</v>
      </c>
      <c r="W6918" s="5">
        <v>6.5</v>
      </c>
      <c r="X6918" s="6">
        <v>6.35</v>
      </c>
      <c r="Y6918" s="4">
        <v>11</v>
      </c>
      <c r="Z6918" s="6">
        <v>11.05</v>
      </c>
      <c r="AA6918" s="2"/>
      <c r="AB6918" s="7">
        <v>41.043999999999997</v>
      </c>
      <c r="AC6918" s="2"/>
    </row>
    <row r="6919" spans="1:29" ht="325" x14ac:dyDescent="0.15">
      <c r="A6919" s="3">
        <f>DATE(2003,6,6)</f>
        <v>37778</v>
      </c>
      <c r="B6919" s="3">
        <f>DATE(2005,1,7)</f>
        <v>38359</v>
      </c>
      <c r="C6919" s="2" t="s">
        <v>95</v>
      </c>
      <c r="D6919" s="2" t="s">
        <v>15467</v>
      </c>
      <c r="E6919" s="2" t="s">
        <v>15468</v>
      </c>
      <c r="F6919" s="4">
        <v>7372</v>
      </c>
      <c r="G6919" s="2" t="s">
        <v>551</v>
      </c>
      <c r="H6919" s="2" t="s">
        <v>34</v>
      </c>
      <c r="I6919" s="2" t="s">
        <v>8588</v>
      </c>
      <c r="J6919" s="2" t="s">
        <v>8589</v>
      </c>
      <c r="K6919" s="2" t="s">
        <v>551</v>
      </c>
      <c r="L6919" s="2" t="s">
        <v>34</v>
      </c>
      <c r="M6919" s="12">
        <v>65118.014999999999</v>
      </c>
      <c r="N6919" s="6">
        <v>13.09</v>
      </c>
      <c r="O6919" s="6">
        <v>12.86</v>
      </c>
      <c r="P6919" s="2" t="s">
        <v>20970</v>
      </c>
      <c r="Q6919" s="6">
        <v>100</v>
      </c>
      <c r="R6919" s="6">
        <v>26.5</v>
      </c>
      <c r="S6919" s="5">
        <v>70.8</v>
      </c>
      <c r="T6919" s="7">
        <v>372.78899999999999</v>
      </c>
      <c r="U6919" s="5">
        <v>8.1</v>
      </c>
      <c r="V6919" s="6">
        <v>0.21</v>
      </c>
      <c r="W6919" s="6">
        <v>16.39</v>
      </c>
      <c r="X6919" s="6">
        <v>15.11</v>
      </c>
      <c r="Y6919" s="6">
        <v>17.82</v>
      </c>
      <c r="Z6919" s="5">
        <v>17.899999999999999</v>
      </c>
      <c r="AA6919" s="6">
        <v>434.98</v>
      </c>
      <c r="AB6919" s="7">
        <v>51.48</v>
      </c>
      <c r="AC6919" s="8">
        <v>9436</v>
      </c>
    </row>
    <row r="6920" spans="1:29" ht="195" x14ac:dyDescent="0.15">
      <c r="A6920" s="3">
        <f>DATE(2003,6,9)</f>
        <v>37781</v>
      </c>
      <c r="B6920" s="3">
        <f>DATE(2003,11,24)</f>
        <v>37949</v>
      </c>
      <c r="C6920" s="2" t="s">
        <v>95</v>
      </c>
      <c r="D6920" s="2" t="s">
        <v>20971</v>
      </c>
      <c r="E6920" s="2" t="s">
        <v>36</v>
      </c>
      <c r="F6920" s="4">
        <v>6021</v>
      </c>
      <c r="G6920" s="2" t="s">
        <v>37</v>
      </c>
      <c r="H6920" s="2" t="s">
        <v>34</v>
      </c>
      <c r="I6920" s="2" t="s">
        <v>18117</v>
      </c>
      <c r="J6920" s="2" t="s">
        <v>36</v>
      </c>
      <c r="K6920" s="2" t="s">
        <v>37</v>
      </c>
      <c r="L6920" s="2" t="s">
        <v>34</v>
      </c>
      <c r="M6920" s="7">
        <v>473.673</v>
      </c>
      <c r="N6920" s="6">
        <v>37.229999999999997</v>
      </c>
      <c r="O6920" s="5">
        <v>37.5</v>
      </c>
      <c r="P6920" s="2" t="s">
        <v>20972</v>
      </c>
      <c r="Q6920" s="6">
        <v>100</v>
      </c>
      <c r="R6920" s="6">
        <v>45.85</v>
      </c>
      <c r="S6920" s="5">
        <v>3.8</v>
      </c>
      <c r="T6920" s="2"/>
      <c r="U6920" s="5">
        <v>15.9</v>
      </c>
      <c r="V6920" s="6">
        <v>2.21</v>
      </c>
      <c r="W6920" s="4">
        <v>39</v>
      </c>
      <c r="X6920" s="6">
        <v>38.25</v>
      </c>
      <c r="Y6920" s="6">
        <v>43.36</v>
      </c>
      <c r="Z6920" s="5">
        <v>43.4</v>
      </c>
      <c r="AA6920" s="6">
        <v>1.64</v>
      </c>
      <c r="AB6920" s="7">
        <v>23.486000000000001</v>
      </c>
      <c r="AC6920" s="2"/>
    </row>
    <row r="6921" spans="1:29" ht="117" x14ac:dyDescent="0.15">
      <c r="A6921" s="3">
        <f>DATE(2003,6,9)</f>
        <v>37781</v>
      </c>
      <c r="B6921" s="3">
        <f>DATE(2003,8,21)</f>
        <v>37854</v>
      </c>
      <c r="C6921" s="2" t="s">
        <v>95</v>
      </c>
      <c r="D6921" s="2" t="s">
        <v>20973</v>
      </c>
      <c r="E6921" s="2" t="s">
        <v>207</v>
      </c>
      <c r="F6921" s="4">
        <v>3674</v>
      </c>
      <c r="G6921" s="2" t="s">
        <v>137</v>
      </c>
      <c r="H6921" s="2" t="s">
        <v>34</v>
      </c>
      <c r="I6921" s="2" t="s">
        <v>20974</v>
      </c>
      <c r="J6921" s="2" t="s">
        <v>207</v>
      </c>
      <c r="K6921" s="2" t="s">
        <v>137</v>
      </c>
      <c r="L6921" s="2" t="s">
        <v>34</v>
      </c>
      <c r="M6921" s="7">
        <v>826.35699999999997</v>
      </c>
      <c r="N6921" s="6">
        <v>5.07</v>
      </c>
      <c r="O6921" s="6">
        <v>5.23</v>
      </c>
      <c r="P6921" s="2" t="s">
        <v>20975</v>
      </c>
      <c r="Q6921" s="6">
        <v>100</v>
      </c>
      <c r="R6921" s="6">
        <v>2.98</v>
      </c>
      <c r="S6921" s="5">
        <v>-108</v>
      </c>
      <c r="T6921" s="7">
        <v>-54.372</v>
      </c>
      <c r="U6921" s="5">
        <v>4.9000000000000004</v>
      </c>
      <c r="V6921" s="6">
        <v>-14.67</v>
      </c>
      <c r="W6921" s="6">
        <v>2.09</v>
      </c>
      <c r="X6921" s="6">
        <v>2.42</v>
      </c>
      <c r="Y6921" s="6">
        <v>2.4500000000000002</v>
      </c>
      <c r="Z6921" s="6">
        <v>2.75</v>
      </c>
      <c r="AA6921" s="6">
        <v>7.92</v>
      </c>
      <c r="AB6921" s="2" t="s">
        <v>86</v>
      </c>
      <c r="AC6921" s="6">
        <v>233.53</v>
      </c>
    </row>
    <row r="6922" spans="1:29" ht="78" x14ac:dyDescent="0.15">
      <c r="A6922" s="3">
        <f>DATE(2003,6,9)</f>
        <v>37781</v>
      </c>
      <c r="B6922" s="3">
        <f>DATE(2003,8,11)</f>
        <v>37844</v>
      </c>
      <c r="C6922" s="2" t="s">
        <v>95</v>
      </c>
      <c r="D6922" s="2" t="s">
        <v>20976</v>
      </c>
      <c r="E6922" s="2" t="s">
        <v>20977</v>
      </c>
      <c r="F6922" s="4">
        <v>3812</v>
      </c>
      <c r="G6922" s="2" t="s">
        <v>226</v>
      </c>
      <c r="H6922" s="2" t="s">
        <v>34</v>
      </c>
      <c r="I6922" s="2" t="s">
        <v>13819</v>
      </c>
      <c r="J6922" s="2" t="s">
        <v>7077</v>
      </c>
      <c r="K6922" s="2" t="s">
        <v>226</v>
      </c>
      <c r="L6922" s="2" t="s">
        <v>34</v>
      </c>
      <c r="M6922" s="12">
        <v>12374.884</v>
      </c>
      <c r="N6922" s="6">
        <v>67.19</v>
      </c>
      <c r="O6922" s="6">
        <v>68.92</v>
      </c>
      <c r="P6922" s="2" t="s">
        <v>20978</v>
      </c>
      <c r="Q6922" s="6">
        <v>100</v>
      </c>
      <c r="R6922" s="6">
        <v>35</v>
      </c>
      <c r="S6922" s="5">
        <v>32.200000000000003</v>
      </c>
      <c r="T6922" s="7">
        <v>83.271000000000001</v>
      </c>
      <c r="U6922" s="5">
        <v>9.4</v>
      </c>
      <c r="V6922" s="6">
        <v>-1.29</v>
      </c>
      <c r="W6922" s="6">
        <v>26.75</v>
      </c>
      <c r="X6922" s="6">
        <v>27.35</v>
      </c>
      <c r="Y6922" s="6">
        <v>34.479999999999997</v>
      </c>
      <c r="Z6922" s="6">
        <v>34.71</v>
      </c>
      <c r="AA6922" s="6">
        <v>34.29</v>
      </c>
      <c r="AB6922" s="7">
        <v>22.541</v>
      </c>
      <c r="AC6922" s="5">
        <v>748</v>
      </c>
    </row>
    <row r="6923" spans="1:29" ht="91" x14ac:dyDescent="0.15">
      <c r="A6923" s="3">
        <f>DATE(2003,6,10)</f>
        <v>37782</v>
      </c>
      <c r="B6923" s="3">
        <f>DATE(2003,7,14)</f>
        <v>37816</v>
      </c>
      <c r="C6923" s="2" t="s">
        <v>95</v>
      </c>
      <c r="D6923" s="2" t="s">
        <v>20979</v>
      </c>
      <c r="E6923" s="2" t="s">
        <v>20980</v>
      </c>
      <c r="F6923" s="4">
        <v>6211</v>
      </c>
      <c r="G6923" s="2" t="s">
        <v>53</v>
      </c>
      <c r="H6923" s="2" t="s">
        <v>34</v>
      </c>
      <c r="I6923" s="2" t="s">
        <v>20981</v>
      </c>
      <c r="J6923" s="2" t="s">
        <v>150</v>
      </c>
      <c r="K6923" s="2" t="s">
        <v>53</v>
      </c>
      <c r="L6923" s="2" t="s">
        <v>34</v>
      </c>
      <c r="M6923" s="2"/>
      <c r="N6923" s="2"/>
      <c r="O6923" s="2"/>
      <c r="P6923" s="2" t="s">
        <v>20982</v>
      </c>
      <c r="Q6923" s="6">
        <v>20.87</v>
      </c>
      <c r="R6923" s="6">
        <v>13.95</v>
      </c>
      <c r="S6923" s="5">
        <v>-4.0999999999999996</v>
      </c>
      <c r="T6923" s="7">
        <v>-9.4849999999999994</v>
      </c>
      <c r="U6923" s="5">
        <v>10.8</v>
      </c>
      <c r="V6923" s="6">
        <v>-0.49</v>
      </c>
      <c r="W6923" s="5">
        <v>13.3</v>
      </c>
      <c r="X6923" s="6">
        <v>12.99</v>
      </c>
      <c r="Y6923" s="6">
        <v>12.99</v>
      </c>
      <c r="Z6923" s="6">
        <v>13.91</v>
      </c>
      <c r="AA6923" s="6">
        <v>8.66</v>
      </c>
      <c r="AB6923" s="2" t="s">
        <v>86</v>
      </c>
      <c r="AC6923" s="2"/>
    </row>
    <row r="6924" spans="1:29" ht="208" x14ac:dyDescent="0.15">
      <c r="A6924" s="3">
        <f>DATE(2003,6,12)</f>
        <v>37784</v>
      </c>
      <c r="B6924" s="2"/>
      <c r="C6924" s="2" t="s">
        <v>30</v>
      </c>
      <c r="D6924" s="2" t="s">
        <v>20983</v>
      </c>
      <c r="E6924" s="2" t="s">
        <v>5102</v>
      </c>
      <c r="F6924" s="4">
        <v>7372</v>
      </c>
      <c r="G6924" s="2" t="s">
        <v>551</v>
      </c>
      <c r="H6924" s="2" t="s">
        <v>34</v>
      </c>
      <c r="I6924" s="2" t="s">
        <v>20984</v>
      </c>
      <c r="J6924" s="2" t="s">
        <v>11435</v>
      </c>
      <c r="K6924" s="2" t="s">
        <v>223</v>
      </c>
      <c r="L6924" s="2" t="s">
        <v>34</v>
      </c>
      <c r="M6924" s="7">
        <v>8.1329999999999991</v>
      </c>
      <c r="N6924" s="5">
        <v>0.9</v>
      </c>
      <c r="O6924" s="6">
        <v>0.82</v>
      </c>
      <c r="P6924" s="2" t="s">
        <v>20985</v>
      </c>
      <c r="Q6924" s="2"/>
      <c r="R6924" s="6">
        <v>3.22</v>
      </c>
      <c r="S6924" s="5">
        <v>-5.3</v>
      </c>
      <c r="T6924" s="7">
        <v>-0.95899999999999996</v>
      </c>
      <c r="U6924" s="8">
        <v>-29914.9</v>
      </c>
      <c r="V6924" s="5">
        <v>-12020</v>
      </c>
      <c r="W6924" s="5">
        <v>0.8</v>
      </c>
      <c r="X6924" s="5">
        <v>1.3</v>
      </c>
      <c r="Y6924" s="6">
        <v>1.96</v>
      </c>
      <c r="Z6924" s="5">
        <v>2.5</v>
      </c>
      <c r="AA6924" s="6">
        <v>1.86</v>
      </c>
      <c r="AB6924" s="2" t="s">
        <v>86</v>
      </c>
      <c r="AC6924" s="6">
        <v>0.52</v>
      </c>
    </row>
    <row r="6925" spans="1:29" ht="52" x14ac:dyDescent="0.15">
      <c r="A6925" s="3">
        <f>DATE(2003,6,13)</f>
        <v>37785</v>
      </c>
      <c r="B6925" s="3">
        <f>DATE(2004,3,19)</f>
        <v>38065</v>
      </c>
      <c r="C6925" s="2" t="s">
        <v>95</v>
      </c>
      <c r="D6925" s="2" t="s">
        <v>20986</v>
      </c>
      <c r="E6925" s="2" t="s">
        <v>20987</v>
      </c>
      <c r="F6925" s="4">
        <v>3714</v>
      </c>
      <c r="G6925" s="2" t="s">
        <v>105</v>
      </c>
      <c r="H6925" s="2" t="s">
        <v>34</v>
      </c>
      <c r="I6925" s="2" t="s">
        <v>20988</v>
      </c>
      <c r="J6925" s="2" t="s">
        <v>20989</v>
      </c>
      <c r="K6925" s="2" t="s">
        <v>364</v>
      </c>
      <c r="L6925" s="2" t="s">
        <v>34</v>
      </c>
      <c r="M6925" s="2"/>
      <c r="N6925" s="2"/>
      <c r="O6925" s="2"/>
      <c r="P6925" s="2" t="s">
        <v>20990</v>
      </c>
      <c r="Q6925" s="6">
        <v>100</v>
      </c>
      <c r="R6925" s="2"/>
      <c r="S6925" s="5">
        <v>-0.2</v>
      </c>
      <c r="T6925" s="2"/>
      <c r="U6925" s="5">
        <v>-0.3</v>
      </c>
      <c r="V6925" s="6">
        <v>-0.06</v>
      </c>
      <c r="W6925" s="5">
        <v>1.3</v>
      </c>
      <c r="X6925" s="5">
        <v>1.3</v>
      </c>
      <c r="Y6925" s="5">
        <v>1.3</v>
      </c>
      <c r="Z6925" s="5">
        <v>1.5</v>
      </c>
      <c r="AA6925" s="6">
        <v>3.84</v>
      </c>
      <c r="AB6925" s="2" t="s">
        <v>86</v>
      </c>
      <c r="AC6925" s="2"/>
    </row>
    <row r="6926" spans="1:29" ht="169" x14ac:dyDescent="0.15">
      <c r="A6926" s="3">
        <f>DATE(2003,6,13)</f>
        <v>37785</v>
      </c>
      <c r="B6926" s="3">
        <f>DATE(2004,2,6)</f>
        <v>38023</v>
      </c>
      <c r="C6926" s="2" t="s">
        <v>95</v>
      </c>
      <c r="D6926" s="2" t="s">
        <v>262</v>
      </c>
      <c r="E6926" s="2" t="s">
        <v>263</v>
      </c>
      <c r="F6926" s="4">
        <v>6022</v>
      </c>
      <c r="G6926" s="2" t="s">
        <v>37</v>
      </c>
      <c r="H6926" s="2" t="s">
        <v>34</v>
      </c>
      <c r="I6926" s="2" t="s">
        <v>19135</v>
      </c>
      <c r="J6926" s="2" t="s">
        <v>16534</v>
      </c>
      <c r="K6926" s="2" t="s">
        <v>33</v>
      </c>
      <c r="L6926" s="2" t="s">
        <v>34</v>
      </c>
      <c r="M6926" s="12">
        <v>3956.614</v>
      </c>
      <c r="N6926" s="6">
        <v>15.68</v>
      </c>
      <c r="O6926" s="6">
        <v>16.07</v>
      </c>
      <c r="P6926" s="2" t="s">
        <v>20991</v>
      </c>
      <c r="Q6926" s="6">
        <v>100</v>
      </c>
      <c r="R6926" s="6">
        <v>48</v>
      </c>
      <c r="S6926" s="5">
        <v>20.5</v>
      </c>
      <c r="T6926" s="7">
        <v>35.768000000000001</v>
      </c>
      <c r="U6926" s="5">
        <v>18.8</v>
      </c>
      <c r="V6926" s="6">
        <v>2.57</v>
      </c>
      <c r="W6926" s="6">
        <v>37.130000000000003</v>
      </c>
      <c r="X6926" s="6">
        <v>37.25</v>
      </c>
      <c r="Y6926" s="6">
        <v>46.88</v>
      </c>
      <c r="Z6926" s="6">
        <v>47.18</v>
      </c>
      <c r="AA6926" s="6">
        <v>7.72</v>
      </c>
      <c r="AB6926" s="7">
        <v>17.952999999999999</v>
      </c>
      <c r="AC6926" s="2"/>
    </row>
    <row r="6927" spans="1:29" ht="39" x14ac:dyDescent="0.15">
      <c r="A6927" s="3">
        <f>DATE(2003,6,16)</f>
        <v>37788</v>
      </c>
      <c r="B6927" s="3">
        <f>DATE(2003,6,16)</f>
        <v>37788</v>
      </c>
      <c r="C6927" s="2" t="s">
        <v>95</v>
      </c>
      <c r="D6927" s="2" t="s">
        <v>20992</v>
      </c>
      <c r="E6927" s="2" t="s">
        <v>5102</v>
      </c>
      <c r="F6927" s="4">
        <v>7372</v>
      </c>
      <c r="G6927" s="2" t="s">
        <v>551</v>
      </c>
      <c r="H6927" s="2" t="s">
        <v>34</v>
      </c>
      <c r="I6927" s="2" t="s">
        <v>20993</v>
      </c>
      <c r="J6927" s="2" t="s">
        <v>19393</v>
      </c>
      <c r="K6927" s="2" t="s">
        <v>223</v>
      </c>
      <c r="L6927" s="2" t="s">
        <v>34</v>
      </c>
      <c r="M6927" s="2"/>
      <c r="N6927" s="2"/>
      <c r="O6927" s="2"/>
      <c r="P6927" s="2" t="s">
        <v>20994</v>
      </c>
      <c r="Q6927" s="6">
        <v>100</v>
      </c>
      <c r="R6927" s="2"/>
      <c r="S6927" s="5">
        <v>-33.799999999999997</v>
      </c>
      <c r="T6927" s="7">
        <v>-11.268000000000001</v>
      </c>
      <c r="U6927" s="5">
        <v>5.5</v>
      </c>
      <c r="V6927" s="6">
        <v>-2.16</v>
      </c>
      <c r="W6927" s="4">
        <v>6</v>
      </c>
      <c r="X6927" s="6">
        <v>6.14</v>
      </c>
      <c r="Y6927" s="6">
        <v>6.35</v>
      </c>
      <c r="Z6927" s="6">
        <v>6.16</v>
      </c>
      <c r="AA6927" s="6">
        <v>15.85</v>
      </c>
      <c r="AB6927" s="2" t="s">
        <v>86</v>
      </c>
      <c r="AC6927" s="2"/>
    </row>
    <row r="6928" spans="1:29" ht="91" x14ac:dyDescent="0.15">
      <c r="A6928" s="3">
        <f>DATE(2003,6,18)</f>
        <v>37790</v>
      </c>
      <c r="B6928" s="3">
        <f>DATE(2003,10,1)</f>
        <v>37895</v>
      </c>
      <c r="C6928" s="2" t="s">
        <v>95</v>
      </c>
      <c r="D6928" s="2" t="s">
        <v>20995</v>
      </c>
      <c r="E6928" s="2" t="s">
        <v>92</v>
      </c>
      <c r="F6928" s="4">
        <v>6798</v>
      </c>
      <c r="G6928" s="2" t="s">
        <v>53</v>
      </c>
      <c r="H6928" s="2" t="s">
        <v>34</v>
      </c>
      <c r="I6928" s="2" t="s">
        <v>11308</v>
      </c>
      <c r="J6928" s="2" t="s">
        <v>92</v>
      </c>
      <c r="K6928" s="2" t="s">
        <v>53</v>
      </c>
      <c r="L6928" s="2" t="s">
        <v>34</v>
      </c>
      <c r="M6928" s="12">
        <v>4002.4059999999999</v>
      </c>
      <c r="N6928" s="5">
        <v>37.200000000000003</v>
      </c>
      <c r="O6928" s="5">
        <v>37.9</v>
      </c>
      <c r="P6928" s="2" t="s">
        <v>20996</v>
      </c>
      <c r="Q6928" s="6">
        <v>100</v>
      </c>
      <c r="R6928" s="6">
        <v>21.05</v>
      </c>
      <c r="S6928" s="5">
        <v>21</v>
      </c>
      <c r="T6928" s="7">
        <v>35.076000000000001</v>
      </c>
      <c r="U6928" s="5">
        <v>7.9</v>
      </c>
      <c r="V6928" s="6">
        <v>1.18</v>
      </c>
      <c r="W6928" s="6">
        <v>19.73</v>
      </c>
      <c r="X6928" s="6">
        <v>19.43</v>
      </c>
      <c r="Y6928" s="6">
        <v>19.350000000000001</v>
      </c>
      <c r="Z6928" s="6">
        <v>20.88</v>
      </c>
      <c r="AA6928" s="6">
        <v>21.1</v>
      </c>
      <c r="AB6928" s="7">
        <v>26.094999999999999</v>
      </c>
      <c r="AC6928" s="6">
        <v>133.12</v>
      </c>
    </row>
    <row r="6929" spans="1:29" ht="104" x14ac:dyDescent="0.15">
      <c r="A6929" s="3">
        <f>DATE(2003,6,19)</f>
        <v>37791</v>
      </c>
      <c r="B6929" s="3">
        <f>DATE(2003,11,17)</f>
        <v>37942</v>
      </c>
      <c r="C6929" s="2" t="s">
        <v>95</v>
      </c>
      <c r="D6929" s="2" t="s">
        <v>20997</v>
      </c>
      <c r="E6929" s="2" t="s">
        <v>265</v>
      </c>
      <c r="F6929" s="4">
        <v>6021</v>
      </c>
      <c r="G6929" s="2" t="s">
        <v>37</v>
      </c>
      <c r="H6929" s="2" t="s">
        <v>34</v>
      </c>
      <c r="I6929" s="2" t="s">
        <v>20998</v>
      </c>
      <c r="J6929" s="2" t="s">
        <v>3780</v>
      </c>
      <c r="K6929" s="2" t="s">
        <v>37</v>
      </c>
      <c r="L6929" s="2" t="s">
        <v>34</v>
      </c>
      <c r="M6929" s="2"/>
      <c r="N6929" s="2"/>
      <c r="O6929" s="2"/>
      <c r="P6929" s="2" t="s">
        <v>20999</v>
      </c>
      <c r="Q6929" s="6">
        <v>100</v>
      </c>
      <c r="R6929" s="2"/>
      <c r="S6929" s="2"/>
      <c r="T6929" s="2"/>
      <c r="U6929" s="2"/>
      <c r="V6929" s="2"/>
      <c r="W6929" s="4">
        <v>20</v>
      </c>
      <c r="X6929" s="4">
        <v>20</v>
      </c>
      <c r="Y6929" s="5">
        <v>25.2</v>
      </c>
      <c r="Z6929" s="5">
        <v>25.2</v>
      </c>
      <c r="AA6929" s="6">
        <v>2.12</v>
      </c>
      <c r="AB6929" s="2" t="s">
        <v>47</v>
      </c>
      <c r="AC6929" s="2"/>
    </row>
    <row r="6930" spans="1:29" ht="78" x14ac:dyDescent="0.15">
      <c r="A6930" s="3">
        <f>DATE(2003,6,19)</f>
        <v>37791</v>
      </c>
      <c r="B6930" s="2"/>
      <c r="C6930" s="2" t="s">
        <v>189</v>
      </c>
      <c r="D6930" s="2" t="s">
        <v>21000</v>
      </c>
      <c r="E6930" s="2" t="s">
        <v>92</v>
      </c>
      <c r="F6930" s="4">
        <v>6798</v>
      </c>
      <c r="G6930" s="2" t="s">
        <v>53</v>
      </c>
      <c r="H6930" s="2" t="s">
        <v>34</v>
      </c>
      <c r="I6930" s="2" t="s">
        <v>143</v>
      </c>
      <c r="J6930" s="2" t="s">
        <v>144</v>
      </c>
      <c r="K6930" s="2" t="s">
        <v>53</v>
      </c>
      <c r="L6930" s="2" t="s">
        <v>139</v>
      </c>
      <c r="M6930" s="2"/>
      <c r="N6930" s="2"/>
      <c r="O6930" s="2"/>
      <c r="P6930" s="2" t="s">
        <v>21001</v>
      </c>
      <c r="Q6930" s="2"/>
      <c r="R6930" s="2"/>
      <c r="S6930" s="5">
        <v>78.3</v>
      </c>
      <c r="T6930" s="7">
        <v>181.31200000000001</v>
      </c>
      <c r="U6930" s="5">
        <v>20</v>
      </c>
      <c r="V6930" s="6">
        <v>1.41</v>
      </c>
      <c r="W6930" s="6">
        <v>34.450000000000003</v>
      </c>
      <c r="X6930" s="6">
        <v>32.56</v>
      </c>
      <c r="Y6930" s="6">
        <v>34.549999999999997</v>
      </c>
      <c r="Z6930" s="5">
        <v>34.6</v>
      </c>
      <c r="AA6930" s="6">
        <v>60.45</v>
      </c>
      <c r="AB6930" s="2" t="s">
        <v>47</v>
      </c>
      <c r="AC6930" s="2"/>
    </row>
    <row r="6931" spans="1:29" ht="169" x14ac:dyDescent="0.15">
      <c r="A6931" s="3">
        <f>DATE(2003,6,20)</f>
        <v>37792</v>
      </c>
      <c r="B6931" s="3">
        <f>DATE(2003,11,12)</f>
        <v>37937</v>
      </c>
      <c r="C6931" s="2" t="s">
        <v>95</v>
      </c>
      <c r="D6931" s="2" t="s">
        <v>21002</v>
      </c>
      <c r="E6931" s="2" t="s">
        <v>839</v>
      </c>
      <c r="F6931" s="4">
        <v>2836</v>
      </c>
      <c r="G6931" s="2" t="s">
        <v>130</v>
      </c>
      <c r="H6931" s="2" t="s">
        <v>34</v>
      </c>
      <c r="I6931" s="2" t="s">
        <v>21003</v>
      </c>
      <c r="J6931" s="2" t="s">
        <v>540</v>
      </c>
      <c r="K6931" s="2" t="s">
        <v>130</v>
      </c>
      <c r="L6931" s="2" t="s">
        <v>34</v>
      </c>
      <c r="M6931" s="12">
        <v>5855.6670000000004</v>
      </c>
      <c r="N6931" s="6">
        <v>38.97</v>
      </c>
      <c r="O6931" s="6">
        <v>36.96</v>
      </c>
      <c r="P6931" s="2" t="s">
        <v>21004</v>
      </c>
      <c r="Q6931" s="6">
        <v>100</v>
      </c>
      <c r="R6931" s="6">
        <v>44.85</v>
      </c>
      <c r="S6931" s="5">
        <v>190.5</v>
      </c>
      <c r="T6931" s="7">
        <v>353.471</v>
      </c>
      <c r="U6931" s="5">
        <v>10.9</v>
      </c>
      <c r="V6931" s="6">
        <v>1.27</v>
      </c>
      <c r="W6931" s="6">
        <v>46.25</v>
      </c>
      <c r="X6931" s="6">
        <v>43.25</v>
      </c>
      <c r="Y6931" s="5">
        <v>43.8</v>
      </c>
      <c r="Z6931" s="6">
        <v>41.55</v>
      </c>
      <c r="AA6931" s="6">
        <v>148.46</v>
      </c>
      <c r="AB6931" s="7">
        <v>19.920000000000002</v>
      </c>
      <c r="AC6931" s="6">
        <v>859.98</v>
      </c>
    </row>
    <row r="6932" spans="1:29" ht="143" x14ac:dyDescent="0.15">
      <c r="A6932" s="3">
        <f>DATE(2003,6,23)</f>
        <v>37795</v>
      </c>
      <c r="B6932" s="3">
        <f>DATE(2003,8,31)</f>
        <v>37864</v>
      </c>
      <c r="C6932" s="2" t="s">
        <v>95</v>
      </c>
      <c r="D6932" s="2" t="s">
        <v>21005</v>
      </c>
      <c r="E6932" s="2" t="s">
        <v>10361</v>
      </c>
      <c r="F6932" s="4">
        <v>7372</v>
      </c>
      <c r="G6932" s="2" t="s">
        <v>551</v>
      </c>
      <c r="H6932" s="2" t="s">
        <v>34</v>
      </c>
      <c r="I6932" s="2" t="s">
        <v>21006</v>
      </c>
      <c r="J6932" s="2" t="s">
        <v>15468</v>
      </c>
      <c r="K6932" s="2" t="s">
        <v>551</v>
      </c>
      <c r="L6932" s="2" t="s">
        <v>902</v>
      </c>
      <c r="M6932" s="7">
        <v>322.64800000000002</v>
      </c>
      <c r="N6932" s="6">
        <v>4.05</v>
      </c>
      <c r="O6932" s="7">
        <v>4.008</v>
      </c>
      <c r="P6932" s="2" t="s">
        <v>21007</v>
      </c>
      <c r="Q6932" s="6">
        <v>92.59</v>
      </c>
      <c r="R6932" s="6">
        <v>4.5999999999999996</v>
      </c>
      <c r="S6932" s="5">
        <v>0.7</v>
      </c>
      <c r="T6932" s="7">
        <v>-0.72499999999999998</v>
      </c>
      <c r="U6932" s="5">
        <v>1.7</v>
      </c>
      <c r="V6932" s="7">
        <v>-1.0449999999999999</v>
      </c>
      <c r="W6932" s="5">
        <v>3.8</v>
      </c>
      <c r="X6932" s="6">
        <v>3.64</v>
      </c>
      <c r="Y6932" s="6">
        <v>4.5599999999999996</v>
      </c>
      <c r="Z6932" s="6">
        <v>4.5599999999999996</v>
      </c>
      <c r="AA6932" s="6">
        <v>10.67</v>
      </c>
      <c r="AB6932" s="2" t="s">
        <v>86</v>
      </c>
      <c r="AC6932" s="6">
        <v>89.91</v>
      </c>
    </row>
    <row r="6933" spans="1:29" ht="78" x14ac:dyDescent="0.15">
      <c r="A6933" s="3">
        <f>DATE(2003,6,24)</f>
        <v>37796</v>
      </c>
      <c r="B6933" s="3">
        <f>DATE(2003,8,21)</f>
        <v>37854</v>
      </c>
      <c r="C6933" s="2" t="s">
        <v>95</v>
      </c>
      <c r="D6933" s="2" t="s">
        <v>20011</v>
      </c>
      <c r="E6933" s="2" t="s">
        <v>20012</v>
      </c>
      <c r="F6933" s="4">
        <v>7374</v>
      </c>
      <c r="G6933" s="2" t="s">
        <v>223</v>
      </c>
      <c r="H6933" s="2" t="s">
        <v>34</v>
      </c>
      <c r="I6933" s="2" t="s">
        <v>19885</v>
      </c>
      <c r="J6933" s="2" t="s">
        <v>19886</v>
      </c>
      <c r="K6933" s="2" t="s">
        <v>223</v>
      </c>
      <c r="L6933" s="2" t="s">
        <v>34</v>
      </c>
      <c r="M6933" s="7">
        <v>949.47900000000004</v>
      </c>
      <c r="N6933" s="6">
        <v>27.36</v>
      </c>
      <c r="O6933" s="5">
        <v>26.8</v>
      </c>
      <c r="P6933" s="2" t="s">
        <v>21008</v>
      </c>
      <c r="Q6933" s="6">
        <v>100</v>
      </c>
      <c r="R6933" s="6">
        <v>17.5</v>
      </c>
      <c r="S6933" s="5">
        <v>8.1</v>
      </c>
      <c r="T6933" s="7">
        <v>20.344000000000001</v>
      </c>
      <c r="U6933" s="5">
        <v>5.5</v>
      </c>
      <c r="V6933" s="6">
        <v>1.3</v>
      </c>
      <c r="W6933" s="6">
        <v>16.84</v>
      </c>
      <c r="X6933" s="5">
        <v>19.600000000000001</v>
      </c>
      <c r="Y6933" s="6">
        <v>17.45</v>
      </c>
      <c r="Z6933" s="6">
        <v>17.41</v>
      </c>
      <c r="AA6933" s="6">
        <v>6.21</v>
      </c>
      <c r="AB6933" s="7">
        <v>7.4870000000000001</v>
      </c>
      <c r="AC6933" s="6">
        <v>79.62</v>
      </c>
    </row>
    <row r="6934" spans="1:29" ht="130" x14ac:dyDescent="0.15">
      <c r="A6934" s="3">
        <f>DATE(2003,6,24)</f>
        <v>37796</v>
      </c>
      <c r="B6934" s="2"/>
      <c r="C6934" s="2" t="s">
        <v>7330</v>
      </c>
      <c r="D6934" s="2" t="s">
        <v>21009</v>
      </c>
      <c r="E6934" s="2" t="s">
        <v>21010</v>
      </c>
      <c r="F6934" s="4">
        <v>2899</v>
      </c>
      <c r="G6934" s="2" t="s">
        <v>98</v>
      </c>
      <c r="H6934" s="2" t="s">
        <v>34</v>
      </c>
      <c r="I6934" s="2" t="s">
        <v>51</v>
      </c>
      <c r="J6934" s="2" t="s">
        <v>52</v>
      </c>
      <c r="K6934" s="2" t="s">
        <v>53</v>
      </c>
      <c r="L6934" s="2" t="s">
        <v>34</v>
      </c>
      <c r="M6934" s="2"/>
      <c r="N6934" s="2"/>
      <c r="O6934" s="2"/>
      <c r="P6934" s="2" t="s">
        <v>21011</v>
      </c>
      <c r="Q6934" s="2"/>
      <c r="R6934" s="6">
        <v>1.4</v>
      </c>
      <c r="S6934" s="5">
        <v>-5.3</v>
      </c>
      <c r="T6934" s="7">
        <v>-1.022</v>
      </c>
      <c r="U6934" s="5">
        <v>1.6</v>
      </c>
      <c r="V6934" s="6">
        <v>-0.56000000000000005</v>
      </c>
      <c r="W6934" s="6">
        <v>1.05</v>
      </c>
      <c r="X6934" s="6">
        <v>1.1299999999999999</v>
      </c>
      <c r="Y6934" s="6">
        <v>1.17</v>
      </c>
      <c r="Z6934" s="6">
        <v>1.35</v>
      </c>
      <c r="AA6934" s="6">
        <v>9.67</v>
      </c>
      <c r="AB6934" s="2" t="s">
        <v>86</v>
      </c>
      <c r="AC6934" s="2"/>
    </row>
    <row r="6935" spans="1:29" ht="169" x14ac:dyDescent="0.15">
      <c r="A6935" s="3">
        <f>DATE(2003,6,25)</f>
        <v>37797</v>
      </c>
      <c r="B6935" s="3">
        <f>DATE(2003,7,18)</f>
        <v>37820</v>
      </c>
      <c r="C6935" s="2" t="s">
        <v>95</v>
      </c>
      <c r="D6935" s="2" t="s">
        <v>19742</v>
      </c>
      <c r="E6935" s="2" t="s">
        <v>844</v>
      </c>
      <c r="F6935" s="4">
        <v>6552</v>
      </c>
      <c r="G6935" s="2" t="s">
        <v>109</v>
      </c>
      <c r="H6935" s="2" t="s">
        <v>34</v>
      </c>
      <c r="I6935" s="2" t="s">
        <v>19743</v>
      </c>
      <c r="J6935" s="2" t="s">
        <v>80</v>
      </c>
      <c r="K6935" s="2" t="s">
        <v>53</v>
      </c>
      <c r="L6935" s="2" t="s">
        <v>34</v>
      </c>
      <c r="M6935" s="2"/>
      <c r="N6935" s="2"/>
      <c r="O6935" s="2"/>
      <c r="P6935" s="2" t="s">
        <v>21012</v>
      </c>
      <c r="Q6935" s="6">
        <v>100</v>
      </c>
      <c r="R6935" s="6">
        <v>21</v>
      </c>
      <c r="S6935" s="5">
        <v>5</v>
      </c>
      <c r="T6935" s="7">
        <v>5.7359999999999998</v>
      </c>
      <c r="U6935" s="5">
        <v>7.2</v>
      </c>
      <c r="V6935" s="6">
        <v>1.5</v>
      </c>
      <c r="W6935" s="4">
        <v>19</v>
      </c>
      <c r="X6935" s="4">
        <v>19</v>
      </c>
      <c r="Y6935" s="6">
        <v>21.94</v>
      </c>
      <c r="Z6935" s="5">
        <v>22.4</v>
      </c>
      <c r="AA6935" s="6">
        <v>3.25</v>
      </c>
      <c r="AB6935" s="7">
        <v>12.763999999999999</v>
      </c>
      <c r="AC6935" s="2"/>
    </row>
    <row r="6936" spans="1:29" ht="182" x14ac:dyDescent="0.15">
      <c r="A6936" s="3">
        <f>DATE(2003,6,26)</f>
        <v>37798</v>
      </c>
      <c r="B6936" s="2"/>
      <c r="C6936" s="2" t="s">
        <v>30</v>
      </c>
      <c r="D6936" s="2" t="s">
        <v>20910</v>
      </c>
      <c r="E6936" s="2" t="s">
        <v>5427</v>
      </c>
      <c r="F6936" s="4">
        <v>5311</v>
      </c>
      <c r="G6936" s="2" t="s">
        <v>756</v>
      </c>
      <c r="H6936" s="2" t="s">
        <v>34</v>
      </c>
      <c r="I6936" s="2" t="s">
        <v>21013</v>
      </c>
      <c r="J6936" s="2" t="s">
        <v>302</v>
      </c>
      <c r="K6936" s="2" t="s">
        <v>53</v>
      </c>
      <c r="L6936" s="2" t="s">
        <v>34</v>
      </c>
      <c r="M6936" s="2"/>
      <c r="N6936" s="2"/>
      <c r="O6936" s="2"/>
      <c r="P6936" s="2" t="s">
        <v>21014</v>
      </c>
      <c r="Q6936" s="2"/>
      <c r="R6936" s="6">
        <v>6</v>
      </c>
      <c r="S6936" s="5">
        <v>2</v>
      </c>
      <c r="T6936" s="7">
        <v>40.466000000000001</v>
      </c>
      <c r="U6936" s="5">
        <v>17.7</v>
      </c>
      <c r="V6936" s="6">
        <v>0.17</v>
      </c>
      <c r="W6936" s="6">
        <v>3.34</v>
      </c>
      <c r="X6936" s="5">
        <v>4.7</v>
      </c>
      <c r="Y6936" s="6">
        <v>4.71</v>
      </c>
      <c r="Z6936" s="6">
        <v>4.99</v>
      </c>
      <c r="AA6936" s="6">
        <v>11.58</v>
      </c>
      <c r="AB6936" s="7">
        <v>8.9339999999999993</v>
      </c>
      <c r="AC6936" s="2"/>
    </row>
    <row r="6937" spans="1:29" ht="65" x14ac:dyDescent="0.15">
      <c r="A6937" s="3">
        <f>DATE(2003,6,27)</f>
        <v>37799</v>
      </c>
      <c r="B6937" s="3">
        <f>DATE(2003,10,27)</f>
        <v>37921</v>
      </c>
      <c r="C6937" s="2" t="s">
        <v>95</v>
      </c>
      <c r="D6937" s="2" t="s">
        <v>21015</v>
      </c>
      <c r="E6937" s="2" t="s">
        <v>21016</v>
      </c>
      <c r="F6937" s="4">
        <v>3577</v>
      </c>
      <c r="G6937" s="2" t="s">
        <v>50</v>
      </c>
      <c r="H6937" s="2" t="s">
        <v>34</v>
      </c>
      <c r="I6937" s="2" t="s">
        <v>2400</v>
      </c>
      <c r="J6937" s="2" t="s">
        <v>2401</v>
      </c>
      <c r="K6937" s="2" t="s">
        <v>112</v>
      </c>
      <c r="L6937" s="2" t="s">
        <v>34</v>
      </c>
      <c r="M6937" s="12">
        <v>7519.4210000000003</v>
      </c>
      <c r="N6937" s="6">
        <v>101.53</v>
      </c>
      <c r="O6937" s="6">
        <v>102.33</v>
      </c>
      <c r="P6937" s="2" t="s">
        <v>21017</v>
      </c>
      <c r="Q6937" s="6">
        <v>100</v>
      </c>
      <c r="R6937" s="6">
        <v>11.5</v>
      </c>
      <c r="S6937" s="5">
        <v>13</v>
      </c>
      <c r="T6937" s="7">
        <v>10.808</v>
      </c>
      <c r="U6937" s="5">
        <v>2.2000000000000002</v>
      </c>
      <c r="V6937" s="6">
        <v>1.24</v>
      </c>
      <c r="W6937" s="5">
        <v>10.1</v>
      </c>
      <c r="X6937" s="6">
        <v>11.39</v>
      </c>
      <c r="Y6937" s="5">
        <v>11.2</v>
      </c>
      <c r="Z6937" s="6">
        <v>11.26</v>
      </c>
      <c r="AA6937" s="6">
        <v>9.99</v>
      </c>
      <c r="AB6937" s="7">
        <v>12.361000000000001</v>
      </c>
      <c r="AC6937" s="10">
        <v>1013.23</v>
      </c>
    </row>
    <row r="6938" spans="1:29" ht="104" x14ac:dyDescent="0.15">
      <c r="A6938" s="3">
        <f>DATE(2003,6,27)</f>
        <v>37799</v>
      </c>
      <c r="B6938" s="3">
        <f>DATE(2004,1,5)</f>
        <v>37991</v>
      </c>
      <c r="C6938" s="2" t="s">
        <v>95</v>
      </c>
      <c r="D6938" s="2" t="s">
        <v>21018</v>
      </c>
      <c r="E6938" s="2" t="s">
        <v>21019</v>
      </c>
      <c r="F6938" s="4">
        <v>2026</v>
      </c>
      <c r="G6938" s="2" t="s">
        <v>577</v>
      </c>
      <c r="H6938" s="2" t="s">
        <v>34</v>
      </c>
      <c r="I6938" s="2" t="s">
        <v>4101</v>
      </c>
      <c r="J6938" s="2" t="s">
        <v>21020</v>
      </c>
      <c r="K6938" s="2" t="s">
        <v>577</v>
      </c>
      <c r="L6938" s="2" t="s">
        <v>34</v>
      </c>
      <c r="M6938" s="12">
        <v>2743.9789999999998</v>
      </c>
      <c r="N6938" s="5">
        <v>30.6</v>
      </c>
      <c r="O6938" s="5">
        <v>31.5</v>
      </c>
      <c r="P6938" s="2" t="s">
        <v>21021</v>
      </c>
      <c r="Q6938" s="6">
        <v>88.47</v>
      </c>
      <c r="R6938" s="6">
        <v>24</v>
      </c>
      <c r="S6938" s="5">
        <v>3.8</v>
      </c>
      <c r="T6938" s="7">
        <v>10.430999999999999</v>
      </c>
      <c r="U6938" s="5">
        <v>6.3</v>
      </c>
      <c r="V6938" s="6">
        <v>0.36</v>
      </c>
      <c r="W6938" s="6">
        <v>19.38</v>
      </c>
      <c r="X6938" s="6">
        <v>18.25</v>
      </c>
      <c r="Y6938" s="6">
        <v>18.93</v>
      </c>
      <c r="Z6938" s="6">
        <v>23.83</v>
      </c>
      <c r="AA6938" s="6">
        <v>10.33</v>
      </c>
      <c r="AB6938" s="7">
        <v>46.194000000000003</v>
      </c>
      <c r="AC6938" s="6">
        <v>26.78</v>
      </c>
    </row>
    <row r="6939" spans="1:29" ht="117" x14ac:dyDescent="0.15">
      <c r="A6939" s="3">
        <f>DATE(2003,6,27)</f>
        <v>37799</v>
      </c>
      <c r="B6939" s="3">
        <f>DATE(2003,10,31)</f>
        <v>37925</v>
      </c>
      <c r="C6939" s="2" t="s">
        <v>95</v>
      </c>
      <c r="D6939" s="2" t="s">
        <v>12195</v>
      </c>
      <c r="E6939" s="2" t="s">
        <v>203</v>
      </c>
      <c r="F6939" s="4">
        <v>6035</v>
      </c>
      <c r="G6939" s="2" t="s">
        <v>33</v>
      </c>
      <c r="H6939" s="2" t="s">
        <v>34</v>
      </c>
      <c r="I6939" s="2" t="s">
        <v>18639</v>
      </c>
      <c r="J6939" s="2" t="s">
        <v>36</v>
      </c>
      <c r="K6939" s="2" t="s">
        <v>37</v>
      </c>
      <c r="L6939" s="2" t="s">
        <v>34</v>
      </c>
      <c r="M6939" s="12">
        <v>2915.902</v>
      </c>
      <c r="N6939" s="6">
        <v>29.08</v>
      </c>
      <c r="O6939" s="6">
        <v>29.09</v>
      </c>
      <c r="P6939" s="2" t="s">
        <v>21022</v>
      </c>
      <c r="Q6939" s="6">
        <v>100</v>
      </c>
      <c r="R6939" s="6">
        <v>20.329999999999998</v>
      </c>
      <c r="S6939" s="5">
        <v>150.19999999999999</v>
      </c>
      <c r="T6939" s="2"/>
      <c r="U6939" s="5">
        <v>7</v>
      </c>
      <c r="V6939" s="6">
        <v>1.9</v>
      </c>
      <c r="W6939" s="6">
        <v>19.940000000000001</v>
      </c>
      <c r="X6939" s="6">
        <v>20.85</v>
      </c>
      <c r="Y6939" s="6">
        <v>21.75</v>
      </c>
      <c r="Z6939" s="6">
        <v>21.49</v>
      </c>
      <c r="AA6939" s="6">
        <v>77.099999999999994</v>
      </c>
      <c r="AB6939" s="7">
        <v>26.123999999999999</v>
      </c>
      <c r="AC6939" s="2"/>
    </row>
    <row r="6940" spans="1:29" ht="273" x14ac:dyDescent="0.15">
      <c r="A6940" s="3">
        <f>DATE(2003,6,29)</f>
        <v>37801</v>
      </c>
      <c r="B6940" s="3">
        <f>DATE(2003,12,16)</f>
        <v>37971</v>
      </c>
      <c r="C6940" s="2" t="s">
        <v>95</v>
      </c>
      <c r="D6940" s="2" t="s">
        <v>21023</v>
      </c>
      <c r="E6940" s="2" t="s">
        <v>21024</v>
      </c>
      <c r="F6940" s="4">
        <v>3577</v>
      </c>
      <c r="G6940" s="2" t="s">
        <v>50</v>
      </c>
      <c r="H6940" s="2" t="s">
        <v>34</v>
      </c>
      <c r="I6940" s="2" t="s">
        <v>51</v>
      </c>
      <c r="J6940" s="2" t="s">
        <v>52</v>
      </c>
      <c r="K6940" s="2" t="s">
        <v>53</v>
      </c>
      <c r="L6940" s="2" t="s">
        <v>34</v>
      </c>
      <c r="M6940" s="2"/>
      <c r="N6940" s="2"/>
      <c r="O6940" s="2"/>
      <c r="P6940" s="2" t="s">
        <v>21025</v>
      </c>
      <c r="Q6940" s="6">
        <v>100</v>
      </c>
      <c r="R6940" s="6">
        <v>3.3</v>
      </c>
      <c r="S6940" s="5">
        <v>-3.4</v>
      </c>
      <c r="T6940" s="6">
        <v>168.22</v>
      </c>
      <c r="U6940" s="5">
        <v>6.9</v>
      </c>
      <c r="V6940" s="6">
        <v>-0.11</v>
      </c>
      <c r="W6940" s="6">
        <v>3.38</v>
      </c>
      <c r="X6940" s="6">
        <v>2.98</v>
      </c>
      <c r="Y6940" s="6">
        <v>3.93</v>
      </c>
      <c r="Z6940" s="6">
        <v>3.93</v>
      </c>
      <c r="AA6940" s="6">
        <v>29.81</v>
      </c>
      <c r="AB6940" s="7">
        <v>19.585999999999999</v>
      </c>
      <c r="AC6940" s="2"/>
    </row>
    <row r="6941" spans="1:29" ht="104" x14ac:dyDescent="0.15">
      <c r="A6941" s="3">
        <f>DATE(2003,7,1)</f>
        <v>37803</v>
      </c>
      <c r="B6941" s="3">
        <f>DATE(2004,2,2)</f>
        <v>38019</v>
      </c>
      <c r="C6941" s="2" t="s">
        <v>95</v>
      </c>
      <c r="D6941" s="2" t="s">
        <v>18248</v>
      </c>
      <c r="E6941" s="2" t="s">
        <v>18249</v>
      </c>
      <c r="F6941" s="4">
        <v>1311</v>
      </c>
      <c r="G6941" s="2" t="s">
        <v>148</v>
      </c>
      <c r="H6941" s="2" t="s">
        <v>34</v>
      </c>
      <c r="I6941" s="2" t="s">
        <v>5720</v>
      </c>
      <c r="J6941" s="2" t="s">
        <v>1608</v>
      </c>
      <c r="K6941" s="2" t="s">
        <v>148</v>
      </c>
      <c r="L6941" s="2" t="s">
        <v>34</v>
      </c>
      <c r="M6941" s="7">
        <v>978.32100000000003</v>
      </c>
      <c r="N6941" s="6">
        <v>20.96</v>
      </c>
      <c r="O6941" s="6">
        <v>21.01</v>
      </c>
      <c r="P6941" s="2" t="s">
        <v>21026</v>
      </c>
      <c r="Q6941" s="6">
        <v>100</v>
      </c>
      <c r="R6941" s="2"/>
      <c r="S6941" s="5">
        <v>13.2</v>
      </c>
      <c r="T6941" s="7">
        <v>13.036</v>
      </c>
      <c r="U6941" s="5">
        <v>11.8</v>
      </c>
      <c r="V6941" s="6">
        <v>0.69</v>
      </c>
      <c r="W6941" s="6">
        <v>12.52</v>
      </c>
      <c r="X6941" s="6">
        <v>11.15</v>
      </c>
      <c r="Y6941" s="6">
        <v>13.85</v>
      </c>
      <c r="Z6941" s="6">
        <v>13.97</v>
      </c>
      <c r="AA6941" s="6">
        <v>12.69</v>
      </c>
      <c r="AB6941" s="7">
        <v>12.257999999999999</v>
      </c>
      <c r="AC6941" s="6">
        <v>1.33</v>
      </c>
    </row>
    <row r="6942" spans="1:29" ht="52" x14ac:dyDescent="0.15">
      <c r="A6942" s="3">
        <f>DATE(2003,7,7)</f>
        <v>37809</v>
      </c>
      <c r="B6942" s="3">
        <f>DATE(2003,8,27)</f>
        <v>37860</v>
      </c>
      <c r="C6942" s="2" t="s">
        <v>95</v>
      </c>
      <c r="D6942" s="2" t="s">
        <v>21027</v>
      </c>
      <c r="E6942" s="2" t="s">
        <v>21028</v>
      </c>
      <c r="F6942" s="4">
        <v>2329</v>
      </c>
      <c r="G6942" s="2" t="s">
        <v>708</v>
      </c>
      <c r="H6942" s="2" t="s">
        <v>34</v>
      </c>
      <c r="I6942" s="2" t="s">
        <v>4493</v>
      </c>
      <c r="J6942" s="2" t="s">
        <v>4494</v>
      </c>
      <c r="K6942" s="2" t="s">
        <v>708</v>
      </c>
      <c r="L6942" s="2" t="s">
        <v>34</v>
      </c>
      <c r="M6942" s="10">
        <v>4107.82</v>
      </c>
      <c r="N6942" s="6">
        <v>35.590000000000003</v>
      </c>
      <c r="O6942" s="6">
        <v>35.86</v>
      </c>
      <c r="P6942" s="2" t="s">
        <v>21029</v>
      </c>
      <c r="Q6942" s="6">
        <v>100</v>
      </c>
      <c r="R6942" s="6">
        <v>17</v>
      </c>
      <c r="S6942" s="5">
        <v>21.7</v>
      </c>
      <c r="T6942" s="7">
        <v>72.228999999999999</v>
      </c>
      <c r="U6942" s="5">
        <v>10.3</v>
      </c>
      <c r="V6942" s="6">
        <v>0.62</v>
      </c>
      <c r="W6942" s="6">
        <v>13.14</v>
      </c>
      <c r="X6942" s="6">
        <v>13.19</v>
      </c>
      <c r="Y6942" s="6">
        <v>16.78</v>
      </c>
      <c r="Z6942" s="6">
        <v>16.75</v>
      </c>
      <c r="AA6942" s="6">
        <v>33.590000000000003</v>
      </c>
      <c r="AB6942" s="7">
        <v>11.566000000000001</v>
      </c>
      <c r="AC6942" s="6">
        <v>204.98</v>
      </c>
    </row>
    <row r="6943" spans="1:29" ht="130" x14ac:dyDescent="0.15">
      <c r="A6943" s="3">
        <f>DATE(2003,7,8)</f>
        <v>37810</v>
      </c>
      <c r="B6943" s="2"/>
      <c r="C6943" s="2" t="s">
        <v>30</v>
      </c>
      <c r="D6943" s="2" t="s">
        <v>12038</v>
      </c>
      <c r="E6943" s="2" t="s">
        <v>3336</v>
      </c>
      <c r="F6943" s="4">
        <v>3714</v>
      </c>
      <c r="G6943" s="2" t="s">
        <v>105</v>
      </c>
      <c r="H6943" s="2" t="s">
        <v>34</v>
      </c>
      <c r="I6943" s="2" t="s">
        <v>21030</v>
      </c>
      <c r="J6943" s="2" t="s">
        <v>21031</v>
      </c>
      <c r="K6943" s="2" t="s">
        <v>105</v>
      </c>
      <c r="L6943" s="2" t="s">
        <v>34</v>
      </c>
      <c r="M6943" s="12">
        <v>1426.3910000000001</v>
      </c>
      <c r="N6943" s="6">
        <v>20.29</v>
      </c>
      <c r="O6943" s="6">
        <v>19.649999999999999</v>
      </c>
      <c r="P6943" s="2" t="s">
        <v>21032</v>
      </c>
      <c r="Q6943" s="2"/>
      <c r="R6943" s="6">
        <v>18</v>
      </c>
      <c r="S6943" s="5">
        <v>153</v>
      </c>
      <c r="T6943" s="2"/>
      <c r="U6943" s="5">
        <v>12.4</v>
      </c>
      <c r="V6943" s="6">
        <v>1.03</v>
      </c>
      <c r="W6943" s="6">
        <v>11.63</v>
      </c>
      <c r="X6943" s="6">
        <v>12.02</v>
      </c>
      <c r="Y6943" s="5">
        <v>16.2</v>
      </c>
      <c r="Z6943" s="6">
        <v>15.92</v>
      </c>
      <c r="AA6943" s="6">
        <v>148.62</v>
      </c>
      <c r="AB6943" s="2" t="s">
        <v>47</v>
      </c>
      <c r="AC6943" s="5">
        <v>103</v>
      </c>
    </row>
    <row r="6944" spans="1:29" ht="78" x14ac:dyDescent="0.15">
      <c r="A6944" s="3">
        <f>DATE(2003,7,8)</f>
        <v>37810</v>
      </c>
      <c r="B6944" s="3">
        <f>DATE(2003,11,7)</f>
        <v>37932</v>
      </c>
      <c r="C6944" s="2" t="s">
        <v>95</v>
      </c>
      <c r="D6944" s="2" t="s">
        <v>21033</v>
      </c>
      <c r="E6944" s="2" t="s">
        <v>21034</v>
      </c>
      <c r="F6944" s="4">
        <v>6035</v>
      </c>
      <c r="G6944" s="2" t="s">
        <v>33</v>
      </c>
      <c r="H6944" s="2" t="s">
        <v>34</v>
      </c>
      <c r="I6944" s="2" t="s">
        <v>21035</v>
      </c>
      <c r="J6944" s="2" t="s">
        <v>8690</v>
      </c>
      <c r="K6944" s="2" t="s">
        <v>37</v>
      </c>
      <c r="L6944" s="2" t="s">
        <v>34</v>
      </c>
      <c r="M6944" s="7">
        <v>80.540999999999997</v>
      </c>
      <c r="N6944" s="4">
        <v>29</v>
      </c>
      <c r="O6944" s="4">
        <v>29</v>
      </c>
      <c r="P6944" s="2" t="s">
        <v>21036</v>
      </c>
      <c r="Q6944" s="6">
        <v>100</v>
      </c>
      <c r="R6944" s="6">
        <v>23.25</v>
      </c>
      <c r="S6944" s="5">
        <v>0.9</v>
      </c>
      <c r="T6944" s="6">
        <v>1.32</v>
      </c>
      <c r="U6944" s="5">
        <v>15</v>
      </c>
      <c r="V6944" s="6">
        <v>1.02</v>
      </c>
      <c r="W6944" s="6">
        <v>17.89</v>
      </c>
      <c r="X6944" s="5">
        <v>17.7</v>
      </c>
      <c r="Y6944" s="5">
        <v>17.7</v>
      </c>
      <c r="Z6944" s="6">
        <v>23.11</v>
      </c>
      <c r="AA6944" s="6">
        <v>0.88</v>
      </c>
      <c r="AB6944" s="7">
        <v>24.114000000000001</v>
      </c>
      <c r="AC6944" s="2"/>
    </row>
    <row r="6945" spans="1:29" ht="104" x14ac:dyDescent="0.15">
      <c r="A6945" s="3">
        <f>DATE(2003,7,8)</f>
        <v>37810</v>
      </c>
      <c r="B6945" s="3">
        <f>DATE(2003,10,21)</f>
        <v>37915</v>
      </c>
      <c r="C6945" s="2" t="s">
        <v>95</v>
      </c>
      <c r="D6945" s="2" t="s">
        <v>13112</v>
      </c>
      <c r="E6945" s="2" t="s">
        <v>7760</v>
      </c>
      <c r="F6945" s="4">
        <v>7372</v>
      </c>
      <c r="G6945" s="2" t="s">
        <v>551</v>
      </c>
      <c r="H6945" s="2" t="s">
        <v>34</v>
      </c>
      <c r="I6945" s="2" t="s">
        <v>15063</v>
      </c>
      <c r="J6945" s="2" t="s">
        <v>15064</v>
      </c>
      <c r="K6945" s="2" t="s">
        <v>50</v>
      </c>
      <c r="L6945" s="2" t="s">
        <v>34</v>
      </c>
      <c r="M6945" s="12">
        <v>22875.985000000001</v>
      </c>
      <c r="N6945" s="6">
        <v>11.24</v>
      </c>
      <c r="O6945" s="6">
        <v>11.06</v>
      </c>
      <c r="P6945" s="2" t="s">
        <v>21037</v>
      </c>
      <c r="Q6945" s="6">
        <v>100</v>
      </c>
      <c r="R6945" s="6">
        <v>10.57</v>
      </c>
      <c r="S6945" s="5">
        <v>-143.19999999999999</v>
      </c>
      <c r="T6945" s="7">
        <v>13.612</v>
      </c>
      <c r="U6945" s="5">
        <v>2.8</v>
      </c>
      <c r="V6945" s="6">
        <v>-1.26</v>
      </c>
      <c r="W6945" s="5">
        <v>8.3000000000000007</v>
      </c>
      <c r="X6945" s="5">
        <v>9.1</v>
      </c>
      <c r="Y6945" s="6">
        <v>9.91</v>
      </c>
      <c r="Z6945" s="6">
        <v>9.67</v>
      </c>
      <c r="AA6945" s="6">
        <v>116.3</v>
      </c>
      <c r="AB6945" s="2" t="s">
        <v>86</v>
      </c>
      <c r="AC6945" s="10">
        <v>2874.04</v>
      </c>
    </row>
    <row r="6946" spans="1:29" ht="117" x14ac:dyDescent="0.15">
      <c r="A6946" s="3">
        <f>DATE(2003,7,8)</f>
        <v>37810</v>
      </c>
      <c r="B6946" s="3">
        <f>DATE(2003,12,11)</f>
        <v>37966</v>
      </c>
      <c r="C6946" s="2" t="s">
        <v>95</v>
      </c>
      <c r="D6946" s="2" t="s">
        <v>19258</v>
      </c>
      <c r="E6946" s="2" t="s">
        <v>172</v>
      </c>
      <c r="F6946" s="4">
        <v>4213</v>
      </c>
      <c r="G6946" s="2" t="s">
        <v>173</v>
      </c>
      <c r="H6946" s="2" t="s">
        <v>34</v>
      </c>
      <c r="I6946" s="2" t="s">
        <v>3353</v>
      </c>
      <c r="J6946" s="2" t="s">
        <v>3354</v>
      </c>
      <c r="K6946" s="2" t="s">
        <v>173</v>
      </c>
      <c r="L6946" s="2" t="s">
        <v>34</v>
      </c>
      <c r="M6946" s="7">
        <v>740.98800000000006</v>
      </c>
      <c r="N6946" s="6">
        <v>23.25</v>
      </c>
      <c r="O6946" s="6">
        <v>24.62</v>
      </c>
      <c r="P6946" s="2" t="s">
        <v>21038</v>
      </c>
      <c r="Q6946" s="6">
        <v>100</v>
      </c>
      <c r="R6946" s="6">
        <v>48</v>
      </c>
      <c r="S6946" s="5">
        <v>49.5</v>
      </c>
      <c r="T6946" s="7">
        <v>180.95599999999999</v>
      </c>
      <c r="U6946" s="5">
        <v>21</v>
      </c>
      <c r="V6946" s="6">
        <v>2.4</v>
      </c>
      <c r="W6946" s="6">
        <v>28.97</v>
      </c>
      <c r="X6946" s="6">
        <v>30.02</v>
      </c>
      <c r="Y6946" s="5">
        <v>46.1</v>
      </c>
      <c r="Z6946" s="6">
        <v>46.24</v>
      </c>
      <c r="AA6946" s="6">
        <v>19.84</v>
      </c>
      <c r="AB6946" s="7">
        <v>10.243</v>
      </c>
      <c r="AC6946" s="6">
        <v>23.34</v>
      </c>
    </row>
    <row r="6947" spans="1:29" ht="169" x14ac:dyDescent="0.15">
      <c r="A6947" s="3">
        <f>DATE(2003,7,10)</f>
        <v>37812</v>
      </c>
      <c r="B6947" s="3">
        <f>DATE(2004,2,17)</f>
        <v>38034</v>
      </c>
      <c r="C6947" s="2" t="s">
        <v>95</v>
      </c>
      <c r="D6947" s="2" t="s">
        <v>21039</v>
      </c>
      <c r="E6947" s="2" t="s">
        <v>263</v>
      </c>
      <c r="F6947" s="4">
        <v>6022</v>
      </c>
      <c r="G6947" s="2" t="s">
        <v>37</v>
      </c>
      <c r="H6947" s="2" t="s">
        <v>34</v>
      </c>
      <c r="I6947" s="2" t="s">
        <v>19049</v>
      </c>
      <c r="J6947" s="2" t="s">
        <v>19050</v>
      </c>
      <c r="K6947" s="2" t="s">
        <v>37</v>
      </c>
      <c r="L6947" s="2" t="s">
        <v>34</v>
      </c>
      <c r="M6947" s="7">
        <v>445.14100000000002</v>
      </c>
      <c r="N6947" s="6">
        <v>21.96</v>
      </c>
      <c r="O6947" s="6">
        <v>21.95</v>
      </c>
      <c r="P6947" s="2" t="s">
        <v>21040</v>
      </c>
      <c r="Q6947" s="6">
        <v>100</v>
      </c>
      <c r="R6947" s="6">
        <v>19.86</v>
      </c>
      <c r="S6947" s="2"/>
      <c r="T6947" s="2"/>
      <c r="U6947" s="2"/>
      <c r="V6947" s="2"/>
      <c r="W6947" s="5">
        <v>16.5</v>
      </c>
      <c r="X6947" s="5">
        <v>16.5</v>
      </c>
      <c r="Y6947" s="6">
        <v>16.350000000000001</v>
      </c>
      <c r="Z6947" s="5">
        <v>18.100000000000001</v>
      </c>
      <c r="AA6947" s="6">
        <v>1.31</v>
      </c>
      <c r="AB6947" s="2" t="s">
        <v>47</v>
      </c>
      <c r="AC6947" s="2"/>
    </row>
    <row r="6948" spans="1:29" ht="91" x14ac:dyDescent="0.15">
      <c r="A6948" s="3">
        <f>DATE(2003,7,10)</f>
        <v>37812</v>
      </c>
      <c r="B6948" s="3">
        <f>DATE(2003,9,3)</f>
        <v>37867</v>
      </c>
      <c r="C6948" s="2" t="s">
        <v>95</v>
      </c>
      <c r="D6948" s="2" t="s">
        <v>21041</v>
      </c>
      <c r="E6948" s="2" t="s">
        <v>21042</v>
      </c>
      <c r="F6948" s="4">
        <v>7372</v>
      </c>
      <c r="G6948" s="2" t="s">
        <v>551</v>
      </c>
      <c r="H6948" s="2" t="s">
        <v>34</v>
      </c>
      <c r="I6948" s="2" t="s">
        <v>21043</v>
      </c>
      <c r="J6948" s="2" t="s">
        <v>21044</v>
      </c>
      <c r="K6948" s="2" t="s">
        <v>551</v>
      </c>
      <c r="L6948" s="2" t="s">
        <v>303</v>
      </c>
      <c r="M6948" s="7">
        <v>389.74299999999999</v>
      </c>
      <c r="N6948" s="2"/>
      <c r="O6948" s="2"/>
      <c r="P6948" s="2" t="s">
        <v>21045</v>
      </c>
      <c r="Q6948" s="6">
        <v>100</v>
      </c>
      <c r="R6948" s="6">
        <v>1.1000000000000001</v>
      </c>
      <c r="S6948" s="5">
        <v>-15.9</v>
      </c>
      <c r="T6948" s="7">
        <v>-14.337</v>
      </c>
      <c r="U6948" s="5">
        <v>0.5</v>
      </c>
      <c r="V6948" s="6">
        <v>-0.76</v>
      </c>
      <c r="W6948" s="6">
        <v>0.84</v>
      </c>
      <c r="X6948" s="6">
        <v>1.08</v>
      </c>
      <c r="Y6948" s="6">
        <v>1.08</v>
      </c>
      <c r="Z6948" s="6">
        <v>1.08</v>
      </c>
      <c r="AA6948" s="6">
        <v>21.24</v>
      </c>
      <c r="AB6948" s="2" t="s">
        <v>86</v>
      </c>
      <c r="AC6948" s="6">
        <v>120.24</v>
      </c>
    </row>
    <row r="6949" spans="1:29" ht="117" x14ac:dyDescent="0.15">
      <c r="A6949" s="3">
        <f>DATE(2003,7,11)</f>
        <v>37813</v>
      </c>
      <c r="B6949" s="2"/>
      <c r="C6949" s="2" t="s">
        <v>30</v>
      </c>
      <c r="D6949" s="2" t="s">
        <v>20760</v>
      </c>
      <c r="E6949" s="2" t="s">
        <v>20761</v>
      </c>
      <c r="F6949" s="4">
        <v>1521</v>
      </c>
      <c r="G6949" s="2" t="s">
        <v>341</v>
      </c>
      <c r="H6949" s="2" t="s">
        <v>34</v>
      </c>
      <c r="I6949" s="2" t="s">
        <v>21046</v>
      </c>
      <c r="J6949" s="2" t="s">
        <v>244</v>
      </c>
      <c r="K6949" s="2" t="s">
        <v>53</v>
      </c>
      <c r="L6949" s="2" t="s">
        <v>34</v>
      </c>
      <c r="M6949" s="2"/>
      <c r="N6949" s="2"/>
      <c r="O6949" s="2"/>
      <c r="P6949" s="2" t="s">
        <v>21047</v>
      </c>
      <c r="Q6949" s="2"/>
      <c r="R6949" s="2"/>
      <c r="S6949" s="5">
        <v>121.1</v>
      </c>
      <c r="T6949" s="7">
        <v>217.726</v>
      </c>
      <c r="U6949" s="5">
        <v>9.6999999999999993</v>
      </c>
      <c r="V6949" s="6">
        <v>0.88</v>
      </c>
      <c r="W6949" s="6">
        <v>11.37</v>
      </c>
      <c r="X6949" s="6">
        <v>11.04</v>
      </c>
      <c r="Y6949" s="6">
        <v>11.13</v>
      </c>
      <c r="Z6949" s="6">
        <v>12.43</v>
      </c>
      <c r="AA6949" s="6">
        <v>136.21</v>
      </c>
      <c r="AB6949" s="2" t="s">
        <v>47</v>
      </c>
      <c r="AC6949" s="2"/>
    </row>
    <row r="6950" spans="1:29" ht="208" x14ac:dyDescent="0.15">
      <c r="A6950" s="3">
        <f>DATE(2003,7,12)</f>
        <v>37814</v>
      </c>
      <c r="B6950" s="3">
        <f>DATE(2003,12,3)</f>
        <v>37958</v>
      </c>
      <c r="C6950" s="2" t="s">
        <v>95</v>
      </c>
      <c r="D6950" s="2" t="s">
        <v>15247</v>
      </c>
      <c r="E6950" s="2" t="s">
        <v>92</v>
      </c>
      <c r="F6950" s="4">
        <v>6798</v>
      </c>
      <c r="G6950" s="2" t="s">
        <v>53</v>
      </c>
      <c r="H6950" s="2" t="s">
        <v>34</v>
      </c>
      <c r="I6950" s="2" t="s">
        <v>21048</v>
      </c>
      <c r="J6950" s="2" t="s">
        <v>21049</v>
      </c>
      <c r="K6950" s="2" t="s">
        <v>109</v>
      </c>
      <c r="L6950" s="2" t="s">
        <v>34</v>
      </c>
      <c r="M6950" s="7">
        <v>294.06400000000002</v>
      </c>
      <c r="N6950" s="6">
        <v>22.57</v>
      </c>
      <c r="O6950" s="6">
        <v>22.57</v>
      </c>
      <c r="P6950" s="2" t="s">
        <v>21050</v>
      </c>
      <c r="Q6950" s="6">
        <v>100</v>
      </c>
      <c r="R6950" s="6">
        <v>6.16</v>
      </c>
      <c r="S6950" s="5">
        <v>49.4</v>
      </c>
      <c r="T6950" s="2"/>
      <c r="U6950" s="5">
        <v>6.5</v>
      </c>
      <c r="V6950" s="6">
        <v>1.69</v>
      </c>
      <c r="W6950" s="6">
        <v>5.37</v>
      </c>
      <c r="X6950" s="6">
        <v>5.58</v>
      </c>
      <c r="Y6950" s="4">
        <v>6</v>
      </c>
      <c r="Z6950" s="4">
        <v>6</v>
      </c>
      <c r="AA6950" s="6">
        <v>29.86</v>
      </c>
      <c r="AB6950" s="7">
        <v>6.6959999999999997</v>
      </c>
      <c r="AC6950" s="6">
        <v>38.83</v>
      </c>
    </row>
    <row r="6951" spans="1:29" ht="130" x14ac:dyDescent="0.15">
      <c r="A6951" s="3">
        <f>DATE(2003,7,13)</f>
        <v>37815</v>
      </c>
      <c r="B6951" s="3">
        <f>DATE(2003,11,14)</f>
        <v>37939</v>
      </c>
      <c r="C6951" s="2" t="s">
        <v>95</v>
      </c>
      <c r="D6951" s="2" t="s">
        <v>21051</v>
      </c>
      <c r="E6951" s="2" t="s">
        <v>21052</v>
      </c>
      <c r="F6951" s="4">
        <v>8211</v>
      </c>
      <c r="G6951" s="2" t="s">
        <v>415</v>
      </c>
      <c r="H6951" s="2" t="s">
        <v>34</v>
      </c>
      <c r="I6951" s="2" t="s">
        <v>51</v>
      </c>
      <c r="J6951" s="2" t="s">
        <v>52</v>
      </c>
      <c r="K6951" s="2" t="s">
        <v>53</v>
      </c>
      <c r="L6951" s="2" t="s">
        <v>34</v>
      </c>
      <c r="M6951" s="2"/>
      <c r="N6951" s="2"/>
      <c r="O6951" s="2"/>
      <c r="P6951" s="2" t="s">
        <v>21053</v>
      </c>
      <c r="Q6951" s="6">
        <v>100</v>
      </c>
      <c r="R6951" s="6">
        <v>1.76</v>
      </c>
      <c r="S6951" s="5">
        <v>-78</v>
      </c>
      <c r="T6951" s="7">
        <v>17.222999999999999</v>
      </c>
      <c r="U6951" s="5">
        <v>3.9</v>
      </c>
      <c r="V6951" s="6">
        <v>-1.46</v>
      </c>
      <c r="W6951" s="6">
        <v>1.07</v>
      </c>
      <c r="X6951" s="6">
        <v>1.27</v>
      </c>
      <c r="Y6951" s="4">
        <v>2</v>
      </c>
      <c r="Z6951" s="6">
        <v>1.75</v>
      </c>
      <c r="AA6951" s="6">
        <v>52.61</v>
      </c>
      <c r="AB6951" s="2" t="s">
        <v>86</v>
      </c>
      <c r="AC6951" s="2"/>
    </row>
    <row r="6952" spans="1:29" ht="208" x14ac:dyDescent="0.15">
      <c r="A6952" s="3">
        <f>DATE(2003,7,14)</f>
        <v>37816</v>
      </c>
      <c r="B6952" s="3">
        <f>DATE(2003,12,9)</f>
        <v>37964</v>
      </c>
      <c r="C6952" s="2" t="s">
        <v>95</v>
      </c>
      <c r="D6952" s="2" t="s">
        <v>2758</v>
      </c>
      <c r="E6952" s="2" t="s">
        <v>2759</v>
      </c>
      <c r="F6952" s="4">
        <v>5943</v>
      </c>
      <c r="G6952" s="2" t="s">
        <v>73</v>
      </c>
      <c r="H6952" s="2" t="s">
        <v>34</v>
      </c>
      <c r="I6952" s="2" t="s">
        <v>15837</v>
      </c>
      <c r="J6952" s="2" t="s">
        <v>15838</v>
      </c>
      <c r="K6952" s="2" t="s">
        <v>282</v>
      </c>
      <c r="L6952" s="2" t="s">
        <v>34</v>
      </c>
      <c r="M6952" s="12">
        <v>1457.876</v>
      </c>
      <c r="N6952" s="6">
        <v>21.87</v>
      </c>
      <c r="O6952" s="5">
        <v>21.5</v>
      </c>
      <c r="P6952" s="2" t="s">
        <v>21054</v>
      </c>
      <c r="Q6952" s="6">
        <v>100</v>
      </c>
      <c r="R6952" s="6">
        <v>10.55</v>
      </c>
      <c r="S6952" s="5">
        <v>26.6</v>
      </c>
      <c r="T6952" s="7">
        <v>122.76600000000001</v>
      </c>
      <c r="U6952" s="5">
        <v>5.7</v>
      </c>
      <c r="V6952" s="6">
        <v>0.21</v>
      </c>
      <c r="W6952" s="6">
        <v>6.87</v>
      </c>
      <c r="X6952" s="6">
        <v>7.18</v>
      </c>
      <c r="Y6952" s="5">
        <v>8.6</v>
      </c>
      <c r="Z6952" s="6">
        <v>8.4600000000000009</v>
      </c>
      <c r="AA6952" s="6">
        <v>124.48</v>
      </c>
      <c r="AB6952" s="7">
        <v>45.557000000000002</v>
      </c>
      <c r="AC6952" s="6">
        <v>98.24</v>
      </c>
    </row>
    <row r="6953" spans="1:29" ht="117" x14ac:dyDescent="0.15">
      <c r="A6953" s="3">
        <f>DATE(2003,7,14)</f>
        <v>37816</v>
      </c>
      <c r="B6953" s="3">
        <f>DATE(2003,10,7)</f>
        <v>37901</v>
      </c>
      <c r="C6953" s="2" t="s">
        <v>95</v>
      </c>
      <c r="D6953" s="2" t="s">
        <v>21055</v>
      </c>
      <c r="E6953" s="2" t="s">
        <v>12371</v>
      </c>
      <c r="F6953" s="4">
        <v>7375</v>
      </c>
      <c r="G6953" s="2" t="s">
        <v>223</v>
      </c>
      <c r="H6953" s="2" t="s">
        <v>34</v>
      </c>
      <c r="I6953" s="2" t="s">
        <v>12515</v>
      </c>
      <c r="J6953" s="2" t="s">
        <v>12371</v>
      </c>
      <c r="K6953" s="2" t="s">
        <v>223</v>
      </c>
      <c r="L6953" s="2" t="s">
        <v>34</v>
      </c>
      <c r="M6953" s="12">
        <v>18494.778999999999</v>
      </c>
      <c r="N6953" s="5">
        <v>32.200000000000003</v>
      </c>
      <c r="O6953" s="6">
        <v>32.36</v>
      </c>
      <c r="P6953" s="2" t="s">
        <v>21056</v>
      </c>
      <c r="Q6953" s="6">
        <v>100</v>
      </c>
      <c r="R6953" s="6">
        <v>24.41</v>
      </c>
      <c r="S6953" s="5">
        <v>45.1</v>
      </c>
      <c r="T6953" s="7">
        <v>113.185</v>
      </c>
      <c r="U6953" s="5">
        <v>6.4</v>
      </c>
      <c r="V6953" s="6">
        <v>0.75</v>
      </c>
      <c r="W6953" s="6">
        <v>20.65</v>
      </c>
      <c r="X6953" s="6">
        <v>21.51</v>
      </c>
      <c r="Y6953" s="6">
        <v>24.05</v>
      </c>
      <c r="Z6953" s="5">
        <v>24.3</v>
      </c>
      <c r="AA6953" s="6">
        <v>63.72</v>
      </c>
      <c r="AB6953" s="7">
        <v>18.795999999999999</v>
      </c>
      <c r="AC6953" s="10">
        <v>1572.98</v>
      </c>
    </row>
    <row r="6954" spans="1:29" ht="143" x14ac:dyDescent="0.15">
      <c r="A6954" s="3">
        <f>DATE(2003,7,15)</f>
        <v>37817</v>
      </c>
      <c r="B6954" s="3">
        <f>DATE(2004,1,2)</f>
        <v>37988</v>
      </c>
      <c r="C6954" s="2" t="s">
        <v>95</v>
      </c>
      <c r="D6954" s="2" t="s">
        <v>21057</v>
      </c>
      <c r="E6954" s="2" t="s">
        <v>21058</v>
      </c>
      <c r="F6954" s="4">
        <v>6035</v>
      </c>
      <c r="G6954" s="2" t="s">
        <v>33</v>
      </c>
      <c r="H6954" s="2" t="s">
        <v>34</v>
      </c>
      <c r="I6954" s="2" t="s">
        <v>4531</v>
      </c>
      <c r="J6954" s="2" t="s">
        <v>4532</v>
      </c>
      <c r="K6954" s="2" t="s">
        <v>125</v>
      </c>
      <c r="L6954" s="2" t="s">
        <v>34</v>
      </c>
      <c r="M6954" s="7">
        <v>324.47899999999998</v>
      </c>
      <c r="N6954" s="6">
        <v>26.12</v>
      </c>
      <c r="O6954" s="6">
        <v>26.13</v>
      </c>
      <c r="P6954" s="2" t="s">
        <v>21059</v>
      </c>
      <c r="Q6954" s="6">
        <v>100</v>
      </c>
      <c r="R6954" s="6">
        <v>20.440000000000001</v>
      </c>
      <c r="S6954" s="5">
        <v>5.3</v>
      </c>
      <c r="T6954" s="2"/>
      <c r="U6954" s="5">
        <v>18.3</v>
      </c>
      <c r="V6954" s="6">
        <v>0.59</v>
      </c>
      <c r="W6954" s="6">
        <v>17.350000000000001</v>
      </c>
      <c r="X6954" s="6">
        <v>17.45</v>
      </c>
      <c r="Y6954" s="6">
        <v>20.03</v>
      </c>
      <c r="Z6954" s="6">
        <v>20.04</v>
      </c>
      <c r="AA6954" s="6">
        <v>6.92</v>
      </c>
      <c r="AB6954" s="2" t="s">
        <v>47</v>
      </c>
      <c r="AC6954" s="2"/>
    </row>
    <row r="6955" spans="1:29" ht="221" x14ac:dyDescent="0.15">
      <c r="A6955" s="3">
        <f>DATE(2003,7,16)</f>
        <v>37818</v>
      </c>
      <c r="B6955" s="3">
        <f>DATE(2004,4,1)</f>
        <v>38078</v>
      </c>
      <c r="C6955" s="2" t="s">
        <v>95</v>
      </c>
      <c r="D6955" s="2" t="s">
        <v>21060</v>
      </c>
      <c r="E6955" s="2" t="s">
        <v>263</v>
      </c>
      <c r="F6955" s="4">
        <v>6021</v>
      </c>
      <c r="G6955" s="2" t="s">
        <v>37</v>
      </c>
      <c r="H6955" s="2" t="s">
        <v>34</v>
      </c>
      <c r="I6955" s="2" t="s">
        <v>21061</v>
      </c>
      <c r="J6955" s="2" t="s">
        <v>32</v>
      </c>
      <c r="K6955" s="2" t="s">
        <v>33</v>
      </c>
      <c r="L6955" s="2" t="s">
        <v>34</v>
      </c>
      <c r="M6955" s="2"/>
      <c r="N6955" s="2"/>
      <c r="O6955" s="2"/>
      <c r="P6955" s="2" t="s">
        <v>21062</v>
      </c>
      <c r="Q6955" s="6">
        <v>100</v>
      </c>
      <c r="R6955" s="6">
        <v>25</v>
      </c>
      <c r="S6955" s="5">
        <v>3.6</v>
      </c>
      <c r="T6955" s="2"/>
      <c r="U6955" s="5">
        <v>11.3</v>
      </c>
      <c r="V6955" s="6">
        <v>1.28</v>
      </c>
      <c r="W6955" s="6">
        <v>24.45</v>
      </c>
      <c r="X6955" s="5">
        <v>26.4</v>
      </c>
      <c r="Y6955" s="5">
        <v>31.1</v>
      </c>
      <c r="Z6955" s="6">
        <v>31.03</v>
      </c>
      <c r="AA6955" s="6">
        <v>2.68</v>
      </c>
      <c r="AB6955" s="7">
        <v>20.46</v>
      </c>
      <c r="AC6955" s="2"/>
    </row>
    <row r="6956" spans="1:29" ht="182" x14ac:dyDescent="0.15">
      <c r="A6956" s="3">
        <f>DATE(2003,7,16)</f>
        <v>37818</v>
      </c>
      <c r="B6956" s="3">
        <f>DATE(2004,4,1)</f>
        <v>38078</v>
      </c>
      <c r="C6956" s="2" t="s">
        <v>95</v>
      </c>
      <c r="D6956" s="2" t="s">
        <v>18448</v>
      </c>
      <c r="E6956" s="2" t="s">
        <v>265</v>
      </c>
      <c r="F6956" s="4">
        <v>6021</v>
      </c>
      <c r="G6956" s="2" t="s">
        <v>37</v>
      </c>
      <c r="H6956" s="2" t="s">
        <v>34</v>
      </c>
      <c r="I6956" s="2" t="s">
        <v>21061</v>
      </c>
      <c r="J6956" s="2" t="s">
        <v>32</v>
      </c>
      <c r="K6956" s="2" t="s">
        <v>33</v>
      </c>
      <c r="L6956" s="2" t="s">
        <v>34</v>
      </c>
      <c r="M6956" s="2"/>
      <c r="N6956" s="2"/>
      <c r="O6956" s="2"/>
      <c r="P6956" s="2" t="s">
        <v>21063</v>
      </c>
      <c r="Q6956" s="6">
        <v>100</v>
      </c>
      <c r="R6956" s="6">
        <v>52</v>
      </c>
      <c r="S6956" s="5">
        <v>29.1</v>
      </c>
      <c r="T6956" s="2"/>
      <c r="U6956" s="5">
        <v>23.2</v>
      </c>
      <c r="V6956" s="6">
        <v>2.69</v>
      </c>
      <c r="W6956" s="5">
        <v>41.6</v>
      </c>
      <c r="X6956" s="6">
        <v>46.45</v>
      </c>
      <c r="Y6956" s="6">
        <v>50.99</v>
      </c>
      <c r="Z6956" s="6">
        <v>50.96</v>
      </c>
      <c r="AA6956" s="6">
        <v>10.99</v>
      </c>
      <c r="AB6956" s="7">
        <v>29.222000000000001</v>
      </c>
      <c r="AC6956" s="2"/>
    </row>
    <row r="6957" spans="1:29" ht="208" x14ac:dyDescent="0.15">
      <c r="A6957" s="3">
        <f>DATE(2003,7,16)</f>
        <v>37818</v>
      </c>
      <c r="B6957" s="3">
        <f>DATE(2003,10,20)</f>
        <v>37914</v>
      </c>
      <c r="C6957" s="2" t="s">
        <v>95</v>
      </c>
      <c r="D6957" s="2" t="s">
        <v>21064</v>
      </c>
      <c r="E6957" s="2" t="s">
        <v>36</v>
      </c>
      <c r="F6957" s="4">
        <v>6022</v>
      </c>
      <c r="G6957" s="2" t="s">
        <v>37</v>
      </c>
      <c r="H6957" s="2" t="s">
        <v>34</v>
      </c>
      <c r="I6957" s="2" t="s">
        <v>13442</v>
      </c>
      <c r="J6957" s="2" t="s">
        <v>3246</v>
      </c>
      <c r="K6957" s="2" t="s">
        <v>37</v>
      </c>
      <c r="L6957" s="2" t="s">
        <v>34</v>
      </c>
      <c r="M6957" s="12">
        <v>1838.375</v>
      </c>
      <c r="N6957" s="6">
        <v>22.74</v>
      </c>
      <c r="O6957" s="6">
        <v>22.44</v>
      </c>
      <c r="P6957" s="2" t="s">
        <v>21065</v>
      </c>
      <c r="Q6957" s="6">
        <v>100</v>
      </c>
      <c r="R6957" s="6">
        <v>16.77</v>
      </c>
      <c r="S6957" s="5">
        <v>1.2</v>
      </c>
      <c r="T6957" s="7">
        <v>2.0539999999999998</v>
      </c>
      <c r="U6957" s="5">
        <v>12.6</v>
      </c>
      <c r="V6957" s="6">
        <v>0.5</v>
      </c>
      <c r="W6957" s="5">
        <v>11.5</v>
      </c>
      <c r="X6957" s="6">
        <v>12.75</v>
      </c>
      <c r="Y6957" s="6">
        <v>16.25</v>
      </c>
      <c r="Z6957" s="4">
        <v>16</v>
      </c>
      <c r="AA6957" s="6">
        <v>2.35</v>
      </c>
      <c r="AB6957" s="7">
        <v>125.19499999999999</v>
      </c>
      <c r="AC6957" s="2"/>
    </row>
    <row r="6958" spans="1:29" ht="78" x14ac:dyDescent="0.15">
      <c r="A6958" s="3">
        <f>DATE(2003,7,16)</f>
        <v>37818</v>
      </c>
      <c r="B6958" s="3">
        <f>DATE(2003,9,22)</f>
        <v>37886</v>
      </c>
      <c r="C6958" s="2" t="s">
        <v>95</v>
      </c>
      <c r="D6958" s="2" t="s">
        <v>21066</v>
      </c>
      <c r="E6958" s="2" t="s">
        <v>21067</v>
      </c>
      <c r="F6958" s="4">
        <v>7372</v>
      </c>
      <c r="G6958" s="2" t="s">
        <v>551</v>
      </c>
      <c r="H6958" s="2" t="s">
        <v>34</v>
      </c>
      <c r="I6958" s="2" t="s">
        <v>16069</v>
      </c>
      <c r="J6958" s="2" t="s">
        <v>16070</v>
      </c>
      <c r="K6958" s="2" t="s">
        <v>551</v>
      </c>
      <c r="L6958" s="2" t="s">
        <v>34</v>
      </c>
      <c r="M6958" s="2"/>
      <c r="N6958" s="2"/>
      <c r="O6958" s="2"/>
      <c r="P6958" s="2" t="s">
        <v>21068</v>
      </c>
      <c r="Q6958" s="6">
        <v>100</v>
      </c>
      <c r="R6958" s="6">
        <v>8.25</v>
      </c>
      <c r="S6958" s="5">
        <v>2.4</v>
      </c>
      <c r="T6958" s="2"/>
      <c r="U6958" s="5">
        <v>2.1</v>
      </c>
      <c r="V6958" s="6">
        <v>0.2</v>
      </c>
      <c r="W6958" s="6">
        <v>5.98</v>
      </c>
      <c r="X6958" s="6">
        <v>6.05</v>
      </c>
      <c r="Y6958" s="6">
        <v>6.19</v>
      </c>
      <c r="Z6958" s="6">
        <v>8.16</v>
      </c>
      <c r="AA6958" s="6">
        <v>11.81</v>
      </c>
      <c r="AB6958" s="7">
        <v>23.253</v>
      </c>
      <c r="AC6958" s="2"/>
    </row>
    <row r="6959" spans="1:29" ht="78" x14ac:dyDescent="0.15">
      <c r="A6959" s="3">
        <f>DATE(2003,7,21)</f>
        <v>37823</v>
      </c>
      <c r="B6959" s="2"/>
      <c r="C6959" s="2" t="s">
        <v>30</v>
      </c>
      <c r="D6959" s="2" t="s">
        <v>21069</v>
      </c>
      <c r="E6959" s="2" t="s">
        <v>1237</v>
      </c>
      <c r="F6959" s="4">
        <v>6021</v>
      </c>
      <c r="G6959" s="2" t="s">
        <v>37</v>
      </c>
      <c r="H6959" s="2" t="s">
        <v>34</v>
      </c>
      <c r="I6959" s="2" t="s">
        <v>21070</v>
      </c>
      <c r="J6959" s="2" t="s">
        <v>263</v>
      </c>
      <c r="K6959" s="2" t="s">
        <v>37</v>
      </c>
      <c r="L6959" s="2" t="s">
        <v>34</v>
      </c>
      <c r="M6959" s="2"/>
      <c r="N6959" s="2"/>
      <c r="O6959" s="2"/>
      <c r="P6959" s="2" t="s">
        <v>21071</v>
      </c>
      <c r="Q6959" s="2"/>
      <c r="R6959" s="6">
        <v>14.49</v>
      </c>
      <c r="S6959" s="5">
        <v>1.3</v>
      </c>
      <c r="T6959" s="2"/>
      <c r="U6959" s="5">
        <v>12.2</v>
      </c>
      <c r="V6959" s="6">
        <v>0.97</v>
      </c>
      <c r="W6959" s="5">
        <v>9.6</v>
      </c>
      <c r="X6959" s="5">
        <v>10.199999999999999</v>
      </c>
      <c r="Y6959" s="5">
        <v>10.199999999999999</v>
      </c>
      <c r="Z6959" s="6">
        <v>14.16</v>
      </c>
      <c r="AA6959" s="6">
        <v>1.36</v>
      </c>
      <c r="AB6959" s="7">
        <v>19.818999999999999</v>
      </c>
      <c r="AC6959" s="2"/>
    </row>
    <row r="6960" spans="1:29" ht="156" x14ac:dyDescent="0.15">
      <c r="A6960" s="3">
        <f>DATE(2003,7,21)</f>
        <v>37823</v>
      </c>
      <c r="B6960" s="3">
        <f>DATE(2004,1,30)</f>
        <v>38016</v>
      </c>
      <c r="C6960" s="2" t="s">
        <v>95</v>
      </c>
      <c r="D6960" s="2" t="s">
        <v>17420</v>
      </c>
      <c r="E6960" s="2" t="s">
        <v>11146</v>
      </c>
      <c r="F6960" s="4">
        <v>1541</v>
      </c>
      <c r="G6960" s="2" t="s">
        <v>341</v>
      </c>
      <c r="H6960" s="2" t="s">
        <v>34</v>
      </c>
      <c r="I6960" s="2" t="s">
        <v>278</v>
      </c>
      <c r="J6960" s="2" t="s">
        <v>52</v>
      </c>
      <c r="K6960" s="2" t="s">
        <v>53</v>
      </c>
      <c r="L6960" s="2" t="s">
        <v>34</v>
      </c>
      <c r="M6960" s="2"/>
      <c r="N6960" s="2"/>
      <c r="O6960" s="2"/>
      <c r="P6960" s="2" t="s">
        <v>21072</v>
      </c>
      <c r="Q6960" s="6">
        <v>65</v>
      </c>
      <c r="R6960" s="6">
        <v>53.3</v>
      </c>
      <c r="S6960" s="5">
        <v>55.1</v>
      </c>
      <c r="T6960" s="7">
        <v>130.92500000000001</v>
      </c>
      <c r="U6960" s="5">
        <v>26.9</v>
      </c>
      <c r="V6960" s="6">
        <v>2.98</v>
      </c>
      <c r="W6960" s="5">
        <v>40.700000000000003</v>
      </c>
      <c r="X6960" s="5">
        <v>37.9</v>
      </c>
      <c r="Y6960" s="6">
        <v>38.270000000000003</v>
      </c>
      <c r="Z6960" s="6">
        <v>41.42</v>
      </c>
      <c r="AA6960" s="6">
        <v>11.83</v>
      </c>
      <c r="AB6960" s="7">
        <v>10.993</v>
      </c>
      <c r="AC6960" s="2"/>
    </row>
    <row r="6961" spans="1:29" ht="78" x14ac:dyDescent="0.15">
      <c r="A6961" s="3">
        <f>DATE(2003,7,21)</f>
        <v>37823</v>
      </c>
      <c r="B6961" s="3">
        <f>DATE(2004,2,19)</f>
        <v>38036</v>
      </c>
      <c r="C6961" s="2" t="s">
        <v>95</v>
      </c>
      <c r="D6961" s="2" t="s">
        <v>21073</v>
      </c>
      <c r="E6961" s="2" t="s">
        <v>1181</v>
      </c>
      <c r="F6961" s="4">
        <v>6021</v>
      </c>
      <c r="G6961" s="2" t="s">
        <v>37</v>
      </c>
      <c r="H6961" s="2" t="s">
        <v>34</v>
      </c>
      <c r="I6961" s="2" t="s">
        <v>21074</v>
      </c>
      <c r="J6961" s="2" t="s">
        <v>1181</v>
      </c>
      <c r="K6961" s="2" t="s">
        <v>37</v>
      </c>
      <c r="L6961" s="2" t="s">
        <v>34</v>
      </c>
      <c r="M6961" s="2"/>
      <c r="N6961" s="2"/>
      <c r="O6961" s="2"/>
      <c r="P6961" s="2" t="s">
        <v>21075</v>
      </c>
      <c r="Q6961" s="6">
        <v>100</v>
      </c>
      <c r="R6961" s="6">
        <v>16.75</v>
      </c>
      <c r="S6961" s="2"/>
      <c r="T6961" s="2"/>
      <c r="U6961" s="2"/>
      <c r="V6961" s="2"/>
      <c r="W6961" s="6">
        <v>13.75</v>
      </c>
      <c r="X6961" s="6">
        <v>13.75</v>
      </c>
      <c r="Y6961" s="6">
        <v>13.75</v>
      </c>
      <c r="Z6961" s="6">
        <v>16.260000000000002</v>
      </c>
      <c r="AA6961" s="6">
        <v>1.0900000000000001</v>
      </c>
      <c r="AB6961" s="2" t="s">
        <v>47</v>
      </c>
      <c r="AC6961" s="2"/>
    </row>
    <row r="6962" spans="1:29" ht="156" x14ac:dyDescent="0.15">
      <c r="A6962" s="3">
        <f>DATE(2003,7,21)</f>
        <v>37823</v>
      </c>
      <c r="B6962" s="3">
        <f>DATE(2004,1,27)</f>
        <v>38013</v>
      </c>
      <c r="C6962" s="2" t="s">
        <v>95</v>
      </c>
      <c r="D6962" s="2" t="s">
        <v>21076</v>
      </c>
      <c r="E6962" s="2" t="s">
        <v>844</v>
      </c>
      <c r="F6962" s="4">
        <v>6552</v>
      </c>
      <c r="G6962" s="2" t="s">
        <v>109</v>
      </c>
      <c r="H6962" s="2" t="s">
        <v>34</v>
      </c>
      <c r="I6962" s="2" t="s">
        <v>51</v>
      </c>
      <c r="J6962" s="2" t="s">
        <v>52</v>
      </c>
      <c r="K6962" s="2" t="s">
        <v>53</v>
      </c>
      <c r="L6962" s="2" t="s">
        <v>34</v>
      </c>
      <c r="M6962" s="2"/>
      <c r="N6962" s="2"/>
      <c r="O6962" s="2"/>
      <c r="P6962" s="2" t="s">
        <v>21077</v>
      </c>
      <c r="Q6962" s="6">
        <v>100</v>
      </c>
      <c r="R6962" s="6">
        <v>40.5</v>
      </c>
      <c r="S6962" s="5">
        <v>33.200000000000003</v>
      </c>
      <c r="T6962" s="7">
        <v>44.904000000000003</v>
      </c>
      <c r="U6962" s="5">
        <v>5.9</v>
      </c>
      <c r="V6962" s="6">
        <v>1.39</v>
      </c>
      <c r="W6962" s="6">
        <v>33.75</v>
      </c>
      <c r="X6962" s="6">
        <v>32.049999999999997</v>
      </c>
      <c r="Y6962" s="5">
        <v>33.4</v>
      </c>
      <c r="Z6962" s="6">
        <v>38.83</v>
      </c>
      <c r="AA6962" s="6">
        <v>23.39</v>
      </c>
      <c r="AB6962" s="7">
        <v>29.92</v>
      </c>
      <c r="AC6962" s="2"/>
    </row>
    <row r="6963" spans="1:29" ht="104" x14ac:dyDescent="0.15">
      <c r="A6963" s="3">
        <f>DATE(2003,7,21)</f>
        <v>37823</v>
      </c>
      <c r="B6963" s="3">
        <f>DATE(2003,10,7)</f>
        <v>37901</v>
      </c>
      <c r="C6963" s="2" t="s">
        <v>95</v>
      </c>
      <c r="D6963" s="2" t="s">
        <v>21078</v>
      </c>
      <c r="E6963" s="2" t="s">
        <v>21079</v>
      </c>
      <c r="F6963" s="4">
        <v>7372</v>
      </c>
      <c r="G6963" s="2" t="s">
        <v>551</v>
      </c>
      <c r="H6963" s="2" t="s">
        <v>34</v>
      </c>
      <c r="I6963" s="2" t="s">
        <v>2220</v>
      </c>
      <c r="J6963" s="2" t="s">
        <v>2221</v>
      </c>
      <c r="K6963" s="2" t="s">
        <v>226</v>
      </c>
      <c r="L6963" s="2" t="s">
        <v>34</v>
      </c>
      <c r="M6963" s="10">
        <v>7958.61</v>
      </c>
      <c r="N6963" s="5">
        <v>25.4</v>
      </c>
      <c r="O6963" s="6">
        <v>24.59</v>
      </c>
      <c r="P6963" s="2" t="s">
        <v>21080</v>
      </c>
      <c r="Q6963" s="6">
        <v>100</v>
      </c>
      <c r="R6963" s="6">
        <v>21.5</v>
      </c>
      <c r="S6963" s="5">
        <v>1.5</v>
      </c>
      <c r="T6963" s="7">
        <v>8.2129999999999992</v>
      </c>
      <c r="U6963" s="5">
        <v>5.5</v>
      </c>
      <c r="V6963" s="6">
        <v>0.08</v>
      </c>
      <c r="W6963" s="6">
        <v>19.350000000000001</v>
      </c>
      <c r="X6963" s="6">
        <v>17.68</v>
      </c>
      <c r="Y6963" s="6">
        <v>21.21</v>
      </c>
      <c r="Z6963" s="6">
        <v>21.21</v>
      </c>
      <c r="AA6963" s="6">
        <v>17.79</v>
      </c>
      <c r="AB6963" s="2" t="s">
        <v>86</v>
      </c>
      <c r="AC6963" s="5">
        <v>838</v>
      </c>
    </row>
    <row r="6964" spans="1:29" ht="78" x14ac:dyDescent="0.15">
      <c r="A6964" s="3">
        <f>DATE(2003,7,22)</f>
        <v>37824</v>
      </c>
      <c r="B6964" s="3">
        <f>DATE(2003,11,12)</f>
        <v>37937</v>
      </c>
      <c r="C6964" s="2" t="s">
        <v>95</v>
      </c>
      <c r="D6964" s="2" t="s">
        <v>20861</v>
      </c>
      <c r="E6964" s="2" t="s">
        <v>9761</v>
      </c>
      <c r="F6964" s="4">
        <v>7379</v>
      </c>
      <c r="G6964" s="2" t="s">
        <v>223</v>
      </c>
      <c r="H6964" s="2" t="s">
        <v>34</v>
      </c>
      <c r="I6964" s="2" t="s">
        <v>21081</v>
      </c>
      <c r="J6964" s="2" t="s">
        <v>1620</v>
      </c>
      <c r="K6964" s="2" t="s">
        <v>53</v>
      </c>
      <c r="L6964" s="2" t="s">
        <v>34</v>
      </c>
      <c r="M6964" s="2"/>
      <c r="N6964" s="2"/>
      <c r="O6964" s="2"/>
      <c r="P6964" s="2" t="s">
        <v>21082</v>
      </c>
      <c r="Q6964" s="6">
        <v>100</v>
      </c>
      <c r="R6964" s="6">
        <v>3.25</v>
      </c>
      <c r="S6964" s="5">
        <v>1</v>
      </c>
      <c r="T6964" s="7">
        <v>1.3779999999999999</v>
      </c>
      <c r="U6964" s="5">
        <v>2.9</v>
      </c>
      <c r="V6964" s="6">
        <v>7.0000000000000007E-2</v>
      </c>
      <c r="W6964" s="6">
        <v>3.04</v>
      </c>
      <c r="X6964" s="5">
        <v>3.1</v>
      </c>
      <c r="Y6964" s="6">
        <v>3.19</v>
      </c>
      <c r="Z6964" s="6">
        <v>3.13</v>
      </c>
      <c r="AA6964" s="6">
        <v>9.74</v>
      </c>
      <c r="AB6964" s="7">
        <v>4.7679999999999998</v>
      </c>
      <c r="AC6964" s="2"/>
    </row>
    <row r="6965" spans="1:29" ht="221" x14ac:dyDescent="0.15">
      <c r="A6965" s="3">
        <f>DATE(2003,7,22)</f>
        <v>37824</v>
      </c>
      <c r="B6965" s="3">
        <f>DATE(2003,10,31)</f>
        <v>37925</v>
      </c>
      <c r="C6965" s="2" t="s">
        <v>95</v>
      </c>
      <c r="D6965" s="2" t="s">
        <v>21083</v>
      </c>
      <c r="E6965" s="2" t="s">
        <v>13377</v>
      </c>
      <c r="F6965" s="4">
        <v>6282</v>
      </c>
      <c r="G6965" s="2" t="s">
        <v>53</v>
      </c>
      <c r="H6965" s="2" t="s">
        <v>34</v>
      </c>
      <c r="I6965" s="2" t="s">
        <v>9703</v>
      </c>
      <c r="J6965" s="2" t="s">
        <v>9704</v>
      </c>
      <c r="K6965" s="2" t="s">
        <v>53</v>
      </c>
      <c r="L6965" s="2" t="s">
        <v>34</v>
      </c>
      <c r="M6965" s="12">
        <v>17037.444</v>
      </c>
      <c r="N6965" s="5">
        <v>63.7</v>
      </c>
      <c r="O6965" s="5">
        <v>63.7</v>
      </c>
      <c r="P6965" s="2" t="s">
        <v>21084</v>
      </c>
      <c r="Q6965" s="6">
        <v>100</v>
      </c>
      <c r="R6965" s="6">
        <v>42.84</v>
      </c>
      <c r="S6965" s="2"/>
      <c r="T6965" s="2"/>
      <c r="U6965" s="2"/>
      <c r="V6965" s="2"/>
      <c r="W6965" s="5">
        <v>35.9</v>
      </c>
      <c r="X6965" s="6">
        <v>34.43</v>
      </c>
      <c r="Y6965" s="5">
        <v>37.6</v>
      </c>
      <c r="Z6965" s="6">
        <v>40.049999999999997</v>
      </c>
      <c r="AA6965" s="6">
        <v>70.28</v>
      </c>
      <c r="AB6965" s="2" t="s">
        <v>47</v>
      </c>
      <c r="AC6965" s="8">
        <v>8690</v>
      </c>
    </row>
    <row r="6966" spans="1:29" ht="65" x14ac:dyDescent="0.15">
      <c r="A6966" s="3">
        <f>DATE(2003,7,22)</f>
        <v>37824</v>
      </c>
      <c r="B6966" s="2"/>
      <c r="C6966" s="2" t="s">
        <v>87</v>
      </c>
      <c r="D6966" s="2" t="s">
        <v>19135</v>
      </c>
      <c r="E6966" s="2" t="s">
        <v>16534</v>
      </c>
      <c r="F6966" s="4">
        <v>6035</v>
      </c>
      <c r="G6966" s="2" t="s">
        <v>33</v>
      </c>
      <c r="H6966" s="2" t="s">
        <v>34</v>
      </c>
      <c r="I6966" s="2" t="s">
        <v>21085</v>
      </c>
      <c r="J6966" s="2" t="s">
        <v>17388</v>
      </c>
      <c r="K6966" s="2" t="s">
        <v>37</v>
      </c>
      <c r="L6966" s="2" t="s">
        <v>303</v>
      </c>
      <c r="M6966" s="12">
        <v>83247.489000000001</v>
      </c>
      <c r="N6966" s="7">
        <v>27.835999999999999</v>
      </c>
      <c r="O6966" s="7">
        <v>27.852</v>
      </c>
      <c r="P6966" s="2" t="s">
        <v>21086</v>
      </c>
      <c r="Q6966" s="2"/>
      <c r="R6966" s="2"/>
      <c r="S6966" s="5">
        <v>394.1</v>
      </c>
      <c r="T6966" s="2"/>
      <c r="U6966" s="5">
        <v>10.1</v>
      </c>
      <c r="V6966" s="9">
        <v>1.2285999999999999</v>
      </c>
      <c r="W6966" s="6">
        <v>16.54</v>
      </c>
      <c r="X6966" s="6">
        <v>18.38</v>
      </c>
      <c r="Y6966" s="6">
        <v>18.13</v>
      </c>
      <c r="Z6966" s="6">
        <v>18.05</v>
      </c>
      <c r="AA6966" s="6">
        <v>261.16000000000003</v>
      </c>
      <c r="AB6966" s="2" t="s">
        <v>47</v>
      </c>
      <c r="AC6966" s="2"/>
    </row>
    <row r="6967" spans="1:29" ht="117" x14ac:dyDescent="0.15">
      <c r="A6967" s="3">
        <f>DATE(2003,7,23)</f>
        <v>37825</v>
      </c>
      <c r="B6967" s="3">
        <f>DATE(2003,10,16)</f>
        <v>37910</v>
      </c>
      <c r="C6967" s="2" t="s">
        <v>95</v>
      </c>
      <c r="D6967" s="2" t="s">
        <v>21087</v>
      </c>
      <c r="E6967" s="2" t="s">
        <v>5102</v>
      </c>
      <c r="F6967" s="4">
        <v>7372</v>
      </c>
      <c r="G6967" s="2" t="s">
        <v>551</v>
      </c>
      <c r="H6967" s="2" t="s">
        <v>34</v>
      </c>
      <c r="I6967" s="2" t="s">
        <v>21088</v>
      </c>
      <c r="J6967" s="2" t="s">
        <v>21089</v>
      </c>
      <c r="K6967" s="2" t="s">
        <v>551</v>
      </c>
      <c r="L6967" s="2" t="s">
        <v>34</v>
      </c>
      <c r="M6967" s="12">
        <v>1187.0119999999999</v>
      </c>
      <c r="N6967" s="6">
        <v>29.68</v>
      </c>
      <c r="O6967" s="6">
        <v>25.66</v>
      </c>
      <c r="P6967" s="2" t="s">
        <v>21090</v>
      </c>
      <c r="Q6967" s="6">
        <v>100</v>
      </c>
      <c r="R6967" s="6">
        <v>3.44</v>
      </c>
      <c r="S6967" s="5">
        <v>-20.399999999999999</v>
      </c>
      <c r="T6967" s="7">
        <v>1.9530000000000001</v>
      </c>
      <c r="U6967" s="5">
        <v>0</v>
      </c>
      <c r="V6967" s="6">
        <v>-0.54</v>
      </c>
      <c r="W6967" s="6">
        <v>2.77</v>
      </c>
      <c r="X6967" s="5">
        <v>2.7</v>
      </c>
      <c r="Y6967" s="4">
        <v>3</v>
      </c>
      <c r="Z6967" s="6">
        <v>3.11</v>
      </c>
      <c r="AA6967" s="6">
        <v>37.94</v>
      </c>
      <c r="AB6967" s="2" t="s">
        <v>86</v>
      </c>
      <c r="AC6967" s="6">
        <v>416.55</v>
      </c>
    </row>
    <row r="6968" spans="1:29" ht="130" x14ac:dyDescent="0.15">
      <c r="A6968" s="3">
        <f>DATE(2003,7,23)</f>
        <v>37825</v>
      </c>
      <c r="B6968" s="3">
        <f>DATE(2004,1,16)</f>
        <v>38002</v>
      </c>
      <c r="C6968" s="2" t="s">
        <v>95</v>
      </c>
      <c r="D6968" s="2" t="s">
        <v>21091</v>
      </c>
      <c r="E6968" s="2" t="s">
        <v>21092</v>
      </c>
      <c r="F6968" s="4">
        <v>7375</v>
      </c>
      <c r="G6968" s="2" t="s">
        <v>223</v>
      </c>
      <c r="H6968" s="2" t="s">
        <v>34</v>
      </c>
      <c r="I6968" s="2" t="s">
        <v>21093</v>
      </c>
      <c r="J6968" s="2" t="s">
        <v>15879</v>
      </c>
      <c r="K6968" s="2" t="s">
        <v>223</v>
      </c>
      <c r="L6968" s="2" t="s">
        <v>34</v>
      </c>
      <c r="M6968" s="6">
        <v>145.41999999999999</v>
      </c>
      <c r="N6968" s="6">
        <v>8.5399999999999991</v>
      </c>
      <c r="O6968" s="5">
        <v>8.6999999999999993</v>
      </c>
      <c r="P6968" s="2" t="s">
        <v>21094</v>
      </c>
      <c r="Q6968" s="6">
        <v>100</v>
      </c>
      <c r="R6968" s="6">
        <v>2.42</v>
      </c>
      <c r="S6968" s="5">
        <v>1.2</v>
      </c>
      <c r="T6968" s="7">
        <v>1.242</v>
      </c>
      <c r="U6968" s="5">
        <v>2.1</v>
      </c>
      <c r="V6968" s="6">
        <v>0.02</v>
      </c>
      <c r="W6968" s="6">
        <v>2.23</v>
      </c>
      <c r="X6968" s="6">
        <v>2.2200000000000002</v>
      </c>
      <c r="Y6968" s="6">
        <v>2.29</v>
      </c>
      <c r="Z6968" s="5">
        <v>2.2999999999999998</v>
      </c>
      <c r="AA6968" s="6">
        <v>40.65</v>
      </c>
      <c r="AB6968" s="2" t="s">
        <v>86</v>
      </c>
      <c r="AC6968" s="6">
        <v>46.34</v>
      </c>
    </row>
    <row r="6969" spans="1:29" ht="208" x14ac:dyDescent="0.15">
      <c r="A6969" s="3">
        <f>DATE(2003,7,23)</f>
        <v>37825</v>
      </c>
      <c r="B6969" s="3">
        <f>DATE(2004,7,9)</f>
        <v>38177</v>
      </c>
      <c r="C6969" s="2" t="s">
        <v>95</v>
      </c>
      <c r="D6969" s="2" t="s">
        <v>20576</v>
      </c>
      <c r="E6969" s="2" t="s">
        <v>20577</v>
      </c>
      <c r="F6969" s="4">
        <v>3569</v>
      </c>
      <c r="G6969" s="2" t="s">
        <v>300</v>
      </c>
      <c r="H6969" s="2" t="s">
        <v>34</v>
      </c>
      <c r="I6969" s="2" t="s">
        <v>51</v>
      </c>
      <c r="J6969" s="2" t="s">
        <v>52</v>
      </c>
      <c r="K6969" s="2" t="s">
        <v>53</v>
      </c>
      <c r="L6969" s="2" t="s">
        <v>34</v>
      </c>
      <c r="M6969" s="2"/>
      <c r="N6969" s="2"/>
      <c r="O6969" s="2"/>
      <c r="P6969" s="2" t="s">
        <v>21095</v>
      </c>
      <c r="Q6969" s="6">
        <v>100</v>
      </c>
      <c r="R6969" s="6">
        <v>2.4</v>
      </c>
      <c r="S6969" s="5">
        <v>0.2</v>
      </c>
      <c r="T6969" s="7">
        <v>0.50700000000000001</v>
      </c>
      <c r="U6969" s="5">
        <v>2.7</v>
      </c>
      <c r="V6969" s="6">
        <v>0.13</v>
      </c>
      <c r="W6969" s="6">
        <v>1.1100000000000001</v>
      </c>
      <c r="X6969" s="6">
        <v>1.1100000000000001</v>
      </c>
      <c r="Y6969" s="5">
        <v>1.2</v>
      </c>
      <c r="Z6969" s="5">
        <v>1.2</v>
      </c>
      <c r="AA6969" s="6">
        <v>1.57</v>
      </c>
      <c r="AB6969" s="7">
        <v>5.7439999999999998</v>
      </c>
      <c r="AC6969" s="2"/>
    </row>
    <row r="6970" spans="1:29" ht="130" x14ac:dyDescent="0.15">
      <c r="A6970" s="3">
        <f>DATE(2003,7,23)</f>
        <v>37825</v>
      </c>
      <c r="B6970" s="3">
        <f>DATE(2003,12,10)</f>
        <v>37965</v>
      </c>
      <c r="C6970" s="2" t="s">
        <v>95</v>
      </c>
      <c r="D6970" s="2" t="s">
        <v>21096</v>
      </c>
      <c r="E6970" s="2" t="s">
        <v>21097</v>
      </c>
      <c r="F6970" s="4">
        <v>3728</v>
      </c>
      <c r="G6970" s="2" t="s">
        <v>219</v>
      </c>
      <c r="H6970" s="2" t="s">
        <v>34</v>
      </c>
      <c r="I6970" s="2" t="s">
        <v>21098</v>
      </c>
      <c r="J6970" s="2" t="s">
        <v>21099</v>
      </c>
      <c r="K6970" s="2" t="s">
        <v>163</v>
      </c>
      <c r="L6970" s="2" t="s">
        <v>34</v>
      </c>
      <c r="M6970" s="7">
        <v>357.13400000000001</v>
      </c>
      <c r="N6970" s="5">
        <v>14.4</v>
      </c>
      <c r="O6970" s="6">
        <v>14.48</v>
      </c>
      <c r="P6970" s="2" t="s">
        <v>21100</v>
      </c>
      <c r="Q6970" s="6">
        <v>100</v>
      </c>
      <c r="R6970" s="6">
        <v>3.21</v>
      </c>
      <c r="S6970" s="5">
        <v>-38.299999999999997</v>
      </c>
      <c r="T6970" s="7">
        <v>14.993</v>
      </c>
      <c r="U6970" s="5">
        <v>-3.2</v>
      </c>
      <c r="V6970" s="6">
        <v>-2.94</v>
      </c>
      <c r="W6970" s="6">
        <v>2.06</v>
      </c>
      <c r="X6970" s="6">
        <v>2.14</v>
      </c>
      <c r="Y6970" s="5">
        <v>2.7</v>
      </c>
      <c r="Z6970" s="6">
        <v>2.73</v>
      </c>
      <c r="AA6970" s="6">
        <v>13.01</v>
      </c>
      <c r="AB6970" s="7">
        <v>9.2680000000000007</v>
      </c>
      <c r="AC6970" s="6">
        <v>10.84</v>
      </c>
    </row>
    <row r="6971" spans="1:29" ht="91" x14ac:dyDescent="0.15">
      <c r="A6971" s="3">
        <f>DATE(2003,7,24)</f>
        <v>37826</v>
      </c>
      <c r="B6971" s="3">
        <f>DATE(2004,2,13)</f>
        <v>38030</v>
      </c>
      <c r="C6971" s="2" t="s">
        <v>95</v>
      </c>
      <c r="D6971" s="2" t="s">
        <v>21101</v>
      </c>
      <c r="E6971" s="2" t="s">
        <v>21102</v>
      </c>
      <c r="F6971" s="4">
        <v>2834</v>
      </c>
      <c r="G6971" s="2" t="s">
        <v>130</v>
      </c>
      <c r="H6971" s="2" t="s">
        <v>34</v>
      </c>
      <c r="I6971" s="2" t="s">
        <v>213</v>
      </c>
      <c r="J6971" s="2" t="s">
        <v>214</v>
      </c>
      <c r="K6971" s="2" t="s">
        <v>130</v>
      </c>
      <c r="L6971" s="2" t="s">
        <v>215</v>
      </c>
      <c r="M6971" s="12">
        <v>54323.252999999997</v>
      </c>
      <c r="N6971" s="6">
        <v>83.81</v>
      </c>
      <c r="O6971" s="7">
        <v>83.972999999999999</v>
      </c>
      <c r="P6971" s="2" t="s">
        <v>21103</v>
      </c>
      <c r="Q6971" s="6">
        <v>100</v>
      </c>
      <c r="R6971" s="6">
        <v>47.25</v>
      </c>
      <c r="S6971" s="5">
        <v>-27.9</v>
      </c>
      <c r="T6971" s="7">
        <v>6.9470000000000001</v>
      </c>
      <c r="U6971" s="5">
        <v>0.3</v>
      </c>
      <c r="V6971" s="6">
        <v>-1.1599999999999999</v>
      </c>
      <c r="W6971" s="6">
        <v>32.25</v>
      </c>
      <c r="X6971" s="6">
        <v>37.79</v>
      </c>
      <c r="Y6971" s="5">
        <v>37.200000000000003</v>
      </c>
      <c r="Z6971" s="6">
        <v>59.25</v>
      </c>
      <c r="AA6971" s="6">
        <v>23.76</v>
      </c>
      <c r="AB6971" s="7">
        <v>444.541</v>
      </c>
      <c r="AC6971" s="10">
        <v>11754.62</v>
      </c>
    </row>
    <row r="6972" spans="1:29" ht="221" x14ac:dyDescent="0.15">
      <c r="A6972" s="3">
        <f>DATE(2003,7,24)</f>
        <v>37826</v>
      </c>
      <c r="B6972" s="3">
        <f>DATE(2003,8,29)</f>
        <v>37862</v>
      </c>
      <c r="C6972" s="2" t="s">
        <v>95</v>
      </c>
      <c r="D6972" s="2" t="s">
        <v>21104</v>
      </c>
      <c r="E6972" s="2" t="s">
        <v>268</v>
      </c>
      <c r="F6972" s="4">
        <v>7011</v>
      </c>
      <c r="G6972" s="2" t="s">
        <v>269</v>
      </c>
      <c r="H6972" s="2" t="s">
        <v>34</v>
      </c>
      <c r="I6972" s="2" t="s">
        <v>21105</v>
      </c>
      <c r="J6972" s="2" t="s">
        <v>302</v>
      </c>
      <c r="K6972" s="2" t="s">
        <v>53</v>
      </c>
      <c r="L6972" s="2" t="s">
        <v>34</v>
      </c>
      <c r="M6972" s="2"/>
      <c r="N6972" s="2"/>
      <c r="O6972" s="2"/>
      <c r="P6972" s="2" t="s">
        <v>21106</v>
      </c>
      <c r="Q6972" s="6">
        <v>4.91</v>
      </c>
      <c r="R6972" s="6">
        <v>550</v>
      </c>
      <c r="S6972" s="5">
        <v>2.8</v>
      </c>
      <c r="T6972" s="7">
        <v>14.058999999999999</v>
      </c>
      <c r="U6972" s="5">
        <v>288.2</v>
      </c>
      <c r="V6972" s="6">
        <v>20.62</v>
      </c>
      <c r="W6972" s="4">
        <v>472</v>
      </c>
      <c r="X6972" s="4">
        <v>472</v>
      </c>
      <c r="Y6972" s="4">
        <v>472</v>
      </c>
      <c r="Z6972" s="4">
        <v>472</v>
      </c>
      <c r="AA6972" s="6">
        <v>0.14000000000000001</v>
      </c>
      <c r="AB6972" s="7">
        <v>12.439</v>
      </c>
      <c r="AC6972" s="2"/>
    </row>
    <row r="6973" spans="1:29" ht="91" x14ac:dyDescent="0.15">
      <c r="A6973" s="3">
        <f>DATE(2003,7,29)</f>
        <v>37831</v>
      </c>
      <c r="B6973" s="3">
        <f>DATE(2003,9,15)</f>
        <v>37879</v>
      </c>
      <c r="C6973" s="2" t="s">
        <v>95</v>
      </c>
      <c r="D6973" s="2" t="s">
        <v>17640</v>
      </c>
      <c r="E6973" s="2" t="s">
        <v>17641</v>
      </c>
      <c r="F6973" s="4">
        <v>5942</v>
      </c>
      <c r="G6973" s="2" t="s">
        <v>73</v>
      </c>
      <c r="H6973" s="2" t="s">
        <v>34</v>
      </c>
      <c r="I6973" s="2" t="s">
        <v>21107</v>
      </c>
      <c r="J6973" s="2" t="s">
        <v>21108</v>
      </c>
      <c r="K6973" s="2" t="s">
        <v>73</v>
      </c>
      <c r="L6973" s="2" t="s">
        <v>34</v>
      </c>
      <c r="M6973" s="2"/>
      <c r="N6973" s="6">
        <v>25.32</v>
      </c>
      <c r="O6973" s="6">
        <v>24.79</v>
      </c>
      <c r="P6973" s="2" t="s">
        <v>21109</v>
      </c>
      <c r="Q6973" s="6">
        <v>36.9</v>
      </c>
      <c r="R6973" s="2"/>
      <c r="S6973" s="5">
        <v>-15.7</v>
      </c>
      <c r="T6973" s="7">
        <v>-26.126000000000001</v>
      </c>
      <c r="U6973" s="5">
        <v>0.4</v>
      </c>
      <c r="V6973" s="6">
        <v>-0.37</v>
      </c>
      <c r="W6973" s="6">
        <v>2.41</v>
      </c>
      <c r="X6973" s="6">
        <v>2.08</v>
      </c>
      <c r="Y6973" s="6">
        <v>2.04</v>
      </c>
      <c r="Z6973" s="6">
        <v>2.36</v>
      </c>
      <c r="AA6973" s="6">
        <v>47.99</v>
      </c>
      <c r="AB6973" s="2" t="s">
        <v>86</v>
      </c>
      <c r="AC6973" s="6">
        <v>195.99</v>
      </c>
    </row>
    <row r="6974" spans="1:29" ht="234" x14ac:dyDescent="0.15">
      <c r="A6974" s="3">
        <f>DATE(2003,7,29)</f>
        <v>37831</v>
      </c>
      <c r="B6974" s="3">
        <f>DATE(2003,10,27)</f>
        <v>37921</v>
      </c>
      <c r="C6974" s="2" t="s">
        <v>95</v>
      </c>
      <c r="D6974" s="2" t="s">
        <v>20910</v>
      </c>
      <c r="E6974" s="2" t="s">
        <v>5427</v>
      </c>
      <c r="F6974" s="4">
        <v>5311</v>
      </c>
      <c r="G6974" s="2" t="s">
        <v>756</v>
      </c>
      <c r="H6974" s="2" t="s">
        <v>34</v>
      </c>
      <c r="I6974" s="2" t="s">
        <v>21110</v>
      </c>
      <c r="J6974" s="2" t="s">
        <v>5427</v>
      </c>
      <c r="K6974" s="2" t="s">
        <v>756</v>
      </c>
      <c r="L6974" s="2" t="s">
        <v>34</v>
      </c>
      <c r="M6974" s="7">
        <v>76.369</v>
      </c>
      <c r="N6974" s="6">
        <v>5.37</v>
      </c>
      <c r="O6974" s="6">
        <v>5.36</v>
      </c>
      <c r="P6974" s="2" t="s">
        <v>21111</v>
      </c>
      <c r="Q6974" s="6">
        <v>100</v>
      </c>
      <c r="R6974" s="6">
        <v>8</v>
      </c>
      <c r="S6974" s="5">
        <v>1.6</v>
      </c>
      <c r="T6974" s="7">
        <v>38.302999999999997</v>
      </c>
      <c r="U6974" s="5">
        <v>17.600000000000001</v>
      </c>
      <c r="V6974" s="6">
        <v>0.14000000000000001</v>
      </c>
      <c r="W6974" s="6">
        <v>3.34</v>
      </c>
      <c r="X6974" s="5">
        <v>4.7</v>
      </c>
      <c r="Y6974" s="6">
        <v>4.71</v>
      </c>
      <c r="Z6974" s="6">
        <v>4.99</v>
      </c>
      <c r="AA6974" s="6">
        <v>11.58</v>
      </c>
      <c r="AB6974" s="7">
        <v>10.760999999999999</v>
      </c>
      <c r="AC6974" s="5">
        <v>14.8</v>
      </c>
    </row>
    <row r="6975" spans="1:29" ht="78" x14ac:dyDescent="0.15">
      <c r="A6975" s="3">
        <f>DATE(2003,7,30)</f>
        <v>37832</v>
      </c>
      <c r="B6975" s="3">
        <f>DATE(2003,8,19)</f>
        <v>37852</v>
      </c>
      <c r="C6975" s="2" t="s">
        <v>95</v>
      </c>
      <c r="D6975" s="2" t="s">
        <v>21112</v>
      </c>
      <c r="E6975" s="2" t="s">
        <v>21113</v>
      </c>
      <c r="F6975" s="4">
        <v>5193</v>
      </c>
      <c r="G6975" s="2" t="s">
        <v>593</v>
      </c>
      <c r="H6975" s="2" t="s">
        <v>34</v>
      </c>
      <c r="I6975" s="2" t="s">
        <v>21114</v>
      </c>
      <c r="J6975" s="2" t="s">
        <v>244</v>
      </c>
      <c r="K6975" s="2" t="s">
        <v>53</v>
      </c>
      <c r="L6975" s="2" t="s">
        <v>34</v>
      </c>
      <c r="M6975" s="2"/>
      <c r="N6975" s="2"/>
      <c r="O6975" s="2"/>
      <c r="P6975" s="2" t="s">
        <v>21115</v>
      </c>
      <c r="Q6975" s="6">
        <v>100</v>
      </c>
      <c r="R6975" s="2"/>
      <c r="S6975" s="5">
        <v>-0.9</v>
      </c>
      <c r="T6975" s="7">
        <v>3.8279999999999998</v>
      </c>
      <c r="U6975" s="5">
        <v>5.2</v>
      </c>
      <c r="V6975" s="6">
        <v>-0.55000000000000004</v>
      </c>
      <c r="W6975" s="6">
        <v>1.75</v>
      </c>
      <c r="X6975" s="6">
        <v>1.25</v>
      </c>
      <c r="Y6975" s="2"/>
      <c r="Z6975" s="2"/>
      <c r="AA6975" s="6">
        <v>1.54</v>
      </c>
      <c r="AB6975" s="7">
        <v>28.138999999999999</v>
      </c>
      <c r="AC6975" s="2"/>
    </row>
    <row r="6976" spans="1:29" ht="91" x14ac:dyDescent="0.15">
      <c r="A6976" s="3">
        <f>DATE(2003,7,30)</f>
        <v>37832</v>
      </c>
      <c r="B6976" s="3">
        <f>DATE(2003,10,31)</f>
        <v>37925</v>
      </c>
      <c r="C6976" s="2" t="s">
        <v>95</v>
      </c>
      <c r="D6976" s="2" t="s">
        <v>21116</v>
      </c>
      <c r="E6976" s="2" t="s">
        <v>672</v>
      </c>
      <c r="F6976" s="4">
        <v>6021</v>
      </c>
      <c r="G6976" s="2" t="s">
        <v>37</v>
      </c>
      <c r="H6976" s="2" t="s">
        <v>34</v>
      </c>
      <c r="I6976" s="2" t="s">
        <v>295</v>
      </c>
      <c r="J6976" s="2" t="s">
        <v>296</v>
      </c>
      <c r="K6976" s="2" t="s">
        <v>37</v>
      </c>
      <c r="L6976" s="2" t="s">
        <v>34</v>
      </c>
      <c r="M6976" s="2"/>
      <c r="N6976" s="2"/>
      <c r="O6976" s="2"/>
      <c r="P6976" s="2" t="s">
        <v>21117</v>
      </c>
      <c r="Q6976" s="6">
        <v>100</v>
      </c>
      <c r="R6976" s="6">
        <v>19.75</v>
      </c>
      <c r="S6976" s="5">
        <v>5.5</v>
      </c>
      <c r="T6976" s="2"/>
      <c r="U6976" s="5">
        <v>7</v>
      </c>
      <c r="V6976" s="7">
        <v>0.93200000000000005</v>
      </c>
      <c r="W6976" s="6">
        <v>12.85</v>
      </c>
      <c r="X6976" s="6">
        <v>12.85</v>
      </c>
      <c r="Y6976" s="6">
        <v>12.85</v>
      </c>
      <c r="Z6976" s="6">
        <v>12.85</v>
      </c>
      <c r="AA6976" s="6">
        <v>5.83</v>
      </c>
      <c r="AB6976" s="7">
        <v>21.779</v>
      </c>
      <c r="AC6976" s="2"/>
    </row>
    <row r="6977" spans="1:29" ht="273" x14ac:dyDescent="0.15">
      <c r="A6977" s="3">
        <f>DATE(2003,7,30)</f>
        <v>37832</v>
      </c>
      <c r="B6977" s="3">
        <f>DATE(2004,1,12)</f>
        <v>37998</v>
      </c>
      <c r="C6977" s="2" t="s">
        <v>95</v>
      </c>
      <c r="D6977" s="2" t="s">
        <v>21118</v>
      </c>
      <c r="E6977" s="2" t="s">
        <v>1181</v>
      </c>
      <c r="F6977" s="4">
        <v>6021</v>
      </c>
      <c r="G6977" s="2" t="s">
        <v>37</v>
      </c>
      <c r="H6977" s="2" t="s">
        <v>34</v>
      </c>
      <c r="I6977" s="2" t="s">
        <v>21119</v>
      </c>
      <c r="J6977" s="2" t="s">
        <v>36</v>
      </c>
      <c r="K6977" s="2" t="s">
        <v>37</v>
      </c>
      <c r="L6977" s="2" t="s">
        <v>34</v>
      </c>
      <c r="M6977" s="7">
        <v>86.158000000000001</v>
      </c>
      <c r="N6977" s="5">
        <v>9.6999999999999993</v>
      </c>
      <c r="O6977" s="5">
        <v>9.6999999999999993</v>
      </c>
      <c r="P6977" s="2" t="s">
        <v>21120</v>
      </c>
      <c r="Q6977" s="6">
        <v>100</v>
      </c>
      <c r="R6977" s="6">
        <v>55.58</v>
      </c>
      <c r="S6977" s="2"/>
      <c r="T6977" s="2"/>
      <c r="U6977" s="2"/>
      <c r="V6977" s="2"/>
      <c r="W6977" s="4">
        <v>31</v>
      </c>
      <c r="X6977" s="4">
        <v>31</v>
      </c>
      <c r="Y6977" s="6">
        <v>46.45</v>
      </c>
      <c r="Z6977" s="6">
        <v>46.35</v>
      </c>
      <c r="AA6977" s="6">
        <v>1.59</v>
      </c>
      <c r="AB6977" s="2" t="s">
        <v>47</v>
      </c>
      <c r="AC6977" s="2"/>
    </row>
    <row r="6978" spans="1:29" ht="104" x14ac:dyDescent="0.15">
      <c r="A6978" s="3">
        <f>DATE(2003,8,1)</f>
        <v>37834</v>
      </c>
      <c r="B6978" s="3">
        <f>DATE(2003,10,31)</f>
        <v>37925</v>
      </c>
      <c r="C6978" s="2" t="s">
        <v>95</v>
      </c>
      <c r="D6978" s="2" t="s">
        <v>21121</v>
      </c>
      <c r="E6978" s="2" t="s">
        <v>21122</v>
      </c>
      <c r="F6978" s="4">
        <v>7819</v>
      </c>
      <c r="G6978" s="2" t="s">
        <v>42</v>
      </c>
      <c r="H6978" s="2" t="s">
        <v>34</v>
      </c>
      <c r="I6978" s="2" t="s">
        <v>2220</v>
      </c>
      <c r="J6978" s="2" t="s">
        <v>2221</v>
      </c>
      <c r="K6978" s="2" t="s">
        <v>226</v>
      </c>
      <c r="L6978" s="2" t="s">
        <v>34</v>
      </c>
      <c r="M6978" s="12">
        <v>7842.058</v>
      </c>
      <c r="N6978" s="6">
        <v>27.55</v>
      </c>
      <c r="O6978" s="5">
        <v>27.5</v>
      </c>
      <c r="P6978" s="2" t="s">
        <v>21123</v>
      </c>
      <c r="Q6978" s="6">
        <v>100</v>
      </c>
      <c r="R6978" s="6">
        <v>4.22</v>
      </c>
      <c r="S6978" s="5">
        <v>2</v>
      </c>
      <c r="T6978" s="6">
        <v>8.91</v>
      </c>
      <c r="U6978" s="5">
        <v>2.7</v>
      </c>
      <c r="V6978" s="6">
        <v>0.28000000000000003</v>
      </c>
      <c r="W6978" s="6">
        <v>3.12</v>
      </c>
      <c r="X6978" s="6">
        <v>3.09</v>
      </c>
      <c r="Y6978" s="6">
        <v>4.09</v>
      </c>
      <c r="Z6978" s="6">
        <v>4.09</v>
      </c>
      <c r="AA6978" s="6">
        <v>7.1</v>
      </c>
      <c r="AB6978" s="7">
        <v>8.2720000000000002</v>
      </c>
      <c r="AC6978" s="5">
        <v>838</v>
      </c>
    </row>
    <row r="6979" spans="1:29" ht="117" x14ac:dyDescent="0.15">
      <c r="A6979" s="3">
        <f>DATE(2003,8,4)</f>
        <v>37837</v>
      </c>
      <c r="B6979" s="3">
        <f>DATE(2003,9,12)</f>
        <v>37876</v>
      </c>
      <c r="C6979" s="2" t="s">
        <v>95</v>
      </c>
      <c r="D6979" s="2" t="s">
        <v>20757</v>
      </c>
      <c r="E6979" s="2" t="s">
        <v>849</v>
      </c>
      <c r="F6979" s="4">
        <v>7372</v>
      </c>
      <c r="G6979" s="2" t="s">
        <v>551</v>
      </c>
      <c r="H6979" s="2" t="s">
        <v>34</v>
      </c>
      <c r="I6979" s="2" t="s">
        <v>21124</v>
      </c>
      <c r="J6979" s="2" t="s">
        <v>21125</v>
      </c>
      <c r="K6979" s="2" t="s">
        <v>551</v>
      </c>
      <c r="L6979" s="2" t="s">
        <v>34</v>
      </c>
      <c r="M6979" s="12">
        <v>3839.1709999999998</v>
      </c>
      <c r="N6979" s="6">
        <v>15.09</v>
      </c>
      <c r="O6979" s="6">
        <v>14.99</v>
      </c>
      <c r="P6979" s="2" t="s">
        <v>21126</v>
      </c>
      <c r="Q6979" s="6">
        <v>100</v>
      </c>
      <c r="R6979" s="6">
        <v>3</v>
      </c>
      <c r="S6979" s="5">
        <v>-28.5</v>
      </c>
      <c r="T6979" s="7">
        <v>-3.0659999999999998</v>
      </c>
      <c r="U6979" s="5">
        <v>0.8</v>
      </c>
      <c r="V6979" s="6">
        <v>-0.82</v>
      </c>
      <c r="W6979" s="6">
        <v>2.23</v>
      </c>
      <c r="X6979" s="6">
        <v>2.4500000000000002</v>
      </c>
      <c r="Y6979" s="6">
        <v>2.95</v>
      </c>
      <c r="Z6979" s="6">
        <v>2.96</v>
      </c>
      <c r="AA6979" s="6">
        <v>35.200000000000003</v>
      </c>
      <c r="AB6979" s="2" t="s">
        <v>86</v>
      </c>
      <c r="AC6979" s="6">
        <v>520.58000000000004</v>
      </c>
    </row>
    <row r="6980" spans="1:29" ht="130" x14ac:dyDescent="0.15">
      <c r="A6980" s="3">
        <f>DATE(2003,8,4)</f>
        <v>37837</v>
      </c>
      <c r="B6980" s="3">
        <f>DATE(2003,9,15)</f>
        <v>37879</v>
      </c>
      <c r="C6980" s="2" t="s">
        <v>95</v>
      </c>
      <c r="D6980" s="2" t="s">
        <v>21127</v>
      </c>
      <c r="E6980" s="2" t="s">
        <v>21128</v>
      </c>
      <c r="F6980" s="4">
        <v>2834</v>
      </c>
      <c r="G6980" s="2" t="s">
        <v>130</v>
      </c>
      <c r="H6980" s="2" t="s">
        <v>34</v>
      </c>
      <c r="I6980" s="2" t="s">
        <v>3054</v>
      </c>
      <c r="J6980" s="2" t="s">
        <v>540</v>
      </c>
      <c r="K6980" s="2" t="s">
        <v>130</v>
      </c>
      <c r="L6980" s="2" t="s">
        <v>34</v>
      </c>
      <c r="M6980" s="12">
        <v>9699.7070000000003</v>
      </c>
      <c r="N6980" s="6">
        <v>47.62</v>
      </c>
      <c r="O6980" s="6">
        <v>45.38</v>
      </c>
      <c r="P6980" s="2" t="s">
        <v>21129</v>
      </c>
      <c r="Q6980" s="6">
        <v>100</v>
      </c>
      <c r="R6980" s="6">
        <v>22.5</v>
      </c>
      <c r="S6980" s="5">
        <v>7.5</v>
      </c>
      <c r="T6980" s="7">
        <v>13.819000000000001</v>
      </c>
      <c r="U6980" s="5">
        <v>5.0999999999999996</v>
      </c>
      <c r="V6980" s="6">
        <v>0.27</v>
      </c>
      <c r="W6980" s="6">
        <v>14.33</v>
      </c>
      <c r="X6980" s="6">
        <v>15.47</v>
      </c>
      <c r="Y6980" s="6">
        <v>22.23</v>
      </c>
      <c r="Z6980" s="6">
        <v>22.31</v>
      </c>
      <c r="AA6980" s="6">
        <v>26.46</v>
      </c>
      <c r="AB6980" s="7">
        <v>45.531999999999996</v>
      </c>
      <c r="AC6980" s="6">
        <v>515.19000000000005</v>
      </c>
    </row>
    <row r="6981" spans="1:29" ht="247" x14ac:dyDescent="0.15">
      <c r="A6981" s="3">
        <f>DATE(2003,8,5)</f>
        <v>37838</v>
      </c>
      <c r="B6981" s="2"/>
      <c r="C6981" s="2" t="s">
        <v>30</v>
      </c>
      <c r="D6981" s="2" t="s">
        <v>21130</v>
      </c>
      <c r="E6981" s="2" t="s">
        <v>839</v>
      </c>
      <c r="F6981" s="4">
        <v>2834</v>
      </c>
      <c r="G6981" s="2" t="s">
        <v>130</v>
      </c>
      <c r="H6981" s="2" t="s">
        <v>34</v>
      </c>
      <c r="I6981" s="2" t="s">
        <v>21131</v>
      </c>
      <c r="J6981" s="2" t="s">
        <v>21132</v>
      </c>
      <c r="K6981" s="2" t="s">
        <v>223</v>
      </c>
      <c r="L6981" s="2" t="s">
        <v>34</v>
      </c>
      <c r="M6981" s="7">
        <v>613.47400000000005</v>
      </c>
      <c r="N6981" s="6">
        <v>17.72</v>
      </c>
      <c r="O6981" s="5">
        <v>16.899999999999999</v>
      </c>
      <c r="P6981" s="2" t="s">
        <v>21133</v>
      </c>
      <c r="Q6981" s="2"/>
      <c r="R6981" s="6">
        <v>24.61</v>
      </c>
      <c r="S6981" s="5">
        <v>17.899999999999999</v>
      </c>
      <c r="T6981" s="7">
        <v>18.381</v>
      </c>
      <c r="U6981" s="5">
        <v>15.4</v>
      </c>
      <c r="V6981" s="6">
        <v>1.23</v>
      </c>
      <c r="W6981" s="6">
        <v>27.25</v>
      </c>
      <c r="X6981" s="6">
        <v>24.61</v>
      </c>
      <c r="Y6981" s="6">
        <v>23.77</v>
      </c>
      <c r="Z6981" s="4">
        <v>23</v>
      </c>
      <c r="AA6981" s="6">
        <v>14.32</v>
      </c>
      <c r="AB6981" s="7">
        <v>20.372</v>
      </c>
      <c r="AC6981" s="6">
        <v>8.1300000000000008</v>
      </c>
    </row>
    <row r="6982" spans="1:29" ht="117" x14ac:dyDescent="0.15">
      <c r="A6982" s="3">
        <f>DATE(2003,8,5)</f>
        <v>37838</v>
      </c>
      <c r="B6982" s="3">
        <f>DATE(2003,12,5)</f>
        <v>37960</v>
      </c>
      <c r="C6982" s="2" t="s">
        <v>95</v>
      </c>
      <c r="D6982" s="2" t="s">
        <v>21134</v>
      </c>
      <c r="E6982" s="2" t="s">
        <v>21135</v>
      </c>
      <c r="F6982" s="4">
        <v>7389</v>
      </c>
      <c r="G6982" s="2" t="s">
        <v>223</v>
      </c>
      <c r="H6982" s="2" t="s">
        <v>34</v>
      </c>
      <c r="I6982" s="2" t="s">
        <v>21136</v>
      </c>
      <c r="J6982" s="2" t="s">
        <v>21137</v>
      </c>
      <c r="K6982" s="2" t="s">
        <v>63</v>
      </c>
      <c r="L6982" s="2" t="s">
        <v>34</v>
      </c>
      <c r="M6982" s="7">
        <v>10.087</v>
      </c>
      <c r="N6982" s="6">
        <v>1.1399999999999999</v>
      </c>
      <c r="O6982" s="6">
        <v>1.1499999999999999</v>
      </c>
      <c r="P6982" s="2" t="s">
        <v>21138</v>
      </c>
      <c r="Q6982" s="6">
        <v>100</v>
      </c>
      <c r="R6982" s="6">
        <v>0.53</v>
      </c>
      <c r="S6982" s="5">
        <v>-14</v>
      </c>
      <c r="T6982" s="7">
        <v>-10.754</v>
      </c>
      <c r="U6982" s="5">
        <v>0.5</v>
      </c>
      <c r="V6982" s="6">
        <v>-0.7</v>
      </c>
      <c r="W6982" s="6">
        <v>0.57999999999999996</v>
      </c>
      <c r="X6982" s="6">
        <v>1.28</v>
      </c>
      <c r="Y6982" s="6">
        <v>0.65</v>
      </c>
      <c r="Z6982" s="5">
        <v>0.6</v>
      </c>
      <c r="AA6982" s="6">
        <v>20.12</v>
      </c>
      <c r="AB6982" s="2" t="s">
        <v>86</v>
      </c>
      <c r="AC6982" s="6">
        <v>0.5</v>
      </c>
    </row>
    <row r="6983" spans="1:29" ht="130" x14ac:dyDescent="0.15">
      <c r="A6983" s="3">
        <f>DATE(2003,8,5)</f>
        <v>37838</v>
      </c>
      <c r="B6983" s="3">
        <f>DATE(2003,11,18)</f>
        <v>37943</v>
      </c>
      <c r="C6983" s="2" t="s">
        <v>95</v>
      </c>
      <c r="D6983" s="2" t="s">
        <v>21139</v>
      </c>
      <c r="E6983" s="2" t="s">
        <v>21140</v>
      </c>
      <c r="F6983" s="4">
        <v>6531</v>
      </c>
      <c r="G6983" s="2" t="s">
        <v>109</v>
      </c>
      <c r="H6983" s="2" t="s">
        <v>34</v>
      </c>
      <c r="I6983" s="2" t="s">
        <v>21141</v>
      </c>
      <c r="J6983" s="2" t="s">
        <v>21142</v>
      </c>
      <c r="K6983" s="2" t="s">
        <v>269</v>
      </c>
      <c r="L6983" s="2" t="s">
        <v>34</v>
      </c>
      <c r="M6983" s="7">
        <v>704.90599999999995</v>
      </c>
      <c r="N6983" s="6">
        <v>19.34</v>
      </c>
      <c r="O6983" s="5">
        <v>18.5</v>
      </c>
      <c r="P6983" s="2" t="s">
        <v>21143</v>
      </c>
      <c r="Q6983" s="6">
        <v>100</v>
      </c>
      <c r="R6983" s="6">
        <v>5.53</v>
      </c>
      <c r="S6983" s="5">
        <v>10</v>
      </c>
      <c r="T6983" s="6">
        <v>16.04</v>
      </c>
      <c r="U6983" s="5">
        <v>6.7</v>
      </c>
      <c r="V6983" s="6">
        <v>-0.51</v>
      </c>
      <c r="W6983" s="6">
        <v>4.99</v>
      </c>
      <c r="X6983" s="5">
        <v>5.0999999999999996</v>
      </c>
      <c r="Y6983" s="5">
        <v>5.2</v>
      </c>
      <c r="Z6983" s="6">
        <v>4.96</v>
      </c>
      <c r="AA6983" s="6">
        <v>19.25</v>
      </c>
      <c r="AB6983" s="7">
        <v>15.339</v>
      </c>
      <c r="AC6983" s="6">
        <v>172.88</v>
      </c>
    </row>
    <row r="6984" spans="1:29" ht="117" x14ac:dyDescent="0.15">
      <c r="A6984" s="3">
        <f>DATE(2003,8,6)</f>
        <v>37839</v>
      </c>
      <c r="B6984" s="3">
        <f>DATE(2003,11,18)</f>
        <v>37943</v>
      </c>
      <c r="C6984" s="2" t="s">
        <v>95</v>
      </c>
      <c r="D6984" s="2" t="s">
        <v>21144</v>
      </c>
      <c r="E6984" s="2" t="s">
        <v>849</v>
      </c>
      <c r="F6984" s="4">
        <v>7372</v>
      </c>
      <c r="G6984" s="2" t="s">
        <v>551</v>
      </c>
      <c r="H6984" s="2" t="s">
        <v>34</v>
      </c>
      <c r="I6984" s="2" t="s">
        <v>21145</v>
      </c>
      <c r="J6984" s="2" t="s">
        <v>21146</v>
      </c>
      <c r="K6984" s="2" t="s">
        <v>551</v>
      </c>
      <c r="L6984" s="2" t="s">
        <v>34</v>
      </c>
      <c r="M6984" s="7">
        <v>298.45400000000001</v>
      </c>
      <c r="N6984" s="5">
        <v>2.4</v>
      </c>
      <c r="O6984" s="6">
        <v>2.11</v>
      </c>
      <c r="P6984" s="2" t="s">
        <v>21147</v>
      </c>
      <c r="Q6984" s="6">
        <v>100</v>
      </c>
      <c r="R6984" s="6">
        <v>6.23</v>
      </c>
      <c r="S6984" s="5">
        <v>-5.3</v>
      </c>
      <c r="T6984" s="7">
        <v>-3.992</v>
      </c>
      <c r="U6984" s="5">
        <v>1.3</v>
      </c>
      <c r="V6984" s="6">
        <v>-0.22</v>
      </c>
      <c r="W6984" s="6">
        <v>4.75</v>
      </c>
      <c r="X6984" s="6">
        <v>5.05</v>
      </c>
      <c r="Y6984" s="6">
        <v>5.03</v>
      </c>
      <c r="Z6984" s="6">
        <v>5.42</v>
      </c>
      <c r="AA6984" s="6">
        <v>24.25</v>
      </c>
      <c r="AB6984" s="2" t="s">
        <v>86</v>
      </c>
      <c r="AC6984" s="6">
        <v>161.55000000000001</v>
      </c>
    </row>
    <row r="6985" spans="1:29" ht="156" x14ac:dyDescent="0.15">
      <c r="A6985" s="3">
        <f>DATE(2003,8,8)</f>
        <v>37841</v>
      </c>
      <c r="B6985" s="3">
        <f>DATE(2003,12,5)</f>
        <v>37960</v>
      </c>
      <c r="C6985" s="2" t="s">
        <v>95</v>
      </c>
      <c r="D6985" s="2" t="s">
        <v>21148</v>
      </c>
      <c r="E6985" s="2" t="s">
        <v>17311</v>
      </c>
      <c r="F6985" s="4">
        <v>6036</v>
      </c>
      <c r="G6985" s="2" t="s">
        <v>33</v>
      </c>
      <c r="H6985" s="2" t="s">
        <v>34</v>
      </c>
      <c r="I6985" s="2" t="s">
        <v>12547</v>
      </c>
      <c r="J6985" s="2" t="s">
        <v>159</v>
      </c>
      <c r="K6985" s="2" t="s">
        <v>37</v>
      </c>
      <c r="L6985" s="2" t="s">
        <v>34</v>
      </c>
      <c r="M6985" s="7">
        <v>784.16499999999996</v>
      </c>
      <c r="N6985" s="6">
        <v>12.64</v>
      </c>
      <c r="O6985" s="6">
        <v>12.87</v>
      </c>
      <c r="P6985" s="2" t="s">
        <v>21149</v>
      </c>
      <c r="Q6985" s="6">
        <v>100</v>
      </c>
      <c r="R6985" s="6">
        <v>20</v>
      </c>
      <c r="S6985" s="5">
        <v>0.9</v>
      </c>
      <c r="T6985" s="2"/>
      <c r="U6985" s="5">
        <v>16</v>
      </c>
      <c r="V6985" s="6">
        <v>0.47</v>
      </c>
      <c r="W6985" s="4">
        <v>16</v>
      </c>
      <c r="X6985" s="4">
        <v>16</v>
      </c>
      <c r="Y6985" s="4">
        <v>16</v>
      </c>
      <c r="Z6985" s="6">
        <v>19.63</v>
      </c>
      <c r="AA6985" s="6">
        <v>1.42</v>
      </c>
      <c r="AB6985" s="7">
        <v>208.73599999999999</v>
      </c>
      <c r="AC6985" s="2"/>
    </row>
    <row r="6986" spans="1:29" ht="195" x14ac:dyDescent="0.15">
      <c r="A6986" s="3">
        <f>DATE(2003,8,11)</f>
        <v>37844</v>
      </c>
      <c r="B6986" s="3">
        <f>DATE(2004,1,16)</f>
        <v>38002</v>
      </c>
      <c r="C6986" s="2" t="s">
        <v>95</v>
      </c>
      <c r="D6986" s="2" t="s">
        <v>17006</v>
      </c>
      <c r="E6986" s="2" t="s">
        <v>263</v>
      </c>
      <c r="F6986" s="4">
        <v>6021</v>
      </c>
      <c r="G6986" s="2" t="s">
        <v>37</v>
      </c>
      <c r="H6986" s="2" t="s">
        <v>34</v>
      </c>
      <c r="I6986" s="2" t="s">
        <v>21150</v>
      </c>
      <c r="J6986" s="2" t="s">
        <v>36</v>
      </c>
      <c r="K6986" s="2" t="s">
        <v>37</v>
      </c>
      <c r="L6986" s="2" t="s">
        <v>34</v>
      </c>
      <c r="M6986" s="12">
        <v>1040.664</v>
      </c>
      <c r="N6986" s="6">
        <v>15.33</v>
      </c>
      <c r="O6986" s="5">
        <v>15.3</v>
      </c>
      <c r="P6986" s="2" t="s">
        <v>21151</v>
      </c>
      <c r="Q6986" s="6">
        <v>100</v>
      </c>
      <c r="R6986" s="6">
        <v>35.5</v>
      </c>
      <c r="S6986" s="5">
        <v>12.4</v>
      </c>
      <c r="T6986" s="2"/>
      <c r="U6986" s="5">
        <v>16.3</v>
      </c>
      <c r="V6986" s="9">
        <v>1.3367</v>
      </c>
      <c r="W6986" s="6">
        <v>28.83</v>
      </c>
      <c r="X6986" s="5">
        <v>28.8</v>
      </c>
      <c r="Y6986" s="6">
        <v>35.450000000000003</v>
      </c>
      <c r="Z6986" s="6">
        <v>35.35</v>
      </c>
      <c r="AA6986" s="6">
        <v>9.3000000000000007</v>
      </c>
      <c r="AB6986" s="7">
        <v>26.965</v>
      </c>
      <c r="AC6986" s="2"/>
    </row>
    <row r="6987" spans="1:29" ht="234" x14ac:dyDescent="0.15">
      <c r="A6987" s="3">
        <f>DATE(2003,8,12)</f>
        <v>37845</v>
      </c>
      <c r="B6987" s="3">
        <f>DATE(2004,1,7)</f>
        <v>37993</v>
      </c>
      <c r="C6987" s="2" t="s">
        <v>95</v>
      </c>
      <c r="D6987" s="2" t="s">
        <v>21152</v>
      </c>
      <c r="E6987" s="2" t="s">
        <v>265</v>
      </c>
      <c r="F6987" s="4">
        <v>6021</v>
      </c>
      <c r="G6987" s="2" t="s">
        <v>37</v>
      </c>
      <c r="H6987" s="2" t="s">
        <v>34</v>
      </c>
      <c r="I6987" s="2" t="s">
        <v>14374</v>
      </c>
      <c r="J6987" s="2" t="s">
        <v>265</v>
      </c>
      <c r="K6987" s="2" t="s">
        <v>37</v>
      </c>
      <c r="L6987" s="2" t="s">
        <v>34</v>
      </c>
      <c r="M6987" s="7">
        <v>179.09800000000001</v>
      </c>
      <c r="N6987" s="6">
        <v>15.33</v>
      </c>
      <c r="O6987" s="6">
        <v>15.25</v>
      </c>
      <c r="P6987" s="2" t="s">
        <v>21153</v>
      </c>
      <c r="Q6987" s="6">
        <v>100</v>
      </c>
      <c r="R6987" s="6">
        <v>39.01</v>
      </c>
      <c r="S6987" s="5">
        <v>4.0999999999999996</v>
      </c>
      <c r="T6987" s="2"/>
      <c r="U6987" s="5">
        <v>13.3</v>
      </c>
      <c r="V6987" s="6">
        <v>1.85</v>
      </c>
      <c r="W6987" s="4">
        <v>29</v>
      </c>
      <c r="X6987" s="5">
        <v>28.9</v>
      </c>
      <c r="Y6987" s="6">
        <v>34.71</v>
      </c>
      <c r="Z6987" s="6">
        <v>34.65</v>
      </c>
      <c r="AA6987" s="6">
        <v>2.13</v>
      </c>
      <c r="AB6987" s="7">
        <v>17.291</v>
      </c>
      <c r="AC6987" s="2"/>
    </row>
    <row r="6988" spans="1:29" ht="91" x14ac:dyDescent="0.15">
      <c r="A6988" s="3">
        <f>DATE(2003,8,12)</f>
        <v>37845</v>
      </c>
      <c r="B6988" s="3">
        <f>DATE(2003,12,31)</f>
        <v>37986</v>
      </c>
      <c r="C6988" s="2" t="s">
        <v>95</v>
      </c>
      <c r="D6988" s="2" t="s">
        <v>21154</v>
      </c>
      <c r="E6988" s="2" t="s">
        <v>36</v>
      </c>
      <c r="F6988" s="4">
        <v>6022</v>
      </c>
      <c r="G6988" s="2" t="s">
        <v>37</v>
      </c>
      <c r="H6988" s="2" t="s">
        <v>34</v>
      </c>
      <c r="I6988" s="2" t="s">
        <v>21155</v>
      </c>
      <c r="J6988" s="2" t="s">
        <v>14170</v>
      </c>
      <c r="K6988" s="2" t="s">
        <v>33</v>
      </c>
      <c r="L6988" s="2" t="s">
        <v>34</v>
      </c>
      <c r="M6988" s="2"/>
      <c r="N6988" s="2"/>
      <c r="O6988" s="2"/>
      <c r="P6988" s="2" t="s">
        <v>21156</v>
      </c>
      <c r="Q6988" s="6">
        <v>100</v>
      </c>
      <c r="R6988" s="6">
        <v>37.5</v>
      </c>
      <c r="S6988" s="5">
        <v>6.3</v>
      </c>
      <c r="T6988" s="2"/>
      <c r="U6988" s="5">
        <v>23.6</v>
      </c>
      <c r="V6988" s="6">
        <v>3.51</v>
      </c>
      <c r="W6988" s="4">
        <v>29</v>
      </c>
      <c r="X6988" s="4">
        <v>30</v>
      </c>
      <c r="Y6988" s="5">
        <v>30.3</v>
      </c>
      <c r="Z6988" s="6">
        <v>37.06</v>
      </c>
      <c r="AA6988" s="6">
        <v>1.79</v>
      </c>
      <c r="AB6988" s="7">
        <v>10.185</v>
      </c>
      <c r="AC6988" s="2"/>
    </row>
    <row r="6989" spans="1:29" ht="130" x14ac:dyDescent="0.15">
      <c r="A6989" s="3">
        <f>DATE(2003,8,13)</f>
        <v>37846</v>
      </c>
      <c r="B6989" s="3">
        <f>DATE(2003,9,2)</f>
        <v>37866</v>
      </c>
      <c r="C6989" s="2" t="s">
        <v>95</v>
      </c>
      <c r="D6989" s="2" t="s">
        <v>21157</v>
      </c>
      <c r="E6989" s="2" t="s">
        <v>21158</v>
      </c>
      <c r="F6989" s="4">
        <v>2511</v>
      </c>
      <c r="G6989" s="2" t="s">
        <v>250</v>
      </c>
      <c r="H6989" s="2" t="s">
        <v>34</v>
      </c>
      <c r="I6989" s="2" t="s">
        <v>21159</v>
      </c>
      <c r="J6989" s="2" t="s">
        <v>21160</v>
      </c>
      <c r="K6989" s="2" t="s">
        <v>250</v>
      </c>
      <c r="L6989" s="2" t="s">
        <v>34</v>
      </c>
      <c r="M6989" s="7">
        <v>108.22199999999999</v>
      </c>
      <c r="N6989" s="5">
        <v>17.899999999999999</v>
      </c>
      <c r="O6989" s="5">
        <v>18.600000000000001</v>
      </c>
      <c r="P6989" s="2" t="s">
        <v>21161</v>
      </c>
      <c r="Q6989" s="6">
        <v>100</v>
      </c>
      <c r="R6989" s="6">
        <v>3.3</v>
      </c>
      <c r="S6989" s="5">
        <v>2.1</v>
      </c>
      <c r="T6989" s="7">
        <v>5.6779999999999999</v>
      </c>
      <c r="U6989" s="5">
        <v>4.0999999999999996</v>
      </c>
      <c r="V6989" s="6">
        <v>0.47</v>
      </c>
      <c r="W6989" s="6">
        <v>2.41</v>
      </c>
      <c r="X6989" s="6">
        <v>2.38</v>
      </c>
      <c r="Y6989" s="6">
        <v>3.27</v>
      </c>
      <c r="Z6989" s="6">
        <v>3.26</v>
      </c>
      <c r="AA6989" s="6">
        <v>4.29</v>
      </c>
      <c r="AB6989" s="7">
        <v>9.0470000000000006</v>
      </c>
      <c r="AC6989" s="6">
        <v>22.34</v>
      </c>
    </row>
    <row r="6990" spans="1:29" ht="169" x14ac:dyDescent="0.15">
      <c r="A6990" s="3">
        <f>DATE(2003,8,14)</f>
        <v>37847</v>
      </c>
      <c r="B6990" s="3">
        <f>DATE(2003,9,19)</f>
        <v>37883</v>
      </c>
      <c r="C6990" s="2" t="s">
        <v>95</v>
      </c>
      <c r="D6990" s="2" t="s">
        <v>21162</v>
      </c>
      <c r="E6990" s="2" t="s">
        <v>5102</v>
      </c>
      <c r="F6990" s="4">
        <v>7372</v>
      </c>
      <c r="G6990" s="2" t="s">
        <v>551</v>
      </c>
      <c r="H6990" s="2" t="s">
        <v>34</v>
      </c>
      <c r="I6990" s="2" t="s">
        <v>21163</v>
      </c>
      <c r="J6990" s="2" t="s">
        <v>21164</v>
      </c>
      <c r="K6990" s="2" t="s">
        <v>551</v>
      </c>
      <c r="L6990" s="2" t="s">
        <v>34</v>
      </c>
      <c r="M6990" s="7">
        <v>96.192999999999998</v>
      </c>
      <c r="N6990" s="6">
        <v>3.69</v>
      </c>
      <c r="O6990" s="5">
        <v>3.8</v>
      </c>
      <c r="P6990" s="2" t="s">
        <v>21165</v>
      </c>
      <c r="Q6990" s="6">
        <v>100</v>
      </c>
      <c r="R6990" s="6">
        <v>2.09</v>
      </c>
      <c r="S6990" s="5">
        <v>-7.6</v>
      </c>
      <c r="T6990" s="7">
        <v>-4.6619999999999999</v>
      </c>
      <c r="U6990" s="5">
        <v>0.9</v>
      </c>
      <c r="V6990" s="6">
        <v>-0.56999999999999995</v>
      </c>
      <c r="W6990" s="6">
        <v>1.19</v>
      </c>
      <c r="X6990" s="6">
        <v>1.17</v>
      </c>
      <c r="Y6990" s="4">
        <v>2</v>
      </c>
      <c r="Z6990" s="6">
        <v>1.96</v>
      </c>
      <c r="AA6990" s="6">
        <v>13.29</v>
      </c>
      <c r="AB6990" s="2" t="s">
        <v>86</v>
      </c>
      <c r="AC6990" s="6">
        <v>42.09</v>
      </c>
    </row>
    <row r="6991" spans="1:29" ht="65" x14ac:dyDescent="0.15">
      <c r="A6991" s="3">
        <f>DATE(2003,8,14)</f>
        <v>37847</v>
      </c>
      <c r="B6991" s="2"/>
      <c r="C6991" s="2" t="s">
        <v>7330</v>
      </c>
      <c r="D6991" s="2" t="s">
        <v>19363</v>
      </c>
      <c r="E6991" s="2" t="s">
        <v>92</v>
      </c>
      <c r="F6991" s="4">
        <v>6798</v>
      </c>
      <c r="G6991" s="2" t="s">
        <v>53</v>
      </c>
      <c r="H6991" s="2" t="s">
        <v>34</v>
      </c>
      <c r="I6991" s="2" t="s">
        <v>21166</v>
      </c>
      <c r="J6991" s="2" t="s">
        <v>844</v>
      </c>
      <c r="K6991" s="2" t="s">
        <v>109</v>
      </c>
      <c r="L6991" s="2" t="s">
        <v>34</v>
      </c>
      <c r="M6991" s="2"/>
      <c r="N6991" s="2"/>
      <c r="O6991" s="2"/>
      <c r="P6991" s="2" t="s">
        <v>21167</v>
      </c>
      <c r="Q6991" s="2"/>
      <c r="R6991" s="2"/>
      <c r="S6991" s="5">
        <v>-6.4</v>
      </c>
      <c r="T6991" s="7">
        <v>-4.2889999999999997</v>
      </c>
      <c r="U6991" s="5">
        <v>2.2999999999999998</v>
      </c>
      <c r="V6991" s="6">
        <v>-0.24</v>
      </c>
      <c r="W6991" s="6">
        <v>1.83</v>
      </c>
      <c r="X6991" s="5">
        <v>1.8</v>
      </c>
      <c r="Y6991" s="6">
        <v>1.73</v>
      </c>
      <c r="Z6991" s="6">
        <v>1.82</v>
      </c>
      <c r="AA6991" s="6">
        <v>28.97</v>
      </c>
      <c r="AB6991" s="2" t="s">
        <v>86</v>
      </c>
      <c r="AC6991" s="2"/>
    </row>
    <row r="6992" spans="1:29" ht="65" x14ac:dyDescent="0.15">
      <c r="A6992" s="3">
        <f>DATE(2003,8,14)</f>
        <v>37847</v>
      </c>
      <c r="B6992" s="3">
        <f>DATE(2003,11,6)</f>
        <v>37931</v>
      </c>
      <c r="C6992" s="2" t="s">
        <v>95</v>
      </c>
      <c r="D6992" s="2" t="s">
        <v>8045</v>
      </c>
      <c r="E6992" s="2" t="s">
        <v>8046</v>
      </c>
      <c r="F6992" s="4">
        <v>3663</v>
      </c>
      <c r="G6992" s="2" t="s">
        <v>921</v>
      </c>
      <c r="H6992" s="2" t="s">
        <v>34</v>
      </c>
      <c r="I6992" s="2" t="s">
        <v>21168</v>
      </c>
      <c r="J6992" s="2" t="s">
        <v>150</v>
      </c>
      <c r="K6992" s="2" t="s">
        <v>53</v>
      </c>
      <c r="L6992" s="2" t="s">
        <v>34</v>
      </c>
      <c r="M6992" s="2"/>
      <c r="N6992" s="2"/>
      <c r="O6992" s="2"/>
      <c r="P6992" s="2" t="s">
        <v>21169</v>
      </c>
      <c r="Q6992" s="6">
        <v>54</v>
      </c>
      <c r="R6992" s="2"/>
      <c r="S6992" s="5">
        <v>0.4</v>
      </c>
      <c r="T6992" s="7">
        <v>0.35299999999999998</v>
      </c>
      <c r="U6992" s="5">
        <v>3.8</v>
      </c>
      <c r="V6992" s="6">
        <v>0.1</v>
      </c>
      <c r="W6992" s="6">
        <v>3.87</v>
      </c>
      <c r="X6992" s="6">
        <v>3.86</v>
      </c>
      <c r="Y6992" s="6">
        <v>3.81</v>
      </c>
      <c r="Z6992" s="6">
        <v>3.81</v>
      </c>
      <c r="AA6992" s="6">
        <v>3.7</v>
      </c>
      <c r="AB6992" s="2" t="s">
        <v>47</v>
      </c>
      <c r="AC6992" s="2"/>
    </row>
    <row r="6993" spans="1:29" ht="117" x14ac:dyDescent="0.15">
      <c r="A6993" s="3">
        <f>DATE(2003,8,15)</f>
        <v>37848</v>
      </c>
      <c r="B6993" s="3">
        <f>DATE(2003,11,4)</f>
        <v>37929</v>
      </c>
      <c r="C6993" s="2" t="s">
        <v>95</v>
      </c>
      <c r="D6993" s="2" t="s">
        <v>17154</v>
      </c>
      <c r="E6993" s="2" t="s">
        <v>17155</v>
      </c>
      <c r="F6993" s="4">
        <v>3812</v>
      </c>
      <c r="G6993" s="2" t="s">
        <v>226</v>
      </c>
      <c r="H6993" s="2" t="s">
        <v>34</v>
      </c>
      <c r="I6993" s="2" t="s">
        <v>11896</v>
      </c>
      <c r="J6993" s="2" t="s">
        <v>11897</v>
      </c>
      <c r="K6993" s="2" t="s">
        <v>226</v>
      </c>
      <c r="L6993" s="2" t="s">
        <v>34</v>
      </c>
      <c r="M6993" s="7">
        <v>636.75099999999998</v>
      </c>
      <c r="N6993" s="6">
        <v>29.15</v>
      </c>
      <c r="O6993" s="5">
        <v>25.3</v>
      </c>
      <c r="P6993" s="2" t="s">
        <v>21170</v>
      </c>
      <c r="Q6993" s="6">
        <v>100</v>
      </c>
      <c r="R6993" s="6">
        <v>17.5</v>
      </c>
      <c r="S6993" s="5">
        <v>2</v>
      </c>
      <c r="T6993" s="7">
        <v>49.167999999999999</v>
      </c>
      <c r="U6993" s="5">
        <v>8</v>
      </c>
      <c r="V6993" s="6">
        <v>7.0000000000000007E-2</v>
      </c>
      <c r="W6993" s="6">
        <v>14.92</v>
      </c>
      <c r="X6993" s="6">
        <v>15.15</v>
      </c>
      <c r="Y6993" s="4">
        <v>15</v>
      </c>
      <c r="Z6993" s="6">
        <v>17.059999999999999</v>
      </c>
      <c r="AA6993" s="6">
        <v>21.33</v>
      </c>
      <c r="AB6993" s="7">
        <v>16.942</v>
      </c>
      <c r="AC6993" s="6">
        <v>90.43</v>
      </c>
    </row>
    <row r="6994" spans="1:29" ht="117" x14ac:dyDescent="0.15">
      <c r="A6994" s="3">
        <f>DATE(2003,8,18)</f>
        <v>37851</v>
      </c>
      <c r="B6994" s="3">
        <f>DATE(2004,2,13)</f>
        <v>38030</v>
      </c>
      <c r="C6994" s="2" t="s">
        <v>95</v>
      </c>
      <c r="D6994" s="2" t="s">
        <v>20728</v>
      </c>
      <c r="E6994" s="2" t="s">
        <v>20729</v>
      </c>
      <c r="F6994" s="4">
        <v>7948</v>
      </c>
      <c r="G6994" s="2" t="s">
        <v>364</v>
      </c>
      <c r="H6994" s="2" t="s">
        <v>34</v>
      </c>
      <c r="I6994" s="2" t="s">
        <v>21171</v>
      </c>
      <c r="J6994" s="2" t="s">
        <v>1072</v>
      </c>
      <c r="K6994" s="2" t="s">
        <v>53</v>
      </c>
      <c r="L6994" s="2" t="s">
        <v>34</v>
      </c>
      <c r="M6994" s="2"/>
      <c r="N6994" s="2"/>
      <c r="O6994" s="2"/>
      <c r="P6994" s="2" t="s">
        <v>21172</v>
      </c>
      <c r="Q6994" s="6">
        <v>77.099999999999994</v>
      </c>
      <c r="R6994" s="6">
        <v>0.5</v>
      </c>
      <c r="S6994" s="5">
        <v>-15.8</v>
      </c>
      <c r="T6994" s="7">
        <v>-23.224</v>
      </c>
      <c r="U6994" s="5">
        <v>7.1</v>
      </c>
      <c r="V6994" s="6">
        <v>-1.06</v>
      </c>
      <c r="W6994" s="6">
        <v>2.17</v>
      </c>
      <c r="X6994" s="6">
        <v>1.83</v>
      </c>
      <c r="Y6994" s="5">
        <v>1.3</v>
      </c>
      <c r="Z6994" s="5">
        <v>1.2</v>
      </c>
      <c r="AA6994" s="6">
        <v>14.72</v>
      </c>
      <c r="AB6994" s="2" t="s">
        <v>86</v>
      </c>
      <c r="AC6994" s="2"/>
    </row>
    <row r="6995" spans="1:29" ht="78" x14ac:dyDescent="0.15">
      <c r="A6995" s="3">
        <f>DATE(2003,8,18)</f>
        <v>37851</v>
      </c>
      <c r="B6995" s="3">
        <f>DATE(2003,12,19)</f>
        <v>37974</v>
      </c>
      <c r="C6995" s="2" t="s">
        <v>95</v>
      </c>
      <c r="D6995" s="2" t="s">
        <v>21173</v>
      </c>
      <c r="E6995" s="2" t="s">
        <v>21174</v>
      </c>
      <c r="F6995" s="4">
        <v>7371</v>
      </c>
      <c r="G6995" s="2" t="s">
        <v>223</v>
      </c>
      <c r="H6995" s="2" t="s">
        <v>34</v>
      </c>
      <c r="I6995" s="2" t="s">
        <v>20383</v>
      </c>
      <c r="J6995" s="2" t="s">
        <v>10056</v>
      </c>
      <c r="K6995" s="2" t="s">
        <v>1461</v>
      </c>
      <c r="L6995" s="2" t="s">
        <v>34</v>
      </c>
      <c r="M6995" s="2"/>
      <c r="N6995" s="2"/>
      <c r="O6995" s="2"/>
      <c r="P6995" s="2" t="s">
        <v>21175</v>
      </c>
      <c r="Q6995" s="6">
        <v>100</v>
      </c>
      <c r="R6995" s="6">
        <v>7.1</v>
      </c>
      <c r="S6995" s="5">
        <v>-15.7</v>
      </c>
      <c r="T6995" s="6">
        <v>-9.4600000000000009</v>
      </c>
      <c r="U6995" s="5">
        <v>3.9</v>
      </c>
      <c r="V6995" s="9">
        <v>-2.3999000000000001</v>
      </c>
      <c r="W6995" s="6">
        <v>5.79</v>
      </c>
      <c r="X6995" s="4">
        <v>6</v>
      </c>
      <c r="Y6995" s="6">
        <v>6.98</v>
      </c>
      <c r="Z6995" s="6">
        <v>6.99</v>
      </c>
      <c r="AA6995" s="6">
        <v>6.67</v>
      </c>
      <c r="AB6995" s="2" t="s">
        <v>86</v>
      </c>
      <c r="AC6995" s="2"/>
    </row>
    <row r="6996" spans="1:29" ht="221" x14ac:dyDescent="0.15">
      <c r="A6996" s="3">
        <f>DATE(2003,8,18)</f>
        <v>37851</v>
      </c>
      <c r="B6996" s="2"/>
      <c r="C6996" s="2" t="s">
        <v>30</v>
      </c>
      <c r="D6996" s="2" t="s">
        <v>20576</v>
      </c>
      <c r="E6996" s="2" t="s">
        <v>20577</v>
      </c>
      <c r="F6996" s="4">
        <v>3569</v>
      </c>
      <c r="G6996" s="2" t="s">
        <v>300</v>
      </c>
      <c r="H6996" s="2" t="s">
        <v>34</v>
      </c>
      <c r="I6996" s="2" t="s">
        <v>21176</v>
      </c>
      <c r="J6996" s="2" t="s">
        <v>1072</v>
      </c>
      <c r="K6996" s="2" t="s">
        <v>53</v>
      </c>
      <c r="L6996" s="2" t="s">
        <v>34</v>
      </c>
      <c r="M6996" s="2"/>
      <c r="N6996" s="2"/>
      <c r="O6996" s="2"/>
      <c r="P6996" s="2" t="s">
        <v>21177</v>
      </c>
      <c r="Q6996" s="2"/>
      <c r="R6996" s="6">
        <v>2.25</v>
      </c>
      <c r="S6996" s="5">
        <v>0</v>
      </c>
      <c r="T6996" s="2"/>
      <c r="U6996" s="5">
        <v>2.6</v>
      </c>
      <c r="V6996" s="2"/>
      <c r="W6996" s="6">
        <v>1.1100000000000001</v>
      </c>
      <c r="X6996" s="6">
        <v>1.1100000000000001</v>
      </c>
      <c r="Y6996" s="6">
        <v>2.19</v>
      </c>
      <c r="Z6996" s="6">
        <v>2.19</v>
      </c>
      <c r="AA6996" s="6">
        <v>1.57</v>
      </c>
      <c r="AB6996" s="7">
        <v>58.564999999999998</v>
      </c>
      <c r="AC6996" s="2"/>
    </row>
    <row r="6997" spans="1:29" ht="195" x14ac:dyDescent="0.15">
      <c r="A6997" s="3">
        <f>DATE(2003,8,18)</f>
        <v>37851</v>
      </c>
      <c r="B6997" s="3">
        <f>DATE(2003,12,9)</f>
        <v>37964</v>
      </c>
      <c r="C6997" s="2" t="s">
        <v>95</v>
      </c>
      <c r="D6997" s="2" t="s">
        <v>1631</v>
      </c>
      <c r="E6997" s="2" t="s">
        <v>1632</v>
      </c>
      <c r="F6997" s="4">
        <v>3452</v>
      </c>
      <c r="G6997" s="2" t="s">
        <v>163</v>
      </c>
      <c r="H6997" s="2" t="s">
        <v>34</v>
      </c>
      <c r="I6997" s="2" t="s">
        <v>11584</v>
      </c>
      <c r="J6997" s="2" t="s">
        <v>11585</v>
      </c>
      <c r="K6997" s="2" t="s">
        <v>163</v>
      </c>
      <c r="L6997" s="2" t="s">
        <v>34</v>
      </c>
      <c r="M6997" s="12">
        <v>1703.4390000000001</v>
      </c>
      <c r="N6997" s="6">
        <v>33.68</v>
      </c>
      <c r="O6997" s="4">
        <v>34</v>
      </c>
      <c r="P6997" s="2" t="s">
        <v>21178</v>
      </c>
      <c r="Q6997" s="6">
        <v>100</v>
      </c>
      <c r="R6997" s="6">
        <v>44.57</v>
      </c>
      <c r="S6997" s="5">
        <v>8.5</v>
      </c>
      <c r="T6997" s="6">
        <v>76.819999999999993</v>
      </c>
      <c r="U6997" s="5">
        <v>28.3</v>
      </c>
      <c r="V6997" s="6">
        <v>0.66</v>
      </c>
      <c r="W6997" s="6">
        <v>30.35</v>
      </c>
      <c r="X6997" s="5">
        <v>34.299999999999997</v>
      </c>
      <c r="Y6997" s="6">
        <v>43.95</v>
      </c>
      <c r="Z6997" s="6">
        <v>44.07</v>
      </c>
      <c r="AA6997" s="6">
        <v>12.94</v>
      </c>
      <c r="AB6997" s="7">
        <v>16.303000000000001</v>
      </c>
      <c r="AC6997" s="5">
        <v>35</v>
      </c>
    </row>
    <row r="6998" spans="1:29" ht="143" x14ac:dyDescent="0.15">
      <c r="A6998" s="3">
        <f>DATE(2003,8,21)</f>
        <v>37854</v>
      </c>
      <c r="B6998" s="3">
        <f>DATE(2004,8,12)</f>
        <v>38211</v>
      </c>
      <c r="C6998" s="2" t="s">
        <v>95</v>
      </c>
      <c r="D6998" s="2" t="s">
        <v>21130</v>
      </c>
      <c r="E6998" s="2" t="s">
        <v>839</v>
      </c>
      <c r="F6998" s="4">
        <v>2834</v>
      </c>
      <c r="G6998" s="2" t="s">
        <v>130</v>
      </c>
      <c r="H6998" s="2" t="s">
        <v>34</v>
      </c>
      <c r="I6998" s="2" t="s">
        <v>17260</v>
      </c>
      <c r="J6998" s="2" t="s">
        <v>7462</v>
      </c>
      <c r="K6998" s="2" t="s">
        <v>130</v>
      </c>
      <c r="L6998" s="2" t="s">
        <v>34</v>
      </c>
      <c r="M6998" s="12">
        <v>2586.8989999999999</v>
      </c>
      <c r="N6998" s="6">
        <v>44.13</v>
      </c>
      <c r="O6998" s="6">
        <v>43.28</v>
      </c>
      <c r="P6998" s="2" t="s">
        <v>21179</v>
      </c>
      <c r="Q6998" s="6">
        <v>100</v>
      </c>
      <c r="R6998" s="6">
        <v>34</v>
      </c>
      <c r="S6998" s="5">
        <v>14.5</v>
      </c>
      <c r="T6998" s="7">
        <v>21.157</v>
      </c>
      <c r="U6998" s="5">
        <v>15.5</v>
      </c>
      <c r="V6998" s="6">
        <v>0.99</v>
      </c>
      <c r="W6998" s="6">
        <v>27.25</v>
      </c>
      <c r="X6998" s="6">
        <v>24.61</v>
      </c>
      <c r="Y6998" s="6">
        <v>23.77</v>
      </c>
      <c r="Z6998" s="4">
        <v>23</v>
      </c>
      <c r="AA6998" s="6">
        <v>14.48</v>
      </c>
      <c r="AB6998" s="7">
        <v>25.728000000000002</v>
      </c>
      <c r="AC6998" s="10">
        <v>1212.6199999999999</v>
      </c>
    </row>
    <row r="6999" spans="1:29" ht="104" x14ac:dyDescent="0.15">
      <c r="A6999" s="3">
        <f>DATE(2003,8,21)</f>
        <v>37854</v>
      </c>
      <c r="B6999" s="3">
        <f>DATE(2003,10,13)</f>
        <v>37907</v>
      </c>
      <c r="C6999" s="2" t="s">
        <v>95</v>
      </c>
      <c r="D6999" s="2" t="s">
        <v>21180</v>
      </c>
      <c r="E6999" s="2" t="s">
        <v>21181</v>
      </c>
      <c r="F6999" s="4">
        <v>3699</v>
      </c>
      <c r="G6999" s="2" t="s">
        <v>137</v>
      </c>
      <c r="H6999" s="2" t="s">
        <v>34</v>
      </c>
      <c r="I6999" s="2" t="s">
        <v>21182</v>
      </c>
      <c r="J6999" s="2" t="s">
        <v>21183</v>
      </c>
      <c r="K6999" s="2" t="s">
        <v>223</v>
      </c>
      <c r="L6999" s="2" t="s">
        <v>34</v>
      </c>
      <c r="M6999" s="7">
        <v>652.76599999999996</v>
      </c>
      <c r="N6999" s="5">
        <v>26.5</v>
      </c>
      <c r="O6999" s="6">
        <v>25.55</v>
      </c>
      <c r="P6999" s="2" t="s">
        <v>21184</v>
      </c>
      <c r="Q6999" s="6">
        <v>87.98</v>
      </c>
      <c r="R6999" s="6">
        <v>5.25</v>
      </c>
      <c r="S6999" s="5">
        <v>7.5</v>
      </c>
      <c r="T6999" s="7">
        <v>4.4489999999999998</v>
      </c>
      <c r="U6999" s="5">
        <v>4.4000000000000004</v>
      </c>
      <c r="V6999" s="6">
        <v>0.95</v>
      </c>
      <c r="W6999" s="6">
        <v>5.15</v>
      </c>
      <c r="X6999" s="6">
        <v>5.08</v>
      </c>
      <c r="Y6999" s="5">
        <v>5.2</v>
      </c>
      <c r="Z6999" s="6">
        <v>5.21</v>
      </c>
      <c r="AA6999" s="6">
        <v>7.9</v>
      </c>
      <c r="AB6999" s="7">
        <v>11.638999999999999</v>
      </c>
      <c r="AC6999" s="6">
        <v>73.88</v>
      </c>
    </row>
    <row r="7000" spans="1:29" ht="130" x14ac:dyDescent="0.15">
      <c r="A7000" s="3">
        <f>DATE(2003,8,21)</f>
        <v>37854</v>
      </c>
      <c r="B7000" s="3">
        <f>DATE(2003,12,31)</f>
        <v>37986</v>
      </c>
      <c r="C7000" s="2" t="s">
        <v>95</v>
      </c>
      <c r="D7000" s="2" t="s">
        <v>8845</v>
      </c>
      <c r="E7000" s="2" t="s">
        <v>265</v>
      </c>
      <c r="F7000" s="4">
        <v>6022</v>
      </c>
      <c r="G7000" s="2" t="s">
        <v>37</v>
      </c>
      <c r="H7000" s="2" t="s">
        <v>34</v>
      </c>
      <c r="I7000" s="2" t="s">
        <v>21185</v>
      </c>
      <c r="J7000" s="2" t="s">
        <v>36</v>
      </c>
      <c r="K7000" s="2" t="s">
        <v>37</v>
      </c>
      <c r="L7000" s="2" t="s">
        <v>34</v>
      </c>
      <c r="M7000" s="12">
        <v>13696.063</v>
      </c>
      <c r="N7000" s="6">
        <v>48.07</v>
      </c>
      <c r="O7000" s="6">
        <v>46.97</v>
      </c>
      <c r="P7000" s="2" t="s">
        <v>21186</v>
      </c>
      <c r="Q7000" s="6">
        <v>100</v>
      </c>
      <c r="R7000" s="2"/>
      <c r="S7000" s="5">
        <v>28.5</v>
      </c>
      <c r="T7000" s="2"/>
      <c r="U7000" s="5">
        <v>14.2</v>
      </c>
      <c r="V7000" s="6">
        <v>1.56</v>
      </c>
      <c r="W7000" s="6">
        <v>29.05</v>
      </c>
      <c r="X7000" s="6">
        <v>31.05</v>
      </c>
      <c r="Y7000" s="6">
        <v>33.22</v>
      </c>
      <c r="Z7000" s="6">
        <v>33.04</v>
      </c>
      <c r="AA7000" s="6">
        <v>18.809999999999999</v>
      </c>
      <c r="AB7000" s="7">
        <v>28.777000000000001</v>
      </c>
      <c r="AC7000" s="2"/>
    </row>
    <row r="7001" spans="1:29" ht="182" x14ac:dyDescent="0.15">
      <c r="A7001" s="3">
        <f>DATE(2003,8,25)</f>
        <v>37858</v>
      </c>
      <c r="B7001" s="3">
        <f>DATE(2004,4,1)</f>
        <v>38078</v>
      </c>
      <c r="C7001" s="2" t="s">
        <v>95</v>
      </c>
      <c r="D7001" s="2" t="s">
        <v>21187</v>
      </c>
      <c r="E7001" s="2" t="s">
        <v>672</v>
      </c>
      <c r="F7001" s="4">
        <v>6021</v>
      </c>
      <c r="G7001" s="2" t="s">
        <v>37</v>
      </c>
      <c r="H7001" s="2" t="s">
        <v>34</v>
      </c>
      <c r="I7001" s="2" t="s">
        <v>4525</v>
      </c>
      <c r="J7001" s="2" t="s">
        <v>36</v>
      </c>
      <c r="K7001" s="2" t="s">
        <v>37</v>
      </c>
      <c r="L7001" s="2" t="s">
        <v>34</v>
      </c>
      <c r="M7001" s="12">
        <v>2097.0149999999999</v>
      </c>
      <c r="N7001" s="6">
        <v>20.12</v>
      </c>
      <c r="O7001" s="6">
        <v>19.760000000000002</v>
      </c>
      <c r="P7001" s="2" t="s">
        <v>21188</v>
      </c>
      <c r="Q7001" s="6">
        <v>100</v>
      </c>
      <c r="R7001" s="6">
        <v>32.659999999999997</v>
      </c>
      <c r="S7001" s="5">
        <v>11.7</v>
      </c>
      <c r="T7001" s="6">
        <v>18.239999999999998</v>
      </c>
      <c r="U7001" s="5">
        <v>9.8000000000000007</v>
      </c>
      <c r="V7001" s="6">
        <v>1.88</v>
      </c>
      <c r="W7001" s="6">
        <v>38.85</v>
      </c>
      <c r="X7001" s="6">
        <v>37.659999999999997</v>
      </c>
      <c r="Y7001" s="6">
        <v>38.94</v>
      </c>
      <c r="Z7001" s="5">
        <v>42.1</v>
      </c>
      <c r="AA7001" s="6">
        <v>3.98</v>
      </c>
      <c r="AB7001" s="7">
        <v>60.051000000000002</v>
      </c>
      <c r="AC7001" s="2"/>
    </row>
    <row r="7002" spans="1:29" ht="78" x14ac:dyDescent="0.15">
      <c r="A7002" s="3">
        <f>DATE(2003,8,28)</f>
        <v>37861</v>
      </c>
      <c r="B7002" s="3">
        <f>DATE(2003,10,28)</f>
        <v>37922</v>
      </c>
      <c r="C7002" s="2" t="s">
        <v>95</v>
      </c>
      <c r="D7002" s="2" t="s">
        <v>21189</v>
      </c>
      <c r="E7002" s="2" t="s">
        <v>21190</v>
      </c>
      <c r="F7002" s="4">
        <v>3674</v>
      </c>
      <c r="G7002" s="2" t="s">
        <v>137</v>
      </c>
      <c r="H7002" s="2" t="s">
        <v>34</v>
      </c>
      <c r="I7002" s="2" t="s">
        <v>17515</v>
      </c>
      <c r="J7002" s="2" t="s">
        <v>1046</v>
      </c>
      <c r="K7002" s="2" t="s">
        <v>137</v>
      </c>
      <c r="L7002" s="2" t="s">
        <v>34</v>
      </c>
      <c r="M7002" s="12">
        <v>1745.6020000000001</v>
      </c>
      <c r="N7002" s="6">
        <v>5.93</v>
      </c>
      <c r="O7002" s="6">
        <v>5.82</v>
      </c>
      <c r="P7002" s="2" t="s">
        <v>21191</v>
      </c>
      <c r="Q7002" s="6">
        <v>100</v>
      </c>
      <c r="R7002" s="6">
        <v>7</v>
      </c>
      <c r="S7002" s="5">
        <v>-33.200000000000003</v>
      </c>
      <c r="T7002" s="7">
        <v>-17.378</v>
      </c>
      <c r="U7002" s="5">
        <v>3.5</v>
      </c>
      <c r="V7002" s="6">
        <v>-1.25</v>
      </c>
      <c r="W7002" s="6">
        <v>5.75</v>
      </c>
      <c r="X7002" s="6">
        <v>5.77</v>
      </c>
      <c r="Y7002" s="6">
        <v>5.79</v>
      </c>
      <c r="Z7002" s="6">
        <v>6.86</v>
      </c>
      <c r="AA7002" s="6">
        <v>27.08</v>
      </c>
      <c r="AB7002" s="2" t="s">
        <v>86</v>
      </c>
      <c r="AC7002" s="10">
        <v>1025.73</v>
      </c>
    </row>
    <row r="7003" spans="1:29" ht="169" x14ac:dyDescent="0.15">
      <c r="A7003" s="3">
        <f>DATE(2003,8,28)</f>
        <v>37861</v>
      </c>
      <c r="B7003" s="3">
        <f>DATE(2004,2,2)</f>
        <v>38019</v>
      </c>
      <c r="C7003" s="2" t="s">
        <v>95</v>
      </c>
      <c r="D7003" s="2" t="s">
        <v>21192</v>
      </c>
      <c r="E7003" s="2" t="s">
        <v>14170</v>
      </c>
      <c r="F7003" s="4">
        <v>6035</v>
      </c>
      <c r="G7003" s="2" t="s">
        <v>33</v>
      </c>
      <c r="H7003" s="2" t="s">
        <v>34</v>
      </c>
      <c r="I7003" s="2" t="s">
        <v>17747</v>
      </c>
      <c r="J7003" s="2" t="s">
        <v>263</v>
      </c>
      <c r="K7003" s="2" t="s">
        <v>37</v>
      </c>
      <c r="L7003" s="2" t="s">
        <v>34</v>
      </c>
      <c r="M7003" s="12">
        <v>32715.300999999999</v>
      </c>
      <c r="N7003" s="6">
        <v>29.61</v>
      </c>
      <c r="O7003" s="6">
        <v>29.59</v>
      </c>
      <c r="P7003" s="2" t="s">
        <v>21193</v>
      </c>
      <c r="Q7003" s="6">
        <v>100</v>
      </c>
      <c r="R7003" s="6">
        <v>30.8</v>
      </c>
      <c r="S7003" s="5">
        <v>9.5</v>
      </c>
      <c r="T7003" s="2"/>
      <c r="U7003" s="5">
        <v>9.1</v>
      </c>
      <c r="V7003" s="9">
        <v>1.0314000000000001</v>
      </c>
      <c r="W7003" s="6">
        <v>16.75</v>
      </c>
      <c r="X7003" s="6">
        <v>16.96</v>
      </c>
      <c r="Y7003" s="6">
        <v>26.95</v>
      </c>
      <c r="Z7003" s="6">
        <v>26.85</v>
      </c>
      <c r="AA7003" s="6">
        <v>6.87</v>
      </c>
      <c r="AB7003" s="7">
        <v>49.777000000000001</v>
      </c>
      <c r="AC7003" s="2"/>
    </row>
    <row r="7004" spans="1:29" ht="52" x14ac:dyDescent="0.15">
      <c r="A7004" s="3">
        <f>DATE(2003,9,1)</f>
        <v>37865</v>
      </c>
      <c r="B7004" s="2"/>
      <c r="C7004" s="2" t="s">
        <v>189</v>
      </c>
      <c r="D7004" s="2" t="s">
        <v>16693</v>
      </c>
      <c r="E7004" s="2" t="s">
        <v>1608</v>
      </c>
      <c r="F7004" s="4">
        <v>1311</v>
      </c>
      <c r="G7004" s="2" t="s">
        <v>148</v>
      </c>
      <c r="H7004" s="2" t="s">
        <v>34</v>
      </c>
      <c r="I7004" s="2" t="s">
        <v>143</v>
      </c>
      <c r="J7004" s="2" t="s">
        <v>144</v>
      </c>
      <c r="K7004" s="2" t="s">
        <v>53</v>
      </c>
      <c r="L7004" s="2" t="s">
        <v>139</v>
      </c>
      <c r="M7004" s="2"/>
      <c r="N7004" s="2"/>
      <c r="O7004" s="2"/>
      <c r="P7004" s="2" t="s">
        <v>21194</v>
      </c>
      <c r="Q7004" s="2"/>
      <c r="R7004" s="2"/>
      <c r="S7004" s="8">
        <v>1175</v>
      </c>
      <c r="T7004" s="8">
        <v>3336</v>
      </c>
      <c r="U7004" s="5">
        <v>15.3</v>
      </c>
      <c r="V7004" s="7">
        <v>2.2949999999999999</v>
      </c>
      <c r="W7004" s="5">
        <v>42.5</v>
      </c>
      <c r="X7004" s="5">
        <v>43.5</v>
      </c>
      <c r="Y7004" s="6">
        <v>43.34</v>
      </c>
      <c r="Z7004" s="6">
        <v>43.34</v>
      </c>
      <c r="AA7004" s="6">
        <v>249.53</v>
      </c>
      <c r="AB7004" s="2" t="s">
        <v>47</v>
      </c>
      <c r="AC7004" s="2"/>
    </row>
    <row r="7005" spans="1:29" ht="182" x14ac:dyDescent="0.15">
      <c r="A7005" s="3">
        <f>DATE(2003,9,2)</f>
        <v>37866</v>
      </c>
      <c r="B7005" s="3">
        <f>DATE(2004,3,24)</f>
        <v>38070</v>
      </c>
      <c r="C7005" s="2" t="s">
        <v>95</v>
      </c>
      <c r="D7005" s="2" t="s">
        <v>21195</v>
      </c>
      <c r="E7005" s="2" t="s">
        <v>16835</v>
      </c>
      <c r="F7005" s="4">
        <v>8099</v>
      </c>
      <c r="G7005" s="2" t="s">
        <v>454</v>
      </c>
      <c r="H7005" s="2" t="s">
        <v>34</v>
      </c>
      <c r="I7005" s="2" t="s">
        <v>21196</v>
      </c>
      <c r="J7005" s="2" t="s">
        <v>9168</v>
      </c>
      <c r="K7005" s="2" t="s">
        <v>454</v>
      </c>
      <c r="L7005" s="2" t="s">
        <v>34</v>
      </c>
      <c r="M7005" s="12">
        <v>6260.0129999999999</v>
      </c>
      <c r="N7005" s="5">
        <v>25.4</v>
      </c>
      <c r="O7005" s="5">
        <v>23.3</v>
      </c>
      <c r="P7005" s="2" t="s">
        <v>21197</v>
      </c>
      <c r="Q7005" s="6">
        <v>100</v>
      </c>
      <c r="R7005" s="6">
        <v>54.03</v>
      </c>
      <c r="S7005" s="5">
        <v>181.5</v>
      </c>
      <c r="T7005" s="7">
        <v>393.12799999999999</v>
      </c>
      <c r="U7005" s="5">
        <v>11.4</v>
      </c>
      <c r="V7005" s="6">
        <v>1.87</v>
      </c>
      <c r="W7005" s="5">
        <v>39.4</v>
      </c>
      <c r="X7005" s="6">
        <v>40.03</v>
      </c>
      <c r="Y7005" s="4">
        <v>40</v>
      </c>
      <c r="Z7005" s="6">
        <v>47.45</v>
      </c>
      <c r="AA7005" s="6">
        <v>92.03</v>
      </c>
      <c r="AB7005" s="7">
        <v>16.837</v>
      </c>
      <c r="AC7005" s="6">
        <v>525.78</v>
      </c>
    </row>
    <row r="7006" spans="1:29" ht="104" x14ac:dyDescent="0.15">
      <c r="A7006" s="3">
        <f>DATE(2003,9,2)</f>
        <v>37866</v>
      </c>
      <c r="B7006" s="3">
        <f>DATE(2004,4,15)</f>
        <v>38092</v>
      </c>
      <c r="C7006" s="2" t="s">
        <v>95</v>
      </c>
      <c r="D7006" s="2" t="s">
        <v>21198</v>
      </c>
      <c r="E7006" s="2" t="s">
        <v>203</v>
      </c>
      <c r="F7006" s="4">
        <v>6035</v>
      </c>
      <c r="G7006" s="2" t="s">
        <v>33</v>
      </c>
      <c r="H7006" s="2" t="s">
        <v>34</v>
      </c>
      <c r="I7006" s="2" t="s">
        <v>21199</v>
      </c>
      <c r="J7006" s="2" t="s">
        <v>36</v>
      </c>
      <c r="K7006" s="2" t="s">
        <v>37</v>
      </c>
      <c r="L7006" s="2" t="s">
        <v>34</v>
      </c>
      <c r="M7006" s="7">
        <v>35.063000000000002</v>
      </c>
      <c r="N7006" s="5">
        <v>15.1</v>
      </c>
      <c r="O7006" s="6">
        <v>15.03</v>
      </c>
      <c r="P7006" s="2" t="s">
        <v>21200</v>
      </c>
      <c r="Q7006" s="6">
        <v>100</v>
      </c>
      <c r="R7006" s="6">
        <v>18.8</v>
      </c>
      <c r="S7006" s="5">
        <v>1.8</v>
      </c>
      <c r="T7006" s="7">
        <v>2.9620000000000002</v>
      </c>
      <c r="U7006" s="5">
        <v>11.7</v>
      </c>
      <c r="V7006" s="6">
        <v>1.42</v>
      </c>
      <c r="W7006" s="6">
        <v>16.57</v>
      </c>
      <c r="X7006" s="5">
        <v>16.5</v>
      </c>
      <c r="Y7006" s="6">
        <v>18.41</v>
      </c>
      <c r="Z7006" s="6">
        <v>18.39</v>
      </c>
      <c r="AA7006" s="6">
        <v>1.3</v>
      </c>
      <c r="AB7006" s="7">
        <v>13.256</v>
      </c>
      <c r="AC7006" s="2"/>
    </row>
    <row r="7007" spans="1:29" ht="78" x14ac:dyDescent="0.15">
      <c r="A7007" s="3">
        <f>DATE(2003,9,3)</f>
        <v>37867</v>
      </c>
      <c r="B7007" s="2"/>
      <c r="C7007" s="2" t="s">
        <v>30</v>
      </c>
      <c r="D7007" s="2" t="s">
        <v>21201</v>
      </c>
      <c r="E7007" s="2" t="s">
        <v>21202</v>
      </c>
      <c r="F7007" s="4">
        <v>2077</v>
      </c>
      <c r="G7007" s="2" t="s">
        <v>577</v>
      </c>
      <c r="H7007" s="2" t="s">
        <v>34</v>
      </c>
      <c r="I7007" s="2" t="s">
        <v>51</v>
      </c>
      <c r="J7007" s="2" t="s">
        <v>52</v>
      </c>
      <c r="K7007" s="2" t="s">
        <v>53</v>
      </c>
      <c r="L7007" s="2" t="s">
        <v>5881</v>
      </c>
      <c r="M7007" s="2"/>
      <c r="N7007" s="2"/>
      <c r="O7007" s="2"/>
      <c r="P7007" s="2" t="s">
        <v>21203</v>
      </c>
      <c r="Q7007" s="2"/>
      <c r="R7007" s="6">
        <v>9.5</v>
      </c>
      <c r="S7007" s="5">
        <v>11.5</v>
      </c>
      <c r="T7007" s="7">
        <v>29.457999999999998</v>
      </c>
      <c r="U7007" s="5">
        <v>5.8</v>
      </c>
      <c r="V7007" s="6">
        <v>0.45</v>
      </c>
      <c r="W7007" s="6">
        <v>5.89</v>
      </c>
      <c r="X7007" s="6">
        <v>6.15</v>
      </c>
      <c r="Y7007" s="6">
        <v>7.08</v>
      </c>
      <c r="Z7007" s="6">
        <v>6.58</v>
      </c>
      <c r="AA7007" s="6">
        <v>24.21</v>
      </c>
      <c r="AB7007" s="7">
        <v>13.365</v>
      </c>
      <c r="AC7007" s="2"/>
    </row>
    <row r="7008" spans="1:29" ht="91" x14ac:dyDescent="0.15">
      <c r="A7008" s="3">
        <f>DATE(2003,9,4)</f>
        <v>37868</v>
      </c>
      <c r="B7008" s="3">
        <f>DATE(2004,8,27)</f>
        <v>38226</v>
      </c>
      <c r="C7008" s="2" t="s">
        <v>95</v>
      </c>
      <c r="D7008" s="2" t="s">
        <v>21204</v>
      </c>
      <c r="E7008" s="2" t="s">
        <v>8587</v>
      </c>
      <c r="F7008" s="4">
        <v>7372</v>
      </c>
      <c r="G7008" s="2" t="s">
        <v>551</v>
      </c>
      <c r="H7008" s="2" t="s">
        <v>34</v>
      </c>
      <c r="I7008" s="2" t="s">
        <v>21205</v>
      </c>
      <c r="J7008" s="2" t="s">
        <v>21206</v>
      </c>
      <c r="K7008" s="2" t="s">
        <v>223</v>
      </c>
      <c r="L7008" s="2" t="s">
        <v>1086</v>
      </c>
      <c r="M7008" s="7">
        <v>874.428</v>
      </c>
      <c r="N7008" s="6">
        <v>9.9700000000000006</v>
      </c>
      <c r="O7008" s="6">
        <v>9.98</v>
      </c>
      <c r="P7008" s="2" t="s">
        <v>21207</v>
      </c>
      <c r="Q7008" s="6">
        <v>100</v>
      </c>
      <c r="R7008" s="6">
        <v>19</v>
      </c>
      <c r="S7008" s="5">
        <v>4.2</v>
      </c>
      <c r="T7008" s="7">
        <v>10.259</v>
      </c>
      <c r="U7008" s="5">
        <v>5.7</v>
      </c>
      <c r="V7008" s="6">
        <v>1.28</v>
      </c>
      <c r="W7008" s="6">
        <v>15.48</v>
      </c>
      <c r="X7008" s="6">
        <v>17.29</v>
      </c>
      <c r="Y7008" s="6">
        <v>18.510000000000002</v>
      </c>
      <c r="Z7008" s="5">
        <v>18.5</v>
      </c>
      <c r="AA7008" s="6">
        <v>2.8</v>
      </c>
      <c r="AB7008" s="7">
        <v>12.356999999999999</v>
      </c>
      <c r="AC7008" s="6">
        <v>379.52</v>
      </c>
    </row>
    <row r="7009" spans="1:29" ht="117" x14ac:dyDescent="0.15">
      <c r="A7009" s="3">
        <f>DATE(2003,9,9)</f>
        <v>37873</v>
      </c>
      <c r="B7009" s="3">
        <f>DATE(2003,11,17)</f>
        <v>37942</v>
      </c>
      <c r="C7009" s="2" t="s">
        <v>95</v>
      </c>
      <c r="D7009" s="2" t="s">
        <v>21208</v>
      </c>
      <c r="E7009" s="2" t="s">
        <v>21209</v>
      </c>
      <c r="F7009" s="4">
        <v>7372</v>
      </c>
      <c r="G7009" s="2" t="s">
        <v>551</v>
      </c>
      <c r="H7009" s="2" t="s">
        <v>34</v>
      </c>
      <c r="I7009" s="2" t="s">
        <v>18420</v>
      </c>
      <c r="J7009" s="2" t="s">
        <v>18421</v>
      </c>
      <c r="K7009" s="2" t="s">
        <v>551</v>
      </c>
      <c r="L7009" s="2" t="s">
        <v>34</v>
      </c>
      <c r="M7009" s="7">
        <v>92.933999999999997</v>
      </c>
      <c r="N7009" s="6">
        <v>8.2799999999999994</v>
      </c>
      <c r="O7009" s="5">
        <v>7.6</v>
      </c>
      <c r="P7009" s="2" t="s">
        <v>21210</v>
      </c>
      <c r="Q7009" s="6">
        <v>100</v>
      </c>
      <c r="R7009" s="6">
        <v>11.27</v>
      </c>
      <c r="S7009" s="5">
        <v>-22.7</v>
      </c>
      <c r="T7009" s="7">
        <v>-8.8149999999999995</v>
      </c>
      <c r="U7009" s="5">
        <v>4.9000000000000004</v>
      </c>
      <c r="V7009" s="6">
        <v>-4.8</v>
      </c>
      <c r="W7009" s="5">
        <v>8.4</v>
      </c>
      <c r="X7009" s="4">
        <v>8</v>
      </c>
      <c r="Y7009" s="6">
        <v>8.15</v>
      </c>
      <c r="Z7009" s="5">
        <v>10.4</v>
      </c>
      <c r="AA7009" s="6">
        <v>4.74</v>
      </c>
      <c r="AB7009" s="2" t="s">
        <v>86</v>
      </c>
      <c r="AC7009" s="6">
        <v>26.92</v>
      </c>
    </row>
    <row r="7010" spans="1:29" ht="78" x14ac:dyDescent="0.15">
      <c r="A7010" s="3">
        <f>DATE(2003,9,11)</f>
        <v>37875</v>
      </c>
      <c r="B7010" s="3">
        <f>DATE(2003,12,31)</f>
        <v>37986</v>
      </c>
      <c r="C7010" s="2" t="s">
        <v>95</v>
      </c>
      <c r="D7010" s="2" t="s">
        <v>20392</v>
      </c>
      <c r="E7010" s="2" t="s">
        <v>263</v>
      </c>
      <c r="F7010" s="4">
        <v>6029</v>
      </c>
      <c r="G7010" s="2" t="s">
        <v>37</v>
      </c>
      <c r="H7010" s="2" t="s">
        <v>34</v>
      </c>
      <c r="I7010" s="2" t="s">
        <v>6339</v>
      </c>
      <c r="J7010" s="2" t="s">
        <v>36</v>
      </c>
      <c r="K7010" s="2" t="s">
        <v>37</v>
      </c>
      <c r="L7010" s="2" t="s">
        <v>34</v>
      </c>
      <c r="M7010" s="12">
        <v>1386.7760000000001</v>
      </c>
      <c r="N7010" s="5">
        <v>30.2</v>
      </c>
      <c r="O7010" s="6">
        <v>30.46</v>
      </c>
      <c r="P7010" s="2" t="s">
        <v>21211</v>
      </c>
      <c r="Q7010" s="6">
        <v>100</v>
      </c>
      <c r="R7010" s="6">
        <v>27.45</v>
      </c>
      <c r="S7010" s="5">
        <v>6.4</v>
      </c>
      <c r="T7010" s="2"/>
      <c r="U7010" s="5">
        <v>14.6</v>
      </c>
      <c r="V7010" s="6">
        <v>1.8</v>
      </c>
      <c r="W7010" s="4">
        <v>27</v>
      </c>
      <c r="X7010" s="6">
        <v>26.72</v>
      </c>
      <c r="Y7010" s="6">
        <v>26.65</v>
      </c>
      <c r="Z7010" s="6">
        <v>27.21</v>
      </c>
      <c r="AA7010" s="6">
        <v>4.4000000000000004</v>
      </c>
      <c r="AB7010" s="7">
        <v>16.344000000000001</v>
      </c>
      <c r="AC7010" s="2"/>
    </row>
    <row r="7011" spans="1:29" ht="91" x14ac:dyDescent="0.15">
      <c r="A7011" s="3">
        <f>DATE(2003,9,11)</f>
        <v>37875</v>
      </c>
      <c r="B7011" s="3">
        <f>DATE(2003,11,3)</f>
        <v>37928</v>
      </c>
      <c r="C7011" s="2" t="s">
        <v>95</v>
      </c>
      <c r="D7011" s="2" t="s">
        <v>21212</v>
      </c>
      <c r="E7011" s="2" t="s">
        <v>21213</v>
      </c>
      <c r="F7011" s="4">
        <v>7363</v>
      </c>
      <c r="G7011" s="2" t="s">
        <v>223</v>
      </c>
      <c r="H7011" s="2" t="s">
        <v>34</v>
      </c>
      <c r="I7011" s="2" t="s">
        <v>21214</v>
      </c>
      <c r="J7011" s="2" t="s">
        <v>21213</v>
      </c>
      <c r="K7011" s="2" t="s">
        <v>223</v>
      </c>
      <c r="L7011" s="2" t="s">
        <v>34</v>
      </c>
      <c r="M7011" s="2"/>
      <c r="N7011" s="2"/>
      <c r="O7011" s="2"/>
      <c r="P7011" s="2" t="s">
        <v>21215</v>
      </c>
      <c r="Q7011" s="6">
        <v>100</v>
      </c>
      <c r="R7011" s="6">
        <v>1.37</v>
      </c>
      <c r="S7011" s="5">
        <v>-13.4</v>
      </c>
      <c r="T7011" s="7">
        <v>4.0410000000000004</v>
      </c>
      <c r="U7011" s="5">
        <v>2.7</v>
      </c>
      <c r="V7011" s="6">
        <v>-5.9</v>
      </c>
      <c r="W7011" s="6">
        <v>2.99</v>
      </c>
      <c r="X7011" s="6">
        <v>2.64</v>
      </c>
      <c r="Y7011" s="6">
        <v>1.35</v>
      </c>
      <c r="Z7011" s="6">
        <v>1.33</v>
      </c>
      <c r="AA7011" s="6">
        <v>12.69</v>
      </c>
      <c r="AB7011" s="7">
        <v>14.808999999999999</v>
      </c>
      <c r="AC7011" s="2"/>
    </row>
    <row r="7012" spans="1:29" ht="91" x14ac:dyDescent="0.15">
      <c r="A7012" s="3">
        <f>DATE(2003,9,11)</f>
        <v>37875</v>
      </c>
      <c r="B7012" s="3">
        <f>DATE(2004,4,30)</f>
        <v>38107</v>
      </c>
      <c r="C7012" s="2" t="s">
        <v>95</v>
      </c>
      <c r="D7012" s="2" t="s">
        <v>21216</v>
      </c>
      <c r="E7012" s="2" t="s">
        <v>203</v>
      </c>
      <c r="F7012" s="4">
        <v>6035</v>
      </c>
      <c r="G7012" s="2" t="s">
        <v>33</v>
      </c>
      <c r="H7012" s="2" t="s">
        <v>34</v>
      </c>
      <c r="I7012" s="2" t="s">
        <v>21217</v>
      </c>
      <c r="J7012" s="2" t="s">
        <v>159</v>
      </c>
      <c r="K7012" s="2" t="s">
        <v>37</v>
      </c>
      <c r="L7012" s="2" t="s">
        <v>34</v>
      </c>
      <c r="M7012" s="2"/>
      <c r="N7012" s="2"/>
      <c r="O7012" s="2"/>
      <c r="P7012" s="2" t="s">
        <v>21218</v>
      </c>
      <c r="Q7012" s="6">
        <v>100</v>
      </c>
      <c r="R7012" s="6">
        <v>17</v>
      </c>
      <c r="S7012" s="5">
        <v>0.3</v>
      </c>
      <c r="T7012" s="2"/>
      <c r="U7012" s="5">
        <v>7.5</v>
      </c>
      <c r="V7012" s="6">
        <v>0.09</v>
      </c>
      <c r="W7012" s="6">
        <v>13.27</v>
      </c>
      <c r="X7012" s="6">
        <v>13.46</v>
      </c>
      <c r="Y7012" s="6">
        <v>13.46</v>
      </c>
      <c r="Z7012" s="5">
        <v>16.899999999999999</v>
      </c>
      <c r="AA7012" s="6">
        <v>3.15</v>
      </c>
      <c r="AB7012" s="7">
        <v>370.44799999999998</v>
      </c>
      <c r="AC7012" s="2"/>
    </row>
    <row r="7013" spans="1:29" ht="169" x14ac:dyDescent="0.15">
      <c r="A7013" s="3">
        <f>DATE(2003,9,12)</f>
        <v>37876</v>
      </c>
      <c r="B7013" s="2"/>
      <c r="C7013" s="2" t="s">
        <v>30</v>
      </c>
      <c r="D7013" s="2" t="s">
        <v>21064</v>
      </c>
      <c r="E7013" s="2" t="s">
        <v>36</v>
      </c>
      <c r="F7013" s="4">
        <v>6022</v>
      </c>
      <c r="G7013" s="2" t="s">
        <v>37</v>
      </c>
      <c r="H7013" s="2" t="s">
        <v>34</v>
      </c>
      <c r="I7013" s="2" t="s">
        <v>21219</v>
      </c>
      <c r="J7013" s="2" t="s">
        <v>150</v>
      </c>
      <c r="K7013" s="2" t="s">
        <v>53</v>
      </c>
      <c r="L7013" s="2" t="s">
        <v>34</v>
      </c>
      <c r="M7013" s="2"/>
      <c r="N7013" s="2"/>
      <c r="O7013" s="2"/>
      <c r="P7013" s="2" t="s">
        <v>21220</v>
      </c>
      <c r="Q7013" s="2"/>
      <c r="R7013" s="6">
        <v>20.2</v>
      </c>
      <c r="S7013" s="5">
        <v>1.2</v>
      </c>
      <c r="T7013" s="7">
        <v>2.0539999999999998</v>
      </c>
      <c r="U7013" s="5">
        <v>12.6</v>
      </c>
      <c r="V7013" s="6">
        <v>0.5</v>
      </c>
      <c r="W7013" s="4">
        <v>17</v>
      </c>
      <c r="X7013" s="6">
        <v>16.57</v>
      </c>
      <c r="Y7013" s="6">
        <v>16.75</v>
      </c>
      <c r="Z7013" s="6">
        <v>16.68</v>
      </c>
      <c r="AA7013" s="6">
        <v>2.35</v>
      </c>
      <c r="AB7013" s="7">
        <v>129.94999999999999</v>
      </c>
      <c r="AC7013" s="2"/>
    </row>
    <row r="7014" spans="1:29" ht="208" x14ac:dyDescent="0.15">
      <c r="A7014" s="3">
        <f>DATE(2003,9,15)</f>
        <v>37879</v>
      </c>
      <c r="B7014" s="2"/>
      <c r="C7014" s="2" t="s">
        <v>30</v>
      </c>
      <c r="D7014" s="2" t="s">
        <v>11266</v>
      </c>
      <c r="E7014" s="2" t="s">
        <v>10715</v>
      </c>
      <c r="F7014" s="4">
        <v>7373</v>
      </c>
      <c r="G7014" s="2" t="s">
        <v>223</v>
      </c>
      <c r="H7014" s="2" t="s">
        <v>34</v>
      </c>
      <c r="I7014" s="2" t="s">
        <v>7354</v>
      </c>
      <c r="J7014" s="2" t="s">
        <v>7355</v>
      </c>
      <c r="K7014" s="2" t="s">
        <v>219</v>
      </c>
      <c r="L7014" s="2" t="s">
        <v>34</v>
      </c>
      <c r="M7014" s="12">
        <v>23436.312999999998</v>
      </c>
      <c r="N7014" s="6">
        <v>50.97</v>
      </c>
      <c r="O7014" s="4">
        <v>50</v>
      </c>
      <c r="P7014" s="2" t="s">
        <v>21221</v>
      </c>
      <c r="Q7014" s="2"/>
      <c r="R7014" s="6">
        <v>20</v>
      </c>
      <c r="S7014" s="5">
        <v>26</v>
      </c>
      <c r="T7014" s="7">
        <v>154.57599999999999</v>
      </c>
      <c r="U7014" s="5">
        <v>4.4000000000000004</v>
      </c>
      <c r="V7014" s="6">
        <v>0.3</v>
      </c>
      <c r="W7014" s="6">
        <v>17.09</v>
      </c>
      <c r="X7014" s="6">
        <v>17.079999999999998</v>
      </c>
      <c r="Y7014" s="6">
        <v>16.96</v>
      </c>
      <c r="Z7014" s="6">
        <v>21.29</v>
      </c>
      <c r="AA7014" s="6">
        <v>80.31</v>
      </c>
      <c r="AB7014" s="7">
        <v>18.643000000000001</v>
      </c>
      <c r="AC7014" s="8">
        <v>2124</v>
      </c>
    </row>
    <row r="7015" spans="1:29" ht="117" x14ac:dyDescent="0.15">
      <c r="A7015" s="3">
        <f>DATE(2003,9,16)</f>
        <v>37880</v>
      </c>
      <c r="B7015" s="3">
        <f>DATE(2004,1,23)</f>
        <v>38009</v>
      </c>
      <c r="C7015" s="2" t="s">
        <v>95</v>
      </c>
      <c r="D7015" s="2" t="s">
        <v>20017</v>
      </c>
      <c r="E7015" s="2" t="s">
        <v>1181</v>
      </c>
      <c r="F7015" s="4">
        <v>6021</v>
      </c>
      <c r="G7015" s="2" t="s">
        <v>37</v>
      </c>
      <c r="H7015" s="2" t="s">
        <v>34</v>
      </c>
      <c r="I7015" s="2" t="s">
        <v>17874</v>
      </c>
      <c r="J7015" s="2" t="s">
        <v>36</v>
      </c>
      <c r="K7015" s="2" t="s">
        <v>37</v>
      </c>
      <c r="L7015" s="2" t="s">
        <v>34</v>
      </c>
      <c r="M7015" s="7">
        <v>109.31399999999999</v>
      </c>
      <c r="N7015" s="4">
        <v>9</v>
      </c>
      <c r="O7015" s="5">
        <v>9.1</v>
      </c>
      <c r="P7015" s="2" t="s">
        <v>21222</v>
      </c>
      <c r="Q7015" s="6">
        <v>100</v>
      </c>
      <c r="R7015" s="2"/>
      <c r="S7015" s="2"/>
      <c r="T7015" s="2"/>
      <c r="U7015" s="2"/>
      <c r="V7015" s="2"/>
      <c r="W7015" s="4">
        <v>16</v>
      </c>
      <c r="X7015" s="6">
        <v>16.75</v>
      </c>
      <c r="Y7015" s="5">
        <v>19.600000000000001</v>
      </c>
      <c r="Z7015" s="5">
        <v>19.600000000000001</v>
      </c>
      <c r="AA7015" s="2"/>
      <c r="AB7015" s="2" t="s">
        <v>47</v>
      </c>
      <c r="AC7015" s="2"/>
    </row>
    <row r="7016" spans="1:29" ht="104" x14ac:dyDescent="0.15">
      <c r="A7016" s="3">
        <f>DATE(2003,9,17)</f>
        <v>37881</v>
      </c>
      <c r="B7016" s="3">
        <f>DATE(2004,6,8)</f>
        <v>38146</v>
      </c>
      <c r="C7016" s="2" t="s">
        <v>95</v>
      </c>
      <c r="D7016" s="2" t="s">
        <v>21223</v>
      </c>
      <c r="E7016" s="2" t="s">
        <v>21224</v>
      </c>
      <c r="F7016" s="4">
        <v>3674</v>
      </c>
      <c r="G7016" s="2" t="s">
        <v>137</v>
      </c>
      <c r="H7016" s="2" t="s">
        <v>34</v>
      </c>
      <c r="I7016" s="2" t="s">
        <v>21225</v>
      </c>
      <c r="J7016" s="2" t="s">
        <v>1072</v>
      </c>
      <c r="K7016" s="2" t="s">
        <v>7998</v>
      </c>
      <c r="L7016" s="2" t="s">
        <v>34</v>
      </c>
      <c r="M7016" s="2"/>
      <c r="N7016" s="2"/>
      <c r="O7016" s="2"/>
      <c r="P7016" s="2" t="s">
        <v>21226</v>
      </c>
      <c r="Q7016" s="6">
        <v>100</v>
      </c>
      <c r="R7016" s="6">
        <v>10</v>
      </c>
      <c r="S7016" s="5">
        <v>-2.8</v>
      </c>
      <c r="T7016" s="7">
        <v>-2.1789999999999998</v>
      </c>
      <c r="U7016" s="5">
        <v>21.7</v>
      </c>
      <c r="V7016" s="9">
        <v>-13.8499</v>
      </c>
      <c r="W7016" s="5">
        <v>3.1</v>
      </c>
      <c r="X7016" s="5">
        <v>3.1</v>
      </c>
      <c r="Y7016" s="5">
        <v>3.1</v>
      </c>
      <c r="Z7016" s="4">
        <v>11</v>
      </c>
      <c r="AA7016" s="6">
        <v>0.23</v>
      </c>
      <c r="AB7016" s="2" t="s">
        <v>86</v>
      </c>
      <c r="AC7016" s="2"/>
    </row>
    <row r="7017" spans="1:29" ht="78" x14ac:dyDescent="0.15">
      <c r="A7017" s="3">
        <f>DATE(2003,9,17)</f>
        <v>37881</v>
      </c>
      <c r="B7017" s="3">
        <f>DATE(2004,7,8)</f>
        <v>38176</v>
      </c>
      <c r="C7017" s="2" t="s">
        <v>95</v>
      </c>
      <c r="D7017" s="2" t="s">
        <v>17497</v>
      </c>
      <c r="E7017" s="2" t="s">
        <v>7488</v>
      </c>
      <c r="F7017" s="4">
        <v>6311</v>
      </c>
      <c r="G7017" s="2" t="s">
        <v>125</v>
      </c>
      <c r="H7017" s="2" t="s">
        <v>34</v>
      </c>
      <c r="I7017" s="2" t="s">
        <v>17555</v>
      </c>
      <c r="J7017" s="2" t="s">
        <v>746</v>
      </c>
      <c r="K7017" s="2" t="s">
        <v>125</v>
      </c>
      <c r="L7017" s="2" t="s">
        <v>34</v>
      </c>
      <c r="M7017" s="2"/>
      <c r="N7017" s="2"/>
      <c r="O7017" s="2"/>
      <c r="P7017" s="2" t="s">
        <v>21227</v>
      </c>
      <c r="Q7017" s="6">
        <v>100</v>
      </c>
      <c r="R7017" s="6">
        <v>31</v>
      </c>
      <c r="S7017" s="5">
        <v>4.2</v>
      </c>
      <c r="T7017" s="2"/>
      <c r="U7017" s="5">
        <v>43.3</v>
      </c>
      <c r="V7017" s="6">
        <v>0.01</v>
      </c>
      <c r="W7017" s="6">
        <v>28.58</v>
      </c>
      <c r="X7017" s="5">
        <v>29.2</v>
      </c>
      <c r="Y7017" s="6">
        <v>29.33</v>
      </c>
      <c r="Z7017" s="5">
        <v>33.1</v>
      </c>
      <c r="AA7017" s="6">
        <v>46.96</v>
      </c>
      <c r="AB7017" s="7">
        <v>20.99</v>
      </c>
      <c r="AC7017" s="5">
        <v>496.3</v>
      </c>
    </row>
    <row r="7018" spans="1:29" ht="91" x14ac:dyDescent="0.15">
      <c r="A7018" s="3">
        <f>DATE(2003,9,19)</f>
        <v>37883</v>
      </c>
      <c r="B7018" s="3">
        <f>DATE(2003,9,19)</f>
        <v>37883</v>
      </c>
      <c r="C7018" s="2" t="s">
        <v>95</v>
      </c>
      <c r="D7018" s="2" t="s">
        <v>20734</v>
      </c>
      <c r="E7018" s="2" t="s">
        <v>2337</v>
      </c>
      <c r="F7018" s="4">
        <v>6021</v>
      </c>
      <c r="G7018" s="2" t="s">
        <v>37</v>
      </c>
      <c r="H7018" s="2" t="s">
        <v>34</v>
      </c>
      <c r="I7018" s="2" t="s">
        <v>51</v>
      </c>
      <c r="J7018" s="2" t="s">
        <v>52</v>
      </c>
      <c r="K7018" s="2" t="s">
        <v>53</v>
      </c>
      <c r="L7018" s="2" t="s">
        <v>34</v>
      </c>
      <c r="M7018" s="2"/>
      <c r="N7018" s="2"/>
      <c r="O7018" s="2"/>
      <c r="P7018" s="2" t="s">
        <v>21228</v>
      </c>
      <c r="Q7018" s="6">
        <v>98.9</v>
      </c>
      <c r="R7018" s="6">
        <v>14.2</v>
      </c>
      <c r="S7018" s="2"/>
      <c r="T7018" s="2"/>
      <c r="U7018" s="2"/>
      <c r="V7018" s="2"/>
      <c r="W7018" s="5">
        <v>14.2</v>
      </c>
      <c r="X7018" s="6">
        <v>13.95</v>
      </c>
      <c r="Y7018" s="6">
        <v>13.95</v>
      </c>
      <c r="Z7018" s="6">
        <v>13.95</v>
      </c>
      <c r="AA7018" s="6">
        <v>0.99</v>
      </c>
      <c r="AB7018" s="2" t="s">
        <v>47</v>
      </c>
      <c r="AC7018" s="2"/>
    </row>
    <row r="7019" spans="1:29" ht="65" x14ac:dyDescent="0.15">
      <c r="A7019" s="3">
        <f>DATE(2003,9,19)</f>
        <v>37883</v>
      </c>
      <c r="B7019" s="2"/>
      <c r="C7019" s="2" t="s">
        <v>30</v>
      </c>
      <c r="D7019" s="2" t="s">
        <v>21229</v>
      </c>
      <c r="E7019" s="2" t="s">
        <v>21230</v>
      </c>
      <c r="F7019" s="4">
        <v>7389</v>
      </c>
      <c r="G7019" s="2" t="s">
        <v>223</v>
      </c>
      <c r="H7019" s="2" t="s">
        <v>34</v>
      </c>
      <c r="I7019" s="2" t="s">
        <v>21231</v>
      </c>
      <c r="J7019" s="2" t="s">
        <v>150</v>
      </c>
      <c r="K7019" s="2" t="s">
        <v>53</v>
      </c>
      <c r="L7019" s="2" t="s">
        <v>34</v>
      </c>
      <c r="M7019" s="2"/>
      <c r="N7019" s="2"/>
      <c r="O7019" s="2"/>
      <c r="P7019" s="2" t="s">
        <v>21232</v>
      </c>
      <c r="Q7019" s="2"/>
      <c r="R7019" s="6">
        <v>1.65</v>
      </c>
      <c r="S7019" s="5">
        <v>2.4</v>
      </c>
      <c r="T7019" s="7">
        <v>5.9390000000000001</v>
      </c>
      <c r="U7019" s="5">
        <v>1.3</v>
      </c>
      <c r="V7019" s="6">
        <v>0.15</v>
      </c>
      <c r="W7019" s="5">
        <v>1.3</v>
      </c>
      <c r="X7019" s="5">
        <v>1.5</v>
      </c>
      <c r="Y7019" s="6">
        <v>1.32</v>
      </c>
      <c r="Z7019" s="6">
        <v>1.35</v>
      </c>
      <c r="AA7019" s="6">
        <v>15.32</v>
      </c>
      <c r="AB7019" s="7">
        <v>10.7</v>
      </c>
      <c r="AC7019" s="2"/>
    </row>
    <row r="7020" spans="1:29" ht="143" x14ac:dyDescent="0.15">
      <c r="A7020" s="3">
        <f>DATE(2003,9,22)</f>
        <v>37886</v>
      </c>
      <c r="B7020" s="3">
        <f>DATE(2004,3,8)</f>
        <v>38054</v>
      </c>
      <c r="C7020" s="2" t="s">
        <v>95</v>
      </c>
      <c r="D7020" s="2" t="s">
        <v>21233</v>
      </c>
      <c r="E7020" s="2" t="s">
        <v>21234</v>
      </c>
      <c r="F7020" s="4">
        <v>3674</v>
      </c>
      <c r="G7020" s="2" t="s">
        <v>137</v>
      </c>
      <c r="H7020" s="2" t="s">
        <v>34</v>
      </c>
      <c r="I7020" s="2" t="s">
        <v>21235</v>
      </c>
      <c r="J7020" s="2" t="s">
        <v>1046</v>
      </c>
      <c r="K7020" s="2" t="s">
        <v>137</v>
      </c>
      <c r="L7020" s="2" t="s">
        <v>303</v>
      </c>
      <c r="M7020" s="2"/>
      <c r="N7020" s="2"/>
      <c r="O7020" s="2"/>
      <c r="P7020" s="2" t="s">
        <v>21236</v>
      </c>
      <c r="Q7020" s="6">
        <v>100</v>
      </c>
      <c r="R7020" s="6">
        <v>4.96</v>
      </c>
      <c r="S7020" s="5">
        <v>-72.900000000000006</v>
      </c>
      <c r="T7020" s="7">
        <v>-24.614000000000001</v>
      </c>
      <c r="U7020" s="5">
        <v>4.0999999999999996</v>
      </c>
      <c r="V7020" s="6">
        <v>-1</v>
      </c>
      <c r="W7020" s="6">
        <v>3.91</v>
      </c>
      <c r="X7020" s="6">
        <v>4.16</v>
      </c>
      <c r="Y7020" s="6">
        <v>4.41</v>
      </c>
      <c r="Z7020" s="5">
        <v>4.5999999999999996</v>
      </c>
      <c r="AA7020" s="6">
        <v>63.98</v>
      </c>
      <c r="AB7020" s="2" t="s">
        <v>86</v>
      </c>
      <c r="AC7020" s="6">
        <v>169.72</v>
      </c>
    </row>
    <row r="7021" spans="1:29" ht="117" x14ac:dyDescent="0.15">
      <c r="A7021" s="3">
        <f>DATE(2003,9,22)</f>
        <v>37886</v>
      </c>
      <c r="B7021" s="3">
        <f>DATE(2004,1,6)</f>
        <v>37992</v>
      </c>
      <c r="C7021" s="2" t="s">
        <v>95</v>
      </c>
      <c r="D7021" s="2" t="s">
        <v>21237</v>
      </c>
      <c r="E7021" s="2" t="s">
        <v>389</v>
      </c>
      <c r="F7021" s="4">
        <v>6035</v>
      </c>
      <c r="G7021" s="2" t="s">
        <v>33</v>
      </c>
      <c r="H7021" s="2" t="s">
        <v>34</v>
      </c>
      <c r="I7021" s="2" t="s">
        <v>21238</v>
      </c>
      <c r="J7021" s="2" t="s">
        <v>1181</v>
      </c>
      <c r="K7021" s="2" t="s">
        <v>37</v>
      </c>
      <c r="L7021" s="2" t="s">
        <v>34</v>
      </c>
      <c r="M7021" s="2"/>
      <c r="N7021" s="2"/>
      <c r="O7021" s="2"/>
      <c r="P7021" s="2" t="s">
        <v>21239</v>
      </c>
      <c r="Q7021" s="6">
        <v>100</v>
      </c>
      <c r="R7021" s="6">
        <v>26</v>
      </c>
      <c r="S7021" s="5">
        <v>5.5</v>
      </c>
      <c r="T7021" s="2"/>
      <c r="U7021" s="5">
        <v>14.6</v>
      </c>
      <c r="V7021" s="6">
        <v>1.02</v>
      </c>
      <c r="W7021" s="5">
        <v>18.7</v>
      </c>
      <c r="X7021" s="5">
        <v>19.2</v>
      </c>
      <c r="Y7021" s="6">
        <v>25.84</v>
      </c>
      <c r="Z7021" s="6">
        <v>25.83</v>
      </c>
      <c r="AA7021" s="6">
        <v>5.22</v>
      </c>
      <c r="AB7021" s="7">
        <v>46.496000000000002</v>
      </c>
      <c r="AC7021" s="2"/>
    </row>
    <row r="7022" spans="1:29" ht="117" x14ac:dyDescent="0.15">
      <c r="A7022" s="3">
        <f>DATE(2003,9,22)</f>
        <v>37886</v>
      </c>
      <c r="B7022" s="3">
        <f>DATE(2004,1,29)</f>
        <v>38015</v>
      </c>
      <c r="C7022" s="2" t="s">
        <v>95</v>
      </c>
      <c r="D7022" s="2" t="s">
        <v>21240</v>
      </c>
      <c r="E7022" s="2" t="s">
        <v>21241</v>
      </c>
      <c r="F7022" s="4">
        <v>1311</v>
      </c>
      <c r="G7022" s="2" t="s">
        <v>148</v>
      </c>
      <c r="H7022" s="2" t="s">
        <v>34</v>
      </c>
      <c r="I7022" s="2" t="s">
        <v>21242</v>
      </c>
      <c r="J7022" s="2" t="s">
        <v>1072</v>
      </c>
      <c r="K7022" s="2" t="s">
        <v>53</v>
      </c>
      <c r="L7022" s="2" t="s">
        <v>34</v>
      </c>
      <c r="M7022" s="2"/>
      <c r="N7022" s="2"/>
      <c r="O7022" s="2"/>
      <c r="P7022" s="2" t="s">
        <v>21243</v>
      </c>
      <c r="Q7022" s="6">
        <v>100</v>
      </c>
      <c r="R7022" s="6">
        <v>2.82</v>
      </c>
      <c r="S7022" s="5">
        <v>6.4</v>
      </c>
      <c r="T7022" s="7">
        <v>8.5239999999999991</v>
      </c>
      <c r="U7022" s="5">
        <v>1.6</v>
      </c>
      <c r="V7022" s="6">
        <v>0.34</v>
      </c>
      <c r="W7022" s="6">
        <v>2.85</v>
      </c>
      <c r="X7022" s="5">
        <v>2.8</v>
      </c>
      <c r="Y7022" s="5">
        <v>2.8</v>
      </c>
      <c r="Z7022" s="6">
        <v>2.77</v>
      </c>
      <c r="AA7022" s="6">
        <v>18.739999999999998</v>
      </c>
      <c r="AB7022" s="7">
        <v>11.512</v>
      </c>
      <c r="AC7022" s="2"/>
    </row>
    <row r="7023" spans="1:29" ht="182" x14ac:dyDescent="0.15">
      <c r="A7023" s="3">
        <f>DATE(2003,9,23)</f>
        <v>37887</v>
      </c>
      <c r="B7023" s="2"/>
      <c r="C7023" s="2" t="s">
        <v>30</v>
      </c>
      <c r="D7023" s="2" t="s">
        <v>21244</v>
      </c>
      <c r="E7023" s="2" t="s">
        <v>21245</v>
      </c>
      <c r="F7023" s="4">
        <v>8742</v>
      </c>
      <c r="G7023" s="2" t="s">
        <v>223</v>
      </c>
      <c r="H7023" s="2" t="s">
        <v>34</v>
      </c>
      <c r="I7023" s="2" t="s">
        <v>51</v>
      </c>
      <c r="J7023" s="2" t="s">
        <v>52</v>
      </c>
      <c r="K7023" s="2" t="s">
        <v>53</v>
      </c>
      <c r="L7023" s="2" t="s">
        <v>34</v>
      </c>
      <c r="M7023" s="2"/>
      <c r="N7023" s="2"/>
      <c r="O7023" s="2"/>
      <c r="P7023" s="2" t="s">
        <v>21246</v>
      </c>
      <c r="Q7023" s="2"/>
      <c r="R7023" s="6">
        <v>17</v>
      </c>
      <c r="S7023" s="5">
        <v>40.700000000000003</v>
      </c>
      <c r="T7023" s="7">
        <v>94.468999999999994</v>
      </c>
      <c r="U7023" s="5">
        <v>7.8</v>
      </c>
      <c r="V7023" s="6">
        <v>1.67</v>
      </c>
      <c r="W7023" s="6">
        <v>15.19</v>
      </c>
      <c r="X7023" s="6">
        <v>15.95</v>
      </c>
      <c r="Y7023" s="6">
        <v>18.28</v>
      </c>
      <c r="Z7023" s="6">
        <v>18.05</v>
      </c>
      <c r="AA7023" s="6">
        <v>22.78</v>
      </c>
      <c r="AB7023" s="7">
        <v>7.4050000000000002</v>
      </c>
      <c r="AC7023" s="2"/>
    </row>
    <row r="7024" spans="1:29" ht="91" x14ac:dyDescent="0.15">
      <c r="A7024" s="3">
        <f>DATE(2003,9,24)</f>
        <v>37888</v>
      </c>
      <c r="B7024" s="2"/>
      <c r="C7024" s="2" t="s">
        <v>30</v>
      </c>
      <c r="D7024" s="2" t="s">
        <v>21247</v>
      </c>
      <c r="E7024" s="2" t="s">
        <v>277</v>
      </c>
      <c r="F7024" s="4">
        <v>1041</v>
      </c>
      <c r="G7024" s="2" t="s">
        <v>166</v>
      </c>
      <c r="H7024" s="2" t="s">
        <v>34</v>
      </c>
      <c r="I7024" s="2" t="s">
        <v>21248</v>
      </c>
      <c r="J7024" s="2" t="s">
        <v>21249</v>
      </c>
      <c r="K7024" s="2" t="s">
        <v>166</v>
      </c>
      <c r="L7024" s="2" t="s">
        <v>902</v>
      </c>
      <c r="M7024" s="2"/>
      <c r="N7024" s="7">
        <v>8.1000000000000003E-2</v>
      </c>
      <c r="O7024" s="7">
        <v>6.6000000000000003E-2</v>
      </c>
      <c r="P7024" s="2" t="s">
        <v>21250</v>
      </c>
      <c r="Q7024" s="2"/>
      <c r="R7024" s="2"/>
      <c r="S7024" s="5">
        <v>-0.4</v>
      </c>
      <c r="T7024" s="2"/>
      <c r="U7024" s="5">
        <v>0.1</v>
      </c>
      <c r="V7024" s="6">
        <v>-0.08</v>
      </c>
      <c r="W7024" s="5">
        <v>1.8</v>
      </c>
      <c r="X7024" s="6">
        <v>1.75</v>
      </c>
      <c r="Y7024" s="5">
        <v>1.8</v>
      </c>
      <c r="Z7024" s="4">
        <v>2</v>
      </c>
      <c r="AA7024" s="6">
        <v>0.5</v>
      </c>
      <c r="AB7024" s="2" t="s">
        <v>86</v>
      </c>
      <c r="AC7024" s="2"/>
    </row>
    <row r="7025" spans="1:29" ht="104" x14ac:dyDescent="0.15">
      <c r="A7025" s="3">
        <f>DATE(2003,9,25)</f>
        <v>37889</v>
      </c>
      <c r="B7025" s="3">
        <f>DATE(2003,12,1)</f>
        <v>37956</v>
      </c>
      <c r="C7025" s="2" t="s">
        <v>95</v>
      </c>
      <c r="D7025" s="2" t="s">
        <v>21251</v>
      </c>
      <c r="E7025" s="2" t="s">
        <v>21252</v>
      </c>
      <c r="F7025" s="4">
        <v>6022</v>
      </c>
      <c r="G7025" s="2" t="s">
        <v>37</v>
      </c>
      <c r="H7025" s="2" t="s">
        <v>34</v>
      </c>
      <c r="I7025" s="2" t="s">
        <v>17475</v>
      </c>
      <c r="J7025" s="2" t="s">
        <v>263</v>
      </c>
      <c r="K7025" s="2" t="s">
        <v>37</v>
      </c>
      <c r="L7025" s="2" t="s">
        <v>34</v>
      </c>
      <c r="M7025" s="7">
        <v>781.58199999999999</v>
      </c>
      <c r="N7025" s="4">
        <v>33</v>
      </c>
      <c r="O7025" s="5">
        <v>31.5</v>
      </c>
      <c r="P7025" s="2" t="s">
        <v>21253</v>
      </c>
      <c r="Q7025" s="6">
        <v>100</v>
      </c>
      <c r="R7025" s="6">
        <v>39</v>
      </c>
      <c r="S7025" s="2"/>
      <c r="T7025" s="2"/>
      <c r="U7025" s="2"/>
      <c r="V7025" s="2"/>
      <c r="W7025" s="5">
        <v>26.5</v>
      </c>
      <c r="X7025" s="5">
        <v>26.5</v>
      </c>
      <c r="Y7025" s="5">
        <v>26.5</v>
      </c>
      <c r="Z7025" s="4">
        <v>35</v>
      </c>
      <c r="AA7025" s="6">
        <v>1.42</v>
      </c>
      <c r="AB7025" s="2" t="s">
        <v>47</v>
      </c>
      <c r="AC7025" s="2"/>
    </row>
    <row r="7026" spans="1:29" ht="156" x14ac:dyDescent="0.15">
      <c r="A7026" s="3">
        <f>DATE(2003,9,26)</f>
        <v>37890</v>
      </c>
      <c r="B7026" s="3">
        <f>DATE(2004,1,16)</f>
        <v>38002</v>
      </c>
      <c r="C7026" s="2" t="s">
        <v>95</v>
      </c>
      <c r="D7026" s="2" t="s">
        <v>19248</v>
      </c>
      <c r="E7026" s="2" t="s">
        <v>36</v>
      </c>
      <c r="F7026" s="4">
        <v>6021</v>
      </c>
      <c r="G7026" s="2" t="s">
        <v>37</v>
      </c>
      <c r="H7026" s="2" t="s">
        <v>34</v>
      </c>
      <c r="I7026" s="2" t="s">
        <v>20204</v>
      </c>
      <c r="J7026" s="2" t="s">
        <v>3246</v>
      </c>
      <c r="K7026" s="2" t="s">
        <v>37</v>
      </c>
      <c r="L7026" s="2" t="s">
        <v>34</v>
      </c>
      <c r="M7026" s="12">
        <v>7102.9610000000002</v>
      </c>
      <c r="N7026" s="5">
        <v>48.3</v>
      </c>
      <c r="O7026" s="6">
        <v>49.28</v>
      </c>
      <c r="P7026" s="2" t="s">
        <v>21254</v>
      </c>
      <c r="Q7026" s="6">
        <v>100</v>
      </c>
      <c r="R7026" s="6">
        <v>28.57</v>
      </c>
      <c r="S7026" s="5">
        <v>6.5</v>
      </c>
      <c r="T7026" s="2"/>
      <c r="U7026" s="5">
        <v>14.9</v>
      </c>
      <c r="V7026" s="9">
        <v>1.4923999999999999</v>
      </c>
      <c r="W7026" s="5">
        <v>23.5</v>
      </c>
      <c r="X7026" s="5">
        <v>24.5</v>
      </c>
      <c r="Y7026" s="5">
        <v>29.3</v>
      </c>
      <c r="Z7026" s="6">
        <v>29.31</v>
      </c>
      <c r="AA7026" s="6">
        <v>4.0199999999999996</v>
      </c>
      <c r="AB7026" s="7">
        <v>15.566000000000001</v>
      </c>
      <c r="AC7026" s="2"/>
    </row>
    <row r="7027" spans="1:29" ht="208" x14ac:dyDescent="0.15">
      <c r="A7027" s="3">
        <f>DATE(2003,9,28)</f>
        <v>37892</v>
      </c>
      <c r="B7027" s="3">
        <f>DATE(2004,4,28)</f>
        <v>38105</v>
      </c>
      <c r="C7027" s="2" t="s">
        <v>95</v>
      </c>
      <c r="D7027" s="2" t="s">
        <v>21255</v>
      </c>
      <c r="E7027" s="2" t="s">
        <v>124</v>
      </c>
      <c r="F7027" s="4">
        <v>6311</v>
      </c>
      <c r="G7027" s="2" t="s">
        <v>125</v>
      </c>
      <c r="H7027" s="2" t="s">
        <v>34</v>
      </c>
      <c r="I7027" s="2" t="s">
        <v>21256</v>
      </c>
      <c r="J7027" s="2" t="s">
        <v>854</v>
      </c>
      <c r="K7027" s="2" t="s">
        <v>125</v>
      </c>
      <c r="L7027" s="2" t="s">
        <v>902</v>
      </c>
      <c r="M7027" s="10">
        <v>13884.97</v>
      </c>
      <c r="N7027" s="7">
        <v>29.071999999999999</v>
      </c>
      <c r="O7027" s="7">
        <v>29.071999999999999</v>
      </c>
      <c r="P7027" s="2" t="s">
        <v>21257</v>
      </c>
      <c r="Q7027" s="6">
        <v>100</v>
      </c>
      <c r="R7027" s="6">
        <v>35.72</v>
      </c>
      <c r="S7027" s="5">
        <v>797.8</v>
      </c>
      <c r="T7027" s="2"/>
      <c r="U7027" s="5">
        <v>27.7</v>
      </c>
      <c r="V7027" s="6">
        <v>2.76</v>
      </c>
      <c r="W7027" s="6">
        <v>32.049999999999997</v>
      </c>
      <c r="X7027" s="6">
        <v>31.72</v>
      </c>
      <c r="Y7027" s="6">
        <v>32.049999999999997</v>
      </c>
      <c r="Z7027" s="5">
        <v>34.299999999999997</v>
      </c>
      <c r="AA7027" s="6">
        <v>289.17</v>
      </c>
      <c r="AB7027" s="7">
        <v>5.4809999999999999</v>
      </c>
      <c r="AC7027" s="2"/>
    </row>
    <row r="7028" spans="1:29" ht="65" x14ac:dyDescent="0.15">
      <c r="A7028" s="3">
        <f>DATE(2003,9,29)</f>
        <v>37893</v>
      </c>
      <c r="B7028" s="3">
        <f>DATE(2003,12,20)</f>
        <v>37975</v>
      </c>
      <c r="C7028" s="2" t="s">
        <v>95</v>
      </c>
      <c r="D7028" s="2" t="s">
        <v>21258</v>
      </c>
      <c r="E7028" s="2" t="s">
        <v>21259</v>
      </c>
      <c r="F7028" s="4">
        <v>5731</v>
      </c>
      <c r="G7028" s="2" t="s">
        <v>1227</v>
      </c>
      <c r="H7028" s="2" t="s">
        <v>34</v>
      </c>
      <c r="I7028" s="2" t="s">
        <v>16159</v>
      </c>
      <c r="J7028" s="2" t="s">
        <v>21260</v>
      </c>
      <c r="K7028" s="2" t="s">
        <v>1227</v>
      </c>
      <c r="L7028" s="2" t="s">
        <v>34</v>
      </c>
      <c r="M7028" s="2"/>
      <c r="N7028" s="2"/>
      <c r="O7028" s="2"/>
      <c r="P7028" s="2" t="s">
        <v>21261</v>
      </c>
      <c r="Q7028" s="6">
        <v>100</v>
      </c>
      <c r="R7028" s="6">
        <v>2.0499999999999998</v>
      </c>
      <c r="S7028" s="5">
        <v>-7.9</v>
      </c>
      <c r="T7028" s="7">
        <v>6.3620000000000001</v>
      </c>
      <c r="U7028" s="5">
        <v>1.7</v>
      </c>
      <c r="V7028" s="6">
        <v>-0.3</v>
      </c>
      <c r="W7028" s="6">
        <v>1.56</v>
      </c>
      <c r="X7028" s="5">
        <v>1.5</v>
      </c>
      <c r="Y7028" s="6">
        <v>1.97</v>
      </c>
      <c r="Z7028" s="6">
        <v>1.99</v>
      </c>
      <c r="AA7028" s="6">
        <v>26.97</v>
      </c>
      <c r="AB7028" s="2" t="s">
        <v>86</v>
      </c>
      <c r="AC7028" s="6">
        <v>204.91</v>
      </c>
    </row>
    <row r="7029" spans="1:29" ht="78" x14ac:dyDescent="0.15">
      <c r="A7029" s="3">
        <f>DATE(2003,9,29)</f>
        <v>37893</v>
      </c>
      <c r="B7029" s="3">
        <f>DATE(2003,9,29)</f>
        <v>37893</v>
      </c>
      <c r="C7029" s="2" t="s">
        <v>95</v>
      </c>
      <c r="D7029" s="2" t="s">
        <v>21262</v>
      </c>
      <c r="E7029" s="2" t="s">
        <v>21263</v>
      </c>
      <c r="F7029" s="4">
        <v>5131</v>
      </c>
      <c r="G7029" s="2" t="s">
        <v>593</v>
      </c>
      <c r="H7029" s="2" t="s">
        <v>34</v>
      </c>
      <c r="I7029" s="2" t="s">
        <v>9298</v>
      </c>
      <c r="J7029" s="2" t="s">
        <v>9299</v>
      </c>
      <c r="K7029" s="2" t="s">
        <v>53</v>
      </c>
      <c r="L7029" s="2" t="s">
        <v>34</v>
      </c>
      <c r="M7029" s="7">
        <v>137.21100000000001</v>
      </c>
      <c r="N7029" s="6">
        <v>56.65</v>
      </c>
      <c r="O7029" s="5">
        <v>55.9</v>
      </c>
      <c r="P7029" s="2" t="s">
        <v>21264</v>
      </c>
      <c r="Q7029" s="6">
        <v>53.71</v>
      </c>
      <c r="R7029" s="6">
        <v>11.59</v>
      </c>
      <c r="S7029" s="5">
        <v>7.5</v>
      </c>
      <c r="T7029" s="7">
        <v>26.619</v>
      </c>
      <c r="U7029" s="5">
        <v>11.6</v>
      </c>
      <c r="V7029" s="6">
        <v>1.52</v>
      </c>
      <c r="W7029" s="4">
        <v>11</v>
      </c>
      <c r="X7029" s="4">
        <v>11</v>
      </c>
      <c r="Y7029" s="6">
        <v>10.99</v>
      </c>
      <c r="Z7029" s="4">
        <v>11</v>
      </c>
      <c r="AA7029" s="6">
        <v>4.96</v>
      </c>
      <c r="AB7029" s="7">
        <v>4.8070000000000004</v>
      </c>
      <c r="AC7029" s="6">
        <v>116.97</v>
      </c>
    </row>
    <row r="7030" spans="1:29" ht="104" x14ac:dyDescent="0.15">
      <c r="A7030" s="3">
        <f>DATE(2003,9,30)</f>
        <v>37894</v>
      </c>
      <c r="B7030" s="3">
        <f>DATE(2004,3,10)</f>
        <v>38056</v>
      </c>
      <c r="C7030" s="2" t="s">
        <v>95</v>
      </c>
      <c r="D7030" s="2" t="s">
        <v>21265</v>
      </c>
      <c r="E7030" s="2" t="s">
        <v>21266</v>
      </c>
      <c r="F7030" s="4">
        <v>5812</v>
      </c>
      <c r="G7030" s="2" t="s">
        <v>230</v>
      </c>
      <c r="H7030" s="2" t="s">
        <v>34</v>
      </c>
      <c r="I7030" s="2" t="s">
        <v>51</v>
      </c>
      <c r="J7030" s="2" t="s">
        <v>52</v>
      </c>
      <c r="K7030" s="2" t="s">
        <v>53</v>
      </c>
      <c r="L7030" s="2" t="s">
        <v>34</v>
      </c>
      <c r="M7030" s="2"/>
      <c r="N7030" s="2"/>
      <c r="O7030" s="2"/>
      <c r="P7030" s="2" t="s">
        <v>21267</v>
      </c>
      <c r="Q7030" s="6">
        <v>100</v>
      </c>
      <c r="R7030" s="6">
        <v>16.350000000000001</v>
      </c>
      <c r="S7030" s="5">
        <v>3</v>
      </c>
      <c r="T7030" s="7">
        <v>25.385000000000002</v>
      </c>
      <c r="U7030" s="5">
        <v>14.4</v>
      </c>
      <c r="V7030" s="6">
        <v>0.51</v>
      </c>
      <c r="W7030" s="6">
        <v>10.56</v>
      </c>
      <c r="X7030" s="6">
        <v>10.98</v>
      </c>
      <c r="Y7030" s="6">
        <v>15.91</v>
      </c>
      <c r="Z7030" s="6">
        <v>15.96</v>
      </c>
      <c r="AA7030" s="6">
        <v>5.8</v>
      </c>
      <c r="AB7030" s="7">
        <v>12.023999999999999</v>
      </c>
      <c r="AC7030" s="2"/>
    </row>
    <row r="7031" spans="1:29" ht="130" x14ac:dyDescent="0.15">
      <c r="A7031" s="3">
        <f>DATE(2003,10,3)</f>
        <v>37897</v>
      </c>
      <c r="B7031" s="2"/>
      <c r="C7031" s="2" t="s">
        <v>30</v>
      </c>
      <c r="D7031" s="2" t="s">
        <v>21268</v>
      </c>
      <c r="E7031" s="2" t="s">
        <v>21269</v>
      </c>
      <c r="F7031" s="4">
        <v>7375</v>
      </c>
      <c r="G7031" s="2" t="s">
        <v>223</v>
      </c>
      <c r="H7031" s="2" t="s">
        <v>34</v>
      </c>
      <c r="I7031" s="2" t="s">
        <v>21270</v>
      </c>
      <c r="J7031" s="2" t="s">
        <v>302</v>
      </c>
      <c r="K7031" s="2" t="s">
        <v>53</v>
      </c>
      <c r="L7031" s="2" t="s">
        <v>34</v>
      </c>
      <c r="M7031" s="2"/>
      <c r="N7031" s="2"/>
      <c r="O7031" s="2"/>
      <c r="P7031" s="2" t="s">
        <v>21271</v>
      </c>
      <c r="Q7031" s="2"/>
      <c r="R7031" s="6">
        <v>8.4</v>
      </c>
      <c r="S7031" s="5">
        <v>2.5</v>
      </c>
      <c r="T7031" s="7">
        <v>7.9530000000000003</v>
      </c>
      <c r="U7031" s="5">
        <v>1.6</v>
      </c>
      <c r="V7031" s="6">
        <v>0.21</v>
      </c>
      <c r="W7031" s="6">
        <v>7.81</v>
      </c>
      <c r="X7031" s="6">
        <v>8.69</v>
      </c>
      <c r="Y7031" s="6">
        <v>9.52</v>
      </c>
      <c r="Z7031" s="6">
        <v>9.56</v>
      </c>
      <c r="AA7031" s="6">
        <v>11.32</v>
      </c>
      <c r="AB7031" s="7">
        <v>18.335000000000001</v>
      </c>
      <c r="AC7031" s="2"/>
    </row>
    <row r="7032" spans="1:29" ht="91" x14ac:dyDescent="0.15">
      <c r="A7032" s="3">
        <f>DATE(2003,10,3)</f>
        <v>37897</v>
      </c>
      <c r="B7032" s="2"/>
      <c r="C7032" s="2" t="s">
        <v>30</v>
      </c>
      <c r="D7032" s="2" t="s">
        <v>21272</v>
      </c>
      <c r="E7032" s="2" t="s">
        <v>5670</v>
      </c>
      <c r="F7032" s="4">
        <v>2833</v>
      </c>
      <c r="G7032" s="2" t="s">
        <v>130</v>
      </c>
      <c r="H7032" s="2" t="s">
        <v>34</v>
      </c>
      <c r="I7032" s="2" t="s">
        <v>7461</v>
      </c>
      <c r="J7032" s="2" t="s">
        <v>7462</v>
      </c>
      <c r="K7032" s="2" t="s">
        <v>130</v>
      </c>
      <c r="L7032" s="2" t="s">
        <v>4242</v>
      </c>
      <c r="M7032" s="12">
        <v>15911.052</v>
      </c>
      <c r="N7032" s="7">
        <v>58.674999999999997</v>
      </c>
      <c r="O7032" s="7">
        <v>58.396999999999998</v>
      </c>
      <c r="P7032" s="2" t="s">
        <v>21273</v>
      </c>
      <c r="Q7032" s="2"/>
      <c r="R7032" s="2"/>
      <c r="S7032" s="5">
        <v>10.6</v>
      </c>
      <c r="T7032" s="7">
        <v>17.759</v>
      </c>
      <c r="U7032" s="5">
        <v>3.1</v>
      </c>
      <c r="V7032" s="6">
        <v>0.19</v>
      </c>
      <c r="W7032" s="6">
        <v>4.8499999999999996</v>
      </c>
      <c r="X7032" s="6">
        <v>6.14</v>
      </c>
      <c r="Y7032" s="6">
        <v>5.93</v>
      </c>
      <c r="Z7032" s="6">
        <v>5.89</v>
      </c>
      <c r="AA7032" s="6">
        <v>59.47</v>
      </c>
      <c r="AB7032" s="2" t="s">
        <v>47</v>
      </c>
      <c r="AC7032" s="10">
        <v>1126.28</v>
      </c>
    </row>
    <row r="7033" spans="1:29" ht="169" x14ac:dyDescent="0.15">
      <c r="A7033" s="3">
        <f>DATE(2003,10,6)</f>
        <v>37900</v>
      </c>
      <c r="B7033" s="2"/>
      <c r="C7033" s="2" t="s">
        <v>30</v>
      </c>
      <c r="D7033" s="2" t="s">
        <v>21274</v>
      </c>
      <c r="E7033" s="2" t="s">
        <v>21275</v>
      </c>
      <c r="F7033" s="4">
        <v>4512</v>
      </c>
      <c r="G7033" s="2" t="s">
        <v>59</v>
      </c>
      <c r="H7033" s="2" t="s">
        <v>34</v>
      </c>
      <c r="I7033" s="2" t="s">
        <v>12832</v>
      </c>
      <c r="J7033" s="2" t="s">
        <v>12833</v>
      </c>
      <c r="K7033" s="2" t="s">
        <v>59</v>
      </c>
      <c r="L7033" s="2" t="s">
        <v>34</v>
      </c>
      <c r="M7033" s="6">
        <v>415.71</v>
      </c>
      <c r="N7033" s="6">
        <v>11.56</v>
      </c>
      <c r="O7033" s="6">
        <v>12.25</v>
      </c>
      <c r="P7033" s="2" t="s">
        <v>21276</v>
      </c>
      <c r="Q7033" s="2"/>
      <c r="R7033" s="6">
        <v>11.3</v>
      </c>
      <c r="S7033" s="5">
        <v>68.099999999999994</v>
      </c>
      <c r="T7033" s="7">
        <v>165.071</v>
      </c>
      <c r="U7033" s="5">
        <v>7.6</v>
      </c>
      <c r="V7033" s="6">
        <v>1.5</v>
      </c>
      <c r="W7033" s="6">
        <v>8.66</v>
      </c>
      <c r="X7033" s="6">
        <v>9.02</v>
      </c>
      <c r="Y7033" s="6">
        <v>11.05</v>
      </c>
      <c r="Z7033" s="6">
        <v>11.88</v>
      </c>
      <c r="AA7033" s="6">
        <v>45.33</v>
      </c>
      <c r="AB7033" s="7">
        <v>2.9590000000000001</v>
      </c>
      <c r="AC7033" s="6">
        <v>166.11</v>
      </c>
    </row>
    <row r="7034" spans="1:29" ht="117" x14ac:dyDescent="0.15">
      <c r="A7034" s="3">
        <f>DATE(2003,10,6)</f>
        <v>37900</v>
      </c>
      <c r="B7034" s="3">
        <f>DATE(2004,2,24)</f>
        <v>38041</v>
      </c>
      <c r="C7034" s="2" t="s">
        <v>95</v>
      </c>
      <c r="D7034" s="2" t="s">
        <v>21277</v>
      </c>
      <c r="E7034" s="2" t="s">
        <v>19782</v>
      </c>
      <c r="F7034" s="4">
        <v>7389</v>
      </c>
      <c r="G7034" s="2" t="s">
        <v>223</v>
      </c>
      <c r="H7034" s="2" t="s">
        <v>34</v>
      </c>
      <c r="I7034" s="2" t="s">
        <v>21278</v>
      </c>
      <c r="J7034" s="2" t="s">
        <v>3197</v>
      </c>
      <c r="K7034" s="2" t="s">
        <v>53</v>
      </c>
      <c r="L7034" s="2" t="s">
        <v>34</v>
      </c>
      <c r="M7034" s="2"/>
      <c r="N7034" s="2"/>
      <c r="O7034" s="2"/>
      <c r="P7034" s="2" t="s">
        <v>21279</v>
      </c>
      <c r="Q7034" s="6">
        <v>100</v>
      </c>
      <c r="R7034" s="6">
        <v>24.85</v>
      </c>
      <c r="S7034" s="5">
        <v>8.3000000000000007</v>
      </c>
      <c r="T7034" s="7">
        <v>42.841000000000001</v>
      </c>
      <c r="U7034" s="5">
        <v>8.4</v>
      </c>
      <c r="V7034" s="6">
        <v>0.5</v>
      </c>
      <c r="W7034" s="6">
        <v>22.17</v>
      </c>
      <c r="X7034" s="6">
        <v>24.31</v>
      </c>
      <c r="Y7034" s="6">
        <v>24.56</v>
      </c>
      <c r="Z7034" s="6">
        <v>24.58</v>
      </c>
      <c r="AA7034" s="6">
        <v>15.08</v>
      </c>
      <c r="AB7034" s="7">
        <v>12.609</v>
      </c>
      <c r="AC7034" s="2"/>
    </row>
    <row r="7035" spans="1:29" ht="117" x14ac:dyDescent="0.15">
      <c r="A7035" s="3">
        <f>DATE(2003,10,7)</f>
        <v>37901</v>
      </c>
      <c r="B7035" s="3">
        <f>DATE(2004,2,9)</f>
        <v>38026</v>
      </c>
      <c r="C7035" s="2" t="s">
        <v>95</v>
      </c>
      <c r="D7035" s="2" t="s">
        <v>21280</v>
      </c>
      <c r="E7035" s="2" t="s">
        <v>21281</v>
      </c>
      <c r="F7035" s="4">
        <v>7372</v>
      </c>
      <c r="G7035" s="2" t="s">
        <v>551</v>
      </c>
      <c r="H7035" s="2" t="s">
        <v>34</v>
      </c>
      <c r="I7035" s="2" t="s">
        <v>21282</v>
      </c>
      <c r="J7035" s="2" t="s">
        <v>244</v>
      </c>
      <c r="K7035" s="2" t="s">
        <v>53</v>
      </c>
      <c r="L7035" s="2" t="s">
        <v>34</v>
      </c>
      <c r="M7035" s="2"/>
      <c r="N7035" s="6">
        <v>9.35</v>
      </c>
      <c r="O7035" s="5">
        <v>11.9</v>
      </c>
      <c r="P7035" s="2" t="s">
        <v>21283</v>
      </c>
      <c r="Q7035" s="6">
        <v>100</v>
      </c>
      <c r="R7035" s="6">
        <v>12</v>
      </c>
      <c r="S7035" s="5">
        <v>-2.7</v>
      </c>
      <c r="T7035" s="7">
        <v>8.5310000000000006</v>
      </c>
      <c r="U7035" s="5">
        <v>5.0999999999999996</v>
      </c>
      <c r="V7035" s="6">
        <v>-0.21</v>
      </c>
      <c r="W7035" s="6">
        <v>8.74</v>
      </c>
      <c r="X7035" s="6">
        <v>9.31</v>
      </c>
      <c r="Y7035" s="6">
        <v>9.35</v>
      </c>
      <c r="Z7035" s="5">
        <v>11.9</v>
      </c>
      <c r="AA7035" s="6">
        <v>11.15</v>
      </c>
      <c r="AB7035" s="7">
        <v>42.384</v>
      </c>
      <c r="AC7035" s="2"/>
    </row>
    <row r="7036" spans="1:29" ht="156" x14ac:dyDescent="0.15">
      <c r="A7036" s="3">
        <f>DATE(2003,10,7)</f>
        <v>37901</v>
      </c>
      <c r="B7036" s="3">
        <f>DATE(2004,5,17)</f>
        <v>38124</v>
      </c>
      <c r="C7036" s="2" t="s">
        <v>95</v>
      </c>
      <c r="D7036" s="2" t="s">
        <v>19377</v>
      </c>
      <c r="E7036" s="2" t="s">
        <v>389</v>
      </c>
      <c r="F7036" s="4">
        <v>6035</v>
      </c>
      <c r="G7036" s="2" t="s">
        <v>33</v>
      </c>
      <c r="H7036" s="2" t="s">
        <v>34</v>
      </c>
      <c r="I7036" s="2" t="s">
        <v>20968</v>
      </c>
      <c r="J7036" s="2" t="s">
        <v>36</v>
      </c>
      <c r="K7036" s="2" t="s">
        <v>37</v>
      </c>
      <c r="L7036" s="2" t="s">
        <v>34</v>
      </c>
      <c r="M7036" s="12">
        <v>1850.029</v>
      </c>
      <c r="N7036" s="6">
        <v>40.520000000000003</v>
      </c>
      <c r="O7036" s="6">
        <v>40.479999999999997</v>
      </c>
      <c r="P7036" s="2" t="s">
        <v>21284</v>
      </c>
      <c r="Q7036" s="6">
        <v>100</v>
      </c>
      <c r="R7036" s="6">
        <v>24.5</v>
      </c>
      <c r="S7036" s="5">
        <v>25.1</v>
      </c>
      <c r="T7036" s="2"/>
      <c r="U7036" s="5">
        <v>10.9</v>
      </c>
      <c r="V7036" s="6">
        <v>1.48</v>
      </c>
      <c r="W7036" s="5">
        <v>22.1</v>
      </c>
      <c r="X7036" s="6">
        <v>22.65</v>
      </c>
      <c r="Y7036" s="6">
        <v>24.16</v>
      </c>
      <c r="Z7036" s="6">
        <v>24.21</v>
      </c>
      <c r="AA7036" s="6">
        <v>17.38</v>
      </c>
      <c r="AB7036" s="7">
        <v>28.18</v>
      </c>
      <c r="AC7036" s="2"/>
    </row>
    <row r="7037" spans="1:29" ht="208" x14ac:dyDescent="0.15">
      <c r="A7037" s="3">
        <f>DATE(2003,10,8)</f>
        <v>37902</v>
      </c>
      <c r="B7037" s="3">
        <f>DATE(2004,10,4)</f>
        <v>38264</v>
      </c>
      <c r="C7037" s="2" t="s">
        <v>95</v>
      </c>
      <c r="D7037" s="2" t="s">
        <v>21285</v>
      </c>
      <c r="E7037" s="2" t="s">
        <v>21286</v>
      </c>
      <c r="F7037" s="4">
        <v>3851</v>
      </c>
      <c r="G7037" s="2" t="s">
        <v>226</v>
      </c>
      <c r="H7037" s="2" t="s">
        <v>34</v>
      </c>
      <c r="I7037" s="2" t="s">
        <v>5905</v>
      </c>
      <c r="J7037" s="2" t="s">
        <v>5906</v>
      </c>
      <c r="K7037" s="2" t="s">
        <v>226</v>
      </c>
      <c r="L7037" s="2" t="s">
        <v>5907</v>
      </c>
      <c r="M7037" s="12">
        <v>6721.6809999999996</v>
      </c>
      <c r="N7037" s="7">
        <v>15.112</v>
      </c>
      <c r="O7037" s="6">
        <v>15.75</v>
      </c>
      <c r="P7037" s="2" t="s">
        <v>21287</v>
      </c>
      <c r="Q7037" s="6">
        <v>100</v>
      </c>
      <c r="R7037" s="6">
        <v>27.5</v>
      </c>
      <c r="S7037" s="5">
        <v>-4.7</v>
      </c>
      <c r="T7037" s="2"/>
      <c r="U7037" s="5">
        <v>5.6</v>
      </c>
      <c r="V7037" s="6">
        <v>-0.3</v>
      </c>
      <c r="W7037" s="6">
        <v>12.34</v>
      </c>
      <c r="X7037" s="6">
        <v>12.39</v>
      </c>
      <c r="Y7037" s="6">
        <v>20.69</v>
      </c>
      <c r="Z7037" s="5">
        <v>21.1</v>
      </c>
      <c r="AA7037" s="6">
        <v>16.3</v>
      </c>
      <c r="AB7037" s="7">
        <v>16.905999999999999</v>
      </c>
      <c r="AC7037" s="6">
        <v>317.02999999999997</v>
      </c>
    </row>
    <row r="7038" spans="1:29" ht="143" x14ac:dyDescent="0.15">
      <c r="A7038" s="3">
        <f>DATE(2003,10,8)</f>
        <v>37902</v>
      </c>
      <c r="B7038" s="3">
        <f>DATE(2006,9,7)</f>
        <v>38967</v>
      </c>
      <c r="C7038" s="2" t="s">
        <v>95</v>
      </c>
      <c r="D7038" s="2" t="s">
        <v>3490</v>
      </c>
      <c r="E7038" s="2" t="s">
        <v>3491</v>
      </c>
      <c r="F7038" s="4">
        <v>1041</v>
      </c>
      <c r="G7038" s="2" t="s">
        <v>166</v>
      </c>
      <c r="H7038" s="2" t="s">
        <v>34</v>
      </c>
      <c r="I7038" s="2" t="s">
        <v>11460</v>
      </c>
      <c r="J7038" s="2" t="s">
        <v>277</v>
      </c>
      <c r="K7038" s="2" t="s">
        <v>166</v>
      </c>
      <c r="L7038" s="2" t="s">
        <v>902</v>
      </c>
      <c r="M7038" s="12">
        <v>2448.5889999999999</v>
      </c>
      <c r="N7038" s="7">
        <v>7.6619999999999999</v>
      </c>
      <c r="O7038" s="7">
        <v>7.4859999999999998</v>
      </c>
      <c r="P7038" s="2" t="s">
        <v>21288</v>
      </c>
      <c r="Q7038" s="6">
        <v>100</v>
      </c>
      <c r="R7038" s="6">
        <v>2.2000000000000002</v>
      </c>
      <c r="S7038" s="5">
        <v>-3</v>
      </c>
      <c r="T7038" s="7">
        <v>-4.016</v>
      </c>
      <c r="U7038" s="5">
        <v>1.9</v>
      </c>
      <c r="V7038" s="6">
        <v>-0.65</v>
      </c>
      <c r="W7038" s="5">
        <v>1.5</v>
      </c>
      <c r="X7038" s="5">
        <v>1.5</v>
      </c>
      <c r="Y7038" s="5">
        <v>1.5</v>
      </c>
      <c r="Z7038" s="6">
        <v>2.02</v>
      </c>
      <c r="AA7038" s="6">
        <v>5.63</v>
      </c>
      <c r="AB7038" s="2" t="s">
        <v>86</v>
      </c>
      <c r="AC7038" s="6">
        <v>147.65</v>
      </c>
    </row>
    <row r="7039" spans="1:29" ht="169" x14ac:dyDescent="0.15">
      <c r="A7039" s="3">
        <f>DATE(2003,10,8)</f>
        <v>37902</v>
      </c>
      <c r="B7039" s="3">
        <f>DATE(2003,11,17)</f>
        <v>37942</v>
      </c>
      <c r="C7039" s="2" t="s">
        <v>95</v>
      </c>
      <c r="D7039" s="2" t="s">
        <v>21289</v>
      </c>
      <c r="E7039" s="2" t="s">
        <v>21290</v>
      </c>
      <c r="F7039" s="4">
        <v>3679</v>
      </c>
      <c r="G7039" s="2" t="s">
        <v>137</v>
      </c>
      <c r="H7039" s="2" t="s">
        <v>34</v>
      </c>
      <c r="I7039" s="2" t="s">
        <v>21291</v>
      </c>
      <c r="J7039" s="2" t="s">
        <v>21292</v>
      </c>
      <c r="K7039" s="2" t="s">
        <v>50</v>
      </c>
      <c r="L7039" s="2" t="s">
        <v>34</v>
      </c>
      <c r="M7039" s="12">
        <v>2172.788</v>
      </c>
      <c r="N7039" s="5">
        <v>28.2</v>
      </c>
      <c r="O7039" s="6">
        <v>27.65</v>
      </c>
      <c r="P7039" s="2" t="s">
        <v>21293</v>
      </c>
      <c r="Q7039" s="6">
        <v>100</v>
      </c>
      <c r="R7039" s="6">
        <v>10</v>
      </c>
      <c r="S7039" s="5">
        <v>-10.3</v>
      </c>
      <c r="T7039" s="7">
        <v>-8.4160000000000004</v>
      </c>
      <c r="U7039" s="5">
        <v>0.7</v>
      </c>
      <c r="V7039" s="6">
        <v>-0.51</v>
      </c>
      <c r="W7039" s="6">
        <v>7.46</v>
      </c>
      <c r="X7039" s="6">
        <v>8.4700000000000006</v>
      </c>
      <c r="Y7039" s="6">
        <v>8.5399999999999991</v>
      </c>
      <c r="Z7039" s="6">
        <v>9.93</v>
      </c>
      <c r="AA7039" s="6">
        <v>24.29</v>
      </c>
      <c r="AB7039" s="2" t="s">
        <v>86</v>
      </c>
      <c r="AC7039" s="6">
        <v>343.74</v>
      </c>
    </row>
    <row r="7040" spans="1:29" ht="65" x14ac:dyDescent="0.15">
      <c r="A7040" s="3">
        <f>DATE(2003,10,9)</f>
        <v>37903</v>
      </c>
      <c r="B7040" s="2"/>
      <c r="C7040" s="2" t="s">
        <v>7330</v>
      </c>
      <c r="D7040" s="2" t="s">
        <v>15778</v>
      </c>
      <c r="E7040" s="2" t="s">
        <v>4572</v>
      </c>
      <c r="F7040" s="4">
        <v>7375</v>
      </c>
      <c r="G7040" s="2" t="s">
        <v>223</v>
      </c>
      <c r="H7040" s="2" t="s">
        <v>34</v>
      </c>
      <c r="I7040" s="2" t="s">
        <v>21294</v>
      </c>
      <c r="J7040" s="2" t="s">
        <v>1072</v>
      </c>
      <c r="K7040" s="2" t="s">
        <v>53</v>
      </c>
      <c r="L7040" s="2" t="s">
        <v>34</v>
      </c>
      <c r="M7040" s="2"/>
      <c r="N7040" s="2"/>
      <c r="O7040" s="2"/>
      <c r="P7040" s="2" t="s">
        <v>21295</v>
      </c>
      <c r="Q7040" s="2"/>
      <c r="R7040" s="6">
        <v>2.84</v>
      </c>
      <c r="S7040" s="5">
        <v>-2.6</v>
      </c>
      <c r="T7040" s="7">
        <v>0.314</v>
      </c>
      <c r="U7040" s="5">
        <v>3.4</v>
      </c>
      <c r="V7040" s="6">
        <v>-0.54</v>
      </c>
      <c r="W7040" s="4">
        <v>4</v>
      </c>
      <c r="X7040" s="6">
        <v>4.3600000000000003</v>
      </c>
      <c r="Y7040" s="6">
        <v>4.4800000000000004</v>
      </c>
      <c r="Z7040" s="6">
        <v>4.1900000000000004</v>
      </c>
      <c r="AA7040" s="6">
        <v>4.67</v>
      </c>
      <c r="AB7040" s="2" t="s">
        <v>86</v>
      </c>
      <c r="AC7040" s="2"/>
    </row>
    <row r="7041" spans="1:29" ht="117" x14ac:dyDescent="0.15">
      <c r="A7041" s="3">
        <f>DATE(2003,10,9)</f>
        <v>37903</v>
      </c>
      <c r="B7041" s="3">
        <f>DATE(2003,12,3)</f>
        <v>37958</v>
      </c>
      <c r="C7041" s="2" t="s">
        <v>95</v>
      </c>
      <c r="D7041" s="2" t="s">
        <v>21296</v>
      </c>
      <c r="E7041" s="2" t="s">
        <v>15736</v>
      </c>
      <c r="F7041" s="4">
        <v>7372</v>
      </c>
      <c r="G7041" s="2" t="s">
        <v>551</v>
      </c>
      <c r="H7041" s="2" t="s">
        <v>34</v>
      </c>
      <c r="I7041" s="2" t="s">
        <v>21297</v>
      </c>
      <c r="J7041" s="2" t="s">
        <v>244</v>
      </c>
      <c r="K7041" s="2" t="s">
        <v>53</v>
      </c>
      <c r="L7041" s="2" t="s">
        <v>34</v>
      </c>
      <c r="M7041" s="2"/>
      <c r="N7041" s="2"/>
      <c r="O7041" s="2"/>
      <c r="P7041" s="2" t="s">
        <v>21298</v>
      </c>
      <c r="Q7041" s="6">
        <v>100</v>
      </c>
      <c r="R7041" s="6">
        <v>3.16</v>
      </c>
      <c r="S7041" s="5">
        <v>-4.2</v>
      </c>
      <c r="T7041" s="7">
        <v>-5.1180000000000003</v>
      </c>
      <c r="U7041" s="5">
        <v>5.5</v>
      </c>
      <c r="V7041" s="6">
        <v>-1.1100000000000001</v>
      </c>
      <c r="W7041" s="6">
        <v>3.45</v>
      </c>
      <c r="X7041" s="6">
        <v>3.42</v>
      </c>
      <c r="Y7041" s="6">
        <v>3.11</v>
      </c>
      <c r="Z7041" s="5">
        <v>3.1</v>
      </c>
      <c r="AA7041" s="6">
        <v>3.67</v>
      </c>
      <c r="AB7041" s="2" t="s">
        <v>86</v>
      </c>
      <c r="AC7041" s="2"/>
    </row>
    <row r="7042" spans="1:29" ht="65" x14ac:dyDescent="0.15">
      <c r="A7042" s="3">
        <f>DATE(2003,10,9)</f>
        <v>37903</v>
      </c>
      <c r="B7042" s="3">
        <f>DATE(2003,10,9)</f>
        <v>37903</v>
      </c>
      <c r="C7042" s="2" t="s">
        <v>95</v>
      </c>
      <c r="D7042" s="2" t="s">
        <v>20915</v>
      </c>
      <c r="E7042" s="2" t="s">
        <v>20916</v>
      </c>
      <c r="F7042" s="4">
        <v>6035</v>
      </c>
      <c r="G7042" s="2" t="s">
        <v>33</v>
      </c>
      <c r="H7042" s="2" t="s">
        <v>34</v>
      </c>
      <c r="I7042" s="2" t="s">
        <v>21299</v>
      </c>
      <c r="J7042" s="2" t="s">
        <v>36</v>
      </c>
      <c r="K7042" s="2" t="s">
        <v>37</v>
      </c>
      <c r="L7042" s="2" t="s">
        <v>34</v>
      </c>
      <c r="M7042" s="2"/>
      <c r="N7042" s="2"/>
      <c r="O7042" s="2"/>
      <c r="P7042" s="2" t="s">
        <v>21300</v>
      </c>
      <c r="Q7042" s="6">
        <v>100</v>
      </c>
      <c r="R7042" s="6">
        <v>18</v>
      </c>
      <c r="S7042" s="5">
        <v>0.5</v>
      </c>
      <c r="T7042" s="2"/>
      <c r="U7042" s="5">
        <v>15.5</v>
      </c>
      <c r="V7042" s="6">
        <v>0.75</v>
      </c>
      <c r="W7042" s="5">
        <v>17.5</v>
      </c>
      <c r="X7042" s="5">
        <v>17.5</v>
      </c>
      <c r="Y7042" s="5">
        <v>17.5</v>
      </c>
      <c r="Z7042" s="5">
        <v>17.5</v>
      </c>
      <c r="AA7042" s="6">
        <v>0.65</v>
      </c>
      <c r="AB7042" s="2" t="s">
        <v>47</v>
      </c>
      <c r="AC7042" s="2"/>
    </row>
    <row r="7043" spans="1:29" ht="104" x14ac:dyDescent="0.15">
      <c r="A7043" s="3">
        <f>DATE(2003,10,13)</f>
        <v>37907</v>
      </c>
      <c r="B7043" s="3">
        <f>DATE(2003,12,31)</f>
        <v>37986</v>
      </c>
      <c r="C7043" s="2" t="s">
        <v>95</v>
      </c>
      <c r="D7043" s="2" t="s">
        <v>21301</v>
      </c>
      <c r="E7043" s="2" t="s">
        <v>21302</v>
      </c>
      <c r="F7043" s="4">
        <v>3444</v>
      </c>
      <c r="G7043" s="2" t="s">
        <v>163</v>
      </c>
      <c r="H7043" s="2" t="s">
        <v>34</v>
      </c>
      <c r="I7043" s="2" t="s">
        <v>21303</v>
      </c>
      <c r="J7043" s="2" t="s">
        <v>21304</v>
      </c>
      <c r="K7043" s="2" t="s">
        <v>163</v>
      </c>
      <c r="L7043" s="2" t="s">
        <v>34</v>
      </c>
      <c r="M7043" s="2"/>
      <c r="N7043" s="2"/>
      <c r="O7043" s="2"/>
      <c r="P7043" s="2" t="s">
        <v>21305</v>
      </c>
      <c r="Q7043" s="6">
        <v>100</v>
      </c>
      <c r="R7043" s="6">
        <v>3.9</v>
      </c>
      <c r="S7043" s="5">
        <v>0.8</v>
      </c>
      <c r="T7043" s="7">
        <v>4.0620000000000003</v>
      </c>
      <c r="U7043" s="5">
        <v>2.9</v>
      </c>
      <c r="V7043" s="6">
        <v>0.13</v>
      </c>
      <c r="W7043" s="6">
        <v>3.16</v>
      </c>
      <c r="X7043" s="5">
        <v>3.1</v>
      </c>
      <c r="Y7043" s="6">
        <v>3.81</v>
      </c>
      <c r="Z7043" s="6">
        <v>3.83</v>
      </c>
      <c r="AA7043" s="6">
        <v>5.27</v>
      </c>
      <c r="AB7043" s="7">
        <v>18.337</v>
      </c>
      <c r="AC7043" s="2"/>
    </row>
    <row r="7044" spans="1:29" ht="104" x14ac:dyDescent="0.15">
      <c r="A7044" s="3">
        <f>DATE(2003,10,14)</f>
        <v>37908</v>
      </c>
      <c r="B7044" s="3">
        <f>DATE(2003,12,19)</f>
        <v>37974</v>
      </c>
      <c r="C7044" s="2" t="s">
        <v>95</v>
      </c>
      <c r="D7044" s="2" t="s">
        <v>21306</v>
      </c>
      <c r="E7044" s="2" t="s">
        <v>4679</v>
      </c>
      <c r="F7044" s="4">
        <v>7372</v>
      </c>
      <c r="G7044" s="2" t="s">
        <v>551</v>
      </c>
      <c r="H7044" s="2" t="s">
        <v>34</v>
      </c>
      <c r="I7044" s="2" t="s">
        <v>15063</v>
      </c>
      <c r="J7044" s="2" t="s">
        <v>15064</v>
      </c>
      <c r="K7044" s="2" t="s">
        <v>50</v>
      </c>
      <c r="L7044" s="2" t="s">
        <v>34</v>
      </c>
      <c r="M7044" s="10">
        <v>29946.01</v>
      </c>
      <c r="N7044" s="6">
        <v>13.34</v>
      </c>
      <c r="O7044" s="6">
        <v>12.84</v>
      </c>
      <c r="P7044" s="2" t="s">
        <v>21307</v>
      </c>
      <c r="Q7044" s="6">
        <v>100</v>
      </c>
      <c r="R7044" s="6">
        <v>31.43</v>
      </c>
      <c r="S7044" s="5">
        <v>-4.5999999999999996</v>
      </c>
      <c r="T7044" s="7">
        <v>36.514000000000003</v>
      </c>
      <c r="U7044" s="5">
        <v>5.4</v>
      </c>
      <c r="V7044" s="6">
        <v>-0.1</v>
      </c>
      <c r="W7044" s="6">
        <v>24.17</v>
      </c>
      <c r="X7044" s="6">
        <v>24.42</v>
      </c>
      <c r="Y7044" s="6">
        <v>28.54</v>
      </c>
      <c r="Z7044" s="6">
        <v>27.48</v>
      </c>
      <c r="AA7044" s="6">
        <v>49.88</v>
      </c>
      <c r="AB7044" s="7">
        <v>150.74</v>
      </c>
      <c r="AC7044" s="10">
        <v>2613.8200000000002</v>
      </c>
    </row>
    <row r="7045" spans="1:29" ht="247" x14ac:dyDescent="0.15">
      <c r="A7045" s="3">
        <f>DATE(2003,10,15)</f>
        <v>37909</v>
      </c>
      <c r="B7045" s="3">
        <f>DATE(2004,3,12)</f>
        <v>38058</v>
      </c>
      <c r="C7045" s="2" t="s">
        <v>95</v>
      </c>
      <c r="D7045" s="2" t="s">
        <v>21308</v>
      </c>
      <c r="E7045" s="2" t="s">
        <v>209</v>
      </c>
      <c r="F7045" s="4">
        <v>3679</v>
      </c>
      <c r="G7045" s="2" t="s">
        <v>137</v>
      </c>
      <c r="H7045" s="2" t="s">
        <v>34</v>
      </c>
      <c r="I7045" s="2" t="s">
        <v>13154</v>
      </c>
      <c r="J7045" s="2" t="s">
        <v>500</v>
      </c>
      <c r="K7045" s="2" t="s">
        <v>137</v>
      </c>
      <c r="L7045" s="2" t="s">
        <v>902</v>
      </c>
      <c r="M7045" s="12">
        <v>3362.1610000000001</v>
      </c>
      <c r="N7045" s="7">
        <v>17.361000000000001</v>
      </c>
      <c r="O7045" s="7">
        <v>17.553000000000001</v>
      </c>
      <c r="P7045" s="2" t="s">
        <v>21309</v>
      </c>
      <c r="Q7045" s="6">
        <v>100</v>
      </c>
      <c r="R7045" s="6">
        <v>6.63</v>
      </c>
      <c r="S7045" s="5">
        <v>-10.4</v>
      </c>
      <c r="T7045" s="7">
        <v>15.153</v>
      </c>
      <c r="U7045" s="5">
        <v>2.8</v>
      </c>
      <c r="V7045" s="6">
        <v>-0.43</v>
      </c>
      <c r="W7045" s="5">
        <v>5.5</v>
      </c>
      <c r="X7045" s="5">
        <v>5.6</v>
      </c>
      <c r="Y7045" s="5">
        <v>6.4</v>
      </c>
      <c r="Z7045" s="5">
        <v>6.5</v>
      </c>
      <c r="AA7045" s="6">
        <v>34.11</v>
      </c>
      <c r="AB7045" s="7">
        <v>5009.96</v>
      </c>
      <c r="AC7045" s="10">
        <v>1206.6400000000001</v>
      </c>
    </row>
    <row r="7046" spans="1:29" ht="156" x14ac:dyDescent="0.15">
      <c r="A7046" s="3">
        <f>DATE(2003,10,15)</f>
        <v>37909</v>
      </c>
      <c r="B7046" s="3">
        <f>DATE(2004,5,4)</f>
        <v>38111</v>
      </c>
      <c r="C7046" s="2" t="s">
        <v>95</v>
      </c>
      <c r="D7046" s="2" t="s">
        <v>21310</v>
      </c>
      <c r="E7046" s="2" t="s">
        <v>263</v>
      </c>
      <c r="F7046" s="4">
        <v>6022</v>
      </c>
      <c r="G7046" s="2" t="s">
        <v>37</v>
      </c>
      <c r="H7046" s="2" t="s">
        <v>34</v>
      </c>
      <c r="I7046" s="2" t="s">
        <v>21311</v>
      </c>
      <c r="J7046" s="2" t="s">
        <v>159</v>
      </c>
      <c r="K7046" s="2" t="s">
        <v>37</v>
      </c>
      <c r="L7046" s="2" t="s">
        <v>34</v>
      </c>
      <c r="M7046" s="7">
        <v>451.29700000000003</v>
      </c>
      <c r="N7046" s="6">
        <v>26.66</v>
      </c>
      <c r="O7046" s="4">
        <v>27</v>
      </c>
      <c r="P7046" s="2" t="s">
        <v>21312</v>
      </c>
      <c r="Q7046" s="6">
        <v>100</v>
      </c>
      <c r="R7046" s="6">
        <v>16</v>
      </c>
      <c r="S7046" s="2"/>
      <c r="T7046" s="2"/>
      <c r="U7046" s="2"/>
      <c r="V7046" s="2"/>
      <c r="W7046" s="6">
        <v>9.25</v>
      </c>
      <c r="X7046" s="5">
        <v>9.5</v>
      </c>
      <c r="Y7046" s="5">
        <v>9.5</v>
      </c>
      <c r="Z7046" s="6">
        <v>15.35</v>
      </c>
      <c r="AA7046" s="6">
        <v>3.69</v>
      </c>
      <c r="AB7046" s="2" t="s">
        <v>47</v>
      </c>
      <c r="AC7046" s="2"/>
    </row>
    <row r="7047" spans="1:29" ht="91" x14ac:dyDescent="0.15">
      <c r="A7047" s="3">
        <f>DATE(2003,10,16)</f>
        <v>37910</v>
      </c>
      <c r="B7047" s="3">
        <f>DATE(2004,3,5)</f>
        <v>38051</v>
      </c>
      <c r="C7047" s="2" t="s">
        <v>95</v>
      </c>
      <c r="D7047" s="2" t="s">
        <v>21313</v>
      </c>
      <c r="E7047" s="2" t="s">
        <v>672</v>
      </c>
      <c r="F7047" s="4">
        <v>6021</v>
      </c>
      <c r="G7047" s="2" t="s">
        <v>37</v>
      </c>
      <c r="H7047" s="2" t="s">
        <v>34</v>
      </c>
      <c r="I7047" s="2" t="s">
        <v>12571</v>
      </c>
      <c r="J7047" s="2" t="s">
        <v>3246</v>
      </c>
      <c r="K7047" s="2" t="s">
        <v>37</v>
      </c>
      <c r="L7047" s="2" t="s">
        <v>34</v>
      </c>
      <c r="M7047" s="12">
        <v>1128.1859999999999</v>
      </c>
      <c r="N7047" s="6">
        <v>33.18</v>
      </c>
      <c r="O7047" s="5">
        <v>33.1</v>
      </c>
      <c r="P7047" s="2" t="s">
        <v>21314</v>
      </c>
      <c r="Q7047" s="6">
        <v>100</v>
      </c>
      <c r="R7047" s="6">
        <v>26</v>
      </c>
      <c r="S7047" s="5">
        <v>7.5</v>
      </c>
      <c r="T7047" s="2"/>
      <c r="U7047" s="5">
        <v>9.5</v>
      </c>
      <c r="V7047" s="6">
        <v>1.42</v>
      </c>
      <c r="W7047" s="6">
        <v>21.25</v>
      </c>
      <c r="X7047" s="5">
        <v>23.6</v>
      </c>
      <c r="Y7047" s="6">
        <v>23.86</v>
      </c>
      <c r="Z7047" s="6">
        <v>25.72</v>
      </c>
      <c r="AA7047" s="6">
        <v>4.5999999999999996</v>
      </c>
      <c r="AB7047" s="7">
        <v>22.861000000000001</v>
      </c>
      <c r="AC7047" s="2"/>
    </row>
    <row r="7048" spans="1:29" ht="130" x14ac:dyDescent="0.15">
      <c r="A7048" s="3">
        <f>DATE(2003,10,16)</f>
        <v>37910</v>
      </c>
      <c r="B7048" s="2"/>
      <c r="C7048" s="2" t="s">
        <v>7330</v>
      </c>
      <c r="D7048" s="2" t="s">
        <v>21104</v>
      </c>
      <c r="E7048" s="2" t="s">
        <v>268</v>
      </c>
      <c r="F7048" s="4">
        <v>7011</v>
      </c>
      <c r="G7048" s="2" t="s">
        <v>269</v>
      </c>
      <c r="H7048" s="2" t="s">
        <v>34</v>
      </c>
      <c r="I7048" s="2" t="s">
        <v>51</v>
      </c>
      <c r="J7048" s="2" t="s">
        <v>52</v>
      </c>
      <c r="K7048" s="2" t="s">
        <v>53</v>
      </c>
      <c r="L7048" s="2" t="s">
        <v>34</v>
      </c>
      <c r="M7048" s="2"/>
      <c r="N7048" s="2"/>
      <c r="O7048" s="2"/>
      <c r="P7048" s="2" t="s">
        <v>21315</v>
      </c>
      <c r="Q7048" s="2"/>
      <c r="R7048" s="6">
        <v>550</v>
      </c>
      <c r="S7048" s="5">
        <v>3.5</v>
      </c>
      <c r="T7048" s="7">
        <v>14.802</v>
      </c>
      <c r="U7048" s="5">
        <v>293.89999999999998</v>
      </c>
      <c r="V7048" s="6">
        <v>26.08</v>
      </c>
      <c r="W7048" s="4">
        <v>572</v>
      </c>
      <c r="X7048" s="4">
        <v>572</v>
      </c>
      <c r="Y7048" s="4">
        <v>572</v>
      </c>
      <c r="Z7048" s="4">
        <v>572</v>
      </c>
      <c r="AA7048" s="6">
        <v>0.14000000000000001</v>
      </c>
      <c r="AB7048" s="7">
        <v>10.795999999999999</v>
      </c>
      <c r="AC7048" s="2"/>
    </row>
    <row r="7049" spans="1:29" ht="143" x14ac:dyDescent="0.15">
      <c r="A7049" s="3">
        <f>DATE(2003,10,20)</f>
        <v>37914</v>
      </c>
      <c r="B7049" s="3">
        <f>DATE(2004,3,18)</f>
        <v>38064</v>
      </c>
      <c r="C7049" s="2" t="s">
        <v>95</v>
      </c>
      <c r="D7049" s="2" t="s">
        <v>21316</v>
      </c>
      <c r="E7049" s="2" t="s">
        <v>14580</v>
      </c>
      <c r="F7049" s="4">
        <v>7372</v>
      </c>
      <c r="G7049" s="2" t="s">
        <v>551</v>
      </c>
      <c r="H7049" s="2" t="s">
        <v>34</v>
      </c>
      <c r="I7049" s="2" t="s">
        <v>21317</v>
      </c>
      <c r="J7049" s="2" t="s">
        <v>21318</v>
      </c>
      <c r="K7049" s="2" t="s">
        <v>223</v>
      </c>
      <c r="L7049" s="2" t="s">
        <v>34</v>
      </c>
      <c r="M7049" s="7">
        <v>123.762</v>
      </c>
      <c r="N7049" s="6">
        <v>1.68</v>
      </c>
      <c r="O7049" s="6">
        <v>1.97</v>
      </c>
      <c r="P7049" s="2" t="s">
        <v>21319</v>
      </c>
      <c r="Q7049" s="6">
        <v>100</v>
      </c>
      <c r="R7049" s="6">
        <v>4.1399999999999997</v>
      </c>
      <c r="S7049" s="5">
        <v>-11.4</v>
      </c>
      <c r="T7049" s="7">
        <v>-10.044</v>
      </c>
      <c r="U7049" s="5">
        <v>2.2000000000000002</v>
      </c>
      <c r="V7049" s="6">
        <v>-0.88</v>
      </c>
      <c r="W7049" s="6">
        <v>4.1100000000000003</v>
      </c>
      <c r="X7049" s="5">
        <v>4.0999999999999996</v>
      </c>
      <c r="Y7049" s="6">
        <v>4.24</v>
      </c>
      <c r="Z7049" s="6">
        <v>4.62</v>
      </c>
      <c r="AA7049" s="6">
        <v>14.39</v>
      </c>
      <c r="AB7049" s="2" t="s">
        <v>86</v>
      </c>
      <c r="AC7049" s="6">
        <v>14.91</v>
      </c>
    </row>
    <row r="7050" spans="1:29" ht="143" x14ac:dyDescent="0.15">
      <c r="A7050" s="3">
        <f>DATE(2003,10,21)</f>
        <v>37915</v>
      </c>
      <c r="B7050" s="3">
        <f>DATE(2004,4,29)</f>
        <v>38106</v>
      </c>
      <c r="C7050" s="2" t="s">
        <v>95</v>
      </c>
      <c r="D7050" s="2" t="s">
        <v>19898</v>
      </c>
      <c r="E7050" s="2" t="s">
        <v>263</v>
      </c>
      <c r="F7050" s="4">
        <v>6022</v>
      </c>
      <c r="G7050" s="2" t="s">
        <v>37</v>
      </c>
      <c r="H7050" s="2" t="s">
        <v>34</v>
      </c>
      <c r="I7050" s="2" t="s">
        <v>17310</v>
      </c>
      <c r="J7050" s="2" t="s">
        <v>17311</v>
      </c>
      <c r="K7050" s="2" t="s">
        <v>33</v>
      </c>
      <c r="L7050" s="2" t="s">
        <v>34</v>
      </c>
      <c r="M7050" s="7">
        <v>576.79100000000005</v>
      </c>
      <c r="N7050" s="5">
        <v>23.1</v>
      </c>
      <c r="O7050" s="6">
        <v>22.81</v>
      </c>
      <c r="P7050" s="2" t="s">
        <v>21320</v>
      </c>
      <c r="Q7050" s="6">
        <v>100</v>
      </c>
      <c r="R7050" s="6">
        <v>34</v>
      </c>
      <c r="S7050" s="5">
        <v>3.1</v>
      </c>
      <c r="T7050" s="2"/>
      <c r="U7050" s="5">
        <v>14.5</v>
      </c>
      <c r="V7050" s="6">
        <v>0.74</v>
      </c>
      <c r="W7050" s="6">
        <v>32.65</v>
      </c>
      <c r="X7050" s="6">
        <v>32.58</v>
      </c>
      <c r="Y7050" s="6">
        <v>33.22</v>
      </c>
      <c r="Z7050" s="6">
        <v>33.15</v>
      </c>
      <c r="AA7050" s="6">
        <v>3.87</v>
      </c>
      <c r="AB7050" s="7">
        <v>42.427</v>
      </c>
      <c r="AC7050" s="2"/>
    </row>
    <row r="7051" spans="1:29" ht="78" x14ac:dyDescent="0.15">
      <c r="A7051" s="3">
        <f>DATE(2003,10,22)</f>
        <v>37916</v>
      </c>
      <c r="B7051" s="3">
        <f>DATE(2004,3,1)</f>
        <v>38047</v>
      </c>
      <c r="C7051" s="2" t="s">
        <v>95</v>
      </c>
      <c r="D7051" s="2" t="s">
        <v>21321</v>
      </c>
      <c r="E7051" s="2" t="s">
        <v>1181</v>
      </c>
      <c r="F7051" s="4">
        <v>6022</v>
      </c>
      <c r="G7051" s="2" t="s">
        <v>37</v>
      </c>
      <c r="H7051" s="2" t="s">
        <v>34</v>
      </c>
      <c r="I7051" s="2" t="s">
        <v>21322</v>
      </c>
      <c r="J7051" s="2" t="s">
        <v>21323</v>
      </c>
      <c r="K7051" s="2" t="s">
        <v>37</v>
      </c>
      <c r="L7051" s="2" t="s">
        <v>34</v>
      </c>
      <c r="M7051" s="2"/>
      <c r="N7051" s="2"/>
      <c r="O7051" s="2"/>
      <c r="P7051" s="2" t="s">
        <v>21324</v>
      </c>
      <c r="Q7051" s="6">
        <v>100</v>
      </c>
      <c r="R7051" s="2"/>
      <c r="S7051" s="2"/>
      <c r="T7051" s="2"/>
      <c r="U7051" s="2"/>
      <c r="V7051" s="2"/>
      <c r="W7051" s="5">
        <v>13.6</v>
      </c>
      <c r="X7051" s="5">
        <v>13.6</v>
      </c>
      <c r="Y7051" s="5">
        <v>13.6</v>
      </c>
      <c r="Z7051" s="5">
        <v>20.6</v>
      </c>
      <c r="AA7051" s="2"/>
      <c r="AB7051" s="2" t="s">
        <v>47</v>
      </c>
      <c r="AC7051" s="2"/>
    </row>
    <row r="7052" spans="1:29" ht="195" x14ac:dyDescent="0.15">
      <c r="A7052" s="3">
        <f>DATE(2003,10,22)</f>
        <v>37916</v>
      </c>
      <c r="B7052" s="3">
        <f>DATE(2003,12,16)</f>
        <v>37971</v>
      </c>
      <c r="C7052" s="2" t="s">
        <v>95</v>
      </c>
      <c r="D7052" s="2" t="s">
        <v>21325</v>
      </c>
      <c r="E7052" s="2" t="s">
        <v>21326</v>
      </c>
      <c r="F7052" s="4">
        <v>5091</v>
      </c>
      <c r="G7052" s="2" t="s">
        <v>76</v>
      </c>
      <c r="H7052" s="2" t="s">
        <v>34</v>
      </c>
      <c r="I7052" s="2" t="s">
        <v>20516</v>
      </c>
      <c r="J7052" s="2" t="s">
        <v>13671</v>
      </c>
      <c r="K7052" s="2" t="s">
        <v>112</v>
      </c>
      <c r="L7052" s="2" t="s">
        <v>34</v>
      </c>
      <c r="M7052" s="7">
        <v>431.20600000000002</v>
      </c>
      <c r="N7052" s="6">
        <v>16.75</v>
      </c>
      <c r="O7052" s="5">
        <v>15.9</v>
      </c>
      <c r="P7052" s="2" t="s">
        <v>21327</v>
      </c>
      <c r="Q7052" s="6">
        <v>100</v>
      </c>
      <c r="R7052" s="6">
        <v>10.51</v>
      </c>
      <c r="S7052" s="5">
        <v>9.6999999999999993</v>
      </c>
      <c r="T7052" s="7">
        <v>18.917999999999999</v>
      </c>
      <c r="U7052" s="5">
        <v>8.8000000000000007</v>
      </c>
      <c r="V7052" s="6">
        <v>1.3</v>
      </c>
      <c r="W7052" s="5">
        <v>8.4</v>
      </c>
      <c r="X7052" s="5">
        <v>8.3000000000000007</v>
      </c>
      <c r="Y7052" s="5">
        <v>8.3000000000000007</v>
      </c>
      <c r="Z7052" s="5">
        <v>9.5</v>
      </c>
      <c r="AA7052" s="6">
        <v>7.49</v>
      </c>
      <c r="AB7052" s="7">
        <v>6.1390000000000002</v>
      </c>
      <c r="AC7052" s="6">
        <v>14.62</v>
      </c>
    </row>
    <row r="7053" spans="1:29" ht="130" x14ac:dyDescent="0.15">
      <c r="A7053" s="3">
        <f>DATE(2003,10,22)</f>
        <v>37916</v>
      </c>
      <c r="B7053" s="3">
        <f>DATE(2003,12,29)</f>
        <v>37984</v>
      </c>
      <c r="C7053" s="2" t="s">
        <v>95</v>
      </c>
      <c r="D7053" s="2" t="s">
        <v>21328</v>
      </c>
      <c r="E7053" s="2" t="s">
        <v>21329</v>
      </c>
      <c r="F7053" s="4">
        <v>3577</v>
      </c>
      <c r="G7053" s="2" t="s">
        <v>50</v>
      </c>
      <c r="H7053" s="2" t="s">
        <v>34</v>
      </c>
      <c r="I7053" s="2" t="s">
        <v>21330</v>
      </c>
      <c r="J7053" s="2" t="s">
        <v>3322</v>
      </c>
      <c r="K7053" s="2" t="s">
        <v>223</v>
      </c>
      <c r="L7053" s="2" t="s">
        <v>34</v>
      </c>
      <c r="M7053" s="2"/>
      <c r="N7053" s="2"/>
      <c r="O7053" s="2"/>
      <c r="P7053" s="2" t="s">
        <v>21331</v>
      </c>
      <c r="Q7053" s="6">
        <v>100</v>
      </c>
      <c r="R7053" s="6">
        <v>5.78</v>
      </c>
      <c r="S7053" s="5">
        <v>5.4</v>
      </c>
      <c r="T7053" s="7">
        <v>5.9550000000000001</v>
      </c>
      <c r="U7053" s="5">
        <v>2.7</v>
      </c>
      <c r="V7053" s="6">
        <v>0.87</v>
      </c>
      <c r="W7053" s="5">
        <v>5.6</v>
      </c>
      <c r="X7053" s="6">
        <v>5.58</v>
      </c>
      <c r="Y7053" s="6">
        <v>6.04</v>
      </c>
      <c r="Z7053" s="4">
        <v>6</v>
      </c>
      <c r="AA7053" s="6">
        <v>5.91</v>
      </c>
      <c r="AB7053" s="7">
        <v>8.8819999999999997</v>
      </c>
      <c r="AC7053" s="2"/>
    </row>
    <row r="7054" spans="1:29" ht="208" x14ac:dyDescent="0.15">
      <c r="A7054" s="3">
        <f>DATE(2003,10,22)</f>
        <v>37916</v>
      </c>
      <c r="B7054" s="3">
        <f>DATE(2004,3,26)</f>
        <v>38072</v>
      </c>
      <c r="C7054" s="2" t="s">
        <v>95</v>
      </c>
      <c r="D7054" s="2" t="s">
        <v>21332</v>
      </c>
      <c r="E7054" s="2" t="s">
        <v>21333</v>
      </c>
      <c r="F7054" s="4">
        <v>7322</v>
      </c>
      <c r="G7054" s="2" t="s">
        <v>223</v>
      </c>
      <c r="H7054" s="2" t="s">
        <v>34</v>
      </c>
      <c r="I7054" s="2" t="s">
        <v>14369</v>
      </c>
      <c r="J7054" s="2" t="s">
        <v>14370</v>
      </c>
      <c r="K7054" s="2" t="s">
        <v>223</v>
      </c>
      <c r="L7054" s="2" t="s">
        <v>34</v>
      </c>
      <c r="M7054" s="7">
        <v>655.47199999999998</v>
      </c>
      <c r="N7054" s="6">
        <v>24.54</v>
      </c>
      <c r="O7054" s="6">
        <v>24.35</v>
      </c>
      <c r="P7054" s="2" t="s">
        <v>21334</v>
      </c>
      <c r="Q7054" s="6">
        <v>37</v>
      </c>
      <c r="R7054" s="6">
        <v>8.11</v>
      </c>
      <c r="S7054" s="5">
        <v>6.4</v>
      </c>
      <c r="T7054" s="6">
        <v>10.72</v>
      </c>
      <c r="U7054" s="5">
        <v>5.2</v>
      </c>
      <c r="V7054" s="6">
        <v>0.48</v>
      </c>
      <c r="W7054" s="5">
        <v>6.3</v>
      </c>
      <c r="X7054" s="4">
        <v>6</v>
      </c>
      <c r="Y7054" s="6">
        <v>6.43</v>
      </c>
      <c r="Z7054" s="6">
        <v>7.15</v>
      </c>
      <c r="AA7054" s="6">
        <v>13.58</v>
      </c>
      <c r="AB7054" s="7">
        <v>17.245999999999999</v>
      </c>
      <c r="AC7054" s="6">
        <v>51.49</v>
      </c>
    </row>
    <row r="7055" spans="1:29" ht="117" x14ac:dyDescent="0.15">
      <c r="A7055" s="3">
        <f>DATE(2003,10,22)</f>
        <v>37916</v>
      </c>
      <c r="B7055" s="3">
        <f>DATE(2004,3,17)</f>
        <v>38063</v>
      </c>
      <c r="C7055" s="2" t="s">
        <v>95</v>
      </c>
      <c r="D7055" s="2" t="s">
        <v>21335</v>
      </c>
      <c r="E7055" s="2" t="s">
        <v>21336</v>
      </c>
      <c r="F7055" s="4">
        <v>7372</v>
      </c>
      <c r="G7055" s="2" t="s">
        <v>551</v>
      </c>
      <c r="H7055" s="2" t="s">
        <v>34</v>
      </c>
      <c r="I7055" s="2" t="s">
        <v>21337</v>
      </c>
      <c r="J7055" s="2" t="s">
        <v>21338</v>
      </c>
      <c r="K7055" s="2" t="s">
        <v>551</v>
      </c>
      <c r="L7055" s="2" t="s">
        <v>34</v>
      </c>
      <c r="M7055" s="7">
        <v>500.21899999999999</v>
      </c>
      <c r="N7055" s="6">
        <v>41.02</v>
      </c>
      <c r="O7055" s="6">
        <v>31.38</v>
      </c>
      <c r="P7055" s="2" t="s">
        <v>21339</v>
      </c>
      <c r="Q7055" s="6">
        <v>100</v>
      </c>
      <c r="R7055" s="6">
        <v>16.059999999999999</v>
      </c>
      <c r="S7055" s="5">
        <v>9.5</v>
      </c>
      <c r="T7055" s="7">
        <v>16.855</v>
      </c>
      <c r="U7055" s="5">
        <v>3.4</v>
      </c>
      <c r="V7055" s="6">
        <v>0.26</v>
      </c>
      <c r="W7055" s="6">
        <v>11.23</v>
      </c>
      <c r="X7055" s="6">
        <v>11.21</v>
      </c>
      <c r="Y7055" s="6">
        <v>11.25</v>
      </c>
      <c r="Z7055" s="6">
        <v>11.61</v>
      </c>
      <c r="AA7055" s="6">
        <v>26.66</v>
      </c>
      <c r="AB7055" s="7">
        <v>45.512</v>
      </c>
      <c r="AC7055" s="6">
        <v>124.98</v>
      </c>
    </row>
    <row r="7056" spans="1:29" ht="39" x14ac:dyDescent="0.15">
      <c r="A7056" s="3">
        <f>DATE(2003,10,24)</f>
        <v>37918</v>
      </c>
      <c r="B7056" s="2"/>
      <c r="C7056" s="2" t="s">
        <v>39</v>
      </c>
      <c r="D7056" s="2" t="s">
        <v>5691</v>
      </c>
      <c r="E7056" s="2" t="s">
        <v>5692</v>
      </c>
      <c r="F7056" s="4">
        <v>4813</v>
      </c>
      <c r="G7056" s="2" t="s">
        <v>63</v>
      </c>
      <c r="H7056" s="2" t="s">
        <v>34</v>
      </c>
      <c r="I7056" s="2" t="s">
        <v>4375</v>
      </c>
      <c r="J7056" s="2" t="s">
        <v>1604</v>
      </c>
      <c r="K7056" s="2" t="s">
        <v>63</v>
      </c>
      <c r="L7056" s="2" t="s">
        <v>34</v>
      </c>
      <c r="M7056" s="12">
        <v>43597.667999999998</v>
      </c>
      <c r="N7056" s="6">
        <v>25.83</v>
      </c>
      <c r="O7056" s="6">
        <v>25.65</v>
      </c>
      <c r="P7056" s="2" t="s">
        <v>21340</v>
      </c>
      <c r="Q7056" s="2"/>
      <c r="R7056" s="2"/>
      <c r="S7056" s="5">
        <v>702</v>
      </c>
      <c r="T7056" s="8">
        <v>7538</v>
      </c>
      <c r="U7056" s="5">
        <v>17.2</v>
      </c>
      <c r="V7056" s="6">
        <v>20.440000000000001</v>
      </c>
      <c r="W7056" s="6">
        <v>20.12</v>
      </c>
      <c r="X7056" s="6">
        <v>19.16</v>
      </c>
      <c r="Y7056" s="5">
        <v>19.899999999999999</v>
      </c>
      <c r="Z7056" s="6">
        <v>19.79</v>
      </c>
      <c r="AA7056" s="6">
        <v>788.06</v>
      </c>
      <c r="AB7056" s="2" t="s">
        <v>47</v>
      </c>
      <c r="AC7056" s="8">
        <v>5025</v>
      </c>
    </row>
    <row r="7057" spans="1:29" ht="130" x14ac:dyDescent="0.15">
      <c r="A7057" s="3">
        <f>DATE(2003,10,24)</f>
        <v>37918</v>
      </c>
      <c r="B7057" s="2"/>
      <c r="C7057" s="2" t="s">
        <v>30</v>
      </c>
      <c r="D7057" s="2" t="s">
        <v>21023</v>
      </c>
      <c r="E7057" s="2" t="s">
        <v>21024</v>
      </c>
      <c r="F7057" s="4">
        <v>3577</v>
      </c>
      <c r="G7057" s="2" t="s">
        <v>50</v>
      </c>
      <c r="H7057" s="2" t="s">
        <v>34</v>
      </c>
      <c r="I7057" s="2" t="s">
        <v>21341</v>
      </c>
      <c r="J7057" s="2" t="s">
        <v>21342</v>
      </c>
      <c r="K7057" s="2" t="s">
        <v>551</v>
      </c>
      <c r="L7057" s="2" t="s">
        <v>34</v>
      </c>
      <c r="M7057" s="2"/>
      <c r="N7057" s="2"/>
      <c r="O7057" s="2"/>
      <c r="P7057" s="2" t="s">
        <v>21343</v>
      </c>
      <c r="Q7057" s="2"/>
      <c r="R7057" s="6">
        <v>3.75</v>
      </c>
      <c r="S7057" s="5">
        <v>-4.9000000000000004</v>
      </c>
      <c r="T7057" s="7">
        <v>66.894999999999996</v>
      </c>
      <c r="U7057" s="5">
        <v>6.9</v>
      </c>
      <c r="V7057" s="6">
        <v>-0.16</v>
      </c>
      <c r="W7057" s="6">
        <v>3.38</v>
      </c>
      <c r="X7057" s="6">
        <v>2.98</v>
      </c>
      <c r="Y7057" s="6">
        <v>3.93</v>
      </c>
      <c r="Z7057" s="6">
        <v>3.93</v>
      </c>
      <c r="AA7057" s="6">
        <v>30.18</v>
      </c>
      <c r="AB7057" s="7">
        <v>25.166</v>
      </c>
      <c r="AC7057" s="2"/>
    </row>
    <row r="7058" spans="1:29" ht="117" x14ac:dyDescent="0.15">
      <c r="A7058" s="3">
        <f t="shared" ref="A7058:A7063" si="154">DATE(2003,10,27)</f>
        <v>37921</v>
      </c>
      <c r="B7058" s="3">
        <f>DATE(2004,4,1)</f>
        <v>38078</v>
      </c>
      <c r="C7058" s="2" t="s">
        <v>95</v>
      </c>
      <c r="D7058" s="2" t="s">
        <v>17747</v>
      </c>
      <c r="E7058" s="2" t="s">
        <v>263</v>
      </c>
      <c r="F7058" s="4">
        <v>6021</v>
      </c>
      <c r="G7058" s="2" t="s">
        <v>37</v>
      </c>
      <c r="H7058" s="2" t="s">
        <v>34</v>
      </c>
      <c r="I7058" s="2" t="s">
        <v>21344</v>
      </c>
      <c r="J7058" s="2" t="s">
        <v>21345</v>
      </c>
      <c r="K7058" s="2" t="s">
        <v>37</v>
      </c>
      <c r="L7058" s="2" t="s">
        <v>34</v>
      </c>
      <c r="M7058" s="12">
        <v>117657.257</v>
      </c>
      <c r="N7058" s="6">
        <v>73.569999999999993</v>
      </c>
      <c r="O7058" s="6">
        <v>72.849999999999994</v>
      </c>
      <c r="P7058" s="2" t="s">
        <v>21346</v>
      </c>
      <c r="Q7058" s="6">
        <v>100</v>
      </c>
      <c r="R7058" s="6">
        <v>45.46</v>
      </c>
      <c r="S7058" s="8">
        <v>2164</v>
      </c>
      <c r="T7058" s="2"/>
      <c r="U7058" s="5">
        <v>16.5</v>
      </c>
      <c r="V7058" s="6">
        <v>2</v>
      </c>
      <c r="W7058" s="5">
        <v>32.700000000000003</v>
      </c>
      <c r="X7058" s="5">
        <v>31.8</v>
      </c>
      <c r="Y7058" s="5">
        <v>39.200000000000003</v>
      </c>
      <c r="Z7058" s="5">
        <v>38.799999999999997</v>
      </c>
      <c r="AA7058" s="10">
        <v>1052.28</v>
      </c>
      <c r="AB7058" s="7">
        <v>23.988</v>
      </c>
      <c r="AC7058" s="2"/>
    </row>
    <row r="7059" spans="1:29" ht="130" x14ac:dyDescent="0.15">
      <c r="A7059" s="3">
        <f t="shared" si="154"/>
        <v>37921</v>
      </c>
      <c r="B7059" s="3">
        <f>DATE(2004,2,10)</f>
        <v>38027</v>
      </c>
      <c r="C7059" s="2" t="s">
        <v>95</v>
      </c>
      <c r="D7059" s="2" t="s">
        <v>21347</v>
      </c>
      <c r="E7059" s="2" t="s">
        <v>21348</v>
      </c>
      <c r="F7059" s="4">
        <v>6324</v>
      </c>
      <c r="G7059" s="2" t="s">
        <v>125</v>
      </c>
      <c r="H7059" s="2" t="s">
        <v>34</v>
      </c>
      <c r="I7059" s="2" t="s">
        <v>21349</v>
      </c>
      <c r="J7059" s="2" t="s">
        <v>21350</v>
      </c>
      <c r="K7059" s="2" t="s">
        <v>125</v>
      </c>
      <c r="L7059" s="2" t="s">
        <v>34</v>
      </c>
      <c r="M7059" s="12">
        <v>29083.794999999998</v>
      </c>
      <c r="N7059" s="5">
        <v>52.4</v>
      </c>
      <c r="O7059" s="6">
        <v>52.35</v>
      </c>
      <c r="P7059" s="2" t="s">
        <v>21351</v>
      </c>
      <c r="Q7059" s="6">
        <v>100</v>
      </c>
      <c r="R7059" s="6">
        <v>62.49</v>
      </c>
      <c r="S7059" s="5">
        <v>157</v>
      </c>
      <c r="T7059" s="7">
        <v>238.64099999999999</v>
      </c>
      <c r="U7059" s="5">
        <v>9.4</v>
      </c>
      <c r="V7059" s="6">
        <v>3.79</v>
      </c>
      <c r="W7059" s="6">
        <v>54.72</v>
      </c>
      <c r="X7059" s="6">
        <v>53.88</v>
      </c>
      <c r="Y7059" s="6">
        <v>59.62</v>
      </c>
      <c r="Z7059" s="5">
        <v>59.8</v>
      </c>
      <c r="AA7059" s="6">
        <v>41.36</v>
      </c>
      <c r="AB7059" s="7">
        <v>11.538</v>
      </c>
      <c r="AC7059" s="8">
        <v>2067</v>
      </c>
    </row>
    <row r="7060" spans="1:29" ht="130" x14ac:dyDescent="0.15">
      <c r="A7060" s="3">
        <f t="shared" si="154"/>
        <v>37921</v>
      </c>
      <c r="B7060" s="3">
        <f>DATE(2004,7,1)</f>
        <v>38169</v>
      </c>
      <c r="C7060" s="2" t="s">
        <v>95</v>
      </c>
      <c r="D7060" s="2" t="s">
        <v>21352</v>
      </c>
      <c r="E7060" s="2" t="s">
        <v>1181</v>
      </c>
      <c r="F7060" s="4">
        <v>6021</v>
      </c>
      <c r="G7060" s="2" t="s">
        <v>37</v>
      </c>
      <c r="H7060" s="2" t="s">
        <v>34</v>
      </c>
      <c r="I7060" s="2" t="s">
        <v>13374</v>
      </c>
      <c r="J7060" s="2" t="s">
        <v>36</v>
      </c>
      <c r="K7060" s="2" t="s">
        <v>37</v>
      </c>
      <c r="L7060" s="2" t="s">
        <v>34</v>
      </c>
      <c r="M7060" s="7">
        <v>231.501</v>
      </c>
      <c r="N7060" s="6">
        <v>15.55</v>
      </c>
      <c r="O7060" s="6">
        <v>15.93</v>
      </c>
      <c r="P7060" s="2" t="s">
        <v>21353</v>
      </c>
      <c r="Q7060" s="6">
        <v>100</v>
      </c>
      <c r="R7060" s="6">
        <v>69.98</v>
      </c>
      <c r="S7060" s="2"/>
      <c r="T7060" s="2"/>
      <c r="U7060" s="2"/>
      <c r="V7060" s="2"/>
      <c r="W7060" s="6">
        <v>41.75</v>
      </c>
      <c r="X7060" s="6">
        <v>41.85</v>
      </c>
      <c r="Y7060" s="4">
        <v>69</v>
      </c>
      <c r="Z7060" s="6">
        <v>68.150000000000006</v>
      </c>
      <c r="AA7060" s="6">
        <v>1.36</v>
      </c>
      <c r="AB7060" s="2" t="s">
        <v>47</v>
      </c>
      <c r="AC7060" s="2"/>
    </row>
    <row r="7061" spans="1:29" ht="104" x14ac:dyDescent="0.15">
      <c r="A7061" s="3">
        <f t="shared" si="154"/>
        <v>37921</v>
      </c>
      <c r="B7061" s="3">
        <f>DATE(2004,2,17)</f>
        <v>38034</v>
      </c>
      <c r="C7061" s="2" t="s">
        <v>95</v>
      </c>
      <c r="D7061" s="2" t="s">
        <v>21354</v>
      </c>
      <c r="E7061" s="2" t="s">
        <v>21355</v>
      </c>
      <c r="F7061" s="4">
        <v>7372</v>
      </c>
      <c r="G7061" s="2" t="s">
        <v>551</v>
      </c>
      <c r="H7061" s="2" t="s">
        <v>34</v>
      </c>
      <c r="I7061" s="2" t="s">
        <v>17338</v>
      </c>
      <c r="J7061" s="2" t="s">
        <v>17339</v>
      </c>
      <c r="K7061" s="2" t="s">
        <v>551</v>
      </c>
      <c r="L7061" s="2" t="s">
        <v>34</v>
      </c>
      <c r="M7061" s="12">
        <v>9672.9330000000009</v>
      </c>
      <c r="N7061" s="6">
        <v>65.45</v>
      </c>
      <c r="O7061" s="6">
        <v>67.41</v>
      </c>
      <c r="P7061" s="2" t="s">
        <v>21356</v>
      </c>
      <c r="Q7061" s="6">
        <v>100</v>
      </c>
      <c r="R7061" s="6">
        <v>4</v>
      </c>
      <c r="S7061" s="5">
        <v>-2</v>
      </c>
      <c r="T7061" s="6">
        <v>0.27</v>
      </c>
      <c r="U7061" s="5">
        <v>0.3</v>
      </c>
      <c r="V7061" s="6">
        <v>-0.09</v>
      </c>
      <c r="W7061" s="6">
        <v>3.44</v>
      </c>
      <c r="X7061" s="6">
        <v>3.45</v>
      </c>
      <c r="Y7061" s="6">
        <v>3.93</v>
      </c>
      <c r="Z7061" s="6">
        <v>3.92</v>
      </c>
      <c r="AA7061" s="6">
        <v>23.84</v>
      </c>
      <c r="AB7061" s="2" t="s">
        <v>86</v>
      </c>
      <c r="AC7061" s="10">
        <v>2026.57</v>
      </c>
    </row>
    <row r="7062" spans="1:29" ht="117" x14ac:dyDescent="0.15">
      <c r="A7062" s="3">
        <f t="shared" si="154"/>
        <v>37921</v>
      </c>
      <c r="B7062" s="3">
        <f>DATE(2004,3,1)</f>
        <v>38047</v>
      </c>
      <c r="C7062" s="2" t="s">
        <v>95</v>
      </c>
      <c r="D7062" s="2" t="s">
        <v>21357</v>
      </c>
      <c r="E7062" s="2" t="s">
        <v>21358</v>
      </c>
      <c r="F7062" s="4">
        <v>7371</v>
      </c>
      <c r="G7062" s="2" t="s">
        <v>223</v>
      </c>
      <c r="H7062" s="2" t="s">
        <v>34</v>
      </c>
      <c r="I7062" s="2" t="s">
        <v>19000</v>
      </c>
      <c r="J7062" s="2" t="s">
        <v>1464</v>
      </c>
      <c r="K7062" s="2" t="s">
        <v>223</v>
      </c>
      <c r="L7062" s="2" t="s">
        <v>34</v>
      </c>
      <c r="M7062" s="7">
        <v>490.68700000000001</v>
      </c>
      <c r="N7062" s="5">
        <v>9.3000000000000007</v>
      </c>
      <c r="O7062" s="6">
        <v>9.49</v>
      </c>
      <c r="P7062" s="2" t="s">
        <v>21359</v>
      </c>
      <c r="Q7062" s="6">
        <v>100</v>
      </c>
      <c r="R7062" s="6">
        <v>2.13</v>
      </c>
      <c r="S7062" s="5">
        <v>1.9</v>
      </c>
      <c r="T7062" s="7">
        <v>10.428000000000001</v>
      </c>
      <c r="U7062" s="5">
        <v>0.9</v>
      </c>
      <c r="V7062" s="6">
        <v>7.0000000000000007E-2</v>
      </c>
      <c r="W7062" s="4">
        <v>2</v>
      </c>
      <c r="X7062" s="5">
        <v>1.9</v>
      </c>
      <c r="Y7062" s="6">
        <v>2.0499999999999998</v>
      </c>
      <c r="Z7062" s="6">
        <v>2.0299999999999998</v>
      </c>
      <c r="AA7062" s="6">
        <v>25.29</v>
      </c>
      <c r="AB7062" s="7">
        <v>17.815999999999999</v>
      </c>
      <c r="AC7062" s="6">
        <v>4.7699999999999996</v>
      </c>
    </row>
    <row r="7063" spans="1:29" ht="130" x14ac:dyDescent="0.15">
      <c r="A7063" s="3">
        <f t="shared" si="154"/>
        <v>37921</v>
      </c>
      <c r="B7063" s="3">
        <f>DATE(2004,11,30)</f>
        <v>38321</v>
      </c>
      <c r="C7063" s="2" t="s">
        <v>95</v>
      </c>
      <c r="D7063" s="2" t="s">
        <v>19426</v>
      </c>
      <c r="E7063" s="2" t="s">
        <v>4335</v>
      </c>
      <c r="F7063" s="4">
        <v>6324</v>
      </c>
      <c r="G7063" s="2" t="s">
        <v>125</v>
      </c>
      <c r="H7063" s="2" t="s">
        <v>34</v>
      </c>
      <c r="I7063" s="2" t="s">
        <v>9822</v>
      </c>
      <c r="J7063" s="2" t="s">
        <v>5189</v>
      </c>
      <c r="K7063" s="2" t="s">
        <v>454</v>
      </c>
      <c r="L7063" s="2" t="s">
        <v>34</v>
      </c>
      <c r="M7063" s="12">
        <v>9730.1679999999997</v>
      </c>
      <c r="N7063" s="6">
        <v>71.05</v>
      </c>
      <c r="O7063" s="6">
        <v>69.05</v>
      </c>
      <c r="P7063" s="2" t="s">
        <v>21360</v>
      </c>
      <c r="Q7063" s="6">
        <v>100</v>
      </c>
      <c r="R7063" s="6">
        <v>101.06</v>
      </c>
      <c r="S7063" s="5">
        <v>843.7</v>
      </c>
      <c r="T7063" s="12">
        <v>1645.2940000000001</v>
      </c>
      <c r="U7063" s="5">
        <v>33.299999999999997</v>
      </c>
      <c r="V7063" s="6">
        <v>5.61</v>
      </c>
      <c r="W7063" s="6">
        <v>83.32</v>
      </c>
      <c r="X7063" s="6">
        <v>83.93</v>
      </c>
      <c r="Y7063" s="6">
        <v>91.09</v>
      </c>
      <c r="Z7063" s="6">
        <v>89.95</v>
      </c>
      <c r="AA7063" s="6">
        <v>153.93</v>
      </c>
      <c r="AB7063" s="7">
        <v>6.5209999999999999</v>
      </c>
      <c r="AC7063" s="5">
        <v>670.1</v>
      </c>
    </row>
    <row r="7064" spans="1:29" ht="104" x14ac:dyDescent="0.15">
      <c r="A7064" s="3">
        <f>DATE(2003,10,28)</f>
        <v>37922</v>
      </c>
      <c r="B7064" s="2"/>
      <c r="C7064" s="2" t="s">
        <v>7330</v>
      </c>
      <c r="D7064" s="2" t="s">
        <v>17367</v>
      </c>
      <c r="E7064" s="2" t="s">
        <v>17368</v>
      </c>
      <c r="F7064" s="4">
        <v>8742</v>
      </c>
      <c r="G7064" s="2" t="s">
        <v>223</v>
      </c>
      <c r="H7064" s="2" t="s">
        <v>34</v>
      </c>
      <c r="I7064" s="2" t="s">
        <v>21361</v>
      </c>
      <c r="J7064" s="2" t="s">
        <v>1620</v>
      </c>
      <c r="K7064" s="2" t="s">
        <v>53</v>
      </c>
      <c r="L7064" s="2" t="s">
        <v>34</v>
      </c>
      <c r="M7064" s="2"/>
      <c r="N7064" s="2"/>
      <c r="O7064" s="2"/>
      <c r="P7064" s="2" t="s">
        <v>21362</v>
      </c>
      <c r="Q7064" s="2"/>
      <c r="R7064" s="6">
        <v>2.87</v>
      </c>
      <c r="S7064" s="5">
        <v>0</v>
      </c>
      <c r="T7064" s="7">
        <v>3.5419999999999998</v>
      </c>
      <c r="U7064" s="5">
        <v>1.8</v>
      </c>
      <c r="V7064" s="2"/>
      <c r="W7064" s="6">
        <v>1.45</v>
      </c>
      <c r="X7064" s="6">
        <v>1.45</v>
      </c>
      <c r="Y7064" s="6">
        <v>2.4500000000000002</v>
      </c>
      <c r="Z7064" s="5">
        <v>2.5</v>
      </c>
      <c r="AA7064" s="6">
        <v>5.57</v>
      </c>
      <c r="AB7064" s="7">
        <v>22.99</v>
      </c>
      <c r="AC7064" s="2"/>
    </row>
    <row r="7065" spans="1:29" ht="65" x14ac:dyDescent="0.15">
      <c r="A7065" s="3">
        <f>DATE(2003,10,29)</f>
        <v>37923</v>
      </c>
      <c r="B7065" s="3">
        <f>DATE(2003,11,3)</f>
        <v>37928</v>
      </c>
      <c r="C7065" s="2" t="s">
        <v>95</v>
      </c>
      <c r="D7065" s="2" t="s">
        <v>21363</v>
      </c>
      <c r="E7065" s="2" t="s">
        <v>21364</v>
      </c>
      <c r="F7065" s="4">
        <v>5961</v>
      </c>
      <c r="G7065" s="2" t="s">
        <v>73</v>
      </c>
      <c r="H7065" s="2" t="s">
        <v>34</v>
      </c>
      <c r="I7065" s="2" t="s">
        <v>21365</v>
      </c>
      <c r="J7065" s="2" t="s">
        <v>849</v>
      </c>
      <c r="K7065" s="2" t="s">
        <v>551</v>
      </c>
      <c r="L7065" s="2" t="s">
        <v>902</v>
      </c>
      <c r="M7065" s="2"/>
      <c r="N7065" s="2"/>
      <c r="O7065" s="2"/>
      <c r="P7065" s="2" t="s">
        <v>21366</v>
      </c>
      <c r="Q7065" s="6">
        <v>100</v>
      </c>
      <c r="R7065" s="2"/>
      <c r="S7065" s="5">
        <v>6</v>
      </c>
      <c r="T7065" s="7">
        <v>6.3970000000000002</v>
      </c>
      <c r="U7065" s="5">
        <v>4.5</v>
      </c>
      <c r="V7065" s="6">
        <v>0.66</v>
      </c>
      <c r="W7065" s="5">
        <v>6.8</v>
      </c>
      <c r="X7065" s="6">
        <v>6.15</v>
      </c>
      <c r="Y7065" s="6">
        <v>6.33</v>
      </c>
      <c r="Z7065" s="6">
        <v>6.14</v>
      </c>
      <c r="AA7065" s="6">
        <v>8.52</v>
      </c>
      <c r="AB7065" s="2" t="s">
        <v>47</v>
      </c>
      <c r="AC7065" s="2"/>
    </row>
    <row r="7066" spans="1:29" ht="143" x14ac:dyDescent="0.15">
      <c r="A7066" s="3">
        <f>DATE(2003,10,30)</f>
        <v>37924</v>
      </c>
      <c r="B7066" s="2"/>
      <c r="C7066" s="2" t="s">
        <v>30</v>
      </c>
      <c r="D7066" s="2" t="s">
        <v>21367</v>
      </c>
      <c r="E7066" s="2" t="s">
        <v>21368</v>
      </c>
      <c r="F7066" s="4">
        <v>3663</v>
      </c>
      <c r="G7066" s="2" t="s">
        <v>921</v>
      </c>
      <c r="H7066" s="2" t="s">
        <v>34</v>
      </c>
      <c r="I7066" s="2" t="s">
        <v>21369</v>
      </c>
      <c r="J7066" s="2" t="s">
        <v>21370</v>
      </c>
      <c r="K7066" s="2" t="s">
        <v>76</v>
      </c>
      <c r="L7066" s="2" t="s">
        <v>34</v>
      </c>
      <c r="M7066" s="6">
        <v>53.86</v>
      </c>
      <c r="N7066" s="6">
        <v>3.95</v>
      </c>
      <c r="O7066" s="6">
        <v>4.1500000000000004</v>
      </c>
      <c r="P7066" s="2" t="s">
        <v>21371</v>
      </c>
      <c r="Q7066" s="2"/>
      <c r="R7066" s="6">
        <v>4.74</v>
      </c>
      <c r="S7066" s="5">
        <v>0.6</v>
      </c>
      <c r="T7066" s="7">
        <v>1.3360000000000001</v>
      </c>
      <c r="U7066" s="5">
        <v>1.3</v>
      </c>
      <c r="V7066" s="6">
        <v>0.28999999999999998</v>
      </c>
      <c r="W7066" s="6">
        <v>3.57</v>
      </c>
      <c r="X7066" s="6">
        <v>3.57</v>
      </c>
      <c r="Y7066" s="6">
        <v>3.75</v>
      </c>
      <c r="Z7066" s="6">
        <v>4.49</v>
      </c>
      <c r="AA7066" s="6">
        <v>2.1800000000000002</v>
      </c>
      <c r="AB7066" s="7">
        <v>11.015000000000001</v>
      </c>
      <c r="AC7066" s="6">
        <v>7.65</v>
      </c>
    </row>
    <row r="7067" spans="1:29" ht="104" x14ac:dyDescent="0.15">
      <c r="A7067" s="3">
        <f>DATE(2003,10,31)</f>
        <v>37925</v>
      </c>
      <c r="B7067" s="3">
        <f>DATE(2004,1,29)</f>
        <v>38015</v>
      </c>
      <c r="C7067" s="2" t="s">
        <v>95</v>
      </c>
      <c r="D7067" s="2" t="s">
        <v>17881</v>
      </c>
      <c r="E7067" s="2" t="s">
        <v>17882</v>
      </c>
      <c r="F7067" s="4">
        <v>2752</v>
      </c>
      <c r="G7067" s="2" t="s">
        <v>186</v>
      </c>
      <c r="H7067" s="2" t="s">
        <v>34</v>
      </c>
      <c r="I7067" s="2" t="s">
        <v>51</v>
      </c>
      <c r="J7067" s="2" t="s">
        <v>52</v>
      </c>
      <c r="K7067" s="2" t="s">
        <v>53</v>
      </c>
      <c r="L7067" s="2" t="s">
        <v>34</v>
      </c>
      <c r="M7067" s="2"/>
      <c r="N7067" s="2"/>
      <c r="O7067" s="2"/>
      <c r="P7067" s="2" t="s">
        <v>21372</v>
      </c>
      <c r="Q7067" s="6">
        <v>100</v>
      </c>
      <c r="R7067" s="6">
        <v>4</v>
      </c>
      <c r="S7067" s="5">
        <v>-2.5</v>
      </c>
      <c r="T7067" s="2"/>
      <c r="U7067" s="5">
        <v>4.5</v>
      </c>
      <c r="V7067" s="6">
        <v>-0.21</v>
      </c>
      <c r="W7067" s="6">
        <v>2.2200000000000002</v>
      </c>
      <c r="X7067" s="6">
        <v>2.37</v>
      </c>
      <c r="Y7067" s="6">
        <v>2.27</v>
      </c>
      <c r="Z7067" s="6">
        <v>3.93</v>
      </c>
      <c r="AA7067" s="6">
        <v>13.23</v>
      </c>
      <c r="AB7067" s="2" t="s">
        <v>86</v>
      </c>
      <c r="AC7067" s="2"/>
    </row>
    <row r="7068" spans="1:29" ht="91" x14ac:dyDescent="0.15">
      <c r="A7068" s="3">
        <f>DATE(2003,10,31)</f>
        <v>37925</v>
      </c>
      <c r="B7068" s="2"/>
      <c r="C7068" s="2" t="s">
        <v>7330</v>
      </c>
      <c r="D7068" s="2" t="s">
        <v>21373</v>
      </c>
      <c r="E7068" s="2" t="s">
        <v>21374</v>
      </c>
      <c r="F7068" s="4">
        <v>6411</v>
      </c>
      <c r="G7068" s="2" t="s">
        <v>125</v>
      </c>
      <c r="H7068" s="2" t="s">
        <v>34</v>
      </c>
      <c r="I7068" s="2" t="s">
        <v>21375</v>
      </c>
      <c r="J7068" s="2" t="s">
        <v>244</v>
      </c>
      <c r="K7068" s="2" t="s">
        <v>53</v>
      </c>
      <c r="L7068" s="2" t="s">
        <v>34</v>
      </c>
      <c r="M7068" s="2"/>
      <c r="N7068" s="2"/>
      <c r="O7068" s="2"/>
      <c r="P7068" s="2" t="s">
        <v>21376</v>
      </c>
      <c r="Q7068" s="2"/>
      <c r="R7068" s="2"/>
      <c r="S7068" s="5">
        <v>6.7</v>
      </c>
      <c r="T7068" s="7">
        <v>17.021000000000001</v>
      </c>
      <c r="U7068" s="5">
        <v>3.9</v>
      </c>
      <c r="V7068" s="6">
        <v>0.88</v>
      </c>
      <c r="W7068" s="6">
        <v>13.17</v>
      </c>
      <c r="X7068" s="6">
        <v>13.75</v>
      </c>
      <c r="Y7068" s="6">
        <v>15.01</v>
      </c>
      <c r="Z7068" s="6">
        <v>15.97</v>
      </c>
      <c r="AA7068" s="6">
        <v>7.65</v>
      </c>
      <c r="AB7068" s="7">
        <v>18.902999999999999</v>
      </c>
      <c r="AC7068" s="2"/>
    </row>
    <row r="7069" spans="1:29" ht="143" x14ac:dyDescent="0.15">
      <c r="A7069" s="3">
        <f>DATE(2003,10,31)</f>
        <v>37925</v>
      </c>
      <c r="B7069" s="3">
        <f>DATE(2004,1,22)</f>
        <v>38008</v>
      </c>
      <c r="C7069" s="2" t="s">
        <v>95</v>
      </c>
      <c r="D7069" s="2" t="s">
        <v>14082</v>
      </c>
      <c r="E7069" s="2" t="s">
        <v>3812</v>
      </c>
      <c r="F7069" s="4">
        <v>2834</v>
      </c>
      <c r="G7069" s="2" t="s">
        <v>130</v>
      </c>
      <c r="H7069" s="2" t="s">
        <v>34</v>
      </c>
      <c r="I7069" s="2" t="s">
        <v>7461</v>
      </c>
      <c r="J7069" s="2" t="s">
        <v>7462</v>
      </c>
      <c r="K7069" s="2" t="s">
        <v>130</v>
      </c>
      <c r="L7069" s="2" t="s">
        <v>4242</v>
      </c>
      <c r="M7069" s="12">
        <v>10965.476000000001</v>
      </c>
      <c r="N7069" s="7">
        <v>57.820999999999998</v>
      </c>
      <c r="O7069" s="7">
        <v>58.546999999999997</v>
      </c>
      <c r="P7069" s="2" t="s">
        <v>21377</v>
      </c>
      <c r="Q7069" s="6">
        <v>100</v>
      </c>
      <c r="R7069" s="6">
        <v>27.5</v>
      </c>
      <c r="S7069" s="5">
        <v>137.9</v>
      </c>
      <c r="T7069" s="7">
        <v>202.703</v>
      </c>
      <c r="U7069" s="5">
        <v>6.6</v>
      </c>
      <c r="V7069" s="6">
        <v>1.1399999999999999</v>
      </c>
      <c r="W7069" s="6">
        <v>25.49</v>
      </c>
      <c r="X7069" s="6">
        <v>24.97</v>
      </c>
      <c r="Y7069" s="6">
        <v>26.78</v>
      </c>
      <c r="Z7069" s="6">
        <v>27.08</v>
      </c>
      <c r="AA7069" s="6">
        <v>118.96</v>
      </c>
      <c r="AB7069" s="7">
        <v>18.076000000000001</v>
      </c>
      <c r="AC7069" s="10">
        <v>1126.28</v>
      </c>
    </row>
    <row r="7070" spans="1:29" ht="104" x14ac:dyDescent="0.15">
      <c r="A7070" s="3">
        <f>DATE(2003,11,3)</f>
        <v>37928</v>
      </c>
      <c r="B7070" s="2"/>
      <c r="C7070" s="2" t="s">
        <v>7330</v>
      </c>
      <c r="D7070" s="2" t="s">
        <v>21378</v>
      </c>
      <c r="E7070" s="2" t="s">
        <v>3536</v>
      </c>
      <c r="F7070" s="4">
        <v>6141</v>
      </c>
      <c r="G7070" s="2" t="s">
        <v>370</v>
      </c>
      <c r="H7070" s="2" t="s">
        <v>34</v>
      </c>
      <c r="I7070" s="2" t="s">
        <v>21379</v>
      </c>
      <c r="J7070" s="2" t="s">
        <v>2712</v>
      </c>
      <c r="K7070" s="2" t="s">
        <v>53</v>
      </c>
      <c r="L7070" s="2" t="s">
        <v>34</v>
      </c>
      <c r="M7070" s="2"/>
      <c r="N7070" s="2"/>
      <c r="O7070" s="2"/>
      <c r="P7070" s="2" t="s">
        <v>21380</v>
      </c>
      <c r="Q7070" s="2"/>
      <c r="R7070" s="6">
        <v>8.5</v>
      </c>
      <c r="S7070" s="5">
        <v>-1.1000000000000001</v>
      </c>
      <c r="T7070" s="6">
        <v>3.53</v>
      </c>
      <c r="U7070" s="5">
        <v>13.8</v>
      </c>
      <c r="V7070" s="6">
        <v>-0.21</v>
      </c>
      <c r="W7070" s="5">
        <v>6.4</v>
      </c>
      <c r="X7070" s="6">
        <v>6.12</v>
      </c>
      <c r="Y7070" s="5">
        <v>8.4</v>
      </c>
      <c r="Z7070" s="6">
        <v>8.42</v>
      </c>
      <c r="AA7070" s="6">
        <v>5.48</v>
      </c>
      <c r="AB7070" s="7">
        <v>174.55799999999999</v>
      </c>
      <c r="AC7070" s="2"/>
    </row>
    <row r="7071" spans="1:29" ht="156" x14ac:dyDescent="0.15">
      <c r="A7071" s="3">
        <f>DATE(2003,11,3)</f>
        <v>37928</v>
      </c>
      <c r="B7071" s="3">
        <f>DATE(2004,1,23)</f>
        <v>38009</v>
      </c>
      <c r="C7071" s="2" t="s">
        <v>95</v>
      </c>
      <c r="D7071" s="2" t="s">
        <v>15961</v>
      </c>
      <c r="E7071" s="2" t="s">
        <v>15962</v>
      </c>
      <c r="F7071" s="4">
        <v>3845</v>
      </c>
      <c r="G7071" s="2" t="s">
        <v>226</v>
      </c>
      <c r="H7071" s="2" t="s">
        <v>34</v>
      </c>
      <c r="I7071" s="2" t="s">
        <v>21381</v>
      </c>
      <c r="J7071" s="2" t="s">
        <v>21382</v>
      </c>
      <c r="K7071" s="2" t="s">
        <v>226</v>
      </c>
      <c r="L7071" s="2" t="s">
        <v>34</v>
      </c>
      <c r="M7071" s="7">
        <v>421.303</v>
      </c>
      <c r="N7071" s="6">
        <v>23.98</v>
      </c>
      <c r="O7071" s="6">
        <v>23.58</v>
      </c>
      <c r="P7071" s="2" t="s">
        <v>21383</v>
      </c>
      <c r="Q7071" s="6">
        <v>85.74</v>
      </c>
      <c r="R7071" s="6">
        <v>22</v>
      </c>
      <c r="S7071" s="5">
        <v>3.8</v>
      </c>
      <c r="T7071" s="7">
        <v>6.5940000000000003</v>
      </c>
      <c r="U7071" s="5">
        <v>7.7</v>
      </c>
      <c r="V7071" s="6">
        <v>0.56999999999999995</v>
      </c>
      <c r="W7071" s="6">
        <v>16.350000000000001</v>
      </c>
      <c r="X7071" s="6">
        <v>16.309999999999999</v>
      </c>
      <c r="Y7071" s="6">
        <v>16.63</v>
      </c>
      <c r="Z7071" s="5">
        <v>20.100000000000001</v>
      </c>
      <c r="AA7071" s="6">
        <v>5.97</v>
      </c>
      <c r="AB7071" s="7">
        <v>25.074999999999999</v>
      </c>
      <c r="AC7071" s="6">
        <v>99.15</v>
      </c>
    </row>
    <row r="7072" spans="1:29" ht="143" x14ac:dyDescent="0.15">
      <c r="A7072" s="3">
        <f>DATE(2003,11,3)</f>
        <v>37928</v>
      </c>
      <c r="B7072" s="3">
        <f>DATE(2004,4,30)</f>
        <v>38107</v>
      </c>
      <c r="C7072" s="2" t="s">
        <v>95</v>
      </c>
      <c r="D7072" s="2" t="s">
        <v>19938</v>
      </c>
      <c r="E7072" s="2" t="s">
        <v>263</v>
      </c>
      <c r="F7072" s="4">
        <v>6029</v>
      </c>
      <c r="G7072" s="2" t="s">
        <v>37</v>
      </c>
      <c r="H7072" s="2" t="s">
        <v>34</v>
      </c>
      <c r="I7072" s="2" t="s">
        <v>9405</v>
      </c>
      <c r="J7072" s="2" t="s">
        <v>159</v>
      </c>
      <c r="K7072" s="2" t="s">
        <v>37</v>
      </c>
      <c r="L7072" s="2" t="s">
        <v>34</v>
      </c>
      <c r="M7072" s="7">
        <v>740.21400000000006</v>
      </c>
      <c r="N7072" s="6">
        <v>30.13</v>
      </c>
      <c r="O7072" s="6">
        <v>30.14</v>
      </c>
      <c r="P7072" s="2" t="s">
        <v>21384</v>
      </c>
      <c r="Q7072" s="6">
        <v>100</v>
      </c>
      <c r="R7072" s="6">
        <v>44.89</v>
      </c>
      <c r="S7072" s="5">
        <v>12.1</v>
      </c>
      <c r="T7072" s="2"/>
      <c r="U7072" s="5">
        <v>14.4</v>
      </c>
      <c r="V7072" s="9">
        <v>1.9303999999999999</v>
      </c>
      <c r="W7072" s="6">
        <v>35.96</v>
      </c>
      <c r="X7072" s="6">
        <v>37.270000000000003</v>
      </c>
      <c r="Y7072" s="6">
        <v>43.14</v>
      </c>
      <c r="Z7072" s="6">
        <v>42.94</v>
      </c>
      <c r="AA7072" s="6">
        <v>6.07</v>
      </c>
      <c r="AB7072" s="7">
        <v>30.895</v>
      </c>
      <c r="AC7072" s="2"/>
    </row>
    <row r="7073" spans="1:29" ht="104" x14ac:dyDescent="0.15">
      <c r="A7073" s="3">
        <f>DATE(2003,11,4)</f>
        <v>37929</v>
      </c>
      <c r="B7073" s="3">
        <f>DATE(2004,6,1)</f>
        <v>38139</v>
      </c>
      <c r="C7073" s="2" t="s">
        <v>95</v>
      </c>
      <c r="D7073" s="2" t="s">
        <v>20794</v>
      </c>
      <c r="E7073" s="2" t="s">
        <v>20795</v>
      </c>
      <c r="F7073" s="4">
        <v>4813</v>
      </c>
      <c r="G7073" s="2" t="s">
        <v>63</v>
      </c>
      <c r="H7073" s="2" t="s">
        <v>34</v>
      </c>
      <c r="I7073" s="2" t="s">
        <v>21385</v>
      </c>
      <c r="J7073" s="2" t="s">
        <v>20795</v>
      </c>
      <c r="K7073" s="2" t="s">
        <v>63</v>
      </c>
      <c r="L7073" s="2" t="s">
        <v>902</v>
      </c>
      <c r="M7073" s="2"/>
      <c r="N7073" s="2"/>
      <c r="O7073" s="2"/>
      <c r="P7073" s="2" t="s">
        <v>21386</v>
      </c>
      <c r="Q7073" s="6">
        <v>100</v>
      </c>
      <c r="R7073" s="6">
        <v>2.31</v>
      </c>
      <c r="S7073" s="5">
        <v>-40.700000000000003</v>
      </c>
      <c r="T7073" s="7">
        <v>-16.155999999999999</v>
      </c>
      <c r="U7073" s="5">
        <v>1.8</v>
      </c>
      <c r="V7073" s="6">
        <v>-0.95</v>
      </c>
      <c r="W7073" s="5">
        <v>3.2</v>
      </c>
      <c r="X7073" s="6">
        <v>3.21</v>
      </c>
      <c r="Y7073" s="6">
        <v>3.98</v>
      </c>
      <c r="Z7073" s="6">
        <v>3.78</v>
      </c>
      <c r="AA7073" s="6">
        <v>43.18</v>
      </c>
      <c r="AB7073" s="2" t="s">
        <v>86</v>
      </c>
      <c r="AC7073" s="5">
        <v>28.1</v>
      </c>
    </row>
    <row r="7074" spans="1:29" ht="130" x14ac:dyDescent="0.15">
      <c r="A7074" s="3">
        <f>DATE(2003,11,4)</f>
        <v>37929</v>
      </c>
      <c r="B7074" s="3">
        <f>DATE(2003,12,19)</f>
        <v>37974</v>
      </c>
      <c r="C7074" s="2" t="s">
        <v>95</v>
      </c>
      <c r="D7074" s="2" t="s">
        <v>21387</v>
      </c>
      <c r="E7074" s="2" t="s">
        <v>5549</v>
      </c>
      <c r="F7074" s="4">
        <v>7372</v>
      </c>
      <c r="G7074" s="2" t="s">
        <v>551</v>
      </c>
      <c r="H7074" s="2" t="s">
        <v>34</v>
      </c>
      <c r="I7074" s="2" t="s">
        <v>21163</v>
      </c>
      <c r="J7074" s="2" t="s">
        <v>21164</v>
      </c>
      <c r="K7074" s="2" t="s">
        <v>551</v>
      </c>
      <c r="L7074" s="2" t="s">
        <v>34</v>
      </c>
      <c r="M7074" s="7">
        <v>128.61799999999999</v>
      </c>
      <c r="N7074" s="6">
        <v>4.97</v>
      </c>
      <c r="O7074" s="5">
        <v>4.9000000000000004</v>
      </c>
      <c r="P7074" s="2" t="s">
        <v>21388</v>
      </c>
      <c r="Q7074" s="6">
        <v>100</v>
      </c>
      <c r="R7074" s="6">
        <v>6.83</v>
      </c>
      <c r="S7074" s="5">
        <v>1.5</v>
      </c>
      <c r="T7074" s="7">
        <v>7.9180000000000001</v>
      </c>
      <c r="U7074" s="5">
        <v>3</v>
      </c>
      <c r="V7074" s="6">
        <v>0.15</v>
      </c>
      <c r="W7074" s="6">
        <v>5.0199999999999996</v>
      </c>
      <c r="X7074" s="6">
        <v>5.69</v>
      </c>
      <c r="Y7074" s="6">
        <v>6.64</v>
      </c>
      <c r="Z7074" s="6">
        <v>6.56</v>
      </c>
      <c r="AA7074" s="6">
        <v>10.220000000000001</v>
      </c>
      <c r="AB7074" s="7">
        <v>7.3890000000000002</v>
      </c>
      <c r="AC7074" s="6">
        <v>34.880000000000003</v>
      </c>
    </row>
    <row r="7075" spans="1:29" ht="130" x14ac:dyDescent="0.15">
      <c r="A7075" s="3">
        <f>DATE(2003,11,5)</f>
        <v>37930</v>
      </c>
      <c r="B7075" s="3">
        <f>DATE(2004,4,15)</f>
        <v>38092</v>
      </c>
      <c r="C7075" s="2" t="s">
        <v>95</v>
      </c>
      <c r="D7075" s="2" t="s">
        <v>21389</v>
      </c>
      <c r="E7075" s="2" t="s">
        <v>263</v>
      </c>
      <c r="F7075" s="4">
        <v>6021</v>
      </c>
      <c r="G7075" s="2" t="s">
        <v>37</v>
      </c>
      <c r="H7075" s="2" t="s">
        <v>34</v>
      </c>
      <c r="I7075" s="2" t="s">
        <v>21390</v>
      </c>
      <c r="J7075" s="2" t="s">
        <v>159</v>
      </c>
      <c r="K7075" s="2" t="s">
        <v>37</v>
      </c>
      <c r="L7075" s="2" t="s">
        <v>34</v>
      </c>
      <c r="M7075" s="7">
        <v>33.722999999999999</v>
      </c>
      <c r="N7075" s="6">
        <v>11.75</v>
      </c>
      <c r="O7075" s="5">
        <v>11.8</v>
      </c>
      <c r="P7075" s="2" t="s">
        <v>21391</v>
      </c>
      <c r="Q7075" s="6">
        <v>100</v>
      </c>
      <c r="R7075" s="6">
        <v>20.5</v>
      </c>
      <c r="S7075" s="5">
        <v>0.6</v>
      </c>
      <c r="T7075" s="2"/>
      <c r="U7075" s="5">
        <v>11.1</v>
      </c>
      <c r="V7075" s="9">
        <v>0.89859999999999995</v>
      </c>
      <c r="W7075" s="5">
        <v>16.7</v>
      </c>
      <c r="X7075" s="5">
        <v>16.7</v>
      </c>
      <c r="Y7075" s="5">
        <v>16.7</v>
      </c>
      <c r="Z7075" s="4">
        <v>20</v>
      </c>
      <c r="AA7075" s="6">
        <v>0.68</v>
      </c>
      <c r="AB7075" s="7">
        <v>19.297999999999998</v>
      </c>
      <c r="AC7075" s="2"/>
    </row>
    <row r="7076" spans="1:29" ht="104" x14ac:dyDescent="0.15">
      <c r="A7076" s="3">
        <f>DATE(2003,11,7)</f>
        <v>37932</v>
      </c>
      <c r="B7076" s="3">
        <f>DATE(2004,5,27)</f>
        <v>38134</v>
      </c>
      <c r="C7076" s="2" t="s">
        <v>95</v>
      </c>
      <c r="D7076" s="2" t="s">
        <v>17640</v>
      </c>
      <c r="E7076" s="2" t="s">
        <v>17641</v>
      </c>
      <c r="F7076" s="4">
        <v>5942</v>
      </c>
      <c r="G7076" s="2" t="s">
        <v>73</v>
      </c>
      <c r="H7076" s="2" t="s">
        <v>34</v>
      </c>
      <c r="I7076" s="2" t="s">
        <v>21107</v>
      </c>
      <c r="J7076" s="2" t="s">
        <v>21108</v>
      </c>
      <c r="K7076" s="2" t="s">
        <v>73</v>
      </c>
      <c r="L7076" s="2" t="s">
        <v>34</v>
      </c>
      <c r="M7076" s="10">
        <v>1878.58</v>
      </c>
      <c r="N7076" s="6">
        <v>30.61</v>
      </c>
      <c r="O7076" s="5">
        <v>30.2</v>
      </c>
      <c r="P7076" s="2" t="s">
        <v>21392</v>
      </c>
      <c r="Q7076" s="6">
        <v>25.2</v>
      </c>
      <c r="R7076" s="6">
        <v>3.05</v>
      </c>
      <c r="S7076" s="5">
        <v>-11.3</v>
      </c>
      <c r="T7076" s="7">
        <v>-19.378</v>
      </c>
      <c r="U7076" s="5">
        <v>0.3</v>
      </c>
      <c r="V7076" s="6">
        <v>-0.28000000000000003</v>
      </c>
      <c r="W7076" s="5">
        <v>2.2999999999999998</v>
      </c>
      <c r="X7076" s="6">
        <v>2.25</v>
      </c>
      <c r="Y7076" s="6">
        <v>2.83</v>
      </c>
      <c r="Z7076" s="6">
        <v>2.83</v>
      </c>
      <c r="AA7076" s="6">
        <v>159.28</v>
      </c>
      <c r="AB7076" s="2" t="s">
        <v>86</v>
      </c>
      <c r="AC7076" s="6">
        <v>136.66999999999999</v>
      </c>
    </row>
    <row r="7077" spans="1:29" ht="91" x14ac:dyDescent="0.15">
      <c r="A7077" s="3">
        <f>DATE(2003,11,10)</f>
        <v>37935</v>
      </c>
      <c r="B7077" s="3">
        <f>DATE(2005,1,1)</f>
        <v>38353</v>
      </c>
      <c r="C7077" s="2" t="s">
        <v>95</v>
      </c>
      <c r="D7077" s="2" t="s">
        <v>21393</v>
      </c>
      <c r="E7077" s="2" t="s">
        <v>124</v>
      </c>
      <c r="F7077" s="4">
        <v>6311</v>
      </c>
      <c r="G7077" s="2" t="s">
        <v>125</v>
      </c>
      <c r="H7077" s="2" t="s">
        <v>34</v>
      </c>
      <c r="I7077" s="2" t="s">
        <v>21394</v>
      </c>
      <c r="J7077" s="2" t="s">
        <v>21395</v>
      </c>
      <c r="K7077" s="2" t="s">
        <v>125</v>
      </c>
      <c r="L7077" s="2" t="s">
        <v>34</v>
      </c>
      <c r="M7077" s="2"/>
      <c r="N7077" s="2"/>
      <c r="O7077" s="2"/>
      <c r="P7077" s="2" t="s">
        <v>21396</v>
      </c>
      <c r="Q7077" s="6">
        <v>100</v>
      </c>
      <c r="R7077" s="6">
        <v>20.25</v>
      </c>
      <c r="S7077" s="5">
        <v>7.1</v>
      </c>
      <c r="T7077" s="2"/>
      <c r="U7077" s="5">
        <v>13.1</v>
      </c>
      <c r="V7077" s="6">
        <v>1.08</v>
      </c>
      <c r="W7077" s="6">
        <v>10.210000000000001</v>
      </c>
      <c r="X7077" s="5">
        <v>10.1</v>
      </c>
      <c r="Y7077" s="5">
        <v>17.7</v>
      </c>
      <c r="Z7077" s="6">
        <v>17.41</v>
      </c>
      <c r="AA7077" s="6">
        <v>6.32</v>
      </c>
      <c r="AB7077" s="7">
        <v>11.625999999999999</v>
      </c>
      <c r="AC7077" s="2"/>
    </row>
    <row r="7078" spans="1:29" ht="104" x14ac:dyDescent="0.15">
      <c r="A7078" s="3">
        <f>DATE(2003,11,10)</f>
        <v>37935</v>
      </c>
      <c r="B7078" s="3">
        <f>DATE(2004,5,28)</f>
        <v>38135</v>
      </c>
      <c r="C7078" s="2" t="s">
        <v>95</v>
      </c>
      <c r="D7078" s="2" t="s">
        <v>21397</v>
      </c>
      <c r="E7078" s="2" t="s">
        <v>263</v>
      </c>
      <c r="F7078" s="4">
        <v>6021</v>
      </c>
      <c r="G7078" s="2" t="s">
        <v>37</v>
      </c>
      <c r="H7078" s="2" t="s">
        <v>34</v>
      </c>
      <c r="I7078" s="2" t="s">
        <v>15033</v>
      </c>
      <c r="J7078" s="2" t="s">
        <v>36</v>
      </c>
      <c r="K7078" s="2" t="s">
        <v>33</v>
      </c>
      <c r="L7078" s="2" t="s">
        <v>34</v>
      </c>
      <c r="M7078" s="7">
        <v>293.21499999999997</v>
      </c>
      <c r="N7078" s="6">
        <v>19.55</v>
      </c>
      <c r="O7078" s="6">
        <v>18.68</v>
      </c>
      <c r="P7078" s="2" t="s">
        <v>21398</v>
      </c>
      <c r="Q7078" s="6">
        <v>100</v>
      </c>
      <c r="R7078" s="6">
        <v>21</v>
      </c>
      <c r="S7078" s="2"/>
      <c r="T7078" s="2"/>
      <c r="U7078" s="2"/>
      <c r="V7078" s="2"/>
      <c r="W7078" s="6">
        <v>20.05</v>
      </c>
      <c r="X7078" s="4">
        <v>20</v>
      </c>
      <c r="Y7078" s="5">
        <v>19.100000000000001</v>
      </c>
      <c r="Z7078" s="6">
        <v>20.74</v>
      </c>
      <c r="AA7078" s="6">
        <v>3.7</v>
      </c>
      <c r="AB7078" s="2" t="s">
        <v>47</v>
      </c>
      <c r="AC7078" s="2"/>
    </row>
    <row r="7079" spans="1:29" ht="104" x14ac:dyDescent="0.15">
      <c r="A7079" s="3">
        <f>DATE(2003,11,11)</f>
        <v>37936</v>
      </c>
      <c r="B7079" s="3">
        <f>DATE(2004,2,20)</f>
        <v>38037</v>
      </c>
      <c r="C7079" s="2" t="s">
        <v>95</v>
      </c>
      <c r="D7079" s="2" t="s">
        <v>21399</v>
      </c>
      <c r="E7079" s="2" t="s">
        <v>21400</v>
      </c>
      <c r="F7079" s="4">
        <v>3845</v>
      </c>
      <c r="G7079" s="2" t="s">
        <v>226</v>
      </c>
      <c r="H7079" s="2" t="s">
        <v>34</v>
      </c>
      <c r="I7079" s="2" t="s">
        <v>21401</v>
      </c>
      <c r="J7079" s="2" t="s">
        <v>21402</v>
      </c>
      <c r="K7079" s="2" t="s">
        <v>454</v>
      </c>
      <c r="L7079" s="2" t="s">
        <v>34</v>
      </c>
      <c r="M7079" s="7">
        <v>73.793999999999997</v>
      </c>
      <c r="N7079" s="6">
        <v>5.13</v>
      </c>
      <c r="O7079" s="6">
        <v>4.83</v>
      </c>
      <c r="P7079" s="2" t="s">
        <v>21403</v>
      </c>
      <c r="Q7079" s="6">
        <v>100</v>
      </c>
      <c r="R7079" s="6">
        <v>4.8899999999999997</v>
      </c>
      <c r="S7079" s="5">
        <v>-0.5</v>
      </c>
      <c r="T7079" s="7">
        <v>1.179</v>
      </c>
      <c r="U7079" s="5">
        <v>6.1</v>
      </c>
      <c r="V7079" s="6">
        <v>-0.12</v>
      </c>
      <c r="W7079" s="6">
        <v>3.96</v>
      </c>
      <c r="X7079" s="6">
        <v>3.97</v>
      </c>
      <c r="Y7079" s="6">
        <v>3.94</v>
      </c>
      <c r="Z7079" s="6">
        <v>4.6500000000000004</v>
      </c>
      <c r="AA7079" s="6">
        <v>3.66</v>
      </c>
      <c r="AB7079" s="2" t="s">
        <v>86</v>
      </c>
      <c r="AC7079" s="6">
        <v>8.6999999999999993</v>
      </c>
    </row>
    <row r="7080" spans="1:29" ht="130" x14ac:dyDescent="0.15">
      <c r="A7080" s="3">
        <f>DATE(2003,11,12)</f>
        <v>37937</v>
      </c>
      <c r="B7080" s="3">
        <f>DATE(2004,1,12)</f>
        <v>37998</v>
      </c>
      <c r="C7080" s="2" t="s">
        <v>95</v>
      </c>
      <c r="D7080" s="2" t="s">
        <v>21404</v>
      </c>
      <c r="E7080" s="2" t="s">
        <v>21405</v>
      </c>
      <c r="F7080" s="4">
        <v>6159</v>
      </c>
      <c r="G7080" s="2" t="s">
        <v>370</v>
      </c>
      <c r="H7080" s="2" t="s">
        <v>34</v>
      </c>
      <c r="I7080" s="2" t="s">
        <v>21406</v>
      </c>
      <c r="J7080" s="2" t="s">
        <v>4060</v>
      </c>
      <c r="K7080" s="2" t="s">
        <v>53</v>
      </c>
      <c r="L7080" s="2" t="s">
        <v>34</v>
      </c>
      <c r="M7080" s="2"/>
      <c r="N7080" s="2"/>
      <c r="O7080" s="2"/>
      <c r="P7080" s="2" t="s">
        <v>21407</v>
      </c>
      <c r="Q7080" s="6">
        <v>100</v>
      </c>
      <c r="R7080" s="6">
        <v>14.5</v>
      </c>
      <c r="S7080" s="5">
        <v>2.2999999999999998</v>
      </c>
      <c r="T7080" s="7">
        <v>48.188000000000002</v>
      </c>
      <c r="U7080" s="5">
        <v>8.6999999999999993</v>
      </c>
      <c r="V7080" s="6">
        <v>0.51</v>
      </c>
      <c r="W7080" s="6">
        <v>9.0500000000000007</v>
      </c>
      <c r="X7080" s="6">
        <v>9.09</v>
      </c>
      <c r="Y7080" s="6">
        <v>14.26</v>
      </c>
      <c r="Z7080" s="6">
        <v>14.25</v>
      </c>
      <c r="AA7080" s="6">
        <v>4.13</v>
      </c>
      <c r="AB7080" s="7">
        <v>17.664000000000001</v>
      </c>
      <c r="AC7080" s="2"/>
    </row>
    <row r="7081" spans="1:29" ht="104" x14ac:dyDescent="0.15">
      <c r="A7081" s="3">
        <f>DATE(2003,11,12)</f>
        <v>37937</v>
      </c>
      <c r="B7081" s="3">
        <f>DATE(2004,1,12)</f>
        <v>37998</v>
      </c>
      <c r="C7081" s="2" t="s">
        <v>95</v>
      </c>
      <c r="D7081" s="2" t="s">
        <v>21408</v>
      </c>
      <c r="E7081" s="2" t="s">
        <v>21409</v>
      </c>
      <c r="F7081" s="4">
        <v>3669</v>
      </c>
      <c r="G7081" s="2" t="s">
        <v>921</v>
      </c>
      <c r="H7081" s="2" t="s">
        <v>34</v>
      </c>
      <c r="I7081" s="2" t="s">
        <v>7444</v>
      </c>
      <c r="J7081" s="2" t="s">
        <v>7445</v>
      </c>
      <c r="K7081" s="2" t="s">
        <v>50</v>
      </c>
      <c r="L7081" s="2" t="s">
        <v>34</v>
      </c>
      <c r="M7081" s="12">
        <v>146173.01500000001</v>
      </c>
      <c r="N7081" s="6">
        <v>22.97</v>
      </c>
      <c r="O7081" s="5">
        <v>22.7</v>
      </c>
      <c r="P7081" s="2" t="s">
        <v>21410</v>
      </c>
      <c r="Q7081" s="6">
        <v>100</v>
      </c>
      <c r="R7081" s="6">
        <v>3.95</v>
      </c>
      <c r="S7081" s="5">
        <v>-3.1</v>
      </c>
      <c r="T7081" s="6">
        <v>-2.58</v>
      </c>
      <c r="U7081" s="5">
        <v>1.2</v>
      </c>
      <c r="V7081" s="6">
        <v>-0.17</v>
      </c>
      <c r="W7081" s="5">
        <v>2.8</v>
      </c>
      <c r="X7081" s="6">
        <v>3.05</v>
      </c>
      <c r="Y7081" s="6">
        <v>3.89</v>
      </c>
      <c r="Z7081" s="6">
        <v>3.89</v>
      </c>
      <c r="AA7081" s="6">
        <v>19.5</v>
      </c>
      <c r="AB7081" s="2" t="s">
        <v>86</v>
      </c>
      <c r="AC7081" s="8">
        <v>8995</v>
      </c>
    </row>
    <row r="7082" spans="1:29" ht="65" x14ac:dyDescent="0.15">
      <c r="A7082" s="3">
        <f>DATE(2003,11,13)</f>
        <v>37938</v>
      </c>
      <c r="B7082" s="3">
        <f>DATE(2004,4,1)</f>
        <v>38078</v>
      </c>
      <c r="C7082" s="2" t="s">
        <v>95</v>
      </c>
      <c r="D7082" s="2" t="s">
        <v>21411</v>
      </c>
      <c r="E7082" s="2" t="s">
        <v>263</v>
      </c>
      <c r="F7082" s="4">
        <v>6035</v>
      </c>
      <c r="G7082" s="2" t="s">
        <v>33</v>
      </c>
      <c r="H7082" s="2" t="s">
        <v>34</v>
      </c>
      <c r="I7082" s="2" t="s">
        <v>21412</v>
      </c>
      <c r="J7082" s="2" t="s">
        <v>36</v>
      </c>
      <c r="K7082" s="2" t="s">
        <v>37</v>
      </c>
      <c r="L7082" s="2" t="s">
        <v>34</v>
      </c>
      <c r="M7082" s="7">
        <v>51.703000000000003</v>
      </c>
      <c r="N7082" s="6">
        <v>27.85</v>
      </c>
      <c r="O7082" s="6">
        <v>27.51</v>
      </c>
      <c r="P7082" s="2" t="s">
        <v>21413</v>
      </c>
      <c r="Q7082" s="6">
        <v>100</v>
      </c>
      <c r="R7082" s="6">
        <v>19</v>
      </c>
      <c r="S7082" s="5">
        <v>-0.1</v>
      </c>
      <c r="T7082" s="2"/>
      <c r="U7082" s="5">
        <v>17.899999999999999</v>
      </c>
      <c r="V7082" s="6">
        <v>-0.09</v>
      </c>
      <c r="W7082" s="5">
        <v>20.399999999999999</v>
      </c>
      <c r="X7082" s="5">
        <v>20.399999999999999</v>
      </c>
      <c r="Y7082" s="5">
        <v>20.399999999999999</v>
      </c>
      <c r="Z7082" s="6">
        <v>18.649999999999999</v>
      </c>
      <c r="AA7082" s="6">
        <v>0.91</v>
      </c>
      <c r="AB7082" s="2" t="s">
        <v>86</v>
      </c>
      <c r="AC7082" s="2"/>
    </row>
    <row r="7083" spans="1:29" ht="91" x14ac:dyDescent="0.15">
      <c r="A7083" s="3">
        <f>DATE(2003,11,14)</f>
        <v>37939</v>
      </c>
      <c r="B7083" s="2"/>
      <c r="C7083" s="2" t="s">
        <v>30</v>
      </c>
      <c r="D7083" s="2" t="s">
        <v>21262</v>
      </c>
      <c r="E7083" s="2" t="s">
        <v>21414</v>
      </c>
      <c r="F7083" s="4">
        <v>2399</v>
      </c>
      <c r="G7083" s="2" t="s">
        <v>708</v>
      </c>
      <c r="H7083" s="2" t="s">
        <v>34</v>
      </c>
      <c r="I7083" s="2" t="s">
        <v>9298</v>
      </c>
      <c r="J7083" s="2" t="s">
        <v>9299</v>
      </c>
      <c r="K7083" s="2" t="s">
        <v>53</v>
      </c>
      <c r="L7083" s="2" t="s">
        <v>34</v>
      </c>
      <c r="M7083" s="7">
        <v>126.142</v>
      </c>
      <c r="N7083" s="6">
        <v>50.75</v>
      </c>
      <c r="O7083" s="6">
        <v>50.24</v>
      </c>
      <c r="P7083" s="2" t="s">
        <v>21415</v>
      </c>
      <c r="Q7083" s="2"/>
      <c r="R7083" s="6">
        <v>11.49</v>
      </c>
      <c r="S7083" s="5">
        <v>7.5</v>
      </c>
      <c r="T7083" s="7">
        <v>26.619</v>
      </c>
      <c r="U7083" s="5">
        <v>11.6</v>
      </c>
      <c r="V7083" s="6">
        <v>1.52</v>
      </c>
      <c r="W7083" s="5">
        <v>11.6</v>
      </c>
      <c r="X7083" s="6">
        <v>12.55</v>
      </c>
      <c r="Y7083" s="6">
        <v>12.25</v>
      </c>
      <c r="Z7083" s="6">
        <v>12.25</v>
      </c>
      <c r="AA7083" s="6">
        <v>4.9800000000000004</v>
      </c>
      <c r="AB7083" s="7">
        <v>4.92</v>
      </c>
      <c r="AC7083" s="6">
        <v>82.64</v>
      </c>
    </row>
    <row r="7084" spans="1:29" ht="104" x14ac:dyDescent="0.15">
      <c r="A7084" s="3">
        <f>DATE(2003,11,14)</f>
        <v>37939</v>
      </c>
      <c r="B7084" s="3">
        <f>DATE(2004,6,10)</f>
        <v>38148</v>
      </c>
      <c r="C7084" s="2" t="s">
        <v>95</v>
      </c>
      <c r="D7084" s="2" t="s">
        <v>20818</v>
      </c>
      <c r="E7084" s="2" t="s">
        <v>20819</v>
      </c>
      <c r="F7084" s="2" t="s">
        <v>20820</v>
      </c>
      <c r="G7084" s="2" t="s">
        <v>426</v>
      </c>
      <c r="H7084" s="2" t="s">
        <v>34</v>
      </c>
      <c r="I7084" s="2" t="s">
        <v>21416</v>
      </c>
      <c r="J7084" s="2" t="s">
        <v>612</v>
      </c>
      <c r="K7084" s="2" t="s">
        <v>148</v>
      </c>
      <c r="L7084" s="2" t="s">
        <v>34</v>
      </c>
      <c r="M7084" s="2"/>
      <c r="N7084" s="2"/>
      <c r="O7084" s="2"/>
      <c r="P7084" s="2" t="s">
        <v>21417</v>
      </c>
      <c r="Q7084" s="6">
        <v>100</v>
      </c>
      <c r="R7084" s="6">
        <v>12.25</v>
      </c>
      <c r="S7084" s="5">
        <v>3.5</v>
      </c>
      <c r="T7084" s="7">
        <v>13.317</v>
      </c>
      <c r="U7084" s="5">
        <v>10.3</v>
      </c>
      <c r="V7084" s="6">
        <v>0.67</v>
      </c>
      <c r="W7084" s="6">
        <v>10.039999999999999</v>
      </c>
      <c r="X7084" s="6">
        <v>10.050000000000001</v>
      </c>
      <c r="Y7084" s="5">
        <v>10.1</v>
      </c>
      <c r="Z7084" s="6">
        <v>12.06</v>
      </c>
      <c r="AA7084" s="6">
        <v>5.16</v>
      </c>
      <c r="AB7084" s="7">
        <v>13.215999999999999</v>
      </c>
      <c r="AC7084" s="2"/>
    </row>
    <row r="7085" spans="1:29" ht="195" x14ac:dyDescent="0.15">
      <c r="A7085" s="3">
        <f>DATE(2003,11,17)</f>
        <v>37942</v>
      </c>
      <c r="B7085" s="3">
        <f>DATE(2004,4,1)</f>
        <v>38078</v>
      </c>
      <c r="C7085" s="2" t="s">
        <v>95</v>
      </c>
      <c r="D7085" s="2" t="s">
        <v>21418</v>
      </c>
      <c r="E7085" s="2" t="s">
        <v>13752</v>
      </c>
      <c r="F7085" s="4">
        <v>6331</v>
      </c>
      <c r="G7085" s="2" t="s">
        <v>125</v>
      </c>
      <c r="H7085" s="2" t="s">
        <v>34</v>
      </c>
      <c r="I7085" s="2" t="s">
        <v>11339</v>
      </c>
      <c r="J7085" s="2" t="s">
        <v>515</v>
      </c>
      <c r="K7085" s="2" t="s">
        <v>125</v>
      </c>
      <c r="L7085" s="2" t="s">
        <v>34</v>
      </c>
      <c r="M7085" s="12">
        <v>8282.0810000000001</v>
      </c>
      <c r="N7085" s="6">
        <v>37.74</v>
      </c>
      <c r="O7085" s="5">
        <v>36.799999999999997</v>
      </c>
      <c r="P7085" s="2" t="s">
        <v>21419</v>
      </c>
      <c r="Q7085" s="6">
        <v>100</v>
      </c>
      <c r="R7085" s="6">
        <v>15.94</v>
      </c>
      <c r="S7085" s="5">
        <v>413.9</v>
      </c>
      <c r="T7085" s="2"/>
      <c r="U7085" s="5">
        <v>11.4</v>
      </c>
      <c r="V7085" s="6">
        <v>0.35</v>
      </c>
      <c r="W7085" s="5">
        <v>16.2</v>
      </c>
      <c r="X7085" s="6">
        <v>16.03</v>
      </c>
      <c r="Y7085" s="6">
        <v>16.03</v>
      </c>
      <c r="Z7085" s="6">
        <v>15.73</v>
      </c>
      <c r="AA7085" s="10">
        <v>1004.56</v>
      </c>
      <c r="AB7085" s="7">
        <v>30.044</v>
      </c>
      <c r="AC7085" s="5">
        <v>253</v>
      </c>
    </row>
    <row r="7086" spans="1:29" ht="91" x14ac:dyDescent="0.15">
      <c r="A7086" s="3">
        <f>DATE(2003,11,18)</f>
        <v>37943</v>
      </c>
      <c r="B7086" s="3">
        <f>DATE(2004,5,25)</f>
        <v>38132</v>
      </c>
      <c r="C7086" s="2" t="s">
        <v>95</v>
      </c>
      <c r="D7086" s="2" t="s">
        <v>21420</v>
      </c>
      <c r="E7086" s="2" t="s">
        <v>612</v>
      </c>
      <c r="F7086" s="4">
        <v>1311</v>
      </c>
      <c r="G7086" s="2" t="s">
        <v>148</v>
      </c>
      <c r="H7086" s="2" t="s">
        <v>34</v>
      </c>
      <c r="I7086" s="2" t="s">
        <v>21421</v>
      </c>
      <c r="J7086" s="2" t="s">
        <v>1435</v>
      </c>
      <c r="K7086" s="2" t="s">
        <v>148</v>
      </c>
      <c r="L7086" s="2" t="s">
        <v>34</v>
      </c>
      <c r="M7086" s="2"/>
      <c r="N7086" s="2"/>
      <c r="O7086" s="2"/>
      <c r="P7086" s="2" t="s">
        <v>21422</v>
      </c>
      <c r="Q7086" s="6">
        <v>100</v>
      </c>
      <c r="R7086" s="2"/>
      <c r="S7086" s="5">
        <v>-5.6</v>
      </c>
      <c r="T7086" s="7">
        <v>5.5819999999999999</v>
      </c>
      <c r="U7086" s="5">
        <v>3.8</v>
      </c>
      <c r="V7086" s="6">
        <v>-0.96</v>
      </c>
      <c r="W7086" s="6">
        <v>1.72</v>
      </c>
      <c r="X7086" s="6">
        <v>2.21</v>
      </c>
      <c r="Y7086" s="6">
        <v>1.85</v>
      </c>
      <c r="Z7086" s="6">
        <v>1.77</v>
      </c>
      <c r="AA7086" s="6">
        <v>15.15</v>
      </c>
      <c r="AB7086" s="7">
        <v>522.75</v>
      </c>
      <c r="AC7086" s="2"/>
    </row>
    <row r="7087" spans="1:29" ht="130" x14ac:dyDescent="0.15">
      <c r="A7087" s="3">
        <f>DATE(2003,11,18)</f>
        <v>37943</v>
      </c>
      <c r="B7087" s="3">
        <f>DATE(2004,9,10)</f>
        <v>38240</v>
      </c>
      <c r="C7087" s="2" t="s">
        <v>95</v>
      </c>
      <c r="D7087" s="2" t="s">
        <v>21423</v>
      </c>
      <c r="E7087" s="2" t="s">
        <v>263</v>
      </c>
      <c r="F7087" s="4">
        <v>6022</v>
      </c>
      <c r="G7087" s="2" t="s">
        <v>37</v>
      </c>
      <c r="H7087" s="2" t="s">
        <v>34</v>
      </c>
      <c r="I7087" s="2" t="s">
        <v>21424</v>
      </c>
      <c r="J7087" s="2" t="s">
        <v>159</v>
      </c>
      <c r="K7087" s="2" t="s">
        <v>37</v>
      </c>
      <c r="L7087" s="2" t="s">
        <v>34</v>
      </c>
      <c r="M7087" s="7">
        <v>48.418999999999997</v>
      </c>
      <c r="N7087" s="6">
        <v>36.85</v>
      </c>
      <c r="O7087" s="4">
        <v>37</v>
      </c>
      <c r="P7087" s="2" t="s">
        <v>21425</v>
      </c>
      <c r="Q7087" s="6">
        <v>100</v>
      </c>
      <c r="R7087" s="6">
        <v>80.47</v>
      </c>
      <c r="S7087" s="2"/>
      <c r="T7087" s="2"/>
      <c r="U7087" s="2"/>
      <c r="V7087" s="2"/>
      <c r="W7087" s="4">
        <v>47</v>
      </c>
      <c r="X7087" s="4">
        <v>47</v>
      </c>
      <c r="Y7087" s="4">
        <v>47</v>
      </c>
      <c r="Z7087" s="4">
        <v>47</v>
      </c>
      <c r="AA7087" s="6">
        <v>0.19</v>
      </c>
      <c r="AB7087" s="2" t="s">
        <v>47</v>
      </c>
      <c r="AC7087" s="2"/>
    </row>
    <row r="7088" spans="1:29" ht="221" x14ac:dyDescent="0.15">
      <c r="A7088" s="3">
        <f>DATE(2003,11,18)</f>
        <v>37943</v>
      </c>
      <c r="B7088" s="3">
        <f>DATE(2004,4,2)</f>
        <v>38079</v>
      </c>
      <c r="C7088" s="2" t="s">
        <v>95</v>
      </c>
      <c r="D7088" s="2" t="s">
        <v>21426</v>
      </c>
      <c r="E7088" s="2" t="s">
        <v>21427</v>
      </c>
      <c r="F7088" s="4">
        <v>7389</v>
      </c>
      <c r="G7088" s="2" t="s">
        <v>223</v>
      </c>
      <c r="H7088" s="2" t="s">
        <v>34</v>
      </c>
      <c r="I7088" s="2" t="s">
        <v>14369</v>
      </c>
      <c r="J7088" s="2" t="s">
        <v>14370</v>
      </c>
      <c r="K7088" s="2" t="s">
        <v>223</v>
      </c>
      <c r="L7088" s="2" t="s">
        <v>34</v>
      </c>
      <c r="M7088" s="7">
        <v>646.90200000000004</v>
      </c>
      <c r="N7088" s="6">
        <v>23.12</v>
      </c>
      <c r="O7088" s="6">
        <v>22.05</v>
      </c>
      <c r="P7088" s="2" t="s">
        <v>21428</v>
      </c>
      <c r="Q7088" s="6">
        <v>100</v>
      </c>
      <c r="R7088" s="6">
        <v>5.16</v>
      </c>
      <c r="S7088" s="5">
        <v>-23.9</v>
      </c>
      <c r="T7088" s="7">
        <v>2.847</v>
      </c>
      <c r="U7088" s="5">
        <v>1.2</v>
      </c>
      <c r="V7088" s="6">
        <v>-1.67</v>
      </c>
      <c r="W7088" s="6">
        <v>4.0599999999999996</v>
      </c>
      <c r="X7088" s="6">
        <v>4.24</v>
      </c>
      <c r="Y7088" s="5">
        <v>4.3</v>
      </c>
      <c r="Z7088" s="6">
        <v>4.8899999999999997</v>
      </c>
      <c r="AA7088" s="6">
        <v>13.8</v>
      </c>
      <c r="AB7088" s="2" t="s">
        <v>86</v>
      </c>
      <c r="AC7088" s="6">
        <v>51.49</v>
      </c>
    </row>
    <row r="7089" spans="1:29" ht="65" x14ac:dyDescent="0.15">
      <c r="A7089" s="3">
        <f>DATE(2003,11,18)</f>
        <v>37943</v>
      </c>
      <c r="B7089" s="3">
        <f>DATE(2004,3,12)</f>
        <v>38058</v>
      </c>
      <c r="C7089" s="2" t="s">
        <v>95</v>
      </c>
      <c r="D7089" s="2" t="s">
        <v>14382</v>
      </c>
      <c r="E7089" s="2" t="s">
        <v>203</v>
      </c>
      <c r="F7089" s="4">
        <v>6035</v>
      </c>
      <c r="G7089" s="2" t="s">
        <v>33</v>
      </c>
      <c r="H7089" s="2" t="s">
        <v>34</v>
      </c>
      <c r="I7089" s="2" t="s">
        <v>21429</v>
      </c>
      <c r="J7089" s="2" t="s">
        <v>36</v>
      </c>
      <c r="K7089" s="2" t="s">
        <v>37</v>
      </c>
      <c r="L7089" s="2" t="s">
        <v>34</v>
      </c>
      <c r="M7089" s="2"/>
      <c r="N7089" s="2"/>
      <c r="O7089" s="2"/>
      <c r="P7089" s="2" t="s">
        <v>21430</v>
      </c>
      <c r="Q7089" s="6">
        <v>100</v>
      </c>
      <c r="R7089" s="6">
        <v>13.47</v>
      </c>
      <c r="S7089" s="5">
        <v>0</v>
      </c>
      <c r="T7089" s="2"/>
      <c r="U7089" s="5">
        <v>10.7</v>
      </c>
      <c r="V7089" s="6">
        <v>0.01</v>
      </c>
      <c r="W7089" s="6">
        <v>12.25</v>
      </c>
      <c r="X7089" s="6">
        <v>12.25</v>
      </c>
      <c r="Y7089" s="6">
        <v>12.49</v>
      </c>
      <c r="Z7089" s="6">
        <v>13.28</v>
      </c>
      <c r="AA7089" s="6">
        <v>1.29</v>
      </c>
      <c r="AB7089" s="2" t="s">
        <v>86</v>
      </c>
      <c r="AC7089" s="2"/>
    </row>
    <row r="7090" spans="1:29" ht="78" x14ac:dyDescent="0.15">
      <c r="A7090" s="3">
        <f>DATE(2003,11,19)</f>
        <v>37944</v>
      </c>
      <c r="B7090" s="2"/>
      <c r="C7090" s="2" t="s">
        <v>7330</v>
      </c>
      <c r="D7090" s="2" t="s">
        <v>21431</v>
      </c>
      <c r="E7090" s="2" t="s">
        <v>21432</v>
      </c>
      <c r="F7090" s="4">
        <v>4612</v>
      </c>
      <c r="G7090" s="2" t="s">
        <v>148</v>
      </c>
      <c r="H7090" s="2" t="s">
        <v>34</v>
      </c>
      <c r="I7090" s="2" t="s">
        <v>21433</v>
      </c>
      <c r="J7090" s="2" t="s">
        <v>21434</v>
      </c>
      <c r="K7090" s="2" t="s">
        <v>148</v>
      </c>
      <c r="L7090" s="2" t="s">
        <v>34</v>
      </c>
      <c r="M7090" s="2"/>
      <c r="N7090" s="2"/>
      <c r="O7090" s="2"/>
      <c r="P7090" s="2" t="s">
        <v>21435</v>
      </c>
      <c r="Q7090" s="2"/>
      <c r="R7090" s="6">
        <v>90</v>
      </c>
      <c r="S7090" s="2"/>
      <c r="T7090" s="2"/>
      <c r="U7090" s="2"/>
      <c r="V7090" s="2"/>
      <c r="W7090" s="4">
        <v>135</v>
      </c>
      <c r="X7090" s="4">
        <v>122</v>
      </c>
      <c r="Y7090" s="4">
        <v>122</v>
      </c>
      <c r="Z7090" s="4">
        <v>122</v>
      </c>
      <c r="AA7090" s="6">
        <v>0.11</v>
      </c>
      <c r="AB7090" s="2" t="s">
        <v>47</v>
      </c>
      <c r="AC7090" s="2"/>
    </row>
    <row r="7091" spans="1:29" ht="104" x14ac:dyDescent="0.15">
      <c r="A7091" s="3">
        <f>DATE(2003,11,19)</f>
        <v>37944</v>
      </c>
      <c r="B7091" s="3">
        <f>DATE(2004,1,15)</f>
        <v>38001</v>
      </c>
      <c r="C7091" s="2" t="s">
        <v>95</v>
      </c>
      <c r="D7091" s="2" t="s">
        <v>21436</v>
      </c>
      <c r="E7091" s="2" t="s">
        <v>21302</v>
      </c>
      <c r="F7091" s="4">
        <v>6211</v>
      </c>
      <c r="G7091" s="2" t="s">
        <v>53</v>
      </c>
      <c r="H7091" s="2" t="s">
        <v>34</v>
      </c>
      <c r="I7091" s="2" t="s">
        <v>16085</v>
      </c>
      <c r="J7091" s="2" t="s">
        <v>367</v>
      </c>
      <c r="K7091" s="2" t="s">
        <v>53</v>
      </c>
      <c r="L7091" s="2" t="s">
        <v>34</v>
      </c>
      <c r="M7091" s="12">
        <v>17567.873</v>
      </c>
      <c r="N7091" s="6">
        <v>11.34</v>
      </c>
      <c r="O7091" s="6">
        <v>11.33</v>
      </c>
      <c r="P7091" s="2" t="s">
        <v>21437</v>
      </c>
      <c r="Q7091" s="6">
        <v>100</v>
      </c>
      <c r="R7091" s="6">
        <v>15.5</v>
      </c>
      <c r="S7091" s="5">
        <v>-179.8</v>
      </c>
      <c r="T7091" s="7">
        <v>-20.428000000000001</v>
      </c>
      <c r="U7091" s="5">
        <v>10.1</v>
      </c>
      <c r="V7091" s="6">
        <v>-9.49</v>
      </c>
      <c r="W7091" s="4">
        <v>12</v>
      </c>
      <c r="X7091" s="6">
        <v>13.25</v>
      </c>
      <c r="Y7091" s="6">
        <v>15.41</v>
      </c>
      <c r="Z7091" s="6">
        <v>15.41</v>
      </c>
      <c r="AA7091" s="6">
        <v>20.73</v>
      </c>
      <c r="AB7091" s="2" t="s">
        <v>86</v>
      </c>
      <c r="AC7091" s="8">
        <v>7043</v>
      </c>
    </row>
    <row r="7092" spans="1:29" ht="65" x14ac:dyDescent="0.15">
      <c r="A7092" s="3">
        <f>DATE(2003,11,20)</f>
        <v>37945</v>
      </c>
      <c r="B7092" s="2"/>
      <c r="C7092" s="2" t="s">
        <v>30</v>
      </c>
      <c r="D7092" s="2" t="s">
        <v>7872</v>
      </c>
      <c r="E7092" s="2" t="s">
        <v>7873</v>
      </c>
      <c r="F7092" s="4">
        <v>7832</v>
      </c>
      <c r="G7092" s="2" t="s">
        <v>42</v>
      </c>
      <c r="H7092" s="2" t="s">
        <v>34</v>
      </c>
      <c r="I7092" s="2" t="s">
        <v>21438</v>
      </c>
      <c r="J7092" s="2" t="s">
        <v>21439</v>
      </c>
      <c r="K7092" s="2" t="s">
        <v>42</v>
      </c>
      <c r="L7092" s="2" t="s">
        <v>34</v>
      </c>
      <c r="M7092" s="2"/>
      <c r="N7092" s="2"/>
      <c r="O7092" s="2"/>
      <c r="P7092" s="2" t="s">
        <v>21440</v>
      </c>
      <c r="Q7092" s="2"/>
      <c r="R7092" s="2"/>
      <c r="S7092" s="5">
        <v>0.8</v>
      </c>
      <c r="T7092" s="7">
        <v>278.92200000000003</v>
      </c>
      <c r="U7092" s="5">
        <v>0.6</v>
      </c>
      <c r="V7092" s="6">
        <v>-0.81</v>
      </c>
      <c r="W7092" s="6">
        <v>14.98</v>
      </c>
      <c r="X7092" s="5">
        <v>14.3</v>
      </c>
      <c r="Y7092" s="6">
        <v>14.27</v>
      </c>
      <c r="Z7092" s="6">
        <v>14.35</v>
      </c>
      <c r="AA7092" s="6">
        <v>33.700000000000003</v>
      </c>
      <c r="AB7092" s="2" t="s">
        <v>47</v>
      </c>
      <c r="AC7092" s="6">
        <v>55.56</v>
      </c>
    </row>
    <row r="7093" spans="1:29" ht="78" x14ac:dyDescent="0.15">
      <c r="A7093" s="3">
        <f>DATE(2003,11,20)</f>
        <v>37945</v>
      </c>
      <c r="B7093" s="3">
        <f>DATE(2004,4,9)</f>
        <v>38086</v>
      </c>
      <c r="C7093" s="2" t="s">
        <v>95</v>
      </c>
      <c r="D7093" s="2" t="s">
        <v>17348</v>
      </c>
      <c r="E7093" s="2" t="s">
        <v>265</v>
      </c>
      <c r="F7093" s="4">
        <v>6021</v>
      </c>
      <c r="G7093" s="2" t="s">
        <v>37</v>
      </c>
      <c r="H7093" s="2" t="s">
        <v>34</v>
      </c>
      <c r="I7093" s="2" t="s">
        <v>158</v>
      </c>
      <c r="J7093" s="2" t="s">
        <v>159</v>
      </c>
      <c r="K7093" s="2" t="s">
        <v>37</v>
      </c>
      <c r="L7093" s="2" t="s">
        <v>34</v>
      </c>
      <c r="M7093" s="12">
        <v>19094.513999999999</v>
      </c>
      <c r="N7093" s="6">
        <v>32.18</v>
      </c>
      <c r="O7093" s="6">
        <v>32.14</v>
      </c>
      <c r="P7093" s="2" t="s">
        <v>21441</v>
      </c>
      <c r="Q7093" s="6">
        <v>100</v>
      </c>
      <c r="R7093" s="6">
        <v>27.25</v>
      </c>
      <c r="S7093" s="5">
        <v>19.5</v>
      </c>
      <c r="T7093" s="2"/>
      <c r="U7093" s="5">
        <v>11.2</v>
      </c>
      <c r="V7093" s="6">
        <v>1.39</v>
      </c>
      <c r="W7093" s="6">
        <v>22.84</v>
      </c>
      <c r="X7093" s="5">
        <v>23.4</v>
      </c>
      <c r="Y7093" s="6">
        <v>27.32</v>
      </c>
      <c r="Z7093" s="6">
        <v>27.44</v>
      </c>
      <c r="AA7093" s="6">
        <v>17.489999999999998</v>
      </c>
      <c r="AB7093" s="7">
        <v>28.321999999999999</v>
      </c>
      <c r="AC7093" s="2"/>
    </row>
    <row r="7094" spans="1:29" ht="78" x14ac:dyDescent="0.15">
      <c r="A7094" s="3">
        <f>DATE(2003,11,20)</f>
        <v>37945</v>
      </c>
      <c r="B7094" s="3">
        <f>DATE(2004,2,6)</f>
        <v>38023</v>
      </c>
      <c r="C7094" s="2" t="s">
        <v>95</v>
      </c>
      <c r="D7094" s="2" t="s">
        <v>21442</v>
      </c>
      <c r="E7094" s="2" t="s">
        <v>92</v>
      </c>
      <c r="F7094" s="4">
        <v>6798</v>
      </c>
      <c r="G7094" s="2" t="s">
        <v>53</v>
      </c>
      <c r="H7094" s="2" t="s">
        <v>34</v>
      </c>
      <c r="I7094" s="2" t="s">
        <v>21443</v>
      </c>
      <c r="J7094" s="2" t="s">
        <v>92</v>
      </c>
      <c r="K7094" s="2" t="s">
        <v>53</v>
      </c>
      <c r="L7094" s="2" t="s">
        <v>34</v>
      </c>
      <c r="M7094" s="10">
        <v>1425.08</v>
      </c>
      <c r="N7094" s="6">
        <v>19.57</v>
      </c>
      <c r="O7094" s="6">
        <v>19.25</v>
      </c>
      <c r="P7094" s="2" t="s">
        <v>21444</v>
      </c>
      <c r="Q7094" s="6">
        <v>100</v>
      </c>
      <c r="R7094" s="6">
        <v>12.5</v>
      </c>
      <c r="S7094" s="5">
        <v>0.8</v>
      </c>
      <c r="T7094" s="2"/>
      <c r="U7094" s="5">
        <v>10.7</v>
      </c>
      <c r="V7094" s="6">
        <v>0.14000000000000001</v>
      </c>
      <c r="W7094" s="5">
        <v>10.5</v>
      </c>
      <c r="X7094" s="6">
        <v>10.56</v>
      </c>
      <c r="Y7094" s="6">
        <v>12.44</v>
      </c>
      <c r="Z7094" s="6">
        <v>12.44</v>
      </c>
      <c r="AA7094" s="6">
        <v>7.78</v>
      </c>
      <c r="AB7094" s="7">
        <v>90.641999999999996</v>
      </c>
      <c r="AC7094" s="6">
        <v>18.13</v>
      </c>
    </row>
    <row r="7095" spans="1:29" ht="208" x14ac:dyDescent="0.15">
      <c r="A7095" s="3">
        <f>DATE(2003,11,20)</f>
        <v>37945</v>
      </c>
      <c r="B7095" s="3">
        <f>DATE(2004,7,23)</f>
        <v>38191</v>
      </c>
      <c r="C7095" s="2" t="s">
        <v>95</v>
      </c>
      <c r="D7095" s="2" t="s">
        <v>21445</v>
      </c>
      <c r="E7095" s="2" t="s">
        <v>5309</v>
      </c>
      <c r="F7095" s="4">
        <v>1311</v>
      </c>
      <c r="G7095" s="2" t="s">
        <v>148</v>
      </c>
      <c r="H7095" s="2" t="s">
        <v>34</v>
      </c>
      <c r="I7095" s="2" t="s">
        <v>51</v>
      </c>
      <c r="J7095" s="2" t="s">
        <v>52</v>
      </c>
      <c r="K7095" s="2" t="s">
        <v>53</v>
      </c>
      <c r="L7095" s="2" t="s">
        <v>34</v>
      </c>
      <c r="M7095" s="2"/>
      <c r="N7095" s="2"/>
      <c r="O7095" s="2"/>
      <c r="P7095" s="2" t="s">
        <v>21446</v>
      </c>
      <c r="Q7095" s="6">
        <v>100</v>
      </c>
      <c r="R7095" s="6">
        <v>17.25</v>
      </c>
      <c r="S7095" s="5">
        <v>20.3</v>
      </c>
      <c r="T7095" s="7">
        <v>2.3090000000000002</v>
      </c>
      <c r="U7095" s="5">
        <v>4.3</v>
      </c>
      <c r="V7095" s="6">
        <v>0.82</v>
      </c>
      <c r="W7095" s="6">
        <v>13.25</v>
      </c>
      <c r="X7095" s="5">
        <v>13.2</v>
      </c>
      <c r="Y7095" s="6">
        <v>13.44</v>
      </c>
      <c r="Z7095" s="5">
        <v>15.5</v>
      </c>
      <c r="AA7095" s="6">
        <v>23.6</v>
      </c>
      <c r="AB7095" s="2" t="s">
        <v>86</v>
      </c>
      <c r="AC7095" s="2"/>
    </row>
    <row r="7096" spans="1:29" ht="117" x14ac:dyDescent="0.15">
      <c r="A7096" s="3">
        <f t="shared" ref="A7096:A7101" si="155">DATE(2003,11,21)</f>
        <v>37946</v>
      </c>
      <c r="B7096" s="3">
        <f>DATE(2004,2,12)</f>
        <v>38029</v>
      </c>
      <c r="C7096" s="2" t="s">
        <v>95</v>
      </c>
      <c r="D7096" s="2" t="s">
        <v>21447</v>
      </c>
      <c r="E7096" s="2" t="s">
        <v>540</v>
      </c>
      <c r="F7096" s="4">
        <v>2836</v>
      </c>
      <c r="G7096" s="2" t="s">
        <v>130</v>
      </c>
      <c r="H7096" s="2" t="s">
        <v>34</v>
      </c>
      <c r="I7096" s="2" t="s">
        <v>21448</v>
      </c>
      <c r="J7096" s="2" t="s">
        <v>5670</v>
      </c>
      <c r="K7096" s="2" t="s">
        <v>130</v>
      </c>
      <c r="L7096" s="2" t="s">
        <v>34</v>
      </c>
      <c r="M7096" s="12">
        <v>74437.324999999997</v>
      </c>
      <c r="N7096" s="6">
        <v>69.61</v>
      </c>
      <c r="O7096" s="5">
        <v>70.5</v>
      </c>
      <c r="P7096" s="2" t="s">
        <v>21449</v>
      </c>
      <c r="Q7096" s="6">
        <v>100</v>
      </c>
      <c r="R7096" s="6">
        <v>18</v>
      </c>
      <c r="S7096" s="5">
        <v>-18</v>
      </c>
      <c r="T7096" s="7">
        <v>-19.056999999999999</v>
      </c>
      <c r="U7096" s="5">
        <v>2.6</v>
      </c>
      <c r="V7096" s="6">
        <v>-0.88</v>
      </c>
      <c r="W7096" s="6">
        <v>12.64</v>
      </c>
      <c r="X7096" s="6">
        <v>11.76</v>
      </c>
      <c r="Y7096" s="6">
        <v>17.75</v>
      </c>
      <c r="Z7096" s="5">
        <v>17.7</v>
      </c>
      <c r="AA7096" s="6">
        <v>20.97</v>
      </c>
      <c r="AB7096" s="2" t="s">
        <v>86</v>
      </c>
      <c r="AC7096" s="8">
        <v>3867</v>
      </c>
    </row>
    <row r="7097" spans="1:29" ht="104" x14ac:dyDescent="0.15">
      <c r="A7097" s="3">
        <f t="shared" si="155"/>
        <v>37946</v>
      </c>
      <c r="B7097" s="3">
        <f>DATE(2005,6,3)</f>
        <v>38506</v>
      </c>
      <c r="C7097" s="2" t="s">
        <v>95</v>
      </c>
      <c r="D7097" s="2" t="s">
        <v>21450</v>
      </c>
      <c r="E7097" s="2" t="s">
        <v>21451</v>
      </c>
      <c r="F7097" s="4">
        <v>5812</v>
      </c>
      <c r="G7097" s="2" t="s">
        <v>230</v>
      </c>
      <c r="H7097" s="2" t="s">
        <v>34</v>
      </c>
      <c r="I7097" s="2" t="s">
        <v>21452</v>
      </c>
      <c r="J7097" s="2" t="s">
        <v>4601</v>
      </c>
      <c r="K7097" s="2" t="s">
        <v>230</v>
      </c>
      <c r="L7097" s="2" t="s">
        <v>34</v>
      </c>
      <c r="M7097" s="2"/>
      <c r="N7097" s="2"/>
      <c r="O7097" s="2"/>
      <c r="P7097" s="2" t="s">
        <v>21453</v>
      </c>
      <c r="Q7097" s="6">
        <v>39</v>
      </c>
      <c r="R7097" s="6">
        <v>3</v>
      </c>
      <c r="S7097" s="5">
        <v>0</v>
      </c>
      <c r="T7097" s="7">
        <v>1.456</v>
      </c>
      <c r="U7097" s="5">
        <v>3.8</v>
      </c>
      <c r="V7097" s="6">
        <v>0.01</v>
      </c>
      <c r="W7097" s="6">
        <v>1.45</v>
      </c>
      <c r="X7097" s="6">
        <v>1.45</v>
      </c>
      <c r="Y7097" s="5">
        <v>1.7</v>
      </c>
      <c r="Z7097" s="6">
        <v>1.68</v>
      </c>
      <c r="AA7097" s="6">
        <v>3.93</v>
      </c>
      <c r="AB7097" s="7">
        <v>29.094999999999999</v>
      </c>
      <c r="AC7097" s="2"/>
    </row>
    <row r="7098" spans="1:29" ht="130" x14ac:dyDescent="0.15">
      <c r="A7098" s="3">
        <f t="shared" si="155"/>
        <v>37946</v>
      </c>
      <c r="B7098" s="3">
        <f>DATE(2004,7,9)</f>
        <v>38177</v>
      </c>
      <c r="C7098" s="2" t="s">
        <v>95</v>
      </c>
      <c r="D7098" s="2" t="s">
        <v>21454</v>
      </c>
      <c r="E7098" s="2" t="s">
        <v>21455</v>
      </c>
      <c r="F7098" s="4">
        <v>7812</v>
      </c>
      <c r="G7098" s="2" t="s">
        <v>42</v>
      </c>
      <c r="H7098" s="2" t="s">
        <v>34</v>
      </c>
      <c r="I7098" s="2" t="s">
        <v>51</v>
      </c>
      <c r="J7098" s="2" t="s">
        <v>52</v>
      </c>
      <c r="K7098" s="2" t="s">
        <v>53</v>
      </c>
      <c r="L7098" s="2" t="s">
        <v>34</v>
      </c>
      <c r="M7098" s="2"/>
      <c r="N7098" s="2"/>
      <c r="O7098" s="2"/>
      <c r="P7098" s="2" t="s">
        <v>21456</v>
      </c>
      <c r="Q7098" s="6">
        <v>52.83</v>
      </c>
      <c r="R7098" s="6">
        <v>6.5</v>
      </c>
      <c r="S7098" s="5">
        <v>1.9</v>
      </c>
      <c r="T7098" s="7">
        <v>8.9879999999999995</v>
      </c>
      <c r="U7098" s="5">
        <v>3.4</v>
      </c>
      <c r="V7098" s="6">
        <v>0.32</v>
      </c>
      <c r="W7098" s="6">
        <v>3.77</v>
      </c>
      <c r="X7098" s="6">
        <v>3.57</v>
      </c>
      <c r="Y7098" s="6">
        <v>5.94</v>
      </c>
      <c r="Z7098" s="6">
        <v>5.91</v>
      </c>
      <c r="AA7098" s="6">
        <v>2.38</v>
      </c>
      <c r="AB7098" s="7">
        <v>13.458</v>
      </c>
      <c r="AC7098" s="2"/>
    </row>
    <row r="7099" spans="1:29" ht="143" x14ac:dyDescent="0.15">
      <c r="A7099" s="3">
        <f t="shared" si="155"/>
        <v>37946</v>
      </c>
      <c r="B7099" s="3">
        <f>DATE(2004,8,13)</f>
        <v>38212</v>
      </c>
      <c r="C7099" s="2" t="s">
        <v>95</v>
      </c>
      <c r="D7099" s="2" t="s">
        <v>21457</v>
      </c>
      <c r="E7099" s="2" t="s">
        <v>21458</v>
      </c>
      <c r="F7099" s="4">
        <v>7363</v>
      </c>
      <c r="G7099" s="2" t="s">
        <v>223</v>
      </c>
      <c r="H7099" s="2" t="s">
        <v>34</v>
      </c>
      <c r="I7099" s="2" t="s">
        <v>21459</v>
      </c>
      <c r="J7099" s="2" t="s">
        <v>1072</v>
      </c>
      <c r="K7099" s="2" t="s">
        <v>53</v>
      </c>
      <c r="L7099" s="2" t="s">
        <v>34</v>
      </c>
      <c r="M7099" s="2"/>
      <c r="N7099" s="2"/>
      <c r="O7099" s="2"/>
      <c r="P7099" s="2" t="s">
        <v>21460</v>
      </c>
      <c r="Q7099" s="6">
        <v>100</v>
      </c>
      <c r="R7099" s="6">
        <v>1.7</v>
      </c>
      <c r="S7099" s="5">
        <v>-0.1</v>
      </c>
      <c r="T7099" s="7">
        <v>0.93899999999999995</v>
      </c>
      <c r="U7099" s="5">
        <v>2.4</v>
      </c>
      <c r="V7099" s="6">
        <v>-0.03</v>
      </c>
      <c r="W7099" s="6">
        <v>1.42</v>
      </c>
      <c r="X7099" s="6">
        <v>1.45</v>
      </c>
      <c r="Y7099" s="5">
        <v>1.5</v>
      </c>
      <c r="Z7099" s="6">
        <v>1.51</v>
      </c>
      <c r="AA7099" s="6">
        <v>3.68</v>
      </c>
      <c r="AB7099" s="7">
        <v>188.60400000000001</v>
      </c>
      <c r="AC7099" s="2"/>
    </row>
    <row r="7100" spans="1:29" ht="52" x14ac:dyDescent="0.15">
      <c r="A7100" s="3">
        <f t="shared" si="155"/>
        <v>37946</v>
      </c>
      <c r="B7100" s="2"/>
      <c r="C7100" s="2" t="s">
        <v>7330</v>
      </c>
      <c r="D7100" s="2" t="s">
        <v>19953</v>
      </c>
      <c r="E7100" s="2" t="s">
        <v>19954</v>
      </c>
      <c r="F7100" s="4">
        <v>4941</v>
      </c>
      <c r="G7100" s="2" t="s">
        <v>439</v>
      </c>
      <c r="H7100" s="2" t="s">
        <v>34</v>
      </c>
      <c r="I7100" s="2" t="s">
        <v>21461</v>
      </c>
      <c r="J7100" s="2" t="s">
        <v>21462</v>
      </c>
      <c r="K7100" s="2" t="s">
        <v>8457</v>
      </c>
      <c r="L7100" s="2" t="s">
        <v>34</v>
      </c>
      <c r="M7100" s="2"/>
      <c r="N7100" s="2"/>
      <c r="O7100" s="2"/>
      <c r="P7100" s="2" t="s">
        <v>21463</v>
      </c>
      <c r="Q7100" s="2"/>
      <c r="R7100" s="2"/>
      <c r="S7100" s="5">
        <v>2.6</v>
      </c>
      <c r="T7100" s="7">
        <v>9.1780000000000008</v>
      </c>
      <c r="U7100" s="5">
        <v>9.6</v>
      </c>
      <c r="V7100" s="6">
        <v>0.81</v>
      </c>
      <c r="W7100" s="6">
        <v>26.31</v>
      </c>
      <c r="X7100" s="5">
        <v>23.9</v>
      </c>
      <c r="Y7100" s="5">
        <v>28.5</v>
      </c>
      <c r="Z7100" s="6">
        <v>27.56</v>
      </c>
      <c r="AA7100" s="6">
        <v>2.39</v>
      </c>
      <c r="AB7100" s="7">
        <v>23.254999999999999</v>
      </c>
      <c r="AC7100" s="2"/>
    </row>
    <row r="7101" spans="1:29" ht="143" x14ac:dyDescent="0.15">
      <c r="A7101" s="3">
        <f t="shared" si="155"/>
        <v>37946</v>
      </c>
      <c r="B7101" s="2"/>
      <c r="C7101" s="2" t="s">
        <v>30</v>
      </c>
      <c r="D7101" s="2" t="s">
        <v>21464</v>
      </c>
      <c r="E7101" s="2" t="s">
        <v>21465</v>
      </c>
      <c r="F7101" s="4">
        <v>4911</v>
      </c>
      <c r="G7101" s="2" t="s">
        <v>439</v>
      </c>
      <c r="H7101" s="2" t="s">
        <v>34</v>
      </c>
      <c r="I7101" s="2" t="s">
        <v>21466</v>
      </c>
      <c r="J7101" s="2" t="s">
        <v>302</v>
      </c>
      <c r="K7101" s="2" t="s">
        <v>53</v>
      </c>
      <c r="L7101" s="2" t="s">
        <v>34</v>
      </c>
      <c r="M7101" s="2"/>
      <c r="N7101" s="2"/>
      <c r="O7101" s="2"/>
      <c r="P7101" s="2" t="s">
        <v>21467</v>
      </c>
      <c r="Q7101" s="2"/>
      <c r="R7101" s="6">
        <v>25.25</v>
      </c>
      <c r="S7101" s="5">
        <v>21.7</v>
      </c>
      <c r="T7101" s="7">
        <v>338.346</v>
      </c>
      <c r="U7101" s="5">
        <v>15.1</v>
      </c>
      <c r="V7101" s="6">
        <v>0.64</v>
      </c>
      <c r="W7101" s="6">
        <v>19.61</v>
      </c>
      <c r="X7101" s="6">
        <v>19.420000000000002</v>
      </c>
      <c r="Y7101" s="5">
        <v>19.399999999999999</v>
      </c>
      <c r="Z7101" s="6">
        <v>24.49</v>
      </c>
      <c r="AA7101" s="6">
        <v>33.68</v>
      </c>
      <c r="AB7101" s="7">
        <v>16.350000000000001</v>
      </c>
      <c r="AC7101" s="2"/>
    </row>
    <row r="7102" spans="1:29" ht="91" x14ac:dyDescent="0.15">
      <c r="A7102" s="3">
        <f>DATE(2003,11,25)</f>
        <v>37950</v>
      </c>
      <c r="B7102" s="3">
        <f>DATE(2004,4,30)</f>
        <v>38107</v>
      </c>
      <c r="C7102" s="2" t="s">
        <v>95</v>
      </c>
      <c r="D7102" s="2" t="s">
        <v>21468</v>
      </c>
      <c r="E7102" s="2" t="s">
        <v>1181</v>
      </c>
      <c r="F7102" s="4">
        <v>6021</v>
      </c>
      <c r="G7102" s="2" t="s">
        <v>37</v>
      </c>
      <c r="H7102" s="2" t="s">
        <v>34</v>
      </c>
      <c r="I7102" s="2" t="s">
        <v>18969</v>
      </c>
      <c r="J7102" s="2" t="s">
        <v>18970</v>
      </c>
      <c r="K7102" s="2" t="s">
        <v>37</v>
      </c>
      <c r="L7102" s="2" t="s">
        <v>34</v>
      </c>
      <c r="M7102" s="12">
        <v>4990.357</v>
      </c>
      <c r="N7102" s="6">
        <v>33.01</v>
      </c>
      <c r="O7102" s="6">
        <v>33.130000000000003</v>
      </c>
      <c r="P7102" s="2" t="s">
        <v>21469</v>
      </c>
      <c r="Q7102" s="6">
        <v>100</v>
      </c>
      <c r="R7102" s="2"/>
      <c r="S7102" s="2"/>
      <c r="T7102" s="2"/>
      <c r="U7102" s="2"/>
      <c r="V7102" s="2"/>
      <c r="W7102" s="4">
        <v>68</v>
      </c>
      <c r="X7102" s="4">
        <v>68</v>
      </c>
      <c r="Y7102" s="4">
        <v>68</v>
      </c>
      <c r="Z7102" s="2"/>
      <c r="AA7102" s="2"/>
      <c r="AB7102" s="2" t="s">
        <v>47</v>
      </c>
      <c r="AC7102" s="2"/>
    </row>
    <row r="7103" spans="1:29" ht="221" x14ac:dyDescent="0.15">
      <c r="A7103" s="3">
        <f>DATE(2003,11,25)</f>
        <v>37950</v>
      </c>
      <c r="B7103" s="3">
        <f>DATE(2004,4,13)</f>
        <v>38090</v>
      </c>
      <c r="C7103" s="2" t="s">
        <v>95</v>
      </c>
      <c r="D7103" s="2" t="s">
        <v>21470</v>
      </c>
      <c r="E7103" s="2" t="s">
        <v>389</v>
      </c>
      <c r="F7103" s="4">
        <v>6035</v>
      </c>
      <c r="G7103" s="2" t="s">
        <v>33</v>
      </c>
      <c r="H7103" s="2" t="s">
        <v>34</v>
      </c>
      <c r="I7103" s="2" t="s">
        <v>14169</v>
      </c>
      <c r="J7103" s="2" t="s">
        <v>14170</v>
      </c>
      <c r="K7103" s="2" t="s">
        <v>37</v>
      </c>
      <c r="L7103" s="2" t="s">
        <v>34</v>
      </c>
      <c r="M7103" s="12">
        <v>1997.191</v>
      </c>
      <c r="N7103" s="6">
        <v>36.75</v>
      </c>
      <c r="O7103" s="6">
        <v>36.76</v>
      </c>
      <c r="P7103" s="2" t="s">
        <v>21471</v>
      </c>
      <c r="Q7103" s="6">
        <v>100</v>
      </c>
      <c r="R7103" s="2"/>
      <c r="S7103" s="5">
        <v>80.3</v>
      </c>
      <c r="T7103" s="2"/>
      <c r="U7103" s="5">
        <v>10.7</v>
      </c>
      <c r="V7103" s="6">
        <v>1.39</v>
      </c>
      <c r="W7103" s="6">
        <v>20.83</v>
      </c>
      <c r="X7103" s="6">
        <v>21.16</v>
      </c>
      <c r="Y7103" s="6">
        <v>21.84</v>
      </c>
      <c r="Z7103" s="5">
        <v>22.6</v>
      </c>
      <c r="AA7103" s="6">
        <v>58.76</v>
      </c>
      <c r="AB7103" s="7">
        <v>30.541</v>
      </c>
      <c r="AC7103" s="2"/>
    </row>
    <row r="7104" spans="1:29" ht="117" x14ac:dyDescent="0.15">
      <c r="A7104" s="3">
        <f>DATE(2003,11,26)</f>
        <v>37951</v>
      </c>
      <c r="B7104" s="3">
        <f>DATE(2004,6,3)</f>
        <v>38141</v>
      </c>
      <c r="C7104" s="2" t="s">
        <v>95</v>
      </c>
      <c r="D7104" s="2" t="s">
        <v>21472</v>
      </c>
      <c r="E7104" s="2" t="s">
        <v>2071</v>
      </c>
      <c r="F7104" s="4">
        <v>6531</v>
      </c>
      <c r="G7104" s="2" t="s">
        <v>109</v>
      </c>
      <c r="H7104" s="2" t="s">
        <v>34</v>
      </c>
      <c r="I7104" s="2" t="s">
        <v>21473</v>
      </c>
      <c r="J7104" s="2" t="s">
        <v>6321</v>
      </c>
      <c r="K7104" s="2" t="s">
        <v>53</v>
      </c>
      <c r="L7104" s="2" t="s">
        <v>34</v>
      </c>
      <c r="M7104" s="7">
        <v>51.966999999999999</v>
      </c>
      <c r="N7104" s="6">
        <v>10.25</v>
      </c>
      <c r="O7104" s="6">
        <v>10.25</v>
      </c>
      <c r="P7104" s="2" t="s">
        <v>21474</v>
      </c>
      <c r="Q7104" s="6">
        <v>100</v>
      </c>
      <c r="R7104" s="6">
        <v>6.37</v>
      </c>
      <c r="S7104" s="5">
        <v>8.8000000000000007</v>
      </c>
      <c r="T7104" s="7">
        <v>4.2140000000000004</v>
      </c>
      <c r="U7104" s="5">
        <v>8.6999999999999993</v>
      </c>
      <c r="V7104" s="6">
        <v>1.3</v>
      </c>
      <c r="W7104" s="5">
        <v>8.1999999999999993</v>
      </c>
      <c r="X7104" s="6">
        <v>8.0500000000000007</v>
      </c>
      <c r="Y7104" s="6">
        <v>8.35</v>
      </c>
      <c r="Z7104" s="6">
        <v>8.3699999999999992</v>
      </c>
      <c r="AA7104" s="6">
        <v>7</v>
      </c>
      <c r="AB7104" s="7">
        <v>34.905000000000001</v>
      </c>
      <c r="AC7104" s="6">
        <v>16.239999999999998</v>
      </c>
    </row>
    <row r="7105" spans="1:29" ht="182" x14ac:dyDescent="0.15">
      <c r="A7105" s="3">
        <f>DATE(2003,11,26)</f>
        <v>37951</v>
      </c>
      <c r="B7105" s="3">
        <f>DATE(2004,1,23)</f>
        <v>38009</v>
      </c>
      <c r="C7105" s="2" t="s">
        <v>95</v>
      </c>
      <c r="D7105" s="2" t="s">
        <v>21475</v>
      </c>
      <c r="E7105" s="2" t="s">
        <v>9346</v>
      </c>
      <c r="F7105" s="4">
        <v>3949</v>
      </c>
      <c r="G7105" s="2" t="s">
        <v>112</v>
      </c>
      <c r="H7105" s="2" t="s">
        <v>34</v>
      </c>
      <c r="I7105" s="2" t="s">
        <v>20516</v>
      </c>
      <c r="J7105" s="2" t="s">
        <v>13671</v>
      </c>
      <c r="K7105" s="2" t="s">
        <v>112</v>
      </c>
      <c r="L7105" s="2" t="s">
        <v>34</v>
      </c>
      <c r="M7105" s="7">
        <v>473.74700000000001</v>
      </c>
      <c r="N7105" s="6">
        <v>15.27</v>
      </c>
      <c r="O7105" s="6">
        <v>15.27</v>
      </c>
      <c r="P7105" s="2" t="s">
        <v>21476</v>
      </c>
      <c r="Q7105" s="6">
        <v>100</v>
      </c>
      <c r="R7105" s="6">
        <v>4.33</v>
      </c>
      <c r="S7105" s="5">
        <v>0.9</v>
      </c>
      <c r="T7105" s="7">
        <v>2.032</v>
      </c>
      <c r="U7105" s="5">
        <v>3.3</v>
      </c>
      <c r="V7105" s="6">
        <v>0.24</v>
      </c>
      <c r="W7105" s="5">
        <v>3.8</v>
      </c>
      <c r="X7105" s="6">
        <v>3.98</v>
      </c>
      <c r="Y7105" s="6">
        <v>4.1500000000000004</v>
      </c>
      <c r="Z7105" s="6">
        <v>4.1500000000000004</v>
      </c>
      <c r="AA7105" s="6">
        <v>3.65</v>
      </c>
      <c r="AB7105" s="7">
        <v>8.609</v>
      </c>
      <c r="AC7105" s="6">
        <v>14.62</v>
      </c>
    </row>
    <row r="7106" spans="1:29" ht="182" x14ac:dyDescent="0.15">
      <c r="A7106" s="3">
        <f>DATE(2003,11,26)</f>
        <v>37951</v>
      </c>
      <c r="B7106" s="3">
        <f>DATE(2004,1,27)</f>
        <v>38013</v>
      </c>
      <c r="C7106" s="2" t="s">
        <v>95</v>
      </c>
      <c r="D7106" s="2" t="s">
        <v>10233</v>
      </c>
      <c r="E7106" s="2" t="s">
        <v>612</v>
      </c>
      <c r="F7106" s="4">
        <v>1311</v>
      </c>
      <c r="G7106" s="2" t="s">
        <v>148</v>
      </c>
      <c r="H7106" s="2" t="s">
        <v>34</v>
      </c>
      <c r="I7106" s="2" t="s">
        <v>20206</v>
      </c>
      <c r="J7106" s="2" t="s">
        <v>612</v>
      </c>
      <c r="K7106" s="2" t="s">
        <v>148</v>
      </c>
      <c r="L7106" s="2" t="s">
        <v>34</v>
      </c>
      <c r="M7106" s="2"/>
      <c r="N7106" s="2"/>
      <c r="O7106" s="2"/>
      <c r="P7106" s="2" t="s">
        <v>21477</v>
      </c>
      <c r="Q7106" s="6">
        <v>100</v>
      </c>
      <c r="R7106" s="6">
        <v>10.75</v>
      </c>
      <c r="S7106" s="5">
        <v>15.6</v>
      </c>
      <c r="T7106" s="7">
        <v>35.914999999999999</v>
      </c>
      <c r="U7106" s="5">
        <v>5.0999999999999996</v>
      </c>
      <c r="V7106" s="6">
        <v>1.01</v>
      </c>
      <c r="W7106" s="6">
        <v>12.14</v>
      </c>
      <c r="X7106" s="6">
        <v>11.97</v>
      </c>
      <c r="Y7106" s="6">
        <v>12.17</v>
      </c>
      <c r="Z7106" s="6">
        <v>12.17</v>
      </c>
      <c r="AA7106" s="6">
        <v>15.25</v>
      </c>
      <c r="AB7106" s="7">
        <v>7.77</v>
      </c>
      <c r="AC7106" s="6">
        <v>4.1100000000000003</v>
      </c>
    </row>
    <row r="7107" spans="1:29" ht="78" x14ac:dyDescent="0.15">
      <c r="A7107" s="3">
        <f>DATE(2003,12,1)</f>
        <v>37956</v>
      </c>
      <c r="B7107" s="3">
        <f>DATE(2004,4,19)</f>
        <v>38096</v>
      </c>
      <c r="C7107" s="2" t="s">
        <v>95</v>
      </c>
      <c r="D7107" s="2" t="s">
        <v>21478</v>
      </c>
      <c r="E7107" s="2" t="s">
        <v>2855</v>
      </c>
      <c r="F7107" s="4">
        <v>6022</v>
      </c>
      <c r="G7107" s="2" t="s">
        <v>37</v>
      </c>
      <c r="H7107" s="2" t="s">
        <v>34</v>
      </c>
      <c r="I7107" s="2" t="s">
        <v>3057</v>
      </c>
      <c r="J7107" s="2" t="s">
        <v>17388</v>
      </c>
      <c r="K7107" s="2" t="s">
        <v>37</v>
      </c>
      <c r="L7107" s="2" t="s">
        <v>34</v>
      </c>
      <c r="M7107" s="7">
        <v>575.01300000000003</v>
      </c>
      <c r="N7107" s="6">
        <v>36.75</v>
      </c>
      <c r="O7107" s="6">
        <v>36.74</v>
      </c>
      <c r="P7107" s="2" t="s">
        <v>21479</v>
      </c>
      <c r="Q7107" s="6">
        <v>100</v>
      </c>
      <c r="R7107" s="2"/>
      <c r="S7107" s="2"/>
      <c r="T7107" s="2"/>
      <c r="U7107" s="2"/>
      <c r="V7107" s="2"/>
      <c r="W7107" s="5">
        <v>10.3</v>
      </c>
      <c r="X7107" s="5">
        <v>14.5</v>
      </c>
      <c r="Y7107" s="6">
        <v>12.95</v>
      </c>
      <c r="Z7107" s="6">
        <v>12.96</v>
      </c>
      <c r="AA7107" s="2"/>
      <c r="AB7107" s="2" t="s">
        <v>47</v>
      </c>
      <c r="AC7107" s="2"/>
    </row>
    <row r="7108" spans="1:29" ht="117" x14ac:dyDescent="0.15">
      <c r="A7108" s="3">
        <f>DATE(2003,12,2)</f>
        <v>37957</v>
      </c>
      <c r="B7108" s="2"/>
      <c r="C7108" s="2" t="s">
        <v>87</v>
      </c>
      <c r="D7108" s="2" t="s">
        <v>21480</v>
      </c>
      <c r="E7108" s="2" t="s">
        <v>21481</v>
      </c>
      <c r="F7108" s="4">
        <v>7841</v>
      </c>
      <c r="G7108" s="2" t="s">
        <v>42</v>
      </c>
      <c r="H7108" s="2" t="s">
        <v>34</v>
      </c>
      <c r="I7108" s="2" t="s">
        <v>51</v>
      </c>
      <c r="J7108" s="2" t="s">
        <v>52</v>
      </c>
      <c r="K7108" s="2" t="s">
        <v>53</v>
      </c>
      <c r="L7108" s="2" t="s">
        <v>34</v>
      </c>
      <c r="M7108" s="2"/>
      <c r="N7108" s="2"/>
      <c r="O7108" s="2"/>
      <c r="P7108" s="2" t="s">
        <v>21482</v>
      </c>
      <c r="Q7108" s="2"/>
      <c r="R7108" s="2"/>
      <c r="S7108" s="5">
        <v>240.5</v>
      </c>
      <c r="T7108" s="8">
        <v>1691.9</v>
      </c>
      <c r="U7108" s="5">
        <v>24.4</v>
      </c>
      <c r="V7108" s="6">
        <v>1.33</v>
      </c>
      <c r="W7108" s="6">
        <v>17.09</v>
      </c>
      <c r="X7108" s="6">
        <v>17.23</v>
      </c>
      <c r="Y7108" s="6">
        <v>16.940000000000001</v>
      </c>
      <c r="Z7108" s="6">
        <v>17.96</v>
      </c>
      <c r="AA7108" s="6">
        <v>36.840000000000003</v>
      </c>
      <c r="AB7108" s="2" t="s">
        <v>47</v>
      </c>
      <c r="AC7108" s="2"/>
    </row>
    <row r="7109" spans="1:29" ht="52" x14ac:dyDescent="0.15">
      <c r="A7109" s="3">
        <f>DATE(2003,12,2)</f>
        <v>37957</v>
      </c>
      <c r="B7109" s="3">
        <f>DATE(2004,5,13)</f>
        <v>38120</v>
      </c>
      <c r="C7109" s="2" t="s">
        <v>95</v>
      </c>
      <c r="D7109" s="2" t="s">
        <v>21483</v>
      </c>
      <c r="E7109" s="2" t="s">
        <v>14866</v>
      </c>
      <c r="F7109" s="4">
        <v>6035</v>
      </c>
      <c r="G7109" s="2" t="s">
        <v>33</v>
      </c>
      <c r="H7109" s="2" t="s">
        <v>34</v>
      </c>
      <c r="I7109" s="2" t="s">
        <v>2150</v>
      </c>
      <c r="J7109" s="2" t="s">
        <v>263</v>
      </c>
      <c r="K7109" s="2" t="s">
        <v>37</v>
      </c>
      <c r="L7109" s="2" t="s">
        <v>34</v>
      </c>
      <c r="M7109" s="10">
        <v>3568.14</v>
      </c>
      <c r="N7109" s="6">
        <v>23.42</v>
      </c>
      <c r="O7109" s="6">
        <v>23.26</v>
      </c>
      <c r="P7109" s="2" t="s">
        <v>21484</v>
      </c>
      <c r="Q7109" s="6">
        <v>100</v>
      </c>
      <c r="R7109" s="6">
        <v>41.5</v>
      </c>
      <c r="S7109" s="5">
        <v>16.5</v>
      </c>
      <c r="T7109" s="2"/>
      <c r="U7109" s="5">
        <v>25.3</v>
      </c>
      <c r="V7109" s="6">
        <v>2.64</v>
      </c>
      <c r="W7109" s="5">
        <v>33.9</v>
      </c>
      <c r="X7109" s="5">
        <v>36.700000000000003</v>
      </c>
      <c r="Y7109" s="6">
        <v>41.22</v>
      </c>
      <c r="Z7109" s="6">
        <v>41.14</v>
      </c>
      <c r="AA7109" s="6">
        <v>5.24</v>
      </c>
      <c r="AB7109" s="7">
        <v>58.786999999999999</v>
      </c>
      <c r="AC7109" s="2"/>
    </row>
    <row r="7110" spans="1:29" ht="234" x14ac:dyDescent="0.15">
      <c r="A7110" s="3">
        <f>DATE(2003,12,2)</f>
        <v>37957</v>
      </c>
      <c r="B7110" s="3">
        <f>DATE(2004,6,7)</f>
        <v>38145</v>
      </c>
      <c r="C7110" s="2" t="s">
        <v>95</v>
      </c>
      <c r="D7110" s="2" t="s">
        <v>21485</v>
      </c>
      <c r="E7110" s="2" t="s">
        <v>21486</v>
      </c>
      <c r="F7110" s="4">
        <v>7363</v>
      </c>
      <c r="G7110" s="2" t="s">
        <v>223</v>
      </c>
      <c r="H7110" s="2" t="s">
        <v>34</v>
      </c>
      <c r="I7110" s="2" t="s">
        <v>21487</v>
      </c>
      <c r="J7110" s="2" t="s">
        <v>21488</v>
      </c>
      <c r="K7110" s="2" t="s">
        <v>223</v>
      </c>
      <c r="L7110" s="2" t="s">
        <v>34</v>
      </c>
      <c r="M7110" s="7">
        <v>268.58199999999999</v>
      </c>
      <c r="N7110" s="6">
        <v>8.5500000000000007</v>
      </c>
      <c r="O7110" s="5">
        <v>7.9</v>
      </c>
      <c r="P7110" s="2" t="s">
        <v>21489</v>
      </c>
      <c r="Q7110" s="6">
        <v>100</v>
      </c>
      <c r="R7110" s="6">
        <v>4.32</v>
      </c>
      <c r="S7110" s="5">
        <v>-16.7</v>
      </c>
      <c r="T7110" s="7">
        <v>0.47099999999999997</v>
      </c>
      <c r="U7110" s="5">
        <v>1.9</v>
      </c>
      <c r="V7110" s="6">
        <v>-1.33</v>
      </c>
      <c r="W7110" s="6">
        <v>4.05</v>
      </c>
      <c r="X7110" s="6">
        <v>4.2300000000000004</v>
      </c>
      <c r="Y7110" s="6">
        <v>4.13</v>
      </c>
      <c r="Z7110" s="6">
        <v>4.38</v>
      </c>
      <c r="AA7110" s="6">
        <v>12.59</v>
      </c>
      <c r="AB7110" s="2" t="s">
        <v>86</v>
      </c>
      <c r="AC7110" s="6">
        <v>13.23</v>
      </c>
    </row>
    <row r="7111" spans="1:29" ht="130" x14ac:dyDescent="0.15">
      <c r="A7111" s="3">
        <f>DATE(2003,12,2)</f>
        <v>37957</v>
      </c>
      <c r="B7111" s="3">
        <f>DATE(2004,5,6)</f>
        <v>38113</v>
      </c>
      <c r="C7111" s="2" t="s">
        <v>95</v>
      </c>
      <c r="D7111" s="2" t="s">
        <v>21490</v>
      </c>
      <c r="E7111" s="2" t="s">
        <v>11322</v>
      </c>
      <c r="F7111" s="4">
        <v>5944</v>
      </c>
      <c r="G7111" s="2" t="s">
        <v>73</v>
      </c>
      <c r="H7111" s="2" t="s">
        <v>34</v>
      </c>
      <c r="I7111" s="2" t="s">
        <v>21491</v>
      </c>
      <c r="J7111" s="2" t="s">
        <v>13548</v>
      </c>
      <c r="K7111" s="2" t="s">
        <v>53</v>
      </c>
      <c r="L7111" s="2" t="s">
        <v>34</v>
      </c>
      <c r="M7111" s="2"/>
      <c r="N7111" s="2"/>
      <c r="O7111" s="2"/>
      <c r="P7111" s="2" t="s">
        <v>21492</v>
      </c>
      <c r="Q7111" s="6">
        <v>13.03</v>
      </c>
      <c r="R7111" s="6">
        <v>2.0499999999999998</v>
      </c>
      <c r="S7111" s="5">
        <v>-3.3</v>
      </c>
      <c r="T7111" s="7">
        <v>1.4630000000000001</v>
      </c>
      <c r="U7111" s="5">
        <v>2.7</v>
      </c>
      <c r="V7111" s="6">
        <v>-0.39</v>
      </c>
      <c r="W7111" s="5">
        <v>1.1000000000000001</v>
      </c>
      <c r="X7111" s="6">
        <v>1.1100000000000001</v>
      </c>
      <c r="Y7111" s="5">
        <v>1.8</v>
      </c>
      <c r="Z7111" s="6">
        <v>1.82</v>
      </c>
      <c r="AA7111" s="6">
        <v>8.48</v>
      </c>
      <c r="AB7111" s="2" t="s">
        <v>86</v>
      </c>
      <c r="AC7111" s="2"/>
    </row>
    <row r="7112" spans="1:29" ht="156" x14ac:dyDescent="0.15">
      <c r="A7112" s="3">
        <f>DATE(2003,12,2)</f>
        <v>37957</v>
      </c>
      <c r="B7112" s="3">
        <f>DATE(2004,4,14)</f>
        <v>38091</v>
      </c>
      <c r="C7112" s="2" t="s">
        <v>95</v>
      </c>
      <c r="D7112" s="2" t="s">
        <v>9073</v>
      </c>
      <c r="E7112" s="2" t="s">
        <v>9074</v>
      </c>
      <c r="F7112" s="4">
        <v>6022</v>
      </c>
      <c r="G7112" s="2" t="s">
        <v>37</v>
      </c>
      <c r="H7112" s="2" t="s">
        <v>34</v>
      </c>
      <c r="I7112" s="2" t="s">
        <v>13707</v>
      </c>
      <c r="J7112" s="2" t="s">
        <v>36</v>
      </c>
      <c r="K7112" s="2" t="s">
        <v>37</v>
      </c>
      <c r="L7112" s="2" t="s">
        <v>34</v>
      </c>
      <c r="M7112" s="12">
        <v>21448.853999999999</v>
      </c>
      <c r="N7112" s="6">
        <v>39.090000000000003</v>
      </c>
      <c r="O7112" s="4">
        <v>39</v>
      </c>
      <c r="P7112" s="2" t="s">
        <v>21493</v>
      </c>
      <c r="Q7112" s="6">
        <v>100</v>
      </c>
      <c r="R7112" s="6">
        <v>32.130000000000003</v>
      </c>
      <c r="S7112" s="5">
        <v>9</v>
      </c>
      <c r="T7112" s="2"/>
      <c r="U7112" s="5">
        <v>15.8</v>
      </c>
      <c r="V7112" s="6">
        <v>0.74</v>
      </c>
      <c r="W7112" s="6">
        <v>29.82</v>
      </c>
      <c r="X7112" s="6">
        <v>29.64</v>
      </c>
      <c r="Y7112" s="5">
        <v>31.7</v>
      </c>
      <c r="Z7112" s="5">
        <v>31.6</v>
      </c>
      <c r="AA7112" s="6">
        <v>13.27</v>
      </c>
      <c r="AB7112" s="7">
        <v>45.58</v>
      </c>
      <c r="AC7112" s="2"/>
    </row>
    <row r="7113" spans="1:29" ht="65" x14ac:dyDescent="0.15">
      <c r="A7113" s="3">
        <f>DATE(2003,12,3)</f>
        <v>37958</v>
      </c>
      <c r="B7113" s="2"/>
      <c r="C7113" s="2" t="s">
        <v>189</v>
      </c>
      <c r="D7113" s="2" t="s">
        <v>21494</v>
      </c>
      <c r="E7113" s="2" t="s">
        <v>21495</v>
      </c>
      <c r="F7113" s="4">
        <v>1382</v>
      </c>
      <c r="G7113" s="2" t="s">
        <v>148</v>
      </c>
      <c r="H7113" s="2" t="s">
        <v>34</v>
      </c>
      <c r="I7113" s="2" t="s">
        <v>143</v>
      </c>
      <c r="J7113" s="2" t="s">
        <v>144</v>
      </c>
      <c r="K7113" s="2" t="s">
        <v>53</v>
      </c>
      <c r="L7113" s="2" t="s">
        <v>139</v>
      </c>
      <c r="M7113" s="2"/>
      <c r="N7113" s="2"/>
      <c r="O7113" s="2"/>
      <c r="P7113" s="2" t="s">
        <v>21496</v>
      </c>
      <c r="Q7113" s="2"/>
      <c r="R7113" s="2"/>
      <c r="S7113" s="5">
        <v>-128.1</v>
      </c>
      <c r="T7113" s="7">
        <v>84.462000000000003</v>
      </c>
      <c r="U7113" s="5">
        <v>1.1000000000000001</v>
      </c>
      <c r="V7113" s="6">
        <v>-5.05</v>
      </c>
      <c r="W7113" s="5">
        <v>1.4</v>
      </c>
      <c r="X7113" s="6">
        <v>1.27</v>
      </c>
      <c r="Y7113" s="5">
        <v>1.8</v>
      </c>
      <c r="Z7113" s="6">
        <v>1.33</v>
      </c>
      <c r="AA7113" s="6">
        <v>25.38</v>
      </c>
      <c r="AB7113" s="2" t="s">
        <v>86</v>
      </c>
      <c r="AC7113" s="2"/>
    </row>
    <row r="7114" spans="1:29" ht="130" x14ac:dyDescent="0.15">
      <c r="A7114" s="3">
        <f>DATE(2003,12,5)</f>
        <v>37960</v>
      </c>
      <c r="B7114" s="3">
        <f>DATE(2004,3,2)</f>
        <v>38048</v>
      </c>
      <c r="C7114" s="2" t="s">
        <v>95</v>
      </c>
      <c r="D7114" s="2" t="s">
        <v>21497</v>
      </c>
      <c r="E7114" s="2" t="s">
        <v>8548</v>
      </c>
      <c r="F7114" s="4">
        <v>6324</v>
      </c>
      <c r="G7114" s="2" t="s">
        <v>125</v>
      </c>
      <c r="H7114" s="2" t="s">
        <v>34</v>
      </c>
      <c r="I7114" s="2" t="s">
        <v>21498</v>
      </c>
      <c r="J7114" s="2" t="s">
        <v>21499</v>
      </c>
      <c r="K7114" s="2" t="s">
        <v>223</v>
      </c>
      <c r="L7114" s="2" t="s">
        <v>34</v>
      </c>
      <c r="M7114" s="7">
        <v>111.249</v>
      </c>
      <c r="N7114" s="6">
        <v>16.010000000000002</v>
      </c>
      <c r="O7114" s="5">
        <v>16.899999999999999</v>
      </c>
      <c r="P7114" s="2" t="s">
        <v>21500</v>
      </c>
      <c r="Q7114" s="6">
        <v>100</v>
      </c>
      <c r="R7114" s="6">
        <v>1.39</v>
      </c>
      <c r="S7114" s="5">
        <v>4</v>
      </c>
      <c r="T7114" s="7">
        <v>9.9390000000000001</v>
      </c>
      <c r="U7114" s="5">
        <v>-8.5</v>
      </c>
      <c r="V7114" s="6">
        <v>-3.92</v>
      </c>
      <c r="W7114" s="5">
        <v>1.9</v>
      </c>
      <c r="X7114" s="4">
        <v>2</v>
      </c>
      <c r="Y7114" s="5">
        <v>1.9</v>
      </c>
      <c r="Z7114" s="5">
        <v>1.7</v>
      </c>
      <c r="AA7114" s="6">
        <v>16.97</v>
      </c>
      <c r="AB7114" s="7">
        <v>23.881</v>
      </c>
      <c r="AC7114" s="6">
        <v>12.22</v>
      </c>
    </row>
    <row r="7115" spans="1:29" ht="130" x14ac:dyDescent="0.15">
      <c r="A7115" s="3">
        <f>DATE(2003,12,9)</f>
        <v>37964</v>
      </c>
      <c r="B7115" s="3">
        <f>DATE(2004,4,30)</f>
        <v>38107</v>
      </c>
      <c r="C7115" s="2" t="s">
        <v>95</v>
      </c>
      <c r="D7115" s="2" t="s">
        <v>21501</v>
      </c>
      <c r="E7115" s="2" t="s">
        <v>265</v>
      </c>
      <c r="F7115" s="4">
        <v>6021</v>
      </c>
      <c r="G7115" s="2" t="s">
        <v>37</v>
      </c>
      <c r="H7115" s="2" t="s">
        <v>34</v>
      </c>
      <c r="I7115" s="2" t="s">
        <v>18969</v>
      </c>
      <c r="J7115" s="2" t="s">
        <v>18970</v>
      </c>
      <c r="K7115" s="2" t="s">
        <v>37</v>
      </c>
      <c r="L7115" s="2" t="s">
        <v>34</v>
      </c>
      <c r="M7115" s="12">
        <v>5147.165</v>
      </c>
      <c r="N7115" s="6">
        <v>32.06</v>
      </c>
      <c r="O7115" s="6">
        <v>31.99</v>
      </c>
      <c r="P7115" s="2" t="s">
        <v>21502</v>
      </c>
      <c r="Q7115" s="6">
        <v>100</v>
      </c>
      <c r="R7115" s="6">
        <v>35.520000000000003</v>
      </c>
      <c r="S7115" s="5">
        <v>6.2</v>
      </c>
      <c r="T7115" s="2"/>
      <c r="U7115" s="5">
        <v>13.5</v>
      </c>
      <c r="V7115" s="6">
        <v>0.72</v>
      </c>
      <c r="W7115" s="6">
        <v>25.22</v>
      </c>
      <c r="X7115" s="6">
        <v>25.74</v>
      </c>
      <c r="Y7115" s="6">
        <v>34.15</v>
      </c>
      <c r="Z7115" s="5">
        <v>34.1</v>
      </c>
      <c r="AA7115" s="6">
        <v>8.42</v>
      </c>
      <c r="AB7115" s="2" t="s">
        <v>86</v>
      </c>
      <c r="AC7115" s="2"/>
    </row>
    <row r="7116" spans="1:29" ht="117" x14ac:dyDescent="0.15">
      <c r="A7116" s="3">
        <f>DATE(2003,12,9)</f>
        <v>37964</v>
      </c>
      <c r="B7116" s="3">
        <f>DATE(2004,2,12)</f>
        <v>38029</v>
      </c>
      <c r="C7116" s="2" t="s">
        <v>95</v>
      </c>
      <c r="D7116" s="2" t="s">
        <v>21503</v>
      </c>
      <c r="E7116" s="2" t="s">
        <v>4572</v>
      </c>
      <c r="F7116" s="4">
        <v>7373</v>
      </c>
      <c r="G7116" s="2" t="s">
        <v>223</v>
      </c>
      <c r="H7116" s="2" t="s">
        <v>34</v>
      </c>
      <c r="I7116" s="2" t="s">
        <v>10762</v>
      </c>
      <c r="J7116" s="2" t="s">
        <v>10763</v>
      </c>
      <c r="K7116" s="2" t="s">
        <v>223</v>
      </c>
      <c r="L7116" s="2" t="s">
        <v>34</v>
      </c>
      <c r="M7116" s="10">
        <v>8044.17</v>
      </c>
      <c r="N7116" s="6">
        <v>26.81</v>
      </c>
      <c r="O7116" s="6">
        <v>26.96</v>
      </c>
      <c r="P7116" s="2" t="s">
        <v>21504</v>
      </c>
      <c r="Q7116" s="6">
        <v>100</v>
      </c>
      <c r="R7116" s="6">
        <v>16.5</v>
      </c>
      <c r="S7116" s="5">
        <v>12.4</v>
      </c>
      <c r="T7116" s="7">
        <v>22.486000000000001</v>
      </c>
      <c r="U7116" s="5">
        <v>6.8</v>
      </c>
      <c r="V7116" s="6">
        <v>0.36</v>
      </c>
      <c r="W7116" s="6">
        <v>15.58</v>
      </c>
      <c r="X7116" s="6">
        <v>14.66</v>
      </c>
      <c r="Y7116" s="5">
        <v>14.5</v>
      </c>
      <c r="Z7116" s="6">
        <v>16.34</v>
      </c>
      <c r="AA7116" s="6">
        <v>33.82</v>
      </c>
      <c r="AB7116" s="7">
        <v>75.820999999999998</v>
      </c>
      <c r="AC7116" s="6">
        <v>305.93</v>
      </c>
    </row>
    <row r="7117" spans="1:29" ht="221" x14ac:dyDescent="0.15">
      <c r="A7117" s="3">
        <f>DATE(2003,12,10)</f>
        <v>37965</v>
      </c>
      <c r="B7117" s="3">
        <f>DATE(2004,1,23)</f>
        <v>38009</v>
      </c>
      <c r="C7117" s="2" t="s">
        <v>95</v>
      </c>
      <c r="D7117" s="2" t="s">
        <v>21244</v>
      </c>
      <c r="E7117" s="2" t="s">
        <v>21245</v>
      </c>
      <c r="F7117" s="4">
        <v>8742</v>
      </c>
      <c r="G7117" s="2" t="s">
        <v>223</v>
      </c>
      <c r="H7117" s="2" t="s">
        <v>34</v>
      </c>
      <c r="I7117" s="2" t="s">
        <v>21505</v>
      </c>
      <c r="J7117" s="2" t="s">
        <v>21506</v>
      </c>
      <c r="K7117" s="2" t="s">
        <v>223</v>
      </c>
      <c r="L7117" s="2" t="s">
        <v>34</v>
      </c>
      <c r="M7117" s="2"/>
      <c r="N7117" s="6">
        <v>45.23</v>
      </c>
      <c r="O7117" s="6">
        <v>45.23</v>
      </c>
      <c r="P7117" s="2" t="s">
        <v>21507</v>
      </c>
      <c r="Q7117" s="6">
        <v>100</v>
      </c>
      <c r="R7117" s="6">
        <v>18.75</v>
      </c>
      <c r="S7117" s="5">
        <v>40.700000000000003</v>
      </c>
      <c r="T7117" s="7">
        <v>94.393000000000001</v>
      </c>
      <c r="U7117" s="5">
        <v>8.4</v>
      </c>
      <c r="V7117" s="6">
        <v>1.67</v>
      </c>
      <c r="W7117" s="6">
        <v>17.829999999999998</v>
      </c>
      <c r="X7117" s="6">
        <v>17.28</v>
      </c>
      <c r="Y7117" s="6">
        <v>17.16</v>
      </c>
      <c r="Z7117" s="6">
        <v>18.39</v>
      </c>
      <c r="AA7117" s="6">
        <v>22.82</v>
      </c>
      <c r="AB7117" s="7">
        <v>8.0879999999999992</v>
      </c>
      <c r="AC7117" s="5">
        <v>287.5</v>
      </c>
    </row>
    <row r="7118" spans="1:29" ht="130" x14ac:dyDescent="0.15">
      <c r="A7118" s="3">
        <f>DATE(2003,12,11)</f>
        <v>37966</v>
      </c>
      <c r="B7118" s="3">
        <f>DATE(2004,6,10)</f>
        <v>38148</v>
      </c>
      <c r="C7118" s="2" t="s">
        <v>95</v>
      </c>
      <c r="D7118" s="2" t="s">
        <v>21508</v>
      </c>
      <c r="E7118" s="2" t="s">
        <v>265</v>
      </c>
      <c r="F7118" s="4">
        <v>6021</v>
      </c>
      <c r="G7118" s="2" t="s">
        <v>37</v>
      </c>
      <c r="H7118" s="2" t="s">
        <v>34</v>
      </c>
      <c r="I7118" s="2" t="s">
        <v>4811</v>
      </c>
      <c r="J7118" s="2" t="s">
        <v>36</v>
      </c>
      <c r="K7118" s="2" t="s">
        <v>37</v>
      </c>
      <c r="L7118" s="2" t="s">
        <v>34</v>
      </c>
      <c r="M7118" s="12">
        <v>1041.9259999999999</v>
      </c>
      <c r="N7118" s="6">
        <v>25.09</v>
      </c>
      <c r="O7118" s="6">
        <v>25.53</v>
      </c>
      <c r="P7118" s="2" t="s">
        <v>21509</v>
      </c>
      <c r="Q7118" s="6">
        <v>100</v>
      </c>
      <c r="R7118" s="6">
        <v>30</v>
      </c>
      <c r="S7118" s="5">
        <v>8.3000000000000007</v>
      </c>
      <c r="T7118" s="2"/>
      <c r="U7118" s="5">
        <v>9.6</v>
      </c>
      <c r="V7118" s="6">
        <v>1.25</v>
      </c>
      <c r="W7118" s="6">
        <v>22.28</v>
      </c>
      <c r="X7118" s="6">
        <v>23.05</v>
      </c>
      <c r="Y7118" s="6">
        <v>28.45</v>
      </c>
      <c r="Z7118" s="5">
        <v>28.7</v>
      </c>
      <c r="AA7118" s="6">
        <v>6.63</v>
      </c>
      <c r="AB7118" s="7">
        <v>42.661000000000001</v>
      </c>
      <c r="AC7118" s="2"/>
    </row>
    <row r="7119" spans="1:29" ht="143" x14ac:dyDescent="0.15">
      <c r="A7119" s="3">
        <f>DATE(2003,12,11)</f>
        <v>37966</v>
      </c>
      <c r="B7119" s="3">
        <f>DATE(2004,4,23)</f>
        <v>38100</v>
      </c>
      <c r="C7119" s="2" t="s">
        <v>95</v>
      </c>
      <c r="D7119" s="2" t="s">
        <v>21510</v>
      </c>
      <c r="E7119" s="2" t="s">
        <v>389</v>
      </c>
      <c r="F7119" s="4">
        <v>6035</v>
      </c>
      <c r="G7119" s="2" t="s">
        <v>33</v>
      </c>
      <c r="H7119" s="2" t="s">
        <v>34</v>
      </c>
      <c r="I7119" s="2" t="s">
        <v>21511</v>
      </c>
      <c r="J7119" s="2" t="s">
        <v>1181</v>
      </c>
      <c r="K7119" s="2" t="s">
        <v>37</v>
      </c>
      <c r="L7119" s="2" t="s">
        <v>34</v>
      </c>
      <c r="M7119" s="7">
        <v>145.15600000000001</v>
      </c>
      <c r="N7119" s="6">
        <v>26.59</v>
      </c>
      <c r="O7119" s="6">
        <v>26.89</v>
      </c>
      <c r="P7119" s="2" t="s">
        <v>21512</v>
      </c>
      <c r="Q7119" s="6">
        <v>100</v>
      </c>
      <c r="R7119" s="6">
        <v>24.43</v>
      </c>
      <c r="S7119" s="2"/>
      <c r="T7119" s="2"/>
      <c r="U7119" s="2"/>
      <c r="V7119" s="2"/>
      <c r="W7119" s="5">
        <v>10.8</v>
      </c>
      <c r="X7119" s="5">
        <v>10.8</v>
      </c>
      <c r="Y7119" s="2"/>
      <c r="Z7119" s="2"/>
      <c r="AA7119" s="6">
        <v>0.27</v>
      </c>
      <c r="AB7119" s="2" t="s">
        <v>47</v>
      </c>
      <c r="AC7119" s="2"/>
    </row>
    <row r="7120" spans="1:29" ht="104" x14ac:dyDescent="0.15">
      <c r="A7120" s="3">
        <f>DATE(2003,12,12)</f>
        <v>37967</v>
      </c>
      <c r="B7120" s="3">
        <f>DATE(2003,12,31)</f>
        <v>37986</v>
      </c>
      <c r="C7120" s="2" t="s">
        <v>95</v>
      </c>
      <c r="D7120" s="2" t="s">
        <v>21513</v>
      </c>
      <c r="E7120" s="2" t="s">
        <v>21514</v>
      </c>
      <c r="F7120" s="4">
        <v>2044</v>
      </c>
      <c r="G7120" s="2" t="s">
        <v>577</v>
      </c>
      <c r="H7120" s="2" t="s">
        <v>34</v>
      </c>
      <c r="I7120" s="2" t="s">
        <v>21515</v>
      </c>
      <c r="J7120" s="2" t="s">
        <v>21514</v>
      </c>
      <c r="K7120" s="2" t="s">
        <v>577</v>
      </c>
      <c r="L7120" s="2" t="s">
        <v>34</v>
      </c>
      <c r="M7120" s="2"/>
      <c r="N7120" s="2"/>
      <c r="O7120" s="2"/>
      <c r="P7120" s="2" t="s">
        <v>21516</v>
      </c>
      <c r="Q7120" s="6">
        <v>100</v>
      </c>
      <c r="R7120" s="6">
        <v>8.31</v>
      </c>
      <c r="S7120" s="2"/>
      <c r="T7120" s="2"/>
      <c r="U7120" s="2"/>
      <c r="V7120" s="2"/>
      <c r="W7120" s="4">
        <v>6</v>
      </c>
      <c r="X7120" s="6">
        <v>5.05</v>
      </c>
      <c r="Y7120" s="6">
        <v>8.75</v>
      </c>
      <c r="Z7120" s="6">
        <v>8.25</v>
      </c>
      <c r="AA7120" s="6">
        <v>2.44</v>
      </c>
      <c r="AB7120" s="2" t="s">
        <v>47</v>
      </c>
      <c r="AC7120" s="2"/>
    </row>
    <row r="7121" spans="1:29" ht="130" x14ac:dyDescent="0.15">
      <c r="A7121" s="3">
        <f>DATE(2003,12,12)</f>
        <v>37967</v>
      </c>
      <c r="B7121" s="2"/>
      <c r="C7121" s="2" t="s">
        <v>30</v>
      </c>
      <c r="D7121" s="2" t="s">
        <v>21517</v>
      </c>
      <c r="E7121" s="2" t="s">
        <v>21518</v>
      </c>
      <c r="F7121" s="4">
        <v>3555</v>
      </c>
      <c r="G7121" s="2" t="s">
        <v>300</v>
      </c>
      <c r="H7121" s="2" t="s">
        <v>34</v>
      </c>
      <c r="I7121" s="2" t="s">
        <v>21519</v>
      </c>
      <c r="J7121" s="2" t="s">
        <v>21520</v>
      </c>
      <c r="K7121" s="2" t="s">
        <v>300</v>
      </c>
      <c r="L7121" s="2" t="s">
        <v>1049</v>
      </c>
      <c r="M7121" s="7">
        <v>94.900999999999996</v>
      </c>
      <c r="N7121" s="6">
        <v>13.24</v>
      </c>
      <c r="O7121" s="7">
        <v>13.499000000000001</v>
      </c>
      <c r="P7121" s="2" t="s">
        <v>21521</v>
      </c>
      <c r="Q7121" s="2"/>
      <c r="R7121" s="6">
        <v>2.5</v>
      </c>
      <c r="S7121" s="5">
        <v>-4.5</v>
      </c>
      <c r="T7121" s="7">
        <v>2.8889999999999998</v>
      </c>
      <c r="U7121" s="5">
        <v>1.9</v>
      </c>
      <c r="V7121" s="6">
        <v>-0.28999999999999998</v>
      </c>
      <c r="W7121" s="5">
        <v>2.5</v>
      </c>
      <c r="X7121" s="6">
        <v>2.42</v>
      </c>
      <c r="Y7121" s="6">
        <v>2.33</v>
      </c>
      <c r="Z7121" s="5">
        <v>2.2999999999999998</v>
      </c>
      <c r="AA7121" s="6">
        <v>15.01</v>
      </c>
      <c r="AB7121" s="7">
        <v>53.218000000000004</v>
      </c>
      <c r="AC7121" s="6">
        <v>10.28</v>
      </c>
    </row>
    <row r="7122" spans="1:29" ht="143" x14ac:dyDescent="0.15">
      <c r="A7122" s="3">
        <f>DATE(2003,12,12)</f>
        <v>37967</v>
      </c>
      <c r="B7122" s="3">
        <f>DATE(2004,5,24)</f>
        <v>38131</v>
      </c>
      <c r="C7122" s="2" t="s">
        <v>95</v>
      </c>
      <c r="D7122" s="2" t="s">
        <v>21522</v>
      </c>
      <c r="E7122" s="2" t="s">
        <v>263</v>
      </c>
      <c r="F7122" s="4">
        <v>6021</v>
      </c>
      <c r="G7122" s="2" t="s">
        <v>37</v>
      </c>
      <c r="H7122" s="2" t="s">
        <v>34</v>
      </c>
      <c r="I7122" s="2" t="s">
        <v>12547</v>
      </c>
      <c r="J7122" s="2" t="s">
        <v>159</v>
      </c>
      <c r="K7122" s="2" t="s">
        <v>37</v>
      </c>
      <c r="L7122" s="2" t="s">
        <v>34</v>
      </c>
      <c r="M7122" s="6">
        <v>850.28</v>
      </c>
      <c r="N7122" s="6">
        <v>14.49</v>
      </c>
      <c r="O7122" s="4">
        <v>14</v>
      </c>
      <c r="P7122" s="2" t="s">
        <v>21523</v>
      </c>
      <c r="Q7122" s="6">
        <v>100</v>
      </c>
      <c r="R7122" s="6">
        <v>35</v>
      </c>
      <c r="S7122" s="5">
        <v>7.1</v>
      </c>
      <c r="T7122" s="7">
        <v>10.473000000000001</v>
      </c>
      <c r="U7122" s="5">
        <v>19</v>
      </c>
      <c r="V7122" s="6">
        <v>1.43</v>
      </c>
      <c r="W7122" s="6">
        <v>28.79</v>
      </c>
      <c r="X7122" s="5">
        <v>28.8</v>
      </c>
      <c r="Y7122" s="5">
        <v>34.5</v>
      </c>
      <c r="Z7122" s="5">
        <v>34.5</v>
      </c>
      <c r="AA7122" s="6">
        <v>5.03</v>
      </c>
      <c r="AB7122" s="7">
        <v>100.277</v>
      </c>
      <c r="AC7122" s="2"/>
    </row>
    <row r="7123" spans="1:29" ht="78" x14ac:dyDescent="0.15">
      <c r="A7123" s="3">
        <f>DATE(2003,12,14)</f>
        <v>37969</v>
      </c>
      <c r="B7123" s="3">
        <f>DATE(2004,3,29)</f>
        <v>38075</v>
      </c>
      <c r="C7123" s="2" t="s">
        <v>95</v>
      </c>
      <c r="D7123" s="2" t="s">
        <v>21524</v>
      </c>
      <c r="E7123" s="2" t="s">
        <v>21525</v>
      </c>
      <c r="F7123" s="4">
        <v>2841</v>
      </c>
      <c r="G7123" s="2" t="s">
        <v>358</v>
      </c>
      <c r="H7123" s="2" t="s">
        <v>34</v>
      </c>
      <c r="I7123" s="2" t="s">
        <v>8750</v>
      </c>
      <c r="J7123" s="2" t="s">
        <v>8751</v>
      </c>
      <c r="K7123" s="2" t="s">
        <v>358</v>
      </c>
      <c r="L7123" s="2" t="s">
        <v>1049</v>
      </c>
      <c r="M7123" s="10">
        <v>5903.55</v>
      </c>
      <c r="N7123" s="7">
        <v>72.114999999999995</v>
      </c>
      <c r="O7123" s="7">
        <v>72.114999999999995</v>
      </c>
      <c r="P7123" s="2" t="s">
        <v>21526</v>
      </c>
      <c r="Q7123" s="6">
        <v>100</v>
      </c>
      <c r="R7123" s="6">
        <v>28.75</v>
      </c>
      <c r="S7123" s="5">
        <v>126</v>
      </c>
      <c r="T7123" s="7">
        <v>270.55399999999997</v>
      </c>
      <c r="U7123" s="5">
        <v>2.6</v>
      </c>
      <c r="V7123" s="6">
        <v>1.32</v>
      </c>
      <c r="W7123" s="5">
        <v>25.5</v>
      </c>
      <c r="X7123" s="6">
        <v>25.88</v>
      </c>
      <c r="Y7123" s="6">
        <v>28.38</v>
      </c>
      <c r="Z7123" s="6">
        <v>28.38</v>
      </c>
      <c r="AA7123" s="6">
        <v>96.38</v>
      </c>
      <c r="AB7123" s="7">
        <v>12.976000000000001</v>
      </c>
      <c r="AC7123" s="10">
        <v>1456.71</v>
      </c>
    </row>
    <row r="7124" spans="1:29" ht="286" x14ac:dyDescent="0.15">
      <c r="A7124" s="3">
        <f>DATE(2003,12,15)</f>
        <v>37970</v>
      </c>
      <c r="B7124" s="3">
        <f>DATE(2004,9,30)</f>
        <v>38260</v>
      </c>
      <c r="C7124" s="2" t="s">
        <v>95</v>
      </c>
      <c r="D7124" s="2" t="s">
        <v>21527</v>
      </c>
      <c r="E7124" s="2" t="s">
        <v>4878</v>
      </c>
      <c r="F7124" s="4">
        <v>4923</v>
      </c>
      <c r="G7124" s="2" t="s">
        <v>439</v>
      </c>
      <c r="H7124" s="2" t="s">
        <v>34</v>
      </c>
      <c r="I7124" s="2" t="s">
        <v>21528</v>
      </c>
      <c r="J7124" s="2" t="s">
        <v>4880</v>
      </c>
      <c r="K7124" s="2" t="s">
        <v>439</v>
      </c>
      <c r="L7124" s="2" t="s">
        <v>34</v>
      </c>
      <c r="M7124" s="12">
        <v>4851.6130000000003</v>
      </c>
      <c r="N7124" s="6">
        <v>23.01</v>
      </c>
      <c r="O7124" s="6">
        <v>23.85</v>
      </c>
      <c r="P7124" s="2" t="s">
        <v>21529</v>
      </c>
      <c r="Q7124" s="6">
        <v>76.349999999999994</v>
      </c>
      <c r="R7124" s="6">
        <v>41.27</v>
      </c>
      <c r="S7124" s="5">
        <v>98.6</v>
      </c>
      <c r="T7124" s="7">
        <v>373.05200000000002</v>
      </c>
      <c r="U7124" s="5">
        <v>15.8</v>
      </c>
      <c r="V7124" s="6">
        <v>1.72</v>
      </c>
      <c r="W7124" s="6">
        <v>39.81</v>
      </c>
      <c r="X7124" s="6">
        <v>40.39</v>
      </c>
      <c r="Y7124" s="5">
        <v>40.200000000000003</v>
      </c>
      <c r="Z7124" s="6">
        <v>40.56</v>
      </c>
      <c r="AA7124" s="6">
        <v>58.36</v>
      </c>
      <c r="AB7124" s="7">
        <v>16.420000000000002</v>
      </c>
      <c r="AC7124" s="6">
        <v>54.89</v>
      </c>
    </row>
    <row r="7125" spans="1:29" ht="156" x14ac:dyDescent="0.15">
      <c r="A7125" s="3">
        <f>DATE(2003,12,15)</f>
        <v>37970</v>
      </c>
      <c r="B7125" s="3">
        <f>DATE(2004,1,30)</f>
        <v>38016</v>
      </c>
      <c r="C7125" s="2" t="s">
        <v>95</v>
      </c>
      <c r="D7125" s="2" t="s">
        <v>21530</v>
      </c>
      <c r="E7125" s="2" t="s">
        <v>6020</v>
      </c>
      <c r="F7125" s="4">
        <v>3841</v>
      </c>
      <c r="G7125" s="2" t="s">
        <v>226</v>
      </c>
      <c r="H7125" s="2" t="s">
        <v>34</v>
      </c>
      <c r="I7125" s="2" t="s">
        <v>7700</v>
      </c>
      <c r="J7125" s="2" t="s">
        <v>7701</v>
      </c>
      <c r="K7125" s="2" t="s">
        <v>130</v>
      </c>
      <c r="L7125" s="2" t="s">
        <v>34</v>
      </c>
      <c r="M7125" s="12">
        <v>69037.680999999997</v>
      </c>
      <c r="N7125" s="6">
        <v>45.65</v>
      </c>
      <c r="O7125" s="5">
        <v>45.9</v>
      </c>
      <c r="P7125" s="2" t="s">
        <v>21531</v>
      </c>
      <c r="Q7125" s="6">
        <v>93.2</v>
      </c>
      <c r="R7125" s="6">
        <v>15.35</v>
      </c>
      <c r="S7125" s="5">
        <v>-5.6</v>
      </c>
      <c r="T7125" s="2"/>
      <c r="U7125" s="5">
        <v>-2</v>
      </c>
      <c r="V7125" s="6">
        <v>-0.43</v>
      </c>
      <c r="W7125" s="6">
        <v>12.22</v>
      </c>
      <c r="X7125" s="6">
        <v>12.87</v>
      </c>
      <c r="Y7125" s="6">
        <v>15.21</v>
      </c>
      <c r="Z7125" s="6">
        <v>15.24</v>
      </c>
      <c r="AA7125" s="6">
        <v>20.22</v>
      </c>
      <c r="AB7125" s="2" t="s">
        <v>86</v>
      </c>
      <c r="AC7125" s="10">
        <v>1753.35</v>
      </c>
    </row>
    <row r="7126" spans="1:29" ht="130" x14ac:dyDescent="0.15">
      <c r="A7126" s="3">
        <f>DATE(2003,12,16)</f>
        <v>37971</v>
      </c>
      <c r="B7126" s="3">
        <f>DATE(2004,5,13)</f>
        <v>38120</v>
      </c>
      <c r="C7126" s="2" t="s">
        <v>95</v>
      </c>
      <c r="D7126" s="2" t="s">
        <v>21532</v>
      </c>
      <c r="E7126" s="2" t="s">
        <v>1181</v>
      </c>
      <c r="F7126" s="4">
        <v>6021</v>
      </c>
      <c r="G7126" s="2" t="s">
        <v>37</v>
      </c>
      <c r="H7126" s="2" t="s">
        <v>34</v>
      </c>
      <c r="I7126" s="2" t="s">
        <v>489</v>
      </c>
      <c r="J7126" s="2" t="s">
        <v>490</v>
      </c>
      <c r="K7126" s="2" t="s">
        <v>37</v>
      </c>
      <c r="L7126" s="2" t="s">
        <v>34</v>
      </c>
      <c r="M7126" s="12">
        <v>5972.8829999999998</v>
      </c>
      <c r="N7126" s="6">
        <v>39.049999999999997</v>
      </c>
      <c r="O7126" s="6">
        <v>38.69</v>
      </c>
      <c r="P7126" s="2" t="s">
        <v>21533</v>
      </c>
      <c r="Q7126" s="6">
        <v>100</v>
      </c>
      <c r="R7126" s="6">
        <v>37.65</v>
      </c>
      <c r="S7126" s="5">
        <v>27.1</v>
      </c>
      <c r="T7126" s="2"/>
      <c r="U7126" s="5">
        <v>14.7</v>
      </c>
      <c r="V7126" s="6">
        <v>1.48</v>
      </c>
      <c r="W7126" s="6">
        <v>34.049999999999997</v>
      </c>
      <c r="X7126" s="5">
        <v>35.5</v>
      </c>
      <c r="Y7126" s="6">
        <v>38.74</v>
      </c>
      <c r="Z7126" s="6">
        <v>38.380000000000003</v>
      </c>
      <c r="AA7126" s="6">
        <v>18.38</v>
      </c>
      <c r="AB7126" s="7">
        <v>32.090000000000003</v>
      </c>
      <c r="AC7126" s="2"/>
    </row>
    <row r="7127" spans="1:29" ht="117" x14ac:dyDescent="0.15">
      <c r="A7127" s="3">
        <f>DATE(2003,12,18)</f>
        <v>37973</v>
      </c>
      <c r="B7127" s="3">
        <f>DATE(2004,6,10)</f>
        <v>38148</v>
      </c>
      <c r="C7127" s="2" t="s">
        <v>95</v>
      </c>
      <c r="D7127" s="2" t="s">
        <v>21534</v>
      </c>
      <c r="E7127" s="2" t="s">
        <v>263</v>
      </c>
      <c r="F7127" s="4">
        <v>6021</v>
      </c>
      <c r="G7127" s="2" t="s">
        <v>37</v>
      </c>
      <c r="H7127" s="2" t="s">
        <v>34</v>
      </c>
      <c r="I7127" s="2" t="s">
        <v>345</v>
      </c>
      <c r="J7127" s="2" t="s">
        <v>36</v>
      </c>
      <c r="K7127" s="2" t="s">
        <v>37</v>
      </c>
      <c r="L7127" s="2" t="s">
        <v>34</v>
      </c>
      <c r="M7127" s="7">
        <v>746.55600000000004</v>
      </c>
      <c r="N7127" s="6">
        <v>32.75</v>
      </c>
      <c r="O7127" s="6">
        <v>32.33</v>
      </c>
      <c r="P7127" s="2" t="s">
        <v>21535</v>
      </c>
      <c r="Q7127" s="6">
        <v>100</v>
      </c>
      <c r="R7127" s="6">
        <v>49.65</v>
      </c>
      <c r="S7127" s="2"/>
      <c r="T7127" s="2"/>
      <c r="U7127" s="2"/>
      <c r="V7127" s="2"/>
      <c r="W7127" s="6">
        <v>34.25</v>
      </c>
      <c r="X7127" s="5">
        <v>36.5</v>
      </c>
      <c r="Y7127" s="4">
        <v>48</v>
      </c>
      <c r="Z7127" s="6">
        <v>47.81</v>
      </c>
      <c r="AA7127" s="6">
        <v>2.96</v>
      </c>
      <c r="AB7127" s="2" t="s">
        <v>47</v>
      </c>
      <c r="AC7127" s="2"/>
    </row>
    <row r="7128" spans="1:29" ht="117" x14ac:dyDescent="0.15">
      <c r="A7128" s="3">
        <f>DATE(2003,12,19)</f>
        <v>37974</v>
      </c>
      <c r="B7128" s="3">
        <f>DATE(2004,2,11)</f>
        <v>38028</v>
      </c>
      <c r="C7128" s="2" t="s">
        <v>95</v>
      </c>
      <c r="D7128" s="2" t="s">
        <v>21536</v>
      </c>
      <c r="E7128" s="2" t="s">
        <v>21537</v>
      </c>
      <c r="F7128" s="4">
        <v>2834</v>
      </c>
      <c r="G7128" s="2" t="s">
        <v>130</v>
      </c>
      <c r="H7128" s="2" t="s">
        <v>34</v>
      </c>
      <c r="I7128" s="2" t="s">
        <v>7393</v>
      </c>
      <c r="J7128" s="2" t="s">
        <v>5670</v>
      </c>
      <c r="K7128" s="2" t="s">
        <v>130</v>
      </c>
      <c r="L7128" s="2" t="s">
        <v>34</v>
      </c>
      <c r="M7128" s="12">
        <v>253213.929</v>
      </c>
      <c r="N7128" s="6">
        <v>34.270000000000003</v>
      </c>
      <c r="O7128" s="5">
        <v>34.299999999999997</v>
      </c>
      <c r="P7128" s="2" t="s">
        <v>21538</v>
      </c>
      <c r="Q7128" s="6">
        <v>100</v>
      </c>
      <c r="R7128" s="6">
        <v>35</v>
      </c>
      <c r="S7128" s="5">
        <v>-29</v>
      </c>
      <c r="T7128" s="7">
        <v>-26.196999999999999</v>
      </c>
      <c r="U7128" s="5">
        <v>2.5</v>
      </c>
      <c r="V7128" s="6">
        <v>-0.96</v>
      </c>
      <c r="W7128" s="5">
        <v>22.9</v>
      </c>
      <c r="X7128" s="6">
        <v>22.57</v>
      </c>
      <c r="Y7128" s="5">
        <v>22.7</v>
      </c>
      <c r="Z7128" s="6">
        <v>34.53</v>
      </c>
      <c r="AA7128" s="6">
        <v>34.08</v>
      </c>
      <c r="AB7128" s="2" t="s">
        <v>86</v>
      </c>
      <c r="AC7128" s="8">
        <v>14417</v>
      </c>
    </row>
    <row r="7129" spans="1:29" ht="156" x14ac:dyDescent="0.15">
      <c r="A7129" s="3">
        <f>DATE(2003,12,19)</f>
        <v>37974</v>
      </c>
      <c r="B7129" s="3">
        <f>DATE(2004,5,1)</f>
        <v>38108</v>
      </c>
      <c r="C7129" s="2" t="s">
        <v>95</v>
      </c>
      <c r="D7129" s="2" t="s">
        <v>21539</v>
      </c>
      <c r="E7129" s="2" t="s">
        <v>2337</v>
      </c>
      <c r="F7129" s="4">
        <v>6021</v>
      </c>
      <c r="G7129" s="2" t="s">
        <v>37</v>
      </c>
      <c r="H7129" s="2" t="s">
        <v>34</v>
      </c>
      <c r="I7129" s="2" t="s">
        <v>21540</v>
      </c>
      <c r="J7129" s="2" t="s">
        <v>159</v>
      </c>
      <c r="K7129" s="2" t="s">
        <v>37</v>
      </c>
      <c r="L7129" s="2" t="s">
        <v>34</v>
      </c>
      <c r="M7129" s="7">
        <v>234.39400000000001</v>
      </c>
      <c r="N7129" s="6">
        <v>30.63</v>
      </c>
      <c r="O7129" s="6">
        <v>30.55</v>
      </c>
      <c r="P7129" s="2" t="s">
        <v>21541</v>
      </c>
      <c r="Q7129" s="6">
        <v>100</v>
      </c>
      <c r="R7129" s="6">
        <v>26.62</v>
      </c>
      <c r="S7129" s="5">
        <v>1.9</v>
      </c>
      <c r="T7129" s="2"/>
      <c r="U7129" s="5">
        <v>9.9</v>
      </c>
      <c r="V7129" s="6">
        <v>0.96</v>
      </c>
      <c r="W7129" s="6">
        <v>20.25</v>
      </c>
      <c r="X7129" s="6">
        <v>19.68</v>
      </c>
      <c r="Y7129" s="5">
        <v>25.9</v>
      </c>
      <c r="Z7129" s="4">
        <v>26</v>
      </c>
      <c r="AA7129" s="6">
        <v>1.99</v>
      </c>
      <c r="AB7129" s="7">
        <v>33.968000000000004</v>
      </c>
      <c r="AC7129" s="2"/>
    </row>
    <row r="7130" spans="1:29" ht="104" x14ac:dyDescent="0.15">
      <c r="A7130" s="3">
        <f>DATE(2003,12,19)</f>
        <v>37974</v>
      </c>
      <c r="B7130" s="3">
        <f>DATE(2004,4,1)</f>
        <v>38078</v>
      </c>
      <c r="C7130" s="2" t="s">
        <v>95</v>
      </c>
      <c r="D7130" s="2" t="s">
        <v>21542</v>
      </c>
      <c r="E7130" s="2" t="s">
        <v>540</v>
      </c>
      <c r="F7130" s="4">
        <v>2836</v>
      </c>
      <c r="G7130" s="2" t="s">
        <v>130</v>
      </c>
      <c r="H7130" s="2" t="s">
        <v>34</v>
      </c>
      <c r="I7130" s="2" t="s">
        <v>21543</v>
      </c>
      <c r="J7130" s="2" t="s">
        <v>14081</v>
      </c>
      <c r="K7130" s="2" t="s">
        <v>130</v>
      </c>
      <c r="L7130" s="2" t="s">
        <v>34</v>
      </c>
      <c r="M7130" s="7">
        <v>64.084999999999994</v>
      </c>
      <c r="N7130" s="4">
        <v>3</v>
      </c>
      <c r="O7130" s="6">
        <v>2.95</v>
      </c>
      <c r="P7130" s="2" t="s">
        <v>21544</v>
      </c>
      <c r="Q7130" s="6">
        <v>100</v>
      </c>
      <c r="R7130" s="6">
        <v>5.41</v>
      </c>
      <c r="S7130" s="5">
        <v>1.3</v>
      </c>
      <c r="T7130" s="7">
        <v>2.2320000000000002</v>
      </c>
      <c r="U7130" s="5">
        <v>0.8</v>
      </c>
      <c r="V7130" s="6">
        <v>0.31</v>
      </c>
      <c r="W7130" s="5">
        <v>5.4</v>
      </c>
      <c r="X7130" s="6">
        <v>5.25</v>
      </c>
      <c r="Y7130" s="6">
        <v>5.05</v>
      </c>
      <c r="Z7130" s="6">
        <v>5.07</v>
      </c>
      <c r="AA7130" s="6">
        <v>3.67</v>
      </c>
      <c r="AB7130" s="7">
        <v>12.760999999999999</v>
      </c>
      <c r="AC7130" s="6">
        <v>17.09</v>
      </c>
    </row>
    <row r="7131" spans="1:29" ht="91" x14ac:dyDescent="0.15">
      <c r="A7131" s="3">
        <f>DATE(2003,12,19)</f>
        <v>37974</v>
      </c>
      <c r="B7131" s="3">
        <f>DATE(2004,4,14)</f>
        <v>38091</v>
      </c>
      <c r="C7131" s="2" t="s">
        <v>95</v>
      </c>
      <c r="D7131" s="2" t="s">
        <v>21545</v>
      </c>
      <c r="E7131" s="2" t="s">
        <v>2860</v>
      </c>
      <c r="F7131" s="4">
        <v>4833</v>
      </c>
      <c r="G7131" s="2" t="s">
        <v>45</v>
      </c>
      <c r="H7131" s="2" t="s">
        <v>34</v>
      </c>
      <c r="I7131" s="2" t="s">
        <v>4672</v>
      </c>
      <c r="J7131" s="2" t="s">
        <v>21546</v>
      </c>
      <c r="K7131" s="2" t="s">
        <v>45</v>
      </c>
      <c r="L7131" s="2" t="s">
        <v>34</v>
      </c>
      <c r="M7131" s="12">
        <v>5705.9380000000001</v>
      </c>
      <c r="N7131" s="6">
        <v>93.66</v>
      </c>
      <c r="O7131" s="6">
        <v>94.18</v>
      </c>
      <c r="P7131" s="2" t="s">
        <v>21547</v>
      </c>
      <c r="Q7131" s="6">
        <v>50.5</v>
      </c>
      <c r="R7131" s="6">
        <v>4.05</v>
      </c>
      <c r="S7131" s="5">
        <v>-4.0999999999999996</v>
      </c>
      <c r="T7131" s="7">
        <v>-12.199</v>
      </c>
      <c r="U7131" s="5">
        <v>1.6</v>
      </c>
      <c r="V7131" s="6">
        <v>0.21</v>
      </c>
      <c r="W7131" s="6">
        <v>3.58</v>
      </c>
      <c r="X7131" s="6">
        <v>3.38</v>
      </c>
      <c r="Y7131" s="6">
        <v>3.93</v>
      </c>
      <c r="Z7131" s="6">
        <v>3.92</v>
      </c>
      <c r="AA7131" s="6">
        <v>44.11</v>
      </c>
      <c r="AB7131" s="2" t="s">
        <v>86</v>
      </c>
      <c r="AC7131" s="6">
        <v>20.22</v>
      </c>
    </row>
    <row r="7132" spans="1:29" ht="130" x14ac:dyDescent="0.15">
      <c r="A7132" s="3">
        <f>DATE(2003,12,22)</f>
        <v>37977</v>
      </c>
      <c r="B7132" s="3">
        <f>DATE(2004,7,14)</f>
        <v>38182</v>
      </c>
      <c r="C7132" s="2" t="s">
        <v>95</v>
      </c>
      <c r="D7132" s="2" t="s">
        <v>21548</v>
      </c>
      <c r="E7132" s="2" t="s">
        <v>263</v>
      </c>
      <c r="F7132" s="4">
        <v>6036</v>
      </c>
      <c r="G7132" s="2" t="s">
        <v>33</v>
      </c>
      <c r="H7132" s="2" t="s">
        <v>34</v>
      </c>
      <c r="I7132" s="2" t="s">
        <v>21549</v>
      </c>
      <c r="J7132" s="2" t="s">
        <v>36</v>
      </c>
      <c r="K7132" s="2" t="s">
        <v>33</v>
      </c>
      <c r="L7132" s="2" t="s">
        <v>34</v>
      </c>
      <c r="M7132" s="12">
        <v>1255.989</v>
      </c>
      <c r="N7132" s="6">
        <v>19.18</v>
      </c>
      <c r="O7132" s="6">
        <v>18.920000000000002</v>
      </c>
      <c r="P7132" s="2" t="s">
        <v>21550</v>
      </c>
      <c r="Q7132" s="6">
        <v>100</v>
      </c>
      <c r="R7132" s="6">
        <v>22.25</v>
      </c>
      <c r="S7132" s="5">
        <v>25.4</v>
      </c>
      <c r="T7132" s="2"/>
      <c r="U7132" s="5">
        <v>7.9</v>
      </c>
      <c r="V7132" s="6">
        <v>0.92</v>
      </c>
      <c r="W7132" s="5">
        <v>18.5</v>
      </c>
      <c r="X7132" s="6">
        <v>18.78</v>
      </c>
      <c r="Y7132" s="6">
        <v>21.34</v>
      </c>
      <c r="Z7132" s="6">
        <v>21.24</v>
      </c>
      <c r="AA7132" s="6">
        <v>27.65</v>
      </c>
      <c r="AB7132" s="7">
        <v>31.61</v>
      </c>
      <c r="AC7132" s="2"/>
    </row>
    <row r="7133" spans="1:29" ht="156" x14ac:dyDescent="0.15">
      <c r="A7133" s="3">
        <f>DATE(2003,12,22)</f>
        <v>37977</v>
      </c>
      <c r="B7133" s="3">
        <f>DATE(2004,4,30)</f>
        <v>38107</v>
      </c>
      <c r="C7133" s="2" t="s">
        <v>95</v>
      </c>
      <c r="D7133" s="2" t="s">
        <v>21551</v>
      </c>
      <c r="E7133" s="2" t="s">
        <v>1181</v>
      </c>
      <c r="F7133" s="4">
        <v>6021</v>
      </c>
      <c r="G7133" s="2" t="s">
        <v>37</v>
      </c>
      <c r="H7133" s="2" t="s">
        <v>34</v>
      </c>
      <c r="I7133" s="2" t="s">
        <v>21552</v>
      </c>
      <c r="J7133" s="2" t="s">
        <v>36</v>
      </c>
      <c r="K7133" s="2" t="s">
        <v>37</v>
      </c>
      <c r="L7133" s="2" t="s">
        <v>34</v>
      </c>
      <c r="M7133" s="5">
        <v>282.5</v>
      </c>
      <c r="N7133" s="5">
        <v>21.3</v>
      </c>
      <c r="O7133" s="6">
        <v>20.16</v>
      </c>
      <c r="P7133" s="2" t="s">
        <v>21553</v>
      </c>
      <c r="Q7133" s="6">
        <v>62.06</v>
      </c>
      <c r="R7133" s="2"/>
      <c r="S7133" s="5">
        <v>11.8</v>
      </c>
      <c r="T7133" s="2"/>
      <c r="U7133" s="5">
        <v>10.1</v>
      </c>
      <c r="V7133" s="6">
        <v>1.1000000000000001</v>
      </c>
      <c r="W7133" s="6">
        <v>20.88</v>
      </c>
      <c r="X7133" s="6">
        <v>22.56</v>
      </c>
      <c r="Y7133" s="6">
        <v>22.56</v>
      </c>
      <c r="Z7133" s="6">
        <v>22.89</v>
      </c>
      <c r="AA7133" s="6">
        <v>10.67</v>
      </c>
      <c r="AB7133" s="7">
        <v>20.093</v>
      </c>
      <c r="AC7133" s="2"/>
    </row>
    <row r="7134" spans="1:29" ht="208" x14ac:dyDescent="0.15">
      <c r="A7134" s="3">
        <f>DATE(2003,12,22)</f>
        <v>37977</v>
      </c>
      <c r="B7134" s="3">
        <f>DATE(2004,4,30)</f>
        <v>38107</v>
      </c>
      <c r="C7134" s="2" t="s">
        <v>95</v>
      </c>
      <c r="D7134" s="2" t="s">
        <v>21551</v>
      </c>
      <c r="E7134" s="2" t="s">
        <v>1181</v>
      </c>
      <c r="F7134" s="4">
        <v>6021</v>
      </c>
      <c r="G7134" s="2" t="s">
        <v>37</v>
      </c>
      <c r="H7134" s="2" t="s">
        <v>34</v>
      </c>
      <c r="I7134" s="2" t="s">
        <v>21552</v>
      </c>
      <c r="J7134" s="2" t="s">
        <v>36</v>
      </c>
      <c r="K7134" s="2" t="s">
        <v>37</v>
      </c>
      <c r="L7134" s="2" t="s">
        <v>34</v>
      </c>
      <c r="M7134" s="5">
        <v>282.5</v>
      </c>
      <c r="N7134" s="5">
        <v>21.3</v>
      </c>
      <c r="O7134" s="6">
        <v>20.16</v>
      </c>
      <c r="P7134" s="2" t="s">
        <v>21554</v>
      </c>
      <c r="Q7134" s="6">
        <v>37.94</v>
      </c>
      <c r="R7134" s="2"/>
      <c r="S7134" s="5">
        <v>11.8</v>
      </c>
      <c r="T7134" s="2"/>
      <c r="U7134" s="5">
        <v>10.1</v>
      </c>
      <c r="V7134" s="6">
        <v>1.1000000000000001</v>
      </c>
      <c r="W7134" s="6">
        <v>23.36</v>
      </c>
      <c r="X7134" s="6">
        <v>24.41</v>
      </c>
      <c r="Y7134" s="6">
        <v>24.63</v>
      </c>
      <c r="Z7134" s="6">
        <v>25.95</v>
      </c>
      <c r="AA7134" s="6">
        <v>10.67</v>
      </c>
      <c r="AB7134" s="7">
        <v>24.951000000000001</v>
      </c>
      <c r="AC7134" s="2"/>
    </row>
    <row r="7135" spans="1:29" ht="91" x14ac:dyDescent="0.15">
      <c r="A7135" s="3">
        <f>DATE(2003,12,22)</f>
        <v>37977</v>
      </c>
      <c r="B7135" s="3">
        <f>DATE(2003,12,22)</f>
        <v>37977</v>
      </c>
      <c r="C7135" s="2" t="s">
        <v>95</v>
      </c>
      <c r="D7135" s="2" t="s">
        <v>21555</v>
      </c>
      <c r="E7135" s="2" t="s">
        <v>21556</v>
      </c>
      <c r="F7135" s="4">
        <v>2015</v>
      </c>
      <c r="G7135" s="2" t="s">
        <v>577</v>
      </c>
      <c r="H7135" s="2" t="s">
        <v>34</v>
      </c>
      <c r="I7135" s="2" t="s">
        <v>21557</v>
      </c>
      <c r="J7135" s="2" t="s">
        <v>1072</v>
      </c>
      <c r="K7135" s="2" t="s">
        <v>53</v>
      </c>
      <c r="L7135" s="2" t="s">
        <v>21558</v>
      </c>
      <c r="M7135" s="2"/>
      <c r="N7135" s="2"/>
      <c r="O7135" s="2"/>
      <c r="P7135" s="2" t="s">
        <v>21559</v>
      </c>
      <c r="Q7135" s="6">
        <v>77.22</v>
      </c>
      <c r="R7135" s="2"/>
      <c r="S7135" s="5">
        <v>-0.8</v>
      </c>
      <c r="T7135" s="7">
        <v>9.0419999999999998</v>
      </c>
      <c r="U7135" s="5">
        <v>1.8</v>
      </c>
      <c r="V7135" s="6">
        <v>-7.0000000000000007E-2</v>
      </c>
      <c r="W7135" s="6">
        <v>1.08</v>
      </c>
      <c r="X7135" s="6">
        <v>1.1299999999999999</v>
      </c>
      <c r="Y7135" s="6">
        <v>1.1299999999999999</v>
      </c>
      <c r="Z7135" s="6">
        <v>1.1299999999999999</v>
      </c>
      <c r="AA7135" s="6">
        <v>12.86</v>
      </c>
      <c r="AB7135" s="7">
        <v>13.311</v>
      </c>
      <c r="AC7135" s="2"/>
    </row>
    <row r="7136" spans="1:29" ht="130" x14ac:dyDescent="0.15">
      <c r="A7136" s="3">
        <f>DATE(2003,12,23)</f>
        <v>37978</v>
      </c>
      <c r="B7136" s="3">
        <f>DATE(2004,8,2)</f>
        <v>38201</v>
      </c>
      <c r="C7136" s="2" t="s">
        <v>95</v>
      </c>
      <c r="D7136" s="2" t="s">
        <v>21560</v>
      </c>
      <c r="E7136" s="2" t="s">
        <v>4792</v>
      </c>
      <c r="F7136" s="4">
        <v>5912</v>
      </c>
      <c r="G7136" s="2" t="s">
        <v>73</v>
      </c>
      <c r="H7136" s="2" t="s">
        <v>34</v>
      </c>
      <c r="I7136" s="2" t="s">
        <v>21561</v>
      </c>
      <c r="J7136" s="2" t="s">
        <v>1072</v>
      </c>
      <c r="K7136" s="2" t="s">
        <v>53</v>
      </c>
      <c r="L7136" s="2" t="s">
        <v>34</v>
      </c>
      <c r="M7136" s="2"/>
      <c r="N7136" s="2"/>
      <c r="O7136" s="2"/>
      <c r="P7136" s="2" t="s">
        <v>21562</v>
      </c>
      <c r="Q7136" s="6">
        <v>100</v>
      </c>
      <c r="R7136" s="6">
        <v>16.5</v>
      </c>
      <c r="S7136" s="5">
        <v>3.3</v>
      </c>
      <c r="T7136" s="7">
        <v>54.668999999999997</v>
      </c>
      <c r="U7136" s="5">
        <v>13.9</v>
      </c>
      <c r="V7136" s="6">
        <v>0.14000000000000001</v>
      </c>
      <c r="W7136" s="6">
        <v>13.23</v>
      </c>
      <c r="X7136" s="6">
        <v>15.22</v>
      </c>
      <c r="Y7136" s="4">
        <v>17</v>
      </c>
      <c r="Z7136" s="6">
        <v>16.78</v>
      </c>
      <c r="AA7136" s="6">
        <v>24.04</v>
      </c>
      <c r="AB7136" s="7">
        <v>27.588000000000001</v>
      </c>
      <c r="AC7136" s="2"/>
    </row>
    <row r="7137" spans="1:29" ht="52" x14ac:dyDescent="0.15">
      <c r="A7137" s="3">
        <f>DATE(2003,12,23)</f>
        <v>37978</v>
      </c>
      <c r="B7137" s="2"/>
      <c r="C7137" s="2" t="s">
        <v>87</v>
      </c>
      <c r="D7137" s="2" t="s">
        <v>21563</v>
      </c>
      <c r="E7137" s="2" t="s">
        <v>21564</v>
      </c>
      <c r="F7137" s="4">
        <v>6231</v>
      </c>
      <c r="G7137" s="2" t="s">
        <v>53</v>
      </c>
      <c r="H7137" s="2" t="s">
        <v>34</v>
      </c>
      <c r="I7137" s="2" t="s">
        <v>21565</v>
      </c>
      <c r="J7137" s="2" t="s">
        <v>21566</v>
      </c>
      <c r="K7137" s="2" t="s">
        <v>53</v>
      </c>
      <c r="L7137" s="2" t="s">
        <v>34</v>
      </c>
      <c r="M7137" s="2"/>
      <c r="N7137" s="2"/>
      <c r="O7137" s="2"/>
      <c r="P7137" s="2" t="s">
        <v>21567</v>
      </c>
      <c r="Q7137" s="2"/>
      <c r="R7137" s="2"/>
      <c r="S7137" s="5">
        <v>-84.1</v>
      </c>
      <c r="T7137" s="7">
        <v>103.414</v>
      </c>
      <c r="U7137" s="5">
        <v>0.6</v>
      </c>
      <c r="V7137" s="6">
        <v>-1.1499999999999999</v>
      </c>
      <c r="W7137" s="6">
        <v>8.5500000000000007</v>
      </c>
      <c r="X7137" s="6">
        <v>8.75</v>
      </c>
      <c r="Y7137" s="4">
        <v>9</v>
      </c>
      <c r="Z7137" s="4">
        <v>9</v>
      </c>
      <c r="AA7137" s="2"/>
      <c r="AB7137" s="2" t="s">
        <v>47</v>
      </c>
      <c r="AC7137" s="2"/>
    </row>
    <row r="7138" spans="1:29" ht="143" x14ac:dyDescent="0.15">
      <c r="A7138" s="3">
        <f>DATE(2003,12,24)</f>
        <v>37979</v>
      </c>
      <c r="B7138" s="3">
        <f>DATE(2004,7,14)</f>
        <v>38182</v>
      </c>
      <c r="C7138" s="2" t="s">
        <v>95</v>
      </c>
      <c r="D7138" s="2" t="s">
        <v>13690</v>
      </c>
      <c r="E7138" s="2" t="s">
        <v>265</v>
      </c>
      <c r="F7138" s="4">
        <v>6022</v>
      </c>
      <c r="G7138" s="2" t="s">
        <v>37</v>
      </c>
      <c r="H7138" s="2" t="s">
        <v>34</v>
      </c>
      <c r="I7138" s="2" t="s">
        <v>20235</v>
      </c>
      <c r="J7138" s="2" t="s">
        <v>20236</v>
      </c>
      <c r="K7138" s="2" t="s">
        <v>37</v>
      </c>
      <c r="L7138" s="2" t="s">
        <v>34</v>
      </c>
      <c r="M7138" s="7">
        <v>402.59300000000002</v>
      </c>
      <c r="N7138" s="5">
        <v>33.299999999999997</v>
      </c>
      <c r="O7138" s="5">
        <v>33.299999999999997</v>
      </c>
      <c r="P7138" s="2" t="s">
        <v>21568</v>
      </c>
      <c r="Q7138" s="6">
        <v>100</v>
      </c>
      <c r="R7138" s="6">
        <v>36</v>
      </c>
      <c r="S7138" s="5">
        <v>14.4</v>
      </c>
      <c r="T7138" s="7">
        <v>23.494</v>
      </c>
      <c r="U7138" s="5">
        <v>15.8</v>
      </c>
      <c r="V7138" s="6">
        <v>1.65</v>
      </c>
      <c r="W7138" s="6">
        <v>33.380000000000003</v>
      </c>
      <c r="X7138" s="6">
        <v>33.53</v>
      </c>
      <c r="Y7138" s="6">
        <v>39.56</v>
      </c>
      <c r="Z7138" s="6">
        <v>39.270000000000003</v>
      </c>
      <c r="AA7138" s="6">
        <v>9.19</v>
      </c>
      <c r="AB7138" s="7">
        <v>110.628</v>
      </c>
      <c r="AC7138" s="2"/>
    </row>
    <row r="7139" spans="1:29" ht="143" x14ac:dyDescent="0.15">
      <c r="A7139" s="3">
        <f>DATE(2003,12,24)</f>
        <v>37979</v>
      </c>
      <c r="B7139" s="3">
        <f>DATE(2004,2,10)</f>
        <v>38027</v>
      </c>
      <c r="C7139" s="2" t="s">
        <v>95</v>
      </c>
      <c r="D7139" s="2" t="s">
        <v>21569</v>
      </c>
      <c r="E7139" s="2" t="s">
        <v>21570</v>
      </c>
      <c r="F7139" s="4">
        <v>8731</v>
      </c>
      <c r="G7139" s="2" t="s">
        <v>223</v>
      </c>
      <c r="H7139" s="2" t="s">
        <v>34</v>
      </c>
      <c r="I7139" s="2" t="s">
        <v>17211</v>
      </c>
      <c r="J7139" s="2" t="s">
        <v>16467</v>
      </c>
      <c r="K7139" s="2" t="s">
        <v>130</v>
      </c>
      <c r="L7139" s="2" t="s">
        <v>34</v>
      </c>
      <c r="M7139" s="12">
        <v>3468.6030000000001</v>
      </c>
      <c r="N7139" s="6">
        <v>69.55</v>
      </c>
      <c r="O7139" s="5">
        <v>69.5</v>
      </c>
      <c r="P7139" s="2" t="s">
        <v>21571</v>
      </c>
      <c r="Q7139" s="6">
        <v>100</v>
      </c>
      <c r="R7139" s="6">
        <v>48</v>
      </c>
      <c r="S7139" s="5">
        <v>12.8</v>
      </c>
      <c r="T7139" s="7">
        <v>23.361999999999998</v>
      </c>
      <c r="U7139" s="5">
        <v>9.8000000000000007</v>
      </c>
      <c r="V7139" s="6">
        <v>1.45</v>
      </c>
      <c r="W7139" s="5">
        <v>41.6</v>
      </c>
      <c r="X7139" s="4">
        <v>48</v>
      </c>
      <c r="Y7139" s="6">
        <v>47.98</v>
      </c>
      <c r="Z7139" s="6">
        <v>47.98</v>
      </c>
      <c r="AA7139" s="6">
        <v>8.3800000000000008</v>
      </c>
      <c r="AB7139" s="7">
        <v>26.332999999999998</v>
      </c>
      <c r="AC7139" s="6">
        <v>876.85</v>
      </c>
    </row>
    <row r="7140" spans="1:29" ht="78" x14ac:dyDescent="0.15">
      <c r="A7140" s="3">
        <f>DATE(2003,12,29)</f>
        <v>37984</v>
      </c>
      <c r="B7140" s="3">
        <f>DATE(2004,6,28)</f>
        <v>38166</v>
      </c>
      <c r="C7140" s="2" t="s">
        <v>95</v>
      </c>
      <c r="D7140" s="2" t="s">
        <v>13274</v>
      </c>
      <c r="E7140" s="2" t="s">
        <v>13275</v>
      </c>
      <c r="F7140" s="4">
        <v>4911</v>
      </c>
      <c r="G7140" s="2" t="s">
        <v>439</v>
      </c>
      <c r="H7140" s="2" t="s">
        <v>34</v>
      </c>
      <c r="I7140" s="2" t="s">
        <v>1526</v>
      </c>
      <c r="J7140" s="2" t="s">
        <v>302</v>
      </c>
      <c r="K7140" s="2" t="s">
        <v>53</v>
      </c>
      <c r="L7140" s="2" t="s">
        <v>34</v>
      </c>
      <c r="M7140" s="2"/>
      <c r="N7140" s="2"/>
      <c r="O7140" s="2"/>
      <c r="P7140" s="2" t="s">
        <v>21572</v>
      </c>
      <c r="Q7140" s="2"/>
      <c r="R7140" s="2"/>
      <c r="S7140" s="8">
        <v>-3094</v>
      </c>
      <c r="T7140" s="2"/>
      <c r="U7140" s="5">
        <v>1.1000000000000001</v>
      </c>
      <c r="V7140" s="6">
        <v>-4.3499999999999996</v>
      </c>
      <c r="W7140" s="6">
        <v>8.7799999999999994</v>
      </c>
      <c r="X7140" s="6">
        <v>8.92</v>
      </c>
      <c r="Y7140" s="6">
        <v>9.2899999999999991</v>
      </c>
      <c r="Z7140" s="5">
        <v>9.5</v>
      </c>
      <c r="AA7140" s="2"/>
      <c r="AB7140" s="2" t="s">
        <v>47</v>
      </c>
      <c r="AC7140" s="2"/>
    </row>
    <row r="7141" spans="1:29" ht="143" x14ac:dyDescent="0.15">
      <c r="A7141" s="3">
        <f>DATE(2003,12,31)</f>
        <v>37986</v>
      </c>
      <c r="B7141" s="3">
        <f>DATE(2004,9,13)</f>
        <v>38243</v>
      </c>
      <c r="C7141" s="2" t="s">
        <v>95</v>
      </c>
      <c r="D7141" s="2" t="s">
        <v>21573</v>
      </c>
      <c r="E7141" s="2" t="s">
        <v>172</v>
      </c>
      <c r="F7141" s="4">
        <v>4213</v>
      </c>
      <c r="G7141" s="2" t="s">
        <v>173</v>
      </c>
      <c r="H7141" s="2" t="s">
        <v>34</v>
      </c>
      <c r="I7141" s="2" t="s">
        <v>51</v>
      </c>
      <c r="J7141" s="2" t="s">
        <v>52</v>
      </c>
      <c r="K7141" s="2" t="s">
        <v>53</v>
      </c>
      <c r="L7141" s="2" t="s">
        <v>34</v>
      </c>
      <c r="M7141" s="2"/>
      <c r="N7141" s="2"/>
      <c r="O7141" s="2"/>
      <c r="P7141" s="2" t="s">
        <v>21574</v>
      </c>
      <c r="Q7141" s="6">
        <v>38.29</v>
      </c>
      <c r="R7141" s="6">
        <v>9.18</v>
      </c>
      <c r="S7141" s="5">
        <v>1</v>
      </c>
      <c r="T7141" s="7">
        <v>13.069000000000001</v>
      </c>
      <c r="U7141" s="5">
        <v>10.1</v>
      </c>
      <c r="V7141" s="6">
        <v>0.33</v>
      </c>
      <c r="W7141" s="6">
        <v>5.52</v>
      </c>
      <c r="X7141" s="4">
        <v>6</v>
      </c>
      <c r="Y7141" s="6">
        <v>6.15</v>
      </c>
      <c r="Z7141" s="6">
        <v>7.12</v>
      </c>
      <c r="AA7141" s="6">
        <v>2.71</v>
      </c>
      <c r="AB7141" s="7">
        <v>20.215</v>
      </c>
      <c r="AC7141" s="2"/>
    </row>
    <row r="7142" spans="1:29" ht="104" x14ac:dyDescent="0.15">
      <c r="A7142" s="3">
        <f>DATE(2003,12,31)</f>
        <v>37986</v>
      </c>
      <c r="B7142" s="3">
        <f>DATE(2004,5,18)</f>
        <v>38125</v>
      </c>
      <c r="C7142" s="2" t="s">
        <v>95</v>
      </c>
      <c r="D7142" s="2" t="s">
        <v>21575</v>
      </c>
      <c r="E7142" s="2" t="s">
        <v>21576</v>
      </c>
      <c r="F7142" s="4">
        <v>3081</v>
      </c>
      <c r="G7142" s="2" t="s">
        <v>447</v>
      </c>
      <c r="H7142" s="2" t="s">
        <v>34</v>
      </c>
      <c r="I7142" s="2" t="s">
        <v>21577</v>
      </c>
      <c r="J7142" s="2" t="s">
        <v>1072</v>
      </c>
      <c r="K7142" s="2" t="s">
        <v>53</v>
      </c>
      <c r="L7142" s="2" t="s">
        <v>34</v>
      </c>
      <c r="M7142" s="2"/>
      <c r="N7142" s="2"/>
      <c r="O7142" s="2"/>
      <c r="P7142" s="2" t="s">
        <v>21578</v>
      </c>
      <c r="Q7142" s="6">
        <v>100</v>
      </c>
      <c r="R7142" s="6">
        <v>18.5</v>
      </c>
      <c r="S7142" s="5">
        <v>20.8</v>
      </c>
      <c r="T7142" s="7">
        <v>38.710999999999999</v>
      </c>
      <c r="U7142" s="5">
        <v>13.6</v>
      </c>
      <c r="V7142" s="6">
        <v>1.72</v>
      </c>
      <c r="W7142" s="6">
        <v>20.58</v>
      </c>
      <c r="X7142" s="6">
        <v>21.26</v>
      </c>
      <c r="Y7142" s="6">
        <v>20.76</v>
      </c>
      <c r="Z7142" s="6">
        <v>20.76</v>
      </c>
      <c r="AA7142" s="6">
        <v>11.53</v>
      </c>
      <c r="AB7142" s="7">
        <v>6.7309999999999999</v>
      </c>
      <c r="AC7142" s="2"/>
    </row>
    <row r="7143" spans="1:29" ht="52" x14ac:dyDescent="0.15">
      <c r="A7143" s="3">
        <f>DATE(2004,1,3)</f>
        <v>37989</v>
      </c>
      <c r="B7143" s="2"/>
      <c r="C7143" s="2" t="s">
        <v>189</v>
      </c>
      <c r="D7143" s="2" t="s">
        <v>9177</v>
      </c>
      <c r="E7143" s="2" t="s">
        <v>21579</v>
      </c>
      <c r="F7143" s="4">
        <v>3678</v>
      </c>
      <c r="G7143" s="2" t="s">
        <v>137</v>
      </c>
      <c r="H7143" s="2" t="s">
        <v>34</v>
      </c>
      <c r="I7143" s="2" t="s">
        <v>143</v>
      </c>
      <c r="J7143" s="2" t="s">
        <v>144</v>
      </c>
      <c r="K7143" s="2" t="s">
        <v>53</v>
      </c>
      <c r="L7143" s="2" t="s">
        <v>139</v>
      </c>
      <c r="M7143" s="2"/>
      <c r="N7143" s="2"/>
      <c r="O7143" s="2"/>
      <c r="P7143" s="2" t="s">
        <v>21580</v>
      </c>
      <c r="Q7143" s="2"/>
      <c r="R7143" s="2"/>
      <c r="S7143" s="5">
        <v>114.5</v>
      </c>
      <c r="T7143" s="7">
        <v>256.76299999999998</v>
      </c>
      <c r="U7143" s="5">
        <v>0.9</v>
      </c>
      <c r="V7143" s="9">
        <v>0.32250000000000001</v>
      </c>
      <c r="W7143" s="6">
        <v>63.47</v>
      </c>
      <c r="X7143" s="5">
        <v>62.4</v>
      </c>
      <c r="Y7143" s="5">
        <v>63.8</v>
      </c>
      <c r="Z7143" s="5">
        <v>63.8</v>
      </c>
      <c r="AA7143" s="6">
        <v>87.92</v>
      </c>
      <c r="AB7143" s="2" t="s">
        <v>47</v>
      </c>
      <c r="AC7143" s="2"/>
    </row>
    <row r="7144" spans="1:29" ht="143" x14ac:dyDescent="0.15">
      <c r="A7144" s="3">
        <f>DATE(2004,1,8)</f>
        <v>37994</v>
      </c>
      <c r="B7144" s="3">
        <f>DATE(2004,7,2)</f>
        <v>38170</v>
      </c>
      <c r="C7144" s="2" t="s">
        <v>95</v>
      </c>
      <c r="D7144" s="2" t="s">
        <v>21581</v>
      </c>
      <c r="E7144" s="2" t="s">
        <v>1181</v>
      </c>
      <c r="F7144" s="4">
        <v>6021</v>
      </c>
      <c r="G7144" s="2" t="s">
        <v>37</v>
      </c>
      <c r="H7144" s="2" t="s">
        <v>34</v>
      </c>
      <c r="I7144" s="2" t="s">
        <v>13442</v>
      </c>
      <c r="J7144" s="2" t="s">
        <v>3246</v>
      </c>
      <c r="K7144" s="2" t="s">
        <v>37</v>
      </c>
      <c r="L7144" s="2" t="s">
        <v>34</v>
      </c>
      <c r="M7144" s="12">
        <v>2364.8629999999998</v>
      </c>
      <c r="N7144" s="6">
        <v>26.23</v>
      </c>
      <c r="O7144" s="6">
        <v>26.59</v>
      </c>
      <c r="P7144" s="2" t="s">
        <v>21582</v>
      </c>
      <c r="Q7144" s="6">
        <v>100</v>
      </c>
      <c r="R7144" s="6">
        <v>32.75</v>
      </c>
      <c r="S7144" s="5">
        <v>23.2</v>
      </c>
      <c r="T7144" s="7">
        <v>29.577999999999999</v>
      </c>
      <c r="U7144" s="5">
        <v>14.5</v>
      </c>
      <c r="V7144" s="6">
        <v>2.41</v>
      </c>
      <c r="W7144" s="5">
        <v>26.4</v>
      </c>
      <c r="X7144" s="6">
        <v>27.09</v>
      </c>
      <c r="Y7144" s="6">
        <v>27.66</v>
      </c>
      <c r="Z7144" s="6">
        <v>33.01</v>
      </c>
      <c r="AA7144" s="6">
        <v>9.4700000000000006</v>
      </c>
      <c r="AB7144" s="7">
        <v>40.335000000000001</v>
      </c>
      <c r="AC7144" s="2"/>
    </row>
    <row r="7145" spans="1:29" ht="143" x14ac:dyDescent="0.15">
      <c r="A7145" s="3">
        <f>DATE(2004,1,9)</f>
        <v>37995</v>
      </c>
      <c r="B7145" s="3">
        <f>DATE(2004,7,16)</f>
        <v>38184</v>
      </c>
      <c r="C7145" s="2" t="s">
        <v>95</v>
      </c>
      <c r="D7145" s="2" t="s">
        <v>21583</v>
      </c>
      <c r="E7145" s="2" t="s">
        <v>203</v>
      </c>
      <c r="F7145" s="4">
        <v>6035</v>
      </c>
      <c r="G7145" s="2" t="s">
        <v>33</v>
      </c>
      <c r="H7145" s="2" t="s">
        <v>34</v>
      </c>
      <c r="I7145" s="2" t="s">
        <v>14074</v>
      </c>
      <c r="J7145" s="2" t="s">
        <v>36</v>
      </c>
      <c r="K7145" s="2" t="s">
        <v>37</v>
      </c>
      <c r="L7145" s="2" t="s">
        <v>34</v>
      </c>
      <c r="M7145" s="7">
        <v>455.28100000000001</v>
      </c>
      <c r="N7145" s="6">
        <v>28.76</v>
      </c>
      <c r="O7145" s="6">
        <v>28.42</v>
      </c>
      <c r="P7145" s="2" t="s">
        <v>21584</v>
      </c>
      <c r="Q7145" s="6">
        <v>100</v>
      </c>
      <c r="R7145" s="6">
        <v>37.56</v>
      </c>
      <c r="S7145" s="5">
        <v>0.5</v>
      </c>
      <c r="T7145" s="2"/>
      <c r="U7145" s="5">
        <v>19.5</v>
      </c>
      <c r="V7145" s="6">
        <v>0.54</v>
      </c>
      <c r="W7145" s="6">
        <v>36.25</v>
      </c>
      <c r="X7145" s="4">
        <v>38</v>
      </c>
      <c r="Y7145" s="6">
        <v>36.75</v>
      </c>
      <c r="Z7145" s="6">
        <v>36.450000000000003</v>
      </c>
      <c r="AA7145" s="6">
        <v>0.91</v>
      </c>
      <c r="AB7145" s="7">
        <v>25.748000000000001</v>
      </c>
      <c r="AC7145" s="2"/>
    </row>
    <row r="7146" spans="1:29" ht="195" x14ac:dyDescent="0.15">
      <c r="A7146" s="3">
        <f>DATE(2004,1,12)</f>
        <v>37998</v>
      </c>
      <c r="B7146" s="2"/>
      <c r="C7146" s="2" t="s">
        <v>30</v>
      </c>
      <c r="D7146" s="2" t="s">
        <v>21585</v>
      </c>
      <c r="E7146" s="2" t="s">
        <v>92</v>
      </c>
      <c r="F7146" s="4">
        <v>6798</v>
      </c>
      <c r="G7146" s="2" t="s">
        <v>53</v>
      </c>
      <c r="H7146" s="2" t="s">
        <v>34</v>
      </c>
      <c r="I7146" s="2" t="s">
        <v>19363</v>
      </c>
      <c r="J7146" s="2" t="s">
        <v>92</v>
      </c>
      <c r="K7146" s="2" t="s">
        <v>53</v>
      </c>
      <c r="L7146" s="2" t="s">
        <v>34</v>
      </c>
      <c r="M7146" s="7">
        <v>58.110999999999997</v>
      </c>
      <c r="N7146" s="6">
        <v>2.2200000000000002</v>
      </c>
      <c r="O7146" s="5">
        <v>2.2000000000000002</v>
      </c>
      <c r="P7146" s="2" t="s">
        <v>21586</v>
      </c>
      <c r="Q7146" s="2"/>
      <c r="R7146" s="6">
        <v>19.25</v>
      </c>
      <c r="S7146" s="2"/>
      <c r="T7146" s="2"/>
      <c r="U7146" s="2"/>
      <c r="V7146" s="2"/>
      <c r="W7146" s="6">
        <v>16.25</v>
      </c>
      <c r="X7146" s="6">
        <v>15.75</v>
      </c>
      <c r="Y7146" s="6">
        <v>18.28</v>
      </c>
      <c r="Z7146" s="6">
        <v>16.95</v>
      </c>
      <c r="AA7146" s="6">
        <v>3.56</v>
      </c>
      <c r="AB7146" s="2" t="s">
        <v>47</v>
      </c>
      <c r="AC7146" s="6">
        <v>17.739999999999998</v>
      </c>
    </row>
    <row r="7147" spans="1:29" ht="143" x14ac:dyDescent="0.15">
      <c r="A7147" s="3">
        <f>DATE(2004,1,12)</f>
        <v>37998</v>
      </c>
      <c r="B7147" s="3">
        <f>DATE(2004,6,1)</f>
        <v>38139</v>
      </c>
      <c r="C7147" s="2" t="s">
        <v>95</v>
      </c>
      <c r="D7147" s="2" t="s">
        <v>21587</v>
      </c>
      <c r="E7147" s="2" t="s">
        <v>263</v>
      </c>
      <c r="F7147" s="4">
        <v>6035</v>
      </c>
      <c r="G7147" s="2" t="s">
        <v>33</v>
      </c>
      <c r="H7147" s="2" t="s">
        <v>34</v>
      </c>
      <c r="I7147" s="2" t="s">
        <v>21588</v>
      </c>
      <c r="J7147" s="2" t="s">
        <v>36</v>
      </c>
      <c r="K7147" s="2" t="s">
        <v>33</v>
      </c>
      <c r="L7147" s="2" t="s">
        <v>34</v>
      </c>
      <c r="M7147" s="7">
        <v>603.31399999999996</v>
      </c>
      <c r="N7147" s="5">
        <v>36.5</v>
      </c>
      <c r="O7147" s="6">
        <v>36.369999999999997</v>
      </c>
      <c r="P7147" s="2" t="s">
        <v>21589</v>
      </c>
      <c r="Q7147" s="6">
        <v>100</v>
      </c>
      <c r="R7147" s="6">
        <v>35.25</v>
      </c>
      <c r="S7147" s="5">
        <v>8.1999999999999993</v>
      </c>
      <c r="T7147" s="7">
        <v>12.920999999999999</v>
      </c>
      <c r="U7147" s="5">
        <v>21.3</v>
      </c>
      <c r="V7147" s="6">
        <v>2.19</v>
      </c>
      <c r="W7147" s="6">
        <v>30.05</v>
      </c>
      <c r="X7147" s="5">
        <v>31.9</v>
      </c>
      <c r="Y7147" s="6">
        <v>34.909999999999997</v>
      </c>
      <c r="Z7147" s="6">
        <v>34.89</v>
      </c>
      <c r="AA7147" s="6">
        <v>3.95</v>
      </c>
      <c r="AB7147" s="7">
        <v>19.635999999999999</v>
      </c>
      <c r="AC7147" s="2"/>
    </row>
    <row r="7148" spans="1:29" ht="130" x14ac:dyDescent="0.15">
      <c r="A7148" s="3">
        <f>DATE(2004,1,12)</f>
        <v>37998</v>
      </c>
      <c r="B7148" s="2"/>
      <c r="C7148" s="2" t="s">
        <v>7330</v>
      </c>
      <c r="D7148" s="2" t="s">
        <v>21590</v>
      </c>
      <c r="E7148" s="2" t="s">
        <v>20944</v>
      </c>
      <c r="F7148" s="4">
        <v>5961</v>
      </c>
      <c r="G7148" s="2" t="s">
        <v>73</v>
      </c>
      <c r="H7148" s="2" t="s">
        <v>34</v>
      </c>
      <c r="I7148" s="2" t="s">
        <v>21591</v>
      </c>
      <c r="J7148" s="2" t="s">
        <v>21592</v>
      </c>
      <c r="K7148" s="2" t="s">
        <v>223</v>
      </c>
      <c r="L7148" s="2" t="s">
        <v>34</v>
      </c>
      <c r="M7148" s="7">
        <v>1.9870000000000001</v>
      </c>
      <c r="N7148" s="6">
        <v>0.01</v>
      </c>
      <c r="O7148" s="6">
        <v>0.01</v>
      </c>
      <c r="P7148" s="2" t="s">
        <v>21593</v>
      </c>
      <c r="Q7148" s="2"/>
      <c r="R7148" s="2"/>
      <c r="S7148" s="5">
        <v>-0.9</v>
      </c>
      <c r="T7148" s="2"/>
      <c r="U7148" s="5">
        <v>-0.6</v>
      </c>
      <c r="V7148" s="7">
        <v>-0.83099999999999996</v>
      </c>
      <c r="W7148" s="6">
        <v>1.84</v>
      </c>
      <c r="X7148" s="6">
        <v>1.26</v>
      </c>
      <c r="Y7148" s="6">
        <v>0.01</v>
      </c>
      <c r="Z7148" s="2"/>
      <c r="AA7148" s="6">
        <v>198.67</v>
      </c>
      <c r="AB7148" s="2" t="s">
        <v>86</v>
      </c>
      <c r="AC7148" s="2"/>
    </row>
    <row r="7149" spans="1:29" ht="143" x14ac:dyDescent="0.15">
      <c r="A7149" s="3">
        <f>DATE(2004,1,12)</f>
        <v>37998</v>
      </c>
      <c r="B7149" s="3">
        <f>DATE(2004,5,28)</f>
        <v>38135</v>
      </c>
      <c r="C7149" s="2" t="s">
        <v>95</v>
      </c>
      <c r="D7149" s="2" t="s">
        <v>21594</v>
      </c>
      <c r="E7149" s="2" t="s">
        <v>21595</v>
      </c>
      <c r="F7149" s="4">
        <v>7372</v>
      </c>
      <c r="G7149" s="2" t="s">
        <v>551</v>
      </c>
      <c r="H7149" s="2" t="s">
        <v>34</v>
      </c>
      <c r="I7149" s="2" t="s">
        <v>21596</v>
      </c>
      <c r="J7149" s="2" t="s">
        <v>17078</v>
      </c>
      <c r="K7149" s="2" t="s">
        <v>551</v>
      </c>
      <c r="L7149" s="2" t="s">
        <v>34</v>
      </c>
      <c r="M7149" s="7">
        <v>216.708</v>
      </c>
      <c r="N7149" s="6">
        <v>9.94</v>
      </c>
      <c r="O7149" s="6">
        <v>9.35</v>
      </c>
      <c r="P7149" s="2" t="s">
        <v>21597</v>
      </c>
      <c r="Q7149" s="6">
        <v>100</v>
      </c>
      <c r="R7149" s="6">
        <v>4.53</v>
      </c>
      <c r="S7149" s="5">
        <v>-0.4</v>
      </c>
      <c r="T7149" s="7">
        <v>-1.2E-2</v>
      </c>
      <c r="U7149" s="5">
        <v>0.3</v>
      </c>
      <c r="V7149" s="6">
        <v>-0.04</v>
      </c>
      <c r="W7149" s="6">
        <v>4.3499999999999996</v>
      </c>
      <c r="X7149" s="6">
        <v>4.28</v>
      </c>
      <c r="Y7149" s="6">
        <v>4.08</v>
      </c>
      <c r="Z7149" s="6">
        <v>3.98</v>
      </c>
      <c r="AA7149" s="6">
        <v>9.2100000000000009</v>
      </c>
      <c r="AB7149" s="2" t="s">
        <v>86</v>
      </c>
      <c r="AC7149" s="6">
        <v>62.22</v>
      </c>
    </row>
    <row r="7150" spans="1:29" ht="65" x14ac:dyDescent="0.15">
      <c r="A7150" s="3">
        <f>DATE(2004,1,13)</f>
        <v>37999</v>
      </c>
      <c r="B7150" s="3">
        <f>DATE(2004,4,6)</f>
        <v>38083</v>
      </c>
      <c r="C7150" s="2" t="s">
        <v>95</v>
      </c>
      <c r="D7150" s="2" t="s">
        <v>21598</v>
      </c>
      <c r="E7150" s="2" t="s">
        <v>21599</v>
      </c>
      <c r="F7150" s="4">
        <v>3841</v>
      </c>
      <c r="G7150" s="2" t="s">
        <v>226</v>
      </c>
      <c r="H7150" s="2" t="s">
        <v>34</v>
      </c>
      <c r="I7150" s="2" t="s">
        <v>7700</v>
      </c>
      <c r="J7150" s="2" t="s">
        <v>7701</v>
      </c>
      <c r="K7150" s="2" t="s">
        <v>130</v>
      </c>
      <c r="L7150" s="2" t="s">
        <v>34</v>
      </c>
      <c r="M7150" s="12">
        <v>71757.915999999997</v>
      </c>
      <c r="N7150" s="6">
        <v>44.43</v>
      </c>
      <c r="O7150" s="5">
        <v>44.5</v>
      </c>
      <c r="P7150" s="2" t="s">
        <v>21600</v>
      </c>
      <c r="Q7150" s="6">
        <v>100</v>
      </c>
      <c r="R7150" s="6">
        <v>27</v>
      </c>
      <c r="S7150" s="5">
        <v>-15.1</v>
      </c>
      <c r="T7150" s="7">
        <v>-11.451000000000001</v>
      </c>
      <c r="U7150" s="5">
        <v>2.7</v>
      </c>
      <c r="V7150" s="6">
        <v>-0.37</v>
      </c>
      <c r="W7150" s="6">
        <v>19.920000000000002</v>
      </c>
      <c r="X7150" s="5">
        <v>20.3</v>
      </c>
      <c r="Y7150" s="6">
        <v>26.64</v>
      </c>
      <c r="Z7150" s="6">
        <v>26.61</v>
      </c>
      <c r="AA7150" s="6">
        <v>41.62</v>
      </c>
      <c r="AB7150" s="2" t="s">
        <v>86</v>
      </c>
      <c r="AC7150" s="10">
        <v>1286.42</v>
      </c>
    </row>
    <row r="7151" spans="1:29" ht="169" x14ac:dyDescent="0.15">
      <c r="A7151" s="3">
        <f>DATE(2004,1,14)</f>
        <v>38000</v>
      </c>
      <c r="B7151" s="3">
        <f>DATE(2004,7,1)</f>
        <v>38169</v>
      </c>
      <c r="C7151" s="2" t="s">
        <v>95</v>
      </c>
      <c r="D7151" s="2" t="s">
        <v>20362</v>
      </c>
      <c r="E7151" s="2" t="s">
        <v>263</v>
      </c>
      <c r="F7151" s="4">
        <v>6021</v>
      </c>
      <c r="G7151" s="2" t="s">
        <v>37</v>
      </c>
      <c r="H7151" s="2" t="s">
        <v>34</v>
      </c>
      <c r="I7151" s="2" t="s">
        <v>20361</v>
      </c>
      <c r="J7151" s="2" t="s">
        <v>1085</v>
      </c>
      <c r="K7151" s="2" t="s">
        <v>37</v>
      </c>
      <c r="L7151" s="2" t="s">
        <v>34</v>
      </c>
      <c r="M7151" s="12">
        <v>125393.228</v>
      </c>
      <c r="N7151" s="6">
        <v>39.22</v>
      </c>
      <c r="O7151" s="6">
        <v>38.92</v>
      </c>
      <c r="P7151" s="2" t="s">
        <v>21601</v>
      </c>
      <c r="Q7151" s="6">
        <v>100</v>
      </c>
      <c r="R7151" s="6">
        <v>51.35</v>
      </c>
      <c r="S7151" s="8">
        <v>3125</v>
      </c>
      <c r="T7151" s="8">
        <v>5009</v>
      </c>
      <c r="U7151" s="5">
        <v>20.9</v>
      </c>
      <c r="V7151" s="6">
        <v>2.75</v>
      </c>
      <c r="W7151" s="6">
        <v>44.88</v>
      </c>
      <c r="X7151" s="6">
        <v>44.61</v>
      </c>
      <c r="Y7151" s="6">
        <v>45.22</v>
      </c>
      <c r="Z7151" s="6">
        <v>50.42</v>
      </c>
      <c r="AA7151" s="10">
        <v>1119.58</v>
      </c>
      <c r="AB7151" s="7">
        <v>38.018000000000001</v>
      </c>
      <c r="AC7151" s="2"/>
    </row>
    <row r="7152" spans="1:29" ht="117" x14ac:dyDescent="0.15">
      <c r="A7152" s="3">
        <f>DATE(2004,1,14)</f>
        <v>38000</v>
      </c>
      <c r="B7152" s="3">
        <f>DATE(2004,8,26)</f>
        <v>38225</v>
      </c>
      <c r="C7152" s="2" t="s">
        <v>95</v>
      </c>
      <c r="D7152" s="2" t="s">
        <v>21602</v>
      </c>
      <c r="E7152" s="2" t="s">
        <v>36</v>
      </c>
      <c r="F7152" s="4">
        <v>6712</v>
      </c>
      <c r="G7152" s="2" t="s">
        <v>37</v>
      </c>
      <c r="H7152" s="2" t="s">
        <v>34</v>
      </c>
      <c r="I7152" s="2" t="s">
        <v>21603</v>
      </c>
      <c r="J7152" s="2" t="s">
        <v>1181</v>
      </c>
      <c r="K7152" s="2" t="s">
        <v>37</v>
      </c>
      <c r="L7152" s="2" t="s">
        <v>34</v>
      </c>
      <c r="M7152" s="2"/>
      <c r="N7152" s="6">
        <v>19.190000000000001</v>
      </c>
      <c r="O7152" s="5">
        <v>18.2</v>
      </c>
      <c r="P7152" s="2" t="s">
        <v>21604</v>
      </c>
      <c r="Q7152" s="6">
        <v>100</v>
      </c>
      <c r="R7152" s="6">
        <v>18.63</v>
      </c>
      <c r="S7152" s="5">
        <v>0.5</v>
      </c>
      <c r="T7152" s="6">
        <v>0.88</v>
      </c>
      <c r="U7152" s="5">
        <v>19.100000000000001</v>
      </c>
      <c r="V7152" s="6">
        <v>0.33</v>
      </c>
      <c r="W7152" s="6">
        <v>18.75</v>
      </c>
      <c r="X7152" s="6">
        <v>19.190000000000001</v>
      </c>
      <c r="Y7152" s="6">
        <v>19.190000000000001</v>
      </c>
      <c r="Z7152" s="5">
        <v>18.2</v>
      </c>
      <c r="AA7152" s="6">
        <v>1.45</v>
      </c>
      <c r="AB7152" s="7">
        <v>736.07299999999998</v>
      </c>
      <c r="AC7152" s="2"/>
    </row>
    <row r="7153" spans="1:29" ht="65" x14ac:dyDescent="0.15">
      <c r="A7153" s="3">
        <f>DATE(2004,1,14)</f>
        <v>38000</v>
      </c>
      <c r="B7153" s="3">
        <f>DATE(2004,6,28)</f>
        <v>38166</v>
      </c>
      <c r="C7153" s="2" t="s">
        <v>95</v>
      </c>
      <c r="D7153" s="2" t="s">
        <v>21605</v>
      </c>
      <c r="E7153" s="2" t="s">
        <v>389</v>
      </c>
      <c r="F7153" s="4">
        <v>6035</v>
      </c>
      <c r="G7153" s="2" t="s">
        <v>33</v>
      </c>
      <c r="H7153" s="2" t="s">
        <v>34</v>
      </c>
      <c r="I7153" s="2" t="s">
        <v>21606</v>
      </c>
      <c r="J7153" s="2" t="s">
        <v>1072</v>
      </c>
      <c r="K7153" s="2" t="s">
        <v>53</v>
      </c>
      <c r="L7153" s="2" t="s">
        <v>34</v>
      </c>
      <c r="M7153" s="2"/>
      <c r="N7153" s="2"/>
      <c r="O7153" s="2"/>
      <c r="P7153" s="2" t="s">
        <v>21607</v>
      </c>
      <c r="Q7153" s="6">
        <v>100</v>
      </c>
      <c r="R7153" s="6">
        <v>26.25</v>
      </c>
      <c r="S7153" s="5">
        <v>-0.4</v>
      </c>
      <c r="T7153" s="7">
        <v>-0.39400000000000002</v>
      </c>
      <c r="U7153" s="5">
        <v>16</v>
      </c>
      <c r="V7153" s="6">
        <v>-0.8</v>
      </c>
      <c r="W7153" s="5">
        <v>14.4</v>
      </c>
      <c r="X7153" s="5">
        <v>15.5</v>
      </c>
      <c r="Y7153" s="5">
        <v>15.5</v>
      </c>
      <c r="Z7153" s="2"/>
      <c r="AA7153" s="6">
        <v>0.47</v>
      </c>
      <c r="AB7153" s="2" t="s">
        <v>86</v>
      </c>
      <c r="AC7153" s="2"/>
    </row>
    <row r="7154" spans="1:29" ht="117" x14ac:dyDescent="0.15">
      <c r="A7154" s="3">
        <f>DATE(2004,1,15)</f>
        <v>38001</v>
      </c>
      <c r="B7154" s="3">
        <f>DATE(2004,10,19)</f>
        <v>38279</v>
      </c>
      <c r="C7154" s="2" t="s">
        <v>95</v>
      </c>
      <c r="D7154" s="2" t="s">
        <v>21608</v>
      </c>
      <c r="E7154" s="2" t="s">
        <v>21609</v>
      </c>
      <c r="F7154" s="4">
        <v>1479</v>
      </c>
      <c r="G7154" s="2" t="s">
        <v>166</v>
      </c>
      <c r="H7154" s="2" t="s">
        <v>34</v>
      </c>
      <c r="I7154" s="2" t="s">
        <v>7140</v>
      </c>
      <c r="J7154" s="2" t="s">
        <v>7141</v>
      </c>
      <c r="K7154" s="2" t="s">
        <v>98</v>
      </c>
      <c r="L7154" s="2" t="s">
        <v>34</v>
      </c>
      <c r="M7154" s="12">
        <v>1126.816</v>
      </c>
      <c r="N7154" s="6">
        <v>10.76</v>
      </c>
      <c r="O7154" s="6">
        <v>10.85</v>
      </c>
      <c r="P7154" s="2" t="s">
        <v>21610</v>
      </c>
      <c r="Q7154" s="6">
        <v>48.42</v>
      </c>
      <c r="R7154" s="6">
        <v>2.21</v>
      </c>
      <c r="S7154" s="5">
        <v>-56.9</v>
      </c>
      <c r="T7154" s="2"/>
      <c r="U7154" s="5">
        <v>-2</v>
      </c>
      <c r="V7154" s="6">
        <v>-0.55000000000000004</v>
      </c>
      <c r="W7154" s="6">
        <v>1.97</v>
      </c>
      <c r="X7154" s="6">
        <v>2.15</v>
      </c>
      <c r="Y7154" s="6">
        <v>2.19</v>
      </c>
      <c r="Z7154" s="6">
        <v>2.14</v>
      </c>
      <c r="AA7154" s="6">
        <v>103.5</v>
      </c>
      <c r="AB7154" s="2" t="s">
        <v>86</v>
      </c>
      <c r="AC7154" s="5">
        <v>89.2</v>
      </c>
    </row>
    <row r="7155" spans="1:29" ht="130" x14ac:dyDescent="0.15">
      <c r="A7155" s="3">
        <f>DATE(2004,1,20)</f>
        <v>38006</v>
      </c>
      <c r="B7155" s="3">
        <f>DATE(2004,4,2)</f>
        <v>38079</v>
      </c>
      <c r="C7155" s="2" t="s">
        <v>95</v>
      </c>
      <c r="D7155" s="2" t="s">
        <v>1969</v>
      </c>
      <c r="E7155" s="2" t="s">
        <v>1970</v>
      </c>
      <c r="F7155" s="4">
        <v>5122</v>
      </c>
      <c r="G7155" s="2" t="s">
        <v>593</v>
      </c>
      <c r="H7155" s="2" t="s">
        <v>34</v>
      </c>
      <c r="I7155" s="2" t="s">
        <v>10549</v>
      </c>
      <c r="J7155" s="2" t="s">
        <v>21611</v>
      </c>
      <c r="K7155" s="2" t="s">
        <v>593</v>
      </c>
      <c r="L7155" s="2" t="s">
        <v>34</v>
      </c>
      <c r="M7155" s="12">
        <v>9106.7160000000003</v>
      </c>
      <c r="N7155" s="6">
        <v>30.23</v>
      </c>
      <c r="O7155" s="5">
        <v>30.9</v>
      </c>
      <c r="P7155" s="2" t="s">
        <v>21612</v>
      </c>
      <c r="Q7155" s="6">
        <v>100</v>
      </c>
      <c r="R7155" s="6">
        <v>12</v>
      </c>
      <c r="S7155" s="5">
        <v>-1.5</v>
      </c>
      <c r="T7155" s="7">
        <v>1.5289999999999999</v>
      </c>
      <c r="U7155" s="5">
        <v>7</v>
      </c>
      <c r="V7155" s="6">
        <v>-0.46</v>
      </c>
      <c r="W7155" s="6">
        <v>6.71</v>
      </c>
      <c r="X7155" s="4">
        <v>7</v>
      </c>
      <c r="Y7155" s="4">
        <v>7</v>
      </c>
      <c r="Z7155" s="6">
        <v>7.08</v>
      </c>
      <c r="AA7155" s="6">
        <v>3.19</v>
      </c>
      <c r="AB7155" s="2" t="s">
        <v>86</v>
      </c>
      <c r="AC7155" s="5">
        <v>214.2</v>
      </c>
    </row>
    <row r="7156" spans="1:29" ht="130" x14ac:dyDescent="0.15">
      <c r="A7156" s="3">
        <f>DATE(2004,1,21)</f>
        <v>38007</v>
      </c>
      <c r="B7156" s="3">
        <f>DATE(2004,7,16)</f>
        <v>38184</v>
      </c>
      <c r="C7156" s="2" t="s">
        <v>95</v>
      </c>
      <c r="D7156" s="2" t="s">
        <v>21613</v>
      </c>
      <c r="E7156" s="2" t="s">
        <v>36</v>
      </c>
      <c r="F7156" s="4">
        <v>6021</v>
      </c>
      <c r="G7156" s="2" t="s">
        <v>37</v>
      </c>
      <c r="H7156" s="2" t="s">
        <v>34</v>
      </c>
      <c r="I7156" s="2" t="s">
        <v>19850</v>
      </c>
      <c r="J7156" s="2" t="s">
        <v>159</v>
      </c>
      <c r="K7156" s="2" t="s">
        <v>37</v>
      </c>
      <c r="L7156" s="2" t="s">
        <v>34</v>
      </c>
      <c r="M7156" s="12">
        <v>1621.309</v>
      </c>
      <c r="N7156" s="6">
        <v>29.25</v>
      </c>
      <c r="O7156" s="6">
        <v>29.09</v>
      </c>
      <c r="P7156" s="2" t="s">
        <v>21614</v>
      </c>
      <c r="Q7156" s="6">
        <v>100</v>
      </c>
      <c r="R7156" s="6">
        <v>24.11</v>
      </c>
      <c r="S7156" s="5">
        <v>6.6</v>
      </c>
      <c r="T7156" s="7">
        <v>12.273</v>
      </c>
      <c r="U7156" s="5">
        <v>9</v>
      </c>
      <c r="V7156" s="6">
        <v>1.03</v>
      </c>
      <c r="W7156" s="6">
        <v>22.05</v>
      </c>
      <c r="X7156" s="6">
        <v>20.329999999999998</v>
      </c>
      <c r="Y7156" s="6">
        <v>24.03</v>
      </c>
      <c r="Z7156" s="6">
        <v>23.96</v>
      </c>
      <c r="AA7156" s="6">
        <v>6.25</v>
      </c>
      <c r="AB7156" s="7">
        <v>18.774999999999999</v>
      </c>
      <c r="AC7156" s="2"/>
    </row>
    <row r="7157" spans="1:29" ht="143" x14ac:dyDescent="0.15">
      <c r="A7157" s="3">
        <f>DATE(2004,1,21)</f>
        <v>38007</v>
      </c>
      <c r="B7157" s="2"/>
      <c r="C7157" s="2" t="s">
        <v>30</v>
      </c>
      <c r="D7157" s="2" t="s">
        <v>1969</v>
      </c>
      <c r="E7157" s="2" t="s">
        <v>1970</v>
      </c>
      <c r="F7157" s="4">
        <v>5122</v>
      </c>
      <c r="G7157" s="2" t="s">
        <v>593</v>
      </c>
      <c r="H7157" s="2" t="s">
        <v>34</v>
      </c>
      <c r="I7157" s="2" t="s">
        <v>21615</v>
      </c>
      <c r="J7157" s="2" t="s">
        <v>302</v>
      </c>
      <c r="K7157" s="2" t="s">
        <v>53</v>
      </c>
      <c r="L7157" s="2" t="s">
        <v>34</v>
      </c>
      <c r="M7157" s="2"/>
      <c r="N7157" s="2"/>
      <c r="O7157" s="2"/>
      <c r="P7157" s="2" t="s">
        <v>21616</v>
      </c>
      <c r="Q7157" s="2"/>
      <c r="R7157" s="6">
        <v>15</v>
      </c>
      <c r="S7157" s="5">
        <v>-1.5</v>
      </c>
      <c r="T7157" s="7">
        <v>1.5289999999999999</v>
      </c>
      <c r="U7157" s="5">
        <v>7</v>
      </c>
      <c r="V7157" s="6">
        <v>-0.46</v>
      </c>
      <c r="W7157" s="6">
        <v>6.71</v>
      </c>
      <c r="X7157" s="4">
        <v>7</v>
      </c>
      <c r="Y7157" s="4">
        <v>7</v>
      </c>
      <c r="Z7157" s="6">
        <v>7.08</v>
      </c>
      <c r="AA7157" s="6">
        <v>3.19</v>
      </c>
      <c r="AB7157" s="2" t="s">
        <v>86</v>
      </c>
      <c r="AC7157" s="2"/>
    </row>
    <row r="7158" spans="1:29" ht="52" x14ac:dyDescent="0.15">
      <c r="A7158" s="3">
        <f>DATE(2004,1,21)</f>
        <v>38007</v>
      </c>
      <c r="B7158" s="3">
        <f>DATE(2004,1,21)</f>
        <v>38007</v>
      </c>
      <c r="C7158" s="2" t="s">
        <v>95</v>
      </c>
      <c r="D7158" s="2" t="s">
        <v>21617</v>
      </c>
      <c r="E7158" s="2" t="s">
        <v>7617</v>
      </c>
      <c r="F7158" s="4">
        <v>2899</v>
      </c>
      <c r="G7158" s="2" t="s">
        <v>98</v>
      </c>
      <c r="H7158" s="2" t="s">
        <v>34</v>
      </c>
      <c r="I7158" s="2" t="s">
        <v>21618</v>
      </c>
      <c r="J7158" s="2" t="s">
        <v>302</v>
      </c>
      <c r="K7158" s="2" t="s">
        <v>53</v>
      </c>
      <c r="L7158" s="2" t="s">
        <v>34</v>
      </c>
      <c r="M7158" s="2"/>
      <c r="N7158" s="2"/>
      <c r="O7158" s="2"/>
      <c r="P7158" s="2" t="s">
        <v>21619</v>
      </c>
      <c r="Q7158" s="2"/>
      <c r="R7158" s="2"/>
      <c r="S7158" s="2"/>
      <c r="T7158" s="2"/>
      <c r="U7158" s="2"/>
      <c r="V7158" s="2"/>
      <c r="W7158" s="4">
        <v>10</v>
      </c>
      <c r="X7158" s="4">
        <v>10</v>
      </c>
      <c r="Y7158" s="4">
        <v>10</v>
      </c>
      <c r="Z7158" s="2"/>
      <c r="AA7158" s="2"/>
      <c r="AB7158" s="2" t="s">
        <v>47</v>
      </c>
      <c r="AC7158" s="2"/>
    </row>
    <row r="7159" spans="1:29" ht="169" x14ac:dyDescent="0.15">
      <c r="A7159" s="3">
        <f>DATE(2004,1,22)</f>
        <v>38008</v>
      </c>
      <c r="B7159" s="3">
        <f>DATE(2004,4,28)</f>
        <v>38105</v>
      </c>
      <c r="C7159" s="2" t="s">
        <v>95</v>
      </c>
      <c r="D7159" s="2" t="s">
        <v>21620</v>
      </c>
      <c r="E7159" s="2" t="s">
        <v>92</v>
      </c>
      <c r="F7159" s="4">
        <v>6798</v>
      </c>
      <c r="G7159" s="2" t="s">
        <v>53</v>
      </c>
      <c r="H7159" s="2" t="s">
        <v>34</v>
      </c>
      <c r="I7159" s="2" t="s">
        <v>21621</v>
      </c>
      <c r="J7159" s="2" t="s">
        <v>14562</v>
      </c>
      <c r="K7159" s="2" t="s">
        <v>53</v>
      </c>
      <c r="L7159" s="2" t="s">
        <v>34</v>
      </c>
      <c r="M7159" s="2"/>
      <c r="N7159" s="2"/>
      <c r="O7159" s="2"/>
      <c r="P7159" s="2" t="s">
        <v>21622</v>
      </c>
      <c r="Q7159" s="6">
        <v>100</v>
      </c>
      <c r="R7159" s="6">
        <v>15.65</v>
      </c>
      <c r="S7159" s="5">
        <v>11.4</v>
      </c>
      <c r="T7159" s="7">
        <v>34.029000000000003</v>
      </c>
      <c r="U7159" s="5">
        <v>10</v>
      </c>
      <c r="V7159" s="6">
        <v>0.48</v>
      </c>
      <c r="W7159" s="6">
        <v>15.96</v>
      </c>
      <c r="X7159" s="6">
        <v>15.98</v>
      </c>
      <c r="Y7159" s="6">
        <v>15.33</v>
      </c>
      <c r="Z7159" s="6">
        <v>15.26</v>
      </c>
      <c r="AA7159" s="6">
        <v>16.09</v>
      </c>
      <c r="AB7159" s="7">
        <v>49.597999999999999</v>
      </c>
      <c r="AC7159" s="2"/>
    </row>
    <row r="7160" spans="1:29" ht="130" x14ac:dyDescent="0.15">
      <c r="A7160" s="3">
        <f>DATE(2004,1,22)</f>
        <v>38008</v>
      </c>
      <c r="B7160" s="3">
        <f>DATE(2004,6,21)</f>
        <v>38159</v>
      </c>
      <c r="C7160" s="2" t="s">
        <v>95</v>
      </c>
      <c r="D7160" s="2" t="s">
        <v>14492</v>
      </c>
      <c r="E7160" s="2" t="s">
        <v>265</v>
      </c>
      <c r="F7160" s="4">
        <v>6021</v>
      </c>
      <c r="G7160" s="2" t="s">
        <v>37</v>
      </c>
      <c r="H7160" s="2" t="s">
        <v>34</v>
      </c>
      <c r="I7160" s="2" t="s">
        <v>19176</v>
      </c>
      <c r="J7160" s="2" t="s">
        <v>36</v>
      </c>
      <c r="K7160" s="2" t="s">
        <v>37</v>
      </c>
      <c r="L7160" s="2" t="s">
        <v>34</v>
      </c>
      <c r="M7160" s="12">
        <v>1808.7550000000001</v>
      </c>
      <c r="N7160" s="6">
        <v>50.48</v>
      </c>
      <c r="O7160" s="6">
        <v>50.89</v>
      </c>
      <c r="P7160" s="2" t="s">
        <v>21623</v>
      </c>
      <c r="Q7160" s="6">
        <v>100</v>
      </c>
      <c r="R7160" s="6">
        <v>22</v>
      </c>
      <c r="S7160" s="5">
        <v>28.1</v>
      </c>
      <c r="T7160" s="5">
        <v>43.9</v>
      </c>
      <c r="U7160" s="5">
        <v>10.6</v>
      </c>
      <c r="V7160" s="6">
        <v>1.58</v>
      </c>
      <c r="W7160" s="6">
        <v>22.53</v>
      </c>
      <c r="X7160" s="6">
        <v>23.05</v>
      </c>
      <c r="Y7160" s="6">
        <v>22.57</v>
      </c>
      <c r="Z7160" s="5">
        <v>21.6</v>
      </c>
      <c r="AA7160" s="6">
        <v>16.53</v>
      </c>
      <c r="AB7160" s="7">
        <v>29.994</v>
      </c>
      <c r="AC7160" s="2"/>
    </row>
    <row r="7161" spans="1:29" ht="143" x14ac:dyDescent="0.15">
      <c r="A7161" s="3">
        <f>DATE(2004,1,22)</f>
        <v>38008</v>
      </c>
      <c r="B7161" s="3">
        <f>DATE(2004,3,9)</f>
        <v>38055</v>
      </c>
      <c r="C7161" s="2" t="s">
        <v>95</v>
      </c>
      <c r="D7161" s="2" t="s">
        <v>21624</v>
      </c>
      <c r="E7161" s="2" t="s">
        <v>21625</v>
      </c>
      <c r="F7161" s="4">
        <v>4899</v>
      </c>
      <c r="G7161" s="2" t="s">
        <v>63</v>
      </c>
      <c r="H7161" s="2" t="s">
        <v>34</v>
      </c>
      <c r="I7161" s="2" t="s">
        <v>21626</v>
      </c>
      <c r="J7161" s="2" t="s">
        <v>11337</v>
      </c>
      <c r="K7161" s="2" t="s">
        <v>53</v>
      </c>
      <c r="L7161" s="2" t="s">
        <v>34</v>
      </c>
      <c r="M7161" s="2"/>
      <c r="N7161" s="2"/>
      <c r="O7161" s="2"/>
      <c r="P7161" s="2" t="s">
        <v>21627</v>
      </c>
      <c r="Q7161" s="6">
        <v>100</v>
      </c>
      <c r="R7161" s="6">
        <v>4.5999999999999996</v>
      </c>
      <c r="S7161" s="5">
        <v>6</v>
      </c>
      <c r="T7161" s="7">
        <v>15.614000000000001</v>
      </c>
      <c r="U7161" s="5">
        <v>2.2999999999999998</v>
      </c>
      <c r="V7161" s="6">
        <v>0.34</v>
      </c>
      <c r="W7161" s="6">
        <v>3.96</v>
      </c>
      <c r="X7161" s="5">
        <v>4.2</v>
      </c>
      <c r="Y7161" s="6">
        <v>4.1900000000000004</v>
      </c>
      <c r="Z7161" s="6">
        <v>4.55</v>
      </c>
      <c r="AA7161" s="6">
        <v>15.05</v>
      </c>
      <c r="AB7161" s="7">
        <v>22.199000000000002</v>
      </c>
      <c r="AC7161" s="2"/>
    </row>
    <row r="7162" spans="1:29" ht="130" x14ac:dyDescent="0.15">
      <c r="A7162" s="3">
        <f>DATE(2004,1,23)</f>
        <v>38009</v>
      </c>
      <c r="B7162" s="3">
        <f>DATE(2004,7,1)</f>
        <v>38169</v>
      </c>
      <c r="C7162" s="2" t="s">
        <v>95</v>
      </c>
      <c r="D7162" s="2" t="s">
        <v>21628</v>
      </c>
      <c r="E7162" s="2" t="s">
        <v>18016</v>
      </c>
      <c r="F7162" s="4">
        <v>7389</v>
      </c>
      <c r="G7162" s="2" t="s">
        <v>223</v>
      </c>
      <c r="H7162" s="2" t="s">
        <v>34</v>
      </c>
      <c r="I7162" s="2" t="s">
        <v>18401</v>
      </c>
      <c r="J7162" s="2" t="s">
        <v>18402</v>
      </c>
      <c r="K7162" s="2" t="s">
        <v>551</v>
      </c>
      <c r="L7162" s="2" t="s">
        <v>34</v>
      </c>
      <c r="M7162" s="7">
        <v>819.87199999999996</v>
      </c>
      <c r="N7162" s="6">
        <v>3.42</v>
      </c>
      <c r="O7162" s="6">
        <v>3.47</v>
      </c>
      <c r="P7162" s="2" t="s">
        <v>21629</v>
      </c>
      <c r="Q7162" s="6">
        <v>100</v>
      </c>
      <c r="R7162" s="6">
        <v>10.33</v>
      </c>
      <c r="S7162" s="5">
        <v>-30.9</v>
      </c>
      <c r="T7162" s="7">
        <v>-6.5220000000000002</v>
      </c>
      <c r="U7162" s="5">
        <v>3.4</v>
      </c>
      <c r="V7162" s="6">
        <v>-0.74</v>
      </c>
      <c r="W7162" s="6">
        <v>8.5399999999999991</v>
      </c>
      <c r="X7162" s="6">
        <v>8.41</v>
      </c>
      <c r="Y7162" s="6">
        <v>9.57</v>
      </c>
      <c r="Z7162" s="6">
        <v>9.65</v>
      </c>
      <c r="AA7162" s="6">
        <v>42.44</v>
      </c>
      <c r="AB7162" s="2" t="s">
        <v>86</v>
      </c>
      <c r="AC7162" s="6">
        <v>116.12</v>
      </c>
    </row>
    <row r="7163" spans="1:29" ht="169" x14ac:dyDescent="0.15">
      <c r="A7163" s="3">
        <f>DATE(2004,1,23)</f>
        <v>38009</v>
      </c>
      <c r="B7163" s="3">
        <f>DATE(2004,7,1)</f>
        <v>38169</v>
      </c>
      <c r="C7163" s="2" t="s">
        <v>95</v>
      </c>
      <c r="D7163" s="2" t="s">
        <v>1955</v>
      </c>
      <c r="E7163" s="2" t="s">
        <v>672</v>
      </c>
      <c r="F7163" s="4">
        <v>6021</v>
      </c>
      <c r="G7163" s="2" t="s">
        <v>37</v>
      </c>
      <c r="H7163" s="2" t="s">
        <v>34</v>
      </c>
      <c r="I7163" s="2" t="s">
        <v>21630</v>
      </c>
      <c r="J7163" s="2" t="s">
        <v>3246</v>
      </c>
      <c r="K7163" s="2" t="s">
        <v>37</v>
      </c>
      <c r="L7163" s="2" t="s">
        <v>34</v>
      </c>
      <c r="M7163" s="10">
        <v>8129.01</v>
      </c>
      <c r="N7163" s="6">
        <v>39.75</v>
      </c>
      <c r="O7163" s="6">
        <v>39.25</v>
      </c>
      <c r="P7163" s="2" t="s">
        <v>21631</v>
      </c>
      <c r="Q7163" s="6">
        <v>100</v>
      </c>
      <c r="R7163" s="6">
        <v>30.58</v>
      </c>
      <c r="S7163" s="5">
        <v>504.4</v>
      </c>
      <c r="T7163" s="7">
        <v>771.22299999999996</v>
      </c>
      <c r="U7163" s="5">
        <v>16.2</v>
      </c>
      <c r="V7163" s="6">
        <v>2.52</v>
      </c>
      <c r="W7163" s="6">
        <v>31.24</v>
      </c>
      <c r="X7163" s="6">
        <v>31.36</v>
      </c>
      <c r="Y7163" s="6">
        <v>32.67</v>
      </c>
      <c r="Z7163" s="6">
        <v>31.98</v>
      </c>
      <c r="AA7163" s="6">
        <v>188.56</v>
      </c>
      <c r="AB7163" s="7">
        <v>15.542999999999999</v>
      </c>
      <c r="AC7163" s="2"/>
    </row>
    <row r="7164" spans="1:29" ht="247" x14ac:dyDescent="0.15">
      <c r="A7164" s="3">
        <f>DATE(2004,1,26)</f>
        <v>38012</v>
      </c>
      <c r="B7164" s="3">
        <f>DATE(2004,7,23)</f>
        <v>38191</v>
      </c>
      <c r="C7164" s="2" t="s">
        <v>95</v>
      </c>
      <c r="D7164" s="2" t="s">
        <v>17310</v>
      </c>
      <c r="E7164" s="2" t="s">
        <v>17311</v>
      </c>
      <c r="F7164" s="4">
        <v>6036</v>
      </c>
      <c r="G7164" s="2" t="s">
        <v>33</v>
      </c>
      <c r="H7164" s="2" t="s">
        <v>34</v>
      </c>
      <c r="I7164" s="2" t="s">
        <v>19135</v>
      </c>
      <c r="J7164" s="2" t="s">
        <v>16534</v>
      </c>
      <c r="K7164" s="2" t="s">
        <v>33</v>
      </c>
      <c r="L7164" s="2" t="s">
        <v>34</v>
      </c>
      <c r="M7164" s="12">
        <v>6915.299</v>
      </c>
      <c r="N7164" s="6">
        <v>22.93</v>
      </c>
      <c r="O7164" s="6">
        <v>22.87</v>
      </c>
      <c r="P7164" s="2" t="s">
        <v>21632</v>
      </c>
      <c r="Q7164" s="6">
        <v>100</v>
      </c>
      <c r="R7164" s="6">
        <v>35</v>
      </c>
      <c r="S7164" s="5">
        <v>29.5</v>
      </c>
      <c r="T7164" s="7">
        <v>65.491</v>
      </c>
      <c r="U7164" s="5">
        <v>15.1</v>
      </c>
      <c r="V7164" s="6">
        <v>1.21</v>
      </c>
      <c r="W7164" s="6">
        <v>28.64</v>
      </c>
      <c r="X7164" s="6">
        <v>30.74</v>
      </c>
      <c r="Y7164" s="6">
        <v>34.71</v>
      </c>
      <c r="Z7164" s="5">
        <v>34.9</v>
      </c>
      <c r="AA7164" s="6">
        <v>25.74</v>
      </c>
      <c r="AB7164" s="7">
        <v>33.076000000000001</v>
      </c>
      <c r="AC7164" s="2"/>
    </row>
    <row r="7165" spans="1:29" ht="195" x14ac:dyDescent="0.15">
      <c r="A7165" s="3">
        <f>DATE(2004,1,27)</f>
        <v>38013</v>
      </c>
      <c r="B7165" s="3">
        <f>DATE(2005,2,4)</f>
        <v>38387</v>
      </c>
      <c r="C7165" s="2" t="s">
        <v>95</v>
      </c>
      <c r="D7165" s="2" t="s">
        <v>20906</v>
      </c>
      <c r="E7165" s="2" t="s">
        <v>3941</v>
      </c>
      <c r="F7165" s="4">
        <v>6798</v>
      </c>
      <c r="G7165" s="2" t="s">
        <v>53</v>
      </c>
      <c r="H7165" s="2" t="s">
        <v>34</v>
      </c>
      <c r="I7165" s="2" t="s">
        <v>21633</v>
      </c>
      <c r="J7165" s="2" t="s">
        <v>21634</v>
      </c>
      <c r="K7165" s="2" t="s">
        <v>53</v>
      </c>
      <c r="L7165" s="2" t="s">
        <v>34</v>
      </c>
      <c r="M7165" s="2"/>
      <c r="N7165" s="2"/>
      <c r="O7165" s="2"/>
      <c r="P7165" s="2" t="s">
        <v>21635</v>
      </c>
      <c r="Q7165" s="6">
        <v>51.16</v>
      </c>
      <c r="R7165" s="6">
        <v>31.3</v>
      </c>
      <c r="S7165" s="5">
        <v>2.5</v>
      </c>
      <c r="T7165" s="2"/>
      <c r="U7165" s="5">
        <v>37.6</v>
      </c>
      <c r="V7165" s="6">
        <v>1.87</v>
      </c>
      <c r="W7165" s="6">
        <v>24.25</v>
      </c>
      <c r="X7165" s="6">
        <v>24.25</v>
      </c>
      <c r="Y7165" s="4">
        <v>21</v>
      </c>
      <c r="Z7165" s="5">
        <v>24.5</v>
      </c>
      <c r="AA7165" s="6">
        <v>1.32</v>
      </c>
      <c r="AB7165" s="7">
        <v>2.1709999999999998</v>
      </c>
      <c r="AC7165" s="2"/>
    </row>
    <row r="7166" spans="1:29" ht="143" x14ac:dyDescent="0.15">
      <c r="A7166" s="3">
        <f>DATE(2004,1,27)</f>
        <v>38013</v>
      </c>
      <c r="B7166" s="3">
        <f>DATE(2004,6,4)</f>
        <v>38142</v>
      </c>
      <c r="C7166" s="2" t="s">
        <v>95</v>
      </c>
      <c r="D7166" s="2" t="s">
        <v>21636</v>
      </c>
      <c r="E7166" s="2" t="s">
        <v>14170</v>
      </c>
      <c r="F7166" s="4">
        <v>6035</v>
      </c>
      <c r="G7166" s="2" t="s">
        <v>33</v>
      </c>
      <c r="H7166" s="2" t="s">
        <v>34</v>
      </c>
      <c r="I7166" s="2" t="s">
        <v>21637</v>
      </c>
      <c r="J7166" s="2" t="s">
        <v>1181</v>
      </c>
      <c r="K7166" s="2" t="s">
        <v>37</v>
      </c>
      <c r="L7166" s="2" t="s">
        <v>34</v>
      </c>
      <c r="M7166" s="7">
        <v>486.85700000000003</v>
      </c>
      <c r="N7166" s="6">
        <v>26.15</v>
      </c>
      <c r="O7166" s="6">
        <v>24.03</v>
      </c>
      <c r="P7166" s="2" t="s">
        <v>21638</v>
      </c>
      <c r="Q7166" s="6">
        <v>100</v>
      </c>
      <c r="R7166" s="6">
        <v>44.23</v>
      </c>
      <c r="S7166" s="5">
        <v>28.5</v>
      </c>
      <c r="T7166" s="7">
        <v>52.317999999999998</v>
      </c>
      <c r="U7166" s="5">
        <v>15.8</v>
      </c>
      <c r="V7166" s="6">
        <v>2.2799999999999998</v>
      </c>
      <c r="W7166" s="5">
        <v>29.5</v>
      </c>
      <c r="X7166" s="5">
        <v>30.5</v>
      </c>
      <c r="Y7166" s="6">
        <v>30.26</v>
      </c>
      <c r="Z7166" s="4">
        <v>34</v>
      </c>
      <c r="AA7166" s="6">
        <v>11.55</v>
      </c>
      <c r="AB7166" s="7">
        <v>29.459</v>
      </c>
      <c r="AC7166" s="2"/>
    </row>
    <row r="7167" spans="1:29" ht="247" x14ac:dyDescent="0.15">
      <c r="A7167" s="3">
        <f>DATE(2004,1,27)</f>
        <v>38013</v>
      </c>
      <c r="B7167" s="3">
        <f>DATE(2004,10,22)</f>
        <v>38282</v>
      </c>
      <c r="C7167" s="2" t="s">
        <v>95</v>
      </c>
      <c r="D7167" s="2" t="s">
        <v>7140</v>
      </c>
      <c r="E7167" s="2" t="s">
        <v>7141</v>
      </c>
      <c r="F7167" s="4">
        <v>2874</v>
      </c>
      <c r="G7167" s="2" t="s">
        <v>98</v>
      </c>
      <c r="H7167" s="2" t="s">
        <v>34</v>
      </c>
      <c r="I7167" s="2" t="s">
        <v>21639</v>
      </c>
      <c r="J7167" s="2" t="s">
        <v>21640</v>
      </c>
      <c r="K7167" s="2" t="s">
        <v>98</v>
      </c>
      <c r="L7167" s="2" t="s">
        <v>34</v>
      </c>
      <c r="M7167" s="2"/>
      <c r="N7167" s="2"/>
      <c r="O7167" s="2"/>
      <c r="P7167" s="2" t="s">
        <v>21641</v>
      </c>
      <c r="Q7167" s="6">
        <v>100</v>
      </c>
      <c r="R7167" s="6">
        <v>15</v>
      </c>
      <c r="S7167" s="5">
        <v>-12.4</v>
      </c>
      <c r="T7167" s="5">
        <v>359.9</v>
      </c>
      <c r="U7167" s="5">
        <v>3.3</v>
      </c>
      <c r="V7167" s="6">
        <v>-0.2</v>
      </c>
      <c r="W7167" s="5">
        <v>11.2</v>
      </c>
      <c r="X7167" s="6">
        <v>10.35</v>
      </c>
      <c r="Y7167" s="6">
        <v>11.74</v>
      </c>
      <c r="Z7167" s="4">
        <v>11</v>
      </c>
      <c r="AA7167" s="6">
        <v>115.1</v>
      </c>
      <c r="AB7167" s="7">
        <v>21.533999999999999</v>
      </c>
      <c r="AC7167" s="6">
        <v>10.19</v>
      </c>
    </row>
    <row r="7168" spans="1:29" ht="52" x14ac:dyDescent="0.15">
      <c r="A7168" s="3">
        <f>DATE(2004,1,27)</f>
        <v>38013</v>
      </c>
      <c r="B7168" s="3">
        <f>DATE(2004,6,30)</f>
        <v>38168</v>
      </c>
      <c r="C7168" s="2" t="s">
        <v>95</v>
      </c>
      <c r="D7168" s="2" t="s">
        <v>1459</v>
      </c>
      <c r="E7168" s="2" t="s">
        <v>7147</v>
      </c>
      <c r="F7168" s="4">
        <v>5411</v>
      </c>
      <c r="G7168" s="2" t="s">
        <v>1461</v>
      </c>
      <c r="H7168" s="2" t="s">
        <v>34</v>
      </c>
      <c r="I7168" s="2" t="s">
        <v>21642</v>
      </c>
      <c r="J7168" s="2" t="s">
        <v>302</v>
      </c>
      <c r="K7168" s="2" t="s">
        <v>53</v>
      </c>
      <c r="L7168" s="2" t="s">
        <v>34</v>
      </c>
      <c r="M7168" s="2"/>
      <c r="N7168" s="2"/>
      <c r="O7168" s="2"/>
      <c r="P7168" s="2" t="s">
        <v>21643</v>
      </c>
      <c r="Q7168" s="6">
        <v>100</v>
      </c>
      <c r="R7168" s="6">
        <v>2.25</v>
      </c>
      <c r="S7168" s="5">
        <v>1.3</v>
      </c>
      <c r="T7168" s="2"/>
      <c r="U7168" s="5">
        <v>2.9</v>
      </c>
      <c r="V7168" s="6">
        <v>0.1</v>
      </c>
      <c r="W7168" s="6">
        <v>1.64</v>
      </c>
      <c r="X7168" s="6">
        <v>1.97</v>
      </c>
      <c r="Y7168" s="6">
        <v>2.16</v>
      </c>
      <c r="Z7168" s="6">
        <v>2.16</v>
      </c>
      <c r="AA7168" s="6">
        <v>7.2</v>
      </c>
      <c r="AB7168" s="2" t="s">
        <v>47</v>
      </c>
      <c r="AC7168" s="2"/>
    </row>
    <row r="7169" spans="1:29" ht="130" x14ac:dyDescent="0.15">
      <c r="A7169" s="3">
        <f>DATE(2004,1,27)</f>
        <v>38013</v>
      </c>
      <c r="B7169" s="3">
        <f>DATE(2006,3,1)</f>
        <v>38777</v>
      </c>
      <c r="C7169" s="2" t="s">
        <v>95</v>
      </c>
      <c r="D7169" s="2" t="s">
        <v>21644</v>
      </c>
      <c r="E7169" s="2" t="s">
        <v>21252</v>
      </c>
      <c r="F7169" s="4">
        <v>6021</v>
      </c>
      <c r="G7169" s="2" t="s">
        <v>37</v>
      </c>
      <c r="H7169" s="2" t="s">
        <v>34</v>
      </c>
      <c r="I7169" s="2" t="s">
        <v>390</v>
      </c>
      <c r="J7169" s="2" t="s">
        <v>159</v>
      </c>
      <c r="K7169" s="2" t="s">
        <v>37</v>
      </c>
      <c r="L7169" s="2" t="s">
        <v>34</v>
      </c>
      <c r="M7169" s="10">
        <v>5124.74</v>
      </c>
      <c r="N7169" s="5">
        <v>22.6</v>
      </c>
      <c r="O7169" s="6">
        <v>22.21</v>
      </c>
      <c r="P7169" s="2" t="s">
        <v>21645</v>
      </c>
      <c r="Q7169" s="6">
        <v>100</v>
      </c>
      <c r="R7169" s="6">
        <v>26.39</v>
      </c>
      <c r="S7169" s="5">
        <v>23.2</v>
      </c>
      <c r="T7169" s="7">
        <v>39.225000000000001</v>
      </c>
      <c r="U7169" s="5">
        <v>14</v>
      </c>
      <c r="V7169" s="6">
        <v>1.05</v>
      </c>
      <c r="W7169" s="6">
        <v>21.92</v>
      </c>
      <c r="X7169" s="6">
        <v>22.95</v>
      </c>
      <c r="Y7169" s="6">
        <v>25.35</v>
      </c>
      <c r="Z7169" s="6">
        <v>25.09</v>
      </c>
      <c r="AA7169" s="6">
        <v>21.65</v>
      </c>
      <c r="AB7169" s="7">
        <v>27.98</v>
      </c>
      <c r="AC7169" s="2"/>
    </row>
    <row r="7170" spans="1:29" ht="156" x14ac:dyDescent="0.15">
      <c r="A7170" s="3">
        <f>DATE(2004,1,28)</f>
        <v>38014</v>
      </c>
      <c r="B7170" s="3">
        <f>DATE(2004,4,14)</f>
        <v>38091</v>
      </c>
      <c r="C7170" s="2" t="s">
        <v>95</v>
      </c>
      <c r="D7170" s="2" t="s">
        <v>21646</v>
      </c>
      <c r="E7170" s="2" t="s">
        <v>14580</v>
      </c>
      <c r="F7170" s="4">
        <v>7372</v>
      </c>
      <c r="G7170" s="2" t="s">
        <v>551</v>
      </c>
      <c r="H7170" s="2" t="s">
        <v>34</v>
      </c>
      <c r="I7170" s="2" t="s">
        <v>7551</v>
      </c>
      <c r="J7170" s="2" t="s">
        <v>7552</v>
      </c>
      <c r="K7170" s="2" t="s">
        <v>125</v>
      </c>
      <c r="L7170" s="2" t="s">
        <v>34</v>
      </c>
      <c r="M7170" s="10">
        <v>5749.22</v>
      </c>
      <c r="N7170" s="6">
        <v>39.75</v>
      </c>
      <c r="O7170" s="6">
        <v>39.72</v>
      </c>
      <c r="P7170" s="2" t="s">
        <v>21647</v>
      </c>
      <c r="Q7170" s="6">
        <v>100</v>
      </c>
      <c r="R7170" s="6">
        <v>6.5</v>
      </c>
      <c r="S7170" s="5">
        <v>-10.199999999999999</v>
      </c>
      <c r="T7170" s="7">
        <v>4.7880000000000003</v>
      </c>
      <c r="U7170" s="5">
        <v>2.2999999999999998</v>
      </c>
      <c r="V7170" s="6">
        <v>-0.38</v>
      </c>
      <c r="W7170" s="6">
        <v>4.82</v>
      </c>
      <c r="X7170" s="5">
        <v>5.6</v>
      </c>
      <c r="Y7170" s="6">
        <v>6.39</v>
      </c>
      <c r="Z7170" s="6">
        <v>6.39</v>
      </c>
      <c r="AA7170" s="6">
        <v>26.92</v>
      </c>
      <c r="AB7170" s="2" t="s">
        <v>86</v>
      </c>
      <c r="AC7170" s="6">
        <v>395.86</v>
      </c>
    </row>
    <row r="7171" spans="1:29" ht="169" x14ac:dyDescent="0.15">
      <c r="A7171" s="3">
        <f>DATE(2004,1,30)</f>
        <v>38016</v>
      </c>
      <c r="B7171" s="3">
        <f>DATE(2004,4,26)</f>
        <v>38103</v>
      </c>
      <c r="C7171" s="2" t="s">
        <v>95</v>
      </c>
      <c r="D7171" s="2" t="s">
        <v>21648</v>
      </c>
      <c r="E7171" s="2" t="s">
        <v>21649</v>
      </c>
      <c r="F7171" s="4">
        <v>2754</v>
      </c>
      <c r="G7171" s="2" t="s">
        <v>186</v>
      </c>
      <c r="H7171" s="2" t="s">
        <v>34</v>
      </c>
      <c r="I7171" s="2" t="s">
        <v>51</v>
      </c>
      <c r="J7171" s="2" t="s">
        <v>52</v>
      </c>
      <c r="K7171" s="2" t="s">
        <v>53</v>
      </c>
      <c r="L7171" s="2" t="s">
        <v>34</v>
      </c>
      <c r="M7171" s="2"/>
      <c r="N7171" s="2"/>
      <c r="O7171" s="2"/>
      <c r="P7171" s="2" t="s">
        <v>21650</v>
      </c>
      <c r="Q7171" s="6">
        <v>100</v>
      </c>
      <c r="R7171" s="6">
        <v>5.56</v>
      </c>
      <c r="S7171" s="5">
        <v>-20.8</v>
      </c>
      <c r="T7171" s="7">
        <v>35.395000000000003</v>
      </c>
      <c r="U7171" s="5">
        <v>5.0999999999999996</v>
      </c>
      <c r="V7171" s="6">
        <v>-0.77</v>
      </c>
      <c r="W7171" s="6">
        <v>5.19</v>
      </c>
      <c r="X7171" s="5">
        <v>5.0999999999999996</v>
      </c>
      <c r="Y7171" s="6">
        <v>5.16</v>
      </c>
      <c r="Z7171" s="6">
        <v>4.78</v>
      </c>
      <c r="AA7171" s="6">
        <v>13.41</v>
      </c>
      <c r="AB7171" s="7">
        <v>8.5660000000000007</v>
      </c>
      <c r="AC7171" s="2"/>
    </row>
    <row r="7172" spans="1:29" ht="195" x14ac:dyDescent="0.15">
      <c r="A7172" s="3">
        <f>DATE(2004,2,2)</f>
        <v>38019</v>
      </c>
      <c r="B7172" s="3">
        <f>DATE(2004,7,20)</f>
        <v>38188</v>
      </c>
      <c r="C7172" s="2" t="s">
        <v>95</v>
      </c>
      <c r="D7172" s="2" t="s">
        <v>21651</v>
      </c>
      <c r="E7172" s="2" t="s">
        <v>612</v>
      </c>
      <c r="F7172" s="4">
        <v>1311</v>
      </c>
      <c r="G7172" s="2" t="s">
        <v>148</v>
      </c>
      <c r="H7172" s="2" t="s">
        <v>34</v>
      </c>
      <c r="I7172" s="2" t="s">
        <v>2475</v>
      </c>
      <c r="J7172" s="2" t="s">
        <v>21652</v>
      </c>
      <c r="K7172" s="2" t="s">
        <v>148</v>
      </c>
      <c r="L7172" s="2" t="s">
        <v>34</v>
      </c>
      <c r="M7172" s="6">
        <v>278.25</v>
      </c>
      <c r="N7172" s="6">
        <v>19.850000000000001</v>
      </c>
      <c r="O7172" s="6">
        <v>19.850000000000001</v>
      </c>
      <c r="P7172" s="2" t="s">
        <v>21653</v>
      </c>
      <c r="Q7172" s="6">
        <v>100</v>
      </c>
      <c r="R7172" s="6">
        <v>3.56</v>
      </c>
      <c r="S7172" s="5">
        <v>2.4</v>
      </c>
      <c r="T7172" s="7">
        <v>13.662000000000001</v>
      </c>
      <c r="U7172" s="5">
        <v>3</v>
      </c>
      <c r="V7172" s="6">
        <v>0.2</v>
      </c>
      <c r="W7172" s="4">
        <v>5</v>
      </c>
      <c r="X7172" s="5">
        <v>4.5</v>
      </c>
      <c r="Y7172" s="6">
        <v>3.61</v>
      </c>
      <c r="Z7172" s="6">
        <v>3.64</v>
      </c>
      <c r="AA7172" s="6">
        <v>12.03</v>
      </c>
      <c r="AB7172" s="7">
        <v>12.343999999999999</v>
      </c>
      <c r="AC7172" s="6">
        <v>53.59</v>
      </c>
    </row>
    <row r="7173" spans="1:29" ht="78" x14ac:dyDescent="0.15">
      <c r="A7173" s="3">
        <f>DATE(2004,2,3)</f>
        <v>38020</v>
      </c>
      <c r="B7173" s="3">
        <f>DATE(2004,2,5)</f>
        <v>38022</v>
      </c>
      <c r="C7173" s="2" t="s">
        <v>95</v>
      </c>
      <c r="D7173" s="2" t="s">
        <v>21654</v>
      </c>
      <c r="E7173" s="2" t="s">
        <v>3812</v>
      </c>
      <c r="F7173" s="4">
        <v>2834</v>
      </c>
      <c r="G7173" s="2" t="s">
        <v>130</v>
      </c>
      <c r="H7173" s="2" t="s">
        <v>34</v>
      </c>
      <c r="I7173" s="2" t="s">
        <v>21655</v>
      </c>
      <c r="J7173" s="2" t="s">
        <v>21656</v>
      </c>
      <c r="K7173" s="2" t="s">
        <v>130</v>
      </c>
      <c r="L7173" s="2" t="s">
        <v>17048</v>
      </c>
      <c r="M7173" s="12">
        <v>1205.979</v>
      </c>
      <c r="N7173" s="7">
        <v>14.177</v>
      </c>
      <c r="O7173" s="7">
        <v>14.051</v>
      </c>
      <c r="P7173" s="2" t="s">
        <v>21657</v>
      </c>
      <c r="Q7173" s="6">
        <v>16</v>
      </c>
      <c r="R7173" s="6">
        <v>9</v>
      </c>
      <c r="S7173" s="5">
        <v>11.2</v>
      </c>
      <c r="T7173" s="7">
        <v>13.096</v>
      </c>
      <c r="U7173" s="5">
        <v>-0.2</v>
      </c>
      <c r="V7173" s="6">
        <v>0.44</v>
      </c>
      <c r="W7173" s="4">
        <v>10</v>
      </c>
      <c r="X7173" s="5">
        <v>9.5</v>
      </c>
      <c r="Y7173" s="4">
        <v>10</v>
      </c>
      <c r="Z7173" s="6">
        <v>9.85</v>
      </c>
      <c r="AA7173" s="6">
        <v>24.57</v>
      </c>
      <c r="AB7173" s="7">
        <v>19.355</v>
      </c>
      <c r="AC7173" s="6">
        <v>17.21</v>
      </c>
    </row>
    <row r="7174" spans="1:29" ht="169" x14ac:dyDescent="0.15">
      <c r="A7174" s="3">
        <f>DATE(2004,2,4)</f>
        <v>38021</v>
      </c>
      <c r="B7174" s="3">
        <f>DATE(2004,7,15)</f>
        <v>38183</v>
      </c>
      <c r="C7174" s="2" t="s">
        <v>95</v>
      </c>
      <c r="D7174" s="2" t="s">
        <v>21658</v>
      </c>
      <c r="E7174" s="2" t="s">
        <v>21659</v>
      </c>
      <c r="F7174" s="4">
        <v>3357</v>
      </c>
      <c r="G7174" s="2" t="s">
        <v>163</v>
      </c>
      <c r="H7174" s="2" t="s">
        <v>34</v>
      </c>
      <c r="I7174" s="2" t="s">
        <v>21660</v>
      </c>
      <c r="J7174" s="2" t="s">
        <v>21661</v>
      </c>
      <c r="K7174" s="2" t="s">
        <v>163</v>
      </c>
      <c r="L7174" s="2" t="s">
        <v>34</v>
      </c>
      <c r="M7174" s="7">
        <v>544.59900000000005</v>
      </c>
      <c r="N7174" s="5">
        <v>19.899999999999999</v>
      </c>
      <c r="O7174" s="6">
        <v>20.079999999999998</v>
      </c>
      <c r="P7174" s="2" t="s">
        <v>21662</v>
      </c>
      <c r="Q7174" s="6">
        <v>100</v>
      </c>
      <c r="R7174" s="6">
        <v>9.9499999999999993</v>
      </c>
      <c r="S7174" s="5">
        <v>3.3</v>
      </c>
      <c r="T7174" s="2"/>
      <c r="U7174" s="5">
        <v>6.9</v>
      </c>
      <c r="V7174" s="6">
        <v>0.08</v>
      </c>
      <c r="W7174" s="6">
        <v>10.35</v>
      </c>
      <c r="X7174" s="4">
        <v>10</v>
      </c>
      <c r="Y7174" s="5">
        <v>9.8000000000000007</v>
      </c>
      <c r="Z7174" s="6">
        <v>10.14</v>
      </c>
      <c r="AA7174" s="6">
        <v>41.98</v>
      </c>
      <c r="AB7174" s="7">
        <v>25.652000000000001</v>
      </c>
      <c r="AC7174" s="6">
        <v>94.97</v>
      </c>
    </row>
    <row r="7175" spans="1:29" ht="65" x14ac:dyDescent="0.15">
      <c r="A7175" s="3">
        <f>DATE(2004,2,4)</f>
        <v>38021</v>
      </c>
      <c r="B7175" s="3">
        <f>DATE(2004,8,6)</f>
        <v>38205</v>
      </c>
      <c r="C7175" s="2" t="s">
        <v>95</v>
      </c>
      <c r="D7175" s="2" t="s">
        <v>21663</v>
      </c>
      <c r="E7175" s="2" t="s">
        <v>2066</v>
      </c>
      <c r="F7175" s="4">
        <v>2834</v>
      </c>
      <c r="G7175" s="2" t="s">
        <v>130</v>
      </c>
      <c r="H7175" s="2" t="s">
        <v>34</v>
      </c>
      <c r="I7175" s="2" t="s">
        <v>21664</v>
      </c>
      <c r="J7175" s="2" t="s">
        <v>6711</v>
      </c>
      <c r="K7175" s="2" t="s">
        <v>130</v>
      </c>
      <c r="L7175" s="2" t="s">
        <v>34</v>
      </c>
      <c r="M7175" s="12">
        <v>1132.5050000000001</v>
      </c>
      <c r="N7175" s="6">
        <v>17.27</v>
      </c>
      <c r="O7175" s="4">
        <v>18</v>
      </c>
      <c r="P7175" s="2" t="s">
        <v>21665</v>
      </c>
      <c r="Q7175" s="6">
        <v>67.709999999999994</v>
      </c>
      <c r="R7175" s="6">
        <v>14.56</v>
      </c>
      <c r="S7175" s="5">
        <v>13.6</v>
      </c>
      <c r="T7175" s="7">
        <v>24.274999999999999</v>
      </c>
      <c r="U7175" s="5">
        <v>1.4</v>
      </c>
      <c r="V7175" s="9">
        <v>0.67330000000000001</v>
      </c>
      <c r="W7175" s="5">
        <v>17.8</v>
      </c>
      <c r="X7175" s="5">
        <v>17.5</v>
      </c>
      <c r="Y7175" s="5">
        <v>17.2</v>
      </c>
      <c r="Z7175" s="6">
        <v>16.98</v>
      </c>
      <c r="AA7175" s="6">
        <v>20.059999999999999</v>
      </c>
      <c r="AB7175" s="7">
        <v>12.522</v>
      </c>
      <c r="AC7175" s="6">
        <v>110.81</v>
      </c>
    </row>
    <row r="7176" spans="1:29" ht="117" x14ac:dyDescent="0.15">
      <c r="A7176" s="3">
        <f>DATE(2004,2,4)</f>
        <v>38021</v>
      </c>
      <c r="B7176" s="3">
        <f>DATE(2004,4,2)</f>
        <v>38079</v>
      </c>
      <c r="C7176" s="2" t="s">
        <v>95</v>
      </c>
      <c r="D7176" s="2" t="s">
        <v>21666</v>
      </c>
      <c r="E7176" s="2" t="s">
        <v>21667</v>
      </c>
      <c r="F7176" s="4">
        <v>7373</v>
      </c>
      <c r="G7176" s="2" t="s">
        <v>223</v>
      </c>
      <c r="H7176" s="2" t="s">
        <v>34</v>
      </c>
      <c r="I7176" s="2" t="s">
        <v>21668</v>
      </c>
      <c r="J7176" s="2" t="s">
        <v>21669</v>
      </c>
      <c r="K7176" s="2" t="s">
        <v>50</v>
      </c>
      <c r="L7176" s="2" t="s">
        <v>34</v>
      </c>
      <c r="M7176" s="12">
        <v>71221.907000000007</v>
      </c>
      <c r="N7176" s="6">
        <v>23.19</v>
      </c>
      <c r="O7176" s="6">
        <v>23.31</v>
      </c>
      <c r="P7176" s="2" t="s">
        <v>21670</v>
      </c>
      <c r="Q7176" s="6">
        <v>94.49</v>
      </c>
      <c r="R7176" s="6">
        <v>6.1</v>
      </c>
      <c r="S7176" s="5">
        <v>-6.8</v>
      </c>
      <c r="T7176" s="7">
        <v>-1.3859999999999999</v>
      </c>
      <c r="U7176" s="5">
        <v>1.1000000000000001</v>
      </c>
      <c r="V7176" s="6">
        <v>-0.37</v>
      </c>
      <c r="W7176" s="5">
        <v>4.4000000000000004</v>
      </c>
      <c r="X7176" s="6">
        <v>4.75</v>
      </c>
      <c r="Y7176" s="6">
        <v>6.03</v>
      </c>
      <c r="Z7176" s="6">
        <v>6.01</v>
      </c>
      <c r="AA7176" s="6">
        <v>19.100000000000001</v>
      </c>
      <c r="AB7176" s="2" t="s">
        <v>86</v>
      </c>
      <c r="AC7176" s="8">
        <v>13940</v>
      </c>
    </row>
    <row r="7177" spans="1:29" ht="104" x14ac:dyDescent="0.15">
      <c r="A7177" s="3">
        <f>DATE(2004,2,4)</f>
        <v>38021</v>
      </c>
      <c r="B7177" s="3">
        <f>DATE(2004,5,14)</f>
        <v>38121</v>
      </c>
      <c r="C7177" s="2" t="s">
        <v>95</v>
      </c>
      <c r="D7177" s="2" t="s">
        <v>21671</v>
      </c>
      <c r="E7177" s="2" t="s">
        <v>21672</v>
      </c>
      <c r="F7177" s="4">
        <v>7359</v>
      </c>
      <c r="G7177" s="2" t="s">
        <v>223</v>
      </c>
      <c r="H7177" s="2" t="s">
        <v>34</v>
      </c>
      <c r="I7177" s="2" t="s">
        <v>21673</v>
      </c>
      <c r="J7177" s="2" t="s">
        <v>21674</v>
      </c>
      <c r="K7177" s="2" t="s">
        <v>223</v>
      </c>
      <c r="L7177" s="2" t="s">
        <v>34</v>
      </c>
      <c r="M7177" s="12">
        <v>2378.3130000000001</v>
      </c>
      <c r="N7177" s="6">
        <v>29.93</v>
      </c>
      <c r="O7177" s="6">
        <v>30.17</v>
      </c>
      <c r="P7177" s="2" t="s">
        <v>21675</v>
      </c>
      <c r="Q7177" s="6">
        <v>100</v>
      </c>
      <c r="R7177" s="6">
        <v>16</v>
      </c>
      <c r="S7177" s="5">
        <v>0.9</v>
      </c>
      <c r="T7177" s="7">
        <v>4.1239999999999997</v>
      </c>
      <c r="U7177" s="5">
        <v>6.7</v>
      </c>
      <c r="V7177" s="6">
        <v>0.15</v>
      </c>
      <c r="W7177" s="6">
        <v>8.16</v>
      </c>
      <c r="X7177" s="6">
        <v>8.16</v>
      </c>
      <c r="Y7177" s="5">
        <v>15.8</v>
      </c>
      <c r="Z7177" s="5">
        <v>15.8</v>
      </c>
      <c r="AA7177" s="6">
        <v>5.93</v>
      </c>
      <c r="AB7177" s="7">
        <v>62.152000000000001</v>
      </c>
      <c r="AC7177" s="6">
        <v>143.94</v>
      </c>
    </row>
    <row r="7178" spans="1:29" ht="104" x14ac:dyDescent="0.15">
      <c r="A7178" s="3">
        <f>DATE(2004,2,5)</f>
        <v>38022</v>
      </c>
      <c r="B7178" s="3">
        <f>DATE(2004,5,14)</f>
        <v>38121</v>
      </c>
      <c r="C7178" s="2" t="s">
        <v>95</v>
      </c>
      <c r="D7178" s="2" t="s">
        <v>20341</v>
      </c>
      <c r="E7178" s="2" t="s">
        <v>36</v>
      </c>
      <c r="F7178" s="4">
        <v>6035</v>
      </c>
      <c r="G7178" s="2" t="s">
        <v>33</v>
      </c>
      <c r="H7178" s="2" t="s">
        <v>34</v>
      </c>
      <c r="I7178" s="2" t="s">
        <v>2336</v>
      </c>
      <c r="J7178" s="2" t="s">
        <v>2337</v>
      </c>
      <c r="K7178" s="2" t="s">
        <v>37</v>
      </c>
      <c r="L7178" s="2" t="s">
        <v>34</v>
      </c>
      <c r="M7178" s="10">
        <v>10628.02</v>
      </c>
      <c r="N7178" s="6">
        <v>33.26</v>
      </c>
      <c r="O7178" s="5">
        <v>33.700000000000003</v>
      </c>
      <c r="P7178" s="2" t="s">
        <v>21676</v>
      </c>
      <c r="Q7178" s="6">
        <v>100</v>
      </c>
      <c r="R7178" s="6">
        <v>27.12</v>
      </c>
      <c r="S7178" s="5">
        <v>5.8</v>
      </c>
      <c r="T7178" s="2"/>
      <c r="U7178" s="5">
        <v>19.2</v>
      </c>
      <c r="V7178" s="6">
        <v>1.0900000000000001</v>
      </c>
      <c r="W7178" s="6">
        <v>29.56</v>
      </c>
      <c r="X7178" s="5">
        <v>29.4</v>
      </c>
      <c r="Y7178" s="6">
        <v>27.02</v>
      </c>
      <c r="Z7178" s="6">
        <v>27.15</v>
      </c>
      <c r="AA7178" s="6">
        <v>5.39</v>
      </c>
      <c r="AB7178" s="7">
        <v>35.607999999999997</v>
      </c>
      <c r="AC7178" s="2"/>
    </row>
    <row r="7179" spans="1:29" ht="104" x14ac:dyDescent="0.15">
      <c r="A7179" s="3">
        <f>DATE(2004,2,5)</f>
        <v>38022</v>
      </c>
      <c r="B7179" s="2"/>
      <c r="C7179" s="2" t="s">
        <v>30</v>
      </c>
      <c r="D7179" s="2" t="s">
        <v>10519</v>
      </c>
      <c r="E7179" s="2" t="s">
        <v>10520</v>
      </c>
      <c r="F7179" s="4">
        <v>3089</v>
      </c>
      <c r="G7179" s="2" t="s">
        <v>447</v>
      </c>
      <c r="H7179" s="2" t="s">
        <v>34</v>
      </c>
      <c r="I7179" s="2" t="s">
        <v>51</v>
      </c>
      <c r="J7179" s="2" t="s">
        <v>52</v>
      </c>
      <c r="K7179" s="2" t="s">
        <v>53</v>
      </c>
      <c r="L7179" s="2" t="s">
        <v>34</v>
      </c>
      <c r="M7179" s="2"/>
      <c r="N7179" s="2"/>
      <c r="O7179" s="2"/>
      <c r="P7179" s="2" t="s">
        <v>21677</v>
      </c>
      <c r="Q7179" s="2"/>
      <c r="R7179" s="6">
        <v>1.5</v>
      </c>
      <c r="S7179" s="5">
        <v>-11.3</v>
      </c>
      <c r="T7179" s="7">
        <v>17.760999999999999</v>
      </c>
      <c r="U7179" s="5">
        <v>0.8</v>
      </c>
      <c r="V7179" s="6">
        <v>-1.42</v>
      </c>
      <c r="W7179" s="6">
        <v>1.48</v>
      </c>
      <c r="X7179" s="6">
        <v>1.39</v>
      </c>
      <c r="Y7179" s="6">
        <v>1.23</v>
      </c>
      <c r="Z7179" s="6">
        <v>1.51</v>
      </c>
      <c r="AA7179" s="6">
        <v>7.87</v>
      </c>
      <c r="AB7179" s="7">
        <v>19.027999999999999</v>
      </c>
      <c r="AC7179" s="2"/>
    </row>
    <row r="7180" spans="1:29" ht="117" x14ac:dyDescent="0.15">
      <c r="A7180" s="3">
        <f>DATE(2004,2,6)</f>
        <v>38023</v>
      </c>
      <c r="B7180" s="3">
        <f>DATE(2004,4,16)</f>
        <v>38093</v>
      </c>
      <c r="C7180" s="2" t="s">
        <v>95</v>
      </c>
      <c r="D7180" s="2" t="s">
        <v>21678</v>
      </c>
      <c r="E7180" s="2" t="s">
        <v>21679</v>
      </c>
      <c r="F7180" s="4">
        <v>7371</v>
      </c>
      <c r="G7180" s="2" t="s">
        <v>223</v>
      </c>
      <c r="H7180" s="2" t="s">
        <v>34</v>
      </c>
      <c r="I7180" s="2" t="s">
        <v>21680</v>
      </c>
      <c r="J7180" s="2" t="s">
        <v>21681</v>
      </c>
      <c r="K7180" s="2" t="s">
        <v>50</v>
      </c>
      <c r="L7180" s="2" t="s">
        <v>34</v>
      </c>
      <c r="M7180" s="12">
        <v>8563.2360000000008</v>
      </c>
      <c r="N7180" s="6">
        <v>29.47</v>
      </c>
      <c r="O7180" s="6">
        <v>26.18</v>
      </c>
      <c r="P7180" s="2" t="s">
        <v>21682</v>
      </c>
      <c r="Q7180" s="6">
        <v>100</v>
      </c>
      <c r="R7180" s="6">
        <v>41.38</v>
      </c>
      <c r="S7180" s="5">
        <v>54.7</v>
      </c>
      <c r="T7180" s="7">
        <v>50.545999999999999</v>
      </c>
      <c r="U7180" s="5">
        <v>6.7</v>
      </c>
      <c r="V7180" s="6">
        <v>0.63</v>
      </c>
      <c r="W7180" s="6">
        <v>26.12</v>
      </c>
      <c r="X7180" s="6">
        <v>26.03</v>
      </c>
      <c r="Y7180" s="5">
        <v>26.4</v>
      </c>
      <c r="Z7180" s="6">
        <v>35.94</v>
      </c>
      <c r="AA7180" s="6">
        <v>92.23</v>
      </c>
      <c r="AB7180" s="7">
        <v>88.552000000000007</v>
      </c>
      <c r="AC7180" s="6">
        <v>581.51</v>
      </c>
    </row>
    <row r="7181" spans="1:29" ht="91" x14ac:dyDescent="0.15">
      <c r="A7181" s="3">
        <f>DATE(2004,2,8)</f>
        <v>38025</v>
      </c>
      <c r="B7181" s="3">
        <f>DATE(2004,4,20)</f>
        <v>38097</v>
      </c>
      <c r="C7181" s="2" t="s">
        <v>95</v>
      </c>
      <c r="D7181" s="2" t="s">
        <v>21683</v>
      </c>
      <c r="E7181" s="2" t="s">
        <v>21684</v>
      </c>
      <c r="F7181" s="4">
        <v>5984</v>
      </c>
      <c r="G7181" s="2" t="s">
        <v>73</v>
      </c>
      <c r="H7181" s="2" t="s">
        <v>34</v>
      </c>
      <c r="I7181" s="2" t="s">
        <v>21685</v>
      </c>
      <c r="J7181" s="2" t="s">
        <v>21686</v>
      </c>
      <c r="K7181" s="2" t="s">
        <v>73</v>
      </c>
      <c r="L7181" s="2" t="s">
        <v>34</v>
      </c>
      <c r="M7181" s="7">
        <v>971.60599999999999</v>
      </c>
      <c r="N7181" s="6">
        <v>24.81</v>
      </c>
      <c r="O7181" s="6">
        <v>24.81</v>
      </c>
      <c r="P7181" s="2" t="s">
        <v>21687</v>
      </c>
      <c r="Q7181" s="6">
        <v>100</v>
      </c>
      <c r="R7181" s="6">
        <v>17</v>
      </c>
      <c r="S7181" s="5">
        <v>16</v>
      </c>
      <c r="T7181" s="7">
        <v>33.268000000000001</v>
      </c>
      <c r="U7181" s="5">
        <v>7.5</v>
      </c>
      <c r="V7181" s="6">
        <v>0.83</v>
      </c>
      <c r="W7181" s="6">
        <v>13.93</v>
      </c>
      <c r="X7181" s="5">
        <v>13.9</v>
      </c>
      <c r="Y7181" s="2"/>
      <c r="Z7181" s="6">
        <v>16.739999999999998</v>
      </c>
      <c r="AA7181" s="6">
        <v>17.850000000000001</v>
      </c>
      <c r="AB7181" s="7">
        <v>16.667999999999999</v>
      </c>
      <c r="AC7181" s="6">
        <v>23.07</v>
      </c>
    </row>
    <row r="7182" spans="1:29" ht="130" x14ac:dyDescent="0.15">
      <c r="A7182" s="3">
        <f>DATE(2004,2,9)</f>
        <v>38026</v>
      </c>
      <c r="B7182" s="2"/>
      <c r="C7182" s="2" t="s">
        <v>30</v>
      </c>
      <c r="D7182" s="2" t="s">
        <v>21688</v>
      </c>
      <c r="E7182" s="2" t="s">
        <v>21689</v>
      </c>
      <c r="F7182" s="4">
        <v>7389</v>
      </c>
      <c r="G7182" s="2" t="s">
        <v>223</v>
      </c>
      <c r="H7182" s="2" t="s">
        <v>34</v>
      </c>
      <c r="I7182" s="2" t="s">
        <v>21690</v>
      </c>
      <c r="J7182" s="2" t="s">
        <v>21691</v>
      </c>
      <c r="K7182" s="2" t="s">
        <v>226</v>
      </c>
      <c r="L7182" s="2" t="s">
        <v>34</v>
      </c>
      <c r="M7182" s="7">
        <v>11.795</v>
      </c>
      <c r="N7182" s="5">
        <v>2.2999999999999998</v>
      </c>
      <c r="O7182" s="6">
        <v>2.2799999999999998</v>
      </c>
      <c r="P7182" s="2" t="s">
        <v>21692</v>
      </c>
      <c r="Q7182" s="2"/>
      <c r="R7182" s="6">
        <v>1.08</v>
      </c>
      <c r="S7182" s="5">
        <v>-5.3</v>
      </c>
      <c r="T7182" s="7">
        <v>-5.1079999999999997</v>
      </c>
      <c r="U7182" s="5">
        <v>-0.2</v>
      </c>
      <c r="V7182" s="6">
        <v>-0.31</v>
      </c>
      <c r="W7182" s="6">
        <v>0.79</v>
      </c>
      <c r="X7182" s="6">
        <v>1.64</v>
      </c>
      <c r="Y7182" s="6">
        <v>2.02</v>
      </c>
      <c r="Z7182" s="6">
        <v>1.35</v>
      </c>
      <c r="AA7182" s="6">
        <v>20.99</v>
      </c>
      <c r="AB7182" s="2" t="s">
        <v>86</v>
      </c>
      <c r="AC7182" s="6">
        <v>0.12</v>
      </c>
    </row>
    <row r="7183" spans="1:29" ht="169" x14ac:dyDescent="0.15">
      <c r="A7183" s="3">
        <f>DATE(2004,2,10)</f>
        <v>38027</v>
      </c>
      <c r="B7183" s="3">
        <f>DATE(2004,8,5)</f>
        <v>38204</v>
      </c>
      <c r="C7183" s="2" t="s">
        <v>95</v>
      </c>
      <c r="D7183" s="2" t="s">
        <v>21693</v>
      </c>
      <c r="E7183" s="2" t="s">
        <v>2728</v>
      </c>
      <c r="F7183" s="4">
        <v>3674</v>
      </c>
      <c r="G7183" s="2" t="s">
        <v>137</v>
      </c>
      <c r="H7183" s="2" t="s">
        <v>34</v>
      </c>
      <c r="I7183" s="2" t="s">
        <v>21694</v>
      </c>
      <c r="J7183" s="2" t="s">
        <v>21695</v>
      </c>
      <c r="K7183" s="2" t="s">
        <v>137</v>
      </c>
      <c r="L7183" s="2" t="s">
        <v>54</v>
      </c>
      <c r="M7183" s="12">
        <v>1525.6489999999999</v>
      </c>
      <c r="N7183" s="7">
        <v>1.1819999999999999</v>
      </c>
      <c r="O7183" s="7">
        <v>1.1639999999999999</v>
      </c>
      <c r="P7183" s="2" t="s">
        <v>21696</v>
      </c>
      <c r="Q7183" s="6">
        <v>100</v>
      </c>
      <c r="R7183" s="6">
        <v>11.61</v>
      </c>
      <c r="S7183" s="5">
        <v>-28.8</v>
      </c>
      <c r="T7183" s="7">
        <v>78.331000000000003</v>
      </c>
      <c r="U7183" s="5">
        <v>1</v>
      </c>
      <c r="V7183" s="6">
        <v>-0.3</v>
      </c>
      <c r="W7183" s="6">
        <v>7.32</v>
      </c>
      <c r="X7183" s="5">
        <v>7.9</v>
      </c>
      <c r="Y7183" s="6">
        <v>8.99</v>
      </c>
      <c r="Z7183" s="6">
        <v>8.91</v>
      </c>
      <c r="AA7183" s="6">
        <v>97.03</v>
      </c>
      <c r="AB7183" s="7">
        <v>111.98</v>
      </c>
      <c r="AC7183" s="6">
        <v>323.33</v>
      </c>
    </row>
    <row r="7184" spans="1:29" ht="156" x14ac:dyDescent="0.15">
      <c r="A7184" s="3">
        <f>DATE(2004,2,11)</f>
        <v>38028</v>
      </c>
      <c r="B7184" s="2"/>
      <c r="C7184" s="2" t="s">
        <v>30</v>
      </c>
      <c r="D7184" s="2" t="s">
        <v>1758</v>
      </c>
      <c r="E7184" s="2" t="s">
        <v>21697</v>
      </c>
      <c r="F7184" s="4">
        <v>7996</v>
      </c>
      <c r="G7184" s="2" t="s">
        <v>364</v>
      </c>
      <c r="H7184" s="2" t="s">
        <v>34</v>
      </c>
      <c r="I7184" s="2" t="s">
        <v>3891</v>
      </c>
      <c r="J7184" s="2" t="s">
        <v>21698</v>
      </c>
      <c r="K7184" s="2" t="s">
        <v>45</v>
      </c>
      <c r="L7184" s="2" t="s">
        <v>34</v>
      </c>
      <c r="M7184" s="12">
        <v>80673.409</v>
      </c>
      <c r="N7184" s="6">
        <v>31.23</v>
      </c>
      <c r="O7184" s="6">
        <v>30.06</v>
      </c>
      <c r="P7184" s="2" t="s">
        <v>21699</v>
      </c>
      <c r="Q7184" s="2"/>
      <c r="R7184" s="6">
        <v>26.47</v>
      </c>
      <c r="S7184" s="8">
        <v>1770</v>
      </c>
      <c r="T7184" s="8">
        <v>4291</v>
      </c>
      <c r="U7184" s="5">
        <v>11.9</v>
      </c>
      <c r="V7184" s="6">
        <v>0.91</v>
      </c>
      <c r="W7184" s="6">
        <v>23.19</v>
      </c>
      <c r="X7184" s="6">
        <v>24.08</v>
      </c>
      <c r="Y7184" s="5">
        <v>27.6</v>
      </c>
      <c r="Z7184" s="4">
        <v>28</v>
      </c>
      <c r="AA7184" s="10">
        <v>2045.36</v>
      </c>
      <c r="AB7184" s="7">
        <v>20.486999999999998</v>
      </c>
      <c r="AC7184" s="8">
        <v>4043</v>
      </c>
    </row>
    <row r="7185" spans="1:29" ht="195" x14ac:dyDescent="0.15">
      <c r="A7185" s="3">
        <f>DATE(2004,2,11)</f>
        <v>38028</v>
      </c>
      <c r="B7185" s="3">
        <f>DATE(2004,5,14)</f>
        <v>38121</v>
      </c>
      <c r="C7185" s="2" t="s">
        <v>95</v>
      </c>
      <c r="D7185" s="2" t="s">
        <v>21700</v>
      </c>
      <c r="E7185" s="2" t="s">
        <v>612</v>
      </c>
      <c r="F7185" s="4">
        <v>1311</v>
      </c>
      <c r="G7185" s="2" t="s">
        <v>148</v>
      </c>
      <c r="H7185" s="2" t="s">
        <v>34</v>
      </c>
      <c r="I7185" s="2" t="s">
        <v>20625</v>
      </c>
      <c r="J7185" s="2" t="s">
        <v>1608</v>
      </c>
      <c r="K7185" s="2" t="s">
        <v>148</v>
      </c>
      <c r="L7185" s="2" t="s">
        <v>34</v>
      </c>
      <c r="M7185" s="6">
        <v>624.65</v>
      </c>
      <c r="N7185" s="6">
        <v>15.89</v>
      </c>
      <c r="O7185" s="6">
        <v>16.059999999999999</v>
      </c>
      <c r="P7185" s="2" t="s">
        <v>21701</v>
      </c>
      <c r="Q7185" s="6">
        <v>100</v>
      </c>
      <c r="R7185" s="6">
        <v>28.05</v>
      </c>
      <c r="S7185" s="5">
        <v>37.1</v>
      </c>
      <c r="T7185" s="7">
        <v>179.67699999999999</v>
      </c>
      <c r="U7185" s="5">
        <v>11.3</v>
      </c>
      <c r="V7185" s="6">
        <v>1.89</v>
      </c>
      <c r="W7185" s="5">
        <v>26.8</v>
      </c>
      <c r="X7185" s="6">
        <v>28.35</v>
      </c>
      <c r="Y7185" s="6">
        <v>28.91</v>
      </c>
      <c r="Z7185" s="5">
        <v>28.2</v>
      </c>
      <c r="AA7185" s="6">
        <v>19.52</v>
      </c>
      <c r="AB7185" s="7">
        <v>9.1890000000000001</v>
      </c>
      <c r="AC7185" s="6">
        <v>1.38</v>
      </c>
    </row>
    <row r="7186" spans="1:29" ht="182" x14ac:dyDescent="0.15">
      <c r="A7186" s="3">
        <f>DATE(2004,2,12)</f>
        <v>38029</v>
      </c>
      <c r="B7186" s="2"/>
      <c r="C7186" s="2" t="s">
        <v>30</v>
      </c>
      <c r="D7186" s="2" t="s">
        <v>21445</v>
      </c>
      <c r="E7186" s="2" t="s">
        <v>5309</v>
      </c>
      <c r="F7186" s="4">
        <v>1311</v>
      </c>
      <c r="G7186" s="2" t="s">
        <v>148</v>
      </c>
      <c r="H7186" s="2" t="s">
        <v>34</v>
      </c>
      <c r="I7186" s="2" t="s">
        <v>51</v>
      </c>
      <c r="J7186" s="2" t="s">
        <v>52</v>
      </c>
      <c r="K7186" s="2" t="s">
        <v>53</v>
      </c>
      <c r="L7186" s="2" t="s">
        <v>34</v>
      </c>
      <c r="M7186" s="2"/>
      <c r="N7186" s="2"/>
      <c r="O7186" s="2"/>
      <c r="P7186" s="2" t="s">
        <v>21702</v>
      </c>
      <c r="Q7186" s="2"/>
      <c r="R7186" s="6">
        <v>18.190000000000001</v>
      </c>
      <c r="S7186" s="5">
        <v>20.3</v>
      </c>
      <c r="T7186" s="7">
        <v>2.3090000000000002</v>
      </c>
      <c r="U7186" s="5">
        <v>4.3</v>
      </c>
      <c r="V7186" s="6">
        <v>0.82</v>
      </c>
      <c r="W7186" s="6">
        <v>13.25</v>
      </c>
      <c r="X7186" s="5">
        <v>13.2</v>
      </c>
      <c r="Y7186" s="6">
        <v>13.44</v>
      </c>
      <c r="Z7186" s="5">
        <v>15.5</v>
      </c>
      <c r="AA7186" s="6">
        <v>23.6</v>
      </c>
      <c r="AB7186" s="2" t="s">
        <v>86</v>
      </c>
      <c r="AC7186" s="2"/>
    </row>
    <row r="7187" spans="1:29" ht="143" x14ac:dyDescent="0.15">
      <c r="A7187" s="3">
        <f>DATE(2004,2,12)</f>
        <v>38029</v>
      </c>
      <c r="B7187" s="2"/>
      <c r="C7187" s="2" t="s">
        <v>30</v>
      </c>
      <c r="D7187" s="2" t="s">
        <v>11456</v>
      </c>
      <c r="E7187" s="2" t="s">
        <v>11457</v>
      </c>
      <c r="F7187" s="4">
        <v>7999</v>
      </c>
      <c r="G7187" s="2" t="s">
        <v>364</v>
      </c>
      <c r="H7187" s="2" t="s">
        <v>34</v>
      </c>
      <c r="I7187" s="2" t="s">
        <v>17745</v>
      </c>
      <c r="J7187" s="2" t="s">
        <v>3197</v>
      </c>
      <c r="K7187" s="2" t="s">
        <v>53</v>
      </c>
      <c r="L7187" s="2" t="s">
        <v>34</v>
      </c>
      <c r="M7187" s="2"/>
      <c r="N7187" s="2"/>
      <c r="O7187" s="2"/>
      <c r="P7187" s="2" t="s">
        <v>21703</v>
      </c>
      <c r="Q7187" s="2"/>
      <c r="R7187" s="2"/>
      <c r="S7187" s="5">
        <v>-87.3</v>
      </c>
      <c r="T7187" s="7">
        <v>236.779</v>
      </c>
      <c r="U7187" s="5">
        <v>0.2</v>
      </c>
      <c r="V7187" s="6">
        <v>-3.39</v>
      </c>
      <c r="W7187" s="6">
        <v>2.4300000000000002</v>
      </c>
      <c r="X7187" s="6">
        <v>2.36</v>
      </c>
      <c r="Y7187" s="6">
        <v>2.4500000000000002</v>
      </c>
      <c r="Z7187" s="6">
        <v>2.5499999999999998</v>
      </c>
      <c r="AA7187" s="6">
        <v>29.91</v>
      </c>
      <c r="AB7187" s="2" t="s">
        <v>47</v>
      </c>
      <c r="AC7187" s="2"/>
    </row>
    <row r="7188" spans="1:29" ht="65" x14ac:dyDescent="0.15">
      <c r="A7188" s="3">
        <f>DATE(2004,2,13)</f>
        <v>38030</v>
      </c>
      <c r="B7188" s="2"/>
      <c r="C7188" s="2" t="s">
        <v>56</v>
      </c>
      <c r="D7188" s="2" t="s">
        <v>21704</v>
      </c>
      <c r="E7188" s="2" t="s">
        <v>3032</v>
      </c>
      <c r="F7188" s="4">
        <v>8062</v>
      </c>
      <c r="G7188" s="2" t="s">
        <v>454</v>
      </c>
      <c r="H7188" s="2" t="s">
        <v>34</v>
      </c>
      <c r="I7188" s="2" t="s">
        <v>21705</v>
      </c>
      <c r="J7188" s="2" t="s">
        <v>3032</v>
      </c>
      <c r="K7188" s="2" t="s">
        <v>454</v>
      </c>
      <c r="L7188" s="2" t="s">
        <v>34</v>
      </c>
      <c r="M7188" s="2"/>
      <c r="N7188" s="2"/>
      <c r="O7188" s="2"/>
      <c r="P7188" s="2" t="s">
        <v>21706</v>
      </c>
      <c r="Q7188" s="2"/>
      <c r="R7188" s="6">
        <v>4</v>
      </c>
      <c r="S7188" s="5">
        <v>0.2</v>
      </c>
      <c r="T7188" s="7">
        <v>6.008</v>
      </c>
      <c r="U7188" s="5">
        <v>1.3</v>
      </c>
      <c r="V7188" s="6">
        <v>0.01</v>
      </c>
      <c r="W7188" s="6">
        <v>2.77</v>
      </c>
      <c r="X7188" s="6">
        <v>2.77</v>
      </c>
      <c r="Y7188" s="6">
        <v>3.46</v>
      </c>
      <c r="Z7188" s="6">
        <v>3.65</v>
      </c>
      <c r="AA7188" s="6">
        <v>6.28</v>
      </c>
      <c r="AB7188" s="7">
        <v>18.565999999999999</v>
      </c>
      <c r="AC7188" s="2"/>
    </row>
    <row r="7189" spans="1:29" ht="130" x14ac:dyDescent="0.15">
      <c r="A7189" s="3">
        <f>DATE(2004,2,15)</f>
        <v>38032</v>
      </c>
      <c r="B7189" s="3">
        <f>DATE(2004,4,27)</f>
        <v>38104</v>
      </c>
      <c r="C7189" s="2" t="s">
        <v>95</v>
      </c>
      <c r="D7189" s="2" t="s">
        <v>21707</v>
      </c>
      <c r="E7189" s="2" t="s">
        <v>21708</v>
      </c>
      <c r="F7189" s="4">
        <v>3448</v>
      </c>
      <c r="G7189" s="2" t="s">
        <v>163</v>
      </c>
      <c r="H7189" s="2" t="s">
        <v>34</v>
      </c>
      <c r="I7189" s="2" t="s">
        <v>21709</v>
      </c>
      <c r="J7189" s="2" t="s">
        <v>8682</v>
      </c>
      <c r="K7189" s="2" t="s">
        <v>163</v>
      </c>
      <c r="L7189" s="2" t="s">
        <v>885</v>
      </c>
      <c r="M7189" s="12">
        <v>3083.6060000000002</v>
      </c>
      <c r="N7189" s="7">
        <v>4.4409999999999998</v>
      </c>
      <c r="O7189" s="7">
        <v>4.4409999999999998</v>
      </c>
      <c r="P7189" s="2" t="s">
        <v>21710</v>
      </c>
      <c r="Q7189" s="6">
        <v>100</v>
      </c>
      <c r="R7189" s="6">
        <v>22.5</v>
      </c>
      <c r="S7189" s="5">
        <v>-7.4</v>
      </c>
      <c r="T7189" s="7">
        <v>12.898</v>
      </c>
      <c r="U7189" s="5">
        <v>17.7</v>
      </c>
      <c r="V7189" s="6">
        <v>-1.17</v>
      </c>
      <c r="W7189" s="5">
        <v>22.6</v>
      </c>
      <c r="X7189" s="5">
        <v>22.1</v>
      </c>
      <c r="Y7189" s="5">
        <v>22.1</v>
      </c>
      <c r="Z7189" s="5">
        <v>22.1</v>
      </c>
      <c r="AA7189" s="6">
        <v>6.33</v>
      </c>
      <c r="AB7189" s="2" t="s">
        <v>86</v>
      </c>
      <c r="AC7189" s="6">
        <v>64</v>
      </c>
    </row>
    <row r="7190" spans="1:29" ht="130" x14ac:dyDescent="0.15">
      <c r="A7190" s="3">
        <f>DATE(2004,2,16)</f>
        <v>38033</v>
      </c>
      <c r="B7190" s="3">
        <f>DATE(2004,10,1)</f>
        <v>38261</v>
      </c>
      <c r="C7190" s="2" t="s">
        <v>95</v>
      </c>
      <c r="D7190" s="2" t="s">
        <v>13397</v>
      </c>
      <c r="E7190" s="2" t="s">
        <v>263</v>
      </c>
      <c r="F7190" s="4">
        <v>6021</v>
      </c>
      <c r="G7190" s="2" t="s">
        <v>37</v>
      </c>
      <c r="H7190" s="2" t="s">
        <v>34</v>
      </c>
      <c r="I7190" s="2" t="s">
        <v>489</v>
      </c>
      <c r="J7190" s="2" t="s">
        <v>490</v>
      </c>
      <c r="K7190" s="2" t="s">
        <v>37</v>
      </c>
      <c r="L7190" s="2" t="s">
        <v>34</v>
      </c>
      <c r="M7190" s="12">
        <v>6462.7870000000003</v>
      </c>
      <c r="N7190" s="6">
        <v>43.37</v>
      </c>
      <c r="O7190" s="6">
        <v>43.37</v>
      </c>
      <c r="P7190" s="2" t="s">
        <v>21711</v>
      </c>
      <c r="Q7190" s="6">
        <v>100</v>
      </c>
      <c r="R7190" s="6">
        <v>46</v>
      </c>
      <c r="S7190" s="5">
        <v>471</v>
      </c>
      <c r="T7190" s="5">
        <v>789</v>
      </c>
      <c r="U7190" s="5">
        <v>13.9</v>
      </c>
      <c r="V7190" s="6">
        <v>3.78</v>
      </c>
      <c r="W7190" s="6">
        <v>38.32</v>
      </c>
      <c r="X7190" s="6">
        <v>40.33</v>
      </c>
      <c r="Y7190" s="5">
        <v>44.5</v>
      </c>
      <c r="Z7190" s="6">
        <v>44.17</v>
      </c>
      <c r="AA7190" s="6">
        <v>133.35</v>
      </c>
      <c r="AB7190" s="7">
        <v>18.744</v>
      </c>
      <c r="AC7190" s="2"/>
    </row>
    <row r="7191" spans="1:29" ht="156" x14ac:dyDescent="0.15">
      <c r="A7191" s="3">
        <f>DATE(2004,2,17)</f>
        <v>38034</v>
      </c>
      <c r="B7191" s="3">
        <f>DATE(2004,10,26)</f>
        <v>38286</v>
      </c>
      <c r="C7191" s="2" t="s">
        <v>95</v>
      </c>
      <c r="D7191" s="2" t="s">
        <v>19399</v>
      </c>
      <c r="E7191" s="2" t="s">
        <v>19400</v>
      </c>
      <c r="F7191" s="4">
        <v>4812</v>
      </c>
      <c r="G7191" s="2" t="s">
        <v>63</v>
      </c>
      <c r="H7191" s="2" t="s">
        <v>34</v>
      </c>
      <c r="I7191" s="2" t="s">
        <v>21712</v>
      </c>
      <c r="J7191" s="2" t="s">
        <v>16453</v>
      </c>
      <c r="K7191" s="2" t="s">
        <v>63</v>
      </c>
      <c r="L7191" s="2" t="s">
        <v>34</v>
      </c>
      <c r="M7191" s="2"/>
      <c r="N7191" s="2"/>
      <c r="O7191" s="2"/>
      <c r="P7191" s="2" t="s">
        <v>21713</v>
      </c>
      <c r="Q7191" s="6">
        <v>100</v>
      </c>
      <c r="R7191" s="6">
        <v>15</v>
      </c>
      <c r="S7191" s="5">
        <v>429</v>
      </c>
      <c r="T7191" s="8">
        <v>4565</v>
      </c>
      <c r="U7191" s="5">
        <v>9</v>
      </c>
      <c r="V7191" s="6">
        <v>0.16</v>
      </c>
      <c r="W7191" s="6">
        <v>8.2100000000000009</v>
      </c>
      <c r="X7191" s="6">
        <v>8.5500000000000007</v>
      </c>
      <c r="Y7191" s="6">
        <v>9.99</v>
      </c>
      <c r="Z7191" s="6">
        <v>9.81</v>
      </c>
      <c r="AA7191" s="10">
        <v>2714.48</v>
      </c>
      <c r="AB7191" s="7">
        <v>29.626999999999999</v>
      </c>
      <c r="AC7191" s="2"/>
    </row>
    <row r="7192" spans="1:29" ht="117" x14ac:dyDescent="0.15">
      <c r="A7192" s="3">
        <f>DATE(2004,2,17)</f>
        <v>38034</v>
      </c>
      <c r="B7192" s="3">
        <f>DATE(2004,7,8)</f>
        <v>38176</v>
      </c>
      <c r="C7192" s="2" t="s">
        <v>95</v>
      </c>
      <c r="D7192" s="2" t="s">
        <v>21714</v>
      </c>
      <c r="E7192" s="2" t="s">
        <v>203</v>
      </c>
      <c r="F7192" s="4">
        <v>6036</v>
      </c>
      <c r="G7192" s="2" t="s">
        <v>33</v>
      </c>
      <c r="H7192" s="2" t="s">
        <v>34</v>
      </c>
      <c r="I7192" s="2" t="s">
        <v>21715</v>
      </c>
      <c r="J7192" s="2" t="s">
        <v>21716</v>
      </c>
      <c r="K7192" s="2" t="s">
        <v>37</v>
      </c>
      <c r="L7192" s="2" t="s">
        <v>34</v>
      </c>
      <c r="M7192" s="6">
        <v>302.01</v>
      </c>
      <c r="N7192" s="4">
        <v>27</v>
      </c>
      <c r="O7192" s="5">
        <v>27.3</v>
      </c>
      <c r="P7192" s="2" t="s">
        <v>21717</v>
      </c>
      <c r="Q7192" s="6">
        <v>100</v>
      </c>
      <c r="R7192" s="6">
        <v>22.35</v>
      </c>
      <c r="S7192" s="5">
        <v>2.4</v>
      </c>
      <c r="T7192" s="7">
        <v>4.6879999999999997</v>
      </c>
      <c r="U7192" s="5">
        <v>7.1</v>
      </c>
      <c r="V7192" s="6">
        <v>0.67</v>
      </c>
      <c r="W7192" s="5">
        <v>19.7</v>
      </c>
      <c r="X7192" s="6">
        <v>20.45</v>
      </c>
      <c r="Y7192" s="6">
        <v>22.55</v>
      </c>
      <c r="Z7192" s="6">
        <v>22.71</v>
      </c>
      <c r="AA7192" s="6">
        <v>3.39</v>
      </c>
      <c r="AB7192" s="7">
        <v>43.177999999999997</v>
      </c>
      <c r="AC7192" s="2"/>
    </row>
    <row r="7193" spans="1:29" ht="117" x14ac:dyDescent="0.15">
      <c r="A7193" s="3">
        <f>DATE(2004,2,17)</f>
        <v>38034</v>
      </c>
      <c r="B7193" s="3">
        <f>DATE(2004,3,31)</f>
        <v>38077</v>
      </c>
      <c r="C7193" s="2" t="s">
        <v>95</v>
      </c>
      <c r="D7193" s="2" t="s">
        <v>21718</v>
      </c>
      <c r="E7193" s="2" t="s">
        <v>18011</v>
      </c>
      <c r="F7193" s="4">
        <v>3541</v>
      </c>
      <c r="G7193" s="2" t="s">
        <v>300</v>
      </c>
      <c r="H7193" s="2" t="s">
        <v>34</v>
      </c>
      <c r="I7193" s="2" t="s">
        <v>21719</v>
      </c>
      <c r="J7193" s="2" t="s">
        <v>244</v>
      </c>
      <c r="K7193" s="2" t="s">
        <v>53</v>
      </c>
      <c r="L7193" s="2" t="s">
        <v>34</v>
      </c>
      <c r="M7193" s="2"/>
      <c r="N7193" s="2"/>
      <c r="O7193" s="2"/>
      <c r="P7193" s="2" t="s">
        <v>21720</v>
      </c>
      <c r="Q7193" s="6">
        <v>100</v>
      </c>
      <c r="R7193" s="2"/>
      <c r="S7193" s="5">
        <v>-4.5999999999999996</v>
      </c>
      <c r="T7193" s="7">
        <v>53.100999999999999</v>
      </c>
      <c r="U7193" s="5">
        <v>6.7</v>
      </c>
      <c r="V7193" s="2"/>
      <c r="W7193" s="6">
        <v>27.25</v>
      </c>
      <c r="X7193" s="6">
        <v>27.37</v>
      </c>
      <c r="Y7193" s="2"/>
      <c r="Z7193" s="2"/>
      <c r="AA7193" s="6">
        <v>7.12</v>
      </c>
      <c r="AB7193" s="7">
        <v>20.341000000000001</v>
      </c>
      <c r="AC7193" s="2"/>
    </row>
    <row r="7194" spans="1:29" ht="117" x14ac:dyDescent="0.15">
      <c r="A7194" s="3">
        <f>DATE(2004,2,17)</f>
        <v>38034</v>
      </c>
      <c r="B7194" s="3">
        <f>DATE(2004,7,1)</f>
        <v>38169</v>
      </c>
      <c r="C7194" s="2" t="s">
        <v>95</v>
      </c>
      <c r="D7194" s="2" t="s">
        <v>15026</v>
      </c>
      <c r="E7194" s="2" t="s">
        <v>265</v>
      </c>
      <c r="F7194" s="4">
        <v>6022</v>
      </c>
      <c r="G7194" s="2" t="s">
        <v>37</v>
      </c>
      <c r="H7194" s="2" t="s">
        <v>34</v>
      </c>
      <c r="I7194" s="2" t="s">
        <v>158</v>
      </c>
      <c r="J7194" s="2" t="s">
        <v>159</v>
      </c>
      <c r="K7194" s="2" t="s">
        <v>37</v>
      </c>
      <c r="L7194" s="2" t="s">
        <v>34</v>
      </c>
      <c r="M7194" s="12">
        <v>20822.026999999998</v>
      </c>
      <c r="N7194" s="6">
        <v>34.56</v>
      </c>
      <c r="O7194" s="6">
        <v>34.770000000000003</v>
      </c>
      <c r="P7194" s="2" t="s">
        <v>21721</v>
      </c>
      <c r="Q7194" s="6">
        <v>100</v>
      </c>
      <c r="R7194" s="6">
        <v>40.17</v>
      </c>
      <c r="S7194" s="5">
        <v>97.9</v>
      </c>
      <c r="T7194" s="6">
        <v>486.83</v>
      </c>
      <c r="U7194" s="5">
        <v>18.2</v>
      </c>
      <c r="V7194" s="6">
        <v>1.92</v>
      </c>
      <c r="W7194" s="6">
        <v>34.39</v>
      </c>
      <c r="X7194" s="6">
        <v>34.83</v>
      </c>
      <c r="Y7194" s="5">
        <v>38.700000000000003</v>
      </c>
      <c r="Z7194" s="6">
        <v>38.89</v>
      </c>
      <c r="AA7194" s="6">
        <v>48.9</v>
      </c>
      <c r="AB7194" s="7">
        <v>75.87</v>
      </c>
      <c r="AC7194" s="2"/>
    </row>
    <row r="7195" spans="1:29" ht="143" x14ac:dyDescent="0.15">
      <c r="A7195" s="3">
        <f>DATE(2004,2,18)</f>
        <v>38035</v>
      </c>
      <c r="B7195" s="3">
        <f>DATE(2004,4,16)</f>
        <v>38093</v>
      </c>
      <c r="C7195" s="2" t="s">
        <v>95</v>
      </c>
      <c r="D7195" s="2" t="s">
        <v>21722</v>
      </c>
      <c r="E7195" s="2" t="s">
        <v>21723</v>
      </c>
      <c r="F7195" s="4">
        <v>5812</v>
      </c>
      <c r="G7195" s="2" t="s">
        <v>230</v>
      </c>
      <c r="H7195" s="2" t="s">
        <v>34</v>
      </c>
      <c r="I7195" s="2" t="s">
        <v>21724</v>
      </c>
      <c r="J7195" s="2" t="s">
        <v>302</v>
      </c>
      <c r="K7195" s="2" t="s">
        <v>53</v>
      </c>
      <c r="L7195" s="2" t="s">
        <v>34</v>
      </c>
      <c r="M7195" s="2"/>
      <c r="N7195" s="2"/>
      <c r="O7195" s="2"/>
      <c r="P7195" s="2" t="s">
        <v>21725</v>
      </c>
      <c r="Q7195" s="6">
        <v>100</v>
      </c>
      <c r="R7195" s="6">
        <v>3.4</v>
      </c>
      <c r="S7195" s="5">
        <v>0.7</v>
      </c>
      <c r="T7195" s="7">
        <v>4.625</v>
      </c>
      <c r="U7195" s="5">
        <v>2.2999999999999998</v>
      </c>
      <c r="V7195" s="6">
        <v>0.09</v>
      </c>
      <c r="W7195" s="6">
        <v>2.72</v>
      </c>
      <c r="X7195" s="6">
        <v>2.78</v>
      </c>
      <c r="Y7195" s="6">
        <v>2.77</v>
      </c>
      <c r="Z7195" s="6">
        <v>3.36</v>
      </c>
      <c r="AA7195" s="6">
        <v>8.83</v>
      </c>
      <c r="AB7195" s="7">
        <v>16.617000000000001</v>
      </c>
      <c r="AC7195" s="2"/>
    </row>
    <row r="7196" spans="1:29" ht="169" x14ac:dyDescent="0.15">
      <c r="A7196" s="3">
        <f>DATE(2004,2,20)</f>
        <v>38037</v>
      </c>
      <c r="B7196" s="2"/>
      <c r="C7196" s="2" t="s">
        <v>30</v>
      </c>
      <c r="D7196" s="2" t="s">
        <v>21726</v>
      </c>
      <c r="E7196" s="2" t="s">
        <v>11603</v>
      </c>
      <c r="F7196" s="4">
        <v>3949</v>
      </c>
      <c r="G7196" s="2" t="s">
        <v>112</v>
      </c>
      <c r="H7196" s="2" t="s">
        <v>34</v>
      </c>
      <c r="I7196" s="2" t="s">
        <v>21727</v>
      </c>
      <c r="J7196" s="2" t="s">
        <v>1072</v>
      </c>
      <c r="K7196" s="2" t="s">
        <v>53</v>
      </c>
      <c r="L7196" s="2" t="s">
        <v>34</v>
      </c>
      <c r="M7196" s="2"/>
      <c r="N7196" s="2"/>
      <c r="O7196" s="2"/>
      <c r="P7196" s="2" t="s">
        <v>21728</v>
      </c>
      <c r="Q7196" s="2"/>
      <c r="R7196" s="6">
        <v>20.100000000000001</v>
      </c>
      <c r="S7196" s="5">
        <v>8.6999999999999993</v>
      </c>
      <c r="T7196" s="7">
        <v>30.303999999999998</v>
      </c>
      <c r="U7196" s="5">
        <v>18.2</v>
      </c>
      <c r="V7196" s="6">
        <v>0.99</v>
      </c>
      <c r="W7196" s="6">
        <v>16.95</v>
      </c>
      <c r="X7196" s="6">
        <v>16.95</v>
      </c>
      <c r="Y7196" s="6">
        <v>19.329999999999998</v>
      </c>
      <c r="Z7196" s="5">
        <v>19.100000000000001</v>
      </c>
      <c r="AA7196" s="6">
        <v>8.67</v>
      </c>
      <c r="AB7196" s="7">
        <v>8.3949999999999996</v>
      </c>
      <c r="AC7196" s="2"/>
    </row>
    <row r="7197" spans="1:29" ht="78" x14ac:dyDescent="0.15">
      <c r="A7197" s="3">
        <f>DATE(2004,2,20)</f>
        <v>38037</v>
      </c>
      <c r="B7197" s="3">
        <f>DATE(2004,7,16)</f>
        <v>38184</v>
      </c>
      <c r="C7197" s="2" t="s">
        <v>95</v>
      </c>
      <c r="D7197" s="2" t="s">
        <v>21729</v>
      </c>
      <c r="E7197" s="2" t="s">
        <v>21730</v>
      </c>
      <c r="F7197" s="4">
        <v>7322</v>
      </c>
      <c r="G7197" s="2" t="s">
        <v>223</v>
      </c>
      <c r="H7197" s="2" t="s">
        <v>34</v>
      </c>
      <c r="I7197" s="2" t="s">
        <v>21731</v>
      </c>
      <c r="J7197" s="2" t="s">
        <v>1072</v>
      </c>
      <c r="K7197" s="2" t="s">
        <v>53</v>
      </c>
      <c r="L7197" s="2" t="s">
        <v>34</v>
      </c>
      <c r="M7197" s="2"/>
      <c r="N7197" s="2"/>
      <c r="O7197" s="2"/>
      <c r="P7197" s="2" t="s">
        <v>21732</v>
      </c>
      <c r="Q7197" s="6">
        <v>100</v>
      </c>
      <c r="R7197" s="6">
        <v>7</v>
      </c>
      <c r="S7197" s="5">
        <v>5.8</v>
      </c>
      <c r="T7197" s="7">
        <v>14.112</v>
      </c>
      <c r="U7197" s="5">
        <v>5.7</v>
      </c>
      <c r="V7197" s="6">
        <v>0.66</v>
      </c>
      <c r="W7197" s="6">
        <v>7.05</v>
      </c>
      <c r="X7197" s="4">
        <v>7</v>
      </c>
      <c r="Y7197" s="6">
        <v>6.88</v>
      </c>
      <c r="Z7197" s="5">
        <v>6.9</v>
      </c>
      <c r="AA7197" s="6">
        <v>8.4600000000000009</v>
      </c>
      <c r="AB7197" s="7">
        <v>3.746</v>
      </c>
      <c r="AC7197" s="2"/>
    </row>
    <row r="7198" spans="1:29" ht="117" x14ac:dyDescent="0.15">
      <c r="A7198" s="3">
        <f>DATE(2004,2,23)</f>
        <v>38040</v>
      </c>
      <c r="B7198" s="2"/>
      <c r="C7198" s="2" t="s">
        <v>30</v>
      </c>
      <c r="D7198" s="2" t="s">
        <v>21733</v>
      </c>
      <c r="E7198" s="2" t="s">
        <v>21734</v>
      </c>
      <c r="F7198" s="4">
        <v>3674</v>
      </c>
      <c r="G7198" s="2" t="s">
        <v>137</v>
      </c>
      <c r="H7198" s="2" t="s">
        <v>34</v>
      </c>
      <c r="I7198" s="2" t="s">
        <v>9138</v>
      </c>
      <c r="J7198" s="2" t="s">
        <v>9139</v>
      </c>
      <c r="K7198" s="2" t="s">
        <v>551</v>
      </c>
      <c r="L7198" s="2" t="s">
        <v>34</v>
      </c>
      <c r="M7198" s="12">
        <v>5849.1869999999999</v>
      </c>
      <c r="N7198" s="6">
        <v>34.43</v>
      </c>
      <c r="O7198" s="6">
        <v>29.88</v>
      </c>
      <c r="P7198" s="2" t="s">
        <v>21735</v>
      </c>
      <c r="Q7198" s="2"/>
      <c r="R7198" s="6">
        <v>13.5</v>
      </c>
      <c r="S7198" s="5">
        <v>2.5</v>
      </c>
      <c r="T7198" s="7">
        <v>2.9220000000000002</v>
      </c>
      <c r="U7198" s="5">
        <v>33.700000000000003</v>
      </c>
      <c r="V7198" s="6">
        <v>0.8</v>
      </c>
      <c r="W7198" s="6">
        <v>7.63</v>
      </c>
      <c r="X7198" s="5">
        <v>7.5</v>
      </c>
      <c r="Y7198" s="4">
        <v>7</v>
      </c>
      <c r="Z7198" s="6">
        <v>12.97</v>
      </c>
      <c r="AA7198" s="6">
        <v>30.69</v>
      </c>
      <c r="AB7198" s="7">
        <v>26.25</v>
      </c>
      <c r="AC7198" s="6">
        <v>617.77</v>
      </c>
    </row>
    <row r="7199" spans="1:29" ht="117" x14ac:dyDescent="0.15">
      <c r="A7199" s="3">
        <f>DATE(2004,2,23)</f>
        <v>38040</v>
      </c>
      <c r="B7199" s="3">
        <f>DATE(2004,5,28)</f>
        <v>38135</v>
      </c>
      <c r="C7199" s="2" t="s">
        <v>95</v>
      </c>
      <c r="D7199" s="2" t="s">
        <v>21736</v>
      </c>
      <c r="E7199" s="2" t="s">
        <v>21737</v>
      </c>
      <c r="F7199" s="4">
        <v>3674</v>
      </c>
      <c r="G7199" s="2" t="s">
        <v>137</v>
      </c>
      <c r="H7199" s="2" t="s">
        <v>34</v>
      </c>
      <c r="I7199" s="2" t="s">
        <v>18843</v>
      </c>
      <c r="J7199" s="2" t="s">
        <v>18844</v>
      </c>
      <c r="K7199" s="2" t="s">
        <v>226</v>
      </c>
      <c r="L7199" s="2" t="s">
        <v>34</v>
      </c>
      <c r="M7199" s="7">
        <v>966.33699999999999</v>
      </c>
      <c r="N7199" s="6">
        <v>11.06</v>
      </c>
      <c r="O7199" s="6">
        <v>10.85</v>
      </c>
      <c r="P7199" s="2" t="s">
        <v>21738</v>
      </c>
      <c r="Q7199" s="6">
        <v>100</v>
      </c>
      <c r="R7199" s="6">
        <v>15.97</v>
      </c>
      <c r="S7199" s="5">
        <v>-81.5</v>
      </c>
      <c r="T7199" s="6">
        <v>-10.67</v>
      </c>
      <c r="U7199" s="5">
        <v>6.9</v>
      </c>
      <c r="V7199" s="6">
        <v>-2.04</v>
      </c>
      <c r="W7199" s="6">
        <v>11.85</v>
      </c>
      <c r="X7199" s="6">
        <v>12.35</v>
      </c>
      <c r="Y7199" s="6">
        <v>14.29</v>
      </c>
      <c r="Z7199" s="6">
        <v>14.11</v>
      </c>
      <c r="AA7199" s="6">
        <v>39.9</v>
      </c>
      <c r="AB7199" s="2" t="s">
        <v>86</v>
      </c>
      <c r="AC7199" s="6">
        <v>290.52999999999997</v>
      </c>
    </row>
    <row r="7200" spans="1:29" ht="39" x14ac:dyDescent="0.15">
      <c r="A7200" s="3">
        <f>DATE(2004,2,23)</f>
        <v>38040</v>
      </c>
      <c r="B7200" s="3">
        <f>DATE(2005,1,31)</f>
        <v>38383</v>
      </c>
      <c r="C7200" s="2" t="s">
        <v>95</v>
      </c>
      <c r="D7200" s="2" t="s">
        <v>21739</v>
      </c>
      <c r="E7200" s="2" t="s">
        <v>12890</v>
      </c>
      <c r="F7200" s="4">
        <v>1499</v>
      </c>
      <c r="G7200" s="2" t="s">
        <v>166</v>
      </c>
      <c r="H7200" s="2" t="s">
        <v>34</v>
      </c>
      <c r="I7200" s="2" t="s">
        <v>1558</v>
      </c>
      <c r="J7200" s="2" t="s">
        <v>52</v>
      </c>
      <c r="K7200" s="2" t="s">
        <v>53</v>
      </c>
      <c r="L7200" s="2" t="s">
        <v>34</v>
      </c>
      <c r="M7200" s="2"/>
      <c r="N7200" s="2"/>
      <c r="O7200" s="2"/>
      <c r="P7200" s="2" t="s">
        <v>21740</v>
      </c>
      <c r="Q7200" s="6">
        <v>100</v>
      </c>
      <c r="R7200" s="2"/>
      <c r="S7200" s="5">
        <v>-33.200000000000003</v>
      </c>
      <c r="T7200" s="5">
        <v>45.7</v>
      </c>
      <c r="U7200" s="5">
        <v>17.399999999999999</v>
      </c>
      <c r="V7200" s="6">
        <v>-6.48</v>
      </c>
      <c r="W7200" s="6">
        <v>1.37</v>
      </c>
      <c r="X7200" s="6">
        <v>1.18</v>
      </c>
      <c r="Y7200" s="5">
        <v>0.8</v>
      </c>
      <c r="Z7200" s="6">
        <v>0.81</v>
      </c>
      <c r="AA7200" s="2"/>
      <c r="AB7200" s="2" t="s">
        <v>47</v>
      </c>
      <c r="AC7200" s="2"/>
    </row>
    <row r="7201" spans="1:29" ht="195" x14ac:dyDescent="0.15">
      <c r="A7201" s="3">
        <f>DATE(2004,2,23)</f>
        <v>38040</v>
      </c>
      <c r="B7201" s="2"/>
      <c r="C7201" s="2" t="s">
        <v>30</v>
      </c>
      <c r="D7201" s="2" t="s">
        <v>21741</v>
      </c>
      <c r="E7201" s="2" t="s">
        <v>21742</v>
      </c>
      <c r="F7201" s="4">
        <v>7372</v>
      </c>
      <c r="G7201" s="2" t="s">
        <v>551</v>
      </c>
      <c r="H7201" s="2" t="s">
        <v>34</v>
      </c>
      <c r="I7201" s="2" t="s">
        <v>21743</v>
      </c>
      <c r="J7201" s="2" t="s">
        <v>21744</v>
      </c>
      <c r="K7201" s="2" t="s">
        <v>415</v>
      </c>
      <c r="L7201" s="2" t="s">
        <v>34</v>
      </c>
      <c r="M7201" s="7">
        <v>20.335999999999999</v>
      </c>
      <c r="N7201" s="6">
        <v>0.59</v>
      </c>
      <c r="O7201" s="6">
        <v>0.65</v>
      </c>
      <c r="P7201" s="2" t="s">
        <v>21745</v>
      </c>
      <c r="Q7201" s="2"/>
      <c r="R7201" s="6">
        <v>0.69</v>
      </c>
      <c r="S7201" s="5">
        <v>-2.8</v>
      </c>
      <c r="T7201" s="7">
        <v>-2.4780000000000002</v>
      </c>
      <c r="U7201" s="5">
        <v>-2</v>
      </c>
      <c r="V7201" s="9">
        <v>-6.6665999999999999</v>
      </c>
      <c r="W7201" s="5">
        <v>1.5</v>
      </c>
      <c r="X7201" s="5">
        <v>1.5</v>
      </c>
      <c r="Y7201" s="5">
        <v>2.1</v>
      </c>
      <c r="Z7201" s="5">
        <v>2.1</v>
      </c>
      <c r="AA7201" s="6">
        <v>25.62</v>
      </c>
      <c r="AB7201" s="2" t="s">
        <v>86</v>
      </c>
      <c r="AC7201" s="6">
        <v>1.21</v>
      </c>
    </row>
    <row r="7202" spans="1:29" ht="169" x14ac:dyDescent="0.15">
      <c r="A7202" s="3">
        <f>DATE(2004,2,24)</f>
        <v>38041</v>
      </c>
      <c r="B7202" s="2"/>
      <c r="C7202" s="2" t="s">
        <v>30</v>
      </c>
      <c r="D7202" s="2" t="s">
        <v>21746</v>
      </c>
      <c r="E7202" s="2" t="s">
        <v>21747</v>
      </c>
      <c r="F7202" s="4">
        <v>2082</v>
      </c>
      <c r="G7202" s="2" t="s">
        <v>577</v>
      </c>
      <c r="H7202" s="2" t="s">
        <v>34</v>
      </c>
      <c r="I7202" s="2" t="s">
        <v>51</v>
      </c>
      <c r="J7202" s="2" t="s">
        <v>52</v>
      </c>
      <c r="K7202" s="2" t="s">
        <v>53</v>
      </c>
      <c r="L7202" s="2" t="s">
        <v>34</v>
      </c>
      <c r="M7202" s="2"/>
      <c r="N7202" s="2"/>
      <c r="O7202" s="2"/>
      <c r="P7202" s="2" t="s">
        <v>21748</v>
      </c>
      <c r="Q7202" s="2"/>
      <c r="R7202" s="6">
        <v>7.8</v>
      </c>
      <c r="S7202" s="5">
        <v>5.6</v>
      </c>
      <c r="T7202" s="6">
        <v>12.96</v>
      </c>
      <c r="U7202" s="5">
        <v>6.7</v>
      </c>
      <c r="V7202" s="6">
        <v>0.59</v>
      </c>
      <c r="W7202" s="6">
        <v>4.83</v>
      </c>
      <c r="X7202" s="6">
        <v>4.75</v>
      </c>
      <c r="Y7202" s="5">
        <v>4.9000000000000004</v>
      </c>
      <c r="Z7202" s="6">
        <v>4.92</v>
      </c>
      <c r="AA7202" s="6">
        <v>9.51</v>
      </c>
      <c r="AB7202" s="7">
        <v>14.214</v>
      </c>
      <c r="AC7202" s="2"/>
    </row>
    <row r="7203" spans="1:29" ht="221" x14ac:dyDescent="0.15">
      <c r="A7203" s="3">
        <f>DATE(2004,2,24)</f>
        <v>38041</v>
      </c>
      <c r="B7203" s="2"/>
      <c r="C7203" s="2" t="s">
        <v>30</v>
      </c>
      <c r="D7203" s="2" t="s">
        <v>1969</v>
      </c>
      <c r="E7203" s="2" t="s">
        <v>1970</v>
      </c>
      <c r="F7203" s="4">
        <v>5122</v>
      </c>
      <c r="G7203" s="2" t="s">
        <v>593</v>
      </c>
      <c r="H7203" s="2" t="s">
        <v>34</v>
      </c>
      <c r="I7203" s="2" t="s">
        <v>21749</v>
      </c>
      <c r="J7203" s="2" t="s">
        <v>540</v>
      </c>
      <c r="K7203" s="2" t="s">
        <v>130</v>
      </c>
      <c r="L7203" s="2" t="s">
        <v>34</v>
      </c>
      <c r="M7203" s="6">
        <v>43.83</v>
      </c>
      <c r="N7203" s="6">
        <v>17.510000000000002</v>
      </c>
      <c r="O7203" s="5">
        <v>17.8</v>
      </c>
      <c r="P7203" s="2" t="s">
        <v>21750</v>
      </c>
      <c r="Q7203" s="2"/>
      <c r="R7203" s="6">
        <v>15.85</v>
      </c>
      <c r="S7203" s="5">
        <v>-1.5</v>
      </c>
      <c r="T7203" s="7">
        <v>1.5289999999999999</v>
      </c>
      <c r="U7203" s="5">
        <v>7</v>
      </c>
      <c r="V7203" s="6">
        <v>-0.46</v>
      </c>
      <c r="W7203" s="6">
        <v>6.71</v>
      </c>
      <c r="X7203" s="4">
        <v>7</v>
      </c>
      <c r="Y7203" s="4">
        <v>7</v>
      </c>
      <c r="Z7203" s="6">
        <v>7.08</v>
      </c>
      <c r="AA7203" s="6">
        <v>3.19</v>
      </c>
      <c r="AB7203" s="2" t="s">
        <v>86</v>
      </c>
      <c r="AC7203" s="6">
        <v>1.51</v>
      </c>
    </row>
    <row r="7204" spans="1:29" ht="117" x14ac:dyDescent="0.15">
      <c r="A7204" s="3">
        <f>DATE(2004,2,25)</f>
        <v>38042</v>
      </c>
      <c r="B7204" s="2"/>
      <c r="C7204" s="2" t="s">
        <v>30</v>
      </c>
      <c r="D7204" s="2" t="s">
        <v>15078</v>
      </c>
      <c r="E7204" s="2" t="s">
        <v>672</v>
      </c>
      <c r="F7204" s="4">
        <v>6712</v>
      </c>
      <c r="G7204" s="2" t="s">
        <v>37</v>
      </c>
      <c r="H7204" s="2" t="s">
        <v>34</v>
      </c>
      <c r="I7204" s="2" t="s">
        <v>21751</v>
      </c>
      <c r="J7204" s="2" t="s">
        <v>1072</v>
      </c>
      <c r="K7204" s="2" t="s">
        <v>53</v>
      </c>
      <c r="L7204" s="2" t="s">
        <v>34</v>
      </c>
      <c r="M7204" s="2"/>
      <c r="N7204" s="2"/>
      <c r="O7204" s="2"/>
      <c r="P7204" s="2" t="s">
        <v>21752</v>
      </c>
      <c r="Q7204" s="2"/>
      <c r="R7204" s="6">
        <v>16.600000000000001</v>
      </c>
      <c r="S7204" s="5">
        <v>29.4</v>
      </c>
      <c r="T7204" s="7">
        <v>53.098999999999997</v>
      </c>
      <c r="U7204" s="5">
        <v>6.3</v>
      </c>
      <c r="V7204" s="6">
        <v>0.86</v>
      </c>
      <c r="W7204" s="6">
        <v>14.25</v>
      </c>
      <c r="X7204" s="6">
        <v>14.32</v>
      </c>
      <c r="Y7204" s="6">
        <v>16.32</v>
      </c>
      <c r="Z7204" s="5">
        <v>16.2</v>
      </c>
      <c r="AA7204" s="6">
        <v>39.450000000000003</v>
      </c>
      <c r="AB7204" s="7">
        <v>33.481999999999999</v>
      </c>
      <c r="AC7204" s="2"/>
    </row>
    <row r="7205" spans="1:29" ht="78" x14ac:dyDescent="0.15">
      <c r="A7205" s="3">
        <f>DATE(2004,2,25)</f>
        <v>38042</v>
      </c>
      <c r="B7205" s="3">
        <f>DATE(2004,5,31)</f>
        <v>38138</v>
      </c>
      <c r="C7205" s="2" t="s">
        <v>95</v>
      </c>
      <c r="D7205" s="2" t="s">
        <v>21753</v>
      </c>
      <c r="E7205" s="2" t="s">
        <v>386</v>
      </c>
      <c r="F7205" s="4">
        <v>6726</v>
      </c>
      <c r="G7205" s="2" t="s">
        <v>53</v>
      </c>
      <c r="H7205" s="2" t="s">
        <v>34</v>
      </c>
      <c r="I7205" s="2" t="s">
        <v>21754</v>
      </c>
      <c r="J7205" s="2" t="s">
        <v>386</v>
      </c>
      <c r="K7205" s="2" t="s">
        <v>53</v>
      </c>
      <c r="L7205" s="2" t="s">
        <v>34</v>
      </c>
      <c r="M7205" s="7">
        <v>36.066000000000003</v>
      </c>
      <c r="N7205" s="5">
        <v>8.9</v>
      </c>
      <c r="O7205" s="6">
        <v>9.08</v>
      </c>
      <c r="P7205" s="2" t="s">
        <v>21755</v>
      </c>
      <c r="Q7205" s="6">
        <v>100</v>
      </c>
      <c r="R7205" s="2"/>
      <c r="S7205" s="2"/>
      <c r="T7205" s="2"/>
      <c r="U7205" s="2"/>
      <c r="V7205" s="2"/>
      <c r="W7205" s="6">
        <v>13.38</v>
      </c>
      <c r="X7205" s="5">
        <v>12.9</v>
      </c>
      <c r="Y7205" s="6">
        <v>13.13</v>
      </c>
      <c r="Z7205" s="5">
        <v>13.4</v>
      </c>
      <c r="AA7205" s="6">
        <v>9.82</v>
      </c>
      <c r="AB7205" s="2" t="s">
        <v>47</v>
      </c>
      <c r="AC7205" s="2"/>
    </row>
    <row r="7206" spans="1:29" ht="182" x14ac:dyDescent="0.15">
      <c r="A7206" s="3">
        <f>DATE(2004,2,25)</f>
        <v>38042</v>
      </c>
      <c r="B7206" s="3">
        <f>DATE(2004,7,8)</f>
        <v>38176</v>
      </c>
      <c r="C7206" s="2" t="s">
        <v>95</v>
      </c>
      <c r="D7206" s="2" t="s">
        <v>5785</v>
      </c>
      <c r="E7206" s="2" t="s">
        <v>5786</v>
      </c>
      <c r="F7206" s="4">
        <v>3144</v>
      </c>
      <c r="G7206" s="2" t="s">
        <v>326</v>
      </c>
      <c r="H7206" s="2" t="s">
        <v>34</v>
      </c>
      <c r="I7206" s="2" t="s">
        <v>13915</v>
      </c>
      <c r="J7206" s="2" t="s">
        <v>13916</v>
      </c>
      <c r="K7206" s="2" t="s">
        <v>708</v>
      </c>
      <c r="L7206" s="2" t="s">
        <v>34</v>
      </c>
      <c r="M7206" s="12">
        <v>4296.692</v>
      </c>
      <c r="N7206" s="6">
        <v>36.75</v>
      </c>
      <c r="O7206" s="5">
        <v>37.299999999999997</v>
      </c>
      <c r="P7206" s="2" t="s">
        <v>21756</v>
      </c>
      <c r="Q7206" s="6">
        <v>100</v>
      </c>
      <c r="R7206" s="6">
        <v>23.25</v>
      </c>
      <c r="S7206" s="5">
        <v>16.2</v>
      </c>
      <c r="T7206" s="7">
        <v>29.771000000000001</v>
      </c>
      <c r="U7206" s="5">
        <v>11.2</v>
      </c>
      <c r="V7206" s="6">
        <v>1.04</v>
      </c>
      <c r="W7206" s="6">
        <v>17.59</v>
      </c>
      <c r="X7206" s="5">
        <v>18.399999999999999</v>
      </c>
      <c r="Y7206" s="4">
        <v>22</v>
      </c>
      <c r="Z7206" s="6">
        <v>21.99</v>
      </c>
      <c r="AA7206" s="6">
        <v>14.84</v>
      </c>
      <c r="AB7206" s="7">
        <v>9.3840000000000003</v>
      </c>
      <c r="AC7206" s="5">
        <v>31.9</v>
      </c>
    </row>
    <row r="7207" spans="1:29" ht="78" x14ac:dyDescent="0.15">
      <c r="A7207" s="3">
        <f>DATE(2004,2,25)</f>
        <v>38042</v>
      </c>
      <c r="B7207" s="2"/>
      <c r="C7207" s="2" t="s">
        <v>7330</v>
      </c>
      <c r="D7207" s="2" t="s">
        <v>21757</v>
      </c>
      <c r="E7207" s="2" t="s">
        <v>386</v>
      </c>
      <c r="F7207" s="4">
        <v>6726</v>
      </c>
      <c r="G7207" s="2" t="s">
        <v>53</v>
      </c>
      <c r="H7207" s="2" t="s">
        <v>34</v>
      </c>
      <c r="I7207" s="2" t="s">
        <v>21754</v>
      </c>
      <c r="J7207" s="2" t="s">
        <v>386</v>
      </c>
      <c r="K7207" s="2" t="s">
        <v>53</v>
      </c>
      <c r="L7207" s="2" t="s">
        <v>34</v>
      </c>
      <c r="M7207" s="7">
        <v>36.066000000000003</v>
      </c>
      <c r="N7207" s="5">
        <v>8.9</v>
      </c>
      <c r="O7207" s="6">
        <v>9.08</v>
      </c>
      <c r="P7207" s="2" t="s">
        <v>21758</v>
      </c>
      <c r="Q7207" s="2"/>
      <c r="R7207" s="2"/>
      <c r="S7207" s="2"/>
      <c r="T7207" s="2"/>
      <c r="U7207" s="2"/>
      <c r="V7207" s="2"/>
      <c r="W7207" s="6">
        <v>35.450000000000003</v>
      </c>
      <c r="X7207" s="6">
        <v>27.19</v>
      </c>
      <c r="Y7207" s="6">
        <v>29.75</v>
      </c>
      <c r="Z7207" s="6">
        <v>30.83</v>
      </c>
      <c r="AA7207" s="6">
        <v>1.1599999999999999</v>
      </c>
      <c r="AB7207" s="2" t="s">
        <v>47</v>
      </c>
      <c r="AC7207" s="2"/>
    </row>
    <row r="7208" spans="1:29" ht="117" x14ac:dyDescent="0.15">
      <c r="A7208" s="3">
        <f>DATE(2004,2,26)</f>
        <v>38043</v>
      </c>
      <c r="B7208" s="3">
        <f>DATE(2004,12,21)</f>
        <v>38342</v>
      </c>
      <c r="C7208" s="2" t="s">
        <v>95</v>
      </c>
      <c r="D7208" s="2" t="s">
        <v>21759</v>
      </c>
      <c r="E7208" s="2" t="s">
        <v>21760</v>
      </c>
      <c r="F7208" s="4">
        <v>2834</v>
      </c>
      <c r="G7208" s="2" t="s">
        <v>130</v>
      </c>
      <c r="H7208" s="2" t="s">
        <v>34</v>
      </c>
      <c r="I7208" s="2" t="s">
        <v>3054</v>
      </c>
      <c r="J7208" s="2" t="s">
        <v>540</v>
      </c>
      <c r="K7208" s="2" t="s">
        <v>130</v>
      </c>
      <c r="L7208" s="2" t="s">
        <v>34</v>
      </c>
      <c r="M7208" s="12">
        <v>12475.807000000001</v>
      </c>
      <c r="N7208" s="6">
        <v>53.28</v>
      </c>
      <c r="O7208" s="6">
        <v>50.45</v>
      </c>
      <c r="P7208" s="2" t="s">
        <v>21761</v>
      </c>
      <c r="Q7208" s="6">
        <v>100</v>
      </c>
      <c r="R7208" s="6">
        <v>26</v>
      </c>
      <c r="S7208" s="5">
        <v>-62.1</v>
      </c>
      <c r="T7208" s="6">
        <v>-38.020000000000003</v>
      </c>
      <c r="U7208" s="5">
        <v>5.5</v>
      </c>
      <c r="V7208" s="6">
        <v>-1.76</v>
      </c>
      <c r="W7208" s="6">
        <v>22.11</v>
      </c>
      <c r="X7208" s="5">
        <v>20.8</v>
      </c>
      <c r="Y7208" s="6">
        <v>21.37</v>
      </c>
      <c r="Z7208" s="4">
        <v>25</v>
      </c>
      <c r="AA7208" s="6">
        <v>39</v>
      </c>
      <c r="AB7208" s="2" t="s">
        <v>86</v>
      </c>
      <c r="AC7208" s="6">
        <v>515.19000000000005</v>
      </c>
    </row>
    <row r="7209" spans="1:29" ht="130" x14ac:dyDescent="0.15">
      <c r="A7209" s="3">
        <f>DATE(2004,2,27)</f>
        <v>38044</v>
      </c>
      <c r="B7209" s="3">
        <f>DATE(2004,4,23)</f>
        <v>38100</v>
      </c>
      <c r="C7209" s="2" t="s">
        <v>95</v>
      </c>
      <c r="D7209" s="2" t="s">
        <v>21762</v>
      </c>
      <c r="E7209" s="2" t="s">
        <v>21763</v>
      </c>
      <c r="F7209" s="4">
        <v>2258</v>
      </c>
      <c r="G7209" s="2" t="s">
        <v>708</v>
      </c>
      <c r="H7209" s="2" t="s">
        <v>34</v>
      </c>
      <c r="I7209" s="2" t="s">
        <v>21046</v>
      </c>
      <c r="J7209" s="2" t="s">
        <v>244</v>
      </c>
      <c r="K7209" s="2" t="s">
        <v>53</v>
      </c>
      <c r="L7209" s="2" t="s">
        <v>34</v>
      </c>
      <c r="M7209" s="2"/>
      <c r="N7209" s="2"/>
      <c r="O7209" s="2"/>
      <c r="P7209" s="2" t="s">
        <v>21764</v>
      </c>
      <c r="Q7209" s="6">
        <v>100</v>
      </c>
      <c r="R7209" s="6">
        <v>19</v>
      </c>
      <c r="S7209" s="5">
        <v>-4.2</v>
      </c>
      <c r="T7209" s="7">
        <v>45.295999999999999</v>
      </c>
      <c r="U7209" s="5">
        <v>10.6</v>
      </c>
      <c r="V7209" s="6">
        <v>-0.78</v>
      </c>
      <c r="W7209" s="6">
        <v>22.75</v>
      </c>
      <c r="X7209" s="4">
        <v>22</v>
      </c>
      <c r="Y7209" s="5">
        <v>19.5</v>
      </c>
      <c r="Z7209" s="5">
        <v>19.100000000000001</v>
      </c>
      <c r="AA7209" s="6">
        <v>5.5</v>
      </c>
      <c r="AB7209" s="7">
        <v>6.8840000000000003</v>
      </c>
      <c r="AC7209" s="2"/>
    </row>
    <row r="7210" spans="1:29" ht="78" x14ac:dyDescent="0.15">
      <c r="A7210" s="3">
        <f>DATE(2004,2,27)</f>
        <v>38044</v>
      </c>
      <c r="B7210" s="3">
        <f>DATE(2004,4,27)</f>
        <v>38104</v>
      </c>
      <c r="C7210" s="2" t="s">
        <v>95</v>
      </c>
      <c r="D7210" s="2" t="s">
        <v>21765</v>
      </c>
      <c r="E7210" s="2" t="s">
        <v>21766</v>
      </c>
      <c r="F7210" s="4">
        <v>8741</v>
      </c>
      <c r="G7210" s="2" t="s">
        <v>223</v>
      </c>
      <c r="H7210" s="2" t="s">
        <v>34</v>
      </c>
      <c r="I7210" s="2" t="s">
        <v>21767</v>
      </c>
      <c r="J7210" s="2" t="s">
        <v>21768</v>
      </c>
      <c r="K7210" s="2" t="s">
        <v>454</v>
      </c>
      <c r="L7210" s="2" t="s">
        <v>34</v>
      </c>
      <c r="M7210" s="2"/>
      <c r="N7210" s="2"/>
      <c r="O7210" s="2"/>
      <c r="P7210" s="2" t="s">
        <v>21769</v>
      </c>
      <c r="Q7210" s="6">
        <v>100</v>
      </c>
      <c r="R7210" s="2"/>
      <c r="S7210" s="5">
        <v>3.7</v>
      </c>
      <c r="T7210" s="7">
        <v>5.0359999999999996</v>
      </c>
      <c r="U7210" s="5">
        <v>1.1000000000000001</v>
      </c>
      <c r="V7210" s="6">
        <v>0.21</v>
      </c>
      <c r="W7210" s="6">
        <v>3.05</v>
      </c>
      <c r="X7210" s="6">
        <v>3.07</v>
      </c>
      <c r="Y7210" s="4">
        <v>3</v>
      </c>
      <c r="Z7210" s="6">
        <v>3.04</v>
      </c>
      <c r="AA7210" s="6">
        <v>16.11</v>
      </c>
      <c r="AB7210" s="7">
        <v>11.16</v>
      </c>
      <c r="AC7210" s="2"/>
    </row>
    <row r="7211" spans="1:29" ht="104" x14ac:dyDescent="0.15">
      <c r="A7211" s="3">
        <f>DATE(2004,3,3)</f>
        <v>38049</v>
      </c>
      <c r="B7211" s="3">
        <f>DATE(2004,7,2)</f>
        <v>38170</v>
      </c>
      <c r="C7211" s="2" t="s">
        <v>95</v>
      </c>
      <c r="D7211" s="2" t="s">
        <v>21770</v>
      </c>
      <c r="E7211" s="2" t="s">
        <v>389</v>
      </c>
      <c r="F7211" s="4">
        <v>6035</v>
      </c>
      <c r="G7211" s="2" t="s">
        <v>33</v>
      </c>
      <c r="H7211" s="2" t="s">
        <v>34</v>
      </c>
      <c r="I7211" s="2" t="s">
        <v>21771</v>
      </c>
      <c r="J7211" s="2" t="s">
        <v>672</v>
      </c>
      <c r="K7211" s="2" t="s">
        <v>37</v>
      </c>
      <c r="L7211" s="2" t="s">
        <v>34</v>
      </c>
      <c r="M7211" s="7">
        <v>85.960999999999999</v>
      </c>
      <c r="N7211" s="6">
        <v>36.950000000000003</v>
      </c>
      <c r="O7211" s="6">
        <v>36.25</v>
      </c>
      <c r="P7211" s="2" t="s">
        <v>21772</v>
      </c>
      <c r="Q7211" s="6">
        <v>100</v>
      </c>
      <c r="R7211" s="6">
        <v>27</v>
      </c>
      <c r="S7211" s="2"/>
      <c r="T7211" s="2"/>
      <c r="U7211" s="2"/>
      <c r="V7211" s="2"/>
      <c r="W7211" s="6">
        <v>14.25</v>
      </c>
      <c r="X7211" s="5">
        <v>14.5</v>
      </c>
      <c r="Y7211" s="5">
        <v>14.5</v>
      </c>
      <c r="Z7211" s="5">
        <v>14.5</v>
      </c>
      <c r="AA7211" s="6">
        <v>0.36</v>
      </c>
      <c r="AB7211" s="2" t="s">
        <v>47</v>
      </c>
      <c r="AC7211" s="2"/>
    </row>
    <row r="7212" spans="1:29" ht="91" x14ac:dyDescent="0.15">
      <c r="A7212" s="3">
        <f>DATE(2004,3,5)</f>
        <v>38051</v>
      </c>
      <c r="B7212" s="3">
        <f>DATE(2004,7,1)</f>
        <v>38169</v>
      </c>
      <c r="C7212" s="2" t="s">
        <v>95</v>
      </c>
      <c r="D7212" s="2" t="s">
        <v>21773</v>
      </c>
      <c r="E7212" s="2" t="s">
        <v>1181</v>
      </c>
      <c r="F7212" s="4">
        <v>6021</v>
      </c>
      <c r="G7212" s="2" t="s">
        <v>37</v>
      </c>
      <c r="H7212" s="2" t="s">
        <v>34</v>
      </c>
      <c r="I7212" s="2" t="s">
        <v>14074</v>
      </c>
      <c r="J7212" s="2" t="s">
        <v>36</v>
      </c>
      <c r="K7212" s="2" t="s">
        <v>37</v>
      </c>
      <c r="L7212" s="2" t="s">
        <v>34</v>
      </c>
      <c r="M7212" s="7">
        <v>539.38699999999994</v>
      </c>
      <c r="N7212" s="5">
        <v>27.5</v>
      </c>
      <c r="O7212" s="6">
        <v>27.45</v>
      </c>
      <c r="P7212" s="2" t="s">
        <v>21774</v>
      </c>
      <c r="Q7212" s="6">
        <v>100</v>
      </c>
      <c r="R7212" s="6">
        <v>16</v>
      </c>
      <c r="S7212" s="5">
        <v>-5.4</v>
      </c>
      <c r="T7212" s="6">
        <v>-4.76</v>
      </c>
      <c r="U7212" s="5">
        <v>7.5</v>
      </c>
      <c r="V7212" s="6">
        <v>-10.25</v>
      </c>
      <c r="W7212" s="4">
        <v>14</v>
      </c>
      <c r="X7212" s="4">
        <v>14</v>
      </c>
      <c r="Y7212" s="4">
        <v>14</v>
      </c>
      <c r="Z7212" s="4">
        <v>14</v>
      </c>
      <c r="AA7212" s="6">
        <v>0.53</v>
      </c>
      <c r="AB7212" s="2" t="s">
        <v>86</v>
      </c>
      <c r="AC7212" s="2"/>
    </row>
    <row r="7213" spans="1:29" ht="91" x14ac:dyDescent="0.15">
      <c r="A7213" s="3">
        <f>DATE(2004,3,5)</f>
        <v>38051</v>
      </c>
      <c r="B7213" s="3">
        <f>DATE(2004,5,12)</f>
        <v>38119</v>
      </c>
      <c r="C7213" s="2" t="s">
        <v>95</v>
      </c>
      <c r="D7213" s="2" t="s">
        <v>9151</v>
      </c>
      <c r="E7213" s="2" t="s">
        <v>21775</v>
      </c>
      <c r="F7213" s="4">
        <v>7011</v>
      </c>
      <c r="G7213" s="2" t="s">
        <v>269</v>
      </c>
      <c r="H7213" s="2" t="s">
        <v>34</v>
      </c>
      <c r="I7213" s="2" t="s">
        <v>21776</v>
      </c>
      <c r="J7213" s="2" t="s">
        <v>21777</v>
      </c>
      <c r="K7213" s="2" t="s">
        <v>53</v>
      </c>
      <c r="L7213" s="2" t="s">
        <v>34</v>
      </c>
      <c r="M7213" s="2"/>
      <c r="N7213" s="2"/>
      <c r="O7213" s="2"/>
      <c r="P7213" s="2" t="s">
        <v>21778</v>
      </c>
      <c r="Q7213" s="6">
        <v>100</v>
      </c>
      <c r="R7213" s="6">
        <v>19.63</v>
      </c>
      <c r="S7213" s="5">
        <v>40.4</v>
      </c>
      <c r="T7213" s="7">
        <v>224.84899999999999</v>
      </c>
      <c r="U7213" s="5">
        <v>11.8</v>
      </c>
      <c r="V7213" s="6">
        <v>0.42</v>
      </c>
      <c r="W7213" s="6">
        <v>15.54</v>
      </c>
      <c r="X7213" s="6">
        <v>15.75</v>
      </c>
      <c r="Y7213" s="6">
        <v>15.81</v>
      </c>
      <c r="Z7213" s="6">
        <v>19.239999999999998</v>
      </c>
      <c r="AA7213" s="6">
        <v>97.1</v>
      </c>
      <c r="AB7213" s="7">
        <v>22.073</v>
      </c>
      <c r="AC7213" s="2"/>
    </row>
    <row r="7214" spans="1:29" ht="117" x14ac:dyDescent="0.15">
      <c r="A7214" s="3">
        <f>DATE(2004,3,8)</f>
        <v>38054</v>
      </c>
      <c r="B7214" s="3">
        <f>DATE(2004,6,18)</f>
        <v>38156</v>
      </c>
      <c r="C7214" s="2" t="s">
        <v>95</v>
      </c>
      <c r="D7214" s="2" t="s">
        <v>21779</v>
      </c>
      <c r="E7214" s="2" t="s">
        <v>21780</v>
      </c>
      <c r="F7214" s="4">
        <v>2041</v>
      </c>
      <c r="G7214" s="2" t="s">
        <v>577</v>
      </c>
      <c r="H7214" s="2" t="s">
        <v>34</v>
      </c>
      <c r="I7214" s="2" t="s">
        <v>21781</v>
      </c>
      <c r="J7214" s="2" t="s">
        <v>21782</v>
      </c>
      <c r="K7214" s="2" t="s">
        <v>577</v>
      </c>
      <c r="L7214" s="2" t="s">
        <v>34</v>
      </c>
      <c r="M7214" s="12">
        <v>2349.9119999999998</v>
      </c>
      <c r="N7214" s="6">
        <v>49.32</v>
      </c>
      <c r="O7214" s="6">
        <v>50.95</v>
      </c>
      <c r="P7214" s="2" t="s">
        <v>21783</v>
      </c>
      <c r="Q7214" s="6">
        <v>100</v>
      </c>
      <c r="R7214" s="6">
        <v>25</v>
      </c>
      <c r="S7214" s="5">
        <v>17.5</v>
      </c>
      <c r="T7214" s="7">
        <v>80.638999999999996</v>
      </c>
      <c r="U7214" s="5">
        <v>13.9</v>
      </c>
      <c r="V7214" s="6">
        <v>0.9</v>
      </c>
      <c r="W7214" s="6">
        <v>19.420000000000002</v>
      </c>
      <c r="X7214" s="6">
        <v>19.63</v>
      </c>
      <c r="Y7214" s="5">
        <v>24.7</v>
      </c>
      <c r="Z7214" s="6">
        <v>24.69</v>
      </c>
      <c r="AA7214" s="6">
        <v>19.32</v>
      </c>
      <c r="AB7214" s="7">
        <v>14.151</v>
      </c>
      <c r="AC7214" s="6">
        <v>142.57</v>
      </c>
    </row>
    <row r="7215" spans="1:29" ht="78" x14ac:dyDescent="0.15">
      <c r="A7215" s="3">
        <f>DATE(2004,3,8)</f>
        <v>38054</v>
      </c>
      <c r="B7215" s="3">
        <f>DATE(2004,6,18)</f>
        <v>38156</v>
      </c>
      <c r="C7215" s="2" t="s">
        <v>95</v>
      </c>
      <c r="D7215" s="2" t="s">
        <v>21784</v>
      </c>
      <c r="E7215" s="2" t="s">
        <v>21785</v>
      </c>
      <c r="F7215" s="4">
        <v>3842</v>
      </c>
      <c r="G7215" s="2" t="s">
        <v>226</v>
      </c>
      <c r="H7215" s="2" t="s">
        <v>34</v>
      </c>
      <c r="I7215" s="2" t="s">
        <v>5019</v>
      </c>
      <c r="J7215" s="2" t="s">
        <v>5020</v>
      </c>
      <c r="K7215" s="2" t="s">
        <v>226</v>
      </c>
      <c r="L7215" s="2" t="s">
        <v>34</v>
      </c>
      <c r="M7215" s="12">
        <v>10258.365</v>
      </c>
      <c r="N7215" s="6">
        <v>37.729999999999997</v>
      </c>
      <c r="O7215" s="6">
        <v>38.049999999999997</v>
      </c>
      <c r="P7215" s="2" t="s">
        <v>21786</v>
      </c>
      <c r="Q7215" s="6">
        <v>100</v>
      </c>
      <c r="R7215" s="6">
        <v>14.5</v>
      </c>
      <c r="S7215" s="5">
        <v>14.9</v>
      </c>
      <c r="T7215" s="7">
        <v>8.8170000000000002</v>
      </c>
      <c r="U7215" s="5">
        <v>4.7</v>
      </c>
      <c r="V7215" s="6">
        <v>0.79</v>
      </c>
      <c r="W7215" s="6">
        <v>11.35</v>
      </c>
      <c r="X7215" s="6">
        <v>12.34</v>
      </c>
      <c r="Y7215" s="6">
        <v>14.42</v>
      </c>
      <c r="Z7215" s="6">
        <v>14.41</v>
      </c>
      <c r="AA7215" s="6">
        <v>17.87</v>
      </c>
      <c r="AB7215" s="7">
        <v>37.140999999999998</v>
      </c>
      <c r="AC7215" s="6">
        <v>390.87</v>
      </c>
    </row>
    <row r="7216" spans="1:29" ht="169" x14ac:dyDescent="0.15">
      <c r="A7216" s="3">
        <f>DATE(2004,3,9)</f>
        <v>38055</v>
      </c>
      <c r="B7216" s="3">
        <f>DATE(2005,1,21)</f>
        <v>38373</v>
      </c>
      <c r="C7216" s="2" t="s">
        <v>95</v>
      </c>
      <c r="D7216" s="2" t="s">
        <v>21787</v>
      </c>
      <c r="E7216" s="2" t="s">
        <v>203</v>
      </c>
      <c r="F7216" s="4">
        <v>6035</v>
      </c>
      <c r="G7216" s="2" t="s">
        <v>33</v>
      </c>
      <c r="H7216" s="2" t="s">
        <v>34</v>
      </c>
      <c r="I7216" s="2" t="s">
        <v>19135</v>
      </c>
      <c r="J7216" s="2" t="s">
        <v>16534</v>
      </c>
      <c r="K7216" s="2" t="s">
        <v>33</v>
      </c>
      <c r="L7216" s="2" t="s">
        <v>34</v>
      </c>
      <c r="M7216" s="12">
        <v>7073.9030000000002</v>
      </c>
      <c r="N7216" s="6">
        <v>21.75</v>
      </c>
      <c r="O7216" s="6">
        <v>21.29</v>
      </c>
      <c r="P7216" s="2" t="s">
        <v>21788</v>
      </c>
      <c r="Q7216" s="6">
        <v>100</v>
      </c>
      <c r="R7216" s="6">
        <v>28</v>
      </c>
      <c r="S7216" s="5">
        <v>41.5</v>
      </c>
      <c r="T7216" s="7">
        <v>68.516999999999996</v>
      </c>
      <c r="U7216" s="5">
        <v>12.1</v>
      </c>
      <c r="V7216" s="6">
        <v>1.26</v>
      </c>
      <c r="W7216" s="6">
        <v>24.94</v>
      </c>
      <c r="X7216" s="6">
        <v>24.76</v>
      </c>
      <c r="Y7216" s="6">
        <v>27.48</v>
      </c>
      <c r="Z7216" s="6">
        <v>27.03</v>
      </c>
      <c r="AA7216" s="6">
        <v>33.67</v>
      </c>
      <c r="AB7216" s="7">
        <v>53.262</v>
      </c>
      <c r="AC7216" s="2"/>
    </row>
    <row r="7217" spans="1:29" ht="221" x14ac:dyDescent="0.15">
      <c r="A7217" s="3">
        <f>DATE(2004,3,10)</f>
        <v>38056</v>
      </c>
      <c r="B7217" s="3">
        <f>DATE(2004,5,3)</f>
        <v>38110</v>
      </c>
      <c r="C7217" s="2" t="s">
        <v>95</v>
      </c>
      <c r="D7217" s="2" t="s">
        <v>21789</v>
      </c>
      <c r="E7217" s="2" t="s">
        <v>4572</v>
      </c>
      <c r="F7217" s="4">
        <v>7371</v>
      </c>
      <c r="G7217" s="2" t="s">
        <v>223</v>
      </c>
      <c r="H7217" s="2" t="s">
        <v>34</v>
      </c>
      <c r="I7217" s="2" t="s">
        <v>18498</v>
      </c>
      <c r="J7217" s="2" t="s">
        <v>1464</v>
      </c>
      <c r="K7217" s="2" t="s">
        <v>223</v>
      </c>
      <c r="L7217" s="2" t="s">
        <v>902</v>
      </c>
      <c r="M7217" s="12">
        <v>2684.098</v>
      </c>
      <c r="N7217" s="7">
        <v>6.2789999999999999</v>
      </c>
      <c r="O7217" s="7">
        <v>6.2949999999999999</v>
      </c>
      <c r="P7217" s="2" t="s">
        <v>21790</v>
      </c>
      <c r="Q7217" s="6">
        <v>100</v>
      </c>
      <c r="R7217" s="6">
        <v>19.399999999999999</v>
      </c>
      <c r="S7217" s="5">
        <v>-26.3</v>
      </c>
      <c r="T7217" s="7">
        <v>76.623999999999995</v>
      </c>
      <c r="U7217" s="5">
        <v>9.6</v>
      </c>
      <c r="V7217" s="6">
        <v>-0.62</v>
      </c>
      <c r="W7217" s="6">
        <v>15.84</v>
      </c>
      <c r="X7217" s="6">
        <v>15.47</v>
      </c>
      <c r="Y7217" s="6">
        <v>15.42</v>
      </c>
      <c r="Z7217" s="6">
        <v>19.18</v>
      </c>
      <c r="AA7217" s="6">
        <v>42.4</v>
      </c>
      <c r="AB7217" s="7">
        <v>21.516999999999999</v>
      </c>
      <c r="AC7217" s="6">
        <v>74.69</v>
      </c>
    </row>
    <row r="7218" spans="1:29" ht="78" x14ac:dyDescent="0.15">
      <c r="A7218" s="3">
        <f>DATE(2004,3,11)</f>
        <v>38057</v>
      </c>
      <c r="B7218" s="3">
        <f>DATE(2004,7,30)</f>
        <v>38198</v>
      </c>
      <c r="C7218" s="2" t="s">
        <v>95</v>
      </c>
      <c r="D7218" s="2" t="s">
        <v>21791</v>
      </c>
      <c r="E7218" s="2" t="s">
        <v>21792</v>
      </c>
      <c r="F7218" s="4">
        <v>2834</v>
      </c>
      <c r="G7218" s="2" t="s">
        <v>130</v>
      </c>
      <c r="H7218" s="2" t="s">
        <v>34</v>
      </c>
      <c r="I7218" s="2" t="s">
        <v>21793</v>
      </c>
      <c r="J7218" s="2" t="s">
        <v>21794</v>
      </c>
      <c r="K7218" s="2" t="s">
        <v>358</v>
      </c>
      <c r="L7218" s="2" t="s">
        <v>34</v>
      </c>
      <c r="M7218" s="12">
        <v>7029.6890000000003</v>
      </c>
      <c r="N7218" s="6">
        <v>27.76</v>
      </c>
      <c r="O7218" s="6">
        <v>27.81</v>
      </c>
      <c r="P7218" s="2" t="s">
        <v>21795</v>
      </c>
      <c r="Q7218" s="6">
        <v>100</v>
      </c>
      <c r="R7218" s="6">
        <v>21</v>
      </c>
      <c r="S7218" s="5">
        <v>0.7</v>
      </c>
      <c r="T7218" s="7">
        <v>5.835</v>
      </c>
      <c r="U7218" s="5">
        <v>7.5</v>
      </c>
      <c r="V7218" s="6">
        <v>0.27</v>
      </c>
      <c r="W7218" s="6">
        <v>17.37</v>
      </c>
      <c r="X7218" s="6">
        <v>16.75</v>
      </c>
      <c r="Y7218" s="4">
        <v>16</v>
      </c>
      <c r="Z7218" s="5">
        <v>20.5</v>
      </c>
      <c r="AA7218" s="6">
        <v>2.66</v>
      </c>
      <c r="AB7218" s="7">
        <v>27.439</v>
      </c>
      <c r="AC7218" s="6">
        <v>85.63</v>
      </c>
    </row>
    <row r="7219" spans="1:29" ht="130" x14ac:dyDescent="0.15">
      <c r="A7219" s="3">
        <f>DATE(2004,3,11)</f>
        <v>38057</v>
      </c>
      <c r="B7219" s="3">
        <f>DATE(2004,8,2)</f>
        <v>38201</v>
      </c>
      <c r="C7219" s="2" t="s">
        <v>95</v>
      </c>
      <c r="D7219" s="2" t="s">
        <v>21796</v>
      </c>
      <c r="E7219" s="2" t="s">
        <v>263</v>
      </c>
      <c r="F7219" s="4">
        <v>6022</v>
      </c>
      <c r="G7219" s="2" t="s">
        <v>37</v>
      </c>
      <c r="H7219" s="2" t="s">
        <v>34</v>
      </c>
      <c r="I7219" s="2" t="s">
        <v>16594</v>
      </c>
      <c r="J7219" s="2" t="s">
        <v>159</v>
      </c>
      <c r="K7219" s="2" t="s">
        <v>37</v>
      </c>
      <c r="L7219" s="2" t="s">
        <v>34</v>
      </c>
      <c r="M7219" s="7">
        <v>91.503</v>
      </c>
      <c r="N7219" s="6">
        <v>20.38</v>
      </c>
      <c r="O7219" s="6">
        <v>20.39</v>
      </c>
      <c r="P7219" s="2" t="s">
        <v>21797</v>
      </c>
      <c r="Q7219" s="6">
        <v>100</v>
      </c>
      <c r="R7219" s="6">
        <v>15.75</v>
      </c>
      <c r="S7219" s="5">
        <v>0.8</v>
      </c>
      <c r="T7219" s="7">
        <v>1.339</v>
      </c>
      <c r="U7219" s="5">
        <v>5.7</v>
      </c>
      <c r="V7219" s="6">
        <v>0.43</v>
      </c>
      <c r="W7219" s="6">
        <v>10.25</v>
      </c>
      <c r="X7219" s="5">
        <v>10.5</v>
      </c>
      <c r="Y7219" s="6">
        <v>14.49</v>
      </c>
      <c r="Z7219" s="6">
        <v>14.52</v>
      </c>
      <c r="AA7219" s="6">
        <v>1.59</v>
      </c>
      <c r="AB7219" s="7">
        <v>62.26</v>
      </c>
      <c r="AC7219" s="2"/>
    </row>
    <row r="7220" spans="1:29" ht="143" x14ac:dyDescent="0.15">
      <c r="A7220" s="3">
        <f>DATE(2004,3,14)</f>
        <v>38060</v>
      </c>
      <c r="B7220" s="3">
        <f>DATE(2004,7,29)</f>
        <v>38197</v>
      </c>
      <c r="C7220" s="2" t="s">
        <v>95</v>
      </c>
      <c r="D7220" s="2" t="s">
        <v>21798</v>
      </c>
      <c r="E7220" s="2" t="s">
        <v>2728</v>
      </c>
      <c r="F7220" s="4">
        <v>3674</v>
      </c>
      <c r="G7220" s="2" t="s">
        <v>137</v>
      </c>
      <c r="H7220" s="2" t="s">
        <v>34</v>
      </c>
      <c r="I7220" s="2" t="s">
        <v>19790</v>
      </c>
      <c r="J7220" s="2" t="s">
        <v>2728</v>
      </c>
      <c r="K7220" s="2" t="s">
        <v>137</v>
      </c>
      <c r="L7220" s="2" t="s">
        <v>34</v>
      </c>
      <c r="M7220" s="10">
        <v>3473.48</v>
      </c>
      <c r="N7220" s="6">
        <v>21.27</v>
      </c>
      <c r="O7220" s="6">
        <v>21.27</v>
      </c>
      <c r="P7220" s="2" t="s">
        <v>21799</v>
      </c>
      <c r="Q7220" s="6">
        <v>100</v>
      </c>
      <c r="R7220" s="6">
        <v>15.58</v>
      </c>
      <c r="S7220" s="5">
        <v>2.4</v>
      </c>
      <c r="T7220" s="6">
        <v>2.86</v>
      </c>
      <c r="U7220" s="5">
        <v>1.6</v>
      </c>
      <c r="V7220" s="6">
        <v>0.08</v>
      </c>
      <c r="W7220" s="5">
        <v>14.1</v>
      </c>
      <c r="X7220" s="6">
        <v>13.74</v>
      </c>
      <c r="Y7220" s="2"/>
      <c r="Z7220" s="6">
        <v>14.92</v>
      </c>
      <c r="AA7220" s="6">
        <v>29.12</v>
      </c>
      <c r="AB7220" s="7">
        <v>1650.7439999999999</v>
      </c>
      <c r="AC7220" s="6">
        <v>819.53</v>
      </c>
    </row>
    <row r="7221" spans="1:29" ht="65" x14ac:dyDescent="0.15">
      <c r="A7221" s="3">
        <f>DATE(2004,3,15)</f>
        <v>38061</v>
      </c>
      <c r="B7221" s="3">
        <f>DATE(2004,11,1)</f>
        <v>38292</v>
      </c>
      <c r="C7221" s="2" t="s">
        <v>95</v>
      </c>
      <c r="D7221" s="2" t="s">
        <v>8175</v>
      </c>
      <c r="E7221" s="2" t="s">
        <v>2337</v>
      </c>
      <c r="F7221" s="4">
        <v>6022</v>
      </c>
      <c r="G7221" s="2" t="s">
        <v>37</v>
      </c>
      <c r="H7221" s="2" t="s">
        <v>34</v>
      </c>
      <c r="I7221" s="2" t="s">
        <v>18770</v>
      </c>
      <c r="J7221" s="2" t="s">
        <v>21800</v>
      </c>
      <c r="K7221" s="2" t="s">
        <v>37</v>
      </c>
      <c r="L7221" s="2" t="s">
        <v>34</v>
      </c>
      <c r="M7221" s="2"/>
      <c r="N7221" s="2"/>
      <c r="O7221" s="2"/>
      <c r="P7221" s="2" t="s">
        <v>21801</v>
      </c>
      <c r="Q7221" s="6">
        <v>100</v>
      </c>
      <c r="R7221" s="6">
        <v>32.25</v>
      </c>
      <c r="S7221" s="5">
        <v>75</v>
      </c>
      <c r="T7221" s="7">
        <v>129.333</v>
      </c>
      <c r="U7221" s="5">
        <v>26.5</v>
      </c>
      <c r="V7221" s="6">
        <v>1.95</v>
      </c>
      <c r="W7221" s="6">
        <v>28.82</v>
      </c>
      <c r="X7221" s="6">
        <v>28.64</v>
      </c>
      <c r="Y7221" s="4">
        <v>28</v>
      </c>
      <c r="Z7221" s="6">
        <v>32.11</v>
      </c>
      <c r="AA7221" s="6">
        <v>36.86</v>
      </c>
      <c r="AB7221" s="7">
        <v>32.988999999999997</v>
      </c>
      <c r="AC7221" s="2"/>
    </row>
    <row r="7222" spans="1:29" ht="130" x14ac:dyDescent="0.15">
      <c r="A7222" s="3">
        <f>DATE(2004,3,15)</f>
        <v>38061</v>
      </c>
      <c r="B7222" s="3">
        <f>DATE(2004,7,12)</f>
        <v>38180</v>
      </c>
      <c r="C7222" s="2" t="s">
        <v>95</v>
      </c>
      <c r="D7222" s="2" t="s">
        <v>14374</v>
      </c>
      <c r="E7222" s="2" t="s">
        <v>265</v>
      </c>
      <c r="F7222" s="4">
        <v>6021</v>
      </c>
      <c r="G7222" s="2" t="s">
        <v>37</v>
      </c>
      <c r="H7222" s="2" t="s">
        <v>34</v>
      </c>
      <c r="I7222" s="2" t="s">
        <v>17438</v>
      </c>
      <c r="J7222" s="2" t="s">
        <v>36</v>
      </c>
      <c r="K7222" s="2" t="s">
        <v>33</v>
      </c>
      <c r="L7222" s="2" t="s">
        <v>34</v>
      </c>
      <c r="M7222" s="7">
        <v>583.43600000000004</v>
      </c>
      <c r="N7222" s="6">
        <v>19.79</v>
      </c>
      <c r="O7222" s="6">
        <v>19.670000000000002</v>
      </c>
      <c r="P7222" s="2" t="s">
        <v>21802</v>
      </c>
      <c r="Q7222" s="6">
        <v>100</v>
      </c>
      <c r="R7222" s="6">
        <v>21.42</v>
      </c>
      <c r="S7222" s="5">
        <v>10.199999999999999</v>
      </c>
      <c r="T7222" s="7">
        <v>18.541</v>
      </c>
      <c r="U7222" s="5">
        <v>7.9</v>
      </c>
      <c r="V7222" s="6">
        <v>0.8</v>
      </c>
      <c r="W7222" s="6">
        <v>17.82</v>
      </c>
      <c r="X7222" s="4">
        <v>18</v>
      </c>
      <c r="Y7222" s="6">
        <v>19.559999999999999</v>
      </c>
      <c r="Z7222" s="6">
        <v>19.440000000000001</v>
      </c>
      <c r="AA7222" s="6">
        <v>12.15</v>
      </c>
      <c r="AB7222" s="7">
        <v>26.27</v>
      </c>
      <c r="AC7222" s="2"/>
    </row>
    <row r="7223" spans="1:29" ht="91" x14ac:dyDescent="0.15">
      <c r="A7223" s="3">
        <f>DATE(2004,3,15)</f>
        <v>38061</v>
      </c>
      <c r="B7223" s="3">
        <f>DATE(2004,12,6)</f>
        <v>38327</v>
      </c>
      <c r="C7223" s="2" t="s">
        <v>95</v>
      </c>
      <c r="D7223" s="2" t="s">
        <v>21803</v>
      </c>
      <c r="E7223" s="2" t="s">
        <v>21804</v>
      </c>
      <c r="F7223" s="4">
        <v>3812</v>
      </c>
      <c r="G7223" s="2" t="s">
        <v>226</v>
      </c>
      <c r="H7223" s="2" t="s">
        <v>34</v>
      </c>
      <c r="I7223" s="2" t="s">
        <v>21805</v>
      </c>
      <c r="J7223" s="2" t="s">
        <v>21806</v>
      </c>
      <c r="K7223" s="2" t="s">
        <v>219</v>
      </c>
      <c r="L7223" s="2" t="s">
        <v>34</v>
      </c>
      <c r="M7223" s="2"/>
      <c r="N7223" s="2"/>
      <c r="O7223" s="2"/>
      <c r="P7223" s="2" t="s">
        <v>21807</v>
      </c>
      <c r="Q7223" s="6">
        <v>100</v>
      </c>
      <c r="R7223" s="6">
        <v>50</v>
      </c>
      <c r="S7223" s="5">
        <v>56.9</v>
      </c>
      <c r="T7223" s="7">
        <v>102.554</v>
      </c>
      <c r="U7223" s="5">
        <v>17</v>
      </c>
      <c r="V7223" s="6">
        <v>3.1</v>
      </c>
      <c r="W7223" s="6">
        <v>40.54</v>
      </c>
      <c r="X7223" s="6">
        <v>41.22</v>
      </c>
      <c r="Y7223" s="6">
        <v>49.35</v>
      </c>
      <c r="Z7223" s="6">
        <v>49.38</v>
      </c>
      <c r="AA7223" s="6">
        <v>16.920000000000002</v>
      </c>
      <c r="AB7223" s="7">
        <v>9.2050000000000001</v>
      </c>
      <c r="AC7223" s="2"/>
    </row>
    <row r="7224" spans="1:29" ht="52" x14ac:dyDescent="0.15">
      <c r="A7224" s="3">
        <f>DATE(2004,3,16)</f>
        <v>38062</v>
      </c>
      <c r="B7224" s="2"/>
      <c r="C7224" s="2" t="s">
        <v>7330</v>
      </c>
      <c r="D7224" s="2" t="s">
        <v>21808</v>
      </c>
      <c r="E7224" s="2" t="s">
        <v>7957</v>
      </c>
      <c r="F7224" s="4">
        <v>6153</v>
      </c>
      <c r="G7224" s="2" t="s">
        <v>370</v>
      </c>
      <c r="H7224" s="2" t="s">
        <v>34</v>
      </c>
      <c r="I7224" s="2" t="s">
        <v>21809</v>
      </c>
      <c r="J7224" s="2" t="s">
        <v>21810</v>
      </c>
      <c r="K7224" s="2" t="s">
        <v>137</v>
      </c>
      <c r="L7224" s="2" t="s">
        <v>34</v>
      </c>
      <c r="M7224" s="7">
        <v>3.4460000000000002</v>
      </c>
      <c r="N7224" s="5">
        <v>0.8</v>
      </c>
      <c r="O7224" s="5">
        <v>0.7</v>
      </c>
      <c r="P7224" s="2" t="s">
        <v>21811</v>
      </c>
      <c r="Q7224" s="2"/>
      <c r="R7224" s="2"/>
      <c r="S7224" s="5">
        <v>-4.5999999999999996</v>
      </c>
      <c r="T7224" s="7">
        <v>-1.7629999999999999</v>
      </c>
      <c r="U7224" s="5">
        <v>0.8</v>
      </c>
      <c r="V7224" s="6">
        <v>-0.96</v>
      </c>
      <c r="W7224" s="6">
        <v>1.02</v>
      </c>
      <c r="X7224" s="4">
        <v>1</v>
      </c>
      <c r="Y7224" s="6">
        <v>1.01</v>
      </c>
      <c r="Z7224" s="6">
        <v>1.03</v>
      </c>
      <c r="AA7224" s="6">
        <v>30.82</v>
      </c>
      <c r="AB7224" s="2" t="s">
        <v>86</v>
      </c>
      <c r="AC7224" s="6">
        <v>0.03</v>
      </c>
    </row>
    <row r="7225" spans="1:29" ht="130" x14ac:dyDescent="0.15">
      <c r="A7225" s="3">
        <f>DATE(2004,3,16)</f>
        <v>38062</v>
      </c>
      <c r="B7225" s="3">
        <f>DATE(2004,10,1)</f>
        <v>38261</v>
      </c>
      <c r="C7225" s="2" t="s">
        <v>95</v>
      </c>
      <c r="D7225" s="2" t="s">
        <v>16754</v>
      </c>
      <c r="E7225" s="2" t="s">
        <v>5900</v>
      </c>
      <c r="F7225" s="4">
        <v>6035</v>
      </c>
      <c r="G7225" s="2" t="s">
        <v>33</v>
      </c>
      <c r="H7225" s="2" t="s">
        <v>34</v>
      </c>
      <c r="I7225" s="2" t="s">
        <v>21812</v>
      </c>
      <c r="J7225" s="2" t="s">
        <v>13537</v>
      </c>
      <c r="K7225" s="2" t="s">
        <v>33</v>
      </c>
      <c r="L7225" s="2" t="s">
        <v>34</v>
      </c>
      <c r="M7225" s="7">
        <v>405.065</v>
      </c>
      <c r="N7225" s="5">
        <v>11.9</v>
      </c>
      <c r="O7225" s="6">
        <v>12.04</v>
      </c>
      <c r="P7225" s="2" t="s">
        <v>21813</v>
      </c>
      <c r="Q7225" s="6">
        <v>100</v>
      </c>
      <c r="R7225" s="6">
        <v>32.61</v>
      </c>
      <c r="S7225" s="5">
        <v>6.5</v>
      </c>
      <c r="T7225" s="7">
        <v>11.037000000000001</v>
      </c>
      <c r="U7225" s="5">
        <v>16.399999999999999</v>
      </c>
      <c r="V7225" s="6">
        <v>1.44</v>
      </c>
      <c r="W7225" s="5">
        <v>34.200000000000003</v>
      </c>
      <c r="X7225" s="6">
        <v>33.57</v>
      </c>
      <c r="Y7225" s="6">
        <v>33.65</v>
      </c>
      <c r="Z7225" s="6">
        <v>33.770000000000003</v>
      </c>
      <c r="AA7225" s="6">
        <v>4.5199999999999996</v>
      </c>
      <c r="AB7225" s="7">
        <v>32.957999999999998</v>
      </c>
      <c r="AC7225" s="2"/>
    </row>
    <row r="7226" spans="1:29" ht="156" x14ac:dyDescent="0.15">
      <c r="A7226" s="3">
        <f>DATE(2004,3,17)</f>
        <v>38063</v>
      </c>
      <c r="B7226" s="3">
        <f>DATE(2004,8,2)</f>
        <v>38201</v>
      </c>
      <c r="C7226" s="2" t="s">
        <v>95</v>
      </c>
      <c r="D7226" s="2" t="s">
        <v>21814</v>
      </c>
      <c r="E7226" s="2" t="s">
        <v>21815</v>
      </c>
      <c r="F7226" s="4">
        <v>3821</v>
      </c>
      <c r="G7226" s="2" t="s">
        <v>226</v>
      </c>
      <c r="H7226" s="2" t="s">
        <v>34</v>
      </c>
      <c r="I7226" s="2" t="s">
        <v>9840</v>
      </c>
      <c r="J7226" s="2" t="s">
        <v>9841</v>
      </c>
      <c r="K7226" s="2" t="s">
        <v>226</v>
      </c>
      <c r="L7226" s="2" t="s">
        <v>34</v>
      </c>
      <c r="M7226" s="12">
        <v>3419.1990000000001</v>
      </c>
      <c r="N7226" s="5">
        <v>52.1</v>
      </c>
      <c r="O7226" s="6">
        <v>52.06</v>
      </c>
      <c r="P7226" s="2" t="s">
        <v>21816</v>
      </c>
      <c r="Q7226" s="6">
        <v>100</v>
      </c>
      <c r="R7226" s="6">
        <v>29.3</v>
      </c>
      <c r="S7226" s="5">
        <v>82.1</v>
      </c>
      <c r="T7226" s="7">
        <v>312.93799999999999</v>
      </c>
      <c r="U7226" s="5">
        <v>7.6</v>
      </c>
      <c r="V7226" s="6">
        <v>0.84</v>
      </c>
      <c r="W7226" s="6">
        <v>27.99</v>
      </c>
      <c r="X7226" s="6">
        <v>27.78</v>
      </c>
      <c r="Y7226" s="6">
        <v>28.85</v>
      </c>
      <c r="Z7226" s="6">
        <v>28.78</v>
      </c>
      <c r="AA7226" s="6">
        <v>88.55</v>
      </c>
      <c r="AB7226" s="7">
        <v>14.54</v>
      </c>
      <c r="AC7226" s="5">
        <v>265.89999999999998</v>
      </c>
    </row>
    <row r="7227" spans="1:29" ht="130" x14ac:dyDescent="0.15">
      <c r="A7227" s="3">
        <f>DATE(2004,3,17)</f>
        <v>38063</v>
      </c>
      <c r="B7227" s="3">
        <f>DATE(2004,7,16)</f>
        <v>38184</v>
      </c>
      <c r="C7227" s="2" t="s">
        <v>95</v>
      </c>
      <c r="D7227" s="2" t="s">
        <v>21817</v>
      </c>
      <c r="E7227" s="2" t="s">
        <v>263</v>
      </c>
      <c r="F7227" s="4">
        <v>6021</v>
      </c>
      <c r="G7227" s="2" t="s">
        <v>37</v>
      </c>
      <c r="H7227" s="2" t="s">
        <v>34</v>
      </c>
      <c r="I7227" s="2" t="s">
        <v>19850</v>
      </c>
      <c r="J7227" s="2" t="s">
        <v>159</v>
      </c>
      <c r="K7227" s="2" t="s">
        <v>37</v>
      </c>
      <c r="L7227" s="2" t="s">
        <v>34</v>
      </c>
      <c r="M7227" s="12">
        <v>1806.8720000000001</v>
      </c>
      <c r="N7227" s="6">
        <v>29.66</v>
      </c>
      <c r="O7227" s="6">
        <v>29.18</v>
      </c>
      <c r="P7227" s="2" t="s">
        <v>21818</v>
      </c>
      <c r="Q7227" s="6">
        <v>100</v>
      </c>
      <c r="R7227" s="6">
        <v>22.75</v>
      </c>
      <c r="S7227" s="5">
        <v>4.7</v>
      </c>
      <c r="T7227" s="7">
        <v>8.1289999999999996</v>
      </c>
      <c r="U7227" s="5">
        <v>7.7</v>
      </c>
      <c r="V7227" s="6">
        <v>0.62</v>
      </c>
      <c r="W7227" s="6">
        <v>16.45</v>
      </c>
      <c r="X7227" s="6">
        <v>17.989999999999998</v>
      </c>
      <c r="Y7227" s="5">
        <v>19.2</v>
      </c>
      <c r="Z7227" s="6">
        <v>21.95</v>
      </c>
      <c r="AA7227" s="6">
        <v>6.81</v>
      </c>
      <c r="AB7227" s="7">
        <v>35.264000000000003</v>
      </c>
      <c r="AC7227" s="2"/>
    </row>
    <row r="7228" spans="1:29" ht="169" x14ac:dyDescent="0.15">
      <c r="A7228" s="3">
        <f>DATE(2004,3,17)</f>
        <v>38063</v>
      </c>
      <c r="B7228" s="3">
        <f>DATE(2004,7,14)</f>
        <v>38182</v>
      </c>
      <c r="C7228" s="2" t="s">
        <v>95</v>
      </c>
      <c r="D7228" s="2" t="s">
        <v>21746</v>
      </c>
      <c r="E7228" s="2" t="s">
        <v>21747</v>
      </c>
      <c r="F7228" s="4">
        <v>2082</v>
      </c>
      <c r="G7228" s="2" t="s">
        <v>577</v>
      </c>
      <c r="H7228" s="2" t="s">
        <v>34</v>
      </c>
      <c r="I7228" s="2" t="s">
        <v>21819</v>
      </c>
      <c r="J7228" s="2" t="s">
        <v>21820</v>
      </c>
      <c r="K7228" s="2" t="s">
        <v>577</v>
      </c>
      <c r="L7228" s="2" t="s">
        <v>34</v>
      </c>
      <c r="M7228" s="2"/>
      <c r="N7228" s="2"/>
      <c r="O7228" s="2"/>
      <c r="P7228" s="2" t="s">
        <v>21821</v>
      </c>
      <c r="Q7228" s="6">
        <v>89.63</v>
      </c>
      <c r="R7228" s="6">
        <v>8.25</v>
      </c>
      <c r="S7228" s="5">
        <v>5.6</v>
      </c>
      <c r="T7228" s="6">
        <v>12.96</v>
      </c>
      <c r="U7228" s="5">
        <v>6.7</v>
      </c>
      <c r="V7228" s="6">
        <v>0.59</v>
      </c>
      <c r="W7228" s="6">
        <v>4.83</v>
      </c>
      <c r="X7228" s="6">
        <v>4.75</v>
      </c>
      <c r="Y7228" s="5">
        <v>4.9000000000000004</v>
      </c>
      <c r="Z7228" s="6">
        <v>4.92</v>
      </c>
      <c r="AA7228" s="6">
        <v>9.51</v>
      </c>
      <c r="AB7228" s="7">
        <v>14.914999999999999</v>
      </c>
      <c r="AC7228" s="2"/>
    </row>
    <row r="7229" spans="1:29" ht="78" x14ac:dyDescent="0.15">
      <c r="A7229" s="3">
        <f>DATE(2004,3,17)</f>
        <v>38063</v>
      </c>
      <c r="B7229" s="2"/>
      <c r="C7229" s="2" t="s">
        <v>30</v>
      </c>
      <c r="D7229" s="2" t="s">
        <v>21822</v>
      </c>
      <c r="E7229" s="2" t="s">
        <v>6519</v>
      </c>
      <c r="F7229" s="4">
        <v>4813</v>
      </c>
      <c r="G7229" s="2" t="s">
        <v>63</v>
      </c>
      <c r="H7229" s="2" t="s">
        <v>34</v>
      </c>
      <c r="I7229" s="2" t="s">
        <v>21823</v>
      </c>
      <c r="J7229" s="2" t="s">
        <v>21824</v>
      </c>
      <c r="K7229" s="2" t="s">
        <v>223</v>
      </c>
      <c r="L7229" s="2" t="s">
        <v>34</v>
      </c>
      <c r="M7229" s="2"/>
      <c r="N7229" s="2"/>
      <c r="O7229" s="2"/>
      <c r="P7229" s="2" t="s">
        <v>21825</v>
      </c>
      <c r="Q7229" s="2"/>
      <c r="R7229" s="2"/>
      <c r="S7229" s="5">
        <v>-3.3</v>
      </c>
      <c r="T7229" s="7">
        <v>-2.8940000000000001</v>
      </c>
      <c r="U7229" s="5">
        <v>2.8</v>
      </c>
      <c r="V7229" s="6">
        <v>-0.52</v>
      </c>
      <c r="W7229" s="6">
        <v>3.34</v>
      </c>
      <c r="X7229" s="5">
        <v>3.7</v>
      </c>
      <c r="Y7229" s="6">
        <v>6.75</v>
      </c>
      <c r="Z7229" s="6">
        <v>5.16</v>
      </c>
      <c r="AA7229" s="2"/>
      <c r="AB7229" s="2" t="s">
        <v>86</v>
      </c>
      <c r="AC7229" s="2"/>
    </row>
    <row r="7230" spans="1:29" ht="104" x14ac:dyDescent="0.15">
      <c r="A7230" s="3">
        <f>DATE(2004,3,19)</f>
        <v>38065</v>
      </c>
      <c r="B7230" s="3">
        <f>DATE(2004,8,20)</f>
        <v>38219</v>
      </c>
      <c r="C7230" s="2" t="s">
        <v>95</v>
      </c>
      <c r="D7230" s="2" t="s">
        <v>21826</v>
      </c>
      <c r="E7230" s="2" t="s">
        <v>263</v>
      </c>
      <c r="F7230" s="4">
        <v>6022</v>
      </c>
      <c r="G7230" s="2" t="s">
        <v>37</v>
      </c>
      <c r="H7230" s="2" t="s">
        <v>34</v>
      </c>
      <c r="I7230" s="2" t="s">
        <v>6872</v>
      </c>
      <c r="J7230" s="2" t="s">
        <v>36</v>
      </c>
      <c r="K7230" s="2" t="s">
        <v>37</v>
      </c>
      <c r="L7230" s="2" t="s">
        <v>34</v>
      </c>
      <c r="M7230" s="12">
        <v>1676.085</v>
      </c>
      <c r="N7230" s="6">
        <v>40.94</v>
      </c>
      <c r="O7230" s="6">
        <v>40.29</v>
      </c>
      <c r="P7230" s="2" t="s">
        <v>21827</v>
      </c>
      <c r="Q7230" s="6">
        <v>100</v>
      </c>
      <c r="R7230" s="6">
        <v>29.89</v>
      </c>
      <c r="S7230" s="5">
        <v>2.2000000000000002</v>
      </c>
      <c r="T7230" s="7">
        <v>3.9220000000000002</v>
      </c>
      <c r="U7230" s="5">
        <v>8.1999999999999993</v>
      </c>
      <c r="V7230" s="6">
        <v>1.02</v>
      </c>
      <c r="W7230" s="6">
        <v>19.52</v>
      </c>
      <c r="X7230" s="6">
        <v>21.99</v>
      </c>
      <c r="Y7230" s="5">
        <v>21.5</v>
      </c>
      <c r="Z7230" s="5">
        <v>29.1</v>
      </c>
      <c r="AA7230" s="6">
        <v>2.0499999999999998</v>
      </c>
      <c r="AB7230" s="7">
        <v>27.024000000000001</v>
      </c>
      <c r="AC7230" s="2"/>
    </row>
    <row r="7231" spans="1:29" ht="78" x14ac:dyDescent="0.15">
      <c r="A7231" s="3">
        <f>DATE(2004,3,19)</f>
        <v>38065</v>
      </c>
      <c r="B7231" s="3">
        <f>DATE(2004,9,3)</f>
        <v>38233</v>
      </c>
      <c r="C7231" s="2" t="s">
        <v>95</v>
      </c>
      <c r="D7231" s="2" t="s">
        <v>21828</v>
      </c>
      <c r="E7231" s="2" t="s">
        <v>8985</v>
      </c>
      <c r="F7231" s="4">
        <v>6035</v>
      </c>
      <c r="G7231" s="2" t="s">
        <v>33</v>
      </c>
      <c r="H7231" s="2" t="s">
        <v>34</v>
      </c>
      <c r="I7231" s="2" t="s">
        <v>21829</v>
      </c>
      <c r="J7231" s="2" t="s">
        <v>36</v>
      </c>
      <c r="K7231" s="2" t="s">
        <v>37</v>
      </c>
      <c r="L7231" s="2" t="s">
        <v>7831</v>
      </c>
      <c r="M7231" s="12">
        <v>6032.835</v>
      </c>
      <c r="N7231" s="6">
        <v>43.66</v>
      </c>
      <c r="O7231" s="6">
        <v>43.07</v>
      </c>
      <c r="P7231" s="2" t="s">
        <v>21830</v>
      </c>
      <c r="Q7231" s="6">
        <v>100</v>
      </c>
      <c r="R7231" s="6">
        <v>55</v>
      </c>
      <c r="S7231" s="5">
        <v>22.2</v>
      </c>
      <c r="T7231" s="2"/>
      <c r="U7231" s="5">
        <v>22.9</v>
      </c>
      <c r="V7231" s="6">
        <v>3.43</v>
      </c>
      <c r="W7231" s="6">
        <v>46.35</v>
      </c>
      <c r="X7231" s="6">
        <v>46.44</v>
      </c>
      <c r="Y7231" s="5">
        <v>54.4</v>
      </c>
      <c r="Z7231" s="6">
        <v>54.39</v>
      </c>
      <c r="AA7231" s="6">
        <v>6.28</v>
      </c>
      <c r="AB7231" s="7">
        <v>21.419</v>
      </c>
      <c r="AC7231" s="2"/>
    </row>
    <row r="7232" spans="1:29" ht="78" x14ac:dyDescent="0.15">
      <c r="A7232" s="3">
        <f>DATE(2004,3,22)</f>
        <v>38068</v>
      </c>
      <c r="B7232" s="2"/>
      <c r="C7232" s="2" t="s">
        <v>7330</v>
      </c>
      <c r="D7232" s="2" t="s">
        <v>21831</v>
      </c>
      <c r="E7232" s="2" t="s">
        <v>21832</v>
      </c>
      <c r="F7232" s="4">
        <v>5735</v>
      </c>
      <c r="G7232" s="2" t="s">
        <v>1227</v>
      </c>
      <c r="H7232" s="2" t="s">
        <v>34</v>
      </c>
      <c r="I7232" s="2" t="s">
        <v>21833</v>
      </c>
      <c r="J7232" s="2" t="s">
        <v>302</v>
      </c>
      <c r="K7232" s="2" t="s">
        <v>53</v>
      </c>
      <c r="L7232" s="2" t="s">
        <v>902</v>
      </c>
      <c r="M7232" s="2"/>
      <c r="N7232" s="2"/>
      <c r="O7232" s="2"/>
      <c r="P7232" s="2" t="s">
        <v>21834</v>
      </c>
      <c r="Q7232" s="2"/>
      <c r="R7232" s="2"/>
      <c r="S7232" s="5">
        <v>4.9000000000000004</v>
      </c>
      <c r="T7232" s="7">
        <v>51.347999999999999</v>
      </c>
      <c r="U7232" s="5">
        <v>6.6</v>
      </c>
      <c r="V7232" s="6">
        <v>0.43</v>
      </c>
      <c r="W7232" s="6">
        <v>5.47</v>
      </c>
      <c r="X7232" s="6">
        <v>5.52</v>
      </c>
      <c r="Y7232" s="6">
        <v>5.64</v>
      </c>
      <c r="Z7232" s="6">
        <v>5.64</v>
      </c>
      <c r="AA7232" s="6">
        <v>11.34</v>
      </c>
      <c r="AB7232" s="2" t="s">
        <v>47</v>
      </c>
      <c r="AC7232" s="2"/>
    </row>
    <row r="7233" spans="1:29" ht="156" x14ac:dyDescent="0.15">
      <c r="A7233" s="3">
        <f>DATE(2004,3,22)</f>
        <v>38068</v>
      </c>
      <c r="B7233" s="3">
        <f>DATE(2004,8,6)</f>
        <v>38205</v>
      </c>
      <c r="C7233" s="2" t="s">
        <v>95</v>
      </c>
      <c r="D7233" s="2" t="s">
        <v>21835</v>
      </c>
      <c r="E7233" s="2" t="s">
        <v>49</v>
      </c>
      <c r="F7233" s="4">
        <v>3577</v>
      </c>
      <c r="G7233" s="2" t="s">
        <v>50</v>
      </c>
      <c r="H7233" s="2" t="s">
        <v>34</v>
      </c>
      <c r="I7233" s="2" t="s">
        <v>21836</v>
      </c>
      <c r="J7233" s="2" t="s">
        <v>21837</v>
      </c>
      <c r="K7233" s="2" t="s">
        <v>551</v>
      </c>
      <c r="L7233" s="2" t="s">
        <v>34</v>
      </c>
      <c r="M7233" s="7">
        <v>94.899000000000001</v>
      </c>
      <c r="N7233" s="5">
        <v>2.9</v>
      </c>
      <c r="O7233" s="5">
        <v>2.6</v>
      </c>
      <c r="P7233" s="2" t="s">
        <v>21838</v>
      </c>
      <c r="Q7233" s="6">
        <v>100</v>
      </c>
      <c r="R7233" s="6">
        <v>1.89</v>
      </c>
      <c r="S7233" s="5">
        <v>-9.3000000000000007</v>
      </c>
      <c r="T7233" s="7">
        <v>-2.016</v>
      </c>
      <c r="U7233" s="5">
        <v>1</v>
      </c>
      <c r="V7233" s="6">
        <v>-0.36</v>
      </c>
      <c r="W7233" s="6">
        <v>1.38</v>
      </c>
      <c r="X7233" s="6">
        <v>1.36</v>
      </c>
      <c r="Y7233" s="6">
        <v>1.44</v>
      </c>
      <c r="Z7233" s="6">
        <v>1.47</v>
      </c>
      <c r="AA7233" s="6">
        <v>28.45</v>
      </c>
      <c r="AB7233" s="2" t="s">
        <v>86</v>
      </c>
      <c r="AC7233" s="5">
        <v>7.1</v>
      </c>
    </row>
    <row r="7234" spans="1:29" ht="143" x14ac:dyDescent="0.15">
      <c r="A7234" s="3">
        <f>DATE(2004,3,22)</f>
        <v>38068</v>
      </c>
      <c r="B7234" s="3">
        <f>DATE(2004,8,20)</f>
        <v>38219</v>
      </c>
      <c r="C7234" s="2" t="s">
        <v>95</v>
      </c>
      <c r="D7234" s="2" t="s">
        <v>21839</v>
      </c>
      <c r="E7234" s="2" t="s">
        <v>21840</v>
      </c>
      <c r="F7234" s="4">
        <v>8093</v>
      </c>
      <c r="G7234" s="2" t="s">
        <v>454</v>
      </c>
      <c r="H7234" s="2" t="s">
        <v>34</v>
      </c>
      <c r="I7234" s="2" t="s">
        <v>7577</v>
      </c>
      <c r="J7234" s="2" t="s">
        <v>244</v>
      </c>
      <c r="K7234" s="2" t="s">
        <v>53</v>
      </c>
      <c r="L7234" s="2" t="s">
        <v>34</v>
      </c>
      <c r="M7234" s="2"/>
      <c r="N7234" s="2"/>
      <c r="O7234" s="2"/>
      <c r="P7234" s="2" t="s">
        <v>21841</v>
      </c>
      <c r="Q7234" s="6">
        <v>87.01</v>
      </c>
      <c r="R7234" s="6">
        <v>15.05</v>
      </c>
      <c r="S7234" s="5">
        <v>70.7</v>
      </c>
      <c r="T7234" s="7">
        <v>208.51900000000001</v>
      </c>
      <c r="U7234" s="5">
        <v>6.9</v>
      </c>
      <c r="V7234" s="6">
        <v>0.77</v>
      </c>
      <c r="W7234" s="6">
        <v>12.51</v>
      </c>
      <c r="X7234" s="5">
        <v>12.7</v>
      </c>
      <c r="Y7234" s="6">
        <v>15.14</v>
      </c>
      <c r="Z7234" s="6">
        <v>15.08</v>
      </c>
      <c r="AA7234" s="6">
        <v>85.29</v>
      </c>
      <c r="AB7234" s="7">
        <v>10.754</v>
      </c>
      <c r="AC7234" s="2"/>
    </row>
    <row r="7235" spans="1:29" ht="52" x14ac:dyDescent="0.15">
      <c r="A7235" s="3">
        <f>DATE(2004,3,24)</f>
        <v>38070</v>
      </c>
      <c r="B7235" s="3">
        <f>DATE(2004,5,3)</f>
        <v>38110</v>
      </c>
      <c r="C7235" s="2" t="s">
        <v>95</v>
      </c>
      <c r="D7235" s="2" t="s">
        <v>21842</v>
      </c>
      <c r="E7235" s="2" t="s">
        <v>21318</v>
      </c>
      <c r="F7235" s="4">
        <v>8299</v>
      </c>
      <c r="G7235" s="2" t="s">
        <v>415</v>
      </c>
      <c r="H7235" s="2" t="s">
        <v>34</v>
      </c>
      <c r="I7235" s="2" t="s">
        <v>21843</v>
      </c>
      <c r="J7235" s="2" t="s">
        <v>21844</v>
      </c>
      <c r="K7235" s="2" t="s">
        <v>223</v>
      </c>
      <c r="L7235" s="2" t="s">
        <v>34</v>
      </c>
      <c r="M7235" s="12">
        <v>2770.1030000000001</v>
      </c>
      <c r="N7235" s="6">
        <v>14.93</v>
      </c>
      <c r="O7235" s="6">
        <v>15.59</v>
      </c>
      <c r="P7235" s="2" t="s">
        <v>21845</v>
      </c>
      <c r="Q7235" s="6">
        <v>100</v>
      </c>
      <c r="R7235" s="6">
        <v>2.4</v>
      </c>
      <c r="S7235" s="5">
        <v>-19.399999999999999</v>
      </c>
      <c r="T7235" s="7">
        <v>-4.1269999999999998</v>
      </c>
      <c r="U7235" s="5">
        <v>1</v>
      </c>
      <c r="V7235" s="6">
        <v>-0.43</v>
      </c>
      <c r="W7235" s="6">
        <v>1.92</v>
      </c>
      <c r="X7235" s="6">
        <v>1.77</v>
      </c>
      <c r="Y7235" s="6">
        <v>1.84</v>
      </c>
      <c r="Z7235" s="6">
        <v>2.35</v>
      </c>
      <c r="AA7235" s="6">
        <v>49.79</v>
      </c>
      <c r="AB7235" s="2" t="s">
        <v>86</v>
      </c>
      <c r="AC7235" s="5">
        <v>37.200000000000003</v>
      </c>
    </row>
    <row r="7236" spans="1:29" ht="26" x14ac:dyDescent="0.15">
      <c r="A7236" s="3">
        <f>DATE(2004,3,25)</f>
        <v>38071</v>
      </c>
      <c r="B7236" s="3">
        <f>DATE(2004,3,25)</f>
        <v>38071</v>
      </c>
      <c r="C7236" s="2" t="s">
        <v>95</v>
      </c>
      <c r="D7236" s="2" t="s">
        <v>3795</v>
      </c>
      <c r="E7236" s="2" t="s">
        <v>3796</v>
      </c>
      <c r="F7236" s="4">
        <v>7221</v>
      </c>
      <c r="G7236" s="2" t="s">
        <v>1517</v>
      </c>
      <c r="H7236" s="2" t="s">
        <v>34</v>
      </c>
      <c r="I7236" s="2" t="s">
        <v>21846</v>
      </c>
      <c r="J7236" s="2" t="s">
        <v>386</v>
      </c>
      <c r="K7236" s="2" t="s">
        <v>53</v>
      </c>
      <c r="L7236" s="2" t="s">
        <v>34</v>
      </c>
      <c r="M7236" s="2"/>
      <c r="N7236" s="2"/>
      <c r="O7236" s="2"/>
      <c r="P7236" s="2" t="s">
        <v>21847</v>
      </c>
      <c r="Q7236" s="6">
        <v>100</v>
      </c>
      <c r="R7236" s="2"/>
      <c r="S7236" s="5">
        <v>1.2</v>
      </c>
      <c r="T7236" s="7">
        <v>25.027999999999999</v>
      </c>
      <c r="U7236" s="5">
        <v>6.4</v>
      </c>
      <c r="V7236" s="6">
        <v>0.15</v>
      </c>
      <c r="W7236" s="5">
        <v>20.2</v>
      </c>
      <c r="X7236" s="6">
        <v>19.579999999999998</v>
      </c>
      <c r="Y7236" s="5">
        <v>19.399999999999999</v>
      </c>
      <c r="Z7236" s="6">
        <v>19.18</v>
      </c>
      <c r="AA7236" s="6">
        <v>8.06</v>
      </c>
      <c r="AB7236" s="2" t="s">
        <v>47</v>
      </c>
      <c r="AC7236" s="2"/>
    </row>
    <row r="7237" spans="1:29" ht="78" x14ac:dyDescent="0.15">
      <c r="A7237" s="3">
        <f>DATE(2004,3,26)</f>
        <v>38072</v>
      </c>
      <c r="B7237" s="3">
        <f>DATE(2004,6,3)</f>
        <v>38141</v>
      </c>
      <c r="C7237" s="2" t="s">
        <v>95</v>
      </c>
      <c r="D7237" s="2" t="s">
        <v>21848</v>
      </c>
      <c r="E7237" s="2" t="s">
        <v>781</v>
      </c>
      <c r="F7237" s="4">
        <v>7389</v>
      </c>
      <c r="G7237" s="2" t="s">
        <v>223</v>
      </c>
      <c r="H7237" s="2" t="s">
        <v>34</v>
      </c>
      <c r="I7237" s="2" t="s">
        <v>17326</v>
      </c>
      <c r="J7237" s="2" t="s">
        <v>17327</v>
      </c>
      <c r="K7237" s="2" t="s">
        <v>551</v>
      </c>
      <c r="L7237" s="2" t="s">
        <v>34</v>
      </c>
      <c r="M7237" s="12">
        <v>1148.6220000000001</v>
      </c>
      <c r="N7237" s="6">
        <v>36.450000000000003</v>
      </c>
      <c r="O7237" s="6">
        <v>36.82</v>
      </c>
      <c r="P7237" s="2" t="s">
        <v>21849</v>
      </c>
      <c r="Q7237" s="6">
        <v>100</v>
      </c>
      <c r="R7237" s="6">
        <v>7.75</v>
      </c>
      <c r="S7237" s="5">
        <v>2.1</v>
      </c>
      <c r="T7237" s="7">
        <v>2.653</v>
      </c>
      <c r="U7237" s="5">
        <v>2.9</v>
      </c>
      <c r="V7237" s="6">
        <v>0.1</v>
      </c>
      <c r="W7237" s="5">
        <v>6.3</v>
      </c>
      <c r="X7237" s="6">
        <v>6.05</v>
      </c>
      <c r="Y7237" s="6">
        <v>7.76</v>
      </c>
      <c r="Z7237" s="6">
        <v>7.68</v>
      </c>
      <c r="AA7237" s="6">
        <v>19.100000000000001</v>
      </c>
      <c r="AB7237" s="7">
        <v>74.058999999999997</v>
      </c>
      <c r="AC7237" s="6">
        <v>300.51</v>
      </c>
    </row>
    <row r="7238" spans="1:29" ht="182" x14ac:dyDescent="0.15">
      <c r="A7238" s="3">
        <f>DATE(2004,3,29)</f>
        <v>38075</v>
      </c>
      <c r="B7238" s="2"/>
      <c r="C7238" s="2" t="s">
        <v>30</v>
      </c>
      <c r="D7238" s="2" t="s">
        <v>5840</v>
      </c>
      <c r="E7238" s="2" t="s">
        <v>5841</v>
      </c>
      <c r="F7238" s="4">
        <v>7841</v>
      </c>
      <c r="G7238" s="2" t="s">
        <v>42</v>
      </c>
      <c r="H7238" s="2" t="s">
        <v>34</v>
      </c>
      <c r="I7238" s="2" t="s">
        <v>9916</v>
      </c>
      <c r="J7238" s="2" t="s">
        <v>244</v>
      </c>
      <c r="K7238" s="2" t="s">
        <v>53</v>
      </c>
      <c r="L7238" s="2" t="s">
        <v>34</v>
      </c>
      <c r="M7238" s="2"/>
      <c r="N7238" s="2"/>
      <c r="O7238" s="2"/>
      <c r="P7238" s="2" t="s">
        <v>21850</v>
      </c>
      <c r="Q7238" s="2"/>
      <c r="R7238" s="6">
        <v>10.25</v>
      </c>
      <c r="S7238" s="5">
        <v>81.900000000000006</v>
      </c>
      <c r="T7238" s="7">
        <v>427.88200000000001</v>
      </c>
      <c r="U7238" s="5">
        <v>6.4</v>
      </c>
      <c r="V7238" s="6">
        <v>1.3</v>
      </c>
      <c r="W7238" s="5">
        <v>10.8</v>
      </c>
      <c r="X7238" s="5">
        <v>10.7</v>
      </c>
      <c r="Y7238" s="6">
        <v>13.66</v>
      </c>
      <c r="Z7238" s="6">
        <v>13.62</v>
      </c>
      <c r="AA7238" s="6">
        <v>60.83</v>
      </c>
      <c r="AB7238" s="7">
        <v>5.2039999999999997</v>
      </c>
      <c r="AC7238" s="2"/>
    </row>
    <row r="7239" spans="1:29" ht="208" x14ac:dyDescent="0.15">
      <c r="A7239" s="3">
        <f>DATE(2004,3,29)</f>
        <v>38075</v>
      </c>
      <c r="B7239" s="3">
        <f>DATE(2004,11,16)</f>
        <v>38307</v>
      </c>
      <c r="C7239" s="2" t="s">
        <v>95</v>
      </c>
      <c r="D7239" s="2" t="s">
        <v>21851</v>
      </c>
      <c r="E7239" s="2" t="s">
        <v>4365</v>
      </c>
      <c r="F7239" s="4">
        <v>4812</v>
      </c>
      <c r="G7239" s="2" t="s">
        <v>63</v>
      </c>
      <c r="H7239" s="2" t="s">
        <v>34</v>
      </c>
      <c r="I7239" s="2" t="s">
        <v>21852</v>
      </c>
      <c r="J7239" s="2" t="s">
        <v>6070</v>
      </c>
      <c r="K7239" s="2" t="s">
        <v>63</v>
      </c>
      <c r="L7239" s="2" t="s">
        <v>34</v>
      </c>
      <c r="M7239" s="7">
        <v>480.19499999999999</v>
      </c>
      <c r="N7239" s="6">
        <v>32.31</v>
      </c>
      <c r="O7239" s="6">
        <v>32.07</v>
      </c>
      <c r="P7239" s="2" t="s">
        <v>21853</v>
      </c>
      <c r="Q7239" s="6">
        <v>100</v>
      </c>
      <c r="R7239" s="6">
        <v>54.92</v>
      </c>
      <c r="S7239" s="5">
        <v>10.9</v>
      </c>
      <c r="T7239" s="7">
        <v>102.54300000000001</v>
      </c>
      <c r="U7239" s="5">
        <v>17.100000000000001</v>
      </c>
      <c r="V7239" s="6">
        <v>2.11</v>
      </c>
      <c r="W7239" s="6">
        <v>76.849999999999994</v>
      </c>
      <c r="X7239" s="6">
        <v>74.94</v>
      </c>
      <c r="Y7239" s="6">
        <v>69.150000000000006</v>
      </c>
      <c r="Z7239" s="6">
        <v>70.12</v>
      </c>
      <c r="AA7239" s="6">
        <v>6.03</v>
      </c>
      <c r="AB7239" s="7">
        <v>5.1360000000000001</v>
      </c>
      <c r="AC7239" s="6">
        <v>41.36</v>
      </c>
    </row>
    <row r="7240" spans="1:29" ht="143" x14ac:dyDescent="0.15">
      <c r="A7240" s="3">
        <f>DATE(2004,3,29)</f>
        <v>38075</v>
      </c>
      <c r="B7240" s="3">
        <f>DATE(2004,11,30)</f>
        <v>38321</v>
      </c>
      <c r="C7240" s="2" t="s">
        <v>95</v>
      </c>
      <c r="D7240" s="2" t="s">
        <v>21854</v>
      </c>
      <c r="E7240" s="2" t="s">
        <v>21855</v>
      </c>
      <c r="F7240" s="4">
        <v>2819</v>
      </c>
      <c r="G7240" s="2" t="s">
        <v>98</v>
      </c>
      <c r="H7240" s="2" t="s">
        <v>34</v>
      </c>
      <c r="I7240" s="2" t="s">
        <v>21856</v>
      </c>
      <c r="J7240" s="2" t="s">
        <v>21857</v>
      </c>
      <c r="K7240" s="2" t="s">
        <v>98</v>
      </c>
      <c r="L7240" s="2" t="s">
        <v>34</v>
      </c>
      <c r="M7240" s="12">
        <v>3194.2440000000001</v>
      </c>
      <c r="N7240" s="6">
        <v>15.08</v>
      </c>
      <c r="O7240" s="6">
        <v>14.95</v>
      </c>
      <c r="P7240" s="2" t="s">
        <v>21858</v>
      </c>
      <c r="Q7240" s="6">
        <v>100</v>
      </c>
      <c r="R7240" s="6">
        <v>16.399999999999999</v>
      </c>
      <c r="S7240" s="5">
        <v>-183</v>
      </c>
      <c r="T7240" s="5">
        <v>183</v>
      </c>
      <c r="U7240" s="5">
        <v>-0.9</v>
      </c>
      <c r="V7240" s="6">
        <v>-2.86</v>
      </c>
      <c r="W7240" s="6">
        <v>11.75</v>
      </c>
      <c r="X7240" s="6">
        <v>12.55</v>
      </c>
      <c r="Y7240" s="6">
        <v>15.11</v>
      </c>
      <c r="Z7240" s="5">
        <v>14.9</v>
      </c>
      <c r="AA7240" s="6">
        <v>64.61</v>
      </c>
      <c r="AB7240" s="7">
        <v>36.749000000000002</v>
      </c>
      <c r="AC7240" s="5">
        <v>438</v>
      </c>
    </row>
    <row r="7241" spans="1:29" ht="78" x14ac:dyDescent="0.15">
      <c r="A7241" s="3">
        <f>DATE(2004,3,29)</f>
        <v>38075</v>
      </c>
      <c r="B7241" s="3">
        <f>DATE(2004,8,13)</f>
        <v>38212</v>
      </c>
      <c r="C7241" s="2" t="s">
        <v>95</v>
      </c>
      <c r="D7241" s="2" t="s">
        <v>21859</v>
      </c>
      <c r="E7241" s="2" t="s">
        <v>3812</v>
      </c>
      <c r="F7241" s="4">
        <v>2834</v>
      </c>
      <c r="G7241" s="2" t="s">
        <v>130</v>
      </c>
      <c r="H7241" s="2" t="s">
        <v>34</v>
      </c>
      <c r="I7241" s="2" t="s">
        <v>5534</v>
      </c>
      <c r="J7241" s="2" t="s">
        <v>5535</v>
      </c>
      <c r="K7241" s="2" t="s">
        <v>130</v>
      </c>
      <c r="L7241" s="2" t="s">
        <v>34</v>
      </c>
      <c r="M7241" s="10">
        <v>82244.37</v>
      </c>
      <c r="N7241" s="6">
        <v>59.55</v>
      </c>
      <c r="O7241" s="6">
        <v>59.02</v>
      </c>
      <c r="P7241" s="2" t="s">
        <v>21860</v>
      </c>
      <c r="Q7241" s="6">
        <v>81.2</v>
      </c>
      <c r="R7241" s="6">
        <v>25</v>
      </c>
      <c r="S7241" s="5">
        <v>-105.1</v>
      </c>
      <c r="T7241" s="7">
        <v>-93.001000000000005</v>
      </c>
      <c r="U7241" s="5">
        <v>2.2000000000000002</v>
      </c>
      <c r="V7241" s="6">
        <v>-1.8</v>
      </c>
      <c r="W7241" s="6">
        <v>17.41</v>
      </c>
      <c r="X7241" s="4">
        <v>17</v>
      </c>
      <c r="Y7241" s="6">
        <v>24.53</v>
      </c>
      <c r="Z7241" s="5">
        <v>24.5</v>
      </c>
      <c r="AA7241" s="6">
        <v>67.010000000000005</v>
      </c>
      <c r="AB7241" s="2" t="s">
        <v>86</v>
      </c>
      <c r="AC7241" s="8">
        <v>5122.8999999999996</v>
      </c>
    </row>
    <row r="7242" spans="1:29" ht="156" x14ac:dyDescent="0.15">
      <c r="A7242" s="3">
        <f>DATE(2004,4,1)</f>
        <v>38078</v>
      </c>
      <c r="B7242" s="3">
        <f>DATE(2004,8,31)</f>
        <v>38230</v>
      </c>
      <c r="C7242" s="2" t="s">
        <v>95</v>
      </c>
      <c r="D7242" s="2" t="s">
        <v>8115</v>
      </c>
      <c r="E7242" s="2" t="s">
        <v>389</v>
      </c>
      <c r="F7242" s="4">
        <v>6035</v>
      </c>
      <c r="G7242" s="2" t="s">
        <v>33</v>
      </c>
      <c r="H7242" s="2" t="s">
        <v>34</v>
      </c>
      <c r="I7242" s="2" t="s">
        <v>4131</v>
      </c>
      <c r="J7242" s="2" t="s">
        <v>36</v>
      </c>
      <c r="K7242" s="2" t="s">
        <v>37</v>
      </c>
      <c r="L7242" s="2" t="s">
        <v>34</v>
      </c>
      <c r="M7242" s="7">
        <v>604.36099999999999</v>
      </c>
      <c r="N7242" s="6">
        <v>31.12</v>
      </c>
      <c r="O7242" s="6">
        <v>31.25</v>
      </c>
      <c r="P7242" s="2" t="s">
        <v>21861</v>
      </c>
      <c r="Q7242" s="6">
        <v>100</v>
      </c>
      <c r="R7242" s="6">
        <v>35.81</v>
      </c>
      <c r="S7242" s="5">
        <v>2.4</v>
      </c>
      <c r="T7242" s="2"/>
      <c r="U7242" s="5">
        <v>25.2</v>
      </c>
      <c r="V7242" s="6">
        <v>1.34</v>
      </c>
      <c r="W7242" s="5">
        <v>32.200000000000003</v>
      </c>
      <c r="X7242" s="6">
        <v>31.48</v>
      </c>
      <c r="Y7242" s="6">
        <v>30.91</v>
      </c>
      <c r="Z7242" s="6">
        <v>35.450000000000003</v>
      </c>
      <c r="AA7242" s="6">
        <v>1.78</v>
      </c>
      <c r="AB7242" s="7">
        <v>49.432000000000002</v>
      </c>
      <c r="AC7242" s="2"/>
    </row>
    <row r="7243" spans="1:29" ht="182" x14ac:dyDescent="0.15">
      <c r="A7243" s="3">
        <f>DATE(2004,4,2)</f>
        <v>38079</v>
      </c>
      <c r="B7243" s="3">
        <f>DATE(2005,1,14)</f>
        <v>38366</v>
      </c>
      <c r="C7243" s="2" t="s">
        <v>95</v>
      </c>
      <c r="D7243" s="2" t="s">
        <v>14410</v>
      </c>
      <c r="E7243" s="2" t="s">
        <v>7190</v>
      </c>
      <c r="F7243" s="4">
        <v>6021</v>
      </c>
      <c r="G7243" s="2" t="s">
        <v>37</v>
      </c>
      <c r="H7243" s="2" t="s">
        <v>34</v>
      </c>
      <c r="I7243" s="2" t="s">
        <v>21150</v>
      </c>
      <c r="J7243" s="2" t="s">
        <v>36</v>
      </c>
      <c r="K7243" s="2" t="s">
        <v>37</v>
      </c>
      <c r="L7243" s="2" t="s">
        <v>34</v>
      </c>
      <c r="M7243" s="12">
        <v>1210.2760000000001</v>
      </c>
      <c r="N7243" s="5">
        <v>13.5</v>
      </c>
      <c r="O7243" s="6">
        <v>13.43</v>
      </c>
      <c r="P7243" s="2" t="s">
        <v>21862</v>
      </c>
      <c r="Q7243" s="6">
        <v>100</v>
      </c>
      <c r="R7243" s="2"/>
      <c r="S7243" s="5">
        <v>31.8</v>
      </c>
      <c r="T7243" s="6">
        <v>51.96</v>
      </c>
      <c r="U7243" s="5">
        <v>9.5</v>
      </c>
      <c r="V7243" s="6">
        <v>1.1000000000000001</v>
      </c>
      <c r="W7243" s="6">
        <v>20.32</v>
      </c>
      <c r="X7243" s="6">
        <v>20.55</v>
      </c>
      <c r="Y7243" s="6">
        <v>19.03</v>
      </c>
      <c r="Z7243" s="5">
        <v>18.899999999999999</v>
      </c>
      <c r="AA7243" s="6">
        <v>30.34</v>
      </c>
      <c r="AB7243" s="7">
        <v>22.693000000000001</v>
      </c>
      <c r="AC7243" s="2"/>
    </row>
    <row r="7244" spans="1:29" ht="156" x14ac:dyDescent="0.15">
      <c r="A7244" s="3">
        <f>DATE(2004,4,5)</f>
        <v>38082</v>
      </c>
      <c r="B7244" s="3">
        <f>DATE(2004,11,8)</f>
        <v>38299</v>
      </c>
      <c r="C7244" s="2" t="s">
        <v>95</v>
      </c>
      <c r="D7244" s="2" t="s">
        <v>21863</v>
      </c>
      <c r="E7244" s="2" t="s">
        <v>21864</v>
      </c>
      <c r="F7244" s="4">
        <v>3589</v>
      </c>
      <c r="G7244" s="2" t="s">
        <v>300</v>
      </c>
      <c r="H7244" s="2" t="s">
        <v>34</v>
      </c>
      <c r="I7244" s="2" t="s">
        <v>21865</v>
      </c>
      <c r="J7244" s="2" t="s">
        <v>21866</v>
      </c>
      <c r="K7244" s="2" t="s">
        <v>300</v>
      </c>
      <c r="L7244" s="2" t="s">
        <v>1049</v>
      </c>
      <c r="M7244" s="2"/>
      <c r="N7244" s="2"/>
      <c r="O7244" s="2"/>
      <c r="P7244" s="2" t="s">
        <v>21867</v>
      </c>
      <c r="Q7244" s="6">
        <v>31.9</v>
      </c>
      <c r="R7244" s="6">
        <v>13.75</v>
      </c>
      <c r="S7244" s="5">
        <v>2.4</v>
      </c>
      <c r="T7244" s="7">
        <v>5.1459999999999999</v>
      </c>
      <c r="U7244" s="5">
        <v>11.7</v>
      </c>
      <c r="V7244" s="6">
        <v>0.67</v>
      </c>
      <c r="W7244" s="6">
        <v>11.28</v>
      </c>
      <c r="X7244" s="6">
        <v>11.14</v>
      </c>
      <c r="Y7244" s="6">
        <v>11.14</v>
      </c>
      <c r="Z7244" s="5">
        <v>13.3</v>
      </c>
      <c r="AA7244" s="6">
        <v>3.58</v>
      </c>
      <c r="AB7244" s="7">
        <v>14.039</v>
      </c>
      <c r="AC7244" s="2"/>
    </row>
    <row r="7245" spans="1:29" ht="78" x14ac:dyDescent="0.15">
      <c r="A7245" s="3">
        <f>DATE(2004,4,6)</f>
        <v>38083</v>
      </c>
      <c r="B7245" s="3">
        <f>DATE(2004,6,3)</f>
        <v>38141</v>
      </c>
      <c r="C7245" s="2" t="s">
        <v>95</v>
      </c>
      <c r="D7245" s="2" t="s">
        <v>21868</v>
      </c>
      <c r="E7245" s="2" t="s">
        <v>21869</v>
      </c>
      <c r="F7245" s="4">
        <v>7372</v>
      </c>
      <c r="G7245" s="2" t="s">
        <v>551</v>
      </c>
      <c r="H7245" s="2" t="s">
        <v>34</v>
      </c>
      <c r="I7245" s="2" t="s">
        <v>21870</v>
      </c>
      <c r="J7245" s="2" t="s">
        <v>21871</v>
      </c>
      <c r="K7245" s="2" t="s">
        <v>53</v>
      </c>
      <c r="L7245" s="2" t="s">
        <v>34</v>
      </c>
      <c r="M7245" s="8">
        <v>65707.100000000006</v>
      </c>
      <c r="N7245" s="6">
        <v>56.95</v>
      </c>
      <c r="O7245" s="5">
        <v>56.5</v>
      </c>
      <c r="P7245" s="2" t="s">
        <v>21872</v>
      </c>
      <c r="Q7245" s="6">
        <v>100</v>
      </c>
      <c r="R7245" s="6">
        <v>41</v>
      </c>
      <c r="S7245" s="5">
        <v>30</v>
      </c>
      <c r="T7245" s="7">
        <v>52.609000000000002</v>
      </c>
      <c r="U7245" s="5">
        <v>10.6</v>
      </c>
      <c r="V7245" s="6">
        <v>1.51</v>
      </c>
      <c r="W7245" s="6">
        <v>34.94</v>
      </c>
      <c r="X7245" s="6">
        <v>37.630000000000003</v>
      </c>
      <c r="Y7245" s="6">
        <v>40.76</v>
      </c>
      <c r="Z7245" s="6">
        <v>40.83</v>
      </c>
      <c r="AA7245" s="6">
        <v>18.850000000000001</v>
      </c>
      <c r="AB7245" s="7">
        <v>13.56</v>
      </c>
      <c r="AC7245" s="8">
        <v>59728</v>
      </c>
    </row>
    <row r="7246" spans="1:29" ht="52" x14ac:dyDescent="0.15">
      <c r="A7246" s="3">
        <f>DATE(2004,4,7)</f>
        <v>38084</v>
      </c>
      <c r="B7246" s="2"/>
      <c r="C7246" s="2" t="s">
        <v>39</v>
      </c>
      <c r="D7246" s="2" t="s">
        <v>21873</v>
      </c>
      <c r="E7246" s="2" t="s">
        <v>21874</v>
      </c>
      <c r="F7246" s="4">
        <v>6324</v>
      </c>
      <c r="G7246" s="2" t="s">
        <v>125</v>
      </c>
      <c r="H7246" s="2" t="s">
        <v>34</v>
      </c>
      <c r="I7246" s="2" t="s">
        <v>21875</v>
      </c>
      <c r="J7246" s="2" t="s">
        <v>6185</v>
      </c>
      <c r="K7246" s="2" t="s">
        <v>125</v>
      </c>
      <c r="L7246" s="2" t="s">
        <v>34</v>
      </c>
      <c r="M7246" s="12">
        <v>3047.3319999999999</v>
      </c>
      <c r="N7246" s="6">
        <v>36.85</v>
      </c>
      <c r="O7246" s="6">
        <v>37.659999999999997</v>
      </c>
      <c r="P7246" s="2" t="s">
        <v>21876</v>
      </c>
      <c r="Q7246" s="2"/>
      <c r="R7246" s="2"/>
      <c r="S7246" s="5">
        <v>365.6</v>
      </c>
      <c r="T7246" s="7">
        <v>555.79499999999996</v>
      </c>
      <c r="U7246" s="5">
        <v>10.1</v>
      </c>
      <c r="V7246" s="6">
        <v>4.33</v>
      </c>
      <c r="W7246" s="6">
        <v>48.85</v>
      </c>
      <c r="X7246" s="5">
        <v>57.1</v>
      </c>
      <c r="Y7246" s="6">
        <v>57.24</v>
      </c>
      <c r="Z7246" s="5">
        <v>56.7</v>
      </c>
      <c r="AA7246" s="6">
        <v>81.290000000000006</v>
      </c>
      <c r="AB7246" s="2" t="s">
        <v>47</v>
      </c>
      <c r="AC7246" s="5">
        <v>959.2</v>
      </c>
    </row>
    <row r="7247" spans="1:29" ht="130" x14ac:dyDescent="0.15">
      <c r="A7247" s="3">
        <f>DATE(2004,4,7)</f>
        <v>38084</v>
      </c>
      <c r="B7247" s="3">
        <f>DATE(2004,6,25)</f>
        <v>38163</v>
      </c>
      <c r="C7247" s="2" t="s">
        <v>95</v>
      </c>
      <c r="D7247" s="2" t="s">
        <v>18967</v>
      </c>
      <c r="E7247" s="2" t="s">
        <v>612</v>
      </c>
      <c r="F7247" s="4">
        <v>1311</v>
      </c>
      <c r="G7247" s="2" t="s">
        <v>148</v>
      </c>
      <c r="H7247" s="2" t="s">
        <v>34</v>
      </c>
      <c r="I7247" s="2" t="s">
        <v>13030</v>
      </c>
      <c r="J7247" s="2" t="s">
        <v>1435</v>
      </c>
      <c r="K7247" s="2" t="s">
        <v>148</v>
      </c>
      <c r="L7247" s="2" t="s">
        <v>34</v>
      </c>
      <c r="M7247" s="12">
        <v>5208.5659999999998</v>
      </c>
      <c r="N7247" s="6">
        <v>49.41</v>
      </c>
      <c r="O7247" s="6">
        <v>49.94</v>
      </c>
      <c r="P7247" s="2" t="s">
        <v>21877</v>
      </c>
      <c r="Q7247" s="6">
        <v>100</v>
      </c>
      <c r="R7247" s="6">
        <v>36.57</v>
      </c>
      <c r="S7247" s="5">
        <v>94.6</v>
      </c>
      <c r="T7247" s="7">
        <v>517.57500000000005</v>
      </c>
      <c r="U7247" s="5">
        <v>17.399999999999999</v>
      </c>
      <c r="V7247" s="6">
        <v>1.31</v>
      </c>
      <c r="W7247" s="6">
        <v>32.99</v>
      </c>
      <c r="X7247" s="6">
        <v>33.049999999999997</v>
      </c>
      <c r="Y7247" s="5">
        <v>34.200000000000003</v>
      </c>
      <c r="Z7247" s="6">
        <v>34.82</v>
      </c>
      <c r="AA7247" s="6">
        <v>67.72</v>
      </c>
      <c r="AB7247" s="7">
        <v>14.259</v>
      </c>
      <c r="AC7247" s="5">
        <v>143.5</v>
      </c>
    </row>
    <row r="7248" spans="1:29" ht="65" x14ac:dyDescent="0.15">
      <c r="A7248" s="3">
        <f>DATE(2004,4,8)</f>
        <v>38085</v>
      </c>
      <c r="B7248" s="3">
        <f>DATE(2004,6,18)</f>
        <v>38156</v>
      </c>
      <c r="C7248" s="2" t="s">
        <v>95</v>
      </c>
      <c r="D7248" s="2" t="s">
        <v>21878</v>
      </c>
      <c r="E7248" s="2" t="s">
        <v>21879</v>
      </c>
      <c r="F7248" s="4">
        <v>3826</v>
      </c>
      <c r="G7248" s="2" t="s">
        <v>226</v>
      </c>
      <c r="H7248" s="2" t="s">
        <v>34</v>
      </c>
      <c r="I7248" s="2" t="s">
        <v>21880</v>
      </c>
      <c r="J7248" s="2" t="s">
        <v>9379</v>
      </c>
      <c r="K7248" s="2" t="s">
        <v>223</v>
      </c>
      <c r="L7248" s="2" t="s">
        <v>34</v>
      </c>
      <c r="M7248" s="7">
        <v>632.78599999999994</v>
      </c>
      <c r="N7248" s="6">
        <v>18.850000000000001</v>
      </c>
      <c r="O7248" s="6">
        <v>18.850000000000001</v>
      </c>
      <c r="P7248" s="2" t="s">
        <v>21881</v>
      </c>
      <c r="Q7248" s="6">
        <v>100</v>
      </c>
      <c r="R7248" s="6">
        <v>16</v>
      </c>
      <c r="S7248" s="5">
        <v>3</v>
      </c>
      <c r="T7248" s="7">
        <v>6.8319999999999999</v>
      </c>
      <c r="U7248" s="5">
        <v>8.3000000000000007</v>
      </c>
      <c r="V7248" s="6">
        <v>0.51</v>
      </c>
      <c r="W7248" s="6">
        <v>11.99</v>
      </c>
      <c r="X7248" s="5">
        <v>12.1</v>
      </c>
      <c r="Y7248" s="6">
        <v>15.87</v>
      </c>
      <c r="Z7248" s="6">
        <v>15.87</v>
      </c>
      <c r="AA7248" s="6">
        <v>5.74</v>
      </c>
      <c r="AB7248" s="7">
        <v>21.535</v>
      </c>
      <c r="AC7248" s="5">
        <v>24</v>
      </c>
    </row>
    <row r="7249" spans="1:29" ht="91" x14ac:dyDescent="0.15">
      <c r="A7249" s="3">
        <f>DATE(2004,4,8)</f>
        <v>38085</v>
      </c>
      <c r="B7249" s="3">
        <f>DATE(2004,8,1)</f>
        <v>38200</v>
      </c>
      <c r="C7249" s="2" t="s">
        <v>95</v>
      </c>
      <c r="D7249" s="2" t="s">
        <v>11131</v>
      </c>
      <c r="E7249" s="2" t="s">
        <v>203</v>
      </c>
      <c r="F7249" s="4">
        <v>6035</v>
      </c>
      <c r="G7249" s="2" t="s">
        <v>33</v>
      </c>
      <c r="H7249" s="2" t="s">
        <v>34</v>
      </c>
      <c r="I7249" s="2" t="s">
        <v>21882</v>
      </c>
      <c r="J7249" s="2" t="s">
        <v>1181</v>
      </c>
      <c r="K7249" s="2" t="s">
        <v>37</v>
      </c>
      <c r="L7249" s="2" t="s">
        <v>34</v>
      </c>
      <c r="M7249" s="2"/>
      <c r="N7249" s="2"/>
      <c r="O7249" s="2"/>
      <c r="P7249" s="2" t="s">
        <v>21883</v>
      </c>
      <c r="Q7249" s="6">
        <v>90.64</v>
      </c>
      <c r="R7249" s="6">
        <v>22.75</v>
      </c>
      <c r="S7249" s="5">
        <v>0.4</v>
      </c>
      <c r="T7249" s="2"/>
      <c r="U7249" s="5">
        <v>11.8</v>
      </c>
      <c r="V7249" s="6">
        <v>0.33</v>
      </c>
      <c r="W7249" s="6">
        <v>19.77</v>
      </c>
      <c r="X7249" s="5">
        <v>19.399999999999999</v>
      </c>
      <c r="Y7249" s="5">
        <v>19.600000000000001</v>
      </c>
      <c r="Z7249" s="5">
        <v>19.600000000000001</v>
      </c>
      <c r="AA7249" s="6">
        <v>1.1399999999999999</v>
      </c>
      <c r="AB7249" s="7">
        <v>78.483999999999995</v>
      </c>
      <c r="AC7249" s="2"/>
    </row>
    <row r="7250" spans="1:29" ht="117" x14ac:dyDescent="0.15">
      <c r="A7250" s="3">
        <f>DATE(2004,4,9)</f>
        <v>38086</v>
      </c>
      <c r="B7250" s="3">
        <f>DATE(2004,6,29)</f>
        <v>38167</v>
      </c>
      <c r="C7250" s="2" t="s">
        <v>95</v>
      </c>
      <c r="D7250" s="2" t="s">
        <v>21884</v>
      </c>
      <c r="E7250" s="2" t="s">
        <v>21885</v>
      </c>
      <c r="F7250" s="4">
        <v>5812</v>
      </c>
      <c r="G7250" s="2" t="s">
        <v>230</v>
      </c>
      <c r="H7250" s="2" t="s">
        <v>34</v>
      </c>
      <c r="I7250" s="2" t="s">
        <v>51</v>
      </c>
      <c r="J7250" s="2" t="s">
        <v>52</v>
      </c>
      <c r="K7250" s="2" t="s">
        <v>53</v>
      </c>
      <c r="L7250" s="2" t="s">
        <v>34</v>
      </c>
      <c r="M7250" s="2"/>
      <c r="N7250" s="2"/>
      <c r="O7250" s="2"/>
      <c r="P7250" s="2" t="s">
        <v>21886</v>
      </c>
      <c r="Q7250" s="6">
        <v>100</v>
      </c>
      <c r="R7250" s="2"/>
      <c r="S7250" s="5">
        <v>-9</v>
      </c>
      <c r="T7250" s="7">
        <v>2.149</v>
      </c>
      <c r="U7250" s="5">
        <v>0.8</v>
      </c>
      <c r="V7250" s="6">
        <v>-1.22</v>
      </c>
      <c r="W7250" s="6">
        <v>3.88</v>
      </c>
      <c r="X7250" s="6">
        <v>3.88</v>
      </c>
      <c r="Y7250" s="6">
        <v>3.88</v>
      </c>
      <c r="Z7250" s="6">
        <v>3.88</v>
      </c>
      <c r="AA7250" s="6">
        <v>7.37</v>
      </c>
      <c r="AB7250" s="7">
        <v>4.8440000000000003</v>
      </c>
      <c r="AC7250" s="2"/>
    </row>
    <row r="7251" spans="1:29" ht="104" x14ac:dyDescent="0.15">
      <c r="A7251" s="3">
        <f>DATE(2004,4,12)</f>
        <v>38089</v>
      </c>
      <c r="B7251" s="3">
        <f>DATE(2004,4,12)</f>
        <v>38089</v>
      </c>
      <c r="C7251" s="2" t="s">
        <v>95</v>
      </c>
      <c r="D7251" s="2" t="s">
        <v>21887</v>
      </c>
      <c r="E7251" s="2" t="s">
        <v>21888</v>
      </c>
      <c r="F7251" s="4">
        <v>7948</v>
      </c>
      <c r="G7251" s="2" t="s">
        <v>364</v>
      </c>
      <c r="H7251" s="2" t="s">
        <v>34</v>
      </c>
      <c r="I7251" s="2" t="s">
        <v>21889</v>
      </c>
      <c r="J7251" s="2" t="s">
        <v>1900</v>
      </c>
      <c r="K7251" s="2" t="s">
        <v>364</v>
      </c>
      <c r="L7251" s="2" t="s">
        <v>34</v>
      </c>
      <c r="M7251" s="2"/>
      <c r="N7251" s="2"/>
      <c r="O7251" s="2"/>
      <c r="P7251" s="2" t="s">
        <v>21890</v>
      </c>
      <c r="Q7251" s="6">
        <v>52.6</v>
      </c>
      <c r="R7251" s="2"/>
      <c r="S7251" s="2"/>
      <c r="T7251" s="2"/>
      <c r="U7251" s="2"/>
      <c r="V7251" s="2"/>
      <c r="W7251" s="5">
        <v>8.5</v>
      </c>
      <c r="X7251" s="5">
        <v>8.5</v>
      </c>
      <c r="Y7251" s="5">
        <v>8.5</v>
      </c>
      <c r="Z7251" s="5">
        <v>8.5</v>
      </c>
      <c r="AA7251" s="6">
        <v>0.89</v>
      </c>
      <c r="AB7251" s="2" t="s">
        <v>47</v>
      </c>
      <c r="AC7251" s="2"/>
    </row>
    <row r="7252" spans="1:29" ht="117" x14ac:dyDescent="0.15">
      <c r="A7252" s="3">
        <f>DATE(2004,4,12)</f>
        <v>38089</v>
      </c>
      <c r="B7252" s="3">
        <f>DATE(2004,7,28)</f>
        <v>38196</v>
      </c>
      <c r="C7252" s="2" t="s">
        <v>95</v>
      </c>
      <c r="D7252" s="2" t="s">
        <v>21891</v>
      </c>
      <c r="E7252" s="2" t="s">
        <v>21892</v>
      </c>
      <c r="F7252" s="4">
        <v>5199</v>
      </c>
      <c r="G7252" s="2" t="s">
        <v>593</v>
      </c>
      <c r="H7252" s="2" t="s">
        <v>34</v>
      </c>
      <c r="I7252" s="2" t="s">
        <v>21893</v>
      </c>
      <c r="J7252" s="2" t="s">
        <v>1032</v>
      </c>
      <c r="K7252" s="2" t="s">
        <v>53</v>
      </c>
      <c r="L7252" s="2" t="s">
        <v>34</v>
      </c>
      <c r="M7252" s="2"/>
      <c r="N7252" s="2"/>
      <c r="O7252" s="2"/>
      <c r="P7252" s="2" t="s">
        <v>21894</v>
      </c>
      <c r="Q7252" s="6">
        <v>100</v>
      </c>
      <c r="R7252" s="2"/>
      <c r="S7252" s="5">
        <v>-14</v>
      </c>
      <c r="T7252" s="7">
        <v>-9.5050000000000008</v>
      </c>
      <c r="U7252" s="5">
        <v>4.4000000000000004</v>
      </c>
      <c r="V7252" s="6">
        <v>-3.67</v>
      </c>
      <c r="W7252" s="5">
        <v>3.9</v>
      </c>
      <c r="X7252" s="6">
        <v>4.03</v>
      </c>
      <c r="Y7252" s="6">
        <v>5.93</v>
      </c>
      <c r="Z7252" s="6">
        <v>5.91</v>
      </c>
      <c r="AA7252" s="6">
        <v>3.75</v>
      </c>
      <c r="AB7252" s="2" t="s">
        <v>86</v>
      </c>
      <c r="AC7252" s="2"/>
    </row>
    <row r="7253" spans="1:29" ht="208" x14ac:dyDescent="0.15">
      <c r="A7253" s="3">
        <f>DATE(2004,4,13)</f>
        <v>38090</v>
      </c>
      <c r="B7253" s="3">
        <f>DATE(2004,10,5)</f>
        <v>38265</v>
      </c>
      <c r="C7253" s="2" t="s">
        <v>95</v>
      </c>
      <c r="D7253" s="2" t="s">
        <v>21895</v>
      </c>
      <c r="E7253" s="2" t="s">
        <v>263</v>
      </c>
      <c r="F7253" s="4">
        <v>6035</v>
      </c>
      <c r="G7253" s="2" t="s">
        <v>33</v>
      </c>
      <c r="H7253" s="2" t="s">
        <v>34</v>
      </c>
      <c r="I7253" s="2" t="s">
        <v>21896</v>
      </c>
      <c r="J7253" s="2" t="s">
        <v>36</v>
      </c>
      <c r="K7253" s="2" t="s">
        <v>37</v>
      </c>
      <c r="L7253" s="2" t="s">
        <v>34</v>
      </c>
      <c r="M7253" s="7">
        <v>36.762999999999998</v>
      </c>
      <c r="N7253" s="4">
        <v>24</v>
      </c>
      <c r="O7253" s="6">
        <v>22.89</v>
      </c>
      <c r="P7253" s="2" t="s">
        <v>21897</v>
      </c>
      <c r="Q7253" s="6">
        <v>100</v>
      </c>
      <c r="R7253" s="6">
        <v>42.75</v>
      </c>
      <c r="S7253" s="5">
        <v>3.1</v>
      </c>
      <c r="T7253" s="7">
        <v>3.577</v>
      </c>
      <c r="U7253" s="5">
        <v>27.6</v>
      </c>
      <c r="V7253" s="6">
        <v>2.93</v>
      </c>
      <c r="W7253" s="6">
        <v>37.68</v>
      </c>
      <c r="X7253" s="5">
        <v>38.5</v>
      </c>
      <c r="Y7253" s="6">
        <v>39.549999999999997</v>
      </c>
      <c r="Z7253" s="6">
        <v>39.35</v>
      </c>
      <c r="AA7253" s="6">
        <v>1.1299999999999999</v>
      </c>
      <c r="AB7253" s="7">
        <v>67.837999999999994</v>
      </c>
      <c r="AC7253" s="2"/>
    </row>
    <row r="7254" spans="1:29" ht="65" x14ac:dyDescent="0.15">
      <c r="A7254" s="3">
        <f>DATE(2004,4,13)</f>
        <v>38090</v>
      </c>
      <c r="B7254" s="3">
        <f>DATE(2004,7,20)</f>
        <v>38188</v>
      </c>
      <c r="C7254" s="2" t="s">
        <v>95</v>
      </c>
      <c r="D7254" s="2" t="s">
        <v>12016</v>
      </c>
      <c r="E7254" s="2" t="s">
        <v>849</v>
      </c>
      <c r="F7254" s="4">
        <v>7372</v>
      </c>
      <c r="G7254" s="2" t="s">
        <v>551</v>
      </c>
      <c r="H7254" s="2" t="s">
        <v>34</v>
      </c>
      <c r="I7254" s="2" t="s">
        <v>3712</v>
      </c>
      <c r="J7254" s="2" t="s">
        <v>3713</v>
      </c>
      <c r="K7254" s="2" t="s">
        <v>50</v>
      </c>
      <c r="L7254" s="2" t="s">
        <v>34</v>
      </c>
      <c r="M7254" s="12">
        <v>9713.0329999999994</v>
      </c>
      <c r="N7254" s="6">
        <v>42.87</v>
      </c>
      <c r="O7254" s="6">
        <v>42.55</v>
      </c>
      <c r="P7254" s="2" t="s">
        <v>21898</v>
      </c>
      <c r="Q7254" s="6">
        <v>100</v>
      </c>
      <c r="R7254" s="6">
        <v>23</v>
      </c>
      <c r="S7254" s="5">
        <v>9.5</v>
      </c>
      <c r="T7254" s="7">
        <v>25.417000000000002</v>
      </c>
      <c r="U7254" s="5">
        <v>6.5</v>
      </c>
      <c r="V7254" s="6">
        <v>0.6</v>
      </c>
      <c r="W7254" s="6">
        <v>17.28</v>
      </c>
      <c r="X7254" s="6">
        <v>16.489999999999998</v>
      </c>
      <c r="Y7254" s="6">
        <v>22.68</v>
      </c>
      <c r="Z7254" s="6">
        <v>22.68</v>
      </c>
      <c r="AA7254" s="6">
        <v>15.18</v>
      </c>
      <c r="AB7254" s="7">
        <v>24.577000000000002</v>
      </c>
      <c r="AC7254" s="6">
        <v>300.89</v>
      </c>
    </row>
    <row r="7255" spans="1:29" ht="130" x14ac:dyDescent="0.15">
      <c r="A7255" s="3">
        <f>DATE(2004,4,14)</f>
        <v>38091</v>
      </c>
      <c r="B7255" s="2"/>
      <c r="C7255" s="2" t="s">
        <v>30</v>
      </c>
      <c r="D7255" s="2" t="s">
        <v>21707</v>
      </c>
      <c r="E7255" s="2" t="s">
        <v>21708</v>
      </c>
      <c r="F7255" s="4">
        <v>3448</v>
      </c>
      <c r="G7255" s="2" t="s">
        <v>163</v>
      </c>
      <c r="H7255" s="2" t="s">
        <v>34</v>
      </c>
      <c r="I7255" s="2" t="s">
        <v>8657</v>
      </c>
      <c r="J7255" s="2" t="s">
        <v>21899</v>
      </c>
      <c r="K7255" s="2" t="s">
        <v>163</v>
      </c>
      <c r="L7255" s="2" t="s">
        <v>34</v>
      </c>
      <c r="M7255" s="2"/>
      <c r="N7255" s="2"/>
      <c r="O7255" s="2"/>
      <c r="P7255" s="2" t="s">
        <v>21900</v>
      </c>
      <c r="Q7255" s="2"/>
      <c r="R7255" s="6">
        <v>24.5</v>
      </c>
      <c r="S7255" s="5">
        <v>-7.4</v>
      </c>
      <c r="T7255" s="7">
        <v>12.898</v>
      </c>
      <c r="U7255" s="5">
        <v>17.7</v>
      </c>
      <c r="V7255" s="6">
        <v>-1.17</v>
      </c>
      <c r="W7255" s="5">
        <v>22.6</v>
      </c>
      <c r="X7255" s="5">
        <v>22.1</v>
      </c>
      <c r="Y7255" s="5">
        <v>22.1</v>
      </c>
      <c r="Z7255" s="5">
        <v>22.1</v>
      </c>
      <c r="AA7255" s="6">
        <v>6.34</v>
      </c>
      <c r="AB7255" s="2" t="s">
        <v>86</v>
      </c>
      <c r="AC7255" s="2"/>
    </row>
    <row r="7256" spans="1:29" ht="130" x14ac:dyDescent="0.15">
      <c r="A7256" s="3">
        <f>DATE(2004,4,15)</f>
        <v>38092</v>
      </c>
      <c r="B7256" s="3">
        <f>DATE(2004,5,21)</f>
        <v>38128</v>
      </c>
      <c r="C7256" s="2" t="s">
        <v>95</v>
      </c>
      <c r="D7256" s="2" t="s">
        <v>21901</v>
      </c>
      <c r="E7256" s="2" t="s">
        <v>612</v>
      </c>
      <c r="F7256" s="4">
        <v>1311</v>
      </c>
      <c r="G7256" s="2" t="s">
        <v>148</v>
      </c>
      <c r="H7256" s="2" t="s">
        <v>34</v>
      </c>
      <c r="I7256" s="2" t="s">
        <v>21902</v>
      </c>
      <c r="J7256" s="2" t="s">
        <v>21903</v>
      </c>
      <c r="K7256" s="2" t="s">
        <v>148</v>
      </c>
      <c r="L7256" s="2" t="s">
        <v>902</v>
      </c>
      <c r="M7256" s="12">
        <v>9685.3870000000006</v>
      </c>
      <c r="N7256" s="7">
        <v>43.451000000000001</v>
      </c>
      <c r="O7256" s="7">
        <v>42.832000000000001</v>
      </c>
      <c r="P7256" s="2" t="s">
        <v>21904</v>
      </c>
      <c r="Q7256" s="6">
        <v>100</v>
      </c>
      <c r="R7256" s="6">
        <v>48</v>
      </c>
      <c r="S7256" s="5">
        <v>105</v>
      </c>
      <c r="T7256" s="7">
        <v>327.33800000000002</v>
      </c>
      <c r="U7256" s="5">
        <v>18.5</v>
      </c>
      <c r="V7256" s="6">
        <v>2.34</v>
      </c>
      <c r="W7256" s="4">
        <v>39</v>
      </c>
      <c r="X7256" s="6">
        <v>38.770000000000003</v>
      </c>
      <c r="Y7256" s="6">
        <v>47.72</v>
      </c>
      <c r="Z7256" s="6">
        <v>47.72</v>
      </c>
      <c r="AA7256" s="6">
        <v>45.96</v>
      </c>
      <c r="AB7256" s="7">
        <v>13.409000000000001</v>
      </c>
      <c r="AC7256" s="6">
        <v>247.75</v>
      </c>
    </row>
    <row r="7257" spans="1:29" ht="130" x14ac:dyDescent="0.15">
      <c r="A7257" s="3">
        <f>DATE(2004,4,15)</f>
        <v>38092</v>
      </c>
      <c r="B7257" s="2"/>
      <c r="C7257" s="2" t="s">
        <v>30</v>
      </c>
      <c r="D7257" s="2" t="s">
        <v>21285</v>
      </c>
      <c r="E7257" s="2" t="s">
        <v>21286</v>
      </c>
      <c r="F7257" s="4">
        <v>3851</v>
      </c>
      <c r="G7257" s="2" t="s">
        <v>226</v>
      </c>
      <c r="H7257" s="2" t="s">
        <v>34</v>
      </c>
      <c r="I7257" s="2" t="s">
        <v>21905</v>
      </c>
      <c r="J7257" s="2" t="s">
        <v>21906</v>
      </c>
      <c r="K7257" s="2" t="s">
        <v>226</v>
      </c>
      <c r="L7257" s="2" t="s">
        <v>1086</v>
      </c>
      <c r="M7257" s="7">
        <v>345.94600000000003</v>
      </c>
      <c r="N7257" s="7">
        <v>0.69299999999999995</v>
      </c>
      <c r="O7257" s="7">
        <v>0.69299999999999995</v>
      </c>
      <c r="P7257" s="2" t="s">
        <v>21907</v>
      </c>
      <c r="Q7257" s="2"/>
      <c r="R7257" s="6">
        <v>25</v>
      </c>
      <c r="S7257" s="5">
        <v>-10.7</v>
      </c>
      <c r="T7257" s="7">
        <v>72.588999999999999</v>
      </c>
      <c r="U7257" s="5">
        <v>5.7</v>
      </c>
      <c r="V7257" s="6">
        <v>-0.65</v>
      </c>
      <c r="W7257" s="6">
        <v>12.34</v>
      </c>
      <c r="X7257" s="6">
        <v>12.39</v>
      </c>
      <c r="Y7257" s="6">
        <v>20.69</v>
      </c>
      <c r="Z7257" s="5">
        <v>21.1</v>
      </c>
      <c r="AA7257" s="6">
        <v>16.72</v>
      </c>
      <c r="AB7257" s="7">
        <v>20.786999999999999</v>
      </c>
      <c r="AC7257" s="6">
        <v>114.96</v>
      </c>
    </row>
    <row r="7258" spans="1:29" ht="156" x14ac:dyDescent="0.15">
      <c r="A7258" s="3">
        <f>DATE(2004,4,16)</f>
        <v>38093</v>
      </c>
      <c r="B7258" s="3">
        <f>DATE(2004,7,16)</f>
        <v>38184</v>
      </c>
      <c r="C7258" s="2" t="s">
        <v>95</v>
      </c>
      <c r="D7258" s="2" t="s">
        <v>20840</v>
      </c>
      <c r="E7258" s="2" t="s">
        <v>92</v>
      </c>
      <c r="F7258" s="4">
        <v>6798</v>
      </c>
      <c r="G7258" s="2" t="s">
        <v>53</v>
      </c>
      <c r="H7258" s="2" t="s">
        <v>34</v>
      </c>
      <c r="I7258" s="2" t="s">
        <v>21908</v>
      </c>
      <c r="J7258" s="2" t="s">
        <v>92</v>
      </c>
      <c r="K7258" s="2" t="s">
        <v>53</v>
      </c>
      <c r="L7258" s="2" t="s">
        <v>34</v>
      </c>
      <c r="M7258" s="12">
        <v>2001.423</v>
      </c>
      <c r="N7258" s="6">
        <v>10.06</v>
      </c>
      <c r="O7258" s="6">
        <v>10.09</v>
      </c>
      <c r="P7258" s="2" t="s">
        <v>21909</v>
      </c>
      <c r="Q7258" s="6">
        <v>100</v>
      </c>
      <c r="R7258" s="6">
        <v>136.69999999999999</v>
      </c>
      <c r="S7258" s="5">
        <v>2.8</v>
      </c>
      <c r="T7258" s="7">
        <v>27.707000000000001</v>
      </c>
      <c r="U7258" s="5">
        <v>42.8</v>
      </c>
      <c r="V7258" s="6">
        <v>1.68</v>
      </c>
      <c r="W7258" s="6">
        <v>84.95</v>
      </c>
      <c r="X7258" s="5">
        <v>86.5</v>
      </c>
      <c r="Y7258" s="5">
        <v>96.5</v>
      </c>
      <c r="Z7258" s="4">
        <v>98</v>
      </c>
      <c r="AA7258" s="6">
        <v>1.59</v>
      </c>
      <c r="AB7258" s="7">
        <v>31.594000000000001</v>
      </c>
      <c r="AC7258" s="6">
        <v>28.16</v>
      </c>
    </row>
    <row r="7259" spans="1:29" ht="91" x14ac:dyDescent="0.15">
      <c r="A7259" s="3">
        <f>DATE(2004,4,16)</f>
        <v>38093</v>
      </c>
      <c r="B7259" s="3">
        <f>DATE(2004,10,1)</f>
        <v>38261</v>
      </c>
      <c r="C7259" s="2" t="s">
        <v>95</v>
      </c>
      <c r="D7259" s="2" t="s">
        <v>21910</v>
      </c>
      <c r="E7259" s="2" t="s">
        <v>265</v>
      </c>
      <c r="F7259" s="4">
        <v>6021</v>
      </c>
      <c r="G7259" s="2" t="s">
        <v>37</v>
      </c>
      <c r="H7259" s="2" t="s">
        <v>34</v>
      </c>
      <c r="I7259" s="2" t="s">
        <v>21911</v>
      </c>
      <c r="J7259" s="2" t="s">
        <v>672</v>
      </c>
      <c r="K7259" s="2" t="s">
        <v>37</v>
      </c>
      <c r="L7259" s="2" t="s">
        <v>34</v>
      </c>
      <c r="M7259" s="7">
        <v>88.561999999999998</v>
      </c>
      <c r="N7259" s="6">
        <v>26.35</v>
      </c>
      <c r="O7259" s="6">
        <v>25.15</v>
      </c>
      <c r="P7259" s="2" t="s">
        <v>21912</v>
      </c>
      <c r="Q7259" s="6">
        <v>100</v>
      </c>
      <c r="R7259" s="6">
        <v>15.56</v>
      </c>
      <c r="S7259" s="5">
        <v>0.5</v>
      </c>
      <c r="T7259" s="2"/>
      <c r="U7259" s="5">
        <v>5.5</v>
      </c>
      <c r="V7259" s="6">
        <v>-0.03</v>
      </c>
      <c r="W7259" s="4">
        <v>14</v>
      </c>
      <c r="X7259" s="6">
        <v>13.75</v>
      </c>
      <c r="Y7259" s="6">
        <v>13.75</v>
      </c>
      <c r="Z7259" s="5">
        <v>14.3</v>
      </c>
      <c r="AA7259" s="6">
        <v>2.09</v>
      </c>
      <c r="AB7259" s="7">
        <v>60.164999999999999</v>
      </c>
      <c r="AC7259" s="2"/>
    </row>
    <row r="7260" spans="1:29" ht="169" x14ac:dyDescent="0.15">
      <c r="A7260" s="3">
        <f>DATE(2004,4,20)</f>
        <v>38097</v>
      </c>
      <c r="B7260" s="3">
        <f>DATE(2004,8,20)</f>
        <v>38219</v>
      </c>
      <c r="C7260" s="2" t="s">
        <v>95</v>
      </c>
      <c r="D7260" s="2" t="s">
        <v>21913</v>
      </c>
      <c r="E7260" s="2" t="s">
        <v>4615</v>
      </c>
      <c r="F7260" s="4">
        <v>4899</v>
      </c>
      <c r="G7260" s="2" t="s">
        <v>63</v>
      </c>
      <c r="H7260" s="2" t="s">
        <v>34</v>
      </c>
      <c r="I7260" s="2" t="s">
        <v>51</v>
      </c>
      <c r="J7260" s="2" t="s">
        <v>52</v>
      </c>
      <c r="K7260" s="2" t="s">
        <v>53</v>
      </c>
      <c r="L7260" s="2" t="s">
        <v>34</v>
      </c>
      <c r="M7260" s="2"/>
      <c r="N7260" s="2"/>
      <c r="O7260" s="2"/>
      <c r="P7260" s="2" t="s">
        <v>21914</v>
      </c>
      <c r="Q7260" s="6">
        <v>100</v>
      </c>
      <c r="R7260" s="6">
        <v>23.5</v>
      </c>
      <c r="S7260" s="5">
        <v>36.700000000000003</v>
      </c>
      <c r="T7260" s="7">
        <v>591.90499999999997</v>
      </c>
      <c r="U7260" s="5">
        <v>21</v>
      </c>
      <c r="V7260" s="6">
        <v>0.25</v>
      </c>
      <c r="W7260" s="6">
        <v>22.74</v>
      </c>
      <c r="X7260" s="6">
        <v>22.11</v>
      </c>
      <c r="Y7260" s="6">
        <v>22.38</v>
      </c>
      <c r="Z7260" s="5">
        <v>23.6</v>
      </c>
      <c r="AA7260" s="6">
        <v>150.1</v>
      </c>
      <c r="AB7260" s="7">
        <v>16.709</v>
      </c>
      <c r="AC7260" s="2"/>
    </row>
    <row r="7261" spans="1:29" ht="169" x14ac:dyDescent="0.15">
      <c r="A7261" s="3">
        <f>DATE(2004,4,20)</f>
        <v>38097</v>
      </c>
      <c r="B7261" s="3">
        <f>DATE(2004,10,1)</f>
        <v>38261</v>
      </c>
      <c r="C7261" s="2" t="s">
        <v>95</v>
      </c>
      <c r="D7261" s="2" t="s">
        <v>20536</v>
      </c>
      <c r="E7261" s="2" t="s">
        <v>2898</v>
      </c>
      <c r="F7261" s="4">
        <v>6022</v>
      </c>
      <c r="G7261" s="2" t="s">
        <v>37</v>
      </c>
      <c r="H7261" s="2" t="s">
        <v>34</v>
      </c>
      <c r="I7261" s="2" t="s">
        <v>4142</v>
      </c>
      <c r="J7261" s="2" t="s">
        <v>3246</v>
      </c>
      <c r="K7261" s="2" t="s">
        <v>37</v>
      </c>
      <c r="L7261" s="2" t="s">
        <v>34</v>
      </c>
      <c r="M7261" s="7">
        <v>296.42500000000001</v>
      </c>
      <c r="N7261" s="5">
        <v>35.4</v>
      </c>
      <c r="O7261" s="6">
        <v>33.520000000000003</v>
      </c>
      <c r="P7261" s="2" t="s">
        <v>21915</v>
      </c>
      <c r="Q7261" s="6">
        <v>100</v>
      </c>
      <c r="R7261" s="6">
        <v>23.81</v>
      </c>
      <c r="S7261" s="5">
        <v>6</v>
      </c>
      <c r="T7261" s="7">
        <v>8.5310000000000006</v>
      </c>
      <c r="U7261" s="5">
        <v>11.7</v>
      </c>
      <c r="V7261" s="6">
        <v>0.81</v>
      </c>
      <c r="W7261" s="6">
        <v>19.68</v>
      </c>
      <c r="X7261" s="5">
        <v>19.100000000000001</v>
      </c>
      <c r="Y7261" s="6">
        <v>18.86</v>
      </c>
      <c r="Z7261" s="6">
        <v>22.13</v>
      </c>
      <c r="AA7261" s="6">
        <v>7.32</v>
      </c>
      <c r="AB7261" s="7">
        <v>168.23599999999999</v>
      </c>
      <c r="AC7261" s="2"/>
    </row>
    <row r="7262" spans="1:29" ht="117" x14ac:dyDescent="0.15">
      <c r="A7262" s="3">
        <f>DATE(2004,4,22)</f>
        <v>38099</v>
      </c>
      <c r="B7262" s="3">
        <f>DATE(2004,7,1)</f>
        <v>38169</v>
      </c>
      <c r="C7262" s="2" t="s">
        <v>95</v>
      </c>
      <c r="D7262" s="2" t="s">
        <v>20704</v>
      </c>
      <c r="E7262" s="2" t="s">
        <v>7926</v>
      </c>
      <c r="F7262" s="4">
        <v>3661</v>
      </c>
      <c r="G7262" s="2" t="s">
        <v>921</v>
      </c>
      <c r="H7262" s="2" t="s">
        <v>34</v>
      </c>
      <c r="I7262" s="2" t="s">
        <v>15545</v>
      </c>
      <c r="J7262" s="2" t="s">
        <v>21916</v>
      </c>
      <c r="K7262" s="2" t="s">
        <v>921</v>
      </c>
      <c r="L7262" s="2" t="s">
        <v>34</v>
      </c>
      <c r="M7262" s="7">
        <v>269.16899999999998</v>
      </c>
      <c r="N7262" s="6">
        <v>3.89</v>
      </c>
      <c r="O7262" s="6">
        <v>3.59</v>
      </c>
      <c r="P7262" s="2" t="s">
        <v>21917</v>
      </c>
      <c r="Q7262" s="6">
        <v>100</v>
      </c>
      <c r="R7262" s="6">
        <v>3.46</v>
      </c>
      <c r="S7262" s="5">
        <v>-6</v>
      </c>
      <c r="T7262" s="7">
        <v>-13.454000000000001</v>
      </c>
      <c r="U7262" s="5">
        <v>1</v>
      </c>
      <c r="V7262" s="6">
        <v>12.94</v>
      </c>
      <c r="W7262" s="4">
        <v>3</v>
      </c>
      <c r="X7262" s="6">
        <v>2.73</v>
      </c>
      <c r="Y7262" s="6">
        <v>2.67</v>
      </c>
      <c r="Z7262" s="6">
        <v>2.93</v>
      </c>
      <c r="AA7262" s="6">
        <v>10.48</v>
      </c>
      <c r="AB7262" s="2" t="s">
        <v>86</v>
      </c>
      <c r="AC7262" s="6">
        <v>89.98</v>
      </c>
    </row>
    <row r="7263" spans="1:29" ht="104" x14ac:dyDescent="0.15">
      <c r="A7263" s="3">
        <f>DATE(2004,4,23)</f>
        <v>38100</v>
      </c>
      <c r="B7263" s="3">
        <f>DATE(2004,10,13)</f>
        <v>38273</v>
      </c>
      <c r="C7263" s="2" t="s">
        <v>95</v>
      </c>
      <c r="D7263" s="2" t="s">
        <v>21918</v>
      </c>
      <c r="E7263" s="2" t="s">
        <v>21919</v>
      </c>
      <c r="F7263" s="4">
        <v>5621</v>
      </c>
      <c r="G7263" s="2" t="s">
        <v>756</v>
      </c>
      <c r="H7263" s="2" t="s">
        <v>34</v>
      </c>
      <c r="I7263" s="2" t="s">
        <v>21920</v>
      </c>
      <c r="J7263" s="2" t="s">
        <v>302</v>
      </c>
      <c r="K7263" s="2" t="s">
        <v>53</v>
      </c>
      <c r="L7263" s="2" t="s">
        <v>34</v>
      </c>
      <c r="M7263" s="2"/>
      <c r="N7263" s="2"/>
      <c r="O7263" s="2"/>
      <c r="P7263" s="2" t="s">
        <v>21921</v>
      </c>
      <c r="Q7263" s="6">
        <v>100</v>
      </c>
      <c r="R7263" s="6">
        <v>23</v>
      </c>
      <c r="S7263" s="5">
        <v>7.9</v>
      </c>
      <c r="T7263" s="7">
        <v>25.155999999999999</v>
      </c>
      <c r="U7263" s="5">
        <v>12</v>
      </c>
      <c r="V7263" s="6">
        <v>1.05</v>
      </c>
      <c r="W7263" s="6">
        <v>20.97</v>
      </c>
      <c r="X7263" s="6">
        <v>21.75</v>
      </c>
      <c r="Y7263" s="6">
        <v>22.78</v>
      </c>
      <c r="Z7263" s="6">
        <v>22.78</v>
      </c>
      <c r="AA7263" s="6">
        <v>6.73</v>
      </c>
      <c r="AB7263" s="7">
        <v>11.037000000000001</v>
      </c>
      <c r="AC7263" s="2"/>
    </row>
    <row r="7264" spans="1:29" ht="130" x14ac:dyDescent="0.15">
      <c r="A7264" s="3">
        <f>DATE(2004,4,26)</f>
        <v>38103</v>
      </c>
      <c r="B7264" s="3">
        <f>DATE(2004,7,29)</f>
        <v>38197</v>
      </c>
      <c r="C7264" s="2" t="s">
        <v>95</v>
      </c>
      <c r="D7264" s="2" t="s">
        <v>21873</v>
      </c>
      <c r="E7264" s="2" t="s">
        <v>21874</v>
      </c>
      <c r="F7264" s="4">
        <v>6324</v>
      </c>
      <c r="G7264" s="2" t="s">
        <v>125</v>
      </c>
      <c r="H7264" s="2" t="s">
        <v>34</v>
      </c>
      <c r="I7264" s="2" t="s">
        <v>21349</v>
      </c>
      <c r="J7264" s="2" t="s">
        <v>21350</v>
      </c>
      <c r="K7264" s="2" t="s">
        <v>125</v>
      </c>
      <c r="L7264" s="2" t="s">
        <v>34</v>
      </c>
      <c r="M7264" s="12">
        <v>39271.741000000002</v>
      </c>
      <c r="N7264" s="5">
        <v>63.9</v>
      </c>
      <c r="O7264" s="6">
        <v>64.52</v>
      </c>
      <c r="P7264" s="2" t="s">
        <v>21922</v>
      </c>
      <c r="Q7264" s="6">
        <v>100</v>
      </c>
      <c r="R7264" s="6">
        <v>58.11</v>
      </c>
      <c r="S7264" s="5">
        <v>365.6</v>
      </c>
      <c r="T7264" s="7">
        <v>555.79499999999996</v>
      </c>
      <c r="U7264" s="5">
        <v>10.1</v>
      </c>
      <c r="V7264" s="6">
        <v>4.33</v>
      </c>
      <c r="W7264" s="6">
        <v>52.84</v>
      </c>
      <c r="X7264" s="6">
        <v>50.89</v>
      </c>
      <c r="Y7264" s="6">
        <v>54.94</v>
      </c>
      <c r="Z7264" s="6">
        <v>56.25</v>
      </c>
      <c r="AA7264" s="6">
        <v>81.290000000000006</v>
      </c>
      <c r="AB7264" s="7">
        <v>6.4160000000000004</v>
      </c>
      <c r="AC7264" s="8">
        <v>2714</v>
      </c>
    </row>
    <row r="7265" spans="1:29" ht="52" x14ac:dyDescent="0.15">
      <c r="A7265" s="3">
        <f>DATE(2004,4,27)</f>
        <v>38104</v>
      </c>
      <c r="B7265" s="3">
        <f>DATE(2004,6,30)</f>
        <v>38168</v>
      </c>
      <c r="C7265" s="2" t="s">
        <v>95</v>
      </c>
      <c r="D7265" s="2" t="s">
        <v>21923</v>
      </c>
      <c r="E7265" s="2" t="s">
        <v>21924</v>
      </c>
      <c r="F7265" s="4">
        <v>3143</v>
      </c>
      <c r="G7265" s="2" t="s">
        <v>326</v>
      </c>
      <c r="H7265" s="2" t="s">
        <v>34</v>
      </c>
      <c r="I7265" s="2" t="s">
        <v>4493</v>
      </c>
      <c r="J7265" s="2" t="s">
        <v>4494</v>
      </c>
      <c r="K7265" s="2" t="s">
        <v>708</v>
      </c>
      <c r="L7265" s="2" t="s">
        <v>34</v>
      </c>
      <c r="M7265" s="12">
        <v>5099.4750000000004</v>
      </c>
      <c r="N7265" s="6">
        <v>47.55</v>
      </c>
      <c r="O7265" s="6">
        <v>46.83</v>
      </c>
      <c r="P7265" s="2" t="s">
        <v>21925</v>
      </c>
      <c r="Q7265" s="6">
        <v>100</v>
      </c>
      <c r="R7265" s="6">
        <v>20.55</v>
      </c>
      <c r="S7265" s="5">
        <v>-15.5</v>
      </c>
      <c r="T7265" s="7">
        <v>37.784999999999997</v>
      </c>
      <c r="U7265" s="5">
        <v>10.7</v>
      </c>
      <c r="V7265" s="6">
        <v>-0.56999999999999995</v>
      </c>
      <c r="W7265" s="6">
        <v>15.83</v>
      </c>
      <c r="X7265" s="6">
        <v>15.81</v>
      </c>
      <c r="Y7265" s="6">
        <v>20.29</v>
      </c>
      <c r="Z7265" s="5">
        <v>20.3</v>
      </c>
      <c r="AA7265" s="6">
        <v>17.940000000000001</v>
      </c>
      <c r="AB7265" s="7">
        <v>10.86</v>
      </c>
      <c r="AC7265" s="6">
        <v>217.49</v>
      </c>
    </row>
    <row r="7266" spans="1:29" ht="169" x14ac:dyDescent="0.15">
      <c r="A7266" s="3">
        <f>DATE(2004,4,28)</f>
        <v>38105</v>
      </c>
      <c r="B7266" s="3">
        <f>DATE(2004,10,29)</f>
        <v>38289</v>
      </c>
      <c r="C7266" s="2" t="s">
        <v>95</v>
      </c>
      <c r="D7266" s="2" t="s">
        <v>21926</v>
      </c>
      <c r="E7266" s="2" t="s">
        <v>8172</v>
      </c>
      <c r="F7266" s="4">
        <v>6035</v>
      </c>
      <c r="G7266" s="2" t="s">
        <v>33</v>
      </c>
      <c r="H7266" s="2" t="s">
        <v>34</v>
      </c>
      <c r="I7266" s="2" t="s">
        <v>2248</v>
      </c>
      <c r="J7266" s="2" t="s">
        <v>36</v>
      </c>
      <c r="K7266" s="2" t="s">
        <v>37</v>
      </c>
      <c r="L7266" s="2" t="s">
        <v>34</v>
      </c>
      <c r="M7266" s="12">
        <v>3295.864</v>
      </c>
      <c r="N7266" s="6">
        <v>40.659999999999997</v>
      </c>
      <c r="O7266" s="6">
        <v>40.630000000000003</v>
      </c>
      <c r="P7266" s="2" t="s">
        <v>21927</v>
      </c>
      <c r="Q7266" s="6">
        <v>100</v>
      </c>
      <c r="R7266" s="6">
        <v>26.79</v>
      </c>
      <c r="S7266" s="5">
        <v>34.799999999999997</v>
      </c>
      <c r="T7266" s="2"/>
      <c r="U7266" s="5">
        <v>12.7</v>
      </c>
      <c r="V7266" s="6">
        <v>1.64</v>
      </c>
      <c r="W7266" s="5">
        <v>20.3</v>
      </c>
      <c r="X7266" s="6">
        <v>21.06</v>
      </c>
      <c r="Y7266" s="6">
        <v>25.28</v>
      </c>
      <c r="Z7266" s="6">
        <v>25.29</v>
      </c>
      <c r="AA7266" s="6">
        <v>22.39</v>
      </c>
      <c r="AB7266" s="7">
        <v>21.588000000000001</v>
      </c>
      <c r="AC7266" s="2"/>
    </row>
    <row r="7267" spans="1:29" ht="78" x14ac:dyDescent="0.15">
      <c r="A7267" s="3">
        <f>DATE(2004,4,28)</f>
        <v>38105</v>
      </c>
      <c r="B7267" s="3">
        <f>DATE(2004,6,30)</f>
        <v>38168</v>
      </c>
      <c r="C7267" s="2" t="s">
        <v>95</v>
      </c>
      <c r="D7267" s="2" t="s">
        <v>21928</v>
      </c>
      <c r="E7267" s="2" t="s">
        <v>563</v>
      </c>
      <c r="F7267" s="4">
        <v>3841</v>
      </c>
      <c r="G7267" s="2" t="s">
        <v>226</v>
      </c>
      <c r="H7267" s="2" t="s">
        <v>34</v>
      </c>
      <c r="I7267" s="2" t="s">
        <v>21929</v>
      </c>
      <c r="J7267" s="2" t="s">
        <v>13817</v>
      </c>
      <c r="K7267" s="2" t="s">
        <v>226</v>
      </c>
      <c r="L7267" s="2" t="s">
        <v>34</v>
      </c>
      <c r="M7267" s="2"/>
      <c r="N7267" s="2"/>
      <c r="O7267" s="2"/>
      <c r="P7267" s="2" t="s">
        <v>21930</v>
      </c>
      <c r="Q7267" s="6">
        <v>100</v>
      </c>
      <c r="R7267" s="2"/>
      <c r="S7267" s="5">
        <v>-6.6</v>
      </c>
      <c r="T7267" s="7">
        <v>22.204999999999998</v>
      </c>
      <c r="U7267" s="5">
        <v>5.5</v>
      </c>
      <c r="V7267" s="6">
        <v>-0.24</v>
      </c>
      <c r="W7267" s="6">
        <v>5.99</v>
      </c>
      <c r="X7267" s="6">
        <v>5.96</v>
      </c>
      <c r="Y7267" s="6">
        <v>6.91</v>
      </c>
      <c r="Z7267" s="5">
        <v>6.9</v>
      </c>
      <c r="AA7267" s="6">
        <v>28.97</v>
      </c>
      <c r="AB7267" s="7">
        <v>18.024999999999999</v>
      </c>
      <c r="AC7267" s="2"/>
    </row>
    <row r="7268" spans="1:29" ht="156" x14ac:dyDescent="0.15">
      <c r="A7268" s="3">
        <f>DATE(2004,4,29)</f>
        <v>38106</v>
      </c>
      <c r="B7268" s="3">
        <f>DATE(2004,7,28)</f>
        <v>38196</v>
      </c>
      <c r="C7268" s="2" t="s">
        <v>95</v>
      </c>
      <c r="D7268" s="2" t="s">
        <v>21931</v>
      </c>
      <c r="E7268" s="2" t="s">
        <v>21932</v>
      </c>
      <c r="F7268" s="4">
        <v>3661</v>
      </c>
      <c r="G7268" s="2" t="s">
        <v>921</v>
      </c>
      <c r="H7268" s="2" t="s">
        <v>34</v>
      </c>
      <c r="I7268" s="2" t="s">
        <v>21933</v>
      </c>
      <c r="J7268" s="2" t="s">
        <v>21934</v>
      </c>
      <c r="K7268" s="2" t="s">
        <v>921</v>
      </c>
      <c r="L7268" s="2" t="s">
        <v>34</v>
      </c>
      <c r="M7268" s="7">
        <v>74.381</v>
      </c>
      <c r="N7268" s="6">
        <v>4.09</v>
      </c>
      <c r="O7268" s="6">
        <v>4.28</v>
      </c>
      <c r="P7268" s="2" t="s">
        <v>21935</v>
      </c>
      <c r="Q7268" s="6">
        <v>100</v>
      </c>
      <c r="R7268" s="6">
        <v>5.15</v>
      </c>
      <c r="S7268" s="5">
        <v>-12.9</v>
      </c>
      <c r="T7268" s="7">
        <v>-6.5410000000000004</v>
      </c>
      <c r="U7268" s="5">
        <v>1.8</v>
      </c>
      <c r="V7268" s="6">
        <v>-3.08</v>
      </c>
      <c r="W7268" s="6">
        <v>4.95</v>
      </c>
      <c r="X7268" s="6">
        <v>4.71</v>
      </c>
      <c r="Y7268" s="6">
        <v>4.74</v>
      </c>
      <c r="Z7268" s="6">
        <v>4.6100000000000003</v>
      </c>
      <c r="AA7268" s="6">
        <v>5.0999999999999996</v>
      </c>
      <c r="AB7268" s="2" t="s">
        <v>86</v>
      </c>
      <c r="AC7268" s="5">
        <v>3</v>
      </c>
    </row>
    <row r="7269" spans="1:29" ht="65" x14ac:dyDescent="0.15">
      <c r="A7269" s="3">
        <f>DATE(2004,4,29)</f>
        <v>38106</v>
      </c>
      <c r="B7269" s="3">
        <f>DATE(2004,7,15)</f>
        <v>38183</v>
      </c>
      <c r="C7269" s="2" t="s">
        <v>95</v>
      </c>
      <c r="D7269" s="2" t="s">
        <v>21936</v>
      </c>
      <c r="E7269" s="2" t="s">
        <v>849</v>
      </c>
      <c r="F7269" s="4">
        <v>7372</v>
      </c>
      <c r="G7269" s="2" t="s">
        <v>551</v>
      </c>
      <c r="H7269" s="2" t="s">
        <v>34</v>
      </c>
      <c r="I7269" s="2" t="s">
        <v>11423</v>
      </c>
      <c r="J7269" s="2" t="s">
        <v>11424</v>
      </c>
      <c r="K7269" s="2" t="s">
        <v>551</v>
      </c>
      <c r="L7269" s="2" t="s">
        <v>34</v>
      </c>
      <c r="M7269" s="12">
        <v>4396.9059999999999</v>
      </c>
      <c r="N7269" s="6">
        <v>18.05</v>
      </c>
      <c r="O7269" s="5">
        <v>17.3</v>
      </c>
      <c r="P7269" s="2" t="s">
        <v>21937</v>
      </c>
      <c r="Q7269" s="6">
        <v>100</v>
      </c>
      <c r="R7269" s="6">
        <v>8.25</v>
      </c>
      <c r="S7269" s="5">
        <v>1.5</v>
      </c>
      <c r="T7269" s="7">
        <v>2.198</v>
      </c>
      <c r="U7269" s="5">
        <v>2</v>
      </c>
      <c r="V7269" s="6">
        <v>0.05</v>
      </c>
      <c r="W7269" s="6">
        <v>5.03</v>
      </c>
      <c r="X7269" s="6">
        <v>4.87</v>
      </c>
      <c r="Y7269" s="6">
        <v>8.07</v>
      </c>
      <c r="Z7269" s="6">
        <v>8.06</v>
      </c>
      <c r="AA7269" s="6">
        <v>26.38</v>
      </c>
      <c r="AB7269" s="7">
        <v>308.92899999999997</v>
      </c>
      <c r="AC7269" s="5">
        <v>763.2</v>
      </c>
    </row>
    <row r="7270" spans="1:29" ht="130" x14ac:dyDescent="0.15">
      <c r="A7270" s="3">
        <f>DATE(2004,4,29)</f>
        <v>38106</v>
      </c>
      <c r="B7270" s="3">
        <f>DATE(2004,6,10)</f>
        <v>38148</v>
      </c>
      <c r="C7270" s="2" t="s">
        <v>95</v>
      </c>
      <c r="D7270" s="2" t="s">
        <v>21268</v>
      </c>
      <c r="E7270" s="2" t="s">
        <v>21269</v>
      </c>
      <c r="F7270" s="4">
        <v>7375</v>
      </c>
      <c r="G7270" s="2" t="s">
        <v>223</v>
      </c>
      <c r="H7270" s="2" t="s">
        <v>34</v>
      </c>
      <c r="I7270" s="2" t="s">
        <v>21938</v>
      </c>
      <c r="J7270" s="2" t="s">
        <v>21939</v>
      </c>
      <c r="K7270" s="2" t="s">
        <v>223</v>
      </c>
      <c r="L7270" s="2" t="s">
        <v>34</v>
      </c>
      <c r="M7270" s="7">
        <v>555.81299999999999</v>
      </c>
      <c r="N7270" s="6">
        <v>9.0500000000000007</v>
      </c>
      <c r="O7270" s="5">
        <v>9.1999999999999993</v>
      </c>
      <c r="P7270" s="2" t="s">
        <v>21940</v>
      </c>
      <c r="Q7270" s="6">
        <v>100</v>
      </c>
      <c r="R7270" s="6">
        <v>8.85</v>
      </c>
      <c r="S7270" s="5">
        <v>1.6</v>
      </c>
      <c r="T7270" s="7">
        <v>7.6040000000000001</v>
      </c>
      <c r="U7270" s="5">
        <v>1.6</v>
      </c>
      <c r="V7270" s="6">
        <v>0.14000000000000001</v>
      </c>
      <c r="W7270" s="5">
        <v>8.1999999999999993</v>
      </c>
      <c r="X7270" s="6">
        <v>8.25</v>
      </c>
      <c r="Y7270" s="6">
        <v>8.7899999999999991</v>
      </c>
      <c r="Z7270" s="6">
        <v>8.82</v>
      </c>
      <c r="AA7270" s="6">
        <v>11.65</v>
      </c>
      <c r="AB7270" s="7">
        <v>19.11</v>
      </c>
      <c r="AC7270" s="6">
        <v>48.34</v>
      </c>
    </row>
    <row r="7271" spans="1:29" ht="143" x14ac:dyDescent="0.15">
      <c r="A7271" s="3">
        <f>DATE(2004,4,29)</f>
        <v>38106</v>
      </c>
      <c r="B7271" s="2"/>
      <c r="C7271" s="2" t="s">
        <v>30</v>
      </c>
      <c r="D7271" s="2" t="s">
        <v>21941</v>
      </c>
      <c r="E7271" s="2" t="s">
        <v>21942</v>
      </c>
      <c r="F7271" s="4">
        <v>1791</v>
      </c>
      <c r="G7271" s="2" t="s">
        <v>341</v>
      </c>
      <c r="H7271" s="2" t="s">
        <v>34</v>
      </c>
      <c r="I7271" s="2" t="s">
        <v>51</v>
      </c>
      <c r="J7271" s="2" t="s">
        <v>52</v>
      </c>
      <c r="K7271" s="2" t="s">
        <v>53</v>
      </c>
      <c r="L7271" s="2" t="s">
        <v>34</v>
      </c>
      <c r="M7271" s="2"/>
      <c r="N7271" s="2"/>
      <c r="O7271" s="2"/>
      <c r="P7271" s="2" t="s">
        <v>21943</v>
      </c>
      <c r="Q7271" s="2"/>
      <c r="R7271" s="6">
        <v>2.2999999999999998</v>
      </c>
      <c r="S7271" s="5">
        <v>-5.2</v>
      </c>
      <c r="T7271" s="7">
        <v>4.4850000000000003</v>
      </c>
      <c r="U7271" s="5">
        <v>1.4</v>
      </c>
      <c r="V7271" s="6">
        <v>-0.73</v>
      </c>
      <c r="W7271" s="6">
        <v>1.85</v>
      </c>
      <c r="X7271" s="6">
        <v>1.95</v>
      </c>
      <c r="Y7271" s="6">
        <v>2.2400000000000002</v>
      </c>
      <c r="Z7271" s="5">
        <v>2.2999999999999998</v>
      </c>
      <c r="AA7271" s="6">
        <v>7.06</v>
      </c>
      <c r="AB7271" s="7">
        <v>258.78699999999998</v>
      </c>
      <c r="AC7271" s="2"/>
    </row>
    <row r="7272" spans="1:29" ht="130" x14ac:dyDescent="0.15">
      <c r="A7272" s="3">
        <f>DATE(2004,5,3)</f>
        <v>38110</v>
      </c>
      <c r="B7272" s="3">
        <f>DATE(2004,8,4)</f>
        <v>38203</v>
      </c>
      <c r="C7272" s="2" t="s">
        <v>95</v>
      </c>
      <c r="D7272" s="2" t="s">
        <v>21944</v>
      </c>
      <c r="E7272" s="2" t="s">
        <v>21945</v>
      </c>
      <c r="F7272" s="4">
        <v>6798</v>
      </c>
      <c r="G7272" s="2" t="s">
        <v>53</v>
      </c>
      <c r="H7272" s="2" t="s">
        <v>34</v>
      </c>
      <c r="I7272" s="2" t="s">
        <v>51</v>
      </c>
      <c r="J7272" s="2" t="s">
        <v>52</v>
      </c>
      <c r="K7272" s="2" t="s">
        <v>53</v>
      </c>
      <c r="L7272" s="2" t="s">
        <v>34</v>
      </c>
      <c r="M7272" s="2"/>
      <c r="N7272" s="2"/>
      <c r="O7272" s="2"/>
      <c r="P7272" s="2" t="s">
        <v>21946</v>
      </c>
      <c r="Q7272" s="6">
        <v>100</v>
      </c>
      <c r="R7272" s="6">
        <v>23.8</v>
      </c>
      <c r="S7272" s="5">
        <v>28.3</v>
      </c>
      <c r="T7272" s="6">
        <v>43.59</v>
      </c>
      <c r="U7272" s="5">
        <v>14</v>
      </c>
      <c r="V7272" s="6">
        <v>0.73</v>
      </c>
      <c r="W7272" s="6">
        <v>20.84</v>
      </c>
      <c r="X7272" s="6">
        <v>20.34</v>
      </c>
      <c r="Y7272" s="6">
        <v>20.85</v>
      </c>
      <c r="Z7272" s="6">
        <v>23.83</v>
      </c>
      <c r="AA7272" s="6">
        <v>30.88</v>
      </c>
      <c r="AB7272" s="7">
        <v>53.569000000000003</v>
      </c>
      <c r="AC7272" s="2"/>
    </row>
    <row r="7273" spans="1:29" ht="91" x14ac:dyDescent="0.15">
      <c r="A7273" s="3">
        <f>DATE(2004,5,4)</f>
        <v>38111</v>
      </c>
      <c r="B7273" s="3">
        <f>DATE(2004,8,31)</f>
        <v>38230</v>
      </c>
      <c r="C7273" s="2" t="s">
        <v>95</v>
      </c>
      <c r="D7273" s="2" t="s">
        <v>2707</v>
      </c>
      <c r="E7273" s="2" t="s">
        <v>263</v>
      </c>
      <c r="F7273" s="4">
        <v>6035</v>
      </c>
      <c r="G7273" s="2" t="s">
        <v>33</v>
      </c>
      <c r="H7273" s="2" t="s">
        <v>34</v>
      </c>
      <c r="I7273" s="2" t="s">
        <v>295</v>
      </c>
      <c r="J7273" s="2" t="s">
        <v>296</v>
      </c>
      <c r="K7273" s="2" t="s">
        <v>37</v>
      </c>
      <c r="L7273" s="2" t="s">
        <v>34</v>
      </c>
      <c r="M7273" s="2"/>
      <c r="N7273" s="2"/>
      <c r="O7273" s="2"/>
      <c r="P7273" s="2" t="s">
        <v>21947</v>
      </c>
      <c r="Q7273" s="6">
        <v>100</v>
      </c>
      <c r="R7273" s="6">
        <v>44.5</v>
      </c>
      <c r="S7273" s="5">
        <v>533.70000000000005</v>
      </c>
      <c r="T7273" s="2"/>
      <c r="U7273" s="5">
        <v>14.6</v>
      </c>
      <c r="V7273" s="6">
        <v>2.3199999999999998</v>
      </c>
      <c r="W7273" s="6">
        <v>33.85</v>
      </c>
      <c r="X7273" s="6">
        <v>35.68</v>
      </c>
      <c r="Y7273" s="6">
        <v>35.950000000000003</v>
      </c>
      <c r="Z7273" s="6">
        <v>43.86</v>
      </c>
      <c r="AA7273" s="6">
        <v>223.12</v>
      </c>
      <c r="AB7273" s="7">
        <v>60.381</v>
      </c>
      <c r="AC7273" s="2"/>
    </row>
    <row r="7274" spans="1:29" ht="156" x14ac:dyDescent="0.15">
      <c r="A7274" s="3">
        <f>DATE(2004,5,4)</f>
        <v>38111</v>
      </c>
      <c r="B7274" s="3">
        <f>DATE(2004,9,28)</f>
        <v>38258</v>
      </c>
      <c r="C7274" s="2" t="s">
        <v>95</v>
      </c>
      <c r="D7274" s="2" t="s">
        <v>20752</v>
      </c>
      <c r="E7274" s="2" t="s">
        <v>612</v>
      </c>
      <c r="F7274" s="4">
        <v>1311</v>
      </c>
      <c r="G7274" s="2" t="s">
        <v>148</v>
      </c>
      <c r="H7274" s="2" t="s">
        <v>34</v>
      </c>
      <c r="I7274" s="2" t="s">
        <v>21948</v>
      </c>
      <c r="J7274" s="2" t="s">
        <v>21903</v>
      </c>
      <c r="K7274" s="2" t="s">
        <v>148</v>
      </c>
      <c r="L7274" s="2" t="s">
        <v>34</v>
      </c>
      <c r="M7274" s="12">
        <v>3735.5160000000001</v>
      </c>
      <c r="N7274" s="5">
        <v>32.6</v>
      </c>
      <c r="O7274" s="6">
        <v>32.479999999999997</v>
      </c>
      <c r="P7274" s="2" t="s">
        <v>21949</v>
      </c>
      <c r="Q7274" s="6">
        <v>100</v>
      </c>
      <c r="R7274" s="6">
        <v>39</v>
      </c>
      <c r="S7274" s="5">
        <v>73.3</v>
      </c>
      <c r="T7274" s="7">
        <v>155.285</v>
      </c>
      <c r="U7274" s="5">
        <v>11.2</v>
      </c>
      <c r="V7274" s="6">
        <v>1.79</v>
      </c>
      <c r="W7274" s="6">
        <v>42.33</v>
      </c>
      <c r="X7274" s="6">
        <v>40.630000000000003</v>
      </c>
      <c r="Y7274" s="6">
        <v>38.99</v>
      </c>
      <c r="Z7274" s="6">
        <v>39.01</v>
      </c>
      <c r="AA7274" s="6">
        <v>43.1</v>
      </c>
      <c r="AB7274" s="7">
        <v>15.866</v>
      </c>
      <c r="AC7274" s="6">
        <v>9.02</v>
      </c>
    </row>
    <row r="7275" spans="1:29" ht="169" x14ac:dyDescent="0.15">
      <c r="A7275" s="3">
        <f>DATE(2004,5,6)</f>
        <v>38113</v>
      </c>
      <c r="B7275" s="3">
        <f>DATE(2004,10,8)</f>
        <v>38268</v>
      </c>
      <c r="C7275" s="2" t="s">
        <v>95</v>
      </c>
      <c r="D7275" s="2" t="s">
        <v>21950</v>
      </c>
      <c r="E7275" s="2" t="s">
        <v>263</v>
      </c>
      <c r="F7275" s="4">
        <v>6022</v>
      </c>
      <c r="G7275" s="2" t="s">
        <v>37</v>
      </c>
      <c r="H7275" s="2" t="s">
        <v>34</v>
      </c>
      <c r="I7275" s="2" t="s">
        <v>21951</v>
      </c>
      <c r="J7275" s="2" t="s">
        <v>36</v>
      </c>
      <c r="K7275" s="2" t="s">
        <v>37</v>
      </c>
      <c r="L7275" s="2" t="s">
        <v>34</v>
      </c>
      <c r="M7275" s="12">
        <v>1001.604</v>
      </c>
      <c r="N7275" s="5">
        <v>19.7</v>
      </c>
      <c r="O7275" s="6">
        <v>19.23</v>
      </c>
      <c r="P7275" s="2" t="s">
        <v>21952</v>
      </c>
      <c r="Q7275" s="6">
        <v>100</v>
      </c>
      <c r="R7275" s="6">
        <v>28.19</v>
      </c>
      <c r="S7275" s="5">
        <v>1.9</v>
      </c>
      <c r="T7275" s="2"/>
      <c r="U7275" s="5">
        <v>11.5</v>
      </c>
      <c r="V7275" s="6">
        <v>0.7</v>
      </c>
      <c r="W7275" s="6">
        <v>18.25</v>
      </c>
      <c r="X7275" s="5">
        <v>18.5</v>
      </c>
      <c r="Y7275" s="5">
        <v>26.9</v>
      </c>
      <c r="Z7275" s="6">
        <v>26.75</v>
      </c>
      <c r="AA7275" s="6">
        <v>2.73</v>
      </c>
      <c r="AB7275" s="7">
        <v>46.241</v>
      </c>
      <c r="AC7275" s="2"/>
    </row>
    <row r="7276" spans="1:29" ht="156" x14ac:dyDescent="0.15">
      <c r="A7276" s="3">
        <f>DATE(2004,5,9)</f>
        <v>38116</v>
      </c>
      <c r="B7276" s="3">
        <f>DATE(2004,10,1)</f>
        <v>38261</v>
      </c>
      <c r="C7276" s="2" t="s">
        <v>95</v>
      </c>
      <c r="D7276" s="2" t="s">
        <v>21953</v>
      </c>
      <c r="E7276" s="2" t="s">
        <v>826</v>
      </c>
      <c r="F7276" s="4">
        <v>6021</v>
      </c>
      <c r="G7276" s="2" t="s">
        <v>37</v>
      </c>
      <c r="H7276" s="2" t="s">
        <v>34</v>
      </c>
      <c r="I7276" s="2" t="s">
        <v>2900</v>
      </c>
      <c r="J7276" s="2" t="s">
        <v>265</v>
      </c>
      <c r="K7276" s="2" t="s">
        <v>37</v>
      </c>
      <c r="L7276" s="2" t="s">
        <v>34</v>
      </c>
      <c r="M7276" s="12">
        <v>19811.991999999998</v>
      </c>
      <c r="N7276" s="5">
        <v>61.8</v>
      </c>
      <c r="O7276" s="5">
        <v>61.8</v>
      </c>
      <c r="P7276" s="2" t="s">
        <v>21954</v>
      </c>
      <c r="Q7276" s="6">
        <v>100</v>
      </c>
      <c r="R7276" s="6">
        <v>33.46</v>
      </c>
      <c r="S7276" s="5">
        <v>312.89999999999998</v>
      </c>
      <c r="T7276" s="2"/>
      <c r="U7276" s="5">
        <v>13.7</v>
      </c>
      <c r="V7276" s="6">
        <v>1.53</v>
      </c>
      <c r="W7276" s="6">
        <v>26.59</v>
      </c>
      <c r="X7276" s="5">
        <v>31.8</v>
      </c>
      <c r="Y7276" s="5">
        <v>31.1</v>
      </c>
      <c r="Z7276" s="5">
        <v>31.1</v>
      </c>
      <c r="AA7276" s="6">
        <v>205.35</v>
      </c>
      <c r="AB7276" s="7">
        <v>21.792000000000002</v>
      </c>
      <c r="AC7276" s="2"/>
    </row>
    <row r="7277" spans="1:29" ht="182" x14ac:dyDescent="0.15">
      <c r="A7277" s="3">
        <f>DATE(2004,5,13)</f>
        <v>38120</v>
      </c>
      <c r="B7277" s="3">
        <f>DATE(2004,7,30)</f>
        <v>38198</v>
      </c>
      <c r="C7277" s="2" t="s">
        <v>95</v>
      </c>
      <c r="D7277" s="2" t="s">
        <v>21955</v>
      </c>
      <c r="E7277" s="2" t="s">
        <v>21956</v>
      </c>
      <c r="F7277" s="4">
        <v>3841</v>
      </c>
      <c r="G7277" s="2" t="s">
        <v>226</v>
      </c>
      <c r="H7277" s="2" t="s">
        <v>34</v>
      </c>
      <c r="I7277" s="2" t="s">
        <v>21957</v>
      </c>
      <c r="J7277" s="2" t="s">
        <v>21958</v>
      </c>
      <c r="K7277" s="2" t="s">
        <v>226</v>
      </c>
      <c r="L7277" s="2" t="s">
        <v>34</v>
      </c>
      <c r="M7277" s="7">
        <v>115.29900000000001</v>
      </c>
      <c r="N7277" s="5">
        <v>4.7</v>
      </c>
      <c r="O7277" s="6">
        <v>4.45</v>
      </c>
      <c r="P7277" s="2" t="s">
        <v>21959</v>
      </c>
      <c r="Q7277" s="6">
        <v>100</v>
      </c>
      <c r="R7277" s="6">
        <v>2.2400000000000002</v>
      </c>
      <c r="S7277" s="5">
        <v>-1.1000000000000001</v>
      </c>
      <c r="T7277" s="7">
        <v>4.1890000000000001</v>
      </c>
      <c r="U7277" s="5">
        <v>0.3</v>
      </c>
      <c r="V7277" s="6">
        <v>-0.02</v>
      </c>
      <c r="W7277" s="6">
        <v>2.0499999999999998</v>
      </c>
      <c r="X7277" s="6">
        <v>1.73</v>
      </c>
      <c r="Y7277" s="6">
        <v>1.84</v>
      </c>
      <c r="Z7277" s="6">
        <v>1.86</v>
      </c>
      <c r="AA7277" s="6">
        <v>43.94</v>
      </c>
      <c r="AB7277" s="7">
        <v>71.207999999999998</v>
      </c>
      <c r="AC7277" s="6">
        <v>7.85</v>
      </c>
    </row>
    <row r="7278" spans="1:29" ht="78" x14ac:dyDescent="0.15">
      <c r="A7278" s="3">
        <f>DATE(2004,5,14)</f>
        <v>38121</v>
      </c>
      <c r="B7278" s="3">
        <f>DATE(2004,11,1)</f>
        <v>38292</v>
      </c>
      <c r="C7278" s="2" t="s">
        <v>95</v>
      </c>
      <c r="D7278" s="2" t="s">
        <v>21960</v>
      </c>
      <c r="E7278" s="2" t="s">
        <v>2898</v>
      </c>
      <c r="F7278" s="4">
        <v>6021</v>
      </c>
      <c r="G7278" s="2" t="s">
        <v>37</v>
      </c>
      <c r="H7278" s="2" t="s">
        <v>34</v>
      </c>
      <c r="I7278" s="2" t="s">
        <v>21961</v>
      </c>
      <c r="J7278" s="2" t="s">
        <v>21962</v>
      </c>
      <c r="K7278" s="2" t="s">
        <v>370</v>
      </c>
      <c r="L7278" s="2" t="s">
        <v>34</v>
      </c>
      <c r="M7278" s="2"/>
      <c r="N7278" s="2"/>
      <c r="O7278" s="2"/>
      <c r="P7278" s="2" t="s">
        <v>21963</v>
      </c>
      <c r="Q7278" s="6">
        <v>100</v>
      </c>
      <c r="R7278" s="6">
        <v>35</v>
      </c>
      <c r="S7278" s="5">
        <v>5</v>
      </c>
      <c r="T7278" s="2"/>
      <c r="U7278" s="5">
        <v>22.1</v>
      </c>
      <c r="V7278" s="6">
        <v>2.0299999999999998</v>
      </c>
      <c r="W7278" s="6">
        <v>28.35</v>
      </c>
      <c r="X7278" s="5">
        <v>28.4</v>
      </c>
      <c r="Y7278" s="5">
        <v>28.4</v>
      </c>
      <c r="Z7278" s="5">
        <v>34.5</v>
      </c>
      <c r="AA7278" s="6">
        <v>2.38</v>
      </c>
      <c r="AB7278" s="7">
        <v>20.199000000000002</v>
      </c>
      <c r="AC7278" s="2"/>
    </row>
    <row r="7279" spans="1:29" ht="143" x14ac:dyDescent="0.15">
      <c r="A7279" s="3">
        <f>DATE(2004,5,17)</f>
        <v>38124</v>
      </c>
      <c r="B7279" s="3">
        <f>DATE(2005,2,8)</f>
        <v>38391</v>
      </c>
      <c r="C7279" s="2" t="s">
        <v>95</v>
      </c>
      <c r="D7279" s="2" t="s">
        <v>21964</v>
      </c>
      <c r="E7279" s="2" t="s">
        <v>17532</v>
      </c>
      <c r="F7279" s="4">
        <v>2084</v>
      </c>
      <c r="G7279" s="2" t="s">
        <v>577</v>
      </c>
      <c r="H7279" s="2" t="s">
        <v>34</v>
      </c>
      <c r="I7279" s="2" t="s">
        <v>21965</v>
      </c>
      <c r="J7279" s="2" t="s">
        <v>21966</v>
      </c>
      <c r="K7279" s="2" t="s">
        <v>577</v>
      </c>
      <c r="L7279" s="2" t="s">
        <v>303</v>
      </c>
      <c r="M7279" s="2"/>
      <c r="N7279" s="7">
        <v>13.335000000000001</v>
      </c>
      <c r="O7279" s="7">
        <v>13.035</v>
      </c>
      <c r="P7279" s="2" t="s">
        <v>21967</v>
      </c>
      <c r="Q7279" s="6">
        <v>100</v>
      </c>
      <c r="R7279" s="6">
        <v>14.25</v>
      </c>
      <c r="S7279" s="5">
        <v>0.9</v>
      </c>
      <c r="T7279" s="7">
        <v>14.547000000000001</v>
      </c>
      <c r="U7279" s="5">
        <v>8.1</v>
      </c>
      <c r="V7279" s="6">
        <v>7.0000000000000007E-2</v>
      </c>
      <c r="W7279" s="6">
        <v>8.76</v>
      </c>
      <c r="X7279" s="6">
        <v>8.58</v>
      </c>
      <c r="Y7279" s="6">
        <v>9.67</v>
      </c>
      <c r="Z7279" s="6">
        <v>9.99</v>
      </c>
      <c r="AA7279" s="6">
        <v>13.48</v>
      </c>
      <c r="AB7279" s="7">
        <v>36.558999999999997</v>
      </c>
      <c r="AC7279" s="10">
        <v>1970.15</v>
      </c>
    </row>
    <row r="7280" spans="1:29" ht="247" x14ac:dyDescent="0.15">
      <c r="A7280" s="3">
        <f>DATE(2004,5,17)</f>
        <v>38124</v>
      </c>
      <c r="B7280" s="2"/>
      <c r="C7280" s="2" t="s">
        <v>30</v>
      </c>
      <c r="D7280" s="2" t="s">
        <v>21964</v>
      </c>
      <c r="E7280" s="2" t="s">
        <v>17532</v>
      </c>
      <c r="F7280" s="4">
        <v>2084</v>
      </c>
      <c r="G7280" s="2" t="s">
        <v>577</v>
      </c>
      <c r="H7280" s="2" t="s">
        <v>34</v>
      </c>
      <c r="I7280" s="2" t="s">
        <v>21968</v>
      </c>
      <c r="J7280" s="2" t="s">
        <v>21969</v>
      </c>
      <c r="K7280" s="2" t="s">
        <v>577</v>
      </c>
      <c r="L7280" s="2" t="s">
        <v>133</v>
      </c>
      <c r="M7280" s="2"/>
      <c r="N7280" s="2"/>
      <c r="O7280" s="2"/>
      <c r="P7280" s="2" t="s">
        <v>21970</v>
      </c>
      <c r="Q7280" s="2"/>
      <c r="R7280" s="6">
        <v>11.75</v>
      </c>
      <c r="S7280" s="5">
        <v>0.7</v>
      </c>
      <c r="T7280" s="7">
        <v>14.016999999999999</v>
      </c>
      <c r="U7280" s="5">
        <v>8</v>
      </c>
      <c r="V7280" s="6">
        <v>0.06</v>
      </c>
      <c r="W7280" s="6">
        <v>8.76</v>
      </c>
      <c r="X7280" s="6">
        <v>8.58</v>
      </c>
      <c r="Y7280" s="6">
        <v>9.67</v>
      </c>
      <c r="Z7280" s="6">
        <v>9.99</v>
      </c>
      <c r="AA7280" s="6">
        <v>12.08</v>
      </c>
      <c r="AB7280" s="7">
        <v>34.719000000000001</v>
      </c>
      <c r="AC7280" s="2"/>
    </row>
    <row r="7281" spans="1:29" ht="130" x14ac:dyDescent="0.15">
      <c r="A7281" s="3">
        <f>DATE(2004,5,17)</f>
        <v>38124</v>
      </c>
      <c r="B7281" s="3">
        <f>DATE(2004,5,17)</f>
        <v>38124</v>
      </c>
      <c r="C7281" s="2" t="s">
        <v>95</v>
      </c>
      <c r="D7281" s="2" t="s">
        <v>21971</v>
      </c>
      <c r="E7281" s="2" t="s">
        <v>612</v>
      </c>
      <c r="F7281" s="4">
        <v>1311</v>
      </c>
      <c r="G7281" s="2" t="s">
        <v>148</v>
      </c>
      <c r="H7281" s="2" t="s">
        <v>34</v>
      </c>
      <c r="I7281" s="2" t="s">
        <v>21972</v>
      </c>
      <c r="J7281" s="2" t="s">
        <v>1248</v>
      </c>
      <c r="K7281" s="2" t="s">
        <v>166</v>
      </c>
      <c r="L7281" s="2" t="s">
        <v>303</v>
      </c>
      <c r="M7281" s="12">
        <v>2238.1959999999999</v>
      </c>
      <c r="N7281" s="7">
        <v>1.002</v>
      </c>
      <c r="O7281" s="7">
        <v>1.0529999999999999</v>
      </c>
      <c r="P7281" s="2" t="s">
        <v>21973</v>
      </c>
      <c r="Q7281" s="6">
        <v>60</v>
      </c>
      <c r="R7281" s="2"/>
      <c r="S7281" s="5">
        <v>1</v>
      </c>
      <c r="T7281" s="7">
        <v>32.164000000000001</v>
      </c>
      <c r="U7281" s="5">
        <v>1.2</v>
      </c>
      <c r="V7281" s="6">
        <v>0.03</v>
      </c>
      <c r="W7281" s="5">
        <v>1.1000000000000001</v>
      </c>
      <c r="X7281" s="6">
        <v>1.36</v>
      </c>
      <c r="Y7281" s="5">
        <v>1.3</v>
      </c>
      <c r="Z7281" s="5">
        <v>1.2</v>
      </c>
      <c r="AA7281" s="6">
        <v>38.21</v>
      </c>
      <c r="AB7281" s="7">
        <v>4.9889999999999999</v>
      </c>
      <c r="AC7281" s="6">
        <v>12.05</v>
      </c>
    </row>
    <row r="7282" spans="1:29" ht="91" x14ac:dyDescent="0.15">
      <c r="A7282" s="3">
        <f>DATE(2004,5,17)</f>
        <v>38124</v>
      </c>
      <c r="B7282" s="3">
        <f>DATE(2004,7,17)</f>
        <v>38185</v>
      </c>
      <c r="C7282" s="2" t="s">
        <v>95</v>
      </c>
      <c r="D7282" s="2" t="s">
        <v>16961</v>
      </c>
      <c r="E7282" s="2" t="s">
        <v>16962</v>
      </c>
      <c r="F7282" s="4">
        <v>2761</v>
      </c>
      <c r="G7282" s="2" t="s">
        <v>186</v>
      </c>
      <c r="H7282" s="2" t="s">
        <v>34</v>
      </c>
      <c r="I7282" s="2" t="s">
        <v>21974</v>
      </c>
      <c r="J7282" s="2" t="s">
        <v>21975</v>
      </c>
      <c r="K7282" s="2" t="s">
        <v>186</v>
      </c>
      <c r="L7282" s="2" t="s">
        <v>34</v>
      </c>
      <c r="M7282" s="12">
        <v>2081.8159999999998</v>
      </c>
      <c r="N7282" s="6">
        <v>42.46</v>
      </c>
      <c r="O7282" s="6">
        <v>42.39</v>
      </c>
      <c r="P7282" s="2" t="s">
        <v>21976</v>
      </c>
      <c r="Q7282" s="6">
        <v>100</v>
      </c>
      <c r="R7282" s="6">
        <v>44</v>
      </c>
      <c r="S7282" s="5">
        <v>12.2</v>
      </c>
      <c r="T7282" s="7">
        <v>63.945999999999998</v>
      </c>
      <c r="U7282" s="5">
        <v>12.6</v>
      </c>
      <c r="V7282" s="6">
        <v>0.89</v>
      </c>
      <c r="W7282" s="6">
        <v>32.96</v>
      </c>
      <c r="X7282" s="6">
        <v>33.31</v>
      </c>
      <c r="Y7282" s="6">
        <v>43.69</v>
      </c>
      <c r="Z7282" s="6">
        <v>43.72</v>
      </c>
      <c r="AA7282" s="6">
        <v>13.3</v>
      </c>
      <c r="AB7282" s="7">
        <v>23.259</v>
      </c>
      <c r="AC7282" s="6">
        <v>4.6900000000000004</v>
      </c>
    </row>
    <row r="7283" spans="1:29" ht="39" x14ac:dyDescent="0.15">
      <c r="A7283" s="3">
        <f>DATE(2004,5,18)</f>
        <v>38125</v>
      </c>
      <c r="B7283" s="3">
        <f>DATE(2004,5,18)</f>
        <v>38125</v>
      </c>
      <c r="C7283" s="2" t="s">
        <v>95</v>
      </c>
      <c r="D7283" s="2" t="s">
        <v>21977</v>
      </c>
      <c r="E7283" s="2" t="s">
        <v>612</v>
      </c>
      <c r="F7283" s="4">
        <v>1311</v>
      </c>
      <c r="G7283" s="2" t="s">
        <v>148</v>
      </c>
      <c r="H7283" s="2" t="s">
        <v>34</v>
      </c>
      <c r="I7283" s="2" t="s">
        <v>21978</v>
      </c>
      <c r="J7283" s="2" t="s">
        <v>21979</v>
      </c>
      <c r="K7283" s="2" t="s">
        <v>148</v>
      </c>
      <c r="L7283" s="2" t="s">
        <v>18001</v>
      </c>
      <c r="M7283" s="2"/>
      <c r="N7283" s="2"/>
      <c r="O7283" s="2"/>
      <c r="P7283" s="2" t="s">
        <v>21980</v>
      </c>
      <c r="Q7283" s="6">
        <v>78</v>
      </c>
      <c r="R7283" s="2"/>
      <c r="S7283" s="5">
        <v>-0.7</v>
      </c>
      <c r="T7283" s="2"/>
      <c r="U7283" s="5">
        <v>-50.8</v>
      </c>
      <c r="V7283" s="6">
        <v>-50</v>
      </c>
      <c r="W7283" s="6">
        <v>1.84</v>
      </c>
      <c r="X7283" s="4">
        <v>2</v>
      </c>
      <c r="Y7283" s="6">
        <v>1.03</v>
      </c>
      <c r="Z7283" s="6">
        <v>1.06</v>
      </c>
      <c r="AA7283" s="6">
        <v>15.23</v>
      </c>
      <c r="AB7283" s="2" t="s">
        <v>47</v>
      </c>
      <c r="AC7283" s="2"/>
    </row>
    <row r="7284" spans="1:29" ht="91" x14ac:dyDescent="0.15">
      <c r="A7284" s="3">
        <f>DATE(2004,5,18)</f>
        <v>38125</v>
      </c>
      <c r="B7284" s="3">
        <f>DATE(2004,7,8)</f>
        <v>38176</v>
      </c>
      <c r="C7284" s="2" t="s">
        <v>95</v>
      </c>
      <c r="D7284" s="2" t="s">
        <v>19885</v>
      </c>
      <c r="E7284" s="2" t="s">
        <v>19886</v>
      </c>
      <c r="F7284" s="4">
        <v>8748</v>
      </c>
      <c r="G7284" s="2" t="s">
        <v>223</v>
      </c>
      <c r="H7284" s="2" t="s">
        <v>34</v>
      </c>
      <c r="I7284" s="2" t="s">
        <v>21981</v>
      </c>
      <c r="J7284" s="2" t="s">
        <v>8998</v>
      </c>
      <c r="K7284" s="2" t="s">
        <v>125</v>
      </c>
      <c r="L7284" s="2" t="s">
        <v>34</v>
      </c>
      <c r="M7284" s="12">
        <v>23904.294000000002</v>
      </c>
      <c r="N7284" s="6">
        <v>42.74</v>
      </c>
      <c r="O7284" s="4">
        <v>43</v>
      </c>
      <c r="P7284" s="2" t="s">
        <v>21982</v>
      </c>
      <c r="Q7284" s="6">
        <v>100</v>
      </c>
      <c r="R7284" s="6">
        <v>37</v>
      </c>
      <c r="S7284" s="5">
        <v>46.2</v>
      </c>
      <c r="T7284" s="7">
        <v>105.373</v>
      </c>
      <c r="U7284" s="5">
        <v>13.1</v>
      </c>
      <c r="V7284" s="6">
        <v>1.0900000000000001</v>
      </c>
      <c r="W7284" s="6">
        <v>27.85</v>
      </c>
      <c r="X7284" s="6">
        <v>27.94</v>
      </c>
      <c r="Y7284" s="5">
        <v>28.1</v>
      </c>
      <c r="Z7284" s="6">
        <v>36.56</v>
      </c>
      <c r="AA7284" s="6">
        <v>40.049999999999997</v>
      </c>
      <c r="AB7284" s="7">
        <v>22.693000000000001</v>
      </c>
      <c r="AC7284" s="5">
        <v>634</v>
      </c>
    </row>
    <row r="7285" spans="1:29" ht="182" x14ac:dyDescent="0.15">
      <c r="A7285" s="3">
        <f>DATE(2004,5,19)</f>
        <v>38126</v>
      </c>
      <c r="B7285" s="3">
        <f>DATE(2004,7,7)</f>
        <v>38175</v>
      </c>
      <c r="C7285" s="2" t="s">
        <v>95</v>
      </c>
      <c r="D7285" s="2" t="s">
        <v>21983</v>
      </c>
      <c r="E7285" s="2" t="s">
        <v>21984</v>
      </c>
      <c r="F7285" s="4">
        <v>3841</v>
      </c>
      <c r="G7285" s="2" t="s">
        <v>226</v>
      </c>
      <c r="H7285" s="2" t="s">
        <v>34</v>
      </c>
      <c r="I7285" s="2" t="s">
        <v>6702</v>
      </c>
      <c r="J7285" s="2" t="s">
        <v>6703</v>
      </c>
      <c r="K7285" s="2" t="s">
        <v>593</v>
      </c>
      <c r="L7285" s="2" t="s">
        <v>34</v>
      </c>
      <c r="M7285" s="12">
        <v>31070.146000000001</v>
      </c>
      <c r="N7285" s="5">
        <v>67.2</v>
      </c>
      <c r="O7285" s="6">
        <v>66.510000000000005</v>
      </c>
      <c r="P7285" s="2" t="s">
        <v>21985</v>
      </c>
      <c r="Q7285" s="6">
        <v>100</v>
      </c>
      <c r="R7285" s="6">
        <v>22.35</v>
      </c>
      <c r="S7285" s="5">
        <v>1.6</v>
      </c>
      <c r="T7285" s="6">
        <v>127.37</v>
      </c>
      <c r="U7285" s="5">
        <v>1.5</v>
      </c>
      <c r="V7285" s="2"/>
      <c r="W7285" s="6">
        <v>20.02</v>
      </c>
      <c r="X7285" s="6">
        <v>18.88</v>
      </c>
      <c r="Y7285" s="6">
        <v>22.25</v>
      </c>
      <c r="Z7285" s="6">
        <v>22.25</v>
      </c>
      <c r="AA7285" s="6">
        <v>72.25</v>
      </c>
      <c r="AB7285" s="7">
        <v>20.486000000000001</v>
      </c>
      <c r="AC7285" s="5">
        <v>527.20000000000005</v>
      </c>
    </row>
    <row r="7286" spans="1:29" ht="78" x14ac:dyDescent="0.15">
      <c r="A7286" s="3">
        <f>DATE(2004,5,19)</f>
        <v>38126</v>
      </c>
      <c r="B7286" s="2"/>
      <c r="C7286" s="2" t="s">
        <v>30</v>
      </c>
      <c r="D7286" s="2" t="s">
        <v>21986</v>
      </c>
      <c r="E7286" s="2" t="s">
        <v>21987</v>
      </c>
      <c r="F7286" s="4">
        <v>7532</v>
      </c>
      <c r="G7286" s="2" t="s">
        <v>1327</v>
      </c>
      <c r="H7286" s="2" t="s">
        <v>34</v>
      </c>
      <c r="I7286" s="2" t="s">
        <v>21988</v>
      </c>
      <c r="J7286" s="2" t="s">
        <v>3941</v>
      </c>
      <c r="K7286" s="2" t="s">
        <v>53</v>
      </c>
      <c r="L7286" s="2" t="s">
        <v>34</v>
      </c>
      <c r="M7286" s="2"/>
      <c r="N7286" s="2"/>
      <c r="O7286" s="2"/>
      <c r="P7286" s="2" t="s">
        <v>21989</v>
      </c>
      <c r="Q7286" s="2"/>
      <c r="R7286" s="2"/>
      <c r="S7286" s="5">
        <v>-1.3</v>
      </c>
      <c r="T7286" s="7">
        <v>-0.35599999999999998</v>
      </c>
      <c r="U7286" s="5">
        <v>2.1</v>
      </c>
      <c r="V7286" s="6">
        <v>-0.31</v>
      </c>
      <c r="W7286" s="6">
        <v>2.81</v>
      </c>
      <c r="X7286" s="6">
        <v>2.86</v>
      </c>
      <c r="Y7286" s="5">
        <v>2.6</v>
      </c>
      <c r="Z7286" s="5">
        <v>2.7</v>
      </c>
      <c r="AA7286" s="6">
        <v>4.38</v>
      </c>
      <c r="AB7286" s="2" t="s">
        <v>86</v>
      </c>
      <c r="AC7286" s="2"/>
    </row>
    <row r="7287" spans="1:29" ht="143" x14ac:dyDescent="0.15">
      <c r="A7287" s="3">
        <f>DATE(2004,5,20)</f>
        <v>38127</v>
      </c>
      <c r="B7287" s="3">
        <f>DATE(2004,11,30)</f>
        <v>38321</v>
      </c>
      <c r="C7287" s="2" t="s">
        <v>95</v>
      </c>
      <c r="D7287" s="2" t="s">
        <v>21990</v>
      </c>
      <c r="E7287" s="2" t="s">
        <v>1095</v>
      </c>
      <c r="F7287" s="4">
        <v>3661</v>
      </c>
      <c r="G7287" s="2" t="s">
        <v>921</v>
      </c>
      <c r="H7287" s="2" t="s">
        <v>34</v>
      </c>
      <c r="I7287" s="2" t="s">
        <v>11501</v>
      </c>
      <c r="J7287" s="2" t="s">
        <v>11502</v>
      </c>
      <c r="K7287" s="2" t="s">
        <v>921</v>
      </c>
      <c r="L7287" s="2" t="s">
        <v>34</v>
      </c>
      <c r="M7287" s="12">
        <v>4045.6550000000002</v>
      </c>
      <c r="N7287" s="6">
        <v>7.95</v>
      </c>
      <c r="O7287" s="4">
        <v>8</v>
      </c>
      <c r="P7287" s="2" t="s">
        <v>21991</v>
      </c>
      <c r="Q7287" s="6">
        <v>100</v>
      </c>
      <c r="R7287" s="6">
        <v>16.66</v>
      </c>
      <c r="S7287" s="5">
        <v>13.3</v>
      </c>
      <c r="T7287" s="7">
        <v>34.926000000000002</v>
      </c>
      <c r="U7287" s="5">
        <v>11.4</v>
      </c>
      <c r="V7287" s="6">
        <v>0.19</v>
      </c>
      <c r="W7287" s="6">
        <v>16.63</v>
      </c>
      <c r="X7287" s="6">
        <v>16.829999999999998</v>
      </c>
      <c r="Y7287" s="6">
        <v>18.96</v>
      </c>
      <c r="Z7287" s="6">
        <v>18.97</v>
      </c>
      <c r="AA7287" s="6">
        <v>87.99</v>
      </c>
      <c r="AB7287" s="7">
        <v>81.804000000000002</v>
      </c>
      <c r="AC7287" s="8">
        <v>1065.8</v>
      </c>
    </row>
    <row r="7288" spans="1:29" ht="65" x14ac:dyDescent="0.15">
      <c r="A7288" s="3">
        <f>DATE(2004,5,20)</f>
        <v>38127</v>
      </c>
      <c r="B7288" s="2"/>
      <c r="C7288" s="2" t="s">
        <v>56</v>
      </c>
      <c r="D7288" s="2" t="s">
        <v>21992</v>
      </c>
      <c r="E7288" s="2" t="s">
        <v>4629</v>
      </c>
      <c r="F7288" s="4">
        <v>6162</v>
      </c>
      <c r="G7288" s="2" t="s">
        <v>109</v>
      </c>
      <c r="H7288" s="2" t="s">
        <v>34</v>
      </c>
      <c r="I7288" s="2" t="s">
        <v>21993</v>
      </c>
      <c r="J7288" s="2" t="s">
        <v>2800</v>
      </c>
      <c r="K7288" s="2" t="s">
        <v>109</v>
      </c>
      <c r="L7288" s="2" t="s">
        <v>34</v>
      </c>
      <c r="M7288" s="2"/>
      <c r="N7288" s="2"/>
      <c r="O7288" s="2"/>
      <c r="P7288" s="2" t="s">
        <v>21994</v>
      </c>
      <c r="Q7288" s="2"/>
      <c r="R7288" s="6">
        <v>3.05</v>
      </c>
      <c r="S7288" s="5">
        <v>-0.1</v>
      </c>
      <c r="T7288" s="2"/>
      <c r="U7288" s="5">
        <v>1.1000000000000001</v>
      </c>
      <c r="V7288" s="6">
        <v>-0.05</v>
      </c>
      <c r="W7288" s="5">
        <v>1.8</v>
      </c>
      <c r="X7288" s="4">
        <v>3</v>
      </c>
      <c r="Y7288" s="6">
        <v>2.92</v>
      </c>
      <c r="Z7288" s="6">
        <v>2.25</v>
      </c>
      <c r="AA7288" s="6">
        <v>1.42</v>
      </c>
      <c r="AB7288" s="2" t="s">
        <v>86</v>
      </c>
      <c r="AC7288" s="2"/>
    </row>
    <row r="7289" spans="1:29" ht="65" x14ac:dyDescent="0.15">
      <c r="A7289" s="3">
        <f>DATE(2004,5,21)</f>
        <v>38128</v>
      </c>
      <c r="B7289" s="2"/>
      <c r="C7289" s="2" t="s">
        <v>87</v>
      </c>
      <c r="D7289" s="2" t="s">
        <v>2324</v>
      </c>
      <c r="E7289" s="2" t="s">
        <v>14447</v>
      </c>
      <c r="F7289" s="4">
        <v>6035</v>
      </c>
      <c r="G7289" s="2" t="s">
        <v>33</v>
      </c>
      <c r="H7289" s="2" t="s">
        <v>34</v>
      </c>
      <c r="I7289" s="2" t="s">
        <v>14331</v>
      </c>
      <c r="J7289" s="2" t="s">
        <v>21995</v>
      </c>
      <c r="K7289" s="2" t="s">
        <v>37</v>
      </c>
      <c r="L7289" s="2" t="s">
        <v>303</v>
      </c>
      <c r="M7289" s="2"/>
      <c r="N7289" s="7">
        <v>14.164999999999999</v>
      </c>
      <c r="O7289" s="7">
        <v>14.173999999999999</v>
      </c>
      <c r="P7289" s="2" t="s">
        <v>21996</v>
      </c>
      <c r="Q7289" s="2"/>
      <c r="R7289" s="2"/>
      <c r="S7289" s="8">
        <v>3525</v>
      </c>
      <c r="T7289" s="8">
        <v>5392</v>
      </c>
      <c r="U7289" s="5">
        <v>23.5</v>
      </c>
      <c r="V7289" s="6">
        <v>3.81</v>
      </c>
      <c r="W7289" s="6">
        <v>39.130000000000003</v>
      </c>
      <c r="X7289" s="6">
        <v>39.65</v>
      </c>
      <c r="Y7289" s="5">
        <v>43.2</v>
      </c>
      <c r="Z7289" s="6">
        <v>43.52</v>
      </c>
      <c r="AA7289" s="6">
        <v>870.9</v>
      </c>
      <c r="AB7289" s="2" t="s">
        <v>47</v>
      </c>
      <c r="AC7289" s="2"/>
    </row>
    <row r="7290" spans="1:29" ht="143" x14ac:dyDescent="0.15">
      <c r="A7290" s="3">
        <f>DATE(2004,5,23)</f>
        <v>38130</v>
      </c>
      <c r="B7290" s="3">
        <f>DATE(2004,6,30)</f>
        <v>38168</v>
      </c>
      <c r="C7290" s="2" t="s">
        <v>95</v>
      </c>
      <c r="D7290" s="2" t="s">
        <v>3003</v>
      </c>
      <c r="E7290" s="2" t="s">
        <v>612</v>
      </c>
      <c r="F7290" s="4">
        <v>1311</v>
      </c>
      <c r="G7290" s="2" t="s">
        <v>148</v>
      </c>
      <c r="H7290" s="2" t="s">
        <v>34</v>
      </c>
      <c r="I7290" s="2" t="s">
        <v>17223</v>
      </c>
      <c r="J7290" s="2" t="s">
        <v>17224</v>
      </c>
      <c r="K7290" s="2" t="s">
        <v>148</v>
      </c>
      <c r="L7290" s="2" t="s">
        <v>34</v>
      </c>
      <c r="M7290" s="12">
        <v>1437.9459999999999</v>
      </c>
      <c r="N7290" s="6">
        <v>24.54</v>
      </c>
      <c r="O7290" s="6">
        <v>24.54</v>
      </c>
      <c r="P7290" s="2" t="s">
        <v>21997</v>
      </c>
      <c r="Q7290" s="6">
        <v>100</v>
      </c>
      <c r="R7290" s="6">
        <v>10.6</v>
      </c>
      <c r="S7290" s="5">
        <v>-28.9</v>
      </c>
      <c r="T7290" s="7">
        <v>57.566000000000003</v>
      </c>
      <c r="U7290" s="5">
        <v>1.7</v>
      </c>
      <c r="V7290" s="6">
        <v>-2.2599999999999998</v>
      </c>
      <c r="W7290" s="6">
        <v>8.65</v>
      </c>
      <c r="X7290" s="6">
        <v>8.02</v>
      </c>
      <c r="Y7290" s="6">
        <v>10.53</v>
      </c>
      <c r="Z7290" s="6">
        <v>10.53</v>
      </c>
      <c r="AA7290" s="6">
        <v>15.47</v>
      </c>
      <c r="AB7290" s="7">
        <v>17.760000000000002</v>
      </c>
      <c r="AC7290" s="6">
        <v>27.87</v>
      </c>
    </row>
    <row r="7291" spans="1:29" ht="182" x14ac:dyDescent="0.15">
      <c r="A7291" s="3">
        <f>DATE(2004,5,24)</f>
        <v>38131</v>
      </c>
      <c r="B7291" s="3">
        <f>DATE(2005,7,28)</f>
        <v>38561</v>
      </c>
      <c r="C7291" s="2" t="s">
        <v>95</v>
      </c>
      <c r="D7291" s="2" t="s">
        <v>21998</v>
      </c>
      <c r="E7291" s="2" t="s">
        <v>9907</v>
      </c>
      <c r="F7291" s="4">
        <v>8051</v>
      </c>
      <c r="G7291" s="2" t="s">
        <v>454</v>
      </c>
      <c r="H7291" s="2" t="s">
        <v>34</v>
      </c>
      <c r="I7291" s="2" t="s">
        <v>10319</v>
      </c>
      <c r="J7291" s="2" t="s">
        <v>10320</v>
      </c>
      <c r="K7291" s="2" t="s">
        <v>73</v>
      </c>
      <c r="L7291" s="2" t="s">
        <v>34</v>
      </c>
      <c r="M7291" s="12">
        <v>4438.4660000000003</v>
      </c>
      <c r="N7291" s="5">
        <v>40.6</v>
      </c>
      <c r="O7291" s="6">
        <v>42.65</v>
      </c>
      <c r="P7291" s="2" t="s">
        <v>21999</v>
      </c>
      <c r="Q7291" s="6">
        <v>100</v>
      </c>
      <c r="R7291" s="6">
        <v>34.75</v>
      </c>
      <c r="S7291" s="5">
        <v>18.7</v>
      </c>
      <c r="T7291" s="7">
        <v>102.158</v>
      </c>
      <c r="U7291" s="5">
        <v>9.1999999999999993</v>
      </c>
      <c r="V7291" s="6">
        <v>0.43</v>
      </c>
      <c r="W7291" s="6">
        <v>17.88</v>
      </c>
      <c r="X7291" s="6">
        <v>17.670000000000002</v>
      </c>
      <c r="Y7291" s="6">
        <v>27.91</v>
      </c>
      <c r="Z7291" s="4">
        <v>29</v>
      </c>
      <c r="AA7291" s="6">
        <v>44.13</v>
      </c>
      <c r="AB7291" s="7">
        <v>28.125</v>
      </c>
      <c r="AC7291" s="6">
        <v>154.41</v>
      </c>
    </row>
    <row r="7292" spans="1:29" ht="104" x14ac:dyDescent="0.15">
      <c r="A7292" s="3">
        <f>DATE(2004,5,24)</f>
        <v>38131</v>
      </c>
      <c r="B7292" s="3">
        <f>DATE(2004,10,8)</f>
        <v>38268</v>
      </c>
      <c r="C7292" s="2" t="s">
        <v>95</v>
      </c>
      <c r="D7292" s="2" t="s">
        <v>22000</v>
      </c>
      <c r="E7292" s="2" t="s">
        <v>1181</v>
      </c>
      <c r="F7292" s="4">
        <v>6021</v>
      </c>
      <c r="G7292" s="2" t="s">
        <v>37</v>
      </c>
      <c r="H7292" s="2" t="s">
        <v>34</v>
      </c>
      <c r="I7292" s="2" t="s">
        <v>22001</v>
      </c>
      <c r="J7292" s="2" t="s">
        <v>1181</v>
      </c>
      <c r="K7292" s="2" t="s">
        <v>37</v>
      </c>
      <c r="L7292" s="2" t="s">
        <v>34</v>
      </c>
      <c r="M7292" s="2"/>
      <c r="N7292" s="2"/>
      <c r="O7292" s="2"/>
      <c r="P7292" s="2" t="s">
        <v>22002</v>
      </c>
      <c r="Q7292" s="6">
        <v>100</v>
      </c>
      <c r="R7292" s="6">
        <v>5.48</v>
      </c>
      <c r="S7292" s="2"/>
      <c r="T7292" s="2"/>
      <c r="U7292" s="2"/>
      <c r="V7292" s="2"/>
      <c r="W7292" s="5">
        <v>4.5999999999999996</v>
      </c>
      <c r="X7292" s="5">
        <v>4.5999999999999996</v>
      </c>
      <c r="Y7292" s="5">
        <v>4.5999999999999996</v>
      </c>
      <c r="Z7292" s="5">
        <v>5.3</v>
      </c>
      <c r="AA7292" s="6">
        <v>2.46</v>
      </c>
      <c r="AB7292" s="2" t="s">
        <v>47</v>
      </c>
      <c r="AC7292" s="2"/>
    </row>
    <row r="7293" spans="1:29" ht="169" x14ac:dyDescent="0.15">
      <c r="A7293" s="3">
        <f>DATE(2004,5,24)</f>
        <v>38131</v>
      </c>
      <c r="B7293" s="3">
        <f>DATE(2006,3,1)</f>
        <v>38777</v>
      </c>
      <c r="C7293" s="2" t="s">
        <v>95</v>
      </c>
      <c r="D7293" s="2" t="s">
        <v>20155</v>
      </c>
      <c r="E7293" s="2" t="s">
        <v>6734</v>
      </c>
      <c r="F7293" s="4">
        <v>6141</v>
      </c>
      <c r="G7293" s="2" t="s">
        <v>370</v>
      </c>
      <c r="H7293" s="2" t="s">
        <v>34</v>
      </c>
      <c r="I7293" s="2" t="s">
        <v>6895</v>
      </c>
      <c r="J7293" s="2" t="s">
        <v>6896</v>
      </c>
      <c r="K7293" s="2" t="s">
        <v>33</v>
      </c>
      <c r="L7293" s="2" t="s">
        <v>34</v>
      </c>
      <c r="M7293" s="12">
        <v>2307.808</v>
      </c>
      <c r="N7293" s="6">
        <v>42.35</v>
      </c>
      <c r="O7293" s="6">
        <v>42.15</v>
      </c>
      <c r="P7293" s="2" t="s">
        <v>22003</v>
      </c>
      <c r="Q7293" s="6">
        <v>16</v>
      </c>
      <c r="R7293" s="6">
        <v>47.29</v>
      </c>
      <c r="S7293" s="5">
        <v>204.7</v>
      </c>
      <c r="T7293" s="7">
        <v>38.006999999999998</v>
      </c>
      <c r="U7293" s="5">
        <v>21.7</v>
      </c>
      <c r="V7293" s="6">
        <v>4.99</v>
      </c>
      <c r="W7293" s="6">
        <v>44.51</v>
      </c>
      <c r="X7293" s="6">
        <v>45.68</v>
      </c>
      <c r="Y7293" s="6">
        <v>46.65</v>
      </c>
      <c r="Z7293" s="6">
        <v>46.42</v>
      </c>
      <c r="AA7293" s="6">
        <v>41.03</v>
      </c>
      <c r="AB7293" s="7">
        <v>283.05</v>
      </c>
      <c r="AC7293" s="2"/>
    </row>
    <row r="7294" spans="1:29" ht="91" x14ac:dyDescent="0.15">
      <c r="A7294" s="3">
        <f>DATE(2004,5,26)</f>
        <v>38133</v>
      </c>
      <c r="B7294" s="3">
        <f>DATE(2004,8,2)</f>
        <v>38201</v>
      </c>
      <c r="C7294" s="2" t="s">
        <v>95</v>
      </c>
      <c r="D7294" s="2" t="s">
        <v>22004</v>
      </c>
      <c r="E7294" s="2" t="s">
        <v>22005</v>
      </c>
      <c r="F7294" s="4">
        <v>3589</v>
      </c>
      <c r="G7294" s="2" t="s">
        <v>300</v>
      </c>
      <c r="H7294" s="2" t="s">
        <v>34</v>
      </c>
      <c r="I7294" s="2" t="s">
        <v>22006</v>
      </c>
      <c r="J7294" s="2" t="s">
        <v>22007</v>
      </c>
      <c r="K7294" s="2" t="s">
        <v>300</v>
      </c>
      <c r="L7294" s="2" t="s">
        <v>34</v>
      </c>
      <c r="M7294" s="7">
        <v>759.33100000000002</v>
      </c>
      <c r="N7294" s="5">
        <v>46.5</v>
      </c>
      <c r="O7294" s="6">
        <v>46.95</v>
      </c>
      <c r="P7294" s="2" t="s">
        <v>22008</v>
      </c>
      <c r="Q7294" s="6">
        <v>100</v>
      </c>
      <c r="R7294" s="6">
        <v>39.869999999999997</v>
      </c>
      <c r="S7294" s="5">
        <v>3.5</v>
      </c>
      <c r="T7294" s="7">
        <v>7.3579999999999997</v>
      </c>
      <c r="U7294" s="5">
        <v>4.0999999999999996</v>
      </c>
      <c r="V7294" s="6">
        <v>1.49</v>
      </c>
      <c r="W7294" s="4">
        <v>28</v>
      </c>
      <c r="X7294" s="5">
        <v>31.5</v>
      </c>
      <c r="Y7294" s="5">
        <v>31.5</v>
      </c>
      <c r="Z7294" s="6">
        <v>39.15</v>
      </c>
      <c r="AA7294" s="6">
        <v>1.91</v>
      </c>
      <c r="AB7294" s="7">
        <v>20.65</v>
      </c>
      <c r="AC7294" s="6">
        <v>59.74</v>
      </c>
    </row>
    <row r="7295" spans="1:29" ht="130" x14ac:dyDescent="0.15">
      <c r="A7295" s="3">
        <f>DATE(2004,5,28)</f>
        <v>38135</v>
      </c>
      <c r="B7295" s="3">
        <f>DATE(2004,10,1)</f>
        <v>38261</v>
      </c>
      <c r="C7295" s="2" t="s">
        <v>95</v>
      </c>
      <c r="D7295" s="2" t="s">
        <v>1423</v>
      </c>
      <c r="E7295" s="2" t="s">
        <v>1424</v>
      </c>
      <c r="F7295" s="4">
        <v>5045</v>
      </c>
      <c r="G7295" s="2" t="s">
        <v>76</v>
      </c>
      <c r="H7295" s="2" t="s">
        <v>34</v>
      </c>
      <c r="I7295" s="2" t="s">
        <v>22009</v>
      </c>
      <c r="J7295" s="2" t="s">
        <v>244</v>
      </c>
      <c r="K7295" s="2" t="s">
        <v>53</v>
      </c>
      <c r="L7295" s="2" t="s">
        <v>34</v>
      </c>
      <c r="M7295" s="2"/>
      <c r="N7295" s="2"/>
      <c r="O7295" s="2"/>
      <c r="P7295" s="2" t="s">
        <v>22010</v>
      </c>
      <c r="Q7295" s="6">
        <v>100</v>
      </c>
      <c r="R7295" s="6">
        <v>4.5999999999999996</v>
      </c>
      <c r="S7295" s="5">
        <v>11.5</v>
      </c>
      <c r="T7295" s="7">
        <v>33.698999999999998</v>
      </c>
      <c r="U7295" s="5">
        <v>5.0999999999999996</v>
      </c>
      <c r="V7295" s="6">
        <v>0.21</v>
      </c>
      <c r="W7295" s="6">
        <v>4.58</v>
      </c>
      <c r="X7295" s="6">
        <v>4.84</v>
      </c>
      <c r="Y7295" s="6">
        <v>4.49</v>
      </c>
      <c r="Z7295" s="6">
        <v>4.49</v>
      </c>
      <c r="AA7295" s="6">
        <v>50.2</v>
      </c>
      <c r="AB7295" s="7">
        <v>9.17</v>
      </c>
      <c r="AC7295" s="2"/>
    </row>
    <row r="7296" spans="1:29" ht="117" x14ac:dyDescent="0.15">
      <c r="A7296" s="3">
        <f>DATE(2004,5,31)</f>
        <v>38138</v>
      </c>
      <c r="B7296" s="3">
        <f>DATE(2004,9,1)</f>
        <v>38231</v>
      </c>
      <c r="C7296" s="2" t="s">
        <v>95</v>
      </c>
      <c r="D7296" s="2" t="s">
        <v>22011</v>
      </c>
      <c r="E7296" s="2" t="s">
        <v>22012</v>
      </c>
      <c r="F7296" s="4">
        <v>3564</v>
      </c>
      <c r="G7296" s="2" t="s">
        <v>300</v>
      </c>
      <c r="H7296" s="2" t="s">
        <v>34</v>
      </c>
      <c r="I7296" s="2" t="s">
        <v>22013</v>
      </c>
      <c r="J7296" s="2" t="s">
        <v>22014</v>
      </c>
      <c r="K7296" s="2" t="s">
        <v>300</v>
      </c>
      <c r="L7296" s="2" t="s">
        <v>34</v>
      </c>
      <c r="M7296" s="2"/>
      <c r="N7296" s="2"/>
      <c r="O7296" s="2"/>
      <c r="P7296" s="2" t="s">
        <v>22015</v>
      </c>
      <c r="Q7296" s="6">
        <v>100</v>
      </c>
      <c r="R7296" s="6">
        <v>38</v>
      </c>
      <c r="S7296" s="5">
        <v>9.4</v>
      </c>
      <c r="T7296" s="7">
        <v>19.925000000000001</v>
      </c>
      <c r="U7296" s="5">
        <v>12</v>
      </c>
      <c r="V7296" s="6">
        <v>1.46</v>
      </c>
      <c r="W7296" s="6">
        <v>33.909999999999997</v>
      </c>
      <c r="X7296" s="6">
        <v>32.590000000000003</v>
      </c>
      <c r="Y7296" s="6">
        <v>32.590000000000003</v>
      </c>
      <c r="Z7296" s="6">
        <v>37.72</v>
      </c>
      <c r="AA7296" s="6">
        <v>6.19</v>
      </c>
      <c r="AB7296" s="7">
        <v>18.815999999999999</v>
      </c>
      <c r="AC7296" s="2"/>
    </row>
    <row r="7297" spans="1:29" ht="156" x14ac:dyDescent="0.15">
      <c r="A7297" s="3">
        <f>DATE(2004,6,1)</f>
        <v>38139</v>
      </c>
      <c r="B7297" s="3">
        <f>DATE(2004,12,13)</f>
        <v>38334</v>
      </c>
      <c r="C7297" s="2" t="s">
        <v>95</v>
      </c>
      <c r="D7297" s="2" t="s">
        <v>22016</v>
      </c>
      <c r="E7297" s="2" t="s">
        <v>540</v>
      </c>
      <c r="F7297" s="4">
        <v>2836</v>
      </c>
      <c r="G7297" s="2" t="s">
        <v>130</v>
      </c>
      <c r="H7297" s="2" t="s">
        <v>34</v>
      </c>
      <c r="I7297" s="2" t="s">
        <v>22017</v>
      </c>
      <c r="J7297" s="2" t="s">
        <v>22018</v>
      </c>
      <c r="K7297" s="2" t="s">
        <v>223</v>
      </c>
      <c r="L7297" s="2" t="s">
        <v>34</v>
      </c>
      <c r="M7297" s="7">
        <v>146.92699999999999</v>
      </c>
      <c r="N7297" s="6">
        <v>2.2799999999999998</v>
      </c>
      <c r="O7297" s="6">
        <v>2.16</v>
      </c>
      <c r="P7297" s="2" t="s">
        <v>22019</v>
      </c>
      <c r="Q7297" s="6">
        <v>100</v>
      </c>
      <c r="R7297" s="6">
        <v>4.7699999999999996</v>
      </c>
      <c r="S7297" s="5">
        <v>-16.399999999999999</v>
      </c>
      <c r="T7297" s="7">
        <v>-14.695</v>
      </c>
      <c r="U7297" s="5">
        <v>2.2999999999999998</v>
      </c>
      <c r="V7297" s="6">
        <v>-0.45</v>
      </c>
      <c r="W7297" s="6">
        <v>3.73</v>
      </c>
      <c r="X7297" s="6">
        <v>3.85</v>
      </c>
      <c r="Y7297" s="6">
        <v>4.1399999999999997</v>
      </c>
      <c r="Z7297" s="6">
        <v>4.0199999999999996</v>
      </c>
      <c r="AA7297" s="6">
        <v>36.14</v>
      </c>
      <c r="AB7297" s="2" t="s">
        <v>86</v>
      </c>
      <c r="AC7297" s="6">
        <v>8.02</v>
      </c>
    </row>
    <row r="7298" spans="1:29" ht="65" x14ac:dyDescent="0.15">
      <c r="A7298" s="3">
        <f>DATE(2004,6,4)</f>
        <v>38142</v>
      </c>
      <c r="B7298" s="2"/>
      <c r="C7298" s="2" t="s">
        <v>87</v>
      </c>
      <c r="D7298" s="2" t="s">
        <v>22020</v>
      </c>
      <c r="E7298" s="2" t="s">
        <v>22021</v>
      </c>
      <c r="F7298" s="4">
        <v>2099</v>
      </c>
      <c r="G7298" s="2" t="s">
        <v>577</v>
      </c>
      <c r="H7298" s="2" t="s">
        <v>34</v>
      </c>
      <c r="I7298" s="2" t="s">
        <v>18304</v>
      </c>
      <c r="J7298" s="2" t="s">
        <v>18305</v>
      </c>
      <c r="K7298" s="2" t="s">
        <v>577</v>
      </c>
      <c r="L7298" s="2" t="s">
        <v>215</v>
      </c>
      <c r="M7298" s="12">
        <v>100560.374</v>
      </c>
      <c r="N7298" s="7">
        <v>266.02199999999999</v>
      </c>
      <c r="O7298" s="7">
        <v>269.39600000000002</v>
      </c>
      <c r="P7298" s="2" t="s">
        <v>22022</v>
      </c>
      <c r="Q7298" s="2"/>
      <c r="R7298" s="2"/>
      <c r="S7298" s="8">
        <v>1055</v>
      </c>
      <c r="T7298" s="8">
        <v>2478</v>
      </c>
      <c r="U7298" s="5">
        <v>6.9</v>
      </c>
      <c r="V7298" s="7">
        <v>1.375</v>
      </c>
      <c r="W7298" s="6">
        <v>46.05</v>
      </c>
      <c r="X7298" s="6">
        <v>45.65</v>
      </c>
      <c r="Y7298" s="6">
        <v>47.85</v>
      </c>
      <c r="Z7298" s="6">
        <v>47.35</v>
      </c>
      <c r="AA7298" s="6">
        <v>377.94</v>
      </c>
      <c r="AB7298" s="2" t="s">
        <v>47</v>
      </c>
      <c r="AC7298" s="10">
        <v>12717.98</v>
      </c>
    </row>
    <row r="7299" spans="1:29" ht="130" x14ac:dyDescent="0.15">
      <c r="A7299" s="3">
        <f>DATE(2004,6,4)</f>
        <v>38142</v>
      </c>
      <c r="B7299" s="3">
        <f>DATE(2005,4,25)</f>
        <v>38467</v>
      </c>
      <c r="C7299" s="2" t="s">
        <v>95</v>
      </c>
      <c r="D7299" s="2" t="s">
        <v>22023</v>
      </c>
      <c r="E7299" s="2" t="s">
        <v>7716</v>
      </c>
      <c r="F7299" s="4">
        <v>7011</v>
      </c>
      <c r="G7299" s="2" t="s">
        <v>269</v>
      </c>
      <c r="H7299" s="2" t="s">
        <v>34</v>
      </c>
      <c r="I7299" s="2" t="s">
        <v>22024</v>
      </c>
      <c r="J7299" s="2" t="s">
        <v>22025</v>
      </c>
      <c r="K7299" s="2" t="s">
        <v>269</v>
      </c>
      <c r="L7299" s="2" t="s">
        <v>34</v>
      </c>
      <c r="M7299" s="12">
        <v>6072.5079999999998</v>
      </c>
      <c r="N7299" s="6">
        <v>46.03</v>
      </c>
      <c r="O7299" s="6">
        <v>44.84</v>
      </c>
      <c r="P7299" s="2" t="s">
        <v>22026</v>
      </c>
      <c r="Q7299" s="6">
        <v>100</v>
      </c>
      <c r="R7299" s="6">
        <v>71</v>
      </c>
      <c r="S7299" s="5">
        <v>193.1</v>
      </c>
      <c r="T7299" s="7">
        <v>662.31500000000005</v>
      </c>
      <c r="U7299" s="5">
        <v>16.8</v>
      </c>
      <c r="V7299" s="6">
        <v>2.93</v>
      </c>
      <c r="W7299" s="6">
        <v>54.85</v>
      </c>
      <c r="X7299" s="6">
        <v>54.62</v>
      </c>
      <c r="Y7299" s="6">
        <v>60.27</v>
      </c>
      <c r="Z7299" s="6">
        <v>70.23</v>
      </c>
      <c r="AA7299" s="6">
        <v>66.58</v>
      </c>
      <c r="AB7299" s="7">
        <v>16.331</v>
      </c>
      <c r="AC7299" s="6">
        <v>196.41</v>
      </c>
    </row>
    <row r="7300" spans="1:29" ht="52" x14ac:dyDescent="0.15">
      <c r="A7300" s="3">
        <f>DATE(2004,6,4)</f>
        <v>38142</v>
      </c>
      <c r="B7300" s="3">
        <f>DATE(2004,10,5)</f>
        <v>38265</v>
      </c>
      <c r="C7300" s="2" t="s">
        <v>95</v>
      </c>
      <c r="D7300" s="2" t="s">
        <v>22027</v>
      </c>
      <c r="E7300" s="2" t="s">
        <v>1181</v>
      </c>
      <c r="F7300" s="4">
        <v>6021</v>
      </c>
      <c r="G7300" s="2" t="s">
        <v>37</v>
      </c>
      <c r="H7300" s="2" t="s">
        <v>34</v>
      </c>
      <c r="I7300" s="2" t="s">
        <v>158</v>
      </c>
      <c r="J7300" s="2" t="s">
        <v>159</v>
      </c>
      <c r="K7300" s="2" t="s">
        <v>37</v>
      </c>
      <c r="L7300" s="2" t="s">
        <v>34</v>
      </c>
      <c r="M7300" s="12">
        <v>21367.014999999999</v>
      </c>
      <c r="N7300" s="6">
        <v>34.53</v>
      </c>
      <c r="O7300" s="4">
        <v>35</v>
      </c>
      <c r="P7300" s="2" t="s">
        <v>22028</v>
      </c>
      <c r="Q7300" s="6">
        <v>100</v>
      </c>
      <c r="R7300" s="6">
        <v>28.5</v>
      </c>
      <c r="S7300" s="5">
        <v>9.5</v>
      </c>
      <c r="T7300" s="2"/>
      <c r="U7300" s="5">
        <v>16</v>
      </c>
      <c r="V7300" s="6">
        <v>1.55</v>
      </c>
      <c r="W7300" s="6">
        <v>20.48</v>
      </c>
      <c r="X7300" s="5">
        <v>20.7</v>
      </c>
      <c r="Y7300" s="5">
        <v>28.3</v>
      </c>
      <c r="Z7300" s="5">
        <v>28.3</v>
      </c>
      <c r="AA7300" s="6">
        <v>6.31</v>
      </c>
      <c r="AB7300" s="7">
        <v>16.07</v>
      </c>
      <c r="AC7300" s="2"/>
    </row>
    <row r="7301" spans="1:29" ht="104" x14ac:dyDescent="0.15">
      <c r="A7301" s="3">
        <f>DATE(2004,6,5)</f>
        <v>38143</v>
      </c>
      <c r="B7301" s="3">
        <f>DATE(2004,11,1)</f>
        <v>38292</v>
      </c>
      <c r="C7301" s="2" t="s">
        <v>95</v>
      </c>
      <c r="D7301" s="2" t="s">
        <v>22029</v>
      </c>
      <c r="E7301" s="2" t="s">
        <v>203</v>
      </c>
      <c r="F7301" s="4">
        <v>6035</v>
      </c>
      <c r="G7301" s="2" t="s">
        <v>33</v>
      </c>
      <c r="H7301" s="2" t="s">
        <v>34</v>
      </c>
      <c r="I7301" s="2" t="s">
        <v>7189</v>
      </c>
      <c r="J7301" s="2" t="s">
        <v>7190</v>
      </c>
      <c r="K7301" s="2" t="s">
        <v>37</v>
      </c>
      <c r="L7301" s="2" t="s">
        <v>34</v>
      </c>
      <c r="M7301" s="12">
        <v>1383.5540000000001</v>
      </c>
      <c r="N7301" s="6">
        <v>43.39</v>
      </c>
      <c r="O7301" s="6">
        <v>43.39</v>
      </c>
      <c r="P7301" s="2" t="s">
        <v>22030</v>
      </c>
      <c r="Q7301" s="6">
        <v>100</v>
      </c>
      <c r="R7301" s="6">
        <v>31.5</v>
      </c>
      <c r="S7301" s="5">
        <v>2.2000000000000002</v>
      </c>
      <c r="T7301" s="6">
        <v>3.85</v>
      </c>
      <c r="U7301" s="5">
        <v>19.3</v>
      </c>
      <c r="V7301" s="6">
        <v>0.61</v>
      </c>
      <c r="W7301" s="4">
        <v>29</v>
      </c>
      <c r="X7301" s="5">
        <v>28.4</v>
      </c>
      <c r="Y7301" s="4">
        <v>31</v>
      </c>
      <c r="Z7301" s="4">
        <v>31</v>
      </c>
      <c r="AA7301" s="6">
        <v>3.88</v>
      </c>
      <c r="AB7301" s="7">
        <v>116.486</v>
      </c>
      <c r="AC7301" s="2"/>
    </row>
    <row r="7302" spans="1:29" ht="130" x14ac:dyDescent="0.15">
      <c r="A7302" s="3">
        <f>DATE(2004,6,7)</f>
        <v>38145</v>
      </c>
      <c r="B7302" s="3">
        <f>DATE(2004,10,1)</f>
        <v>38261</v>
      </c>
      <c r="C7302" s="2" t="s">
        <v>95</v>
      </c>
      <c r="D7302" s="2" t="s">
        <v>22031</v>
      </c>
      <c r="E7302" s="2" t="s">
        <v>1181</v>
      </c>
      <c r="F7302" s="4">
        <v>6021</v>
      </c>
      <c r="G7302" s="2" t="s">
        <v>37</v>
      </c>
      <c r="H7302" s="2" t="s">
        <v>34</v>
      </c>
      <c r="I7302" s="2" t="s">
        <v>22032</v>
      </c>
      <c r="J7302" s="2" t="s">
        <v>36</v>
      </c>
      <c r="K7302" s="2" t="s">
        <v>37</v>
      </c>
      <c r="L7302" s="2" t="s">
        <v>34</v>
      </c>
      <c r="M7302" s="6">
        <v>310.29000000000002</v>
      </c>
      <c r="N7302" s="5">
        <v>22.7</v>
      </c>
      <c r="O7302" s="6">
        <v>22.05</v>
      </c>
      <c r="P7302" s="2" t="s">
        <v>22033</v>
      </c>
      <c r="Q7302" s="6">
        <v>100</v>
      </c>
      <c r="R7302" s="2"/>
      <c r="S7302" s="2"/>
      <c r="T7302" s="2"/>
      <c r="U7302" s="2"/>
      <c r="V7302" s="2"/>
      <c r="W7302" s="6">
        <v>15.51</v>
      </c>
      <c r="X7302" s="5">
        <v>15.5</v>
      </c>
      <c r="Y7302" s="5">
        <v>16.5</v>
      </c>
      <c r="Z7302" s="6">
        <v>18.95</v>
      </c>
      <c r="AA7302" s="6">
        <v>2.31</v>
      </c>
      <c r="AB7302" s="2" t="s">
        <v>47</v>
      </c>
      <c r="AC7302" s="2"/>
    </row>
    <row r="7303" spans="1:29" ht="104" x14ac:dyDescent="0.15">
      <c r="A7303" s="3">
        <f>DATE(2004,6,7)</f>
        <v>38145</v>
      </c>
      <c r="B7303" s="3">
        <f>DATE(2004,9,15)</f>
        <v>38245</v>
      </c>
      <c r="C7303" s="2" t="s">
        <v>95</v>
      </c>
      <c r="D7303" s="2" t="s">
        <v>22034</v>
      </c>
      <c r="E7303" s="2" t="s">
        <v>22035</v>
      </c>
      <c r="F7303" s="4">
        <v>3089</v>
      </c>
      <c r="G7303" s="2" t="s">
        <v>447</v>
      </c>
      <c r="H7303" s="2" t="s">
        <v>34</v>
      </c>
      <c r="I7303" s="2" t="s">
        <v>22036</v>
      </c>
      <c r="J7303" s="2" t="s">
        <v>22037</v>
      </c>
      <c r="K7303" s="2" t="s">
        <v>112</v>
      </c>
      <c r="L7303" s="2" t="s">
        <v>34</v>
      </c>
      <c r="M7303" s="7">
        <v>445.89299999999997</v>
      </c>
      <c r="N7303" s="6">
        <v>32.76</v>
      </c>
      <c r="O7303" s="6">
        <v>33.19</v>
      </c>
      <c r="P7303" s="2" t="s">
        <v>22038</v>
      </c>
      <c r="Q7303" s="6">
        <v>100</v>
      </c>
      <c r="R7303" s="6">
        <v>18.600000000000001</v>
      </c>
      <c r="S7303" s="5">
        <v>9.6</v>
      </c>
      <c r="T7303" s="7">
        <v>18.103000000000002</v>
      </c>
      <c r="U7303" s="5">
        <v>7.9</v>
      </c>
      <c r="V7303" s="6">
        <v>1.1100000000000001</v>
      </c>
      <c r="W7303" s="6">
        <v>16.75</v>
      </c>
      <c r="X7303" s="6">
        <v>17.010000000000002</v>
      </c>
      <c r="Y7303" s="6">
        <v>18.43</v>
      </c>
      <c r="Z7303" s="5">
        <v>18.399999999999999</v>
      </c>
      <c r="AA7303" s="6">
        <v>8.35</v>
      </c>
      <c r="AB7303" s="7">
        <v>9.1780000000000008</v>
      </c>
      <c r="AC7303" s="6">
        <v>13.65</v>
      </c>
    </row>
    <row r="7304" spans="1:29" ht="130" x14ac:dyDescent="0.15">
      <c r="A7304" s="3">
        <f>DATE(2004,6,9)</f>
        <v>38147</v>
      </c>
      <c r="B7304" s="3">
        <f>DATE(2004,7,28)</f>
        <v>38196</v>
      </c>
      <c r="C7304" s="2" t="s">
        <v>95</v>
      </c>
      <c r="D7304" s="2" t="s">
        <v>22039</v>
      </c>
      <c r="E7304" s="2" t="s">
        <v>612</v>
      </c>
      <c r="F7304" s="4">
        <v>1311</v>
      </c>
      <c r="G7304" s="2" t="s">
        <v>148</v>
      </c>
      <c r="H7304" s="2" t="s">
        <v>34</v>
      </c>
      <c r="I7304" s="2" t="s">
        <v>22040</v>
      </c>
      <c r="J7304" s="2" t="s">
        <v>1435</v>
      </c>
      <c r="K7304" s="2" t="s">
        <v>148</v>
      </c>
      <c r="L7304" s="2" t="s">
        <v>902</v>
      </c>
      <c r="M7304" s="12">
        <v>11441.464</v>
      </c>
      <c r="N7304" s="7">
        <v>41.997</v>
      </c>
      <c r="O7304" s="6">
        <v>41.95</v>
      </c>
      <c r="P7304" s="2" t="s">
        <v>22041</v>
      </c>
      <c r="Q7304" s="6">
        <v>100</v>
      </c>
      <c r="R7304" s="6">
        <v>39.5</v>
      </c>
      <c r="S7304" s="5">
        <v>25.3</v>
      </c>
      <c r="T7304" s="7">
        <v>53.472999999999999</v>
      </c>
      <c r="U7304" s="5">
        <v>10.5</v>
      </c>
      <c r="V7304" s="6">
        <v>1.92</v>
      </c>
      <c r="W7304" s="6">
        <v>37.96</v>
      </c>
      <c r="X7304" s="6">
        <v>39.56</v>
      </c>
      <c r="Y7304" s="6">
        <v>39.409999999999997</v>
      </c>
      <c r="Z7304" s="5">
        <v>39.4</v>
      </c>
      <c r="AA7304" s="6">
        <v>12.98</v>
      </c>
      <c r="AB7304" s="7">
        <v>13.063000000000001</v>
      </c>
      <c r="AC7304" s="6">
        <v>776.05</v>
      </c>
    </row>
    <row r="7305" spans="1:29" ht="78" x14ac:dyDescent="0.15">
      <c r="A7305" s="3">
        <f>DATE(2004,6,11)</f>
        <v>38149</v>
      </c>
      <c r="B7305" s="3">
        <f>DATE(2004,7,9)</f>
        <v>38177</v>
      </c>
      <c r="C7305" s="2" t="s">
        <v>95</v>
      </c>
      <c r="D7305" s="2" t="s">
        <v>22042</v>
      </c>
      <c r="E7305" s="2" t="s">
        <v>22043</v>
      </c>
      <c r="F7305" s="4">
        <v>3648</v>
      </c>
      <c r="G7305" s="2" t="s">
        <v>137</v>
      </c>
      <c r="H7305" s="2" t="s">
        <v>34</v>
      </c>
      <c r="I7305" s="2" t="s">
        <v>22044</v>
      </c>
      <c r="J7305" s="2" t="s">
        <v>22045</v>
      </c>
      <c r="K7305" s="2" t="s">
        <v>364</v>
      </c>
      <c r="L7305" s="2" t="s">
        <v>34</v>
      </c>
      <c r="M7305" s="2"/>
      <c r="N7305" s="2"/>
      <c r="O7305" s="2"/>
      <c r="P7305" s="2" t="s">
        <v>22046</v>
      </c>
      <c r="Q7305" s="6">
        <v>100</v>
      </c>
      <c r="R7305" s="6">
        <v>8.32</v>
      </c>
      <c r="S7305" s="5">
        <v>-1.1000000000000001</v>
      </c>
      <c r="T7305" s="7">
        <v>15.874000000000001</v>
      </c>
      <c r="U7305" s="5">
        <v>4.5999999999999996</v>
      </c>
      <c r="V7305" s="6">
        <v>-0.14000000000000001</v>
      </c>
      <c r="W7305" s="6">
        <v>4.25</v>
      </c>
      <c r="X7305" s="6">
        <v>4.25</v>
      </c>
      <c r="Y7305" s="6">
        <v>4.25</v>
      </c>
      <c r="Z7305" s="5">
        <v>7.9</v>
      </c>
      <c r="AA7305" s="6">
        <v>7.46</v>
      </c>
      <c r="AB7305" s="7">
        <v>11.801</v>
      </c>
      <c r="AC7305" s="2"/>
    </row>
    <row r="7306" spans="1:29" ht="130" x14ac:dyDescent="0.15">
      <c r="A7306" s="3">
        <f>DATE(2004,6,14)</f>
        <v>38152</v>
      </c>
      <c r="B7306" s="3">
        <f>DATE(2004,11,19)</f>
        <v>38310</v>
      </c>
      <c r="C7306" s="2" t="s">
        <v>95</v>
      </c>
      <c r="D7306" s="2" t="s">
        <v>22047</v>
      </c>
      <c r="E7306" s="2" t="s">
        <v>21570</v>
      </c>
      <c r="F7306" s="4">
        <v>8731</v>
      </c>
      <c r="G7306" s="2" t="s">
        <v>223</v>
      </c>
      <c r="H7306" s="2" t="s">
        <v>34</v>
      </c>
      <c r="I7306" s="2" t="s">
        <v>22048</v>
      </c>
      <c r="J7306" s="2" t="s">
        <v>540</v>
      </c>
      <c r="K7306" s="2" t="s">
        <v>130</v>
      </c>
      <c r="L7306" s="2" t="s">
        <v>902</v>
      </c>
      <c r="M7306" s="12">
        <v>1686.1780000000001</v>
      </c>
      <c r="N7306" s="6">
        <v>17.55</v>
      </c>
      <c r="O7306" s="6">
        <v>18.63</v>
      </c>
      <c r="P7306" s="2" t="s">
        <v>22049</v>
      </c>
      <c r="Q7306" s="6">
        <v>100</v>
      </c>
      <c r="R7306" s="6">
        <v>35.630000000000003</v>
      </c>
      <c r="S7306" s="5">
        <v>-1.7</v>
      </c>
      <c r="T7306" s="7">
        <v>-4.9000000000000002E-2</v>
      </c>
      <c r="U7306" s="5">
        <v>5</v>
      </c>
      <c r="V7306" s="6">
        <v>-0.14000000000000001</v>
      </c>
      <c r="W7306" s="6">
        <v>28.88</v>
      </c>
      <c r="X7306" s="6">
        <v>28.02</v>
      </c>
      <c r="Y7306" s="6">
        <v>31.39</v>
      </c>
      <c r="Z7306" s="6">
        <v>32.72</v>
      </c>
      <c r="AA7306" s="6">
        <v>21.89</v>
      </c>
      <c r="AB7306" s="2" t="s">
        <v>86</v>
      </c>
      <c r="AC7306" s="6">
        <v>509.86</v>
      </c>
    </row>
    <row r="7307" spans="1:29" ht="130" x14ac:dyDescent="0.15">
      <c r="A7307" s="3">
        <f>DATE(2004,6,14)</f>
        <v>38152</v>
      </c>
      <c r="B7307" s="3">
        <f>DATE(2004,12,31)</f>
        <v>38352</v>
      </c>
      <c r="C7307" s="2" t="s">
        <v>95</v>
      </c>
      <c r="D7307" s="2" t="s">
        <v>22050</v>
      </c>
      <c r="E7307" s="2" t="s">
        <v>672</v>
      </c>
      <c r="F7307" s="4">
        <v>6022</v>
      </c>
      <c r="G7307" s="2" t="s">
        <v>37</v>
      </c>
      <c r="H7307" s="2" t="s">
        <v>34</v>
      </c>
      <c r="I7307" s="2" t="s">
        <v>4525</v>
      </c>
      <c r="J7307" s="2" t="s">
        <v>36</v>
      </c>
      <c r="K7307" s="2" t="s">
        <v>37</v>
      </c>
      <c r="L7307" s="2" t="s">
        <v>34</v>
      </c>
      <c r="M7307" s="10">
        <v>2300.42</v>
      </c>
      <c r="N7307" s="6">
        <v>19.809999999999999</v>
      </c>
      <c r="O7307" s="6">
        <v>19.96</v>
      </c>
      <c r="P7307" s="2" t="s">
        <v>22051</v>
      </c>
      <c r="Q7307" s="6">
        <v>100</v>
      </c>
      <c r="R7307" s="6">
        <v>27.3</v>
      </c>
      <c r="S7307" s="5">
        <v>4.9000000000000004</v>
      </c>
      <c r="T7307" s="2"/>
      <c r="U7307" s="5">
        <v>8.6</v>
      </c>
      <c r="V7307" s="9">
        <v>1.0745</v>
      </c>
      <c r="W7307" s="4">
        <v>20</v>
      </c>
      <c r="X7307" s="6">
        <v>19.61</v>
      </c>
      <c r="Y7307" s="6">
        <v>20.75</v>
      </c>
      <c r="Z7307" s="6">
        <v>26.58</v>
      </c>
      <c r="AA7307" s="6">
        <v>4.24</v>
      </c>
      <c r="AB7307" s="2" t="s">
        <v>47</v>
      </c>
      <c r="AC7307" s="2"/>
    </row>
    <row r="7308" spans="1:29" ht="208" x14ac:dyDescent="0.15">
      <c r="A7308" s="3">
        <f>DATE(2004,6,14)</f>
        <v>38152</v>
      </c>
      <c r="B7308" s="3">
        <f>DATE(2004,12,3)</f>
        <v>38324</v>
      </c>
      <c r="C7308" s="2" t="s">
        <v>95</v>
      </c>
      <c r="D7308" s="2" t="s">
        <v>22052</v>
      </c>
      <c r="E7308" s="2" t="s">
        <v>672</v>
      </c>
      <c r="F7308" s="4">
        <v>6022</v>
      </c>
      <c r="G7308" s="2" t="s">
        <v>37</v>
      </c>
      <c r="H7308" s="2" t="s">
        <v>34</v>
      </c>
      <c r="I7308" s="2" t="s">
        <v>11988</v>
      </c>
      <c r="J7308" s="2" t="s">
        <v>159</v>
      </c>
      <c r="K7308" s="2" t="s">
        <v>37</v>
      </c>
      <c r="L7308" s="2" t="s">
        <v>34</v>
      </c>
      <c r="M7308" s="7">
        <v>510.74099999999999</v>
      </c>
      <c r="N7308" s="5">
        <v>23.4</v>
      </c>
      <c r="O7308" s="6">
        <v>23.92</v>
      </c>
      <c r="P7308" s="2" t="s">
        <v>22053</v>
      </c>
      <c r="Q7308" s="6">
        <v>100</v>
      </c>
      <c r="R7308" s="6">
        <v>21.27</v>
      </c>
      <c r="S7308" s="2"/>
      <c r="T7308" s="2"/>
      <c r="U7308" s="2"/>
      <c r="V7308" s="2"/>
      <c r="W7308" s="6">
        <v>13.25</v>
      </c>
      <c r="X7308" s="6">
        <v>13.25</v>
      </c>
      <c r="Y7308" s="6">
        <v>20.52</v>
      </c>
      <c r="Z7308" s="5">
        <v>20.2</v>
      </c>
      <c r="AA7308" s="6">
        <v>2.06</v>
      </c>
      <c r="AB7308" s="2" t="s">
        <v>47</v>
      </c>
      <c r="AC7308" s="2"/>
    </row>
    <row r="7309" spans="1:29" ht="221" x14ac:dyDescent="0.15">
      <c r="A7309" s="3">
        <f>DATE(2004,6,14)</f>
        <v>38152</v>
      </c>
      <c r="B7309" s="3">
        <f>DATE(2004,11,10)</f>
        <v>38301</v>
      </c>
      <c r="C7309" s="2" t="s">
        <v>95</v>
      </c>
      <c r="D7309" s="2" t="s">
        <v>21401</v>
      </c>
      <c r="E7309" s="2" t="s">
        <v>21402</v>
      </c>
      <c r="F7309" s="4">
        <v>8099</v>
      </c>
      <c r="G7309" s="2" t="s">
        <v>454</v>
      </c>
      <c r="H7309" s="2" t="s">
        <v>34</v>
      </c>
      <c r="I7309" s="2" t="s">
        <v>22054</v>
      </c>
      <c r="J7309" s="2" t="s">
        <v>22055</v>
      </c>
      <c r="K7309" s="2" t="s">
        <v>226</v>
      </c>
      <c r="L7309" s="2" t="s">
        <v>34</v>
      </c>
      <c r="M7309" s="6">
        <v>84.83</v>
      </c>
      <c r="N7309" s="6">
        <v>7.03</v>
      </c>
      <c r="O7309" s="6">
        <v>7.14</v>
      </c>
      <c r="P7309" s="2" t="s">
        <v>22056</v>
      </c>
      <c r="Q7309" s="6">
        <v>100</v>
      </c>
      <c r="R7309" s="6">
        <v>7.04</v>
      </c>
      <c r="S7309" s="5">
        <v>5.6</v>
      </c>
      <c r="T7309" s="7">
        <v>42.405999999999999</v>
      </c>
      <c r="U7309" s="5">
        <v>6.1</v>
      </c>
      <c r="V7309" s="6">
        <v>0.31</v>
      </c>
      <c r="W7309" s="6">
        <v>5.35</v>
      </c>
      <c r="X7309" s="6">
        <v>5.94</v>
      </c>
      <c r="Y7309" s="6">
        <v>7.01</v>
      </c>
      <c r="Z7309" s="6">
        <v>7.06</v>
      </c>
      <c r="AA7309" s="6">
        <v>20.73</v>
      </c>
      <c r="AB7309" s="7">
        <v>6.9</v>
      </c>
      <c r="AC7309" s="5">
        <v>10.4</v>
      </c>
    </row>
    <row r="7310" spans="1:29" ht="78" x14ac:dyDescent="0.15">
      <c r="A7310" s="3">
        <f>DATE(2004,6,15)</f>
        <v>38153</v>
      </c>
      <c r="B7310" s="3">
        <f>DATE(2004,10,1)</f>
        <v>38261</v>
      </c>
      <c r="C7310" s="2" t="s">
        <v>95</v>
      </c>
      <c r="D7310" s="2" t="s">
        <v>22057</v>
      </c>
      <c r="E7310" s="2" t="s">
        <v>1181</v>
      </c>
      <c r="F7310" s="4">
        <v>6021</v>
      </c>
      <c r="G7310" s="2" t="s">
        <v>37</v>
      </c>
      <c r="H7310" s="2" t="s">
        <v>34</v>
      </c>
      <c r="I7310" s="2" t="s">
        <v>19049</v>
      </c>
      <c r="J7310" s="2" t="s">
        <v>19050</v>
      </c>
      <c r="K7310" s="2" t="s">
        <v>37</v>
      </c>
      <c r="L7310" s="2" t="s">
        <v>34</v>
      </c>
      <c r="M7310" s="7">
        <v>607.64700000000005</v>
      </c>
      <c r="N7310" s="6">
        <v>23.11</v>
      </c>
      <c r="O7310" s="6">
        <v>23.59</v>
      </c>
      <c r="P7310" s="2" t="s">
        <v>22058</v>
      </c>
      <c r="Q7310" s="6">
        <v>100</v>
      </c>
      <c r="R7310" s="6">
        <v>25.25</v>
      </c>
      <c r="S7310" s="2"/>
      <c r="T7310" s="2"/>
      <c r="U7310" s="2"/>
      <c r="V7310" s="2"/>
      <c r="W7310" s="6">
        <v>17.25</v>
      </c>
      <c r="X7310" s="6">
        <v>17.25</v>
      </c>
      <c r="Y7310" s="6">
        <v>17.95</v>
      </c>
      <c r="Z7310" s="6">
        <v>24.72</v>
      </c>
      <c r="AA7310" s="6">
        <v>1.31</v>
      </c>
      <c r="AB7310" s="2" t="s">
        <v>47</v>
      </c>
      <c r="AC7310" s="2"/>
    </row>
    <row r="7311" spans="1:29" ht="156" x14ac:dyDescent="0.15">
      <c r="A7311" s="3">
        <f>DATE(2004,6,15)</f>
        <v>38153</v>
      </c>
      <c r="B7311" s="3">
        <f>DATE(2005,4,13)</f>
        <v>38455</v>
      </c>
      <c r="C7311" s="2" t="s">
        <v>95</v>
      </c>
      <c r="D7311" s="2" t="s">
        <v>16858</v>
      </c>
      <c r="E7311" s="2" t="s">
        <v>16859</v>
      </c>
      <c r="F7311" s="4">
        <v>5812</v>
      </c>
      <c r="G7311" s="2" t="s">
        <v>230</v>
      </c>
      <c r="H7311" s="2" t="s">
        <v>34</v>
      </c>
      <c r="I7311" s="2" t="s">
        <v>51</v>
      </c>
      <c r="J7311" s="2" t="s">
        <v>52</v>
      </c>
      <c r="K7311" s="2" t="s">
        <v>53</v>
      </c>
      <c r="L7311" s="2" t="s">
        <v>34</v>
      </c>
      <c r="M7311" s="2"/>
      <c r="N7311" s="2"/>
      <c r="O7311" s="2"/>
      <c r="P7311" s="2" t="s">
        <v>22059</v>
      </c>
      <c r="Q7311" s="6">
        <v>56.78</v>
      </c>
      <c r="R7311" s="6">
        <v>3.2</v>
      </c>
      <c r="S7311" s="5">
        <v>3.2</v>
      </c>
      <c r="T7311" s="6">
        <v>24.56</v>
      </c>
      <c r="U7311" s="5">
        <v>2.5</v>
      </c>
      <c r="V7311" s="6">
        <v>0.39</v>
      </c>
      <c r="W7311" s="6">
        <v>2.29</v>
      </c>
      <c r="X7311" s="6">
        <v>2.2400000000000002</v>
      </c>
      <c r="Y7311" s="5">
        <v>2.2999999999999998</v>
      </c>
      <c r="Z7311" s="6">
        <v>2.75</v>
      </c>
      <c r="AA7311" s="6">
        <v>11.6</v>
      </c>
      <c r="AB7311" s="7">
        <v>8.2279999999999998</v>
      </c>
      <c r="AC7311" s="2"/>
    </row>
    <row r="7312" spans="1:29" ht="143" x14ac:dyDescent="0.15">
      <c r="A7312" s="3">
        <f>DATE(2004,6,16)</f>
        <v>38154</v>
      </c>
      <c r="B7312" s="3">
        <f>DATE(2004,10,1)</f>
        <v>38261</v>
      </c>
      <c r="C7312" s="2" t="s">
        <v>95</v>
      </c>
      <c r="D7312" s="2" t="s">
        <v>22060</v>
      </c>
      <c r="E7312" s="2" t="s">
        <v>22061</v>
      </c>
      <c r="F7312" s="4">
        <v>7361</v>
      </c>
      <c r="G7312" s="2" t="s">
        <v>223</v>
      </c>
      <c r="H7312" s="2" t="s">
        <v>34</v>
      </c>
      <c r="I7312" s="2" t="s">
        <v>22062</v>
      </c>
      <c r="J7312" s="2" t="s">
        <v>22063</v>
      </c>
      <c r="K7312" s="2" t="s">
        <v>223</v>
      </c>
      <c r="L7312" s="2" t="s">
        <v>34</v>
      </c>
      <c r="M7312" s="10">
        <v>3007.53</v>
      </c>
      <c r="N7312" s="6">
        <v>27.25</v>
      </c>
      <c r="O7312" s="6">
        <v>28.93</v>
      </c>
      <c r="P7312" s="2" t="s">
        <v>22064</v>
      </c>
      <c r="Q7312" s="6">
        <v>100</v>
      </c>
      <c r="R7312" s="6">
        <v>6.3</v>
      </c>
      <c r="S7312" s="5">
        <v>-7.3</v>
      </c>
      <c r="T7312" s="7">
        <v>35.680999999999997</v>
      </c>
      <c r="U7312" s="5">
        <v>2.1</v>
      </c>
      <c r="V7312" s="6">
        <v>-0.03</v>
      </c>
      <c r="W7312" s="6">
        <v>5.97</v>
      </c>
      <c r="X7312" s="6">
        <v>5.99</v>
      </c>
      <c r="Y7312" s="6">
        <v>5.62</v>
      </c>
      <c r="Z7312" s="6">
        <v>5.68</v>
      </c>
      <c r="AA7312" s="6">
        <v>109.72</v>
      </c>
      <c r="AB7312" s="7">
        <v>182.04</v>
      </c>
      <c r="AC7312" s="6">
        <v>267.64999999999998</v>
      </c>
    </row>
    <row r="7313" spans="1:29" ht="182" x14ac:dyDescent="0.15">
      <c r="A7313" s="3">
        <f>DATE(2004,6,17)</f>
        <v>38155</v>
      </c>
      <c r="B7313" s="3">
        <f>DATE(2004,12,9)</f>
        <v>38330</v>
      </c>
      <c r="C7313" s="2" t="s">
        <v>95</v>
      </c>
      <c r="D7313" s="2" t="s">
        <v>8414</v>
      </c>
      <c r="E7313" s="2" t="s">
        <v>8415</v>
      </c>
      <c r="F7313" s="4">
        <v>3353</v>
      </c>
      <c r="G7313" s="2" t="s">
        <v>163</v>
      </c>
      <c r="H7313" s="2" t="s">
        <v>34</v>
      </c>
      <c r="I7313" s="2" t="s">
        <v>22065</v>
      </c>
      <c r="J7313" s="2" t="s">
        <v>22066</v>
      </c>
      <c r="K7313" s="2" t="s">
        <v>163</v>
      </c>
      <c r="L7313" s="2" t="s">
        <v>34</v>
      </c>
      <c r="M7313" s="6">
        <v>169.88</v>
      </c>
      <c r="N7313" s="6">
        <v>12.01</v>
      </c>
      <c r="O7313" s="6">
        <v>12.26</v>
      </c>
      <c r="P7313" s="2" t="s">
        <v>22067</v>
      </c>
      <c r="Q7313" s="6">
        <v>100</v>
      </c>
      <c r="R7313" s="6">
        <v>10.95</v>
      </c>
      <c r="S7313" s="5">
        <v>-19.600000000000001</v>
      </c>
      <c r="T7313" s="7">
        <v>45.927999999999997</v>
      </c>
      <c r="U7313" s="5">
        <v>5.3</v>
      </c>
      <c r="V7313" s="6">
        <v>-1.4</v>
      </c>
      <c r="W7313" s="6">
        <v>9.4499999999999993</v>
      </c>
      <c r="X7313" s="5">
        <v>8.6</v>
      </c>
      <c r="Y7313" s="6">
        <v>9.4600000000000009</v>
      </c>
      <c r="Z7313" s="6">
        <v>9.7799999999999994</v>
      </c>
      <c r="AA7313" s="6">
        <v>16.03</v>
      </c>
      <c r="AB7313" s="7">
        <v>13.045</v>
      </c>
      <c r="AC7313" s="6">
        <v>33.04</v>
      </c>
    </row>
    <row r="7314" spans="1:29" ht="260" x14ac:dyDescent="0.15">
      <c r="A7314" s="3">
        <f>DATE(2004,6,17)</f>
        <v>38155</v>
      </c>
      <c r="B7314" s="2"/>
      <c r="C7314" s="2" t="s">
        <v>30</v>
      </c>
      <c r="D7314" s="2" t="s">
        <v>22068</v>
      </c>
      <c r="E7314" s="2" t="s">
        <v>22069</v>
      </c>
      <c r="F7314" s="4">
        <v>7375</v>
      </c>
      <c r="G7314" s="2" t="s">
        <v>223</v>
      </c>
      <c r="H7314" s="2" t="s">
        <v>34</v>
      </c>
      <c r="I7314" s="2" t="s">
        <v>22070</v>
      </c>
      <c r="J7314" s="2" t="s">
        <v>4679</v>
      </c>
      <c r="K7314" s="2" t="s">
        <v>551</v>
      </c>
      <c r="L7314" s="2" t="s">
        <v>34</v>
      </c>
      <c r="M7314" s="7">
        <v>335.53899999999999</v>
      </c>
      <c r="N7314" s="6">
        <v>12.57</v>
      </c>
      <c r="O7314" s="6">
        <v>12.68</v>
      </c>
      <c r="P7314" s="2" t="s">
        <v>22071</v>
      </c>
      <c r="Q7314" s="2"/>
      <c r="R7314" s="6">
        <v>6.13</v>
      </c>
      <c r="S7314" s="5">
        <v>-6.1</v>
      </c>
      <c r="T7314" s="7">
        <v>15.634</v>
      </c>
      <c r="U7314" s="5">
        <v>2.5</v>
      </c>
      <c r="V7314" s="6">
        <v>-0.38</v>
      </c>
      <c r="W7314" s="6">
        <v>5.34</v>
      </c>
      <c r="X7314" s="6">
        <v>5.99</v>
      </c>
      <c r="Y7314" s="6">
        <v>6.19</v>
      </c>
      <c r="Z7314" s="6">
        <v>6.27</v>
      </c>
      <c r="AA7314" s="6">
        <v>15.94</v>
      </c>
      <c r="AB7314" s="7">
        <v>12.504</v>
      </c>
      <c r="AC7314" s="6">
        <v>80.84</v>
      </c>
    </row>
    <row r="7315" spans="1:29" ht="143" x14ac:dyDescent="0.15">
      <c r="A7315" s="3">
        <f>DATE(2004,6,21)</f>
        <v>38159</v>
      </c>
      <c r="B7315" s="3">
        <f>DATE(2005,1,21)</f>
        <v>38373</v>
      </c>
      <c r="C7315" s="2" t="s">
        <v>95</v>
      </c>
      <c r="D7315" s="2" t="s">
        <v>22072</v>
      </c>
      <c r="E7315" s="2" t="s">
        <v>22073</v>
      </c>
      <c r="F7315" s="4">
        <v>6021</v>
      </c>
      <c r="G7315" s="2" t="s">
        <v>37</v>
      </c>
      <c r="H7315" s="2" t="s">
        <v>34</v>
      </c>
      <c r="I7315" s="2" t="s">
        <v>18969</v>
      </c>
      <c r="J7315" s="2" t="s">
        <v>18970</v>
      </c>
      <c r="K7315" s="2" t="s">
        <v>37</v>
      </c>
      <c r="L7315" s="2" t="s">
        <v>34</v>
      </c>
      <c r="M7315" s="12">
        <v>5464.6959999999999</v>
      </c>
      <c r="N7315" s="6">
        <v>32.270000000000003</v>
      </c>
      <c r="O7315" s="6">
        <v>32.29</v>
      </c>
      <c r="P7315" s="2" t="s">
        <v>22074</v>
      </c>
      <c r="Q7315" s="6">
        <v>100</v>
      </c>
      <c r="R7315" s="6">
        <v>40.56</v>
      </c>
      <c r="S7315" s="5">
        <v>5.7</v>
      </c>
      <c r="T7315" s="6">
        <v>8.44</v>
      </c>
      <c r="U7315" s="5">
        <v>21.1</v>
      </c>
      <c r="V7315" s="6">
        <v>1.24</v>
      </c>
      <c r="W7315" s="5">
        <v>31.8</v>
      </c>
      <c r="X7315" s="6">
        <v>31.25</v>
      </c>
      <c r="Y7315" s="6">
        <v>39.31</v>
      </c>
      <c r="Z7315" s="6">
        <v>39.43</v>
      </c>
      <c r="AA7315" s="6">
        <v>4.53</v>
      </c>
      <c r="AB7315" s="7">
        <v>268.52600000000001</v>
      </c>
      <c r="AC7315" s="2"/>
    </row>
    <row r="7316" spans="1:29" ht="143" x14ac:dyDescent="0.15">
      <c r="A7316" s="3">
        <f>DATE(2004,6,21)</f>
        <v>38159</v>
      </c>
      <c r="B7316" s="3">
        <f>DATE(2004,10,14)</f>
        <v>38274</v>
      </c>
      <c r="C7316" s="2" t="s">
        <v>95</v>
      </c>
      <c r="D7316" s="2" t="s">
        <v>22075</v>
      </c>
      <c r="E7316" s="2" t="s">
        <v>92</v>
      </c>
      <c r="F7316" s="4">
        <v>6798</v>
      </c>
      <c r="G7316" s="2" t="s">
        <v>53</v>
      </c>
      <c r="H7316" s="2" t="s">
        <v>34</v>
      </c>
      <c r="I7316" s="2" t="s">
        <v>4936</v>
      </c>
      <c r="J7316" s="2" t="s">
        <v>92</v>
      </c>
      <c r="K7316" s="2" t="s">
        <v>53</v>
      </c>
      <c r="L7316" s="2" t="s">
        <v>34</v>
      </c>
      <c r="M7316" s="12">
        <v>10033.761</v>
      </c>
      <c r="N7316" s="6">
        <v>51.98</v>
      </c>
      <c r="O7316" s="6">
        <v>51.83</v>
      </c>
      <c r="P7316" s="2" t="s">
        <v>22076</v>
      </c>
      <c r="Q7316" s="6">
        <v>100</v>
      </c>
      <c r="R7316" s="6">
        <v>66.36</v>
      </c>
      <c r="S7316" s="5">
        <v>102.5</v>
      </c>
      <c r="T7316" s="7">
        <v>187.86099999999999</v>
      </c>
      <c r="U7316" s="5">
        <v>11</v>
      </c>
      <c r="V7316" s="6">
        <v>2.2200000000000002</v>
      </c>
      <c r="W7316" s="6">
        <v>55.34</v>
      </c>
      <c r="X7316" s="6">
        <v>58.24</v>
      </c>
      <c r="Y7316" s="6">
        <v>65.25</v>
      </c>
      <c r="Z7316" s="6">
        <v>65.349999999999994</v>
      </c>
      <c r="AA7316" s="6">
        <v>51.38</v>
      </c>
      <c r="AB7316" s="7">
        <v>37.700000000000003</v>
      </c>
      <c r="AC7316" s="6">
        <v>489.76</v>
      </c>
    </row>
    <row r="7317" spans="1:29" ht="169" x14ac:dyDescent="0.15">
      <c r="A7317" s="3">
        <f>DATE(2004,6,21)</f>
        <v>38159</v>
      </c>
      <c r="B7317" s="3">
        <f>DATE(2004,7,29)</f>
        <v>38197</v>
      </c>
      <c r="C7317" s="2" t="s">
        <v>95</v>
      </c>
      <c r="D7317" s="2" t="s">
        <v>22077</v>
      </c>
      <c r="E7317" s="2" t="s">
        <v>10623</v>
      </c>
      <c r="F7317" s="4">
        <v>5941</v>
      </c>
      <c r="G7317" s="2" t="s">
        <v>73</v>
      </c>
      <c r="H7317" s="2" t="s">
        <v>34</v>
      </c>
      <c r="I7317" s="2" t="s">
        <v>22078</v>
      </c>
      <c r="J7317" s="2" t="s">
        <v>10623</v>
      </c>
      <c r="K7317" s="2" t="s">
        <v>73</v>
      </c>
      <c r="L7317" s="2" t="s">
        <v>34</v>
      </c>
      <c r="M7317" s="12">
        <v>1284.135</v>
      </c>
      <c r="N7317" s="5">
        <v>28.6</v>
      </c>
      <c r="O7317" s="5">
        <v>34.299999999999997</v>
      </c>
      <c r="P7317" s="2" t="s">
        <v>22079</v>
      </c>
      <c r="Q7317" s="6">
        <v>100</v>
      </c>
      <c r="R7317" s="6">
        <v>16.75</v>
      </c>
      <c r="S7317" s="5">
        <v>3.6</v>
      </c>
      <c r="T7317" s="7">
        <v>34.807000000000002</v>
      </c>
      <c r="U7317" s="5">
        <v>12.3</v>
      </c>
      <c r="V7317" s="6">
        <v>0.21</v>
      </c>
      <c r="W7317" s="6">
        <v>11.03</v>
      </c>
      <c r="X7317" s="6">
        <v>10.94</v>
      </c>
      <c r="Y7317" s="5">
        <v>11.1</v>
      </c>
      <c r="Z7317" s="6">
        <v>16.68</v>
      </c>
      <c r="AA7317" s="6">
        <v>17.38</v>
      </c>
      <c r="AB7317" s="7">
        <v>34.442</v>
      </c>
      <c r="AC7317" s="6">
        <v>192.71</v>
      </c>
    </row>
    <row r="7318" spans="1:29" ht="117" x14ac:dyDescent="0.15">
      <c r="A7318" s="3">
        <f>DATE(2004,6,21)</f>
        <v>38159</v>
      </c>
      <c r="B7318" s="3">
        <f>DATE(2004,11,1)</f>
        <v>38292</v>
      </c>
      <c r="C7318" s="2" t="s">
        <v>95</v>
      </c>
      <c r="D7318" s="2" t="s">
        <v>2336</v>
      </c>
      <c r="E7318" s="2" t="s">
        <v>2337</v>
      </c>
      <c r="F7318" s="4">
        <v>6021</v>
      </c>
      <c r="G7318" s="2" t="s">
        <v>37</v>
      </c>
      <c r="H7318" s="2" t="s">
        <v>34</v>
      </c>
      <c r="I7318" s="2" t="s">
        <v>22080</v>
      </c>
      <c r="J7318" s="2" t="s">
        <v>22081</v>
      </c>
      <c r="K7318" s="2" t="s">
        <v>37</v>
      </c>
      <c r="L7318" s="2" t="s">
        <v>34</v>
      </c>
      <c r="M7318" s="12">
        <v>61333.148999999998</v>
      </c>
      <c r="N7318" s="6">
        <v>45.02</v>
      </c>
      <c r="O7318" s="6">
        <v>44.91</v>
      </c>
      <c r="P7318" s="2" t="s">
        <v>22082</v>
      </c>
      <c r="Q7318" s="6">
        <v>100</v>
      </c>
      <c r="R7318" s="6">
        <v>41.83</v>
      </c>
      <c r="S7318" s="5">
        <v>716.8</v>
      </c>
      <c r="T7318" s="2"/>
      <c r="U7318" s="5">
        <v>13.6</v>
      </c>
      <c r="V7318" s="6">
        <v>2.12</v>
      </c>
      <c r="W7318" s="6">
        <v>33.32</v>
      </c>
      <c r="X7318" s="5">
        <v>34.799999999999997</v>
      </c>
      <c r="Y7318" s="6">
        <v>39.369999999999997</v>
      </c>
      <c r="Z7318" s="6">
        <v>39.159999999999997</v>
      </c>
      <c r="AA7318" s="6">
        <v>329.78</v>
      </c>
      <c r="AB7318" s="7">
        <v>24.849</v>
      </c>
      <c r="AC7318" s="2"/>
    </row>
    <row r="7319" spans="1:29" ht="130" x14ac:dyDescent="0.15">
      <c r="A7319" s="3">
        <f>DATE(2004,6,25)</f>
        <v>38163</v>
      </c>
      <c r="B7319" s="3">
        <f>DATE(2004,12,23)</f>
        <v>38344</v>
      </c>
      <c r="C7319" s="2" t="s">
        <v>95</v>
      </c>
      <c r="D7319" s="2" t="s">
        <v>22083</v>
      </c>
      <c r="E7319" s="2" t="s">
        <v>3336</v>
      </c>
      <c r="F7319" s="4">
        <v>3714</v>
      </c>
      <c r="G7319" s="2" t="s">
        <v>105</v>
      </c>
      <c r="H7319" s="2" t="s">
        <v>34</v>
      </c>
      <c r="I7319" s="2" t="s">
        <v>51</v>
      </c>
      <c r="J7319" s="2" t="s">
        <v>52</v>
      </c>
      <c r="K7319" s="2" t="s">
        <v>53</v>
      </c>
      <c r="L7319" s="2" t="s">
        <v>34</v>
      </c>
      <c r="M7319" s="2"/>
      <c r="N7319" s="2"/>
      <c r="O7319" s="2"/>
      <c r="P7319" s="2" t="s">
        <v>22084</v>
      </c>
      <c r="Q7319" s="6">
        <v>36.950000000000003</v>
      </c>
      <c r="R7319" s="6">
        <v>16.75</v>
      </c>
      <c r="S7319" s="5">
        <v>3.4</v>
      </c>
      <c r="T7319" s="7">
        <v>10.371</v>
      </c>
      <c r="U7319" s="5">
        <v>16.399999999999999</v>
      </c>
      <c r="V7319" s="6">
        <v>0.61</v>
      </c>
      <c r="W7319" s="6">
        <v>14.81</v>
      </c>
      <c r="X7319" s="6">
        <v>14.81</v>
      </c>
      <c r="Y7319" s="6">
        <v>14.81</v>
      </c>
      <c r="Z7319" s="5">
        <v>16.399999999999999</v>
      </c>
      <c r="AA7319" s="6">
        <v>5.49</v>
      </c>
      <c r="AB7319" s="7">
        <v>19.766999999999999</v>
      </c>
      <c r="AC7319" s="2"/>
    </row>
    <row r="7320" spans="1:29" ht="78" x14ac:dyDescent="0.15">
      <c r="A7320" s="3">
        <f>DATE(2004,6,25)</f>
        <v>38163</v>
      </c>
      <c r="B7320" s="3">
        <f>DATE(2004,10,15)</f>
        <v>38275</v>
      </c>
      <c r="C7320" s="2" t="s">
        <v>95</v>
      </c>
      <c r="D7320" s="2" t="s">
        <v>22085</v>
      </c>
      <c r="E7320" s="2" t="s">
        <v>17251</v>
      </c>
      <c r="F7320" s="4">
        <v>6036</v>
      </c>
      <c r="G7320" s="2" t="s">
        <v>33</v>
      </c>
      <c r="H7320" s="2" t="s">
        <v>34</v>
      </c>
      <c r="I7320" s="2" t="s">
        <v>5994</v>
      </c>
      <c r="J7320" s="2" t="s">
        <v>5995</v>
      </c>
      <c r="K7320" s="2" t="s">
        <v>37</v>
      </c>
      <c r="L7320" s="2" t="s">
        <v>34</v>
      </c>
      <c r="M7320" s="12">
        <v>12888.623</v>
      </c>
      <c r="N7320" s="4">
        <v>30</v>
      </c>
      <c r="O7320" s="6">
        <v>29.91</v>
      </c>
      <c r="P7320" s="2" t="s">
        <v>22086</v>
      </c>
      <c r="Q7320" s="6">
        <v>100</v>
      </c>
      <c r="R7320" s="6">
        <v>25.6</v>
      </c>
      <c r="S7320" s="5">
        <v>7</v>
      </c>
      <c r="T7320" s="7">
        <v>12.715</v>
      </c>
      <c r="U7320" s="5">
        <v>13.1</v>
      </c>
      <c r="V7320" s="6">
        <v>0.95</v>
      </c>
      <c r="W7320" s="6">
        <v>20.75</v>
      </c>
      <c r="X7320" s="6">
        <v>19.95</v>
      </c>
      <c r="Y7320" s="6">
        <v>25.35</v>
      </c>
      <c r="Z7320" s="6">
        <v>25.36</v>
      </c>
      <c r="AA7320" s="6">
        <v>6.89</v>
      </c>
      <c r="AB7320" s="7">
        <v>28.995999999999999</v>
      </c>
      <c r="AC7320" s="2"/>
    </row>
    <row r="7321" spans="1:29" ht="117" x14ac:dyDescent="0.15">
      <c r="A7321" s="3">
        <f>DATE(2004,6,28)</f>
        <v>38166</v>
      </c>
      <c r="B7321" s="3">
        <f>DATE(2004,10,1)</f>
        <v>38261</v>
      </c>
      <c r="C7321" s="2" t="s">
        <v>95</v>
      </c>
      <c r="D7321" s="2" t="s">
        <v>22087</v>
      </c>
      <c r="E7321" s="2" t="s">
        <v>1181</v>
      </c>
      <c r="F7321" s="4">
        <v>6021</v>
      </c>
      <c r="G7321" s="2" t="s">
        <v>37</v>
      </c>
      <c r="H7321" s="2" t="s">
        <v>34</v>
      </c>
      <c r="I7321" s="2" t="s">
        <v>22088</v>
      </c>
      <c r="J7321" s="2" t="s">
        <v>17388</v>
      </c>
      <c r="K7321" s="2" t="s">
        <v>37</v>
      </c>
      <c r="L7321" s="2" t="s">
        <v>34</v>
      </c>
      <c r="M7321" s="7">
        <v>104.953</v>
      </c>
      <c r="N7321" s="6">
        <v>24.23</v>
      </c>
      <c r="O7321" s="6">
        <v>23.51</v>
      </c>
      <c r="P7321" s="2" t="s">
        <v>22089</v>
      </c>
      <c r="Q7321" s="6">
        <v>100</v>
      </c>
      <c r="R7321" s="6">
        <v>26.1</v>
      </c>
      <c r="S7321" s="2"/>
      <c r="T7321" s="2"/>
      <c r="U7321" s="2"/>
      <c r="V7321" s="2"/>
      <c r="W7321" s="5">
        <v>17.5</v>
      </c>
      <c r="X7321" s="4">
        <v>19</v>
      </c>
      <c r="Y7321" s="4">
        <v>19</v>
      </c>
      <c r="Z7321" s="6">
        <v>24.03</v>
      </c>
      <c r="AA7321" s="6">
        <v>0.93</v>
      </c>
      <c r="AB7321" s="2" t="s">
        <v>47</v>
      </c>
      <c r="AC7321" s="2"/>
    </row>
    <row r="7322" spans="1:29" ht="91" x14ac:dyDescent="0.15">
      <c r="A7322" s="3">
        <f>DATE(2004,6,28)</f>
        <v>38166</v>
      </c>
      <c r="B7322" s="3">
        <f>DATE(2004,11,30)</f>
        <v>38321</v>
      </c>
      <c r="C7322" s="2" t="s">
        <v>95</v>
      </c>
      <c r="D7322" s="2" t="s">
        <v>22090</v>
      </c>
      <c r="E7322" s="2" t="s">
        <v>22091</v>
      </c>
      <c r="F7322" s="4">
        <v>2731</v>
      </c>
      <c r="G7322" s="2" t="s">
        <v>186</v>
      </c>
      <c r="H7322" s="2" t="s">
        <v>34</v>
      </c>
      <c r="I7322" s="2" t="s">
        <v>5525</v>
      </c>
      <c r="J7322" s="2" t="s">
        <v>20770</v>
      </c>
      <c r="K7322" s="2" t="s">
        <v>223</v>
      </c>
      <c r="L7322" s="2" t="s">
        <v>34</v>
      </c>
      <c r="M7322" s="12">
        <v>29240.071</v>
      </c>
      <c r="N7322" s="6">
        <v>31.98</v>
      </c>
      <c r="O7322" s="6">
        <v>32.39</v>
      </c>
      <c r="P7322" s="2" t="s">
        <v>22092</v>
      </c>
      <c r="Q7322" s="6">
        <v>100</v>
      </c>
      <c r="R7322" s="6">
        <v>28</v>
      </c>
      <c r="S7322" s="5">
        <v>7.5</v>
      </c>
      <c r="T7322" s="7">
        <v>19.632000000000001</v>
      </c>
      <c r="U7322" s="5">
        <v>13.7</v>
      </c>
      <c r="V7322" s="6">
        <v>0.37</v>
      </c>
      <c r="W7322" s="6">
        <v>25.85</v>
      </c>
      <c r="X7322" s="6">
        <v>26.44</v>
      </c>
      <c r="Y7322" s="6">
        <v>27.57</v>
      </c>
      <c r="Z7322" s="6">
        <v>27.32</v>
      </c>
      <c r="AA7322" s="6">
        <v>20.9</v>
      </c>
      <c r="AB7322" s="7">
        <v>62.253999999999998</v>
      </c>
      <c r="AC7322" s="6">
        <v>719.73</v>
      </c>
    </row>
    <row r="7323" spans="1:29" ht="104" x14ac:dyDescent="0.15">
      <c r="A7323" s="3">
        <f>DATE(2004,6,29)</f>
        <v>38167</v>
      </c>
      <c r="B7323" s="3">
        <f>DATE(2004,9,8)</f>
        <v>38238</v>
      </c>
      <c r="C7323" s="2" t="s">
        <v>95</v>
      </c>
      <c r="D7323" s="2" t="s">
        <v>22093</v>
      </c>
      <c r="E7323" s="2" t="s">
        <v>22094</v>
      </c>
      <c r="F7323" s="4">
        <v>7372</v>
      </c>
      <c r="G7323" s="2" t="s">
        <v>551</v>
      </c>
      <c r="H7323" s="2" t="s">
        <v>34</v>
      </c>
      <c r="I7323" s="2" t="s">
        <v>22095</v>
      </c>
      <c r="J7323" s="2" t="s">
        <v>3197</v>
      </c>
      <c r="K7323" s="2" t="s">
        <v>53</v>
      </c>
      <c r="L7323" s="2" t="s">
        <v>34</v>
      </c>
      <c r="M7323" s="2"/>
      <c r="N7323" s="2"/>
      <c r="O7323" s="2"/>
      <c r="P7323" s="2" t="s">
        <v>22096</v>
      </c>
      <c r="Q7323" s="6">
        <v>100</v>
      </c>
      <c r="R7323" s="6">
        <v>2.5</v>
      </c>
      <c r="S7323" s="5">
        <v>-5</v>
      </c>
      <c r="T7323" s="7">
        <v>-0.79100000000000004</v>
      </c>
      <c r="U7323" s="5">
        <v>-0.4</v>
      </c>
      <c r="V7323" s="6">
        <v>-0.64</v>
      </c>
      <c r="W7323" s="5">
        <v>1.3</v>
      </c>
      <c r="X7323" s="5">
        <v>1.3</v>
      </c>
      <c r="Y7323" s="6">
        <v>2.23</v>
      </c>
      <c r="Z7323" s="6">
        <v>2.25</v>
      </c>
      <c r="AA7323" s="6">
        <v>7.87</v>
      </c>
      <c r="AB7323" s="2" t="s">
        <v>86</v>
      </c>
      <c r="AC7323" s="2"/>
    </row>
    <row r="7324" spans="1:29" ht="91" x14ac:dyDescent="0.15">
      <c r="A7324" s="3">
        <f>DATE(2004,6,29)</f>
        <v>38167</v>
      </c>
      <c r="B7324" s="3">
        <f>DATE(2004,9,30)</f>
        <v>38260</v>
      </c>
      <c r="C7324" s="2" t="s">
        <v>95</v>
      </c>
      <c r="D7324" s="2" t="s">
        <v>22097</v>
      </c>
      <c r="E7324" s="2" t="s">
        <v>22098</v>
      </c>
      <c r="F7324" s="4">
        <v>7372</v>
      </c>
      <c r="G7324" s="2" t="s">
        <v>551</v>
      </c>
      <c r="H7324" s="2" t="s">
        <v>34</v>
      </c>
      <c r="I7324" s="2" t="s">
        <v>22099</v>
      </c>
      <c r="J7324" s="2" t="s">
        <v>22100</v>
      </c>
      <c r="K7324" s="2" t="s">
        <v>226</v>
      </c>
      <c r="L7324" s="2" t="s">
        <v>34</v>
      </c>
      <c r="M7324" s="12">
        <v>2687.0819999999999</v>
      </c>
      <c r="N7324" s="6">
        <v>34.94</v>
      </c>
      <c r="O7324" s="6">
        <v>34.020000000000003</v>
      </c>
      <c r="P7324" s="2" t="s">
        <v>22101</v>
      </c>
      <c r="Q7324" s="6">
        <v>100</v>
      </c>
      <c r="R7324" s="6">
        <v>12.5</v>
      </c>
      <c r="S7324" s="5">
        <v>11.7</v>
      </c>
      <c r="T7324" s="7">
        <v>21.472999999999999</v>
      </c>
      <c r="U7324" s="5">
        <v>4.7</v>
      </c>
      <c r="V7324" s="6">
        <v>0.3</v>
      </c>
      <c r="W7324" s="6">
        <v>10.54</v>
      </c>
      <c r="X7324" s="6">
        <v>10.86</v>
      </c>
      <c r="Y7324" s="5">
        <v>10.7</v>
      </c>
      <c r="Z7324" s="6">
        <v>12.47</v>
      </c>
      <c r="AA7324" s="6">
        <v>39.22</v>
      </c>
      <c r="AB7324" s="7">
        <v>21.83</v>
      </c>
      <c r="AC7324" s="6">
        <v>221.48</v>
      </c>
    </row>
    <row r="7325" spans="1:29" ht="78" x14ac:dyDescent="0.15">
      <c r="A7325" s="3">
        <f>DATE(2004,6,29)</f>
        <v>38167</v>
      </c>
      <c r="B7325" s="3">
        <f>DATE(2004,12,10)</f>
        <v>38331</v>
      </c>
      <c r="C7325" s="2" t="s">
        <v>95</v>
      </c>
      <c r="D7325" s="2" t="s">
        <v>22102</v>
      </c>
      <c r="E7325" s="2" t="s">
        <v>4626</v>
      </c>
      <c r="F7325" s="4">
        <v>8051</v>
      </c>
      <c r="G7325" s="2" t="s">
        <v>454</v>
      </c>
      <c r="H7325" s="2" t="s">
        <v>34</v>
      </c>
      <c r="I7325" s="2" t="s">
        <v>22103</v>
      </c>
      <c r="J7325" s="2" t="s">
        <v>22104</v>
      </c>
      <c r="K7325" s="2" t="s">
        <v>454</v>
      </c>
      <c r="L7325" s="2" t="s">
        <v>34</v>
      </c>
      <c r="M7325" s="2"/>
      <c r="N7325" s="2"/>
      <c r="O7325" s="2"/>
      <c r="P7325" s="2" t="s">
        <v>22105</v>
      </c>
      <c r="Q7325" s="6">
        <v>100</v>
      </c>
      <c r="R7325" s="6">
        <v>30</v>
      </c>
      <c r="S7325" s="5">
        <v>-17.2</v>
      </c>
      <c r="T7325" s="7">
        <v>81.259</v>
      </c>
      <c r="U7325" s="5">
        <v>13.1</v>
      </c>
      <c r="V7325" s="6">
        <v>-0.87</v>
      </c>
      <c r="W7325" s="6">
        <v>18.03</v>
      </c>
      <c r="X7325" s="5">
        <v>20.100000000000001</v>
      </c>
      <c r="Y7325" s="6">
        <v>27.65</v>
      </c>
      <c r="Z7325" s="5">
        <v>26.9</v>
      </c>
      <c r="AA7325" s="6">
        <v>20.010000000000002</v>
      </c>
      <c r="AB7325" s="7">
        <v>23.068000000000001</v>
      </c>
      <c r="AC7325" s="2"/>
    </row>
    <row r="7326" spans="1:29" ht="143" x14ac:dyDescent="0.15">
      <c r="A7326" s="3">
        <f>DATE(2004,6,30)</f>
        <v>38168</v>
      </c>
      <c r="B7326" s="3">
        <f>DATE(2005,1,1)</f>
        <v>38353</v>
      </c>
      <c r="C7326" s="2" t="s">
        <v>95</v>
      </c>
      <c r="D7326" s="2" t="s">
        <v>22106</v>
      </c>
      <c r="E7326" s="2" t="s">
        <v>1181</v>
      </c>
      <c r="F7326" s="4">
        <v>6021</v>
      </c>
      <c r="G7326" s="2" t="s">
        <v>37</v>
      </c>
      <c r="H7326" s="2" t="s">
        <v>34</v>
      </c>
      <c r="I7326" s="2" t="s">
        <v>22107</v>
      </c>
      <c r="J7326" s="2" t="s">
        <v>22108</v>
      </c>
      <c r="K7326" s="2" t="s">
        <v>37</v>
      </c>
      <c r="L7326" s="2" t="s">
        <v>34</v>
      </c>
      <c r="M7326" s="7">
        <v>50.247</v>
      </c>
      <c r="N7326" s="5">
        <v>28.5</v>
      </c>
      <c r="O7326" s="6">
        <v>23.75</v>
      </c>
      <c r="P7326" s="2" t="s">
        <v>22109</v>
      </c>
      <c r="Q7326" s="6">
        <v>100</v>
      </c>
      <c r="R7326" s="6">
        <v>28.5</v>
      </c>
      <c r="S7326" s="2"/>
      <c r="T7326" s="2"/>
      <c r="U7326" s="2"/>
      <c r="V7326" s="2"/>
      <c r="W7326" s="5">
        <v>17.5</v>
      </c>
      <c r="X7326" s="5">
        <v>18.100000000000001</v>
      </c>
      <c r="Y7326" s="5">
        <v>18.100000000000001</v>
      </c>
      <c r="Z7326" s="6">
        <v>20.25</v>
      </c>
      <c r="AA7326" s="6">
        <v>1.97</v>
      </c>
      <c r="AB7326" s="2" t="s">
        <v>47</v>
      </c>
      <c r="AC7326" s="2"/>
    </row>
    <row r="7327" spans="1:29" ht="91" x14ac:dyDescent="0.15">
      <c r="A7327" s="3">
        <f>DATE(2004,7,1)</f>
        <v>38169</v>
      </c>
      <c r="B7327" s="2"/>
      <c r="C7327" s="2" t="s">
        <v>30</v>
      </c>
      <c r="D7327" s="2" t="s">
        <v>11896</v>
      </c>
      <c r="E7327" s="2" t="s">
        <v>11897</v>
      </c>
      <c r="F7327" s="4">
        <v>3812</v>
      </c>
      <c r="G7327" s="2" t="s">
        <v>226</v>
      </c>
      <c r="H7327" s="2" t="s">
        <v>34</v>
      </c>
      <c r="I7327" s="2" t="s">
        <v>13358</v>
      </c>
      <c r="J7327" s="2" t="s">
        <v>13359</v>
      </c>
      <c r="K7327" s="2" t="s">
        <v>921</v>
      </c>
      <c r="L7327" s="2" t="s">
        <v>34</v>
      </c>
      <c r="M7327" s="12">
        <v>6825.7479999999996</v>
      </c>
      <c r="N7327" s="5">
        <v>65.2</v>
      </c>
      <c r="O7327" s="6">
        <v>64.64</v>
      </c>
      <c r="P7327" s="2" t="s">
        <v>22110</v>
      </c>
      <c r="Q7327" s="2"/>
      <c r="R7327" s="6">
        <v>42</v>
      </c>
      <c r="S7327" s="5">
        <v>49.2</v>
      </c>
      <c r="T7327" s="7">
        <v>152.92099999999999</v>
      </c>
      <c r="U7327" s="5">
        <v>22.5</v>
      </c>
      <c r="V7327" s="6">
        <v>1.88</v>
      </c>
      <c r="W7327" s="6">
        <v>30.74</v>
      </c>
      <c r="X7327" s="5">
        <v>31.9</v>
      </c>
      <c r="Y7327" s="4">
        <v>37</v>
      </c>
      <c r="Z7327" s="6">
        <v>37.65</v>
      </c>
      <c r="AA7327" s="6">
        <v>26.07</v>
      </c>
      <c r="AB7327" s="7">
        <v>14.313000000000001</v>
      </c>
      <c r="AC7327" s="6">
        <v>227.97</v>
      </c>
    </row>
    <row r="7328" spans="1:29" ht="169" x14ac:dyDescent="0.15">
      <c r="A7328" s="3">
        <f>DATE(2004,7,1)</f>
        <v>38169</v>
      </c>
      <c r="B7328" s="3">
        <f>DATE(2005,3,14)</f>
        <v>38425</v>
      </c>
      <c r="C7328" s="2" t="s">
        <v>95</v>
      </c>
      <c r="D7328" s="2" t="s">
        <v>22111</v>
      </c>
      <c r="E7328" s="2" t="s">
        <v>22112</v>
      </c>
      <c r="F7328" s="4">
        <v>3559</v>
      </c>
      <c r="G7328" s="2" t="s">
        <v>300</v>
      </c>
      <c r="H7328" s="2" t="s">
        <v>34</v>
      </c>
      <c r="I7328" s="2" t="s">
        <v>22113</v>
      </c>
      <c r="J7328" s="2" t="s">
        <v>22114</v>
      </c>
      <c r="K7328" s="2" t="s">
        <v>137</v>
      </c>
      <c r="L7328" s="2" t="s">
        <v>1049</v>
      </c>
      <c r="M7328" s="7">
        <v>375.52199999999999</v>
      </c>
      <c r="N7328" s="7">
        <v>7.0759999999999996</v>
      </c>
      <c r="O7328" s="7">
        <v>6.6449999999999996</v>
      </c>
      <c r="P7328" s="2" t="s">
        <v>22115</v>
      </c>
      <c r="Q7328" s="6">
        <v>100</v>
      </c>
      <c r="R7328" s="6">
        <v>3.61</v>
      </c>
      <c r="S7328" s="5">
        <v>-5.6</v>
      </c>
      <c r="T7328" s="2"/>
      <c r="U7328" s="5">
        <v>1.2</v>
      </c>
      <c r="V7328" s="6">
        <v>-0.17</v>
      </c>
      <c r="W7328" s="4">
        <v>3</v>
      </c>
      <c r="X7328" s="6">
        <v>3.42</v>
      </c>
      <c r="Y7328" s="5">
        <v>3.4</v>
      </c>
      <c r="Z7328" s="6">
        <v>3.03</v>
      </c>
      <c r="AA7328" s="6">
        <v>39.659999999999997</v>
      </c>
      <c r="AB7328" s="2" t="s">
        <v>86</v>
      </c>
      <c r="AC7328" s="6">
        <v>55.98</v>
      </c>
    </row>
    <row r="7329" spans="1:29" ht="104" x14ac:dyDescent="0.15">
      <c r="A7329" s="3">
        <f>DATE(2004,7,1)</f>
        <v>38169</v>
      </c>
      <c r="B7329" s="3">
        <f>DATE(2004,10,20)</f>
        <v>38280</v>
      </c>
      <c r="C7329" s="2" t="s">
        <v>95</v>
      </c>
      <c r="D7329" s="2" t="s">
        <v>22116</v>
      </c>
      <c r="E7329" s="2" t="s">
        <v>22117</v>
      </c>
      <c r="F7329" s="4">
        <v>8731</v>
      </c>
      <c r="G7329" s="2" t="s">
        <v>223</v>
      </c>
      <c r="H7329" s="2" t="s">
        <v>34</v>
      </c>
      <c r="I7329" s="2" t="s">
        <v>22118</v>
      </c>
      <c r="J7329" s="2" t="s">
        <v>22119</v>
      </c>
      <c r="K7329" s="2" t="s">
        <v>223</v>
      </c>
      <c r="L7329" s="2" t="s">
        <v>34</v>
      </c>
      <c r="M7329" s="12">
        <v>2059.5549999999998</v>
      </c>
      <c r="N7329" s="6">
        <v>43.22</v>
      </c>
      <c r="O7329" s="6">
        <v>43.73</v>
      </c>
      <c r="P7329" s="2" t="s">
        <v>22120</v>
      </c>
      <c r="Q7329" s="6">
        <v>100</v>
      </c>
      <c r="R7329" s="6">
        <v>38.61</v>
      </c>
      <c r="S7329" s="5">
        <v>40.700000000000003</v>
      </c>
      <c r="T7329" s="7">
        <v>71.585999999999999</v>
      </c>
      <c r="U7329" s="5">
        <v>6.7</v>
      </c>
      <c r="V7329" s="6">
        <v>1.05</v>
      </c>
      <c r="W7329" s="6">
        <v>31.14</v>
      </c>
      <c r="X7329" s="6">
        <v>30.84</v>
      </c>
      <c r="Y7329" s="6">
        <v>35.19</v>
      </c>
      <c r="Z7329" s="5">
        <v>35.5</v>
      </c>
      <c r="AA7329" s="6">
        <v>38.03</v>
      </c>
      <c r="AB7329" s="7">
        <v>27.334</v>
      </c>
      <c r="AC7329" s="6">
        <v>127.51</v>
      </c>
    </row>
    <row r="7330" spans="1:29" ht="104" x14ac:dyDescent="0.15">
      <c r="A7330" s="3">
        <f>DATE(2004,7,1)</f>
        <v>38169</v>
      </c>
      <c r="B7330" s="3">
        <f>DATE(2004,12,10)</f>
        <v>38331</v>
      </c>
      <c r="C7330" s="2" t="s">
        <v>95</v>
      </c>
      <c r="D7330" s="2" t="s">
        <v>22121</v>
      </c>
      <c r="E7330" s="2" t="s">
        <v>22122</v>
      </c>
      <c r="F7330" s="4">
        <v>7375</v>
      </c>
      <c r="G7330" s="2" t="s">
        <v>223</v>
      </c>
      <c r="H7330" s="2" t="s">
        <v>34</v>
      </c>
      <c r="I7330" s="2" t="s">
        <v>4179</v>
      </c>
      <c r="J7330" s="2" t="s">
        <v>15239</v>
      </c>
      <c r="K7330" s="2" t="s">
        <v>45</v>
      </c>
      <c r="L7330" s="2" t="s">
        <v>34</v>
      </c>
      <c r="M7330" s="12">
        <v>65215.601000000002</v>
      </c>
      <c r="N7330" s="5">
        <v>36.1</v>
      </c>
      <c r="O7330" s="6">
        <v>36.07</v>
      </c>
      <c r="P7330" s="2" t="s">
        <v>22123</v>
      </c>
      <c r="Q7330" s="6">
        <v>63.24</v>
      </c>
      <c r="R7330" s="6">
        <v>1.75</v>
      </c>
      <c r="S7330" s="5">
        <v>-34.9</v>
      </c>
      <c r="T7330" s="7">
        <v>-26.873999999999999</v>
      </c>
      <c r="U7330" s="5">
        <v>0.2</v>
      </c>
      <c r="V7330" s="6">
        <v>-0.82</v>
      </c>
      <c r="W7330" s="6">
        <v>1.07</v>
      </c>
      <c r="X7330" s="6">
        <v>1.08</v>
      </c>
      <c r="Y7330" s="6">
        <v>1.64</v>
      </c>
      <c r="Z7330" s="6">
        <v>1.69</v>
      </c>
      <c r="AA7330" s="6">
        <v>42.76</v>
      </c>
      <c r="AB7330" s="2" t="s">
        <v>86</v>
      </c>
      <c r="AC7330" s="8">
        <v>1713.3</v>
      </c>
    </row>
    <row r="7331" spans="1:29" ht="169" x14ac:dyDescent="0.15">
      <c r="A7331" s="3">
        <f>DATE(2004,7,2)</f>
        <v>38170</v>
      </c>
      <c r="B7331" s="3">
        <f>DATE(2005,1,27)</f>
        <v>38379</v>
      </c>
      <c r="C7331" s="2" t="s">
        <v>95</v>
      </c>
      <c r="D7331" s="2" t="s">
        <v>22124</v>
      </c>
      <c r="E7331" s="2" t="s">
        <v>22125</v>
      </c>
      <c r="F7331" s="4">
        <v>2844</v>
      </c>
      <c r="G7331" s="2" t="s">
        <v>358</v>
      </c>
      <c r="H7331" s="2" t="s">
        <v>34</v>
      </c>
      <c r="I7331" s="2" t="s">
        <v>14482</v>
      </c>
      <c r="J7331" s="2" t="s">
        <v>244</v>
      </c>
      <c r="K7331" s="2" t="s">
        <v>53</v>
      </c>
      <c r="L7331" s="2" t="s">
        <v>34</v>
      </c>
      <c r="M7331" s="2"/>
      <c r="N7331" s="2"/>
      <c r="O7331" s="2"/>
      <c r="P7331" s="2" t="s">
        <v>22126</v>
      </c>
      <c r="Q7331" s="6">
        <v>100</v>
      </c>
      <c r="R7331" s="6">
        <v>35</v>
      </c>
      <c r="S7331" s="5">
        <v>15.5</v>
      </c>
      <c r="T7331" s="7">
        <v>37.194000000000003</v>
      </c>
      <c r="U7331" s="5">
        <v>11.4</v>
      </c>
      <c r="V7331" s="9">
        <v>1.5262</v>
      </c>
      <c r="W7331" s="5">
        <v>30.5</v>
      </c>
      <c r="X7331" s="5">
        <v>30.7</v>
      </c>
      <c r="Y7331" s="6">
        <v>34.51</v>
      </c>
      <c r="Z7331" s="6">
        <v>34.51</v>
      </c>
      <c r="AA7331" s="6">
        <v>9.74</v>
      </c>
      <c r="AB7331" s="7">
        <v>16.04</v>
      </c>
      <c r="AC7331" s="2"/>
    </row>
    <row r="7332" spans="1:29" ht="65" x14ac:dyDescent="0.15">
      <c r="A7332" s="3">
        <f>DATE(2004,7,2)</f>
        <v>38170</v>
      </c>
      <c r="B7332" s="2"/>
      <c r="C7332" s="2" t="s">
        <v>87</v>
      </c>
      <c r="D7332" s="2" t="s">
        <v>12692</v>
      </c>
      <c r="E7332" s="2" t="s">
        <v>12693</v>
      </c>
      <c r="F7332" s="4">
        <v>7812</v>
      </c>
      <c r="G7332" s="2" t="s">
        <v>42</v>
      </c>
      <c r="H7332" s="2" t="s">
        <v>34</v>
      </c>
      <c r="I7332" s="2" t="s">
        <v>22127</v>
      </c>
      <c r="J7332" s="2" t="s">
        <v>22128</v>
      </c>
      <c r="K7332" s="2" t="s">
        <v>42</v>
      </c>
      <c r="L7332" s="2" t="s">
        <v>34</v>
      </c>
      <c r="M7332" s="12">
        <v>2942.6840000000002</v>
      </c>
      <c r="N7332" s="6">
        <v>17.39</v>
      </c>
      <c r="O7332" s="6">
        <v>17.39</v>
      </c>
      <c r="P7332" s="2" t="s">
        <v>22129</v>
      </c>
      <c r="Q7332" s="2"/>
      <c r="R7332" s="2"/>
      <c r="S7332" s="5">
        <v>-13.3</v>
      </c>
      <c r="T7332" s="7">
        <v>773.39099999999996</v>
      </c>
      <c r="U7332" s="5">
        <v>1.1000000000000001</v>
      </c>
      <c r="V7332" s="6">
        <v>-0.06</v>
      </c>
      <c r="W7332" s="6">
        <v>12.33</v>
      </c>
      <c r="X7332" s="6">
        <v>12.66</v>
      </c>
      <c r="Y7332" s="6">
        <v>12.86</v>
      </c>
      <c r="Z7332" s="6">
        <v>12.86</v>
      </c>
      <c r="AA7332" s="6">
        <v>237.58</v>
      </c>
      <c r="AB7332" s="2" t="s">
        <v>47</v>
      </c>
      <c r="AC7332" s="8">
        <v>6226</v>
      </c>
    </row>
    <row r="7333" spans="1:29" ht="117" x14ac:dyDescent="0.15">
      <c r="A7333" s="3">
        <f>DATE(2004,7,7)</f>
        <v>38175</v>
      </c>
      <c r="B7333" s="3">
        <f>DATE(2005,1,7)</f>
        <v>38359</v>
      </c>
      <c r="C7333" s="2" t="s">
        <v>95</v>
      </c>
      <c r="D7333" s="2" t="s">
        <v>22130</v>
      </c>
      <c r="E7333" s="2" t="s">
        <v>265</v>
      </c>
      <c r="F7333" s="4">
        <v>6021</v>
      </c>
      <c r="G7333" s="2" t="s">
        <v>37</v>
      </c>
      <c r="H7333" s="2" t="s">
        <v>34</v>
      </c>
      <c r="I7333" s="2" t="s">
        <v>22131</v>
      </c>
      <c r="J7333" s="2" t="s">
        <v>36</v>
      </c>
      <c r="K7333" s="2" t="s">
        <v>37</v>
      </c>
      <c r="L7333" s="2" t="s">
        <v>34</v>
      </c>
      <c r="M7333" s="7">
        <v>827.90499999999997</v>
      </c>
      <c r="N7333" s="6">
        <v>14.64</v>
      </c>
      <c r="O7333" s="6">
        <v>14.66</v>
      </c>
      <c r="P7333" s="2" t="s">
        <v>22132</v>
      </c>
      <c r="Q7333" s="6">
        <v>100</v>
      </c>
      <c r="R7333" s="6">
        <v>39.590000000000003</v>
      </c>
      <c r="S7333" s="5">
        <v>1.9</v>
      </c>
      <c r="T7333" s="6">
        <v>3.81</v>
      </c>
      <c r="U7333" s="5">
        <v>17.100000000000001</v>
      </c>
      <c r="V7333" s="6">
        <v>1.22</v>
      </c>
      <c r="W7333" s="6">
        <v>32.15</v>
      </c>
      <c r="X7333" s="5">
        <v>32.799999999999997</v>
      </c>
      <c r="Y7333" s="6">
        <v>38.28</v>
      </c>
      <c r="Z7333" s="6">
        <v>38.58</v>
      </c>
      <c r="AA7333" s="6">
        <v>1.56</v>
      </c>
      <c r="AB7333" s="7">
        <v>40.494</v>
      </c>
      <c r="AC7333" s="2"/>
    </row>
    <row r="7334" spans="1:29" ht="104" x14ac:dyDescent="0.15">
      <c r="A7334" s="3">
        <f>DATE(2004,7,9)</f>
        <v>38177</v>
      </c>
      <c r="B7334" s="3">
        <f>DATE(2004,12,3)</f>
        <v>38324</v>
      </c>
      <c r="C7334" s="2" t="s">
        <v>95</v>
      </c>
      <c r="D7334" s="2" t="s">
        <v>22133</v>
      </c>
      <c r="E7334" s="2" t="s">
        <v>1181</v>
      </c>
      <c r="F7334" s="4">
        <v>6021</v>
      </c>
      <c r="G7334" s="2" t="s">
        <v>37</v>
      </c>
      <c r="H7334" s="2" t="s">
        <v>34</v>
      </c>
      <c r="I7334" s="2" t="s">
        <v>22134</v>
      </c>
      <c r="J7334" s="2" t="s">
        <v>36</v>
      </c>
      <c r="K7334" s="2" t="s">
        <v>37</v>
      </c>
      <c r="L7334" s="2" t="s">
        <v>34</v>
      </c>
      <c r="M7334" s="5">
        <v>87</v>
      </c>
      <c r="N7334" s="6">
        <v>20.49</v>
      </c>
      <c r="O7334" s="6">
        <v>20.350000000000001</v>
      </c>
      <c r="P7334" s="2" t="s">
        <v>22135</v>
      </c>
      <c r="Q7334" s="6">
        <v>100</v>
      </c>
      <c r="R7334" s="6">
        <v>19.5</v>
      </c>
      <c r="S7334" s="5">
        <v>2</v>
      </c>
      <c r="T7334" s="2"/>
      <c r="U7334" s="5">
        <v>9.6</v>
      </c>
      <c r="V7334" s="9">
        <v>1.1942999999999999</v>
      </c>
      <c r="W7334" s="5">
        <v>20.6</v>
      </c>
      <c r="X7334" s="6">
        <v>21.02</v>
      </c>
      <c r="Y7334" s="6">
        <v>19.25</v>
      </c>
      <c r="Z7334" s="6">
        <v>19.25</v>
      </c>
      <c r="AA7334" s="6">
        <v>1.57</v>
      </c>
      <c r="AB7334" s="7">
        <v>10.164999999999999</v>
      </c>
      <c r="AC7334" s="2"/>
    </row>
    <row r="7335" spans="1:29" ht="117" x14ac:dyDescent="0.15">
      <c r="A7335" s="3">
        <f>DATE(2004,7,11)</f>
        <v>38179</v>
      </c>
      <c r="B7335" s="2"/>
      <c r="C7335" s="2" t="s">
        <v>30</v>
      </c>
      <c r="D7335" s="2" t="s">
        <v>22136</v>
      </c>
      <c r="E7335" s="2" t="s">
        <v>22137</v>
      </c>
      <c r="F7335" s="4">
        <v>3577</v>
      </c>
      <c r="G7335" s="2" t="s">
        <v>50</v>
      </c>
      <c r="H7335" s="2" t="s">
        <v>34</v>
      </c>
      <c r="I7335" s="2" t="s">
        <v>22138</v>
      </c>
      <c r="J7335" s="2" t="s">
        <v>22139</v>
      </c>
      <c r="K7335" s="2" t="s">
        <v>551</v>
      </c>
      <c r="L7335" s="2" t="s">
        <v>34</v>
      </c>
      <c r="M7335" s="7">
        <v>193.36199999999999</v>
      </c>
      <c r="N7335" s="6">
        <v>7.44</v>
      </c>
      <c r="O7335" s="6">
        <v>7.44</v>
      </c>
      <c r="P7335" s="2" t="s">
        <v>22140</v>
      </c>
      <c r="Q7335" s="2"/>
      <c r="R7335" s="6">
        <v>7.8</v>
      </c>
      <c r="S7335" s="5">
        <v>12.4</v>
      </c>
      <c r="T7335" s="6">
        <v>15.33</v>
      </c>
      <c r="U7335" s="5">
        <v>2.2999999999999998</v>
      </c>
      <c r="V7335" s="6">
        <v>0.36</v>
      </c>
      <c r="W7335" s="6">
        <v>10.75</v>
      </c>
      <c r="X7335" s="6">
        <v>6.37</v>
      </c>
      <c r="Y7335" s="6">
        <v>7.01</v>
      </c>
      <c r="Z7335" s="6">
        <v>7.01</v>
      </c>
      <c r="AA7335" s="6">
        <v>35.58</v>
      </c>
      <c r="AB7335" s="7">
        <v>19.972000000000001</v>
      </c>
      <c r="AC7335" s="6">
        <v>19.86</v>
      </c>
    </row>
    <row r="7336" spans="1:29" ht="52" x14ac:dyDescent="0.15">
      <c r="A7336" s="3">
        <f>DATE(2004,7,12)</f>
        <v>38180</v>
      </c>
      <c r="B7336" s="2"/>
      <c r="C7336" s="2" t="s">
        <v>7330</v>
      </c>
      <c r="D7336" s="2" t="s">
        <v>22141</v>
      </c>
      <c r="E7336" s="2" t="s">
        <v>375</v>
      </c>
      <c r="F7336" s="4">
        <v>4813</v>
      </c>
      <c r="G7336" s="2" t="s">
        <v>63</v>
      </c>
      <c r="H7336" s="2" t="s">
        <v>34</v>
      </c>
      <c r="I7336" s="2" t="s">
        <v>248</v>
      </c>
      <c r="J7336" s="2" t="s">
        <v>249</v>
      </c>
      <c r="K7336" s="2" t="s">
        <v>250</v>
      </c>
      <c r="L7336" s="2" t="s">
        <v>34</v>
      </c>
      <c r="M7336" s="12">
        <v>3494.0140000000001</v>
      </c>
      <c r="N7336" s="6">
        <v>50.05</v>
      </c>
      <c r="O7336" s="6">
        <v>50.91</v>
      </c>
      <c r="P7336" s="2" t="s">
        <v>22142</v>
      </c>
      <c r="Q7336" s="2"/>
      <c r="R7336" s="2"/>
      <c r="S7336" s="8">
        <v>21717</v>
      </c>
      <c r="T7336" s="8">
        <v>2145</v>
      </c>
      <c r="U7336" s="5">
        <v>25.2</v>
      </c>
      <c r="V7336" s="6">
        <v>66.61</v>
      </c>
      <c r="W7336" s="6">
        <v>14.82</v>
      </c>
      <c r="X7336" s="5">
        <v>14.6</v>
      </c>
      <c r="Y7336" s="6">
        <v>17.05</v>
      </c>
      <c r="Z7336" s="5">
        <v>16.8</v>
      </c>
      <c r="AA7336" s="6">
        <v>314.86</v>
      </c>
      <c r="AB7336" s="2" t="s">
        <v>86</v>
      </c>
      <c r="AC7336" s="10">
        <v>1473.84</v>
      </c>
    </row>
    <row r="7337" spans="1:29" ht="117" x14ac:dyDescent="0.15">
      <c r="A7337" s="3">
        <f>DATE(2004,7,13)</f>
        <v>38181</v>
      </c>
      <c r="B7337" s="3">
        <f>DATE(2004,10,18)</f>
        <v>38278</v>
      </c>
      <c r="C7337" s="2" t="s">
        <v>95</v>
      </c>
      <c r="D7337" s="2" t="s">
        <v>14720</v>
      </c>
      <c r="E7337" s="2" t="s">
        <v>5610</v>
      </c>
      <c r="F7337" s="4">
        <v>7374</v>
      </c>
      <c r="G7337" s="2" t="s">
        <v>223</v>
      </c>
      <c r="H7337" s="2" t="s">
        <v>34</v>
      </c>
      <c r="I7337" s="2" t="s">
        <v>21344</v>
      </c>
      <c r="J7337" s="2" t="s">
        <v>21345</v>
      </c>
      <c r="K7337" s="2" t="s">
        <v>37</v>
      </c>
      <c r="L7337" s="2" t="s">
        <v>34</v>
      </c>
      <c r="M7337" s="12">
        <v>171727.90599999999</v>
      </c>
      <c r="N7337" s="6">
        <v>85.13</v>
      </c>
      <c r="O7337" s="5">
        <v>84.3</v>
      </c>
      <c r="P7337" s="2" t="s">
        <v>22143</v>
      </c>
      <c r="Q7337" s="6">
        <v>100</v>
      </c>
      <c r="R7337" s="6">
        <v>26.6</v>
      </c>
      <c r="S7337" s="5">
        <v>55.5</v>
      </c>
      <c r="T7337" s="6">
        <v>114.81</v>
      </c>
      <c r="U7337" s="5">
        <v>10.4</v>
      </c>
      <c r="V7337" s="6">
        <v>1.05</v>
      </c>
      <c r="W7337" s="5">
        <v>28.9</v>
      </c>
      <c r="X7337" s="5">
        <v>29.4</v>
      </c>
      <c r="Y7337" s="6">
        <v>26.25</v>
      </c>
      <c r="Z7337" s="6">
        <v>26.25</v>
      </c>
      <c r="AA7337" s="6">
        <v>53.18</v>
      </c>
      <c r="AB7337" s="7">
        <v>12.335000000000001</v>
      </c>
      <c r="AC7337" s="2"/>
    </row>
    <row r="7338" spans="1:29" ht="234" x14ac:dyDescent="0.15">
      <c r="A7338" s="3">
        <f>DATE(2004,7,14)</f>
        <v>38182</v>
      </c>
      <c r="B7338" s="2"/>
      <c r="C7338" s="2" t="s">
        <v>30</v>
      </c>
      <c r="D7338" s="2" t="s">
        <v>17030</v>
      </c>
      <c r="E7338" s="2" t="s">
        <v>17031</v>
      </c>
      <c r="F7338" s="4">
        <v>6799</v>
      </c>
      <c r="G7338" s="2" t="s">
        <v>53</v>
      </c>
      <c r="H7338" s="2" t="s">
        <v>34</v>
      </c>
      <c r="I7338" s="2" t="s">
        <v>51</v>
      </c>
      <c r="J7338" s="2" t="s">
        <v>52</v>
      </c>
      <c r="K7338" s="2" t="s">
        <v>53</v>
      </c>
      <c r="L7338" s="2" t="s">
        <v>34</v>
      </c>
      <c r="M7338" s="2"/>
      <c r="N7338" s="2"/>
      <c r="O7338" s="2"/>
      <c r="P7338" s="2" t="s">
        <v>22144</v>
      </c>
      <c r="Q7338" s="2"/>
      <c r="R7338" s="6">
        <v>10.65</v>
      </c>
      <c r="S7338" s="5">
        <v>4.5</v>
      </c>
      <c r="T7338" s="7">
        <v>19.524999999999999</v>
      </c>
      <c r="U7338" s="5">
        <v>5.5</v>
      </c>
      <c r="V7338" s="6">
        <v>0.43</v>
      </c>
      <c r="W7338" s="6">
        <v>7.01</v>
      </c>
      <c r="X7338" s="6">
        <v>8.25</v>
      </c>
      <c r="Y7338" s="5">
        <v>8.9</v>
      </c>
      <c r="Z7338" s="5">
        <v>9.1</v>
      </c>
      <c r="AA7338" s="6">
        <v>6.45</v>
      </c>
      <c r="AB7338" s="7">
        <v>5.5129999999999999</v>
      </c>
      <c r="AC7338" s="2"/>
    </row>
    <row r="7339" spans="1:29" ht="156" x14ac:dyDescent="0.15">
      <c r="A7339" s="3">
        <f>DATE(2004,7,15)</f>
        <v>38183</v>
      </c>
      <c r="B7339" s="3">
        <f>DATE(2005,6,13)</f>
        <v>38516</v>
      </c>
      <c r="C7339" s="2" t="s">
        <v>95</v>
      </c>
      <c r="D7339" s="2" t="s">
        <v>22145</v>
      </c>
      <c r="E7339" s="2" t="s">
        <v>8516</v>
      </c>
      <c r="F7339" s="4">
        <v>7011</v>
      </c>
      <c r="G7339" s="2" t="s">
        <v>269</v>
      </c>
      <c r="H7339" s="2" t="s">
        <v>34</v>
      </c>
      <c r="I7339" s="2" t="s">
        <v>11169</v>
      </c>
      <c r="J7339" s="2" t="s">
        <v>11170</v>
      </c>
      <c r="K7339" s="2" t="s">
        <v>269</v>
      </c>
      <c r="L7339" s="2" t="s">
        <v>34</v>
      </c>
      <c r="M7339" s="12">
        <v>5987.0379999999996</v>
      </c>
      <c r="N7339" s="6">
        <v>47.91</v>
      </c>
      <c r="O7339" s="6">
        <v>46.85</v>
      </c>
      <c r="P7339" s="2" t="s">
        <v>22146</v>
      </c>
      <c r="Q7339" s="6">
        <v>100</v>
      </c>
      <c r="R7339" s="2"/>
      <c r="S7339" s="5">
        <v>85</v>
      </c>
      <c r="T7339" s="8">
        <v>1070</v>
      </c>
      <c r="U7339" s="5">
        <v>10.8</v>
      </c>
      <c r="V7339" s="6">
        <v>0.27</v>
      </c>
      <c r="W7339" s="6">
        <v>14.02</v>
      </c>
      <c r="X7339" s="6">
        <v>13.92</v>
      </c>
      <c r="Y7339" s="4">
        <v>16</v>
      </c>
      <c r="Z7339" s="6">
        <v>15.05</v>
      </c>
      <c r="AA7339" s="6">
        <v>307.43</v>
      </c>
      <c r="AB7339" s="7">
        <v>17.721</v>
      </c>
      <c r="AC7339" s="6">
        <v>393.19</v>
      </c>
    </row>
    <row r="7340" spans="1:29" ht="130" x14ac:dyDescent="0.15">
      <c r="A7340" s="3">
        <f>DATE(2004,7,15)</f>
        <v>38183</v>
      </c>
      <c r="B7340" s="3">
        <f>DATE(2005,1,3)</f>
        <v>38355</v>
      </c>
      <c r="C7340" s="2" t="s">
        <v>95</v>
      </c>
      <c r="D7340" s="2" t="s">
        <v>22147</v>
      </c>
      <c r="E7340" s="2" t="s">
        <v>263</v>
      </c>
      <c r="F7340" s="4">
        <v>6021</v>
      </c>
      <c r="G7340" s="2" t="s">
        <v>37</v>
      </c>
      <c r="H7340" s="2" t="s">
        <v>34</v>
      </c>
      <c r="I7340" s="2" t="s">
        <v>3244</v>
      </c>
      <c r="J7340" s="2" t="s">
        <v>265</v>
      </c>
      <c r="K7340" s="2" t="s">
        <v>37</v>
      </c>
      <c r="L7340" s="2" t="s">
        <v>34</v>
      </c>
      <c r="M7340" s="7">
        <v>252.97300000000001</v>
      </c>
      <c r="N7340" s="5">
        <v>32.1</v>
      </c>
      <c r="O7340" s="5">
        <v>32.1</v>
      </c>
      <c r="P7340" s="2" t="s">
        <v>22148</v>
      </c>
      <c r="Q7340" s="6">
        <v>100</v>
      </c>
      <c r="R7340" s="6">
        <v>6.56</v>
      </c>
      <c r="S7340" s="2"/>
      <c r="T7340" s="2"/>
      <c r="U7340" s="2"/>
      <c r="V7340" s="2"/>
      <c r="W7340" s="6">
        <v>5.75</v>
      </c>
      <c r="X7340" s="5">
        <v>5.6</v>
      </c>
      <c r="Y7340" s="4">
        <v>5</v>
      </c>
      <c r="Z7340" s="5">
        <v>5.9</v>
      </c>
      <c r="AA7340" s="6">
        <v>10.51</v>
      </c>
      <c r="AB7340" s="2" t="s">
        <v>47</v>
      </c>
      <c r="AC7340" s="2"/>
    </row>
    <row r="7341" spans="1:29" ht="156" x14ac:dyDescent="0.15">
      <c r="A7341" s="3">
        <f>DATE(2004,7,15)</f>
        <v>38183</v>
      </c>
      <c r="B7341" s="3">
        <f>DATE(2004,10,15)</f>
        <v>38275</v>
      </c>
      <c r="C7341" s="2" t="s">
        <v>95</v>
      </c>
      <c r="D7341" s="2" t="s">
        <v>22149</v>
      </c>
      <c r="E7341" s="2" t="s">
        <v>22150</v>
      </c>
      <c r="F7341" s="4">
        <v>7379</v>
      </c>
      <c r="G7341" s="2" t="s">
        <v>223</v>
      </c>
      <c r="H7341" s="2" t="s">
        <v>34</v>
      </c>
      <c r="I7341" s="2" t="s">
        <v>22151</v>
      </c>
      <c r="J7341" s="2" t="s">
        <v>22152</v>
      </c>
      <c r="K7341" s="2" t="s">
        <v>223</v>
      </c>
      <c r="L7341" s="2" t="s">
        <v>34</v>
      </c>
      <c r="M7341" s="7">
        <v>619.24900000000002</v>
      </c>
      <c r="N7341" s="6">
        <v>8.0500000000000007</v>
      </c>
      <c r="O7341" s="6">
        <v>8.15</v>
      </c>
      <c r="P7341" s="2" t="s">
        <v>22153</v>
      </c>
      <c r="Q7341" s="6">
        <v>100</v>
      </c>
      <c r="R7341" s="6">
        <v>6.88</v>
      </c>
      <c r="S7341" s="5">
        <v>5.2</v>
      </c>
      <c r="T7341" s="7">
        <v>10.750999999999999</v>
      </c>
      <c r="U7341" s="5">
        <v>3.9</v>
      </c>
      <c r="V7341" s="6">
        <v>0.2</v>
      </c>
      <c r="W7341" s="6">
        <v>5.0199999999999996</v>
      </c>
      <c r="X7341" s="5">
        <v>4.3</v>
      </c>
      <c r="Y7341" s="6">
        <v>5.42</v>
      </c>
      <c r="Z7341" s="6">
        <v>5.58</v>
      </c>
      <c r="AA7341" s="6">
        <v>27.2</v>
      </c>
      <c r="AB7341" s="7">
        <v>17.29</v>
      </c>
      <c r="AC7341" s="6">
        <v>73.64</v>
      </c>
    </row>
    <row r="7342" spans="1:29" ht="91" x14ac:dyDescent="0.15">
      <c r="A7342" s="3">
        <f>DATE(2004,7,15)</f>
        <v>38183</v>
      </c>
      <c r="B7342" s="3">
        <f>DATE(2004,11,30)</f>
        <v>38321</v>
      </c>
      <c r="C7342" s="2" t="s">
        <v>95</v>
      </c>
      <c r="D7342" s="2" t="s">
        <v>2515</v>
      </c>
      <c r="E7342" s="2" t="s">
        <v>22154</v>
      </c>
      <c r="F7342" s="4">
        <v>4924</v>
      </c>
      <c r="G7342" s="2" t="s">
        <v>439</v>
      </c>
      <c r="H7342" s="2" t="s">
        <v>34</v>
      </c>
      <c r="I7342" s="2" t="s">
        <v>22155</v>
      </c>
      <c r="J7342" s="2" t="s">
        <v>1437</v>
      </c>
      <c r="K7342" s="2" t="s">
        <v>439</v>
      </c>
      <c r="L7342" s="2" t="s">
        <v>34</v>
      </c>
      <c r="M7342" s="12">
        <v>1864.4939999999999</v>
      </c>
      <c r="N7342" s="6">
        <v>29.19</v>
      </c>
      <c r="O7342" s="6">
        <v>29.13</v>
      </c>
      <c r="P7342" s="2" t="s">
        <v>22156</v>
      </c>
      <c r="Q7342" s="6">
        <v>100</v>
      </c>
      <c r="R7342" s="6">
        <v>13.7</v>
      </c>
      <c r="S7342" s="5">
        <v>-56.3</v>
      </c>
      <c r="T7342" s="7">
        <v>1.7749999999999999</v>
      </c>
      <c r="U7342" s="5">
        <v>13</v>
      </c>
      <c r="V7342" s="6">
        <v>-3.15</v>
      </c>
      <c r="W7342" s="6">
        <v>17.190000000000001</v>
      </c>
      <c r="X7342" s="6">
        <v>16.649999999999999</v>
      </c>
      <c r="Y7342" s="5">
        <v>16.600000000000001</v>
      </c>
      <c r="Z7342" s="5">
        <v>15.8</v>
      </c>
      <c r="AA7342" s="6">
        <v>15.97</v>
      </c>
      <c r="AB7342" s="2" t="s">
        <v>86</v>
      </c>
      <c r="AC7342" s="5">
        <v>54</v>
      </c>
    </row>
    <row r="7343" spans="1:29" ht="195" x14ac:dyDescent="0.15">
      <c r="A7343" s="3">
        <f>DATE(2004,7,16)</f>
        <v>38184</v>
      </c>
      <c r="B7343" s="2"/>
      <c r="C7343" s="2" t="s">
        <v>30</v>
      </c>
      <c r="D7343" s="2" t="s">
        <v>22068</v>
      </c>
      <c r="E7343" s="2" t="s">
        <v>22069</v>
      </c>
      <c r="F7343" s="4">
        <v>7375</v>
      </c>
      <c r="G7343" s="2" t="s">
        <v>223</v>
      </c>
      <c r="H7343" s="2" t="s">
        <v>34</v>
      </c>
      <c r="I7343" s="2" t="s">
        <v>51</v>
      </c>
      <c r="J7343" s="2" t="s">
        <v>52</v>
      </c>
      <c r="K7343" s="2" t="s">
        <v>53</v>
      </c>
      <c r="L7343" s="2" t="s">
        <v>34</v>
      </c>
      <c r="M7343" s="2"/>
      <c r="N7343" s="2"/>
      <c r="O7343" s="2"/>
      <c r="P7343" s="2" t="s">
        <v>22157</v>
      </c>
      <c r="Q7343" s="2"/>
      <c r="R7343" s="6">
        <v>6.75</v>
      </c>
      <c r="S7343" s="5">
        <v>-6.4</v>
      </c>
      <c r="T7343" s="7">
        <v>14.332000000000001</v>
      </c>
      <c r="U7343" s="5">
        <v>2.6</v>
      </c>
      <c r="V7343" s="6">
        <v>-0.42</v>
      </c>
      <c r="W7343" s="6">
        <v>5.34</v>
      </c>
      <c r="X7343" s="6">
        <v>5.99</v>
      </c>
      <c r="Y7343" s="6">
        <v>6.19</v>
      </c>
      <c r="Z7343" s="6">
        <v>6.27</v>
      </c>
      <c r="AA7343" s="6">
        <v>15.94</v>
      </c>
      <c r="AB7343" s="7">
        <v>15.744999999999999</v>
      </c>
      <c r="AC7343" s="2"/>
    </row>
    <row r="7344" spans="1:29" ht="130" x14ac:dyDescent="0.15">
      <c r="A7344" s="3">
        <f>DATE(2004,7,16)</f>
        <v>38184</v>
      </c>
      <c r="B7344" s="2"/>
      <c r="C7344" s="2" t="s">
        <v>30</v>
      </c>
      <c r="D7344" s="2" t="s">
        <v>22158</v>
      </c>
      <c r="E7344" s="2" t="s">
        <v>22159</v>
      </c>
      <c r="F7344" s="4">
        <v>3669</v>
      </c>
      <c r="G7344" s="2" t="s">
        <v>921</v>
      </c>
      <c r="H7344" s="2" t="s">
        <v>34</v>
      </c>
      <c r="I7344" s="2" t="s">
        <v>22160</v>
      </c>
      <c r="J7344" s="2" t="s">
        <v>16453</v>
      </c>
      <c r="K7344" s="2" t="s">
        <v>63</v>
      </c>
      <c r="L7344" s="2" t="s">
        <v>902</v>
      </c>
      <c r="M7344" s="7">
        <v>20.611000000000001</v>
      </c>
      <c r="N7344" s="6">
        <v>1.55</v>
      </c>
      <c r="O7344" s="6">
        <v>1.43</v>
      </c>
      <c r="P7344" s="2" t="s">
        <v>22161</v>
      </c>
      <c r="Q7344" s="2"/>
      <c r="R7344" s="6">
        <v>3.14</v>
      </c>
      <c r="S7344" s="5">
        <v>1.6</v>
      </c>
      <c r="T7344" s="7">
        <v>4.032</v>
      </c>
      <c r="U7344" s="5">
        <v>0.7</v>
      </c>
      <c r="V7344" s="6">
        <v>0.15</v>
      </c>
      <c r="W7344" s="6">
        <v>2.4500000000000002</v>
      </c>
      <c r="X7344" s="5">
        <v>2.4</v>
      </c>
      <c r="Y7344" s="6">
        <v>2.35</v>
      </c>
      <c r="Z7344" s="5">
        <v>2.6</v>
      </c>
      <c r="AA7344" s="6">
        <v>9.84</v>
      </c>
      <c r="AB7344" s="7">
        <v>12.468</v>
      </c>
      <c r="AC7344" s="2"/>
    </row>
    <row r="7345" spans="1:29" ht="182" x14ac:dyDescent="0.15">
      <c r="A7345" s="3">
        <f>DATE(2004,7,16)</f>
        <v>38184</v>
      </c>
      <c r="B7345" s="3">
        <f>DATE(2005,5,13)</f>
        <v>38485</v>
      </c>
      <c r="C7345" s="2" t="s">
        <v>95</v>
      </c>
      <c r="D7345" s="2" t="s">
        <v>22162</v>
      </c>
      <c r="E7345" s="2" t="s">
        <v>1181</v>
      </c>
      <c r="F7345" s="4">
        <v>6021</v>
      </c>
      <c r="G7345" s="2" t="s">
        <v>37</v>
      </c>
      <c r="H7345" s="2" t="s">
        <v>34</v>
      </c>
      <c r="I7345" s="2" t="s">
        <v>21185</v>
      </c>
      <c r="J7345" s="2" t="s">
        <v>36</v>
      </c>
      <c r="K7345" s="2" t="s">
        <v>37</v>
      </c>
      <c r="L7345" s="2" t="s">
        <v>34</v>
      </c>
      <c r="M7345" s="12">
        <v>14998.534</v>
      </c>
      <c r="N7345" s="6">
        <v>50.56</v>
      </c>
      <c r="O7345" s="6">
        <v>50.25</v>
      </c>
      <c r="P7345" s="2" t="s">
        <v>22163</v>
      </c>
      <c r="Q7345" s="6">
        <v>100</v>
      </c>
      <c r="R7345" s="6">
        <v>20</v>
      </c>
      <c r="S7345" s="5">
        <v>-98.3</v>
      </c>
      <c r="T7345" s="7">
        <v>42.963999999999999</v>
      </c>
      <c r="U7345" s="5">
        <v>10</v>
      </c>
      <c r="V7345" s="6">
        <v>-3.33</v>
      </c>
      <c r="W7345" s="6">
        <v>20.75</v>
      </c>
      <c r="X7345" s="6">
        <v>22.67</v>
      </c>
      <c r="Y7345" s="6">
        <v>22.72</v>
      </c>
      <c r="Z7345" s="6">
        <v>22.67</v>
      </c>
      <c r="AA7345" s="6">
        <v>31.62</v>
      </c>
      <c r="AB7345" s="7">
        <v>136.983</v>
      </c>
      <c r="AC7345" s="2"/>
    </row>
    <row r="7346" spans="1:29" ht="52" x14ac:dyDescent="0.15">
      <c r="A7346" s="3">
        <f>DATE(2004,7,16)</f>
        <v>38184</v>
      </c>
      <c r="B7346" s="2"/>
      <c r="C7346" s="2" t="s">
        <v>189</v>
      </c>
      <c r="D7346" s="2" t="s">
        <v>22164</v>
      </c>
      <c r="E7346" s="2" t="s">
        <v>22165</v>
      </c>
      <c r="F7346" s="4">
        <v>2331</v>
      </c>
      <c r="G7346" s="2" t="s">
        <v>708</v>
      </c>
      <c r="H7346" s="2" t="s">
        <v>34</v>
      </c>
      <c r="I7346" s="2" t="s">
        <v>143</v>
      </c>
      <c r="J7346" s="2" t="s">
        <v>144</v>
      </c>
      <c r="K7346" s="2" t="s">
        <v>53</v>
      </c>
      <c r="L7346" s="2" t="s">
        <v>139</v>
      </c>
      <c r="M7346" s="2"/>
      <c r="N7346" s="2"/>
      <c r="O7346" s="2"/>
      <c r="P7346" s="2" t="s">
        <v>22166</v>
      </c>
      <c r="Q7346" s="2"/>
      <c r="R7346" s="2"/>
      <c r="S7346" s="5">
        <v>-50.7</v>
      </c>
      <c r="T7346" s="7">
        <v>-47.744</v>
      </c>
      <c r="U7346" s="5">
        <v>4.9000000000000004</v>
      </c>
      <c r="V7346" s="6">
        <v>-1.52</v>
      </c>
      <c r="W7346" s="5">
        <v>5.9</v>
      </c>
      <c r="X7346" s="6">
        <v>5.39</v>
      </c>
      <c r="Y7346" s="6">
        <v>4.95</v>
      </c>
      <c r="Z7346" s="6">
        <v>4.37</v>
      </c>
      <c r="AA7346" s="6">
        <v>25.63</v>
      </c>
      <c r="AB7346" s="2" t="s">
        <v>86</v>
      </c>
      <c r="AC7346" s="2"/>
    </row>
    <row r="7347" spans="1:29" ht="143" x14ac:dyDescent="0.15">
      <c r="A7347" s="3">
        <f>DATE(2004,7,19)</f>
        <v>38187</v>
      </c>
      <c r="B7347" s="3">
        <f>DATE(2004,12,6)</f>
        <v>38327</v>
      </c>
      <c r="C7347" s="2" t="s">
        <v>95</v>
      </c>
      <c r="D7347" s="2" t="s">
        <v>22167</v>
      </c>
      <c r="E7347" s="2" t="s">
        <v>1181</v>
      </c>
      <c r="F7347" s="4">
        <v>6021</v>
      </c>
      <c r="G7347" s="2" t="s">
        <v>37</v>
      </c>
      <c r="H7347" s="2" t="s">
        <v>34</v>
      </c>
      <c r="I7347" s="2" t="s">
        <v>20968</v>
      </c>
      <c r="J7347" s="2" t="s">
        <v>36</v>
      </c>
      <c r="K7347" s="2" t="s">
        <v>37</v>
      </c>
      <c r="L7347" s="2" t="s">
        <v>34</v>
      </c>
      <c r="M7347" s="12">
        <v>2130.0419999999999</v>
      </c>
      <c r="N7347" s="6">
        <v>46.63</v>
      </c>
      <c r="O7347" s="6">
        <v>47.78</v>
      </c>
      <c r="P7347" s="2" t="s">
        <v>22168</v>
      </c>
      <c r="Q7347" s="6">
        <v>100</v>
      </c>
      <c r="R7347" s="6">
        <v>27</v>
      </c>
      <c r="S7347" s="5">
        <v>1.8</v>
      </c>
      <c r="T7347" s="7">
        <v>2.726</v>
      </c>
      <c r="U7347" s="5">
        <v>11.5</v>
      </c>
      <c r="V7347" s="6">
        <v>1.48</v>
      </c>
      <c r="W7347" s="5">
        <v>21.8</v>
      </c>
      <c r="X7347" s="6">
        <v>22.05</v>
      </c>
      <c r="Y7347" s="6">
        <v>26.26</v>
      </c>
      <c r="Z7347" s="6">
        <v>26.42</v>
      </c>
      <c r="AA7347" s="6">
        <v>1.1299999999999999</v>
      </c>
      <c r="AB7347" s="7">
        <v>81.168000000000006</v>
      </c>
      <c r="AC7347" s="2"/>
    </row>
    <row r="7348" spans="1:29" ht="208" x14ac:dyDescent="0.15">
      <c r="A7348" s="3">
        <f>DATE(2004,7,20)</f>
        <v>38188</v>
      </c>
      <c r="B7348" s="3">
        <f>DATE(2004,11,15)</f>
        <v>38306</v>
      </c>
      <c r="C7348" s="2" t="s">
        <v>95</v>
      </c>
      <c r="D7348" s="2" t="s">
        <v>22068</v>
      </c>
      <c r="E7348" s="2" t="s">
        <v>22069</v>
      </c>
      <c r="F7348" s="4">
        <v>7375</v>
      </c>
      <c r="G7348" s="2" t="s">
        <v>223</v>
      </c>
      <c r="H7348" s="2" t="s">
        <v>34</v>
      </c>
      <c r="I7348" s="2" t="s">
        <v>22169</v>
      </c>
      <c r="J7348" s="2" t="s">
        <v>17923</v>
      </c>
      <c r="K7348" s="2" t="s">
        <v>223</v>
      </c>
      <c r="L7348" s="2" t="s">
        <v>34</v>
      </c>
      <c r="M7348" s="2"/>
      <c r="N7348" s="2"/>
      <c r="O7348" s="2"/>
      <c r="P7348" s="2" t="s">
        <v>22170</v>
      </c>
      <c r="Q7348" s="6">
        <v>100</v>
      </c>
      <c r="R7348" s="6">
        <v>7</v>
      </c>
      <c r="S7348" s="5">
        <v>-6.4</v>
      </c>
      <c r="T7348" s="7">
        <v>14.332000000000001</v>
      </c>
      <c r="U7348" s="5">
        <v>2.6</v>
      </c>
      <c r="V7348" s="6">
        <v>-0.42</v>
      </c>
      <c r="W7348" s="6">
        <v>5.34</v>
      </c>
      <c r="X7348" s="6">
        <v>5.99</v>
      </c>
      <c r="Y7348" s="6">
        <v>6.19</v>
      </c>
      <c r="Z7348" s="6">
        <v>6.27</v>
      </c>
      <c r="AA7348" s="6">
        <v>15.94</v>
      </c>
      <c r="AB7348" s="7">
        <v>16.623999999999999</v>
      </c>
      <c r="AC7348" s="2"/>
    </row>
    <row r="7349" spans="1:29" ht="91" x14ac:dyDescent="0.15">
      <c r="A7349" s="3">
        <f>DATE(2004,7,21)</f>
        <v>38189</v>
      </c>
      <c r="B7349" s="3">
        <f>DATE(2004,10,1)</f>
        <v>38261</v>
      </c>
      <c r="C7349" s="2" t="s">
        <v>95</v>
      </c>
      <c r="D7349" s="2" t="s">
        <v>22171</v>
      </c>
      <c r="E7349" s="2" t="s">
        <v>22172</v>
      </c>
      <c r="F7349" s="4">
        <v>7374</v>
      </c>
      <c r="G7349" s="2" t="s">
        <v>223</v>
      </c>
      <c r="H7349" s="2" t="s">
        <v>34</v>
      </c>
      <c r="I7349" s="2" t="s">
        <v>22173</v>
      </c>
      <c r="J7349" s="2" t="s">
        <v>22174</v>
      </c>
      <c r="K7349" s="2" t="s">
        <v>105</v>
      </c>
      <c r="L7349" s="2" t="s">
        <v>34</v>
      </c>
      <c r="M7349" s="7">
        <v>65.754999999999995</v>
      </c>
      <c r="N7349" s="5">
        <v>7.5</v>
      </c>
      <c r="O7349" s="6">
        <v>7.59</v>
      </c>
      <c r="P7349" s="2" t="s">
        <v>22175</v>
      </c>
      <c r="Q7349" s="6">
        <v>100</v>
      </c>
      <c r="R7349" s="2"/>
      <c r="S7349" s="5">
        <v>1.1000000000000001</v>
      </c>
      <c r="T7349" s="7">
        <v>1.748</v>
      </c>
      <c r="U7349" s="2"/>
      <c r="V7349" s="6">
        <v>0.31</v>
      </c>
      <c r="W7349" s="5">
        <v>1.9</v>
      </c>
      <c r="X7349" s="5">
        <v>2.8</v>
      </c>
      <c r="Y7349" s="6">
        <v>3.25</v>
      </c>
      <c r="Z7349" s="4">
        <v>3</v>
      </c>
      <c r="AA7349" s="6">
        <v>3.46</v>
      </c>
      <c r="AB7349" s="7">
        <v>6.2709999999999999</v>
      </c>
      <c r="AC7349" s="6">
        <v>12.44</v>
      </c>
    </row>
    <row r="7350" spans="1:29" ht="195" x14ac:dyDescent="0.15">
      <c r="A7350" s="3">
        <f>DATE(2004,7,21)</f>
        <v>38189</v>
      </c>
      <c r="B7350" s="3">
        <f>DATE(2005,4,13)</f>
        <v>38455</v>
      </c>
      <c r="C7350" s="2" t="s">
        <v>95</v>
      </c>
      <c r="D7350" s="2" t="s">
        <v>22176</v>
      </c>
      <c r="E7350" s="2" t="s">
        <v>1888</v>
      </c>
      <c r="F7350" s="4">
        <v>4911</v>
      </c>
      <c r="G7350" s="2" t="s">
        <v>439</v>
      </c>
      <c r="H7350" s="2" t="s">
        <v>34</v>
      </c>
      <c r="I7350" s="2" t="s">
        <v>51</v>
      </c>
      <c r="J7350" s="2" t="s">
        <v>52</v>
      </c>
      <c r="K7350" s="2" t="s">
        <v>53</v>
      </c>
      <c r="L7350" s="2" t="s">
        <v>34</v>
      </c>
      <c r="M7350" s="2"/>
      <c r="N7350" s="2"/>
      <c r="O7350" s="2"/>
      <c r="P7350" s="2" t="s">
        <v>22177</v>
      </c>
      <c r="Q7350" s="6">
        <v>100</v>
      </c>
      <c r="R7350" s="6">
        <v>45.25</v>
      </c>
      <c r="S7350" s="5">
        <v>79.5</v>
      </c>
      <c r="T7350" s="7">
        <v>271.971</v>
      </c>
      <c r="U7350" s="5">
        <v>37.9</v>
      </c>
      <c r="V7350" s="6">
        <v>0.99</v>
      </c>
      <c r="W7350" s="6">
        <v>32.03</v>
      </c>
      <c r="X7350" s="5">
        <v>31.9</v>
      </c>
      <c r="Y7350" s="6">
        <v>32.549999999999997</v>
      </c>
      <c r="Z7350" s="6">
        <v>33.450000000000003</v>
      </c>
      <c r="AA7350" s="6">
        <v>64.760000000000005</v>
      </c>
      <c r="AB7350" s="7">
        <v>31.295000000000002</v>
      </c>
      <c r="AC7350" s="2"/>
    </row>
    <row r="7351" spans="1:29" ht="221" x14ac:dyDescent="0.15">
      <c r="A7351" s="3">
        <f>DATE(2004,7,22)</f>
        <v>38190</v>
      </c>
      <c r="B7351" s="3">
        <f>DATE(2004,12,23)</f>
        <v>38344</v>
      </c>
      <c r="C7351" s="2" t="s">
        <v>95</v>
      </c>
      <c r="D7351" s="2" t="s">
        <v>7872</v>
      </c>
      <c r="E7351" s="2" t="s">
        <v>7873</v>
      </c>
      <c r="F7351" s="4">
        <v>7832</v>
      </c>
      <c r="G7351" s="2" t="s">
        <v>42</v>
      </c>
      <c r="H7351" s="2" t="s">
        <v>34</v>
      </c>
      <c r="I7351" s="2" t="s">
        <v>22178</v>
      </c>
      <c r="J7351" s="2" t="s">
        <v>7873</v>
      </c>
      <c r="K7351" s="2" t="s">
        <v>42</v>
      </c>
      <c r="L7351" s="2" t="s">
        <v>34</v>
      </c>
      <c r="M7351" s="2"/>
      <c r="N7351" s="2"/>
      <c r="O7351" s="2"/>
      <c r="P7351" s="2" t="s">
        <v>22179</v>
      </c>
      <c r="Q7351" s="6">
        <v>100</v>
      </c>
      <c r="R7351" s="6">
        <v>19.5</v>
      </c>
      <c r="S7351" s="5">
        <v>-16.2</v>
      </c>
      <c r="T7351" s="6">
        <v>228.59</v>
      </c>
      <c r="U7351" s="5">
        <v>-0.1</v>
      </c>
      <c r="V7351" s="6">
        <v>-1.1599999999999999</v>
      </c>
      <c r="W7351" s="6">
        <v>14.35</v>
      </c>
      <c r="X7351" s="6">
        <v>17.16</v>
      </c>
      <c r="Y7351" s="5">
        <v>19.100000000000001</v>
      </c>
      <c r="Z7351" s="5">
        <v>19.100000000000001</v>
      </c>
      <c r="AA7351" s="6">
        <v>36.86</v>
      </c>
      <c r="AB7351" s="7">
        <v>14.019</v>
      </c>
      <c r="AC7351" s="2"/>
    </row>
    <row r="7352" spans="1:29" ht="130" x14ac:dyDescent="0.15">
      <c r="A7352" s="3">
        <f>DATE(2004,7,23)</f>
        <v>38191</v>
      </c>
      <c r="B7352" s="3">
        <f>DATE(2004,9,5)</f>
        <v>38235</v>
      </c>
      <c r="C7352" s="2" t="s">
        <v>95</v>
      </c>
      <c r="D7352" s="2" t="s">
        <v>22180</v>
      </c>
      <c r="E7352" s="2" t="s">
        <v>22181</v>
      </c>
      <c r="F7352" s="4">
        <v>2044</v>
      </c>
      <c r="G7352" s="2" t="s">
        <v>577</v>
      </c>
      <c r="H7352" s="2" t="s">
        <v>34</v>
      </c>
      <c r="I7352" s="2" t="s">
        <v>22182</v>
      </c>
      <c r="J7352" s="2" t="s">
        <v>22183</v>
      </c>
      <c r="K7352" s="2" t="s">
        <v>577</v>
      </c>
      <c r="L7352" s="2" t="s">
        <v>8464</v>
      </c>
      <c r="M7352" s="12">
        <v>1813.704</v>
      </c>
      <c r="N7352" s="7">
        <v>11.478999999999999</v>
      </c>
      <c r="O7352" s="7">
        <v>11.688000000000001</v>
      </c>
      <c r="P7352" s="2" t="s">
        <v>22184</v>
      </c>
      <c r="Q7352" s="6">
        <v>100</v>
      </c>
      <c r="R7352" s="6">
        <v>25.75</v>
      </c>
      <c r="S7352" s="5">
        <v>25.2</v>
      </c>
      <c r="T7352" s="7">
        <v>43.572000000000003</v>
      </c>
      <c r="U7352" s="5">
        <v>13.2</v>
      </c>
      <c r="V7352" s="6">
        <v>1.7</v>
      </c>
      <c r="W7352" s="6">
        <v>25.15</v>
      </c>
      <c r="X7352" s="6">
        <v>25.26</v>
      </c>
      <c r="Y7352" s="6">
        <v>25.69</v>
      </c>
      <c r="Z7352" s="6">
        <v>25.67</v>
      </c>
      <c r="AA7352" s="6">
        <v>14.53</v>
      </c>
      <c r="AB7352" s="7">
        <v>11.52</v>
      </c>
      <c r="AC7352" s="6">
        <v>123.47</v>
      </c>
    </row>
    <row r="7353" spans="1:29" ht="39" x14ac:dyDescent="0.15">
      <c r="A7353" s="3">
        <f>DATE(2004,7,23)</f>
        <v>38191</v>
      </c>
      <c r="B7353" s="3">
        <f>DATE(2004,12,10)</f>
        <v>38331</v>
      </c>
      <c r="C7353" s="2" t="s">
        <v>95</v>
      </c>
      <c r="D7353" s="2" t="s">
        <v>22185</v>
      </c>
      <c r="E7353" s="2" t="s">
        <v>22186</v>
      </c>
      <c r="F7353" s="4">
        <v>6519</v>
      </c>
      <c r="G7353" s="2" t="s">
        <v>109</v>
      </c>
      <c r="H7353" s="2" t="s">
        <v>34</v>
      </c>
      <c r="I7353" s="2" t="s">
        <v>22187</v>
      </c>
      <c r="J7353" s="2" t="s">
        <v>22188</v>
      </c>
      <c r="K7353" s="2" t="s">
        <v>109</v>
      </c>
      <c r="L7353" s="2" t="s">
        <v>34</v>
      </c>
      <c r="M7353" s="2"/>
      <c r="N7353" s="2"/>
      <c r="O7353" s="2"/>
      <c r="P7353" s="2" t="s">
        <v>22189</v>
      </c>
      <c r="Q7353" s="6">
        <v>100</v>
      </c>
      <c r="R7353" s="2"/>
      <c r="S7353" s="5">
        <v>-0.4</v>
      </c>
      <c r="T7353" s="2"/>
      <c r="U7353" s="5">
        <v>0.6</v>
      </c>
      <c r="V7353" s="6">
        <v>-0.08</v>
      </c>
      <c r="W7353" s="5">
        <v>1.5</v>
      </c>
      <c r="X7353" s="5">
        <v>1.5</v>
      </c>
      <c r="Y7353" s="5">
        <v>1.5</v>
      </c>
      <c r="Z7353" s="5">
        <v>1.5</v>
      </c>
      <c r="AA7353" s="6">
        <v>5.1100000000000003</v>
      </c>
      <c r="AB7353" s="2" t="s">
        <v>86</v>
      </c>
      <c r="AC7353" s="2"/>
    </row>
    <row r="7354" spans="1:29" ht="156" x14ac:dyDescent="0.15">
      <c r="A7354" s="3">
        <f>DATE(2004,7,26)</f>
        <v>38194</v>
      </c>
      <c r="B7354" s="2"/>
      <c r="C7354" s="2" t="s">
        <v>30</v>
      </c>
      <c r="D7354" s="2" t="s">
        <v>15843</v>
      </c>
      <c r="E7354" s="2" t="s">
        <v>7462</v>
      </c>
      <c r="F7354" s="4">
        <v>2834</v>
      </c>
      <c r="G7354" s="2" t="s">
        <v>130</v>
      </c>
      <c r="H7354" s="2" t="s">
        <v>34</v>
      </c>
      <c r="I7354" s="2" t="s">
        <v>2065</v>
      </c>
      <c r="J7354" s="2" t="s">
        <v>2066</v>
      </c>
      <c r="K7354" s="2" t="s">
        <v>130</v>
      </c>
      <c r="L7354" s="2" t="s">
        <v>34</v>
      </c>
      <c r="M7354" s="12">
        <v>5411.3990000000003</v>
      </c>
      <c r="N7354" s="6">
        <v>15.51</v>
      </c>
      <c r="O7354" s="6">
        <v>14.75</v>
      </c>
      <c r="P7354" s="2" t="s">
        <v>22190</v>
      </c>
      <c r="Q7354" s="2"/>
      <c r="R7354" s="6">
        <v>16.66</v>
      </c>
      <c r="S7354" s="5">
        <v>80.099999999999994</v>
      </c>
      <c r="T7354" s="7">
        <v>554.68299999999999</v>
      </c>
      <c r="U7354" s="5">
        <v>7.7</v>
      </c>
      <c r="V7354" s="6">
        <v>0.34</v>
      </c>
      <c r="W7354" s="6">
        <v>10.42</v>
      </c>
      <c r="X7354" s="6">
        <v>10.37</v>
      </c>
      <c r="Y7354" s="6">
        <v>12.89</v>
      </c>
      <c r="Z7354" s="6">
        <v>11.97</v>
      </c>
      <c r="AA7354" s="6">
        <v>241.38</v>
      </c>
      <c r="AB7354" s="7">
        <v>10.47</v>
      </c>
      <c r="AC7354" s="6">
        <v>812.99</v>
      </c>
    </row>
    <row r="7355" spans="1:29" ht="78" x14ac:dyDescent="0.15">
      <c r="A7355" s="3">
        <f>DATE(2004,7,26)</f>
        <v>38194</v>
      </c>
      <c r="B7355" s="3">
        <f>DATE(2004,7,26)</f>
        <v>38194</v>
      </c>
      <c r="C7355" s="2" t="s">
        <v>95</v>
      </c>
      <c r="D7355" s="2" t="s">
        <v>22191</v>
      </c>
      <c r="E7355" s="2" t="s">
        <v>22192</v>
      </c>
      <c r="F7355" s="4">
        <v>2023</v>
      </c>
      <c r="G7355" s="2" t="s">
        <v>577</v>
      </c>
      <c r="H7355" s="2" t="s">
        <v>34</v>
      </c>
      <c r="I7355" s="2" t="s">
        <v>22193</v>
      </c>
      <c r="J7355" s="2" t="s">
        <v>22194</v>
      </c>
      <c r="K7355" s="2" t="s">
        <v>577</v>
      </c>
      <c r="L7355" s="2" t="s">
        <v>34</v>
      </c>
      <c r="M7355" s="12">
        <v>5107.6909999999998</v>
      </c>
      <c r="N7355" s="6">
        <v>79.27</v>
      </c>
      <c r="O7355" s="6">
        <v>79.28</v>
      </c>
      <c r="P7355" s="2" t="s">
        <v>22195</v>
      </c>
      <c r="Q7355" s="6">
        <v>100</v>
      </c>
      <c r="R7355" s="6">
        <v>4.76</v>
      </c>
      <c r="S7355" s="2"/>
      <c r="T7355" s="2"/>
      <c r="U7355" s="2"/>
      <c r="V7355" s="2"/>
      <c r="W7355" s="4">
        <v>4</v>
      </c>
      <c r="X7355" s="6">
        <v>4.1500000000000004</v>
      </c>
      <c r="Y7355" s="6">
        <v>4.6100000000000003</v>
      </c>
      <c r="Z7355" s="2"/>
      <c r="AA7355" s="2"/>
      <c r="AB7355" s="2" t="s">
        <v>47</v>
      </c>
      <c r="AC7355" s="6">
        <v>0.63</v>
      </c>
    </row>
    <row r="7356" spans="1:29" ht="117" x14ac:dyDescent="0.15">
      <c r="A7356" s="3">
        <f>DATE(2004,7,27)</f>
        <v>38195</v>
      </c>
      <c r="B7356" s="3">
        <f>DATE(2005,1,6)</f>
        <v>38358</v>
      </c>
      <c r="C7356" s="2" t="s">
        <v>95</v>
      </c>
      <c r="D7356" s="2" t="s">
        <v>16565</v>
      </c>
      <c r="E7356" s="2" t="s">
        <v>16566</v>
      </c>
      <c r="F7356" s="4">
        <v>3851</v>
      </c>
      <c r="G7356" s="2" t="s">
        <v>226</v>
      </c>
      <c r="H7356" s="2" t="s">
        <v>34</v>
      </c>
      <c r="I7356" s="2" t="s">
        <v>224</v>
      </c>
      <c r="J7356" s="2" t="s">
        <v>225</v>
      </c>
      <c r="K7356" s="2" t="s">
        <v>226</v>
      </c>
      <c r="L7356" s="2" t="s">
        <v>34</v>
      </c>
      <c r="M7356" s="12">
        <v>2041.9870000000001</v>
      </c>
      <c r="N7356" s="5">
        <v>56.9</v>
      </c>
      <c r="O7356" s="6">
        <v>56.53</v>
      </c>
      <c r="P7356" s="2" t="s">
        <v>22196</v>
      </c>
      <c r="Q7356" s="6">
        <v>100</v>
      </c>
      <c r="R7356" s="6">
        <v>44.07</v>
      </c>
      <c r="S7356" s="5">
        <v>32</v>
      </c>
      <c r="T7356" s="7">
        <v>80.185000000000002</v>
      </c>
      <c r="U7356" s="5">
        <v>13.3</v>
      </c>
      <c r="V7356" s="6">
        <v>1.28</v>
      </c>
      <c r="W7356" s="6">
        <v>38.36</v>
      </c>
      <c r="X7356" s="6">
        <v>37.19</v>
      </c>
      <c r="Y7356" s="6">
        <v>37.380000000000003</v>
      </c>
      <c r="Z7356" s="4">
        <v>36</v>
      </c>
      <c r="AA7356" s="6">
        <v>24.63</v>
      </c>
      <c r="AB7356" s="7">
        <v>21.474</v>
      </c>
      <c r="AC7356" s="6">
        <v>23.1</v>
      </c>
    </row>
    <row r="7357" spans="1:29" ht="104" x14ac:dyDescent="0.15">
      <c r="A7357" s="3">
        <f>DATE(2004,7,27)</f>
        <v>38195</v>
      </c>
      <c r="B7357" s="3">
        <f>DATE(2004,12,9)</f>
        <v>38330</v>
      </c>
      <c r="C7357" s="2" t="s">
        <v>95</v>
      </c>
      <c r="D7357" s="2" t="s">
        <v>22197</v>
      </c>
      <c r="E7357" s="2" t="s">
        <v>22198</v>
      </c>
      <c r="F7357" s="4">
        <v>3663</v>
      </c>
      <c r="G7357" s="2" t="s">
        <v>921</v>
      </c>
      <c r="H7357" s="2" t="s">
        <v>34</v>
      </c>
      <c r="I7357" s="2" t="s">
        <v>22199</v>
      </c>
      <c r="J7357" s="2" t="s">
        <v>22200</v>
      </c>
      <c r="K7357" s="2" t="s">
        <v>223</v>
      </c>
      <c r="L7357" s="2" t="s">
        <v>4242</v>
      </c>
      <c r="M7357" s="7">
        <v>746.56899999999996</v>
      </c>
      <c r="N7357" s="6">
        <v>10.96</v>
      </c>
      <c r="O7357" s="7">
        <v>11.159000000000001</v>
      </c>
      <c r="P7357" s="2" t="s">
        <v>22201</v>
      </c>
      <c r="Q7357" s="6">
        <v>100</v>
      </c>
      <c r="R7357" s="6">
        <v>4.18</v>
      </c>
      <c r="S7357" s="5">
        <v>-16.399999999999999</v>
      </c>
      <c r="T7357" s="7">
        <v>-5.4749999999999996</v>
      </c>
      <c r="U7357" s="5">
        <v>0.6</v>
      </c>
      <c r="V7357" s="6">
        <v>-1.03</v>
      </c>
      <c r="W7357" s="5">
        <v>5.3</v>
      </c>
      <c r="X7357" s="6">
        <v>5.24</v>
      </c>
      <c r="Y7357" s="6">
        <v>5.29</v>
      </c>
      <c r="Z7357" s="6">
        <v>5.63</v>
      </c>
      <c r="AA7357" s="6">
        <v>9.02</v>
      </c>
      <c r="AB7357" s="2" t="s">
        <v>86</v>
      </c>
      <c r="AC7357" s="6">
        <v>170.34</v>
      </c>
    </row>
    <row r="7358" spans="1:29" ht="169" x14ac:dyDescent="0.15">
      <c r="A7358" s="3">
        <f>DATE(2004,8,2)</f>
        <v>38201</v>
      </c>
      <c r="B7358" s="3">
        <f>DATE(2004,12,8)</f>
        <v>38329</v>
      </c>
      <c r="C7358" s="2" t="s">
        <v>95</v>
      </c>
      <c r="D7358" s="2" t="s">
        <v>14364</v>
      </c>
      <c r="E7358" s="2" t="s">
        <v>14365</v>
      </c>
      <c r="F7358" s="4">
        <v>4841</v>
      </c>
      <c r="G7358" s="2" t="s">
        <v>45</v>
      </c>
      <c r="H7358" s="2" t="s">
        <v>34</v>
      </c>
      <c r="I7358" s="2" t="s">
        <v>22202</v>
      </c>
      <c r="J7358" s="2" t="s">
        <v>22203</v>
      </c>
      <c r="K7358" s="2" t="s">
        <v>186</v>
      </c>
      <c r="L7358" s="2" t="s">
        <v>34</v>
      </c>
      <c r="M7358" s="2"/>
      <c r="N7358" s="2"/>
      <c r="O7358" s="2"/>
      <c r="P7358" s="2" t="s">
        <v>22204</v>
      </c>
      <c r="Q7358" s="6">
        <v>38.56</v>
      </c>
      <c r="R7358" s="6">
        <v>34.75</v>
      </c>
      <c r="S7358" s="5">
        <v>151.1</v>
      </c>
      <c r="T7358" s="12">
        <v>2358.0940000000001</v>
      </c>
      <c r="U7358" s="5">
        <v>15.8</v>
      </c>
      <c r="V7358" s="6">
        <v>0.23</v>
      </c>
      <c r="W7358" s="5">
        <v>27.9</v>
      </c>
      <c r="X7358" s="6">
        <v>27.58</v>
      </c>
      <c r="Y7358" s="6">
        <v>33.159999999999997</v>
      </c>
      <c r="Z7358" s="6">
        <v>33.35</v>
      </c>
      <c r="AA7358" s="6">
        <v>632.29</v>
      </c>
      <c r="AB7358" s="7">
        <v>37.503</v>
      </c>
      <c r="AC7358" s="2"/>
    </row>
    <row r="7359" spans="1:29" ht="104" x14ac:dyDescent="0.15">
      <c r="A7359" s="3">
        <f>DATE(2004,8,2)</f>
        <v>38201</v>
      </c>
      <c r="B7359" s="3">
        <f>DATE(2005,1,1)</f>
        <v>38353</v>
      </c>
      <c r="C7359" s="2" t="s">
        <v>95</v>
      </c>
      <c r="D7359" s="2" t="s">
        <v>22205</v>
      </c>
      <c r="E7359" s="2" t="s">
        <v>265</v>
      </c>
      <c r="F7359" s="4">
        <v>6021</v>
      </c>
      <c r="G7359" s="2" t="s">
        <v>37</v>
      </c>
      <c r="H7359" s="2" t="s">
        <v>34</v>
      </c>
      <c r="I7359" s="2" t="s">
        <v>1963</v>
      </c>
      <c r="J7359" s="2" t="s">
        <v>36</v>
      </c>
      <c r="K7359" s="2" t="s">
        <v>37</v>
      </c>
      <c r="L7359" s="2" t="s">
        <v>34</v>
      </c>
      <c r="M7359" s="12">
        <v>30039.510999999999</v>
      </c>
      <c r="N7359" s="6">
        <v>49.16</v>
      </c>
      <c r="O7359" s="6">
        <v>48.81</v>
      </c>
      <c r="P7359" s="2" t="s">
        <v>22206</v>
      </c>
      <c r="Q7359" s="6">
        <v>100</v>
      </c>
      <c r="R7359" s="6">
        <v>25</v>
      </c>
      <c r="S7359" s="5">
        <v>31.8</v>
      </c>
      <c r="T7359" s="7">
        <v>67.617000000000004</v>
      </c>
      <c r="U7359" s="5">
        <v>7.7</v>
      </c>
      <c r="V7359" s="9">
        <v>0.66020000000000001</v>
      </c>
      <c r="W7359" s="6">
        <v>16.95</v>
      </c>
      <c r="X7359" s="6">
        <v>17.79</v>
      </c>
      <c r="Y7359" s="6">
        <v>24.31</v>
      </c>
      <c r="Z7359" s="6">
        <v>24.15</v>
      </c>
      <c r="AA7359" s="6">
        <v>63</v>
      </c>
      <c r="AB7359" s="7">
        <v>31.24</v>
      </c>
      <c r="AC7359" s="2"/>
    </row>
    <row r="7360" spans="1:29" ht="52" x14ac:dyDescent="0.15">
      <c r="A7360" s="3">
        <f>DATE(2004,8,3)</f>
        <v>38202</v>
      </c>
      <c r="B7360" s="3">
        <f>DATE(2004,12,31)</f>
        <v>38352</v>
      </c>
      <c r="C7360" s="2" t="s">
        <v>95</v>
      </c>
      <c r="D7360" s="2" t="s">
        <v>22207</v>
      </c>
      <c r="E7360" s="2" t="s">
        <v>203</v>
      </c>
      <c r="F7360" s="4">
        <v>6035</v>
      </c>
      <c r="G7360" s="2" t="s">
        <v>33</v>
      </c>
      <c r="H7360" s="2" t="s">
        <v>34</v>
      </c>
      <c r="I7360" s="2" t="s">
        <v>8768</v>
      </c>
      <c r="J7360" s="2" t="s">
        <v>3780</v>
      </c>
      <c r="K7360" s="2" t="s">
        <v>37</v>
      </c>
      <c r="L7360" s="2" t="s">
        <v>34</v>
      </c>
      <c r="M7360" s="12">
        <v>1697.222</v>
      </c>
      <c r="N7360" s="6">
        <v>115.85</v>
      </c>
      <c r="O7360" s="6">
        <v>118.36</v>
      </c>
      <c r="P7360" s="2" t="s">
        <v>22208</v>
      </c>
      <c r="Q7360" s="6">
        <v>100</v>
      </c>
      <c r="R7360" s="6">
        <v>13.25</v>
      </c>
      <c r="S7360" s="5">
        <v>1.8</v>
      </c>
      <c r="T7360" s="2"/>
      <c r="U7360" s="5">
        <v>7</v>
      </c>
      <c r="V7360" s="6">
        <v>0.54</v>
      </c>
      <c r="W7360" s="6">
        <v>8.36</v>
      </c>
      <c r="X7360" s="6">
        <v>8.8699999999999992</v>
      </c>
      <c r="Y7360" s="6">
        <v>13.05</v>
      </c>
      <c r="Z7360" s="4">
        <v>13</v>
      </c>
      <c r="AA7360" s="6">
        <v>3.29</v>
      </c>
      <c r="AB7360" s="7">
        <v>36.055999999999997</v>
      </c>
      <c r="AC7360" s="2"/>
    </row>
    <row r="7361" spans="1:29" ht="78" x14ac:dyDescent="0.15">
      <c r="A7361" s="3">
        <f>DATE(2004,8,4)</f>
        <v>38203</v>
      </c>
      <c r="B7361" s="3">
        <f>DATE(2005,1,21)</f>
        <v>38373</v>
      </c>
      <c r="C7361" s="2" t="s">
        <v>95</v>
      </c>
      <c r="D7361" s="2" t="s">
        <v>22209</v>
      </c>
      <c r="E7361" s="2" t="s">
        <v>263</v>
      </c>
      <c r="F7361" s="4">
        <v>6022</v>
      </c>
      <c r="G7361" s="2" t="s">
        <v>37</v>
      </c>
      <c r="H7361" s="2" t="s">
        <v>34</v>
      </c>
      <c r="I7361" s="2" t="s">
        <v>22210</v>
      </c>
      <c r="J7361" s="2" t="s">
        <v>36</v>
      </c>
      <c r="K7361" s="2" t="s">
        <v>33</v>
      </c>
      <c r="L7361" s="2" t="s">
        <v>34</v>
      </c>
      <c r="M7361" s="7">
        <v>144.458</v>
      </c>
      <c r="N7361" s="4">
        <v>24</v>
      </c>
      <c r="O7361" s="6">
        <v>24.25</v>
      </c>
      <c r="P7361" s="2" t="s">
        <v>22211</v>
      </c>
      <c r="Q7361" s="6">
        <v>100</v>
      </c>
      <c r="R7361" s="6">
        <v>17.2</v>
      </c>
      <c r="S7361" s="2"/>
      <c r="T7361" s="2"/>
      <c r="U7361" s="2"/>
      <c r="V7361" s="2"/>
      <c r="W7361" s="6">
        <v>12.75</v>
      </c>
      <c r="X7361" s="6">
        <v>12.85</v>
      </c>
      <c r="Y7361" s="6">
        <v>12.65</v>
      </c>
      <c r="Z7361" s="5">
        <v>16.7</v>
      </c>
      <c r="AA7361" s="6">
        <v>2.21</v>
      </c>
      <c r="AB7361" s="2" t="s">
        <v>47</v>
      </c>
      <c r="AC7361" s="2"/>
    </row>
    <row r="7362" spans="1:29" ht="130" x14ac:dyDescent="0.15">
      <c r="A7362" s="3">
        <f>DATE(2004,8,6)</f>
        <v>38205</v>
      </c>
      <c r="B7362" s="3">
        <f>DATE(2004,9,22)</f>
        <v>38252</v>
      </c>
      <c r="C7362" s="2" t="s">
        <v>95</v>
      </c>
      <c r="D7362" s="2" t="s">
        <v>22212</v>
      </c>
      <c r="E7362" s="2" t="s">
        <v>22213</v>
      </c>
      <c r="F7362" s="4">
        <v>5033</v>
      </c>
      <c r="G7362" s="2" t="s">
        <v>76</v>
      </c>
      <c r="H7362" s="2" t="s">
        <v>34</v>
      </c>
      <c r="I7362" s="2" t="s">
        <v>22214</v>
      </c>
      <c r="J7362" s="2" t="s">
        <v>22215</v>
      </c>
      <c r="K7362" s="2" t="s">
        <v>76</v>
      </c>
      <c r="L7362" s="2" t="s">
        <v>34</v>
      </c>
      <c r="M7362" s="2"/>
      <c r="N7362" s="2"/>
      <c r="O7362" s="2"/>
      <c r="P7362" s="2" t="s">
        <v>22216</v>
      </c>
      <c r="Q7362" s="6">
        <v>84.89</v>
      </c>
      <c r="R7362" s="6">
        <v>2.2000000000000002</v>
      </c>
      <c r="S7362" s="5">
        <v>2.6</v>
      </c>
      <c r="T7362" s="2"/>
      <c r="U7362" s="5">
        <v>2.2000000000000002</v>
      </c>
      <c r="V7362" s="6">
        <v>0.26</v>
      </c>
      <c r="W7362" s="6">
        <v>1.95</v>
      </c>
      <c r="X7362" s="6">
        <v>1.98</v>
      </c>
      <c r="Y7362" s="6">
        <v>2.15</v>
      </c>
      <c r="Z7362" s="6">
        <v>2.15</v>
      </c>
      <c r="AA7362" s="6">
        <v>10.27</v>
      </c>
      <c r="AB7362" s="7">
        <v>12.138999999999999</v>
      </c>
      <c r="AC7362" s="2"/>
    </row>
    <row r="7363" spans="1:29" ht="130" x14ac:dyDescent="0.15">
      <c r="A7363" s="3">
        <f>DATE(2004,8,6)</f>
        <v>38205</v>
      </c>
      <c r="B7363" s="3">
        <f>DATE(2005,4,21)</f>
        <v>38463</v>
      </c>
      <c r="C7363" s="2" t="s">
        <v>95</v>
      </c>
      <c r="D7363" s="2" t="s">
        <v>12636</v>
      </c>
      <c r="E7363" s="2" t="s">
        <v>3900</v>
      </c>
      <c r="F7363" s="4">
        <v>5812</v>
      </c>
      <c r="G7363" s="2" t="s">
        <v>230</v>
      </c>
      <c r="H7363" s="2" t="s">
        <v>34</v>
      </c>
      <c r="I7363" s="2" t="s">
        <v>22217</v>
      </c>
      <c r="J7363" s="2" t="s">
        <v>1072</v>
      </c>
      <c r="K7363" s="2" t="s">
        <v>53</v>
      </c>
      <c r="L7363" s="2" t="s">
        <v>34</v>
      </c>
      <c r="M7363" s="2"/>
      <c r="N7363" s="2"/>
      <c r="O7363" s="2"/>
      <c r="P7363" s="2" t="s">
        <v>22218</v>
      </c>
      <c r="Q7363" s="6">
        <v>45.22</v>
      </c>
      <c r="R7363" s="6">
        <v>7.5</v>
      </c>
      <c r="S7363" s="5">
        <v>1.2</v>
      </c>
      <c r="T7363" s="7">
        <v>2.9550000000000001</v>
      </c>
      <c r="U7363" s="5">
        <v>5.5</v>
      </c>
      <c r="V7363" s="6">
        <v>0.62</v>
      </c>
      <c r="W7363" s="6">
        <v>6.36</v>
      </c>
      <c r="X7363" s="6">
        <v>6.25</v>
      </c>
      <c r="Y7363" s="6">
        <v>7.43</v>
      </c>
      <c r="Z7363" s="6">
        <v>7.42</v>
      </c>
      <c r="AA7363" s="6">
        <v>1.82</v>
      </c>
      <c r="AB7363" s="7">
        <v>8.1370000000000005</v>
      </c>
      <c r="AC7363" s="2"/>
    </row>
    <row r="7364" spans="1:29" ht="91" x14ac:dyDescent="0.15">
      <c r="A7364" s="3">
        <f>DATE(2004,8,6)</f>
        <v>38205</v>
      </c>
      <c r="B7364" s="3">
        <f>DATE(2004,12,15)</f>
        <v>38336</v>
      </c>
      <c r="C7364" s="2" t="s">
        <v>95</v>
      </c>
      <c r="D7364" s="2" t="s">
        <v>22219</v>
      </c>
      <c r="E7364" s="2" t="s">
        <v>36</v>
      </c>
      <c r="F7364" s="4">
        <v>6035</v>
      </c>
      <c r="G7364" s="2" t="s">
        <v>33</v>
      </c>
      <c r="H7364" s="2" t="s">
        <v>34</v>
      </c>
      <c r="I7364" s="2" t="s">
        <v>22220</v>
      </c>
      <c r="J7364" s="2" t="s">
        <v>1072</v>
      </c>
      <c r="K7364" s="2" t="s">
        <v>53</v>
      </c>
      <c r="L7364" s="2" t="s">
        <v>34</v>
      </c>
      <c r="M7364" s="2"/>
      <c r="N7364" s="2"/>
      <c r="O7364" s="2"/>
      <c r="P7364" s="2" t="s">
        <v>22221</v>
      </c>
      <c r="Q7364" s="6">
        <v>100</v>
      </c>
      <c r="R7364" s="6">
        <v>25.75</v>
      </c>
      <c r="S7364" s="2"/>
      <c r="T7364" s="2"/>
      <c r="U7364" s="2"/>
      <c r="V7364" s="2"/>
      <c r="W7364" s="6">
        <v>18.25</v>
      </c>
      <c r="X7364" s="5">
        <v>18.5</v>
      </c>
      <c r="Y7364" s="4">
        <v>19</v>
      </c>
      <c r="Z7364" s="4">
        <v>19</v>
      </c>
      <c r="AA7364" s="6">
        <v>0.74</v>
      </c>
      <c r="AB7364" s="2" t="s">
        <v>47</v>
      </c>
      <c r="AC7364" s="2"/>
    </row>
    <row r="7365" spans="1:29" ht="169" x14ac:dyDescent="0.15">
      <c r="A7365" s="3">
        <f>DATE(2004,8,9)</f>
        <v>38208</v>
      </c>
      <c r="B7365" s="3">
        <f>DATE(2005,2,25)</f>
        <v>38408</v>
      </c>
      <c r="C7365" s="2" t="s">
        <v>95</v>
      </c>
      <c r="D7365" s="2" t="s">
        <v>22222</v>
      </c>
      <c r="E7365" s="2" t="s">
        <v>92</v>
      </c>
      <c r="F7365" s="4">
        <v>6798</v>
      </c>
      <c r="G7365" s="2" t="s">
        <v>53</v>
      </c>
      <c r="H7365" s="2" t="s">
        <v>34</v>
      </c>
      <c r="I7365" s="2" t="s">
        <v>22223</v>
      </c>
      <c r="J7365" s="2" t="s">
        <v>92</v>
      </c>
      <c r="K7365" s="2" t="s">
        <v>53</v>
      </c>
      <c r="L7365" s="2" t="s">
        <v>34</v>
      </c>
      <c r="M7365" s="7">
        <v>344.74200000000002</v>
      </c>
      <c r="N7365" s="6">
        <v>15.35</v>
      </c>
      <c r="O7365" s="6">
        <v>15.37</v>
      </c>
      <c r="P7365" s="2" t="s">
        <v>22224</v>
      </c>
      <c r="Q7365" s="6">
        <v>100</v>
      </c>
      <c r="R7365" s="2"/>
      <c r="S7365" s="2"/>
      <c r="T7365" s="2"/>
      <c r="U7365" s="2"/>
      <c r="V7365" s="2"/>
      <c r="W7365" s="5">
        <v>8.6</v>
      </c>
      <c r="X7365" s="5">
        <v>8.6</v>
      </c>
      <c r="Y7365" s="5">
        <v>8.6</v>
      </c>
      <c r="Z7365" s="5">
        <v>8.6</v>
      </c>
      <c r="AA7365" s="2"/>
      <c r="AB7365" s="2" t="s">
        <v>47</v>
      </c>
      <c r="AC7365" s="6">
        <v>4.45</v>
      </c>
    </row>
    <row r="7366" spans="1:29" ht="169" x14ac:dyDescent="0.15">
      <c r="A7366" s="3">
        <f>DATE(2004,8,9)</f>
        <v>38208</v>
      </c>
      <c r="B7366" s="3">
        <f>DATE(2005,3,12)</f>
        <v>38423</v>
      </c>
      <c r="C7366" s="2" t="s">
        <v>95</v>
      </c>
      <c r="D7366" s="2" t="s">
        <v>22225</v>
      </c>
      <c r="E7366" s="2" t="s">
        <v>22226</v>
      </c>
      <c r="F7366" s="4">
        <v>5122</v>
      </c>
      <c r="G7366" s="2" t="s">
        <v>593</v>
      </c>
      <c r="H7366" s="2" t="s">
        <v>34</v>
      </c>
      <c r="I7366" s="2" t="s">
        <v>22227</v>
      </c>
      <c r="J7366" s="2" t="s">
        <v>22228</v>
      </c>
      <c r="K7366" s="2" t="s">
        <v>454</v>
      </c>
      <c r="L7366" s="2" t="s">
        <v>34</v>
      </c>
      <c r="M7366" s="7">
        <v>184.828</v>
      </c>
      <c r="N7366" s="6">
        <v>6.12</v>
      </c>
      <c r="O7366" s="6">
        <v>5.83</v>
      </c>
      <c r="P7366" s="2" t="s">
        <v>22229</v>
      </c>
      <c r="Q7366" s="6">
        <v>100</v>
      </c>
      <c r="R7366" s="6">
        <v>7.11</v>
      </c>
      <c r="S7366" s="5">
        <v>6.1</v>
      </c>
      <c r="T7366" s="7">
        <v>9.3330000000000002</v>
      </c>
      <c r="U7366" s="5">
        <v>6.7</v>
      </c>
      <c r="V7366" s="6">
        <v>0.49</v>
      </c>
      <c r="W7366" s="6">
        <v>7.65</v>
      </c>
      <c r="X7366" s="6">
        <v>7.78</v>
      </c>
      <c r="Y7366" s="6">
        <v>6.53</v>
      </c>
      <c r="Z7366" s="6">
        <v>6.23</v>
      </c>
      <c r="AA7366" s="6">
        <v>12.72</v>
      </c>
      <c r="AB7366" s="7">
        <v>10.972</v>
      </c>
      <c r="AC7366" s="6">
        <v>5.42</v>
      </c>
    </row>
    <row r="7367" spans="1:29" ht="117" x14ac:dyDescent="0.15">
      <c r="A7367" s="3">
        <f>DATE(2004,8,10)</f>
        <v>38209</v>
      </c>
      <c r="B7367" s="3">
        <f>DATE(2004,11,1)</f>
        <v>38292</v>
      </c>
      <c r="C7367" s="2" t="s">
        <v>95</v>
      </c>
      <c r="D7367" s="2" t="s">
        <v>22230</v>
      </c>
      <c r="E7367" s="2" t="s">
        <v>22231</v>
      </c>
      <c r="F7367" s="4">
        <v>7372</v>
      </c>
      <c r="G7367" s="2" t="s">
        <v>551</v>
      </c>
      <c r="H7367" s="2" t="s">
        <v>34</v>
      </c>
      <c r="I7367" s="2" t="s">
        <v>22232</v>
      </c>
      <c r="J7367" s="2" t="s">
        <v>22233</v>
      </c>
      <c r="K7367" s="2" t="s">
        <v>551</v>
      </c>
      <c r="L7367" s="2" t="s">
        <v>34</v>
      </c>
      <c r="M7367" s="6">
        <v>79.06</v>
      </c>
      <c r="N7367" s="5">
        <v>0.9</v>
      </c>
      <c r="O7367" s="6">
        <v>0.79</v>
      </c>
      <c r="P7367" s="2" t="s">
        <v>22234</v>
      </c>
      <c r="Q7367" s="6">
        <v>100</v>
      </c>
      <c r="R7367" s="6">
        <v>1.26</v>
      </c>
      <c r="S7367" s="5">
        <v>-4.2</v>
      </c>
      <c r="T7367" s="7">
        <v>-1.907</v>
      </c>
      <c r="U7367" s="5">
        <v>0.7</v>
      </c>
      <c r="V7367" s="6">
        <v>-0.17</v>
      </c>
      <c r="W7367" s="6">
        <v>1.05</v>
      </c>
      <c r="X7367" s="6">
        <v>1.03</v>
      </c>
      <c r="Y7367" s="6">
        <v>0.96</v>
      </c>
      <c r="Z7367" s="6">
        <v>0.95</v>
      </c>
      <c r="AA7367" s="6">
        <v>23.85</v>
      </c>
      <c r="AB7367" s="2" t="s">
        <v>86</v>
      </c>
      <c r="AC7367" s="6">
        <v>68.56</v>
      </c>
    </row>
    <row r="7368" spans="1:29" ht="91" x14ac:dyDescent="0.15">
      <c r="A7368" s="3">
        <f>DATE(2004,8,12)</f>
        <v>38211</v>
      </c>
      <c r="B7368" s="3">
        <f>DATE(2005,2,11)</f>
        <v>38394</v>
      </c>
      <c r="C7368" s="2" t="s">
        <v>95</v>
      </c>
      <c r="D7368" s="2" t="s">
        <v>22235</v>
      </c>
      <c r="E7368" s="2" t="s">
        <v>263</v>
      </c>
      <c r="F7368" s="4">
        <v>6712</v>
      </c>
      <c r="G7368" s="2" t="s">
        <v>37</v>
      </c>
      <c r="H7368" s="2" t="s">
        <v>34</v>
      </c>
      <c r="I7368" s="2" t="s">
        <v>14921</v>
      </c>
      <c r="J7368" s="2" t="s">
        <v>159</v>
      </c>
      <c r="K7368" s="2" t="s">
        <v>37</v>
      </c>
      <c r="L7368" s="2" t="s">
        <v>34</v>
      </c>
      <c r="M7368" s="7">
        <v>130.41399999999999</v>
      </c>
      <c r="N7368" s="6">
        <v>12.23</v>
      </c>
      <c r="O7368" s="6">
        <v>12.48</v>
      </c>
      <c r="P7368" s="2" t="s">
        <v>22236</v>
      </c>
      <c r="Q7368" s="6">
        <v>100</v>
      </c>
      <c r="R7368" s="6">
        <v>27</v>
      </c>
      <c r="S7368" s="5">
        <v>3</v>
      </c>
      <c r="T7368" s="2"/>
      <c r="U7368" s="5">
        <v>15.6</v>
      </c>
      <c r="V7368" s="6">
        <v>1.06</v>
      </c>
      <c r="W7368" s="6">
        <v>20.75</v>
      </c>
      <c r="X7368" s="6">
        <v>22.47</v>
      </c>
      <c r="Y7368" s="6">
        <v>22.31</v>
      </c>
      <c r="Z7368" s="6">
        <v>26.52</v>
      </c>
      <c r="AA7368" s="6">
        <v>2.9</v>
      </c>
      <c r="AB7368" s="7">
        <v>33.337000000000003</v>
      </c>
      <c r="AC7368" s="2"/>
    </row>
    <row r="7369" spans="1:29" ht="182" x14ac:dyDescent="0.15">
      <c r="A7369" s="3">
        <f>DATE(2004,8,12)</f>
        <v>38211</v>
      </c>
      <c r="B7369" s="3">
        <f>DATE(2005,3,11)</f>
        <v>38422</v>
      </c>
      <c r="C7369" s="2" t="s">
        <v>95</v>
      </c>
      <c r="D7369" s="2" t="s">
        <v>16603</v>
      </c>
      <c r="E7369" s="2" t="s">
        <v>22237</v>
      </c>
      <c r="F7369" s="4">
        <v>3533</v>
      </c>
      <c r="G7369" s="2" t="s">
        <v>300</v>
      </c>
      <c r="H7369" s="2" t="s">
        <v>34</v>
      </c>
      <c r="I7369" s="2" t="s">
        <v>16557</v>
      </c>
      <c r="J7369" s="2" t="s">
        <v>16558</v>
      </c>
      <c r="K7369" s="2" t="s">
        <v>300</v>
      </c>
      <c r="L7369" s="2" t="s">
        <v>34</v>
      </c>
      <c r="M7369" s="12">
        <v>2860.0619999999999</v>
      </c>
      <c r="N7369" s="6">
        <v>29.06</v>
      </c>
      <c r="O7369" s="6">
        <v>29.75</v>
      </c>
      <c r="P7369" s="2" t="s">
        <v>22238</v>
      </c>
      <c r="Q7369" s="6">
        <v>100</v>
      </c>
      <c r="R7369" s="6">
        <v>25.8</v>
      </c>
      <c r="S7369" s="5">
        <v>59.9</v>
      </c>
      <c r="T7369" s="7">
        <v>218.84899999999999</v>
      </c>
      <c r="U7369" s="5">
        <v>10.6</v>
      </c>
      <c r="V7369" s="6">
        <v>0.66</v>
      </c>
      <c r="W7369" s="6">
        <v>23.45</v>
      </c>
      <c r="X7369" s="6">
        <v>23.62</v>
      </c>
      <c r="Y7369" s="6">
        <v>23.35</v>
      </c>
      <c r="Z7369" s="6">
        <v>23.97</v>
      </c>
      <c r="AA7369" s="6">
        <v>97.58</v>
      </c>
      <c r="AB7369" s="7">
        <v>19.748000000000001</v>
      </c>
      <c r="AC7369" s="6">
        <v>62.68</v>
      </c>
    </row>
    <row r="7370" spans="1:29" ht="286" x14ac:dyDescent="0.15">
      <c r="A7370" s="3">
        <f>DATE(2004,8,16)</f>
        <v>38215</v>
      </c>
      <c r="B7370" s="3">
        <f>DATE(2005,4,15)</f>
        <v>38457</v>
      </c>
      <c r="C7370" s="2" t="s">
        <v>95</v>
      </c>
      <c r="D7370" s="2" t="s">
        <v>22239</v>
      </c>
      <c r="E7370" s="2" t="s">
        <v>22240</v>
      </c>
      <c r="F7370" s="4">
        <v>8062</v>
      </c>
      <c r="G7370" s="2" t="s">
        <v>454</v>
      </c>
      <c r="H7370" s="2" t="s">
        <v>34</v>
      </c>
      <c r="I7370" s="2" t="s">
        <v>22241</v>
      </c>
      <c r="J7370" s="2" t="s">
        <v>1488</v>
      </c>
      <c r="K7370" s="2" t="s">
        <v>454</v>
      </c>
      <c r="L7370" s="2" t="s">
        <v>34</v>
      </c>
      <c r="M7370" s="12">
        <v>1447.1179999999999</v>
      </c>
      <c r="N7370" s="5">
        <v>27.7</v>
      </c>
      <c r="O7370" s="6">
        <v>28.19</v>
      </c>
      <c r="P7370" s="2" t="s">
        <v>22242</v>
      </c>
      <c r="Q7370" s="6">
        <v>100</v>
      </c>
      <c r="R7370" s="6">
        <v>24.38</v>
      </c>
      <c r="S7370" s="5">
        <v>47.8</v>
      </c>
      <c r="T7370" s="7">
        <v>155.40700000000001</v>
      </c>
      <c r="U7370" s="5">
        <v>10.3</v>
      </c>
      <c r="V7370" s="6">
        <v>0.96</v>
      </c>
      <c r="W7370" s="6">
        <v>13.96</v>
      </c>
      <c r="X7370" s="6">
        <v>13.61</v>
      </c>
      <c r="Y7370" s="6">
        <v>19.25</v>
      </c>
      <c r="Z7370" s="6">
        <v>19.64</v>
      </c>
      <c r="AA7370" s="6">
        <v>49.7</v>
      </c>
      <c r="AB7370" s="7">
        <v>16.34</v>
      </c>
      <c r="AC7370" s="5">
        <v>9.3000000000000007</v>
      </c>
    </row>
    <row r="7371" spans="1:29" ht="78" x14ac:dyDescent="0.15">
      <c r="A7371" s="3">
        <f>DATE(2004,8,18)</f>
        <v>38217</v>
      </c>
      <c r="B7371" s="3">
        <f>DATE(2004,10,8)</f>
        <v>38268</v>
      </c>
      <c r="C7371" s="2" t="s">
        <v>95</v>
      </c>
      <c r="D7371" s="2" t="s">
        <v>10168</v>
      </c>
      <c r="E7371" s="2" t="s">
        <v>10169</v>
      </c>
      <c r="F7371" s="4">
        <v>7011</v>
      </c>
      <c r="G7371" s="2" t="s">
        <v>269</v>
      </c>
      <c r="H7371" s="2" t="s">
        <v>34</v>
      </c>
      <c r="I7371" s="2" t="s">
        <v>21776</v>
      </c>
      <c r="J7371" s="2" t="s">
        <v>21777</v>
      </c>
      <c r="K7371" s="2" t="s">
        <v>53</v>
      </c>
      <c r="L7371" s="2" t="s">
        <v>34</v>
      </c>
      <c r="M7371" s="2"/>
      <c r="N7371" s="2"/>
      <c r="O7371" s="2"/>
      <c r="P7371" s="2" t="s">
        <v>22243</v>
      </c>
      <c r="Q7371" s="6">
        <v>100</v>
      </c>
      <c r="R7371" s="6">
        <v>12.25</v>
      </c>
      <c r="S7371" s="5">
        <v>1.1000000000000001</v>
      </c>
      <c r="T7371" s="7">
        <v>61.140999999999998</v>
      </c>
      <c r="U7371" s="5">
        <v>12</v>
      </c>
      <c r="V7371" s="6">
        <v>0.02</v>
      </c>
      <c r="W7371" s="6">
        <v>8.58</v>
      </c>
      <c r="X7371" s="6">
        <v>8.4700000000000006</v>
      </c>
      <c r="Y7371" s="6">
        <v>8.6300000000000008</v>
      </c>
      <c r="Z7371" s="6">
        <v>11.96</v>
      </c>
      <c r="AA7371" s="6">
        <v>44.61</v>
      </c>
      <c r="AB7371" s="7">
        <v>42.649000000000001</v>
      </c>
      <c r="AC7371" s="2"/>
    </row>
    <row r="7372" spans="1:29" ht="130" x14ac:dyDescent="0.15">
      <c r="A7372" s="3">
        <f>DATE(2004,8,20)</f>
        <v>38219</v>
      </c>
      <c r="B7372" s="3">
        <f>DATE(2004,10,29)</f>
        <v>38289</v>
      </c>
      <c r="C7372" s="2" t="s">
        <v>95</v>
      </c>
      <c r="D7372" s="2" t="s">
        <v>22244</v>
      </c>
      <c r="E7372" s="2" t="s">
        <v>22245</v>
      </c>
      <c r="F7372" s="4">
        <v>3841</v>
      </c>
      <c r="G7372" s="2" t="s">
        <v>226</v>
      </c>
      <c r="H7372" s="2" t="s">
        <v>34</v>
      </c>
      <c r="I7372" s="2" t="s">
        <v>278</v>
      </c>
      <c r="J7372" s="2" t="s">
        <v>52</v>
      </c>
      <c r="K7372" s="2" t="s">
        <v>53</v>
      </c>
      <c r="L7372" s="2" t="s">
        <v>34</v>
      </c>
      <c r="M7372" s="2"/>
      <c r="N7372" s="2"/>
      <c r="O7372" s="2"/>
      <c r="P7372" s="2" t="s">
        <v>22246</v>
      </c>
      <c r="Q7372" s="6">
        <v>82.51</v>
      </c>
      <c r="R7372" s="6">
        <v>9.15</v>
      </c>
      <c r="S7372" s="5">
        <v>3.6</v>
      </c>
      <c r="T7372" s="2"/>
      <c r="U7372" s="5">
        <v>3.6</v>
      </c>
      <c r="V7372" s="6">
        <v>0.34</v>
      </c>
      <c r="W7372" s="6">
        <v>11.73</v>
      </c>
      <c r="X7372" s="6">
        <v>11.55</v>
      </c>
      <c r="Y7372" s="5">
        <v>12.1</v>
      </c>
      <c r="Z7372" s="6">
        <v>11.91</v>
      </c>
      <c r="AA7372" s="6">
        <v>11.15</v>
      </c>
      <c r="AB7372" s="7">
        <v>15.84</v>
      </c>
      <c r="AC7372" s="2"/>
    </row>
    <row r="7373" spans="1:29" ht="65" x14ac:dyDescent="0.15">
      <c r="A7373" s="3">
        <f>DATE(2004,8,20)</f>
        <v>38219</v>
      </c>
      <c r="B7373" s="2"/>
      <c r="C7373" s="2" t="s">
        <v>30</v>
      </c>
      <c r="D7373" s="2" t="s">
        <v>9560</v>
      </c>
      <c r="E7373" s="2" t="s">
        <v>9561</v>
      </c>
      <c r="F7373" s="4">
        <v>7011</v>
      </c>
      <c r="G7373" s="2" t="s">
        <v>269</v>
      </c>
      <c r="H7373" s="2" t="s">
        <v>34</v>
      </c>
      <c r="I7373" s="2" t="s">
        <v>22247</v>
      </c>
      <c r="J7373" s="2" t="s">
        <v>6237</v>
      </c>
      <c r="K7373" s="2" t="s">
        <v>53</v>
      </c>
      <c r="L7373" s="2" t="s">
        <v>34</v>
      </c>
      <c r="M7373" s="2"/>
      <c r="N7373" s="2"/>
      <c r="O7373" s="2"/>
      <c r="P7373" s="2" t="s">
        <v>22248</v>
      </c>
      <c r="Q7373" s="2"/>
      <c r="R7373" s="6">
        <v>12</v>
      </c>
      <c r="S7373" s="5">
        <v>-8.5</v>
      </c>
      <c r="T7373" s="7">
        <v>35.593000000000004</v>
      </c>
      <c r="U7373" s="5">
        <v>-2.7</v>
      </c>
      <c r="V7373" s="6">
        <v>-0.82</v>
      </c>
      <c r="W7373" s="5">
        <v>10.5</v>
      </c>
      <c r="X7373" s="5">
        <v>11.9</v>
      </c>
      <c r="Y7373" s="5">
        <v>12.1</v>
      </c>
      <c r="Z7373" s="5">
        <v>11.8</v>
      </c>
      <c r="AA7373" s="6">
        <v>3.61</v>
      </c>
      <c r="AB7373" s="7">
        <v>15.54</v>
      </c>
      <c r="AC7373" s="2"/>
    </row>
    <row r="7374" spans="1:29" ht="91" x14ac:dyDescent="0.15">
      <c r="A7374" s="3">
        <f>DATE(2004,8,20)</f>
        <v>38219</v>
      </c>
      <c r="B7374" s="3">
        <f>DATE(2004,11,12)</f>
        <v>38303</v>
      </c>
      <c r="C7374" s="2" t="s">
        <v>95</v>
      </c>
      <c r="D7374" s="2" t="s">
        <v>22249</v>
      </c>
      <c r="E7374" s="2" t="s">
        <v>92</v>
      </c>
      <c r="F7374" s="4">
        <v>6798</v>
      </c>
      <c r="G7374" s="2" t="s">
        <v>53</v>
      </c>
      <c r="H7374" s="2" t="s">
        <v>34</v>
      </c>
      <c r="I7374" s="2" t="s">
        <v>19786</v>
      </c>
      <c r="J7374" s="2" t="s">
        <v>11969</v>
      </c>
      <c r="K7374" s="2" t="s">
        <v>53</v>
      </c>
      <c r="L7374" s="2" t="s">
        <v>34</v>
      </c>
      <c r="M7374" s="12">
        <v>6444.2269999999999</v>
      </c>
      <c r="N7374" s="4">
        <v>30</v>
      </c>
      <c r="O7374" s="6">
        <v>28.95</v>
      </c>
      <c r="P7374" s="2" t="s">
        <v>22250</v>
      </c>
      <c r="Q7374" s="6">
        <v>100</v>
      </c>
      <c r="R7374" s="6">
        <v>67.5</v>
      </c>
      <c r="S7374" s="5">
        <v>171.8</v>
      </c>
      <c r="T7374" s="7">
        <v>420.06799999999998</v>
      </c>
      <c r="U7374" s="5">
        <v>13.5</v>
      </c>
      <c r="V7374" s="6">
        <v>1.62</v>
      </c>
      <c r="W7374" s="5">
        <v>48.8</v>
      </c>
      <c r="X7374" s="6">
        <v>50.61</v>
      </c>
      <c r="Y7374" s="6">
        <v>66.650000000000006</v>
      </c>
      <c r="Z7374" s="6">
        <v>66.48</v>
      </c>
      <c r="AA7374" s="6">
        <v>102.72</v>
      </c>
      <c r="AB7374" s="7">
        <v>55.518000000000001</v>
      </c>
      <c r="AC7374" s="6">
        <v>15.27</v>
      </c>
    </row>
    <row r="7375" spans="1:29" ht="65" x14ac:dyDescent="0.15">
      <c r="A7375" s="3">
        <f>DATE(2004,8,22)</f>
        <v>38221</v>
      </c>
      <c r="B7375" s="2"/>
      <c r="C7375" s="2" t="s">
        <v>87</v>
      </c>
      <c r="D7375" s="2" t="s">
        <v>10277</v>
      </c>
      <c r="E7375" s="2" t="s">
        <v>22251</v>
      </c>
      <c r="F7375" s="4">
        <v>7372</v>
      </c>
      <c r="G7375" s="2" t="s">
        <v>551</v>
      </c>
      <c r="H7375" s="2" t="s">
        <v>34</v>
      </c>
      <c r="I7375" s="2" t="s">
        <v>4179</v>
      </c>
      <c r="J7375" s="2" t="s">
        <v>15239</v>
      </c>
      <c r="K7375" s="2" t="s">
        <v>45</v>
      </c>
      <c r="L7375" s="2" t="s">
        <v>34</v>
      </c>
      <c r="M7375" s="12">
        <v>58866.252</v>
      </c>
      <c r="N7375" s="6">
        <v>35.659999999999997</v>
      </c>
      <c r="O7375" s="6">
        <v>35.659999999999997</v>
      </c>
      <c r="P7375" s="2" t="s">
        <v>22252</v>
      </c>
      <c r="Q7375" s="2"/>
      <c r="R7375" s="2"/>
      <c r="S7375" s="5">
        <v>-74.8</v>
      </c>
      <c r="T7375" s="7">
        <v>-42.356999999999999</v>
      </c>
      <c r="U7375" s="5">
        <v>1.8</v>
      </c>
      <c r="V7375" s="6">
        <v>-1.46</v>
      </c>
      <c r="W7375" s="6">
        <v>11.98</v>
      </c>
      <c r="X7375" s="6">
        <v>12.45</v>
      </c>
      <c r="Y7375" s="6">
        <v>11.97</v>
      </c>
      <c r="Z7375" s="6">
        <v>11.97</v>
      </c>
      <c r="AA7375" s="6">
        <v>84.19</v>
      </c>
      <c r="AB7375" s="2" t="s">
        <v>86</v>
      </c>
      <c r="AC7375" s="8">
        <v>1713.3</v>
      </c>
    </row>
    <row r="7376" spans="1:29" ht="117" x14ac:dyDescent="0.15">
      <c r="A7376" s="3">
        <f>DATE(2004,8,23)</f>
        <v>38222</v>
      </c>
      <c r="B7376" s="3">
        <f>DATE(2004,12,23)</f>
        <v>38344</v>
      </c>
      <c r="C7376" s="2" t="s">
        <v>95</v>
      </c>
      <c r="D7376" s="2" t="s">
        <v>22253</v>
      </c>
      <c r="E7376" s="2" t="s">
        <v>1046</v>
      </c>
      <c r="F7376" s="4">
        <v>3674</v>
      </c>
      <c r="G7376" s="2" t="s">
        <v>137</v>
      </c>
      <c r="H7376" s="2" t="s">
        <v>34</v>
      </c>
      <c r="I7376" s="2" t="s">
        <v>22254</v>
      </c>
      <c r="J7376" s="2" t="s">
        <v>207</v>
      </c>
      <c r="K7376" s="2" t="s">
        <v>137</v>
      </c>
      <c r="L7376" s="2" t="s">
        <v>303</v>
      </c>
      <c r="M7376" s="6">
        <v>639.25</v>
      </c>
      <c r="N7376" s="7">
        <v>1.4790000000000001</v>
      </c>
      <c r="O7376" s="7">
        <v>1.4970000000000001</v>
      </c>
      <c r="P7376" s="2" t="s">
        <v>22255</v>
      </c>
      <c r="Q7376" s="6">
        <v>100</v>
      </c>
      <c r="R7376" s="6">
        <v>33.9</v>
      </c>
      <c r="S7376" s="5">
        <v>17.3</v>
      </c>
      <c r="T7376" s="7">
        <v>24.702000000000002</v>
      </c>
      <c r="U7376" s="5">
        <v>8.8000000000000007</v>
      </c>
      <c r="V7376" s="6">
        <v>0.7</v>
      </c>
      <c r="W7376" s="5">
        <v>22.6</v>
      </c>
      <c r="X7376" s="6">
        <v>23.88</v>
      </c>
      <c r="Y7376" s="5">
        <v>27.6</v>
      </c>
      <c r="Z7376" s="6">
        <v>27.86</v>
      </c>
      <c r="AA7376" s="6">
        <v>23.44</v>
      </c>
      <c r="AB7376" s="7">
        <v>47.878</v>
      </c>
      <c r="AC7376" s="5">
        <v>209</v>
      </c>
    </row>
    <row r="7377" spans="1:29" ht="169" x14ac:dyDescent="0.15">
      <c r="A7377" s="3">
        <f>DATE(2004,8,24)</f>
        <v>38223</v>
      </c>
      <c r="B7377" s="3">
        <f>DATE(2004,12,21)</f>
        <v>38342</v>
      </c>
      <c r="C7377" s="2" t="s">
        <v>95</v>
      </c>
      <c r="D7377" s="2" t="s">
        <v>22256</v>
      </c>
      <c r="E7377" s="2" t="s">
        <v>92</v>
      </c>
      <c r="F7377" s="4">
        <v>6798</v>
      </c>
      <c r="G7377" s="2" t="s">
        <v>53</v>
      </c>
      <c r="H7377" s="2" t="s">
        <v>34</v>
      </c>
      <c r="I7377" s="2" t="s">
        <v>22257</v>
      </c>
      <c r="J7377" s="2" t="s">
        <v>22258</v>
      </c>
      <c r="K7377" s="2" t="s">
        <v>109</v>
      </c>
      <c r="L7377" s="2" t="s">
        <v>34</v>
      </c>
      <c r="M7377" s="2"/>
      <c r="N7377" s="2"/>
      <c r="O7377" s="2"/>
      <c r="P7377" s="2" t="s">
        <v>22259</v>
      </c>
      <c r="Q7377" s="6">
        <v>100</v>
      </c>
      <c r="R7377" s="6">
        <v>18.850000000000001</v>
      </c>
      <c r="S7377" s="5">
        <v>-23.7</v>
      </c>
      <c r="T7377" s="6">
        <v>46.97</v>
      </c>
      <c r="U7377" s="5">
        <v>12.1</v>
      </c>
      <c r="V7377" s="2"/>
      <c r="W7377" s="6">
        <v>18.88</v>
      </c>
      <c r="X7377" s="6">
        <v>18.72</v>
      </c>
      <c r="Y7377" s="4">
        <v>19</v>
      </c>
      <c r="Z7377" s="6">
        <v>18.850000000000001</v>
      </c>
      <c r="AA7377" s="6">
        <v>36.92</v>
      </c>
      <c r="AB7377" s="7">
        <v>60.701999999999998</v>
      </c>
      <c r="AC7377" s="2"/>
    </row>
    <row r="7378" spans="1:29" ht="91" x14ac:dyDescent="0.15">
      <c r="A7378" s="3">
        <f>DATE(2004,8,25)</f>
        <v>38224</v>
      </c>
      <c r="B7378" s="3">
        <f>DATE(2005,5,31)</f>
        <v>38503</v>
      </c>
      <c r="C7378" s="2" t="s">
        <v>95</v>
      </c>
      <c r="D7378" s="2" t="s">
        <v>22260</v>
      </c>
      <c r="E7378" s="2" t="s">
        <v>389</v>
      </c>
      <c r="F7378" s="4">
        <v>6035</v>
      </c>
      <c r="G7378" s="2" t="s">
        <v>33</v>
      </c>
      <c r="H7378" s="2" t="s">
        <v>34</v>
      </c>
      <c r="I7378" s="2" t="s">
        <v>22261</v>
      </c>
      <c r="J7378" s="2" t="s">
        <v>263</v>
      </c>
      <c r="K7378" s="2" t="s">
        <v>33</v>
      </c>
      <c r="L7378" s="2" t="s">
        <v>34</v>
      </c>
      <c r="M7378" s="2"/>
      <c r="N7378" s="2"/>
      <c r="O7378" s="2"/>
      <c r="P7378" s="2" t="s">
        <v>22262</v>
      </c>
      <c r="Q7378" s="6">
        <v>100</v>
      </c>
      <c r="R7378" s="6">
        <v>20</v>
      </c>
      <c r="S7378" s="5">
        <v>1.4</v>
      </c>
      <c r="T7378" s="7">
        <v>2.2069999999999999</v>
      </c>
      <c r="U7378" s="5">
        <v>15.8</v>
      </c>
      <c r="V7378" s="6">
        <v>1.1399999999999999</v>
      </c>
      <c r="W7378" s="4">
        <v>21</v>
      </c>
      <c r="X7378" s="4">
        <v>21</v>
      </c>
      <c r="Y7378" s="4">
        <v>21</v>
      </c>
      <c r="Z7378" s="4">
        <v>20</v>
      </c>
      <c r="AA7378" s="6">
        <v>1.1499999999999999</v>
      </c>
      <c r="AB7378" s="7">
        <v>123.062</v>
      </c>
      <c r="AC7378" s="2"/>
    </row>
    <row r="7379" spans="1:29" ht="91" x14ac:dyDescent="0.15">
      <c r="A7379" s="3">
        <f>DATE(2004,8,25)</f>
        <v>38224</v>
      </c>
      <c r="B7379" s="3">
        <f>DATE(2005,3,2)</f>
        <v>38413</v>
      </c>
      <c r="C7379" s="2" t="s">
        <v>95</v>
      </c>
      <c r="D7379" s="2" t="s">
        <v>22263</v>
      </c>
      <c r="E7379" s="2" t="s">
        <v>263</v>
      </c>
      <c r="F7379" s="4">
        <v>6021</v>
      </c>
      <c r="G7379" s="2" t="s">
        <v>37</v>
      </c>
      <c r="H7379" s="2" t="s">
        <v>34</v>
      </c>
      <c r="I7379" s="2" t="s">
        <v>16543</v>
      </c>
      <c r="J7379" s="2" t="s">
        <v>36</v>
      </c>
      <c r="K7379" s="2" t="s">
        <v>37</v>
      </c>
      <c r="L7379" s="2" t="s">
        <v>34</v>
      </c>
      <c r="M7379" s="12">
        <v>1610.1980000000001</v>
      </c>
      <c r="N7379" s="6">
        <v>54.06</v>
      </c>
      <c r="O7379" s="6">
        <v>53.23</v>
      </c>
      <c r="P7379" s="2" t="s">
        <v>22264</v>
      </c>
      <c r="Q7379" s="6">
        <v>100</v>
      </c>
      <c r="R7379" s="6">
        <v>28.74</v>
      </c>
      <c r="S7379" s="5">
        <v>7</v>
      </c>
      <c r="T7379" s="2"/>
      <c r="U7379" s="5">
        <v>5.7</v>
      </c>
      <c r="V7379" s="6">
        <v>1.37</v>
      </c>
      <c r="W7379" s="6">
        <v>25.25</v>
      </c>
      <c r="X7379" s="6">
        <v>25.55</v>
      </c>
      <c r="Y7379" s="6">
        <v>25.99</v>
      </c>
      <c r="Z7379" s="6">
        <v>28.27</v>
      </c>
      <c r="AA7379" s="6">
        <v>4.95</v>
      </c>
      <c r="AB7379" s="7">
        <v>13.518000000000001</v>
      </c>
      <c r="AC7379" s="2"/>
    </row>
    <row r="7380" spans="1:29" ht="104" x14ac:dyDescent="0.15">
      <c r="A7380" s="3">
        <f>DATE(2004,8,25)</f>
        <v>38224</v>
      </c>
      <c r="B7380" s="3">
        <f>DATE(2005,1,1)</f>
        <v>38353</v>
      </c>
      <c r="C7380" s="2" t="s">
        <v>95</v>
      </c>
      <c r="D7380" s="2" t="s">
        <v>22265</v>
      </c>
      <c r="E7380" s="2" t="s">
        <v>4015</v>
      </c>
      <c r="F7380" s="4">
        <v>6311</v>
      </c>
      <c r="G7380" s="2" t="s">
        <v>125</v>
      </c>
      <c r="H7380" s="2" t="s">
        <v>34</v>
      </c>
      <c r="I7380" s="2" t="s">
        <v>22266</v>
      </c>
      <c r="J7380" s="2" t="s">
        <v>124</v>
      </c>
      <c r="K7380" s="2" t="s">
        <v>125</v>
      </c>
      <c r="L7380" s="2" t="s">
        <v>34</v>
      </c>
      <c r="M7380" s="2"/>
      <c r="N7380" s="2"/>
      <c r="O7380" s="2"/>
      <c r="P7380" s="2" t="s">
        <v>22267</v>
      </c>
      <c r="Q7380" s="6">
        <v>23</v>
      </c>
      <c r="R7380" s="6">
        <v>3.84</v>
      </c>
      <c r="S7380" s="5">
        <v>-0.3</v>
      </c>
      <c r="T7380" s="2"/>
      <c r="U7380" s="5">
        <v>7.6</v>
      </c>
      <c r="V7380" s="6">
        <v>-0.13</v>
      </c>
      <c r="W7380" s="6">
        <v>3.25</v>
      </c>
      <c r="X7380" s="6">
        <v>3.25</v>
      </c>
      <c r="Y7380" s="6">
        <v>3.25</v>
      </c>
      <c r="Z7380" s="6">
        <v>3.25</v>
      </c>
      <c r="AA7380" s="6">
        <v>2.11</v>
      </c>
      <c r="AB7380" s="2" t="s">
        <v>86</v>
      </c>
      <c r="AC7380" s="2"/>
    </row>
    <row r="7381" spans="1:29" ht="156" x14ac:dyDescent="0.15">
      <c r="A7381" s="3">
        <f>DATE(2004,8,25)</f>
        <v>38224</v>
      </c>
      <c r="B7381" s="3">
        <f>DATE(2005,1,3)</f>
        <v>38355</v>
      </c>
      <c r="C7381" s="2" t="s">
        <v>95</v>
      </c>
      <c r="D7381" s="2" t="s">
        <v>22268</v>
      </c>
      <c r="E7381" s="2" t="s">
        <v>389</v>
      </c>
      <c r="F7381" s="4">
        <v>6035</v>
      </c>
      <c r="G7381" s="2" t="s">
        <v>33</v>
      </c>
      <c r="H7381" s="2" t="s">
        <v>34</v>
      </c>
      <c r="I7381" s="2" t="s">
        <v>4131</v>
      </c>
      <c r="J7381" s="2" t="s">
        <v>36</v>
      </c>
      <c r="K7381" s="2" t="s">
        <v>37</v>
      </c>
      <c r="L7381" s="2" t="s">
        <v>34</v>
      </c>
      <c r="M7381" s="7">
        <v>538.98400000000004</v>
      </c>
      <c r="N7381" s="5">
        <v>27.9</v>
      </c>
      <c r="O7381" s="6">
        <v>27.51</v>
      </c>
      <c r="P7381" s="2" t="s">
        <v>22269</v>
      </c>
      <c r="Q7381" s="6">
        <v>87.23</v>
      </c>
      <c r="R7381" s="6">
        <v>20.98</v>
      </c>
      <c r="S7381" s="5">
        <v>4.5999999999999996</v>
      </c>
      <c r="T7381" s="2"/>
      <c r="U7381" s="5">
        <v>10</v>
      </c>
      <c r="V7381" s="6">
        <v>0.97</v>
      </c>
      <c r="W7381" s="6">
        <v>15.05</v>
      </c>
      <c r="X7381" s="5">
        <v>15.4</v>
      </c>
      <c r="Y7381" s="5">
        <v>15.3</v>
      </c>
      <c r="Z7381" s="6">
        <v>20.16</v>
      </c>
      <c r="AA7381" s="6">
        <v>4.6100000000000003</v>
      </c>
      <c r="AB7381" s="7">
        <v>35.688000000000002</v>
      </c>
      <c r="AC7381" s="2"/>
    </row>
    <row r="7382" spans="1:29" ht="143" x14ac:dyDescent="0.15">
      <c r="A7382" s="3">
        <f>DATE(2004,8,26)</f>
        <v>38225</v>
      </c>
      <c r="B7382" s="3">
        <f>DATE(2005,3,1)</f>
        <v>38412</v>
      </c>
      <c r="C7382" s="2" t="s">
        <v>95</v>
      </c>
      <c r="D7382" s="2" t="s">
        <v>18969</v>
      </c>
      <c r="E7382" s="2" t="s">
        <v>18970</v>
      </c>
      <c r="F7382" s="4">
        <v>6022</v>
      </c>
      <c r="G7382" s="2" t="s">
        <v>37</v>
      </c>
      <c r="H7382" s="2" t="s">
        <v>34</v>
      </c>
      <c r="I7382" s="2" t="s">
        <v>7748</v>
      </c>
      <c r="J7382" s="2" t="s">
        <v>265</v>
      </c>
      <c r="K7382" s="2" t="s">
        <v>37</v>
      </c>
      <c r="L7382" s="2" t="s">
        <v>902</v>
      </c>
      <c r="M7382" s="12">
        <v>21866.402999999998</v>
      </c>
      <c r="N7382" s="7">
        <v>33.331000000000003</v>
      </c>
      <c r="O7382" s="7">
        <v>34.122999999999998</v>
      </c>
      <c r="P7382" s="2" t="s">
        <v>22270</v>
      </c>
      <c r="Q7382" s="6">
        <v>67.11</v>
      </c>
      <c r="R7382" s="6">
        <v>22.05</v>
      </c>
      <c r="S7382" s="5">
        <v>368</v>
      </c>
      <c r="T7382" s="2"/>
      <c r="U7382" s="5">
        <v>16.600000000000001</v>
      </c>
      <c r="V7382" s="6">
        <v>2.21</v>
      </c>
      <c r="W7382" s="6">
        <v>31.43</v>
      </c>
      <c r="X7382" s="6">
        <v>31.49</v>
      </c>
      <c r="Y7382" s="5">
        <v>31.7</v>
      </c>
      <c r="Z7382" s="6">
        <v>34.880000000000003</v>
      </c>
      <c r="AA7382" s="6">
        <v>172.9</v>
      </c>
      <c r="AB7382" s="7">
        <v>19.937000000000001</v>
      </c>
      <c r="AC7382" s="2"/>
    </row>
    <row r="7383" spans="1:29" ht="65" x14ac:dyDescent="0.15">
      <c r="A7383" s="3">
        <f>DATE(2004,8,26)</f>
        <v>38225</v>
      </c>
      <c r="B7383" s="3">
        <f>DATE(2005,1,14)</f>
        <v>38366</v>
      </c>
      <c r="C7383" s="2" t="s">
        <v>95</v>
      </c>
      <c r="D7383" s="2" t="s">
        <v>22271</v>
      </c>
      <c r="E7383" s="2" t="s">
        <v>263</v>
      </c>
      <c r="F7383" s="4">
        <v>6021</v>
      </c>
      <c r="G7383" s="2" t="s">
        <v>37</v>
      </c>
      <c r="H7383" s="2" t="s">
        <v>34</v>
      </c>
      <c r="I7383" s="2" t="s">
        <v>22272</v>
      </c>
      <c r="J7383" s="2" t="s">
        <v>159</v>
      </c>
      <c r="K7383" s="2" t="s">
        <v>37</v>
      </c>
      <c r="L7383" s="2" t="s">
        <v>34</v>
      </c>
      <c r="M7383" s="7">
        <v>126.381</v>
      </c>
      <c r="N7383" s="6">
        <v>18.75</v>
      </c>
      <c r="O7383" s="5">
        <v>18.5</v>
      </c>
      <c r="P7383" s="2" t="s">
        <v>22273</v>
      </c>
      <c r="Q7383" s="6">
        <v>100</v>
      </c>
      <c r="R7383" s="6">
        <v>42</v>
      </c>
      <c r="S7383" s="2"/>
      <c r="T7383" s="2"/>
      <c r="U7383" s="2"/>
      <c r="V7383" s="2"/>
      <c r="W7383" s="5">
        <v>24.8</v>
      </c>
      <c r="X7383" s="6">
        <v>24.75</v>
      </c>
      <c r="Y7383" s="5">
        <v>40.200000000000003</v>
      </c>
      <c r="Z7383" s="6">
        <v>40.25</v>
      </c>
      <c r="AA7383" s="6">
        <v>1.86</v>
      </c>
      <c r="AB7383" s="2" t="s">
        <v>47</v>
      </c>
      <c r="AC7383" s="2"/>
    </row>
    <row r="7384" spans="1:29" ht="78" x14ac:dyDescent="0.15">
      <c r="A7384" s="3">
        <f>DATE(2004,8,26)</f>
        <v>38225</v>
      </c>
      <c r="B7384" s="3">
        <f>DATE(2004,10,26)</f>
        <v>38286</v>
      </c>
      <c r="C7384" s="2" t="s">
        <v>95</v>
      </c>
      <c r="D7384" s="2" t="s">
        <v>22274</v>
      </c>
      <c r="E7384" s="2" t="s">
        <v>22275</v>
      </c>
      <c r="F7384" s="4">
        <v>5091</v>
      </c>
      <c r="G7384" s="2" t="s">
        <v>76</v>
      </c>
      <c r="H7384" s="2" t="s">
        <v>34</v>
      </c>
      <c r="I7384" s="2" t="s">
        <v>22276</v>
      </c>
      <c r="J7384" s="2" t="s">
        <v>9346</v>
      </c>
      <c r="K7384" s="2" t="s">
        <v>112</v>
      </c>
      <c r="L7384" s="2" t="s">
        <v>34</v>
      </c>
      <c r="M7384" s="2"/>
      <c r="N7384" s="2"/>
      <c r="O7384" s="2"/>
      <c r="P7384" s="2" t="s">
        <v>22277</v>
      </c>
      <c r="Q7384" s="6">
        <v>100</v>
      </c>
      <c r="R7384" s="6">
        <v>7.6</v>
      </c>
      <c r="S7384" s="5">
        <v>0.5</v>
      </c>
      <c r="T7384" s="7">
        <v>1.075</v>
      </c>
      <c r="U7384" s="5">
        <v>7</v>
      </c>
      <c r="V7384" s="6">
        <v>0.1</v>
      </c>
      <c r="W7384" s="6">
        <v>7.03</v>
      </c>
      <c r="X7384" s="6">
        <v>7.58</v>
      </c>
      <c r="Y7384" s="6">
        <v>7.79</v>
      </c>
      <c r="Z7384" s="5">
        <v>7.5</v>
      </c>
      <c r="AA7384" s="6">
        <v>4.5999999999999996</v>
      </c>
      <c r="AB7384" s="7">
        <v>68.269000000000005</v>
      </c>
      <c r="AC7384" s="2"/>
    </row>
    <row r="7385" spans="1:29" ht="130" x14ac:dyDescent="0.15">
      <c r="A7385" s="3">
        <f>DATE(2004,8,27)</f>
        <v>38226</v>
      </c>
      <c r="B7385" s="3">
        <f>DATE(2005,2,3)</f>
        <v>38386</v>
      </c>
      <c r="C7385" s="2" t="s">
        <v>95</v>
      </c>
      <c r="D7385" s="2" t="s">
        <v>22278</v>
      </c>
      <c r="E7385" s="2" t="s">
        <v>22279</v>
      </c>
      <c r="F7385" s="4">
        <v>6513</v>
      </c>
      <c r="G7385" s="2" t="s">
        <v>109</v>
      </c>
      <c r="H7385" s="2" t="s">
        <v>34</v>
      </c>
      <c r="I7385" s="2" t="s">
        <v>22280</v>
      </c>
      <c r="J7385" s="2" t="s">
        <v>15213</v>
      </c>
      <c r="K7385" s="2" t="s">
        <v>53</v>
      </c>
      <c r="L7385" s="2" t="s">
        <v>34</v>
      </c>
      <c r="M7385" s="2"/>
      <c r="N7385" s="2"/>
      <c r="O7385" s="2"/>
      <c r="P7385" s="2" t="s">
        <v>22281</v>
      </c>
      <c r="Q7385" s="6">
        <v>100</v>
      </c>
      <c r="R7385" s="6">
        <v>63.1</v>
      </c>
      <c r="S7385" s="5">
        <v>88.4</v>
      </c>
      <c r="T7385" s="7">
        <v>85.206000000000003</v>
      </c>
      <c r="U7385" s="5">
        <v>37.4</v>
      </c>
      <c r="V7385" s="6">
        <v>2.93</v>
      </c>
      <c r="W7385" s="4">
        <v>57</v>
      </c>
      <c r="X7385" s="6">
        <v>59.12</v>
      </c>
      <c r="Y7385" s="5">
        <v>59.1</v>
      </c>
      <c r="Z7385" s="6">
        <v>62.81</v>
      </c>
      <c r="AA7385" s="6">
        <v>29.79</v>
      </c>
      <c r="AB7385" s="7">
        <v>58.054000000000002</v>
      </c>
      <c r="AC7385" s="2"/>
    </row>
    <row r="7386" spans="1:29" ht="65" x14ac:dyDescent="0.15">
      <c r="A7386" s="3">
        <f>DATE(2004,9,1)</f>
        <v>38231</v>
      </c>
      <c r="B7386" s="3">
        <f>DATE(2004,12,31)</f>
        <v>38352</v>
      </c>
      <c r="C7386" s="2" t="s">
        <v>95</v>
      </c>
      <c r="D7386" s="2" t="s">
        <v>18707</v>
      </c>
      <c r="E7386" s="2" t="s">
        <v>1295</v>
      </c>
      <c r="F7386" s="4">
        <v>6035</v>
      </c>
      <c r="G7386" s="2" t="s">
        <v>33</v>
      </c>
      <c r="H7386" s="2" t="s">
        <v>34</v>
      </c>
      <c r="I7386" s="2" t="s">
        <v>22282</v>
      </c>
      <c r="J7386" s="2" t="s">
        <v>159</v>
      </c>
      <c r="K7386" s="2" t="s">
        <v>37</v>
      </c>
      <c r="L7386" s="2" t="s">
        <v>34</v>
      </c>
      <c r="M7386" s="7">
        <v>146.035</v>
      </c>
      <c r="N7386" s="4">
        <v>26</v>
      </c>
      <c r="O7386" s="6">
        <v>25.75</v>
      </c>
      <c r="P7386" s="2" t="s">
        <v>22283</v>
      </c>
      <c r="Q7386" s="6">
        <v>100</v>
      </c>
      <c r="R7386" s="6">
        <v>26</v>
      </c>
      <c r="S7386" s="5">
        <v>2.5</v>
      </c>
      <c r="T7386" s="7">
        <v>4.3129999999999997</v>
      </c>
      <c r="U7386" s="5">
        <v>15.5</v>
      </c>
      <c r="V7386" s="6">
        <v>1.81</v>
      </c>
      <c r="W7386" s="6">
        <v>18.75</v>
      </c>
      <c r="X7386" s="6">
        <v>18.079999999999998</v>
      </c>
      <c r="Y7386" s="5">
        <v>18.100000000000001</v>
      </c>
      <c r="Z7386" s="6">
        <v>25.75</v>
      </c>
      <c r="AA7386" s="6">
        <v>1.4</v>
      </c>
      <c r="AB7386" s="7">
        <v>17.506</v>
      </c>
      <c r="AC7386" s="2"/>
    </row>
    <row r="7387" spans="1:29" ht="78" x14ac:dyDescent="0.15">
      <c r="A7387" s="3">
        <f>DATE(2004,9,1)</f>
        <v>38231</v>
      </c>
      <c r="B7387" s="3">
        <f>DATE(2005,4,11)</f>
        <v>38453</v>
      </c>
      <c r="C7387" s="2" t="s">
        <v>95</v>
      </c>
      <c r="D7387" s="2" t="s">
        <v>22284</v>
      </c>
      <c r="E7387" s="2" t="s">
        <v>20944</v>
      </c>
      <c r="F7387" s="4">
        <v>5961</v>
      </c>
      <c r="G7387" s="2" t="s">
        <v>73</v>
      </c>
      <c r="H7387" s="2" t="s">
        <v>34</v>
      </c>
      <c r="I7387" s="2" t="s">
        <v>278</v>
      </c>
      <c r="J7387" s="2" t="s">
        <v>52</v>
      </c>
      <c r="K7387" s="2" t="s">
        <v>53</v>
      </c>
      <c r="L7387" s="2" t="s">
        <v>34</v>
      </c>
      <c r="M7387" s="2"/>
      <c r="N7387" s="2"/>
      <c r="O7387" s="2"/>
      <c r="P7387" s="2" t="s">
        <v>22285</v>
      </c>
      <c r="Q7387" s="6">
        <v>80.2</v>
      </c>
      <c r="R7387" s="6">
        <v>6.15</v>
      </c>
      <c r="S7387" s="5">
        <v>-2.9</v>
      </c>
      <c r="T7387" s="7">
        <v>-4.806</v>
      </c>
      <c r="U7387" s="5">
        <v>1.1000000000000001</v>
      </c>
      <c r="V7387" s="6">
        <v>-0.09</v>
      </c>
      <c r="W7387" s="2"/>
      <c r="X7387" s="6">
        <v>6.15</v>
      </c>
      <c r="Y7387" s="5">
        <v>6.4</v>
      </c>
      <c r="Z7387" s="6">
        <v>6.37</v>
      </c>
      <c r="AA7387" s="6">
        <v>17.47</v>
      </c>
      <c r="AB7387" s="2" t="s">
        <v>86</v>
      </c>
      <c r="AC7387" s="2"/>
    </row>
    <row r="7388" spans="1:29" ht="130" x14ac:dyDescent="0.15">
      <c r="A7388" s="3">
        <f>DATE(2004,9,1)</f>
        <v>38231</v>
      </c>
      <c r="B7388" s="2"/>
      <c r="C7388" s="2" t="s">
        <v>30</v>
      </c>
      <c r="D7388" s="2" t="s">
        <v>22286</v>
      </c>
      <c r="E7388" s="2" t="s">
        <v>36</v>
      </c>
      <c r="F7388" s="4">
        <v>6021</v>
      </c>
      <c r="G7388" s="2" t="s">
        <v>37</v>
      </c>
      <c r="H7388" s="2" t="s">
        <v>34</v>
      </c>
      <c r="I7388" s="2" t="s">
        <v>22287</v>
      </c>
      <c r="J7388" s="2" t="s">
        <v>17388</v>
      </c>
      <c r="K7388" s="2" t="s">
        <v>33</v>
      </c>
      <c r="L7388" s="2" t="s">
        <v>34</v>
      </c>
      <c r="M7388" s="7">
        <v>20.437000000000001</v>
      </c>
      <c r="N7388" s="5">
        <v>5.3</v>
      </c>
      <c r="O7388" s="6">
        <v>5.61</v>
      </c>
      <c r="P7388" s="2" t="s">
        <v>22288</v>
      </c>
      <c r="Q7388" s="2"/>
      <c r="R7388" s="6">
        <v>13.69</v>
      </c>
      <c r="S7388" s="5">
        <v>1</v>
      </c>
      <c r="T7388" s="2"/>
      <c r="U7388" s="5">
        <v>9</v>
      </c>
      <c r="V7388" s="6">
        <v>0.68</v>
      </c>
      <c r="W7388" s="6">
        <v>12.05</v>
      </c>
      <c r="X7388" s="6">
        <v>12.35</v>
      </c>
      <c r="Y7388" s="5">
        <v>13.2</v>
      </c>
      <c r="Z7388" s="5">
        <v>13.5</v>
      </c>
      <c r="AA7388" s="6">
        <v>1.39</v>
      </c>
      <c r="AB7388" s="7">
        <v>18.119</v>
      </c>
      <c r="AC7388" s="2"/>
    </row>
    <row r="7389" spans="1:29" ht="65" x14ac:dyDescent="0.15">
      <c r="A7389" s="3">
        <f>DATE(2004,9,2)</f>
        <v>38232</v>
      </c>
      <c r="B7389" s="3">
        <f>DATE(2004,10,29)</f>
        <v>38289</v>
      </c>
      <c r="C7389" s="2" t="s">
        <v>95</v>
      </c>
      <c r="D7389" s="2" t="s">
        <v>22289</v>
      </c>
      <c r="E7389" s="2" t="s">
        <v>22290</v>
      </c>
      <c r="F7389" s="4">
        <v>3825</v>
      </c>
      <c r="G7389" s="2" t="s">
        <v>226</v>
      </c>
      <c r="H7389" s="2" t="s">
        <v>34</v>
      </c>
      <c r="I7389" s="2" t="s">
        <v>22291</v>
      </c>
      <c r="J7389" s="2" t="s">
        <v>905</v>
      </c>
      <c r="K7389" s="2" t="s">
        <v>226</v>
      </c>
      <c r="L7389" s="2" t="s">
        <v>34</v>
      </c>
      <c r="M7389" s="6">
        <v>170.51</v>
      </c>
      <c r="N7389" s="5">
        <v>14.4</v>
      </c>
      <c r="O7389" s="6">
        <v>14.29</v>
      </c>
      <c r="P7389" s="2" t="s">
        <v>22292</v>
      </c>
      <c r="Q7389" s="6">
        <v>100</v>
      </c>
      <c r="R7389" s="6">
        <v>6</v>
      </c>
      <c r="S7389" s="5">
        <v>1.1000000000000001</v>
      </c>
      <c r="T7389" s="7">
        <v>1.2050000000000001</v>
      </c>
      <c r="U7389" s="5">
        <v>2.4</v>
      </c>
      <c r="V7389" s="6">
        <v>0.05</v>
      </c>
      <c r="W7389" s="6">
        <v>3.95</v>
      </c>
      <c r="X7389" s="5">
        <v>3.8</v>
      </c>
      <c r="Y7389" s="5">
        <v>5.8</v>
      </c>
      <c r="Z7389" s="6">
        <v>5.81</v>
      </c>
      <c r="AA7389" s="6">
        <v>19.670000000000002</v>
      </c>
      <c r="AB7389" s="7">
        <v>208.541</v>
      </c>
      <c r="AC7389" s="5">
        <v>38.1</v>
      </c>
    </row>
    <row r="7390" spans="1:29" ht="78" x14ac:dyDescent="0.15">
      <c r="A7390" s="3">
        <f>DATE(2004,9,7)</f>
        <v>38237</v>
      </c>
      <c r="B7390" s="3">
        <f>DATE(2004,12,17)</f>
        <v>38338</v>
      </c>
      <c r="C7390" s="2" t="s">
        <v>95</v>
      </c>
      <c r="D7390" s="2" t="s">
        <v>22293</v>
      </c>
      <c r="E7390" s="2" t="s">
        <v>540</v>
      </c>
      <c r="F7390" s="4">
        <v>2836</v>
      </c>
      <c r="G7390" s="2" t="s">
        <v>130</v>
      </c>
      <c r="H7390" s="2" t="s">
        <v>34</v>
      </c>
      <c r="I7390" s="2" t="s">
        <v>22294</v>
      </c>
      <c r="J7390" s="2" t="s">
        <v>22295</v>
      </c>
      <c r="K7390" s="2" t="s">
        <v>226</v>
      </c>
      <c r="L7390" s="2" t="s">
        <v>34</v>
      </c>
      <c r="M7390" s="7">
        <v>112.377</v>
      </c>
      <c r="N7390" s="6">
        <v>4.57</v>
      </c>
      <c r="O7390" s="6">
        <v>4.1900000000000004</v>
      </c>
      <c r="P7390" s="2" t="s">
        <v>22296</v>
      </c>
      <c r="Q7390" s="6">
        <v>100</v>
      </c>
      <c r="R7390" s="6">
        <v>2</v>
      </c>
      <c r="S7390" s="5">
        <v>-1.2</v>
      </c>
      <c r="T7390" s="7">
        <v>-0.74399999999999999</v>
      </c>
      <c r="U7390" s="5">
        <v>0.3</v>
      </c>
      <c r="V7390" s="6">
        <v>-0.04</v>
      </c>
      <c r="W7390" s="6">
        <v>1.76</v>
      </c>
      <c r="X7390" s="6">
        <v>1.76</v>
      </c>
      <c r="Y7390" s="6">
        <v>1.78</v>
      </c>
      <c r="Z7390" s="5">
        <v>1.9</v>
      </c>
      <c r="AA7390" s="6">
        <v>28.64</v>
      </c>
      <c r="AB7390" s="2" t="s">
        <v>86</v>
      </c>
      <c r="AC7390" s="6">
        <v>32.549999999999997</v>
      </c>
    </row>
    <row r="7391" spans="1:29" ht="104" x14ac:dyDescent="0.15">
      <c r="A7391" s="3">
        <f>DATE(2004,9,8)</f>
        <v>38238</v>
      </c>
      <c r="B7391" s="3">
        <f>DATE(2004,12,13)</f>
        <v>38334</v>
      </c>
      <c r="C7391" s="2" t="s">
        <v>95</v>
      </c>
      <c r="D7391" s="2" t="s">
        <v>22297</v>
      </c>
      <c r="E7391" s="2" t="s">
        <v>263</v>
      </c>
      <c r="F7391" s="4">
        <v>6021</v>
      </c>
      <c r="G7391" s="2" t="s">
        <v>37</v>
      </c>
      <c r="H7391" s="2" t="s">
        <v>34</v>
      </c>
      <c r="I7391" s="2" t="s">
        <v>22298</v>
      </c>
      <c r="J7391" s="2" t="s">
        <v>159</v>
      </c>
      <c r="K7391" s="2" t="s">
        <v>37</v>
      </c>
      <c r="L7391" s="2" t="s">
        <v>34</v>
      </c>
      <c r="M7391" s="7">
        <v>279.10399999999998</v>
      </c>
      <c r="N7391" s="6">
        <v>20.72</v>
      </c>
      <c r="O7391" s="6">
        <v>21.25</v>
      </c>
      <c r="P7391" s="2" t="s">
        <v>22299</v>
      </c>
      <c r="Q7391" s="6">
        <v>100</v>
      </c>
      <c r="R7391" s="6">
        <v>25.4</v>
      </c>
      <c r="S7391" s="5">
        <v>1.7</v>
      </c>
      <c r="T7391" s="2"/>
      <c r="U7391" s="5">
        <v>11.5</v>
      </c>
      <c r="V7391" s="9">
        <v>0.89729999999999999</v>
      </c>
      <c r="W7391" s="5">
        <v>19.5</v>
      </c>
      <c r="X7391" s="5">
        <v>19.5</v>
      </c>
      <c r="Y7391" s="4">
        <v>25</v>
      </c>
      <c r="Z7391" s="6">
        <v>24.99</v>
      </c>
      <c r="AA7391" s="6">
        <v>1.83</v>
      </c>
      <c r="AB7391" s="7">
        <v>27.616</v>
      </c>
      <c r="AC7391" s="2"/>
    </row>
    <row r="7392" spans="1:29" ht="169" x14ac:dyDescent="0.15">
      <c r="A7392" s="3">
        <f>DATE(2004,9,9)</f>
        <v>38239</v>
      </c>
      <c r="B7392" s="2"/>
      <c r="C7392" s="2" t="s">
        <v>30</v>
      </c>
      <c r="D7392" s="2" t="s">
        <v>22300</v>
      </c>
      <c r="E7392" s="2" t="s">
        <v>10436</v>
      </c>
      <c r="F7392" s="4">
        <v>3679</v>
      </c>
      <c r="G7392" s="2" t="s">
        <v>137</v>
      </c>
      <c r="H7392" s="2" t="s">
        <v>34</v>
      </c>
      <c r="I7392" s="2" t="s">
        <v>5371</v>
      </c>
      <c r="J7392" s="2" t="s">
        <v>3526</v>
      </c>
      <c r="K7392" s="2" t="s">
        <v>137</v>
      </c>
      <c r="L7392" s="2" t="s">
        <v>34</v>
      </c>
      <c r="M7392" s="7">
        <v>355.07499999999999</v>
      </c>
      <c r="N7392" s="6">
        <v>32.090000000000003</v>
      </c>
      <c r="O7392" s="6">
        <v>31.29</v>
      </c>
      <c r="P7392" s="2" t="s">
        <v>22301</v>
      </c>
      <c r="Q7392" s="2"/>
      <c r="R7392" s="6">
        <v>9.86</v>
      </c>
      <c r="S7392" s="5">
        <v>1</v>
      </c>
      <c r="T7392" s="7">
        <v>34.247999999999998</v>
      </c>
      <c r="U7392" s="5">
        <v>3.1</v>
      </c>
      <c r="V7392" s="6">
        <v>0.03</v>
      </c>
      <c r="W7392" s="6">
        <v>8.2799999999999994</v>
      </c>
      <c r="X7392" s="6">
        <v>7.67</v>
      </c>
      <c r="Y7392" s="6">
        <v>8.18</v>
      </c>
      <c r="Z7392" s="6">
        <v>9.8699999999999992</v>
      </c>
      <c r="AA7392" s="6">
        <v>39.200000000000003</v>
      </c>
      <c r="AB7392" s="7">
        <v>41.067</v>
      </c>
      <c r="AC7392" s="6">
        <v>76.319999999999993</v>
      </c>
    </row>
    <row r="7393" spans="1:29" ht="130" x14ac:dyDescent="0.15">
      <c r="A7393" s="3">
        <f>DATE(2004,9,9)</f>
        <v>38239</v>
      </c>
      <c r="B7393" s="3">
        <f>DATE(2004,11,8)</f>
        <v>38299</v>
      </c>
      <c r="C7393" s="2" t="s">
        <v>95</v>
      </c>
      <c r="D7393" s="2" t="s">
        <v>22302</v>
      </c>
      <c r="E7393" s="2" t="s">
        <v>849</v>
      </c>
      <c r="F7393" s="4">
        <v>7372</v>
      </c>
      <c r="G7393" s="2" t="s">
        <v>551</v>
      </c>
      <c r="H7393" s="2" t="s">
        <v>34</v>
      </c>
      <c r="I7393" s="2" t="s">
        <v>7551</v>
      </c>
      <c r="J7393" s="2" t="s">
        <v>7552</v>
      </c>
      <c r="K7393" s="2" t="s">
        <v>125</v>
      </c>
      <c r="L7393" s="2" t="s">
        <v>34</v>
      </c>
      <c r="M7393" s="12">
        <v>6198.1350000000002</v>
      </c>
      <c r="N7393" s="6">
        <v>36.72</v>
      </c>
      <c r="O7393" s="6">
        <v>37.32</v>
      </c>
      <c r="P7393" s="2" t="s">
        <v>22303</v>
      </c>
      <c r="Q7393" s="6">
        <v>100</v>
      </c>
      <c r="R7393" s="6">
        <v>18.899999999999999</v>
      </c>
      <c r="S7393" s="5">
        <v>-104.3</v>
      </c>
      <c r="T7393" s="7">
        <v>21.876000000000001</v>
      </c>
      <c r="U7393" s="5">
        <v>10.5</v>
      </c>
      <c r="V7393" s="6">
        <v>-5.27</v>
      </c>
      <c r="W7393" s="6">
        <v>17.47</v>
      </c>
      <c r="X7393" s="6">
        <v>17.45</v>
      </c>
      <c r="Y7393" s="6">
        <v>18.510000000000002</v>
      </c>
      <c r="Z7393" s="6">
        <v>18.649999999999999</v>
      </c>
      <c r="AA7393" s="6">
        <v>20.61</v>
      </c>
      <c r="AB7393" s="7">
        <v>199.22800000000001</v>
      </c>
      <c r="AC7393" s="6">
        <v>395.86</v>
      </c>
    </row>
    <row r="7394" spans="1:29" ht="78" x14ac:dyDescent="0.15">
      <c r="A7394" s="3">
        <f>DATE(2004,9,9)</f>
        <v>38239</v>
      </c>
      <c r="B7394" s="3">
        <f>DATE(2004,11,19)</f>
        <v>38310</v>
      </c>
      <c r="C7394" s="2" t="s">
        <v>95</v>
      </c>
      <c r="D7394" s="2" t="s">
        <v>22304</v>
      </c>
      <c r="E7394" s="2" t="s">
        <v>22305</v>
      </c>
      <c r="F7394" s="4">
        <v>7373</v>
      </c>
      <c r="G7394" s="2" t="s">
        <v>223</v>
      </c>
      <c r="H7394" s="2" t="s">
        <v>34</v>
      </c>
      <c r="I7394" s="2" t="s">
        <v>7444</v>
      </c>
      <c r="J7394" s="2" t="s">
        <v>7445</v>
      </c>
      <c r="K7394" s="2" t="s">
        <v>50</v>
      </c>
      <c r="L7394" s="2" t="s">
        <v>34</v>
      </c>
      <c r="M7394" s="12">
        <v>120286.898</v>
      </c>
      <c r="N7394" s="6">
        <v>19.93</v>
      </c>
      <c r="O7394" s="6">
        <v>20.46</v>
      </c>
      <c r="P7394" s="2" t="s">
        <v>22306</v>
      </c>
      <c r="Q7394" s="6">
        <v>100</v>
      </c>
      <c r="R7394" s="6">
        <v>11</v>
      </c>
      <c r="S7394" s="5">
        <v>-0.8</v>
      </c>
      <c r="T7394" s="7">
        <v>1.343</v>
      </c>
      <c r="U7394" s="5">
        <v>4.5999999999999996</v>
      </c>
      <c r="V7394" s="6">
        <v>-0.06</v>
      </c>
      <c r="W7394" s="6">
        <v>8.44</v>
      </c>
      <c r="X7394" s="6">
        <v>8.99</v>
      </c>
      <c r="Y7394" s="5">
        <v>8.9</v>
      </c>
      <c r="Z7394" s="6">
        <v>10.84</v>
      </c>
      <c r="AA7394" s="6">
        <v>11.68</v>
      </c>
      <c r="AB7394" s="2" t="s">
        <v>86</v>
      </c>
      <c r="AC7394" s="8">
        <v>8669</v>
      </c>
    </row>
    <row r="7395" spans="1:29" ht="182" x14ac:dyDescent="0.15">
      <c r="A7395" s="3">
        <f>DATE(2004,9,10)</f>
        <v>38240</v>
      </c>
      <c r="B7395" s="3">
        <f>DATE(2007,9,17)</f>
        <v>39342</v>
      </c>
      <c r="C7395" s="2" t="s">
        <v>95</v>
      </c>
      <c r="D7395" s="2" t="s">
        <v>22307</v>
      </c>
      <c r="E7395" s="2" t="s">
        <v>386</v>
      </c>
      <c r="F7395" s="4">
        <v>6726</v>
      </c>
      <c r="G7395" s="2" t="s">
        <v>53</v>
      </c>
      <c r="H7395" s="2" t="s">
        <v>34</v>
      </c>
      <c r="I7395" s="2" t="s">
        <v>51</v>
      </c>
      <c r="J7395" s="2" t="s">
        <v>52</v>
      </c>
      <c r="K7395" s="2" t="s">
        <v>53</v>
      </c>
      <c r="L7395" s="2" t="s">
        <v>34</v>
      </c>
      <c r="M7395" s="2"/>
      <c r="N7395" s="2"/>
      <c r="O7395" s="2"/>
      <c r="P7395" s="2" t="s">
        <v>22308</v>
      </c>
      <c r="Q7395" s="6">
        <v>53.72</v>
      </c>
      <c r="R7395" s="6">
        <v>24.49</v>
      </c>
      <c r="S7395" s="2"/>
      <c r="T7395" s="2"/>
      <c r="U7395" s="2"/>
      <c r="V7395" s="2"/>
      <c r="W7395" s="6">
        <v>20.18</v>
      </c>
      <c r="X7395" s="6">
        <v>19.89</v>
      </c>
      <c r="Y7395" s="5">
        <v>19.899999999999999</v>
      </c>
      <c r="Z7395" s="6">
        <v>19.89</v>
      </c>
      <c r="AA7395" s="6">
        <v>4.58</v>
      </c>
      <c r="AB7395" s="2" t="s">
        <v>47</v>
      </c>
      <c r="AC7395" s="2"/>
    </row>
    <row r="7396" spans="1:29" ht="221" x14ac:dyDescent="0.15">
      <c r="A7396" s="3">
        <f>DATE(2004,9,10)</f>
        <v>38240</v>
      </c>
      <c r="B7396" s="2"/>
      <c r="C7396" s="2" t="s">
        <v>30</v>
      </c>
      <c r="D7396" s="2" t="s">
        <v>17030</v>
      </c>
      <c r="E7396" s="2" t="s">
        <v>17031</v>
      </c>
      <c r="F7396" s="4">
        <v>6799</v>
      </c>
      <c r="G7396" s="2" t="s">
        <v>53</v>
      </c>
      <c r="H7396" s="2" t="s">
        <v>34</v>
      </c>
      <c r="I7396" s="2" t="s">
        <v>51</v>
      </c>
      <c r="J7396" s="2" t="s">
        <v>52</v>
      </c>
      <c r="K7396" s="2" t="s">
        <v>53</v>
      </c>
      <c r="L7396" s="2" t="s">
        <v>34</v>
      </c>
      <c r="M7396" s="2"/>
      <c r="N7396" s="2"/>
      <c r="O7396" s="2"/>
      <c r="P7396" s="2" t="s">
        <v>22309</v>
      </c>
      <c r="Q7396" s="2"/>
      <c r="R7396" s="6">
        <v>10.85</v>
      </c>
      <c r="S7396" s="5">
        <v>4.5</v>
      </c>
      <c r="T7396" s="7">
        <v>19.524999999999999</v>
      </c>
      <c r="U7396" s="5">
        <v>5.5</v>
      </c>
      <c r="V7396" s="6">
        <v>0.43</v>
      </c>
      <c r="W7396" s="6">
        <v>7.01</v>
      </c>
      <c r="X7396" s="6">
        <v>8.25</v>
      </c>
      <c r="Y7396" s="5">
        <v>8.9</v>
      </c>
      <c r="Z7396" s="5">
        <v>9.1</v>
      </c>
      <c r="AA7396" s="6">
        <v>6.45</v>
      </c>
      <c r="AB7396" s="7">
        <v>5.7290000000000001</v>
      </c>
      <c r="AC7396" s="2"/>
    </row>
    <row r="7397" spans="1:29" ht="117" x14ac:dyDescent="0.15">
      <c r="A7397" s="3">
        <f>DATE(2004,9,11)</f>
        <v>38241</v>
      </c>
      <c r="B7397" s="3">
        <f>DATE(2004,10,25)</f>
        <v>38285</v>
      </c>
      <c r="C7397" s="2" t="s">
        <v>95</v>
      </c>
      <c r="D7397" s="2" t="s">
        <v>22310</v>
      </c>
      <c r="E7397" s="2" t="s">
        <v>22311</v>
      </c>
      <c r="F7397" s="4">
        <v>7373</v>
      </c>
      <c r="G7397" s="2" t="s">
        <v>223</v>
      </c>
      <c r="H7397" s="2" t="s">
        <v>34</v>
      </c>
      <c r="I7397" s="2" t="s">
        <v>22312</v>
      </c>
      <c r="J7397" s="2" t="s">
        <v>22313</v>
      </c>
      <c r="K7397" s="2" t="s">
        <v>223</v>
      </c>
      <c r="L7397" s="2" t="s">
        <v>34</v>
      </c>
      <c r="M7397" s="2"/>
      <c r="N7397" s="2"/>
      <c r="O7397" s="2"/>
      <c r="P7397" s="2" t="s">
        <v>22314</v>
      </c>
      <c r="Q7397" s="6">
        <v>100</v>
      </c>
      <c r="R7397" s="6">
        <v>30.25</v>
      </c>
      <c r="S7397" s="5">
        <v>-2.7</v>
      </c>
      <c r="T7397" s="7">
        <v>38.276000000000003</v>
      </c>
      <c r="U7397" s="5">
        <v>10.4</v>
      </c>
      <c r="V7397" s="6">
        <v>-1.49</v>
      </c>
      <c r="W7397" s="5">
        <v>24.2</v>
      </c>
      <c r="X7397" s="6">
        <v>23.56</v>
      </c>
      <c r="Y7397" s="6">
        <v>29.83</v>
      </c>
      <c r="Z7397" s="6">
        <v>29.83</v>
      </c>
      <c r="AA7397" s="6">
        <v>16.34</v>
      </c>
      <c r="AB7397" s="7">
        <v>26.213000000000001</v>
      </c>
      <c r="AC7397" s="2"/>
    </row>
    <row r="7398" spans="1:29" ht="195" x14ac:dyDescent="0.15">
      <c r="A7398" s="3">
        <f>DATE(2004,9,13)</f>
        <v>38243</v>
      </c>
      <c r="B7398" s="3">
        <f>DATE(2005,3,7)</f>
        <v>38418</v>
      </c>
      <c r="C7398" s="2" t="s">
        <v>95</v>
      </c>
      <c r="D7398" s="2" t="s">
        <v>22315</v>
      </c>
      <c r="E7398" s="2" t="s">
        <v>22316</v>
      </c>
      <c r="F7398" s="4">
        <v>7311</v>
      </c>
      <c r="G7398" s="2" t="s">
        <v>4563</v>
      </c>
      <c r="H7398" s="2" t="s">
        <v>34</v>
      </c>
      <c r="I7398" s="2" t="s">
        <v>15100</v>
      </c>
      <c r="J7398" s="2" t="s">
        <v>15101</v>
      </c>
      <c r="K7398" s="2" t="s">
        <v>4563</v>
      </c>
      <c r="L7398" s="2" t="s">
        <v>303</v>
      </c>
      <c r="M7398" s="12">
        <v>10580.907999999999</v>
      </c>
      <c r="N7398" s="7">
        <v>9.1270000000000007</v>
      </c>
      <c r="O7398" s="7">
        <v>9.3360000000000003</v>
      </c>
      <c r="P7398" s="2" t="s">
        <v>22317</v>
      </c>
      <c r="Q7398" s="6">
        <v>100</v>
      </c>
      <c r="R7398" s="10">
        <v>1005</v>
      </c>
      <c r="S7398" s="5">
        <v>36.299999999999997</v>
      </c>
      <c r="T7398" s="7">
        <v>140.09399999999999</v>
      </c>
      <c r="U7398" s="5">
        <v>196.2</v>
      </c>
      <c r="V7398" s="6">
        <v>25.96</v>
      </c>
      <c r="W7398" s="4">
        <v>915</v>
      </c>
      <c r="X7398" s="4">
        <v>881</v>
      </c>
      <c r="Y7398" s="4">
        <v>878</v>
      </c>
      <c r="Z7398" s="4">
        <v>865</v>
      </c>
      <c r="AA7398" s="6">
        <v>1.39</v>
      </c>
      <c r="AB7398" s="7">
        <v>12.609</v>
      </c>
      <c r="AC7398" s="10">
        <v>1410.63</v>
      </c>
    </row>
    <row r="7399" spans="1:29" ht="182" x14ac:dyDescent="0.15">
      <c r="A7399" s="3">
        <f>DATE(2004,9,13)</f>
        <v>38243</v>
      </c>
      <c r="B7399" s="3">
        <f>DATE(2005,4,8)</f>
        <v>38450</v>
      </c>
      <c r="C7399" s="2" t="s">
        <v>95</v>
      </c>
      <c r="D7399" s="2" t="s">
        <v>12692</v>
      </c>
      <c r="E7399" s="2" t="s">
        <v>12693</v>
      </c>
      <c r="F7399" s="4">
        <v>7812</v>
      </c>
      <c r="G7399" s="2" t="s">
        <v>42</v>
      </c>
      <c r="H7399" s="2" t="s">
        <v>34</v>
      </c>
      <c r="I7399" s="2" t="s">
        <v>22318</v>
      </c>
      <c r="J7399" s="2" t="s">
        <v>22319</v>
      </c>
      <c r="K7399" s="2" t="s">
        <v>53</v>
      </c>
      <c r="L7399" s="2" t="s">
        <v>34</v>
      </c>
      <c r="M7399" s="2"/>
      <c r="N7399" s="2"/>
      <c r="O7399" s="2"/>
      <c r="P7399" s="2" t="s">
        <v>22320</v>
      </c>
      <c r="Q7399" s="6">
        <v>100</v>
      </c>
      <c r="R7399" s="6">
        <v>12</v>
      </c>
      <c r="S7399" s="5">
        <v>-13.3</v>
      </c>
      <c r="T7399" s="7">
        <v>773.39099999999996</v>
      </c>
      <c r="U7399" s="5">
        <v>1.1000000000000001</v>
      </c>
      <c r="V7399" s="6">
        <v>-0.06</v>
      </c>
      <c r="W7399" s="6">
        <v>17.350000000000001</v>
      </c>
      <c r="X7399" s="6">
        <v>19.75</v>
      </c>
      <c r="Y7399" s="6">
        <v>19.579999999999998</v>
      </c>
      <c r="Z7399" s="6">
        <v>20.27</v>
      </c>
      <c r="AA7399" s="6">
        <v>237.58</v>
      </c>
      <c r="AB7399" s="7">
        <v>114.113</v>
      </c>
      <c r="AC7399" s="2"/>
    </row>
    <row r="7400" spans="1:29" ht="104" x14ac:dyDescent="0.15">
      <c r="A7400" s="3">
        <f>DATE(2004,9,13)</f>
        <v>38243</v>
      </c>
      <c r="B7400" s="3">
        <f>DATE(2004,9,13)</f>
        <v>38243</v>
      </c>
      <c r="C7400" s="2" t="s">
        <v>95</v>
      </c>
      <c r="D7400" s="2" t="s">
        <v>22321</v>
      </c>
      <c r="E7400" s="2" t="s">
        <v>15789</v>
      </c>
      <c r="F7400" s="4">
        <v>5713</v>
      </c>
      <c r="G7400" s="2" t="s">
        <v>1227</v>
      </c>
      <c r="H7400" s="2" t="s">
        <v>34</v>
      </c>
      <c r="I7400" s="2" t="s">
        <v>20591</v>
      </c>
      <c r="J7400" s="2" t="s">
        <v>244</v>
      </c>
      <c r="K7400" s="2" t="s">
        <v>53</v>
      </c>
      <c r="L7400" s="2" t="s">
        <v>34</v>
      </c>
      <c r="M7400" s="2"/>
      <c r="N7400" s="2"/>
      <c r="O7400" s="2"/>
      <c r="P7400" s="2" t="s">
        <v>22322</v>
      </c>
      <c r="Q7400" s="6">
        <v>55.67</v>
      </c>
      <c r="R7400" s="6">
        <v>4.3</v>
      </c>
      <c r="S7400" s="5">
        <v>-1.1000000000000001</v>
      </c>
      <c r="T7400" s="6">
        <v>-0.36</v>
      </c>
      <c r="U7400" s="5">
        <v>4.9000000000000004</v>
      </c>
      <c r="V7400" s="6">
        <v>-0.22</v>
      </c>
      <c r="W7400" s="6">
        <v>3.61</v>
      </c>
      <c r="X7400" s="6">
        <v>3.49</v>
      </c>
      <c r="Y7400" s="6">
        <v>3.37</v>
      </c>
      <c r="Z7400" s="6">
        <v>4.25</v>
      </c>
      <c r="AA7400" s="6">
        <v>4.8</v>
      </c>
      <c r="AB7400" s="2" t="s">
        <v>86</v>
      </c>
      <c r="AC7400" s="2"/>
    </row>
    <row r="7401" spans="1:29" ht="91" x14ac:dyDescent="0.15">
      <c r="A7401" s="3">
        <f>DATE(2004,9,13)</f>
        <v>38243</v>
      </c>
      <c r="B7401" s="3">
        <f>DATE(2004,12,1)</f>
        <v>38322</v>
      </c>
      <c r="C7401" s="2" t="s">
        <v>95</v>
      </c>
      <c r="D7401" s="2" t="s">
        <v>22321</v>
      </c>
      <c r="E7401" s="2" t="s">
        <v>15789</v>
      </c>
      <c r="F7401" s="4">
        <v>5713</v>
      </c>
      <c r="G7401" s="2" t="s">
        <v>1227</v>
      </c>
      <c r="H7401" s="2" t="s">
        <v>34</v>
      </c>
      <c r="I7401" s="2" t="s">
        <v>20591</v>
      </c>
      <c r="J7401" s="2" t="s">
        <v>244</v>
      </c>
      <c r="K7401" s="2" t="s">
        <v>53</v>
      </c>
      <c r="L7401" s="2" t="s">
        <v>34</v>
      </c>
      <c r="M7401" s="2"/>
      <c r="N7401" s="2"/>
      <c r="O7401" s="2"/>
      <c r="P7401" s="2" t="s">
        <v>22323</v>
      </c>
      <c r="Q7401" s="6">
        <v>46.22</v>
      </c>
      <c r="R7401" s="6">
        <v>4.3</v>
      </c>
      <c r="S7401" s="5">
        <v>-1.1000000000000001</v>
      </c>
      <c r="T7401" s="6">
        <v>-0.36</v>
      </c>
      <c r="U7401" s="5">
        <v>4.9000000000000004</v>
      </c>
      <c r="V7401" s="6">
        <v>-0.22</v>
      </c>
      <c r="W7401" s="6">
        <v>3.61</v>
      </c>
      <c r="X7401" s="6">
        <v>3.49</v>
      </c>
      <c r="Y7401" s="6">
        <v>3.37</v>
      </c>
      <c r="Z7401" s="6">
        <v>4.25</v>
      </c>
      <c r="AA7401" s="6">
        <v>4.8</v>
      </c>
      <c r="AB7401" s="2" t="s">
        <v>86</v>
      </c>
      <c r="AC7401" s="2"/>
    </row>
    <row r="7402" spans="1:29" ht="104" x14ac:dyDescent="0.15">
      <c r="A7402" s="3">
        <f>DATE(2004,9,15)</f>
        <v>38245</v>
      </c>
      <c r="B7402" s="3">
        <f>DATE(2004,12,13)</f>
        <v>38334</v>
      </c>
      <c r="C7402" s="2" t="s">
        <v>95</v>
      </c>
      <c r="D7402" s="2" t="s">
        <v>22324</v>
      </c>
      <c r="E7402" s="2" t="s">
        <v>4335</v>
      </c>
      <c r="F7402" s="4">
        <v>6324</v>
      </c>
      <c r="G7402" s="2" t="s">
        <v>125</v>
      </c>
      <c r="H7402" s="2" t="s">
        <v>34</v>
      </c>
      <c r="I7402" s="2" t="s">
        <v>8334</v>
      </c>
      <c r="J7402" s="2" t="s">
        <v>8335</v>
      </c>
      <c r="K7402" s="2" t="s">
        <v>125</v>
      </c>
      <c r="L7402" s="2" t="s">
        <v>34</v>
      </c>
      <c r="M7402" s="12">
        <v>2763.0909999999999</v>
      </c>
      <c r="N7402" s="6">
        <v>36.32</v>
      </c>
      <c r="O7402" s="6">
        <v>35.69</v>
      </c>
      <c r="P7402" s="2" t="s">
        <v>22325</v>
      </c>
      <c r="Q7402" s="6">
        <v>100</v>
      </c>
      <c r="R7402" s="6">
        <v>32.75</v>
      </c>
      <c r="S7402" s="5">
        <v>34.1</v>
      </c>
      <c r="T7402" s="2"/>
      <c r="U7402" s="5">
        <v>17</v>
      </c>
      <c r="V7402" s="6">
        <v>2.35</v>
      </c>
      <c r="W7402" s="6">
        <v>22.75</v>
      </c>
      <c r="X7402" s="6">
        <v>23.24</v>
      </c>
      <c r="Y7402" s="6">
        <v>31.91</v>
      </c>
      <c r="Z7402" s="6">
        <v>31.92</v>
      </c>
      <c r="AA7402" s="6">
        <v>13.68</v>
      </c>
      <c r="AB7402" s="7">
        <v>9.3539999999999992</v>
      </c>
      <c r="AC7402" s="10">
        <v>2316.41</v>
      </c>
    </row>
    <row r="7403" spans="1:29" ht="104" x14ac:dyDescent="0.15">
      <c r="A7403" s="3">
        <f>DATE(2004,9,15)</f>
        <v>38245</v>
      </c>
      <c r="B7403" s="2"/>
      <c r="C7403" s="2" t="s">
        <v>30</v>
      </c>
      <c r="D7403" s="2" t="s">
        <v>7735</v>
      </c>
      <c r="E7403" s="2" t="s">
        <v>7736</v>
      </c>
      <c r="F7403" s="4">
        <v>3841</v>
      </c>
      <c r="G7403" s="2" t="s">
        <v>226</v>
      </c>
      <c r="H7403" s="2" t="s">
        <v>34</v>
      </c>
      <c r="I7403" s="2" t="s">
        <v>22326</v>
      </c>
      <c r="J7403" s="2" t="s">
        <v>22327</v>
      </c>
      <c r="K7403" s="2" t="s">
        <v>226</v>
      </c>
      <c r="L7403" s="2" t="s">
        <v>34</v>
      </c>
      <c r="M7403" s="2"/>
      <c r="N7403" s="6">
        <v>33.11</v>
      </c>
      <c r="O7403" s="6">
        <v>33.08</v>
      </c>
      <c r="P7403" s="2" t="s">
        <v>22328</v>
      </c>
      <c r="Q7403" s="2"/>
      <c r="R7403" s="6">
        <v>22</v>
      </c>
      <c r="S7403" s="5">
        <v>1.3</v>
      </c>
      <c r="T7403" s="7">
        <v>4.8339999999999996</v>
      </c>
      <c r="U7403" s="5">
        <v>3</v>
      </c>
      <c r="V7403" s="6">
        <v>0.03</v>
      </c>
      <c r="W7403" s="6">
        <v>16.75</v>
      </c>
      <c r="X7403" s="6">
        <v>18.91</v>
      </c>
      <c r="Y7403" s="6">
        <v>23.23</v>
      </c>
      <c r="Z7403" s="6">
        <v>22.88</v>
      </c>
      <c r="AA7403" s="6">
        <v>23.84</v>
      </c>
      <c r="AB7403" s="7">
        <v>483.55799999999999</v>
      </c>
      <c r="AC7403" s="6">
        <v>89.56</v>
      </c>
    </row>
    <row r="7404" spans="1:29" ht="91" x14ac:dyDescent="0.15">
      <c r="A7404" s="3">
        <f>DATE(2004,9,20)</f>
        <v>38250</v>
      </c>
      <c r="B7404" s="3">
        <f>DATE(2004,12,31)</f>
        <v>38352</v>
      </c>
      <c r="C7404" s="2" t="s">
        <v>95</v>
      </c>
      <c r="D7404" s="2" t="s">
        <v>22329</v>
      </c>
      <c r="E7404" s="2" t="s">
        <v>1361</v>
      </c>
      <c r="F7404" s="4">
        <v>7379</v>
      </c>
      <c r="G7404" s="2" t="s">
        <v>223</v>
      </c>
      <c r="H7404" s="2" t="s">
        <v>34</v>
      </c>
      <c r="I7404" s="2" t="s">
        <v>22330</v>
      </c>
      <c r="J7404" s="2" t="s">
        <v>22331</v>
      </c>
      <c r="K7404" s="2" t="s">
        <v>223</v>
      </c>
      <c r="L7404" s="2" t="s">
        <v>34</v>
      </c>
      <c r="M7404" s="12">
        <v>1908.374</v>
      </c>
      <c r="N7404" s="6">
        <v>27.64</v>
      </c>
      <c r="O7404" s="6">
        <v>29.05</v>
      </c>
      <c r="P7404" s="2" t="s">
        <v>22332</v>
      </c>
      <c r="Q7404" s="6">
        <v>100</v>
      </c>
      <c r="R7404" s="6">
        <v>2.34</v>
      </c>
      <c r="S7404" s="5">
        <v>-8</v>
      </c>
      <c r="T7404" s="7">
        <v>-2.9129999999999998</v>
      </c>
      <c r="U7404" s="5">
        <v>1.2</v>
      </c>
      <c r="V7404" s="6">
        <v>-0.46</v>
      </c>
      <c r="W7404" s="6">
        <v>1.1599999999999999</v>
      </c>
      <c r="X7404" s="6">
        <v>1.29</v>
      </c>
      <c r="Y7404" s="6">
        <v>1.28</v>
      </c>
      <c r="Z7404" s="6">
        <v>2.29</v>
      </c>
      <c r="AA7404" s="6">
        <v>17.23</v>
      </c>
      <c r="AB7404" s="2" t="s">
        <v>86</v>
      </c>
      <c r="AC7404" s="6">
        <v>453.66</v>
      </c>
    </row>
    <row r="7405" spans="1:29" ht="156" x14ac:dyDescent="0.15">
      <c r="A7405" s="3">
        <f>DATE(2004,9,20)</f>
        <v>38250</v>
      </c>
      <c r="B7405" s="3">
        <f>DATE(2005,1,19)</f>
        <v>38371</v>
      </c>
      <c r="C7405" s="2" t="s">
        <v>95</v>
      </c>
      <c r="D7405" s="2" t="s">
        <v>22333</v>
      </c>
      <c r="E7405" s="2" t="s">
        <v>7375</v>
      </c>
      <c r="F7405" s="4">
        <v>7311</v>
      </c>
      <c r="G7405" s="2" t="s">
        <v>4563</v>
      </c>
      <c r="H7405" s="2" t="s">
        <v>34</v>
      </c>
      <c r="I7405" s="2" t="s">
        <v>17545</v>
      </c>
      <c r="J7405" s="2" t="s">
        <v>17546</v>
      </c>
      <c r="K7405" s="2" t="s">
        <v>4563</v>
      </c>
      <c r="L7405" s="2" t="s">
        <v>34</v>
      </c>
      <c r="M7405" s="12">
        <v>4503.2920000000004</v>
      </c>
      <c r="N7405" s="6">
        <v>41.43</v>
      </c>
      <c r="O7405" s="6">
        <v>41.52</v>
      </c>
      <c r="P7405" s="2" t="s">
        <v>22334</v>
      </c>
      <c r="Q7405" s="6">
        <v>100</v>
      </c>
      <c r="R7405" s="6">
        <v>7</v>
      </c>
      <c r="S7405" s="5">
        <v>-2.1</v>
      </c>
      <c r="T7405" s="7">
        <v>4.2489999999999997</v>
      </c>
      <c r="U7405" s="5">
        <v>1</v>
      </c>
      <c r="V7405" s="6">
        <v>-0.27</v>
      </c>
      <c r="W7405" s="6">
        <v>4.75</v>
      </c>
      <c r="X7405" s="6">
        <v>4.79</v>
      </c>
      <c r="Y7405" s="6">
        <v>6.75</v>
      </c>
      <c r="Z7405" s="6">
        <v>6.76</v>
      </c>
      <c r="AA7405" s="6">
        <v>5.99</v>
      </c>
      <c r="AB7405" s="7">
        <v>27.457999999999998</v>
      </c>
      <c r="AC7405" s="6">
        <v>17.78</v>
      </c>
    </row>
    <row r="7406" spans="1:29" ht="91" x14ac:dyDescent="0.15">
      <c r="A7406" s="3">
        <f>DATE(2004,9,22)</f>
        <v>38252</v>
      </c>
      <c r="B7406" s="3">
        <f>DATE(2005,1,13)</f>
        <v>38365</v>
      </c>
      <c r="C7406" s="2" t="s">
        <v>95</v>
      </c>
      <c r="D7406" s="2" t="s">
        <v>22335</v>
      </c>
      <c r="E7406" s="2" t="s">
        <v>22336</v>
      </c>
      <c r="F7406" s="4">
        <v>3841</v>
      </c>
      <c r="G7406" s="2" t="s">
        <v>226</v>
      </c>
      <c r="H7406" s="2" t="s">
        <v>34</v>
      </c>
      <c r="I7406" s="2" t="s">
        <v>4475</v>
      </c>
      <c r="J7406" s="2" t="s">
        <v>4476</v>
      </c>
      <c r="K7406" s="2" t="s">
        <v>226</v>
      </c>
      <c r="L7406" s="2" t="s">
        <v>34</v>
      </c>
      <c r="M7406" s="12">
        <v>11903.041999999999</v>
      </c>
      <c r="N7406" s="6">
        <v>71.989999999999995</v>
      </c>
      <c r="O7406" s="5">
        <v>71.2</v>
      </c>
      <c r="P7406" s="2" t="s">
        <v>22337</v>
      </c>
      <c r="Q7406" s="6">
        <v>100</v>
      </c>
      <c r="R7406" s="6">
        <v>11.75</v>
      </c>
      <c r="S7406" s="5">
        <v>-0.2</v>
      </c>
      <c r="T7406" s="7">
        <v>0.999</v>
      </c>
      <c r="U7406" s="5">
        <v>1</v>
      </c>
      <c r="V7406" s="6">
        <v>-0.01</v>
      </c>
      <c r="W7406" s="6">
        <v>10.46</v>
      </c>
      <c r="X7406" s="6">
        <v>11.18</v>
      </c>
      <c r="Y7406" s="6">
        <v>9.89</v>
      </c>
      <c r="Z7406" s="4">
        <v>10</v>
      </c>
      <c r="AA7406" s="6">
        <v>22.13</v>
      </c>
      <c r="AB7406" s="2" t="s">
        <v>86</v>
      </c>
      <c r="AC7406" s="6">
        <v>521.44000000000005</v>
      </c>
    </row>
    <row r="7407" spans="1:29" ht="65" x14ac:dyDescent="0.15">
      <c r="A7407" s="3">
        <f>DATE(2004,9,22)</f>
        <v>38252</v>
      </c>
      <c r="B7407" s="3">
        <f>DATE(2005,1,12)</f>
        <v>38364</v>
      </c>
      <c r="C7407" s="2" t="s">
        <v>95</v>
      </c>
      <c r="D7407" s="2" t="s">
        <v>22338</v>
      </c>
      <c r="E7407" s="2" t="s">
        <v>22339</v>
      </c>
      <c r="F7407" s="4">
        <v>6141</v>
      </c>
      <c r="G7407" s="2" t="s">
        <v>370</v>
      </c>
      <c r="H7407" s="2" t="s">
        <v>34</v>
      </c>
      <c r="I7407" s="2" t="s">
        <v>22340</v>
      </c>
      <c r="J7407" s="2" t="s">
        <v>1181</v>
      </c>
      <c r="K7407" s="2" t="s">
        <v>37</v>
      </c>
      <c r="L7407" s="2" t="s">
        <v>34</v>
      </c>
      <c r="M7407" s="12">
        <v>17024.128000000001</v>
      </c>
      <c r="N7407" s="6">
        <v>73.44</v>
      </c>
      <c r="O7407" s="6">
        <v>72.760000000000005</v>
      </c>
      <c r="P7407" s="2" t="s">
        <v>22341</v>
      </c>
      <c r="Q7407" s="6">
        <v>100</v>
      </c>
      <c r="R7407" s="6">
        <v>28</v>
      </c>
      <c r="S7407" s="5">
        <v>10.1</v>
      </c>
      <c r="T7407" s="6">
        <v>19.38</v>
      </c>
      <c r="U7407" s="5">
        <v>16.5</v>
      </c>
      <c r="V7407" s="6">
        <v>1.67</v>
      </c>
      <c r="W7407" s="6">
        <v>15.71</v>
      </c>
      <c r="X7407" s="5">
        <v>16.3</v>
      </c>
      <c r="Y7407" s="6">
        <v>27.26</v>
      </c>
      <c r="Z7407" s="6">
        <v>27.16</v>
      </c>
      <c r="AA7407" s="6">
        <v>5.24</v>
      </c>
      <c r="AB7407" s="7">
        <v>21.375</v>
      </c>
      <c r="AC7407" s="10">
        <v>1720.16</v>
      </c>
    </row>
    <row r="7408" spans="1:29" ht="52" x14ac:dyDescent="0.15">
      <c r="A7408" s="3">
        <f>DATE(2004,9,23)</f>
        <v>38253</v>
      </c>
      <c r="B7408" s="3">
        <f>DATE(2009,2,3)</f>
        <v>39847</v>
      </c>
      <c r="C7408" s="2" t="s">
        <v>95</v>
      </c>
      <c r="D7408" s="2" t="s">
        <v>22342</v>
      </c>
      <c r="E7408" s="2" t="s">
        <v>22343</v>
      </c>
      <c r="F7408" s="4">
        <v>2051</v>
      </c>
      <c r="G7408" s="2" t="s">
        <v>577</v>
      </c>
      <c r="H7408" s="2" t="s">
        <v>34</v>
      </c>
      <c r="I7408" s="2" t="s">
        <v>22344</v>
      </c>
      <c r="J7408" s="2" t="s">
        <v>244</v>
      </c>
      <c r="K7408" s="2" t="s">
        <v>53</v>
      </c>
      <c r="L7408" s="2" t="s">
        <v>34</v>
      </c>
      <c r="M7408" s="2"/>
      <c r="N7408" s="2"/>
      <c r="O7408" s="2"/>
      <c r="P7408" s="2" t="s">
        <v>22345</v>
      </c>
      <c r="Q7408" s="6">
        <v>50</v>
      </c>
      <c r="R7408" s="2"/>
      <c r="S7408" s="5">
        <v>-166.8</v>
      </c>
      <c r="T7408" s="7">
        <v>-0.32600000000000001</v>
      </c>
      <c r="U7408" s="5">
        <v>-12</v>
      </c>
      <c r="V7408" s="6">
        <v>-3.69</v>
      </c>
      <c r="W7408" s="6">
        <v>3.35</v>
      </c>
      <c r="X7408" s="6">
        <v>2.0499999999999998</v>
      </c>
      <c r="Y7408" s="7">
        <v>6.5000000000000002E-2</v>
      </c>
      <c r="Z7408" s="7">
        <v>6.5000000000000002E-2</v>
      </c>
      <c r="AA7408" s="2"/>
      <c r="AB7408" s="2" t="s">
        <v>86</v>
      </c>
      <c r="AC7408" s="2"/>
    </row>
    <row r="7409" spans="1:29" ht="117" x14ac:dyDescent="0.15">
      <c r="A7409" s="3">
        <f>DATE(2004,9,24)</f>
        <v>38254</v>
      </c>
      <c r="B7409" s="3">
        <f>DATE(2004,9,24)</f>
        <v>38254</v>
      </c>
      <c r="C7409" s="2" t="s">
        <v>95</v>
      </c>
      <c r="D7409" s="2" t="s">
        <v>22346</v>
      </c>
      <c r="E7409" s="2" t="s">
        <v>22347</v>
      </c>
      <c r="F7409" s="4">
        <v>3499</v>
      </c>
      <c r="G7409" s="2" t="s">
        <v>163</v>
      </c>
      <c r="H7409" s="2" t="s">
        <v>34</v>
      </c>
      <c r="I7409" s="2" t="s">
        <v>1150</v>
      </c>
      <c r="J7409" s="2" t="s">
        <v>1151</v>
      </c>
      <c r="K7409" s="2" t="s">
        <v>98</v>
      </c>
      <c r="L7409" s="2" t="s">
        <v>34</v>
      </c>
      <c r="M7409" s="7">
        <v>677.83199999999999</v>
      </c>
      <c r="N7409" s="5">
        <v>17.2</v>
      </c>
      <c r="O7409" s="6">
        <v>17.04</v>
      </c>
      <c r="P7409" s="2" t="s">
        <v>22348</v>
      </c>
      <c r="Q7409" s="6">
        <v>68</v>
      </c>
      <c r="R7409" s="6">
        <v>16.25</v>
      </c>
      <c r="S7409" s="5">
        <v>5.2</v>
      </c>
      <c r="T7409" s="7">
        <v>28.061</v>
      </c>
      <c r="U7409" s="5">
        <v>10.4</v>
      </c>
      <c r="V7409" s="6">
        <v>0.34</v>
      </c>
      <c r="W7409" s="6">
        <v>17.07</v>
      </c>
      <c r="X7409" s="6">
        <v>17.010000000000002</v>
      </c>
      <c r="Y7409" s="6">
        <v>16.75</v>
      </c>
      <c r="Z7409" s="6">
        <v>16.97</v>
      </c>
      <c r="AA7409" s="6">
        <v>15.16</v>
      </c>
      <c r="AB7409" s="7">
        <v>18.151</v>
      </c>
      <c r="AC7409" s="6">
        <v>135.84</v>
      </c>
    </row>
    <row r="7410" spans="1:29" ht="117" x14ac:dyDescent="0.15">
      <c r="A7410" s="3">
        <f>DATE(2004,9,24)</f>
        <v>38254</v>
      </c>
      <c r="B7410" s="2"/>
      <c r="C7410" s="2" t="s">
        <v>7330</v>
      </c>
      <c r="D7410" s="2" t="s">
        <v>22349</v>
      </c>
      <c r="E7410" s="2" t="s">
        <v>4572</v>
      </c>
      <c r="F7410" s="4">
        <v>7376</v>
      </c>
      <c r="G7410" s="2" t="s">
        <v>223</v>
      </c>
      <c r="H7410" s="2" t="s">
        <v>34</v>
      </c>
      <c r="I7410" s="2" t="s">
        <v>51</v>
      </c>
      <c r="J7410" s="2" t="s">
        <v>52</v>
      </c>
      <c r="K7410" s="2" t="s">
        <v>53</v>
      </c>
      <c r="L7410" s="2" t="s">
        <v>99</v>
      </c>
      <c r="M7410" s="2"/>
      <c r="N7410" s="2"/>
      <c r="O7410" s="2"/>
      <c r="P7410" s="2" t="s">
        <v>22350</v>
      </c>
      <c r="Q7410" s="2"/>
      <c r="R7410" s="6">
        <v>0.85</v>
      </c>
      <c r="S7410" s="5">
        <v>1.2</v>
      </c>
      <c r="T7410" s="7">
        <v>7.4429999999999996</v>
      </c>
      <c r="U7410" s="5">
        <v>0.9</v>
      </c>
      <c r="V7410" s="6">
        <v>0.08</v>
      </c>
      <c r="W7410" s="6">
        <v>1.73</v>
      </c>
      <c r="X7410" s="6">
        <v>1.73</v>
      </c>
      <c r="Y7410" s="6">
        <v>1.65</v>
      </c>
      <c r="Z7410" s="6">
        <v>1.1299999999999999</v>
      </c>
      <c r="AA7410" s="6">
        <v>17.420000000000002</v>
      </c>
      <c r="AB7410" s="7">
        <v>4.59</v>
      </c>
      <c r="AC7410" s="2"/>
    </row>
    <row r="7411" spans="1:29" ht="91" x14ac:dyDescent="0.15">
      <c r="A7411" s="3">
        <f>DATE(2004,9,26)</f>
        <v>38256</v>
      </c>
      <c r="B7411" s="3">
        <f>DATE(2004,11,5)</f>
        <v>38296</v>
      </c>
      <c r="C7411" s="2" t="s">
        <v>95</v>
      </c>
      <c r="D7411" s="2" t="s">
        <v>22351</v>
      </c>
      <c r="E7411" s="2" t="s">
        <v>22352</v>
      </c>
      <c r="F7411" s="4">
        <v>7372</v>
      </c>
      <c r="G7411" s="2" t="s">
        <v>551</v>
      </c>
      <c r="H7411" s="2" t="s">
        <v>34</v>
      </c>
      <c r="I7411" s="2" t="s">
        <v>20356</v>
      </c>
      <c r="J7411" s="2" t="s">
        <v>9115</v>
      </c>
      <c r="K7411" s="2" t="s">
        <v>551</v>
      </c>
      <c r="L7411" s="2" t="s">
        <v>34</v>
      </c>
      <c r="M7411" s="7">
        <v>739.54499999999996</v>
      </c>
      <c r="N7411" s="6">
        <v>19.25</v>
      </c>
      <c r="O7411" s="6">
        <v>19.25</v>
      </c>
      <c r="P7411" s="2" t="s">
        <v>22353</v>
      </c>
      <c r="Q7411" s="6">
        <v>100</v>
      </c>
      <c r="R7411" s="6">
        <v>5.7</v>
      </c>
      <c r="S7411" s="5">
        <v>-0.9</v>
      </c>
      <c r="T7411" s="7">
        <v>-0.69599999999999995</v>
      </c>
      <c r="U7411" s="5">
        <v>1.2</v>
      </c>
      <c r="V7411" s="6">
        <v>-0.36</v>
      </c>
      <c r="W7411" s="6">
        <v>3.84</v>
      </c>
      <c r="X7411" s="6">
        <v>3.74</v>
      </c>
      <c r="Y7411" s="2"/>
      <c r="Z7411" s="6">
        <v>5.53</v>
      </c>
      <c r="AA7411" s="6">
        <v>2.72</v>
      </c>
      <c r="AB7411" s="2" t="s">
        <v>86</v>
      </c>
      <c r="AC7411" s="6">
        <v>185.39</v>
      </c>
    </row>
    <row r="7412" spans="1:29" ht="104" x14ac:dyDescent="0.15">
      <c r="A7412" s="3">
        <f>DATE(2004,9,29)</f>
        <v>38259</v>
      </c>
      <c r="B7412" s="3">
        <f>DATE(2004,11,12)</f>
        <v>38303</v>
      </c>
      <c r="C7412" s="2" t="s">
        <v>95</v>
      </c>
      <c r="D7412" s="2" t="s">
        <v>22354</v>
      </c>
      <c r="E7412" s="2" t="s">
        <v>22355</v>
      </c>
      <c r="F7412" s="4">
        <v>4724</v>
      </c>
      <c r="G7412" s="2" t="s">
        <v>173</v>
      </c>
      <c r="H7412" s="2" t="s">
        <v>34</v>
      </c>
      <c r="I7412" s="2" t="s">
        <v>9795</v>
      </c>
      <c r="J7412" s="2" t="s">
        <v>2071</v>
      </c>
      <c r="K7412" s="2" t="s">
        <v>109</v>
      </c>
      <c r="L7412" s="2" t="s">
        <v>34</v>
      </c>
      <c r="M7412" s="12">
        <v>22022.906999999999</v>
      </c>
      <c r="N7412" s="6">
        <v>21.93</v>
      </c>
      <c r="O7412" s="5">
        <v>21.6</v>
      </c>
      <c r="P7412" s="2" t="s">
        <v>22356</v>
      </c>
      <c r="Q7412" s="6">
        <v>100</v>
      </c>
      <c r="R7412" s="6">
        <v>27.5</v>
      </c>
      <c r="S7412" s="5">
        <v>-16</v>
      </c>
      <c r="T7412" s="6">
        <v>-3.98</v>
      </c>
      <c r="U7412" s="5">
        <v>3.8</v>
      </c>
      <c r="V7412" s="9">
        <v>-0.39989999999999998</v>
      </c>
      <c r="W7412" s="6">
        <v>20.55</v>
      </c>
      <c r="X7412" s="6">
        <v>20.45</v>
      </c>
      <c r="Y7412" s="6">
        <v>20.77</v>
      </c>
      <c r="Z7412" s="6">
        <v>27.17</v>
      </c>
      <c r="AA7412" s="6">
        <v>41.19</v>
      </c>
      <c r="AB7412" s="2" t="s">
        <v>86</v>
      </c>
      <c r="AC7412" s="5">
        <v>929</v>
      </c>
    </row>
    <row r="7413" spans="1:29" ht="78" x14ac:dyDescent="0.15">
      <c r="A7413" s="3">
        <f>DATE(2004,10,4)</f>
        <v>38264</v>
      </c>
      <c r="B7413" s="2"/>
      <c r="C7413" s="2" t="s">
        <v>30</v>
      </c>
      <c r="D7413" s="2" t="s">
        <v>22357</v>
      </c>
      <c r="E7413" s="2" t="s">
        <v>22358</v>
      </c>
      <c r="F7413" s="2" t="s">
        <v>2791</v>
      </c>
      <c r="G7413" s="2" t="s">
        <v>426</v>
      </c>
      <c r="H7413" s="2" t="s">
        <v>34</v>
      </c>
      <c r="I7413" s="2" t="s">
        <v>22359</v>
      </c>
      <c r="J7413" s="2" t="s">
        <v>3941</v>
      </c>
      <c r="K7413" s="2" t="s">
        <v>53</v>
      </c>
      <c r="L7413" s="2" t="s">
        <v>34</v>
      </c>
      <c r="M7413" s="2"/>
      <c r="N7413" s="2"/>
      <c r="O7413" s="2"/>
      <c r="P7413" s="2" t="s">
        <v>22360</v>
      </c>
      <c r="Q7413" s="2"/>
      <c r="R7413" s="6">
        <v>55.75</v>
      </c>
      <c r="S7413" s="5">
        <v>17.8</v>
      </c>
      <c r="T7413" s="7">
        <v>13.176</v>
      </c>
      <c r="U7413" s="5">
        <v>19.899999999999999</v>
      </c>
      <c r="V7413" s="6">
        <v>2.44</v>
      </c>
      <c r="W7413" s="5">
        <v>42.5</v>
      </c>
      <c r="X7413" s="6">
        <v>44.01</v>
      </c>
      <c r="Y7413" s="6">
        <v>51.52</v>
      </c>
      <c r="Z7413" s="6">
        <v>50.07</v>
      </c>
      <c r="AA7413" s="6">
        <v>7.29</v>
      </c>
      <c r="AB7413" s="7">
        <v>57.780999999999999</v>
      </c>
      <c r="AC7413" s="2"/>
    </row>
    <row r="7414" spans="1:29" ht="78" x14ac:dyDescent="0.15">
      <c r="A7414" s="3">
        <f>DATE(2004,10,4)</f>
        <v>38264</v>
      </c>
      <c r="B7414" s="2"/>
      <c r="C7414" s="2" t="s">
        <v>30</v>
      </c>
      <c r="D7414" s="2" t="s">
        <v>19825</v>
      </c>
      <c r="E7414" s="2" t="s">
        <v>11936</v>
      </c>
      <c r="F7414" s="4">
        <v>7372</v>
      </c>
      <c r="G7414" s="2" t="s">
        <v>551</v>
      </c>
      <c r="H7414" s="2" t="s">
        <v>34</v>
      </c>
      <c r="I7414" s="2" t="s">
        <v>21270</v>
      </c>
      <c r="J7414" s="2" t="s">
        <v>302</v>
      </c>
      <c r="K7414" s="2" t="s">
        <v>53</v>
      </c>
      <c r="L7414" s="2" t="s">
        <v>34</v>
      </c>
      <c r="M7414" s="2"/>
      <c r="N7414" s="2"/>
      <c r="O7414" s="2"/>
      <c r="P7414" s="2" t="s">
        <v>22361</v>
      </c>
      <c r="Q7414" s="2"/>
      <c r="R7414" s="6">
        <v>9</v>
      </c>
      <c r="S7414" s="5">
        <v>-2.8</v>
      </c>
      <c r="T7414" s="7">
        <v>40.482999999999997</v>
      </c>
      <c r="U7414" s="5">
        <v>4.9000000000000004</v>
      </c>
      <c r="V7414" s="6">
        <v>-0.1</v>
      </c>
      <c r="W7414" s="6">
        <v>7.75</v>
      </c>
      <c r="X7414" s="6">
        <v>7.99</v>
      </c>
      <c r="Y7414" s="6">
        <v>8.9499999999999993</v>
      </c>
      <c r="Z7414" s="6">
        <v>8.6300000000000008</v>
      </c>
      <c r="AA7414" s="6">
        <v>30.44</v>
      </c>
      <c r="AB7414" s="7">
        <v>19.204000000000001</v>
      </c>
      <c r="AC7414" s="2"/>
    </row>
    <row r="7415" spans="1:29" ht="91" x14ac:dyDescent="0.15">
      <c r="A7415" s="3">
        <f>DATE(2004,10,4)</f>
        <v>38264</v>
      </c>
      <c r="B7415" s="3">
        <f>DATE(2005,2,28)</f>
        <v>38411</v>
      </c>
      <c r="C7415" s="2" t="s">
        <v>95</v>
      </c>
      <c r="D7415" s="2" t="s">
        <v>22362</v>
      </c>
      <c r="E7415" s="2" t="s">
        <v>92</v>
      </c>
      <c r="F7415" s="4">
        <v>6798</v>
      </c>
      <c r="G7415" s="2" t="s">
        <v>53</v>
      </c>
      <c r="H7415" s="2" t="s">
        <v>34</v>
      </c>
      <c r="I7415" s="2" t="s">
        <v>9025</v>
      </c>
      <c r="J7415" s="2" t="s">
        <v>92</v>
      </c>
      <c r="K7415" s="2" t="s">
        <v>53</v>
      </c>
      <c r="L7415" s="2" t="s">
        <v>34</v>
      </c>
      <c r="M7415" s="12">
        <v>1891.789</v>
      </c>
      <c r="N7415" s="5">
        <v>46.9</v>
      </c>
      <c r="O7415" s="6">
        <v>45.05</v>
      </c>
      <c r="P7415" s="2" t="s">
        <v>22363</v>
      </c>
      <c r="Q7415" s="6">
        <v>100</v>
      </c>
      <c r="R7415" s="6">
        <v>31.51</v>
      </c>
      <c r="S7415" s="5">
        <v>7.3</v>
      </c>
      <c r="T7415" s="7">
        <v>53.731000000000002</v>
      </c>
      <c r="U7415" s="5">
        <v>18.3</v>
      </c>
      <c r="V7415" s="6">
        <v>0.2</v>
      </c>
      <c r="W7415" s="5">
        <v>26.3</v>
      </c>
      <c r="X7415" s="6">
        <v>27.65</v>
      </c>
      <c r="Y7415" s="6">
        <v>27.84</v>
      </c>
      <c r="Z7415" s="6">
        <v>30.64</v>
      </c>
      <c r="AA7415" s="6">
        <v>31.46</v>
      </c>
      <c r="AB7415" s="7">
        <v>202.69300000000001</v>
      </c>
      <c r="AC7415" s="6">
        <v>6.72</v>
      </c>
    </row>
    <row r="7416" spans="1:29" ht="91" x14ac:dyDescent="0.15">
      <c r="A7416" s="3">
        <f>DATE(2004,10,5)</f>
        <v>38265</v>
      </c>
      <c r="B7416" s="3">
        <f>DATE(2005,4,22)</f>
        <v>38464</v>
      </c>
      <c r="C7416" s="2" t="s">
        <v>95</v>
      </c>
      <c r="D7416" s="2" t="s">
        <v>22364</v>
      </c>
      <c r="E7416" s="2" t="s">
        <v>22365</v>
      </c>
      <c r="F7416" s="4">
        <v>3674</v>
      </c>
      <c r="G7416" s="2" t="s">
        <v>137</v>
      </c>
      <c r="H7416" s="2" t="s">
        <v>34</v>
      </c>
      <c r="I7416" s="2" t="s">
        <v>22366</v>
      </c>
      <c r="J7416" s="2" t="s">
        <v>22367</v>
      </c>
      <c r="K7416" s="2" t="s">
        <v>186</v>
      </c>
      <c r="L7416" s="2" t="s">
        <v>99</v>
      </c>
      <c r="M7416" s="12">
        <v>7151.6350000000002</v>
      </c>
      <c r="N7416" s="7">
        <v>10.372</v>
      </c>
      <c r="O7416" s="7">
        <v>10.105</v>
      </c>
      <c r="P7416" s="2" t="s">
        <v>22368</v>
      </c>
      <c r="Q7416" s="6">
        <v>100</v>
      </c>
      <c r="R7416" s="6">
        <v>27</v>
      </c>
      <c r="S7416" s="5">
        <v>-58.9</v>
      </c>
      <c r="T7416" s="7">
        <v>75.186000000000007</v>
      </c>
      <c r="U7416" s="5">
        <v>16</v>
      </c>
      <c r="V7416" s="6">
        <v>-3.23</v>
      </c>
      <c r="W7416" s="6">
        <v>16.760000000000002</v>
      </c>
      <c r="X7416" s="6">
        <v>18.28</v>
      </c>
      <c r="Y7416" s="6">
        <v>26.34</v>
      </c>
      <c r="Z7416" s="6">
        <v>26.23</v>
      </c>
      <c r="AA7416" s="6">
        <v>18.48</v>
      </c>
      <c r="AB7416" s="2" t="s">
        <v>86</v>
      </c>
      <c r="AC7416" s="10">
        <v>1965.93</v>
      </c>
    </row>
    <row r="7417" spans="1:29" ht="78" x14ac:dyDescent="0.15">
      <c r="A7417" s="3">
        <f>DATE(2004,10,6)</f>
        <v>38266</v>
      </c>
      <c r="B7417" s="3">
        <f>DATE(2004,11,24)</f>
        <v>38315</v>
      </c>
      <c r="C7417" s="2" t="s">
        <v>95</v>
      </c>
      <c r="D7417" s="2" t="s">
        <v>22369</v>
      </c>
      <c r="E7417" s="2" t="s">
        <v>22370</v>
      </c>
      <c r="F7417" s="4">
        <v>7372</v>
      </c>
      <c r="G7417" s="2" t="s">
        <v>551</v>
      </c>
      <c r="H7417" s="2" t="s">
        <v>34</v>
      </c>
      <c r="I7417" s="2" t="s">
        <v>2244</v>
      </c>
      <c r="J7417" s="2" t="s">
        <v>2245</v>
      </c>
      <c r="K7417" s="2" t="s">
        <v>551</v>
      </c>
      <c r="L7417" s="2" t="s">
        <v>34</v>
      </c>
      <c r="M7417" s="12">
        <v>14194.607</v>
      </c>
      <c r="N7417" s="6">
        <v>27.85</v>
      </c>
      <c r="O7417" s="6">
        <v>27.29</v>
      </c>
      <c r="P7417" s="2" t="s">
        <v>22371</v>
      </c>
      <c r="Q7417" s="6">
        <v>100</v>
      </c>
      <c r="R7417" s="6">
        <v>10.75</v>
      </c>
      <c r="S7417" s="5">
        <v>5.3</v>
      </c>
      <c r="T7417" s="2"/>
      <c r="U7417" s="5">
        <v>3.2</v>
      </c>
      <c r="V7417" s="6">
        <v>0.15</v>
      </c>
      <c r="W7417" s="6">
        <v>6.91</v>
      </c>
      <c r="X7417" s="6">
        <v>7.75</v>
      </c>
      <c r="Y7417" s="6">
        <v>10.54</v>
      </c>
      <c r="Z7417" s="6">
        <v>10.55</v>
      </c>
      <c r="AA7417" s="6">
        <v>38.31</v>
      </c>
      <c r="AB7417" s="7">
        <v>103.626</v>
      </c>
      <c r="AC7417" s="2"/>
    </row>
    <row r="7418" spans="1:29" ht="117" x14ac:dyDescent="0.15">
      <c r="A7418" s="3">
        <f>DATE(2004,10,6)</f>
        <v>38266</v>
      </c>
      <c r="B7418" s="3">
        <f>DATE(2005,4,8)</f>
        <v>38450</v>
      </c>
      <c r="C7418" s="2" t="s">
        <v>95</v>
      </c>
      <c r="D7418" s="2" t="s">
        <v>22372</v>
      </c>
      <c r="E7418" s="2" t="s">
        <v>4572</v>
      </c>
      <c r="F7418" s="4">
        <v>7376</v>
      </c>
      <c r="G7418" s="2" t="s">
        <v>223</v>
      </c>
      <c r="H7418" s="2" t="s">
        <v>34</v>
      </c>
      <c r="I7418" s="2" t="s">
        <v>8179</v>
      </c>
      <c r="J7418" s="2" t="s">
        <v>207</v>
      </c>
      <c r="K7418" s="2" t="s">
        <v>137</v>
      </c>
      <c r="L7418" s="2" t="s">
        <v>34</v>
      </c>
      <c r="M7418" s="12">
        <v>2014.674</v>
      </c>
      <c r="N7418" s="6">
        <v>13.25</v>
      </c>
      <c r="O7418" s="6">
        <v>13.18</v>
      </c>
      <c r="P7418" s="2" t="s">
        <v>22373</v>
      </c>
      <c r="Q7418" s="6">
        <v>100</v>
      </c>
      <c r="R7418" s="6">
        <v>4</v>
      </c>
      <c r="S7418" s="5">
        <v>0.8</v>
      </c>
      <c r="T7418" s="7">
        <v>2.6240000000000001</v>
      </c>
      <c r="U7418" s="5">
        <v>2.2999999999999998</v>
      </c>
      <c r="V7418" s="6">
        <v>0.17</v>
      </c>
      <c r="W7418" s="6">
        <v>2.84</v>
      </c>
      <c r="X7418" s="6">
        <v>2.68</v>
      </c>
      <c r="Y7418" s="6">
        <v>3.79</v>
      </c>
      <c r="Z7418" s="6">
        <v>3.65</v>
      </c>
      <c r="AA7418" s="6">
        <v>4.13</v>
      </c>
      <c r="AB7418" s="7">
        <v>12.647</v>
      </c>
      <c r="AC7418" s="6">
        <v>640.02</v>
      </c>
    </row>
    <row r="7419" spans="1:29" ht="117" x14ac:dyDescent="0.15">
      <c r="A7419" s="3">
        <f>DATE(2004,10,7)</f>
        <v>38267</v>
      </c>
      <c r="B7419" s="2"/>
      <c r="C7419" s="2" t="s">
        <v>7330</v>
      </c>
      <c r="D7419" s="2" t="s">
        <v>22374</v>
      </c>
      <c r="E7419" s="2" t="s">
        <v>22375</v>
      </c>
      <c r="F7419" s="4">
        <v>1799</v>
      </c>
      <c r="G7419" s="2" t="s">
        <v>341</v>
      </c>
      <c r="H7419" s="2" t="s">
        <v>34</v>
      </c>
      <c r="I7419" s="2" t="s">
        <v>51</v>
      </c>
      <c r="J7419" s="2" t="s">
        <v>52</v>
      </c>
      <c r="K7419" s="2" t="s">
        <v>53</v>
      </c>
      <c r="L7419" s="2" t="s">
        <v>34</v>
      </c>
      <c r="M7419" s="2"/>
      <c r="N7419" s="2"/>
      <c r="O7419" s="2"/>
      <c r="P7419" s="2" t="s">
        <v>22376</v>
      </c>
      <c r="Q7419" s="2"/>
      <c r="R7419" s="6">
        <v>5.5</v>
      </c>
      <c r="S7419" s="5">
        <v>-0.3</v>
      </c>
      <c r="T7419" s="7">
        <v>6.3140000000000001</v>
      </c>
      <c r="U7419" s="5">
        <v>6.3</v>
      </c>
      <c r="V7419" s="9">
        <v>-4.4600000000000001E-2</v>
      </c>
      <c r="W7419" s="6">
        <v>4.25</v>
      </c>
      <c r="X7419" s="4">
        <v>4</v>
      </c>
      <c r="Y7419" s="4">
        <v>4</v>
      </c>
      <c r="Z7419" s="6">
        <v>5.27</v>
      </c>
      <c r="AA7419" s="6">
        <v>5.34</v>
      </c>
      <c r="AB7419" s="7">
        <v>4.9710000000000001</v>
      </c>
      <c r="AC7419" s="2"/>
    </row>
    <row r="7420" spans="1:29" ht="117" x14ac:dyDescent="0.15">
      <c r="A7420" s="3">
        <f>DATE(2004,10,7)</f>
        <v>38267</v>
      </c>
      <c r="B7420" s="3">
        <f>DATE(2005,1,14)</f>
        <v>38366</v>
      </c>
      <c r="C7420" s="2" t="s">
        <v>95</v>
      </c>
      <c r="D7420" s="2" t="s">
        <v>22377</v>
      </c>
      <c r="E7420" s="2" t="s">
        <v>17204</v>
      </c>
      <c r="F7420" s="4">
        <v>2899</v>
      </c>
      <c r="G7420" s="2" t="s">
        <v>98</v>
      </c>
      <c r="H7420" s="2" t="s">
        <v>34</v>
      </c>
      <c r="I7420" s="2" t="s">
        <v>22378</v>
      </c>
      <c r="J7420" s="2" t="s">
        <v>302</v>
      </c>
      <c r="K7420" s="2" t="s">
        <v>53</v>
      </c>
      <c r="L7420" s="2" t="s">
        <v>34</v>
      </c>
      <c r="M7420" s="2"/>
      <c r="N7420" s="2"/>
      <c r="O7420" s="2"/>
      <c r="P7420" s="2" t="s">
        <v>22379</v>
      </c>
      <c r="Q7420" s="6">
        <v>100</v>
      </c>
      <c r="R7420" s="6">
        <v>1.6</v>
      </c>
      <c r="S7420" s="5">
        <v>0</v>
      </c>
      <c r="T7420" s="7">
        <v>0.70899999999999996</v>
      </c>
      <c r="U7420" s="5">
        <v>2.4</v>
      </c>
      <c r="V7420" s="2"/>
      <c r="W7420" s="6">
        <v>1.52</v>
      </c>
      <c r="X7420" s="5">
        <v>1.5</v>
      </c>
      <c r="Y7420" s="5">
        <v>1.5</v>
      </c>
      <c r="Z7420" s="5">
        <v>1.5</v>
      </c>
      <c r="AA7420" s="6">
        <v>3.41</v>
      </c>
      <c r="AB7420" s="7">
        <v>18.452999999999999</v>
      </c>
      <c r="AC7420" s="2"/>
    </row>
    <row r="7421" spans="1:29" ht="65" x14ac:dyDescent="0.15">
      <c r="A7421" s="3">
        <f>DATE(2004,10,8)</f>
        <v>38268</v>
      </c>
      <c r="B7421" s="3">
        <f>DATE(2004,10,8)</f>
        <v>38268</v>
      </c>
      <c r="C7421" s="2" t="s">
        <v>95</v>
      </c>
      <c r="D7421" s="2" t="s">
        <v>22380</v>
      </c>
      <c r="E7421" s="2" t="s">
        <v>22381</v>
      </c>
      <c r="F7421" s="4">
        <v>3532</v>
      </c>
      <c r="G7421" s="2" t="s">
        <v>300</v>
      </c>
      <c r="H7421" s="2" t="s">
        <v>34</v>
      </c>
      <c r="I7421" s="2" t="s">
        <v>22382</v>
      </c>
      <c r="J7421" s="2" t="s">
        <v>22383</v>
      </c>
      <c r="K7421" s="2" t="s">
        <v>3562</v>
      </c>
      <c r="L7421" s="2" t="s">
        <v>34</v>
      </c>
      <c r="M7421" s="2"/>
      <c r="N7421" s="2"/>
      <c r="O7421" s="2"/>
      <c r="P7421" s="2" t="s">
        <v>22384</v>
      </c>
      <c r="Q7421" s="6">
        <v>65.16</v>
      </c>
      <c r="R7421" s="2"/>
      <c r="S7421" s="5">
        <v>0</v>
      </c>
      <c r="T7421" s="7">
        <v>-4.3999999999999997E-2</v>
      </c>
      <c r="U7421" s="5">
        <v>-2.6</v>
      </c>
      <c r="V7421" s="6">
        <v>-0.23</v>
      </c>
      <c r="W7421" s="5">
        <v>0.1</v>
      </c>
      <c r="X7421" s="5">
        <v>1.5</v>
      </c>
      <c r="Y7421" s="5">
        <v>1.5</v>
      </c>
      <c r="Z7421" s="5">
        <v>1.5</v>
      </c>
      <c r="AA7421" s="6">
        <v>0.16</v>
      </c>
      <c r="AB7421" s="2" t="s">
        <v>86</v>
      </c>
      <c r="AC7421" s="2"/>
    </row>
    <row r="7422" spans="1:29" ht="143" x14ac:dyDescent="0.15">
      <c r="A7422" s="3">
        <f>DATE(2004,10,12)</f>
        <v>38272</v>
      </c>
      <c r="B7422" s="3">
        <f>DATE(2005,4,7)</f>
        <v>38449</v>
      </c>
      <c r="C7422" s="2" t="s">
        <v>95</v>
      </c>
      <c r="D7422" s="2" t="s">
        <v>22385</v>
      </c>
      <c r="E7422" s="2" t="s">
        <v>22386</v>
      </c>
      <c r="F7422" s="4">
        <v>6162</v>
      </c>
      <c r="G7422" s="2" t="s">
        <v>109</v>
      </c>
      <c r="H7422" s="2" t="s">
        <v>34</v>
      </c>
      <c r="I7422" s="2" t="s">
        <v>22387</v>
      </c>
      <c r="J7422" s="2" t="s">
        <v>159</v>
      </c>
      <c r="K7422" s="2" t="s">
        <v>37</v>
      </c>
      <c r="L7422" s="2" t="s">
        <v>34</v>
      </c>
      <c r="M7422" s="7">
        <v>192.637</v>
      </c>
      <c r="N7422" s="6">
        <v>36.17</v>
      </c>
      <c r="O7422" s="6">
        <v>36.46</v>
      </c>
      <c r="P7422" s="2" t="s">
        <v>22388</v>
      </c>
      <c r="Q7422" s="6">
        <v>100</v>
      </c>
      <c r="R7422" s="6">
        <v>23.75</v>
      </c>
      <c r="S7422" s="5">
        <v>-2.6</v>
      </c>
      <c r="T7422" s="2"/>
      <c r="U7422" s="5">
        <v>17.399999999999999</v>
      </c>
      <c r="V7422" s="6">
        <v>-4.21</v>
      </c>
      <c r="W7422" s="4">
        <v>22</v>
      </c>
      <c r="X7422" s="6">
        <v>22.25</v>
      </c>
      <c r="Y7422" s="5">
        <v>22.3</v>
      </c>
      <c r="Z7422" s="5">
        <v>23.3</v>
      </c>
      <c r="AA7422" s="6">
        <v>0.65</v>
      </c>
      <c r="AB7422" s="7">
        <v>38.415999999999997</v>
      </c>
      <c r="AC7422" s="2"/>
    </row>
    <row r="7423" spans="1:29" ht="117" x14ac:dyDescent="0.15">
      <c r="A7423" s="3">
        <f>DATE(2004,10,14)</f>
        <v>38274</v>
      </c>
      <c r="B7423" s="3">
        <f>DATE(2005,1,28)</f>
        <v>38380</v>
      </c>
      <c r="C7423" s="2" t="s">
        <v>95</v>
      </c>
      <c r="D7423" s="2" t="s">
        <v>22389</v>
      </c>
      <c r="E7423" s="2" t="s">
        <v>2468</v>
      </c>
      <c r="F7423" s="4">
        <v>6411</v>
      </c>
      <c r="G7423" s="2" t="s">
        <v>125</v>
      </c>
      <c r="H7423" s="2" t="s">
        <v>34</v>
      </c>
      <c r="I7423" s="2" t="s">
        <v>22390</v>
      </c>
      <c r="J7423" s="2" t="s">
        <v>5189</v>
      </c>
      <c r="K7423" s="2" t="s">
        <v>125</v>
      </c>
      <c r="L7423" s="2" t="s">
        <v>34</v>
      </c>
      <c r="M7423" s="12">
        <v>4770.5929999999998</v>
      </c>
      <c r="N7423" s="6">
        <v>46.29</v>
      </c>
      <c r="O7423" s="6">
        <v>43.89</v>
      </c>
      <c r="P7423" s="2" t="s">
        <v>22391</v>
      </c>
      <c r="Q7423" s="6">
        <v>100</v>
      </c>
      <c r="R7423" s="6">
        <v>18.7</v>
      </c>
      <c r="S7423" s="5">
        <v>124.6</v>
      </c>
      <c r="T7423" s="7">
        <v>276.13200000000001</v>
      </c>
      <c r="U7423" s="5">
        <v>5.2</v>
      </c>
      <c r="V7423" s="6">
        <v>1.33</v>
      </c>
      <c r="W7423" s="6">
        <v>15.57</v>
      </c>
      <c r="X7423" s="6">
        <v>15.04</v>
      </c>
      <c r="Y7423" s="6">
        <v>17.04</v>
      </c>
      <c r="Z7423" s="6">
        <v>16.59</v>
      </c>
      <c r="AA7423" s="6">
        <v>91.67</v>
      </c>
      <c r="AB7423" s="7">
        <v>9.4670000000000005</v>
      </c>
      <c r="AC7423" s="6">
        <v>398.85</v>
      </c>
    </row>
    <row r="7424" spans="1:29" ht="104" x14ac:dyDescent="0.15">
      <c r="A7424" s="3">
        <f>DATE(2004,10,15)</f>
        <v>38275</v>
      </c>
      <c r="B7424" s="3">
        <f>DATE(2005,2,18)</f>
        <v>38401</v>
      </c>
      <c r="C7424" s="2" t="s">
        <v>95</v>
      </c>
      <c r="D7424" s="2" t="s">
        <v>22392</v>
      </c>
      <c r="E7424" s="2" t="s">
        <v>2898</v>
      </c>
      <c r="F7424" s="4">
        <v>6022</v>
      </c>
      <c r="G7424" s="2" t="s">
        <v>37</v>
      </c>
      <c r="H7424" s="2" t="s">
        <v>34</v>
      </c>
      <c r="I7424" s="2" t="s">
        <v>21951</v>
      </c>
      <c r="J7424" s="2" t="s">
        <v>36</v>
      </c>
      <c r="K7424" s="2" t="s">
        <v>37</v>
      </c>
      <c r="L7424" s="2" t="s">
        <v>34</v>
      </c>
      <c r="M7424" s="12">
        <v>1043.1590000000001</v>
      </c>
      <c r="N7424" s="6">
        <v>21.19</v>
      </c>
      <c r="O7424" s="4">
        <v>21</v>
      </c>
      <c r="P7424" s="2" t="s">
        <v>22393</v>
      </c>
      <c r="Q7424" s="6">
        <v>100</v>
      </c>
      <c r="R7424" s="6">
        <v>39.01</v>
      </c>
      <c r="S7424" s="5">
        <v>4</v>
      </c>
      <c r="T7424" s="2"/>
      <c r="U7424" s="5">
        <v>11.4</v>
      </c>
      <c r="V7424" s="9">
        <v>1.1671</v>
      </c>
      <c r="W7424" s="6">
        <v>24.15</v>
      </c>
      <c r="X7424" s="6">
        <v>24.15</v>
      </c>
      <c r="Y7424" s="5">
        <v>36.700000000000003</v>
      </c>
      <c r="Z7424" s="6">
        <v>36.549999999999997</v>
      </c>
      <c r="AA7424" s="6">
        <v>3.4</v>
      </c>
      <c r="AB7424" s="7">
        <v>40.485999999999997</v>
      </c>
      <c r="AC7424" s="2"/>
    </row>
    <row r="7425" spans="1:29" ht="143" x14ac:dyDescent="0.15">
      <c r="A7425" s="3">
        <f>DATE(2004,10,15)</f>
        <v>38275</v>
      </c>
      <c r="B7425" s="3">
        <f>DATE(2005,1,25)</f>
        <v>38377</v>
      </c>
      <c r="C7425" s="2" t="s">
        <v>95</v>
      </c>
      <c r="D7425" s="2" t="s">
        <v>22394</v>
      </c>
      <c r="E7425" s="2" t="s">
        <v>124</v>
      </c>
      <c r="F7425" s="4">
        <v>6331</v>
      </c>
      <c r="G7425" s="2" t="s">
        <v>125</v>
      </c>
      <c r="H7425" s="2" t="s">
        <v>34</v>
      </c>
      <c r="I7425" s="2" t="s">
        <v>22395</v>
      </c>
      <c r="J7425" s="2" t="s">
        <v>124</v>
      </c>
      <c r="K7425" s="2" t="s">
        <v>125</v>
      </c>
      <c r="L7425" s="2" t="s">
        <v>34</v>
      </c>
      <c r="M7425" s="7">
        <v>429.822</v>
      </c>
      <c r="N7425" s="6">
        <v>14.84</v>
      </c>
      <c r="O7425" s="6">
        <v>14.84</v>
      </c>
      <c r="P7425" s="2" t="s">
        <v>22396</v>
      </c>
      <c r="Q7425" s="6">
        <v>100</v>
      </c>
      <c r="R7425" s="6">
        <v>15.38</v>
      </c>
      <c r="S7425" s="5">
        <v>16.2</v>
      </c>
      <c r="T7425" s="2"/>
      <c r="U7425" s="5">
        <v>9.1999999999999993</v>
      </c>
      <c r="V7425" s="6">
        <v>1.08</v>
      </c>
      <c r="W7425" s="5">
        <v>14.2</v>
      </c>
      <c r="X7425" s="6">
        <v>13.92</v>
      </c>
      <c r="Y7425" s="6">
        <v>14.91</v>
      </c>
      <c r="Z7425" s="6">
        <v>14.88</v>
      </c>
      <c r="AA7425" s="6">
        <v>14.78</v>
      </c>
      <c r="AB7425" s="7">
        <v>8.577</v>
      </c>
      <c r="AC7425" s="6">
        <v>189.07</v>
      </c>
    </row>
    <row r="7426" spans="1:29" ht="78" x14ac:dyDescent="0.15">
      <c r="A7426" s="3">
        <f>DATE(2004,10,18)</f>
        <v>38278</v>
      </c>
      <c r="B7426" s="2"/>
      <c r="C7426" s="2" t="s">
        <v>30</v>
      </c>
      <c r="D7426" s="2" t="s">
        <v>22397</v>
      </c>
      <c r="E7426" s="2" t="s">
        <v>268</v>
      </c>
      <c r="F7426" s="4">
        <v>7011</v>
      </c>
      <c r="G7426" s="2" t="s">
        <v>269</v>
      </c>
      <c r="H7426" s="2" t="s">
        <v>34</v>
      </c>
      <c r="I7426" s="2" t="s">
        <v>22398</v>
      </c>
      <c r="J7426" s="2" t="s">
        <v>268</v>
      </c>
      <c r="K7426" s="2" t="s">
        <v>269</v>
      </c>
      <c r="L7426" s="2" t="s">
        <v>8464</v>
      </c>
      <c r="M7426" s="2"/>
      <c r="N7426" s="2"/>
      <c r="O7426" s="2"/>
      <c r="P7426" s="2" t="s">
        <v>22399</v>
      </c>
      <c r="Q7426" s="2"/>
      <c r="R7426" s="6">
        <v>13</v>
      </c>
      <c r="S7426" s="5">
        <v>-4.0999999999999996</v>
      </c>
      <c r="T7426" s="7">
        <v>120.086</v>
      </c>
      <c r="U7426" s="5">
        <v>-0.4</v>
      </c>
      <c r="V7426" s="6">
        <v>-0.72</v>
      </c>
      <c r="W7426" s="6">
        <v>11.14</v>
      </c>
      <c r="X7426" s="6">
        <v>11.31</v>
      </c>
      <c r="Y7426" s="6">
        <v>12.95</v>
      </c>
      <c r="Z7426" s="6">
        <v>12.97</v>
      </c>
      <c r="AA7426" s="6">
        <v>4.8899999999999997</v>
      </c>
      <c r="AB7426" s="7">
        <v>10.961</v>
      </c>
      <c r="AC7426" s="2"/>
    </row>
    <row r="7427" spans="1:29" ht="65" x14ac:dyDescent="0.15">
      <c r="A7427" s="3">
        <f>DATE(2004,10,18)</f>
        <v>38278</v>
      </c>
      <c r="B7427" s="3">
        <f>DATE(2005,5,1)</f>
        <v>38473</v>
      </c>
      <c r="C7427" s="2" t="s">
        <v>95</v>
      </c>
      <c r="D7427" s="2" t="s">
        <v>22400</v>
      </c>
      <c r="E7427" s="2" t="s">
        <v>672</v>
      </c>
      <c r="F7427" s="4">
        <v>6022</v>
      </c>
      <c r="G7427" s="2" t="s">
        <v>37</v>
      </c>
      <c r="H7427" s="2" t="s">
        <v>34</v>
      </c>
      <c r="I7427" s="2" t="s">
        <v>22401</v>
      </c>
      <c r="J7427" s="2" t="s">
        <v>21800</v>
      </c>
      <c r="K7427" s="2" t="s">
        <v>37</v>
      </c>
      <c r="L7427" s="2" t="s">
        <v>34</v>
      </c>
      <c r="M7427" s="2"/>
      <c r="N7427" s="2"/>
      <c r="O7427" s="2"/>
      <c r="P7427" s="2" t="s">
        <v>22402</v>
      </c>
      <c r="Q7427" s="6">
        <v>100</v>
      </c>
      <c r="R7427" s="6">
        <v>30</v>
      </c>
      <c r="S7427" s="5">
        <v>1.3</v>
      </c>
      <c r="T7427" s="2"/>
      <c r="U7427" s="5">
        <v>11.6</v>
      </c>
      <c r="V7427" s="6">
        <v>1.02</v>
      </c>
      <c r="W7427" s="5">
        <v>22.5</v>
      </c>
      <c r="X7427" s="5">
        <v>22.5</v>
      </c>
      <c r="Y7427" s="5">
        <v>22.5</v>
      </c>
      <c r="Z7427" s="6">
        <v>29.16</v>
      </c>
      <c r="AA7427" s="6">
        <v>3.9</v>
      </c>
      <c r="AB7427" s="7">
        <v>23.471</v>
      </c>
      <c r="AC7427" s="2"/>
    </row>
    <row r="7428" spans="1:29" ht="91" x14ac:dyDescent="0.15">
      <c r="A7428" s="3">
        <f>DATE(2004,10,18)</f>
        <v>38278</v>
      </c>
      <c r="B7428" s="3">
        <f>DATE(2005,2,24)</f>
        <v>38407</v>
      </c>
      <c r="C7428" s="2" t="s">
        <v>95</v>
      </c>
      <c r="D7428" s="2" t="s">
        <v>9679</v>
      </c>
      <c r="E7428" s="2" t="s">
        <v>22403</v>
      </c>
      <c r="F7428" s="4">
        <v>8093</v>
      </c>
      <c r="G7428" s="2" t="s">
        <v>454</v>
      </c>
      <c r="H7428" s="2" t="s">
        <v>34</v>
      </c>
      <c r="I7428" s="2" t="s">
        <v>22404</v>
      </c>
      <c r="J7428" s="2" t="s">
        <v>9299</v>
      </c>
      <c r="K7428" s="2" t="s">
        <v>53</v>
      </c>
      <c r="L7428" s="2" t="s">
        <v>34</v>
      </c>
      <c r="M7428" s="2"/>
      <c r="N7428" s="2"/>
      <c r="O7428" s="2"/>
      <c r="P7428" s="2" t="s">
        <v>22405</v>
      </c>
      <c r="Q7428" s="6">
        <v>100</v>
      </c>
      <c r="R7428" s="6">
        <v>18</v>
      </c>
      <c r="S7428" s="5">
        <v>63.8</v>
      </c>
      <c r="T7428" s="7">
        <v>162.16900000000001</v>
      </c>
      <c r="U7428" s="5">
        <v>3.8</v>
      </c>
      <c r="V7428" s="6">
        <v>0.63</v>
      </c>
      <c r="W7428" s="6">
        <v>14.08</v>
      </c>
      <c r="X7428" s="6">
        <v>14.22</v>
      </c>
      <c r="Y7428" s="5">
        <v>17.399999999999999</v>
      </c>
      <c r="Z7428" s="6">
        <v>17.149999999999999</v>
      </c>
      <c r="AA7428" s="6">
        <v>101.36</v>
      </c>
      <c r="AB7428" s="7">
        <v>17.303000000000001</v>
      </c>
      <c r="AC7428" s="2"/>
    </row>
    <row r="7429" spans="1:29" ht="182" x14ac:dyDescent="0.15">
      <c r="A7429" s="3">
        <f>DATE(2004,10,19)</f>
        <v>38279</v>
      </c>
      <c r="B7429" s="3">
        <f>DATE(2004,12,22)</f>
        <v>38343</v>
      </c>
      <c r="C7429" s="2" t="s">
        <v>95</v>
      </c>
      <c r="D7429" s="2" t="s">
        <v>22406</v>
      </c>
      <c r="E7429" s="2" t="s">
        <v>22407</v>
      </c>
      <c r="F7429" s="4">
        <v>2084</v>
      </c>
      <c r="G7429" s="2" t="s">
        <v>577</v>
      </c>
      <c r="H7429" s="2" t="s">
        <v>34</v>
      </c>
      <c r="I7429" s="2" t="s">
        <v>18691</v>
      </c>
      <c r="J7429" s="2" t="s">
        <v>18692</v>
      </c>
      <c r="K7429" s="2" t="s">
        <v>577</v>
      </c>
      <c r="L7429" s="2" t="s">
        <v>34</v>
      </c>
      <c r="M7429" s="12">
        <v>3982.2669999999998</v>
      </c>
      <c r="N7429" s="6">
        <v>36.25</v>
      </c>
      <c r="O7429" s="6">
        <v>38.020000000000003</v>
      </c>
      <c r="P7429" s="2" t="s">
        <v>22408</v>
      </c>
      <c r="Q7429" s="6">
        <v>100</v>
      </c>
      <c r="R7429" s="6">
        <v>59.77</v>
      </c>
      <c r="S7429" s="5">
        <v>2.9</v>
      </c>
      <c r="T7429" s="7">
        <v>77.298000000000002</v>
      </c>
      <c r="U7429" s="5">
        <v>28.6</v>
      </c>
      <c r="V7429" s="6">
        <v>0.17</v>
      </c>
      <c r="W7429" s="6">
        <v>39.25</v>
      </c>
      <c r="X7429" s="6">
        <v>39.869999999999997</v>
      </c>
      <c r="Y7429" s="6">
        <v>51.88</v>
      </c>
      <c r="Z7429" s="6">
        <v>51.85</v>
      </c>
      <c r="AA7429" s="6">
        <v>16.46</v>
      </c>
      <c r="AB7429" s="7">
        <v>24.532</v>
      </c>
      <c r="AC7429" s="6">
        <v>9.77</v>
      </c>
    </row>
    <row r="7430" spans="1:29" ht="39" x14ac:dyDescent="0.15">
      <c r="A7430" s="3">
        <f>DATE(2004,10,19)</f>
        <v>38279</v>
      </c>
      <c r="B7430" s="3">
        <f>DATE(2005,3,8)</f>
        <v>38419</v>
      </c>
      <c r="C7430" s="2" t="s">
        <v>95</v>
      </c>
      <c r="D7430" s="2" t="s">
        <v>22409</v>
      </c>
      <c r="E7430" s="2" t="s">
        <v>22410</v>
      </c>
      <c r="F7430" s="4">
        <v>3827</v>
      </c>
      <c r="G7430" s="2" t="s">
        <v>226</v>
      </c>
      <c r="H7430" s="2" t="s">
        <v>34</v>
      </c>
      <c r="I7430" s="2" t="s">
        <v>22411</v>
      </c>
      <c r="J7430" s="2" t="s">
        <v>22412</v>
      </c>
      <c r="K7430" s="2" t="s">
        <v>137</v>
      </c>
      <c r="L7430" s="2" t="s">
        <v>34</v>
      </c>
      <c r="M7430" s="7">
        <v>0.224</v>
      </c>
      <c r="N7430" s="5">
        <v>0.2</v>
      </c>
      <c r="O7430" s="5">
        <v>0.4</v>
      </c>
      <c r="P7430" s="2" t="s">
        <v>22413</v>
      </c>
      <c r="Q7430" s="6">
        <v>100</v>
      </c>
      <c r="R7430" s="2"/>
      <c r="S7430" s="2"/>
      <c r="T7430" s="2"/>
      <c r="U7430" s="2"/>
      <c r="V7430" s="2"/>
      <c r="W7430" s="5">
        <v>7.7</v>
      </c>
      <c r="X7430" s="5">
        <v>7.7</v>
      </c>
      <c r="Y7430" s="2"/>
      <c r="Z7430" s="2"/>
      <c r="AA7430" s="2"/>
      <c r="AB7430" s="2" t="s">
        <v>47</v>
      </c>
      <c r="AC7430" s="6">
        <v>0.26</v>
      </c>
    </row>
    <row r="7431" spans="1:29" ht="104" x14ac:dyDescent="0.15">
      <c r="A7431" s="3">
        <f>DATE(2004,10,20)</f>
        <v>38280</v>
      </c>
      <c r="B7431" s="3">
        <f>DATE(2004,12,10)</f>
        <v>38331</v>
      </c>
      <c r="C7431" s="2" t="s">
        <v>95</v>
      </c>
      <c r="D7431" s="2" t="s">
        <v>22414</v>
      </c>
      <c r="E7431" s="2" t="s">
        <v>22415</v>
      </c>
      <c r="F7431" s="4">
        <v>7999</v>
      </c>
      <c r="G7431" s="2" t="s">
        <v>364</v>
      </c>
      <c r="H7431" s="2" t="s">
        <v>34</v>
      </c>
      <c r="I7431" s="2" t="s">
        <v>22416</v>
      </c>
      <c r="J7431" s="2" t="s">
        <v>3941</v>
      </c>
      <c r="K7431" s="2" t="s">
        <v>53</v>
      </c>
      <c r="L7431" s="2" t="s">
        <v>34</v>
      </c>
      <c r="M7431" s="2"/>
      <c r="N7431" s="2"/>
      <c r="O7431" s="2"/>
      <c r="P7431" s="2" t="s">
        <v>22417</v>
      </c>
      <c r="Q7431" s="6">
        <v>100</v>
      </c>
      <c r="R7431" s="6">
        <v>24</v>
      </c>
      <c r="S7431" s="5">
        <v>12</v>
      </c>
      <c r="T7431" s="7">
        <v>91.745000000000005</v>
      </c>
      <c r="U7431" s="5">
        <v>13.3</v>
      </c>
      <c r="V7431" s="6">
        <v>0.28000000000000003</v>
      </c>
      <c r="W7431" s="6">
        <v>18.37</v>
      </c>
      <c r="X7431" s="6">
        <v>18.760000000000002</v>
      </c>
      <c r="Y7431" s="6">
        <v>19.149999999999999</v>
      </c>
      <c r="Z7431" s="6">
        <v>23.68</v>
      </c>
      <c r="AA7431" s="6">
        <v>40.24</v>
      </c>
      <c r="AB7431" s="7">
        <v>22.672000000000001</v>
      </c>
      <c r="AC7431" s="2"/>
    </row>
    <row r="7432" spans="1:29" ht="104" x14ac:dyDescent="0.15">
      <c r="A7432" s="3">
        <f>DATE(2004,10,22)</f>
        <v>38282</v>
      </c>
      <c r="B7432" s="3">
        <f>DATE(2005,4,1)</f>
        <v>38443</v>
      </c>
      <c r="C7432" s="2" t="s">
        <v>95</v>
      </c>
      <c r="D7432" s="2" t="s">
        <v>14039</v>
      </c>
      <c r="E7432" s="2" t="s">
        <v>92</v>
      </c>
      <c r="F7432" s="4">
        <v>6798</v>
      </c>
      <c r="G7432" s="2" t="s">
        <v>53</v>
      </c>
      <c r="H7432" s="2" t="s">
        <v>34</v>
      </c>
      <c r="I7432" s="2" t="s">
        <v>22418</v>
      </c>
      <c r="J7432" s="2" t="s">
        <v>92</v>
      </c>
      <c r="K7432" s="2" t="s">
        <v>53</v>
      </c>
      <c r="L7432" s="2" t="s">
        <v>34</v>
      </c>
      <c r="M7432" s="12">
        <v>1078.7090000000001</v>
      </c>
      <c r="N7432" s="6">
        <v>42.16</v>
      </c>
      <c r="O7432" s="6">
        <v>40.89</v>
      </c>
      <c r="P7432" s="2" t="s">
        <v>22419</v>
      </c>
      <c r="Q7432" s="6">
        <v>100</v>
      </c>
      <c r="R7432" s="6">
        <v>10.89</v>
      </c>
      <c r="S7432" s="5">
        <v>-8.5</v>
      </c>
      <c r="T7432" s="7">
        <v>44.127000000000002</v>
      </c>
      <c r="U7432" s="5">
        <v>4.5</v>
      </c>
      <c r="V7432" s="6">
        <v>-0.14000000000000001</v>
      </c>
      <c r="W7432" s="4">
        <v>10</v>
      </c>
      <c r="X7432" s="6">
        <v>10.34</v>
      </c>
      <c r="Y7432" s="6">
        <v>10.07</v>
      </c>
      <c r="Z7432" s="6">
        <v>10.39</v>
      </c>
      <c r="AA7432" s="6">
        <v>56.19</v>
      </c>
      <c r="AB7432" s="2" t="s">
        <v>86</v>
      </c>
      <c r="AC7432" s="6">
        <v>9.7100000000000009</v>
      </c>
    </row>
    <row r="7433" spans="1:29" ht="65" x14ac:dyDescent="0.15">
      <c r="A7433" s="3">
        <f>DATE(2004,10,22)</f>
        <v>38282</v>
      </c>
      <c r="B7433" s="3">
        <f>DATE(2005,3,30)</f>
        <v>38441</v>
      </c>
      <c r="C7433" s="2" t="s">
        <v>95</v>
      </c>
      <c r="D7433" s="2" t="s">
        <v>22420</v>
      </c>
      <c r="E7433" s="2" t="s">
        <v>1181</v>
      </c>
      <c r="F7433" s="4">
        <v>6021</v>
      </c>
      <c r="G7433" s="2" t="s">
        <v>37</v>
      </c>
      <c r="H7433" s="2" t="s">
        <v>34</v>
      </c>
      <c r="I7433" s="2" t="s">
        <v>22421</v>
      </c>
      <c r="J7433" s="2" t="s">
        <v>1181</v>
      </c>
      <c r="K7433" s="2" t="s">
        <v>37</v>
      </c>
      <c r="L7433" s="2" t="s">
        <v>34</v>
      </c>
      <c r="M7433" s="2"/>
      <c r="N7433" s="5">
        <v>14.7</v>
      </c>
      <c r="O7433" s="5">
        <v>14.7</v>
      </c>
      <c r="P7433" s="2" t="s">
        <v>22422</v>
      </c>
      <c r="Q7433" s="6">
        <v>100</v>
      </c>
      <c r="R7433" s="6">
        <v>32</v>
      </c>
      <c r="S7433" s="5">
        <v>2.6</v>
      </c>
      <c r="T7433" s="2"/>
      <c r="U7433" s="5">
        <v>19.2</v>
      </c>
      <c r="V7433" s="6">
        <v>3.38</v>
      </c>
      <c r="W7433" s="5">
        <v>32.5</v>
      </c>
      <c r="X7433" s="5">
        <v>32.4</v>
      </c>
      <c r="Y7433" s="4">
        <v>34</v>
      </c>
      <c r="Z7433" s="5">
        <v>34.5</v>
      </c>
      <c r="AA7433" s="6">
        <v>0.88</v>
      </c>
      <c r="AB7433" s="7">
        <v>6.6879999999999997</v>
      </c>
      <c r="AC7433" s="2"/>
    </row>
    <row r="7434" spans="1:29" ht="156" x14ac:dyDescent="0.15">
      <c r="A7434" s="3">
        <f>DATE(2004,10,25)</f>
        <v>38285</v>
      </c>
      <c r="B7434" s="3">
        <f>DATE(2005,3,11)</f>
        <v>38422</v>
      </c>
      <c r="C7434" s="2" t="s">
        <v>95</v>
      </c>
      <c r="D7434" s="2" t="s">
        <v>22423</v>
      </c>
      <c r="E7434" s="2" t="s">
        <v>22424</v>
      </c>
      <c r="F7434" s="4">
        <v>3312</v>
      </c>
      <c r="G7434" s="2" t="s">
        <v>163</v>
      </c>
      <c r="H7434" s="2" t="s">
        <v>34</v>
      </c>
      <c r="I7434" s="2" t="s">
        <v>22425</v>
      </c>
      <c r="J7434" s="2" t="s">
        <v>22426</v>
      </c>
      <c r="K7434" s="2" t="s">
        <v>163</v>
      </c>
      <c r="L7434" s="2" t="s">
        <v>2105</v>
      </c>
      <c r="M7434" s="12">
        <v>1743.2919999999999</v>
      </c>
      <c r="N7434" s="7">
        <v>30.428999999999998</v>
      </c>
      <c r="O7434" s="7">
        <v>32.848999999999997</v>
      </c>
      <c r="P7434" s="2" t="s">
        <v>22427</v>
      </c>
      <c r="Q7434" s="6">
        <v>100</v>
      </c>
      <c r="R7434" s="6">
        <v>36.43</v>
      </c>
      <c r="S7434" s="5">
        <v>446.4</v>
      </c>
      <c r="T7434" s="7">
        <v>688.47799999999995</v>
      </c>
      <c r="U7434" s="5">
        <v>14</v>
      </c>
      <c r="V7434" s="9">
        <v>4.4916999999999998</v>
      </c>
      <c r="W7434" s="6">
        <v>29.65</v>
      </c>
      <c r="X7434" s="6">
        <v>29.68</v>
      </c>
      <c r="Y7434" s="6">
        <v>35.25</v>
      </c>
      <c r="Z7434" s="6">
        <v>37.340000000000003</v>
      </c>
      <c r="AA7434" s="6">
        <v>98.02</v>
      </c>
      <c r="AB7434" s="7">
        <v>7.3819999999999997</v>
      </c>
      <c r="AC7434" s="6">
        <v>169.94</v>
      </c>
    </row>
    <row r="7435" spans="1:29" ht="65" x14ac:dyDescent="0.15">
      <c r="A7435" s="3">
        <f>DATE(2004,10,26)</f>
        <v>38286</v>
      </c>
      <c r="B7435" s="3">
        <f>DATE(2006,1,31)</f>
        <v>38748</v>
      </c>
      <c r="C7435" s="2" t="s">
        <v>95</v>
      </c>
      <c r="D7435" s="2" t="s">
        <v>22428</v>
      </c>
      <c r="E7435" s="2" t="s">
        <v>58</v>
      </c>
      <c r="F7435" s="4">
        <v>4512</v>
      </c>
      <c r="G7435" s="2" t="s">
        <v>59</v>
      </c>
      <c r="H7435" s="2" t="s">
        <v>34</v>
      </c>
      <c r="I7435" s="2" t="s">
        <v>1526</v>
      </c>
      <c r="J7435" s="2" t="s">
        <v>302</v>
      </c>
      <c r="K7435" s="2" t="s">
        <v>53</v>
      </c>
      <c r="L7435" s="2" t="s">
        <v>34</v>
      </c>
      <c r="M7435" s="2"/>
      <c r="N7435" s="2"/>
      <c r="O7435" s="2"/>
      <c r="P7435" s="2" t="s">
        <v>22429</v>
      </c>
      <c r="Q7435" s="6">
        <v>100</v>
      </c>
      <c r="R7435" s="2"/>
      <c r="S7435" s="5">
        <v>-140.5</v>
      </c>
      <c r="T7435" s="6">
        <v>37.119999999999997</v>
      </c>
      <c r="U7435" s="5">
        <v>-19.100000000000001</v>
      </c>
      <c r="V7435" s="6">
        <v>-11.52</v>
      </c>
      <c r="W7435" s="6">
        <v>2.1800000000000002</v>
      </c>
      <c r="X7435" s="6">
        <v>1.46</v>
      </c>
      <c r="Y7435" s="6">
        <v>0.93</v>
      </c>
      <c r="Z7435" s="5">
        <v>1.2</v>
      </c>
      <c r="AA7435" s="2"/>
      <c r="AB7435" s="2" t="s">
        <v>86</v>
      </c>
      <c r="AC7435" s="2"/>
    </row>
    <row r="7436" spans="1:29" ht="130" x14ac:dyDescent="0.15">
      <c r="A7436" s="3">
        <f>DATE(2004,10,27)</f>
        <v>38287</v>
      </c>
      <c r="B7436" s="3">
        <f>DATE(2004,11,12)</f>
        <v>38303</v>
      </c>
      <c r="C7436" s="2" t="s">
        <v>95</v>
      </c>
      <c r="D7436" s="2" t="s">
        <v>22430</v>
      </c>
      <c r="E7436" s="2" t="s">
        <v>22431</v>
      </c>
      <c r="F7436" s="4">
        <v>5734</v>
      </c>
      <c r="G7436" s="2" t="s">
        <v>1227</v>
      </c>
      <c r="H7436" s="2" t="s">
        <v>34</v>
      </c>
      <c r="I7436" s="2" t="s">
        <v>278</v>
      </c>
      <c r="J7436" s="2" t="s">
        <v>52</v>
      </c>
      <c r="K7436" s="2" t="s">
        <v>53</v>
      </c>
      <c r="L7436" s="2" t="s">
        <v>34</v>
      </c>
      <c r="M7436" s="2"/>
      <c r="N7436" s="2"/>
      <c r="O7436" s="2"/>
      <c r="P7436" s="2" t="s">
        <v>22432</v>
      </c>
      <c r="Q7436" s="6">
        <v>53.09</v>
      </c>
      <c r="R7436" s="6">
        <v>24</v>
      </c>
      <c r="S7436" s="5">
        <v>66</v>
      </c>
      <c r="T7436" s="7">
        <v>145.245</v>
      </c>
      <c r="U7436" s="5">
        <v>5</v>
      </c>
      <c r="V7436" s="7">
        <v>0.55500000000000005</v>
      </c>
      <c r="W7436" s="6">
        <v>19.14</v>
      </c>
      <c r="X7436" s="6">
        <v>19.45</v>
      </c>
      <c r="Y7436" s="6">
        <v>20.010000000000002</v>
      </c>
      <c r="Z7436" s="5">
        <v>19.899999999999999</v>
      </c>
      <c r="AA7436" s="6">
        <v>56.32</v>
      </c>
      <c r="AB7436" s="7">
        <v>21.597999999999999</v>
      </c>
      <c r="AC7436" s="2"/>
    </row>
    <row r="7437" spans="1:29" ht="91" x14ac:dyDescent="0.15">
      <c r="A7437" s="3">
        <f>DATE(2004,10,27)</f>
        <v>38287</v>
      </c>
      <c r="B7437" s="2"/>
      <c r="C7437" s="2" t="s">
        <v>30</v>
      </c>
      <c r="D7437" s="2" t="s">
        <v>22433</v>
      </c>
      <c r="E7437" s="2" t="s">
        <v>22434</v>
      </c>
      <c r="F7437" s="4">
        <v>2836</v>
      </c>
      <c r="G7437" s="2" t="s">
        <v>130</v>
      </c>
      <c r="H7437" s="2" t="s">
        <v>34</v>
      </c>
      <c r="I7437" s="2" t="s">
        <v>22435</v>
      </c>
      <c r="J7437" s="2" t="s">
        <v>129</v>
      </c>
      <c r="K7437" s="2" t="s">
        <v>130</v>
      </c>
      <c r="L7437" s="2" t="s">
        <v>34</v>
      </c>
      <c r="M7437" s="7">
        <v>16.984999999999999</v>
      </c>
      <c r="N7437" s="5">
        <v>0.3</v>
      </c>
      <c r="O7437" s="6">
        <v>0.38</v>
      </c>
      <c r="P7437" s="2" t="s">
        <v>22436</v>
      </c>
      <c r="Q7437" s="2"/>
      <c r="R7437" s="2"/>
      <c r="S7437" s="5">
        <v>-1.2</v>
      </c>
      <c r="T7437" s="7">
        <v>-1.179</v>
      </c>
      <c r="U7437" s="5">
        <v>0.3</v>
      </c>
      <c r="V7437" s="6">
        <v>-0.11</v>
      </c>
      <c r="W7437" s="6">
        <v>1.39</v>
      </c>
      <c r="X7437" s="6">
        <v>1.58</v>
      </c>
      <c r="Y7437" s="6">
        <v>1.27</v>
      </c>
      <c r="Z7437" s="6">
        <v>1.33</v>
      </c>
      <c r="AA7437" s="6">
        <v>11.58</v>
      </c>
      <c r="AB7437" s="2" t="s">
        <v>86</v>
      </c>
      <c r="AC7437" s="6">
        <v>0.67</v>
      </c>
    </row>
    <row r="7438" spans="1:29" ht="169" x14ac:dyDescent="0.15">
      <c r="A7438" s="3">
        <f>DATE(2004,10,27)</f>
        <v>38287</v>
      </c>
      <c r="B7438" s="3">
        <f>DATE(2005,5,6)</f>
        <v>38478</v>
      </c>
      <c r="C7438" s="2" t="s">
        <v>95</v>
      </c>
      <c r="D7438" s="2" t="s">
        <v>22437</v>
      </c>
      <c r="E7438" s="2" t="s">
        <v>265</v>
      </c>
      <c r="F7438" s="4">
        <v>6022</v>
      </c>
      <c r="G7438" s="2" t="s">
        <v>37</v>
      </c>
      <c r="H7438" s="2" t="s">
        <v>34</v>
      </c>
      <c r="I7438" s="2" t="s">
        <v>19850</v>
      </c>
      <c r="J7438" s="2" t="s">
        <v>159</v>
      </c>
      <c r="K7438" s="2" t="s">
        <v>37</v>
      </c>
      <c r="L7438" s="2" t="s">
        <v>34</v>
      </c>
      <c r="M7438" s="12">
        <v>1991.5440000000001</v>
      </c>
      <c r="N7438" s="5">
        <v>31.7</v>
      </c>
      <c r="O7438" s="5">
        <v>30.4</v>
      </c>
      <c r="P7438" s="2" t="s">
        <v>22438</v>
      </c>
      <c r="Q7438" s="6">
        <v>100</v>
      </c>
      <c r="R7438" s="2"/>
      <c r="S7438" s="5">
        <v>3.2</v>
      </c>
      <c r="T7438" s="2"/>
      <c r="U7438" s="5">
        <v>16.2</v>
      </c>
      <c r="V7438" s="6">
        <v>1.33</v>
      </c>
      <c r="W7438" s="5">
        <v>34.6</v>
      </c>
      <c r="X7438" s="4">
        <v>34</v>
      </c>
      <c r="Y7438" s="4">
        <v>34</v>
      </c>
      <c r="Z7438" s="6">
        <v>38.96</v>
      </c>
      <c r="AA7438" s="6">
        <v>2.27</v>
      </c>
      <c r="AB7438" s="7">
        <v>40.993000000000002</v>
      </c>
      <c r="AC7438" s="2"/>
    </row>
    <row r="7439" spans="1:29" ht="130" x14ac:dyDescent="0.15">
      <c r="A7439" s="3">
        <f>DATE(2004,10,27)</f>
        <v>38287</v>
      </c>
      <c r="B7439" s="2"/>
      <c r="C7439" s="2" t="s">
        <v>30</v>
      </c>
      <c r="D7439" s="2" t="s">
        <v>19279</v>
      </c>
      <c r="E7439" s="2" t="s">
        <v>92</v>
      </c>
      <c r="F7439" s="4">
        <v>6798</v>
      </c>
      <c r="G7439" s="2" t="s">
        <v>53</v>
      </c>
      <c r="H7439" s="2" t="s">
        <v>34</v>
      </c>
      <c r="I7439" s="2" t="s">
        <v>22439</v>
      </c>
      <c r="J7439" s="2" t="s">
        <v>1620</v>
      </c>
      <c r="K7439" s="2" t="s">
        <v>53</v>
      </c>
      <c r="L7439" s="2" t="s">
        <v>34</v>
      </c>
      <c r="M7439" s="2"/>
      <c r="N7439" s="2"/>
      <c r="O7439" s="2"/>
      <c r="P7439" s="2" t="s">
        <v>22440</v>
      </c>
      <c r="Q7439" s="2"/>
      <c r="R7439" s="2"/>
      <c r="S7439" s="5">
        <v>-56.6</v>
      </c>
      <c r="T7439" s="7">
        <v>18.204999999999998</v>
      </c>
      <c r="U7439" s="5">
        <v>10.4</v>
      </c>
      <c r="V7439" s="6">
        <v>-3.13</v>
      </c>
      <c r="W7439" s="6">
        <v>6.04</v>
      </c>
      <c r="X7439" s="6">
        <v>6.23</v>
      </c>
      <c r="Y7439" s="6">
        <v>6.15</v>
      </c>
      <c r="Z7439" s="6">
        <v>6.35</v>
      </c>
      <c r="AA7439" s="6">
        <v>23.68</v>
      </c>
      <c r="AB7439" s="2" t="s">
        <v>86</v>
      </c>
      <c r="AC7439" s="2"/>
    </row>
    <row r="7440" spans="1:29" ht="195" x14ac:dyDescent="0.15">
      <c r="A7440" s="3">
        <f>DATE(2004,10,27)</f>
        <v>38287</v>
      </c>
      <c r="B7440" s="2"/>
      <c r="C7440" s="2" t="s">
        <v>30</v>
      </c>
      <c r="D7440" s="2" t="s">
        <v>17030</v>
      </c>
      <c r="E7440" s="2" t="s">
        <v>17031</v>
      </c>
      <c r="F7440" s="4">
        <v>6799</v>
      </c>
      <c r="G7440" s="2" t="s">
        <v>53</v>
      </c>
      <c r="H7440" s="2" t="s">
        <v>34</v>
      </c>
      <c r="I7440" s="2" t="s">
        <v>51</v>
      </c>
      <c r="J7440" s="2" t="s">
        <v>52</v>
      </c>
      <c r="K7440" s="2" t="s">
        <v>53</v>
      </c>
      <c r="L7440" s="2" t="s">
        <v>34</v>
      </c>
      <c r="M7440" s="2"/>
      <c r="N7440" s="2"/>
      <c r="O7440" s="2"/>
      <c r="P7440" s="2" t="s">
        <v>22441</v>
      </c>
      <c r="Q7440" s="2"/>
      <c r="R7440" s="6">
        <v>11</v>
      </c>
      <c r="S7440" s="5">
        <v>2.2999999999999998</v>
      </c>
      <c r="T7440" s="6">
        <v>16.850000000000001</v>
      </c>
      <c r="U7440" s="5">
        <v>5.2</v>
      </c>
      <c r="V7440" s="6">
        <v>0.81</v>
      </c>
      <c r="W7440" s="6">
        <v>7.01</v>
      </c>
      <c r="X7440" s="6">
        <v>8.25</v>
      </c>
      <c r="Y7440" s="5">
        <v>8.9</v>
      </c>
      <c r="Z7440" s="5">
        <v>9.1</v>
      </c>
      <c r="AA7440" s="6">
        <v>6.45</v>
      </c>
      <c r="AB7440" s="7">
        <v>7.6550000000000002</v>
      </c>
      <c r="AC7440" s="2"/>
    </row>
    <row r="7441" spans="1:29" ht="91" x14ac:dyDescent="0.15">
      <c r="A7441" s="3">
        <f>DATE(2004,10,29)</f>
        <v>38289</v>
      </c>
      <c r="B7441" s="2"/>
      <c r="C7441" s="2" t="s">
        <v>56</v>
      </c>
      <c r="D7441" s="2" t="s">
        <v>4678</v>
      </c>
      <c r="E7441" s="2" t="s">
        <v>4679</v>
      </c>
      <c r="F7441" s="4">
        <v>7372</v>
      </c>
      <c r="G7441" s="2" t="s">
        <v>551</v>
      </c>
      <c r="H7441" s="2" t="s">
        <v>34</v>
      </c>
      <c r="I7441" s="2" t="s">
        <v>22442</v>
      </c>
      <c r="J7441" s="2" t="s">
        <v>22443</v>
      </c>
      <c r="K7441" s="2" t="s">
        <v>551</v>
      </c>
      <c r="L7441" s="2" t="s">
        <v>34</v>
      </c>
      <c r="M7441" s="2"/>
      <c r="N7441" s="2"/>
      <c r="O7441" s="2"/>
      <c r="P7441" s="2" t="s">
        <v>22444</v>
      </c>
      <c r="Q7441" s="2"/>
      <c r="R7441" s="6">
        <v>6</v>
      </c>
      <c r="S7441" s="5">
        <v>1.3</v>
      </c>
      <c r="T7441" s="7">
        <v>0.35399999999999998</v>
      </c>
      <c r="U7441" s="5">
        <v>4</v>
      </c>
      <c r="V7441" s="6">
        <v>0.68</v>
      </c>
      <c r="W7441" s="5">
        <v>4.5</v>
      </c>
      <c r="X7441" s="6">
        <v>4.57</v>
      </c>
      <c r="Y7441" s="6">
        <v>4.5199999999999996</v>
      </c>
      <c r="Z7441" s="6">
        <v>4.5599999999999996</v>
      </c>
      <c r="AA7441" s="6">
        <v>1.86</v>
      </c>
      <c r="AB7441" s="2" t="s">
        <v>86</v>
      </c>
      <c r="AC7441" s="2"/>
    </row>
    <row r="7442" spans="1:29" ht="130" x14ac:dyDescent="0.15">
      <c r="A7442" s="3">
        <f>DATE(2004,10,29)</f>
        <v>38289</v>
      </c>
      <c r="B7442" s="3">
        <f>DATE(2004,12,14)</f>
        <v>38335</v>
      </c>
      <c r="C7442" s="2" t="s">
        <v>95</v>
      </c>
      <c r="D7442" s="2" t="s">
        <v>10519</v>
      </c>
      <c r="E7442" s="2" t="s">
        <v>10520</v>
      </c>
      <c r="F7442" s="4">
        <v>3089</v>
      </c>
      <c r="G7442" s="2" t="s">
        <v>447</v>
      </c>
      <c r="H7442" s="2" t="s">
        <v>34</v>
      </c>
      <c r="I7442" s="2" t="s">
        <v>22445</v>
      </c>
      <c r="J7442" s="2" t="s">
        <v>1072</v>
      </c>
      <c r="K7442" s="2" t="s">
        <v>53</v>
      </c>
      <c r="L7442" s="2" t="s">
        <v>34</v>
      </c>
      <c r="M7442" s="2"/>
      <c r="N7442" s="2"/>
      <c r="O7442" s="2"/>
      <c r="P7442" s="2" t="s">
        <v>22446</v>
      </c>
      <c r="Q7442" s="6">
        <v>100</v>
      </c>
      <c r="R7442" s="6">
        <v>2.25</v>
      </c>
      <c r="S7442" s="5">
        <v>5.3</v>
      </c>
      <c r="T7442" s="7">
        <v>27.094999999999999</v>
      </c>
      <c r="U7442" s="5">
        <v>0.7</v>
      </c>
      <c r="V7442" s="6">
        <v>0.67</v>
      </c>
      <c r="W7442" s="6">
        <v>2.1800000000000002</v>
      </c>
      <c r="X7442" s="6">
        <v>2.1800000000000002</v>
      </c>
      <c r="Y7442" s="5">
        <v>2.2000000000000002</v>
      </c>
      <c r="Z7442" s="5">
        <v>2.2000000000000002</v>
      </c>
      <c r="AA7442" s="6">
        <v>7.87</v>
      </c>
      <c r="AB7442" s="7">
        <v>8.3640000000000008</v>
      </c>
      <c r="AC7442" s="2"/>
    </row>
    <row r="7443" spans="1:29" ht="221" x14ac:dyDescent="0.15">
      <c r="A7443" s="3">
        <f>DATE(2004,11,1)</f>
        <v>38292</v>
      </c>
      <c r="B7443" s="3">
        <f>DATE(2005,7,1)</f>
        <v>38534</v>
      </c>
      <c r="C7443" s="2" t="s">
        <v>95</v>
      </c>
      <c r="D7443" s="2" t="s">
        <v>22447</v>
      </c>
      <c r="E7443" s="2" t="s">
        <v>15700</v>
      </c>
      <c r="F7443" s="4">
        <v>5171</v>
      </c>
      <c r="G7443" s="2" t="s">
        <v>593</v>
      </c>
      <c r="H7443" s="2" t="s">
        <v>34</v>
      </c>
      <c r="I7443" s="2" t="s">
        <v>22448</v>
      </c>
      <c r="J7443" s="2" t="s">
        <v>22449</v>
      </c>
      <c r="K7443" s="2" t="s">
        <v>148</v>
      </c>
      <c r="L7443" s="2" t="s">
        <v>34</v>
      </c>
      <c r="M7443" s="12">
        <v>1300.7090000000001</v>
      </c>
      <c r="N7443" s="6">
        <v>57.21</v>
      </c>
      <c r="O7443" s="5">
        <v>57.5</v>
      </c>
      <c r="P7443" s="2" t="s">
        <v>22450</v>
      </c>
      <c r="Q7443" s="6">
        <v>100</v>
      </c>
      <c r="R7443" s="6">
        <v>61.58</v>
      </c>
      <c r="S7443" s="5">
        <v>75.400000000000006</v>
      </c>
      <c r="T7443" s="7">
        <v>187.22200000000001</v>
      </c>
      <c r="U7443" s="5">
        <v>16.899999999999999</v>
      </c>
      <c r="V7443" s="6">
        <v>2.66</v>
      </c>
      <c r="W7443" s="6">
        <v>52.29</v>
      </c>
      <c r="X7443" s="6">
        <v>50.76</v>
      </c>
      <c r="Y7443" s="5">
        <v>57.6</v>
      </c>
      <c r="Z7443" s="6">
        <v>58.74</v>
      </c>
      <c r="AA7443" s="6">
        <v>28.32</v>
      </c>
      <c r="AB7443" s="7">
        <v>17.850999999999999</v>
      </c>
      <c r="AC7443" s="6">
        <v>17.690000000000001</v>
      </c>
    </row>
    <row r="7444" spans="1:29" ht="117" x14ac:dyDescent="0.15">
      <c r="A7444" s="3">
        <f>DATE(2004,11,1)</f>
        <v>38292</v>
      </c>
      <c r="B7444" s="3">
        <f>DATE(2005,7,1)</f>
        <v>38534</v>
      </c>
      <c r="C7444" s="2" t="s">
        <v>95</v>
      </c>
      <c r="D7444" s="2" t="s">
        <v>22451</v>
      </c>
      <c r="E7444" s="2" t="s">
        <v>22452</v>
      </c>
      <c r="F7444" s="4">
        <v>1799</v>
      </c>
      <c r="G7444" s="2" t="s">
        <v>341</v>
      </c>
      <c r="H7444" s="2" t="s">
        <v>34</v>
      </c>
      <c r="I7444" s="2" t="s">
        <v>22448</v>
      </c>
      <c r="J7444" s="2" t="s">
        <v>22449</v>
      </c>
      <c r="K7444" s="2" t="s">
        <v>148</v>
      </c>
      <c r="L7444" s="2" t="s">
        <v>34</v>
      </c>
      <c r="M7444" s="12">
        <v>1301.8389999999999</v>
      </c>
      <c r="N7444" s="6">
        <v>57.21</v>
      </c>
      <c r="O7444" s="5">
        <v>57.5</v>
      </c>
      <c r="P7444" s="2" t="s">
        <v>22453</v>
      </c>
      <c r="Q7444" s="6">
        <v>100</v>
      </c>
      <c r="R7444" s="6">
        <v>43.31</v>
      </c>
      <c r="S7444" s="5">
        <v>25.4</v>
      </c>
      <c r="T7444" s="7">
        <v>189.251</v>
      </c>
      <c r="U7444" s="5">
        <v>6.9</v>
      </c>
      <c r="V7444" s="6">
        <v>2.13</v>
      </c>
      <c r="W7444" s="6">
        <v>32.29</v>
      </c>
      <c r="X7444" s="5">
        <v>31.4</v>
      </c>
      <c r="Y7444" s="5">
        <v>42.6</v>
      </c>
      <c r="Z7444" s="6">
        <v>42.52</v>
      </c>
      <c r="AA7444" s="6">
        <v>11.63</v>
      </c>
      <c r="AB7444" s="7">
        <v>8.6</v>
      </c>
      <c r="AC7444" s="6">
        <v>17.690000000000001</v>
      </c>
    </row>
    <row r="7445" spans="1:29" ht="104" x14ac:dyDescent="0.15">
      <c r="A7445" s="3">
        <f>DATE(2004,11,3)</f>
        <v>38294</v>
      </c>
      <c r="B7445" s="3">
        <f>DATE(2005,10,3)</f>
        <v>38628</v>
      </c>
      <c r="C7445" s="2" t="s">
        <v>95</v>
      </c>
      <c r="D7445" s="2" t="s">
        <v>22454</v>
      </c>
      <c r="E7445" s="2" t="s">
        <v>22455</v>
      </c>
      <c r="F7445" s="4">
        <v>7993</v>
      </c>
      <c r="G7445" s="2" t="s">
        <v>364</v>
      </c>
      <c r="H7445" s="2" t="s">
        <v>34</v>
      </c>
      <c r="I7445" s="2" t="s">
        <v>20209</v>
      </c>
      <c r="J7445" s="2" t="s">
        <v>20210</v>
      </c>
      <c r="K7445" s="2" t="s">
        <v>364</v>
      </c>
      <c r="L7445" s="2" t="s">
        <v>34</v>
      </c>
      <c r="M7445" s="12">
        <v>1618.443</v>
      </c>
      <c r="N7445" s="6">
        <v>41.44</v>
      </c>
      <c r="O7445" s="6">
        <v>52.22</v>
      </c>
      <c r="P7445" s="2" t="s">
        <v>22456</v>
      </c>
      <c r="Q7445" s="6">
        <v>100</v>
      </c>
      <c r="R7445" s="6">
        <v>47</v>
      </c>
      <c r="S7445" s="5">
        <v>57.3</v>
      </c>
      <c r="T7445" s="7">
        <v>264.98500000000001</v>
      </c>
      <c r="U7445" s="5">
        <v>11.9</v>
      </c>
      <c r="V7445" s="6">
        <v>1.95</v>
      </c>
      <c r="W7445" s="6">
        <v>42.32</v>
      </c>
      <c r="X7445" s="6">
        <v>40.380000000000003</v>
      </c>
      <c r="Y7445" s="6">
        <v>40.75</v>
      </c>
      <c r="Z7445" s="6">
        <v>45.32</v>
      </c>
      <c r="AA7445" s="6">
        <v>29.49</v>
      </c>
      <c r="AB7445" s="7">
        <v>10.672000000000001</v>
      </c>
      <c r="AC7445" s="5">
        <v>83.2</v>
      </c>
    </row>
    <row r="7446" spans="1:29" ht="104" x14ac:dyDescent="0.15">
      <c r="A7446" s="3">
        <f>DATE(2004,11,3)</f>
        <v>38294</v>
      </c>
      <c r="B7446" s="2"/>
      <c r="C7446" s="2" t="s">
        <v>7330</v>
      </c>
      <c r="D7446" s="2" t="s">
        <v>22457</v>
      </c>
      <c r="E7446" s="2" t="s">
        <v>22458</v>
      </c>
      <c r="F7446" s="4">
        <v>6282</v>
      </c>
      <c r="G7446" s="2" t="s">
        <v>53</v>
      </c>
      <c r="H7446" s="2" t="s">
        <v>34</v>
      </c>
      <c r="I7446" s="2" t="s">
        <v>22459</v>
      </c>
      <c r="J7446" s="2" t="s">
        <v>1072</v>
      </c>
      <c r="K7446" s="2" t="s">
        <v>53</v>
      </c>
      <c r="L7446" s="2" t="s">
        <v>34</v>
      </c>
      <c r="M7446" s="2"/>
      <c r="N7446" s="2"/>
      <c r="O7446" s="2"/>
      <c r="P7446" s="2" t="s">
        <v>22460</v>
      </c>
      <c r="Q7446" s="2"/>
      <c r="R7446" s="6">
        <v>1.25</v>
      </c>
      <c r="S7446" s="5">
        <v>0.2</v>
      </c>
      <c r="T7446" s="2"/>
      <c r="U7446" s="5">
        <v>0.9</v>
      </c>
      <c r="V7446" s="6">
        <v>34.99</v>
      </c>
      <c r="W7446" s="6">
        <v>1.25</v>
      </c>
      <c r="X7446" s="6">
        <v>1.17</v>
      </c>
      <c r="Y7446" s="6">
        <v>1.17</v>
      </c>
      <c r="Z7446" s="5">
        <v>1.3</v>
      </c>
      <c r="AA7446" s="6">
        <v>3.2</v>
      </c>
      <c r="AB7446" s="2" t="s">
        <v>47</v>
      </c>
      <c r="AC7446" s="2"/>
    </row>
    <row r="7447" spans="1:29" ht="104" x14ac:dyDescent="0.15">
      <c r="A7447" s="3">
        <f>DATE(2004,11,4)</f>
        <v>38295</v>
      </c>
      <c r="B7447" s="3">
        <f>DATE(2005,1,31)</f>
        <v>38383</v>
      </c>
      <c r="C7447" s="2" t="s">
        <v>95</v>
      </c>
      <c r="D7447" s="2" t="s">
        <v>13253</v>
      </c>
      <c r="E7447" s="2" t="s">
        <v>13254</v>
      </c>
      <c r="F7447" s="4">
        <v>8051</v>
      </c>
      <c r="G7447" s="2" t="s">
        <v>454</v>
      </c>
      <c r="H7447" s="2" t="s">
        <v>34</v>
      </c>
      <c r="I7447" s="2" t="s">
        <v>22461</v>
      </c>
      <c r="J7447" s="2" t="s">
        <v>22462</v>
      </c>
      <c r="K7447" s="2" t="s">
        <v>690</v>
      </c>
      <c r="L7447" s="2" t="s">
        <v>34</v>
      </c>
      <c r="M7447" s="2"/>
      <c r="N7447" s="2"/>
      <c r="O7447" s="2"/>
      <c r="P7447" s="2" t="s">
        <v>22463</v>
      </c>
      <c r="Q7447" s="6">
        <v>100</v>
      </c>
      <c r="R7447" s="6">
        <v>18.5</v>
      </c>
      <c r="S7447" s="5">
        <v>4.3</v>
      </c>
      <c r="T7447" s="7">
        <v>27.199000000000002</v>
      </c>
      <c r="U7447" s="5">
        <v>5.8</v>
      </c>
      <c r="V7447" s="6">
        <v>0.62</v>
      </c>
      <c r="W7447" s="4">
        <v>14</v>
      </c>
      <c r="X7447" s="6">
        <v>14.95</v>
      </c>
      <c r="Y7447" s="6">
        <v>14.95</v>
      </c>
      <c r="Z7447" s="6">
        <v>18.149999999999999</v>
      </c>
      <c r="AA7447" s="6">
        <v>6.44</v>
      </c>
      <c r="AB7447" s="7">
        <v>13.327999999999999</v>
      </c>
      <c r="AC7447" s="2"/>
    </row>
    <row r="7448" spans="1:29" ht="65" x14ac:dyDescent="0.15">
      <c r="A7448" s="3">
        <f>DATE(2004,11,4)</f>
        <v>38295</v>
      </c>
      <c r="B7448" s="2"/>
      <c r="C7448" s="2" t="s">
        <v>30</v>
      </c>
      <c r="D7448" s="2" t="s">
        <v>22464</v>
      </c>
      <c r="E7448" s="2" t="s">
        <v>15879</v>
      </c>
      <c r="F7448" s="4">
        <v>7375</v>
      </c>
      <c r="G7448" s="2" t="s">
        <v>223</v>
      </c>
      <c r="H7448" s="2" t="s">
        <v>34</v>
      </c>
      <c r="I7448" s="2" t="s">
        <v>4179</v>
      </c>
      <c r="J7448" s="2" t="s">
        <v>15239</v>
      </c>
      <c r="K7448" s="2" t="s">
        <v>45</v>
      </c>
      <c r="L7448" s="2" t="s">
        <v>34</v>
      </c>
      <c r="M7448" s="12">
        <v>61692.267</v>
      </c>
      <c r="N7448" s="6">
        <v>37.39</v>
      </c>
      <c r="O7448" s="6">
        <v>36.950000000000003</v>
      </c>
      <c r="P7448" s="2" t="s">
        <v>22465</v>
      </c>
      <c r="Q7448" s="2"/>
      <c r="R7448" s="2"/>
      <c r="S7448" s="5">
        <v>4.3</v>
      </c>
      <c r="T7448" s="6">
        <v>8.5399999999999991</v>
      </c>
      <c r="U7448" s="5">
        <v>5.7</v>
      </c>
      <c r="V7448" s="6">
        <v>0.2</v>
      </c>
      <c r="W7448" s="6">
        <v>13.95</v>
      </c>
      <c r="X7448" s="6">
        <v>14.59</v>
      </c>
      <c r="Y7448" s="6">
        <v>16.059999999999999</v>
      </c>
      <c r="Z7448" s="6">
        <v>16.07</v>
      </c>
      <c r="AA7448" s="6">
        <v>25.23</v>
      </c>
      <c r="AB7448" s="2" t="s">
        <v>47</v>
      </c>
      <c r="AC7448" s="8">
        <v>2453.1999999999998</v>
      </c>
    </row>
    <row r="7449" spans="1:29" ht="91" x14ac:dyDescent="0.15">
      <c r="A7449" s="3">
        <f>DATE(2004,11,5)</f>
        <v>38296</v>
      </c>
      <c r="B7449" s="3">
        <f>DATE(2005,5,2)</f>
        <v>38474</v>
      </c>
      <c r="C7449" s="2" t="s">
        <v>95</v>
      </c>
      <c r="D7449" s="2" t="s">
        <v>22466</v>
      </c>
      <c r="E7449" s="2" t="s">
        <v>1181</v>
      </c>
      <c r="F7449" s="4">
        <v>6022</v>
      </c>
      <c r="G7449" s="2" t="s">
        <v>37</v>
      </c>
      <c r="H7449" s="2" t="s">
        <v>34</v>
      </c>
      <c r="I7449" s="2" t="s">
        <v>22467</v>
      </c>
      <c r="J7449" s="2" t="s">
        <v>1181</v>
      </c>
      <c r="K7449" s="2" t="s">
        <v>37</v>
      </c>
      <c r="L7449" s="2" t="s">
        <v>34</v>
      </c>
      <c r="M7449" s="2"/>
      <c r="N7449" s="2"/>
      <c r="O7449" s="2"/>
      <c r="P7449" s="2" t="s">
        <v>22468</v>
      </c>
      <c r="Q7449" s="6">
        <v>100</v>
      </c>
      <c r="R7449" s="2"/>
      <c r="S7449" s="2"/>
      <c r="T7449" s="2"/>
      <c r="U7449" s="2"/>
      <c r="V7449" s="2"/>
      <c r="W7449" s="6">
        <v>2.15</v>
      </c>
      <c r="X7449" s="6">
        <v>2.15</v>
      </c>
      <c r="Y7449" s="6">
        <v>2.15</v>
      </c>
      <c r="Z7449" s="5">
        <v>2.4</v>
      </c>
      <c r="AA7449" s="6">
        <v>4.75</v>
      </c>
      <c r="AB7449" s="2" t="s">
        <v>47</v>
      </c>
      <c r="AC7449" s="2"/>
    </row>
    <row r="7450" spans="1:29" ht="130" x14ac:dyDescent="0.15">
      <c r="A7450" s="3">
        <f>DATE(2004,11,8)</f>
        <v>38299</v>
      </c>
      <c r="B7450" s="3">
        <f>DATE(2005,4,22)</f>
        <v>38464</v>
      </c>
      <c r="C7450" s="2" t="s">
        <v>95</v>
      </c>
      <c r="D7450" s="2" t="s">
        <v>22469</v>
      </c>
      <c r="E7450" s="2" t="s">
        <v>1181</v>
      </c>
      <c r="F7450" s="4">
        <v>6021</v>
      </c>
      <c r="G7450" s="2" t="s">
        <v>37</v>
      </c>
      <c r="H7450" s="2" t="s">
        <v>34</v>
      </c>
      <c r="I7450" s="2" t="s">
        <v>22470</v>
      </c>
      <c r="J7450" s="2" t="s">
        <v>22471</v>
      </c>
      <c r="K7450" s="2" t="s">
        <v>33</v>
      </c>
      <c r="L7450" s="2" t="s">
        <v>34</v>
      </c>
      <c r="M7450" s="7">
        <v>103.253</v>
      </c>
      <c r="N7450" s="6">
        <v>21.25</v>
      </c>
      <c r="O7450" s="6">
        <v>21.45</v>
      </c>
      <c r="P7450" s="2" t="s">
        <v>22472</v>
      </c>
      <c r="Q7450" s="6">
        <v>100</v>
      </c>
      <c r="R7450" s="2"/>
      <c r="S7450" s="5">
        <v>1.6</v>
      </c>
      <c r="T7450" s="2"/>
      <c r="U7450" s="5">
        <v>6.5</v>
      </c>
      <c r="V7450" s="6">
        <v>0.76</v>
      </c>
      <c r="W7450" s="5">
        <v>9.9</v>
      </c>
      <c r="X7450" s="6">
        <v>10.07</v>
      </c>
      <c r="Y7450" s="5">
        <v>9.6999999999999993</v>
      </c>
      <c r="Z7450" s="5">
        <v>9.8000000000000007</v>
      </c>
      <c r="AA7450" s="6">
        <v>2.19</v>
      </c>
      <c r="AB7450" s="7">
        <v>19.026</v>
      </c>
      <c r="AC7450" s="2"/>
    </row>
    <row r="7451" spans="1:29" ht="117" x14ac:dyDescent="0.15">
      <c r="A7451" s="3">
        <f>DATE(2004,11,8)</f>
        <v>38299</v>
      </c>
      <c r="B7451" s="3">
        <f>DATE(2005,4,1)</f>
        <v>38443</v>
      </c>
      <c r="C7451" s="2" t="s">
        <v>95</v>
      </c>
      <c r="D7451" s="2" t="s">
        <v>22473</v>
      </c>
      <c r="E7451" s="2" t="s">
        <v>22474</v>
      </c>
      <c r="F7451" s="4">
        <v>6035</v>
      </c>
      <c r="G7451" s="2" t="s">
        <v>33</v>
      </c>
      <c r="H7451" s="2" t="s">
        <v>34</v>
      </c>
      <c r="I7451" s="2" t="s">
        <v>22475</v>
      </c>
      <c r="J7451" s="2" t="s">
        <v>159</v>
      </c>
      <c r="K7451" s="2" t="s">
        <v>37</v>
      </c>
      <c r="L7451" s="2" t="s">
        <v>34</v>
      </c>
      <c r="M7451" s="7">
        <v>291.48200000000003</v>
      </c>
      <c r="N7451" s="6">
        <v>29.85</v>
      </c>
      <c r="O7451" s="4">
        <v>30</v>
      </c>
      <c r="P7451" s="2" t="s">
        <v>22476</v>
      </c>
      <c r="Q7451" s="6">
        <v>100</v>
      </c>
      <c r="R7451" s="6">
        <v>35</v>
      </c>
      <c r="S7451" s="5">
        <v>1.7</v>
      </c>
      <c r="T7451" s="7">
        <v>0.79300000000000004</v>
      </c>
      <c r="U7451" s="5">
        <v>22.8</v>
      </c>
      <c r="V7451" s="6">
        <v>1.05</v>
      </c>
      <c r="W7451" s="4">
        <v>26</v>
      </c>
      <c r="X7451" s="5">
        <v>29.5</v>
      </c>
      <c r="Y7451" s="6">
        <v>32.479999999999997</v>
      </c>
      <c r="Z7451" s="6">
        <v>32.409999999999997</v>
      </c>
      <c r="AA7451" s="6">
        <v>1.5</v>
      </c>
      <c r="AB7451" s="7">
        <v>3959.2840000000001</v>
      </c>
      <c r="AC7451" s="2"/>
    </row>
    <row r="7452" spans="1:29" ht="104" x14ac:dyDescent="0.15">
      <c r="A7452" s="3">
        <f>DATE(2004,11,8)</f>
        <v>38299</v>
      </c>
      <c r="B7452" s="2"/>
      <c r="C7452" s="2" t="s">
        <v>7330</v>
      </c>
      <c r="D7452" s="2" t="s">
        <v>10740</v>
      </c>
      <c r="E7452" s="2" t="s">
        <v>7529</v>
      </c>
      <c r="F7452" s="4">
        <v>5198</v>
      </c>
      <c r="G7452" s="2" t="s">
        <v>593</v>
      </c>
      <c r="H7452" s="2" t="s">
        <v>34</v>
      </c>
      <c r="I7452" s="2" t="s">
        <v>8066</v>
      </c>
      <c r="J7452" s="2" t="s">
        <v>8067</v>
      </c>
      <c r="K7452" s="2" t="s">
        <v>76</v>
      </c>
      <c r="L7452" s="2" t="s">
        <v>34</v>
      </c>
      <c r="M7452" s="2"/>
      <c r="N7452" s="2"/>
      <c r="O7452" s="2"/>
      <c r="P7452" s="2" t="s">
        <v>22477</v>
      </c>
      <c r="Q7452" s="2"/>
      <c r="R7452" s="6">
        <v>13.25</v>
      </c>
      <c r="S7452" s="5">
        <v>11.9</v>
      </c>
      <c r="T7452" s="7">
        <v>32.259</v>
      </c>
      <c r="U7452" s="5">
        <v>11.4</v>
      </c>
      <c r="V7452" s="6">
        <v>1.52</v>
      </c>
      <c r="W7452" s="6">
        <v>12.25</v>
      </c>
      <c r="X7452" s="5">
        <v>12.3</v>
      </c>
      <c r="Y7452" s="5">
        <v>12.3</v>
      </c>
      <c r="Z7452" s="6">
        <v>12.59</v>
      </c>
      <c r="AA7452" s="6">
        <v>7.79</v>
      </c>
      <c r="AB7452" s="7">
        <v>6.5350000000000001</v>
      </c>
      <c r="AC7452" s="2"/>
    </row>
    <row r="7453" spans="1:29" ht="52" x14ac:dyDescent="0.15">
      <c r="A7453" s="3">
        <f>DATE(2004,11,8)</f>
        <v>38299</v>
      </c>
      <c r="B7453" s="3">
        <f>DATE(2005,2,25)</f>
        <v>38408</v>
      </c>
      <c r="C7453" s="2" t="s">
        <v>95</v>
      </c>
      <c r="D7453" s="2" t="s">
        <v>18619</v>
      </c>
      <c r="E7453" s="2" t="s">
        <v>18620</v>
      </c>
      <c r="F7453" s="4">
        <v>7372</v>
      </c>
      <c r="G7453" s="2" t="s">
        <v>551</v>
      </c>
      <c r="H7453" s="2" t="s">
        <v>34</v>
      </c>
      <c r="I7453" s="2" t="s">
        <v>22478</v>
      </c>
      <c r="J7453" s="2" t="s">
        <v>6519</v>
      </c>
      <c r="K7453" s="2" t="s">
        <v>63</v>
      </c>
      <c r="L7453" s="2" t="s">
        <v>303</v>
      </c>
      <c r="M7453" s="10">
        <v>27936.73</v>
      </c>
      <c r="N7453" s="7">
        <v>3.5350000000000001</v>
      </c>
      <c r="O7453" s="7">
        <v>3.5329999999999999</v>
      </c>
      <c r="P7453" s="2" t="s">
        <v>22479</v>
      </c>
      <c r="Q7453" s="6">
        <v>100</v>
      </c>
      <c r="R7453" s="6">
        <v>2.06</v>
      </c>
      <c r="S7453" s="5">
        <v>-55.1</v>
      </c>
      <c r="T7453" s="7">
        <v>26.414000000000001</v>
      </c>
      <c r="U7453" s="5">
        <v>1.7</v>
      </c>
      <c r="V7453" s="6">
        <v>-0.12</v>
      </c>
      <c r="W7453" s="6">
        <v>1.88</v>
      </c>
      <c r="X7453" s="6">
        <v>2.0699999999999998</v>
      </c>
      <c r="Y7453" s="4">
        <v>2</v>
      </c>
      <c r="Z7453" s="4">
        <v>2</v>
      </c>
      <c r="AA7453" s="6">
        <v>465.48</v>
      </c>
      <c r="AB7453" s="2" t="s">
        <v>86</v>
      </c>
      <c r="AC7453" s="10">
        <v>11302.36</v>
      </c>
    </row>
    <row r="7454" spans="1:29" ht="169" x14ac:dyDescent="0.15">
      <c r="A7454" s="3">
        <f>DATE(2004,11,9)</f>
        <v>38300</v>
      </c>
      <c r="B7454" s="3">
        <f>DATE(2005,5,27)</f>
        <v>38499</v>
      </c>
      <c r="C7454" s="2" t="s">
        <v>95</v>
      </c>
      <c r="D7454" s="2" t="s">
        <v>562</v>
      </c>
      <c r="E7454" s="2" t="s">
        <v>18715</v>
      </c>
      <c r="F7454" s="4">
        <v>3841</v>
      </c>
      <c r="G7454" s="2" t="s">
        <v>226</v>
      </c>
      <c r="H7454" s="2" t="s">
        <v>34</v>
      </c>
      <c r="I7454" s="2" t="s">
        <v>22480</v>
      </c>
      <c r="J7454" s="2" t="s">
        <v>22481</v>
      </c>
      <c r="K7454" s="2" t="s">
        <v>226</v>
      </c>
      <c r="L7454" s="2" t="s">
        <v>34</v>
      </c>
      <c r="M7454" s="10">
        <v>1371.23</v>
      </c>
      <c r="N7454" s="6">
        <v>42.44</v>
      </c>
      <c r="O7454" s="5">
        <v>38.799999999999997</v>
      </c>
      <c r="P7454" s="2" t="s">
        <v>22482</v>
      </c>
      <c r="Q7454" s="6">
        <v>100</v>
      </c>
      <c r="R7454" s="6">
        <v>26.52</v>
      </c>
      <c r="S7454" s="5">
        <v>41.4</v>
      </c>
      <c r="T7454" s="7">
        <v>68.757999999999996</v>
      </c>
      <c r="U7454" s="5">
        <v>3.4</v>
      </c>
      <c r="V7454" s="6">
        <v>0.82</v>
      </c>
      <c r="W7454" s="6">
        <v>25.36</v>
      </c>
      <c r="X7454" s="6">
        <v>24.36</v>
      </c>
      <c r="Y7454" s="5">
        <v>18.100000000000001</v>
      </c>
      <c r="Z7454" s="6">
        <v>24.36</v>
      </c>
      <c r="AA7454" s="6">
        <v>49.61</v>
      </c>
      <c r="AB7454" s="7">
        <v>22.675000000000001</v>
      </c>
      <c r="AC7454" s="6">
        <v>34.090000000000003</v>
      </c>
    </row>
    <row r="7455" spans="1:29" ht="156" x14ac:dyDescent="0.15">
      <c r="A7455" s="3">
        <f>DATE(2004,11,10)</f>
        <v>38301</v>
      </c>
      <c r="B7455" s="2"/>
      <c r="C7455" s="2" t="s">
        <v>30</v>
      </c>
      <c r="D7455" s="2" t="s">
        <v>22483</v>
      </c>
      <c r="E7455" s="2" t="s">
        <v>22484</v>
      </c>
      <c r="F7455" s="4">
        <v>6035</v>
      </c>
      <c r="G7455" s="2" t="s">
        <v>33</v>
      </c>
      <c r="H7455" s="2" t="s">
        <v>34</v>
      </c>
      <c r="I7455" s="2" t="s">
        <v>22485</v>
      </c>
      <c r="J7455" s="2" t="s">
        <v>22486</v>
      </c>
      <c r="K7455" s="2" t="s">
        <v>53</v>
      </c>
      <c r="L7455" s="2" t="s">
        <v>34</v>
      </c>
      <c r="M7455" s="2"/>
      <c r="N7455" s="2"/>
      <c r="O7455" s="2"/>
      <c r="P7455" s="2" t="s">
        <v>22487</v>
      </c>
      <c r="Q7455" s="2"/>
      <c r="R7455" s="6">
        <v>35</v>
      </c>
      <c r="S7455" s="5">
        <v>2</v>
      </c>
      <c r="T7455" s="2"/>
      <c r="U7455" s="5">
        <v>2.5</v>
      </c>
      <c r="V7455" s="7">
        <v>0.17100000000000001</v>
      </c>
      <c r="W7455" s="6">
        <v>27.75</v>
      </c>
      <c r="X7455" s="6">
        <v>28.75</v>
      </c>
      <c r="Y7455" s="6">
        <v>29.75</v>
      </c>
      <c r="Z7455" s="4">
        <v>30</v>
      </c>
      <c r="AA7455" s="6">
        <v>1.1599999999999999</v>
      </c>
      <c r="AB7455" s="7">
        <v>137.54</v>
      </c>
      <c r="AC7455" s="2"/>
    </row>
    <row r="7456" spans="1:29" ht="130" x14ac:dyDescent="0.15">
      <c r="A7456" s="3">
        <f>DATE(2004,11,11)</f>
        <v>38302</v>
      </c>
      <c r="B7456" s="3">
        <f>DATE(2004,12,20)</f>
        <v>38341</v>
      </c>
      <c r="C7456" s="2" t="s">
        <v>95</v>
      </c>
      <c r="D7456" s="2" t="s">
        <v>22488</v>
      </c>
      <c r="E7456" s="2" t="s">
        <v>22489</v>
      </c>
      <c r="F7456" s="4">
        <v>5611</v>
      </c>
      <c r="G7456" s="2" t="s">
        <v>756</v>
      </c>
      <c r="H7456" s="2" t="s">
        <v>34</v>
      </c>
      <c r="I7456" s="2" t="s">
        <v>13915</v>
      </c>
      <c r="J7456" s="2" t="s">
        <v>13916</v>
      </c>
      <c r="K7456" s="2" t="s">
        <v>708</v>
      </c>
      <c r="L7456" s="2" t="s">
        <v>34</v>
      </c>
      <c r="M7456" s="12">
        <v>4089.576</v>
      </c>
      <c r="N7456" s="6">
        <v>34.92</v>
      </c>
      <c r="O7456" s="6">
        <v>34.950000000000003</v>
      </c>
      <c r="P7456" s="2" t="s">
        <v>22490</v>
      </c>
      <c r="Q7456" s="6">
        <v>100</v>
      </c>
      <c r="R7456" s="6">
        <v>19</v>
      </c>
      <c r="S7456" s="5">
        <v>15.1</v>
      </c>
      <c r="T7456" s="7">
        <v>37.139000000000003</v>
      </c>
      <c r="U7456" s="5">
        <v>12.3</v>
      </c>
      <c r="V7456" s="6">
        <v>1.03</v>
      </c>
      <c r="W7456" s="4">
        <v>20</v>
      </c>
      <c r="X7456" s="6">
        <v>20.05</v>
      </c>
      <c r="Y7456" s="6">
        <v>18.850000000000001</v>
      </c>
      <c r="Z7456" s="6">
        <v>18.850000000000001</v>
      </c>
      <c r="AA7456" s="6">
        <v>14.21</v>
      </c>
      <c r="AB7456" s="7">
        <v>15.249000000000001</v>
      </c>
      <c r="AC7456" s="5">
        <v>45.9</v>
      </c>
    </row>
    <row r="7457" spans="1:29" ht="91" x14ac:dyDescent="0.15">
      <c r="A7457" s="3">
        <f>DATE(2004,11,11)</f>
        <v>38302</v>
      </c>
      <c r="B7457" s="2"/>
      <c r="C7457" s="2" t="s">
        <v>30</v>
      </c>
      <c r="D7457" s="2" t="s">
        <v>11277</v>
      </c>
      <c r="E7457" s="2" t="s">
        <v>11278</v>
      </c>
      <c r="F7457" s="4">
        <v>3069</v>
      </c>
      <c r="G7457" s="2" t="s">
        <v>447</v>
      </c>
      <c r="H7457" s="2" t="s">
        <v>34</v>
      </c>
      <c r="I7457" s="2" t="s">
        <v>4438</v>
      </c>
      <c r="J7457" s="2" t="s">
        <v>678</v>
      </c>
      <c r="K7457" s="2" t="s">
        <v>53</v>
      </c>
      <c r="L7457" s="2" t="s">
        <v>34</v>
      </c>
      <c r="M7457" s="2"/>
      <c r="N7457" s="2"/>
      <c r="O7457" s="2"/>
      <c r="P7457" s="2" t="s">
        <v>22491</v>
      </c>
      <c r="Q7457" s="2"/>
      <c r="R7457" s="6">
        <v>17</v>
      </c>
      <c r="S7457" s="5">
        <v>23</v>
      </c>
      <c r="T7457" s="5">
        <v>120</v>
      </c>
      <c r="U7457" s="5">
        <v>8.9</v>
      </c>
      <c r="V7457" s="6">
        <v>0.52</v>
      </c>
      <c r="W7457" s="6">
        <v>14.05</v>
      </c>
      <c r="X7457" s="6">
        <v>14.15</v>
      </c>
      <c r="Y7457" s="5">
        <v>17.5</v>
      </c>
      <c r="Z7457" s="6">
        <v>17.09</v>
      </c>
      <c r="AA7457" s="6">
        <v>45.42</v>
      </c>
      <c r="AB7457" s="7">
        <v>27.655999999999999</v>
      </c>
      <c r="AC7457" s="2"/>
    </row>
    <row r="7458" spans="1:29" ht="169" x14ac:dyDescent="0.15">
      <c r="A7458" s="3">
        <f>DATE(2004,11,11)</f>
        <v>38302</v>
      </c>
      <c r="B7458" s="2"/>
      <c r="C7458" s="2" t="s">
        <v>30</v>
      </c>
      <c r="D7458" s="2" t="s">
        <v>5840</v>
      </c>
      <c r="E7458" s="2" t="s">
        <v>5841</v>
      </c>
      <c r="F7458" s="4">
        <v>7841</v>
      </c>
      <c r="G7458" s="2" t="s">
        <v>42</v>
      </c>
      <c r="H7458" s="2" t="s">
        <v>34</v>
      </c>
      <c r="I7458" s="2" t="s">
        <v>21480</v>
      </c>
      <c r="J7458" s="2" t="s">
        <v>21481</v>
      </c>
      <c r="K7458" s="2" t="s">
        <v>42</v>
      </c>
      <c r="L7458" s="2" t="s">
        <v>34</v>
      </c>
      <c r="M7458" s="7">
        <v>867.52700000000004</v>
      </c>
      <c r="N7458" s="5">
        <v>8.1999999999999993</v>
      </c>
      <c r="O7458" s="6">
        <v>8.7799999999999994</v>
      </c>
      <c r="P7458" s="2" t="s">
        <v>22492</v>
      </c>
      <c r="Q7458" s="2"/>
      <c r="R7458" s="6">
        <v>14.5</v>
      </c>
      <c r="S7458" s="5">
        <v>81.900000000000006</v>
      </c>
      <c r="T7458" s="7">
        <v>170.55600000000001</v>
      </c>
      <c r="U7458" s="5">
        <v>6.4</v>
      </c>
      <c r="V7458" s="6">
        <v>1.3</v>
      </c>
      <c r="W7458" s="5">
        <v>10.8</v>
      </c>
      <c r="X7458" s="5">
        <v>10.7</v>
      </c>
      <c r="Y7458" s="6">
        <v>13.66</v>
      </c>
      <c r="Z7458" s="6">
        <v>13.62</v>
      </c>
      <c r="AA7458" s="6">
        <v>60.91</v>
      </c>
      <c r="AB7458" s="7">
        <v>6.7770000000000001</v>
      </c>
      <c r="AC7458" s="5">
        <v>330.3</v>
      </c>
    </row>
    <row r="7459" spans="1:29" ht="117" x14ac:dyDescent="0.15">
      <c r="A7459" s="3">
        <f>DATE(2004,11,13)</f>
        <v>38304</v>
      </c>
      <c r="B7459" s="3">
        <f>DATE(2014,2,3)</f>
        <v>41673</v>
      </c>
      <c r="C7459" s="2" t="s">
        <v>95</v>
      </c>
      <c r="D7459" s="2" t="s">
        <v>255</v>
      </c>
      <c r="E7459" s="2" t="s">
        <v>2288</v>
      </c>
      <c r="F7459" s="4">
        <v>2899</v>
      </c>
      <c r="G7459" s="2" t="s">
        <v>98</v>
      </c>
      <c r="H7459" s="2" t="s">
        <v>34</v>
      </c>
      <c r="I7459" s="2" t="s">
        <v>1526</v>
      </c>
      <c r="J7459" s="2" t="s">
        <v>302</v>
      </c>
      <c r="K7459" s="2" t="s">
        <v>53</v>
      </c>
      <c r="L7459" s="2" t="s">
        <v>34</v>
      </c>
      <c r="M7459" s="2"/>
      <c r="N7459" s="2"/>
      <c r="O7459" s="2"/>
      <c r="P7459" s="2" t="s">
        <v>22493</v>
      </c>
      <c r="Q7459" s="2"/>
      <c r="R7459" s="2"/>
      <c r="S7459" s="5">
        <v>-99.3</v>
      </c>
      <c r="T7459" s="5">
        <v>241.4</v>
      </c>
      <c r="U7459" s="5">
        <v>-1.1000000000000001</v>
      </c>
      <c r="V7459" s="6">
        <v>-1.46</v>
      </c>
      <c r="W7459" s="6">
        <v>2.25</v>
      </c>
      <c r="X7459" s="5">
        <v>2.2999999999999998</v>
      </c>
      <c r="Y7459" s="6">
        <v>1.52</v>
      </c>
      <c r="Z7459" s="6">
        <v>1.39</v>
      </c>
      <c r="AA7459" s="6">
        <v>65.400000000000006</v>
      </c>
      <c r="AB7459" s="2" t="s">
        <v>47</v>
      </c>
      <c r="AC7459" s="2"/>
    </row>
    <row r="7460" spans="1:29" ht="78" x14ac:dyDescent="0.15">
      <c r="A7460" s="3">
        <f>DATE(2004,11,14)</f>
        <v>38305</v>
      </c>
      <c r="B7460" s="3">
        <f>DATE(2005,1,24)</f>
        <v>38376</v>
      </c>
      <c r="C7460" s="2" t="s">
        <v>95</v>
      </c>
      <c r="D7460" s="2" t="s">
        <v>22464</v>
      </c>
      <c r="E7460" s="2" t="s">
        <v>15879</v>
      </c>
      <c r="F7460" s="4">
        <v>7375</v>
      </c>
      <c r="G7460" s="2" t="s">
        <v>223</v>
      </c>
      <c r="H7460" s="2" t="s">
        <v>34</v>
      </c>
      <c r="I7460" s="2" t="s">
        <v>22494</v>
      </c>
      <c r="J7460" s="2" t="s">
        <v>22495</v>
      </c>
      <c r="K7460" s="2" t="s">
        <v>186</v>
      </c>
      <c r="L7460" s="2" t="s">
        <v>34</v>
      </c>
      <c r="M7460" s="12">
        <v>3521.8809999999999</v>
      </c>
      <c r="N7460" s="5">
        <v>45.1</v>
      </c>
      <c r="O7460" s="5">
        <v>45.1</v>
      </c>
      <c r="P7460" s="2" t="s">
        <v>22496</v>
      </c>
      <c r="Q7460" s="6">
        <v>100</v>
      </c>
      <c r="R7460" s="6">
        <v>18</v>
      </c>
      <c r="S7460" s="5">
        <v>4.3</v>
      </c>
      <c r="T7460" s="6">
        <v>8.5399999999999991</v>
      </c>
      <c r="U7460" s="5">
        <v>5.7</v>
      </c>
      <c r="V7460" s="6">
        <v>0.2</v>
      </c>
      <c r="W7460" s="6">
        <v>16.07</v>
      </c>
      <c r="X7460" s="6">
        <v>16.79</v>
      </c>
      <c r="Y7460" s="6">
        <v>18.12</v>
      </c>
      <c r="Z7460" s="6">
        <v>18.12</v>
      </c>
      <c r="AA7460" s="6">
        <v>25.91</v>
      </c>
      <c r="AB7460" s="7">
        <v>113.79600000000001</v>
      </c>
      <c r="AC7460" s="6">
        <v>25.99</v>
      </c>
    </row>
    <row r="7461" spans="1:29" ht="52" x14ac:dyDescent="0.15">
      <c r="A7461" s="3">
        <f>DATE(2004,11,16)</f>
        <v>38307</v>
      </c>
      <c r="B7461" s="3">
        <f>DATE(2004,11,16)</f>
        <v>38307</v>
      </c>
      <c r="C7461" s="2" t="s">
        <v>95</v>
      </c>
      <c r="D7461" s="2" t="s">
        <v>11162</v>
      </c>
      <c r="E7461" s="2" t="s">
        <v>11163</v>
      </c>
      <c r="F7461" s="4">
        <v>3861</v>
      </c>
      <c r="G7461" s="2" t="s">
        <v>226</v>
      </c>
      <c r="H7461" s="2" t="s">
        <v>34</v>
      </c>
      <c r="I7461" s="2" t="s">
        <v>22497</v>
      </c>
      <c r="J7461" s="2" t="s">
        <v>22498</v>
      </c>
      <c r="K7461" s="2" t="s">
        <v>223</v>
      </c>
      <c r="L7461" s="2" t="s">
        <v>34</v>
      </c>
      <c r="M7461" s="2"/>
      <c r="N7461" s="2"/>
      <c r="O7461" s="2"/>
      <c r="P7461" s="2" t="s">
        <v>22499</v>
      </c>
      <c r="Q7461" s="6">
        <v>96</v>
      </c>
      <c r="R7461" s="2"/>
      <c r="S7461" s="5">
        <v>-21.8</v>
      </c>
      <c r="T7461" s="6">
        <v>47.39</v>
      </c>
      <c r="U7461" s="5">
        <v>3</v>
      </c>
      <c r="V7461" s="6">
        <v>-4.83</v>
      </c>
      <c r="W7461" s="4">
        <v>6</v>
      </c>
      <c r="X7461" s="6">
        <v>6.75</v>
      </c>
      <c r="Y7461" s="6">
        <v>6.75</v>
      </c>
      <c r="Z7461" s="4">
        <v>6</v>
      </c>
      <c r="AA7461" s="2"/>
      <c r="AB7461" s="2" t="s">
        <v>47</v>
      </c>
      <c r="AC7461" s="2"/>
    </row>
    <row r="7462" spans="1:29" ht="130" x14ac:dyDescent="0.15">
      <c r="A7462" s="3">
        <f>DATE(2004,11,16)</f>
        <v>38307</v>
      </c>
      <c r="B7462" s="3">
        <f>DATE(2005,7,1)</f>
        <v>38534</v>
      </c>
      <c r="C7462" s="2" t="s">
        <v>95</v>
      </c>
      <c r="D7462" s="2" t="s">
        <v>22500</v>
      </c>
      <c r="E7462" s="2" t="s">
        <v>265</v>
      </c>
      <c r="F7462" s="4">
        <v>6021</v>
      </c>
      <c r="G7462" s="2" t="s">
        <v>37</v>
      </c>
      <c r="H7462" s="2" t="s">
        <v>34</v>
      </c>
      <c r="I7462" s="2" t="s">
        <v>22501</v>
      </c>
      <c r="J7462" s="2" t="s">
        <v>3246</v>
      </c>
      <c r="K7462" s="2" t="s">
        <v>37</v>
      </c>
      <c r="L7462" s="2" t="s">
        <v>34</v>
      </c>
      <c r="M7462" s="7">
        <v>348.435</v>
      </c>
      <c r="N7462" s="6">
        <v>28.28</v>
      </c>
      <c r="O7462" s="6">
        <v>28.45</v>
      </c>
      <c r="P7462" s="2" t="s">
        <v>22502</v>
      </c>
      <c r="Q7462" s="6">
        <v>100</v>
      </c>
      <c r="R7462" s="6">
        <v>44.06</v>
      </c>
      <c r="S7462" s="5">
        <v>14.3</v>
      </c>
      <c r="T7462" s="2"/>
      <c r="U7462" s="5">
        <v>13.5</v>
      </c>
      <c r="V7462" s="6">
        <v>1.85</v>
      </c>
      <c r="W7462" s="6">
        <v>29.41</v>
      </c>
      <c r="X7462" s="5">
        <v>29.6</v>
      </c>
      <c r="Y7462" s="6">
        <v>38.71</v>
      </c>
      <c r="Z7462" s="6">
        <v>38.96</v>
      </c>
      <c r="AA7462" s="6">
        <v>7.64</v>
      </c>
      <c r="AB7462" s="7">
        <v>30.449000000000002</v>
      </c>
      <c r="AC7462" s="2"/>
    </row>
    <row r="7463" spans="1:29" ht="182" x14ac:dyDescent="0.15">
      <c r="A7463" s="3">
        <f>DATE(2004,11,17)</f>
        <v>38308</v>
      </c>
      <c r="B7463" s="3">
        <f>DATE(2005,3,24)</f>
        <v>38435</v>
      </c>
      <c r="C7463" s="2" t="s">
        <v>95</v>
      </c>
      <c r="D7463" s="2" t="s">
        <v>1060</v>
      </c>
      <c r="E7463" s="2" t="s">
        <v>1061</v>
      </c>
      <c r="F7463" s="4">
        <v>5311</v>
      </c>
      <c r="G7463" s="2" t="s">
        <v>756</v>
      </c>
      <c r="H7463" s="2" t="s">
        <v>34</v>
      </c>
      <c r="I7463" s="2" t="s">
        <v>22503</v>
      </c>
      <c r="J7463" s="2" t="s">
        <v>5427</v>
      </c>
      <c r="K7463" s="2" t="s">
        <v>756</v>
      </c>
      <c r="L7463" s="2" t="s">
        <v>34</v>
      </c>
      <c r="M7463" s="12">
        <v>8053.665</v>
      </c>
      <c r="N7463" s="4">
        <v>109</v>
      </c>
      <c r="O7463" s="6">
        <v>103.71</v>
      </c>
      <c r="P7463" s="2" t="s">
        <v>22504</v>
      </c>
      <c r="Q7463" s="6">
        <v>100</v>
      </c>
      <c r="R7463" s="6">
        <v>50.61</v>
      </c>
      <c r="S7463" s="8">
        <v>1882</v>
      </c>
      <c r="T7463" s="8">
        <v>-1077</v>
      </c>
      <c r="U7463" s="5">
        <v>26.2</v>
      </c>
      <c r="V7463" s="6">
        <v>9.56</v>
      </c>
      <c r="W7463" s="6">
        <v>43.46</v>
      </c>
      <c r="X7463" s="5">
        <v>45.2</v>
      </c>
      <c r="Y7463" s="6">
        <v>52.99</v>
      </c>
      <c r="Z7463" s="5">
        <v>53.8</v>
      </c>
      <c r="AA7463" s="6">
        <v>206.81</v>
      </c>
      <c r="AB7463" s="2" t="s">
        <v>86</v>
      </c>
      <c r="AC7463" s="8">
        <v>2564</v>
      </c>
    </row>
    <row r="7464" spans="1:29" ht="78" x14ac:dyDescent="0.15">
      <c r="A7464" s="3">
        <f>DATE(2004,11,17)</f>
        <v>38308</v>
      </c>
      <c r="B7464" s="3">
        <f>DATE(2005,1,31)</f>
        <v>38383</v>
      </c>
      <c r="C7464" s="2" t="s">
        <v>95</v>
      </c>
      <c r="D7464" s="2" t="s">
        <v>22505</v>
      </c>
      <c r="E7464" s="2" t="s">
        <v>22506</v>
      </c>
      <c r="F7464" s="4">
        <v>3672</v>
      </c>
      <c r="G7464" s="2" t="s">
        <v>137</v>
      </c>
      <c r="H7464" s="2" t="s">
        <v>34</v>
      </c>
      <c r="I7464" s="2" t="s">
        <v>9719</v>
      </c>
      <c r="J7464" s="2" t="s">
        <v>3526</v>
      </c>
      <c r="K7464" s="2" t="s">
        <v>137</v>
      </c>
      <c r="L7464" s="2" t="s">
        <v>34</v>
      </c>
      <c r="M7464" s="7">
        <v>478.42599999999999</v>
      </c>
      <c r="N7464" s="5">
        <v>13.5</v>
      </c>
      <c r="O7464" s="6">
        <v>13.49</v>
      </c>
      <c r="P7464" s="2" t="s">
        <v>22507</v>
      </c>
      <c r="Q7464" s="6">
        <v>100</v>
      </c>
      <c r="R7464" s="6">
        <v>14.3</v>
      </c>
      <c r="S7464" s="5">
        <v>3</v>
      </c>
      <c r="T7464" s="7">
        <v>5.8559999999999999</v>
      </c>
      <c r="U7464" s="5">
        <v>2.2999999999999998</v>
      </c>
      <c r="V7464" s="6">
        <v>1.04</v>
      </c>
      <c r="W7464" s="4">
        <v>13</v>
      </c>
      <c r="X7464" s="6">
        <v>13.07</v>
      </c>
      <c r="Y7464" s="5">
        <v>14.1</v>
      </c>
      <c r="Z7464" s="6">
        <v>14.11</v>
      </c>
      <c r="AA7464" s="6">
        <v>2.7</v>
      </c>
      <c r="AB7464" s="7">
        <v>14.794</v>
      </c>
      <c r="AC7464" s="6">
        <v>47.93</v>
      </c>
    </row>
    <row r="7465" spans="1:29" ht="91" x14ac:dyDescent="0.15">
      <c r="A7465" s="3">
        <f>DATE(2004,11,18)</f>
        <v>38309</v>
      </c>
      <c r="B7465" s="2"/>
      <c r="C7465" s="2" t="s">
        <v>30</v>
      </c>
      <c r="D7465" s="2" t="s">
        <v>2065</v>
      </c>
      <c r="E7465" s="2" t="s">
        <v>2066</v>
      </c>
      <c r="F7465" s="4">
        <v>2834</v>
      </c>
      <c r="G7465" s="2" t="s">
        <v>130</v>
      </c>
      <c r="H7465" s="2" t="s">
        <v>34</v>
      </c>
      <c r="I7465" s="2" t="s">
        <v>16697</v>
      </c>
      <c r="J7465" s="2" t="s">
        <v>150</v>
      </c>
      <c r="K7465" s="2" t="s">
        <v>53</v>
      </c>
      <c r="L7465" s="2" t="s">
        <v>34</v>
      </c>
      <c r="M7465" s="2"/>
      <c r="N7465" s="2"/>
      <c r="O7465" s="2"/>
      <c r="P7465" s="2" t="s">
        <v>22508</v>
      </c>
      <c r="Q7465" s="2"/>
      <c r="R7465" s="6">
        <v>20</v>
      </c>
      <c r="S7465" s="5">
        <v>290.2</v>
      </c>
      <c r="T7465" s="7">
        <v>439.97899999999998</v>
      </c>
      <c r="U7465" s="5">
        <v>6.6</v>
      </c>
      <c r="V7465" s="6">
        <v>1.06</v>
      </c>
      <c r="W7465" s="6">
        <v>17.440000000000001</v>
      </c>
      <c r="X7465" s="5">
        <v>17.2</v>
      </c>
      <c r="Y7465" s="6">
        <v>17.16</v>
      </c>
      <c r="Z7465" s="6">
        <v>18.88</v>
      </c>
      <c r="AA7465" s="6">
        <v>269.10000000000002</v>
      </c>
      <c r="AB7465" s="7">
        <v>12.003</v>
      </c>
      <c r="AC7465" s="2"/>
    </row>
    <row r="7466" spans="1:29" ht="182" x14ac:dyDescent="0.15">
      <c r="A7466" s="3">
        <f>DATE(2004,11,19)</f>
        <v>38310</v>
      </c>
      <c r="B7466" s="3">
        <f>DATE(2005,4,27)</f>
        <v>38469</v>
      </c>
      <c r="C7466" s="2" t="s">
        <v>95</v>
      </c>
      <c r="D7466" s="2" t="s">
        <v>5840</v>
      </c>
      <c r="E7466" s="2" t="s">
        <v>5841</v>
      </c>
      <c r="F7466" s="4">
        <v>7841</v>
      </c>
      <c r="G7466" s="2" t="s">
        <v>42</v>
      </c>
      <c r="H7466" s="2" t="s">
        <v>34</v>
      </c>
      <c r="I7466" s="2" t="s">
        <v>22509</v>
      </c>
      <c r="J7466" s="2" t="s">
        <v>22510</v>
      </c>
      <c r="K7466" s="2" t="s">
        <v>42</v>
      </c>
      <c r="L7466" s="2" t="s">
        <v>34</v>
      </c>
      <c r="M7466" s="7">
        <v>492.21600000000001</v>
      </c>
      <c r="N7466" s="6">
        <v>17.48</v>
      </c>
      <c r="O7466" s="5">
        <v>17.600000000000001</v>
      </c>
      <c r="P7466" s="2" t="s">
        <v>22511</v>
      </c>
      <c r="Q7466" s="6">
        <v>100</v>
      </c>
      <c r="R7466" s="6">
        <v>13.25</v>
      </c>
      <c r="S7466" s="5">
        <v>81.900000000000006</v>
      </c>
      <c r="T7466" s="7">
        <v>170.55600000000001</v>
      </c>
      <c r="U7466" s="5">
        <v>6.4</v>
      </c>
      <c r="V7466" s="6">
        <v>1.3</v>
      </c>
      <c r="W7466" s="5">
        <v>10.8</v>
      </c>
      <c r="X7466" s="5">
        <v>10.7</v>
      </c>
      <c r="Y7466" s="6">
        <v>13.66</v>
      </c>
      <c r="Z7466" s="6">
        <v>13.62</v>
      </c>
      <c r="AA7466" s="6">
        <v>60.91</v>
      </c>
      <c r="AB7466" s="7">
        <v>6.3529999999999998</v>
      </c>
      <c r="AC7466" s="6">
        <v>25.52</v>
      </c>
    </row>
    <row r="7467" spans="1:29" ht="156" x14ac:dyDescent="0.15">
      <c r="A7467" s="3">
        <f>DATE(2004,11,23)</f>
        <v>38314</v>
      </c>
      <c r="B7467" s="3">
        <f>DATE(2005,3,4)</f>
        <v>38415</v>
      </c>
      <c r="C7467" s="2" t="s">
        <v>95</v>
      </c>
      <c r="D7467" s="2" t="s">
        <v>22512</v>
      </c>
      <c r="E7467" s="2" t="s">
        <v>22513</v>
      </c>
      <c r="F7467" s="4">
        <v>3711</v>
      </c>
      <c r="G7467" s="2" t="s">
        <v>105</v>
      </c>
      <c r="H7467" s="2" t="s">
        <v>34</v>
      </c>
      <c r="I7467" s="2" t="s">
        <v>22514</v>
      </c>
      <c r="J7467" s="2" t="s">
        <v>22515</v>
      </c>
      <c r="K7467" s="2" t="s">
        <v>105</v>
      </c>
      <c r="L7467" s="2" t="s">
        <v>34</v>
      </c>
      <c r="M7467" s="7">
        <v>236.65899999999999</v>
      </c>
      <c r="N7467" s="6">
        <v>7.33</v>
      </c>
      <c r="O7467" s="6">
        <v>6.21</v>
      </c>
      <c r="P7467" s="2" t="s">
        <v>22516</v>
      </c>
      <c r="Q7467" s="6">
        <v>100</v>
      </c>
      <c r="R7467" s="6">
        <v>26.44</v>
      </c>
      <c r="S7467" s="5">
        <v>-45</v>
      </c>
      <c r="T7467" s="7">
        <v>6.3380000000000001</v>
      </c>
      <c r="U7467" s="5">
        <v>11.5</v>
      </c>
      <c r="V7467" s="6">
        <v>-5.79</v>
      </c>
      <c r="W7467" s="6">
        <v>11.16</v>
      </c>
      <c r="X7467" s="5">
        <v>11.3</v>
      </c>
      <c r="Y7467" s="6">
        <v>12.05</v>
      </c>
      <c r="Z7467" s="6">
        <v>14.28</v>
      </c>
      <c r="AA7467" s="6">
        <v>8.85</v>
      </c>
      <c r="AB7467" s="7">
        <v>114.005</v>
      </c>
      <c r="AC7467" s="6">
        <v>55.04</v>
      </c>
    </row>
    <row r="7468" spans="1:29" ht="78" x14ac:dyDescent="0.15">
      <c r="A7468" s="3">
        <f>DATE(2004,11,24)</f>
        <v>38315</v>
      </c>
      <c r="B7468" s="3">
        <f>DATE(2005,2,22)</f>
        <v>38405</v>
      </c>
      <c r="C7468" s="2" t="s">
        <v>95</v>
      </c>
      <c r="D7468" s="2" t="s">
        <v>22517</v>
      </c>
      <c r="E7468" s="2" t="s">
        <v>22518</v>
      </c>
      <c r="F7468" s="4">
        <v>3559</v>
      </c>
      <c r="G7468" s="2" t="s">
        <v>300</v>
      </c>
      <c r="H7468" s="2" t="s">
        <v>34</v>
      </c>
      <c r="I7468" s="2" t="s">
        <v>21805</v>
      </c>
      <c r="J7468" s="2" t="s">
        <v>21806</v>
      </c>
      <c r="K7468" s="2" t="s">
        <v>219</v>
      </c>
      <c r="L7468" s="2" t="s">
        <v>34</v>
      </c>
      <c r="M7468" s="2"/>
      <c r="N7468" s="2"/>
      <c r="O7468" s="2"/>
      <c r="P7468" s="2" t="s">
        <v>22519</v>
      </c>
      <c r="Q7468" s="6">
        <v>100</v>
      </c>
      <c r="R7468" s="6">
        <v>44</v>
      </c>
      <c r="S7468" s="5">
        <v>-12.3</v>
      </c>
      <c r="T7468" s="7">
        <v>59.174999999999997</v>
      </c>
      <c r="U7468" s="5">
        <v>24.4</v>
      </c>
      <c r="V7468" s="6">
        <v>-0.89</v>
      </c>
      <c r="W7468" s="6">
        <v>30.76</v>
      </c>
      <c r="X7468" s="6">
        <v>29.75</v>
      </c>
      <c r="Y7468" s="6">
        <v>43.28</v>
      </c>
      <c r="Z7468" s="6">
        <v>43.28</v>
      </c>
      <c r="AA7468" s="6">
        <v>22.77</v>
      </c>
      <c r="AB7468" s="7">
        <v>58.71</v>
      </c>
      <c r="AC7468" s="2"/>
    </row>
    <row r="7469" spans="1:29" ht="78" x14ac:dyDescent="0.15">
      <c r="A7469" s="3">
        <f>DATE(2004,12,1)</f>
        <v>38322</v>
      </c>
      <c r="B7469" s="3">
        <f>DATE(2005,5,11)</f>
        <v>38483</v>
      </c>
      <c r="C7469" s="2" t="s">
        <v>95</v>
      </c>
      <c r="D7469" s="2" t="s">
        <v>22520</v>
      </c>
      <c r="E7469" s="2" t="s">
        <v>22521</v>
      </c>
      <c r="F7469" s="4">
        <v>7372</v>
      </c>
      <c r="G7469" s="2" t="s">
        <v>551</v>
      </c>
      <c r="H7469" s="2" t="s">
        <v>34</v>
      </c>
      <c r="I7469" s="2" t="s">
        <v>9138</v>
      </c>
      <c r="J7469" s="2" t="s">
        <v>9139</v>
      </c>
      <c r="K7469" s="2" t="s">
        <v>551</v>
      </c>
      <c r="L7469" s="2" t="s">
        <v>34</v>
      </c>
      <c r="M7469" s="12">
        <v>2549.1880000000001</v>
      </c>
      <c r="N7469" s="6">
        <v>18.64</v>
      </c>
      <c r="O7469" s="6">
        <v>18.57</v>
      </c>
      <c r="P7469" s="2" t="s">
        <v>22522</v>
      </c>
      <c r="Q7469" s="6">
        <v>100</v>
      </c>
      <c r="R7469" s="6">
        <v>7</v>
      </c>
      <c r="S7469" s="5">
        <v>-64.900000000000006</v>
      </c>
      <c r="T7469" s="7">
        <v>2.6509999999999998</v>
      </c>
      <c r="U7469" s="5">
        <v>0.8</v>
      </c>
      <c r="V7469" s="6">
        <v>-2.4500000000000002</v>
      </c>
      <c r="W7469" s="6">
        <v>4.3499999999999996</v>
      </c>
      <c r="X7469" s="6">
        <v>4.28</v>
      </c>
      <c r="Y7469" s="6">
        <v>6.84</v>
      </c>
      <c r="Z7469" s="6">
        <v>6.88</v>
      </c>
      <c r="AA7469" s="6">
        <v>26.94</v>
      </c>
      <c r="AB7469" s="7">
        <v>50.121000000000002</v>
      </c>
      <c r="AC7469" s="6">
        <v>579.03</v>
      </c>
    </row>
    <row r="7470" spans="1:29" ht="143" x14ac:dyDescent="0.15">
      <c r="A7470" s="3">
        <f>DATE(2004,12,1)</f>
        <v>38322</v>
      </c>
      <c r="B7470" s="3">
        <f>DATE(2005,3,18)</f>
        <v>38429</v>
      </c>
      <c r="C7470" s="2" t="s">
        <v>95</v>
      </c>
      <c r="D7470" s="2" t="s">
        <v>5599</v>
      </c>
      <c r="E7470" s="2" t="s">
        <v>5600</v>
      </c>
      <c r="F7470" s="4">
        <v>2834</v>
      </c>
      <c r="G7470" s="2" t="s">
        <v>130</v>
      </c>
      <c r="H7470" s="2" t="s">
        <v>34</v>
      </c>
      <c r="I7470" s="2" t="s">
        <v>22523</v>
      </c>
      <c r="J7470" s="2" t="s">
        <v>22524</v>
      </c>
      <c r="K7470" s="2" t="s">
        <v>226</v>
      </c>
      <c r="L7470" s="2" t="s">
        <v>34</v>
      </c>
      <c r="M7470" s="7">
        <v>76.027000000000001</v>
      </c>
      <c r="N7470" s="6">
        <v>2.25</v>
      </c>
      <c r="O7470" s="5">
        <v>2.2999999999999998</v>
      </c>
      <c r="P7470" s="2" t="s">
        <v>22525</v>
      </c>
      <c r="Q7470" s="6">
        <v>100</v>
      </c>
      <c r="R7470" s="6">
        <v>1.49</v>
      </c>
      <c r="S7470" s="5">
        <v>7.2</v>
      </c>
      <c r="T7470" s="7">
        <v>1.2709999999999999</v>
      </c>
      <c r="U7470" s="5">
        <v>1.2</v>
      </c>
      <c r="V7470" s="6">
        <v>0.45</v>
      </c>
      <c r="W7470" s="6">
        <v>1.1499999999999999</v>
      </c>
      <c r="X7470" s="6">
        <v>1.1200000000000001</v>
      </c>
      <c r="Y7470" s="6">
        <v>1.1200000000000001</v>
      </c>
      <c r="Z7470" s="6">
        <v>1.37</v>
      </c>
      <c r="AA7470" s="6">
        <v>15.82</v>
      </c>
      <c r="AB7470" s="7">
        <v>20.033999999999999</v>
      </c>
      <c r="AC7470" s="6">
        <v>5.32</v>
      </c>
    </row>
    <row r="7471" spans="1:29" ht="156" x14ac:dyDescent="0.15">
      <c r="A7471" s="3">
        <f>DATE(2004,12,2)</f>
        <v>38323</v>
      </c>
      <c r="B7471" s="3">
        <f>DATE(2005,3,31)</f>
        <v>38442</v>
      </c>
      <c r="C7471" s="2" t="s">
        <v>95</v>
      </c>
      <c r="D7471" s="2" t="s">
        <v>22526</v>
      </c>
      <c r="E7471" s="2" t="s">
        <v>18317</v>
      </c>
      <c r="F7471" s="4">
        <v>6022</v>
      </c>
      <c r="G7471" s="2" t="s">
        <v>37</v>
      </c>
      <c r="H7471" s="2" t="s">
        <v>34</v>
      </c>
      <c r="I7471" s="2" t="s">
        <v>204</v>
      </c>
      <c r="J7471" s="2" t="s">
        <v>3246</v>
      </c>
      <c r="K7471" s="2" t="s">
        <v>37</v>
      </c>
      <c r="L7471" s="2" t="s">
        <v>34</v>
      </c>
      <c r="M7471" s="12">
        <v>2808.1019999999999</v>
      </c>
      <c r="N7471" s="6">
        <v>27.91</v>
      </c>
      <c r="O7471" s="6">
        <v>27.66</v>
      </c>
      <c r="P7471" s="2" t="s">
        <v>22527</v>
      </c>
      <c r="Q7471" s="6">
        <v>100</v>
      </c>
      <c r="R7471" s="6">
        <v>48</v>
      </c>
      <c r="S7471" s="2"/>
      <c r="T7471" s="2"/>
      <c r="U7471" s="2"/>
      <c r="V7471" s="2"/>
      <c r="W7471" s="4">
        <v>48</v>
      </c>
      <c r="X7471" s="5">
        <v>48.3</v>
      </c>
      <c r="Y7471" s="4">
        <v>58</v>
      </c>
      <c r="Z7471" s="5">
        <v>47.1</v>
      </c>
      <c r="AA7471" s="6">
        <v>2.95</v>
      </c>
      <c r="AB7471" s="2" t="s">
        <v>47</v>
      </c>
      <c r="AC7471" s="2"/>
    </row>
    <row r="7472" spans="1:29" ht="104" x14ac:dyDescent="0.15">
      <c r="A7472" s="3">
        <f>DATE(2004,12,3)</f>
        <v>38324</v>
      </c>
      <c r="B7472" s="2"/>
      <c r="C7472" s="2" t="s">
        <v>30</v>
      </c>
      <c r="D7472" s="2" t="s">
        <v>22528</v>
      </c>
      <c r="E7472" s="2" t="s">
        <v>22529</v>
      </c>
      <c r="F7472" s="4">
        <v>7372</v>
      </c>
      <c r="G7472" s="2" t="s">
        <v>551</v>
      </c>
      <c r="H7472" s="2" t="s">
        <v>34</v>
      </c>
      <c r="I7472" s="2" t="s">
        <v>22530</v>
      </c>
      <c r="J7472" s="2" t="s">
        <v>15941</v>
      </c>
      <c r="K7472" s="2" t="s">
        <v>551</v>
      </c>
      <c r="L7472" s="2" t="s">
        <v>34</v>
      </c>
      <c r="M7472" s="7">
        <v>129.232</v>
      </c>
      <c r="N7472" s="6">
        <v>3.72</v>
      </c>
      <c r="O7472" s="6">
        <v>3.73</v>
      </c>
      <c r="P7472" s="2" t="s">
        <v>22531</v>
      </c>
      <c r="Q7472" s="2"/>
      <c r="R7472" s="6">
        <v>1.55</v>
      </c>
      <c r="S7472" s="5">
        <v>-9.6</v>
      </c>
      <c r="T7472" s="7">
        <v>-3.9710000000000001</v>
      </c>
      <c r="U7472" s="5">
        <v>0.7</v>
      </c>
      <c r="V7472" s="6">
        <v>-0.24</v>
      </c>
      <c r="W7472" s="6">
        <v>1.46</v>
      </c>
      <c r="X7472" s="6">
        <v>1.45</v>
      </c>
      <c r="Y7472" s="6">
        <v>1.52</v>
      </c>
      <c r="Z7472" s="6">
        <v>1.51</v>
      </c>
      <c r="AA7472" s="6">
        <v>41.95</v>
      </c>
      <c r="AB7472" s="2" t="s">
        <v>86</v>
      </c>
      <c r="AC7472" s="6">
        <v>77.39</v>
      </c>
    </row>
    <row r="7473" spans="1:29" ht="130" x14ac:dyDescent="0.15">
      <c r="A7473" s="3">
        <f>DATE(2004,12,5)</f>
        <v>38326</v>
      </c>
      <c r="B7473" s="3">
        <f>DATE(2005,3,22)</f>
        <v>38433</v>
      </c>
      <c r="C7473" s="2" t="s">
        <v>95</v>
      </c>
      <c r="D7473" s="2" t="s">
        <v>8012</v>
      </c>
      <c r="E7473" s="2" t="s">
        <v>7513</v>
      </c>
      <c r="F7473" s="4">
        <v>3851</v>
      </c>
      <c r="G7473" s="2" t="s">
        <v>226</v>
      </c>
      <c r="H7473" s="2" t="s">
        <v>34</v>
      </c>
      <c r="I7473" s="2" t="s">
        <v>51</v>
      </c>
      <c r="J7473" s="2" t="s">
        <v>52</v>
      </c>
      <c r="K7473" s="2" t="s">
        <v>53</v>
      </c>
      <c r="L7473" s="2" t="s">
        <v>1049</v>
      </c>
      <c r="M7473" s="2"/>
      <c r="N7473" s="2"/>
      <c r="O7473" s="2"/>
      <c r="P7473" s="2" t="s">
        <v>22532</v>
      </c>
      <c r="Q7473" s="6">
        <v>100</v>
      </c>
      <c r="R7473" s="6">
        <v>28</v>
      </c>
      <c r="S7473" s="5">
        <v>-2</v>
      </c>
      <c r="T7473" s="7">
        <v>112.535</v>
      </c>
      <c r="U7473" s="5">
        <v>12.8</v>
      </c>
      <c r="V7473" s="6">
        <v>-0.21</v>
      </c>
      <c r="W7473" s="6">
        <v>20.91</v>
      </c>
      <c r="X7473" s="6">
        <v>22.11</v>
      </c>
      <c r="Y7473" s="6">
        <v>27.52</v>
      </c>
      <c r="Z7473" s="6">
        <v>27.52</v>
      </c>
      <c r="AA7473" s="6">
        <v>32.22</v>
      </c>
      <c r="AB7473" s="7">
        <v>12.521000000000001</v>
      </c>
      <c r="AC7473" s="2"/>
    </row>
    <row r="7474" spans="1:29" ht="117" x14ac:dyDescent="0.15">
      <c r="A7474" s="3">
        <f>DATE(2004,12,9)</f>
        <v>38330</v>
      </c>
      <c r="B7474" s="3">
        <f>DATE(2005,5,19)</f>
        <v>38491</v>
      </c>
      <c r="C7474" s="2" t="s">
        <v>95</v>
      </c>
      <c r="D7474" s="2" t="s">
        <v>16984</v>
      </c>
      <c r="E7474" s="2" t="s">
        <v>263</v>
      </c>
      <c r="F7474" s="4">
        <v>6712</v>
      </c>
      <c r="G7474" s="2" t="s">
        <v>37</v>
      </c>
      <c r="H7474" s="2" t="s">
        <v>34</v>
      </c>
      <c r="I7474" s="2" t="s">
        <v>22533</v>
      </c>
      <c r="J7474" s="2" t="s">
        <v>159</v>
      </c>
      <c r="K7474" s="2" t="s">
        <v>37</v>
      </c>
      <c r="L7474" s="2" t="s">
        <v>34</v>
      </c>
      <c r="M7474" s="7">
        <v>521.43499999999995</v>
      </c>
      <c r="N7474" s="6">
        <v>17.079999999999998</v>
      </c>
      <c r="O7474" s="5">
        <v>17.100000000000001</v>
      </c>
      <c r="P7474" s="2" t="s">
        <v>22534</v>
      </c>
      <c r="Q7474" s="6">
        <v>100</v>
      </c>
      <c r="R7474" s="6">
        <v>23</v>
      </c>
      <c r="S7474" s="5">
        <v>5.0999999999999996</v>
      </c>
      <c r="T7474" s="6">
        <v>7.78</v>
      </c>
      <c r="U7474" s="5">
        <v>14.7</v>
      </c>
      <c r="V7474" s="6">
        <v>1.26</v>
      </c>
      <c r="W7474" s="6">
        <v>16.989999999999998</v>
      </c>
      <c r="X7474" s="6">
        <v>16.809999999999999</v>
      </c>
      <c r="Y7474" s="5">
        <v>22.6</v>
      </c>
      <c r="Z7474" s="5">
        <v>22.6</v>
      </c>
      <c r="AA7474" s="6">
        <v>3.98</v>
      </c>
      <c r="AB7474" s="7">
        <v>58.311</v>
      </c>
      <c r="AC7474" s="2"/>
    </row>
    <row r="7475" spans="1:29" ht="78" x14ac:dyDescent="0.15">
      <c r="A7475" s="3">
        <f>DATE(2004,12,13)</f>
        <v>38334</v>
      </c>
      <c r="B7475" s="3">
        <f>DATE(2005,1,31)</f>
        <v>38383</v>
      </c>
      <c r="C7475" s="2" t="s">
        <v>95</v>
      </c>
      <c r="D7475" s="2" t="s">
        <v>22535</v>
      </c>
      <c r="E7475" s="2" t="s">
        <v>22536</v>
      </c>
      <c r="F7475" s="4">
        <v>3577</v>
      </c>
      <c r="G7475" s="2" t="s">
        <v>50</v>
      </c>
      <c r="H7475" s="2" t="s">
        <v>34</v>
      </c>
      <c r="I7475" s="2" t="s">
        <v>6537</v>
      </c>
      <c r="J7475" s="2" t="s">
        <v>6538</v>
      </c>
      <c r="K7475" s="2" t="s">
        <v>50</v>
      </c>
      <c r="L7475" s="2" t="s">
        <v>34</v>
      </c>
      <c r="M7475" s="10">
        <v>1787.15</v>
      </c>
      <c r="N7475" s="6">
        <v>4.08</v>
      </c>
      <c r="O7475" s="6">
        <v>3.85</v>
      </c>
      <c r="P7475" s="2" t="s">
        <v>22537</v>
      </c>
      <c r="Q7475" s="6">
        <v>100</v>
      </c>
      <c r="R7475" s="6">
        <v>47</v>
      </c>
      <c r="S7475" s="5">
        <v>-13.1</v>
      </c>
      <c r="T7475" s="7">
        <v>-12.688000000000001</v>
      </c>
      <c r="U7475" s="5">
        <v>4.0999999999999996</v>
      </c>
      <c r="V7475" s="6">
        <v>-1.93</v>
      </c>
      <c r="W7475" s="5">
        <v>39.200000000000003</v>
      </c>
      <c r="X7475" s="6">
        <v>41.66</v>
      </c>
      <c r="Y7475" s="5">
        <v>46.6</v>
      </c>
      <c r="Z7475" s="6">
        <v>46.52</v>
      </c>
      <c r="AA7475" s="6">
        <v>7.76</v>
      </c>
      <c r="AB7475" s="2" t="s">
        <v>86</v>
      </c>
      <c r="AC7475" s="10">
        <v>1273.8699999999999</v>
      </c>
    </row>
    <row r="7476" spans="1:29" ht="286" x14ac:dyDescent="0.15">
      <c r="A7476" s="3">
        <f>DATE(2004,12,15)</f>
        <v>38336</v>
      </c>
      <c r="B7476" s="2"/>
      <c r="C7476" s="2" t="s">
        <v>30</v>
      </c>
      <c r="D7476" s="2" t="s">
        <v>10662</v>
      </c>
      <c r="E7476" s="2" t="s">
        <v>10663</v>
      </c>
      <c r="F7476" s="4">
        <v>3841</v>
      </c>
      <c r="G7476" s="2" t="s">
        <v>226</v>
      </c>
      <c r="H7476" s="2" t="s">
        <v>34</v>
      </c>
      <c r="I7476" s="2" t="s">
        <v>5669</v>
      </c>
      <c r="J7476" s="2" t="s">
        <v>5670</v>
      </c>
      <c r="K7476" s="2" t="s">
        <v>130</v>
      </c>
      <c r="L7476" s="2" t="s">
        <v>34</v>
      </c>
      <c r="M7476" s="12">
        <v>180734.52600000001</v>
      </c>
      <c r="N7476" s="5">
        <v>60.9</v>
      </c>
      <c r="O7476" s="6">
        <v>63.45</v>
      </c>
      <c r="P7476" s="2" t="s">
        <v>22538</v>
      </c>
      <c r="Q7476" s="2"/>
      <c r="R7476" s="6">
        <v>71.19</v>
      </c>
      <c r="S7476" s="5">
        <v>413.9</v>
      </c>
      <c r="T7476" s="5">
        <v>930.2</v>
      </c>
      <c r="U7476" s="5">
        <v>14.1</v>
      </c>
      <c r="V7476" s="6">
        <v>1.33</v>
      </c>
      <c r="W7476" s="6">
        <v>64.83</v>
      </c>
      <c r="X7476" s="6">
        <v>68.75</v>
      </c>
      <c r="Y7476" s="6">
        <v>72.349999999999994</v>
      </c>
      <c r="Z7476" s="6">
        <v>73.75</v>
      </c>
      <c r="AA7476" s="6">
        <v>318.56</v>
      </c>
      <c r="AB7476" s="7">
        <v>29.18</v>
      </c>
      <c r="AC7476" s="8">
        <v>16138</v>
      </c>
    </row>
    <row r="7477" spans="1:29" ht="221" x14ac:dyDescent="0.15">
      <c r="A7477" s="3">
        <f>DATE(2004,12,15)</f>
        <v>38336</v>
      </c>
      <c r="B7477" s="3">
        <f>DATE(2005,8,12)</f>
        <v>38576</v>
      </c>
      <c r="C7477" s="2" t="s">
        <v>95</v>
      </c>
      <c r="D7477" s="2" t="s">
        <v>5092</v>
      </c>
      <c r="E7477" s="2" t="s">
        <v>2814</v>
      </c>
      <c r="F7477" s="4">
        <v>4812</v>
      </c>
      <c r="G7477" s="2" t="s">
        <v>63</v>
      </c>
      <c r="H7477" s="2" t="s">
        <v>34</v>
      </c>
      <c r="I7477" s="2" t="s">
        <v>14230</v>
      </c>
      <c r="J7477" s="2" t="s">
        <v>14231</v>
      </c>
      <c r="K7477" s="2" t="s">
        <v>63</v>
      </c>
      <c r="L7477" s="2" t="s">
        <v>34</v>
      </c>
      <c r="M7477" s="12">
        <v>33758.709000000003</v>
      </c>
      <c r="N7477" s="6">
        <v>24.02</v>
      </c>
      <c r="O7477" s="6">
        <v>24.52</v>
      </c>
      <c r="P7477" s="2" t="s">
        <v>22539</v>
      </c>
      <c r="Q7477" s="6">
        <v>100</v>
      </c>
      <c r="R7477" s="6">
        <v>32.630000000000003</v>
      </c>
      <c r="S7477" s="8">
        <v>3123</v>
      </c>
      <c r="T7477" s="8">
        <v>5009</v>
      </c>
      <c r="U7477" s="5">
        <v>7.9</v>
      </c>
      <c r="V7477" s="6">
        <v>2.73</v>
      </c>
      <c r="W7477" s="6">
        <v>29.65</v>
      </c>
      <c r="X7477" s="6">
        <v>27.97</v>
      </c>
      <c r="Y7477" s="6">
        <v>29.81</v>
      </c>
      <c r="Z7477" s="6">
        <v>29.76</v>
      </c>
      <c r="AA7477" s="10">
        <v>1111.29</v>
      </c>
      <c r="AB7477" s="7">
        <v>14.686999999999999</v>
      </c>
      <c r="AC7477" s="8">
        <v>2728</v>
      </c>
    </row>
    <row r="7478" spans="1:29" ht="247" x14ac:dyDescent="0.15">
      <c r="A7478" s="3">
        <f>DATE(2004,12,16)</f>
        <v>38337</v>
      </c>
      <c r="B7478" s="3">
        <f>DATE(2005,5,16)</f>
        <v>38488</v>
      </c>
      <c r="C7478" s="2" t="s">
        <v>95</v>
      </c>
      <c r="D7478" s="2" t="s">
        <v>22540</v>
      </c>
      <c r="E7478" s="2" t="s">
        <v>12727</v>
      </c>
      <c r="F7478" s="4">
        <v>1311</v>
      </c>
      <c r="G7478" s="2" t="s">
        <v>148</v>
      </c>
      <c r="H7478" s="2" t="s">
        <v>34</v>
      </c>
      <c r="I7478" s="2" t="s">
        <v>22541</v>
      </c>
      <c r="J7478" s="2" t="s">
        <v>1608</v>
      </c>
      <c r="K7478" s="2" t="s">
        <v>148</v>
      </c>
      <c r="L7478" s="2" t="s">
        <v>34</v>
      </c>
      <c r="M7478" s="12">
        <v>3461.3159999999998</v>
      </c>
      <c r="N7478" s="6">
        <v>59.38</v>
      </c>
      <c r="O7478" s="6">
        <v>60.15</v>
      </c>
      <c r="P7478" s="2" t="s">
        <v>22542</v>
      </c>
      <c r="Q7478" s="6">
        <v>100</v>
      </c>
      <c r="R7478" s="6">
        <v>39.25</v>
      </c>
      <c r="S7478" s="5">
        <v>156.5</v>
      </c>
      <c r="T7478" s="7">
        <v>396.36799999999999</v>
      </c>
      <c r="U7478" s="5">
        <v>5.2</v>
      </c>
      <c r="V7478" s="6">
        <v>2.1</v>
      </c>
      <c r="W7478" s="6">
        <v>31.25</v>
      </c>
      <c r="X7478" s="6">
        <v>31.92</v>
      </c>
      <c r="Y7478" s="6">
        <v>36.61</v>
      </c>
      <c r="Z7478" s="6">
        <v>36.840000000000003</v>
      </c>
      <c r="AA7478" s="6">
        <v>70.62</v>
      </c>
      <c r="AB7478" s="7">
        <v>12.451000000000001</v>
      </c>
      <c r="AC7478" s="6">
        <v>181.57</v>
      </c>
    </row>
    <row r="7479" spans="1:29" ht="182" x14ac:dyDescent="0.15">
      <c r="A7479" s="3">
        <f>DATE(2004,12,16)</f>
        <v>38337</v>
      </c>
      <c r="B7479" s="3">
        <f>DATE(2005,7,2)</f>
        <v>38535</v>
      </c>
      <c r="C7479" s="2" t="s">
        <v>95</v>
      </c>
      <c r="D7479" s="2" t="s">
        <v>9114</v>
      </c>
      <c r="E7479" s="2" t="s">
        <v>9115</v>
      </c>
      <c r="F7479" s="4">
        <v>7372</v>
      </c>
      <c r="G7479" s="2" t="s">
        <v>551</v>
      </c>
      <c r="H7479" s="2" t="s">
        <v>34</v>
      </c>
      <c r="I7479" s="2" t="s">
        <v>17338</v>
      </c>
      <c r="J7479" s="2" t="s">
        <v>17339</v>
      </c>
      <c r="K7479" s="2" t="s">
        <v>551</v>
      </c>
      <c r="L7479" s="2" t="s">
        <v>34</v>
      </c>
      <c r="M7479" s="12">
        <v>9799.7950000000001</v>
      </c>
      <c r="N7479" s="6">
        <v>25.13</v>
      </c>
      <c r="O7479" s="6">
        <v>25.37</v>
      </c>
      <c r="P7479" s="2" t="s">
        <v>22543</v>
      </c>
      <c r="Q7479" s="6">
        <v>100</v>
      </c>
      <c r="R7479" s="6">
        <v>30.78</v>
      </c>
      <c r="S7479" s="5">
        <v>461.3</v>
      </c>
      <c r="T7479" s="7">
        <v>661.95500000000004</v>
      </c>
      <c r="U7479" s="5">
        <v>9.1</v>
      </c>
      <c r="V7479" s="6">
        <v>1.04</v>
      </c>
      <c r="W7479" s="6">
        <v>24.92</v>
      </c>
      <c r="X7479" s="6">
        <v>28.11</v>
      </c>
      <c r="Y7479" s="6">
        <v>27.99</v>
      </c>
      <c r="Z7479" s="6">
        <v>27.75</v>
      </c>
      <c r="AA7479" s="6">
        <v>422.13</v>
      </c>
      <c r="AB7479" s="7">
        <v>23.66</v>
      </c>
      <c r="AC7479" s="10">
        <v>2544.88</v>
      </c>
    </row>
    <row r="7480" spans="1:29" ht="156" x14ac:dyDescent="0.15">
      <c r="A7480" s="3">
        <f>DATE(2004,12,17)</f>
        <v>38338</v>
      </c>
      <c r="B7480" s="3">
        <f>DATE(2005,2,8)</f>
        <v>38391</v>
      </c>
      <c r="C7480" s="2" t="s">
        <v>95</v>
      </c>
      <c r="D7480" s="2" t="s">
        <v>22544</v>
      </c>
      <c r="E7480" s="2" t="s">
        <v>22545</v>
      </c>
      <c r="F7480" s="4">
        <v>3951</v>
      </c>
      <c r="G7480" s="2" t="s">
        <v>112</v>
      </c>
      <c r="H7480" s="2" t="s">
        <v>34</v>
      </c>
      <c r="I7480" s="2" t="s">
        <v>22546</v>
      </c>
      <c r="J7480" s="2" t="s">
        <v>22547</v>
      </c>
      <c r="K7480" s="2" t="s">
        <v>112</v>
      </c>
      <c r="L7480" s="2" t="s">
        <v>5907</v>
      </c>
      <c r="M7480" s="2"/>
      <c r="N7480" s="2"/>
      <c r="O7480" s="2"/>
      <c r="P7480" s="2" t="s">
        <v>22548</v>
      </c>
      <c r="Q7480" s="6">
        <v>100</v>
      </c>
      <c r="R7480" s="6">
        <v>7</v>
      </c>
      <c r="S7480" s="5">
        <v>1.7</v>
      </c>
      <c r="T7480" s="7">
        <v>8.718</v>
      </c>
      <c r="U7480" s="5">
        <v>7.1</v>
      </c>
      <c r="V7480" s="6">
        <v>0.54</v>
      </c>
      <c r="W7480" s="5">
        <v>6.1</v>
      </c>
      <c r="X7480" s="6">
        <v>5.99</v>
      </c>
      <c r="Y7480" s="6">
        <v>6.92</v>
      </c>
      <c r="Z7480" s="6">
        <v>6.96</v>
      </c>
      <c r="AA7480" s="6">
        <v>3.21</v>
      </c>
      <c r="AB7480" s="7">
        <v>7.9690000000000003</v>
      </c>
      <c r="AC7480" s="2"/>
    </row>
    <row r="7481" spans="1:29" ht="104" x14ac:dyDescent="0.15">
      <c r="A7481" s="3">
        <f>DATE(2004,12,17)</f>
        <v>38338</v>
      </c>
      <c r="B7481" s="3">
        <f>DATE(2005,4,8)</f>
        <v>38450</v>
      </c>
      <c r="C7481" s="2" t="s">
        <v>95</v>
      </c>
      <c r="D7481" s="2" t="s">
        <v>22549</v>
      </c>
      <c r="E7481" s="2" t="s">
        <v>1181</v>
      </c>
      <c r="F7481" s="4">
        <v>6021</v>
      </c>
      <c r="G7481" s="2" t="s">
        <v>37</v>
      </c>
      <c r="H7481" s="2" t="s">
        <v>34</v>
      </c>
      <c r="I7481" s="2" t="s">
        <v>22550</v>
      </c>
      <c r="J7481" s="2" t="s">
        <v>36</v>
      </c>
      <c r="K7481" s="2" t="s">
        <v>37</v>
      </c>
      <c r="L7481" s="2" t="s">
        <v>34</v>
      </c>
      <c r="M7481" s="7">
        <v>238.31800000000001</v>
      </c>
      <c r="N7481" s="6">
        <v>35.35</v>
      </c>
      <c r="O7481" s="6">
        <v>34.409999999999997</v>
      </c>
      <c r="P7481" s="2" t="s">
        <v>22551</v>
      </c>
      <c r="Q7481" s="6">
        <v>100</v>
      </c>
      <c r="R7481" s="6">
        <v>18</v>
      </c>
      <c r="S7481" s="5">
        <v>-0.2</v>
      </c>
      <c r="T7481" s="2"/>
      <c r="U7481" s="5">
        <v>8.5</v>
      </c>
      <c r="V7481" s="6">
        <v>-0.2</v>
      </c>
      <c r="W7481" s="4">
        <v>11</v>
      </c>
      <c r="X7481" s="6">
        <v>10.75</v>
      </c>
      <c r="Y7481" s="5">
        <v>17.600000000000001</v>
      </c>
      <c r="Z7481" s="6">
        <v>17.649999999999999</v>
      </c>
      <c r="AA7481" s="6">
        <v>1</v>
      </c>
      <c r="AB7481" s="2" t="s">
        <v>86</v>
      </c>
      <c r="AC7481" s="2"/>
    </row>
    <row r="7482" spans="1:29" ht="130" x14ac:dyDescent="0.15">
      <c r="A7482" s="3">
        <f>DATE(2004,12,17)</f>
        <v>38338</v>
      </c>
      <c r="B7482" s="3">
        <f>DATE(2005,5,21)</f>
        <v>38493</v>
      </c>
      <c r="C7482" s="2" t="s">
        <v>95</v>
      </c>
      <c r="D7482" s="2" t="s">
        <v>22552</v>
      </c>
      <c r="E7482" s="2" t="s">
        <v>1181</v>
      </c>
      <c r="F7482" s="4">
        <v>6021</v>
      </c>
      <c r="G7482" s="2" t="s">
        <v>37</v>
      </c>
      <c r="H7482" s="2" t="s">
        <v>34</v>
      </c>
      <c r="I7482" s="2" t="s">
        <v>22553</v>
      </c>
      <c r="J7482" s="2" t="s">
        <v>36</v>
      </c>
      <c r="K7482" s="2" t="s">
        <v>37</v>
      </c>
      <c r="L7482" s="2" t="s">
        <v>34</v>
      </c>
      <c r="M7482" s="7">
        <v>124.873</v>
      </c>
      <c r="N7482" s="6">
        <v>13.41</v>
      </c>
      <c r="O7482" s="6">
        <v>13.05</v>
      </c>
      <c r="P7482" s="2" t="s">
        <v>22554</v>
      </c>
      <c r="Q7482" s="6">
        <v>100</v>
      </c>
      <c r="R7482" s="6">
        <v>12.06</v>
      </c>
      <c r="S7482" s="2"/>
      <c r="T7482" s="2"/>
      <c r="U7482" s="2"/>
      <c r="V7482" s="2"/>
      <c r="W7482" s="6">
        <v>8.4499999999999993</v>
      </c>
      <c r="X7482" s="6">
        <v>8.25</v>
      </c>
      <c r="Y7482" s="5">
        <v>8.9</v>
      </c>
      <c r="Z7482" s="5">
        <v>11.8</v>
      </c>
      <c r="AA7482" s="6">
        <v>1.1100000000000001</v>
      </c>
      <c r="AB7482" s="2" t="s">
        <v>47</v>
      </c>
      <c r="AC7482" s="2"/>
    </row>
    <row r="7483" spans="1:29" ht="104" x14ac:dyDescent="0.15">
      <c r="A7483" s="3">
        <f>DATE(2004,12,17)</f>
        <v>38338</v>
      </c>
      <c r="B7483" s="3">
        <f>DATE(2005,1,25)</f>
        <v>38377</v>
      </c>
      <c r="C7483" s="2" t="s">
        <v>95</v>
      </c>
      <c r="D7483" s="2" t="s">
        <v>22555</v>
      </c>
      <c r="E7483" s="2" t="s">
        <v>22556</v>
      </c>
      <c r="F7483" s="4">
        <v>8742</v>
      </c>
      <c r="G7483" s="2" t="s">
        <v>223</v>
      </c>
      <c r="H7483" s="2" t="s">
        <v>34</v>
      </c>
      <c r="I7483" s="2" t="s">
        <v>22557</v>
      </c>
      <c r="J7483" s="2" t="s">
        <v>22558</v>
      </c>
      <c r="K7483" s="2" t="s">
        <v>223</v>
      </c>
      <c r="L7483" s="2" t="s">
        <v>34</v>
      </c>
      <c r="M7483" s="12">
        <v>7533.8770000000004</v>
      </c>
      <c r="N7483" s="6">
        <v>57.18</v>
      </c>
      <c r="O7483" s="5">
        <v>57.9</v>
      </c>
      <c r="P7483" s="2" t="s">
        <v>22559</v>
      </c>
      <c r="Q7483" s="6">
        <v>100</v>
      </c>
      <c r="R7483" s="6">
        <v>8.5</v>
      </c>
      <c r="S7483" s="5">
        <v>1.3</v>
      </c>
      <c r="T7483" s="7">
        <v>8.1329999999999991</v>
      </c>
      <c r="U7483" s="5">
        <v>2.4</v>
      </c>
      <c r="V7483" s="6">
        <v>0.1</v>
      </c>
      <c r="W7483" s="6">
        <v>6.28</v>
      </c>
      <c r="X7483" s="6">
        <v>6.58</v>
      </c>
      <c r="Y7483" s="6">
        <v>6.45</v>
      </c>
      <c r="Z7483" s="6">
        <v>8.41</v>
      </c>
      <c r="AA7483" s="6">
        <v>10.53</v>
      </c>
      <c r="AB7483" s="7">
        <v>35.201000000000001</v>
      </c>
      <c r="AC7483" s="6">
        <v>59.58</v>
      </c>
    </row>
    <row r="7484" spans="1:29" ht="169" x14ac:dyDescent="0.15">
      <c r="A7484" s="3">
        <f>DATE(2004,12,17)</f>
        <v>38338</v>
      </c>
      <c r="B7484" s="3">
        <f>DATE(2005,6,1)</f>
        <v>38504</v>
      </c>
      <c r="C7484" s="2" t="s">
        <v>95</v>
      </c>
      <c r="D7484" s="2" t="s">
        <v>22560</v>
      </c>
      <c r="E7484" s="2" t="s">
        <v>263</v>
      </c>
      <c r="F7484" s="4">
        <v>6035</v>
      </c>
      <c r="G7484" s="2" t="s">
        <v>33</v>
      </c>
      <c r="H7484" s="2" t="s">
        <v>34</v>
      </c>
      <c r="I7484" s="2" t="s">
        <v>22561</v>
      </c>
      <c r="J7484" s="2" t="s">
        <v>1304</v>
      </c>
      <c r="K7484" s="2" t="s">
        <v>33</v>
      </c>
      <c r="L7484" s="2" t="s">
        <v>34</v>
      </c>
      <c r="M7484" s="7">
        <v>217.08699999999999</v>
      </c>
      <c r="N7484" s="6">
        <v>36.81</v>
      </c>
      <c r="O7484" s="4">
        <v>37</v>
      </c>
      <c r="P7484" s="2" t="s">
        <v>22562</v>
      </c>
      <c r="Q7484" s="6">
        <v>100</v>
      </c>
      <c r="R7484" s="6">
        <v>37</v>
      </c>
      <c r="S7484" s="5">
        <v>5.7</v>
      </c>
      <c r="T7484" s="2"/>
      <c r="U7484" s="5">
        <v>22.2</v>
      </c>
      <c r="V7484" s="6">
        <v>1.58</v>
      </c>
      <c r="W7484" s="6">
        <v>37.58</v>
      </c>
      <c r="X7484" s="6">
        <v>37.29</v>
      </c>
      <c r="Y7484" s="6">
        <v>36.51</v>
      </c>
      <c r="Z7484" s="5">
        <v>36.299999999999997</v>
      </c>
      <c r="AA7484" s="6">
        <v>3.66</v>
      </c>
      <c r="AB7484" s="7">
        <v>61.317999999999998</v>
      </c>
      <c r="AC7484" s="2"/>
    </row>
    <row r="7485" spans="1:29" ht="117" x14ac:dyDescent="0.15">
      <c r="A7485" s="3">
        <f>DATE(2004,12,19)</f>
        <v>38340</v>
      </c>
      <c r="B7485" s="3">
        <f>DATE(2005,4,20)</f>
        <v>38462</v>
      </c>
      <c r="C7485" s="2" t="s">
        <v>95</v>
      </c>
      <c r="D7485" s="2" t="s">
        <v>22563</v>
      </c>
      <c r="E7485" s="2" t="s">
        <v>92</v>
      </c>
      <c r="F7485" s="4">
        <v>6798</v>
      </c>
      <c r="G7485" s="2" t="s">
        <v>53</v>
      </c>
      <c r="H7485" s="2" t="s">
        <v>34</v>
      </c>
      <c r="I7485" s="2" t="s">
        <v>22564</v>
      </c>
      <c r="J7485" s="2" t="s">
        <v>18536</v>
      </c>
      <c r="K7485" s="2" t="s">
        <v>109</v>
      </c>
      <c r="L7485" s="2" t="s">
        <v>34</v>
      </c>
      <c r="M7485" s="2"/>
      <c r="N7485" s="2"/>
      <c r="O7485" s="2"/>
      <c r="P7485" s="2" t="s">
        <v>22565</v>
      </c>
      <c r="Q7485" s="6">
        <v>100</v>
      </c>
      <c r="R7485" s="6">
        <v>23.5</v>
      </c>
      <c r="S7485" s="5">
        <v>25.8</v>
      </c>
      <c r="T7485" s="7">
        <v>44.252000000000002</v>
      </c>
      <c r="U7485" s="5">
        <v>11.4</v>
      </c>
      <c r="V7485" s="6">
        <v>0.71</v>
      </c>
      <c r="W7485" s="6">
        <v>20.16</v>
      </c>
      <c r="X7485" s="6">
        <v>20.079999999999998</v>
      </c>
      <c r="Y7485" s="6">
        <v>23.55</v>
      </c>
      <c r="Z7485" s="6">
        <v>23.55</v>
      </c>
      <c r="AA7485" s="6">
        <v>24.15</v>
      </c>
      <c r="AB7485" s="7">
        <v>46.097000000000001</v>
      </c>
      <c r="AC7485" s="2"/>
    </row>
    <row r="7486" spans="1:29" ht="130" x14ac:dyDescent="0.15">
      <c r="A7486" s="3">
        <f>DATE(2004,12,20)</f>
        <v>38341</v>
      </c>
      <c r="B7486" s="3">
        <f>DATE(2005,2,10)</f>
        <v>38393</v>
      </c>
      <c r="C7486" s="2" t="s">
        <v>95</v>
      </c>
      <c r="D7486" s="2" t="s">
        <v>22566</v>
      </c>
      <c r="E7486" s="2" t="s">
        <v>22567</v>
      </c>
      <c r="F7486" s="4">
        <v>7372</v>
      </c>
      <c r="G7486" s="2" t="s">
        <v>551</v>
      </c>
      <c r="H7486" s="2" t="s">
        <v>34</v>
      </c>
      <c r="I7486" s="2" t="s">
        <v>22568</v>
      </c>
      <c r="J7486" s="2" t="s">
        <v>22569</v>
      </c>
      <c r="K7486" s="2" t="s">
        <v>63</v>
      </c>
      <c r="L7486" s="2" t="s">
        <v>34</v>
      </c>
      <c r="M7486" s="6">
        <v>731.08</v>
      </c>
      <c r="N7486" s="6">
        <v>42.11</v>
      </c>
      <c r="O7486" s="6">
        <v>44.45</v>
      </c>
      <c r="P7486" s="2" t="s">
        <v>22570</v>
      </c>
      <c r="Q7486" s="6">
        <v>100</v>
      </c>
      <c r="R7486" s="6">
        <v>5.6</v>
      </c>
      <c r="S7486" s="5">
        <v>-1.8</v>
      </c>
      <c r="T7486" s="6">
        <v>16.36</v>
      </c>
      <c r="U7486" s="5">
        <v>1.4</v>
      </c>
      <c r="V7486" s="6">
        <v>-0.14000000000000001</v>
      </c>
      <c r="W7486" s="6">
        <v>4.67</v>
      </c>
      <c r="X7486" s="5">
        <v>4.8</v>
      </c>
      <c r="Y7486" s="6">
        <v>4.82</v>
      </c>
      <c r="Z7486" s="6">
        <v>5.55</v>
      </c>
      <c r="AA7486" s="6">
        <v>15.71</v>
      </c>
      <c r="AB7486" s="7">
        <v>10.786</v>
      </c>
      <c r="AC7486" s="6">
        <v>9.92</v>
      </c>
    </row>
    <row r="7487" spans="1:29" ht="169" x14ac:dyDescent="0.15">
      <c r="A7487" s="3">
        <f>DATE(2004,12,20)</f>
        <v>38341</v>
      </c>
      <c r="B7487" s="2"/>
      <c r="C7487" s="2" t="s">
        <v>30</v>
      </c>
      <c r="D7487" s="2" t="s">
        <v>18565</v>
      </c>
      <c r="E7487" s="2" t="s">
        <v>18566</v>
      </c>
      <c r="F7487" s="4">
        <v>4931</v>
      </c>
      <c r="G7487" s="2" t="s">
        <v>439</v>
      </c>
      <c r="H7487" s="2" t="s">
        <v>34</v>
      </c>
      <c r="I7487" s="2" t="s">
        <v>22571</v>
      </c>
      <c r="J7487" s="2" t="s">
        <v>3759</v>
      </c>
      <c r="K7487" s="2" t="s">
        <v>439</v>
      </c>
      <c r="L7487" s="2" t="s">
        <v>34</v>
      </c>
      <c r="M7487" s="12">
        <v>27873.455000000002</v>
      </c>
      <c r="N7487" s="6">
        <v>43.05</v>
      </c>
      <c r="O7487" s="6">
        <v>43.52</v>
      </c>
      <c r="P7487" s="2" t="s">
        <v>22572</v>
      </c>
      <c r="Q7487" s="2"/>
      <c r="R7487" s="6">
        <v>51.28</v>
      </c>
      <c r="S7487" s="5">
        <v>796</v>
      </c>
      <c r="T7487" s="8">
        <v>2600</v>
      </c>
      <c r="U7487" s="5">
        <v>11.7</v>
      </c>
      <c r="V7487" s="7">
        <v>1.6850000000000001</v>
      </c>
      <c r="W7487" s="6">
        <v>43.17</v>
      </c>
      <c r="X7487" s="6">
        <v>47.27</v>
      </c>
      <c r="Y7487" s="6">
        <v>50.56</v>
      </c>
      <c r="Z7487" s="6">
        <v>50.56</v>
      </c>
      <c r="AA7487" s="6">
        <v>237.71</v>
      </c>
      <c r="AB7487" s="7">
        <v>20.715</v>
      </c>
      <c r="AC7487" s="5">
        <v>750</v>
      </c>
    </row>
    <row r="7488" spans="1:29" ht="65" x14ac:dyDescent="0.15">
      <c r="A7488" s="3">
        <f>DATE(2004,12,21)</f>
        <v>38342</v>
      </c>
      <c r="B7488" s="3">
        <f>DATE(2005,4,6)</f>
        <v>38448</v>
      </c>
      <c r="C7488" s="2" t="s">
        <v>95</v>
      </c>
      <c r="D7488" s="2" t="s">
        <v>22573</v>
      </c>
      <c r="E7488" s="2" t="s">
        <v>1181</v>
      </c>
      <c r="F7488" s="4">
        <v>6021</v>
      </c>
      <c r="G7488" s="2" t="s">
        <v>37</v>
      </c>
      <c r="H7488" s="2" t="s">
        <v>34</v>
      </c>
      <c r="I7488" s="2" t="s">
        <v>17463</v>
      </c>
      <c r="J7488" s="2" t="s">
        <v>36</v>
      </c>
      <c r="K7488" s="2" t="s">
        <v>37</v>
      </c>
      <c r="L7488" s="2" t="s">
        <v>34</v>
      </c>
      <c r="M7488" s="12">
        <v>2784.788</v>
      </c>
      <c r="N7488" s="6">
        <v>48.85</v>
      </c>
      <c r="O7488" s="6">
        <v>49.01</v>
      </c>
      <c r="P7488" s="2" t="s">
        <v>22574</v>
      </c>
      <c r="Q7488" s="6">
        <v>100</v>
      </c>
      <c r="R7488" s="2"/>
      <c r="S7488" s="2"/>
      <c r="T7488" s="2"/>
      <c r="U7488" s="2"/>
      <c r="V7488" s="2"/>
      <c r="W7488" s="5">
        <v>14.9</v>
      </c>
      <c r="X7488" s="4">
        <v>15</v>
      </c>
      <c r="Y7488" s="6">
        <v>15.25</v>
      </c>
      <c r="Z7488" s="6">
        <v>15.15</v>
      </c>
      <c r="AA7488" s="6">
        <v>1.26</v>
      </c>
      <c r="AB7488" s="2" t="s">
        <v>47</v>
      </c>
      <c r="AC7488" s="2"/>
    </row>
    <row r="7489" spans="1:29" ht="169" x14ac:dyDescent="0.15">
      <c r="A7489" s="3">
        <f>DATE(2004,12,22)</f>
        <v>38343</v>
      </c>
      <c r="B7489" s="3">
        <f>DATE(2005,6,3)</f>
        <v>38506</v>
      </c>
      <c r="C7489" s="2" t="s">
        <v>95</v>
      </c>
      <c r="D7489" s="2" t="s">
        <v>22575</v>
      </c>
      <c r="E7489" s="2" t="s">
        <v>296</v>
      </c>
      <c r="F7489" s="4">
        <v>6021</v>
      </c>
      <c r="G7489" s="2" t="s">
        <v>37</v>
      </c>
      <c r="H7489" s="2" t="s">
        <v>34</v>
      </c>
      <c r="I7489" s="2" t="s">
        <v>13442</v>
      </c>
      <c r="J7489" s="2" t="s">
        <v>3246</v>
      </c>
      <c r="K7489" s="2" t="s">
        <v>37</v>
      </c>
      <c r="L7489" s="2" t="s">
        <v>34</v>
      </c>
      <c r="M7489" s="12">
        <v>3015.9279999999999</v>
      </c>
      <c r="N7489" s="6">
        <v>28.01</v>
      </c>
      <c r="O7489" s="6">
        <v>28.07</v>
      </c>
      <c r="P7489" s="2" t="s">
        <v>22576</v>
      </c>
      <c r="Q7489" s="6">
        <v>100</v>
      </c>
      <c r="R7489" s="6">
        <v>6.16</v>
      </c>
      <c r="S7489" s="5">
        <v>2.6</v>
      </c>
      <c r="T7489" s="2"/>
      <c r="U7489" s="5">
        <v>2.8</v>
      </c>
      <c r="V7489" s="6">
        <v>0.23</v>
      </c>
      <c r="W7489" s="6">
        <v>5.42</v>
      </c>
      <c r="X7489" s="6">
        <v>5.41</v>
      </c>
      <c r="Y7489" s="6">
        <v>6.06</v>
      </c>
      <c r="Z7489" s="6">
        <v>6.05</v>
      </c>
      <c r="AA7489" s="6">
        <v>11.13</v>
      </c>
      <c r="AB7489" s="7">
        <v>29.234999999999999</v>
      </c>
      <c r="AC7489" s="2"/>
    </row>
    <row r="7490" spans="1:29" ht="91" x14ac:dyDescent="0.15">
      <c r="A7490" s="3">
        <f>DATE(2004,12,27)</f>
        <v>38348</v>
      </c>
      <c r="B7490" s="3">
        <f>DATE(2005,4,1)</f>
        <v>38443</v>
      </c>
      <c r="C7490" s="2" t="s">
        <v>95</v>
      </c>
      <c r="D7490" s="2" t="s">
        <v>22577</v>
      </c>
      <c r="E7490" s="2" t="s">
        <v>22578</v>
      </c>
      <c r="F7490" s="4">
        <v>8732</v>
      </c>
      <c r="G7490" s="2" t="s">
        <v>223</v>
      </c>
      <c r="H7490" s="2" t="s">
        <v>34</v>
      </c>
      <c r="I7490" s="2" t="s">
        <v>22579</v>
      </c>
      <c r="J7490" s="2" t="s">
        <v>22580</v>
      </c>
      <c r="K7490" s="2" t="s">
        <v>223</v>
      </c>
      <c r="L7490" s="2" t="s">
        <v>34</v>
      </c>
      <c r="M7490" s="12">
        <v>1300.615</v>
      </c>
      <c r="N7490" s="5">
        <v>12.6</v>
      </c>
      <c r="O7490" s="6">
        <v>12.85</v>
      </c>
      <c r="P7490" s="2" t="s">
        <v>22581</v>
      </c>
      <c r="Q7490" s="6">
        <v>100</v>
      </c>
      <c r="R7490" s="6">
        <v>10</v>
      </c>
      <c r="S7490" s="5">
        <v>-1</v>
      </c>
      <c r="T7490" s="7">
        <v>7.806</v>
      </c>
      <c r="U7490" s="5">
        <v>0.9</v>
      </c>
      <c r="V7490" s="6">
        <v>-7.0000000000000007E-2</v>
      </c>
      <c r="W7490" s="6">
        <v>6.14</v>
      </c>
      <c r="X7490" s="6">
        <v>6.48</v>
      </c>
      <c r="Y7490" s="6">
        <v>9.82</v>
      </c>
      <c r="Z7490" s="6">
        <v>9.83</v>
      </c>
      <c r="AA7490" s="6">
        <v>13.9</v>
      </c>
      <c r="AB7490" s="7">
        <v>51.62</v>
      </c>
      <c r="AC7490" s="6">
        <v>229.96</v>
      </c>
    </row>
    <row r="7491" spans="1:29" ht="117" x14ac:dyDescent="0.15">
      <c r="A7491" s="3">
        <f>DATE(2004,12,29)</f>
        <v>38350</v>
      </c>
      <c r="B7491" s="3">
        <f>DATE(2005,5,23)</f>
        <v>38495</v>
      </c>
      <c r="C7491" s="2" t="s">
        <v>95</v>
      </c>
      <c r="D7491" s="2" t="s">
        <v>20560</v>
      </c>
      <c r="E7491" s="2" t="s">
        <v>14170</v>
      </c>
      <c r="F7491" s="4">
        <v>6035</v>
      </c>
      <c r="G7491" s="2" t="s">
        <v>33</v>
      </c>
      <c r="H7491" s="2" t="s">
        <v>34</v>
      </c>
      <c r="I7491" s="2" t="s">
        <v>4543</v>
      </c>
      <c r="J7491" s="2" t="s">
        <v>36</v>
      </c>
      <c r="K7491" s="2" t="s">
        <v>37</v>
      </c>
      <c r="L7491" s="2" t="s">
        <v>34</v>
      </c>
      <c r="M7491" s="7">
        <v>620.68100000000004</v>
      </c>
      <c r="N7491" s="6">
        <v>36.58</v>
      </c>
      <c r="O7491" s="6">
        <v>36.57</v>
      </c>
      <c r="P7491" s="2" t="s">
        <v>22582</v>
      </c>
      <c r="Q7491" s="6">
        <v>100</v>
      </c>
      <c r="R7491" s="6">
        <v>46.5</v>
      </c>
      <c r="S7491" s="5">
        <v>4.0999999999999996</v>
      </c>
      <c r="T7491" s="2"/>
      <c r="U7491" s="5">
        <v>25</v>
      </c>
      <c r="V7491" s="6">
        <v>2.61</v>
      </c>
      <c r="W7491" s="6">
        <v>38.020000000000003</v>
      </c>
      <c r="X7491" s="6">
        <v>39.96</v>
      </c>
      <c r="Y7491" s="6">
        <v>39.96</v>
      </c>
      <c r="Z7491" s="6">
        <v>44.75</v>
      </c>
      <c r="AA7491" s="6">
        <v>1.41</v>
      </c>
      <c r="AB7491" s="7">
        <v>22.896999999999998</v>
      </c>
      <c r="AC7491" s="2"/>
    </row>
    <row r="7492" spans="1:29" ht="117" x14ac:dyDescent="0.15">
      <c r="A7492" s="3">
        <f>DATE(2004,12,31)</f>
        <v>38352</v>
      </c>
      <c r="B7492" s="3">
        <f>DATE(2005,4,21)</f>
        <v>38463</v>
      </c>
      <c r="C7492" s="2" t="s">
        <v>95</v>
      </c>
      <c r="D7492" s="2" t="s">
        <v>22583</v>
      </c>
      <c r="E7492" s="2" t="s">
        <v>22584</v>
      </c>
      <c r="F7492" s="4">
        <v>6021</v>
      </c>
      <c r="G7492" s="2" t="s">
        <v>37</v>
      </c>
      <c r="H7492" s="2" t="s">
        <v>34</v>
      </c>
      <c r="I7492" s="2" t="s">
        <v>22585</v>
      </c>
      <c r="J7492" s="2" t="s">
        <v>10346</v>
      </c>
      <c r="K7492" s="2" t="s">
        <v>33</v>
      </c>
      <c r="L7492" s="2" t="s">
        <v>34</v>
      </c>
      <c r="M7492" s="7">
        <v>68.094999999999999</v>
      </c>
      <c r="N7492" s="6">
        <v>28.21</v>
      </c>
      <c r="O7492" s="5">
        <v>28.2</v>
      </c>
      <c r="P7492" s="2" t="s">
        <v>22586</v>
      </c>
      <c r="Q7492" s="6">
        <v>100</v>
      </c>
      <c r="R7492" s="6">
        <v>7.33</v>
      </c>
      <c r="S7492" s="2"/>
      <c r="T7492" s="2"/>
      <c r="U7492" s="2"/>
      <c r="V7492" s="2"/>
      <c r="W7492" s="6">
        <v>1.55</v>
      </c>
      <c r="X7492" s="6">
        <v>1.55</v>
      </c>
      <c r="Y7492" s="6">
        <v>1.55</v>
      </c>
      <c r="Z7492" s="5">
        <v>6.9</v>
      </c>
      <c r="AA7492" s="6">
        <v>0.5</v>
      </c>
      <c r="AB7492" s="2" t="s">
        <v>47</v>
      </c>
      <c r="AC7492" s="2"/>
    </row>
    <row r="7493" spans="1:29" ht="117" x14ac:dyDescent="0.15">
      <c r="A7493" s="3">
        <f>DATE(2005,1,4)</f>
        <v>38356</v>
      </c>
      <c r="B7493" s="3">
        <f>DATE(2005,2,17)</f>
        <v>38400</v>
      </c>
      <c r="C7493" s="2" t="s">
        <v>95</v>
      </c>
      <c r="D7493" s="2" t="s">
        <v>22587</v>
      </c>
      <c r="E7493" s="2" t="s">
        <v>22588</v>
      </c>
      <c r="F7493" s="4">
        <v>6141</v>
      </c>
      <c r="G7493" s="2" t="s">
        <v>370</v>
      </c>
      <c r="H7493" s="2" t="s">
        <v>34</v>
      </c>
      <c r="I7493" s="2" t="s">
        <v>18573</v>
      </c>
      <c r="J7493" s="2" t="s">
        <v>22589</v>
      </c>
      <c r="K7493" s="2" t="s">
        <v>370</v>
      </c>
      <c r="L7493" s="2" t="s">
        <v>34</v>
      </c>
      <c r="M7493" s="12">
        <v>8972.6630000000005</v>
      </c>
      <c r="N7493" s="6">
        <v>44.79</v>
      </c>
      <c r="O7493" s="6">
        <v>42.75</v>
      </c>
      <c r="P7493" s="2" t="s">
        <v>22590</v>
      </c>
      <c r="Q7493" s="6">
        <v>100</v>
      </c>
      <c r="R7493" s="6">
        <v>19.05</v>
      </c>
      <c r="S7493" s="5">
        <v>8.3000000000000007</v>
      </c>
      <c r="T7493" s="7">
        <v>1.085</v>
      </c>
      <c r="U7493" s="5">
        <v>0.6</v>
      </c>
      <c r="V7493" s="6">
        <v>0.45</v>
      </c>
      <c r="W7493" s="6">
        <v>15.61</v>
      </c>
      <c r="X7493" s="6">
        <v>15.86</v>
      </c>
      <c r="Y7493" s="6">
        <v>15.42</v>
      </c>
      <c r="Z7493" s="6">
        <v>18.940000000000001</v>
      </c>
      <c r="AA7493" s="6">
        <v>22.05</v>
      </c>
      <c r="AB7493" s="2" t="s">
        <v>86</v>
      </c>
      <c r="AC7493" s="8">
        <v>2210.1999999999998</v>
      </c>
    </row>
    <row r="7494" spans="1:29" ht="117" x14ac:dyDescent="0.15">
      <c r="A7494" s="3">
        <f>DATE(2005,1,4)</f>
        <v>38356</v>
      </c>
      <c r="B7494" s="3">
        <f>DATE(2005,2,7)</f>
        <v>38390</v>
      </c>
      <c r="C7494" s="2" t="s">
        <v>95</v>
      </c>
      <c r="D7494" s="2" t="s">
        <v>22591</v>
      </c>
      <c r="E7494" s="2" t="s">
        <v>22592</v>
      </c>
      <c r="F7494" s="4">
        <v>4213</v>
      </c>
      <c r="G7494" s="2" t="s">
        <v>173</v>
      </c>
      <c r="H7494" s="2" t="s">
        <v>34</v>
      </c>
      <c r="I7494" s="2" t="s">
        <v>4521</v>
      </c>
      <c r="J7494" s="2" t="s">
        <v>4522</v>
      </c>
      <c r="K7494" s="2" t="s">
        <v>1461</v>
      </c>
      <c r="L7494" s="2" t="s">
        <v>34</v>
      </c>
      <c r="M7494" s="12">
        <v>4418.1959999999999</v>
      </c>
      <c r="N7494" s="6">
        <v>33.26</v>
      </c>
      <c r="O7494" s="6">
        <v>33.11</v>
      </c>
      <c r="P7494" s="2" t="s">
        <v>22593</v>
      </c>
      <c r="Q7494" s="6">
        <v>100</v>
      </c>
      <c r="R7494" s="6">
        <v>28.5</v>
      </c>
      <c r="S7494" s="5">
        <v>6.6</v>
      </c>
      <c r="T7494" s="7">
        <v>20.195</v>
      </c>
      <c r="U7494" s="5">
        <v>8</v>
      </c>
      <c r="V7494" s="6">
        <v>1.18</v>
      </c>
      <c r="W7494" s="6">
        <v>26.94</v>
      </c>
      <c r="X7494" s="6">
        <v>26.47</v>
      </c>
      <c r="Y7494" s="4">
        <v>26</v>
      </c>
      <c r="Z7494" s="6">
        <v>28.45</v>
      </c>
      <c r="AA7494" s="6">
        <v>5.39</v>
      </c>
      <c r="AB7494" s="7">
        <v>15.045999999999999</v>
      </c>
      <c r="AC7494" s="6">
        <v>371.28</v>
      </c>
    </row>
    <row r="7495" spans="1:29" ht="130" x14ac:dyDescent="0.15">
      <c r="A7495" s="3">
        <f>DATE(2005,1,7)</f>
        <v>38359</v>
      </c>
      <c r="B7495" s="2"/>
      <c r="C7495" s="2" t="s">
        <v>30</v>
      </c>
      <c r="D7495" s="2" t="s">
        <v>20496</v>
      </c>
      <c r="E7495" s="2" t="s">
        <v>20497</v>
      </c>
      <c r="F7495" s="4">
        <v>7372</v>
      </c>
      <c r="G7495" s="2" t="s">
        <v>551</v>
      </c>
      <c r="H7495" s="2" t="s">
        <v>34</v>
      </c>
      <c r="I7495" s="2" t="s">
        <v>22594</v>
      </c>
      <c r="J7495" s="2" t="s">
        <v>22595</v>
      </c>
      <c r="K7495" s="2" t="s">
        <v>921</v>
      </c>
      <c r="L7495" s="2" t="s">
        <v>34</v>
      </c>
      <c r="M7495" s="6">
        <v>100.56</v>
      </c>
      <c r="N7495" s="6">
        <v>4.08</v>
      </c>
      <c r="O7495" s="6">
        <v>4.45</v>
      </c>
      <c r="P7495" s="2" t="s">
        <v>22596</v>
      </c>
      <c r="Q7495" s="2"/>
      <c r="R7495" s="2"/>
      <c r="S7495" s="5">
        <v>-37.299999999999997</v>
      </c>
      <c r="T7495" s="7">
        <v>-27.207000000000001</v>
      </c>
      <c r="U7495" s="5">
        <v>2.4</v>
      </c>
      <c r="V7495" s="6">
        <v>-3.7</v>
      </c>
      <c r="W7495" s="5">
        <v>2.8</v>
      </c>
      <c r="X7495" s="6">
        <v>2.82</v>
      </c>
      <c r="Y7495" s="6">
        <v>2.74</v>
      </c>
      <c r="Z7495" s="5">
        <v>2.6</v>
      </c>
      <c r="AA7495" s="6">
        <v>10.08</v>
      </c>
      <c r="AB7495" s="2" t="s">
        <v>86</v>
      </c>
      <c r="AC7495" s="6">
        <v>12.44</v>
      </c>
    </row>
    <row r="7496" spans="1:29" ht="117" x14ac:dyDescent="0.15">
      <c r="A7496" s="3">
        <f>DATE(2005,1,7)</f>
        <v>38359</v>
      </c>
      <c r="B7496" s="3">
        <f>DATE(2005,4,27)</f>
        <v>38469</v>
      </c>
      <c r="C7496" s="2" t="s">
        <v>95</v>
      </c>
      <c r="D7496" s="2" t="s">
        <v>22597</v>
      </c>
      <c r="E7496" s="2" t="s">
        <v>22598</v>
      </c>
      <c r="F7496" s="4">
        <v>3861</v>
      </c>
      <c r="G7496" s="2" t="s">
        <v>226</v>
      </c>
      <c r="H7496" s="2" t="s">
        <v>34</v>
      </c>
      <c r="I7496" s="2" t="s">
        <v>22599</v>
      </c>
      <c r="J7496" s="2" t="s">
        <v>22600</v>
      </c>
      <c r="K7496" s="2" t="s">
        <v>223</v>
      </c>
      <c r="L7496" s="2" t="s">
        <v>34</v>
      </c>
      <c r="M7496" s="2"/>
      <c r="N7496" s="2"/>
      <c r="O7496" s="2"/>
      <c r="P7496" s="2" t="s">
        <v>22601</v>
      </c>
      <c r="Q7496" s="6">
        <v>100</v>
      </c>
      <c r="R7496" s="6">
        <v>12.08</v>
      </c>
      <c r="S7496" s="5">
        <v>58.5</v>
      </c>
      <c r="T7496" s="5">
        <v>64.7</v>
      </c>
      <c r="U7496" s="5">
        <v>7.8</v>
      </c>
      <c r="V7496" s="6">
        <v>1.51</v>
      </c>
      <c r="W7496" s="6">
        <v>10.56</v>
      </c>
      <c r="X7496" s="6">
        <v>10.65</v>
      </c>
      <c r="Y7496" s="5">
        <v>10.7</v>
      </c>
      <c r="Z7496" s="6">
        <v>12.06</v>
      </c>
      <c r="AA7496" s="6">
        <v>34.96</v>
      </c>
      <c r="AB7496" s="7">
        <v>5.6989999999999998</v>
      </c>
      <c r="AC7496" s="2"/>
    </row>
    <row r="7497" spans="1:29" ht="65" x14ac:dyDescent="0.15">
      <c r="A7497" s="3">
        <f>DATE(2005,1,7)</f>
        <v>38359</v>
      </c>
      <c r="B7497" s="3">
        <f>DATE(2005,4,1)</f>
        <v>38443</v>
      </c>
      <c r="C7497" s="2" t="s">
        <v>95</v>
      </c>
      <c r="D7497" s="2" t="s">
        <v>22602</v>
      </c>
      <c r="E7497" s="2" t="s">
        <v>22603</v>
      </c>
      <c r="F7497" s="4">
        <v>7373</v>
      </c>
      <c r="G7497" s="2" t="s">
        <v>223</v>
      </c>
      <c r="H7497" s="2" t="s">
        <v>34</v>
      </c>
      <c r="I7497" s="2" t="s">
        <v>22604</v>
      </c>
      <c r="J7497" s="2" t="s">
        <v>2712</v>
      </c>
      <c r="K7497" s="2" t="s">
        <v>53</v>
      </c>
      <c r="L7497" s="2" t="s">
        <v>34</v>
      </c>
      <c r="M7497" s="2"/>
      <c r="N7497" s="2"/>
      <c r="O7497" s="2"/>
      <c r="P7497" s="2" t="s">
        <v>22605</v>
      </c>
      <c r="Q7497" s="6">
        <v>100</v>
      </c>
      <c r="R7497" s="6">
        <v>3</v>
      </c>
      <c r="S7497" s="5">
        <v>-4.3</v>
      </c>
      <c r="T7497" s="7">
        <v>1.994</v>
      </c>
      <c r="U7497" s="5">
        <v>1.7</v>
      </c>
      <c r="V7497" s="6">
        <v>-0.1</v>
      </c>
      <c r="W7497" s="6">
        <v>2.63</v>
      </c>
      <c r="X7497" s="4">
        <v>2</v>
      </c>
      <c r="Y7497" s="4">
        <v>3</v>
      </c>
      <c r="Z7497" s="6">
        <v>2.95</v>
      </c>
      <c r="AA7497" s="6">
        <v>42.26</v>
      </c>
      <c r="AB7497" s="2" t="s">
        <v>86</v>
      </c>
      <c r="AC7497" s="2"/>
    </row>
    <row r="7498" spans="1:29" ht="104" x14ac:dyDescent="0.15">
      <c r="A7498" s="3">
        <f>DATE(2005,1,9)</f>
        <v>38361</v>
      </c>
      <c r="B7498" s="3">
        <f>DATE(2006,1,3)</f>
        <v>38720</v>
      </c>
      <c r="C7498" s="2" t="s">
        <v>95</v>
      </c>
      <c r="D7498" s="2" t="s">
        <v>18482</v>
      </c>
      <c r="E7498" s="2" t="s">
        <v>438</v>
      </c>
      <c r="F7498" s="4">
        <v>4911</v>
      </c>
      <c r="G7498" s="2" t="s">
        <v>439</v>
      </c>
      <c r="H7498" s="2" t="s">
        <v>34</v>
      </c>
      <c r="I7498" s="2" t="s">
        <v>1526</v>
      </c>
      <c r="J7498" s="2" t="s">
        <v>302</v>
      </c>
      <c r="K7498" s="2" t="s">
        <v>53</v>
      </c>
      <c r="L7498" s="2" t="s">
        <v>34</v>
      </c>
      <c r="M7498" s="2"/>
      <c r="N7498" s="2"/>
      <c r="O7498" s="2"/>
      <c r="P7498" s="2" t="s">
        <v>22606</v>
      </c>
      <c r="Q7498" s="6">
        <v>94.04</v>
      </c>
      <c r="R7498" s="2"/>
      <c r="S7498" s="8">
        <v>-4414</v>
      </c>
      <c r="T7498" s="5">
        <v>857</v>
      </c>
      <c r="U7498" s="5">
        <v>1.8</v>
      </c>
      <c r="V7498" s="6">
        <v>-10.67</v>
      </c>
      <c r="W7498" s="5">
        <v>2.7</v>
      </c>
      <c r="X7498" s="6">
        <v>1.75</v>
      </c>
      <c r="Y7498" s="6">
        <v>2.0099999999999998</v>
      </c>
      <c r="Z7498" s="6">
        <v>2.0099999999999998</v>
      </c>
      <c r="AA7498" s="6">
        <v>300</v>
      </c>
      <c r="AB7498" s="7">
        <v>30.321999999999999</v>
      </c>
      <c r="AC7498" s="2"/>
    </row>
    <row r="7499" spans="1:29" ht="182" x14ac:dyDescent="0.15">
      <c r="A7499" s="3">
        <f>DATE(2005,1,10)</f>
        <v>38362</v>
      </c>
      <c r="B7499" s="3">
        <f>DATE(2005,3,21)</f>
        <v>38432</v>
      </c>
      <c r="C7499" s="2" t="s">
        <v>95</v>
      </c>
      <c r="D7499" s="2" t="s">
        <v>22607</v>
      </c>
      <c r="E7499" s="2" t="s">
        <v>22608</v>
      </c>
      <c r="F7499" s="4">
        <v>4833</v>
      </c>
      <c r="G7499" s="2" t="s">
        <v>45</v>
      </c>
      <c r="H7499" s="2" t="s">
        <v>34</v>
      </c>
      <c r="I7499" s="2" t="s">
        <v>22609</v>
      </c>
      <c r="J7499" s="2" t="s">
        <v>398</v>
      </c>
      <c r="K7499" s="2" t="s">
        <v>42</v>
      </c>
      <c r="L7499" s="2" t="s">
        <v>34</v>
      </c>
      <c r="M7499" s="10">
        <v>60016.58</v>
      </c>
      <c r="N7499" s="6">
        <v>17.13</v>
      </c>
      <c r="O7499" s="6">
        <v>16.93</v>
      </c>
      <c r="P7499" s="2" t="s">
        <v>22610</v>
      </c>
      <c r="Q7499" s="6">
        <v>23.53</v>
      </c>
      <c r="R7499" s="6">
        <v>34.270000000000003</v>
      </c>
      <c r="S7499" s="8">
        <v>1373</v>
      </c>
      <c r="T7499" s="8">
        <v>2726</v>
      </c>
      <c r="U7499" s="5">
        <v>19.3</v>
      </c>
      <c r="V7499" s="6">
        <v>1.4</v>
      </c>
      <c r="W7499" s="6">
        <v>31.34</v>
      </c>
      <c r="X7499" s="6">
        <v>31.22</v>
      </c>
      <c r="Y7499" s="6">
        <v>34.28</v>
      </c>
      <c r="Z7499" s="6">
        <v>33.79</v>
      </c>
      <c r="AA7499" s="6">
        <v>974.46</v>
      </c>
      <c r="AB7499" s="7">
        <v>15.329000000000001</v>
      </c>
      <c r="AC7499" s="8">
        <v>5195</v>
      </c>
    </row>
    <row r="7500" spans="1:29" ht="208" x14ac:dyDescent="0.15">
      <c r="A7500" s="3">
        <f>DATE(2005,1,10)</f>
        <v>38362</v>
      </c>
      <c r="B7500" s="3">
        <f>DATE(2005,8,1)</f>
        <v>38565</v>
      </c>
      <c r="C7500" s="2" t="s">
        <v>95</v>
      </c>
      <c r="D7500" s="2" t="s">
        <v>22611</v>
      </c>
      <c r="E7500" s="2" t="s">
        <v>7568</v>
      </c>
      <c r="F7500" s="4">
        <v>4812</v>
      </c>
      <c r="G7500" s="2" t="s">
        <v>63</v>
      </c>
      <c r="H7500" s="2" t="s">
        <v>34</v>
      </c>
      <c r="I7500" s="2" t="s">
        <v>11746</v>
      </c>
      <c r="J7500" s="2" t="s">
        <v>6519</v>
      </c>
      <c r="K7500" s="2" t="s">
        <v>63</v>
      </c>
      <c r="L7500" s="2" t="s">
        <v>34</v>
      </c>
      <c r="M7500" s="12">
        <v>18395.558000000001</v>
      </c>
      <c r="N7500" s="6">
        <v>54.75</v>
      </c>
      <c r="O7500" s="6">
        <v>55.01</v>
      </c>
      <c r="P7500" s="2" t="s">
        <v>22612</v>
      </c>
      <c r="Q7500" s="6">
        <v>100</v>
      </c>
      <c r="R7500" s="6">
        <v>39.270000000000003</v>
      </c>
      <c r="S7500" s="5">
        <v>111.5</v>
      </c>
      <c r="T7500" s="6">
        <v>526.39</v>
      </c>
      <c r="U7500" s="5">
        <v>0.8</v>
      </c>
      <c r="V7500" s="6">
        <v>1.1299999999999999</v>
      </c>
      <c r="W7500" s="6">
        <v>30.78</v>
      </c>
      <c r="X7500" s="6">
        <v>36.520000000000003</v>
      </c>
      <c r="Y7500" s="6">
        <v>37.369999999999997</v>
      </c>
      <c r="Z7500" s="5">
        <v>37.6</v>
      </c>
      <c r="AA7500" s="6">
        <v>99.97</v>
      </c>
      <c r="AB7500" s="7">
        <v>22</v>
      </c>
      <c r="AC7500" s="5">
        <v>484.9</v>
      </c>
    </row>
    <row r="7501" spans="1:29" ht="195" x14ac:dyDescent="0.15">
      <c r="A7501" s="3">
        <f>DATE(2005,1,11)</f>
        <v>38363</v>
      </c>
      <c r="B7501" s="3">
        <f>DATE(2005,7,1)</f>
        <v>38534</v>
      </c>
      <c r="C7501" s="2" t="s">
        <v>95</v>
      </c>
      <c r="D7501" s="2" t="s">
        <v>22613</v>
      </c>
      <c r="E7501" s="2" t="s">
        <v>8873</v>
      </c>
      <c r="F7501" s="4">
        <v>6021</v>
      </c>
      <c r="G7501" s="2" t="s">
        <v>37</v>
      </c>
      <c r="H7501" s="2" t="s">
        <v>34</v>
      </c>
      <c r="I7501" s="2" t="s">
        <v>4525</v>
      </c>
      <c r="J7501" s="2" t="s">
        <v>36</v>
      </c>
      <c r="K7501" s="2" t="s">
        <v>37</v>
      </c>
      <c r="L7501" s="2" t="s">
        <v>34</v>
      </c>
      <c r="M7501" s="10">
        <v>2699.76</v>
      </c>
      <c r="N7501" s="6">
        <v>22.18</v>
      </c>
      <c r="O7501" s="6">
        <v>22.02</v>
      </c>
      <c r="P7501" s="2" t="s">
        <v>22614</v>
      </c>
      <c r="Q7501" s="6">
        <v>100</v>
      </c>
      <c r="R7501" s="6">
        <v>21.27</v>
      </c>
      <c r="S7501" s="5">
        <v>3.5</v>
      </c>
      <c r="T7501" s="7">
        <v>5.7619999999999996</v>
      </c>
      <c r="U7501" s="5">
        <v>7.2</v>
      </c>
      <c r="V7501" s="6">
        <v>0.85</v>
      </c>
      <c r="W7501" s="6">
        <v>20.350000000000001</v>
      </c>
      <c r="X7501" s="4">
        <v>22</v>
      </c>
      <c r="Y7501" s="6">
        <v>21.52</v>
      </c>
      <c r="Z7501" s="4">
        <v>21</v>
      </c>
      <c r="AA7501" s="6">
        <v>4.0599999999999996</v>
      </c>
      <c r="AB7501" s="7">
        <v>25.295999999999999</v>
      </c>
      <c r="AC7501" s="2"/>
    </row>
    <row r="7502" spans="1:29" ht="78" x14ac:dyDescent="0.15">
      <c r="A7502" s="3">
        <f>DATE(2005,1,12)</f>
        <v>38364</v>
      </c>
      <c r="B7502" s="3">
        <f>DATE(2005,4,7)</f>
        <v>38449</v>
      </c>
      <c r="C7502" s="2" t="s">
        <v>95</v>
      </c>
      <c r="D7502" s="2" t="s">
        <v>22615</v>
      </c>
      <c r="E7502" s="2" t="s">
        <v>22616</v>
      </c>
      <c r="F7502" s="4">
        <v>7371</v>
      </c>
      <c r="G7502" s="2" t="s">
        <v>223</v>
      </c>
      <c r="H7502" s="2" t="s">
        <v>34</v>
      </c>
      <c r="I7502" s="2" t="s">
        <v>569</v>
      </c>
      <c r="J7502" s="2" t="s">
        <v>2347</v>
      </c>
      <c r="K7502" s="2" t="s">
        <v>551</v>
      </c>
      <c r="L7502" s="2" t="s">
        <v>34</v>
      </c>
      <c r="M7502" s="12">
        <v>3865.8180000000002</v>
      </c>
      <c r="N7502" s="6">
        <v>13.79</v>
      </c>
      <c r="O7502" s="6">
        <v>13.45</v>
      </c>
      <c r="P7502" s="2" t="s">
        <v>22617</v>
      </c>
      <c r="Q7502" s="6">
        <v>100</v>
      </c>
      <c r="R7502" s="6">
        <v>12</v>
      </c>
      <c r="S7502" s="5">
        <v>-5.7</v>
      </c>
      <c r="T7502" s="7">
        <v>-3.1680000000000001</v>
      </c>
      <c r="U7502" s="2"/>
      <c r="V7502" s="9">
        <v>-0.2359</v>
      </c>
      <c r="W7502" s="6">
        <v>7.64</v>
      </c>
      <c r="X7502" s="6">
        <v>7.49</v>
      </c>
      <c r="Y7502" s="5">
        <v>7.4</v>
      </c>
      <c r="Z7502" s="6">
        <v>11.52</v>
      </c>
      <c r="AA7502" s="6">
        <v>23.81</v>
      </c>
      <c r="AB7502" s="2" t="s">
        <v>86</v>
      </c>
      <c r="AC7502" s="6">
        <v>593.01</v>
      </c>
    </row>
    <row r="7503" spans="1:29" ht="117" x14ac:dyDescent="0.15">
      <c r="A7503" s="3">
        <f>DATE(2005,1,17)</f>
        <v>38369</v>
      </c>
      <c r="B7503" s="3">
        <f>DATE(2005,5,25)</f>
        <v>38497</v>
      </c>
      <c r="C7503" s="2" t="s">
        <v>95</v>
      </c>
      <c r="D7503" s="2" t="s">
        <v>22618</v>
      </c>
      <c r="E7503" s="2" t="s">
        <v>22619</v>
      </c>
      <c r="F7503" s="4">
        <v>3429</v>
      </c>
      <c r="G7503" s="2" t="s">
        <v>163</v>
      </c>
      <c r="H7503" s="2" t="s">
        <v>34</v>
      </c>
      <c r="I7503" s="2" t="s">
        <v>22620</v>
      </c>
      <c r="J7503" s="2" t="s">
        <v>1072</v>
      </c>
      <c r="K7503" s="2" t="s">
        <v>53</v>
      </c>
      <c r="L7503" s="2" t="s">
        <v>34</v>
      </c>
      <c r="M7503" s="2"/>
      <c r="N7503" s="2"/>
      <c r="O7503" s="2"/>
      <c r="P7503" s="2" t="s">
        <v>22621</v>
      </c>
      <c r="Q7503" s="6">
        <v>100</v>
      </c>
      <c r="R7503" s="6">
        <v>18.25</v>
      </c>
      <c r="S7503" s="5">
        <v>18.5</v>
      </c>
      <c r="T7503" s="7">
        <v>37.168999999999997</v>
      </c>
      <c r="U7503" s="5">
        <v>12.1</v>
      </c>
      <c r="V7503" s="6">
        <v>1.03</v>
      </c>
      <c r="W7503" s="4">
        <v>15</v>
      </c>
      <c r="X7503" s="6">
        <v>14.88</v>
      </c>
      <c r="Y7503" s="6">
        <v>14.88</v>
      </c>
      <c r="Z7503" s="5">
        <v>17.899999999999999</v>
      </c>
      <c r="AA7503" s="6">
        <v>17.78</v>
      </c>
      <c r="AB7503" s="7">
        <v>11.461</v>
      </c>
      <c r="AC7503" s="2"/>
    </row>
    <row r="7504" spans="1:29" ht="156" x14ac:dyDescent="0.15">
      <c r="A7504" s="3">
        <f>DATE(2005,1,18)</f>
        <v>38370</v>
      </c>
      <c r="B7504" s="3">
        <f>DATE(2005,6,1)</f>
        <v>38504</v>
      </c>
      <c r="C7504" s="2" t="s">
        <v>95</v>
      </c>
      <c r="D7504" s="2" t="s">
        <v>20777</v>
      </c>
      <c r="E7504" s="2" t="s">
        <v>15546</v>
      </c>
      <c r="F7504" s="4">
        <v>3577</v>
      </c>
      <c r="G7504" s="2" t="s">
        <v>50</v>
      </c>
      <c r="H7504" s="2" t="s">
        <v>34</v>
      </c>
      <c r="I7504" s="2" t="s">
        <v>22622</v>
      </c>
      <c r="J7504" s="2" t="s">
        <v>15468</v>
      </c>
      <c r="K7504" s="2" t="s">
        <v>551</v>
      </c>
      <c r="L7504" s="2" t="s">
        <v>34</v>
      </c>
      <c r="M7504" s="7">
        <v>657.11599999999999</v>
      </c>
      <c r="N7504" s="6">
        <v>4.07</v>
      </c>
      <c r="O7504" s="6">
        <v>3.95</v>
      </c>
      <c r="P7504" s="2" t="s">
        <v>22623</v>
      </c>
      <c r="Q7504" s="6">
        <v>100</v>
      </c>
      <c r="R7504" s="6">
        <v>5.53</v>
      </c>
      <c r="S7504" s="5">
        <v>-102.7</v>
      </c>
      <c r="T7504" s="7">
        <v>15.646000000000001</v>
      </c>
      <c r="U7504" s="5">
        <v>1.4</v>
      </c>
      <c r="V7504" s="6">
        <v>-3.71</v>
      </c>
      <c r="W7504" s="5">
        <v>5.8</v>
      </c>
      <c r="X7504" s="6">
        <v>6.62</v>
      </c>
      <c r="Y7504" s="6">
        <v>5.62</v>
      </c>
      <c r="Z7504" s="6">
        <v>5.49</v>
      </c>
      <c r="AA7504" s="6">
        <v>28.7</v>
      </c>
      <c r="AB7504" s="2" t="s">
        <v>86</v>
      </c>
      <c r="AC7504" s="6">
        <v>341.36</v>
      </c>
    </row>
    <row r="7505" spans="1:29" ht="104" x14ac:dyDescent="0.15">
      <c r="A7505" s="3">
        <f>DATE(2005,1,18)</f>
        <v>38370</v>
      </c>
      <c r="B7505" s="3">
        <f>DATE(2005,5,18)</f>
        <v>38490</v>
      </c>
      <c r="C7505" s="2" t="s">
        <v>95</v>
      </c>
      <c r="D7505" s="2" t="s">
        <v>22624</v>
      </c>
      <c r="E7505" s="2" t="s">
        <v>263</v>
      </c>
      <c r="F7505" s="4">
        <v>6035</v>
      </c>
      <c r="G7505" s="2" t="s">
        <v>33</v>
      </c>
      <c r="H7505" s="2" t="s">
        <v>34</v>
      </c>
      <c r="I7505" s="2" t="s">
        <v>4018</v>
      </c>
      <c r="J7505" s="2" t="s">
        <v>159</v>
      </c>
      <c r="K7505" s="2" t="s">
        <v>37</v>
      </c>
      <c r="L7505" s="2" t="s">
        <v>34</v>
      </c>
      <c r="M7505" s="12">
        <v>2902.192</v>
      </c>
      <c r="N7505" s="6">
        <v>20.09</v>
      </c>
      <c r="O7505" s="6">
        <v>20.04</v>
      </c>
      <c r="P7505" s="2" t="s">
        <v>22625</v>
      </c>
      <c r="Q7505" s="6">
        <v>100</v>
      </c>
      <c r="R7505" s="6">
        <v>42</v>
      </c>
      <c r="S7505" s="5">
        <v>9.5</v>
      </c>
      <c r="T7505" s="2"/>
      <c r="U7505" s="5">
        <v>15.3</v>
      </c>
      <c r="V7505" s="6">
        <v>1.73</v>
      </c>
      <c r="W7505" s="6">
        <v>35.049999999999997</v>
      </c>
      <c r="X7505" s="6">
        <v>35.03</v>
      </c>
      <c r="Y7505" s="6">
        <v>40.29</v>
      </c>
      <c r="Z7505" s="6">
        <v>40.44</v>
      </c>
      <c r="AA7505" s="6">
        <v>5.41</v>
      </c>
      <c r="AB7505" s="7">
        <v>26.477</v>
      </c>
      <c r="AC7505" s="2"/>
    </row>
    <row r="7506" spans="1:29" ht="78" x14ac:dyDescent="0.15">
      <c r="A7506" s="3">
        <f>DATE(2005,1,18)</f>
        <v>38370</v>
      </c>
      <c r="B7506" s="3">
        <f>DATE(2005,4,4)</f>
        <v>38446</v>
      </c>
      <c r="C7506" s="2" t="s">
        <v>95</v>
      </c>
      <c r="D7506" s="2" t="s">
        <v>22626</v>
      </c>
      <c r="E7506" s="2" t="s">
        <v>4940</v>
      </c>
      <c r="F7506" s="4">
        <v>7372</v>
      </c>
      <c r="G7506" s="2" t="s">
        <v>551</v>
      </c>
      <c r="H7506" s="2" t="s">
        <v>34</v>
      </c>
      <c r="I7506" s="2" t="s">
        <v>22627</v>
      </c>
      <c r="J7506" s="2" t="s">
        <v>22628</v>
      </c>
      <c r="K7506" s="2" t="s">
        <v>226</v>
      </c>
      <c r="L7506" s="2" t="s">
        <v>435</v>
      </c>
      <c r="M7506" s="7">
        <v>869.52099999999996</v>
      </c>
      <c r="N7506" s="7">
        <v>30.533999999999999</v>
      </c>
      <c r="O7506" s="7">
        <v>31.547000000000001</v>
      </c>
      <c r="P7506" s="2" t="s">
        <v>22629</v>
      </c>
      <c r="Q7506" s="6">
        <v>100</v>
      </c>
      <c r="R7506" s="6">
        <v>24</v>
      </c>
      <c r="S7506" s="5">
        <v>2.5</v>
      </c>
      <c r="T7506" s="7">
        <v>7.4829999999999997</v>
      </c>
      <c r="U7506" s="5">
        <v>5.8</v>
      </c>
      <c r="V7506" s="6">
        <v>0.25</v>
      </c>
      <c r="W7506" s="6">
        <v>18.13</v>
      </c>
      <c r="X7506" s="6">
        <v>18.13</v>
      </c>
      <c r="Y7506" s="6">
        <v>18.13</v>
      </c>
      <c r="Z7506" s="6">
        <v>18.13</v>
      </c>
      <c r="AA7506" s="6">
        <v>9.93</v>
      </c>
      <c r="AB7506" s="7">
        <v>65.334999999999994</v>
      </c>
      <c r="AC7506" s="6">
        <v>165.86</v>
      </c>
    </row>
    <row r="7507" spans="1:29" ht="130" x14ac:dyDescent="0.15">
      <c r="A7507" s="3">
        <f>DATE(2005,1,18)</f>
        <v>38370</v>
      </c>
      <c r="B7507" s="3">
        <f>DATE(2005,6,16)</f>
        <v>38519</v>
      </c>
      <c r="C7507" s="2" t="s">
        <v>95</v>
      </c>
      <c r="D7507" s="2" t="s">
        <v>22630</v>
      </c>
      <c r="E7507" s="2" t="s">
        <v>22631</v>
      </c>
      <c r="F7507" s="4">
        <v>6552</v>
      </c>
      <c r="G7507" s="2" t="s">
        <v>109</v>
      </c>
      <c r="H7507" s="2" t="s">
        <v>34</v>
      </c>
      <c r="I7507" s="2" t="s">
        <v>19075</v>
      </c>
      <c r="J7507" s="2" t="s">
        <v>2128</v>
      </c>
      <c r="K7507" s="2" t="s">
        <v>53</v>
      </c>
      <c r="L7507" s="2" t="s">
        <v>34</v>
      </c>
      <c r="M7507" s="12">
        <v>1080.982</v>
      </c>
      <c r="N7507" s="6">
        <v>19.32</v>
      </c>
      <c r="O7507" s="6">
        <v>19.36</v>
      </c>
      <c r="P7507" s="2" t="s">
        <v>22632</v>
      </c>
      <c r="Q7507" s="6">
        <v>100</v>
      </c>
      <c r="R7507" s="6">
        <v>76.28</v>
      </c>
      <c r="S7507" s="5">
        <v>2.5</v>
      </c>
      <c r="T7507" s="7">
        <v>5.0869999999999997</v>
      </c>
      <c r="U7507" s="5">
        <v>65</v>
      </c>
      <c r="V7507" s="6">
        <v>6.04</v>
      </c>
      <c r="W7507" s="5">
        <v>58.5</v>
      </c>
      <c r="X7507" s="5">
        <v>58.5</v>
      </c>
      <c r="Y7507" s="4">
        <v>120</v>
      </c>
      <c r="Z7507" s="4">
        <v>120</v>
      </c>
      <c r="AA7507" s="6">
        <v>0.41</v>
      </c>
      <c r="AB7507" s="7">
        <v>9.7759999999999998</v>
      </c>
      <c r="AC7507" s="6">
        <v>1.95</v>
      </c>
    </row>
    <row r="7508" spans="1:29" ht="78" x14ac:dyDescent="0.15">
      <c r="A7508" s="3">
        <f>DATE(2005,1,19)</f>
        <v>38371</v>
      </c>
      <c r="B7508" s="2"/>
      <c r="C7508" s="2" t="s">
        <v>30</v>
      </c>
      <c r="D7508" s="2" t="s">
        <v>22530</v>
      </c>
      <c r="E7508" s="2" t="s">
        <v>15941</v>
      </c>
      <c r="F7508" s="4">
        <v>7372</v>
      </c>
      <c r="G7508" s="2" t="s">
        <v>551</v>
      </c>
      <c r="H7508" s="2" t="s">
        <v>34</v>
      </c>
      <c r="I7508" s="2" t="s">
        <v>17924</v>
      </c>
      <c r="J7508" s="2" t="s">
        <v>22633</v>
      </c>
      <c r="K7508" s="2" t="s">
        <v>551</v>
      </c>
      <c r="L7508" s="2" t="s">
        <v>34</v>
      </c>
      <c r="M7508" s="2"/>
      <c r="N7508" s="2"/>
      <c r="O7508" s="2"/>
      <c r="P7508" s="2" t="s">
        <v>22634</v>
      </c>
      <c r="Q7508" s="2"/>
      <c r="R7508" s="6">
        <v>4</v>
      </c>
      <c r="S7508" s="5">
        <v>-12.5</v>
      </c>
      <c r="T7508" s="7">
        <v>-13.146000000000001</v>
      </c>
      <c r="U7508" s="5">
        <v>62.9</v>
      </c>
      <c r="V7508" s="6">
        <v>-7.6</v>
      </c>
      <c r="W7508" s="6">
        <v>3.34</v>
      </c>
      <c r="X7508" s="6">
        <v>3.34</v>
      </c>
      <c r="Y7508" s="5">
        <v>3.4</v>
      </c>
      <c r="Z7508" s="6">
        <v>3.46</v>
      </c>
      <c r="AA7508" s="6">
        <v>32.799999999999997</v>
      </c>
      <c r="AB7508" s="2" t="s">
        <v>86</v>
      </c>
      <c r="AC7508" s="2"/>
    </row>
    <row r="7509" spans="1:29" ht="117" x14ac:dyDescent="0.15">
      <c r="A7509" s="3">
        <f>DATE(2005,1,20)</f>
        <v>38372</v>
      </c>
      <c r="B7509" s="3">
        <f>DATE(2005,8,31)</f>
        <v>38595</v>
      </c>
      <c r="C7509" s="2" t="s">
        <v>95</v>
      </c>
      <c r="D7509" s="2" t="s">
        <v>22635</v>
      </c>
      <c r="E7509" s="2" t="s">
        <v>263</v>
      </c>
      <c r="F7509" s="4">
        <v>6712</v>
      </c>
      <c r="G7509" s="2" t="s">
        <v>37</v>
      </c>
      <c r="H7509" s="2" t="s">
        <v>34</v>
      </c>
      <c r="I7509" s="2" t="s">
        <v>22636</v>
      </c>
      <c r="J7509" s="2" t="s">
        <v>389</v>
      </c>
      <c r="K7509" s="2" t="s">
        <v>33</v>
      </c>
      <c r="L7509" s="2" t="s">
        <v>34</v>
      </c>
      <c r="M7509" s="7">
        <v>181.654</v>
      </c>
      <c r="N7509" s="5">
        <v>18.899999999999999</v>
      </c>
      <c r="O7509" s="5">
        <v>17.2</v>
      </c>
      <c r="P7509" s="2" t="s">
        <v>22637</v>
      </c>
      <c r="Q7509" s="6">
        <v>100</v>
      </c>
      <c r="R7509" s="6">
        <v>27.9</v>
      </c>
      <c r="S7509" s="5">
        <v>6.3</v>
      </c>
      <c r="T7509" s="7">
        <v>9.4930000000000003</v>
      </c>
      <c r="U7509" s="5">
        <v>10.7</v>
      </c>
      <c r="V7509" s="9">
        <v>1.1995</v>
      </c>
      <c r="W7509" s="4">
        <v>22</v>
      </c>
      <c r="X7509" s="6">
        <v>21.77</v>
      </c>
      <c r="Y7509" s="6">
        <v>21.88</v>
      </c>
      <c r="Z7509" s="6">
        <v>25.88</v>
      </c>
      <c r="AA7509" s="6">
        <v>5.14</v>
      </c>
      <c r="AB7509" s="7">
        <v>89.546999999999997</v>
      </c>
      <c r="AC7509" s="2"/>
    </row>
    <row r="7510" spans="1:29" ht="117" x14ac:dyDescent="0.15">
      <c r="A7510" s="3">
        <f>DATE(2005,1,20)</f>
        <v>38372</v>
      </c>
      <c r="B7510" s="3">
        <f>DATE(2005,3,3)</f>
        <v>38414</v>
      </c>
      <c r="C7510" s="2" t="s">
        <v>95</v>
      </c>
      <c r="D7510" s="2" t="s">
        <v>22638</v>
      </c>
      <c r="E7510" s="2" t="s">
        <v>92</v>
      </c>
      <c r="F7510" s="4">
        <v>6798</v>
      </c>
      <c r="G7510" s="2" t="s">
        <v>53</v>
      </c>
      <c r="H7510" s="2" t="s">
        <v>34</v>
      </c>
      <c r="I7510" s="2" t="s">
        <v>22639</v>
      </c>
      <c r="J7510" s="2" t="s">
        <v>92</v>
      </c>
      <c r="K7510" s="2" t="s">
        <v>53</v>
      </c>
      <c r="L7510" s="2" t="s">
        <v>34</v>
      </c>
      <c r="M7510" s="12">
        <v>4995.4880000000003</v>
      </c>
      <c r="N7510" s="6">
        <v>43.02</v>
      </c>
      <c r="O7510" s="5">
        <v>43.3</v>
      </c>
      <c r="P7510" s="2" t="s">
        <v>22640</v>
      </c>
      <c r="Q7510" s="6">
        <v>100</v>
      </c>
      <c r="R7510" s="6">
        <v>7.5</v>
      </c>
      <c r="S7510" s="5">
        <v>-5.5</v>
      </c>
      <c r="T7510" s="7">
        <v>-5.5110000000000001</v>
      </c>
      <c r="U7510" s="5">
        <v>7.5</v>
      </c>
      <c r="V7510" s="6">
        <v>-0.4</v>
      </c>
      <c r="W7510" s="5">
        <v>6.6</v>
      </c>
      <c r="X7510" s="6">
        <v>6.75</v>
      </c>
      <c r="Y7510" s="6">
        <v>7.45</v>
      </c>
      <c r="Z7510" s="6">
        <v>7.45</v>
      </c>
      <c r="AA7510" s="6">
        <v>15.97</v>
      </c>
      <c r="AB7510" s="2" t="s">
        <v>86</v>
      </c>
      <c r="AC7510" s="6">
        <v>127.99</v>
      </c>
    </row>
    <row r="7511" spans="1:29" ht="221" x14ac:dyDescent="0.15">
      <c r="A7511" s="3">
        <f>DATE(2005,1,21)</f>
        <v>38373</v>
      </c>
      <c r="B7511" s="2"/>
      <c r="C7511" s="2" t="s">
        <v>30</v>
      </c>
      <c r="D7511" s="2" t="s">
        <v>22641</v>
      </c>
      <c r="E7511" s="2" t="s">
        <v>22642</v>
      </c>
      <c r="F7511" s="4">
        <v>3679</v>
      </c>
      <c r="G7511" s="2" t="s">
        <v>137</v>
      </c>
      <c r="H7511" s="2" t="s">
        <v>34</v>
      </c>
      <c r="I7511" s="2" t="s">
        <v>22643</v>
      </c>
      <c r="J7511" s="2" t="s">
        <v>22644</v>
      </c>
      <c r="K7511" s="2" t="s">
        <v>226</v>
      </c>
      <c r="L7511" s="2" t="s">
        <v>34</v>
      </c>
      <c r="M7511" s="7">
        <v>195.023</v>
      </c>
      <c r="N7511" s="6">
        <v>12.66</v>
      </c>
      <c r="O7511" s="6">
        <v>11.65</v>
      </c>
      <c r="P7511" s="2" t="s">
        <v>22645</v>
      </c>
      <c r="Q7511" s="2"/>
      <c r="R7511" s="6">
        <v>8.39</v>
      </c>
      <c r="S7511" s="5">
        <v>0.8</v>
      </c>
      <c r="T7511" s="5">
        <v>3.2</v>
      </c>
      <c r="U7511" s="5">
        <v>4.5999999999999996</v>
      </c>
      <c r="V7511" s="6">
        <v>0.04</v>
      </c>
      <c r="W7511" s="6">
        <v>9.1300000000000008</v>
      </c>
      <c r="X7511" s="6">
        <v>9.15</v>
      </c>
      <c r="Y7511" s="6">
        <v>7.99</v>
      </c>
      <c r="Z7511" s="6">
        <v>7.25</v>
      </c>
      <c r="AA7511" s="6">
        <v>17.809999999999999</v>
      </c>
      <c r="AB7511" s="7">
        <v>116.76300000000001</v>
      </c>
      <c r="AC7511" s="6">
        <v>33.869999999999997</v>
      </c>
    </row>
    <row r="7512" spans="1:29" ht="130" x14ac:dyDescent="0.15">
      <c r="A7512" s="3">
        <f>DATE(2005,1,25)</f>
        <v>38377</v>
      </c>
      <c r="B7512" s="3">
        <f>DATE(2005,6,27)</f>
        <v>38530</v>
      </c>
      <c r="C7512" s="2" t="s">
        <v>95</v>
      </c>
      <c r="D7512" s="2" t="s">
        <v>22646</v>
      </c>
      <c r="E7512" s="2" t="s">
        <v>21742</v>
      </c>
      <c r="F7512" s="4">
        <v>7371</v>
      </c>
      <c r="G7512" s="2" t="s">
        <v>223</v>
      </c>
      <c r="H7512" s="2" t="s">
        <v>34</v>
      </c>
      <c r="I7512" s="2" t="s">
        <v>22647</v>
      </c>
      <c r="J7512" s="2" t="s">
        <v>11753</v>
      </c>
      <c r="K7512" s="2" t="s">
        <v>551</v>
      </c>
      <c r="L7512" s="2" t="s">
        <v>34</v>
      </c>
      <c r="M7512" s="7">
        <v>603.26700000000005</v>
      </c>
      <c r="N7512" s="6">
        <v>16.41</v>
      </c>
      <c r="O7512" s="5">
        <v>16.600000000000001</v>
      </c>
      <c r="P7512" s="2" t="s">
        <v>22648</v>
      </c>
      <c r="Q7512" s="6">
        <v>100</v>
      </c>
      <c r="R7512" s="6">
        <v>3.75</v>
      </c>
      <c r="S7512" s="5">
        <v>2.2000000000000002</v>
      </c>
      <c r="T7512" s="7">
        <v>4.6310000000000002</v>
      </c>
      <c r="U7512" s="5">
        <v>1</v>
      </c>
      <c r="V7512" s="6">
        <v>0.15</v>
      </c>
      <c r="W7512" s="6">
        <v>2.97</v>
      </c>
      <c r="X7512" s="6">
        <v>2.95</v>
      </c>
      <c r="Y7512" s="6">
        <v>3.59</v>
      </c>
      <c r="Z7512" s="6">
        <v>3.64</v>
      </c>
      <c r="AA7512" s="6">
        <v>14.81</v>
      </c>
      <c r="AB7512" s="7">
        <v>12.304</v>
      </c>
      <c r="AC7512" s="6">
        <v>52.56</v>
      </c>
    </row>
    <row r="7513" spans="1:29" ht="234" x14ac:dyDescent="0.15">
      <c r="A7513" s="3">
        <f>DATE(2005,1,25)</f>
        <v>38377</v>
      </c>
      <c r="B7513" s="2"/>
      <c r="C7513" s="2" t="s">
        <v>30</v>
      </c>
      <c r="D7513" s="2" t="s">
        <v>6905</v>
      </c>
      <c r="E7513" s="2" t="s">
        <v>6906</v>
      </c>
      <c r="F7513" s="4">
        <v>8051</v>
      </c>
      <c r="G7513" s="2" t="s">
        <v>454</v>
      </c>
      <c r="H7513" s="2" t="s">
        <v>34</v>
      </c>
      <c r="I7513" s="2" t="s">
        <v>51</v>
      </c>
      <c r="J7513" s="2" t="s">
        <v>52</v>
      </c>
      <c r="K7513" s="2" t="s">
        <v>53</v>
      </c>
      <c r="L7513" s="2" t="s">
        <v>34</v>
      </c>
      <c r="M7513" s="2"/>
      <c r="N7513" s="2"/>
      <c r="O7513" s="2"/>
      <c r="P7513" s="2" t="s">
        <v>22649</v>
      </c>
      <c r="Q7513" s="2"/>
      <c r="R7513" s="6">
        <v>12.9</v>
      </c>
      <c r="S7513" s="5">
        <v>42.7</v>
      </c>
      <c r="T7513" s="7">
        <v>192.988</v>
      </c>
      <c r="U7513" s="5">
        <v>2.5</v>
      </c>
      <c r="V7513" s="6">
        <v>0.37</v>
      </c>
      <c r="W7513" s="5">
        <v>9.1999999999999993</v>
      </c>
      <c r="X7513" s="6">
        <v>9.3800000000000008</v>
      </c>
      <c r="Y7513" s="6">
        <v>11.77</v>
      </c>
      <c r="Z7513" s="6">
        <v>11.95</v>
      </c>
      <c r="AA7513" s="6">
        <v>108.09</v>
      </c>
      <c r="AB7513" s="7">
        <v>15.317</v>
      </c>
      <c r="AC7513" s="2"/>
    </row>
    <row r="7514" spans="1:29" ht="130" x14ac:dyDescent="0.15">
      <c r="A7514" s="3">
        <f>DATE(2005,1,25)</f>
        <v>38377</v>
      </c>
      <c r="B7514" s="3">
        <f>DATE(2005,5,19)</f>
        <v>38491</v>
      </c>
      <c r="C7514" s="2" t="s">
        <v>95</v>
      </c>
      <c r="D7514" s="2" t="s">
        <v>22650</v>
      </c>
      <c r="E7514" s="2" t="s">
        <v>1181</v>
      </c>
      <c r="F7514" s="4">
        <v>6021</v>
      </c>
      <c r="G7514" s="2" t="s">
        <v>37</v>
      </c>
      <c r="H7514" s="2" t="s">
        <v>34</v>
      </c>
      <c r="I7514" s="2" t="s">
        <v>16147</v>
      </c>
      <c r="J7514" s="2" t="s">
        <v>672</v>
      </c>
      <c r="K7514" s="2" t="s">
        <v>37</v>
      </c>
      <c r="L7514" s="2" t="s">
        <v>34</v>
      </c>
      <c r="M7514" s="12">
        <v>4189.1450000000004</v>
      </c>
      <c r="N7514" s="6">
        <v>49.98</v>
      </c>
      <c r="O7514" s="6">
        <v>50.77</v>
      </c>
      <c r="P7514" s="2" t="s">
        <v>22651</v>
      </c>
      <c r="Q7514" s="6">
        <v>100</v>
      </c>
      <c r="R7514" s="6">
        <v>20.38</v>
      </c>
      <c r="S7514" s="5">
        <v>8.8000000000000007</v>
      </c>
      <c r="T7514" s="2"/>
      <c r="U7514" s="5">
        <v>5.8</v>
      </c>
      <c r="V7514" s="6">
        <v>0.85</v>
      </c>
      <c r="W7514" s="5">
        <v>17.8</v>
      </c>
      <c r="X7514" s="5">
        <v>17.2</v>
      </c>
      <c r="Y7514" s="6">
        <v>19.97</v>
      </c>
      <c r="Z7514" s="6">
        <v>20.23</v>
      </c>
      <c r="AA7514" s="6">
        <v>10.17</v>
      </c>
      <c r="AB7514" s="7">
        <v>33.311999999999998</v>
      </c>
      <c r="AC7514" s="2"/>
    </row>
    <row r="7515" spans="1:29" ht="78" x14ac:dyDescent="0.15">
      <c r="A7515" s="3">
        <f>DATE(2005,1,25)</f>
        <v>38377</v>
      </c>
      <c r="B7515" s="3">
        <f>DATE(2005,3,16)</f>
        <v>38427</v>
      </c>
      <c r="C7515" s="2" t="s">
        <v>95</v>
      </c>
      <c r="D7515" s="2" t="s">
        <v>22652</v>
      </c>
      <c r="E7515" s="2" t="s">
        <v>849</v>
      </c>
      <c r="F7515" s="4">
        <v>7372</v>
      </c>
      <c r="G7515" s="2" t="s">
        <v>551</v>
      </c>
      <c r="H7515" s="2" t="s">
        <v>34</v>
      </c>
      <c r="I7515" s="2" t="s">
        <v>5443</v>
      </c>
      <c r="J7515" s="2" t="s">
        <v>5444</v>
      </c>
      <c r="K7515" s="2" t="s">
        <v>50</v>
      </c>
      <c r="L7515" s="2" t="s">
        <v>34</v>
      </c>
      <c r="M7515" s="10">
        <v>163639.74</v>
      </c>
      <c r="N7515" s="6">
        <v>92.19</v>
      </c>
      <c r="O7515" s="6">
        <v>91.95</v>
      </c>
      <c r="P7515" s="2" t="s">
        <v>22653</v>
      </c>
      <c r="Q7515" s="6">
        <v>100</v>
      </c>
      <c r="R7515" s="6">
        <v>2.82</v>
      </c>
      <c r="S7515" s="5">
        <v>-12.7</v>
      </c>
      <c r="T7515" s="7">
        <v>-2.0870000000000002</v>
      </c>
      <c r="U7515" s="2"/>
      <c r="V7515" s="6">
        <v>-0.2</v>
      </c>
      <c r="W7515" s="5">
        <v>2.1</v>
      </c>
      <c r="X7515" s="6">
        <v>2.0499999999999998</v>
      </c>
      <c r="Y7515" s="6">
        <v>2.78</v>
      </c>
      <c r="Z7515" s="6">
        <v>2.78</v>
      </c>
      <c r="AA7515" s="6">
        <v>64.41</v>
      </c>
      <c r="AB7515" s="2" t="s">
        <v>86</v>
      </c>
      <c r="AC7515" s="8">
        <v>10570</v>
      </c>
    </row>
    <row r="7516" spans="1:29" ht="195" x14ac:dyDescent="0.15">
      <c r="A7516" s="3">
        <f>DATE(2005,1,26)</f>
        <v>38378</v>
      </c>
      <c r="B7516" s="3">
        <f>DATE(2005,6,7)</f>
        <v>38510</v>
      </c>
      <c r="C7516" s="2" t="s">
        <v>95</v>
      </c>
      <c r="D7516" s="2" t="s">
        <v>11399</v>
      </c>
      <c r="E7516" s="2" t="s">
        <v>1435</v>
      </c>
      <c r="F7516" s="4">
        <v>1311</v>
      </c>
      <c r="G7516" s="2" t="s">
        <v>148</v>
      </c>
      <c r="H7516" s="2" t="s">
        <v>34</v>
      </c>
      <c r="I7516" s="2" t="s">
        <v>19751</v>
      </c>
      <c r="J7516" s="2" t="s">
        <v>1435</v>
      </c>
      <c r="K7516" s="2" t="s">
        <v>148</v>
      </c>
      <c r="L7516" s="2" t="s">
        <v>34</v>
      </c>
      <c r="M7516" s="12">
        <v>1584.9860000000001</v>
      </c>
      <c r="N7516" s="6">
        <v>36.06</v>
      </c>
      <c r="O7516" s="6">
        <v>36.43</v>
      </c>
      <c r="P7516" s="2" t="s">
        <v>22654</v>
      </c>
      <c r="Q7516" s="6">
        <v>100</v>
      </c>
      <c r="R7516" s="6">
        <v>16.850000000000001</v>
      </c>
      <c r="S7516" s="5">
        <v>103.6</v>
      </c>
      <c r="T7516" s="7">
        <v>332.82400000000001</v>
      </c>
      <c r="U7516" s="5">
        <v>7.8</v>
      </c>
      <c r="V7516" s="6">
        <v>1.31</v>
      </c>
      <c r="W7516" s="6">
        <v>13.06</v>
      </c>
      <c r="X7516" s="6">
        <v>13.24</v>
      </c>
      <c r="Y7516" s="6">
        <v>14.85</v>
      </c>
      <c r="Z7516" s="6">
        <v>14.95</v>
      </c>
      <c r="AA7516" s="6">
        <v>87.11</v>
      </c>
      <c r="AB7516" s="7">
        <v>7.4779999999999998</v>
      </c>
      <c r="AC7516" s="6">
        <v>115.75</v>
      </c>
    </row>
    <row r="7517" spans="1:29" ht="247" x14ac:dyDescent="0.15">
      <c r="A7517" s="3">
        <f>DATE(2005,1,27)</f>
        <v>38379</v>
      </c>
      <c r="B7517" s="3">
        <f>DATE(2006,2,15)</f>
        <v>38763</v>
      </c>
      <c r="C7517" s="2" t="s">
        <v>95</v>
      </c>
      <c r="D7517" s="2" t="s">
        <v>22641</v>
      </c>
      <c r="E7517" s="2" t="s">
        <v>22642</v>
      </c>
      <c r="F7517" s="4">
        <v>3679</v>
      </c>
      <c r="G7517" s="2" t="s">
        <v>137</v>
      </c>
      <c r="H7517" s="2" t="s">
        <v>34</v>
      </c>
      <c r="I7517" s="2" t="s">
        <v>22655</v>
      </c>
      <c r="J7517" s="2" t="s">
        <v>6798</v>
      </c>
      <c r="K7517" s="2" t="s">
        <v>226</v>
      </c>
      <c r="L7517" s="2" t="s">
        <v>34</v>
      </c>
      <c r="M7517" s="7">
        <v>286.26400000000001</v>
      </c>
      <c r="N7517" s="6">
        <v>16.829999999999998</v>
      </c>
      <c r="O7517" s="6">
        <v>15.38</v>
      </c>
      <c r="P7517" s="2" t="s">
        <v>22656</v>
      </c>
      <c r="Q7517" s="6">
        <v>100</v>
      </c>
      <c r="R7517" s="6">
        <v>10.5</v>
      </c>
      <c r="S7517" s="5">
        <v>0.8</v>
      </c>
      <c r="T7517" s="5">
        <v>3.2</v>
      </c>
      <c r="U7517" s="5">
        <v>4.5999999999999996</v>
      </c>
      <c r="V7517" s="6">
        <v>0.04</v>
      </c>
      <c r="W7517" s="6">
        <v>9.1300000000000008</v>
      </c>
      <c r="X7517" s="6">
        <v>9.15</v>
      </c>
      <c r="Y7517" s="6">
        <v>7.99</v>
      </c>
      <c r="Z7517" s="6">
        <v>7.25</v>
      </c>
      <c r="AA7517" s="6">
        <v>17.809999999999999</v>
      </c>
      <c r="AB7517" s="7">
        <v>153.238</v>
      </c>
      <c r="AC7517" s="6">
        <v>84.42</v>
      </c>
    </row>
    <row r="7518" spans="1:29" ht="117" x14ac:dyDescent="0.15">
      <c r="A7518" s="3">
        <f>DATE(2005,1,27)</f>
        <v>38379</v>
      </c>
      <c r="B7518" s="3">
        <f>DATE(2005,4,21)</f>
        <v>38463</v>
      </c>
      <c r="C7518" s="2" t="s">
        <v>95</v>
      </c>
      <c r="D7518" s="2" t="s">
        <v>22657</v>
      </c>
      <c r="E7518" s="2" t="s">
        <v>540</v>
      </c>
      <c r="F7518" s="4">
        <v>2836</v>
      </c>
      <c r="G7518" s="2" t="s">
        <v>130</v>
      </c>
      <c r="H7518" s="2" t="s">
        <v>34</v>
      </c>
      <c r="I7518" s="2" t="s">
        <v>22658</v>
      </c>
      <c r="J7518" s="2" t="s">
        <v>22659</v>
      </c>
      <c r="K7518" s="2" t="s">
        <v>577</v>
      </c>
      <c r="L7518" s="2" t="s">
        <v>734</v>
      </c>
      <c r="M7518" s="12">
        <v>3044.0450000000001</v>
      </c>
      <c r="N7518" s="2"/>
      <c r="O7518" s="2"/>
      <c r="P7518" s="2" t="s">
        <v>22660</v>
      </c>
      <c r="Q7518" s="6">
        <v>49.56</v>
      </c>
      <c r="R7518" s="6">
        <v>15</v>
      </c>
      <c r="S7518" s="5">
        <v>26.2</v>
      </c>
      <c r="T7518" s="7">
        <v>61.658000000000001</v>
      </c>
      <c r="U7518" s="5">
        <v>6.4</v>
      </c>
      <c r="V7518" s="6">
        <v>0.31</v>
      </c>
      <c r="W7518" s="6">
        <v>15.73</v>
      </c>
      <c r="X7518" s="6">
        <v>15.54</v>
      </c>
      <c r="Y7518" s="6">
        <v>19.09</v>
      </c>
      <c r="Z7518" s="6">
        <v>19.04</v>
      </c>
      <c r="AA7518" s="6">
        <v>59.66</v>
      </c>
      <c r="AB7518" s="7">
        <v>41.531999999999996</v>
      </c>
      <c r="AC7518" s="6">
        <v>77.77</v>
      </c>
    </row>
    <row r="7519" spans="1:29" ht="156" x14ac:dyDescent="0.15">
      <c r="A7519" s="3">
        <f>DATE(2005,1,27)</f>
        <v>38379</v>
      </c>
      <c r="B7519" s="3">
        <f>DATE(2005,4,21)</f>
        <v>38463</v>
      </c>
      <c r="C7519" s="2" t="s">
        <v>95</v>
      </c>
      <c r="D7519" s="2" t="s">
        <v>22657</v>
      </c>
      <c r="E7519" s="2" t="s">
        <v>540</v>
      </c>
      <c r="F7519" s="4">
        <v>2836</v>
      </c>
      <c r="G7519" s="2" t="s">
        <v>130</v>
      </c>
      <c r="H7519" s="2" t="s">
        <v>34</v>
      </c>
      <c r="I7519" s="2" t="s">
        <v>22658</v>
      </c>
      <c r="J7519" s="2" t="s">
        <v>22659</v>
      </c>
      <c r="K7519" s="2" t="s">
        <v>577</v>
      </c>
      <c r="L7519" s="2" t="s">
        <v>734</v>
      </c>
      <c r="M7519" s="12">
        <v>3044.0450000000001</v>
      </c>
      <c r="N7519" s="2"/>
      <c r="O7519" s="2"/>
      <c r="P7519" s="2" t="s">
        <v>22661</v>
      </c>
      <c r="Q7519" s="6">
        <v>16</v>
      </c>
      <c r="R7519" s="6">
        <v>19.25</v>
      </c>
      <c r="S7519" s="5">
        <v>26.2</v>
      </c>
      <c r="T7519" s="7">
        <v>61.658000000000001</v>
      </c>
      <c r="U7519" s="5">
        <v>6.4</v>
      </c>
      <c r="V7519" s="6">
        <v>0.31</v>
      </c>
      <c r="W7519" s="6">
        <v>15.73</v>
      </c>
      <c r="X7519" s="6">
        <v>15.54</v>
      </c>
      <c r="Y7519" s="6">
        <v>19.09</v>
      </c>
      <c r="Z7519" s="6">
        <v>19.04</v>
      </c>
      <c r="AA7519" s="6">
        <v>59.66</v>
      </c>
      <c r="AB7519" s="7">
        <v>49.078000000000003</v>
      </c>
      <c r="AC7519" s="6">
        <v>77.77</v>
      </c>
    </row>
    <row r="7520" spans="1:29" ht="104" x14ac:dyDescent="0.15">
      <c r="A7520" s="3">
        <f>DATE(2005,1,27)</f>
        <v>38379</v>
      </c>
      <c r="B7520" s="3">
        <f>DATE(2005,4,19)</f>
        <v>38461</v>
      </c>
      <c r="C7520" s="2" t="s">
        <v>95</v>
      </c>
      <c r="D7520" s="2" t="s">
        <v>20472</v>
      </c>
      <c r="E7520" s="2" t="s">
        <v>20473</v>
      </c>
      <c r="F7520" s="4">
        <v>7372</v>
      </c>
      <c r="G7520" s="2" t="s">
        <v>551</v>
      </c>
      <c r="H7520" s="2" t="s">
        <v>34</v>
      </c>
      <c r="I7520" s="2" t="s">
        <v>22662</v>
      </c>
      <c r="J7520" s="2" t="s">
        <v>8589</v>
      </c>
      <c r="K7520" s="2" t="s">
        <v>551</v>
      </c>
      <c r="L7520" s="2" t="s">
        <v>34</v>
      </c>
      <c r="M7520" s="2"/>
      <c r="N7520" s="2"/>
      <c r="O7520" s="2"/>
      <c r="P7520" s="2" t="s">
        <v>22663</v>
      </c>
      <c r="Q7520" s="6">
        <v>100</v>
      </c>
      <c r="R7520" s="6">
        <v>12.75</v>
      </c>
      <c r="S7520" s="5">
        <v>13.5</v>
      </c>
      <c r="T7520" s="7">
        <v>39.210999999999999</v>
      </c>
      <c r="U7520" s="5">
        <v>2.9</v>
      </c>
      <c r="V7520" s="6">
        <v>0.51</v>
      </c>
      <c r="W7520" s="6">
        <v>11.16</v>
      </c>
      <c r="X7520" s="6">
        <v>11.62</v>
      </c>
      <c r="Y7520" s="6">
        <v>12.54</v>
      </c>
      <c r="Z7520" s="5">
        <v>12.5</v>
      </c>
      <c r="AA7520" s="6">
        <v>25.76</v>
      </c>
      <c r="AB7520" s="7">
        <v>12.388999999999999</v>
      </c>
      <c r="AC7520" s="2"/>
    </row>
    <row r="7521" spans="1:29" ht="182" x14ac:dyDescent="0.15">
      <c r="A7521" s="3">
        <f>DATE(2005,1,28)</f>
        <v>38380</v>
      </c>
      <c r="B7521" s="3">
        <f>DATE(2005,10,1)</f>
        <v>38626</v>
      </c>
      <c r="C7521" s="2" t="s">
        <v>95</v>
      </c>
      <c r="D7521" s="2" t="s">
        <v>4184</v>
      </c>
      <c r="E7521" s="2" t="s">
        <v>4185</v>
      </c>
      <c r="F7521" s="4">
        <v>3421</v>
      </c>
      <c r="G7521" s="2" t="s">
        <v>163</v>
      </c>
      <c r="H7521" s="2" t="s">
        <v>34</v>
      </c>
      <c r="I7521" s="2" t="s">
        <v>9552</v>
      </c>
      <c r="J7521" s="2" t="s">
        <v>9553</v>
      </c>
      <c r="K7521" s="2" t="s">
        <v>358</v>
      </c>
      <c r="L7521" s="2" t="s">
        <v>34</v>
      </c>
      <c r="M7521" s="12">
        <v>139720.49900000001</v>
      </c>
      <c r="N7521" s="6">
        <v>54.15</v>
      </c>
      <c r="O7521" s="6">
        <v>53.23</v>
      </c>
      <c r="P7521" s="2" t="s">
        <v>22664</v>
      </c>
      <c r="Q7521" s="6">
        <v>100</v>
      </c>
      <c r="R7521" s="6">
        <v>53.94</v>
      </c>
      <c r="S7521" s="8">
        <v>1691</v>
      </c>
      <c r="T7521" s="8">
        <v>3075</v>
      </c>
      <c r="U7521" s="5">
        <v>2.9</v>
      </c>
      <c r="V7521" s="6">
        <v>1.69</v>
      </c>
      <c r="W7521" s="6">
        <v>44.08</v>
      </c>
      <c r="X7521" s="6">
        <v>45.85</v>
      </c>
      <c r="Y7521" s="5">
        <v>51.6</v>
      </c>
      <c r="Z7521" s="6">
        <v>50.72</v>
      </c>
      <c r="AA7521" s="6">
        <v>992.81</v>
      </c>
      <c r="AB7521" s="7">
        <v>23.216000000000001</v>
      </c>
      <c r="AC7521" s="8">
        <v>8170</v>
      </c>
    </row>
    <row r="7522" spans="1:29" ht="195" x14ac:dyDescent="0.15">
      <c r="A7522" s="3">
        <f>DATE(2005,1,31)</f>
        <v>38383</v>
      </c>
      <c r="B7522" s="3">
        <f>DATE(2005,11,18)</f>
        <v>38674</v>
      </c>
      <c r="C7522" s="2" t="s">
        <v>95</v>
      </c>
      <c r="D7522" s="2" t="s">
        <v>5691</v>
      </c>
      <c r="E7522" s="2" t="s">
        <v>5692</v>
      </c>
      <c r="F7522" s="4">
        <v>4813</v>
      </c>
      <c r="G7522" s="2" t="s">
        <v>63</v>
      </c>
      <c r="H7522" s="2" t="s">
        <v>34</v>
      </c>
      <c r="I7522" s="2" t="s">
        <v>4689</v>
      </c>
      <c r="J7522" s="2" t="s">
        <v>1604</v>
      </c>
      <c r="K7522" s="2" t="s">
        <v>63</v>
      </c>
      <c r="L7522" s="2" t="s">
        <v>34</v>
      </c>
      <c r="M7522" s="12">
        <v>84841.441999999995</v>
      </c>
      <c r="N7522" s="6">
        <v>23.76</v>
      </c>
      <c r="O7522" s="6">
        <v>23.92</v>
      </c>
      <c r="P7522" s="2" t="s">
        <v>22665</v>
      </c>
      <c r="Q7522" s="6">
        <v>100</v>
      </c>
      <c r="R7522" s="6">
        <v>18.41</v>
      </c>
      <c r="S7522" s="8">
        <v>-6469</v>
      </c>
      <c r="T7522" s="8">
        <v>-6320</v>
      </c>
      <c r="U7522" s="5">
        <v>8.8000000000000007</v>
      </c>
      <c r="V7522" s="6">
        <v>-8.14</v>
      </c>
      <c r="W7522" s="6">
        <v>18.079999999999998</v>
      </c>
      <c r="X7522" s="6">
        <v>19.71</v>
      </c>
      <c r="Y7522" s="6">
        <v>19.190000000000001</v>
      </c>
      <c r="Z7522" s="6">
        <v>19.190000000000001</v>
      </c>
      <c r="AA7522" s="6">
        <v>798.57</v>
      </c>
      <c r="AB7522" s="2" t="s">
        <v>86</v>
      </c>
      <c r="AC7522" s="5">
        <v>859</v>
      </c>
    </row>
    <row r="7523" spans="1:29" ht="52" x14ac:dyDescent="0.15">
      <c r="A7523" s="3">
        <f>DATE(2005,1,31)</f>
        <v>38383</v>
      </c>
      <c r="B7523" s="3">
        <f>DATE(2005,6,3)</f>
        <v>38506</v>
      </c>
      <c r="C7523" s="2" t="s">
        <v>95</v>
      </c>
      <c r="D7523" s="2" t="s">
        <v>22666</v>
      </c>
      <c r="E7523" s="2" t="s">
        <v>4673</v>
      </c>
      <c r="F7523" s="4">
        <v>2711</v>
      </c>
      <c r="G7523" s="2" t="s">
        <v>186</v>
      </c>
      <c r="H7523" s="2" t="s">
        <v>34</v>
      </c>
      <c r="I7523" s="2" t="s">
        <v>22667</v>
      </c>
      <c r="J7523" s="2" t="s">
        <v>4673</v>
      </c>
      <c r="K7523" s="2" t="s">
        <v>186</v>
      </c>
      <c r="L7523" s="2" t="s">
        <v>34</v>
      </c>
      <c r="M7523" s="12">
        <v>2068.5749999999998</v>
      </c>
      <c r="N7523" s="6">
        <v>44.55</v>
      </c>
      <c r="O7523" s="5">
        <v>44.4</v>
      </c>
      <c r="P7523" s="2" t="s">
        <v>22668</v>
      </c>
      <c r="Q7523" s="6">
        <v>100</v>
      </c>
      <c r="R7523" s="6">
        <v>64</v>
      </c>
      <c r="S7523" s="5">
        <v>44.8</v>
      </c>
      <c r="T7523" s="7">
        <v>102.517</v>
      </c>
      <c r="U7523" s="5">
        <v>40.5</v>
      </c>
      <c r="V7523" s="6">
        <v>2.0499999999999998</v>
      </c>
      <c r="W7523" s="6">
        <v>64.95</v>
      </c>
      <c r="X7523" s="5">
        <v>62.9</v>
      </c>
      <c r="Y7523" s="6">
        <v>63.46</v>
      </c>
      <c r="Z7523" s="6">
        <v>63.47</v>
      </c>
      <c r="AA7523" s="6">
        <v>21.62</v>
      </c>
      <c r="AB7523" s="7">
        <v>18.510999999999999</v>
      </c>
      <c r="AC7523" s="6">
        <v>12.89</v>
      </c>
    </row>
    <row r="7524" spans="1:29" ht="52" x14ac:dyDescent="0.15">
      <c r="A7524" s="3">
        <f>DATE(2005,2,2)</f>
        <v>38385</v>
      </c>
      <c r="B7524" s="3">
        <f>DATE(2005,2,2)</f>
        <v>38385</v>
      </c>
      <c r="C7524" s="2" t="s">
        <v>95</v>
      </c>
      <c r="D7524" s="2" t="s">
        <v>22669</v>
      </c>
      <c r="E7524" s="2" t="s">
        <v>18837</v>
      </c>
      <c r="F7524" s="4">
        <v>8731</v>
      </c>
      <c r="G7524" s="2" t="s">
        <v>223</v>
      </c>
      <c r="H7524" s="2" t="s">
        <v>34</v>
      </c>
      <c r="I7524" s="2" t="s">
        <v>22670</v>
      </c>
      <c r="J7524" s="2" t="s">
        <v>2712</v>
      </c>
      <c r="K7524" s="2" t="s">
        <v>53</v>
      </c>
      <c r="L7524" s="2" t="s">
        <v>34</v>
      </c>
      <c r="M7524" s="2"/>
      <c r="N7524" s="2"/>
      <c r="O7524" s="2"/>
      <c r="P7524" s="2" t="s">
        <v>22671</v>
      </c>
      <c r="Q7524" s="6">
        <v>78</v>
      </c>
      <c r="R7524" s="2"/>
      <c r="S7524" s="5">
        <v>-0.3</v>
      </c>
      <c r="T7524" s="7">
        <v>-0.248</v>
      </c>
      <c r="U7524" s="5">
        <v>-64.8</v>
      </c>
      <c r="V7524" s="9">
        <v>-11.2178</v>
      </c>
      <c r="W7524" s="6">
        <v>1.86</v>
      </c>
      <c r="X7524" s="6">
        <v>1.86</v>
      </c>
      <c r="Y7524" s="6">
        <v>1.86</v>
      </c>
      <c r="Z7524" s="6">
        <v>1.86</v>
      </c>
      <c r="AA7524" s="6">
        <v>1.82</v>
      </c>
      <c r="AB7524" s="2" t="s">
        <v>86</v>
      </c>
      <c r="AC7524" s="2"/>
    </row>
    <row r="7525" spans="1:29" ht="91" x14ac:dyDescent="0.15">
      <c r="A7525" s="3">
        <f>DATE(2005,2,4)</f>
        <v>38387</v>
      </c>
      <c r="B7525" s="3">
        <f>DATE(2005,9,16)</f>
        <v>38611</v>
      </c>
      <c r="C7525" s="2" t="s">
        <v>95</v>
      </c>
      <c r="D7525" s="2" t="s">
        <v>22397</v>
      </c>
      <c r="E7525" s="2" t="s">
        <v>268</v>
      </c>
      <c r="F7525" s="4">
        <v>7011</v>
      </c>
      <c r="G7525" s="2" t="s">
        <v>269</v>
      </c>
      <c r="H7525" s="2" t="s">
        <v>34</v>
      </c>
      <c r="I7525" s="2" t="s">
        <v>51</v>
      </c>
      <c r="J7525" s="2" t="s">
        <v>52</v>
      </c>
      <c r="K7525" s="2" t="s">
        <v>53</v>
      </c>
      <c r="L7525" s="2" t="s">
        <v>34</v>
      </c>
      <c r="M7525" s="2"/>
      <c r="N7525" s="2"/>
      <c r="O7525" s="2"/>
      <c r="P7525" s="2" t="s">
        <v>22672</v>
      </c>
      <c r="Q7525" s="6">
        <v>100</v>
      </c>
      <c r="R7525" s="6">
        <v>24</v>
      </c>
      <c r="S7525" s="5">
        <v>4.5</v>
      </c>
      <c r="T7525" s="7">
        <v>123.06699999999999</v>
      </c>
      <c r="U7525" s="5">
        <v>-0.3</v>
      </c>
      <c r="V7525" s="6">
        <v>0.87</v>
      </c>
      <c r="W7525" s="4">
        <v>20</v>
      </c>
      <c r="X7525" s="6">
        <v>23.31</v>
      </c>
      <c r="Y7525" s="5">
        <v>23.4</v>
      </c>
      <c r="Z7525" s="6">
        <v>23.38</v>
      </c>
      <c r="AA7525" s="6">
        <v>20.98</v>
      </c>
      <c r="AB7525" s="7">
        <v>12.275</v>
      </c>
      <c r="AC7525" s="2"/>
    </row>
    <row r="7526" spans="1:29" ht="117" x14ac:dyDescent="0.15">
      <c r="A7526" s="3">
        <f>DATE(2005,2,8)</f>
        <v>38391</v>
      </c>
      <c r="B7526" s="2"/>
      <c r="C7526" s="2" t="s">
        <v>30</v>
      </c>
      <c r="D7526" s="2" t="s">
        <v>22641</v>
      </c>
      <c r="E7526" s="2" t="s">
        <v>22642</v>
      </c>
      <c r="F7526" s="4">
        <v>3679</v>
      </c>
      <c r="G7526" s="2" t="s">
        <v>137</v>
      </c>
      <c r="H7526" s="2" t="s">
        <v>34</v>
      </c>
      <c r="I7526" s="2" t="s">
        <v>22673</v>
      </c>
      <c r="J7526" s="2" t="s">
        <v>4865</v>
      </c>
      <c r="K7526" s="2" t="s">
        <v>137</v>
      </c>
      <c r="L7526" s="2" t="s">
        <v>34</v>
      </c>
      <c r="M7526" s="12">
        <v>8337.5149999999994</v>
      </c>
      <c r="N7526" s="6">
        <v>49.11</v>
      </c>
      <c r="O7526" s="6">
        <v>47.84</v>
      </c>
      <c r="P7526" s="2" t="s">
        <v>22674</v>
      </c>
      <c r="Q7526" s="2"/>
      <c r="R7526" s="6">
        <v>11.5</v>
      </c>
      <c r="S7526" s="5">
        <v>0.8</v>
      </c>
      <c r="T7526" s="5">
        <v>3.2</v>
      </c>
      <c r="U7526" s="5">
        <v>4.5999999999999996</v>
      </c>
      <c r="V7526" s="6">
        <v>0.04</v>
      </c>
      <c r="W7526" s="6">
        <v>9.1300000000000008</v>
      </c>
      <c r="X7526" s="6">
        <v>9.15</v>
      </c>
      <c r="Y7526" s="6">
        <v>7.99</v>
      </c>
      <c r="Z7526" s="6">
        <v>7.25</v>
      </c>
      <c r="AA7526" s="6">
        <v>17.809999999999999</v>
      </c>
      <c r="AB7526" s="7">
        <v>174.27099999999999</v>
      </c>
      <c r="AC7526" s="10">
        <v>1324.41</v>
      </c>
    </row>
    <row r="7527" spans="1:29" ht="117" x14ac:dyDescent="0.15">
      <c r="A7527" s="3">
        <f>DATE(2005,2,10)</f>
        <v>38393</v>
      </c>
      <c r="B7527" s="2"/>
      <c r="C7527" s="2" t="s">
        <v>30</v>
      </c>
      <c r="D7527" s="2" t="s">
        <v>22675</v>
      </c>
      <c r="E7527" s="2" t="s">
        <v>22676</v>
      </c>
      <c r="F7527" s="4">
        <v>8742</v>
      </c>
      <c r="G7527" s="2" t="s">
        <v>223</v>
      </c>
      <c r="H7527" s="2" t="s">
        <v>34</v>
      </c>
      <c r="I7527" s="2" t="s">
        <v>21938</v>
      </c>
      <c r="J7527" s="2" t="s">
        <v>21939</v>
      </c>
      <c r="K7527" s="2" t="s">
        <v>223</v>
      </c>
      <c r="L7527" s="2" t="s">
        <v>34</v>
      </c>
      <c r="M7527" s="7">
        <v>600.27599999999995</v>
      </c>
      <c r="N7527" s="6">
        <v>11.27</v>
      </c>
      <c r="O7527" s="6">
        <v>11.44</v>
      </c>
      <c r="P7527" s="2" t="s">
        <v>22677</v>
      </c>
      <c r="Q7527" s="2"/>
      <c r="R7527" s="6">
        <v>2</v>
      </c>
      <c r="S7527" s="5">
        <v>-1</v>
      </c>
      <c r="T7527" s="7">
        <v>4.9039999999999999</v>
      </c>
      <c r="U7527" s="5">
        <v>1.2</v>
      </c>
      <c r="V7527" s="6">
        <v>-0.03</v>
      </c>
      <c r="W7527" s="6">
        <v>1.48</v>
      </c>
      <c r="X7527" s="6">
        <v>1.43</v>
      </c>
      <c r="Y7527" s="6">
        <v>1.45</v>
      </c>
      <c r="Z7527" s="6">
        <v>1.85</v>
      </c>
      <c r="AA7527" s="6">
        <v>35.299999999999997</v>
      </c>
      <c r="AB7527" s="2" t="s">
        <v>86</v>
      </c>
      <c r="AC7527" s="6">
        <v>13.45</v>
      </c>
    </row>
    <row r="7528" spans="1:29" ht="143" x14ac:dyDescent="0.15">
      <c r="A7528" s="3">
        <f>DATE(2005,2,11)</f>
        <v>38394</v>
      </c>
      <c r="B7528" s="3">
        <f>DATE(2005,6,1)</f>
        <v>38504</v>
      </c>
      <c r="C7528" s="2" t="s">
        <v>95</v>
      </c>
      <c r="D7528" s="2" t="s">
        <v>22678</v>
      </c>
      <c r="E7528" s="2" t="s">
        <v>22679</v>
      </c>
      <c r="F7528" s="4">
        <v>3661</v>
      </c>
      <c r="G7528" s="2" t="s">
        <v>921</v>
      </c>
      <c r="H7528" s="2" t="s">
        <v>34</v>
      </c>
      <c r="I7528" s="2" t="s">
        <v>22594</v>
      </c>
      <c r="J7528" s="2" t="s">
        <v>22595</v>
      </c>
      <c r="K7528" s="2" t="s">
        <v>921</v>
      </c>
      <c r="L7528" s="2" t="s">
        <v>34</v>
      </c>
      <c r="M7528" s="7">
        <v>112.533</v>
      </c>
      <c r="N7528" s="4">
        <v>4</v>
      </c>
      <c r="O7528" s="4">
        <v>4</v>
      </c>
      <c r="P7528" s="2" t="s">
        <v>22680</v>
      </c>
      <c r="Q7528" s="6">
        <v>100</v>
      </c>
      <c r="R7528" s="6">
        <v>1.29</v>
      </c>
      <c r="S7528" s="5">
        <v>-20.399999999999999</v>
      </c>
      <c r="T7528" s="7">
        <v>-18.558</v>
      </c>
      <c r="U7528" s="5">
        <v>2</v>
      </c>
      <c r="V7528" s="6">
        <v>-3.19</v>
      </c>
      <c r="W7528" s="6">
        <v>0.91</v>
      </c>
      <c r="X7528" s="6">
        <v>1.04</v>
      </c>
      <c r="Y7528" s="6">
        <v>1.06</v>
      </c>
      <c r="Z7528" s="6">
        <v>1.34</v>
      </c>
      <c r="AA7528" s="6">
        <v>8</v>
      </c>
      <c r="AB7528" s="2" t="s">
        <v>86</v>
      </c>
      <c r="AC7528" s="6">
        <v>12.44</v>
      </c>
    </row>
    <row r="7529" spans="1:29" ht="325" x14ac:dyDescent="0.15">
      <c r="A7529" s="3">
        <f>DATE(2005,2,11)</f>
        <v>38394</v>
      </c>
      <c r="B7529" s="2"/>
      <c r="C7529" s="2" t="s">
        <v>30</v>
      </c>
      <c r="D7529" s="2" t="s">
        <v>22141</v>
      </c>
      <c r="E7529" s="2" t="s">
        <v>6519</v>
      </c>
      <c r="F7529" s="4">
        <v>4813</v>
      </c>
      <c r="G7529" s="2" t="s">
        <v>63</v>
      </c>
      <c r="H7529" s="2" t="s">
        <v>34</v>
      </c>
      <c r="I7529" s="2" t="s">
        <v>14653</v>
      </c>
      <c r="J7529" s="2" t="s">
        <v>14654</v>
      </c>
      <c r="K7529" s="2" t="s">
        <v>63</v>
      </c>
      <c r="L7529" s="2" t="s">
        <v>34</v>
      </c>
      <c r="M7529" s="12">
        <v>7409.183</v>
      </c>
      <c r="N7529" s="6">
        <v>4.1500000000000004</v>
      </c>
      <c r="O7529" s="6">
        <v>3.98</v>
      </c>
      <c r="P7529" s="2" t="s">
        <v>22681</v>
      </c>
      <c r="Q7529" s="2"/>
      <c r="R7529" s="6">
        <v>30</v>
      </c>
      <c r="S7529" s="8">
        <v>18357</v>
      </c>
      <c r="T7529" s="8">
        <v>2050</v>
      </c>
      <c r="U7529" s="5">
        <v>14.2</v>
      </c>
      <c r="V7529" s="6">
        <v>56.14</v>
      </c>
      <c r="W7529" s="6">
        <v>19.309999999999999</v>
      </c>
      <c r="X7529" s="6">
        <v>19.68</v>
      </c>
      <c r="Y7529" s="6">
        <v>20.149999999999999</v>
      </c>
      <c r="Z7529" s="6">
        <v>21.03</v>
      </c>
      <c r="AA7529" s="6">
        <v>324.76</v>
      </c>
      <c r="AB7529" s="2" t="s">
        <v>86</v>
      </c>
      <c r="AC7529" s="8">
        <v>2372</v>
      </c>
    </row>
    <row r="7530" spans="1:29" ht="78" x14ac:dyDescent="0.15">
      <c r="A7530" s="3">
        <f>DATE(2005,2,14)</f>
        <v>38397</v>
      </c>
      <c r="B7530" s="3">
        <f>DATE(2005,2,14)</f>
        <v>38397</v>
      </c>
      <c r="C7530" s="2" t="s">
        <v>95</v>
      </c>
      <c r="D7530" s="2" t="s">
        <v>22682</v>
      </c>
      <c r="E7530" s="2" t="s">
        <v>22683</v>
      </c>
      <c r="F7530" s="4">
        <v>7372</v>
      </c>
      <c r="G7530" s="2" t="s">
        <v>551</v>
      </c>
      <c r="H7530" s="2" t="s">
        <v>34</v>
      </c>
      <c r="I7530" s="2" t="s">
        <v>22684</v>
      </c>
      <c r="J7530" s="2" t="s">
        <v>302</v>
      </c>
      <c r="K7530" s="2" t="s">
        <v>53</v>
      </c>
      <c r="L7530" s="2" t="s">
        <v>34</v>
      </c>
      <c r="M7530" s="2"/>
      <c r="N7530" s="2"/>
      <c r="O7530" s="2"/>
      <c r="P7530" s="2" t="s">
        <v>22685</v>
      </c>
      <c r="Q7530" s="6">
        <v>74.069999999999993</v>
      </c>
      <c r="R7530" s="2"/>
      <c r="S7530" s="5">
        <v>1.5</v>
      </c>
      <c r="T7530" s="7">
        <v>3.0750000000000002</v>
      </c>
      <c r="U7530" s="5">
        <v>5.5</v>
      </c>
      <c r="V7530" s="7">
        <v>1.712</v>
      </c>
      <c r="W7530" s="13">
        <v>0</v>
      </c>
      <c r="X7530" s="4">
        <v>3</v>
      </c>
      <c r="Y7530" s="4">
        <v>3</v>
      </c>
      <c r="Z7530" s="4">
        <v>3</v>
      </c>
      <c r="AA7530" s="6">
        <v>2.5299999999999998</v>
      </c>
      <c r="AB7530" s="7">
        <v>1.244</v>
      </c>
      <c r="AC7530" s="2"/>
    </row>
    <row r="7531" spans="1:29" ht="299" x14ac:dyDescent="0.15">
      <c r="A7531" s="3">
        <f>DATE(2005,2,14)</f>
        <v>38397</v>
      </c>
      <c r="B7531" s="3">
        <f>DATE(2006,1,6)</f>
        <v>38723</v>
      </c>
      <c r="C7531" s="2" t="s">
        <v>95</v>
      </c>
      <c r="D7531" s="2" t="s">
        <v>22141</v>
      </c>
      <c r="E7531" s="2" t="s">
        <v>6519</v>
      </c>
      <c r="F7531" s="4">
        <v>4813</v>
      </c>
      <c r="G7531" s="2" t="s">
        <v>63</v>
      </c>
      <c r="H7531" s="2" t="s">
        <v>34</v>
      </c>
      <c r="I7531" s="2" t="s">
        <v>22686</v>
      </c>
      <c r="J7531" s="2" t="s">
        <v>560</v>
      </c>
      <c r="K7531" s="2" t="s">
        <v>63</v>
      </c>
      <c r="L7531" s="2" t="s">
        <v>34</v>
      </c>
      <c r="M7531" s="12">
        <v>102008.425</v>
      </c>
      <c r="N7531" s="6">
        <v>36.19</v>
      </c>
      <c r="O7531" s="6">
        <v>36.26</v>
      </c>
      <c r="P7531" s="2" t="s">
        <v>22687</v>
      </c>
      <c r="Q7531" s="6">
        <v>100</v>
      </c>
      <c r="R7531" s="6">
        <v>26.16</v>
      </c>
      <c r="S7531" s="8">
        <v>18357</v>
      </c>
      <c r="T7531" s="8">
        <v>2050</v>
      </c>
      <c r="U7531" s="5">
        <v>14.2</v>
      </c>
      <c r="V7531" s="6">
        <v>56.14</v>
      </c>
      <c r="W7531" s="6">
        <v>19.309999999999999</v>
      </c>
      <c r="X7531" s="6">
        <v>19.68</v>
      </c>
      <c r="Y7531" s="6">
        <v>20.149999999999999</v>
      </c>
      <c r="Z7531" s="6">
        <v>21.03</v>
      </c>
      <c r="AA7531" s="6">
        <v>324.76</v>
      </c>
      <c r="AB7531" s="2" t="s">
        <v>86</v>
      </c>
      <c r="AC7531" s="8">
        <v>2711</v>
      </c>
    </row>
    <row r="7532" spans="1:29" ht="143" x14ac:dyDescent="0.15">
      <c r="A7532" s="3">
        <f>DATE(2005,2,15)</f>
        <v>38398</v>
      </c>
      <c r="B7532" s="3">
        <f>DATE(2005,4,8)</f>
        <v>38450</v>
      </c>
      <c r="C7532" s="2" t="s">
        <v>95</v>
      </c>
      <c r="D7532" s="2" t="s">
        <v>22688</v>
      </c>
      <c r="E7532" s="2" t="s">
        <v>22689</v>
      </c>
      <c r="F7532" s="4">
        <v>3679</v>
      </c>
      <c r="G7532" s="2" t="s">
        <v>137</v>
      </c>
      <c r="H7532" s="2" t="s">
        <v>34</v>
      </c>
      <c r="I7532" s="2" t="s">
        <v>22690</v>
      </c>
      <c r="J7532" s="2" t="s">
        <v>22691</v>
      </c>
      <c r="K7532" s="2" t="s">
        <v>137</v>
      </c>
      <c r="L7532" s="2" t="s">
        <v>34</v>
      </c>
      <c r="M7532" s="2"/>
      <c r="N7532" s="2"/>
      <c r="O7532" s="2"/>
      <c r="P7532" s="2" t="s">
        <v>22692</v>
      </c>
      <c r="Q7532" s="6">
        <v>100</v>
      </c>
      <c r="R7532" s="6">
        <v>22.5</v>
      </c>
      <c r="S7532" s="5">
        <v>14.9</v>
      </c>
      <c r="T7532" s="7">
        <v>16.693000000000001</v>
      </c>
      <c r="U7532" s="5">
        <v>3.4</v>
      </c>
      <c r="V7532" s="6">
        <v>1.1499999999999999</v>
      </c>
      <c r="W7532" s="6">
        <v>18.510000000000002</v>
      </c>
      <c r="X7532" s="6">
        <v>21.34</v>
      </c>
      <c r="Y7532" s="6">
        <v>22.38</v>
      </c>
      <c r="Z7532" s="5">
        <v>22.3</v>
      </c>
      <c r="AA7532" s="6">
        <v>12.21</v>
      </c>
      <c r="AB7532" s="7">
        <v>22.39</v>
      </c>
      <c r="AC7532" s="2"/>
    </row>
    <row r="7533" spans="1:29" ht="91" x14ac:dyDescent="0.15">
      <c r="A7533" s="3">
        <f>DATE(2005,2,15)</f>
        <v>38398</v>
      </c>
      <c r="B7533" s="2"/>
      <c r="C7533" s="2" t="s">
        <v>30</v>
      </c>
      <c r="D7533" s="2" t="s">
        <v>22693</v>
      </c>
      <c r="E7533" s="2" t="s">
        <v>22694</v>
      </c>
      <c r="F7533" s="4">
        <v>5731</v>
      </c>
      <c r="G7533" s="2" t="s">
        <v>1227</v>
      </c>
      <c r="H7533" s="2" t="s">
        <v>34</v>
      </c>
      <c r="I7533" s="2" t="s">
        <v>22695</v>
      </c>
      <c r="J7533" s="2" t="s">
        <v>22696</v>
      </c>
      <c r="K7533" s="2" t="s">
        <v>53</v>
      </c>
      <c r="L7533" s="2" t="s">
        <v>34</v>
      </c>
      <c r="M7533" s="2"/>
      <c r="N7533" s="2"/>
      <c r="O7533" s="2"/>
      <c r="P7533" s="2" t="s">
        <v>22697</v>
      </c>
      <c r="Q7533" s="2"/>
      <c r="R7533" s="6">
        <v>17</v>
      </c>
      <c r="S7533" s="5">
        <v>-0.8</v>
      </c>
      <c r="T7533" s="6">
        <v>213.64</v>
      </c>
      <c r="U7533" s="5">
        <v>10.9</v>
      </c>
      <c r="V7533" s="2"/>
      <c r="W7533" s="6">
        <v>14.36</v>
      </c>
      <c r="X7533" s="6">
        <v>14.23</v>
      </c>
      <c r="Y7533" s="6">
        <v>16.53</v>
      </c>
      <c r="Z7533" s="6">
        <v>16.190000000000001</v>
      </c>
      <c r="AA7533" s="6">
        <v>191.28</v>
      </c>
      <c r="AB7533" s="7">
        <v>178.369</v>
      </c>
      <c r="AC7533" s="2"/>
    </row>
    <row r="7534" spans="1:29" ht="52" x14ac:dyDescent="0.15">
      <c r="A7534" s="3">
        <f>DATE(2005,2,16)</f>
        <v>38399</v>
      </c>
      <c r="B7534" s="3">
        <f>DATE(2005,6,24)</f>
        <v>38527</v>
      </c>
      <c r="C7534" s="2" t="s">
        <v>95</v>
      </c>
      <c r="D7534" s="2" t="s">
        <v>22698</v>
      </c>
      <c r="E7534" s="2" t="s">
        <v>386</v>
      </c>
      <c r="F7534" s="4">
        <v>6726</v>
      </c>
      <c r="G7534" s="2" t="s">
        <v>53</v>
      </c>
      <c r="H7534" s="2" t="s">
        <v>34</v>
      </c>
      <c r="I7534" s="2" t="s">
        <v>22699</v>
      </c>
      <c r="J7534" s="2" t="s">
        <v>386</v>
      </c>
      <c r="K7534" s="2" t="s">
        <v>53</v>
      </c>
      <c r="L7534" s="2" t="s">
        <v>34</v>
      </c>
      <c r="M7534" s="2"/>
      <c r="N7534" s="2"/>
      <c r="O7534" s="2"/>
      <c r="P7534" s="2" t="s">
        <v>22700</v>
      </c>
      <c r="Q7534" s="6">
        <v>100</v>
      </c>
      <c r="R7534" s="2"/>
      <c r="S7534" s="2"/>
      <c r="T7534" s="2"/>
      <c r="U7534" s="2"/>
      <c r="V7534" s="2"/>
      <c r="W7534" s="4">
        <v>13</v>
      </c>
      <c r="X7534" s="4">
        <v>13</v>
      </c>
      <c r="Y7534" s="4">
        <v>13</v>
      </c>
      <c r="Z7534" s="6">
        <v>14.11</v>
      </c>
      <c r="AA7534" s="2"/>
      <c r="AB7534" s="2" t="s">
        <v>47</v>
      </c>
      <c r="AC7534" s="2"/>
    </row>
    <row r="7535" spans="1:29" ht="104" x14ac:dyDescent="0.15">
      <c r="A7535" s="3">
        <f>DATE(2005,2,17)</f>
        <v>38400</v>
      </c>
      <c r="B7535" s="3">
        <f>DATE(2005,7,1)</f>
        <v>38534</v>
      </c>
      <c r="C7535" s="2" t="s">
        <v>95</v>
      </c>
      <c r="D7535" s="2" t="s">
        <v>19279</v>
      </c>
      <c r="E7535" s="2" t="s">
        <v>92</v>
      </c>
      <c r="F7535" s="4">
        <v>6798</v>
      </c>
      <c r="G7535" s="2" t="s">
        <v>53</v>
      </c>
      <c r="H7535" s="2" t="s">
        <v>34</v>
      </c>
      <c r="I7535" s="2" t="s">
        <v>22701</v>
      </c>
      <c r="J7535" s="2" t="s">
        <v>92</v>
      </c>
      <c r="K7535" s="2" t="s">
        <v>53</v>
      </c>
      <c r="L7535" s="2" t="s">
        <v>34</v>
      </c>
      <c r="M7535" s="2"/>
      <c r="N7535" s="2"/>
      <c r="O7535" s="2"/>
      <c r="P7535" s="2" t="s">
        <v>22702</v>
      </c>
      <c r="Q7535" s="6">
        <v>100</v>
      </c>
      <c r="R7535" s="6">
        <v>7.25</v>
      </c>
      <c r="S7535" s="5">
        <v>-17.600000000000001</v>
      </c>
      <c r="T7535" s="7">
        <v>22.071999999999999</v>
      </c>
      <c r="U7535" s="5">
        <v>10.4</v>
      </c>
      <c r="V7535" s="6">
        <v>-1.1200000000000001</v>
      </c>
      <c r="W7535" s="6">
        <v>6.52</v>
      </c>
      <c r="X7535" s="6">
        <v>6.58</v>
      </c>
      <c r="Y7535" s="6">
        <v>7.04</v>
      </c>
      <c r="Z7535" s="6">
        <v>7.04</v>
      </c>
      <c r="AA7535" s="6">
        <v>26.76</v>
      </c>
      <c r="AB7535" s="2" t="s">
        <v>86</v>
      </c>
      <c r="AC7535" s="2"/>
    </row>
    <row r="7536" spans="1:29" ht="117" x14ac:dyDescent="0.15">
      <c r="A7536" s="3">
        <f>DATE(2005,2,21)</f>
        <v>38404</v>
      </c>
      <c r="B7536" s="3">
        <f>DATE(2005,7,21)</f>
        <v>38554</v>
      </c>
      <c r="C7536" s="2" t="s">
        <v>95</v>
      </c>
      <c r="D7536" s="2" t="s">
        <v>22703</v>
      </c>
      <c r="E7536" s="2" t="s">
        <v>839</v>
      </c>
      <c r="F7536" s="4">
        <v>2834</v>
      </c>
      <c r="G7536" s="2" t="s">
        <v>130</v>
      </c>
      <c r="H7536" s="2" t="s">
        <v>34</v>
      </c>
      <c r="I7536" s="2" t="s">
        <v>8003</v>
      </c>
      <c r="J7536" s="2" t="s">
        <v>7462</v>
      </c>
      <c r="K7536" s="2" t="s">
        <v>130</v>
      </c>
      <c r="L7536" s="2" t="s">
        <v>215</v>
      </c>
      <c r="M7536" s="12">
        <v>128971.655</v>
      </c>
      <c r="N7536" s="7">
        <v>49.801000000000002</v>
      </c>
      <c r="O7536" s="7">
        <v>50.859000000000002</v>
      </c>
      <c r="P7536" s="2" t="s">
        <v>22704</v>
      </c>
      <c r="Q7536" s="6">
        <v>67.55</v>
      </c>
      <c r="R7536" s="2"/>
      <c r="S7536" s="5">
        <v>119.4</v>
      </c>
      <c r="T7536" s="7">
        <v>183.17500000000001</v>
      </c>
      <c r="U7536" s="5">
        <v>5</v>
      </c>
      <c r="V7536" s="6">
        <v>1.32</v>
      </c>
      <c r="W7536" s="6">
        <v>28.75</v>
      </c>
      <c r="X7536" s="6">
        <v>27.92</v>
      </c>
      <c r="Y7536" s="6">
        <v>27.92</v>
      </c>
      <c r="Z7536" s="6">
        <v>30.48</v>
      </c>
      <c r="AA7536" s="6">
        <v>88.82</v>
      </c>
      <c r="AB7536" s="7">
        <v>13.443</v>
      </c>
      <c r="AC7536" s="10">
        <v>14694.83</v>
      </c>
    </row>
    <row r="7537" spans="1:29" ht="195" x14ac:dyDescent="0.15">
      <c r="A7537" s="3">
        <f>DATE(2005,2,21)</f>
        <v>38404</v>
      </c>
      <c r="B7537" s="3">
        <f>DATE(2005,7,26)</f>
        <v>38559</v>
      </c>
      <c r="C7537" s="2" t="s">
        <v>95</v>
      </c>
      <c r="D7537" s="2" t="s">
        <v>22703</v>
      </c>
      <c r="E7537" s="2" t="s">
        <v>839</v>
      </c>
      <c r="F7537" s="4">
        <v>2834</v>
      </c>
      <c r="G7537" s="2" t="s">
        <v>130</v>
      </c>
      <c r="H7537" s="2" t="s">
        <v>34</v>
      </c>
      <c r="I7537" s="2" t="s">
        <v>8003</v>
      </c>
      <c r="J7537" s="2" t="s">
        <v>7462</v>
      </c>
      <c r="K7537" s="2" t="s">
        <v>130</v>
      </c>
      <c r="L7537" s="2" t="s">
        <v>215</v>
      </c>
      <c r="M7537" s="12">
        <v>128971.655</v>
      </c>
      <c r="N7537" s="7">
        <v>49.801000000000002</v>
      </c>
      <c r="O7537" s="7">
        <v>50.859000000000002</v>
      </c>
      <c r="P7537" s="2" t="s">
        <v>22705</v>
      </c>
      <c r="Q7537" s="6">
        <v>33.64</v>
      </c>
      <c r="R7537" s="6">
        <v>31</v>
      </c>
      <c r="S7537" s="5">
        <v>119.4</v>
      </c>
      <c r="T7537" s="7">
        <v>183.17500000000001</v>
      </c>
      <c r="U7537" s="5">
        <v>5</v>
      </c>
      <c r="V7537" s="6">
        <v>1.32</v>
      </c>
      <c r="W7537" s="6">
        <v>28.75</v>
      </c>
      <c r="X7537" s="6">
        <v>27.92</v>
      </c>
      <c r="Y7537" s="6">
        <v>27.92</v>
      </c>
      <c r="Z7537" s="6">
        <v>30.48</v>
      </c>
      <c r="AA7537" s="6">
        <v>88.82</v>
      </c>
      <c r="AB7537" s="7">
        <v>15.044</v>
      </c>
      <c r="AC7537" s="10">
        <v>14694.83</v>
      </c>
    </row>
    <row r="7538" spans="1:29" ht="117" x14ac:dyDescent="0.15">
      <c r="A7538" s="3">
        <f>DATE(2005,2,22)</f>
        <v>38405</v>
      </c>
      <c r="B7538" s="3">
        <f>DATE(2005,5,25)</f>
        <v>38497</v>
      </c>
      <c r="C7538" s="2" t="s">
        <v>95</v>
      </c>
      <c r="D7538" s="2" t="s">
        <v>14022</v>
      </c>
      <c r="E7538" s="2" t="s">
        <v>14023</v>
      </c>
      <c r="F7538" s="4">
        <v>5521</v>
      </c>
      <c r="G7538" s="2" t="s">
        <v>73</v>
      </c>
      <c r="H7538" s="2" t="s">
        <v>34</v>
      </c>
      <c r="I7538" s="2" t="s">
        <v>14482</v>
      </c>
      <c r="J7538" s="2" t="s">
        <v>244</v>
      </c>
      <c r="K7538" s="2" t="s">
        <v>53</v>
      </c>
      <c r="L7538" s="2" t="s">
        <v>34</v>
      </c>
      <c r="M7538" s="2"/>
      <c r="N7538" s="2"/>
      <c r="O7538" s="2"/>
      <c r="P7538" s="2" t="s">
        <v>22706</v>
      </c>
      <c r="Q7538" s="6">
        <v>100</v>
      </c>
      <c r="R7538" s="6">
        <v>28.25</v>
      </c>
      <c r="S7538" s="5">
        <v>12.3</v>
      </c>
      <c r="T7538" s="7">
        <v>34.195</v>
      </c>
      <c r="U7538" s="5">
        <v>17.5</v>
      </c>
      <c r="V7538" s="6">
        <v>1.04</v>
      </c>
      <c r="W7538" s="6">
        <v>22.71</v>
      </c>
      <c r="X7538" s="5">
        <v>22.7</v>
      </c>
      <c r="Y7538" s="6">
        <v>22.41</v>
      </c>
      <c r="Z7538" s="6">
        <v>27.58</v>
      </c>
      <c r="AA7538" s="6">
        <v>11.55</v>
      </c>
      <c r="AB7538" s="7">
        <v>17.21</v>
      </c>
      <c r="AC7538" s="2"/>
    </row>
    <row r="7539" spans="1:29" ht="156" x14ac:dyDescent="0.15">
      <c r="A7539" s="3">
        <f>DATE(2005,2,23)</f>
        <v>38406</v>
      </c>
      <c r="B7539" s="3">
        <f>DATE(2005,8,18)</f>
        <v>38582</v>
      </c>
      <c r="C7539" s="2" t="s">
        <v>95</v>
      </c>
      <c r="D7539" s="2" t="s">
        <v>22707</v>
      </c>
      <c r="E7539" s="2" t="s">
        <v>22708</v>
      </c>
      <c r="F7539" s="4">
        <v>8099</v>
      </c>
      <c r="G7539" s="2" t="s">
        <v>454</v>
      </c>
      <c r="H7539" s="2" t="s">
        <v>34</v>
      </c>
      <c r="I7539" s="2" t="s">
        <v>22709</v>
      </c>
      <c r="J7539" s="2" t="s">
        <v>9948</v>
      </c>
      <c r="K7539" s="2" t="s">
        <v>454</v>
      </c>
      <c r="L7539" s="2" t="s">
        <v>34</v>
      </c>
      <c r="M7539" s="12">
        <v>11354.898999999999</v>
      </c>
      <c r="N7539" s="6">
        <v>43.14</v>
      </c>
      <c r="O7539" s="6">
        <v>44.01</v>
      </c>
      <c r="P7539" s="2" t="s">
        <v>22710</v>
      </c>
      <c r="Q7539" s="6">
        <v>100</v>
      </c>
      <c r="R7539" s="6">
        <v>43.33</v>
      </c>
      <c r="S7539" s="5">
        <v>76.099999999999994</v>
      </c>
      <c r="T7539" s="7">
        <v>154.84899999999999</v>
      </c>
      <c r="U7539" s="5">
        <v>13.1</v>
      </c>
      <c r="V7539" s="6">
        <v>1.55</v>
      </c>
      <c r="W7539" s="6">
        <v>29.97</v>
      </c>
      <c r="X7539" s="6">
        <v>30.24</v>
      </c>
      <c r="Y7539" s="6">
        <v>42.11</v>
      </c>
      <c r="Z7539" s="6">
        <v>42.59</v>
      </c>
      <c r="AA7539" s="6">
        <v>48.95</v>
      </c>
      <c r="AB7539" s="7">
        <v>18.285</v>
      </c>
      <c r="AC7539" s="8">
        <v>1210.9000000000001</v>
      </c>
    </row>
    <row r="7540" spans="1:29" ht="65" x14ac:dyDescent="0.15">
      <c r="A7540" s="3">
        <f>DATE(2005,2,23)</f>
        <v>38406</v>
      </c>
      <c r="B7540" s="2"/>
      <c r="C7540" s="2" t="s">
        <v>87</v>
      </c>
      <c r="D7540" s="2" t="s">
        <v>22711</v>
      </c>
      <c r="E7540" s="2" t="s">
        <v>21698</v>
      </c>
      <c r="F7540" s="4">
        <v>4841</v>
      </c>
      <c r="G7540" s="2" t="s">
        <v>45</v>
      </c>
      <c r="H7540" s="2" t="s">
        <v>34</v>
      </c>
      <c r="I7540" s="2" t="s">
        <v>5686</v>
      </c>
      <c r="J7540" s="2" t="s">
        <v>5687</v>
      </c>
      <c r="K7540" s="2" t="s">
        <v>50</v>
      </c>
      <c r="L7540" s="2" t="s">
        <v>34</v>
      </c>
      <c r="M7540" s="12">
        <v>29520.335999999999</v>
      </c>
      <c r="N7540" s="6">
        <v>88.23</v>
      </c>
      <c r="O7540" s="6">
        <v>88.93</v>
      </c>
      <c r="P7540" s="2" t="s">
        <v>22712</v>
      </c>
      <c r="Q7540" s="2"/>
      <c r="R7540" s="2"/>
      <c r="S7540" s="5">
        <v>-79.8</v>
      </c>
      <c r="T7540" s="7">
        <v>-70.900999999999996</v>
      </c>
      <c r="U7540" s="5">
        <v>0</v>
      </c>
      <c r="V7540" s="6">
        <v>-0.99</v>
      </c>
      <c r="W7540" s="6">
        <v>3.63</v>
      </c>
      <c r="X7540" s="5">
        <v>3.7</v>
      </c>
      <c r="Y7540" s="6">
        <v>4.38</v>
      </c>
      <c r="Z7540" s="6">
        <v>4.4800000000000004</v>
      </c>
      <c r="AA7540" s="6">
        <v>80.650000000000006</v>
      </c>
      <c r="AB7540" s="2" t="s">
        <v>86</v>
      </c>
      <c r="AC7540" s="8">
        <v>6448</v>
      </c>
    </row>
    <row r="7541" spans="1:29" ht="39" x14ac:dyDescent="0.15">
      <c r="A7541" s="3">
        <f>DATE(2005,2,23)</f>
        <v>38406</v>
      </c>
      <c r="B7541" s="3">
        <f>DATE(2005,2,23)</f>
        <v>38406</v>
      </c>
      <c r="C7541" s="2" t="s">
        <v>95</v>
      </c>
      <c r="D7541" s="2" t="s">
        <v>22713</v>
      </c>
      <c r="E7541" s="2" t="s">
        <v>22714</v>
      </c>
      <c r="F7541" s="4">
        <v>7372</v>
      </c>
      <c r="G7541" s="2" t="s">
        <v>551</v>
      </c>
      <c r="H7541" s="2" t="s">
        <v>34</v>
      </c>
      <c r="I7541" s="2" t="s">
        <v>22715</v>
      </c>
      <c r="J7541" s="2" t="s">
        <v>8589</v>
      </c>
      <c r="K7541" s="2" t="s">
        <v>551</v>
      </c>
      <c r="L7541" s="2" t="s">
        <v>34</v>
      </c>
      <c r="M7541" s="7">
        <v>618.26499999999999</v>
      </c>
      <c r="N7541" s="6">
        <v>16.579999999999998</v>
      </c>
      <c r="O7541" s="6">
        <v>16.64</v>
      </c>
      <c r="P7541" s="2" t="s">
        <v>22716</v>
      </c>
      <c r="Q7541" s="6">
        <v>100</v>
      </c>
      <c r="R7541" s="2"/>
      <c r="S7541" s="5">
        <v>-15.8</v>
      </c>
      <c r="T7541" s="7">
        <v>-11.265000000000001</v>
      </c>
      <c r="U7541" s="5">
        <v>-0.3</v>
      </c>
      <c r="V7541" s="9">
        <v>-4.8484999999999996</v>
      </c>
      <c r="W7541" s="5">
        <v>1.2</v>
      </c>
      <c r="X7541" s="5">
        <v>1.2</v>
      </c>
      <c r="Y7541" s="5">
        <v>1.2</v>
      </c>
      <c r="Z7541" s="5">
        <v>1.2</v>
      </c>
      <c r="AA7541" s="6">
        <v>31.82</v>
      </c>
      <c r="AB7541" s="2" t="s">
        <v>86</v>
      </c>
      <c r="AC7541" s="6">
        <v>98.7</v>
      </c>
    </row>
    <row r="7542" spans="1:29" ht="91" x14ac:dyDescent="0.15">
      <c r="A7542" s="3">
        <f>DATE(2005,2,24)</f>
        <v>38407</v>
      </c>
      <c r="B7542" s="3">
        <f>DATE(2005,7,29)</f>
        <v>38562</v>
      </c>
      <c r="C7542" s="2" t="s">
        <v>95</v>
      </c>
      <c r="D7542" s="2" t="s">
        <v>22717</v>
      </c>
      <c r="E7542" s="2" t="s">
        <v>36</v>
      </c>
      <c r="F7542" s="4">
        <v>6712</v>
      </c>
      <c r="G7542" s="2" t="s">
        <v>37</v>
      </c>
      <c r="H7542" s="2" t="s">
        <v>34</v>
      </c>
      <c r="I7542" s="2" t="s">
        <v>14782</v>
      </c>
      <c r="J7542" s="2" t="s">
        <v>159</v>
      </c>
      <c r="K7542" s="2" t="s">
        <v>37</v>
      </c>
      <c r="L7542" s="2" t="s">
        <v>34</v>
      </c>
      <c r="M7542" s="7">
        <v>423.91500000000002</v>
      </c>
      <c r="N7542" s="6">
        <v>20.14</v>
      </c>
      <c r="O7542" s="6">
        <v>20.36</v>
      </c>
      <c r="P7542" s="2" t="s">
        <v>22718</v>
      </c>
      <c r="Q7542" s="6">
        <v>100</v>
      </c>
      <c r="R7542" s="6">
        <v>27</v>
      </c>
      <c r="S7542" s="5">
        <v>0.7</v>
      </c>
      <c r="T7542" s="7">
        <v>1.405</v>
      </c>
      <c r="U7542" s="5">
        <v>8.9</v>
      </c>
      <c r="V7542" s="6">
        <v>0.53</v>
      </c>
      <c r="W7542" s="5">
        <v>20.9</v>
      </c>
      <c r="X7542" s="6">
        <v>20.350000000000001</v>
      </c>
      <c r="Y7542" s="6">
        <v>20.75</v>
      </c>
      <c r="Z7542" s="6">
        <v>25.96</v>
      </c>
      <c r="AA7542" s="6">
        <v>1.18</v>
      </c>
      <c r="AB7542" s="7">
        <v>35.000999999999998</v>
      </c>
      <c r="AC7542" s="2"/>
    </row>
    <row r="7543" spans="1:29" ht="182" x14ac:dyDescent="0.15">
      <c r="A7543" s="3">
        <f>DATE(2005,2,27)</f>
        <v>38410</v>
      </c>
      <c r="B7543" s="3">
        <f>DATE(2005,5,24)</f>
        <v>38496</v>
      </c>
      <c r="C7543" s="2" t="s">
        <v>95</v>
      </c>
      <c r="D7543" s="2" t="s">
        <v>22719</v>
      </c>
      <c r="E7543" s="2" t="s">
        <v>12930</v>
      </c>
      <c r="F7543" s="4">
        <v>4212</v>
      </c>
      <c r="G7543" s="2" t="s">
        <v>173</v>
      </c>
      <c r="H7543" s="2" t="s">
        <v>34</v>
      </c>
      <c r="I7543" s="2" t="s">
        <v>22720</v>
      </c>
      <c r="J7543" s="2" t="s">
        <v>3354</v>
      </c>
      <c r="K7543" s="2" t="s">
        <v>173</v>
      </c>
      <c r="L7543" s="2" t="s">
        <v>34</v>
      </c>
      <c r="M7543" s="12">
        <v>2701.6190000000001</v>
      </c>
      <c r="N7543" s="6">
        <v>57.75</v>
      </c>
      <c r="O7543" s="6">
        <v>57.75</v>
      </c>
      <c r="P7543" s="2" t="s">
        <v>22721</v>
      </c>
      <c r="Q7543" s="6">
        <v>100</v>
      </c>
      <c r="R7543" s="6">
        <v>44.73</v>
      </c>
      <c r="S7543" s="5">
        <v>10.9</v>
      </c>
      <c r="T7543" s="7">
        <v>195.727</v>
      </c>
      <c r="U7543" s="5">
        <v>24.6</v>
      </c>
      <c r="V7543" s="6">
        <v>0.39</v>
      </c>
      <c r="W7543" s="6">
        <v>33.85</v>
      </c>
      <c r="X7543" s="6">
        <v>34.020000000000003</v>
      </c>
      <c r="Y7543" s="6">
        <v>33.36</v>
      </c>
      <c r="Z7543" s="6">
        <v>37.729999999999997</v>
      </c>
      <c r="AA7543" s="6">
        <v>27.97</v>
      </c>
      <c r="AB7543" s="7">
        <v>15.218</v>
      </c>
      <c r="AC7543" s="5">
        <v>106.5</v>
      </c>
    </row>
    <row r="7544" spans="1:29" ht="52" x14ac:dyDescent="0.15">
      <c r="A7544" s="3">
        <f t="shared" ref="A7544:A7549" si="156">DATE(2005,2,28)</f>
        <v>38411</v>
      </c>
      <c r="B7544" s="3">
        <f>DATE(2005,8,1)</f>
        <v>38565</v>
      </c>
      <c r="C7544" s="2" t="s">
        <v>95</v>
      </c>
      <c r="D7544" s="2" t="s">
        <v>22722</v>
      </c>
      <c r="E7544" s="2" t="s">
        <v>263</v>
      </c>
      <c r="F7544" s="4">
        <v>6712</v>
      </c>
      <c r="G7544" s="2" t="s">
        <v>37</v>
      </c>
      <c r="H7544" s="2" t="s">
        <v>34</v>
      </c>
      <c r="I7544" s="2" t="s">
        <v>12571</v>
      </c>
      <c r="J7544" s="2" t="s">
        <v>3246</v>
      </c>
      <c r="K7544" s="2" t="s">
        <v>37</v>
      </c>
      <c r="L7544" s="2" t="s">
        <v>34</v>
      </c>
      <c r="M7544" s="12">
        <v>1400.6990000000001</v>
      </c>
      <c r="N7544" s="6">
        <v>28.05</v>
      </c>
      <c r="O7544" s="6">
        <v>28.87</v>
      </c>
      <c r="P7544" s="2" t="s">
        <v>22723</v>
      </c>
      <c r="Q7544" s="6">
        <v>100</v>
      </c>
      <c r="R7544" s="6">
        <v>48</v>
      </c>
      <c r="S7544" s="5">
        <v>2.9</v>
      </c>
      <c r="T7544" s="7">
        <v>4.5670000000000002</v>
      </c>
      <c r="U7544" s="5">
        <v>17.899999999999999</v>
      </c>
      <c r="V7544" s="6">
        <v>1.78</v>
      </c>
      <c r="W7544" s="4">
        <v>33</v>
      </c>
      <c r="X7544" s="5">
        <v>31.9</v>
      </c>
      <c r="Y7544" s="5">
        <v>31.9</v>
      </c>
      <c r="Z7544" s="4">
        <v>47</v>
      </c>
      <c r="AA7544" s="6">
        <v>1.17</v>
      </c>
      <c r="AB7544" s="7">
        <v>79.031999999999996</v>
      </c>
      <c r="AC7544" s="2"/>
    </row>
    <row r="7545" spans="1:29" ht="130" x14ac:dyDescent="0.15">
      <c r="A7545" s="3">
        <f t="shared" si="156"/>
        <v>38411</v>
      </c>
      <c r="B7545" s="3">
        <f>DATE(2005,8,30)</f>
        <v>38594</v>
      </c>
      <c r="C7545" s="2" t="s">
        <v>95</v>
      </c>
      <c r="D7545" s="2" t="s">
        <v>7732</v>
      </c>
      <c r="E7545" s="2" t="s">
        <v>7733</v>
      </c>
      <c r="F7545" s="4">
        <v>5311</v>
      </c>
      <c r="G7545" s="2" t="s">
        <v>756</v>
      </c>
      <c r="H7545" s="2" t="s">
        <v>34</v>
      </c>
      <c r="I7545" s="2" t="s">
        <v>6616</v>
      </c>
      <c r="J7545" s="2" t="s">
        <v>5427</v>
      </c>
      <c r="K7545" s="2" t="s">
        <v>756</v>
      </c>
      <c r="L7545" s="2" t="s">
        <v>34</v>
      </c>
      <c r="M7545" s="12">
        <v>9610.8639999999996</v>
      </c>
      <c r="N7545" s="6">
        <v>56.45</v>
      </c>
      <c r="O7545" s="6">
        <v>60.98</v>
      </c>
      <c r="P7545" s="2" t="s">
        <v>22724</v>
      </c>
      <c r="Q7545" s="6">
        <v>100</v>
      </c>
      <c r="R7545" s="6">
        <v>35.44</v>
      </c>
      <c r="S7545" s="5">
        <v>524</v>
      </c>
      <c r="T7545" s="8">
        <v>1592</v>
      </c>
      <c r="U7545" s="5">
        <v>15.3</v>
      </c>
      <c r="V7545" s="6">
        <v>1.7</v>
      </c>
      <c r="W7545" s="6">
        <v>27.73</v>
      </c>
      <c r="X7545" s="6">
        <v>31.37</v>
      </c>
      <c r="Y7545" s="6">
        <v>34.25</v>
      </c>
      <c r="Z7545" s="5">
        <v>32.799999999999997</v>
      </c>
      <c r="AA7545" s="6">
        <v>291.99</v>
      </c>
      <c r="AB7545" s="7">
        <v>17.677</v>
      </c>
      <c r="AC7545" s="5">
        <v>868</v>
      </c>
    </row>
    <row r="7546" spans="1:29" ht="130" x14ac:dyDescent="0.15">
      <c r="A7546" s="3">
        <f t="shared" si="156"/>
        <v>38411</v>
      </c>
      <c r="B7546" s="3">
        <f>DATE(2005,8,3)</f>
        <v>38567</v>
      </c>
      <c r="C7546" s="2" t="s">
        <v>95</v>
      </c>
      <c r="D7546" s="2" t="s">
        <v>22725</v>
      </c>
      <c r="E7546" s="2" t="s">
        <v>3484</v>
      </c>
      <c r="F7546" s="4">
        <v>6311</v>
      </c>
      <c r="G7546" s="2" t="s">
        <v>125</v>
      </c>
      <c r="H7546" s="2" t="s">
        <v>34</v>
      </c>
      <c r="I7546" s="2" t="s">
        <v>19828</v>
      </c>
      <c r="J7546" s="2" t="s">
        <v>19829</v>
      </c>
      <c r="K7546" s="2" t="s">
        <v>125</v>
      </c>
      <c r="L7546" s="2" t="s">
        <v>34</v>
      </c>
      <c r="M7546" s="12">
        <v>1116.434</v>
      </c>
      <c r="N7546" s="5">
        <v>40.5</v>
      </c>
      <c r="O7546" s="5">
        <v>41.6</v>
      </c>
      <c r="P7546" s="2" t="s">
        <v>22726</v>
      </c>
      <c r="Q7546" s="6">
        <v>100</v>
      </c>
      <c r="R7546" s="6">
        <v>10.1</v>
      </c>
      <c r="S7546" s="5">
        <v>-7.1</v>
      </c>
      <c r="T7546" s="2"/>
      <c r="U7546" s="5">
        <v>10.1</v>
      </c>
      <c r="V7546" s="6">
        <v>-1.1200000000000001</v>
      </c>
      <c r="W7546" s="6">
        <v>11.07</v>
      </c>
      <c r="X7546" s="6">
        <v>10.94</v>
      </c>
      <c r="Y7546" s="4">
        <v>10</v>
      </c>
      <c r="Z7546" s="5">
        <v>10.1</v>
      </c>
      <c r="AA7546" s="6">
        <v>6.88</v>
      </c>
      <c r="AB7546" s="2" t="s">
        <v>86</v>
      </c>
      <c r="AC7546" s="6">
        <v>30.08</v>
      </c>
    </row>
    <row r="7547" spans="1:29" ht="65" x14ac:dyDescent="0.15">
      <c r="A7547" s="3">
        <f t="shared" si="156"/>
        <v>38411</v>
      </c>
      <c r="B7547" s="2"/>
      <c r="C7547" s="2" t="s">
        <v>87</v>
      </c>
      <c r="D7547" s="2" t="s">
        <v>16980</v>
      </c>
      <c r="E7547" s="2" t="s">
        <v>7684</v>
      </c>
      <c r="F7547" s="4">
        <v>5411</v>
      </c>
      <c r="G7547" s="2" t="s">
        <v>1461</v>
      </c>
      <c r="H7547" s="2" t="s">
        <v>34</v>
      </c>
      <c r="I7547" s="2" t="s">
        <v>22727</v>
      </c>
      <c r="J7547" s="2" t="s">
        <v>1161</v>
      </c>
      <c r="K7547" s="2" t="s">
        <v>593</v>
      </c>
      <c r="L7547" s="2" t="s">
        <v>34</v>
      </c>
      <c r="M7547" s="2"/>
      <c r="N7547" s="2"/>
      <c r="O7547" s="2"/>
      <c r="P7547" s="2" t="s">
        <v>22728</v>
      </c>
      <c r="Q7547" s="2"/>
      <c r="R7547" s="2"/>
      <c r="S7547" s="5">
        <v>-308.60000000000002</v>
      </c>
      <c r="T7547" s="5">
        <v>146.6</v>
      </c>
      <c r="U7547" s="5">
        <v>2.2000000000000002</v>
      </c>
      <c r="V7547" s="6">
        <v>-10.26</v>
      </c>
      <c r="W7547" s="6">
        <v>5.19</v>
      </c>
      <c r="X7547" s="6">
        <v>4.68</v>
      </c>
      <c r="Y7547" s="6">
        <v>4.97</v>
      </c>
      <c r="Z7547" s="6">
        <v>5.0199999999999996</v>
      </c>
      <c r="AA7547" s="6">
        <v>30.07</v>
      </c>
      <c r="AB7547" s="2" t="s">
        <v>47</v>
      </c>
      <c r="AC7547" s="2"/>
    </row>
    <row r="7548" spans="1:29" ht="182" x14ac:dyDescent="0.15">
      <c r="A7548" s="3">
        <f t="shared" si="156"/>
        <v>38411</v>
      </c>
      <c r="B7548" s="3">
        <f>DATE(2005,9,1)</f>
        <v>38596</v>
      </c>
      <c r="C7548" s="2" t="s">
        <v>95</v>
      </c>
      <c r="D7548" s="2" t="s">
        <v>22729</v>
      </c>
      <c r="E7548" s="2" t="s">
        <v>22730</v>
      </c>
      <c r="F7548" s="4">
        <v>3841</v>
      </c>
      <c r="G7548" s="2" t="s">
        <v>226</v>
      </c>
      <c r="H7548" s="2" t="s">
        <v>34</v>
      </c>
      <c r="I7548" s="2" t="s">
        <v>18112</v>
      </c>
      <c r="J7548" s="2" t="s">
        <v>18113</v>
      </c>
      <c r="K7548" s="2" t="s">
        <v>226</v>
      </c>
      <c r="L7548" s="2" t="s">
        <v>34</v>
      </c>
      <c r="M7548" s="7">
        <v>148.215</v>
      </c>
      <c r="N7548" s="6">
        <v>1.83</v>
      </c>
      <c r="O7548" s="6">
        <v>1.36</v>
      </c>
      <c r="P7548" s="2" t="s">
        <v>22731</v>
      </c>
      <c r="Q7548" s="6">
        <v>100</v>
      </c>
      <c r="R7548" s="6">
        <v>14.59</v>
      </c>
      <c r="S7548" s="5">
        <v>15.1</v>
      </c>
      <c r="T7548" s="7">
        <v>6.7519999999999998</v>
      </c>
      <c r="U7548" s="5">
        <v>4.2</v>
      </c>
      <c r="V7548" s="6">
        <v>1.08</v>
      </c>
      <c r="W7548" s="5">
        <v>10.3</v>
      </c>
      <c r="X7548" s="6">
        <v>9.94</v>
      </c>
      <c r="Y7548" s="6">
        <v>9.74</v>
      </c>
      <c r="Z7548" s="6">
        <v>9.99</v>
      </c>
      <c r="AA7548" s="6">
        <v>14.04</v>
      </c>
      <c r="AB7548" s="7">
        <v>38.887999999999998</v>
      </c>
      <c r="AC7548" s="6">
        <v>22.55</v>
      </c>
    </row>
    <row r="7549" spans="1:29" ht="182" x14ac:dyDescent="0.15">
      <c r="A7549" s="3">
        <f t="shared" si="156"/>
        <v>38411</v>
      </c>
      <c r="B7549" s="2"/>
      <c r="C7549" s="2" t="s">
        <v>30</v>
      </c>
      <c r="D7549" s="2" t="s">
        <v>22732</v>
      </c>
      <c r="E7549" s="2" t="s">
        <v>849</v>
      </c>
      <c r="F7549" s="4">
        <v>7372</v>
      </c>
      <c r="G7549" s="2" t="s">
        <v>551</v>
      </c>
      <c r="H7549" s="2" t="s">
        <v>34</v>
      </c>
      <c r="I7549" s="2" t="s">
        <v>22733</v>
      </c>
      <c r="J7549" s="2" t="s">
        <v>8587</v>
      </c>
      <c r="K7549" s="2" t="s">
        <v>551</v>
      </c>
      <c r="L7549" s="2" t="s">
        <v>1049</v>
      </c>
      <c r="M7549" s="12">
        <v>49216.184999999998</v>
      </c>
      <c r="N7549" s="7">
        <v>162.35300000000001</v>
      </c>
      <c r="O7549" s="7">
        <v>161.90700000000001</v>
      </c>
      <c r="P7549" s="2" t="s">
        <v>22734</v>
      </c>
      <c r="Q7549" s="2"/>
      <c r="R7549" s="6">
        <v>11</v>
      </c>
      <c r="S7549" s="5">
        <v>7</v>
      </c>
      <c r="T7549" s="7">
        <v>19.687999999999999</v>
      </c>
      <c r="U7549" s="5">
        <v>1.8</v>
      </c>
      <c r="V7549" s="6">
        <v>0.12</v>
      </c>
      <c r="W7549" s="6">
        <v>5.96</v>
      </c>
      <c r="X7549" s="4">
        <v>6</v>
      </c>
      <c r="Y7549" s="6">
        <v>8.41</v>
      </c>
      <c r="Z7549" s="6">
        <v>8.49</v>
      </c>
      <c r="AA7549" s="6">
        <v>56</v>
      </c>
      <c r="AB7549" s="7">
        <v>94.545000000000002</v>
      </c>
      <c r="AC7549" s="10">
        <v>4634.42</v>
      </c>
    </row>
    <row r="7550" spans="1:29" ht="104" x14ac:dyDescent="0.15">
      <c r="A7550" s="3">
        <f>DATE(2005,3,1)</f>
        <v>38412</v>
      </c>
      <c r="B7550" s="3">
        <f>DATE(2005,5,13)</f>
        <v>38485</v>
      </c>
      <c r="C7550" s="2" t="s">
        <v>95</v>
      </c>
      <c r="D7550" s="2" t="s">
        <v>22735</v>
      </c>
      <c r="E7550" s="2" t="s">
        <v>18468</v>
      </c>
      <c r="F7550" s="4">
        <v>7372</v>
      </c>
      <c r="G7550" s="2" t="s">
        <v>551</v>
      </c>
      <c r="H7550" s="2" t="s">
        <v>34</v>
      </c>
      <c r="I7550" s="2" t="s">
        <v>22736</v>
      </c>
      <c r="J7550" s="2" t="s">
        <v>22737</v>
      </c>
      <c r="K7550" s="2" t="s">
        <v>76</v>
      </c>
      <c r="L7550" s="2" t="s">
        <v>34</v>
      </c>
      <c r="M7550" s="2"/>
      <c r="N7550" s="2"/>
      <c r="O7550" s="2"/>
      <c r="P7550" s="2" t="s">
        <v>22738</v>
      </c>
      <c r="Q7550" s="6">
        <v>100</v>
      </c>
      <c r="R7550" s="6">
        <v>4</v>
      </c>
      <c r="S7550" s="5">
        <v>-12.2</v>
      </c>
      <c r="T7550" s="7">
        <v>-12.817</v>
      </c>
      <c r="U7550" s="5">
        <v>2.1</v>
      </c>
      <c r="V7550" s="6">
        <v>-1</v>
      </c>
      <c r="W7550" s="6">
        <v>2.2200000000000002</v>
      </c>
      <c r="X7550" s="6">
        <v>2.4500000000000002</v>
      </c>
      <c r="Y7550" s="6">
        <v>3.89</v>
      </c>
      <c r="Z7550" s="6">
        <v>3.88</v>
      </c>
      <c r="AA7550" s="6">
        <v>12.47</v>
      </c>
      <c r="AB7550" s="2" t="s">
        <v>86</v>
      </c>
      <c r="AC7550" s="2"/>
    </row>
    <row r="7551" spans="1:29" ht="182" x14ac:dyDescent="0.15">
      <c r="A7551" s="3">
        <f>DATE(2005,3,3)</f>
        <v>38414</v>
      </c>
      <c r="B7551" s="3">
        <f>DATE(2005,5,16)</f>
        <v>38488</v>
      </c>
      <c r="C7551" s="2" t="s">
        <v>95</v>
      </c>
      <c r="D7551" s="2" t="s">
        <v>1045</v>
      </c>
      <c r="E7551" s="2" t="s">
        <v>18547</v>
      </c>
      <c r="F7551" s="4">
        <v>3674</v>
      </c>
      <c r="G7551" s="2" t="s">
        <v>137</v>
      </c>
      <c r="H7551" s="2" t="s">
        <v>34</v>
      </c>
      <c r="I7551" s="2" t="s">
        <v>8179</v>
      </c>
      <c r="J7551" s="2" t="s">
        <v>207</v>
      </c>
      <c r="K7551" s="2" t="s">
        <v>137</v>
      </c>
      <c r="L7551" s="2" t="s">
        <v>34</v>
      </c>
      <c r="M7551" s="12">
        <v>1915.472</v>
      </c>
      <c r="N7551" s="6">
        <v>13.25</v>
      </c>
      <c r="O7551" s="6">
        <v>13.07</v>
      </c>
      <c r="P7551" s="2" t="s">
        <v>22739</v>
      </c>
      <c r="Q7551" s="6">
        <v>19.600000000000001</v>
      </c>
      <c r="R7551" s="6">
        <v>33.58</v>
      </c>
      <c r="S7551" s="5">
        <v>55.6</v>
      </c>
      <c r="T7551" s="7">
        <v>106.142</v>
      </c>
      <c r="U7551" s="5">
        <v>15.7</v>
      </c>
      <c r="V7551" s="6">
        <v>1.86</v>
      </c>
      <c r="W7551" s="6">
        <v>28.39</v>
      </c>
      <c r="X7551" s="5">
        <v>28.9</v>
      </c>
      <c r="Y7551" s="6">
        <v>29.15</v>
      </c>
      <c r="Z7551" s="6">
        <v>36.25</v>
      </c>
      <c r="AA7551" s="6">
        <v>29.88</v>
      </c>
      <c r="AB7551" s="7">
        <v>9.8379999999999992</v>
      </c>
      <c r="AC7551" s="6">
        <v>623.41999999999996</v>
      </c>
    </row>
    <row r="7552" spans="1:29" ht="78" x14ac:dyDescent="0.15">
      <c r="A7552" s="3">
        <f>DATE(2005,3,4)</f>
        <v>38415</v>
      </c>
      <c r="B7552" s="3">
        <f>DATE(2005,6,3)</f>
        <v>38506</v>
      </c>
      <c r="C7552" s="2" t="s">
        <v>95</v>
      </c>
      <c r="D7552" s="2" t="s">
        <v>22740</v>
      </c>
      <c r="E7552" s="2" t="s">
        <v>9190</v>
      </c>
      <c r="F7552" s="4">
        <v>3841</v>
      </c>
      <c r="G7552" s="2" t="s">
        <v>226</v>
      </c>
      <c r="H7552" s="2" t="s">
        <v>34</v>
      </c>
      <c r="I7552" s="2" t="s">
        <v>5669</v>
      </c>
      <c r="J7552" s="2" t="s">
        <v>5670</v>
      </c>
      <c r="K7552" s="2" t="s">
        <v>130</v>
      </c>
      <c r="L7552" s="2" t="s">
        <v>34</v>
      </c>
      <c r="M7552" s="12">
        <v>196582.18400000001</v>
      </c>
      <c r="N7552" s="6">
        <v>67.739999999999995</v>
      </c>
      <c r="O7552" s="6">
        <v>68.44</v>
      </c>
      <c r="P7552" s="2" t="s">
        <v>22741</v>
      </c>
      <c r="Q7552" s="6">
        <v>100</v>
      </c>
      <c r="R7552" s="6">
        <v>27</v>
      </c>
      <c r="S7552" s="5">
        <v>9.8000000000000007</v>
      </c>
      <c r="T7552" s="7">
        <v>14.833</v>
      </c>
      <c r="U7552" s="5">
        <v>4.3</v>
      </c>
      <c r="V7552" s="6">
        <v>0.65</v>
      </c>
      <c r="W7552" s="6">
        <v>22.01</v>
      </c>
      <c r="X7552" s="5">
        <v>22.4</v>
      </c>
      <c r="Y7552" s="6">
        <v>26.68</v>
      </c>
      <c r="Z7552" s="6">
        <v>26.73</v>
      </c>
      <c r="AA7552" s="6">
        <v>14.36</v>
      </c>
      <c r="AB7552" s="7">
        <v>28.885000000000002</v>
      </c>
      <c r="AC7552" s="8">
        <v>12884</v>
      </c>
    </row>
    <row r="7553" spans="1:29" ht="182" x14ac:dyDescent="0.15">
      <c r="A7553" s="3">
        <f>DATE(2005,3,6)</f>
        <v>38417</v>
      </c>
      <c r="B7553" s="3">
        <f>DATE(2005,11,16)</f>
        <v>38672</v>
      </c>
      <c r="C7553" s="2" t="s">
        <v>95</v>
      </c>
      <c r="D7553" s="2" t="s">
        <v>2150</v>
      </c>
      <c r="E7553" s="2" t="s">
        <v>263</v>
      </c>
      <c r="F7553" s="4">
        <v>6022</v>
      </c>
      <c r="G7553" s="2" t="s">
        <v>37</v>
      </c>
      <c r="H7553" s="2" t="s">
        <v>34</v>
      </c>
      <c r="I7553" s="2" t="s">
        <v>22340</v>
      </c>
      <c r="J7553" s="2" t="s">
        <v>1181</v>
      </c>
      <c r="K7553" s="2" t="s">
        <v>37</v>
      </c>
      <c r="L7553" s="2" t="s">
        <v>34</v>
      </c>
      <c r="M7553" s="12">
        <v>19133.353999999999</v>
      </c>
      <c r="N7553" s="4">
        <v>76</v>
      </c>
      <c r="O7553" s="4">
        <v>76</v>
      </c>
      <c r="P7553" s="2" t="s">
        <v>22742</v>
      </c>
      <c r="Q7553" s="6">
        <v>100</v>
      </c>
      <c r="R7553" s="6">
        <v>30.49</v>
      </c>
      <c r="S7553" s="5">
        <v>318.8</v>
      </c>
      <c r="T7553" s="2"/>
      <c r="U7553" s="5">
        <v>13.2</v>
      </c>
      <c r="V7553" s="6">
        <v>2</v>
      </c>
      <c r="W7553" s="6">
        <v>25.87</v>
      </c>
      <c r="X7553" s="6">
        <v>26.57</v>
      </c>
      <c r="Y7553" s="6">
        <v>32.24</v>
      </c>
      <c r="Z7553" s="6">
        <v>32.24</v>
      </c>
      <c r="AA7553" s="6">
        <v>155.06</v>
      </c>
      <c r="AB7553" s="7">
        <v>14.954000000000001</v>
      </c>
      <c r="AC7553" s="2"/>
    </row>
    <row r="7554" spans="1:29" ht="143" x14ac:dyDescent="0.15">
      <c r="A7554" s="3">
        <f>DATE(2005,3,7)</f>
        <v>38418</v>
      </c>
      <c r="B7554" s="3">
        <f>DATE(2005,12,16)</f>
        <v>38702</v>
      </c>
      <c r="C7554" s="2" t="s">
        <v>95</v>
      </c>
      <c r="D7554" s="2" t="s">
        <v>22743</v>
      </c>
      <c r="E7554" s="2" t="s">
        <v>3892</v>
      </c>
      <c r="F7554" s="4">
        <v>4841</v>
      </c>
      <c r="G7554" s="2" t="s">
        <v>45</v>
      </c>
      <c r="H7554" s="2" t="s">
        <v>34</v>
      </c>
      <c r="I7554" s="2" t="s">
        <v>51</v>
      </c>
      <c r="J7554" s="2" t="s">
        <v>52</v>
      </c>
      <c r="K7554" s="2" t="s">
        <v>53</v>
      </c>
      <c r="L7554" s="2" t="s">
        <v>34</v>
      </c>
      <c r="M7554" s="2"/>
      <c r="N7554" s="2"/>
      <c r="O7554" s="2"/>
      <c r="P7554" s="2" t="s">
        <v>22744</v>
      </c>
      <c r="Q7554" s="6">
        <v>86.73</v>
      </c>
      <c r="R7554" s="6">
        <v>11.75</v>
      </c>
      <c r="S7554" s="5">
        <v>-24.2</v>
      </c>
      <c r="T7554" s="7">
        <v>454.52600000000001</v>
      </c>
      <c r="U7554" s="5">
        <v>9</v>
      </c>
      <c r="V7554" s="6">
        <v>-0.14000000000000001</v>
      </c>
      <c r="W7554" s="5">
        <v>9.5</v>
      </c>
      <c r="X7554" s="6">
        <v>9.68</v>
      </c>
      <c r="Y7554" s="6">
        <v>11.75</v>
      </c>
      <c r="Z7554" s="6">
        <v>11.61</v>
      </c>
      <c r="AA7554" s="6">
        <v>59.32</v>
      </c>
      <c r="AB7554" s="7">
        <v>16.483000000000001</v>
      </c>
      <c r="AC7554" s="2"/>
    </row>
    <row r="7555" spans="1:29" ht="104" x14ac:dyDescent="0.15">
      <c r="A7555" s="3">
        <f>DATE(2005,3,7)</f>
        <v>38418</v>
      </c>
      <c r="B7555" s="3">
        <f>DATE(2005,7,1)</f>
        <v>38534</v>
      </c>
      <c r="C7555" s="2" t="s">
        <v>95</v>
      </c>
      <c r="D7555" s="2" t="s">
        <v>22745</v>
      </c>
      <c r="E7555" s="2" t="s">
        <v>36</v>
      </c>
      <c r="F7555" s="4">
        <v>6022</v>
      </c>
      <c r="G7555" s="2" t="s">
        <v>37</v>
      </c>
      <c r="H7555" s="2" t="s">
        <v>34</v>
      </c>
      <c r="I7555" s="2" t="s">
        <v>22746</v>
      </c>
      <c r="J7555" s="2" t="s">
        <v>36</v>
      </c>
      <c r="K7555" s="2" t="s">
        <v>37</v>
      </c>
      <c r="L7555" s="2" t="s">
        <v>34</v>
      </c>
      <c r="M7555" s="6">
        <v>496.65</v>
      </c>
      <c r="N7555" s="4">
        <v>556</v>
      </c>
      <c r="O7555" s="4">
        <v>556</v>
      </c>
      <c r="P7555" s="2" t="s">
        <v>22747</v>
      </c>
      <c r="Q7555" s="6">
        <v>100</v>
      </c>
      <c r="R7555" s="6">
        <v>22</v>
      </c>
      <c r="S7555" s="5">
        <v>4.4000000000000004</v>
      </c>
      <c r="T7555" s="7">
        <v>6.7859999999999996</v>
      </c>
      <c r="U7555" s="5">
        <v>8.3000000000000007</v>
      </c>
      <c r="V7555" s="6">
        <v>0.9</v>
      </c>
      <c r="W7555" s="6">
        <v>22.44</v>
      </c>
      <c r="X7555" s="6">
        <v>23.31</v>
      </c>
      <c r="Y7555" s="6">
        <v>23.34</v>
      </c>
      <c r="Z7555" s="6">
        <v>21.71</v>
      </c>
      <c r="AA7555" s="6">
        <v>4.53</v>
      </c>
      <c r="AB7555" s="7">
        <v>25.026</v>
      </c>
      <c r="AC7555" s="2"/>
    </row>
    <row r="7556" spans="1:29" ht="117" x14ac:dyDescent="0.15">
      <c r="A7556" s="3">
        <f>DATE(2005,3,7)</f>
        <v>38418</v>
      </c>
      <c r="B7556" s="3">
        <f>DATE(2005,6,24)</f>
        <v>38527</v>
      </c>
      <c r="C7556" s="2" t="s">
        <v>95</v>
      </c>
      <c r="D7556" s="2" t="s">
        <v>22748</v>
      </c>
      <c r="E7556" s="2" t="s">
        <v>22749</v>
      </c>
      <c r="F7556" s="4">
        <v>3795</v>
      </c>
      <c r="G7556" s="2" t="s">
        <v>105</v>
      </c>
      <c r="H7556" s="2" t="s">
        <v>34</v>
      </c>
      <c r="I7556" s="2" t="s">
        <v>22312</v>
      </c>
      <c r="J7556" s="2" t="s">
        <v>22313</v>
      </c>
      <c r="K7556" s="2" t="s">
        <v>223</v>
      </c>
      <c r="L7556" s="2" t="s">
        <v>34</v>
      </c>
      <c r="M7556" s="2"/>
      <c r="N7556" s="2"/>
      <c r="O7556" s="2"/>
      <c r="P7556" s="2" t="s">
        <v>22750</v>
      </c>
      <c r="Q7556" s="6">
        <v>100</v>
      </c>
      <c r="R7556" s="6">
        <v>75</v>
      </c>
      <c r="S7556" s="5">
        <v>163.69999999999999</v>
      </c>
      <c r="T7556" s="7">
        <v>319.68099999999998</v>
      </c>
      <c r="U7556" s="5">
        <v>4.4000000000000004</v>
      </c>
      <c r="V7556" s="6">
        <v>3.08</v>
      </c>
      <c r="W7556" s="6">
        <v>54.72</v>
      </c>
      <c r="X7556" s="6">
        <v>58.26</v>
      </c>
      <c r="Y7556" s="6">
        <v>73.349999999999994</v>
      </c>
      <c r="Z7556" s="6">
        <v>73.34</v>
      </c>
      <c r="AA7556" s="6">
        <v>50.72</v>
      </c>
      <c r="AB7556" s="7">
        <v>15.978</v>
      </c>
      <c r="AC7556" s="2"/>
    </row>
    <row r="7557" spans="1:29" ht="156" x14ac:dyDescent="0.15">
      <c r="A7557" s="3">
        <f>DATE(2005,3,8)</f>
        <v>38419</v>
      </c>
      <c r="B7557" s="3">
        <f>DATE(2005,4,11)</f>
        <v>38453</v>
      </c>
      <c r="C7557" s="2" t="s">
        <v>95</v>
      </c>
      <c r="D7557" s="2" t="s">
        <v>22732</v>
      </c>
      <c r="E7557" s="2" t="s">
        <v>849</v>
      </c>
      <c r="F7557" s="4">
        <v>7372</v>
      </c>
      <c r="G7557" s="2" t="s">
        <v>551</v>
      </c>
      <c r="H7557" s="2" t="s">
        <v>34</v>
      </c>
      <c r="I7557" s="2" t="s">
        <v>8588</v>
      </c>
      <c r="J7557" s="2" t="s">
        <v>8589</v>
      </c>
      <c r="K7557" s="2" t="s">
        <v>551</v>
      </c>
      <c r="L7557" s="2" t="s">
        <v>34</v>
      </c>
      <c r="M7557" s="12">
        <v>70378.938999999998</v>
      </c>
      <c r="N7557" s="6">
        <v>13.62</v>
      </c>
      <c r="O7557" s="6">
        <v>13.35</v>
      </c>
      <c r="P7557" s="2" t="s">
        <v>22751</v>
      </c>
      <c r="Q7557" s="6">
        <v>75.12</v>
      </c>
      <c r="R7557" s="6">
        <v>11.25</v>
      </c>
      <c r="S7557" s="5">
        <v>7</v>
      </c>
      <c r="T7557" s="7">
        <v>19.687999999999999</v>
      </c>
      <c r="U7557" s="5">
        <v>1.8</v>
      </c>
      <c r="V7557" s="6">
        <v>0.12</v>
      </c>
      <c r="W7557" s="6">
        <v>5.96</v>
      </c>
      <c r="X7557" s="4">
        <v>6</v>
      </c>
      <c r="Y7557" s="6">
        <v>8.41</v>
      </c>
      <c r="Z7557" s="6">
        <v>8.49</v>
      </c>
      <c r="AA7557" s="6">
        <v>56</v>
      </c>
      <c r="AB7557" s="7">
        <v>97.238</v>
      </c>
      <c r="AC7557" s="8">
        <v>9132</v>
      </c>
    </row>
    <row r="7558" spans="1:29" ht="195" x14ac:dyDescent="0.15">
      <c r="A7558" s="3">
        <f>DATE(2005,3,9)</f>
        <v>38420</v>
      </c>
      <c r="B7558" s="3">
        <f>DATE(2005,7,1)</f>
        <v>38534</v>
      </c>
      <c r="C7558" s="2" t="s">
        <v>95</v>
      </c>
      <c r="D7558" s="2" t="s">
        <v>22752</v>
      </c>
      <c r="E7558" s="2" t="s">
        <v>22753</v>
      </c>
      <c r="F7558" s="4">
        <v>2819</v>
      </c>
      <c r="G7558" s="2" t="s">
        <v>98</v>
      </c>
      <c r="H7558" s="2" t="s">
        <v>34</v>
      </c>
      <c r="I7558" s="2" t="s">
        <v>22754</v>
      </c>
      <c r="J7558" s="2" t="s">
        <v>22755</v>
      </c>
      <c r="K7558" s="2" t="s">
        <v>98</v>
      </c>
      <c r="L7558" s="2" t="s">
        <v>34</v>
      </c>
      <c r="M7558" s="12">
        <v>1421.9739999999999</v>
      </c>
      <c r="N7558" s="6">
        <v>15.31</v>
      </c>
      <c r="O7558" s="6">
        <v>14.93</v>
      </c>
      <c r="P7558" s="2" t="s">
        <v>22756</v>
      </c>
      <c r="Q7558" s="6">
        <v>100</v>
      </c>
      <c r="R7558" s="6">
        <v>29.92</v>
      </c>
      <c r="S7558" s="5">
        <v>19.899999999999999</v>
      </c>
      <c r="T7558" s="5">
        <v>182.4</v>
      </c>
      <c r="U7558" s="5">
        <v>17</v>
      </c>
      <c r="V7558" s="6">
        <v>0.39</v>
      </c>
      <c r="W7558" s="6">
        <v>27.43</v>
      </c>
      <c r="X7558" s="6">
        <v>27.18</v>
      </c>
      <c r="Y7558" s="5">
        <v>33.6</v>
      </c>
      <c r="Z7558" s="6">
        <v>32.840000000000003</v>
      </c>
      <c r="AA7558" s="6">
        <v>51.44</v>
      </c>
      <c r="AB7558" s="7">
        <v>20.638999999999999</v>
      </c>
      <c r="AC7558" s="5">
        <v>158.69999999999999</v>
      </c>
    </row>
    <row r="7559" spans="1:29" ht="104" x14ac:dyDescent="0.15">
      <c r="A7559" s="3">
        <f>DATE(2005,3,9)</f>
        <v>38420</v>
      </c>
      <c r="B7559" s="3">
        <f>DATE(2005,7,1)</f>
        <v>38534</v>
      </c>
      <c r="C7559" s="2" t="s">
        <v>95</v>
      </c>
      <c r="D7559" s="2" t="s">
        <v>22757</v>
      </c>
      <c r="E7559" s="2" t="s">
        <v>22758</v>
      </c>
      <c r="F7559" s="4">
        <v>3645</v>
      </c>
      <c r="G7559" s="2" t="s">
        <v>137</v>
      </c>
      <c r="H7559" s="2" t="s">
        <v>34</v>
      </c>
      <c r="I7559" s="2" t="s">
        <v>22759</v>
      </c>
      <c r="J7559" s="2" t="s">
        <v>22760</v>
      </c>
      <c r="K7559" s="2" t="s">
        <v>300</v>
      </c>
      <c r="L7559" s="2" t="s">
        <v>34</v>
      </c>
      <c r="M7559" s="7">
        <v>774.28300000000002</v>
      </c>
      <c r="N7559" s="5">
        <v>39.700000000000003</v>
      </c>
      <c r="O7559" s="6">
        <v>39.75</v>
      </c>
      <c r="P7559" s="2" t="s">
        <v>22761</v>
      </c>
      <c r="Q7559" s="6">
        <v>100</v>
      </c>
      <c r="R7559" s="6">
        <v>40</v>
      </c>
      <c r="S7559" s="5">
        <v>119.2</v>
      </c>
      <c r="T7559" s="7">
        <v>42.484000000000002</v>
      </c>
      <c r="U7559" s="5">
        <v>28.3</v>
      </c>
      <c r="V7559" s="6">
        <v>6.73</v>
      </c>
      <c r="W7559" s="5">
        <v>39.4</v>
      </c>
      <c r="X7559" s="6">
        <v>39.92</v>
      </c>
      <c r="Y7559" s="6">
        <v>39.75</v>
      </c>
      <c r="Z7559" s="6">
        <v>39.549999999999997</v>
      </c>
      <c r="AA7559" s="6">
        <v>17.66</v>
      </c>
      <c r="AB7559" s="7">
        <v>16.888000000000002</v>
      </c>
      <c r="AC7559" s="6">
        <v>64.599999999999994</v>
      </c>
    </row>
    <row r="7560" spans="1:29" ht="52" x14ac:dyDescent="0.15">
      <c r="A7560" s="3">
        <f>DATE(2005,3,10)</f>
        <v>38421</v>
      </c>
      <c r="B7560" s="3">
        <f>DATE(2005,3,10)</f>
        <v>38421</v>
      </c>
      <c r="C7560" s="2" t="s">
        <v>95</v>
      </c>
      <c r="D7560" s="2" t="s">
        <v>22762</v>
      </c>
      <c r="E7560" s="2" t="s">
        <v>22763</v>
      </c>
      <c r="F7560" s="4">
        <v>7375</v>
      </c>
      <c r="G7560" s="2" t="s">
        <v>223</v>
      </c>
      <c r="H7560" s="2" t="s">
        <v>34</v>
      </c>
      <c r="I7560" s="2" t="s">
        <v>22764</v>
      </c>
      <c r="J7560" s="2" t="s">
        <v>22765</v>
      </c>
      <c r="K7560" s="2" t="s">
        <v>577</v>
      </c>
      <c r="L7560" s="2" t="s">
        <v>34</v>
      </c>
      <c r="M7560" s="7">
        <v>3.6999999999999998E-2</v>
      </c>
      <c r="N7560" s="2"/>
      <c r="O7560" s="2"/>
      <c r="P7560" s="2" t="s">
        <v>22766</v>
      </c>
      <c r="Q7560" s="6">
        <v>100</v>
      </c>
      <c r="R7560" s="2"/>
      <c r="S7560" s="2"/>
      <c r="T7560" s="2"/>
      <c r="U7560" s="2"/>
      <c r="V7560" s="2"/>
      <c r="W7560" s="13">
        <v>0</v>
      </c>
      <c r="X7560" s="4">
        <v>4</v>
      </c>
      <c r="Y7560" s="4">
        <v>4</v>
      </c>
      <c r="Z7560" s="4">
        <v>4</v>
      </c>
      <c r="AA7560" s="2"/>
      <c r="AB7560" s="2" t="s">
        <v>47</v>
      </c>
      <c r="AC7560" s="2"/>
    </row>
    <row r="7561" spans="1:29" ht="91" x14ac:dyDescent="0.15">
      <c r="A7561" s="3">
        <f>DATE(2005,3,14)</f>
        <v>38425</v>
      </c>
      <c r="B7561" s="3">
        <f>DATE(2005,5,2)</f>
        <v>38474</v>
      </c>
      <c r="C7561" s="2" t="s">
        <v>95</v>
      </c>
      <c r="D7561" s="2" t="s">
        <v>21124</v>
      </c>
      <c r="E7561" s="2" t="s">
        <v>21125</v>
      </c>
      <c r="F7561" s="4">
        <v>7372</v>
      </c>
      <c r="G7561" s="2" t="s">
        <v>551</v>
      </c>
      <c r="H7561" s="2" t="s">
        <v>34</v>
      </c>
      <c r="I7561" s="2" t="s">
        <v>5443</v>
      </c>
      <c r="J7561" s="2" t="s">
        <v>5444</v>
      </c>
      <c r="K7561" s="2" t="s">
        <v>50</v>
      </c>
      <c r="L7561" s="2" t="s">
        <v>34</v>
      </c>
      <c r="M7561" s="12">
        <v>152765.09299999999</v>
      </c>
      <c r="N7561" s="5">
        <v>91.9</v>
      </c>
      <c r="O7561" s="6">
        <v>91.38</v>
      </c>
      <c r="P7561" s="2" t="s">
        <v>22767</v>
      </c>
      <c r="Q7561" s="6">
        <v>100</v>
      </c>
      <c r="R7561" s="6">
        <v>18.5</v>
      </c>
      <c r="S7561" s="5">
        <v>15</v>
      </c>
      <c r="T7561" s="7">
        <v>29.016999999999999</v>
      </c>
      <c r="U7561" s="5">
        <v>12.8</v>
      </c>
      <c r="V7561" s="6">
        <v>0.25</v>
      </c>
      <c r="W7561" s="6">
        <v>15.81</v>
      </c>
      <c r="X7561" s="5">
        <v>15.7</v>
      </c>
      <c r="Y7561" s="6">
        <v>18.29</v>
      </c>
      <c r="Z7561" s="6">
        <v>18.34</v>
      </c>
      <c r="AA7561" s="6">
        <v>58.75</v>
      </c>
      <c r="AB7561" s="7">
        <v>93.247</v>
      </c>
      <c r="AC7561" s="8">
        <v>10570</v>
      </c>
    </row>
    <row r="7562" spans="1:29" ht="143" x14ac:dyDescent="0.15">
      <c r="A7562" s="3">
        <f>DATE(2005,3,15)</f>
        <v>38426</v>
      </c>
      <c r="B7562" s="3">
        <f>DATE(2005,9,21)</f>
        <v>38616</v>
      </c>
      <c r="C7562" s="2" t="s">
        <v>95</v>
      </c>
      <c r="D7562" s="2" t="s">
        <v>22768</v>
      </c>
      <c r="E7562" s="2" t="s">
        <v>22769</v>
      </c>
      <c r="F7562" s="4">
        <v>3841</v>
      </c>
      <c r="G7562" s="2" t="s">
        <v>226</v>
      </c>
      <c r="H7562" s="2" t="s">
        <v>34</v>
      </c>
      <c r="I7562" s="2" t="s">
        <v>22770</v>
      </c>
      <c r="J7562" s="2" t="s">
        <v>22771</v>
      </c>
      <c r="K7562" s="2" t="s">
        <v>454</v>
      </c>
      <c r="L7562" s="2" t="s">
        <v>34</v>
      </c>
      <c r="M7562" s="7">
        <v>226.82599999999999</v>
      </c>
      <c r="N7562" s="5">
        <v>23.5</v>
      </c>
      <c r="O7562" s="6">
        <v>24.27</v>
      </c>
      <c r="P7562" s="2" t="s">
        <v>22772</v>
      </c>
      <c r="Q7562" s="6">
        <v>100</v>
      </c>
      <c r="R7562" s="6">
        <v>19.54</v>
      </c>
      <c r="S7562" s="5">
        <v>0.5</v>
      </c>
      <c r="T7562" s="7">
        <v>3.133</v>
      </c>
      <c r="U7562" s="5">
        <v>2.5</v>
      </c>
      <c r="V7562" s="6">
        <v>0.06</v>
      </c>
      <c r="W7562" s="6">
        <v>9.0500000000000007</v>
      </c>
      <c r="X7562" s="6">
        <v>9.27</v>
      </c>
      <c r="Y7562" s="6">
        <v>11.75</v>
      </c>
      <c r="Z7562" s="6">
        <v>12.38</v>
      </c>
      <c r="AA7562" s="6">
        <v>6.99</v>
      </c>
      <c r="AB7562" s="7">
        <v>90.117999999999995</v>
      </c>
      <c r="AC7562" s="6">
        <v>0.6</v>
      </c>
    </row>
    <row r="7563" spans="1:29" ht="169" x14ac:dyDescent="0.15">
      <c r="A7563" s="3">
        <f>DATE(2005,3,16)</f>
        <v>38427</v>
      </c>
      <c r="B7563" s="3">
        <f>DATE(2005,7,1)</f>
        <v>38534</v>
      </c>
      <c r="C7563" s="2" t="s">
        <v>95</v>
      </c>
      <c r="D7563" s="2" t="s">
        <v>20097</v>
      </c>
      <c r="E7563" s="2" t="s">
        <v>22773</v>
      </c>
      <c r="F7563" s="4">
        <v>4412</v>
      </c>
      <c r="G7563" s="2" t="s">
        <v>173</v>
      </c>
      <c r="H7563" s="2" t="s">
        <v>34</v>
      </c>
      <c r="I7563" s="2" t="s">
        <v>22774</v>
      </c>
      <c r="J7563" s="2" t="s">
        <v>22775</v>
      </c>
      <c r="K7563" s="2" t="s">
        <v>173</v>
      </c>
      <c r="L7563" s="2" t="s">
        <v>34</v>
      </c>
      <c r="M7563" s="12">
        <v>1093.806</v>
      </c>
      <c r="N7563" s="6">
        <v>65.28</v>
      </c>
      <c r="O7563" s="6">
        <v>64.11</v>
      </c>
      <c r="P7563" s="2" t="s">
        <v>22776</v>
      </c>
      <c r="Q7563" s="6">
        <v>100</v>
      </c>
      <c r="R7563" s="6">
        <v>21.57</v>
      </c>
      <c r="S7563" s="5">
        <v>25.9</v>
      </c>
      <c r="T7563" s="7">
        <v>122.358</v>
      </c>
      <c r="U7563" s="5">
        <v>8.5</v>
      </c>
      <c r="V7563" s="6">
        <v>1.0900000000000001</v>
      </c>
      <c r="W7563" s="6">
        <v>17.22</v>
      </c>
      <c r="X7563" s="6">
        <v>16.97</v>
      </c>
      <c r="Y7563" s="6">
        <v>16.73</v>
      </c>
      <c r="Z7563" s="6">
        <v>21.01</v>
      </c>
      <c r="AA7563" s="6">
        <v>23.42</v>
      </c>
      <c r="AB7563" s="7">
        <v>17.786000000000001</v>
      </c>
      <c r="AC7563" s="6">
        <v>351.38</v>
      </c>
    </row>
    <row r="7564" spans="1:29" ht="221" x14ac:dyDescent="0.15">
      <c r="A7564" s="3">
        <f>DATE(2005,3,17)</f>
        <v>38428</v>
      </c>
      <c r="B7564" s="3">
        <f>DATE(2005,7,1)</f>
        <v>38534</v>
      </c>
      <c r="C7564" s="2" t="s">
        <v>95</v>
      </c>
      <c r="D7564" s="2" t="s">
        <v>22777</v>
      </c>
      <c r="E7564" s="2" t="s">
        <v>973</v>
      </c>
      <c r="F7564" s="4">
        <v>4812</v>
      </c>
      <c r="G7564" s="2" t="s">
        <v>63</v>
      </c>
      <c r="H7564" s="2" t="s">
        <v>34</v>
      </c>
      <c r="I7564" s="2" t="s">
        <v>22778</v>
      </c>
      <c r="J7564" s="2" t="s">
        <v>7568</v>
      </c>
      <c r="K7564" s="2" t="s">
        <v>63</v>
      </c>
      <c r="L7564" s="2" t="s">
        <v>34</v>
      </c>
      <c r="M7564" s="7">
        <v>264.82900000000001</v>
      </c>
      <c r="N7564" s="6">
        <v>33.049999999999997</v>
      </c>
      <c r="O7564" s="4">
        <v>31</v>
      </c>
      <c r="P7564" s="2" t="s">
        <v>22779</v>
      </c>
      <c r="Q7564" s="6">
        <v>100</v>
      </c>
      <c r="R7564" s="6">
        <v>23.58</v>
      </c>
      <c r="S7564" s="5">
        <v>392.9</v>
      </c>
      <c r="T7564" s="7">
        <v>-42.186</v>
      </c>
      <c r="U7564" s="5">
        <v>14.9</v>
      </c>
      <c r="V7564" s="2"/>
      <c r="W7564" s="4">
        <v>25</v>
      </c>
      <c r="X7564" s="4">
        <v>25</v>
      </c>
      <c r="Y7564" s="4">
        <v>26</v>
      </c>
      <c r="Z7564" s="6">
        <v>24.75</v>
      </c>
      <c r="AA7564" s="6">
        <v>9.01</v>
      </c>
      <c r="AB7564" s="2" t="s">
        <v>86</v>
      </c>
      <c r="AC7564" s="6">
        <v>57.76</v>
      </c>
    </row>
    <row r="7565" spans="1:29" ht="91" x14ac:dyDescent="0.15">
      <c r="A7565" s="3">
        <f>DATE(2005,3,17)</f>
        <v>38428</v>
      </c>
      <c r="B7565" s="3">
        <f>DATE(2005,7,21)</f>
        <v>38554</v>
      </c>
      <c r="C7565" s="2" t="s">
        <v>95</v>
      </c>
      <c r="D7565" s="2" t="s">
        <v>8619</v>
      </c>
      <c r="E7565" s="2" t="s">
        <v>8620</v>
      </c>
      <c r="F7565" s="4">
        <v>5945</v>
      </c>
      <c r="G7565" s="2" t="s">
        <v>73</v>
      </c>
      <c r="H7565" s="2" t="s">
        <v>34</v>
      </c>
      <c r="I7565" s="2" t="s">
        <v>51</v>
      </c>
      <c r="J7565" s="2" t="s">
        <v>52</v>
      </c>
      <c r="K7565" s="2" t="s">
        <v>53</v>
      </c>
      <c r="L7565" s="2" t="s">
        <v>34</v>
      </c>
      <c r="M7565" s="2"/>
      <c r="N7565" s="2"/>
      <c r="O7565" s="2"/>
      <c r="P7565" s="2" t="s">
        <v>22780</v>
      </c>
      <c r="Q7565" s="6">
        <v>100</v>
      </c>
      <c r="R7565" s="6">
        <v>26.75</v>
      </c>
      <c r="S7565" s="5">
        <v>252</v>
      </c>
      <c r="T7565" s="5">
        <v>662</v>
      </c>
      <c r="U7565" s="5">
        <v>20</v>
      </c>
      <c r="V7565" s="9">
        <v>1.1554</v>
      </c>
      <c r="W7565" s="6">
        <v>17.22</v>
      </c>
      <c r="X7565" s="5">
        <v>17.2</v>
      </c>
      <c r="Y7565" s="6">
        <v>17.63</v>
      </c>
      <c r="Z7565" s="6">
        <v>17.829999999999998</v>
      </c>
      <c r="AA7565" s="6">
        <v>215.06</v>
      </c>
      <c r="AB7565" s="7">
        <v>19.925000000000001</v>
      </c>
      <c r="AC7565" s="2"/>
    </row>
    <row r="7566" spans="1:29" ht="130" x14ac:dyDescent="0.15">
      <c r="A7566" s="3">
        <f>DATE(2005,3,18)</f>
        <v>38429</v>
      </c>
      <c r="B7566" s="3">
        <f>DATE(2005,5,5)</f>
        <v>38477</v>
      </c>
      <c r="C7566" s="2" t="s">
        <v>95</v>
      </c>
      <c r="D7566" s="2" t="s">
        <v>22781</v>
      </c>
      <c r="E7566" s="2" t="s">
        <v>22782</v>
      </c>
      <c r="F7566" s="4">
        <v>3826</v>
      </c>
      <c r="G7566" s="2" t="s">
        <v>226</v>
      </c>
      <c r="H7566" s="2" t="s">
        <v>34</v>
      </c>
      <c r="I7566" s="2" t="s">
        <v>17711</v>
      </c>
      <c r="J7566" s="2" t="s">
        <v>17712</v>
      </c>
      <c r="K7566" s="2" t="s">
        <v>226</v>
      </c>
      <c r="L7566" s="2" t="s">
        <v>34</v>
      </c>
      <c r="M7566" s="2"/>
      <c r="N7566" s="2"/>
      <c r="O7566" s="2"/>
      <c r="P7566" s="2" t="s">
        <v>22783</v>
      </c>
      <c r="Q7566" s="6">
        <v>100</v>
      </c>
      <c r="R7566" s="6">
        <v>20.5</v>
      </c>
      <c r="S7566" s="5">
        <v>14.4</v>
      </c>
      <c r="T7566" s="7">
        <v>67.724999999999994</v>
      </c>
      <c r="U7566" s="5">
        <v>6.4</v>
      </c>
      <c r="V7566" s="6">
        <v>0.31</v>
      </c>
      <c r="W7566" s="6">
        <v>16.489999999999998</v>
      </c>
      <c r="X7566" s="6">
        <v>17.53</v>
      </c>
      <c r="Y7566" s="6">
        <v>20.38</v>
      </c>
      <c r="Z7566" s="6">
        <v>20.350000000000001</v>
      </c>
      <c r="AA7566" s="6">
        <v>47.16</v>
      </c>
      <c r="AB7566" s="7">
        <v>19.042000000000002</v>
      </c>
      <c r="AC7566" s="2"/>
    </row>
    <row r="7567" spans="1:29" ht="104" x14ac:dyDescent="0.15">
      <c r="A7567" s="3">
        <f>DATE(2005,3,21)</f>
        <v>38432</v>
      </c>
      <c r="B7567" s="3">
        <f>DATE(2005,7,19)</f>
        <v>38552</v>
      </c>
      <c r="C7567" s="2" t="s">
        <v>95</v>
      </c>
      <c r="D7567" s="2" t="s">
        <v>22784</v>
      </c>
      <c r="E7567" s="2" t="s">
        <v>22785</v>
      </c>
      <c r="F7567" s="4">
        <v>7389</v>
      </c>
      <c r="G7567" s="2" t="s">
        <v>223</v>
      </c>
      <c r="H7567" s="2" t="s">
        <v>34</v>
      </c>
      <c r="I7567" s="2" t="s">
        <v>22786</v>
      </c>
      <c r="J7567" s="2" t="s">
        <v>22787</v>
      </c>
      <c r="K7567" s="2" t="s">
        <v>223</v>
      </c>
      <c r="L7567" s="2" t="s">
        <v>34</v>
      </c>
      <c r="M7567" s="12">
        <v>15522.048000000001</v>
      </c>
      <c r="N7567" s="6">
        <v>21.63</v>
      </c>
      <c r="O7567" s="6">
        <v>21.95</v>
      </c>
      <c r="P7567" s="2" t="s">
        <v>22788</v>
      </c>
      <c r="Q7567" s="6">
        <v>100</v>
      </c>
      <c r="R7567" s="6">
        <v>28.24</v>
      </c>
      <c r="S7567" s="5">
        <v>52.4</v>
      </c>
      <c r="T7567" s="7">
        <v>84.183000000000007</v>
      </c>
      <c r="U7567" s="5">
        <v>6.5</v>
      </c>
      <c r="V7567" s="6">
        <v>0.8</v>
      </c>
      <c r="W7567" s="6">
        <v>23.96</v>
      </c>
      <c r="X7567" s="6">
        <v>24.24</v>
      </c>
      <c r="Y7567" s="6">
        <v>28.67</v>
      </c>
      <c r="Z7567" s="6">
        <v>28.19</v>
      </c>
      <c r="AA7567" s="6">
        <v>58.97</v>
      </c>
      <c r="AB7567" s="7">
        <v>34.959000000000003</v>
      </c>
      <c r="AC7567" s="10">
        <v>3450.82</v>
      </c>
    </row>
    <row r="7568" spans="1:29" ht="182" x14ac:dyDescent="0.15">
      <c r="A7568" s="3">
        <f>DATE(2005,3,21)</f>
        <v>38432</v>
      </c>
      <c r="B7568" s="2"/>
      <c r="C7568" s="2" t="s">
        <v>30</v>
      </c>
      <c r="D7568" s="2" t="s">
        <v>15017</v>
      </c>
      <c r="E7568" s="2" t="s">
        <v>15018</v>
      </c>
      <c r="F7568" s="4">
        <v>3842</v>
      </c>
      <c r="G7568" s="2" t="s">
        <v>226</v>
      </c>
      <c r="H7568" s="2" t="s">
        <v>34</v>
      </c>
      <c r="I7568" s="2" t="s">
        <v>22789</v>
      </c>
      <c r="J7568" s="2" t="s">
        <v>22790</v>
      </c>
      <c r="K7568" s="2" t="s">
        <v>130</v>
      </c>
      <c r="L7568" s="2" t="s">
        <v>34</v>
      </c>
      <c r="M7568" s="12">
        <v>1886.2660000000001</v>
      </c>
      <c r="N7568" s="6">
        <v>29.11</v>
      </c>
      <c r="O7568" s="6">
        <v>29.05</v>
      </c>
      <c r="P7568" s="2" t="s">
        <v>22791</v>
      </c>
      <c r="Q7568" s="2"/>
      <c r="R7568" s="6">
        <v>75</v>
      </c>
      <c r="S7568" s="5">
        <v>63.1</v>
      </c>
      <c r="T7568" s="5">
        <v>104.1</v>
      </c>
      <c r="U7568" s="5">
        <v>12.4</v>
      </c>
      <c r="V7568" s="6">
        <v>1.75</v>
      </c>
      <c r="W7568" s="6">
        <v>70.069999999999993</v>
      </c>
      <c r="X7568" s="6">
        <v>66.239999999999995</v>
      </c>
      <c r="Y7568" s="6">
        <v>68.209999999999994</v>
      </c>
      <c r="Z7568" s="6">
        <v>68.39</v>
      </c>
      <c r="AA7568" s="6">
        <v>36.07</v>
      </c>
      <c r="AB7568" s="7">
        <v>29.353000000000002</v>
      </c>
      <c r="AC7568" s="6">
        <v>634.04</v>
      </c>
    </row>
    <row r="7569" spans="1:29" ht="156" x14ac:dyDescent="0.15">
      <c r="A7569" s="3">
        <f>DATE(2005,3,21)</f>
        <v>38432</v>
      </c>
      <c r="B7569" s="3">
        <f>DATE(2005,8,6)</f>
        <v>38570</v>
      </c>
      <c r="C7569" s="2" t="s">
        <v>95</v>
      </c>
      <c r="D7569" s="2" t="s">
        <v>22792</v>
      </c>
      <c r="E7569" s="2" t="s">
        <v>22793</v>
      </c>
      <c r="F7569" s="4">
        <v>3674</v>
      </c>
      <c r="G7569" s="2" t="s">
        <v>137</v>
      </c>
      <c r="H7569" s="2" t="s">
        <v>34</v>
      </c>
      <c r="I7569" s="2" t="s">
        <v>22794</v>
      </c>
      <c r="J7569" s="2" t="s">
        <v>22795</v>
      </c>
      <c r="K7569" s="2" t="s">
        <v>447</v>
      </c>
      <c r="L7569" s="2" t="s">
        <v>34</v>
      </c>
      <c r="M7569" s="7">
        <v>678.72799999999995</v>
      </c>
      <c r="N7569" s="5">
        <v>9.9</v>
      </c>
      <c r="O7569" s="6">
        <v>9.92</v>
      </c>
      <c r="P7569" s="2" t="s">
        <v>22796</v>
      </c>
      <c r="Q7569" s="6">
        <v>100</v>
      </c>
      <c r="R7569" s="6">
        <v>13.8</v>
      </c>
      <c r="S7569" s="5">
        <v>29.6</v>
      </c>
      <c r="T7569" s="7">
        <v>47.959000000000003</v>
      </c>
      <c r="U7569" s="5">
        <v>6.5</v>
      </c>
      <c r="V7569" s="6">
        <v>0.68</v>
      </c>
      <c r="W7569" s="6">
        <v>13.43</v>
      </c>
      <c r="X7569" s="6">
        <v>13.15</v>
      </c>
      <c r="Y7569" s="6">
        <v>13.78</v>
      </c>
      <c r="Z7569" s="6">
        <v>14.16</v>
      </c>
      <c r="AA7569" s="6">
        <v>41.96</v>
      </c>
      <c r="AB7569" s="7">
        <v>12.929</v>
      </c>
      <c r="AC7569" s="6">
        <v>133.18</v>
      </c>
    </row>
    <row r="7570" spans="1:29" ht="143" x14ac:dyDescent="0.15">
      <c r="A7570" s="3">
        <f>DATE(2005,3,21)</f>
        <v>38432</v>
      </c>
      <c r="B7570" s="3">
        <f>DATE(2005,10,3)</f>
        <v>38628</v>
      </c>
      <c r="C7570" s="2" t="s">
        <v>95</v>
      </c>
      <c r="D7570" s="2" t="s">
        <v>12244</v>
      </c>
      <c r="E7570" s="2" t="s">
        <v>672</v>
      </c>
      <c r="F7570" s="4">
        <v>6022</v>
      </c>
      <c r="G7570" s="2" t="s">
        <v>37</v>
      </c>
      <c r="H7570" s="2" t="s">
        <v>34</v>
      </c>
      <c r="I7570" s="2" t="s">
        <v>2248</v>
      </c>
      <c r="J7570" s="2" t="s">
        <v>36</v>
      </c>
      <c r="K7570" s="2" t="s">
        <v>37</v>
      </c>
      <c r="L7570" s="2" t="s">
        <v>34</v>
      </c>
      <c r="M7570" s="12">
        <v>4244.1869999999999</v>
      </c>
      <c r="N7570" s="6">
        <v>31.75</v>
      </c>
      <c r="O7570" s="5">
        <v>31.1</v>
      </c>
      <c r="P7570" s="2" t="s">
        <v>22797</v>
      </c>
      <c r="Q7570" s="6">
        <v>100</v>
      </c>
      <c r="R7570" s="6">
        <v>38.22</v>
      </c>
      <c r="S7570" s="5">
        <v>13.7</v>
      </c>
      <c r="T7570" s="2"/>
      <c r="U7570" s="5">
        <v>16.3</v>
      </c>
      <c r="V7570" s="6">
        <v>1.99</v>
      </c>
      <c r="W7570" s="6">
        <v>30.99</v>
      </c>
      <c r="X7570" s="6">
        <v>30.18</v>
      </c>
      <c r="Y7570" s="6">
        <v>30.18</v>
      </c>
      <c r="Z7570" s="6">
        <v>36.42</v>
      </c>
      <c r="AA7570" s="6">
        <v>6.92</v>
      </c>
      <c r="AB7570" s="7">
        <v>36.802</v>
      </c>
      <c r="AC7570" s="2"/>
    </row>
    <row r="7571" spans="1:29" ht="156" x14ac:dyDescent="0.15">
      <c r="A7571" s="3">
        <f>DATE(2005,3,28)</f>
        <v>38439</v>
      </c>
      <c r="B7571" s="3">
        <f>DATE(2005,5,6)</f>
        <v>38478</v>
      </c>
      <c r="C7571" s="2" t="s">
        <v>95</v>
      </c>
      <c r="D7571" s="2" t="s">
        <v>22675</v>
      </c>
      <c r="E7571" s="2" t="s">
        <v>22676</v>
      </c>
      <c r="F7571" s="4">
        <v>8742</v>
      </c>
      <c r="G7571" s="2" t="s">
        <v>223</v>
      </c>
      <c r="H7571" s="2" t="s">
        <v>34</v>
      </c>
      <c r="I7571" s="2" t="s">
        <v>12207</v>
      </c>
      <c r="J7571" s="2" t="s">
        <v>12208</v>
      </c>
      <c r="K7571" s="2" t="s">
        <v>223</v>
      </c>
      <c r="L7571" s="2" t="s">
        <v>34</v>
      </c>
      <c r="M7571" s="12">
        <v>1929.403</v>
      </c>
      <c r="N7571" s="6">
        <v>21.06</v>
      </c>
      <c r="O7571" s="6">
        <v>20.65</v>
      </c>
      <c r="P7571" s="2" t="s">
        <v>22798</v>
      </c>
      <c r="Q7571" s="6">
        <v>100</v>
      </c>
      <c r="R7571" s="6">
        <v>3.5</v>
      </c>
      <c r="S7571" s="5">
        <v>-4.5999999999999996</v>
      </c>
      <c r="T7571" s="2"/>
      <c r="U7571" s="5">
        <v>1.1000000000000001</v>
      </c>
      <c r="V7571" s="2"/>
      <c r="W7571" s="6">
        <v>1.48</v>
      </c>
      <c r="X7571" s="6">
        <v>1.43</v>
      </c>
      <c r="Y7571" s="6">
        <v>1.45</v>
      </c>
      <c r="Z7571" s="6">
        <v>1.85</v>
      </c>
      <c r="AA7571" s="6">
        <v>36.9</v>
      </c>
      <c r="AB7571" s="2" t="s">
        <v>47</v>
      </c>
      <c r="AC7571" s="6">
        <v>21.89</v>
      </c>
    </row>
    <row r="7572" spans="1:29" ht="78" x14ac:dyDescent="0.15">
      <c r="A7572" s="3">
        <f>DATE(2005,3,28)</f>
        <v>38439</v>
      </c>
      <c r="B7572" s="2"/>
      <c r="C7572" s="2" t="s">
        <v>30</v>
      </c>
      <c r="D7572" s="2" t="s">
        <v>22799</v>
      </c>
      <c r="E7572" s="2" t="s">
        <v>22800</v>
      </c>
      <c r="F7572" s="4">
        <v>3728</v>
      </c>
      <c r="G7572" s="2" t="s">
        <v>219</v>
      </c>
      <c r="H7572" s="2" t="s">
        <v>34</v>
      </c>
      <c r="I7572" s="2" t="s">
        <v>22801</v>
      </c>
      <c r="J7572" s="2" t="s">
        <v>302</v>
      </c>
      <c r="K7572" s="2" t="s">
        <v>53</v>
      </c>
      <c r="L7572" s="2" t="s">
        <v>34</v>
      </c>
      <c r="M7572" s="2"/>
      <c r="N7572" s="2"/>
      <c r="O7572" s="2"/>
      <c r="P7572" s="2" t="s">
        <v>22802</v>
      </c>
      <c r="Q7572" s="2"/>
      <c r="R7572" s="6">
        <v>1.35</v>
      </c>
      <c r="S7572" s="5">
        <v>-0.6</v>
      </c>
      <c r="T7572" s="2"/>
      <c r="U7572" s="5">
        <v>1.3</v>
      </c>
      <c r="V7572" s="9">
        <v>-0.1237</v>
      </c>
      <c r="W7572" s="4">
        <v>1</v>
      </c>
      <c r="X7572" s="4">
        <v>1</v>
      </c>
      <c r="Y7572" s="4">
        <v>1</v>
      </c>
      <c r="Z7572" s="4">
        <v>1</v>
      </c>
      <c r="AA7572" s="6">
        <v>5.34</v>
      </c>
      <c r="AB7572" s="2" t="s">
        <v>86</v>
      </c>
      <c r="AC7572" s="2"/>
    </row>
    <row r="7573" spans="1:29" ht="91" x14ac:dyDescent="0.15">
      <c r="A7573" s="3">
        <f>DATE(2005,3,28)</f>
        <v>38439</v>
      </c>
      <c r="B7573" s="3">
        <f>DATE(2005,6,17)</f>
        <v>38520</v>
      </c>
      <c r="C7573" s="2" t="s">
        <v>95</v>
      </c>
      <c r="D7573" s="2" t="s">
        <v>22803</v>
      </c>
      <c r="E7573" s="2" t="s">
        <v>1888</v>
      </c>
      <c r="F7573" s="4">
        <v>4911</v>
      </c>
      <c r="G7573" s="2" t="s">
        <v>439</v>
      </c>
      <c r="H7573" s="2" t="s">
        <v>34</v>
      </c>
      <c r="I7573" s="2" t="s">
        <v>16629</v>
      </c>
      <c r="J7573" s="2" t="s">
        <v>7413</v>
      </c>
      <c r="K7573" s="2" t="s">
        <v>439</v>
      </c>
      <c r="L7573" s="2" t="s">
        <v>34</v>
      </c>
      <c r="M7573" s="12">
        <v>7392.3549999999996</v>
      </c>
      <c r="N7573" s="6">
        <v>39.47</v>
      </c>
      <c r="O7573" s="6">
        <v>38.880000000000003</v>
      </c>
      <c r="P7573" s="2" t="s">
        <v>22804</v>
      </c>
      <c r="Q7573" s="6">
        <v>100</v>
      </c>
      <c r="R7573" s="6">
        <v>6.88</v>
      </c>
      <c r="S7573" s="5">
        <v>3.2</v>
      </c>
      <c r="T7573" s="7">
        <v>4.9939999999999998</v>
      </c>
      <c r="U7573" s="5">
        <v>1.2</v>
      </c>
      <c r="V7573" s="6">
        <v>0.23</v>
      </c>
      <c r="W7573" s="6">
        <v>6.39</v>
      </c>
      <c r="X7573" s="6">
        <v>6.88</v>
      </c>
      <c r="Y7573" s="6">
        <v>6.39</v>
      </c>
      <c r="Z7573" s="6">
        <v>6.45</v>
      </c>
      <c r="AA7573" s="6">
        <v>8.65</v>
      </c>
      <c r="AB7573" s="7">
        <v>9.6519999999999992</v>
      </c>
      <c r="AC7573" s="5">
        <v>281</v>
      </c>
    </row>
    <row r="7574" spans="1:29" ht="182" x14ac:dyDescent="0.15">
      <c r="A7574" s="3">
        <f>DATE(2005,3,28)</f>
        <v>38439</v>
      </c>
      <c r="B7574" s="3">
        <f>DATE(2005,8,11)</f>
        <v>38575</v>
      </c>
      <c r="C7574" s="2" t="s">
        <v>95</v>
      </c>
      <c r="D7574" s="2" t="s">
        <v>10762</v>
      </c>
      <c r="E7574" s="2" t="s">
        <v>10763</v>
      </c>
      <c r="F7574" s="4">
        <v>7373</v>
      </c>
      <c r="G7574" s="2" t="s">
        <v>223</v>
      </c>
      <c r="H7574" s="2" t="s">
        <v>34</v>
      </c>
      <c r="I7574" s="2" t="s">
        <v>51</v>
      </c>
      <c r="J7574" s="2" t="s">
        <v>52</v>
      </c>
      <c r="K7574" s="2" t="s">
        <v>53</v>
      </c>
      <c r="L7574" s="2" t="s">
        <v>34</v>
      </c>
      <c r="M7574" s="2"/>
      <c r="N7574" s="2"/>
      <c r="O7574" s="2"/>
      <c r="P7574" s="2" t="s">
        <v>22805</v>
      </c>
      <c r="Q7574" s="6">
        <v>100</v>
      </c>
      <c r="R7574" s="6">
        <v>36</v>
      </c>
      <c r="S7574" s="5">
        <v>453.6</v>
      </c>
      <c r="T7574" s="12">
        <v>1046.5809999999999</v>
      </c>
      <c r="U7574" s="5">
        <v>11.3</v>
      </c>
      <c r="V7574" s="6">
        <v>1.54</v>
      </c>
      <c r="W7574" s="6">
        <v>25.44</v>
      </c>
      <c r="X7574" s="6">
        <v>24.95</v>
      </c>
      <c r="Y7574" s="6">
        <v>31.07</v>
      </c>
      <c r="Z7574" s="6">
        <v>31.75</v>
      </c>
      <c r="AA7574" s="6">
        <v>288.62</v>
      </c>
      <c r="AB7574" s="7">
        <v>15.268000000000001</v>
      </c>
      <c r="AC7574" s="2"/>
    </row>
    <row r="7575" spans="1:29" ht="104" x14ac:dyDescent="0.15">
      <c r="A7575" s="3">
        <f>DATE(2005,3,30)</f>
        <v>38441</v>
      </c>
      <c r="B7575" s="3">
        <f>DATE(2005,4,12)</f>
        <v>38454</v>
      </c>
      <c r="C7575" s="2" t="s">
        <v>95</v>
      </c>
      <c r="D7575" s="2" t="s">
        <v>6255</v>
      </c>
      <c r="E7575" s="2" t="s">
        <v>973</v>
      </c>
      <c r="F7575" s="4">
        <v>4813</v>
      </c>
      <c r="G7575" s="2" t="s">
        <v>63</v>
      </c>
      <c r="H7575" s="2" t="s">
        <v>34</v>
      </c>
      <c r="I7575" s="2" t="s">
        <v>22806</v>
      </c>
      <c r="J7575" s="2" t="s">
        <v>973</v>
      </c>
      <c r="K7575" s="2" t="s">
        <v>63</v>
      </c>
      <c r="L7575" s="2" t="s">
        <v>734</v>
      </c>
      <c r="M7575" s="12">
        <v>9918.6239999999998</v>
      </c>
      <c r="N7575" s="7">
        <v>41.003999999999998</v>
      </c>
      <c r="O7575" s="6">
        <v>42.09</v>
      </c>
      <c r="P7575" s="2" t="s">
        <v>22807</v>
      </c>
      <c r="Q7575" s="6">
        <v>21.47</v>
      </c>
      <c r="R7575" s="2"/>
      <c r="S7575" s="5">
        <v>16.2</v>
      </c>
      <c r="T7575" s="7">
        <v>31.164000000000001</v>
      </c>
      <c r="U7575" s="5">
        <v>6.3</v>
      </c>
      <c r="V7575" s="6">
        <v>1.25</v>
      </c>
      <c r="W7575" s="5">
        <v>14.5</v>
      </c>
      <c r="X7575" s="5">
        <v>14.9</v>
      </c>
      <c r="Y7575" s="6">
        <v>18.39</v>
      </c>
      <c r="Z7575" s="6">
        <v>17.829999999999998</v>
      </c>
      <c r="AA7575" s="6">
        <v>12.82</v>
      </c>
      <c r="AB7575" s="7">
        <v>24.763000000000002</v>
      </c>
      <c r="AC7575" s="10">
        <v>1880.05</v>
      </c>
    </row>
    <row r="7576" spans="1:29" ht="117" x14ac:dyDescent="0.15">
      <c r="A7576" s="3">
        <f>DATE(2005,3,30)</f>
        <v>38441</v>
      </c>
      <c r="B7576" s="3">
        <f>DATE(2005,6,20)</f>
        <v>38523</v>
      </c>
      <c r="C7576" s="2" t="s">
        <v>95</v>
      </c>
      <c r="D7576" s="2" t="s">
        <v>22808</v>
      </c>
      <c r="E7576" s="2" t="s">
        <v>22809</v>
      </c>
      <c r="F7576" s="4">
        <v>1311</v>
      </c>
      <c r="G7576" s="2" t="s">
        <v>148</v>
      </c>
      <c r="H7576" s="2" t="s">
        <v>34</v>
      </c>
      <c r="I7576" s="2" t="s">
        <v>22810</v>
      </c>
      <c r="J7576" s="2" t="s">
        <v>1608</v>
      </c>
      <c r="K7576" s="2" t="s">
        <v>148</v>
      </c>
      <c r="L7576" s="2" t="s">
        <v>34</v>
      </c>
      <c r="M7576" s="2"/>
      <c r="N7576" s="2"/>
      <c r="O7576" s="2"/>
      <c r="P7576" s="2" t="s">
        <v>22811</v>
      </c>
      <c r="Q7576" s="6">
        <v>19.95</v>
      </c>
      <c r="R7576" s="6">
        <v>0.4</v>
      </c>
      <c r="S7576" s="5">
        <v>0.1</v>
      </c>
      <c r="T7576" s="7">
        <v>-5.7000000000000002E-2</v>
      </c>
      <c r="U7576" s="5">
        <v>-27.5</v>
      </c>
      <c r="V7576" s="9">
        <v>1.2000999999999999</v>
      </c>
      <c r="W7576" s="5">
        <v>2.1</v>
      </c>
      <c r="X7576" s="6">
        <v>1.75</v>
      </c>
      <c r="Y7576" s="5">
        <v>1.3</v>
      </c>
      <c r="Z7576" s="5">
        <v>1.2</v>
      </c>
      <c r="AA7576" s="6">
        <v>1.6</v>
      </c>
      <c r="AB7576" s="2" t="s">
        <v>86</v>
      </c>
      <c r="AC7576" s="2"/>
    </row>
    <row r="7577" spans="1:29" ht="65" x14ac:dyDescent="0.15">
      <c r="A7577" s="3">
        <f>DATE(2005,3,31)</f>
        <v>38442</v>
      </c>
      <c r="B7577" s="3">
        <f>DATE(2005,3,31)</f>
        <v>38442</v>
      </c>
      <c r="C7577" s="2" t="s">
        <v>95</v>
      </c>
      <c r="D7577" s="2" t="s">
        <v>22812</v>
      </c>
      <c r="E7577" s="2" t="s">
        <v>1072</v>
      </c>
      <c r="F7577" s="4">
        <v>3661</v>
      </c>
      <c r="G7577" s="2" t="s">
        <v>921</v>
      </c>
      <c r="H7577" s="2" t="s">
        <v>34</v>
      </c>
      <c r="I7577" s="2" t="s">
        <v>22813</v>
      </c>
      <c r="J7577" s="2" t="s">
        <v>244</v>
      </c>
      <c r="K7577" s="2" t="s">
        <v>53</v>
      </c>
      <c r="L7577" s="2" t="s">
        <v>54</v>
      </c>
      <c r="M7577" s="2"/>
      <c r="N7577" s="2"/>
      <c r="O7577" s="2"/>
      <c r="P7577" s="2" t="s">
        <v>22814</v>
      </c>
      <c r="Q7577" s="6">
        <v>58.62</v>
      </c>
      <c r="R7577" s="2"/>
      <c r="S7577" s="5">
        <v>-2.7</v>
      </c>
      <c r="T7577" s="7">
        <v>6.6139999999999999</v>
      </c>
      <c r="U7577" s="5">
        <v>-25.2</v>
      </c>
      <c r="V7577" s="6">
        <v>-4</v>
      </c>
      <c r="W7577" s="5">
        <v>3.6</v>
      </c>
      <c r="X7577" s="6">
        <v>3.15</v>
      </c>
      <c r="Y7577" s="4">
        <v>4</v>
      </c>
      <c r="Z7577" s="4">
        <v>4</v>
      </c>
      <c r="AA7577" s="6">
        <v>17.989999999999998</v>
      </c>
      <c r="AB7577" s="7">
        <v>1.514</v>
      </c>
      <c r="AC7577" s="2"/>
    </row>
    <row r="7578" spans="1:29" ht="130" x14ac:dyDescent="0.15">
      <c r="A7578" s="3">
        <f>DATE(2005,4,1)</f>
        <v>38443</v>
      </c>
      <c r="B7578" s="3">
        <f>DATE(2005,6,22)</f>
        <v>38525</v>
      </c>
      <c r="C7578" s="2" t="s">
        <v>95</v>
      </c>
      <c r="D7578" s="2" t="s">
        <v>22815</v>
      </c>
      <c r="E7578" s="2" t="s">
        <v>22816</v>
      </c>
      <c r="F7578" s="4">
        <v>2869</v>
      </c>
      <c r="G7578" s="2" t="s">
        <v>98</v>
      </c>
      <c r="H7578" s="2" t="s">
        <v>34</v>
      </c>
      <c r="I7578" s="2" t="s">
        <v>22817</v>
      </c>
      <c r="J7578" s="2" t="s">
        <v>22818</v>
      </c>
      <c r="K7578" s="2" t="s">
        <v>98</v>
      </c>
      <c r="L7578" s="2" t="s">
        <v>34</v>
      </c>
      <c r="M7578" s="2"/>
      <c r="N7578" s="2"/>
      <c r="O7578" s="2"/>
      <c r="P7578" s="2" t="s">
        <v>22819</v>
      </c>
      <c r="Q7578" s="6">
        <v>100</v>
      </c>
      <c r="R7578" s="6">
        <v>1.55</v>
      </c>
      <c r="S7578" s="5">
        <v>-1.2</v>
      </c>
      <c r="T7578" s="7">
        <v>-0.60199999999999998</v>
      </c>
      <c r="U7578" s="5">
        <v>0.2</v>
      </c>
      <c r="V7578" s="6">
        <v>-0.1</v>
      </c>
      <c r="W7578" s="6">
        <v>1.23</v>
      </c>
      <c r="X7578" s="6">
        <v>1.21</v>
      </c>
      <c r="Y7578" s="6">
        <v>1.46</v>
      </c>
      <c r="Z7578" s="6">
        <v>1.42</v>
      </c>
      <c r="AA7578" s="6">
        <v>12.83</v>
      </c>
      <c r="AB7578" s="2" t="s">
        <v>86</v>
      </c>
      <c r="AC7578" s="2"/>
    </row>
    <row r="7579" spans="1:29" ht="156" x14ac:dyDescent="0.15">
      <c r="A7579" s="3">
        <f>DATE(2005,4,1)</f>
        <v>38443</v>
      </c>
      <c r="B7579" s="3">
        <f>DATE(2005,6,27)</f>
        <v>38530</v>
      </c>
      <c r="C7579" s="2" t="s">
        <v>95</v>
      </c>
      <c r="D7579" s="2" t="s">
        <v>22815</v>
      </c>
      <c r="E7579" s="2" t="s">
        <v>22816</v>
      </c>
      <c r="F7579" s="4">
        <v>2869</v>
      </c>
      <c r="G7579" s="2" t="s">
        <v>98</v>
      </c>
      <c r="H7579" s="2" t="s">
        <v>34</v>
      </c>
      <c r="I7579" s="2" t="s">
        <v>22817</v>
      </c>
      <c r="J7579" s="2" t="s">
        <v>22818</v>
      </c>
      <c r="K7579" s="2" t="s">
        <v>98</v>
      </c>
      <c r="L7579" s="2" t="s">
        <v>34</v>
      </c>
      <c r="M7579" s="2"/>
      <c r="N7579" s="2"/>
      <c r="O7579" s="2"/>
      <c r="P7579" s="2" t="s">
        <v>22820</v>
      </c>
      <c r="Q7579" s="6">
        <v>100</v>
      </c>
      <c r="R7579" s="6">
        <v>1.55</v>
      </c>
      <c r="S7579" s="5">
        <v>-1.2</v>
      </c>
      <c r="T7579" s="7">
        <v>-0.60199999999999998</v>
      </c>
      <c r="U7579" s="5">
        <v>0.2</v>
      </c>
      <c r="V7579" s="6">
        <v>-0.1</v>
      </c>
      <c r="W7579" s="6">
        <v>1.23</v>
      </c>
      <c r="X7579" s="6">
        <v>1.21</v>
      </c>
      <c r="Y7579" s="6">
        <v>1.46</v>
      </c>
      <c r="Z7579" s="6">
        <v>1.42</v>
      </c>
      <c r="AA7579" s="6">
        <v>12.83</v>
      </c>
      <c r="AB7579" s="2" t="s">
        <v>86</v>
      </c>
      <c r="AC7579" s="2"/>
    </row>
    <row r="7580" spans="1:29" ht="91" x14ac:dyDescent="0.15">
      <c r="A7580" s="3">
        <f>DATE(2005,4,4)</f>
        <v>38446</v>
      </c>
      <c r="B7580" s="3">
        <f>DATE(2005,5,20)</f>
        <v>38492</v>
      </c>
      <c r="C7580" s="2" t="s">
        <v>95</v>
      </c>
      <c r="D7580" s="2" t="s">
        <v>22821</v>
      </c>
      <c r="E7580" s="2" t="s">
        <v>22822</v>
      </c>
      <c r="F7580" s="4">
        <v>6211</v>
      </c>
      <c r="G7580" s="2" t="s">
        <v>53</v>
      </c>
      <c r="H7580" s="2" t="s">
        <v>34</v>
      </c>
      <c r="I7580" s="2" t="s">
        <v>22823</v>
      </c>
      <c r="J7580" s="2" t="s">
        <v>22824</v>
      </c>
      <c r="K7580" s="2" t="s">
        <v>53</v>
      </c>
      <c r="L7580" s="2" t="s">
        <v>34</v>
      </c>
      <c r="M7580" s="2"/>
      <c r="N7580" s="2"/>
      <c r="O7580" s="2"/>
      <c r="P7580" s="2" t="s">
        <v>22825</v>
      </c>
      <c r="Q7580" s="6">
        <v>100</v>
      </c>
      <c r="R7580" s="6">
        <v>14</v>
      </c>
      <c r="S7580" s="5">
        <v>2.8</v>
      </c>
      <c r="T7580" s="7">
        <v>10.648</v>
      </c>
      <c r="U7580" s="5">
        <v>8.8000000000000007</v>
      </c>
      <c r="V7580" s="6">
        <v>0.38</v>
      </c>
      <c r="W7580" s="6">
        <v>8.9700000000000006</v>
      </c>
      <c r="X7580" s="6">
        <v>9.56</v>
      </c>
      <c r="Y7580" s="6">
        <v>9.76</v>
      </c>
      <c r="Z7580" s="6">
        <v>11.86</v>
      </c>
      <c r="AA7580" s="6">
        <v>6.81</v>
      </c>
      <c r="AB7580" s="7">
        <v>10.51</v>
      </c>
      <c r="AC7580" s="2"/>
    </row>
    <row r="7581" spans="1:29" ht="182" x14ac:dyDescent="0.15">
      <c r="A7581" s="3">
        <f>DATE(2005,4,4)</f>
        <v>38446</v>
      </c>
      <c r="B7581" s="3">
        <f>DATE(2005,7,28)</f>
        <v>38561</v>
      </c>
      <c r="C7581" s="2" t="s">
        <v>95</v>
      </c>
      <c r="D7581" s="2" t="s">
        <v>22826</v>
      </c>
      <c r="E7581" s="2" t="s">
        <v>612</v>
      </c>
      <c r="F7581" s="4">
        <v>1311</v>
      </c>
      <c r="G7581" s="2" t="s">
        <v>148</v>
      </c>
      <c r="H7581" s="2" t="s">
        <v>34</v>
      </c>
      <c r="I7581" s="2" t="s">
        <v>22827</v>
      </c>
      <c r="J7581" s="2" t="s">
        <v>10569</v>
      </c>
      <c r="K7581" s="2" t="s">
        <v>148</v>
      </c>
      <c r="L7581" s="2" t="s">
        <v>34</v>
      </c>
      <c r="M7581" s="7">
        <v>412.505</v>
      </c>
      <c r="N7581" s="6">
        <v>10.84</v>
      </c>
      <c r="O7581" s="6">
        <v>10.68</v>
      </c>
      <c r="P7581" s="2" t="s">
        <v>22828</v>
      </c>
      <c r="Q7581" s="6">
        <v>100</v>
      </c>
      <c r="R7581" s="6">
        <v>8.9</v>
      </c>
      <c r="S7581" s="5">
        <v>5.4</v>
      </c>
      <c r="T7581" s="7">
        <v>74.825000000000003</v>
      </c>
      <c r="U7581" s="5">
        <v>2.5</v>
      </c>
      <c r="V7581" s="6">
        <v>0.11</v>
      </c>
      <c r="W7581" s="5">
        <v>7.1</v>
      </c>
      <c r="X7581" s="6">
        <v>7.22</v>
      </c>
      <c r="Y7581" s="5">
        <v>7.8</v>
      </c>
      <c r="Z7581" s="5">
        <v>7.7</v>
      </c>
      <c r="AA7581" s="6">
        <v>41.53</v>
      </c>
      <c r="AB7581" s="7">
        <v>19.047999999999998</v>
      </c>
      <c r="AC7581" s="6">
        <v>6.36</v>
      </c>
    </row>
    <row r="7582" spans="1:29" ht="286" x14ac:dyDescent="0.15">
      <c r="A7582" s="3">
        <f>DATE(2005,4,4)</f>
        <v>38446</v>
      </c>
      <c r="B7582" s="3">
        <f>DATE(2005,8,10)</f>
        <v>38574</v>
      </c>
      <c r="C7582" s="2" t="s">
        <v>95</v>
      </c>
      <c r="D7582" s="2" t="s">
        <v>15935</v>
      </c>
      <c r="E7582" s="2" t="s">
        <v>1435</v>
      </c>
      <c r="F7582" s="4">
        <v>1311</v>
      </c>
      <c r="G7582" s="2" t="s">
        <v>148</v>
      </c>
      <c r="H7582" s="2" t="s">
        <v>34</v>
      </c>
      <c r="I7582" s="2" t="s">
        <v>22829</v>
      </c>
      <c r="J7582" s="2" t="s">
        <v>13406</v>
      </c>
      <c r="K7582" s="2" t="s">
        <v>148</v>
      </c>
      <c r="L7582" s="2" t="s">
        <v>34</v>
      </c>
      <c r="M7582" s="12">
        <v>130082.789</v>
      </c>
      <c r="N7582" s="6">
        <v>56.98</v>
      </c>
      <c r="O7582" s="6">
        <v>55.71</v>
      </c>
      <c r="P7582" s="2" t="s">
        <v>22830</v>
      </c>
      <c r="Q7582" s="6">
        <v>100</v>
      </c>
      <c r="R7582" s="6">
        <v>62.43</v>
      </c>
      <c r="S7582" s="8">
        <v>1325</v>
      </c>
      <c r="T7582" s="2"/>
      <c r="U7582" s="5">
        <v>21.6</v>
      </c>
      <c r="V7582" s="6">
        <v>4.9000000000000004</v>
      </c>
      <c r="W7582" s="6">
        <v>43.24</v>
      </c>
      <c r="X7582" s="6">
        <v>44.34</v>
      </c>
      <c r="Y7582" s="6">
        <v>45.46</v>
      </c>
      <c r="Z7582" s="6">
        <v>45.74</v>
      </c>
      <c r="AA7582" s="6">
        <v>270.57</v>
      </c>
      <c r="AB7582" s="2" t="s">
        <v>47</v>
      </c>
      <c r="AC7582" s="8">
        <v>13477</v>
      </c>
    </row>
    <row r="7583" spans="1:29" ht="104" x14ac:dyDescent="0.15">
      <c r="A7583" s="3">
        <f>DATE(2005,4,6)</f>
        <v>38448</v>
      </c>
      <c r="B7583" s="2"/>
      <c r="C7583" s="2" t="s">
        <v>30</v>
      </c>
      <c r="D7583" s="2" t="s">
        <v>22831</v>
      </c>
      <c r="E7583" s="2" t="s">
        <v>22832</v>
      </c>
      <c r="F7583" s="4">
        <v>2835</v>
      </c>
      <c r="G7583" s="2" t="s">
        <v>130</v>
      </c>
      <c r="H7583" s="2" t="s">
        <v>34</v>
      </c>
      <c r="I7583" s="2" t="s">
        <v>22833</v>
      </c>
      <c r="J7583" s="2" t="s">
        <v>22834</v>
      </c>
      <c r="K7583" s="2" t="s">
        <v>226</v>
      </c>
      <c r="L7583" s="2" t="s">
        <v>34</v>
      </c>
      <c r="M7583" s="10">
        <v>1020.59</v>
      </c>
      <c r="N7583" s="6">
        <v>49.15</v>
      </c>
      <c r="O7583" s="6">
        <v>49.15</v>
      </c>
      <c r="P7583" s="2" t="s">
        <v>22835</v>
      </c>
      <c r="Q7583" s="2"/>
      <c r="R7583" s="6">
        <v>8.5</v>
      </c>
      <c r="S7583" s="5">
        <v>0.4</v>
      </c>
      <c r="T7583" s="7">
        <v>3.419</v>
      </c>
      <c r="U7583" s="5">
        <v>4.0999999999999996</v>
      </c>
      <c r="V7583" s="6">
        <v>0.03</v>
      </c>
      <c r="W7583" s="6">
        <v>7.34</v>
      </c>
      <c r="X7583" s="6">
        <v>7.02</v>
      </c>
      <c r="Y7583" s="6">
        <v>6.75</v>
      </c>
      <c r="Z7583" s="5">
        <v>9.4</v>
      </c>
      <c r="AA7583" s="6">
        <v>9.73</v>
      </c>
      <c r="AB7583" s="7">
        <v>79.328999999999994</v>
      </c>
      <c r="AC7583" s="6">
        <v>383.81</v>
      </c>
    </row>
    <row r="7584" spans="1:29" ht="91" x14ac:dyDescent="0.15">
      <c r="A7584" s="3">
        <f>DATE(2005,4,7)</f>
        <v>38449</v>
      </c>
      <c r="B7584" s="2"/>
      <c r="C7584" s="2" t="s">
        <v>30</v>
      </c>
      <c r="D7584" s="2" t="s">
        <v>22836</v>
      </c>
      <c r="E7584" s="2" t="s">
        <v>92</v>
      </c>
      <c r="F7584" s="4">
        <v>6798</v>
      </c>
      <c r="G7584" s="2" t="s">
        <v>53</v>
      </c>
      <c r="H7584" s="2" t="s">
        <v>34</v>
      </c>
      <c r="I7584" s="2" t="s">
        <v>22837</v>
      </c>
      <c r="J7584" s="2" t="s">
        <v>18837</v>
      </c>
      <c r="K7584" s="2" t="s">
        <v>226</v>
      </c>
      <c r="L7584" s="2" t="s">
        <v>34</v>
      </c>
      <c r="M7584" s="7">
        <v>27.701000000000001</v>
      </c>
      <c r="N7584" s="6">
        <v>6.12</v>
      </c>
      <c r="O7584" s="6">
        <v>6.15</v>
      </c>
      <c r="P7584" s="2" t="s">
        <v>22838</v>
      </c>
      <c r="Q7584" s="2"/>
      <c r="R7584" s="6">
        <v>4.5</v>
      </c>
      <c r="S7584" s="5">
        <v>5.6</v>
      </c>
      <c r="T7584" s="2"/>
      <c r="U7584" s="5">
        <v>38.299999999999997</v>
      </c>
      <c r="V7584" s="6">
        <v>30.1</v>
      </c>
      <c r="W7584" s="6">
        <v>4.72</v>
      </c>
      <c r="X7584" s="6">
        <v>4.74</v>
      </c>
      <c r="Y7584" s="5">
        <v>4.8</v>
      </c>
      <c r="Z7584" s="6">
        <v>4.6900000000000004</v>
      </c>
      <c r="AA7584" s="6">
        <v>1.85</v>
      </c>
      <c r="AB7584" s="2" t="s">
        <v>86</v>
      </c>
      <c r="AC7584" s="6">
        <v>0.22</v>
      </c>
    </row>
    <row r="7585" spans="1:29" ht="91" x14ac:dyDescent="0.15">
      <c r="A7585" s="3">
        <f>DATE(2005,4,7)</f>
        <v>38449</v>
      </c>
      <c r="B7585" s="3">
        <f>DATE(2005,6,8)</f>
        <v>38511</v>
      </c>
      <c r="C7585" s="2" t="s">
        <v>95</v>
      </c>
      <c r="D7585" s="2" t="s">
        <v>22839</v>
      </c>
      <c r="E7585" s="2" t="s">
        <v>5102</v>
      </c>
      <c r="F7585" s="4">
        <v>7372</v>
      </c>
      <c r="G7585" s="2" t="s">
        <v>551</v>
      </c>
      <c r="H7585" s="2" t="s">
        <v>34</v>
      </c>
      <c r="I7585" s="2" t="s">
        <v>2244</v>
      </c>
      <c r="J7585" s="2" t="s">
        <v>2245</v>
      </c>
      <c r="K7585" s="2" t="s">
        <v>551</v>
      </c>
      <c r="L7585" s="2" t="s">
        <v>34</v>
      </c>
      <c r="M7585" s="12">
        <v>16688.098000000002</v>
      </c>
      <c r="N7585" s="6">
        <v>27.86</v>
      </c>
      <c r="O7585" s="6">
        <v>27.36</v>
      </c>
      <c r="P7585" s="2" t="s">
        <v>22840</v>
      </c>
      <c r="Q7585" s="6">
        <v>100</v>
      </c>
      <c r="R7585" s="6">
        <v>17</v>
      </c>
      <c r="S7585" s="5">
        <v>5.2</v>
      </c>
      <c r="T7585" s="7">
        <v>6.4969999999999999</v>
      </c>
      <c r="U7585" s="5">
        <v>4.9000000000000004</v>
      </c>
      <c r="V7585" s="6">
        <v>0.28000000000000003</v>
      </c>
      <c r="W7585" s="6">
        <v>10.119999999999999</v>
      </c>
      <c r="X7585" s="6">
        <v>9.94</v>
      </c>
      <c r="Y7585" s="5">
        <v>16.7</v>
      </c>
      <c r="Z7585" s="6">
        <v>16.63</v>
      </c>
      <c r="AA7585" s="6">
        <v>18.489999999999998</v>
      </c>
      <c r="AB7585" s="7">
        <v>133.613</v>
      </c>
      <c r="AC7585" s="2"/>
    </row>
    <row r="7586" spans="1:29" ht="104" x14ac:dyDescent="0.15">
      <c r="A7586" s="3">
        <f>DATE(2005,4,7)</f>
        <v>38449</v>
      </c>
      <c r="B7586" s="3">
        <f>DATE(2005,6,3)</f>
        <v>38506</v>
      </c>
      <c r="C7586" s="2" t="s">
        <v>95</v>
      </c>
      <c r="D7586" s="2" t="s">
        <v>16563</v>
      </c>
      <c r="E7586" s="2" t="s">
        <v>12851</v>
      </c>
      <c r="F7586" s="4">
        <v>7359</v>
      </c>
      <c r="G7586" s="2" t="s">
        <v>223</v>
      </c>
      <c r="H7586" s="2" t="s">
        <v>34</v>
      </c>
      <c r="I7586" s="2" t="s">
        <v>22841</v>
      </c>
      <c r="J7586" s="2" t="s">
        <v>244</v>
      </c>
      <c r="K7586" s="2" t="s">
        <v>53</v>
      </c>
      <c r="L7586" s="2" t="s">
        <v>34</v>
      </c>
      <c r="M7586" s="2"/>
      <c r="N7586" s="2"/>
      <c r="O7586" s="2"/>
      <c r="P7586" s="2" t="s">
        <v>22842</v>
      </c>
      <c r="Q7586" s="6">
        <v>100</v>
      </c>
      <c r="R7586" s="2"/>
      <c r="S7586" s="5">
        <v>-19.100000000000001</v>
      </c>
      <c r="T7586" s="7">
        <v>19.419</v>
      </c>
      <c r="U7586" s="5">
        <v>-6.4</v>
      </c>
      <c r="V7586" s="6">
        <v>-1.23</v>
      </c>
      <c r="W7586" s="5">
        <v>5.5</v>
      </c>
      <c r="X7586" s="5">
        <v>4.9000000000000004</v>
      </c>
      <c r="Y7586" s="6">
        <v>7.41</v>
      </c>
      <c r="Z7586" s="6">
        <v>7.52</v>
      </c>
      <c r="AA7586" s="6">
        <v>16.07</v>
      </c>
      <c r="AB7586" s="2" t="s">
        <v>86</v>
      </c>
      <c r="AC7586" s="2"/>
    </row>
    <row r="7587" spans="1:29" ht="273" x14ac:dyDescent="0.15">
      <c r="A7587" s="3">
        <f>DATE(2005,4,8)</f>
        <v>38450</v>
      </c>
      <c r="B7587" s="2"/>
      <c r="C7587" s="2" t="s">
        <v>30</v>
      </c>
      <c r="D7587" s="2" t="s">
        <v>8508</v>
      </c>
      <c r="E7587" s="2" t="s">
        <v>8509</v>
      </c>
      <c r="F7587" s="4">
        <v>5331</v>
      </c>
      <c r="G7587" s="2" t="s">
        <v>756</v>
      </c>
      <c r="H7587" s="2" t="s">
        <v>34</v>
      </c>
      <c r="I7587" s="2" t="s">
        <v>10400</v>
      </c>
      <c r="J7587" s="2" t="s">
        <v>244</v>
      </c>
      <c r="K7587" s="2" t="s">
        <v>53</v>
      </c>
      <c r="L7587" s="2" t="s">
        <v>34</v>
      </c>
      <c r="M7587" s="2"/>
      <c r="N7587" s="2"/>
      <c r="O7587" s="2"/>
      <c r="P7587" s="2" t="s">
        <v>22843</v>
      </c>
      <c r="Q7587" s="2"/>
      <c r="R7587" s="6">
        <v>27</v>
      </c>
      <c r="S7587" s="5">
        <v>49.6</v>
      </c>
      <c r="T7587" s="7">
        <v>184.78899999999999</v>
      </c>
      <c r="U7587" s="5">
        <v>21.9</v>
      </c>
      <c r="V7587" s="6">
        <v>1.66</v>
      </c>
      <c r="W7587" s="6">
        <v>22.18</v>
      </c>
      <c r="X7587" s="6">
        <v>23.03</v>
      </c>
      <c r="Y7587" s="6">
        <v>26.02</v>
      </c>
      <c r="Z7587" s="6">
        <v>25.05</v>
      </c>
      <c r="AA7587" s="6">
        <v>29.8</v>
      </c>
      <c r="AB7587" s="7">
        <v>10.823</v>
      </c>
      <c r="AC7587" s="2"/>
    </row>
    <row r="7588" spans="1:29" ht="143" x14ac:dyDescent="0.15">
      <c r="A7588" s="3">
        <f>DATE(2005,4,11)</f>
        <v>38453</v>
      </c>
      <c r="B7588" s="2"/>
      <c r="C7588" s="2" t="s">
        <v>30</v>
      </c>
      <c r="D7588" s="2" t="s">
        <v>22844</v>
      </c>
      <c r="E7588" s="2" t="s">
        <v>22845</v>
      </c>
      <c r="F7588" s="4">
        <v>2329</v>
      </c>
      <c r="G7588" s="2" t="s">
        <v>708</v>
      </c>
      <c r="H7588" s="2" t="s">
        <v>34</v>
      </c>
      <c r="I7588" s="2" t="s">
        <v>22846</v>
      </c>
      <c r="J7588" s="2" t="s">
        <v>150</v>
      </c>
      <c r="K7588" s="2" t="s">
        <v>53</v>
      </c>
      <c r="L7588" s="2" t="s">
        <v>34</v>
      </c>
      <c r="M7588" s="2"/>
      <c r="N7588" s="2"/>
      <c r="O7588" s="2"/>
      <c r="P7588" s="2" t="s">
        <v>22847</v>
      </c>
      <c r="Q7588" s="2"/>
      <c r="R7588" s="6">
        <v>5</v>
      </c>
      <c r="S7588" s="5">
        <v>4.5999999999999996</v>
      </c>
      <c r="T7588" s="7">
        <v>7.2610000000000001</v>
      </c>
      <c r="U7588" s="5">
        <v>1.6</v>
      </c>
      <c r="V7588" s="6">
        <v>0.28999999999999998</v>
      </c>
      <c r="W7588" s="6">
        <v>3.57</v>
      </c>
      <c r="X7588" s="6">
        <v>3.36</v>
      </c>
      <c r="Y7588" s="6">
        <v>3.32</v>
      </c>
      <c r="Z7588" s="6">
        <v>4.1399999999999997</v>
      </c>
      <c r="AA7588" s="6">
        <v>15.74</v>
      </c>
      <c r="AB7588" s="7">
        <v>9.3010000000000002</v>
      </c>
      <c r="AC7588" s="2"/>
    </row>
    <row r="7589" spans="1:29" ht="195" x14ac:dyDescent="0.15">
      <c r="A7589" s="3">
        <f>DATE(2005,4,12)</f>
        <v>38454</v>
      </c>
      <c r="B7589" s="3">
        <f>DATE(2005,5,19)</f>
        <v>38491</v>
      </c>
      <c r="C7589" s="2" t="s">
        <v>95</v>
      </c>
      <c r="D7589" s="2" t="s">
        <v>8677</v>
      </c>
      <c r="E7589" s="2" t="s">
        <v>8678</v>
      </c>
      <c r="F7589" s="4">
        <v>5074</v>
      </c>
      <c r="G7589" s="2" t="s">
        <v>76</v>
      </c>
      <c r="H7589" s="2" t="s">
        <v>34</v>
      </c>
      <c r="I7589" s="2" t="s">
        <v>22848</v>
      </c>
      <c r="J7589" s="2" t="s">
        <v>22849</v>
      </c>
      <c r="K7589" s="2" t="s">
        <v>76</v>
      </c>
      <c r="L7589" s="2" t="s">
        <v>34</v>
      </c>
      <c r="M7589" s="2"/>
      <c r="N7589" s="2"/>
      <c r="O7589" s="2"/>
      <c r="P7589" s="2" t="s">
        <v>22850</v>
      </c>
      <c r="Q7589" s="6">
        <v>100</v>
      </c>
      <c r="R7589" s="6">
        <v>74</v>
      </c>
      <c r="S7589" s="5">
        <v>19.399999999999999</v>
      </c>
      <c r="T7589" s="7">
        <v>30.707000000000001</v>
      </c>
      <c r="U7589" s="5">
        <v>53.1</v>
      </c>
      <c r="V7589" s="6">
        <v>5.76</v>
      </c>
      <c r="W7589" s="6">
        <v>46.15</v>
      </c>
      <c r="X7589" s="6">
        <v>48.58</v>
      </c>
      <c r="Y7589" s="5">
        <v>73.7</v>
      </c>
      <c r="Z7589" s="6">
        <v>73.73</v>
      </c>
      <c r="AA7589" s="6">
        <v>3.38</v>
      </c>
      <c r="AB7589" s="7">
        <v>13.851000000000001</v>
      </c>
      <c r="AC7589" s="2"/>
    </row>
    <row r="7590" spans="1:29" ht="156" x14ac:dyDescent="0.15">
      <c r="A7590" s="3">
        <f>DATE(2005,4,13)</f>
        <v>38455</v>
      </c>
      <c r="B7590" s="2"/>
      <c r="C7590" s="2" t="s">
        <v>30</v>
      </c>
      <c r="D7590" s="2" t="s">
        <v>22851</v>
      </c>
      <c r="E7590" s="2" t="s">
        <v>22852</v>
      </c>
      <c r="F7590" s="4">
        <v>7376</v>
      </c>
      <c r="G7590" s="2" t="s">
        <v>223</v>
      </c>
      <c r="H7590" s="2" t="s">
        <v>34</v>
      </c>
      <c r="I7590" s="2" t="s">
        <v>1360</v>
      </c>
      <c r="J7590" s="2" t="s">
        <v>1361</v>
      </c>
      <c r="K7590" s="2" t="s">
        <v>223</v>
      </c>
      <c r="L7590" s="2" t="s">
        <v>34</v>
      </c>
      <c r="M7590" s="7">
        <v>115.05500000000001</v>
      </c>
      <c r="N7590" s="6">
        <v>3.19</v>
      </c>
      <c r="O7590" s="6">
        <v>3.16</v>
      </c>
      <c r="P7590" s="2" t="s">
        <v>22853</v>
      </c>
      <c r="Q7590" s="2"/>
      <c r="R7590" s="6">
        <v>3.62</v>
      </c>
      <c r="S7590" s="5">
        <v>2.7</v>
      </c>
      <c r="T7590" s="7">
        <v>6.3680000000000003</v>
      </c>
      <c r="U7590" s="5">
        <v>14.6</v>
      </c>
      <c r="V7590" s="6">
        <v>0.55000000000000004</v>
      </c>
      <c r="W7590" s="6">
        <v>3.65</v>
      </c>
      <c r="X7590" s="6">
        <v>3.66</v>
      </c>
      <c r="Y7590" s="6">
        <v>3.57</v>
      </c>
      <c r="Z7590" s="6">
        <v>3.53</v>
      </c>
      <c r="AA7590" s="6">
        <v>24.32</v>
      </c>
      <c r="AB7590" s="7">
        <v>6.617</v>
      </c>
      <c r="AC7590" s="6">
        <v>31.37</v>
      </c>
    </row>
    <row r="7591" spans="1:29" ht="156" x14ac:dyDescent="0.15">
      <c r="A7591" s="3">
        <f>DATE(2005,4,13)</f>
        <v>38455</v>
      </c>
      <c r="B7591" s="3">
        <f>DATE(2005,12,31)</f>
        <v>38717</v>
      </c>
      <c r="C7591" s="2" t="s">
        <v>95</v>
      </c>
      <c r="D7591" s="2" t="s">
        <v>22854</v>
      </c>
      <c r="E7591" s="2" t="s">
        <v>159</v>
      </c>
      <c r="F7591" s="4">
        <v>6021</v>
      </c>
      <c r="G7591" s="2" t="s">
        <v>37</v>
      </c>
      <c r="H7591" s="2" t="s">
        <v>34</v>
      </c>
      <c r="I7591" s="2" t="s">
        <v>22855</v>
      </c>
      <c r="J7591" s="2" t="s">
        <v>159</v>
      </c>
      <c r="K7591" s="2" t="s">
        <v>37</v>
      </c>
      <c r="L7591" s="2" t="s">
        <v>34</v>
      </c>
      <c r="M7591" s="7">
        <v>64.644000000000005</v>
      </c>
      <c r="N7591" s="5">
        <v>14.2</v>
      </c>
      <c r="O7591" s="5">
        <v>14.2</v>
      </c>
      <c r="P7591" s="2" t="s">
        <v>22856</v>
      </c>
      <c r="Q7591" s="6">
        <v>100</v>
      </c>
      <c r="R7591" s="6">
        <v>22.11</v>
      </c>
      <c r="S7591" s="5">
        <v>-0.2</v>
      </c>
      <c r="T7591" s="2"/>
      <c r="U7591" s="5">
        <v>14.3</v>
      </c>
      <c r="V7591" s="6">
        <v>-0.45</v>
      </c>
      <c r="W7591" s="6">
        <v>12.45</v>
      </c>
      <c r="X7591" s="6">
        <v>12.85</v>
      </c>
      <c r="Y7591" s="6">
        <v>12.85</v>
      </c>
      <c r="Z7591" s="5">
        <v>20.5</v>
      </c>
      <c r="AA7591" s="6">
        <v>0.59</v>
      </c>
      <c r="AB7591" s="2" t="s">
        <v>86</v>
      </c>
      <c r="AC7591" s="2"/>
    </row>
    <row r="7592" spans="1:29" ht="130" x14ac:dyDescent="0.15">
      <c r="A7592" s="3">
        <f>DATE(2005,4,14)</f>
        <v>38456</v>
      </c>
      <c r="B7592" s="3">
        <f>DATE(2005,9,15)</f>
        <v>38610</v>
      </c>
      <c r="C7592" s="2" t="s">
        <v>95</v>
      </c>
      <c r="D7592" s="2" t="s">
        <v>22857</v>
      </c>
      <c r="E7592" s="2" t="s">
        <v>16622</v>
      </c>
      <c r="F7592" s="4">
        <v>8711</v>
      </c>
      <c r="G7592" s="2" t="s">
        <v>223</v>
      </c>
      <c r="H7592" s="2" t="s">
        <v>34</v>
      </c>
      <c r="I7592" s="2" t="s">
        <v>22858</v>
      </c>
      <c r="J7592" s="2" t="s">
        <v>22859</v>
      </c>
      <c r="K7592" s="2" t="s">
        <v>223</v>
      </c>
      <c r="L7592" s="2" t="s">
        <v>902</v>
      </c>
      <c r="M7592" s="7">
        <v>439.80099999999999</v>
      </c>
      <c r="N7592" s="7">
        <v>23.158999999999999</v>
      </c>
      <c r="O7592" s="7">
        <v>23.100999999999999</v>
      </c>
      <c r="P7592" s="2" t="s">
        <v>22860</v>
      </c>
      <c r="Q7592" s="6">
        <v>100</v>
      </c>
      <c r="R7592" s="6">
        <v>22</v>
      </c>
      <c r="S7592" s="5">
        <v>8.5</v>
      </c>
      <c r="T7592" s="7">
        <v>15.909000000000001</v>
      </c>
      <c r="U7592" s="5">
        <v>10.5</v>
      </c>
      <c r="V7592" s="6">
        <v>1.1000000000000001</v>
      </c>
      <c r="W7592" s="4">
        <v>17</v>
      </c>
      <c r="X7592" s="4">
        <v>17</v>
      </c>
      <c r="Y7592" s="6">
        <v>16.850000000000001</v>
      </c>
      <c r="Z7592" s="6">
        <v>20.87</v>
      </c>
      <c r="AA7592" s="6">
        <v>7.93</v>
      </c>
      <c r="AB7592" s="7">
        <v>12.007</v>
      </c>
      <c r="AC7592" s="6">
        <v>15.58</v>
      </c>
    </row>
    <row r="7593" spans="1:29" ht="104" x14ac:dyDescent="0.15">
      <c r="A7593" s="3">
        <f>DATE(2005,4,14)</f>
        <v>38456</v>
      </c>
      <c r="B7593" s="3">
        <f>DATE(2005,6,14)</f>
        <v>38517</v>
      </c>
      <c r="C7593" s="2" t="s">
        <v>95</v>
      </c>
      <c r="D7593" s="2" t="s">
        <v>22861</v>
      </c>
      <c r="E7593" s="2" t="s">
        <v>22862</v>
      </c>
      <c r="F7593" s="4">
        <v>3845</v>
      </c>
      <c r="G7593" s="2" t="s">
        <v>226</v>
      </c>
      <c r="H7593" s="2" t="s">
        <v>34</v>
      </c>
      <c r="I7593" s="2" t="s">
        <v>5268</v>
      </c>
      <c r="J7593" s="2" t="s">
        <v>5269</v>
      </c>
      <c r="K7593" s="2" t="s">
        <v>226</v>
      </c>
      <c r="L7593" s="2" t="s">
        <v>34</v>
      </c>
      <c r="M7593" s="12">
        <v>25211.089</v>
      </c>
      <c r="N7593" s="5">
        <v>29.9</v>
      </c>
      <c r="O7593" s="6">
        <v>29.93</v>
      </c>
      <c r="P7593" s="2" t="s">
        <v>22863</v>
      </c>
      <c r="Q7593" s="6">
        <v>59</v>
      </c>
      <c r="R7593" s="6">
        <v>1.5</v>
      </c>
      <c r="S7593" s="5">
        <v>-6.7</v>
      </c>
      <c r="T7593" s="7">
        <v>-6.6669999999999998</v>
      </c>
      <c r="U7593" s="5">
        <v>-0.1</v>
      </c>
      <c r="V7593" s="6">
        <v>-0.12</v>
      </c>
      <c r="W7593" s="6">
        <v>1.49</v>
      </c>
      <c r="X7593" s="6">
        <v>1.51</v>
      </c>
      <c r="Y7593" s="6">
        <v>1.78</v>
      </c>
      <c r="Z7593" s="6">
        <v>1.75</v>
      </c>
      <c r="AA7593" s="6">
        <v>54.83</v>
      </c>
      <c r="AB7593" s="2" t="s">
        <v>86</v>
      </c>
      <c r="AC7593" s="5">
        <v>956</v>
      </c>
    </row>
    <row r="7594" spans="1:29" ht="169" x14ac:dyDescent="0.15">
      <c r="A7594" s="3">
        <f>DATE(2005,4,15)</f>
        <v>38457</v>
      </c>
      <c r="B7594" s="3">
        <f>DATE(2005,10,4)</f>
        <v>38629</v>
      </c>
      <c r="C7594" s="2" t="s">
        <v>95</v>
      </c>
      <c r="D7594" s="2" t="s">
        <v>22864</v>
      </c>
      <c r="E7594" s="2" t="s">
        <v>22865</v>
      </c>
      <c r="F7594" s="4">
        <v>5947</v>
      </c>
      <c r="G7594" s="2" t="s">
        <v>73</v>
      </c>
      <c r="H7594" s="2" t="s">
        <v>34</v>
      </c>
      <c r="I7594" s="2" t="s">
        <v>22866</v>
      </c>
      <c r="J7594" s="2" t="s">
        <v>302</v>
      </c>
      <c r="K7594" s="2" t="s">
        <v>53</v>
      </c>
      <c r="L7594" s="2" t="s">
        <v>54</v>
      </c>
      <c r="M7594" s="2"/>
      <c r="N7594" s="2"/>
      <c r="O7594" s="2"/>
      <c r="P7594" s="2" t="s">
        <v>22867</v>
      </c>
      <c r="Q7594" s="6">
        <v>100</v>
      </c>
      <c r="R7594" s="6">
        <v>20</v>
      </c>
      <c r="S7594" s="5">
        <v>19.2</v>
      </c>
      <c r="T7594" s="7">
        <v>47.328000000000003</v>
      </c>
      <c r="U7594" s="5">
        <v>8.1</v>
      </c>
      <c r="V7594" s="6">
        <v>0.93</v>
      </c>
      <c r="W7594" s="6">
        <v>16.420000000000002</v>
      </c>
      <c r="X7594" s="5">
        <v>15.6</v>
      </c>
      <c r="Y7594" s="6">
        <v>19.86</v>
      </c>
      <c r="Z7594" s="6">
        <v>19.86</v>
      </c>
      <c r="AA7594" s="6">
        <v>20.38</v>
      </c>
      <c r="AB7594" s="7">
        <v>11.666</v>
      </c>
      <c r="AC7594" s="2"/>
    </row>
    <row r="7595" spans="1:29" ht="78" x14ac:dyDescent="0.15">
      <c r="A7595" s="3">
        <f>DATE(2005,4,15)</f>
        <v>38457</v>
      </c>
      <c r="B7595" s="3">
        <f>DATE(2005,4,15)</f>
        <v>38457</v>
      </c>
      <c r="C7595" s="2" t="s">
        <v>95</v>
      </c>
      <c r="D7595" s="2" t="s">
        <v>22868</v>
      </c>
      <c r="E7595" s="2" t="s">
        <v>22869</v>
      </c>
      <c r="F7595" s="4">
        <v>7261</v>
      </c>
      <c r="G7595" s="2" t="s">
        <v>1517</v>
      </c>
      <c r="H7595" s="2" t="s">
        <v>34</v>
      </c>
      <c r="I7595" s="2" t="s">
        <v>22870</v>
      </c>
      <c r="J7595" s="2" t="s">
        <v>244</v>
      </c>
      <c r="K7595" s="2" t="s">
        <v>53</v>
      </c>
      <c r="L7595" s="2" t="s">
        <v>8423</v>
      </c>
      <c r="M7595" s="2"/>
      <c r="N7595" s="2"/>
      <c r="O7595" s="2"/>
      <c r="P7595" s="2" t="s">
        <v>22871</v>
      </c>
      <c r="Q7595" s="6">
        <v>84.35</v>
      </c>
      <c r="R7595" s="2"/>
      <c r="S7595" s="5">
        <v>1.4</v>
      </c>
      <c r="T7595" s="7">
        <v>2.3359999999999999</v>
      </c>
      <c r="U7595" s="5">
        <v>1</v>
      </c>
      <c r="V7595" s="6">
        <v>0.2</v>
      </c>
      <c r="W7595" s="5">
        <v>4.4000000000000004</v>
      </c>
      <c r="X7595" s="6">
        <v>3.95</v>
      </c>
      <c r="Y7595" s="4">
        <v>4</v>
      </c>
      <c r="Z7595" s="6">
        <v>4.1500000000000004</v>
      </c>
      <c r="AA7595" s="6">
        <v>6.54</v>
      </c>
      <c r="AB7595" s="2" t="s">
        <v>47</v>
      </c>
      <c r="AC7595" s="2"/>
    </row>
    <row r="7596" spans="1:29" ht="78" x14ac:dyDescent="0.15">
      <c r="A7596" s="3">
        <f>DATE(2005,4,15)</f>
        <v>38457</v>
      </c>
      <c r="B7596" s="3">
        <f>DATE(2005,10,3)</f>
        <v>38628</v>
      </c>
      <c r="C7596" s="2" t="s">
        <v>95</v>
      </c>
      <c r="D7596" s="2" t="s">
        <v>22872</v>
      </c>
      <c r="E7596" s="2" t="s">
        <v>3780</v>
      </c>
      <c r="F7596" s="4">
        <v>6021</v>
      </c>
      <c r="G7596" s="2" t="s">
        <v>37</v>
      </c>
      <c r="H7596" s="2" t="s">
        <v>34</v>
      </c>
      <c r="I7596" s="2" t="s">
        <v>22873</v>
      </c>
      <c r="J7596" s="2" t="s">
        <v>159</v>
      </c>
      <c r="K7596" s="2" t="s">
        <v>37</v>
      </c>
      <c r="L7596" s="2" t="s">
        <v>34</v>
      </c>
      <c r="M7596" s="7">
        <v>30.239000000000001</v>
      </c>
      <c r="N7596" s="6">
        <v>11.38</v>
      </c>
      <c r="O7596" s="6">
        <v>11.45</v>
      </c>
      <c r="P7596" s="2" t="s">
        <v>22874</v>
      </c>
      <c r="Q7596" s="6">
        <v>100</v>
      </c>
      <c r="R7596" s="6">
        <v>22.1</v>
      </c>
      <c r="S7596" s="2"/>
      <c r="T7596" s="2"/>
      <c r="U7596" s="2"/>
      <c r="V7596" s="2"/>
      <c r="W7596" s="6">
        <v>15.25</v>
      </c>
      <c r="X7596" s="5">
        <v>14.5</v>
      </c>
      <c r="Y7596" s="5">
        <v>14.5</v>
      </c>
      <c r="Z7596" s="6">
        <v>21.15</v>
      </c>
      <c r="AA7596" s="6">
        <v>0.19</v>
      </c>
      <c r="AB7596" s="2" t="s">
        <v>47</v>
      </c>
      <c r="AC7596" s="2"/>
    </row>
    <row r="7597" spans="1:29" ht="143" x14ac:dyDescent="0.15">
      <c r="A7597" s="3">
        <f>DATE(2005,4,18)</f>
        <v>38460</v>
      </c>
      <c r="B7597" s="3">
        <f>DATE(2005,10,10)</f>
        <v>38635</v>
      </c>
      <c r="C7597" s="2" t="s">
        <v>95</v>
      </c>
      <c r="D7597" s="2" t="s">
        <v>16690</v>
      </c>
      <c r="E7597" s="2" t="s">
        <v>16691</v>
      </c>
      <c r="F7597" s="4">
        <v>5734</v>
      </c>
      <c r="G7597" s="2" t="s">
        <v>1227</v>
      </c>
      <c r="H7597" s="2" t="s">
        <v>34</v>
      </c>
      <c r="I7597" s="2" t="s">
        <v>22430</v>
      </c>
      <c r="J7597" s="2" t="s">
        <v>22431</v>
      </c>
      <c r="K7597" s="2" t="s">
        <v>1227</v>
      </c>
      <c r="L7597" s="2" t="s">
        <v>34</v>
      </c>
      <c r="M7597" s="2"/>
      <c r="N7597" s="2"/>
      <c r="O7597" s="2"/>
      <c r="P7597" s="2" t="s">
        <v>22875</v>
      </c>
      <c r="Q7597" s="6">
        <v>100</v>
      </c>
      <c r="R7597" s="6">
        <v>55.18</v>
      </c>
      <c r="S7597" s="5">
        <v>35.299999999999997</v>
      </c>
      <c r="T7597" s="7">
        <v>80.825999999999993</v>
      </c>
      <c r="U7597" s="5">
        <v>10.5</v>
      </c>
      <c r="V7597" s="6">
        <v>1.35</v>
      </c>
      <c r="W7597" s="6">
        <v>42.04</v>
      </c>
      <c r="X7597" s="6">
        <v>41.12</v>
      </c>
      <c r="Y7597" s="6">
        <v>55.21</v>
      </c>
      <c r="Z7597" s="6">
        <v>55.36</v>
      </c>
      <c r="AA7597" s="6">
        <v>24.76</v>
      </c>
      <c r="AB7597" s="7">
        <v>24.643999999999998</v>
      </c>
      <c r="AC7597" s="6">
        <v>170.99</v>
      </c>
    </row>
    <row r="7598" spans="1:29" ht="169" x14ac:dyDescent="0.15">
      <c r="A7598" s="3">
        <f>DATE(2005,4,18)</f>
        <v>38460</v>
      </c>
      <c r="B7598" s="3">
        <f>DATE(2005,12,3)</f>
        <v>38689</v>
      </c>
      <c r="C7598" s="2" t="s">
        <v>95</v>
      </c>
      <c r="D7598" s="2" t="s">
        <v>18314</v>
      </c>
      <c r="E7598" s="2" t="s">
        <v>5102</v>
      </c>
      <c r="F7598" s="4">
        <v>7372</v>
      </c>
      <c r="G7598" s="2" t="s">
        <v>551</v>
      </c>
      <c r="H7598" s="2" t="s">
        <v>34</v>
      </c>
      <c r="I7598" s="2" t="s">
        <v>6406</v>
      </c>
      <c r="J7598" s="2" t="s">
        <v>781</v>
      </c>
      <c r="K7598" s="2" t="s">
        <v>551</v>
      </c>
      <c r="L7598" s="2" t="s">
        <v>34</v>
      </c>
      <c r="M7598" s="12">
        <v>16307.987999999999</v>
      </c>
      <c r="N7598" s="6">
        <v>54.77</v>
      </c>
      <c r="O7598" s="5">
        <v>58.1</v>
      </c>
      <c r="P7598" s="2" t="s">
        <v>22876</v>
      </c>
      <c r="Q7598" s="6">
        <v>100</v>
      </c>
      <c r="R7598" s="6">
        <v>41.86</v>
      </c>
      <c r="S7598" s="5">
        <v>42.3</v>
      </c>
      <c r="T7598" s="7">
        <v>99.751000000000005</v>
      </c>
      <c r="U7598" s="5">
        <v>8.9</v>
      </c>
      <c r="V7598" s="6">
        <v>0.55000000000000004</v>
      </c>
      <c r="W7598" s="6">
        <v>35.76</v>
      </c>
      <c r="X7598" s="6">
        <v>33.450000000000003</v>
      </c>
      <c r="Y7598" s="6">
        <v>36.72</v>
      </c>
      <c r="Z7598" s="6">
        <v>39.369999999999997</v>
      </c>
      <c r="AA7598" s="6">
        <v>74.599999999999994</v>
      </c>
      <c r="AB7598" s="7">
        <v>42.786999999999999</v>
      </c>
      <c r="AC7598" s="10">
        <v>1467.1</v>
      </c>
    </row>
    <row r="7599" spans="1:29" ht="130" x14ac:dyDescent="0.15">
      <c r="A7599" s="3">
        <f>DATE(2005,4,18)</f>
        <v>38460</v>
      </c>
      <c r="B7599" s="3">
        <f>DATE(2005,8,1)</f>
        <v>38565</v>
      </c>
      <c r="C7599" s="2" t="s">
        <v>95</v>
      </c>
      <c r="D7599" s="2" t="s">
        <v>22877</v>
      </c>
      <c r="E7599" s="2" t="s">
        <v>22878</v>
      </c>
      <c r="F7599" s="4">
        <v>3577</v>
      </c>
      <c r="G7599" s="2" t="s">
        <v>50</v>
      </c>
      <c r="H7599" s="2" t="s">
        <v>34</v>
      </c>
      <c r="I7599" s="2" t="s">
        <v>22879</v>
      </c>
      <c r="J7599" s="2" t="s">
        <v>4655</v>
      </c>
      <c r="K7599" s="2" t="s">
        <v>53</v>
      </c>
      <c r="L7599" s="2" t="s">
        <v>34</v>
      </c>
      <c r="M7599" s="2"/>
      <c r="N7599" s="2"/>
      <c r="O7599" s="2"/>
      <c r="P7599" s="2" t="s">
        <v>22880</v>
      </c>
      <c r="Q7599" s="6">
        <v>100</v>
      </c>
      <c r="R7599" s="6">
        <v>6.4</v>
      </c>
      <c r="S7599" s="5">
        <v>4.3</v>
      </c>
      <c r="T7599" s="7">
        <v>6.0170000000000003</v>
      </c>
      <c r="U7599" s="5">
        <v>5.5</v>
      </c>
      <c r="V7599" s="6">
        <v>0.45</v>
      </c>
      <c r="W7599" s="6">
        <v>5.45</v>
      </c>
      <c r="X7599" s="6">
        <v>4.71</v>
      </c>
      <c r="Y7599" s="6">
        <v>6.19</v>
      </c>
      <c r="Z7599" s="6">
        <v>6.25</v>
      </c>
      <c r="AA7599" s="6">
        <v>8.44</v>
      </c>
      <c r="AB7599" s="7">
        <v>8.2919999999999998</v>
      </c>
      <c r="AC7599" s="2"/>
    </row>
    <row r="7600" spans="1:29" ht="78" x14ac:dyDescent="0.15">
      <c r="A7600" s="3">
        <f>DATE(2005,4,19)</f>
        <v>38461</v>
      </c>
      <c r="B7600" s="3">
        <f>DATE(2005,6,27)</f>
        <v>38530</v>
      </c>
      <c r="C7600" s="2" t="s">
        <v>95</v>
      </c>
      <c r="D7600" s="2" t="s">
        <v>22881</v>
      </c>
      <c r="E7600" s="2" t="s">
        <v>5597</v>
      </c>
      <c r="F7600" s="4">
        <v>2834</v>
      </c>
      <c r="G7600" s="2" t="s">
        <v>130</v>
      </c>
      <c r="H7600" s="2" t="s">
        <v>34</v>
      </c>
      <c r="I7600" s="2" t="s">
        <v>22882</v>
      </c>
      <c r="J7600" s="2" t="s">
        <v>5639</v>
      </c>
      <c r="K7600" s="2" t="s">
        <v>130</v>
      </c>
      <c r="L7600" s="2" t="s">
        <v>34</v>
      </c>
      <c r="M7600" s="2"/>
      <c r="N7600" s="2"/>
      <c r="O7600" s="2"/>
      <c r="P7600" s="2" t="s">
        <v>22883</v>
      </c>
      <c r="Q7600" s="6">
        <v>100</v>
      </c>
      <c r="R7600" s="6">
        <v>10.75</v>
      </c>
      <c r="S7600" s="5">
        <v>-10.3</v>
      </c>
      <c r="T7600" s="7">
        <v>-10.054</v>
      </c>
      <c r="U7600" s="5">
        <v>0.8</v>
      </c>
      <c r="V7600" s="6">
        <v>-1</v>
      </c>
      <c r="W7600" s="6">
        <v>8.7200000000000006</v>
      </c>
      <c r="X7600" s="6">
        <v>8.5500000000000007</v>
      </c>
      <c r="Y7600" s="6">
        <v>10.51</v>
      </c>
      <c r="Z7600" s="6">
        <v>10.51</v>
      </c>
      <c r="AA7600" s="6">
        <v>11.43</v>
      </c>
      <c r="AB7600" s="2" t="s">
        <v>86</v>
      </c>
      <c r="AC7600" s="2"/>
    </row>
    <row r="7601" spans="1:29" ht="78" x14ac:dyDescent="0.15">
      <c r="A7601" s="3">
        <f>DATE(2005,4,21)</f>
        <v>38463</v>
      </c>
      <c r="B7601" s="3">
        <f>DATE(2005,7,28)</f>
        <v>38561</v>
      </c>
      <c r="C7601" s="2" t="s">
        <v>95</v>
      </c>
      <c r="D7601" s="2" t="s">
        <v>22884</v>
      </c>
      <c r="E7601" s="2" t="s">
        <v>14081</v>
      </c>
      <c r="F7601" s="4">
        <v>2836</v>
      </c>
      <c r="G7601" s="2" t="s">
        <v>130</v>
      </c>
      <c r="H7601" s="2" t="s">
        <v>34</v>
      </c>
      <c r="I7601" s="2" t="s">
        <v>14955</v>
      </c>
      <c r="J7601" s="2" t="s">
        <v>839</v>
      </c>
      <c r="K7601" s="2" t="s">
        <v>130</v>
      </c>
      <c r="L7601" s="2" t="s">
        <v>303</v>
      </c>
      <c r="M7601" s="12">
        <v>5287.1509999999998</v>
      </c>
      <c r="N7601" s="7">
        <v>10.677</v>
      </c>
      <c r="O7601" s="7">
        <v>10.319000000000001</v>
      </c>
      <c r="P7601" s="2" t="s">
        <v>22885</v>
      </c>
      <c r="Q7601" s="6">
        <v>100</v>
      </c>
      <c r="R7601" s="6">
        <v>37</v>
      </c>
      <c r="S7601" s="5">
        <v>-73.400000000000006</v>
      </c>
      <c r="T7601" s="7">
        <v>-50.404000000000003</v>
      </c>
      <c r="U7601" s="5">
        <v>5</v>
      </c>
      <c r="V7601" s="6">
        <v>-2.1</v>
      </c>
      <c r="W7601" s="6">
        <v>26.79</v>
      </c>
      <c r="X7601" s="6">
        <v>30.44</v>
      </c>
      <c r="Y7601" s="6">
        <v>35.21</v>
      </c>
      <c r="Z7601" s="6">
        <v>34.15</v>
      </c>
      <c r="AA7601" s="6">
        <v>34.880000000000003</v>
      </c>
      <c r="AB7601" s="2" t="s">
        <v>86</v>
      </c>
      <c r="AC7601" s="10">
        <v>1466.86</v>
      </c>
    </row>
    <row r="7602" spans="1:29" ht="182" x14ac:dyDescent="0.15">
      <c r="A7602" s="3">
        <f>DATE(2005,4,22)</f>
        <v>38464</v>
      </c>
      <c r="B7602" s="3">
        <f>DATE(2005,12,8)</f>
        <v>38694</v>
      </c>
      <c r="C7602" s="2" t="s">
        <v>95</v>
      </c>
      <c r="D7602" s="2" t="s">
        <v>22886</v>
      </c>
      <c r="E7602" s="2" t="s">
        <v>22887</v>
      </c>
      <c r="F7602" s="4">
        <v>6211</v>
      </c>
      <c r="G7602" s="2" t="s">
        <v>53</v>
      </c>
      <c r="H7602" s="2" t="s">
        <v>34</v>
      </c>
      <c r="I7602" s="2" t="s">
        <v>51</v>
      </c>
      <c r="J7602" s="2" t="s">
        <v>52</v>
      </c>
      <c r="K7602" s="2" t="s">
        <v>53</v>
      </c>
      <c r="L7602" s="2" t="s">
        <v>34</v>
      </c>
      <c r="M7602" s="2"/>
      <c r="N7602" s="6">
        <v>10.46</v>
      </c>
      <c r="O7602" s="6">
        <v>10.64</v>
      </c>
      <c r="P7602" s="2" t="s">
        <v>22888</v>
      </c>
      <c r="Q7602" s="6">
        <v>100</v>
      </c>
      <c r="R7602" s="2"/>
      <c r="S7602" s="5">
        <v>48.7</v>
      </c>
      <c r="T7602" s="6">
        <v>121.08</v>
      </c>
      <c r="U7602" s="5">
        <v>3.2</v>
      </c>
      <c r="V7602" s="6">
        <v>0.15</v>
      </c>
      <c r="W7602" s="6">
        <v>5.94</v>
      </c>
      <c r="X7602" s="6">
        <v>5.77</v>
      </c>
      <c r="Y7602" s="6">
        <v>6.49</v>
      </c>
      <c r="Z7602" s="6">
        <v>5.93</v>
      </c>
      <c r="AA7602" s="6">
        <v>334.59</v>
      </c>
      <c r="AB7602" s="7">
        <v>15.79</v>
      </c>
      <c r="AC7602" s="2"/>
    </row>
    <row r="7603" spans="1:29" ht="195" x14ac:dyDescent="0.15">
      <c r="A7603" s="3">
        <f>DATE(2005,4,22)</f>
        <v>38464</v>
      </c>
      <c r="B7603" s="3">
        <f>DATE(2005,8,19)</f>
        <v>38583</v>
      </c>
      <c r="C7603" s="2" t="s">
        <v>95</v>
      </c>
      <c r="D7603" s="2" t="s">
        <v>22889</v>
      </c>
      <c r="E7603" s="2" t="s">
        <v>1181</v>
      </c>
      <c r="F7603" s="4">
        <v>6021</v>
      </c>
      <c r="G7603" s="2" t="s">
        <v>37</v>
      </c>
      <c r="H7603" s="2" t="s">
        <v>34</v>
      </c>
      <c r="I7603" s="2" t="s">
        <v>22088</v>
      </c>
      <c r="J7603" s="2" t="s">
        <v>17388</v>
      </c>
      <c r="K7603" s="2" t="s">
        <v>37</v>
      </c>
      <c r="L7603" s="2" t="s">
        <v>34</v>
      </c>
      <c r="M7603" s="7">
        <v>167.929</v>
      </c>
      <c r="N7603" s="6">
        <v>29.01</v>
      </c>
      <c r="O7603" s="6">
        <v>29.28</v>
      </c>
      <c r="P7603" s="2" t="s">
        <v>22890</v>
      </c>
      <c r="Q7603" s="6">
        <v>100</v>
      </c>
      <c r="R7603" s="2"/>
      <c r="S7603" s="2"/>
      <c r="T7603" s="2"/>
      <c r="U7603" s="2"/>
      <c r="V7603" s="2"/>
      <c r="W7603" s="5">
        <v>21.5</v>
      </c>
      <c r="X7603" s="6">
        <v>20.75</v>
      </c>
      <c r="Y7603" s="5">
        <v>28.4</v>
      </c>
      <c r="Z7603" s="4">
        <v>28</v>
      </c>
      <c r="AA7603" s="6">
        <v>0.93</v>
      </c>
      <c r="AB7603" s="2" t="s">
        <v>47</v>
      </c>
      <c r="AC7603" s="2"/>
    </row>
    <row r="7604" spans="1:29" ht="117" x14ac:dyDescent="0.15">
      <c r="A7604" s="3">
        <f>DATE(2005,4,25)</f>
        <v>38467</v>
      </c>
      <c r="B7604" s="3">
        <f>DATE(2005,7,13)</f>
        <v>38546</v>
      </c>
      <c r="C7604" s="2" t="s">
        <v>95</v>
      </c>
      <c r="D7604" s="2" t="s">
        <v>14645</v>
      </c>
      <c r="E7604" s="2" t="s">
        <v>14646</v>
      </c>
      <c r="F7604" s="4">
        <v>7375</v>
      </c>
      <c r="G7604" s="2" t="s">
        <v>223</v>
      </c>
      <c r="H7604" s="2" t="s">
        <v>34</v>
      </c>
      <c r="I7604" s="2" t="s">
        <v>51</v>
      </c>
      <c r="J7604" s="2" t="s">
        <v>52</v>
      </c>
      <c r="K7604" s="2" t="s">
        <v>53</v>
      </c>
      <c r="L7604" s="2" t="s">
        <v>34</v>
      </c>
      <c r="M7604" s="2"/>
      <c r="N7604" s="2"/>
      <c r="O7604" s="2"/>
      <c r="P7604" s="2" t="s">
        <v>22891</v>
      </c>
      <c r="Q7604" s="6">
        <v>100</v>
      </c>
      <c r="R7604" s="6">
        <v>8.5</v>
      </c>
      <c r="S7604" s="5">
        <v>37.5</v>
      </c>
      <c r="T7604" s="7">
        <v>58.588999999999999</v>
      </c>
      <c r="U7604" s="5">
        <v>4.5999999999999996</v>
      </c>
      <c r="V7604" s="6">
        <v>0.26</v>
      </c>
      <c r="W7604" s="6">
        <v>7.22</v>
      </c>
      <c r="X7604" s="6">
        <v>8.57</v>
      </c>
      <c r="Y7604" s="6">
        <v>8.1199999999999992</v>
      </c>
      <c r="Z7604" s="6">
        <v>8.14</v>
      </c>
      <c r="AA7604" s="6">
        <v>126.05</v>
      </c>
      <c r="AB7604" s="7">
        <v>40.771000000000001</v>
      </c>
      <c r="AC7604" s="2"/>
    </row>
    <row r="7605" spans="1:29" ht="91" x14ac:dyDescent="0.15">
      <c r="A7605" s="3">
        <f>DATE(2005,4,25)</f>
        <v>38467</v>
      </c>
      <c r="B7605" s="3">
        <f>DATE(2005,10,10)</f>
        <v>38635</v>
      </c>
      <c r="C7605" s="2" t="s">
        <v>95</v>
      </c>
      <c r="D7605" s="2" t="s">
        <v>22892</v>
      </c>
      <c r="E7605" s="2" t="s">
        <v>1181</v>
      </c>
      <c r="F7605" s="4">
        <v>6021</v>
      </c>
      <c r="G7605" s="2" t="s">
        <v>37</v>
      </c>
      <c r="H7605" s="2" t="s">
        <v>34</v>
      </c>
      <c r="I7605" s="2" t="s">
        <v>22893</v>
      </c>
      <c r="J7605" s="2" t="s">
        <v>3780</v>
      </c>
      <c r="K7605" s="2" t="s">
        <v>37</v>
      </c>
      <c r="L7605" s="2" t="s">
        <v>34</v>
      </c>
      <c r="M7605" s="12">
        <v>8301.2070000000003</v>
      </c>
      <c r="N7605" s="5">
        <v>147.5</v>
      </c>
      <c r="O7605" s="5">
        <v>147.5</v>
      </c>
      <c r="P7605" s="2" t="s">
        <v>22894</v>
      </c>
      <c r="Q7605" s="6">
        <v>100</v>
      </c>
      <c r="R7605" s="2"/>
      <c r="S7605" s="2"/>
      <c r="T7605" s="2"/>
      <c r="U7605" s="2"/>
      <c r="V7605" s="2"/>
      <c r="W7605" s="4">
        <v>52</v>
      </c>
      <c r="X7605" s="4">
        <v>52</v>
      </c>
      <c r="Y7605" s="2"/>
      <c r="Z7605" s="2"/>
      <c r="AA7605" s="2"/>
      <c r="AB7605" s="2" t="s">
        <v>47</v>
      </c>
      <c r="AC7605" s="2"/>
    </row>
    <row r="7606" spans="1:29" ht="195" x14ac:dyDescent="0.15">
      <c r="A7606" s="3">
        <f>DATE(2005,4,25)</f>
        <v>38467</v>
      </c>
      <c r="B7606" s="3">
        <f>DATE(2005,9,1)</f>
        <v>38596</v>
      </c>
      <c r="C7606" s="2" t="s">
        <v>95</v>
      </c>
      <c r="D7606" s="2" t="s">
        <v>22895</v>
      </c>
      <c r="E7606" s="2" t="s">
        <v>22896</v>
      </c>
      <c r="F7606" s="4">
        <v>2911</v>
      </c>
      <c r="G7606" s="2" t="s">
        <v>148</v>
      </c>
      <c r="H7606" s="2" t="s">
        <v>34</v>
      </c>
      <c r="I7606" s="2" t="s">
        <v>18605</v>
      </c>
      <c r="J7606" s="2" t="s">
        <v>147</v>
      </c>
      <c r="K7606" s="2" t="s">
        <v>148</v>
      </c>
      <c r="L7606" s="2" t="s">
        <v>34</v>
      </c>
      <c r="M7606" s="12">
        <v>18185.876</v>
      </c>
      <c r="N7606" s="6">
        <v>75.87</v>
      </c>
      <c r="O7606" s="6">
        <v>73.25</v>
      </c>
      <c r="P7606" s="2" t="s">
        <v>22897</v>
      </c>
      <c r="Q7606" s="6">
        <v>100</v>
      </c>
      <c r="R7606" s="6">
        <v>74.290000000000006</v>
      </c>
      <c r="S7606" s="5">
        <v>477.9</v>
      </c>
      <c r="T7606" s="8">
        <v>1066.8</v>
      </c>
      <c r="U7606" s="5">
        <v>23.9</v>
      </c>
      <c r="V7606" s="6">
        <v>5.58</v>
      </c>
      <c r="W7606" s="6">
        <v>55.68</v>
      </c>
      <c r="X7606" s="4">
        <v>59</v>
      </c>
      <c r="Y7606" s="5">
        <v>69.7</v>
      </c>
      <c r="Z7606" s="6">
        <v>68.69</v>
      </c>
      <c r="AA7606" s="6">
        <v>89.22</v>
      </c>
      <c r="AB7606" s="7">
        <v>8.5449999999999999</v>
      </c>
      <c r="AC7606" s="5">
        <v>710</v>
      </c>
    </row>
    <row r="7607" spans="1:29" ht="91" x14ac:dyDescent="0.15">
      <c r="A7607" s="3">
        <f>DATE(2005,4,26)</f>
        <v>38468</v>
      </c>
      <c r="B7607" s="2"/>
      <c r="C7607" s="2" t="s">
        <v>30</v>
      </c>
      <c r="D7607" s="2" t="s">
        <v>22898</v>
      </c>
      <c r="E7607" s="2" t="s">
        <v>3499</v>
      </c>
      <c r="F7607" s="4">
        <v>1522</v>
      </c>
      <c r="G7607" s="2" t="s">
        <v>341</v>
      </c>
      <c r="H7607" s="2" t="s">
        <v>34</v>
      </c>
      <c r="I7607" s="2" t="s">
        <v>22899</v>
      </c>
      <c r="J7607" s="2" t="s">
        <v>150</v>
      </c>
      <c r="K7607" s="2" t="s">
        <v>53</v>
      </c>
      <c r="L7607" s="2" t="s">
        <v>34</v>
      </c>
      <c r="M7607" s="2"/>
      <c r="N7607" s="2"/>
      <c r="O7607" s="2"/>
      <c r="P7607" s="2" t="s">
        <v>22900</v>
      </c>
      <c r="Q7607" s="2"/>
      <c r="R7607" s="6">
        <v>82</v>
      </c>
      <c r="S7607" s="5">
        <v>176.7</v>
      </c>
      <c r="T7607" s="7">
        <v>348.63600000000002</v>
      </c>
      <c r="U7607" s="5">
        <v>42.7</v>
      </c>
      <c r="V7607" s="6">
        <v>18.34</v>
      </c>
      <c r="W7607" s="5">
        <v>74.599999999999994</v>
      </c>
      <c r="X7607" s="5">
        <v>74.400000000000006</v>
      </c>
      <c r="Y7607" s="6">
        <v>75.25</v>
      </c>
      <c r="Z7607" s="6">
        <v>85.98</v>
      </c>
      <c r="AA7607" s="6">
        <v>8.6199999999999992</v>
      </c>
      <c r="AB7607" s="7">
        <v>3.9830000000000001</v>
      </c>
      <c r="AC7607" s="2"/>
    </row>
    <row r="7608" spans="1:29" ht="143" x14ac:dyDescent="0.15">
      <c r="A7608" s="3">
        <f>DATE(2005,4,26)</f>
        <v>38468</v>
      </c>
      <c r="B7608" s="3">
        <f>DATE(2005,6,7)</f>
        <v>38510</v>
      </c>
      <c r="C7608" s="2" t="s">
        <v>95</v>
      </c>
      <c r="D7608" s="2" t="s">
        <v>22901</v>
      </c>
      <c r="E7608" s="2" t="s">
        <v>22311</v>
      </c>
      <c r="F7608" s="4">
        <v>7379</v>
      </c>
      <c r="G7608" s="2" t="s">
        <v>223</v>
      </c>
      <c r="H7608" s="2" t="s">
        <v>34</v>
      </c>
      <c r="I7608" s="2" t="s">
        <v>22902</v>
      </c>
      <c r="J7608" s="2" t="s">
        <v>22903</v>
      </c>
      <c r="K7608" s="2" t="s">
        <v>921</v>
      </c>
      <c r="L7608" s="2" t="s">
        <v>34</v>
      </c>
      <c r="M7608" s="2"/>
      <c r="N7608" s="2"/>
      <c r="O7608" s="2"/>
      <c r="P7608" s="2" t="s">
        <v>22904</v>
      </c>
      <c r="Q7608" s="6">
        <v>100</v>
      </c>
      <c r="R7608" s="6">
        <v>15.5</v>
      </c>
      <c r="S7608" s="5">
        <v>17.5</v>
      </c>
      <c r="T7608" s="7">
        <v>36.475000000000001</v>
      </c>
      <c r="U7608" s="5">
        <v>7</v>
      </c>
      <c r="V7608" s="6">
        <v>0.6</v>
      </c>
      <c r="W7608" s="6">
        <v>11.62</v>
      </c>
      <c r="X7608" s="6">
        <v>11.31</v>
      </c>
      <c r="Y7608" s="6">
        <v>15.32</v>
      </c>
      <c r="Z7608" s="6">
        <v>15.32</v>
      </c>
      <c r="AA7608" s="6">
        <v>27.59</v>
      </c>
      <c r="AB7608" s="7">
        <v>14.272</v>
      </c>
      <c r="AC7608" s="2"/>
    </row>
    <row r="7609" spans="1:29" ht="169" x14ac:dyDescent="0.15">
      <c r="A7609" s="3">
        <f>DATE(2005,4,27)</f>
        <v>38469</v>
      </c>
      <c r="B7609" s="3">
        <f>DATE(2005,8,19)</f>
        <v>38583</v>
      </c>
      <c r="C7609" s="2" t="s">
        <v>95</v>
      </c>
      <c r="D7609" s="2" t="s">
        <v>22905</v>
      </c>
      <c r="E7609" s="2" t="s">
        <v>1248</v>
      </c>
      <c r="F7609" s="4">
        <v>1041</v>
      </c>
      <c r="G7609" s="2" t="s">
        <v>166</v>
      </c>
      <c r="H7609" s="2" t="s">
        <v>34</v>
      </c>
      <c r="I7609" s="2" t="s">
        <v>248</v>
      </c>
      <c r="J7609" s="2" t="s">
        <v>249</v>
      </c>
      <c r="K7609" s="2" t="s">
        <v>250</v>
      </c>
      <c r="L7609" s="2" t="s">
        <v>34</v>
      </c>
      <c r="M7609" s="12">
        <v>3680.393</v>
      </c>
      <c r="N7609" s="6">
        <v>33.93</v>
      </c>
      <c r="O7609" s="6">
        <v>34.43</v>
      </c>
      <c r="P7609" s="2" t="s">
        <v>22906</v>
      </c>
      <c r="Q7609" s="6">
        <v>28.04</v>
      </c>
      <c r="R7609" s="6">
        <v>0.94</v>
      </c>
      <c r="S7609" s="5">
        <v>-12.1</v>
      </c>
      <c r="T7609" s="6">
        <v>-3.32</v>
      </c>
      <c r="U7609" s="5">
        <v>2.8</v>
      </c>
      <c r="V7609" s="6">
        <v>-0.32</v>
      </c>
      <c r="W7609" s="5">
        <v>1.9</v>
      </c>
      <c r="X7609" s="5">
        <v>1.9</v>
      </c>
      <c r="Y7609" s="6">
        <v>1.22</v>
      </c>
      <c r="Z7609" s="6">
        <v>1.02</v>
      </c>
      <c r="AA7609" s="6">
        <v>37.729999999999997</v>
      </c>
      <c r="AB7609" s="2" t="s">
        <v>86</v>
      </c>
      <c r="AC7609" s="10">
        <v>1647.08</v>
      </c>
    </row>
    <row r="7610" spans="1:29" ht="91" x14ac:dyDescent="0.15">
      <c r="A7610" s="3">
        <f>DATE(2005,4,28)</f>
        <v>38470</v>
      </c>
      <c r="B7610" s="3">
        <f>DATE(2005,8,15)</f>
        <v>38579</v>
      </c>
      <c r="C7610" s="2" t="s">
        <v>95</v>
      </c>
      <c r="D7610" s="2" t="s">
        <v>22907</v>
      </c>
      <c r="E7610" s="2" t="s">
        <v>32</v>
      </c>
      <c r="F7610" s="4">
        <v>6036</v>
      </c>
      <c r="G7610" s="2" t="s">
        <v>33</v>
      </c>
      <c r="H7610" s="2" t="s">
        <v>34</v>
      </c>
      <c r="I7610" s="2" t="s">
        <v>3057</v>
      </c>
      <c r="J7610" s="2" t="s">
        <v>17388</v>
      </c>
      <c r="K7610" s="2" t="s">
        <v>37</v>
      </c>
      <c r="L7610" s="2" t="s">
        <v>34</v>
      </c>
      <c r="M7610" s="7">
        <v>700.346</v>
      </c>
      <c r="N7610" s="6">
        <v>42.18</v>
      </c>
      <c r="O7610" s="6">
        <v>41.35</v>
      </c>
      <c r="P7610" s="2" t="s">
        <v>22908</v>
      </c>
      <c r="Q7610" s="6">
        <v>100</v>
      </c>
      <c r="R7610" s="6">
        <v>24.95</v>
      </c>
      <c r="S7610" s="2"/>
      <c r="T7610" s="2"/>
      <c r="U7610" s="2"/>
      <c r="V7610" s="2"/>
      <c r="W7610" s="5">
        <v>19.2</v>
      </c>
      <c r="X7610" s="4">
        <v>20</v>
      </c>
      <c r="Y7610" s="4">
        <v>20</v>
      </c>
      <c r="Z7610" s="5">
        <v>24.3</v>
      </c>
      <c r="AA7610" s="6">
        <v>2.17</v>
      </c>
      <c r="AB7610" s="2" t="s">
        <v>47</v>
      </c>
      <c r="AC7610" s="2"/>
    </row>
    <row r="7611" spans="1:29" ht="104" x14ac:dyDescent="0.15">
      <c r="A7611" s="3">
        <f>DATE(2005,4,28)</f>
        <v>38470</v>
      </c>
      <c r="B7611" s="3">
        <f>DATE(2005,9,22)</f>
        <v>38617</v>
      </c>
      <c r="C7611" s="2" t="s">
        <v>95</v>
      </c>
      <c r="D7611" s="2" t="s">
        <v>22909</v>
      </c>
      <c r="E7611" s="2" t="s">
        <v>3900</v>
      </c>
      <c r="F7611" s="4">
        <v>5812</v>
      </c>
      <c r="G7611" s="2" t="s">
        <v>230</v>
      </c>
      <c r="H7611" s="2" t="s">
        <v>34</v>
      </c>
      <c r="I7611" s="2" t="s">
        <v>22910</v>
      </c>
      <c r="J7611" s="2" t="s">
        <v>244</v>
      </c>
      <c r="K7611" s="2" t="s">
        <v>53</v>
      </c>
      <c r="L7611" s="2" t="s">
        <v>885</v>
      </c>
      <c r="M7611" s="2"/>
      <c r="N7611" s="2"/>
      <c r="O7611" s="2"/>
      <c r="P7611" s="2" t="s">
        <v>22911</v>
      </c>
      <c r="Q7611" s="6">
        <v>100</v>
      </c>
      <c r="R7611" s="6">
        <v>7</v>
      </c>
      <c r="S7611" s="5">
        <v>-20.5</v>
      </c>
      <c r="T7611" s="7">
        <v>25.273</v>
      </c>
      <c r="U7611" s="5">
        <v>0.6</v>
      </c>
      <c r="V7611" s="6">
        <v>-0.76</v>
      </c>
      <c r="W7611" s="6">
        <v>5.03</v>
      </c>
      <c r="X7611" s="6">
        <v>4.95</v>
      </c>
      <c r="Y7611" s="6">
        <v>4.92</v>
      </c>
      <c r="Z7611" s="6">
        <v>6.29</v>
      </c>
      <c r="AA7611" s="6">
        <v>27.61</v>
      </c>
      <c r="AB7611" s="7">
        <v>15.047000000000001</v>
      </c>
      <c r="AC7611" s="2"/>
    </row>
    <row r="7612" spans="1:29" ht="91" x14ac:dyDescent="0.15">
      <c r="A7612" s="3">
        <f>DATE(2005,4,29)</f>
        <v>38471</v>
      </c>
      <c r="B7612" s="3">
        <f>DATE(2005,7,12)</f>
        <v>38545</v>
      </c>
      <c r="C7612" s="2" t="s">
        <v>95</v>
      </c>
      <c r="D7612" s="2" t="s">
        <v>14625</v>
      </c>
      <c r="E7612" s="2" t="s">
        <v>14081</v>
      </c>
      <c r="F7612" s="4">
        <v>2836</v>
      </c>
      <c r="G7612" s="2" t="s">
        <v>130</v>
      </c>
      <c r="H7612" s="2" t="s">
        <v>34</v>
      </c>
      <c r="I7612" s="2" t="s">
        <v>22912</v>
      </c>
      <c r="J7612" s="2" t="s">
        <v>13055</v>
      </c>
      <c r="K7612" s="2" t="s">
        <v>130</v>
      </c>
      <c r="L7612" s="2" t="s">
        <v>303</v>
      </c>
      <c r="M7612" s="12">
        <v>133186.16800000001</v>
      </c>
      <c r="N7612" s="7">
        <v>25.087</v>
      </c>
      <c r="O7612" s="7">
        <v>24.855</v>
      </c>
      <c r="P7612" s="2" t="s">
        <v>22913</v>
      </c>
      <c r="Q7612" s="6">
        <v>100</v>
      </c>
      <c r="R7612" s="6">
        <v>4.4000000000000004</v>
      </c>
      <c r="S7612" s="5">
        <v>-40.700000000000003</v>
      </c>
      <c r="T7612" s="7">
        <v>-32.877000000000002</v>
      </c>
      <c r="U7612" s="5">
        <v>0.1</v>
      </c>
      <c r="V7612" s="6">
        <v>-0.82</v>
      </c>
      <c r="W7612" s="6">
        <v>2.96</v>
      </c>
      <c r="X7612" s="6">
        <v>2.98</v>
      </c>
      <c r="Y7612" s="6">
        <v>3.09</v>
      </c>
      <c r="Z7612" s="6">
        <v>4.33</v>
      </c>
      <c r="AA7612" s="6">
        <v>59.53</v>
      </c>
      <c r="AB7612" s="2" t="s">
        <v>86</v>
      </c>
      <c r="AC7612" s="10">
        <v>7997.56</v>
      </c>
    </row>
    <row r="7613" spans="1:29" ht="156" x14ac:dyDescent="0.15">
      <c r="A7613" s="3">
        <f>DATE(2005,4,29)</f>
        <v>38471</v>
      </c>
      <c r="B7613" s="3">
        <f>DATE(2005,6,30)</f>
        <v>38533</v>
      </c>
      <c r="C7613" s="2" t="s">
        <v>95</v>
      </c>
      <c r="D7613" s="2" t="s">
        <v>22914</v>
      </c>
      <c r="E7613" s="2" t="s">
        <v>849</v>
      </c>
      <c r="F7613" s="4">
        <v>7372</v>
      </c>
      <c r="G7613" s="2" t="s">
        <v>551</v>
      </c>
      <c r="H7613" s="2" t="s">
        <v>34</v>
      </c>
      <c r="I7613" s="2" t="s">
        <v>22915</v>
      </c>
      <c r="J7613" s="2" t="s">
        <v>1620</v>
      </c>
      <c r="K7613" s="2" t="s">
        <v>53</v>
      </c>
      <c r="L7613" s="2" t="s">
        <v>902</v>
      </c>
      <c r="M7613" s="2"/>
      <c r="N7613" s="2"/>
      <c r="O7613" s="2"/>
      <c r="P7613" s="2" t="s">
        <v>22916</v>
      </c>
      <c r="Q7613" s="6">
        <v>100</v>
      </c>
      <c r="R7613" s="6">
        <v>2.6</v>
      </c>
      <c r="S7613" s="5">
        <v>1.4</v>
      </c>
      <c r="T7613" s="7">
        <v>2.5569999999999999</v>
      </c>
      <c r="U7613" s="5">
        <v>0.3</v>
      </c>
      <c r="V7613" s="6">
        <v>0.11</v>
      </c>
      <c r="W7613" s="6">
        <v>1.78</v>
      </c>
      <c r="X7613" s="6">
        <v>1.79</v>
      </c>
      <c r="Y7613" s="6">
        <v>2.2599999999999998</v>
      </c>
      <c r="Z7613" s="6">
        <v>2.2599999999999998</v>
      </c>
      <c r="AA7613" s="6">
        <v>11.53</v>
      </c>
      <c r="AB7613" s="7">
        <v>13.099</v>
      </c>
      <c r="AC7613" s="2"/>
    </row>
    <row r="7614" spans="1:29" ht="39" x14ac:dyDescent="0.15">
      <c r="A7614" s="3">
        <f>DATE(2005,5,1)</f>
        <v>38473</v>
      </c>
      <c r="B7614" s="3">
        <f>DATE(2005,5,1)</f>
        <v>38473</v>
      </c>
      <c r="C7614" s="2" t="s">
        <v>95</v>
      </c>
      <c r="D7614" s="2" t="s">
        <v>22917</v>
      </c>
      <c r="E7614" s="2" t="s">
        <v>22918</v>
      </c>
      <c r="F7614" s="4">
        <v>7381</v>
      </c>
      <c r="G7614" s="2" t="s">
        <v>223</v>
      </c>
      <c r="H7614" s="2" t="s">
        <v>34</v>
      </c>
      <c r="I7614" s="2" t="s">
        <v>22919</v>
      </c>
      <c r="J7614" s="2" t="s">
        <v>1072</v>
      </c>
      <c r="K7614" s="2" t="s">
        <v>53</v>
      </c>
      <c r="L7614" s="2" t="s">
        <v>34</v>
      </c>
      <c r="M7614" s="2"/>
      <c r="N7614" s="2"/>
      <c r="O7614" s="2"/>
      <c r="P7614" s="2" t="s">
        <v>22920</v>
      </c>
      <c r="Q7614" s="6">
        <v>97.5</v>
      </c>
      <c r="R7614" s="2"/>
      <c r="S7614" s="5">
        <v>-4.0999999999999996</v>
      </c>
      <c r="T7614" s="2"/>
      <c r="U7614" s="5">
        <v>-670.6</v>
      </c>
      <c r="V7614" s="6">
        <v>-1807.45</v>
      </c>
      <c r="W7614" s="5">
        <v>1.1000000000000001</v>
      </c>
      <c r="X7614" s="5">
        <v>1.1000000000000001</v>
      </c>
      <c r="Y7614" s="5">
        <v>1.1000000000000001</v>
      </c>
      <c r="Z7614" s="5">
        <v>1.1000000000000001</v>
      </c>
      <c r="AA7614" s="6">
        <v>0.51</v>
      </c>
      <c r="AB7614" s="2" t="s">
        <v>86</v>
      </c>
      <c r="AC7614" s="2"/>
    </row>
    <row r="7615" spans="1:29" ht="143" x14ac:dyDescent="0.15">
      <c r="A7615" s="3">
        <f>DATE(2005,5,2)</f>
        <v>38474</v>
      </c>
      <c r="B7615" s="3">
        <f>DATE(2005,10,6)</f>
        <v>38631</v>
      </c>
      <c r="C7615" s="2" t="s">
        <v>95</v>
      </c>
      <c r="D7615" s="2" t="s">
        <v>22921</v>
      </c>
      <c r="E7615" s="2" t="s">
        <v>4003</v>
      </c>
      <c r="F7615" s="4">
        <v>5311</v>
      </c>
      <c r="G7615" s="2" t="s">
        <v>756</v>
      </c>
      <c r="H7615" s="2" t="s">
        <v>34</v>
      </c>
      <c r="I7615" s="2" t="s">
        <v>51</v>
      </c>
      <c r="J7615" s="2" t="s">
        <v>52</v>
      </c>
      <c r="K7615" s="2" t="s">
        <v>53</v>
      </c>
      <c r="L7615" s="2" t="s">
        <v>34</v>
      </c>
      <c r="M7615" s="2"/>
      <c r="N7615" s="2"/>
      <c r="O7615" s="2"/>
      <c r="P7615" s="2" t="s">
        <v>22922</v>
      </c>
      <c r="Q7615" s="6">
        <v>100</v>
      </c>
      <c r="R7615" s="6">
        <v>100</v>
      </c>
      <c r="S7615" s="5">
        <v>235.1</v>
      </c>
      <c r="T7615" s="7">
        <v>525.75599999999997</v>
      </c>
      <c r="U7615" s="5">
        <v>32.299999999999997</v>
      </c>
      <c r="V7615" s="6">
        <v>4.75</v>
      </c>
      <c r="W7615" s="6">
        <v>72.790000000000006</v>
      </c>
      <c r="X7615" s="6">
        <v>74.75</v>
      </c>
      <c r="Y7615" s="6">
        <v>86.04</v>
      </c>
      <c r="Z7615" s="5">
        <v>88.5</v>
      </c>
      <c r="AA7615" s="6">
        <v>48.94</v>
      </c>
      <c r="AB7615" s="7">
        <v>12.228</v>
      </c>
      <c r="AC7615" s="2"/>
    </row>
    <row r="7616" spans="1:29" ht="78" x14ac:dyDescent="0.15">
      <c r="A7616" s="3">
        <f>DATE(2005,5,3)</f>
        <v>38475</v>
      </c>
      <c r="B7616" s="2"/>
      <c r="C7616" s="2" t="s">
        <v>30</v>
      </c>
      <c r="D7616" s="2" t="s">
        <v>22923</v>
      </c>
      <c r="E7616" s="2" t="s">
        <v>22924</v>
      </c>
      <c r="F7616" s="4">
        <v>2671</v>
      </c>
      <c r="G7616" s="2" t="s">
        <v>282</v>
      </c>
      <c r="H7616" s="2" t="s">
        <v>34</v>
      </c>
      <c r="I7616" s="2" t="s">
        <v>22925</v>
      </c>
      <c r="J7616" s="2" t="s">
        <v>244</v>
      </c>
      <c r="K7616" s="2" t="s">
        <v>53</v>
      </c>
      <c r="L7616" s="2" t="s">
        <v>34</v>
      </c>
      <c r="M7616" s="2"/>
      <c r="N7616" s="2"/>
      <c r="O7616" s="2"/>
      <c r="P7616" s="2" t="s">
        <v>22926</v>
      </c>
      <c r="Q7616" s="2"/>
      <c r="R7616" s="2"/>
      <c r="S7616" s="5">
        <v>4.4000000000000004</v>
      </c>
      <c r="T7616" s="7">
        <v>11.125999999999999</v>
      </c>
      <c r="U7616" s="5">
        <v>7.6</v>
      </c>
      <c r="V7616" s="6">
        <v>0.96</v>
      </c>
      <c r="W7616" s="6">
        <v>26.27</v>
      </c>
      <c r="X7616" s="5">
        <v>24.7</v>
      </c>
      <c r="Y7616" s="4">
        <v>24</v>
      </c>
      <c r="Z7616" s="6">
        <v>18.84</v>
      </c>
      <c r="AA7616" s="6">
        <v>3.88</v>
      </c>
      <c r="AB7616" s="2" t="s">
        <v>47</v>
      </c>
      <c r="AC7616" s="2"/>
    </row>
    <row r="7617" spans="1:29" ht="91" x14ac:dyDescent="0.15">
      <c r="A7617" s="3">
        <f>DATE(2005,5,4)</f>
        <v>38476</v>
      </c>
      <c r="B7617" s="3">
        <f>DATE(2005,7,1)</f>
        <v>38534</v>
      </c>
      <c r="C7617" s="2" t="s">
        <v>95</v>
      </c>
      <c r="D7617" s="2" t="s">
        <v>22927</v>
      </c>
      <c r="E7617" s="2" t="s">
        <v>839</v>
      </c>
      <c r="F7617" s="4">
        <v>2834</v>
      </c>
      <c r="G7617" s="2" t="s">
        <v>130</v>
      </c>
      <c r="H7617" s="2" t="s">
        <v>34</v>
      </c>
      <c r="I7617" s="2" t="s">
        <v>3054</v>
      </c>
      <c r="J7617" s="2" t="s">
        <v>540</v>
      </c>
      <c r="K7617" s="2" t="s">
        <v>130</v>
      </c>
      <c r="L7617" s="2" t="s">
        <v>34</v>
      </c>
      <c r="M7617" s="10">
        <v>14407.82</v>
      </c>
      <c r="N7617" s="6">
        <v>60.02</v>
      </c>
      <c r="O7617" s="6">
        <v>62.71</v>
      </c>
      <c r="P7617" s="2" t="s">
        <v>22928</v>
      </c>
      <c r="Q7617" s="6">
        <v>100</v>
      </c>
      <c r="R7617" s="6">
        <v>33</v>
      </c>
      <c r="S7617" s="5">
        <v>6.3</v>
      </c>
      <c r="T7617" s="6">
        <v>5.66</v>
      </c>
      <c r="U7617" s="5">
        <v>6.6</v>
      </c>
      <c r="V7617" s="6">
        <v>0.33</v>
      </c>
      <c r="W7617" s="6">
        <v>23.75</v>
      </c>
      <c r="X7617" s="6">
        <v>23.83</v>
      </c>
      <c r="Y7617" s="6">
        <v>32.11</v>
      </c>
      <c r="Z7617" s="6">
        <v>32.15</v>
      </c>
      <c r="AA7617" s="6">
        <v>19.96</v>
      </c>
      <c r="AB7617" s="7">
        <v>133.97499999999999</v>
      </c>
      <c r="AC7617" s="5">
        <v>551.79999999999995</v>
      </c>
    </row>
    <row r="7618" spans="1:29" ht="78" x14ac:dyDescent="0.15">
      <c r="A7618" s="3">
        <f>DATE(2005,5,4)</f>
        <v>38476</v>
      </c>
      <c r="B7618" s="3">
        <f>DATE(2005,12,16)</f>
        <v>38702</v>
      </c>
      <c r="C7618" s="2" t="s">
        <v>95</v>
      </c>
      <c r="D7618" s="2" t="s">
        <v>22929</v>
      </c>
      <c r="E7618" s="2" t="s">
        <v>159</v>
      </c>
      <c r="F7618" s="4">
        <v>6021</v>
      </c>
      <c r="G7618" s="2" t="s">
        <v>37</v>
      </c>
      <c r="H7618" s="2" t="s">
        <v>34</v>
      </c>
      <c r="I7618" s="2" t="s">
        <v>17668</v>
      </c>
      <c r="J7618" s="2" t="s">
        <v>3246</v>
      </c>
      <c r="K7618" s="2" t="s">
        <v>37</v>
      </c>
      <c r="L7618" s="2" t="s">
        <v>34</v>
      </c>
      <c r="M7618" s="7">
        <v>93.968999999999994</v>
      </c>
      <c r="N7618" s="6">
        <v>21.16</v>
      </c>
      <c r="O7618" s="6">
        <v>21.06</v>
      </c>
      <c r="P7618" s="2" t="s">
        <v>22930</v>
      </c>
      <c r="Q7618" s="6">
        <v>100</v>
      </c>
      <c r="R7618" s="6">
        <v>23</v>
      </c>
      <c r="S7618" s="5">
        <v>0.9</v>
      </c>
      <c r="T7618" s="2"/>
      <c r="U7618" s="5">
        <v>18.600000000000001</v>
      </c>
      <c r="V7618" s="6">
        <v>0.62</v>
      </c>
      <c r="W7618" s="6">
        <v>16.37</v>
      </c>
      <c r="X7618" s="5">
        <v>16.5</v>
      </c>
      <c r="Y7618" s="6">
        <v>16.75</v>
      </c>
      <c r="Z7618" s="6">
        <v>22.55</v>
      </c>
      <c r="AA7618" s="6">
        <v>1.47</v>
      </c>
      <c r="AB7618" s="7">
        <v>35.000999999999998</v>
      </c>
      <c r="AC7618" s="2"/>
    </row>
    <row r="7619" spans="1:29" ht="104" x14ac:dyDescent="0.15">
      <c r="A7619" s="3">
        <f>DATE(2005,5,4)</f>
        <v>38476</v>
      </c>
      <c r="B7619" s="3">
        <f>DATE(2006,3,31)</f>
        <v>38807</v>
      </c>
      <c r="C7619" s="2" t="s">
        <v>95</v>
      </c>
      <c r="D7619" s="2" t="s">
        <v>22931</v>
      </c>
      <c r="E7619" s="2" t="s">
        <v>22932</v>
      </c>
      <c r="F7619" s="4">
        <v>8092</v>
      </c>
      <c r="G7619" s="2" t="s">
        <v>454</v>
      </c>
      <c r="H7619" s="2" t="s">
        <v>34</v>
      </c>
      <c r="I7619" s="2" t="s">
        <v>22933</v>
      </c>
      <c r="J7619" s="2" t="s">
        <v>10927</v>
      </c>
      <c r="K7619" s="2" t="s">
        <v>226</v>
      </c>
      <c r="L7619" s="2" t="s">
        <v>1049</v>
      </c>
      <c r="M7619" s="12">
        <v>5703.4369999999999</v>
      </c>
      <c r="N7619" s="7">
        <v>78.207999999999998</v>
      </c>
      <c r="O7619" s="7">
        <v>79.503</v>
      </c>
      <c r="P7619" s="2" t="s">
        <v>22934</v>
      </c>
      <c r="Q7619" s="6">
        <v>100</v>
      </c>
      <c r="R7619" s="6">
        <v>48</v>
      </c>
      <c r="S7619" s="5">
        <v>125.4</v>
      </c>
      <c r="T7619" s="7">
        <v>331.42200000000003</v>
      </c>
      <c r="U7619" s="5">
        <v>9.1999999999999993</v>
      </c>
      <c r="V7619" s="6">
        <v>1.79</v>
      </c>
      <c r="W7619" s="5">
        <v>37.9</v>
      </c>
      <c r="X7619" s="5">
        <v>39.299999999999997</v>
      </c>
      <c r="Y7619" s="5">
        <v>45.7</v>
      </c>
      <c r="Z7619" s="6">
        <v>45.95</v>
      </c>
      <c r="AA7619" s="6">
        <v>68</v>
      </c>
      <c r="AB7619" s="7">
        <v>14.895</v>
      </c>
      <c r="AC7619" s="2"/>
    </row>
    <row r="7620" spans="1:29" ht="195" x14ac:dyDescent="0.15">
      <c r="A7620" s="3">
        <f>DATE(2005,5,4)</f>
        <v>38476</v>
      </c>
      <c r="B7620" s="3">
        <f>DATE(2005,8,8)</f>
        <v>38572</v>
      </c>
      <c r="C7620" s="2" t="s">
        <v>95</v>
      </c>
      <c r="D7620" s="2" t="s">
        <v>22935</v>
      </c>
      <c r="E7620" s="2" t="s">
        <v>22936</v>
      </c>
      <c r="F7620" s="4">
        <v>4899</v>
      </c>
      <c r="G7620" s="2" t="s">
        <v>63</v>
      </c>
      <c r="H7620" s="2" t="s">
        <v>34</v>
      </c>
      <c r="I7620" s="2" t="s">
        <v>13224</v>
      </c>
      <c r="J7620" s="2" t="s">
        <v>13225</v>
      </c>
      <c r="K7620" s="2" t="s">
        <v>63</v>
      </c>
      <c r="L7620" s="2" t="s">
        <v>34</v>
      </c>
      <c r="M7620" s="12">
        <v>4153.1949999999997</v>
      </c>
      <c r="N7620" s="5">
        <v>17.2</v>
      </c>
      <c r="O7620" s="6">
        <v>17.420000000000002</v>
      </c>
      <c r="P7620" s="2" t="s">
        <v>22937</v>
      </c>
      <c r="Q7620" s="6">
        <v>100</v>
      </c>
      <c r="R7620" s="6">
        <v>61.53</v>
      </c>
      <c r="S7620" s="5">
        <v>28.2</v>
      </c>
      <c r="T7620" s="7">
        <v>182.44399999999999</v>
      </c>
      <c r="U7620" s="5">
        <v>10.9</v>
      </c>
      <c r="V7620" s="6">
        <v>0.67</v>
      </c>
      <c r="W7620" s="6">
        <v>57.15</v>
      </c>
      <c r="X7620" s="5">
        <v>56.2</v>
      </c>
      <c r="Y7620" s="5">
        <v>61.2</v>
      </c>
      <c r="Z7620" s="5">
        <v>61.2</v>
      </c>
      <c r="AA7620" s="6">
        <v>46.52</v>
      </c>
      <c r="AB7620" s="7">
        <v>70.445999999999998</v>
      </c>
      <c r="AC7620" s="5">
        <v>122.8</v>
      </c>
    </row>
    <row r="7621" spans="1:29" ht="104" x14ac:dyDescent="0.15">
      <c r="A7621" s="3">
        <f>DATE(2005,5,6)</f>
        <v>38478</v>
      </c>
      <c r="B7621" s="2"/>
      <c r="C7621" s="2" t="s">
        <v>30</v>
      </c>
      <c r="D7621" s="2" t="s">
        <v>22938</v>
      </c>
      <c r="E7621" s="2" t="s">
        <v>22939</v>
      </c>
      <c r="F7621" s="4">
        <v>3646</v>
      </c>
      <c r="G7621" s="2" t="s">
        <v>137</v>
      </c>
      <c r="H7621" s="2" t="s">
        <v>34</v>
      </c>
      <c r="I7621" s="2" t="s">
        <v>22940</v>
      </c>
      <c r="J7621" s="2" t="s">
        <v>4655</v>
      </c>
      <c r="K7621" s="2" t="s">
        <v>53</v>
      </c>
      <c r="L7621" s="2" t="s">
        <v>34</v>
      </c>
      <c r="M7621" s="2"/>
      <c r="N7621" s="2"/>
      <c r="O7621" s="2"/>
      <c r="P7621" s="2" t="s">
        <v>22941</v>
      </c>
      <c r="Q7621" s="2"/>
      <c r="R7621" s="6">
        <v>40</v>
      </c>
      <c r="S7621" s="5">
        <v>17.5</v>
      </c>
      <c r="T7621" s="7">
        <v>57.726999999999997</v>
      </c>
      <c r="U7621" s="5">
        <v>-77.099999999999994</v>
      </c>
      <c r="V7621" s="6">
        <v>1.3</v>
      </c>
      <c r="W7621" s="4">
        <v>36</v>
      </c>
      <c r="X7621" s="5">
        <v>33.5</v>
      </c>
      <c r="Y7621" s="5">
        <v>33.5</v>
      </c>
      <c r="Z7621" s="5">
        <v>33.9</v>
      </c>
      <c r="AA7621" s="6">
        <v>2.84</v>
      </c>
      <c r="AB7621" s="7">
        <v>9.3559999999999999</v>
      </c>
      <c r="AC7621" s="2"/>
    </row>
    <row r="7622" spans="1:29" ht="156" x14ac:dyDescent="0.15">
      <c r="A7622" s="3">
        <f>DATE(2005,5,9)</f>
        <v>38481</v>
      </c>
      <c r="B7622" s="3">
        <f>DATE(2006,4,3)</f>
        <v>38810</v>
      </c>
      <c r="C7622" s="2" t="s">
        <v>95</v>
      </c>
      <c r="D7622" s="2" t="s">
        <v>8351</v>
      </c>
      <c r="E7622" s="2" t="s">
        <v>5676</v>
      </c>
      <c r="F7622" s="4">
        <v>4911</v>
      </c>
      <c r="G7622" s="2" t="s">
        <v>439</v>
      </c>
      <c r="H7622" s="2" t="s">
        <v>34</v>
      </c>
      <c r="I7622" s="2" t="s">
        <v>22942</v>
      </c>
      <c r="J7622" s="2" t="s">
        <v>22943</v>
      </c>
      <c r="K7622" s="2" t="s">
        <v>439</v>
      </c>
      <c r="L7622" s="2" t="s">
        <v>34</v>
      </c>
      <c r="M7622" s="12">
        <v>27447.397000000001</v>
      </c>
      <c r="N7622" s="6">
        <v>28.82</v>
      </c>
      <c r="O7622" s="6">
        <v>28.02</v>
      </c>
      <c r="P7622" s="2" t="s">
        <v>22944</v>
      </c>
      <c r="Q7622" s="6">
        <v>100</v>
      </c>
      <c r="R7622" s="6">
        <v>45.8</v>
      </c>
      <c r="S7622" s="5">
        <v>404.3</v>
      </c>
      <c r="T7622" s="12">
        <v>1198.722</v>
      </c>
      <c r="U7622" s="5">
        <v>21.9</v>
      </c>
      <c r="V7622" s="6">
        <v>2.1800000000000002</v>
      </c>
      <c r="W7622" s="4">
        <v>63</v>
      </c>
      <c r="X7622" s="4">
        <v>63</v>
      </c>
      <c r="Y7622" s="6">
        <v>42.32</v>
      </c>
      <c r="Z7622" s="6">
        <v>41.19</v>
      </c>
      <c r="AA7622" s="6">
        <v>191.4</v>
      </c>
      <c r="AB7622" s="7">
        <v>18.907</v>
      </c>
      <c r="AC7622" s="8">
        <v>2065</v>
      </c>
    </row>
    <row r="7623" spans="1:29" ht="104" x14ac:dyDescent="0.15">
      <c r="A7623" s="3">
        <f>DATE(2005,5,9)</f>
        <v>38481</v>
      </c>
      <c r="B7623" s="3">
        <f>DATE(2005,9,15)</f>
        <v>38610</v>
      </c>
      <c r="C7623" s="2" t="s">
        <v>95</v>
      </c>
      <c r="D7623" s="2" t="s">
        <v>22945</v>
      </c>
      <c r="E7623" s="2" t="s">
        <v>20845</v>
      </c>
      <c r="F7623" s="4">
        <v>7372</v>
      </c>
      <c r="G7623" s="2" t="s">
        <v>551</v>
      </c>
      <c r="H7623" s="2" t="s">
        <v>34</v>
      </c>
      <c r="I7623" s="2" t="s">
        <v>16093</v>
      </c>
      <c r="J7623" s="2" t="s">
        <v>20845</v>
      </c>
      <c r="K7623" s="2" t="s">
        <v>551</v>
      </c>
      <c r="L7623" s="2" t="s">
        <v>34</v>
      </c>
      <c r="M7623" s="6">
        <v>382.64</v>
      </c>
      <c r="N7623" s="6">
        <v>4.53</v>
      </c>
      <c r="O7623" s="6">
        <v>3.77</v>
      </c>
      <c r="P7623" s="2" t="s">
        <v>22946</v>
      </c>
      <c r="Q7623" s="6">
        <v>100</v>
      </c>
      <c r="R7623" s="6">
        <v>5.63</v>
      </c>
      <c r="S7623" s="5">
        <v>-28.1</v>
      </c>
      <c r="T7623" s="6">
        <v>-7.37</v>
      </c>
      <c r="U7623" s="5">
        <v>1.2</v>
      </c>
      <c r="V7623" s="6">
        <v>-0.8</v>
      </c>
      <c r="W7623" s="6">
        <v>2.85</v>
      </c>
      <c r="X7623" s="6">
        <v>3.05</v>
      </c>
      <c r="Y7623" s="5">
        <v>3.1</v>
      </c>
      <c r="Z7623" s="6">
        <v>4.3099999999999996</v>
      </c>
      <c r="AA7623" s="6">
        <v>35.5</v>
      </c>
      <c r="AB7623" s="2" t="s">
        <v>86</v>
      </c>
      <c r="AC7623" s="6">
        <v>27.84</v>
      </c>
    </row>
    <row r="7624" spans="1:29" ht="104" x14ac:dyDescent="0.15">
      <c r="A7624" s="3">
        <f>DATE(2005,5,10)</f>
        <v>38482</v>
      </c>
      <c r="B7624" s="2"/>
      <c r="C7624" s="2" t="s">
        <v>30</v>
      </c>
      <c r="D7624" s="2" t="s">
        <v>22947</v>
      </c>
      <c r="E7624" s="2" t="s">
        <v>20944</v>
      </c>
      <c r="F7624" s="4">
        <v>5961</v>
      </c>
      <c r="G7624" s="2" t="s">
        <v>73</v>
      </c>
      <c r="H7624" s="2" t="s">
        <v>34</v>
      </c>
      <c r="I7624" s="2" t="s">
        <v>22948</v>
      </c>
      <c r="J7624" s="2" t="s">
        <v>302</v>
      </c>
      <c r="K7624" s="2" t="s">
        <v>53</v>
      </c>
      <c r="L7624" s="2" t="s">
        <v>34</v>
      </c>
      <c r="M7624" s="2"/>
      <c r="N7624" s="2"/>
      <c r="O7624" s="2"/>
      <c r="P7624" s="2" t="s">
        <v>22949</v>
      </c>
      <c r="Q7624" s="2"/>
      <c r="R7624" s="6">
        <v>36</v>
      </c>
      <c r="S7624" s="5">
        <v>14.9</v>
      </c>
      <c r="T7624" s="7">
        <v>-10.569000000000001</v>
      </c>
      <c r="U7624" s="5">
        <v>34.4</v>
      </c>
      <c r="V7624" s="6">
        <v>1.84</v>
      </c>
      <c r="W7624" s="6">
        <v>33.51</v>
      </c>
      <c r="X7624" s="6">
        <v>34.78</v>
      </c>
      <c r="Y7624" s="6">
        <v>36.18</v>
      </c>
      <c r="Z7624" s="6">
        <v>36.14</v>
      </c>
      <c r="AA7624" s="6">
        <v>8.25</v>
      </c>
      <c r="AB7624" s="2" t="s">
        <v>86</v>
      </c>
      <c r="AC7624" s="2"/>
    </row>
    <row r="7625" spans="1:29" ht="78" x14ac:dyDescent="0.15">
      <c r="A7625" s="3">
        <f>DATE(2005,5,10)</f>
        <v>38482</v>
      </c>
      <c r="B7625" s="3">
        <f>DATE(2005,7,14)</f>
        <v>38547</v>
      </c>
      <c r="C7625" s="2" t="s">
        <v>95</v>
      </c>
      <c r="D7625" s="2" t="s">
        <v>22950</v>
      </c>
      <c r="E7625" s="2" t="s">
        <v>22951</v>
      </c>
      <c r="F7625" s="4">
        <v>2361</v>
      </c>
      <c r="G7625" s="2" t="s">
        <v>708</v>
      </c>
      <c r="H7625" s="2" t="s">
        <v>34</v>
      </c>
      <c r="I7625" s="2" t="s">
        <v>22952</v>
      </c>
      <c r="J7625" s="2" t="s">
        <v>22953</v>
      </c>
      <c r="K7625" s="2" t="s">
        <v>756</v>
      </c>
      <c r="L7625" s="2" t="s">
        <v>34</v>
      </c>
      <c r="M7625" s="12">
        <v>1171.338</v>
      </c>
      <c r="N7625" s="6">
        <v>40.950000000000003</v>
      </c>
      <c r="O7625" s="6">
        <v>45.75</v>
      </c>
      <c r="P7625" s="2" t="s">
        <v>22954</v>
      </c>
      <c r="Q7625" s="6">
        <v>100</v>
      </c>
      <c r="R7625" s="6">
        <v>26</v>
      </c>
      <c r="S7625" s="5">
        <v>14.6</v>
      </c>
      <c r="T7625" s="7">
        <v>29.975000000000001</v>
      </c>
      <c r="U7625" s="5">
        <v>8.1999999999999993</v>
      </c>
      <c r="V7625" s="6">
        <v>1.23</v>
      </c>
      <c r="W7625" s="6">
        <v>24.79</v>
      </c>
      <c r="X7625" s="6">
        <v>29.37</v>
      </c>
      <c r="Y7625" s="5">
        <v>29.4</v>
      </c>
      <c r="Z7625" s="6">
        <v>25.74</v>
      </c>
      <c r="AA7625" s="6">
        <v>11.81</v>
      </c>
      <c r="AB7625" s="7">
        <v>12.436</v>
      </c>
      <c r="AC7625" s="6">
        <v>36.549999999999997</v>
      </c>
    </row>
    <row r="7626" spans="1:29" ht="130" x14ac:dyDescent="0.15">
      <c r="A7626" s="3">
        <f>DATE(2005,5,10)</f>
        <v>38482</v>
      </c>
      <c r="B7626" s="3">
        <f>DATE(2005,11,4)</f>
        <v>38660</v>
      </c>
      <c r="C7626" s="2" t="s">
        <v>95</v>
      </c>
      <c r="D7626" s="2" t="s">
        <v>22955</v>
      </c>
      <c r="E7626" s="2" t="s">
        <v>265</v>
      </c>
      <c r="F7626" s="4">
        <v>6029</v>
      </c>
      <c r="G7626" s="2" t="s">
        <v>37</v>
      </c>
      <c r="H7626" s="2" t="s">
        <v>34</v>
      </c>
      <c r="I7626" s="2" t="s">
        <v>15495</v>
      </c>
      <c r="J7626" s="2" t="s">
        <v>2337</v>
      </c>
      <c r="K7626" s="2" t="s">
        <v>37</v>
      </c>
      <c r="L7626" s="2" t="s">
        <v>34</v>
      </c>
      <c r="M7626" s="6">
        <v>107.42</v>
      </c>
      <c r="N7626" s="6">
        <v>18.82</v>
      </c>
      <c r="O7626" s="6">
        <v>18.850000000000001</v>
      </c>
      <c r="P7626" s="2" t="s">
        <v>22956</v>
      </c>
      <c r="Q7626" s="6">
        <v>100</v>
      </c>
      <c r="R7626" s="6">
        <v>14.25</v>
      </c>
      <c r="S7626" s="2"/>
      <c r="T7626" s="2"/>
      <c r="U7626" s="2"/>
      <c r="V7626" s="2"/>
      <c r="W7626" s="5">
        <v>7.9</v>
      </c>
      <c r="X7626" s="5">
        <v>8.1</v>
      </c>
      <c r="Y7626" s="6">
        <v>12.85</v>
      </c>
      <c r="Z7626" s="6">
        <v>13.05</v>
      </c>
      <c r="AA7626" s="6">
        <v>1.64</v>
      </c>
      <c r="AB7626" s="2" t="s">
        <v>47</v>
      </c>
      <c r="AC7626" s="2"/>
    </row>
    <row r="7627" spans="1:29" ht="39" x14ac:dyDescent="0.15">
      <c r="A7627" s="3">
        <f>DATE(2005,5,11)</f>
        <v>38483</v>
      </c>
      <c r="B7627" s="3">
        <f>DATE(2005,6,6)</f>
        <v>38509</v>
      </c>
      <c r="C7627" s="2" t="s">
        <v>95</v>
      </c>
      <c r="D7627" s="2" t="s">
        <v>22957</v>
      </c>
      <c r="E7627" s="2" t="s">
        <v>417</v>
      </c>
      <c r="F7627" s="4">
        <v>2731</v>
      </c>
      <c r="G7627" s="2" t="s">
        <v>186</v>
      </c>
      <c r="H7627" s="2" t="s">
        <v>34</v>
      </c>
      <c r="I7627" s="2" t="s">
        <v>22958</v>
      </c>
      <c r="J7627" s="2" t="s">
        <v>22959</v>
      </c>
      <c r="K7627" s="2" t="s">
        <v>53</v>
      </c>
      <c r="L7627" s="2" t="s">
        <v>34</v>
      </c>
      <c r="M7627" s="2"/>
      <c r="N7627" s="2"/>
      <c r="O7627" s="2"/>
      <c r="P7627" s="2" t="s">
        <v>22960</v>
      </c>
      <c r="Q7627" s="6">
        <v>100</v>
      </c>
      <c r="R7627" s="2"/>
      <c r="S7627" s="5">
        <v>-26.1</v>
      </c>
      <c r="T7627" s="7">
        <v>50.662999999999997</v>
      </c>
      <c r="U7627" s="5">
        <v>-0.8</v>
      </c>
      <c r="V7627" s="6">
        <v>-0.14000000000000001</v>
      </c>
      <c r="W7627" s="5">
        <v>19.3</v>
      </c>
      <c r="X7627" s="5">
        <v>19.3</v>
      </c>
      <c r="Y7627" s="5">
        <v>19.3</v>
      </c>
      <c r="Z7627" s="5">
        <v>19.3</v>
      </c>
      <c r="AA7627" s="6">
        <v>2.16</v>
      </c>
      <c r="AB7627" s="2" t="s">
        <v>47</v>
      </c>
      <c r="AC7627" s="6">
        <v>179.73</v>
      </c>
    </row>
    <row r="7628" spans="1:29" ht="91" x14ac:dyDescent="0.15">
      <c r="A7628" s="3">
        <f>DATE(2005,5,12)</f>
        <v>38484</v>
      </c>
      <c r="B7628" s="2"/>
      <c r="C7628" s="2" t="s">
        <v>30</v>
      </c>
      <c r="D7628" s="2" t="s">
        <v>18798</v>
      </c>
      <c r="E7628" s="2" t="s">
        <v>22961</v>
      </c>
      <c r="F7628" s="4">
        <v>6211</v>
      </c>
      <c r="G7628" s="2" t="s">
        <v>53</v>
      </c>
      <c r="H7628" s="2" t="s">
        <v>34</v>
      </c>
      <c r="I7628" s="2" t="s">
        <v>22962</v>
      </c>
      <c r="J7628" s="2" t="s">
        <v>22963</v>
      </c>
      <c r="K7628" s="2" t="s">
        <v>53</v>
      </c>
      <c r="L7628" s="2" t="s">
        <v>34</v>
      </c>
      <c r="M7628" s="12">
        <v>4119.7259999999997</v>
      </c>
      <c r="N7628" s="6">
        <v>12.04</v>
      </c>
      <c r="O7628" s="5">
        <v>12.1</v>
      </c>
      <c r="P7628" s="2" t="s">
        <v>22964</v>
      </c>
      <c r="Q7628" s="2"/>
      <c r="R7628" s="2"/>
      <c r="S7628" s="5">
        <v>293.5</v>
      </c>
      <c r="T7628" s="7">
        <v>557.72299999999996</v>
      </c>
      <c r="U7628" s="5">
        <v>3.3</v>
      </c>
      <c r="V7628" s="6">
        <v>0.71</v>
      </c>
      <c r="W7628" s="5">
        <v>10.199999999999999</v>
      </c>
      <c r="X7628" s="6">
        <v>11.31</v>
      </c>
      <c r="Y7628" s="6">
        <v>13.42</v>
      </c>
      <c r="Z7628" s="6">
        <v>13.42</v>
      </c>
      <c r="AA7628" s="6">
        <v>402.45</v>
      </c>
      <c r="AB7628" s="2" t="s">
        <v>47</v>
      </c>
      <c r="AC7628" s="5">
        <v>721</v>
      </c>
    </row>
    <row r="7629" spans="1:29" ht="78" x14ac:dyDescent="0.15">
      <c r="A7629" s="3">
        <f>DATE(2005,5,12)</f>
        <v>38484</v>
      </c>
      <c r="B7629" s="3">
        <f>DATE(2005,8,2)</f>
        <v>38566</v>
      </c>
      <c r="C7629" s="2" t="s">
        <v>95</v>
      </c>
      <c r="D7629" s="2" t="s">
        <v>22006</v>
      </c>
      <c r="E7629" s="2" t="s">
        <v>22007</v>
      </c>
      <c r="F7629" s="4">
        <v>3594</v>
      </c>
      <c r="G7629" s="2" t="s">
        <v>300</v>
      </c>
      <c r="H7629" s="2" t="s">
        <v>34</v>
      </c>
      <c r="I7629" s="2" t="s">
        <v>17758</v>
      </c>
      <c r="J7629" s="2" t="s">
        <v>22965</v>
      </c>
      <c r="K7629" s="2" t="s">
        <v>226</v>
      </c>
      <c r="L7629" s="2" t="s">
        <v>34</v>
      </c>
      <c r="M7629" s="12">
        <v>63397.192999999999</v>
      </c>
      <c r="N7629" s="6">
        <v>75.78</v>
      </c>
      <c r="O7629" s="6">
        <v>75.61</v>
      </c>
      <c r="P7629" s="2" t="s">
        <v>22966</v>
      </c>
      <c r="Q7629" s="6">
        <v>100</v>
      </c>
      <c r="R7629" s="6">
        <v>72</v>
      </c>
      <c r="S7629" s="5">
        <v>33.9</v>
      </c>
      <c r="T7629" s="7">
        <v>65.658000000000001</v>
      </c>
      <c r="U7629" s="5">
        <v>16</v>
      </c>
      <c r="V7629" s="6">
        <v>1.96</v>
      </c>
      <c r="W7629" s="6">
        <v>53.44</v>
      </c>
      <c r="X7629" s="6">
        <v>54.82</v>
      </c>
      <c r="Y7629" s="6">
        <v>70.849999999999994</v>
      </c>
      <c r="Z7629" s="5">
        <v>70.8</v>
      </c>
      <c r="AA7629" s="6">
        <v>17.2</v>
      </c>
      <c r="AB7629" s="7">
        <v>26.460999999999999</v>
      </c>
      <c r="AC7629" s="8">
        <v>2669</v>
      </c>
    </row>
    <row r="7630" spans="1:29" ht="78" x14ac:dyDescent="0.15">
      <c r="A7630" s="3">
        <f>DATE(2005,5,12)</f>
        <v>38484</v>
      </c>
      <c r="B7630" s="3">
        <f>DATE(2005,8,30)</f>
        <v>38594</v>
      </c>
      <c r="C7630" s="2" t="s">
        <v>95</v>
      </c>
      <c r="D7630" s="2" t="s">
        <v>22967</v>
      </c>
      <c r="E7630" s="2" t="s">
        <v>22968</v>
      </c>
      <c r="F7630" s="4">
        <v>7372</v>
      </c>
      <c r="G7630" s="2" t="s">
        <v>551</v>
      </c>
      <c r="H7630" s="2" t="s">
        <v>34</v>
      </c>
      <c r="I7630" s="2" t="s">
        <v>22969</v>
      </c>
      <c r="J7630" s="2" t="s">
        <v>4572</v>
      </c>
      <c r="K7630" s="2" t="s">
        <v>223</v>
      </c>
      <c r="L7630" s="2" t="s">
        <v>34</v>
      </c>
      <c r="M7630" s="2"/>
      <c r="N7630" s="2"/>
      <c r="O7630" s="2"/>
      <c r="P7630" s="2" t="s">
        <v>22970</v>
      </c>
      <c r="Q7630" s="6">
        <v>100</v>
      </c>
      <c r="R7630" s="6">
        <v>1.1499999999999999</v>
      </c>
      <c r="S7630" s="5">
        <v>0.7</v>
      </c>
      <c r="T7630" s="7">
        <v>4.3999999999999997E-2</v>
      </c>
      <c r="U7630" s="5">
        <v>0.6</v>
      </c>
      <c r="V7630" s="6">
        <v>0.11</v>
      </c>
      <c r="W7630" s="6">
        <v>1.1499999999999999</v>
      </c>
      <c r="X7630" s="6">
        <v>1.18</v>
      </c>
      <c r="Y7630" s="6">
        <v>1.18</v>
      </c>
      <c r="Z7630" s="5">
        <v>1.2</v>
      </c>
      <c r="AA7630" s="6">
        <v>5.32</v>
      </c>
      <c r="AB7630" s="2" t="s">
        <v>86</v>
      </c>
      <c r="AC7630" s="2"/>
    </row>
    <row r="7631" spans="1:29" ht="208" x14ac:dyDescent="0.15">
      <c r="A7631" s="3">
        <f>DATE(2005,5,13)</f>
        <v>38485</v>
      </c>
      <c r="B7631" s="3">
        <f>DATE(2006,5,10)</f>
        <v>38847</v>
      </c>
      <c r="C7631" s="2" t="s">
        <v>95</v>
      </c>
      <c r="D7631" s="2" t="s">
        <v>22971</v>
      </c>
      <c r="E7631" s="2" t="s">
        <v>22972</v>
      </c>
      <c r="F7631" s="4">
        <v>6099</v>
      </c>
      <c r="G7631" s="2" t="s">
        <v>3583</v>
      </c>
      <c r="H7631" s="2" t="s">
        <v>34</v>
      </c>
      <c r="I7631" s="2" t="s">
        <v>51</v>
      </c>
      <c r="J7631" s="2" t="s">
        <v>52</v>
      </c>
      <c r="K7631" s="2" t="s">
        <v>53</v>
      </c>
      <c r="L7631" s="2" t="s">
        <v>34</v>
      </c>
      <c r="M7631" s="2"/>
      <c r="N7631" s="2"/>
      <c r="O7631" s="2"/>
      <c r="P7631" s="2" t="s">
        <v>22973</v>
      </c>
      <c r="Q7631" s="6">
        <v>100</v>
      </c>
      <c r="R7631" s="6">
        <v>43.5</v>
      </c>
      <c r="S7631" s="5">
        <v>27.3</v>
      </c>
      <c r="T7631" s="5">
        <v>54</v>
      </c>
      <c r="U7631" s="5">
        <v>8.6</v>
      </c>
      <c r="V7631" s="6">
        <v>1.63</v>
      </c>
      <c r="W7631" s="5">
        <v>34.799999999999997</v>
      </c>
      <c r="X7631" s="6">
        <v>32.020000000000003</v>
      </c>
      <c r="Y7631" s="6">
        <v>31.55</v>
      </c>
      <c r="Z7631" s="6">
        <v>38.29</v>
      </c>
      <c r="AA7631" s="6">
        <v>16.850000000000001</v>
      </c>
      <c r="AB7631" s="7">
        <v>22.571999999999999</v>
      </c>
      <c r="AC7631" s="2"/>
    </row>
    <row r="7632" spans="1:29" ht="78" x14ac:dyDescent="0.15">
      <c r="A7632" s="3">
        <f>DATE(2005,5,16)</f>
        <v>38488</v>
      </c>
      <c r="B7632" s="3">
        <f>DATE(2005,8,5)</f>
        <v>38569</v>
      </c>
      <c r="C7632" s="2" t="s">
        <v>95</v>
      </c>
      <c r="D7632" s="2" t="s">
        <v>22974</v>
      </c>
      <c r="E7632" s="2" t="s">
        <v>172</v>
      </c>
      <c r="F7632" s="4">
        <v>4213</v>
      </c>
      <c r="G7632" s="2" t="s">
        <v>173</v>
      </c>
      <c r="H7632" s="2" t="s">
        <v>34</v>
      </c>
      <c r="I7632" s="2" t="s">
        <v>18294</v>
      </c>
      <c r="J7632" s="2" t="s">
        <v>18295</v>
      </c>
      <c r="K7632" s="2" t="s">
        <v>173</v>
      </c>
      <c r="L7632" s="2" t="s">
        <v>34</v>
      </c>
      <c r="M7632" s="12">
        <v>76715.688999999998</v>
      </c>
      <c r="N7632" s="6">
        <v>73.180000000000007</v>
      </c>
      <c r="O7632" s="6">
        <v>73.92</v>
      </c>
      <c r="P7632" s="2" t="s">
        <v>22975</v>
      </c>
      <c r="Q7632" s="6">
        <v>100</v>
      </c>
      <c r="R7632" s="6">
        <v>43.25</v>
      </c>
      <c r="S7632" s="5">
        <v>49.9</v>
      </c>
      <c r="T7632" s="7">
        <v>159.322</v>
      </c>
      <c r="U7632" s="5">
        <v>15.3</v>
      </c>
      <c r="V7632" s="2"/>
      <c r="W7632" s="6">
        <v>31.85</v>
      </c>
      <c r="X7632" s="6">
        <v>29.58</v>
      </c>
      <c r="Y7632" s="6">
        <v>42.52</v>
      </c>
      <c r="Z7632" s="5">
        <v>42.5</v>
      </c>
      <c r="AA7632" s="6">
        <v>28.25</v>
      </c>
      <c r="AB7632" s="7">
        <v>12.734</v>
      </c>
      <c r="AC7632" s="8">
        <v>5229</v>
      </c>
    </row>
    <row r="7633" spans="1:29" ht="130" x14ac:dyDescent="0.15">
      <c r="A7633" s="3">
        <f>DATE(2005,5,16)</f>
        <v>38488</v>
      </c>
      <c r="B7633" s="3">
        <f>DATE(2005,9,30)</f>
        <v>38625</v>
      </c>
      <c r="C7633" s="2" t="s">
        <v>95</v>
      </c>
      <c r="D7633" s="2" t="s">
        <v>22976</v>
      </c>
      <c r="E7633" s="2" t="s">
        <v>22977</v>
      </c>
      <c r="F7633" s="4">
        <v>3942</v>
      </c>
      <c r="G7633" s="2" t="s">
        <v>112</v>
      </c>
      <c r="H7633" s="2" t="s">
        <v>34</v>
      </c>
      <c r="I7633" s="2" t="s">
        <v>22978</v>
      </c>
      <c r="J7633" s="2" t="s">
        <v>4732</v>
      </c>
      <c r="K7633" s="2" t="s">
        <v>53</v>
      </c>
      <c r="L7633" s="2" t="s">
        <v>34</v>
      </c>
      <c r="M7633" s="2"/>
      <c r="N7633" s="2"/>
      <c r="O7633" s="2"/>
      <c r="P7633" s="2" t="s">
        <v>22979</v>
      </c>
      <c r="Q7633" s="6">
        <v>100</v>
      </c>
      <c r="R7633" s="6">
        <v>6.5</v>
      </c>
      <c r="S7633" s="5">
        <v>0.6</v>
      </c>
      <c r="T7633" s="7">
        <v>5.5410000000000004</v>
      </c>
      <c r="U7633" s="5">
        <v>1.7</v>
      </c>
      <c r="V7633" s="6">
        <v>0.08</v>
      </c>
      <c r="W7633" s="6">
        <v>5.03</v>
      </c>
      <c r="X7633" s="6">
        <v>5.35</v>
      </c>
      <c r="Y7633" s="6">
        <v>5.25</v>
      </c>
      <c r="Z7633" s="6">
        <v>6.34</v>
      </c>
      <c r="AA7633" s="6">
        <v>5.04</v>
      </c>
      <c r="AB7633" s="7">
        <v>9.952</v>
      </c>
      <c r="AC7633" s="2"/>
    </row>
    <row r="7634" spans="1:29" ht="104" x14ac:dyDescent="0.15">
      <c r="A7634" s="3">
        <f>DATE(2005,5,18)</f>
        <v>38490</v>
      </c>
      <c r="B7634" s="3">
        <f>DATE(2005,11,30)</f>
        <v>38686</v>
      </c>
      <c r="C7634" s="2" t="s">
        <v>95</v>
      </c>
      <c r="D7634" s="2" t="s">
        <v>22980</v>
      </c>
      <c r="E7634" s="2" t="s">
        <v>22981</v>
      </c>
      <c r="F7634" s="4">
        <v>3443</v>
      </c>
      <c r="G7634" s="2" t="s">
        <v>163</v>
      </c>
      <c r="H7634" s="2" t="s">
        <v>34</v>
      </c>
      <c r="I7634" s="2" t="s">
        <v>9715</v>
      </c>
      <c r="J7634" s="2" t="s">
        <v>244</v>
      </c>
      <c r="K7634" s="2" t="s">
        <v>53</v>
      </c>
      <c r="L7634" s="2" t="s">
        <v>34</v>
      </c>
      <c r="M7634" s="2"/>
      <c r="N7634" s="2"/>
      <c r="O7634" s="2"/>
      <c r="P7634" s="2" t="s">
        <v>22982</v>
      </c>
      <c r="Q7634" s="6">
        <v>100</v>
      </c>
      <c r="R7634" s="6">
        <v>22</v>
      </c>
      <c r="S7634" s="5">
        <v>104.5</v>
      </c>
      <c r="T7634" s="5">
        <v>180.7</v>
      </c>
      <c r="U7634" s="5">
        <v>16.2</v>
      </c>
      <c r="V7634" s="2"/>
      <c r="W7634" s="6">
        <v>14.58</v>
      </c>
      <c r="X7634" s="6">
        <v>13.89</v>
      </c>
      <c r="Y7634" s="6">
        <v>21.11</v>
      </c>
      <c r="Z7634" s="6">
        <v>21.26</v>
      </c>
      <c r="AA7634" s="6">
        <v>20.28</v>
      </c>
      <c r="AB7634" s="7">
        <v>4.008</v>
      </c>
      <c r="AC7634" s="2"/>
    </row>
    <row r="7635" spans="1:29" ht="260" x14ac:dyDescent="0.15">
      <c r="A7635" s="3">
        <f>DATE(2005,5,19)</f>
        <v>38491</v>
      </c>
      <c r="B7635" s="2"/>
      <c r="C7635" s="2" t="s">
        <v>30</v>
      </c>
      <c r="D7635" s="2" t="s">
        <v>17486</v>
      </c>
      <c r="E7635" s="2" t="s">
        <v>17487</v>
      </c>
      <c r="F7635" s="4">
        <v>3633</v>
      </c>
      <c r="G7635" s="2" t="s">
        <v>137</v>
      </c>
      <c r="H7635" s="2" t="s">
        <v>34</v>
      </c>
      <c r="I7635" s="2" t="s">
        <v>51</v>
      </c>
      <c r="J7635" s="2" t="s">
        <v>52</v>
      </c>
      <c r="K7635" s="2" t="s">
        <v>53</v>
      </c>
      <c r="L7635" s="2" t="s">
        <v>34</v>
      </c>
      <c r="M7635" s="2"/>
      <c r="N7635" s="2"/>
      <c r="O7635" s="2"/>
      <c r="P7635" s="2" t="s">
        <v>22983</v>
      </c>
      <c r="Q7635" s="2"/>
      <c r="R7635" s="6">
        <v>14</v>
      </c>
      <c r="S7635" s="5">
        <v>-40.299999999999997</v>
      </c>
      <c r="T7635" s="7">
        <v>271.04899999999998</v>
      </c>
      <c r="U7635" s="5">
        <v>1</v>
      </c>
      <c r="V7635" s="6">
        <v>-0.51</v>
      </c>
      <c r="W7635" s="6">
        <v>10.48</v>
      </c>
      <c r="X7635" s="6">
        <v>11.47</v>
      </c>
      <c r="Y7635" s="6">
        <v>11.56</v>
      </c>
      <c r="Z7635" s="5">
        <v>14.4</v>
      </c>
      <c r="AA7635" s="6">
        <v>79.7</v>
      </c>
      <c r="AB7635" s="7">
        <v>19.690999999999999</v>
      </c>
      <c r="AC7635" s="2"/>
    </row>
    <row r="7636" spans="1:29" ht="91" x14ac:dyDescent="0.15">
      <c r="A7636" s="3">
        <f>DATE(2005,5,20)</f>
        <v>38492</v>
      </c>
      <c r="B7636" s="2"/>
      <c r="C7636" s="2" t="s">
        <v>30</v>
      </c>
      <c r="D7636" s="2" t="s">
        <v>22984</v>
      </c>
      <c r="E7636" s="2" t="s">
        <v>22985</v>
      </c>
      <c r="F7636" s="4">
        <v>2063</v>
      </c>
      <c r="G7636" s="2" t="s">
        <v>577</v>
      </c>
      <c r="H7636" s="2" t="s">
        <v>34</v>
      </c>
      <c r="I7636" s="2" t="s">
        <v>22986</v>
      </c>
      <c r="J7636" s="2" t="s">
        <v>9451</v>
      </c>
      <c r="K7636" s="2" t="s">
        <v>53</v>
      </c>
      <c r="L7636" s="2" t="s">
        <v>34</v>
      </c>
      <c r="M7636" s="2"/>
      <c r="N7636" s="2"/>
      <c r="O7636" s="2"/>
      <c r="P7636" s="2" t="s">
        <v>22987</v>
      </c>
      <c r="Q7636" s="2"/>
      <c r="R7636" s="6">
        <v>17</v>
      </c>
      <c r="S7636" s="5">
        <v>15.3</v>
      </c>
      <c r="T7636" s="7">
        <v>31.960999999999999</v>
      </c>
      <c r="U7636" s="5">
        <v>17.3</v>
      </c>
      <c r="V7636" s="6">
        <v>1.4</v>
      </c>
      <c r="W7636" s="6">
        <v>12.25</v>
      </c>
      <c r="X7636" s="6">
        <v>12.93</v>
      </c>
      <c r="Y7636" s="6">
        <v>15.57</v>
      </c>
      <c r="Z7636" s="6">
        <v>15.43</v>
      </c>
      <c r="AA7636" s="6">
        <v>10.55</v>
      </c>
      <c r="AB7636" s="7">
        <v>8.8829999999999991</v>
      </c>
      <c r="AC7636" s="2"/>
    </row>
    <row r="7637" spans="1:29" ht="143" x14ac:dyDescent="0.15">
      <c r="A7637" s="3">
        <f>DATE(2005,5,24)</f>
        <v>38496</v>
      </c>
      <c r="B7637" s="3">
        <f>DATE(2005,10,3)</f>
        <v>38628</v>
      </c>
      <c r="C7637" s="2" t="s">
        <v>95</v>
      </c>
      <c r="D7637" s="2" t="s">
        <v>22988</v>
      </c>
      <c r="E7637" s="2" t="s">
        <v>263</v>
      </c>
      <c r="F7637" s="4">
        <v>6035</v>
      </c>
      <c r="G7637" s="2" t="s">
        <v>33</v>
      </c>
      <c r="H7637" s="2" t="s">
        <v>34</v>
      </c>
      <c r="I7637" s="2" t="s">
        <v>12418</v>
      </c>
      <c r="J7637" s="2" t="s">
        <v>36</v>
      </c>
      <c r="K7637" s="2" t="s">
        <v>37</v>
      </c>
      <c r="L7637" s="2" t="s">
        <v>34</v>
      </c>
      <c r="M7637" s="7">
        <v>142.214</v>
      </c>
      <c r="N7637" s="6">
        <v>13.42</v>
      </c>
      <c r="O7637" s="5">
        <v>13.2</v>
      </c>
      <c r="P7637" s="2" t="s">
        <v>22989</v>
      </c>
      <c r="Q7637" s="6">
        <v>100</v>
      </c>
      <c r="R7637" s="6">
        <v>18.72</v>
      </c>
      <c r="S7637" s="2"/>
      <c r="T7637" s="2"/>
      <c r="U7637" s="2"/>
      <c r="V7637" s="2"/>
      <c r="W7637" s="5">
        <v>12.5</v>
      </c>
      <c r="X7637" s="5">
        <v>12.5</v>
      </c>
      <c r="Y7637" s="5">
        <v>12.5</v>
      </c>
      <c r="Z7637" s="5">
        <v>12.5</v>
      </c>
      <c r="AA7637" s="6">
        <v>0.33</v>
      </c>
      <c r="AB7637" s="2" t="s">
        <v>47</v>
      </c>
      <c r="AC7637" s="2"/>
    </row>
    <row r="7638" spans="1:29" ht="169" x14ac:dyDescent="0.15">
      <c r="A7638" s="3">
        <f>DATE(2005,5,25)</f>
        <v>38497</v>
      </c>
      <c r="B7638" s="3">
        <f>DATE(2005,10,31)</f>
        <v>38656</v>
      </c>
      <c r="C7638" s="2" t="s">
        <v>95</v>
      </c>
      <c r="D7638" s="2" t="s">
        <v>22990</v>
      </c>
      <c r="E7638" s="2" t="s">
        <v>1181</v>
      </c>
      <c r="F7638" s="4">
        <v>6021</v>
      </c>
      <c r="G7638" s="2" t="s">
        <v>37</v>
      </c>
      <c r="H7638" s="2" t="s">
        <v>34</v>
      </c>
      <c r="I7638" s="2" t="s">
        <v>22991</v>
      </c>
      <c r="J7638" s="2" t="s">
        <v>36</v>
      </c>
      <c r="K7638" s="2" t="s">
        <v>33</v>
      </c>
      <c r="L7638" s="2" t="s">
        <v>34</v>
      </c>
      <c r="M7638" s="7">
        <v>94.968999999999994</v>
      </c>
      <c r="N7638" s="5">
        <v>12.9</v>
      </c>
      <c r="O7638" s="6">
        <v>12.12</v>
      </c>
      <c r="P7638" s="2" t="s">
        <v>22992</v>
      </c>
      <c r="Q7638" s="6">
        <v>100</v>
      </c>
      <c r="R7638" s="6">
        <v>18.25</v>
      </c>
      <c r="S7638" s="5">
        <v>2</v>
      </c>
      <c r="T7638" s="2"/>
      <c r="U7638" s="5">
        <v>7.2</v>
      </c>
      <c r="V7638" s="6">
        <v>1.05</v>
      </c>
      <c r="W7638" s="5">
        <v>10.5</v>
      </c>
      <c r="X7638" s="5">
        <v>10.5</v>
      </c>
      <c r="Y7638" s="5">
        <v>10.5</v>
      </c>
      <c r="Z7638" s="6">
        <v>17.05</v>
      </c>
      <c r="AA7638" s="6">
        <v>1.84</v>
      </c>
      <c r="AB7638" s="7">
        <v>37.865000000000002</v>
      </c>
      <c r="AC7638" s="2"/>
    </row>
    <row r="7639" spans="1:29" ht="26" x14ac:dyDescent="0.15">
      <c r="A7639" s="3">
        <f>DATE(2005,5,26)</f>
        <v>38498</v>
      </c>
      <c r="B7639" s="3">
        <f>DATE(2005,5,26)</f>
        <v>38498</v>
      </c>
      <c r="C7639" s="2" t="s">
        <v>95</v>
      </c>
      <c r="D7639" s="2" t="s">
        <v>22993</v>
      </c>
      <c r="E7639" s="2" t="s">
        <v>302</v>
      </c>
      <c r="F7639" s="4">
        <v>6799</v>
      </c>
      <c r="G7639" s="2" t="s">
        <v>53</v>
      </c>
      <c r="H7639" s="2" t="s">
        <v>34</v>
      </c>
      <c r="I7639" s="2" t="s">
        <v>22994</v>
      </c>
      <c r="J7639" s="2" t="s">
        <v>2814</v>
      </c>
      <c r="K7639" s="2" t="s">
        <v>63</v>
      </c>
      <c r="L7639" s="2" t="s">
        <v>34</v>
      </c>
      <c r="M7639" s="7">
        <v>2.145</v>
      </c>
      <c r="N7639" s="6">
        <v>0.55000000000000004</v>
      </c>
      <c r="O7639" s="5">
        <v>0.4</v>
      </c>
      <c r="P7639" s="2" t="s">
        <v>22995</v>
      </c>
      <c r="Q7639" s="6">
        <v>100</v>
      </c>
      <c r="R7639" s="2"/>
      <c r="S7639" s="5">
        <v>0</v>
      </c>
      <c r="T7639" s="2"/>
      <c r="U7639" s="5">
        <v>-0.2</v>
      </c>
      <c r="V7639" s="7">
        <v>-1.9990000000000001</v>
      </c>
      <c r="W7639" s="11">
        <v>0.49269000000000002</v>
      </c>
      <c r="X7639" s="11">
        <v>5.1428099999999999</v>
      </c>
      <c r="Y7639" s="6">
        <v>6.45</v>
      </c>
      <c r="Z7639" s="6">
        <v>6.45</v>
      </c>
      <c r="AA7639" s="6">
        <v>0.14000000000000001</v>
      </c>
      <c r="AB7639" s="2" t="s">
        <v>86</v>
      </c>
      <c r="AC7639" s="2"/>
    </row>
    <row r="7640" spans="1:29" ht="143" x14ac:dyDescent="0.15">
      <c r="A7640" s="3">
        <f>DATE(2005,5,26)</f>
        <v>38498</v>
      </c>
      <c r="B7640" s="3">
        <f>DATE(2005,11,21)</f>
        <v>38677</v>
      </c>
      <c r="C7640" s="2" t="s">
        <v>95</v>
      </c>
      <c r="D7640" s="2" t="s">
        <v>22996</v>
      </c>
      <c r="E7640" s="2" t="s">
        <v>263</v>
      </c>
      <c r="F7640" s="4">
        <v>6021</v>
      </c>
      <c r="G7640" s="2" t="s">
        <v>37</v>
      </c>
      <c r="H7640" s="2" t="s">
        <v>34</v>
      </c>
      <c r="I7640" s="2" t="s">
        <v>19703</v>
      </c>
      <c r="J7640" s="2" t="s">
        <v>263</v>
      </c>
      <c r="K7640" s="2" t="s">
        <v>33</v>
      </c>
      <c r="L7640" s="2" t="s">
        <v>34</v>
      </c>
      <c r="M7640" s="7">
        <v>127.113</v>
      </c>
      <c r="N7640" s="5">
        <v>15.9</v>
      </c>
      <c r="O7640" s="6">
        <v>15.05</v>
      </c>
      <c r="P7640" s="2" t="s">
        <v>22997</v>
      </c>
      <c r="Q7640" s="6">
        <v>100</v>
      </c>
      <c r="R7640" s="6">
        <v>25.22</v>
      </c>
      <c r="S7640" s="5">
        <v>3.2</v>
      </c>
      <c r="T7640" s="7">
        <v>5.3689999999999998</v>
      </c>
      <c r="U7640" s="5">
        <v>11.3</v>
      </c>
      <c r="V7640" s="6">
        <v>0.8</v>
      </c>
      <c r="W7640" s="4">
        <v>20</v>
      </c>
      <c r="X7640" s="4">
        <v>18</v>
      </c>
      <c r="Y7640" s="4">
        <v>18</v>
      </c>
      <c r="Z7640" s="6">
        <v>23.25</v>
      </c>
      <c r="AA7640" s="6">
        <v>5.07</v>
      </c>
      <c r="AB7640" s="7">
        <v>54.969000000000001</v>
      </c>
      <c r="AC7640" s="2"/>
    </row>
    <row r="7641" spans="1:29" ht="78" x14ac:dyDescent="0.15">
      <c r="A7641" s="3">
        <f>DATE(2005,5,27)</f>
        <v>38499</v>
      </c>
      <c r="B7641" s="2"/>
      <c r="C7641" s="2" t="s">
        <v>7330</v>
      </c>
      <c r="D7641" s="2" t="s">
        <v>22998</v>
      </c>
      <c r="E7641" s="2" t="s">
        <v>22999</v>
      </c>
      <c r="F7641" s="4">
        <v>2259</v>
      </c>
      <c r="G7641" s="2" t="s">
        <v>708</v>
      </c>
      <c r="H7641" s="2" t="s">
        <v>34</v>
      </c>
      <c r="I7641" s="2" t="s">
        <v>23000</v>
      </c>
      <c r="J7641" s="2" t="s">
        <v>302</v>
      </c>
      <c r="K7641" s="2" t="s">
        <v>53</v>
      </c>
      <c r="L7641" s="2" t="s">
        <v>34</v>
      </c>
      <c r="M7641" s="2"/>
      <c r="N7641" s="2"/>
      <c r="O7641" s="2"/>
      <c r="P7641" s="2" t="s">
        <v>23001</v>
      </c>
      <c r="Q7641" s="2"/>
      <c r="R7641" s="6">
        <v>3.15</v>
      </c>
      <c r="S7641" s="5">
        <v>-0.1</v>
      </c>
      <c r="T7641" s="6">
        <v>-0.12</v>
      </c>
      <c r="U7641" s="2"/>
      <c r="V7641" s="6">
        <v>0.01</v>
      </c>
      <c r="W7641" s="6">
        <v>2.84</v>
      </c>
      <c r="X7641" s="6">
        <v>2.95</v>
      </c>
      <c r="Y7641" s="4">
        <v>3</v>
      </c>
      <c r="Z7641" s="4">
        <v>3</v>
      </c>
      <c r="AA7641" s="6">
        <v>5.22</v>
      </c>
      <c r="AB7641" s="2" t="s">
        <v>86</v>
      </c>
      <c r="AC7641" s="2"/>
    </row>
    <row r="7642" spans="1:29" ht="195" x14ac:dyDescent="0.15">
      <c r="A7642" s="3">
        <f>DATE(2005,5,31)</f>
        <v>38503</v>
      </c>
      <c r="B7642" s="2"/>
      <c r="C7642" s="2" t="s">
        <v>30</v>
      </c>
      <c r="D7642" s="2" t="s">
        <v>23002</v>
      </c>
      <c r="E7642" s="2" t="s">
        <v>23003</v>
      </c>
      <c r="F7642" s="4">
        <v>5112</v>
      </c>
      <c r="G7642" s="2" t="s">
        <v>593</v>
      </c>
      <c r="H7642" s="2" t="s">
        <v>34</v>
      </c>
      <c r="I7642" s="2" t="s">
        <v>51</v>
      </c>
      <c r="J7642" s="2" t="s">
        <v>52</v>
      </c>
      <c r="K7642" s="2" t="s">
        <v>53</v>
      </c>
      <c r="L7642" s="2" t="s">
        <v>34</v>
      </c>
      <c r="M7642" s="2"/>
      <c r="N7642" s="2"/>
      <c r="O7642" s="2"/>
      <c r="P7642" s="2" t="s">
        <v>23004</v>
      </c>
      <c r="Q7642" s="2"/>
      <c r="R7642" s="6">
        <v>49</v>
      </c>
      <c r="S7642" s="5">
        <v>43</v>
      </c>
      <c r="T7642" s="7">
        <v>114.756</v>
      </c>
      <c r="U7642" s="5">
        <v>23.8</v>
      </c>
      <c r="V7642" s="6">
        <v>1.88</v>
      </c>
      <c r="W7642" s="6">
        <v>38.85</v>
      </c>
      <c r="X7642" s="6">
        <v>39.229999999999997</v>
      </c>
      <c r="Y7642" s="6">
        <v>39.22</v>
      </c>
      <c r="Z7642" s="4">
        <v>47</v>
      </c>
      <c r="AA7642" s="6">
        <v>22.8</v>
      </c>
      <c r="AB7642" s="7">
        <v>16.812999999999999</v>
      </c>
      <c r="AC7642" s="2"/>
    </row>
    <row r="7643" spans="1:29" ht="91" x14ac:dyDescent="0.15">
      <c r="A7643" s="3">
        <f>DATE(2005,6,1)</f>
        <v>38504</v>
      </c>
      <c r="B7643" s="3">
        <f>DATE(2005,9,16)</f>
        <v>38611</v>
      </c>
      <c r="C7643" s="2" t="s">
        <v>95</v>
      </c>
      <c r="D7643" s="2" t="s">
        <v>23005</v>
      </c>
      <c r="E7643" s="2" t="s">
        <v>23006</v>
      </c>
      <c r="F7643" s="4">
        <v>3021</v>
      </c>
      <c r="G7643" s="2" t="s">
        <v>447</v>
      </c>
      <c r="H7643" s="2" t="s">
        <v>34</v>
      </c>
      <c r="I7643" s="2" t="s">
        <v>23007</v>
      </c>
      <c r="J7643" s="2" t="s">
        <v>23008</v>
      </c>
      <c r="K7643" s="2" t="s">
        <v>326</v>
      </c>
      <c r="L7643" s="2" t="s">
        <v>34</v>
      </c>
      <c r="M7643" s="6">
        <v>450.81</v>
      </c>
      <c r="N7643" s="6">
        <v>12.04</v>
      </c>
      <c r="O7643" s="5">
        <v>13.5</v>
      </c>
      <c r="P7643" s="2" t="s">
        <v>23009</v>
      </c>
      <c r="Q7643" s="6">
        <v>100</v>
      </c>
      <c r="R7643" s="6">
        <v>23</v>
      </c>
      <c r="S7643" s="5">
        <v>9.4</v>
      </c>
      <c r="T7643" s="7">
        <v>20.024000000000001</v>
      </c>
      <c r="U7643" s="5">
        <v>10.8</v>
      </c>
      <c r="V7643" s="6">
        <v>1.3</v>
      </c>
      <c r="W7643" s="6">
        <v>19.690000000000001</v>
      </c>
      <c r="X7643" s="6">
        <v>20.04</v>
      </c>
      <c r="Y7643" s="6">
        <v>19.350000000000001</v>
      </c>
      <c r="Z7643" s="6">
        <v>22.65</v>
      </c>
      <c r="AA7643" s="6">
        <v>6.7</v>
      </c>
      <c r="AB7643" s="7">
        <v>7.7110000000000003</v>
      </c>
      <c r="AC7643" s="6">
        <v>84.91</v>
      </c>
    </row>
    <row r="7644" spans="1:29" ht="78" x14ac:dyDescent="0.15">
      <c r="A7644" s="3">
        <f>DATE(2005,6,1)</f>
        <v>38504</v>
      </c>
      <c r="B7644" s="3">
        <f>DATE(2005,8,30)</f>
        <v>38594</v>
      </c>
      <c r="C7644" s="2" t="s">
        <v>95</v>
      </c>
      <c r="D7644" s="2" t="s">
        <v>23010</v>
      </c>
      <c r="E7644" s="2" t="s">
        <v>6365</v>
      </c>
      <c r="F7644" s="4">
        <v>5961</v>
      </c>
      <c r="G7644" s="2" t="s">
        <v>73</v>
      </c>
      <c r="H7644" s="2" t="s">
        <v>34</v>
      </c>
      <c r="I7644" s="2" t="s">
        <v>16575</v>
      </c>
      <c r="J7644" s="2" t="s">
        <v>16576</v>
      </c>
      <c r="K7644" s="2" t="s">
        <v>223</v>
      </c>
      <c r="L7644" s="2" t="s">
        <v>34</v>
      </c>
      <c r="M7644" s="12">
        <v>46501.743999999999</v>
      </c>
      <c r="N7644" s="6">
        <v>39.11</v>
      </c>
      <c r="O7644" s="6">
        <v>39.049999999999997</v>
      </c>
      <c r="P7644" s="2" t="s">
        <v>23011</v>
      </c>
      <c r="Q7644" s="6">
        <v>100</v>
      </c>
      <c r="R7644" s="6">
        <v>21</v>
      </c>
      <c r="S7644" s="5">
        <v>13.8</v>
      </c>
      <c r="T7644" s="2"/>
      <c r="U7644" s="5">
        <v>5.7</v>
      </c>
      <c r="V7644" s="6">
        <v>-0.67</v>
      </c>
      <c r="W7644" s="6">
        <v>16.95</v>
      </c>
      <c r="X7644" s="6">
        <v>17.07</v>
      </c>
      <c r="Y7644" s="6">
        <v>17.440000000000001</v>
      </c>
      <c r="Z7644" s="6">
        <v>20.77</v>
      </c>
      <c r="AA7644" s="6">
        <v>29.66</v>
      </c>
      <c r="AB7644" s="7">
        <v>38.884</v>
      </c>
      <c r="AC7644" s="10">
        <v>2046.36</v>
      </c>
    </row>
    <row r="7645" spans="1:29" ht="143" x14ac:dyDescent="0.15">
      <c r="A7645" s="3">
        <f>DATE(2005,6,2)</f>
        <v>38505</v>
      </c>
      <c r="B7645" s="3">
        <f>DATE(2005,9,27)</f>
        <v>38622</v>
      </c>
      <c r="C7645" s="2" t="s">
        <v>95</v>
      </c>
      <c r="D7645" s="2" t="s">
        <v>23012</v>
      </c>
      <c r="E7645" s="2" t="s">
        <v>23013</v>
      </c>
      <c r="F7645" s="4">
        <v>2084</v>
      </c>
      <c r="G7645" s="2" t="s">
        <v>577</v>
      </c>
      <c r="H7645" s="2" t="s">
        <v>34</v>
      </c>
      <c r="I7645" s="2" t="s">
        <v>23014</v>
      </c>
      <c r="J7645" s="2" t="s">
        <v>23015</v>
      </c>
      <c r="K7645" s="2" t="s">
        <v>577</v>
      </c>
      <c r="L7645" s="2" t="s">
        <v>435</v>
      </c>
      <c r="M7645" s="2"/>
      <c r="N7645" s="2"/>
      <c r="O7645" s="2"/>
      <c r="P7645" s="2" t="s">
        <v>23016</v>
      </c>
      <c r="Q7645" s="6">
        <v>69.540000000000006</v>
      </c>
      <c r="R7645" s="6">
        <v>28.37</v>
      </c>
      <c r="S7645" s="5">
        <v>3.3</v>
      </c>
      <c r="T7645" s="7">
        <v>8.1430000000000007</v>
      </c>
      <c r="U7645" s="5">
        <v>13</v>
      </c>
      <c r="V7645" s="6">
        <v>0.57999999999999996</v>
      </c>
      <c r="W7645" s="6">
        <v>13.94</v>
      </c>
      <c r="X7645" s="6">
        <v>13.99</v>
      </c>
      <c r="Y7645" s="6">
        <v>14.16</v>
      </c>
      <c r="Z7645" s="6">
        <v>14.05</v>
      </c>
      <c r="AA7645" s="6">
        <v>6.34</v>
      </c>
      <c r="AB7645" s="7">
        <v>77.515000000000001</v>
      </c>
      <c r="AC7645" s="6">
        <v>117.1</v>
      </c>
    </row>
    <row r="7646" spans="1:29" ht="65" x14ac:dyDescent="0.15">
      <c r="A7646" s="3">
        <f>DATE(2005,6,2)</f>
        <v>38505</v>
      </c>
      <c r="B7646" s="3">
        <f>DATE(2005,8,31)</f>
        <v>38595</v>
      </c>
      <c r="C7646" s="2" t="s">
        <v>95</v>
      </c>
      <c r="D7646" s="2" t="s">
        <v>2204</v>
      </c>
      <c r="E7646" s="2" t="s">
        <v>2205</v>
      </c>
      <c r="F7646" s="4">
        <v>3572</v>
      </c>
      <c r="G7646" s="2" t="s">
        <v>50</v>
      </c>
      <c r="H7646" s="2" t="s">
        <v>34</v>
      </c>
      <c r="I7646" s="2" t="s">
        <v>7432</v>
      </c>
      <c r="J7646" s="2" t="s">
        <v>7433</v>
      </c>
      <c r="K7646" s="2" t="s">
        <v>50</v>
      </c>
      <c r="L7646" s="2" t="s">
        <v>34</v>
      </c>
      <c r="M7646" s="12">
        <v>13045.050999999999</v>
      </c>
      <c r="N7646" s="6">
        <v>3.79</v>
      </c>
      <c r="O7646" s="6">
        <v>3.66</v>
      </c>
      <c r="P7646" s="2" t="s">
        <v>23017</v>
      </c>
      <c r="Q7646" s="6">
        <v>100</v>
      </c>
      <c r="R7646" s="6">
        <v>37</v>
      </c>
      <c r="S7646" s="5">
        <v>191</v>
      </c>
      <c r="T7646" s="6">
        <v>297.12</v>
      </c>
      <c r="U7646" s="5">
        <v>13.4</v>
      </c>
      <c r="V7646" s="6">
        <v>1.72</v>
      </c>
      <c r="W7646" s="6">
        <v>31.28</v>
      </c>
      <c r="X7646" s="6">
        <v>31.23</v>
      </c>
      <c r="Y7646" s="6">
        <v>36.36</v>
      </c>
      <c r="Z7646" s="6">
        <v>36.340000000000003</v>
      </c>
      <c r="AA7646" s="6">
        <v>107.32</v>
      </c>
      <c r="AB7646" s="7">
        <v>13.789</v>
      </c>
      <c r="AC7646" s="8">
        <v>3135</v>
      </c>
    </row>
    <row r="7647" spans="1:29" ht="143" x14ac:dyDescent="0.15">
      <c r="A7647" s="3">
        <f>DATE(2005,6,2)</f>
        <v>38505</v>
      </c>
      <c r="B7647" s="3">
        <f>DATE(2005,7,29)</f>
        <v>38562</v>
      </c>
      <c r="C7647" s="2" t="s">
        <v>95</v>
      </c>
      <c r="D7647" s="2" t="s">
        <v>11266</v>
      </c>
      <c r="E7647" s="2" t="s">
        <v>10715</v>
      </c>
      <c r="F7647" s="4">
        <v>7373</v>
      </c>
      <c r="G7647" s="2" t="s">
        <v>223</v>
      </c>
      <c r="H7647" s="2" t="s">
        <v>34</v>
      </c>
      <c r="I7647" s="2" t="s">
        <v>13358</v>
      </c>
      <c r="J7647" s="2" t="s">
        <v>13359</v>
      </c>
      <c r="K7647" s="2" t="s">
        <v>921</v>
      </c>
      <c r="L7647" s="2" t="s">
        <v>34</v>
      </c>
      <c r="M7647" s="12">
        <v>8352.2379999999994</v>
      </c>
      <c r="N7647" s="6">
        <v>71.03</v>
      </c>
      <c r="O7647" s="6">
        <v>74.150000000000006</v>
      </c>
      <c r="P7647" s="2" t="s">
        <v>23018</v>
      </c>
      <c r="Q7647" s="6">
        <v>100</v>
      </c>
      <c r="R7647" s="6">
        <v>23.1</v>
      </c>
      <c r="S7647" s="5">
        <v>29.7</v>
      </c>
      <c r="T7647" s="7">
        <v>172.45500000000001</v>
      </c>
      <c r="U7647" s="5">
        <v>4.4000000000000004</v>
      </c>
      <c r="V7647" s="6">
        <v>0.33</v>
      </c>
      <c r="W7647" s="6">
        <v>18.36</v>
      </c>
      <c r="X7647" s="6">
        <v>20.03</v>
      </c>
      <c r="Y7647" s="6">
        <v>21.55</v>
      </c>
      <c r="Z7647" s="5">
        <v>21.6</v>
      </c>
      <c r="AA7647" s="6">
        <v>85.31</v>
      </c>
      <c r="AB7647" s="7">
        <v>16.587</v>
      </c>
      <c r="AC7647" s="6">
        <v>286.19</v>
      </c>
    </row>
    <row r="7648" spans="1:29" ht="104" x14ac:dyDescent="0.15">
      <c r="A7648" s="3">
        <f>DATE(2005,6,3)</f>
        <v>38506</v>
      </c>
      <c r="B7648" s="2"/>
      <c r="C7648" s="2" t="s">
        <v>30</v>
      </c>
      <c r="D7648" s="2" t="s">
        <v>12207</v>
      </c>
      <c r="E7648" s="2" t="s">
        <v>12208</v>
      </c>
      <c r="F7648" s="4">
        <v>7374</v>
      </c>
      <c r="G7648" s="2" t="s">
        <v>223</v>
      </c>
      <c r="H7648" s="2" t="s">
        <v>34</v>
      </c>
      <c r="I7648" s="2" t="s">
        <v>21270</v>
      </c>
      <c r="J7648" s="2" t="s">
        <v>302</v>
      </c>
      <c r="K7648" s="2" t="s">
        <v>53</v>
      </c>
      <c r="L7648" s="2" t="s">
        <v>34</v>
      </c>
      <c r="M7648" s="2"/>
      <c r="N7648" s="2"/>
      <c r="O7648" s="2"/>
      <c r="P7648" s="2" t="s">
        <v>23019</v>
      </c>
      <c r="Q7648" s="2"/>
      <c r="R7648" s="6">
        <v>25</v>
      </c>
      <c r="S7648" s="5">
        <v>70.8</v>
      </c>
      <c r="T7648" s="7">
        <v>306.32799999999997</v>
      </c>
      <c r="U7648" s="5">
        <v>7.6</v>
      </c>
      <c r="V7648" s="6">
        <v>0.75</v>
      </c>
      <c r="W7648" s="5">
        <v>18.8</v>
      </c>
      <c r="X7648" s="6">
        <v>18.48</v>
      </c>
      <c r="Y7648" s="6">
        <v>18.239999999999998</v>
      </c>
      <c r="Z7648" s="6">
        <v>21.25</v>
      </c>
      <c r="AA7648" s="6">
        <v>85.75</v>
      </c>
      <c r="AB7648" s="7">
        <v>21.943000000000001</v>
      </c>
      <c r="AC7648" s="2"/>
    </row>
    <row r="7649" spans="1:29" ht="195" x14ac:dyDescent="0.15">
      <c r="A7649" s="3">
        <f>DATE(2005,6,6)</f>
        <v>38509</v>
      </c>
      <c r="B7649" s="3">
        <f>DATE(2005,9,15)</f>
        <v>38610</v>
      </c>
      <c r="C7649" s="2" t="s">
        <v>95</v>
      </c>
      <c r="D7649" s="2" t="s">
        <v>23020</v>
      </c>
      <c r="E7649" s="2" t="s">
        <v>844</v>
      </c>
      <c r="F7649" s="4">
        <v>6512</v>
      </c>
      <c r="G7649" s="2" t="s">
        <v>109</v>
      </c>
      <c r="H7649" s="2" t="s">
        <v>34</v>
      </c>
      <c r="I7649" s="2" t="s">
        <v>23021</v>
      </c>
      <c r="J7649" s="2" t="s">
        <v>92</v>
      </c>
      <c r="K7649" s="2" t="s">
        <v>53</v>
      </c>
      <c r="L7649" s="2" t="s">
        <v>34</v>
      </c>
      <c r="M7649" s="10">
        <v>7559.99</v>
      </c>
      <c r="N7649" s="6">
        <v>40.11</v>
      </c>
      <c r="O7649" s="6">
        <v>40.32</v>
      </c>
      <c r="P7649" s="2" t="s">
        <v>23022</v>
      </c>
      <c r="Q7649" s="6">
        <v>100</v>
      </c>
      <c r="R7649" s="6">
        <v>34.01</v>
      </c>
      <c r="S7649" s="5">
        <v>147.19999999999999</v>
      </c>
      <c r="T7649" s="7">
        <v>225.173</v>
      </c>
      <c r="U7649" s="5">
        <v>7.2</v>
      </c>
      <c r="V7649" s="6">
        <v>1.4</v>
      </c>
      <c r="W7649" s="6">
        <v>28.95</v>
      </c>
      <c r="X7649" s="6">
        <v>29.24</v>
      </c>
      <c r="Y7649" s="6">
        <v>32.99</v>
      </c>
      <c r="Z7649" s="6">
        <v>33.07</v>
      </c>
      <c r="AA7649" s="6">
        <v>103.88</v>
      </c>
      <c r="AB7649" s="7">
        <v>31.012</v>
      </c>
      <c r="AC7649" s="6">
        <v>347.44</v>
      </c>
    </row>
    <row r="7650" spans="1:29" ht="182" x14ac:dyDescent="0.15">
      <c r="A7650" s="3">
        <f>DATE(2005,6,6)</f>
        <v>38509</v>
      </c>
      <c r="B7650" s="3">
        <f>DATE(2005,10,3)</f>
        <v>38628</v>
      </c>
      <c r="C7650" s="2" t="s">
        <v>95</v>
      </c>
      <c r="D7650" s="2" t="s">
        <v>23023</v>
      </c>
      <c r="E7650" s="2" t="s">
        <v>23024</v>
      </c>
      <c r="F7650" s="4">
        <v>6153</v>
      </c>
      <c r="G7650" s="2" t="s">
        <v>370</v>
      </c>
      <c r="H7650" s="2" t="s">
        <v>34</v>
      </c>
      <c r="I7650" s="2" t="s">
        <v>2324</v>
      </c>
      <c r="J7650" s="2" t="s">
        <v>14447</v>
      </c>
      <c r="K7650" s="2" t="s">
        <v>33</v>
      </c>
      <c r="L7650" s="2" t="s">
        <v>34</v>
      </c>
      <c r="M7650" s="12">
        <v>37168.798999999999</v>
      </c>
      <c r="N7650" s="6">
        <v>40.54</v>
      </c>
      <c r="O7650" s="6">
        <v>40.25</v>
      </c>
      <c r="P7650" s="2" t="s">
        <v>23025</v>
      </c>
      <c r="Q7650" s="6">
        <v>100</v>
      </c>
      <c r="R7650" s="6">
        <v>18.71</v>
      </c>
      <c r="S7650" s="5">
        <v>412.5</v>
      </c>
      <c r="T7650" s="7">
        <v>634.24800000000005</v>
      </c>
      <c r="U7650" s="5">
        <v>9.6999999999999993</v>
      </c>
      <c r="V7650" s="6">
        <v>1.3</v>
      </c>
      <c r="W7650" s="5">
        <v>17.7</v>
      </c>
      <c r="X7650" s="6">
        <v>17.96</v>
      </c>
      <c r="Y7650" s="6">
        <v>17.63</v>
      </c>
      <c r="Z7650" s="5">
        <v>17.5</v>
      </c>
      <c r="AA7650" s="6">
        <v>294.24</v>
      </c>
      <c r="AB7650" s="7">
        <v>13.709</v>
      </c>
      <c r="AC7650" s="2"/>
    </row>
    <row r="7651" spans="1:29" ht="143" x14ac:dyDescent="0.15">
      <c r="A7651" s="3">
        <f>DATE(2005,6,6)</f>
        <v>38509</v>
      </c>
      <c r="B7651" s="3">
        <f>DATE(2005,7,22)</f>
        <v>38555</v>
      </c>
      <c r="C7651" s="2" t="s">
        <v>95</v>
      </c>
      <c r="D7651" s="2" t="s">
        <v>23026</v>
      </c>
      <c r="E7651" s="2" t="s">
        <v>23027</v>
      </c>
      <c r="F7651" s="4">
        <v>2833</v>
      </c>
      <c r="G7651" s="2" t="s">
        <v>130</v>
      </c>
      <c r="H7651" s="2" t="s">
        <v>34</v>
      </c>
      <c r="I7651" s="2" t="s">
        <v>23028</v>
      </c>
      <c r="J7651" s="2" t="s">
        <v>23029</v>
      </c>
      <c r="K7651" s="2" t="s">
        <v>577</v>
      </c>
      <c r="L7651" s="2" t="s">
        <v>133</v>
      </c>
      <c r="M7651" s="7">
        <v>91.918000000000006</v>
      </c>
      <c r="N7651" s="7">
        <v>40.343000000000004</v>
      </c>
      <c r="O7651" s="7">
        <v>42.259</v>
      </c>
      <c r="P7651" s="2" t="s">
        <v>23030</v>
      </c>
      <c r="Q7651" s="6">
        <v>100</v>
      </c>
      <c r="R7651" s="6">
        <v>4.3</v>
      </c>
      <c r="S7651" s="5">
        <v>1.1000000000000001</v>
      </c>
      <c r="T7651" s="7">
        <v>3.161</v>
      </c>
      <c r="U7651" s="5">
        <v>2.1</v>
      </c>
      <c r="V7651" s="6">
        <v>0.14000000000000001</v>
      </c>
      <c r="W7651" s="6">
        <v>1.83</v>
      </c>
      <c r="X7651" s="6">
        <v>2.0299999999999998</v>
      </c>
      <c r="Y7651" s="6">
        <v>4.24</v>
      </c>
      <c r="Z7651" s="6">
        <v>4.24</v>
      </c>
      <c r="AA7651" s="6">
        <v>8.01</v>
      </c>
      <c r="AB7651" s="7">
        <v>24.852</v>
      </c>
      <c r="AC7651" s="6">
        <v>3.04</v>
      </c>
    </row>
    <row r="7652" spans="1:29" ht="78" x14ac:dyDescent="0.15">
      <c r="A7652" s="3">
        <f>DATE(2005,6,7)</f>
        <v>38510</v>
      </c>
      <c r="B7652" s="2"/>
      <c r="C7652" s="2" t="s">
        <v>141</v>
      </c>
      <c r="D7652" s="2" t="s">
        <v>10698</v>
      </c>
      <c r="E7652" s="2" t="s">
        <v>10699</v>
      </c>
      <c r="F7652" s="4">
        <v>8099</v>
      </c>
      <c r="G7652" s="2" t="s">
        <v>454</v>
      </c>
      <c r="H7652" s="2" t="s">
        <v>34</v>
      </c>
      <c r="I7652" s="2" t="s">
        <v>143</v>
      </c>
      <c r="J7652" s="2" t="s">
        <v>144</v>
      </c>
      <c r="K7652" s="2" t="s">
        <v>53</v>
      </c>
      <c r="L7652" s="2" t="s">
        <v>139</v>
      </c>
      <c r="M7652" s="2"/>
      <c r="N7652" s="2"/>
      <c r="O7652" s="2"/>
      <c r="P7652" s="2" t="s">
        <v>23031</v>
      </c>
      <c r="Q7652" s="2"/>
      <c r="R7652" s="2"/>
      <c r="S7652" s="2"/>
      <c r="T7652" s="2"/>
      <c r="U7652" s="2"/>
      <c r="V7652" s="2"/>
      <c r="W7652" s="5">
        <v>31.5</v>
      </c>
      <c r="X7652" s="6">
        <v>31.51</v>
      </c>
      <c r="Y7652" s="6">
        <v>36.75</v>
      </c>
      <c r="Z7652" s="6">
        <v>36.270000000000003</v>
      </c>
      <c r="AA7652" s="6">
        <v>49.04</v>
      </c>
      <c r="AB7652" s="2" t="s">
        <v>47</v>
      </c>
      <c r="AC7652" s="2"/>
    </row>
    <row r="7653" spans="1:29" ht="104" x14ac:dyDescent="0.15">
      <c r="A7653" s="3">
        <f>DATE(2005,6,7)</f>
        <v>38510</v>
      </c>
      <c r="B7653" s="3">
        <f>DATE(2005,9,30)</f>
        <v>38625</v>
      </c>
      <c r="C7653" s="2" t="s">
        <v>95</v>
      </c>
      <c r="D7653" s="2" t="s">
        <v>23032</v>
      </c>
      <c r="E7653" s="2" t="s">
        <v>92</v>
      </c>
      <c r="F7653" s="4">
        <v>6798</v>
      </c>
      <c r="G7653" s="2" t="s">
        <v>53</v>
      </c>
      <c r="H7653" s="2" t="s">
        <v>34</v>
      </c>
      <c r="I7653" s="2" t="s">
        <v>51</v>
      </c>
      <c r="J7653" s="2" t="s">
        <v>52</v>
      </c>
      <c r="K7653" s="2" t="s">
        <v>53</v>
      </c>
      <c r="L7653" s="2" t="s">
        <v>34</v>
      </c>
      <c r="M7653" s="2"/>
      <c r="N7653" s="2"/>
      <c r="O7653" s="2"/>
      <c r="P7653" s="2" t="s">
        <v>23033</v>
      </c>
      <c r="Q7653" s="6">
        <v>100</v>
      </c>
      <c r="R7653" s="6">
        <v>43.5</v>
      </c>
      <c r="S7653" s="5">
        <v>33.799999999999997</v>
      </c>
      <c r="T7653" s="2"/>
      <c r="U7653" s="5">
        <v>17.2</v>
      </c>
      <c r="V7653" s="6">
        <v>0.89</v>
      </c>
      <c r="W7653" s="6">
        <v>36.409999999999997</v>
      </c>
      <c r="X7653" s="6">
        <v>38.119999999999997</v>
      </c>
      <c r="Y7653" s="6">
        <v>43.48</v>
      </c>
      <c r="Z7653" s="6">
        <v>43.44</v>
      </c>
      <c r="AA7653" s="6">
        <v>29.26</v>
      </c>
      <c r="AB7653" s="2" t="s">
        <v>47</v>
      </c>
      <c r="AC7653" s="2"/>
    </row>
    <row r="7654" spans="1:29" ht="39" x14ac:dyDescent="0.15">
      <c r="A7654" s="3">
        <f>DATE(2005,6,7)</f>
        <v>38510</v>
      </c>
      <c r="B7654" s="2"/>
      <c r="C7654" s="2" t="s">
        <v>189</v>
      </c>
      <c r="D7654" s="2" t="s">
        <v>17030</v>
      </c>
      <c r="E7654" s="2" t="s">
        <v>17031</v>
      </c>
      <c r="F7654" s="4">
        <v>6799</v>
      </c>
      <c r="G7654" s="2" t="s">
        <v>53</v>
      </c>
      <c r="H7654" s="2" t="s">
        <v>34</v>
      </c>
      <c r="I7654" s="2" t="s">
        <v>143</v>
      </c>
      <c r="J7654" s="2" t="s">
        <v>144</v>
      </c>
      <c r="K7654" s="2" t="s">
        <v>53</v>
      </c>
      <c r="L7654" s="2" t="s">
        <v>139</v>
      </c>
      <c r="M7654" s="2"/>
      <c r="N7654" s="2"/>
      <c r="O7654" s="2"/>
      <c r="P7654" s="2" t="s">
        <v>23034</v>
      </c>
      <c r="Q7654" s="2"/>
      <c r="R7654" s="2"/>
      <c r="S7654" s="5">
        <v>5.4</v>
      </c>
      <c r="T7654" s="7">
        <v>18.812999999999999</v>
      </c>
      <c r="U7654" s="5">
        <v>5.8</v>
      </c>
      <c r="V7654" s="6">
        <v>0.53</v>
      </c>
      <c r="W7654" s="4">
        <v>10</v>
      </c>
      <c r="X7654" s="6">
        <v>9.98</v>
      </c>
      <c r="Y7654" s="6">
        <v>10.45</v>
      </c>
      <c r="Z7654" s="6">
        <v>10.45</v>
      </c>
      <c r="AA7654" s="6">
        <v>6.77</v>
      </c>
      <c r="AB7654" s="2" t="s">
        <v>47</v>
      </c>
      <c r="AC7654" s="2"/>
    </row>
    <row r="7655" spans="1:29" ht="104" x14ac:dyDescent="0.15">
      <c r="A7655" s="3">
        <f>DATE(2005,6,8)</f>
        <v>38511</v>
      </c>
      <c r="B7655" s="3">
        <f>DATE(2005,8,26)</f>
        <v>38590</v>
      </c>
      <c r="C7655" s="2" t="s">
        <v>95</v>
      </c>
      <c r="D7655" s="2" t="s">
        <v>23035</v>
      </c>
      <c r="E7655" s="2" t="s">
        <v>23036</v>
      </c>
      <c r="F7655" s="4">
        <v>3651</v>
      </c>
      <c r="G7655" s="2" t="s">
        <v>137</v>
      </c>
      <c r="H7655" s="2" t="s">
        <v>34</v>
      </c>
      <c r="I7655" s="2" t="s">
        <v>23037</v>
      </c>
      <c r="J7655" s="2" t="s">
        <v>23038</v>
      </c>
      <c r="K7655" s="2" t="s">
        <v>76</v>
      </c>
      <c r="L7655" s="2" t="s">
        <v>99</v>
      </c>
      <c r="M7655" s="7">
        <v>200.465</v>
      </c>
      <c r="N7655" s="6">
        <v>2.08</v>
      </c>
      <c r="O7655" s="7">
        <v>2.161</v>
      </c>
      <c r="P7655" s="2" t="s">
        <v>23039</v>
      </c>
      <c r="Q7655" s="6">
        <v>100</v>
      </c>
      <c r="R7655" s="6">
        <v>17.5</v>
      </c>
      <c r="S7655" s="5">
        <v>3.2</v>
      </c>
      <c r="T7655" s="7">
        <v>7.1950000000000003</v>
      </c>
      <c r="U7655" s="5">
        <v>8.5</v>
      </c>
      <c r="V7655" s="6">
        <v>0.76</v>
      </c>
      <c r="W7655" s="6">
        <v>14.96</v>
      </c>
      <c r="X7655" s="6">
        <v>16.25</v>
      </c>
      <c r="Y7655" s="6">
        <v>16.21</v>
      </c>
      <c r="Z7655" s="6">
        <v>17.239999999999998</v>
      </c>
      <c r="AA7655" s="6">
        <v>4.18</v>
      </c>
      <c r="AB7655" s="7">
        <v>15.153</v>
      </c>
      <c r="AC7655" s="6">
        <v>11.64</v>
      </c>
    </row>
    <row r="7656" spans="1:29" ht="78" x14ac:dyDescent="0.15">
      <c r="A7656" s="3">
        <f>DATE(2005,6,9)</f>
        <v>38512</v>
      </c>
      <c r="B7656" s="2"/>
      <c r="C7656" s="2" t="s">
        <v>30</v>
      </c>
      <c r="D7656" s="2" t="s">
        <v>23040</v>
      </c>
      <c r="E7656" s="2" t="s">
        <v>1181</v>
      </c>
      <c r="F7656" s="4">
        <v>6021</v>
      </c>
      <c r="G7656" s="2" t="s">
        <v>37</v>
      </c>
      <c r="H7656" s="2" t="s">
        <v>34</v>
      </c>
      <c r="I7656" s="2" t="s">
        <v>23041</v>
      </c>
      <c r="J7656" s="2" t="s">
        <v>3246</v>
      </c>
      <c r="K7656" s="2" t="s">
        <v>37</v>
      </c>
      <c r="L7656" s="2" t="s">
        <v>34</v>
      </c>
      <c r="M7656" s="7">
        <v>68.090999999999994</v>
      </c>
      <c r="N7656" s="6">
        <v>7.46</v>
      </c>
      <c r="O7656" s="5">
        <v>7.1</v>
      </c>
      <c r="P7656" s="2" t="s">
        <v>23042</v>
      </c>
      <c r="Q7656" s="2"/>
      <c r="R7656" s="6">
        <v>15.82</v>
      </c>
      <c r="S7656" s="5">
        <v>-0.5</v>
      </c>
      <c r="T7656" s="2"/>
      <c r="U7656" s="2"/>
      <c r="V7656" s="6">
        <v>-0.35</v>
      </c>
      <c r="W7656" s="6">
        <v>11.28</v>
      </c>
      <c r="X7656" s="6">
        <v>11.35</v>
      </c>
      <c r="Y7656" s="6">
        <v>11.36</v>
      </c>
      <c r="Z7656" s="6">
        <v>15.05</v>
      </c>
      <c r="AA7656" s="6">
        <v>1.59</v>
      </c>
      <c r="AB7656" s="7">
        <v>45.295999999999999</v>
      </c>
      <c r="AC7656" s="2"/>
    </row>
    <row r="7657" spans="1:29" ht="78" x14ac:dyDescent="0.15">
      <c r="A7657" s="3">
        <f>DATE(2005,6,9)</f>
        <v>38512</v>
      </c>
      <c r="B7657" s="3">
        <f>DATE(2005,7,29)</f>
        <v>38562</v>
      </c>
      <c r="C7657" s="2" t="s">
        <v>95</v>
      </c>
      <c r="D7657" s="2" t="s">
        <v>23043</v>
      </c>
      <c r="E7657" s="2" t="s">
        <v>23044</v>
      </c>
      <c r="F7657" s="4">
        <v>7372</v>
      </c>
      <c r="G7657" s="2" t="s">
        <v>551</v>
      </c>
      <c r="H7657" s="2" t="s">
        <v>34</v>
      </c>
      <c r="I7657" s="2" t="s">
        <v>2244</v>
      </c>
      <c r="J7657" s="2" t="s">
        <v>2245</v>
      </c>
      <c r="K7657" s="2" t="s">
        <v>551</v>
      </c>
      <c r="L7657" s="2" t="s">
        <v>34</v>
      </c>
      <c r="M7657" s="10">
        <v>16410.16</v>
      </c>
      <c r="N7657" s="6">
        <v>27.01</v>
      </c>
      <c r="O7657" s="6">
        <v>26.94</v>
      </c>
      <c r="P7657" s="2" t="s">
        <v>23045</v>
      </c>
      <c r="Q7657" s="6">
        <v>100</v>
      </c>
      <c r="R7657" s="6">
        <v>21</v>
      </c>
      <c r="S7657" s="5">
        <v>5</v>
      </c>
      <c r="T7657" s="7">
        <v>6.9870000000000001</v>
      </c>
      <c r="U7657" s="5">
        <v>3.6</v>
      </c>
      <c r="V7657" s="6">
        <v>0.35</v>
      </c>
      <c r="W7657" s="6">
        <v>15.75</v>
      </c>
      <c r="X7657" s="5">
        <v>16.5</v>
      </c>
      <c r="Y7657" s="6">
        <v>20.66</v>
      </c>
      <c r="Z7657" s="6">
        <v>20.72</v>
      </c>
      <c r="AA7657" s="6">
        <v>15.29</v>
      </c>
      <c r="AB7657" s="7">
        <v>46.625</v>
      </c>
      <c r="AC7657" s="2"/>
    </row>
    <row r="7658" spans="1:29" ht="91" x14ac:dyDescent="0.15">
      <c r="A7658" s="3">
        <f>DATE(2005,6,9)</f>
        <v>38512</v>
      </c>
      <c r="B7658" s="3">
        <f>DATE(2005,10,7)</f>
        <v>38632</v>
      </c>
      <c r="C7658" s="2" t="s">
        <v>95</v>
      </c>
      <c r="D7658" s="2" t="s">
        <v>23046</v>
      </c>
      <c r="E7658" s="2" t="s">
        <v>1181</v>
      </c>
      <c r="F7658" s="4">
        <v>6021</v>
      </c>
      <c r="G7658" s="2" t="s">
        <v>37</v>
      </c>
      <c r="H7658" s="2" t="s">
        <v>34</v>
      </c>
      <c r="I7658" s="2" t="s">
        <v>3057</v>
      </c>
      <c r="J7658" s="2" t="s">
        <v>17388</v>
      </c>
      <c r="K7658" s="2" t="s">
        <v>37</v>
      </c>
      <c r="L7658" s="2" t="s">
        <v>34</v>
      </c>
      <c r="M7658" s="7">
        <v>692.89499999999998</v>
      </c>
      <c r="N7658" s="6">
        <v>45.39</v>
      </c>
      <c r="O7658" s="6">
        <v>45.44</v>
      </c>
      <c r="P7658" s="2" t="s">
        <v>23047</v>
      </c>
      <c r="Q7658" s="6">
        <v>100</v>
      </c>
      <c r="R7658" s="6">
        <v>38.15</v>
      </c>
      <c r="S7658" s="2"/>
      <c r="T7658" s="2"/>
      <c r="U7658" s="2"/>
      <c r="V7658" s="2"/>
      <c r="W7658" s="4">
        <v>37</v>
      </c>
      <c r="X7658" s="6">
        <v>37.25</v>
      </c>
      <c r="Y7658" s="4">
        <v>37</v>
      </c>
      <c r="Z7658" s="5">
        <v>36.700000000000003</v>
      </c>
      <c r="AA7658" s="6">
        <v>0.94</v>
      </c>
      <c r="AB7658" s="2" t="s">
        <v>47</v>
      </c>
      <c r="AC7658" s="2"/>
    </row>
    <row r="7659" spans="1:29" ht="130" x14ac:dyDescent="0.15">
      <c r="A7659" s="3">
        <f>DATE(2005,6,9)</f>
        <v>38512</v>
      </c>
      <c r="B7659" s="2"/>
      <c r="C7659" s="2" t="s">
        <v>30</v>
      </c>
      <c r="D7659" s="2" t="s">
        <v>20584</v>
      </c>
      <c r="E7659" s="2" t="s">
        <v>20585</v>
      </c>
      <c r="F7659" s="4">
        <v>7379</v>
      </c>
      <c r="G7659" s="2" t="s">
        <v>223</v>
      </c>
      <c r="H7659" s="2" t="s">
        <v>34</v>
      </c>
      <c r="I7659" s="2" t="s">
        <v>20586</v>
      </c>
      <c r="J7659" s="2" t="s">
        <v>302</v>
      </c>
      <c r="K7659" s="2" t="s">
        <v>53</v>
      </c>
      <c r="L7659" s="2" t="s">
        <v>34</v>
      </c>
      <c r="M7659" s="2"/>
      <c r="N7659" s="2"/>
      <c r="O7659" s="2"/>
      <c r="P7659" s="2" t="s">
        <v>23048</v>
      </c>
      <c r="Q7659" s="2"/>
      <c r="R7659" s="6">
        <v>7.1</v>
      </c>
      <c r="S7659" s="5">
        <v>3.2</v>
      </c>
      <c r="T7659" s="6">
        <v>9.18</v>
      </c>
      <c r="U7659" s="5">
        <v>2.6</v>
      </c>
      <c r="V7659" s="6">
        <v>0.13</v>
      </c>
      <c r="W7659" s="6">
        <v>6.68</v>
      </c>
      <c r="X7659" s="6">
        <v>6.45</v>
      </c>
      <c r="Y7659" s="6">
        <v>6.75</v>
      </c>
      <c r="Z7659" s="5">
        <v>6.9</v>
      </c>
      <c r="AA7659" s="6">
        <v>24.25</v>
      </c>
      <c r="AB7659" s="7">
        <v>14.859</v>
      </c>
      <c r="AC7659" s="2"/>
    </row>
    <row r="7660" spans="1:29" ht="104" x14ac:dyDescent="0.15">
      <c r="A7660" s="3">
        <f>DATE(2005,6,13)</f>
        <v>38516</v>
      </c>
      <c r="B7660" s="3">
        <f>DATE(2005,12,2)</f>
        <v>38688</v>
      </c>
      <c r="C7660" s="2" t="s">
        <v>95</v>
      </c>
      <c r="D7660" s="2" t="s">
        <v>3861</v>
      </c>
      <c r="E7660" s="2" t="s">
        <v>1181</v>
      </c>
      <c r="F7660" s="4">
        <v>6021</v>
      </c>
      <c r="G7660" s="2" t="s">
        <v>37</v>
      </c>
      <c r="H7660" s="2" t="s">
        <v>34</v>
      </c>
      <c r="I7660" s="2" t="s">
        <v>7119</v>
      </c>
      <c r="J7660" s="2" t="s">
        <v>7120</v>
      </c>
      <c r="K7660" s="2" t="s">
        <v>37</v>
      </c>
      <c r="L7660" s="2" t="s">
        <v>34</v>
      </c>
      <c r="M7660" s="2"/>
      <c r="N7660" s="2"/>
      <c r="O7660" s="2"/>
      <c r="P7660" s="2" t="s">
        <v>23049</v>
      </c>
      <c r="Q7660" s="6">
        <v>100</v>
      </c>
      <c r="R7660" s="6">
        <v>34</v>
      </c>
      <c r="S7660" s="5">
        <v>5.2</v>
      </c>
      <c r="T7660" s="2"/>
      <c r="U7660" s="5">
        <v>19.600000000000001</v>
      </c>
      <c r="V7660" s="6">
        <v>7.0000000000000007E-2</v>
      </c>
      <c r="W7660" s="6">
        <v>25.23</v>
      </c>
      <c r="X7660" s="6">
        <v>25.36</v>
      </c>
      <c r="Y7660" s="6">
        <v>25.94</v>
      </c>
      <c r="Z7660" s="6">
        <v>33.950000000000003</v>
      </c>
      <c r="AA7660" s="6">
        <v>38.24</v>
      </c>
      <c r="AB7660" s="7">
        <v>42.488</v>
      </c>
      <c r="AC7660" s="2"/>
    </row>
    <row r="7661" spans="1:29" ht="117" x14ac:dyDescent="0.15">
      <c r="A7661" s="3">
        <f>DATE(2005,6,13)</f>
        <v>38516</v>
      </c>
      <c r="B7661" s="2"/>
      <c r="C7661" s="2" t="s">
        <v>30</v>
      </c>
      <c r="D7661" s="2" t="s">
        <v>21938</v>
      </c>
      <c r="E7661" s="2" t="s">
        <v>21939</v>
      </c>
      <c r="F7661" s="4">
        <v>7331</v>
      </c>
      <c r="G7661" s="2" t="s">
        <v>223</v>
      </c>
      <c r="H7661" s="2" t="s">
        <v>34</v>
      </c>
      <c r="I7661" s="2" t="s">
        <v>23050</v>
      </c>
      <c r="J7661" s="2" t="s">
        <v>302</v>
      </c>
      <c r="K7661" s="2" t="s">
        <v>53</v>
      </c>
      <c r="L7661" s="2" t="s">
        <v>34</v>
      </c>
      <c r="M7661" s="2"/>
      <c r="N7661" s="2"/>
      <c r="O7661" s="2"/>
      <c r="P7661" s="2" t="s">
        <v>23051</v>
      </c>
      <c r="Q7661" s="2"/>
      <c r="R7661" s="6">
        <v>11.75</v>
      </c>
      <c r="S7661" s="5">
        <v>22.5</v>
      </c>
      <c r="T7661" s="7">
        <v>82.843000000000004</v>
      </c>
      <c r="U7661" s="5">
        <v>3.3</v>
      </c>
      <c r="V7661" s="6">
        <v>0.41</v>
      </c>
      <c r="W7661" s="6">
        <v>12.03</v>
      </c>
      <c r="X7661" s="6">
        <v>9.3699999999999992</v>
      </c>
      <c r="Y7661" s="5">
        <v>9.4</v>
      </c>
      <c r="Z7661" s="6">
        <v>11.74</v>
      </c>
      <c r="AA7661" s="6">
        <v>53.69</v>
      </c>
      <c r="AB7661" s="7">
        <v>16.184000000000001</v>
      </c>
      <c r="AC7661" s="2"/>
    </row>
    <row r="7662" spans="1:29" ht="130" x14ac:dyDescent="0.15">
      <c r="A7662" s="3">
        <f>DATE(2005,6,14)</f>
        <v>38517</v>
      </c>
      <c r="B7662" s="3">
        <f>DATE(2006,2,10)</f>
        <v>38758</v>
      </c>
      <c r="C7662" s="2" t="s">
        <v>95</v>
      </c>
      <c r="D7662" s="2" t="s">
        <v>23052</v>
      </c>
      <c r="E7662" s="2" t="s">
        <v>2898</v>
      </c>
      <c r="F7662" s="4">
        <v>6021</v>
      </c>
      <c r="G7662" s="2" t="s">
        <v>37</v>
      </c>
      <c r="H7662" s="2" t="s">
        <v>34</v>
      </c>
      <c r="I7662" s="2" t="s">
        <v>3099</v>
      </c>
      <c r="J7662" s="2" t="s">
        <v>265</v>
      </c>
      <c r="K7662" s="2" t="s">
        <v>37</v>
      </c>
      <c r="L7662" s="2" t="s">
        <v>34</v>
      </c>
      <c r="M7662" s="7">
        <v>742.65800000000002</v>
      </c>
      <c r="N7662" s="6">
        <v>23.56</v>
      </c>
      <c r="O7662" s="6">
        <v>23.95</v>
      </c>
      <c r="P7662" s="2" t="s">
        <v>23053</v>
      </c>
      <c r="Q7662" s="6">
        <v>100</v>
      </c>
      <c r="R7662" s="6">
        <v>38.69</v>
      </c>
      <c r="S7662" s="2"/>
      <c r="T7662" s="2"/>
      <c r="U7662" s="2"/>
      <c r="V7662" s="2"/>
      <c r="W7662" s="4">
        <v>28</v>
      </c>
      <c r="X7662" s="6">
        <v>26.75</v>
      </c>
      <c r="Y7662" s="6">
        <v>37.25</v>
      </c>
      <c r="Z7662" s="6">
        <v>37.549999999999997</v>
      </c>
      <c r="AA7662" s="6">
        <v>2.2200000000000002</v>
      </c>
      <c r="AB7662" s="2" t="s">
        <v>47</v>
      </c>
      <c r="AC7662" s="2"/>
    </row>
    <row r="7663" spans="1:29" ht="208" x14ac:dyDescent="0.15">
      <c r="A7663" s="3">
        <f>DATE(2005,6,15)</f>
        <v>38518</v>
      </c>
      <c r="B7663" s="3">
        <f>DATE(2005,9,16)</f>
        <v>38611</v>
      </c>
      <c r="C7663" s="2" t="s">
        <v>95</v>
      </c>
      <c r="D7663" s="2" t="s">
        <v>23054</v>
      </c>
      <c r="E7663" s="2" t="s">
        <v>1046</v>
      </c>
      <c r="F7663" s="4">
        <v>3674</v>
      </c>
      <c r="G7663" s="2" t="s">
        <v>137</v>
      </c>
      <c r="H7663" s="2" t="s">
        <v>34</v>
      </c>
      <c r="I7663" s="2" t="s">
        <v>13163</v>
      </c>
      <c r="J7663" s="2" t="s">
        <v>10974</v>
      </c>
      <c r="K7663" s="2" t="s">
        <v>137</v>
      </c>
      <c r="L7663" s="2" t="s">
        <v>34</v>
      </c>
      <c r="M7663" s="12">
        <v>1281.9649999999999</v>
      </c>
      <c r="N7663" s="6">
        <v>12.53</v>
      </c>
      <c r="O7663" s="6">
        <v>11.51</v>
      </c>
      <c r="P7663" s="2" t="s">
        <v>23055</v>
      </c>
      <c r="Q7663" s="6">
        <v>100</v>
      </c>
      <c r="R7663" s="6">
        <v>23.42</v>
      </c>
      <c r="S7663" s="5">
        <v>61.2</v>
      </c>
      <c r="T7663" s="6">
        <v>72.010000000000005</v>
      </c>
      <c r="U7663" s="5">
        <v>5.2</v>
      </c>
      <c r="V7663" s="6">
        <v>0.85</v>
      </c>
      <c r="W7663" s="6">
        <v>20.14</v>
      </c>
      <c r="X7663" s="6">
        <v>19.28</v>
      </c>
      <c r="Y7663" s="6">
        <v>19.739999999999998</v>
      </c>
      <c r="Z7663" s="6">
        <v>21.77</v>
      </c>
      <c r="AA7663" s="6">
        <v>69.959999999999994</v>
      </c>
      <c r="AB7663" s="7">
        <v>26.058</v>
      </c>
      <c r="AC7663" s="6">
        <v>581.23</v>
      </c>
    </row>
    <row r="7664" spans="1:29" ht="65" x14ac:dyDescent="0.15">
      <c r="A7664" s="3">
        <f>DATE(2005,6,15)</f>
        <v>38518</v>
      </c>
      <c r="B7664" s="3">
        <f>DATE(2005,6,15)</f>
        <v>38518</v>
      </c>
      <c r="C7664" s="2" t="s">
        <v>95</v>
      </c>
      <c r="D7664" s="2" t="s">
        <v>23056</v>
      </c>
      <c r="E7664" s="2" t="s">
        <v>612</v>
      </c>
      <c r="F7664" s="4">
        <v>1311</v>
      </c>
      <c r="G7664" s="2" t="s">
        <v>148</v>
      </c>
      <c r="H7664" s="2" t="s">
        <v>34</v>
      </c>
      <c r="I7664" s="2" t="s">
        <v>23057</v>
      </c>
      <c r="J7664" s="2" t="s">
        <v>150</v>
      </c>
      <c r="K7664" s="2" t="s">
        <v>53</v>
      </c>
      <c r="L7664" s="2" t="s">
        <v>34</v>
      </c>
      <c r="M7664" s="2"/>
      <c r="N7664" s="2"/>
      <c r="O7664" s="2"/>
      <c r="P7664" s="2" t="s">
        <v>23058</v>
      </c>
      <c r="Q7664" s="6">
        <v>55.66</v>
      </c>
      <c r="R7664" s="2"/>
      <c r="S7664" s="5">
        <v>0.5</v>
      </c>
      <c r="T7664" s="7">
        <v>0.58599999999999997</v>
      </c>
      <c r="U7664" s="5">
        <v>0.7</v>
      </c>
      <c r="V7664" s="9">
        <v>0.1227</v>
      </c>
      <c r="W7664" s="6">
        <v>2.89</v>
      </c>
      <c r="X7664" s="5">
        <v>2.8</v>
      </c>
      <c r="Y7664" s="5">
        <v>3.3</v>
      </c>
      <c r="Z7664" s="6">
        <v>2.76</v>
      </c>
      <c r="AA7664" s="6">
        <v>2.4900000000000002</v>
      </c>
      <c r="AB7664" s="7">
        <v>13.803000000000001</v>
      </c>
      <c r="AC7664" s="2"/>
    </row>
    <row r="7665" spans="1:29" ht="65" x14ac:dyDescent="0.15">
      <c r="A7665" s="3">
        <f>DATE(2005,6,16)</f>
        <v>38519</v>
      </c>
      <c r="B7665" s="3">
        <f>DATE(2005,6,16)</f>
        <v>38519</v>
      </c>
      <c r="C7665" s="2" t="s">
        <v>95</v>
      </c>
      <c r="D7665" s="2" t="s">
        <v>23059</v>
      </c>
      <c r="E7665" s="2" t="s">
        <v>23060</v>
      </c>
      <c r="F7665" s="4">
        <v>3949</v>
      </c>
      <c r="G7665" s="2" t="s">
        <v>112</v>
      </c>
      <c r="H7665" s="2" t="s">
        <v>34</v>
      </c>
      <c r="I7665" s="2" t="s">
        <v>23061</v>
      </c>
      <c r="J7665" s="2" t="s">
        <v>13497</v>
      </c>
      <c r="K7665" s="2" t="s">
        <v>364</v>
      </c>
      <c r="L7665" s="2" t="s">
        <v>34</v>
      </c>
      <c r="M7665" s="2"/>
      <c r="N7665" s="2"/>
      <c r="O7665" s="2"/>
      <c r="P7665" s="2" t="s">
        <v>23062</v>
      </c>
      <c r="Q7665" s="6">
        <v>100</v>
      </c>
      <c r="R7665" s="2"/>
      <c r="S7665" s="2"/>
      <c r="T7665" s="2"/>
      <c r="U7665" s="2"/>
      <c r="V7665" s="2"/>
      <c r="W7665" s="4">
        <v>3</v>
      </c>
      <c r="X7665" s="4">
        <v>3</v>
      </c>
      <c r="Y7665" s="4">
        <v>3</v>
      </c>
      <c r="Z7665" s="4">
        <v>3</v>
      </c>
      <c r="AA7665" s="6">
        <v>0.02</v>
      </c>
      <c r="AB7665" s="2" t="s">
        <v>47</v>
      </c>
      <c r="AC7665" s="2"/>
    </row>
    <row r="7666" spans="1:29" ht="78" x14ac:dyDescent="0.15">
      <c r="A7666" s="3">
        <f>DATE(2005,6,16)</f>
        <v>38519</v>
      </c>
      <c r="B7666" s="3">
        <f>DATE(2005,9,14)</f>
        <v>38609</v>
      </c>
      <c r="C7666" s="2" t="s">
        <v>95</v>
      </c>
      <c r="D7666" s="2" t="s">
        <v>23063</v>
      </c>
      <c r="E7666" s="2" t="s">
        <v>540</v>
      </c>
      <c r="F7666" s="4">
        <v>2836</v>
      </c>
      <c r="G7666" s="2" t="s">
        <v>130</v>
      </c>
      <c r="H7666" s="2" t="s">
        <v>34</v>
      </c>
      <c r="I7666" s="2" t="s">
        <v>7393</v>
      </c>
      <c r="J7666" s="2" t="s">
        <v>5670</v>
      </c>
      <c r="K7666" s="2" t="s">
        <v>130</v>
      </c>
      <c r="L7666" s="2" t="s">
        <v>34</v>
      </c>
      <c r="M7666" s="10">
        <v>213543.08</v>
      </c>
      <c r="N7666" s="5">
        <v>28.6</v>
      </c>
      <c r="O7666" s="6">
        <v>28.78</v>
      </c>
      <c r="P7666" s="2" t="s">
        <v>23064</v>
      </c>
      <c r="Q7666" s="6">
        <v>100</v>
      </c>
      <c r="R7666" s="6">
        <v>29.1</v>
      </c>
      <c r="S7666" s="5">
        <v>-70.400000000000006</v>
      </c>
      <c r="T7666" s="7">
        <v>-68.766999999999996</v>
      </c>
      <c r="U7666" s="5">
        <v>3.5</v>
      </c>
      <c r="V7666" s="6">
        <v>-1.22</v>
      </c>
      <c r="W7666" s="6">
        <v>16.29</v>
      </c>
      <c r="X7666" s="5">
        <v>15.8</v>
      </c>
      <c r="Y7666" s="6">
        <v>28.21</v>
      </c>
      <c r="Z7666" s="6">
        <v>27.99</v>
      </c>
      <c r="AA7666" s="6">
        <v>60.86</v>
      </c>
      <c r="AB7666" s="2" t="s">
        <v>86</v>
      </c>
      <c r="AC7666" s="8">
        <v>21971</v>
      </c>
    </row>
    <row r="7667" spans="1:29" ht="78" x14ac:dyDescent="0.15">
      <c r="A7667" s="3">
        <f>DATE(2005,6,17)</f>
        <v>38520</v>
      </c>
      <c r="B7667" s="3">
        <f>DATE(2005,9,27)</f>
        <v>38622</v>
      </c>
      <c r="C7667" s="2" t="s">
        <v>95</v>
      </c>
      <c r="D7667" s="2" t="s">
        <v>23065</v>
      </c>
      <c r="E7667" s="2" t="s">
        <v>92</v>
      </c>
      <c r="F7667" s="4">
        <v>6798</v>
      </c>
      <c r="G7667" s="2" t="s">
        <v>53</v>
      </c>
      <c r="H7667" s="2" t="s">
        <v>34</v>
      </c>
      <c r="I7667" s="2" t="s">
        <v>23066</v>
      </c>
      <c r="J7667" s="2" t="s">
        <v>3941</v>
      </c>
      <c r="K7667" s="2" t="s">
        <v>53</v>
      </c>
      <c r="L7667" s="2" t="s">
        <v>34</v>
      </c>
      <c r="M7667" s="2"/>
      <c r="N7667" s="2"/>
      <c r="O7667" s="2"/>
      <c r="P7667" s="2" t="s">
        <v>23067</v>
      </c>
      <c r="Q7667" s="6">
        <v>100</v>
      </c>
      <c r="R7667" s="6">
        <v>27.8</v>
      </c>
      <c r="S7667" s="5">
        <v>14.7</v>
      </c>
      <c r="T7667" s="7">
        <v>59.326999999999998</v>
      </c>
      <c r="U7667" s="5">
        <v>16.100000000000001</v>
      </c>
      <c r="V7667" s="6">
        <v>0.28999999999999998</v>
      </c>
      <c r="W7667" s="6">
        <v>23.73</v>
      </c>
      <c r="X7667" s="6">
        <v>24.09</v>
      </c>
      <c r="Y7667" s="6">
        <v>27.94</v>
      </c>
      <c r="Z7667" s="6">
        <v>27.94</v>
      </c>
      <c r="AA7667" s="6">
        <v>31.82</v>
      </c>
      <c r="AB7667" s="7">
        <v>104.68300000000001</v>
      </c>
      <c r="AC7667" s="2"/>
    </row>
    <row r="7668" spans="1:29" ht="260" x14ac:dyDescent="0.15">
      <c r="A7668" s="3">
        <f>DATE(2005,6,20)</f>
        <v>38523</v>
      </c>
      <c r="B7668" s="2"/>
      <c r="C7668" s="2" t="s">
        <v>30</v>
      </c>
      <c r="D7668" s="2" t="s">
        <v>12750</v>
      </c>
      <c r="E7668" s="2" t="s">
        <v>4285</v>
      </c>
      <c r="F7668" s="4">
        <v>4841</v>
      </c>
      <c r="G7668" s="2" t="s">
        <v>45</v>
      </c>
      <c r="H7668" s="2" t="s">
        <v>34</v>
      </c>
      <c r="I7668" s="2" t="s">
        <v>51</v>
      </c>
      <c r="J7668" s="2" t="s">
        <v>52</v>
      </c>
      <c r="K7668" s="2" t="s">
        <v>53</v>
      </c>
      <c r="L7668" s="2" t="s">
        <v>34</v>
      </c>
      <c r="M7668" s="2"/>
      <c r="N7668" s="2"/>
      <c r="O7668" s="2"/>
      <c r="P7668" s="2" t="s">
        <v>23068</v>
      </c>
      <c r="Q7668" s="2"/>
      <c r="R7668" s="6">
        <v>33.5</v>
      </c>
      <c r="S7668" s="5">
        <v>-675</v>
      </c>
      <c r="T7668" s="10">
        <v>1377.45</v>
      </c>
      <c r="U7668" s="5">
        <v>-9.5</v>
      </c>
      <c r="V7668" s="6">
        <v>-2.23</v>
      </c>
      <c r="W7668" s="6">
        <v>26.91</v>
      </c>
      <c r="X7668" s="6">
        <v>26.87</v>
      </c>
      <c r="Y7668" s="4">
        <v>32</v>
      </c>
      <c r="Z7668" s="6">
        <v>32.29</v>
      </c>
      <c r="AA7668" s="6">
        <v>287.99</v>
      </c>
      <c r="AB7668" s="7">
        <v>153.93</v>
      </c>
      <c r="AC7668" s="2"/>
    </row>
    <row r="7669" spans="1:29" ht="208" x14ac:dyDescent="0.15">
      <c r="A7669" s="3">
        <f>DATE(2005,6,20)</f>
        <v>38523</v>
      </c>
      <c r="B7669" s="2"/>
      <c r="C7669" s="2" t="s">
        <v>30</v>
      </c>
      <c r="D7669" s="2" t="s">
        <v>17486</v>
      </c>
      <c r="E7669" s="2" t="s">
        <v>17487</v>
      </c>
      <c r="F7669" s="4">
        <v>3633</v>
      </c>
      <c r="G7669" s="2" t="s">
        <v>137</v>
      </c>
      <c r="H7669" s="2" t="s">
        <v>34</v>
      </c>
      <c r="I7669" s="2" t="s">
        <v>51</v>
      </c>
      <c r="J7669" s="2" t="s">
        <v>52</v>
      </c>
      <c r="K7669" s="2" t="s">
        <v>53</v>
      </c>
      <c r="L7669" s="2" t="s">
        <v>34</v>
      </c>
      <c r="M7669" s="2"/>
      <c r="N7669" s="2"/>
      <c r="O7669" s="2"/>
      <c r="P7669" s="2" t="s">
        <v>23069</v>
      </c>
      <c r="Q7669" s="2"/>
      <c r="R7669" s="6">
        <v>16</v>
      </c>
      <c r="S7669" s="5">
        <v>-40.299999999999997</v>
      </c>
      <c r="T7669" s="7">
        <v>271.04899999999998</v>
      </c>
      <c r="U7669" s="5">
        <v>1</v>
      </c>
      <c r="V7669" s="6">
        <v>-0.51</v>
      </c>
      <c r="W7669" s="6">
        <v>10.48</v>
      </c>
      <c r="X7669" s="6">
        <v>11.47</v>
      </c>
      <c r="Y7669" s="6">
        <v>11.56</v>
      </c>
      <c r="Z7669" s="5">
        <v>14.4</v>
      </c>
      <c r="AA7669" s="6">
        <v>79.7</v>
      </c>
      <c r="AB7669" s="7">
        <v>21.271000000000001</v>
      </c>
      <c r="AC7669" s="2"/>
    </row>
    <row r="7670" spans="1:29" ht="104" x14ac:dyDescent="0.15">
      <c r="A7670" s="3">
        <f>DATE(2005,6,21)</f>
        <v>38524</v>
      </c>
      <c r="B7670" s="3">
        <f>DATE(2005,9,30)</f>
        <v>38625</v>
      </c>
      <c r="C7670" s="2" t="s">
        <v>95</v>
      </c>
      <c r="D7670" s="2" t="s">
        <v>23070</v>
      </c>
      <c r="E7670" s="2" t="s">
        <v>11644</v>
      </c>
      <c r="F7670" s="4">
        <v>7373</v>
      </c>
      <c r="G7670" s="2" t="s">
        <v>223</v>
      </c>
      <c r="H7670" s="2" t="s">
        <v>34</v>
      </c>
      <c r="I7670" s="2" t="s">
        <v>278</v>
      </c>
      <c r="J7670" s="2" t="s">
        <v>52</v>
      </c>
      <c r="K7670" s="2" t="s">
        <v>53</v>
      </c>
      <c r="L7670" s="2" t="s">
        <v>34</v>
      </c>
      <c r="M7670" s="2"/>
      <c r="N7670" s="2"/>
      <c r="O7670" s="2"/>
      <c r="P7670" s="2" t="s">
        <v>23071</v>
      </c>
      <c r="Q7670" s="6">
        <v>58</v>
      </c>
      <c r="R7670" s="2"/>
      <c r="S7670" s="5">
        <v>-2.7</v>
      </c>
      <c r="T7670" s="7">
        <v>-1.6279999999999999</v>
      </c>
      <c r="U7670" s="5">
        <v>0.3</v>
      </c>
      <c r="V7670" s="6">
        <v>-0.3</v>
      </c>
      <c r="W7670" s="5">
        <v>1.9</v>
      </c>
      <c r="X7670" s="5">
        <v>2.2000000000000002</v>
      </c>
      <c r="Y7670" s="5">
        <v>1.9</v>
      </c>
      <c r="Z7670" s="5">
        <v>1.9</v>
      </c>
      <c r="AA7670" s="6">
        <v>9</v>
      </c>
      <c r="AB7670" s="2" t="s">
        <v>86</v>
      </c>
      <c r="AC7670" s="2"/>
    </row>
    <row r="7671" spans="1:29" ht="78" x14ac:dyDescent="0.15">
      <c r="A7671" s="3">
        <f>DATE(2005,6,22)</f>
        <v>38525</v>
      </c>
      <c r="B7671" s="2"/>
      <c r="C7671" s="2" t="s">
        <v>7330</v>
      </c>
      <c r="D7671" s="2" t="s">
        <v>23072</v>
      </c>
      <c r="E7671" s="2" t="s">
        <v>612</v>
      </c>
      <c r="F7671" s="4">
        <v>1311</v>
      </c>
      <c r="G7671" s="2" t="s">
        <v>148</v>
      </c>
      <c r="H7671" s="2" t="s">
        <v>34</v>
      </c>
      <c r="I7671" s="2" t="s">
        <v>23073</v>
      </c>
      <c r="J7671" s="2" t="s">
        <v>612</v>
      </c>
      <c r="K7671" s="2" t="s">
        <v>148</v>
      </c>
      <c r="L7671" s="2" t="s">
        <v>34</v>
      </c>
      <c r="M7671" s="2"/>
      <c r="N7671" s="2"/>
      <c r="O7671" s="2"/>
      <c r="P7671" s="2" t="s">
        <v>23074</v>
      </c>
      <c r="Q7671" s="2"/>
      <c r="R7671" s="2"/>
      <c r="S7671" s="5">
        <v>12</v>
      </c>
      <c r="T7671" s="2"/>
      <c r="U7671" s="5">
        <v>5.3</v>
      </c>
      <c r="V7671" s="9">
        <v>2.0373000000000001</v>
      </c>
      <c r="W7671" s="6">
        <v>27.24</v>
      </c>
      <c r="X7671" s="4">
        <v>28</v>
      </c>
      <c r="Y7671" s="6">
        <v>27.36</v>
      </c>
      <c r="Z7671" s="6">
        <v>27.37</v>
      </c>
      <c r="AA7671" s="6">
        <v>5.9</v>
      </c>
      <c r="AB7671" s="7">
        <v>0.47899999999999998</v>
      </c>
      <c r="AC7671" s="2"/>
    </row>
    <row r="7672" spans="1:29" ht="143" x14ac:dyDescent="0.15">
      <c r="A7672" s="3">
        <f>DATE(2005,6,22)</f>
        <v>38525</v>
      </c>
      <c r="B7672" s="2"/>
      <c r="C7672" s="2" t="s">
        <v>30</v>
      </c>
      <c r="D7672" s="2" t="s">
        <v>15935</v>
      </c>
      <c r="E7672" s="2" t="s">
        <v>1435</v>
      </c>
      <c r="F7672" s="4">
        <v>1311</v>
      </c>
      <c r="G7672" s="2" t="s">
        <v>148</v>
      </c>
      <c r="H7672" s="2" t="s">
        <v>34</v>
      </c>
      <c r="I7672" s="2" t="s">
        <v>23075</v>
      </c>
      <c r="J7672" s="2" t="s">
        <v>1608</v>
      </c>
      <c r="K7672" s="2" t="s">
        <v>148</v>
      </c>
      <c r="L7672" s="2" t="s">
        <v>455</v>
      </c>
      <c r="M7672" s="2"/>
      <c r="N7672" s="2"/>
      <c r="O7672" s="2"/>
      <c r="P7672" s="2" t="s">
        <v>23076</v>
      </c>
      <c r="Q7672" s="2"/>
      <c r="R7672" s="6">
        <v>67</v>
      </c>
      <c r="S7672" s="8">
        <v>1325</v>
      </c>
      <c r="T7672" s="8">
        <v>2757</v>
      </c>
      <c r="U7672" s="5">
        <v>21.6</v>
      </c>
      <c r="V7672" s="6">
        <v>4.84</v>
      </c>
      <c r="W7672" s="6">
        <v>43.24</v>
      </c>
      <c r="X7672" s="6">
        <v>44.34</v>
      </c>
      <c r="Y7672" s="6">
        <v>45.46</v>
      </c>
      <c r="Z7672" s="6">
        <v>45.74</v>
      </c>
      <c r="AA7672" s="6">
        <v>271.77999999999997</v>
      </c>
      <c r="AB7672" s="7">
        <v>11.37</v>
      </c>
      <c r="AC7672" s="2"/>
    </row>
    <row r="7673" spans="1:29" ht="65" x14ac:dyDescent="0.15">
      <c r="A7673" s="3">
        <f>DATE(2005,6,23)</f>
        <v>38526</v>
      </c>
      <c r="B7673" s="2"/>
      <c r="C7673" s="2" t="s">
        <v>87</v>
      </c>
      <c r="D7673" s="2" t="s">
        <v>23077</v>
      </c>
      <c r="E7673" s="2" t="s">
        <v>23078</v>
      </c>
      <c r="F7673" s="4">
        <v>3949</v>
      </c>
      <c r="G7673" s="2" t="s">
        <v>112</v>
      </c>
      <c r="H7673" s="2" t="s">
        <v>34</v>
      </c>
      <c r="I7673" s="2" t="s">
        <v>23079</v>
      </c>
      <c r="J7673" s="2" t="s">
        <v>244</v>
      </c>
      <c r="K7673" s="2" t="s">
        <v>53</v>
      </c>
      <c r="L7673" s="2" t="s">
        <v>34</v>
      </c>
      <c r="M7673" s="2"/>
      <c r="N7673" s="2"/>
      <c r="O7673" s="2"/>
      <c r="P7673" s="2" t="s">
        <v>23080</v>
      </c>
      <c r="Q7673" s="2"/>
      <c r="R7673" s="2"/>
      <c r="S7673" s="5">
        <v>-32.299999999999997</v>
      </c>
      <c r="T7673" s="7">
        <v>-12.772</v>
      </c>
      <c r="U7673" s="5">
        <v>8.6999999999999993</v>
      </c>
      <c r="V7673" s="6">
        <v>-0.49</v>
      </c>
      <c r="W7673" s="6">
        <v>13.48</v>
      </c>
      <c r="X7673" s="6">
        <v>13.58</v>
      </c>
      <c r="Y7673" s="6">
        <v>15.55</v>
      </c>
      <c r="Z7673" s="6">
        <v>15.02</v>
      </c>
      <c r="AA7673" s="6">
        <v>76.290000000000006</v>
      </c>
      <c r="AB7673" s="2" t="s">
        <v>86</v>
      </c>
      <c r="AC7673" s="2"/>
    </row>
    <row r="7674" spans="1:29" ht="156" x14ac:dyDescent="0.15">
      <c r="A7674" s="3">
        <f>DATE(2005,6,23)</f>
        <v>38526</v>
      </c>
      <c r="B7674" s="3">
        <f>DATE(2005,9,30)</f>
        <v>38625</v>
      </c>
      <c r="C7674" s="2" t="s">
        <v>95</v>
      </c>
      <c r="D7674" s="2" t="s">
        <v>23081</v>
      </c>
      <c r="E7674" s="2" t="s">
        <v>6378</v>
      </c>
      <c r="F7674" s="4">
        <v>2836</v>
      </c>
      <c r="G7674" s="2" t="s">
        <v>130</v>
      </c>
      <c r="H7674" s="2" t="s">
        <v>34</v>
      </c>
      <c r="I7674" s="2" t="s">
        <v>20789</v>
      </c>
      <c r="J7674" s="2" t="s">
        <v>20790</v>
      </c>
      <c r="K7674" s="2" t="s">
        <v>130</v>
      </c>
      <c r="L7674" s="2" t="s">
        <v>34</v>
      </c>
      <c r="M7674" s="7">
        <v>648.84199999999998</v>
      </c>
      <c r="N7674" s="6">
        <v>18.440000000000001</v>
      </c>
      <c r="O7674" s="6">
        <v>17.45</v>
      </c>
      <c r="P7674" s="2" t="s">
        <v>23082</v>
      </c>
      <c r="Q7674" s="6">
        <v>100</v>
      </c>
      <c r="R7674" s="6">
        <v>3.63</v>
      </c>
      <c r="S7674" s="5">
        <v>3.5</v>
      </c>
      <c r="T7674" s="7">
        <v>3.125</v>
      </c>
      <c r="U7674" s="5">
        <v>0.3</v>
      </c>
      <c r="V7674" s="6">
        <v>0.06</v>
      </c>
      <c r="W7674" s="6">
        <v>2.17</v>
      </c>
      <c r="X7674" s="5">
        <v>2.1</v>
      </c>
      <c r="Y7674" s="6">
        <v>2.17</v>
      </c>
      <c r="Z7674" s="6">
        <v>3.11</v>
      </c>
      <c r="AA7674" s="6">
        <v>49.11</v>
      </c>
      <c r="AB7674" s="7">
        <v>60.878</v>
      </c>
      <c r="AC7674" s="6">
        <v>34.619999999999997</v>
      </c>
    </row>
    <row r="7675" spans="1:29" ht="65" x14ac:dyDescent="0.15">
      <c r="A7675" s="3">
        <f>DATE(2005,6,27)</f>
        <v>38530</v>
      </c>
      <c r="B7675" s="3">
        <f>DATE(2005,8,25)</f>
        <v>38589</v>
      </c>
      <c r="C7675" s="2" t="s">
        <v>95</v>
      </c>
      <c r="D7675" s="2" t="s">
        <v>23083</v>
      </c>
      <c r="E7675" s="2" t="s">
        <v>23084</v>
      </c>
      <c r="F7675" s="4">
        <v>7373</v>
      </c>
      <c r="G7675" s="2" t="s">
        <v>223</v>
      </c>
      <c r="H7675" s="2" t="s">
        <v>34</v>
      </c>
      <c r="I7675" s="2" t="s">
        <v>7432</v>
      </c>
      <c r="J7675" s="2" t="s">
        <v>7433</v>
      </c>
      <c r="K7675" s="2" t="s">
        <v>50</v>
      </c>
      <c r="L7675" s="2" t="s">
        <v>34</v>
      </c>
      <c r="M7675" s="12">
        <v>24731.917000000001</v>
      </c>
      <c r="N7675" s="6">
        <v>3.69</v>
      </c>
      <c r="O7675" s="6">
        <v>3.74</v>
      </c>
      <c r="P7675" s="2" t="s">
        <v>23085</v>
      </c>
      <c r="Q7675" s="6">
        <v>100</v>
      </c>
      <c r="R7675" s="6">
        <v>4.25</v>
      </c>
      <c r="S7675" s="5">
        <v>0.3</v>
      </c>
      <c r="T7675" s="6">
        <v>4.6900000000000004</v>
      </c>
      <c r="U7675" s="5">
        <v>0.8</v>
      </c>
      <c r="V7675" s="2"/>
      <c r="W7675" s="6">
        <v>3.18</v>
      </c>
      <c r="X7675" s="6">
        <v>3.17</v>
      </c>
      <c r="Y7675" s="6">
        <v>3.28</v>
      </c>
      <c r="Z7675" s="6">
        <v>4.29</v>
      </c>
      <c r="AA7675" s="6">
        <v>85.79</v>
      </c>
      <c r="AB7675" s="2" t="s">
        <v>86</v>
      </c>
      <c r="AC7675" s="8">
        <v>3135</v>
      </c>
    </row>
    <row r="7676" spans="1:29" ht="130" x14ac:dyDescent="0.15">
      <c r="A7676" s="3">
        <f>DATE(2005,6,28)</f>
        <v>38531</v>
      </c>
      <c r="B7676" s="3">
        <f>DATE(2006,3,13)</f>
        <v>38789</v>
      </c>
      <c r="C7676" s="2" t="s">
        <v>95</v>
      </c>
      <c r="D7676" s="2" t="s">
        <v>16322</v>
      </c>
      <c r="E7676" s="2" t="s">
        <v>16323</v>
      </c>
      <c r="F7676" s="4">
        <v>4813</v>
      </c>
      <c r="G7676" s="2" t="s">
        <v>63</v>
      </c>
      <c r="H7676" s="2" t="s">
        <v>34</v>
      </c>
      <c r="I7676" s="2" t="s">
        <v>11860</v>
      </c>
      <c r="J7676" s="2" t="s">
        <v>973</v>
      </c>
      <c r="K7676" s="2" t="s">
        <v>63</v>
      </c>
      <c r="L7676" s="2" t="s">
        <v>34</v>
      </c>
      <c r="M7676" s="7">
        <v>250.83199999999999</v>
      </c>
      <c r="N7676" s="6">
        <v>13.09</v>
      </c>
      <c r="O7676" s="6">
        <v>13.13</v>
      </c>
      <c r="P7676" s="2" t="s">
        <v>23086</v>
      </c>
      <c r="Q7676" s="6">
        <v>59</v>
      </c>
      <c r="R7676" s="6">
        <v>2.0499999999999998</v>
      </c>
      <c r="S7676" s="5">
        <v>-38.299999999999997</v>
      </c>
      <c r="T7676" s="7">
        <v>-26.917000000000002</v>
      </c>
      <c r="U7676" s="5">
        <v>1.2</v>
      </c>
      <c r="V7676" s="6">
        <v>-0.5</v>
      </c>
      <c r="W7676" s="6">
        <v>1.53</v>
      </c>
      <c r="X7676" s="6">
        <v>1.41</v>
      </c>
      <c r="Y7676" s="6">
        <v>1.41</v>
      </c>
      <c r="Z7676" s="6">
        <v>1.77</v>
      </c>
      <c r="AA7676" s="6">
        <v>77.52</v>
      </c>
      <c r="AB7676" s="2" t="s">
        <v>86</v>
      </c>
      <c r="AC7676" s="6">
        <v>863.41</v>
      </c>
    </row>
    <row r="7677" spans="1:29" ht="104" x14ac:dyDescent="0.15">
      <c r="A7677" s="3">
        <f>DATE(2005,6,29)</f>
        <v>38532</v>
      </c>
      <c r="B7677" s="3">
        <f>DATE(2006,1,3)</f>
        <v>38720</v>
      </c>
      <c r="C7677" s="2" t="s">
        <v>95</v>
      </c>
      <c r="D7677" s="2" t="s">
        <v>23087</v>
      </c>
      <c r="E7677" s="2" t="s">
        <v>1181</v>
      </c>
      <c r="F7677" s="4">
        <v>6021</v>
      </c>
      <c r="G7677" s="2" t="s">
        <v>37</v>
      </c>
      <c r="H7677" s="2" t="s">
        <v>34</v>
      </c>
      <c r="I7677" s="2" t="s">
        <v>19390</v>
      </c>
      <c r="J7677" s="2" t="s">
        <v>265</v>
      </c>
      <c r="K7677" s="2" t="s">
        <v>37</v>
      </c>
      <c r="L7677" s="2" t="s">
        <v>34</v>
      </c>
      <c r="M7677" s="6">
        <v>103.72</v>
      </c>
      <c r="N7677" s="6">
        <v>15.16</v>
      </c>
      <c r="O7677" s="6">
        <v>15.01</v>
      </c>
      <c r="P7677" s="2" t="s">
        <v>23088</v>
      </c>
      <c r="Q7677" s="6">
        <v>100</v>
      </c>
      <c r="R7677" s="6">
        <v>37.15</v>
      </c>
      <c r="S7677" s="5">
        <v>3.7</v>
      </c>
      <c r="T7677" s="2"/>
      <c r="U7677" s="5">
        <v>22.3</v>
      </c>
      <c r="V7677" s="6">
        <v>1.23</v>
      </c>
      <c r="W7677" s="6">
        <v>35.549999999999997</v>
      </c>
      <c r="X7677" s="6">
        <v>34.85</v>
      </c>
      <c r="Y7677" s="6">
        <v>34.85</v>
      </c>
      <c r="Z7677" s="6">
        <v>36.049999999999997</v>
      </c>
      <c r="AA7677" s="6">
        <v>2.9</v>
      </c>
      <c r="AB7677" s="7">
        <v>23.242000000000001</v>
      </c>
      <c r="AC7677" s="2"/>
    </row>
    <row r="7678" spans="1:29" ht="169" x14ac:dyDescent="0.15">
      <c r="A7678" s="3">
        <f>DATE(2005,6,29)</f>
        <v>38532</v>
      </c>
      <c r="B7678" s="3">
        <f>DATE(2005,8,25)</f>
        <v>38589</v>
      </c>
      <c r="C7678" s="2" t="s">
        <v>95</v>
      </c>
      <c r="D7678" s="2" t="s">
        <v>22938</v>
      </c>
      <c r="E7678" s="2" t="s">
        <v>22939</v>
      </c>
      <c r="F7678" s="4">
        <v>3646</v>
      </c>
      <c r="G7678" s="2" t="s">
        <v>137</v>
      </c>
      <c r="H7678" s="2" t="s">
        <v>34</v>
      </c>
      <c r="I7678" s="2" t="s">
        <v>1347</v>
      </c>
      <c r="J7678" s="2" t="s">
        <v>23089</v>
      </c>
      <c r="K7678" s="2" t="s">
        <v>137</v>
      </c>
      <c r="L7678" s="2" t="s">
        <v>34</v>
      </c>
      <c r="M7678" s="2"/>
      <c r="N7678" s="2"/>
      <c r="O7678" s="2"/>
      <c r="P7678" s="2" t="s">
        <v>23090</v>
      </c>
      <c r="Q7678" s="6">
        <v>100</v>
      </c>
      <c r="R7678" s="6">
        <v>44</v>
      </c>
      <c r="S7678" s="5">
        <v>19.5</v>
      </c>
      <c r="T7678" s="2"/>
      <c r="U7678" s="5">
        <v>-74</v>
      </c>
      <c r="V7678" s="6">
        <v>1.46</v>
      </c>
      <c r="W7678" s="4">
        <v>36</v>
      </c>
      <c r="X7678" s="5">
        <v>33.5</v>
      </c>
      <c r="Y7678" s="5">
        <v>33.5</v>
      </c>
      <c r="Z7678" s="5">
        <v>33.9</v>
      </c>
      <c r="AA7678" s="6">
        <v>2.84</v>
      </c>
      <c r="AB7678" s="7">
        <v>13.567</v>
      </c>
      <c r="AC7678" s="2"/>
    </row>
    <row r="7679" spans="1:29" ht="130" x14ac:dyDescent="0.15">
      <c r="A7679" s="3">
        <f>DATE(2005,6,30)</f>
        <v>38533</v>
      </c>
      <c r="B7679" s="3">
        <f>DATE(2006,2,1)</f>
        <v>38749</v>
      </c>
      <c r="C7679" s="2" t="s">
        <v>95</v>
      </c>
      <c r="D7679" s="2" t="s">
        <v>23091</v>
      </c>
      <c r="E7679" s="2" t="s">
        <v>1181</v>
      </c>
      <c r="F7679" s="4">
        <v>6021</v>
      </c>
      <c r="G7679" s="2" t="s">
        <v>37</v>
      </c>
      <c r="H7679" s="2" t="s">
        <v>34</v>
      </c>
      <c r="I7679" s="2" t="s">
        <v>7189</v>
      </c>
      <c r="J7679" s="2" t="s">
        <v>7190</v>
      </c>
      <c r="K7679" s="2" t="s">
        <v>37</v>
      </c>
      <c r="L7679" s="2" t="s">
        <v>34</v>
      </c>
      <c r="M7679" s="12">
        <v>1388.6859999999999</v>
      </c>
      <c r="N7679" s="6">
        <v>42.63</v>
      </c>
      <c r="O7679" s="6">
        <v>43.15</v>
      </c>
      <c r="P7679" s="2" t="s">
        <v>23092</v>
      </c>
      <c r="Q7679" s="6">
        <v>100</v>
      </c>
      <c r="R7679" s="6">
        <v>35.159999999999997</v>
      </c>
      <c r="S7679" s="5">
        <v>6.8</v>
      </c>
      <c r="T7679" s="7">
        <v>10.372</v>
      </c>
      <c r="U7679" s="5">
        <v>18</v>
      </c>
      <c r="V7679" s="6">
        <v>1.51</v>
      </c>
      <c r="W7679" s="5">
        <v>29.4</v>
      </c>
      <c r="X7679" s="5">
        <v>29.7</v>
      </c>
      <c r="Y7679" s="6">
        <v>33.99</v>
      </c>
      <c r="Z7679" s="6">
        <v>34.15</v>
      </c>
      <c r="AA7679" s="6">
        <v>4.79</v>
      </c>
      <c r="AB7679" s="7">
        <v>44.137999999999998</v>
      </c>
      <c r="AC7679" s="2"/>
    </row>
    <row r="7680" spans="1:29" ht="117" x14ac:dyDescent="0.15">
      <c r="A7680" s="3">
        <f>DATE(2005,6,30)</f>
        <v>38533</v>
      </c>
      <c r="B7680" s="3">
        <f>DATE(2006,1,3)</f>
        <v>38720</v>
      </c>
      <c r="C7680" s="2" t="s">
        <v>95</v>
      </c>
      <c r="D7680" s="2" t="s">
        <v>23093</v>
      </c>
      <c r="E7680" s="2" t="s">
        <v>265</v>
      </c>
      <c r="F7680" s="4">
        <v>6021</v>
      </c>
      <c r="G7680" s="2" t="s">
        <v>37</v>
      </c>
      <c r="H7680" s="2" t="s">
        <v>34</v>
      </c>
      <c r="I7680" s="2" t="s">
        <v>21344</v>
      </c>
      <c r="J7680" s="2" t="s">
        <v>21345</v>
      </c>
      <c r="K7680" s="2" t="s">
        <v>37</v>
      </c>
      <c r="L7680" s="2" t="s">
        <v>34</v>
      </c>
      <c r="M7680" s="12">
        <v>185716.12100000001</v>
      </c>
      <c r="N7680" s="6">
        <v>45.61</v>
      </c>
      <c r="O7680" s="6">
        <v>44.98</v>
      </c>
      <c r="P7680" s="2" t="s">
        <v>23094</v>
      </c>
      <c r="Q7680" s="6">
        <v>100</v>
      </c>
      <c r="R7680" s="6">
        <v>27.62</v>
      </c>
      <c r="S7680" s="8">
        <v>2161.1</v>
      </c>
      <c r="T7680" s="2"/>
      <c r="U7680" s="5">
        <v>10.199999999999999</v>
      </c>
      <c r="V7680" s="6">
        <v>1.66</v>
      </c>
      <c r="W7680" s="6">
        <v>21.25</v>
      </c>
      <c r="X7680" s="6">
        <v>21.07</v>
      </c>
      <c r="Y7680" s="6">
        <v>26.16</v>
      </c>
      <c r="Z7680" s="6">
        <v>25.77</v>
      </c>
      <c r="AA7680" s="10">
        <v>1267.6600000000001</v>
      </c>
      <c r="AB7680" s="7">
        <v>12.225</v>
      </c>
      <c r="AC7680" s="2"/>
    </row>
    <row r="7681" spans="1:29" ht="130" x14ac:dyDescent="0.15">
      <c r="A7681" s="3">
        <f>DATE(2005,6,30)</f>
        <v>38533</v>
      </c>
      <c r="B7681" s="2"/>
      <c r="C7681" s="2" t="s">
        <v>30</v>
      </c>
      <c r="D7681" s="2" t="s">
        <v>23095</v>
      </c>
      <c r="E7681" s="2" t="s">
        <v>23096</v>
      </c>
      <c r="F7681" s="4">
        <v>4931</v>
      </c>
      <c r="G7681" s="2" t="s">
        <v>439</v>
      </c>
      <c r="H7681" s="2" t="s">
        <v>34</v>
      </c>
      <c r="I7681" s="2" t="s">
        <v>23097</v>
      </c>
      <c r="J7681" s="2" t="s">
        <v>23098</v>
      </c>
      <c r="K7681" s="2" t="s">
        <v>439</v>
      </c>
      <c r="L7681" s="2" t="s">
        <v>34</v>
      </c>
      <c r="M7681" s="2"/>
      <c r="N7681" s="2"/>
      <c r="O7681" s="2"/>
      <c r="P7681" s="2" t="s">
        <v>23099</v>
      </c>
      <c r="Q7681" s="2"/>
      <c r="R7681" s="6">
        <v>32.5</v>
      </c>
      <c r="S7681" s="5">
        <v>559.6</v>
      </c>
      <c r="T7681" s="7">
        <v>210.46600000000001</v>
      </c>
      <c r="U7681" s="5">
        <v>19.8</v>
      </c>
      <c r="V7681" s="6">
        <v>0.57999999999999996</v>
      </c>
      <c r="W7681" s="5">
        <v>28.6</v>
      </c>
      <c r="X7681" s="6">
        <v>28.86</v>
      </c>
      <c r="Y7681" s="6">
        <v>31.52</v>
      </c>
      <c r="Z7681" s="6">
        <v>31.87</v>
      </c>
      <c r="AA7681" s="6">
        <v>35.61</v>
      </c>
      <c r="AB7681" s="7">
        <v>13.96</v>
      </c>
      <c r="AC7681" s="2"/>
    </row>
    <row r="7682" spans="1:29" ht="130" x14ac:dyDescent="0.15">
      <c r="A7682" s="3">
        <f>DATE(2005,7,1)</f>
        <v>38534</v>
      </c>
      <c r="B7682" s="3">
        <f>DATE(2005,10,28)</f>
        <v>38653</v>
      </c>
      <c r="C7682" s="2" t="s">
        <v>95</v>
      </c>
      <c r="D7682" s="2" t="s">
        <v>23100</v>
      </c>
      <c r="E7682" s="2" t="s">
        <v>612</v>
      </c>
      <c r="F7682" s="4">
        <v>1311</v>
      </c>
      <c r="G7682" s="2" t="s">
        <v>148</v>
      </c>
      <c r="H7682" s="2" t="s">
        <v>34</v>
      </c>
      <c r="I7682" s="2" t="s">
        <v>19817</v>
      </c>
      <c r="J7682" s="2" t="s">
        <v>19818</v>
      </c>
      <c r="K7682" s="2" t="s">
        <v>148</v>
      </c>
      <c r="L7682" s="2" t="s">
        <v>885</v>
      </c>
      <c r="M7682" s="12">
        <v>4657.857</v>
      </c>
      <c r="N7682" s="7">
        <v>8.298</v>
      </c>
      <c r="O7682" s="7">
        <v>8.6080000000000005</v>
      </c>
      <c r="P7682" s="2" t="s">
        <v>23101</v>
      </c>
      <c r="Q7682" s="6">
        <v>45.5</v>
      </c>
      <c r="R7682" s="6">
        <v>7.43</v>
      </c>
      <c r="S7682" s="5">
        <v>-14.9</v>
      </c>
      <c r="T7682" s="7">
        <v>-4.0490000000000004</v>
      </c>
      <c r="U7682" s="5">
        <v>0.7</v>
      </c>
      <c r="V7682" s="6">
        <v>-0.36</v>
      </c>
      <c r="W7682" s="5">
        <v>6.4</v>
      </c>
      <c r="X7682" s="6">
        <v>6.25</v>
      </c>
      <c r="Y7682" s="6">
        <v>7.31</v>
      </c>
      <c r="Z7682" s="6">
        <v>7.31</v>
      </c>
      <c r="AA7682" s="6">
        <v>41.37</v>
      </c>
      <c r="AB7682" s="2" t="s">
        <v>86</v>
      </c>
      <c r="AC7682" s="6">
        <v>99.69</v>
      </c>
    </row>
    <row r="7683" spans="1:29" ht="169" x14ac:dyDescent="0.15">
      <c r="A7683" s="3">
        <f>DATE(2005,7,1)</f>
        <v>38534</v>
      </c>
      <c r="B7683" s="3">
        <f>DATE(2005,7,14)</f>
        <v>38547</v>
      </c>
      <c r="C7683" s="2" t="s">
        <v>95</v>
      </c>
      <c r="D7683" s="2" t="s">
        <v>23100</v>
      </c>
      <c r="E7683" s="2" t="s">
        <v>612</v>
      </c>
      <c r="F7683" s="4">
        <v>1311</v>
      </c>
      <c r="G7683" s="2" t="s">
        <v>148</v>
      </c>
      <c r="H7683" s="2" t="s">
        <v>34</v>
      </c>
      <c r="I7683" s="2" t="s">
        <v>19817</v>
      </c>
      <c r="J7683" s="2" t="s">
        <v>19818</v>
      </c>
      <c r="K7683" s="2" t="s">
        <v>148</v>
      </c>
      <c r="L7683" s="2" t="s">
        <v>885</v>
      </c>
      <c r="M7683" s="12">
        <v>4657.857</v>
      </c>
      <c r="N7683" s="7">
        <v>8.298</v>
      </c>
      <c r="O7683" s="7">
        <v>8.6080000000000005</v>
      </c>
      <c r="P7683" s="2" t="s">
        <v>23102</v>
      </c>
      <c r="Q7683" s="6">
        <v>55.47</v>
      </c>
      <c r="R7683" s="6">
        <v>7.39</v>
      </c>
      <c r="S7683" s="5">
        <v>-14.9</v>
      </c>
      <c r="T7683" s="7">
        <v>-4.0490000000000004</v>
      </c>
      <c r="U7683" s="5">
        <v>0.7</v>
      </c>
      <c r="V7683" s="6">
        <v>-0.36</v>
      </c>
      <c r="W7683" s="5">
        <v>6.4</v>
      </c>
      <c r="X7683" s="6">
        <v>6.25</v>
      </c>
      <c r="Y7683" s="6">
        <v>7.31</v>
      </c>
      <c r="Z7683" s="6">
        <v>7.31</v>
      </c>
      <c r="AA7683" s="6">
        <v>41.37</v>
      </c>
      <c r="AB7683" s="2" t="s">
        <v>86</v>
      </c>
      <c r="AC7683" s="6">
        <v>99.69</v>
      </c>
    </row>
    <row r="7684" spans="1:29" ht="117" x14ac:dyDescent="0.15">
      <c r="A7684" s="3">
        <f>DATE(2005,7,5)</f>
        <v>38538</v>
      </c>
      <c r="B7684" s="3">
        <f>DATE(2005,9,23)</f>
        <v>38618</v>
      </c>
      <c r="C7684" s="2" t="s">
        <v>95</v>
      </c>
      <c r="D7684" s="2" t="s">
        <v>23103</v>
      </c>
      <c r="E7684" s="2" t="s">
        <v>5104</v>
      </c>
      <c r="F7684" s="4">
        <v>7372</v>
      </c>
      <c r="G7684" s="2" t="s">
        <v>551</v>
      </c>
      <c r="H7684" s="2" t="s">
        <v>34</v>
      </c>
      <c r="I7684" s="2" t="s">
        <v>21280</v>
      </c>
      <c r="J7684" s="2" t="s">
        <v>21281</v>
      </c>
      <c r="K7684" s="2" t="s">
        <v>551</v>
      </c>
      <c r="L7684" s="2" t="s">
        <v>34</v>
      </c>
      <c r="M7684" s="2"/>
      <c r="N7684" s="2"/>
      <c r="O7684" s="2"/>
      <c r="P7684" s="2" t="s">
        <v>23104</v>
      </c>
      <c r="Q7684" s="6">
        <v>100</v>
      </c>
      <c r="R7684" s="6">
        <v>11.6</v>
      </c>
      <c r="S7684" s="5">
        <v>57.3</v>
      </c>
      <c r="T7684" s="7">
        <v>89.361000000000004</v>
      </c>
      <c r="U7684" s="2"/>
      <c r="V7684" s="6">
        <v>0.61</v>
      </c>
      <c r="W7684" s="6">
        <v>11.49</v>
      </c>
      <c r="X7684" s="5">
        <v>11.2</v>
      </c>
      <c r="Y7684" s="6">
        <v>11.44</v>
      </c>
      <c r="Z7684" s="6">
        <v>11.38</v>
      </c>
      <c r="AA7684" s="6">
        <v>61.61</v>
      </c>
      <c r="AB7684" s="7">
        <v>12.898</v>
      </c>
      <c r="AC7684" s="6">
        <v>28.84</v>
      </c>
    </row>
    <row r="7685" spans="1:29" ht="39" x14ac:dyDescent="0.15">
      <c r="A7685" s="3">
        <f>DATE(2005,7,5)</f>
        <v>38538</v>
      </c>
      <c r="B7685" s="3">
        <f>DATE(2005,7,5)</f>
        <v>38538</v>
      </c>
      <c r="C7685" s="2" t="s">
        <v>95</v>
      </c>
      <c r="D7685" s="2" t="s">
        <v>2577</v>
      </c>
      <c r="E7685" s="2" t="s">
        <v>2578</v>
      </c>
      <c r="F7685" s="4">
        <v>5091</v>
      </c>
      <c r="G7685" s="2" t="s">
        <v>76</v>
      </c>
      <c r="H7685" s="2" t="s">
        <v>34</v>
      </c>
      <c r="I7685" s="2" t="s">
        <v>23105</v>
      </c>
      <c r="J7685" s="2" t="s">
        <v>23106</v>
      </c>
      <c r="K7685" s="2" t="s">
        <v>112</v>
      </c>
      <c r="L7685" s="2" t="s">
        <v>34</v>
      </c>
      <c r="M7685" s="2"/>
      <c r="N7685" s="5">
        <v>11.4</v>
      </c>
      <c r="O7685" s="6">
        <v>11.25</v>
      </c>
      <c r="P7685" s="2" t="s">
        <v>23107</v>
      </c>
      <c r="Q7685" s="6">
        <v>53.2</v>
      </c>
      <c r="R7685" s="2"/>
      <c r="S7685" s="5">
        <v>1.4</v>
      </c>
      <c r="T7685" s="7">
        <v>3.161</v>
      </c>
      <c r="U7685" s="5">
        <v>3.3</v>
      </c>
      <c r="V7685" s="7">
        <v>0.14199999999999999</v>
      </c>
      <c r="W7685" s="6">
        <v>3.65</v>
      </c>
      <c r="X7685" s="6">
        <v>3.75</v>
      </c>
      <c r="Y7685" s="6">
        <v>5.25</v>
      </c>
      <c r="Z7685" s="5">
        <v>5.3</v>
      </c>
      <c r="AA7685" s="2"/>
      <c r="AB7685" s="7">
        <v>40.411999999999999</v>
      </c>
      <c r="AC7685" s="6">
        <v>40.33</v>
      </c>
    </row>
    <row r="7686" spans="1:29" ht="130" x14ac:dyDescent="0.15">
      <c r="A7686" s="3">
        <f>DATE(2005,7,6)</f>
        <v>38539</v>
      </c>
      <c r="B7686" s="3">
        <f>DATE(2005,12,3)</f>
        <v>38689</v>
      </c>
      <c r="C7686" s="2" t="s">
        <v>95</v>
      </c>
      <c r="D7686" s="2" t="s">
        <v>23108</v>
      </c>
      <c r="E7686" s="2" t="s">
        <v>263</v>
      </c>
      <c r="F7686" s="4">
        <v>6021</v>
      </c>
      <c r="G7686" s="2" t="s">
        <v>37</v>
      </c>
      <c r="H7686" s="2" t="s">
        <v>34</v>
      </c>
      <c r="I7686" s="2" t="s">
        <v>8886</v>
      </c>
      <c r="J7686" s="2" t="s">
        <v>3246</v>
      </c>
      <c r="K7686" s="2" t="s">
        <v>37</v>
      </c>
      <c r="L7686" s="2" t="s">
        <v>34</v>
      </c>
      <c r="M7686" s="12">
        <v>6439.6620000000003</v>
      </c>
      <c r="N7686" s="6">
        <v>68.67</v>
      </c>
      <c r="O7686" s="6">
        <v>69.569999999999993</v>
      </c>
      <c r="P7686" s="2" t="s">
        <v>23109</v>
      </c>
      <c r="Q7686" s="6">
        <v>100</v>
      </c>
      <c r="R7686" s="6">
        <v>23.32</v>
      </c>
      <c r="S7686" s="5">
        <v>67.5</v>
      </c>
      <c r="T7686" s="7">
        <v>110.551</v>
      </c>
      <c r="U7686" s="5">
        <v>8</v>
      </c>
      <c r="V7686" s="6">
        <v>0.96</v>
      </c>
      <c r="W7686" s="5">
        <v>21.5</v>
      </c>
      <c r="X7686" s="6">
        <v>22.98</v>
      </c>
      <c r="Y7686" s="6">
        <v>21.93</v>
      </c>
      <c r="Z7686" s="6">
        <v>22.12</v>
      </c>
      <c r="AA7686" s="6">
        <v>70.17</v>
      </c>
      <c r="AB7686" s="7">
        <v>30.222000000000001</v>
      </c>
      <c r="AC7686" s="2"/>
    </row>
    <row r="7687" spans="1:29" ht="143" x14ac:dyDescent="0.15">
      <c r="A7687" s="3">
        <f>DATE(2005,7,6)</f>
        <v>38539</v>
      </c>
      <c r="B7687" s="3">
        <f>DATE(2005,12,21)</f>
        <v>38707</v>
      </c>
      <c r="C7687" s="2" t="s">
        <v>95</v>
      </c>
      <c r="D7687" s="2" t="s">
        <v>8334</v>
      </c>
      <c r="E7687" s="2" t="s">
        <v>8335</v>
      </c>
      <c r="F7687" s="4">
        <v>6324</v>
      </c>
      <c r="G7687" s="2" t="s">
        <v>125</v>
      </c>
      <c r="H7687" s="2" t="s">
        <v>34</v>
      </c>
      <c r="I7687" s="2" t="s">
        <v>21349</v>
      </c>
      <c r="J7687" s="2" t="s">
        <v>21350</v>
      </c>
      <c r="K7687" s="2" t="s">
        <v>125</v>
      </c>
      <c r="L7687" s="2" t="s">
        <v>34</v>
      </c>
      <c r="M7687" s="12">
        <v>32401.010999999999</v>
      </c>
      <c r="N7687" s="5">
        <v>53.5</v>
      </c>
      <c r="O7687" s="6">
        <v>53.49</v>
      </c>
      <c r="P7687" s="2" t="s">
        <v>23110</v>
      </c>
      <c r="Q7687" s="6">
        <v>100</v>
      </c>
      <c r="R7687" s="6">
        <v>78.95</v>
      </c>
      <c r="S7687" s="5">
        <v>262.89999999999998</v>
      </c>
      <c r="T7687" s="7">
        <v>554.72900000000004</v>
      </c>
      <c r="U7687" s="5">
        <v>24.5</v>
      </c>
      <c r="V7687" s="6">
        <v>2.57</v>
      </c>
      <c r="W7687" s="6">
        <v>72.010000000000005</v>
      </c>
      <c r="X7687" s="6">
        <v>72.680000000000007</v>
      </c>
      <c r="Y7687" s="6">
        <v>77.09</v>
      </c>
      <c r="Z7687" s="6">
        <v>77.36</v>
      </c>
      <c r="AA7687" s="6">
        <v>87.13</v>
      </c>
      <c r="AB7687" s="7">
        <v>10.874000000000001</v>
      </c>
      <c r="AC7687" s="8">
        <v>4042</v>
      </c>
    </row>
    <row r="7688" spans="1:29" ht="156" x14ac:dyDescent="0.15">
      <c r="A7688" s="3">
        <f>DATE(2005,7,7)</f>
        <v>38540</v>
      </c>
      <c r="B7688" s="3">
        <f>DATE(2005,9,1)</f>
        <v>38596</v>
      </c>
      <c r="C7688" s="2" t="s">
        <v>95</v>
      </c>
      <c r="D7688" s="2" t="s">
        <v>23111</v>
      </c>
      <c r="E7688" s="2" t="s">
        <v>23112</v>
      </c>
      <c r="F7688" s="4">
        <v>3671</v>
      </c>
      <c r="G7688" s="2" t="s">
        <v>137</v>
      </c>
      <c r="H7688" s="2" t="s">
        <v>34</v>
      </c>
      <c r="I7688" s="2" t="s">
        <v>15545</v>
      </c>
      <c r="J7688" s="2" t="s">
        <v>21916</v>
      </c>
      <c r="K7688" s="2" t="s">
        <v>921</v>
      </c>
      <c r="L7688" s="2" t="s">
        <v>34</v>
      </c>
      <c r="M7688" s="7">
        <v>245.523</v>
      </c>
      <c r="N7688" s="6">
        <v>3.57</v>
      </c>
      <c r="O7688" s="6">
        <v>2.87</v>
      </c>
      <c r="P7688" s="2" t="s">
        <v>23113</v>
      </c>
      <c r="Q7688" s="6">
        <v>100</v>
      </c>
      <c r="R7688" s="6">
        <v>3.58</v>
      </c>
      <c r="S7688" s="5">
        <v>-4</v>
      </c>
      <c r="T7688" s="7">
        <v>2.5419999999999998</v>
      </c>
      <c r="U7688" s="5">
        <v>1.6</v>
      </c>
      <c r="V7688" s="6">
        <v>-0.09</v>
      </c>
      <c r="W7688" s="6">
        <v>1.81</v>
      </c>
      <c r="X7688" s="6">
        <v>1.78</v>
      </c>
      <c r="Y7688" s="6">
        <v>1.89</v>
      </c>
      <c r="Z7688" s="6">
        <v>2.79</v>
      </c>
      <c r="AA7688" s="6">
        <v>46.87</v>
      </c>
      <c r="AB7688" s="2" t="s">
        <v>86</v>
      </c>
      <c r="AC7688" s="6">
        <v>52.59</v>
      </c>
    </row>
    <row r="7689" spans="1:29" ht="104" x14ac:dyDescent="0.15">
      <c r="A7689" s="3">
        <f>DATE(2005,7,7)</f>
        <v>38540</v>
      </c>
      <c r="B7689" s="2"/>
      <c r="C7689" s="2" t="s">
        <v>7330</v>
      </c>
      <c r="D7689" s="2" t="s">
        <v>23114</v>
      </c>
      <c r="E7689" s="2" t="s">
        <v>23115</v>
      </c>
      <c r="F7689" s="4">
        <v>3714</v>
      </c>
      <c r="G7689" s="2" t="s">
        <v>105</v>
      </c>
      <c r="H7689" s="2" t="s">
        <v>34</v>
      </c>
      <c r="I7689" s="2" t="s">
        <v>23116</v>
      </c>
      <c r="J7689" s="2" t="s">
        <v>1620</v>
      </c>
      <c r="K7689" s="2" t="s">
        <v>53</v>
      </c>
      <c r="L7689" s="2" t="s">
        <v>34</v>
      </c>
      <c r="M7689" s="2"/>
      <c r="N7689" s="2"/>
      <c r="O7689" s="2"/>
      <c r="P7689" s="2" t="s">
        <v>23117</v>
      </c>
      <c r="Q7689" s="2"/>
      <c r="R7689" s="6">
        <v>1.32</v>
      </c>
      <c r="S7689" s="5">
        <v>-2.5</v>
      </c>
      <c r="T7689" s="7">
        <v>18.074999999999999</v>
      </c>
      <c r="U7689" s="5">
        <v>1.8</v>
      </c>
      <c r="V7689" s="6">
        <v>-0.06</v>
      </c>
      <c r="W7689" s="6">
        <v>1.33</v>
      </c>
      <c r="X7689" s="6">
        <v>1.32</v>
      </c>
      <c r="Y7689" s="5">
        <v>1.3</v>
      </c>
      <c r="Z7689" s="5">
        <v>1.3</v>
      </c>
      <c r="AA7689" s="6">
        <v>41.74</v>
      </c>
      <c r="AB7689" s="7">
        <v>40.259</v>
      </c>
      <c r="AC7689" s="2"/>
    </row>
    <row r="7690" spans="1:29" ht="104" x14ac:dyDescent="0.15">
      <c r="A7690" s="3">
        <f>DATE(2005,7,8)</f>
        <v>38541</v>
      </c>
      <c r="B7690" s="3">
        <f>DATE(2006,3,22)</f>
        <v>38798</v>
      </c>
      <c r="C7690" s="2" t="s">
        <v>95</v>
      </c>
      <c r="D7690" s="2" t="s">
        <v>23012</v>
      </c>
      <c r="E7690" s="2" t="s">
        <v>23013</v>
      </c>
      <c r="F7690" s="4">
        <v>2084</v>
      </c>
      <c r="G7690" s="2" t="s">
        <v>577</v>
      </c>
      <c r="H7690" s="2" t="s">
        <v>34</v>
      </c>
      <c r="I7690" s="2" t="s">
        <v>23118</v>
      </c>
      <c r="J7690" s="2" t="s">
        <v>23119</v>
      </c>
      <c r="K7690" s="2" t="s">
        <v>577</v>
      </c>
      <c r="L7690" s="2" t="s">
        <v>34</v>
      </c>
      <c r="M7690" s="2"/>
      <c r="N7690" s="2"/>
      <c r="O7690" s="2"/>
      <c r="P7690" s="2" t="s">
        <v>23120</v>
      </c>
      <c r="Q7690" s="6">
        <v>32.25</v>
      </c>
      <c r="R7690" s="6">
        <v>28.37</v>
      </c>
      <c r="S7690" s="5">
        <v>3.3</v>
      </c>
      <c r="T7690" s="7">
        <v>8.1430000000000007</v>
      </c>
      <c r="U7690" s="5">
        <v>13</v>
      </c>
      <c r="V7690" s="6">
        <v>0.57999999999999996</v>
      </c>
      <c r="W7690" s="4">
        <v>26</v>
      </c>
      <c r="X7690" s="6">
        <v>25.23</v>
      </c>
      <c r="Y7690" s="6">
        <v>26.21</v>
      </c>
      <c r="Z7690" s="6">
        <v>27.98</v>
      </c>
      <c r="AA7690" s="6">
        <v>6.34</v>
      </c>
      <c r="AB7690" s="7">
        <v>74.808999999999997</v>
      </c>
      <c r="AC7690" s="2"/>
    </row>
    <row r="7691" spans="1:29" ht="104" x14ac:dyDescent="0.15">
      <c r="A7691" s="3">
        <f>DATE(2005,7,8)</f>
        <v>38541</v>
      </c>
      <c r="B7691" s="2"/>
      <c r="C7691" s="2" t="s">
        <v>7330</v>
      </c>
      <c r="D7691" s="2" t="s">
        <v>5558</v>
      </c>
      <c r="E7691" s="2" t="s">
        <v>612</v>
      </c>
      <c r="F7691" s="4">
        <v>1311</v>
      </c>
      <c r="G7691" s="2" t="s">
        <v>148</v>
      </c>
      <c r="H7691" s="2" t="s">
        <v>34</v>
      </c>
      <c r="I7691" s="2" t="s">
        <v>23121</v>
      </c>
      <c r="J7691" s="2" t="s">
        <v>23122</v>
      </c>
      <c r="K7691" s="2" t="s">
        <v>109</v>
      </c>
      <c r="L7691" s="2" t="s">
        <v>34</v>
      </c>
      <c r="M7691" s="2"/>
      <c r="N7691" s="2"/>
      <c r="O7691" s="2"/>
      <c r="P7691" s="2" t="s">
        <v>23123</v>
      </c>
      <c r="Q7691" s="2"/>
      <c r="R7691" s="6">
        <v>3</v>
      </c>
      <c r="S7691" s="5">
        <v>17.3</v>
      </c>
      <c r="T7691" s="2"/>
      <c r="U7691" s="5">
        <v>-3</v>
      </c>
      <c r="V7691" s="6">
        <v>1.55</v>
      </c>
      <c r="W7691" s="5">
        <v>2.5</v>
      </c>
      <c r="X7691" s="6">
        <v>2.4500000000000002</v>
      </c>
      <c r="Y7691" s="6">
        <v>2.4500000000000002</v>
      </c>
      <c r="Z7691" s="6">
        <v>3.08</v>
      </c>
      <c r="AA7691" s="6">
        <v>11.19</v>
      </c>
      <c r="AB7691" s="7">
        <v>4.5129999999999999</v>
      </c>
      <c r="AC7691" s="2"/>
    </row>
    <row r="7692" spans="1:29" ht="78" x14ac:dyDescent="0.15">
      <c r="A7692" s="3">
        <f>DATE(2005,7,8)</f>
        <v>38541</v>
      </c>
      <c r="B7692" s="2"/>
      <c r="C7692" s="2" t="s">
        <v>30</v>
      </c>
      <c r="D7692" s="2" t="s">
        <v>23124</v>
      </c>
      <c r="E7692" s="2" t="s">
        <v>23125</v>
      </c>
      <c r="F7692" s="4">
        <v>7812</v>
      </c>
      <c r="G7692" s="2" t="s">
        <v>42</v>
      </c>
      <c r="H7692" s="2" t="s">
        <v>34</v>
      </c>
      <c r="I7692" s="2" t="s">
        <v>51</v>
      </c>
      <c r="J7692" s="2" t="s">
        <v>52</v>
      </c>
      <c r="K7692" s="2" t="s">
        <v>53</v>
      </c>
      <c r="L7692" s="2" t="s">
        <v>34</v>
      </c>
      <c r="M7692" s="2"/>
      <c r="N7692" s="2"/>
      <c r="O7692" s="2"/>
      <c r="P7692" s="2" t="s">
        <v>23126</v>
      </c>
      <c r="Q7692" s="2"/>
      <c r="R7692" s="2"/>
      <c r="S7692" s="5">
        <v>-3</v>
      </c>
      <c r="T7692" s="7">
        <v>-3.2490000000000001</v>
      </c>
      <c r="U7692" s="5">
        <v>210.4</v>
      </c>
      <c r="V7692" s="9">
        <v>-22.3996</v>
      </c>
      <c r="W7692" s="6">
        <v>18.649999999999999</v>
      </c>
      <c r="X7692" s="6">
        <v>17.75</v>
      </c>
      <c r="Y7692" s="5">
        <v>26.5</v>
      </c>
      <c r="Z7692" s="5">
        <v>23.2</v>
      </c>
      <c r="AA7692" s="6">
        <v>20.12</v>
      </c>
      <c r="AB7692" s="2" t="s">
        <v>86</v>
      </c>
      <c r="AC7692" s="2"/>
    </row>
    <row r="7693" spans="1:29" ht="156" x14ac:dyDescent="0.15">
      <c r="A7693" s="3">
        <f>DATE(2005,7,10)</f>
        <v>38543</v>
      </c>
      <c r="B7693" s="2"/>
      <c r="C7693" s="2" t="s">
        <v>30</v>
      </c>
      <c r="D7693" s="2" t="s">
        <v>16654</v>
      </c>
      <c r="E7693" s="2" t="s">
        <v>16655</v>
      </c>
      <c r="F7693" s="4">
        <v>7374</v>
      </c>
      <c r="G7693" s="2" t="s">
        <v>223</v>
      </c>
      <c r="H7693" s="2" t="s">
        <v>34</v>
      </c>
      <c r="I7693" s="2" t="s">
        <v>15117</v>
      </c>
      <c r="J7693" s="2" t="s">
        <v>4784</v>
      </c>
      <c r="K7693" s="2" t="s">
        <v>186</v>
      </c>
      <c r="L7693" s="2" t="s">
        <v>2105</v>
      </c>
      <c r="M7693" s="10">
        <v>7043.34</v>
      </c>
      <c r="N7693" s="7">
        <v>27.155000000000001</v>
      </c>
      <c r="O7693" s="7">
        <v>27.155000000000001</v>
      </c>
      <c r="P7693" s="2" t="s">
        <v>23127</v>
      </c>
      <c r="Q7693" s="2"/>
      <c r="R7693" s="6">
        <v>28.09</v>
      </c>
      <c r="S7693" s="5">
        <v>262.7</v>
      </c>
      <c r="T7693" s="6">
        <v>532.04999999999995</v>
      </c>
      <c r="U7693" s="5">
        <v>1</v>
      </c>
      <c r="V7693" s="6">
        <v>1.1299999999999999</v>
      </c>
      <c r="W7693" s="6">
        <v>24.78</v>
      </c>
      <c r="X7693" s="6">
        <v>25.89</v>
      </c>
      <c r="Y7693" s="5">
        <v>26.5</v>
      </c>
      <c r="Z7693" s="5">
        <v>26.5</v>
      </c>
      <c r="AA7693" s="6">
        <v>226.59</v>
      </c>
      <c r="AB7693" s="7">
        <v>15.928000000000001</v>
      </c>
      <c r="AC7693" s="6">
        <v>614.54</v>
      </c>
    </row>
    <row r="7694" spans="1:29" ht="91" x14ac:dyDescent="0.15">
      <c r="A7694" s="3">
        <f>DATE(2005,7,10)</f>
        <v>38543</v>
      </c>
      <c r="B7694" s="3">
        <f>DATE(2005,8,12)</f>
        <v>38576</v>
      </c>
      <c r="C7694" s="2" t="s">
        <v>95</v>
      </c>
      <c r="D7694" s="2" t="s">
        <v>23128</v>
      </c>
      <c r="E7694" s="2" t="s">
        <v>6519</v>
      </c>
      <c r="F7694" s="4">
        <v>4812</v>
      </c>
      <c r="G7694" s="2" t="s">
        <v>63</v>
      </c>
      <c r="H7694" s="2" t="s">
        <v>34</v>
      </c>
      <c r="I7694" s="2" t="s">
        <v>14230</v>
      </c>
      <c r="J7694" s="2" t="s">
        <v>14231</v>
      </c>
      <c r="K7694" s="2" t="s">
        <v>63</v>
      </c>
      <c r="L7694" s="2" t="s">
        <v>34</v>
      </c>
      <c r="M7694" s="12">
        <v>36549.538</v>
      </c>
      <c r="N7694" s="6">
        <v>25.45</v>
      </c>
      <c r="O7694" s="6">
        <v>25.45</v>
      </c>
      <c r="P7694" s="2" t="s">
        <v>23129</v>
      </c>
      <c r="Q7694" s="6">
        <v>100</v>
      </c>
      <c r="R7694" s="6">
        <v>6.25</v>
      </c>
      <c r="S7694" s="5">
        <v>-38</v>
      </c>
      <c r="T7694" s="7">
        <v>95.825999999999993</v>
      </c>
      <c r="U7694" s="5">
        <v>-0.5</v>
      </c>
      <c r="V7694" s="6">
        <v>-0.19</v>
      </c>
      <c r="W7694" s="6">
        <v>5.99</v>
      </c>
      <c r="X7694" s="6">
        <v>6.16</v>
      </c>
      <c r="Y7694" s="5">
        <v>6.2</v>
      </c>
      <c r="Z7694" s="5">
        <v>6.2</v>
      </c>
      <c r="AA7694" s="6">
        <v>164.13</v>
      </c>
      <c r="AB7694" s="7">
        <v>55.073999999999998</v>
      </c>
      <c r="AC7694" s="8">
        <v>2728</v>
      </c>
    </row>
    <row r="7695" spans="1:29" ht="143" x14ac:dyDescent="0.15">
      <c r="A7695" s="3">
        <f>DATE(2005,7,11)</f>
        <v>38544</v>
      </c>
      <c r="B7695" s="3">
        <f>DATE(2005,8,30)</f>
        <v>38594</v>
      </c>
      <c r="C7695" s="2" t="s">
        <v>95</v>
      </c>
      <c r="D7695" s="2" t="s">
        <v>23130</v>
      </c>
      <c r="E7695" s="2" t="s">
        <v>23131</v>
      </c>
      <c r="F7695" s="4">
        <v>5122</v>
      </c>
      <c r="G7695" s="2" t="s">
        <v>593</v>
      </c>
      <c r="H7695" s="2" t="s">
        <v>34</v>
      </c>
      <c r="I7695" s="2" t="s">
        <v>10549</v>
      </c>
      <c r="J7695" s="2" t="s">
        <v>21611</v>
      </c>
      <c r="K7695" s="2" t="s">
        <v>593</v>
      </c>
      <c r="L7695" s="2" t="s">
        <v>34</v>
      </c>
      <c r="M7695" s="12">
        <v>12634.505999999999</v>
      </c>
      <c r="N7695" s="6">
        <v>45.21</v>
      </c>
      <c r="O7695" s="5">
        <v>44.8</v>
      </c>
      <c r="P7695" s="2" t="s">
        <v>23132</v>
      </c>
      <c r="Q7695" s="6">
        <v>100</v>
      </c>
      <c r="R7695" s="6">
        <v>14.5</v>
      </c>
      <c r="S7695" s="5">
        <v>4</v>
      </c>
      <c r="T7695" s="7">
        <v>30.867999999999999</v>
      </c>
      <c r="U7695" s="5">
        <v>12.8</v>
      </c>
      <c r="V7695" s="6">
        <v>0.28000000000000003</v>
      </c>
      <c r="W7695" s="6">
        <v>8.4600000000000009</v>
      </c>
      <c r="X7695" s="5">
        <v>8.5</v>
      </c>
      <c r="Y7695" s="5">
        <v>14.3</v>
      </c>
      <c r="Z7695" s="5">
        <v>14.3</v>
      </c>
      <c r="AA7695" s="6">
        <v>14.26</v>
      </c>
      <c r="AB7695" s="7">
        <v>19.855</v>
      </c>
      <c r="AC7695" s="8">
        <v>2418</v>
      </c>
    </row>
    <row r="7696" spans="1:29" ht="104" x14ac:dyDescent="0.15">
      <c r="A7696" s="3">
        <f>DATE(2005,7,11)</f>
        <v>38544</v>
      </c>
      <c r="B7696" s="3">
        <f>DATE(2005,10,26)</f>
        <v>38651</v>
      </c>
      <c r="C7696" s="2" t="s">
        <v>95</v>
      </c>
      <c r="D7696" s="2" t="s">
        <v>23133</v>
      </c>
      <c r="E7696" s="2" t="s">
        <v>23134</v>
      </c>
      <c r="F7696" s="4">
        <v>3559</v>
      </c>
      <c r="G7696" s="2" t="s">
        <v>300</v>
      </c>
      <c r="H7696" s="2" t="s">
        <v>34</v>
      </c>
      <c r="I7696" s="2" t="s">
        <v>19443</v>
      </c>
      <c r="J7696" s="2" t="s">
        <v>23135</v>
      </c>
      <c r="K7696" s="2" t="s">
        <v>137</v>
      </c>
      <c r="L7696" s="2" t="s">
        <v>34</v>
      </c>
      <c r="M7696" s="7">
        <v>709.33500000000004</v>
      </c>
      <c r="N7696" s="6">
        <v>15.31</v>
      </c>
      <c r="O7696" s="6">
        <v>15.36</v>
      </c>
      <c r="P7696" s="2" t="s">
        <v>23136</v>
      </c>
      <c r="Q7696" s="6">
        <v>100</v>
      </c>
      <c r="R7696" s="6">
        <v>17.309999999999999</v>
      </c>
      <c r="S7696" s="5">
        <v>24.6</v>
      </c>
      <c r="T7696" s="7">
        <v>20.198</v>
      </c>
      <c r="U7696" s="5">
        <v>5.5</v>
      </c>
      <c r="V7696" s="6">
        <v>0.94</v>
      </c>
      <c r="W7696" s="6">
        <v>13.04</v>
      </c>
      <c r="X7696" s="6">
        <v>13.89</v>
      </c>
      <c r="Y7696" s="5">
        <v>16.8</v>
      </c>
      <c r="Z7696" s="6">
        <v>16.88</v>
      </c>
      <c r="AA7696" s="6">
        <v>26.12</v>
      </c>
      <c r="AB7696" s="7">
        <v>30.384</v>
      </c>
      <c r="AC7696" s="6">
        <v>301.64</v>
      </c>
    </row>
    <row r="7697" spans="1:29" ht="52" x14ac:dyDescent="0.15">
      <c r="A7697" s="3">
        <f>DATE(2005,7,12)</f>
        <v>38545</v>
      </c>
      <c r="B7697" s="3">
        <f>DATE(2005,7,12)</f>
        <v>38545</v>
      </c>
      <c r="C7697" s="2" t="s">
        <v>95</v>
      </c>
      <c r="D7697" s="2" t="s">
        <v>20684</v>
      </c>
      <c r="E7697" s="2" t="s">
        <v>20685</v>
      </c>
      <c r="F7697" s="4">
        <v>8011</v>
      </c>
      <c r="G7697" s="2" t="s">
        <v>454</v>
      </c>
      <c r="H7697" s="2" t="s">
        <v>34</v>
      </c>
      <c r="I7697" s="2" t="s">
        <v>23137</v>
      </c>
      <c r="J7697" s="2" t="s">
        <v>23138</v>
      </c>
      <c r="K7697" s="2" t="s">
        <v>454</v>
      </c>
      <c r="L7697" s="2" t="s">
        <v>34</v>
      </c>
      <c r="M7697" s="2"/>
      <c r="N7697" s="2"/>
      <c r="O7697" s="2"/>
      <c r="P7697" s="2" t="s">
        <v>23139</v>
      </c>
      <c r="Q7697" s="6">
        <v>100</v>
      </c>
      <c r="R7697" s="6">
        <v>8</v>
      </c>
      <c r="S7697" s="5">
        <v>-3</v>
      </c>
      <c r="T7697" s="7">
        <v>2.069</v>
      </c>
      <c r="U7697" s="5">
        <v>20.7</v>
      </c>
      <c r="V7697" s="6">
        <v>-1.41</v>
      </c>
      <c r="W7697" s="6">
        <v>3.55</v>
      </c>
      <c r="X7697" s="4">
        <v>8</v>
      </c>
      <c r="Y7697" s="6">
        <v>8.75</v>
      </c>
      <c r="Z7697" s="6">
        <v>8.85</v>
      </c>
      <c r="AA7697" s="6">
        <v>2.14</v>
      </c>
      <c r="AB7697" s="2" t="s">
        <v>86</v>
      </c>
      <c r="AC7697" s="2"/>
    </row>
    <row r="7698" spans="1:29" ht="182" x14ac:dyDescent="0.15">
      <c r="A7698" s="3">
        <f>DATE(2005,7,12)</f>
        <v>38545</v>
      </c>
      <c r="B7698" s="3">
        <f>DATE(2006,2,1)</f>
        <v>38749</v>
      </c>
      <c r="C7698" s="2" t="s">
        <v>95</v>
      </c>
      <c r="D7698" s="2" t="s">
        <v>4381</v>
      </c>
      <c r="E7698" s="2" t="s">
        <v>263</v>
      </c>
      <c r="F7698" s="4">
        <v>6022</v>
      </c>
      <c r="G7698" s="2" t="s">
        <v>37</v>
      </c>
      <c r="H7698" s="2" t="s">
        <v>34</v>
      </c>
      <c r="I7698" s="2" t="s">
        <v>23140</v>
      </c>
      <c r="J7698" s="2" t="s">
        <v>18970</v>
      </c>
      <c r="K7698" s="2" t="s">
        <v>37</v>
      </c>
      <c r="L7698" s="2" t="s">
        <v>34</v>
      </c>
      <c r="M7698" s="12">
        <v>5205.1459999999997</v>
      </c>
      <c r="N7698" s="5">
        <v>29.1</v>
      </c>
      <c r="O7698" s="6">
        <v>28.81</v>
      </c>
      <c r="P7698" s="2" t="s">
        <v>23141</v>
      </c>
      <c r="Q7698" s="6">
        <v>100</v>
      </c>
      <c r="R7698" s="6">
        <v>42.78</v>
      </c>
      <c r="S7698" s="5">
        <v>129.9</v>
      </c>
      <c r="T7698" s="2"/>
      <c r="U7698" s="5">
        <v>12.1</v>
      </c>
      <c r="V7698" s="6">
        <v>2.89</v>
      </c>
      <c r="W7698" s="6">
        <v>37.03</v>
      </c>
      <c r="X7698" s="5">
        <v>37.5</v>
      </c>
      <c r="Y7698" s="6">
        <v>41.64</v>
      </c>
      <c r="Z7698" s="6">
        <v>41.33</v>
      </c>
      <c r="AA7698" s="6">
        <v>44.75</v>
      </c>
      <c r="AB7698" s="7">
        <v>22.552</v>
      </c>
      <c r="AC7698" s="2"/>
    </row>
    <row r="7699" spans="1:29" ht="78" x14ac:dyDescent="0.15">
      <c r="A7699" s="3">
        <f>DATE(2005,7,12)</f>
        <v>38545</v>
      </c>
      <c r="B7699" s="2"/>
      <c r="C7699" s="2" t="s">
        <v>30</v>
      </c>
      <c r="D7699" s="2" t="s">
        <v>23142</v>
      </c>
      <c r="E7699" s="2" t="s">
        <v>23143</v>
      </c>
      <c r="F7699" s="4">
        <v>3841</v>
      </c>
      <c r="G7699" s="2" t="s">
        <v>226</v>
      </c>
      <c r="H7699" s="2" t="s">
        <v>34</v>
      </c>
      <c r="I7699" s="2" t="s">
        <v>23144</v>
      </c>
      <c r="J7699" s="2" t="s">
        <v>23145</v>
      </c>
      <c r="K7699" s="2" t="s">
        <v>130</v>
      </c>
      <c r="L7699" s="2" t="s">
        <v>34</v>
      </c>
      <c r="M7699" s="2"/>
      <c r="N7699" s="2"/>
      <c r="O7699" s="2"/>
      <c r="P7699" s="2" t="s">
        <v>23146</v>
      </c>
      <c r="Q7699" s="2"/>
      <c r="R7699" s="6">
        <v>6.25</v>
      </c>
      <c r="S7699" s="5">
        <v>-6.3</v>
      </c>
      <c r="T7699" s="7">
        <v>7.0000000000000001E-3</v>
      </c>
      <c r="U7699" s="5">
        <v>5.2</v>
      </c>
      <c r="V7699" s="6">
        <v>-0.37</v>
      </c>
      <c r="W7699" s="6">
        <v>3.89</v>
      </c>
      <c r="X7699" s="6">
        <v>4.08</v>
      </c>
      <c r="Y7699" s="6">
        <v>4.12</v>
      </c>
      <c r="Z7699" s="6">
        <v>4.09</v>
      </c>
      <c r="AA7699" s="6">
        <v>17.190000000000001</v>
      </c>
      <c r="AB7699" s="2" t="s">
        <v>86</v>
      </c>
      <c r="AC7699" s="2"/>
    </row>
    <row r="7700" spans="1:29" ht="104" x14ac:dyDescent="0.15">
      <c r="A7700" s="3">
        <f>DATE(2005,7,14)</f>
        <v>38547</v>
      </c>
      <c r="B7700" s="2"/>
      <c r="C7700" s="2" t="s">
        <v>7330</v>
      </c>
      <c r="D7700" s="2" t="s">
        <v>23147</v>
      </c>
      <c r="E7700" s="2" t="s">
        <v>23148</v>
      </c>
      <c r="F7700" s="4">
        <v>2026</v>
      </c>
      <c r="G7700" s="2" t="s">
        <v>577</v>
      </c>
      <c r="H7700" s="2" t="s">
        <v>34</v>
      </c>
      <c r="I7700" s="2" t="s">
        <v>23149</v>
      </c>
      <c r="J7700" s="2" t="s">
        <v>23150</v>
      </c>
      <c r="K7700" s="2" t="s">
        <v>577</v>
      </c>
      <c r="L7700" s="2" t="s">
        <v>34</v>
      </c>
      <c r="M7700" s="10">
        <v>10486.26</v>
      </c>
      <c r="N7700" s="6">
        <v>22.09</v>
      </c>
      <c r="O7700" s="4">
        <v>22</v>
      </c>
      <c r="P7700" s="2" t="s">
        <v>23151</v>
      </c>
      <c r="Q7700" s="2"/>
      <c r="R7700" s="6">
        <v>0.25</v>
      </c>
      <c r="S7700" s="5">
        <v>-4.5999999999999996</v>
      </c>
      <c r="T7700" s="7">
        <v>-3.476</v>
      </c>
      <c r="U7700" s="5">
        <v>-0.1</v>
      </c>
      <c r="V7700" s="6">
        <v>-0.08</v>
      </c>
      <c r="W7700" s="6">
        <v>1.04</v>
      </c>
      <c r="X7700" s="5">
        <v>1.2</v>
      </c>
      <c r="Y7700" s="6">
        <v>1.04</v>
      </c>
      <c r="Z7700" s="6">
        <v>0.93</v>
      </c>
      <c r="AA7700" s="6">
        <v>300</v>
      </c>
      <c r="AB7700" s="2" t="s">
        <v>86</v>
      </c>
      <c r="AC7700" s="5">
        <v>173</v>
      </c>
    </row>
    <row r="7701" spans="1:29" ht="273" x14ac:dyDescent="0.15">
      <c r="A7701" s="3">
        <f>DATE(2005,7,17)</f>
        <v>38550</v>
      </c>
      <c r="B7701" s="3">
        <f>DATE(2006,3,31)</f>
        <v>38807</v>
      </c>
      <c r="C7701" s="2" t="s">
        <v>95</v>
      </c>
      <c r="D7701" s="2" t="s">
        <v>17486</v>
      </c>
      <c r="E7701" s="2" t="s">
        <v>17487</v>
      </c>
      <c r="F7701" s="4">
        <v>3633</v>
      </c>
      <c r="G7701" s="2" t="s">
        <v>137</v>
      </c>
      <c r="H7701" s="2" t="s">
        <v>34</v>
      </c>
      <c r="I7701" s="2" t="s">
        <v>23152</v>
      </c>
      <c r="J7701" s="2" t="s">
        <v>10816</v>
      </c>
      <c r="K7701" s="2" t="s">
        <v>137</v>
      </c>
      <c r="L7701" s="2" t="s">
        <v>34</v>
      </c>
      <c r="M7701" s="12">
        <v>4850.5959999999995</v>
      </c>
      <c r="N7701" s="6">
        <v>73.31</v>
      </c>
      <c r="O7701" s="6">
        <v>73.31</v>
      </c>
      <c r="P7701" s="2" t="s">
        <v>23153</v>
      </c>
      <c r="Q7701" s="6">
        <v>100</v>
      </c>
      <c r="R7701" s="6">
        <v>21</v>
      </c>
      <c r="S7701" s="5">
        <v>4.2</v>
      </c>
      <c r="T7701" s="7">
        <v>269.91800000000001</v>
      </c>
      <c r="U7701" s="5">
        <v>1</v>
      </c>
      <c r="V7701" s="6">
        <v>0.05</v>
      </c>
      <c r="W7701" s="6">
        <v>10.48</v>
      </c>
      <c r="X7701" s="6">
        <v>11.47</v>
      </c>
      <c r="Y7701" s="6">
        <v>11.56</v>
      </c>
      <c r="Z7701" s="5">
        <v>14.4</v>
      </c>
      <c r="AA7701" s="6">
        <v>79.7</v>
      </c>
      <c r="AB7701" s="7">
        <v>25.536999999999999</v>
      </c>
      <c r="AC7701" s="5">
        <v>188</v>
      </c>
    </row>
    <row r="7702" spans="1:29" ht="91" x14ac:dyDescent="0.15">
      <c r="A7702" s="3">
        <f>DATE(2005,7,18)</f>
        <v>38551</v>
      </c>
      <c r="B7702" s="3">
        <f>DATE(2005,9,30)</f>
        <v>38625</v>
      </c>
      <c r="C7702" s="2" t="s">
        <v>95</v>
      </c>
      <c r="D7702" s="2" t="s">
        <v>23154</v>
      </c>
      <c r="E7702" s="2" t="s">
        <v>19621</v>
      </c>
      <c r="F7702" s="4">
        <v>7375</v>
      </c>
      <c r="G7702" s="2" t="s">
        <v>223</v>
      </c>
      <c r="H7702" s="2" t="s">
        <v>34</v>
      </c>
      <c r="I7702" s="2" t="s">
        <v>22609</v>
      </c>
      <c r="J7702" s="2" t="s">
        <v>398</v>
      </c>
      <c r="K7702" s="2" t="s">
        <v>42</v>
      </c>
      <c r="L7702" s="2" t="s">
        <v>34</v>
      </c>
      <c r="M7702" s="10">
        <v>38026.370000000003</v>
      </c>
      <c r="N7702" s="6">
        <v>16.57</v>
      </c>
      <c r="O7702" s="6">
        <v>16.53</v>
      </c>
      <c r="P7702" s="2" t="s">
        <v>23155</v>
      </c>
      <c r="Q7702" s="6">
        <v>100</v>
      </c>
      <c r="R7702" s="6">
        <v>12</v>
      </c>
      <c r="S7702" s="5">
        <v>0.4</v>
      </c>
      <c r="T7702" s="7">
        <v>4.9219999999999997</v>
      </c>
      <c r="U7702" s="5">
        <v>1.2</v>
      </c>
      <c r="V7702" s="2"/>
      <c r="W7702" s="6">
        <v>9.66</v>
      </c>
      <c r="X7702" s="6">
        <v>10.72</v>
      </c>
      <c r="Y7702" s="6">
        <v>11.74</v>
      </c>
      <c r="Z7702" s="6">
        <v>11.75</v>
      </c>
      <c r="AA7702" s="6">
        <v>34.89</v>
      </c>
      <c r="AB7702" s="7">
        <v>337.36500000000001</v>
      </c>
      <c r="AC7702" s="8">
        <v>6470</v>
      </c>
    </row>
    <row r="7703" spans="1:29" ht="117" x14ac:dyDescent="0.15">
      <c r="A7703" s="3">
        <f>DATE(2005,7,20)</f>
        <v>38553</v>
      </c>
      <c r="B7703" s="3">
        <f>DATE(2005,10,3)</f>
        <v>38628</v>
      </c>
      <c r="C7703" s="2" t="s">
        <v>95</v>
      </c>
      <c r="D7703" s="2" t="s">
        <v>16958</v>
      </c>
      <c r="E7703" s="2" t="s">
        <v>6378</v>
      </c>
      <c r="F7703" s="4">
        <v>2834</v>
      </c>
      <c r="G7703" s="2" t="s">
        <v>130</v>
      </c>
      <c r="H7703" s="2" t="s">
        <v>34</v>
      </c>
      <c r="I7703" s="2" t="s">
        <v>23156</v>
      </c>
      <c r="J7703" s="2" t="s">
        <v>3812</v>
      </c>
      <c r="K7703" s="2" t="s">
        <v>130</v>
      </c>
      <c r="L7703" s="2" t="s">
        <v>34</v>
      </c>
      <c r="M7703" s="12">
        <v>1446.597</v>
      </c>
      <c r="N7703" s="6">
        <v>27.57</v>
      </c>
      <c r="O7703" s="5">
        <v>26.1</v>
      </c>
      <c r="P7703" s="2" t="s">
        <v>23157</v>
      </c>
      <c r="Q7703" s="6">
        <v>100</v>
      </c>
      <c r="R7703" s="6">
        <v>3.75</v>
      </c>
      <c r="S7703" s="5">
        <v>-129.6</v>
      </c>
      <c r="T7703" s="7">
        <v>-74.766000000000005</v>
      </c>
      <c r="U7703" s="5">
        <v>-0.9</v>
      </c>
      <c r="V7703" s="6">
        <v>-2.85</v>
      </c>
      <c r="W7703" s="6">
        <v>2.25</v>
      </c>
      <c r="X7703" s="6">
        <v>2.35</v>
      </c>
      <c r="Y7703" s="6">
        <v>2.41</v>
      </c>
      <c r="Z7703" s="5">
        <v>3.4</v>
      </c>
      <c r="AA7703" s="6">
        <v>46.51</v>
      </c>
      <c r="AB7703" s="2" t="s">
        <v>86</v>
      </c>
      <c r="AC7703" s="6">
        <v>254.52</v>
      </c>
    </row>
    <row r="7704" spans="1:29" ht="78" x14ac:dyDescent="0.15">
      <c r="A7704" s="3">
        <f>DATE(2005,7,21)</f>
        <v>38554</v>
      </c>
      <c r="B7704" s="3">
        <f>DATE(2005,10,14)</f>
        <v>38639</v>
      </c>
      <c r="C7704" s="2" t="s">
        <v>95</v>
      </c>
      <c r="D7704" s="2" t="s">
        <v>12661</v>
      </c>
      <c r="E7704" s="2" t="s">
        <v>23158</v>
      </c>
      <c r="F7704" s="4">
        <v>8099</v>
      </c>
      <c r="G7704" s="2" t="s">
        <v>454</v>
      </c>
      <c r="H7704" s="2" t="s">
        <v>34</v>
      </c>
      <c r="I7704" s="2" t="s">
        <v>23159</v>
      </c>
      <c r="J7704" s="2" t="s">
        <v>16835</v>
      </c>
      <c r="K7704" s="2" t="s">
        <v>593</v>
      </c>
      <c r="L7704" s="2" t="s">
        <v>34</v>
      </c>
      <c r="M7704" s="12">
        <v>3797.5749999999998</v>
      </c>
      <c r="N7704" s="6">
        <v>47.98</v>
      </c>
      <c r="O7704" s="6">
        <v>48.39</v>
      </c>
      <c r="P7704" s="2" t="s">
        <v>23160</v>
      </c>
      <c r="Q7704" s="6">
        <v>100</v>
      </c>
      <c r="R7704" s="6">
        <v>28</v>
      </c>
      <c r="S7704" s="5">
        <v>48.3</v>
      </c>
      <c r="T7704" s="7">
        <v>82.013999999999996</v>
      </c>
      <c r="U7704" s="5">
        <v>7.6</v>
      </c>
      <c r="V7704" s="6">
        <v>1.1000000000000001</v>
      </c>
      <c r="W7704" s="6">
        <v>25.62</v>
      </c>
      <c r="X7704" s="4">
        <v>26</v>
      </c>
      <c r="Y7704" s="6">
        <v>25.85</v>
      </c>
      <c r="Z7704" s="6">
        <v>27.57</v>
      </c>
      <c r="AA7704" s="6">
        <v>43.83</v>
      </c>
      <c r="AB7704" s="7">
        <v>15.066000000000001</v>
      </c>
      <c r="AC7704" s="6">
        <v>417.25</v>
      </c>
    </row>
    <row r="7705" spans="1:29" ht="117" x14ac:dyDescent="0.15">
      <c r="A7705" s="3">
        <f>DATE(2005,7,22)</f>
        <v>38555</v>
      </c>
      <c r="B7705" s="3">
        <f>DATE(2005,10,6)</f>
        <v>38631</v>
      </c>
      <c r="C7705" s="2" t="s">
        <v>95</v>
      </c>
      <c r="D7705" s="2" t="s">
        <v>23161</v>
      </c>
      <c r="E7705" s="2" t="s">
        <v>23162</v>
      </c>
      <c r="F7705" s="4">
        <v>3823</v>
      </c>
      <c r="G7705" s="2" t="s">
        <v>226</v>
      </c>
      <c r="H7705" s="2" t="s">
        <v>34</v>
      </c>
      <c r="I7705" s="2" t="s">
        <v>23163</v>
      </c>
      <c r="J7705" s="2" t="s">
        <v>23164</v>
      </c>
      <c r="K7705" s="2" t="s">
        <v>137</v>
      </c>
      <c r="L7705" s="2" t="s">
        <v>133</v>
      </c>
      <c r="M7705" s="12">
        <v>16895.442999999999</v>
      </c>
      <c r="N7705" s="7">
        <v>79.039000000000001</v>
      </c>
      <c r="O7705" s="7">
        <v>79.451999999999998</v>
      </c>
      <c r="P7705" s="2" t="s">
        <v>23165</v>
      </c>
      <c r="Q7705" s="6">
        <v>100</v>
      </c>
      <c r="R7705" s="6">
        <v>35</v>
      </c>
      <c r="S7705" s="5">
        <v>14.5</v>
      </c>
      <c r="T7705" s="7">
        <v>32.685000000000002</v>
      </c>
      <c r="U7705" s="5">
        <v>5.5</v>
      </c>
      <c r="V7705" s="6">
        <v>0.98</v>
      </c>
      <c r="W7705" s="6">
        <v>30.36</v>
      </c>
      <c r="X7705" s="6">
        <v>29.25</v>
      </c>
      <c r="Y7705" s="6">
        <v>34.82</v>
      </c>
      <c r="Z7705" s="6">
        <v>34.71</v>
      </c>
      <c r="AA7705" s="6">
        <v>14.97</v>
      </c>
      <c r="AB7705" s="7">
        <v>23.614000000000001</v>
      </c>
      <c r="AC7705" s="8">
        <v>1330.7</v>
      </c>
    </row>
    <row r="7706" spans="1:29" ht="130" x14ac:dyDescent="0.15">
      <c r="A7706" s="3">
        <f>DATE(2005,7,22)</f>
        <v>38555</v>
      </c>
      <c r="B7706" s="3">
        <f>DATE(2005,11,18)</f>
        <v>38674</v>
      </c>
      <c r="C7706" s="2" t="s">
        <v>95</v>
      </c>
      <c r="D7706" s="2" t="s">
        <v>23166</v>
      </c>
      <c r="E7706" s="2" t="s">
        <v>21252</v>
      </c>
      <c r="F7706" s="4">
        <v>6021</v>
      </c>
      <c r="G7706" s="2" t="s">
        <v>37</v>
      </c>
      <c r="H7706" s="2" t="s">
        <v>34</v>
      </c>
      <c r="I7706" s="2" t="s">
        <v>22550</v>
      </c>
      <c r="J7706" s="2" t="s">
        <v>36</v>
      </c>
      <c r="K7706" s="2" t="s">
        <v>37</v>
      </c>
      <c r="L7706" s="2" t="s">
        <v>34</v>
      </c>
      <c r="M7706" s="7">
        <v>257.86200000000002</v>
      </c>
      <c r="N7706" s="6">
        <v>34.18</v>
      </c>
      <c r="O7706" s="5">
        <v>33.4</v>
      </c>
      <c r="P7706" s="2" t="s">
        <v>23167</v>
      </c>
      <c r="Q7706" s="6">
        <v>100</v>
      </c>
      <c r="R7706" s="6">
        <v>19.239999999999998</v>
      </c>
      <c r="S7706" s="5">
        <v>-0.3</v>
      </c>
      <c r="T7706" s="7">
        <v>-0.185</v>
      </c>
      <c r="U7706" s="5">
        <v>6.7</v>
      </c>
      <c r="V7706" s="6">
        <v>-0.35</v>
      </c>
      <c r="W7706" s="4">
        <v>16</v>
      </c>
      <c r="X7706" s="4">
        <v>17</v>
      </c>
      <c r="Y7706" s="4">
        <v>19</v>
      </c>
      <c r="Z7706" s="6">
        <v>19.03</v>
      </c>
      <c r="AA7706" s="6">
        <v>1.22</v>
      </c>
      <c r="AB7706" s="2" t="s">
        <v>86</v>
      </c>
      <c r="AC7706" s="2"/>
    </row>
    <row r="7707" spans="1:29" ht="52" x14ac:dyDescent="0.15">
      <c r="A7707" s="3">
        <f>DATE(2005,7,25)</f>
        <v>38558</v>
      </c>
      <c r="B7707" s="3">
        <f>DATE(2005,11,7)</f>
        <v>38663</v>
      </c>
      <c r="C7707" s="2" t="s">
        <v>95</v>
      </c>
      <c r="D7707" s="2" t="s">
        <v>23168</v>
      </c>
      <c r="E7707" s="2" t="s">
        <v>23169</v>
      </c>
      <c r="F7707" s="4">
        <v>2082</v>
      </c>
      <c r="G7707" s="2" t="s">
        <v>577</v>
      </c>
      <c r="H7707" s="2" t="s">
        <v>34</v>
      </c>
      <c r="I7707" s="2" t="s">
        <v>23170</v>
      </c>
      <c r="J7707" s="2" t="s">
        <v>23171</v>
      </c>
      <c r="K7707" s="2" t="s">
        <v>415</v>
      </c>
      <c r="L7707" s="2" t="s">
        <v>34</v>
      </c>
      <c r="M7707" s="7">
        <v>50.554000000000002</v>
      </c>
      <c r="N7707" s="5">
        <v>1.2</v>
      </c>
      <c r="O7707" s="5">
        <v>1.2</v>
      </c>
      <c r="P7707" s="2" t="s">
        <v>23172</v>
      </c>
      <c r="Q7707" s="6">
        <v>100</v>
      </c>
      <c r="R7707" s="2"/>
      <c r="S7707" s="2"/>
      <c r="T7707" s="2"/>
      <c r="U7707" s="5">
        <v>0</v>
      </c>
      <c r="V7707" s="2"/>
      <c r="W7707" s="4">
        <v>3</v>
      </c>
      <c r="X7707" s="4">
        <v>1</v>
      </c>
      <c r="Y7707" s="2"/>
      <c r="Z7707" s="2"/>
      <c r="AA7707" s="2"/>
      <c r="AB7707" s="2" t="s">
        <v>47</v>
      </c>
      <c r="AC7707" s="2"/>
    </row>
    <row r="7708" spans="1:29" ht="169" x14ac:dyDescent="0.15">
      <c r="A7708" s="3">
        <f>DATE(2005,7,25)</f>
        <v>38558</v>
      </c>
      <c r="B7708" s="3">
        <f>DATE(2006,1,26)</f>
        <v>38743</v>
      </c>
      <c r="C7708" s="2" t="s">
        <v>95</v>
      </c>
      <c r="D7708" s="2" t="s">
        <v>2304</v>
      </c>
      <c r="E7708" s="2" t="s">
        <v>2305</v>
      </c>
      <c r="F7708" s="4">
        <v>2834</v>
      </c>
      <c r="G7708" s="2" t="s">
        <v>130</v>
      </c>
      <c r="H7708" s="2" t="s">
        <v>34</v>
      </c>
      <c r="I7708" s="2" t="s">
        <v>7461</v>
      </c>
      <c r="J7708" s="2" t="s">
        <v>7462</v>
      </c>
      <c r="K7708" s="2" t="s">
        <v>130</v>
      </c>
      <c r="L7708" s="2" t="s">
        <v>4242</v>
      </c>
      <c r="M7708" s="12">
        <v>19345.218000000001</v>
      </c>
      <c r="N7708" s="7">
        <v>32.856999999999999</v>
      </c>
      <c r="O7708" s="7">
        <v>32.037999999999997</v>
      </c>
      <c r="P7708" s="2" t="s">
        <v>23173</v>
      </c>
      <c r="Q7708" s="6">
        <v>100</v>
      </c>
      <c r="R7708" s="6">
        <v>26.2</v>
      </c>
      <c r="S7708" s="5">
        <v>186.7</v>
      </c>
      <c r="T7708" s="7">
        <v>311.62200000000001</v>
      </c>
      <c r="U7708" s="5">
        <v>5.9</v>
      </c>
      <c r="V7708" s="6">
        <v>0.69</v>
      </c>
      <c r="W7708" s="6">
        <v>23.16</v>
      </c>
      <c r="X7708" s="6">
        <v>22.88</v>
      </c>
      <c r="Y7708" s="6">
        <v>25.17</v>
      </c>
      <c r="Z7708" s="5">
        <v>25.5</v>
      </c>
      <c r="AA7708" s="6">
        <v>268.67</v>
      </c>
      <c r="AB7708" s="7">
        <v>37.979999999999997</v>
      </c>
      <c r="AC7708" s="10">
        <v>1126.28</v>
      </c>
    </row>
    <row r="7709" spans="1:29" ht="130" x14ac:dyDescent="0.15">
      <c r="A7709" s="3">
        <f>DATE(2005,7,26)</f>
        <v>38559</v>
      </c>
      <c r="B7709" s="3">
        <f>DATE(2005,10,6)</f>
        <v>38631</v>
      </c>
      <c r="C7709" s="2" t="s">
        <v>95</v>
      </c>
      <c r="D7709" s="2" t="s">
        <v>22831</v>
      </c>
      <c r="E7709" s="2" t="s">
        <v>22832</v>
      </c>
      <c r="F7709" s="4">
        <v>2835</v>
      </c>
      <c r="G7709" s="2" t="s">
        <v>130</v>
      </c>
      <c r="H7709" s="2" t="s">
        <v>34</v>
      </c>
      <c r="I7709" s="2" t="s">
        <v>17211</v>
      </c>
      <c r="J7709" s="2" t="s">
        <v>16467</v>
      </c>
      <c r="K7709" s="2" t="s">
        <v>130</v>
      </c>
      <c r="L7709" s="2" t="s">
        <v>34</v>
      </c>
      <c r="M7709" s="12">
        <v>4318.0150000000003</v>
      </c>
      <c r="N7709" s="5">
        <v>86.5</v>
      </c>
      <c r="O7709" s="6">
        <v>88.17</v>
      </c>
      <c r="P7709" s="2" t="s">
        <v>23174</v>
      </c>
      <c r="Q7709" s="6">
        <v>100</v>
      </c>
      <c r="R7709" s="6">
        <v>12.5</v>
      </c>
      <c r="S7709" s="5">
        <v>0.7</v>
      </c>
      <c r="T7709" s="7">
        <v>4.2409999999999997</v>
      </c>
      <c r="U7709" s="5">
        <v>4.0999999999999996</v>
      </c>
      <c r="V7709" s="6">
        <v>7.0000000000000007E-2</v>
      </c>
      <c r="W7709" s="6">
        <v>7.34</v>
      </c>
      <c r="X7709" s="6">
        <v>7.02</v>
      </c>
      <c r="Y7709" s="6">
        <v>6.75</v>
      </c>
      <c r="Z7709" s="5">
        <v>9.4</v>
      </c>
      <c r="AA7709" s="6">
        <v>9.84</v>
      </c>
      <c r="AB7709" s="7">
        <v>70.015000000000001</v>
      </c>
      <c r="AC7709" s="6">
        <v>931.92</v>
      </c>
    </row>
    <row r="7710" spans="1:29" ht="91" x14ac:dyDescent="0.15">
      <c r="A7710" s="3">
        <f>DATE(2005,7,26)</f>
        <v>38559</v>
      </c>
      <c r="B7710" s="2"/>
      <c r="C7710" s="2" t="s">
        <v>30</v>
      </c>
      <c r="D7710" s="2" t="s">
        <v>16165</v>
      </c>
      <c r="E7710" s="2" t="s">
        <v>16166</v>
      </c>
      <c r="F7710" s="4">
        <v>7372</v>
      </c>
      <c r="G7710" s="2" t="s">
        <v>551</v>
      </c>
      <c r="H7710" s="2" t="s">
        <v>34</v>
      </c>
      <c r="I7710" s="2" t="s">
        <v>23175</v>
      </c>
      <c r="J7710" s="2" t="s">
        <v>244</v>
      </c>
      <c r="K7710" s="2" t="s">
        <v>53</v>
      </c>
      <c r="L7710" s="2" t="s">
        <v>34</v>
      </c>
      <c r="M7710" s="2"/>
      <c r="N7710" s="2"/>
      <c r="O7710" s="2"/>
      <c r="P7710" s="2" t="s">
        <v>23176</v>
      </c>
      <c r="Q7710" s="2"/>
      <c r="R7710" s="6">
        <v>0.84</v>
      </c>
      <c r="S7710" s="5">
        <v>24.4</v>
      </c>
      <c r="T7710" s="7">
        <v>22.265000000000001</v>
      </c>
      <c r="U7710" s="5">
        <v>1</v>
      </c>
      <c r="V7710" s="6">
        <v>0.7</v>
      </c>
      <c r="W7710" s="6">
        <v>1.31</v>
      </c>
      <c r="X7710" s="6">
        <v>1.32</v>
      </c>
      <c r="Y7710" s="6">
        <v>0.92</v>
      </c>
      <c r="Z7710" s="6">
        <v>0.86</v>
      </c>
      <c r="AA7710" s="6">
        <v>34.18</v>
      </c>
      <c r="AB7710" s="7">
        <v>1.27</v>
      </c>
      <c r="AC7710" s="2"/>
    </row>
    <row r="7711" spans="1:29" ht="143" x14ac:dyDescent="0.15">
      <c r="A7711" s="3">
        <f>DATE(2005,7,26)</f>
        <v>38559</v>
      </c>
      <c r="B7711" s="3">
        <f>DATE(2006,2,1)</f>
        <v>38749</v>
      </c>
      <c r="C7711" s="2" t="s">
        <v>95</v>
      </c>
      <c r="D7711" s="2" t="s">
        <v>23177</v>
      </c>
      <c r="E7711" s="2" t="s">
        <v>2337</v>
      </c>
      <c r="F7711" s="4">
        <v>6022</v>
      </c>
      <c r="G7711" s="2" t="s">
        <v>37</v>
      </c>
      <c r="H7711" s="2" t="s">
        <v>34</v>
      </c>
      <c r="I7711" s="2" t="s">
        <v>4525</v>
      </c>
      <c r="J7711" s="2" t="s">
        <v>36</v>
      </c>
      <c r="K7711" s="2" t="s">
        <v>37</v>
      </c>
      <c r="L7711" s="2" t="s">
        <v>34</v>
      </c>
      <c r="M7711" s="12">
        <v>2237.5309999999999</v>
      </c>
      <c r="N7711" s="6">
        <v>18.489999999999998</v>
      </c>
      <c r="O7711" s="6">
        <v>18.02</v>
      </c>
      <c r="P7711" s="2" t="s">
        <v>23178</v>
      </c>
      <c r="Q7711" s="6">
        <v>100</v>
      </c>
      <c r="R7711" s="6">
        <v>42.85</v>
      </c>
      <c r="S7711" s="5">
        <v>12.7</v>
      </c>
      <c r="T7711" s="2"/>
      <c r="U7711" s="5">
        <v>12.7</v>
      </c>
      <c r="V7711" s="6">
        <v>1.73</v>
      </c>
      <c r="W7711" s="6">
        <v>36.54</v>
      </c>
      <c r="X7711" s="6">
        <v>36.65</v>
      </c>
      <c r="Y7711" s="6">
        <v>37.25</v>
      </c>
      <c r="Z7711" s="5">
        <v>41.7</v>
      </c>
      <c r="AA7711" s="6">
        <v>6.92</v>
      </c>
      <c r="AB7711" s="7">
        <v>22.268999999999998</v>
      </c>
      <c r="AC7711" s="2"/>
    </row>
    <row r="7712" spans="1:29" ht="143" x14ac:dyDescent="0.15">
      <c r="A7712" s="3">
        <f>DATE(2005,7,26)</f>
        <v>38559</v>
      </c>
      <c r="B7712" s="3">
        <f>DATE(2005,9,13)</f>
        <v>38608</v>
      </c>
      <c r="C7712" s="2" t="s">
        <v>95</v>
      </c>
      <c r="D7712" s="2" t="s">
        <v>23179</v>
      </c>
      <c r="E7712" s="2" t="s">
        <v>12536</v>
      </c>
      <c r="F7712" s="4">
        <v>5995</v>
      </c>
      <c r="G7712" s="2" t="s">
        <v>73</v>
      </c>
      <c r="H7712" s="2" t="s">
        <v>34</v>
      </c>
      <c r="I7712" s="2" t="s">
        <v>23180</v>
      </c>
      <c r="J7712" s="2" t="s">
        <v>244</v>
      </c>
      <c r="K7712" s="2" t="s">
        <v>53</v>
      </c>
      <c r="L7712" s="2" t="s">
        <v>34</v>
      </c>
      <c r="M7712" s="2"/>
      <c r="N7712" s="2"/>
      <c r="O7712" s="2"/>
      <c r="P7712" s="2" t="s">
        <v>23181</v>
      </c>
      <c r="Q7712" s="6">
        <v>100</v>
      </c>
      <c r="R7712" s="6">
        <v>7.25</v>
      </c>
      <c r="S7712" s="5">
        <v>6.1</v>
      </c>
      <c r="T7712" s="7">
        <v>29.367999999999999</v>
      </c>
      <c r="U7712" s="5">
        <v>4.7</v>
      </c>
      <c r="V7712" s="6">
        <v>1.08</v>
      </c>
      <c r="W7712" s="6">
        <v>5.05</v>
      </c>
      <c r="X7712" s="5">
        <v>5.0999999999999996</v>
      </c>
      <c r="Y7712" s="6">
        <v>7.12</v>
      </c>
      <c r="Z7712" s="6">
        <v>7.12</v>
      </c>
      <c r="AA7712" s="6">
        <v>5.46</v>
      </c>
      <c r="AB7712" s="7">
        <v>6.27</v>
      </c>
      <c r="AC7712" s="2"/>
    </row>
    <row r="7713" spans="1:29" ht="117" x14ac:dyDescent="0.15">
      <c r="A7713" s="3">
        <f>DATE(2005,7,27)</f>
        <v>38560</v>
      </c>
      <c r="B7713" s="3">
        <f>DATE(2006,4,13)</f>
        <v>38820</v>
      </c>
      <c r="C7713" s="2" t="s">
        <v>95</v>
      </c>
      <c r="D7713" s="2" t="s">
        <v>23182</v>
      </c>
      <c r="E7713" s="2" t="s">
        <v>23183</v>
      </c>
      <c r="F7713" s="4">
        <v>6021</v>
      </c>
      <c r="G7713" s="2" t="s">
        <v>37</v>
      </c>
      <c r="H7713" s="2" t="s">
        <v>34</v>
      </c>
      <c r="I7713" s="2" t="s">
        <v>6872</v>
      </c>
      <c r="J7713" s="2" t="s">
        <v>36</v>
      </c>
      <c r="K7713" s="2" t="s">
        <v>37</v>
      </c>
      <c r="L7713" s="2" t="s">
        <v>34</v>
      </c>
      <c r="M7713" s="12">
        <v>1351.2550000000001</v>
      </c>
      <c r="N7713" s="5">
        <v>33.299999999999997</v>
      </c>
      <c r="O7713" s="6">
        <v>33.44</v>
      </c>
      <c r="P7713" s="2" t="s">
        <v>23184</v>
      </c>
      <c r="Q7713" s="6">
        <v>100</v>
      </c>
      <c r="R7713" s="6">
        <v>34.64</v>
      </c>
      <c r="S7713" s="5">
        <v>3.7</v>
      </c>
      <c r="T7713" s="2"/>
      <c r="U7713" s="5">
        <v>8.6999999999999993</v>
      </c>
      <c r="V7713" s="9">
        <v>1.0794999999999999</v>
      </c>
      <c r="W7713" s="5">
        <v>24.5</v>
      </c>
      <c r="X7713" s="6">
        <v>26.28</v>
      </c>
      <c r="Y7713" s="6">
        <v>28.49</v>
      </c>
      <c r="Z7713" s="6">
        <v>33.75</v>
      </c>
      <c r="AA7713" s="6">
        <v>3.31</v>
      </c>
      <c r="AB7713" s="7">
        <v>24.93</v>
      </c>
      <c r="AC7713" s="2"/>
    </row>
    <row r="7714" spans="1:29" ht="91" x14ac:dyDescent="0.15">
      <c r="A7714" s="3">
        <f>DATE(2005,7,27)</f>
        <v>38560</v>
      </c>
      <c r="B7714" s="3">
        <f>DATE(2006,2,7)</f>
        <v>38755</v>
      </c>
      <c r="C7714" s="2" t="s">
        <v>95</v>
      </c>
      <c r="D7714" s="2" t="s">
        <v>23185</v>
      </c>
      <c r="E7714" s="2" t="s">
        <v>124</v>
      </c>
      <c r="F7714" s="4">
        <v>6311</v>
      </c>
      <c r="G7714" s="2" t="s">
        <v>125</v>
      </c>
      <c r="H7714" s="2" t="s">
        <v>34</v>
      </c>
      <c r="I7714" s="2" t="s">
        <v>23186</v>
      </c>
      <c r="J7714" s="2" t="s">
        <v>23187</v>
      </c>
      <c r="K7714" s="2" t="s">
        <v>125</v>
      </c>
      <c r="L7714" s="2" t="s">
        <v>34</v>
      </c>
      <c r="M7714" s="2"/>
      <c r="N7714" s="2"/>
      <c r="O7714" s="2"/>
      <c r="P7714" s="2" t="s">
        <v>23188</v>
      </c>
      <c r="Q7714" s="6">
        <v>100</v>
      </c>
      <c r="R7714" s="6">
        <v>22.49</v>
      </c>
      <c r="S7714" s="2"/>
      <c r="T7714" s="2"/>
      <c r="U7714" s="2"/>
      <c r="V7714" s="2"/>
      <c r="W7714" s="6">
        <v>14.99</v>
      </c>
      <c r="X7714" s="6">
        <v>14.99</v>
      </c>
      <c r="Y7714" s="5">
        <v>21.1</v>
      </c>
      <c r="Z7714" s="6">
        <v>21.25</v>
      </c>
      <c r="AA7714" s="6">
        <v>1.1599999999999999</v>
      </c>
      <c r="AB7714" s="2" t="s">
        <v>47</v>
      </c>
      <c r="AC7714" s="2"/>
    </row>
    <row r="7715" spans="1:29" ht="78" x14ac:dyDescent="0.15">
      <c r="A7715" s="3">
        <f>DATE(2005,7,28)</f>
        <v>38561</v>
      </c>
      <c r="B7715" s="3">
        <f>DATE(2005,10,26)</f>
        <v>38651</v>
      </c>
      <c r="C7715" s="2" t="s">
        <v>95</v>
      </c>
      <c r="D7715" s="2" t="s">
        <v>18549</v>
      </c>
      <c r="E7715" s="2" t="s">
        <v>4679</v>
      </c>
      <c r="F7715" s="4">
        <v>7372</v>
      </c>
      <c r="G7715" s="2" t="s">
        <v>551</v>
      </c>
      <c r="H7715" s="2" t="s">
        <v>34</v>
      </c>
      <c r="I7715" s="2" t="s">
        <v>5513</v>
      </c>
      <c r="J7715" s="2" t="s">
        <v>5514</v>
      </c>
      <c r="K7715" s="2" t="s">
        <v>551</v>
      </c>
      <c r="L7715" s="2" t="s">
        <v>34</v>
      </c>
      <c r="M7715" s="12">
        <v>1646.1510000000001</v>
      </c>
      <c r="N7715" s="6">
        <v>21.25</v>
      </c>
      <c r="O7715" s="6">
        <v>21.28</v>
      </c>
      <c r="P7715" s="2" t="s">
        <v>23189</v>
      </c>
      <c r="Q7715" s="6">
        <v>100</v>
      </c>
      <c r="R7715" s="6">
        <v>4.46</v>
      </c>
      <c r="S7715" s="5">
        <v>4</v>
      </c>
      <c r="T7715" s="7">
        <v>5.9550000000000001</v>
      </c>
      <c r="U7715" s="5">
        <v>1.5</v>
      </c>
      <c r="V7715" s="6">
        <v>0.25</v>
      </c>
      <c r="W7715" s="6">
        <v>3.75</v>
      </c>
      <c r="X7715" s="6">
        <v>3.62</v>
      </c>
      <c r="Y7715" s="6">
        <v>3.44</v>
      </c>
      <c r="Z7715" s="6">
        <v>4.37</v>
      </c>
      <c r="AA7715" s="6">
        <v>15.58</v>
      </c>
      <c r="AB7715" s="7">
        <v>12.259</v>
      </c>
      <c r="AC7715" s="5">
        <v>890.8</v>
      </c>
    </row>
    <row r="7716" spans="1:29" ht="117" x14ac:dyDescent="0.15">
      <c r="A7716" s="3">
        <f>DATE(2005,7,28)</f>
        <v>38561</v>
      </c>
      <c r="B7716" s="3">
        <f>DATE(2005,11,23)</f>
        <v>38679</v>
      </c>
      <c r="C7716" s="2" t="s">
        <v>95</v>
      </c>
      <c r="D7716" s="2" t="s">
        <v>23190</v>
      </c>
      <c r="E7716" s="2" t="s">
        <v>23191</v>
      </c>
      <c r="F7716" s="4">
        <v>7372</v>
      </c>
      <c r="G7716" s="2" t="s">
        <v>551</v>
      </c>
      <c r="H7716" s="2" t="s">
        <v>34</v>
      </c>
      <c r="I7716" s="2" t="s">
        <v>23192</v>
      </c>
      <c r="J7716" s="2" t="s">
        <v>244</v>
      </c>
      <c r="K7716" s="2" t="s">
        <v>53</v>
      </c>
      <c r="L7716" s="2" t="s">
        <v>34</v>
      </c>
      <c r="M7716" s="2"/>
      <c r="N7716" s="2"/>
      <c r="O7716" s="2"/>
      <c r="P7716" s="2" t="s">
        <v>23193</v>
      </c>
      <c r="Q7716" s="6">
        <v>100</v>
      </c>
      <c r="R7716" s="6">
        <v>37.25</v>
      </c>
      <c r="S7716" s="5">
        <v>10.7</v>
      </c>
      <c r="T7716" s="7">
        <v>20.042999999999999</v>
      </c>
      <c r="U7716" s="5">
        <v>3.1</v>
      </c>
      <c r="V7716" s="9">
        <v>0.5333</v>
      </c>
      <c r="W7716" s="6">
        <v>33.42</v>
      </c>
      <c r="X7716" s="4">
        <v>33</v>
      </c>
      <c r="Y7716" s="5">
        <v>36.5</v>
      </c>
      <c r="Z7716" s="6">
        <v>36.42</v>
      </c>
      <c r="AA7716" s="6">
        <v>23.53</v>
      </c>
      <c r="AB7716" s="7">
        <v>43.460999999999999</v>
      </c>
      <c r="AC7716" s="2"/>
    </row>
    <row r="7717" spans="1:29" ht="78" x14ac:dyDescent="0.15">
      <c r="A7717" s="3">
        <f>DATE(2005,7,29)</f>
        <v>38562</v>
      </c>
      <c r="B7717" s="2"/>
      <c r="C7717" s="2" t="s">
        <v>30</v>
      </c>
      <c r="D7717" s="2" t="s">
        <v>23194</v>
      </c>
      <c r="E7717" s="2" t="s">
        <v>23195</v>
      </c>
      <c r="F7717" s="4">
        <v>8721</v>
      </c>
      <c r="G7717" s="2" t="s">
        <v>223</v>
      </c>
      <c r="H7717" s="2" t="s">
        <v>34</v>
      </c>
      <c r="I7717" s="2" t="s">
        <v>23196</v>
      </c>
      <c r="J7717" s="2" t="s">
        <v>9451</v>
      </c>
      <c r="K7717" s="2" t="s">
        <v>53</v>
      </c>
      <c r="L7717" s="2" t="s">
        <v>34</v>
      </c>
      <c r="M7717" s="2"/>
      <c r="N7717" s="2"/>
      <c r="O7717" s="2"/>
      <c r="P7717" s="2" t="s">
        <v>23197</v>
      </c>
      <c r="Q7717" s="2"/>
      <c r="R7717" s="6">
        <v>3.43</v>
      </c>
      <c r="S7717" s="5">
        <v>-71.5</v>
      </c>
      <c r="T7717" s="6">
        <v>25.57</v>
      </c>
      <c r="U7717" s="2"/>
      <c r="V7717" s="6">
        <v>-1.23</v>
      </c>
      <c r="W7717" s="6">
        <v>2.82</v>
      </c>
      <c r="X7717" s="6">
        <v>2.89</v>
      </c>
      <c r="Y7717" s="6">
        <v>3.16</v>
      </c>
      <c r="Z7717" s="6">
        <v>3.15</v>
      </c>
      <c r="AA7717" s="6">
        <v>62.31</v>
      </c>
      <c r="AB7717" s="7">
        <v>26.87</v>
      </c>
      <c r="AC7717" s="2"/>
    </row>
    <row r="7718" spans="1:29" ht="117" x14ac:dyDescent="0.15">
      <c r="A7718" s="3">
        <f>DATE(2005,8,1)</f>
        <v>38565</v>
      </c>
      <c r="B7718" s="3">
        <f>DATE(2005,12,30)</f>
        <v>38716</v>
      </c>
      <c r="C7718" s="2" t="s">
        <v>95</v>
      </c>
      <c r="D7718" s="2" t="s">
        <v>23198</v>
      </c>
      <c r="E7718" s="2" t="s">
        <v>23199</v>
      </c>
      <c r="F7718" s="4">
        <v>6021</v>
      </c>
      <c r="G7718" s="2" t="s">
        <v>37</v>
      </c>
      <c r="H7718" s="2" t="s">
        <v>34</v>
      </c>
      <c r="I7718" s="2" t="s">
        <v>18639</v>
      </c>
      <c r="J7718" s="2" t="s">
        <v>36</v>
      </c>
      <c r="K7718" s="2" t="s">
        <v>37</v>
      </c>
      <c r="L7718" s="2" t="s">
        <v>34</v>
      </c>
      <c r="M7718" s="12">
        <v>4878.2420000000002</v>
      </c>
      <c r="N7718" s="6">
        <v>18.47</v>
      </c>
      <c r="O7718" s="6">
        <v>18.32</v>
      </c>
      <c r="P7718" s="2" t="s">
        <v>23200</v>
      </c>
      <c r="Q7718" s="6">
        <v>100</v>
      </c>
      <c r="R7718" s="6">
        <v>42.6</v>
      </c>
      <c r="S7718" s="5">
        <v>3.5</v>
      </c>
      <c r="T7718" s="2"/>
      <c r="U7718" s="5">
        <v>18.5</v>
      </c>
      <c r="V7718" s="6">
        <v>2.17</v>
      </c>
      <c r="W7718" s="5">
        <v>33.6</v>
      </c>
      <c r="X7718" s="6">
        <v>34.01</v>
      </c>
      <c r="Y7718" s="6">
        <v>34.01</v>
      </c>
      <c r="Z7718" s="5">
        <v>41.2</v>
      </c>
      <c r="AA7718" s="6">
        <v>1.52</v>
      </c>
      <c r="AB7718" s="7">
        <v>30.039000000000001</v>
      </c>
      <c r="AC7718" s="2"/>
    </row>
    <row r="7719" spans="1:29" ht="182" x14ac:dyDescent="0.15">
      <c r="A7719" s="3">
        <f>DATE(2005,8,1)</f>
        <v>38565</v>
      </c>
      <c r="B7719" s="3">
        <f>DATE(2006,8,22)</f>
        <v>38951</v>
      </c>
      <c r="C7719" s="2" t="s">
        <v>95</v>
      </c>
      <c r="D7719" s="2" t="s">
        <v>23201</v>
      </c>
      <c r="E7719" s="2" t="s">
        <v>92</v>
      </c>
      <c r="F7719" s="4">
        <v>6798</v>
      </c>
      <c r="G7719" s="2" t="s">
        <v>53</v>
      </c>
      <c r="H7719" s="2" t="s">
        <v>34</v>
      </c>
      <c r="I7719" s="2" t="s">
        <v>7163</v>
      </c>
      <c r="J7719" s="2" t="s">
        <v>2044</v>
      </c>
      <c r="K7719" s="2" t="s">
        <v>53</v>
      </c>
      <c r="L7719" s="2" t="s">
        <v>34</v>
      </c>
      <c r="M7719" s="12">
        <v>8193.1110000000008</v>
      </c>
      <c r="N7719" s="5">
        <v>65.599999999999994</v>
      </c>
      <c r="O7719" s="6">
        <v>64.989999999999995</v>
      </c>
      <c r="P7719" s="2" t="s">
        <v>23202</v>
      </c>
      <c r="Q7719" s="6">
        <v>100</v>
      </c>
      <c r="R7719" s="6">
        <v>64.260000000000005</v>
      </c>
      <c r="S7719" s="5">
        <v>-0.9</v>
      </c>
      <c r="T7719" s="7">
        <v>100.185</v>
      </c>
      <c r="U7719" s="5">
        <v>14.1</v>
      </c>
      <c r="V7719" s="6">
        <v>-0.28000000000000003</v>
      </c>
      <c r="W7719" s="6">
        <v>46.31</v>
      </c>
      <c r="X7719" s="5">
        <v>46.9</v>
      </c>
      <c r="Y7719" s="4">
        <v>53</v>
      </c>
      <c r="Z7719" s="6">
        <v>52.75</v>
      </c>
      <c r="AA7719" s="6">
        <v>46.65</v>
      </c>
      <c r="AB7719" s="7">
        <v>1284.239</v>
      </c>
      <c r="AC7719" s="6">
        <v>493.5</v>
      </c>
    </row>
    <row r="7720" spans="1:29" ht="117" x14ac:dyDescent="0.15">
      <c r="A7720" s="3">
        <f>DATE(2005,8,2)</f>
        <v>38566</v>
      </c>
      <c r="B7720" s="3">
        <f>DATE(2006,1,31)</f>
        <v>38748</v>
      </c>
      <c r="C7720" s="2" t="s">
        <v>95</v>
      </c>
      <c r="D7720" s="2" t="s">
        <v>23203</v>
      </c>
      <c r="E7720" s="2" t="s">
        <v>23006</v>
      </c>
      <c r="F7720" s="4">
        <v>3021</v>
      </c>
      <c r="G7720" s="2" t="s">
        <v>447</v>
      </c>
      <c r="H7720" s="2" t="s">
        <v>34</v>
      </c>
      <c r="I7720" s="2" t="s">
        <v>23204</v>
      </c>
      <c r="J7720" s="2" t="s">
        <v>23205</v>
      </c>
      <c r="K7720" s="2" t="s">
        <v>447</v>
      </c>
      <c r="L7720" s="2" t="s">
        <v>1049</v>
      </c>
      <c r="M7720" s="12">
        <v>7625.6940000000004</v>
      </c>
      <c r="N7720" s="2"/>
      <c r="O7720" s="2"/>
      <c r="P7720" s="2" t="s">
        <v>23206</v>
      </c>
      <c r="Q7720" s="6">
        <v>100</v>
      </c>
      <c r="R7720" s="6">
        <v>59</v>
      </c>
      <c r="S7720" s="5">
        <v>197.9</v>
      </c>
      <c r="T7720" s="7">
        <v>349.166</v>
      </c>
      <c r="U7720" s="5">
        <v>22.4</v>
      </c>
      <c r="V7720" s="6">
        <v>3.17</v>
      </c>
      <c r="W7720" s="6">
        <v>42.77</v>
      </c>
      <c r="X7720" s="6">
        <v>42.76</v>
      </c>
      <c r="Y7720" s="6">
        <v>43.95</v>
      </c>
      <c r="Z7720" s="6">
        <v>57.14</v>
      </c>
      <c r="AA7720" s="6">
        <v>59.67</v>
      </c>
      <c r="AB7720" s="7">
        <v>14.058</v>
      </c>
      <c r="AC7720" s="6">
        <v>595.64</v>
      </c>
    </row>
    <row r="7721" spans="1:29" ht="78" x14ac:dyDescent="0.15">
      <c r="A7721" s="3">
        <f>DATE(2005,8,3)</f>
        <v>38567</v>
      </c>
      <c r="B7721" s="3">
        <f>DATE(2005,10,17)</f>
        <v>38642</v>
      </c>
      <c r="C7721" s="2" t="s">
        <v>95</v>
      </c>
      <c r="D7721" s="2" t="s">
        <v>9645</v>
      </c>
      <c r="E7721" s="2" t="s">
        <v>5510</v>
      </c>
      <c r="F7721" s="4">
        <v>3823</v>
      </c>
      <c r="G7721" s="2" t="s">
        <v>226</v>
      </c>
      <c r="H7721" s="2" t="s">
        <v>34</v>
      </c>
      <c r="I7721" s="2" t="s">
        <v>23207</v>
      </c>
      <c r="J7721" s="2" t="s">
        <v>244</v>
      </c>
      <c r="K7721" s="2" t="s">
        <v>53</v>
      </c>
      <c r="L7721" s="2" t="s">
        <v>34</v>
      </c>
      <c r="M7721" s="2"/>
      <c r="N7721" s="2"/>
      <c r="O7721" s="2"/>
      <c r="P7721" s="2" t="s">
        <v>23208</v>
      </c>
      <c r="Q7721" s="6">
        <v>100</v>
      </c>
      <c r="R7721" s="6">
        <v>65.739999999999995</v>
      </c>
      <c r="S7721" s="5">
        <v>28.4</v>
      </c>
      <c r="T7721" s="5">
        <v>60.4</v>
      </c>
      <c r="U7721" s="5">
        <v>23.7</v>
      </c>
      <c r="V7721" s="6">
        <v>4.0999999999999996</v>
      </c>
      <c r="W7721" s="5">
        <v>57.5</v>
      </c>
      <c r="X7721" s="5">
        <v>59.5</v>
      </c>
      <c r="Y7721" s="6">
        <v>63.26</v>
      </c>
      <c r="Z7721" s="6">
        <v>63.05</v>
      </c>
      <c r="AA7721" s="6">
        <v>5.36</v>
      </c>
      <c r="AB7721" s="7">
        <v>9.7210000000000001</v>
      </c>
      <c r="AC7721" s="2"/>
    </row>
    <row r="7722" spans="1:29" ht="104" x14ac:dyDescent="0.15">
      <c r="A7722" s="3">
        <f>DATE(2005,8,3)</f>
        <v>38567</v>
      </c>
      <c r="B7722" s="3">
        <f>DATE(2005,11,1)</f>
        <v>38657</v>
      </c>
      <c r="C7722" s="2" t="s">
        <v>95</v>
      </c>
      <c r="D7722" s="2" t="s">
        <v>23209</v>
      </c>
      <c r="E7722" s="2" t="s">
        <v>23210</v>
      </c>
      <c r="F7722" s="4">
        <v>6162</v>
      </c>
      <c r="G7722" s="2" t="s">
        <v>109</v>
      </c>
      <c r="H7722" s="2" t="s">
        <v>34</v>
      </c>
      <c r="I7722" s="2" t="s">
        <v>21829</v>
      </c>
      <c r="J7722" s="2" t="s">
        <v>36</v>
      </c>
      <c r="K7722" s="2" t="s">
        <v>37</v>
      </c>
      <c r="L7722" s="2" t="s">
        <v>7831</v>
      </c>
      <c r="M7722" s="12">
        <v>6785.4269999999997</v>
      </c>
      <c r="N7722" s="6">
        <v>26.43</v>
      </c>
      <c r="O7722" s="6">
        <v>26.42</v>
      </c>
      <c r="P7722" s="2" t="s">
        <v>23211</v>
      </c>
      <c r="Q7722" s="6">
        <v>100</v>
      </c>
      <c r="R7722" s="6">
        <v>4.25</v>
      </c>
      <c r="S7722" s="5">
        <v>0.8</v>
      </c>
      <c r="T7722" s="7">
        <v>8.1289999999999996</v>
      </c>
      <c r="U7722" s="5">
        <v>1.3</v>
      </c>
      <c r="V7722" s="6">
        <v>0.01</v>
      </c>
      <c r="W7722" s="6">
        <v>3.13</v>
      </c>
      <c r="X7722" s="6">
        <v>3.09</v>
      </c>
      <c r="Y7722" s="5">
        <v>4.0999999999999996</v>
      </c>
      <c r="Z7722" s="5">
        <v>4.0999999999999996</v>
      </c>
      <c r="AA7722" s="6">
        <v>65.239999999999995</v>
      </c>
      <c r="AB7722" s="7">
        <v>151.608</v>
      </c>
      <c r="AC7722" s="2"/>
    </row>
    <row r="7723" spans="1:29" ht="78" x14ac:dyDescent="0.15">
      <c r="A7723" s="3">
        <f>DATE(2005,8,3)</f>
        <v>38567</v>
      </c>
      <c r="B7723" s="3">
        <f>DATE(2005,9,29)</f>
        <v>38624</v>
      </c>
      <c r="C7723" s="2" t="s">
        <v>95</v>
      </c>
      <c r="D7723" s="2" t="s">
        <v>23212</v>
      </c>
      <c r="E7723" s="2" t="s">
        <v>5102</v>
      </c>
      <c r="F7723" s="4">
        <v>7372</v>
      </c>
      <c r="G7723" s="2" t="s">
        <v>551</v>
      </c>
      <c r="H7723" s="2" t="s">
        <v>34</v>
      </c>
      <c r="I7723" s="2" t="s">
        <v>23213</v>
      </c>
      <c r="J7723" s="2" t="s">
        <v>23214</v>
      </c>
      <c r="K7723" s="2" t="s">
        <v>223</v>
      </c>
      <c r="L7723" s="2" t="s">
        <v>34</v>
      </c>
      <c r="M7723" s="7">
        <v>840.01099999999997</v>
      </c>
      <c r="N7723" s="5">
        <v>13.2</v>
      </c>
      <c r="O7723" s="6">
        <v>12.85</v>
      </c>
      <c r="P7723" s="2" t="s">
        <v>23215</v>
      </c>
      <c r="Q7723" s="6">
        <v>100</v>
      </c>
      <c r="R7723" s="6">
        <v>4.2</v>
      </c>
      <c r="S7723" s="5">
        <v>-14.2</v>
      </c>
      <c r="T7723" s="2"/>
      <c r="U7723" s="2"/>
      <c r="V7723" s="6">
        <v>-0.19</v>
      </c>
      <c r="W7723" s="6">
        <v>3.78</v>
      </c>
      <c r="X7723" s="5">
        <v>3.9</v>
      </c>
      <c r="Y7723" s="6">
        <v>3.92</v>
      </c>
      <c r="Z7723" s="6">
        <v>4.1399999999999997</v>
      </c>
      <c r="AA7723" s="6">
        <v>77.56</v>
      </c>
      <c r="AB7723" s="2" t="s">
        <v>86</v>
      </c>
      <c r="AC7723" s="2"/>
    </row>
    <row r="7724" spans="1:29" ht="104" x14ac:dyDescent="0.15">
      <c r="A7724" s="3">
        <f>DATE(2005,8,4)</f>
        <v>38568</v>
      </c>
      <c r="B7724" s="2"/>
      <c r="C7724" s="2" t="s">
        <v>30</v>
      </c>
      <c r="D7724" s="2" t="s">
        <v>23216</v>
      </c>
      <c r="E7724" s="2" t="s">
        <v>92</v>
      </c>
      <c r="F7724" s="4">
        <v>6798</v>
      </c>
      <c r="G7724" s="2" t="s">
        <v>53</v>
      </c>
      <c r="H7724" s="2" t="s">
        <v>34</v>
      </c>
      <c r="I7724" s="2" t="s">
        <v>18930</v>
      </c>
      <c r="J7724" s="2" t="s">
        <v>92</v>
      </c>
      <c r="K7724" s="2" t="s">
        <v>53</v>
      </c>
      <c r="L7724" s="2" t="s">
        <v>34</v>
      </c>
      <c r="M7724" s="12">
        <v>1702.424</v>
      </c>
      <c r="N7724" s="6">
        <v>24.47</v>
      </c>
      <c r="O7724" s="6">
        <v>23.91</v>
      </c>
      <c r="P7724" s="2" t="s">
        <v>23217</v>
      </c>
      <c r="Q7724" s="2"/>
      <c r="R7724" s="6">
        <v>17</v>
      </c>
      <c r="S7724" s="5">
        <v>10.7</v>
      </c>
      <c r="T7724" s="2"/>
      <c r="U7724" s="5">
        <v>9.6</v>
      </c>
      <c r="V7724" s="6">
        <v>0.28000000000000003</v>
      </c>
      <c r="W7724" s="6">
        <v>15.66</v>
      </c>
      <c r="X7724" s="5">
        <v>15.3</v>
      </c>
      <c r="Y7724" s="6">
        <v>14.92</v>
      </c>
      <c r="Z7724" s="6">
        <v>16.68</v>
      </c>
      <c r="AA7724" s="6">
        <v>22.35</v>
      </c>
      <c r="AB7724" s="2" t="s">
        <v>47</v>
      </c>
      <c r="AC7724" s="2"/>
    </row>
    <row r="7725" spans="1:29" ht="117" x14ac:dyDescent="0.15">
      <c r="A7725" s="3">
        <f>DATE(2005,8,4)</f>
        <v>38568</v>
      </c>
      <c r="B7725" s="3">
        <f>DATE(2005,12,1)</f>
        <v>38687</v>
      </c>
      <c r="C7725" s="2" t="s">
        <v>95</v>
      </c>
      <c r="D7725" s="2" t="s">
        <v>10684</v>
      </c>
      <c r="E7725" s="2" t="s">
        <v>6736</v>
      </c>
      <c r="F7725" s="4">
        <v>6141</v>
      </c>
      <c r="G7725" s="2" t="s">
        <v>370</v>
      </c>
      <c r="H7725" s="2" t="s">
        <v>34</v>
      </c>
      <c r="I7725" s="2" t="s">
        <v>23218</v>
      </c>
      <c r="J7725" s="2" t="s">
        <v>23219</v>
      </c>
      <c r="K7725" s="2" t="s">
        <v>370</v>
      </c>
      <c r="L7725" s="2" t="s">
        <v>34</v>
      </c>
      <c r="M7725" s="2"/>
      <c r="N7725" s="2"/>
      <c r="O7725" s="2"/>
      <c r="P7725" s="2" t="s">
        <v>23220</v>
      </c>
      <c r="Q7725" s="6">
        <v>100</v>
      </c>
      <c r="R7725" s="6">
        <v>15</v>
      </c>
      <c r="S7725" s="5">
        <v>122.5</v>
      </c>
      <c r="T7725" s="2"/>
      <c r="U7725" s="5">
        <v>8.1</v>
      </c>
      <c r="V7725" s="6">
        <v>1.05</v>
      </c>
      <c r="W7725" s="6">
        <v>14.92</v>
      </c>
      <c r="X7725" s="6">
        <v>14.84</v>
      </c>
      <c r="Y7725" s="6">
        <v>14.46</v>
      </c>
      <c r="Z7725" s="6">
        <v>14.53</v>
      </c>
      <c r="AA7725" s="6">
        <v>59.64</v>
      </c>
      <c r="AB7725" s="7">
        <v>5.9169999999999998</v>
      </c>
      <c r="AC7725" s="5">
        <v>274</v>
      </c>
    </row>
    <row r="7726" spans="1:29" ht="39" x14ac:dyDescent="0.15">
      <c r="A7726" s="3">
        <f>DATE(2005,8,4)</f>
        <v>38568</v>
      </c>
      <c r="B7726" s="2"/>
      <c r="C7726" s="2" t="s">
        <v>7330</v>
      </c>
      <c r="D7726" s="2" t="s">
        <v>23221</v>
      </c>
      <c r="E7726" s="2" t="s">
        <v>21634</v>
      </c>
      <c r="F7726" s="4">
        <v>6792</v>
      </c>
      <c r="G7726" s="2" t="s">
        <v>53</v>
      </c>
      <c r="H7726" s="2" t="s">
        <v>34</v>
      </c>
      <c r="I7726" s="2" t="s">
        <v>23222</v>
      </c>
      <c r="J7726" s="2" t="s">
        <v>1620</v>
      </c>
      <c r="K7726" s="2" t="s">
        <v>53</v>
      </c>
      <c r="L7726" s="2" t="s">
        <v>34</v>
      </c>
      <c r="M7726" s="2"/>
      <c r="N7726" s="2"/>
      <c r="O7726" s="2"/>
      <c r="P7726" s="2" t="s">
        <v>23223</v>
      </c>
      <c r="Q7726" s="2"/>
      <c r="R7726" s="2"/>
      <c r="S7726" s="5">
        <v>44.4</v>
      </c>
      <c r="T7726" s="2"/>
      <c r="U7726" s="5">
        <v>0.4</v>
      </c>
      <c r="V7726" s="6">
        <v>3.05</v>
      </c>
      <c r="W7726" s="6">
        <v>46.01</v>
      </c>
      <c r="X7726" s="6">
        <v>47.02</v>
      </c>
      <c r="Y7726" s="6">
        <v>47.21</v>
      </c>
      <c r="Z7726" s="5">
        <v>47.7</v>
      </c>
      <c r="AA7726" s="6">
        <v>14.58</v>
      </c>
      <c r="AB7726" s="2" t="s">
        <v>47</v>
      </c>
      <c r="AC7726" s="2"/>
    </row>
    <row r="7727" spans="1:29" ht="91" x14ac:dyDescent="0.15">
      <c r="A7727" s="3">
        <f>DATE(2005,8,8)</f>
        <v>38572</v>
      </c>
      <c r="B7727" s="3">
        <f>DATE(2005,11,1)</f>
        <v>38657</v>
      </c>
      <c r="C7727" s="2" t="s">
        <v>95</v>
      </c>
      <c r="D7727" s="2" t="s">
        <v>9969</v>
      </c>
      <c r="E7727" s="2" t="s">
        <v>23224</v>
      </c>
      <c r="F7727" s="4">
        <v>8071</v>
      </c>
      <c r="G7727" s="2" t="s">
        <v>454</v>
      </c>
      <c r="H7727" s="2" t="s">
        <v>34</v>
      </c>
      <c r="I7727" s="2" t="s">
        <v>18729</v>
      </c>
      <c r="J7727" s="2" t="s">
        <v>18730</v>
      </c>
      <c r="K7727" s="2" t="s">
        <v>454</v>
      </c>
      <c r="L7727" s="2" t="s">
        <v>34</v>
      </c>
      <c r="M7727" s="12">
        <v>10754.328</v>
      </c>
      <c r="N7727" s="6">
        <v>49.21</v>
      </c>
      <c r="O7727" s="6">
        <v>49.51</v>
      </c>
      <c r="P7727" s="2" t="s">
        <v>23225</v>
      </c>
      <c r="Q7727" s="6">
        <v>100</v>
      </c>
      <c r="R7727" s="6">
        <v>43.9</v>
      </c>
      <c r="S7727" s="5">
        <v>27.7</v>
      </c>
      <c r="T7727" s="7">
        <v>65.453999999999994</v>
      </c>
      <c r="U7727" s="5">
        <v>11</v>
      </c>
      <c r="V7727" s="6">
        <v>1.58</v>
      </c>
      <c r="W7727" s="6">
        <v>39.130000000000003</v>
      </c>
      <c r="X7727" s="6">
        <v>37.64</v>
      </c>
      <c r="Y7727" s="6">
        <v>42.82</v>
      </c>
      <c r="Z7727" s="6">
        <v>43.04</v>
      </c>
      <c r="AA7727" s="6">
        <v>17.46</v>
      </c>
      <c r="AB7727" s="7">
        <v>19.085000000000001</v>
      </c>
      <c r="AC7727" s="5">
        <v>204.1</v>
      </c>
    </row>
    <row r="7728" spans="1:29" ht="143" x14ac:dyDescent="0.15">
      <c r="A7728" s="3">
        <f>DATE(2005,8,8)</f>
        <v>38572</v>
      </c>
      <c r="B7728" s="3">
        <f>DATE(2005,10,31)</f>
        <v>38656</v>
      </c>
      <c r="C7728" s="2" t="s">
        <v>95</v>
      </c>
      <c r="D7728" s="2" t="s">
        <v>23226</v>
      </c>
      <c r="E7728" s="2" t="s">
        <v>8300</v>
      </c>
      <c r="F7728" s="4">
        <v>8049</v>
      </c>
      <c r="G7728" s="2" t="s">
        <v>454</v>
      </c>
      <c r="H7728" s="2" t="s">
        <v>34</v>
      </c>
      <c r="I7728" s="2" t="s">
        <v>23227</v>
      </c>
      <c r="J7728" s="2" t="s">
        <v>8300</v>
      </c>
      <c r="K7728" s="2" t="s">
        <v>454</v>
      </c>
      <c r="L7728" s="2" t="s">
        <v>34</v>
      </c>
      <c r="M7728" s="2"/>
      <c r="N7728" s="2"/>
      <c r="O7728" s="2"/>
      <c r="P7728" s="2" t="s">
        <v>23228</v>
      </c>
      <c r="Q7728" s="6">
        <v>100</v>
      </c>
      <c r="R7728" s="2"/>
      <c r="S7728" s="5">
        <v>1.3</v>
      </c>
      <c r="T7728" s="7">
        <v>5.2110000000000003</v>
      </c>
      <c r="U7728" s="5">
        <v>2.4</v>
      </c>
      <c r="V7728" s="6">
        <v>0.38</v>
      </c>
      <c r="W7728" s="5">
        <v>6.5</v>
      </c>
      <c r="X7728" s="6">
        <v>6.35</v>
      </c>
      <c r="Y7728" s="4">
        <v>9</v>
      </c>
      <c r="Z7728" s="6">
        <v>9.74</v>
      </c>
      <c r="AA7728" s="6">
        <v>3.09</v>
      </c>
      <c r="AB7728" s="7">
        <v>13.933</v>
      </c>
      <c r="AC7728" s="2"/>
    </row>
    <row r="7729" spans="1:29" ht="78" x14ac:dyDescent="0.15">
      <c r="A7729" s="3">
        <f>DATE(2005,8,8)</f>
        <v>38572</v>
      </c>
      <c r="B7729" s="3">
        <f>DATE(2005,12,8)</f>
        <v>38694</v>
      </c>
      <c r="C7729" s="2" t="s">
        <v>95</v>
      </c>
      <c r="D7729" s="2" t="s">
        <v>23229</v>
      </c>
      <c r="E7729" s="2" t="s">
        <v>23230</v>
      </c>
      <c r="F7729" s="4">
        <v>6712</v>
      </c>
      <c r="G7729" s="2" t="s">
        <v>37</v>
      </c>
      <c r="H7729" s="2" t="s">
        <v>34</v>
      </c>
      <c r="I7729" s="2" t="s">
        <v>23231</v>
      </c>
      <c r="J7729" s="2" t="s">
        <v>159</v>
      </c>
      <c r="K7729" s="2" t="s">
        <v>37</v>
      </c>
      <c r="L7729" s="2" t="s">
        <v>34</v>
      </c>
      <c r="M7729" s="2"/>
      <c r="N7729" s="2"/>
      <c r="O7729" s="2"/>
      <c r="P7729" s="2" t="s">
        <v>23232</v>
      </c>
      <c r="Q7729" s="6">
        <v>100</v>
      </c>
      <c r="R7729" s="6">
        <v>100</v>
      </c>
      <c r="S7729" s="2"/>
      <c r="T7729" s="2"/>
      <c r="U7729" s="2"/>
      <c r="V7729" s="2"/>
      <c r="W7729" s="5">
        <v>37.5</v>
      </c>
      <c r="X7729" s="4">
        <v>46</v>
      </c>
      <c r="Y7729" s="4">
        <v>46</v>
      </c>
      <c r="Z7729" s="4">
        <v>96</v>
      </c>
      <c r="AA7729" s="6">
        <v>0.15</v>
      </c>
      <c r="AB7729" s="2" t="s">
        <v>47</v>
      </c>
      <c r="AC7729" s="2"/>
    </row>
    <row r="7730" spans="1:29" ht="143" x14ac:dyDescent="0.15">
      <c r="A7730" s="3">
        <f>DATE(2005,8,9)</f>
        <v>38573</v>
      </c>
      <c r="B7730" s="3">
        <f>DATE(2005,11,7)</f>
        <v>38663</v>
      </c>
      <c r="C7730" s="2" t="s">
        <v>95</v>
      </c>
      <c r="D7730" s="2" t="s">
        <v>20584</v>
      </c>
      <c r="E7730" s="2" t="s">
        <v>20585</v>
      </c>
      <c r="F7730" s="4">
        <v>7379</v>
      </c>
      <c r="G7730" s="2" t="s">
        <v>223</v>
      </c>
      <c r="H7730" s="2" t="s">
        <v>34</v>
      </c>
      <c r="I7730" s="2" t="s">
        <v>23175</v>
      </c>
      <c r="J7730" s="2" t="s">
        <v>244</v>
      </c>
      <c r="K7730" s="2" t="s">
        <v>53</v>
      </c>
      <c r="L7730" s="2" t="s">
        <v>34</v>
      </c>
      <c r="M7730" s="2"/>
      <c r="N7730" s="2"/>
      <c r="O7730" s="2"/>
      <c r="P7730" s="2" t="s">
        <v>23233</v>
      </c>
      <c r="Q7730" s="6">
        <v>100</v>
      </c>
      <c r="R7730" s="6">
        <v>7.81</v>
      </c>
      <c r="S7730" s="5">
        <v>4.5999999999999996</v>
      </c>
      <c r="T7730" s="7">
        <v>10.625999999999999</v>
      </c>
      <c r="U7730" s="5">
        <v>2.6</v>
      </c>
      <c r="V7730" s="6">
        <v>0.18</v>
      </c>
      <c r="W7730" s="6">
        <v>6.68</v>
      </c>
      <c r="X7730" s="6">
        <v>6.45</v>
      </c>
      <c r="Y7730" s="6">
        <v>6.75</v>
      </c>
      <c r="Z7730" s="5">
        <v>6.9</v>
      </c>
      <c r="AA7730" s="6">
        <v>24.25</v>
      </c>
      <c r="AB7730" s="7">
        <v>15.116</v>
      </c>
      <c r="AC7730" s="2"/>
    </row>
    <row r="7731" spans="1:29" ht="195" x14ac:dyDescent="0.15">
      <c r="A7731" s="3">
        <f>DATE(2005,8,10)</f>
        <v>38574</v>
      </c>
      <c r="B7731" s="3">
        <f>DATE(2005,9,30)</f>
        <v>38625</v>
      </c>
      <c r="C7731" s="2" t="s">
        <v>95</v>
      </c>
      <c r="D7731" s="2" t="s">
        <v>23234</v>
      </c>
      <c r="E7731" s="2" t="s">
        <v>23235</v>
      </c>
      <c r="F7731" s="4">
        <v>7319</v>
      </c>
      <c r="G7731" s="2" t="s">
        <v>4563</v>
      </c>
      <c r="H7731" s="2" t="s">
        <v>34</v>
      </c>
      <c r="I7731" s="2" t="s">
        <v>19803</v>
      </c>
      <c r="J7731" s="2" t="s">
        <v>19804</v>
      </c>
      <c r="K7731" s="2" t="s">
        <v>4563</v>
      </c>
      <c r="L7731" s="2" t="s">
        <v>34</v>
      </c>
      <c r="M7731" s="12">
        <v>1072.5920000000001</v>
      </c>
      <c r="N7731" s="6">
        <v>12.75</v>
      </c>
      <c r="O7731" s="6">
        <v>12.55</v>
      </c>
      <c r="P7731" s="2" t="s">
        <v>23236</v>
      </c>
      <c r="Q7731" s="6">
        <v>100</v>
      </c>
      <c r="R7731" s="6">
        <v>10.28</v>
      </c>
      <c r="S7731" s="5">
        <v>3.9</v>
      </c>
      <c r="T7731" s="5">
        <v>8</v>
      </c>
      <c r="U7731" s="2"/>
      <c r="V7731" s="2"/>
      <c r="W7731" s="5">
        <v>9.3000000000000007</v>
      </c>
      <c r="X7731" s="6">
        <v>8.84</v>
      </c>
      <c r="Y7731" s="6">
        <v>8.85</v>
      </c>
      <c r="Z7731" s="6">
        <v>9.85</v>
      </c>
      <c r="AA7731" s="6">
        <v>19.600000000000001</v>
      </c>
      <c r="AB7731" s="7">
        <v>17.082999999999998</v>
      </c>
      <c r="AC7731" s="6">
        <v>220.83</v>
      </c>
    </row>
    <row r="7732" spans="1:29" ht="234" x14ac:dyDescent="0.15">
      <c r="A7732" s="3">
        <f>DATE(2005,8,16)</f>
        <v>38580</v>
      </c>
      <c r="B7732" s="2"/>
      <c r="C7732" s="2" t="s">
        <v>30</v>
      </c>
      <c r="D7732" s="2" t="s">
        <v>6905</v>
      </c>
      <c r="E7732" s="2" t="s">
        <v>6906</v>
      </c>
      <c r="F7732" s="4">
        <v>8051</v>
      </c>
      <c r="G7732" s="2" t="s">
        <v>454</v>
      </c>
      <c r="H7732" s="2" t="s">
        <v>34</v>
      </c>
      <c r="I7732" s="2" t="s">
        <v>23237</v>
      </c>
      <c r="J7732" s="2" t="s">
        <v>6906</v>
      </c>
      <c r="K7732" s="2" t="s">
        <v>454</v>
      </c>
      <c r="L7732" s="2" t="s">
        <v>34</v>
      </c>
      <c r="M7732" s="2"/>
      <c r="N7732" s="2"/>
      <c r="O7732" s="2"/>
      <c r="P7732" s="2" t="s">
        <v>23238</v>
      </c>
      <c r="Q7732" s="2"/>
      <c r="R7732" s="6">
        <v>13</v>
      </c>
      <c r="S7732" s="5">
        <v>36.299999999999997</v>
      </c>
      <c r="T7732" s="7">
        <v>200.506</v>
      </c>
      <c r="U7732" s="5">
        <v>2.7</v>
      </c>
      <c r="V7732" s="2"/>
      <c r="W7732" s="5">
        <v>9.1999999999999993</v>
      </c>
      <c r="X7732" s="6">
        <v>9.3800000000000008</v>
      </c>
      <c r="Y7732" s="6">
        <v>11.77</v>
      </c>
      <c r="Z7732" s="6">
        <v>11.95</v>
      </c>
      <c r="AA7732" s="6">
        <v>108.09</v>
      </c>
      <c r="AB7732" s="7">
        <v>14.685</v>
      </c>
      <c r="AC7732" s="2"/>
    </row>
    <row r="7733" spans="1:29" ht="195" x14ac:dyDescent="0.15">
      <c r="A7733" s="3">
        <f>DATE(2005,8,17)</f>
        <v>38581</v>
      </c>
      <c r="B7733" s="3">
        <f>DATE(2005,12,1)</f>
        <v>38687</v>
      </c>
      <c r="C7733" s="2" t="s">
        <v>95</v>
      </c>
      <c r="D7733" s="2" t="s">
        <v>23239</v>
      </c>
      <c r="E7733" s="2" t="s">
        <v>8873</v>
      </c>
      <c r="F7733" s="4">
        <v>6021</v>
      </c>
      <c r="G7733" s="2" t="s">
        <v>37</v>
      </c>
      <c r="H7733" s="2" t="s">
        <v>34</v>
      </c>
      <c r="I7733" s="2" t="s">
        <v>23240</v>
      </c>
      <c r="J7733" s="2" t="s">
        <v>36</v>
      </c>
      <c r="K7733" s="2" t="s">
        <v>37</v>
      </c>
      <c r="L7733" s="2" t="s">
        <v>34</v>
      </c>
      <c r="M7733" s="7">
        <v>137.45500000000001</v>
      </c>
      <c r="N7733" s="6">
        <v>15.75</v>
      </c>
      <c r="O7733" s="6">
        <v>15.76</v>
      </c>
      <c r="P7733" s="2" t="s">
        <v>23241</v>
      </c>
      <c r="Q7733" s="6">
        <v>100</v>
      </c>
      <c r="R7733" s="2"/>
      <c r="S7733" s="2"/>
      <c r="T7733" s="2"/>
      <c r="U7733" s="2"/>
      <c r="V7733" s="2"/>
      <c r="W7733" s="6">
        <v>34.25</v>
      </c>
      <c r="X7733" s="6">
        <v>35.450000000000003</v>
      </c>
      <c r="Y7733" s="6">
        <v>35.450000000000003</v>
      </c>
      <c r="Z7733" s="4">
        <v>32</v>
      </c>
      <c r="AA7733" s="2"/>
      <c r="AB7733" s="2" t="s">
        <v>47</v>
      </c>
      <c r="AC7733" s="2"/>
    </row>
    <row r="7734" spans="1:29" ht="169" x14ac:dyDescent="0.15">
      <c r="A7734" s="3">
        <f>DATE(2005,8,17)</f>
        <v>38581</v>
      </c>
      <c r="B7734" s="3">
        <f>DATE(2006,4,1)</f>
        <v>38808</v>
      </c>
      <c r="C7734" s="2" t="s">
        <v>95</v>
      </c>
      <c r="D7734" s="2" t="s">
        <v>23242</v>
      </c>
      <c r="E7734" s="2" t="s">
        <v>1181</v>
      </c>
      <c r="F7734" s="4">
        <v>6021</v>
      </c>
      <c r="G7734" s="2" t="s">
        <v>37</v>
      </c>
      <c r="H7734" s="2" t="s">
        <v>34</v>
      </c>
      <c r="I7734" s="2" t="s">
        <v>23243</v>
      </c>
      <c r="J7734" s="2" t="s">
        <v>1181</v>
      </c>
      <c r="K7734" s="2" t="s">
        <v>37</v>
      </c>
      <c r="L7734" s="2" t="s">
        <v>34</v>
      </c>
      <c r="M7734" s="7">
        <v>67.522000000000006</v>
      </c>
      <c r="N7734" s="5">
        <v>15.5</v>
      </c>
      <c r="O7734" s="6">
        <v>15.95</v>
      </c>
      <c r="P7734" s="2" t="s">
        <v>23244</v>
      </c>
      <c r="Q7734" s="6">
        <v>100</v>
      </c>
      <c r="R7734" s="6">
        <v>20.309999999999999</v>
      </c>
      <c r="S7734" s="2"/>
      <c r="T7734" s="2"/>
      <c r="U7734" s="2"/>
      <c r="V7734" s="2"/>
      <c r="W7734" s="6">
        <v>14.15</v>
      </c>
      <c r="X7734" s="4">
        <v>14</v>
      </c>
      <c r="Y7734" s="6">
        <v>16.75</v>
      </c>
      <c r="Z7734" s="6">
        <v>17.25</v>
      </c>
      <c r="AA7734" s="6">
        <v>1.88</v>
      </c>
      <c r="AB7734" s="2" t="s">
        <v>47</v>
      </c>
      <c r="AC7734" s="2"/>
    </row>
    <row r="7735" spans="1:29" ht="65" x14ac:dyDescent="0.15">
      <c r="A7735" s="3">
        <f>DATE(2005,8,18)</f>
        <v>38582</v>
      </c>
      <c r="B7735" s="3">
        <f>DATE(2005,10,24)</f>
        <v>38649</v>
      </c>
      <c r="C7735" s="2" t="s">
        <v>95</v>
      </c>
      <c r="D7735" s="2" t="s">
        <v>23245</v>
      </c>
      <c r="E7735" s="2" t="s">
        <v>23246</v>
      </c>
      <c r="F7735" s="4">
        <v>3661</v>
      </c>
      <c r="G7735" s="2" t="s">
        <v>921</v>
      </c>
      <c r="H7735" s="2" t="s">
        <v>34</v>
      </c>
      <c r="I7735" s="2" t="s">
        <v>23247</v>
      </c>
      <c r="J7735" s="2" t="s">
        <v>9299</v>
      </c>
      <c r="K7735" s="2" t="s">
        <v>53</v>
      </c>
      <c r="L7735" s="2" t="s">
        <v>34</v>
      </c>
      <c r="M7735" s="2"/>
      <c r="N7735" s="2"/>
      <c r="O7735" s="2"/>
      <c r="P7735" s="2" t="s">
        <v>23248</v>
      </c>
      <c r="Q7735" s="6">
        <v>100</v>
      </c>
      <c r="R7735" s="6">
        <v>13.05</v>
      </c>
      <c r="S7735" s="5">
        <v>1.3</v>
      </c>
      <c r="T7735" s="7">
        <v>4.0060000000000002</v>
      </c>
      <c r="U7735" s="5">
        <v>6.3</v>
      </c>
      <c r="V7735" s="6">
        <v>0.1</v>
      </c>
      <c r="W7735" s="6">
        <v>9.3699999999999992</v>
      </c>
      <c r="X7735" s="6">
        <v>9.4499999999999993</v>
      </c>
      <c r="Y7735" s="6">
        <v>12.79</v>
      </c>
      <c r="Z7735" s="6">
        <v>12.79</v>
      </c>
      <c r="AA7735" s="6">
        <v>12.75</v>
      </c>
      <c r="AB7735" s="7">
        <v>208.99700000000001</v>
      </c>
      <c r="AC7735" s="2"/>
    </row>
    <row r="7736" spans="1:29" ht="65" x14ac:dyDescent="0.15">
      <c r="A7736" s="3">
        <f>DATE(2005,8,18)</f>
        <v>38582</v>
      </c>
      <c r="B7736" s="2"/>
      <c r="C7736" s="2" t="s">
        <v>189</v>
      </c>
      <c r="D7736" s="2" t="s">
        <v>23249</v>
      </c>
      <c r="E7736" s="2" t="s">
        <v>3892</v>
      </c>
      <c r="F7736" s="4">
        <v>4841</v>
      </c>
      <c r="G7736" s="2" t="s">
        <v>45</v>
      </c>
      <c r="H7736" s="2" t="s">
        <v>34</v>
      </c>
      <c r="I7736" s="2" t="s">
        <v>143</v>
      </c>
      <c r="J7736" s="2" t="s">
        <v>144</v>
      </c>
      <c r="K7736" s="2" t="s">
        <v>53</v>
      </c>
      <c r="L7736" s="2" t="s">
        <v>139</v>
      </c>
      <c r="M7736" s="2"/>
      <c r="N7736" s="2"/>
      <c r="O7736" s="2"/>
      <c r="P7736" s="2" t="s">
        <v>23250</v>
      </c>
      <c r="Q7736" s="2"/>
      <c r="R7736" s="2"/>
      <c r="S7736" s="5">
        <v>-329.9</v>
      </c>
      <c r="T7736" s="7">
        <v>102.56100000000001</v>
      </c>
      <c r="U7736" s="5">
        <v>-0.3</v>
      </c>
      <c r="V7736" s="6">
        <v>-3.15</v>
      </c>
      <c r="W7736" s="6">
        <v>9.01</v>
      </c>
      <c r="X7736" s="6">
        <v>8.8699999999999992</v>
      </c>
      <c r="Y7736" s="6">
        <v>8.85</v>
      </c>
      <c r="Z7736" s="6">
        <v>10.64</v>
      </c>
      <c r="AA7736" s="6">
        <v>73.94</v>
      </c>
      <c r="AB7736" s="2" t="s">
        <v>86</v>
      </c>
      <c r="AC7736" s="2"/>
    </row>
    <row r="7737" spans="1:29" ht="182" x14ac:dyDescent="0.15">
      <c r="A7737" s="3">
        <f>DATE(2005,8,18)</f>
        <v>38582</v>
      </c>
      <c r="B7737" s="3">
        <f>DATE(2006,1,12)</f>
        <v>38729</v>
      </c>
      <c r="C7737" s="2" t="s">
        <v>95</v>
      </c>
      <c r="D7737" s="2" t="s">
        <v>22138</v>
      </c>
      <c r="E7737" s="2" t="s">
        <v>22139</v>
      </c>
      <c r="F7737" s="4">
        <v>7372</v>
      </c>
      <c r="G7737" s="2" t="s">
        <v>551</v>
      </c>
      <c r="H7737" s="2" t="s">
        <v>34</v>
      </c>
      <c r="I7737" s="2" t="s">
        <v>22136</v>
      </c>
      <c r="J7737" s="2" t="s">
        <v>22137</v>
      </c>
      <c r="K7737" s="2" t="s">
        <v>50</v>
      </c>
      <c r="L7737" s="2" t="s">
        <v>34</v>
      </c>
      <c r="M7737" s="7">
        <v>428.57100000000003</v>
      </c>
      <c r="N7737" s="6">
        <v>10.87</v>
      </c>
      <c r="O7737" s="6">
        <v>11.18</v>
      </c>
      <c r="P7737" s="2" t="s">
        <v>23251</v>
      </c>
      <c r="Q7737" s="6">
        <v>100</v>
      </c>
      <c r="R7737" s="6">
        <v>8.82</v>
      </c>
      <c r="S7737" s="5">
        <v>0.8</v>
      </c>
      <c r="T7737" s="7">
        <v>6.4420000000000002</v>
      </c>
      <c r="U7737" s="5">
        <v>2.4</v>
      </c>
      <c r="V7737" s="6">
        <v>0.02</v>
      </c>
      <c r="W7737" s="5">
        <v>7.8</v>
      </c>
      <c r="X7737" s="6">
        <v>7.86</v>
      </c>
      <c r="Y7737" s="6">
        <v>7.95</v>
      </c>
      <c r="Z7737" s="6">
        <v>8.07</v>
      </c>
      <c r="AA7737" s="6">
        <v>30.74</v>
      </c>
      <c r="AB7737" s="7">
        <v>385.35300000000001</v>
      </c>
      <c r="AC7737" s="6">
        <v>63.39</v>
      </c>
    </row>
    <row r="7738" spans="1:29" ht="91" x14ac:dyDescent="0.15">
      <c r="A7738" s="3">
        <f>DATE(2005,8,18)</f>
        <v>38582</v>
      </c>
      <c r="B7738" s="3">
        <f>DATE(2005,11,10)</f>
        <v>38666</v>
      </c>
      <c r="C7738" s="2" t="s">
        <v>95</v>
      </c>
      <c r="D7738" s="2" t="s">
        <v>23252</v>
      </c>
      <c r="E7738" s="2" t="s">
        <v>209</v>
      </c>
      <c r="F7738" s="4">
        <v>3672</v>
      </c>
      <c r="G7738" s="2" t="s">
        <v>137</v>
      </c>
      <c r="H7738" s="2" t="s">
        <v>34</v>
      </c>
      <c r="I7738" s="2" t="s">
        <v>23253</v>
      </c>
      <c r="J7738" s="2" t="s">
        <v>23254</v>
      </c>
      <c r="K7738" s="2" t="s">
        <v>137</v>
      </c>
      <c r="L7738" s="2" t="s">
        <v>1086</v>
      </c>
      <c r="M7738" s="12">
        <v>3524.7040000000002</v>
      </c>
      <c r="N7738" s="7">
        <v>0.93300000000000005</v>
      </c>
      <c r="O7738" s="7">
        <v>0.93899999999999995</v>
      </c>
      <c r="P7738" s="2" t="s">
        <v>23255</v>
      </c>
      <c r="Q7738" s="6">
        <v>100</v>
      </c>
      <c r="R7738" s="6">
        <v>6.75</v>
      </c>
      <c r="S7738" s="5">
        <v>-6.1</v>
      </c>
      <c r="T7738" s="7">
        <v>2.5859999999999999</v>
      </c>
      <c r="U7738" s="5">
        <v>7</v>
      </c>
      <c r="V7738" s="6">
        <v>-1</v>
      </c>
      <c r="W7738" s="6">
        <v>6.15</v>
      </c>
      <c r="X7738" s="6">
        <v>6.45</v>
      </c>
      <c r="Y7738" s="6">
        <v>6.62</v>
      </c>
      <c r="Z7738" s="6">
        <v>6.62</v>
      </c>
      <c r="AA7738" s="6">
        <v>6.48</v>
      </c>
      <c r="AB7738" s="2" t="s">
        <v>86</v>
      </c>
      <c r="AC7738" s="6">
        <v>235.16</v>
      </c>
    </row>
    <row r="7739" spans="1:29" ht="130" x14ac:dyDescent="0.15">
      <c r="A7739" s="3">
        <f>DATE(2005,8,21)</f>
        <v>38585</v>
      </c>
      <c r="B7739" s="3">
        <f>DATE(2005,11,14)</f>
        <v>38670</v>
      </c>
      <c r="C7739" s="2" t="s">
        <v>95</v>
      </c>
      <c r="D7739" s="2" t="s">
        <v>23256</v>
      </c>
      <c r="E7739" s="2" t="s">
        <v>6292</v>
      </c>
      <c r="F7739" s="4">
        <v>2834</v>
      </c>
      <c r="G7739" s="2" t="s">
        <v>130</v>
      </c>
      <c r="H7739" s="2" t="s">
        <v>34</v>
      </c>
      <c r="I7739" s="2" t="s">
        <v>23257</v>
      </c>
      <c r="J7739" s="2" t="s">
        <v>23258</v>
      </c>
      <c r="K7739" s="2" t="s">
        <v>130</v>
      </c>
      <c r="L7739" s="2" t="s">
        <v>34</v>
      </c>
      <c r="M7739" s="10">
        <v>2347.94</v>
      </c>
      <c r="N7739" s="6">
        <v>31.92</v>
      </c>
      <c r="O7739" s="6">
        <v>31.92</v>
      </c>
      <c r="P7739" s="2" t="s">
        <v>23259</v>
      </c>
      <c r="Q7739" s="6">
        <v>100</v>
      </c>
      <c r="R7739" s="6">
        <v>20</v>
      </c>
      <c r="S7739" s="5">
        <v>-76.099999999999994</v>
      </c>
      <c r="T7739" s="7">
        <v>-76.611000000000004</v>
      </c>
      <c r="U7739" s="5">
        <v>2.9</v>
      </c>
      <c r="V7739" s="6">
        <v>-1.85</v>
      </c>
      <c r="W7739" s="5">
        <v>13.4</v>
      </c>
      <c r="X7739" s="6">
        <v>13.99</v>
      </c>
      <c r="Y7739" s="6">
        <v>18.13</v>
      </c>
      <c r="Z7739" s="6">
        <v>18.13</v>
      </c>
      <c r="AA7739" s="6">
        <v>45</v>
      </c>
      <c r="AB7739" s="2" t="s">
        <v>86</v>
      </c>
      <c r="AC7739" s="6">
        <v>569.15</v>
      </c>
    </row>
    <row r="7740" spans="1:29" ht="91" x14ac:dyDescent="0.15">
      <c r="A7740" s="3">
        <f>DATE(2005,8,22)</f>
        <v>38586</v>
      </c>
      <c r="B7740" s="3">
        <f>DATE(2005,10,20)</f>
        <v>38645</v>
      </c>
      <c r="C7740" s="2" t="s">
        <v>95</v>
      </c>
      <c r="D7740" s="2" t="s">
        <v>20268</v>
      </c>
      <c r="E7740" s="2" t="s">
        <v>20269</v>
      </c>
      <c r="F7740" s="4">
        <v>7372</v>
      </c>
      <c r="G7740" s="2" t="s">
        <v>551</v>
      </c>
      <c r="H7740" s="2" t="s">
        <v>34</v>
      </c>
      <c r="I7740" s="2" t="s">
        <v>23260</v>
      </c>
      <c r="J7740" s="2" t="s">
        <v>15468</v>
      </c>
      <c r="K7740" s="2" t="s">
        <v>551</v>
      </c>
      <c r="L7740" s="2" t="s">
        <v>34</v>
      </c>
      <c r="M7740" s="12">
        <v>3454.4749999999999</v>
      </c>
      <c r="N7740" s="6">
        <v>8.89</v>
      </c>
      <c r="O7740" s="6">
        <v>9.01</v>
      </c>
      <c r="P7740" s="2" t="s">
        <v>23261</v>
      </c>
      <c r="Q7740" s="6">
        <v>100</v>
      </c>
      <c r="R7740" s="6">
        <v>5.5</v>
      </c>
      <c r="S7740" s="5">
        <v>-10.3</v>
      </c>
      <c r="T7740" s="7">
        <v>-6.968</v>
      </c>
      <c r="U7740" s="5">
        <v>1.6</v>
      </c>
      <c r="V7740" s="6">
        <v>-0.33</v>
      </c>
      <c r="W7740" s="5">
        <v>4.3</v>
      </c>
      <c r="X7740" s="6">
        <v>4.67</v>
      </c>
      <c r="Y7740" s="6">
        <v>4.8600000000000003</v>
      </c>
      <c r="Z7740" s="6">
        <v>5.42</v>
      </c>
      <c r="AA7740" s="6">
        <v>33.299999999999997</v>
      </c>
      <c r="AB7740" s="2" t="s">
        <v>86</v>
      </c>
      <c r="AC7740" s="10">
        <v>1598.49</v>
      </c>
    </row>
    <row r="7741" spans="1:29" ht="78" x14ac:dyDescent="0.15">
      <c r="A7741" s="3">
        <f>DATE(2005,8,23)</f>
        <v>38587</v>
      </c>
      <c r="B7741" s="3">
        <f>DATE(2006,3,20)</f>
        <v>38796</v>
      </c>
      <c r="C7741" s="2" t="s">
        <v>95</v>
      </c>
      <c r="D7741" s="2" t="s">
        <v>19162</v>
      </c>
      <c r="E7741" s="2" t="s">
        <v>263</v>
      </c>
      <c r="F7741" s="4">
        <v>6035</v>
      </c>
      <c r="G7741" s="2" t="s">
        <v>33</v>
      </c>
      <c r="H7741" s="2" t="s">
        <v>34</v>
      </c>
      <c r="I7741" s="2" t="s">
        <v>20454</v>
      </c>
      <c r="J7741" s="2" t="s">
        <v>36</v>
      </c>
      <c r="K7741" s="2" t="s">
        <v>37</v>
      </c>
      <c r="L7741" s="2" t="s">
        <v>34</v>
      </c>
      <c r="M7741" s="6">
        <v>254.47</v>
      </c>
      <c r="N7741" s="6">
        <v>18.63</v>
      </c>
      <c r="O7741" s="5">
        <v>18.100000000000001</v>
      </c>
      <c r="P7741" s="2" t="s">
        <v>23262</v>
      </c>
      <c r="Q7741" s="6">
        <v>100</v>
      </c>
      <c r="R7741" s="6">
        <v>27.33</v>
      </c>
      <c r="S7741" s="5">
        <v>1.6</v>
      </c>
      <c r="T7741" s="2"/>
      <c r="U7741" s="5">
        <v>17.399999999999999</v>
      </c>
      <c r="V7741" s="6">
        <v>0.87</v>
      </c>
      <c r="W7741" s="5">
        <v>15.9</v>
      </c>
      <c r="X7741" s="6">
        <v>17.48</v>
      </c>
      <c r="Y7741" s="5">
        <v>17.399999999999999</v>
      </c>
      <c r="Z7741" s="6">
        <v>25.86</v>
      </c>
      <c r="AA7741" s="6">
        <v>1.94</v>
      </c>
      <c r="AB7741" s="7">
        <v>37.832999999999998</v>
      </c>
      <c r="AC7741" s="2"/>
    </row>
    <row r="7742" spans="1:29" ht="117" x14ac:dyDescent="0.15">
      <c r="A7742" s="3">
        <f>DATE(2005,8,24)</f>
        <v>38588</v>
      </c>
      <c r="B7742" s="3">
        <f>DATE(2005,12,9)</f>
        <v>38695</v>
      </c>
      <c r="C7742" s="2" t="s">
        <v>95</v>
      </c>
      <c r="D7742" s="2" t="s">
        <v>23263</v>
      </c>
      <c r="E7742" s="2" t="s">
        <v>23264</v>
      </c>
      <c r="F7742" s="4">
        <v>3585</v>
      </c>
      <c r="G7742" s="2" t="s">
        <v>300</v>
      </c>
      <c r="H7742" s="2" t="s">
        <v>34</v>
      </c>
      <c r="I7742" s="2" t="s">
        <v>23265</v>
      </c>
      <c r="J7742" s="2" t="s">
        <v>23266</v>
      </c>
      <c r="K7742" s="2" t="s">
        <v>300</v>
      </c>
      <c r="L7742" s="2" t="s">
        <v>34</v>
      </c>
      <c r="M7742" s="12">
        <v>11119.243</v>
      </c>
      <c r="N7742" s="6">
        <v>56.77</v>
      </c>
      <c r="O7742" s="6">
        <v>59.53</v>
      </c>
      <c r="P7742" s="2" t="s">
        <v>23267</v>
      </c>
      <c r="Q7742" s="6">
        <v>100</v>
      </c>
      <c r="R7742" s="6">
        <v>56.5</v>
      </c>
      <c r="S7742" s="5">
        <v>84.1</v>
      </c>
      <c r="T7742" s="7">
        <v>233.328</v>
      </c>
      <c r="U7742" s="5">
        <v>20.8</v>
      </c>
      <c r="V7742" s="6">
        <v>2.02</v>
      </c>
      <c r="W7742" s="5">
        <v>41.5</v>
      </c>
      <c r="X7742" s="6">
        <v>40.840000000000003</v>
      </c>
      <c r="Y7742" s="6">
        <v>41.75</v>
      </c>
      <c r="Z7742" s="6">
        <v>56.79</v>
      </c>
      <c r="AA7742" s="6">
        <v>42.17</v>
      </c>
      <c r="AB7742" s="7">
        <v>21.151</v>
      </c>
      <c r="AC7742" s="5">
        <v>385.2</v>
      </c>
    </row>
    <row r="7743" spans="1:29" ht="117" x14ac:dyDescent="0.15">
      <c r="A7743" s="3">
        <f>DATE(2005,8,25)</f>
        <v>38589</v>
      </c>
      <c r="B7743" s="3">
        <f>DATE(2006,1,19)</f>
        <v>38736</v>
      </c>
      <c r="C7743" s="2" t="s">
        <v>95</v>
      </c>
      <c r="D7743" s="2" t="s">
        <v>23268</v>
      </c>
      <c r="E7743" s="2" t="s">
        <v>1181</v>
      </c>
      <c r="F7743" s="4">
        <v>6021</v>
      </c>
      <c r="G7743" s="2" t="s">
        <v>37</v>
      </c>
      <c r="H7743" s="2" t="s">
        <v>34</v>
      </c>
      <c r="I7743" s="2" t="s">
        <v>21715</v>
      </c>
      <c r="J7743" s="2" t="s">
        <v>21716</v>
      </c>
      <c r="K7743" s="2" t="s">
        <v>37</v>
      </c>
      <c r="L7743" s="2" t="s">
        <v>34</v>
      </c>
      <c r="M7743" s="7">
        <v>388.18099999999998</v>
      </c>
      <c r="N7743" s="6">
        <v>21.55</v>
      </c>
      <c r="O7743" s="5">
        <v>21.4</v>
      </c>
      <c r="P7743" s="2" t="s">
        <v>23269</v>
      </c>
      <c r="Q7743" s="6">
        <v>100</v>
      </c>
      <c r="R7743" s="6">
        <v>19</v>
      </c>
      <c r="S7743" s="5">
        <v>477.6</v>
      </c>
      <c r="T7743" s="12">
        <v>1226.393</v>
      </c>
      <c r="U7743" s="5">
        <v>0.6</v>
      </c>
      <c r="V7743" s="9">
        <v>0.16220000000000001</v>
      </c>
      <c r="W7743" s="4">
        <v>17</v>
      </c>
      <c r="X7743" s="6">
        <v>17.25</v>
      </c>
      <c r="Y7743" s="4">
        <v>18</v>
      </c>
      <c r="Z7743" s="5">
        <v>18.3</v>
      </c>
      <c r="AA7743" s="6">
        <v>1.78</v>
      </c>
      <c r="AB7743" s="2" t="s">
        <v>47</v>
      </c>
      <c r="AC7743" s="2"/>
    </row>
    <row r="7744" spans="1:29" ht="117" x14ac:dyDescent="0.15">
      <c r="A7744" s="3">
        <f>DATE(2005,8,25)</f>
        <v>38589</v>
      </c>
      <c r="B7744" s="3">
        <f>DATE(2006,1,31)</f>
        <v>38748</v>
      </c>
      <c r="C7744" s="2" t="s">
        <v>95</v>
      </c>
      <c r="D7744" s="2" t="s">
        <v>3679</v>
      </c>
      <c r="E7744" s="2" t="s">
        <v>3680</v>
      </c>
      <c r="F7744" s="4">
        <v>4833</v>
      </c>
      <c r="G7744" s="2" t="s">
        <v>45</v>
      </c>
      <c r="H7744" s="2" t="s">
        <v>34</v>
      </c>
      <c r="I7744" s="2" t="s">
        <v>10782</v>
      </c>
      <c r="J7744" s="2" t="s">
        <v>10783</v>
      </c>
      <c r="K7744" s="2" t="s">
        <v>45</v>
      </c>
      <c r="L7744" s="2" t="s">
        <v>34</v>
      </c>
      <c r="M7744" s="2"/>
      <c r="N7744" s="2"/>
      <c r="O7744" s="2"/>
      <c r="P7744" s="2" t="s">
        <v>23270</v>
      </c>
      <c r="Q7744" s="6">
        <v>100</v>
      </c>
      <c r="R7744" s="6">
        <v>47.35</v>
      </c>
      <c r="S7744" s="5">
        <v>42.7</v>
      </c>
      <c r="T7744" s="7">
        <v>69.477999999999994</v>
      </c>
      <c r="U7744" s="5">
        <v>17.100000000000001</v>
      </c>
      <c r="V7744" s="6">
        <v>2.3199999999999998</v>
      </c>
      <c r="W7744" s="6">
        <v>36.81</v>
      </c>
      <c r="X7744" s="6">
        <v>36.75</v>
      </c>
      <c r="Y7744" s="6">
        <v>37.450000000000003</v>
      </c>
      <c r="Z7744" s="6">
        <v>47.51</v>
      </c>
      <c r="AA7744" s="6">
        <v>18.3</v>
      </c>
      <c r="AB7744" s="7">
        <v>22.882000000000001</v>
      </c>
      <c r="AC7744" s="2"/>
    </row>
    <row r="7745" spans="1:29" ht="65" x14ac:dyDescent="0.15">
      <c r="A7745" s="3">
        <f>DATE(2005,8,26)</f>
        <v>38590</v>
      </c>
      <c r="B7745" s="2"/>
      <c r="C7745" s="2" t="s">
        <v>189</v>
      </c>
      <c r="D7745" s="2" t="s">
        <v>23271</v>
      </c>
      <c r="E7745" s="2" t="s">
        <v>23272</v>
      </c>
      <c r="F7745" s="4">
        <v>7996</v>
      </c>
      <c r="G7745" s="2" t="s">
        <v>364</v>
      </c>
      <c r="H7745" s="2" t="s">
        <v>34</v>
      </c>
      <c r="I7745" s="2" t="s">
        <v>143</v>
      </c>
      <c r="J7745" s="2" t="s">
        <v>144</v>
      </c>
      <c r="K7745" s="2" t="s">
        <v>53</v>
      </c>
      <c r="L7745" s="2" t="s">
        <v>139</v>
      </c>
      <c r="M7745" s="2"/>
      <c r="N7745" s="2"/>
      <c r="O7745" s="2"/>
      <c r="P7745" s="2" t="s">
        <v>23273</v>
      </c>
      <c r="Q7745" s="2"/>
      <c r="R7745" s="2"/>
      <c r="S7745" s="5">
        <v>-220.8</v>
      </c>
      <c r="T7745" s="7">
        <v>321.07400000000001</v>
      </c>
      <c r="U7745" s="5">
        <v>1.7</v>
      </c>
      <c r="V7745" s="9">
        <v>-0.65249999999999997</v>
      </c>
      <c r="W7745" s="6">
        <v>6.45</v>
      </c>
      <c r="X7745" s="6">
        <v>7.26</v>
      </c>
      <c r="Y7745" s="6">
        <v>6.99</v>
      </c>
      <c r="Z7745" s="6">
        <v>6.98</v>
      </c>
      <c r="AA7745" s="6">
        <v>93.11</v>
      </c>
      <c r="AB7745" s="2" t="s">
        <v>47</v>
      </c>
      <c r="AC7745" s="2"/>
    </row>
    <row r="7746" spans="1:29" ht="130" x14ac:dyDescent="0.15">
      <c r="A7746" s="3">
        <f>DATE(2005,8,29)</f>
        <v>38593</v>
      </c>
      <c r="B7746" s="3">
        <f>DATE(2005,12,9)</f>
        <v>38695</v>
      </c>
      <c r="C7746" s="2" t="s">
        <v>95</v>
      </c>
      <c r="D7746" s="2" t="s">
        <v>23274</v>
      </c>
      <c r="E7746" s="2" t="s">
        <v>23275</v>
      </c>
      <c r="F7746" s="4">
        <v>3944</v>
      </c>
      <c r="G7746" s="2" t="s">
        <v>112</v>
      </c>
      <c r="H7746" s="2" t="s">
        <v>34</v>
      </c>
      <c r="I7746" s="2" t="s">
        <v>23276</v>
      </c>
      <c r="J7746" s="2" t="s">
        <v>23277</v>
      </c>
      <c r="K7746" s="2" t="s">
        <v>112</v>
      </c>
      <c r="L7746" s="2" t="s">
        <v>34</v>
      </c>
      <c r="M7746" s="2"/>
      <c r="N7746" s="2"/>
      <c r="O7746" s="2"/>
      <c r="P7746" s="2" t="s">
        <v>23278</v>
      </c>
      <c r="Q7746" s="6">
        <v>100</v>
      </c>
      <c r="R7746" s="6">
        <v>13</v>
      </c>
      <c r="S7746" s="5">
        <v>-24.3</v>
      </c>
      <c r="T7746" s="6">
        <v>24.47</v>
      </c>
      <c r="U7746" s="5">
        <v>12.8</v>
      </c>
      <c r="V7746" s="6">
        <v>-0.9</v>
      </c>
      <c r="W7746" s="5">
        <v>11.2</v>
      </c>
      <c r="X7746" s="6">
        <v>12.28</v>
      </c>
      <c r="Y7746" s="6">
        <v>11.99</v>
      </c>
      <c r="Z7746" s="6">
        <v>12.73</v>
      </c>
      <c r="AA7746" s="6">
        <v>18.86</v>
      </c>
      <c r="AB7746" s="2" t="s">
        <v>86</v>
      </c>
      <c r="AC7746" s="2"/>
    </row>
    <row r="7747" spans="1:29" ht="117" x14ac:dyDescent="0.15">
      <c r="A7747" s="3">
        <f>DATE(2005,8,29)</f>
        <v>38593</v>
      </c>
      <c r="B7747" s="3">
        <f>DATE(2005,10,20)</f>
        <v>38645</v>
      </c>
      <c r="C7747" s="2" t="s">
        <v>95</v>
      </c>
      <c r="D7747" s="2" t="s">
        <v>23279</v>
      </c>
      <c r="E7747" s="2" t="s">
        <v>1604</v>
      </c>
      <c r="F7747" s="4">
        <v>4812</v>
      </c>
      <c r="G7747" s="2" t="s">
        <v>63</v>
      </c>
      <c r="H7747" s="2" t="s">
        <v>34</v>
      </c>
      <c r="I7747" s="2" t="s">
        <v>14230</v>
      </c>
      <c r="J7747" s="2" t="s">
        <v>23280</v>
      </c>
      <c r="K7747" s="2" t="s">
        <v>63</v>
      </c>
      <c r="L7747" s="2" t="s">
        <v>34</v>
      </c>
      <c r="M7747" s="12">
        <v>37749.235000000001</v>
      </c>
      <c r="N7747" s="6">
        <v>25.58</v>
      </c>
      <c r="O7747" s="6">
        <v>25.25</v>
      </c>
      <c r="P7747" s="2" t="s">
        <v>23281</v>
      </c>
      <c r="Q7747" s="6">
        <v>100</v>
      </c>
      <c r="R7747" s="6">
        <v>42.5</v>
      </c>
      <c r="S7747" s="5">
        <v>148.1</v>
      </c>
      <c r="T7747" s="7">
        <v>23.224</v>
      </c>
      <c r="U7747" s="5">
        <v>15.9</v>
      </c>
      <c r="V7747" s="2"/>
      <c r="W7747" s="6">
        <v>39.049999999999997</v>
      </c>
      <c r="X7747" s="6">
        <v>35.75</v>
      </c>
      <c r="Y7747" s="6">
        <v>35.75</v>
      </c>
      <c r="Z7747" s="4">
        <v>42</v>
      </c>
      <c r="AA7747" s="6">
        <v>5</v>
      </c>
      <c r="AB7747" s="2" t="s">
        <v>86</v>
      </c>
      <c r="AC7747" s="8">
        <v>6833</v>
      </c>
    </row>
    <row r="7748" spans="1:29" ht="182" x14ac:dyDescent="0.15">
      <c r="A7748" s="3">
        <f>DATE(2005,8,29)</f>
        <v>38593</v>
      </c>
      <c r="B7748" s="3">
        <f>DATE(2006,1,6)</f>
        <v>38723</v>
      </c>
      <c r="C7748" s="2" t="s">
        <v>95</v>
      </c>
      <c r="D7748" s="2" t="s">
        <v>23282</v>
      </c>
      <c r="E7748" s="2" t="s">
        <v>9477</v>
      </c>
      <c r="F7748" s="4">
        <v>7372</v>
      </c>
      <c r="G7748" s="2" t="s">
        <v>551</v>
      </c>
      <c r="H7748" s="2" t="s">
        <v>34</v>
      </c>
      <c r="I7748" s="2" t="s">
        <v>51</v>
      </c>
      <c r="J7748" s="2" t="s">
        <v>52</v>
      </c>
      <c r="K7748" s="2" t="s">
        <v>53</v>
      </c>
      <c r="L7748" s="2" t="s">
        <v>34</v>
      </c>
      <c r="M7748" s="2"/>
      <c r="N7748" s="6">
        <v>15.52</v>
      </c>
      <c r="O7748" s="6">
        <v>15.35</v>
      </c>
      <c r="P7748" s="2" t="s">
        <v>23283</v>
      </c>
      <c r="Q7748" s="6">
        <v>100</v>
      </c>
      <c r="R7748" s="6">
        <v>19.5</v>
      </c>
      <c r="S7748" s="5">
        <v>5.9</v>
      </c>
      <c r="T7748" s="7">
        <v>88.289000000000001</v>
      </c>
      <c r="U7748" s="5">
        <v>8.9</v>
      </c>
      <c r="V7748" s="6">
        <v>0.17</v>
      </c>
      <c r="W7748" s="5">
        <v>15.3</v>
      </c>
      <c r="X7748" s="6">
        <v>15.04</v>
      </c>
      <c r="Y7748" s="6">
        <v>15.49</v>
      </c>
      <c r="Z7748" s="6">
        <v>15.98</v>
      </c>
      <c r="AA7748" s="6">
        <v>36.049999999999997</v>
      </c>
      <c r="AB7748" s="7">
        <v>19.821999999999999</v>
      </c>
      <c r="AC7748" s="2"/>
    </row>
    <row r="7749" spans="1:29" ht="104" x14ac:dyDescent="0.15">
      <c r="A7749" s="3">
        <f>DATE(2005,8,29)</f>
        <v>38593</v>
      </c>
      <c r="B7749" s="3">
        <f>DATE(2006,7,3)</f>
        <v>38901</v>
      </c>
      <c r="C7749" s="2" t="s">
        <v>95</v>
      </c>
      <c r="D7749" s="2" t="s">
        <v>23284</v>
      </c>
      <c r="E7749" s="2" t="s">
        <v>4615</v>
      </c>
      <c r="F7749" s="4">
        <v>4899</v>
      </c>
      <c r="G7749" s="2" t="s">
        <v>63</v>
      </c>
      <c r="H7749" s="2" t="s">
        <v>34</v>
      </c>
      <c r="I7749" s="2" t="s">
        <v>23285</v>
      </c>
      <c r="J7749" s="2" t="s">
        <v>4615</v>
      </c>
      <c r="K7749" s="2" t="s">
        <v>63</v>
      </c>
      <c r="L7749" s="2" t="s">
        <v>1791</v>
      </c>
      <c r="M7749" s="2"/>
      <c r="N7749" s="2"/>
      <c r="O7749" s="2"/>
      <c r="P7749" s="2" t="s">
        <v>23286</v>
      </c>
      <c r="Q7749" s="6">
        <v>100</v>
      </c>
      <c r="R7749" s="6">
        <v>25</v>
      </c>
      <c r="S7749" s="5">
        <v>-79</v>
      </c>
      <c r="T7749" s="7">
        <v>569.88900000000001</v>
      </c>
      <c r="U7749" s="5">
        <v>8.6999999999999993</v>
      </c>
      <c r="V7749" s="9">
        <v>-0.64429999999999998</v>
      </c>
      <c r="W7749" s="5">
        <v>19.8</v>
      </c>
      <c r="X7749" s="5">
        <v>19.8</v>
      </c>
      <c r="Y7749" s="5">
        <v>23.8</v>
      </c>
      <c r="Z7749" s="6">
        <v>23.86</v>
      </c>
      <c r="AA7749" s="6">
        <v>122.6</v>
      </c>
      <c r="AB7749" s="7">
        <v>24.04</v>
      </c>
      <c r="AC7749" s="2"/>
    </row>
    <row r="7750" spans="1:29" ht="117" x14ac:dyDescent="0.15">
      <c r="A7750" s="3">
        <f>DATE(2005,8,31)</f>
        <v>38595</v>
      </c>
      <c r="B7750" s="3">
        <f>DATE(2006,1,3)</f>
        <v>38720</v>
      </c>
      <c r="C7750" s="2" t="s">
        <v>95</v>
      </c>
      <c r="D7750" s="2" t="s">
        <v>21069</v>
      </c>
      <c r="E7750" s="2" t="s">
        <v>1237</v>
      </c>
      <c r="F7750" s="4">
        <v>6021</v>
      </c>
      <c r="G7750" s="2" t="s">
        <v>37</v>
      </c>
      <c r="H7750" s="2" t="s">
        <v>34</v>
      </c>
      <c r="I7750" s="2" t="s">
        <v>23287</v>
      </c>
      <c r="J7750" s="2" t="s">
        <v>159</v>
      </c>
      <c r="K7750" s="2" t="s">
        <v>37</v>
      </c>
      <c r="L7750" s="2" t="s">
        <v>34</v>
      </c>
      <c r="M7750" s="5">
        <v>344.8</v>
      </c>
      <c r="N7750" s="6">
        <v>22.59</v>
      </c>
      <c r="O7750" s="6">
        <v>22.17</v>
      </c>
      <c r="P7750" s="2" t="s">
        <v>23288</v>
      </c>
      <c r="Q7750" s="6">
        <v>100</v>
      </c>
      <c r="R7750" s="6">
        <v>17.87</v>
      </c>
      <c r="S7750" s="5">
        <v>1.5</v>
      </c>
      <c r="T7750" s="2"/>
      <c r="U7750" s="5">
        <v>13</v>
      </c>
      <c r="V7750" s="6">
        <v>0.9</v>
      </c>
      <c r="W7750" s="6">
        <v>14.55</v>
      </c>
      <c r="X7750" s="6">
        <v>14.43</v>
      </c>
      <c r="Y7750" s="6">
        <v>14.43</v>
      </c>
      <c r="Z7750" s="6">
        <v>17.25</v>
      </c>
      <c r="AA7750" s="6">
        <v>1.72</v>
      </c>
      <c r="AB7750" s="7">
        <v>27.677</v>
      </c>
      <c r="AC7750" s="2"/>
    </row>
    <row r="7751" spans="1:29" ht="156" x14ac:dyDescent="0.15">
      <c r="A7751" s="3">
        <f>DATE(2005,8,31)</f>
        <v>38595</v>
      </c>
      <c r="B7751" s="3">
        <f>DATE(2005,11,1)</f>
        <v>38657</v>
      </c>
      <c r="C7751" s="2" t="s">
        <v>95</v>
      </c>
      <c r="D7751" s="2" t="s">
        <v>23289</v>
      </c>
      <c r="E7751" s="2" t="s">
        <v>23290</v>
      </c>
      <c r="F7751" s="4">
        <v>2311</v>
      </c>
      <c r="G7751" s="2" t="s">
        <v>708</v>
      </c>
      <c r="H7751" s="2" t="s">
        <v>34</v>
      </c>
      <c r="I7751" s="2" t="s">
        <v>51</v>
      </c>
      <c r="J7751" s="2" t="s">
        <v>52</v>
      </c>
      <c r="K7751" s="2" t="s">
        <v>53</v>
      </c>
      <c r="L7751" s="2" t="s">
        <v>34</v>
      </c>
      <c r="M7751" s="2"/>
      <c r="N7751" s="2"/>
      <c r="O7751" s="2"/>
      <c r="P7751" s="2" t="s">
        <v>23291</v>
      </c>
      <c r="Q7751" s="6">
        <v>100</v>
      </c>
      <c r="R7751" s="6">
        <v>29</v>
      </c>
      <c r="S7751" s="5">
        <v>8.8000000000000007</v>
      </c>
      <c r="T7751" s="5">
        <v>18.2</v>
      </c>
      <c r="U7751" s="5">
        <v>24.2</v>
      </c>
      <c r="V7751" s="6">
        <v>1.24</v>
      </c>
      <c r="W7751" s="6">
        <v>22.59</v>
      </c>
      <c r="X7751" s="5">
        <v>22.7</v>
      </c>
      <c r="Y7751" s="6">
        <v>23.14</v>
      </c>
      <c r="Z7751" s="6">
        <v>28.31</v>
      </c>
      <c r="AA7751" s="6">
        <v>7.08</v>
      </c>
      <c r="AB7751" s="7">
        <v>15.356</v>
      </c>
      <c r="AC7751" s="2"/>
    </row>
    <row r="7752" spans="1:29" ht="78" x14ac:dyDescent="0.15">
      <c r="A7752" s="3">
        <f>DATE(2005,8,31)</f>
        <v>38595</v>
      </c>
      <c r="B7752" s="2"/>
      <c r="C7752" s="2" t="s">
        <v>56</v>
      </c>
      <c r="D7752" s="2" t="s">
        <v>21555</v>
      </c>
      <c r="E7752" s="2" t="s">
        <v>21556</v>
      </c>
      <c r="F7752" s="4">
        <v>2015</v>
      </c>
      <c r="G7752" s="2" t="s">
        <v>577</v>
      </c>
      <c r="H7752" s="2" t="s">
        <v>34</v>
      </c>
      <c r="I7752" s="2" t="s">
        <v>21557</v>
      </c>
      <c r="J7752" s="2" t="s">
        <v>1072</v>
      </c>
      <c r="K7752" s="2" t="s">
        <v>53</v>
      </c>
      <c r="L7752" s="2" t="s">
        <v>21558</v>
      </c>
      <c r="M7752" s="2"/>
      <c r="N7752" s="2"/>
      <c r="O7752" s="2"/>
      <c r="P7752" s="2" t="s">
        <v>23292</v>
      </c>
      <c r="Q7752" s="2"/>
      <c r="R7752" s="2"/>
      <c r="S7752" s="5">
        <v>2.1</v>
      </c>
      <c r="T7752" s="7">
        <v>14.289</v>
      </c>
      <c r="U7752" s="5">
        <v>1.7</v>
      </c>
      <c r="V7752" s="6">
        <v>0.17</v>
      </c>
      <c r="W7752" s="5">
        <v>5.3</v>
      </c>
      <c r="X7752" s="6">
        <v>5.22</v>
      </c>
      <c r="Y7752" s="6">
        <v>5.22</v>
      </c>
      <c r="Z7752" s="6">
        <v>5.25</v>
      </c>
      <c r="AA7752" s="6">
        <v>12.86</v>
      </c>
      <c r="AB7752" s="2" t="s">
        <v>47</v>
      </c>
      <c r="AC7752" s="2"/>
    </row>
    <row r="7753" spans="1:29" ht="156" x14ac:dyDescent="0.15">
      <c r="A7753" s="3">
        <f>DATE(2005,9,1)</f>
        <v>38596</v>
      </c>
      <c r="B7753" s="3">
        <f>DATE(2006,4,20)</f>
        <v>38827</v>
      </c>
      <c r="C7753" s="2" t="s">
        <v>95</v>
      </c>
      <c r="D7753" s="2" t="s">
        <v>2124</v>
      </c>
      <c r="E7753" s="2" t="s">
        <v>2125</v>
      </c>
      <c r="F7753" s="4">
        <v>2836</v>
      </c>
      <c r="G7753" s="2" t="s">
        <v>130</v>
      </c>
      <c r="H7753" s="2" t="s">
        <v>34</v>
      </c>
      <c r="I7753" s="2" t="s">
        <v>8003</v>
      </c>
      <c r="J7753" s="2" t="s">
        <v>7462</v>
      </c>
      <c r="K7753" s="2" t="s">
        <v>130</v>
      </c>
      <c r="L7753" s="2" t="s">
        <v>215</v>
      </c>
      <c r="M7753" s="12">
        <v>133124.81899999999</v>
      </c>
      <c r="N7753" s="7">
        <v>49.445</v>
      </c>
      <c r="O7753" s="6">
        <v>49.13</v>
      </c>
      <c r="P7753" s="2" t="s">
        <v>23293</v>
      </c>
      <c r="Q7753" s="6">
        <v>62.28</v>
      </c>
      <c r="R7753" s="6">
        <v>48</v>
      </c>
      <c r="S7753" s="5">
        <v>180.5</v>
      </c>
      <c r="T7753" s="7">
        <v>339.46699999999998</v>
      </c>
      <c r="U7753" s="5">
        <v>15.2</v>
      </c>
      <c r="V7753" s="6">
        <v>0.94</v>
      </c>
      <c r="W7753" s="6">
        <v>35.32</v>
      </c>
      <c r="X7753" s="6">
        <v>36.44</v>
      </c>
      <c r="Y7753" s="6">
        <v>42.93</v>
      </c>
      <c r="Z7753" s="6">
        <v>42.79</v>
      </c>
      <c r="AA7753" s="6">
        <v>187.88</v>
      </c>
      <c r="AB7753" s="7">
        <v>60.905000000000001</v>
      </c>
      <c r="AC7753" s="10">
        <v>7951.92</v>
      </c>
    </row>
    <row r="7754" spans="1:29" ht="156" x14ac:dyDescent="0.15">
      <c r="A7754" s="3">
        <f>DATE(2005,9,1)</f>
        <v>38596</v>
      </c>
      <c r="B7754" s="3">
        <f>DATE(2005,11,9)</f>
        <v>38665</v>
      </c>
      <c r="C7754" s="2" t="s">
        <v>95</v>
      </c>
      <c r="D7754" s="2" t="s">
        <v>23294</v>
      </c>
      <c r="E7754" s="2" t="s">
        <v>7147</v>
      </c>
      <c r="F7754" s="4">
        <v>5411</v>
      </c>
      <c r="G7754" s="2" t="s">
        <v>1461</v>
      </c>
      <c r="H7754" s="2" t="s">
        <v>34</v>
      </c>
      <c r="I7754" s="2" t="s">
        <v>23295</v>
      </c>
      <c r="J7754" s="2" t="s">
        <v>14384</v>
      </c>
      <c r="K7754" s="2" t="s">
        <v>1461</v>
      </c>
      <c r="L7754" s="2" t="s">
        <v>34</v>
      </c>
      <c r="M7754" s="2"/>
      <c r="N7754" s="2"/>
      <c r="O7754" s="2"/>
      <c r="P7754" s="2" t="s">
        <v>23296</v>
      </c>
      <c r="Q7754" s="6">
        <v>30.27</v>
      </c>
      <c r="R7754" s="6">
        <v>37.5</v>
      </c>
      <c r="S7754" s="5">
        <v>149.80000000000001</v>
      </c>
      <c r="T7754" s="7">
        <v>879.12199999999996</v>
      </c>
      <c r="U7754" s="5">
        <v>5.8</v>
      </c>
      <c r="V7754" s="6">
        <v>1.2</v>
      </c>
      <c r="W7754" s="6">
        <v>28.62</v>
      </c>
      <c r="X7754" s="6">
        <v>28.34</v>
      </c>
      <c r="Y7754" s="6">
        <v>34.659999999999997</v>
      </c>
      <c r="Z7754" s="5">
        <v>35.1</v>
      </c>
      <c r="AA7754" s="6">
        <v>122.18</v>
      </c>
      <c r="AB7754" s="7">
        <v>10.811</v>
      </c>
      <c r="AC7754" s="2"/>
    </row>
    <row r="7755" spans="1:29" ht="104" x14ac:dyDescent="0.15">
      <c r="A7755" s="3">
        <f>DATE(2005,9,2)</f>
        <v>38597</v>
      </c>
      <c r="B7755" s="3">
        <f>DATE(2005,12,16)</f>
        <v>38702</v>
      </c>
      <c r="C7755" s="2" t="s">
        <v>95</v>
      </c>
      <c r="D7755" s="2" t="s">
        <v>23297</v>
      </c>
      <c r="E7755" s="2" t="s">
        <v>92</v>
      </c>
      <c r="F7755" s="4">
        <v>6798</v>
      </c>
      <c r="G7755" s="2" t="s">
        <v>53</v>
      </c>
      <c r="H7755" s="2" t="s">
        <v>34</v>
      </c>
      <c r="I7755" s="2" t="s">
        <v>23066</v>
      </c>
      <c r="J7755" s="2" t="s">
        <v>3941</v>
      </c>
      <c r="K7755" s="2" t="s">
        <v>53</v>
      </c>
      <c r="L7755" s="2" t="s">
        <v>34</v>
      </c>
      <c r="M7755" s="2"/>
      <c r="N7755" s="2"/>
      <c r="O7755" s="2"/>
      <c r="P7755" s="2" t="s">
        <v>23298</v>
      </c>
      <c r="Q7755" s="6">
        <v>100</v>
      </c>
      <c r="R7755" s="6">
        <v>38.75</v>
      </c>
      <c r="S7755" s="5">
        <v>66.7</v>
      </c>
      <c r="T7755" s="7">
        <v>136.31899999999999</v>
      </c>
      <c r="U7755" s="5">
        <v>21.5</v>
      </c>
      <c r="V7755" s="6">
        <v>1.39</v>
      </c>
      <c r="W7755" s="6">
        <v>35.26</v>
      </c>
      <c r="X7755" s="6">
        <v>35.44</v>
      </c>
      <c r="Y7755" s="6">
        <v>35.54</v>
      </c>
      <c r="Z7755" s="6">
        <v>35.54</v>
      </c>
      <c r="AA7755" s="6">
        <v>46.28</v>
      </c>
      <c r="AB7755" s="7">
        <v>30.571000000000002</v>
      </c>
      <c r="AC7755" s="2"/>
    </row>
    <row r="7756" spans="1:29" ht="104" x14ac:dyDescent="0.15">
      <c r="A7756" s="3">
        <f>DATE(2005,9,5)</f>
        <v>38600</v>
      </c>
      <c r="B7756" s="3">
        <f>DATE(2005,12,31)</f>
        <v>38717</v>
      </c>
      <c r="C7756" s="2" t="s">
        <v>95</v>
      </c>
      <c r="D7756" s="2" t="s">
        <v>17534</v>
      </c>
      <c r="E7756" s="2" t="s">
        <v>2800</v>
      </c>
      <c r="F7756" s="4">
        <v>6162</v>
      </c>
      <c r="G7756" s="2" t="s">
        <v>109</v>
      </c>
      <c r="H7756" s="2" t="s">
        <v>34</v>
      </c>
      <c r="I7756" s="2" t="s">
        <v>23299</v>
      </c>
      <c r="J7756" s="2" t="s">
        <v>14562</v>
      </c>
      <c r="K7756" s="2" t="s">
        <v>53</v>
      </c>
      <c r="L7756" s="2" t="s">
        <v>34</v>
      </c>
      <c r="M7756" s="2"/>
      <c r="N7756" s="2"/>
      <c r="O7756" s="2"/>
      <c r="P7756" s="2" t="s">
        <v>23300</v>
      </c>
      <c r="Q7756" s="6">
        <v>100</v>
      </c>
      <c r="R7756" s="6">
        <v>5.64</v>
      </c>
      <c r="S7756" s="5">
        <v>1.5</v>
      </c>
      <c r="T7756" s="7">
        <v>5.2060000000000004</v>
      </c>
      <c r="U7756" s="5">
        <v>5.3</v>
      </c>
      <c r="V7756" s="6">
        <v>0.25</v>
      </c>
      <c r="W7756" s="5">
        <v>4.2</v>
      </c>
      <c r="X7756" s="6">
        <v>4.18</v>
      </c>
      <c r="Y7756" s="6">
        <v>4.18</v>
      </c>
      <c r="Z7756" s="6">
        <v>5.39</v>
      </c>
      <c r="AA7756" s="6">
        <v>6.21</v>
      </c>
      <c r="AB7756" s="7">
        <v>115.696</v>
      </c>
      <c r="AC7756" s="2"/>
    </row>
    <row r="7757" spans="1:29" ht="182" x14ac:dyDescent="0.15">
      <c r="A7757" s="3">
        <f>DATE(2005,9,6)</f>
        <v>38601</v>
      </c>
      <c r="B7757" s="3">
        <f>DATE(2006,1,4)</f>
        <v>38721</v>
      </c>
      <c r="C7757" s="2" t="s">
        <v>95</v>
      </c>
      <c r="D7757" s="2" t="s">
        <v>23301</v>
      </c>
      <c r="E7757" s="2" t="s">
        <v>23302</v>
      </c>
      <c r="F7757" s="4">
        <v>2836</v>
      </c>
      <c r="G7757" s="2" t="s">
        <v>130</v>
      </c>
      <c r="H7757" s="2" t="s">
        <v>34</v>
      </c>
      <c r="I7757" s="2" t="s">
        <v>23303</v>
      </c>
      <c r="J7757" s="2" t="s">
        <v>129</v>
      </c>
      <c r="K7757" s="2" t="s">
        <v>130</v>
      </c>
      <c r="L7757" s="2" t="s">
        <v>34</v>
      </c>
      <c r="M7757" s="2"/>
      <c r="N7757" s="2"/>
      <c r="O7757" s="2"/>
      <c r="P7757" s="2" t="s">
        <v>23304</v>
      </c>
      <c r="Q7757" s="6">
        <v>100</v>
      </c>
      <c r="R7757" s="6">
        <v>1.44</v>
      </c>
      <c r="S7757" s="5">
        <v>-27.7</v>
      </c>
      <c r="T7757" s="7">
        <v>-25.116</v>
      </c>
      <c r="U7757" s="5">
        <v>0.9</v>
      </c>
      <c r="V7757" s="6">
        <v>-0.97</v>
      </c>
      <c r="W7757" s="5">
        <v>1.3</v>
      </c>
      <c r="X7757" s="6">
        <v>1.34</v>
      </c>
      <c r="Y7757" s="6">
        <v>1.54</v>
      </c>
      <c r="Z7757" s="6">
        <v>1.49</v>
      </c>
      <c r="AA7757" s="6">
        <v>28.61</v>
      </c>
      <c r="AB7757" s="2" t="s">
        <v>86</v>
      </c>
      <c r="AC7757" s="6">
        <v>0.4</v>
      </c>
    </row>
    <row r="7758" spans="1:29" ht="130" x14ac:dyDescent="0.15">
      <c r="A7758" s="3">
        <f>DATE(2005,9,6)</f>
        <v>38601</v>
      </c>
      <c r="B7758" s="3">
        <f>DATE(2006,1,26)</f>
        <v>38743</v>
      </c>
      <c r="C7758" s="2" t="s">
        <v>95</v>
      </c>
      <c r="D7758" s="2" t="s">
        <v>23305</v>
      </c>
      <c r="E7758" s="2" t="s">
        <v>14170</v>
      </c>
      <c r="F7758" s="4">
        <v>6035</v>
      </c>
      <c r="G7758" s="2" t="s">
        <v>33</v>
      </c>
      <c r="H7758" s="2" t="s">
        <v>34</v>
      </c>
      <c r="I7758" s="2" t="s">
        <v>345</v>
      </c>
      <c r="J7758" s="2" t="s">
        <v>36</v>
      </c>
      <c r="K7758" s="2" t="s">
        <v>37</v>
      </c>
      <c r="L7758" s="2" t="s">
        <v>34</v>
      </c>
      <c r="M7758" s="7">
        <v>884.24699999999996</v>
      </c>
      <c r="N7758" s="6">
        <v>27.05</v>
      </c>
      <c r="O7758" s="6">
        <v>26.85</v>
      </c>
      <c r="P7758" s="2" t="s">
        <v>23306</v>
      </c>
      <c r="Q7758" s="6">
        <v>100</v>
      </c>
      <c r="R7758" s="6">
        <v>51.82</v>
      </c>
      <c r="S7758" s="2"/>
      <c r="T7758" s="2"/>
      <c r="U7758" s="2"/>
      <c r="V7758" s="2"/>
      <c r="W7758" s="6">
        <v>34.25</v>
      </c>
      <c r="X7758" s="4">
        <v>35</v>
      </c>
      <c r="Y7758" s="4">
        <v>35</v>
      </c>
      <c r="Z7758" s="6">
        <v>40.75</v>
      </c>
      <c r="AA7758" s="6">
        <v>2.27</v>
      </c>
      <c r="AB7758" s="2" t="s">
        <v>47</v>
      </c>
      <c r="AC7758" s="2"/>
    </row>
    <row r="7759" spans="1:29" ht="78" x14ac:dyDescent="0.15">
      <c r="A7759" s="3">
        <f>DATE(2005,9,8)</f>
        <v>38603</v>
      </c>
      <c r="B7759" s="2"/>
      <c r="C7759" s="2" t="s">
        <v>7330</v>
      </c>
      <c r="D7759" s="2" t="s">
        <v>6738</v>
      </c>
      <c r="E7759" s="2" t="s">
        <v>6739</v>
      </c>
      <c r="F7759" s="4">
        <v>3679</v>
      </c>
      <c r="G7759" s="2" t="s">
        <v>137</v>
      </c>
      <c r="H7759" s="2" t="s">
        <v>34</v>
      </c>
      <c r="I7759" s="2" t="s">
        <v>23307</v>
      </c>
      <c r="J7759" s="2" t="s">
        <v>1620</v>
      </c>
      <c r="K7759" s="2" t="s">
        <v>53</v>
      </c>
      <c r="L7759" s="2" t="s">
        <v>34</v>
      </c>
      <c r="M7759" s="2"/>
      <c r="N7759" s="2"/>
      <c r="O7759" s="2"/>
      <c r="P7759" s="2" t="s">
        <v>23308</v>
      </c>
      <c r="Q7759" s="2"/>
      <c r="R7759" s="6">
        <v>2.5499999999999998</v>
      </c>
      <c r="S7759" s="5">
        <v>-0.8</v>
      </c>
      <c r="T7759" s="7">
        <v>1.252</v>
      </c>
      <c r="U7759" s="8">
        <v>49979.8</v>
      </c>
      <c r="V7759" s="6">
        <v>-2000</v>
      </c>
      <c r="W7759" s="6">
        <v>2.09</v>
      </c>
      <c r="X7759" s="6">
        <v>2.44</v>
      </c>
      <c r="Y7759" s="6">
        <v>2.5299999999999998</v>
      </c>
      <c r="Z7759" s="6">
        <v>2.5299999999999998</v>
      </c>
      <c r="AA7759" s="6">
        <v>8.4600000000000009</v>
      </c>
      <c r="AB7759" s="2" t="s">
        <v>86</v>
      </c>
      <c r="AC7759" s="2"/>
    </row>
    <row r="7760" spans="1:29" ht="156" x14ac:dyDescent="0.15">
      <c r="A7760" s="3">
        <f>DATE(2005,9,8)</f>
        <v>38603</v>
      </c>
      <c r="B7760" s="2"/>
      <c r="C7760" s="2" t="s">
        <v>30</v>
      </c>
      <c r="D7760" s="2" t="s">
        <v>2577</v>
      </c>
      <c r="E7760" s="2" t="s">
        <v>13671</v>
      </c>
      <c r="F7760" s="4">
        <v>5091</v>
      </c>
      <c r="G7760" s="2" t="s">
        <v>76</v>
      </c>
      <c r="H7760" s="2" t="s">
        <v>34</v>
      </c>
      <c r="I7760" s="2" t="s">
        <v>23105</v>
      </c>
      <c r="J7760" s="2" t="s">
        <v>23106</v>
      </c>
      <c r="K7760" s="2" t="s">
        <v>112</v>
      </c>
      <c r="L7760" s="2" t="s">
        <v>34</v>
      </c>
      <c r="M7760" s="2"/>
      <c r="N7760" s="6">
        <v>12.68</v>
      </c>
      <c r="O7760" s="6">
        <v>12.48</v>
      </c>
      <c r="P7760" s="2" t="s">
        <v>23309</v>
      </c>
      <c r="Q7760" s="2"/>
      <c r="R7760" s="6">
        <v>6.92</v>
      </c>
      <c r="S7760" s="5">
        <v>1.4</v>
      </c>
      <c r="T7760" s="7">
        <v>3.161</v>
      </c>
      <c r="U7760" s="5">
        <v>3.3</v>
      </c>
      <c r="V7760" s="7">
        <v>0.14199999999999999</v>
      </c>
      <c r="W7760" s="6">
        <v>5.97</v>
      </c>
      <c r="X7760" s="6">
        <v>5.95</v>
      </c>
      <c r="Y7760" s="6">
        <v>7.05</v>
      </c>
      <c r="Z7760" s="6">
        <v>6.87</v>
      </c>
      <c r="AA7760" s="6">
        <v>8.92</v>
      </c>
      <c r="AB7760" s="7">
        <v>41.401000000000003</v>
      </c>
      <c r="AC7760" s="6">
        <v>40.33</v>
      </c>
    </row>
    <row r="7761" spans="1:29" ht="91" x14ac:dyDescent="0.15">
      <c r="A7761" s="3">
        <f>DATE(2005,9,9)</f>
        <v>38604</v>
      </c>
      <c r="B7761" s="2"/>
      <c r="C7761" s="2" t="s">
        <v>30</v>
      </c>
      <c r="D7761" s="2" t="s">
        <v>10732</v>
      </c>
      <c r="E7761" s="2" t="s">
        <v>973</v>
      </c>
      <c r="F7761" s="4">
        <v>4813</v>
      </c>
      <c r="G7761" s="2" t="s">
        <v>63</v>
      </c>
      <c r="H7761" s="2" t="s">
        <v>34</v>
      </c>
      <c r="I7761" s="2" t="s">
        <v>22485</v>
      </c>
      <c r="J7761" s="2" t="s">
        <v>22486</v>
      </c>
      <c r="K7761" s="2" t="s">
        <v>53</v>
      </c>
      <c r="L7761" s="2" t="s">
        <v>34</v>
      </c>
      <c r="M7761" s="2"/>
      <c r="N7761" s="2"/>
      <c r="O7761" s="2"/>
      <c r="P7761" s="2" t="s">
        <v>23310</v>
      </c>
      <c r="Q7761" s="2"/>
      <c r="R7761" s="6">
        <v>26.5</v>
      </c>
      <c r="S7761" s="5">
        <v>5.4</v>
      </c>
      <c r="T7761" s="6">
        <v>15.18</v>
      </c>
      <c r="U7761" s="5">
        <v>14.9</v>
      </c>
      <c r="V7761" s="6">
        <v>1.33</v>
      </c>
      <c r="W7761" s="6">
        <v>26.14</v>
      </c>
      <c r="X7761" s="5">
        <v>26.5</v>
      </c>
      <c r="Y7761" s="6">
        <v>26.75</v>
      </c>
      <c r="Z7761" s="6">
        <v>29.29</v>
      </c>
      <c r="AA7761" s="6">
        <v>3.81</v>
      </c>
      <c r="AB7761" s="7">
        <v>18.065000000000001</v>
      </c>
      <c r="AC7761" s="2"/>
    </row>
    <row r="7762" spans="1:29" ht="91" x14ac:dyDescent="0.15">
      <c r="A7762" s="3">
        <f>DATE(2005,9,9)</f>
        <v>38604</v>
      </c>
      <c r="B7762" s="3">
        <f>DATE(2005,11,14)</f>
        <v>38670</v>
      </c>
      <c r="C7762" s="2" t="s">
        <v>95</v>
      </c>
      <c r="D7762" s="2" t="s">
        <v>23311</v>
      </c>
      <c r="E7762" s="2" t="s">
        <v>23312</v>
      </c>
      <c r="F7762" s="4">
        <v>3571</v>
      </c>
      <c r="G7762" s="2" t="s">
        <v>50</v>
      </c>
      <c r="H7762" s="2" t="s">
        <v>34</v>
      </c>
      <c r="I7762" s="2" t="s">
        <v>23313</v>
      </c>
      <c r="J7762" s="2" t="s">
        <v>5102</v>
      </c>
      <c r="K7762" s="2" t="s">
        <v>551</v>
      </c>
      <c r="L7762" s="2" t="s">
        <v>99</v>
      </c>
      <c r="M7762" s="12">
        <v>2322.3020000000001</v>
      </c>
      <c r="N7762" s="5">
        <v>25627.200000000001</v>
      </c>
      <c r="O7762" s="6">
        <v>25733.24</v>
      </c>
      <c r="P7762" s="2" t="s">
        <v>23314</v>
      </c>
      <c r="Q7762" s="6">
        <v>100</v>
      </c>
      <c r="R7762" s="6">
        <v>18.5</v>
      </c>
      <c r="S7762" s="5">
        <v>17.7</v>
      </c>
      <c r="T7762" s="7">
        <v>-2.6760000000000002</v>
      </c>
      <c r="U7762" s="5">
        <v>9.1999999999999993</v>
      </c>
      <c r="V7762" s="6">
        <v>1.1599999999999999</v>
      </c>
      <c r="W7762" s="5">
        <v>10.7</v>
      </c>
      <c r="X7762" s="6">
        <v>10.09</v>
      </c>
      <c r="Y7762" s="6">
        <v>17.98</v>
      </c>
      <c r="Z7762" s="6">
        <v>17.920000000000002</v>
      </c>
      <c r="AA7762" s="6">
        <v>16.809999999999999</v>
      </c>
      <c r="AB7762" s="2" t="s">
        <v>86</v>
      </c>
      <c r="AC7762" s="6">
        <v>517.37</v>
      </c>
    </row>
    <row r="7763" spans="1:29" ht="104" x14ac:dyDescent="0.15">
      <c r="A7763" s="3">
        <f>DATE(2005,9,12)</f>
        <v>38607</v>
      </c>
      <c r="B7763" s="3">
        <f>DATE(2005,12,12)</f>
        <v>38698</v>
      </c>
      <c r="C7763" s="2" t="s">
        <v>95</v>
      </c>
      <c r="D7763" s="2" t="s">
        <v>23315</v>
      </c>
      <c r="E7763" s="2" t="s">
        <v>2800</v>
      </c>
      <c r="F7763" s="4">
        <v>6162</v>
      </c>
      <c r="G7763" s="2" t="s">
        <v>109</v>
      </c>
      <c r="H7763" s="2" t="s">
        <v>34</v>
      </c>
      <c r="I7763" s="2" t="s">
        <v>22080</v>
      </c>
      <c r="J7763" s="2" t="s">
        <v>22081</v>
      </c>
      <c r="K7763" s="2" t="s">
        <v>37</v>
      </c>
      <c r="L7763" s="2" t="s">
        <v>34</v>
      </c>
      <c r="M7763" s="12">
        <v>79166.785999999993</v>
      </c>
      <c r="N7763" s="6">
        <v>49.57</v>
      </c>
      <c r="O7763" s="4">
        <v>49</v>
      </c>
      <c r="P7763" s="2" t="s">
        <v>23316</v>
      </c>
      <c r="Q7763" s="6">
        <v>100</v>
      </c>
      <c r="R7763" s="6">
        <v>10.3</v>
      </c>
      <c r="S7763" s="5">
        <v>-1.9</v>
      </c>
      <c r="T7763" s="2"/>
      <c r="U7763" s="5">
        <v>10.3</v>
      </c>
      <c r="V7763" s="6">
        <v>-0.27</v>
      </c>
      <c r="W7763" s="6">
        <v>10.01</v>
      </c>
      <c r="X7763" s="6">
        <v>9.39</v>
      </c>
      <c r="Y7763" s="6">
        <v>9.77</v>
      </c>
      <c r="Z7763" s="5">
        <v>10.199999999999999</v>
      </c>
      <c r="AA7763" s="6">
        <v>7.43</v>
      </c>
      <c r="AB7763" s="2" t="s">
        <v>86</v>
      </c>
      <c r="AC7763" s="2"/>
    </row>
    <row r="7764" spans="1:29" ht="117" x14ac:dyDescent="0.15">
      <c r="A7764" s="3">
        <f>DATE(2005,9,12)</f>
        <v>38607</v>
      </c>
      <c r="B7764" s="3">
        <f>DATE(2006,2,1)</f>
        <v>38749</v>
      </c>
      <c r="C7764" s="2" t="s">
        <v>95</v>
      </c>
      <c r="D7764" s="2" t="s">
        <v>23317</v>
      </c>
      <c r="E7764" s="2" t="s">
        <v>8873</v>
      </c>
      <c r="F7764" s="4">
        <v>6021</v>
      </c>
      <c r="G7764" s="2" t="s">
        <v>37</v>
      </c>
      <c r="H7764" s="2" t="s">
        <v>34</v>
      </c>
      <c r="I7764" s="2" t="s">
        <v>23318</v>
      </c>
      <c r="J7764" s="2" t="s">
        <v>159</v>
      </c>
      <c r="K7764" s="2" t="s">
        <v>37</v>
      </c>
      <c r="L7764" s="2" t="s">
        <v>34</v>
      </c>
      <c r="M7764" s="6">
        <v>818.37</v>
      </c>
      <c r="N7764" s="6">
        <v>30.16</v>
      </c>
      <c r="O7764" s="6">
        <v>28.82</v>
      </c>
      <c r="P7764" s="2" t="s">
        <v>23319</v>
      </c>
      <c r="Q7764" s="6">
        <v>100</v>
      </c>
      <c r="R7764" s="6">
        <v>52.6</v>
      </c>
      <c r="S7764" s="2"/>
      <c r="T7764" s="2"/>
      <c r="U7764" s="2"/>
      <c r="V7764" s="2"/>
      <c r="W7764" s="4">
        <v>33</v>
      </c>
      <c r="X7764" s="5">
        <v>32.200000000000003</v>
      </c>
      <c r="Y7764" s="5">
        <v>32.200000000000003</v>
      </c>
      <c r="Z7764" s="6">
        <v>50.05</v>
      </c>
      <c r="AA7764" s="2"/>
      <c r="AB7764" s="2" t="s">
        <v>47</v>
      </c>
      <c r="AC7764" s="2"/>
    </row>
    <row r="7765" spans="1:29" ht="104" x14ac:dyDescent="0.15">
      <c r="A7765" s="3">
        <f>DATE(2005,9,12)</f>
        <v>38607</v>
      </c>
      <c r="B7765" s="3">
        <f>DATE(2006,1,31)</f>
        <v>38748</v>
      </c>
      <c r="C7765" s="2" t="s">
        <v>95</v>
      </c>
      <c r="D7765" s="2" t="s">
        <v>11613</v>
      </c>
      <c r="E7765" s="2" t="s">
        <v>11614</v>
      </c>
      <c r="F7765" s="4">
        <v>7372</v>
      </c>
      <c r="G7765" s="2" t="s">
        <v>551</v>
      </c>
      <c r="H7765" s="2" t="s">
        <v>34</v>
      </c>
      <c r="I7765" s="2" t="s">
        <v>8588</v>
      </c>
      <c r="J7765" s="2" t="s">
        <v>8589</v>
      </c>
      <c r="K7765" s="2" t="s">
        <v>551</v>
      </c>
      <c r="L7765" s="2" t="s">
        <v>34</v>
      </c>
      <c r="M7765" s="12">
        <v>68399.827999999994</v>
      </c>
      <c r="N7765" s="6">
        <v>13.49</v>
      </c>
      <c r="O7765" s="6">
        <v>13.64</v>
      </c>
      <c r="P7765" s="2" t="s">
        <v>23320</v>
      </c>
      <c r="Q7765" s="6">
        <v>100</v>
      </c>
      <c r="R7765" s="6">
        <v>10.66</v>
      </c>
      <c r="S7765" s="5">
        <v>16.8</v>
      </c>
      <c r="T7765" s="7">
        <v>173.803</v>
      </c>
      <c r="U7765" s="5">
        <v>4.3</v>
      </c>
      <c r="V7765" s="6">
        <v>0.03</v>
      </c>
      <c r="W7765" s="6">
        <v>8.31</v>
      </c>
      <c r="X7765" s="6">
        <v>9.1300000000000008</v>
      </c>
      <c r="Y7765" s="6">
        <v>10.29</v>
      </c>
      <c r="Z7765" s="6">
        <v>10.36</v>
      </c>
      <c r="AA7765" s="6">
        <v>522.33000000000004</v>
      </c>
      <c r="AB7765" s="7">
        <v>42.808999999999997</v>
      </c>
      <c r="AC7765" s="8">
        <v>4632</v>
      </c>
    </row>
    <row r="7766" spans="1:29" ht="130" x14ac:dyDescent="0.15">
      <c r="A7766" s="3">
        <f>DATE(2005,9,12)</f>
        <v>38607</v>
      </c>
      <c r="B7766" s="3">
        <f>DATE(2006,3,1)</f>
        <v>38777</v>
      </c>
      <c r="C7766" s="2" t="s">
        <v>95</v>
      </c>
      <c r="D7766" s="2" t="s">
        <v>20155</v>
      </c>
      <c r="E7766" s="2" t="s">
        <v>6734</v>
      </c>
      <c r="F7766" s="4">
        <v>6141</v>
      </c>
      <c r="G7766" s="2" t="s">
        <v>370</v>
      </c>
      <c r="H7766" s="2" t="s">
        <v>34</v>
      </c>
      <c r="I7766" s="2" t="s">
        <v>22080</v>
      </c>
      <c r="J7766" s="2" t="s">
        <v>22081</v>
      </c>
      <c r="K7766" s="2" t="s">
        <v>37</v>
      </c>
      <c r="L7766" s="2" t="s">
        <v>34</v>
      </c>
      <c r="M7766" s="12">
        <v>79166.785999999993</v>
      </c>
      <c r="N7766" s="6">
        <v>49.57</v>
      </c>
      <c r="O7766" s="4">
        <v>49</v>
      </c>
      <c r="P7766" s="2" t="s">
        <v>23321</v>
      </c>
      <c r="Q7766" s="6">
        <v>16.600000000000001</v>
      </c>
      <c r="R7766" s="6">
        <v>73.86</v>
      </c>
      <c r="S7766" s="5">
        <v>192.9</v>
      </c>
      <c r="T7766" s="7">
        <v>252.84100000000001</v>
      </c>
      <c r="U7766" s="5">
        <v>27.9</v>
      </c>
      <c r="V7766" s="6">
        <v>4.6900000000000004</v>
      </c>
      <c r="W7766" s="6">
        <v>66.27</v>
      </c>
      <c r="X7766" s="6">
        <v>64.92</v>
      </c>
      <c r="Y7766" s="6">
        <v>70.150000000000006</v>
      </c>
      <c r="Z7766" s="6">
        <v>69.83</v>
      </c>
      <c r="AA7766" s="6">
        <v>41.09</v>
      </c>
      <c r="AB7766" s="7">
        <v>51.02</v>
      </c>
      <c r="AC7766" s="2"/>
    </row>
    <row r="7767" spans="1:29" ht="143" x14ac:dyDescent="0.15">
      <c r="A7767" s="3">
        <f>DATE(2005,9,13)</f>
        <v>38608</v>
      </c>
      <c r="B7767" s="3">
        <f>DATE(2005,11,16)</f>
        <v>38672</v>
      </c>
      <c r="C7767" s="2" t="s">
        <v>95</v>
      </c>
      <c r="D7767" s="2" t="s">
        <v>23322</v>
      </c>
      <c r="E7767" s="2" t="s">
        <v>1888</v>
      </c>
      <c r="F7767" s="4">
        <v>4911</v>
      </c>
      <c r="G7767" s="2" t="s">
        <v>439</v>
      </c>
      <c r="H7767" s="2" t="s">
        <v>34</v>
      </c>
      <c r="I7767" s="2" t="s">
        <v>23323</v>
      </c>
      <c r="J7767" s="2" t="s">
        <v>302</v>
      </c>
      <c r="K7767" s="2" t="s">
        <v>53</v>
      </c>
      <c r="L7767" s="2" t="s">
        <v>8423</v>
      </c>
      <c r="M7767" s="2"/>
      <c r="N7767" s="2"/>
      <c r="O7767" s="2"/>
      <c r="P7767" s="2" t="s">
        <v>23324</v>
      </c>
      <c r="Q7767" s="6">
        <v>100</v>
      </c>
      <c r="R7767" s="6">
        <v>14.19</v>
      </c>
      <c r="S7767" s="5">
        <v>-5.0999999999999996</v>
      </c>
      <c r="T7767" s="2"/>
      <c r="U7767" s="5">
        <v>0.8</v>
      </c>
      <c r="V7767" s="6">
        <v>-9.3000000000000007</v>
      </c>
      <c r="W7767" s="6">
        <v>9.9499999999999993</v>
      </c>
      <c r="X7767" s="6">
        <v>9.76</v>
      </c>
      <c r="Y7767" s="6">
        <v>13.99</v>
      </c>
      <c r="Z7767" s="6">
        <v>13.99</v>
      </c>
      <c r="AA7767" s="6">
        <v>0.56999999999999995</v>
      </c>
      <c r="AB7767" s="7">
        <v>29.117999999999999</v>
      </c>
      <c r="AC7767" s="2"/>
    </row>
    <row r="7768" spans="1:29" ht="143" x14ac:dyDescent="0.15">
      <c r="A7768" s="3">
        <f>DATE(2005,9,13)</f>
        <v>38608</v>
      </c>
      <c r="B7768" s="2"/>
      <c r="C7768" s="2" t="s">
        <v>56</v>
      </c>
      <c r="D7768" s="2" t="s">
        <v>23325</v>
      </c>
      <c r="E7768" s="2" t="s">
        <v>23326</v>
      </c>
      <c r="F7768" s="4">
        <v>7822</v>
      </c>
      <c r="G7768" s="2" t="s">
        <v>42</v>
      </c>
      <c r="H7768" s="2" t="s">
        <v>34</v>
      </c>
      <c r="I7768" s="2" t="s">
        <v>16998</v>
      </c>
      <c r="J7768" s="2" t="s">
        <v>398</v>
      </c>
      <c r="K7768" s="2" t="s">
        <v>42</v>
      </c>
      <c r="L7768" s="2" t="s">
        <v>34</v>
      </c>
      <c r="M7768" s="12">
        <v>1161.386</v>
      </c>
      <c r="N7768" s="5">
        <v>10.4</v>
      </c>
      <c r="O7768" s="6">
        <v>10.15</v>
      </c>
      <c r="P7768" s="2" t="s">
        <v>23327</v>
      </c>
      <c r="Q7768" s="2"/>
      <c r="R7768" s="6">
        <v>4.3899999999999997</v>
      </c>
      <c r="S7768" s="5">
        <v>2.6</v>
      </c>
      <c r="T7768" s="7">
        <v>5.2640000000000002</v>
      </c>
      <c r="U7768" s="5">
        <v>1.9</v>
      </c>
      <c r="V7768" s="6">
        <v>0.13</v>
      </c>
      <c r="W7768" s="5">
        <v>2.7</v>
      </c>
      <c r="X7768" s="6">
        <v>2.94</v>
      </c>
      <c r="Y7768" s="4">
        <v>3</v>
      </c>
      <c r="Z7768" s="6">
        <v>4.42</v>
      </c>
      <c r="AA7768" s="6">
        <v>21.25</v>
      </c>
      <c r="AB7768" s="7">
        <v>35.683999999999997</v>
      </c>
      <c r="AC7768" s="6">
        <v>170.57</v>
      </c>
    </row>
    <row r="7769" spans="1:29" ht="143" x14ac:dyDescent="0.15">
      <c r="A7769" s="3">
        <f>DATE(2005,9,14)</f>
        <v>38609</v>
      </c>
      <c r="B7769" s="3">
        <f>DATE(2007,5,31)</f>
        <v>39233</v>
      </c>
      <c r="C7769" s="2" t="s">
        <v>95</v>
      </c>
      <c r="D7769" s="2" t="s">
        <v>1818</v>
      </c>
      <c r="E7769" s="2" t="s">
        <v>58</v>
      </c>
      <c r="F7769" s="4">
        <v>4512</v>
      </c>
      <c r="G7769" s="2" t="s">
        <v>59</v>
      </c>
      <c r="H7769" s="2" t="s">
        <v>34</v>
      </c>
      <c r="I7769" s="2" t="s">
        <v>1526</v>
      </c>
      <c r="J7769" s="2" t="s">
        <v>302</v>
      </c>
      <c r="K7769" s="2" t="s">
        <v>53</v>
      </c>
      <c r="L7769" s="2" t="s">
        <v>34</v>
      </c>
      <c r="M7769" s="2"/>
      <c r="N7769" s="2"/>
      <c r="O7769" s="2"/>
      <c r="P7769" s="2" t="s">
        <v>23328</v>
      </c>
      <c r="Q7769" s="6">
        <v>81.2</v>
      </c>
      <c r="R7769" s="2"/>
      <c r="S7769" s="8">
        <v>-2023</v>
      </c>
      <c r="T7769" s="8">
        <v>1462</v>
      </c>
      <c r="U7769" s="5">
        <v>-94.7</v>
      </c>
      <c r="V7769" s="6">
        <v>-22.16</v>
      </c>
      <c r="W7769" s="6">
        <v>3.37</v>
      </c>
      <c r="X7769" s="6">
        <v>1.57</v>
      </c>
      <c r="Y7769" s="6">
        <v>1.87</v>
      </c>
      <c r="Z7769" s="6">
        <v>0.88</v>
      </c>
      <c r="AA7769" s="6">
        <v>278.08</v>
      </c>
      <c r="AB7769" s="7">
        <v>9.0060000000000002</v>
      </c>
      <c r="AC7769" s="2"/>
    </row>
    <row r="7770" spans="1:29" ht="156" x14ac:dyDescent="0.15">
      <c r="A7770" s="3">
        <f>DATE(2005,9,15)</f>
        <v>38610</v>
      </c>
      <c r="B7770" s="3">
        <f>DATE(2005,10,31)</f>
        <v>38656</v>
      </c>
      <c r="C7770" s="2" t="s">
        <v>95</v>
      </c>
      <c r="D7770" s="2" t="s">
        <v>23329</v>
      </c>
      <c r="E7770" s="2" t="s">
        <v>23330</v>
      </c>
      <c r="F7770" s="4">
        <v>3861</v>
      </c>
      <c r="G7770" s="2" t="s">
        <v>226</v>
      </c>
      <c r="H7770" s="2" t="s">
        <v>34</v>
      </c>
      <c r="I7770" s="2" t="s">
        <v>23331</v>
      </c>
      <c r="J7770" s="2" t="s">
        <v>19959</v>
      </c>
      <c r="K7770" s="2" t="s">
        <v>551</v>
      </c>
      <c r="L7770" s="2" t="s">
        <v>2105</v>
      </c>
      <c r="M7770" s="12">
        <v>1304.0719999999999</v>
      </c>
      <c r="N7770" s="7">
        <v>16.245999999999999</v>
      </c>
      <c r="O7770" s="7">
        <v>15.654</v>
      </c>
      <c r="P7770" s="2" t="s">
        <v>23332</v>
      </c>
      <c r="Q7770" s="6">
        <v>100</v>
      </c>
      <c r="R7770" s="6">
        <v>42</v>
      </c>
      <c r="S7770" s="5">
        <v>19</v>
      </c>
      <c r="T7770" s="7">
        <v>119.822</v>
      </c>
      <c r="U7770" s="5">
        <v>15.6</v>
      </c>
      <c r="V7770" s="6">
        <v>1.08</v>
      </c>
      <c r="W7770" s="6">
        <v>33.520000000000003</v>
      </c>
      <c r="X7770" s="6">
        <v>32.979999999999997</v>
      </c>
      <c r="Y7770" s="6">
        <v>32.979999999999997</v>
      </c>
      <c r="Z7770" s="6">
        <v>41.89</v>
      </c>
      <c r="AA7770" s="6">
        <v>15.46</v>
      </c>
      <c r="AB7770" s="7">
        <v>18.454999999999998</v>
      </c>
      <c r="AC7770" s="6">
        <v>153.04</v>
      </c>
    </row>
    <row r="7771" spans="1:29" ht="117" x14ac:dyDescent="0.15">
      <c r="A7771" s="3">
        <f>DATE(2005,9,15)</f>
        <v>38610</v>
      </c>
      <c r="B7771" s="3">
        <f>DATE(2006,4,5)</f>
        <v>38812</v>
      </c>
      <c r="C7771" s="2" t="s">
        <v>95</v>
      </c>
      <c r="D7771" s="2" t="s">
        <v>15423</v>
      </c>
      <c r="E7771" s="2" t="s">
        <v>15424</v>
      </c>
      <c r="F7771" s="4">
        <v>6321</v>
      </c>
      <c r="G7771" s="2" t="s">
        <v>125</v>
      </c>
      <c r="H7771" s="2" t="s">
        <v>34</v>
      </c>
      <c r="I7771" s="2" t="s">
        <v>51</v>
      </c>
      <c r="J7771" s="2" t="s">
        <v>52</v>
      </c>
      <c r="K7771" s="2" t="s">
        <v>53</v>
      </c>
      <c r="L7771" s="2" t="s">
        <v>34</v>
      </c>
      <c r="M7771" s="2"/>
      <c r="N7771" s="2"/>
      <c r="O7771" s="2"/>
      <c r="P7771" s="2" t="s">
        <v>23333</v>
      </c>
      <c r="Q7771" s="6">
        <v>100</v>
      </c>
      <c r="R7771" s="6">
        <v>37</v>
      </c>
      <c r="S7771" s="5">
        <v>196.9</v>
      </c>
      <c r="T7771" s="2"/>
      <c r="U7771" s="5">
        <v>17.100000000000001</v>
      </c>
      <c r="V7771" s="6">
        <v>3.85</v>
      </c>
      <c r="W7771" s="5">
        <v>31.6</v>
      </c>
      <c r="X7771" s="6">
        <v>31.08</v>
      </c>
      <c r="Y7771" s="6">
        <v>36.11</v>
      </c>
      <c r="Z7771" s="6">
        <v>36.17</v>
      </c>
      <c r="AA7771" s="6">
        <v>46.12</v>
      </c>
      <c r="AB7771" s="7">
        <v>6.5890000000000004</v>
      </c>
      <c r="AC7771" s="2"/>
    </row>
    <row r="7772" spans="1:29" ht="91" x14ac:dyDescent="0.15">
      <c r="A7772" s="3">
        <f>DATE(2005,9,18)</f>
        <v>38613</v>
      </c>
      <c r="B7772" s="3">
        <f>DATE(2005,11,17)</f>
        <v>38673</v>
      </c>
      <c r="C7772" s="2" t="s">
        <v>95</v>
      </c>
      <c r="D7772" s="2" t="s">
        <v>7602</v>
      </c>
      <c r="E7772" s="2" t="s">
        <v>7603</v>
      </c>
      <c r="F7772" s="4">
        <v>3011</v>
      </c>
      <c r="G7772" s="2" t="s">
        <v>447</v>
      </c>
      <c r="H7772" s="2" t="s">
        <v>34</v>
      </c>
      <c r="I7772" s="2" t="s">
        <v>23334</v>
      </c>
      <c r="J7772" s="2" t="s">
        <v>1072</v>
      </c>
      <c r="K7772" s="2" t="s">
        <v>76</v>
      </c>
      <c r="L7772" s="2" t="s">
        <v>34</v>
      </c>
      <c r="M7772" s="2"/>
      <c r="N7772" s="2"/>
      <c r="O7772" s="2"/>
      <c r="P7772" s="2" t="s">
        <v>23335</v>
      </c>
      <c r="Q7772" s="6">
        <v>100</v>
      </c>
      <c r="R7772" s="6">
        <v>35</v>
      </c>
      <c r="S7772" s="5">
        <v>41.1</v>
      </c>
      <c r="T7772" s="6">
        <v>104.23</v>
      </c>
      <c r="U7772" s="5">
        <v>14.4</v>
      </c>
      <c r="V7772" s="6">
        <v>1.77</v>
      </c>
      <c r="W7772" s="6">
        <v>26.05</v>
      </c>
      <c r="X7772" s="6">
        <v>26.12</v>
      </c>
      <c r="Y7772" s="6">
        <v>34.36</v>
      </c>
      <c r="Z7772" s="6">
        <v>34.36</v>
      </c>
      <c r="AA7772" s="6">
        <v>22.44</v>
      </c>
      <c r="AB7772" s="7">
        <v>14.303000000000001</v>
      </c>
      <c r="AC7772" s="2"/>
    </row>
    <row r="7773" spans="1:29" ht="104" x14ac:dyDescent="0.15">
      <c r="A7773" s="3">
        <f>DATE(2005,9,19)</f>
        <v>38614</v>
      </c>
      <c r="B7773" s="3">
        <f>DATE(2005,12,19)</f>
        <v>38705</v>
      </c>
      <c r="C7773" s="2" t="s">
        <v>95</v>
      </c>
      <c r="D7773" s="2" t="s">
        <v>12071</v>
      </c>
      <c r="E7773" s="2" t="s">
        <v>12072</v>
      </c>
      <c r="F7773" s="4">
        <v>7372</v>
      </c>
      <c r="G7773" s="2" t="s">
        <v>551</v>
      </c>
      <c r="H7773" s="2" t="s">
        <v>34</v>
      </c>
      <c r="I7773" s="2" t="s">
        <v>21668</v>
      </c>
      <c r="J7773" s="2" t="s">
        <v>21669</v>
      </c>
      <c r="K7773" s="2" t="s">
        <v>50</v>
      </c>
      <c r="L7773" s="2" t="s">
        <v>34</v>
      </c>
      <c r="M7773" s="12">
        <v>76008.186000000002</v>
      </c>
      <c r="N7773" s="6">
        <v>28.88</v>
      </c>
      <c r="O7773" s="6">
        <v>28.28</v>
      </c>
      <c r="P7773" s="2" t="s">
        <v>23336</v>
      </c>
      <c r="Q7773" s="6">
        <v>100</v>
      </c>
      <c r="R7773" s="6">
        <v>26.08</v>
      </c>
      <c r="S7773" s="5">
        <v>-25.4</v>
      </c>
      <c r="T7773" s="7">
        <v>8.4730000000000008</v>
      </c>
      <c r="U7773" s="5">
        <v>14.8</v>
      </c>
      <c r="V7773" s="6">
        <v>-1.69</v>
      </c>
      <c r="W7773" s="5">
        <v>19.3</v>
      </c>
      <c r="X7773" s="5">
        <v>19.100000000000001</v>
      </c>
      <c r="Y7773" s="6">
        <v>25.32</v>
      </c>
      <c r="Z7773" s="6">
        <v>25.31</v>
      </c>
      <c r="AA7773" s="6">
        <v>15.07</v>
      </c>
      <c r="AB7773" s="2" t="s">
        <v>86</v>
      </c>
      <c r="AC7773" s="8">
        <v>14544</v>
      </c>
    </row>
    <row r="7774" spans="1:29" ht="104" x14ac:dyDescent="0.15">
      <c r="A7774" s="3">
        <f>DATE(2005,9,19)</f>
        <v>38614</v>
      </c>
      <c r="B7774" s="3">
        <f>DATE(2005,12,13)</f>
        <v>38699</v>
      </c>
      <c r="C7774" s="2" t="s">
        <v>95</v>
      </c>
      <c r="D7774" s="2" t="s">
        <v>23337</v>
      </c>
      <c r="E7774" s="2" t="s">
        <v>612</v>
      </c>
      <c r="F7774" s="4">
        <v>1311</v>
      </c>
      <c r="G7774" s="2" t="s">
        <v>148</v>
      </c>
      <c r="H7774" s="2" t="s">
        <v>34</v>
      </c>
      <c r="I7774" s="2" t="s">
        <v>23338</v>
      </c>
      <c r="J7774" s="2" t="s">
        <v>23339</v>
      </c>
      <c r="K7774" s="2" t="s">
        <v>163</v>
      </c>
      <c r="L7774" s="2" t="s">
        <v>2823</v>
      </c>
      <c r="M7774" s="12">
        <v>27116.994999999999</v>
      </c>
      <c r="N7774" s="7">
        <v>115.024</v>
      </c>
      <c r="O7774" s="7">
        <v>113.83799999999999</v>
      </c>
      <c r="P7774" s="2" t="s">
        <v>23340</v>
      </c>
      <c r="Q7774" s="6">
        <v>100</v>
      </c>
      <c r="R7774" s="6">
        <v>65.5</v>
      </c>
      <c r="S7774" s="5">
        <v>57.1</v>
      </c>
      <c r="T7774" s="7">
        <v>260.87099999999998</v>
      </c>
      <c r="U7774" s="5">
        <v>24.8</v>
      </c>
      <c r="V7774" s="6">
        <v>1.64</v>
      </c>
      <c r="W7774" s="6">
        <v>45.38</v>
      </c>
      <c r="X7774" s="6">
        <v>48.75</v>
      </c>
      <c r="Y7774" s="6">
        <v>64.150000000000006</v>
      </c>
      <c r="Z7774" s="5">
        <v>64.099999999999994</v>
      </c>
      <c r="AA7774" s="6">
        <v>34.14</v>
      </c>
      <c r="AB7774" s="7">
        <v>25.992000000000001</v>
      </c>
      <c r="AC7774" s="10">
        <v>3815.78</v>
      </c>
    </row>
    <row r="7775" spans="1:29" ht="78" x14ac:dyDescent="0.15">
      <c r="A7775" s="3">
        <f>DATE(2005,9,21)</f>
        <v>38616</v>
      </c>
      <c r="B7775" s="3">
        <f>DATE(2006,2,10)</f>
        <v>38758</v>
      </c>
      <c r="C7775" s="2" t="s">
        <v>95</v>
      </c>
      <c r="D7775" s="2" t="s">
        <v>23341</v>
      </c>
      <c r="E7775" s="2" t="s">
        <v>5549</v>
      </c>
      <c r="F7775" s="4">
        <v>7371</v>
      </c>
      <c r="G7775" s="2" t="s">
        <v>223</v>
      </c>
      <c r="H7775" s="2" t="s">
        <v>34</v>
      </c>
      <c r="I7775" s="2" t="s">
        <v>23342</v>
      </c>
      <c r="J7775" s="2" t="s">
        <v>595</v>
      </c>
      <c r="K7775" s="2" t="s">
        <v>53</v>
      </c>
      <c r="L7775" s="2" t="s">
        <v>34</v>
      </c>
      <c r="M7775" s="2"/>
      <c r="N7775" s="2"/>
      <c r="O7775" s="2"/>
      <c r="P7775" s="2" t="s">
        <v>23343</v>
      </c>
      <c r="Q7775" s="6">
        <v>100</v>
      </c>
      <c r="R7775" s="6">
        <v>26.5</v>
      </c>
      <c r="S7775" s="5">
        <v>17.899999999999999</v>
      </c>
      <c r="T7775" s="7">
        <v>41.615000000000002</v>
      </c>
      <c r="U7775" s="5">
        <v>-6.4</v>
      </c>
      <c r="V7775" s="6">
        <v>0.99</v>
      </c>
      <c r="W7775" s="6">
        <v>25.15</v>
      </c>
      <c r="X7775" s="6">
        <v>25.83</v>
      </c>
      <c r="Y7775" s="5">
        <v>25.5</v>
      </c>
      <c r="Z7775" s="6">
        <v>26.22</v>
      </c>
      <c r="AA7775" s="6">
        <v>16.57</v>
      </c>
      <c r="AB7775" s="7">
        <v>19.271000000000001</v>
      </c>
      <c r="AC7775" s="2"/>
    </row>
    <row r="7776" spans="1:29" ht="104" x14ac:dyDescent="0.15">
      <c r="A7776" s="3">
        <f>DATE(2005,9,21)</f>
        <v>38616</v>
      </c>
      <c r="B7776" s="3">
        <f>DATE(2006,1,31)</f>
        <v>38748</v>
      </c>
      <c r="C7776" s="2" t="s">
        <v>95</v>
      </c>
      <c r="D7776" s="2" t="s">
        <v>23344</v>
      </c>
      <c r="E7776" s="2" t="s">
        <v>23345</v>
      </c>
      <c r="F7776" s="4">
        <v>3812</v>
      </c>
      <c r="G7776" s="2" t="s">
        <v>226</v>
      </c>
      <c r="H7776" s="2" t="s">
        <v>34</v>
      </c>
      <c r="I7776" s="2" t="s">
        <v>11896</v>
      </c>
      <c r="J7776" s="2" t="s">
        <v>11897</v>
      </c>
      <c r="K7776" s="2" t="s">
        <v>226</v>
      </c>
      <c r="L7776" s="2" t="s">
        <v>34</v>
      </c>
      <c r="M7776" s="12">
        <v>1434.0050000000001</v>
      </c>
      <c r="N7776" s="4">
        <v>48</v>
      </c>
      <c r="O7776" s="6">
        <v>47.06</v>
      </c>
      <c r="P7776" s="2" t="s">
        <v>23346</v>
      </c>
      <c r="Q7776" s="6">
        <v>100</v>
      </c>
      <c r="R7776" s="6">
        <v>43</v>
      </c>
      <c r="S7776" s="5">
        <v>68.5</v>
      </c>
      <c r="T7776" s="7">
        <v>126.13800000000001</v>
      </c>
      <c r="U7776" s="5">
        <v>7.8</v>
      </c>
      <c r="V7776" s="9">
        <v>1.6621999999999999</v>
      </c>
      <c r="W7776" s="6">
        <v>33.96</v>
      </c>
      <c r="X7776" s="6">
        <v>33.69</v>
      </c>
      <c r="Y7776" s="6">
        <v>33.35</v>
      </c>
      <c r="Z7776" s="6">
        <v>40.93</v>
      </c>
      <c r="AA7776" s="6">
        <v>41.78</v>
      </c>
      <c r="AB7776" s="7">
        <v>15.618</v>
      </c>
      <c r="AC7776" s="6">
        <v>223.65</v>
      </c>
    </row>
    <row r="7777" spans="1:29" ht="169" x14ac:dyDescent="0.15">
      <c r="A7777" s="3">
        <f>DATE(2005,9,21)</f>
        <v>38616</v>
      </c>
      <c r="B7777" s="3">
        <f>DATE(2006,6,30)</f>
        <v>38898</v>
      </c>
      <c r="C7777" s="2" t="s">
        <v>95</v>
      </c>
      <c r="D7777" s="2" t="s">
        <v>23347</v>
      </c>
      <c r="E7777" s="2" t="s">
        <v>1181</v>
      </c>
      <c r="F7777" s="4">
        <v>6021</v>
      </c>
      <c r="G7777" s="2" t="s">
        <v>37</v>
      </c>
      <c r="H7777" s="2" t="s">
        <v>34</v>
      </c>
      <c r="I7777" s="2" t="s">
        <v>23348</v>
      </c>
      <c r="J7777" s="2" t="s">
        <v>36</v>
      </c>
      <c r="K7777" s="2" t="s">
        <v>37</v>
      </c>
      <c r="L7777" s="2" t="s">
        <v>34</v>
      </c>
      <c r="M7777" s="7">
        <v>79.454999999999998</v>
      </c>
      <c r="N7777" s="6">
        <v>44.45</v>
      </c>
      <c r="O7777" s="4">
        <v>43</v>
      </c>
      <c r="P7777" s="2" t="s">
        <v>23349</v>
      </c>
      <c r="Q7777" s="6">
        <v>100</v>
      </c>
      <c r="R7777" s="6">
        <v>39</v>
      </c>
      <c r="S7777" s="5">
        <v>1.5</v>
      </c>
      <c r="T7777" s="2"/>
      <c r="U7777" s="5">
        <v>19.399999999999999</v>
      </c>
      <c r="V7777" s="6">
        <v>1.89</v>
      </c>
      <c r="W7777" s="5">
        <v>31.5</v>
      </c>
      <c r="X7777" s="5">
        <v>31.5</v>
      </c>
      <c r="Y7777" s="5">
        <v>31.5</v>
      </c>
      <c r="Z7777" s="5">
        <v>35.1</v>
      </c>
      <c r="AA7777" s="6">
        <v>0.8</v>
      </c>
      <c r="AB7777" s="7">
        <v>26.538</v>
      </c>
      <c r="AC7777" s="2"/>
    </row>
    <row r="7778" spans="1:29" ht="104" x14ac:dyDescent="0.15">
      <c r="A7778" s="3">
        <f>DATE(2005,9,22)</f>
        <v>38617</v>
      </c>
      <c r="B7778" s="2"/>
      <c r="C7778" s="2" t="s">
        <v>30</v>
      </c>
      <c r="D7778" s="2" t="s">
        <v>10407</v>
      </c>
      <c r="E7778" s="2" t="s">
        <v>10408</v>
      </c>
      <c r="F7778" s="4">
        <v>2621</v>
      </c>
      <c r="G7778" s="2" t="s">
        <v>282</v>
      </c>
      <c r="H7778" s="2" t="s">
        <v>34</v>
      </c>
      <c r="I7778" s="2" t="s">
        <v>23350</v>
      </c>
      <c r="J7778" s="2" t="s">
        <v>150</v>
      </c>
      <c r="K7778" s="2" t="s">
        <v>53</v>
      </c>
      <c r="L7778" s="2" t="s">
        <v>34</v>
      </c>
      <c r="M7778" s="2"/>
      <c r="N7778" s="2"/>
      <c r="O7778" s="2"/>
      <c r="P7778" s="2" t="s">
        <v>23351</v>
      </c>
      <c r="Q7778" s="2"/>
      <c r="R7778" s="6">
        <v>1.25</v>
      </c>
      <c r="S7778" s="5">
        <v>-7.6</v>
      </c>
      <c r="T7778" s="7">
        <v>0.50700000000000001</v>
      </c>
      <c r="U7778" s="5">
        <v>5.8</v>
      </c>
      <c r="V7778" s="6">
        <v>-3.71</v>
      </c>
      <c r="W7778" s="6">
        <v>3.94</v>
      </c>
      <c r="X7778" s="6">
        <v>3.15</v>
      </c>
      <c r="Y7778" s="6">
        <v>1.26</v>
      </c>
      <c r="Z7778" s="6">
        <v>1.41</v>
      </c>
      <c r="AA7778" s="6">
        <v>2.06</v>
      </c>
      <c r="AB7778" s="2" t="s">
        <v>86</v>
      </c>
      <c r="AC7778" s="2"/>
    </row>
    <row r="7779" spans="1:29" ht="117" x14ac:dyDescent="0.15">
      <c r="A7779" s="3">
        <f>DATE(2005,9,23)</f>
        <v>38618</v>
      </c>
      <c r="B7779" s="2"/>
      <c r="C7779" s="2" t="s">
        <v>30</v>
      </c>
      <c r="D7779" s="2" t="s">
        <v>23154</v>
      </c>
      <c r="E7779" s="2" t="s">
        <v>19621</v>
      </c>
      <c r="F7779" s="4">
        <v>7375</v>
      </c>
      <c r="G7779" s="2" t="s">
        <v>223</v>
      </c>
      <c r="H7779" s="2" t="s">
        <v>34</v>
      </c>
      <c r="I7779" s="2" t="s">
        <v>23352</v>
      </c>
      <c r="J7779" s="2" t="s">
        <v>302</v>
      </c>
      <c r="K7779" s="2" t="s">
        <v>53</v>
      </c>
      <c r="L7779" s="2" t="s">
        <v>34</v>
      </c>
      <c r="M7779" s="2"/>
      <c r="N7779" s="2"/>
      <c r="O7779" s="2"/>
      <c r="P7779" s="2" t="s">
        <v>23353</v>
      </c>
      <c r="Q7779" s="2"/>
      <c r="R7779" s="6">
        <v>13.5</v>
      </c>
      <c r="S7779" s="5">
        <v>0.4</v>
      </c>
      <c r="T7779" s="7">
        <v>4.9219999999999997</v>
      </c>
      <c r="U7779" s="5">
        <v>1.2</v>
      </c>
      <c r="V7779" s="2"/>
      <c r="W7779" s="6">
        <v>9.66</v>
      </c>
      <c r="X7779" s="6">
        <v>10.72</v>
      </c>
      <c r="Y7779" s="6">
        <v>11.74</v>
      </c>
      <c r="Z7779" s="6">
        <v>11.75</v>
      </c>
      <c r="AA7779" s="6">
        <v>35.229999999999997</v>
      </c>
      <c r="AB7779" s="7">
        <v>269.178</v>
      </c>
      <c r="AC7779" s="2"/>
    </row>
    <row r="7780" spans="1:29" ht="104" x14ac:dyDescent="0.15">
      <c r="A7780" s="3">
        <f>DATE(2005,9,26)</f>
        <v>38621</v>
      </c>
      <c r="B7780" s="3">
        <f>DATE(2005,11,28)</f>
        <v>38684</v>
      </c>
      <c r="C7780" s="2" t="s">
        <v>95</v>
      </c>
      <c r="D7780" s="2" t="s">
        <v>23354</v>
      </c>
      <c r="E7780" s="2" t="s">
        <v>849</v>
      </c>
      <c r="F7780" s="4">
        <v>7372</v>
      </c>
      <c r="G7780" s="2" t="s">
        <v>551</v>
      </c>
      <c r="H7780" s="2" t="s">
        <v>34</v>
      </c>
      <c r="I7780" s="2" t="s">
        <v>23355</v>
      </c>
      <c r="J7780" s="2" t="s">
        <v>23356</v>
      </c>
      <c r="K7780" s="2" t="s">
        <v>223</v>
      </c>
      <c r="L7780" s="2" t="s">
        <v>34</v>
      </c>
      <c r="M7780" s="2"/>
      <c r="N7780" s="2"/>
      <c r="O7780" s="2"/>
      <c r="P7780" s="2" t="s">
        <v>23357</v>
      </c>
      <c r="Q7780" s="6">
        <v>100</v>
      </c>
      <c r="R7780" s="6">
        <v>2.76</v>
      </c>
      <c r="S7780" s="5">
        <v>0.1</v>
      </c>
      <c r="T7780" s="6">
        <v>1.47</v>
      </c>
      <c r="U7780" s="5">
        <v>2.2000000000000002</v>
      </c>
      <c r="V7780" s="2"/>
      <c r="W7780" s="6">
        <v>2.4900000000000002</v>
      </c>
      <c r="X7780" s="6">
        <v>2.5499999999999998</v>
      </c>
      <c r="Y7780" s="6">
        <v>2.58</v>
      </c>
      <c r="Z7780" s="5">
        <v>2.7</v>
      </c>
      <c r="AA7780" s="6">
        <v>17.96</v>
      </c>
      <c r="AB7780" s="7">
        <v>8.8930000000000007</v>
      </c>
      <c r="AC7780" s="6">
        <v>2.44</v>
      </c>
    </row>
    <row r="7781" spans="1:29" ht="91" x14ac:dyDescent="0.15">
      <c r="A7781" s="3">
        <f>DATE(2005,9,26)</f>
        <v>38621</v>
      </c>
      <c r="B7781" s="3">
        <f>DATE(2005,12,2)</f>
        <v>38688</v>
      </c>
      <c r="C7781" s="2" t="s">
        <v>95</v>
      </c>
      <c r="D7781" s="2" t="s">
        <v>21262</v>
      </c>
      <c r="E7781" s="2" t="s">
        <v>21414</v>
      </c>
      <c r="F7781" s="4">
        <v>2399</v>
      </c>
      <c r="G7781" s="2" t="s">
        <v>708</v>
      </c>
      <c r="H7781" s="2" t="s">
        <v>34</v>
      </c>
      <c r="I7781" s="2" t="s">
        <v>23358</v>
      </c>
      <c r="J7781" s="2" t="s">
        <v>244</v>
      </c>
      <c r="K7781" s="2" t="s">
        <v>53</v>
      </c>
      <c r="L7781" s="2" t="s">
        <v>34</v>
      </c>
      <c r="M7781" s="2"/>
      <c r="N7781" s="2"/>
      <c r="O7781" s="2"/>
      <c r="P7781" s="2" t="s">
        <v>23359</v>
      </c>
      <c r="Q7781" s="6">
        <v>77.290000000000006</v>
      </c>
      <c r="R7781" s="2"/>
      <c r="S7781" s="5">
        <v>7.4</v>
      </c>
      <c r="T7781" s="7">
        <v>20.745999999999999</v>
      </c>
      <c r="U7781" s="5">
        <v>15</v>
      </c>
      <c r="V7781" s="6">
        <v>1.36</v>
      </c>
      <c r="W7781" s="4">
        <v>14</v>
      </c>
      <c r="X7781" s="5">
        <v>14.2</v>
      </c>
      <c r="Y7781" s="4">
        <v>14</v>
      </c>
      <c r="Z7781" s="4">
        <v>14</v>
      </c>
      <c r="AA7781" s="6">
        <v>5.39</v>
      </c>
      <c r="AB7781" s="7">
        <v>6.56</v>
      </c>
      <c r="AC7781" s="2"/>
    </row>
    <row r="7782" spans="1:29" ht="260" x14ac:dyDescent="0.15">
      <c r="A7782" s="3">
        <f>DATE(2005,9,27)</f>
        <v>38622</v>
      </c>
      <c r="B7782" s="3">
        <f>DATE(2005,12,13)</f>
        <v>38699</v>
      </c>
      <c r="C7782" s="2" t="s">
        <v>95</v>
      </c>
      <c r="D7782" s="2" t="s">
        <v>23360</v>
      </c>
      <c r="E7782" s="2" t="s">
        <v>1072</v>
      </c>
      <c r="F7782" s="4">
        <v>6211</v>
      </c>
      <c r="G7782" s="2" t="s">
        <v>53</v>
      </c>
      <c r="H7782" s="2" t="s">
        <v>34</v>
      </c>
      <c r="I7782" s="2" t="s">
        <v>23361</v>
      </c>
      <c r="J7782" s="2" t="s">
        <v>23362</v>
      </c>
      <c r="K7782" s="2" t="s">
        <v>5397</v>
      </c>
      <c r="L7782" s="2" t="s">
        <v>34</v>
      </c>
      <c r="M7782" s="7">
        <v>779.529</v>
      </c>
      <c r="N7782" s="6">
        <v>19.649999999999999</v>
      </c>
      <c r="O7782" s="6">
        <v>19.579999999999998</v>
      </c>
      <c r="P7782" s="2" t="s">
        <v>23363</v>
      </c>
      <c r="Q7782" s="6">
        <v>42.3</v>
      </c>
      <c r="R7782" s="6">
        <v>10.78</v>
      </c>
      <c r="S7782" s="5">
        <v>16.399999999999999</v>
      </c>
      <c r="T7782" s="2"/>
      <c r="U7782" s="5">
        <v>5.6</v>
      </c>
      <c r="V7782" s="6">
        <v>0.72</v>
      </c>
      <c r="W7782" s="5">
        <v>7.5</v>
      </c>
      <c r="X7782" s="6">
        <v>7.45</v>
      </c>
      <c r="Y7782" s="6">
        <v>7.45</v>
      </c>
      <c r="Z7782" s="6">
        <v>9.0399999999999991</v>
      </c>
      <c r="AA7782" s="6">
        <v>23.33</v>
      </c>
      <c r="AB7782" s="2" t="s">
        <v>86</v>
      </c>
      <c r="AC7782" s="6">
        <v>178.64</v>
      </c>
    </row>
    <row r="7783" spans="1:29" ht="117" x14ac:dyDescent="0.15">
      <c r="A7783" s="3">
        <f>DATE(2005,9,27)</f>
        <v>38622</v>
      </c>
      <c r="B7783" s="3">
        <f>DATE(2005,12,23)</f>
        <v>38709</v>
      </c>
      <c r="C7783" s="2" t="s">
        <v>95</v>
      </c>
      <c r="D7783" s="2" t="s">
        <v>23364</v>
      </c>
      <c r="E7783" s="2" t="s">
        <v>23365</v>
      </c>
      <c r="F7783" s="4">
        <v>5999</v>
      </c>
      <c r="G7783" s="2" t="s">
        <v>73</v>
      </c>
      <c r="H7783" s="2" t="s">
        <v>34</v>
      </c>
      <c r="I7783" s="2" t="s">
        <v>23366</v>
      </c>
      <c r="J7783" s="2" t="s">
        <v>9299</v>
      </c>
      <c r="K7783" s="2" t="s">
        <v>53</v>
      </c>
      <c r="L7783" s="2" t="s">
        <v>34</v>
      </c>
      <c r="M7783" s="2"/>
      <c r="N7783" s="2"/>
      <c r="O7783" s="2"/>
      <c r="P7783" s="2" t="s">
        <v>23367</v>
      </c>
      <c r="Q7783" s="6">
        <v>100</v>
      </c>
      <c r="R7783" s="6">
        <v>17.5</v>
      </c>
      <c r="S7783" s="5">
        <v>4.3</v>
      </c>
      <c r="T7783" s="7">
        <v>27.416</v>
      </c>
      <c r="U7783" s="5">
        <v>6</v>
      </c>
      <c r="V7783" s="6">
        <v>0.22</v>
      </c>
      <c r="W7783" s="6">
        <v>13.08</v>
      </c>
      <c r="X7783" s="6">
        <v>12.28</v>
      </c>
      <c r="Y7783" s="6">
        <v>16.88</v>
      </c>
      <c r="Z7783" s="6">
        <v>16.93</v>
      </c>
      <c r="AA7783" s="6">
        <v>18.05</v>
      </c>
      <c r="AB7783" s="7">
        <v>33.572000000000003</v>
      </c>
      <c r="AC7783" s="2"/>
    </row>
    <row r="7784" spans="1:29" ht="156" x14ac:dyDescent="0.15">
      <c r="A7784" s="3">
        <f>DATE(2005,9,27)</f>
        <v>38622</v>
      </c>
      <c r="B7784" s="3">
        <f>DATE(2005,12,28)</f>
        <v>38714</v>
      </c>
      <c r="C7784" s="2" t="s">
        <v>95</v>
      </c>
      <c r="D7784" s="2" t="s">
        <v>21875</v>
      </c>
      <c r="E7784" s="2" t="s">
        <v>6185</v>
      </c>
      <c r="F7784" s="4">
        <v>6324</v>
      </c>
      <c r="G7784" s="2" t="s">
        <v>125</v>
      </c>
      <c r="H7784" s="2" t="s">
        <v>34</v>
      </c>
      <c r="I7784" s="2" t="s">
        <v>23368</v>
      </c>
      <c r="J7784" s="2" t="s">
        <v>5189</v>
      </c>
      <c r="K7784" s="2" t="s">
        <v>125</v>
      </c>
      <c r="L7784" s="2" t="s">
        <v>34</v>
      </c>
      <c r="M7784" s="12">
        <v>45027.298999999999</v>
      </c>
      <c r="N7784" s="6">
        <v>75.010000000000005</v>
      </c>
      <c r="O7784" s="6">
        <v>74.69</v>
      </c>
      <c r="P7784" s="2" t="s">
        <v>23369</v>
      </c>
      <c r="Q7784" s="6">
        <v>100</v>
      </c>
      <c r="R7784" s="6">
        <v>77.23</v>
      </c>
      <c r="S7784" s="5">
        <v>267.10000000000002</v>
      </c>
      <c r="T7784" s="2"/>
      <c r="U7784" s="5">
        <v>21.7</v>
      </c>
      <c r="V7784" s="6">
        <v>3.17</v>
      </c>
      <c r="W7784" s="5">
        <v>72.099999999999994</v>
      </c>
      <c r="X7784" s="5">
        <v>70.599999999999994</v>
      </c>
      <c r="Y7784" s="6">
        <v>75.510000000000005</v>
      </c>
      <c r="Z7784" s="5">
        <v>75.400000000000006</v>
      </c>
      <c r="AA7784" s="6">
        <v>84.13</v>
      </c>
      <c r="AB7784" s="7">
        <v>14.244999999999999</v>
      </c>
      <c r="AC7784" s="8">
        <v>1953.3</v>
      </c>
    </row>
    <row r="7785" spans="1:29" ht="143" x14ac:dyDescent="0.15">
      <c r="A7785" s="3">
        <f>DATE(2005,9,28)</f>
        <v>38623</v>
      </c>
      <c r="B7785" s="3">
        <f>DATE(2006,6,19)</f>
        <v>38887</v>
      </c>
      <c r="C7785" s="2" t="s">
        <v>95</v>
      </c>
      <c r="D7785" s="2" t="s">
        <v>23370</v>
      </c>
      <c r="E7785" s="2" t="s">
        <v>36</v>
      </c>
      <c r="F7785" s="4">
        <v>6712</v>
      </c>
      <c r="G7785" s="2" t="s">
        <v>37</v>
      </c>
      <c r="H7785" s="2" t="s">
        <v>34</v>
      </c>
      <c r="I7785" s="2" t="s">
        <v>20454</v>
      </c>
      <c r="J7785" s="2" t="s">
        <v>36</v>
      </c>
      <c r="K7785" s="2" t="s">
        <v>37</v>
      </c>
      <c r="L7785" s="2" t="s">
        <v>34</v>
      </c>
      <c r="M7785" s="7">
        <v>245.309</v>
      </c>
      <c r="N7785" s="5">
        <v>17.8</v>
      </c>
      <c r="O7785" s="6">
        <v>17.93</v>
      </c>
      <c r="P7785" s="2" t="s">
        <v>23371</v>
      </c>
      <c r="Q7785" s="6">
        <v>100</v>
      </c>
      <c r="R7785" s="6">
        <v>5.6</v>
      </c>
      <c r="S7785" s="5">
        <v>1.8</v>
      </c>
      <c r="T7785" s="7">
        <v>2.9910000000000001</v>
      </c>
      <c r="U7785" s="5">
        <v>3.4</v>
      </c>
      <c r="V7785" s="6">
        <v>0.24</v>
      </c>
      <c r="W7785" s="6">
        <v>3.95</v>
      </c>
      <c r="X7785" s="6">
        <v>3.85</v>
      </c>
      <c r="Y7785" s="6">
        <v>3.85</v>
      </c>
      <c r="Z7785" s="6">
        <v>5.21</v>
      </c>
      <c r="AA7785" s="6">
        <v>7.28</v>
      </c>
      <c r="AB7785" s="7">
        <v>33.537999999999997</v>
      </c>
      <c r="AC7785" s="2"/>
    </row>
    <row r="7786" spans="1:29" ht="91" x14ac:dyDescent="0.15">
      <c r="A7786" s="3">
        <f>DATE(2005,9,29)</f>
        <v>38624</v>
      </c>
      <c r="B7786" s="3">
        <f>DATE(2006,1,4)</f>
        <v>38721</v>
      </c>
      <c r="C7786" s="2" t="s">
        <v>95</v>
      </c>
      <c r="D7786" s="2" t="s">
        <v>9476</v>
      </c>
      <c r="E7786" s="2" t="s">
        <v>9477</v>
      </c>
      <c r="F7786" s="4">
        <v>7372</v>
      </c>
      <c r="G7786" s="2" t="s">
        <v>551</v>
      </c>
      <c r="H7786" s="2" t="s">
        <v>34</v>
      </c>
      <c r="I7786" s="2" t="s">
        <v>23372</v>
      </c>
      <c r="J7786" s="2" t="s">
        <v>23373</v>
      </c>
      <c r="K7786" s="2" t="s">
        <v>226</v>
      </c>
      <c r="L7786" s="2" t="s">
        <v>34</v>
      </c>
      <c r="M7786" s="2"/>
      <c r="N7786" s="2"/>
      <c r="O7786" s="2"/>
      <c r="P7786" s="2" t="s">
        <v>23374</v>
      </c>
      <c r="Q7786" s="6">
        <v>100</v>
      </c>
      <c r="R7786" s="6">
        <v>44</v>
      </c>
      <c r="S7786" s="5">
        <v>35.799999999999997</v>
      </c>
      <c r="T7786" s="7">
        <v>69.257999999999996</v>
      </c>
      <c r="U7786" s="5">
        <v>13.2</v>
      </c>
      <c r="V7786" s="6">
        <v>1.1100000000000001</v>
      </c>
      <c r="W7786" s="6">
        <v>32.94</v>
      </c>
      <c r="X7786" s="6">
        <v>35.17</v>
      </c>
      <c r="Y7786" s="6">
        <v>43.25</v>
      </c>
      <c r="Z7786" s="6">
        <v>43.18</v>
      </c>
      <c r="AA7786" s="6">
        <v>31.18</v>
      </c>
      <c r="AB7786" s="7">
        <v>26.091000000000001</v>
      </c>
      <c r="AC7786" s="2"/>
    </row>
    <row r="7787" spans="1:29" ht="143" x14ac:dyDescent="0.15">
      <c r="A7787" s="3">
        <f>DATE(2005,9,30)</f>
        <v>38625</v>
      </c>
      <c r="B7787" s="3">
        <f>DATE(2006,3,16)</f>
        <v>38792</v>
      </c>
      <c r="C7787" s="2" t="s">
        <v>95</v>
      </c>
      <c r="D7787" s="2" t="s">
        <v>23375</v>
      </c>
      <c r="E7787" s="2" t="s">
        <v>8873</v>
      </c>
      <c r="F7787" s="4">
        <v>6021</v>
      </c>
      <c r="G7787" s="2" t="s">
        <v>37</v>
      </c>
      <c r="H7787" s="2" t="s">
        <v>34</v>
      </c>
      <c r="I7787" s="2" t="s">
        <v>23376</v>
      </c>
      <c r="J7787" s="2" t="s">
        <v>36</v>
      </c>
      <c r="K7787" s="2" t="s">
        <v>37</v>
      </c>
      <c r="L7787" s="2" t="s">
        <v>34</v>
      </c>
      <c r="M7787" s="7">
        <v>209.24299999999999</v>
      </c>
      <c r="N7787" s="6">
        <v>25.18</v>
      </c>
      <c r="O7787" s="6">
        <v>24.69</v>
      </c>
      <c r="P7787" s="2" t="s">
        <v>23377</v>
      </c>
      <c r="Q7787" s="6">
        <v>100</v>
      </c>
      <c r="R7787" s="6">
        <v>23.89</v>
      </c>
      <c r="S7787" s="2"/>
      <c r="T7787" s="2"/>
      <c r="U7787" s="2"/>
      <c r="V7787" s="2"/>
      <c r="W7787" s="5">
        <v>20.5</v>
      </c>
      <c r="X7787" s="5">
        <v>19.600000000000001</v>
      </c>
      <c r="Y7787" s="5">
        <v>19.600000000000001</v>
      </c>
      <c r="Z7787" s="6">
        <v>23.19</v>
      </c>
      <c r="AA7787" s="6">
        <v>7.22</v>
      </c>
      <c r="AB7787" s="2" t="s">
        <v>47</v>
      </c>
      <c r="AC7787" s="2"/>
    </row>
    <row r="7788" spans="1:29" ht="104" x14ac:dyDescent="0.15">
      <c r="A7788" s="3">
        <f>DATE(2005,9,30)</f>
        <v>38625</v>
      </c>
      <c r="B7788" s="3">
        <f>DATE(2006,1,31)</f>
        <v>38748</v>
      </c>
      <c r="C7788" s="2" t="s">
        <v>95</v>
      </c>
      <c r="D7788" s="2" t="s">
        <v>23378</v>
      </c>
      <c r="E7788" s="2" t="s">
        <v>23379</v>
      </c>
      <c r="F7788" s="4">
        <v>8071</v>
      </c>
      <c r="G7788" s="2" t="s">
        <v>454</v>
      </c>
      <c r="H7788" s="2" t="s">
        <v>34</v>
      </c>
      <c r="I7788" s="2" t="s">
        <v>20488</v>
      </c>
      <c r="J7788" s="2" t="s">
        <v>20489</v>
      </c>
      <c r="K7788" s="2" t="s">
        <v>454</v>
      </c>
      <c r="L7788" s="2" t="s">
        <v>34</v>
      </c>
      <c r="M7788" s="2"/>
      <c r="N7788" s="2"/>
      <c r="O7788" s="2"/>
      <c r="P7788" s="2" t="s">
        <v>23380</v>
      </c>
      <c r="Q7788" s="6">
        <v>100</v>
      </c>
      <c r="R7788" s="6">
        <v>13.25</v>
      </c>
      <c r="S7788" s="5">
        <v>-19.899999999999999</v>
      </c>
      <c r="T7788" s="7">
        <v>-0.80700000000000005</v>
      </c>
      <c r="U7788" s="5">
        <v>4.3</v>
      </c>
      <c r="V7788" s="6">
        <v>-0.87</v>
      </c>
      <c r="W7788" s="6">
        <v>12.45</v>
      </c>
      <c r="X7788" s="6">
        <v>13.04</v>
      </c>
      <c r="Y7788" s="6">
        <v>13.23</v>
      </c>
      <c r="Z7788" s="6">
        <v>13.03</v>
      </c>
      <c r="AA7788" s="6">
        <v>23.75</v>
      </c>
      <c r="AB7788" s="2" t="s">
        <v>86</v>
      </c>
      <c r="AC7788" s="6">
        <v>5.46</v>
      </c>
    </row>
    <row r="7789" spans="1:29" ht="91" x14ac:dyDescent="0.15">
      <c r="A7789" s="3">
        <f>DATE(2005,10,3)</f>
        <v>38628</v>
      </c>
      <c r="B7789" s="3">
        <f>DATE(2006,1,6)</f>
        <v>38723</v>
      </c>
      <c r="C7789" s="2" t="s">
        <v>95</v>
      </c>
      <c r="D7789" s="2" t="s">
        <v>23381</v>
      </c>
      <c r="E7789" s="2" t="s">
        <v>3669</v>
      </c>
      <c r="F7789" s="4">
        <v>7372</v>
      </c>
      <c r="G7789" s="2" t="s">
        <v>551</v>
      </c>
      <c r="H7789" s="2" t="s">
        <v>34</v>
      </c>
      <c r="I7789" s="2" t="s">
        <v>17338</v>
      </c>
      <c r="J7789" s="2" t="s">
        <v>17339</v>
      </c>
      <c r="K7789" s="2" t="s">
        <v>551</v>
      </c>
      <c r="L7789" s="2" t="s">
        <v>34</v>
      </c>
      <c r="M7789" s="12">
        <v>25345.863000000001</v>
      </c>
      <c r="N7789" s="6">
        <v>22.82</v>
      </c>
      <c r="O7789" s="6">
        <v>22.56</v>
      </c>
      <c r="P7789" s="2" t="s">
        <v>23382</v>
      </c>
      <c r="Q7789" s="6">
        <v>100</v>
      </c>
      <c r="R7789" s="6">
        <v>4</v>
      </c>
      <c r="S7789" s="5">
        <v>-6.4</v>
      </c>
      <c r="T7789" s="2"/>
      <c r="U7789" s="5">
        <v>0.4</v>
      </c>
      <c r="V7789" s="6">
        <v>-0.14000000000000001</v>
      </c>
      <c r="W7789" s="5">
        <v>3.5</v>
      </c>
      <c r="X7789" s="5">
        <v>3.5</v>
      </c>
      <c r="Y7789" s="6">
        <v>3.86</v>
      </c>
      <c r="Z7789" s="6">
        <v>3.86</v>
      </c>
      <c r="AA7789" s="6">
        <v>48.34</v>
      </c>
      <c r="AB7789" s="2" t="s">
        <v>47</v>
      </c>
      <c r="AC7789" s="10">
        <v>4433.33</v>
      </c>
    </row>
    <row r="7790" spans="1:29" ht="208" x14ac:dyDescent="0.15">
      <c r="A7790" s="3">
        <f>DATE(2005,10,3)</f>
        <v>38628</v>
      </c>
      <c r="B7790" s="3">
        <f>DATE(2006,1,31)</f>
        <v>38748</v>
      </c>
      <c r="C7790" s="2" t="s">
        <v>95</v>
      </c>
      <c r="D7790" s="2" t="s">
        <v>23383</v>
      </c>
      <c r="E7790" s="2" t="s">
        <v>23384</v>
      </c>
      <c r="F7790" s="4">
        <v>2741</v>
      </c>
      <c r="G7790" s="2" t="s">
        <v>186</v>
      </c>
      <c r="H7790" s="2" t="s">
        <v>34</v>
      </c>
      <c r="I7790" s="2" t="s">
        <v>23385</v>
      </c>
      <c r="J7790" s="2" t="s">
        <v>23386</v>
      </c>
      <c r="K7790" s="2" t="s">
        <v>186</v>
      </c>
      <c r="L7790" s="2" t="s">
        <v>34</v>
      </c>
      <c r="M7790" s="12">
        <v>2029.329</v>
      </c>
      <c r="N7790" s="6">
        <v>61.77</v>
      </c>
      <c r="O7790" s="6">
        <v>60.96</v>
      </c>
      <c r="P7790" s="2" t="s">
        <v>23387</v>
      </c>
      <c r="Q7790" s="6">
        <v>100</v>
      </c>
      <c r="R7790" s="6">
        <v>27.58</v>
      </c>
      <c r="S7790" s="5">
        <v>47</v>
      </c>
      <c r="T7790" s="7">
        <v>913.81600000000003</v>
      </c>
      <c r="U7790" s="5">
        <v>4.5999999999999996</v>
      </c>
      <c r="V7790" s="6">
        <v>0.32</v>
      </c>
      <c r="W7790" s="6">
        <v>25.62</v>
      </c>
      <c r="X7790" s="5">
        <v>28.9</v>
      </c>
      <c r="Y7790" s="6">
        <v>27.54</v>
      </c>
      <c r="Z7790" s="6">
        <v>27.52</v>
      </c>
      <c r="AA7790" s="6">
        <v>150.46</v>
      </c>
      <c r="AB7790" s="7">
        <v>18.603000000000002</v>
      </c>
      <c r="AC7790" s="6">
        <v>5.46</v>
      </c>
    </row>
    <row r="7791" spans="1:29" ht="247" x14ac:dyDescent="0.15">
      <c r="A7791" s="3">
        <f>DATE(2005,10,3)</f>
        <v>38628</v>
      </c>
      <c r="B7791" s="3">
        <f>DATE(2006,1,5)</f>
        <v>38722</v>
      </c>
      <c r="C7791" s="2" t="s">
        <v>95</v>
      </c>
      <c r="D7791" s="2" t="s">
        <v>17170</v>
      </c>
      <c r="E7791" s="2" t="s">
        <v>92</v>
      </c>
      <c r="F7791" s="4">
        <v>6798</v>
      </c>
      <c r="G7791" s="2" t="s">
        <v>53</v>
      </c>
      <c r="H7791" s="2" t="s">
        <v>34</v>
      </c>
      <c r="I7791" s="2" t="s">
        <v>51</v>
      </c>
      <c r="J7791" s="2" t="s">
        <v>52</v>
      </c>
      <c r="K7791" s="2" t="s">
        <v>53</v>
      </c>
      <c r="L7791" s="2" t="s">
        <v>34</v>
      </c>
      <c r="M7791" s="2"/>
      <c r="N7791" s="6">
        <v>29.69</v>
      </c>
      <c r="O7791" s="5">
        <v>28.2</v>
      </c>
      <c r="P7791" s="2" t="s">
        <v>23388</v>
      </c>
      <c r="Q7791" s="6">
        <v>100</v>
      </c>
      <c r="R7791" s="6">
        <v>42.95</v>
      </c>
      <c r="S7791" s="5">
        <v>44.2</v>
      </c>
      <c r="T7791" s="7">
        <v>150.22800000000001</v>
      </c>
      <c r="U7791" s="5">
        <v>18.100000000000001</v>
      </c>
      <c r="V7791" s="6">
        <v>0.79</v>
      </c>
      <c r="W7791" s="6">
        <v>40.35</v>
      </c>
      <c r="X7791" s="5">
        <v>40.6</v>
      </c>
      <c r="Y7791" s="6">
        <v>41.56</v>
      </c>
      <c r="Z7791" s="6">
        <v>40.49</v>
      </c>
      <c r="AA7791" s="6">
        <v>46.32</v>
      </c>
      <c r="AB7791" s="7">
        <v>71.786000000000001</v>
      </c>
      <c r="AC7791" s="2"/>
    </row>
    <row r="7792" spans="1:29" ht="182" x14ac:dyDescent="0.15">
      <c r="A7792" s="3">
        <f>DATE(2005,10,3)</f>
        <v>38628</v>
      </c>
      <c r="B7792" s="3">
        <f>DATE(2005,12,28)</f>
        <v>38714</v>
      </c>
      <c r="C7792" s="2" t="s">
        <v>95</v>
      </c>
      <c r="D7792" s="2" t="s">
        <v>8508</v>
      </c>
      <c r="E7792" s="2" t="s">
        <v>8509</v>
      </c>
      <c r="F7792" s="4">
        <v>5331</v>
      </c>
      <c r="G7792" s="2" t="s">
        <v>756</v>
      </c>
      <c r="H7792" s="2" t="s">
        <v>34</v>
      </c>
      <c r="I7792" s="2" t="s">
        <v>51</v>
      </c>
      <c r="J7792" s="2" t="s">
        <v>52</v>
      </c>
      <c r="K7792" s="2" t="s">
        <v>53</v>
      </c>
      <c r="L7792" s="2" t="s">
        <v>34</v>
      </c>
      <c r="M7792" s="2"/>
      <c r="N7792" s="2"/>
      <c r="O7792" s="2"/>
      <c r="P7792" s="2" t="s">
        <v>23389</v>
      </c>
      <c r="Q7792" s="6">
        <v>100</v>
      </c>
      <c r="R7792" s="6">
        <v>29</v>
      </c>
      <c r="S7792" s="5">
        <v>49.6</v>
      </c>
      <c r="T7792" s="7">
        <v>184.78899999999999</v>
      </c>
      <c r="U7792" s="5">
        <v>21.9</v>
      </c>
      <c r="V7792" s="6">
        <v>1.66</v>
      </c>
      <c r="W7792" s="6">
        <v>22.18</v>
      </c>
      <c r="X7792" s="6">
        <v>23.03</v>
      </c>
      <c r="Y7792" s="6">
        <v>26.02</v>
      </c>
      <c r="Z7792" s="6">
        <v>25.05</v>
      </c>
      <c r="AA7792" s="6">
        <v>30.24</v>
      </c>
      <c r="AB7792" s="7">
        <v>11.468</v>
      </c>
      <c r="AC7792" s="2"/>
    </row>
    <row r="7793" spans="1:29" ht="169" x14ac:dyDescent="0.15">
      <c r="A7793" s="3">
        <f>DATE(2005,10,3)</f>
        <v>38628</v>
      </c>
      <c r="B7793" s="3">
        <f>DATE(2006,3,17)</f>
        <v>38793</v>
      </c>
      <c r="C7793" s="2" t="s">
        <v>95</v>
      </c>
      <c r="D7793" s="2" t="s">
        <v>23390</v>
      </c>
      <c r="E7793" s="2" t="s">
        <v>23391</v>
      </c>
      <c r="F7793" s="4">
        <v>5944</v>
      </c>
      <c r="G7793" s="2" t="s">
        <v>73</v>
      </c>
      <c r="H7793" s="2" t="s">
        <v>34</v>
      </c>
      <c r="I7793" s="2" t="s">
        <v>23392</v>
      </c>
      <c r="J7793" s="2" t="s">
        <v>23393</v>
      </c>
      <c r="K7793" s="2" t="s">
        <v>454</v>
      </c>
      <c r="L7793" s="2" t="s">
        <v>34</v>
      </c>
      <c r="M7793" s="2"/>
      <c r="N7793" s="2"/>
      <c r="O7793" s="2"/>
      <c r="P7793" s="2" t="s">
        <v>23394</v>
      </c>
      <c r="Q7793" s="6">
        <v>50.3</v>
      </c>
      <c r="R7793" s="2"/>
      <c r="S7793" s="5">
        <v>-32</v>
      </c>
      <c r="T7793" s="7">
        <v>0.42899999999999999</v>
      </c>
      <c r="U7793" s="5">
        <v>4.9000000000000004</v>
      </c>
      <c r="V7793" s="6">
        <v>-2.2999999999999998</v>
      </c>
      <c r="W7793" s="6">
        <v>0.95</v>
      </c>
      <c r="X7793" s="6">
        <v>1.69</v>
      </c>
      <c r="Y7793" s="6">
        <v>1.58</v>
      </c>
      <c r="Z7793" s="6">
        <v>1.17</v>
      </c>
      <c r="AA7793" s="6">
        <v>81.400000000000006</v>
      </c>
      <c r="AB7793" s="2" t="s">
        <v>86</v>
      </c>
      <c r="AC7793" s="2"/>
    </row>
    <row r="7794" spans="1:29" ht="117" x14ac:dyDescent="0.15">
      <c r="A7794" s="3">
        <f>DATE(2005,10,4)</f>
        <v>38629</v>
      </c>
      <c r="B7794" s="2"/>
      <c r="C7794" s="2" t="s">
        <v>30</v>
      </c>
      <c r="D7794" s="2" t="s">
        <v>23395</v>
      </c>
      <c r="E7794" s="2" t="s">
        <v>23396</v>
      </c>
      <c r="F7794" s="4">
        <v>5812</v>
      </c>
      <c r="G7794" s="2" t="s">
        <v>230</v>
      </c>
      <c r="H7794" s="2" t="s">
        <v>34</v>
      </c>
      <c r="I7794" s="2" t="s">
        <v>23397</v>
      </c>
      <c r="J7794" s="2" t="s">
        <v>244</v>
      </c>
      <c r="K7794" s="2" t="s">
        <v>53</v>
      </c>
      <c r="L7794" s="2" t="s">
        <v>34</v>
      </c>
      <c r="M7794" s="2"/>
      <c r="N7794" s="2"/>
      <c r="O7794" s="2"/>
      <c r="P7794" s="2" t="s">
        <v>23398</v>
      </c>
      <c r="Q7794" s="2"/>
      <c r="R7794" s="6">
        <v>14</v>
      </c>
      <c r="S7794" s="5">
        <v>7.9</v>
      </c>
      <c r="T7794" s="7">
        <v>22.047000000000001</v>
      </c>
      <c r="U7794" s="5">
        <v>5.8</v>
      </c>
      <c r="V7794" s="6">
        <v>0.75</v>
      </c>
      <c r="W7794" s="6">
        <v>10.81</v>
      </c>
      <c r="X7794" s="6">
        <v>10.28</v>
      </c>
      <c r="Y7794" s="6">
        <v>13.08</v>
      </c>
      <c r="Z7794" s="5">
        <v>13.1</v>
      </c>
      <c r="AA7794" s="6">
        <v>10.02</v>
      </c>
      <c r="AB7794" s="7">
        <v>13.304</v>
      </c>
      <c r="AC7794" s="2"/>
    </row>
    <row r="7795" spans="1:29" ht="156" x14ac:dyDescent="0.15">
      <c r="A7795" s="3">
        <f>DATE(2005,10,5)</f>
        <v>38630</v>
      </c>
      <c r="B7795" s="3">
        <f>DATE(2006,2,1)</f>
        <v>38749</v>
      </c>
      <c r="C7795" s="2" t="s">
        <v>95</v>
      </c>
      <c r="D7795" s="2" t="s">
        <v>19648</v>
      </c>
      <c r="E7795" s="2" t="s">
        <v>19649</v>
      </c>
      <c r="F7795" s="4">
        <v>7372</v>
      </c>
      <c r="G7795" s="2" t="s">
        <v>551</v>
      </c>
      <c r="H7795" s="2" t="s">
        <v>34</v>
      </c>
      <c r="I7795" s="2" t="s">
        <v>19739</v>
      </c>
      <c r="J7795" s="2" t="s">
        <v>16352</v>
      </c>
      <c r="K7795" s="2" t="s">
        <v>551</v>
      </c>
      <c r="L7795" s="2" t="s">
        <v>34</v>
      </c>
      <c r="M7795" s="7">
        <v>76.275999999999996</v>
      </c>
      <c r="N7795" s="6">
        <v>3.85</v>
      </c>
      <c r="O7795" s="5">
        <v>3.6</v>
      </c>
      <c r="P7795" s="2" t="s">
        <v>23399</v>
      </c>
      <c r="Q7795" s="6">
        <v>100</v>
      </c>
      <c r="R7795" s="6">
        <v>2.0299999999999998</v>
      </c>
      <c r="S7795" s="5">
        <v>-1.3</v>
      </c>
      <c r="T7795" s="7">
        <v>-0.83099999999999996</v>
      </c>
      <c r="U7795" s="5">
        <v>0.5</v>
      </c>
      <c r="V7795" s="6">
        <v>-0.05</v>
      </c>
      <c r="W7795" s="6">
        <v>1.89</v>
      </c>
      <c r="X7795" s="6">
        <v>2.02</v>
      </c>
      <c r="Y7795" s="4">
        <v>2</v>
      </c>
      <c r="Z7795" s="6">
        <v>1.78</v>
      </c>
      <c r="AA7795" s="6">
        <v>27.96</v>
      </c>
      <c r="AB7795" s="2" t="s">
        <v>86</v>
      </c>
      <c r="AC7795" s="6">
        <v>11.94</v>
      </c>
    </row>
    <row r="7796" spans="1:29" ht="117" x14ac:dyDescent="0.15">
      <c r="A7796" s="3">
        <f>DATE(2005,10,6)</f>
        <v>38631</v>
      </c>
      <c r="B7796" s="3">
        <f>DATE(2006,1,18)</f>
        <v>38735</v>
      </c>
      <c r="C7796" s="2" t="s">
        <v>95</v>
      </c>
      <c r="D7796" s="2" t="s">
        <v>20492</v>
      </c>
      <c r="E7796" s="2" t="s">
        <v>92</v>
      </c>
      <c r="F7796" s="4">
        <v>6798</v>
      </c>
      <c r="G7796" s="2" t="s">
        <v>53</v>
      </c>
      <c r="H7796" s="2" t="s">
        <v>34</v>
      </c>
      <c r="I7796" s="2" t="s">
        <v>23400</v>
      </c>
      <c r="J7796" s="2" t="s">
        <v>3536</v>
      </c>
      <c r="K7796" s="2" t="s">
        <v>370</v>
      </c>
      <c r="L7796" s="2" t="s">
        <v>902</v>
      </c>
      <c r="M7796" s="2"/>
      <c r="N7796" s="2"/>
      <c r="O7796" s="2"/>
      <c r="P7796" s="2" t="s">
        <v>23401</v>
      </c>
      <c r="Q7796" s="6">
        <v>100</v>
      </c>
      <c r="R7796" s="6">
        <v>20</v>
      </c>
      <c r="S7796" s="5">
        <v>19</v>
      </c>
      <c r="T7796" s="7">
        <v>24.518999999999998</v>
      </c>
      <c r="U7796" s="5">
        <v>26.5</v>
      </c>
      <c r="V7796" s="6">
        <v>0.82</v>
      </c>
      <c r="W7796" s="5">
        <v>17.3</v>
      </c>
      <c r="X7796" s="6">
        <v>15.53</v>
      </c>
      <c r="Y7796" s="6">
        <v>15.21</v>
      </c>
      <c r="Z7796" s="5">
        <v>19.399999999999999</v>
      </c>
      <c r="AA7796" s="6">
        <v>15.6</v>
      </c>
      <c r="AB7796" s="7">
        <v>36.284999999999997</v>
      </c>
      <c r="AC7796" s="2"/>
    </row>
    <row r="7797" spans="1:29" ht="169" x14ac:dyDescent="0.15">
      <c r="A7797" s="3">
        <f>DATE(2005,10,10)</f>
        <v>38635</v>
      </c>
      <c r="B7797" s="2"/>
      <c r="C7797" s="2" t="s">
        <v>30</v>
      </c>
      <c r="D7797" s="2" t="s">
        <v>20334</v>
      </c>
      <c r="E7797" s="2" t="s">
        <v>3102</v>
      </c>
      <c r="F7797" s="4">
        <v>5651</v>
      </c>
      <c r="G7797" s="2" t="s">
        <v>756</v>
      </c>
      <c r="H7797" s="2" t="s">
        <v>34</v>
      </c>
      <c r="I7797" s="2" t="s">
        <v>20591</v>
      </c>
      <c r="J7797" s="2" t="s">
        <v>244</v>
      </c>
      <c r="K7797" s="2" t="s">
        <v>53</v>
      </c>
      <c r="L7797" s="2" t="s">
        <v>34</v>
      </c>
      <c r="M7797" s="2"/>
      <c r="N7797" s="2"/>
      <c r="O7797" s="2"/>
      <c r="P7797" s="2" t="s">
        <v>23402</v>
      </c>
      <c r="Q7797" s="2"/>
      <c r="R7797" s="6">
        <v>8</v>
      </c>
      <c r="S7797" s="5">
        <v>15.7</v>
      </c>
      <c r="T7797" s="7">
        <v>49.573</v>
      </c>
      <c r="U7797" s="5">
        <v>7.3</v>
      </c>
      <c r="V7797" s="6">
        <v>0.46</v>
      </c>
      <c r="W7797" s="6">
        <v>7.65</v>
      </c>
      <c r="X7797" s="6">
        <v>8.75</v>
      </c>
      <c r="Y7797" s="6">
        <v>8.43</v>
      </c>
      <c r="Z7797" s="6">
        <v>8.36</v>
      </c>
      <c r="AA7797" s="6">
        <v>33.11</v>
      </c>
      <c r="AB7797" s="7">
        <v>5.9589999999999996</v>
      </c>
      <c r="AC7797" s="2"/>
    </row>
    <row r="7798" spans="1:29" ht="117" x14ac:dyDescent="0.15">
      <c r="A7798" s="3">
        <f>DATE(2005,10,10)</f>
        <v>38635</v>
      </c>
      <c r="B7798" s="3">
        <f>DATE(2006,4,3)</f>
        <v>38810</v>
      </c>
      <c r="C7798" s="2" t="s">
        <v>95</v>
      </c>
      <c r="D7798" s="2" t="s">
        <v>15305</v>
      </c>
      <c r="E7798" s="2" t="s">
        <v>3484</v>
      </c>
      <c r="F7798" s="4">
        <v>6311</v>
      </c>
      <c r="G7798" s="2" t="s">
        <v>125</v>
      </c>
      <c r="H7798" s="2" t="s">
        <v>34</v>
      </c>
      <c r="I7798" s="2" t="s">
        <v>9489</v>
      </c>
      <c r="J7798" s="2" t="s">
        <v>124</v>
      </c>
      <c r="K7798" s="2" t="s">
        <v>125</v>
      </c>
      <c r="L7798" s="2" t="s">
        <v>34</v>
      </c>
      <c r="M7798" s="12">
        <v>8872.8340000000007</v>
      </c>
      <c r="N7798" s="6">
        <v>49.19</v>
      </c>
      <c r="O7798" s="6">
        <v>47.28</v>
      </c>
      <c r="P7798" s="2" t="s">
        <v>23403</v>
      </c>
      <c r="Q7798" s="6">
        <v>100</v>
      </c>
      <c r="R7798" s="6">
        <v>55.96</v>
      </c>
      <c r="S7798" s="5">
        <v>575</v>
      </c>
      <c r="T7798" s="2"/>
      <c r="U7798" s="5">
        <v>28.8</v>
      </c>
      <c r="V7798" s="6">
        <v>4.2</v>
      </c>
      <c r="W7798" s="6">
        <v>51.36</v>
      </c>
      <c r="X7798" s="6">
        <v>50.79</v>
      </c>
      <c r="Y7798" s="6">
        <v>53.81</v>
      </c>
      <c r="Z7798" s="6">
        <v>52.37</v>
      </c>
      <c r="AA7798" s="6">
        <v>134.77000000000001</v>
      </c>
      <c r="AB7798" s="7">
        <v>9.2430000000000003</v>
      </c>
      <c r="AC7798" s="10">
        <v>1601.92</v>
      </c>
    </row>
    <row r="7799" spans="1:29" ht="247" x14ac:dyDescent="0.15">
      <c r="A7799" s="3">
        <f>DATE(2005,10,10)</f>
        <v>38635</v>
      </c>
      <c r="B7799" s="3">
        <f>DATE(2006,2,7)</f>
        <v>38755</v>
      </c>
      <c r="C7799" s="2" t="s">
        <v>95</v>
      </c>
      <c r="D7799" s="2" t="s">
        <v>18905</v>
      </c>
      <c r="E7799" s="2" t="s">
        <v>10927</v>
      </c>
      <c r="F7799" s="4">
        <v>3841</v>
      </c>
      <c r="G7799" s="2" t="s">
        <v>226</v>
      </c>
      <c r="H7799" s="2" t="s">
        <v>34</v>
      </c>
      <c r="I7799" s="2" t="s">
        <v>23404</v>
      </c>
      <c r="J7799" s="2" t="s">
        <v>23405</v>
      </c>
      <c r="K7799" s="2" t="s">
        <v>226</v>
      </c>
      <c r="L7799" s="2" t="s">
        <v>34</v>
      </c>
      <c r="M7799" s="12">
        <v>1100.884</v>
      </c>
      <c r="N7799" s="6">
        <v>16.11</v>
      </c>
      <c r="O7799" s="6">
        <v>14.67</v>
      </c>
      <c r="P7799" s="2" t="s">
        <v>23406</v>
      </c>
      <c r="Q7799" s="6">
        <v>28.14</v>
      </c>
      <c r="R7799" s="6">
        <v>6.44</v>
      </c>
      <c r="S7799" s="5">
        <v>-9.5</v>
      </c>
      <c r="T7799" s="7">
        <v>-14.775</v>
      </c>
      <c r="U7799" s="5">
        <v>0.9</v>
      </c>
      <c r="V7799" s="6">
        <v>-0.18</v>
      </c>
      <c r="W7799" s="6">
        <v>5.61</v>
      </c>
      <c r="X7799" s="6">
        <v>5.94</v>
      </c>
      <c r="Y7799" s="6">
        <v>7.03</v>
      </c>
      <c r="Z7799" s="6">
        <v>6.48</v>
      </c>
      <c r="AA7799" s="6">
        <v>48.51</v>
      </c>
      <c r="AB7799" s="2" t="s">
        <v>86</v>
      </c>
      <c r="AC7799" s="6">
        <v>20.13</v>
      </c>
    </row>
    <row r="7800" spans="1:29" ht="221" x14ac:dyDescent="0.15">
      <c r="A7800" s="3">
        <f>DATE(2005,10,11)</f>
        <v>38636</v>
      </c>
      <c r="B7800" s="3">
        <f>DATE(2006,1,27)</f>
        <v>38744</v>
      </c>
      <c r="C7800" s="2" t="s">
        <v>95</v>
      </c>
      <c r="D7800" s="2" t="s">
        <v>20334</v>
      </c>
      <c r="E7800" s="2" t="s">
        <v>3102</v>
      </c>
      <c r="F7800" s="4">
        <v>5651</v>
      </c>
      <c r="G7800" s="2" t="s">
        <v>756</v>
      </c>
      <c r="H7800" s="2" t="s">
        <v>34</v>
      </c>
      <c r="I7800" s="2" t="s">
        <v>23407</v>
      </c>
      <c r="J7800" s="2" t="s">
        <v>23408</v>
      </c>
      <c r="K7800" s="2" t="s">
        <v>53</v>
      </c>
      <c r="L7800" s="2" t="s">
        <v>34</v>
      </c>
      <c r="M7800" s="2"/>
      <c r="N7800" s="2"/>
      <c r="O7800" s="2"/>
      <c r="P7800" s="2" t="s">
        <v>23409</v>
      </c>
      <c r="Q7800" s="6">
        <v>100</v>
      </c>
      <c r="R7800" s="6">
        <v>9.6</v>
      </c>
      <c r="S7800" s="5">
        <v>15.7</v>
      </c>
      <c r="T7800" s="7">
        <v>49.573</v>
      </c>
      <c r="U7800" s="5">
        <v>7.3</v>
      </c>
      <c r="V7800" s="6">
        <v>0.46</v>
      </c>
      <c r="W7800" s="6">
        <v>7.65</v>
      </c>
      <c r="X7800" s="6">
        <v>8.75</v>
      </c>
      <c r="Y7800" s="6">
        <v>8.43</v>
      </c>
      <c r="Z7800" s="6">
        <v>8.36</v>
      </c>
      <c r="AA7800" s="6">
        <v>33.11</v>
      </c>
      <c r="AB7800" s="7">
        <v>8.2159999999999993</v>
      </c>
      <c r="AC7800" s="2"/>
    </row>
    <row r="7801" spans="1:29" ht="182" x14ac:dyDescent="0.15">
      <c r="A7801" s="3">
        <f>DATE(2005,10,11)</f>
        <v>38636</v>
      </c>
      <c r="B7801" s="3">
        <f>DATE(2006,3,3)</f>
        <v>38779</v>
      </c>
      <c r="C7801" s="2" t="s">
        <v>95</v>
      </c>
      <c r="D7801" s="2" t="s">
        <v>23410</v>
      </c>
      <c r="E7801" s="2" t="s">
        <v>16668</v>
      </c>
      <c r="F7801" s="4">
        <v>7375</v>
      </c>
      <c r="G7801" s="2" t="s">
        <v>223</v>
      </c>
      <c r="H7801" s="2" t="s">
        <v>34</v>
      </c>
      <c r="I7801" s="2" t="s">
        <v>23411</v>
      </c>
      <c r="J7801" s="2" t="s">
        <v>23412</v>
      </c>
      <c r="K7801" s="2" t="s">
        <v>551</v>
      </c>
      <c r="L7801" s="2" t="s">
        <v>34</v>
      </c>
      <c r="M7801" s="2"/>
      <c r="N7801" s="2"/>
      <c r="O7801" s="2"/>
      <c r="P7801" s="2" t="s">
        <v>23413</v>
      </c>
      <c r="Q7801" s="6">
        <v>100</v>
      </c>
      <c r="R7801" s="6">
        <v>10</v>
      </c>
      <c r="S7801" s="5">
        <v>-51.7</v>
      </c>
      <c r="T7801" s="7">
        <v>-46.976999999999997</v>
      </c>
      <c r="U7801" s="5">
        <v>2.4</v>
      </c>
      <c r="V7801" s="6">
        <v>-2.62</v>
      </c>
      <c r="W7801" s="5">
        <v>7.6</v>
      </c>
      <c r="X7801" s="6">
        <v>6.96</v>
      </c>
      <c r="Y7801" s="6">
        <v>6.97</v>
      </c>
      <c r="Z7801" s="6">
        <v>8.1300000000000008</v>
      </c>
      <c r="AA7801" s="6">
        <v>20.100000000000001</v>
      </c>
      <c r="AB7801" s="2" t="s">
        <v>86</v>
      </c>
      <c r="AC7801" s="2"/>
    </row>
    <row r="7802" spans="1:29" ht="104" x14ac:dyDescent="0.15">
      <c r="A7802" s="3">
        <f>DATE(2005,10,11)</f>
        <v>38636</v>
      </c>
      <c r="B7802" s="2"/>
      <c r="C7802" s="2" t="s">
        <v>30</v>
      </c>
      <c r="D7802" s="2" t="s">
        <v>23414</v>
      </c>
      <c r="E7802" s="2" t="s">
        <v>23415</v>
      </c>
      <c r="F7802" s="4">
        <v>3572</v>
      </c>
      <c r="G7802" s="2" t="s">
        <v>50</v>
      </c>
      <c r="H7802" s="2" t="s">
        <v>34</v>
      </c>
      <c r="I7802" s="2" t="s">
        <v>23416</v>
      </c>
      <c r="J7802" s="2" t="s">
        <v>23417</v>
      </c>
      <c r="K7802" s="2" t="s">
        <v>50</v>
      </c>
      <c r="L7802" s="2" t="s">
        <v>34</v>
      </c>
      <c r="M7802" s="7">
        <v>580.10199999999998</v>
      </c>
      <c r="N7802" s="6">
        <v>9.43</v>
      </c>
      <c r="O7802" s="6">
        <v>9.23</v>
      </c>
      <c r="P7802" s="2" t="s">
        <v>23418</v>
      </c>
      <c r="Q7802" s="2"/>
      <c r="R7802" s="6">
        <v>7.9</v>
      </c>
      <c r="S7802" s="5">
        <v>-0.2</v>
      </c>
      <c r="T7802" s="7">
        <v>2.9020000000000001</v>
      </c>
      <c r="U7802" s="5">
        <v>125.8</v>
      </c>
      <c r="V7802" s="6">
        <v>-0.3</v>
      </c>
      <c r="W7802" s="6">
        <v>7.88</v>
      </c>
      <c r="X7802" s="6">
        <v>7.69</v>
      </c>
      <c r="Y7802" s="6">
        <v>8.0500000000000007</v>
      </c>
      <c r="Z7802" s="6">
        <v>7.93</v>
      </c>
      <c r="AA7802" s="6">
        <v>14.2</v>
      </c>
      <c r="AB7802" s="2" t="s">
        <v>86</v>
      </c>
      <c r="AC7802" s="6">
        <v>240.59</v>
      </c>
    </row>
    <row r="7803" spans="1:29" ht="117" x14ac:dyDescent="0.15">
      <c r="A7803" s="3">
        <f>DATE(2005,10,11)</f>
        <v>38636</v>
      </c>
      <c r="B7803" s="2"/>
      <c r="C7803" s="2" t="s">
        <v>30</v>
      </c>
      <c r="D7803" s="2" t="s">
        <v>15040</v>
      </c>
      <c r="E7803" s="2" t="s">
        <v>15041</v>
      </c>
      <c r="F7803" s="4">
        <v>3714</v>
      </c>
      <c r="G7803" s="2" t="s">
        <v>105</v>
      </c>
      <c r="H7803" s="2" t="s">
        <v>34</v>
      </c>
      <c r="I7803" s="2" t="s">
        <v>23419</v>
      </c>
      <c r="J7803" s="2" t="s">
        <v>244</v>
      </c>
      <c r="K7803" s="2" t="s">
        <v>53</v>
      </c>
      <c r="L7803" s="2" t="s">
        <v>34</v>
      </c>
      <c r="M7803" s="2"/>
      <c r="N7803" s="2"/>
      <c r="O7803" s="2"/>
      <c r="P7803" s="2" t="s">
        <v>23420</v>
      </c>
      <c r="Q7803" s="2"/>
      <c r="R7803" s="6">
        <v>18</v>
      </c>
      <c r="S7803" s="5">
        <v>15.3</v>
      </c>
      <c r="T7803" s="7">
        <v>53.820999999999998</v>
      </c>
      <c r="U7803" s="5">
        <v>6.7</v>
      </c>
      <c r="V7803" s="7">
        <v>0.63200000000000001</v>
      </c>
      <c r="W7803" s="5">
        <v>13.4</v>
      </c>
      <c r="X7803" s="6">
        <v>13.42</v>
      </c>
      <c r="Y7803" s="6">
        <v>13.28</v>
      </c>
      <c r="Z7803" s="6">
        <v>17.260000000000002</v>
      </c>
      <c r="AA7803" s="6">
        <v>19.399999999999999</v>
      </c>
      <c r="AB7803" s="7">
        <v>24.652999999999999</v>
      </c>
      <c r="AC7803" s="2"/>
    </row>
    <row r="7804" spans="1:29" ht="130" x14ac:dyDescent="0.15">
      <c r="A7804" s="3">
        <f>DATE(2005,10,12)</f>
        <v>38637</v>
      </c>
      <c r="B7804" s="3">
        <f>DATE(2006,2,1)</f>
        <v>38749</v>
      </c>
      <c r="C7804" s="2" t="s">
        <v>95</v>
      </c>
      <c r="D7804" s="2" t="s">
        <v>23421</v>
      </c>
      <c r="E7804" s="2" t="s">
        <v>3246</v>
      </c>
      <c r="F7804" s="4">
        <v>6022</v>
      </c>
      <c r="G7804" s="2" t="s">
        <v>37</v>
      </c>
      <c r="H7804" s="2" t="s">
        <v>34</v>
      </c>
      <c r="I7804" s="2" t="s">
        <v>20190</v>
      </c>
      <c r="J7804" s="2" t="s">
        <v>20191</v>
      </c>
      <c r="K7804" s="2" t="s">
        <v>37</v>
      </c>
      <c r="L7804" s="2" t="s">
        <v>2105</v>
      </c>
      <c r="M7804" s="2"/>
      <c r="N7804" s="2"/>
      <c r="O7804" s="2"/>
      <c r="P7804" s="2" t="s">
        <v>23422</v>
      </c>
      <c r="Q7804" s="6">
        <v>100</v>
      </c>
      <c r="R7804" s="6">
        <v>25</v>
      </c>
      <c r="S7804" s="5">
        <v>12.8</v>
      </c>
      <c r="T7804" s="7">
        <v>20.731999999999999</v>
      </c>
      <c r="U7804" s="5">
        <v>7.4</v>
      </c>
      <c r="V7804" s="6">
        <v>0.9</v>
      </c>
      <c r="W7804" s="6">
        <v>20.29</v>
      </c>
      <c r="X7804" s="6">
        <v>20.22</v>
      </c>
      <c r="Y7804" s="6">
        <v>19.43</v>
      </c>
      <c r="Z7804" s="5">
        <v>24.3</v>
      </c>
      <c r="AA7804" s="6">
        <v>14.09</v>
      </c>
      <c r="AB7804" s="7">
        <v>19.254000000000001</v>
      </c>
      <c r="AC7804" s="2"/>
    </row>
    <row r="7805" spans="1:29" ht="104" x14ac:dyDescent="0.15">
      <c r="A7805" s="3">
        <f>DATE(2005,10,12)</f>
        <v>38637</v>
      </c>
      <c r="B7805" s="2"/>
      <c r="C7805" s="2" t="s">
        <v>30</v>
      </c>
      <c r="D7805" s="2" t="s">
        <v>21704</v>
      </c>
      <c r="E7805" s="2" t="s">
        <v>3032</v>
      </c>
      <c r="F7805" s="4">
        <v>8062</v>
      </c>
      <c r="G7805" s="2" t="s">
        <v>454</v>
      </c>
      <c r="H7805" s="2" t="s">
        <v>34</v>
      </c>
      <c r="I7805" s="2" t="s">
        <v>23423</v>
      </c>
      <c r="J7805" s="2" t="s">
        <v>23424</v>
      </c>
      <c r="K7805" s="2" t="s">
        <v>53</v>
      </c>
      <c r="L7805" s="2" t="s">
        <v>303</v>
      </c>
      <c r="M7805" s="2"/>
      <c r="N7805" s="2"/>
      <c r="O7805" s="2"/>
      <c r="P7805" s="2" t="s">
        <v>23425</v>
      </c>
      <c r="Q7805" s="2"/>
      <c r="R7805" s="6">
        <v>10.25</v>
      </c>
      <c r="S7805" s="5">
        <v>5.3</v>
      </c>
      <c r="T7805" s="7">
        <v>11.041</v>
      </c>
      <c r="U7805" s="5">
        <v>4.2</v>
      </c>
      <c r="V7805" s="6">
        <v>0.65</v>
      </c>
      <c r="W7805" s="6">
        <v>8.35</v>
      </c>
      <c r="X7805" s="6">
        <v>8.4700000000000006</v>
      </c>
      <c r="Y7805" s="6">
        <v>9.75</v>
      </c>
      <c r="Z7805" s="6">
        <v>9.7100000000000009</v>
      </c>
      <c r="AA7805" s="6">
        <v>7.2</v>
      </c>
      <c r="AB7805" s="7">
        <v>10.096</v>
      </c>
      <c r="AC7805" s="2"/>
    </row>
    <row r="7806" spans="1:29" ht="130" x14ac:dyDescent="0.15">
      <c r="A7806" s="3">
        <f>DATE(2005,10,13)</f>
        <v>38638</v>
      </c>
      <c r="B7806" s="3">
        <f>DATE(2006,1,30)</f>
        <v>38747</v>
      </c>
      <c r="C7806" s="2" t="s">
        <v>95</v>
      </c>
      <c r="D7806" s="2" t="s">
        <v>19858</v>
      </c>
      <c r="E7806" s="2" t="s">
        <v>5309</v>
      </c>
      <c r="F7806" s="4">
        <v>1311</v>
      </c>
      <c r="G7806" s="2" t="s">
        <v>148</v>
      </c>
      <c r="H7806" s="2" t="s">
        <v>34</v>
      </c>
      <c r="I7806" s="2" t="s">
        <v>23426</v>
      </c>
      <c r="J7806" s="2" t="s">
        <v>1608</v>
      </c>
      <c r="K7806" s="2" t="s">
        <v>148</v>
      </c>
      <c r="L7806" s="2" t="s">
        <v>34</v>
      </c>
      <c r="M7806" s="12">
        <v>34418.680999999997</v>
      </c>
      <c r="N7806" s="6">
        <v>74.98</v>
      </c>
      <c r="O7806" s="6">
        <v>72.73</v>
      </c>
      <c r="P7806" s="2" t="s">
        <v>23427</v>
      </c>
      <c r="Q7806" s="6">
        <v>100</v>
      </c>
      <c r="R7806" s="6">
        <v>52.32</v>
      </c>
      <c r="S7806" s="5">
        <v>193</v>
      </c>
      <c r="T7806" s="7">
        <v>541.86900000000003</v>
      </c>
      <c r="U7806" s="5">
        <v>12.1</v>
      </c>
      <c r="V7806" s="6">
        <v>2.92</v>
      </c>
      <c r="W7806" s="5">
        <v>39.700000000000003</v>
      </c>
      <c r="X7806" s="6">
        <v>38.96</v>
      </c>
      <c r="Y7806" s="6">
        <v>38.590000000000003</v>
      </c>
      <c r="Z7806" s="6">
        <v>48.94</v>
      </c>
      <c r="AA7806" s="6">
        <v>66.98</v>
      </c>
      <c r="AB7806" s="7">
        <v>9.8209999999999997</v>
      </c>
      <c r="AC7806" s="8">
        <v>1716</v>
      </c>
    </row>
    <row r="7807" spans="1:29" ht="169" x14ac:dyDescent="0.15">
      <c r="A7807" s="3">
        <f>DATE(2005,10,16)</f>
        <v>38641</v>
      </c>
      <c r="B7807" s="3">
        <f>DATE(2005,11,30)</f>
        <v>38686</v>
      </c>
      <c r="C7807" s="2" t="s">
        <v>95</v>
      </c>
      <c r="D7807" s="2" t="s">
        <v>22326</v>
      </c>
      <c r="E7807" s="2" t="s">
        <v>22327</v>
      </c>
      <c r="F7807" s="4">
        <v>3841</v>
      </c>
      <c r="G7807" s="2" t="s">
        <v>226</v>
      </c>
      <c r="H7807" s="2" t="s">
        <v>34</v>
      </c>
      <c r="I7807" s="2" t="s">
        <v>4475</v>
      </c>
      <c r="J7807" s="2" t="s">
        <v>4476</v>
      </c>
      <c r="K7807" s="2" t="s">
        <v>226</v>
      </c>
      <c r="L7807" s="2" t="s">
        <v>34</v>
      </c>
      <c r="M7807" s="12">
        <v>16935.678</v>
      </c>
      <c r="N7807" s="6">
        <v>46.65</v>
      </c>
      <c r="O7807" s="6">
        <v>46.65</v>
      </c>
      <c r="P7807" s="2" t="s">
        <v>23428</v>
      </c>
      <c r="Q7807" s="6">
        <v>100</v>
      </c>
      <c r="R7807" s="6">
        <v>61.25</v>
      </c>
      <c r="S7807" s="5">
        <v>74.099999999999994</v>
      </c>
      <c r="T7807" s="7">
        <v>32.220999999999997</v>
      </c>
      <c r="U7807" s="5">
        <v>13.1</v>
      </c>
      <c r="V7807" s="6">
        <v>3.55</v>
      </c>
      <c r="W7807" s="6">
        <v>49.89</v>
      </c>
      <c r="X7807" s="6">
        <v>46.98</v>
      </c>
      <c r="Y7807" s="6">
        <v>60.94</v>
      </c>
      <c r="Z7807" s="6">
        <v>60.94</v>
      </c>
      <c r="AA7807" s="6">
        <v>20.09</v>
      </c>
      <c r="AB7807" s="7">
        <v>42.604999999999997</v>
      </c>
      <c r="AC7807" s="6">
        <v>712.45</v>
      </c>
    </row>
    <row r="7808" spans="1:29" ht="65" x14ac:dyDescent="0.15">
      <c r="A7808" s="3">
        <f>DATE(2005,10,16)</f>
        <v>38641</v>
      </c>
      <c r="B7808" s="3">
        <f>DATE(2006,1,5)</f>
        <v>38722</v>
      </c>
      <c r="C7808" s="2" t="s">
        <v>95</v>
      </c>
      <c r="D7808" s="2" t="s">
        <v>23429</v>
      </c>
      <c r="E7808" s="2" t="s">
        <v>23430</v>
      </c>
      <c r="F7808" s="4">
        <v>3845</v>
      </c>
      <c r="G7808" s="2" t="s">
        <v>226</v>
      </c>
      <c r="H7808" s="2" t="s">
        <v>34</v>
      </c>
      <c r="I7808" s="2" t="s">
        <v>23431</v>
      </c>
      <c r="J7808" s="2" t="s">
        <v>23432</v>
      </c>
      <c r="K7808" s="2" t="s">
        <v>226</v>
      </c>
      <c r="L7808" s="2" t="s">
        <v>34</v>
      </c>
      <c r="M7808" s="7">
        <v>190.29400000000001</v>
      </c>
      <c r="N7808" s="6">
        <v>12.03</v>
      </c>
      <c r="O7808" s="6">
        <v>12.03</v>
      </c>
      <c r="P7808" s="2" t="s">
        <v>23433</v>
      </c>
      <c r="Q7808" s="6">
        <v>100</v>
      </c>
      <c r="R7808" s="6">
        <v>8.77</v>
      </c>
      <c r="S7808" s="5">
        <v>2.1</v>
      </c>
      <c r="T7808" s="7">
        <v>3.4430000000000001</v>
      </c>
      <c r="U7808" s="5">
        <v>3.6</v>
      </c>
      <c r="V7808" s="6">
        <v>0.3</v>
      </c>
      <c r="W7808" s="6">
        <v>5.93</v>
      </c>
      <c r="X7808" s="6">
        <v>5.87</v>
      </c>
      <c r="Y7808" s="6">
        <v>8.56</v>
      </c>
      <c r="Z7808" s="6">
        <v>8.56</v>
      </c>
      <c r="AA7808" s="6">
        <v>6.73</v>
      </c>
      <c r="AB7808" s="7">
        <v>19.486000000000001</v>
      </c>
      <c r="AC7808" s="6">
        <v>41.81</v>
      </c>
    </row>
    <row r="7809" spans="1:29" ht="52" x14ac:dyDescent="0.15">
      <c r="A7809" s="3">
        <f>DATE(2005,10,17)</f>
        <v>38642</v>
      </c>
      <c r="B7809" s="2"/>
      <c r="C7809" s="2" t="s">
        <v>189</v>
      </c>
      <c r="D7809" s="2" t="s">
        <v>23434</v>
      </c>
      <c r="E7809" s="2" t="s">
        <v>4060</v>
      </c>
      <c r="F7809" s="4">
        <v>6141</v>
      </c>
      <c r="G7809" s="2" t="s">
        <v>370</v>
      </c>
      <c r="H7809" s="2" t="s">
        <v>34</v>
      </c>
      <c r="I7809" s="2" t="s">
        <v>143</v>
      </c>
      <c r="J7809" s="2" t="s">
        <v>144</v>
      </c>
      <c r="K7809" s="2" t="s">
        <v>53</v>
      </c>
      <c r="L7809" s="2" t="s">
        <v>139</v>
      </c>
      <c r="M7809" s="2"/>
      <c r="N7809" s="2"/>
      <c r="O7809" s="2"/>
      <c r="P7809" s="2" t="s">
        <v>23435</v>
      </c>
      <c r="Q7809" s="2"/>
      <c r="R7809" s="2"/>
      <c r="S7809" s="8">
        <v>2830</v>
      </c>
      <c r="T7809" s="8">
        <v>23946</v>
      </c>
      <c r="U7809" s="5">
        <v>7363548.4000000004</v>
      </c>
      <c r="V7809" s="2"/>
      <c r="W7809" s="5">
        <v>18.7</v>
      </c>
      <c r="X7809" s="6">
        <v>19.59</v>
      </c>
      <c r="Y7809" s="6">
        <v>21.25</v>
      </c>
      <c r="Z7809" s="6">
        <v>22.26</v>
      </c>
      <c r="AA7809" s="2"/>
      <c r="AB7809" s="2" t="s">
        <v>47</v>
      </c>
      <c r="AC7809" s="2"/>
    </row>
    <row r="7810" spans="1:29" ht="104" x14ac:dyDescent="0.15">
      <c r="A7810" s="3">
        <f>DATE(2005,10,18)</f>
        <v>38643</v>
      </c>
      <c r="B7810" s="3">
        <f>DATE(2006,2,2)</f>
        <v>38750</v>
      </c>
      <c r="C7810" s="2" t="s">
        <v>95</v>
      </c>
      <c r="D7810" s="2" t="s">
        <v>23436</v>
      </c>
      <c r="E7810" s="2" t="s">
        <v>23437</v>
      </c>
      <c r="F7810" s="4">
        <v>3585</v>
      </c>
      <c r="G7810" s="2" t="s">
        <v>300</v>
      </c>
      <c r="H7810" s="2" t="s">
        <v>34</v>
      </c>
      <c r="I7810" s="2" t="s">
        <v>23438</v>
      </c>
      <c r="J7810" s="2" t="s">
        <v>23439</v>
      </c>
      <c r="K7810" s="2" t="s">
        <v>137</v>
      </c>
      <c r="L7810" s="2" t="s">
        <v>34</v>
      </c>
      <c r="M7810" s="2"/>
      <c r="N7810" s="2"/>
      <c r="O7810" s="2"/>
      <c r="P7810" s="2" t="s">
        <v>23440</v>
      </c>
      <c r="Q7810" s="6">
        <v>100</v>
      </c>
      <c r="R7810" s="6">
        <v>22</v>
      </c>
      <c r="S7810" s="5">
        <v>9.9</v>
      </c>
      <c r="T7810" s="7">
        <v>16.936</v>
      </c>
      <c r="U7810" s="5">
        <v>7.4</v>
      </c>
      <c r="V7810" s="6">
        <v>1.02</v>
      </c>
      <c r="W7810" s="4">
        <v>19</v>
      </c>
      <c r="X7810" s="5">
        <v>19.899999999999999</v>
      </c>
      <c r="Y7810" s="6">
        <v>19.46</v>
      </c>
      <c r="Z7810" s="6">
        <v>21.49</v>
      </c>
      <c r="AA7810" s="6">
        <v>9.5</v>
      </c>
      <c r="AB7810" s="7">
        <v>15.554</v>
      </c>
      <c r="AC7810" s="2"/>
    </row>
    <row r="7811" spans="1:29" ht="143" x14ac:dyDescent="0.15">
      <c r="A7811" s="3">
        <f>DATE(2005,10,18)</f>
        <v>38643</v>
      </c>
      <c r="B7811" s="3">
        <f>DATE(2006,4,12)</f>
        <v>38819</v>
      </c>
      <c r="C7811" s="2" t="s">
        <v>95</v>
      </c>
      <c r="D7811" s="2" t="s">
        <v>13196</v>
      </c>
      <c r="E7811" s="2" t="s">
        <v>13197</v>
      </c>
      <c r="F7811" s="4">
        <v>3312</v>
      </c>
      <c r="G7811" s="2" t="s">
        <v>163</v>
      </c>
      <c r="H7811" s="2" t="s">
        <v>34</v>
      </c>
      <c r="I7811" s="2" t="s">
        <v>23441</v>
      </c>
      <c r="J7811" s="2" t="s">
        <v>23442</v>
      </c>
      <c r="K7811" s="2" t="s">
        <v>163</v>
      </c>
      <c r="L7811" s="2" t="s">
        <v>34</v>
      </c>
      <c r="M7811" s="12">
        <v>1392.356</v>
      </c>
      <c r="N7811" s="5">
        <v>27.9</v>
      </c>
      <c r="O7811" s="6">
        <v>28.49</v>
      </c>
      <c r="P7811" s="2" t="s">
        <v>23443</v>
      </c>
      <c r="Q7811" s="6">
        <v>100</v>
      </c>
      <c r="R7811" s="6">
        <v>21.26</v>
      </c>
      <c r="S7811" s="5">
        <v>39.9</v>
      </c>
      <c r="T7811" s="7">
        <v>74.725999999999999</v>
      </c>
      <c r="U7811" s="5">
        <v>15.9</v>
      </c>
      <c r="V7811" s="6">
        <v>3.58</v>
      </c>
      <c r="W7811" s="6">
        <v>17.63</v>
      </c>
      <c r="X7811" s="6">
        <v>18.690000000000001</v>
      </c>
      <c r="Y7811" s="6">
        <v>20.54</v>
      </c>
      <c r="Z7811" s="6">
        <v>20.86</v>
      </c>
      <c r="AA7811" s="6">
        <v>11.15</v>
      </c>
      <c r="AB7811" s="7">
        <v>4.7169999999999996</v>
      </c>
      <c r="AC7811" s="6">
        <v>30.6</v>
      </c>
    </row>
    <row r="7812" spans="1:29" ht="169" x14ac:dyDescent="0.15">
      <c r="A7812" s="3">
        <f>DATE(2005,10,19)</f>
        <v>38644</v>
      </c>
      <c r="B7812" s="2"/>
      <c r="C7812" s="2" t="s">
        <v>30</v>
      </c>
      <c r="D7812" s="2" t="s">
        <v>23444</v>
      </c>
      <c r="E7812" s="2" t="s">
        <v>839</v>
      </c>
      <c r="F7812" s="4">
        <v>2834</v>
      </c>
      <c r="G7812" s="2" t="s">
        <v>130</v>
      </c>
      <c r="H7812" s="2" t="s">
        <v>34</v>
      </c>
      <c r="I7812" s="2" t="s">
        <v>23445</v>
      </c>
      <c r="J7812" s="2" t="s">
        <v>129</v>
      </c>
      <c r="K7812" s="2" t="s">
        <v>130</v>
      </c>
      <c r="L7812" s="2" t="s">
        <v>34</v>
      </c>
      <c r="M7812" s="2"/>
      <c r="N7812" s="2"/>
      <c r="O7812" s="2"/>
      <c r="P7812" s="2" t="s">
        <v>23446</v>
      </c>
      <c r="Q7812" s="2"/>
      <c r="R7812" s="2"/>
      <c r="S7812" s="5">
        <v>17.5</v>
      </c>
      <c r="T7812" s="7">
        <v>30.335000000000001</v>
      </c>
      <c r="U7812" s="5">
        <v>5.5</v>
      </c>
      <c r="V7812" s="6">
        <v>0.9</v>
      </c>
      <c r="W7812" s="6">
        <v>1.05</v>
      </c>
      <c r="X7812" s="6">
        <v>1.1499999999999999</v>
      </c>
      <c r="Y7812" s="6">
        <v>1.1299999999999999</v>
      </c>
      <c r="Z7812" s="6">
        <v>0.27</v>
      </c>
      <c r="AA7812" s="6">
        <v>18.52</v>
      </c>
      <c r="AB7812" s="2" t="s">
        <v>47</v>
      </c>
      <c r="AC7812" s="2"/>
    </row>
    <row r="7813" spans="1:29" ht="156" x14ac:dyDescent="0.15">
      <c r="A7813" s="3">
        <f>DATE(2005,10,19)</f>
        <v>38644</v>
      </c>
      <c r="B7813" s="3">
        <f>DATE(2006,4,1)</f>
        <v>38808</v>
      </c>
      <c r="C7813" s="2" t="s">
        <v>95</v>
      </c>
      <c r="D7813" s="2" t="s">
        <v>23447</v>
      </c>
      <c r="E7813" s="2" t="s">
        <v>1181</v>
      </c>
      <c r="F7813" s="4">
        <v>6021</v>
      </c>
      <c r="G7813" s="2" t="s">
        <v>37</v>
      </c>
      <c r="H7813" s="2" t="s">
        <v>34</v>
      </c>
      <c r="I7813" s="2" t="s">
        <v>23448</v>
      </c>
      <c r="J7813" s="2" t="s">
        <v>1181</v>
      </c>
      <c r="K7813" s="2" t="s">
        <v>37</v>
      </c>
      <c r="L7813" s="2" t="s">
        <v>34</v>
      </c>
      <c r="M7813" s="7">
        <v>123.58799999999999</v>
      </c>
      <c r="N7813" s="6">
        <v>21.58</v>
      </c>
      <c r="O7813" s="6">
        <v>21.77</v>
      </c>
      <c r="P7813" s="2" t="s">
        <v>23449</v>
      </c>
      <c r="Q7813" s="6">
        <v>100</v>
      </c>
      <c r="R7813" s="6">
        <v>21</v>
      </c>
      <c r="S7813" s="5">
        <v>1</v>
      </c>
      <c r="T7813" s="7">
        <v>1.4830000000000001</v>
      </c>
      <c r="U7813" s="5">
        <v>9.6999999999999993</v>
      </c>
      <c r="V7813" s="9">
        <v>0.61750000000000005</v>
      </c>
      <c r="W7813" s="5">
        <v>14.5</v>
      </c>
      <c r="X7813" s="4">
        <v>15</v>
      </c>
      <c r="Y7813" s="6">
        <v>19.13</v>
      </c>
      <c r="Z7813" s="5">
        <v>19.2</v>
      </c>
      <c r="AA7813" s="6">
        <v>1.1599999999999999</v>
      </c>
      <c r="AB7813" s="7">
        <v>32.826000000000001</v>
      </c>
      <c r="AC7813" s="2"/>
    </row>
    <row r="7814" spans="1:29" ht="156" x14ac:dyDescent="0.15">
      <c r="A7814" s="3">
        <f>DATE(2005,10,20)</f>
        <v>38645</v>
      </c>
      <c r="B7814" s="3">
        <f>DATE(2006,3,3)</f>
        <v>38779</v>
      </c>
      <c r="C7814" s="2" t="s">
        <v>95</v>
      </c>
      <c r="D7814" s="2" t="s">
        <v>23450</v>
      </c>
      <c r="E7814" s="2" t="s">
        <v>1181</v>
      </c>
      <c r="F7814" s="4">
        <v>6021</v>
      </c>
      <c r="G7814" s="2" t="s">
        <v>37</v>
      </c>
      <c r="H7814" s="2" t="s">
        <v>34</v>
      </c>
      <c r="I7814" s="2" t="s">
        <v>21637</v>
      </c>
      <c r="J7814" s="2" t="s">
        <v>1181</v>
      </c>
      <c r="K7814" s="2" t="s">
        <v>37</v>
      </c>
      <c r="L7814" s="2" t="s">
        <v>34</v>
      </c>
      <c r="M7814" s="7">
        <v>952.35599999999999</v>
      </c>
      <c r="N7814" s="6">
        <v>16.37</v>
      </c>
      <c r="O7814" s="5">
        <v>16.100000000000001</v>
      </c>
      <c r="P7814" s="2" t="s">
        <v>23451</v>
      </c>
      <c r="Q7814" s="6">
        <v>100</v>
      </c>
      <c r="R7814" s="6">
        <v>17.57</v>
      </c>
      <c r="S7814" s="2"/>
      <c r="T7814" s="2"/>
      <c r="U7814" s="2"/>
      <c r="V7814" s="2"/>
      <c r="W7814" s="4">
        <v>15</v>
      </c>
      <c r="X7814" s="4">
        <v>15</v>
      </c>
      <c r="Y7814" s="4">
        <v>15</v>
      </c>
      <c r="Z7814" s="5">
        <v>16.600000000000001</v>
      </c>
      <c r="AA7814" s="6">
        <v>2.16</v>
      </c>
      <c r="AB7814" s="2" t="s">
        <v>47</v>
      </c>
      <c r="AC7814" s="2"/>
    </row>
    <row r="7815" spans="1:29" ht="78" x14ac:dyDescent="0.15">
      <c r="A7815" s="3">
        <f>DATE(2005,10,20)</f>
        <v>38645</v>
      </c>
      <c r="B7815" s="3">
        <f>DATE(2005,12,30)</f>
        <v>38716</v>
      </c>
      <c r="C7815" s="2" t="s">
        <v>95</v>
      </c>
      <c r="D7815" s="2" t="s">
        <v>23452</v>
      </c>
      <c r="E7815" s="2" t="s">
        <v>23453</v>
      </c>
      <c r="F7815" s="4">
        <v>7372</v>
      </c>
      <c r="G7815" s="2" t="s">
        <v>551</v>
      </c>
      <c r="H7815" s="2" t="s">
        <v>34</v>
      </c>
      <c r="I7815" s="2" t="s">
        <v>15063</v>
      </c>
      <c r="J7815" s="2" t="s">
        <v>15064</v>
      </c>
      <c r="K7815" s="2" t="s">
        <v>50</v>
      </c>
      <c r="L7815" s="2" t="s">
        <v>34</v>
      </c>
      <c r="M7815" s="12">
        <v>30373.998</v>
      </c>
      <c r="N7815" s="6">
        <v>13.59</v>
      </c>
      <c r="O7815" s="6">
        <v>13.73</v>
      </c>
      <c r="P7815" s="2" t="s">
        <v>23454</v>
      </c>
      <c r="Q7815" s="6">
        <v>100</v>
      </c>
      <c r="R7815" s="6">
        <v>22.25</v>
      </c>
      <c r="S7815" s="5">
        <v>3.4</v>
      </c>
      <c r="T7815" s="7">
        <v>7.9039999999999999</v>
      </c>
      <c r="U7815" s="5">
        <v>2.8</v>
      </c>
      <c r="V7815" s="6">
        <v>0.28000000000000003</v>
      </c>
      <c r="W7815" s="6">
        <v>16.84</v>
      </c>
      <c r="X7815" s="6">
        <v>17.87</v>
      </c>
      <c r="Y7815" s="5">
        <v>18.3</v>
      </c>
      <c r="Z7815" s="6">
        <v>21.83</v>
      </c>
      <c r="AA7815" s="6">
        <v>12.99</v>
      </c>
      <c r="AB7815" s="7">
        <v>59.347000000000001</v>
      </c>
      <c r="AC7815" s="10">
        <v>4464.75</v>
      </c>
    </row>
    <row r="7816" spans="1:29" ht="91" x14ac:dyDescent="0.15">
      <c r="A7816" s="3">
        <f>DATE(2005,10,24)</f>
        <v>38649</v>
      </c>
      <c r="B7816" s="3">
        <f>DATE(2006,2,7)</f>
        <v>38755</v>
      </c>
      <c r="C7816" s="2" t="s">
        <v>95</v>
      </c>
      <c r="D7816" s="2" t="s">
        <v>23455</v>
      </c>
      <c r="E7816" s="2" t="s">
        <v>92</v>
      </c>
      <c r="F7816" s="4">
        <v>6798</v>
      </c>
      <c r="G7816" s="2" t="s">
        <v>53</v>
      </c>
      <c r="H7816" s="2" t="s">
        <v>34</v>
      </c>
      <c r="I7816" s="2" t="s">
        <v>23456</v>
      </c>
      <c r="J7816" s="2" t="s">
        <v>3941</v>
      </c>
      <c r="K7816" s="2" t="s">
        <v>53</v>
      </c>
      <c r="L7816" s="2" t="s">
        <v>34</v>
      </c>
      <c r="M7816" s="2"/>
      <c r="N7816" s="2"/>
      <c r="O7816" s="2"/>
      <c r="P7816" s="2" t="s">
        <v>23457</v>
      </c>
      <c r="Q7816" s="6">
        <v>100</v>
      </c>
      <c r="R7816" s="6">
        <v>37.75</v>
      </c>
      <c r="S7816" s="5">
        <v>-4.5999999999999996</v>
      </c>
      <c r="T7816" s="7">
        <v>39.316000000000003</v>
      </c>
      <c r="U7816" s="5">
        <v>19.7</v>
      </c>
      <c r="V7816" s="2"/>
      <c r="W7816" s="6">
        <v>30.76</v>
      </c>
      <c r="X7816" s="6">
        <v>31.27</v>
      </c>
      <c r="Y7816" s="6">
        <v>37.520000000000003</v>
      </c>
      <c r="Z7816" s="6">
        <v>37.590000000000003</v>
      </c>
      <c r="AA7816" s="6">
        <v>25.66</v>
      </c>
      <c r="AB7816" s="2" t="s">
        <v>86</v>
      </c>
      <c r="AC7816" s="2"/>
    </row>
    <row r="7817" spans="1:29" ht="39" x14ac:dyDescent="0.15">
      <c r="A7817" s="3">
        <f>DATE(2005,10,24)</f>
        <v>38649</v>
      </c>
      <c r="B7817" s="2"/>
      <c r="C7817" s="2" t="s">
        <v>189</v>
      </c>
      <c r="D7817" s="2" t="s">
        <v>23458</v>
      </c>
      <c r="E7817" s="2" t="s">
        <v>20370</v>
      </c>
      <c r="F7817" s="4">
        <v>7375</v>
      </c>
      <c r="G7817" s="2" t="s">
        <v>223</v>
      </c>
      <c r="H7817" s="2" t="s">
        <v>34</v>
      </c>
      <c r="I7817" s="2" t="s">
        <v>143</v>
      </c>
      <c r="J7817" s="2" t="s">
        <v>144</v>
      </c>
      <c r="K7817" s="2" t="s">
        <v>53</v>
      </c>
      <c r="L7817" s="2" t="s">
        <v>139</v>
      </c>
      <c r="M7817" s="2"/>
      <c r="N7817" s="2"/>
      <c r="O7817" s="2"/>
      <c r="P7817" s="2" t="s">
        <v>23459</v>
      </c>
      <c r="Q7817" s="2"/>
      <c r="R7817" s="2"/>
      <c r="S7817" s="5">
        <v>-5.4</v>
      </c>
      <c r="T7817" s="7">
        <v>-0.79200000000000004</v>
      </c>
      <c r="U7817" s="5">
        <v>15.4</v>
      </c>
      <c r="V7817" s="6">
        <v>-0.65</v>
      </c>
      <c r="W7817" s="6">
        <v>4.6399999999999997</v>
      </c>
      <c r="X7817" s="6">
        <v>4.55</v>
      </c>
      <c r="Y7817" s="6">
        <v>4.5199999999999996</v>
      </c>
      <c r="Z7817" s="6">
        <v>4.58</v>
      </c>
      <c r="AA7817" s="2"/>
      <c r="AB7817" s="2" t="s">
        <v>86</v>
      </c>
      <c r="AC7817" s="2"/>
    </row>
    <row r="7818" spans="1:29" ht="117" x14ac:dyDescent="0.15">
      <c r="A7818" s="3">
        <f>DATE(2005,10,24)</f>
        <v>38649</v>
      </c>
      <c r="B7818" s="3">
        <f>DATE(2006,5,31)</f>
        <v>38868</v>
      </c>
      <c r="C7818" s="2" t="s">
        <v>95</v>
      </c>
      <c r="D7818" s="2" t="s">
        <v>14169</v>
      </c>
      <c r="E7818" s="2" t="s">
        <v>14170</v>
      </c>
      <c r="F7818" s="4">
        <v>6712</v>
      </c>
      <c r="G7818" s="2" t="s">
        <v>37</v>
      </c>
      <c r="H7818" s="2" t="s">
        <v>34</v>
      </c>
      <c r="I7818" s="2" t="s">
        <v>19135</v>
      </c>
      <c r="J7818" s="2" t="s">
        <v>16534</v>
      </c>
      <c r="K7818" s="2" t="s">
        <v>33</v>
      </c>
      <c r="L7818" s="2" t="s">
        <v>34</v>
      </c>
      <c r="M7818" s="12">
        <v>7974.8220000000001</v>
      </c>
      <c r="N7818" s="6">
        <v>23.37</v>
      </c>
      <c r="O7818" s="6">
        <v>21.38</v>
      </c>
      <c r="P7818" s="2" t="s">
        <v>23460</v>
      </c>
      <c r="Q7818" s="6">
        <v>100</v>
      </c>
      <c r="R7818" s="6">
        <v>42</v>
      </c>
      <c r="S7818" s="5">
        <v>220.6</v>
      </c>
      <c r="T7818" s="2"/>
      <c r="U7818" s="5">
        <v>27.5</v>
      </c>
      <c r="V7818" s="6">
        <v>2.66</v>
      </c>
      <c r="W7818" s="6">
        <v>32.11</v>
      </c>
      <c r="X7818" s="6">
        <v>32.450000000000003</v>
      </c>
      <c r="Y7818" s="6">
        <v>32.450000000000003</v>
      </c>
      <c r="Z7818" s="5">
        <v>39.9</v>
      </c>
      <c r="AA7818" s="6">
        <v>83.4</v>
      </c>
      <c r="AB7818" s="7">
        <v>25.751999999999999</v>
      </c>
      <c r="AC7818" s="2"/>
    </row>
    <row r="7819" spans="1:29" ht="143" x14ac:dyDescent="0.15">
      <c r="A7819" s="3">
        <f>DATE(2005,10,24)</f>
        <v>38649</v>
      </c>
      <c r="B7819" s="3">
        <f>DATE(2006,6,26)</f>
        <v>38894</v>
      </c>
      <c r="C7819" s="2" t="s">
        <v>95</v>
      </c>
      <c r="D7819" s="2" t="s">
        <v>23461</v>
      </c>
      <c r="E7819" s="2" t="s">
        <v>2814</v>
      </c>
      <c r="F7819" s="4">
        <v>4812</v>
      </c>
      <c r="G7819" s="2" t="s">
        <v>63</v>
      </c>
      <c r="H7819" s="2" t="s">
        <v>34</v>
      </c>
      <c r="I7819" s="2" t="s">
        <v>14230</v>
      </c>
      <c r="J7819" s="2" t="s">
        <v>23280</v>
      </c>
      <c r="K7819" s="2" t="s">
        <v>63</v>
      </c>
      <c r="L7819" s="2" t="s">
        <v>34</v>
      </c>
      <c r="M7819" s="12">
        <v>68304.328999999998</v>
      </c>
      <c r="N7819" s="6">
        <v>23.56</v>
      </c>
      <c r="O7819" s="6">
        <v>23.65</v>
      </c>
      <c r="P7819" s="2" t="s">
        <v>23462</v>
      </c>
      <c r="Q7819" s="6">
        <v>70.819999999999993</v>
      </c>
      <c r="R7819" s="6">
        <v>28.5</v>
      </c>
      <c r="S7819" s="5">
        <v>595.9</v>
      </c>
      <c r="T7819" s="7">
        <v>528.50199999999995</v>
      </c>
      <c r="U7819" s="5">
        <v>2.4</v>
      </c>
      <c r="V7819" s="6">
        <v>1.94</v>
      </c>
      <c r="W7819" s="6">
        <v>24.62</v>
      </c>
      <c r="X7819" s="6">
        <v>25.51</v>
      </c>
      <c r="Y7819" s="6">
        <v>25.42</v>
      </c>
      <c r="Z7819" s="5">
        <v>25.5</v>
      </c>
      <c r="AA7819" s="6">
        <v>270.7</v>
      </c>
      <c r="AB7819" s="7">
        <v>27.687000000000001</v>
      </c>
      <c r="AC7819" s="8">
        <v>8935</v>
      </c>
    </row>
    <row r="7820" spans="1:29" ht="91" x14ac:dyDescent="0.15">
      <c r="A7820" s="3">
        <f>DATE(2005,10,26)</f>
        <v>38651</v>
      </c>
      <c r="B7820" s="2"/>
      <c r="C7820" s="2" t="s">
        <v>30</v>
      </c>
      <c r="D7820" s="2" t="s">
        <v>23463</v>
      </c>
      <c r="E7820" s="2" t="s">
        <v>6901</v>
      </c>
      <c r="F7820" s="4">
        <v>4512</v>
      </c>
      <c r="G7820" s="2" t="s">
        <v>59</v>
      </c>
      <c r="H7820" s="2" t="s">
        <v>34</v>
      </c>
      <c r="I7820" s="2" t="s">
        <v>138</v>
      </c>
      <c r="J7820" s="2" t="s">
        <v>139</v>
      </c>
      <c r="K7820" s="2" t="s">
        <v>53</v>
      </c>
      <c r="L7820" s="2" t="s">
        <v>139</v>
      </c>
      <c r="M7820" s="2"/>
      <c r="N7820" s="2"/>
      <c r="O7820" s="2"/>
      <c r="P7820" s="2" t="s">
        <v>23464</v>
      </c>
      <c r="Q7820" s="2"/>
      <c r="R7820" s="6">
        <v>4.55</v>
      </c>
      <c r="S7820" s="5">
        <v>-8.5</v>
      </c>
      <c r="T7820" s="7">
        <v>29.995000000000001</v>
      </c>
      <c r="U7820" s="5">
        <v>4.5999999999999996</v>
      </c>
      <c r="V7820" s="6">
        <v>-0.84</v>
      </c>
      <c r="W7820" s="6">
        <v>5.24</v>
      </c>
      <c r="X7820" s="6">
        <v>5.15</v>
      </c>
      <c r="Y7820" s="6">
        <v>4.3499999999999996</v>
      </c>
      <c r="Z7820" s="5">
        <v>4.3</v>
      </c>
      <c r="AA7820" s="6">
        <v>10.130000000000001</v>
      </c>
      <c r="AB7820" s="7">
        <v>7.1539999999999999</v>
      </c>
      <c r="AC7820" s="2"/>
    </row>
    <row r="7821" spans="1:29" ht="91" x14ac:dyDescent="0.15">
      <c r="A7821" s="3">
        <f>DATE(2005,10,26)</f>
        <v>38651</v>
      </c>
      <c r="B7821" s="3">
        <f>DATE(2006,5,25)</f>
        <v>38862</v>
      </c>
      <c r="C7821" s="2" t="s">
        <v>95</v>
      </c>
      <c r="D7821" s="2" t="s">
        <v>23465</v>
      </c>
      <c r="E7821" s="2" t="s">
        <v>1181</v>
      </c>
      <c r="F7821" s="4">
        <v>6021</v>
      </c>
      <c r="G7821" s="2" t="s">
        <v>37</v>
      </c>
      <c r="H7821" s="2" t="s">
        <v>34</v>
      </c>
      <c r="I7821" s="2" t="s">
        <v>20454</v>
      </c>
      <c r="J7821" s="2" t="s">
        <v>36</v>
      </c>
      <c r="K7821" s="2" t="s">
        <v>37</v>
      </c>
      <c r="L7821" s="2" t="s">
        <v>34</v>
      </c>
      <c r="M7821" s="7">
        <v>239.786</v>
      </c>
      <c r="N7821" s="5">
        <v>18.600000000000001</v>
      </c>
      <c r="O7821" s="6">
        <v>17.86</v>
      </c>
      <c r="P7821" s="2" t="s">
        <v>23466</v>
      </c>
      <c r="Q7821" s="6">
        <v>100</v>
      </c>
      <c r="R7821" s="6">
        <v>19.350000000000001</v>
      </c>
      <c r="S7821" s="2"/>
      <c r="T7821" s="2"/>
      <c r="U7821" s="2"/>
      <c r="V7821" s="2"/>
      <c r="W7821" s="5">
        <v>12.5</v>
      </c>
      <c r="X7821" s="5">
        <v>12.5</v>
      </c>
      <c r="Y7821" s="5">
        <v>12.5</v>
      </c>
      <c r="Z7821" s="5">
        <v>18.600000000000001</v>
      </c>
      <c r="AA7821" s="6">
        <v>1.85</v>
      </c>
      <c r="AB7821" s="2" t="s">
        <v>47</v>
      </c>
      <c r="AC7821" s="2"/>
    </row>
    <row r="7822" spans="1:29" ht="156" x14ac:dyDescent="0.15">
      <c r="A7822" s="3">
        <f>DATE(2005,10,26)</f>
        <v>38651</v>
      </c>
      <c r="B7822" s="2"/>
      <c r="C7822" s="2" t="s">
        <v>30</v>
      </c>
      <c r="D7822" s="2" t="s">
        <v>23390</v>
      </c>
      <c r="E7822" s="2" t="s">
        <v>23391</v>
      </c>
      <c r="F7822" s="4">
        <v>5944</v>
      </c>
      <c r="G7822" s="2" t="s">
        <v>73</v>
      </c>
      <c r="H7822" s="2" t="s">
        <v>34</v>
      </c>
      <c r="I7822" s="2" t="s">
        <v>23467</v>
      </c>
      <c r="J7822" s="2" t="s">
        <v>1620</v>
      </c>
      <c r="K7822" s="2" t="s">
        <v>53</v>
      </c>
      <c r="L7822" s="2" t="s">
        <v>34</v>
      </c>
      <c r="M7822" s="2"/>
      <c r="N7822" s="2"/>
      <c r="O7822" s="2"/>
      <c r="P7822" s="2" t="s">
        <v>23468</v>
      </c>
      <c r="Q7822" s="2"/>
      <c r="R7822" s="6">
        <v>1.1000000000000001</v>
      </c>
      <c r="S7822" s="5">
        <v>-32</v>
      </c>
      <c r="T7822" s="7">
        <v>0.42899999999999999</v>
      </c>
      <c r="U7822" s="5">
        <v>4.9000000000000004</v>
      </c>
      <c r="V7822" s="6">
        <v>-2.2999999999999998</v>
      </c>
      <c r="W7822" s="6">
        <v>0.95</v>
      </c>
      <c r="X7822" s="6">
        <v>1.69</v>
      </c>
      <c r="Y7822" s="6">
        <v>1.58</v>
      </c>
      <c r="Z7822" s="6">
        <v>1.17</v>
      </c>
      <c r="AA7822" s="6">
        <v>13.96</v>
      </c>
      <c r="AB7822" s="2" t="s">
        <v>86</v>
      </c>
      <c r="AC7822" s="2"/>
    </row>
    <row r="7823" spans="1:29" ht="130" x14ac:dyDescent="0.15">
      <c r="A7823" s="3">
        <f>DATE(2005,10,27)</f>
        <v>38652</v>
      </c>
      <c r="B7823" s="2"/>
      <c r="C7823" s="2" t="s">
        <v>7330</v>
      </c>
      <c r="D7823" s="2" t="s">
        <v>23469</v>
      </c>
      <c r="E7823" s="2" t="s">
        <v>23470</v>
      </c>
      <c r="F7823" s="4">
        <v>2999</v>
      </c>
      <c r="G7823" s="2" t="s">
        <v>148</v>
      </c>
      <c r="H7823" s="2" t="s">
        <v>34</v>
      </c>
      <c r="I7823" s="2" t="s">
        <v>23471</v>
      </c>
      <c r="J7823" s="2" t="s">
        <v>23472</v>
      </c>
      <c r="K7823" s="2" t="s">
        <v>148</v>
      </c>
      <c r="L7823" s="2" t="s">
        <v>34</v>
      </c>
      <c r="M7823" s="7">
        <v>3.8610000000000002</v>
      </c>
      <c r="N7823" s="6">
        <v>0.09</v>
      </c>
      <c r="O7823" s="6">
        <v>0.08</v>
      </c>
      <c r="P7823" s="2" t="s">
        <v>23473</v>
      </c>
      <c r="Q7823" s="2"/>
      <c r="R7823" s="2"/>
      <c r="S7823" s="2"/>
      <c r="T7823" s="2"/>
      <c r="U7823" s="2"/>
      <c r="V7823" s="2"/>
      <c r="W7823" s="5">
        <v>2.2000000000000002</v>
      </c>
      <c r="X7823" s="5">
        <v>1.5</v>
      </c>
      <c r="Y7823" s="6">
        <v>2.25</v>
      </c>
      <c r="Z7823" s="5">
        <v>2.1</v>
      </c>
      <c r="AA7823" s="6">
        <v>31.47</v>
      </c>
      <c r="AB7823" s="2" t="s">
        <v>47</v>
      </c>
      <c r="AC7823" s="2"/>
    </row>
    <row r="7824" spans="1:29" ht="117" x14ac:dyDescent="0.15">
      <c r="A7824" s="3">
        <f>DATE(2005,10,27)</f>
        <v>38652</v>
      </c>
      <c r="B7824" s="3">
        <f>DATE(2006,2,28)</f>
        <v>38776</v>
      </c>
      <c r="C7824" s="2" t="s">
        <v>95</v>
      </c>
      <c r="D7824" s="2" t="s">
        <v>16114</v>
      </c>
      <c r="E7824" s="2" t="s">
        <v>16115</v>
      </c>
      <c r="F7824" s="4">
        <v>4213</v>
      </c>
      <c r="G7824" s="2" t="s">
        <v>173</v>
      </c>
      <c r="H7824" s="2" t="s">
        <v>34</v>
      </c>
      <c r="I7824" s="2" t="s">
        <v>23474</v>
      </c>
      <c r="J7824" s="2" t="s">
        <v>1072</v>
      </c>
      <c r="K7824" s="2" t="s">
        <v>53</v>
      </c>
      <c r="L7824" s="2" t="s">
        <v>34</v>
      </c>
      <c r="M7824" s="2"/>
      <c r="N7824" s="2"/>
      <c r="O7824" s="2"/>
      <c r="P7824" s="2" t="s">
        <v>23475</v>
      </c>
      <c r="Q7824" s="6">
        <v>100</v>
      </c>
      <c r="R7824" s="6">
        <v>10</v>
      </c>
      <c r="S7824" s="5">
        <v>2.2000000000000002</v>
      </c>
      <c r="T7824" s="7">
        <v>28.754999999999999</v>
      </c>
      <c r="U7824" s="5">
        <v>8.8000000000000007</v>
      </c>
      <c r="V7824" s="6">
        <v>0.33</v>
      </c>
      <c r="W7824" s="6">
        <v>8.18</v>
      </c>
      <c r="X7824" s="4">
        <v>8</v>
      </c>
      <c r="Y7824" s="6">
        <v>9.61</v>
      </c>
      <c r="Z7824" s="6">
        <v>9.58</v>
      </c>
      <c r="AA7824" s="6">
        <v>6.56</v>
      </c>
      <c r="AB7824" s="7">
        <v>19.632000000000001</v>
      </c>
      <c r="AC7824" s="2"/>
    </row>
    <row r="7825" spans="1:29" ht="78" x14ac:dyDescent="0.15">
      <c r="A7825" s="3">
        <f>DATE(2005,10,31)</f>
        <v>38656</v>
      </c>
      <c r="B7825" s="3">
        <f>DATE(2005,10,31)</f>
        <v>38656</v>
      </c>
      <c r="C7825" s="2" t="s">
        <v>95</v>
      </c>
      <c r="D7825" s="2" t="s">
        <v>23476</v>
      </c>
      <c r="E7825" s="2" t="s">
        <v>23477</v>
      </c>
      <c r="F7825" s="4">
        <v>7372</v>
      </c>
      <c r="G7825" s="2" t="s">
        <v>551</v>
      </c>
      <c r="H7825" s="2" t="s">
        <v>34</v>
      </c>
      <c r="I7825" s="2" t="s">
        <v>23478</v>
      </c>
      <c r="J7825" s="2" t="s">
        <v>4626</v>
      </c>
      <c r="K7825" s="2" t="s">
        <v>454</v>
      </c>
      <c r="L7825" s="2" t="s">
        <v>34</v>
      </c>
      <c r="M7825" s="2"/>
      <c r="N7825" s="2"/>
      <c r="O7825" s="2"/>
      <c r="P7825" s="2" t="s">
        <v>23479</v>
      </c>
      <c r="Q7825" s="6">
        <v>100</v>
      </c>
      <c r="R7825" s="2"/>
      <c r="S7825" s="5">
        <v>-0.2</v>
      </c>
      <c r="T7825" s="2"/>
      <c r="U7825" s="5">
        <v>0.1</v>
      </c>
      <c r="V7825" s="9">
        <v>-1.23E-2</v>
      </c>
      <c r="W7825" s="6">
        <v>1.35</v>
      </c>
      <c r="X7825" s="6">
        <v>1.35</v>
      </c>
      <c r="Y7825" s="6">
        <v>1.35</v>
      </c>
      <c r="Z7825" s="6">
        <v>1.35</v>
      </c>
      <c r="AA7825" s="2"/>
      <c r="AB7825" s="2" t="s">
        <v>86</v>
      </c>
      <c r="AC7825" s="2"/>
    </row>
    <row r="7826" spans="1:29" ht="130" x14ac:dyDescent="0.15">
      <c r="A7826" s="3">
        <f>DATE(2005,11,1)</f>
        <v>38657</v>
      </c>
      <c r="B7826" s="3">
        <f>DATE(2005,12,27)</f>
        <v>38713</v>
      </c>
      <c r="C7826" s="2" t="s">
        <v>95</v>
      </c>
      <c r="D7826" s="2" t="s">
        <v>23444</v>
      </c>
      <c r="E7826" s="2" t="s">
        <v>839</v>
      </c>
      <c r="F7826" s="4">
        <v>2834</v>
      </c>
      <c r="G7826" s="2" t="s">
        <v>130</v>
      </c>
      <c r="H7826" s="2" t="s">
        <v>34</v>
      </c>
      <c r="I7826" s="2" t="s">
        <v>21655</v>
      </c>
      <c r="J7826" s="2" t="s">
        <v>21656</v>
      </c>
      <c r="K7826" s="2" t="s">
        <v>130</v>
      </c>
      <c r="L7826" s="2" t="s">
        <v>17048</v>
      </c>
      <c r="M7826" s="12">
        <v>2782.0520000000001</v>
      </c>
      <c r="N7826" s="7">
        <v>13.368</v>
      </c>
      <c r="O7826" s="7">
        <v>13.291</v>
      </c>
      <c r="P7826" s="2" t="s">
        <v>23480</v>
      </c>
      <c r="Q7826" s="6">
        <v>100</v>
      </c>
      <c r="R7826" s="2"/>
      <c r="S7826" s="5">
        <v>17.5</v>
      </c>
      <c r="T7826" s="7">
        <v>30.335000000000001</v>
      </c>
      <c r="U7826" s="5">
        <v>5.5</v>
      </c>
      <c r="V7826" s="6">
        <v>0.9</v>
      </c>
      <c r="W7826" s="6">
        <v>1.05</v>
      </c>
      <c r="X7826" s="6">
        <v>1.1499999999999999</v>
      </c>
      <c r="Y7826" s="6">
        <v>1.1299999999999999</v>
      </c>
      <c r="Z7826" s="6">
        <v>0.27</v>
      </c>
      <c r="AA7826" s="6">
        <v>18.52</v>
      </c>
      <c r="AB7826" s="7">
        <v>0.23499999999999999</v>
      </c>
      <c r="AC7826" s="6">
        <v>21.82</v>
      </c>
    </row>
    <row r="7827" spans="1:29" ht="143" x14ac:dyDescent="0.15">
      <c r="A7827" s="3">
        <f>DATE(2005,11,2)</f>
        <v>38658</v>
      </c>
      <c r="B7827" s="3">
        <f>DATE(2006,4,28)</f>
        <v>38835</v>
      </c>
      <c r="C7827" s="2" t="s">
        <v>95</v>
      </c>
      <c r="D7827" s="2" t="s">
        <v>23481</v>
      </c>
      <c r="E7827" s="2" t="s">
        <v>2728</v>
      </c>
      <c r="F7827" s="4">
        <v>3674</v>
      </c>
      <c r="G7827" s="2" t="s">
        <v>137</v>
      </c>
      <c r="H7827" s="2" t="s">
        <v>34</v>
      </c>
      <c r="I7827" s="2" t="s">
        <v>11358</v>
      </c>
      <c r="J7827" s="2" t="s">
        <v>10974</v>
      </c>
      <c r="K7827" s="2" t="s">
        <v>137</v>
      </c>
      <c r="L7827" s="2" t="s">
        <v>34</v>
      </c>
      <c r="M7827" s="12">
        <v>1520.6310000000001</v>
      </c>
      <c r="N7827" s="6">
        <v>23.45</v>
      </c>
      <c r="O7827" s="6">
        <v>23.27</v>
      </c>
      <c r="P7827" s="2" t="s">
        <v>23482</v>
      </c>
      <c r="Q7827" s="6">
        <v>100</v>
      </c>
      <c r="R7827" s="6">
        <v>11.95</v>
      </c>
      <c r="S7827" s="5">
        <v>0.5</v>
      </c>
      <c r="T7827" s="7">
        <v>8.4960000000000004</v>
      </c>
      <c r="U7827" s="5">
        <v>6.7</v>
      </c>
      <c r="V7827" s="6">
        <v>0.03</v>
      </c>
      <c r="W7827" s="6">
        <v>9.31</v>
      </c>
      <c r="X7827" s="5">
        <v>9.5</v>
      </c>
      <c r="Y7827" s="6">
        <v>9.49</v>
      </c>
      <c r="Z7827" s="6">
        <v>11.85</v>
      </c>
      <c r="AA7827" s="6">
        <v>10.78</v>
      </c>
      <c r="AB7827" s="7">
        <v>28.311</v>
      </c>
      <c r="AC7827" s="6">
        <v>98.15</v>
      </c>
    </row>
    <row r="7828" spans="1:29" ht="104" x14ac:dyDescent="0.15">
      <c r="A7828" s="3">
        <f>DATE(2005,11,2)</f>
        <v>38658</v>
      </c>
      <c r="B7828" s="3">
        <f>DATE(2006,1,27)</f>
        <v>38744</v>
      </c>
      <c r="C7828" s="2" t="s">
        <v>95</v>
      </c>
      <c r="D7828" s="2" t="s">
        <v>23483</v>
      </c>
      <c r="E7828" s="2" t="s">
        <v>23484</v>
      </c>
      <c r="F7828" s="4">
        <v>3812</v>
      </c>
      <c r="G7828" s="2" t="s">
        <v>226</v>
      </c>
      <c r="H7828" s="2" t="s">
        <v>34</v>
      </c>
      <c r="I7828" s="2" t="s">
        <v>21880</v>
      </c>
      <c r="J7828" s="2" t="s">
        <v>9379</v>
      </c>
      <c r="K7828" s="2" t="s">
        <v>223</v>
      </c>
      <c r="L7828" s="2" t="s">
        <v>34</v>
      </c>
      <c r="M7828" s="12">
        <v>1181.998</v>
      </c>
      <c r="N7828" s="5">
        <v>34.200000000000003</v>
      </c>
      <c r="O7828" s="6">
        <v>34.71</v>
      </c>
      <c r="P7828" s="2" t="s">
        <v>23485</v>
      </c>
      <c r="Q7828" s="6">
        <v>100</v>
      </c>
      <c r="R7828" s="6">
        <v>17.5</v>
      </c>
      <c r="S7828" s="5">
        <v>1.4</v>
      </c>
      <c r="T7828" s="7">
        <v>2.5230000000000001</v>
      </c>
      <c r="U7828" s="5">
        <v>6.9</v>
      </c>
      <c r="V7828" s="6">
        <v>0.86</v>
      </c>
      <c r="W7828" s="6">
        <v>12.95</v>
      </c>
      <c r="X7828" s="6">
        <v>12.61</v>
      </c>
      <c r="Y7828" s="6">
        <v>16.98</v>
      </c>
      <c r="Z7828" s="6">
        <v>16.96</v>
      </c>
      <c r="AA7828" s="6">
        <v>2.1</v>
      </c>
      <c r="AB7828" s="7">
        <v>16.753</v>
      </c>
      <c r="AC7828" s="5">
        <v>12.8</v>
      </c>
    </row>
    <row r="7829" spans="1:29" ht="91" x14ac:dyDescent="0.15">
      <c r="A7829" s="3">
        <f>DATE(2005,11,3)</f>
        <v>38659</v>
      </c>
      <c r="B7829" s="3">
        <f>DATE(2005,12,29)</f>
        <v>38715</v>
      </c>
      <c r="C7829" s="2" t="s">
        <v>95</v>
      </c>
      <c r="D7829" s="2" t="s">
        <v>23486</v>
      </c>
      <c r="E7829" s="2" t="s">
        <v>23487</v>
      </c>
      <c r="F7829" s="4">
        <v>7372</v>
      </c>
      <c r="G7829" s="2" t="s">
        <v>551</v>
      </c>
      <c r="H7829" s="2" t="s">
        <v>34</v>
      </c>
      <c r="I7829" s="2" t="s">
        <v>21043</v>
      </c>
      <c r="J7829" s="2" t="s">
        <v>21044</v>
      </c>
      <c r="K7829" s="2" t="s">
        <v>551</v>
      </c>
      <c r="L7829" s="2" t="s">
        <v>303</v>
      </c>
      <c r="M7829" s="7">
        <v>618.27200000000005</v>
      </c>
      <c r="N7829" s="5">
        <v>5.6</v>
      </c>
      <c r="O7829" s="5">
        <v>6.9</v>
      </c>
      <c r="P7829" s="2" t="s">
        <v>23488</v>
      </c>
      <c r="Q7829" s="6">
        <v>100</v>
      </c>
      <c r="R7829" s="6">
        <v>13.5</v>
      </c>
      <c r="S7829" s="5">
        <v>5.2</v>
      </c>
      <c r="T7829" s="7">
        <v>16.315999999999999</v>
      </c>
      <c r="U7829" s="5">
        <v>8</v>
      </c>
      <c r="V7829" s="6">
        <v>0.13</v>
      </c>
      <c r="W7829" s="5">
        <v>9.9</v>
      </c>
      <c r="X7829" s="6">
        <v>10.49</v>
      </c>
      <c r="Y7829" s="6">
        <v>10.37</v>
      </c>
      <c r="Z7829" s="6">
        <v>13.14</v>
      </c>
      <c r="AA7829" s="6">
        <v>35.81</v>
      </c>
      <c r="AB7829" s="7">
        <v>67.930000000000007</v>
      </c>
      <c r="AC7829" s="6">
        <v>73.88</v>
      </c>
    </row>
    <row r="7830" spans="1:29" ht="52" x14ac:dyDescent="0.15">
      <c r="A7830" s="3">
        <f>DATE(2005,11,4)</f>
        <v>38660</v>
      </c>
      <c r="B7830" s="3">
        <f>DATE(2006,4,1)</f>
        <v>38808</v>
      </c>
      <c r="C7830" s="2" t="s">
        <v>95</v>
      </c>
      <c r="D7830" s="2" t="s">
        <v>23489</v>
      </c>
      <c r="E7830" s="2" t="s">
        <v>263</v>
      </c>
      <c r="F7830" s="4">
        <v>6011</v>
      </c>
      <c r="G7830" s="2" t="s">
        <v>3583</v>
      </c>
      <c r="H7830" s="2" t="s">
        <v>34</v>
      </c>
      <c r="I7830" s="2" t="s">
        <v>23490</v>
      </c>
      <c r="J7830" s="2" t="s">
        <v>263</v>
      </c>
      <c r="K7830" s="2" t="s">
        <v>3583</v>
      </c>
      <c r="L7830" s="2" t="s">
        <v>34</v>
      </c>
      <c r="M7830" s="2"/>
      <c r="N7830" s="2"/>
      <c r="O7830" s="2"/>
      <c r="P7830" s="2" t="s">
        <v>23491</v>
      </c>
      <c r="Q7830" s="6">
        <v>100</v>
      </c>
      <c r="R7830" s="6">
        <v>6</v>
      </c>
      <c r="S7830" s="5">
        <v>-1.3</v>
      </c>
      <c r="T7830" s="2"/>
      <c r="U7830" s="5">
        <v>3.3</v>
      </c>
      <c r="V7830" s="6">
        <v>-0.28999999999999998</v>
      </c>
      <c r="W7830" s="5">
        <v>5.4</v>
      </c>
      <c r="X7830" s="6">
        <v>4.95</v>
      </c>
      <c r="Y7830" s="6">
        <v>5.41</v>
      </c>
      <c r="Z7830" s="5">
        <v>5.4</v>
      </c>
      <c r="AA7830" s="6">
        <v>4.49</v>
      </c>
      <c r="AB7830" s="2" t="s">
        <v>86</v>
      </c>
      <c r="AC7830" s="2"/>
    </row>
    <row r="7831" spans="1:29" ht="91" x14ac:dyDescent="0.15">
      <c r="A7831" s="3">
        <f>DATE(2005,11,7)</f>
        <v>38663</v>
      </c>
      <c r="B7831" s="3">
        <f>DATE(2006,5,11)</f>
        <v>38848</v>
      </c>
      <c r="C7831" s="2" t="s">
        <v>95</v>
      </c>
      <c r="D7831" s="2" t="s">
        <v>23492</v>
      </c>
      <c r="E7831" s="2" t="s">
        <v>1888</v>
      </c>
      <c r="F7831" s="4">
        <v>4911</v>
      </c>
      <c r="G7831" s="2" t="s">
        <v>439</v>
      </c>
      <c r="H7831" s="2" t="s">
        <v>34</v>
      </c>
      <c r="I7831" s="2" t="s">
        <v>23493</v>
      </c>
      <c r="J7831" s="2" t="s">
        <v>23494</v>
      </c>
      <c r="K7831" s="2" t="s">
        <v>439</v>
      </c>
      <c r="L7831" s="2" t="s">
        <v>34</v>
      </c>
      <c r="M7831" s="2"/>
      <c r="N7831" s="2"/>
      <c r="O7831" s="2"/>
      <c r="P7831" s="2" t="s">
        <v>23495</v>
      </c>
      <c r="Q7831" s="6">
        <v>100</v>
      </c>
      <c r="R7831" s="6">
        <v>21.75</v>
      </c>
      <c r="S7831" s="5">
        <v>-0.4</v>
      </c>
      <c r="T7831" s="7">
        <v>10.856</v>
      </c>
      <c r="U7831" s="5">
        <v>21.5</v>
      </c>
      <c r="V7831" s="6">
        <v>-0.23</v>
      </c>
      <c r="W7831" s="5">
        <v>13.7</v>
      </c>
      <c r="X7831" s="5">
        <v>13.4</v>
      </c>
      <c r="Y7831" s="6">
        <v>20.75</v>
      </c>
      <c r="Z7831" s="6">
        <v>20.75</v>
      </c>
      <c r="AA7831" s="6">
        <v>1.65</v>
      </c>
      <c r="AB7831" s="7">
        <v>43.893999999999998</v>
      </c>
      <c r="AC7831" s="2"/>
    </row>
    <row r="7832" spans="1:29" ht="156" x14ac:dyDescent="0.15">
      <c r="A7832" s="3">
        <f>DATE(2005,11,8)</f>
        <v>38664</v>
      </c>
      <c r="B7832" s="3">
        <f>DATE(2006,5,1)</f>
        <v>38838</v>
      </c>
      <c r="C7832" s="2" t="s">
        <v>95</v>
      </c>
      <c r="D7832" s="2" t="s">
        <v>7619</v>
      </c>
      <c r="E7832" s="2" t="s">
        <v>612</v>
      </c>
      <c r="F7832" s="4">
        <v>1311</v>
      </c>
      <c r="G7832" s="2" t="s">
        <v>148</v>
      </c>
      <c r="H7832" s="2" t="s">
        <v>34</v>
      </c>
      <c r="I7832" s="2" t="s">
        <v>23496</v>
      </c>
      <c r="J7832" s="2" t="s">
        <v>1608</v>
      </c>
      <c r="K7832" s="2" t="s">
        <v>148</v>
      </c>
      <c r="L7832" s="2" t="s">
        <v>34</v>
      </c>
      <c r="M7832" s="7">
        <v>894.05600000000004</v>
      </c>
      <c r="N7832" s="6">
        <v>17.420000000000002</v>
      </c>
      <c r="O7832" s="5">
        <v>16.7</v>
      </c>
      <c r="P7832" s="2" t="s">
        <v>23497</v>
      </c>
      <c r="Q7832" s="6">
        <v>100</v>
      </c>
      <c r="R7832" s="6">
        <v>20.84</v>
      </c>
      <c r="S7832" s="5">
        <v>-1.6</v>
      </c>
      <c r="T7832" s="7">
        <v>-2.9540000000000002</v>
      </c>
      <c r="U7832" s="5">
        <v>18.100000000000001</v>
      </c>
      <c r="V7832" s="6">
        <v>0.26</v>
      </c>
      <c r="W7832" s="6">
        <v>17.440000000000001</v>
      </c>
      <c r="X7832" s="5">
        <v>17.899999999999999</v>
      </c>
      <c r="Y7832" s="6">
        <v>19.77</v>
      </c>
      <c r="Z7832" s="6">
        <v>18.989999999999998</v>
      </c>
      <c r="AA7832" s="6">
        <v>7.22</v>
      </c>
      <c r="AB7832" s="2" t="s">
        <v>86</v>
      </c>
      <c r="AC7832" s="6">
        <v>2.99</v>
      </c>
    </row>
    <row r="7833" spans="1:29" ht="169" x14ac:dyDescent="0.15">
      <c r="A7833" s="3">
        <f>DATE(2005,11,8)</f>
        <v>38664</v>
      </c>
      <c r="B7833" s="3">
        <f>DATE(2006,2,3)</f>
        <v>38751</v>
      </c>
      <c r="C7833" s="2" t="s">
        <v>95</v>
      </c>
      <c r="D7833" s="2" t="s">
        <v>23498</v>
      </c>
      <c r="E7833" s="2" t="s">
        <v>15789</v>
      </c>
      <c r="F7833" s="4">
        <v>5714</v>
      </c>
      <c r="G7833" s="2" t="s">
        <v>1227</v>
      </c>
      <c r="H7833" s="2" t="s">
        <v>34</v>
      </c>
      <c r="I7833" s="2" t="s">
        <v>51</v>
      </c>
      <c r="J7833" s="2" t="s">
        <v>52</v>
      </c>
      <c r="K7833" s="2" t="s">
        <v>53</v>
      </c>
      <c r="L7833" s="2" t="s">
        <v>34</v>
      </c>
      <c r="M7833" s="2"/>
      <c r="N7833" s="2"/>
      <c r="O7833" s="2"/>
      <c r="P7833" s="2" t="s">
        <v>23499</v>
      </c>
      <c r="Q7833" s="6">
        <v>100</v>
      </c>
      <c r="R7833" s="6">
        <v>28</v>
      </c>
      <c r="S7833" s="5">
        <v>51.5</v>
      </c>
      <c r="T7833" s="7">
        <v>172.61500000000001</v>
      </c>
      <c r="U7833" s="5">
        <v>17.600000000000001</v>
      </c>
      <c r="V7833" s="6">
        <v>1.1200000000000001</v>
      </c>
      <c r="W7833" s="6">
        <v>24.37</v>
      </c>
      <c r="X7833" s="6">
        <v>25.94</v>
      </c>
      <c r="Y7833" s="6">
        <v>28.25</v>
      </c>
      <c r="Z7833" s="6">
        <v>28.48</v>
      </c>
      <c r="AA7833" s="6">
        <v>45.38</v>
      </c>
      <c r="AB7833" s="7">
        <v>14.69</v>
      </c>
      <c r="AC7833" s="2"/>
    </row>
    <row r="7834" spans="1:29" ht="91" x14ac:dyDescent="0.15">
      <c r="A7834" s="3">
        <f>DATE(2005,11,9)</f>
        <v>38665</v>
      </c>
      <c r="B7834" s="3">
        <f>DATE(2006,4,1)</f>
        <v>38808</v>
      </c>
      <c r="C7834" s="2" t="s">
        <v>95</v>
      </c>
      <c r="D7834" s="2" t="s">
        <v>15078</v>
      </c>
      <c r="E7834" s="2" t="s">
        <v>672</v>
      </c>
      <c r="F7834" s="4">
        <v>6712</v>
      </c>
      <c r="G7834" s="2" t="s">
        <v>37</v>
      </c>
      <c r="H7834" s="2" t="s">
        <v>34</v>
      </c>
      <c r="I7834" s="2" t="s">
        <v>18753</v>
      </c>
      <c r="J7834" s="2" t="s">
        <v>36</v>
      </c>
      <c r="K7834" s="2" t="s">
        <v>37</v>
      </c>
      <c r="L7834" s="2" t="s">
        <v>34</v>
      </c>
      <c r="M7834" s="12">
        <v>9811.491</v>
      </c>
      <c r="N7834" s="5">
        <v>42.7</v>
      </c>
      <c r="O7834" s="6">
        <v>43.16</v>
      </c>
      <c r="P7834" s="2" t="s">
        <v>23500</v>
      </c>
      <c r="Q7834" s="6">
        <v>100</v>
      </c>
      <c r="R7834" s="6">
        <v>18.5</v>
      </c>
      <c r="S7834" s="5">
        <v>19.600000000000001</v>
      </c>
      <c r="T7834" s="7">
        <v>43.863999999999997</v>
      </c>
      <c r="U7834" s="5">
        <v>6.7</v>
      </c>
      <c r="V7834" s="6">
        <v>0.5</v>
      </c>
      <c r="W7834" s="6">
        <v>14.94</v>
      </c>
      <c r="X7834" s="6">
        <v>14.91</v>
      </c>
      <c r="Y7834" s="4">
        <v>15</v>
      </c>
      <c r="Z7834" s="6">
        <v>17.77</v>
      </c>
      <c r="AA7834" s="6">
        <v>38.21</v>
      </c>
      <c r="AB7834" s="7">
        <v>44.033999999999999</v>
      </c>
      <c r="AC7834" s="2"/>
    </row>
    <row r="7835" spans="1:29" ht="91" x14ac:dyDescent="0.15">
      <c r="A7835" s="3">
        <f>DATE(2005,11,9)</f>
        <v>38665</v>
      </c>
      <c r="B7835" s="3">
        <f>DATE(2006,1,25)</f>
        <v>38742</v>
      </c>
      <c r="C7835" s="2" t="s">
        <v>95</v>
      </c>
      <c r="D7835" s="2" t="s">
        <v>23501</v>
      </c>
      <c r="E7835" s="2" t="s">
        <v>268</v>
      </c>
      <c r="F7835" s="4">
        <v>7011</v>
      </c>
      <c r="G7835" s="2" t="s">
        <v>269</v>
      </c>
      <c r="H7835" s="2" t="s">
        <v>34</v>
      </c>
      <c r="I7835" s="2" t="s">
        <v>21776</v>
      </c>
      <c r="J7835" s="2" t="s">
        <v>21777</v>
      </c>
      <c r="K7835" s="2" t="s">
        <v>53</v>
      </c>
      <c r="L7835" s="2" t="s">
        <v>34</v>
      </c>
      <c r="M7835" s="2"/>
      <c r="N7835" s="2"/>
      <c r="O7835" s="2"/>
      <c r="P7835" s="2" t="s">
        <v>23502</v>
      </c>
      <c r="Q7835" s="6">
        <v>100</v>
      </c>
      <c r="R7835" s="6">
        <v>11.25</v>
      </c>
      <c r="S7835" s="5">
        <v>0.8</v>
      </c>
      <c r="T7835" s="7">
        <v>238.30799999999999</v>
      </c>
      <c r="U7835" s="5">
        <v>7.8</v>
      </c>
      <c r="V7835" s="6">
        <v>-0.01</v>
      </c>
      <c r="W7835" s="6">
        <v>8.4499999999999993</v>
      </c>
      <c r="X7835" s="6">
        <v>8.2200000000000006</v>
      </c>
      <c r="Y7835" s="6">
        <v>10.89</v>
      </c>
      <c r="Z7835" s="6">
        <v>10.91</v>
      </c>
      <c r="AA7835" s="6">
        <v>202.5</v>
      </c>
      <c r="AB7835" s="7">
        <v>29.518999999999998</v>
      </c>
      <c r="AC7835" s="2"/>
    </row>
    <row r="7836" spans="1:29" ht="117" x14ac:dyDescent="0.15">
      <c r="A7836" s="3">
        <f>DATE(2005,11,10)</f>
        <v>38666</v>
      </c>
      <c r="B7836" s="2"/>
      <c r="C7836" s="2" t="s">
        <v>7330</v>
      </c>
      <c r="D7836" s="2" t="s">
        <v>23503</v>
      </c>
      <c r="E7836" s="2" t="s">
        <v>12930</v>
      </c>
      <c r="F7836" s="4">
        <v>4213</v>
      </c>
      <c r="G7836" s="2" t="s">
        <v>173</v>
      </c>
      <c r="H7836" s="2" t="s">
        <v>34</v>
      </c>
      <c r="I7836" s="2" t="s">
        <v>51</v>
      </c>
      <c r="J7836" s="2" t="s">
        <v>52</v>
      </c>
      <c r="K7836" s="2" t="s">
        <v>53</v>
      </c>
      <c r="L7836" s="2" t="s">
        <v>34</v>
      </c>
      <c r="M7836" s="2"/>
      <c r="N7836" s="2"/>
      <c r="O7836" s="2"/>
      <c r="P7836" s="2" t="s">
        <v>23504</v>
      </c>
      <c r="Q7836" s="2"/>
      <c r="R7836" s="6">
        <v>2.25</v>
      </c>
      <c r="S7836" s="5">
        <v>-22.8</v>
      </c>
      <c r="T7836" s="7">
        <v>-6.6059999999999999</v>
      </c>
      <c r="U7836" s="5">
        <v>4.8</v>
      </c>
      <c r="V7836" s="6">
        <v>-1.27</v>
      </c>
      <c r="W7836" s="5">
        <v>2.2000000000000002</v>
      </c>
      <c r="X7836" s="6">
        <v>2.12</v>
      </c>
      <c r="Y7836" s="6">
        <v>2.02</v>
      </c>
      <c r="Z7836" s="6">
        <v>2.15</v>
      </c>
      <c r="AA7836" s="6">
        <v>18.260000000000002</v>
      </c>
      <c r="AB7836" s="2" t="s">
        <v>86</v>
      </c>
      <c r="AC7836" s="2"/>
    </row>
    <row r="7837" spans="1:29" ht="143" x14ac:dyDescent="0.15">
      <c r="A7837" s="3">
        <f>DATE(2005,11,10)</f>
        <v>38666</v>
      </c>
      <c r="B7837" s="3">
        <f>DATE(2006,2,1)</f>
        <v>38749</v>
      </c>
      <c r="C7837" s="2" t="s">
        <v>95</v>
      </c>
      <c r="D7837" s="2" t="s">
        <v>22284</v>
      </c>
      <c r="E7837" s="2" t="s">
        <v>20944</v>
      </c>
      <c r="F7837" s="4">
        <v>5961</v>
      </c>
      <c r="G7837" s="2" t="s">
        <v>73</v>
      </c>
      <c r="H7837" s="2" t="s">
        <v>34</v>
      </c>
      <c r="I7837" s="2" t="s">
        <v>17022</v>
      </c>
      <c r="J7837" s="2" t="s">
        <v>23505</v>
      </c>
      <c r="K7837" s="2" t="s">
        <v>223</v>
      </c>
      <c r="L7837" s="2" t="s">
        <v>34</v>
      </c>
      <c r="M7837" s="7">
        <v>36.871000000000002</v>
      </c>
      <c r="N7837" s="6">
        <v>1.58</v>
      </c>
      <c r="O7837" s="6">
        <v>1.44</v>
      </c>
      <c r="P7837" s="2" t="s">
        <v>23506</v>
      </c>
      <c r="Q7837" s="6">
        <v>100</v>
      </c>
      <c r="R7837" s="6">
        <v>1.67</v>
      </c>
      <c r="S7837" s="5">
        <v>-1.2</v>
      </c>
      <c r="T7837" s="7">
        <v>0.19900000000000001</v>
      </c>
      <c r="U7837" s="5">
        <v>1.2</v>
      </c>
      <c r="V7837" s="6">
        <v>-0.08</v>
      </c>
      <c r="W7837" s="6">
        <v>1.75</v>
      </c>
      <c r="X7837" s="6">
        <v>1.71</v>
      </c>
      <c r="Y7837" s="6">
        <v>1.74</v>
      </c>
      <c r="Z7837" s="6">
        <v>1.39</v>
      </c>
      <c r="AA7837" s="6">
        <v>17.75</v>
      </c>
      <c r="AB7837" s="7">
        <v>100.607</v>
      </c>
      <c r="AC7837" s="6">
        <v>16.09</v>
      </c>
    </row>
    <row r="7838" spans="1:29" ht="91" x14ac:dyDescent="0.15">
      <c r="A7838" s="3">
        <f>DATE(2005,11,10)</f>
        <v>38666</v>
      </c>
      <c r="B7838" s="3">
        <f>DATE(2006,3,10)</f>
        <v>38786</v>
      </c>
      <c r="C7838" s="2" t="s">
        <v>95</v>
      </c>
      <c r="D7838" s="2" t="s">
        <v>23507</v>
      </c>
      <c r="E7838" s="2" t="s">
        <v>849</v>
      </c>
      <c r="F7838" s="4">
        <v>7372</v>
      </c>
      <c r="G7838" s="2" t="s">
        <v>551</v>
      </c>
      <c r="H7838" s="2" t="s">
        <v>34</v>
      </c>
      <c r="I7838" s="2" t="s">
        <v>23508</v>
      </c>
      <c r="J7838" s="2" t="s">
        <v>244</v>
      </c>
      <c r="K7838" s="2" t="s">
        <v>53</v>
      </c>
      <c r="L7838" s="2" t="s">
        <v>34</v>
      </c>
      <c r="M7838" s="2"/>
      <c r="N7838" s="2"/>
      <c r="O7838" s="2"/>
      <c r="P7838" s="2" t="s">
        <v>23509</v>
      </c>
      <c r="Q7838" s="6">
        <v>100</v>
      </c>
      <c r="R7838" s="6">
        <v>24</v>
      </c>
      <c r="S7838" s="5">
        <v>36.4</v>
      </c>
      <c r="T7838" s="2"/>
      <c r="U7838" s="2"/>
      <c r="V7838" s="6">
        <v>0.78</v>
      </c>
      <c r="W7838" s="6">
        <v>22.37</v>
      </c>
      <c r="X7838" s="6">
        <v>23.36</v>
      </c>
      <c r="Y7838" s="6">
        <v>23.65</v>
      </c>
      <c r="Z7838" s="5">
        <v>23.5</v>
      </c>
      <c r="AA7838" s="6">
        <v>41.14</v>
      </c>
      <c r="AB7838" s="7">
        <v>20.321999999999999</v>
      </c>
      <c r="AC7838" s="2"/>
    </row>
    <row r="7839" spans="1:29" ht="156" x14ac:dyDescent="0.15">
      <c r="A7839" s="3">
        <f>DATE(2005,11,11)</f>
        <v>38667</v>
      </c>
      <c r="B7839" s="3">
        <f>DATE(2006,2,24)</f>
        <v>38772</v>
      </c>
      <c r="C7839" s="2" t="s">
        <v>95</v>
      </c>
      <c r="D7839" s="2" t="s">
        <v>23510</v>
      </c>
      <c r="E7839" s="2" t="s">
        <v>11036</v>
      </c>
      <c r="F7839" s="4">
        <v>3845</v>
      </c>
      <c r="G7839" s="2" t="s">
        <v>226</v>
      </c>
      <c r="H7839" s="2" t="s">
        <v>34</v>
      </c>
      <c r="I7839" s="2" t="s">
        <v>23511</v>
      </c>
      <c r="J7839" s="2" t="s">
        <v>23512</v>
      </c>
      <c r="K7839" s="2" t="s">
        <v>226</v>
      </c>
      <c r="L7839" s="2" t="s">
        <v>34</v>
      </c>
      <c r="M7839" s="7">
        <v>257.10500000000002</v>
      </c>
      <c r="N7839" s="6">
        <v>5.15</v>
      </c>
      <c r="O7839" s="6">
        <v>4.87</v>
      </c>
      <c r="P7839" s="2" t="s">
        <v>23513</v>
      </c>
      <c r="Q7839" s="6">
        <v>100</v>
      </c>
      <c r="R7839" s="6">
        <v>7.2</v>
      </c>
      <c r="S7839" s="5">
        <v>3.7</v>
      </c>
      <c r="T7839" s="7">
        <v>8.5950000000000006</v>
      </c>
      <c r="U7839" s="5">
        <v>4.8</v>
      </c>
      <c r="V7839" s="6">
        <v>0.28000000000000003</v>
      </c>
      <c r="W7839" s="6">
        <v>4.42</v>
      </c>
      <c r="X7839" s="6">
        <v>4.8499999999999996</v>
      </c>
      <c r="Y7839" s="6">
        <v>4.88</v>
      </c>
      <c r="Z7839" s="6">
        <v>6.19</v>
      </c>
      <c r="AA7839" s="6">
        <v>12.63</v>
      </c>
      <c r="AB7839" s="7">
        <v>15.954000000000001</v>
      </c>
      <c r="AC7839" s="6">
        <v>0.45</v>
      </c>
    </row>
    <row r="7840" spans="1:29" ht="130" x14ac:dyDescent="0.15">
      <c r="A7840" s="3">
        <f>DATE(2005,11,11)</f>
        <v>38667</v>
      </c>
      <c r="B7840" s="3">
        <f>DATE(2006,3,1)</f>
        <v>38777</v>
      </c>
      <c r="C7840" s="2" t="s">
        <v>95</v>
      </c>
      <c r="D7840" s="2" t="s">
        <v>23514</v>
      </c>
      <c r="E7840" s="2" t="s">
        <v>23515</v>
      </c>
      <c r="F7840" s="4">
        <v>3643</v>
      </c>
      <c r="G7840" s="2" t="s">
        <v>137</v>
      </c>
      <c r="H7840" s="2" t="s">
        <v>34</v>
      </c>
      <c r="I7840" s="2" t="s">
        <v>23516</v>
      </c>
      <c r="J7840" s="2" t="s">
        <v>11337</v>
      </c>
      <c r="K7840" s="2" t="s">
        <v>53</v>
      </c>
      <c r="L7840" s="2" t="s">
        <v>34</v>
      </c>
      <c r="M7840" s="2"/>
      <c r="N7840" s="2"/>
      <c r="O7840" s="2"/>
      <c r="P7840" s="2" t="s">
        <v>23517</v>
      </c>
      <c r="Q7840" s="6">
        <v>100</v>
      </c>
      <c r="R7840" s="6">
        <v>13.92</v>
      </c>
      <c r="S7840" s="5">
        <v>28.3</v>
      </c>
      <c r="T7840" s="7">
        <v>-12.792</v>
      </c>
      <c r="U7840" s="5">
        <v>5.5</v>
      </c>
      <c r="V7840" s="2"/>
      <c r="W7840" s="6">
        <v>10.84</v>
      </c>
      <c r="X7840" s="6">
        <v>10.27</v>
      </c>
      <c r="Y7840" s="6">
        <v>10.57</v>
      </c>
      <c r="Z7840" s="6">
        <v>13.18</v>
      </c>
      <c r="AA7840" s="6">
        <v>27.33</v>
      </c>
      <c r="AB7840" s="2" t="s">
        <v>86</v>
      </c>
      <c r="AC7840" s="2"/>
    </row>
    <row r="7841" spans="1:29" ht="156" x14ac:dyDescent="0.15">
      <c r="A7841" s="3">
        <f>DATE(2005,11,13)</f>
        <v>38669</v>
      </c>
      <c r="B7841" s="3">
        <f>DATE(2005,12,23)</f>
        <v>38709</v>
      </c>
      <c r="C7841" s="2" t="s">
        <v>95</v>
      </c>
      <c r="D7841" s="2" t="s">
        <v>1446</v>
      </c>
      <c r="E7841" s="2" t="s">
        <v>1447</v>
      </c>
      <c r="F7841" s="4">
        <v>2436</v>
      </c>
      <c r="G7841" s="2" t="s">
        <v>250</v>
      </c>
      <c r="H7841" s="2" t="s">
        <v>34</v>
      </c>
      <c r="I7841" s="2" t="s">
        <v>23518</v>
      </c>
      <c r="J7841" s="2" t="s">
        <v>6502</v>
      </c>
      <c r="K7841" s="2" t="s">
        <v>282</v>
      </c>
      <c r="L7841" s="2" t="s">
        <v>34</v>
      </c>
      <c r="M7841" s="2"/>
      <c r="N7841" s="2"/>
      <c r="O7841" s="2"/>
      <c r="P7841" s="2" t="s">
        <v>23519</v>
      </c>
      <c r="Q7841" s="6">
        <v>100</v>
      </c>
      <c r="R7841" s="6">
        <v>48</v>
      </c>
      <c r="S7841" s="5">
        <v>560</v>
      </c>
      <c r="T7841" s="8">
        <v>2579</v>
      </c>
      <c r="U7841" s="5">
        <v>24.7</v>
      </c>
      <c r="V7841" s="6">
        <v>2.1</v>
      </c>
      <c r="W7841" s="5">
        <v>32.700000000000003</v>
      </c>
      <c r="X7841" s="6">
        <v>34.65</v>
      </c>
      <c r="Y7841" s="6">
        <v>47.28</v>
      </c>
      <c r="Z7841" s="6">
        <v>47.28</v>
      </c>
      <c r="AA7841" s="6">
        <v>260.31</v>
      </c>
      <c r="AB7841" s="7">
        <v>12.335000000000001</v>
      </c>
      <c r="AC7841" s="2"/>
    </row>
    <row r="7842" spans="1:29" ht="65" x14ac:dyDescent="0.15">
      <c r="A7842" s="3">
        <f>DATE(2005,11,14)</f>
        <v>38670</v>
      </c>
      <c r="B7842" s="2"/>
      <c r="C7842" s="2" t="s">
        <v>189</v>
      </c>
      <c r="D7842" s="2" t="s">
        <v>7836</v>
      </c>
      <c r="E7842" s="2" t="s">
        <v>7837</v>
      </c>
      <c r="F7842" s="4">
        <v>7373</v>
      </c>
      <c r="G7842" s="2" t="s">
        <v>223</v>
      </c>
      <c r="H7842" s="2" t="s">
        <v>34</v>
      </c>
      <c r="I7842" s="2" t="s">
        <v>143</v>
      </c>
      <c r="J7842" s="2" t="s">
        <v>144</v>
      </c>
      <c r="K7842" s="2" t="s">
        <v>53</v>
      </c>
      <c r="L7842" s="2" t="s">
        <v>139</v>
      </c>
      <c r="M7842" s="2"/>
      <c r="N7842" s="6">
        <v>59.79</v>
      </c>
      <c r="O7842" s="4">
        <v>60</v>
      </c>
      <c r="P7842" s="2" t="s">
        <v>23520</v>
      </c>
      <c r="Q7842" s="2"/>
      <c r="R7842" s="2"/>
      <c r="S7842" s="5">
        <v>463.7</v>
      </c>
      <c r="T7842" s="8">
        <v>2023.1</v>
      </c>
      <c r="U7842" s="5">
        <v>34</v>
      </c>
      <c r="V7842" s="6">
        <v>2.44</v>
      </c>
      <c r="W7842" s="6">
        <v>53.18</v>
      </c>
      <c r="X7842" s="6">
        <v>52.85</v>
      </c>
      <c r="Y7842" s="4">
        <v>55</v>
      </c>
      <c r="Z7842" s="6">
        <v>54.06</v>
      </c>
      <c r="AA7842" s="6">
        <v>185.01</v>
      </c>
      <c r="AB7842" s="2" t="s">
        <v>47</v>
      </c>
      <c r="AC7842" s="2"/>
    </row>
    <row r="7843" spans="1:29" ht="286" x14ac:dyDescent="0.15">
      <c r="A7843" s="3">
        <f>DATE(2005,11,14)</f>
        <v>38670</v>
      </c>
      <c r="B7843" s="3">
        <f>DATE(2006,3,24)</f>
        <v>38800</v>
      </c>
      <c r="C7843" s="2" t="s">
        <v>95</v>
      </c>
      <c r="D7843" s="2" t="s">
        <v>15017</v>
      </c>
      <c r="E7843" s="2" t="s">
        <v>15018</v>
      </c>
      <c r="F7843" s="4">
        <v>3842</v>
      </c>
      <c r="G7843" s="2" t="s">
        <v>226</v>
      </c>
      <c r="H7843" s="2" t="s">
        <v>34</v>
      </c>
      <c r="I7843" s="2" t="s">
        <v>7904</v>
      </c>
      <c r="J7843" s="2" t="s">
        <v>7905</v>
      </c>
      <c r="K7843" s="2" t="s">
        <v>130</v>
      </c>
      <c r="L7843" s="2" t="s">
        <v>34</v>
      </c>
      <c r="M7843" s="10">
        <v>11576.24</v>
      </c>
      <c r="N7843" s="6">
        <v>98.85</v>
      </c>
      <c r="O7843" s="6">
        <v>96.25</v>
      </c>
      <c r="P7843" s="2" t="s">
        <v>23521</v>
      </c>
      <c r="Q7843" s="6">
        <v>100</v>
      </c>
      <c r="R7843" s="6">
        <v>84.02</v>
      </c>
      <c r="S7843" s="5">
        <v>68.099999999999994</v>
      </c>
      <c r="T7843" s="5">
        <v>113.4</v>
      </c>
      <c r="U7843" s="5">
        <v>13.7</v>
      </c>
      <c r="V7843" s="6">
        <v>1.86</v>
      </c>
      <c r="W7843" s="6">
        <v>70.069999999999993</v>
      </c>
      <c r="X7843" s="6">
        <v>66.239999999999995</v>
      </c>
      <c r="Y7843" s="6">
        <v>68.209999999999994</v>
      </c>
      <c r="Z7843" s="6">
        <v>68.39</v>
      </c>
      <c r="AA7843" s="6">
        <v>37.869999999999997</v>
      </c>
      <c r="AB7843" s="7">
        <v>30.195</v>
      </c>
      <c r="AC7843" s="8">
        <v>1110.5999999999999</v>
      </c>
    </row>
    <row r="7844" spans="1:29" ht="91" x14ac:dyDescent="0.15">
      <c r="A7844" s="3">
        <f>DATE(2005,11,14)</f>
        <v>38670</v>
      </c>
      <c r="B7844" s="2"/>
      <c r="C7844" s="2" t="s">
        <v>7330</v>
      </c>
      <c r="D7844" s="2" t="s">
        <v>3558</v>
      </c>
      <c r="E7844" s="2" t="s">
        <v>3892</v>
      </c>
      <c r="F7844" s="4">
        <v>4833</v>
      </c>
      <c r="G7844" s="2" t="s">
        <v>45</v>
      </c>
      <c r="H7844" s="2" t="s">
        <v>34</v>
      </c>
      <c r="I7844" s="2" t="s">
        <v>278</v>
      </c>
      <c r="J7844" s="2" t="s">
        <v>52</v>
      </c>
      <c r="K7844" s="2" t="s">
        <v>53</v>
      </c>
      <c r="L7844" s="2" t="s">
        <v>34</v>
      </c>
      <c r="M7844" s="2"/>
      <c r="N7844" s="2"/>
      <c r="O7844" s="2"/>
      <c r="P7844" s="2" t="s">
        <v>23522</v>
      </c>
      <c r="Q7844" s="2"/>
      <c r="R7844" s="2"/>
      <c r="S7844" s="2"/>
      <c r="T7844" s="2"/>
      <c r="U7844" s="2"/>
      <c r="V7844" s="2"/>
      <c r="W7844" s="6">
        <v>7.97</v>
      </c>
      <c r="X7844" s="6">
        <v>7.98</v>
      </c>
      <c r="Y7844" s="6">
        <v>7.97</v>
      </c>
      <c r="Z7844" s="6">
        <v>7.88</v>
      </c>
      <c r="AA7844" s="2"/>
      <c r="AB7844" s="2" t="s">
        <v>47</v>
      </c>
      <c r="AC7844" s="2"/>
    </row>
    <row r="7845" spans="1:29" ht="78" x14ac:dyDescent="0.15">
      <c r="A7845" s="3">
        <f>DATE(2005,11,15)</f>
        <v>38671</v>
      </c>
      <c r="B7845" s="3">
        <f>DATE(2006,1,11)</f>
        <v>38728</v>
      </c>
      <c r="C7845" s="2" t="s">
        <v>95</v>
      </c>
      <c r="D7845" s="2" t="s">
        <v>23523</v>
      </c>
      <c r="E7845" s="2" t="s">
        <v>11997</v>
      </c>
      <c r="F7845" s="4">
        <v>8351</v>
      </c>
      <c r="G7845" s="2" t="s">
        <v>690</v>
      </c>
      <c r="H7845" s="2" t="s">
        <v>34</v>
      </c>
      <c r="I7845" s="2" t="s">
        <v>23524</v>
      </c>
      <c r="J7845" s="2" t="s">
        <v>23525</v>
      </c>
      <c r="K7845" s="2" t="s">
        <v>690</v>
      </c>
      <c r="L7845" s="2" t="s">
        <v>885</v>
      </c>
      <c r="M7845" s="10">
        <v>1262.1099999999999</v>
      </c>
      <c r="N7845" s="7">
        <v>4.907</v>
      </c>
      <c r="O7845" s="7">
        <v>5.2110000000000003</v>
      </c>
      <c r="P7845" s="2" t="s">
        <v>23526</v>
      </c>
      <c r="Q7845" s="6">
        <v>100</v>
      </c>
      <c r="R7845" s="6">
        <v>7.5</v>
      </c>
      <c r="S7845" s="5">
        <v>3.8</v>
      </c>
      <c r="T7845" s="7">
        <v>9.9849999999999994</v>
      </c>
      <c r="U7845" s="5">
        <v>2.1</v>
      </c>
      <c r="V7845" s="6">
        <v>0.17</v>
      </c>
      <c r="W7845" s="6">
        <v>5.91</v>
      </c>
      <c r="X7845" s="5">
        <v>5.5</v>
      </c>
      <c r="Y7845" s="6">
        <v>5.45</v>
      </c>
      <c r="Z7845" s="6">
        <v>7.36</v>
      </c>
      <c r="AA7845" s="6">
        <v>19.940000000000001</v>
      </c>
      <c r="AB7845" s="7">
        <v>29.844999999999999</v>
      </c>
      <c r="AC7845" s="6">
        <v>37.53</v>
      </c>
    </row>
    <row r="7846" spans="1:29" ht="78" x14ac:dyDescent="0.15">
      <c r="A7846" s="3">
        <f>DATE(2005,11,16)</f>
        <v>38672</v>
      </c>
      <c r="B7846" s="3">
        <f>DATE(2006,2,10)</f>
        <v>38758</v>
      </c>
      <c r="C7846" s="2" t="s">
        <v>95</v>
      </c>
      <c r="D7846" s="2" t="s">
        <v>23527</v>
      </c>
      <c r="E7846" s="2" t="s">
        <v>23528</v>
      </c>
      <c r="F7846" s="4">
        <v>7372</v>
      </c>
      <c r="G7846" s="2" t="s">
        <v>551</v>
      </c>
      <c r="H7846" s="2" t="s">
        <v>34</v>
      </c>
      <c r="I7846" s="2" t="s">
        <v>18140</v>
      </c>
      <c r="J7846" s="2" t="s">
        <v>18141</v>
      </c>
      <c r="K7846" s="2" t="s">
        <v>921</v>
      </c>
      <c r="L7846" s="2" t="s">
        <v>11620</v>
      </c>
      <c r="M7846" s="12">
        <v>75028.798999999999</v>
      </c>
      <c r="N7846" s="7">
        <v>16.856999999999999</v>
      </c>
      <c r="O7846" s="7">
        <v>17.164999999999999</v>
      </c>
      <c r="P7846" s="2" t="s">
        <v>23529</v>
      </c>
      <c r="Q7846" s="6">
        <v>100</v>
      </c>
      <c r="R7846" s="6">
        <v>5.25</v>
      </c>
      <c r="S7846" s="5">
        <v>-17.899999999999999</v>
      </c>
      <c r="T7846" s="7">
        <v>-3.8719999999999999</v>
      </c>
      <c r="U7846" s="5">
        <v>1.2</v>
      </c>
      <c r="V7846" s="6">
        <v>-0.27</v>
      </c>
      <c r="W7846" s="6">
        <v>5.19</v>
      </c>
      <c r="X7846" s="6">
        <v>5.54</v>
      </c>
      <c r="Y7846" s="6">
        <v>5.08</v>
      </c>
      <c r="Z7846" s="5">
        <v>5.0999999999999996</v>
      </c>
      <c r="AA7846" s="6">
        <v>67.260000000000005</v>
      </c>
      <c r="AB7846" s="2" t="s">
        <v>86</v>
      </c>
      <c r="AC7846" s="10">
        <v>13227.15</v>
      </c>
    </row>
    <row r="7847" spans="1:29" ht="169" x14ac:dyDescent="0.15">
      <c r="A7847" s="3">
        <f>DATE(2005,11,16)</f>
        <v>38672</v>
      </c>
      <c r="B7847" s="3">
        <f>DATE(2006,4,1)</f>
        <v>38808</v>
      </c>
      <c r="C7847" s="2" t="s">
        <v>95</v>
      </c>
      <c r="D7847" s="2" t="s">
        <v>23530</v>
      </c>
      <c r="E7847" s="2" t="s">
        <v>1181</v>
      </c>
      <c r="F7847" s="4">
        <v>6021</v>
      </c>
      <c r="G7847" s="2" t="s">
        <v>37</v>
      </c>
      <c r="H7847" s="2" t="s">
        <v>34</v>
      </c>
      <c r="I7847" s="2" t="s">
        <v>23531</v>
      </c>
      <c r="J7847" s="2" t="s">
        <v>36</v>
      </c>
      <c r="K7847" s="2" t="s">
        <v>37</v>
      </c>
      <c r="L7847" s="2" t="s">
        <v>34</v>
      </c>
      <c r="M7847" s="7">
        <v>802.06899999999996</v>
      </c>
      <c r="N7847" s="4">
        <v>31</v>
      </c>
      <c r="O7847" s="6">
        <v>29.68</v>
      </c>
      <c r="P7847" s="2" t="s">
        <v>23532</v>
      </c>
      <c r="Q7847" s="6">
        <v>100</v>
      </c>
      <c r="R7847" s="6">
        <v>18.62</v>
      </c>
      <c r="S7847" s="5">
        <v>3.8</v>
      </c>
      <c r="T7847" s="2"/>
      <c r="U7847" s="5">
        <v>7.1</v>
      </c>
      <c r="V7847" s="6">
        <v>0.27</v>
      </c>
      <c r="W7847" s="6">
        <v>10.98</v>
      </c>
      <c r="X7847" s="6">
        <v>10.62</v>
      </c>
      <c r="Y7847" s="4">
        <v>11</v>
      </c>
      <c r="Z7847" s="5">
        <v>17.399999999999999</v>
      </c>
      <c r="AA7847" s="6">
        <v>12.44</v>
      </c>
      <c r="AB7847" s="7">
        <v>42.817</v>
      </c>
      <c r="AC7847" s="2"/>
    </row>
    <row r="7848" spans="1:29" ht="52" x14ac:dyDescent="0.15">
      <c r="A7848" s="3">
        <f>DATE(2005,11,18)</f>
        <v>38674</v>
      </c>
      <c r="B7848" s="2"/>
      <c r="C7848" s="2" t="s">
        <v>189</v>
      </c>
      <c r="D7848" s="2" t="s">
        <v>23533</v>
      </c>
      <c r="E7848" s="2" t="s">
        <v>23534</v>
      </c>
      <c r="F7848" s="4">
        <v>6311</v>
      </c>
      <c r="G7848" s="2" t="s">
        <v>125</v>
      </c>
      <c r="H7848" s="2" t="s">
        <v>34</v>
      </c>
      <c r="I7848" s="2" t="s">
        <v>143</v>
      </c>
      <c r="J7848" s="2" t="s">
        <v>144</v>
      </c>
      <c r="K7848" s="2" t="s">
        <v>53</v>
      </c>
      <c r="L7848" s="2" t="s">
        <v>139</v>
      </c>
      <c r="M7848" s="2"/>
      <c r="N7848" s="2"/>
      <c r="O7848" s="2"/>
      <c r="P7848" s="2" t="s">
        <v>23535</v>
      </c>
      <c r="Q7848" s="2"/>
      <c r="R7848" s="2"/>
      <c r="S7848" s="8">
        <v>1145</v>
      </c>
      <c r="T7848" s="2"/>
      <c r="U7848" s="5">
        <v>24.2</v>
      </c>
      <c r="V7848" s="6">
        <v>2.33</v>
      </c>
      <c r="W7848" s="5">
        <v>32.200000000000003</v>
      </c>
      <c r="X7848" s="6">
        <v>33.119999999999997</v>
      </c>
      <c r="Y7848" s="6">
        <v>32.92</v>
      </c>
      <c r="Z7848" s="5">
        <v>33.1</v>
      </c>
      <c r="AA7848" s="6">
        <v>343.72</v>
      </c>
      <c r="AB7848" s="2" t="s">
        <v>47</v>
      </c>
      <c r="AC7848" s="2"/>
    </row>
    <row r="7849" spans="1:29" ht="65" x14ac:dyDescent="0.15">
      <c r="A7849" s="3">
        <f>DATE(2005,11,18)</f>
        <v>38674</v>
      </c>
      <c r="B7849" s="2"/>
      <c r="C7849" s="2" t="s">
        <v>30</v>
      </c>
      <c r="D7849" s="2" t="s">
        <v>23536</v>
      </c>
      <c r="E7849" s="2" t="s">
        <v>23537</v>
      </c>
      <c r="F7849" s="4">
        <v>5961</v>
      </c>
      <c r="G7849" s="2" t="s">
        <v>73</v>
      </c>
      <c r="H7849" s="2" t="s">
        <v>34</v>
      </c>
      <c r="I7849" s="2" t="s">
        <v>23538</v>
      </c>
      <c r="J7849" s="2" t="s">
        <v>23290</v>
      </c>
      <c r="K7849" s="2" t="s">
        <v>708</v>
      </c>
      <c r="L7849" s="2" t="s">
        <v>34</v>
      </c>
      <c r="M7849" s="12">
        <v>3985.415</v>
      </c>
      <c r="N7849" s="5">
        <v>36.1</v>
      </c>
      <c r="O7849" s="6">
        <v>35.659999999999997</v>
      </c>
      <c r="P7849" s="2" t="s">
        <v>23539</v>
      </c>
      <c r="Q7849" s="2"/>
      <c r="R7849" s="6">
        <v>18</v>
      </c>
      <c r="S7849" s="5">
        <v>1</v>
      </c>
      <c r="T7849" s="7">
        <v>23.297999999999998</v>
      </c>
      <c r="U7849" s="5">
        <v>8.1</v>
      </c>
      <c r="V7849" s="6">
        <v>0.04</v>
      </c>
      <c r="W7849" s="6">
        <v>13.27</v>
      </c>
      <c r="X7849" s="6">
        <v>12.79</v>
      </c>
      <c r="Y7849" s="6">
        <v>18.510000000000002</v>
      </c>
      <c r="Z7849" s="6">
        <v>18.57</v>
      </c>
      <c r="AA7849" s="6">
        <v>20.32</v>
      </c>
      <c r="AB7849" s="7">
        <v>200.18899999999999</v>
      </c>
      <c r="AC7849" s="6">
        <v>150.41</v>
      </c>
    </row>
    <row r="7850" spans="1:29" ht="91" x14ac:dyDescent="0.15">
      <c r="A7850" s="3">
        <f>DATE(2005,11,18)</f>
        <v>38674</v>
      </c>
      <c r="B7850" s="3">
        <f>DATE(2006,2,27)</f>
        <v>38775</v>
      </c>
      <c r="C7850" s="2" t="s">
        <v>95</v>
      </c>
      <c r="D7850" s="2" t="s">
        <v>23540</v>
      </c>
      <c r="E7850" s="2" t="s">
        <v>23541</v>
      </c>
      <c r="F7850" s="4">
        <v>3663</v>
      </c>
      <c r="G7850" s="2" t="s">
        <v>921</v>
      </c>
      <c r="H7850" s="2" t="s">
        <v>34</v>
      </c>
      <c r="I7850" s="2" t="s">
        <v>7444</v>
      </c>
      <c r="J7850" s="2" t="s">
        <v>7445</v>
      </c>
      <c r="K7850" s="2" t="s">
        <v>50</v>
      </c>
      <c r="L7850" s="2" t="s">
        <v>34</v>
      </c>
      <c r="M7850" s="12">
        <v>106858.183</v>
      </c>
      <c r="N7850" s="6">
        <v>17.02</v>
      </c>
      <c r="O7850" s="6">
        <v>17.059999999999999</v>
      </c>
      <c r="P7850" s="2" t="s">
        <v>23542</v>
      </c>
      <c r="Q7850" s="6">
        <v>100</v>
      </c>
      <c r="R7850" s="6">
        <v>43</v>
      </c>
      <c r="S7850" s="5">
        <v>215.6</v>
      </c>
      <c r="T7850" s="7">
        <v>450.62299999999999</v>
      </c>
      <c r="U7850" s="5">
        <v>13.5</v>
      </c>
      <c r="V7850" s="6">
        <v>1.42</v>
      </c>
      <c r="W7850" s="5">
        <v>38.9</v>
      </c>
      <c r="X7850" s="6">
        <v>41.45</v>
      </c>
      <c r="Y7850" s="6">
        <v>42.15</v>
      </c>
      <c r="Z7850" s="6">
        <v>42.49</v>
      </c>
      <c r="AA7850" s="6">
        <v>153.56</v>
      </c>
      <c r="AB7850" s="7">
        <v>14.635</v>
      </c>
      <c r="AC7850" s="8">
        <v>13490</v>
      </c>
    </row>
    <row r="7851" spans="1:29" ht="182" x14ac:dyDescent="0.15">
      <c r="A7851" s="3">
        <f>DATE(2005,11,20)</f>
        <v>38676</v>
      </c>
      <c r="B7851" s="3">
        <f>DATE(2006,3,14)</f>
        <v>38790</v>
      </c>
      <c r="C7851" s="2" t="s">
        <v>95</v>
      </c>
      <c r="D7851" s="2" t="s">
        <v>6905</v>
      </c>
      <c r="E7851" s="2" t="s">
        <v>6906</v>
      </c>
      <c r="F7851" s="4">
        <v>8051</v>
      </c>
      <c r="G7851" s="2" t="s">
        <v>454</v>
      </c>
      <c r="H7851" s="2" t="s">
        <v>34</v>
      </c>
      <c r="I7851" s="2" t="s">
        <v>23543</v>
      </c>
      <c r="J7851" s="2" t="s">
        <v>22486</v>
      </c>
      <c r="K7851" s="2" t="s">
        <v>53</v>
      </c>
      <c r="L7851" s="2" t="s">
        <v>34</v>
      </c>
      <c r="M7851" s="2"/>
      <c r="N7851" s="2"/>
      <c r="O7851" s="2"/>
      <c r="P7851" s="2" t="s">
        <v>23544</v>
      </c>
      <c r="Q7851" s="6">
        <v>100</v>
      </c>
      <c r="R7851" s="6">
        <v>12.5</v>
      </c>
      <c r="S7851" s="5">
        <v>36.299999999999997</v>
      </c>
      <c r="T7851" s="7">
        <v>200.506</v>
      </c>
      <c r="U7851" s="5">
        <v>2.7</v>
      </c>
      <c r="V7851" s="2"/>
      <c r="W7851" s="5">
        <v>9.1999999999999993</v>
      </c>
      <c r="X7851" s="6">
        <v>9.3800000000000008</v>
      </c>
      <c r="Y7851" s="6">
        <v>11.77</v>
      </c>
      <c r="Z7851" s="6">
        <v>11.95</v>
      </c>
      <c r="AA7851" s="6">
        <v>109.53</v>
      </c>
      <c r="AB7851" s="7">
        <v>14.2</v>
      </c>
      <c r="AC7851" s="2"/>
    </row>
    <row r="7852" spans="1:29" ht="117" x14ac:dyDescent="0.15">
      <c r="A7852" s="3">
        <f>DATE(2005,11,20)</f>
        <v>38676</v>
      </c>
      <c r="B7852" s="2"/>
      <c r="C7852" s="2" t="s">
        <v>30</v>
      </c>
      <c r="D7852" s="2" t="s">
        <v>22789</v>
      </c>
      <c r="E7852" s="2" t="s">
        <v>22790</v>
      </c>
      <c r="F7852" s="4">
        <v>2834</v>
      </c>
      <c r="G7852" s="2" t="s">
        <v>130</v>
      </c>
      <c r="H7852" s="2" t="s">
        <v>34</v>
      </c>
      <c r="I7852" s="2" t="s">
        <v>13892</v>
      </c>
      <c r="J7852" s="2" t="s">
        <v>23545</v>
      </c>
      <c r="K7852" s="2" t="s">
        <v>226</v>
      </c>
      <c r="L7852" s="2" t="s">
        <v>34</v>
      </c>
      <c r="M7852" s="12">
        <v>1964.845</v>
      </c>
      <c r="N7852" s="6">
        <v>51.35</v>
      </c>
      <c r="O7852" s="6">
        <v>51.35</v>
      </c>
      <c r="P7852" s="2" t="s">
        <v>23546</v>
      </c>
      <c r="Q7852" s="2"/>
      <c r="R7852" s="6">
        <v>34.81</v>
      </c>
      <c r="S7852" s="5">
        <v>76.400000000000006</v>
      </c>
      <c r="T7852" s="7">
        <v>189.76900000000001</v>
      </c>
      <c r="U7852" s="5">
        <v>9.3000000000000007</v>
      </c>
      <c r="V7852" s="6">
        <v>1.19</v>
      </c>
      <c r="W7852" s="6">
        <v>29.79</v>
      </c>
      <c r="X7852" s="6">
        <v>27.75</v>
      </c>
      <c r="Y7852" s="6">
        <v>31.57</v>
      </c>
      <c r="Z7852" s="6">
        <v>31.57</v>
      </c>
      <c r="AA7852" s="6">
        <v>54.4</v>
      </c>
      <c r="AB7852" s="7">
        <v>11.188000000000001</v>
      </c>
      <c r="AC7852" s="6">
        <v>180.09</v>
      </c>
    </row>
    <row r="7853" spans="1:29" ht="91" x14ac:dyDescent="0.15">
      <c r="A7853" s="3">
        <f>DATE(2005,11,21)</f>
        <v>38677</v>
      </c>
      <c r="B7853" s="3">
        <f>DATE(2006,2,1)</f>
        <v>38749</v>
      </c>
      <c r="C7853" s="2" t="s">
        <v>95</v>
      </c>
      <c r="D7853" s="2" t="s">
        <v>23547</v>
      </c>
      <c r="E7853" s="2" t="s">
        <v>2814</v>
      </c>
      <c r="F7853" s="4">
        <v>4812</v>
      </c>
      <c r="G7853" s="2" t="s">
        <v>63</v>
      </c>
      <c r="H7853" s="2" t="s">
        <v>34</v>
      </c>
      <c r="I7853" s="2" t="s">
        <v>14230</v>
      </c>
      <c r="J7853" s="2" t="s">
        <v>23280</v>
      </c>
      <c r="K7853" s="2" t="s">
        <v>63</v>
      </c>
      <c r="L7853" s="2" t="s">
        <v>34</v>
      </c>
      <c r="M7853" s="2"/>
      <c r="N7853" s="6">
        <v>25.17</v>
      </c>
      <c r="O7853" s="6">
        <v>25.38</v>
      </c>
      <c r="P7853" s="2" t="s">
        <v>23548</v>
      </c>
      <c r="Q7853" s="6">
        <v>100</v>
      </c>
      <c r="R7853" s="6">
        <v>18.75</v>
      </c>
      <c r="S7853" s="5">
        <v>6.4</v>
      </c>
      <c r="T7853" s="7">
        <v>297.26499999999999</v>
      </c>
      <c r="U7853" s="5">
        <v>3.3</v>
      </c>
      <c r="V7853" s="6">
        <v>-0.02</v>
      </c>
      <c r="W7853" s="6">
        <v>15.72</v>
      </c>
      <c r="X7853" s="6">
        <v>16.260000000000002</v>
      </c>
      <c r="Y7853" s="6">
        <v>18.350000000000001</v>
      </c>
      <c r="Z7853" s="5">
        <v>18.399999999999999</v>
      </c>
      <c r="AA7853" s="6">
        <v>163.41</v>
      </c>
      <c r="AB7853" s="7">
        <v>36.662999999999997</v>
      </c>
      <c r="AC7853" s="8">
        <v>8935</v>
      </c>
    </row>
    <row r="7854" spans="1:29" ht="130" x14ac:dyDescent="0.15">
      <c r="A7854" s="3">
        <f>DATE(2005,11,21)</f>
        <v>38677</v>
      </c>
      <c r="B7854" s="3">
        <f>DATE(2006,5,1)</f>
        <v>38838</v>
      </c>
      <c r="C7854" s="2" t="s">
        <v>95</v>
      </c>
      <c r="D7854" s="2" t="s">
        <v>23549</v>
      </c>
      <c r="E7854" s="2" t="s">
        <v>1181</v>
      </c>
      <c r="F7854" s="4">
        <v>6021</v>
      </c>
      <c r="G7854" s="2" t="s">
        <v>37</v>
      </c>
      <c r="H7854" s="2" t="s">
        <v>34</v>
      </c>
      <c r="I7854" s="2" t="s">
        <v>23550</v>
      </c>
      <c r="J7854" s="2" t="s">
        <v>23551</v>
      </c>
      <c r="K7854" s="2" t="s">
        <v>37</v>
      </c>
      <c r="L7854" s="2" t="s">
        <v>34</v>
      </c>
      <c r="M7854" s="7">
        <v>196.70099999999999</v>
      </c>
      <c r="N7854" s="5">
        <v>35.5</v>
      </c>
      <c r="O7854" s="5">
        <v>35.6</v>
      </c>
      <c r="P7854" s="2" t="s">
        <v>23552</v>
      </c>
      <c r="Q7854" s="6">
        <v>100</v>
      </c>
      <c r="R7854" s="6">
        <v>83.69</v>
      </c>
      <c r="S7854" s="2"/>
      <c r="T7854" s="2"/>
      <c r="U7854" s="2"/>
      <c r="V7854" s="2"/>
      <c r="W7854" s="4">
        <v>60</v>
      </c>
      <c r="X7854" s="4">
        <v>60</v>
      </c>
      <c r="Y7854" s="4">
        <v>60</v>
      </c>
      <c r="Z7854" s="4">
        <v>80</v>
      </c>
      <c r="AA7854" s="6">
        <v>0.4</v>
      </c>
      <c r="AB7854" s="2" t="s">
        <v>47</v>
      </c>
      <c r="AC7854" s="2"/>
    </row>
    <row r="7855" spans="1:29" ht="130" x14ac:dyDescent="0.15">
      <c r="A7855" s="3">
        <f>DATE(2005,11,21)</f>
        <v>38677</v>
      </c>
      <c r="B7855" s="2"/>
      <c r="C7855" s="2" t="s">
        <v>7330</v>
      </c>
      <c r="D7855" s="2" t="s">
        <v>23553</v>
      </c>
      <c r="E7855" s="2" t="s">
        <v>23554</v>
      </c>
      <c r="F7855" s="4">
        <v>3716</v>
      </c>
      <c r="G7855" s="2" t="s">
        <v>105</v>
      </c>
      <c r="H7855" s="2" t="s">
        <v>34</v>
      </c>
      <c r="I7855" s="2" t="s">
        <v>51</v>
      </c>
      <c r="J7855" s="2" t="s">
        <v>52</v>
      </c>
      <c r="K7855" s="2" t="s">
        <v>53</v>
      </c>
      <c r="L7855" s="2" t="s">
        <v>34</v>
      </c>
      <c r="M7855" s="2"/>
      <c r="N7855" s="2"/>
      <c r="O7855" s="2"/>
      <c r="P7855" s="2" t="s">
        <v>23555</v>
      </c>
      <c r="Q7855" s="2"/>
      <c r="R7855" s="6">
        <v>6.25</v>
      </c>
      <c r="S7855" s="5">
        <v>-25.5</v>
      </c>
      <c r="T7855" s="7">
        <v>-10.391</v>
      </c>
      <c r="U7855" s="5">
        <v>6.5</v>
      </c>
      <c r="V7855" s="6">
        <v>-2.48</v>
      </c>
      <c r="W7855" s="6">
        <v>6.09</v>
      </c>
      <c r="X7855" s="6">
        <v>5.55</v>
      </c>
      <c r="Y7855" s="6">
        <v>5.71</v>
      </c>
      <c r="Z7855" s="6">
        <v>6.45</v>
      </c>
      <c r="AA7855" s="6">
        <v>10.34</v>
      </c>
      <c r="AB7855" s="2" t="s">
        <v>86</v>
      </c>
      <c r="AC7855" s="2"/>
    </row>
    <row r="7856" spans="1:29" ht="104" x14ac:dyDescent="0.15">
      <c r="A7856" s="3">
        <f>DATE(2005,11,21)</f>
        <v>38677</v>
      </c>
      <c r="B7856" s="2"/>
      <c r="C7856" s="2" t="s">
        <v>30</v>
      </c>
      <c r="D7856" s="2" t="s">
        <v>23095</v>
      </c>
      <c r="E7856" s="2" t="s">
        <v>23096</v>
      </c>
      <c r="F7856" s="4">
        <v>4931</v>
      </c>
      <c r="G7856" s="2" t="s">
        <v>439</v>
      </c>
      <c r="H7856" s="2" t="s">
        <v>34</v>
      </c>
      <c r="I7856" s="2" t="s">
        <v>23556</v>
      </c>
      <c r="J7856" s="2" t="s">
        <v>7413</v>
      </c>
      <c r="K7856" s="2" t="s">
        <v>439</v>
      </c>
      <c r="L7856" s="2" t="s">
        <v>34</v>
      </c>
      <c r="M7856" s="2"/>
      <c r="N7856" s="2"/>
      <c r="O7856" s="2"/>
      <c r="P7856" s="2" t="s">
        <v>23557</v>
      </c>
      <c r="Q7856" s="2"/>
      <c r="R7856" s="6">
        <v>35</v>
      </c>
      <c r="S7856" s="5">
        <v>593.6</v>
      </c>
      <c r="T7856" s="5">
        <v>214</v>
      </c>
      <c r="U7856" s="5">
        <v>20</v>
      </c>
      <c r="V7856" s="6">
        <v>1.5</v>
      </c>
      <c r="W7856" s="5">
        <v>28.6</v>
      </c>
      <c r="X7856" s="6">
        <v>28.86</v>
      </c>
      <c r="Y7856" s="6">
        <v>31.52</v>
      </c>
      <c r="Z7856" s="6">
        <v>31.87</v>
      </c>
      <c r="AA7856" s="6">
        <v>35.71</v>
      </c>
      <c r="AB7856" s="7">
        <v>14.148999999999999</v>
      </c>
      <c r="AC7856" s="2"/>
    </row>
    <row r="7857" spans="1:29" ht="117" x14ac:dyDescent="0.15">
      <c r="A7857" s="3">
        <f>DATE(2005,11,22)</f>
        <v>38678</v>
      </c>
      <c r="B7857" s="3">
        <f>DATE(2006,4,4)</f>
        <v>38811</v>
      </c>
      <c r="C7857" s="2" t="s">
        <v>95</v>
      </c>
      <c r="D7857" s="2" t="s">
        <v>23558</v>
      </c>
      <c r="E7857" s="2" t="s">
        <v>263</v>
      </c>
      <c r="F7857" s="4">
        <v>6021</v>
      </c>
      <c r="G7857" s="2" t="s">
        <v>37</v>
      </c>
      <c r="H7857" s="2" t="s">
        <v>34</v>
      </c>
      <c r="I7857" s="2" t="s">
        <v>23559</v>
      </c>
      <c r="J7857" s="2" t="s">
        <v>36</v>
      </c>
      <c r="K7857" s="2" t="s">
        <v>37</v>
      </c>
      <c r="L7857" s="2" t="s">
        <v>34</v>
      </c>
      <c r="M7857" s="7">
        <v>380.41500000000002</v>
      </c>
      <c r="N7857" s="6">
        <v>24.25</v>
      </c>
      <c r="O7857" s="6">
        <v>24.93</v>
      </c>
      <c r="P7857" s="2" t="s">
        <v>23560</v>
      </c>
      <c r="Q7857" s="6">
        <v>100</v>
      </c>
      <c r="R7857" s="2"/>
      <c r="S7857" s="2"/>
      <c r="T7857" s="2"/>
      <c r="U7857" s="2"/>
      <c r="V7857" s="2"/>
      <c r="W7857" s="4">
        <v>48</v>
      </c>
      <c r="X7857" s="4">
        <v>48</v>
      </c>
      <c r="Y7857" s="4">
        <v>48</v>
      </c>
      <c r="Z7857" s="4">
        <v>48</v>
      </c>
      <c r="AA7857" s="6">
        <v>0.6</v>
      </c>
      <c r="AB7857" s="2" t="s">
        <v>47</v>
      </c>
      <c r="AC7857" s="2"/>
    </row>
    <row r="7858" spans="1:29" ht="78" x14ac:dyDescent="0.15">
      <c r="A7858" s="3">
        <f>DATE(2005,11,30)</f>
        <v>38686</v>
      </c>
      <c r="B7858" s="2"/>
      <c r="C7858" s="2" t="s">
        <v>30</v>
      </c>
      <c r="D7858" s="2" t="s">
        <v>23561</v>
      </c>
      <c r="E7858" s="2" t="s">
        <v>23562</v>
      </c>
      <c r="F7858" s="4">
        <v>4412</v>
      </c>
      <c r="G7858" s="2" t="s">
        <v>173</v>
      </c>
      <c r="H7858" s="2" t="s">
        <v>34</v>
      </c>
      <c r="I7858" s="2" t="s">
        <v>23563</v>
      </c>
      <c r="J7858" s="2" t="s">
        <v>23564</v>
      </c>
      <c r="K7858" s="2" t="s">
        <v>173</v>
      </c>
      <c r="L7858" s="2" t="s">
        <v>2823</v>
      </c>
      <c r="M7858" s="2"/>
      <c r="N7858" s="2"/>
      <c r="O7858" s="2"/>
      <c r="P7858" s="2" t="s">
        <v>23565</v>
      </c>
      <c r="Q7858" s="2"/>
      <c r="R7858" s="6">
        <v>39</v>
      </c>
      <c r="S7858" s="5">
        <v>248.3</v>
      </c>
      <c r="T7858" s="7">
        <v>383.495</v>
      </c>
      <c r="U7858" s="5">
        <v>15.6</v>
      </c>
      <c r="V7858" s="6">
        <v>4.3600000000000003</v>
      </c>
      <c r="W7858" s="6">
        <v>36.99</v>
      </c>
      <c r="X7858" s="6">
        <v>36.83</v>
      </c>
      <c r="Y7858" s="6">
        <v>38.64</v>
      </c>
      <c r="Z7858" s="6">
        <v>41.22</v>
      </c>
      <c r="AA7858" s="6">
        <v>38.68</v>
      </c>
      <c r="AB7858" s="7">
        <v>9.3369999999999997</v>
      </c>
      <c r="AC7858" s="6">
        <v>794.25</v>
      </c>
    </row>
    <row r="7859" spans="1:29" ht="195" x14ac:dyDescent="0.15">
      <c r="A7859" s="3">
        <f>DATE(2005,12,1)</f>
        <v>38687</v>
      </c>
      <c r="B7859" s="3">
        <f>DATE(2006,3,31)</f>
        <v>38807</v>
      </c>
      <c r="C7859" s="2" t="s">
        <v>95</v>
      </c>
      <c r="D7859" s="2" t="s">
        <v>21585</v>
      </c>
      <c r="E7859" s="2" t="s">
        <v>92</v>
      </c>
      <c r="F7859" s="4">
        <v>6798</v>
      </c>
      <c r="G7859" s="2" t="s">
        <v>53</v>
      </c>
      <c r="H7859" s="2" t="s">
        <v>34</v>
      </c>
      <c r="I7859" s="2" t="s">
        <v>11308</v>
      </c>
      <c r="J7859" s="2" t="s">
        <v>92</v>
      </c>
      <c r="K7859" s="2" t="s">
        <v>53</v>
      </c>
      <c r="L7859" s="2" t="s">
        <v>34</v>
      </c>
      <c r="M7859" s="12">
        <v>6641.2290000000003</v>
      </c>
      <c r="N7859" s="6">
        <v>31.61</v>
      </c>
      <c r="O7859" s="6">
        <v>31.85</v>
      </c>
      <c r="P7859" s="2" t="s">
        <v>23566</v>
      </c>
      <c r="Q7859" s="6">
        <v>100</v>
      </c>
      <c r="R7859" s="6">
        <v>17.86</v>
      </c>
      <c r="S7859" s="2"/>
      <c r="T7859" s="2"/>
      <c r="U7859" s="2"/>
      <c r="V7859" s="2"/>
      <c r="W7859" s="6">
        <v>16.25</v>
      </c>
      <c r="X7859" s="6">
        <v>15.75</v>
      </c>
      <c r="Y7859" s="6">
        <v>18.28</v>
      </c>
      <c r="Z7859" s="6">
        <v>16.95</v>
      </c>
      <c r="AA7859" s="6">
        <v>3.56</v>
      </c>
      <c r="AB7859" s="2" t="s">
        <v>47</v>
      </c>
      <c r="AC7859" s="6">
        <v>274.94</v>
      </c>
    </row>
    <row r="7860" spans="1:29" ht="156" x14ac:dyDescent="0.15">
      <c r="A7860" s="3">
        <f>DATE(2005,12,1)</f>
        <v>38687</v>
      </c>
      <c r="B7860" s="3">
        <f>DATE(2006,7,26)</f>
        <v>38924</v>
      </c>
      <c r="C7860" s="2" t="s">
        <v>95</v>
      </c>
      <c r="D7860" s="2" t="s">
        <v>23567</v>
      </c>
      <c r="E7860" s="2" t="s">
        <v>7684</v>
      </c>
      <c r="F7860" s="4">
        <v>5411</v>
      </c>
      <c r="G7860" s="2" t="s">
        <v>1461</v>
      </c>
      <c r="H7860" s="2" t="s">
        <v>34</v>
      </c>
      <c r="I7860" s="2" t="s">
        <v>23568</v>
      </c>
      <c r="J7860" s="2" t="s">
        <v>12755</v>
      </c>
      <c r="K7860" s="2" t="s">
        <v>53</v>
      </c>
      <c r="L7860" s="2" t="s">
        <v>34</v>
      </c>
      <c r="M7860" s="2"/>
      <c r="N7860" s="2"/>
      <c r="O7860" s="2"/>
      <c r="P7860" s="2" t="s">
        <v>23569</v>
      </c>
      <c r="Q7860" s="6">
        <v>49</v>
      </c>
      <c r="R7860" s="6">
        <v>53</v>
      </c>
      <c r="S7860" s="5">
        <v>1.3</v>
      </c>
      <c r="T7860" s="7">
        <v>42.533000000000001</v>
      </c>
      <c r="U7860" s="5">
        <v>17.5</v>
      </c>
      <c r="V7860" s="6">
        <v>1.3</v>
      </c>
      <c r="W7860" s="6">
        <v>38.549999999999997</v>
      </c>
      <c r="X7860" s="5">
        <v>37.5</v>
      </c>
      <c r="Y7860" s="4">
        <v>37</v>
      </c>
      <c r="Z7860" s="6">
        <v>49.02</v>
      </c>
      <c r="AA7860" s="6">
        <v>0.99</v>
      </c>
      <c r="AB7860" s="7">
        <v>15.329000000000001</v>
      </c>
      <c r="AC7860" s="2"/>
    </row>
    <row r="7861" spans="1:29" ht="117" x14ac:dyDescent="0.15">
      <c r="A7861" s="3">
        <f>DATE(2005,12,1)</f>
        <v>38687</v>
      </c>
      <c r="B7861" s="3">
        <f>DATE(2006,1,20)</f>
        <v>38737</v>
      </c>
      <c r="C7861" s="2" t="s">
        <v>95</v>
      </c>
      <c r="D7861" s="2" t="s">
        <v>23570</v>
      </c>
      <c r="E7861" s="2" t="s">
        <v>23571</v>
      </c>
      <c r="F7861" s="4">
        <v>7373</v>
      </c>
      <c r="G7861" s="2" t="s">
        <v>223</v>
      </c>
      <c r="H7861" s="2" t="s">
        <v>34</v>
      </c>
      <c r="I7861" s="2" t="s">
        <v>23572</v>
      </c>
      <c r="J7861" s="2" t="s">
        <v>23573</v>
      </c>
      <c r="K7861" s="2" t="s">
        <v>137</v>
      </c>
      <c r="L7861" s="2" t="s">
        <v>34</v>
      </c>
      <c r="M7861" s="2"/>
      <c r="N7861" s="2"/>
      <c r="O7861" s="2"/>
      <c r="P7861" s="2" t="s">
        <v>23574</v>
      </c>
      <c r="Q7861" s="6">
        <v>100</v>
      </c>
      <c r="R7861" s="6">
        <v>1.83</v>
      </c>
      <c r="S7861" s="5">
        <v>-2.5</v>
      </c>
      <c r="T7861" s="7">
        <v>-0.14199999999999999</v>
      </c>
      <c r="U7861" s="5">
        <v>0.1</v>
      </c>
      <c r="V7861" s="6">
        <v>-7.0000000000000007E-2</v>
      </c>
      <c r="W7861" s="6">
        <v>1.44</v>
      </c>
      <c r="X7861" s="6">
        <v>1.41</v>
      </c>
      <c r="Y7861" s="6">
        <v>1.46</v>
      </c>
      <c r="Z7861" s="6">
        <v>1.75</v>
      </c>
      <c r="AA7861" s="6">
        <v>34.67</v>
      </c>
      <c r="AB7861" s="2" t="s">
        <v>86</v>
      </c>
      <c r="AC7861" s="2"/>
    </row>
    <row r="7862" spans="1:29" ht="91" x14ac:dyDescent="0.15">
      <c r="A7862" s="3">
        <f>DATE(2005,12,2)</f>
        <v>38688</v>
      </c>
      <c r="B7862" s="2"/>
      <c r="C7862" s="2" t="s">
        <v>30</v>
      </c>
      <c r="D7862" s="2" t="s">
        <v>20553</v>
      </c>
      <c r="E7862" s="2" t="s">
        <v>20554</v>
      </c>
      <c r="F7862" s="4">
        <v>7011</v>
      </c>
      <c r="G7862" s="2" t="s">
        <v>269</v>
      </c>
      <c r="H7862" s="2" t="s">
        <v>34</v>
      </c>
      <c r="I7862" s="2" t="s">
        <v>23575</v>
      </c>
      <c r="J7862" s="2" t="s">
        <v>12755</v>
      </c>
      <c r="K7862" s="2" t="s">
        <v>53</v>
      </c>
      <c r="L7862" s="2" t="s">
        <v>34</v>
      </c>
      <c r="M7862" s="2"/>
      <c r="N7862" s="2"/>
      <c r="O7862" s="2"/>
      <c r="P7862" s="2" t="s">
        <v>23576</v>
      </c>
      <c r="Q7862" s="2"/>
      <c r="R7862" s="6">
        <v>9.5</v>
      </c>
      <c r="S7862" s="5">
        <v>10.3</v>
      </c>
      <c r="T7862" s="5">
        <v>52.7</v>
      </c>
      <c r="U7862" s="5">
        <v>4.5999999999999996</v>
      </c>
      <c r="V7862" s="6">
        <v>0.36</v>
      </c>
      <c r="W7862" s="6">
        <v>7.65</v>
      </c>
      <c r="X7862" s="6">
        <v>7.89</v>
      </c>
      <c r="Y7862" s="6">
        <v>9.73</v>
      </c>
      <c r="Z7862" s="6">
        <v>9.4600000000000009</v>
      </c>
      <c r="AA7862" s="6">
        <v>27.23</v>
      </c>
      <c r="AB7862" s="7">
        <v>12.308999999999999</v>
      </c>
      <c r="AC7862" s="2"/>
    </row>
    <row r="7863" spans="1:29" ht="91" x14ac:dyDescent="0.15">
      <c r="A7863" s="3">
        <f>DATE(2005,12,2)</f>
        <v>38688</v>
      </c>
      <c r="B7863" s="3">
        <f>DATE(2006,2,9)</f>
        <v>38757</v>
      </c>
      <c r="C7863" s="2" t="s">
        <v>95</v>
      </c>
      <c r="D7863" s="2" t="s">
        <v>23577</v>
      </c>
      <c r="E7863" s="2" t="s">
        <v>23578</v>
      </c>
      <c r="F7863" s="4">
        <v>5961</v>
      </c>
      <c r="G7863" s="2" t="s">
        <v>73</v>
      </c>
      <c r="H7863" s="2" t="s">
        <v>34</v>
      </c>
      <c r="I7863" s="2" t="s">
        <v>3558</v>
      </c>
      <c r="J7863" s="2" t="s">
        <v>3892</v>
      </c>
      <c r="K7863" s="2" t="s">
        <v>45</v>
      </c>
      <c r="L7863" s="2" t="s">
        <v>34</v>
      </c>
      <c r="M7863" s="12">
        <v>22532.769</v>
      </c>
      <c r="N7863" s="5">
        <v>7.8</v>
      </c>
      <c r="O7863" s="6">
        <v>7.77</v>
      </c>
      <c r="P7863" s="2" t="s">
        <v>23579</v>
      </c>
      <c r="Q7863" s="6">
        <v>100</v>
      </c>
      <c r="R7863" s="6">
        <v>33.75</v>
      </c>
      <c r="S7863" s="5">
        <v>8.9</v>
      </c>
      <c r="T7863" s="7">
        <v>17.085000000000001</v>
      </c>
      <c r="U7863" s="5">
        <v>5.9</v>
      </c>
      <c r="V7863" s="6">
        <v>0.65</v>
      </c>
      <c r="W7863" s="6">
        <v>28.96</v>
      </c>
      <c r="X7863" s="6">
        <v>28.94</v>
      </c>
      <c r="Y7863" s="6">
        <v>30.23</v>
      </c>
      <c r="Z7863" s="6">
        <v>33.76</v>
      </c>
      <c r="AA7863" s="6">
        <v>12</v>
      </c>
      <c r="AB7863" s="7">
        <v>28.582999999999998</v>
      </c>
      <c r="AC7863" s="8">
        <v>2708</v>
      </c>
    </row>
    <row r="7864" spans="1:29" ht="78" x14ac:dyDescent="0.15">
      <c r="A7864" s="3">
        <f>DATE(2005,12,5)</f>
        <v>38691</v>
      </c>
      <c r="B7864" s="2"/>
      <c r="C7864" s="2" t="s">
        <v>30</v>
      </c>
      <c r="D7864" s="2" t="s">
        <v>23580</v>
      </c>
      <c r="E7864" s="2" t="s">
        <v>1181</v>
      </c>
      <c r="F7864" s="4">
        <v>6021</v>
      </c>
      <c r="G7864" s="2" t="s">
        <v>37</v>
      </c>
      <c r="H7864" s="2" t="s">
        <v>34</v>
      </c>
      <c r="I7864" s="2" t="s">
        <v>35</v>
      </c>
      <c r="J7864" s="2" t="s">
        <v>36</v>
      </c>
      <c r="K7864" s="2" t="s">
        <v>37</v>
      </c>
      <c r="L7864" s="2" t="s">
        <v>34</v>
      </c>
      <c r="M7864" s="7">
        <v>973.68600000000004</v>
      </c>
      <c r="N7864" s="6">
        <v>12.95</v>
      </c>
      <c r="O7864" s="6">
        <v>12.94</v>
      </c>
      <c r="P7864" s="2" t="s">
        <v>23581</v>
      </c>
      <c r="Q7864" s="2"/>
      <c r="R7864" s="6">
        <v>45.5</v>
      </c>
      <c r="S7864" s="2"/>
      <c r="T7864" s="2"/>
      <c r="U7864" s="2"/>
      <c r="V7864" s="2"/>
      <c r="W7864" s="4">
        <v>41</v>
      </c>
      <c r="X7864" s="4">
        <v>41</v>
      </c>
      <c r="Y7864" s="4">
        <v>44</v>
      </c>
      <c r="Z7864" s="6">
        <v>44.75</v>
      </c>
      <c r="AA7864" s="6">
        <v>0.77</v>
      </c>
      <c r="AB7864" s="2" t="s">
        <v>47</v>
      </c>
      <c r="AC7864" s="2"/>
    </row>
    <row r="7865" spans="1:29" ht="91" x14ac:dyDescent="0.15">
      <c r="A7865" s="3">
        <f>DATE(2005,12,5)</f>
        <v>38691</v>
      </c>
      <c r="B7865" s="3">
        <f>DATE(2006,2,27)</f>
        <v>38775</v>
      </c>
      <c r="C7865" s="2" t="s">
        <v>95</v>
      </c>
      <c r="D7865" s="2" t="s">
        <v>23582</v>
      </c>
      <c r="E7865" s="2" t="s">
        <v>7684</v>
      </c>
      <c r="F7865" s="4">
        <v>5411</v>
      </c>
      <c r="G7865" s="2" t="s">
        <v>1461</v>
      </c>
      <c r="H7865" s="2" t="s">
        <v>34</v>
      </c>
      <c r="I7865" s="2" t="s">
        <v>23583</v>
      </c>
      <c r="J7865" s="2" t="s">
        <v>23584</v>
      </c>
      <c r="K7865" s="2" t="s">
        <v>593</v>
      </c>
      <c r="L7865" s="2" t="s">
        <v>34</v>
      </c>
      <c r="M7865" s="2"/>
      <c r="N7865" s="2"/>
      <c r="O7865" s="2"/>
      <c r="P7865" s="2" t="s">
        <v>23585</v>
      </c>
      <c r="Q7865" s="6">
        <v>100</v>
      </c>
      <c r="R7865" s="6">
        <v>7.05</v>
      </c>
      <c r="S7865" s="5">
        <v>2.1</v>
      </c>
      <c r="T7865" s="7">
        <v>22.209</v>
      </c>
      <c r="U7865" s="5">
        <v>9.6999999999999993</v>
      </c>
      <c r="V7865" s="6">
        <v>0.24</v>
      </c>
      <c r="W7865" s="4">
        <v>6</v>
      </c>
      <c r="X7865" s="6">
        <v>5.95</v>
      </c>
      <c r="Y7865" s="6">
        <v>5.51</v>
      </c>
      <c r="Z7865" s="6">
        <v>6.86</v>
      </c>
      <c r="AA7865" s="6">
        <v>4.93</v>
      </c>
      <c r="AB7865" s="7">
        <v>13.167</v>
      </c>
      <c r="AC7865" s="2"/>
    </row>
    <row r="7866" spans="1:29" ht="182" x14ac:dyDescent="0.15">
      <c r="A7866" s="3">
        <f>DATE(2005,12,5)</f>
        <v>38691</v>
      </c>
      <c r="B7866" s="3">
        <f>DATE(2006,4,21)</f>
        <v>38828</v>
      </c>
      <c r="C7866" s="2" t="s">
        <v>95</v>
      </c>
      <c r="D7866" s="2" t="s">
        <v>10662</v>
      </c>
      <c r="E7866" s="2" t="s">
        <v>10663</v>
      </c>
      <c r="F7866" s="4">
        <v>3841</v>
      </c>
      <c r="G7866" s="2" t="s">
        <v>226</v>
      </c>
      <c r="H7866" s="2" t="s">
        <v>34</v>
      </c>
      <c r="I7866" s="2" t="s">
        <v>5268</v>
      </c>
      <c r="J7866" s="2" t="s">
        <v>5269</v>
      </c>
      <c r="K7866" s="2" t="s">
        <v>226</v>
      </c>
      <c r="L7866" s="2" t="s">
        <v>34</v>
      </c>
      <c r="M7866" s="12">
        <v>20978.792000000001</v>
      </c>
      <c r="N7866" s="6">
        <v>26.35</v>
      </c>
      <c r="O7866" s="6">
        <v>26.34</v>
      </c>
      <c r="P7866" s="2" t="s">
        <v>23586</v>
      </c>
      <c r="Q7866" s="6">
        <v>100</v>
      </c>
      <c r="R7866" s="6">
        <v>80</v>
      </c>
      <c r="S7866" s="5">
        <v>413.9</v>
      </c>
      <c r="T7866" s="5">
        <v>930.2</v>
      </c>
      <c r="U7866" s="5">
        <v>14.1</v>
      </c>
      <c r="V7866" s="6">
        <v>1.33</v>
      </c>
      <c r="W7866" s="6">
        <v>64.83</v>
      </c>
      <c r="X7866" s="6">
        <v>68.75</v>
      </c>
      <c r="Y7866" s="6">
        <v>72.349999999999994</v>
      </c>
      <c r="Z7866" s="6">
        <v>73.75</v>
      </c>
      <c r="AA7866" s="6">
        <v>331.8</v>
      </c>
      <c r="AB7866" s="7">
        <v>33.450000000000003</v>
      </c>
      <c r="AC7866" s="5">
        <v>848</v>
      </c>
    </row>
    <row r="7867" spans="1:29" ht="130" x14ac:dyDescent="0.15">
      <c r="A7867" s="3">
        <f>DATE(2005,12,6)</f>
        <v>38692</v>
      </c>
      <c r="B7867" s="2"/>
      <c r="C7867" s="2" t="s">
        <v>30</v>
      </c>
      <c r="D7867" s="2" t="s">
        <v>23587</v>
      </c>
      <c r="E7867" s="2" t="s">
        <v>23588</v>
      </c>
      <c r="F7867" s="4">
        <v>5013</v>
      </c>
      <c r="G7867" s="2" t="s">
        <v>76</v>
      </c>
      <c r="H7867" s="2" t="s">
        <v>34</v>
      </c>
      <c r="I7867" s="2" t="s">
        <v>6738</v>
      </c>
      <c r="J7867" s="2" t="s">
        <v>6739</v>
      </c>
      <c r="K7867" s="2" t="s">
        <v>137</v>
      </c>
      <c r="L7867" s="2" t="s">
        <v>34</v>
      </c>
      <c r="M7867" s="7">
        <v>22.504000000000001</v>
      </c>
      <c r="N7867" s="5">
        <v>2.7</v>
      </c>
      <c r="O7867" s="6">
        <v>2.69</v>
      </c>
      <c r="P7867" s="2" t="s">
        <v>23589</v>
      </c>
      <c r="Q7867" s="2"/>
      <c r="R7867" s="6">
        <v>8.1</v>
      </c>
      <c r="S7867" s="5">
        <v>3.9</v>
      </c>
      <c r="T7867" s="7">
        <v>8.7940000000000005</v>
      </c>
      <c r="U7867" s="5">
        <v>7.1</v>
      </c>
      <c r="V7867" s="6">
        <v>0.83</v>
      </c>
      <c r="W7867" s="6">
        <v>6.55</v>
      </c>
      <c r="X7867" s="6">
        <v>6.65</v>
      </c>
      <c r="Y7867" s="6">
        <v>6.58</v>
      </c>
      <c r="Z7867" s="5">
        <v>6.6</v>
      </c>
      <c r="AA7867" s="6">
        <v>4.43</v>
      </c>
      <c r="AB7867" s="7">
        <v>8.9239999999999995</v>
      </c>
      <c r="AC7867" s="6">
        <v>5.1100000000000003</v>
      </c>
    </row>
    <row r="7868" spans="1:29" ht="130" x14ac:dyDescent="0.15">
      <c r="A7868" s="3">
        <f>DATE(2005,12,7)</f>
        <v>38693</v>
      </c>
      <c r="B7868" s="3">
        <f>DATE(2006,3,8)</f>
        <v>38784</v>
      </c>
      <c r="C7868" s="2" t="s">
        <v>95</v>
      </c>
      <c r="D7868" s="2" t="s">
        <v>23590</v>
      </c>
      <c r="E7868" s="2" t="s">
        <v>6321</v>
      </c>
      <c r="F7868" s="4">
        <v>6798</v>
      </c>
      <c r="G7868" s="2" t="s">
        <v>53</v>
      </c>
      <c r="H7868" s="2" t="s">
        <v>34</v>
      </c>
      <c r="I7868" s="2" t="s">
        <v>23591</v>
      </c>
      <c r="J7868" s="2" t="s">
        <v>3941</v>
      </c>
      <c r="K7868" s="2" t="s">
        <v>53</v>
      </c>
      <c r="L7868" s="2" t="s">
        <v>34</v>
      </c>
      <c r="M7868" s="2"/>
      <c r="N7868" s="2"/>
      <c r="O7868" s="2"/>
      <c r="P7868" s="2" t="s">
        <v>23592</v>
      </c>
      <c r="Q7868" s="6">
        <v>100</v>
      </c>
      <c r="R7868" s="6">
        <v>50</v>
      </c>
      <c r="S7868" s="5">
        <v>50.3</v>
      </c>
      <c r="T7868" s="7">
        <v>53.738</v>
      </c>
      <c r="U7868" s="5">
        <v>10.4</v>
      </c>
      <c r="V7868" s="6">
        <v>0.88</v>
      </c>
      <c r="W7868" s="6">
        <v>45.69</v>
      </c>
      <c r="X7868" s="6">
        <v>45.62</v>
      </c>
      <c r="Y7868" s="6">
        <v>45.83</v>
      </c>
      <c r="Z7868" s="6">
        <v>49.55</v>
      </c>
      <c r="AA7868" s="6">
        <v>48.71</v>
      </c>
      <c r="AB7868" s="7">
        <v>396.99900000000002</v>
      </c>
      <c r="AC7868" s="2"/>
    </row>
    <row r="7869" spans="1:29" ht="117" x14ac:dyDescent="0.15">
      <c r="A7869" s="3">
        <f>DATE(2005,12,8)</f>
        <v>38694</v>
      </c>
      <c r="B7869" s="3">
        <f>DATE(2006,3,8)</f>
        <v>38784</v>
      </c>
      <c r="C7869" s="2" t="s">
        <v>95</v>
      </c>
      <c r="D7869" s="2" t="s">
        <v>20046</v>
      </c>
      <c r="E7869" s="2" t="s">
        <v>4601</v>
      </c>
      <c r="F7869" s="4">
        <v>5812</v>
      </c>
      <c r="G7869" s="2" t="s">
        <v>230</v>
      </c>
      <c r="H7869" s="2" t="s">
        <v>34</v>
      </c>
      <c r="I7869" s="2" t="s">
        <v>23593</v>
      </c>
      <c r="J7869" s="2" t="s">
        <v>244</v>
      </c>
      <c r="K7869" s="2" t="s">
        <v>53</v>
      </c>
      <c r="L7869" s="2" t="s">
        <v>34</v>
      </c>
      <c r="M7869" s="2"/>
      <c r="N7869" s="2"/>
      <c r="O7869" s="2"/>
      <c r="P7869" s="2" t="s">
        <v>23594</v>
      </c>
      <c r="Q7869" s="6">
        <v>100</v>
      </c>
      <c r="R7869" s="6">
        <v>18.05</v>
      </c>
      <c r="S7869" s="5">
        <v>10.3</v>
      </c>
      <c r="T7869" s="6">
        <v>65.239999999999995</v>
      </c>
      <c r="U7869" s="5">
        <v>15.1</v>
      </c>
      <c r="V7869" s="6">
        <v>0.71</v>
      </c>
      <c r="W7869" s="6">
        <v>15.24</v>
      </c>
      <c r="X7869" s="6">
        <v>15.28</v>
      </c>
      <c r="Y7869" s="6">
        <v>15.21</v>
      </c>
      <c r="Z7869" s="6">
        <v>17.45</v>
      </c>
      <c r="AA7869" s="6">
        <v>14.22</v>
      </c>
      <c r="AB7869" s="7">
        <v>13.407999999999999</v>
      </c>
      <c r="AC7869" s="2"/>
    </row>
    <row r="7870" spans="1:29" ht="130" x14ac:dyDescent="0.15">
      <c r="A7870" s="3">
        <f>DATE(2005,12,8)</f>
        <v>38694</v>
      </c>
      <c r="B7870" s="3">
        <f>DATE(2006,2,15)</f>
        <v>38763</v>
      </c>
      <c r="C7870" s="2" t="s">
        <v>95</v>
      </c>
      <c r="D7870" s="2" t="s">
        <v>23595</v>
      </c>
      <c r="E7870" s="2" t="s">
        <v>23596</v>
      </c>
      <c r="F7870" s="4">
        <v>7372</v>
      </c>
      <c r="G7870" s="2" t="s">
        <v>551</v>
      </c>
      <c r="H7870" s="2" t="s">
        <v>34</v>
      </c>
      <c r="I7870" s="2" t="s">
        <v>4641</v>
      </c>
      <c r="J7870" s="2" t="s">
        <v>4642</v>
      </c>
      <c r="K7870" s="2" t="s">
        <v>551</v>
      </c>
      <c r="L7870" s="2" t="s">
        <v>34</v>
      </c>
      <c r="M7870" s="12">
        <v>18172.977999999999</v>
      </c>
      <c r="N7870" s="6">
        <v>55.75</v>
      </c>
      <c r="O7870" s="6">
        <v>55.14</v>
      </c>
      <c r="P7870" s="2" t="s">
        <v>23597</v>
      </c>
      <c r="Q7870" s="6">
        <v>100</v>
      </c>
      <c r="R7870" s="6">
        <v>27</v>
      </c>
      <c r="S7870" s="5">
        <v>7.3</v>
      </c>
      <c r="T7870" s="7">
        <v>10.614000000000001</v>
      </c>
      <c r="U7870" s="5">
        <v>6</v>
      </c>
      <c r="V7870" s="6">
        <v>0.25</v>
      </c>
      <c r="W7870" s="5">
        <v>23.7</v>
      </c>
      <c r="X7870" s="6">
        <v>22.34</v>
      </c>
      <c r="Y7870" s="6">
        <v>22.77</v>
      </c>
      <c r="Z7870" s="6">
        <v>27.06</v>
      </c>
      <c r="AA7870" s="6">
        <v>24.84</v>
      </c>
      <c r="AB7870" s="7">
        <v>120.996</v>
      </c>
      <c r="AC7870" s="8">
        <v>2412</v>
      </c>
    </row>
    <row r="7871" spans="1:29" ht="52" x14ac:dyDescent="0.15">
      <c r="A7871" s="3">
        <f>DATE(2005,12,8)</f>
        <v>38694</v>
      </c>
      <c r="B7871" s="2"/>
      <c r="C7871" s="2" t="s">
        <v>189</v>
      </c>
      <c r="D7871" s="2" t="s">
        <v>21201</v>
      </c>
      <c r="E7871" s="2" t="s">
        <v>21202</v>
      </c>
      <c r="F7871" s="4">
        <v>2077</v>
      </c>
      <c r="G7871" s="2" t="s">
        <v>577</v>
      </c>
      <c r="H7871" s="2" t="s">
        <v>34</v>
      </c>
      <c r="I7871" s="2" t="s">
        <v>143</v>
      </c>
      <c r="J7871" s="2" t="s">
        <v>144</v>
      </c>
      <c r="K7871" s="2" t="s">
        <v>53</v>
      </c>
      <c r="L7871" s="2" t="s">
        <v>139</v>
      </c>
      <c r="M7871" s="2"/>
      <c r="N7871" s="2"/>
      <c r="O7871" s="2"/>
      <c r="P7871" s="2" t="s">
        <v>23598</v>
      </c>
      <c r="Q7871" s="2"/>
      <c r="R7871" s="2"/>
      <c r="S7871" s="5">
        <v>-6.5</v>
      </c>
      <c r="T7871" s="7">
        <v>16.581</v>
      </c>
      <c r="U7871" s="5">
        <v>5.8</v>
      </c>
      <c r="V7871" s="6">
        <v>-0.26</v>
      </c>
      <c r="W7871" s="6">
        <v>6.02</v>
      </c>
      <c r="X7871" s="6">
        <v>5.93</v>
      </c>
      <c r="Y7871" s="6">
        <v>6.46</v>
      </c>
      <c r="Z7871" s="5">
        <v>6.7</v>
      </c>
      <c r="AA7871" s="6">
        <v>25.02</v>
      </c>
      <c r="AB7871" s="2" t="s">
        <v>47</v>
      </c>
      <c r="AC7871" s="2"/>
    </row>
    <row r="7872" spans="1:29" ht="104" x14ac:dyDescent="0.15">
      <c r="A7872" s="3">
        <f>DATE(2005,12,9)</f>
        <v>38695</v>
      </c>
      <c r="B7872" s="3">
        <f>DATE(2006,2,15)</f>
        <v>38763</v>
      </c>
      <c r="C7872" s="2" t="s">
        <v>95</v>
      </c>
      <c r="D7872" s="2" t="s">
        <v>23599</v>
      </c>
      <c r="E7872" s="2" t="s">
        <v>5102</v>
      </c>
      <c r="F7872" s="4">
        <v>7372</v>
      </c>
      <c r="G7872" s="2" t="s">
        <v>551</v>
      </c>
      <c r="H7872" s="2" t="s">
        <v>34</v>
      </c>
      <c r="I7872" s="2" t="s">
        <v>23600</v>
      </c>
      <c r="J7872" s="2" t="s">
        <v>23601</v>
      </c>
      <c r="K7872" s="2" t="s">
        <v>223</v>
      </c>
      <c r="L7872" s="2" t="s">
        <v>34</v>
      </c>
      <c r="M7872" s="6">
        <v>396.63</v>
      </c>
      <c r="N7872" s="4">
        <v>7</v>
      </c>
      <c r="O7872" s="6">
        <v>6.84</v>
      </c>
      <c r="P7872" s="2" t="s">
        <v>23602</v>
      </c>
      <c r="Q7872" s="6">
        <v>100</v>
      </c>
      <c r="R7872" s="6">
        <v>1.71</v>
      </c>
      <c r="S7872" s="5">
        <v>-8.3000000000000007</v>
      </c>
      <c r="T7872" s="7">
        <v>-5.024</v>
      </c>
      <c r="U7872" s="5">
        <v>0.8</v>
      </c>
      <c r="V7872" s="6">
        <v>-0.2</v>
      </c>
      <c r="W7872" s="6">
        <v>1.39</v>
      </c>
      <c r="X7872" s="5">
        <v>1.3</v>
      </c>
      <c r="Y7872" s="6">
        <v>1.39</v>
      </c>
      <c r="Z7872" s="6">
        <v>1.66</v>
      </c>
      <c r="AA7872" s="6">
        <v>42.23</v>
      </c>
      <c r="AB7872" s="2" t="s">
        <v>86</v>
      </c>
      <c r="AC7872" s="6">
        <v>177.22</v>
      </c>
    </row>
    <row r="7873" spans="1:29" ht="169" x14ac:dyDescent="0.15">
      <c r="A7873" s="3">
        <f>DATE(2005,12,12)</f>
        <v>38698</v>
      </c>
      <c r="B7873" s="3">
        <f>DATE(2006,3,31)</f>
        <v>38807</v>
      </c>
      <c r="C7873" s="2" t="s">
        <v>95</v>
      </c>
      <c r="D7873" s="2" t="s">
        <v>4853</v>
      </c>
      <c r="E7873" s="2" t="s">
        <v>1435</v>
      </c>
      <c r="F7873" s="4">
        <v>1311</v>
      </c>
      <c r="G7873" s="2" t="s">
        <v>148</v>
      </c>
      <c r="H7873" s="2" t="s">
        <v>34</v>
      </c>
      <c r="I7873" s="2" t="s">
        <v>23603</v>
      </c>
      <c r="J7873" s="2" t="s">
        <v>19818</v>
      </c>
      <c r="K7873" s="2" t="s">
        <v>148</v>
      </c>
      <c r="L7873" s="2" t="s">
        <v>34</v>
      </c>
      <c r="M7873" s="12">
        <v>87874.495999999999</v>
      </c>
      <c r="N7873" s="6">
        <v>61.25</v>
      </c>
      <c r="O7873" s="5">
        <v>58.2</v>
      </c>
      <c r="P7873" s="2" t="s">
        <v>23604</v>
      </c>
      <c r="Q7873" s="6">
        <v>100</v>
      </c>
      <c r="R7873" s="6">
        <v>92</v>
      </c>
      <c r="S7873" s="8">
        <v>2156</v>
      </c>
      <c r="T7873" s="8">
        <v>4818</v>
      </c>
      <c r="U7873" s="5">
        <v>21.2</v>
      </c>
      <c r="V7873" s="6">
        <v>5.58</v>
      </c>
      <c r="W7873" s="6">
        <v>74.89</v>
      </c>
      <c r="X7873" s="6">
        <v>76.09</v>
      </c>
      <c r="Y7873" s="5">
        <v>82.5</v>
      </c>
      <c r="Z7873" s="6">
        <v>86.07</v>
      </c>
      <c r="AA7873" s="6">
        <v>378.04</v>
      </c>
      <c r="AB7873" s="7">
        <v>10.255000000000001</v>
      </c>
      <c r="AC7873" s="8">
        <v>2803</v>
      </c>
    </row>
    <row r="7874" spans="1:29" ht="299" x14ac:dyDescent="0.15">
      <c r="A7874" s="3">
        <f>DATE(2005,12,12)</f>
        <v>38698</v>
      </c>
      <c r="B7874" s="3">
        <f>DATE(2006,3,1)</f>
        <v>38777</v>
      </c>
      <c r="C7874" s="2" t="s">
        <v>95</v>
      </c>
      <c r="D7874" s="2" t="s">
        <v>23395</v>
      </c>
      <c r="E7874" s="2" t="s">
        <v>23396</v>
      </c>
      <c r="F7874" s="4">
        <v>5812</v>
      </c>
      <c r="G7874" s="2" t="s">
        <v>230</v>
      </c>
      <c r="H7874" s="2" t="s">
        <v>34</v>
      </c>
      <c r="I7874" s="2" t="s">
        <v>23605</v>
      </c>
      <c r="J7874" s="2" t="s">
        <v>4601</v>
      </c>
      <c r="K7874" s="2" t="s">
        <v>230</v>
      </c>
      <c r="L7874" s="2" t="s">
        <v>34</v>
      </c>
      <c r="M7874" s="2"/>
      <c r="N7874" s="2"/>
      <c r="O7874" s="2"/>
      <c r="P7874" s="2" t="s">
        <v>23606</v>
      </c>
      <c r="Q7874" s="6">
        <v>91.7</v>
      </c>
      <c r="R7874" s="6">
        <v>16.3</v>
      </c>
      <c r="S7874" s="5">
        <v>7.9</v>
      </c>
      <c r="T7874" s="7">
        <v>22.047000000000001</v>
      </c>
      <c r="U7874" s="5">
        <v>5.8</v>
      </c>
      <c r="V7874" s="6">
        <v>0.75</v>
      </c>
      <c r="W7874" s="6">
        <v>10.81</v>
      </c>
      <c r="X7874" s="6">
        <v>10.28</v>
      </c>
      <c r="Y7874" s="6">
        <v>13.08</v>
      </c>
      <c r="Z7874" s="5">
        <v>13.1</v>
      </c>
      <c r="AA7874" s="6">
        <v>11.44</v>
      </c>
      <c r="AB7874" s="7">
        <v>15.673</v>
      </c>
      <c r="AC7874" s="2"/>
    </row>
    <row r="7875" spans="1:29" ht="78" x14ac:dyDescent="0.15">
      <c r="A7875" s="3">
        <f>DATE(2005,12,13)</f>
        <v>38699</v>
      </c>
      <c r="B7875" s="3">
        <f>DATE(2006,1,3)</f>
        <v>38720</v>
      </c>
      <c r="C7875" s="2" t="s">
        <v>95</v>
      </c>
      <c r="D7875" s="2" t="s">
        <v>19355</v>
      </c>
      <c r="E7875" s="2" t="s">
        <v>23607</v>
      </c>
      <c r="F7875" s="4">
        <v>3728</v>
      </c>
      <c r="G7875" s="2" t="s">
        <v>219</v>
      </c>
      <c r="H7875" s="2" t="s">
        <v>34</v>
      </c>
      <c r="I7875" s="2" t="s">
        <v>23608</v>
      </c>
      <c r="J7875" s="2" t="s">
        <v>244</v>
      </c>
      <c r="K7875" s="2" t="s">
        <v>53</v>
      </c>
      <c r="L7875" s="2" t="s">
        <v>34</v>
      </c>
      <c r="M7875" s="2"/>
      <c r="N7875" s="2"/>
      <c r="O7875" s="2"/>
      <c r="P7875" s="2" t="s">
        <v>23609</v>
      </c>
      <c r="Q7875" s="6">
        <v>100</v>
      </c>
      <c r="R7875" s="6">
        <v>7.01</v>
      </c>
      <c r="S7875" s="5">
        <v>1.9</v>
      </c>
      <c r="T7875" s="7">
        <v>3.3149999999999999</v>
      </c>
      <c r="U7875" s="5">
        <v>1.8</v>
      </c>
      <c r="V7875" s="6">
        <v>0.44</v>
      </c>
      <c r="W7875" s="4">
        <v>3</v>
      </c>
      <c r="X7875" s="4">
        <v>3</v>
      </c>
      <c r="Y7875" s="4">
        <v>3</v>
      </c>
      <c r="Z7875" s="4">
        <v>5</v>
      </c>
      <c r="AA7875" s="6">
        <v>3.12</v>
      </c>
      <c r="AB7875" s="7">
        <v>11.542999999999999</v>
      </c>
      <c r="AC7875" s="2"/>
    </row>
    <row r="7876" spans="1:29" ht="78" x14ac:dyDescent="0.15">
      <c r="A7876" s="3">
        <f>DATE(2005,12,13)</f>
        <v>38699</v>
      </c>
      <c r="B7876" s="3">
        <f>DATE(2006,6,8)</f>
        <v>38876</v>
      </c>
      <c r="C7876" s="2" t="s">
        <v>95</v>
      </c>
      <c r="D7876" s="2" t="s">
        <v>23610</v>
      </c>
      <c r="E7876" s="2" t="s">
        <v>23611</v>
      </c>
      <c r="F7876" s="4">
        <v>7373</v>
      </c>
      <c r="G7876" s="2" t="s">
        <v>223</v>
      </c>
      <c r="H7876" s="2" t="s">
        <v>34</v>
      </c>
      <c r="I7876" s="2" t="s">
        <v>13819</v>
      </c>
      <c r="J7876" s="2" t="s">
        <v>7077</v>
      </c>
      <c r="K7876" s="2" t="s">
        <v>226</v>
      </c>
      <c r="L7876" s="2" t="s">
        <v>34</v>
      </c>
      <c r="M7876" s="12">
        <v>23250.463</v>
      </c>
      <c r="N7876" s="6">
        <v>112.09</v>
      </c>
      <c r="O7876" s="6">
        <v>111.68</v>
      </c>
      <c r="P7876" s="2" t="s">
        <v>23612</v>
      </c>
      <c r="Q7876" s="6">
        <v>100</v>
      </c>
      <c r="R7876" s="6">
        <v>55.5</v>
      </c>
      <c r="S7876" s="5">
        <v>75.900000000000006</v>
      </c>
      <c r="T7876" s="2"/>
      <c r="U7876" s="2"/>
      <c r="V7876" s="6">
        <v>2.0099999999999998</v>
      </c>
      <c r="W7876" s="6">
        <v>42.47</v>
      </c>
      <c r="X7876" s="6">
        <v>41.23</v>
      </c>
      <c r="Y7876" s="6">
        <v>40.770000000000003</v>
      </c>
      <c r="Z7876" s="6">
        <v>54.02</v>
      </c>
      <c r="AA7876" s="6">
        <v>37.18</v>
      </c>
      <c r="AB7876" s="7">
        <v>16.094000000000001</v>
      </c>
      <c r="AC7876" s="8">
        <v>1754</v>
      </c>
    </row>
    <row r="7877" spans="1:29" ht="182" x14ac:dyDescent="0.15">
      <c r="A7877" s="3">
        <f>DATE(2005,12,13)</f>
        <v>38699</v>
      </c>
      <c r="B7877" s="3">
        <f>DATE(2006,11,1)</f>
        <v>39022</v>
      </c>
      <c r="C7877" s="2" t="s">
        <v>95</v>
      </c>
      <c r="D7877" s="2" t="s">
        <v>23613</v>
      </c>
      <c r="E7877" s="2" t="s">
        <v>23614</v>
      </c>
      <c r="F7877" s="4">
        <v>2834</v>
      </c>
      <c r="G7877" s="2" t="s">
        <v>130</v>
      </c>
      <c r="H7877" s="2" t="s">
        <v>34</v>
      </c>
      <c r="I7877" s="2" t="s">
        <v>23615</v>
      </c>
      <c r="J7877" s="2" t="s">
        <v>13693</v>
      </c>
      <c r="K7877" s="2" t="s">
        <v>130</v>
      </c>
      <c r="L7877" s="2" t="s">
        <v>133</v>
      </c>
      <c r="M7877" s="7">
        <v>367.66199999999998</v>
      </c>
      <c r="N7877" s="7">
        <v>48.055</v>
      </c>
      <c r="O7877" s="6">
        <v>47.86</v>
      </c>
      <c r="P7877" s="2" t="s">
        <v>23616</v>
      </c>
      <c r="Q7877" s="6">
        <v>36.67</v>
      </c>
      <c r="R7877" s="6">
        <v>5.75</v>
      </c>
      <c r="S7877" s="5">
        <v>2.6</v>
      </c>
      <c r="T7877" s="7">
        <v>12.327</v>
      </c>
      <c r="U7877" s="5">
        <v>1.2</v>
      </c>
      <c r="V7877" s="6">
        <v>0.11</v>
      </c>
      <c r="W7877" s="6">
        <v>3.75</v>
      </c>
      <c r="X7877" s="6">
        <v>3.67</v>
      </c>
      <c r="Y7877" s="6">
        <v>4.3499999999999996</v>
      </c>
      <c r="Z7877" s="6">
        <v>4.25</v>
      </c>
      <c r="AA7877" s="6">
        <v>22.4</v>
      </c>
      <c r="AB7877" s="7">
        <v>15.026</v>
      </c>
      <c r="AC7877" s="5">
        <v>16.8</v>
      </c>
    </row>
    <row r="7878" spans="1:29" ht="78" x14ac:dyDescent="0.15">
      <c r="A7878" s="3">
        <f>DATE(2005,12,14)</f>
        <v>38700</v>
      </c>
      <c r="B7878" s="3">
        <f>DATE(2006,4,3)</f>
        <v>38810</v>
      </c>
      <c r="C7878" s="2" t="s">
        <v>95</v>
      </c>
      <c r="D7878" s="2" t="s">
        <v>23617</v>
      </c>
      <c r="E7878" s="2" t="s">
        <v>18837</v>
      </c>
      <c r="F7878" s="4">
        <v>8731</v>
      </c>
      <c r="G7878" s="2" t="s">
        <v>223</v>
      </c>
      <c r="H7878" s="2" t="s">
        <v>34</v>
      </c>
      <c r="I7878" s="2" t="s">
        <v>5534</v>
      </c>
      <c r="J7878" s="2" t="s">
        <v>5535</v>
      </c>
      <c r="K7878" s="2" t="s">
        <v>130</v>
      </c>
      <c r="L7878" s="2" t="s">
        <v>34</v>
      </c>
      <c r="M7878" s="8">
        <v>100288.5</v>
      </c>
      <c r="N7878" s="6">
        <v>76.78</v>
      </c>
      <c r="O7878" s="6">
        <v>80.44</v>
      </c>
      <c r="P7878" s="2" t="s">
        <v>23618</v>
      </c>
      <c r="Q7878" s="6">
        <v>100</v>
      </c>
      <c r="R7878" s="6">
        <v>22.5</v>
      </c>
      <c r="S7878" s="5">
        <v>-212</v>
      </c>
      <c r="T7878" s="7">
        <v>-133.66300000000001</v>
      </c>
      <c r="U7878" s="5">
        <v>1.1000000000000001</v>
      </c>
      <c r="V7878" s="6">
        <v>-2.38</v>
      </c>
      <c r="W7878" s="5">
        <v>14.3</v>
      </c>
      <c r="X7878" s="6">
        <v>14.19</v>
      </c>
      <c r="Y7878" s="6">
        <v>14.65</v>
      </c>
      <c r="Z7878" s="6">
        <v>21.68</v>
      </c>
      <c r="AA7878" s="6">
        <v>90.56</v>
      </c>
      <c r="AB7878" s="2" t="s">
        <v>86</v>
      </c>
      <c r="AC7878" s="8">
        <v>5551</v>
      </c>
    </row>
    <row r="7879" spans="1:29" ht="130" x14ac:dyDescent="0.15">
      <c r="A7879" s="3">
        <f>DATE(2005,12,15)</f>
        <v>38701</v>
      </c>
      <c r="B7879" s="3">
        <f>DATE(2006,3,1)</f>
        <v>38777</v>
      </c>
      <c r="C7879" s="2" t="s">
        <v>95</v>
      </c>
      <c r="D7879" s="2" t="s">
        <v>23619</v>
      </c>
      <c r="E7879" s="2" t="s">
        <v>23620</v>
      </c>
      <c r="F7879" s="4">
        <v>6141</v>
      </c>
      <c r="G7879" s="2" t="s">
        <v>370</v>
      </c>
      <c r="H7879" s="2" t="s">
        <v>34</v>
      </c>
      <c r="I7879" s="2" t="s">
        <v>22604</v>
      </c>
      <c r="J7879" s="2" t="s">
        <v>2712</v>
      </c>
      <c r="K7879" s="2" t="s">
        <v>53</v>
      </c>
      <c r="L7879" s="2" t="s">
        <v>34</v>
      </c>
      <c r="M7879" s="2"/>
      <c r="N7879" s="2"/>
      <c r="O7879" s="2"/>
      <c r="P7879" s="2" t="s">
        <v>23621</v>
      </c>
      <c r="Q7879" s="6">
        <v>100</v>
      </c>
      <c r="R7879" s="6">
        <v>20</v>
      </c>
      <c r="S7879" s="5">
        <v>41.5</v>
      </c>
      <c r="T7879" s="7">
        <v>80.647999999999996</v>
      </c>
      <c r="U7879" s="5">
        <v>6.7</v>
      </c>
      <c r="V7879" s="6">
        <v>1.36</v>
      </c>
      <c r="W7879" s="5">
        <v>15.1</v>
      </c>
      <c r="X7879" s="6">
        <v>15.27</v>
      </c>
      <c r="Y7879" s="6">
        <v>19.63</v>
      </c>
      <c r="Z7879" s="5">
        <v>19.7</v>
      </c>
      <c r="AA7879" s="6">
        <v>32.36</v>
      </c>
      <c r="AB7879" s="7">
        <v>87.097999999999999</v>
      </c>
      <c r="AC7879" s="2"/>
    </row>
    <row r="7880" spans="1:29" ht="130" x14ac:dyDescent="0.15">
      <c r="A7880" s="3">
        <f>DATE(2005,12,15)</f>
        <v>38701</v>
      </c>
      <c r="B7880" s="3">
        <f>DATE(2006,5,10)</f>
        <v>38847</v>
      </c>
      <c r="C7880" s="2" t="s">
        <v>95</v>
      </c>
      <c r="D7880" s="2" t="s">
        <v>2252</v>
      </c>
      <c r="E7880" s="2" t="s">
        <v>36</v>
      </c>
      <c r="F7880" s="4">
        <v>6022</v>
      </c>
      <c r="G7880" s="2" t="s">
        <v>37</v>
      </c>
      <c r="H7880" s="2" t="s">
        <v>34</v>
      </c>
      <c r="I7880" s="2" t="s">
        <v>3057</v>
      </c>
      <c r="J7880" s="2" t="s">
        <v>17388</v>
      </c>
      <c r="K7880" s="2" t="s">
        <v>37</v>
      </c>
      <c r="L7880" s="2" t="s">
        <v>34</v>
      </c>
      <c r="M7880" s="7">
        <v>913.495</v>
      </c>
      <c r="N7880" s="6">
        <v>53.89</v>
      </c>
      <c r="O7880" s="6">
        <v>54.68</v>
      </c>
      <c r="P7880" s="2" t="s">
        <v>23622</v>
      </c>
      <c r="Q7880" s="6">
        <v>100</v>
      </c>
      <c r="R7880" s="6">
        <v>26.56</v>
      </c>
      <c r="S7880" s="5">
        <v>10.7</v>
      </c>
      <c r="T7880" s="2"/>
      <c r="U7880" s="5">
        <v>8</v>
      </c>
      <c r="V7880" s="7">
        <v>1.198</v>
      </c>
      <c r="W7880" s="6">
        <v>24.29</v>
      </c>
      <c r="X7880" s="6">
        <v>24.63</v>
      </c>
      <c r="Y7880" s="6">
        <v>25.05</v>
      </c>
      <c r="Z7880" s="6">
        <v>25.11</v>
      </c>
      <c r="AA7880" s="6">
        <v>8.52</v>
      </c>
      <c r="AB7880" s="7">
        <v>14.874000000000001</v>
      </c>
      <c r="AC7880" s="2"/>
    </row>
    <row r="7881" spans="1:29" ht="130" x14ac:dyDescent="0.15">
      <c r="A7881" s="3">
        <f>DATE(2005,12,15)</f>
        <v>38701</v>
      </c>
      <c r="B7881" s="3">
        <f>DATE(2006,6,1)</f>
        <v>38869</v>
      </c>
      <c r="C7881" s="2" t="s">
        <v>95</v>
      </c>
      <c r="D7881" s="2" t="s">
        <v>23623</v>
      </c>
      <c r="E7881" s="2" t="s">
        <v>1181</v>
      </c>
      <c r="F7881" s="4">
        <v>6022</v>
      </c>
      <c r="G7881" s="2" t="s">
        <v>37</v>
      </c>
      <c r="H7881" s="2" t="s">
        <v>34</v>
      </c>
      <c r="I7881" s="2" t="s">
        <v>13707</v>
      </c>
      <c r="J7881" s="2" t="s">
        <v>36</v>
      </c>
      <c r="K7881" s="2" t="s">
        <v>37</v>
      </c>
      <c r="L7881" s="2" t="s">
        <v>34</v>
      </c>
      <c r="M7881" s="12">
        <v>23307.901000000002</v>
      </c>
      <c r="N7881" s="6">
        <v>43.05</v>
      </c>
      <c r="O7881" s="6">
        <v>43.38</v>
      </c>
      <c r="P7881" s="2" t="s">
        <v>23624</v>
      </c>
      <c r="Q7881" s="6">
        <v>100</v>
      </c>
      <c r="R7881" s="6">
        <v>28.5</v>
      </c>
      <c r="S7881" s="5">
        <v>30.2</v>
      </c>
      <c r="T7881" s="2"/>
      <c r="U7881" s="5">
        <v>13.6</v>
      </c>
      <c r="V7881" s="6">
        <v>1.41</v>
      </c>
      <c r="W7881" s="6">
        <v>28.26</v>
      </c>
      <c r="X7881" s="6">
        <v>28.73</v>
      </c>
      <c r="Y7881" s="4">
        <v>28</v>
      </c>
      <c r="Z7881" s="6">
        <v>28.12</v>
      </c>
      <c r="AA7881" s="6">
        <v>21.48</v>
      </c>
      <c r="AB7881" s="7">
        <v>22.905000000000001</v>
      </c>
      <c r="AC7881" s="2"/>
    </row>
    <row r="7882" spans="1:29" ht="65" x14ac:dyDescent="0.15">
      <c r="A7882" s="3">
        <f>DATE(2005,12,16)</f>
        <v>38702</v>
      </c>
      <c r="B7882" s="3">
        <f>DATE(2006,2,17)</f>
        <v>38765</v>
      </c>
      <c r="C7882" s="2" t="s">
        <v>95</v>
      </c>
      <c r="D7882" s="2" t="s">
        <v>23625</v>
      </c>
      <c r="E7882" s="2" t="s">
        <v>23626</v>
      </c>
      <c r="F7882" s="4">
        <v>3841</v>
      </c>
      <c r="G7882" s="2" t="s">
        <v>226</v>
      </c>
      <c r="H7882" s="2" t="s">
        <v>34</v>
      </c>
      <c r="I7882" s="2" t="s">
        <v>5669</v>
      </c>
      <c r="J7882" s="2" t="s">
        <v>5670</v>
      </c>
      <c r="K7882" s="2" t="s">
        <v>130</v>
      </c>
      <c r="L7882" s="2" t="s">
        <v>34</v>
      </c>
      <c r="M7882" s="10">
        <v>186081.87</v>
      </c>
      <c r="N7882" s="6">
        <v>60.86</v>
      </c>
      <c r="O7882" s="6">
        <v>61.19</v>
      </c>
      <c r="P7882" s="2" t="s">
        <v>23627</v>
      </c>
      <c r="Q7882" s="6">
        <v>100</v>
      </c>
      <c r="R7882" s="6">
        <v>24.5</v>
      </c>
      <c r="S7882" s="5">
        <v>-17.8</v>
      </c>
      <c r="T7882" s="7">
        <v>-15.933</v>
      </c>
      <c r="U7882" s="5">
        <v>3.1</v>
      </c>
      <c r="V7882" s="9">
        <v>-0.9607</v>
      </c>
      <c r="W7882" s="6">
        <v>17.72</v>
      </c>
      <c r="X7882" s="5">
        <v>18.2</v>
      </c>
      <c r="Y7882" s="6">
        <v>24.03</v>
      </c>
      <c r="Z7882" s="6">
        <v>24.23</v>
      </c>
      <c r="AA7882" s="6">
        <v>20.28</v>
      </c>
      <c r="AB7882" s="2" t="s">
        <v>86</v>
      </c>
      <c r="AC7882" s="8">
        <v>15179</v>
      </c>
    </row>
    <row r="7883" spans="1:29" ht="208" x14ac:dyDescent="0.15">
      <c r="A7883" s="3">
        <f>DATE(2005,12,18)</f>
        <v>38704</v>
      </c>
      <c r="B7883" s="2"/>
      <c r="C7883" s="2" t="s">
        <v>30</v>
      </c>
      <c r="D7883" s="2" t="s">
        <v>23628</v>
      </c>
      <c r="E7883" s="2" t="s">
        <v>3759</v>
      </c>
      <c r="F7883" s="4">
        <v>4911</v>
      </c>
      <c r="G7883" s="2" t="s">
        <v>439</v>
      </c>
      <c r="H7883" s="2" t="s">
        <v>34</v>
      </c>
      <c r="I7883" s="2" t="s">
        <v>16629</v>
      </c>
      <c r="J7883" s="2" t="s">
        <v>7413</v>
      </c>
      <c r="K7883" s="2" t="s">
        <v>439</v>
      </c>
      <c r="L7883" s="2" t="s">
        <v>34</v>
      </c>
      <c r="M7883" s="12">
        <v>17045.902999999998</v>
      </c>
      <c r="N7883" s="6">
        <v>42.76</v>
      </c>
      <c r="O7883" s="6">
        <v>42.76</v>
      </c>
      <c r="P7883" s="2" t="s">
        <v>23629</v>
      </c>
      <c r="Q7883" s="2"/>
      <c r="R7883" s="6">
        <v>62.02</v>
      </c>
      <c r="S7883" s="5">
        <v>562.79999999999995</v>
      </c>
      <c r="T7883" s="8">
        <v>1707.3</v>
      </c>
      <c r="U7883" s="5">
        <v>31.3</v>
      </c>
      <c r="V7883" s="6">
        <v>3.27</v>
      </c>
      <c r="W7883" s="6">
        <v>52.43</v>
      </c>
      <c r="X7883" s="6">
        <v>56.27</v>
      </c>
      <c r="Y7883" s="5">
        <v>61.1</v>
      </c>
      <c r="Z7883" s="6">
        <v>61.09</v>
      </c>
      <c r="AA7883" s="6">
        <v>178.48</v>
      </c>
      <c r="AB7883" s="7">
        <v>14.696999999999999</v>
      </c>
      <c r="AC7883" s="8">
        <v>1102</v>
      </c>
    </row>
    <row r="7884" spans="1:29" ht="104" x14ac:dyDescent="0.15">
      <c r="A7884" s="3">
        <f>DATE(2005,12,19)</f>
        <v>38705</v>
      </c>
      <c r="B7884" s="3">
        <f>DATE(2006,1,26)</f>
        <v>38743</v>
      </c>
      <c r="C7884" s="2" t="s">
        <v>95</v>
      </c>
      <c r="D7884" s="2" t="s">
        <v>23630</v>
      </c>
      <c r="E7884" s="2" t="s">
        <v>10436</v>
      </c>
      <c r="F7884" s="4">
        <v>3679</v>
      </c>
      <c r="G7884" s="2" t="s">
        <v>137</v>
      </c>
      <c r="H7884" s="2" t="s">
        <v>34</v>
      </c>
      <c r="I7884" s="2" t="s">
        <v>4056</v>
      </c>
      <c r="J7884" s="2" t="s">
        <v>4057</v>
      </c>
      <c r="K7884" s="2" t="s">
        <v>137</v>
      </c>
      <c r="L7884" s="2" t="s">
        <v>34</v>
      </c>
      <c r="M7884" s="7">
        <v>93.905000000000001</v>
      </c>
      <c r="N7884" s="6">
        <v>16.010000000000002</v>
      </c>
      <c r="O7884" s="6">
        <v>16.09</v>
      </c>
      <c r="P7884" s="2" t="s">
        <v>23631</v>
      </c>
      <c r="Q7884" s="6">
        <v>86.9</v>
      </c>
      <c r="R7884" s="6">
        <v>2.9</v>
      </c>
      <c r="S7884" s="5">
        <v>-3.2</v>
      </c>
      <c r="T7884" s="7">
        <v>-2.5190000000000001</v>
      </c>
      <c r="U7884" s="5">
        <v>1.3</v>
      </c>
      <c r="V7884" s="6">
        <v>-0.7</v>
      </c>
      <c r="W7884" s="6">
        <v>1.85</v>
      </c>
      <c r="X7884" s="6">
        <v>1.73</v>
      </c>
      <c r="Y7884" s="6">
        <v>2.87</v>
      </c>
      <c r="Z7884" s="6">
        <v>2.87</v>
      </c>
      <c r="AA7884" s="6">
        <v>4.8600000000000003</v>
      </c>
      <c r="AB7884" s="2" t="s">
        <v>86</v>
      </c>
      <c r="AC7884" s="6">
        <v>7.18</v>
      </c>
    </row>
    <row r="7885" spans="1:29" ht="91" x14ac:dyDescent="0.15">
      <c r="A7885" s="3">
        <f>DATE(2005,12,19)</f>
        <v>38705</v>
      </c>
      <c r="B7885" s="3">
        <f>DATE(2006,1,30)</f>
        <v>38747</v>
      </c>
      <c r="C7885" s="2" t="s">
        <v>95</v>
      </c>
      <c r="D7885" s="2" t="s">
        <v>23632</v>
      </c>
      <c r="E7885" s="2" t="s">
        <v>23633</v>
      </c>
      <c r="F7885" s="4">
        <v>7372</v>
      </c>
      <c r="G7885" s="2" t="s">
        <v>551</v>
      </c>
      <c r="H7885" s="2" t="s">
        <v>34</v>
      </c>
      <c r="I7885" s="2" t="s">
        <v>23634</v>
      </c>
      <c r="J7885" s="2" t="s">
        <v>23635</v>
      </c>
      <c r="K7885" s="2" t="s">
        <v>551</v>
      </c>
      <c r="L7885" s="2" t="s">
        <v>34</v>
      </c>
      <c r="M7885" s="2"/>
      <c r="N7885" s="2"/>
      <c r="O7885" s="2"/>
      <c r="P7885" s="2" t="s">
        <v>23636</v>
      </c>
      <c r="Q7885" s="6">
        <v>100</v>
      </c>
      <c r="R7885" s="6">
        <v>6.2</v>
      </c>
      <c r="S7885" s="5">
        <v>-1.3</v>
      </c>
      <c r="T7885" s="7">
        <v>8.1000000000000003E-2</v>
      </c>
      <c r="U7885" s="5">
        <v>2.8</v>
      </c>
      <c r="V7885" s="6">
        <v>-0.14000000000000001</v>
      </c>
      <c r="W7885" s="5">
        <v>4.9000000000000004</v>
      </c>
      <c r="X7885" s="5">
        <v>4.7</v>
      </c>
      <c r="Y7885" s="7">
        <v>4.3540000000000001</v>
      </c>
      <c r="Z7885" s="6">
        <v>6.13</v>
      </c>
      <c r="AA7885" s="6">
        <v>9.56</v>
      </c>
      <c r="AB7885" s="2" t="s">
        <v>86</v>
      </c>
      <c r="AC7885" s="2"/>
    </row>
    <row r="7886" spans="1:29" ht="130" x14ac:dyDescent="0.15">
      <c r="A7886" s="3">
        <f>DATE(2005,12,19)</f>
        <v>38705</v>
      </c>
      <c r="B7886" s="3">
        <f>DATE(2006,5,4)</f>
        <v>38841</v>
      </c>
      <c r="C7886" s="2" t="s">
        <v>95</v>
      </c>
      <c r="D7886" s="2" t="s">
        <v>23637</v>
      </c>
      <c r="E7886" s="2" t="s">
        <v>23638</v>
      </c>
      <c r="F7886" s="4">
        <v>7374</v>
      </c>
      <c r="G7886" s="2" t="s">
        <v>223</v>
      </c>
      <c r="H7886" s="2" t="s">
        <v>34</v>
      </c>
      <c r="I7886" s="2" t="s">
        <v>23639</v>
      </c>
      <c r="J7886" s="2" t="s">
        <v>11337</v>
      </c>
      <c r="K7886" s="2" t="s">
        <v>53</v>
      </c>
      <c r="L7886" s="2" t="s">
        <v>34</v>
      </c>
      <c r="M7886" s="2"/>
      <c r="N7886" s="2"/>
      <c r="O7886" s="2"/>
      <c r="P7886" s="2" t="s">
        <v>23640</v>
      </c>
      <c r="Q7886" s="6">
        <v>100</v>
      </c>
      <c r="R7886" s="6">
        <v>9.5</v>
      </c>
      <c r="S7886" s="5">
        <v>6.8</v>
      </c>
      <c r="T7886" s="7">
        <v>33.521000000000001</v>
      </c>
      <c r="U7886" s="5">
        <v>8.9</v>
      </c>
      <c r="V7886" s="6">
        <v>0.28999999999999998</v>
      </c>
      <c r="W7886" s="6">
        <v>7.89</v>
      </c>
      <c r="X7886" s="6">
        <v>8.26</v>
      </c>
      <c r="Y7886" s="6">
        <v>9.02</v>
      </c>
      <c r="Z7886" s="6">
        <v>8.98</v>
      </c>
      <c r="AA7886" s="6">
        <v>20.77</v>
      </c>
      <c r="AB7886" s="7">
        <v>26.048999999999999</v>
      </c>
      <c r="AC7886" s="2"/>
    </row>
    <row r="7887" spans="1:29" ht="325" x14ac:dyDescent="0.15">
      <c r="A7887" s="3">
        <f>DATE(2005,12,19)</f>
        <v>38705</v>
      </c>
      <c r="B7887" s="3">
        <f>DATE(2006,3,31)</f>
        <v>38807</v>
      </c>
      <c r="C7887" s="2" t="s">
        <v>95</v>
      </c>
      <c r="D7887" s="2" t="s">
        <v>23641</v>
      </c>
      <c r="E7887" s="2" t="s">
        <v>92</v>
      </c>
      <c r="F7887" s="4">
        <v>6798</v>
      </c>
      <c r="G7887" s="2" t="s">
        <v>53</v>
      </c>
      <c r="H7887" s="2" t="s">
        <v>34</v>
      </c>
      <c r="I7887" s="2" t="s">
        <v>23642</v>
      </c>
      <c r="J7887" s="2" t="s">
        <v>3941</v>
      </c>
      <c r="K7887" s="2" t="s">
        <v>53</v>
      </c>
      <c r="L7887" s="2" t="s">
        <v>34</v>
      </c>
      <c r="M7887" s="2"/>
      <c r="N7887" s="2"/>
      <c r="O7887" s="2"/>
      <c r="P7887" s="2" t="s">
        <v>23643</v>
      </c>
      <c r="Q7887" s="6">
        <v>100</v>
      </c>
      <c r="R7887" s="6">
        <v>40.200000000000003</v>
      </c>
      <c r="S7887" s="5">
        <v>5.2</v>
      </c>
      <c r="T7887" s="7">
        <v>32.837000000000003</v>
      </c>
      <c r="U7887" s="5">
        <v>1.4</v>
      </c>
      <c r="V7887" s="6">
        <v>0.3</v>
      </c>
      <c r="W7887" s="6">
        <v>30.39</v>
      </c>
      <c r="X7887" s="5">
        <v>30.3</v>
      </c>
      <c r="Y7887" s="6">
        <v>29.79</v>
      </c>
      <c r="Z7887" s="6">
        <v>33.75</v>
      </c>
      <c r="AA7887" s="6">
        <v>17.579999999999998</v>
      </c>
      <c r="AB7887" s="7">
        <v>246.024</v>
      </c>
      <c r="AC7887" s="2"/>
    </row>
    <row r="7888" spans="1:29" ht="104" x14ac:dyDescent="0.15">
      <c r="A7888" s="3">
        <f>DATE(2005,12,20)</f>
        <v>38706</v>
      </c>
      <c r="B7888" s="3">
        <f>DATE(2006,5,22)</f>
        <v>38859</v>
      </c>
      <c r="C7888" s="2" t="s">
        <v>95</v>
      </c>
      <c r="D7888" s="2" t="s">
        <v>6998</v>
      </c>
      <c r="E7888" s="2" t="s">
        <v>6822</v>
      </c>
      <c r="F7888" s="4">
        <v>3572</v>
      </c>
      <c r="G7888" s="2" t="s">
        <v>50</v>
      </c>
      <c r="H7888" s="2" t="s">
        <v>34</v>
      </c>
      <c r="I7888" s="2" t="s">
        <v>6821</v>
      </c>
      <c r="J7888" s="2" t="s">
        <v>23644</v>
      </c>
      <c r="K7888" s="2" t="s">
        <v>50</v>
      </c>
      <c r="L7888" s="2" t="s">
        <v>34</v>
      </c>
      <c r="M7888" s="12">
        <v>8615.4140000000007</v>
      </c>
      <c r="N7888" s="5">
        <v>19.600000000000001</v>
      </c>
      <c r="O7888" s="6">
        <v>20.23</v>
      </c>
      <c r="P7888" s="2" t="s">
        <v>23645</v>
      </c>
      <c r="Q7888" s="6">
        <v>100</v>
      </c>
      <c r="R7888" s="6">
        <v>7.24</v>
      </c>
      <c r="S7888" s="5">
        <v>-97.9</v>
      </c>
      <c r="T7888" s="7">
        <v>131.298</v>
      </c>
      <c r="U7888" s="5">
        <v>2.2000000000000002</v>
      </c>
      <c r="V7888" s="6">
        <v>-0.39</v>
      </c>
      <c r="W7888" s="6">
        <v>4.66</v>
      </c>
      <c r="X7888" s="6">
        <v>4.53</v>
      </c>
      <c r="Y7888" s="6">
        <v>4.5199999999999996</v>
      </c>
      <c r="Z7888" s="6">
        <v>6.93</v>
      </c>
      <c r="AA7888" s="6">
        <v>254.04</v>
      </c>
      <c r="AB7888" s="2" t="s">
        <v>86</v>
      </c>
      <c r="AC7888" s="8">
        <v>1792</v>
      </c>
    </row>
    <row r="7889" spans="1:29" ht="130" x14ac:dyDescent="0.15">
      <c r="A7889" s="3">
        <f>DATE(2005,12,21)</f>
        <v>38707</v>
      </c>
      <c r="B7889" s="3">
        <f>DATE(2006,6,30)</f>
        <v>38898</v>
      </c>
      <c r="C7889" s="2" t="s">
        <v>95</v>
      </c>
      <c r="D7889" s="2" t="s">
        <v>23646</v>
      </c>
      <c r="E7889" s="2" t="s">
        <v>18191</v>
      </c>
      <c r="F7889" s="4">
        <v>6021</v>
      </c>
      <c r="G7889" s="2" t="s">
        <v>37</v>
      </c>
      <c r="H7889" s="2" t="s">
        <v>34</v>
      </c>
      <c r="I7889" s="2" t="s">
        <v>23647</v>
      </c>
      <c r="J7889" s="2" t="s">
        <v>36</v>
      </c>
      <c r="K7889" s="2" t="s">
        <v>37</v>
      </c>
      <c r="L7889" s="2" t="s">
        <v>34</v>
      </c>
      <c r="M7889" s="7">
        <v>333.02199999999999</v>
      </c>
      <c r="N7889" s="6">
        <v>16.14</v>
      </c>
      <c r="O7889" s="6">
        <v>16.23</v>
      </c>
      <c r="P7889" s="2" t="s">
        <v>23648</v>
      </c>
      <c r="Q7889" s="6">
        <v>100</v>
      </c>
      <c r="R7889" s="6">
        <v>24</v>
      </c>
      <c r="S7889" s="5">
        <v>2</v>
      </c>
      <c r="T7889" s="7">
        <v>2.883</v>
      </c>
      <c r="U7889" s="5">
        <v>16.5</v>
      </c>
      <c r="V7889" s="6">
        <v>1.27</v>
      </c>
      <c r="W7889" s="5">
        <v>29.5</v>
      </c>
      <c r="X7889" s="6">
        <v>28.02</v>
      </c>
      <c r="Y7889" s="5">
        <v>22.5</v>
      </c>
      <c r="Z7889" s="6">
        <v>22.55</v>
      </c>
      <c r="AA7889" s="6">
        <v>1.68</v>
      </c>
      <c r="AB7889" s="7">
        <v>31.303000000000001</v>
      </c>
      <c r="AC7889" s="2"/>
    </row>
    <row r="7890" spans="1:29" ht="91" x14ac:dyDescent="0.15">
      <c r="A7890" s="3">
        <f>DATE(2005,12,21)</f>
        <v>38707</v>
      </c>
      <c r="B7890" s="3">
        <f>DATE(2006,5,26)</f>
        <v>38863</v>
      </c>
      <c r="C7890" s="2" t="s">
        <v>95</v>
      </c>
      <c r="D7890" s="2" t="s">
        <v>23649</v>
      </c>
      <c r="E7890" s="2" t="s">
        <v>8690</v>
      </c>
      <c r="F7890" s="4">
        <v>6021</v>
      </c>
      <c r="G7890" s="2" t="s">
        <v>37</v>
      </c>
      <c r="H7890" s="2" t="s">
        <v>34</v>
      </c>
      <c r="I7890" s="2" t="s">
        <v>21951</v>
      </c>
      <c r="J7890" s="2" t="s">
        <v>36</v>
      </c>
      <c r="K7890" s="2" t="s">
        <v>37</v>
      </c>
      <c r="L7890" s="2" t="s">
        <v>34</v>
      </c>
      <c r="M7890" s="12">
        <v>1073.0730000000001</v>
      </c>
      <c r="N7890" s="6">
        <v>17.98</v>
      </c>
      <c r="O7890" s="6">
        <v>17.79</v>
      </c>
      <c r="P7890" s="2" t="s">
        <v>23650</v>
      </c>
      <c r="Q7890" s="6">
        <v>100</v>
      </c>
      <c r="R7890" s="2"/>
      <c r="S7890" s="2"/>
      <c r="T7890" s="2"/>
      <c r="U7890" s="2"/>
      <c r="V7890" s="2"/>
      <c r="W7890" s="6">
        <v>12.75</v>
      </c>
      <c r="X7890" s="5">
        <v>13.1</v>
      </c>
      <c r="Y7890" s="5">
        <v>12.8</v>
      </c>
      <c r="Z7890" s="6">
        <v>16.95</v>
      </c>
      <c r="AA7890" s="6">
        <v>3.63</v>
      </c>
      <c r="AB7890" s="2" t="s">
        <v>47</v>
      </c>
      <c r="AC7890" s="2"/>
    </row>
    <row r="7891" spans="1:29" ht="78" x14ac:dyDescent="0.15">
      <c r="A7891" s="3">
        <f>DATE(2005,12,21)</f>
        <v>38707</v>
      </c>
      <c r="B7891" s="3">
        <f>DATE(2006,2,15)</f>
        <v>38763</v>
      </c>
      <c r="C7891" s="2" t="s">
        <v>95</v>
      </c>
      <c r="D7891" s="2" t="s">
        <v>23651</v>
      </c>
      <c r="E7891" s="2" t="s">
        <v>3669</v>
      </c>
      <c r="F7891" s="4">
        <v>7372</v>
      </c>
      <c r="G7891" s="2" t="s">
        <v>551</v>
      </c>
      <c r="H7891" s="2" t="s">
        <v>34</v>
      </c>
      <c r="I7891" s="2" t="s">
        <v>5443</v>
      </c>
      <c r="J7891" s="2" t="s">
        <v>5444</v>
      </c>
      <c r="K7891" s="2" t="s">
        <v>50</v>
      </c>
      <c r="L7891" s="2" t="s">
        <v>34</v>
      </c>
      <c r="M7891" s="12">
        <v>140261.06599999999</v>
      </c>
      <c r="N7891" s="6">
        <v>83.12</v>
      </c>
      <c r="O7891" s="6">
        <v>83.22</v>
      </c>
      <c r="P7891" s="2" t="s">
        <v>23652</v>
      </c>
      <c r="Q7891" s="6">
        <v>100</v>
      </c>
      <c r="R7891" s="6">
        <v>10</v>
      </c>
      <c r="S7891" s="5">
        <v>-3.8</v>
      </c>
      <c r="T7891" s="7">
        <v>1.9330000000000001</v>
      </c>
      <c r="U7891" s="5">
        <v>2.5</v>
      </c>
      <c r="V7891" s="6">
        <v>-0.05</v>
      </c>
      <c r="W7891" s="6">
        <v>7.65</v>
      </c>
      <c r="X7891" s="6">
        <v>7.21</v>
      </c>
      <c r="Y7891" s="6">
        <v>9.92</v>
      </c>
      <c r="Z7891" s="6">
        <v>9.93</v>
      </c>
      <c r="AA7891" s="6">
        <v>79.69</v>
      </c>
      <c r="AB7891" s="2" t="s">
        <v>86</v>
      </c>
      <c r="AC7891" s="8">
        <v>8254</v>
      </c>
    </row>
    <row r="7892" spans="1:29" ht="143" x14ac:dyDescent="0.15">
      <c r="A7892" s="3">
        <f>DATE(2005,12,22)</f>
        <v>38708</v>
      </c>
      <c r="B7892" s="3">
        <f>DATE(2006,5,2)</f>
        <v>38839</v>
      </c>
      <c r="C7892" s="2" t="s">
        <v>95</v>
      </c>
      <c r="D7892" s="2" t="s">
        <v>23653</v>
      </c>
      <c r="E7892" s="2" t="s">
        <v>92</v>
      </c>
      <c r="F7892" s="4">
        <v>6798</v>
      </c>
      <c r="G7892" s="2" t="s">
        <v>53</v>
      </c>
      <c r="H7892" s="2" t="s">
        <v>34</v>
      </c>
      <c r="I7892" s="2" t="s">
        <v>23654</v>
      </c>
      <c r="J7892" s="2" t="s">
        <v>23655</v>
      </c>
      <c r="K7892" s="2" t="s">
        <v>370</v>
      </c>
      <c r="L7892" s="2" t="s">
        <v>34</v>
      </c>
      <c r="M7892" s="2"/>
      <c r="N7892" s="2"/>
      <c r="O7892" s="2"/>
      <c r="P7892" s="2" t="s">
        <v>23656</v>
      </c>
      <c r="Q7892" s="6">
        <v>100</v>
      </c>
      <c r="R7892" s="6">
        <v>45.25</v>
      </c>
      <c r="S7892" s="5">
        <v>59</v>
      </c>
      <c r="T7892" s="7">
        <v>174.583</v>
      </c>
      <c r="U7892" s="5">
        <v>17.600000000000001</v>
      </c>
      <c r="V7892" s="6">
        <v>0.87</v>
      </c>
      <c r="W7892" s="5">
        <v>46.2</v>
      </c>
      <c r="X7892" s="6">
        <v>46.99</v>
      </c>
      <c r="Y7892" s="6">
        <v>45.18</v>
      </c>
      <c r="Z7892" s="6">
        <v>45.28</v>
      </c>
      <c r="AA7892" s="6">
        <v>67.319999999999993</v>
      </c>
      <c r="AB7892" s="7">
        <v>101.518</v>
      </c>
      <c r="AC7892" s="2"/>
    </row>
    <row r="7893" spans="1:29" ht="78" x14ac:dyDescent="0.15">
      <c r="A7893" s="3">
        <f>DATE(2005,12,29)</f>
        <v>38715</v>
      </c>
      <c r="B7893" s="3">
        <f>DATE(2006,4,3)</f>
        <v>38810</v>
      </c>
      <c r="C7893" s="2" t="s">
        <v>95</v>
      </c>
      <c r="D7893" s="2" t="s">
        <v>16043</v>
      </c>
      <c r="E7893" s="2" t="s">
        <v>203</v>
      </c>
      <c r="F7893" s="4">
        <v>6035</v>
      </c>
      <c r="G7893" s="2" t="s">
        <v>33</v>
      </c>
      <c r="H7893" s="2" t="s">
        <v>34</v>
      </c>
      <c r="I7893" s="2" t="s">
        <v>23657</v>
      </c>
      <c r="J7893" s="2" t="s">
        <v>23658</v>
      </c>
      <c r="K7893" s="2" t="s">
        <v>37</v>
      </c>
      <c r="L7893" s="2" t="s">
        <v>34</v>
      </c>
      <c r="M7893" s="2"/>
      <c r="N7893" s="4">
        <v>1325</v>
      </c>
      <c r="O7893" s="4">
        <v>1325</v>
      </c>
      <c r="P7893" s="2" t="s">
        <v>23659</v>
      </c>
      <c r="Q7893" s="6">
        <v>100</v>
      </c>
      <c r="R7893" s="6">
        <v>55.5</v>
      </c>
      <c r="S7893" s="5">
        <v>1.7</v>
      </c>
      <c r="T7893" s="2"/>
      <c r="U7893" s="5">
        <v>2.2999999999999998</v>
      </c>
      <c r="V7893" s="7">
        <v>0.16900000000000001</v>
      </c>
      <c r="W7893" s="4">
        <v>27</v>
      </c>
      <c r="X7893" s="4">
        <v>27</v>
      </c>
      <c r="Y7893" s="4">
        <v>27</v>
      </c>
      <c r="Z7893" s="5">
        <v>53.3</v>
      </c>
      <c r="AA7893" s="6">
        <v>0.92</v>
      </c>
      <c r="AB7893" s="7">
        <v>270.714</v>
      </c>
      <c r="AC7893" s="2"/>
    </row>
    <row r="7894" spans="1:29" ht="65" x14ac:dyDescent="0.15">
      <c r="A7894" s="3">
        <f>DATE(2006,1,3)</f>
        <v>38720</v>
      </c>
      <c r="B7894" s="2"/>
      <c r="C7894" s="2" t="s">
        <v>30</v>
      </c>
      <c r="D7894" s="2" t="s">
        <v>22557</v>
      </c>
      <c r="E7894" s="2" t="s">
        <v>22558</v>
      </c>
      <c r="F7894" s="4">
        <v>7374</v>
      </c>
      <c r="G7894" s="2" t="s">
        <v>223</v>
      </c>
      <c r="H7894" s="2" t="s">
        <v>34</v>
      </c>
      <c r="I7894" s="2" t="s">
        <v>51</v>
      </c>
      <c r="J7894" s="2" t="s">
        <v>52</v>
      </c>
      <c r="K7894" s="2" t="s">
        <v>53</v>
      </c>
      <c r="L7894" s="2" t="s">
        <v>34</v>
      </c>
      <c r="M7894" s="2"/>
      <c r="N7894" s="2"/>
      <c r="O7894" s="2"/>
      <c r="P7894" s="2" t="s">
        <v>23660</v>
      </c>
      <c r="Q7894" s="2"/>
      <c r="R7894" s="2"/>
      <c r="S7894" s="5">
        <v>415.9</v>
      </c>
      <c r="T7894" s="7">
        <v>900.74300000000005</v>
      </c>
      <c r="U7894" s="5">
        <v>23.7</v>
      </c>
      <c r="V7894" s="6">
        <v>3.21</v>
      </c>
      <c r="W7894" s="6">
        <v>59.68</v>
      </c>
      <c r="X7894" s="6">
        <v>59.18</v>
      </c>
      <c r="Y7894" s="6">
        <v>61.13</v>
      </c>
      <c r="Z7894" s="6">
        <v>61.13</v>
      </c>
      <c r="AA7894" s="6">
        <v>124.28</v>
      </c>
      <c r="AB7894" s="2" t="s">
        <v>47</v>
      </c>
      <c r="AC7894" s="2"/>
    </row>
    <row r="7895" spans="1:29" ht="143" x14ac:dyDescent="0.15">
      <c r="A7895" s="3">
        <f>DATE(2006,1,3)</f>
        <v>38720</v>
      </c>
      <c r="B7895" s="3">
        <f>DATE(2006,6,12)</f>
        <v>38880</v>
      </c>
      <c r="C7895" s="2" t="s">
        <v>95</v>
      </c>
      <c r="D7895" s="2" t="s">
        <v>4573</v>
      </c>
      <c r="E7895" s="2" t="s">
        <v>4574</v>
      </c>
      <c r="F7895" s="4">
        <v>2899</v>
      </c>
      <c r="G7895" s="2" t="s">
        <v>98</v>
      </c>
      <c r="H7895" s="2" t="s">
        <v>34</v>
      </c>
      <c r="I7895" s="2" t="s">
        <v>23661</v>
      </c>
      <c r="J7895" s="2" t="s">
        <v>23662</v>
      </c>
      <c r="K7895" s="2" t="s">
        <v>98</v>
      </c>
      <c r="L7895" s="2" t="s">
        <v>1049</v>
      </c>
      <c r="M7895" s="12">
        <v>41760.671999999999</v>
      </c>
      <c r="N7895" s="7">
        <v>77.878</v>
      </c>
      <c r="O7895" s="7">
        <v>76.325000000000003</v>
      </c>
      <c r="P7895" s="2" t="s">
        <v>23663</v>
      </c>
      <c r="Q7895" s="6">
        <v>100</v>
      </c>
      <c r="R7895" s="6">
        <v>39</v>
      </c>
      <c r="S7895" s="5">
        <v>238.2</v>
      </c>
      <c r="T7895" s="7">
        <v>431.00099999999998</v>
      </c>
      <c r="U7895" s="5">
        <v>12.4</v>
      </c>
      <c r="V7895" s="6">
        <v>2.02</v>
      </c>
      <c r="W7895" s="6">
        <v>30.72</v>
      </c>
      <c r="X7895" s="6">
        <v>30.15</v>
      </c>
      <c r="Y7895" s="4">
        <v>38</v>
      </c>
      <c r="Z7895" s="6">
        <v>37.76</v>
      </c>
      <c r="AA7895" s="6">
        <v>119.91</v>
      </c>
      <c r="AB7895" s="7">
        <v>18.164999999999999</v>
      </c>
      <c r="AC7895" s="10">
        <v>5185.7299999999996</v>
      </c>
    </row>
    <row r="7896" spans="1:29" ht="91" x14ac:dyDescent="0.15">
      <c r="A7896" s="3">
        <f>DATE(2006,1,4)</f>
        <v>38721</v>
      </c>
      <c r="B7896" s="3">
        <f>DATE(2006,3,31)</f>
        <v>38807</v>
      </c>
      <c r="C7896" s="2" t="s">
        <v>95</v>
      </c>
      <c r="D7896" s="2" t="s">
        <v>19611</v>
      </c>
      <c r="E7896" s="2" t="s">
        <v>19612</v>
      </c>
      <c r="F7896" s="4">
        <v>7372</v>
      </c>
      <c r="G7896" s="2" t="s">
        <v>551</v>
      </c>
      <c r="H7896" s="2" t="s">
        <v>34</v>
      </c>
      <c r="I7896" s="2" t="s">
        <v>23664</v>
      </c>
      <c r="J7896" s="2" t="s">
        <v>1072</v>
      </c>
      <c r="K7896" s="2" t="s">
        <v>53</v>
      </c>
      <c r="L7896" s="2" t="s">
        <v>34</v>
      </c>
      <c r="M7896" s="2"/>
      <c r="N7896" s="2"/>
      <c r="O7896" s="2"/>
      <c r="P7896" s="2" t="s">
        <v>23665</v>
      </c>
      <c r="Q7896" s="6">
        <v>100</v>
      </c>
      <c r="R7896" s="6">
        <v>10.26</v>
      </c>
      <c r="S7896" s="5">
        <v>7.5</v>
      </c>
      <c r="T7896" s="7">
        <v>14.319000000000001</v>
      </c>
      <c r="U7896" s="5">
        <v>3.1</v>
      </c>
      <c r="V7896" s="6">
        <v>0.37</v>
      </c>
      <c r="W7896" s="6">
        <v>8.25</v>
      </c>
      <c r="X7896" s="5">
        <v>8.9</v>
      </c>
      <c r="Y7896" s="6">
        <v>8.7899999999999991</v>
      </c>
      <c r="Z7896" s="6">
        <v>9.8699999999999992</v>
      </c>
      <c r="AA7896" s="6">
        <v>19.989999999999998</v>
      </c>
      <c r="AB7896" s="7">
        <v>13.771000000000001</v>
      </c>
      <c r="AC7896" s="2"/>
    </row>
    <row r="7897" spans="1:29" ht="143" x14ac:dyDescent="0.15">
      <c r="A7897" s="3">
        <f>DATE(2006,1,4)</f>
        <v>38721</v>
      </c>
      <c r="B7897" s="2"/>
      <c r="C7897" s="2" t="s">
        <v>30</v>
      </c>
      <c r="D7897" s="2" t="s">
        <v>23666</v>
      </c>
      <c r="E7897" s="2" t="s">
        <v>23667</v>
      </c>
      <c r="F7897" s="4">
        <v>7372</v>
      </c>
      <c r="G7897" s="2" t="s">
        <v>551</v>
      </c>
      <c r="H7897" s="2" t="s">
        <v>34</v>
      </c>
      <c r="I7897" s="2" t="s">
        <v>23668</v>
      </c>
      <c r="J7897" s="2" t="s">
        <v>15468</v>
      </c>
      <c r="K7897" s="2" t="s">
        <v>551</v>
      </c>
      <c r="L7897" s="2" t="s">
        <v>1086</v>
      </c>
      <c r="M7897" s="2"/>
      <c r="N7897" s="6">
        <v>3.19</v>
      </c>
      <c r="O7897" s="6">
        <v>3.23</v>
      </c>
      <c r="P7897" s="2" t="s">
        <v>23669</v>
      </c>
      <c r="Q7897" s="2"/>
      <c r="R7897" s="6">
        <v>5</v>
      </c>
      <c r="S7897" s="5">
        <v>-0.6</v>
      </c>
      <c r="T7897" s="7">
        <v>1.5760000000000001</v>
      </c>
      <c r="U7897" s="5">
        <v>1.3</v>
      </c>
      <c r="V7897" s="6">
        <v>-0.02</v>
      </c>
      <c r="W7897" s="6">
        <v>3.95</v>
      </c>
      <c r="X7897" s="6">
        <v>4.38</v>
      </c>
      <c r="Y7897" s="5">
        <v>4.5</v>
      </c>
      <c r="Z7897" s="6">
        <v>4.74</v>
      </c>
      <c r="AA7897" s="6">
        <v>18.48</v>
      </c>
      <c r="AB7897" s="2" t="s">
        <v>86</v>
      </c>
      <c r="AC7897" s="6">
        <v>131.35</v>
      </c>
    </row>
    <row r="7898" spans="1:29" ht="156" x14ac:dyDescent="0.15">
      <c r="A7898" s="3">
        <f>DATE(2006,1,6)</f>
        <v>38723</v>
      </c>
      <c r="B7898" s="3">
        <f>DATE(2006,4,12)</f>
        <v>38819</v>
      </c>
      <c r="C7898" s="2" t="s">
        <v>95</v>
      </c>
      <c r="D7898" s="2" t="s">
        <v>23670</v>
      </c>
      <c r="E7898" s="2" t="s">
        <v>23671</v>
      </c>
      <c r="F7898" s="4">
        <v>2844</v>
      </c>
      <c r="G7898" s="2" t="s">
        <v>358</v>
      </c>
      <c r="H7898" s="2" t="s">
        <v>34</v>
      </c>
      <c r="I7898" s="2" t="s">
        <v>23672</v>
      </c>
      <c r="J7898" s="2" t="s">
        <v>11337</v>
      </c>
      <c r="K7898" s="2" t="s">
        <v>53</v>
      </c>
      <c r="L7898" s="2" t="s">
        <v>34</v>
      </c>
      <c r="M7898" s="2"/>
      <c r="N7898" s="2"/>
      <c r="O7898" s="2"/>
      <c r="P7898" s="2" t="s">
        <v>23673</v>
      </c>
      <c r="Q7898" s="6">
        <v>100</v>
      </c>
      <c r="R7898" s="6">
        <v>27.75</v>
      </c>
      <c r="S7898" s="5">
        <v>19.399999999999999</v>
      </c>
      <c r="T7898" s="6">
        <v>34.83</v>
      </c>
      <c r="U7898" s="5">
        <v>12.6</v>
      </c>
      <c r="V7898" s="2"/>
      <c r="W7898" s="6">
        <v>21.47</v>
      </c>
      <c r="X7898" s="6">
        <v>21.36</v>
      </c>
      <c r="Y7898" s="6">
        <v>21.62</v>
      </c>
      <c r="Z7898" s="6">
        <v>27.18</v>
      </c>
      <c r="AA7898" s="6">
        <v>12.29</v>
      </c>
      <c r="AB7898" s="7">
        <v>11.843</v>
      </c>
      <c r="AC7898" s="2"/>
    </row>
    <row r="7899" spans="1:29" ht="91" x14ac:dyDescent="0.15">
      <c r="A7899" s="3">
        <f>DATE(2006,1,9)</f>
        <v>38726</v>
      </c>
      <c r="B7899" s="2"/>
      <c r="C7899" s="2" t="s">
        <v>30</v>
      </c>
      <c r="D7899" s="2" t="s">
        <v>22923</v>
      </c>
      <c r="E7899" s="2" t="s">
        <v>22924</v>
      </c>
      <c r="F7899" s="4">
        <v>2671</v>
      </c>
      <c r="G7899" s="2" t="s">
        <v>282</v>
      </c>
      <c r="H7899" s="2" t="s">
        <v>34</v>
      </c>
      <c r="I7899" s="2" t="s">
        <v>23674</v>
      </c>
      <c r="J7899" s="2" t="s">
        <v>244</v>
      </c>
      <c r="K7899" s="2" t="s">
        <v>53</v>
      </c>
      <c r="L7899" s="2" t="s">
        <v>34</v>
      </c>
      <c r="M7899" s="2"/>
      <c r="N7899" s="2"/>
      <c r="O7899" s="2"/>
      <c r="P7899" s="2" t="s">
        <v>23675</v>
      </c>
      <c r="Q7899" s="2"/>
      <c r="R7899" s="6">
        <v>16.75</v>
      </c>
      <c r="S7899" s="5">
        <v>3</v>
      </c>
      <c r="T7899" s="7">
        <v>12.000999999999999</v>
      </c>
      <c r="U7899" s="5">
        <v>7.8</v>
      </c>
      <c r="V7899" s="6">
        <v>0.65</v>
      </c>
      <c r="W7899" s="6">
        <v>14.05</v>
      </c>
      <c r="X7899" s="6">
        <v>14.36</v>
      </c>
      <c r="Y7899" s="5">
        <v>14.4</v>
      </c>
      <c r="Z7899" s="6">
        <v>16.46</v>
      </c>
      <c r="AA7899" s="6">
        <v>4</v>
      </c>
      <c r="AB7899" s="7">
        <v>12.901999999999999</v>
      </c>
      <c r="AC7899" s="2"/>
    </row>
    <row r="7900" spans="1:29" ht="65" x14ac:dyDescent="0.15">
      <c r="A7900" s="3">
        <f>DATE(2006,1,9)</f>
        <v>38726</v>
      </c>
      <c r="B7900" s="3">
        <f>DATE(2006,1,12)</f>
        <v>38729</v>
      </c>
      <c r="C7900" s="2" t="s">
        <v>95</v>
      </c>
      <c r="D7900" s="2" t="s">
        <v>23676</v>
      </c>
      <c r="E7900" s="2" t="s">
        <v>22608</v>
      </c>
      <c r="F7900" s="4">
        <v>4832</v>
      </c>
      <c r="G7900" s="2" t="s">
        <v>45</v>
      </c>
      <c r="H7900" s="2" t="s">
        <v>34</v>
      </c>
      <c r="I7900" s="2" t="s">
        <v>23677</v>
      </c>
      <c r="J7900" s="2" t="s">
        <v>23678</v>
      </c>
      <c r="K7900" s="2" t="s">
        <v>551</v>
      </c>
      <c r="L7900" s="2" t="s">
        <v>34</v>
      </c>
      <c r="M7900" s="2"/>
      <c r="N7900" s="2"/>
      <c r="O7900" s="2"/>
      <c r="P7900" s="2" t="s">
        <v>23679</v>
      </c>
      <c r="Q7900" s="6">
        <v>100</v>
      </c>
      <c r="R7900" s="2"/>
      <c r="S7900" s="5">
        <v>-0.8</v>
      </c>
      <c r="T7900" s="7">
        <v>-0.748</v>
      </c>
      <c r="U7900" s="5">
        <v>0</v>
      </c>
      <c r="V7900" s="6">
        <v>-0.05</v>
      </c>
      <c r="W7900" s="5">
        <v>4.5</v>
      </c>
      <c r="X7900" s="4">
        <v>8</v>
      </c>
      <c r="Y7900" s="4">
        <v>8</v>
      </c>
      <c r="Z7900" s="4">
        <v>8</v>
      </c>
      <c r="AA7900" s="6">
        <v>0.51</v>
      </c>
      <c r="AB7900" s="2" t="s">
        <v>86</v>
      </c>
      <c r="AC7900" s="2"/>
    </row>
    <row r="7901" spans="1:29" ht="91" x14ac:dyDescent="0.15">
      <c r="A7901" s="3">
        <f>DATE(2006,1,10)</f>
        <v>38727</v>
      </c>
      <c r="B7901" s="3">
        <f>DATE(2006,8,29)</f>
        <v>38958</v>
      </c>
      <c r="C7901" s="2" t="s">
        <v>95</v>
      </c>
      <c r="D7901" s="2" t="s">
        <v>20716</v>
      </c>
      <c r="E7901" s="2" t="s">
        <v>20717</v>
      </c>
      <c r="F7901" s="4">
        <v>7372</v>
      </c>
      <c r="G7901" s="2" t="s">
        <v>551</v>
      </c>
      <c r="H7901" s="2" t="s">
        <v>34</v>
      </c>
      <c r="I7901" s="2" t="s">
        <v>23680</v>
      </c>
      <c r="J7901" s="2" t="s">
        <v>23681</v>
      </c>
      <c r="K7901" s="2" t="s">
        <v>364</v>
      </c>
      <c r="L7901" s="2" t="s">
        <v>5907</v>
      </c>
      <c r="M7901" s="12">
        <v>3208.2310000000002</v>
      </c>
      <c r="N7901" s="7">
        <v>36.237000000000002</v>
      </c>
      <c r="O7901" s="7">
        <v>35.853000000000002</v>
      </c>
      <c r="P7901" s="2" t="s">
        <v>23682</v>
      </c>
      <c r="Q7901" s="6">
        <v>100</v>
      </c>
      <c r="R7901" s="6">
        <v>35</v>
      </c>
      <c r="S7901" s="5">
        <v>195.5</v>
      </c>
      <c r="T7901" s="7">
        <v>497.36599999999999</v>
      </c>
      <c r="U7901" s="5">
        <v>7.4</v>
      </c>
      <c r="V7901" s="6">
        <v>1.51</v>
      </c>
      <c r="W7901" s="6">
        <v>32.049999999999997</v>
      </c>
      <c r="X7901" s="5">
        <v>33.5</v>
      </c>
      <c r="Y7901" s="6">
        <v>33.25</v>
      </c>
      <c r="Z7901" s="6">
        <v>32.96</v>
      </c>
      <c r="AA7901" s="6">
        <v>126.45</v>
      </c>
      <c r="AB7901" s="7">
        <v>14.736000000000001</v>
      </c>
      <c r="AC7901" s="6">
        <v>329.13</v>
      </c>
    </row>
    <row r="7902" spans="1:29" ht="78" x14ac:dyDescent="0.15">
      <c r="A7902" s="3">
        <f>DATE(2006,1,10)</f>
        <v>38727</v>
      </c>
      <c r="B7902" s="3">
        <f>DATE(2006,3,31)</f>
        <v>38807</v>
      </c>
      <c r="C7902" s="2" t="s">
        <v>95</v>
      </c>
      <c r="D7902" s="2" t="s">
        <v>23683</v>
      </c>
      <c r="E7902" s="2" t="s">
        <v>23684</v>
      </c>
      <c r="F7902" s="4">
        <v>5039</v>
      </c>
      <c r="G7902" s="2" t="s">
        <v>76</v>
      </c>
      <c r="H7902" s="2" t="s">
        <v>34</v>
      </c>
      <c r="I7902" s="2" t="s">
        <v>23685</v>
      </c>
      <c r="J7902" s="2" t="s">
        <v>23686</v>
      </c>
      <c r="K7902" s="2" t="s">
        <v>73</v>
      </c>
      <c r="L7902" s="2" t="s">
        <v>34</v>
      </c>
      <c r="M7902" s="12">
        <v>89793.572</v>
      </c>
      <c r="N7902" s="5">
        <v>41.8</v>
      </c>
      <c r="O7902" s="6">
        <v>42.95</v>
      </c>
      <c r="P7902" s="2" t="s">
        <v>23687</v>
      </c>
      <c r="Q7902" s="6">
        <v>100</v>
      </c>
      <c r="R7902" s="6">
        <v>46.5</v>
      </c>
      <c r="S7902" s="5">
        <v>139.6</v>
      </c>
      <c r="T7902" s="5">
        <v>292.8</v>
      </c>
      <c r="U7902" s="5">
        <v>20.399999999999999</v>
      </c>
      <c r="V7902" s="6">
        <v>2.08</v>
      </c>
      <c r="W7902" s="6">
        <v>36.619999999999997</v>
      </c>
      <c r="X7902" s="6">
        <v>38.549999999999997</v>
      </c>
      <c r="Y7902" s="6">
        <v>45.61</v>
      </c>
      <c r="Z7902" s="6">
        <v>45.65</v>
      </c>
      <c r="AA7902" s="6">
        <v>66.88</v>
      </c>
      <c r="AB7902" s="7">
        <v>13.363</v>
      </c>
      <c r="AC7902" s="8">
        <v>1378</v>
      </c>
    </row>
    <row r="7903" spans="1:29" ht="143" x14ac:dyDescent="0.15">
      <c r="A7903" s="3">
        <f>DATE(2006,1,12)</f>
        <v>38729</v>
      </c>
      <c r="B7903" s="3">
        <f>DATE(2006,8,29)</f>
        <v>38958</v>
      </c>
      <c r="C7903" s="2" t="s">
        <v>95</v>
      </c>
      <c r="D7903" s="2" t="s">
        <v>19748</v>
      </c>
      <c r="E7903" s="2" t="s">
        <v>19749</v>
      </c>
      <c r="F7903" s="4">
        <v>7373</v>
      </c>
      <c r="G7903" s="2" t="s">
        <v>223</v>
      </c>
      <c r="H7903" s="2" t="s">
        <v>34</v>
      </c>
      <c r="I7903" s="2" t="s">
        <v>23688</v>
      </c>
      <c r="J7903" s="2" t="s">
        <v>23689</v>
      </c>
      <c r="K7903" s="2" t="s">
        <v>223</v>
      </c>
      <c r="L7903" s="2" t="s">
        <v>34</v>
      </c>
      <c r="M7903" s="7">
        <v>794.43399999999997</v>
      </c>
      <c r="N7903" s="7">
        <v>16.695</v>
      </c>
      <c r="O7903" s="6">
        <v>19.010000000000002</v>
      </c>
      <c r="P7903" s="2" t="s">
        <v>23690</v>
      </c>
      <c r="Q7903" s="6">
        <v>100</v>
      </c>
      <c r="R7903" s="6">
        <v>8.3699999999999992</v>
      </c>
      <c r="S7903" s="5">
        <v>-8.8000000000000007</v>
      </c>
      <c r="T7903" s="7">
        <v>-4.3579999999999997</v>
      </c>
      <c r="U7903" s="5">
        <v>2.1</v>
      </c>
      <c r="V7903" s="6">
        <v>-0.1</v>
      </c>
      <c r="W7903" s="5">
        <v>5.2</v>
      </c>
      <c r="X7903" s="6">
        <v>5.78</v>
      </c>
      <c r="Y7903" s="6">
        <v>6.98</v>
      </c>
      <c r="Z7903" s="6">
        <v>7.78</v>
      </c>
      <c r="AA7903" s="6">
        <v>89.06</v>
      </c>
      <c r="AB7903" s="2" t="s">
        <v>86</v>
      </c>
      <c r="AC7903" s="6">
        <v>72.42</v>
      </c>
    </row>
    <row r="7904" spans="1:29" ht="117" x14ac:dyDescent="0.15">
      <c r="A7904" s="3">
        <f>DATE(2006,1,13)</f>
        <v>38730</v>
      </c>
      <c r="B7904" s="3">
        <f>DATE(2006,7,1)</f>
        <v>38899</v>
      </c>
      <c r="C7904" s="2" t="s">
        <v>95</v>
      </c>
      <c r="D7904" s="2" t="s">
        <v>23040</v>
      </c>
      <c r="E7904" s="2" t="s">
        <v>1181</v>
      </c>
      <c r="F7904" s="4">
        <v>6021</v>
      </c>
      <c r="G7904" s="2" t="s">
        <v>37</v>
      </c>
      <c r="H7904" s="2" t="s">
        <v>34</v>
      </c>
      <c r="I7904" s="2" t="s">
        <v>23691</v>
      </c>
      <c r="J7904" s="2" t="s">
        <v>36</v>
      </c>
      <c r="K7904" s="2" t="s">
        <v>37</v>
      </c>
      <c r="L7904" s="2" t="s">
        <v>34</v>
      </c>
      <c r="M7904" s="7">
        <v>109.154</v>
      </c>
      <c r="N7904" s="4">
        <v>22</v>
      </c>
      <c r="O7904" s="4">
        <v>22</v>
      </c>
      <c r="P7904" s="2" t="s">
        <v>23692</v>
      </c>
      <c r="Q7904" s="6">
        <v>100</v>
      </c>
      <c r="R7904" s="6">
        <v>15.8</v>
      </c>
      <c r="S7904" s="5">
        <v>-0.5</v>
      </c>
      <c r="T7904" s="2"/>
      <c r="U7904" s="2"/>
      <c r="V7904" s="6">
        <v>-0.35</v>
      </c>
      <c r="W7904" s="6">
        <v>12.17</v>
      </c>
      <c r="X7904" s="4">
        <v>12</v>
      </c>
      <c r="Y7904" s="6">
        <v>14.65</v>
      </c>
      <c r="Z7904" s="6">
        <v>14.65</v>
      </c>
      <c r="AA7904" s="6">
        <v>1.25</v>
      </c>
      <c r="AB7904" s="7">
        <v>38.942</v>
      </c>
      <c r="AC7904" s="2"/>
    </row>
    <row r="7905" spans="1:29" ht="104" x14ac:dyDescent="0.15">
      <c r="A7905" s="3">
        <f>DATE(2006,1,18)</f>
        <v>38735</v>
      </c>
      <c r="B7905" s="3">
        <f>DATE(2006,4,13)</f>
        <v>38820</v>
      </c>
      <c r="C7905" s="2" t="s">
        <v>95</v>
      </c>
      <c r="D7905" s="2" t="s">
        <v>23693</v>
      </c>
      <c r="E7905" s="2" t="s">
        <v>3102</v>
      </c>
      <c r="F7905" s="4">
        <v>5651</v>
      </c>
      <c r="G7905" s="2" t="s">
        <v>756</v>
      </c>
      <c r="H7905" s="2" t="s">
        <v>34</v>
      </c>
      <c r="I7905" s="2" t="s">
        <v>16037</v>
      </c>
      <c r="J7905" s="2" t="s">
        <v>10150</v>
      </c>
      <c r="K7905" s="2" t="s">
        <v>53</v>
      </c>
      <c r="L7905" s="2" t="s">
        <v>34</v>
      </c>
      <c r="M7905" s="2"/>
      <c r="N7905" s="2"/>
      <c r="O7905" s="2"/>
      <c r="P7905" s="2" t="s">
        <v>23694</v>
      </c>
      <c r="Q7905" s="6">
        <v>100</v>
      </c>
      <c r="R7905" s="6">
        <v>45.5</v>
      </c>
      <c r="S7905" s="5">
        <v>111.4</v>
      </c>
      <c r="T7905" s="7">
        <v>248.649</v>
      </c>
      <c r="U7905" s="5">
        <v>21.3</v>
      </c>
      <c r="V7905" s="6">
        <v>2.5099999999999998</v>
      </c>
      <c r="W7905" s="6">
        <v>43.75</v>
      </c>
      <c r="X7905" s="6">
        <v>44.58</v>
      </c>
      <c r="Y7905" s="6">
        <v>44.13</v>
      </c>
      <c r="Z7905" s="6">
        <v>44.28</v>
      </c>
      <c r="AA7905" s="6">
        <v>44.77</v>
      </c>
      <c r="AB7905" s="7">
        <v>12.105</v>
      </c>
      <c r="AC7905" s="6">
        <v>89.36</v>
      </c>
    </row>
    <row r="7906" spans="1:29" ht="104" x14ac:dyDescent="0.15">
      <c r="A7906" s="3">
        <f>DATE(2006,1,18)</f>
        <v>38735</v>
      </c>
      <c r="B7906" s="3">
        <f>DATE(2006,4,3)</f>
        <v>38810</v>
      </c>
      <c r="C7906" s="2" t="s">
        <v>95</v>
      </c>
      <c r="D7906" s="2" t="s">
        <v>199</v>
      </c>
      <c r="E7906" s="2" t="s">
        <v>200</v>
      </c>
      <c r="F7906" s="4">
        <v>5051</v>
      </c>
      <c r="G7906" s="2" t="s">
        <v>76</v>
      </c>
      <c r="H7906" s="2" t="s">
        <v>34</v>
      </c>
      <c r="I7906" s="2" t="s">
        <v>23695</v>
      </c>
      <c r="J7906" s="2" t="s">
        <v>23696</v>
      </c>
      <c r="K7906" s="2" t="s">
        <v>76</v>
      </c>
      <c r="L7906" s="2" t="s">
        <v>34</v>
      </c>
      <c r="M7906" s="12">
        <v>2370.895</v>
      </c>
      <c r="N7906" s="5">
        <v>68.8</v>
      </c>
      <c r="O7906" s="6">
        <v>68.430000000000007</v>
      </c>
      <c r="P7906" s="2" t="s">
        <v>23697</v>
      </c>
      <c r="Q7906" s="6">
        <v>100</v>
      </c>
      <c r="R7906" s="6">
        <v>13</v>
      </c>
      <c r="S7906" s="5">
        <v>99.9</v>
      </c>
      <c r="T7906" s="7">
        <v>180.411</v>
      </c>
      <c r="U7906" s="5">
        <v>2.5</v>
      </c>
      <c r="V7906" s="2"/>
      <c r="W7906" s="6">
        <v>9.9600000000000009</v>
      </c>
      <c r="X7906" s="6">
        <v>10.43</v>
      </c>
      <c r="Y7906" s="6">
        <v>12.93</v>
      </c>
      <c r="Z7906" s="6">
        <v>13.51</v>
      </c>
      <c r="AA7906" s="6">
        <v>50.24</v>
      </c>
      <c r="AB7906" s="7">
        <v>5.7519999999999998</v>
      </c>
      <c r="AC7906" s="6">
        <v>10.42</v>
      </c>
    </row>
    <row r="7907" spans="1:29" ht="65" x14ac:dyDescent="0.15">
      <c r="A7907" s="3">
        <f>DATE(2006,1,19)</f>
        <v>38736</v>
      </c>
      <c r="B7907" s="3">
        <f>DATE(2006,3,23)</f>
        <v>38799</v>
      </c>
      <c r="C7907" s="2" t="s">
        <v>95</v>
      </c>
      <c r="D7907" s="2" t="s">
        <v>13063</v>
      </c>
      <c r="E7907" s="2" t="s">
        <v>13064</v>
      </c>
      <c r="F7907" s="4">
        <v>7389</v>
      </c>
      <c r="G7907" s="2" t="s">
        <v>223</v>
      </c>
      <c r="H7907" s="2" t="s">
        <v>34</v>
      </c>
      <c r="I7907" s="2" t="s">
        <v>12628</v>
      </c>
      <c r="J7907" s="2" t="s">
        <v>12629</v>
      </c>
      <c r="K7907" s="2" t="s">
        <v>137</v>
      </c>
      <c r="L7907" s="2" t="s">
        <v>2105</v>
      </c>
      <c r="M7907" s="12">
        <v>38639.951000000001</v>
      </c>
      <c r="N7907" s="7">
        <v>31.422999999999998</v>
      </c>
      <c r="O7907" s="7">
        <v>30.766999999999999</v>
      </c>
      <c r="P7907" s="2" t="s">
        <v>23698</v>
      </c>
      <c r="Q7907" s="6">
        <v>100</v>
      </c>
      <c r="R7907" s="6">
        <v>47.75</v>
      </c>
      <c r="S7907" s="5">
        <v>18.2</v>
      </c>
      <c r="T7907" s="7">
        <v>34.325000000000003</v>
      </c>
      <c r="U7907" s="5">
        <v>8.6</v>
      </c>
      <c r="V7907" s="6">
        <v>1.24</v>
      </c>
      <c r="W7907" s="6">
        <v>37.96</v>
      </c>
      <c r="X7907" s="6">
        <v>39.49</v>
      </c>
      <c r="Y7907" s="6">
        <v>46.94</v>
      </c>
      <c r="Z7907" s="6">
        <v>46.99</v>
      </c>
      <c r="AA7907" s="6">
        <v>14.14</v>
      </c>
      <c r="AB7907" s="7">
        <v>29.914999999999999</v>
      </c>
      <c r="AC7907" s="8">
        <v>6436.8</v>
      </c>
    </row>
    <row r="7908" spans="1:29" ht="299" x14ac:dyDescent="0.15">
      <c r="A7908" s="3">
        <f>DATE(2006,1,20)</f>
        <v>38737</v>
      </c>
      <c r="B7908" s="3">
        <f>DATE(2006,6,2)</f>
        <v>38870</v>
      </c>
      <c r="C7908" s="2" t="s">
        <v>95</v>
      </c>
      <c r="D7908" s="2" t="s">
        <v>11345</v>
      </c>
      <c r="E7908" s="2" t="s">
        <v>7684</v>
      </c>
      <c r="F7908" s="4">
        <v>5411</v>
      </c>
      <c r="G7908" s="2" t="s">
        <v>1461</v>
      </c>
      <c r="H7908" s="2" t="s">
        <v>34</v>
      </c>
      <c r="I7908" s="2" t="s">
        <v>23699</v>
      </c>
      <c r="J7908" s="2" t="s">
        <v>11337</v>
      </c>
      <c r="K7908" s="2" t="s">
        <v>53</v>
      </c>
      <c r="L7908" s="2" t="s">
        <v>34</v>
      </c>
      <c r="M7908" s="2"/>
      <c r="N7908" s="2"/>
      <c r="O7908" s="2"/>
      <c r="P7908" s="2" t="s">
        <v>23700</v>
      </c>
      <c r="Q7908" s="6">
        <v>100</v>
      </c>
      <c r="R7908" s="6">
        <v>26.21</v>
      </c>
      <c r="S7908" s="5">
        <v>484</v>
      </c>
      <c r="T7908" s="8">
        <v>2430</v>
      </c>
      <c r="U7908" s="5">
        <v>15</v>
      </c>
      <c r="V7908" s="6">
        <v>1.29</v>
      </c>
      <c r="W7908" s="6">
        <v>22.59</v>
      </c>
      <c r="X7908" s="6">
        <v>23.87</v>
      </c>
      <c r="Y7908" s="6">
        <v>24.11</v>
      </c>
      <c r="Z7908" s="6">
        <v>25.42</v>
      </c>
      <c r="AA7908" s="6">
        <v>368.78</v>
      </c>
      <c r="AB7908" s="7">
        <v>12.686</v>
      </c>
      <c r="AC7908" s="2"/>
    </row>
    <row r="7909" spans="1:29" ht="143" x14ac:dyDescent="0.15">
      <c r="A7909" s="3">
        <f>DATE(2006,1,22)</f>
        <v>38739</v>
      </c>
      <c r="B7909" s="3">
        <f>DATE(2006,7,3)</f>
        <v>38901</v>
      </c>
      <c r="C7909" s="2" t="s">
        <v>95</v>
      </c>
      <c r="D7909" s="2" t="s">
        <v>23701</v>
      </c>
      <c r="E7909" s="2" t="s">
        <v>612</v>
      </c>
      <c r="F7909" s="4">
        <v>1311</v>
      </c>
      <c r="G7909" s="2" t="s">
        <v>148</v>
      </c>
      <c r="H7909" s="2" t="s">
        <v>34</v>
      </c>
      <c r="I7909" s="2" t="s">
        <v>23702</v>
      </c>
      <c r="J7909" s="2" t="s">
        <v>23703</v>
      </c>
      <c r="K7909" s="2" t="s">
        <v>148</v>
      </c>
      <c r="L7909" s="2" t="s">
        <v>34</v>
      </c>
      <c r="M7909" s="2"/>
      <c r="N7909" s="6">
        <v>41.64</v>
      </c>
      <c r="O7909" s="6">
        <v>41.64</v>
      </c>
      <c r="P7909" s="2" t="s">
        <v>23704</v>
      </c>
      <c r="Q7909" s="6">
        <v>100</v>
      </c>
      <c r="R7909" s="2"/>
      <c r="S7909" s="5">
        <v>70.599999999999994</v>
      </c>
      <c r="T7909" s="7">
        <v>161.61099999999999</v>
      </c>
      <c r="U7909" s="5">
        <v>14.1</v>
      </c>
      <c r="V7909" s="6">
        <v>2.37</v>
      </c>
      <c r="W7909" s="6">
        <v>37.22</v>
      </c>
      <c r="X7909" s="6">
        <v>37.96</v>
      </c>
      <c r="Y7909" s="5">
        <v>44.8</v>
      </c>
      <c r="Z7909" s="5">
        <v>44.8</v>
      </c>
      <c r="AA7909" s="6">
        <v>28.74</v>
      </c>
      <c r="AB7909" s="7">
        <v>12.766999999999999</v>
      </c>
      <c r="AC7909" s="6">
        <v>91.08</v>
      </c>
    </row>
    <row r="7910" spans="1:29" ht="156" x14ac:dyDescent="0.15">
      <c r="A7910" s="3">
        <f>DATE(2006,1,22)</f>
        <v>38739</v>
      </c>
      <c r="B7910" s="3">
        <f>DATE(2006,5,3)</f>
        <v>38840</v>
      </c>
      <c r="C7910" s="2" t="s">
        <v>95</v>
      </c>
      <c r="D7910" s="2" t="s">
        <v>12083</v>
      </c>
      <c r="E7910" s="2" t="s">
        <v>10623</v>
      </c>
      <c r="F7910" s="4">
        <v>5941</v>
      </c>
      <c r="G7910" s="2" t="s">
        <v>73</v>
      </c>
      <c r="H7910" s="2" t="s">
        <v>34</v>
      </c>
      <c r="I7910" s="2" t="s">
        <v>23705</v>
      </c>
      <c r="J7910" s="2" t="s">
        <v>11337</v>
      </c>
      <c r="K7910" s="2" t="s">
        <v>53</v>
      </c>
      <c r="L7910" s="2" t="s">
        <v>34</v>
      </c>
      <c r="M7910" s="2"/>
      <c r="N7910" s="2"/>
      <c r="O7910" s="2"/>
      <c r="P7910" s="2" t="s">
        <v>23706</v>
      </c>
      <c r="Q7910" s="6">
        <v>100</v>
      </c>
      <c r="R7910" s="6">
        <v>37.25</v>
      </c>
      <c r="S7910" s="5">
        <v>50.5</v>
      </c>
      <c r="T7910" s="7">
        <v>173.649</v>
      </c>
      <c r="U7910" s="5">
        <v>19.899999999999999</v>
      </c>
      <c r="V7910" s="6">
        <v>1.9</v>
      </c>
      <c r="W7910" s="6">
        <v>29.56</v>
      </c>
      <c r="X7910" s="6">
        <v>31.05</v>
      </c>
      <c r="Y7910" s="5">
        <v>36.700000000000003</v>
      </c>
      <c r="Z7910" s="5">
        <v>36.700000000000003</v>
      </c>
      <c r="AA7910" s="6">
        <v>26.4</v>
      </c>
      <c r="AB7910" s="7">
        <v>13.257999999999999</v>
      </c>
      <c r="AC7910" s="2"/>
    </row>
    <row r="7911" spans="1:29" ht="130" x14ac:dyDescent="0.15">
      <c r="A7911" s="3">
        <f>DATE(2006,1,23)</f>
        <v>38740</v>
      </c>
      <c r="B7911" s="3">
        <f>DATE(2006,7,1)</f>
        <v>38899</v>
      </c>
      <c r="C7911" s="2" t="s">
        <v>95</v>
      </c>
      <c r="D7911" s="2" t="s">
        <v>23707</v>
      </c>
      <c r="E7911" s="2" t="s">
        <v>36</v>
      </c>
      <c r="F7911" s="4">
        <v>6712</v>
      </c>
      <c r="G7911" s="2" t="s">
        <v>37</v>
      </c>
      <c r="H7911" s="2" t="s">
        <v>34</v>
      </c>
      <c r="I7911" s="2" t="s">
        <v>23708</v>
      </c>
      <c r="J7911" s="2" t="s">
        <v>263</v>
      </c>
      <c r="K7911" s="2" t="s">
        <v>37</v>
      </c>
      <c r="L7911" s="2" t="s">
        <v>34</v>
      </c>
      <c r="M7911" s="7">
        <v>84.834000000000003</v>
      </c>
      <c r="N7911" s="5">
        <v>25.5</v>
      </c>
      <c r="O7911" s="5">
        <v>25.5</v>
      </c>
      <c r="P7911" s="2" t="s">
        <v>23709</v>
      </c>
      <c r="Q7911" s="6">
        <v>100</v>
      </c>
      <c r="R7911" s="6">
        <v>47.53</v>
      </c>
      <c r="S7911" s="5">
        <v>-0.5</v>
      </c>
      <c r="T7911" s="7">
        <v>-0.10199999999999999</v>
      </c>
      <c r="U7911" s="5">
        <v>31.5</v>
      </c>
      <c r="V7911" s="6">
        <v>-0.94</v>
      </c>
      <c r="W7911" s="4">
        <v>36</v>
      </c>
      <c r="X7911" s="4">
        <v>38</v>
      </c>
      <c r="Y7911" s="4">
        <v>38</v>
      </c>
      <c r="Z7911" s="6">
        <v>46.15</v>
      </c>
      <c r="AA7911" s="6">
        <v>0.49</v>
      </c>
      <c r="AB7911" s="2" t="s">
        <v>86</v>
      </c>
      <c r="AC7911" s="2"/>
    </row>
    <row r="7912" spans="1:29" ht="182" x14ac:dyDescent="0.15">
      <c r="A7912" s="3">
        <f>DATE(2006,1,24)</f>
        <v>38741</v>
      </c>
      <c r="B7912" s="3">
        <f>DATE(2006,5,5)</f>
        <v>38842</v>
      </c>
      <c r="C7912" s="2" t="s">
        <v>95</v>
      </c>
      <c r="D7912" s="2" t="s">
        <v>23710</v>
      </c>
      <c r="E7912" s="2" t="s">
        <v>23711</v>
      </c>
      <c r="F7912" s="4">
        <v>7812</v>
      </c>
      <c r="G7912" s="2" t="s">
        <v>42</v>
      </c>
      <c r="H7912" s="2" t="s">
        <v>34</v>
      </c>
      <c r="I7912" s="2" t="s">
        <v>1758</v>
      </c>
      <c r="J7912" s="2" t="s">
        <v>21697</v>
      </c>
      <c r="K7912" s="2" t="s">
        <v>364</v>
      </c>
      <c r="L7912" s="2" t="s">
        <v>34</v>
      </c>
      <c r="M7912" s="12">
        <v>48524.777999999998</v>
      </c>
      <c r="N7912" s="6">
        <v>25.99</v>
      </c>
      <c r="O7912" s="6">
        <v>25.44</v>
      </c>
      <c r="P7912" s="2" t="s">
        <v>23712</v>
      </c>
      <c r="Q7912" s="6">
        <v>100</v>
      </c>
      <c r="R7912" s="6">
        <v>58.7</v>
      </c>
      <c r="S7912" s="5">
        <v>152.9</v>
      </c>
      <c r="T7912" s="7">
        <v>255.47300000000001</v>
      </c>
      <c r="U7912" s="5">
        <v>12.1</v>
      </c>
      <c r="V7912" s="6">
        <v>1.24</v>
      </c>
      <c r="W7912" s="6">
        <v>56.74</v>
      </c>
      <c r="X7912" s="6">
        <v>57.26</v>
      </c>
      <c r="Y7912" s="6">
        <v>58.87</v>
      </c>
      <c r="Z7912" s="6">
        <v>58.46</v>
      </c>
      <c r="AA7912" s="6">
        <v>118.9</v>
      </c>
      <c r="AB7912" s="7">
        <v>30.242000000000001</v>
      </c>
      <c r="AC7912" s="8">
        <v>1819</v>
      </c>
    </row>
    <row r="7913" spans="1:29" ht="65" x14ac:dyDescent="0.15">
      <c r="A7913" s="3">
        <f>DATE(2006,1,25)</f>
        <v>38742</v>
      </c>
      <c r="B7913" s="2"/>
      <c r="C7913" s="2" t="s">
        <v>141</v>
      </c>
      <c r="D7913" s="2" t="s">
        <v>23713</v>
      </c>
      <c r="E7913" s="2" t="s">
        <v>6711</v>
      </c>
      <c r="F7913" s="4">
        <v>2836</v>
      </c>
      <c r="G7913" s="2" t="s">
        <v>130</v>
      </c>
      <c r="H7913" s="2" t="s">
        <v>34</v>
      </c>
      <c r="I7913" s="2" t="s">
        <v>143</v>
      </c>
      <c r="J7913" s="2" t="s">
        <v>144</v>
      </c>
      <c r="K7913" s="2" t="s">
        <v>53</v>
      </c>
      <c r="L7913" s="2" t="s">
        <v>139</v>
      </c>
      <c r="M7913" s="2"/>
      <c r="N7913" s="2"/>
      <c r="O7913" s="2"/>
      <c r="P7913" s="2" t="s">
        <v>23714</v>
      </c>
      <c r="Q7913" s="2"/>
      <c r="R7913" s="2"/>
      <c r="S7913" s="5">
        <v>86.5</v>
      </c>
      <c r="T7913" s="7">
        <v>86.206000000000003</v>
      </c>
      <c r="U7913" s="5">
        <v>3</v>
      </c>
      <c r="V7913" s="6">
        <v>1.01</v>
      </c>
      <c r="W7913" s="6">
        <v>34.14</v>
      </c>
      <c r="X7913" s="6">
        <v>35.36</v>
      </c>
      <c r="Y7913" s="6">
        <v>34.49</v>
      </c>
      <c r="Z7913" s="6">
        <v>35.76</v>
      </c>
      <c r="AA7913" s="6">
        <v>83.96</v>
      </c>
      <c r="AB7913" s="2" t="s">
        <v>47</v>
      </c>
      <c r="AC7913" s="2"/>
    </row>
    <row r="7914" spans="1:29" ht="169" x14ac:dyDescent="0.15">
      <c r="A7914" s="3">
        <f>DATE(2006,1,27)</f>
        <v>38744</v>
      </c>
      <c r="B7914" s="3">
        <f>DATE(2006,6,27)</f>
        <v>38895</v>
      </c>
      <c r="C7914" s="2" t="s">
        <v>95</v>
      </c>
      <c r="D7914" s="2" t="s">
        <v>23715</v>
      </c>
      <c r="E7914" s="2" t="s">
        <v>389</v>
      </c>
      <c r="F7914" s="4">
        <v>6035</v>
      </c>
      <c r="G7914" s="2" t="s">
        <v>33</v>
      </c>
      <c r="H7914" s="2" t="s">
        <v>34</v>
      </c>
      <c r="I7914" s="2" t="s">
        <v>15033</v>
      </c>
      <c r="J7914" s="2" t="s">
        <v>36</v>
      </c>
      <c r="K7914" s="2" t="s">
        <v>33</v>
      </c>
      <c r="L7914" s="2" t="s">
        <v>34</v>
      </c>
      <c r="M7914" s="7">
        <v>362.608</v>
      </c>
      <c r="N7914" s="6">
        <v>25.75</v>
      </c>
      <c r="O7914" s="6">
        <v>24.44</v>
      </c>
      <c r="P7914" s="2" t="s">
        <v>23716</v>
      </c>
      <c r="Q7914" s="6">
        <v>100</v>
      </c>
      <c r="R7914" s="6">
        <v>29.42</v>
      </c>
      <c r="S7914" s="2"/>
      <c r="T7914" s="2"/>
      <c r="U7914" s="2"/>
      <c r="V7914" s="2"/>
      <c r="W7914" s="6">
        <v>18.649999999999999</v>
      </c>
      <c r="X7914" s="4">
        <v>20</v>
      </c>
      <c r="Y7914" s="5">
        <v>28.3</v>
      </c>
      <c r="Z7914" s="6">
        <v>27.75</v>
      </c>
      <c r="AA7914" s="6">
        <v>2.46</v>
      </c>
      <c r="AB7914" s="2" t="s">
        <v>47</v>
      </c>
      <c r="AC7914" s="2"/>
    </row>
    <row r="7915" spans="1:29" ht="52" x14ac:dyDescent="0.15">
      <c r="A7915" s="3">
        <f>DATE(2006,1,29)</f>
        <v>38746</v>
      </c>
      <c r="B7915" s="3">
        <f>DATE(2006,4,4)</f>
        <v>38811</v>
      </c>
      <c r="C7915" s="2" t="s">
        <v>95</v>
      </c>
      <c r="D7915" s="2" t="s">
        <v>23717</v>
      </c>
      <c r="E7915" s="2" t="s">
        <v>2814</v>
      </c>
      <c r="F7915" s="4">
        <v>4812</v>
      </c>
      <c r="G7915" s="2" t="s">
        <v>63</v>
      </c>
      <c r="H7915" s="2" t="s">
        <v>34</v>
      </c>
      <c r="I7915" s="2" t="s">
        <v>23718</v>
      </c>
      <c r="J7915" s="2" t="s">
        <v>12564</v>
      </c>
      <c r="K7915" s="2" t="s">
        <v>223</v>
      </c>
      <c r="L7915" s="2" t="s">
        <v>34</v>
      </c>
      <c r="M7915" s="12">
        <v>2928.5030000000002</v>
      </c>
      <c r="N7915" s="6">
        <v>40.159999999999997</v>
      </c>
      <c r="O7915" s="6">
        <v>40.159999999999997</v>
      </c>
      <c r="P7915" s="2" t="s">
        <v>23719</v>
      </c>
      <c r="Q7915" s="6">
        <v>100</v>
      </c>
      <c r="R7915" s="6">
        <v>26</v>
      </c>
      <c r="S7915" s="5">
        <v>12.9</v>
      </c>
      <c r="T7915" s="6">
        <v>36.39</v>
      </c>
      <c r="U7915" s="5">
        <v>6.8</v>
      </c>
      <c r="V7915" s="6">
        <v>0.7</v>
      </c>
      <c r="W7915" s="6">
        <v>22.93</v>
      </c>
      <c r="X7915" s="4">
        <v>23</v>
      </c>
      <c r="Y7915" s="6">
        <v>25.72</v>
      </c>
      <c r="Z7915" s="6">
        <v>25.72</v>
      </c>
      <c r="AA7915" s="6">
        <v>17.850000000000001</v>
      </c>
      <c r="AB7915" s="7">
        <v>22.97</v>
      </c>
      <c r="AC7915" s="6">
        <v>34.56</v>
      </c>
    </row>
    <row r="7916" spans="1:29" ht="156" x14ac:dyDescent="0.15">
      <c r="A7916" s="3">
        <f>DATE(2006,1,29)</f>
        <v>38746</v>
      </c>
      <c r="B7916" s="3">
        <f>DATE(2006,3,29)</f>
        <v>38805</v>
      </c>
      <c r="C7916" s="2" t="s">
        <v>95</v>
      </c>
      <c r="D7916" s="2" t="s">
        <v>13994</v>
      </c>
      <c r="E7916" s="2" t="s">
        <v>13995</v>
      </c>
      <c r="F7916" s="4">
        <v>3812</v>
      </c>
      <c r="G7916" s="2" t="s">
        <v>226</v>
      </c>
      <c r="H7916" s="2" t="s">
        <v>34</v>
      </c>
      <c r="I7916" s="2" t="s">
        <v>23720</v>
      </c>
      <c r="J7916" s="2" t="s">
        <v>23721</v>
      </c>
      <c r="K7916" s="2" t="s">
        <v>105</v>
      </c>
      <c r="L7916" s="2" t="s">
        <v>2823</v>
      </c>
      <c r="M7916" s="2"/>
      <c r="N7916" s="2"/>
      <c r="O7916" s="2"/>
      <c r="P7916" s="2" t="s">
        <v>23722</v>
      </c>
      <c r="Q7916" s="6">
        <v>95.65</v>
      </c>
      <c r="R7916" s="6">
        <v>37</v>
      </c>
      <c r="S7916" s="5">
        <v>8.3000000000000007</v>
      </c>
      <c r="T7916" s="2"/>
      <c r="U7916" s="5">
        <v>11</v>
      </c>
      <c r="V7916" s="6">
        <v>1.71</v>
      </c>
      <c r="W7916" s="6">
        <v>25.52</v>
      </c>
      <c r="X7916" s="4">
        <v>25</v>
      </c>
      <c r="Y7916" s="2"/>
      <c r="Z7916" s="6">
        <v>36.61</v>
      </c>
      <c r="AA7916" s="6">
        <v>5.14</v>
      </c>
      <c r="AB7916" s="7">
        <v>16.465</v>
      </c>
      <c r="AC7916" s="2"/>
    </row>
    <row r="7917" spans="1:29" ht="221" x14ac:dyDescent="0.15">
      <c r="A7917" s="3">
        <f>DATE(2006,1,29)</f>
        <v>38746</v>
      </c>
      <c r="B7917" s="2"/>
      <c r="C7917" s="2" t="s">
        <v>30</v>
      </c>
      <c r="D7917" s="2" t="s">
        <v>23641</v>
      </c>
      <c r="E7917" s="2" t="s">
        <v>92</v>
      </c>
      <c r="F7917" s="4">
        <v>6798</v>
      </c>
      <c r="G7917" s="2" t="s">
        <v>53</v>
      </c>
      <c r="H7917" s="2" t="s">
        <v>34</v>
      </c>
      <c r="I7917" s="2" t="s">
        <v>23723</v>
      </c>
      <c r="J7917" s="2" t="s">
        <v>9299</v>
      </c>
      <c r="K7917" s="2" t="s">
        <v>53</v>
      </c>
      <c r="L7917" s="2" t="s">
        <v>34</v>
      </c>
      <c r="M7917" s="2"/>
      <c r="N7917" s="2"/>
      <c r="O7917" s="2"/>
      <c r="P7917" s="2" t="s">
        <v>23724</v>
      </c>
      <c r="Q7917" s="2"/>
      <c r="R7917" s="6">
        <v>40.15</v>
      </c>
      <c r="S7917" s="5">
        <v>9.3000000000000007</v>
      </c>
      <c r="T7917" s="7">
        <v>39.317999999999998</v>
      </c>
      <c r="U7917" s="5">
        <v>1.9</v>
      </c>
      <c r="V7917" s="6">
        <v>0.53</v>
      </c>
      <c r="W7917" s="6">
        <v>30.39</v>
      </c>
      <c r="X7917" s="5">
        <v>30.3</v>
      </c>
      <c r="Y7917" s="6">
        <v>29.79</v>
      </c>
      <c r="Z7917" s="6">
        <v>33.75</v>
      </c>
      <c r="AA7917" s="6">
        <v>17.579999999999998</v>
      </c>
      <c r="AB7917" s="7">
        <v>104.03700000000001</v>
      </c>
      <c r="AC7917" s="2"/>
    </row>
    <row r="7918" spans="1:29" ht="156" x14ac:dyDescent="0.15">
      <c r="A7918" s="3">
        <f>DATE(2006,1,31)</f>
        <v>38748</v>
      </c>
      <c r="B7918" s="2"/>
      <c r="C7918" s="2" t="s">
        <v>7330</v>
      </c>
      <c r="D7918" s="2" t="s">
        <v>23725</v>
      </c>
      <c r="E7918" s="2" t="s">
        <v>244</v>
      </c>
      <c r="F7918" s="4">
        <v>6799</v>
      </c>
      <c r="G7918" s="2" t="s">
        <v>53</v>
      </c>
      <c r="H7918" s="2" t="s">
        <v>34</v>
      </c>
      <c r="I7918" s="2" t="s">
        <v>23726</v>
      </c>
      <c r="J7918" s="2" t="s">
        <v>302</v>
      </c>
      <c r="K7918" s="2" t="s">
        <v>53</v>
      </c>
      <c r="L7918" s="2" t="s">
        <v>34</v>
      </c>
      <c r="M7918" s="2"/>
      <c r="N7918" s="2"/>
      <c r="O7918" s="2"/>
      <c r="P7918" s="2" t="s">
        <v>23727</v>
      </c>
      <c r="Q7918" s="2"/>
      <c r="R7918" s="6">
        <v>1.85</v>
      </c>
      <c r="S7918" s="5">
        <v>-10.5</v>
      </c>
      <c r="T7918" s="7">
        <v>-2.2240000000000002</v>
      </c>
      <c r="U7918" s="5">
        <v>-7.8</v>
      </c>
      <c r="V7918" s="6">
        <v>-3.37</v>
      </c>
      <c r="W7918" s="6">
        <v>1.75</v>
      </c>
      <c r="X7918" s="6">
        <v>1.75</v>
      </c>
      <c r="Y7918" s="6">
        <v>1.75</v>
      </c>
      <c r="Z7918" s="6">
        <v>1.75</v>
      </c>
      <c r="AA7918" s="6">
        <v>3.11</v>
      </c>
      <c r="AB7918" s="2" t="s">
        <v>86</v>
      </c>
      <c r="AC7918" s="2"/>
    </row>
    <row r="7919" spans="1:29" ht="130" x14ac:dyDescent="0.15">
      <c r="A7919" s="3">
        <f>DATE(2006,2,1)</f>
        <v>38749</v>
      </c>
      <c r="B7919" s="3">
        <f>DATE(2006,4,28)</f>
        <v>38835</v>
      </c>
      <c r="C7919" s="2" t="s">
        <v>95</v>
      </c>
      <c r="D7919" s="2" t="s">
        <v>22300</v>
      </c>
      <c r="E7919" s="2" t="s">
        <v>10436</v>
      </c>
      <c r="F7919" s="4">
        <v>3679</v>
      </c>
      <c r="G7919" s="2" t="s">
        <v>137</v>
      </c>
      <c r="H7919" s="2" t="s">
        <v>34</v>
      </c>
      <c r="I7919" s="2" t="s">
        <v>10753</v>
      </c>
      <c r="J7919" s="2" t="s">
        <v>10754</v>
      </c>
      <c r="K7919" s="2" t="s">
        <v>226</v>
      </c>
      <c r="L7919" s="2" t="s">
        <v>34</v>
      </c>
      <c r="M7919" s="12">
        <v>30909.743999999999</v>
      </c>
      <c r="N7919" s="6">
        <v>78.39</v>
      </c>
      <c r="O7919" s="5">
        <v>77.400000000000006</v>
      </c>
      <c r="P7919" s="2" t="s">
        <v>23728</v>
      </c>
      <c r="Q7919" s="6">
        <v>100</v>
      </c>
      <c r="R7919" s="6">
        <v>11</v>
      </c>
      <c r="S7919" s="5">
        <v>9.9</v>
      </c>
      <c r="T7919" s="6">
        <v>38.78</v>
      </c>
      <c r="U7919" s="5">
        <v>3.6</v>
      </c>
      <c r="V7919" s="6">
        <v>0.25</v>
      </c>
      <c r="W7919" s="6">
        <v>8.2799999999999994</v>
      </c>
      <c r="X7919" s="6">
        <v>7.67</v>
      </c>
      <c r="Y7919" s="6">
        <v>8.18</v>
      </c>
      <c r="Z7919" s="6">
        <v>9.8699999999999992</v>
      </c>
      <c r="AA7919" s="6">
        <v>39.869999999999997</v>
      </c>
      <c r="AB7919" s="7">
        <v>26.619</v>
      </c>
      <c r="AC7919" s="5">
        <v>624</v>
      </c>
    </row>
    <row r="7920" spans="1:29" ht="130" x14ac:dyDescent="0.15">
      <c r="A7920" s="3">
        <f>DATE(2006,2,1)</f>
        <v>38749</v>
      </c>
      <c r="B7920" s="3">
        <f>DATE(2006,6,26)</f>
        <v>38894</v>
      </c>
      <c r="C7920" s="2" t="s">
        <v>95</v>
      </c>
      <c r="D7920" s="2" t="s">
        <v>23729</v>
      </c>
      <c r="E7920" s="2" t="s">
        <v>1181</v>
      </c>
      <c r="F7920" s="4">
        <v>6021</v>
      </c>
      <c r="G7920" s="2" t="s">
        <v>37</v>
      </c>
      <c r="H7920" s="2" t="s">
        <v>34</v>
      </c>
      <c r="I7920" s="2" t="s">
        <v>3682</v>
      </c>
      <c r="J7920" s="2" t="s">
        <v>265</v>
      </c>
      <c r="K7920" s="2" t="s">
        <v>37</v>
      </c>
      <c r="L7920" s="2" t="s">
        <v>34</v>
      </c>
      <c r="M7920" s="12">
        <v>4580.2370000000001</v>
      </c>
      <c r="N7920" s="6">
        <v>27.36</v>
      </c>
      <c r="O7920" s="6">
        <v>26.61</v>
      </c>
      <c r="P7920" s="2" t="s">
        <v>23730</v>
      </c>
      <c r="Q7920" s="6">
        <v>100</v>
      </c>
      <c r="R7920" s="2"/>
      <c r="S7920" s="2"/>
      <c r="T7920" s="2"/>
      <c r="U7920" s="2"/>
      <c r="V7920" s="2"/>
      <c r="W7920" s="6">
        <v>15.75</v>
      </c>
      <c r="X7920" s="5">
        <v>15.1</v>
      </c>
      <c r="Y7920" s="5">
        <v>15.1</v>
      </c>
      <c r="Z7920" s="5">
        <v>17.899999999999999</v>
      </c>
      <c r="AA7920" s="6">
        <v>1.1299999999999999</v>
      </c>
      <c r="AB7920" s="2" t="s">
        <v>47</v>
      </c>
      <c r="AC7920" s="2"/>
    </row>
    <row r="7921" spans="1:29" ht="195" x14ac:dyDescent="0.15">
      <c r="A7921" s="3">
        <f>DATE(2006,2,2)</f>
        <v>38750</v>
      </c>
      <c r="B7921" s="2"/>
      <c r="C7921" s="2" t="s">
        <v>30</v>
      </c>
      <c r="D7921" s="2" t="s">
        <v>23641</v>
      </c>
      <c r="E7921" s="2" t="s">
        <v>92</v>
      </c>
      <c r="F7921" s="4">
        <v>6798</v>
      </c>
      <c r="G7921" s="2" t="s">
        <v>53</v>
      </c>
      <c r="H7921" s="2" t="s">
        <v>34</v>
      </c>
      <c r="I7921" s="2" t="s">
        <v>23731</v>
      </c>
      <c r="J7921" s="2" t="s">
        <v>3941</v>
      </c>
      <c r="K7921" s="2" t="s">
        <v>53</v>
      </c>
      <c r="L7921" s="2" t="s">
        <v>34</v>
      </c>
      <c r="M7921" s="2"/>
      <c r="N7921" s="2"/>
      <c r="O7921" s="2"/>
      <c r="P7921" s="2" t="s">
        <v>23732</v>
      </c>
      <c r="Q7921" s="2"/>
      <c r="R7921" s="6">
        <v>37</v>
      </c>
      <c r="S7921" s="5">
        <v>5.2</v>
      </c>
      <c r="T7921" s="7">
        <v>32.837000000000003</v>
      </c>
      <c r="U7921" s="5">
        <v>1.4</v>
      </c>
      <c r="V7921" s="6">
        <v>0.3</v>
      </c>
      <c r="W7921" s="6">
        <v>30.39</v>
      </c>
      <c r="X7921" s="5">
        <v>30.3</v>
      </c>
      <c r="Y7921" s="6">
        <v>29.79</v>
      </c>
      <c r="Z7921" s="6">
        <v>33.75</v>
      </c>
      <c r="AA7921" s="6">
        <v>17.579999999999998</v>
      </c>
      <c r="AB7921" s="7">
        <v>221.30199999999999</v>
      </c>
      <c r="AC7921" s="2"/>
    </row>
    <row r="7922" spans="1:29" ht="52" x14ac:dyDescent="0.15">
      <c r="A7922" s="3">
        <f>DATE(2006,2,3)</f>
        <v>38751</v>
      </c>
      <c r="B7922" s="3">
        <f>DATE(2006,7,10)</f>
        <v>38908</v>
      </c>
      <c r="C7922" s="2" t="s">
        <v>95</v>
      </c>
      <c r="D7922" s="2" t="s">
        <v>23733</v>
      </c>
      <c r="E7922" s="2" t="s">
        <v>1181</v>
      </c>
      <c r="F7922" s="4">
        <v>6021</v>
      </c>
      <c r="G7922" s="2" t="s">
        <v>37</v>
      </c>
      <c r="H7922" s="2" t="s">
        <v>34</v>
      </c>
      <c r="I7922" s="2" t="s">
        <v>23734</v>
      </c>
      <c r="J7922" s="2" t="s">
        <v>23735</v>
      </c>
      <c r="K7922" s="2" t="s">
        <v>223</v>
      </c>
      <c r="L7922" s="2" t="s">
        <v>34</v>
      </c>
      <c r="M7922" s="2"/>
      <c r="N7922" s="6">
        <v>13.47</v>
      </c>
      <c r="O7922" s="6">
        <v>17.579999999999998</v>
      </c>
      <c r="P7922" s="2" t="s">
        <v>23736</v>
      </c>
      <c r="Q7922" s="6">
        <v>100</v>
      </c>
      <c r="R7922" s="6">
        <v>43</v>
      </c>
      <c r="S7922" s="5">
        <v>0.6</v>
      </c>
      <c r="T7922" s="2"/>
      <c r="U7922" s="5">
        <v>20.7</v>
      </c>
      <c r="V7922" s="6">
        <v>1</v>
      </c>
      <c r="W7922" s="6">
        <v>29.85</v>
      </c>
      <c r="X7922" s="6">
        <v>29.85</v>
      </c>
      <c r="Y7922" s="6">
        <v>29.85</v>
      </c>
      <c r="Z7922" s="6">
        <v>29.85</v>
      </c>
      <c r="AA7922" s="6">
        <v>0.62</v>
      </c>
      <c r="AB7922" s="7">
        <v>412.93900000000002</v>
      </c>
      <c r="AC7922" s="2"/>
    </row>
    <row r="7923" spans="1:29" ht="91" x14ac:dyDescent="0.15">
      <c r="A7923" s="3">
        <f>DATE(2006,2,6)</f>
        <v>38754</v>
      </c>
      <c r="B7923" s="3">
        <f>DATE(2006,6,7)</f>
        <v>38875</v>
      </c>
      <c r="C7923" s="2" t="s">
        <v>95</v>
      </c>
      <c r="D7923" s="2" t="s">
        <v>23737</v>
      </c>
      <c r="E7923" s="2" t="s">
        <v>23738</v>
      </c>
      <c r="F7923" s="4">
        <v>3589</v>
      </c>
      <c r="G7923" s="2" t="s">
        <v>300</v>
      </c>
      <c r="H7923" s="2" t="s">
        <v>34</v>
      </c>
      <c r="I7923" s="2" t="s">
        <v>23739</v>
      </c>
      <c r="J7923" s="2" t="s">
        <v>1789</v>
      </c>
      <c r="K7923" s="2" t="s">
        <v>116</v>
      </c>
      <c r="L7923" s="2" t="s">
        <v>34</v>
      </c>
      <c r="M7923" s="2"/>
      <c r="N7923" s="2"/>
      <c r="O7923" s="2"/>
      <c r="P7923" s="2" t="s">
        <v>23740</v>
      </c>
      <c r="Q7923" s="6">
        <v>100</v>
      </c>
      <c r="R7923" s="6">
        <v>22</v>
      </c>
      <c r="S7923" s="5">
        <v>16</v>
      </c>
      <c r="T7923" s="7">
        <v>42.207999999999998</v>
      </c>
      <c r="U7923" s="5">
        <v>5</v>
      </c>
      <c r="V7923" s="6">
        <v>1.04</v>
      </c>
      <c r="W7923" s="6">
        <v>17.71</v>
      </c>
      <c r="X7923" s="6">
        <v>17.579999999999998</v>
      </c>
      <c r="Y7923" s="5">
        <v>17.5</v>
      </c>
      <c r="Z7923" s="6">
        <v>21.29</v>
      </c>
      <c r="AA7923" s="6">
        <v>14.86</v>
      </c>
      <c r="AB7923" s="7">
        <v>14.516</v>
      </c>
      <c r="AC7923" s="2"/>
    </row>
    <row r="7924" spans="1:29" ht="39" x14ac:dyDescent="0.15">
      <c r="A7924" s="3">
        <f>DATE(2006,2,6)</f>
        <v>38754</v>
      </c>
      <c r="B7924" s="3">
        <f>DATE(2006,5,1)</f>
        <v>38838</v>
      </c>
      <c r="C7924" s="2" t="s">
        <v>95</v>
      </c>
      <c r="D7924" s="2" t="s">
        <v>23536</v>
      </c>
      <c r="E7924" s="2" t="s">
        <v>23537</v>
      </c>
      <c r="F7924" s="4">
        <v>5961</v>
      </c>
      <c r="G7924" s="2" t="s">
        <v>73</v>
      </c>
      <c r="H7924" s="2" t="s">
        <v>34</v>
      </c>
      <c r="I7924" s="2" t="s">
        <v>23741</v>
      </c>
      <c r="J7924" s="2" t="s">
        <v>23537</v>
      </c>
      <c r="K7924" s="2" t="s">
        <v>756</v>
      </c>
      <c r="L7924" s="2" t="s">
        <v>34</v>
      </c>
      <c r="M7924" s="12">
        <v>1557.741</v>
      </c>
      <c r="N7924" s="6">
        <v>26.34</v>
      </c>
      <c r="O7924" s="6">
        <v>26.45</v>
      </c>
      <c r="P7924" s="2" t="s">
        <v>23742</v>
      </c>
      <c r="Q7924" s="6">
        <v>100</v>
      </c>
      <c r="R7924" s="6">
        <v>24.05</v>
      </c>
      <c r="S7924" s="5">
        <v>1.5</v>
      </c>
      <c r="T7924" s="7">
        <v>25.370999999999999</v>
      </c>
      <c r="U7924" s="5">
        <v>8.3000000000000007</v>
      </c>
      <c r="V7924" s="6">
        <v>7.0000000000000007E-2</v>
      </c>
      <c r="W7924" s="6">
        <v>19.34</v>
      </c>
      <c r="X7924" s="5">
        <v>19.2</v>
      </c>
      <c r="Y7924" s="6">
        <v>23.57</v>
      </c>
      <c r="Z7924" s="6">
        <v>23.59</v>
      </c>
      <c r="AA7924" s="6">
        <v>20.32</v>
      </c>
      <c r="AB7924" s="7">
        <v>178.393</v>
      </c>
      <c r="AC7924" s="6">
        <v>103.02</v>
      </c>
    </row>
    <row r="7925" spans="1:29" ht="195" x14ac:dyDescent="0.15">
      <c r="A7925" s="3">
        <f>DATE(2006,2,6)</f>
        <v>38754</v>
      </c>
      <c r="B7925" s="3">
        <f>DATE(2006,5,16)</f>
        <v>38853</v>
      </c>
      <c r="C7925" s="2" t="s">
        <v>95</v>
      </c>
      <c r="D7925" s="2" t="s">
        <v>23743</v>
      </c>
      <c r="E7925" s="2" t="s">
        <v>23744</v>
      </c>
      <c r="F7925" s="4">
        <v>3241</v>
      </c>
      <c r="G7925" s="2" t="s">
        <v>237</v>
      </c>
      <c r="H7925" s="2" t="s">
        <v>34</v>
      </c>
      <c r="I7925" s="2" t="s">
        <v>23745</v>
      </c>
      <c r="J7925" s="2" t="s">
        <v>23746</v>
      </c>
      <c r="K7925" s="2" t="s">
        <v>237</v>
      </c>
      <c r="L7925" s="2" t="s">
        <v>133</v>
      </c>
      <c r="M7925" s="2"/>
      <c r="N7925" s="7">
        <v>107.114</v>
      </c>
      <c r="O7925" s="7">
        <v>107.038</v>
      </c>
      <c r="P7925" s="2" t="s">
        <v>23747</v>
      </c>
      <c r="Q7925" s="6">
        <v>51.09</v>
      </c>
      <c r="R7925" s="6">
        <v>85.5</v>
      </c>
      <c r="S7925" s="5">
        <v>393.9</v>
      </c>
      <c r="T7925" s="7">
        <v>836.18899999999996</v>
      </c>
      <c r="U7925" s="5">
        <v>41.9</v>
      </c>
      <c r="V7925" s="6">
        <v>4.8600000000000003</v>
      </c>
      <c r="W7925" s="4">
        <v>64</v>
      </c>
      <c r="X7925" s="6">
        <v>64.25</v>
      </c>
      <c r="Y7925" s="6">
        <v>82.14</v>
      </c>
      <c r="Z7925" s="6">
        <v>82.15</v>
      </c>
      <c r="AA7925" s="6">
        <v>71.39</v>
      </c>
      <c r="AB7925" s="7">
        <v>11.771000000000001</v>
      </c>
      <c r="AC7925" s="10">
        <v>2170.46</v>
      </c>
    </row>
    <row r="7926" spans="1:29" ht="91" x14ac:dyDescent="0.15">
      <c r="A7926" s="3">
        <f>DATE(2006,2,6)</f>
        <v>38754</v>
      </c>
      <c r="B7926" s="3">
        <f>DATE(2006,3,31)</f>
        <v>38807</v>
      </c>
      <c r="C7926" s="2" t="s">
        <v>95</v>
      </c>
      <c r="D7926" s="2" t="s">
        <v>23748</v>
      </c>
      <c r="E7926" s="2" t="s">
        <v>23749</v>
      </c>
      <c r="F7926" s="4">
        <v>4899</v>
      </c>
      <c r="G7926" s="2" t="s">
        <v>63</v>
      </c>
      <c r="H7926" s="2" t="s">
        <v>34</v>
      </c>
      <c r="I7926" s="2" t="s">
        <v>23718</v>
      </c>
      <c r="J7926" s="2" t="s">
        <v>12564</v>
      </c>
      <c r="K7926" s="2" t="s">
        <v>223</v>
      </c>
      <c r="L7926" s="2" t="s">
        <v>34</v>
      </c>
      <c r="M7926" s="12">
        <v>2946.567</v>
      </c>
      <c r="N7926" s="6">
        <v>41.39</v>
      </c>
      <c r="O7926" s="6">
        <v>43.12</v>
      </c>
      <c r="P7926" s="2" t="s">
        <v>23750</v>
      </c>
      <c r="Q7926" s="6">
        <v>100</v>
      </c>
      <c r="R7926" s="6">
        <v>2.7</v>
      </c>
      <c r="S7926" s="5">
        <v>4</v>
      </c>
      <c r="T7926" s="7">
        <v>11.545</v>
      </c>
      <c r="U7926" s="5">
        <v>2</v>
      </c>
      <c r="V7926" s="6">
        <v>7.0000000000000007E-2</v>
      </c>
      <c r="W7926" s="6">
        <v>2.0499999999999998</v>
      </c>
      <c r="X7926" s="6">
        <v>2.04</v>
      </c>
      <c r="Y7926" s="6">
        <v>2.0299999999999998</v>
      </c>
      <c r="Z7926" s="6">
        <v>2.63</v>
      </c>
      <c r="AA7926" s="6">
        <v>56.53</v>
      </c>
      <c r="AB7926" s="7">
        <v>38.636000000000003</v>
      </c>
      <c r="AC7926" s="6">
        <v>34.56</v>
      </c>
    </row>
    <row r="7927" spans="1:29" ht="117" x14ac:dyDescent="0.15">
      <c r="A7927" s="3">
        <f>DATE(2006,2,6)</f>
        <v>38754</v>
      </c>
      <c r="B7927" s="3">
        <f>DATE(2006,7,20)</f>
        <v>38918</v>
      </c>
      <c r="C7927" s="2" t="s">
        <v>95</v>
      </c>
      <c r="D7927" s="2" t="s">
        <v>23751</v>
      </c>
      <c r="E7927" s="2" t="s">
        <v>1181</v>
      </c>
      <c r="F7927" s="4">
        <v>6021</v>
      </c>
      <c r="G7927" s="2" t="s">
        <v>37</v>
      </c>
      <c r="H7927" s="2" t="s">
        <v>34</v>
      </c>
      <c r="I7927" s="2" t="s">
        <v>23752</v>
      </c>
      <c r="J7927" s="2" t="s">
        <v>36</v>
      </c>
      <c r="K7927" s="2" t="s">
        <v>37</v>
      </c>
      <c r="L7927" s="2" t="s">
        <v>34</v>
      </c>
      <c r="M7927" s="7">
        <v>61.398000000000003</v>
      </c>
      <c r="N7927" s="5">
        <v>19.2</v>
      </c>
      <c r="O7927" s="5">
        <v>19.3</v>
      </c>
      <c r="P7927" s="2" t="s">
        <v>23753</v>
      </c>
      <c r="Q7927" s="6">
        <v>100</v>
      </c>
      <c r="R7927" s="6">
        <v>22.91</v>
      </c>
      <c r="S7927" s="5">
        <v>1.4</v>
      </c>
      <c r="T7927" s="7">
        <v>1.5609999999999999</v>
      </c>
      <c r="U7927" s="5">
        <v>10.3</v>
      </c>
      <c r="V7927" s="6">
        <v>1.04</v>
      </c>
      <c r="W7927" s="4">
        <v>17</v>
      </c>
      <c r="X7927" s="6">
        <v>17.25</v>
      </c>
      <c r="Y7927" s="4">
        <v>18</v>
      </c>
      <c r="Z7927" s="4">
        <v>21</v>
      </c>
      <c r="AA7927" s="6">
        <v>1.27</v>
      </c>
      <c r="AB7927" s="7">
        <v>29.59</v>
      </c>
      <c r="AC7927" s="2"/>
    </row>
    <row r="7928" spans="1:29" ht="78" x14ac:dyDescent="0.15">
      <c r="A7928" s="3">
        <f>DATE(2006,2,7)</f>
        <v>38755</v>
      </c>
      <c r="B7928" s="3">
        <f>DATE(2006,4,20)</f>
        <v>38827</v>
      </c>
      <c r="C7928" s="2" t="s">
        <v>95</v>
      </c>
      <c r="D7928" s="2" t="s">
        <v>23754</v>
      </c>
      <c r="E7928" s="2" t="s">
        <v>849</v>
      </c>
      <c r="F7928" s="4">
        <v>7372</v>
      </c>
      <c r="G7928" s="2" t="s">
        <v>551</v>
      </c>
      <c r="H7928" s="2" t="s">
        <v>34</v>
      </c>
      <c r="I7928" s="2" t="s">
        <v>23755</v>
      </c>
      <c r="J7928" s="2" t="s">
        <v>21125</v>
      </c>
      <c r="K7928" s="2" t="s">
        <v>551</v>
      </c>
      <c r="L7928" s="2" t="s">
        <v>34</v>
      </c>
      <c r="M7928" s="7">
        <v>501.53399999999999</v>
      </c>
      <c r="N7928" s="6">
        <v>6.22</v>
      </c>
      <c r="O7928" s="6">
        <v>5.73</v>
      </c>
      <c r="P7928" s="2" t="s">
        <v>23756</v>
      </c>
      <c r="Q7928" s="6">
        <v>100</v>
      </c>
      <c r="R7928" s="6">
        <v>8.67</v>
      </c>
      <c r="S7928" s="5">
        <v>3.2</v>
      </c>
      <c r="T7928" s="7">
        <v>3.3439999999999999</v>
      </c>
      <c r="U7928" s="5">
        <v>0.9</v>
      </c>
      <c r="V7928" s="6">
        <v>0.25</v>
      </c>
      <c r="W7928" s="6">
        <v>6.65</v>
      </c>
      <c r="X7928" s="6">
        <v>6.78</v>
      </c>
      <c r="Y7928" s="7">
        <v>6.9189999999999996</v>
      </c>
      <c r="Z7928" s="6">
        <v>8.4499999999999993</v>
      </c>
      <c r="AA7928" s="6">
        <v>10.36</v>
      </c>
      <c r="AB7928" s="7">
        <v>35.18</v>
      </c>
      <c r="AC7928" s="6">
        <v>175.08</v>
      </c>
    </row>
    <row r="7929" spans="1:29" ht="130" x14ac:dyDescent="0.15">
      <c r="A7929" s="3">
        <f>DATE(2006,2,7)</f>
        <v>38755</v>
      </c>
      <c r="B7929" s="3">
        <f>DATE(2006,6,5)</f>
        <v>38873</v>
      </c>
      <c r="C7929" s="2" t="s">
        <v>95</v>
      </c>
      <c r="D7929" s="2" t="s">
        <v>20018</v>
      </c>
      <c r="E7929" s="2" t="s">
        <v>1181</v>
      </c>
      <c r="F7929" s="4">
        <v>6021</v>
      </c>
      <c r="G7929" s="2" t="s">
        <v>37</v>
      </c>
      <c r="H7929" s="2" t="s">
        <v>34</v>
      </c>
      <c r="I7929" s="2" t="s">
        <v>17438</v>
      </c>
      <c r="J7929" s="2" t="s">
        <v>36</v>
      </c>
      <c r="K7929" s="2" t="s">
        <v>33</v>
      </c>
      <c r="L7929" s="2" t="s">
        <v>34</v>
      </c>
      <c r="M7929" s="12">
        <v>1306.8150000000001</v>
      </c>
      <c r="N7929" s="6">
        <v>27.26</v>
      </c>
      <c r="O7929" s="6">
        <v>26.59</v>
      </c>
      <c r="P7929" s="2" t="s">
        <v>23757</v>
      </c>
      <c r="Q7929" s="6">
        <v>100</v>
      </c>
      <c r="R7929" s="6">
        <v>44.02</v>
      </c>
      <c r="S7929" s="5">
        <v>17.7</v>
      </c>
      <c r="T7929" s="7">
        <v>30.492000000000001</v>
      </c>
      <c r="U7929" s="5">
        <v>16.7</v>
      </c>
      <c r="V7929" s="6">
        <v>2.23</v>
      </c>
      <c r="W7929" s="6">
        <v>40.04</v>
      </c>
      <c r="X7929" s="5">
        <v>40.5</v>
      </c>
      <c r="Y7929" s="6">
        <v>40.08</v>
      </c>
      <c r="Z7929" s="6">
        <v>42.05</v>
      </c>
      <c r="AA7929" s="6">
        <v>7.73</v>
      </c>
      <c r="AB7929" s="7">
        <v>16.268999999999998</v>
      </c>
      <c r="AC7929" s="2"/>
    </row>
    <row r="7930" spans="1:29" ht="91" x14ac:dyDescent="0.15">
      <c r="A7930" s="3">
        <f>DATE(2006,2,9)</f>
        <v>38757</v>
      </c>
      <c r="B7930" s="3">
        <f>DATE(2006,7,14)</f>
        <v>38912</v>
      </c>
      <c r="C7930" s="2" t="s">
        <v>95</v>
      </c>
      <c r="D7930" s="2" t="s">
        <v>23758</v>
      </c>
      <c r="E7930" s="2" t="s">
        <v>265</v>
      </c>
      <c r="F7930" s="4">
        <v>6035</v>
      </c>
      <c r="G7930" s="2" t="s">
        <v>33</v>
      </c>
      <c r="H7930" s="2" t="s">
        <v>34</v>
      </c>
      <c r="I7930" s="2" t="s">
        <v>23759</v>
      </c>
      <c r="J7930" s="2" t="s">
        <v>23760</v>
      </c>
      <c r="K7930" s="2" t="s">
        <v>33</v>
      </c>
      <c r="L7930" s="2" t="s">
        <v>34</v>
      </c>
      <c r="M7930" s="12">
        <v>7386.616</v>
      </c>
      <c r="N7930" s="6">
        <v>12.12</v>
      </c>
      <c r="O7930" s="6">
        <v>12.29</v>
      </c>
      <c r="P7930" s="2" t="s">
        <v>23761</v>
      </c>
      <c r="Q7930" s="6">
        <v>100</v>
      </c>
      <c r="R7930" s="6">
        <v>20.75</v>
      </c>
      <c r="S7930" s="5">
        <v>4.5999999999999996</v>
      </c>
      <c r="T7930" s="2"/>
      <c r="U7930" s="5">
        <v>10.4</v>
      </c>
      <c r="V7930" s="6">
        <v>0.4</v>
      </c>
      <c r="W7930" s="6">
        <v>19.39</v>
      </c>
      <c r="X7930" s="5">
        <v>18.8</v>
      </c>
      <c r="Y7930" s="6">
        <v>20.239999999999998</v>
      </c>
      <c r="Z7930" s="6">
        <v>20.22</v>
      </c>
      <c r="AA7930" s="6">
        <v>12.32</v>
      </c>
      <c r="AB7930" s="7">
        <v>41.869</v>
      </c>
      <c r="AC7930" s="2"/>
    </row>
    <row r="7931" spans="1:29" ht="78" x14ac:dyDescent="0.15">
      <c r="A7931" s="3">
        <f>DATE(2006,2,10)</f>
        <v>38758</v>
      </c>
      <c r="B7931" s="3">
        <f>DATE(2006,5,5)</f>
        <v>38842</v>
      </c>
      <c r="C7931" s="2" t="s">
        <v>95</v>
      </c>
      <c r="D7931" s="2" t="s">
        <v>12379</v>
      </c>
      <c r="E7931" s="2" t="s">
        <v>92</v>
      </c>
      <c r="F7931" s="4">
        <v>6798</v>
      </c>
      <c r="G7931" s="2" t="s">
        <v>53</v>
      </c>
      <c r="H7931" s="2" t="s">
        <v>34</v>
      </c>
      <c r="I7931" s="2" t="s">
        <v>23762</v>
      </c>
      <c r="J7931" s="2" t="s">
        <v>3941</v>
      </c>
      <c r="K7931" s="2" t="s">
        <v>53</v>
      </c>
      <c r="L7931" s="2" t="s">
        <v>34</v>
      </c>
      <c r="M7931" s="2"/>
      <c r="N7931" s="2"/>
      <c r="O7931" s="2"/>
      <c r="P7931" s="2" t="s">
        <v>23763</v>
      </c>
      <c r="Q7931" s="6">
        <v>100</v>
      </c>
      <c r="R7931" s="6">
        <v>27.21</v>
      </c>
      <c r="S7931" s="5">
        <v>3.1</v>
      </c>
      <c r="T7931" s="7">
        <v>28.524000000000001</v>
      </c>
      <c r="U7931" s="5">
        <v>13.8</v>
      </c>
      <c r="V7931" s="6">
        <v>-0.32</v>
      </c>
      <c r="W7931" s="6">
        <v>23.11</v>
      </c>
      <c r="X7931" s="6">
        <v>24.63</v>
      </c>
      <c r="Y7931" s="6">
        <v>24.53</v>
      </c>
      <c r="Z7931" s="5">
        <v>26.9</v>
      </c>
      <c r="AA7931" s="6">
        <v>16</v>
      </c>
      <c r="AB7931" s="7">
        <v>847.96100000000001</v>
      </c>
      <c r="AC7931" s="2"/>
    </row>
    <row r="7932" spans="1:29" ht="91" x14ac:dyDescent="0.15">
      <c r="A7932" s="3">
        <f>DATE(2006,2,10)</f>
        <v>38758</v>
      </c>
      <c r="B7932" s="3">
        <f>DATE(2006,7,28)</f>
        <v>38926</v>
      </c>
      <c r="C7932" s="2" t="s">
        <v>95</v>
      </c>
      <c r="D7932" s="2" t="s">
        <v>23764</v>
      </c>
      <c r="E7932" s="2" t="s">
        <v>23765</v>
      </c>
      <c r="F7932" s="4">
        <v>2541</v>
      </c>
      <c r="G7932" s="2" t="s">
        <v>250</v>
      </c>
      <c r="H7932" s="2" t="s">
        <v>34</v>
      </c>
      <c r="I7932" s="2" t="s">
        <v>23766</v>
      </c>
      <c r="J7932" s="2" t="s">
        <v>244</v>
      </c>
      <c r="K7932" s="2" t="s">
        <v>53</v>
      </c>
      <c r="L7932" s="2" t="s">
        <v>34</v>
      </c>
      <c r="M7932" s="2"/>
      <c r="N7932" s="2"/>
      <c r="O7932" s="2"/>
      <c r="P7932" s="2" t="s">
        <v>23767</v>
      </c>
      <c r="Q7932" s="6">
        <v>100</v>
      </c>
      <c r="R7932" s="6">
        <v>19</v>
      </c>
      <c r="S7932" s="5">
        <v>6.9</v>
      </c>
      <c r="T7932" s="7">
        <v>16.829000000000001</v>
      </c>
      <c r="U7932" s="5">
        <v>9.1</v>
      </c>
      <c r="V7932" s="6">
        <v>1.52</v>
      </c>
      <c r="W7932" s="4">
        <v>16</v>
      </c>
      <c r="X7932" s="6">
        <v>16.07</v>
      </c>
      <c r="Y7932" s="6">
        <v>18.27</v>
      </c>
      <c r="Z7932" s="6">
        <v>18.309999999999999</v>
      </c>
      <c r="AA7932" s="6">
        <v>2.6</v>
      </c>
      <c r="AB7932" s="7">
        <v>8.6120000000000001</v>
      </c>
      <c r="AC7932" s="2"/>
    </row>
    <row r="7933" spans="1:29" ht="52" x14ac:dyDescent="0.15">
      <c r="A7933" s="3">
        <f>DATE(2006,2,10)</f>
        <v>38758</v>
      </c>
      <c r="B7933" s="3">
        <f>DATE(2006,10,2)</f>
        <v>38992</v>
      </c>
      <c r="C7933" s="2" t="s">
        <v>95</v>
      </c>
      <c r="D7933" s="2" t="s">
        <v>8716</v>
      </c>
      <c r="E7933" s="2" t="s">
        <v>8717</v>
      </c>
      <c r="F7933" s="4">
        <v>8062</v>
      </c>
      <c r="G7933" s="2" t="s">
        <v>454</v>
      </c>
      <c r="H7933" s="2" t="s">
        <v>34</v>
      </c>
      <c r="I7933" s="2" t="s">
        <v>23768</v>
      </c>
      <c r="J7933" s="2" t="s">
        <v>23769</v>
      </c>
      <c r="K7933" s="2" t="s">
        <v>454</v>
      </c>
      <c r="L7933" s="2" t="s">
        <v>34</v>
      </c>
      <c r="M7933" s="2"/>
      <c r="N7933" s="2"/>
      <c r="O7933" s="2"/>
      <c r="P7933" s="2" t="s">
        <v>23770</v>
      </c>
      <c r="Q7933" s="6">
        <v>51</v>
      </c>
      <c r="R7933" s="2"/>
      <c r="S7933" s="5">
        <v>-621</v>
      </c>
      <c r="T7933" s="5">
        <v>571</v>
      </c>
      <c r="U7933" s="5">
        <v>8.6999999999999993</v>
      </c>
      <c r="V7933" s="6">
        <v>-5.28</v>
      </c>
      <c r="W7933" s="6">
        <v>7.06</v>
      </c>
      <c r="X7933" s="6">
        <v>6.99</v>
      </c>
      <c r="Y7933" s="6">
        <v>7.04</v>
      </c>
      <c r="Z7933" s="6">
        <v>7.02</v>
      </c>
      <c r="AA7933" s="6">
        <v>469.01</v>
      </c>
      <c r="AB7933" s="2" t="s">
        <v>47</v>
      </c>
      <c r="AC7933" s="2"/>
    </row>
    <row r="7934" spans="1:29" ht="130" x14ac:dyDescent="0.15">
      <c r="A7934" s="3">
        <f>DATE(2006,2,10)</f>
        <v>38758</v>
      </c>
      <c r="B7934" s="3">
        <f>DATE(2006,8,9)</f>
        <v>38938</v>
      </c>
      <c r="C7934" s="2" t="s">
        <v>95</v>
      </c>
      <c r="D7934" s="2" t="s">
        <v>23771</v>
      </c>
      <c r="E7934" s="2" t="s">
        <v>540</v>
      </c>
      <c r="F7934" s="4">
        <v>2836</v>
      </c>
      <c r="G7934" s="2" t="s">
        <v>130</v>
      </c>
      <c r="H7934" s="2" t="s">
        <v>34</v>
      </c>
      <c r="I7934" s="2" t="s">
        <v>23772</v>
      </c>
      <c r="J7934" s="2" t="s">
        <v>23773</v>
      </c>
      <c r="K7934" s="2" t="s">
        <v>226</v>
      </c>
      <c r="L7934" s="2" t="s">
        <v>34</v>
      </c>
      <c r="M7934" s="7">
        <v>203.82400000000001</v>
      </c>
      <c r="N7934" s="6">
        <v>5.45</v>
      </c>
      <c r="O7934" s="6">
        <v>6.04</v>
      </c>
      <c r="P7934" s="2" t="s">
        <v>23774</v>
      </c>
      <c r="Q7934" s="6">
        <v>100</v>
      </c>
      <c r="R7934" s="6">
        <v>3.02</v>
      </c>
      <c r="S7934" s="5">
        <v>-18.600000000000001</v>
      </c>
      <c r="T7934" s="7">
        <v>-15.821999999999999</v>
      </c>
      <c r="U7934" s="5">
        <v>0.6</v>
      </c>
      <c r="V7934" s="6">
        <v>-1.1100000000000001</v>
      </c>
      <c r="W7934" s="5">
        <v>2.9</v>
      </c>
      <c r="X7934" s="6">
        <v>2.93</v>
      </c>
      <c r="Y7934" s="6">
        <v>2.89</v>
      </c>
      <c r="Z7934" s="6">
        <v>3.88</v>
      </c>
      <c r="AA7934" s="6">
        <v>20.21</v>
      </c>
      <c r="AB7934" s="2" t="s">
        <v>86</v>
      </c>
      <c r="AC7934" s="6">
        <v>34.76</v>
      </c>
    </row>
    <row r="7935" spans="1:29" ht="39" x14ac:dyDescent="0.15">
      <c r="A7935" s="3">
        <f>DATE(2006,2,13)</f>
        <v>38761</v>
      </c>
      <c r="B7935" s="3">
        <f>DATE(2006,2,13)</f>
        <v>38761</v>
      </c>
      <c r="C7935" s="2" t="s">
        <v>95</v>
      </c>
      <c r="D7935" s="2" t="s">
        <v>23775</v>
      </c>
      <c r="E7935" s="2" t="s">
        <v>23776</v>
      </c>
      <c r="F7935" s="4">
        <v>7361</v>
      </c>
      <c r="G7935" s="2" t="s">
        <v>223</v>
      </c>
      <c r="H7935" s="2" t="s">
        <v>34</v>
      </c>
      <c r="I7935" s="2" t="s">
        <v>23777</v>
      </c>
      <c r="J7935" s="2" t="s">
        <v>18513</v>
      </c>
      <c r="K7935" s="2" t="s">
        <v>223</v>
      </c>
      <c r="L7935" s="2" t="s">
        <v>34</v>
      </c>
      <c r="M7935" s="2"/>
      <c r="N7935" s="2"/>
      <c r="O7935" s="2"/>
      <c r="P7935" s="2" t="s">
        <v>23778</v>
      </c>
      <c r="Q7935" s="6">
        <v>100</v>
      </c>
      <c r="R7935" s="2"/>
      <c r="S7935" s="5">
        <v>-0.4</v>
      </c>
      <c r="T7935" s="7">
        <v>-0.40200000000000002</v>
      </c>
      <c r="U7935" s="5">
        <v>-0.2</v>
      </c>
      <c r="V7935" s="6">
        <v>-0.3</v>
      </c>
      <c r="W7935" s="7">
        <v>1.7190000000000001</v>
      </c>
      <c r="X7935" s="6">
        <v>1.82</v>
      </c>
      <c r="Y7935" s="4">
        <v>2</v>
      </c>
      <c r="Z7935" s="6">
        <v>2.0699999999999998</v>
      </c>
      <c r="AA7935" s="6">
        <v>14.79</v>
      </c>
      <c r="AB7935" s="2" t="s">
        <v>86</v>
      </c>
      <c r="AC7935" s="2"/>
    </row>
    <row r="7936" spans="1:29" ht="91" x14ac:dyDescent="0.15">
      <c r="A7936" s="3">
        <f>DATE(2006,2,15)</f>
        <v>38763</v>
      </c>
      <c r="B7936" s="3">
        <f>DATE(2006,6,12)</f>
        <v>38880</v>
      </c>
      <c r="C7936" s="2" t="s">
        <v>95</v>
      </c>
      <c r="D7936" s="2" t="s">
        <v>23779</v>
      </c>
      <c r="E7936" s="2" t="s">
        <v>1181</v>
      </c>
      <c r="F7936" s="4">
        <v>6021</v>
      </c>
      <c r="G7936" s="2" t="s">
        <v>37</v>
      </c>
      <c r="H7936" s="2" t="s">
        <v>34</v>
      </c>
      <c r="I7936" s="2" t="s">
        <v>22298</v>
      </c>
      <c r="J7936" s="2" t="s">
        <v>159</v>
      </c>
      <c r="K7936" s="2" t="s">
        <v>37</v>
      </c>
      <c r="L7936" s="2" t="s">
        <v>34</v>
      </c>
      <c r="M7936" s="7">
        <v>396.87700000000001</v>
      </c>
      <c r="N7936" s="5">
        <v>26.2</v>
      </c>
      <c r="O7936" s="5">
        <v>26.5</v>
      </c>
      <c r="P7936" s="2" t="s">
        <v>23780</v>
      </c>
      <c r="Q7936" s="6">
        <v>100</v>
      </c>
      <c r="R7936" s="6">
        <v>38.97</v>
      </c>
      <c r="S7936" s="5">
        <v>8.4</v>
      </c>
      <c r="T7936" s="7">
        <v>14.967000000000001</v>
      </c>
      <c r="U7936" s="5">
        <v>13</v>
      </c>
      <c r="V7936" s="6">
        <v>1.9</v>
      </c>
      <c r="W7936" s="4">
        <v>34</v>
      </c>
      <c r="X7936" s="4">
        <v>35</v>
      </c>
      <c r="Y7936" s="4">
        <v>35</v>
      </c>
      <c r="Z7936" s="6">
        <v>38.39</v>
      </c>
      <c r="AA7936" s="6">
        <v>3.8</v>
      </c>
      <c r="AB7936" s="7">
        <v>13.577</v>
      </c>
      <c r="AC7936" s="2"/>
    </row>
    <row r="7937" spans="1:29" ht="117" x14ac:dyDescent="0.15">
      <c r="A7937" s="3">
        <f>DATE(2006,2,16)</f>
        <v>38764</v>
      </c>
      <c r="B7937" s="3">
        <f>DATE(2006,6,20)</f>
        <v>38888</v>
      </c>
      <c r="C7937" s="2" t="s">
        <v>95</v>
      </c>
      <c r="D7937" s="2" t="s">
        <v>9182</v>
      </c>
      <c r="E7937" s="2" t="s">
        <v>3900</v>
      </c>
      <c r="F7937" s="4">
        <v>5812</v>
      </c>
      <c r="G7937" s="2" t="s">
        <v>230</v>
      </c>
      <c r="H7937" s="2" t="s">
        <v>34</v>
      </c>
      <c r="I7937" s="2" t="s">
        <v>23781</v>
      </c>
      <c r="J7937" s="2" t="s">
        <v>1072</v>
      </c>
      <c r="K7937" s="2" t="s">
        <v>53</v>
      </c>
      <c r="L7937" s="2" t="s">
        <v>34</v>
      </c>
      <c r="M7937" s="2"/>
      <c r="N7937" s="2"/>
      <c r="O7937" s="2"/>
      <c r="P7937" s="2" t="s">
        <v>23782</v>
      </c>
      <c r="Q7937" s="6">
        <v>100</v>
      </c>
      <c r="R7937" s="6">
        <v>15</v>
      </c>
      <c r="S7937" s="5">
        <v>9.1999999999999993</v>
      </c>
      <c r="T7937" s="7">
        <v>23.405000000000001</v>
      </c>
      <c r="U7937" s="5">
        <v>7.5</v>
      </c>
      <c r="V7937" s="6">
        <v>0.74</v>
      </c>
      <c r="W7937" s="6">
        <v>14.82</v>
      </c>
      <c r="X7937" s="5">
        <v>14.9</v>
      </c>
      <c r="Y7937" s="6">
        <v>15.16</v>
      </c>
      <c r="Z7937" s="6">
        <v>15.08</v>
      </c>
      <c r="AA7937" s="6">
        <v>11.46</v>
      </c>
      <c r="AB7937" s="7">
        <v>12.268000000000001</v>
      </c>
      <c r="AC7937" s="2"/>
    </row>
    <row r="7938" spans="1:29" ht="91" x14ac:dyDescent="0.15">
      <c r="A7938" s="3">
        <f>DATE(2006,2,17)</f>
        <v>38765</v>
      </c>
      <c r="B7938" s="2"/>
      <c r="C7938" s="2" t="s">
        <v>30</v>
      </c>
      <c r="D7938" s="2" t="s">
        <v>23783</v>
      </c>
      <c r="E7938" s="2" t="s">
        <v>23784</v>
      </c>
      <c r="F7938" s="4">
        <v>7372</v>
      </c>
      <c r="G7938" s="2" t="s">
        <v>551</v>
      </c>
      <c r="H7938" s="2" t="s">
        <v>34</v>
      </c>
      <c r="I7938" s="2" t="s">
        <v>23175</v>
      </c>
      <c r="J7938" s="2" t="s">
        <v>244</v>
      </c>
      <c r="K7938" s="2" t="s">
        <v>53</v>
      </c>
      <c r="L7938" s="2" t="s">
        <v>34</v>
      </c>
      <c r="M7938" s="2"/>
      <c r="N7938" s="2"/>
      <c r="O7938" s="2"/>
      <c r="P7938" s="2" t="s">
        <v>23785</v>
      </c>
      <c r="Q7938" s="2"/>
      <c r="R7938" s="6">
        <v>5.0999999999999996</v>
      </c>
      <c r="S7938" s="5">
        <v>-8.4</v>
      </c>
      <c r="T7938" s="7">
        <v>-6.9749999999999996</v>
      </c>
      <c r="U7938" s="5">
        <v>3.6</v>
      </c>
      <c r="V7938" s="6">
        <v>-0.25</v>
      </c>
      <c r="W7938" s="6">
        <v>4.0199999999999996</v>
      </c>
      <c r="X7938" s="6">
        <v>4.1100000000000003</v>
      </c>
      <c r="Y7938" s="4">
        <v>4</v>
      </c>
      <c r="Z7938" s="4">
        <v>4</v>
      </c>
      <c r="AA7938" s="6">
        <v>34.22</v>
      </c>
      <c r="AB7938" s="2" t="s">
        <v>86</v>
      </c>
      <c r="AC7938" s="2"/>
    </row>
    <row r="7939" spans="1:29" ht="91" x14ac:dyDescent="0.15">
      <c r="A7939" s="3">
        <f>DATE(2006,2,20)</f>
        <v>38768</v>
      </c>
      <c r="B7939" s="2"/>
      <c r="C7939" s="2" t="s">
        <v>30</v>
      </c>
      <c r="D7939" s="2" t="s">
        <v>2584</v>
      </c>
      <c r="E7939" s="2" t="s">
        <v>2585</v>
      </c>
      <c r="F7939" s="4">
        <v>3699</v>
      </c>
      <c r="G7939" s="2" t="s">
        <v>137</v>
      </c>
      <c r="H7939" s="2" t="s">
        <v>34</v>
      </c>
      <c r="I7939" s="2" t="s">
        <v>23786</v>
      </c>
      <c r="J7939" s="2" t="s">
        <v>23787</v>
      </c>
      <c r="K7939" s="2" t="s">
        <v>137</v>
      </c>
      <c r="L7939" s="2" t="s">
        <v>34</v>
      </c>
      <c r="M7939" s="7">
        <v>996.40599999999995</v>
      </c>
      <c r="N7939" s="6">
        <v>30.39</v>
      </c>
      <c r="O7939" s="5">
        <v>30.9</v>
      </c>
      <c r="P7939" s="2" t="s">
        <v>23788</v>
      </c>
      <c r="Q7939" s="2"/>
      <c r="R7939" s="6">
        <v>30</v>
      </c>
      <c r="S7939" s="5">
        <v>15.2</v>
      </c>
      <c r="T7939" s="7">
        <v>22.428999999999998</v>
      </c>
      <c r="U7939" s="5">
        <v>12.3</v>
      </c>
      <c r="V7939" s="6">
        <v>1.24</v>
      </c>
      <c r="W7939" s="6">
        <v>27.25</v>
      </c>
      <c r="X7939" s="6">
        <v>28.34</v>
      </c>
      <c r="Y7939" s="6">
        <v>29.49</v>
      </c>
      <c r="Z7939" s="6">
        <v>29.49</v>
      </c>
      <c r="AA7939" s="6">
        <v>12.05</v>
      </c>
      <c r="AB7939" s="7">
        <v>16.661000000000001</v>
      </c>
      <c r="AC7939" s="6">
        <v>255.76</v>
      </c>
    </row>
    <row r="7940" spans="1:29" ht="91" x14ac:dyDescent="0.15">
      <c r="A7940" s="3">
        <f>DATE(2006,2,21)</f>
        <v>38769</v>
      </c>
      <c r="B7940" s="3">
        <f>DATE(2006,5,2)</f>
        <v>38839</v>
      </c>
      <c r="C7940" s="2" t="s">
        <v>95</v>
      </c>
      <c r="D7940" s="2" t="s">
        <v>18792</v>
      </c>
      <c r="E7940" s="2" t="s">
        <v>18793</v>
      </c>
      <c r="F7940" s="4">
        <v>6798</v>
      </c>
      <c r="G7940" s="2" t="s">
        <v>53</v>
      </c>
      <c r="H7940" s="2" t="s">
        <v>34</v>
      </c>
      <c r="I7940" s="2" t="s">
        <v>21776</v>
      </c>
      <c r="J7940" s="2" t="s">
        <v>21777</v>
      </c>
      <c r="K7940" s="2" t="s">
        <v>53</v>
      </c>
      <c r="L7940" s="2" t="s">
        <v>34</v>
      </c>
      <c r="M7940" s="2"/>
      <c r="N7940" s="2"/>
      <c r="O7940" s="2"/>
      <c r="P7940" s="2" t="s">
        <v>23789</v>
      </c>
      <c r="Q7940" s="6">
        <v>100</v>
      </c>
      <c r="R7940" s="6">
        <v>10.45</v>
      </c>
      <c r="S7940" s="5">
        <v>-173.9</v>
      </c>
      <c r="T7940" s="6">
        <v>-48.55</v>
      </c>
      <c r="U7940" s="5">
        <v>5.0999999999999996</v>
      </c>
      <c r="V7940" s="6">
        <v>-2.0099999999999998</v>
      </c>
      <c r="W7940" s="6">
        <v>9.91</v>
      </c>
      <c r="X7940" s="6">
        <v>9.93</v>
      </c>
      <c r="Y7940" s="6">
        <v>10.28</v>
      </c>
      <c r="Z7940" s="6">
        <v>10.34</v>
      </c>
      <c r="AA7940" s="6">
        <v>176.37</v>
      </c>
      <c r="AB7940" s="2" t="s">
        <v>86</v>
      </c>
      <c r="AC7940" s="6">
        <v>450.07</v>
      </c>
    </row>
    <row r="7941" spans="1:29" ht="143" x14ac:dyDescent="0.15">
      <c r="A7941" s="3">
        <f>DATE(2006,2,21)</f>
        <v>38769</v>
      </c>
      <c r="B7941" s="3">
        <f>DATE(2006,6,12)</f>
        <v>38880</v>
      </c>
      <c r="C7941" s="2" t="s">
        <v>95</v>
      </c>
      <c r="D7941" s="2" t="s">
        <v>6792</v>
      </c>
      <c r="E7941" s="2" t="s">
        <v>6793</v>
      </c>
      <c r="F7941" s="4">
        <v>2731</v>
      </c>
      <c r="G7941" s="2" t="s">
        <v>186</v>
      </c>
      <c r="H7941" s="2" t="s">
        <v>34</v>
      </c>
      <c r="I7941" s="2" t="s">
        <v>23790</v>
      </c>
      <c r="J7941" s="2" t="s">
        <v>244</v>
      </c>
      <c r="K7941" s="2" t="s">
        <v>53</v>
      </c>
      <c r="L7941" s="2" t="s">
        <v>34</v>
      </c>
      <c r="M7941" s="2"/>
      <c r="N7941" s="2"/>
      <c r="O7941" s="2"/>
      <c r="P7941" s="2" t="s">
        <v>23791</v>
      </c>
      <c r="Q7941" s="6">
        <v>100</v>
      </c>
      <c r="R7941" s="6">
        <v>29.85</v>
      </c>
      <c r="S7941" s="5">
        <v>20.6</v>
      </c>
      <c r="T7941" s="7">
        <v>34.677</v>
      </c>
      <c r="U7941" s="5">
        <v>9.3000000000000007</v>
      </c>
      <c r="V7941" s="6">
        <v>1.36</v>
      </c>
      <c r="W7941" s="6">
        <v>24.26</v>
      </c>
      <c r="X7941" s="6">
        <v>24.66</v>
      </c>
      <c r="Y7941" s="6">
        <v>29.21</v>
      </c>
      <c r="Z7941" s="6">
        <v>29.27</v>
      </c>
      <c r="AA7941" s="6">
        <v>15.01</v>
      </c>
      <c r="AB7941" s="7">
        <v>15.045</v>
      </c>
      <c r="AC7941" s="2"/>
    </row>
    <row r="7942" spans="1:29" ht="117" x14ac:dyDescent="0.15">
      <c r="A7942" s="3">
        <f>DATE(2006,2,21)</f>
        <v>38769</v>
      </c>
      <c r="B7942" s="2"/>
      <c r="C7942" s="2" t="s">
        <v>30</v>
      </c>
      <c r="D7942" s="2" t="s">
        <v>21941</v>
      </c>
      <c r="E7942" s="2" t="s">
        <v>23792</v>
      </c>
      <c r="F7942" s="4">
        <v>1791</v>
      </c>
      <c r="G7942" s="2" t="s">
        <v>341</v>
      </c>
      <c r="H7942" s="2" t="s">
        <v>34</v>
      </c>
      <c r="I7942" s="2" t="s">
        <v>23793</v>
      </c>
      <c r="J7942" s="2" t="s">
        <v>1620</v>
      </c>
      <c r="K7942" s="2" t="s">
        <v>53</v>
      </c>
      <c r="L7942" s="2" t="s">
        <v>34</v>
      </c>
      <c r="M7942" s="2"/>
      <c r="N7942" s="2"/>
      <c r="O7942" s="2"/>
      <c r="P7942" s="2" t="s">
        <v>23794</v>
      </c>
      <c r="Q7942" s="2"/>
      <c r="R7942" s="6">
        <v>8.5</v>
      </c>
      <c r="S7942" s="5">
        <v>4.7</v>
      </c>
      <c r="T7942" s="7">
        <v>19.846</v>
      </c>
      <c r="U7942" s="5">
        <v>2</v>
      </c>
      <c r="V7942" s="6">
        <v>0.67</v>
      </c>
      <c r="W7942" s="6">
        <v>7.02</v>
      </c>
      <c r="X7942" s="6">
        <v>7.06</v>
      </c>
      <c r="Y7942" s="6">
        <v>7.08</v>
      </c>
      <c r="Z7942" s="6">
        <v>8.51</v>
      </c>
      <c r="AA7942" s="6">
        <v>7.06</v>
      </c>
      <c r="AB7942" s="7">
        <v>8.2680000000000007</v>
      </c>
      <c r="AC7942" s="2"/>
    </row>
    <row r="7943" spans="1:29" ht="104" x14ac:dyDescent="0.15">
      <c r="A7943" s="3">
        <f>DATE(2006,2,22)</f>
        <v>38770</v>
      </c>
      <c r="B7943" s="2"/>
      <c r="C7943" s="2" t="s">
        <v>7330</v>
      </c>
      <c r="D7943" s="2" t="s">
        <v>23795</v>
      </c>
      <c r="E7943" s="2" t="s">
        <v>1435</v>
      </c>
      <c r="F7943" s="4">
        <v>1311</v>
      </c>
      <c r="G7943" s="2" t="s">
        <v>148</v>
      </c>
      <c r="H7943" s="2" t="s">
        <v>34</v>
      </c>
      <c r="I7943" s="2" t="s">
        <v>23796</v>
      </c>
      <c r="J7943" s="2" t="s">
        <v>612</v>
      </c>
      <c r="K7943" s="2" t="s">
        <v>148</v>
      </c>
      <c r="L7943" s="2" t="s">
        <v>34</v>
      </c>
      <c r="M7943" s="2"/>
      <c r="N7943" s="2"/>
      <c r="O7943" s="2"/>
      <c r="P7943" s="2" t="s">
        <v>23797</v>
      </c>
      <c r="Q7943" s="2"/>
      <c r="R7943" s="2"/>
      <c r="S7943" s="5">
        <v>-0.4</v>
      </c>
      <c r="T7943" s="7">
        <v>-0.64700000000000002</v>
      </c>
      <c r="U7943" s="5">
        <v>4.7</v>
      </c>
      <c r="V7943" s="6">
        <v>-7.0000000000000007E-2</v>
      </c>
      <c r="W7943" s="6">
        <v>2.72</v>
      </c>
      <c r="X7943" s="6">
        <v>2.83</v>
      </c>
      <c r="Y7943" s="6">
        <v>2.72</v>
      </c>
      <c r="Z7943" s="6">
        <v>2.66</v>
      </c>
      <c r="AA7943" s="6">
        <v>6.45</v>
      </c>
      <c r="AB7943" s="2" t="s">
        <v>86</v>
      </c>
      <c r="AC7943" s="2"/>
    </row>
    <row r="7944" spans="1:29" ht="78" x14ac:dyDescent="0.15">
      <c r="A7944" s="3">
        <f>DATE(2006,2,23)</f>
        <v>38771</v>
      </c>
      <c r="B7944" s="3">
        <f>DATE(2006,10,12)</f>
        <v>39002</v>
      </c>
      <c r="C7944" s="2" t="s">
        <v>95</v>
      </c>
      <c r="D7944" s="2" t="s">
        <v>23798</v>
      </c>
      <c r="E7944" s="2" t="s">
        <v>23799</v>
      </c>
      <c r="F7944" s="4">
        <v>3829</v>
      </c>
      <c r="G7944" s="2" t="s">
        <v>226</v>
      </c>
      <c r="H7944" s="2" t="s">
        <v>34</v>
      </c>
      <c r="I7944" s="2" t="s">
        <v>22673</v>
      </c>
      <c r="J7944" s="2" t="s">
        <v>4865</v>
      </c>
      <c r="K7944" s="2" t="s">
        <v>137</v>
      </c>
      <c r="L7944" s="2" t="s">
        <v>34</v>
      </c>
      <c r="M7944" s="12">
        <v>10776.496999999999</v>
      </c>
      <c r="N7944" s="6">
        <v>51.93</v>
      </c>
      <c r="O7944" s="5">
        <v>51.8</v>
      </c>
      <c r="P7944" s="2" t="s">
        <v>23800</v>
      </c>
      <c r="Q7944" s="6">
        <v>100</v>
      </c>
      <c r="R7944" s="6">
        <v>32.5</v>
      </c>
      <c r="S7944" s="5">
        <v>15.3</v>
      </c>
      <c r="T7944" s="6">
        <v>19.16</v>
      </c>
      <c r="U7944" s="5">
        <v>10.4</v>
      </c>
      <c r="V7944" s="6">
        <v>1.04</v>
      </c>
      <c r="W7944" s="6">
        <v>30.56</v>
      </c>
      <c r="X7944" s="6">
        <v>30.95</v>
      </c>
      <c r="Y7944" s="6">
        <v>32.83</v>
      </c>
      <c r="Z7944" s="6">
        <v>32.75</v>
      </c>
      <c r="AA7944" s="6">
        <v>14.39</v>
      </c>
      <c r="AB7944" s="7">
        <v>23.189</v>
      </c>
      <c r="AC7944" s="8">
        <v>2285.3000000000002</v>
      </c>
    </row>
    <row r="7945" spans="1:29" ht="104" x14ac:dyDescent="0.15">
      <c r="A7945" s="3">
        <f>DATE(2006,2,24)</f>
        <v>38772</v>
      </c>
      <c r="B7945" s="3">
        <f>DATE(2006,6,9)</f>
        <v>38877</v>
      </c>
      <c r="C7945" s="2" t="s">
        <v>95</v>
      </c>
      <c r="D7945" s="2" t="s">
        <v>23801</v>
      </c>
      <c r="E7945" s="2" t="s">
        <v>23802</v>
      </c>
      <c r="F7945" s="4">
        <v>2653</v>
      </c>
      <c r="G7945" s="2" t="s">
        <v>282</v>
      </c>
      <c r="H7945" s="2" t="s">
        <v>34</v>
      </c>
      <c r="I7945" s="2" t="s">
        <v>23803</v>
      </c>
      <c r="J7945" s="2" t="s">
        <v>19866</v>
      </c>
      <c r="K7945" s="2" t="s">
        <v>282</v>
      </c>
      <c r="L7945" s="2" t="s">
        <v>34</v>
      </c>
      <c r="M7945" s="2"/>
      <c r="N7945" s="2"/>
      <c r="O7945" s="2"/>
      <c r="P7945" s="2" t="s">
        <v>23804</v>
      </c>
      <c r="Q7945" s="6">
        <v>100</v>
      </c>
      <c r="R7945" s="6">
        <v>14</v>
      </c>
      <c r="S7945" s="5">
        <v>8.6999999999999993</v>
      </c>
      <c r="T7945" s="6">
        <v>32.590000000000003</v>
      </c>
      <c r="U7945" s="5">
        <v>5.4</v>
      </c>
      <c r="V7945" s="6">
        <v>0.8</v>
      </c>
      <c r="W7945" s="6">
        <v>13.43</v>
      </c>
      <c r="X7945" s="6">
        <v>14.35</v>
      </c>
      <c r="Y7945" s="6">
        <v>14.32</v>
      </c>
      <c r="Z7945" s="6">
        <v>13.86</v>
      </c>
      <c r="AA7945" s="6">
        <v>10.58</v>
      </c>
      <c r="AB7945" s="7">
        <v>11.566000000000001</v>
      </c>
      <c r="AC7945" s="2"/>
    </row>
    <row r="7946" spans="1:29" ht="130" x14ac:dyDescent="0.15">
      <c r="A7946" s="3">
        <f>DATE(2006,2,27)</f>
        <v>38775</v>
      </c>
      <c r="B7946" s="2"/>
      <c r="C7946" s="2" t="s">
        <v>7330</v>
      </c>
      <c r="D7946" s="2" t="s">
        <v>23805</v>
      </c>
      <c r="E7946" s="2" t="s">
        <v>17224</v>
      </c>
      <c r="F7946" s="4">
        <v>1311</v>
      </c>
      <c r="G7946" s="2" t="s">
        <v>148</v>
      </c>
      <c r="H7946" s="2" t="s">
        <v>34</v>
      </c>
      <c r="I7946" s="2" t="s">
        <v>23806</v>
      </c>
      <c r="J7946" s="2" t="s">
        <v>18348</v>
      </c>
      <c r="K7946" s="2" t="s">
        <v>148</v>
      </c>
      <c r="L7946" s="2" t="s">
        <v>902</v>
      </c>
      <c r="M7946" s="7">
        <v>226.71799999999999</v>
      </c>
      <c r="N7946" s="6">
        <v>13.61</v>
      </c>
      <c r="O7946" s="6">
        <v>13.12</v>
      </c>
      <c r="P7946" s="2" t="s">
        <v>23807</v>
      </c>
      <c r="Q7946" s="2"/>
      <c r="R7946" s="6">
        <v>8.68</v>
      </c>
      <c r="S7946" s="5">
        <v>-5.8</v>
      </c>
      <c r="T7946" s="7">
        <v>-1.665</v>
      </c>
      <c r="U7946" s="5">
        <v>3</v>
      </c>
      <c r="V7946" s="9">
        <v>-2.9706000000000001</v>
      </c>
      <c r="W7946" s="6">
        <v>9.25</v>
      </c>
      <c r="X7946" s="5">
        <v>9.5</v>
      </c>
      <c r="Y7946" s="5">
        <v>8.8000000000000007</v>
      </c>
      <c r="Z7946" s="6">
        <v>8.99</v>
      </c>
      <c r="AA7946" s="6">
        <v>4.84</v>
      </c>
      <c r="AB7946" s="2" t="s">
        <v>47</v>
      </c>
      <c r="AC7946" s="6">
        <v>4.45</v>
      </c>
    </row>
    <row r="7947" spans="1:29" ht="143" x14ac:dyDescent="0.15">
      <c r="A7947" s="3">
        <f>DATE(2006,2,27)</f>
        <v>38775</v>
      </c>
      <c r="B7947" s="3">
        <f>DATE(2007,8,24)</f>
        <v>39318</v>
      </c>
      <c r="C7947" s="2" t="s">
        <v>95</v>
      </c>
      <c r="D7947" s="2" t="s">
        <v>15620</v>
      </c>
      <c r="E7947" s="2" t="s">
        <v>15621</v>
      </c>
      <c r="F7947" s="4">
        <v>4924</v>
      </c>
      <c r="G7947" s="2" t="s">
        <v>439</v>
      </c>
      <c r="H7947" s="2" t="s">
        <v>34</v>
      </c>
      <c r="I7947" s="2" t="s">
        <v>23808</v>
      </c>
      <c r="J7947" s="2" t="s">
        <v>23809</v>
      </c>
      <c r="K7947" s="2" t="s">
        <v>439</v>
      </c>
      <c r="L7947" s="2" t="s">
        <v>303</v>
      </c>
      <c r="M7947" s="12">
        <v>24830.411</v>
      </c>
      <c r="N7947" s="7">
        <v>10.612</v>
      </c>
      <c r="O7947" s="7">
        <v>10.521000000000001</v>
      </c>
      <c r="P7947" s="2" t="s">
        <v>23810</v>
      </c>
      <c r="Q7947" s="6">
        <v>100</v>
      </c>
      <c r="R7947" s="6">
        <v>42</v>
      </c>
      <c r="S7947" s="5">
        <v>398.6</v>
      </c>
      <c r="T7947" s="8">
        <v>1287.5999999999999</v>
      </c>
      <c r="U7947" s="5">
        <v>25.6</v>
      </c>
      <c r="V7947" s="6">
        <v>2.3199999999999998</v>
      </c>
      <c r="W7947" s="6">
        <v>35.97</v>
      </c>
      <c r="X7947" s="6">
        <v>36.18</v>
      </c>
      <c r="Y7947" s="6">
        <v>40.409999999999997</v>
      </c>
      <c r="Z7947" s="6">
        <v>40.29</v>
      </c>
      <c r="AA7947" s="6">
        <v>174.57</v>
      </c>
      <c r="AB7947" s="7">
        <v>13.313000000000001</v>
      </c>
      <c r="AC7947" s="10">
        <v>1256.6500000000001</v>
      </c>
    </row>
    <row r="7948" spans="1:29" ht="91" x14ac:dyDescent="0.15">
      <c r="A7948" s="3">
        <f>DATE(2006,2,27)</f>
        <v>38775</v>
      </c>
      <c r="B7948" s="2"/>
      <c r="C7948" s="2" t="s">
        <v>7330</v>
      </c>
      <c r="D7948" s="2" t="s">
        <v>23811</v>
      </c>
      <c r="E7948" s="2" t="s">
        <v>23812</v>
      </c>
      <c r="F7948" s="4">
        <v>6798</v>
      </c>
      <c r="G7948" s="2" t="s">
        <v>53</v>
      </c>
      <c r="H7948" s="2" t="s">
        <v>34</v>
      </c>
      <c r="I7948" s="2" t="s">
        <v>23813</v>
      </c>
      <c r="J7948" s="2" t="s">
        <v>23814</v>
      </c>
      <c r="K7948" s="2" t="s">
        <v>53</v>
      </c>
      <c r="L7948" s="2" t="s">
        <v>34</v>
      </c>
      <c r="M7948" s="2"/>
      <c r="N7948" s="2"/>
      <c r="O7948" s="2"/>
      <c r="P7948" s="2" t="s">
        <v>23815</v>
      </c>
      <c r="Q7948" s="2"/>
      <c r="R7948" s="6">
        <v>8.5</v>
      </c>
      <c r="S7948" s="5">
        <v>-2.4</v>
      </c>
      <c r="T7948" s="7">
        <v>-2.0710000000000002</v>
      </c>
      <c r="U7948" s="5">
        <v>4.5</v>
      </c>
      <c r="V7948" s="6">
        <v>-0.09</v>
      </c>
      <c r="W7948" s="6">
        <v>8.02</v>
      </c>
      <c r="X7948" s="5">
        <v>8.1999999999999993</v>
      </c>
      <c r="Y7948" s="6">
        <v>8.48</v>
      </c>
      <c r="Z7948" s="6">
        <v>8.36</v>
      </c>
      <c r="AA7948" s="6">
        <v>7.85</v>
      </c>
      <c r="AB7948" s="2" t="s">
        <v>86</v>
      </c>
      <c r="AC7948" s="2"/>
    </row>
    <row r="7949" spans="1:29" ht="65" x14ac:dyDescent="0.15">
      <c r="A7949" s="3">
        <f>DATE(2006,2,28)</f>
        <v>38776</v>
      </c>
      <c r="B7949" s="2"/>
      <c r="C7949" s="2" t="s">
        <v>7330</v>
      </c>
      <c r="D7949" s="2" t="s">
        <v>23816</v>
      </c>
      <c r="E7949" s="2" t="s">
        <v>23817</v>
      </c>
      <c r="F7949" s="4">
        <v>6512</v>
      </c>
      <c r="G7949" s="2" t="s">
        <v>109</v>
      </c>
      <c r="H7949" s="2" t="s">
        <v>34</v>
      </c>
      <c r="I7949" s="2" t="s">
        <v>23818</v>
      </c>
      <c r="J7949" s="2" t="s">
        <v>844</v>
      </c>
      <c r="K7949" s="2" t="s">
        <v>109</v>
      </c>
      <c r="L7949" s="2" t="s">
        <v>34</v>
      </c>
      <c r="M7949" s="2"/>
      <c r="N7949" s="2"/>
      <c r="O7949" s="2"/>
      <c r="P7949" s="2" t="s">
        <v>23819</v>
      </c>
      <c r="Q7949" s="2"/>
      <c r="R7949" s="2"/>
      <c r="S7949" s="5">
        <v>41.3</v>
      </c>
      <c r="T7949" s="7">
        <v>50.691000000000003</v>
      </c>
      <c r="U7949" s="5">
        <v>11.1</v>
      </c>
      <c r="V7949" s="6">
        <v>1.1299999999999999</v>
      </c>
      <c r="W7949" s="6">
        <v>31.57</v>
      </c>
      <c r="X7949" s="6">
        <v>33.36</v>
      </c>
      <c r="Y7949" s="6">
        <v>32.479999999999997</v>
      </c>
      <c r="Z7949" s="6">
        <v>33.880000000000003</v>
      </c>
      <c r="AA7949" s="2"/>
      <c r="AB7949" s="2" t="s">
        <v>47</v>
      </c>
      <c r="AC7949" s="2"/>
    </row>
    <row r="7950" spans="1:29" ht="91" x14ac:dyDescent="0.15">
      <c r="A7950" s="3">
        <f>DATE(2006,3,1)</f>
        <v>38777</v>
      </c>
      <c r="B7950" s="3">
        <f>DATE(2006,5,11)</f>
        <v>38848</v>
      </c>
      <c r="C7950" s="2" t="s">
        <v>95</v>
      </c>
      <c r="D7950" s="2" t="s">
        <v>23820</v>
      </c>
      <c r="E7950" s="2" t="s">
        <v>15941</v>
      </c>
      <c r="F7950" s="4">
        <v>3571</v>
      </c>
      <c r="G7950" s="2" t="s">
        <v>50</v>
      </c>
      <c r="H7950" s="2" t="s">
        <v>34</v>
      </c>
      <c r="I7950" s="2" t="s">
        <v>23821</v>
      </c>
      <c r="J7950" s="2" t="s">
        <v>22852</v>
      </c>
      <c r="K7950" s="2" t="s">
        <v>223</v>
      </c>
      <c r="L7950" s="2" t="s">
        <v>133</v>
      </c>
      <c r="M7950" s="10">
        <v>6800.99</v>
      </c>
      <c r="N7950" s="7">
        <v>56.271999999999998</v>
      </c>
      <c r="O7950" s="7">
        <v>56.176000000000002</v>
      </c>
      <c r="P7950" s="2" t="s">
        <v>23822</v>
      </c>
      <c r="Q7950" s="6">
        <v>100</v>
      </c>
      <c r="R7950" s="6">
        <v>7.25</v>
      </c>
      <c r="S7950" s="5">
        <v>-20.3</v>
      </c>
      <c r="T7950" s="7">
        <v>-13.372</v>
      </c>
      <c r="U7950" s="5">
        <v>2.4</v>
      </c>
      <c r="V7950" s="6">
        <v>-0.43</v>
      </c>
      <c r="W7950" s="6">
        <v>5.84</v>
      </c>
      <c r="X7950" s="6">
        <v>6.07</v>
      </c>
      <c r="Y7950" s="6">
        <v>6.01</v>
      </c>
      <c r="Z7950" s="6">
        <v>7.14</v>
      </c>
      <c r="AA7950" s="6">
        <v>52.25</v>
      </c>
      <c r="AB7950" s="2" t="s">
        <v>86</v>
      </c>
      <c r="AC7950" s="6">
        <v>753.95</v>
      </c>
    </row>
    <row r="7951" spans="1:29" ht="65" x14ac:dyDescent="0.15">
      <c r="A7951" s="3">
        <f>DATE(2006,3,2)</f>
        <v>38778</v>
      </c>
      <c r="B7951" s="3">
        <f>DATE(2006,3,2)</f>
        <v>38778</v>
      </c>
      <c r="C7951" s="2" t="s">
        <v>95</v>
      </c>
      <c r="D7951" s="2" t="s">
        <v>23823</v>
      </c>
      <c r="E7951" s="2" t="s">
        <v>839</v>
      </c>
      <c r="F7951" s="4">
        <v>2834</v>
      </c>
      <c r="G7951" s="2" t="s">
        <v>130</v>
      </c>
      <c r="H7951" s="2" t="s">
        <v>34</v>
      </c>
      <c r="I7951" s="2" t="s">
        <v>51</v>
      </c>
      <c r="J7951" s="2" t="s">
        <v>52</v>
      </c>
      <c r="K7951" s="2" t="s">
        <v>53</v>
      </c>
      <c r="L7951" s="2" t="s">
        <v>34</v>
      </c>
      <c r="M7951" s="2"/>
      <c r="N7951" s="2"/>
      <c r="O7951" s="2"/>
      <c r="P7951" s="2" t="s">
        <v>23824</v>
      </c>
      <c r="Q7951" s="6">
        <v>70</v>
      </c>
      <c r="R7951" s="2"/>
      <c r="S7951" s="5">
        <v>-1.5</v>
      </c>
      <c r="T7951" s="7">
        <v>-1.4630000000000001</v>
      </c>
      <c r="U7951" s="5">
        <v>0</v>
      </c>
      <c r="V7951" s="6">
        <v>-0.11</v>
      </c>
      <c r="W7951" s="5">
        <v>0.8</v>
      </c>
      <c r="X7951" s="6">
        <v>3.75</v>
      </c>
      <c r="Y7951" s="6">
        <v>3.25</v>
      </c>
      <c r="Z7951" s="5">
        <v>3.5</v>
      </c>
      <c r="AA7951" s="6">
        <v>0.82</v>
      </c>
      <c r="AB7951" s="2" t="s">
        <v>86</v>
      </c>
      <c r="AC7951" s="2"/>
    </row>
    <row r="7952" spans="1:29" ht="65" x14ac:dyDescent="0.15">
      <c r="A7952" s="3">
        <f>DATE(2006,3,3)</f>
        <v>38779</v>
      </c>
      <c r="B7952" s="2"/>
      <c r="C7952" s="2" t="s">
        <v>87</v>
      </c>
      <c r="D7952" s="2" t="s">
        <v>14463</v>
      </c>
      <c r="E7952" s="2" t="s">
        <v>1637</v>
      </c>
      <c r="F7952" s="4">
        <v>3312</v>
      </c>
      <c r="G7952" s="2" t="s">
        <v>163</v>
      </c>
      <c r="H7952" s="2" t="s">
        <v>34</v>
      </c>
      <c r="I7952" s="2" t="s">
        <v>19654</v>
      </c>
      <c r="J7952" s="2" t="s">
        <v>19655</v>
      </c>
      <c r="K7952" s="2" t="s">
        <v>163</v>
      </c>
      <c r="L7952" s="2" t="s">
        <v>34</v>
      </c>
      <c r="M7952" s="12">
        <v>6303.5789999999997</v>
      </c>
      <c r="N7952" s="6">
        <v>57.98</v>
      </c>
      <c r="O7952" s="6">
        <v>56.81</v>
      </c>
      <c r="P7952" s="2" t="s">
        <v>23825</v>
      </c>
      <c r="Q7952" s="2"/>
      <c r="R7952" s="2"/>
      <c r="S7952" s="5">
        <v>-0.8</v>
      </c>
      <c r="T7952" s="5">
        <v>396.5</v>
      </c>
      <c r="U7952" s="5">
        <v>2</v>
      </c>
      <c r="V7952" s="6">
        <v>-0.01</v>
      </c>
      <c r="W7952" s="6">
        <v>11.56</v>
      </c>
      <c r="X7952" s="6">
        <v>11.34</v>
      </c>
      <c r="Y7952" s="6">
        <v>13.99</v>
      </c>
      <c r="Z7952" s="6">
        <v>13.38</v>
      </c>
      <c r="AA7952" s="6">
        <v>110.01</v>
      </c>
      <c r="AB7952" s="2" t="s">
        <v>47</v>
      </c>
      <c r="AC7952" s="8">
        <v>1479</v>
      </c>
    </row>
    <row r="7953" spans="1:29" ht="91" x14ac:dyDescent="0.15">
      <c r="A7953" s="3">
        <f>DATE(2006,3,3)</f>
        <v>38779</v>
      </c>
      <c r="B7953" s="3">
        <f>DATE(2006,5,15)</f>
        <v>38852</v>
      </c>
      <c r="C7953" s="2" t="s">
        <v>95</v>
      </c>
      <c r="D7953" s="2" t="s">
        <v>23826</v>
      </c>
      <c r="E7953" s="2" t="s">
        <v>23827</v>
      </c>
      <c r="F7953" s="4">
        <v>7375</v>
      </c>
      <c r="G7953" s="2" t="s">
        <v>223</v>
      </c>
      <c r="H7953" s="2" t="s">
        <v>34</v>
      </c>
      <c r="I7953" s="2" t="s">
        <v>23828</v>
      </c>
      <c r="J7953" s="2" t="s">
        <v>6548</v>
      </c>
      <c r="K7953" s="2" t="s">
        <v>45</v>
      </c>
      <c r="L7953" s="2" t="s">
        <v>34</v>
      </c>
      <c r="M7953" s="2"/>
      <c r="N7953" s="2"/>
      <c r="O7953" s="2"/>
      <c r="P7953" s="2" t="s">
        <v>23829</v>
      </c>
      <c r="Q7953" s="6">
        <v>100</v>
      </c>
      <c r="R7953" s="6">
        <v>8.5</v>
      </c>
      <c r="S7953" s="5">
        <v>9.5</v>
      </c>
      <c r="T7953" s="7">
        <v>10.753</v>
      </c>
      <c r="U7953" s="5">
        <v>1.9</v>
      </c>
      <c r="V7953" s="6">
        <v>0.12</v>
      </c>
      <c r="W7953" s="6">
        <v>8.25</v>
      </c>
      <c r="X7953" s="6">
        <v>8.1199999999999992</v>
      </c>
      <c r="Y7953" s="6">
        <v>7.98</v>
      </c>
      <c r="Z7953" s="6">
        <v>8.36</v>
      </c>
      <c r="AA7953" s="6">
        <v>73.59</v>
      </c>
      <c r="AB7953" s="7">
        <v>74.436000000000007</v>
      </c>
      <c r="AC7953" s="2"/>
    </row>
    <row r="7954" spans="1:29" ht="234" x14ac:dyDescent="0.15">
      <c r="A7954" s="3">
        <f>DATE(2006,3,5)</f>
        <v>38781</v>
      </c>
      <c r="B7954" s="3">
        <f>DATE(2006,12,29)</f>
        <v>39080</v>
      </c>
      <c r="C7954" s="2" t="s">
        <v>95</v>
      </c>
      <c r="D7954" s="2" t="s">
        <v>4375</v>
      </c>
      <c r="E7954" s="2" t="s">
        <v>1604</v>
      </c>
      <c r="F7954" s="4">
        <v>4813</v>
      </c>
      <c r="G7954" s="2" t="s">
        <v>63</v>
      </c>
      <c r="H7954" s="2" t="s">
        <v>34</v>
      </c>
      <c r="I7954" s="2" t="s">
        <v>23830</v>
      </c>
      <c r="J7954" s="2" t="s">
        <v>973</v>
      </c>
      <c r="K7954" s="2" t="s">
        <v>63</v>
      </c>
      <c r="L7954" s="2" t="s">
        <v>34</v>
      </c>
      <c r="M7954" s="12">
        <v>103938.764</v>
      </c>
      <c r="N7954" s="6">
        <v>27.02</v>
      </c>
      <c r="O7954" s="6">
        <v>27.02</v>
      </c>
      <c r="P7954" s="2" t="s">
        <v>23831</v>
      </c>
      <c r="Q7954" s="6">
        <v>100</v>
      </c>
      <c r="R7954" s="6">
        <v>37.090000000000003</v>
      </c>
      <c r="S7954" s="8">
        <v>2913</v>
      </c>
      <c r="T7954" s="8">
        <v>8331</v>
      </c>
      <c r="U7954" s="5">
        <v>12.9</v>
      </c>
      <c r="V7954" s="6">
        <v>1.59</v>
      </c>
      <c r="W7954" s="5">
        <v>31.6</v>
      </c>
      <c r="X7954" s="6">
        <v>31.46</v>
      </c>
      <c r="Y7954" s="5">
        <v>34.5</v>
      </c>
      <c r="Z7954" s="5">
        <v>34.5</v>
      </c>
      <c r="AA7954" s="10">
        <v>1797.82</v>
      </c>
      <c r="AB7954" s="7">
        <v>18.236000000000001</v>
      </c>
      <c r="AC7954" s="8">
        <v>1224</v>
      </c>
    </row>
    <row r="7955" spans="1:29" ht="65" x14ac:dyDescent="0.15">
      <c r="A7955" s="3">
        <f>DATE(2006,3,6)</f>
        <v>38782</v>
      </c>
      <c r="B7955" s="2"/>
      <c r="C7955" s="2" t="s">
        <v>30</v>
      </c>
      <c r="D7955" s="2" t="s">
        <v>23832</v>
      </c>
      <c r="E7955" s="2" t="s">
        <v>8742</v>
      </c>
      <c r="F7955" s="4">
        <v>8082</v>
      </c>
      <c r="G7955" s="2" t="s">
        <v>454</v>
      </c>
      <c r="H7955" s="2" t="s">
        <v>34</v>
      </c>
      <c r="I7955" s="2" t="s">
        <v>23833</v>
      </c>
      <c r="J7955" s="2" t="s">
        <v>13377</v>
      </c>
      <c r="K7955" s="2" t="s">
        <v>53</v>
      </c>
      <c r="L7955" s="2" t="s">
        <v>34</v>
      </c>
      <c r="M7955" s="2"/>
      <c r="N7955" s="2"/>
      <c r="O7955" s="2"/>
      <c r="P7955" s="2" t="s">
        <v>23834</v>
      </c>
      <c r="Q7955" s="2"/>
      <c r="R7955" s="6">
        <v>3.4</v>
      </c>
      <c r="S7955" s="5">
        <v>7.7</v>
      </c>
      <c r="T7955" s="7">
        <v>48.366999999999997</v>
      </c>
      <c r="U7955" s="5">
        <v>-0.7</v>
      </c>
      <c r="V7955" s="6">
        <v>0.43</v>
      </c>
      <c r="W7955" s="6">
        <v>3.65</v>
      </c>
      <c r="X7955" s="6">
        <v>3.75</v>
      </c>
      <c r="Y7955" s="6">
        <v>3.75</v>
      </c>
      <c r="Z7955" s="6">
        <v>3.67</v>
      </c>
      <c r="AA7955" s="6">
        <v>17.39</v>
      </c>
      <c r="AB7955" s="7">
        <v>15.129</v>
      </c>
      <c r="AC7955" s="2"/>
    </row>
    <row r="7956" spans="1:29" ht="117" x14ac:dyDescent="0.15">
      <c r="A7956" s="3">
        <f>DATE(2006,3,6)</f>
        <v>38782</v>
      </c>
      <c r="B7956" s="3">
        <f>DATE(2006,7,13)</f>
        <v>38911</v>
      </c>
      <c r="C7956" s="2" t="s">
        <v>95</v>
      </c>
      <c r="D7956" s="2" t="s">
        <v>23835</v>
      </c>
      <c r="E7956" s="2" t="s">
        <v>92</v>
      </c>
      <c r="F7956" s="4">
        <v>6798</v>
      </c>
      <c r="G7956" s="2" t="s">
        <v>53</v>
      </c>
      <c r="H7956" s="2" t="s">
        <v>34</v>
      </c>
      <c r="I7956" s="2" t="s">
        <v>21776</v>
      </c>
      <c r="J7956" s="2" t="s">
        <v>21777</v>
      </c>
      <c r="K7956" s="2" t="s">
        <v>53</v>
      </c>
      <c r="L7956" s="2" t="s">
        <v>34</v>
      </c>
      <c r="M7956" s="2"/>
      <c r="N7956" s="2"/>
      <c r="O7956" s="2"/>
      <c r="P7956" s="2" t="s">
        <v>23836</v>
      </c>
      <c r="Q7956" s="6">
        <v>100</v>
      </c>
      <c r="R7956" s="6">
        <v>44.75</v>
      </c>
      <c r="S7956" s="5">
        <v>114.7</v>
      </c>
      <c r="T7956" s="7">
        <v>280.798</v>
      </c>
      <c r="U7956" s="5">
        <v>14.9</v>
      </c>
      <c r="V7956" s="6">
        <v>1.74</v>
      </c>
      <c r="W7956" s="6">
        <v>41.01</v>
      </c>
      <c r="X7956" s="6">
        <v>41.08</v>
      </c>
      <c r="Y7956" s="6">
        <v>44.53</v>
      </c>
      <c r="Z7956" s="6">
        <v>44.45</v>
      </c>
      <c r="AA7956" s="6">
        <v>58.83</v>
      </c>
      <c r="AB7956" s="7">
        <v>34.371000000000002</v>
      </c>
      <c r="AC7956" s="6">
        <v>450.07</v>
      </c>
    </row>
    <row r="7957" spans="1:29" ht="117" x14ac:dyDescent="0.15">
      <c r="A7957" s="3">
        <f>DATE(2006,3,6)</f>
        <v>38782</v>
      </c>
      <c r="B7957" s="3">
        <f>DATE(2006,6,1)</f>
        <v>38869</v>
      </c>
      <c r="C7957" s="2" t="s">
        <v>95</v>
      </c>
      <c r="D7957" s="2" t="s">
        <v>19089</v>
      </c>
      <c r="E7957" s="2" t="s">
        <v>19090</v>
      </c>
      <c r="F7957" s="4">
        <v>8299</v>
      </c>
      <c r="G7957" s="2" t="s">
        <v>415</v>
      </c>
      <c r="H7957" s="2" t="s">
        <v>34</v>
      </c>
      <c r="I7957" s="2" t="s">
        <v>23837</v>
      </c>
      <c r="J7957" s="2" t="s">
        <v>11337</v>
      </c>
      <c r="K7957" s="2" t="s">
        <v>53</v>
      </c>
      <c r="L7957" s="2" t="s">
        <v>34</v>
      </c>
      <c r="M7957" s="2"/>
      <c r="N7957" s="2"/>
      <c r="O7957" s="2"/>
      <c r="P7957" s="2" t="s">
        <v>23838</v>
      </c>
      <c r="Q7957" s="6">
        <v>100</v>
      </c>
      <c r="R7957" s="6">
        <v>43</v>
      </c>
      <c r="S7957" s="5">
        <v>115.4</v>
      </c>
      <c r="T7957" s="7">
        <v>261.84100000000001</v>
      </c>
      <c r="U7957" s="5">
        <v>10</v>
      </c>
      <c r="V7957" s="6">
        <v>1.51</v>
      </c>
      <c r="W7957" s="6">
        <v>38.04</v>
      </c>
      <c r="X7957" s="6">
        <v>36.979999999999997</v>
      </c>
      <c r="Y7957" s="6">
        <v>41.64</v>
      </c>
      <c r="Z7957" s="6">
        <v>41.57</v>
      </c>
      <c r="AA7957" s="6">
        <v>75.45</v>
      </c>
      <c r="AB7957" s="7">
        <v>16.062000000000001</v>
      </c>
      <c r="AC7957" s="2"/>
    </row>
    <row r="7958" spans="1:29" ht="195" x14ac:dyDescent="0.15">
      <c r="A7958" s="3">
        <f>DATE(2006,3,6)</f>
        <v>38782</v>
      </c>
      <c r="B7958" s="2"/>
      <c r="C7958" s="2" t="s">
        <v>30</v>
      </c>
      <c r="D7958" s="2" t="s">
        <v>23839</v>
      </c>
      <c r="E7958" s="2" t="s">
        <v>23840</v>
      </c>
      <c r="F7958" s="4">
        <v>2653</v>
      </c>
      <c r="G7958" s="2" t="s">
        <v>282</v>
      </c>
      <c r="H7958" s="2" t="s">
        <v>34</v>
      </c>
      <c r="I7958" s="2" t="s">
        <v>51</v>
      </c>
      <c r="J7958" s="2" t="s">
        <v>52</v>
      </c>
      <c r="K7958" s="2" t="s">
        <v>53</v>
      </c>
      <c r="L7958" s="2" t="s">
        <v>34</v>
      </c>
      <c r="M7958" s="2"/>
      <c r="N7958" s="2"/>
      <c r="O7958" s="2"/>
      <c r="P7958" s="2" t="s">
        <v>23841</v>
      </c>
      <c r="Q7958" s="2"/>
      <c r="R7958" s="6">
        <v>28.05</v>
      </c>
      <c r="S7958" s="5">
        <v>-35.1</v>
      </c>
      <c r="T7958" s="2"/>
      <c r="U7958" s="5">
        <v>8.6999999999999993</v>
      </c>
      <c r="V7958" s="6">
        <v>-0.11</v>
      </c>
      <c r="W7958" s="6">
        <v>19.37</v>
      </c>
      <c r="X7958" s="6">
        <v>19.25</v>
      </c>
      <c r="Y7958" s="6">
        <v>23.03</v>
      </c>
      <c r="Z7958" s="6">
        <v>22.97</v>
      </c>
      <c r="AA7958" s="6">
        <v>51.08</v>
      </c>
      <c r="AB7958" s="2" t="s">
        <v>47</v>
      </c>
      <c r="AC7958" s="2"/>
    </row>
    <row r="7959" spans="1:29" ht="91" x14ac:dyDescent="0.15">
      <c r="A7959" s="3">
        <f>DATE(2006,3,7)</f>
        <v>38783</v>
      </c>
      <c r="B7959" s="3">
        <f>DATE(2006,7,12)</f>
        <v>38910</v>
      </c>
      <c r="C7959" s="2" t="s">
        <v>95</v>
      </c>
      <c r="D7959" s="2" t="s">
        <v>23842</v>
      </c>
      <c r="E7959" s="2" t="s">
        <v>23843</v>
      </c>
      <c r="F7959" s="4">
        <v>8742</v>
      </c>
      <c r="G7959" s="2" t="s">
        <v>223</v>
      </c>
      <c r="H7959" s="2" t="s">
        <v>34</v>
      </c>
      <c r="I7959" s="2" t="s">
        <v>9715</v>
      </c>
      <c r="J7959" s="2" t="s">
        <v>244</v>
      </c>
      <c r="K7959" s="2" t="s">
        <v>53</v>
      </c>
      <c r="L7959" s="2" t="s">
        <v>34</v>
      </c>
      <c r="M7959" s="2"/>
      <c r="N7959" s="2"/>
      <c r="O7959" s="2"/>
      <c r="P7959" s="2" t="s">
        <v>23844</v>
      </c>
      <c r="Q7959" s="6">
        <v>100</v>
      </c>
      <c r="R7959" s="6">
        <v>25</v>
      </c>
      <c r="S7959" s="5">
        <v>9.9</v>
      </c>
      <c r="T7959" s="6">
        <v>58.56</v>
      </c>
      <c r="U7959" s="5">
        <v>19.5</v>
      </c>
      <c r="V7959" s="6">
        <v>0.61</v>
      </c>
      <c r="W7959" s="5">
        <v>25.6</v>
      </c>
      <c r="X7959" s="6">
        <v>25.63</v>
      </c>
      <c r="Y7959" s="6">
        <v>25.83</v>
      </c>
      <c r="Z7959" s="5">
        <v>24.3</v>
      </c>
      <c r="AA7959" s="6">
        <v>15.59</v>
      </c>
      <c r="AB7959" s="7">
        <v>9.8840000000000003</v>
      </c>
      <c r="AC7959" s="2"/>
    </row>
    <row r="7960" spans="1:29" ht="169" x14ac:dyDescent="0.15">
      <c r="A7960" s="3">
        <f>DATE(2006,3,8)</f>
        <v>38784</v>
      </c>
      <c r="B7960" s="3">
        <f>DATE(2006,6,21)</f>
        <v>38889</v>
      </c>
      <c r="C7960" s="2" t="s">
        <v>95</v>
      </c>
      <c r="D7960" s="2" t="s">
        <v>23845</v>
      </c>
      <c r="E7960" s="2" t="s">
        <v>23846</v>
      </c>
      <c r="F7960" s="4">
        <v>3674</v>
      </c>
      <c r="G7960" s="2" t="s">
        <v>137</v>
      </c>
      <c r="H7960" s="2" t="s">
        <v>34</v>
      </c>
      <c r="I7960" s="2" t="s">
        <v>23847</v>
      </c>
      <c r="J7960" s="2" t="s">
        <v>10974</v>
      </c>
      <c r="K7960" s="2" t="s">
        <v>137</v>
      </c>
      <c r="L7960" s="2" t="s">
        <v>34</v>
      </c>
      <c r="M7960" s="12">
        <v>10117.427</v>
      </c>
      <c r="N7960" s="6">
        <v>14.87</v>
      </c>
      <c r="O7960" s="6">
        <v>14.52</v>
      </c>
      <c r="P7960" s="2" t="s">
        <v>23848</v>
      </c>
      <c r="Q7960" s="6">
        <v>100</v>
      </c>
      <c r="R7960" s="6">
        <v>9.75</v>
      </c>
      <c r="S7960" s="5">
        <v>-63.4</v>
      </c>
      <c r="T7960" s="7">
        <v>-30.177</v>
      </c>
      <c r="U7960" s="5">
        <v>0.6</v>
      </c>
      <c r="V7960" s="6">
        <v>-0.78</v>
      </c>
      <c r="W7960" s="6">
        <v>7.06</v>
      </c>
      <c r="X7960" s="6">
        <v>7.09</v>
      </c>
      <c r="Y7960" s="6">
        <v>8.83</v>
      </c>
      <c r="Z7960" s="5">
        <v>8.8000000000000007</v>
      </c>
      <c r="AA7960" s="6">
        <v>80.73</v>
      </c>
      <c r="AB7960" s="2" t="s">
        <v>86</v>
      </c>
      <c r="AC7960" s="8">
        <v>2830</v>
      </c>
    </row>
    <row r="7961" spans="1:29" ht="117" x14ac:dyDescent="0.15">
      <c r="A7961" s="3">
        <f>DATE(2006,3,8)</f>
        <v>38784</v>
      </c>
      <c r="B7961" s="3">
        <f>DATE(2006,3,30)</f>
        <v>38806</v>
      </c>
      <c r="C7961" s="2" t="s">
        <v>95</v>
      </c>
      <c r="D7961" s="2" t="s">
        <v>23849</v>
      </c>
      <c r="E7961" s="2" t="s">
        <v>23850</v>
      </c>
      <c r="F7961" s="4">
        <v>2899</v>
      </c>
      <c r="G7961" s="2" t="s">
        <v>98</v>
      </c>
      <c r="H7961" s="2" t="s">
        <v>34</v>
      </c>
      <c r="I7961" s="2" t="s">
        <v>278</v>
      </c>
      <c r="J7961" s="2" t="s">
        <v>52</v>
      </c>
      <c r="K7961" s="2" t="s">
        <v>53</v>
      </c>
      <c r="L7961" s="2" t="s">
        <v>34</v>
      </c>
      <c r="M7961" s="2"/>
      <c r="N7961" s="2"/>
      <c r="O7961" s="2"/>
      <c r="P7961" s="2" t="s">
        <v>23851</v>
      </c>
      <c r="Q7961" s="6">
        <v>100</v>
      </c>
      <c r="R7961" s="6">
        <v>17.72</v>
      </c>
      <c r="S7961" s="5">
        <v>18.8</v>
      </c>
      <c r="T7961" s="5">
        <v>193</v>
      </c>
      <c r="U7961" s="5">
        <v>2.4</v>
      </c>
      <c r="V7961" s="7">
        <v>0.378</v>
      </c>
      <c r="W7961" s="6">
        <v>17.48</v>
      </c>
      <c r="X7961" s="6">
        <v>17.59</v>
      </c>
      <c r="Y7961" s="6">
        <v>17.690000000000001</v>
      </c>
      <c r="Z7961" s="6">
        <v>17.47</v>
      </c>
      <c r="AA7961" s="6">
        <v>22.89</v>
      </c>
      <c r="AB7961" s="7">
        <v>45.536999999999999</v>
      </c>
      <c r="AC7961" s="2"/>
    </row>
    <row r="7962" spans="1:29" ht="104" x14ac:dyDescent="0.15">
      <c r="A7962" s="3">
        <f>DATE(2006,3,10)</f>
        <v>38786</v>
      </c>
      <c r="B7962" s="3">
        <f>DATE(2006,7,3)</f>
        <v>38901</v>
      </c>
      <c r="C7962" s="2" t="s">
        <v>95</v>
      </c>
      <c r="D7962" s="2" t="s">
        <v>23852</v>
      </c>
      <c r="E7962" s="2" t="s">
        <v>23853</v>
      </c>
      <c r="F7962" s="4">
        <v>7376</v>
      </c>
      <c r="G7962" s="2" t="s">
        <v>223</v>
      </c>
      <c r="H7962" s="2" t="s">
        <v>34</v>
      </c>
      <c r="I7962" s="2" t="s">
        <v>23854</v>
      </c>
      <c r="J7962" s="2" t="s">
        <v>8589</v>
      </c>
      <c r="K7962" s="2" t="s">
        <v>551</v>
      </c>
      <c r="L7962" s="2" t="s">
        <v>34</v>
      </c>
      <c r="M7962" s="2"/>
      <c r="N7962" s="2"/>
      <c r="O7962" s="2"/>
      <c r="P7962" s="2" t="s">
        <v>23855</v>
      </c>
      <c r="Q7962" s="6">
        <v>100</v>
      </c>
      <c r="R7962" s="6">
        <v>1.6</v>
      </c>
      <c r="S7962" s="5">
        <v>-9.6999999999999993</v>
      </c>
      <c r="T7962" s="6">
        <v>-1.28</v>
      </c>
      <c r="U7962" s="5">
        <v>-0.6</v>
      </c>
      <c r="V7962" s="6">
        <v>-0.97</v>
      </c>
      <c r="W7962" s="6">
        <v>1.25</v>
      </c>
      <c r="X7962" s="6">
        <v>1.35</v>
      </c>
      <c r="Y7962" s="6">
        <v>1.35</v>
      </c>
      <c r="Z7962" s="6">
        <v>1.55</v>
      </c>
      <c r="AA7962" s="6">
        <v>10.83</v>
      </c>
      <c r="AB7962" s="2" t="s">
        <v>86</v>
      </c>
      <c r="AC7962" s="6">
        <v>3.33</v>
      </c>
    </row>
    <row r="7963" spans="1:29" ht="65" x14ac:dyDescent="0.15">
      <c r="A7963" s="3">
        <f>DATE(2006,3,10)</f>
        <v>38786</v>
      </c>
      <c r="B7963" s="2"/>
      <c r="C7963" s="2" t="s">
        <v>7330</v>
      </c>
      <c r="D7963" s="2" t="s">
        <v>23856</v>
      </c>
      <c r="E7963" s="2" t="s">
        <v>23857</v>
      </c>
      <c r="F7963" s="4">
        <v>2836</v>
      </c>
      <c r="G7963" s="2" t="s">
        <v>130</v>
      </c>
      <c r="H7963" s="2" t="s">
        <v>34</v>
      </c>
      <c r="I7963" s="2" t="s">
        <v>23858</v>
      </c>
      <c r="J7963" s="2" t="s">
        <v>23859</v>
      </c>
      <c r="K7963" s="2" t="s">
        <v>226</v>
      </c>
      <c r="L7963" s="2" t="s">
        <v>34</v>
      </c>
      <c r="M7963" s="12">
        <v>16992.567999999999</v>
      </c>
      <c r="N7963" s="6">
        <v>67.849999999999994</v>
      </c>
      <c r="O7963" s="6">
        <v>68.56</v>
      </c>
      <c r="P7963" s="2" t="s">
        <v>23860</v>
      </c>
      <c r="Q7963" s="2"/>
      <c r="R7963" s="2"/>
      <c r="S7963" s="5">
        <v>-5.6</v>
      </c>
      <c r="T7963" s="7">
        <v>-5.1669999999999998</v>
      </c>
      <c r="U7963" s="5">
        <v>0.9</v>
      </c>
      <c r="V7963" s="6">
        <v>-0.34</v>
      </c>
      <c r="W7963" s="6">
        <v>3.82</v>
      </c>
      <c r="X7963" s="6">
        <v>3.91</v>
      </c>
      <c r="Y7963" s="6">
        <v>3.85</v>
      </c>
      <c r="Z7963" s="6">
        <v>4.75</v>
      </c>
      <c r="AA7963" s="6">
        <v>15.95</v>
      </c>
      <c r="AB7963" s="2" t="s">
        <v>86</v>
      </c>
      <c r="AC7963" s="5">
        <v>245.3</v>
      </c>
    </row>
    <row r="7964" spans="1:29" ht="143" x14ac:dyDescent="0.15">
      <c r="A7964" s="3">
        <f>DATE(2006,3,12)</f>
        <v>38788</v>
      </c>
      <c r="B7964" s="3">
        <f>DATE(2006,12,1)</f>
        <v>39052</v>
      </c>
      <c r="C7964" s="2" t="s">
        <v>95</v>
      </c>
      <c r="D7964" s="2" t="s">
        <v>489</v>
      </c>
      <c r="E7964" s="2" t="s">
        <v>490</v>
      </c>
      <c r="F7964" s="4">
        <v>6022</v>
      </c>
      <c r="G7964" s="2" t="s">
        <v>37</v>
      </c>
      <c r="H7964" s="2" t="s">
        <v>34</v>
      </c>
      <c r="I7964" s="2" t="s">
        <v>22340</v>
      </c>
      <c r="J7964" s="2" t="s">
        <v>1181</v>
      </c>
      <c r="K7964" s="2" t="s">
        <v>37</v>
      </c>
      <c r="L7964" s="2" t="s">
        <v>34</v>
      </c>
      <c r="M7964" s="12">
        <v>25645.223999999998</v>
      </c>
      <c r="N7964" s="5">
        <v>83.1</v>
      </c>
      <c r="O7964" s="5">
        <v>83.1</v>
      </c>
      <c r="P7964" s="2" t="s">
        <v>23861</v>
      </c>
      <c r="Q7964" s="6">
        <v>100</v>
      </c>
      <c r="R7964" s="6">
        <v>31.18</v>
      </c>
      <c r="S7964" s="5">
        <v>960.1</v>
      </c>
      <c r="T7964" s="2"/>
      <c r="U7964" s="5">
        <v>19.399999999999999</v>
      </c>
      <c r="V7964" s="9">
        <v>2.0266999999999999</v>
      </c>
      <c r="W7964" s="6">
        <v>25.27</v>
      </c>
      <c r="X7964" s="5">
        <v>25.4</v>
      </c>
      <c r="Y7964" s="5">
        <v>29.2</v>
      </c>
      <c r="Z7964" s="5">
        <v>29.2</v>
      </c>
      <c r="AA7964" s="6">
        <v>475.68</v>
      </c>
      <c r="AB7964" s="7">
        <v>17.552</v>
      </c>
      <c r="AC7964" s="10">
        <v>4071.27</v>
      </c>
    </row>
    <row r="7965" spans="1:29" ht="78" x14ac:dyDescent="0.15">
      <c r="A7965" s="3">
        <f t="shared" ref="A7965:A7970" si="157">DATE(2006,3,13)</f>
        <v>38789</v>
      </c>
      <c r="B7965" s="3">
        <f>DATE(2006,11,6)</f>
        <v>39027</v>
      </c>
      <c r="C7965" s="2" t="s">
        <v>95</v>
      </c>
      <c r="D7965" s="2" t="s">
        <v>16006</v>
      </c>
      <c r="E7965" s="2" t="s">
        <v>13693</v>
      </c>
      <c r="F7965" s="4">
        <v>2834</v>
      </c>
      <c r="G7965" s="2" t="s">
        <v>130</v>
      </c>
      <c r="H7965" s="2" t="s">
        <v>34</v>
      </c>
      <c r="I7965" s="2" t="s">
        <v>6055</v>
      </c>
      <c r="J7965" s="2" t="s">
        <v>6056</v>
      </c>
      <c r="K7965" s="2" t="s">
        <v>130</v>
      </c>
      <c r="L7965" s="2" t="s">
        <v>34</v>
      </c>
      <c r="M7965" s="12">
        <v>3559.3780000000002</v>
      </c>
      <c r="N7965" s="4">
        <v>29</v>
      </c>
      <c r="O7965" s="6">
        <v>29.04</v>
      </c>
      <c r="P7965" s="2" t="s">
        <v>23862</v>
      </c>
      <c r="Q7965" s="6">
        <v>100</v>
      </c>
      <c r="R7965" s="6">
        <v>25</v>
      </c>
      <c r="S7965" s="5">
        <v>62.5</v>
      </c>
      <c r="T7965" s="7">
        <v>64.915000000000006</v>
      </c>
      <c r="U7965" s="5">
        <v>10.6</v>
      </c>
      <c r="V7965" s="6">
        <v>0.85</v>
      </c>
      <c r="W7965" s="6">
        <v>20.36</v>
      </c>
      <c r="X7965" s="6">
        <v>21.59</v>
      </c>
      <c r="Y7965" s="6">
        <v>23.73</v>
      </c>
      <c r="Z7965" s="6">
        <v>23.83</v>
      </c>
      <c r="AA7965" s="6">
        <v>73.400000000000006</v>
      </c>
      <c r="AB7965" s="7">
        <v>44.198</v>
      </c>
      <c r="AC7965" s="6">
        <v>629.92999999999995</v>
      </c>
    </row>
    <row r="7966" spans="1:29" ht="312" x14ac:dyDescent="0.15">
      <c r="A7966" s="3">
        <f t="shared" si="157"/>
        <v>38789</v>
      </c>
      <c r="B7966" s="2"/>
      <c r="C7966" s="2" t="s">
        <v>30</v>
      </c>
      <c r="D7966" s="2" t="s">
        <v>23863</v>
      </c>
      <c r="E7966" s="2"/>
      <c r="F7966" s="4">
        <v>7011</v>
      </c>
      <c r="G7966" s="2" t="s">
        <v>269</v>
      </c>
      <c r="H7966" s="2" t="s">
        <v>34</v>
      </c>
      <c r="I7966" s="2" t="s">
        <v>16499</v>
      </c>
      <c r="J7966" s="2" t="s">
        <v>16500</v>
      </c>
      <c r="K7966" s="2" t="s">
        <v>269</v>
      </c>
      <c r="L7966" s="2" t="s">
        <v>34</v>
      </c>
      <c r="M7966" s="12">
        <v>1101.549</v>
      </c>
      <c r="N7966" s="4">
        <v>29</v>
      </c>
      <c r="O7966" s="6">
        <v>29.49</v>
      </c>
      <c r="P7966" s="2" t="s">
        <v>23864</v>
      </c>
      <c r="Q7966" s="2"/>
      <c r="R7966" s="6">
        <v>48</v>
      </c>
      <c r="S7966" s="5">
        <v>49.3</v>
      </c>
      <c r="T7966" s="7">
        <v>227.54900000000001</v>
      </c>
      <c r="U7966" s="5">
        <v>17.899999999999999</v>
      </c>
      <c r="V7966" s="6">
        <v>1.23</v>
      </c>
      <c r="W7966" s="6">
        <v>29.65</v>
      </c>
      <c r="X7966" s="5">
        <v>30.7</v>
      </c>
      <c r="Y7966" s="6">
        <v>37.21</v>
      </c>
      <c r="Z7966" s="6">
        <v>37.56</v>
      </c>
      <c r="AA7966" s="6">
        <v>35.89</v>
      </c>
      <c r="AB7966" s="7">
        <v>15.813000000000001</v>
      </c>
      <c r="AC7966" s="6">
        <v>319.02</v>
      </c>
    </row>
    <row r="7967" spans="1:29" ht="91" x14ac:dyDescent="0.15">
      <c r="A7967" s="3">
        <f t="shared" si="157"/>
        <v>38789</v>
      </c>
      <c r="B7967" s="3">
        <f>DATE(2006,9,29)</f>
        <v>38989</v>
      </c>
      <c r="C7967" s="2" t="s">
        <v>95</v>
      </c>
      <c r="D7967" s="2" t="s">
        <v>21971</v>
      </c>
      <c r="E7967" s="2" t="s">
        <v>612</v>
      </c>
      <c r="F7967" s="4">
        <v>1311</v>
      </c>
      <c r="G7967" s="2" t="s">
        <v>148</v>
      </c>
      <c r="H7967" s="2" t="s">
        <v>34</v>
      </c>
      <c r="I7967" s="2" t="s">
        <v>23865</v>
      </c>
      <c r="J7967" s="2" t="s">
        <v>612</v>
      </c>
      <c r="K7967" s="2" t="s">
        <v>148</v>
      </c>
      <c r="L7967" s="2" t="s">
        <v>18001</v>
      </c>
      <c r="M7967" s="2"/>
      <c r="N7967" s="2"/>
      <c r="O7967" s="2"/>
      <c r="P7967" s="2" t="s">
        <v>23866</v>
      </c>
      <c r="Q7967" s="6">
        <v>100</v>
      </c>
      <c r="R7967" s="6">
        <v>5.8</v>
      </c>
      <c r="S7967" s="5">
        <v>30.8</v>
      </c>
      <c r="T7967" s="2"/>
      <c r="U7967" s="2"/>
      <c r="V7967" s="6">
        <v>0.77</v>
      </c>
      <c r="W7967" s="6">
        <v>5.25</v>
      </c>
      <c r="X7967" s="5">
        <v>5.3</v>
      </c>
      <c r="Y7967" s="5">
        <v>5.7</v>
      </c>
      <c r="Z7967" s="5">
        <v>5.7</v>
      </c>
      <c r="AA7967" s="6">
        <v>38.21</v>
      </c>
      <c r="AB7967" s="7">
        <v>3.0630000000000002</v>
      </c>
      <c r="AC7967" s="2"/>
    </row>
    <row r="7968" spans="1:29" ht="156" x14ac:dyDescent="0.15">
      <c r="A7968" s="3">
        <f t="shared" si="157"/>
        <v>38789</v>
      </c>
      <c r="B7968" s="3">
        <f>DATE(2006,11,30)</f>
        <v>39051</v>
      </c>
      <c r="C7968" s="2" t="s">
        <v>95</v>
      </c>
      <c r="D7968" s="2" t="s">
        <v>23434</v>
      </c>
      <c r="E7968" s="2" t="s">
        <v>4060</v>
      </c>
      <c r="F7968" s="4">
        <v>6141</v>
      </c>
      <c r="G7968" s="2" t="s">
        <v>370</v>
      </c>
      <c r="H7968" s="2" t="s">
        <v>34</v>
      </c>
      <c r="I7968" s="2" t="s">
        <v>23867</v>
      </c>
      <c r="J7968" s="2" t="s">
        <v>11337</v>
      </c>
      <c r="K7968" s="2" t="s">
        <v>53</v>
      </c>
      <c r="L7968" s="2" t="s">
        <v>34</v>
      </c>
      <c r="M7968" s="2"/>
      <c r="N7968" s="2"/>
      <c r="O7968" s="2"/>
      <c r="P7968" s="2" t="s">
        <v>23868</v>
      </c>
      <c r="Q7968" s="6">
        <v>51</v>
      </c>
      <c r="R7968" s="2"/>
      <c r="S7968" s="8">
        <v>2394</v>
      </c>
      <c r="T7968" s="8">
        <v>11953</v>
      </c>
      <c r="U7968" s="2"/>
      <c r="V7968" s="2"/>
      <c r="W7968" s="5">
        <v>20.100000000000001</v>
      </c>
      <c r="X7968" s="7">
        <v>20.558</v>
      </c>
      <c r="Y7968" s="6">
        <v>20.72</v>
      </c>
      <c r="Z7968" s="6">
        <v>20.75</v>
      </c>
      <c r="AA7968" s="2"/>
      <c r="AB7968" s="7">
        <v>34.712000000000003</v>
      </c>
      <c r="AC7968" s="2"/>
    </row>
    <row r="7969" spans="1:29" ht="143" x14ac:dyDescent="0.15">
      <c r="A7969" s="3">
        <f t="shared" si="157"/>
        <v>38789</v>
      </c>
      <c r="B7969" s="3">
        <f>DATE(2006,6,27)</f>
        <v>38895</v>
      </c>
      <c r="C7969" s="2" t="s">
        <v>95</v>
      </c>
      <c r="D7969" s="2" t="s">
        <v>23869</v>
      </c>
      <c r="E7969" s="2" t="s">
        <v>417</v>
      </c>
      <c r="F7969" s="4">
        <v>2731</v>
      </c>
      <c r="G7969" s="2" t="s">
        <v>186</v>
      </c>
      <c r="H7969" s="2" t="s">
        <v>34</v>
      </c>
      <c r="I7969" s="2" t="s">
        <v>23870</v>
      </c>
      <c r="J7969" s="2" t="s">
        <v>19238</v>
      </c>
      <c r="K7969" s="2" t="s">
        <v>186</v>
      </c>
      <c r="L7969" s="2" t="s">
        <v>34</v>
      </c>
      <c r="M7969" s="12">
        <v>2605.2759999999998</v>
      </c>
      <c r="N7969" s="6">
        <v>51.55</v>
      </c>
      <c r="O7969" s="6">
        <v>51.17</v>
      </c>
      <c r="P7969" s="2" t="s">
        <v>23871</v>
      </c>
      <c r="Q7969" s="6">
        <v>100</v>
      </c>
      <c r="R7969" s="6">
        <v>67.25</v>
      </c>
      <c r="S7969" s="5">
        <v>471.4</v>
      </c>
      <c r="T7969" s="6">
        <v>591.99</v>
      </c>
      <c r="U7969" s="5">
        <v>17.7</v>
      </c>
      <c r="V7969" s="6">
        <v>3.53</v>
      </c>
      <c r="W7969" s="6">
        <v>62.99</v>
      </c>
      <c r="X7969" s="6">
        <v>62.87</v>
      </c>
      <c r="Y7969" s="5">
        <v>63.1</v>
      </c>
      <c r="Z7969" s="6">
        <v>61.06</v>
      </c>
      <c r="AA7969" s="6">
        <v>67</v>
      </c>
      <c r="AB7969" s="7">
        <v>13.516999999999999</v>
      </c>
      <c r="AC7969" s="6">
        <v>3.05</v>
      </c>
    </row>
    <row r="7970" spans="1:29" ht="91" x14ac:dyDescent="0.15">
      <c r="A7970" s="3">
        <f t="shared" si="157"/>
        <v>38789</v>
      </c>
      <c r="B7970" s="2"/>
      <c r="C7970" s="2" t="s">
        <v>30</v>
      </c>
      <c r="D7970" s="2" t="s">
        <v>23872</v>
      </c>
      <c r="E7970" s="2" t="s">
        <v>16057</v>
      </c>
      <c r="F7970" s="4">
        <v>7389</v>
      </c>
      <c r="G7970" s="2" t="s">
        <v>223</v>
      </c>
      <c r="H7970" s="2" t="s">
        <v>34</v>
      </c>
      <c r="I7970" s="2" t="s">
        <v>51</v>
      </c>
      <c r="J7970" s="2" t="s">
        <v>52</v>
      </c>
      <c r="K7970" s="2" t="s">
        <v>53</v>
      </c>
      <c r="L7970" s="2" t="s">
        <v>34</v>
      </c>
      <c r="M7970" s="2"/>
      <c r="N7970" s="2"/>
      <c r="O7970" s="2"/>
      <c r="P7970" s="2" t="s">
        <v>23873</v>
      </c>
      <c r="Q7970" s="2"/>
      <c r="R7970" s="6">
        <v>22</v>
      </c>
      <c r="S7970" s="5">
        <v>6.8</v>
      </c>
      <c r="T7970" s="6">
        <v>71.14</v>
      </c>
      <c r="U7970" s="5">
        <v>7.4</v>
      </c>
      <c r="V7970" s="6">
        <v>0.27</v>
      </c>
      <c r="W7970" s="6">
        <v>15.93</v>
      </c>
      <c r="X7970" s="6">
        <v>16.59</v>
      </c>
      <c r="Y7970" s="6">
        <v>20.85</v>
      </c>
      <c r="Z7970" s="6">
        <v>20.329999999999998</v>
      </c>
      <c r="AA7970" s="6">
        <v>23.97</v>
      </c>
      <c r="AB7970" s="7">
        <v>24.213000000000001</v>
      </c>
      <c r="AC7970" s="2"/>
    </row>
    <row r="7971" spans="1:29" ht="78" x14ac:dyDescent="0.15">
      <c r="A7971" s="3">
        <f>DATE(2006,3,14)</f>
        <v>38790</v>
      </c>
      <c r="B7971" s="2"/>
      <c r="C7971" s="2" t="s">
        <v>141</v>
      </c>
      <c r="D7971" s="2" t="s">
        <v>23874</v>
      </c>
      <c r="E7971" s="2" t="s">
        <v>23875</v>
      </c>
      <c r="F7971" s="4">
        <v>7991</v>
      </c>
      <c r="G7971" s="2" t="s">
        <v>364</v>
      </c>
      <c r="H7971" s="2" t="s">
        <v>34</v>
      </c>
      <c r="I7971" s="2" t="s">
        <v>143</v>
      </c>
      <c r="J7971" s="2" t="s">
        <v>144</v>
      </c>
      <c r="K7971" s="2" t="s">
        <v>53</v>
      </c>
      <c r="L7971" s="2" t="s">
        <v>139</v>
      </c>
      <c r="M7971" s="2"/>
      <c r="N7971" s="2"/>
      <c r="O7971" s="2"/>
      <c r="P7971" s="2" t="s">
        <v>23876</v>
      </c>
      <c r="Q7971" s="2"/>
      <c r="R7971" s="2"/>
      <c r="S7971" s="5">
        <v>-9.6</v>
      </c>
      <c r="T7971" s="7">
        <v>162.852</v>
      </c>
      <c r="U7971" s="5">
        <v>-38</v>
      </c>
      <c r="V7971" s="6">
        <v>-0.28000000000000003</v>
      </c>
      <c r="W7971" s="6">
        <v>8.26</v>
      </c>
      <c r="X7971" s="6">
        <v>7.82</v>
      </c>
      <c r="Y7971" s="6">
        <v>7.71</v>
      </c>
      <c r="Z7971" s="6">
        <v>7.74</v>
      </c>
      <c r="AA7971" s="6">
        <v>37.94</v>
      </c>
      <c r="AB7971" s="2" t="s">
        <v>47</v>
      </c>
      <c r="AC7971" s="2"/>
    </row>
    <row r="7972" spans="1:29" ht="65" x14ac:dyDescent="0.15">
      <c r="A7972" s="3">
        <f>DATE(2006,3,14)</f>
        <v>38790</v>
      </c>
      <c r="B7972" s="3">
        <f>DATE(2006,10,30)</f>
        <v>39020</v>
      </c>
      <c r="C7972" s="2" t="s">
        <v>95</v>
      </c>
      <c r="D7972" s="2" t="s">
        <v>23877</v>
      </c>
      <c r="E7972" s="2" t="s">
        <v>386</v>
      </c>
      <c r="F7972" s="4">
        <v>6726</v>
      </c>
      <c r="G7972" s="2" t="s">
        <v>53</v>
      </c>
      <c r="H7972" s="2" t="s">
        <v>34</v>
      </c>
      <c r="I7972" s="2" t="s">
        <v>23878</v>
      </c>
      <c r="J7972" s="2" t="s">
        <v>386</v>
      </c>
      <c r="K7972" s="2" t="s">
        <v>53</v>
      </c>
      <c r="L7972" s="2" t="s">
        <v>34</v>
      </c>
      <c r="M7972" s="6">
        <v>177.22</v>
      </c>
      <c r="N7972" s="6">
        <v>7.97</v>
      </c>
      <c r="O7972" s="6">
        <v>7.98</v>
      </c>
      <c r="P7972" s="2" t="s">
        <v>23879</v>
      </c>
      <c r="Q7972" s="6">
        <v>100</v>
      </c>
      <c r="R7972" s="2"/>
      <c r="S7972" s="2"/>
      <c r="T7972" s="2"/>
      <c r="U7972" s="2"/>
      <c r="V7972" s="2"/>
      <c r="W7972" s="6">
        <v>8.0500000000000007</v>
      </c>
      <c r="X7972" s="5">
        <v>8.1</v>
      </c>
      <c r="Y7972" s="6">
        <v>8.16</v>
      </c>
      <c r="Z7972" s="6">
        <v>8.67</v>
      </c>
      <c r="AA7972" s="6">
        <v>7.51</v>
      </c>
      <c r="AB7972" s="2" t="s">
        <v>47</v>
      </c>
      <c r="AC7972" s="2"/>
    </row>
    <row r="7973" spans="1:29" ht="117" x14ac:dyDescent="0.15">
      <c r="A7973" s="3">
        <f>DATE(2006,3,16)</f>
        <v>38792</v>
      </c>
      <c r="B7973" s="3">
        <f>DATE(2006,8,17)</f>
        <v>38946</v>
      </c>
      <c r="C7973" s="2" t="s">
        <v>95</v>
      </c>
      <c r="D7973" s="2" t="s">
        <v>23880</v>
      </c>
      <c r="E7973" s="2" t="s">
        <v>263</v>
      </c>
      <c r="F7973" s="4">
        <v>6712</v>
      </c>
      <c r="G7973" s="2" t="s">
        <v>37</v>
      </c>
      <c r="H7973" s="2" t="s">
        <v>34</v>
      </c>
      <c r="I7973" s="2" t="s">
        <v>13745</v>
      </c>
      <c r="J7973" s="2" t="s">
        <v>263</v>
      </c>
      <c r="K7973" s="2" t="s">
        <v>37</v>
      </c>
      <c r="L7973" s="2" t="s">
        <v>34</v>
      </c>
      <c r="M7973" s="6">
        <v>202.13</v>
      </c>
      <c r="N7973" s="6">
        <v>23.27</v>
      </c>
      <c r="O7973" s="6">
        <v>23.15</v>
      </c>
      <c r="P7973" s="2" t="s">
        <v>23881</v>
      </c>
      <c r="Q7973" s="6">
        <v>100</v>
      </c>
      <c r="R7973" s="2"/>
      <c r="S7973" s="5">
        <v>0.8</v>
      </c>
      <c r="T7973" s="2"/>
      <c r="U7973" s="5">
        <v>7.8</v>
      </c>
      <c r="V7973" s="6">
        <v>0.45</v>
      </c>
      <c r="W7973" s="4">
        <v>16</v>
      </c>
      <c r="X7973" s="4">
        <v>16</v>
      </c>
      <c r="Y7973" s="4">
        <v>16</v>
      </c>
      <c r="Z7973" s="5">
        <v>19.600000000000001</v>
      </c>
      <c r="AA7973" s="6">
        <v>1.05</v>
      </c>
      <c r="AB7973" s="7">
        <v>30.358000000000001</v>
      </c>
      <c r="AC7973" s="2"/>
    </row>
    <row r="7974" spans="1:29" ht="91" x14ac:dyDescent="0.15">
      <c r="A7974" s="3">
        <f>DATE(2006,3,17)</f>
        <v>38793</v>
      </c>
      <c r="B7974" s="3">
        <f>DATE(2006,6,1)</f>
        <v>38869</v>
      </c>
      <c r="C7974" s="2" t="s">
        <v>95</v>
      </c>
      <c r="D7974" s="2" t="s">
        <v>11521</v>
      </c>
      <c r="E7974" s="2" t="s">
        <v>11522</v>
      </c>
      <c r="F7974" s="4">
        <v>3325</v>
      </c>
      <c r="G7974" s="2" t="s">
        <v>163</v>
      </c>
      <c r="H7974" s="2" t="s">
        <v>34</v>
      </c>
      <c r="I7974" s="2" t="s">
        <v>23882</v>
      </c>
      <c r="J7974" s="2" t="s">
        <v>244</v>
      </c>
      <c r="K7974" s="2" t="s">
        <v>53</v>
      </c>
      <c r="L7974" s="2" t="s">
        <v>34</v>
      </c>
      <c r="M7974" s="2"/>
      <c r="N7974" s="2"/>
      <c r="O7974" s="2"/>
      <c r="P7974" s="2" t="s">
        <v>23883</v>
      </c>
      <c r="Q7974" s="6">
        <v>100</v>
      </c>
      <c r="R7974" s="2"/>
      <c r="S7974" s="5">
        <v>18.3</v>
      </c>
      <c r="T7974" s="7">
        <v>35.326999999999998</v>
      </c>
      <c r="U7974" s="5">
        <v>26.1</v>
      </c>
      <c r="V7974" s="6">
        <v>9.0399999999999991</v>
      </c>
      <c r="W7974" s="6">
        <v>46.25</v>
      </c>
      <c r="X7974" s="4">
        <v>45</v>
      </c>
      <c r="Y7974" s="4">
        <v>72</v>
      </c>
      <c r="Z7974" s="6">
        <v>69.92</v>
      </c>
      <c r="AA7974" s="6">
        <v>2</v>
      </c>
      <c r="AB7974" s="7">
        <v>4.8410000000000002</v>
      </c>
      <c r="AC7974" s="2"/>
    </row>
    <row r="7975" spans="1:29" ht="182" x14ac:dyDescent="0.15">
      <c r="A7975" s="3">
        <f>DATE(2006,3,17)</f>
        <v>38793</v>
      </c>
      <c r="B7975" s="3">
        <f>DATE(2006,7,26)</f>
        <v>38924</v>
      </c>
      <c r="C7975" s="2" t="s">
        <v>95</v>
      </c>
      <c r="D7975" s="2" t="s">
        <v>22898</v>
      </c>
      <c r="E7975" s="2" t="s">
        <v>3499</v>
      </c>
      <c r="F7975" s="4">
        <v>1522</v>
      </c>
      <c r="G7975" s="2" t="s">
        <v>341</v>
      </c>
      <c r="H7975" s="2" t="s">
        <v>34</v>
      </c>
      <c r="I7975" s="2" t="s">
        <v>22899</v>
      </c>
      <c r="J7975" s="2" t="s">
        <v>150</v>
      </c>
      <c r="K7975" s="2" t="s">
        <v>53</v>
      </c>
      <c r="L7975" s="2" t="s">
        <v>34</v>
      </c>
      <c r="M7975" s="2"/>
      <c r="N7975" s="2"/>
      <c r="O7975" s="2"/>
      <c r="P7975" s="2" t="s">
        <v>23884</v>
      </c>
      <c r="Q7975" s="6">
        <v>53.27</v>
      </c>
      <c r="R7975" s="6">
        <v>109</v>
      </c>
      <c r="S7975" s="5">
        <v>196.4</v>
      </c>
      <c r="T7975" s="7">
        <v>361.58499999999998</v>
      </c>
      <c r="U7975" s="5">
        <v>65.900000000000006</v>
      </c>
      <c r="V7975" s="6">
        <v>22.65</v>
      </c>
      <c r="W7975" s="6">
        <v>72.41</v>
      </c>
      <c r="X7975" s="5">
        <v>75.7</v>
      </c>
      <c r="Y7975" s="4">
        <v>99</v>
      </c>
      <c r="Z7975" s="6">
        <v>96.15</v>
      </c>
      <c r="AA7975" s="6">
        <v>8.65</v>
      </c>
      <c r="AB7975" s="7">
        <v>4.6459999999999999</v>
      </c>
      <c r="AC7975" s="2"/>
    </row>
    <row r="7976" spans="1:29" ht="78" x14ac:dyDescent="0.15">
      <c r="A7976" s="3">
        <f>DATE(2006,3,17)</f>
        <v>38793</v>
      </c>
      <c r="B7976" s="2"/>
      <c r="C7976" s="2" t="s">
        <v>56</v>
      </c>
      <c r="D7976" s="2" t="s">
        <v>23885</v>
      </c>
      <c r="E7976" s="2" t="s">
        <v>92</v>
      </c>
      <c r="F7976" s="4">
        <v>6798</v>
      </c>
      <c r="G7976" s="2" t="s">
        <v>53</v>
      </c>
      <c r="H7976" s="2" t="s">
        <v>34</v>
      </c>
      <c r="I7976" s="2" t="s">
        <v>23886</v>
      </c>
      <c r="J7976" s="2" t="s">
        <v>92</v>
      </c>
      <c r="K7976" s="2" t="s">
        <v>53</v>
      </c>
      <c r="L7976" s="2" t="s">
        <v>34</v>
      </c>
      <c r="M7976" s="2"/>
      <c r="N7976" s="2"/>
      <c r="O7976" s="2"/>
      <c r="P7976" s="2" t="s">
        <v>23887</v>
      </c>
      <c r="Q7976" s="2"/>
      <c r="R7976" s="6">
        <v>15</v>
      </c>
      <c r="S7976" s="5">
        <v>0.4</v>
      </c>
      <c r="T7976" s="7">
        <v>0.93100000000000005</v>
      </c>
      <c r="U7976" s="5">
        <v>18.600000000000001</v>
      </c>
      <c r="V7976" s="6">
        <v>0.43</v>
      </c>
      <c r="W7976" s="5">
        <v>14.5</v>
      </c>
      <c r="X7976" s="6">
        <v>15.25</v>
      </c>
      <c r="Y7976" s="6">
        <v>15.25</v>
      </c>
      <c r="Z7976" s="6">
        <v>14.85</v>
      </c>
      <c r="AA7976" s="6">
        <v>0.91</v>
      </c>
      <c r="AB7976" s="7">
        <v>110.42100000000001</v>
      </c>
      <c r="AC7976" s="2"/>
    </row>
    <row r="7977" spans="1:29" ht="78" x14ac:dyDescent="0.15">
      <c r="A7977" s="3">
        <f>DATE(2006,3,20)</f>
        <v>38796</v>
      </c>
      <c r="B7977" s="2"/>
      <c r="C7977" s="2" t="s">
        <v>30</v>
      </c>
      <c r="D7977" s="2" t="s">
        <v>23888</v>
      </c>
      <c r="E7977" s="2" t="s">
        <v>9851</v>
      </c>
      <c r="F7977" s="4">
        <v>6331</v>
      </c>
      <c r="G7977" s="2" t="s">
        <v>125</v>
      </c>
      <c r="H7977" s="2" t="s">
        <v>34</v>
      </c>
      <c r="I7977" s="2" t="s">
        <v>23889</v>
      </c>
      <c r="J7977" s="2" t="s">
        <v>23890</v>
      </c>
      <c r="K7977" s="2" t="s">
        <v>125</v>
      </c>
      <c r="L7977" s="2" t="s">
        <v>34</v>
      </c>
      <c r="M7977" s="2"/>
      <c r="N7977" s="2"/>
      <c r="O7977" s="2"/>
      <c r="P7977" s="2" t="s">
        <v>23891</v>
      </c>
      <c r="Q7977" s="2"/>
      <c r="R7977" s="6">
        <v>29</v>
      </c>
      <c r="S7977" s="5">
        <v>6.7</v>
      </c>
      <c r="T7977" s="2"/>
      <c r="U7977" s="5">
        <v>36.799999999999997</v>
      </c>
      <c r="V7977" s="6">
        <v>3.16</v>
      </c>
      <c r="W7977" s="6">
        <v>29.35</v>
      </c>
      <c r="X7977" s="6">
        <v>29.34</v>
      </c>
      <c r="Y7977" s="5">
        <v>29.3</v>
      </c>
      <c r="Z7977" s="6">
        <v>29.35</v>
      </c>
      <c r="AA7977" s="6">
        <v>2.15</v>
      </c>
      <c r="AB7977" s="7">
        <v>6.5570000000000004</v>
      </c>
      <c r="AC7977" s="2"/>
    </row>
    <row r="7978" spans="1:29" ht="91" x14ac:dyDescent="0.15">
      <c r="A7978" s="3">
        <f>DATE(2006,3,20)</f>
        <v>38796</v>
      </c>
      <c r="B7978" s="3">
        <f>DATE(2006,7,26)</f>
        <v>38924</v>
      </c>
      <c r="C7978" s="2" t="s">
        <v>95</v>
      </c>
      <c r="D7978" s="2" t="s">
        <v>10399</v>
      </c>
      <c r="E7978" s="2" t="s">
        <v>185</v>
      </c>
      <c r="F7978" s="4">
        <v>2759</v>
      </c>
      <c r="G7978" s="2" t="s">
        <v>186</v>
      </c>
      <c r="H7978" s="2" t="s">
        <v>34</v>
      </c>
      <c r="I7978" s="2" t="s">
        <v>23892</v>
      </c>
      <c r="J7978" s="2" t="s">
        <v>4732</v>
      </c>
      <c r="K7978" s="2" t="s">
        <v>53</v>
      </c>
      <c r="L7978" s="2" t="s">
        <v>34</v>
      </c>
      <c r="M7978" s="2"/>
      <c r="N7978" s="2"/>
      <c r="O7978" s="2"/>
      <c r="P7978" s="2" t="s">
        <v>23893</v>
      </c>
      <c r="Q7978" s="6">
        <v>100</v>
      </c>
      <c r="R7978" s="6">
        <v>13.5</v>
      </c>
      <c r="S7978" s="5">
        <v>2.5</v>
      </c>
      <c r="T7978" s="7">
        <v>7.617</v>
      </c>
      <c r="U7978" s="5">
        <v>10.199999999999999</v>
      </c>
      <c r="V7978" s="6">
        <v>0.74</v>
      </c>
      <c r="W7978" s="6">
        <v>11.05</v>
      </c>
      <c r="X7978" s="6">
        <v>11.42</v>
      </c>
      <c r="Y7978" s="7">
        <v>11.571999999999999</v>
      </c>
      <c r="Z7978" s="6">
        <v>13.15</v>
      </c>
      <c r="AA7978" s="6">
        <v>3.4</v>
      </c>
      <c r="AB7978" s="7">
        <v>12.95</v>
      </c>
      <c r="AC7978" s="2"/>
    </row>
    <row r="7979" spans="1:29" ht="91" x14ac:dyDescent="0.15">
      <c r="A7979" s="3">
        <f>DATE(2006,3,20)</f>
        <v>38796</v>
      </c>
      <c r="B7979" s="3">
        <f>DATE(2006,6,7)</f>
        <v>38875</v>
      </c>
      <c r="C7979" s="2" t="s">
        <v>95</v>
      </c>
      <c r="D7979" s="2" t="s">
        <v>23894</v>
      </c>
      <c r="E7979" s="2" t="s">
        <v>23895</v>
      </c>
      <c r="F7979" s="4">
        <v>3571</v>
      </c>
      <c r="G7979" s="2" t="s">
        <v>50</v>
      </c>
      <c r="H7979" s="2" t="s">
        <v>34</v>
      </c>
      <c r="I7979" s="2" t="s">
        <v>23896</v>
      </c>
      <c r="J7979" s="2" t="s">
        <v>849</v>
      </c>
      <c r="K7979" s="2" t="s">
        <v>551</v>
      </c>
      <c r="L7979" s="2" t="s">
        <v>34</v>
      </c>
      <c r="M7979" s="2"/>
      <c r="N7979" s="2"/>
      <c r="O7979" s="2"/>
      <c r="P7979" s="2" t="s">
        <v>23897</v>
      </c>
      <c r="Q7979" s="6">
        <v>100</v>
      </c>
      <c r="R7979" s="6">
        <v>16.5</v>
      </c>
      <c r="S7979" s="5">
        <v>1.5</v>
      </c>
      <c r="T7979" s="7">
        <v>5.5049999999999999</v>
      </c>
      <c r="U7979" s="5">
        <v>8.6999999999999993</v>
      </c>
      <c r="V7979" s="6">
        <v>0.09</v>
      </c>
      <c r="W7979" s="5">
        <v>10.6</v>
      </c>
      <c r="X7979" s="6">
        <v>10.64</v>
      </c>
      <c r="Y7979" s="6">
        <v>16.03</v>
      </c>
      <c r="Z7979" s="5">
        <v>16.100000000000001</v>
      </c>
      <c r="AA7979" s="6">
        <v>15.66</v>
      </c>
      <c r="AB7979" s="7">
        <v>1011.745</v>
      </c>
      <c r="AC7979" s="2"/>
    </row>
    <row r="7980" spans="1:29" ht="65" x14ac:dyDescent="0.15">
      <c r="A7980" s="3">
        <f>DATE(2006,3,21)</f>
        <v>38797</v>
      </c>
      <c r="B7980" s="3">
        <f>DATE(2006,5,24)</f>
        <v>38861</v>
      </c>
      <c r="C7980" s="2" t="s">
        <v>95</v>
      </c>
      <c r="D7980" s="2" t="s">
        <v>23898</v>
      </c>
      <c r="E7980" s="2" t="s">
        <v>124</v>
      </c>
      <c r="F7980" s="4">
        <v>6311</v>
      </c>
      <c r="G7980" s="2" t="s">
        <v>125</v>
      </c>
      <c r="H7980" s="2" t="s">
        <v>34</v>
      </c>
      <c r="I7980" s="2" t="s">
        <v>23899</v>
      </c>
      <c r="J7980" s="2" t="s">
        <v>124</v>
      </c>
      <c r="K7980" s="2" t="s">
        <v>125</v>
      </c>
      <c r="L7980" s="2" t="s">
        <v>34</v>
      </c>
      <c r="M7980" s="10">
        <v>3191.98</v>
      </c>
      <c r="N7980" s="6">
        <v>52.86</v>
      </c>
      <c r="O7980" s="6">
        <v>52.68</v>
      </c>
      <c r="P7980" s="2" t="s">
        <v>23900</v>
      </c>
      <c r="Q7980" s="6">
        <v>24.9</v>
      </c>
      <c r="R7980" s="6">
        <v>32</v>
      </c>
      <c r="S7980" s="5">
        <v>16.5</v>
      </c>
      <c r="T7980" s="6">
        <v>24.32</v>
      </c>
      <c r="U7980" s="5">
        <v>25.5</v>
      </c>
      <c r="V7980" s="6">
        <v>1.75</v>
      </c>
      <c r="W7980" s="6">
        <v>27.25</v>
      </c>
      <c r="X7980" s="4">
        <v>30</v>
      </c>
      <c r="Y7980" s="4">
        <v>30</v>
      </c>
      <c r="Z7980" s="6">
        <v>31.61</v>
      </c>
      <c r="AA7980" s="6">
        <v>9.4499999999999993</v>
      </c>
      <c r="AB7980" s="7">
        <v>13.919</v>
      </c>
      <c r="AC7980" s="6">
        <v>31.67</v>
      </c>
    </row>
    <row r="7981" spans="1:29" ht="65" x14ac:dyDescent="0.15">
      <c r="A7981" s="3">
        <f>DATE(2006,3,21)</f>
        <v>38797</v>
      </c>
      <c r="B7981" s="2"/>
      <c r="C7981" s="2" t="s">
        <v>87</v>
      </c>
      <c r="D7981" s="2" t="s">
        <v>13915</v>
      </c>
      <c r="E7981" s="2" t="s">
        <v>13916</v>
      </c>
      <c r="F7981" s="4">
        <v>2331</v>
      </c>
      <c r="G7981" s="2" t="s">
        <v>708</v>
      </c>
      <c r="H7981" s="2" t="s">
        <v>34</v>
      </c>
      <c r="I7981" s="2" t="s">
        <v>143</v>
      </c>
      <c r="J7981" s="2" t="s">
        <v>144</v>
      </c>
      <c r="K7981" s="2" t="s">
        <v>53</v>
      </c>
      <c r="L7981" s="2" t="s">
        <v>139</v>
      </c>
      <c r="M7981" s="2"/>
      <c r="N7981" s="2"/>
      <c r="O7981" s="2"/>
      <c r="P7981" s="2" t="s">
        <v>23901</v>
      </c>
      <c r="Q7981" s="2"/>
      <c r="R7981" s="2"/>
      <c r="S7981" s="5">
        <v>274.3</v>
      </c>
      <c r="T7981" s="5">
        <v>608.6</v>
      </c>
      <c r="U7981" s="5">
        <v>23</v>
      </c>
      <c r="V7981" s="6">
        <v>2.2999999999999998</v>
      </c>
      <c r="W7981" s="6">
        <v>30.15</v>
      </c>
      <c r="X7981" s="6">
        <v>30.82</v>
      </c>
      <c r="Y7981" s="6">
        <v>34.840000000000003</v>
      </c>
      <c r="Z7981" s="6">
        <v>34.590000000000003</v>
      </c>
      <c r="AA7981" s="6">
        <v>116.82</v>
      </c>
      <c r="AB7981" s="2" t="s">
        <v>47</v>
      </c>
      <c r="AC7981" s="2"/>
    </row>
    <row r="7982" spans="1:29" ht="91" x14ac:dyDescent="0.15">
      <c r="A7982" s="3">
        <f>DATE(2006,3,21)</f>
        <v>38797</v>
      </c>
      <c r="B7982" s="3">
        <f>DATE(2006,9,20)</f>
        <v>38980</v>
      </c>
      <c r="C7982" s="2" t="s">
        <v>95</v>
      </c>
      <c r="D7982" s="2" t="s">
        <v>23902</v>
      </c>
      <c r="E7982" s="2" t="s">
        <v>23903</v>
      </c>
      <c r="F7982" s="4">
        <v>6282</v>
      </c>
      <c r="G7982" s="2" t="s">
        <v>53</v>
      </c>
      <c r="H7982" s="2" t="s">
        <v>34</v>
      </c>
      <c r="I7982" s="2" t="s">
        <v>51</v>
      </c>
      <c r="J7982" s="2" t="s">
        <v>52</v>
      </c>
      <c r="K7982" s="2" t="s">
        <v>53</v>
      </c>
      <c r="L7982" s="2" t="s">
        <v>34</v>
      </c>
      <c r="M7982" s="2"/>
      <c r="N7982" s="2"/>
      <c r="O7982" s="2"/>
      <c r="P7982" s="2" t="s">
        <v>23904</v>
      </c>
      <c r="Q7982" s="6">
        <v>100</v>
      </c>
      <c r="R7982" s="6">
        <v>14</v>
      </c>
      <c r="S7982" s="5">
        <v>0.3</v>
      </c>
      <c r="T7982" s="2"/>
      <c r="U7982" s="5">
        <v>9.1</v>
      </c>
      <c r="V7982" s="6">
        <v>0.35</v>
      </c>
      <c r="W7982" s="5">
        <v>12.6</v>
      </c>
      <c r="X7982" s="5">
        <v>12.6</v>
      </c>
      <c r="Y7982" s="5">
        <v>12.6</v>
      </c>
      <c r="Z7982" s="5">
        <v>13.6</v>
      </c>
      <c r="AA7982" s="6">
        <v>0.87</v>
      </c>
      <c r="AB7982" s="2" t="s">
        <v>47</v>
      </c>
      <c r="AC7982" s="2"/>
    </row>
    <row r="7983" spans="1:29" ht="221" x14ac:dyDescent="0.15">
      <c r="A7983" s="3">
        <f>DATE(2006,3,21)</f>
        <v>38797</v>
      </c>
      <c r="B7983" s="3">
        <f>DATE(2006,9,1)</f>
        <v>38961</v>
      </c>
      <c r="C7983" s="2" t="s">
        <v>95</v>
      </c>
      <c r="D7983" s="2" t="s">
        <v>23905</v>
      </c>
      <c r="E7983" s="2" t="s">
        <v>23906</v>
      </c>
      <c r="F7983" s="4">
        <v>4923</v>
      </c>
      <c r="G7983" s="2" t="s">
        <v>439</v>
      </c>
      <c r="H7983" s="2" t="s">
        <v>34</v>
      </c>
      <c r="I7983" s="2" t="s">
        <v>21870</v>
      </c>
      <c r="J7983" s="2" t="s">
        <v>21871</v>
      </c>
      <c r="K7983" s="2" t="s">
        <v>53</v>
      </c>
      <c r="L7983" s="2" t="s">
        <v>34</v>
      </c>
      <c r="M7983" s="2"/>
      <c r="N7983" s="6">
        <v>60.41</v>
      </c>
      <c r="O7983" s="6">
        <v>61.94</v>
      </c>
      <c r="P7983" s="2" t="s">
        <v>23907</v>
      </c>
      <c r="Q7983" s="6">
        <v>88.99</v>
      </c>
      <c r="R7983" s="6">
        <v>11.35</v>
      </c>
      <c r="S7983" s="5">
        <v>12.1</v>
      </c>
      <c r="T7983" s="7">
        <v>72.756</v>
      </c>
      <c r="U7983" s="5">
        <v>7.3</v>
      </c>
      <c r="V7983" s="6">
        <v>0.2</v>
      </c>
      <c r="W7983" s="6">
        <v>7.44</v>
      </c>
      <c r="X7983" s="5">
        <v>7.5</v>
      </c>
      <c r="Y7983" s="6">
        <v>7.42</v>
      </c>
      <c r="Z7983" s="6">
        <v>9.2200000000000006</v>
      </c>
      <c r="AA7983" s="6">
        <v>50.15</v>
      </c>
      <c r="AB7983" s="7">
        <v>18.524000000000001</v>
      </c>
      <c r="AC7983" s="8">
        <v>61405</v>
      </c>
    </row>
    <row r="7984" spans="1:29" ht="130" x14ac:dyDescent="0.15">
      <c r="A7984" s="3">
        <f>DATE(2006,3,22)</f>
        <v>38798</v>
      </c>
      <c r="B7984" s="3">
        <f>DATE(2006,8,25)</f>
        <v>38954</v>
      </c>
      <c r="C7984" s="2" t="s">
        <v>95</v>
      </c>
      <c r="D7984" s="2" t="s">
        <v>23908</v>
      </c>
      <c r="E7984" s="2" t="s">
        <v>23909</v>
      </c>
      <c r="F7984" s="4">
        <v>3499</v>
      </c>
      <c r="G7984" s="2" t="s">
        <v>163</v>
      </c>
      <c r="H7984" s="2" t="s">
        <v>34</v>
      </c>
      <c r="I7984" s="2" t="s">
        <v>23910</v>
      </c>
      <c r="J7984" s="2" t="s">
        <v>11337</v>
      </c>
      <c r="K7984" s="2" t="s">
        <v>53</v>
      </c>
      <c r="L7984" s="2" t="s">
        <v>34</v>
      </c>
      <c r="M7984" s="2"/>
      <c r="N7984" s="2"/>
      <c r="O7984" s="2"/>
      <c r="P7984" s="2" t="s">
        <v>23911</v>
      </c>
      <c r="Q7984" s="6">
        <v>100</v>
      </c>
      <c r="R7984" s="6">
        <v>10</v>
      </c>
      <c r="S7984" s="5">
        <v>13.9</v>
      </c>
      <c r="T7984" s="2"/>
      <c r="U7984" s="5">
        <v>-0.9</v>
      </c>
      <c r="V7984" s="6">
        <v>2.34</v>
      </c>
      <c r="W7984" s="5">
        <v>6.1</v>
      </c>
      <c r="X7984" s="5">
        <v>6.1</v>
      </c>
      <c r="Y7984" s="5">
        <v>6.1</v>
      </c>
      <c r="Z7984" s="5">
        <v>9.5</v>
      </c>
      <c r="AA7984" s="6">
        <v>4.9800000000000004</v>
      </c>
      <c r="AB7984" s="7">
        <v>9.1039999999999992</v>
      </c>
      <c r="AC7984" s="2"/>
    </row>
    <row r="7985" spans="1:29" ht="65" x14ac:dyDescent="0.15">
      <c r="A7985" s="3">
        <f>DATE(2006,3,22)</f>
        <v>38798</v>
      </c>
      <c r="B7985" s="2"/>
      <c r="C7985" s="2" t="s">
        <v>87</v>
      </c>
      <c r="D7985" s="2" t="s">
        <v>23912</v>
      </c>
      <c r="E7985" s="2" t="s">
        <v>3759</v>
      </c>
      <c r="F7985" s="4">
        <v>4911</v>
      </c>
      <c r="G7985" s="2" t="s">
        <v>439</v>
      </c>
      <c r="H7985" s="2" t="s">
        <v>34</v>
      </c>
      <c r="I7985" s="2" t="s">
        <v>23913</v>
      </c>
      <c r="J7985" s="2" t="s">
        <v>1977</v>
      </c>
      <c r="K7985" s="2" t="s">
        <v>439</v>
      </c>
      <c r="L7985" s="2" t="s">
        <v>34</v>
      </c>
      <c r="M7985" s="12">
        <v>25292.396000000001</v>
      </c>
      <c r="N7985" s="6">
        <v>33.380000000000003</v>
      </c>
      <c r="O7985" s="6">
        <v>33.229999999999997</v>
      </c>
      <c r="P7985" s="2" t="s">
        <v>23914</v>
      </c>
      <c r="Q7985" s="2"/>
      <c r="R7985" s="2"/>
      <c r="S7985" s="5">
        <v>727</v>
      </c>
      <c r="T7985" s="8">
        <v>2636</v>
      </c>
      <c r="U7985" s="5">
        <v>31.9</v>
      </c>
      <c r="V7985" s="6">
        <v>2.94</v>
      </c>
      <c r="W7985" s="6">
        <v>44.58</v>
      </c>
      <c r="X7985" s="6">
        <v>44.74</v>
      </c>
      <c r="Y7985" s="6">
        <v>44.83</v>
      </c>
      <c r="Z7985" s="6">
        <v>44.92</v>
      </c>
      <c r="AA7985" s="6">
        <v>252.29</v>
      </c>
      <c r="AB7985" s="2" t="s">
        <v>47</v>
      </c>
      <c r="AC7985" s="5">
        <v>202</v>
      </c>
    </row>
    <row r="7986" spans="1:29" ht="156" x14ac:dyDescent="0.15">
      <c r="A7986" s="3">
        <f>DATE(2006,3,22)</f>
        <v>38798</v>
      </c>
      <c r="B7986" s="2"/>
      <c r="C7986" s="2" t="s">
        <v>30</v>
      </c>
      <c r="D7986" s="2" t="s">
        <v>23915</v>
      </c>
      <c r="E7986" s="2" t="s">
        <v>23916</v>
      </c>
      <c r="F7986" s="4">
        <v>6519</v>
      </c>
      <c r="G7986" s="2" t="s">
        <v>109</v>
      </c>
      <c r="H7986" s="2" t="s">
        <v>34</v>
      </c>
      <c r="I7986" s="2" t="s">
        <v>51</v>
      </c>
      <c r="J7986" s="2" t="s">
        <v>52</v>
      </c>
      <c r="K7986" s="2" t="s">
        <v>53</v>
      </c>
      <c r="L7986" s="2" t="s">
        <v>34</v>
      </c>
      <c r="M7986" s="2"/>
      <c r="N7986" s="2"/>
      <c r="O7986" s="2"/>
      <c r="P7986" s="2" t="s">
        <v>23917</v>
      </c>
      <c r="Q7986" s="2"/>
      <c r="R7986" s="6">
        <v>9.3000000000000007</v>
      </c>
      <c r="S7986" s="5">
        <v>8</v>
      </c>
      <c r="T7986" s="7">
        <v>0.748</v>
      </c>
      <c r="U7986" s="5">
        <v>1.4</v>
      </c>
      <c r="V7986" s="9">
        <v>4.5400999999999998</v>
      </c>
      <c r="W7986" s="4">
        <v>15</v>
      </c>
      <c r="X7986" s="6">
        <v>14.75</v>
      </c>
      <c r="Y7986" s="6">
        <v>14.75</v>
      </c>
      <c r="Z7986" s="6">
        <v>14.75</v>
      </c>
      <c r="AA7986" s="6">
        <v>1.1200000000000001</v>
      </c>
      <c r="AB7986" s="7">
        <v>25.346</v>
      </c>
      <c r="AC7986" s="2"/>
    </row>
    <row r="7987" spans="1:29" ht="169" x14ac:dyDescent="0.15">
      <c r="A7987" s="3">
        <f>DATE(2006,3,24)</f>
        <v>38800</v>
      </c>
      <c r="B7987" s="3">
        <f>DATE(2006,11,30)</f>
        <v>39051</v>
      </c>
      <c r="C7987" s="2" t="s">
        <v>95</v>
      </c>
      <c r="D7987" s="2" t="s">
        <v>8437</v>
      </c>
      <c r="E7987" s="2" t="s">
        <v>18869</v>
      </c>
      <c r="F7987" s="4">
        <v>3661</v>
      </c>
      <c r="G7987" s="2" t="s">
        <v>921</v>
      </c>
      <c r="H7987" s="2" t="s">
        <v>34</v>
      </c>
      <c r="I7987" s="2" t="s">
        <v>13920</v>
      </c>
      <c r="J7987" s="2" t="s">
        <v>22567</v>
      </c>
      <c r="K7987" s="2" t="s">
        <v>921</v>
      </c>
      <c r="L7987" s="2" t="s">
        <v>133</v>
      </c>
      <c r="M7987" s="12">
        <v>19258.998</v>
      </c>
      <c r="N7987" s="7">
        <v>15.708</v>
      </c>
      <c r="O7987" s="7">
        <v>15.375</v>
      </c>
      <c r="P7987" s="2" t="s">
        <v>23918</v>
      </c>
      <c r="Q7987" s="6">
        <v>100</v>
      </c>
      <c r="R7987" s="6">
        <v>3.01</v>
      </c>
      <c r="S7987" s="5">
        <v>821</v>
      </c>
      <c r="T7987" s="8">
        <v>1654</v>
      </c>
      <c r="U7987" s="5">
        <v>0.1</v>
      </c>
      <c r="V7987" s="6">
        <v>0.16</v>
      </c>
      <c r="W7987" s="5">
        <v>2.9</v>
      </c>
      <c r="X7987" s="6">
        <v>2.82</v>
      </c>
      <c r="Y7987" s="6">
        <v>3.06</v>
      </c>
      <c r="Z7987" s="6">
        <v>3.08</v>
      </c>
      <c r="AA7987" s="10">
        <v>4469.1899999999996</v>
      </c>
      <c r="AB7987" s="7">
        <v>13.289</v>
      </c>
      <c r="AC7987" s="2"/>
    </row>
    <row r="7988" spans="1:29" ht="91" x14ac:dyDescent="0.15">
      <c r="A7988" s="3">
        <f>DATE(2006,3,24)</f>
        <v>38800</v>
      </c>
      <c r="B7988" s="3">
        <f>DATE(2006,7,28)</f>
        <v>38926</v>
      </c>
      <c r="C7988" s="2" t="s">
        <v>95</v>
      </c>
      <c r="D7988" s="2" t="s">
        <v>23919</v>
      </c>
      <c r="E7988" s="2" t="s">
        <v>23920</v>
      </c>
      <c r="F7988" s="4">
        <v>3423</v>
      </c>
      <c r="G7988" s="2" t="s">
        <v>163</v>
      </c>
      <c r="H7988" s="2" t="s">
        <v>34</v>
      </c>
      <c r="I7988" s="2" t="s">
        <v>23921</v>
      </c>
      <c r="J7988" s="2" t="s">
        <v>23922</v>
      </c>
      <c r="K7988" s="2" t="s">
        <v>137</v>
      </c>
      <c r="L7988" s="2" t="s">
        <v>1086</v>
      </c>
      <c r="M7988" s="2"/>
      <c r="N7988" s="6">
        <v>0.03</v>
      </c>
      <c r="O7988" s="6">
        <v>0.03</v>
      </c>
      <c r="P7988" s="2" t="s">
        <v>23923</v>
      </c>
      <c r="Q7988" s="6">
        <v>61.78</v>
      </c>
      <c r="R7988" s="6">
        <v>1.4</v>
      </c>
      <c r="S7988" s="5">
        <v>2.7</v>
      </c>
      <c r="T7988" s="7">
        <v>3.9020000000000001</v>
      </c>
      <c r="U7988" s="5">
        <v>4.2</v>
      </c>
      <c r="V7988" s="6">
        <v>0.19</v>
      </c>
      <c r="W7988" s="6">
        <v>1.1499999999999999</v>
      </c>
      <c r="X7988" s="6">
        <v>1.18</v>
      </c>
      <c r="Y7988" s="5">
        <v>1.3</v>
      </c>
      <c r="Z7988" s="5">
        <v>1.3</v>
      </c>
      <c r="AA7988" s="6">
        <v>5.74</v>
      </c>
      <c r="AB7988" s="7">
        <v>0.90200000000000002</v>
      </c>
      <c r="AC7988" s="6">
        <v>4.5199999999999996</v>
      </c>
    </row>
    <row r="7989" spans="1:29" ht="117" x14ac:dyDescent="0.15">
      <c r="A7989" s="3">
        <f>DATE(2006,3,27)</f>
        <v>38803</v>
      </c>
      <c r="B7989" s="3">
        <f>DATE(2006,7,18)</f>
        <v>38916</v>
      </c>
      <c r="C7989" s="2" t="s">
        <v>95</v>
      </c>
      <c r="D7989" s="2" t="s">
        <v>23924</v>
      </c>
      <c r="E7989" s="2" t="s">
        <v>1181</v>
      </c>
      <c r="F7989" s="4">
        <v>6021</v>
      </c>
      <c r="G7989" s="2" t="s">
        <v>37</v>
      </c>
      <c r="H7989" s="2" t="s">
        <v>34</v>
      </c>
      <c r="I7989" s="2" t="s">
        <v>16147</v>
      </c>
      <c r="J7989" s="2" t="s">
        <v>672</v>
      </c>
      <c r="K7989" s="2" t="s">
        <v>37</v>
      </c>
      <c r="L7989" s="2" t="s">
        <v>34</v>
      </c>
      <c r="M7989" s="12">
        <v>4776.4880000000003</v>
      </c>
      <c r="N7989" s="6">
        <v>38.76</v>
      </c>
      <c r="O7989" s="5">
        <v>38.299999999999997</v>
      </c>
      <c r="P7989" s="2" t="s">
        <v>23925</v>
      </c>
      <c r="Q7989" s="6">
        <v>100</v>
      </c>
      <c r="R7989" s="6">
        <v>23.53</v>
      </c>
      <c r="S7989" s="5">
        <v>4.2</v>
      </c>
      <c r="T7989" s="7">
        <v>7.0289999999999999</v>
      </c>
      <c r="U7989" s="5">
        <v>7.1</v>
      </c>
      <c r="V7989" s="6">
        <v>0.72</v>
      </c>
      <c r="W7989" s="6">
        <v>18.649999999999999</v>
      </c>
      <c r="X7989" s="6">
        <v>18.54</v>
      </c>
      <c r="Y7989" s="5">
        <v>22.9</v>
      </c>
      <c r="Z7989" s="6">
        <v>22.83</v>
      </c>
      <c r="AA7989" s="6">
        <v>5.63</v>
      </c>
      <c r="AB7989" s="7">
        <v>27.516999999999999</v>
      </c>
      <c r="AC7989" s="2"/>
    </row>
    <row r="7990" spans="1:29" ht="65" x14ac:dyDescent="0.15">
      <c r="A7990" s="3">
        <f>DATE(2006,3,27)</f>
        <v>38803</v>
      </c>
      <c r="B7990" s="2"/>
      <c r="C7990" s="2" t="s">
        <v>7330</v>
      </c>
      <c r="D7990" s="2" t="s">
        <v>23926</v>
      </c>
      <c r="E7990" s="2" t="s">
        <v>23927</v>
      </c>
      <c r="F7990" s="4">
        <v>1481</v>
      </c>
      <c r="G7990" s="2" t="s">
        <v>166</v>
      </c>
      <c r="H7990" s="2" t="s">
        <v>34</v>
      </c>
      <c r="I7990" s="2" t="s">
        <v>23928</v>
      </c>
      <c r="J7990" s="2" t="s">
        <v>209</v>
      </c>
      <c r="K7990" s="2" t="s">
        <v>137</v>
      </c>
      <c r="L7990" s="2" t="s">
        <v>34</v>
      </c>
      <c r="M7990" s="7">
        <v>14.852</v>
      </c>
      <c r="N7990" s="6">
        <v>5.95</v>
      </c>
      <c r="O7990" s="6">
        <v>17.75</v>
      </c>
      <c r="P7990" s="2" t="s">
        <v>23929</v>
      </c>
      <c r="Q7990" s="2"/>
      <c r="R7990" s="2"/>
      <c r="S7990" s="2"/>
      <c r="T7990" s="2"/>
      <c r="U7990" s="2"/>
      <c r="V7990" s="2"/>
      <c r="W7990" s="6">
        <v>1.36</v>
      </c>
      <c r="X7990" s="6">
        <v>1.36</v>
      </c>
      <c r="Y7990" s="5">
        <v>1.3</v>
      </c>
      <c r="Z7990" s="6">
        <v>2.58</v>
      </c>
      <c r="AA7990" s="6">
        <v>49.74</v>
      </c>
      <c r="AB7990" s="2" t="s">
        <v>47</v>
      </c>
      <c r="AC7990" s="6">
        <v>1.79</v>
      </c>
    </row>
    <row r="7991" spans="1:29" ht="195" x14ac:dyDescent="0.15">
      <c r="A7991" s="3">
        <f>DATE(2006,3,27)</f>
        <v>38803</v>
      </c>
      <c r="B7991" s="2"/>
      <c r="C7991" s="2" t="s">
        <v>30</v>
      </c>
      <c r="D7991" s="2" t="s">
        <v>23905</v>
      </c>
      <c r="E7991" s="2" t="s">
        <v>23906</v>
      </c>
      <c r="F7991" s="4">
        <v>4923</v>
      </c>
      <c r="G7991" s="2" t="s">
        <v>439</v>
      </c>
      <c r="H7991" s="2" t="s">
        <v>34</v>
      </c>
      <c r="I7991" s="2" t="s">
        <v>23930</v>
      </c>
      <c r="J7991" s="2" t="s">
        <v>23931</v>
      </c>
      <c r="K7991" s="2" t="s">
        <v>148</v>
      </c>
      <c r="L7991" s="2" t="s">
        <v>34</v>
      </c>
      <c r="M7991" s="2"/>
      <c r="N7991" s="2"/>
      <c r="O7991" s="2"/>
      <c r="P7991" s="2" t="s">
        <v>23932</v>
      </c>
      <c r="Q7991" s="2"/>
      <c r="R7991" s="6">
        <v>11.25</v>
      </c>
      <c r="S7991" s="5">
        <v>12.1</v>
      </c>
      <c r="T7991" s="7">
        <v>72.756</v>
      </c>
      <c r="U7991" s="5">
        <v>7.3</v>
      </c>
      <c r="V7991" s="6">
        <v>0.2</v>
      </c>
      <c r="W7991" s="6">
        <v>7.44</v>
      </c>
      <c r="X7991" s="5">
        <v>7.5</v>
      </c>
      <c r="Y7991" s="6">
        <v>7.42</v>
      </c>
      <c r="Z7991" s="6">
        <v>9.2200000000000006</v>
      </c>
      <c r="AA7991" s="6">
        <v>49.58</v>
      </c>
      <c r="AB7991" s="7">
        <v>18.413</v>
      </c>
      <c r="AC7991" s="2"/>
    </row>
    <row r="7992" spans="1:29" ht="78" x14ac:dyDescent="0.15">
      <c r="A7992" s="3">
        <f>DATE(2006,3,29)</f>
        <v>38805</v>
      </c>
      <c r="B7992" s="3">
        <f>DATE(2006,9,8)</f>
        <v>38968</v>
      </c>
      <c r="C7992" s="2" t="s">
        <v>95</v>
      </c>
      <c r="D7992" s="2" t="s">
        <v>23933</v>
      </c>
      <c r="E7992" s="2" t="s">
        <v>23934</v>
      </c>
      <c r="F7992" s="4">
        <v>6361</v>
      </c>
      <c r="G7992" s="2" t="s">
        <v>125</v>
      </c>
      <c r="H7992" s="2" t="s">
        <v>34</v>
      </c>
      <c r="I7992" s="2" t="s">
        <v>23935</v>
      </c>
      <c r="J7992" s="2" t="s">
        <v>7552</v>
      </c>
      <c r="K7992" s="2" t="s">
        <v>125</v>
      </c>
      <c r="L7992" s="2" t="s">
        <v>34</v>
      </c>
      <c r="M7992" s="10">
        <v>1177.94</v>
      </c>
      <c r="N7992" s="6">
        <v>67.69</v>
      </c>
      <c r="O7992" s="6">
        <v>67.069999999999993</v>
      </c>
      <c r="P7992" s="2" t="s">
        <v>23936</v>
      </c>
      <c r="Q7992" s="6">
        <v>100</v>
      </c>
      <c r="R7992" s="2"/>
      <c r="S7992" s="5">
        <v>20.9</v>
      </c>
      <c r="T7992" s="7">
        <v>83.956999999999994</v>
      </c>
      <c r="U7992" s="5">
        <v>3.3</v>
      </c>
      <c r="V7992" s="6">
        <v>0.81</v>
      </c>
      <c r="W7992" s="6">
        <v>6.11</v>
      </c>
      <c r="X7992" s="6">
        <v>6.02</v>
      </c>
      <c r="Y7992" s="7">
        <v>7.7169999999999996</v>
      </c>
      <c r="Z7992" s="6">
        <v>7.69</v>
      </c>
      <c r="AA7992" s="6">
        <v>22.67</v>
      </c>
      <c r="AB7992" s="7">
        <v>2.9260000000000002</v>
      </c>
      <c r="AC7992" s="5">
        <v>81.900000000000006</v>
      </c>
    </row>
    <row r="7993" spans="1:29" ht="195" x14ac:dyDescent="0.15">
      <c r="A7993" s="3">
        <f>DATE(2006,3,30)</f>
        <v>38806</v>
      </c>
      <c r="B7993" s="2"/>
      <c r="C7993" s="2" t="s">
        <v>30</v>
      </c>
      <c r="D7993" s="2" t="s">
        <v>23863</v>
      </c>
      <c r="E7993" s="2"/>
      <c r="F7993" s="4">
        <v>7011</v>
      </c>
      <c r="G7993" s="2" t="s">
        <v>269</v>
      </c>
      <c r="H7993" s="2" t="s">
        <v>34</v>
      </c>
      <c r="I7993" s="2" t="s">
        <v>11411</v>
      </c>
      <c r="J7993" s="2" t="s">
        <v>92</v>
      </c>
      <c r="K7993" s="2" t="s">
        <v>53</v>
      </c>
      <c r="L7993" s="2" t="s">
        <v>34</v>
      </c>
      <c r="M7993" s="2"/>
      <c r="N7993" s="2"/>
      <c r="O7993" s="2"/>
      <c r="P7993" s="2" t="s">
        <v>23937</v>
      </c>
      <c r="Q7993" s="2"/>
      <c r="R7993" s="6">
        <v>41</v>
      </c>
      <c r="S7993" s="5">
        <v>56</v>
      </c>
      <c r="T7993" s="7">
        <v>214.291</v>
      </c>
      <c r="U7993" s="5">
        <v>17.5</v>
      </c>
      <c r="V7993" s="6">
        <v>1.49</v>
      </c>
      <c r="W7993" s="6">
        <v>29.65</v>
      </c>
      <c r="X7993" s="5">
        <v>30.7</v>
      </c>
      <c r="Y7993" s="6">
        <v>37.21</v>
      </c>
      <c r="Z7993" s="6">
        <v>37.56</v>
      </c>
      <c r="AA7993" s="6">
        <v>35.89</v>
      </c>
      <c r="AB7993" s="7">
        <v>15.253</v>
      </c>
      <c r="AC7993" s="2"/>
    </row>
    <row r="7994" spans="1:29" ht="130" x14ac:dyDescent="0.15">
      <c r="A7994" s="3">
        <f>DATE(2006,4,3)</f>
        <v>38810</v>
      </c>
      <c r="B7994" s="2"/>
      <c r="C7994" s="2" t="s">
        <v>30</v>
      </c>
      <c r="D7994" s="2" t="s">
        <v>23938</v>
      </c>
      <c r="E7994" s="2" t="s">
        <v>92</v>
      </c>
      <c r="F7994" s="4">
        <v>6798</v>
      </c>
      <c r="G7994" s="2" t="s">
        <v>53</v>
      </c>
      <c r="H7994" s="2" t="s">
        <v>34</v>
      </c>
      <c r="I7994" s="2" t="s">
        <v>23939</v>
      </c>
      <c r="J7994" s="2" t="s">
        <v>23940</v>
      </c>
      <c r="K7994" s="2" t="s">
        <v>109</v>
      </c>
      <c r="L7994" s="2" t="s">
        <v>34</v>
      </c>
      <c r="M7994" s="2"/>
      <c r="N7994" s="2"/>
      <c r="O7994" s="2"/>
      <c r="P7994" s="2" t="s">
        <v>23941</v>
      </c>
      <c r="Q7994" s="2"/>
      <c r="R7994" s="6">
        <v>38.75</v>
      </c>
      <c r="S7994" s="5">
        <v>13</v>
      </c>
      <c r="T7994" s="7">
        <v>19.079000000000001</v>
      </c>
      <c r="U7994" s="5">
        <v>16.899999999999999</v>
      </c>
      <c r="V7994" s="6">
        <v>1.62</v>
      </c>
      <c r="W7994" s="6">
        <v>31.65</v>
      </c>
      <c r="X7994" s="5">
        <v>32.1</v>
      </c>
      <c r="Y7994" s="5">
        <v>31.5</v>
      </c>
      <c r="Z7994" s="6">
        <v>31.18</v>
      </c>
      <c r="AA7994" s="6">
        <v>7.71</v>
      </c>
      <c r="AB7994" s="7">
        <v>25.54</v>
      </c>
      <c r="AC7994" s="2"/>
    </row>
    <row r="7995" spans="1:29" ht="91" x14ac:dyDescent="0.15">
      <c r="A7995" s="3">
        <f>DATE(2006,4,3)</f>
        <v>38810</v>
      </c>
      <c r="B7995" s="3">
        <f>DATE(2006,11,28)</f>
        <v>39049</v>
      </c>
      <c r="C7995" s="2" t="s">
        <v>95</v>
      </c>
      <c r="D7995" s="2" t="s">
        <v>23942</v>
      </c>
      <c r="E7995" s="2" t="s">
        <v>23943</v>
      </c>
      <c r="F7995" s="4">
        <v>7261</v>
      </c>
      <c r="G7995" s="2" t="s">
        <v>1517</v>
      </c>
      <c r="H7995" s="2" t="s">
        <v>34</v>
      </c>
      <c r="I7995" s="2" t="s">
        <v>3139</v>
      </c>
      <c r="J7995" s="2" t="s">
        <v>23944</v>
      </c>
      <c r="K7995" s="2" t="s">
        <v>1517</v>
      </c>
      <c r="L7995" s="2" t="s">
        <v>34</v>
      </c>
      <c r="M7995" s="12">
        <v>2371.027</v>
      </c>
      <c r="N7995" s="5">
        <v>8.5</v>
      </c>
      <c r="O7995" s="6">
        <v>8.4700000000000006</v>
      </c>
      <c r="P7995" s="2" t="s">
        <v>23945</v>
      </c>
      <c r="Q7995" s="6">
        <v>100</v>
      </c>
      <c r="R7995" s="6">
        <v>20</v>
      </c>
      <c r="S7995" s="5">
        <v>33.799999999999997</v>
      </c>
      <c r="T7995" s="7">
        <v>107.521</v>
      </c>
      <c r="U7995" s="5">
        <v>14.8</v>
      </c>
      <c r="V7995" s="6">
        <v>0.8</v>
      </c>
      <c r="W7995" s="6">
        <v>16.989999999999998</v>
      </c>
      <c r="X7995" s="5">
        <v>17.899999999999999</v>
      </c>
      <c r="Y7995" s="6">
        <v>19.350000000000001</v>
      </c>
      <c r="Z7995" s="6">
        <v>19.21</v>
      </c>
      <c r="AA7995" s="6">
        <v>40.47</v>
      </c>
      <c r="AB7995" s="7">
        <v>18.419</v>
      </c>
      <c r="AC7995" s="6">
        <v>490.41</v>
      </c>
    </row>
    <row r="7996" spans="1:29" ht="234" x14ac:dyDescent="0.15">
      <c r="A7996" s="3">
        <f>DATE(2006,4,3)</f>
        <v>38810</v>
      </c>
      <c r="B7996" s="2"/>
      <c r="C7996" s="2" t="s">
        <v>30</v>
      </c>
      <c r="D7996" s="2" t="s">
        <v>23863</v>
      </c>
      <c r="E7996" s="2"/>
      <c r="F7996" s="4">
        <v>7011</v>
      </c>
      <c r="G7996" s="2" t="s">
        <v>269</v>
      </c>
      <c r="H7996" s="2" t="s">
        <v>34</v>
      </c>
      <c r="I7996" s="2" t="s">
        <v>23946</v>
      </c>
      <c r="J7996" s="2" t="s">
        <v>23947</v>
      </c>
      <c r="K7996" s="2" t="s">
        <v>269</v>
      </c>
      <c r="L7996" s="2" t="s">
        <v>34</v>
      </c>
      <c r="M7996" s="12">
        <v>1224.6020000000001</v>
      </c>
      <c r="N7996" s="6">
        <v>24.01</v>
      </c>
      <c r="O7996" s="6">
        <v>23.46</v>
      </c>
      <c r="P7996" s="2" t="s">
        <v>23948</v>
      </c>
      <c r="Q7996" s="2"/>
      <c r="R7996" s="6">
        <v>47</v>
      </c>
      <c r="S7996" s="5">
        <v>49.3</v>
      </c>
      <c r="T7996" s="7">
        <v>227.54900000000001</v>
      </c>
      <c r="U7996" s="5">
        <v>17.899999999999999</v>
      </c>
      <c r="V7996" s="6">
        <v>1.23</v>
      </c>
      <c r="W7996" s="6">
        <v>29.65</v>
      </c>
      <c r="X7996" s="5">
        <v>30.7</v>
      </c>
      <c r="Y7996" s="6">
        <v>37.21</v>
      </c>
      <c r="Z7996" s="6">
        <v>37.56</v>
      </c>
      <c r="AA7996" s="6">
        <v>39.64</v>
      </c>
      <c r="AB7996" s="7">
        <v>15.536</v>
      </c>
      <c r="AC7996" s="6">
        <v>114.29</v>
      </c>
    </row>
    <row r="7997" spans="1:29" ht="130" x14ac:dyDescent="0.15">
      <c r="A7997" s="3">
        <f>DATE(2006,4,3)</f>
        <v>38810</v>
      </c>
      <c r="B7997" s="2"/>
      <c r="C7997" s="2" t="s">
        <v>30</v>
      </c>
      <c r="D7997" s="2" t="s">
        <v>23949</v>
      </c>
      <c r="E7997" s="2" t="s">
        <v>11151</v>
      </c>
      <c r="F7997" s="4">
        <v>3661</v>
      </c>
      <c r="G7997" s="2" t="s">
        <v>921</v>
      </c>
      <c r="H7997" s="2" t="s">
        <v>34</v>
      </c>
      <c r="I7997" s="2" t="s">
        <v>23950</v>
      </c>
      <c r="J7997" s="2" t="s">
        <v>11337</v>
      </c>
      <c r="K7997" s="2" t="s">
        <v>53</v>
      </c>
      <c r="L7997" s="2" t="s">
        <v>34</v>
      </c>
      <c r="M7997" s="2"/>
      <c r="N7997" s="2"/>
      <c r="O7997" s="2"/>
      <c r="P7997" s="2" t="s">
        <v>23951</v>
      </c>
      <c r="Q7997" s="2"/>
      <c r="R7997" s="6">
        <v>23.25</v>
      </c>
      <c r="S7997" s="5">
        <v>19.100000000000001</v>
      </c>
      <c r="T7997" s="7">
        <v>46.021999999999998</v>
      </c>
      <c r="U7997" s="5">
        <v>8.5</v>
      </c>
      <c r="V7997" s="6">
        <v>0.72</v>
      </c>
      <c r="W7997" s="6">
        <v>21.44</v>
      </c>
      <c r="X7997" s="6">
        <v>21.44</v>
      </c>
      <c r="Y7997" s="6">
        <v>21.17</v>
      </c>
      <c r="Z7997" s="6">
        <v>21.44</v>
      </c>
      <c r="AA7997" s="6">
        <v>26.37</v>
      </c>
      <c r="AB7997" s="7">
        <v>12.727</v>
      </c>
      <c r="AC7997" s="2"/>
    </row>
    <row r="7998" spans="1:29" ht="130" x14ac:dyDescent="0.15">
      <c r="A7998" s="3">
        <f>DATE(2006,4,3)</f>
        <v>38810</v>
      </c>
      <c r="B7998" s="3">
        <f>DATE(2006,11,1)</f>
        <v>39022</v>
      </c>
      <c r="C7998" s="2" t="s">
        <v>95</v>
      </c>
      <c r="D7998" s="2" t="s">
        <v>22844</v>
      </c>
      <c r="E7998" s="2" t="s">
        <v>22845</v>
      </c>
      <c r="F7998" s="4">
        <v>2329</v>
      </c>
      <c r="G7998" s="2" t="s">
        <v>708</v>
      </c>
      <c r="H7998" s="2" t="s">
        <v>34</v>
      </c>
      <c r="I7998" s="2" t="s">
        <v>23952</v>
      </c>
      <c r="J7998" s="2" t="s">
        <v>23953</v>
      </c>
      <c r="K7998" s="2" t="s">
        <v>326</v>
      </c>
      <c r="L7998" s="2" t="s">
        <v>34</v>
      </c>
      <c r="M7998" s="7">
        <v>476.97800000000001</v>
      </c>
      <c r="N7998" s="6">
        <v>15.13</v>
      </c>
      <c r="O7998" s="6">
        <v>15.15</v>
      </c>
      <c r="P7998" s="2" t="s">
        <v>23954</v>
      </c>
      <c r="Q7998" s="6">
        <v>100</v>
      </c>
      <c r="R7998" s="6">
        <v>7.5</v>
      </c>
      <c r="S7998" s="5">
        <v>-0.3</v>
      </c>
      <c r="T7998" s="7">
        <v>-0.47099999999999997</v>
      </c>
      <c r="U7998" s="5">
        <v>1.6</v>
      </c>
      <c r="V7998" s="6">
        <v>-0.02</v>
      </c>
      <c r="W7998" s="6">
        <v>6.15</v>
      </c>
      <c r="X7998" s="6">
        <v>5.47</v>
      </c>
      <c r="Y7998" s="6">
        <v>7.64</v>
      </c>
      <c r="Z7998" s="6">
        <v>7.67</v>
      </c>
      <c r="AA7998" s="6">
        <v>15.9</v>
      </c>
      <c r="AB7998" s="2" t="s">
        <v>86</v>
      </c>
      <c r="AC7998" s="6">
        <v>8.3800000000000008</v>
      </c>
    </row>
    <row r="7999" spans="1:29" ht="52" x14ac:dyDescent="0.15">
      <c r="A7999" s="3">
        <f>DATE(2006,4,4)</f>
        <v>38811</v>
      </c>
      <c r="B7999" s="2"/>
      <c r="C7999" s="2" t="s">
        <v>189</v>
      </c>
      <c r="D7999" s="2" t="s">
        <v>7836</v>
      </c>
      <c r="E7999" s="2" t="s">
        <v>7837</v>
      </c>
      <c r="F7999" s="4">
        <v>7373</v>
      </c>
      <c r="G7999" s="2" t="s">
        <v>223</v>
      </c>
      <c r="H7999" s="2" t="s">
        <v>34</v>
      </c>
      <c r="I7999" s="2" t="s">
        <v>143</v>
      </c>
      <c r="J7999" s="2" t="s">
        <v>144</v>
      </c>
      <c r="K7999" s="2" t="s">
        <v>53</v>
      </c>
      <c r="L7999" s="2" t="s">
        <v>139</v>
      </c>
      <c r="M7999" s="2"/>
      <c r="N7999" s="2"/>
      <c r="O7999" s="2"/>
      <c r="P7999" s="2" t="s">
        <v>23955</v>
      </c>
      <c r="Q7999" s="2"/>
      <c r="R7999" s="2"/>
      <c r="S7999" s="5">
        <v>577</v>
      </c>
      <c r="T7999" s="8">
        <v>2137.1999999999998</v>
      </c>
      <c r="U7999" s="5">
        <v>36.200000000000003</v>
      </c>
      <c r="V7999" s="6">
        <v>3.07</v>
      </c>
      <c r="W7999" s="6">
        <v>55.37</v>
      </c>
      <c r="X7999" s="6">
        <v>57.29</v>
      </c>
      <c r="Y7999" s="5">
        <v>59.8</v>
      </c>
      <c r="Z7999" s="6">
        <v>59.71</v>
      </c>
      <c r="AA7999" s="6">
        <v>186.5</v>
      </c>
      <c r="AB7999" s="2" t="s">
        <v>47</v>
      </c>
      <c r="AC7999" s="2"/>
    </row>
    <row r="8000" spans="1:29" ht="78" x14ac:dyDescent="0.15">
      <c r="A8000" s="3">
        <f>DATE(2006,4,6)</f>
        <v>38813</v>
      </c>
      <c r="B8000" s="2"/>
      <c r="C8000" s="2" t="s">
        <v>7330</v>
      </c>
      <c r="D8000" s="2" t="s">
        <v>23956</v>
      </c>
      <c r="E8000" s="2" t="s">
        <v>4582</v>
      </c>
      <c r="F8000" s="4">
        <v>5912</v>
      </c>
      <c r="G8000" s="2" t="s">
        <v>73</v>
      </c>
      <c r="H8000" s="2" t="s">
        <v>34</v>
      </c>
      <c r="I8000" s="2" t="s">
        <v>23957</v>
      </c>
      <c r="J8000" s="2" t="s">
        <v>150</v>
      </c>
      <c r="K8000" s="2" t="s">
        <v>53</v>
      </c>
      <c r="L8000" s="2" t="s">
        <v>34</v>
      </c>
      <c r="M8000" s="2"/>
      <c r="N8000" s="2"/>
      <c r="O8000" s="2"/>
      <c r="P8000" s="2" t="s">
        <v>23958</v>
      </c>
      <c r="Q8000" s="2"/>
      <c r="R8000" s="6">
        <v>25</v>
      </c>
      <c r="S8000" s="5">
        <v>14.3</v>
      </c>
      <c r="T8000" s="7">
        <v>15.824</v>
      </c>
      <c r="U8000" s="5">
        <v>10.9</v>
      </c>
      <c r="V8000" s="6">
        <v>4.2300000000000004</v>
      </c>
      <c r="W8000" s="5">
        <v>17.3</v>
      </c>
      <c r="X8000" s="6">
        <v>18.79</v>
      </c>
      <c r="Y8000" s="6">
        <v>18.77</v>
      </c>
      <c r="Z8000" s="6">
        <v>18.829999999999998</v>
      </c>
      <c r="AA8000" s="6">
        <v>2.95</v>
      </c>
      <c r="AB8000" s="7">
        <v>10.253</v>
      </c>
      <c r="AC8000" s="2"/>
    </row>
    <row r="8001" spans="1:29" ht="156" x14ac:dyDescent="0.15">
      <c r="A8001" s="3">
        <f>DATE(2006,4,6)</f>
        <v>38813</v>
      </c>
      <c r="B8001" s="3">
        <f>DATE(2006,9,1)</f>
        <v>38961</v>
      </c>
      <c r="C8001" s="2" t="s">
        <v>95</v>
      </c>
      <c r="D8001" s="2" t="s">
        <v>23959</v>
      </c>
      <c r="E8001" s="2" t="s">
        <v>1181</v>
      </c>
      <c r="F8001" s="4">
        <v>6021</v>
      </c>
      <c r="G8001" s="2" t="s">
        <v>37</v>
      </c>
      <c r="H8001" s="2" t="s">
        <v>34</v>
      </c>
      <c r="I8001" s="2" t="s">
        <v>23960</v>
      </c>
      <c r="J8001" s="2" t="s">
        <v>36</v>
      </c>
      <c r="K8001" s="2" t="s">
        <v>37</v>
      </c>
      <c r="L8001" s="2" t="s">
        <v>34</v>
      </c>
      <c r="M8001" s="7">
        <v>77.216999999999999</v>
      </c>
      <c r="N8001" s="6">
        <v>14.85</v>
      </c>
      <c r="O8001" s="6">
        <v>14.99</v>
      </c>
      <c r="P8001" s="2" t="s">
        <v>23961</v>
      </c>
      <c r="Q8001" s="6">
        <v>100</v>
      </c>
      <c r="R8001" s="6">
        <v>31.23</v>
      </c>
      <c r="S8001" s="2"/>
      <c r="T8001" s="2"/>
      <c r="U8001" s="2"/>
      <c r="V8001" s="2"/>
      <c r="W8001" s="6">
        <v>16.25</v>
      </c>
      <c r="X8001" s="6">
        <v>16.25</v>
      </c>
      <c r="Y8001" s="6">
        <v>16.25</v>
      </c>
      <c r="Z8001" s="6">
        <v>16.25</v>
      </c>
      <c r="AA8001" s="6">
        <v>1.07</v>
      </c>
      <c r="AB8001" s="2" t="s">
        <v>47</v>
      </c>
      <c r="AC8001" s="2"/>
    </row>
    <row r="8002" spans="1:29" ht="208" x14ac:dyDescent="0.15">
      <c r="A8002" s="3">
        <f>DATE(2006,4,6)</f>
        <v>38813</v>
      </c>
      <c r="B8002" s="2"/>
      <c r="C8002" s="2" t="s">
        <v>30</v>
      </c>
      <c r="D8002" s="2" t="s">
        <v>9560</v>
      </c>
      <c r="E8002" s="2" t="s">
        <v>9561</v>
      </c>
      <c r="F8002" s="4">
        <v>7011</v>
      </c>
      <c r="G8002" s="2" t="s">
        <v>269</v>
      </c>
      <c r="H8002" s="2" t="s">
        <v>34</v>
      </c>
      <c r="I8002" s="2" t="s">
        <v>23962</v>
      </c>
      <c r="J8002" s="2" t="s">
        <v>1072</v>
      </c>
      <c r="K8002" s="2" t="s">
        <v>53</v>
      </c>
      <c r="L8002" s="2" t="s">
        <v>34</v>
      </c>
      <c r="M8002" s="2"/>
      <c r="N8002" s="2"/>
      <c r="O8002" s="2"/>
      <c r="P8002" s="2" t="s">
        <v>23963</v>
      </c>
      <c r="Q8002" s="2"/>
      <c r="R8002" s="6">
        <v>17</v>
      </c>
      <c r="S8002" s="5">
        <v>-4.9000000000000004</v>
      </c>
      <c r="T8002" s="7">
        <v>36.762999999999998</v>
      </c>
      <c r="U8002" s="5">
        <v>-2.4</v>
      </c>
      <c r="V8002" s="6">
        <v>-0.41</v>
      </c>
      <c r="W8002" s="6">
        <v>16.79</v>
      </c>
      <c r="X8002" s="6">
        <v>18.14</v>
      </c>
      <c r="Y8002" s="6">
        <v>18.940000000000001</v>
      </c>
      <c r="Z8002" s="6">
        <v>19.010000000000002</v>
      </c>
      <c r="AA8002" s="6">
        <v>12.45</v>
      </c>
      <c r="AB8002" s="7">
        <v>17.651</v>
      </c>
      <c r="AC8002" s="2"/>
    </row>
    <row r="8003" spans="1:29" ht="65" x14ac:dyDescent="0.15">
      <c r="A8003" s="3">
        <f>DATE(2006,4,12)</f>
        <v>38819</v>
      </c>
      <c r="B8003" s="3">
        <f>DATE(2006,7,3)</f>
        <v>38901</v>
      </c>
      <c r="C8003" s="2" t="s">
        <v>95</v>
      </c>
      <c r="D8003" s="2" t="s">
        <v>23964</v>
      </c>
      <c r="E8003" s="2" t="s">
        <v>23965</v>
      </c>
      <c r="F8003" s="4">
        <v>7372</v>
      </c>
      <c r="G8003" s="2" t="s">
        <v>551</v>
      </c>
      <c r="H8003" s="2" t="s">
        <v>34</v>
      </c>
      <c r="I8003" s="2" t="s">
        <v>8588</v>
      </c>
      <c r="J8003" s="2" t="s">
        <v>8589</v>
      </c>
      <c r="K8003" s="2" t="s">
        <v>551</v>
      </c>
      <c r="L8003" s="2" t="s">
        <v>34</v>
      </c>
      <c r="M8003" s="10">
        <v>70630.94</v>
      </c>
      <c r="N8003" s="6">
        <v>13.78</v>
      </c>
      <c r="O8003" s="6">
        <v>13.68</v>
      </c>
      <c r="P8003" s="2" t="s">
        <v>23966</v>
      </c>
      <c r="Q8003" s="6">
        <v>100</v>
      </c>
      <c r="R8003" s="6">
        <v>4.9000000000000004</v>
      </c>
      <c r="S8003" s="5">
        <v>-86.9</v>
      </c>
      <c r="T8003" s="7">
        <v>-74.387</v>
      </c>
      <c r="U8003" s="5">
        <v>-0.5</v>
      </c>
      <c r="V8003" s="6">
        <v>-2.04</v>
      </c>
      <c r="W8003" s="6">
        <v>4.22</v>
      </c>
      <c r="X8003" s="6">
        <v>4.1900000000000004</v>
      </c>
      <c r="Y8003" s="6">
        <v>4.8499999999999996</v>
      </c>
      <c r="Z8003" s="6">
        <v>4.8600000000000003</v>
      </c>
      <c r="AA8003" s="6">
        <v>42.84</v>
      </c>
      <c r="AB8003" s="2" t="s">
        <v>86</v>
      </c>
      <c r="AC8003" s="8">
        <v>7764</v>
      </c>
    </row>
    <row r="8004" spans="1:29" ht="156" x14ac:dyDescent="0.15">
      <c r="A8004" s="3">
        <f>DATE(2006,4,12)</f>
        <v>38819</v>
      </c>
      <c r="B8004" s="3">
        <f>DATE(2006,5,19)</f>
        <v>38856</v>
      </c>
      <c r="C8004" s="2" t="s">
        <v>95</v>
      </c>
      <c r="D8004" s="2" t="s">
        <v>23967</v>
      </c>
      <c r="E8004" s="2" t="s">
        <v>23968</v>
      </c>
      <c r="F8004" s="4">
        <v>3843</v>
      </c>
      <c r="G8004" s="2" t="s">
        <v>226</v>
      </c>
      <c r="H8004" s="2" t="s">
        <v>34</v>
      </c>
      <c r="I8004" s="2" t="s">
        <v>315</v>
      </c>
      <c r="J8004" s="2" t="s">
        <v>316</v>
      </c>
      <c r="K8004" s="2" t="s">
        <v>226</v>
      </c>
      <c r="L8004" s="2" t="s">
        <v>34</v>
      </c>
      <c r="M8004" s="10">
        <v>19191.68</v>
      </c>
      <c r="N8004" s="6">
        <v>65.95</v>
      </c>
      <c r="O8004" s="6">
        <v>66.349999999999994</v>
      </c>
      <c r="P8004" s="2" t="s">
        <v>23969</v>
      </c>
      <c r="Q8004" s="6">
        <v>80.19</v>
      </c>
      <c r="R8004" s="6">
        <v>47</v>
      </c>
      <c r="S8004" s="5">
        <v>76.2</v>
      </c>
      <c r="T8004" s="7">
        <v>145.17099999999999</v>
      </c>
      <c r="U8004" s="2"/>
      <c r="V8004" s="6">
        <v>1.83</v>
      </c>
      <c r="W8004" s="6">
        <v>42.85</v>
      </c>
      <c r="X8004" s="6">
        <v>41.74</v>
      </c>
      <c r="Y8004" s="6">
        <v>46.81</v>
      </c>
      <c r="Z8004" s="6">
        <v>46.78</v>
      </c>
      <c r="AA8004" s="6">
        <v>40.49</v>
      </c>
      <c r="AB8004" s="7">
        <v>17.001999999999999</v>
      </c>
      <c r="AC8004" s="6">
        <v>260.82</v>
      </c>
    </row>
    <row r="8005" spans="1:29" ht="260" x14ac:dyDescent="0.15">
      <c r="A8005" s="3">
        <f>DATE(2006,4,13)</f>
        <v>38820</v>
      </c>
      <c r="B8005" s="3">
        <f>DATE(2007,1,3)</f>
        <v>39085</v>
      </c>
      <c r="C8005" s="2" t="s">
        <v>95</v>
      </c>
      <c r="D8005" s="2" t="s">
        <v>23863</v>
      </c>
      <c r="E8005" s="2"/>
      <c r="F8005" s="4">
        <v>7011</v>
      </c>
      <c r="G8005" s="2" t="s">
        <v>269</v>
      </c>
      <c r="H8005" s="2" t="s">
        <v>34</v>
      </c>
      <c r="I8005" s="2" t="s">
        <v>23970</v>
      </c>
      <c r="J8005" s="2" t="s">
        <v>23971</v>
      </c>
      <c r="K8005" s="2" t="s">
        <v>269</v>
      </c>
      <c r="L8005" s="2" t="s">
        <v>34</v>
      </c>
      <c r="M8005" s="2"/>
      <c r="N8005" s="2"/>
      <c r="O8005" s="2"/>
      <c r="P8005" s="2" t="s">
        <v>23972</v>
      </c>
      <c r="Q8005" s="6">
        <v>100</v>
      </c>
      <c r="R8005" s="6">
        <v>54.4</v>
      </c>
      <c r="S8005" s="5">
        <v>49.3</v>
      </c>
      <c r="T8005" s="7">
        <v>227.54900000000001</v>
      </c>
      <c r="U8005" s="5">
        <v>17.899999999999999</v>
      </c>
      <c r="V8005" s="6">
        <v>1.23</v>
      </c>
      <c r="W8005" s="6">
        <v>29.65</v>
      </c>
      <c r="X8005" s="5">
        <v>30.7</v>
      </c>
      <c r="Y8005" s="6">
        <v>37.21</v>
      </c>
      <c r="Z8005" s="6">
        <v>37.56</v>
      </c>
      <c r="AA8005" s="6">
        <v>35.89</v>
      </c>
      <c r="AB8005" s="7">
        <v>17.419</v>
      </c>
      <c r="AC8005" s="2"/>
    </row>
    <row r="8006" spans="1:29" ht="91" x14ac:dyDescent="0.15">
      <c r="A8006" s="3">
        <f>DATE(2006,4,13)</f>
        <v>38820</v>
      </c>
      <c r="B8006" s="3">
        <f>DATE(2007,1,1)</f>
        <v>39083</v>
      </c>
      <c r="C8006" s="2" t="s">
        <v>95</v>
      </c>
      <c r="D8006" s="2" t="s">
        <v>20447</v>
      </c>
      <c r="E8006" s="2" t="s">
        <v>36</v>
      </c>
      <c r="F8006" s="4">
        <v>6021</v>
      </c>
      <c r="G8006" s="2" t="s">
        <v>37</v>
      </c>
      <c r="H8006" s="2" t="s">
        <v>34</v>
      </c>
      <c r="I8006" s="2" t="s">
        <v>23140</v>
      </c>
      <c r="J8006" s="2" t="s">
        <v>18970</v>
      </c>
      <c r="K8006" s="2" t="s">
        <v>37</v>
      </c>
      <c r="L8006" s="2" t="s">
        <v>34</v>
      </c>
      <c r="M8006" s="12">
        <v>5247.2629999999999</v>
      </c>
      <c r="N8006" s="6">
        <v>29.31</v>
      </c>
      <c r="O8006" s="6">
        <v>29.31</v>
      </c>
      <c r="P8006" s="2" t="s">
        <v>23973</v>
      </c>
      <c r="Q8006" s="6">
        <v>100</v>
      </c>
      <c r="R8006" s="6">
        <v>23</v>
      </c>
      <c r="S8006" s="5">
        <v>19.8</v>
      </c>
      <c r="T8006" s="2"/>
      <c r="U8006" s="5">
        <v>8.9</v>
      </c>
      <c r="V8006" s="6">
        <v>0.98</v>
      </c>
      <c r="W8006" s="6">
        <v>18.88</v>
      </c>
      <c r="X8006" s="6">
        <v>19.13</v>
      </c>
      <c r="Y8006" s="6">
        <v>19.07</v>
      </c>
      <c r="Z8006" s="5">
        <v>22.3</v>
      </c>
      <c r="AA8006" s="6">
        <v>20.329999999999998</v>
      </c>
      <c r="AB8006" s="2" t="s">
        <v>47</v>
      </c>
      <c r="AC8006" s="2"/>
    </row>
    <row r="8007" spans="1:29" ht="65" x14ac:dyDescent="0.15">
      <c r="A8007" s="3">
        <f>DATE(2006,4,13)</f>
        <v>38820</v>
      </c>
      <c r="B8007" s="3">
        <f>DATE(2006,12,21)</f>
        <v>39072</v>
      </c>
      <c r="C8007" s="2" t="s">
        <v>95</v>
      </c>
      <c r="D8007" s="2" t="s">
        <v>23974</v>
      </c>
      <c r="E8007" s="2" t="s">
        <v>11820</v>
      </c>
      <c r="F8007" s="4">
        <v>5084</v>
      </c>
      <c r="G8007" s="2" t="s">
        <v>76</v>
      </c>
      <c r="H8007" s="2" t="s">
        <v>34</v>
      </c>
      <c r="I8007" s="2" t="s">
        <v>23975</v>
      </c>
      <c r="J8007" s="2" t="s">
        <v>302</v>
      </c>
      <c r="K8007" s="2" t="s">
        <v>53</v>
      </c>
      <c r="L8007" s="2" t="s">
        <v>34</v>
      </c>
      <c r="M8007" s="2"/>
      <c r="N8007" s="2"/>
      <c r="O8007" s="2"/>
      <c r="P8007" s="2" t="s">
        <v>23976</v>
      </c>
      <c r="Q8007" s="6">
        <v>10.8</v>
      </c>
      <c r="R8007" s="6">
        <v>4</v>
      </c>
      <c r="S8007" s="2"/>
      <c r="T8007" s="2"/>
      <c r="U8007" s="2"/>
      <c r="V8007" s="2"/>
      <c r="W8007" s="5">
        <v>4.2</v>
      </c>
      <c r="X8007" s="6">
        <v>4.1500000000000004</v>
      </c>
      <c r="Y8007" s="4">
        <v>4</v>
      </c>
      <c r="Z8007" s="6">
        <v>3.61</v>
      </c>
      <c r="AA8007" s="6">
        <v>21.44</v>
      </c>
      <c r="AB8007" s="2" t="s">
        <v>47</v>
      </c>
      <c r="AC8007" s="2"/>
    </row>
    <row r="8008" spans="1:29" ht="117" x14ac:dyDescent="0.15">
      <c r="A8008" s="3">
        <f>DATE(2006,4,13)</f>
        <v>38820</v>
      </c>
      <c r="B8008" s="3">
        <f>DATE(2006,9,1)</f>
        <v>38961</v>
      </c>
      <c r="C8008" s="2" t="s">
        <v>95</v>
      </c>
      <c r="D8008" s="2" t="s">
        <v>23977</v>
      </c>
      <c r="E8008" s="2" t="s">
        <v>1181</v>
      </c>
      <c r="F8008" s="4">
        <v>6021</v>
      </c>
      <c r="G8008" s="2" t="s">
        <v>37</v>
      </c>
      <c r="H8008" s="2" t="s">
        <v>34</v>
      </c>
      <c r="I8008" s="2" t="s">
        <v>23978</v>
      </c>
      <c r="J8008" s="2" t="s">
        <v>36</v>
      </c>
      <c r="K8008" s="2" t="s">
        <v>37</v>
      </c>
      <c r="L8008" s="2" t="s">
        <v>34</v>
      </c>
      <c r="M8008" s="12">
        <v>3372.748</v>
      </c>
      <c r="N8008" s="6">
        <v>51.79</v>
      </c>
      <c r="O8008" s="6">
        <v>51.79</v>
      </c>
      <c r="P8008" s="2" t="s">
        <v>23979</v>
      </c>
      <c r="Q8008" s="6">
        <v>100</v>
      </c>
      <c r="R8008" s="2"/>
      <c r="S8008" s="5">
        <v>3.4</v>
      </c>
      <c r="T8008" s="7">
        <v>5.2039999999999997</v>
      </c>
      <c r="U8008" s="5">
        <v>35.1</v>
      </c>
      <c r="V8008" s="6">
        <v>3.25</v>
      </c>
      <c r="W8008" s="4">
        <v>52</v>
      </c>
      <c r="X8008" s="4">
        <v>52</v>
      </c>
      <c r="Y8008" s="4">
        <v>52</v>
      </c>
      <c r="Z8008" s="4">
        <v>52</v>
      </c>
      <c r="AA8008" s="6">
        <v>1.02</v>
      </c>
      <c r="AB8008" s="7">
        <v>26.69</v>
      </c>
      <c r="AC8008" s="2"/>
    </row>
    <row r="8009" spans="1:29" ht="78" x14ac:dyDescent="0.15">
      <c r="A8009" s="3">
        <f>DATE(2006,4,14)</f>
        <v>38821</v>
      </c>
      <c r="B8009" s="3">
        <f>DATE(2006,9,11)</f>
        <v>38971</v>
      </c>
      <c r="C8009" s="2" t="s">
        <v>95</v>
      </c>
      <c r="D8009" s="2" t="s">
        <v>23980</v>
      </c>
      <c r="E8009" s="2" t="s">
        <v>389</v>
      </c>
      <c r="F8009" s="4">
        <v>6035</v>
      </c>
      <c r="G8009" s="2" t="s">
        <v>33</v>
      </c>
      <c r="H8009" s="2" t="s">
        <v>34</v>
      </c>
      <c r="I8009" s="2" t="s">
        <v>1303</v>
      </c>
      <c r="J8009" s="2" t="s">
        <v>1304</v>
      </c>
      <c r="K8009" s="2" t="s">
        <v>37</v>
      </c>
      <c r="L8009" s="2" t="s">
        <v>34</v>
      </c>
      <c r="M8009" s="6">
        <v>97.11</v>
      </c>
      <c r="N8009" s="4">
        <v>88</v>
      </c>
      <c r="O8009" s="4">
        <v>88</v>
      </c>
      <c r="P8009" s="2" t="s">
        <v>23981</v>
      </c>
      <c r="Q8009" s="6">
        <v>100</v>
      </c>
      <c r="R8009" s="6">
        <v>29</v>
      </c>
      <c r="S8009" s="5">
        <v>0.5</v>
      </c>
      <c r="T8009" s="2"/>
      <c r="U8009" s="5">
        <v>17.399999999999999</v>
      </c>
      <c r="V8009" s="6">
        <v>0.86</v>
      </c>
      <c r="W8009" s="6">
        <v>20.05</v>
      </c>
      <c r="X8009" s="4">
        <v>23</v>
      </c>
      <c r="Y8009" s="4">
        <v>23</v>
      </c>
      <c r="Z8009" s="6">
        <v>27.25</v>
      </c>
      <c r="AA8009" s="6">
        <v>0.56000000000000005</v>
      </c>
      <c r="AB8009" s="7">
        <v>25.893000000000001</v>
      </c>
      <c r="AC8009" s="2"/>
    </row>
    <row r="8010" spans="1:29" ht="91" x14ac:dyDescent="0.15">
      <c r="A8010" s="3">
        <f>DATE(2006,4,17)</f>
        <v>38824</v>
      </c>
      <c r="B8010" s="2"/>
      <c r="C8010" s="2" t="s">
        <v>30</v>
      </c>
      <c r="D8010" s="2" t="s">
        <v>19218</v>
      </c>
      <c r="E8010" s="2" t="s">
        <v>2044</v>
      </c>
      <c r="F8010" s="4">
        <v>6798</v>
      </c>
      <c r="G8010" s="2" t="s">
        <v>53</v>
      </c>
      <c r="H8010" s="2" t="s">
        <v>34</v>
      </c>
      <c r="I8010" s="2" t="s">
        <v>22485</v>
      </c>
      <c r="J8010" s="2" t="s">
        <v>22486</v>
      </c>
      <c r="K8010" s="2" t="s">
        <v>53</v>
      </c>
      <c r="L8010" s="2" t="s">
        <v>34</v>
      </c>
      <c r="M8010" s="2"/>
      <c r="N8010" s="2"/>
      <c r="O8010" s="2"/>
      <c r="P8010" s="2" t="s">
        <v>23982</v>
      </c>
      <c r="Q8010" s="2"/>
      <c r="R8010" s="6">
        <v>48</v>
      </c>
      <c r="S8010" s="5">
        <v>13.1</v>
      </c>
      <c r="T8010" s="7">
        <v>0.61899999999999999</v>
      </c>
      <c r="U8010" s="5">
        <v>15.9</v>
      </c>
      <c r="V8010" s="6">
        <v>10.64</v>
      </c>
      <c r="W8010" s="5">
        <v>45.5</v>
      </c>
      <c r="X8010" s="5">
        <v>44.5</v>
      </c>
      <c r="Y8010" s="4">
        <v>45</v>
      </c>
      <c r="Z8010" s="6">
        <v>44.69</v>
      </c>
      <c r="AA8010" s="6">
        <v>1.24</v>
      </c>
      <c r="AB8010" s="7">
        <v>120.559</v>
      </c>
      <c r="AC8010" s="2"/>
    </row>
    <row r="8011" spans="1:29" ht="143" x14ac:dyDescent="0.15">
      <c r="A8011" s="3">
        <f>DATE(2006,4,17)</f>
        <v>38824</v>
      </c>
      <c r="B8011" s="2"/>
      <c r="C8011" s="2" t="s">
        <v>30</v>
      </c>
      <c r="D8011" s="2" t="s">
        <v>22844</v>
      </c>
      <c r="E8011" s="2" t="s">
        <v>22845</v>
      </c>
      <c r="F8011" s="4">
        <v>2329</v>
      </c>
      <c r="G8011" s="2" t="s">
        <v>708</v>
      </c>
      <c r="H8011" s="2" t="s">
        <v>34</v>
      </c>
      <c r="I8011" s="2" t="s">
        <v>23983</v>
      </c>
      <c r="J8011" s="2" t="s">
        <v>23984</v>
      </c>
      <c r="K8011" s="2" t="s">
        <v>708</v>
      </c>
      <c r="L8011" s="2" t="s">
        <v>34</v>
      </c>
      <c r="M8011" s="7">
        <v>341.47500000000002</v>
      </c>
      <c r="N8011" s="6">
        <v>40.06</v>
      </c>
      <c r="O8011" s="6">
        <v>40.380000000000003</v>
      </c>
      <c r="P8011" s="2" t="s">
        <v>23985</v>
      </c>
      <c r="Q8011" s="2"/>
      <c r="R8011" s="6">
        <v>8.5</v>
      </c>
      <c r="S8011" s="5">
        <v>-0.3</v>
      </c>
      <c r="T8011" s="7">
        <v>-0.47099999999999997</v>
      </c>
      <c r="U8011" s="5">
        <v>1.6</v>
      </c>
      <c r="V8011" s="6">
        <v>-0.02</v>
      </c>
      <c r="W8011" s="6">
        <v>6.15</v>
      </c>
      <c r="X8011" s="6">
        <v>5.47</v>
      </c>
      <c r="Y8011" s="6">
        <v>7.64</v>
      </c>
      <c r="Z8011" s="6">
        <v>7.67</v>
      </c>
      <c r="AA8011" s="6">
        <v>15.9</v>
      </c>
      <c r="AB8011" s="2" t="s">
        <v>86</v>
      </c>
      <c r="AC8011" s="5">
        <v>11.9</v>
      </c>
    </row>
    <row r="8012" spans="1:29" ht="91" x14ac:dyDescent="0.15">
      <c r="A8012" s="3">
        <f>DATE(2006,4,17)</f>
        <v>38824</v>
      </c>
      <c r="B8012" s="3">
        <f>DATE(2006,8,2)</f>
        <v>38931</v>
      </c>
      <c r="C8012" s="2" t="s">
        <v>95</v>
      </c>
      <c r="D8012" s="2" t="s">
        <v>23986</v>
      </c>
      <c r="E8012" s="2" t="s">
        <v>23987</v>
      </c>
      <c r="F8012" s="4">
        <v>2253</v>
      </c>
      <c r="G8012" s="2" t="s">
        <v>708</v>
      </c>
      <c r="H8012" s="2" t="s">
        <v>34</v>
      </c>
      <c r="I8012" s="2" t="s">
        <v>6692</v>
      </c>
      <c r="J8012" s="2" t="s">
        <v>515</v>
      </c>
      <c r="K8012" s="2" t="s">
        <v>125</v>
      </c>
      <c r="L8012" s="2" t="s">
        <v>34</v>
      </c>
      <c r="M8012" s="12">
        <v>868977.71499999997</v>
      </c>
      <c r="N8012" s="4">
        <v>86300</v>
      </c>
      <c r="O8012" s="4">
        <v>86100</v>
      </c>
      <c r="P8012" s="2" t="s">
        <v>23988</v>
      </c>
      <c r="Q8012" s="6">
        <v>100</v>
      </c>
      <c r="R8012" s="6">
        <v>18</v>
      </c>
      <c r="S8012" s="5">
        <v>25.2</v>
      </c>
      <c r="T8012" s="7">
        <v>126.23399999999999</v>
      </c>
      <c r="U8012" s="5">
        <v>16.8</v>
      </c>
      <c r="V8012" s="6">
        <v>0.76</v>
      </c>
      <c r="W8012" s="6">
        <v>13.44</v>
      </c>
      <c r="X8012" s="6">
        <v>13.55</v>
      </c>
      <c r="Y8012" s="5">
        <v>13.3</v>
      </c>
      <c r="Z8012" s="6">
        <v>18.34</v>
      </c>
      <c r="AA8012" s="6">
        <v>33.18</v>
      </c>
      <c r="AB8012" s="7">
        <v>15.327999999999999</v>
      </c>
      <c r="AC8012" s="8">
        <v>42858</v>
      </c>
    </row>
    <row r="8013" spans="1:29" ht="91" x14ac:dyDescent="0.15">
      <c r="A8013" s="3">
        <f>DATE(2006,4,19)</f>
        <v>38826</v>
      </c>
      <c r="B8013" s="3">
        <f>DATE(2006,7,31)</f>
        <v>38929</v>
      </c>
      <c r="C8013" s="2" t="s">
        <v>95</v>
      </c>
      <c r="D8013" s="2" t="s">
        <v>23989</v>
      </c>
      <c r="E8013" s="2" t="s">
        <v>1181</v>
      </c>
      <c r="F8013" s="4">
        <v>6021</v>
      </c>
      <c r="G8013" s="2" t="s">
        <v>37</v>
      </c>
      <c r="H8013" s="2" t="s">
        <v>34</v>
      </c>
      <c r="I8013" s="2" t="s">
        <v>23990</v>
      </c>
      <c r="J8013" s="2" t="s">
        <v>159</v>
      </c>
      <c r="K8013" s="2" t="s">
        <v>37</v>
      </c>
      <c r="L8013" s="2" t="s">
        <v>34</v>
      </c>
      <c r="M8013" s="7">
        <v>341.85599999999999</v>
      </c>
      <c r="N8013" s="6">
        <v>24.25</v>
      </c>
      <c r="O8013" s="6">
        <v>23.45</v>
      </c>
      <c r="P8013" s="2" t="s">
        <v>23991</v>
      </c>
      <c r="Q8013" s="6">
        <v>100</v>
      </c>
      <c r="R8013" s="2"/>
      <c r="S8013" s="2"/>
      <c r="T8013" s="2"/>
      <c r="U8013" s="2"/>
      <c r="V8013" s="2"/>
      <c r="W8013" s="6">
        <v>20.05</v>
      </c>
      <c r="X8013" s="6">
        <v>20.05</v>
      </c>
      <c r="Y8013" s="6">
        <v>20.05</v>
      </c>
      <c r="Z8013" s="5">
        <v>21.5</v>
      </c>
      <c r="AA8013" s="6">
        <v>1.81</v>
      </c>
      <c r="AB8013" s="2" t="s">
        <v>47</v>
      </c>
      <c r="AC8013" s="2"/>
    </row>
    <row r="8014" spans="1:29" ht="65" x14ac:dyDescent="0.15">
      <c r="A8014" s="3">
        <f>DATE(2006,4,19)</f>
        <v>38826</v>
      </c>
      <c r="B8014" s="2"/>
      <c r="C8014" s="2" t="s">
        <v>7330</v>
      </c>
      <c r="D8014" s="2" t="s">
        <v>23992</v>
      </c>
      <c r="E8014" s="2" t="s">
        <v>23993</v>
      </c>
      <c r="F8014" s="2" t="s">
        <v>3218</v>
      </c>
      <c r="G8014" s="2" t="s">
        <v>426</v>
      </c>
      <c r="H8014" s="2" t="s">
        <v>34</v>
      </c>
      <c r="I8014" s="2" t="s">
        <v>22485</v>
      </c>
      <c r="J8014" s="2" t="s">
        <v>22486</v>
      </c>
      <c r="K8014" s="2" t="s">
        <v>53</v>
      </c>
      <c r="L8014" s="2" t="s">
        <v>34</v>
      </c>
      <c r="M8014" s="2"/>
      <c r="N8014" s="2"/>
      <c r="O8014" s="2"/>
      <c r="P8014" s="2" t="s">
        <v>23994</v>
      </c>
      <c r="Q8014" s="2"/>
      <c r="R8014" s="6">
        <v>200</v>
      </c>
      <c r="S8014" s="2"/>
      <c r="T8014" s="2"/>
      <c r="U8014" s="5">
        <v>16.100000000000001</v>
      </c>
      <c r="V8014" s="2"/>
      <c r="W8014" s="4">
        <v>132</v>
      </c>
      <c r="X8014" s="5">
        <v>124.5</v>
      </c>
      <c r="Y8014" s="6">
        <v>175.44</v>
      </c>
      <c r="Z8014" s="4">
        <v>178</v>
      </c>
      <c r="AA8014" s="6">
        <v>0.64</v>
      </c>
      <c r="AB8014" s="2" t="s">
        <v>47</v>
      </c>
      <c r="AC8014" s="2"/>
    </row>
    <row r="8015" spans="1:29" ht="208" x14ac:dyDescent="0.15">
      <c r="A8015" s="3">
        <f>DATE(2006,4,20)</f>
        <v>38827</v>
      </c>
      <c r="B8015" s="3">
        <f>DATE(2006,9,27)</f>
        <v>38987</v>
      </c>
      <c r="C8015" s="2" t="s">
        <v>95</v>
      </c>
      <c r="D8015" s="2" t="s">
        <v>23995</v>
      </c>
      <c r="E8015" s="2" t="s">
        <v>3439</v>
      </c>
      <c r="F8015" s="4">
        <v>5411</v>
      </c>
      <c r="G8015" s="2" t="s">
        <v>1461</v>
      </c>
      <c r="H8015" s="2" t="s">
        <v>34</v>
      </c>
      <c r="I8015" s="2" t="s">
        <v>20591</v>
      </c>
      <c r="J8015" s="2" t="s">
        <v>244</v>
      </c>
      <c r="K8015" s="2" t="s">
        <v>53</v>
      </c>
      <c r="L8015" s="2" t="s">
        <v>34</v>
      </c>
      <c r="M8015" s="2"/>
      <c r="N8015" s="2"/>
      <c r="O8015" s="2"/>
      <c r="P8015" s="2" t="s">
        <v>23996</v>
      </c>
      <c r="Q8015" s="6">
        <v>100</v>
      </c>
      <c r="R8015" s="6">
        <v>11.13</v>
      </c>
      <c r="S8015" s="5">
        <v>-40.200000000000003</v>
      </c>
      <c r="T8015" s="7">
        <v>33.326999999999998</v>
      </c>
      <c r="U8015" s="5">
        <v>10.8</v>
      </c>
      <c r="V8015" s="6">
        <v>-5.09</v>
      </c>
      <c r="W8015" s="6">
        <v>8.06</v>
      </c>
      <c r="X8015" s="5">
        <v>10.199999999999999</v>
      </c>
      <c r="Y8015" s="5">
        <v>10.8</v>
      </c>
      <c r="Z8015" s="6">
        <v>11.16</v>
      </c>
      <c r="AA8015" s="6">
        <v>7.91</v>
      </c>
      <c r="AB8015" s="7">
        <v>43.037999999999997</v>
      </c>
      <c r="AC8015" s="2"/>
    </row>
    <row r="8016" spans="1:29" ht="104" x14ac:dyDescent="0.15">
      <c r="A8016" s="3">
        <f>DATE(2006,4,20)</f>
        <v>38827</v>
      </c>
      <c r="B8016" s="3">
        <f>DATE(2006,7,25)</f>
        <v>38923</v>
      </c>
      <c r="C8016" s="2" t="s">
        <v>95</v>
      </c>
      <c r="D8016" s="2" t="s">
        <v>11162</v>
      </c>
      <c r="E8016" s="2" t="s">
        <v>11163</v>
      </c>
      <c r="F8016" s="4">
        <v>3861</v>
      </c>
      <c r="G8016" s="2" t="s">
        <v>226</v>
      </c>
      <c r="H8016" s="2" t="s">
        <v>34</v>
      </c>
      <c r="I8016" s="2" t="s">
        <v>22497</v>
      </c>
      <c r="J8016" s="2" t="s">
        <v>22498</v>
      </c>
      <c r="K8016" s="2" t="s">
        <v>223</v>
      </c>
      <c r="L8016" s="2" t="s">
        <v>34</v>
      </c>
      <c r="M8016" s="2"/>
      <c r="N8016" s="2"/>
      <c r="O8016" s="2"/>
      <c r="P8016" s="2" t="s">
        <v>23997</v>
      </c>
      <c r="Q8016" s="6">
        <v>3.7</v>
      </c>
      <c r="R8016" s="6">
        <v>8.5</v>
      </c>
      <c r="S8016" s="5">
        <v>-23.7</v>
      </c>
      <c r="T8016" s="6">
        <v>59.38</v>
      </c>
      <c r="U8016" s="5">
        <v>5.5</v>
      </c>
      <c r="V8016" s="6">
        <v>-0.6</v>
      </c>
      <c r="W8016" s="5">
        <v>3.5</v>
      </c>
      <c r="X8016" s="4">
        <v>3</v>
      </c>
      <c r="Y8016" s="4">
        <v>3</v>
      </c>
      <c r="Z8016" s="4">
        <v>3</v>
      </c>
      <c r="AA8016" s="6">
        <v>39.380000000000003</v>
      </c>
      <c r="AB8016" s="7">
        <v>43.9</v>
      </c>
      <c r="AC8016" s="2"/>
    </row>
    <row r="8017" spans="1:29" ht="78" x14ac:dyDescent="0.15">
      <c r="A8017" s="3">
        <f>DATE(2006,4,20)</f>
        <v>38827</v>
      </c>
      <c r="B8017" s="3">
        <f>DATE(2006,7,1)</f>
        <v>38899</v>
      </c>
      <c r="C8017" s="2" t="s">
        <v>95</v>
      </c>
      <c r="D8017" s="2" t="s">
        <v>23998</v>
      </c>
      <c r="E8017" s="2" t="s">
        <v>23999</v>
      </c>
      <c r="F8017" s="4">
        <v>4812</v>
      </c>
      <c r="G8017" s="2" t="s">
        <v>63</v>
      </c>
      <c r="H8017" s="2" t="s">
        <v>34</v>
      </c>
      <c r="I8017" s="2" t="s">
        <v>14230</v>
      </c>
      <c r="J8017" s="2" t="s">
        <v>23280</v>
      </c>
      <c r="K8017" s="2" t="s">
        <v>63</v>
      </c>
      <c r="L8017" s="2" t="s">
        <v>34</v>
      </c>
      <c r="M8017" s="12">
        <v>76822.645999999993</v>
      </c>
      <c r="N8017" s="6">
        <v>25.35</v>
      </c>
      <c r="O8017" s="6">
        <v>25.18</v>
      </c>
      <c r="P8017" s="2" t="s">
        <v>24000</v>
      </c>
      <c r="Q8017" s="6">
        <v>100</v>
      </c>
      <c r="R8017" s="6">
        <v>10.35</v>
      </c>
      <c r="S8017" s="5">
        <v>51.6</v>
      </c>
      <c r="T8017" s="7">
        <v>118.541</v>
      </c>
      <c r="U8017" s="5">
        <v>0.7</v>
      </c>
      <c r="V8017" s="6">
        <v>0.53</v>
      </c>
      <c r="W8017" s="6">
        <v>10.16</v>
      </c>
      <c r="X8017" s="6">
        <v>10.19</v>
      </c>
      <c r="Y8017" s="6">
        <v>10.33</v>
      </c>
      <c r="Z8017" s="5">
        <v>10.3</v>
      </c>
      <c r="AA8017" s="6">
        <v>94.22</v>
      </c>
      <c r="AB8017" s="7">
        <v>19.7</v>
      </c>
      <c r="AC8017" s="8">
        <v>7513</v>
      </c>
    </row>
    <row r="8018" spans="1:29" ht="65" x14ac:dyDescent="0.15">
      <c r="A8018" s="3">
        <f>DATE(2006,4,21)</f>
        <v>38828</v>
      </c>
      <c r="B8018" s="3">
        <f>DATE(2006,8,14)</f>
        <v>38943</v>
      </c>
      <c r="C8018" s="2" t="s">
        <v>95</v>
      </c>
      <c r="D8018" s="2" t="s">
        <v>24001</v>
      </c>
      <c r="E8018" s="2" t="s">
        <v>24002</v>
      </c>
      <c r="F8018" s="4">
        <v>6035</v>
      </c>
      <c r="G8018" s="2" t="s">
        <v>33</v>
      </c>
      <c r="H8018" s="2" t="s">
        <v>34</v>
      </c>
      <c r="I8018" s="2" t="s">
        <v>18117</v>
      </c>
      <c r="J8018" s="2" t="s">
        <v>36</v>
      </c>
      <c r="K8018" s="2" t="s">
        <v>37</v>
      </c>
      <c r="L8018" s="2" t="s">
        <v>34</v>
      </c>
      <c r="M8018" s="6">
        <v>663.36</v>
      </c>
      <c r="N8018" s="6">
        <v>20.66</v>
      </c>
      <c r="O8018" s="6">
        <v>20.36</v>
      </c>
      <c r="P8018" s="2" t="s">
        <v>24003</v>
      </c>
      <c r="Q8018" s="6">
        <v>100</v>
      </c>
      <c r="R8018" s="2"/>
      <c r="S8018" s="2"/>
      <c r="T8018" s="2"/>
      <c r="U8018" s="2"/>
      <c r="V8018" s="2"/>
      <c r="W8018" s="4">
        <v>38</v>
      </c>
      <c r="X8018" s="6">
        <v>38.25</v>
      </c>
      <c r="Y8018" s="5">
        <v>48.1</v>
      </c>
      <c r="Z8018" s="5">
        <v>48.1</v>
      </c>
      <c r="AA8018" s="2"/>
      <c r="AB8018" s="2" t="s">
        <v>47</v>
      </c>
      <c r="AC8018" s="2"/>
    </row>
    <row r="8019" spans="1:29" ht="143" x14ac:dyDescent="0.15">
      <c r="A8019" s="3">
        <f>DATE(2006,4,21)</f>
        <v>38828</v>
      </c>
      <c r="B8019" s="3">
        <f>DATE(2006,7,12)</f>
        <v>38910</v>
      </c>
      <c r="C8019" s="2" t="s">
        <v>95</v>
      </c>
      <c r="D8019" s="2" t="s">
        <v>24004</v>
      </c>
      <c r="E8019" s="2" t="s">
        <v>24005</v>
      </c>
      <c r="F8019" s="4">
        <v>1311</v>
      </c>
      <c r="G8019" s="2" t="s">
        <v>148</v>
      </c>
      <c r="H8019" s="2" t="s">
        <v>34</v>
      </c>
      <c r="I8019" s="2" t="s">
        <v>22827</v>
      </c>
      <c r="J8019" s="2" t="s">
        <v>10569</v>
      </c>
      <c r="K8019" s="2" t="s">
        <v>148</v>
      </c>
      <c r="L8019" s="2" t="s">
        <v>34</v>
      </c>
      <c r="M8019" s="12">
        <v>1124.068</v>
      </c>
      <c r="N8019" s="6">
        <v>12.92</v>
      </c>
      <c r="O8019" s="6">
        <v>12.59</v>
      </c>
      <c r="P8019" s="2" t="s">
        <v>24006</v>
      </c>
      <c r="Q8019" s="6">
        <v>100</v>
      </c>
      <c r="R8019" s="6">
        <v>31.41</v>
      </c>
      <c r="S8019" s="5">
        <v>122.3</v>
      </c>
      <c r="T8019" s="7">
        <v>326.81799999999998</v>
      </c>
      <c r="U8019" s="5">
        <v>7.1</v>
      </c>
      <c r="V8019" s="6">
        <v>2.4300000000000002</v>
      </c>
      <c r="W8019" s="6">
        <v>26.45</v>
      </c>
      <c r="X8019" s="6">
        <v>28.66</v>
      </c>
      <c r="Y8019" s="6">
        <v>29.93</v>
      </c>
      <c r="Z8019" s="6">
        <v>29.53</v>
      </c>
      <c r="AA8019" s="6">
        <v>50.5</v>
      </c>
      <c r="AB8019" s="7">
        <v>8.4030000000000005</v>
      </c>
      <c r="AC8019" s="6">
        <v>3.64</v>
      </c>
    </row>
    <row r="8020" spans="1:29" ht="65" x14ac:dyDescent="0.15">
      <c r="A8020" s="3">
        <f>DATE(2006,4,22)</f>
        <v>38829</v>
      </c>
      <c r="B8020" s="2"/>
      <c r="C8020" s="2" t="s">
        <v>87</v>
      </c>
      <c r="D8020" s="2" t="s">
        <v>15288</v>
      </c>
      <c r="E8020" s="2" t="s">
        <v>1550</v>
      </c>
      <c r="F8020" s="4">
        <v>7372</v>
      </c>
      <c r="G8020" s="2" t="s">
        <v>551</v>
      </c>
      <c r="H8020" s="2" t="s">
        <v>34</v>
      </c>
      <c r="I8020" s="2" t="s">
        <v>16575</v>
      </c>
      <c r="J8020" s="2" t="s">
        <v>16576</v>
      </c>
      <c r="K8020" s="2" t="s">
        <v>223</v>
      </c>
      <c r="L8020" s="2" t="s">
        <v>34</v>
      </c>
      <c r="M8020" s="12">
        <v>52470.593000000001</v>
      </c>
      <c r="N8020" s="6">
        <v>34.93</v>
      </c>
      <c r="O8020" s="6">
        <v>34.93</v>
      </c>
      <c r="P8020" s="2" t="s">
        <v>24007</v>
      </c>
      <c r="Q8020" s="2"/>
      <c r="R8020" s="2"/>
      <c r="S8020" s="8">
        <v>13471</v>
      </c>
      <c r="T8020" s="8">
        <v>18222</v>
      </c>
      <c r="U8020" s="5">
        <v>4.0999999999999996</v>
      </c>
      <c r="V8020" s="6">
        <v>1.26</v>
      </c>
      <c r="W8020" s="6">
        <v>27.07</v>
      </c>
      <c r="X8020" s="6">
        <v>27.15</v>
      </c>
      <c r="Y8020" s="6">
        <v>27.11</v>
      </c>
      <c r="Z8020" s="6">
        <v>27.11</v>
      </c>
      <c r="AA8020" s="10">
        <v>10333.370000000001</v>
      </c>
      <c r="AB8020" s="2" t="s">
        <v>47</v>
      </c>
      <c r="AC8020" s="10">
        <v>2735.24</v>
      </c>
    </row>
    <row r="8021" spans="1:29" ht="65" x14ac:dyDescent="0.15">
      <c r="A8021" s="3">
        <f>DATE(2006,4,22)</f>
        <v>38829</v>
      </c>
      <c r="B8021" s="2"/>
      <c r="C8021" s="2" t="s">
        <v>87</v>
      </c>
      <c r="D8021" s="2" t="s">
        <v>12515</v>
      </c>
      <c r="E8021" s="2" t="s">
        <v>12371</v>
      </c>
      <c r="F8021" s="4">
        <v>7375</v>
      </c>
      <c r="G8021" s="2" t="s">
        <v>223</v>
      </c>
      <c r="H8021" s="2" t="s">
        <v>34</v>
      </c>
      <c r="I8021" s="2" t="s">
        <v>16575</v>
      </c>
      <c r="J8021" s="2" t="s">
        <v>16576</v>
      </c>
      <c r="K8021" s="2" t="s">
        <v>223</v>
      </c>
      <c r="L8021" s="2" t="s">
        <v>34</v>
      </c>
      <c r="M8021" s="12">
        <v>52470.593000000001</v>
      </c>
      <c r="N8021" s="6">
        <v>34.93</v>
      </c>
      <c r="O8021" s="6">
        <v>34.93</v>
      </c>
      <c r="P8021" s="2" t="s">
        <v>24008</v>
      </c>
      <c r="Q8021" s="2"/>
      <c r="R8021" s="2"/>
      <c r="S8021" s="8">
        <v>1851.5</v>
      </c>
      <c r="T8021" s="12">
        <v>1495.5619999999999</v>
      </c>
      <c r="U8021" s="5">
        <v>6</v>
      </c>
      <c r="V8021" s="6">
        <v>1.25</v>
      </c>
      <c r="W8021" s="6">
        <v>31.13</v>
      </c>
      <c r="X8021" s="6">
        <v>32.89</v>
      </c>
      <c r="Y8021" s="6">
        <v>33.01</v>
      </c>
      <c r="Z8021" s="6">
        <v>33.01</v>
      </c>
      <c r="AA8021" s="10">
        <v>1417.85</v>
      </c>
      <c r="AB8021" s="2" t="s">
        <v>47</v>
      </c>
      <c r="AC8021" s="10">
        <v>2735.24</v>
      </c>
    </row>
    <row r="8022" spans="1:29" ht="78" x14ac:dyDescent="0.15">
      <c r="A8022" s="3">
        <f>DATE(2006,4,23)</f>
        <v>38830</v>
      </c>
      <c r="B8022" s="3">
        <f>DATE(2006,10,1)</f>
        <v>38991</v>
      </c>
      <c r="C8022" s="2" t="s">
        <v>95</v>
      </c>
      <c r="D8022" s="2" t="s">
        <v>21637</v>
      </c>
      <c r="E8022" s="2" t="s">
        <v>1181</v>
      </c>
      <c r="F8022" s="4">
        <v>6021</v>
      </c>
      <c r="G8022" s="2" t="s">
        <v>37</v>
      </c>
      <c r="H8022" s="2" t="s">
        <v>34</v>
      </c>
      <c r="I8022" s="2" t="s">
        <v>2324</v>
      </c>
      <c r="J8022" s="2" t="s">
        <v>14447</v>
      </c>
      <c r="K8022" s="2" t="s">
        <v>33</v>
      </c>
      <c r="L8022" s="2" t="s">
        <v>34</v>
      </c>
      <c r="M8022" s="10">
        <v>43073.78</v>
      </c>
      <c r="N8022" s="2"/>
      <c r="O8022" s="6">
        <v>44.45</v>
      </c>
      <c r="P8022" s="2" t="s">
        <v>24009</v>
      </c>
      <c r="Q8022" s="6">
        <v>100</v>
      </c>
      <c r="R8022" s="6">
        <v>16</v>
      </c>
      <c r="S8022" s="5">
        <v>42.2</v>
      </c>
      <c r="T8022" s="2"/>
      <c r="U8022" s="5">
        <v>11.2</v>
      </c>
      <c r="V8022" s="7">
        <v>1.0349999999999999</v>
      </c>
      <c r="W8022" s="6">
        <v>13.73</v>
      </c>
      <c r="X8022" s="6">
        <v>14.15</v>
      </c>
      <c r="Y8022" s="6">
        <v>15.69</v>
      </c>
      <c r="Z8022" s="6">
        <v>15.69</v>
      </c>
      <c r="AA8022" s="6">
        <v>57.04</v>
      </c>
      <c r="AB8022" s="7">
        <v>41.561</v>
      </c>
      <c r="AC8022" s="2"/>
    </row>
    <row r="8023" spans="1:29" ht="143" x14ac:dyDescent="0.15">
      <c r="A8023" s="3">
        <f>DATE(2006,4,24)</f>
        <v>38831</v>
      </c>
      <c r="B8023" s="3">
        <f>DATE(2006,10,6)</f>
        <v>38996</v>
      </c>
      <c r="C8023" s="2" t="s">
        <v>95</v>
      </c>
      <c r="D8023" s="2" t="s">
        <v>24010</v>
      </c>
      <c r="E8023" s="2" t="s">
        <v>14447</v>
      </c>
      <c r="F8023" s="4">
        <v>6036</v>
      </c>
      <c r="G8023" s="2" t="s">
        <v>33</v>
      </c>
      <c r="H8023" s="2" t="s">
        <v>34</v>
      </c>
      <c r="I8023" s="2" t="s">
        <v>24011</v>
      </c>
      <c r="J8023" s="2" t="s">
        <v>36</v>
      </c>
      <c r="K8023" s="2" t="s">
        <v>37</v>
      </c>
      <c r="L8023" s="2" t="s">
        <v>34</v>
      </c>
      <c r="M8023" s="7">
        <v>110.328</v>
      </c>
      <c r="N8023" s="5">
        <v>28.8</v>
      </c>
      <c r="O8023" s="6">
        <v>28.74</v>
      </c>
      <c r="P8023" s="2" t="s">
        <v>24012</v>
      </c>
      <c r="Q8023" s="6">
        <v>100</v>
      </c>
      <c r="R8023" s="6">
        <v>23.06</v>
      </c>
      <c r="S8023" s="5">
        <v>1.1000000000000001</v>
      </c>
      <c r="T8023" s="7">
        <v>1.9830000000000001</v>
      </c>
      <c r="U8023" s="5">
        <v>11.5</v>
      </c>
      <c r="V8023" s="6">
        <v>0.44</v>
      </c>
      <c r="W8023" s="5">
        <v>18.100000000000001</v>
      </c>
      <c r="X8023" s="4">
        <v>20</v>
      </c>
      <c r="Y8023" s="6">
        <v>21.25</v>
      </c>
      <c r="Z8023" s="6">
        <v>21.23</v>
      </c>
      <c r="AA8023" s="6">
        <v>2.31</v>
      </c>
      <c r="AB8023" s="7">
        <v>60.53</v>
      </c>
      <c r="AC8023" s="2"/>
    </row>
    <row r="8024" spans="1:29" ht="117" x14ac:dyDescent="0.15">
      <c r="A8024" s="3">
        <f>DATE(2006,4,24)</f>
        <v>38831</v>
      </c>
      <c r="B8024" s="3">
        <f>DATE(2006,7,6)</f>
        <v>38904</v>
      </c>
      <c r="C8024" s="2" t="s">
        <v>95</v>
      </c>
      <c r="D8024" s="2" t="s">
        <v>24013</v>
      </c>
      <c r="E8024" s="2" t="s">
        <v>16514</v>
      </c>
      <c r="F8024" s="4">
        <v>7372</v>
      </c>
      <c r="G8024" s="2" t="s">
        <v>551</v>
      </c>
      <c r="H8024" s="2" t="s">
        <v>34</v>
      </c>
      <c r="I8024" s="2" t="s">
        <v>22070</v>
      </c>
      <c r="J8024" s="2" t="s">
        <v>4679</v>
      </c>
      <c r="K8024" s="2" t="s">
        <v>551</v>
      </c>
      <c r="L8024" s="2" t="s">
        <v>34</v>
      </c>
      <c r="M8024" s="7">
        <v>420.97800000000001</v>
      </c>
      <c r="N8024" s="4">
        <v>15</v>
      </c>
      <c r="O8024" s="6">
        <v>14.38</v>
      </c>
      <c r="P8024" s="2" t="s">
        <v>24014</v>
      </c>
      <c r="Q8024" s="6">
        <v>100</v>
      </c>
      <c r="R8024" s="6">
        <v>2.5</v>
      </c>
      <c r="S8024" s="5">
        <v>-12.2</v>
      </c>
      <c r="T8024" s="7">
        <v>24.838000000000001</v>
      </c>
      <c r="U8024" s="5">
        <v>1.8</v>
      </c>
      <c r="V8024" s="6">
        <v>-0.15</v>
      </c>
      <c r="W8024" s="5">
        <v>2.2999999999999998</v>
      </c>
      <c r="X8024" s="5">
        <v>2.4</v>
      </c>
      <c r="Y8024" s="6">
        <v>2.36</v>
      </c>
      <c r="Z8024" s="6">
        <v>2.4700000000000002</v>
      </c>
      <c r="AA8024" s="6">
        <v>84.1</v>
      </c>
      <c r="AB8024" s="2" t="s">
        <v>86</v>
      </c>
      <c r="AC8024" s="6">
        <v>118.03</v>
      </c>
    </row>
    <row r="8025" spans="1:29" ht="156" x14ac:dyDescent="0.15">
      <c r="A8025" s="3">
        <f>DATE(2006,4,24)</f>
        <v>38831</v>
      </c>
      <c r="B8025" s="2"/>
      <c r="C8025" s="2" t="s">
        <v>30</v>
      </c>
      <c r="D8025" s="2" t="s">
        <v>17964</v>
      </c>
      <c r="E8025" s="2" t="s">
        <v>1608</v>
      </c>
      <c r="F8025" s="4">
        <v>1311</v>
      </c>
      <c r="G8025" s="2" t="s">
        <v>148</v>
      </c>
      <c r="H8025" s="2" t="s">
        <v>34</v>
      </c>
      <c r="I8025" s="2" t="s">
        <v>20625</v>
      </c>
      <c r="J8025" s="2" t="s">
        <v>1608</v>
      </c>
      <c r="K8025" s="2" t="s">
        <v>148</v>
      </c>
      <c r="L8025" s="2" t="s">
        <v>34</v>
      </c>
      <c r="M8025" s="12">
        <v>2969.7919999999999</v>
      </c>
      <c r="N8025" s="6">
        <v>39.049999999999997</v>
      </c>
      <c r="O8025" s="6">
        <v>38.450000000000003</v>
      </c>
      <c r="P8025" s="2" t="s">
        <v>24015</v>
      </c>
      <c r="Q8025" s="2"/>
      <c r="R8025" s="6">
        <v>52.46</v>
      </c>
      <c r="S8025" s="5">
        <v>123.4</v>
      </c>
      <c r="T8025" s="7">
        <v>468.31099999999998</v>
      </c>
      <c r="U8025" s="8">
        <v>2040.3</v>
      </c>
      <c r="V8025" s="9">
        <v>264.3777</v>
      </c>
      <c r="W8025" s="5">
        <v>44.4</v>
      </c>
      <c r="X8025" s="5">
        <v>47.1</v>
      </c>
      <c r="Y8025" s="6">
        <v>48.86</v>
      </c>
      <c r="Z8025" s="6">
        <v>50.14</v>
      </c>
      <c r="AA8025" s="6">
        <v>27.16</v>
      </c>
      <c r="AB8025" s="7">
        <v>2.7709999999999999</v>
      </c>
      <c r="AC8025" s="6">
        <v>1.1599999999999999</v>
      </c>
    </row>
    <row r="8026" spans="1:29" ht="130" x14ac:dyDescent="0.15">
      <c r="A8026" s="3">
        <f>DATE(2006,4,25)</f>
        <v>38832</v>
      </c>
      <c r="B8026" s="3">
        <f>DATE(2006,10,1)</f>
        <v>38991</v>
      </c>
      <c r="C8026" s="2" t="s">
        <v>95</v>
      </c>
      <c r="D8026" s="2" t="s">
        <v>24016</v>
      </c>
      <c r="E8026" s="2" t="s">
        <v>159</v>
      </c>
      <c r="F8026" s="4">
        <v>6712</v>
      </c>
      <c r="G8026" s="2" t="s">
        <v>37</v>
      </c>
      <c r="H8026" s="2" t="s">
        <v>34</v>
      </c>
      <c r="I8026" s="2" t="s">
        <v>3829</v>
      </c>
      <c r="J8026" s="2" t="s">
        <v>159</v>
      </c>
      <c r="K8026" s="2" t="s">
        <v>37</v>
      </c>
      <c r="L8026" s="2" t="s">
        <v>34</v>
      </c>
      <c r="M8026" s="7">
        <v>32.889000000000003</v>
      </c>
      <c r="N8026" s="6">
        <v>20.99</v>
      </c>
      <c r="O8026" s="5">
        <v>21.5</v>
      </c>
      <c r="P8026" s="2" t="s">
        <v>24017</v>
      </c>
      <c r="Q8026" s="6">
        <v>100</v>
      </c>
      <c r="R8026" s="6">
        <v>43.5</v>
      </c>
      <c r="S8026" s="5">
        <v>0.3</v>
      </c>
      <c r="T8026" s="2"/>
      <c r="U8026" s="2"/>
      <c r="V8026" s="2"/>
      <c r="W8026" s="4">
        <v>23</v>
      </c>
      <c r="X8026" s="4">
        <v>23</v>
      </c>
      <c r="Y8026" s="4">
        <v>23</v>
      </c>
      <c r="Z8026" s="6">
        <v>41.55</v>
      </c>
      <c r="AA8026" s="6">
        <v>0.3</v>
      </c>
      <c r="AB8026" s="2" t="s">
        <v>47</v>
      </c>
      <c r="AC8026" s="2"/>
    </row>
    <row r="8027" spans="1:29" ht="208" x14ac:dyDescent="0.15">
      <c r="A8027" s="3">
        <f>DATE(2006,4,25)</f>
        <v>38832</v>
      </c>
      <c r="B8027" s="3">
        <f>DATE(2006,10,6)</f>
        <v>38996</v>
      </c>
      <c r="C8027" s="2" t="s">
        <v>95</v>
      </c>
      <c r="D8027" s="2" t="s">
        <v>24018</v>
      </c>
      <c r="E8027" s="2" t="s">
        <v>159</v>
      </c>
      <c r="F8027" s="4">
        <v>6036</v>
      </c>
      <c r="G8027" s="2" t="s">
        <v>33</v>
      </c>
      <c r="H8027" s="2" t="s">
        <v>34</v>
      </c>
      <c r="I8027" s="2" t="s">
        <v>20968</v>
      </c>
      <c r="J8027" s="2" t="s">
        <v>36</v>
      </c>
      <c r="K8027" s="2" t="s">
        <v>37</v>
      </c>
      <c r="L8027" s="2" t="s">
        <v>34</v>
      </c>
      <c r="M8027" s="12">
        <v>2585.6889999999999</v>
      </c>
      <c r="N8027" s="6">
        <v>47.08</v>
      </c>
      <c r="O8027" s="6">
        <v>47.05</v>
      </c>
      <c r="P8027" s="2" t="s">
        <v>24019</v>
      </c>
      <c r="Q8027" s="6">
        <v>100</v>
      </c>
      <c r="R8027" s="6">
        <v>41</v>
      </c>
      <c r="S8027" s="5">
        <v>8.9</v>
      </c>
      <c r="T8027" s="2"/>
      <c r="U8027" s="5">
        <v>12.8</v>
      </c>
      <c r="V8027" s="6">
        <v>2.13</v>
      </c>
      <c r="W8027" s="6">
        <v>28.51</v>
      </c>
      <c r="X8027" s="6">
        <v>28.91</v>
      </c>
      <c r="Y8027" s="6">
        <v>39.83</v>
      </c>
      <c r="Z8027" s="6">
        <v>39.979999999999997</v>
      </c>
      <c r="AA8027" s="6">
        <v>4.08</v>
      </c>
      <c r="AB8027" s="2" t="s">
        <v>47</v>
      </c>
      <c r="AC8027" s="2"/>
    </row>
    <row r="8028" spans="1:29" ht="130" x14ac:dyDescent="0.15">
      <c r="A8028" s="3">
        <f>DATE(2006,4,25)</f>
        <v>38832</v>
      </c>
      <c r="B8028" s="2"/>
      <c r="C8028" s="2" t="s">
        <v>30</v>
      </c>
      <c r="D8028" s="2" t="s">
        <v>23095</v>
      </c>
      <c r="E8028" s="2" t="s">
        <v>23096</v>
      </c>
      <c r="F8028" s="4">
        <v>4931</v>
      </c>
      <c r="G8028" s="2" t="s">
        <v>439</v>
      </c>
      <c r="H8028" s="2" t="s">
        <v>34</v>
      </c>
      <c r="I8028" s="2" t="s">
        <v>24020</v>
      </c>
      <c r="J8028" s="2" t="s">
        <v>24021</v>
      </c>
      <c r="K8028" s="2" t="s">
        <v>53</v>
      </c>
      <c r="L8028" s="2" t="s">
        <v>885</v>
      </c>
      <c r="M8028" s="12">
        <v>1667.153</v>
      </c>
      <c r="N8028" s="7">
        <v>1.1559999999999999</v>
      </c>
      <c r="O8028" s="7">
        <v>1.1619999999999999</v>
      </c>
      <c r="P8028" s="2" t="s">
        <v>24022</v>
      </c>
      <c r="Q8028" s="2"/>
      <c r="R8028" s="6">
        <v>37</v>
      </c>
      <c r="S8028" s="5">
        <v>61.6</v>
      </c>
      <c r="T8028" s="7">
        <v>219.94399999999999</v>
      </c>
      <c r="U8028" s="5">
        <v>21</v>
      </c>
      <c r="V8028" s="6">
        <v>1.76</v>
      </c>
      <c r="W8028" s="6">
        <v>30.95</v>
      </c>
      <c r="X8028" s="6">
        <v>31.86</v>
      </c>
      <c r="Y8028" s="6">
        <v>32.090000000000003</v>
      </c>
      <c r="Z8028" s="6">
        <v>35.15</v>
      </c>
      <c r="AA8028" s="6">
        <v>35.57</v>
      </c>
      <c r="AB8028" s="7">
        <v>13.849</v>
      </c>
      <c r="AC8028" s="6">
        <v>260.35000000000002</v>
      </c>
    </row>
    <row r="8029" spans="1:29" ht="52" x14ac:dyDescent="0.15">
      <c r="A8029" s="3">
        <f>DATE(2006,4,25)</f>
        <v>38832</v>
      </c>
      <c r="B8029" s="3">
        <f>DATE(2006,9,13)</f>
        <v>38973</v>
      </c>
      <c r="C8029" s="2" t="s">
        <v>95</v>
      </c>
      <c r="D8029" s="2" t="s">
        <v>24023</v>
      </c>
      <c r="E8029" s="2" t="s">
        <v>12389</v>
      </c>
      <c r="F8029" s="4">
        <v>3679</v>
      </c>
      <c r="G8029" s="2" t="s">
        <v>137</v>
      </c>
      <c r="H8029" s="2" t="s">
        <v>34</v>
      </c>
      <c r="I8029" s="2" t="s">
        <v>24024</v>
      </c>
      <c r="J8029" s="2" t="s">
        <v>24025</v>
      </c>
      <c r="K8029" s="2" t="s">
        <v>137</v>
      </c>
      <c r="L8029" s="2" t="s">
        <v>99</v>
      </c>
      <c r="M8029" s="12">
        <v>7038.0969999999998</v>
      </c>
      <c r="N8029" s="7">
        <v>28.146000000000001</v>
      </c>
      <c r="O8029" s="7">
        <v>28.411000000000001</v>
      </c>
      <c r="P8029" s="2" t="s">
        <v>24026</v>
      </c>
      <c r="Q8029" s="6">
        <v>100</v>
      </c>
      <c r="R8029" s="2"/>
      <c r="S8029" s="5">
        <v>-4.5999999999999996</v>
      </c>
      <c r="T8029" s="7">
        <v>2.536</v>
      </c>
      <c r="U8029" s="5">
        <v>3</v>
      </c>
      <c r="V8029" s="6">
        <v>-0.47</v>
      </c>
      <c r="W8029" s="5">
        <v>9.6</v>
      </c>
      <c r="X8029" s="6">
        <v>10.78</v>
      </c>
      <c r="Y8029" s="6">
        <v>10.15</v>
      </c>
      <c r="Z8029" s="6">
        <v>10.25</v>
      </c>
      <c r="AA8029" s="6">
        <v>9.7899999999999991</v>
      </c>
      <c r="AB8029" s="7">
        <v>407.83300000000003</v>
      </c>
      <c r="AC8029" s="6">
        <v>444</v>
      </c>
    </row>
    <row r="8030" spans="1:29" ht="78" x14ac:dyDescent="0.15">
      <c r="A8030" s="3">
        <f>DATE(2006,4,25)</f>
        <v>38832</v>
      </c>
      <c r="B8030" s="3">
        <f>DATE(2006,7,14)</f>
        <v>38912</v>
      </c>
      <c r="C8030" s="2" t="s">
        <v>95</v>
      </c>
      <c r="D8030" s="2" t="s">
        <v>24027</v>
      </c>
      <c r="E8030" s="2" t="s">
        <v>24028</v>
      </c>
      <c r="F8030" s="4">
        <v>2836</v>
      </c>
      <c r="G8030" s="2" t="s">
        <v>130</v>
      </c>
      <c r="H8030" s="2" t="s">
        <v>34</v>
      </c>
      <c r="I8030" s="2" t="s">
        <v>9030</v>
      </c>
      <c r="J8030" s="2" t="s">
        <v>9031</v>
      </c>
      <c r="K8030" s="2" t="s">
        <v>226</v>
      </c>
      <c r="L8030" s="2" t="s">
        <v>34</v>
      </c>
      <c r="M8030" s="12">
        <v>3801.0770000000002</v>
      </c>
      <c r="N8030" s="6">
        <v>75.25</v>
      </c>
      <c r="O8030" s="6">
        <v>73.17</v>
      </c>
      <c r="P8030" s="2" t="s">
        <v>24029</v>
      </c>
      <c r="Q8030" s="6">
        <v>100</v>
      </c>
      <c r="R8030" s="6">
        <v>31.55</v>
      </c>
      <c r="S8030" s="5">
        <v>2.7</v>
      </c>
      <c r="T8030" s="7">
        <v>20.119</v>
      </c>
      <c r="U8030" s="5">
        <v>11.9</v>
      </c>
      <c r="V8030" s="6">
        <v>0.02</v>
      </c>
      <c r="W8030" s="5">
        <v>23.5</v>
      </c>
      <c r="X8030" s="6">
        <v>23.32</v>
      </c>
      <c r="Y8030" s="6">
        <v>31.15</v>
      </c>
      <c r="Z8030" s="6">
        <v>31.11</v>
      </c>
      <c r="AA8030" s="6">
        <v>34.130000000000003</v>
      </c>
      <c r="AB8030" s="7">
        <v>295.548</v>
      </c>
      <c r="AC8030" s="6">
        <v>651.24</v>
      </c>
    </row>
    <row r="8031" spans="1:29" ht="104" x14ac:dyDescent="0.15">
      <c r="A8031" s="3">
        <f>DATE(2006,4,27)</f>
        <v>38834</v>
      </c>
      <c r="B8031" s="3">
        <f>DATE(2006,7,27)</f>
        <v>38925</v>
      </c>
      <c r="C8031" s="2" t="s">
        <v>95</v>
      </c>
      <c r="D8031" s="2" t="s">
        <v>24030</v>
      </c>
      <c r="E8031" s="2" t="s">
        <v>24031</v>
      </c>
      <c r="F8031" s="4">
        <v>2835</v>
      </c>
      <c r="G8031" s="2" t="s">
        <v>130</v>
      </c>
      <c r="H8031" s="2" t="s">
        <v>34</v>
      </c>
      <c r="I8031" s="2" t="s">
        <v>17711</v>
      </c>
      <c r="J8031" s="2" t="s">
        <v>17712</v>
      </c>
      <c r="K8031" s="2" t="s">
        <v>226</v>
      </c>
      <c r="L8031" s="2" t="s">
        <v>34</v>
      </c>
      <c r="M8031" s="2"/>
      <c r="N8031" s="2"/>
      <c r="O8031" s="2"/>
      <c r="P8031" s="2" t="s">
        <v>24032</v>
      </c>
      <c r="Q8031" s="6">
        <v>100</v>
      </c>
      <c r="R8031" s="6">
        <v>58.5</v>
      </c>
      <c r="S8031" s="5">
        <v>69</v>
      </c>
      <c r="T8031" s="7">
        <v>139.619</v>
      </c>
      <c r="U8031" s="5">
        <v>18.600000000000001</v>
      </c>
      <c r="V8031" s="6">
        <v>2.2799999999999998</v>
      </c>
      <c r="W8031" s="6">
        <v>49.71</v>
      </c>
      <c r="X8031" s="6">
        <v>48.45</v>
      </c>
      <c r="Y8031" s="6">
        <v>57.81</v>
      </c>
      <c r="Z8031" s="4">
        <v>58</v>
      </c>
      <c r="AA8031" s="6">
        <v>29.57</v>
      </c>
      <c r="AB8031" s="7">
        <v>18.879000000000001</v>
      </c>
      <c r="AC8031" s="2"/>
    </row>
    <row r="8032" spans="1:29" ht="169" x14ac:dyDescent="0.15">
      <c r="A8032" s="3">
        <f>DATE(2006,4,27)</f>
        <v>38834</v>
      </c>
      <c r="B8032" s="3">
        <f>DATE(2006,8,28)</f>
        <v>38957</v>
      </c>
      <c r="C8032" s="2" t="s">
        <v>95</v>
      </c>
      <c r="D8032" s="2" t="s">
        <v>20294</v>
      </c>
      <c r="E8032" s="2" t="s">
        <v>14170</v>
      </c>
      <c r="F8032" s="4">
        <v>6712</v>
      </c>
      <c r="G8032" s="2" t="s">
        <v>37</v>
      </c>
      <c r="H8032" s="2" t="s">
        <v>34</v>
      </c>
      <c r="I8032" s="2" t="s">
        <v>12547</v>
      </c>
      <c r="J8032" s="2" t="s">
        <v>159</v>
      </c>
      <c r="K8032" s="2" t="s">
        <v>37</v>
      </c>
      <c r="L8032" s="2" t="s">
        <v>34</v>
      </c>
      <c r="M8032" s="12">
        <v>1005.798</v>
      </c>
      <c r="N8032" s="6">
        <v>13.51</v>
      </c>
      <c r="O8032" s="6">
        <v>13.38</v>
      </c>
      <c r="P8032" s="2" t="s">
        <v>24033</v>
      </c>
      <c r="Q8032" s="6">
        <v>100</v>
      </c>
      <c r="R8032" s="6">
        <v>28.25</v>
      </c>
      <c r="S8032" s="5">
        <v>2</v>
      </c>
      <c r="T8032" s="7">
        <v>2.9169999999999998</v>
      </c>
      <c r="U8032" s="5">
        <v>14</v>
      </c>
      <c r="V8032" s="6">
        <v>1</v>
      </c>
      <c r="W8032" s="5">
        <v>21.4</v>
      </c>
      <c r="X8032" s="5">
        <v>22.3</v>
      </c>
      <c r="Y8032" s="6">
        <v>21.73</v>
      </c>
      <c r="Z8032" s="6">
        <v>27.53</v>
      </c>
      <c r="AA8032" s="6">
        <v>1.99</v>
      </c>
      <c r="AB8032" s="7">
        <v>29.498999999999999</v>
      </c>
      <c r="AC8032" s="2"/>
    </row>
    <row r="8033" spans="1:29" ht="104" x14ac:dyDescent="0.15">
      <c r="A8033" s="3">
        <f>DATE(2006,4,27)</f>
        <v>38834</v>
      </c>
      <c r="B8033" s="3">
        <f>DATE(2006,8,8)</f>
        <v>38937</v>
      </c>
      <c r="C8033" s="2" t="s">
        <v>95</v>
      </c>
      <c r="D8033" s="2" t="s">
        <v>24034</v>
      </c>
      <c r="E8033" s="2" t="s">
        <v>24035</v>
      </c>
      <c r="F8033" s="4">
        <v>4724</v>
      </c>
      <c r="G8033" s="2" t="s">
        <v>173</v>
      </c>
      <c r="H8033" s="2" t="s">
        <v>34</v>
      </c>
      <c r="I8033" s="2" t="s">
        <v>24036</v>
      </c>
      <c r="J8033" s="2" t="s">
        <v>9774</v>
      </c>
      <c r="K8033" s="2" t="s">
        <v>173</v>
      </c>
      <c r="L8033" s="2" t="s">
        <v>2105</v>
      </c>
      <c r="M8033" s="2"/>
      <c r="N8033" s="2"/>
      <c r="O8033" s="2"/>
      <c r="P8033" s="2" t="s">
        <v>24037</v>
      </c>
      <c r="Q8033" s="6">
        <v>100</v>
      </c>
      <c r="R8033" s="6">
        <v>16.5</v>
      </c>
      <c r="S8033" s="5">
        <v>15.6</v>
      </c>
      <c r="T8033" s="7">
        <v>57.914999999999999</v>
      </c>
      <c r="U8033" s="5">
        <v>16.399999999999999</v>
      </c>
      <c r="V8033" s="6">
        <v>0.87</v>
      </c>
      <c r="W8033" s="6">
        <v>13.42</v>
      </c>
      <c r="X8033" s="5">
        <v>13.2</v>
      </c>
      <c r="Y8033" s="6">
        <v>16.16</v>
      </c>
      <c r="Z8033" s="6">
        <v>16.440000000000001</v>
      </c>
      <c r="AA8033" s="6">
        <v>16.75</v>
      </c>
      <c r="AB8033" s="7">
        <v>11.445</v>
      </c>
      <c r="AC8033" s="2"/>
    </row>
    <row r="8034" spans="1:29" ht="91" x14ac:dyDescent="0.15">
      <c r="A8034" s="3">
        <f>DATE(2006,4,27)</f>
        <v>38834</v>
      </c>
      <c r="B8034" s="3">
        <f>DATE(2006,7,5)</f>
        <v>38903</v>
      </c>
      <c r="C8034" s="2" t="s">
        <v>95</v>
      </c>
      <c r="D8034" s="2" t="s">
        <v>16414</v>
      </c>
      <c r="E8034" s="2" t="s">
        <v>16415</v>
      </c>
      <c r="F8034" s="4">
        <v>7372</v>
      </c>
      <c r="G8034" s="2" t="s">
        <v>551</v>
      </c>
      <c r="H8034" s="2" t="s">
        <v>34</v>
      </c>
      <c r="I8034" s="2" t="s">
        <v>24038</v>
      </c>
      <c r="J8034" s="2" t="s">
        <v>24039</v>
      </c>
      <c r="K8034" s="2" t="s">
        <v>223</v>
      </c>
      <c r="L8034" s="2" t="s">
        <v>34</v>
      </c>
      <c r="M8034" s="2"/>
      <c r="N8034" s="2"/>
      <c r="O8034" s="2"/>
      <c r="P8034" s="2" t="s">
        <v>24040</v>
      </c>
      <c r="Q8034" s="6">
        <v>100</v>
      </c>
      <c r="R8034" s="6">
        <v>12.2</v>
      </c>
      <c r="S8034" s="5">
        <v>-50.2</v>
      </c>
      <c r="T8034" s="7">
        <v>-21.634</v>
      </c>
      <c r="U8034" s="5">
        <v>6.8</v>
      </c>
      <c r="V8034" s="6">
        <v>-1.1200000000000001</v>
      </c>
      <c r="W8034" s="6">
        <v>11.28</v>
      </c>
      <c r="X8034" s="6">
        <v>10.72</v>
      </c>
      <c r="Y8034" s="6">
        <v>11.96</v>
      </c>
      <c r="Z8034" s="4">
        <v>12</v>
      </c>
      <c r="AA8034" s="6">
        <v>39.71</v>
      </c>
      <c r="AB8034" s="2" t="s">
        <v>86</v>
      </c>
      <c r="AC8034" s="2"/>
    </row>
    <row r="8035" spans="1:29" ht="156" x14ac:dyDescent="0.15">
      <c r="A8035" s="3">
        <f>DATE(2006,4,28)</f>
        <v>38835</v>
      </c>
      <c r="B8035" s="3">
        <f>DATE(2007,11,5)</f>
        <v>39391</v>
      </c>
      <c r="C8035" s="2" t="s">
        <v>95</v>
      </c>
      <c r="D8035" s="2" t="s">
        <v>24041</v>
      </c>
      <c r="E8035" s="2" t="s">
        <v>3900</v>
      </c>
      <c r="F8035" s="4">
        <v>5812</v>
      </c>
      <c r="G8035" s="2" t="s">
        <v>230</v>
      </c>
      <c r="H8035" s="2" t="s">
        <v>34</v>
      </c>
      <c r="I8035" s="2" t="s">
        <v>51</v>
      </c>
      <c r="J8035" s="2" t="s">
        <v>52</v>
      </c>
      <c r="K8035" s="2" t="s">
        <v>53</v>
      </c>
      <c r="L8035" s="2" t="s">
        <v>34</v>
      </c>
      <c r="M8035" s="2"/>
      <c r="N8035" s="2"/>
      <c r="O8035" s="2"/>
      <c r="P8035" s="2" t="s">
        <v>24042</v>
      </c>
      <c r="Q8035" s="6">
        <v>91.63</v>
      </c>
      <c r="R8035" s="6">
        <v>6.5</v>
      </c>
      <c r="S8035" s="5">
        <v>0.3</v>
      </c>
      <c r="T8035" s="7">
        <v>4.1890000000000001</v>
      </c>
      <c r="U8035" s="5">
        <v>3.2</v>
      </c>
      <c r="V8035" s="6">
        <v>0.06</v>
      </c>
      <c r="W8035" s="6">
        <v>4.99</v>
      </c>
      <c r="X8035" s="6">
        <v>5.01</v>
      </c>
      <c r="Y8035" s="6">
        <v>4.8499999999999996</v>
      </c>
      <c r="Z8035" s="7">
        <v>4.7619999999999996</v>
      </c>
      <c r="AA8035" s="6">
        <v>5.1100000000000003</v>
      </c>
      <c r="AB8035" s="7">
        <v>19.475000000000001</v>
      </c>
      <c r="AC8035" s="2"/>
    </row>
    <row r="8036" spans="1:29" ht="130" x14ac:dyDescent="0.15">
      <c r="A8036" s="3">
        <f>DATE(2006,4,29)</f>
        <v>38836</v>
      </c>
      <c r="B8036" s="3">
        <f>DATE(2006,11,7)</f>
        <v>39028</v>
      </c>
      <c r="C8036" s="2" t="s">
        <v>95</v>
      </c>
      <c r="D8036" s="2" t="s">
        <v>24043</v>
      </c>
      <c r="E8036" s="2" t="s">
        <v>3246</v>
      </c>
      <c r="F8036" s="4">
        <v>6021</v>
      </c>
      <c r="G8036" s="2" t="s">
        <v>37</v>
      </c>
      <c r="H8036" s="2" t="s">
        <v>34</v>
      </c>
      <c r="I8036" s="2" t="s">
        <v>24044</v>
      </c>
      <c r="J8036" s="2" t="s">
        <v>159</v>
      </c>
      <c r="K8036" s="2" t="s">
        <v>37</v>
      </c>
      <c r="L8036" s="2" t="s">
        <v>34</v>
      </c>
      <c r="M8036" s="6">
        <v>237.63</v>
      </c>
      <c r="N8036" s="6">
        <v>11.19</v>
      </c>
      <c r="O8036" s="6">
        <v>11.19</v>
      </c>
      <c r="P8036" s="2" t="s">
        <v>24045</v>
      </c>
      <c r="Q8036" s="6">
        <v>100</v>
      </c>
      <c r="R8036" s="6">
        <v>10.1</v>
      </c>
      <c r="S8036" s="5">
        <v>1.4</v>
      </c>
      <c r="T8036" s="7">
        <v>3.2189999999999999</v>
      </c>
      <c r="U8036" s="5">
        <v>4.9000000000000004</v>
      </c>
      <c r="V8036" s="6">
        <v>0.16</v>
      </c>
      <c r="W8036" s="5">
        <v>9.1</v>
      </c>
      <c r="X8036" s="6">
        <v>10.44</v>
      </c>
      <c r="Y8036" s="6">
        <v>10.039999999999999</v>
      </c>
      <c r="Z8036" s="6">
        <v>10.039999999999999</v>
      </c>
      <c r="AA8036" s="6">
        <v>8.7899999999999991</v>
      </c>
      <c r="AB8036" s="7">
        <v>111.18899999999999</v>
      </c>
      <c r="AC8036" s="2"/>
    </row>
    <row r="8037" spans="1:29" ht="169" x14ac:dyDescent="0.15">
      <c r="A8037" s="3">
        <f>DATE(2006,5,1)</f>
        <v>38838</v>
      </c>
      <c r="B8037" s="3">
        <f>DATE(2007,1,26)</f>
        <v>39108</v>
      </c>
      <c r="C8037" s="2" t="s">
        <v>95</v>
      </c>
      <c r="D8037" s="2" t="s">
        <v>24046</v>
      </c>
      <c r="E8037" s="2" t="s">
        <v>24047</v>
      </c>
      <c r="F8037" s="4">
        <v>7349</v>
      </c>
      <c r="G8037" s="2" t="s">
        <v>223</v>
      </c>
      <c r="H8037" s="2" t="s">
        <v>34</v>
      </c>
      <c r="I8037" s="2" t="s">
        <v>51</v>
      </c>
      <c r="J8037" s="2" t="s">
        <v>52</v>
      </c>
      <c r="K8037" s="2" t="s">
        <v>53</v>
      </c>
      <c r="L8037" s="2" t="s">
        <v>34</v>
      </c>
      <c r="M8037" s="2"/>
      <c r="N8037" s="2"/>
      <c r="O8037" s="2"/>
      <c r="P8037" s="2" t="s">
        <v>24048</v>
      </c>
      <c r="Q8037" s="6">
        <v>100</v>
      </c>
      <c r="R8037" s="6">
        <v>33.799999999999997</v>
      </c>
      <c r="S8037" s="5">
        <v>309.2</v>
      </c>
      <c r="T8037" s="7">
        <v>919.18700000000001</v>
      </c>
      <c r="U8037" s="5">
        <v>7.6</v>
      </c>
      <c r="V8037" s="6">
        <v>1.65</v>
      </c>
      <c r="W8037" s="6">
        <v>27.92</v>
      </c>
      <c r="X8037" s="6">
        <v>28.11</v>
      </c>
      <c r="Y8037" s="5">
        <v>33.9</v>
      </c>
      <c r="Z8037" s="6">
        <v>33.51</v>
      </c>
      <c r="AA8037" s="6">
        <v>180.62</v>
      </c>
      <c r="AB8037" s="7">
        <v>13.814</v>
      </c>
      <c r="AC8037" s="2"/>
    </row>
    <row r="8038" spans="1:29" ht="104" x14ac:dyDescent="0.15">
      <c r="A8038" s="3">
        <f>DATE(2006,5,1)</f>
        <v>38838</v>
      </c>
      <c r="B8038" s="3">
        <f>DATE(2006,9,20)</f>
        <v>38980</v>
      </c>
      <c r="C8038" s="2" t="s">
        <v>95</v>
      </c>
      <c r="D8038" s="2" t="s">
        <v>13911</v>
      </c>
      <c r="E8038" s="2" t="s">
        <v>13912</v>
      </c>
      <c r="F8038" s="4">
        <v>3769</v>
      </c>
      <c r="G8038" s="2" t="s">
        <v>219</v>
      </c>
      <c r="H8038" s="2" t="s">
        <v>34</v>
      </c>
      <c r="I8038" s="2" t="s">
        <v>7078</v>
      </c>
      <c r="J8038" s="2" t="s">
        <v>7079</v>
      </c>
      <c r="K8038" s="2" t="s">
        <v>219</v>
      </c>
      <c r="L8038" s="2" t="s">
        <v>34</v>
      </c>
      <c r="M8038" s="12">
        <v>62375.177000000003</v>
      </c>
      <c r="N8038" s="6">
        <v>83.86</v>
      </c>
      <c r="O8038" s="6">
        <v>85.33</v>
      </c>
      <c r="P8038" s="2" t="s">
        <v>24049</v>
      </c>
      <c r="Q8038" s="6">
        <v>100</v>
      </c>
      <c r="R8038" s="6">
        <v>48</v>
      </c>
      <c r="S8038" s="5">
        <v>59.4</v>
      </c>
      <c r="T8038" s="7">
        <v>139.95699999999999</v>
      </c>
      <c r="U8038" s="5">
        <v>13</v>
      </c>
      <c r="V8038" s="6">
        <v>1.69</v>
      </c>
      <c r="W8038" s="6">
        <v>37.29</v>
      </c>
      <c r="X8038" s="5">
        <v>37.700000000000003</v>
      </c>
      <c r="Y8038" s="6">
        <v>46.96</v>
      </c>
      <c r="Z8038" s="6">
        <v>47.03</v>
      </c>
      <c r="AA8038" s="6">
        <v>34.020000000000003</v>
      </c>
      <c r="AB8038" s="7">
        <v>18.651</v>
      </c>
      <c r="AC8038" s="8">
        <v>7357</v>
      </c>
    </row>
    <row r="8039" spans="1:29" ht="65" x14ac:dyDescent="0.15">
      <c r="A8039" s="3">
        <f>DATE(2006,5,1)</f>
        <v>38838</v>
      </c>
      <c r="B8039" s="3">
        <f>DATE(2006,8,7)</f>
        <v>38936</v>
      </c>
      <c r="C8039" s="2" t="s">
        <v>95</v>
      </c>
      <c r="D8039" s="2" t="s">
        <v>24050</v>
      </c>
      <c r="E8039" s="2" t="s">
        <v>15424</v>
      </c>
      <c r="F8039" s="4">
        <v>6399</v>
      </c>
      <c r="G8039" s="2" t="s">
        <v>125</v>
      </c>
      <c r="H8039" s="2" t="s">
        <v>34</v>
      </c>
      <c r="I8039" s="2" t="s">
        <v>24051</v>
      </c>
      <c r="J8039" s="2" t="s">
        <v>4015</v>
      </c>
      <c r="K8039" s="2" t="s">
        <v>125</v>
      </c>
      <c r="L8039" s="2" t="s">
        <v>34</v>
      </c>
      <c r="M8039" s="7">
        <v>909.44600000000003</v>
      </c>
      <c r="N8039" s="6">
        <v>20.55</v>
      </c>
      <c r="O8039" s="6">
        <v>21.71</v>
      </c>
      <c r="P8039" s="2" t="s">
        <v>24052</v>
      </c>
      <c r="Q8039" s="6">
        <v>100</v>
      </c>
      <c r="R8039" s="6">
        <v>6.13</v>
      </c>
      <c r="S8039" s="5">
        <v>15.7</v>
      </c>
      <c r="T8039" s="2"/>
      <c r="U8039" s="5">
        <v>6.3</v>
      </c>
      <c r="V8039" s="6">
        <v>0.46</v>
      </c>
      <c r="W8039" s="6">
        <v>5.07</v>
      </c>
      <c r="X8039" s="5">
        <v>5.3</v>
      </c>
      <c r="Y8039" s="6">
        <v>5.08</v>
      </c>
      <c r="Z8039" s="6">
        <v>5.97</v>
      </c>
      <c r="AA8039" s="6">
        <v>33.24</v>
      </c>
      <c r="AB8039" s="7">
        <v>8.0150000000000006</v>
      </c>
      <c r="AC8039" s="5">
        <v>10.6</v>
      </c>
    </row>
    <row r="8040" spans="1:29" ht="143" x14ac:dyDescent="0.15">
      <c r="A8040" s="3">
        <f>DATE(2006,5,1)</f>
        <v>38838</v>
      </c>
      <c r="B8040" s="2"/>
      <c r="C8040" s="2" t="s">
        <v>30</v>
      </c>
      <c r="D8040" s="2" t="s">
        <v>24053</v>
      </c>
      <c r="E8040" s="2" t="s">
        <v>24054</v>
      </c>
      <c r="F8040" s="4">
        <v>3652</v>
      </c>
      <c r="G8040" s="2" t="s">
        <v>137</v>
      </c>
      <c r="H8040" s="2" t="s">
        <v>34</v>
      </c>
      <c r="I8040" s="2" t="s">
        <v>24055</v>
      </c>
      <c r="J8040" s="2" t="s">
        <v>16036</v>
      </c>
      <c r="K8040" s="2" t="s">
        <v>42</v>
      </c>
      <c r="L8040" s="2" t="s">
        <v>303</v>
      </c>
      <c r="M8040" s="12">
        <v>3459.9839999999999</v>
      </c>
      <c r="N8040" s="7">
        <v>5.1449999999999996</v>
      </c>
      <c r="O8040" s="7">
        <v>5.1890000000000001</v>
      </c>
      <c r="P8040" s="2" t="s">
        <v>24056</v>
      </c>
      <c r="Q8040" s="2"/>
      <c r="R8040" s="6">
        <v>31</v>
      </c>
      <c r="S8040" s="5">
        <v>-147</v>
      </c>
      <c r="T8040" s="5">
        <v>460</v>
      </c>
      <c r="U8040" s="5">
        <v>0.7</v>
      </c>
      <c r="V8040" s="9">
        <v>-1.1822999999999999</v>
      </c>
      <c r="W8040" s="4">
        <v>25</v>
      </c>
      <c r="X8040" s="6">
        <v>26.46</v>
      </c>
      <c r="Y8040" s="4">
        <v>27</v>
      </c>
      <c r="Z8040" s="6">
        <v>27.29</v>
      </c>
      <c r="AA8040" s="6">
        <v>148.55000000000001</v>
      </c>
      <c r="AB8040" s="7">
        <v>29.245000000000001</v>
      </c>
      <c r="AC8040" s="6">
        <v>456.52</v>
      </c>
    </row>
    <row r="8041" spans="1:29" ht="143" x14ac:dyDescent="0.15">
      <c r="A8041" s="3">
        <f>DATE(2006,5,2)</f>
        <v>38839</v>
      </c>
      <c r="B8041" s="3">
        <f>DATE(2006,8,22)</f>
        <v>38951</v>
      </c>
      <c r="C8041" s="2" t="s">
        <v>95</v>
      </c>
      <c r="D8041" s="2" t="s">
        <v>23416</v>
      </c>
      <c r="E8041" s="2" t="s">
        <v>23417</v>
      </c>
      <c r="F8041" s="4">
        <v>3572</v>
      </c>
      <c r="G8041" s="2" t="s">
        <v>50</v>
      </c>
      <c r="H8041" s="2" t="s">
        <v>34</v>
      </c>
      <c r="I8041" s="2" t="s">
        <v>12154</v>
      </c>
      <c r="J8041" s="2" t="s">
        <v>24057</v>
      </c>
      <c r="K8041" s="2" t="s">
        <v>50</v>
      </c>
      <c r="L8041" s="2" t="s">
        <v>34</v>
      </c>
      <c r="M8041" s="7">
        <v>700.50199999999995</v>
      </c>
      <c r="N8041" s="6">
        <v>3.48</v>
      </c>
      <c r="O8041" s="6">
        <v>3.01</v>
      </c>
      <c r="P8041" s="2" t="s">
        <v>24058</v>
      </c>
      <c r="Q8041" s="6">
        <v>100</v>
      </c>
      <c r="R8041" s="6">
        <v>12.25</v>
      </c>
      <c r="S8041" s="5">
        <v>19.5</v>
      </c>
      <c r="T8041" s="7">
        <v>23.641999999999999</v>
      </c>
      <c r="U8041" s="5">
        <v>6</v>
      </c>
      <c r="V8041" s="6">
        <v>0.31</v>
      </c>
      <c r="W8041" s="6">
        <v>8.42</v>
      </c>
      <c r="X8041" s="6">
        <v>8.2799999999999994</v>
      </c>
      <c r="Y8041" s="6">
        <v>8.27</v>
      </c>
      <c r="Z8041" s="6">
        <v>11.87</v>
      </c>
      <c r="AA8041" s="6">
        <v>61.87</v>
      </c>
      <c r="AB8041" s="7">
        <v>66.69</v>
      </c>
      <c r="AC8041" s="6">
        <v>223.27</v>
      </c>
    </row>
    <row r="8042" spans="1:29" ht="195" x14ac:dyDescent="0.15">
      <c r="A8042" s="3">
        <f>DATE(2006,5,2)</f>
        <v>38839</v>
      </c>
      <c r="B8042" s="3">
        <f>DATE(2006,8,25)</f>
        <v>38954</v>
      </c>
      <c r="C8042" s="2" t="s">
        <v>95</v>
      </c>
      <c r="D8042" s="2" t="s">
        <v>24059</v>
      </c>
      <c r="E8042" s="2" t="s">
        <v>36</v>
      </c>
      <c r="F8042" s="4">
        <v>6022</v>
      </c>
      <c r="G8042" s="2" t="s">
        <v>37</v>
      </c>
      <c r="H8042" s="2" t="s">
        <v>34</v>
      </c>
      <c r="I8042" s="2" t="s">
        <v>21588</v>
      </c>
      <c r="J8042" s="2" t="s">
        <v>36</v>
      </c>
      <c r="K8042" s="2" t="s">
        <v>33</v>
      </c>
      <c r="L8042" s="2" t="s">
        <v>34</v>
      </c>
      <c r="M8042" s="7">
        <v>996.51900000000001</v>
      </c>
      <c r="N8042" s="6">
        <v>34.85</v>
      </c>
      <c r="O8042" s="5">
        <v>35.9</v>
      </c>
      <c r="P8042" s="2" t="s">
        <v>24060</v>
      </c>
      <c r="Q8042" s="6">
        <v>100</v>
      </c>
      <c r="R8042" s="2"/>
      <c r="S8042" s="5">
        <v>15.8</v>
      </c>
      <c r="T8042" s="7">
        <v>25.978999999999999</v>
      </c>
      <c r="U8042" s="5">
        <v>13.4</v>
      </c>
      <c r="V8042" s="6">
        <v>1.58</v>
      </c>
      <c r="W8042" s="6">
        <v>26.82</v>
      </c>
      <c r="X8042" s="6">
        <v>27.03</v>
      </c>
      <c r="Y8042" s="6">
        <v>35.58</v>
      </c>
      <c r="Z8042" s="6">
        <v>36.47</v>
      </c>
      <c r="AA8042" s="6">
        <v>9.8699999999999992</v>
      </c>
      <c r="AB8042" s="7">
        <v>27.782</v>
      </c>
      <c r="AC8042" s="2"/>
    </row>
    <row r="8043" spans="1:29" ht="91" x14ac:dyDescent="0.15">
      <c r="A8043" s="3">
        <f>DATE(2006,5,4)</f>
        <v>38841</v>
      </c>
      <c r="B8043" s="3">
        <f>DATE(2006,7,7)</f>
        <v>38905</v>
      </c>
      <c r="C8043" s="2" t="s">
        <v>95</v>
      </c>
      <c r="D8043" s="2" t="s">
        <v>24061</v>
      </c>
      <c r="E8043" s="2" t="s">
        <v>24062</v>
      </c>
      <c r="F8043" s="4">
        <v>3559</v>
      </c>
      <c r="G8043" s="2" t="s">
        <v>300</v>
      </c>
      <c r="H8043" s="2" t="s">
        <v>34</v>
      </c>
      <c r="I8043" s="2" t="s">
        <v>8901</v>
      </c>
      <c r="J8043" s="2" t="s">
        <v>207</v>
      </c>
      <c r="K8043" s="2" t="s">
        <v>137</v>
      </c>
      <c r="L8043" s="2" t="s">
        <v>34</v>
      </c>
      <c r="M8043" s="12">
        <v>29240.567999999999</v>
      </c>
      <c r="N8043" s="6">
        <v>18.55</v>
      </c>
      <c r="O8043" s="6">
        <v>19.05</v>
      </c>
      <c r="P8043" s="2" t="s">
        <v>24063</v>
      </c>
      <c r="Q8043" s="6">
        <v>100</v>
      </c>
      <c r="R8043" s="6">
        <v>28.5</v>
      </c>
      <c r="S8043" s="5">
        <v>-18.5</v>
      </c>
      <c r="T8043" s="7">
        <v>-4.3719999999999999</v>
      </c>
      <c r="U8043" s="5">
        <v>19.5</v>
      </c>
      <c r="V8043" s="6">
        <v>-1.22</v>
      </c>
      <c r="W8043" s="6">
        <v>21.02</v>
      </c>
      <c r="X8043" s="6">
        <v>22.97</v>
      </c>
      <c r="Y8043" s="6">
        <v>28.03</v>
      </c>
      <c r="Z8043" s="4">
        <v>28</v>
      </c>
      <c r="AA8043" s="6">
        <v>15.7</v>
      </c>
      <c r="AB8043" s="2" t="s">
        <v>86</v>
      </c>
      <c r="AC8043" s="10">
        <v>3328.78</v>
      </c>
    </row>
    <row r="8044" spans="1:29" ht="91" x14ac:dyDescent="0.15">
      <c r="A8044" s="3">
        <f>DATE(2006,5,5)</f>
        <v>38842</v>
      </c>
      <c r="B8044" s="3">
        <f>DATE(2006,8,4)</f>
        <v>38933</v>
      </c>
      <c r="C8044" s="2" t="s">
        <v>95</v>
      </c>
      <c r="D8044" s="2" t="s">
        <v>24064</v>
      </c>
      <c r="E8044" s="2" t="s">
        <v>973</v>
      </c>
      <c r="F8044" s="4">
        <v>4813</v>
      </c>
      <c r="G8044" s="2" t="s">
        <v>63</v>
      </c>
      <c r="H8044" s="2" t="s">
        <v>34</v>
      </c>
      <c r="I8044" s="2" t="s">
        <v>24065</v>
      </c>
      <c r="J8044" s="2" t="s">
        <v>973</v>
      </c>
      <c r="K8044" s="2" t="s">
        <v>63</v>
      </c>
      <c r="L8044" s="2" t="s">
        <v>34</v>
      </c>
      <c r="M8044" s="2"/>
      <c r="N8044" s="2"/>
      <c r="O8044" s="2"/>
      <c r="P8044" s="2" t="s">
        <v>24066</v>
      </c>
      <c r="Q8044" s="6">
        <v>100</v>
      </c>
      <c r="R8044" s="6">
        <v>1.92</v>
      </c>
      <c r="S8044" s="5">
        <v>-1.3</v>
      </c>
      <c r="T8044" s="7">
        <v>24.169</v>
      </c>
      <c r="U8044" s="5">
        <v>0.9</v>
      </c>
      <c r="V8044" s="6">
        <v>-0.01</v>
      </c>
      <c r="W8044" s="6">
        <v>1.67</v>
      </c>
      <c r="X8044" s="6">
        <v>1.87</v>
      </c>
      <c r="Y8044" s="6">
        <v>1.83</v>
      </c>
      <c r="Z8044" s="6">
        <v>1.84</v>
      </c>
      <c r="AA8044" s="6">
        <v>91.61</v>
      </c>
      <c r="AB8044" s="7">
        <v>77.09</v>
      </c>
      <c r="AC8044" s="2"/>
    </row>
    <row r="8045" spans="1:29" ht="104" x14ac:dyDescent="0.15">
      <c r="A8045" s="3">
        <f>DATE(2006,5,5)</f>
        <v>38842</v>
      </c>
      <c r="B8045" s="3">
        <f>DATE(2006,9,1)</f>
        <v>38961</v>
      </c>
      <c r="C8045" s="2" t="s">
        <v>95</v>
      </c>
      <c r="D8045" s="2" t="s">
        <v>24067</v>
      </c>
      <c r="E8045" s="2" t="s">
        <v>24068</v>
      </c>
      <c r="F8045" s="4">
        <v>5961</v>
      </c>
      <c r="G8045" s="2" t="s">
        <v>73</v>
      </c>
      <c r="H8045" s="2" t="s">
        <v>34</v>
      </c>
      <c r="I8045" s="2" t="s">
        <v>24069</v>
      </c>
      <c r="J8045" s="2" t="s">
        <v>24070</v>
      </c>
      <c r="K8045" s="2" t="s">
        <v>73</v>
      </c>
      <c r="L8045" s="2" t="s">
        <v>34</v>
      </c>
      <c r="M8045" s="2"/>
      <c r="N8045" s="2"/>
      <c r="O8045" s="2"/>
      <c r="P8045" s="2" t="s">
        <v>24071</v>
      </c>
      <c r="Q8045" s="6">
        <v>100</v>
      </c>
      <c r="R8045" s="6">
        <v>31</v>
      </c>
      <c r="S8045" s="5">
        <v>11.6</v>
      </c>
      <c r="T8045" s="7">
        <v>19.597000000000001</v>
      </c>
      <c r="U8045" s="5">
        <v>6.1</v>
      </c>
      <c r="V8045" s="6">
        <v>1.37</v>
      </c>
      <c r="W8045" s="6">
        <v>26.32</v>
      </c>
      <c r="X8045" s="4">
        <v>27</v>
      </c>
      <c r="Y8045" s="6">
        <v>30.46</v>
      </c>
      <c r="Z8045" s="5">
        <v>30.5</v>
      </c>
      <c r="AA8045" s="6">
        <v>7.33</v>
      </c>
      <c r="AB8045" s="7">
        <v>14.109</v>
      </c>
      <c r="AC8045" s="2"/>
    </row>
    <row r="8046" spans="1:29" ht="182" x14ac:dyDescent="0.15">
      <c r="A8046" s="3">
        <f>DATE(2006,5,7)</f>
        <v>38844</v>
      </c>
      <c r="B8046" s="3">
        <f>DATE(2006,10,2)</f>
        <v>38992</v>
      </c>
      <c r="C8046" s="2" t="s">
        <v>95</v>
      </c>
      <c r="D8046" s="2" t="s">
        <v>24072</v>
      </c>
      <c r="E8046" s="2" t="s">
        <v>24073</v>
      </c>
      <c r="F8046" s="4">
        <v>6712</v>
      </c>
      <c r="G8046" s="2" t="s">
        <v>37</v>
      </c>
      <c r="H8046" s="2" t="s">
        <v>34</v>
      </c>
      <c r="I8046" s="2" t="s">
        <v>22080</v>
      </c>
      <c r="J8046" s="2" t="s">
        <v>22081</v>
      </c>
      <c r="K8046" s="2" t="s">
        <v>37</v>
      </c>
      <c r="L8046" s="2" t="s">
        <v>34</v>
      </c>
      <c r="M8046" s="12">
        <v>90300.642999999996</v>
      </c>
      <c r="N8046" s="6">
        <v>55.42</v>
      </c>
      <c r="O8046" s="6">
        <v>55.42</v>
      </c>
      <c r="P8046" s="2" t="s">
        <v>24074</v>
      </c>
      <c r="Q8046" s="6">
        <v>100</v>
      </c>
      <c r="R8046" s="6">
        <v>81.069999999999993</v>
      </c>
      <c r="S8046" s="8">
        <v>1528.9</v>
      </c>
      <c r="T8046" s="10">
        <v>2562.88</v>
      </c>
      <c r="U8046" s="5">
        <v>29.3</v>
      </c>
      <c r="V8046" s="6">
        <v>4.9000000000000004</v>
      </c>
      <c r="W8046" s="6">
        <v>71.87</v>
      </c>
      <c r="X8046" s="6">
        <v>70.510000000000005</v>
      </c>
      <c r="Y8046" s="5">
        <v>74.900000000000006</v>
      </c>
      <c r="Z8046" s="5">
        <v>74.900000000000006</v>
      </c>
      <c r="AA8046" s="6">
        <v>308.5</v>
      </c>
      <c r="AB8046" s="7">
        <v>32.276000000000003</v>
      </c>
      <c r="AC8046" s="2"/>
    </row>
    <row r="8047" spans="1:29" ht="169" x14ac:dyDescent="0.15">
      <c r="A8047" s="3">
        <f>DATE(2006,5,8)</f>
        <v>38845</v>
      </c>
      <c r="B8047" s="2"/>
      <c r="C8047" s="2" t="s">
        <v>30</v>
      </c>
      <c r="D8047" s="2" t="s">
        <v>24075</v>
      </c>
      <c r="E8047" s="2" t="s">
        <v>8330</v>
      </c>
      <c r="F8047" s="4">
        <v>4832</v>
      </c>
      <c r="G8047" s="2" t="s">
        <v>45</v>
      </c>
      <c r="H8047" s="2" t="s">
        <v>34</v>
      </c>
      <c r="I8047" s="2" t="s">
        <v>24076</v>
      </c>
      <c r="J8047" s="2" t="s">
        <v>302</v>
      </c>
      <c r="K8047" s="2" t="s">
        <v>53</v>
      </c>
      <c r="L8047" s="2" t="s">
        <v>34</v>
      </c>
      <c r="M8047" s="2"/>
      <c r="N8047" s="2"/>
      <c r="O8047" s="2"/>
      <c r="P8047" s="2" t="s">
        <v>24077</v>
      </c>
      <c r="Q8047" s="2"/>
      <c r="R8047" s="6">
        <v>15.25</v>
      </c>
      <c r="S8047" s="5">
        <v>-24.2</v>
      </c>
      <c r="T8047" s="7">
        <v>57.689</v>
      </c>
      <c r="U8047" s="5">
        <v>7.3</v>
      </c>
      <c r="V8047" s="6">
        <v>-0.78</v>
      </c>
      <c r="W8047" s="6">
        <v>12.13</v>
      </c>
      <c r="X8047" s="6">
        <v>13.43</v>
      </c>
      <c r="Y8047" s="6">
        <v>16.25</v>
      </c>
      <c r="Z8047" s="6">
        <v>16.18</v>
      </c>
      <c r="AA8047" s="6">
        <v>36.9</v>
      </c>
      <c r="AB8047" s="7">
        <v>35.988999999999997</v>
      </c>
      <c r="AC8047" s="2"/>
    </row>
    <row r="8048" spans="1:29" ht="130" x14ac:dyDescent="0.15">
      <c r="A8048" s="3">
        <f>DATE(2006,5,8)</f>
        <v>38845</v>
      </c>
      <c r="B8048" s="3">
        <f>DATE(2006,11,9)</f>
        <v>39030</v>
      </c>
      <c r="C8048" s="2" t="s">
        <v>95</v>
      </c>
      <c r="D8048" s="2" t="s">
        <v>9840</v>
      </c>
      <c r="E8048" s="2" t="s">
        <v>9841</v>
      </c>
      <c r="F8048" s="4">
        <v>3841</v>
      </c>
      <c r="G8048" s="2" t="s">
        <v>226</v>
      </c>
      <c r="H8048" s="2" t="s">
        <v>34</v>
      </c>
      <c r="I8048" s="2" t="s">
        <v>14301</v>
      </c>
      <c r="J8048" s="2" t="s">
        <v>14302</v>
      </c>
      <c r="K8048" s="2" t="s">
        <v>226</v>
      </c>
      <c r="L8048" s="2" t="s">
        <v>34</v>
      </c>
      <c r="M8048" s="10">
        <v>5920.61</v>
      </c>
      <c r="N8048" s="6">
        <v>38.54</v>
      </c>
      <c r="O8048" s="6">
        <v>38.450000000000003</v>
      </c>
      <c r="P8048" s="2" t="s">
        <v>24078</v>
      </c>
      <c r="Q8048" s="6">
        <v>100</v>
      </c>
      <c r="R8048" s="6">
        <v>78.900000000000006</v>
      </c>
      <c r="S8048" s="5">
        <v>402.1</v>
      </c>
      <c r="T8048" s="5">
        <v>973.5</v>
      </c>
      <c r="U8048" s="5">
        <v>36.1</v>
      </c>
      <c r="V8048" s="6">
        <v>3.13</v>
      </c>
      <c r="W8048" s="6">
        <v>69.16</v>
      </c>
      <c r="X8048" s="6">
        <v>73.73</v>
      </c>
      <c r="Y8048" s="6">
        <v>75.95</v>
      </c>
      <c r="Z8048" s="5">
        <v>76.8</v>
      </c>
      <c r="AA8048" s="6">
        <v>124.15</v>
      </c>
      <c r="AB8048" s="7">
        <v>15.576000000000001</v>
      </c>
      <c r="AC8048" s="6">
        <v>310.55</v>
      </c>
    </row>
    <row r="8049" spans="1:29" ht="78" x14ac:dyDescent="0.15">
      <c r="A8049" s="3">
        <f>DATE(2006,5,10)</f>
        <v>38847</v>
      </c>
      <c r="B8049" s="3">
        <f>DATE(2006,8,15)</f>
        <v>38944</v>
      </c>
      <c r="C8049" s="2" t="s">
        <v>95</v>
      </c>
      <c r="D8049" s="2" t="s">
        <v>24079</v>
      </c>
      <c r="E8049" s="2" t="s">
        <v>1181</v>
      </c>
      <c r="F8049" s="4">
        <v>6021</v>
      </c>
      <c r="G8049" s="2" t="s">
        <v>37</v>
      </c>
      <c r="H8049" s="2" t="s">
        <v>34</v>
      </c>
      <c r="I8049" s="2" t="s">
        <v>3289</v>
      </c>
      <c r="J8049" s="2" t="s">
        <v>159</v>
      </c>
      <c r="K8049" s="2" t="s">
        <v>37</v>
      </c>
      <c r="L8049" s="2" t="s">
        <v>34</v>
      </c>
      <c r="M8049" s="2"/>
      <c r="N8049" s="2"/>
      <c r="O8049" s="2"/>
      <c r="P8049" s="2" t="s">
        <v>24080</v>
      </c>
      <c r="Q8049" s="6">
        <v>100</v>
      </c>
      <c r="R8049" s="6">
        <v>9</v>
      </c>
      <c r="S8049" s="2"/>
      <c r="T8049" s="2"/>
      <c r="U8049" s="2"/>
      <c r="V8049" s="2"/>
      <c r="W8049" s="5">
        <v>2.1</v>
      </c>
      <c r="X8049" s="4">
        <v>2</v>
      </c>
      <c r="Y8049" s="5">
        <v>2.8</v>
      </c>
      <c r="Z8049" s="5">
        <v>2.8</v>
      </c>
      <c r="AA8049" s="6">
        <v>2.67</v>
      </c>
      <c r="AB8049" s="2" t="s">
        <v>47</v>
      </c>
      <c r="AC8049" s="2"/>
    </row>
    <row r="8050" spans="1:29" ht="117" x14ac:dyDescent="0.15">
      <c r="A8050" s="3">
        <f>DATE(2006,5,11)</f>
        <v>38848</v>
      </c>
      <c r="B8050" s="2"/>
      <c r="C8050" s="2" t="s">
        <v>30</v>
      </c>
      <c r="D8050" s="2" t="s">
        <v>24081</v>
      </c>
      <c r="E8050" s="2" t="s">
        <v>13810</v>
      </c>
      <c r="F8050" s="4">
        <v>4923</v>
      </c>
      <c r="G8050" s="2" t="s">
        <v>439</v>
      </c>
      <c r="H8050" s="2" t="s">
        <v>34</v>
      </c>
      <c r="I8050" s="2" t="s">
        <v>24082</v>
      </c>
      <c r="J8050" s="2" t="s">
        <v>24083</v>
      </c>
      <c r="K8050" s="2" t="s">
        <v>223</v>
      </c>
      <c r="L8050" s="2" t="s">
        <v>34</v>
      </c>
      <c r="M8050" s="2"/>
      <c r="N8050" s="2"/>
      <c r="O8050" s="2"/>
      <c r="P8050" s="2" t="s">
        <v>24084</v>
      </c>
      <c r="Q8050" s="2"/>
      <c r="R8050" s="6">
        <v>16.5</v>
      </c>
      <c r="S8050" s="5">
        <v>0.2</v>
      </c>
      <c r="T8050" s="7">
        <v>3.298</v>
      </c>
      <c r="U8050" s="5">
        <v>6.6</v>
      </c>
      <c r="V8050" s="9">
        <v>0.16919999999999999</v>
      </c>
      <c r="W8050" s="5">
        <v>13.7</v>
      </c>
      <c r="X8050" s="5">
        <v>13.7</v>
      </c>
      <c r="Y8050" s="5">
        <v>13.7</v>
      </c>
      <c r="Z8050" s="6">
        <v>13.75</v>
      </c>
      <c r="AA8050" s="6">
        <v>0.51</v>
      </c>
      <c r="AB8050" s="7">
        <v>11.366</v>
      </c>
      <c r="AC8050" s="2"/>
    </row>
    <row r="8051" spans="1:29" ht="104" x14ac:dyDescent="0.15">
      <c r="A8051" s="3">
        <f>DATE(2006,5,11)</f>
        <v>38848</v>
      </c>
      <c r="B8051" s="3">
        <f>DATE(2006,6,30)</f>
        <v>38898</v>
      </c>
      <c r="C8051" s="2" t="s">
        <v>95</v>
      </c>
      <c r="D8051" s="2" t="s">
        <v>24085</v>
      </c>
      <c r="E8051" s="2" t="s">
        <v>24086</v>
      </c>
      <c r="F8051" s="4">
        <v>7363</v>
      </c>
      <c r="G8051" s="2" t="s">
        <v>223</v>
      </c>
      <c r="H8051" s="2" t="s">
        <v>34</v>
      </c>
      <c r="I8051" s="2" t="s">
        <v>24087</v>
      </c>
      <c r="J8051" s="2" t="s">
        <v>24088</v>
      </c>
      <c r="K8051" s="2" t="s">
        <v>223</v>
      </c>
      <c r="L8051" s="2" t="s">
        <v>34</v>
      </c>
      <c r="M8051" s="2"/>
      <c r="N8051" s="2"/>
      <c r="O8051" s="2"/>
      <c r="P8051" s="2" t="s">
        <v>24089</v>
      </c>
      <c r="Q8051" s="6">
        <v>100</v>
      </c>
      <c r="R8051" s="6">
        <v>17</v>
      </c>
      <c r="S8051" s="5">
        <v>0.5</v>
      </c>
      <c r="T8051" s="7">
        <v>6.109</v>
      </c>
      <c r="U8051" s="5">
        <v>6.6</v>
      </c>
      <c r="V8051" s="6">
        <v>0.05</v>
      </c>
      <c r="W8051" s="6">
        <v>12.53</v>
      </c>
      <c r="X8051" s="5">
        <v>12.2</v>
      </c>
      <c r="Y8051" s="6">
        <v>16.53</v>
      </c>
      <c r="Z8051" s="6">
        <v>16.54</v>
      </c>
      <c r="AA8051" s="6">
        <v>9.7200000000000006</v>
      </c>
      <c r="AB8051" s="7">
        <v>109.501</v>
      </c>
      <c r="AC8051" s="2"/>
    </row>
    <row r="8052" spans="1:29" ht="104" x14ac:dyDescent="0.15">
      <c r="A8052" s="3">
        <f>DATE(2006,5,12)</f>
        <v>38849</v>
      </c>
      <c r="B8052" s="3">
        <f>DATE(2006,7,25)</f>
        <v>38923</v>
      </c>
      <c r="C8052" s="2" t="s">
        <v>95</v>
      </c>
      <c r="D8052" s="2" t="s">
        <v>13255</v>
      </c>
      <c r="E8052" s="2" t="s">
        <v>13256</v>
      </c>
      <c r="F8052" s="4">
        <v>8051</v>
      </c>
      <c r="G8052" s="2" t="s">
        <v>454</v>
      </c>
      <c r="H8052" s="2" t="s">
        <v>34</v>
      </c>
      <c r="I8052" s="2" t="s">
        <v>24090</v>
      </c>
      <c r="J8052" s="2" t="s">
        <v>24091</v>
      </c>
      <c r="K8052" s="2" t="s">
        <v>454</v>
      </c>
      <c r="L8052" s="2" t="s">
        <v>34</v>
      </c>
      <c r="M8052" s="12">
        <v>2444.2570000000001</v>
      </c>
      <c r="N8052" s="4">
        <v>37</v>
      </c>
      <c r="O8052" s="6">
        <v>42.23</v>
      </c>
      <c r="P8052" s="2" t="s">
        <v>24092</v>
      </c>
      <c r="Q8052" s="6">
        <v>100</v>
      </c>
      <c r="R8052" s="6">
        <v>33</v>
      </c>
      <c r="S8052" s="5">
        <v>-21</v>
      </c>
      <c r="T8052" s="7">
        <v>47.616999999999997</v>
      </c>
      <c r="U8052" s="5">
        <v>0</v>
      </c>
      <c r="V8052" s="6">
        <v>-0.97</v>
      </c>
      <c r="W8052" s="6">
        <v>25.42</v>
      </c>
      <c r="X8052" s="6">
        <v>25.18</v>
      </c>
      <c r="Y8052" s="5">
        <v>24.9</v>
      </c>
      <c r="Z8052" s="6">
        <v>32.18</v>
      </c>
      <c r="AA8052" s="6">
        <v>35.299999999999997</v>
      </c>
      <c r="AB8052" s="7">
        <v>61.866999999999997</v>
      </c>
      <c r="AC8052" s="6">
        <v>935.23</v>
      </c>
    </row>
    <row r="8053" spans="1:29" ht="91" x14ac:dyDescent="0.15">
      <c r="A8053" s="3">
        <f>DATE(2006,5,14)</f>
        <v>38851</v>
      </c>
      <c r="B8053" s="3">
        <f>DATE(2006,8,2)</f>
        <v>38931</v>
      </c>
      <c r="C8053" s="2" t="s">
        <v>95</v>
      </c>
      <c r="D8053" s="2" t="s">
        <v>23213</v>
      </c>
      <c r="E8053" s="2" t="s">
        <v>23214</v>
      </c>
      <c r="F8053" s="4">
        <v>7371</v>
      </c>
      <c r="G8053" s="2" t="s">
        <v>223</v>
      </c>
      <c r="H8053" s="2" t="s">
        <v>34</v>
      </c>
      <c r="I8053" s="2" t="s">
        <v>22662</v>
      </c>
      <c r="J8053" s="2" t="s">
        <v>8589</v>
      </c>
      <c r="K8053" s="2" t="s">
        <v>551</v>
      </c>
      <c r="L8053" s="2" t="s">
        <v>34</v>
      </c>
      <c r="M8053" s="2"/>
      <c r="N8053" s="2"/>
      <c r="O8053" s="2"/>
      <c r="P8053" s="2" t="s">
        <v>24093</v>
      </c>
      <c r="Q8053" s="6">
        <v>100</v>
      </c>
      <c r="R8053" s="6">
        <v>19.5</v>
      </c>
      <c r="S8053" s="5">
        <v>0.3</v>
      </c>
      <c r="T8053" s="5">
        <v>116.1</v>
      </c>
      <c r="U8053" s="5">
        <v>4.0999999999999996</v>
      </c>
      <c r="V8053" s="6">
        <v>6.43</v>
      </c>
      <c r="W8053" s="6">
        <v>15.73</v>
      </c>
      <c r="X8053" s="6">
        <v>15.59</v>
      </c>
      <c r="Y8053" s="6">
        <v>19.03</v>
      </c>
      <c r="Z8053" s="6">
        <v>19.03</v>
      </c>
      <c r="AA8053" s="6">
        <v>69.569999999999993</v>
      </c>
      <c r="AB8053" s="7">
        <v>25.768999999999998</v>
      </c>
      <c r="AC8053" s="2"/>
    </row>
    <row r="8054" spans="1:29" ht="104" x14ac:dyDescent="0.15">
      <c r="A8054" s="3">
        <f>DATE(2006,5,15)</f>
        <v>38852</v>
      </c>
      <c r="B8054" s="2"/>
      <c r="C8054" s="2" t="s">
        <v>56</v>
      </c>
      <c r="D8054" s="2" t="s">
        <v>24094</v>
      </c>
      <c r="E8054" s="2" t="s">
        <v>10974</v>
      </c>
      <c r="F8054" s="4">
        <v>3674</v>
      </c>
      <c r="G8054" s="2" t="s">
        <v>137</v>
      </c>
      <c r="H8054" s="2" t="s">
        <v>34</v>
      </c>
      <c r="I8054" s="2" t="s">
        <v>24095</v>
      </c>
      <c r="J8054" s="2" t="s">
        <v>595</v>
      </c>
      <c r="K8054" s="2" t="s">
        <v>53</v>
      </c>
      <c r="L8054" s="2" t="s">
        <v>34</v>
      </c>
      <c r="M8054" s="2"/>
      <c r="N8054" s="2"/>
      <c r="O8054" s="2"/>
      <c r="P8054" s="2" t="s">
        <v>24096</v>
      </c>
      <c r="Q8054" s="2"/>
      <c r="R8054" s="6">
        <v>5.5</v>
      </c>
      <c r="S8054" s="5">
        <v>19.8</v>
      </c>
      <c r="T8054" s="7">
        <v>283.00799999999998</v>
      </c>
      <c r="U8054" s="5">
        <v>2</v>
      </c>
      <c r="V8054" s="9">
        <v>1.9900000000000001E-2</v>
      </c>
      <c r="W8054" s="6">
        <v>5.57</v>
      </c>
      <c r="X8054" s="5">
        <v>4.7</v>
      </c>
      <c r="Y8054" s="6">
        <v>4.45</v>
      </c>
      <c r="Z8054" s="6">
        <v>4.54</v>
      </c>
      <c r="AA8054" s="6">
        <v>486.8</v>
      </c>
      <c r="AB8054" s="7">
        <v>116.65600000000001</v>
      </c>
      <c r="AC8054" s="2"/>
    </row>
    <row r="8055" spans="1:29" ht="52" x14ac:dyDescent="0.15">
      <c r="A8055" s="3">
        <f>DATE(2006,5,16)</f>
        <v>38853</v>
      </c>
      <c r="B8055" s="2"/>
      <c r="C8055" s="2" t="s">
        <v>39</v>
      </c>
      <c r="D8055" s="2" t="s">
        <v>1463</v>
      </c>
      <c r="E8055" s="2" t="s">
        <v>1464</v>
      </c>
      <c r="F8055" s="4">
        <v>7373</v>
      </c>
      <c r="G8055" s="2" t="s">
        <v>223</v>
      </c>
      <c r="H8055" s="2" t="s">
        <v>34</v>
      </c>
      <c r="I8055" s="2" t="s">
        <v>24097</v>
      </c>
      <c r="J8055" s="2" t="s">
        <v>24098</v>
      </c>
      <c r="K8055" s="2" t="s">
        <v>219</v>
      </c>
      <c r="L8055" s="2" t="s">
        <v>303</v>
      </c>
      <c r="M8055" s="2"/>
      <c r="N8055" s="7">
        <v>7.476</v>
      </c>
      <c r="O8055" s="7">
        <v>7.1040000000000001</v>
      </c>
      <c r="P8055" s="2" t="s">
        <v>24099</v>
      </c>
      <c r="Q8055" s="2"/>
      <c r="R8055" s="2"/>
      <c r="S8055" s="5">
        <v>86.2</v>
      </c>
      <c r="T8055" s="7">
        <v>181.339</v>
      </c>
      <c r="U8055" s="5">
        <v>23.2</v>
      </c>
      <c r="V8055" s="6">
        <v>2.78</v>
      </c>
      <c r="W8055" s="6">
        <v>63.29</v>
      </c>
      <c r="X8055" s="6">
        <v>67.02</v>
      </c>
      <c r="Y8055" s="6">
        <v>64.959999999999994</v>
      </c>
      <c r="Z8055" s="6">
        <v>63.35</v>
      </c>
      <c r="AA8055" s="6">
        <v>30.15</v>
      </c>
      <c r="AB8055" s="2" t="s">
        <v>47</v>
      </c>
      <c r="AC8055" s="10">
        <v>5623.01</v>
      </c>
    </row>
    <row r="8056" spans="1:29" ht="143" x14ac:dyDescent="0.15">
      <c r="A8056" s="3">
        <f>DATE(2006,5,16)</f>
        <v>38853</v>
      </c>
      <c r="B8056" s="3">
        <f>DATE(2006,10,27)</f>
        <v>39017</v>
      </c>
      <c r="C8056" s="2" t="s">
        <v>95</v>
      </c>
      <c r="D8056" s="2" t="s">
        <v>22088</v>
      </c>
      <c r="E8056" s="2" t="s">
        <v>17388</v>
      </c>
      <c r="F8056" s="4">
        <v>6712</v>
      </c>
      <c r="G8056" s="2" t="s">
        <v>37</v>
      </c>
      <c r="H8056" s="2" t="s">
        <v>34</v>
      </c>
      <c r="I8056" s="2" t="s">
        <v>3057</v>
      </c>
      <c r="J8056" s="2" t="s">
        <v>17388</v>
      </c>
      <c r="K8056" s="2" t="s">
        <v>37</v>
      </c>
      <c r="L8056" s="2" t="s">
        <v>34</v>
      </c>
      <c r="M8056" s="12">
        <v>1169.9670000000001</v>
      </c>
      <c r="N8056" s="5">
        <v>55.4</v>
      </c>
      <c r="O8056" s="5">
        <v>55.5</v>
      </c>
      <c r="P8056" s="2" t="s">
        <v>24100</v>
      </c>
      <c r="Q8056" s="6">
        <v>100</v>
      </c>
      <c r="R8056" s="6">
        <v>41.57</v>
      </c>
      <c r="S8056" s="5">
        <v>13.6</v>
      </c>
      <c r="T8056" s="7">
        <v>24.742000000000001</v>
      </c>
      <c r="U8056" s="5">
        <v>16.600000000000001</v>
      </c>
      <c r="V8056" s="6">
        <v>2.29</v>
      </c>
      <c r="W8056" s="6">
        <v>36.43</v>
      </c>
      <c r="X8056" s="6">
        <v>39.049999999999997</v>
      </c>
      <c r="Y8056" s="6">
        <v>40.119999999999997</v>
      </c>
      <c r="Z8056" s="6">
        <v>40.24</v>
      </c>
      <c r="AA8056" s="6">
        <v>6.04</v>
      </c>
      <c r="AB8056" s="7">
        <v>13.919</v>
      </c>
      <c r="AC8056" s="2"/>
    </row>
    <row r="8057" spans="1:29" ht="130" x14ac:dyDescent="0.15">
      <c r="A8057" s="3">
        <f>DATE(2006,5,16)</f>
        <v>38853</v>
      </c>
      <c r="B8057" s="3">
        <f>DATE(2006,11,15)</f>
        <v>39036</v>
      </c>
      <c r="C8057" s="2" t="s">
        <v>95</v>
      </c>
      <c r="D8057" s="2" t="s">
        <v>14369</v>
      </c>
      <c r="E8057" s="2" t="s">
        <v>14370</v>
      </c>
      <c r="F8057" s="4">
        <v>7374</v>
      </c>
      <c r="G8057" s="2" t="s">
        <v>223</v>
      </c>
      <c r="H8057" s="2" t="s">
        <v>34</v>
      </c>
      <c r="I8057" s="2" t="s">
        <v>51</v>
      </c>
      <c r="J8057" s="2" t="s">
        <v>52</v>
      </c>
      <c r="K8057" s="2" t="s">
        <v>53</v>
      </c>
      <c r="L8057" s="2" t="s">
        <v>34</v>
      </c>
      <c r="M8057" s="2"/>
      <c r="N8057" s="2"/>
      <c r="O8057" s="2"/>
      <c r="P8057" s="2" t="s">
        <v>24101</v>
      </c>
      <c r="Q8057" s="6">
        <v>100</v>
      </c>
      <c r="R8057" s="6">
        <v>27.5</v>
      </c>
      <c r="S8057" s="5">
        <v>44.5</v>
      </c>
      <c r="T8057" s="7">
        <v>142.614</v>
      </c>
      <c r="U8057" s="5">
        <v>23</v>
      </c>
      <c r="V8057" s="6">
        <v>1.33</v>
      </c>
      <c r="W8057" s="6">
        <v>20.29</v>
      </c>
      <c r="X8057" s="6">
        <v>19.05</v>
      </c>
      <c r="Y8057" s="4">
        <v>26</v>
      </c>
      <c r="Z8057" s="6">
        <v>26.37</v>
      </c>
      <c r="AA8057" s="6">
        <v>32.31</v>
      </c>
      <c r="AB8057" s="7">
        <v>13.727</v>
      </c>
      <c r="AC8057" s="2"/>
    </row>
    <row r="8058" spans="1:29" ht="78" x14ac:dyDescent="0.15">
      <c r="A8058" s="3">
        <f>DATE(2006,5,16)</f>
        <v>38853</v>
      </c>
      <c r="B8058" s="3">
        <f>DATE(2007,1,3)</f>
        <v>39085</v>
      </c>
      <c r="C8058" s="2" t="s">
        <v>95</v>
      </c>
      <c r="D8058" s="2" t="s">
        <v>24102</v>
      </c>
      <c r="E8058" s="2" t="s">
        <v>7716</v>
      </c>
      <c r="F8058" s="4">
        <v>7011</v>
      </c>
      <c r="G8058" s="2" t="s">
        <v>269</v>
      </c>
      <c r="H8058" s="2" t="s">
        <v>34</v>
      </c>
      <c r="I8058" s="2" t="s">
        <v>24103</v>
      </c>
      <c r="J8058" s="2" t="s">
        <v>24104</v>
      </c>
      <c r="K8058" s="2" t="s">
        <v>364</v>
      </c>
      <c r="L8058" s="2" t="s">
        <v>34</v>
      </c>
      <c r="M8058" s="2"/>
      <c r="N8058" s="2"/>
      <c r="O8058" s="2"/>
      <c r="P8058" s="2" t="s">
        <v>24105</v>
      </c>
      <c r="Q8058" s="6">
        <v>100</v>
      </c>
      <c r="R8058" s="6">
        <v>15</v>
      </c>
      <c r="S8058" s="5">
        <v>3.8</v>
      </c>
      <c r="T8058" s="7">
        <v>14.284000000000001</v>
      </c>
      <c r="U8058" s="5">
        <v>8.3000000000000007</v>
      </c>
      <c r="V8058" s="6">
        <v>0.57999999999999996</v>
      </c>
      <c r="W8058" s="6">
        <v>13.79</v>
      </c>
      <c r="X8058" s="6">
        <v>13.91</v>
      </c>
      <c r="Y8058" s="7">
        <v>13.824</v>
      </c>
      <c r="Z8058" s="5">
        <v>14.7</v>
      </c>
      <c r="AA8058" s="6">
        <v>7.12</v>
      </c>
      <c r="AB8058" s="7">
        <v>15.968</v>
      </c>
      <c r="AC8058" s="2"/>
    </row>
    <row r="8059" spans="1:29" ht="117" x14ac:dyDescent="0.15">
      <c r="A8059" s="3">
        <f>DATE(2006,5,17)</f>
        <v>38854</v>
      </c>
      <c r="B8059" s="2"/>
      <c r="C8059" s="2" t="s">
        <v>7330</v>
      </c>
      <c r="D8059" s="2" t="s">
        <v>24106</v>
      </c>
      <c r="E8059" s="2" t="s">
        <v>24107</v>
      </c>
      <c r="F8059" s="4">
        <v>7382</v>
      </c>
      <c r="G8059" s="2" t="s">
        <v>223</v>
      </c>
      <c r="H8059" s="2" t="s">
        <v>34</v>
      </c>
      <c r="I8059" s="2" t="s">
        <v>24108</v>
      </c>
      <c r="J8059" s="2" t="s">
        <v>24109</v>
      </c>
      <c r="K8059" s="2" t="s">
        <v>223</v>
      </c>
      <c r="L8059" s="2" t="s">
        <v>34</v>
      </c>
      <c r="M8059" s="2"/>
      <c r="N8059" s="2"/>
      <c r="O8059" s="2"/>
      <c r="P8059" s="2" t="s">
        <v>24110</v>
      </c>
      <c r="Q8059" s="2"/>
      <c r="R8059" s="6">
        <v>3.6</v>
      </c>
      <c r="S8059" s="5">
        <v>-23.2</v>
      </c>
      <c r="T8059" s="7">
        <v>20.863</v>
      </c>
      <c r="U8059" s="5">
        <v>4.8</v>
      </c>
      <c r="V8059" s="6">
        <v>-0.94</v>
      </c>
      <c r="W8059" s="6">
        <v>3.63</v>
      </c>
      <c r="X8059" s="6">
        <v>3.51</v>
      </c>
      <c r="Y8059" s="5">
        <v>3.5</v>
      </c>
      <c r="Z8059" s="6">
        <v>3.67</v>
      </c>
      <c r="AA8059" s="6">
        <v>24.37</v>
      </c>
      <c r="AB8059" s="2" t="s">
        <v>86</v>
      </c>
      <c r="AC8059" s="2"/>
    </row>
    <row r="8060" spans="1:29" ht="182" x14ac:dyDescent="0.15">
      <c r="A8060" s="3">
        <f>DATE(2006,5,19)</f>
        <v>38856</v>
      </c>
      <c r="B8060" s="3">
        <f>DATE(2006,9,21)</f>
        <v>38981</v>
      </c>
      <c r="C8060" s="2" t="s">
        <v>95</v>
      </c>
      <c r="D8060" s="2" t="s">
        <v>11247</v>
      </c>
      <c r="E8060" s="2" t="s">
        <v>92</v>
      </c>
      <c r="F8060" s="4">
        <v>6798</v>
      </c>
      <c r="G8060" s="2" t="s">
        <v>53</v>
      </c>
      <c r="H8060" s="2" t="s">
        <v>34</v>
      </c>
      <c r="I8060" s="2" t="s">
        <v>24111</v>
      </c>
      <c r="J8060" s="2" t="s">
        <v>92</v>
      </c>
      <c r="K8060" s="2" t="s">
        <v>53</v>
      </c>
      <c r="L8060" s="2" t="s">
        <v>34</v>
      </c>
      <c r="M8060" s="2"/>
      <c r="N8060" s="2"/>
      <c r="O8060" s="2"/>
      <c r="P8060" s="2" t="s">
        <v>24112</v>
      </c>
      <c r="Q8060" s="6">
        <v>100</v>
      </c>
      <c r="R8060" s="6">
        <v>11</v>
      </c>
      <c r="S8060" s="5">
        <v>-6.3</v>
      </c>
      <c r="T8060" s="7">
        <v>13.802</v>
      </c>
      <c r="U8060" s="5">
        <v>11.7</v>
      </c>
      <c r="V8060" s="6">
        <v>-0.73</v>
      </c>
      <c r="W8060" s="6">
        <v>9.3800000000000008</v>
      </c>
      <c r="X8060" s="5">
        <v>9.1999999999999993</v>
      </c>
      <c r="Y8060" s="5">
        <v>9.1999999999999993</v>
      </c>
      <c r="Z8060" s="6">
        <v>10.72</v>
      </c>
      <c r="AA8060" s="6">
        <v>17.690000000000001</v>
      </c>
      <c r="AB8060" s="2" t="s">
        <v>86</v>
      </c>
      <c r="AC8060" s="2"/>
    </row>
    <row r="8061" spans="1:29" ht="65" x14ac:dyDescent="0.15">
      <c r="A8061" s="3">
        <f>DATE(2006,5,19)</f>
        <v>38856</v>
      </c>
      <c r="B8061" s="2"/>
      <c r="C8061" s="2" t="s">
        <v>7330</v>
      </c>
      <c r="D8061" s="2" t="s">
        <v>24113</v>
      </c>
      <c r="E8061" s="2" t="s">
        <v>3900</v>
      </c>
      <c r="F8061" s="4">
        <v>5812</v>
      </c>
      <c r="G8061" s="2" t="s">
        <v>230</v>
      </c>
      <c r="H8061" s="2" t="s">
        <v>34</v>
      </c>
      <c r="I8061" s="2" t="s">
        <v>24114</v>
      </c>
      <c r="J8061" s="2" t="s">
        <v>11337</v>
      </c>
      <c r="K8061" s="2" t="s">
        <v>53</v>
      </c>
      <c r="L8061" s="2" t="s">
        <v>34</v>
      </c>
      <c r="M8061" s="2"/>
      <c r="N8061" s="2"/>
      <c r="O8061" s="2"/>
      <c r="P8061" s="2" t="s">
        <v>24115</v>
      </c>
      <c r="Q8061" s="2"/>
      <c r="R8061" s="6">
        <v>5.5</v>
      </c>
      <c r="S8061" s="5">
        <v>1</v>
      </c>
      <c r="T8061" s="7">
        <v>0.436</v>
      </c>
      <c r="U8061" s="5">
        <v>2.2000000000000002</v>
      </c>
      <c r="V8061" s="6">
        <v>0.79</v>
      </c>
      <c r="W8061" s="6">
        <v>4.45</v>
      </c>
      <c r="X8061" s="6">
        <v>4.45</v>
      </c>
      <c r="Y8061" s="6">
        <v>4.45</v>
      </c>
      <c r="Z8061" s="5">
        <v>5.4</v>
      </c>
      <c r="AA8061" s="6">
        <v>1.3</v>
      </c>
      <c r="AB8061" s="7">
        <v>23.561</v>
      </c>
      <c r="AC8061" s="2"/>
    </row>
    <row r="8062" spans="1:29" ht="117" x14ac:dyDescent="0.15">
      <c r="A8062" s="3">
        <f>DATE(2006,5,22)</f>
        <v>38859</v>
      </c>
      <c r="B8062" s="2"/>
      <c r="C8062" s="2" t="s">
        <v>30</v>
      </c>
      <c r="D8062" s="2" t="s">
        <v>24116</v>
      </c>
      <c r="E8062" s="2" t="s">
        <v>24117</v>
      </c>
      <c r="F8062" s="4">
        <v>3841</v>
      </c>
      <c r="G8062" s="2" t="s">
        <v>226</v>
      </c>
      <c r="H8062" s="2" t="s">
        <v>34</v>
      </c>
      <c r="I8062" s="2" t="s">
        <v>24118</v>
      </c>
      <c r="J8062" s="2" t="s">
        <v>24119</v>
      </c>
      <c r="K8062" s="2" t="s">
        <v>163</v>
      </c>
      <c r="L8062" s="2" t="s">
        <v>34</v>
      </c>
      <c r="M8062" s="2"/>
      <c r="N8062" s="2"/>
      <c r="O8062" s="2"/>
      <c r="P8062" s="2" t="s">
        <v>24120</v>
      </c>
      <c r="Q8062" s="2"/>
      <c r="R8062" s="6">
        <v>8.06</v>
      </c>
      <c r="S8062" s="5">
        <v>18.600000000000001</v>
      </c>
      <c r="T8062" s="7">
        <v>30.843</v>
      </c>
      <c r="U8062" s="5">
        <v>0.6</v>
      </c>
      <c r="V8062" s="6">
        <v>0.56999999999999995</v>
      </c>
      <c r="W8062" s="5">
        <v>7.3</v>
      </c>
      <c r="X8062" s="5">
        <v>7.6</v>
      </c>
      <c r="Y8062" s="5">
        <v>8.1999999999999993</v>
      </c>
      <c r="Z8062" s="4">
        <v>8</v>
      </c>
      <c r="AA8062" s="6">
        <v>17.27</v>
      </c>
      <c r="AB8062" s="7">
        <v>5.8029999999999999</v>
      </c>
      <c r="AC8062" s="2"/>
    </row>
    <row r="8063" spans="1:29" ht="130" x14ac:dyDescent="0.15">
      <c r="A8063" s="3">
        <f>DATE(2006,5,22)</f>
        <v>38859</v>
      </c>
      <c r="B8063" s="3">
        <f>DATE(2006,10,16)</f>
        <v>39006</v>
      </c>
      <c r="C8063" s="2" t="s">
        <v>95</v>
      </c>
      <c r="D8063" s="2" t="s">
        <v>24121</v>
      </c>
      <c r="E8063" s="2" t="s">
        <v>265</v>
      </c>
      <c r="F8063" s="4">
        <v>6022</v>
      </c>
      <c r="G8063" s="2" t="s">
        <v>37</v>
      </c>
      <c r="H8063" s="2" t="s">
        <v>34</v>
      </c>
      <c r="I8063" s="2" t="s">
        <v>24122</v>
      </c>
      <c r="J8063" s="2" t="s">
        <v>3780</v>
      </c>
      <c r="K8063" s="2" t="s">
        <v>37</v>
      </c>
      <c r="L8063" s="2" t="s">
        <v>34</v>
      </c>
      <c r="M8063" s="7">
        <v>863.02099999999996</v>
      </c>
      <c r="N8063" s="6">
        <v>42.52</v>
      </c>
      <c r="O8063" s="6">
        <v>42.11</v>
      </c>
      <c r="P8063" s="2" t="s">
        <v>24123</v>
      </c>
      <c r="Q8063" s="6">
        <v>100</v>
      </c>
      <c r="R8063" s="6">
        <v>41.95</v>
      </c>
      <c r="S8063" s="5">
        <v>9</v>
      </c>
      <c r="T8063" s="2"/>
      <c r="U8063" s="5">
        <v>12.8</v>
      </c>
      <c r="V8063" s="6">
        <v>2.15</v>
      </c>
      <c r="W8063" s="6">
        <v>36.94</v>
      </c>
      <c r="X8063" s="4">
        <v>38</v>
      </c>
      <c r="Y8063" s="6">
        <v>40.35</v>
      </c>
      <c r="Z8063" s="6">
        <v>39.97</v>
      </c>
      <c r="AA8063" s="6">
        <v>4.13</v>
      </c>
      <c r="AB8063" s="7">
        <v>15.936</v>
      </c>
      <c r="AC8063" s="2"/>
    </row>
    <row r="8064" spans="1:29" ht="104" x14ac:dyDescent="0.15">
      <c r="A8064" s="3">
        <f>DATE(2006,5,22)</f>
        <v>38859</v>
      </c>
      <c r="B8064" s="3">
        <f>DATE(2006,7,27)</f>
        <v>38925</v>
      </c>
      <c r="C8064" s="2" t="s">
        <v>95</v>
      </c>
      <c r="D8064" s="2" t="s">
        <v>13718</v>
      </c>
      <c r="E8064" s="2" t="s">
        <v>268</v>
      </c>
      <c r="F8064" s="4">
        <v>7011</v>
      </c>
      <c r="G8064" s="2" t="s">
        <v>269</v>
      </c>
      <c r="H8064" s="2" t="s">
        <v>34</v>
      </c>
      <c r="I8064" s="2" t="s">
        <v>24124</v>
      </c>
      <c r="J8064" s="2" t="s">
        <v>244</v>
      </c>
      <c r="K8064" s="2" t="s">
        <v>53</v>
      </c>
      <c r="L8064" s="2" t="s">
        <v>34</v>
      </c>
      <c r="M8064" s="2"/>
      <c r="N8064" s="2"/>
      <c r="O8064" s="2"/>
      <c r="P8064" s="2" t="s">
        <v>24125</v>
      </c>
      <c r="Q8064" s="6">
        <v>100</v>
      </c>
      <c r="R8064" s="6">
        <v>2.97</v>
      </c>
      <c r="S8064" s="5">
        <v>-0.5</v>
      </c>
      <c r="T8064" s="7">
        <v>16.716000000000001</v>
      </c>
      <c r="U8064" s="5">
        <v>1.4</v>
      </c>
      <c r="V8064" s="6">
        <v>-0.02</v>
      </c>
      <c r="W8064" s="6">
        <v>2.29</v>
      </c>
      <c r="X8064" s="6">
        <v>2.29</v>
      </c>
      <c r="Y8064" s="6">
        <v>2.85</v>
      </c>
      <c r="Z8064" s="6">
        <v>2.86</v>
      </c>
      <c r="AA8064" s="6">
        <v>56.99</v>
      </c>
      <c r="AB8064" s="2" t="s">
        <v>86</v>
      </c>
      <c r="AC8064" s="2"/>
    </row>
    <row r="8065" spans="1:29" ht="117" x14ac:dyDescent="0.15">
      <c r="A8065" s="3">
        <f>DATE(2006,5,22)</f>
        <v>38859</v>
      </c>
      <c r="B8065" s="3">
        <f>DATE(2006,6,29)</f>
        <v>38897</v>
      </c>
      <c r="C8065" s="2" t="s">
        <v>95</v>
      </c>
      <c r="D8065" s="2" t="s">
        <v>24126</v>
      </c>
      <c r="E8065" s="2" t="s">
        <v>3900</v>
      </c>
      <c r="F8065" s="4">
        <v>5812</v>
      </c>
      <c r="G8065" s="2" t="s">
        <v>230</v>
      </c>
      <c r="H8065" s="2" t="s">
        <v>34</v>
      </c>
      <c r="I8065" s="2" t="s">
        <v>24127</v>
      </c>
      <c r="J8065" s="2" t="s">
        <v>13573</v>
      </c>
      <c r="K8065" s="2" t="s">
        <v>230</v>
      </c>
      <c r="L8065" s="2" t="s">
        <v>34</v>
      </c>
      <c r="M8065" s="2"/>
      <c r="N8065" s="2"/>
      <c r="O8065" s="2"/>
      <c r="P8065" s="2" t="s">
        <v>24128</v>
      </c>
      <c r="Q8065" s="6">
        <v>100</v>
      </c>
      <c r="R8065" s="6">
        <v>6.4</v>
      </c>
      <c r="S8065" s="5">
        <v>-5.8</v>
      </c>
      <c r="T8065" s="2"/>
      <c r="U8065" s="5">
        <v>1.9</v>
      </c>
      <c r="V8065" s="6">
        <v>-0.39</v>
      </c>
      <c r="W8065" s="5">
        <v>5.2</v>
      </c>
      <c r="X8065" s="6">
        <v>5.31</v>
      </c>
      <c r="Y8065" s="6">
        <v>6.34</v>
      </c>
      <c r="Z8065" s="6">
        <v>6.35</v>
      </c>
      <c r="AA8065" s="6">
        <v>17.23</v>
      </c>
      <c r="AB8065" s="2" t="s">
        <v>47</v>
      </c>
      <c r="AC8065" s="2"/>
    </row>
    <row r="8066" spans="1:29" ht="91" x14ac:dyDescent="0.15">
      <c r="A8066" s="3">
        <f>DATE(2006,5,23)</f>
        <v>38860</v>
      </c>
      <c r="B8066" s="3">
        <f>DATE(2006,8,4)</f>
        <v>38933</v>
      </c>
      <c r="C8066" s="2" t="s">
        <v>95</v>
      </c>
      <c r="D8066" s="2" t="s">
        <v>19182</v>
      </c>
      <c r="E8066" s="2" t="s">
        <v>19183</v>
      </c>
      <c r="F8066" s="4">
        <v>3571</v>
      </c>
      <c r="G8066" s="2" t="s">
        <v>50</v>
      </c>
      <c r="H8066" s="2" t="s">
        <v>34</v>
      </c>
      <c r="I8066" s="2" t="s">
        <v>24129</v>
      </c>
      <c r="J8066" s="2" t="s">
        <v>24130</v>
      </c>
      <c r="K8066" s="2" t="s">
        <v>163</v>
      </c>
      <c r="L8066" s="2" t="s">
        <v>435</v>
      </c>
      <c r="M8066" s="12">
        <v>6664.3810000000003</v>
      </c>
      <c r="N8066" s="7">
        <v>17.109000000000002</v>
      </c>
      <c r="O8066" s="7">
        <v>16.654</v>
      </c>
      <c r="P8066" s="2" t="s">
        <v>24131</v>
      </c>
      <c r="Q8066" s="6">
        <v>100</v>
      </c>
      <c r="R8066" s="6">
        <v>25.5</v>
      </c>
      <c r="S8066" s="5">
        <v>10</v>
      </c>
      <c r="T8066" s="7">
        <v>14.755000000000001</v>
      </c>
      <c r="U8066" s="5">
        <v>5.3</v>
      </c>
      <c r="V8066" s="6">
        <v>0.76</v>
      </c>
      <c r="W8066" s="5">
        <v>16.399999999999999</v>
      </c>
      <c r="X8066" s="6">
        <v>16.23</v>
      </c>
      <c r="Y8066" s="6">
        <v>24.71</v>
      </c>
      <c r="Z8066" s="7">
        <v>24.736000000000001</v>
      </c>
      <c r="AA8066" s="6">
        <v>12.79</v>
      </c>
      <c r="AB8066" s="7">
        <v>22.152000000000001</v>
      </c>
      <c r="AC8066" s="6">
        <v>128.4</v>
      </c>
    </row>
    <row r="8067" spans="1:29" ht="104" x14ac:dyDescent="0.15">
      <c r="A8067" s="3">
        <f>DATE(2006,5,24)</f>
        <v>38861</v>
      </c>
      <c r="B8067" s="3">
        <f>DATE(2006,7,21)</f>
        <v>38919</v>
      </c>
      <c r="C8067" s="2" t="s">
        <v>95</v>
      </c>
      <c r="D8067" s="2" t="s">
        <v>24132</v>
      </c>
      <c r="E8067" s="2" t="s">
        <v>12851</v>
      </c>
      <c r="F8067" s="4">
        <v>7359</v>
      </c>
      <c r="G8067" s="2" t="s">
        <v>223</v>
      </c>
      <c r="H8067" s="2" t="s">
        <v>34</v>
      </c>
      <c r="I8067" s="2" t="s">
        <v>24133</v>
      </c>
      <c r="J8067" s="2" t="s">
        <v>244</v>
      </c>
      <c r="K8067" s="2" t="s">
        <v>53</v>
      </c>
      <c r="L8067" s="2" t="s">
        <v>34</v>
      </c>
      <c r="M8067" s="2"/>
      <c r="N8067" s="2"/>
      <c r="O8067" s="2"/>
      <c r="P8067" s="2" t="s">
        <v>24134</v>
      </c>
      <c r="Q8067" s="6">
        <v>100</v>
      </c>
      <c r="R8067" s="6">
        <v>18.75</v>
      </c>
      <c r="S8067" s="5">
        <v>-64.3</v>
      </c>
      <c r="T8067" s="7">
        <v>125.476</v>
      </c>
      <c r="U8067" s="5">
        <v>3.9</v>
      </c>
      <c r="V8067" s="6">
        <v>-3.39</v>
      </c>
      <c r="W8067" s="6">
        <v>18.309999999999999</v>
      </c>
      <c r="X8067" s="4">
        <v>19</v>
      </c>
      <c r="Y8067" s="4">
        <v>19</v>
      </c>
      <c r="Z8067" s="4">
        <v>19</v>
      </c>
      <c r="AA8067" s="6">
        <v>19.03</v>
      </c>
      <c r="AB8067" s="2" t="s">
        <v>86</v>
      </c>
      <c r="AC8067" s="2"/>
    </row>
    <row r="8068" spans="1:29" ht="143" x14ac:dyDescent="0.15">
      <c r="A8068" s="3">
        <f>DATE(2006,5,25)</f>
        <v>38862</v>
      </c>
      <c r="B8068" s="3">
        <f>DATE(2006,10,2)</f>
        <v>38992</v>
      </c>
      <c r="C8068" s="2" t="s">
        <v>95</v>
      </c>
      <c r="D8068" s="2" t="s">
        <v>24135</v>
      </c>
      <c r="E8068" s="2" t="s">
        <v>24136</v>
      </c>
      <c r="F8068" s="4">
        <v>6162</v>
      </c>
      <c r="G8068" s="2" t="s">
        <v>109</v>
      </c>
      <c r="H8068" s="2" t="s">
        <v>34</v>
      </c>
      <c r="I8068" s="2" t="s">
        <v>24137</v>
      </c>
      <c r="J8068" s="2" t="s">
        <v>24138</v>
      </c>
      <c r="K8068" s="2" t="s">
        <v>109</v>
      </c>
      <c r="L8068" s="2" t="s">
        <v>34</v>
      </c>
      <c r="M8068" s="12">
        <v>1210.6510000000001</v>
      </c>
      <c r="N8068" s="6">
        <v>53.29</v>
      </c>
      <c r="O8068" s="6">
        <v>55.58</v>
      </c>
      <c r="P8068" s="2" t="s">
        <v>24139</v>
      </c>
      <c r="Q8068" s="6">
        <v>100</v>
      </c>
      <c r="R8068" s="6">
        <v>3.64</v>
      </c>
      <c r="S8068" s="5">
        <v>-18.899999999999999</v>
      </c>
      <c r="T8068" s="7">
        <v>-15.478999999999999</v>
      </c>
      <c r="U8068" s="5">
        <v>4.0999999999999996</v>
      </c>
      <c r="V8068" s="2"/>
      <c r="W8068" s="5">
        <v>5.6</v>
      </c>
      <c r="X8068" s="6">
        <v>5.72</v>
      </c>
      <c r="Y8068" s="6">
        <v>5.36</v>
      </c>
      <c r="Z8068" s="6">
        <v>5.49</v>
      </c>
      <c r="AA8068" s="6">
        <v>61.89</v>
      </c>
      <c r="AB8068" s="2" t="s">
        <v>86</v>
      </c>
      <c r="AC8068" s="6">
        <v>119.99</v>
      </c>
    </row>
    <row r="8069" spans="1:29" ht="130" x14ac:dyDescent="0.15">
      <c r="A8069" s="3">
        <f>DATE(2006,5,25)</f>
        <v>38862</v>
      </c>
      <c r="B8069" s="3">
        <f>DATE(2006,11,4)</f>
        <v>39025</v>
      </c>
      <c r="C8069" s="2" t="s">
        <v>95</v>
      </c>
      <c r="D8069" s="2" t="s">
        <v>2995</v>
      </c>
      <c r="E8069" s="2" t="s">
        <v>159</v>
      </c>
      <c r="F8069" s="4">
        <v>6712</v>
      </c>
      <c r="G8069" s="2" t="s">
        <v>37</v>
      </c>
      <c r="H8069" s="2" t="s">
        <v>34</v>
      </c>
      <c r="I8069" s="2" t="s">
        <v>21630</v>
      </c>
      <c r="J8069" s="2" t="s">
        <v>36</v>
      </c>
      <c r="K8069" s="2" t="s">
        <v>37</v>
      </c>
      <c r="L8069" s="2" t="s">
        <v>34</v>
      </c>
      <c r="M8069" s="12">
        <v>16465.808000000001</v>
      </c>
      <c r="N8069" s="6">
        <v>34.44</v>
      </c>
      <c r="O8069" s="6">
        <v>34.380000000000003</v>
      </c>
      <c r="P8069" s="2" t="s">
        <v>24140</v>
      </c>
      <c r="Q8069" s="6">
        <v>100</v>
      </c>
      <c r="R8069" s="6">
        <v>28.33</v>
      </c>
      <c r="S8069" s="5">
        <v>728.1</v>
      </c>
      <c r="T8069" s="12">
        <v>1172.816</v>
      </c>
      <c r="U8069" s="5">
        <v>10.4</v>
      </c>
      <c r="V8069" s="6">
        <v>2.06</v>
      </c>
      <c r="W8069" s="6">
        <v>28.02</v>
      </c>
      <c r="X8069" s="5">
        <v>28.9</v>
      </c>
      <c r="Y8069" s="4">
        <v>28</v>
      </c>
      <c r="Z8069" s="6">
        <v>27.56</v>
      </c>
      <c r="AA8069" s="6">
        <v>346.07</v>
      </c>
      <c r="AB8069" s="7">
        <v>19.187999999999999</v>
      </c>
      <c r="AC8069" s="2"/>
    </row>
    <row r="8070" spans="1:29" ht="104" x14ac:dyDescent="0.15">
      <c r="A8070" s="3">
        <f>DATE(2006,5,25)</f>
        <v>38862</v>
      </c>
      <c r="B8070" s="3">
        <f>DATE(2006,8,9)</f>
        <v>38938</v>
      </c>
      <c r="C8070" s="2" t="s">
        <v>95</v>
      </c>
      <c r="D8070" s="2" t="s">
        <v>24141</v>
      </c>
      <c r="E8070" s="2" t="s">
        <v>24142</v>
      </c>
      <c r="F8070" s="4">
        <v>4841</v>
      </c>
      <c r="G8070" s="2" t="s">
        <v>45</v>
      </c>
      <c r="H8070" s="2" t="s">
        <v>34</v>
      </c>
      <c r="I8070" s="2" t="s">
        <v>24143</v>
      </c>
      <c r="J8070" s="2" t="s">
        <v>22852</v>
      </c>
      <c r="K8070" s="2" t="s">
        <v>223</v>
      </c>
      <c r="L8070" s="2" t="s">
        <v>34</v>
      </c>
      <c r="M8070" s="2"/>
      <c r="N8070" s="2"/>
      <c r="O8070" s="2"/>
      <c r="P8070" s="2" t="s">
        <v>24144</v>
      </c>
      <c r="Q8070" s="6">
        <v>100</v>
      </c>
      <c r="R8070" s="6">
        <v>18.239999999999998</v>
      </c>
      <c r="S8070" s="5">
        <v>1.9</v>
      </c>
      <c r="T8070" s="7">
        <v>2.698</v>
      </c>
      <c r="U8070" s="5">
        <v>9.1999999999999993</v>
      </c>
      <c r="V8070" s="6">
        <v>0.64</v>
      </c>
      <c r="W8070" s="6">
        <v>13.39</v>
      </c>
      <c r="X8070" s="5">
        <v>13.6</v>
      </c>
      <c r="Y8070" s="7">
        <v>13.507999999999999</v>
      </c>
      <c r="Z8070" s="5">
        <v>17.8</v>
      </c>
      <c r="AA8070" s="6">
        <v>2.91</v>
      </c>
      <c r="AB8070" s="7">
        <v>52.820999999999998</v>
      </c>
      <c r="AC8070" s="2"/>
    </row>
    <row r="8071" spans="1:29" ht="182" x14ac:dyDescent="0.15">
      <c r="A8071" s="3">
        <f>DATE(2006,5,25)</f>
        <v>38862</v>
      </c>
      <c r="B8071" s="2"/>
      <c r="C8071" s="2" t="s">
        <v>30</v>
      </c>
      <c r="D8071" s="2" t="s">
        <v>17964</v>
      </c>
      <c r="E8071" s="2" t="s">
        <v>1608</v>
      </c>
      <c r="F8071" s="4">
        <v>1311</v>
      </c>
      <c r="G8071" s="2" t="s">
        <v>148</v>
      </c>
      <c r="H8071" s="2" t="s">
        <v>34</v>
      </c>
      <c r="I8071" s="2" t="s">
        <v>24145</v>
      </c>
      <c r="J8071" s="2" t="s">
        <v>1608</v>
      </c>
      <c r="K8071" s="2" t="s">
        <v>148</v>
      </c>
      <c r="L8071" s="2" t="s">
        <v>34</v>
      </c>
      <c r="M8071" s="7">
        <v>985.97699999999998</v>
      </c>
      <c r="N8071" s="6">
        <v>21.07</v>
      </c>
      <c r="O8071" s="5">
        <v>21.4</v>
      </c>
      <c r="P8071" s="2" t="s">
        <v>24146</v>
      </c>
      <c r="Q8071" s="2"/>
      <c r="R8071" s="6">
        <v>52</v>
      </c>
      <c r="S8071" s="5">
        <v>123.4</v>
      </c>
      <c r="T8071" s="7">
        <v>468.31099999999998</v>
      </c>
      <c r="U8071" s="8">
        <v>2040.3</v>
      </c>
      <c r="V8071" s="9">
        <v>264.3777</v>
      </c>
      <c r="W8071" s="5">
        <v>44.4</v>
      </c>
      <c r="X8071" s="5">
        <v>47.1</v>
      </c>
      <c r="Y8071" s="6">
        <v>48.86</v>
      </c>
      <c r="Z8071" s="6">
        <v>50.14</v>
      </c>
      <c r="AA8071" s="6">
        <v>27.27</v>
      </c>
      <c r="AB8071" s="7">
        <v>2.7770000000000001</v>
      </c>
      <c r="AC8071" s="6">
        <v>2.73</v>
      </c>
    </row>
    <row r="8072" spans="1:29" ht="208" x14ac:dyDescent="0.15">
      <c r="A8072" s="3">
        <f>DATE(2006,5,29)</f>
        <v>38866</v>
      </c>
      <c r="B8072" s="3">
        <f>DATE(2007,5,30)</f>
        <v>39232</v>
      </c>
      <c r="C8072" s="2" t="s">
        <v>95</v>
      </c>
      <c r="D8072" s="2" t="s">
        <v>24147</v>
      </c>
      <c r="E8072" s="2" t="s">
        <v>4767</v>
      </c>
      <c r="F8072" s="4">
        <v>4923</v>
      </c>
      <c r="G8072" s="2" t="s">
        <v>439</v>
      </c>
      <c r="H8072" s="2" t="s">
        <v>34</v>
      </c>
      <c r="I8072" s="2" t="s">
        <v>24148</v>
      </c>
      <c r="J8072" s="2" t="s">
        <v>11337</v>
      </c>
      <c r="K8072" s="2" t="s">
        <v>53</v>
      </c>
      <c r="L8072" s="2" t="s">
        <v>34</v>
      </c>
      <c r="M8072" s="2"/>
      <c r="N8072" s="2"/>
      <c r="O8072" s="2"/>
      <c r="P8072" s="2" t="s">
        <v>24149</v>
      </c>
      <c r="Q8072" s="6">
        <v>100</v>
      </c>
      <c r="R8072" s="6">
        <v>107.5</v>
      </c>
      <c r="S8072" s="5">
        <v>635.70000000000005</v>
      </c>
      <c r="T8072" s="12">
        <v>1677.614</v>
      </c>
      <c r="U8072" s="5">
        <v>27.8</v>
      </c>
      <c r="V8072" s="6">
        <v>4.8899999999999997</v>
      </c>
      <c r="W8072" s="6">
        <v>83.61</v>
      </c>
      <c r="X8072" s="6">
        <v>84.41</v>
      </c>
      <c r="Y8072" s="6">
        <v>100.31</v>
      </c>
      <c r="Z8072" s="6">
        <v>100.31</v>
      </c>
      <c r="AA8072" s="6">
        <v>133.91999999999999</v>
      </c>
      <c r="AB8072" s="7">
        <v>22.577000000000002</v>
      </c>
      <c r="AC8072" s="2"/>
    </row>
    <row r="8073" spans="1:29" ht="39" x14ac:dyDescent="0.15">
      <c r="A8073" s="3">
        <f>DATE(2006,5,30)</f>
        <v>38867</v>
      </c>
      <c r="B8073" s="3">
        <f>DATE(2006,5,30)</f>
        <v>38867</v>
      </c>
      <c r="C8073" s="2" t="s">
        <v>95</v>
      </c>
      <c r="D8073" s="2" t="s">
        <v>24150</v>
      </c>
      <c r="E8073" s="2" t="s">
        <v>1072</v>
      </c>
      <c r="F8073" s="4">
        <v>6799</v>
      </c>
      <c r="G8073" s="2" t="s">
        <v>53</v>
      </c>
      <c r="H8073" s="2" t="s">
        <v>34</v>
      </c>
      <c r="I8073" s="2" t="s">
        <v>24151</v>
      </c>
      <c r="J8073" s="2" t="s">
        <v>1620</v>
      </c>
      <c r="K8073" s="2" t="s">
        <v>53</v>
      </c>
      <c r="L8073" s="2" t="s">
        <v>34</v>
      </c>
      <c r="M8073" s="2"/>
      <c r="N8073" s="5">
        <v>0.9</v>
      </c>
      <c r="O8073" s="4">
        <v>4</v>
      </c>
      <c r="P8073" s="2" t="s">
        <v>24152</v>
      </c>
      <c r="Q8073" s="2"/>
      <c r="R8073" s="2"/>
      <c r="S8073" s="5">
        <v>-0.8</v>
      </c>
      <c r="T8073" s="2"/>
      <c r="U8073" s="5">
        <v>0.4</v>
      </c>
      <c r="V8073" s="6">
        <v>-0.08</v>
      </c>
      <c r="W8073" s="5">
        <v>4.5</v>
      </c>
      <c r="X8073" s="5">
        <v>4.5</v>
      </c>
      <c r="Y8073" s="5">
        <v>4.5</v>
      </c>
      <c r="Z8073" s="5">
        <v>4.5</v>
      </c>
      <c r="AA8073" s="6">
        <v>9.58</v>
      </c>
      <c r="AB8073" s="2" t="s">
        <v>86</v>
      </c>
      <c r="AC8073" s="2"/>
    </row>
    <row r="8074" spans="1:29" ht="143" x14ac:dyDescent="0.15">
      <c r="A8074" s="3">
        <f>DATE(2006,5,30)</f>
        <v>38867</v>
      </c>
      <c r="B8074" s="2"/>
      <c r="C8074" s="2" t="s">
        <v>30</v>
      </c>
      <c r="D8074" s="2" t="s">
        <v>23995</v>
      </c>
      <c r="E8074" s="2" t="s">
        <v>3439</v>
      </c>
      <c r="F8074" s="4">
        <v>5411</v>
      </c>
      <c r="G8074" s="2" t="s">
        <v>1461</v>
      </c>
      <c r="H8074" s="2" t="s">
        <v>34</v>
      </c>
      <c r="I8074" s="2" t="s">
        <v>51</v>
      </c>
      <c r="J8074" s="2" t="s">
        <v>52</v>
      </c>
      <c r="K8074" s="2" t="s">
        <v>53</v>
      </c>
      <c r="L8074" s="2" t="s">
        <v>34</v>
      </c>
      <c r="M8074" s="2"/>
      <c r="N8074" s="2"/>
      <c r="O8074" s="2"/>
      <c r="P8074" s="2" t="s">
        <v>24153</v>
      </c>
      <c r="Q8074" s="2"/>
      <c r="R8074" s="6">
        <v>13.63</v>
      </c>
      <c r="S8074" s="5">
        <v>-40.200000000000003</v>
      </c>
      <c r="T8074" s="7">
        <v>33.326999999999998</v>
      </c>
      <c r="U8074" s="5">
        <v>10.8</v>
      </c>
      <c r="V8074" s="6">
        <v>-5.09</v>
      </c>
      <c r="W8074" s="6">
        <v>8.06</v>
      </c>
      <c r="X8074" s="5">
        <v>10.199999999999999</v>
      </c>
      <c r="Y8074" s="5">
        <v>10.8</v>
      </c>
      <c r="Z8074" s="6">
        <v>11.16</v>
      </c>
      <c r="AA8074" s="6">
        <v>8.7799999999999994</v>
      </c>
      <c r="AB8074" s="7">
        <v>46.106000000000002</v>
      </c>
      <c r="AC8074" s="2"/>
    </row>
    <row r="8075" spans="1:29" ht="169" x14ac:dyDescent="0.15">
      <c r="A8075" s="3">
        <f>DATE(2006,5,30)</f>
        <v>38867</v>
      </c>
      <c r="B8075" s="2"/>
      <c r="C8075" s="2" t="s">
        <v>30</v>
      </c>
      <c r="D8075" s="2" t="s">
        <v>19713</v>
      </c>
      <c r="E8075" s="2" t="s">
        <v>24154</v>
      </c>
      <c r="F8075" s="4">
        <v>4911</v>
      </c>
      <c r="G8075" s="2" t="s">
        <v>439</v>
      </c>
      <c r="H8075" s="2" t="s">
        <v>34</v>
      </c>
      <c r="I8075" s="2" t="s">
        <v>18482</v>
      </c>
      <c r="J8075" s="2" t="s">
        <v>438</v>
      </c>
      <c r="K8075" s="2" t="s">
        <v>439</v>
      </c>
      <c r="L8075" s="2" t="s">
        <v>34</v>
      </c>
      <c r="M8075" s="12">
        <v>7506.5079999999998</v>
      </c>
      <c r="N8075" s="6">
        <v>25.25</v>
      </c>
      <c r="O8075" s="6">
        <v>24.88</v>
      </c>
      <c r="P8075" s="2" t="s">
        <v>24155</v>
      </c>
      <c r="Q8075" s="2"/>
      <c r="R8075" s="6">
        <v>57.53</v>
      </c>
      <c r="S8075" s="5">
        <v>72.400000000000006</v>
      </c>
      <c r="T8075" s="7">
        <v>686.67499999999995</v>
      </c>
      <c r="U8075" s="5">
        <v>34.200000000000003</v>
      </c>
      <c r="V8075" s="6">
        <v>0.52</v>
      </c>
      <c r="W8075" s="6">
        <v>43.49</v>
      </c>
      <c r="X8075" s="5">
        <v>43.7</v>
      </c>
      <c r="Y8075" s="6">
        <v>43.01</v>
      </c>
      <c r="Z8075" s="6">
        <v>49.75</v>
      </c>
      <c r="AA8075" s="6">
        <v>136.97999999999999</v>
      </c>
      <c r="AB8075" s="7">
        <v>38.850999999999999</v>
      </c>
      <c r="AC8075" s="8">
        <v>2402</v>
      </c>
    </row>
    <row r="8076" spans="1:29" ht="221" x14ac:dyDescent="0.15">
      <c r="A8076" s="3">
        <f>DATE(2006,5,31)</f>
        <v>38868</v>
      </c>
      <c r="B8076" s="2"/>
      <c r="C8076" s="2" t="s">
        <v>30</v>
      </c>
      <c r="D8076" s="2" t="s">
        <v>20642</v>
      </c>
      <c r="E8076" s="2" t="s">
        <v>8046</v>
      </c>
      <c r="F8076" s="4">
        <v>3663</v>
      </c>
      <c r="G8076" s="2" t="s">
        <v>921</v>
      </c>
      <c r="H8076" s="2" t="s">
        <v>34</v>
      </c>
      <c r="I8076" s="2" t="s">
        <v>16400</v>
      </c>
      <c r="J8076" s="2" t="s">
        <v>16401</v>
      </c>
      <c r="K8076" s="2" t="s">
        <v>921</v>
      </c>
      <c r="L8076" s="2" t="s">
        <v>34</v>
      </c>
      <c r="M8076" s="12">
        <v>2594.973</v>
      </c>
      <c r="N8076" s="6">
        <v>17.920000000000002</v>
      </c>
      <c r="O8076" s="6">
        <v>17.39</v>
      </c>
      <c r="P8076" s="2" t="s">
        <v>24156</v>
      </c>
      <c r="Q8076" s="2"/>
      <c r="R8076" s="6">
        <v>12.76</v>
      </c>
      <c r="S8076" s="2"/>
      <c r="T8076" s="2"/>
      <c r="U8076" s="2"/>
      <c r="V8076" s="2"/>
      <c r="W8076" s="6">
        <v>9.84</v>
      </c>
      <c r="X8076" s="6">
        <v>9.7799999999999994</v>
      </c>
      <c r="Y8076" s="6">
        <v>10.119999999999999</v>
      </c>
      <c r="Z8076" s="6">
        <v>9.84</v>
      </c>
      <c r="AA8076" s="6">
        <v>159.63</v>
      </c>
      <c r="AB8076" s="2" t="s">
        <v>47</v>
      </c>
      <c r="AC8076" s="5">
        <v>488.8</v>
      </c>
    </row>
    <row r="8077" spans="1:29" ht="78" x14ac:dyDescent="0.15">
      <c r="A8077" s="3">
        <f>DATE(2006,5,31)</f>
        <v>38868</v>
      </c>
      <c r="B8077" s="3">
        <f>DATE(2006,11,13)</f>
        <v>39034</v>
      </c>
      <c r="C8077" s="2" t="s">
        <v>95</v>
      </c>
      <c r="D8077" s="2" t="s">
        <v>24157</v>
      </c>
      <c r="E8077" s="2" t="s">
        <v>159</v>
      </c>
      <c r="F8077" s="4">
        <v>6022</v>
      </c>
      <c r="G8077" s="2" t="s">
        <v>37</v>
      </c>
      <c r="H8077" s="2" t="s">
        <v>34</v>
      </c>
      <c r="I8077" s="2" t="s">
        <v>24158</v>
      </c>
      <c r="J8077" s="2" t="s">
        <v>159</v>
      </c>
      <c r="K8077" s="2" t="s">
        <v>37</v>
      </c>
      <c r="L8077" s="2" t="s">
        <v>34</v>
      </c>
      <c r="M8077" s="7">
        <v>129.636</v>
      </c>
      <c r="N8077" s="5">
        <v>64.099999999999994</v>
      </c>
      <c r="O8077" s="4">
        <v>64</v>
      </c>
      <c r="P8077" s="2" t="s">
        <v>24159</v>
      </c>
      <c r="Q8077" s="6">
        <v>100</v>
      </c>
      <c r="R8077" s="2"/>
      <c r="S8077" s="2"/>
      <c r="T8077" s="2"/>
      <c r="U8077" s="2"/>
      <c r="V8077" s="2"/>
      <c r="W8077" s="4">
        <v>14</v>
      </c>
      <c r="X8077" s="4">
        <v>14</v>
      </c>
      <c r="Y8077" s="4">
        <v>14</v>
      </c>
      <c r="Z8077" s="4">
        <v>14</v>
      </c>
      <c r="AA8077" s="2"/>
      <c r="AB8077" s="2" t="s">
        <v>47</v>
      </c>
      <c r="AC8077" s="2"/>
    </row>
    <row r="8078" spans="1:29" ht="104" x14ac:dyDescent="0.15">
      <c r="A8078" s="3">
        <f>DATE(2006,5,31)</f>
        <v>38868</v>
      </c>
      <c r="B8078" s="3">
        <f>DATE(2006,10,24)</f>
        <v>39014</v>
      </c>
      <c r="C8078" s="2" t="s">
        <v>95</v>
      </c>
      <c r="D8078" s="2" t="s">
        <v>23718</v>
      </c>
      <c r="E8078" s="2" t="s">
        <v>12564</v>
      </c>
      <c r="F8078" s="4">
        <v>7389</v>
      </c>
      <c r="G8078" s="2" t="s">
        <v>223</v>
      </c>
      <c r="H8078" s="2" t="s">
        <v>34</v>
      </c>
      <c r="I8078" s="2" t="s">
        <v>51</v>
      </c>
      <c r="J8078" s="2" t="s">
        <v>52</v>
      </c>
      <c r="K8078" s="2" t="s">
        <v>53</v>
      </c>
      <c r="L8078" s="2" t="s">
        <v>34</v>
      </c>
      <c r="M8078" s="2"/>
      <c r="N8078" s="2"/>
      <c r="O8078" s="2"/>
      <c r="P8078" s="2" t="s">
        <v>24160</v>
      </c>
      <c r="Q8078" s="6">
        <v>100</v>
      </c>
      <c r="R8078" s="6">
        <v>48.75</v>
      </c>
      <c r="S8078" s="5">
        <v>150.30000000000001</v>
      </c>
      <c r="T8078" s="7">
        <v>377.55399999999997</v>
      </c>
      <c r="U8078" s="5">
        <v>13.9</v>
      </c>
      <c r="V8078" s="6">
        <v>2.11</v>
      </c>
      <c r="W8078" s="6">
        <v>41.26</v>
      </c>
      <c r="X8078" s="6">
        <v>43.15</v>
      </c>
      <c r="Y8078" s="6">
        <v>48.52</v>
      </c>
      <c r="Z8078" s="6">
        <v>48.75</v>
      </c>
      <c r="AA8078" s="6">
        <v>70.48</v>
      </c>
      <c r="AB8078" s="7">
        <v>14.254</v>
      </c>
      <c r="AC8078" s="2"/>
    </row>
    <row r="8079" spans="1:29" ht="143" x14ac:dyDescent="0.15">
      <c r="A8079" s="3">
        <f>DATE(2006,6,1)</f>
        <v>38869</v>
      </c>
      <c r="B8079" s="3">
        <f>DATE(2006,11,1)</f>
        <v>39022</v>
      </c>
      <c r="C8079" s="2" t="s">
        <v>95</v>
      </c>
      <c r="D8079" s="2" t="s">
        <v>24161</v>
      </c>
      <c r="E8079" s="2" t="s">
        <v>36</v>
      </c>
      <c r="F8079" s="4">
        <v>6021</v>
      </c>
      <c r="G8079" s="2" t="s">
        <v>37</v>
      </c>
      <c r="H8079" s="2" t="s">
        <v>34</v>
      </c>
      <c r="I8079" s="2" t="s">
        <v>9991</v>
      </c>
      <c r="J8079" s="2" t="s">
        <v>159</v>
      </c>
      <c r="K8079" s="2" t="s">
        <v>37</v>
      </c>
      <c r="L8079" s="2" t="s">
        <v>34</v>
      </c>
      <c r="M8079" s="7">
        <v>759.67700000000002</v>
      </c>
      <c r="N8079" s="6">
        <v>24.56</v>
      </c>
      <c r="O8079" s="6">
        <v>24.24</v>
      </c>
      <c r="P8079" s="2" t="s">
        <v>24162</v>
      </c>
      <c r="Q8079" s="6">
        <v>100</v>
      </c>
      <c r="R8079" s="6">
        <v>47.74</v>
      </c>
      <c r="S8079" s="5">
        <v>6.5</v>
      </c>
      <c r="T8079" s="7">
        <v>10.317</v>
      </c>
      <c r="U8079" s="5">
        <v>19.399999999999999</v>
      </c>
      <c r="V8079" s="6">
        <v>3.35</v>
      </c>
      <c r="W8079" s="4">
        <v>39</v>
      </c>
      <c r="X8079" s="4">
        <v>39</v>
      </c>
      <c r="Y8079" s="4">
        <v>39</v>
      </c>
      <c r="Z8079" s="5">
        <v>45.5</v>
      </c>
      <c r="AA8079" s="6">
        <v>1.77</v>
      </c>
      <c r="AB8079" s="7">
        <v>9.83</v>
      </c>
      <c r="AC8079" s="2"/>
    </row>
    <row r="8080" spans="1:29" ht="91" x14ac:dyDescent="0.15">
      <c r="A8080" s="3">
        <f>DATE(2006,6,1)</f>
        <v>38869</v>
      </c>
      <c r="B8080" s="3">
        <f>DATE(2006,9,1)</f>
        <v>38961</v>
      </c>
      <c r="C8080" s="2" t="s">
        <v>95</v>
      </c>
      <c r="D8080" s="2" t="s">
        <v>24163</v>
      </c>
      <c r="E8080" s="2" t="s">
        <v>672</v>
      </c>
      <c r="F8080" s="4">
        <v>6022</v>
      </c>
      <c r="G8080" s="2" t="s">
        <v>37</v>
      </c>
      <c r="H8080" s="2" t="s">
        <v>34</v>
      </c>
      <c r="I8080" s="2" t="s">
        <v>9454</v>
      </c>
      <c r="J8080" s="2" t="s">
        <v>36</v>
      </c>
      <c r="K8080" s="2" t="s">
        <v>37</v>
      </c>
      <c r="L8080" s="2" t="s">
        <v>34</v>
      </c>
      <c r="M8080" s="12">
        <v>55603.595000000001</v>
      </c>
      <c r="N8080" s="6">
        <v>31.31</v>
      </c>
      <c r="O8080" s="6">
        <v>31.68</v>
      </c>
      <c r="P8080" s="2" t="s">
        <v>24164</v>
      </c>
      <c r="Q8080" s="6">
        <v>100</v>
      </c>
      <c r="R8080" s="6">
        <v>17</v>
      </c>
      <c r="S8080" s="5">
        <v>3.4</v>
      </c>
      <c r="T8080" s="7">
        <v>5.524</v>
      </c>
      <c r="U8080" s="5">
        <v>11.5</v>
      </c>
      <c r="V8080" s="6">
        <v>0.63</v>
      </c>
      <c r="W8080" s="5">
        <v>16.100000000000001</v>
      </c>
      <c r="X8080" s="6">
        <v>16.05</v>
      </c>
      <c r="Y8080" s="6">
        <v>16.649999999999999</v>
      </c>
      <c r="Z8080" s="6">
        <v>16.62</v>
      </c>
      <c r="AA8080" s="6">
        <v>5.61</v>
      </c>
      <c r="AB8080" s="7">
        <v>48.411999999999999</v>
      </c>
      <c r="AC8080" s="2"/>
    </row>
    <row r="8081" spans="1:29" ht="78" x14ac:dyDescent="0.15">
      <c r="A8081" s="3">
        <f>DATE(2006,6,5)</f>
        <v>38873</v>
      </c>
      <c r="B8081" s="2"/>
      <c r="C8081" s="2" t="s">
        <v>7330</v>
      </c>
      <c r="D8081" s="2" t="s">
        <v>24165</v>
      </c>
      <c r="E8081" s="2" t="s">
        <v>24166</v>
      </c>
      <c r="F8081" s="4">
        <v>8072</v>
      </c>
      <c r="G8081" s="2" t="s">
        <v>454</v>
      </c>
      <c r="H8081" s="2" t="s">
        <v>34</v>
      </c>
      <c r="I8081" s="2" t="s">
        <v>24167</v>
      </c>
      <c r="J8081" s="2" t="s">
        <v>24168</v>
      </c>
      <c r="K8081" s="2" t="s">
        <v>454</v>
      </c>
      <c r="L8081" s="2" t="s">
        <v>34</v>
      </c>
      <c r="M8081" s="2"/>
      <c r="N8081" s="2"/>
      <c r="O8081" s="2"/>
      <c r="P8081" s="2" t="s">
        <v>24169</v>
      </c>
      <c r="Q8081" s="2"/>
      <c r="R8081" s="6">
        <v>4</v>
      </c>
      <c r="S8081" s="5">
        <v>-22.8</v>
      </c>
      <c r="T8081" s="7">
        <v>-7.7990000000000004</v>
      </c>
      <c r="U8081" s="5">
        <v>0.9</v>
      </c>
      <c r="V8081" s="6">
        <v>-1.58</v>
      </c>
      <c r="W8081" s="6">
        <v>1.45</v>
      </c>
      <c r="X8081" s="6">
        <v>1.56</v>
      </c>
      <c r="Y8081" s="6">
        <v>1.67</v>
      </c>
      <c r="Z8081" s="5">
        <v>1.7</v>
      </c>
      <c r="AA8081" s="6">
        <v>10.55</v>
      </c>
      <c r="AB8081" s="2" t="s">
        <v>86</v>
      </c>
      <c r="AC8081" s="2"/>
    </row>
    <row r="8082" spans="1:29" ht="143" x14ac:dyDescent="0.15">
      <c r="A8082" s="3">
        <f>DATE(2006,6,5)</f>
        <v>38873</v>
      </c>
      <c r="B8082" s="3">
        <f>DATE(2006,12,1)</f>
        <v>39052</v>
      </c>
      <c r="C8082" s="2" t="s">
        <v>95</v>
      </c>
      <c r="D8082" s="2" t="s">
        <v>20678</v>
      </c>
      <c r="E8082" s="2" t="s">
        <v>263</v>
      </c>
      <c r="F8082" s="4">
        <v>6712</v>
      </c>
      <c r="G8082" s="2" t="s">
        <v>37</v>
      </c>
      <c r="H8082" s="2" t="s">
        <v>34</v>
      </c>
      <c r="I8082" s="2" t="s">
        <v>11988</v>
      </c>
      <c r="J8082" s="2" t="s">
        <v>36</v>
      </c>
      <c r="K8082" s="2" t="s">
        <v>33</v>
      </c>
      <c r="L8082" s="2" t="s">
        <v>34</v>
      </c>
      <c r="M8082" s="12">
        <v>1112.712</v>
      </c>
      <c r="N8082" s="5">
        <v>29.6</v>
      </c>
      <c r="O8082" s="6">
        <v>29.19</v>
      </c>
      <c r="P8082" s="2" t="s">
        <v>24170</v>
      </c>
      <c r="Q8082" s="6">
        <v>100</v>
      </c>
      <c r="R8082" s="6">
        <v>27.16</v>
      </c>
      <c r="S8082" s="5">
        <v>8.5</v>
      </c>
      <c r="T8082" s="7">
        <v>13.853</v>
      </c>
      <c r="U8082" s="5">
        <v>13.3</v>
      </c>
      <c r="V8082" s="6">
        <v>1.41</v>
      </c>
      <c r="W8082" s="6">
        <v>20.66</v>
      </c>
      <c r="X8082" s="6">
        <v>22.03</v>
      </c>
      <c r="Y8082" s="5">
        <v>25.6</v>
      </c>
      <c r="Z8082" s="6">
        <v>25.21</v>
      </c>
      <c r="AA8082" s="6">
        <v>5.93</v>
      </c>
      <c r="AB8082" s="7">
        <v>28.378</v>
      </c>
      <c r="AC8082" s="2"/>
    </row>
    <row r="8083" spans="1:29" ht="182" x14ac:dyDescent="0.15">
      <c r="A8083" s="3">
        <f>DATE(2006,6,5)</f>
        <v>38873</v>
      </c>
      <c r="B8083" s="3">
        <f>DATE(2006,7,20)</f>
        <v>38918</v>
      </c>
      <c r="C8083" s="2" t="s">
        <v>95</v>
      </c>
      <c r="D8083" s="2" t="s">
        <v>24171</v>
      </c>
      <c r="E8083" s="2" t="s">
        <v>24172</v>
      </c>
      <c r="F8083" s="4">
        <v>3845</v>
      </c>
      <c r="G8083" s="2" t="s">
        <v>226</v>
      </c>
      <c r="H8083" s="2" t="s">
        <v>34</v>
      </c>
      <c r="I8083" s="2" t="s">
        <v>24173</v>
      </c>
      <c r="J8083" s="2" t="s">
        <v>15342</v>
      </c>
      <c r="K8083" s="2" t="s">
        <v>226</v>
      </c>
      <c r="L8083" s="2" t="s">
        <v>34</v>
      </c>
      <c r="M8083" s="12">
        <v>1533.674</v>
      </c>
      <c r="N8083" s="6">
        <v>16.850000000000001</v>
      </c>
      <c r="O8083" s="5">
        <v>16.100000000000001</v>
      </c>
      <c r="P8083" s="2" t="s">
        <v>24174</v>
      </c>
      <c r="Q8083" s="6">
        <v>88.71</v>
      </c>
      <c r="R8083" s="6">
        <v>31</v>
      </c>
      <c r="S8083" s="5">
        <v>12.6</v>
      </c>
      <c r="T8083" s="6">
        <v>15.64</v>
      </c>
      <c r="U8083" s="5">
        <v>4</v>
      </c>
      <c r="V8083" s="2"/>
      <c r="W8083" s="5">
        <v>21.3</v>
      </c>
      <c r="X8083" s="6">
        <v>21.41</v>
      </c>
      <c r="Y8083" s="6">
        <v>30.65</v>
      </c>
      <c r="Z8083" s="6">
        <v>30.61</v>
      </c>
      <c r="AA8083" s="6">
        <v>22.38</v>
      </c>
      <c r="AB8083" s="7">
        <v>47.585999999999999</v>
      </c>
      <c r="AC8083" s="6">
        <v>42.39</v>
      </c>
    </row>
    <row r="8084" spans="1:29" ht="156" x14ac:dyDescent="0.15">
      <c r="A8084" s="3">
        <f>DATE(2006,6,5)</f>
        <v>38873</v>
      </c>
      <c r="B8084" s="3">
        <f>DATE(2006,8,2)</f>
        <v>38931</v>
      </c>
      <c r="C8084" s="2" t="s">
        <v>95</v>
      </c>
      <c r="D8084" s="2" t="s">
        <v>23666</v>
      </c>
      <c r="E8084" s="2" t="s">
        <v>23667</v>
      </c>
      <c r="F8084" s="4">
        <v>7372</v>
      </c>
      <c r="G8084" s="2" t="s">
        <v>551</v>
      </c>
      <c r="H8084" s="2" t="s">
        <v>34</v>
      </c>
      <c r="I8084" s="2" t="s">
        <v>24175</v>
      </c>
      <c r="J8084" s="2" t="s">
        <v>24176</v>
      </c>
      <c r="K8084" s="2" t="s">
        <v>53</v>
      </c>
      <c r="L8084" s="2" t="s">
        <v>34</v>
      </c>
      <c r="M8084" s="2"/>
      <c r="N8084" s="2"/>
      <c r="O8084" s="2"/>
      <c r="P8084" s="2" t="s">
        <v>24177</v>
      </c>
      <c r="Q8084" s="6">
        <v>100</v>
      </c>
      <c r="R8084" s="6">
        <v>4.8</v>
      </c>
      <c r="S8084" s="5">
        <v>-0.6</v>
      </c>
      <c r="T8084" s="7">
        <v>1.5760000000000001</v>
      </c>
      <c r="U8084" s="5">
        <v>1.3</v>
      </c>
      <c r="V8084" s="6">
        <v>-0.02</v>
      </c>
      <c r="W8084" s="6">
        <v>3.95</v>
      </c>
      <c r="X8084" s="6">
        <v>4.38</v>
      </c>
      <c r="Y8084" s="5">
        <v>4.5</v>
      </c>
      <c r="Z8084" s="6">
        <v>4.74</v>
      </c>
      <c r="AA8084" s="6">
        <v>18.48</v>
      </c>
      <c r="AB8084" s="2" t="s">
        <v>86</v>
      </c>
      <c r="AC8084" s="2"/>
    </row>
    <row r="8085" spans="1:29" ht="143" x14ac:dyDescent="0.15">
      <c r="A8085" s="3">
        <f>DATE(2006,6,5)</f>
        <v>38873</v>
      </c>
      <c r="B8085" s="3">
        <f>DATE(2006,10,5)</f>
        <v>38995</v>
      </c>
      <c r="C8085" s="2" t="s">
        <v>95</v>
      </c>
      <c r="D8085" s="2" t="s">
        <v>24178</v>
      </c>
      <c r="E8085" s="2" t="s">
        <v>92</v>
      </c>
      <c r="F8085" s="4">
        <v>6798</v>
      </c>
      <c r="G8085" s="2" t="s">
        <v>53</v>
      </c>
      <c r="H8085" s="2" t="s">
        <v>34</v>
      </c>
      <c r="I8085" s="2" t="s">
        <v>51</v>
      </c>
      <c r="J8085" s="2" t="s">
        <v>52</v>
      </c>
      <c r="K8085" s="2" t="s">
        <v>53</v>
      </c>
      <c r="L8085" s="2" t="s">
        <v>902</v>
      </c>
      <c r="M8085" s="2"/>
      <c r="N8085" s="2"/>
      <c r="O8085" s="2"/>
      <c r="P8085" s="2" t="s">
        <v>24179</v>
      </c>
      <c r="Q8085" s="6">
        <v>62.85</v>
      </c>
      <c r="R8085" s="6">
        <v>29.01</v>
      </c>
      <c r="S8085" s="5">
        <v>72.8</v>
      </c>
      <c r="T8085" s="7">
        <v>235.054</v>
      </c>
      <c r="U8085" s="5">
        <v>0</v>
      </c>
      <c r="V8085" s="6">
        <v>0.34</v>
      </c>
      <c r="W8085" s="6">
        <v>23.35</v>
      </c>
      <c r="X8085" s="5">
        <v>24.6</v>
      </c>
      <c r="Y8085" s="6">
        <v>28.68</v>
      </c>
      <c r="Z8085" s="6">
        <v>28.65</v>
      </c>
      <c r="AA8085" s="6">
        <v>157.19</v>
      </c>
      <c r="AB8085" s="7">
        <v>140.971</v>
      </c>
      <c r="AC8085" s="2"/>
    </row>
    <row r="8086" spans="1:29" ht="143" x14ac:dyDescent="0.15">
      <c r="A8086" s="3">
        <f>DATE(2006,6,7)</f>
        <v>38875</v>
      </c>
      <c r="B8086" s="3">
        <f>DATE(2006,10,5)</f>
        <v>38995</v>
      </c>
      <c r="C8086" s="2" t="s">
        <v>95</v>
      </c>
      <c r="D8086" s="2" t="s">
        <v>24180</v>
      </c>
      <c r="E8086" s="2" t="s">
        <v>24181</v>
      </c>
      <c r="F8086" s="4">
        <v>6099</v>
      </c>
      <c r="G8086" s="2" t="s">
        <v>3583</v>
      </c>
      <c r="H8086" s="2" t="s">
        <v>34</v>
      </c>
      <c r="I8086" s="2" t="s">
        <v>51</v>
      </c>
      <c r="J8086" s="2" t="s">
        <v>52</v>
      </c>
      <c r="K8086" s="2" t="s">
        <v>53</v>
      </c>
      <c r="L8086" s="2" t="s">
        <v>34</v>
      </c>
      <c r="M8086" s="2"/>
      <c r="N8086" s="2"/>
      <c r="O8086" s="2"/>
      <c r="P8086" s="2" t="s">
        <v>24182</v>
      </c>
      <c r="Q8086" s="6">
        <v>100</v>
      </c>
      <c r="R8086" s="6">
        <v>30</v>
      </c>
      <c r="S8086" s="5">
        <v>24.3</v>
      </c>
      <c r="T8086" s="7">
        <v>51.642000000000003</v>
      </c>
      <c r="U8086" s="5">
        <v>15.5</v>
      </c>
      <c r="V8086" s="6">
        <v>1.75</v>
      </c>
      <c r="W8086" s="6">
        <v>26.61</v>
      </c>
      <c r="X8086" s="6">
        <v>26.32</v>
      </c>
      <c r="Y8086" s="6">
        <v>29.91</v>
      </c>
      <c r="Z8086" s="6">
        <v>29.74</v>
      </c>
      <c r="AA8086" s="6">
        <v>14.03</v>
      </c>
      <c r="AB8086" s="7">
        <v>9.36</v>
      </c>
      <c r="AC8086" s="2"/>
    </row>
    <row r="8087" spans="1:29" ht="104" x14ac:dyDescent="0.15">
      <c r="A8087" s="3">
        <f>DATE(2006,6,9)</f>
        <v>38877</v>
      </c>
      <c r="B8087" s="2"/>
      <c r="C8087" s="2" t="s">
        <v>30</v>
      </c>
      <c r="D8087" s="2" t="s">
        <v>24183</v>
      </c>
      <c r="E8087" s="2" t="s">
        <v>24184</v>
      </c>
      <c r="F8087" s="4">
        <v>3674</v>
      </c>
      <c r="G8087" s="2" t="s">
        <v>137</v>
      </c>
      <c r="H8087" s="2" t="s">
        <v>34</v>
      </c>
      <c r="I8087" s="2" t="s">
        <v>4438</v>
      </c>
      <c r="J8087" s="2" t="s">
        <v>678</v>
      </c>
      <c r="K8087" s="2" t="s">
        <v>53</v>
      </c>
      <c r="L8087" s="2" t="s">
        <v>34</v>
      </c>
      <c r="M8087" s="2"/>
      <c r="N8087" s="2"/>
      <c r="O8087" s="2"/>
      <c r="P8087" s="2" t="s">
        <v>24185</v>
      </c>
      <c r="Q8087" s="2"/>
      <c r="R8087" s="6">
        <v>7.5</v>
      </c>
      <c r="S8087" s="5">
        <v>-2.8</v>
      </c>
      <c r="T8087" s="7">
        <v>2.6139999999999999</v>
      </c>
      <c r="U8087" s="5">
        <v>5.9</v>
      </c>
      <c r="V8087" s="6">
        <v>-0.28999999999999998</v>
      </c>
      <c r="W8087" s="6">
        <v>5.84</v>
      </c>
      <c r="X8087" s="6">
        <v>6.06</v>
      </c>
      <c r="Y8087" s="6">
        <v>7.14</v>
      </c>
      <c r="Z8087" s="6">
        <v>7.14</v>
      </c>
      <c r="AA8087" s="6">
        <v>14.52</v>
      </c>
      <c r="AB8087" s="2" t="s">
        <v>86</v>
      </c>
      <c r="AC8087" s="2"/>
    </row>
    <row r="8088" spans="1:29" ht="104" x14ac:dyDescent="0.15">
      <c r="A8088" s="3">
        <f t="shared" ref="A8088:A8093" si="158">DATE(2006,6,12)</f>
        <v>38880</v>
      </c>
      <c r="B8088" s="2"/>
      <c r="C8088" s="2" t="s">
        <v>30</v>
      </c>
      <c r="D8088" s="2" t="s">
        <v>20143</v>
      </c>
      <c r="E8088" s="2" t="s">
        <v>1435</v>
      </c>
      <c r="F8088" s="4">
        <v>1311</v>
      </c>
      <c r="G8088" s="2" t="s">
        <v>148</v>
      </c>
      <c r="H8088" s="2" t="s">
        <v>34</v>
      </c>
      <c r="I8088" s="2" t="s">
        <v>24186</v>
      </c>
      <c r="J8088" s="2" t="s">
        <v>22486</v>
      </c>
      <c r="K8088" s="2" t="s">
        <v>53</v>
      </c>
      <c r="L8088" s="2" t="s">
        <v>34</v>
      </c>
      <c r="M8088" s="2"/>
      <c r="N8088" s="2"/>
      <c r="O8088" s="2"/>
      <c r="P8088" s="2" t="s">
        <v>24187</v>
      </c>
      <c r="Q8088" s="2"/>
      <c r="R8088" s="6">
        <v>62</v>
      </c>
      <c r="S8088" s="5">
        <v>101.5</v>
      </c>
      <c r="T8088" s="7">
        <v>486.13900000000001</v>
      </c>
      <c r="U8088" s="5">
        <v>30.9</v>
      </c>
      <c r="V8088" s="6">
        <v>3.49</v>
      </c>
      <c r="W8088" s="6">
        <v>52.12</v>
      </c>
      <c r="X8088" s="6">
        <v>54.65</v>
      </c>
      <c r="Y8088" s="6">
        <v>57.97</v>
      </c>
      <c r="Z8088" s="5">
        <v>56.9</v>
      </c>
      <c r="AA8088" s="6">
        <v>29.07</v>
      </c>
      <c r="AB8088" s="7">
        <v>13.315</v>
      </c>
      <c r="AC8088" s="2"/>
    </row>
    <row r="8089" spans="1:29" ht="104" x14ac:dyDescent="0.15">
      <c r="A8089" s="3">
        <f t="shared" si="158"/>
        <v>38880</v>
      </c>
      <c r="B8089" s="3">
        <f>DATE(2006,10,5)</f>
        <v>38995</v>
      </c>
      <c r="C8089" s="2" t="s">
        <v>95</v>
      </c>
      <c r="D8089" s="2" t="s">
        <v>24188</v>
      </c>
      <c r="E8089" s="2" t="s">
        <v>24189</v>
      </c>
      <c r="F8089" s="4">
        <v>3317</v>
      </c>
      <c r="G8089" s="2" t="s">
        <v>163</v>
      </c>
      <c r="H8089" s="2" t="s">
        <v>34</v>
      </c>
      <c r="I8089" s="2" t="s">
        <v>24190</v>
      </c>
      <c r="J8089" s="2" t="s">
        <v>24191</v>
      </c>
      <c r="K8089" s="2" t="s">
        <v>163</v>
      </c>
      <c r="L8089" s="2" t="s">
        <v>5881</v>
      </c>
      <c r="M8089" s="12">
        <v>23373.449000000001</v>
      </c>
      <c r="N8089" s="7">
        <v>16.402999999999999</v>
      </c>
      <c r="O8089" s="7">
        <v>16.710999999999999</v>
      </c>
      <c r="P8089" s="2" t="s">
        <v>24192</v>
      </c>
      <c r="Q8089" s="6">
        <v>100</v>
      </c>
      <c r="R8089" s="6">
        <v>65</v>
      </c>
      <c r="S8089" s="5">
        <v>204.4</v>
      </c>
      <c r="T8089" s="7">
        <v>351.91899999999998</v>
      </c>
      <c r="U8089" s="5">
        <v>17.3</v>
      </c>
      <c r="V8089" s="6">
        <v>4.9400000000000004</v>
      </c>
      <c r="W8089" s="6">
        <v>47.64</v>
      </c>
      <c r="X8089" s="6">
        <v>47.58</v>
      </c>
      <c r="Y8089" s="6">
        <v>45.66</v>
      </c>
      <c r="Z8089" s="6">
        <v>62.65</v>
      </c>
      <c r="AA8089" s="6">
        <v>36.950000000000003</v>
      </c>
      <c r="AB8089" s="7">
        <v>10.076000000000001</v>
      </c>
      <c r="AC8089" s="6">
        <v>828.71</v>
      </c>
    </row>
    <row r="8090" spans="1:29" ht="156" x14ac:dyDescent="0.15">
      <c r="A8090" s="3">
        <f t="shared" si="158"/>
        <v>38880</v>
      </c>
      <c r="B8090" s="3">
        <f>DATE(2006,11,15)</f>
        <v>39036</v>
      </c>
      <c r="C8090" s="2" t="s">
        <v>95</v>
      </c>
      <c r="D8090" s="2" t="s">
        <v>24193</v>
      </c>
      <c r="E8090" s="2" t="s">
        <v>10569</v>
      </c>
      <c r="F8090" s="4">
        <v>1311</v>
      </c>
      <c r="G8090" s="2" t="s">
        <v>148</v>
      </c>
      <c r="H8090" s="2" t="s">
        <v>34</v>
      </c>
      <c r="I8090" s="2" t="s">
        <v>15697</v>
      </c>
      <c r="J8090" s="2" t="s">
        <v>15698</v>
      </c>
      <c r="K8090" s="2" t="s">
        <v>148</v>
      </c>
      <c r="L8090" s="2" t="s">
        <v>34</v>
      </c>
      <c r="M8090" s="12">
        <v>3454.114</v>
      </c>
      <c r="N8090" s="6">
        <v>44.65</v>
      </c>
      <c r="O8090" s="6">
        <v>43.88</v>
      </c>
      <c r="P8090" s="2" t="s">
        <v>24194</v>
      </c>
      <c r="Q8090" s="6">
        <v>75.540000000000006</v>
      </c>
      <c r="R8090" s="6">
        <v>35.5</v>
      </c>
      <c r="S8090" s="5">
        <v>47.1</v>
      </c>
      <c r="T8090" s="7">
        <v>106.197</v>
      </c>
      <c r="U8090" s="5">
        <v>17.2</v>
      </c>
      <c r="V8090" s="6">
        <v>1.38</v>
      </c>
      <c r="W8090" s="6">
        <v>32.21</v>
      </c>
      <c r="X8090" s="6">
        <v>32.090000000000003</v>
      </c>
      <c r="Y8090" s="6">
        <v>32.99</v>
      </c>
      <c r="Z8090" s="6">
        <v>32.549999999999997</v>
      </c>
      <c r="AA8090" s="6">
        <v>39.31</v>
      </c>
      <c r="AB8090" s="7">
        <v>27.064</v>
      </c>
      <c r="AC8090" s="5">
        <v>9.3000000000000007</v>
      </c>
    </row>
    <row r="8091" spans="1:29" ht="104" x14ac:dyDescent="0.15">
      <c r="A8091" s="3">
        <f t="shared" si="158"/>
        <v>38880</v>
      </c>
      <c r="B8091" s="3">
        <f>DATE(2007,1,3)</f>
        <v>39085</v>
      </c>
      <c r="C8091" s="2" t="s">
        <v>95</v>
      </c>
      <c r="D8091" s="2" t="s">
        <v>24195</v>
      </c>
      <c r="E8091" s="2" t="s">
        <v>159</v>
      </c>
      <c r="F8091" s="4">
        <v>6712</v>
      </c>
      <c r="G8091" s="2" t="s">
        <v>37</v>
      </c>
      <c r="H8091" s="2" t="s">
        <v>34</v>
      </c>
      <c r="I8091" s="2" t="s">
        <v>24196</v>
      </c>
      <c r="J8091" s="2" t="s">
        <v>2855</v>
      </c>
      <c r="K8091" s="2" t="s">
        <v>37</v>
      </c>
      <c r="L8091" s="2" t="s">
        <v>8464</v>
      </c>
      <c r="M8091" s="12">
        <v>73340.650999999998</v>
      </c>
      <c r="N8091" s="6">
        <v>19.07</v>
      </c>
      <c r="O8091" s="7">
        <v>18.706</v>
      </c>
      <c r="P8091" s="2" t="s">
        <v>24197</v>
      </c>
      <c r="Q8091" s="6">
        <v>100</v>
      </c>
      <c r="R8091" s="6">
        <v>38.5</v>
      </c>
      <c r="S8091" s="5">
        <v>17.8</v>
      </c>
      <c r="T8091" s="2"/>
      <c r="U8091" s="5">
        <v>18</v>
      </c>
      <c r="V8091" s="6">
        <v>1.59</v>
      </c>
      <c r="W8091" s="6">
        <v>28.64</v>
      </c>
      <c r="X8091" s="6">
        <v>31.11</v>
      </c>
      <c r="Y8091" s="6">
        <v>37.17</v>
      </c>
      <c r="Z8091" s="6">
        <v>37.119999999999997</v>
      </c>
      <c r="AA8091" s="6">
        <v>12.01</v>
      </c>
      <c r="AB8091" s="7">
        <v>21.306000000000001</v>
      </c>
      <c r="AC8091" s="2"/>
    </row>
    <row r="8092" spans="1:29" ht="117" x14ac:dyDescent="0.15">
      <c r="A8092" s="3">
        <f t="shared" si="158"/>
        <v>38880</v>
      </c>
      <c r="B8092" s="3">
        <f>DATE(2006,11,10)</f>
        <v>39031</v>
      </c>
      <c r="C8092" s="2" t="s">
        <v>95</v>
      </c>
      <c r="D8092" s="2" t="s">
        <v>24198</v>
      </c>
      <c r="E8092" s="2" t="s">
        <v>263</v>
      </c>
      <c r="F8092" s="4">
        <v>6022</v>
      </c>
      <c r="G8092" s="2" t="s">
        <v>37</v>
      </c>
      <c r="H8092" s="2" t="s">
        <v>34</v>
      </c>
      <c r="I8092" s="2" t="s">
        <v>24196</v>
      </c>
      <c r="J8092" s="2" t="s">
        <v>2855</v>
      </c>
      <c r="K8092" s="2" t="s">
        <v>37</v>
      </c>
      <c r="L8092" s="2" t="s">
        <v>8464</v>
      </c>
      <c r="M8092" s="12">
        <v>73340.650999999998</v>
      </c>
      <c r="N8092" s="6">
        <v>19.07</v>
      </c>
      <c r="O8092" s="7">
        <v>18.706</v>
      </c>
      <c r="P8092" s="2" t="s">
        <v>24199</v>
      </c>
      <c r="Q8092" s="6">
        <v>100</v>
      </c>
      <c r="R8092" s="6">
        <v>38.9</v>
      </c>
      <c r="S8092" s="5">
        <v>87.6</v>
      </c>
      <c r="T8092" s="7">
        <v>143.81100000000001</v>
      </c>
      <c r="U8092" s="5">
        <v>12</v>
      </c>
      <c r="V8092" s="9">
        <v>1.5918000000000001</v>
      </c>
      <c r="W8092" s="6">
        <v>31.53</v>
      </c>
      <c r="X8092" s="5">
        <v>34.200000000000003</v>
      </c>
      <c r="Y8092" s="5">
        <v>37.700000000000003</v>
      </c>
      <c r="Z8092" s="6">
        <v>37.74</v>
      </c>
      <c r="AA8092" s="6">
        <v>54.77</v>
      </c>
      <c r="AB8092" s="7">
        <v>18.600000000000001</v>
      </c>
      <c r="AC8092" s="2"/>
    </row>
    <row r="8093" spans="1:29" ht="52" x14ac:dyDescent="0.15">
      <c r="A8093" s="3">
        <f t="shared" si="158"/>
        <v>38880</v>
      </c>
      <c r="B8093" s="2"/>
      <c r="C8093" s="2" t="s">
        <v>30</v>
      </c>
      <c r="D8093" s="2" t="s">
        <v>17413</v>
      </c>
      <c r="E8093" s="2" t="s">
        <v>17414</v>
      </c>
      <c r="F8093" s="4">
        <v>5944</v>
      </c>
      <c r="G8093" s="2" t="s">
        <v>73</v>
      </c>
      <c r="H8093" s="2" t="s">
        <v>34</v>
      </c>
      <c r="I8093" s="2" t="s">
        <v>24200</v>
      </c>
      <c r="J8093" s="2" t="s">
        <v>24201</v>
      </c>
      <c r="K8093" s="2" t="s">
        <v>73</v>
      </c>
      <c r="L8093" s="2" t="s">
        <v>303</v>
      </c>
      <c r="M8093" s="2"/>
      <c r="N8093" s="2"/>
      <c r="O8093" s="2"/>
      <c r="P8093" s="2" t="s">
        <v>24202</v>
      </c>
      <c r="Q8093" s="2"/>
      <c r="R8093" s="2"/>
      <c r="S8093" s="5">
        <v>85</v>
      </c>
      <c r="T8093" s="7">
        <v>174.624</v>
      </c>
      <c r="U8093" s="5">
        <v>17.3</v>
      </c>
      <c r="V8093" s="6">
        <v>1.7</v>
      </c>
      <c r="W8093" s="6">
        <v>23.01</v>
      </c>
      <c r="X8093" s="6">
        <v>23.87</v>
      </c>
      <c r="Y8093" s="5">
        <v>24.7</v>
      </c>
      <c r="Z8093" s="4">
        <v>24</v>
      </c>
      <c r="AA8093" s="6">
        <v>48.18</v>
      </c>
      <c r="AB8093" s="2" t="s">
        <v>47</v>
      </c>
      <c r="AC8093" s="6">
        <v>93.4</v>
      </c>
    </row>
    <row r="8094" spans="1:29" ht="130" x14ac:dyDescent="0.15">
      <c r="A8094" s="3">
        <f>DATE(2006,6,13)</f>
        <v>38881</v>
      </c>
      <c r="B8094" s="2"/>
      <c r="C8094" s="2" t="s">
        <v>30</v>
      </c>
      <c r="D8094" s="2" t="s">
        <v>356</v>
      </c>
      <c r="E8094" s="2" t="s">
        <v>357</v>
      </c>
      <c r="F8094" s="4">
        <v>2844</v>
      </c>
      <c r="G8094" s="2" t="s">
        <v>358</v>
      </c>
      <c r="H8094" s="2" t="s">
        <v>34</v>
      </c>
      <c r="I8094" s="2" t="s">
        <v>24203</v>
      </c>
      <c r="J8094" s="2" t="s">
        <v>302</v>
      </c>
      <c r="K8094" s="2" t="s">
        <v>53</v>
      </c>
      <c r="L8094" s="2" t="s">
        <v>34</v>
      </c>
      <c r="M8094" s="2"/>
      <c r="N8094" s="2"/>
      <c r="O8094" s="2"/>
      <c r="P8094" s="2" t="s">
        <v>24204</v>
      </c>
      <c r="Q8094" s="2"/>
      <c r="R8094" s="6">
        <v>29</v>
      </c>
      <c r="S8094" s="5">
        <v>22.7</v>
      </c>
      <c r="T8094" s="7">
        <v>38.018000000000001</v>
      </c>
      <c r="U8094" s="5">
        <v>5.2</v>
      </c>
      <c r="V8094" s="6">
        <v>1.08</v>
      </c>
      <c r="W8094" s="6">
        <v>25.24</v>
      </c>
      <c r="X8094" s="5">
        <v>18.399999999999999</v>
      </c>
      <c r="Y8094" s="6">
        <v>18.739999999999998</v>
      </c>
      <c r="Z8094" s="6">
        <v>20.48</v>
      </c>
      <c r="AA8094" s="6">
        <v>8.9499999999999993</v>
      </c>
      <c r="AB8094" s="7">
        <v>16.123000000000001</v>
      </c>
      <c r="AC8094" s="2"/>
    </row>
    <row r="8095" spans="1:29" ht="104" x14ac:dyDescent="0.15">
      <c r="A8095" s="3">
        <f>DATE(2006,6,13)</f>
        <v>38881</v>
      </c>
      <c r="B8095" s="3">
        <f>DATE(2006,9,13)</f>
        <v>38973</v>
      </c>
      <c r="C8095" s="2" t="s">
        <v>95</v>
      </c>
      <c r="D8095" s="2" t="s">
        <v>17030</v>
      </c>
      <c r="E8095" s="2" t="s">
        <v>17031</v>
      </c>
      <c r="F8095" s="4">
        <v>6799</v>
      </c>
      <c r="G8095" s="2" t="s">
        <v>53</v>
      </c>
      <c r="H8095" s="2" t="s">
        <v>34</v>
      </c>
      <c r="I8095" s="2" t="s">
        <v>24205</v>
      </c>
      <c r="J8095" s="2" t="s">
        <v>24206</v>
      </c>
      <c r="K8095" s="2" t="s">
        <v>125</v>
      </c>
      <c r="L8095" s="2" t="s">
        <v>34</v>
      </c>
      <c r="M8095" s="2"/>
      <c r="N8095" s="2"/>
      <c r="O8095" s="2"/>
      <c r="P8095" s="2" t="s">
        <v>24207</v>
      </c>
      <c r="Q8095" s="6">
        <v>100</v>
      </c>
      <c r="R8095" s="2"/>
      <c r="S8095" s="5">
        <v>4.5999999999999996</v>
      </c>
      <c r="T8095" s="7">
        <v>20.053999999999998</v>
      </c>
      <c r="U8095" s="5">
        <v>12.7</v>
      </c>
      <c r="V8095" s="6">
        <v>0.44</v>
      </c>
      <c r="W8095" s="6">
        <v>30.85</v>
      </c>
      <c r="X8095" s="6">
        <v>26.76</v>
      </c>
      <c r="Y8095" s="6">
        <v>25.19</v>
      </c>
      <c r="Z8095" s="6">
        <v>25.19</v>
      </c>
      <c r="AA8095" s="6">
        <v>7.25</v>
      </c>
      <c r="AB8095" s="7">
        <v>8.2590000000000003</v>
      </c>
      <c r="AC8095" s="2"/>
    </row>
    <row r="8096" spans="1:29" ht="208" x14ac:dyDescent="0.15">
      <c r="A8096" s="3">
        <f>DATE(2006,6,15)</f>
        <v>38883</v>
      </c>
      <c r="B8096" s="3">
        <f>DATE(2007,4,13)</f>
        <v>39185</v>
      </c>
      <c r="C8096" s="2" t="s">
        <v>95</v>
      </c>
      <c r="D8096" s="2" t="s">
        <v>24208</v>
      </c>
      <c r="E8096" s="2" t="s">
        <v>24209</v>
      </c>
      <c r="F8096" s="4">
        <v>2821</v>
      </c>
      <c r="G8096" s="2" t="s">
        <v>98</v>
      </c>
      <c r="H8096" s="2" t="s">
        <v>34</v>
      </c>
      <c r="I8096" s="2" t="s">
        <v>24210</v>
      </c>
      <c r="J8096" s="2" t="s">
        <v>24209</v>
      </c>
      <c r="K8096" s="2" t="s">
        <v>98</v>
      </c>
      <c r="L8096" s="2" t="s">
        <v>34</v>
      </c>
      <c r="M8096" s="2"/>
      <c r="N8096" s="2"/>
      <c r="O8096" s="2"/>
      <c r="P8096" s="2" t="s">
        <v>24211</v>
      </c>
      <c r="Q8096" s="6">
        <v>74.59</v>
      </c>
      <c r="R8096" s="6">
        <v>13.5</v>
      </c>
      <c r="S8096" s="5">
        <v>5</v>
      </c>
      <c r="T8096" s="7">
        <v>16.306999999999999</v>
      </c>
      <c r="U8096" s="5">
        <v>11.1</v>
      </c>
      <c r="V8096" s="6">
        <v>0.67</v>
      </c>
      <c r="W8096" s="6">
        <v>10.15</v>
      </c>
      <c r="X8096" s="6">
        <v>9.93</v>
      </c>
      <c r="Y8096" s="6">
        <v>9.9600000000000009</v>
      </c>
      <c r="Z8096" s="6">
        <v>11.42</v>
      </c>
      <c r="AA8096" s="6">
        <v>8.99</v>
      </c>
      <c r="AB8096" s="7">
        <v>13.759</v>
      </c>
      <c r="AC8096" s="2"/>
    </row>
    <row r="8097" spans="1:29" ht="195" x14ac:dyDescent="0.15">
      <c r="A8097" s="3">
        <f>DATE(2006,6,15)</f>
        <v>38883</v>
      </c>
      <c r="B8097" s="3">
        <f>DATE(2007,3,13)</f>
        <v>39154</v>
      </c>
      <c r="C8097" s="2" t="s">
        <v>95</v>
      </c>
      <c r="D8097" s="2" t="s">
        <v>24212</v>
      </c>
      <c r="E8097" s="2" t="s">
        <v>8873</v>
      </c>
      <c r="F8097" s="4">
        <v>6021</v>
      </c>
      <c r="G8097" s="2" t="s">
        <v>37</v>
      </c>
      <c r="H8097" s="2" t="s">
        <v>34</v>
      </c>
      <c r="I8097" s="2" t="s">
        <v>19156</v>
      </c>
      <c r="J8097" s="2" t="s">
        <v>265</v>
      </c>
      <c r="K8097" s="2" t="s">
        <v>37</v>
      </c>
      <c r="L8097" s="2" t="s">
        <v>34</v>
      </c>
      <c r="M8097" s="7">
        <v>82.122</v>
      </c>
      <c r="N8097" s="5">
        <v>13.8</v>
      </c>
      <c r="O8097" s="6">
        <v>13.62</v>
      </c>
      <c r="P8097" s="2" t="s">
        <v>24213</v>
      </c>
      <c r="Q8097" s="6">
        <v>100</v>
      </c>
      <c r="R8097" s="6">
        <v>8.3000000000000007</v>
      </c>
      <c r="S8097" s="5">
        <v>4.8</v>
      </c>
      <c r="T8097" s="2"/>
      <c r="U8097" s="2"/>
      <c r="V8097" s="6">
        <v>1.47</v>
      </c>
      <c r="W8097" s="6">
        <v>20.05</v>
      </c>
      <c r="X8097" s="6">
        <v>20.05</v>
      </c>
      <c r="Y8097" s="5">
        <v>22.9</v>
      </c>
      <c r="Z8097" s="5">
        <v>22.9</v>
      </c>
      <c r="AA8097" s="6">
        <v>3.28</v>
      </c>
      <c r="AB8097" s="2" t="s">
        <v>47</v>
      </c>
      <c r="AC8097" s="2"/>
    </row>
    <row r="8098" spans="1:29" ht="78" x14ac:dyDescent="0.15">
      <c r="A8098" s="3">
        <f>DATE(2006,6,15)</f>
        <v>38883</v>
      </c>
      <c r="B8098" s="3">
        <f>DATE(2006,11,9)</f>
        <v>39030</v>
      </c>
      <c r="C8098" s="2" t="s">
        <v>95</v>
      </c>
      <c r="D8098" s="2" t="s">
        <v>21381</v>
      </c>
      <c r="E8098" s="2" t="s">
        <v>21382</v>
      </c>
      <c r="F8098" s="4">
        <v>3845</v>
      </c>
      <c r="G8098" s="2" t="s">
        <v>226</v>
      </c>
      <c r="H8098" s="2" t="s">
        <v>34</v>
      </c>
      <c r="I8098" s="2" t="s">
        <v>12628</v>
      </c>
      <c r="J8098" s="2" t="s">
        <v>12629</v>
      </c>
      <c r="K8098" s="2" t="s">
        <v>137</v>
      </c>
      <c r="L8098" s="2" t="s">
        <v>2105</v>
      </c>
      <c r="M8098" s="7">
        <v>508.35899999999998</v>
      </c>
      <c r="N8098" s="7">
        <v>28.585999999999999</v>
      </c>
      <c r="O8098" s="7">
        <v>28.622</v>
      </c>
      <c r="P8098" s="2" t="s">
        <v>24214</v>
      </c>
      <c r="Q8098" s="6">
        <v>100</v>
      </c>
      <c r="R8098" s="6">
        <v>27.5</v>
      </c>
      <c r="S8098" s="5">
        <v>25.1</v>
      </c>
      <c r="T8098" s="7">
        <v>49.664999999999999</v>
      </c>
      <c r="U8098" s="5">
        <v>7.4</v>
      </c>
      <c r="V8098" s="6">
        <v>0.57999999999999996</v>
      </c>
      <c r="W8098" s="6">
        <v>22.71</v>
      </c>
      <c r="X8098" s="5">
        <v>21.5</v>
      </c>
      <c r="Y8098" s="6">
        <v>26.98</v>
      </c>
      <c r="Z8098" s="6">
        <v>26.96</v>
      </c>
      <c r="AA8098" s="6">
        <v>42.38</v>
      </c>
      <c r="AB8098" s="7">
        <v>32.972000000000001</v>
      </c>
      <c r="AC8098" s="10">
        <v>4105.79</v>
      </c>
    </row>
    <row r="8099" spans="1:29" ht="78" x14ac:dyDescent="0.15">
      <c r="A8099" s="3">
        <f>DATE(2006,6,15)</f>
        <v>38883</v>
      </c>
      <c r="B8099" s="3">
        <f>DATE(2006,12,21)</f>
        <v>39072</v>
      </c>
      <c r="C8099" s="2" t="s">
        <v>95</v>
      </c>
      <c r="D8099" s="2" t="s">
        <v>24215</v>
      </c>
      <c r="E8099" s="2" t="s">
        <v>24216</v>
      </c>
      <c r="F8099" s="4">
        <v>7999</v>
      </c>
      <c r="G8099" s="2" t="s">
        <v>364</v>
      </c>
      <c r="H8099" s="2" t="s">
        <v>34</v>
      </c>
      <c r="I8099" s="2" t="s">
        <v>2400</v>
      </c>
      <c r="J8099" s="2" t="s">
        <v>2401</v>
      </c>
      <c r="K8099" s="2" t="s">
        <v>112</v>
      </c>
      <c r="L8099" s="2" t="s">
        <v>34</v>
      </c>
      <c r="M8099" s="12">
        <v>12519.102999999999</v>
      </c>
      <c r="N8099" s="6">
        <v>36.43</v>
      </c>
      <c r="O8099" s="6">
        <v>36.43</v>
      </c>
      <c r="P8099" s="2" t="s">
        <v>24217</v>
      </c>
      <c r="Q8099" s="6">
        <v>100</v>
      </c>
      <c r="R8099" s="6">
        <v>2.58</v>
      </c>
      <c r="S8099" s="5">
        <v>0.4</v>
      </c>
      <c r="T8099" s="7">
        <v>0.48599999999999999</v>
      </c>
      <c r="U8099" s="5">
        <v>0.6</v>
      </c>
      <c r="V8099" s="6">
        <v>0.06</v>
      </c>
      <c r="W8099" s="6">
        <v>1.41</v>
      </c>
      <c r="X8099" s="6">
        <v>1.28</v>
      </c>
      <c r="Y8099" s="6">
        <v>1.25</v>
      </c>
      <c r="Z8099" s="6">
        <v>2.21</v>
      </c>
      <c r="AA8099" s="6">
        <v>7.22</v>
      </c>
      <c r="AB8099" s="7">
        <v>45.228000000000002</v>
      </c>
      <c r="AC8099" s="5">
        <v>644.20000000000005</v>
      </c>
    </row>
    <row r="8100" spans="1:29" ht="91" x14ac:dyDescent="0.15">
      <c r="A8100" s="3">
        <f>DATE(2006,6,18)</f>
        <v>38886</v>
      </c>
      <c r="B8100" s="2"/>
      <c r="C8100" s="2" t="s">
        <v>7330</v>
      </c>
      <c r="D8100" s="2" t="s">
        <v>24218</v>
      </c>
      <c r="E8100" s="2" t="s">
        <v>1095</v>
      </c>
      <c r="F8100" s="4">
        <v>3661</v>
      </c>
      <c r="G8100" s="2" t="s">
        <v>921</v>
      </c>
      <c r="H8100" s="2" t="s">
        <v>34</v>
      </c>
      <c r="I8100" s="2" t="s">
        <v>24219</v>
      </c>
      <c r="J8100" s="2" t="s">
        <v>1620</v>
      </c>
      <c r="K8100" s="2" t="s">
        <v>53</v>
      </c>
      <c r="L8100" s="2" t="s">
        <v>34</v>
      </c>
      <c r="M8100" s="2"/>
      <c r="N8100" s="2"/>
      <c r="O8100" s="2"/>
      <c r="P8100" s="2" t="s">
        <v>24220</v>
      </c>
      <c r="Q8100" s="2"/>
      <c r="R8100" s="6">
        <v>2.0299999999999998</v>
      </c>
      <c r="S8100" s="5">
        <v>0</v>
      </c>
      <c r="T8100" s="7">
        <v>-0.11799999999999999</v>
      </c>
      <c r="U8100" s="5">
        <v>0.8</v>
      </c>
      <c r="V8100" s="9">
        <v>-8.0000000000000004E-4</v>
      </c>
      <c r="W8100" s="6">
        <v>1.53</v>
      </c>
      <c r="X8100" s="6">
        <v>1.52</v>
      </c>
      <c r="Y8100" s="6">
        <v>1.51</v>
      </c>
      <c r="Z8100" s="6">
        <v>1.51</v>
      </c>
      <c r="AA8100" s="6">
        <v>15.07</v>
      </c>
      <c r="AB8100" s="2" t="s">
        <v>86</v>
      </c>
      <c r="AC8100" s="2"/>
    </row>
    <row r="8101" spans="1:29" ht="91" x14ac:dyDescent="0.15">
      <c r="A8101" s="3">
        <f>DATE(2006,6,20)</f>
        <v>38888</v>
      </c>
      <c r="B8101" s="3">
        <f>DATE(2006,9,6)</f>
        <v>38966</v>
      </c>
      <c r="C8101" s="2" t="s">
        <v>95</v>
      </c>
      <c r="D8101" s="2" t="s">
        <v>22923</v>
      </c>
      <c r="E8101" s="2" t="s">
        <v>22924</v>
      </c>
      <c r="F8101" s="4">
        <v>2671</v>
      </c>
      <c r="G8101" s="2" t="s">
        <v>282</v>
      </c>
      <c r="H8101" s="2" t="s">
        <v>34</v>
      </c>
      <c r="I8101" s="2" t="s">
        <v>506</v>
      </c>
      <c r="J8101" s="2" t="s">
        <v>507</v>
      </c>
      <c r="K8101" s="2" t="s">
        <v>300</v>
      </c>
      <c r="L8101" s="2" t="s">
        <v>34</v>
      </c>
      <c r="M8101" s="12">
        <v>14086.978999999999</v>
      </c>
      <c r="N8101" s="5">
        <v>47.6</v>
      </c>
      <c r="O8101" s="6">
        <v>47.93</v>
      </c>
      <c r="P8101" s="2" t="s">
        <v>24221</v>
      </c>
      <c r="Q8101" s="6">
        <v>100</v>
      </c>
      <c r="R8101" s="6">
        <v>16.75</v>
      </c>
      <c r="S8101" s="5">
        <v>1</v>
      </c>
      <c r="T8101" s="7">
        <v>7.1890000000000001</v>
      </c>
      <c r="U8101" s="5">
        <v>8</v>
      </c>
      <c r="V8101" s="6">
        <v>0.23</v>
      </c>
      <c r="W8101" s="6">
        <v>11.45</v>
      </c>
      <c r="X8101" s="5">
        <v>11.3</v>
      </c>
      <c r="Y8101" s="6">
        <v>16.41</v>
      </c>
      <c r="Z8101" s="6">
        <v>16.43</v>
      </c>
      <c r="AA8101" s="6">
        <v>4.03</v>
      </c>
      <c r="AB8101" s="7">
        <v>41.415999999999997</v>
      </c>
      <c r="AC8101" s="6">
        <v>459.19</v>
      </c>
    </row>
    <row r="8102" spans="1:29" ht="104" x14ac:dyDescent="0.15">
      <c r="A8102" s="3">
        <f>DATE(2006,6,21)</f>
        <v>38889</v>
      </c>
      <c r="B8102" s="3">
        <f>DATE(2006,9,1)</f>
        <v>38961</v>
      </c>
      <c r="C8102" s="2" t="s">
        <v>95</v>
      </c>
      <c r="D8102" s="2" t="s">
        <v>2073</v>
      </c>
      <c r="E8102" s="2" t="s">
        <v>2074</v>
      </c>
      <c r="F8102" s="4">
        <v>8299</v>
      </c>
      <c r="G8102" s="2" t="s">
        <v>415</v>
      </c>
      <c r="H8102" s="2" t="s">
        <v>34</v>
      </c>
      <c r="I8102" s="2" t="s">
        <v>24222</v>
      </c>
      <c r="J8102" s="2" t="s">
        <v>244</v>
      </c>
      <c r="K8102" s="2" t="s">
        <v>53</v>
      </c>
      <c r="L8102" s="2" t="s">
        <v>34</v>
      </c>
      <c r="M8102" s="2"/>
      <c r="N8102" s="2"/>
      <c r="O8102" s="2"/>
      <c r="P8102" s="2" t="s">
        <v>24223</v>
      </c>
      <c r="Q8102" s="6">
        <v>100</v>
      </c>
      <c r="R8102" s="6">
        <v>19.8</v>
      </c>
      <c r="S8102" s="5">
        <v>4.2</v>
      </c>
      <c r="T8102" s="6">
        <v>8.07</v>
      </c>
      <c r="U8102" s="5">
        <v>3.8</v>
      </c>
      <c r="V8102" s="6">
        <v>0.7</v>
      </c>
      <c r="W8102" s="6">
        <v>14.26</v>
      </c>
      <c r="X8102" s="6">
        <v>14.76</v>
      </c>
      <c r="Y8102" s="6">
        <v>14.77</v>
      </c>
      <c r="Z8102" s="6">
        <v>19.28</v>
      </c>
      <c r="AA8102" s="6">
        <v>5.48</v>
      </c>
      <c r="AB8102" s="7">
        <v>16.506</v>
      </c>
      <c r="AC8102" s="2"/>
    </row>
    <row r="8103" spans="1:29" ht="91" x14ac:dyDescent="0.15">
      <c r="A8103" s="3">
        <f>DATE(2006,6,21)</f>
        <v>38889</v>
      </c>
      <c r="B8103" s="3">
        <f>DATE(2007,4,12)</f>
        <v>39184</v>
      </c>
      <c r="C8103" s="2" t="s">
        <v>95</v>
      </c>
      <c r="D8103" s="2" t="s">
        <v>24224</v>
      </c>
      <c r="E8103" s="2" t="s">
        <v>1977</v>
      </c>
      <c r="F8103" s="4">
        <v>4911</v>
      </c>
      <c r="G8103" s="2" t="s">
        <v>439</v>
      </c>
      <c r="H8103" s="2" t="s">
        <v>34</v>
      </c>
      <c r="I8103" s="2" t="s">
        <v>24225</v>
      </c>
      <c r="J8103" s="2" t="s">
        <v>24226</v>
      </c>
      <c r="K8103" s="2" t="s">
        <v>148</v>
      </c>
      <c r="L8103" s="2" t="s">
        <v>34</v>
      </c>
      <c r="M8103" s="2"/>
      <c r="N8103" s="2"/>
      <c r="O8103" s="2"/>
      <c r="P8103" s="2" t="s">
        <v>24227</v>
      </c>
      <c r="Q8103" s="6">
        <v>100</v>
      </c>
      <c r="R8103" s="6">
        <v>35</v>
      </c>
      <c r="S8103" s="5">
        <v>11.8</v>
      </c>
      <c r="T8103" s="6">
        <v>37.68</v>
      </c>
      <c r="U8103" s="5">
        <v>22.8</v>
      </c>
      <c r="V8103" s="6">
        <v>2.2200000000000002</v>
      </c>
      <c r="W8103" s="6">
        <v>28.84</v>
      </c>
      <c r="X8103" s="5">
        <v>27.8</v>
      </c>
      <c r="Y8103" s="6">
        <v>27.99</v>
      </c>
      <c r="Z8103" s="6">
        <v>33.75</v>
      </c>
      <c r="AA8103" s="6">
        <v>5.25</v>
      </c>
      <c r="AB8103" s="7">
        <v>12.378</v>
      </c>
      <c r="AC8103" s="2"/>
    </row>
    <row r="8104" spans="1:29" ht="169" x14ac:dyDescent="0.15">
      <c r="A8104" s="3">
        <f>DATE(2006,6,22)</f>
        <v>38890</v>
      </c>
      <c r="B8104" s="3">
        <f>DATE(2006,9,18)</f>
        <v>38978</v>
      </c>
      <c r="C8104" s="2" t="s">
        <v>95</v>
      </c>
      <c r="D8104" s="2" t="s">
        <v>24228</v>
      </c>
      <c r="E8104" s="2" t="s">
        <v>1072</v>
      </c>
      <c r="F8104" s="4">
        <v>6799</v>
      </c>
      <c r="G8104" s="2" t="s">
        <v>53</v>
      </c>
      <c r="H8104" s="2" t="s">
        <v>34</v>
      </c>
      <c r="I8104" s="2" t="s">
        <v>24229</v>
      </c>
      <c r="J8104" s="2" t="s">
        <v>3726</v>
      </c>
      <c r="K8104" s="2" t="s">
        <v>921</v>
      </c>
      <c r="L8104" s="2" t="s">
        <v>34</v>
      </c>
      <c r="M8104" s="7">
        <v>9.0169999999999995</v>
      </c>
      <c r="N8104" s="6">
        <v>0.25</v>
      </c>
      <c r="O8104" s="7">
        <v>0.28499999999999998</v>
      </c>
      <c r="P8104" s="2" t="s">
        <v>24230</v>
      </c>
      <c r="Q8104" s="6">
        <v>100</v>
      </c>
      <c r="R8104" s="2"/>
      <c r="S8104" s="2"/>
      <c r="T8104" s="2"/>
      <c r="U8104" s="2"/>
      <c r="V8104" s="2"/>
      <c r="W8104" s="6">
        <v>2.75</v>
      </c>
      <c r="X8104" s="5">
        <v>2.5</v>
      </c>
      <c r="Y8104" s="5">
        <v>2.5</v>
      </c>
      <c r="Z8104" s="5">
        <v>2.5</v>
      </c>
      <c r="AA8104" s="6">
        <v>0.56999999999999995</v>
      </c>
      <c r="AB8104" s="2" t="s">
        <v>47</v>
      </c>
      <c r="AC8104" s="6">
        <v>0.01</v>
      </c>
    </row>
    <row r="8105" spans="1:29" ht="143" x14ac:dyDescent="0.15">
      <c r="A8105" s="3">
        <f>DATE(2006,6,23)</f>
        <v>38891</v>
      </c>
      <c r="B8105" s="3">
        <f>DATE(2007,3,16)</f>
        <v>39157</v>
      </c>
      <c r="C8105" s="2" t="s">
        <v>95</v>
      </c>
      <c r="D8105" s="2" t="s">
        <v>24231</v>
      </c>
      <c r="E8105" s="2" t="s">
        <v>1181</v>
      </c>
      <c r="F8105" s="4">
        <v>6021</v>
      </c>
      <c r="G8105" s="2" t="s">
        <v>37</v>
      </c>
      <c r="H8105" s="2" t="s">
        <v>34</v>
      </c>
      <c r="I8105" s="2" t="s">
        <v>24232</v>
      </c>
      <c r="J8105" s="2" t="s">
        <v>672</v>
      </c>
      <c r="K8105" s="2" t="s">
        <v>37</v>
      </c>
      <c r="L8105" s="2" t="s">
        <v>34</v>
      </c>
      <c r="M8105" s="7">
        <v>39.555999999999997</v>
      </c>
      <c r="N8105" s="6">
        <v>12.01</v>
      </c>
      <c r="O8105" s="6">
        <v>11.85</v>
      </c>
      <c r="P8105" s="2" t="s">
        <v>24233</v>
      </c>
      <c r="Q8105" s="6">
        <v>100</v>
      </c>
      <c r="R8105" s="6">
        <v>27.5</v>
      </c>
      <c r="S8105" s="5">
        <v>0.5</v>
      </c>
      <c r="T8105" s="7">
        <v>1.0189999999999999</v>
      </c>
      <c r="U8105" s="5">
        <v>13.9</v>
      </c>
      <c r="V8105" s="6">
        <v>1.02</v>
      </c>
      <c r="W8105" s="6">
        <v>24.95</v>
      </c>
      <c r="X8105" s="5">
        <v>24.7</v>
      </c>
      <c r="Y8105" s="5">
        <v>24.7</v>
      </c>
      <c r="Z8105" s="5">
        <v>26.4</v>
      </c>
      <c r="AA8105" s="6">
        <v>0.65</v>
      </c>
      <c r="AB8105" s="7">
        <v>20.981000000000002</v>
      </c>
      <c r="AC8105" s="2"/>
    </row>
    <row r="8106" spans="1:29" ht="117" x14ac:dyDescent="0.15">
      <c r="A8106" s="3">
        <f>DATE(2006,6,23)</f>
        <v>38891</v>
      </c>
      <c r="B8106" s="3">
        <f>DATE(2006,8,10)</f>
        <v>38939</v>
      </c>
      <c r="C8106" s="2" t="s">
        <v>95</v>
      </c>
      <c r="D8106" s="2" t="s">
        <v>13030</v>
      </c>
      <c r="E8106" s="2" t="s">
        <v>1435</v>
      </c>
      <c r="F8106" s="4">
        <v>1311</v>
      </c>
      <c r="G8106" s="2" t="s">
        <v>148</v>
      </c>
      <c r="H8106" s="2" t="s">
        <v>34</v>
      </c>
      <c r="I8106" s="2" t="s">
        <v>16693</v>
      </c>
      <c r="J8106" s="2" t="s">
        <v>1608</v>
      </c>
      <c r="K8106" s="2" t="s">
        <v>148</v>
      </c>
      <c r="L8106" s="2" t="s">
        <v>34</v>
      </c>
      <c r="M8106" s="12">
        <v>11373.630999999999</v>
      </c>
      <c r="N8106" s="5">
        <v>44.9</v>
      </c>
      <c r="O8106" s="6">
        <v>43.62</v>
      </c>
      <c r="P8106" s="2" t="s">
        <v>24234</v>
      </c>
      <c r="Q8106" s="6">
        <v>100</v>
      </c>
      <c r="R8106" s="6">
        <v>70.5</v>
      </c>
      <c r="S8106" s="5">
        <v>302</v>
      </c>
      <c r="T8106" s="8">
        <v>2023</v>
      </c>
      <c r="U8106" s="5">
        <v>18.5</v>
      </c>
      <c r="V8106" s="7">
        <v>2.0350000000000001</v>
      </c>
      <c r="W8106" s="6">
        <v>51.33</v>
      </c>
      <c r="X8106" s="5">
        <v>50.3</v>
      </c>
      <c r="Y8106" s="6">
        <v>68.61</v>
      </c>
      <c r="Z8106" s="6">
        <v>69.180000000000007</v>
      </c>
      <c r="AA8106" s="6">
        <v>227.01</v>
      </c>
      <c r="AB8106" s="7">
        <v>18.263000000000002</v>
      </c>
      <c r="AC8106" s="5">
        <v>827</v>
      </c>
    </row>
    <row r="8107" spans="1:29" ht="117" x14ac:dyDescent="0.15">
      <c r="A8107" s="3">
        <f>DATE(2006,6,23)</f>
        <v>38891</v>
      </c>
      <c r="B8107" s="3">
        <f>DATE(2006,8,23)</f>
        <v>38952</v>
      </c>
      <c r="C8107" s="2" t="s">
        <v>95</v>
      </c>
      <c r="D8107" s="2" t="s">
        <v>11704</v>
      </c>
      <c r="E8107" s="2" t="s">
        <v>612</v>
      </c>
      <c r="F8107" s="4">
        <v>1311</v>
      </c>
      <c r="G8107" s="2" t="s">
        <v>148</v>
      </c>
      <c r="H8107" s="2" t="s">
        <v>34</v>
      </c>
      <c r="I8107" s="2" t="s">
        <v>16693</v>
      </c>
      <c r="J8107" s="2" t="s">
        <v>1608</v>
      </c>
      <c r="K8107" s="2" t="s">
        <v>148</v>
      </c>
      <c r="L8107" s="2" t="s">
        <v>34</v>
      </c>
      <c r="M8107" s="12">
        <v>11373.630999999999</v>
      </c>
      <c r="N8107" s="5">
        <v>44.9</v>
      </c>
      <c r="O8107" s="6">
        <v>43.62</v>
      </c>
      <c r="P8107" s="2" t="s">
        <v>24235</v>
      </c>
      <c r="Q8107" s="6">
        <v>100</v>
      </c>
      <c r="R8107" s="6">
        <v>61</v>
      </c>
      <c r="S8107" s="5">
        <v>236.7</v>
      </c>
      <c r="T8107" s="7">
        <v>510.83199999999999</v>
      </c>
      <c r="U8107" s="5">
        <v>13</v>
      </c>
      <c r="V8107" s="6">
        <v>3.27</v>
      </c>
      <c r="W8107" s="6">
        <v>42.16</v>
      </c>
      <c r="X8107" s="6">
        <v>40.909999999999997</v>
      </c>
      <c r="Y8107" s="6">
        <v>59.67</v>
      </c>
      <c r="Z8107" s="5">
        <v>59.8</v>
      </c>
      <c r="AA8107" s="6">
        <v>76.010000000000005</v>
      </c>
      <c r="AB8107" s="7">
        <v>13.664999999999999</v>
      </c>
      <c r="AC8107" s="5">
        <v>827</v>
      </c>
    </row>
    <row r="8108" spans="1:29" ht="104" x14ac:dyDescent="0.15">
      <c r="A8108" s="3">
        <f>DATE(2006,6,26)</f>
        <v>38894</v>
      </c>
      <c r="B8108" s="3">
        <f>DATE(2006,6,26)</f>
        <v>38894</v>
      </c>
      <c r="C8108" s="2" t="s">
        <v>95</v>
      </c>
      <c r="D8108" s="2" t="s">
        <v>24236</v>
      </c>
      <c r="E8108" s="2" t="s">
        <v>24237</v>
      </c>
      <c r="F8108" s="4">
        <v>7372</v>
      </c>
      <c r="G8108" s="2" t="s">
        <v>551</v>
      </c>
      <c r="H8108" s="2" t="s">
        <v>34</v>
      </c>
      <c r="I8108" s="2" t="s">
        <v>24238</v>
      </c>
      <c r="J8108" s="2" t="s">
        <v>11946</v>
      </c>
      <c r="K8108" s="2" t="s">
        <v>551</v>
      </c>
      <c r="L8108" s="2" t="s">
        <v>34</v>
      </c>
      <c r="M8108" s="7">
        <v>2.823</v>
      </c>
      <c r="N8108" s="6">
        <v>0.04</v>
      </c>
      <c r="O8108" s="6">
        <v>0.04</v>
      </c>
      <c r="P8108" s="2" t="s">
        <v>24239</v>
      </c>
      <c r="Q8108" s="6">
        <v>100</v>
      </c>
      <c r="R8108" s="2"/>
      <c r="S8108" s="5">
        <v>-3.1</v>
      </c>
      <c r="T8108" s="7">
        <v>-3.3140000000000001</v>
      </c>
      <c r="U8108" s="5">
        <v>-0.1</v>
      </c>
      <c r="V8108" s="6">
        <v>-0.21</v>
      </c>
      <c r="W8108" s="6">
        <v>1.35</v>
      </c>
      <c r="X8108" s="5">
        <v>1.2</v>
      </c>
      <c r="Y8108" s="6">
        <v>1.1499999999999999</v>
      </c>
      <c r="Z8108" s="6">
        <v>1.1499999999999999</v>
      </c>
      <c r="AA8108" s="6">
        <v>28.2</v>
      </c>
      <c r="AB8108" s="2" t="s">
        <v>86</v>
      </c>
      <c r="AC8108" s="2"/>
    </row>
    <row r="8109" spans="1:29" ht="195" x14ac:dyDescent="0.15">
      <c r="A8109" s="3">
        <f>DATE(2006,6,26)</f>
        <v>38894</v>
      </c>
      <c r="B8109" s="3">
        <f>DATE(2006,10,24)</f>
        <v>39014</v>
      </c>
      <c r="C8109" s="2" t="s">
        <v>95</v>
      </c>
      <c r="D8109" s="2" t="s">
        <v>24240</v>
      </c>
      <c r="E8109" s="2" t="s">
        <v>20510</v>
      </c>
      <c r="F8109" s="4">
        <v>6361</v>
      </c>
      <c r="G8109" s="2" t="s">
        <v>125</v>
      </c>
      <c r="H8109" s="2" t="s">
        <v>34</v>
      </c>
      <c r="I8109" s="2" t="s">
        <v>278</v>
      </c>
      <c r="J8109" s="2" t="s">
        <v>52</v>
      </c>
      <c r="K8109" s="2" t="s">
        <v>53</v>
      </c>
      <c r="L8109" s="2" t="s">
        <v>34</v>
      </c>
      <c r="M8109" s="2"/>
      <c r="N8109" s="2"/>
      <c r="O8109" s="2"/>
      <c r="P8109" s="2" t="s">
        <v>24241</v>
      </c>
      <c r="Q8109" s="6">
        <v>85.82</v>
      </c>
      <c r="R8109" s="6">
        <v>22.23</v>
      </c>
      <c r="S8109" s="5">
        <v>539</v>
      </c>
      <c r="T8109" s="7">
        <v>993.97199999999998</v>
      </c>
      <c r="U8109" s="5">
        <v>14.2</v>
      </c>
      <c r="V8109" s="6">
        <v>3.11</v>
      </c>
      <c r="W8109" s="5">
        <v>20.3</v>
      </c>
      <c r="X8109" s="6">
        <v>20.55</v>
      </c>
      <c r="Y8109" s="6">
        <v>20.11</v>
      </c>
      <c r="Z8109" s="4">
        <v>20</v>
      </c>
      <c r="AA8109" s="6">
        <v>31.15</v>
      </c>
      <c r="AB8109" s="7">
        <v>4.5030000000000001</v>
      </c>
      <c r="AC8109" s="2"/>
    </row>
    <row r="8110" spans="1:29" ht="117" x14ac:dyDescent="0.15">
      <c r="A8110" s="3">
        <f>DATE(2006,6,26)</f>
        <v>38894</v>
      </c>
      <c r="B8110" s="3">
        <f>DATE(2006,9,6)</f>
        <v>38966</v>
      </c>
      <c r="C8110" s="2" t="s">
        <v>95</v>
      </c>
      <c r="D8110" s="2" t="s">
        <v>24242</v>
      </c>
      <c r="E8110" s="2" t="s">
        <v>24243</v>
      </c>
      <c r="F8110" s="4">
        <v>5065</v>
      </c>
      <c r="G8110" s="2" t="s">
        <v>76</v>
      </c>
      <c r="H8110" s="2" t="s">
        <v>34</v>
      </c>
      <c r="I8110" s="2" t="s">
        <v>24244</v>
      </c>
      <c r="J8110" s="2" t="s">
        <v>24245</v>
      </c>
      <c r="K8110" s="2" t="s">
        <v>50</v>
      </c>
      <c r="L8110" s="2" t="s">
        <v>34</v>
      </c>
      <c r="M8110" s="2"/>
      <c r="N8110" s="2"/>
      <c r="O8110" s="2"/>
      <c r="P8110" s="2" t="s">
        <v>24246</v>
      </c>
      <c r="Q8110" s="6">
        <v>100</v>
      </c>
      <c r="R8110" s="6">
        <v>4.5999999999999996</v>
      </c>
      <c r="S8110" s="5">
        <v>-19.899999999999999</v>
      </c>
      <c r="T8110" s="2"/>
      <c r="U8110" s="2"/>
      <c r="V8110" s="2"/>
      <c r="W8110" s="6">
        <v>2.08</v>
      </c>
      <c r="X8110" s="6">
        <v>2.06</v>
      </c>
      <c r="Y8110" s="6">
        <v>4.22</v>
      </c>
      <c r="Z8110" s="6">
        <v>4.28</v>
      </c>
      <c r="AA8110" s="6">
        <v>5.03</v>
      </c>
      <c r="AB8110" s="2" t="s">
        <v>86</v>
      </c>
      <c r="AC8110" s="2"/>
    </row>
    <row r="8111" spans="1:29" ht="104" x14ac:dyDescent="0.15">
      <c r="A8111" s="3">
        <f>DATE(2006,6,27)</f>
        <v>38895</v>
      </c>
      <c r="B8111" s="3">
        <f>DATE(2006,11,3)</f>
        <v>39024</v>
      </c>
      <c r="C8111" s="2" t="s">
        <v>95</v>
      </c>
      <c r="D8111" s="2" t="s">
        <v>10732</v>
      </c>
      <c r="E8111" s="2" t="s">
        <v>973</v>
      </c>
      <c r="F8111" s="4">
        <v>4813</v>
      </c>
      <c r="G8111" s="2" t="s">
        <v>63</v>
      </c>
      <c r="H8111" s="2" t="s">
        <v>34</v>
      </c>
      <c r="I8111" s="2" t="s">
        <v>24247</v>
      </c>
      <c r="J8111" s="2" t="s">
        <v>973</v>
      </c>
      <c r="K8111" s="2" t="s">
        <v>63</v>
      </c>
      <c r="L8111" s="2" t="s">
        <v>34</v>
      </c>
      <c r="M8111" s="2"/>
      <c r="N8111" s="2"/>
      <c r="O8111" s="2"/>
      <c r="P8111" s="2" t="s">
        <v>24248</v>
      </c>
      <c r="Q8111" s="6">
        <v>100</v>
      </c>
      <c r="R8111" s="6">
        <v>36.4</v>
      </c>
      <c r="S8111" s="5">
        <v>6.9</v>
      </c>
      <c r="T8111" s="2"/>
      <c r="U8111" s="5">
        <v>15.7</v>
      </c>
      <c r="V8111" s="6">
        <v>1.67</v>
      </c>
      <c r="W8111" s="6">
        <v>28.75</v>
      </c>
      <c r="X8111" s="6">
        <v>29.51</v>
      </c>
      <c r="Y8111" s="6">
        <v>35.049999999999997</v>
      </c>
      <c r="Z8111" s="6">
        <v>35.08</v>
      </c>
      <c r="AA8111" s="6">
        <v>4.04</v>
      </c>
      <c r="AB8111" s="7">
        <v>22.609000000000002</v>
      </c>
      <c r="AC8111" s="2"/>
    </row>
    <row r="8112" spans="1:29" ht="130" x14ac:dyDescent="0.15">
      <c r="A8112" s="3">
        <f>DATE(2006,6,27)</f>
        <v>38895</v>
      </c>
      <c r="B8112" s="3">
        <f>DATE(2007,1,2)</f>
        <v>39084</v>
      </c>
      <c r="C8112" s="2" t="s">
        <v>95</v>
      </c>
      <c r="D8112" s="2" t="s">
        <v>2767</v>
      </c>
      <c r="E8112" s="2" t="s">
        <v>672</v>
      </c>
      <c r="F8112" s="4">
        <v>6712</v>
      </c>
      <c r="G8112" s="2" t="s">
        <v>37</v>
      </c>
      <c r="H8112" s="2" t="s">
        <v>34</v>
      </c>
      <c r="I8112" s="2" t="s">
        <v>9187</v>
      </c>
      <c r="J8112" s="2" t="s">
        <v>2337</v>
      </c>
      <c r="K8112" s="2" t="s">
        <v>37</v>
      </c>
      <c r="L8112" s="2" t="s">
        <v>34</v>
      </c>
      <c r="M8112" s="10">
        <v>1125.03</v>
      </c>
      <c r="N8112" s="6">
        <v>24.66</v>
      </c>
      <c r="O8112" s="6">
        <v>24.11</v>
      </c>
      <c r="P8112" s="2" t="s">
        <v>24249</v>
      </c>
      <c r="Q8112" s="6">
        <v>100</v>
      </c>
      <c r="R8112" s="2"/>
      <c r="S8112" s="5">
        <v>68.3</v>
      </c>
      <c r="T8112" s="7">
        <v>100.92100000000001</v>
      </c>
      <c r="U8112" s="5">
        <v>5.4</v>
      </c>
      <c r="V8112" s="6">
        <v>0.89</v>
      </c>
      <c r="W8112" s="5">
        <v>10.5</v>
      </c>
      <c r="X8112" s="6">
        <v>10.57</v>
      </c>
      <c r="Y8112" s="6">
        <v>12.45</v>
      </c>
      <c r="Z8112" s="5">
        <v>12.3</v>
      </c>
      <c r="AA8112" s="6">
        <v>74.59</v>
      </c>
      <c r="AB8112" s="7">
        <v>38.631999999999998</v>
      </c>
      <c r="AC8112" s="2"/>
    </row>
    <row r="8113" spans="1:29" ht="299" x14ac:dyDescent="0.15">
      <c r="A8113" s="3">
        <f>DATE(2006,6,27)</f>
        <v>38895</v>
      </c>
      <c r="B8113" s="3">
        <f>DATE(2007,3,29)</f>
        <v>39170</v>
      </c>
      <c r="C8113" s="2" t="s">
        <v>95</v>
      </c>
      <c r="D8113" s="2" t="s">
        <v>20088</v>
      </c>
      <c r="E8113" s="2" t="s">
        <v>20089</v>
      </c>
      <c r="F8113" s="4">
        <v>4833</v>
      </c>
      <c r="G8113" s="2" t="s">
        <v>45</v>
      </c>
      <c r="H8113" s="2" t="s">
        <v>34</v>
      </c>
      <c r="I8113" s="2" t="s">
        <v>24250</v>
      </c>
      <c r="J8113" s="2" t="s">
        <v>11337</v>
      </c>
      <c r="K8113" s="2" t="s">
        <v>53</v>
      </c>
      <c r="L8113" s="2" t="s">
        <v>34</v>
      </c>
      <c r="M8113" s="2"/>
      <c r="N8113" s="2"/>
      <c r="O8113" s="2"/>
      <c r="P8113" s="2" t="s">
        <v>24251</v>
      </c>
      <c r="Q8113" s="6">
        <v>100</v>
      </c>
      <c r="R8113" s="6">
        <v>36.25</v>
      </c>
      <c r="S8113" s="5">
        <v>196.6</v>
      </c>
      <c r="T8113" s="7">
        <v>679.61400000000003</v>
      </c>
      <c r="U8113" s="5">
        <v>16.899999999999999</v>
      </c>
      <c r="V8113" s="6">
        <v>0.56999999999999995</v>
      </c>
      <c r="W8113" s="6">
        <v>31.85</v>
      </c>
      <c r="X8113" s="6">
        <v>30.54</v>
      </c>
      <c r="Y8113" s="5">
        <v>34.200000000000003</v>
      </c>
      <c r="Z8113" s="5">
        <v>34.9</v>
      </c>
      <c r="AA8113" s="6">
        <v>305.54000000000002</v>
      </c>
      <c r="AB8113" s="7">
        <v>21.611000000000001</v>
      </c>
      <c r="AC8113" s="2"/>
    </row>
    <row r="8114" spans="1:29" ht="91" x14ac:dyDescent="0.15">
      <c r="A8114" s="3">
        <f>DATE(2006,6,28)</f>
        <v>38896</v>
      </c>
      <c r="B8114" s="2"/>
      <c r="C8114" s="2" t="s">
        <v>30</v>
      </c>
      <c r="D8114" s="2" t="s">
        <v>7840</v>
      </c>
      <c r="E8114" s="2" t="s">
        <v>92</v>
      </c>
      <c r="F8114" s="4">
        <v>6798</v>
      </c>
      <c r="G8114" s="2" t="s">
        <v>53</v>
      </c>
      <c r="H8114" s="2" t="s">
        <v>34</v>
      </c>
      <c r="I8114" s="2" t="s">
        <v>24252</v>
      </c>
      <c r="J8114" s="2" t="s">
        <v>244</v>
      </c>
      <c r="K8114" s="2" t="s">
        <v>53</v>
      </c>
      <c r="L8114" s="2" t="s">
        <v>34</v>
      </c>
      <c r="M8114" s="2"/>
      <c r="N8114" s="2"/>
      <c r="O8114" s="2"/>
      <c r="P8114" s="2" t="s">
        <v>24253</v>
      </c>
      <c r="Q8114" s="2"/>
      <c r="R8114" s="6">
        <v>36</v>
      </c>
      <c r="S8114" s="5">
        <v>37.200000000000003</v>
      </c>
      <c r="T8114" s="7">
        <v>129.37700000000001</v>
      </c>
      <c r="U8114" s="5">
        <v>17</v>
      </c>
      <c r="V8114" s="6">
        <v>0.14000000000000001</v>
      </c>
      <c r="W8114" s="6">
        <v>32.21</v>
      </c>
      <c r="X8114" s="6">
        <v>32.99</v>
      </c>
      <c r="Y8114" s="6">
        <v>33.04</v>
      </c>
      <c r="Z8114" s="6">
        <v>34.96</v>
      </c>
      <c r="AA8114" s="6">
        <v>54.14</v>
      </c>
      <c r="AB8114" s="7">
        <v>387.41500000000002</v>
      </c>
      <c r="AC8114" s="2"/>
    </row>
    <row r="8115" spans="1:29" ht="91" x14ac:dyDescent="0.15">
      <c r="A8115" s="3">
        <f>DATE(2006,6,28)</f>
        <v>38896</v>
      </c>
      <c r="B8115" s="3">
        <f>DATE(2006,10,14)</f>
        <v>39004</v>
      </c>
      <c r="C8115" s="2" t="s">
        <v>95</v>
      </c>
      <c r="D8115" s="2" t="s">
        <v>24254</v>
      </c>
      <c r="E8115" s="2" t="s">
        <v>263</v>
      </c>
      <c r="F8115" s="4">
        <v>6712</v>
      </c>
      <c r="G8115" s="2" t="s">
        <v>37</v>
      </c>
      <c r="H8115" s="2" t="s">
        <v>34</v>
      </c>
      <c r="I8115" s="2" t="s">
        <v>24255</v>
      </c>
      <c r="J8115" s="2" t="s">
        <v>263</v>
      </c>
      <c r="K8115" s="2" t="s">
        <v>37</v>
      </c>
      <c r="L8115" s="2" t="s">
        <v>34</v>
      </c>
      <c r="M8115" s="6">
        <v>234.73</v>
      </c>
      <c r="N8115" s="6">
        <v>30.25</v>
      </c>
      <c r="O8115" s="6">
        <v>30.18</v>
      </c>
      <c r="P8115" s="2" t="s">
        <v>24256</v>
      </c>
      <c r="Q8115" s="6">
        <v>100</v>
      </c>
      <c r="R8115" s="2"/>
      <c r="S8115" s="5">
        <v>6.2</v>
      </c>
      <c r="T8115" s="7">
        <v>9.7420000000000009</v>
      </c>
      <c r="U8115" s="5">
        <v>15.4</v>
      </c>
      <c r="V8115" s="6">
        <v>2.08</v>
      </c>
      <c r="W8115" s="4">
        <v>39</v>
      </c>
      <c r="X8115" s="6">
        <v>38.43</v>
      </c>
      <c r="Y8115" s="6">
        <v>38.24</v>
      </c>
      <c r="Z8115" s="5">
        <v>43.5</v>
      </c>
      <c r="AA8115" s="6">
        <v>2.83</v>
      </c>
      <c r="AB8115" s="7">
        <v>16.338000000000001</v>
      </c>
      <c r="AC8115" s="2"/>
    </row>
    <row r="8116" spans="1:29" ht="104" x14ac:dyDescent="0.15">
      <c r="A8116" s="3">
        <f>DATE(2006,6,29)</f>
        <v>38897</v>
      </c>
      <c r="B8116" s="3">
        <f>DATE(2006,9,18)</f>
        <v>38978</v>
      </c>
      <c r="C8116" s="2" t="s">
        <v>95</v>
      </c>
      <c r="D8116" s="2" t="s">
        <v>24257</v>
      </c>
      <c r="E8116" s="2" t="s">
        <v>24258</v>
      </c>
      <c r="F8116" s="4">
        <v>7372</v>
      </c>
      <c r="G8116" s="2" t="s">
        <v>551</v>
      </c>
      <c r="H8116" s="2" t="s">
        <v>34</v>
      </c>
      <c r="I8116" s="2" t="s">
        <v>15063</v>
      </c>
      <c r="J8116" s="2" t="s">
        <v>15064</v>
      </c>
      <c r="K8116" s="2" t="s">
        <v>50</v>
      </c>
      <c r="L8116" s="2" t="s">
        <v>34</v>
      </c>
      <c r="M8116" s="12">
        <v>30715.951000000001</v>
      </c>
      <c r="N8116" s="6">
        <v>11.25</v>
      </c>
      <c r="O8116" s="6">
        <v>10.97</v>
      </c>
      <c r="P8116" s="2" t="s">
        <v>24259</v>
      </c>
      <c r="Q8116" s="6">
        <v>100</v>
      </c>
      <c r="R8116" s="6">
        <v>28</v>
      </c>
      <c r="S8116" s="5">
        <v>40.5</v>
      </c>
      <c r="T8116" s="7">
        <v>51.834000000000003</v>
      </c>
      <c r="U8116" s="5">
        <v>7.2</v>
      </c>
      <c r="V8116" s="6">
        <v>0.56000000000000005</v>
      </c>
      <c r="W8116" s="6">
        <v>18.77</v>
      </c>
      <c r="X8116" s="6">
        <v>19.36</v>
      </c>
      <c r="Y8116" s="6">
        <v>22.88</v>
      </c>
      <c r="Z8116" s="5">
        <v>27.1</v>
      </c>
      <c r="AA8116" s="6">
        <v>75.48</v>
      </c>
      <c r="AB8116" s="7">
        <v>53.805999999999997</v>
      </c>
      <c r="AC8116" s="10">
        <v>3605.16</v>
      </c>
    </row>
    <row r="8117" spans="1:29" ht="169" x14ac:dyDescent="0.15">
      <c r="A8117" s="3">
        <f>DATE(2006,6,30)</f>
        <v>38898</v>
      </c>
      <c r="B8117" s="3">
        <f>DATE(2006,11,15)</f>
        <v>39036</v>
      </c>
      <c r="C8117" s="2" t="s">
        <v>95</v>
      </c>
      <c r="D8117" s="2" t="s">
        <v>22585</v>
      </c>
      <c r="E8117" s="2" t="s">
        <v>10346</v>
      </c>
      <c r="F8117" s="4">
        <v>6035</v>
      </c>
      <c r="G8117" s="2" t="s">
        <v>33</v>
      </c>
      <c r="H8117" s="2" t="s">
        <v>34</v>
      </c>
      <c r="I8117" s="2" t="s">
        <v>24260</v>
      </c>
      <c r="J8117" s="2" t="s">
        <v>36</v>
      </c>
      <c r="K8117" s="2" t="s">
        <v>37</v>
      </c>
      <c r="L8117" s="2" t="s">
        <v>34</v>
      </c>
      <c r="M8117" s="7">
        <v>74.855000000000004</v>
      </c>
      <c r="N8117" s="5">
        <v>20.100000000000001</v>
      </c>
      <c r="O8117" s="6">
        <v>20.170000000000002</v>
      </c>
      <c r="P8117" s="2" t="s">
        <v>24261</v>
      </c>
      <c r="Q8117" s="6">
        <v>100</v>
      </c>
      <c r="R8117" s="6">
        <v>24.12</v>
      </c>
      <c r="S8117" s="2"/>
      <c r="T8117" s="2"/>
      <c r="U8117" s="2"/>
      <c r="V8117" s="2"/>
      <c r="W8117" s="4">
        <v>24</v>
      </c>
      <c r="X8117" s="6">
        <v>22.91</v>
      </c>
      <c r="Y8117" s="6">
        <v>22.91</v>
      </c>
      <c r="Z8117" s="6">
        <v>23.75</v>
      </c>
      <c r="AA8117" s="6">
        <v>2.23</v>
      </c>
      <c r="AB8117" s="2" t="s">
        <v>47</v>
      </c>
      <c r="AC8117" s="2"/>
    </row>
    <row r="8118" spans="1:29" ht="104" x14ac:dyDescent="0.15">
      <c r="A8118" s="3">
        <f>DATE(2006,6,30)</f>
        <v>38898</v>
      </c>
      <c r="B8118" s="3">
        <f>DATE(2006,11,3)</f>
        <v>39024</v>
      </c>
      <c r="C8118" s="2" t="s">
        <v>95</v>
      </c>
      <c r="D8118" s="2" t="s">
        <v>23511</v>
      </c>
      <c r="E8118" s="2" t="s">
        <v>23512</v>
      </c>
      <c r="F8118" s="4">
        <v>3842</v>
      </c>
      <c r="G8118" s="2" t="s">
        <v>226</v>
      </c>
      <c r="H8118" s="2" t="s">
        <v>34</v>
      </c>
      <c r="I8118" s="2" t="s">
        <v>24262</v>
      </c>
      <c r="J8118" s="2" t="s">
        <v>3197</v>
      </c>
      <c r="K8118" s="2" t="s">
        <v>53</v>
      </c>
      <c r="L8118" s="2" t="s">
        <v>34</v>
      </c>
      <c r="M8118" s="2"/>
      <c r="N8118" s="2"/>
      <c r="O8118" s="2"/>
      <c r="P8118" s="2" t="s">
        <v>24263</v>
      </c>
      <c r="Q8118" s="6">
        <v>100</v>
      </c>
      <c r="R8118" s="6">
        <v>6.55</v>
      </c>
      <c r="S8118" s="5">
        <v>5.2</v>
      </c>
      <c r="T8118" s="7">
        <v>53.664999999999999</v>
      </c>
      <c r="U8118" s="5">
        <v>3.8</v>
      </c>
      <c r="V8118" s="6">
        <v>0.12</v>
      </c>
      <c r="W8118" s="6">
        <v>5.09</v>
      </c>
      <c r="X8118" s="6">
        <v>4.8600000000000003</v>
      </c>
      <c r="Y8118" s="6">
        <v>4.8099999999999996</v>
      </c>
      <c r="Z8118" s="5">
        <v>6.3</v>
      </c>
      <c r="AA8118" s="6">
        <v>71</v>
      </c>
      <c r="AB8118" s="7">
        <v>20.026</v>
      </c>
      <c r="AC8118" s="2"/>
    </row>
    <row r="8119" spans="1:29" ht="169" x14ac:dyDescent="0.15">
      <c r="A8119" s="3">
        <f>DATE(2006,6,30)</f>
        <v>38898</v>
      </c>
      <c r="B8119" s="3">
        <f>DATE(2006,10,31)</f>
        <v>39021</v>
      </c>
      <c r="C8119" s="2" t="s">
        <v>95</v>
      </c>
      <c r="D8119" s="2" t="s">
        <v>24264</v>
      </c>
      <c r="E8119" s="2" t="s">
        <v>24265</v>
      </c>
      <c r="F8119" s="4">
        <v>5999</v>
      </c>
      <c r="G8119" s="2" t="s">
        <v>73</v>
      </c>
      <c r="H8119" s="2" t="s">
        <v>34</v>
      </c>
      <c r="I8119" s="2" t="s">
        <v>24266</v>
      </c>
      <c r="J8119" s="2" t="s">
        <v>11337</v>
      </c>
      <c r="K8119" s="2" t="s">
        <v>53</v>
      </c>
      <c r="L8119" s="2" t="s">
        <v>34</v>
      </c>
      <c r="M8119" s="2"/>
      <c r="N8119" s="2"/>
      <c r="O8119" s="2"/>
      <c r="P8119" s="2" t="s">
        <v>24267</v>
      </c>
      <c r="Q8119" s="6">
        <v>100</v>
      </c>
      <c r="R8119" s="6">
        <v>44</v>
      </c>
      <c r="S8119" s="5">
        <v>225.4</v>
      </c>
      <c r="T8119" s="7">
        <v>467.887</v>
      </c>
      <c r="U8119" s="5">
        <v>9.8000000000000007</v>
      </c>
      <c r="V8119" s="6">
        <v>1.65</v>
      </c>
      <c r="W8119" s="6">
        <v>32.78</v>
      </c>
      <c r="X8119" s="6">
        <v>33.96</v>
      </c>
      <c r="Y8119" s="6">
        <v>38.35</v>
      </c>
      <c r="Z8119" s="6">
        <v>38.35</v>
      </c>
      <c r="AA8119" s="6">
        <v>132.13999999999999</v>
      </c>
      <c r="AB8119" s="7">
        <v>15.384</v>
      </c>
      <c r="AC8119" s="2"/>
    </row>
    <row r="8120" spans="1:29" ht="104" x14ac:dyDescent="0.15">
      <c r="A8120" s="3">
        <f>DATE(2006,6,30)</f>
        <v>38898</v>
      </c>
      <c r="B8120" s="3">
        <f>DATE(2006,8,7)</f>
        <v>38936</v>
      </c>
      <c r="C8120" s="2" t="s">
        <v>95</v>
      </c>
      <c r="D8120" s="2" t="s">
        <v>24268</v>
      </c>
      <c r="E8120" s="2" t="s">
        <v>24269</v>
      </c>
      <c r="F8120" s="4">
        <v>3069</v>
      </c>
      <c r="G8120" s="2" t="s">
        <v>447</v>
      </c>
      <c r="H8120" s="2" t="s">
        <v>34</v>
      </c>
      <c r="I8120" s="2" t="s">
        <v>16341</v>
      </c>
      <c r="J8120" s="2" t="s">
        <v>500</v>
      </c>
      <c r="K8120" s="2" t="s">
        <v>137</v>
      </c>
      <c r="L8120" s="2" t="s">
        <v>34</v>
      </c>
      <c r="M8120" s="12">
        <v>3600.0079999999998</v>
      </c>
      <c r="N8120" s="6">
        <v>33.57</v>
      </c>
      <c r="O8120" s="6">
        <v>34.03</v>
      </c>
      <c r="P8120" s="2" t="s">
        <v>24270</v>
      </c>
      <c r="Q8120" s="6">
        <v>100</v>
      </c>
      <c r="R8120" s="6">
        <v>19.25</v>
      </c>
      <c r="S8120" s="5">
        <v>11.1</v>
      </c>
      <c r="T8120" s="7">
        <v>28.718</v>
      </c>
      <c r="U8120" s="5">
        <v>10</v>
      </c>
      <c r="V8120" s="6">
        <v>0.9</v>
      </c>
      <c r="W8120" s="6">
        <v>16.52</v>
      </c>
      <c r="X8120" s="6">
        <v>16.59</v>
      </c>
      <c r="Y8120" s="6">
        <v>19.14</v>
      </c>
      <c r="Z8120" s="5">
        <v>19.2</v>
      </c>
      <c r="AA8120" s="6">
        <v>12.41</v>
      </c>
      <c r="AB8120" s="7">
        <v>14.776999999999999</v>
      </c>
      <c r="AC8120" s="6">
        <v>485.54</v>
      </c>
    </row>
    <row r="8121" spans="1:29" ht="104" x14ac:dyDescent="0.15">
      <c r="A8121" s="3">
        <f>DATE(2006,7,3)</f>
        <v>38901</v>
      </c>
      <c r="B8121" s="3">
        <f>DATE(2006,12,8)</f>
        <v>39059</v>
      </c>
      <c r="C8121" s="2" t="s">
        <v>95</v>
      </c>
      <c r="D8121" s="2" t="s">
        <v>24271</v>
      </c>
      <c r="E8121" s="2" t="s">
        <v>1181</v>
      </c>
      <c r="F8121" s="4">
        <v>6021</v>
      </c>
      <c r="G8121" s="2" t="s">
        <v>37</v>
      </c>
      <c r="H8121" s="2" t="s">
        <v>34</v>
      </c>
      <c r="I8121" s="2" t="s">
        <v>8605</v>
      </c>
      <c r="J8121" s="2" t="s">
        <v>36</v>
      </c>
      <c r="K8121" s="2" t="s">
        <v>37</v>
      </c>
      <c r="L8121" s="2" t="s">
        <v>34</v>
      </c>
      <c r="M8121" s="12">
        <v>3112.3229999999999</v>
      </c>
      <c r="N8121" s="5">
        <v>55.7</v>
      </c>
      <c r="O8121" s="5">
        <v>55.7</v>
      </c>
      <c r="P8121" s="2" t="s">
        <v>24272</v>
      </c>
      <c r="Q8121" s="6">
        <v>100</v>
      </c>
      <c r="R8121" s="2"/>
      <c r="S8121" s="5">
        <v>1.8</v>
      </c>
      <c r="T8121" s="2"/>
      <c r="U8121" s="5">
        <v>10.8</v>
      </c>
      <c r="V8121" s="6">
        <v>0.98</v>
      </c>
      <c r="W8121" s="6">
        <v>19.25</v>
      </c>
      <c r="X8121" s="6">
        <v>19.25</v>
      </c>
      <c r="Y8121" s="6">
        <v>19.25</v>
      </c>
      <c r="Z8121" s="6">
        <v>19.25</v>
      </c>
      <c r="AA8121" s="6">
        <v>1.82</v>
      </c>
      <c r="AB8121" s="7">
        <v>121.89</v>
      </c>
      <c r="AC8121" s="2"/>
    </row>
    <row r="8122" spans="1:29" ht="130" x14ac:dyDescent="0.15">
      <c r="A8122" s="3">
        <f>DATE(2006,7,5)</f>
        <v>38903</v>
      </c>
      <c r="B8122" s="3">
        <f>DATE(2007,3,2)</f>
        <v>39143</v>
      </c>
      <c r="C8122" s="2" t="s">
        <v>95</v>
      </c>
      <c r="D8122" s="2" t="s">
        <v>6842</v>
      </c>
      <c r="E8122" s="2" t="s">
        <v>6843</v>
      </c>
      <c r="F8122" s="4">
        <v>7331</v>
      </c>
      <c r="G8122" s="2" t="s">
        <v>223</v>
      </c>
      <c r="H8122" s="2" t="s">
        <v>34</v>
      </c>
      <c r="I8122" s="2" t="s">
        <v>24273</v>
      </c>
      <c r="J8122" s="2" t="s">
        <v>17003</v>
      </c>
      <c r="K8122" s="2" t="s">
        <v>223</v>
      </c>
      <c r="L8122" s="2" t="s">
        <v>34</v>
      </c>
      <c r="M8122" s="8">
        <v>1330.8</v>
      </c>
      <c r="N8122" s="6">
        <v>23.22</v>
      </c>
      <c r="O8122" s="6">
        <v>19.57</v>
      </c>
      <c r="P8122" s="2" t="s">
        <v>24274</v>
      </c>
      <c r="Q8122" s="6">
        <v>100</v>
      </c>
      <c r="R8122" s="6">
        <v>33</v>
      </c>
      <c r="S8122" s="5">
        <v>32.799999999999997</v>
      </c>
      <c r="T8122" s="7">
        <v>99.677999999999997</v>
      </c>
      <c r="U8122" s="5">
        <v>6.5</v>
      </c>
      <c r="V8122" s="6">
        <v>1.04</v>
      </c>
      <c r="W8122" s="6">
        <v>23.59</v>
      </c>
      <c r="X8122" s="6">
        <v>24.06</v>
      </c>
      <c r="Y8122" s="6">
        <v>24.26</v>
      </c>
      <c r="Z8122" s="6">
        <v>35.39</v>
      </c>
      <c r="AA8122" s="6">
        <v>31.95</v>
      </c>
      <c r="AB8122" s="7">
        <v>20.645</v>
      </c>
      <c r="AC8122" s="6">
        <v>148.72999999999999</v>
      </c>
    </row>
    <row r="8123" spans="1:29" ht="91" x14ac:dyDescent="0.15">
      <c r="A8123" s="3">
        <f>DATE(2006,7,5)</f>
        <v>38903</v>
      </c>
      <c r="B8123" s="3">
        <f>DATE(2006,8,18)</f>
        <v>38947</v>
      </c>
      <c r="C8123" s="2" t="s">
        <v>95</v>
      </c>
      <c r="D8123" s="2" t="s">
        <v>24275</v>
      </c>
      <c r="E8123" s="2" t="s">
        <v>1266</v>
      </c>
      <c r="F8123" s="4">
        <v>4215</v>
      </c>
      <c r="G8123" s="2" t="s">
        <v>173</v>
      </c>
      <c r="H8123" s="2" t="s">
        <v>34</v>
      </c>
      <c r="I8123" s="2" t="s">
        <v>24276</v>
      </c>
      <c r="J8123" s="2" t="s">
        <v>24277</v>
      </c>
      <c r="K8123" s="2" t="s">
        <v>173</v>
      </c>
      <c r="L8123" s="2" t="s">
        <v>34</v>
      </c>
      <c r="M8123" s="2"/>
      <c r="N8123" s="2"/>
      <c r="O8123" s="2"/>
      <c r="P8123" s="2" t="s">
        <v>24278</v>
      </c>
      <c r="Q8123" s="6">
        <v>51</v>
      </c>
      <c r="R8123" s="6">
        <v>3</v>
      </c>
      <c r="S8123" s="5">
        <v>0.8</v>
      </c>
      <c r="T8123" s="7">
        <v>3.806</v>
      </c>
      <c r="U8123" s="5">
        <v>1.2</v>
      </c>
      <c r="V8123" s="6">
        <v>0.03</v>
      </c>
      <c r="W8123" s="6">
        <v>2.29</v>
      </c>
      <c r="X8123" s="6">
        <v>2.21</v>
      </c>
      <c r="Y8123" s="5">
        <v>2.9</v>
      </c>
      <c r="Z8123" s="6">
        <v>2.92</v>
      </c>
      <c r="AA8123" s="6">
        <v>10.02</v>
      </c>
      <c r="AB8123" s="7">
        <v>21.690999999999999</v>
      </c>
      <c r="AC8123" s="6">
        <v>1.72</v>
      </c>
    </row>
    <row r="8124" spans="1:29" ht="169" x14ac:dyDescent="0.15">
      <c r="A8124" s="3">
        <f>DATE(2006,7,5)</f>
        <v>38903</v>
      </c>
      <c r="B8124" s="3">
        <f>DATE(2007,5,31)</f>
        <v>39233</v>
      </c>
      <c r="C8124" s="2" t="s">
        <v>95</v>
      </c>
      <c r="D8124" s="2" t="s">
        <v>24279</v>
      </c>
      <c r="E8124" s="2" t="s">
        <v>18487</v>
      </c>
      <c r="F8124" s="4">
        <v>4911</v>
      </c>
      <c r="G8124" s="2" t="s">
        <v>439</v>
      </c>
      <c r="H8124" s="2" t="s">
        <v>34</v>
      </c>
      <c r="I8124" s="2" t="s">
        <v>24280</v>
      </c>
      <c r="J8124" s="2" t="s">
        <v>11337</v>
      </c>
      <c r="K8124" s="2" t="s">
        <v>53</v>
      </c>
      <c r="L8124" s="2" t="s">
        <v>34</v>
      </c>
      <c r="M8124" s="2"/>
      <c r="N8124" s="2"/>
      <c r="O8124" s="2"/>
      <c r="P8124" s="2" t="s">
        <v>24281</v>
      </c>
      <c r="Q8124" s="6">
        <v>100</v>
      </c>
      <c r="R8124" s="6">
        <v>20</v>
      </c>
      <c r="S8124" s="5">
        <v>82.3</v>
      </c>
      <c r="T8124" s="5">
        <v>244.3</v>
      </c>
      <c r="U8124" s="5">
        <v>8.1999999999999993</v>
      </c>
      <c r="V8124" s="6">
        <v>1.05</v>
      </c>
      <c r="W8124" s="6">
        <v>16.14</v>
      </c>
      <c r="X8124" s="6">
        <v>16.440000000000001</v>
      </c>
      <c r="Y8124" s="6">
        <v>19.39</v>
      </c>
      <c r="Z8124" s="6">
        <v>19.37</v>
      </c>
      <c r="AA8124" s="6">
        <v>78.37</v>
      </c>
      <c r="AB8124" s="7">
        <v>17.331</v>
      </c>
      <c r="AC8124" s="2"/>
    </row>
    <row r="8125" spans="1:29" ht="91" x14ac:dyDescent="0.15">
      <c r="A8125" s="3">
        <f>DATE(2006,7,5)</f>
        <v>38903</v>
      </c>
      <c r="B8125" s="2"/>
      <c r="C8125" s="2" t="s">
        <v>30</v>
      </c>
      <c r="D8125" s="2" t="s">
        <v>11939</v>
      </c>
      <c r="E8125" s="2" t="s">
        <v>11940</v>
      </c>
      <c r="F8125" s="4">
        <v>7372</v>
      </c>
      <c r="G8125" s="2" t="s">
        <v>551</v>
      </c>
      <c r="H8125" s="2" t="s">
        <v>34</v>
      </c>
      <c r="I8125" s="2" t="s">
        <v>24282</v>
      </c>
      <c r="J8125" s="2" t="s">
        <v>9451</v>
      </c>
      <c r="K8125" s="2" t="s">
        <v>53</v>
      </c>
      <c r="L8125" s="2" t="s">
        <v>34</v>
      </c>
      <c r="M8125" s="2"/>
      <c r="N8125" s="2"/>
      <c r="O8125" s="2"/>
      <c r="P8125" s="2" t="s">
        <v>24283</v>
      </c>
      <c r="Q8125" s="2"/>
      <c r="R8125" s="6">
        <v>5.05</v>
      </c>
      <c r="S8125" s="5">
        <v>-35.299999999999997</v>
      </c>
      <c r="T8125" s="7">
        <v>-19.099</v>
      </c>
      <c r="U8125" s="5">
        <v>2.9</v>
      </c>
      <c r="V8125" s="6">
        <v>-1.4</v>
      </c>
      <c r="W8125" s="6">
        <v>4.1100000000000003</v>
      </c>
      <c r="X8125" s="7">
        <v>4.5650000000000004</v>
      </c>
      <c r="Y8125" s="6">
        <v>4.68</v>
      </c>
      <c r="Z8125" s="6">
        <v>4.87</v>
      </c>
      <c r="AA8125" s="6">
        <v>25.34</v>
      </c>
      <c r="AB8125" s="2" t="s">
        <v>86</v>
      </c>
      <c r="AC8125" s="2"/>
    </row>
    <row r="8126" spans="1:29" ht="169" x14ac:dyDescent="0.15">
      <c r="A8126" s="3">
        <f>DATE(2006,7,6)</f>
        <v>38904</v>
      </c>
      <c r="B8126" s="3">
        <f>DATE(2007,2,21)</f>
        <v>39134</v>
      </c>
      <c r="C8126" s="2" t="s">
        <v>95</v>
      </c>
      <c r="D8126" s="2" t="s">
        <v>24284</v>
      </c>
      <c r="E8126" s="2" t="s">
        <v>441</v>
      </c>
      <c r="F8126" s="4">
        <v>4924</v>
      </c>
      <c r="G8126" s="2" t="s">
        <v>439</v>
      </c>
      <c r="H8126" s="2" t="s">
        <v>34</v>
      </c>
      <c r="I8126" s="2" t="s">
        <v>10090</v>
      </c>
      <c r="J8126" s="2" t="s">
        <v>441</v>
      </c>
      <c r="K8126" s="2" t="s">
        <v>439</v>
      </c>
      <c r="L8126" s="2" t="s">
        <v>34</v>
      </c>
      <c r="M8126" s="12">
        <v>1999.605</v>
      </c>
      <c r="N8126" s="6">
        <v>48.14</v>
      </c>
      <c r="O8126" s="6">
        <v>47.98</v>
      </c>
      <c r="P8126" s="2" t="s">
        <v>24285</v>
      </c>
      <c r="Q8126" s="6">
        <v>100</v>
      </c>
      <c r="R8126" s="6">
        <v>41.39</v>
      </c>
      <c r="S8126" s="5">
        <v>78.099999999999994</v>
      </c>
      <c r="T8126" s="7">
        <v>263.10399999999998</v>
      </c>
      <c r="U8126" s="5">
        <v>21</v>
      </c>
      <c r="V8126" s="6">
        <v>2.0499999999999998</v>
      </c>
      <c r="W8126" s="6">
        <v>36.14</v>
      </c>
      <c r="X8126" s="6">
        <v>35.979999999999997</v>
      </c>
      <c r="Y8126" s="6">
        <v>39.06</v>
      </c>
      <c r="Z8126" s="6">
        <v>38.67</v>
      </c>
      <c r="AA8126" s="6">
        <v>38.409999999999997</v>
      </c>
      <c r="AB8126" s="7">
        <v>16.609000000000002</v>
      </c>
      <c r="AC8126" s="5">
        <v>17.5</v>
      </c>
    </row>
    <row r="8127" spans="1:29" ht="117" x14ac:dyDescent="0.15">
      <c r="A8127" s="3">
        <f>DATE(2006,7,7)</f>
        <v>38905</v>
      </c>
      <c r="B8127" s="3">
        <f>DATE(2006,11,15)</f>
        <v>39036</v>
      </c>
      <c r="C8127" s="2" t="s">
        <v>95</v>
      </c>
      <c r="D8127" s="2" t="s">
        <v>24286</v>
      </c>
      <c r="E8127" s="2" t="s">
        <v>124</v>
      </c>
      <c r="F8127" s="4">
        <v>6311</v>
      </c>
      <c r="G8127" s="2" t="s">
        <v>125</v>
      </c>
      <c r="H8127" s="2" t="s">
        <v>34</v>
      </c>
      <c r="I8127" s="2" t="s">
        <v>24287</v>
      </c>
      <c r="J8127" s="2" t="s">
        <v>854</v>
      </c>
      <c r="K8127" s="2" t="s">
        <v>125</v>
      </c>
      <c r="L8127" s="2" t="s">
        <v>303</v>
      </c>
      <c r="M8127" s="12">
        <v>37161.131999999998</v>
      </c>
      <c r="N8127" s="7">
        <v>13.413</v>
      </c>
      <c r="O8127" s="7">
        <v>13.315</v>
      </c>
      <c r="P8127" s="2" t="s">
        <v>24288</v>
      </c>
      <c r="Q8127" s="6">
        <v>100</v>
      </c>
      <c r="R8127" s="6">
        <v>69</v>
      </c>
      <c r="S8127" s="5">
        <v>223</v>
      </c>
      <c r="T8127" s="2"/>
      <c r="U8127" s="5">
        <v>37.1</v>
      </c>
      <c r="V8127" s="6">
        <v>5.12</v>
      </c>
      <c r="W8127" s="6">
        <v>57.85</v>
      </c>
      <c r="X8127" s="6">
        <v>61.91</v>
      </c>
      <c r="Y8127" s="5">
        <v>61.7</v>
      </c>
      <c r="Z8127" s="6">
        <v>61.93</v>
      </c>
      <c r="AA8127" s="6">
        <v>38.81</v>
      </c>
      <c r="AB8127" s="7">
        <v>7.3460000000000001</v>
      </c>
      <c r="AC8127" s="10">
        <v>19019.150000000001</v>
      </c>
    </row>
    <row r="8128" spans="1:29" ht="156" x14ac:dyDescent="0.15">
      <c r="A8128" s="3">
        <f>DATE(2006,7,7)</f>
        <v>38905</v>
      </c>
      <c r="B8128" s="3">
        <f>DATE(2006,11,15)</f>
        <v>39036</v>
      </c>
      <c r="C8128" s="2" t="s">
        <v>95</v>
      </c>
      <c r="D8128" s="2" t="s">
        <v>17491</v>
      </c>
      <c r="E8128" s="2" t="s">
        <v>4248</v>
      </c>
      <c r="F8128" s="4">
        <v>8099</v>
      </c>
      <c r="G8128" s="2" t="s">
        <v>454</v>
      </c>
      <c r="H8128" s="2" t="s">
        <v>34</v>
      </c>
      <c r="I8128" s="2" t="s">
        <v>24289</v>
      </c>
      <c r="J8128" s="2" t="s">
        <v>6185</v>
      </c>
      <c r="K8128" s="2" t="s">
        <v>454</v>
      </c>
      <c r="L8128" s="2" t="s">
        <v>34</v>
      </c>
      <c r="M8128" s="7">
        <v>71.245000000000005</v>
      </c>
      <c r="N8128" s="6">
        <v>1.87</v>
      </c>
      <c r="O8128" s="6">
        <v>1.82</v>
      </c>
      <c r="P8128" s="2" t="s">
        <v>24290</v>
      </c>
      <c r="Q8128" s="6">
        <v>100</v>
      </c>
      <c r="R8128" s="6">
        <v>6.28</v>
      </c>
      <c r="S8128" s="5">
        <v>-0.4</v>
      </c>
      <c r="T8128" s="6">
        <v>40.79</v>
      </c>
      <c r="U8128" s="5">
        <v>1.4</v>
      </c>
      <c r="V8128" s="6">
        <v>0.01</v>
      </c>
      <c r="W8128" s="5">
        <v>2.2999999999999998</v>
      </c>
      <c r="X8128" s="6">
        <v>2.25</v>
      </c>
      <c r="Y8128" s="6">
        <v>3.12</v>
      </c>
      <c r="Z8128" s="6">
        <v>3.18</v>
      </c>
      <c r="AA8128" s="6">
        <v>22.24</v>
      </c>
      <c r="AB8128" s="7">
        <v>15.48</v>
      </c>
      <c r="AC8128" s="6">
        <v>0</v>
      </c>
    </row>
    <row r="8129" spans="1:29" ht="130" x14ac:dyDescent="0.15">
      <c r="A8129" s="3">
        <f>DATE(2006,7,8)</f>
        <v>38906</v>
      </c>
      <c r="B8129" s="3">
        <f>DATE(2007,7,2)</f>
        <v>39265</v>
      </c>
      <c r="C8129" s="2" t="s">
        <v>95</v>
      </c>
      <c r="D8129" s="2" t="s">
        <v>24291</v>
      </c>
      <c r="E8129" s="2" t="s">
        <v>13810</v>
      </c>
      <c r="F8129" s="4">
        <v>4924</v>
      </c>
      <c r="G8129" s="2" t="s">
        <v>439</v>
      </c>
      <c r="H8129" s="2" t="s">
        <v>34</v>
      </c>
      <c r="I8129" s="2" t="s">
        <v>24292</v>
      </c>
      <c r="J8129" s="2" t="s">
        <v>24293</v>
      </c>
      <c r="K8129" s="2" t="s">
        <v>439</v>
      </c>
      <c r="L8129" s="2" t="s">
        <v>34</v>
      </c>
      <c r="M8129" s="12">
        <v>4267.2820000000002</v>
      </c>
      <c r="N8129" s="6">
        <v>35.880000000000003</v>
      </c>
      <c r="O8129" s="6">
        <v>35.880000000000003</v>
      </c>
      <c r="P8129" s="2" t="s">
        <v>24294</v>
      </c>
      <c r="Q8129" s="6">
        <v>100</v>
      </c>
      <c r="R8129" s="6">
        <v>26.5</v>
      </c>
      <c r="S8129" s="5">
        <v>12.9</v>
      </c>
      <c r="T8129" s="7">
        <v>52.435000000000002</v>
      </c>
      <c r="U8129" s="5">
        <v>11.1</v>
      </c>
      <c r="V8129" s="6">
        <v>1.1200000000000001</v>
      </c>
      <c r="W8129" s="6">
        <v>21.09</v>
      </c>
      <c r="X8129" s="6">
        <v>21.46</v>
      </c>
      <c r="Y8129" s="6">
        <v>25.32</v>
      </c>
      <c r="Z8129" s="6">
        <v>25.32</v>
      </c>
      <c r="AA8129" s="6">
        <v>11.48</v>
      </c>
      <c r="AB8129" s="7">
        <v>13.157</v>
      </c>
      <c r="AC8129" s="5">
        <v>116.7</v>
      </c>
    </row>
    <row r="8130" spans="1:29" ht="65" x14ac:dyDescent="0.15">
      <c r="A8130" s="3">
        <f>DATE(2006,7,9)</f>
        <v>38907</v>
      </c>
      <c r="B8130" s="3">
        <f>DATE(2006,10,5)</f>
        <v>38995</v>
      </c>
      <c r="C8130" s="2" t="s">
        <v>95</v>
      </c>
      <c r="D8130" s="2" t="s">
        <v>24295</v>
      </c>
      <c r="E8130" s="2" t="s">
        <v>92</v>
      </c>
      <c r="F8130" s="4">
        <v>6798</v>
      </c>
      <c r="G8130" s="2" t="s">
        <v>53</v>
      </c>
      <c r="H8130" s="2" t="s">
        <v>34</v>
      </c>
      <c r="I8130" s="2" t="s">
        <v>24296</v>
      </c>
      <c r="J8130" s="2" t="s">
        <v>24297</v>
      </c>
      <c r="K8130" s="2" t="s">
        <v>53</v>
      </c>
      <c r="L8130" s="2" t="s">
        <v>885</v>
      </c>
      <c r="M8130" s="12">
        <v>4165.2380000000003</v>
      </c>
      <c r="N8130" s="6">
        <v>5.08</v>
      </c>
      <c r="O8130" s="6">
        <v>5.08</v>
      </c>
      <c r="P8130" s="2" t="s">
        <v>24298</v>
      </c>
      <c r="Q8130" s="6">
        <v>100</v>
      </c>
      <c r="R8130" s="6">
        <v>36.15</v>
      </c>
      <c r="S8130" s="5">
        <v>18.600000000000001</v>
      </c>
      <c r="T8130" s="7">
        <v>124.69499999999999</v>
      </c>
      <c r="U8130" s="5">
        <v>17.8</v>
      </c>
      <c r="V8130" s="6">
        <v>0.39</v>
      </c>
      <c r="W8130" s="6">
        <v>34.92</v>
      </c>
      <c r="X8130" s="6">
        <v>34.979999999999997</v>
      </c>
      <c r="Y8130" s="6">
        <v>35.94</v>
      </c>
      <c r="Z8130" s="6">
        <v>35.94</v>
      </c>
      <c r="AA8130" s="6">
        <v>47.81</v>
      </c>
      <c r="AB8130" s="7">
        <v>164.79300000000001</v>
      </c>
      <c r="AC8130" s="6">
        <v>200.29</v>
      </c>
    </row>
    <row r="8131" spans="1:29" ht="91" x14ac:dyDescent="0.15">
      <c r="A8131" s="3">
        <f>DATE(2006,7,10)</f>
        <v>38908</v>
      </c>
      <c r="B8131" s="3">
        <f>DATE(2006,12,1)</f>
        <v>39052</v>
      </c>
      <c r="C8131" s="2" t="s">
        <v>95</v>
      </c>
      <c r="D8131" s="2" t="s">
        <v>24299</v>
      </c>
      <c r="E8131" s="2" t="s">
        <v>263</v>
      </c>
      <c r="F8131" s="4">
        <v>6035</v>
      </c>
      <c r="G8131" s="2" t="s">
        <v>33</v>
      </c>
      <c r="H8131" s="2" t="s">
        <v>34</v>
      </c>
      <c r="I8131" s="2" t="s">
        <v>158</v>
      </c>
      <c r="J8131" s="2" t="s">
        <v>159</v>
      </c>
      <c r="K8131" s="2" t="s">
        <v>37</v>
      </c>
      <c r="L8131" s="2" t="s">
        <v>34</v>
      </c>
      <c r="M8131" s="12">
        <v>22740.868999999999</v>
      </c>
      <c r="N8131" s="6">
        <v>36.78</v>
      </c>
      <c r="O8131" s="6">
        <v>35.86</v>
      </c>
      <c r="P8131" s="2" t="s">
        <v>24300</v>
      </c>
      <c r="Q8131" s="6">
        <v>100</v>
      </c>
      <c r="R8131" s="6">
        <v>45</v>
      </c>
      <c r="S8131" s="5">
        <v>48.9</v>
      </c>
      <c r="T8131" s="7">
        <v>83.316000000000003</v>
      </c>
      <c r="U8131" s="5">
        <v>14.3</v>
      </c>
      <c r="V8131" s="6">
        <v>2.09</v>
      </c>
      <c r="W8131" s="6">
        <v>37.25</v>
      </c>
      <c r="X8131" s="4">
        <v>37</v>
      </c>
      <c r="Y8131" s="6">
        <v>37.549999999999997</v>
      </c>
      <c r="Z8131" s="6">
        <v>44.34</v>
      </c>
      <c r="AA8131" s="6">
        <v>24.1</v>
      </c>
      <c r="AB8131" s="7">
        <v>21.902999999999999</v>
      </c>
      <c r="AC8131" s="2"/>
    </row>
    <row r="8132" spans="1:29" ht="117" x14ac:dyDescent="0.15">
      <c r="A8132" s="3">
        <f>DATE(2006,7,10)</f>
        <v>38908</v>
      </c>
      <c r="B8132" s="3">
        <f>DATE(2006,10,31)</f>
        <v>39021</v>
      </c>
      <c r="C8132" s="2" t="s">
        <v>95</v>
      </c>
      <c r="D8132" s="2" t="s">
        <v>17481</v>
      </c>
      <c r="E8132" s="2" t="s">
        <v>92</v>
      </c>
      <c r="F8132" s="4">
        <v>6798</v>
      </c>
      <c r="G8132" s="2" t="s">
        <v>53</v>
      </c>
      <c r="H8132" s="2" t="s">
        <v>34</v>
      </c>
      <c r="I8132" s="2" t="s">
        <v>11308</v>
      </c>
      <c r="J8132" s="2" t="s">
        <v>92</v>
      </c>
      <c r="K8132" s="2" t="s">
        <v>53</v>
      </c>
      <c r="L8132" s="2" t="s">
        <v>34</v>
      </c>
      <c r="M8132" s="12">
        <v>8776.3739999999998</v>
      </c>
      <c r="N8132" s="6">
        <v>37.409999999999997</v>
      </c>
      <c r="O8132" s="6">
        <v>37.68</v>
      </c>
      <c r="P8132" s="2" t="s">
        <v>24301</v>
      </c>
      <c r="Q8132" s="6">
        <v>100</v>
      </c>
      <c r="R8132" s="6">
        <v>70</v>
      </c>
      <c r="S8132" s="5">
        <v>98.2</v>
      </c>
      <c r="T8132" s="7">
        <v>157.33099999999999</v>
      </c>
      <c r="U8132" s="5">
        <v>23</v>
      </c>
      <c r="V8132" s="6">
        <v>2.39</v>
      </c>
      <c r="W8132" s="6">
        <v>70.38</v>
      </c>
      <c r="X8132" s="4">
        <v>70</v>
      </c>
      <c r="Y8132" s="6">
        <v>69.349999999999994</v>
      </c>
      <c r="Z8132" s="6">
        <v>69.209999999999994</v>
      </c>
      <c r="AA8132" s="6">
        <v>40.770000000000003</v>
      </c>
      <c r="AB8132" s="7">
        <v>40.411999999999999</v>
      </c>
      <c r="AC8132" s="6">
        <v>325.83</v>
      </c>
    </row>
    <row r="8133" spans="1:29" ht="65" x14ac:dyDescent="0.15">
      <c r="A8133" s="3">
        <f>DATE(2006,7,11)</f>
        <v>38909</v>
      </c>
      <c r="B8133" s="2"/>
      <c r="C8133" s="2" t="s">
        <v>189</v>
      </c>
      <c r="D8133" s="2" t="s">
        <v>24302</v>
      </c>
      <c r="E8133" s="2" t="s">
        <v>24303</v>
      </c>
      <c r="F8133" s="4">
        <v>5661</v>
      </c>
      <c r="G8133" s="2" t="s">
        <v>756</v>
      </c>
      <c r="H8133" s="2" t="s">
        <v>34</v>
      </c>
      <c r="I8133" s="2" t="s">
        <v>143</v>
      </c>
      <c r="J8133" s="2" t="s">
        <v>144</v>
      </c>
      <c r="K8133" s="2" t="s">
        <v>53</v>
      </c>
      <c r="L8133" s="2" t="s">
        <v>139</v>
      </c>
      <c r="M8133" s="2"/>
      <c r="N8133" s="2"/>
      <c r="O8133" s="2"/>
      <c r="P8133" s="2" t="s">
        <v>24304</v>
      </c>
      <c r="Q8133" s="2"/>
      <c r="R8133" s="2"/>
      <c r="S8133" s="5">
        <v>263</v>
      </c>
      <c r="T8133" s="5">
        <v>601</v>
      </c>
      <c r="U8133" s="5">
        <v>13.3</v>
      </c>
      <c r="V8133" s="6">
        <v>1.67</v>
      </c>
      <c r="W8133" s="6">
        <v>24.56</v>
      </c>
      <c r="X8133" s="6">
        <v>27.32</v>
      </c>
      <c r="Y8133" s="6">
        <v>26.97</v>
      </c>
      <c r="Z8133" s="4">
        <v>27</v>
      </c>
      <c r="AA8133" s="6">
        <v>155.33000000000001</v>
      </c>
      <c r="AB8133" s="2" t="s">
        <v>47</v>
      </c>
      <c r="AC8133" s="2"/>
    </row>
    <row r="8134" spans="1:29" ht="78" x14ac:dyDescent="0.15">
      <c r="A8134" s="3">
        <f>DATE(2006,7,11)</f>
        <v>38909</v>
      </c>
      <c r="B8134" s="3">
        <f>DATE(2007,1,3)</f>
        <v>39085</v>
      </c>
      <c r="C8134" s="2" t="s">
        <v>95</v>
      </c>
      <c r="D8134" s="2" t="s">
        <v>24305</v>
      </c>
      <c r="E8134" s="2" t="s">
        <v>24306</v>
      </c>
      <c r="F8134" s="4">
        <v>6162</v>
      </c>
      <c r="G8134" s="2" t="s">
        <v>109</v>
      </c>
      <c r="H8134" s="2" t="s">
        <v>34</v>
      </c>
      <c r="I8134" s="2" t="s">
        <v>17835</v>
      </c>
      <c r="J8134" s="2" t="s">
        <v>17836</v>
      </c>
      <c r="K8134" s="2" t="s">
        <v>37</v>
      </c>
      <c r="L8134" s="2" t="s">
        <v>1049</v>
      </c>
      <c r="M8134" s="12">
        <v>52795.406999999999</v>
      </c>
      <c r="N8134" s="7">
        <v>110.876</v>
      </c>
      <c r="O8134" s="7">
        <v>110.229</v>
      </c>
      <c r="P8134" s="2" t="s">
        <v>24307</v>
      </c>
      <c r="Q8134" s="6">
        <v>100</v>
      </c>
      <c r="R8134" s="6">
        <v>14.75</v>
      </c>
      <c r="S8134" s="5">
        <v>17.3</v>
      </c>
      <c r="T8134" s="6">
        <v>20.32</v>
      </c>
      <c r="U8134" s="5">
        <v>12.7</v>
      </c>
      <c r="V8134" s="6">
        <v>0.49</v>
      </c>
      <c r="W8134" s="6">
        <v>12.14</v>
      </c>
      <c r="X8134" s="6">
        <v>12.24</v>
      </c>
      <c r="Y8134" s="5">
        <v>12.4</v>
      </c>
      <c r="Z8134" s="6">
        <v>14.65</v>
      </c>
      <c r="AA8134" s="6">
        <v>29.09</v>
      </c>
      <c r="AB8134" s="7">
        <v>1076.1949999999999</v>
      </c>
      <c r="AC8134" s="2"/>
    </row>
    <row r="8135" spans="1:29" ht="143" x14ac:dyDescent="0.15">
      <c r="A8135" s="3">
        <f>DATE(2006,7,14)</f>
        <v>38912</v>
      </c>
      <c r="B8135" s="3">
        <f>DATE(2006,10,26)</f>
        <v>39016</v>
      </c>
      <c r="C8135" s="2" t="s">
        <v>95</v>
      </c>
      <c r="D8135" s="2" t="s">
        <v>8637</v>
      </c>
      <c r="E8135" s="2" t="s">
        <v>8638</v>
      </c>
      <c r="F8135" s="4">
        <v>5999</v>
      </c>
      <c r="G8135" s="2" t="s">
        <v>73</v>
      </c>
      <c r="H8135" s="2" t="s">
        <v>34</v>
      </c>
      <c r="I8135" s="2" t="s">
        <v>24308</v>
      </c>
      <c r="J8135" s="2" t="s">
        <v>11337</v>
      </c>
      <c r="K8135" s="2" t="s">
        <v>53</v>
      </c>
      <c r="L8135" s="2" t="s">
        <v>34</v>
      </c>
      <c r="M8135" s="2"/>
      <c r="N8135" s="2"/>
      <c r="O8135" s="2"/>
      <c r="P8135" s="2" t="s">
        <v>24309</v>
      </c>
      <c r="Q8135" s="6">
        <v>100</v>
      </c>
      <c r="R8135" s="6">
        <v>29</v>
      </c>
      <c r="S8135" s="5">
        <v>69</v>
      </c>
      <c r="T8135" s="7">
        <v>209.03299999999999</v>
      </c>
      <c r="U8135" s="5">
        <v>3.8</v>
      </c>
      <c r="V8135" s="6">
        <v>1.19</v>
      </c>
      <c r="W8135" s="6">
        <v>19.559999999999999</v>
      </c>
      <c r="X8135" s="6">
        <v>19.45</v>
      </c>
      <c r="Y8135" s="6">
        <v>27.89</v>
      </c>
      <c r="Z8135" s="6">
        <v>27.93</v>
      </c>
      <c r="AA8135" s="6">
        <v>57.16</v>
      </c>
      <c r="AB8135" s="7">
        <v>13.928000000000001</v>
      </c>
      <c r="AC8135" s="2"/>
    </row>
    <row r="8136" spans="1:29" ht="169" x14ac:dyDescent="0.15">
      <c r="A8136" s="3">
        <f>DATE(2006,7,14)</f>
        <v>38912</v>
      </c>
      <c r="B8136" s="3">
        <f>DATE(2007,5,31)</f>
        <v>39233</v>
      </c>
      <c r="C8136" s="2" t="s">
        <v>95</v>
      </c>
      <c r="D8136" s="2" t="s">
        <v>24310</v>
      </c>
      <c r="E8136" s="2" t="s">
        <v>24311</v>
      </c>
      <c r="F8136" s="4">
        <v>5932</v>
      </c>
      <c r="G8136" s="2" t="s">
        <v>73</v>
      </c>
      <c r="H8136" s="2" t="s">
        <v>34</v>
      </c>
      <c r="I8136" s="2" t="s">
        <v>24312</v>
      </c>
      <c r="J8136" s="2" t="s">
        <v>24313</v>
      </c>
      <c r="K8136" s="2" t="s">
        <v>73</v>
      </c>
      <c r="L8136" s="2" t="s">
        <v>34</v>
      </c>
      <c r="M8136" s="7">
        <v>11.644</v>
      </c>
      <c r="N8136" s="6">
        <v>2.54</v>
      </c>
      <c r="O8136" s="6">
        <v>2.2599999999999998</v>
      </c>
      <c r="P8136" s="2" t="s">
        <v>24314</v>
      </c>
      <c r="Q8136" s="6">
        <v>100</v>
      </c>
      <c r="R8136" s="2"/>
      <c r="S8136" s="5">
        <v>-2.5</v>
      </c>
      <c r="T8136" s="7">
        <v>-1.7230000000000001</v>
      </c>
      <c r="U8136" s="5">
        <v>-1.8</v>
      </c>
      <c r="V8136" s="6">
        <v>-0.53</v>
      </c>
      <c r="W8136" s="6">
        <v>1.01</v>
      </c>
      <c r="X8136" s="6">
        <v>1.01</v>
      </c>
      <c r="Y8136" s="6">
        <v>1.01</v>
      </c>
      <c r="Z8136" s="5">
        <v>1.3</v>
      </c>
      <c r="AA8136" s="6">
        <v>4.8099999999999996</v>
      </c>
      <c r="AB8136" s="2" t="s">
        <v>86</v>
      </c>
      <c r="AC8136" s="5">
        <v>0.2</v>
      </c>
    </row>
    <row r="8137" spans="1:29" ht="130" x14ac:dyDescent="0.15">
      <c r="A8137" s="3">
        <f>DATE(2006,7,18)</f>
        <v>38916</v>
      </c>
      <c r="B8137" s="3">
        <f>DATE(2007,1,31)</f>
        <v>39113</v>
      </c>
      <c r="C8137" s="2" t="s">
        <v>95</v>
      </c>
      <c r="D8137" s="2" t="s">
        <v>24315</v>
      </c>
      <c r="E8137" s="2" t="s">
        <v>159</v>
      </c>
      <c r="F8137" s="4">
        <v>6022</v>
      </c>
      <c r="G8137" s="2" t="s">
        <v>37</v>
      </c>
      <c r="H8137" s="2" t="s">
        <v>34</v>
      </c>
      <c r="I8137" s="2" t="s">
        <v>23531</v>
      </c>
      <c r="J8137" s="2" t="s">
        <v>36</v>
      </c>
      <c r="K8137" s="2" t="s">
        <v>37</v>
      </c>
      <c r="L8137" s="2" t="s">
        <v>34</v>
      </c>
      <c r="M8137" s="12">
        <v>1066.1479999999999</v>
      </c>
      <c r="N8137" s="6">
        <v>32.96</v>
      </c>
      <c r="O8137" s="6">
        <v>32.44</v>
      </c>
      <c r="P8137" s="2" t="s">
        <v>24316</v>
      </c>
      <c r="Q8137" s="6">
        <v>100</v>
      </c>
      <c r="R8137" s="6">
        <v>32.24</v>
      </c>
      <c r="S8137" s="5">
        <v>13.3</v>
      </c>
      <c r="T8137" s="7">
        <v>25.167000000000002</v>
      </c>
      <c r="U8137" s="5">
        <v>15.9</v>
      </c>
      <c r="V8137" s="6">
        <v>1.41</v>
      </c>
      <c r="W8137" s="6">
        <v>31.14</v>
      </c>
      <c r="X8137" s="6">
        <v>30.21</v>
      </c>
      <c r="Y8137" s="6">
        <v>30.68</v>
      </c>
      <c r="Z8137" s="6">
        <v>31.24</v>
      </c>
      <c r="AA8137" s="6">
        <v>10.62</v>
      </c>
      <c r="AB8137" s="7">
        <v>33.814</v>
      </c>
      <c r="AC8137" s="2"/>
    </row>
    <row r="8138" spans="1:29" ht="130" x14ac:dyDescent="0.15">
      <c r="A8138" s="3">
        <f>DATE(2006,7,19)</f>
        <v>38917</v>
      </c>
      <c r="B8138" s="3">
        <f>DATE(2006,11,29)</f>
        <v>39050</v>
      </c>
      <c r="C8138" s="2" t="s">
        <v>95</v>
      </c>
      <c r="D8138" s="2" t="s">
        <v>21363</v>
      </c>
      <c r="E8138" s="2" t="s">
        <v>24317</v>
      </c>
      <c r="F8138" s="4">
        <v>3944</v>
      </c>
      <c r="G8138" s="2" t="s">
        <v>112</v>
      </c>
      <c r="H8138" s="2" t="s">
        <v>34</v>
      </c>
      <c r="I8138" s="2" t="s">
        <v>24318</v>
      </c>
      <c r="J8138" s="2" t="s">
        <v>12755</v>
      </c>
      <c r="K8138" s="2" t="s">
        <v>53</v>
      </c>
      <c r="L8138" s="2" t="s">
        <v>34</v>
      </c>
      <c r="M8138" s="2"/>
      <c r="N8138" s="2"/>
      <c r="O8138" s="2"/>
      <c r="P8138" s="2" t="s">
        <v>24319</v>
      </c>
      <c r="Q8138" s="6">
        <v>100</v>
      </c>
      <c r="R8138" s="6">
        <v>13</v>
      </c>
      <c r="S8138" s="5">
        <v>3.9</v>
      </c>
      <c r="T8138" s="7">
        <v>10.397</v>
      </c>
      <c r="U8138" s="5">
        <v>5.2</v>
      </c>
      <c r="V8138" s="6">
        <v>0.41</v>
      </c>
      <c r="W8138" s="6">
        <v>8.0500000000000007</v>
      </c>
      <c r="X8138" s="5">
        <v>8.1</v>
      </c>
      <c r="Y8138" s="5">
        <v>8.1</v>
      </c>
      <c r="Z8138" s="6">
        <v>12.55</v>
      </c>
      <c r="AA8138" s="6">
        <v>9.0399999999999991</v>
      </c>
      <c r="AB8138" s="7">
        <v>15.288</v>
      </c>
      <c r="AC8138" s="2"/>
    </row>
    <row r="8139" spans="1:29" ht="91" x14ac:dyDescent="0.15">
      <c r="A8139" s="3">
        <f>DATE(2006,7,19)</f>
        <v>38917</v>
      </c>
      <c r="B8139" s="3">
        <f>DATE(2006,9,7)</f>
        <v>38967</v>
      </c>
      <c r="C8139" s="2" t="s">
        <v>95</v>
      </c>
      <c r="D8139" s="2" t="s">
        <v>24320</v>
      </c>
      <c r="E8139" s="2" t="s">
        <v>24321</v>
      </c>
      <c r="F8139" s="4">
        <v>3316</v>
      </c>
      <c r="G8139" s="2" t="s">
        <v>163</v>
      </c>
      <c r="H8139" s="2" t="s">
        <v>34</v>
      </c>
      <c r="I8139" s="2" t="s">
        <v>24322</v>
      </c>
      <c r="J8139" s="2" t="s">
        <v>1072</v>
      </c>
      <c r="K8139" s="2" t="s">
        <v>53</v>
      </c>
      <c r="L8139" s="2" t="s">
        <v>34</v>
      </c>
      <c r="M8139" s="2"/>
      <c r="N8139" s="2"/>
      <c r="O8139" s="2"/>
      <c r="P8139" s="2" t="s">
        <v>24323</v>
      </c>
      <c r="Q8139" s="6">
        <v>100</v>
      </c>
      <c r="R8139" s="6">
        <v>16</v>
      </c>
      <c r="S8139" s="5">
        <v>1.6</v>
      </c>
      <c r="T8139" s="7">
        <v>14.211</v>
      </c>
      <c r="U8139" s="5">
        <v>6.3</v>
      </c>
      <c r="V8139" s="6">
        <v>0.2</v>
      </c>
      <c r="W8139" s="5">
        <v>17.5</v>
      </c>
      <c r="X8139" s="5">
        <v>17.5</v>
      </c>
      <c r="Y8139" s="5">
        <v>17.399999999999999</v>
      </c>
      <c r="Z8139" s="6">
        <v>15.65</v>
      </c>
      <c r="AA8139" s="6">
        <v>8.24</v>
      </c>
      <c r="AB8139" s="7">
        <v>37.091999999999999</v>
      </c>
      <c r="AC8139" s="2"/>
    </row>
    <row r="8140" spans="1:29" ht="78" x14ac:dyDescent="0.15">
      <c r="A8140" s="3">
        <f>DATE(2006,7,20)</f>
        <v>38918</v>
      </c>
      <c r="B8140" s="2"/>
      <c r="C8140" s="2" t="s">
        <v>87</v>
      </c>
      <c r="D8140" s="2" t="s">
        <v>24324</v>
      </c>
      <c r="E8140" s="2" t="s">
        <v>24325</v>
      </c>
      <c r="F8140" s="4">
        <v>4841</v>
      </c>
      <c r="G8140" s="2" t="s">
        <v>45</v>
      </c>
      <c r="H8140" s="2" t="s">
        <v>34</v>
      </c>
      <c r="I8140" s="2" t="s">
        <v>9335</v>
      </c>
      <c r="J8140" s="2" t="s">
        <v>9336</v>
      </c>
      <c r="K8140" s="2" t="s">
        <v>45</v>
      </c>
      <c r="L8140" s="2" t="s">
        <v>34</v>
      </c>
      <c r="M8140" s="12">
        <v>13368.802</v>
      </c>
      <c r="N8140" s="6">
        <v>32.979999999999997</v>
      </c>
      <c r="O8140" s="6">
        <v>33.36</v>
      </c>
      <c r="P8140" s="2" t="s">
        <v>24326</v>
      </c>
      <c r="Q8140" s="2"/>
      <c r="R8140" s="2"/>
      <c r="S8140" s="5">
        <v>909.7</v>
      </c>
      <c r="T8140" s="8">
        <v>2345.1</v>
      </c>
      <c r="U8140" s="5">
        <v>4.9000000000000004</v>
      </c>
      <c r="V8140" s="6">
        <v>0.68</v>
      </c>
      <c r="W8140" s="5">
        <v>16.5</v>
      </c>
      <c r="X8140" s="6">
        <v>16.88</v>
      </c>
      <c r="Y8140" s="6">
        <v>16.649999999999999</v>
      </c>
      <c r="Z8140" s="6">
        <v>16.71</v>
      </c>
      <c r="AA8140" s="10">
        <v>1273.6099999999999</v>
      </c>
      <c r="AB8140" s="2" t="s">
        <v>47</v>
      </c>
      <c r="AC8140" s="10">
        <v>2719.55</v>
      </c>
    </row>
    <row r="8141" spans="1:29" ht="182" x14ac:dyDescent="0.15">
      <c r="A8141" s="3">
        <f>DATE(2006,7,23)</f>
        <v>38921</v>
      </c>
      <c r="B8141" s="3">
        <f>DATE(2007,1,3)</f>
        <v>39085</v>
      </c>
      <c r="C8141" s="2" t="s">
        <v>95</v>
      </c>
      <c r="D8141" s="2" t="s">
        <v>24327</v>
      </c>
      <c r="E8141" s="2" t="s">
        <v>92</v>
      </c>
      <c r="F8141" s="4">
        <v>6798</v>
      </c>
      <c r="G8141" s="2" t="s">
        <v>53</v>
      </c>
      <c r="H8141" s="2" t="s">
        <v>34</v>
      </c>
      <c r="I8141" s="2" t="s">
        <v>24328</v>
      </c>
      <c r="J8141" s="2" t="s">
        <v>18793</v>
      </c>
      <c r="K8141" s="2" t="s">
        <v>53</v>
      </c>
      <c r="L8141" s="2" t="s">
        <v>34</v>
      </c>
      <c r="M8141" s="12">
        <v>1068.0229999999999</v>
      </c>
      <c r="N8141" s="5">
        <v>20.2</v>
      </c>
      <c r="O8141" s="5">
        <v>20.2</v>
      </c>
      <c r="P8141" s="2" t="s">
        <v>24329</v>
      </c>
      <c r="Q8141" s="6">
        <v>100</v>
      </c>
      <c r="R8141" s="6">
        <v>20.48</v>
      </c>
      <c r="S8141" s="2"/>
      <c r="T8141" s="2"/>
      <c r="U8141" s="2"/>
      <c r="V8141" s="2"/>
      <c r="W8141" s="6">
        <v>16.55</v>
      </c>
      <c r="X8141" s="6">
        <v>16.95</v>
      </c>
      <c r="Y8141" s="6">
        <v>16.05</v>
      </c>
      <c r="Z8141" s="6">
        <v>16.05</v>
      </c>
      <c r="AA8141" s="6">
        <v>19.38</v>
      </c>
      <c r="AB8141" s="2" t="s">
        <v>47</v>
      </c>
      <c r="AC8141" s="6">
        <v>58.54</v>
      </c>
    </row>
    <row r="8142" spans="1:29" ht="273" x14ac:dyDescent="0.15">
      <c r="A8142" s="3">
        <f>DATE(2006,7,24)</f>
        <v>38922</v>
      </c>
      <c r="B8142" s="2"/>
      <c r="C8142" s="2" t="s">
        <v>30</v>
      </c>
      <c r="D8142" s="2" t="s">
        <v>24330</v>
      </c>
      <c r="E8142" s="2" t="s">
        <v>24331</v>
      </c>
      <c r="F8142" s="4">
        <v>3634</v>
      </c>
      <c r="G8142" s="2" t="s">
        <v>137</v>
      </c>
      <c r="H8142" s="2" t="s">
        <v>34</v>
      </c>
      <c r="I8142" s="2" t="s">
        <v>24332</v>
      </c>
      <c r="J8142" s="2" t="s">
        <v>7424</v>
      </c>
      <c r="K8142" s="2" t="s">
        <v>300</v>
      </c>
      <c r="L8142" s="2" t="s">
        <v>34</v>
      </c>
      <c r="M8142" s="12">
        <v>3260.5889999999999</v>
      </c>
      <c r="N8142" s="5">
        <v>126.5</v>
      </c>
      <c r="O8142" s="6">
        <v>128.33000000000001</v>
      </c>
      <c r="P8142" s="2" t="s">
        <v>24333</v>
      </c>
      <c r="Q8142" s="2"/>
      <c r="R8142" s="6">
        <v>8.0500000000000007</v>
      </c>
      <c r="S8142" s="5">
        <v>-15.5</v>
      </c>
      <c r="T8142" s="7">
        <v>2.4409999999999998</v>
      </c>
      <c r="U8142" s="5">
        <v>1.9</v>
      </c>
      <c r="V8142" s="6">
        <v>-0.63</v>
      </c>
      <c r="W8142" s="6">
        <v>3.59</v>
      </c>
      <c r="X8142" s="6">
        <v>3.46</v>
      </c>
      <c r="Y8142" s="6">
        <v>3.96</v>
      </c>
      <c r="Z8142" s="6">
        <v>3.87</v>
      </c>
      <c r="AA8142" s="6">
        <v>25</v>
      </c>
      <c r="AB8142" s="2" t="s">
        <v>86</v>
      </c>
      <c r="AC8142" s="5">
        <v>196.7</v>
      </c>
    </row>
    <row r="8143" spans="1:29" ht="182" x14ac:dyDescent="0.15">
      <c r="A8143" s="3">
        <f>DATE(2006,7,24)</f>
        <v>38922</v>
      </c>
      <c r="B8143" s="3">
        <f>DATE(2006,11,17)</f>
        <v>39038</v>
      </c>
      <c r="C8143" s="2" t="s">
        <v>95</v>
      </c>
      <c r="D8143" s="2" t="s">
        <v>24334</v>
      </c>
      <c r="E8143" s="2" t="s">
        <v>3032</v>
      </c>
      <c r="F8143" s="4">
        <v>8062</v>
      </c>
      <c r="G8143" s="2" t="s">
        <v>454</v>
      </c>
      <c r="H8143" s="2" t="s">
        <v>34</v>
      </c>
      <c r="I8143" s="2" t="s">
        <v>24335</v>
      </c>
      <c r="J8143" s="2" t="s">
        <v>11337</v>
      </c>
      <c r="K8143" s="2" t="s">
        <v>53</v>
      </c>
      <c r="L8143" s="2" t="s">
        <v>34</v>
      </c>
      <c r="M8143" s="2"/>
      <c r="N8143" s="2"/>
      <c r="O8143" s="2"/>
      <c r="P8143" s="2" t="s">
        <v>24336</v>
      </c>
      <c r="Q8143" s="6">
        <v>100</v>
      </c>
      <c r="R8143" s="6">
        <v>51</v>
      </c>
      <c r="S8143" s="8">
        <v>1279</v>
      </c>
      <c r="T8143" s="8">
        <v>3868</v>
      </c>
      <c r="U8143" s="5">
        <v>11.8</v>
      </c>
      <c r="V8143" s="6">
        <v>2.99</v>
      </c>
      <c r="W8143" s="6">
        <v>43.53</v>
      </c>
      <c r="X8143" s="6">
        <v>43.67</v>
      </c>
      <c r="Y8143" s="5">
        <v>48.2</v>
      </c>
      <c r="Z8143" s="6">
        <v>47.87</v>
      </c>
      <c r="AA8143" s="6">
        <v>408.06</v>
      </c>
      <c r="AB8143" s="7">
        <v>12.893000000000001</v>
      </c>
      <c r="AC8143" s="2"/>
    </row>
    <row r="8144" spans="1:29" ht="104" x14ac:dyDescent="0.15">
      <c r="A8144" s="3">
        <f>DATE(2006,7,25)</f>
        <v>38923</v>
      </c>
      <c r="B8144" s="3">
        <f>DATE(2006,11,1)</f>
        <v>39022</v>
      </c>
      <c r="C8144" s="2" t="s">
        <v>95</v>
      </c>
      <c r="D8144" s="2" t="s">
        <v>24337</v>
      </c>
      <c r="E8144" s="2" t="s">
        <v>14580</v>
      </c>
      <c r="F8144" s="4">
        <v>7372</v>
      </c>
      <c r="G8144" s="2" t="s">
        <v>551</v>
      </c>
      <c r="H8144" s="2" t="s">
        <v>34</v>
      </c>
      <c r="I8144" s="2" t="s">
        <v>21668</v>
      </c>
      <c r="J8144" s="2" t="s">
        <v>21669</v>
      </c>
      <c r="K8144" s="2" t="s">
        <v>50</v>
      </c>
      <c r="L8144" s="2" t="s">
        <v>34</v>
      </c>
      <c r="M8144" s="12">
        <v>89098.437999999995</v>
      </c>
      <c r="N8144" s="6">
        <v>31.33</v>
      </c>
      <c r="O8144" s="6">
        <v>31.75</v>
      </c>
      <c r="P8144" s="2" t="s">
        <v>24338</v>
      </c>
      <c r="Q8144" s="6">
        <v>100</v>
      </c>
      <c r="R8144" s="6">
        <v>52</v>
      </c>
      <c r="S8144" s="5">
        <v>-99.9</v>
      </c>
      <c r="T8144" s="7">
        <v>213.946</v>
      </c>
      <c r="U8144" s="5">
        <v>7.3</v>
      </c>
      <c r="V8144" s="6">
        <v>-1.1499999999999999</v>
      </c>
      <c r="W8144" s="5">
        <v>37.9</v>
      </c>
      <c r="X8144" s="6">
        <v>38.67</v>
      </c>
      <c r="Y8144" s="4">
        <v>39</v>
      </c>
      <c r="Z8144" s="6">
        <v>49.75</v>
      </c>
      <c r="AA8144" s="6">
        <v>86.73</v>
      </c>
      <c r="AB8144" s="7">
        <v>21.577000000000002</v>
      </c>
      <c r="AC8144" s="8">
        <v>14044</v>
      </c>
    </row>
    <row r="8145" spans="1:29" ht="104" x14ac:dyDescent="0.15">
      <c r="A8145" s="3">
        <f>DATE(2006,7,25)</f>
        <v>38923</v>
      </c>
      <c r="B8145" s="3">
        <f>DATE(2006,11,1)</f>
        <v>39022</v>
      </c>
      <c r="C8145" s="2" t="s">
        <v>95</v>
      </c>
      <c r="D8145" s="2" t="s">
        <v>24339</v>
      </c>
      <c r="E8145" s="2" t="s">
        <v>3900</v>
      </c>
      <c r="F8145" s="4">
        <v>5812</v>
      </c>
      <c r="G8145" s="2" t="s">
        <v>230</v>
      </c>
      <c r="H8145" s="2" t="s">
        <v>34</v>
      </c>
      <c r="I8145" s="2" t="s">
        <v>8043</v>
      </c>
      <c r="J8145" s="2" t="s">
        <v>24340</v>
      </c>
      <c r="K8145" s="2" t="s">
        <v>230</v>
      </c>
      <c r="L8145" s="2" t="s">
        <v>34</v>
      </c>
      <c r="M8145" s="2"/>
      <c r="N8145" s="2"/>
      <c r="O8145" s="2"/>
      <c r="P8145" s="2" t="s">
        <v>24341</v>
      </c>
      <c r="Q8145" s="6">
        <v>100</v>
      </c>
      <c r="R8145" s="6">
        <v>16.25</v>
      </c>
      <c r="S8145" s="5">
        <v>26</v>
      </c>
      <c r="T8145" s="7">
        <v>88.984999999999999</v>
      </c>
      <c r="U8145" s="5">
        <v>10.5</v>
      </c>
      <c r="V8145" s="6">
        <v>0.61</v>
      </c>
      <c r="W8145" s="6">
        <v>10.94</v>
      </c>
      <c r="X8145" s="6">
        <v>11.22</v>
      </c>
      <c r="Y8145" s="5">
        <v>15.7</v>
      </c>
      <c r="Z8145" s="6">
        <v>15.69</v>
      </c>
      <c r="AA8145" s="6">
        <v>42.18</v>
      </c>
      <c r="AB8145" s="7">
        <v>15.391</v>
      </c>
      <c r="AC8145" s="2"/>
    </row>
    <row r="8146" spans="1:29" ht="91" x14ac:dyDescent="0.15">
      <c r="A8146" s="3">
        <f>DATE(2006,7,25)</f>
        <v>38923</v>
      </c>
      <c r="B8146" s="3">
        <f>DATE(2006,10,5)</f>
        <v>38995</v>
      </c>
      <c r="C8146" s="2" t="s">
        <v>95</v>
      </c>
      <c r="D8146" s="2" t="s">
        <v>23783</v>
      </c>
      <c r="E8146" s="2" t="s">
        <v>23784</v>
      </c>
      <c r="F8146" s="4">
        <v>7372</v>
      </c>
      <c r="G8146" s="2" t="s">
        <v>551</v>
      </c>
      <c r="H8146" s="2" t="s">
        <v>34</v>
      </c>
      <c r="I8146" s="2" t="s">
        <v>24342</v>
      </c>
      <c r="J8146" s="2" t="s">
        <v>244</v>
      </c>
      <c r="K8146" s="2" t="s">
        <v>53</v>
      </c>
      <c r="L8146" s="2" t="s">
        <v>34</v>
      </c>
      <c r="M8146" s="2"/>
      <c r="N8146" s="2"/>
      <c r="O8146" s="2"/>
      <c r="P8146" s="2" t="s">
        <v>24343</v>
      </c>
      <c r="Q8146" s="6">
        <v>100</v>
      </c>
      <c r="R8146" s="6">
        <v>4.25</v>
      </c>
      <c r="S8146" s="5">
        <v>-9.6999999999999993</v>
      </c>
      <c r="T8146" s="7">
        <v>-8.5090000000000003</v>
      </c>
      <c r="U8146" s="2"/>
      <c r="V8146" s="6">
        <v>-0.28999999999999998</v>
      </c>
      <c r="W8146" s="6">
        <v>3.71</v>
      </c>
      <c r="X8146" s="6">
        <v>3.73</v>
      </c>
      <c r="Y8146" s="6">
        <v>4.13</v>
      </c>
      <c r="Z8146" s="5">
        <v>4.0999999999999996</v>
      </c>
      <c r="AA8146" s="6">
        <v>34.47</v>
      </c>
      <c r="AB8146" s="2" t="s">
        <v>86</v>
      </c>
      <c r="AC8146" s="2"/>
    </row>
    <row r="8147" spans="1:29" ht="130" x14ac:dyDescent="0.15">
      <c r="A8147" s="3">
        <f>DATE(2006,7,26)</f>
        <v>38924</v>
      </c>
      <c r="B8147" s="2"/>
      <c r="C8147" s="2" t="s">
        <v>30</v>
      </c>
      <c r="D8147" s="2" t="s">
        <v>24334</v>
      </c>
      <c r="E8147" s="2" t="s">
        <v>3032</v>
      </c>
      <c r="F8147" s="4">
        <v>8062</v>
      </c>
      <c r="G8147" s="2" t="s">
        <v>454</v>
      </c>
      <c r="H8147" s="2" t="s">
        <v>34</v>
      </c>
      <c r="I8147" s="2" t="s">
        <v>21776</v>
      </c>
      <c r="J8147" s="2" t="s">
        <v>21777</v>
      </c>
      <c r="K8147" s="2" t="s">
        <v>53</v>
      </c>
      <c r="L8147" s="2" t="s">
        <v>34</v>
      </c>
      <c r="M8147" s="2"/>
      <c r="N8147" s="2"/>
      <c r="O8147" s="2"/>
      <c r="P8147" s="2" t="s">
        <v>24344</v>
      </c>
      <c r="Q8147" s="2"/>
      <c r="R8147" s="2"/>
      <c r="S8147" s="8">
        <v>1279</v>
      </c>
      <c r="T8147" s="8">
        <v>3868</v>
      </c>
      <c r="U8147" s="5">
        <v>11.8</v>
      </c>
      <c r="V8147" s="6">
        <v>2.99</v>
      </c>
      <c r="W8147" s="6">
        <v>43.53</v>
      </c>
      <c r="X8147" s="6">
        <v>43.67</v>
      </c>
      <c r="Y8147" s="5">
        <v>48.2</v>
      </c>
      <c r="Z8147" s="6">
        <v>47.87</v>
      </c>
      <c r="AA8147" s="6">
        <v>408.06</v>
      </c>
      <c r="AB8147" s="2" t="s">
        <v>47</v>
      </c>
      <c r="AC8147" s="6">
        <v>450.07</v>
      </c>
    </row>
    <row r="8148" spans="1:29" ht="182" x14ac:dyDescent="0.15">
      <c r="A8148" s="3">
        <f>DATE(2006,7,27)</f>
        <v>38925</v>
      </c>
      <c r="B8148" s="3">
        <f>DATE(2006,10,27)</f>
        <v>39017</v>
      </c>
      <c r="C8148" s="2" t="s">
        <v>95</v>
      </c>
      <c r="D8148" s="2" t="s">
        <v>24345</v>
      </c>
      <c r="E8148" s="2" t="s">
        <v>24346</v>
      </c>
      <c r="F8148" s="4">
        <v>3715</v>
      </c>
      <c r="G8148" s="2" t="s">
        <v>105</v>
      </c>
      <c r="H8148" s="2" t="s">
        <v>34</v>
      </c>
      <c r="I8148" s="2" t="s">
        <v>24347</v>
      </c>
      <c r="J8148" s="2" t="s">
        <v>24346</v>
      </c>
      <c r="K8148" s="2" t="s">
        <v>105</v>
      </c>
      <c r="L8148" s="2" t="s">
        <v>34</v>
      </c>
      <c r="M8148" s="2"/>
      <c r="N8148" s="2"/>
      <c r="O8148" s="2"/>
      <c r="P8148" s="2" t="s">
        <v>24348</v>
      </c>
      <c r="Q8148" s="6">
        <v>100</v>
      </c>
      <c r="R8148" s="6">
        <v>6.5</v>
      </c>
      <c r="S8148" s="5">
        <v>5.3</v>
      </c>
      <c r="T8148" s="2"/>
      <c r="U8148" s="2"/>
      <c r="V8148" s="9">
        <v>0.45669999999999999</v>
      </c>
      <c r="W8148" s="6">
        <v>4.59</v>
      </c>
      <c r="X8148" s="6">
        <v>4.25</v>
      </c>
      <c r="Y8148" s="6">
        <v>6.33</v>
      </c>
      <c r="Z8148" s="6">
        <v>6.33</v>
      </c>
      <c r="AA8148" s="6">
        <v>11.06</v>
      </c>
      <c r="AB8148" s="7">
        <v>10.547000000000001</v>
      </c>
      <c r="AC8148" s="2"/>
    </row>
    <row r="8149" spans="1:29" ht="182" x14ac:dyDescent="0.15">
      <c r="A8149" s="3">
        <f>DATE(2006,7,27)</f>
        <v>38925</v>
      </c>
      <c r="B8149" s="3">
        <f>DATE(2007,1,5)</f>
        <v>39087</v>
      </c>
      <c r="C8149" s="2" t="s">
        <v>95</v>
      </c>
      <c r="D8149" s="2" t="s">
        <v>24349</v>
      </c>
      <c r="E8149" s="2" t="s">
        <v>159</v>
      </c>
      <c r="F8149" s="4">
        <v>6021</v>
      </c>
      <c r="G8149" s="2" t="s">
        <v>37</v>
      </c>
      <c r="H8149" s="2" t="s">
        <v>34</v>
      </c>
      <c r="I8149" s="2" t="s">
        <v>158</v>
      </c>
      <c r="J8149" s="2" t="s">
        <v>159</v>
      </c>
      <c r="K8149" s="2" t="s">
        <v>37</v>
      </c>
      <c r="L8149" s="2" t="s">
        <v>34</v>
      </c>
      <c r="M8149" s="12">
        <v>22430.018</v>
      </c>
      <c r="N8149" s="6">
        <v>35.28</v>
      </c>
      <c r="O8149" s="6">
        <v>36.049999999999997</v>
      </c>
      <c r="P8149" s="2" t="s">
        <v>24350</v>
      </c>
      <c r="Q8149" s="6">
        <v>100</v>
      </c>
      <c r="R8149" s="6">
        <v>40.32</v>
      </c>
      <c r="S8149" s="5">
        <v>33.1</v>
      </c>
      <c r="T8149" s="7">
        <v>58.081000000000003</v>
      </c>
      <c r="U8149" s="5">
        <v>11.7</v>
      </c>
      <c r="V8149" s="6">
        <v>1.3</v>
      </c>
      <c r="W8149" s="5">
        <v>34.5</v>
      </c>
      <c r="X8149" s="6">
        <v>36.119999999999997</v>
      </c>
      <c r="Y8149" s="6">
        <v>37.840000000000003</v>
      </c>
      <c r="Z8149" s="6">
        <v>38.450000000000003</v>
      </c>
      <c r="AA8149" s="6">
        <v>25.17</v>
      </c>
      <c r="AB8149" s="7">
        <v>29.186</v>
      </c>
      <c r="AC8149" s="2"/>
    </row>
    <row r="8150" spans="1:29" ht="130" x14ac:dyDescent="0.15">
      <c r="A8150" s="3">
        <f>DATE(2006,7,27)</f>
        <v>38925</v>
      </c>
      <c r="B8150" s="3">
        <f>DATE(2007,2,2)</f>
        <v>39115</v>
      </c>
      <c r="C8150" s="2" t="s">
        <v>95</v>
      </c>
      <c r="D8150" s="2" t="s">
        <v>24351</v>
      </c>
      <c r="E8150" s="2" t="s">
        <v>14170</v>
      </c>
      <c r="F8150" s="4">
        <v>6035</v>
      </c>
      <c r="G8150" s="2" t="s">
        <v>33</v>
      </c>
      <c r="H8150" s="2" t="s">
        <v>34</v>
      </c>
      <c r="I8150" s="2" t="s">
        <v>20308</v>
      </c>
      <c r="J8150" s="2" t="s">
        <v>36</v>
      </c>
      <c r="K8150" s="2" t="s">
        <v>37</v>
      </c>
      <c r="L8150" s="2" t="s">
        <v>34</v>
      </c>
      <c r="M8150" s="7">
        <v>566.51900000000001</v>
      </c>
      <c r="N8150" s="6">
        <v>58.03</v>
      </c>
      <c r="O8150" s="6">
        <v>58.02</v>
      </c>
      <c r="P8150" s="2" t="s">
        <v>24352</v>
      </c>
      <c r="Q8150" s="6">
        <v>100</v>
      </c>
      <c r="R8150" s="6">
        <v>16.440000000000001</v>
      </c>
      <c r="S8150" s="5">
        <v>3</v>
      </c>
      <c r="T8150" s="6">
        <v>4.26</v>
      </c>
      <c r="U8150" s="5">
        <v>11.1</v>
      </c>
      <c r="V8150" s="6">
        <v>0.66</v>
      </c>
      <c r="W8150" s="6">
        <v>12.05</v>
      </c>
      <c r="X8150" s="6">
        <v>12.35</v>
      </c>
      <c r="Y8150" s="5">
        <v>15.8</v>
      </c>
      <c r="Z8150" s="6">
        <v>15.75</v>
      </c>
      <c r="AA8150" s="6">
        <v>4.6399999999999997</v>
      </c>
      <c r="AB8150" s="7">
        <v>73.790999999999997</v>
      </c>
      <c r="AC8150" s="2"/>
    </row>
    <row r="8151" spans="1:29" ht="104" x14ac:dyDescent="0.15">
      <c r="A8151" s="3">
        <f>DATE(2006,7,28)</f>
        <v>38926</v>
      </c>
      <c r="B8151" s="3">
        <f>DATE(2006,8,15)</f>
        <v>38944</v>
      </c>
      <c r="C8151" s="2" t="s">
        <v>95</v>
      </c>
      <c r="D8151" s="2" t="s">
        <v>24353</v>
      </c>
      <c r="E8151" s="2" t="s">
        <v>24354</v>
      </c>
      <c r="F8151" s="4">
        <v>3571</v>
      </c>
      <c r="G8151" s="2" t="s">
        <v>50</v>
      </c>
      <c r="H8151" s="2" t="s">
        <v>34</v>
      </c>
      <c r="I8151" s="2" t="s">
        <v>24355</v>
      </c>
      <c r="J8151" s="2" t="s">
        <v>24356</v>
      </c>
      <c r="K8151" s="2" t="s">
        <v>551</v>
      </c>
      <c r="L8151" s="2" t="s">
        <v>34</v>
      </c>
      <c r="M8151" s="7">
        <v>74.296000000000006</v>
      </c>
      <c r="N8151" s="7">
        <v>1.746</v>
      </c>
      <c r="O8151" s="6">
        <v>1.73</v>
      </c>
      <c r="P8151" s="2" t="s">
        <v>24357</v>
      </c>
      <c r="Q8151" s="6">
        <v>100</v>
      </c>
      <c r="R8151" s="2"/>
      <c r="S8151" s="5">
        <v>0.8</v>
      </c>
      <c r="T8151" s="7">
        <v>16.114000000000001</v>
      </c>
      <c r="U8151" s="2"/>
      <c r="V8151" s="2"/>
      <c r="W8151" s="4">
        <v>14</v>
      </c>
      <c r="X8151" s="4">
        <v>14</v>
      </c>
      <c r="Y8151" s="4">
        <v>14</v>
      </c>
      <c r="Z8151" s="4">
        <v>14</v>
      </c>
      <c r="AA8151" s="6">
        <v>0.39</v>
      </c>
      <c r="AB8151" s="7">
        <v>1.702</v>
      </c>
      <c r="AC8151" s="6">
        <v>12.72</v>
      </c>
    </row>
    <row r="8152" spans="1:29" ht="143" x14ac:dyDescent="0.15">
      <c r="A8152" s="3">
        <f>DATE(2006,7,31)</f>
        <v>38929</v>
      </c>
      <c r="B8152" s="3">
        <f>DATE(2009,12,29)</f>
        <v>40176</v>
      </c>
      <c r="C8152" s="2" t="s">
        <v>95</v>
      </c>
      <c r="D8152" s="2" t="s">
        <v>24358</v>
      </c>
      <c r="E8152" s="2" t="s">
        <v>1181</v>
      </c>
      <c r="F8152" s="4">
        <v>6021</v>
      </c>
      <c r="G8152" s="2" t="s">
        <v>37</v>
      </c>
      <c r="H8152" s="2" t="s">
        <v>34</v>
      </c>
      <c r="I8152" s="2" t="s">
        <v>24359</v>
      </c>
      <c r="J8152" s="2" t="s">
        <v>1181</v>
      </c>
      <c r="K8152" s="2" t="s">
        <v>37</v>
      </c>
      <c r="L8152" s="2" t="s">
        <v>34</v>
      </c>
      <c r="M8152" s="2"/>
      <c r="N8152" s="6">
        <v>23.65</v>
      </c>
      <c r="O8152" s="6">
        <v>23.65</v>
      </c>
      <c r="P8152" s="2" t="s">
        <v>24360</v>
      </c>
      <c r="Q8152" s="2"/>
      <c r="R8152" s="2"/>
      <c r="S8152" s="2"/>
      <c r="T8152" s="2"/>
      <c r="U8152" s="2"/>
      <c r="V8152" s="2"/>
      <c r="W8152" s="5">
        <v>47.1</v>
      </c>
      <c r="X8152" s="5">
        <v>47.1</v>
      </c>
      <c r="Y8152" s="5">
        <v>47.1</v>
      </c>
      <c r="Z8152" s="5">
        <v>47.1</v>
      </c>
      <c r="AA8152" s="2"/>
      <c r="AB8152" s="2" t="s">
        <v>47</v>
      </c>
      <c r="AC8152" s="2"/>
    </row>
    <row r="8153" spans="1:29" ht="195" x14ac:dyDescent="0.15">
      <c r="A8153" s="3">
        <f>DATE(2006,7,31)</f>
        <v>38929</v>
      </c>
      <c r="B8153" s="2"/>
      <c r="C8153" s="2" t="s">
        <v>7330</v>
      </c>
      <c r="D8153" s="2" t="s">
        <v>24361</v>
      </c>
      <c r="E8153" s="2" t="s">
        <v>1181</v>
      </c>
      <c r="F8153" s="4">
        <v>6021</v>
      </c>
      <c r="G8153" s="2" t="s">
        <v>37</v>
      </c>
      <c r="H8153" s="2" t="s">
        <v>34</v>
      </c>
      <c r="I8153" s="2" t="s">
        <v>24359</v>
      </c>
      <c r="J8153" s="2" t="s">
        <v>1181</v>
      </c>
      <c r="K8153" s="2" t="s">
        <v>37</v>
      </c>
      <c r="L8153" s="2" t="s">
        <v>34</v>
      </c>
      <c r="M8153" s="2"/>
      <c r="N8153" s="6">
        <v>23.65</v>
      </c>
      <c r="O8153" s="6">
        <v>23.65</v>
      </c>
      <c r="P8153" s="2" t="s">
        <v>24362</v>
      </c>
      <c r="Q8153" s="2"/>
      <c r="R8153" s="2"/>
      <c r="S8153" s="2"/>
      <c r="T8153" s="2"/>
      <c r="U8153" s="2"/>
      <c r="V8153" s="2"/>
      <c r="W8153" s="4">
        <v>35</v>
      </c>
      <c r="X8153" s="4">
        <v>35</v>
      </c>
      <c r="Y8153" s="4">
        <v>35</v>
      </c>
      <c r="Z8153" s="4">
        <v>35</v>
      </c>
      <c r="AA8153" s="2"/>
      <c r="AB8153" s="2" t="s">
        <v>47</v>
      </c>
      <c r="AC8153" s="2"/>
    </row>
    <row r="8154" spans="1:29" ht="156" x14ac:dyDescent="0.15">
      <c r="A8154" s="3">
        <f>DATE(2006,7,31)</f>
        <v>38929</v>
      </c>
      <c r="B8154" s="3">
        <f>DATE(2006,12,29)</f>
        <v>39080</v>
      </c>
      <c r="C8154" s="2" t="s">
        <v>95</v>
      </c>
      <c r="D8154" s="2" t="s">
        <v>24363</v>
      </c>
      <c r="E8154" s="2" t="s">
        <v>1181</v>
      </c>
      <c r="F8154" s="4">
        <v>6021</v>
      </c>
      <c r="G8154" s="2" t="s">
        <v>37</v>
      </c>
      <c r="H8154" s="2" t="s">
        <v>34</v>
      </c>
      <c r="I8154" s="2" t="s">
        <v>24359</v>
      </c>
      <c r="J8154" s="2" t="s">
        <v>1181</v>
      </c>
      <c r="K8154" s="2" t="s">
        <v>37</v>
      </c>
      <c r="L8154" s="2" t="s">
        <v>34</v>
      </c>
      <c r="M8154" s="2"/>
      <c r="N8154" s="6">
        <v>23.65</v>
      </c>
      <c r="O8154" s="6">
        <v>23.65</v>
      </c>
      <c r="P8154" s="2" t="s">
        <v>24364</v>
      </c>
      <c r="Q8154" s="6">
        <v>100</v>
      </c>
      <c r="R8154" s="2"/>
      <c r="S8154" s="2"/>
      <c r="T8154" s="2"/>
      <c r="U8154" s="2"/>
      <c r="V8154" s="2"/>
      <c r="W8154" s="4">
        <v>17</v>
      </c>
      <c r="X8154" s="4">
        <v>17</v>
      </c>
      <c r="Y8154" s="6">
        <v>18.55</v>
      </c>
      <c r="Z8154" s="6">
        <v>18.55</v>
      </c>
      <c r="AA8154" s="6">
        <v>1.65</v>
      </c>
      <c r="AB8154" s="2" t="s">
        <v>47</v>
      </c>
      <c r="AC8154" s="2"/>
    </row>
    <row r="8155" spans="1:29" ht="156" x14ac:dyDescent="0.15">
      <c r="A8155" s="3">
        <f>DATE(2006,7,31)</f>
        <v>38929</v>
      </c>
      <c r="B8155" s="3">
        <f>DATE(2006,12,29)</f>
        <v>39080</v>
      </c>
      <c r="C8155" s="2" t="s">
        <v>95</v>
      </c>
      <c r="D8155" s="2" t="s">
        <v>24365</v>
      </c>
      <c r="E8155" s="2" t="s">
        <v>1181</v>
      </c>
      <c r="F8155" s="4">
        <v>6021</v>
      </c>
      <c r="G8155" s="2" t="s">
        <v>37</v>
      </c>
      <c r="H8155" s="2" t="s">
        <v>34</v>
      </c>
      <c r="I8155" s="2" t="s">
        <v>24359</v>
      </c>
      <c r="J8155" s="2" t="s">
        <v>1181</v>
      </c>
      <c r="K8155" s="2" t="s">
        <v>37</v>
      </c>
      <c r="L8155" s="2" t="s">
        <v>34</v>
      </c>
      <c r="M8155" s="2"/>
      <c r="N8155" s="6">
        <v>23.65</v>
      </c>
      <c r="O8155" s="6">
        <v>23.65</v>
      </c>
      <c r="P8155" s="2" t="s">
        <v>24366</v>
      </c>
      <c r="Q8155" s="6">
        <v>100</v>
      </c>
      <c r="R8155" s="2"/>
      <c r="S8155" s="2"/>
      <c r="T8155" s="2"/>
      <c r="U8155" s="2"/>
      <c r="V8155" s="2"/>
      <c r="W8155" s="4">
        <v>40</v>
      </c>
      <c r="X8155" s="4">
        <v>40</v>
      </c>
      <c r="Y8155" s="6">
        <v>38.75</v>
      </c>
      <c r="Z8155" s="6">
        <v>38.75</v>
      </c>
      <c r="AA8155" s="2"/>
      <c r="AB8155" s="2" t="s">
        <v>47</v>
      </c>
      <c r="AC8155" s="2"/>
    </row>
    <row r="8156" spans="1:29" ht="91" x14ac:dyDescent="0.15">
      <c r="A8156" s="3">
        <f>DATE(2006,8,3)</f>
        <v>38932</v>
      </c>
      <c r="B8156" s="3">
        <f>DATE(2006,10,5)</f>
        <v>38995</v>
      </c>
      <c r="C8156" s="2" t="s">
        <v>95</v>
      </c>
      <c r="D8156" s="2" t="s">
        <v>19613</v>
      </c>
      <c r="E8156" s="2" t="s">
        <v>19612</v>
      </c>
      <c r="F8156" s="4">
        <v>7372</v>
      </c>
      <c r="G8156" s="2" t="s">
        <v>551</v>
      </c>
      <c r="H8156" s="2" t="s">
        <v>34</v>
      </c>
      <c r="I8156" s="2" t="s">
        <v>5443</v>
      </c>
      <c r="J8156" s="2" t="s">
        <v>5444</v>
      </c>
      <c r="K8156" s="2" t="s">
        <v>50</v>
      </c>
      <c r="L8156" s="2" t="s">
        <v>34</v>
      </c>
      <c r="M8156" s="12">
        <v>118840.408</v>
      </c>
      <c r="N8156" s="6">
        <v>76.33</v>
      </c>
      <c r="O8156" s="6">
        <v>75.91</v>
      </c>
      <c r="P8156" s="2" t="s">
        <v>24367</v>
      </c>
      <c r="Q8156" s="6">
        <v>100</v>
      </c>
      <c r="R8156" s="6">
        <v>25.8</v>
      </c>
      <c r="S8156" s="5">
        <v>24.4</v>
      </c>
      <c r="T8156" s="6">
        <v>31.31</v>
      </c>
      <c r="U8156" s="5">
        <v>8</v>
      </c>
      <c r="V8156" s="6">
        <v>0.9</v>
      </c>
      <c r="W8156" s="6">
        <v>19.32</v>
      </c>
      <c r="X8156" s="5">
        <v>21.6</v>
      </c>
      <c r="Y8156" s="6">
        <v>25.46</v>
      </c>
      <c r="Z8156" s="6">
        <v>25.44</v>
      </c>
      <c r="AA8156" s="6">
        <v>26.4</v>
      </c>
      <c r="AB8156" s="7">
        <v>21.338000000000001</v>
      </c>
      <c r="AC8156" s="8">
        <v>9990</v>
      </c>
    </row>
    <row r="8157" spans="1:29" ht="247" x14ac:dyDescent="0.15">
      <c r="A8157" s="3">
        <f>DATE(2006,8,3)</f>
        <v>38932</v>
      </c>
      <c r="B8157" s="3">
        <f>DATE(2007,1,25)</f>
        <v>39107</v>
      </c>
      <c r="C8157" s="2" t="s">
        <v>95</v>
      </c>
      <c r="D8157" s="2" t="s">
        <v>24368</v>
      </c>
      <c r="E8157" s="2" t="s">
        <v>6321</v>
      </c>
      <c r="F8157" s="4">
        <v>6798</v>
      </c>
      <c r="G8157" s="2" t="s">
        <v>53</v>
      </c>
      <c r="H8157" s="2" t="s">
        <v>34</v>
      </c>
      <c r="I8157" s="2" t="s">
        <v>24369</v>
      </c>
      <c r="J8157" s="2" t="s">
        <v>92</v>
      </c>
      <c r="K8157" s="2" t="s">
        <v>53</v>
      </c>
      <c r="L8157" s="2" t="s">
        <v>34</v>
      </c>
      <c r="M8157" s="12">
        <v>4745.4549999999999</v>
      </c>
      <c r="N8157" s="4">
        <v>112</v>
      </c>
      <c r="O8157" s="6">
        <v>114.07</v>
      </c>
      <c r="P8157" s="2" t="s">
        <v>24370</v>
      </c>
      <c r="Q8157" s="6">
        <v>100</v>
      </c>
      <c r="R8157" s="6">
        <v>43.31</v>
      </c>
      <c r="S8157" s="5">
        <v>162.19999999999999</v>
      </c>
      <c r="T8157" s="7">
        <v>162.256</v>
      </c>
      <c r="U8157" s="5">
        <v>16.399999999999999</v>
      </c>
      <c r="V8157" s="6">
        <v>1.97</v>
      </c>
      <c r="W8157" s="6">
        <v>44.55</v>
      </c>
      <c r="X8157" s="6">
        <v>43.95</v>
      </c>
      <c r="Y8157" s="5">
        <v>42.8</v>
      </c>
      <c r="Z8157" s="6">
        <v>43.22</v>
      </c>
      <c r="AA8157" s="6">
        <v>83.21</v>
      </c>
      <c r="AB8157" s="7">
        <v>291.774</v>
      </c>
      <c r="AC8157" s="6">
        <v>75.849999999999994</v>
      </c>
    </row>
    <row r="8158" spans="1:29" ht="65" x14ac:dyDescent="0.15">
      <c r="A8158" s="3">
        <f>DATE(2006,8,4)</f>
        <v>38933</v>
      </c>
      <c r="B8158" s="3">
        <f>DATE(2006,12,4)</f>
        <v>39055</v>
      </c>
      <c r="C8158" s="2" t="s">
        <v>95</v>
      </c>
      <c r="D8158" s="2" t="s">
        <v>24371</v>
      </c>
      <c r="E8158" s="2" t="s">
        <v>24372</v>
      </c>
      <c r="F8158" s="4">
        <v>8732</v>
      </c>
      <c r="G8158" s="2" t="s">
        <v>223</v>
      </c>
      <c r="H8158" s="2" t="s">
        <v>34</v>
      </c>
      <c r="I8158" s="2" t="s">
        <v>21938</v>
      </c>
      <c r="J8158" s="2" t="s">
        <v>21939</v>
      </c>
      <c r="K8158" s="2" t="s">
        <v>223</v>
      </c>
      <c r="L8158" s="2" t="s">
        <v>34</v>
      </c>
      <c r="M8158" s="6">
        <v>569.21</v>
      </c>
      <c r="N8158" s="5">
        <v>9.3000000000000007</v>
      </c>
      <c r="O8158" s="6">
        <v>8.69</v>
      </c>
      <c r="P8158" s="2" t="s">
        <v>24373</v>
      </c>
      <c r="Q8158" s="6">
        <v>100</v>
      </c>
      <c r="R8158" s="6">
        <v>12</v>
      </c>
      <c r="S8158" s="5">
        <v>-8.4</v>
      </c>
      <c r="T8158" s="7">
        <v>15.141</v>
      </c>
      <c r="U8158" s="5">
        <v>1.7</v>
      </c>
      <c r="V8158" s="6">
        <v>-1.33</v>
      </c>
      <c r="W8158" s="5">
        <v>5.6</v>
      </c>
      <c r="X8158" s="6">
        <v>5.82</v>
      </c>
      <c r="Y8158" s="5">
        <v>6.2</v>
      </c>
      <c r="Z8158" s="6">
        <v>11.58</v>
      </c>
      <c r="AA8158" s="6">
        <v>5.42</v>
      </c>
      <c r="AB8158" s="7">
        <v>11.647</v>
      </c>
      <c r="AC8158" s="6">
        <v>5.87</v>
      </c>
    </row>
    <row r="8159" spans="1:29" ht="91" x14ac:dyDescent="0.15">
      <c r="A8159" s="3">
        <f>DATE(2006,8,4)</f>
        <v>38933</v>
      </c>
      <c r="B8159" s="3">
        <f>DATE(2006,12,7)</f>
        <v>39058</v>
      </c>
      <c r="C8159" s="2" t="s">
        <v>95</v>
      </c>
      <c r="D8159" s="2" t="s">
        <v>24374</v>
      </c>
      <c r="E8159" s="2" t="s">
        <v>1563</v>
      </c>
      <c r="F8159" s="4">
        <v>6331</v>
      </c>
      <c r="G8159" s="2" t="s">
        <v>125</v>
      </c>
      <c r="H8159" s="2" t="s">
        <v>34</v>
      </c>
      <c r="I8159" s="2" t="s">
        <v>24375</v>
      </c>
      <c r="J8159" s="2" t="s">
        <v>4060</v>
      </c>
      <c r="K8159" s="2" t="s">
        <v>53</v>
      </c>
      <c r="L8159" s="2" t="s">
        <v>4242</v>
      </c>
      <c r="M8159" s="2"/>
      <c r="N8159" s="2"/>
      <c r="O8159" s="2"/>
      <c r="P8159" s="2" t="s">
        <v>24376</v>
      </c>
      <c r="Q8159" s="6">
        <v>100</v>
      </c>
      <c r="R8159" s="6">
        <v>20.399999999999999</v>
      </c>
      <c r="S8159" s="5">
        <v>19.7</v>
      </c>
      <c r="T8159" s="2"/>
      <c r="U8159" s="5">
        <v>11.7</v>
      </c>
      <c r="V8159" s="6">
        <v>1.5</v>
      </c>
      <c r="W8159" s="5">
        <v>15.2</v>
      </c>
      <c r="X8159" s="6">
        <v>15.22</v>
      </c>
      <c r="Y8159" s="6">
        <v>19.79</v>
      </c>
      <c r="Z8159" s="5">
        <v>19.8</v>
      </c>
      <c r="AA8159" s="6">
        <v>14.09</v>
      </c>
      <c r="AB8159" s="7">
        <v>12.167999999999999</v>
      </c>
      <c r="AC8159" s="2"/>
    </row>
    <row r="8160" spans="1:29" ht="182" x14ac:dyDescent="0.15">
      <c r="A8160" s="3">
        <f>DATE(2006,8,4)</f>
        <v>38933</v>
      </c>
      <c r="B8160" s="2"/>
      <c r="C8160" s="2" t="s">
        <v>30</v>
      </c>
      <c r="D8160" s="2" t="s">
        <v>9560</v>
      </c>
      <c r="E8160" s="2" t="s">
        <v>9561</v>
      </c>
      <c r="F8160" s="4">
        <v>7011</v>
      </c>
      <c r="G8160" s="2" t="s">
        <v>269</v>
      </c>
      <c r="H8160" s="2" t="s">
        <v>34</v>
      </c>
      <c r="I8160" s="2" t="s">
        <v>24377</v>
      </c>
      <c r="J8160" s="2" t="s">
        <v>11337</v>
      </c>
      <c r="K8160" s="2" t="s">
        <v>53</v>
      </c>
      <c r="L8160" s="2" t="s">
        <v>34</v>
      </c>
      <c r="M8160" s="2"/>
      <c r="N8160" s="2"/>
      <c r="O8160" s="2"/>
      <c r="P8160" s="2" t="s">
        <v>24378</v>
      </c>
      <c r="Q8160" s="2"/>
      <c r="R8160" s="6">
        <v>20</v>
      </c>
      <c r="S8160" s="5">
        <v>-3.4</v>
      </c>
      <c r="T8160" s="7">
        <v>38.225000000000001</v>
      </c>
      <c r="U8160" s="5">
        <v>-2.2999999999999998</v>
      </c>
      <c r="V8160" s="6">
        <v>-0.28999999999999998</v>
      </c>
      <c r="W8160" s="5">
        <v>20.399999999999999</v>
      </c>
      <c r="X8160" s="6">
        <v>19.78</v>
      </c>
      <c r="Y8160" s="5">
        <v>19.899999999999999</v>
      </c>
      <c r="Z8160" s="6">
        <v>19.71</v>
      </c>
      <c r="AA8160" s="6">
        <v>12.43</v>
      </c>
      <c r="AB8160" s="7">
        <v>17.946000000000002</v>
      </c>
      <c r="AC8160" s="2"/>
    </row>
    <row r="8161" spans="1:29" ht="143" x14ac:dyDescent="0.15">
      <c r="A8161" s="3">
        <f t="shared" ref="A8161:A8166" si="159">DATE(2006,8,7)</f>
        <v>38936</v>
      </c>
      <c r="B8161" s="2"/>
      <c r="C8161" s="2" t="s">
        <v>30</v>
      </c>
      <c r="D8161" s="2" t="s">
        <v>20642</v>
      </c>
      <c r="E8161" s="2" t="s">
        <v>8046</v>
      </c>
      <c r="F8161" s="4">
        <v>3663</v>
      </c>
      <c r="G8161" s="2" t="s">
        <v>921</v>
      </c>
      <c r="H8161" s="2" t="s">
        <v>34</v>
      </c>
      <c r="I8161" s="2" t="s">
        <v>24379</v>
      </c>
      <c r="J8161" s="2" t="s">
        <v>24380</v>
      </c>
      <c r="K8161" s="2" t="s">
        <v>163</v>
      </c>
      <c r="L8161" s="2" t="s">
        <v>34</v>
      </c>
      <c r="M8161" s="12">
        <v>1729.201</v>
      </c>
      <c r="N8161" s="4">
        <v>28</v>
      </c>
      <c r="O8161" s="6">
        <v>28.87</v>
      </c>
      <c r="P8161" s="2" t="s">
        <v>24381</v>
      </c>
      <c r="Q8161" s="2"/>
      <c r="R8161" s="6">
        <v>9.5</v>
      </c>
      <c r="S8161" s="2"/>
      <c r="T8161" s="2"/>
      <c r="U8161" s="2"/>
      <c r="V8161" s="2"/>
      <c r="W8161" s="6">
        <v>8.4499999999999993</v>
      </c>
      <c r="X8161" s="6">
        <v>7.89</v>
      </c>
      <c r="Y8161" s="6">
        <v>9.56</v>
      </c>
      <c r="Z8161" s="6">
        <v>9.57</v>
      </c>
      <c r="AA8161" s="6">
        <v>159.63</v>
      </c>
      <c r="AB8161" s="2" t="s">
        <v>47</v>
      </c>
      <c r="AC8161" s="6">
        <v>296.12</v>
      </c>
    </row>
    <row r="8162" spans="1:29" ht="91" x14ac:dyDescent="0.15">
      <c r="A8162" s="3">
        <f t="shared" si="159"/>
        <v>38936</v>
      </c>
      <c r="B8162" s="2"/>
      <c r="C8162" s="2" t="s">
        <v>30</v>
      </c>
      <c r="D8162" s="2" t="s">
        <v>1684</v>
      </c>
      <c r="E8162" s="2" t="s">
        <v>1685</v>
      </c>
      <c r="F8162" s="4">
        <v>3452</v>
      </c>
      <c r="G8162" s="2" t="s">
        <v>163</v>
      </c>
      <c r="H8162" s="2" t="s">
        <v>34</v>
      </c>
      <c r="I8162" s="2" t="s">
        <v>51</v>
      </c>
      <c r="J8162" s="2" t="s">
        <v>52</v>
      </c>
      <c r="K8162" s="2" t="s">
        <v>53</v>
      </c>
      <c r="L8162" s="2" t="s">
        <v>34</v>
      </c>
      <c r="M8162" s="2"/>
      <c r="N8162" s="2"/>
      <c r="O8162" s="2"/>
      <c r="P8162" s="2" t="s">
        <v>24382</v>
      </c>
      <c r="Q8162" s="2"/>
      <c r="R8162" s="6">
        <v>2.73</v>
      </c>
      <c r="S8162" s="5">
        <v>-13</v>
      </c>
      <c r="T8162" s="7">
        <v>-20.315999999999999</v>
      </c>
      <c r="U8162" s="5">
        <v>4.2</v>
      </c>
      <c r="V8162" s="6">
        <v>-0.54</v>
      </c>
      <c r="W8162" s="6">
        <v>2.2599999999999998</v>
      </c>
      <c r="X8162" s="6">
        <v>2.27</v>
      </c>
      <c r="Y8162" s="6">
        <v>2.59</v>
      </c>
      <c r="Z8162" s="6">
        <v>2.58</v>
      </c>
      <c r="AA8162" s="6">
        <v>25.23</v>
      </c>
      <c r="AB8162" s="2" t="s">
        <v>86</v>
      </c>
      <c r="AC8162" s="2"/>
    </row>
    <row r="8163" spans="1:29" ht="52" x14ac:dyDescent="0.15">
      <c r="A8163" s="3">
        <f t="shared" si="159"/>
        <v>38936</v>
      </c>
      <c r="B8163" s="2"/>
      <c r="C8163" s="2" t="s">
        <v>30</v>
      </c>
      <c r="D8163" s="2" t="s">
        <v>24334</v>
      </c>
      <c r="E8163" s="2" t="s">
        <v>3032</v>
      </c>
      <c r="F8163" s="4">
        <v>8062</v>
      </c>
      <c r="G8163" s="2" t="s">
        <v>454</v>
      </c>
      <c r="H8163" s="2" t="s">
        <v>34</v>
      </c>
      <c r="I8163" s="2" t="s">
        <v>24383</v>
      </c>
      <c r="J8163" s="2" t="s">
        <v>244</v>
      </c>
      <c r="K8163" s="2" t="s">
        <v>53</v>
      </c>
      <c r="L8163" s="2" t="s">
        <v>34</v>
      </c>
      <c r="M8163" s="2"/>
      <c r="N8163" s="2"/>
      <c r="O8163" s="2"/>
      <c r="P8163" s="2" t="s">
        <v>24384</v>
      </c>
      <c r="Q8163" s="2"/>
      <c r="R8163" s="2"/>
      <c r="S8163" s="8">
        <v>1279</v>
      </c>
      <c r="T8163" s="8">
        <v>3868</v>
      </c>
      <c r="U8163" s="5">
        <v>11.8</v>
      </c>
      <c r="V8163" s="6">
        <v>2.99</v>
      </c>
      <c r="W8163" s="6">
        <v>49.16</v>
      </c>
      <c r="X8163" s="4">
        <v>49</v>
      </c>
      <c r="Y8163" s="6">
        <v>49.26</v>
      </c>
      <c r="Z8163" s="6">
        <v>49.16</v>
      </c>
      <c r="AA8163" s="6">
        <v>408.06</v>
      </c>
      <c r="AB8163" s="2" t="s">
        <v>47</v>
      </c>
      <c r="AC8163" s="2"/>
    </row>
    <row r="8164" spans="1:29" ht="91" x14ac:dyDescent="0.15">
      <c r="A8164" s="3">
        <f t="shared" si="159"/>
        <v>38936</v>
      </c>
      <c r="B8164" s="3">
        <f>DATE(2006,10,16)</f>
        <v>39006</v>
      </c>
      <c r="C8164" s="2" t="s">
        <v>95</v>
      </c>
      <c r="D8164" s="2" t="s">
        <v>24385</v>
      </c>
      <c r="E8164" s="2" t="s">
        <v>24386</v>
      </c>
      <c r="F8164" s="4">
        <v>7372</v>
      </c>
      <c r="G8164" s="2" t="s">
        <v>551</v>
      </c>
      <c r="H8164" s="2" t="s">
        <v>34</v>
      </c>
      <c r="I8164" s="2" t="s">
        <v>18140</v>
      </c>
      <c r="J8164" s="2" t="s">
        <v>18141</v>
      </c>
      <c r="K8164" s="2" t="s">
        <v>921</v>
      </c>
      <c r="L8164" s="2" t="s">
        <v>11620</v>
      </c>
      <c r="M8164" s="12">
        <v>80588.972999999998</v>
      </c>
      <c r="N8164" s="7">
        <v>19.442</v>
      </c>
      <c r="O8164" s="6">
        <v>19.489999999999998</v>
      </c>
      <c r="P8164" s="2" t="s">
        <v>24387</v>
      </c>
      <c r="Q8164" s="6">
        <v>100</v>
      </c>
      <c r="R8164" s="6">
        <v>4.5</v>
      </c>
      <c r="S8164" s="5">
        <v>-18.3</v>
      </c>
      <c r="T8164" s="7">
        <v>-16.652000000000001</v>
      </c>
      <c r="U8164" s="5">
        <v>4.5999999999999996</v>
      </c>
      <c r="V8164" s="6">
        <v>-1.58</v>
      </c>
      <c r="W8164" s="6">
        <v>1.79</v>
      </c>
      <c r="X8164" s="6">
        <v>1.79</v>
      </c>
      <c r="Y8164" s="6">
        <v>1.77</v>
      </c>
      <c r="Z8164" s="6">
        <v>4.33</v>
      </c>
      <c r="AA8164" s="6">
        <v>13.25</v>
      </c>
      <c r="AB8164" s="2" t="s">
        <v>86</v>
      </c>
      <c r="AC8164" s="10">
        <v>10068.030000000001</v>
      </c>
    </row>
    <row r="8165" spans="1:29" ht="117" x14ac:dyDescent="0.15">
      <c r="A8165" s="3">
        <f t="shared" si="159"/>
        <v>38936</v>
      </c>
      <c r="B8165" s="3">
        <f>DATE(2007,1,29)</f>
        <v>39111</v>
      </c>
      <c r="C8165" s="2" t="s">
        <v>95</v>
      </c>
      <c r="D8165" s="2" t="s">
        <v>22622</v>
      </c>
      <c r="E8165" s="2" t="s">
        <v>15468</v>
      </c>
      <c r="F8165" s="4">
        <v>7372</v>
      </c>
      <c r="G8165" s="2" t="s">
        <v>551</v>
      </c>
      <c r="H8165" s="2" t="s">
        <v>34</v>
      </c>
      <c r="I8165" s="2" t="s">
        <v>24388</v>
      </c>
      <c r="J8165" s="2" t="s">
        <v>24389</v>
      </c>
      <c r="K8165" s="2" t="s">
        <v>551</v>
      </c>
      <c r="L8165" s="2" t="s">
        <v>34</v>
      </c>
      <c r="M8165" s="12">
        <v>1618.4929999999999</v>
      </c>
      <c r="N8165" s="6">
        <v>6.14</v>
      </c>
      <c r="O8165" s="6">
        <v>5.01</v>
      </c>
      <c r="P8165" s="2" t="s">
        <v>24390</v>
      </c>
      <c r="Q8165" s="6">
        <v>100</v>
      </c>
      <c r="R8165" s="6">
        <v>4.6900000000000004</v>
      </c>
      <c r="S8165" s="5">
        <v>-32.299999999999997</v>
      </c>
      <c r="T8165" s="7">
        <v>84.578999999999994</v>
      </c>
      <c r="U8165" s="5">
        <v>3.4</v>
      </c>
      <c r="V8165" s="6">
        <v>-0.2</v>
      </c>
      <c r="W8165" s="6">
        <v>2.93</v>
      </c>
      <c r="X8165" s="6">
        <v>2.85</v>
      </c>
      <c r="Y8165" s="6">
        <v>2.85</v>
      </c>
      <c r="Z8165" s="6">
        <v>3.26</v>
      </c>
      <c r="AA8165" s="6">
        <v>159.03</v>
      </c>
      <c r="AB8165" s="2" t="s">
        <v>86</v>
      </c>
      <c r="AC8165" s="6">
        <v>776.53</v>
      </c>
    </row>
    <row r="8166" spans="1:29" ht="104" x14ac:dyDescent="0.15">
      <c r="A8166" s="3">
        <f t="shared" si="159"/>
        <v>38936</v>
      </c>
      <c r="B8166" s="3">
        <f>DATE(2006,11,15)</f>
        <v>39036</v>
      </c>
      <c r="C8166" s="2" t="s">
        <v>95</v>
      </c>
      <c r="D8166" s="2" t="s">
        <v>12852</v>
      </c>
      <c r="E8166" s="2" t="s">
        <v>12853</v>
      </c>
      <c r="F8166" s="4">
        <v>7359</v>
      </c>
      <c r="G8166" s="2" t="s">
        <v>223</v>
      </c>
      <c r="H8166" s="2" t="s">
        <v>34</v>
      </c>
      <c r="I8166" s="2" t="s">
        <v>21673</v>
      </c>
      <c r="J8166" s="2" t="s">
        <v>21674</v>
      </c>
      <c r="K8166" s="2" t="s">
        <v>223</v>
      </c>
      <c r="L8166" s="2" t="s">
        <v>34</v>
      </c>
      <c r="M8166" s="12">
        <v>1725.8489999999999</v>
      </c>
      <c r="N8166" s="6">
        <v>26.99</v>
      </c>
      <c r="O8166" s="6">
        <v>27.89</v>
      </c>
      <c r="P8166" s="2" t="s">
        <v>24391</v>
      </c>
      <c r="Q8166" s="6">
        <v>100</v>
      </c>
      <c r="R8166" s="6">
        <v>10.65</v>
      </c>
      <c r="S8166" s="5">
        <v>9.8000000000000007</v>
      </c>
      <c r="T8166" s="7">
        <v>82.296999999999997</v>
      </c>
      <c r="U8166" s="2"/>
      <c r="V8166" s="6">
        <v>0.23</v>
      </c>
      <c r="W8166" s="6">
        <v>8.1300000000000008</v>
      </c>
      <c r="X8166" s="5">
        <v>8.1999999999999993</v>
      </c>
      <c r="Y8166" s="6">
        <v>8.23</v>
      </c>
      <c r="Z8166" s="6">
        <v>10.15</v>
      </c>
      <c r="AA8166" s="6">
        <v>26.4</v>
      </c>
      <c r="AB8166" s="7">
        <v>18.468</v>
      </c>
      <c r="AC8166" s="6">
        <v>41.17</v>
      </c>
    </row>
    <row r="8167" spans="1:29" ht="117" x14ac:dyDescent="0.15">
      <c r="A8167" s="3">
        <f>DATE(2006,8,8)</f>
        <v>38937</v>
      </c>
      <c r="B8167" s="3">
        <f>DATE(2006,12,19)</f>
        <v>39070</v>
      </c>
      <c r="C8167" s="2" t="s">
        <v>95</v>
      </c>
      <c r="D8167" s="2" t="s">
        <v>24392</v>
      </c>
      <c r="E8167" s="2" t="s">
        <v>24393</v>
      </c>
      <c r="F8167" s="4">
        <v>5093</v>
      </c>
      <c r="G8167" s="2" t="s">
        <v>76</v>
      </c>
      <c r="H8167" s="2" t="s">
        <v>34</v>
      </c>
      <c r="I8167" s="2" t="s">
        <v>8602</v>
      </c>
      <c r="J8167" s="2" t="s">
        <v>4655</v>
      </c>
      <c r="K8167" s="2" t="s">
        <v>53</v>
      </c>
      <c r="L8167" s="2" t="s">
        <v>34</v>
      </c>
      <c r="M8167" s="2"/>
      <c r="N8167" s="2"/>
      <c r="O8167" s="2"/>
      <c r="P8167" s="2" t="s">
        <v>24394</v>
      </c>
      <c r="Q8167" s="6">
        <v>100</v>
      </c>
      <c r="R8167" s="6">
        <v>52.5</v>
      </c>
      <c r="S8167" s="5">
        <v>109.9</v>
      </c>
      <c r="T8167" s="7">
        <v>280.95400000000001</v>
      </c>
      <c r="U8167" s="5">
        <v>15.2</v>
      </c>
      <c r="V8167" s="6">
        <v>3.48</v>
      </c>
      <c r="W8167" s="6">
        <v>40.450000000000003</v>
      </c>
      <c r="X8167" s="6">
        <v>41.39</v>
      </c>
      <c r="Y8167" s="6">
        <v>52.85</v>
      </c>
      <c r="Z8167" s="6">
        <v>51.99</v>
      </c>
      <c r="AA8167" s="6">
        <v>31.23</v>
      </c>
      <c r="AB8167" s="7">
        <v>10.507</v>
      </c>
      <c r="AC8167" s="2"/>
    </row>
    <row r="8168" spans="1:29" ht="104" x14ac:dyDescent="0.15">
      <c r="A8168" s="3">
        <f>DATE(2006,8,8)</f>
        <v>38937</v>
      </c>
      <c r="B8168" s="2"/>
      <c r="C8168" s="2" t="s">
        <v>189</v>
      </c>
      <c r="D8168" s="2" t="s">
        <v>24395</v>
      </c>
      <c r="E8168" s="2" t="s">
        <v>24396</v>
      </c>
      <c r="F8168" s="4">
        <v>2752</v>
      </c>
      <c r="G8168" s="2" t="s">
        <v>186</v>
      </c>
      <c r="H8168" s="2" t="s">
        <v>34</v>
      </c>
      <c r="I8168" s="2" t="s">
        <v>143</v>
      </c>
      <c r="J8168" s="2" t="s">
        <v>144</v>
      </c>
      <c r="K8168" s="2" t="s">
        <v>53</v>
      </c>
      <c r="L8168" s="2" t="s">
        <v>139</v>
      </c>
      <c r="M8168" s="2"/>
      <c r="N8168" s="2"/>
      <c r="O8168" s="2"/>
      <c r="P8168" s="2" t="s">
        <v>24397</v>
      </c>
      <c r="Q8168" s="2"/>
      <c r="R8168" s="2"/>
      <c r="S8168" s="5">
        <v>128.19999999999999</v>
      </c>
      <c r="T8168" s="8">
        <v>1389.7</v>
      </c>
      <c r="U8168" s="5">
        <v>53.5</v>
      </c>
      <c r="V8168" s="6">
        <v>1.77</v>
      </c>
      <c r="W8168" s="6">
        <v>30.87</v>
      </c>
      <c r="X8168" s="6">
        <v>31.99</v>
      </c>
      <c r="Y8168" s="4">
        <v>33</v>
      </c>
      <c r="Z8168" s="6">
        <v>33.020000000000003</v>
      </c>
      <c r="AA8168" s="6">
        <v>216.3</v>
      </c>
      <c r="AB8168" s="2" t="s">
        <v>47</v>
      </c>
      <c r="AC8168" s="2"/>
    </row>
    <row r="8169" spans="1:29" ht="143" x14ac:dyDescent="0.15">
      <c r="A8169" s="3">
        <f>DATE(2006,8,8)</f>
        <v>38937</v>
      </c>
      <c r="B8169" s="3">
        <f>DATE(2006,10,26)</f>
        <v>39016</v>
      </c>
      <c r="C8169" s="2" t="s">
        <v>95</v>
      </c>
      <c r="D8169" s="2" t="s">
        <v>7796</v>
      </c>
      <c r="E8169" s="2" t="s">
        <v>7797</v>
      </c>
      <c r="F8169" s="4">
        <v>7372</v>
      </c>
      <c r="G8169" s="2" t="s">
        <v>551</v>
      </c>
      <c r="H8169" s="2" t="s">
        <v>34</v>
      </c>
      <c r="I8169" s="2" t="s">
        <v>24398</v>
      </c>
      <c r="J8169" s="2" t="s">
        <v>21067</v>
      </c>
      <c r="K8169" s="2" t="s">
        <v>551</v>
      </c>
      <c r="L8169" s="2" t="s">
        <v>34</v>
      </c>
      <c r="M8169" s="2"/>
      <c r="N8169" s="2"/>
      <c r="O8169" s="2"/>
      <c r="P8169" s="2" t="s">
        <v>24399</v>
      </c>
      <c r="Q8169" s="6">
        <v>100</v>
      </c>
      <c r="R8169" s="6">
        <v>40</v>
      </c>
      <c r="S8169" s="5">
        <v>39.5</v>
      </c>
      <c r="T8169" s="7">
        <v>300.22699999999998</v>
      </c>
      <c r="U8169" s="5">
        <v>6.2</v>
      </c>
      <c r="V8169" s="6">
        <v>0.6</v>
      </c>
      <c r="W8169" s="6">
        <v>35.03</v>
      </c>
      <c r="X8169" s="6">
        <v>35.08</v>
      </c>
      <c r="Y8169" s="6">
        <v>38.94</v>
      </c>
      <c r="Z8169" s="6">
        <v>38.770000000000003</v>
      </c>
      <c r="AA8169" s="6">
        <v>63.72</v>
      </c>
      <c r="AB8169" s="7">
        <v>16.152999999999999</v>
      </c>
      <c r="AC8169" s="2"/>
    </row>
    <row r="8170" spans="1:29" ht="65" x14ac:dyDescent="0.15">
      <c r="A8170" s="3">
        <f>DATE(2006,8,8)</f>
        <v>38937</v>
      </c>
      <c r="B8170" s="3">
        <f>DATE(2006,12,4)</f>
        <v>39055</v>
      </c>
      <c r="C8170" s="2" t="s">
        <v>95</v>
      </c>
      <c r="D8170" s="2" t="s">
        <v>24400</v>
      </c>
      <c r="E8170" s="2" t="s">
        <v>92</v>
      </c>
      <c r="F8170" s="4">
        <v>6798</v>
      </c>
      <c r="G8170" s="2" t="s">
        <v>53</v>
      </c>
      <c r="H8170" s="2" t="s">
        <v>34</v>
      </c>
      <c r="I8170" s="2" t="s">
        <v>21870</v>
      </c>
      <c r="J8170" s="2" t="s">
        <v>21871</v>
      </c>
      <c r="K8170" s="2" t="s">
        <v>53</v>
      </c>
      <c r="L8170" s="2" t="s">
        <v>34</v>
      </c>
      <c r="M8170" s="12">
        <v>68530.274999999994</v>
      </c>
      <c r="N8170" s="6">
        <v>66.28</v>
      </c>
      <c r="O8170" s="6">
        <v>64.680000000000007</v>
      </c>
      <c r="P8170" s="2" t="s">
        <v>24401</v>
      </c>
      <c r="Q8170" s="6">
        <v>100</v>
      </c>
      <c r="R8170" s="6">
        <v>14.1</v>
      </c>
      <c r="S8170" s="5">
        <v>94.6</v>
      </c>
      <c r="T8170" s="7">
        <v>165.73099999999999</v>
      </c>
      <c r="U8170" s="5">
        <v>11.6</v>
      </c>
      <c r="V8170" s="6">
        <v>1.86</v>
      </c>
      <c r="W8170" s="6">
        <v>11.06</v>
      </c>
      <c r="X8170" s="6">
        <v>11.21</v>
      </c>
      <c r="Y8170" s="6">
        <v>10.97</v>
      </c>
      <c r="Z8170" s="6">
        <v>13.84</v>
      </c>
      <c r="AA8170" s="6">
        <v>50.08</v>
      </c>
      <c r="AB8170" s="7">
        <v>86.783000000000001</v>
      </c>
      <c r="AC8170" s="8">
        <v>61405</v>
      </c>
    </row>
    <row r="8171" spans="1:29" ht="117" x14ac:dyDescent="0.15">
      <c r="A8171" s="3">
        <f>DATE(2006,8,8)</f>
        <v>38937</v>
      </c>
      <c r="B8171" s="3">
        <f>DATE(2006,11,10)</f>
        <v>39031</v>
      </c>
      <c r="C8171" s="2" t="s">
        <v>95</v>
      </c>
      <c r="D8171" s="2" t="s">
        <v>24402</v>
      </c>
      <c r="E8171" s="2" t="s">
        <v>5957</v>
      </c>
      <c r="F8171" s="4">
        <v>6798</v>
      </c>
      <c r="G8171" s="2" t="s">
        <v>53</v>
      </c>
      <c r="H8171" s="2" t="s">
        <v>34</v>
      </c>
      <c r="I8171" s="2" t="s">
        <v>24403</v>
      </c>
      <c r="J8171" s="2" t="s">
        <v>24404</v>
      </c>
      <c r="K8171" s="2" t="s">
        <v>341</v>
      </c>
      <c r="L8171" s="2" t="s">
        <v>902</v>
      </c>
      <c r="M8171" s="7">
        <v>112.46599999999999</v>
      </c>
      <c r="N8171" s="7">
        <v>12.771000000000001</v>
      </c>
      <c r="O8171" s="7">
        <v>12.807</v>
      </c>
      <c r="P8171" s="2" t="s">
        <v>24405</v>
      </c>
      <c r="Q8171" s="6">
        <v>94.44</v>
      </c>
      <c r="R8171" s="6">
        <v>15.24</v>
      </c>
      <c r="S8171" s="5">
        <v>-4.7</v>
      </c>
      <c r="T8171" s="7">
        <v>19.738</v>
      </c>
      <c r="U8171" s="5">
        <v>8</v>
      </c>
      <c r="V8171" s="6">
        <v>-0.28999999999999998</v>
      </c>
      <c r="W8171" s="6">
        <v>15.68</v>
      </c>
      <c r="X8171" s="6">
        <v>15.41</v>
      </c>
      <c r="Y8171" s="6">
        <v>14.65</v>
      </c>
      <c r="Z8171" s="6">
        <v>14.63</v>
      </c>
      <c r="AA8171" s="6">
        <v>21.45</v>
      </c>
      <c r="AB8171" s="7">
        <v>143.03800000000001</v>
      </c>
      <c r="AC8171" s="6">
        <v>19.25</v>
      </c>
    </row>
    <row r="8172" spans="1:29" ht="104" x14ac:dyDescent="0.15">
      <c r="A8172" s="3">
        <f>DATE(2006,8,9)</f>
        <v>38938</v>
      </c>
      <c r="B8172" s="3">
        <f>DATE(2006,10,12)</f>
        <v>39002</v>
      </c>
      <c r="C8172" s="2" t="s">
        <v>95</v>
      </c>
      <c r="D8172" s="2" t="s">
        <v>24406</v>
      </c>
      <c r="E8172" s="2" t="s">
        <v>849</v>
      </c>
      <c r="F8172" s="4">
        <v>7372</v>
      </c>
      <c r="G8172" s="2" t="s">
        <v>551</v>
      </c>
      <c r="H8172" s="2" t="s">
        <v>34</v>
      </c>
      <c r="I8172" s="2" t="s">
        <v>5443</v>
      </c>
      <c r="J8172" s="2" t="s">
        <v>5444</v>
      </c>
      <c r="K8172" s="2" t="s">
        <v>50</v>
      </c>
      <c r="L8172" s="2" t="s">
        <v>34</v>
      </c>
      <c r="M8172" s="12">
        <v>114868.408</v>
      </c>
      <c r="N8172" s="6">
        <v>75.39</v>
      </c>
      <c r="O8172" s="6">
        <v>75.739999999999995</v>
      </c>
      <c r="P8172" s="2" t="s">
        <v>24407</v>
      </c>
      <c r="Q8172" s="6">
        <v>100</v>
      </c>
      <c r="R8172" s="6">
        <v>35</v>
      </c>
      <c r="S8172" s="5">
        <v>42.1</v>
      </c>
      <c r="T8172" s="7">
        <v>59.625999999999998</v>
      </c>
      <c r="U8172" s="5">
        <v>11.4</v>
      </c>
      <c r="V8172" s="6">
        <v>1.02</v>
      </c>
      <c r="W8172" s="5">
        <v>31.7</v>
      </c>
      <c r="X8172" s="5">
        <v>34.4</v>
      </c>
      <c r="Y8172" s="6">
        <v>34.65</v>
      </c>
      <c r="Z8172" s="6">
        <v>36.17</v>
      </c>
      <c r="AA8172" s="6">
        <v>42.44</v>
      </c>
      <c r="AB8172" s="7">
        <v>24.58</v>
      </c>
      <c r="AC8172" s="8">
        <v>9990</v>
      </c>
    </row>
    <row r="8173" spans="1:29" ht="104" x14ac:dyDescent="0.15">
      <c r="A8173" s="3">
        <f>DATE(2006,8,9)</f>
        <v>38938</v>
      </c>
      <c r="B8173" s="3">
        <f>DATE(2006,12,8)</f>
        <v>39059</v>
      </c>
      <c r="C8173" s="2" t="s">
        <v>95</v>
      </c>
      <c r="D8173" s="2" t="s">
        <v>19703</v>
      </c>
      <c r="E8173" s="2" t="s">
        <v>263</v>
      </c>
      <c r="F8173" s="4">
        <v>6035</v>
      </c>
      <c r="G8173" s="2" t="s">
        <v>33</v>
      </c>
      <c r="H8173" s="2" t="s">
        <v>34</v>
      </c>
      <c r="I8173" s="2" t="s">
        <v>19861</v>
      </c>
      <c r="J8173" s="2" t="s">
        <v>159</v>
      </c>
      <c r="K8173" s="2" t="s">
        <v>37</v>
      </c>
      <c r="L8173" s="2" t="s">
        <v>34</v>
      </c>
      <c r="M8173" s="2"/>
      <c r="N8173" s="2"/>
      <c r="O8173" s="2"/>
      <c r="P8173" s="2" t="s">
        <v>24408</v>
      </c>
      <c r="Q8173" s="6">
        <v>100</v>
      </c>
      <c r="R8173" s="6">
        <v>25.5</v>
      </c>
      <c r="S8173" s="5">
        <v>16.600000000000001</v>
      </c>
      <c r="T8173" s="7">
        <v>26.486999999999998</v>
      </c>
      <c r="U8173" s="5">
        <v>12.5</v>
      </c>
      <c r="V8173" s="6">
        <v>1.1499999999999999</v>
      </c>
      <c r="W8173" s="6">
        <v>25.48</v>
      </c>
      <c r="X8173" s="6">
        <v>25.33</v>
      </c>
      <c r="Y8173" s="6">
        <v>24.67</v>
      </c>
      <c r="Z8173" s="6">
        <v>24.81</v>
      </c>
      <c r="AA8173" s="6">
        <v>17</v>
      </c>
      <c r="AB8173" s="7">
        <v>26.236999999999998</v>
      </c>
      <c r="AC8173" s="2"/>
    </row>
    <row r="8174" spans="1:29" ht="78" x14ac:dyDescent="0.15">
      <c r="A8174" s="3">
        <f>DATE(2006,8,9)</f>
        <v>38938</v>
      </c>
      <c r="B8174" s="2"/>
      <c r="C8174" s="2" t="s">
        <v>7330</v>
      </c>
      <c r="D8174" s="2" t="s">
        <v>2577</v>
      </c>
      <c r="E8174" s="2" t="s">
        <v>13671</v>
      </c>
      <c r="F8174" s="4">
        <v>5091</v>
      </c>
      <c r="G8174" s="2" t="s">
        <v>76</v>
      </c>
      <c r="H8174" s="2" t="s">
        <v>34</v>
      </c>
      <c r="I8174" s="2" t="s">
        <v>23105</v>
      </c>
      <c r="J8174" s="2" t="s">
        <v>24409</v>
      </c>
      <c r="K8174" s="2" t="s">
        <v>130</v>
      </c>
      <c r="L8174" s="2" t="s">
        <v>34</v>
      </c>
      <c r="M8174" s="6">
        <v>105.95</v>
      </c>
      <c r="N8174" s="6">
        <v>9.01</v>
      </c>
      <c r="O8174" s="6">
        <v>8.31</v>
      </c>
      <c r="P8174" s="2" t="s">
        <v>24410</v>
      </c>
      <c r="Q8174" s="2"/>
      <c r="R8174" s="6">
        <v>8.8000000000000007</v>
      </c>
      <c r="S8174" s="5">
        <v>1.4</v>
      </c>
      <c r="T8174" s="7">
        <v>3.161</v>
      </c>
      <c r="U8174" s="5">
        <v>3.3</v>
      </c>
      <c r="V8174" s="7">
        <v>0.14199999999999999</v>
      </c>
      <c r="W8174" s="6">
        <v>4.95</v>
      </c>
      <c r="X8174" s="4">
        <v>5</v>
      </c>
      <c r="Y8174" s="4">
        <v>5</v>
      </c>
      <c r="Z8174" s="5">
        <v>7.5</v>
      </c>
      <c r="AA8174" s="6">
        <v>8.92</v>
      </c>
      <c r="AB8174" s="7">
        <v>52.323999999999998</v>
      </c>
      <c r="AC8174" s="6">
        <v>4.08</v>
      </c>
    </row>
    <row r="8175" spans="1:29" ht="91" x14ac:dyDescent="0.15">
      <c r="A8175" s="3">
        <f>DATE(2006,8,9)</f>
        <v>38938</v>
      </c>
      <c r="B8175" s="3">
        <f>DATE(2006,10,20)</f>
        <v>39010</v>
      </c>
      <c r="C8175" s="2" t="s">
        <v>95</v>
      </c>
      <c r="D8175" s="2" t="s">
        <v>24411</v>
      </c>
      <c r="E8175" s="2" t="s">
        <v>16514</v>
      </c>
      <c r="F8175" s="4">
        <v>7372</v>
      </c>
      <c r="G8175" s="2" t="s">
        <v>551</v>
      </c>
      <c r="H8175" s="2" t="s">
        <v>34</v>
      </c>
      <c r="I8175" s="2" t="s">
        <v>24412</v>
      </c>
      <c r="J8175" s="2" t="s">
        <v>244</v>
      </c>
      <c r="K8175" s="2" t="s">
        <v>53</v>
      </c>
      <c r="L8175" s="2" t="s">
        <v>34</v>
      </c>
      <c r="M8175" s="2"/>
      <c r="N8175" s="2"/>
      <c r="O8175" s="2"/>
      <c r="P8175" s="2" t="s">
        <v>24413</v>
      </c>
      <c r="Q8175" s="6">
        <v>100</v>
      </c>
      <c r="R8175" s="6">
        <v>2.09</v>
      </c>
      <c r="S8175" s="5">
        <v>-36.700000000000003</v>
      </c>
      <c r="T8175" s="7">
        <v>-11.247</v>
      </c>
      <c r="U8175" s="5">
        <v>2.5</v>
      </c>
      <c r="V8175" s="6">
        <v>-1.1299999999999999</v>
      </c>
      <c r="W8175" s="5">
        <v>1.5</v>
      </c>
      <c r="X8175" s="6">
        <v>1.43</v>
      </c>
      <c r="Y8175" s="6">
        <v>1.99</v>
      </c>
      <c r="Z8175" s="6">
        <v>1.99</v>
      </c>
      <c r="AA8175" s="6">
        <v>33.33</v>
      </c>
      <c r="AB8175" s="2" t="s">
        <v>86</v>
      </c>
      <c r="AC8175" s="2"/>
    </row>
    <row r="8176" spans="1:29" ht="130" x14ac:dyDescent="0.15">
      <c r="A8176" s="3">
        <f>DATE(2006,8,10)</f>
        <v>38939</v>
      </c>
      <c r="B8176" s="2"/>
      <c r="C8176" s="2" t="s">
        <v>30</v>
      </c>
      <c r="D8176" s="2" t="s">
        <v>24414</v>
      </c>
      <c r="E8176" s="2" t="s">
        <v>24415</v>
      </c>
      <c r="F8176" s="4">
        <v>2752</v>
      </c>
      <c r="G8176" s="2" t="s">
        <v>186</v>
      </c>
      <c r="H8176" s="2" t="s">
        <v>34</v>
      </c>
      <c r="I8176" s="2" t="s">
        <v>24416</v>
      </c>
      <c r="J8176" s="2" t="s">
        <v>24417</v>
      </c>
      <c r="K8176" s="2" t="s">
        <v>186</v>
      </c>
      <c r="L8176" s="2" t="s">
        <v>34</v>
      </c>
      <c r="M8176" s="7">
        <v>941.55799999999999</v>
      </c>
      <c r="N8176" s="6">
        <v>19.28</v>
      </c>
      <c r="O8176" s="6">
        <v>19.05</v>
      </c>
      <c r="P8176" s="2" t="s">
        <v>24418</v>
      </c>
      <c r="Q8176" s="2"/>
      <c r="R8176" s="6">
        <v>50</v>
      </c>
      <c r="S8176" s="5">
        <v>70.400000000000006</v>
      </c>
      <c r="T8176" s="7">
        <v>154.71799999999999</v>
      </c>
      <c r="U8176" s="5">
        <v>23.5</v>
      </c>
      <c r="V8176" s="6">
        <v>2.88</v>
      </c>
      <c r="W8176" s="6">
        <v>35.270000000000003</v>
      </c>
      <c r="X8176" s="4">
        <v>46</v>
      </c>
      <c r="Y8176" s="6">
        <v>45.75</v>
      </c>
      <c r="Z8176" s="6">
        <v>45.69</v>
      </c>
      <c r="AA8176" s="6">
        <v>24.11</v>
      </c>
      <c r="AB8176" s="7">
        <v>11.279</v>
      </c>
      <c r="AC8176" s="6">
        <v>0.67</v>
      </c>
    </row>
    <row r="8177" spans="1:29" ht="143" x14ac:dyDescent="0.15">
      <c r="A8177" s="3">
        <f>DATE(2006,8,14)</f>
        <v>38943</v>
      </c>
      <c r="B8177" s="3">
        <f>DATE(2006,10,31)</f>
        <v>39021</v>
      </c>
      <c r="C8177" s="2" t="s">
        <v>95</v>
      </c>
      <c r="D8177" s="2" t="s">
        <v>24419</v>
      </c>
      <c r="E8177" s="2" t="s">
        <v>1046</v>
      </c>
      <c r="F8177" s="4">
        <v>3674</v>
      </c>
      <c r="G8177" s="2" t="s">
        <v>137</v>
      </c>
      <c r="H8177" s="2" t="s">
        <v>34</v>
      </c>
      <c r="I8177" s="2" t="s">
        <v>24420</v>
      </c>
      <c r="J8177" s="2" t="s">
        <v>24421</v>
      </c>
      <c r="K8177" s="2" t="s">
        <v>137</v>
      </c>
      <c r="L8177" s="2" t="s">
        <v>34</v>
      </c>
      <c r="M8177" s="7">
        <v>364.12099999999998</v>
      </c>
      <c r="N8177" s="6">
        <v>8.92</v>
      </c>
      <c r="O8177" s="6">
        <v>9.1300000000000008</v>
      </c>
      <c r="P8177" s="2" t="s">
        <v>24422</v>
      </c>
      <c r="Q8177" s="6">
        <v>100</v>
      </c>
      <c r="R8177" s="6">
        <v>3.18</v>
      </c>
      <c r="S8177" s="5">
        <v>-3.2</v>
      </c>
      <c r="T8177" s="7">
        <v>-3.532</v>
      </c>
      <c r="U8177" s="5">
        <v>1</v>
      </c>
      <c r="V8177" s="6">
        <v>-0.24</v>
      </c>
      <c r="W8177" s="6">
        <v>2.67</v>
      </c>
      <c r="X8177" s="6">
        <v>2.65</v>
      </c>
      <c r="Y8177" s="7">
        <v>2.6440000000000001</v>
      </c>
      <c r="Z8177" s="6">
        <v>3.18</v>
      </c>
      <c r="AA8177" s="6">
        <v>12.99</v>
      </c>
      <c r="AB8177" s="2" t="s">
        <v>86</v>
      </c>
      <c r="AC8177" s="6">
        <v>15.07</v>
      </c>
    </row>
    <row r="8178" spans="1:29" ht="91" x14ac:dyDescent="0.15">
      <c r="A8178" s="3">
        <f>DATE(2006,8,14)</f>
        <v>38943</v>
      </c>
      <c r="B8178" s="3">
        <f>DATE(2006,12,20)</f>
        <v>39071</v>
      </c>
      <c r="C8178" s="2" t="s">
        <v>95</v>
      </c>
      <c r="D8178" s="2" t="s">
        <v>24423</v>
      </c>
      <c r="E8178" s="2" t="s">
        <v>24424</v>
      </c>
      <c r="F8178" s="4">
        <v>3826</v>
      </c>
      <c r="G8178" s="2" t="s">
        <v>226</v>
      </c>
      <c r="H8178" s="2" t="s">
        <v>34</v>
      </c>
      <c r="I8178" s="2" t="s">
        <v>13019</v>
      </c>
      <c r="J8178" s="2" t="s">
        <v>13020</v>
      </c>
      <c r="K8178" s="2" t="s">
        <v>226</v>
      </c>
      <c r="L8178" s="2" t="s">
        <v>34</v>
      </c>
      <c r="M8178" s="12">
        <v>14620.335999999999</v>
      </c>
      <c r="N8178" s="6">
        <v>66.52</v>
      </c>
      <c r="O8178" s="6">
        <v>66.209999999999994</v>
      </c>
      <c r="P8178" s="2" t="s">
        <v>24425</v>
      </c>
      <c r="Q8178" s="6">
        <v>94.18</v>
      </c>
      <c r="R8178" s="6">
        <v>9.25</v>
      </c>
      <c r="S8178" s="5">
        <v>7.4</v>
      </c>
      <c r="T8178" s="7">
        <v>12.238</v>
      </c>
      <c r="U8178" s="5">
        <v>1.8</v>
      </c>
      <c r="V8178" s="6">
        <v>0.2</v>
      </c>
      <c r="W8178" s="6">
        <v>5.98</v>
      </c>
      <c r="X8178" s="6">
        <v>5.39</v>
      </c>
      <c r="Y8178" s="6">
        <v>5.12</v>
      </c>
      <c r="Z8178" s="6">
        <v>8.82</v>
      </c>
      <c r="AA8178" s="6">
        <v>38.450000000000003</v>
      </c>
      <c r="AB8178" s="7">
        <v>48.088999999999999</v>
      </c>
      <c r="AC8178" s="6">
        <v>817.91</v>
      </c>
    </row>
    <row r="8179" spans="1:29" ht="91" x14ac:dyDescent="0.15">
      <c r="A8179" s="3">
        <f>DATE(2006,8,15)</f>
        <v>38944</v>
      </c>
      <c r="B8179" s="3">
        <f>DATE(2007,6,1)</f>
        <v>39234</v>
      </c>
      <c r="C8179" s="2" t="s">
        <v>95</v>
      </c>
      <c r="D8179" s="2" t="s">
        <v>12095</v>
      </c>
      <c r="E8179" s="2" t="s">
        <v>12096</v>
      </c>
      <c r="F8179" s="2" t="s">
        <v>12097</v>
      </c>
      <c r="G8179" s="2" t="s">
        <v>426</v>
      </c>
      <c r="H8179" s="2" t="s">
        <v>34</v>
      </c>
      <c r="I8179" s="2" t="s">
        <v>8314</v>
      </c>
      <c r="J8179" s="2" t="s">
        <v>24426</v>
      </c>
      <c r="K8179" s="2" t="s">
        <v>98</v>
      </c>
      <c r="L8179" s="2" t="s">
        <v>34</v>
      </c>
      <c r="M8179" s="12">
        <v>11474.852999999999</v>
      </c>
      <c r="N8179" s="6">
        <v>45.56</v>
      </c>
      <c r="O8179" s="6">
        <v>46.64</v>
      </c>
      <c r="P8179" s="2" t="s">
        <v>24427</v>
      </c>
      <c r="Q8179" s="6">
        <v>100</v>
      </c>
      <c r="R8179" s="6">
        <v>42</v>
      </c>
      <c r="S8179" s="5">
        <v>44.3</v>
      </c>
      <c r="T8179" s="7">
        <v>89.129000000000005</v>
      </c>
      <c r="U8179" s="5">
        <v>5.5</v>
      </c>
      <c r="V8179" s="6">
        <v>1.23</v>
      </c>
      <c r="W8179" s="6">
        <v>35.74</v>
      </c>
      <c r="X8179" s="6">
        <v>36.24</v>
      </c>
      <c r="Y8179" s="6">
        <v>40.340000000000003</v>
      </c>
      <c r="Z8179" s="6">
        <v>40.04</v>
      </c>
      <c r="AA8179" s="6">
        <v>35.89</v>
      </c>
      <c r="AB8179" s="7">
        <v>18.157</v>
      </c>
      <c r="AC8179" s="5">
        <v>617</v>
      </c>
    </row>
    <row r="8180" spans="1:29" ht="65" x14ac:dyDescent="0.15">
      <c r="A8180" s="3">
        <f>DATE(2006,8,15)</f>
        <v>38944</v>
      </c>
      <c r="B8180" s="2"/>
      <c r="C8180" s="2" t="s">
        <v>30</v>
      </c>
      <c r="D8180" s="2" t="s">
        <v>24428</v>
      </c>
      <c r="E8180" s="2" t="s">
        <v>24429</v>
      </c>
      <c r="F8180" s="4">
        <v>3357</v>
      </c>
      <c r="G8180" s="2" t="s">
        <v>163</v>
      </c>
      <c r="H8180" s="2" t="s">
        <v>34</v>
      </c>
      <c r="I8180" s="2" t="s">
        <v>24430</v>
      </c>
      <c r="J8180" s="2" t="s">
        <v>24431</v>
      </c>
      <c r="K8180" s="2" t="s">
        <v>163</v>
      </c>
      <c r="L8180" s="2" t="s">
        <v>34</v>
      </c>
      <c r="M8180" s="7">
        <v>528.87300000000005</v>
      </c>
      <c r="N8180" s="6">
        <v>34.53</v>
      </c>
      <c r="O8180" s="5">
        <v>34.799999999999997</v>
      </c>
      <c r="P8180" s="2" t="s">
        <v>24432</v>
      </c>
      <c r="Q8180" s="2"/>
      <c r="R8180" s="6">
        <v>6</v>
      </c>
      <c r="S8180" s="5">
        <v>-0.2</v>
      </c>
      <c r="T8180" s="7">
        <v>1.0820000000000001</v>
      </c>
      <c r="U8180" s="5">
        <v>4.9000000000000004</v>
      </c>
      <c r="V8180" s="6">
        <v>-0.04</v>
      </c>
      <c r="W8180" s="6">
        <v>3.75</v>
      </c>
      <c r="X8180" s="6">
        <v>3.55</v>
      </c>
      <c r="Y8180" s="5">
        <v>5.8</v>
      </c>
      <c r="Z8180" s="6">
        <v>5.24</v>
      </c>
      <c r="AA8180" s="6">
        <v>6</v>
      </c>
      <c r="AB8180" s="2" t="s">
        <v>86</v>
      </c>
      <c r="AC8180" s="6">
        <v>19.57</v>
      </c>
    </row>
    <row r="8181" spans="1:29" ht="91" x14ac:dyDescent="0.15">
      <c r="A8181" s="3">
        <f>DATE(2006,8,16)</f>
        <v>38945</v>
      </c>
      <c r="B8181" s="3">
        <f>DATE(2006,10,20)</f>
        <v>39010</v>
      </c>
      <c r="C8181" s="2" t="s">
        <v>95</v>
      </c>
      <c r="D8181" s="2" t="s">
        <v>6415</v>
      </c>
      <c r="E8181" s="2" t="s">
        <v>2692</v>
      </c>
      <c r="F8181" s="4">
        <v>1521</v>
      </c>
      <c r="G8181" s="2" t="s">
        <v>341</v>
      </c>
      <c r="H8181" s="2" t="s">
        <v>34</v>
      </c>
      <c r="I8181" s="2" t="s">
        <v>20760</v>
      </c>
      <c r="J8181" s="2" t="s">
        <v>24433</v>
      </c>
      <c r="K8181" s="2" t="s">
        <v>341</v>
      </c>
      <c r="L8181" s="2" t="s">
        <v>34</v>
      </c>
      <c r="M8181" s="2"/>
      <c r="N8181" s="2"/>
      <c r="O8181" s="2"/>
      <c r="P8181" s="2" t="s">
        <v>24434</v>
      </c>
      <c r="Q8181" s="6">
        <v>100</v>
      </c>
      <c r="R8181" s="6">
        <v>8.5</v>
      </c>
      <c r="S8181" s="5">
        <v>12.2</v>
      </c>
      <c r="T8181" s="2"/>
      <c r="U8181" s="2"/>
      <c r="V8181" s="6">
        <v>0.95</v>
      </c>
      <c r="W8181" s="6">
        <v>6.55</v>
      </c>
      <c r="X8181" s="5">
        <v>6.5</v>
      </c>
      <c r="Y8181" s="6">
        <v>8.35</v>
      </c>
      <c r="Z8181" s="6">
        <v>8.35</v>
      </c>
      <c r="AA8181" s="6">
        <v>12.62</v>
      </c>
      <c r="AB8181" s="7">
        <v>6.9420000000000002</v>
      </c>
      <c r="AC8181" s="5">
        <v>29</v>
      </c>
    </row>
    <row r="8182" spans="1:29" ht="130" x14ac:dyDescent="0.15">
      <c r="A8182" s="3">
        <f>DATE(2006,8,18)</f>
        <v>38947</v>
      </c>
      <c r="B8182" s="3">
        <f>DATE(2007,1,10)</f>
        <v>39092</v>
      </c>
      <c r="C8182" s="2" t="s">
        <v>95</v>
      </c>
      <c r="D8182" s="2" t="s">
        <v>8209</v>
      </c>
      <c r="E8182" s="2" t="s">
        <v>8210</v>
      </c>
      <c r="F8182" s="4">
        <v>2015</v>
      </c>
      <c r="G8182" s="2" t="s">
        <v>577</v>
      </c>
      <c r="H8182" s="2" t="s">
        <v>34</v>
      </c>
      <c r="I8182" s="2" t="s">
        <v>17722</v>
      </c>
      <c r="J8182" s="2" t="s">
        <v>17723</v>
      </c>
      <c r="K8182" s="2" t="s">
        <v>577</v>
      </c>
      <c r="L8182" s="2" t="s">
        <v>34</v>
      </c>
      <c r="M8182" s="12">
        <v>1668.5519999999999</v>
      </c>
      <c r="N8182" s="6">
        <v>23.65</v>
      </c>
      <c r="O8182" s="6">
        <v>24.97</v>
      </c>
      <c r="P8182" s="2" t="s">
        <v>24435</v>
      </c>
      <c r="Q8182" s="6">
        <v>100</v>
      </c>
      <c r="R8182" s="6">
        <v>21</v>
      </c>
      <c r="S8182" s="5">
        <v>-17.7</v>
      </c>
      <c r="T8182" s="6">
        <v>23.47</v>
      </c>
      <c r="U8182" s="5">
        <v>9.1999999999999993</v>
      </c>
      <c r="V8182" s="6">
        <v>-0.35</v>
      </c>
      <c r="W8182" s="6">
        <v>12.84</v>
      </c>
      <c r="X8182" s="6">
        <v>12.78</v>
      </c>
      <c r="Y8182" s="6">
        <v>12.93</v>
      </c>
      <c r="Z8182" s="6">
        <v>19.02</v>
      </c>
      <c r="AA8182" s="6">
        <v>51.04</v>
      </c>
      <c r="AB8182" s="2" t="s">
        <v>86</v>
      </c>
      <c r="AC8182" s="6">
        <v>177.65</v>
      </c>
    </row>
    <row r="8183" spans="1:29" ht="91" x14ac:dyDescent="0.15">
      <c r="A8183" s="3">
        <f>DATE(2006,8,18)</f>
        <v>38947</v>
      </c>
      <c r="B8183" s="3">
        <f>DATE(2006,11,29)</f>
        <v>39050</v>
      </c>
      <c r="C8183" s="2" t="s">
        <v>95</v>
      </c>
      <c r="D8183" s="2" t="s">
        <v>24436</v>
      </c>
      <c r="E8183" s="2" t="s">
        <v>302</v>
      </c>
      <c r="F8183" s="4">
        <v>6799</v>
      </c>
      <c r="G8183" s="2" t="s">
        <v>53</v>
      </c>
      <c r="H8183" s="2" t="s">
        <v>34</v>
      </c>
      <c r="I8183" s="2" t="s">
        <v>24437</v>
      </c>
      <c r="J8183" s="2" t="s">
        <v>21302</v>
      </c>
      <c r="K8183" s="2" t="s">
        <v>53</v>
      </c>
      <c r="L8183" s="2" t="s">
        <v>24438</v>
      </c>
      <c r="M8183" s="2"/>
      <c r="N8183" s="2"/>
      <c r="O8183" s="2"/>
      <c r="P8183" s="2" t="s">
        <v>24439</v>
      </c>
      <c r="Q8183" s="6">
        <v>100</v>
      </c>
      <c r="R8183" s="2"/>
      <c r="S8183" s="2"/>
      <c r="T8183" s="2"/>
      <c r="U8183" s="2"/>
      <c r="V8183" s="2"/>
      <c r="W8183" s="5">
        <v>9.4</v>
      </c>
      <c r="X8183" s="5">
        <v>9.4</v>
      </c>
      <c r="Y8183" s="6">
        <v>10.75</v>
      </c>
      <c r="Z8183" s="6">
        <v>11.05</v>
      </c>
      <c r="AA8183" s="6">
        <v>0.56999999999999995</v>
      </c>
      <c r="AB8183" s="2" t="s">
        <v>47</v>
      </c>
      <c r="AC8183" s="2"/>
    </row>
    <row r="8184" spans="1:29" ht="130" x14ac:dyDescent="0.15">
      <c r="A8184" s="3">
        <f>DATE(2006,8,18)</f>
        <v>38947</v>
      </c>
      <c r="B8184" s="3">
        <f>DATE(2006,12,13)</f>
        <v>39064</v>
      </c>
      <c r="C8184" s="2" t="s">
        <v>95</v>
      </c>
      <c r="D8184" s="2" t="s">
        <v>19883</v>
      </c>
      <c r="E8184" s="2" t="s">
        <v>3900</v>
      </c>
      <c r="F8184" s="4">
        <v>5812</v>
      </c>
      <c r="G8184" s="2" t="s">
        <v>230</v>
      </c>
      <c r="H8184" s="2" t="s">
        <v>34</v>
      </c>
      <c r="I8184" s="2" t="s">
        <v>24440</v>
      </c>
      <c r="J8184" s="2" t="s">
        <v>244</v>
      </c>
      <c r="K8184" s="2" t="s">
        <v>53</v>
      </c>
      <c r="L8184" s="2" t="s">
        <v>34</v>
      </c>
      <c r="M8184" s="2"/>
      <c r="N8184" s="2"/>
      <c r="O8184" s="2"/>
      <c r="P8184" s="2" t="s">
        <v>24441</v>
      </c>
      <c r="Q8184" s="6">
        <v>100</v>
      </c>
      <c r="R8184" s="6">
        <v>27.35</v>
      </c>
      <c r="S8184" s="5">
        <v>13</v>
      </c>
      <c r="T8184" s="7">
        <v>47.293999999999997</v>
      </c>
      <c r="U8184" s="5">
        <v>19.399999999999999</v>
      </c>
      <c r="V8184" s="6">
        <v>0.56999999999999995</v>
      </c>
      <c r="W8184" s="6">
        <v>23.33</v>
      </c>
      <c r="X8184" s="6">
        <v>23.55</v>
      </c>
      <c r="Y8184" s="5">
        <v>27.1</v>
      </c>
      <c r="Z8184" s="6">
        <v>27.38</v>
      </c>
      <c r="AA8184" s="6">
        <v>21.3</v>
      </c>
      <c r="AB8184" s="7">
        <v>23.423999999999999</v>
      </c>
      <c r="AC8184" s="2"/>
    </row>
    <row r="8185" spans="1:29" ht="143" x14ac:dyDescent="0.15">
      <c r="A8185" s="3">
        <f>DATE(2006,8,21)</f>
        <v>38950</v>
      </c>
      <c r="B8185" s="3">
        <f>DATE(2006,11,29)</f>
        <v>39050</v>
      </c>
      <c r="C8185" s="2" t="s">
        <v>95</v>
      </c>
      <c r="D8185" s="2" t="s">
        <v>24442</v>
      </c>
      <c r="E8185" s="2" t="s">
        <v>92</v>
      </c>
      <c r="F8185" s="4">
        <v>6798</v>
      </c>
      <c r="G8185" s="2" t="s">
        <v>53</v>
      </c>
      <c r="H8185" s="2" t="s">
        <v>34</v>
      </c>
      <c r="I8185" s="2" t="s">
        <v>24443</v>
      </c>
      <c r="J8185" s="2" t="s">
        <v>92</v>
      </c>
      <c r="K8185" s="2" t="s">
        <v>53</v>
      </c>
      <c r="L8185" s="2" t="s">
        <v>34</v>
      </c>
      <c r="M8185" s="2"/>
      <c r="N8185" s="2"/>
      <c r="O8185" s="2"/>
      <c r="P8185" s="2" t="s">
        <v>24444</v>
      </c>
      <c r="Q8185" s="6">
        <v>100</v>
      </c>
      <c r="R8185" s="6">
        <v>26</v>
      </c>
      <c r="S8185" s="5">
        <v>44.8</v>
      </c>
      <c r="T8185" s="7">
        <v>60.808999999999997</v>
      </c>
      <c r="U8185" s="5">
        <v>10.5</v>
      </c>
      <c r="V8185" s="6">
        <v>0.98</v>
      </c>
      <c r="W8185" s="6">
        <v>23.33</v>
      </c>
      <c r="X8185" s="6">
        <v>24.03</v>
      </c>
      <c r="Y8185" s="6">
        <v>25.97</v>
      </c>
      <c r="Z8185" s="6">
        <v>25.92</v>
      </c>
      <c r="AA8185" s="6">
        <v>32.25</v>
      </c>
      <c r="AB8185" s="7">
        <v>372.767</v>
      </c>
      <c r="AC8185" s="2"/>
    </row>
    <row r="8186" spans="1:29" ht="143" x14ac:dyDescent="0.15">
      <c r="A8186" s="3">
        <f>DATE(2006,8,23)</f>
        <v>38952</v>
      </c>
      <c r="B8186" s="3">
        <f>DATE(2007,1,3)</f>
        <v>39085</v>
      </c>
      <c r="C8186" s="2" t="s">
        <v>95</v>
      </c>
      <c r="D8186" s="2" t="s">
        <v>24445</v>
      </c>
      <c r="E8186" s="2" t="s">
        <v>24446</v>
      </c>
      <c r="F8186" s="4">
        <v>6531</v>
      </c>
      <c r="G8186" s="2" t="s">
        <v>109</v>
      </c>
      <c r="H8186" s="2" t="s">
        <v>34</v>
      </c>
      <c r="I8186" s="2" t="s">
        <v>24447</v>
      </c>
      <c r="J8186" s="2" t="s">
        <v>11337</v>
      </c>
      <c r="K8186" s="2" t="s">
        <v>53</v>
      </c>
      <c r="L8186" s="2" t="s">
        <v>34</v>
      </c>
      <c r="M8186" s="2"/>
      <c r="N8186" s="2"/>
      <c r="O8186" s="2"/>
      <c r="P8186" s="2" t="s">
        <v>24448</v>
      </c>
      <c r="Q8186" s="6">
        <v>14</v>
      </c>
      <c r="R8186" s="10">
        <v>1855</v>
      </c>
      <c r="S8186" s="2"/>
      <c r="T8186" s="2"/>
      <c r="U8186" s="2"/>
      <c r="V8186" s="2"/>
      <c r="W8186" s="4">
        <v>1705</v>
      </c>
      <c r="X8186" s="4">
        <v>1705</v>
      </c>
      <c r="Y8186" s="4">
        <v>1705</v>
      </c>
      <c r="Z8186" s="4">
        <v>1705</v>
      </c>
      <c r="AA8186" s="6">
        <v>0.28000000000000003</v>
      </c>
      <c r="AB8186" s="2" t="s">
        <v>47</v>
      </c>
      <c r="AC8186" s="2"/>
    </row>
    <row r="8187" spans="1:29" ht="104" x14ac:dyDescent="0.15">
      <c r="A8187" s="3">
        <f>DATE(2006,8,23)</f>
        <v>38952</v>
      </c>
      <c r="B8187" s="3">
        <f>DATE(2006,10,20)</f>
        <v>39010</v>
      </c>
      <c r="C8187" s="2" t="s">
        <v>95</v>
      </c>
      <c r="D8187" s="2" t="s">
        <v>24449</v>
      </c>
      <c r="E8187" s="2" t="s">
        <v>23784</v>
      </c>
      <c r="F8187" s="4">
        <v>7372</v>
      </c>
      <c r="G8187" s="2" t="s">
        <v>551</v>
      </c>
      <c r="H8187" s="2" t="s">
        <v>34</v>
      </c>
      <c r="I8187" s="2" t="s">
        <v>5443</v>
      </c>
      <c r="J8187" s="2" t="s">
        <v>5444</v>
      </c>
      <c r="K8187" s="2" t="s">
        <v>50</v>
      </c>
      <c r="L8187" s="2" t="s">
        <v>34</v>
      </c>
      <c r="M8187" s="12">
        <v>115401.052</v>
      </c>
      <c r="N8187" s="6">
        <v>78.67</v>
      </c>
      <c r="O8187" s="6">
        <v>79.38</v>
      </c>
      <c r="P8187" s="2" t="s">
        <v>24450</v>
      </c>
      <c r="Q8187" s="6">
        <v>100</v>
      </c>
      <c r="R8187" s="6">
        <v>28</v>
      </c>
      <c r="S8187" s="5">
        <v>35.700000000000003</v>
      </c>
      <c r="T8187" s="7">
        <v>71.688000000000002</v>
      </c>
      <c r="U8187" s="5">
        <v>10.8</v>
      </c>
      <c r="V8187" s="6">
        <v>0.77</v>
      </c>
      <c r="W8187" s="6">
        <v>25.89</v>
      </c>
      <c r="X8187" s="4">
        <v>26</v>
      </c>
      <c r="Y8187" s="6">
        <v>27.62</v>
      </c>
      <c r="Z8187" s="6">
        <v>27.77</v>
      </c>
      <c r="AA8187" s="6">
        <v>43.82</v>
      </c>
      <c r="AB8187" s="7">
        <v>21.529</v>
      </c>
      <c r="AC8187" s="8">
        <v>9990</v>
      </c>
    </row>
    <row r="8188" spans="1:29" ht="78" x14ac:dyDescent="0.15">
      <c r="A8188" s="3">
        <f>DATE(2006,8,28)</f>
        <v>38957</v>
      </c>
      <c r="B8188" s="2"/>
      <c r="C8188" s="2" t="s">
        <v>30</v>
      </c>
      <c r="D8188" s="2" t="s">
        <v>24145</v>
      </c>
      <c r="E8188" s="2" t="s">
        <v>1608</v>
      </c>
      <c r="F8188" s="4">
        <v>1311</v>
      </c>
      <c r="G8188" s="2" t="s">
        <v>148</v>
      </c>
      <c r="H8188" s="2" t="s">
        <v>34</v>
      </c>
      <c r="I8188" s="2" t="s">
        <v>24451</v>
      </c>
      <c r="J8188" s="2" t="s">
        <v>612</v>
      </c>
      <c r="K8188" s="2" t="s">
        <v>148</v>
      </c>
      <c r="L8188" s="2" t="s">
        <v>34</v>
      </c>
      <c r="M8188" s="2"/>
      <c r="N8188" s="2"/>
      <c r="O8188" s="2"/>
      <c r="P8188" s="2" t="s">
        <v>24452</v>
      </c>
      <c r="Q8188" s="2"/>
      <c r="R8188" s="6">
        <v>23</v>
      </c>
      <c r="S8188" s="5">
        <v>62</v>
      </c>
      <c r="T8188" s="7">
        <v>237.43899999999999</v>
      </c>
      <c r="U8188" s="5">
        <v>11.4</v>
      </c>
      <c r="V8188" s="6">
        <v>1.52</v>
      </c>
      <c r="W8188" s="6">
        <v>18.22</v>
      </c>
      <c r="X8188" s="5">
        <v>18.399999999999999</v>
      </c>
      <c r="Y8188" s="6">
        <v>24.14</v>
      </c>
      <c r="Z8188" s="6">
        <v>24.79</v>
      </c>
      <c r="AA8188" s="6">
        <v>38.4</v>
      </c>
      <c r="AB8188" s="7">
        <v>13.686</v>
      </c>
      <c r="AC8188" s="2"/>
    </row>
    <row r="8189" spans="1:29" ht="130" x14ac:dyDescent="0.15">
      <c r="A8189" s="3">
        <f>DATE(2006,8,28)</f>
        <v>38957</v>
      </c>
      <c r="B8189" s="3">
        <f>DATE(2007,5,31)</f>
        <v>39233</v>
      </c>
      <c r="C8189" s="2" t="s">
        <v>95</v>
      </c>
      <c r="D8189" s="2" t="s">
        <v>11933</v>
      </c>
      <c r="E8189" s="2" t="s">
        <v>5594</v>
      </c>
      <c r="F8189" s="4">
        <v>2911</v>
      </c>
      <c r="G8189" s="2" t="s">
        <v>148</v>
      </c>
      <c r="H8189" s="2" t="s">
        <v>34</v>
      </c>
      <c r="I8189" s="2" t="s">
        <v>24453</v>
      </c>
      <c r="J8189" s="2" t="s">
        <v>24454</v>
      </c>
      <c r="K8189" s="2" t="s">
        <v>148</v>
      </c>
      <c r="L8189" s="2" t="s">
        <v>34</v>
      </c>
      <c r="M8189" s="12">
        <v>1572.1030000000001</v>
      </c>
      <c r="N8189" s="6">
        <v>25.14</v>
      </c>
      <c r="O8189" s="6">
        <v>24.33</v>
      </c>
      <c r="P8189" s="2" t="s">
        <v>24455</v>
      </c>
      <c r="Q8189" s="6">
        <v>100</v>
      </c>
      <c r="R8189" s="6">
        <v>77</v>
      </c>
      <c r="S8189" s="5">
        <v>110.2</v>
      </c>
      <c r="T8189" s="7">
        <v>201.06700000000001</v>
      </c>
      <c r="U8189" s="5">
        <v>29.9</v>
      </c>
      <c r="V8189" s="6">
        <v>7.8</v>
      </c>
      <c r="W8189" s="6">
        <v>70.540000000000006</v>
      </c>
      <c r="X8189" s="6">
        <v>71.790000000000006</v>
      </c>
      <c r="Y8189" s="6">
        <v>82.22</v>
      </c>
      <c r="Z8189" s="6">
        <v>82.14</v>
      </c>
      <c r="AA8189" s="6">
        <v>14.64</v>
      </c>
      <c r="AB8189" s="7">
        <v>8.2080000000000002</v>
      </c>
      <c r="AC8189" s="6">
        <v>187.95</v>
      </c>
    </row>
    <row r="8190" spans="1:29" ht="78" x14ac:dyDescent="0.15">
      <c r="A8190" s="3">
        <f>DATE(2006,8,28)</f>
        <v>38957</v>
      </c>
      <c r="B8190" s="3">
        <f>DATE(2006,12,12)</f>
        <v>39063</v>
      </c>
      <c r="C8190" s="2" t="s">
        <v>95</v>
      </c>
      <c r="D8190" s="2" t="s">
        <v>24456</v>
      </c>
      <c r="E8190" s="2" t="s">
        <v>24457</v>
      </c>
      <c r="F8190" s="4">
        <v>7372</v>
      </c>
      <c r="G8190" s="2" t="s">
        <v>551</v>
      </c>
      <c r="H8190" s="2" t="s">
        <v>34</v>
      </c>
      <c r="I8190" s="2" t="s">
        <v>16262</v>
      </c>
      <c r="J8190" s="2" t="s">
        <v>24458</v>
      </c>
      <c r="K8190" s="2" t="s">
        <v>551</v>
      </c>
      <c r="L8190" s="2" t="s">
        <v>902</v>
      </c>
      <c r="M8190" s="7">
        <v>238.96700000000001</v>
      </c>
      <c r="N8190" s="7">
        <v>9.9719999999999995</v>
      </c>
      <c r="O8190" s="7">
        <v>10.561</v>
      </c>
      <c r="P8190" s="2" t="s">
        <v>24459</v>
      </c>
      <c r="Q8190" s="6">
        <v>100</v>
      </c>
      <c r="R8190" s="6">
        <v>13</v>
      </c>
      <c r="S8190" s="5">
        <v>6.9</v>
      </c>
      <c r="T8190" s="7">
        <v>9.1479999999999997</v>
      </c>
      <c r="U8190" s="5">
        <v>6.3</v>
      </c>
      <c r="V8190" s="6">
        <v>0.46</v>
      </c>
      <c r="W8190" s="6">
        <v>9.67</v>
      </c>
      <c r="X8190" s="5">
        <v>9.6</v>
      </c>
      <c r="Y8190" s="7">
        <v>12.648999999999999</v>
      </c>
      <c r="Z8190" s="6">
        <v>12.71</v>
      </c>
      <c r="AA8190" s="6">
        <v>14.03</v>
      </c>
      <c r="AB8190" s="7">
        <v>15.117000000000001</v>
      </c>
      <c r="AC8190" s="6">
        <v>21.71</v>
      </c>
    </row>
    <row r="8191" spans="1:29" ht="117" x14ac:dyDescent="0.15">
      <c r="A8191" s="3">
        <f>DATE(2006,8,28)</f>
        <v>38957</v>
      </c>
      <c r="B8191" s="3">
        <f>DATE(2006,12,15)</f>
        <v>39066</v>
      </c>
      <c r="C8191" s="2" t="s">
        <v>95</v>
      </c>
      <c r="D8191" s="2" t="s">
        <v>24460</v>
      </c>
      <c r="E8191" s="2" t="s">
        <v>24461</v>
      </c>
      <c r="F8191" s="4">
        <v>3599</v>
      </c>
      <c r="G8191" s="2" t="s">
        <v>300</v>
      </c>
      <c r="H8191" s="2" t="s">
        <v>34</v>
      </c>
      <c r="I8191" s="2" t="s">
        <v>24462</v>
      </c>
      <c r="J8191" s="2" t="s">
        <v>3197</v>
      </c>
      <c r="K8191" s="2" t="s">
        <v>53</v>
      </c>
      <c r="L8191" s="2" t="s">
        <v>34</v>
      </c>
      <c r="M8191" s="2"/>
      <c r="N8191" s="2"/>
      <c r="O8191" s="2"/>
      <c r="P8191" s="2" t="s">
        <v>24463</v>
      </c>
      <c r="Q8191" s="6">
        <v>100</v>
      </c>
      <c r="R8191" s="6">
        <v>15.25</v>
      </c>
      <c r="S8191" s="5">
        <v>7.4</v>
      </c>
      <c r="T8191" s="7">
        <v>13.904999999999999</v>
      </c>
      <c r="U8191" s="5">
        <v>6.8</v>
      </c>
      <c r="V8191" s="6">
        <v>3.62</v>
      </c>
      <c r="W8191" s="6">
        <v>11.15</v>
      </c>
      <c r="X8191" s="6">
        <v>10.78</v>
      </c>
      <c r="Y8191" s="6">
        <v>14.76</v>
      </c>
      <c r="Z8191" s="6">
        <v>14.76</v>
      </c>
      <c r="AA8191" s="6">
        <v>2.04</v>
      </c>
      <c r="AB8191" s="7">
        <v>3.992</v>
      </c>
      <c r="AC8191" s="2"/>
    </row>
    <row r="8192" spans="1:29" ht="91" x14ac:dyDescent="0.15">
      <c r="A8192" s="3">
        <f>DATE(2006,8,28)</f>
        <v>38957</v>
      </c>
      <c r="B8192" s="3">
        <f>DATE(2007,2,14)</f>
        <v>39127</v>
      </c>
      <c r="C8192" s="2" t="s">
        <v>95</v>
      </c>
      <c r="D8192" s="2" t="s">
        <v>21494</v>
      </c>
      <c r="E8192" s="2" t="s">
        <v>21495</v>
      </c>
      <c r="F8192" s="4">
        <v>1382</v>
      </c>
      <c r="G8192" s="2" t="s">
        <v>148</v>
      </c>
      <c r="H8192" s="2" t="s">
        <v>34</v>
      </c>
      <c r="I8192" s="2" t="s">
        <v>21270</v>
      </c>
      <c r="J8192" s="2" t="s">
        <v>302</v>
      </c>
      <c r="K8192" s="2" t="s">
        <v>53</v>
      </c>
      <c r="L8192" s="2" t="s">
        <v>34</v>
      </c>
      <c r="M8192" s="2"/>
      <c r="N8192" s="2"/>
      <c r="O8192" s="2"/>
      <c r="P8192" s="2" t="s">
        <v>24464</v>
      </c>
      <c r="Q8192" s="6">
        <v>61.03</v>
      </c>
      <c r="R8192" s="6">
        <v>3.7</v>
      </c>
      <c r="S8192" s="5">
        <v>12.6</v>
      </c>
      <c r="T8192" s="2"/>
      <c r="U8192" s="5">
        <v>-0.2</v>
      </c>
      <c r="V8192" s="6">
        <v>0.08</v>
      </c>
      <c r="W8192" s="6">
        <v>3.64</v>
      </c>
      <c r="X8192" s="5">
        <v>3.5</v>
      </c>
      <c r="Y8192" s="6">
        <v>3.78</v>
      </c>
      <c r="Z8192" s="6">
        <v>3.89</v>
      </c>
      <c r="AA8192" s="6">
        <v>155.34</v>
      </c>
      <c r="AB8192" s="7">
        <v>40.299999999999997</v>
      </c>
      <c r="AC8192" s="2"/>
    </row>
    <row r="8193" spans="1:29" ht="143" x14ac:dyDescent="0.15">
      <c r="A8193" s="3">
        <f>DATE(2006,8,29)</f>
        <v>38958</v>
      </c>
      <c r="B8193" s="3">
        <f>DATE(2007,4,24)</f>
        <v>39196</v>
      </c>
      <c r="C8193" s="2" t="s">
        <v>95</v>
      </c>
      <c r="D8193" s="2" t="s">
        <v>20563</v>
      </c>
      <c r="E8193" s="2" t="s">
        <v>159</v>
      </c>
      <c r="F8193" s="4">
        <v>6712</v>
      </c>
      <c r="G8193" s="2" t="s">
        <v>37</v>
      </c>
      <c r="H8193" s="2" t="s">
        <v>34</v>
      </c>
      <c r="I8193" s="2" t="s">
        <v>24465</v>
      </c>
      <c r="J8193" s="2" t="s">
        <v>3246</v>
      </c>
      <c r="K8193" s="2" t="s">
        <v>37</v>
      </c>
      <c r="L8193" s="2" t="s">
        <v>34</v>
      </c>
      <c r="M8193" s="7">
        <v>193.101</v>
      </c>
      <c r="N8193" s="5">
        <v>21.3</v>
      </c>
      <c r="O8193" s="6">
        <v>21.56</v>
      </c>
      <c r="P8193" s="2" t="s">
        <v>24466</v>
      </c>
      <c r="Q8193" s="6">
        <v>100</v>
      </c>
      <c r="R8193" s="6">
        <v>38.520000000000003</v>
      </c>
      <c r="S8193" s="2"/>
      <c r="T8193" s="2"/>
      <c r="U8193" s="2"/>
      <c r="V8193" s="2"/>
      <c r="W8193" s="6">
        <v>29.51</v>
      </c>
      <c r="X8193" s="5">
        <v>31.5</v>
      </c>
      <c r="Y8193" s="5">
        <v>37.4</v>
      </c>
      <c r="Z8193" s="5">
        <v>37.700000000000003</v>
      </c>
      <c r="AA8193" s="6">
        <v>1.93</v>
      </c>
      <c r="AB8193" s="2" t="s">
        <v>47</v>
      </c>
      <c r="AC8193" s="2"/>
    </row>
    <row r="8194" spans="1:29" ht="91" x14ac:dyDescent="0.15">
      <c r="A8194" s="3">
        <f>DATE(2006,8,29)</f>
        <v>38958</v>
      </c>
      <c r="B8194" s="3">
        <f>DATE(2007,1,29)</f>
        <v>39111</v>
      </c>
      <c r="C8194" s="2" t="s">
        <v>95</v>
      </c>
      <c r="D8194" s="2" t="s">
        <v>7401</v>
      </c>
      <c r="E8194" s="2" t="s">
        <v>7402</v>
      </c>
      <c r="F8194" s="4">
        <v>3089</v>
      </c>
      <c r="G8194" s="2" t="s">
        <v>447</v>
      </c>
      <c r="H8194" s="2" t="s">
        <v>34</v>
      </c>
      <c r="I8194" s="2" t="s">
        <v>24467</v>
      </c>
      <c r="J8194" s="2" t="s">
        <v>9299</v>
      </c>
      <c r="K8194" s="2" t="s">
        <v>53</v>
      </c>
      <c r="L8194" s="2" t="s">
        <v>34</v>
      </c>
      <c r="M8194" s="2"/>
      <c r="N8194" s="2"/>
      <c r="O8194" s="2"/>
      <c r="P8194" s="2" t="s">
        <v>24468</v>
      </c>
      <c r="Q8194" s="6">
        <v>100</v>
      </c>
      <c r="R8194" s="6">
        <v>3</v>
      </c>
      <c r="S8194" s="5">
        <v>2.1</v>
      </c>
      <c r="T8194" s="6">
        <v>5.81</v>
      </c>
      <c r="U8194" s="5">
        <v>1.7</v>
      </c>
      <c r="V8194" s="6">
        <v>0.18</v>
      </c>
      <c r="W8194" s="5">
        <v>2.5</v>
      </c>
      <c r="X8194" s="6">
        <v>2.5299999999999998</v>
      </c>
      <c r="Y8194" s="5">
        <v>2.5</v>
      </c>
      <c r="Z8194" s="6">
        <v>2.91</v>
      </c>
      <c r="AA8194" s="6">
        <v>11.79</v>
      </c>
      <c r="AB8194" s="7">
        <v>10.173999999999999</v>
      </c>
      <c r="AC8194" s="2"/>
    </row>
    <row r="8195" spans="1:29" ht="104" x14ac:dyDescent="0.15">
      <c r="A8195" s="3">
        <f>DATE(2006,8,30)</f>
        <v>38959</v>
      </c>
      <c r="B8195" s="3">
        <f>DATE(2007,4,2)</f>
        <v>39174</v>
      </c>
      <c r="C8195" s="2" t="s">
        <v>95</v>
      </c>
      <c r="D8195" s="2" t="s">
        <v>14050</v>
      </c>
      <c r="E8195" s="2" t="s">
        <v>263</v>
      </c>
      <c r="F8195" s="4">
        <v>6712</v>
      </c>
      <c r="G8195" s="2" t="s">
        <v>37</v>
      </c>
      <c r="H8195" s="2" t="s">
        <v>34</v>
      </c>
      <c r="I8195" s="2" t="s">
        <v>7051</v>
      </c>
      <c r="J8195" s="2" t="s">
        <v>263</v>
      </c>
      <c r="K8195" s="2" t="s">
        <v>37</v>
      </c>
      <c r="L8195" s="2" t="s">
        <v>34</v>
      </c>
      <c r="M8195" s="2"/>
      <c r="N8195" s="2"/>
      <c r="O8195" s="2"/>
      <c r="P8195" s="2" t="s">
        <v>24469</v>
      </c>
      <c r="Q8195" s="6">
        <v>100</v>
      </c>
      <c r="R8195" s="6">
        <v>16.72</v>
      </c>
      <c r="S8195" s="5">
        <v>-4.8</v>
      </c>
      <c r="T8195" s="7">
        <v>4.4809999999999999</v>
      </c>
      <c r="U8195" s="5">
        <v>9.5</v>
      </c>
      <c r="V8195" s="6">
        <v>-0.97</v>
      </c>
      <c r="W8195" s="7">
        <v>10.816000000000001</v>
      </c>
      <c r="X8195" s="7">
        <v>11.010999999999999</v>
      </c>
      <c r="Y8195" s="6">
        <v>11.07</v>
      </c>
      <c r="Z8195" s="6">
        <v>15.93</v>
      </c>
      <c r="AA8195" s="6">
        <v>5.14</v>
      </c>
      <c r="AB8195" s="7">
        <v>26.245999999999999</v>
      </c>
      <c r="AC8195" s="2"/>
    </row>
    <row r="8196" spans="1:29" ht="91" x14ac:dyDescent="0.15">
      <c r="A8196" s="3">
        <f>DATE(2006,8,31)</f>
        <v>38960</v>
      </c>
      <c r="B8196" s="3">
        <f>DATE(2007,3,1)</f>
        <v>39142</v>
      </c>
      <c r="C8196" s="2" t="s">
        <v>95</v>
      </c>
      <c r="D8196" s="2" t="s">
        <v>24470</v>
      </c>
      <c r="E8196" s="2" t="s">
        <v>92</v>
      </c>
      <c r="F8196" s="4">
        <v>6798</v>
      </c>
      <c r="G8196" s="2" t="s">
        <v>53</v>
      </c>
      <c r="H8196" s="2" t="s">
        <v>34</v>
      </c>
      <c r="I8196" s="2" t="s">
        <v>24471</v>
      </c>
      <c r="J8196" s="2" t="s">
        <v>6321</v>
      </c>
      <c r="K8196" s="2" t="s">
        <v>53</v>
      </c>
      <c r="L8196" s="2" t="s">
        <v>34</v>
      </c>
      <c r="M8196" s="2"/>
      <c r="N8196" s="2"/>
      <c r="O8196" s="2"/>
      <c r="P8196" s="2" t="s">
        <v>24472</v>
      </c>
      <c r="Q8196" s="6">
        <v>100</v>
      </c>
      <c r="R8196" s="6">
        <v>24</v>
      </c>
      <c r="S8196" s="5">
        <v>-2.1</v>
      </c>
      <c r="T8196" s="7">
        <v>22.431000000000001</v>
      </c>
      <c r="U8196" s="5">
        <v>5.3</v>
      </c>
      <c r="V8196" s="6">
        <v>-0.25</v>
      </c>
      <c r="W8196" s="6">
        <v>17.21</v>
      </c>
      <c r="X8196" s="6">
        <v>17.239999999999998</v>
      </c>
      <c r="Y8196" s="6">
        <v>23.66</v>
      </c>
      <c r="Z8196" s="6">
        <v>23.65</v>
      </c>
      <c r="AA8196" s="6">
        <v>10.43</v>
      </c>
      <c r="AB8196" s="2" t="s">
        <v>86</v>
      </c>
      <c r="AC8196" s="2"/>
    </row>
    <row r="8197" spans="1:29" ht="182" x14ac:dyDescent="0.15">
      <c r="A8197" s="3">
        <f>DATE(2006,8,31)</f>
        <v>38960</v>
      </c>
      <c r="B8197" s="3">
        <f>DATE(2006,11,4)</f>
        <v>39025</v>
      </c>
      <c r="C8197" s="2" t="s">
        <v>95</v>
      </c>
      <c r="D8197" s="2" t="s">
        <v>24473</v>
      </c>
      <c r="E8197" s="2" t="s">
        <v>8974</v>
      </c>
      <c r="F8197" s="4">
        <v>1041</v>
      </c>
      <c r="G8197" s="2" t="s">
        <v>166</v>
      </c>
      <c r="H8197" s="2" t="s">
        <v>34</v>
      </c>
      <c r="I8197" s="2" t="s">
        <v>24474</v>
      </c>
      <c r="J8197" s="2" t="s">
        <v>1248</v>
      </c>
      <c r="K8197" s="2" t="s">
        <v>166</v>
      </c>
      <c r="L8197" s="2" t="s">
        <v>902</v>
      </c>
      <c r="M8197" s="12">
        <v>12640.064</v>
      </c>
      <c r="N8197" s="7">
        <v>27.677</v>
      </c>
      <c r="O8197" s="7">
        <v>27.422000000000001</v>
      </c>
      <c r="P8197" s="2" t="s">
        <v>24475</v>
      </c>
      <c r="Q8197" s="6">
        <v>100</v>
      </c>
      <c r="R8197" s="6">
        <v>51.46</v>
      </c>
      <c r="S8197" s="5">
        <v>19.5</v>
      </c>
      <c r="T8197" s="7">
        <v>63.712000000000003</v>
      </c>
      <c r="U8197" s="5">
        <v>3.6</v>
      </c>
      <c r="V8197" s="9">
        <v>0.1515</v>
      </c>
      <c r="W8197" s="6">
        <v>38.28</v>
      </c>
      <c r="X8197" s="6">
        <v>38.86</v>
      </c>
      <c r="Y8197" s="6">
        <v>46.12</v>
      </c>
      <c r="Z8197" s="6">
        <v>45.34</v>
      </c>
      <c r="AA8197" s="6">
        <v>166.79</v>
      </c>
      <c r="AB8197" s="7">
        <v>250.53100000000001</v>
      </c>
      <c r="AC8197" s="6">
        <v>272.52999999999997</v>
      </c>
    </row>
    <row r="8198" spans="1:29" ht="195" x14ac:dyDescent="0.15">
      <c r="A8198" s="3">
        <f>DATE(2006,8,31)</f>
        <v>38960</v>
      </c>
      <c r="B8198" s="3">
        <f>DATE(2006,11,29)</f>
        <v>39050</v>
      </c>
      <c r="C8198" s="2" t="s">
        <v>95</v>
      </c>
      <c r="D8198" s="2" t="s">
        <v>24476</v>
      </c>
      <c r="E8198" s="2" t="s">
        <v>24477</v>
      </c>
      <c r="F8198" s="4">
        <v>7372</v>
      </c>
      <c r="G8198" s="2" t="s">
        <v>551</v>
      </c>
      <c r="H8198" s="2" t="s">
        <v>34</v>
      </c>
      <c r="I8198" s="2" t="s">
        <v>24478</v>
      </c>
      <c r="J8198" s="2" t="s">
        <v>11337</v>
      </c>
      <c r="K8198" s="2" t="s">
        <v>53</v>
      </c>
      <c r="L8198" s="2" t="s">
        <v>34</v>
      </c>
      <c r="M8198" s="2"/>
      <c r="N8198" s="2"/>
      <c r="O8198" s="2"/>
      <c r="P8198" s="2" t="s">
        <v>24479</v>
      </c>
      <c r="Q8198" s="6">
        <v>100</v>
      </c>
      <c r="R8198" s="6">
        <v>44</v>
      </c>
      <c r="S8198" s="5">
        <v>55.8</v>
      </c>
      <c r="T8198" s="7">
        <v>77.173000000000002</v>
      </c>
      <c r="U8198" s="5">
        <v>13.3</v>
      </c>
      <c r="V8198" s="6">
        <v>1.84</v>
      </c>
      <c r="W8198" s="5">
        <v>36.4</v>
      </c>
      <c r="X8198" s="5">
        <v>37.299999999999997</v>
      </c>
      <c r="Y8198" s="6">
        <v>37.36</v>
      </c>
      <c r="Z8198" s="5">
        <v>43.9</v>
      </c>
      <c r="AA8198" s="6">
        <v>29.43</v>
      </c>
      <c r="AB8198" s="7">
        <v>20.507000000000001</v>
      </c>
      <c r="AC8198" s="2"/>
    </row>
    <row r="8199" spans="1:29" ht="156" x14ac:dyDescent="0.15">
      <c r="A8199" s="3">
        <f>DATE(2006,8,31)</f>
        <v>38960</v>
      </c>
      <c r="B8199" s="3">
        <f>DATE(2007,4,12)</f>
        <v>39184</v>
      </c>
      <c r="C8199" s="2" t="s">
        <v>95</v>
      </c>
      <c r="D8199" s="2" t="s">
        <v>24480</v>
      </c>
      <c r="E8199" s="2" t="s">
        <v>17305</v>
      </c>
      <c r="F8199" s="4">
        <v>2899</v>
      </c>
      <c r="G8199" s="2" t="s">
        <v>98</v>
      </c>
      <c r="H8199" s="2" t="s">
        <v>34</v>
      </c>
      <c r="I8199" s="2" t="s">
        <v>51</v>
      </c>
      <c r="J8199" s="2" t="s">
        <v>52</v>
      </c>
      <c r="K8199" s="2" t="s">
        <v>53</v>
      </c>
      <c r="L8199" s="2" t="s">
        <v>34</v>
      </c>
      <c r="M8199" s="2"/>
      <c r="N8199" s="2"/>
      <c r="O8199" s="2"/>
      <c r="P8199" s="2" t="s">
        <v>24481</v>
      </c>
      <c r="Q8199" s="6">
        <v>100</v>
      </c>
      <c r="R8199" s="6">
        <v>35</v>
      </c>
      <c r="S8199" s="5">
        <v>52.3</v>
      </c>
      <c r="T8199" s="7">
        <v>132.501</v>
      </c>
      <c r="U8199" s="5">
        <v>12.9</v>
      </c>
      <c r="V8199" s="6">
        <v>1.67</v>
      </c>
      <c r="W8199" s="5">
        <v>26.7</v>
      </c>
      <c r="X8199" s="6">
        <v>28.51</v>
      </c>
      <c r="Y8199" s="6">
        <v>28.65</v>
      </c>
      <c r="Z8199" s="6">
        <v>28.82</v>
      </c>
      <c r="AA8199" s="6">
        <v>30.84</v>
      </c>
      <c r="AB8199" s="7">
        <v>12.223000000000001</v>
      </c>
      <c r="AC8199" s="2"/>
    </row>
    <row r="8200" spans="1:29" ht="78" x14ac:dyDescent="0.15">
      <c r="A8200" s="3">
        <f>DATE(2006,8,31)</f>
        <v>38960</v>
      </c>
      <c r="B8200" s="2"/>
      <c r="C8200" s="2" t="s">
        <v>30</v>
      </c>
      <c r="D8200" s="2" t="s">
        <v>12336</v>
      </c>
      <c r="E8200" s="2" t="s">
        <v>10361</v>
      </c>
      <c r="F8200" s="4">
        <v>7372</v>
      </c>
      <c r="G8200" s="2" t="s">
        <v>551</v>
      </c>
      <c r="H8200" s="2" t="s">
        <v>34</v>
      </c>
      <c r="I8200" s="2" t="s">
        <v>51</v>
      </c>
      <c r="J8200" s="2" t="s">
        <v>52</v>
      </c>
      <c r="K8200" s="2" t="s">
        <v>53</v>
      </c>
      <c r="L8200" s="2" t="s">
        <v>34</v>
      </c>
      <c r="M8200" s="2"/>
      <c r="N8200" s="2"/>
      <c r="O8200" s="2"/>
      <c r="P8200" s="2" t="s">
        <v>24482</v>
      </c>
      <c r="Q8200" s="2"/>
      <c r="R8200" s="6">
        <v>5.25</v>
      </c>
      <c r="S8200" s="5">
        <v>1.6</v>
      </c>
      <c r="T8200" s="7">
        <v>1.234</v>
      </c>
      <c r="U8200" s="5">
        <v>2.2999999999999998</v>
      </c>
      <c r="V8200" s="6">
        <v>0.16</v>
      </c>
      <c r="W8200" s="6">
        <v>4.26</v>
      </c>
      <c r="X8200" s="6">
        <v>4.47</v>
      </c>
      <c r="Y8200" s="6">
        <v>5.05</v>
      </c>
      <c r="Z8200" s="5">
        <v>5.0999999999999996</v>
      </c>
      <c r="AA8200" s="6">
        <v>9.44</v>
      </c>
      <c r="AB8200" s="2" t="s">
        <v>86</v>
      </c>
      <c r="AC8200" s="2"/>
    </row>
    <row r="8201" spans="1:29" ht="117" x14ac:dyDescent="0.15">
      <c r="A8201" s="3">
        <f>DATE(2006,9,1)</f>
        <v>38961</v>
      </c>
      <c r="B8201" s="3">
        <f>DATE(2006,11,22)</f>
        <v>39043</v>
      </c>
      <c r="C8201" s="2" t="s">
        <v>95</v>
      </c>
      <c r="D8201" s="2" t="s">
        <v>24483</v>
      </c>
      <c r="E8201" s="2" t="s">
        <v>24484</v>
      </c>
      <c r="F8201" s="4">
        <v>3841</v>
      </c>
      <c r="G8201" s="2" t="s">
        <v>226</v>
      </c>
      <c r="H8201" s="2" t="s">
        <v>34</v>
      </c>
      <c r="I8201" s="2" t="s">
        <v>24485</v>
      </c>
      <c r="J8201" s="2" t="s">
        <v>24486</v>
      </c>
      <c r="K8201" s="2" t="s">
        <v>226</v>
      </c>
      <c r="L8201" s="2" t="s">
        <v>303</v>
      </c>
      <c r="M8201" s="7">
        <v>64.959000000000003</v>
      </c>
      <c r="N8201" s="7">
        <v>0.90500000000000003</v>
      </c>
      <c r="O8201" s="7">
        <v>0.90500000000000003</v>
      </c>
      <c r="P8201" s="2" t="s">
        <v>24487</v>
      </c>
      <c r="Q8201" s="6">
        <v>100</v>
      </c>
      <c r="R8201" s="6">
        <v>4.2</v>
      </c>
      <c r="S8201" s="5">
        <v>-1</v>
      </c>
      <c r="T8201" s="7">
        <v>-0.16500000000000001</v>
      </c>
      <c r="U8201" s="5">
        <v>0.5</v>
      </c>
      <c r="V8201" s="6">
        <v>-0.21</v>
      </c>
      <c r="W8201" s="6">
        <v>2.15</v>
      </c>
      <c r="X8201" s="6">
        <v>2.4500000000000002</v>
      </c>
      <c r="Y8201" s="6">
        <v>2.91</v>
      </c>
      <c r="Z8201" s="6">
        <v>2.91</v>
      </c>
      <c r="AA8201" s="6">
        <v>5.59</v>
      </c>
      <c r="AB8201" s="2" t="s">
        <v>86</v>
      </c>
      <c r="AC8201" s="6">
        <v>41.73</v>
      </c>
    </row>
    <row r="8202" spans="1:29" ht="91" x14ac:dyDescent="0.15">
      <c r="A8202" s="3">
        <f>DATE(2006,9,1)</f>
        <v>38961</v>
      </c>
      <c r="B8202" s="2"/>
      <c r="C8202" s="2" t="s">
        <v>39</v>
      </c>
      <c r="D8202" s="2" t="s">
        <v>12038</v>
      </c>
      <c r="E8202" s="2" t="s">
        <v>3336</v>
      </c>
      <c r="F8202" s="4">
        <v>3714</v>
      </c>
      <c r="G8202" s="2" t="s">
        <v>105</v>
      </c>
      <c r="H8202" s="2" t="s">
        <v>34</v>
      </c>
      <c r="I8202" s="2" t="s">
        <v>18155</v>
      </c>
      <c r="J8202" s="2" t="s">
        <v>18156</v>
      </c>
      <c r="K8202" s="2" t="s">
        <v>105</v>
      </c>
      <c r="L8202" s="2" t="s">
        <v>1049</v>
      </c>
      <c r="M8202" s="2"/>
      <c r="N8202" s="2"/>
      <c r="O8202" s="2"/>
      <c r="P8202" s="2" t="s">
        <v>24488</v>
      </c>
      <c r="Q8202" s="2"/>
      <c r="R8202" s="2"/>
      <c r="S8202" s="8">
        <v>-1832</v>
      </c>
      <c r="T8202" s="5">
        <v>103</v>
      </c>
      <c r="U8202" s="5">
        <v>3.2</v>
      </c>
      <c r="V8202" s="6">
        <v>-9.23</v>
      </c>
      <c r="W8202" s="6">
        <v>1.91</v>
      </c>
      <c r="X8202" s="6">
        <v>1.73</v>
      </c>
      <c r="Y8202" s="6">
        <v>1.65</v>
      </c>
      <c r="Z8202" s="6">
        <v>1.55</v>
      </c>
      <c r="AA8202" s="6">
        <v>150.37</v>
      </c>
      <c r="AB8202" s="2" t="s">
        <v>86</v>
      </c>
      <c r="AC8202" s="10">
        <v>4659.45</v>
      </c>
    </row>
    <row r="8203" spans="1:29" ht="78" x14ac:dyDescent="0.15">
      <c r="A8203" s="3">
        <f>DATE(2006,9,1)</f>
        <v>38961</v>
      </c>
      <c r="B8203" s="2"/>
      <c r="C8203" s="2" t="s">
        <v>87</v>
      </c>
      <c r="D8203" s="2" t="s">
        <v>24489</v>
      </c>
      <c r="E8203" s="2" t="s">
        <v>24490</v>
      </c>
      <c r="F8203" s="4">
        <v>3714</v>
      </c>
      <c r="G8203" s="2" t="s">
        <v>105</v>
      </c>
      <c r="H8203" s="2" t="s">
        <v>34</v>
      </c>
      <c r="I8203" s="2" t="s">
        <v>143</v>
      </c>
      <c r="J8203" s="2" t="s">
        <v>144</v>
      </c>
      <c r="K8203" s="2" t="s">
        <v>53</v>
      </c>
      <c r="L8203" s="2" t="s">
        <v>139</v>
      </c>
      <c r="M8203" s="2"/>
      <c r="N8203" s="2"/>
      <c r="O8203" s="2"/>
      <c r="P8203" s="2" t="s">
        <v>24491</v>
      </c>
      <c r="Q8203" s="2"/>
      <c r="R8203" s="2"/>
      <c r="S8203" s="8">
        <v>-4240</v>
      </c>
      <c r="T8203" s="5">
        <v>-268</v>
      </c>
      <c r="U8203" s="5">
        <v>-14.1</v>
      </c>
      <c r="V8203" s="6">
        <v>-7.56</v>
      </c>
      <c r="W8203" s="6">
        <v>1.48</v>
      </c>
      <c r="X8203" s="5">
        <v>1.5</v>
      </c>
      <c r="Y8203" s="6">
        <v>1.53</v>
      </c>
      <c r="Z8203" s="6">
        <v>1.51</v>
      </c>
      <c r="AA8203" s="6">
        <v>561.78</v>
      </c>
      <c r="AB8203" s="2" t="s">
        <v>86</v>
      </c>
      <c r="AC8203" s="2"/>
    </row>
    <row r="8204" spans="1:29" ht="182" x14ac:dyDescent="0.15">
      <c r="A8204" s="3">
        <f>DATE(2006,9,1)</f>
        <v>38961</v>
      </c>
      <c r="B8204" s="3">
        <f>DATE(2006,10,10)</f>
        <v>39000</v>
      </c>
      <c r="C8204" s="2" t="s">
        <v>95</v>
      </c>
      <c r="D8204" s="2" t="s">
        <v>9286</v>
      </c>
      <c r="E8204" s="2" t="s">
        <v>9287</v>
      </c>
      <c r="F8204" s="4">
        <v>3559</v>
      </c>
      <c r="G8204" s="2" t="s">
        <v>300</v>
      </c>
      <c r="H8204" s="2" t="s">
        <v>34</v>
      </c>
      <c r="I8204" s="2" t="s">
        <v>24492</v>
      </c>
      <c r="J8204" s="2" t="s">
        <v>24493</v>
      </c>
      <c r="K8204" s="2" t="s">
        <v>300</v>
      </c>
      <c r="L8204" s="2" t="s">
        <v>215</v>
      </c>
      <c r="M8204" s="2"/>
      <c r="N8204" s="2"/>
      <c r="O8204" s="2"/>
      <c r="P8204" s="2" t="s">
        <v>24494</v>
      </c>
      <c r="Q8204" s="6">
        <v>72.45</v>
      </c>
      <c r="R8204" s="6">
        <v>15</v>
      </c>
      <c r="S8204" s="5">
        <v>2.4</v>
      </c>
      <c r="T8204" s="7">
        <v>12.967000000000001</v>
      </c>
      <c r="U8204" s="5">
        <v>8.1999999999999993</v>
      </c>
      <c r="V8204" s="6">
        <v>1.07</v>
      </c>
      <c r="W8204" s="6">
        <v>8.4600000000000009</v>
      </c>
      <c r="X8204" s="6">
        <v>8.51</v>
      </c>
      <c r="Y8204" s="5">
        <v>14.8</v>
      </c>
      <c r="Z8204" s="5">
        <v>14.8</v>
      </c>
      <c r="AA8204" s="6">
        <v>3.88</v>
      </c>
      <c r="AB8204" s="7">
        <v>11.066000000000001</v>
      </c>
      <c r="AC8204" s="2"/>
    </row>
    <row r="8205" spans="1:29" ht="78" x14ac:dyDescent="0.15">
      <c r="A8205" s="3">
        <f>DATE(2006,9,2)</f>
        <v>38962</v>
      </c>
      <c r="B8205" s="3">
        <f>DATE(2006,12,1)</f>
        <v>39052</v>
      </c>
      <c r="C8205" s="2" t="s">
        <v>95</v>
      </c>
      <c r="D8205" s="2" t="s">
        <v>24495</v>
      </c>
      <c r="E8205" s="2" t="s">
        <v>13242</v>
      </c>
      <c r="F8205" s="4">
        <v>8731</v>
      </c>
      <c r="G8205" s="2" t="s">
        <v>223</v>
      </c>
      <c r="H8205" s="2" t="s">
        <v>34</v>
      </c>
      <c r="I8205" s="2" t="s">
        <v>17211</v>
      </c>
      <c r="J8205" s="2" t="s">
        <v>16467</v>
      </c>
      <c r="K8205" s="2" t="s">
        <v>130</v>
      </c>
      <c r="L8205" s="2" t="s">
        <v>34</v>
      </c>
      <c r="M8205" s="12">
        <v>3032.3580000000002</v>
      </c>
      <c r="N8205" s="6">
        <v>62.24</v>
      </c>
      <c r="O8205" s="6">
        <v>62.24</v>
      </c>
      <c r="P8205" s="2" t="s">
        <v>24496</v>
      </c>
      <c r="Q8205" s="6">
        <v>100</v>
      </c>
      <c r="R8205" s="6">
        <v>3.37</v>
      </c>
      <c r="S8205" s="5">
        <v>-2.1</v>
      </c>
      <c r="T8205" s="7">
        <v>-2.7440000000000002</v>
      </c>
      <c r="U8205" s="5">
        <v>1.4</v>
      </c>
      <c r="V8205" s="6">
        <v>-0.42</v>
      </c>
      <c r="W8205" s="6">
        <v>2.75</v>
      </c>
      <c r="X8205" s="6">
        <v>3.29</v>
      </c>
      <c r="Y8205" s="6">
        <v>3.29</v>
      </c>
      <c r="Z8205" s="6">
        <v>3.29</v>
      </c>
      <c r="AA8205" s="6">
        <v>7.69</v>
      </c>
      <c r="AB8205" s="2" t="s">
        <v>86</v>
      </c>
      <c r="AC8205" s="6">
        <v>733.18</v>
      </c>
    </row>
    <row r="8206" spans="1:29" ht="104" x14ac:dyDescent="0.15">
      <c r="A8206" s="3">
        <f>DATE(2006,9,4)</f>
        <v>38964</v>
      </c>
      <c r="B8206" s="3">
        <f>DATE(2006,11,30)</f>
        <v>39051</v>
      </c>
      <c r="C8206" s="2" t="s">
        <v>95</v>
      </c>
      <c r="D8206" s="2" t="s">
        <v>24497</v>
      </c>
      <c r="E8206" s="2" t="s">
        <v>24498</v>
      </c>
      <c r="F8206" s="4">
        <v>3629</v>
      </c>
      <c r="G8206" s="2" t="s">
        <v>137</v>
      </c>
      <c r="H8206" s="2" t="s">
        <v>34</v>
      </c>
      <c r="I8206" s="2" t="s">
        <v>15781</v>
      </c>
      <c r="J8206" s="2" t="s">
        <v>15782</v>
      </c>
      <c r="K8206" s="2" t="s">
        <v>137</v>
      </c>
      <c r="L8206" s="2" t="s">
        <v>54</v>
      </c>
      <c r="M8206" s="12">
        <v>6656.0609999999997</v>
      </c>
      <c r="N8206" s="6">
        <v>11.77</v>
      </c>
      <c r="O8206" s="6">
        <v>11.72</v>
      </c>
      <c r="P8206" s="2" t="s">
        <v>24499</v>
      </c>
      <c r="Q8206" s="6">
        <v>100</v>
      </c>
      <c r="R8206" s="2"/>
      <c r="S8206" s="5">
        <v>5.2</v>
      </c>
      <c r="T8206" s="7">
        <v>7.1509999999999998</v>
      </c>
      <c r="U8206" s="5">
        <v>2.4</v>
      </c>
      <c r="V8206" s="6">
        <v>0.14000000000000001</v>
      </c>
      <c r="W8206" s="6">
        <v>5.46</v>
      </c>
      <c r="X8206" s="6">
        <v>5.95</v>
      </c>
      <c r="Y8206" s="6">
        <v>5.95</v>
      </c>
      <c r="Z8206" s="6">
        <v>6.21</v>
      </c>
      <c r="AA8206" s="6">
        <v>44.68</v>
      </c>
      <c r="AB8206" s="7">
        <v>60.682000000000002</v>
      </c>
      <c r="AC8206" s="8">
        <v>1084.3</v>
      </c>
    </row>
    <row r="8207" spans="1:29" ht="130" x14ac:dyDescent="0.15">
      <c r="A8207" s="3">
        <f>DATE(2006,9,5)</f>
        <v>38965</v>
      </c>
      <c r="B8207" s="3">
        <f>DATE(2006,10,26)</f>
        <v>39016</v>
      </c>
      <c r="C8207" s="2" t="s">
        <v>95</v>
      </c>
      <c r="D8207" s="2" t="s">
        <v>20672</v>
      </c>
      <c r="E8207" s="2" t="s">
        <v>20673</v>
      </c>
      <c r="F8207" s="4">
        <v>7372</v>
      </c>
      <c r="G8207" s="2" t="s">
        <v>551</v>
      </c>
      <c r="H8207" s="2" t="s">
        <v>34</v>
      </c>
      <c r="I8207" s="2" t="s">
        <v>506</v>
      </c>
      <c r="J8207" s="2" t="s">
        <v>507</v>
      </c>
      <c r="K8207" s="2" t="s">
        <v>300</v>
      </c>
      <c r="L8207" s="2" t="s">
        <v>34</v>
      </c>
      <c r="M8207" s="12">
        <v>25645.757000000001</v>
      </c>
      <c r="N8207" s="6">
        <v>44.13</v>
      </c>
      <c r="O8207" s="6">
        <v>43.38</v>
      </c>
      <c r="P8207" s="2" t="s">
        <v>24500</v>
      </c>
      <c r="Q8207" s="6">
        <v>100</v>
      </c>
      <c r="R8207" s="6">
        <v>22.75</v>
      </c>
      <c r="S8207" s="5">
        <v>19.8</v>
      </c>
      <c r="T8207" s="7">
        <v>24.434000000000001</v>
      </c>
      <c r="U8207" s="5">
        <v>8.9</v>
      </c>
      <c r="V8207" s="6">
        <v>1.6</v>
      </c>
      <c r="W8207" s="6">
        <v>17.21</v>
      </c>
      <c r="X8207" s="6">
        <v>17.95</v>
      </c>
      <c r="Y8207" s="6">
        <v>22.54</v>
      </c>
      <c r="Z8207" s="6">
        <v>22.52</v>
      </c>
      <c r="AA8207" s="6">
        <v>12.2</v>
      </c>
      <c r="AB8207" s="7">
        <v>15.362</v>
      </c>
      <c r="AC8207" s="6">
        <v>459.19</v>
      </c>
    </row>
    <row r="8208" spans="1:29" ht="143" x14ac:dyDescent="0.15">
      <c r="A8208" s="3">
        <f>DATE(2006,9,5)</f>
        <v>38965</v>
      </c>
      <c r="B8208" s="3">
        <f>DATE(2007,1,26)</f>
        <v>39108</v>
      </c>
      <c r="C8208" s="2" t="s">
        <v>95</v>
      </c>
      <c r="D8208" s="2" t="s">
        <v>24501</v>
      </c>
      <c r="E8208" s="2" t="s">
        <v>12588</v>
      </c>
      <c r="F8208" s="4">
        <v>3663</v>
      </c>
      <c r="G8208" s="2" t="s">
        <v>921</v>
      </c>
      <c r="H8208" s="2" t="s">
        <v>34</v>
      </c>
      <c r="I8208" s="2" t="s">
        <v>15030</v>
      </c>
      <c r="J8208" s="2" t="s">
        <v>15031</v>
      </c>
      <c r="K8208" s="2" t="s">
        <v>226</v>
      </c>
      <c r="L8208" s="2" t="s">
        <v>34</v>
      </c>
      <c r="M8208" s="12">
        <v>5802.9859999999999</v>
      </c>
      <c r="N8208" s="6">
        <v>44.28</v>
      </c>
      <c r="O8208" s="6">
        <v>43.79</v>
      </c>
      <c r="P8208" s="2" t="s">
        <v>24502</v>
      </c>
      <c r="Q8208" s="2"/>
      <c r="R8208" s="2"/>
      <c r="S8208" s="5">
        <v>-35.799999999999997</v>
      </c>
      <c r="T8208" s="7">
        <v>37.417999999999999</v>
      </c>
      <c r="U8208" s="2"/>
      <c r="V8208" s="2"/>
      <c r="W8208" s="6">
        <v>3.52</v>
      </c>
      <c r="X8208" s="6">
        <v>3.67</v>
      </c>
      <c r="Y8208" s="6">
        <v>4.04</v>
      </c>
      <c r="Z8208" s="6">
        <v>3.84</v>
      </c>
      <c r="AA8208" s="6">
        <v>97.29</v>
      </c>
      <c r="AB8208" s="7">
        <v>29.423999999999999</v>
      </c>
      <c r="AC8208" s="5">
        <v>293.89999999999998</v>
      </c>
    </row>
    <row r="8209" spans="1:29" ht="156" x14ac:dyDescent="0.15">
      <c r="A8209" s="3">
        <f>DATE(2006,9,5)</f>
        <v>38965</v>
      </c>
      <c r="B8209" s="3">
        <f>DATE(2007,1,11)</f>
        <v>39093</v>
      </c>
      <c r="C8209" s="2" t="s">
        <v>95</v>
      </c>
      <c r="D8209" s="2" t="s">
        <v>24503</v>
      </c>
      <c r="E8209" s="2" t="s">
        <v>24504</v>
      </c>
      <c r="F8209" s="4">
        <v>1382</v>
      </c>
      <c r="G8209" s="2" t="s">
        <v>148</v>
      </c>
      <c r="H8209" s="2" t="s">
        <v>34</v>
      </c>
      <c r="I8209" s="2" t="s">
        <v>15576</v>
      </c>
      <c r="J8209" s="2" t="s">
        <v>612</v>
      </c>
      <c r="K8209" s="2" t="s">
        <v>148</v>
      </c>
      <c r="L8209" s="2" t="s">
        <v>133</v>
      </c>
      <c r="M8209" s="12">
        <v>15132.481</v>
      </c>
      <c r="N8209" s="7">
        <v>157.28899999999999</v>
      </c>
      <c r="O8209" s="7">
        <v>161.49700000000001</v>
      </c>
      <c r="P8209" s="2" t="s">
        <v>24505</v>
      </c>
      <c r="Q8209" s="6">
        <v>100</v>
      </c>
      <c r="R8209" s="6">
        <v>75</v>
      </c>
      <c r="S8209" s="5">
        <v>122</v>
      </c>
      <c r="T8209" s="7">
        <v>322.05900000000003</v>
      </c>
      <c r="U8209" s="5">
        <v>19</v>
      </c>
      <c r="V8209" s="6">
        <v>3.27</v>
      </c>
      <c r="W8209" s="6">
        <v>56.16</v>
      </c>
      <c r="X8209" s="6">
        <v>62.18</v>
      </c>
      <c r="Y8209" s="6">
        <v>70.069999999999993</v>
      </c>
      <c r="Z8209" s="5">
        <v>68.400000000000006</v>
      </c>
      <c r="AA8209" s="6">
        <v>35.82</v>
      </c>
      <c r="AB8209" s="7">
        <v>25.381</v>
      </c>
      <c r="AC8209" s="6">
        <v>263.95</v>
      </c>
    </row>
    <row r="8210" spans="1:29" ht="78" x14ac:dyDescent="0.15">
      <c r="A8210" s="3">
        <f>DATE(2006,9,6)</f>
        <v>38966</v>
      </c>
      <c r="B8210" s="3">
        <f>DATE(2007,4,2)</f>
        <v>39174</v>
      </c>
      <c r="C8210" s="2" t="s">
        <v>95</v>
      </c>
      <c r="D8210" s="2" t="s">
        <v>24506</v>
      </c>
      <c r="E8210" s="2" t="s">
        <v>1181</v>
      </c>
      <c r="F8210" s="4">
        <v>6021</v>
      </c>
      <c r="G8210" s="2" t="s">
        <v>37</v>
      </c>
      <c r="H8210" s="2" t="s">
        <v>34</v>
      </c>
      <c r="I8210" s="2" t="s">
        <v>22501</v>
      </c>
      <c r="J8210" s="2" t="s">
        <v>3246</v>
      </c>
      <c r="K8210" s="2" t="s">
        <v>37</v>
      </c>
      <c r="L8210" s="2" t="s">
        <v>34</v>
      </c>
      <c r="M8210" s="7">
        <v>576.47500000000002</v>
      </c>
      <c r="N8210" s="6">
        <v>25.77</v>
      </c>
      <c r="O8210" s="6">
        <v>25.34</v>
      </c>
      <c r="P8210" s="2" t="s">
        <v>24507</v>
      </c>
      <c r="Q8210" s="6">
        <v>100</v>
      </c>
      <c r="R8210" s="6">
        <v>24</v>
      </c>
      <c r="S8210" s="5">
        <v>0.6</v>
      </c>
      <c r="T8210" s="6">
        <v>1.26</v>
      </c>
      <c r="U8210" s="5">
        <v>13</v>
      </c>
      <c r="V8210" s="6">
        <v>0.65</v>
      </c>
      <c r="W8210" s="6">
        <v>11.35</v>
      </c>
      <c r="X8210" s="6">
        <v>11.25</v>
      </c>
      <c r="Y8210" s="6">
        <v>22.25</v>
      </c>
      <c r="Z8210" s="5">
        <v>22.6</v>
      </c>
      <c r="AA8210" s="6">
        <v>0.88</v>
      </c>
      <c r="AB8210" s="7">
        <v>57.384999999999998</v>
      </c>
      <c r="AC8210" s="2"/>
    </row>
    <row r="8211" spans="1:29" ht="143" x14ac:dyDescent="0.15">
      <c r="A8211" s="3">
        <f>DATE(2006,9,6)</f>
        <v>38966</v>
      </c>
      <c r="B8211" s="3">
        <f>DATE(2007,6,25)</f>
        <v>39258</v>
      </c>
      <c r="C8211" s="2" t="s">
        <v>95</v>
      </c>
      <c r="D8211" s="2" t="s">
        <v>24508</v>
      </c>
      <c r="E8211" s="2" t="s">
        <v>849</v>
      </c>
      <c r="F8211" s="4">
        <v>7373</v>
      </c>
      <c r="G8211" s="2" t="s">
        <v>223</v>
      </c>
      <c r="H8211" s="2" t="s">
        <v>34</v>
      </c>
      <c r="I8211" s="2" t="s">
        <v>24509</v>
      </c>
      <c r="J8211" s="2" t="s">
        <v>244</v>
      </c>
      <c r="K8211" s="2" t="s">
        <v>53</v>
      </c>
      <c r="L8211" s="2" t="s">
        <v>34</v>
      </c>
      <c r="M8211" s="2"/>
      <c r="N8211" s="2"/>
      <c r="O8211" s="2"/>
      <c r="P8211" s="2" t="s">
        <v>24510</v>
      </c>
      <c r="Q8211" s="6">
        <v>100</v>
      </c>
      <c r="R8211" s="6">
        <v>7.2</v>
      </c>
      <c r="S8211" s="5">
        <v>5</v>
      </c>
      <c r="T8211" s="6">
        <v>6.01</v>
      </c>
      <c r="U8211" s="5">
        <v>3.1</v>
      </c>
      <c r="V8211" s="6">
        <v>0.18</v>
      </c>
      <c r="W8211" s="5">
        <v>6.4</v>
      </c>
      <c r="X8211" s="6">
        <v>6.39</v>
      </c>
      <c r="Y8211" s="5">
        <v>6.5</v>
      </c>
      <c r="Z8211" s="6">
        <v>8.15</v>
      </c>
      <c r="AA8211" s="6">
        <v>25.86</v>
      </c>
      <c r="AB8211" s="7">
        <v>23.451000000000001</v>
      </c>
      <c r="AC8211" s="2"/>
    </row>
    <row r="8212" spans="1:29" ht="156" x14ac:dyDescent="0.15">
      <c r="A8212" s="3">
        <f>DATE(2006,9,6)</f>
        <v>38966</v>
      </c>
      <c r="B8212" s="3">
        <f>DATE(2006,12,15)</f>
        <v>39066</v>
      </c>
      <c r="C8212" s="2" t="s">
        <v>95</v>
      </c>
      <c r="D8212" s="2" t="s">
        <v>24511</v>
      </c>
      <c r="E8212" s="2" t="s">
        <v>24512</v>
      </c>
      <c r="F8212" s="4">
        <v>2013</v>
      </c>
      <c r="G8212" s="2" t="s">
        <v>577</v>
      </c>
      <c r="H8212" s="2" t="s">
        <v>34</v>
      </c>
      <c r="I8212" s="2" t="s">
        <v>24513</v>
      </c>
      <c r="J8212" s="2" t="s">
        <v>24514</v>
      </c>
      <c r="K8212" s="2" t="s">
        <v>577</v>
      </c>
      <c r="L8212" s="2" t="s">
        <v>34</v>
      </c>
      <c r="M8212" s="12">
        <v>5156.9139999999998</v>
      </c>
      <c r="N8212" s="6">
        <v>36.15</v>
      </c>
      <c r="O8212" s="6">
        <v>36.04</v>
      </c>
      <c r="P8212" s="2" t="s">
        <v>24515</v>
      </c>
      <c r="Q8212" s="6">
        <v>100</v>
      </c>
      <c r="R8212" s="6">
        <v>2.91</v>
      </c>
      <c r="S8212" s="5">
        <v>0.3</v>
      </c>
      <c r="T8212" s="7">
        <v>1.641</v>
      </c>
      <c r="U8212" s="5">
        <v>2.4</v>
      </c>
      <c r="V8212" s="6">
        <v>0.1</v>
      </c>
      <c r="W8212" s="6">
        <v>2.0499999999999998</v>
      </c>
      <c r="X8212" s="5">
        <v>2.2999999999999998</v>
      </c>
      <c r="Y8212" s="6">
        <v>2.73</v>
      </c>
      <c r="Z8212" s="5">
        <v>2.8</v>
      </c>
      <c r="AA8212" s="6">
        <v>3.59</v>
      </c>
      <c r="AB8212" s="7">
        <v>22.405999999999999</v>
      </c>
      <c r="AC8212" s="5">
        <v>139.30000000000001</v>
      </c>
    </row>
    <row r="8213" spans="1:29" ht="130" x14ac:dyDescent="0.15">
      <c r="A8213" s="3">
        <f>DATE(2006,9,7)</f>
        <v>38967</v>
      </c>
      <c r="B8213" s="3">
        <f>DATE(2006,11,3)</f>
        <v>39024</v>
      </c>
      <c r="C8213" s="2" t="s">
        <v>95</v>
      </c>
      <c r="D8213" s="2" t="s">
        <v>24516</v>
      </c>
      <c r="E8213" s="2" t="s">
        <v>24517</v>
      </c>
      <c r="F8213" s="4">
        <v>3841</v>
      </c>
      <c r="G8213" s="2" t="s">
        <v>226</v>
      </c>
      <c r="H8213" s="2" t="s">
        <v>34</v>
      </c>
      <c r="I8213" s="2" t="s">
        <v>24518</v>
      </c>
      <c r="J8213" s="2" t="s">
        <v>24519</v>
      </c>
      <c r="K8213" s="2" t="s">
        <v>226</v>
      </c>
      <c r="L8213" s="2" t="s">
        <v>34</v>
      </c>
      <c r="M8213" s="2"/>
      <c r="N8213" s="2"/>
      <c r="O8213" s="2"/>
      <c r="P8213" s="2" t="s">
        <v>24520</v>
      </c>
      <c r="Q8213" s="6">
        <v>100</v>
      </c>
      <c r="R8213" s="6">
        <v>2.15</v>
      </c>
      <c r="S8213" s="2"/>
      <c r="T8213" s="2"/>
      <c r="U8213" s="2"/>
      <c r="V8213" s="2"/>
      <c r="W8213" s="5">
        <v>1.8</v>
      </c>
      <c r="X8213" s="6">
        <v>1.75</v>
      </c>
      <c r="Y8213" s="5">
        <v>1.7</v>
      </c>
      <c r="Z8213" s="6">
        <v>2.09</v>
      </c>
      <c r="AA8213" s="6">
        <v>15.32</v>
      </c>
      <c r="AB8213" s="2" t="s">
        <v>47</v>
      </c>
      <c r="AC8213" s="2"/>
    </row>
    <row r="8214" spans="1:29" ht="78" x14ac:dyDescent="0.15">
      <c r="A8214" s="3">
        <f>DATE(2006,9,10)</f>
        <v>38970</v>
      </c>
      <c r="B8214" s="3">
        <f>DATE(2006,12,1)</f>
        <v>39052</v>
      </c>
      <c r="C8214" s="2" t="s">
        <v>95</v>
      </c>
      <c r="D8214" s="2" t="s">
        <v>24521</v>
      </c>
      <c r="E8214" s="2" t="s">
        <v>24522</v>
      </c>
      <c r="F8214" s="4">
        <v>3312</v>
      </c>
      <c r="G8214" s="2" t="s">
        <v>163</v>
      </c>
      <c r="H8214" s="2" t="s">
        <v>34</v>
      </c>
      <c r="I8214" s="2" t="s">
        <v>24523</v>
      </c>
      <c r="J8214" s="2" t="s">
        <v>24524</v>
      </c>
      <c r="K8214" s="2" t="s">
        <v>163</v>
      </c>
      <c r="L8214" s="2" t="s">
        <v>34</v>
      </c>
      <c r="M8214" s="12">
        <v>4364.2259999999997</v>
      </c>
      <c r="N8214" s="5">
        <v>87.2</v>
      </c>
      <c r="O8214" s="5">
        <v>87.2</v>
      </c>
      <c r="P8214" s="2" t="s">
        <v>24525</v>
      </c>
      <c r="Q8214" s="6">
        <v>100</v>
      </c>
      <c r="R8214" s="6">
        <v>66</v>
      </c>
      <c r="S8214" s="5">
        <v>137.1</v>
      </c>
      <c r="T8214" s="7">
        <v>185.53800000000001</v>
      </c>
      <c r="U8214" s="5">
        <v>16.600000000000001</v>
      </c>
      <c r="V8214" s="6">
        <v>6.05</v>
      </c>
      <c r="W8214" s="6">
        <v>46.47</v>
      </c>
      <c r="X8214" s="6">
        <v>46.15</v>
      </c>
      <c r="Y8214" s="6">
        <v>64.31</v>
      </c>
      <c r="Z8214" s="6">
        <v>64.31</v>
      </c>
      <c r="AA8214" s="6">
        <v>22.65</v>
      </c>
      <c r="AB8214" s="7">
        <v>7.4189999999999996</v>
      </c>
      <c r="AC8214" s="6">
        <v>671.22</v>
      </c>
    </row>
    <row r="8215" spans="1:29" ht="91" x14ac:dyDescent="0.15">
      <c r="A8215" s="3">
        <f>DATE(2006,9,11)</f>
        <v>38971</v>
      </c>
      <c r="B8215" s="3">
        <f>DATE(2006,10,13)</f>
        <v>39003</v>
      </c>
      <c r="C8215" s="2" t="s">
        <v>95</v>
      </c>
      <c r="D8215" s="2" t="s">
        <v>2867</v>
      </c>
      <c r="E8215" s="2" t="s">
        <v>2868</v>
      </c>
      <c r="F8215" s="4">
        <v>7389</v>
      </c>
      <c r="G8215" s="2" t="s">
        <v>223</v>
      </c>
      <c r="H8215" s="2" t="s">
        <v>34</v>
      </c>
      <c r="I8215" s="2" t="s">
        <v>24526</v>
      </c>
      <c r="J8215" s="2" t="s">
        <v>1072</v>
      </c>
      <c r="K8215" s="2" t="s">
        <v>53</v>
      </c>
      <c r="L8215" s="2" t="s">
        <v>34</v>
      </c>
      <c r="M8215" s="2"/>
      <c r="N8215" s="2"/>
      <c r="O8215" s="2"/>
      <c r="P8215" s="2" t="s">
        <v>24527</v>
      </c>
      <c r="Q8215" s="6">
        <v>100</v>
      </c>
      <c r="R8215" s="2"/>
      <c r="S8215" s="5">
        <v>0.7</v>
      </c>
      <c r="T8215" s="7">
        <v>0.80200000000000005</v>
      </c>
      <c r="U8215" s="5">
        <v>1.3</v>
      </c>
      <c r="V8215" s="6">
        <v>0.27</v>
      </c>
      <c r="W8215" s="6">
        <v>3.95</v>
      </c>
      <c r="X8215" s="6">
        <v>3.95</v>
      </c>
      <c r="Y8215" s="6">
        <v>4.42</v>
      </c>
      <c r="Z8215" s="5">
        <v>4.5</v>
      </c>
      <c r="AA8215" s="6">
        <v>2.4700000000000002</v>
      </c>
      <c r="AB8215" s="7">
        <v>22.425000000000001</v>
      </c>
      <c r="AC8215" s="2"/>
    </row>
    <row r="8216" spans="1:29" ht="143" x14ac:dyDescent="0.15">
      <c r="A8216" s="3">
        <f>DATE(2006,9,12)</f>
        <v>38972</v>
      </c>
      <c r="B8216" s="3">
        <f>DATE(2006,12,21)</f>
        <v>39072</v>
      </c>
      <c r="C8216" s="2" t="s">
        <v>95</v>
      </c>
      <c r="D8216" s="2" t="s">
        <v>24528</v>
      </c>
      <c r="E8216" s="2" t="s">
        <v>24529</v>
      </c>
      <c r="F8216" s="4">
        <v>3577</v>
      </c>
      <c r="G8216" s="2" t="s">
        <v>50</v>
      </c>
      <c r="H8216" s="2" t="s">
        <v>34</v>
      </c>
      <c r="I8216" s="2" t="s">
        <v>51</v>
      </c>
      <c r="J8216" s="2" t="s">
        <v>52</v>
      </c>
      <c r="K8216" s="2" t="s">
        <v>53</v>
      </c>
      <c r="L8216" s="2" t="s">
        <v>34</v>
      </c>
      <c r="M8216" s="2"/>
      <c r="N8216" s="2"/>
      <c r="O8216" s="2"/>
      <c r="P8216" s="2" t="s">
        <v>24530</v>
      </c>
      <c r="Q8216" s="6">
        <v>100</v>
      </c>
      <c r="R8216" s="6">
        <v>18.5</v>
      </c>
      <c r="S8216" s="5">
        <v>19.2</v>
      </c>
      <c r="T8216" s="2"/>
      <c r="U8216" s="5">
        <v>5.8</v>
      </c>
      <c r="V8216" s="6">
        <v>0.86</v>
      </c>
      <c r="W8216" s="6">
        <v>16.32</v>
      </c>
      <c r="X8216" s="6">
        <v>17.670000000000002</v>
      </c>
      <c r="Y8216" s="6">
        <v>18.190000000000001</v>
      </c>
      <c r="Z8216" s="5">
        <v>18.3</v>
      </c>
      <c r="AA8216" s="6">
        <v>22.69</v>
      </c>
      <c r="AB8216" s="7">
        <v>12.343999999999999</v>
      </c>
      <c r="AC8216" s="2"/>
    </row>
    <row r="8217" spans="1:29" ht="78" x14ac:dyDescent="0.15">
      <c r="A8217" s="3">
        <f>DATE(2006,9,12)</f>
        <v>38972</v>
      </c>
      <c r="B8217" s="3">
        <f>DATE(2007,4,2)</f>
        <v>39174</v>
      </c>
      <c r="C8217" s="2" t="s">
        <v>95</v>
      </c>
      <c r="D8217" s="2" t="s">
        <v>24531</v>
      </c>
      <c r="E8217" s="2" t="s">
        <v>265</v>
      </c>
      <c r="F8217" s="4">
        <v>6021</v>
      </c>
      <c r="G8217" s="2" t="s">
        <v>37</v>
      </c>
      <c r="H8217" s="2" t="s">
        <v>34</v>
      </c>
      <c r="I8217" s="2" t="s">
        <v>24532</v>
      </c>
      <c r="J8217" s="2" t="s">
        <v>36</v>
      </c>
      <c r="K8217" s="2" t="s">
        <v>37</v>
      </c>
      <c r="L8217" s="2" t="s">
        <v>34</v>
      </c>
      <c r="M8217" s="6">
        <v>95.96</v>
      </c>
      <c r="N8217" s="5">
        <v>11.2</v>
      </c>
      <c r="O8217" s="6">
        <v>11.65</v>
      </c>
      <c r="P8217" s="2" t="s">
        <v>24533</v>
      </c>
      <c r="Q8217" s="6">
        <v>100</v>
      </c>
      <c r="R8217" s="6">
        <v>54</v>
      </c>
      <c r="S8217" s="2"/>
      <c r="T8217" s="2"/>
      <c r="U8217" s="2"/>
      <c r="V8217" s="2"/>
      <c r="W8217" s="6">
        <v>28.05</v>
      </c>
      <c r="X8217" s="5">
        <v>28.5</v>
      </c>
      <c r="Y8217" s="6">
        <v>29.25</v>
      </c>
      <c r="Z8217" s="5">
        <v>51.7</v>
      </c>
      <c r="AA8217" s="6">
        <v>0.21</v>
      </c>
      <c r="AB8217" s="2" t="s">
        <v>47</v>
      </c>
      <c r="AC8217" s="2"/>
    </row>
    <row r="8218" spans="1:29" ht="78" x14ac:dyDescent="0.15">
      <c r="A8218" s="3">
        <f>DATE(2006,9,12)</f>
        <v>38972</v>
      </c>
      <c r="B8218" s="2"/>
      <c r="C8218" s="2" t="s">
        <v>87</v>
      </c>
      <c r="D8218" s="2" t="s">
        <v>24534</v>
      </c>
      <c r="E8218" s="2" t="s">
        <v>560</v>
      </c>
      <c r="F8218" s="4">
        <v>4812</v>
      </c>
      <c r="G8218" s="2" t="s">
        <v>63</v>
      </c>
      <c r="H8218" s="2" t="s">
        <v>34</v>
      </c>
      <c r="I8218" s="2" t="s">
        <v>24535</v>
      </c>
      <c r="J8218" s="2" t="s">
        <v>973</v>
      </c>
      <c r="K8218" s="2" t="s">
        <v>63</v>
      </c>
      <c r="L8218" s="2" t="s">
        <v>34</v>
      </c>
      <c r="M8218" s="2"/>
      <c r="N8218" s="2"/>
      <c r="O8218" s="2"/>
      <c r="P8218" s="2" t="s">
        <v>24536</v>
      </c>
      <c r="Q8218" s="2"/>
      <c r="R8218" s="2"/>
      <c r="S8218" s="5">
        <v>146.5</v>
      </c>
      <c r="T8218" s="2"/>
      <c r="U8218" s="2"/>
      <c r="V8218" s="2"/>
      <c r="W8218" s="6">
        <v>4.6500000000000004</v>
      </c>
      <c r="X8218" s="6">
        <v>4.41</v>
      </c>
      <c r="Y8218" s="6">
        <v>4.59</v>
      </c>
      <c r="Z8218" s="6">
        <v>4.6399999999999997</v>
      </c>
      <c r="AA8218" s="6">
        <v>182</v>
      </c>
      <c r="AB8218" s="2" t="s">
        <v>47</v>
      </c>
      <c r="AC8218" s="2"/>
    </row>
    <row r="8219" spans="1:29" ht="65" x14ac:dyDescent="0.15">
      <c r="A8219" s="3">
        <f>DATE(2006,9,13)</f>
        <v>38973</v>
      </c>
      <c r="B8219" s="2"/>
      <c r="C8219" s="2" t="s">
        <v>87</v>
      </c>
      <c r="D8219" s="2" t="s">
        <v>11596</v>
      </c>
      <c r="E8219" s="2" t="s">
        <v>3892</v>
      </c>
      <c r="F8219" s="4">
        <v>4841</v>
      </c>
      <c r="G8219" s="2" t="s">
        <v>45</v>
      </c>
      <c r="H8219" s="2" t="s">
        <v>34</v>
      </c>
      <c r="I8219" s="2" t="s">
        <v>143</v>
      </c>
      <c r="J8219" s="2" t="s">
        <v>144</v>
      </c>
      <c r="K8219" s="2" t="s">
        <v>53</v>
      </c>
      <c r="L8219" s="2" t="s">
        <v>139</v>
      </c>
      <c r="M8219" s="2"/>
      <c r="N8219" s="2"/>
      <c r="O8219" s="2"/>
      <c r="P8219" s="2" t="s">
        <v>24537</v>
      </c>
      <c r="Q8219" s="2"/>
      <c r="R8219" s="2"/>
      <c r="S8219" s="5">
        <v>-39.700000000000003</v>
      </c>
      <c r="T8219" s="7">
        <v>90.706000000000003</v>
      </c>
      <c r="U8219" s="5">
        <v>16</v>
      </c>
      <c r="V8219" s="6">
        <v>-1.1200000000000001</v>
      </c>
      <c r="W8219" s="6">
        <v>25.94</v>
      </c>
      <c r="X8219" s="4">
        <v>26</v>
      </c>
      <c r="Y8219" s="6">
        <v>28.16</v>
      </c>
      <c r="Z8219" s="6">
        <v>28.03</v>
      </c>
      <c r="AA8219" s="6">
        <v>37.08</v>
      </c>
      <c r="AB8219" s="2" t="s">
        <v>86</v>
      </c>
      <c r="AC8219" s="2"/>
    </row>
    <row r="8220" spans="1:29" ht="156" x14ac:dyDescent="0.15">
      <c r="A8220" s="3">
        <f>DATE(2006,9,13)</f>
        <v>38973</v>
      </c>
      <c r="B8220" s="3">
        <f>DATE(2006,12,20)</f>
        <v>39071</v>
      </c>
      <c r="C8220" s="2" t="s">
        <v>95</v>
      </c>
      <c r="D8220" s="2" t="s">
        <v>24538</v>
      </c>
      <c r="E8220" s="2" t="s">
        <v>2044</v>
      </c>
      <c r="F8220" s="4">
        <v>6798</v>
      </c>
      <c r="G8220" s="2" t="s">
        <v>53</v>
      </c>
      <c r="H8220" s="2" t="s">
        <v>34</v>
      </c>
      <c r="I8220" s="2" t="s">
        <v>24539</v>
      </c>
      <c r="J8220" s="2" t="s">
        <v>92</v>
      </c>
      <c r="K8220" s="2" t="s">
        <v>53</v>
      </c>
      <c r="L8220" s="2" t="s">
        <v>34</v>
      </c>
      <c r="M8220" s="12">
        <v>2356.915</v>
      </c>
      <c r="N8220" s="5">
        <v>38.700000000000003</v>
      </c>
      <c r="O8220" s="6">
        <v>38.76</v>
      </c>
      <c r="P8220" s="2" t="s">
        <v>24540</v>
      </c>
      <c r="Q8220" s="6">
        <v>100</v>
      </c>
      <c r="R8220" s="6">
        <v>18.059999999999999</v>
      </c>
      <c r="S8220" s="5">
        <v>5.3</v>
      </c>
      <c r="T8220" s="7">
        <v>22.838999999999999</v>
      </c>
      <c r="U8220" s="5">
        <v>10.9</v>
      </c>
      <c r="V8220" s="6">
        <v>7.0000000000000007E-2</v>
      </c>
      <c r="W8220" s="6">
        <v>15.02</v>
      </c>
      <c r="X8220" s="6">
        <v>15.18</v>
      </c>
      <c r="Y8220" s="6">
        <v>17.079999999999998</v>
      </c>
      <c r="Z8220" s="6">
        <v>17.05</v>
      </c>
      <c r="AA8220" s="6">
        <v>21</v>
      </c>
      <c r="AB8220" s="7">
        <v>154.71299999999999</v>
      </c>
      <c r="AC8220" s="5">
        <v>15.2</v>
      </c>
    </row>
    <row r="8221" spans="1:29" ht="169" x14ac:dyDescent="0.15">
      <c r="A8221" s="3">
        <f>DATE(2006,9,14)</f>
        <v>38974</v>
      </c>
      <c r="B8221" s="3">
        <f>DATE(2007,1,23)</f>
        <v>39105</v>
      </c>
      <c r="C8221" s="2" t="s">
        <v>95</v>
      </c>
      <c r="D8221" s="2" t="s">
        <v>24330</v>
      </c>
      <c r="E8221" s="2" t="s">
        <v>24331</v>
      </c>
      <c r="F8221" s="4">
        <v>3634</v>
      </c>
      <c r="G8221" s="2" t="s">
        <v>137</v>
      </c>
      <c r="H8221" s="2" t="s">
        <v>34</v>
      </c>
      <c r="I8221" s="2" t="s">
        <v>24541</v>
      </c>
      <c r="J8221" s="2" t="s">
        <v>11337</v>
      </c>
      <c r="K8221" s="2" t="s">
        <v>53</v>
      </c>
      <c r="L8221" s="2" t="s">
        <v>34</v>
      </c>
      <c r="M8221" s="2"/>
      <c r="N8221" s="2"/>
      <c r="O8221" s="2"/>
      <c r="P8221" s="2" t="s">
        <v>24542</v>
      </c>
      <c r="Q8221" s="6">
        <v>62.72</v>
      </c>
      <c r="R8221" s="6">
        <v>8.25</v>
      </c>
      <c r="S8221" s="5">
        <v>-26.7</v>
      </c>
      <c r="T8221" s="7">
        <v>-7.6429999999999998</v>
      </c>
      <c r="U8221" s="5">
        <v>1.8</v>
      </c>
      <c r="V8221" s="6">
        <v>-1.1000000000000001</v>
      </c>
      <c r="W8221" s="6">
        <v>4.62</v>
      </c>
      <c r="X8221" s="6">
        <v>4.5599999999999996</v>
      </c>
      <c r="Y8221" s="6">
        <v>5.75</v>
      </c>
      <c r="Z8221" s="6">
        <v>5.57</v>
      </c>
      <c r="AA8221" s="6">
        <v>29.52</v>
      </c>
      <c r="AB8221" s="2" t="s">
        <v>86</v>
      </c>
      <c r="AC8221" s="2"/>
    </row>
    <row r="8222" spans="1:29" ht="52" x14ac:dyDescent="0.15">
      <c r="A8222" s="3">
        <f>DATE(2006,9,14)</f>
        <v>38974</v>
      </c>
      <c r="B8222" s="3">
        <f>DATE(2006,9,27)</f>
        <v>38987</v>
      </c>
      <c r="C8222" s="2" t="s">
        <v>95</v>
      </c>
      <c r="D8222" s="2" t="s">
        <v>16781</v>
      </c>
      <c r="E8222" s="2" t="s">
        <v>16782</v>
      </c>
      <c r="F8222" s="4">
        <v>7349</v>
      </c>
      <c r="G8222" s="2" t="s">
        <v>223</v>
      </c>
      <c r="H8222" s="2" t="s">
        <v>34</v>
      </c>
      <c r="I8222" s="2" t="s">
        <v>24543</v>
      </c>
      <c r="J8222" s="2" t="s">
        <v>302</v>
      </c>
      <c r="K8222" s="2" t="s">
        <v>53</v>
      </c>
      <c r="L8222" s="2" t="s">
        <v>34</v>
      </c>
      <c r="M8222" s="2"/>
      <c r="N8222" s="2"/>
      <c r="O8222" s="2"/>
      <c r="P8222" s="2" t="s">
        <v>24544</v>
      </c>
      <c r="Q8222" s="6">
        <v>100</v>
      </c>
      <c r="R8222" s="2"/>
      <c r="S8222" s="5">
        <v>1.6</v>
      </c>
      <c r="T8222" s="7">
        <v>10.885999999999999</v>
      </c>
      <c r="U8222" s="5">
        <v>3.1</v>
      </c>
      <c r="V8222" s="6">
        <v>0.15</v>
      </c>
      <c r="W8222" s="6">
        <v>2.5099999999999998</v>
      </c>
      <c r="X8222" s="6">
        <v>2.5099999999999998</v>
      </c>
      <c r="Y8222" s="6">
        <v>2.5099999999999998</v>
      </c>
      <c r="Z8222" s="6">
        <v>2.5099999999999998</v>
      </c>
      <c r="AA8222" s="6">
        <v>10.72</v>
      </c>
      <c r="AB8222" s="2" t="s">
        <v>47</v>
      </c>
      <c r="AC8222" s="2"/>
    </row>
    <row r="8223" spans="1:29" ht="143" x14ac:dyDescent="0.15">
      <c r="A8223" s="3">
        <f>DATE(2006,9,14)</f>
        <v>38974</v>
      </c>
      <c r="B8223" s="3">
        <f>DATE(2007,3,9)</f>
        <v>39150</v>
      </c>
      <c r="C8223" s="2" t="s">
        <v>95</v>
      </c>
      <c r="D8223" s="2" t="s">
        <v>24545</v>
      </c>
      <c r="E8223" s="2" t="s">
        <v>1181</v>
      </c>
      <c r="F8223" s="4">
        <v>6021</v>
      </c>
      <c r="G8223" s="2" t="s">
        <v>37</v>
      </c>
      <c r="H8223" s="2" t="s">
        <v>34</v>
      </c>
      <c r="I8223" s="2" t="s">
        <v>8768</v>
      </c>
      <c r="J8223" s="2" t="s">
        <v>3780</v>
      </c>
      <c r="K8223" s="2" t="s">
        <v>37</v>
      </c>
      <c r="L8223" s="2" t="s">
        <v>34</v>
      </c>
      <c r="M8223" s="12">
        <v>1453.761</v>
      </c>
      <c r="N8223" s="4">
        <v>105</v>
      </c>
      <c r="O8223" s="6">
        <v>103.65</v>
      </c>
      <c r="P8223" s="2" t="s">
        <v>24546</v>
      </c>
      <c r="Q8223" s="6">
        <v>100</v>
      </c>
      <c r="R8223" s="6">
        <v>25.98</v>
      </c>
      <c r="S8223" s="5">
        <v>4.8</v>
      </c>
      <c r="T8223" s="2"/>
      <c r="U8223" s="5">
        <v>7.6</v>
      </c>
      <c r="V8223" s="7">
        <v>0.76500000000000001</v>
      </c>
      <c r="W8223" s="5">
        <v>20.7</v>
      </c>
      <c r="X8223" s="6">
        <v>20.12</v>
      </c>
      <c r="Y8223" s="6">
        <v>20.149999999999999</v>
      </c>
      <c r="Z8223" s="5">
        <v>24.2</v>
      </c>
      <c r="AA8223" s="6">
        <v>6.07</v>
      </c>
      <c r="AB8223" s="7">
        <v>24.038</v>
      </c>
      <c r="AC8223" s="2"/>
    </row>
    <row r="8224" spans="1:29" ht="65" x14ac:dyDescent="0.15">
      <c r="A8224" s="3">
        <f>DATE(2006,9,14)</f>
        <v>38974</v>
      </c>
      <c r="B8224" s="2"/>
      <c r="C8224" s="2" t="s">
        <v>87</v>
      </c>
      <c r="D8224" s="2" t="s">
        <v>24547</v>
      </c>
      <c r="E8224" s="2" t="s">
        <v>24548</v>
      </c>
      <c r="F8224" s="4">
        <v>7372</v>
      </c>
      <c r="G8224" s="2" t="s">
        <v>551</v>
      </c>
      <c r="H8224" s="2" t="s">
        <v>34</v>
      </c>
      <c r="I8224" s="2" t="s">
        <v>24549</v>
      </c>
      <c r="J8224" s="2" t="s">
        <v>24550</v>
      </c>
      <c r="K8224" s="2" t="s">
        <v>551</v>
      </c>
      <c r="L8224" s="2" t="s">
        <v>4242</v>
      </c>
      <c r="M8224" s="7">
        <v>638.19899999999996</v>
      </c>
      <c r="N8224" s="7">
        <v>25.786999999999999</v>
      </c>
      <c r="O8224" s="7">
        <v>25.803999999999998</v>
      </c>
      <c r="P8224" s="2" t="s">
        <v>24551</v>
      </c>
      <c r="Q8224" s="2"/>
      <c r="R8224" s="2"/>
      <c r="S8224" s="5">
        <v>10.9</v>
      </c>
      <c r="T8224" s="7">
        <v>18.132999999999999</v>
      </c>
      <c r="U8224" s="5">
        <v>6.8</v>
      </c>
      <c r="V8224" s="6">
        <v>0.36</v>
      </c>
      <c r="W8224" s="6">
        <v>16.57</v>
      </c>
      <c r="X8224" s="6">
        <v>17.309999999999999</v>
      </c>
      <c r="Y8224" s="6">
        <v>18.02</v>
      </c>
      <c r="Z8224" s="6">
        <v>17.989999999999998</v>
      </c>
      <c r="AA8224" s="6">
        <v>33.5</v>
      </c>
      <c r="AB8224" s="2" t="s">
        <v>47</v>
      </c>
      <c r="AC8224" s="6">
        <v>301.86</v>
      </c>
    </row>
    <row r="8225" spans="1:29" ht="91" x14ac:dyDescent="0.15">
      <c r="A8225" s="3">
        <f>DATE(2006,9,15)</f>
        <v>38975</v>
      </c>
      <c r="B8225" s="2"/>
      <c r="C8225" s="2" t="s">
        <v>87</v>
      </c>
      <c r="D8225" s="2" t="s">
        <v>629</v>
      </c>
      <c r="E8225" s="2" t="s">
        <v>630</v>
      </c>
      <c r="F8225" s="4">
        <v>2834</v>
      </c>
      <c r="G8225" s="2" t="s">
        <v>130</v>
      </c>
      <c r="H8225" s="2" t="s">
        <v>34</v>
      </c>
      <c r="I8225" s="2" t="s">
        <v>24552</v>
      </c>
      <c r="J8225" s="2" t="s">
        <v>2066</v>
      </c>
      <c r="K8225" s="2" t="s">
        <v>130</v>
      </c>
      <c r="L8225" s="2" t="s">
        <v>34</v>
      </c>
      <c r="M8225" s="12">
        <v>29715.348000000002</v>
      </c>
      <c r="N8225" s="6">
        <v>21.33</v>
      </c>
      <c r="O8225" s="6">
        <v>21.43</v>
      </c>
      <c r="P8225" s="2" t="s">
        <v>24553</v>
      </c>
      <c r="Q8225" s="2"/>
      <c r="R8225" s="2"/>
      <c r="S8225" s="8">
        <v>2834</v>
      </c>
      <c r="T8225" s="8">
        <v>4959</v>
      </c>
      <c r="U8225" s="5">
        <v>6</v>
      </c>
      <c r="V8225" s="6">
        <v>1.44</v>
      </c>
      <c r="W8225" s="6">
        <v>23.18</v>
      </c>
      <c r="X8225" s="6">
        <v>24.68</v>
      </c>
      <c r="Y8225" s="6">
        <v>24.92</v>
      </c>
      <c r="Z8225" s="6">
        <v>24.88</v>
      </c>
      <c r="AA8225" s="10">
        <v>1966.54</v>
      </c>
      <c r="AB8225" s="2" t="s">
        <v>47</v>
      </c>
      <c r="AC8225" s="8">
        <v>5181</v>
      </c>
    </row>
    <row r="8226" spans="1:29" ht="130" x14ac:dyDescent="0.15">
      <c r="A8226" s="3">
        <f>DATE(2006,9,15)</f>
        <v>38975</v>
      </c>
      <c r="B8226" s="3">
        <f>DATE(2007,2,1)</f>
        <v>39114</v>
      </c>
      <c r="C8226" s="2" t="s">
        <v>95</v>
      </c>
      <c r="D8226" s="2" t="s">
        <v>24554</v>
      </c>
      <c r="E8226" s="2" t="s">
        <v>1181</v>
      </c>
      <c r="F8226" s="4">
        <v>6021</v>
      </c>
      <c r="G8226" s="2" t="s">
        <v>37</v>
      </c>
      <c r="H8226" s="2" t="s">
        <v>34</v>
      </c>
      <c r="I8226" s="2" t="s">
        <v>24555</v>
      </c>
      <c r="J8226" s="2" t="s">
        <v>36</v>
      </c>
      <c r="K8226" s="2" t="s">
        <v>37</v>
      </c>
      <c r="L8226" s="2" t="s">
        <v>34</v>
      </c>
      <c r="M8226" s="7">
        <v>109.03400000000001</v>
      </c>
      <c r="N8226" s="6">
        <v>33.75</v>
      </c>
      <c r="O8226" s="6">
        <v>33.75</v>
      </c>
      <c r="P8226" s="2" t="s">
        <v>24556</v>
      </c>
      <c r="Q8226" s="6">
        <v>100</v>
      </c>
      <c r="R8226" s="2"/>
      <c r="S8226" s="5">
        <v>1</v>
      </c>
      <c r="T8226" s="6">
        <v>1.56</v>
      </c>
      <c r="U8226" s="5">
        <v>10.6</v>
      </c>
      <c r="V8226" s="6">
        <v>1.33</v>
      </c>
      <c r="W8226" s="4">
        <v>20</v>
      </c>
      <c r="X8226" s="4">
        <v>20</v>
      </c>
      <c r="Y8226" s="4">
        <v>20</v>
      </c>
      <c r="Z8226" s="6">
        <v>21.75</v>
      </c>
      <c r="AA8226" s="2"/>
      <c r="AB8226" s="7">
        <v>7.5609999999999999</v>
      </c>
      <c r="AC8226" s="2"/>
    </row>
    <row r="8227" spans="1:29" ht="143" x14ac:dyDescent="0.15">
      <c r="A8227" s="3">
        <f>DATE(2006,9,15)</f>
        <v>38975</v>
      </c>
      <c r="B8227" s="3">
        <f>DATE(2006,12,1)</f>
        <v>39052</v>
      </c>
      <c r="C8227" s="2" t="s">
        <v>95</v>
      </c>
      <c r="D8227" s="2" t="s">
        <v>24557</v>
      </c>
      <c r="E8227" s="2" t="s">
        <v>2728</v>
      </c>
      <c r="F8227" s="4">
        <v>3674</v>
      </c>
      <c r="G8227" s="2" t="s">
        <v>137</v>
      </c>
      <c r="H8227" s="2" t="s">
        <v>34</v>
      </c>
      <c r="I8227" s="2" t="s">
        <v>24558</v>
      </c>
      <c r="J8227" s="2" t="s">
        <v>11337</v>
      </c>
      <c r="K8227" s="2" t="s">
        <v>53</v>
      </c>
      <c r="L8227" s="2" t="s">
        <v>34</v>
      </c>
      <c r="M8227" s="2"/>
      <c r="N8227" s="2"/>
      <c r="O8227" s="2"/>
      <c r="P8227" s="2" t="s">
        <v>24559</v>
      </c>
      <c r="Q8227" s="6">
        <v>100</v>
      </c>
      <c r="R8227" s="6">
        <v>40</v>
      </c>
      <c r="S8227" s="5">
        <v>821</v>
      </c>
      <c r="T8227" s="8">
        <v>1460</v>
      </c>
      <c r="U8227" s="5">
        <v>12</v>
      </c>
      <c r="V8227" s="6">
        <v>1.93</v>
      </c>
      <c r="W8227" s="6">
        <v>30.69</v>
      </c>
      <c r="X8227" s="6">
        <v>30.75</v>
      </c>
      <c r="Y8227" s="6">
        <v>37.06</v>
      </c>
      <c r="Z8227" s="6">
        <v>37.39</v>
      </c>
      <c r="AA8227" s="6">
        <v>425.7</v>
      </c>
      <c r="AB8227" s="7">
        <v>20.451000000000001</v>
      </c>
      <c r="AC8227" s="2"/>
    </row>
    <row r="8228" spans="1:29" ht="130" x14ac:dyDescent="0.15">
      <c r="A8228" s="3">
        <f>DATE(2006,9,17)</f>
        <v>38977</v>
      </c>
      <c r="B8228" s="3">
        <f>DATE(2007,3,8)</f>
        <v>39149</v>
      </c>
      <c r="C8228" s="2" t="s">
        <v>95</v>
      </c>
      <c r="D8228" s="2" t="s">
        <v>24560</v>
      </c>
      <c r="E8228" s="2" t="s">
        <v>973</v>
      </c>
      <c r="F8228" s="4">
        <v>4813</v>
      </c>
      <c r="G8228" s="2" t="s">
        <v>63</v>
      </c>
      <c r="H8228" s="2" t="s">
        <v>34</v>
      </c>
      <c r="I8228" s="2" t="s">
        <v>24561</v>
      </c>
      <c r="J8228" s="2" t="s">
        <v>1604</v>
      </c>
      <c r="K8228" s="2" t="s">
        <v>63</v>
      </c>
      <c r="L8228" s="2" t="s">
        <v>34</v>
      </c>
      <c r="M8228" s="12">
        <v>4334.4589999999998</v>
      </c>
      <c r="N8228" s="6">
        <v>13.66</v>
      </c>
      <c r="O8228" s="6">
        <v>13.66</v>
      </c>
      <c r="P8228" s="2" t="s">
        <v>24562</v>
      </c>
      <c r="Q8228" s="6">
        <v>100</v>
      </c>
      <c r="R8228" s="6">
        <v>41.72</v>
      </c>
      <c r="S8228" s="5">
        <v>85.6</v>
      </c>
      <c r="T8228" s="7">
        <v>163.47399999999999</v>
      </c>
      <c r="U8228" s="5">
        <v>2.7</v>
      </c>
      <c r="V8228" s="6">
        <v>3.18</v>
      </c>
      <c r="W8228" s="5">
        <v>35.6</v>
      </c>
      <c r="X8228" s="6">
        <v>38.520000000000003</v>
      </c>
      <c r="Y8228" s="6">
        <v>40.869999999999997</v>
      </c>
      <c r="Z8228" s="6">
        <v>40.869999999999997</v>
      </c>
      <c r="AA8228" s="6">
        <v>21.05</v>
      </c>
      <c r="AB8228" s="7">
        <v>9.5869999999999997</v>
      </c>
      <c r="AC8228" s="6">
        <v>141.32</v>
      </c>
    </row>
    <row r="8229" spans="1:29" ht="182" x14ac:dyDescent="0.15">
      <c r="A8229" s="3">
        <f>DATE(2006,9,17)</f>
        <v>38977</v>
      </c>
      <c r="B8229" s="3">
        <f>DATE(2007,3,1)</f>
        <v>39142</v>
      </c>
      <c r="C8229" s="2" t="s">
        <v>95</v>
      </c>
      <c r="D8229" s="2" t="s">
        <v>24563</v>
      </c>
      <c r="E8229" s="2" t="s">
        <v>36</v>
      </c>
      <c r="F8229" s="4">
        <v>6712</v>
      </c>
      <c r="G8229" s="2" t="s">
        <v>37</v>
      </c>
      <c r="H8229" s="2" t="s">
        <v>34</v>
      </c>
      <c r="I8229" s="2" t="s">
        <v>11988</v>
      </c>
      <c r="J8229" s="2" t="s">
        <v>36</v>
      </c>
      <c r="K8229" s="2" t="s">
        <v>33</v>
      </c>
      <c r="L8229" s="2" t="s">
        <v>34</v>
      </c>
      <c r="M8229" s="12">
        <v>1230.7339999999999</v>
      </c>
      <c r="N8229" s="6">
        <v>32.17</v>
      </c>
      <c r="O8229" s="6">
        <v>32.17</v>
      </c>
      <c r="P8229" s="2" t="s">
        <v>24564</v>
      </c>
      <c r="Q8229" s="6">
        <v>100</v>
      </c>
      <c r="R8229" s="6">
        <v>29.31</v>
      </c>
      <c r="S8229" s="5">
        <v>18.2</v>
      </c>
      <c r="T8229" s="7">
        <v>31.744</v>
      </c>
      <c r="U8229" s="5">
        <v>10.7</v>
      </c>
      <c r="V8229" s="7">
        <v>1.601</v>
      </c>
      <c r="W8229" s="6">
        <v>23.91</v>
      </c>
      <c r="X8229" s="6">
        <v>23.98</v>
      </c>
      <c r="Y8229" s="6">
        <v>27.95</v>
      </c>
      <c r="Z8229" s="6">
        <v>27.95</v>
      </c>
      <c r="AA8229" s="6">
        <v>10.94</v>
      </c>
      <c r="AB8229" s="7">
        <v>20.416</v>
      </c>
      <c r="AC8229" s="2"/>
    </row>
    <row r="8230" spans="1:29" ht="52" x14ac:dyDescent="0.15">
      <c r="A8230" s="3">
        <f>DATE(2006,9,18)</f>
        <v>38978</v>
      </c>
      <c r="B8230" s="2"/>
      <c r="C8230" s="2" t="s">
        <v>87</v>
      </c>
      <c r="D8230" s="2" t="s">
        <v>24565</v>
      </c>
      <c r="E8230" s="2" t="s">
        <v>24566</v>
      </c>
      <c r="F8230" s="4">
        <v>3711</v>
      </c>
      <c r="G8230" s="2" t="s">
        <v>105</v>
      </c>
      <c r="H8230" s="2" t="s">
        <v>34</v>
      </c>
      <c r="I8230" s="2" t="s">
        <v>1598</v>
      </c>
      <c r="J8230" s="2" t="s">
        <v>1599</v>
      </c>
      <c r="K8230" s="2" t="s">
        <v>105</v>
      </c>
      <c r="L8230" s="2" t="s">
        <v>34</v>
      </c>
      <c r="M8230" s="12">
        <v>13521.883</v>
      </c>
      <c r="N8230" s="6">
        <v>7.82</v>
      </c>
      <c r="O8230" s="6">
        <v>7.66</v>
      </c>
      <c r="P8230" s="2" t="s">
        <v>24567</v>
      </c>
      <c r="Q8230" s="2"/>
      <c r="R8230" s="2"/>
      <c r="S8230" s="5">
        <v>-12002</v>
      </c>
      <c r="T8230" s="8">
        <v>14418</v>
      </c>
      <c r="U8230" s="5">
        <v>20.6</v>
      </c>
      <c r="V8230" s="6">
        <v>-21.23</v>
      </c>
      <c r="W8230" s="6">
        <v>31.84</v>
      </c>
      <c r="X8230" s="6">
        <v>31.66</v>
      </c>
      <c r="Y8230" s="6">
        <v>31.48</v>
      </c>
      <c r="Z8230" s="5">
        <v>31.4</v>
      </c>
      <c r="AA8230" s="6">
        <v>565.61</v>
      </c>
      <c r="AB8230" s="2" t="s">
        <v>86</v>
      </c>
      <c r="AC8230" s="8">
        <v>40618</v>
      </c>
    </row>
    <row r="8231" spans="1:29" ht="156" x14ac:dyDescent="0.15">
      <c r="A8231" s="3">
        <f>DATE(2006,9,18)</f>
        <v>38978</v>
      </c>
      <c r="B8231" s="3">
        <f>DATE(2007,5,7)</f>
        <v>39209</v>
      </c>
      <c r="C8231" s="2" t="s">
        <v>95</v>
      </c>
      <c r="D8231" s="2" t="s">
        <v>24568</v>
      </c>
      <c r="E8231" s="2" t="s">
        <v>24569</v>
      </c>
      <c r="F8231" s="4">
        <v>2011</v>
      </c>
      <c r="G8231" s="2" t="s">
        <v>577</v>
      </c>
      <c r="H8231" s="2" t="s">
        <v>34</v>
      </c>
      <c r="I8231" s="2" t="s">
        <v>18065</v>
      </c>
      <c r="J8231" s="2" t="s">
        <v>18066</v>
      </c>
      <c r="K8231" s="2" t="s">
        <v>577</v>
      </c>
      <c r="L8231" s="2" t="s">
        <v>34</v>
      </c>
      <c r="M8231" s="12">
        <v>3144.386</v>
      </c>
      <c r="N8231" s="6">
        <v>28.22</v>
      </c>
      <c r="O8231" s="6">
        <v>27.93</v>
      </c>
      <c r="P8231" s="2" t="s">
        <v>24570</v>
      </c>
      <c r="Q8231" s="6">
        <v>100</v>
      </c>
      <c r="R8231" s="6">
        <v>21.08</v>
      </c>
      <c r="S8231" s="5">
        <v>45.3</v>
      </c>
      <c r="T8231" s="7">
        <v>131.85900000000001</v>
      </c>
      <c r="U8231" s="5">
        <v>14.7</v>
      </c>
      <c r="V8231" s="6">
        <v>1.45</v>
      </c>
      <c r="W8231" s="5">
        <v>16.100000000000001</v>
      </c>
      <c r="X8231" s="6">
        <v>17.73</v>
      </c>
      <c r="Y8231" s="6">
        <v>19.989999999999998</v>
      </c>
      <c r="Z8231" s="6">
        <v>19.850000000000001</v>
      </c>
      <c r="AA8231" s="6">
        <v>31.96</v>
      </c>
      <c r="AB8231" s="7">
        <v>11.241</v>
      </c>
      <c r="AC8231" s="5">
        <v>89.5</v>
      </c>
    </row>
    <row r="8232" spans="1:29" ht="195" x14ac:dyDescent="0.15">
      <c r="A8232" s="3">
        <f>DATE(2006,9,18)</f>
        <v>38978</v>
      </c>
      <c r="B8232" s="3">
        <f>DATE(2006,12,29)</f>
        <v>39080</v>
      </c>
      <c r="C8232" s="2" t="s">
        <v>95</v>
      </c>
      <c r="D8232" s="2" t="s">
        <v>24571</v>
      </c>
      <c r="E8232" s="2" t="s">
        <v>159</v>
      </c>
      <c r="F8232" s="4">
        <v>6021</v>
      </c>
      <c r="G8232" s="2" t="s">
        <v>37</v>
      </c>
      <c r="H8232" s="2" t="s">
        <v>34</v>
      </c>
      <c r="I8232" s="2" t="s">
        <v>24572</v>
      </c>
      <c r="J8232" s="2" t="s">
        <v>159</v>
      </c>
      <c r="K8232" s="2" t="s">
        <v>37</v>
      </c>
      <c r="L8232" s="2" t="s">
        <v>34</v>
      </c>
      <c r="M8232" s="12">
        <v>1627.442</v>
      </c>
      <c r="N8232" s="6">
        <v>18.05</v>
      </c>
      <c r="O8232" s="6">
        <v>17.510000000000002</v>
      </c>
      <c r="P8232" s="2" t="s">
        <v>24573</v>
      </c>
      <c r="Q8232" s="6">
        <v>100</v>
      </c>
      <c r="R8232" s="6">
        <v>24.73</v>
      </c>
      <c r="S8232" s="5">
        <v>6.5</v>
      </c>
      <c r="T8232" s="7">
        <v>10.454000000000001</v>
      </c>
      <c r="U8232" s="5">
        <v>8.1</v>
      </c>
      <c r="V8232" s="6">
        <v>1.08</v>
      </c>
      <c r="W8232" s="6">
        <v>15.63</v>
      </c>
      <c r="X8232" s="6">
        <v>15.76</v>
      </c>
      <c r="Y8232" s="5">
        <v>16.100000000000001</v>
      </c>
      <c r="Z8232" s="6">
        <v>22.38</v>
      </c>
      <c r="AA8232" s="6">
        <v>7.13</v>
      </c>
      <c r="AB8232" s="7">
        <v>20.934000000000001</v>
      </c>
      <c r="AC8232" s="2"/>
    </row>
    <row r="8233" spans="1:29" ht="104" x14ac:dyDescent="0.15">
      <c r="A8233" s="3">
        <f>DATE(2006,9,18)</f>
        <v>38978</v>
      </c>
      <c r="B8233" s="3">
        <f>DATE(2007,1,9)</f>
        <v>39091</v>
      </c>
      <c r="C8233" s="2" t="s">
        <v>95</v>
      </c>
      <c r="D8233" s="2" t="s">
        <v>11972</v>
      </c>
      <c r="E8233" s="2" t="s">
        <v>11973</v>
      </c>
      <c r="F8233" s="4">
        <v>3577</v>
      </c>
      <c r="G8233" s="2" t="s">
        <v>50</v>
      </c>
      <c r="H8233" s="2" t="s">
        <v>34</v>
      </c>
      <c r="I8233" s="2" t="s">
        <v>15145</v>
      </c>
      <c r="J8233" s="2" t="s">
        <v>15146</v>
      </c>
      <c r="K8233" s="2" t="s">
        <v>921</v>
      </c>
      <c r="L8233" s="2" t="s">
        <v>34</v>
      </c>
      <c r="M8233" s="12">
        <v>57894.375999999997</v>
      </c>
      <c r="N8233" s="6">
        <v>24.95</v>
      </c>
      <c r="O8233" s="6">
        <v>24.93</v>
      </c>
      <c r="P8233" s="2" t="s">
        <v>24574</v>
      </c>
      <c r="Q8233" s="6">
        <v>100</v>
      </c>
      <c r="R8233" s="6">
        <v>15</v>
      </c>
      <c r="S8233" s="5">
        <v>97.2</v>
      </c>
      <c r="T8233" s="7">
        <v>243.94499999999999</v>
      </c>
      <c r="U8233" s="5">
        <v>5.0999999999999996</v>
      </c>
      <c r="V8233" s="6">
        <v>0.39</v>
      </c>
      <c r="W8233" s="6">
        <v>11.87</v>
      </c>
      <c r="X8233" s="6">
        <v>12.71</v>
      </c>
      <c r="Y8233" s="6">
        <v>14.67</v>
      </c>
      <c r="Z8233" s="6">
        <v>14.67</v>
      </c>
      <c r="AA8233" s="6">
        <v>253.94</v>
      </c>
      <c r="AB8233" s="7">
        <v>21.251000000000001</v>
      </c>
      <c r="AC8233" s="8">
        <v>14390</v>
      </c>
    </row>
    <row r="8234" spans="1:29" ht="91" x14ac:dyDescent="0.15">
      <c r="A8234" s="3">
        <f>DATE(2006,9,20)</f>
        <v>38980</v>
      </c>
      <c r="B8234" s="3">
        <f>DATE(2007,2,15)</f>
        <v>39128</v>
      </c>
      <c r="C8234" s="2" t="s">
        <v>95</v>
      </c>
      <c r="D8234" s="2" t="s">
        <v>24575</v>
      </c>
      <c r="E8234" s="2" t="s">
        <v>1181</v>
      </c>
      <c r="F8234" s="4">
        <v>6021</v>
      </c>
      <c r="G8234" s="2" t="s">
        <v>37</v>
      </c>
      <c r="H8234" s="2" t="s">
        <v>34</v>
      </c>
      <c r="I8234" s="2" t="s">
        <v>24576</v>
      </c>
      <c r="J8234" s="2" t="s">
        <v>1304</v>
      </c>
      <c r="K8234" s="2" t="s">
        <v>37</v>
      </c>
      <c r="L8234" s="2" t="s">
        <v>34</v>
      </c>
      <c r="M8234" s="2"/>
      <c r="N8234" s="2"/>
      <c r="O8234" s="2"/>
      <c r="P8234" s="2" t="s">
        <v>24577</v>
      </c>
      <c r="Q8234" s="6">
        <v>100</v>
      </c>
      <c r="R8234" s="6">
        <v>30</v>
      </c>
      <c r="S8234" s="5">
        <v>20</v>
      </c>
      <c r="T8234" s="2"/>
      <c r="U8234" s="5">
        <v>14.9</v>
      </c>
      <c r="V8234" s="7">
        <v>2.2349999999999999</v>
      </c>
      <c r="W8234" s="6">
        <v>27.78</v>
      </c>
      <c r="X8234" s="6">
        <v>26.86</v>
      </c>
      <c r="Y8234" s="6">
        <v>29.14</v>
      </c>
      <c r="Z8234" s="6">
        <v>29.25</v>
      </c>
      <c r="AA8234" s="6">
        <v>8.76</v>
      </c>
      <c r="AB8234" s="7">
        <v>13.85</v>
      </c>
      <c r="AC8234" s="2"/>
    </row>
    <row r="8235" spans="1:29" ht="104" x14ac:dyDescent="0.15">
      <c r="A8235" s="3">
        <f>DATE(2006,9,20)</f>
        <v>38980</v>
      </c>
      <c r="B8235" s="3">
        <f>DATE(2007,1,24)</f>
        <v>39106</v>
      </c>
      <c r="C8235" s="2" t="s">
        <v>95</v>
      </c>
      <c r="D8235" s="2" t="s">
        <v>24578</v>
      </c>
      <c r="E8235" s="2" t="s">
        <v>92</v>
      </c>
      <c r="F8235" s="4">
        <v>6798</v>
      </c>
      <c r="G8235" s="2" t="s">
        <v>53</v>
      </c>
      <c r="H8235" s="2" t="s">
        <v>34</v>
      </c>
      <c r="I8235" s="2" t="s">
        <v>24579</v>
      </c>
      <c r="J8235" s="2" t="s">
        <v>11951</v>
      </c>
      <c r="K8235" s="2" t="s">
        <v>223</v>
      </c>
      <c r="L8235" s="2" t="s">
        <v>34</v>
      </c>
      <c r="M8235" s="7">
        <v>571.54600000000005</v>
      </c>
      <c r="N8235" s="6">
        <v>45.05</v>
      </c>
      <c r="O8235" s="6">
        <v>43.02</v>
      </c>
      <c r="P8235" s="2" t="s">
        <v>24580</v>
      </c>
      <c r="Q8235" s="6">
        <v>100</v>
      </c>
      <c r="R8235" s="6">
        <v>32</v>
      </c>
      <c r="S8235" s="5">
        <v>16.899999999999999</v>
      </c>
      <c r="T8235" s="7">
        <v>23.661000000000001</v>
      </c>
      <c r="U8235" s="5">
        <v>19.399999999999999</v>
      </c>
      <c r="V8235" s="6">
        <v>1.61</v>
      </c>
      <c r="W8235" s="5">
        <v>28.2</v>
      </c>
      <c r="X8235" s="6">
        <v>28.38</v>
      </c>
      <c r="Y8235" s="5">
        <v>31.7</v>
      </c>
      <c r="Z8235" s="6">
        <v>31.86</v>
      </c>
      <c r="AA8235" s="6">
        <v>11</v>
      </c>
      <c r="AB8235" s="7">
        <v>19.597999999999999</v>
      </c>
      <c r="AC8235" s="6">
        <v>112.02</v>
      </c>
    </row>
    <row r="8236" spans="1:29" ht="156" x14ac:dyDescent="0.15">
      <c r="A8236" s="3">
        <f>DATE(2006,9,20)</f>
        <v>38980</v>
      </c>
      <c r="B8236" s="3">
        <f>DATE(2007,8,1)</f>
        <v>39295</v>
      </c>
      <c r="C8236" s="2" t="s">
        <v>95</v>
      </c>
      <c r="D8236" s="2" t="s">
        <v>22475</v>
      </c>
      <c r="E8236" s="2" t="s">
        <v>159</v>
      </c>
      <c r="F8236" s="4">
        <v>6712</v>
      </c>
      <c r="G8236" s="2" t="s">
        <v>37</v>
      </c>
      <c r="H8236" s="2" t="s">
        <v>34</v>
      </c>
      <c r="I8236" s="2" t="s">
        <v>14782</v>
      </c>
      <c r="J8236" s="2" t="s">
        <v>159</v>
      </c>
      <c r="K8236" s="2" t="s">
        <v>37</v>
      </c>
      <c r="L8236" s="2" t="s">
        <v>34</v>
      </c>
      <c r="M8236" s="7">
        <v>453.12799999999999</v>
      </c>
      <c r="N8236" s="6">
        <v>22.27</v>
      </c>
      <c r="O8236" s="6">
        <v>22.39</v>
      </c>
      <c r="P8236" s="2" t="s">
        <v>24581</v>
      </c>
      <c r="Q8236" s="6">
        <v>100</v>
      </c>
      <c r="R8236" s="6">
        <v>33.93</v>
      </c>
      <c r="S8236" s="5">
        <v>19.100000000000001</v>
      </c>
      <c r="T8236" s="7">
        <v>32.180999999999997</v>
      </c>
      <c r="U8236" s="5">
        <v>14.5</v>
      </c>
      <c r="V8236" s="6">
        <v>1.86</v>
      </c>
      <c r="W8236" s="5">
        <v>30.1</v>
      </c>
      <c r="X8236" s="4">
        <v>30</v>
      </c>
      <c r="Y8236" s="4">
        <v>30</v>
      </c>
      <c r="Z8236" s="6">
        <v>33.75</v>
      </c>
      <c r="AA8236" s="6">
        <v>10.11</v>
      </c>
      <c r="AB8236" s="7">
        <v>18.140999999999998</v>
      </c>
      <c r="AC8236" s="2"/>
    </row>
    <row r="8237" spans="1:29" ht="143" x14ac:dyDescent="0.15">
      <c r="A8237" s="3">
        <f>DATE(2006,9,20)</f>
        <v>38980</v>
      </c>
      <c r="B8237" s="3">
        <f>DATE(2007,3,7)</f>
        <v>39148</v>
      </c>
      <c r="C8237" s="2" t="s">
        <v>95</v>
      </c>
      <c r="D8237" s="2" t="s">
        <v>24582</v>
      </c>
      <c r="E8237" s="2" t="s">
        <v>24583</v>
      </c>
      <c r="F8237" s="4">
        <v>7372</v>
      </c>
      <c r="G8237" s="2" t="s">
        <v>551</v>
      </c>
      <c r="H8237" s="2" t="s">
        <v>34</v>
      </c>
      <c r="I8237" s="2" t="s">
        <v>51</v>
      </c>
      <c r="J8237" s="2" t="s">
        <v>52</v>
      </c>
      <c r="K8237" s="2" t="s">
        <v>53</v>
      </c>
      <c r="L8237" s="2" t="s">
        <v>34</v>
      </c>
      <c r="M8237" s="2"/>
      <c r="N8237" s="2"/>
      <c r="O8237" s="2"/>
      <c r="P8237" s="2" t="s">
        <v>24584</v>
      </c>
      <c r="Q8237" s="6">
        <v>71.8</v>
      </c>
      <c r="R8237" s="6">
        <v>2.75</v>
      </c>
      <c r="S8237" s="5">
        <v>-11.6</v>
      </c>
      <c r="T8237" s="2"/>
      <c r="U8237" s="5">
        <v>1.1000000000000001</v>
      </c>
      <c r="V8237" s="6">
        <v>-0.34</v>
      </c>
      <c r="W8237" s="6">
        <v>2.56</v>
      </c>
      <c r="X8237" s="6">
        <v>2.78</v>
      </c>
      <c r="Y8237" s="6">
        <v>2.81</v>
      </c>
      <c r="Z8237" s="6">
        <v>2.68</v>
      </c>
      <c r="AA8237" s="6">
        <v>34.32</v>
      </c>
      <c r="AB8237" s="2" t="s">
        <v>86</v>
      </c>
      <c r="AC8237" s="2"/>
    </row>
    <row r="8238" spans="1:29" ht="156" x14ac:dyDescent="0.15">
      <c r="A8238" s="3">
        <f>DATE(2006,9,22)</f>
        <v>38982</v>
      </c>
      <c r="B8238" s="3">
        <f>DATE(2006,12,15)</f>
        <v>39066</v>
      </c>
      <c r="C8238" s="2" t="s">
        <v>95</v>
      </c>
      <c r="D8238" s="2" t="s">
        <v>24585</v>
      </c>
      <c r="E8238" s="2" t="s">
        <v>6519</v>
      </c>
      <c r="F8238" s="4">
        <v>4813</v>
      </c>
      <c r="G8238" s="2" t="s">
        <v>63</v>
      </c>
      <c r="H8238" s="2" t="s">
        <v>34</v>
      </c>
      <c r="I8238" s="2" t="s">
        <v>24586</v>
      </c>
      <c r="J8238" s="2" t="s">
        <v>973</v>
      </c>
      <c r="K8238" s="2" t="s">
        <v>63</v>
      </c>
      <c r="L8238" s="2" t="s">
        <v>34</v>
      </c>
      <c r="M8238" s="2"/>
      <c r="N8238" s="2"/>
      <c r="O8238" s="2"/>
      <c r="P8238" s="2" t="s">
        <v>24587</v>
      </c>
      <c r="Q8238" s="6">
        <v>100</v>
      </c>
      <c r="R8238" s="6">
        <v>8.1</v>
      </c>
      <c r="S8238" s="5">
        <v>8.4</v>
      </c>
      <c r="T8238" s="7">
        <v>62.802</v>
      </c>
      <c r="U8238" s="5">
        <v>6.5</v>
      </c>
      <c r="V8238" s="6">
        <v>0.26</v>
      </c>
      <c r="W8238" s="5">
        <v>6.5</v>
      </c>
      <c r="X8238" s="6">
        <v>6.57</v>
      </c>
      <c r="Y8238" s="5">
        <v>8.1999999999999993</v>
      </c>
      <c r="Z8238" s="5">
        <v>8.1</v>
      </c>
      <c r="AA8238" s="6">
        <v>30.48</v>
      </c>
      <c r="AB8238" s="7">
        <v>14.364000000000001</v>
      </c>
      <c r="AC8238" s="2"/>
    </row>
    <row r="8239" spans="1:29" ht="156" x14ac:dyDescent="0.15">
      <c r="A8239" s="3">
        <f>DATE(2006,9,22)</f>
        <v>38982</v>
      </c>
      <c r="B8239" s="3">
        <f>DATE(2006,12,12)</f>
        <v>39063</v>
      </c>
      <c r="C8239" s="2" t="s">
        <v>95</v>
      </c>
      <c r="D8239" s="2" t="s">
        <v>24588</v>
      </c>
      <c r="E8239" s="2" t="s">
        <v>24589</v>
      </c>
      <c r="F8239" s="4">
        <v>1389</v>
      </c>
      <c r="G8239" s="2" t="s">
        <v>148</v>
      </c>
      <c r="H8239" s="2" t="s">
        <v>34</v>
      </c>
      <c r="I8239" s="2" t="s">
        <v>13127</v>
      </c>
      <c r="J8239" s="2" t="s">
        <v>24590</v>
      </c>
      <c r="K8239" s="2" t="s">
        <v>148</v>
      </c>
      <c r="L8239" s="2" t="s">
        <v>34</v>
      </c>
      <c r="M8239" s="12">
        <v>2594.8679999999999</v>
      </c>
      <c r="N8239" s="6">
        <v>26.18</v>
      </c>
      <c r="O8239" s="6">
        <v>23.35</v>
      </c>
      <c r="P8239" s="2" t="s">
        <v>24591</v>
      </c>
      <c r="Q8239" s="6">
        <v>100</v>
      </c>
      <c r="R8239" s="6">
        <v>26.54</v>
      </c>
      <c r="S8239" s="5">
        <v>11.1</v>
      </c>
      <c r="T8239" s="7">
        <v>31.481000000000002</v>
      </c>
      <c r="U8239" s="5">
        <v>5.7</v>
      </c>
      <c r="V8239" s="6">
        <v>1.89</v>
      </c>
      <c r="W8239" s="6">
        <v>16.62</v>
      </c>
      <c r="X8239" s="5">
        <v>15.5</v>
      </c>
      <c r="Y8239" s="6">
        <v>14.34</v>
      </c>
      <c r="Z8239" s="6">
        <v>24.22</v>
      </c>
      <c r="AA8239" s="6">
        <v>11.07</v>
      </c>
      <c r="AB8239" s="7">
        <v>20.388000000000002</v>
      </c>
      <c r="AC8239" s="6">
        <v>115.85</v>
      </c>
    </row>
    <row r="8240" spans="1:29" ht="143" x14ac:dyDescent="0.15">
      <c r="A8240" s="3">
        <f>DATE(2006,9,25)</f>
        <v>38985</v>
      </c>
      <c r="B8240" s="3">
        <f>DATE(2007,6,14)</f>
        <v>39247</v>
      </c>
      <c r="C8240" s="2" t="s">
        <v>95</v>
      </c>
      <c r="D8240" s="2" t="s">
        <v>24592</v>
      </c>
      <c r="E8240" s="2" t="s">
        <v>24593</v>
      </c>
      <c r="F8240" s="4">
        <v>8299</v>
      </c>
      <c r="G8240" s="2" t="s">
        <v>415</v>
      </c>
      <c r="H8240" s="2" t="s">
        <v>34</v>
      </c>
      <c r="I8240" s="2" t="s">
        <v>51</v>
      </c>
      <c r="J8240" s="2" t="s">
        <v>52</v>
      </c>
      <c r="K8240" s="2" t="s">
        <v>53</v>
      </c>
      <c r="L8240" s="2" t="s">
        <v>34</v>
      </c>
      <c r="M8240" s="2"/>
      <c r="N8240" s="2"/>
      <c r="O8240" s="2"/>
      <c r="P8240" s="2" t="s">
        <v>24594</v>
      </c>
      <c r="Q8240" s="6">
        <v>100</v>
      </c>
      <c r="R8240" s="6">
        <v>8</v>
      </c>
      <c r="S8240" s="5">
        <v>5.5</v>
      </c>
      <c r="T8240" s="6">
        <v>39.770000000000003</v>
      </c>
      <c r="U8240" s="5">
        <v>5.2</v>
      </c>
      <c r="V8240" s="6">
        <v>0.27</v>
      </c>
      <c r="W8240" s="5">
        <v>6.6</v>
      </c>
      <c r="X8240" s="6">
        <v>7.06</v>
      </c>
      <c r="Y8240" s="6">
        <v>8.1300000000000008</v>
      </c>
      <c r="Z8240" s="6">
        <v>8.09</v>
      </c>
      <c r="AA8240" s="6">
        <v>42.98</v>
      </c>
      <c r="AB8240" s="7">
        <v>16.559999999999999</v>
      </c>
      <c r="AC8240" s="2"/>
    </row>
    <row r="8241" spans="1:29" ht="117" x14ac:dyDescent="0.15">
      <c r="A8241" s="3">
        <f>DATE(2006,9,25)</f>
        <v>38985</v>
      </c>
      <c r="B8241" s="3">
        <f>DATE(2006,11,28)</f>
        <v>39049</v>
      </c>
      <c r="C8241" s="2" t="s">
        <v>95</v>
      </c>
      <c r="D8241" s="2" t="s">
        <v>24595</v>
      </c>
      <c r="E8241" s="2" t="s">
        <v>24596</v>
      </c>
      <c r="F8241" s="4">
        <v>4499</v>
      </c>
      <c r="G8241" s="2" t="s">
        <v>173</v>
      </c>
      <c r="H8241" s="2" t="s">
        <v>34</v>
      </c>
      <c r="I8241" s="2" t="s">
        <v>24597</v>
      </c>
      <c r="J8241" s="2" t="s">
        <v>24598</v>
      </c>
      <c r="K8241" s="2" t="s">
        <v>173</v>
      </c>
      <c r="L8241" s="2" t="s">
        <v>34</v>
      </c>
      <c r="M8241" s="12">
        <v>2707.1869999999999</v>
      </c>
      <c r="N8241" s="6">
        <v>60.11</v>
      </c>
      <c r="O8241" s="6">
        <v>62.34</v>
      </c>
      <c r="P8241" s="2" t="s">
        <v>24599</v>
      </c>
      <c r="Q8241" s="6">
        <v>100</v>
      </c>
      <c r="R8241" s="6">
        <v>37.5</v>
      </c>
      <c r="S8241" s="5">
        <v>18.100000000000001</v>
      </c>
      <c r="T8241" s="7">
        <v>46.871000000000002</v>
      </c>
      <c r="U8241" s="5">
        <v>18.3</v>
      </c>
      <c r="V8241" s="6">
        <v>1.76</v>
      </c>
      <c r="W8241" s="6">
        <v>24.83</v>
      </c>
      <c r="X8241" s="5">
        <v>25.5</v>
      </c>
      <c r="Y8241" s="6">
        <v>36.57</v>
      </c>
      <c r="Z8241" s="5">
        <v>36.6</v>
      </c>
      <c r="AA8241" s="6">
        <v>12.03</v>
      </c>
      <c r="AB8241" s="7">
        <v>18.484000000000002</v>
      </c>
      <c r="AC8241" s="5">
        <v>177.3</v>
      </c>
    </row>
    <row r="8242" spans="1:29" ht="182" x14ac:dyDescent="0.15">
      <c r="A8242" s="3">
        <f>DATE(2006,9,26)</f>
        <v>38986</v>
      </c>
      <c r="B8242" s="3">
        <f>DATE(2006,11,1)</f>
        <v>39022</v>
      </c>
      <c r="C8242" s="2" t="s">
        <v>95</v>
      </c>
      <c r="D8242" s="2" t="s">
        <v>24600</v>
      </c>
      <c r="E8242" s="2" t="s">
        <v>24601</v>
      </c>
      <c r="F8242" s="4">
        <v>3711</v>
      </c>
      <c r="G8242" s="2" t="s">
        <v>105</v>
      </c>
      <c r="H8242" s="2" t="s">
        <v>34</v>
      </c>
      <c r="I8242" s="2" t="s">
        <v>51</v>
      </c>
      <c r="J8242" s="2" t="s">
        <v>52</v>
      </c>
      <c r="K8242" s="2" t="s">
        <v>53</v>
      </c>
      <c r="L8242" s="2" t="s">
        <v>34</v>
      </c>
      <c r="M8242" s="2"/>
      <c r="N8242" s="2"/>
      <c r="O8242" s="2"/>
      <c r="P8242" s="2" t="s">
        <v>24602</v>
      </c>
      <c r="Q8242" s="6">
        <v>100</v>
      </c>
      <c r="R8242" s="6">
        <v>12.5</v>
      </c>
      <c r="S8242" s="5">
        <v>1.8</v>
      </c>
      <c r="T8242" s="7">
        <v>7.8230000000000004</v>
      </c>
      <c r="U8242" s="5">
        <v>3.7</v>
      </c>
      <c r="V8242" s="6">
        <v>0.28999999999999998</v>
      </c>
      <c r="W8242" s="5">
        <v>7.5</v>
      </c>
      <c r="X8242" s="5">
        <v>7.4</v>
      </c>
      <c r="Y8242" s="6">
        <v>7.85</v>
      </c>
      <c r="Z8242" s="4">
        <v>8</v>
      </c>
      <c r="AA8242" s="6">
        <v>6.63</v>
      </c>
      <c r="AB8242" s="7">
        <v>24.033999999999999</v>
      </c>
      <c r="AC8242" s="2"/>
    </row>
    <row r="8243" spans="1:29" ht="39" x14ac:dyDescent="0.15">
      <c r="A8243" s="3">
        <f>DATE(2006,9,27)</f>
        <v>38987</v>
      </c>
      <c r="B8243" s="2"/>
      <c r="C8243" s="2" t="s">
        <v>189</v>
      </c>
      <c r="D8243" s="2" t="s">
        <v>24603</v>
      </c>
      <c r="E8243" s="2" t="s">
        <v>6292</v>
      </c>
      <c r="F8243" s="4">
        <v>2836</v>
      </c>
      <c r="G8243" s="2" t="s">
        <v>130</v>
      </c>
      <c r="H8243" s="2" t="s">
        <v>34</v>
      </c>
      <c r="I8243" s="2" t="s">
        <v>143</v>
      </c>
      <c r="J8243" s="2" t="s">
        <v>144</v>
      </c>
      <c r="K8243" s="2" t="s">
        <v>53</v>
      </c>
      <c r="L8243" s="2" t="s">
        <v>139</v>
      </c>
      <c r="M8243" s="2"/>
      <c r="N8243" s="2"/>
      <c r="O8243" s="2"/>
      <c r="P8243" s="2" t="s">
        <v>24604</v>
      </c>
      <c r="Q8243" s="2"/>
      <c r="R8243" s="2"/>
      <c r="S8243" s="5">
        <v>-124.6</v>
      </c>
      <c r="T8243" s="7">
        <v>-71.281000000000006</v>
      </c>
      <c r="U8243" s="5">
        <v>13</v>
      </c>
      <c r="V8243" s="9">
        <v>-12.4198</v>
      </c>
      <c r="W8243" s="6">
        <v>5.74</v>
      </c>
      <c r="X8243" s="6">
        <v>5.65</v>
      </c>
      <c r="Y8243" s="5">
        <v>5.6</v>
      </c>
      <c r="Z8243" s="6">
        <v>5.98</v>
      </c>
      <c r="AA8243" s="6">
        <v>60.74</v>
      </c>
      <c r="AB8243" s="2" t="s">
        <v>86</v>
      </c>
      <c r="AC8243" s="2"/>
    </row>
    <row r="8244" spans="1:29" ht="130" x14ac:dyDescent="0.15">
      <c r="A8244" s="3">
        <f>DATE(2006,9,28)</f>
        <v>38988</v>
      </c>
      <c r="B8244" s="2"/>
      <c r="C8244" s="2" t="s">
        <v>30</v>
      </c>
      <c r="D8244" s="2" t="s">
        <v>24585</v>
      </c>
      <c r="E8244" s="2" t="s">
        <v>6519</v>
      </c>
      <c r="F8244" s="4">
        <v>4813</v>
      </c>
      <c r="G8244" s="2" t="s">
        <v>63</v>
      </c>
      <c r="H8244" s="2" t="s">
        <v>34</v>
      </c>
      <c r="I8244" s="2" t="s">
        <v>24605</v>
      </c>
      <c r="J8244" s="2" t="s">
        <v>24606</v>
      </c>
      <c r="K8244" s="2" t="s">
        <v>53</v>
      </c>
      <c r="L8244" s="2" t="s">
        <v>34</v>
      </c>
      <c r="M8244" s="2"/>
      <c r="N8244" s="2"/>
      <c r="O8244" s="2"/>
      <c r="P8244" s="2" t="s">
        <v>24607</v>
      </c>
      <c r="Q8244" s="2"/>
      <c r="R8244" s="6">
        <v>9</v>
      </c>
      <c r="S8244" s="5">
        <v>8.4</v>
      </c>
      <c r="T8244" s="7">
        <v>62.802</v>
      </c>
      <c r="U8244" s="5">
        <v>6.5</v>
      </c>
      <c r="V8244" s="6">
        <v>0.26</v>
      </c>
      <c r="W8244" s="6">
        <v>6.57</v>
      </c>
      <c r="X8244" s="6">
        <v>8.32</v>
      </c>
      <c r="Y8244" s="6">
        <v>9.35</v>
      </c>
      <c r="Z8244" s="5">
        <v>9.5</v>
      </c>
      <c r="AA8244" s="6">
        <v>30.48</v>
      </c>
      <c r="AB8244" s="7">
        <v>16.771999999999998</v>
      </c>
      <c r="AC8244" s="2"/>
    </row>
    <row r="8245" spans="1:29" ht="78" x14ac:dyDescent="0.15">
      <c r="A8245" s="3">
        <f>DATE(2006,9,28)</f>
        <v>38988</v>
      </c>
      <c r="B8245" s="2"/>
      <c r="C8245" s="2" t="s">
        <v>30</v>
      </c>
      <c r="D8245" s="2" t="s">
        <v>24608</v>
      </c>
      <c r="E8245" s="2" t="s">
        <v>18168</v>
      </c>
      <c r="F8245" s="4">
        <v>4213</v>
      </c>
      <c r="G8245" s="2" t="s">
        <v>173</v>
      </c>
      <c r="H8245" s="2" t="s">
        <v>34</v>
      </c>
      <c r="I8245" s="2" t="s">
        <v>24609</v>
      </c>
      <c r="J8245" s="2" t="s">
        <v>24610</v>
      </c>
      <c r="K8245" s="2" t="s">
        <v>551</v>
      </c>
      <c r="L8245" s="2" t="s">
        <v>34</v>
      </c>
      <c r="M8245" s="2"/>
      <c r="N8245" s="5">
        <v>0.1</v>
      </c>
      <c r="O8245" s="6">
        <v>0.11</v>
      </c>
      <c r="P8245" s="2" t="s">
        <v>24611</v>
      </c>
      <c r="Q8245" s="2"/>
      <c r="R8245" s="6">
        <v>21</v>
      </c>
      <c r="S8245" s="5">
        <v>16.3</v>
      </c>
      <c r="T8245" s="7">
        <v>77.509</v>
      </c>
      <c r="U8245" s="5">
        <v>13.8</v>
      </c>
      <c r="V8245" s="6">
        <v>1.44</v>
      </c>
      <c r="W8245" s="6">
        <v>17.170000000000002</v>
      </c>
      <c r="X8245" s="6">
        <v>16.95</v>
      </c>
      <c r="Y8245" s="6">
        <v>17.149999999999999</v>
      </c>
      <c r="Z8245" s="6">
        <v>19.05</v>
      </c>
      <c r="AA8245" s="6">
        <v>11.45</v>
      </c>
      <c r="AB8245" s="7">
        <v>10.433</v>
      </c>
      <c r="AC8245" s="6">
        <v>41.82</v>
      </c>
    </row>
    <row r="8246" spans="1:29" ht="195" x14ac:dyDescent="0.15">
      <c r="A8246" s="3">
        <f>DATE(2006,10,2)</f>
        <v>38992</v>
      </c>
      <c r="B8246" s="3">
        <f>DATE(2008,1,28)</f>
        <v>39475</v>
      </c>
      <c r="C8246" s="2" t="s">
        <v>95</v>
      </c>
      <c r="D8246" s="2" t="s">
        <v>11169</v>
      </c>
      <c r="E8246" s="2" t="s">
        <v>11170</v>
      </c>
      <c r="F8246" s="4">
        <v>7011</v>
      </c>
      <c r="G8246" s="2" t="s">
        <v>269</v>
      </c>
      <c r="H8246" s="2" t="s">
        <v>34</v>
      </c>
      <c r="I8246" s="2" t="s">
        <v>51</v>
      </c>
      <c r="J8246" s="2" t="s">
        <v>52</v>
      </c>
      <c r="K8246" s="2" t="s">
        <v>53</v>
      </c>
      <c r="L8246" s="2" t="s">
        <v>34</v>
      </c>
      <c r="M8246" s="2"/>
      <c r="N8246" s="2"/>
      <c r="O8246" s="2"/>
      <c r="P8246" s="2" t="s">
        <v>24612</v>
      </c>
      <c r="Q8246" s="6">
        <v>100</v>
      </c>
      <c r="R8246" s="6">
        <v>90</v>
      </c>
      <c r="S8246" s="5">
        <v>408.7</v>
      </c>
      <c r="T8246" s="8">
        <v>2351.6999999999998</v>
      </c>
      <c r="U8246" s="5">
        <v>32.700000000000003</v>
      </c>
      <c r="V8246" s="7">
        <v>1.972</v>
      </c>
      <c r="W8246" s="6">
        <v>67.510000000000005</v>
      </c>
      <c r="X8246" s="6">
        <v>66.430000000000007</v>
      </c>
      <c r="Y8246" s="6">
        <v>75.680000000000007</v>
      </c>
      <c r="Z8246" s="6">
        <v>74.709999999999994</v>
      </c>
      <c r="AA8246" s="6">
        <v>185.82</v>
      </c>
      <c r="AB8246" s="7">
        <v>16.408999999999999</v>
      </c>
      <c r="AC8246" s="2"/>
    </row>
    <row r="8247" spans="1:29" ht="104" x14ac:dyDescent="0.15">
      <c r="A8247" s="3">
        <f>DATE(2006,10,2)</f>
        <v>38992</v>
      </c>
      <c r="B8247" s="2"/>
      <c r="C8247" s="2" t="s">
        <v>30</v>
      </c>
      <c r="D8247" s="2" t="s">
        <v>7196</v>
      </c>
      <c r="E8247" s="2" t="s">
        <v>1604</v>
      </c>
      <c r="F8247" s="4">
        <v>4812</v>
      </c>
      <c r="G8247" s="2" t="s">
        <v>63</v>
      </c>
      <c r="H8247" s="2" t="s">
        <v>34</v>
      </c>
      <c r="I8247" s="2" t="s">
        <v>51</v>
      </c>
      <c r="J8247" s="2" t="s">
        <v>52</v>
      </c>
      <c r="K8247" s="2" t="s">
        <v>53</v>
      </c>
      <c r="L8247" s="2" t="s">
        <v>24613</v>
      </c>
      <c r="M8247" s="2"/>
      <c r="N8247" s="2"/>
      <c r="O8247" s="2"/>
      <c r="P8247" s="2" t="s">
        <v>24614</v>
      </c>
      <c r="Q8247" s="2"/>
      <c r="R8247" s="2"/>
      <c r="S8247" s="5">
        <v>-24.6</v>
      </c>
      <c r="T8247" s="7">
        <v>8.6080000000000005</v>
      </c>
      <c r="U8247" s="5">
        <v>-3.1</v>
      </c>
      <c r="V8247" s="6">
        <v>-0.46</v>
      </c>
      <c r="W8247" s="5">
        <v>1.6</v>
      </c>
      <c r="X8247" s="6">
        <v>1.77</v>
      </c>
      <c r="Y8247" s="6">
        <v>1.56</v>
      </c>
      <c r="Z8247" s="6">
        <v>1.62</v>
      </c>
      <c r="AA8247" s="6">
        <v>94.04</v>
      </c>
      <c r="AB8247" s="2" t="s">
        <v>86</v>
      </c>
      <c r="AC8247" s="2"/>
    </row>
    <row r="8248" spans="1:29" ht="156" x14ac:dyDescent="0.15">
      <c r="A8248" s="3">
        <f>DATE(2006,10,2)</f>
        <v>38992</v>
      </c>
      <c r="B8248" s="3">
        <f>DATE(2006,11,17)</f>
        <v>39038</v>
      </c>
      <c r="C8248" s="2" t="s">
        <v>95</v>
      </c>
      <c r="D8248" s="2" t="s">
        <v>24615</v>
      </c>
      <c r="E8248" s="2" t="s">
        <v>2384</v>
      </c>
      <c r="F8248" s="4">
        <v>2834</v>
      </c>
      <c r="G8248" s="2" t="s">
        <v>130</v>
      </c>
      <c r="H8248" s="2" t="s">
        <v>34</v>
      </c>
      <c r="I8248" s="2" t="s">
        <v>13899</v>
      </c>
      <c r="J8248" s="2" t="s">
        <v>540</v>
      </c>
      <c r="K8248" s="2" t="s">
        <v>130</v>
      </c>
      <c r="L8248" s="2" t="s">
        <v>34</v>
      </c>
      <c r="M8248" s="12">
        <v>28931.751</v>
      </c>
      <c r="N8248" s="6">
        <v>64.28</v>
      </c>
      <c r="O8248" s="6">
        <v>62.03</v>
      </c>
      <c r="P8248" s="2" t="s">
        <v>24616</v>
      </c>
      <c r="Q8248" s="6">
        <v>100</v>
      </c>
      <c r="R8248" s="6">
        <v>52.5</v>
      </c>
      <c r="S8248" s="5">
        <v>-76.5</v>
      </c>
      <c r="T8248" s="7">
        <v>-84.602000000000004</v>
      </c>
      <c r="U8248" s="5">
        <v>3.1</v>
      </c>
      <c r="V8248" s="6">
        <v>-1.8</v>
      </c>
      <c r="W8248" s="6">
        <v>35.19</v>
      </c>
      <c r="X8248" s="6">
        <v>35.08</v>
      </c>
      <c r="Y8248" s="6">
        <v>51.44</v>
      </c>
      <c r="Z8248" s="5">
        <v>51.3</v>
      </c>
      <c r="AA8248" s="6">
        <v>42.71</v>
      </c>
      <c r="AB8248" s="2" t="s">
        <v>86</v>
      </c>
      <c r="AC8248" s="10">
        <v>2853.95</v>
      </c>
    </row>
    <row r="8249" spans="1:29" ht="78" x14ac:dyDescent="0.15">
      <c r="A8249" s="3">
        <f>DATE(2006,10,4)</f>
        <v>38994</v>
      </c>
      <c r="B8249" s="3">
        <f>DATE(2007,3,1)</f>
        <v>39142</v>
      </c>
      <c r="C8249" s="2" t="s">
        <v>95</v>
      </c>
      <c r="D8249" s="2" t="s">
        <v>24617</v>
      </c>
      <c r="E8249" s="2" t="s">
        <v>159</v>
      </c>
      <c r="F8249" s="4">
        <v>6712</v>
      </c>
      <c r="G8249" s="2" t="s">
        <v>37</v>
      </c>
      <c r="H8249" s="2" t="s">
        <v>34</v>
      </c>
      <c r="I8249" s="2" t="s">
        <v>23287</v>
      </c>
      <c r="J8249" s="2" t="s">
        <v>159</v>
      </c>
      <c r="K8249" s="2" t="s">
        <v>37</v>
      </c>
      <c r="L8249" s="2" t="s">
        <v>34</v>
      </c>
      <c r="M8249" s="7">
        <v>435.43099999999998</v>
      </c>
      <c r="N8249" s="5">
        <v>26.1</v>
      </c>
      <c r="O8249" s="5">
        <v>25.5</v>
      </c>
      <c r="P8249" s="2" t="s">
        <v>24618</v>
      </c>
      <c r="Q8249" s="6">
        <v>100</v>
      </c>
      <c r="R8249" s="2"/>
      <c r="S8249" s="5">
        <v>1.1000000000000001</v>
      </c>
      <c r="T8249" s="2"/>
      <c r="U8249" s="2"/>
      <c r="V8249" s="2"/>
      <c r="W8249" s="4">
        <v>13</v>
      </c>
      <c r="X8249" s="4">
        <v>13</v>
      </c>
      <c r="Y8249" s="4">
        <v>13</v>
      </c>
      <c r="Z8249" s="4">
        <v>13</v>
      </c>
      <c r="AA8249" s="6">
        <v>1.85</v>
      </c>
      <c r="AB8249" s="2" t="s">
        <v>47</v>
      </c>
      <c r="AC8249" s="2"/>
    </row>
    <row r="8250" spans="1:29" ht="182" x14ac:dyDescent="0.15">
      <c r="A8250" s="3">
        <f>DATE(2006,10,5)</f>
        <v>38995</v>
      </c>
      <c r="B8250" s="3">
        <f>DATE(2007,1,12)</f>
        <v>39094</v>
      </c>
      <c r="C8250" s="2" t="s">
        <v>95</v>
      </c>
      <c r="D8250" s="2" t="s">
        <v>24619</v>
      </c>
      <c r="E8250" s="2" t="s">
        <v>24620</v>
      </c>
      <c r="F8250" s="4">
        <v>4812</v>
      </c>
      <c r="G8250" s="2" t="s">
        <v>63</v>
      </c>
      <c r="H8250" s="2" t="s">
        <v>34</v>
      </c>
      <c r="I8250" s="2" t="s">
        <v>24621</v>
      </c>
      <c r="J8250" s="2" t="s">
        <v>24622</v>
      </c>
      <c r="K8250" s="2" t="s">
        <v>63</v>
      </c>
      <c r="L8250" s="2" t="s">
        <v>34</v>
      </c>
      <c r="M8250" s="12">
        <v>6872.4250000000002</v>
      </c>
      <c r="N8250" s="6">
        <v>34.46</v>
      </c>
      <c r="O8250" s="5">
        <v>33.1</v>
      </c>
      <c r="P8250" s="2" t="s">
        <v>24623</v>
      </c>
      <c r="Q8250" s="6">
        <v>100</v>
      </c>
      <c r="R8250" s="6">
        <v>56</v>
      </c>
      <c r="S8250" s="5">
        <v>-84.1</v>
      </c>
      <c r="T8250" s="2"/>
      <c r="U8250" s="5">
        <v>4.9000000000000004</v>
      </c>
      <c r="V8250" s="6">
        <v>-1.25</v>
      </c>
      <c r="W8250" s="6">
        <v>50.55</v>
      </c>
      <c r="X8250" s="6">
        <v>49.95</v>
      </c>
      <c r="Y8250" s="6">
        <v>49.84</v>
      </c>
      <c r="Z8250" s="6">
        <v>53.94</v>
      </c>
      <c r="AA8250" s="6">
        <v>70.22</v>
      </c>
      <c r="AB8250" s="2" t="s">
        <v>47</v>
      </c>
      <c r="AC8250" s="2"/>
    </row>
    <row r="8251" spans="1:29" ht="130" x14ac:dyDescent="0.15">
      <c r="A8251" s="3">
        <f>DATE(2006,10,5)</f>
        <v>38995</v>
      </c>
      <c r="B8251" s="2"/>
      <c r="C8251" s="2" t="s">
        <v>30</v>
      </c>
      <c r="D8251" s="2" t="s">
        <v>2043</v>
      </c>
      <c r="E8251" s="2" t="s">
        <v>92</v>
      </c>
      <c r="F8251" s="4">
        <v>6798</v>
      </c>
      <c r="G8251" s="2" t="s">
        <v>53</v>
      </c>
      <c r="H8251" s="2" t="s">
        <v>34</v>
      </c>
      <c r="I8251" s="2" t="s">
        <v>51</v>
      </c>
      <c r="J8251" s="2" t="s">
        <v>52</v>
      </c>
      <c r="K8251" s="2" t="s">
        <v>53</v>
      </c>
      <c r="L8251" s="2" t="s">
        <v>34</v>
      </c>
      <c r="M8251" s="2"/>
      <c r="N8251" s="2"/>
      <c r="O8251" s="2"/>
      <c r="P8251" s="2" t="s">
        <v>24624</v>
      </c>
      <c r="Q8251" s="2"/>
      <c r="R8251" s="6">
        <v>34</v>
      </c>
      <c r="S8251" s="5">
        <v>65.8</v>
      </c>
      <c r="T8251" s="6">
        <v>55.72</v>
      </c>
      <c r="U8251" s="5">
        <v>15.6</v>
      </c>
      <c r="V8251" s="6">
        <v>2.34</v>
      </c>
      <c r="W8251" s="6">
        <v>28.44</v>
      </c>
      <c r="X8251" s="6">
        <v>28.73</v>
      </c>
      <c r="Y8251" s="6">
        <v>28.72</v>
      </c>
      <c r="Z8251" s="6">
        <v>28.68</v>
      </c>
      <c r="AA8251" s="6">
        <v>27.75</v>
      </c>
      <c r="AB8251" s="7">
        <v>19.622</v>
      </c>
      <c r="AC8251" s="2"/>
    </row>
    <row r="8252" spans="1:29" ht="65" x14ac:dyDescent="0.15">
      <c r="A8252" s="3">
        <f>DATE(2006,10,5)</f>
        <v>38995</v>
      </c>
      <c r="B8252" s="2"/>
      <c r="C8252" s="2" t="s">
        <v>87</v>
      </c>
      <c r="D8252" s="2" t="s">
        <v>24625</v>
      </c>
      <c r="E8252" s="2" t="s">
        <v>24626</v>
      </c>
      <c r="F8252" s="4">
        <v>3674</v>
      </c>
      <c r="G8252" s="2" t="s">
        <v>137</v>
      </c>
      <c r="H8252" s="2" t="s">
        <v>34</v>
      </c>
      <c r="I8252" s="2" t="s">
        <v>10177</v>
      </c>
      <c r="J8252" s="2" t="s">
        <v>10178</v>
      </c>
      <c r="K8252" s="2" t="s">
        <v>137</v>
      </c>
      <c r="L8252" s="2" t="s">
        <v>34</v>
      </c>
      <c r="M8252" s="7">
        <v>110.861</v>
      </c>
      <c r="N8252" s="6">
        <v>20.78</v>
      </c>
      <c r="O8252" s="6">
        <v>20.63</v>
      </c>
      <c r="P8252" s="2" t="s">
        <v>24627</v>
      </c>
      <c r="Q8252" s="2"/>
      <c r="R8252" s="2"/>
      <c r="S8252" s="5">
        <v>252.5</v>
      </c>
      <c r="T8252" s="7">
        <v>404.34300000000002</v>
      </c>
      <c r="U8252" s="5">
        <v>2.6</v>
      </c>
      <c r="V8252" s="9">
        <v>0.4667</v>
      </c>
      <c r="W8252" s="6">
        <v>29.57</v>
      </c>
      <c r="X8252" s="6">
        <v>31.08</v>
      </c>
      <c r="Y8252" s="5">
        <v>30.2</v>
      </c>
      <c r="Z8252" s="6">
        <v>30.93</v>
      </c>
      <c r="AA8252" s="6">
        <v>352.51</v>
      </c>
      <c r="AB8252" s="2" t="s">
        <v>47</v>
      </c>
      <c r="AC8252" s="8">
        <v>8219</v>
      </c>
    </row>
    <row r="8253" spans="1:29" ht="130" x14ac:dyDescent="0.15">
      <c r="A8253" s="3">
        <f>DATE(2006,10,6)</f>
        <v>38996</v>
      </c>
      <c r="B8253" s="2"/>
      <c r="C8253" s="2" t="s">
        <v>30</v>
      </c>
      <c r="D8253" s="2" t="s">
        <v>24628</v>
      </c>
      <c r="E8253" s="2" t="s">
        <v>11951</v>
      </c>
      <c r="F8253" s="4">
        <v>8744</v>
      </c>
      <c r="G8253" s="2" t="s">
        <v>223</v>
      </c>
      <c r="H8253" s="2" t="s">
        <v>34</v>
      </c>
      <c r="I8253" s="2" t="s">
        <v>24629</v>
      </c>
      <c r="J8253" s="2" t="s">
        <v>244</v>
      </c>
      <c r="K8253" s="2" t="s">
        <v>53</v>
      </c>
      <c r="L8253" s="2" t="s">
        <v>34</v>
      </c>
      <c r="M8253" s="2"/>
      <c r="N8253" s="2"/>
      <c r="O8253" s="2"/>
      <c r="P8253" s="2" t="s">
        <v>24630</v>
      </c>
      <c r="Q8253" s="2"/>
      <c r="R8253" s="6">
        <v>18.25</v>
      </c>
      <c r="S8253" s="5">
        <v>8.8000000000000007</v>
      </c>
      <c r="T8253" s="7">
        <v>47.866</v>
      </c>
      <c r="U8253" s="5">
        <v>12.6</v>
      </c>
      <c r="V8253" s="6">
        <v>0.43</v>
      </c>
      <c r="W8253" s="6">
        <v>17.28</v>
      </c>
      <c r="X8253" s="6">
        <v>18.350000000000001</v>
      </c>
      <c r="Y8253" s="6">
        <v>17.88</v>
      </c>
      <c r="Z8253" s="6">
        <v>17.940000000000001</v>
      </c>
      <c r="AA8253" s="6">
        <v>14.03</v>
      </c>
      <c r="AB8253" s="7">
        <v>16.195</v>
      </c>
      <c r="AC8253" s="2"/>
    </row>
    <row r="8254" spans="1:29" ht="91" x14ac:dyDescent="0.15">
      <c r="A8254" s="3">
        <f>DATE(2006,10,6)</f>
        <v>38996</v>
      </c>
      <c r="B8254" s="3">
        <f>DATE(2007,2,16)</f>
        <v>39129</v>
      </c>
      <c r="C8254" s="2" t="s">
        <v>95</v>
      </c>
      <c r="D8254" s="2" t="s">
        <v>24631</v>
      </c>
      <c r="E8254" s="2" t="s">
        <v>1181</v>
      </c>
      <c r="F8254" s="4">
        <v>6021</v>
      </c>
      <c r="G8254" s="2" t="s">
        <v>37</v>
      </c>
      <c r="H8254" s="2" t="s">
        <v>34</v>
      </c>
      <c r="I8254" s="2" t="s">
        <v>21511</v>
      </c>
      <c r="J8254" s="2" t="s">
        <v>1181</v>
      </c>
      <c r="K8254" s="2" t="s">
        <v>37</v>
      </c>
      <c r="L8254" s="2" t="s">
        <v>34</v>
      </c>
      <c r="M8254" s="7">
        <v>255.834</v>
      </c>
      <c r="N8254" s="6">
        <v>23.27</v>
      </c>
      <c r="O8254" s="5">
        <v>23.4</v>
      </c>
      <c r="P8254" s="2" t="s">
        <v>24632</v>
      </c>
      <c r="Q8254" s="6">
        <v>100</v>
      </c>
      <c r="R8254" s="6">
        <v>13</v>
      </c>
      <c r="S8254" s="2"/>
      <c r="T8254" s="2"/>
      <c r="U8254" s="2"/>
      <c r="V8254" s="2"/>
      <c r="W8254" s="4">
        <v>10</v>
      </c>
      <c r="X8254" s="4">
        <v>10</v>
      </c>
      <c r="Y8254" s="4">
        <v>10</v>
      </c>
      <c r="Z8254" s="6">
        <v>12.25</v>
      </c>
      <c r="AA8254" s="6">
        <v>1.67</v>
      </c>
      <c r="AB8254" s="2" t="s">
        <v>47</v>
      </c>
      <c r="AC8254" s="2"/>
    </row>
    <row r="8255" spans="1:29" ht="234" x14ac:dyDescent="0.15">
      <c r="A8255" s="3">
        <f>DATE(2006,10,8)</f>
        <v>38998</v>
      </c>
      <c r="B8255" s="2"/>
      <c r="C8255" s="2" t="s">
        <v>30</v>
      </c>
      <c r="D8255" s="2" t="s">
        <v>12750</v>
      </c>
      <c r="E8255" s="2" t="s">
        <v>4285</v>
      </c>
      <c r="F8255" s="4">
        <v>4841</v>
      </c>
      <c r="G8255" s="2" t="s">
        <v>45</v>
      </c>
      <c r="H8255" s="2" t="s">
        <v>34</v>
      </c>
      <c r="I8255" s="2" t="s">
        <v>51</v>
      </c>
      <c r="J8255" s="2" t="s">
        <v>52</v>
      </c>
      <c r="K8255" s="2" t="s">
        <v>53</v>
      </c>
      <c r="L8255" s="2" t="s">
        <v>34</v>
      </c>
      <c r="M8255" s="2"/>
      <c r="N8255" s="2"/>
      <c r="O8255" s="2"/>
      <c r="P8255" s="2" t="s">
        <v>24633</v>
      </c>
      <c r="Q8255" s="2"/>
      <c r="R8255" s="6">
        <v>36.26</v>
      </c>
      <c r="S8255" s="5">
        <v>-93.4</v>
      </c>
      <c r="T8255" s="12">
        <v>1825.712</v>
      </c>
      <c r="U8255" s="5">
        <v>-18.399999999999999</v>
      </c>
      <c r="V8255" s="6">
        <v>-0.38</v>
      </c>
      <c r="W8255" s="6">
        <v>22.71</v>
      </c>
      <c r="X8255" s="6">
        <v>23.93</v>
      </c>
      <c r="Y8255" s="5">
        <v>26.5</v>
      </c>
      <c r="Z8255" s="5">
        <v>26.5</v>
      </c>
      <c r="AA8255" s="6">
        <v>292.07</v>
      </c>
      <c r="AB8255" s="7">
        <v>32.826000000000001</v>
      </c>
      <c r="AC8255" s="2"/>
    </row>
    <row r="8256" spans="1:29" ht="91" x14ac:dyDescent="0.15">
      <c r="A8256" s="3">
        <f>DATE(2006,10,9)</f>
        <v>38999</v>
      </c>
      <c r="B8256" s="3">
        <f>DATE(2006,12,19)</f>
        <v>39070</v>
      </c>
      <c r="C8256" s="2" t="s">
        <v>95</v>
      </c>
      <c r="D8256" s="2" t="s">
        <v>24634</v>
      </c>
      <c r="E8256" s="2" t="s">
        <v>24635</v>
      </c>
      <c r="F8256" s="4">
        <v>3845</v>
      </c>
      <c r="G8256" s="2" t="s">
        <v>226</v>
      </c>
      <c r="H8256" s="2" t="s">
        <v>34</v>
      </c>
      <c r="I8256" s="2" t="s">
        <v>22912</v>
      </c>
      <c r="J8256" s="2" t="s">
        <v>13055</v>
      </c>
      <c r="K8256" s="2" t="s">
        <v>130</v>
      </c>
      <c r="L8256" s="2" t="s">
        <v>303</v>
      </c>
      <c r="M8256" s="12">
        <v>159661.24600000001</v>
      </c>
      <c r="N8256" s="7">
        <v>27.149000000000001</v>
      </c>
      <c r="O8256" s="6">
        <v>27.01</v>
      </c>
      <c r="P8256" s="2" t="s">
        <v>24636</v>
      </c>
      <c r="Q8256" s="6">
        <v>100</v>
      </c>
      <c r="R8256" s="6">
        <v>37.5</v>
      </c>
      <c r="S8256" s="5">
        <v>19.100000000000001</v>
      </c>
      <c r="T8256" s="7">
        <v>29.542000000000002</v>
      </c>
      <c r="U8256" s="5">
        <v>6.1</v>
      </c>
      <c r="V8256" s="6">
        <v>1.29</v>
      </c>
      <c r="W8256" s="6">
        <v>28.16</v>
      </c>
      <c r="X8256" s="6">
        <v>28.56</v>
      </c>
      <c r="Y8256" s="6">
        <v>36.72</v>
      </c>
      <c r="Z8256" s="6">
        <v>36.67</v>
      </c>
      <c r="AA8256" s="6">
        <v>14.01</v>
      </c>
      <c r="AB8256" s="7">
        <v>17.782</v>
      </c>
      <c r="AC8256" s="10">
        <v>6340.8</v>
      </c>
    </row>
    <row r="8257" spans="1:29" ht="39" x14ac:dyDescent="0.15">
      <c r="A8257" s="3">
        <f>DATE(2006,10,9)</f>
        <v>38999</v>
      </c>
      <c r="B8257" s="3">
        <f>DATE(2006,10,9)</f>
        <v>38999</v>
      </c>
      <c r="C8257" s="2" t="s">
        <v>95</v>
      </c>
      <c r="D8257" s="2" t="s">
        <v>24637</v>
      </c>
      <c r="E8257" s="2" t="s">
        <v>24638</v>
      </c>
      <c r="F8257" s="4">
        <v>7375</v>
      </c>
      <c r="G8257" s="2" t="s">
        <v>223</v>
      </c>
      <c r="H8257" s="2" t="s">
        <v>34</v>
      </c>
      <c r="I8257" s="2" t="s">
        <v>24639</v>
      </c>
      <c r="J8257" s="2" t="s">
        <v>24638</v>
      </c>
      <c r="K8257" s="2" t="s">
        <v>223</v>
      </c>
      <c r="L8257" s="2" t="s">
        <v>34</v>
      </c>
      <c r="M8257" s="2"/>
      <c r="N8257" s="2"/>
      <c r="O8257" s="2"/>
      <c r="P8257" s="2" t="s">
        <v>24640</v>
      </c>
      <c r="Q8257" s="6">
        <v>100</v>
      </c>
      <c r="R8257" s="2"/>
      <c r="S8257" s="5">
        <v>-1.6</v>
      </c>
      <c r="T8257" s="2"/>
      <c r="U8257" s="5">
        <v>-0.3</v>
      </c>
      <c r="V8257" s="6">
        <v>-0.12</v>
      </c>
      <c r="W8257" s="5">
        <v>3.5</v>
      </c>
      <c r="X8257" s="5">
        <v>2.6</v>
      </c>
      <c r="Y8257" s="5">
        <v>2.6</v>
      </c>
      <c r="Z8257" s="5">
        <v>2.6</v>
      </c>
      <c r="AA8257" s="2"/>
      <c r="AB8257" s="2" t="s">
        <v>86</v>
      </c>
      <c r="AC8257" s="2"/>
    </row>
    <row r="8258" spans="1:29" ht="169" x14ac:dyDescent="0.15">
      <c r="A8258" s="3">
        <f>DATE(2006,10,9)</f>
        <v>38999</v>
      </c>
      <c r="B8258" s="3">
        <f>DATE(2007,3,2)</f>
        <v>39143</v>
      </c>
      <c r="C8258" s="2" t="s">
        <v>95</v>
      </c>
      <c r="D8258" s="2" t="s">
        <v>16147</v>
      </c>
      <c r="E8258" s="2" t="s">
        <v>672</v>
      </c>
      <c r="F8258" s="4">
        <v>6712</v>
      </c>
      <c r="G8258" s="2" t="s">
        <v>37</v>
      </c>
      <c r="H8258" s="2" t="s">
        <v>34</v>
      </c>
      <c r="I8258" s="2" t="s">
        <v>21185</v>
      </c>
      <c r="J8258" s="2" t="s">
        <v>36</v>
      </c>
      <c r="K8258" s="2" t="s">
        <v>37</v>
      </c>
      <c r="L8258" s="2" t="s">
        <v>34</v>
      </c>
      <c r="M8258" s="12">
        <v>21050.593000000001</v>
      </c>
      <c r="N8258" s="5">
        <v>70.400000000000006</v>
      </c>
      <c r="O8258" s="6">
        <v>70.260000000000005</v>
      </c>
      <c r="P8258" s="2" t="s">
        <v>24641</v>
      </c>
      <c r="Q8258" s="6">
        <v>100</v>
      </c>
      <c r="R8258" s="6">
        <v>47.24</v>
      </c>
      <c r="S8258" s="5">
        <v>289.7</v>
      </c>
      <c r="T8258" s="7">
        <v>308.12799999999999</v>
      </c>
      <c r="U8258" s="5">
        <v>16.5</v>
      </c>
      <c r="V8258" s="6">
        <v>2.36</v>
      </c>
      <c r="W8258" s="6">
        <v>36.26</v>
      </c>
      <c r="X8258" s="6">
        <v>36.78</v>
      </c>
      <c r="Y8258" s="6">
        <v>44.94</v>
      </c>
      <c r="Z8258" s="5">
        <v>44.9</v>
      </c>
      <c r="AA8258" s="6">
        <v>125.36</v>
      </c>
      <c r="AB8258" s="7">
        <v>26.946000000000002</v>
      </c>
      <c r="AC8258" s="2"/>
    </row>
    <row r="8259" spans="1:29" ht="130" x14ac:dyDescent="0.15">
      <c r="A8259" s="3">
        <f>DATE(2006,10,9)</f>
        <v>38999</v>
      </c>
      <c r="B8259" s="3">
        <f>DATE(2007,6,22)</f>
        <v>39255</v>
      </c>
      <c r="C8259" s="2" t="s">
        <v>95</v>
      </c>
      <c r="D8259" s="2" t="s">
        <v>16020</v>
      </c>
      <c r="E8259" s="2" t="s">
        <v>24642</v>
      </c>
      <c r="F8259" s="4">
        <v>7375</v>
      </c>
      <c r="G8259" s="2" t="s">
        <v>223</v>
      </c>
      <c r="H8259" s="2" t="s">
        <v>34</v>
      </c>
      <c r="I8259" s="2" t="s">
        <v>15117</v>
      </c>
      <c r="J8259" s="2" t="s">
        <v>4784</v>
      </c>
      <c r="K8259" s="2" t="s">
        <v>186</v>
      </c>
      <c r="L8259" s="2" t="s">
        <v>2105</v>
      </c>
      <c r="M8259" s="2"/>
      <c r="N8259" s="2"/>
      <c r="O8259" s="2"/>
      <c r="P8259" s="2" t="s">
        <v>24643</v>
      </c>
      <c r="Q8259" s="6">
        <v>44.24</v>
      </c>
      <c r="R8259" s="6">
        <v>21</v>
      </c>
      <c r="S8259" s="5">
        <v>2.5</v>
      </c>
      <c r="T8259" s="7">
        <v>6.1340000000000003</v>
      </c>
      <c r="U8259" s="5">
        <v>7.7</v>
      </c>
      <c r="V8259" s="6">
        <v>7.0000000000000007E-2</v>
      </c>
      <c r="W8259" s="6">
        <v>14.48</v>
      </c>
      <c r="X8259" s="6">
        <v>14.57</v>
      </c>
      <c r="Y8259" s="6">
        <v>16.91</v>
      </c>
      <c r="Z8259" s="6">
        <v>16.95</v>
      </c>
      <c r="AA8259" s="6">
        <v>35.69</v>
      </c>
      <c r="AB8259" s="2" t="s">
        <v>86</v>
      </c>
      <c r="AC8259" s="6">
        <v>782.38</v>
      </c>
    </row>
    <row r="8260" spans="1:29" ht="65" x14ac:dyDescent="0.15">
      <c r="A8260" s="3">
        <f>DATE(2006,10,10)</f>
        <v>39000</v>
      </c>
      <c r="B8260" s="3">
        <f>DATE(2007,2,13)</f>
        <v>39126</v>
      </c>
      <c r="C8260" s="2" t="s">
        <v>95</v>
      </c>
      <c r="D8260" s="2" t="s">
        <v>22261</v>
      </c>
      <c r="E8260" s="2" t="s">
        <v>263</v>
      </c>
      <c r="F8260" s="4">
        <v>6035</v>
      </c>
      <c r="G8260" s="2" t="s">
        <v>33</v>
      </c>
      <c r="H8260" s="2" t="s">
        <v>34</v>
      </c>
      <c r="I8260" s="2" t="s">
        <v>24644</v>
      </c>
      <c r="J8260" s="2" t="s">
        <v>36</v>
      </c>
      <c r="K8260" s="2" t="s">
        <v>37</v>
      </c>
      <c r="L8260" s="2" t="s">
        <v>34</v>
      </c>
      <c r="M8260" s="12">
        <v>19790.206999999999</v>
      </c>
      <c r="N8260" s="6">
        <v>22.69</v>
      </c>
      <c r="O8260" s="5">
        <v>22.6</v>
      </c>
      <c r="P8260" s="2" t="s">
        <v>24645</v>
      </c>
      <c r="Q8260" s="6">
        <v>100</v>
      </c>
      <c r="R8260" s="6">
        <v>24.14</v>
      </c>
      <c r="S8260" s="2"/>
      <c r="T8260" s="2"/>
      <c r="U8260" s="2"/>
      <c r="V8260" s="2"/>
      <c r="W8260" s="6">
        <v>15.99</v>
      </c>
      <c r="X8260" s="6">
        <v>16.989999999999998</v>
      </c>
      <c r="Y8260" s="6">
        <v>18.149999999999999</v>
      </c>
      <c r="Z8260" s="6">
        <v>23.47</v>
      </c>
      <c r="AA8260" s="6">
        <v>3.99</v>
      </c>
      <c r="AB8260" s="2" t="s">
        <v>47</v>
      </c>
      <c r="AC8260" s="2"/>
    </row>
    <row r="8261" spans="1:29" ht="117" x14ac:dyDescent="0.15">
      <c r="A8261" s="3">
        <f>DATE(2006,10,11)</f>
        <v>39001</v>
      </c>
      <c r="B8261" s="3">
        <f>DATE(2007,2,7)</f>
        <v>39120</v>
      </c>
      <c r="C8261" s="2" t="s">
        <v>95</v>
      </c>
      <c r="D8261" s="2" t="s">
        <v>24646</v>
      </c>
      <c r="E8261" s="2" t="s">
        <v>24647</v>
      </c>
      <c r="F8261" s="4">
        <v>3431</v>
      </c>
      <c r="G8261" s="2" t="s">
        <v>163</v>
      </c>
      <c r="H8261" s="2" t="s">
        <v>34</v>
      </c>
      <c r="I8261" s="2" t="s">
        <v>9715</v>
      </c>
      <c r="J8261" s="2" t="s">
        <v>244</v>
      </c>
      <c r="K8261" s="2" t="s">
        <v>53</v>
      </c>
      <c r="L8261" s="2" t="s">
        <v>34</v>
      </c>
      <c r="M8261" s="2"/>
      <c r="N8261" s="2"/>
      <c r="O8261" s="2"/>
      <c r="P8261" s="2" t="s">
        <v>24648</v>
      </c>
      <c r="Q8261" s="6">
        <v>100</v>
      </c>
      <c r="R8261" s="6">
        <v>12.5</v>
      </c>
      <c r="S8261" s="5">
        <v>43.8</v>
      </c>
      <c r="T8261" s="5">
        <v>129.4</v>
      </c>
      <c r="U8261" s="5">
        <v>4.5</v>
      </c>
      <c r="V8261" s="6">
        <v>0.56000000000000005</v>
      </c>
      <c r="W8261" s="5">
        <v>10.4</v>
      </c>
      <c r="X8261" s="6">
        <v>10.35</v>
      </c>
      <c r="Y8261" s="6">
        <v>12.35</v>
      </c>
      <c r="Z8261" s="6">
        <v>12.17</v>
      </c>
      <c r="AA8261" s="6">
        <v>77.650000000000006</v>
      </c>
      <c r="AB8261" s="7">
        <v>11.335000000000001</v>
      </c>
      <c r="AC8261" s="2"/>
    </row>
    <row r="8262" spans="1:29" ht="117" x14ac:dyDescent="0.15">
      <c r="A8262" s="3">
        <f>DATE(2006,10,11)</f>
        <v>39001</v>
      </c>
      <c r="B8262" s="3">
        <f>DATE(2007,2,16)</f>
        <v>39129</v>
      </c>
      <c r="C8262" s="2" t="s">
        <v>95</v>
      </c>
      <c r="D8262" s="2" t="s">
        <v>24649</v>
      </c>
      <c r="E8262" s="2" t="s">
        <v>3780</v>
      </c>
      <c r="F8262" s="4">
        <v>6022</v>
      </c>
      <c r="G8262" s="2" t="s">
        <v>37</v>
      </c>
      <c r="H8262" s="2" t="s">
        <v>34</v>
      </c>
      <c r="I8262" s="2" t="s">
        <v>7771</v>
      </c>
      <c r="J8262" s="2" t="s">
        <v>3246</v>
      </c>
      <c r="K8262" s="2" t="s">
        <v>37</v>
      </c>
      <c r="L8262" s="2" t="s">
        <v>34</v>
      </c>
      <c r="M8262" s="6">
        <v>533.85</v>
      </c>
      <c r="N8262" s="6">
        <v>35.92</v>
      </c>
      <c r="O8262" s="5">
        <v>37.1</v>
      </c>
      <c r="P8262" s="2" t="s">
        <v>24650</v>
      </c>
      <c r="Q8262" s="6">
        <v>100</v>
      </c>
      <c r="R8262" s="6">
        <v>44.04</v>
      </c>
      <c r="S8262" s="5">
        <v>1.4</v>
      </c>
      <c r="T8262" s="2"/>
      <c r="U8262" s="2"/>
      <c r="V8262" s="2"/>
      <c r="W8262" s="6">
        <v>18.25</v>
      </c>
      <c r="X8262" s="6">
        <v>18.25</v>
      </c>
      <c r="Y8262" s="6">
        <v>21.45</v>
      </c>
      <c r="Z8262" s="6">
        <v>21.22</v>
      </c>
      <c r="AA8262" s="6">
        <v>1.96</v>
      </c>
      <c r="AB8262" s="2" t="s">
        <v>47</v>
      </c>
      <c r="AC8262" s="2"/>
    </row>
    <row r="8263" spans="1:29" ht="117" x14ac:dyDescent="0.15">
      <c r="A8263" s="3">
        <f>DATE(2006,10,12)</f>
        <v>39002</v>
      </c>
      <c r="B8263" s="3">
        <f>DATE(2007,7,13)</f>
        <v>39276</v>
      </c>
      <c r="C8263" s="2" t="s">
        <v>95</v>
      </c>
      <c r="D8263" s="2" t="s">
        <v>24651</v>
      </c>
      <c r="E8263" s="2" t="s">
        <v>203</v>
      </c>
      <c r="F8263" s="4">
        <v>6036</v>
      </c>
      <c r="G8263" s="2" t="s">
        <v>33</v>
      </c>
      <c r="H8263" s="2" t="s">
        <v>34</v>
      </c>
      <c r="I8263" s="2" t="s">
        <v>24652</v>
      </c>
      <c r="J8263" s="2" t="s">
        <v>265</v>
      </c>
      <c r="K8263" s="2" t="s">
        <v>37</v>
      </c>
      <c r="L8263" s="2" t="s">
        <v>34</v>
      </c>
      <c r="M8263" s="2"/>
      <c r="N8263" s="2"/>
      <c r="O8263" s="2"/>
      <c r="P8263" s="2" t="s">
        <v>24653</v>
      </c>
      <c r="Q8263" s="6">
        <v>100</v>
      </c>
      <c r="R8263" s="6">
        <v>28</v>
      </c>
      <c r="S8263" s="5">
        <v>7.6</v>
      </c>
      <c r="T8263" s="7">
        <v>14.590999999999999</v>
      </c>
      <c r="U8263" s="5">
        <v>12</v>
      </c>
      <c r="V8263" s="6">
        <v>1.17</v>
      </c>
      <c r="W8263" s="6">
        <v>24.95</v>
      </c>
      <c r="X8263" s="6">
        <v>24.62</v>
      </c>
      <c r="Y8263" s="6">
        <v>26.75</v>
      </c>
      <c r="Z8263" s="5">
        <v>31.6</v>
      </c>
      <c r="AA8263" s="6">
        <v>6.52</v>
      </c>
      <c r="AB8263" s="7">
        <v>26.963999999999999</v>
      </c>
      <c r="AC8263" s="2"/>
    </row>
    <row r="8264" spans="1:29" ht="195" x14ac:dyDescent="0.15">
      <c r="A8264" s="3">
        <f>DATE(2006,10,12)</f>
        <v>39002</v>
      </c>
      <c r="B8264" s="3">
        <f>DATE(2007,1,30)</f>
        <v>39112</v>
      </c>
      <c r="C8264" s="2" t="s">
        <v>95</v>
      </c>
      <c r="D8264" s="2" t="s">
        <v>24654</v>
      </c>
      <c r="E8264" s="2" t="s">
        <v>24655</v>
      </c>
      <c r="F8264" s="4">
        <v>7389</v>
      </c>
      <c r="G8264" s="2" t="s">
        <v>223</v>
      </c>
      <c r="H8264" s="2" t="s">
        <v>34</v>
      </c>
      <c r="I8264" s="2" t="s">
        <v>24656</v>
      </c>
      <c r="J8264" s="2" t="s">
        <v>24657</v>
      </c>
      <c r="K8264" s="2" t="s">
        <v>223</v>
      </c>
      <c r="L8264" s="2" t="s">
        <v>34</v>
      </c>
      <c r="M8264" s="2"/>
      <c r="N8264" s="2"/>
      <c r="O8264" s="2"/>
      <c r="P8264" s="2" t="s">
        <v>24658</v>
      </c>
      <c r="Q8264" s="6">
        <v>100</v>
      </c>
      <c r="R8264" s="6">
        <v>4.25</v>
      </c>
      <c r="S8264" s="5">
        <v>7.5</v>
      </c>
      <c r="T8264" s="6">
        <v>61.72</v>
      </c>
      <c r="U8264" s="5">
        <v>1.8</v>
      </c>
      <c r="V8264" s="6">
        <v>0.1</v>
      </c>
      <c r="W8264" s="6">
        <v>3.12</v>
      </c>
      <c r="X8264" s="6">
        <v>3.28</v>
      </c>
      <c r="Y8264" s="6">
        <v>3.52</v>
      </c>
      <c r="Z8264" s="5">
        <v>3.9</v>
      </c>
      <c r="AA8264" s="6">
        <v>74.510000000000005</v>
      </c>
      <c r="AB8264" s="7">
        <v>15.297000000000001</v>
      </c>
      <c r="AC8264" s="2"/>
    </row>
    <row r="8265" spans="1:29" ht="130" x14ac:dyDescent="0.15">
      <c r="A8265" s="3">
        <f>DATE(2006,10,12)</f>
        <v>39002</v>
      </c>
      <c r="B8265" s="3">
        <f>DATE(2007,2,20)</f>
        <v>39133</v>
      </c>
      <c r="C8265" s="2" t="s">
        <v>95</v>
      </c>
      <c r="D8265" s="2" t="s">
        <v>24659</v>
      </c>
      <c r="E8265" s="2" t="s">
        <v>24660</v>
      </c>
      <c r="F8265" s="4">
        <v>7375</v>
      </c>
      <c r="G8265" s="2" t="s">
        <v>223</v>
      </c>
      <c r="H8265" s="2" t="s">
        <v>34</v>
      </c>
      <c r="I8265" s="2" t="s">
        <v>24661</v>
      </c>
      <c r="J8265" s="2" t="s">
        <v>5102</v>
      </c>
      <c r="K8265" s="2" t="s">
        <v>551</v>
      </c>
      <c r="L8265" s="2" t="s">
        <v>34</v>
      </c>
      <c r="M8265" s="7">
        <v>495.58100000000002</v>
      </c>
      <c r="N8265" s="6">
        <v>15.41</v>
      </c>
      <c r="O8265" s="6">
        <v>15.54</v>
      </c>
      <c r="P8265" s="2" t="s">
        <v>24662</v>
      </c>
      <c r="Q8265" s="6">
        <v>100</v>
      </c>
      <c r="R8265" s="6">
        <v>8.75</v>
      </c>
      <c r="S8265" s="5">
        <v>-6.8</v>
      </c>
      <c r="T8265" s="7">
        <v>6.9630000000000001</v>
      </c>
      <c r="U8265" s="5">
        <v>1.8</v>
      </c>
      <c r="V8265" s="6">
        <v>-0.33</v>
      </c>
      <c r="W8265" s="5">
        <v>8.6</v>
      </c>
      <c r="X8265" s="5">
        <v>6.4</v>
      </c>
      <c r="Y8265" s="6">
        <v>7.67</v>
      </c>
      <c r="Z8265" s="6">
        <v>7.69</v>
      </c>
      <c r="AA8265" s="6">
        <v>22.99</v>
      </c>
      <c r="AB8265" s="7">
        <v>91.811000000000007</v>
      </c>
      <c r="AC8265" s="5">
        <v>53.9</v>
      </c>
    </row>
    <row r="8266" spans="1:29" ht="130" x14ac:dyDescent="0.15">
      <c r="A8266" s="3">
        <f>DATE(2006,10,15)</f>
        <v>39005</v>
      </c>
      <c r="B8266" s="3">
        <f>DATE(2007,4,1)</f>
        <v>39173</v>
      </c>
      <c r="C8266" s="2" t="s">
        <v>95</v>
      </c>
      <c r="D8266" s="2" t="s">
        <v>24663</v>
      </c>
      <c r="E8266" s="2" t="s">
        <v>1181</v>
      </c>
      <c r="F8266" s="4">
        <v>6021</v>
      </c>
      <c r="G8266" s="2" t="s">
        <v>37</v>
      </c>
      <c r="H8266" s="2" t="s">
        <v>34</v>
      </c>
      <c r="I8266" s="2" t="s">
        <v>24664</v>
      </c>
      <c r="J8266" s="2" t="s">
        <v>2855</v>
      </c>
      <c r="K8266" s="2" t="s">
        <v>37</v>
      </c>
      <c r="L8266" s="2" t="s">
        <v>34</v>
      </c>
      <c r="M8266" s="2"/>
      <c r="N8266" s="2"/>
      <c r="O8266" s="2"/>
      <c r="P8266" s="2" t="s">
        <v>24665</v>
      </c>
      <c r="Q8266" s="6">
        <v>100</v>
      </c>
      <c r="R8266" s="2"/>
      <c r="S8266" s="2"/>
      <c r="T8266" s="2"/>
      <c r="U8266" s="2"/>
      <c r="V8266" s="2"/>
      <c r="W8266" s="4">
        <v>30</v>
      </c>
      <c r="X8266" s="6">
        <v>32.89</v>
      </c>
      <c r="Y8266" s="2"/>
      <c r="Z8266" s="5">
        <v>38.299999999999997</v>
      </c>
      <c r="AA8266" s="2"/>
      <c r="AB8266" s="2" t="s">
        <v>47</v>
      </c>
      <c r="AC8266" s="2"/>
    </row>
    <row r="8267" spans="1:29" ht="117" x14ac:dyDescent="0.15">
      <c r="A8267" s="3">
        <f>DATE(2006,10,15)</f>
        <v>39005</v>
      </c>
      <c r="B8267" s="3">
        <f>DATE(2006,12,8)</f>
        <v>39059</v>
      </c>
      <c r="C8267" s="2" t="s">
        <v>95</v>
      </c>
      <c r="D8267" s="2" t="s">
        <v>2349</v>
      </c>
      <c r="E8267" s="2" t="s">
        <v>2350</v>
      </c>
      <c r="F8267" s="4">
        <v>3531</v>
      </c>
      <c r="G8267" s="2" t="s">
        <v>300</v>
      </c>
      <c r="H8267" s="2" t="s">
        <v>34</v>
      </c>
      <c r="I8267" s="2" t="s">
        <v>24666</v>
      </c>
      <c r="J8267" s="2" t="s">
        <v>24667</v>
      </c>
      <c r="K8267" s="2" t="s">
        <v>105</v>
      </c>
      <c r="L8267" s="2" t="s">
        <v>34</v>
      </c>
      <c r="M8267" s="12">
        <v>3696.462</v>
      </c>
      <c r="N8267" s="6">
        <v>52.49</v>
      </c>
      <c r="O8267" s="6">
        <v>52.49</v>
      </c>
      <c r="P8267" s="2" t="s">
        <v>24668</v>
      </c>
      <c r="Q8267" s="6">
        <v>100</v>
      </c>
      <c r="R8267" s="6">
        <v>28</v>
      </c>
      <c r="S8267" s="5">
        <v>149.30000000000001</v>
      </c>
      <c r="T8267" s="5">
        <v>277</v>
      </c>
      <c r="U8267" s="5">
        <v>6.3</v>
      </c>
      <c r="V8267" s="6">
        <v>1.4</v>
      </c>
      <c r="W8267" s="6">
        <v>20.37</v>
      </c>
      <c r="X8267" s="6">
        <v>20.75</v>
      </c>
      <c r="Y8267" s="6">
        <v>27.56</v>
      </c>
      <c r="Z8267" s="6">
        <v>27.56</v>
      </c>
      <c r="AA8267" s="6">
        <v>106.75</v>
      </c>
      <c r="AB8267" s="7">
        <v>11.938000000000001</v>
      </c>
      <c r="AC8267" s="6">
        <v>221.7</v>
      </c>
    </row>
    <row r="8268" spans="1:29" ht="104" x14ac:dyDescent="0.15">
      <c r="A8268" s="3">
        <f>DATE(2006,10,16)</f>
        <v>39006</v>
      </c>
      <c r="B8268" s="3">
        <f>DATE(2007,1,29)</f>
        <v>39111</v>
      </c>
      <c r="C8268" s="2" t="s">
        <v>95</v>
      </c>
      <c r="D8268" s="2" t="s">
        <v>24669</v>
      </c>
      <c r="E8268" s="2" t="s">
        <v>540</v>
      </c>
      <c r="F8268" s="4">
        <v>2836</v>
      </c>
      <c r="G8268" s="2" t="s">
        <v>130</v>
      </c>
      <c r="H8268" s="2" t="s">
        <v>34</v>
      </c>
      <c r="I8268" s="2" t="s">
        <v>21448</v>
      </c>
      <c r="J8268" s="2" t="s">
        <v>5670</v>
      </c>
      <c r="K8268" s="2" t="s">
        <v>130</v>
      </c>
      <c r="L8268" s="2" t="s">
        <v>34</v>
      </c>
      <c r="M8268" s="12">
        <v>62341.493999999999</v>
      </c>
      <c r="N8268" s="6">
        <v>57.66</v>
      </c>
      <c r="O8268" s="6">
        <v>57.55</v>
      </c>
      <c r="P8268" s="2" t="s">
        <v>24670</v>
      </c>
      <c r="Q8268" s="6">
        <v>100</v>
      </c>
      <c r="R8268" s="6">
        <v>34</v>
      </c>
      <c r="S8268" s="5">
        <v>20.8</v>
      </c>
      <c r="T8268" s="7">
        <v>-113.297</v>
      </c>
      <c r="U8268" s="5">
        <v>-0.3</v>
      </c>
      <c r="V8268" s="6">
        <v>0.32</v>
      </c>
      <c r="W8268" s="6">
        <v>26.91</v>
      </c>
      <c r="X8268" s="6">
        <v>27.08</v>
      </c>
      <c r="Y8268" s="6">
        <v>27.12</v>
      </c>
      <c r="Z8268" s="5">
        <v>31.5</v>
      </c>
      <c r="AA8268" s="6">
        <v>65.45</v>
      </c>
      <c r="AB8268" s="2" t="s">
        <v>86</v>
      </c>
      <c r="AC8268" s="8">
        <v>3618.5</v>
      </c>
    </row>
    <row r="8269" spans="1:29" ht="130" x14ac:dyDescent="0.15">
      <c r="A8269" s="3">
        <f>DATE(2006,10,16)</f>
        <v>39006</v>
      </c>
      <c r="B8269" s="3">
        <f>DATE(2007,1,23)</f>
        <v>39105</v>
      </c>
      <c r="C8269" s="2" t="s">
        <v>95</v>
      </c>
      <c r="D8269" s="2" t="s">
        <v>24671</v>
      </c>
      <c r="E8269" s="2" t="s">
        <v>24672</v>
      </c>
      <c r="F8269" s="4">
        <v>7373</v>
      </c>
      <c r="G8269" s="2" t="s">
        <v>223</v>
      </c>
      <c r="H8269" s="2" t="s">
        <v>34</v>
      </c>
      <c r="I8269" s="2" t="s">
        <v>24673</v>
      </c>
      <c r="J8269" s="2" t="s">
        <v>11337</v>
      </c>
      <c r="K8269" s="2" t="s">
        <v>53</v>
      </c>
      <c r="L8269" s="2" t="s">
        <v>34</v>
      </c>
      <c r="M8269" s="2"/>
      <c r="N8269" s="2"/>
      <c r="O8269" s="2"/>
      <c r="P8269" s="2" t="s">
        <v>24674</v>
      </c>
      <c r="Q8269" s="6">
        <v>100</v>
      </c>
      <c r="R8269" s="6">
        <v>38</v>
      </c>
      <c r="S8269" s="5">
        <v>20.399999999999999</v>
      </c>
      <c r="T8269" s="7">
        <v>84.269000000000005</v>
      </c>
      <c r="U8269" s="5">
        <v>11</v>
      </c>
      <c r="V8269" s="6">
        <v>0.92</v>
      </c>
      <c r="W8269" s="6">
        <v>29.02</v>
      </c>
      <c r="X8269" s="6">
        <v>30.28</v>
      </c>
      <c r="Y8269" s="6">
        <v>37.56</v>
      </c>
      <c r="Z8269" s="6">
        <v>37.29</v>
      </c>
      <c r="AA8269" s="6">
        <v>20.65</v>
      </c>
      <c r="AB8269" s="7">
        <v>24.113</v>
      </c>
      <c r="AC8269" s="2"/>
    </row>
    <row r="8270" spans="1:29" ht="143" x14ac:dyDescent="0.15">
      <c r="A8270" s="3">
        <f>DATE(2006,10,17)</f>
        <v>39007</v>
      </c>
      <c r="B8270" s="3">
        <f>DATE(2007,1,3)</f>
        <v>39085</v>
      </c>
      <c r="C8270" s="2" t="s">
        <v>95</v>
      </c>
      <c r="D8270" s="2" t="s">
        <v>24675</v>
      </c>
      <c r="E8270" s="2" t="s">
        <v>24676</v>
      </c>
      <c r="F8270" s="4">
        <v>3661</v>
      </c>
      <c r="G8270" s="2" t="s">
        <v>921</v>
      </c>
      <c r="H8270" s="2" t="s">
        <v>34</v>
      </c>
      <c r="I8270" s="2" t="s">
        <v>19971</v>
      </c>
      <c r="J8270" s="2" t="s">
        <v>973</v>
      </c>
      <c r="K8270" s="2" t="s">
        <v>63</v>
      </c>
      <c r="L8270" s="2" t="s">
        <v>34</v>
      </c>
      <c r="M8270" s="12">
        <v>6075.5469999999996</v>
      </c>
      <c r="N8270" s="6">
        <v>6.02</v>
      </c>
      <c r="O8270" s="6">
        <v>5.77</v>
      </c>
      <c r="P8270" s="2" t="s">
        <v>24677</v>
      </c>
      <c r="Q8270" s="6">
        <v>100</v>
      </c>
      <c r="R8270" s="6">
        <v>15.31</v>
      </c>
      <c r="S8270" s="5">
        <v>-88.3</v>
      </c>
      <c r="T8270" s="7">
        <v>-42.094999999999999</v>
      </c>
      <c r="U8270" s="5">
        <v>5.2</v>
      </c>
      <c r="V8270" s="6">
        <v>-1.89</v>
      </c>
      <c r="W8270" s="6">
        <v>12.04</v>
      </c>
      <c r="X8270" s="6">
        <v>13.28</v>
      </c>
      <c r="Y8270" s="5">
        <v>15.9</v>
      </c>
      <c r="Z8270" s="6">
        <v>15.54</v>
      </c>
      <c r="AA8270" s="6">
        <v>87.76</v>
      </c>
      <c r="AB8270" s="2" t="s">
        <v>86</v>
      </c>
      <c r="AC8270" s="8">
        <v>1285</v>
      </c>
    </row>
    <row r="8271" spans="1:29" ht="260" x14ac:dyDescent="0.15">
      <c r="A8271" s="3">
        <f>DATE(2006,10,17)</f>
        <v>39007</v>
      </c>
      <c r="B8271" s="3">
        <f>DATE(2007,7,12)</f>
        <v>39275</v>
      </c>
      <c r="C8271" s="2" t="s">
        <v>95</v>
      </c>
      <c r="D8271" s="2" t="s">
        <v>24678</v>
      </c>
      <c r="E8271" s="2" t="s">
        <v>24679</v>
      </c>
      <c r="F8271" s="4">
        <v>6231</v>
      </c>
      <c r="G8271" s="2" t="s">
        <v>53</v>
      </c>
      <c r="H8271" s="2" t="s">
        <v>34</v>
      </c>
      <c r="I8271" s="2" t="s">
        <v>24680</v>
      </c>
      <c r="J8271" s="2" t="s">
        <v>22824</v>
      </c>
      <c r="K8271" s="2" t="s">
        <v>53</v>
      </c>
      <c r="L8271" s="2" t="s">
        <v>34</v>
      </c>
      <c r="M8271" s="12">
        <v>16254.838</v>
      </c>
      <c r="N8271" s="5">
        <v>516.5</v>
      </c>
      <c r="O8271" s="6">
        <v>507.25</v>
      </c>
      <c r="P8271" s="2" t="s">
        <v>24681</v>
      </c>
      <c r="Q8271" s="6">
        <v>100</v>
      </c>
      <c r="R8271" s="6">
        <v>208.38</v>
      </c>
      <c r="S8271" s="5">
        <v>192.5</v>
      </c>
      <c r="T8271" s="7">
        <v>359.42399999999998</v>
      </c>
      <c r="U8271" s="5">
        <v>14.5</v>
      </c>
      <c r="V8271" s="6">
        <v>3.64</v>
      </c>
      <c r="W8271" s="6">
        <v>130.77000000000001</v>
      </c>
      <c r="X8271" s="6">
        <v>134.51</v>
      </c>
      <c r="Y8271" s="6">
        <v>151.99</v>
      </c>
      <c r="Z8271" s="6">
        <v>148.94999999999999</v>
      </c>
      <c r="AA8271" s="6">
        <v>52.84</v>
      </c>
      <c r="AB8271" s="7">
        <v>34.090000000000003</v>
      </c>
      <c r="AC8271" s="10">
        <v>4788.5600000000004</v>
      </c>
    </row>
    <row r="8272" spans="1:29" ht="65" x14ac:dyDescent="0.15">
      <c r="A8272" s="3">
        <f>DATE(2006,10,17)</f>
        <v>39007</v>
      </c>
      <c r="B8272" s="3">
        <f>DATE(2006,10,17)</f>
        <v>39007</v>
      </c>
      <c r="C8272" s="2" t="s">
        <v>95</v>
      </c>
      <c r="D8272" s="2" t="s">
        <v>24682</v>
      </c>
      <c r="E8272" s="2" t="s">
        <v>209</v>
      </c>
      <c r="F8272" s="4">
        <v>3844</v>
      </c>
      <c r="G8272" s="2" t="s">
        <v>226</v>
      </c>
      <c r="H8272" s="2" t="s">
        <v>34</v>
      </c>
      <c r="I8272" s="2" t="s">
        <v>24683</v>
      </c>
      <c r="J8272" s="2" t="s">
        <v>9451</v>
      </c>
      <c r="K8272" s="2" t="s">
        <v>53</v>
      </c>
      <c r="L8272" s="2" t="s">
        <v>18001</v>
      </c>
      <c r="M8272" s="2"/>
      <c r="N8272" s="2"/>
      <c r="O8272" s="2"/>
      <c r="P8272" s="2" t="s">
        <v>24684</v>
      </c>
      <c r="Q8272" s="6">
        <v>37.9</v>
      </c>
      <c r="R8272" s="2"/>
      <c r="S8272" s="5">
        <v>-17</v>
      </c>
      <c r="T8272" s="7">
        <v>-11.574999999999999</v>
      </c>
      <c r="U8272" s="5">
        <v>5.3</v>
      </c>
      <c r="V8272" s="6">
        <v>-1.76</v>
      </c>
      <c r="W8272" s="6">
        <v>8.76</v>
      </c>
      <c r="X8272" s="6">
        <v>9.4499999999999993</v>
      </c>
      <c r="Y8272" s="7">
        <v>9.3360000000000003</v>
      </c>
      <c r="Z8272" s="5">
        <v>9.6</v>
      </c>
      <c r="AA8272" s="6">
        <v>11.35</v>
      </c>
      <c r="AB8272" s="2" t="s">
        <v>86</v>
      </c>
      <c r="AC8272" s="2"/>
    </row>
    <row r="8273" spans="1:29" ht="143" x14ac:dyDescent="0.15">
      <c r="A8273" s="3">
        <f>DATE(2006,10,17)</f>
        <v>39007</v>
      </c>
      <c r="B8273" s="3">
        <f>DATE(2007,1,8)</f>
        <v>39090</v>
      </c>
      <c r="C8273" s="2" t="s">
        <v>95</v>
      </c>
      <c r="D8273" s="2" t="s">
        <v>24685</v>
      </c>
      <c r="E8273" s="2" t="s">
        <v>500</v>
      </c>
      <c r="F8273" s="4">
        <v>3672</v>
      </c>
      <c r="G8273" s="2" t="s">
        <v>137</v>
      </c>
      <c r="H8273" s="2" t="s">
        <v>34</v>
      </c>
      <c r="I8273" s="2" t="s">
        <v>24686</v>
      </c>
      <c r="J8273" s="2" t="s">
        <v>500</v>
      </c>
      <c r="K8273" s="2" t="s">
        <v>137</v>
      </c>
      <c r="L8273" s="2" t="s">
        <v>34</v>
      </c>
      <c r="M8273" s="12">
        <v>1654.748</v>
      </c>
      <c r="N8273" s="6">
        <v>28.14</v>
      </c>
      <c r="O8273" s="6">
        <v>27.56</v>
      </c>
      <c r="P8273" s="2" t="s">
        <v>24687</v>
      </c>
      <c r="Q8273" s="6">
        <v>100</v>
      </c>
      <c r="R8273" s="6">
        <v>4.63</v>
      </c>
      <c r="S8273" s="5">
        <v>10.9</v>
      </c>
      <c r="T8273" s="6">
        <v>34.96</v>
      </c>
      <c r="U8273" s="5">
        <v>2.2999999999999998</v>
      </c>
      <c r="V8273" s="6">
        <v>0.23</v>
      </c>
      <c r="W8273" s="5">
        <v>3.6</v>
      </c>
      <c r="X8273" s="6">
        <v>3.65</v>
      </c>
      <c r="Y8273" s="6">
        <v>4.3499999999999996</v>
      </c>
      <c r="Z8273" s="5">
        <v>4.3</v>
      </c>
      <c r="AA8273" s="6">
        <v>45.4</v>
      </c>
      <c r="AB8273" s="7">
        <v>15.129</v>
      </c>
      <c r="AC8273" s="6">
        <v>321.24</v>
      </c>
    </row>
    <row r="8274" spans="1:29" ht="52" x14ac:dyDescent="0.15">
      <c r="A8274" s="3">
        <f>DATE(2006,10,17)</f>
        <v>39007</v>
      </c>
      <c r="B8274" s="2"/>
      <c r="C8274" s="2" t="s">
        <v>7330</v>
      </c>
      <c r="D8274" s="2" t="s">
        <v>24688</v>
      </c>
      <c r="E8274" s="2" t="s">
        <v>24689</v>
      </c>
      <c r="F8274" s="4">
        <v>4953</v>
      </c>
      <c r="G8274" s="2" t="s">
        <v>116</v>
      </c>
      <c r="H8274" s="2" t="s">
        <v>34</v>
      </c>
      <c r="I8274" s="2" t="s">
        <v>24690</v>
      </c>
      <c r="J8274" s="2" t="s">
        <v>24691</v>
      </c>
      <c r="K8274" s="2" t="s">
        <v>300</v>
      </c>
      <c r="L8274" s="2" t="s">
        <v>34</v>
      </c>
      <c r="M8274" s="2"/>
      <c r="N8274" s="7">
        <v>0.115</v>
      </c>
      <c r="O8274" s="7">
        <v>9.5000000000000001E-2</v>
      </c>
      <c r="P8274" s="2" t="s">
        <v>24692</v>
      </c>
      <c r="Q8274" s="2"/>
      <c r="R8274" s="2"/>
      <c r="S8274" s="5">
        <v>0</v>
      </c>
      <c r="T8274" s="2"/>
      <c r="U8274" s="8">
        <v>-28469</v>
      </c>
      <c r="V8274" s="6">
        <v>-10</v>
      </c>
      <c r="W8274" s="6">
        <v>1.25</v>
      </c>
      <c r="X8274" s="5">
        <v>1.5</v>
      </c>
      <c r="Y8274" s="5">
        <v>1.5</v>
      </c>
      <c r="Z8274" s="5">
        <v>1.5</v>
      </c>
      <c r="AA8274" s="6">
        <v>0.25</v>
      </c>
      <c r="AB8274" s="2" t="s">
        <v>47</v>
      </c>
      <c r="AC8274" s="2"/>
    </row>
    <row r="8275" spans="1:29" ht="91" x14ac:dyDescent="0.15">
      <c r="A8275" s="3">
        <f>DATE(2006,10,18)</f>
        <v>39008</v>
      </c>
      <c r="B8275" s="3">
        <f>DATE(2006,12,1)</f>
        <v>39052</v>
      </c>
      <c r="C8275" s="2" t="s">
        <v>95</v>
      </c>
      <c r="D8275" s="2" t="s">
        <v>24693</v>
      </c>
      <c r="E8275" s="2" t="s">
        <v>24694</v>
      </c>
      <c r="F8275" s="4">
        <v>3661</v>
      </c>
      <c r="G8275" s="2" t="s">
        <v>921</v>
      </c>
      <c r="H8275" s="2" t="s">
        <v>34</v>
      </c>
      <c r="I8275" s="2" t="s">
        <v>24695</v>
      </c>
      <c r="J8275" s="2" t="s">
        <v>10711</v>
      </c>
      <c r="K8275" s="2" t="s">
        <v>223</v>
      </c>
      <c r="L8275" s="2" t="s">
        <v>34</v>
      </c>
      <c r="M8275" s="7">
        <v>28.222999999999999</v>
      </c>
      <c r="N8275" s="5">
        <v>0.6</v>
      </c>
      <c r="O8275" s="5">
        <v>0.8</v>
      </c>
      <c r="P8275" s="2" t="s">
        <v>24696</v>
      </c>
      <c r="Q8275" s="6">
        <v>100</v>
      </c>
      <c r="R8275" s="6">
        <v>7.5</v>
      </c>
      <c r="S8275" s="5">
        <v>0.8</v>
      </c>
      <c r="T8275" s="6">
        <v>2.29</v>
      </c>
      <c r="U8275" s="5">
        <v>3.8</v>
      </c>
      <c r="V8275" s="6">
        <v>0.21</v>
      </c>
      <c r="W8275" s="5">
        <v>6.2</v>
      </c>
      <c r="X8275" s="6">
        <v>6.04</v>
      </c>
      <c r="Y8275" s="6">
        <v>6.55</v>
      </c>
      <c r="Z8275" s="5">
        <v>7.2</v>
      </c>
      <c r="AA8275" s="6">
        <v>3.76</v>
      </c>
      <c r="AB8275" s="7">
        <v>13.071</v>
      </c>
      <c r="AC8275" s="6">
        <v>4.75</v>
      </c>
    </row>
    <row r="8276" spans="1:29" ht="65" x14ac:dyDescent="0.15">
      <c r="A8276" s="3">
        <f>DATE(2006,10,19)</f>
        <v>39009</v>
      </c>
      <c r="B8276" s="3">
        <f>DATE(2008,12,9)</f>
        <v>39791</v>
      </c>
      <c r="C8276" s="2" t="s">
        <v>95</v>
      </c>
      <c r="D8276" s="2" t="s">
        <v>24697</v>
      </c>
      <c r="E8276" s="2" t="s">
        <v>24698</v>
      </c>
      <c r="F8276" s="4">
        <v>3634</v>
      </c>
      <c r="G8276" s="2" t="s">
        <v>137</v>
      </c>
      <c r="H8276" s="2" t="s">
        <v>34</v>
      </c>
      <c r="I8276" s="2" t="s">
        <v>24699</v>
      </c>
      <c r="J8276" s="2" t="s">
        <v>13664</v>
      </c>
      <c r="K8276" s="2" t="s">
        <v>53</v>
      </c>
      <c r="L8276" s="2" t="s">
        <v>34</v>
      </c>
      <c r="M8276" s="2"/>
      <c r="N8276" s="2"/>
      <c r="O8276" s="2"/>
      <c r="P8276" s="2" t="s">
        <v>24700</v>
      </c>
      <c r="Q8276" s="6">
        <v>84.46</v>
      </c>
      <c r="R8276" s="2"/>
      <c r="S8276" s="5">
        <v>-112.2</v>
      </c>
      <c r="T8276" s="6">
        <v>2.72</v>
      </c>
      <c r="U8276" s="5">
        <v>0.7</v>
      </c>
      <c r="V8276" s="6">
        <v>-8.31</v>
      </c>
      <c r="W8276" s="6">
        <v>2.04</v>
      </c>
      <c r="X8276" s="6">
        <v>2.08</v>
      </c>
      <c r="Y8276" s="6">
        <v>2.04</v>
      </c>
      <c r="Z8276" s="6">
        <v>2.35</v>
      </c>
      <c r="AA8276" s="6">
        <v>14.38</v>
      </c>
      <c r="AB8276" s="2" t="s">
        <v>86</v>
      </c>
      <c r="AC8276" s="2"/>
    </row>
    <row r="8277" spans="1:29" ht="91" x14ac:dyDescent="0.15">
      <c r="A8277" s="3">
        <f>DATE(2006,10,23)</f>
        <v>39013</v>
      </c>
      <c r="B8277" s="3">
        <f>DATE(2006,12,28)</f>
        <v>39079</v>
      </c>
      <c r="C8277" s="2" t="s">
        <v>95</v>
      </c>
      <c r="D8277" s="2" t="s">
        <v>24701</v>
      </c>
      <c r="E8277" s="2" t="s">
        <v>24702</v>
      </c>
      <c r="F8277" s="4">
        <v>2834</v>
      </c>
      <c r="G8277" s="2" t="s">
        <v>130</v>
      </c>
      <c r="H8277" s="2" t="s">
        <v>34</v>
      </c>
      <c r="I8277" s="2" t="s">
        <v>24703</v>
      </c>
      <c r="J8277" s="2" t="s">
        <v>129</v>
      </c>
      <c r="K8277" s="2" t="s">
        <v>130</v>
      </c>
      <c r="L8277" s="2" t="s">
        <v>34</v>
      </c>
      <c r="M8277" s="2"/>
      <c r="N8277" s="2"/>
      <c r="O8277" s="2"/>
      <c r="P8277" s="2" t="s">
        <v>24704</v>
      </c>
      <c r="Q8277" s="6">
        <v>100</v>
      </c>
      <c r="R8277" s="6">
        <v>17.5</v>
      </c>
      <c r="S8277" s="5">
        <v>-13</v>
      </c>
      <c r="T8277" s="7">
        <v>-6.931</v>
      </c>
      <c r="U8277" s="5">
        <v>2.2999999999999998</v>
      </c>
      <c r="V8277" s="6">
        <v>-0.44</v>
      </c>
      <c r="W8277" s="6">
        <v>11.14</v>
      </c>
      <c r="X8277" s="6">
        <v>11.71</v>
      </c>
      <c r="Y8277" s="6">
        <v>17.07</v>
      </c>
      <c r="Z8277" s="6">
        <v>16.940000000000001</v>
      </c>
      <c r="AA8277" s="6">
        <v>34.42</v>
      </c>
      <c r="AB8277" s="2" t="s">
        <v>86</v>
      </c>
      <c r="AC8277" s="2"/>
    </row>
    <row r="8278" spans="1:29" ht="91" x14ac:dyDescent="0.15">
      <c r="A8278" s="3">
        <f>DATE(2006,10,23)</f>
        <v>39013</v>
      </c>
      <c r="B8278" s="3">
        <f>DATE(2007,4,3)</f>
        <v>39175</v>
      </c>
      <c r="C8278" s="2" t="s">
        <v>95</v>
      </c>
      <c r="D8278" s="2" t="s">
        <v>24705</v>
      </c>
      <c r="E8278" s="2" t="s">
        <v>92</v>
      </c>
      <c r="F8278" s="4">
        <v>6798</v>
      </c>
      <c r="G8278" s="2" t="s">
        <v>53</v>
      </c>
      <c r="H8278" s="2" t="s">
        <v>34</v>
      </c>
      <c r="I8278" s="2" t="s">
        <v>24706</v>
      </c>
      <c r="J8278" s="2" t="s">
        <v>2044</v>
      </c>
      <c r="K8278" s="2" t="s">
        <v>53</v>
      </c>
      <c r="L8278" s="2" t="s">
        <v>885</v>
      </c>
      <c r="M8278" s="7">
        <v>153.47200000000001</v>
      </c>
      <c r="N8278" s="7">
        <v>0.72599999999999998</v>
      </c>
      <c r="O8278" s="7">
        <v>0.73099999999999998</v>
      </c>
      <c r="P8278" s="2" t="s">
        <v>24707</v>
      </c>
      <c r="Q8278" s="6">
        <v>100</v>
      </c>
      <c r="R8278" s="6">
        <v>10.75</v>
      </c>
      <c r="S8278" s="5">
        <v>-2.9</v>
      </c>
      <c r="T8278" s="7">
        <v>11.694000000000001</v>
      </c>
      <c r="U8278" s="5">
        <v>7.2</v>
      </c>
      <c r="V8278" s="6">
        <v>-0.14000000000000001</v>
      </c>
      <c r="W8278" s="6">
        <v>9.48</v>
      </c>
      <c r="X8278" s="6">
        <v>9.41</v>
      </c>
      <c r="Y8278" s="6">
        <v>9.17</v>
      </c>
      <c r="Z8278" s="5">
        <v>10.5</v>
      </c>
      <c r="AA8278" s="6">
        <v>20.8</v>
      </c>
      <c r="AB8278" s="2" t="s">
        <v>86</v>
      </c>
      <c r="AC8278" s="6">
        <v>33.130000000000003</v>
      </c>
    </row>
    <row r="8279" spans="1:29" ht="104" x14ac:dyDescent="0.15">
      <c r="A8279" s="3">
        <f>DATE(2006,10,23)</f>
        <v>39013</v>
      </c>
      <c r="B8279" s="3">
        <f>DATE(2007,1,9)</f>
        <v>39091</v>
      </c>
      <c r="C8279" s="2" t="s">
        <v>95</v>
      </c>
      <c r="D8279" s="2" t="s">
        <v>24708</v>
      </c>
      <c r="E8279" s="2" t="s">
        <v>15941</v>
      </c>
      <c r="F8279" s="4">
        <v>7372</v>
      </c>
      <c r="G8279" s="2" t="s">
        <v>551</v>
      </c>
      <c r="H8279" s="2" t="s">
        <v>34</v>
      </c>
      <c r="I8279" s="2" t="s">
        <v>24709</v>
      </c>
      <c r="J8279" s="2" t="s">
        <v>24710</v>
      </c>
      <c r="K8279" s="2" t="s">
        <v>223</v>
      </c>
      <c r="L8279" s="2" t="s">
        <v>902</v>
      </c>
      <c r="M8279" s="2"/>
      <c r="N8279" s="2"/>
      <c r="O8279" s="2"/>
      <c r="P8279" s="2" t="s">
        <v>24711</v>
      </c>
      <c r="Q8279" s="6">
        <v>100</v>
      </c>
      <c r="R8279" s="6">
        <v>3.85</v>
      </c>
      <c r="S8279" s="5">
        <v>2.7</v>
      </c>
      <c r="T8279" s="7">
        <v>9.2010000000000005</v>
      </c>
      <c r="U8279" s="5">
        <v>0.8</v>
      </c>
      <c r="V8279" s="6">
        <v>0.05</v>
      </c>
      <c r="W8279" s="6">
        <v>2.67</v>
      </c>
      <c r="X8279" s="6">
        <v>2.52</v>
      </c>
      <c r="Y8279" s="6">
        <v>3.68</v>
      </c>
      <c r="Z8279" s="6">
        <v>3.67</v>
      </c>
      <c r="AA8279" s="6">
        <v>59.1</v>
      </c>
      <c r="AB8279" s="7">
        <v>149.77099999999999</v>
      </c>
      <c r="AC8279" s="6">
        <v>22.25</v>
      </c>
    </row>
    <row r="8280" spans="1:29" ht="78" x14ac:dyDescent="0.15">
      <c r="A8280" s="3">
        <f>DATE(2006,10,23)</f>
        <v>39013</v>
      </c>
      <c r="B8280" s="3">
        <f>DATE(2006,12,31)</f>
        <v>39082</v>
      </c>
      <c r="C8280" s="2" t="s">
        <v>95</v>
      </c>
      <c r="D8280" s="2" t="s">
        <v>24712</v>
      </c>
      <c r="E8280" s="2" t="s">
        <v>23667</v>
      </c>
      <c r="F8280" s="4">
        <v>7373</v>
      </c>
      <c r="G8280" s="2" t="s">
        <v>223</v>
      </c>
      <c r="H8280" s="2" t="s">
        <v>34</v>
      </c>
      <c r="I8280" s="2" t="s">
        <v>8588</v>
      </c>
      <c r="J8280" s="2" t="s">
        <v>8589</v>
      </c>
      <c r="K8280" s="2" t="s">
        <v>551</v>
      </c>
      <c r="L8280" s="2" t="s">
        <v>34</v>
      </c>
      <c r="M8280" s="12">
        <v>93362.660999999993</v>
      </c>
      <c r="N8280" s="6">
        <v>19.149999999999999</v>
      </c>
      <c r="O8280" s="6">
        <v>18.89</v>
      </c>
      <c r="P8280" s="2" t="s">
        <v>24713</v>
      </c>
      <c r="Q8280" s="6">
        <v>100</v>
      </c>
      <c r="R8280" s="6">
        <v>4.0999999999999996</v>
      </c>
      <c r="S8280" s="5">
        <v>1.5</v>
      </c>
      <c r="T8280" s="7">
        <v>4.2560000000000002</v>
      </c>
      <c r="U8280" s="5">
        <v>1.1000000000000001</v>
      </c>
      <c r="V8280" s="6">
        <v>0.04</v>
      </c>
      <c r="W8280" s="6">
        <v>3.43</v>
      </c>
      <c r="X8280" s="6">
        <v>3.32</v>
      </c>
      <c r="Y8280" s="6">
        <v>4.01</v>
      </c>
      <c r="Z8280" s="6">
        <v>4.0199999999999996</v>
      </c>
      <c r="AA8280" s="6">
        <v>50.52</v>
      </c>
      <c r="AB8280" s="7">
        <v>185.76</v>
      </c>
      <c r="AC8280" s="8">
        <v>8298</v>
      </c>
    </row>
    <row r="8281" spans="1:29" ht="91" x14ac:dyDescent="0.15">
      <c r="A8281" s="3">
        <f>DATE(2006,10,23)</f>
        <v>39013</v>
      </c>
      <c r="B8281" s="3">
        <f>DATE(2007,2,1)</f>
        <v>39114</v>
      </c>
      <c r="C8281" s="2" t="s">
        <v>95</v>
      </c>
      <c r="D8281" s="2" t="s">
        <v>24714</v>
      </c>
      <c r="E8281" s="2" t="s">
        <v>1181</v>
      </c>
      <c r="F8281" s="4">
        <v>6022</v>
      </c>
      <c r="G8281" s="2" t="s">
        <v>37</v>
      </c>
      <c r="H8281" s="2" t="s">
        <v>34</v>
      </c>
      <c r="I8281" s="2" t="s">
        <v>7744</v>
      </c>
      <c r="J8281" s="2" t="s">
        <v>36</v>
      </c>
      <c r="K8281" s="2" t="s">
        <v>37</v>
      </c>
      <c r="L8281" s="2" t="s">
        <v>34</v>
      </c>
      <c r="M8281" s="12">
        <v>1265.739</v>
      </c>
      <c r="N8281" s="6">
        <v>19.02</v>
      </c>
      <c r="O8281" s="6">
        <v>18.96</v>
      </c>
      <c r="P8281" s="2" t="s">
        <v>24715</v>
      </c>
      <c r="Q8281" s="6">
        <v>86.39</v>
      </c>
      <c r="R8281" s="6">
        <v>40</v>
      </c>
      <c r="S8281" s="5">
        <v>1.8</v>
      </c>
      <c r="T8281" s="7">
        <v>3.129</v>
      </c>
      <c r="U8281" s="5">
        <v>17.5</v>
      </c>
      <c r="V8281" s="6">
        <v>1.01</v>
      </c>
      <c r="W8281" s="6">
        <v>27.75</v>
      </c>
      <c r="X8281" s="6">
        <v>28.38</v>
      </c>
      <c r="Y8281" s="6">
        <v>38.75</v>
      </c>
      <c r="Z8281" s="6">
        <v>38.79</v>
      </c>
      <c r="AA8281" s="6">
        <v>1.78</v>
      </c>
      <c r="AB8281" s="7">
        <v>49.347000000000001</v>
      </c>
      <c r="AC8281" s="2"/>
    </row>
    <row r="8282" spans="1:29" ht="143" x14ac:dyDescent="0.15">
      <c r="A8282" s="3">
        <f>DATE(2006,10,25)</f>
        <v>39015</v>
      </c>
      <c r="B8282" s="2"/>
      <c r="C8282" s="2" t="s">
        <v>30</v>
      </c>
      <c r="D8282" s="2" t="s">
        <v>24654</v>
      </c>
      <c r="E8282" s="2" t="s">
        <v>24655</v>
      </c>
      <c r="F8282" s="4">
        <v>7389</v>
      </c>
      <c r="G8282" s="2" t="s">
        <v>223</v>
      </c>
      <c r="H8282" s="2" t="s">
        <v>34</v>
      </c>
      <c r="I8282" s="2" t="s">
        <v>51</v>
      </c>
      <c r="J8282" s="2" t="s">
        <v>52</v>
      </c>
      <c r="K8282" s="2" t="s">
        <v>53</v>
      </c>
      <c r="L8282" s="2" t="s">
        <v>34</v>
      </c>
      <c r="M8282" s="2"/>
      <c r="N8282" s="2"/>
      <c r="O8282" s="2"/>
      <c r="P8282" s="2" t="s">
        <v>24716</v>
      </c>
      <c r="Q8282" s="2"/>
      <c r="R8282" s="6">
        <v>4.5</v>
      </c>
      <c r="S8282" s="5">
        <v>7.5</v>
      </c>
      <c r="T8282" s="6">
        <v>61.72</v>
      </c>
      <c r="U8282" s="5">
        <v>1.8</v>
      </c>
      <c r="V8282" s="6">
        <v>0.1</v>
      </c>
      <c r="W8282" s="6">
        <v>3.93</v>
      </c>
      <c r="X8282" s="6">
        <v>3.98</v>
      </c>
      <c r="Y8282" s="5">
        <v>4.3</v>
      </c>
      <c r="Z8282" s="6">
        <v>4.37</v>
      </c>
      <c r="AA8282" s="6">
        <v>74.510000000000005</v>
      </c>
      <c r="AB8282" s="7">
        <v>16.213000000000001</v>
      </c>
      <c r="AC8282" s="2"/>
    </row>
    <row r="8283" spans="1:29" ht="156" x14ac:dyDescent="0.15">
      <c r="A8283" s="3">
        <f>DATE(2006,10,25)</f>
        <v>39015</v>
      </c>
      <c r="B8283" s="2"/>
      <c r="C8283" s="2" t="s">
        <v>30</v>
      </c>
      <c r="D8283" s="2" t="s">
        <v>24717</v>
      </c>
      <c r="E8283" s="2" t="s">
        <v>18339</v>
      </c>
      <c r="F8283" s="4">
        <v>6311</v>
      </c>
      <c r="G8283" s="2" t="s">
        <v>125</v>
      </c>
      <c r="H8283" s="2" t="s">
        <v>34</v>
      </c>
      <c r="I8283" s="2" t="s">
        <v>51</v>
      </c>
      <c r="J8283" s="2" t="s">
        <v>52</v>
      </c>
      <c r="K8283" s="2" t="s">
        <v>53</v>
      </c>
      <c r="L8283" s="2" t="s">
        <v>34</v>
      </c>
      <c r="M8283" s="2"/>
      <c r="N8283" s="2"/>
      <c r="O8283" s="2"/>
      <c r="P8283" s="2" t="s">
        <v>24718</v>
      </c>
      <c r="Q8283" s="2"/>
      <c r="R8283" s="6">
        <v>18.149999999999999</v>
      </c>
      <c r="S8283" s="5">
        <v>59.2</v>
      </c>
      <c r="T8283" s="2"/>
      <c r="U8283" s="5">
        <v>10.1</v>
      </c>
      <c r="V8283" s="6">
        <v>0.84</v>
      </c>
      <c r="W8283" s="6">
        <v>15.87</v>
      </c>
      <c r="X8283" s="6">
        <v>16.18</v>
      </c>
      <c r="Y8283" s="6">
        <v>18.55</v>
      </c>
      <c r="Z8283" s="5">
        <v>18.899999999999999</v>
      </c>
      <c r="AA8283" s="6">
        <v>58.47</v>
      </c>
      <c r="AB8283" s="7">
        <v>12.939</v>
      </c>
      <c r="AC8283" s="2"/>
    </row>
    <row r="8284" spans="1:29" ht="130" x14ac:dyDescent="0.15">
      <c r="A8284" s="3">
        <f>DATE(2006,10,25)</f>
        <v>39015</v>
      </c>
      <c r="B8284" s="3">
        <f>DATE(2007,2,6)</f>
        <v>39119</v>
      </c>
      <c r="C8284" s="2" t="s">
        <v>95</v>
      </c>
      <c r="D8284" s="2" t="s">
        <v>24719</v>
      </c>
      <c r="E8284" s="2" t="s">
        <v>24720</v>
      </c>
      <c r="F8284" s="4">
        <v>3999</v>
      </c>
      <c r="G8284" s="2" t="s">
        <v>112</v>
      </c>
      <c r="H8284" s="2" t="s">
        <v>34</v>
      </c>
      <c r="I8284" s="2" t="s">
        <v>10332</v>
      </c>
      <c r="J8284" s="2" t="s">
        <v>244</v>
      </c>
      <c r="K8284" s="2" t="s">
        <v>53</v>
      </c>
      <c r="L8284" s="2" t="s">
        <v>34</v>
      </c>
      <c r="M8284" s="2"/>
      <c r="N8284" s="2"/>
      <c r="O8284" s="2"/>
      <c r="P8284" s="2" t="s">
        <v>24721</v>
      </c>
      <c r="Q8284" s="6">
        <v>100</v>
      </c>
      <c r="R8284" s="6">
        <v>34.75</v>
      </c>
      <c r="S8284" s="5">
        <v>75.599999999999994</v>
      </c>
      <c r="T8284" s="2"/>
      <c r="U8284" s="5">
        <v>1.6</v>
      </c>
      <c r="V8284" s="6">
        <v>1.76</v>
      </c>
      <c r="W8284" s="5">
        <v>29.2</v>
      </c>
      <c r="X8284" s="6">
        <v>28.72</v>
      </c>
      <c r="Y8284" s="6">
        <v>33.729999999999997</v>
      </c>
      <c r="Z8284" s="6">
        <v>33.770000000000003</v>
      </c>
      <c r="AA8284" s="6">
        <v>39.76</v>
      </c>
      <c r="AB8284" s="7">
        <v>12.148</v>
      </c>
      <c r="AC8284" s="2"/>
    </row>
    <row r="8285" spans="1:29" ht="78" x14ac:dyDescent="0.15">
      <c r="A8285" s="3">
        <f>DATE(2006,10,26)</f>
        <v>39016</v>
      </c>
      <c r="B8285" s="3">
        <f>DATE(2007,2,9)</f>
        <v>39122</v>
      </c>
      <c r="C8285" s="2" t="s">
        <v>95</v>
      </c>
      <c r="D8285" s="2" t="s">
        <v>24722</v>
      </c>
      <c r="E8285" s="2" t="s">
        <v>4572</v>
      </c>
      <c r="F8285" s="4">
        <v>7371</v>
      </c>
      <c r="G8285" s="2" t="s">
        <v>223</v>
      </c>
      <c r="H8285" s="2" t="s">
        <v>34</v>
      </c>
      <c r="I8285" s="2" t="s">
        <v>24723</v>
      </c>
      <c r="J8285" s="2" t="s">
        <v>9379</v>
      </c>
      <c r="K8285" s="2" t="s">
        <v>223</v>
      </c>
      <c r="L8285" s="2" t="s">
        <v>133</v>
      </c>
      <c r="M8285" s="12">
        <v>7063.3050000000003</v>
      </c>
      <c r="N8285" s="7">
        <v>55.332999999999998</v>
      </c>
      <c r="O8285" s="7">
        <v>55.100999999999999</v>
      </c>
      <c r="P8285" s="2" t="s">
        <v>24724</v>
      </c>
      <c r="Q8285" s="6">
        <v>100</v>
      </c>
      <c r="R8285" s="6">
        <v>29</v>
      </c>
      <c r="S8285" s="5">
        <v>33.6</v>
      </c>
      <c r="T8285" s="7">
        <v>58.631999999999998</v>
      </c>
      <c r="U8285" s="5">
        <v>7.4</v>
      </c>
      <c r="V8285" s="6">
        <v>0.85</v>
      </c>
      <c r="W8285" s="6">
        <v>23.24</v>
      </c>
      <c r="X8285" s="6">
        <v>25.02</v>
      </c>
      <c r="Y8285" s="5">
        <v>28.6</v>
      </c>
      <c r="Z8285" s="6">
        <v>28.35</v>
      </c>
      <c r="AA8285" s="6">
        <v>40.08</v>
      </c>
      <c r="AB8285" s="7">
        <v>26.957999999999998</v>
      </c>
      <c r="AC8285" s="8">
        <v>2629.9</v>
      </c>
    </row>
    <row r="8286" spans="1:29" ht="78" x14ac:dyDescent="0.15">
      <c r="A8286" s="3">
        <f>DATE(2006,10,28)</f>
        <v>39018</v>
      </c>
      <c r="B8286" s="3">
        <f>DATE(2007,2,14)</f>
        <v>39127</v>
      </c>
      <c r="C8286" s="2" t="s">
        <v>95</v>
      </c>
      <c r="D8286" s="2" t="s">
        <v>24725</v>
      </c>
      <c r="E8286" s="2" t="s">
        <v>24726</v>
      </c>
      <c r="F8286" s="4">
        <v>3629</v>
      </c>
      <c r="G8286" s="2" t="s">
        <v>137</v>
      </c>
      <c r="H8286" s="2" t="s">
        <v>34</v>
      </c>
      <c r="I8286" s="2" t="s">
        <v>23163</v>
      </c>
      <c r="J8286" s="2" t="s">
        <v>23164</v>
      </c>
      <c r="K8286" s="2" t="s">
        <v>137</v>
      </c>
      <c r="L8286" s="2" t="s">
        <v>133</v>
      </c>
      <c r="M8286" s="12">
        <v>25256.687999999998</v>
      </c>
      <c r="N8286" s="7">
        <v>104.28700000000001</v>
      </c>
      <c r="O8286" s="7">
        <v>104.28700000000001</v>
      </c>
      <c r="P8286" s="2" t="s">
        <v>24727</v>
      </c>
      <c r="Q8286" s="6">
        <v>100</v>
      </c>
      <c r="R8286" s="6">
        <v>31</v>
      </c>
      <c r="S8286" s="5">
        <v>101.8</v>
      </c>
      <c r="T8286" s="7">
        <v>168.459</v>
      </c>
      <c r="U8286" s="5">
        <v>8.1999999999999993</v>
      </c>
      <c r="V8286" s="6">
        <v>0.52</v>
      </c>
      <c r="W8286" s="6">
        <v>22.26</v>
      </c>
      <c r="X8286" s="6">
        <v>23.76</v>
      </c>
      <c r="Y8286" s="6">
        <v>30.02</v>
      </c>
      <c r="Z8286" s="6">
        <v>30.02</v>
      </c>
      <c r="AA8286" s="6">
        <v>190.48</v>
      </c>
      <c r="AB8286" s="7">
        <v>49.491999999999997</v>
      </c>
      <c r="AC8286" s="10">
        <v>1637.85</v>
      </c>
    </row>
    <row r="8287" spans="1:29" ht="91" x14ac:dyDescent="0.15">
      <c r="A8287" s="3">
        <f>DATE(2006,10,30)</f>
        <v>39020</v>
      </c>
      <c r="B8287" s="3">
        <f>DATE(2006,12,29)</f>
        <v>39080</v>
      </c>
      <c r="C8287" s="2" t="s">
        <v>95</v>
      </c>
      <c r="D8287" s="2" t="s">
        <v>24728</v>
      </c>
      <c r="E8287" s="2" t="s">
        <v>540</v>
      </c>
      <c r="F8287" s="4">
        <v>2834</v>
      </c>
      <c r="G8287" s="2" t="s">
        <v>130</v>
      </c>
      <c r="H8287" s="2" t="s">
        <v>34</v>
      </c>
      <c r="I8287" s="2" t="s">
        <v>4010</v>
      </c>
      <c r="J8287" s="2" t="s">
        <v>4011</v>
      </c>
      <c r="K8287" s="2" t="s">
        <v>130</v>
      </c>
      <c r="L8287" s="2" t="s">
        <v>34</v>
      </c>
      <c r="M8287" s="10">
        <v>90679.27</v>
      </c>
      <c r="N8287" s="6">
        <v>45.64</v>
      </c>
      <c r="O8287" s="6">
        <v>45.42</v>
      </c>
      <c r="P8287" s="2" t="s">
        <v>24729</v>
      </c>
      <c r="Q8287" s="6">
        <v>100</v>
      </c>
      <c r="R8287" s="6">
        <v>13</v>
      </c>
      <c r="S8287" s="5">
        <v>-33.4</v>
      </c>
      <c r="T8287" s="7">
        <v>-34.558999999999997</v>
      </c>
      <c r="U8287" s="5">
        <v>1</v>
      </c>
      <c r="V8287" s="6">
        <v>-0.51</v>
      </c>
      <c r="W8287" s="5">
        <v>6.9</v>
      </c>
      <c r="X8287" s="7">
        <v>6.4950000000000001</v>
      </c>
      <c r="Y8287" s="6">
        <v>6.45</v>
      </c>
      <c r="Z8287" s="6">
        <v>12.63</v>
      </c>
      <c r="AA8287" s="6">
        <v>72.88</v>
      </c>
      <c r="AB8287" s="2" t="s">
        <v>86</v>
      </c>
      <c r="AC8287" s="8">
        <v>9087</v>
      </c>
    </row>
    <row r="8288" spans="1:29" ht="130" x14ac:dyDescent="0.15">
      <c r="A8288" s="3">
        <f>DATE(2006,10,30)</f>
        <v>39020</v>
      </c>
      <c r="B8288" s="3">
        <f>DATE(2006,12,20)</f>
        <v>39071</v>
      </c>
      <c r="C8288" s="2" t="s">
        <v>95</v>
      </c>
      <c r="D8288" s="2" t="s">
        <v>23816</v>
      </c>
      <c r="E8288" s="2" t="s">
        <v>23817</v>
      </c>
      <c r="F8288" s="4">
        <v>6512</v>
      </c>
      <c r="G8288" s="2" t="s">
        <v>109</v>
      </c>
      <c r="H8288" s="2" t="s">
        <v>34</v>
      </c>
      <c r="I8288" s="2" t="s">
        <v>24730</v>
      </c>
      <c r="J8288" s="2" t="s">
        <v>24731</v>
      </c>
      <c r="K8288" s="2" t="s">
        <v>109</v>
      </c>
      <c r="L8288" s="2" t="s">
        <v>34</v>
      </c>
      <c r="M8288" s="12">
        <v>5369.6719999999996</v>
      </c>
      <c r="N8288" s="6">
        <v>28.22</v>
      </c>
      <c r="O8288" s="6">
        <v>30.03</v>
      </c>
      <c r="P8288" s="2" t="s">
        <v>24732</v>
      </c>
      <c r="Q8288" s="6">
        <v>100</v>
      </c>
      <c r="R8288" s="6">
        <v>49.51</v>
      </c>
      <c r="S8288" s="5">
        <v>53.2</v>
      </c>
      <c r="T8288" s="7">
        <v>61.868000000000002</v>
      </c>
      <c r="U8288" s="5">
        <v>11.3</v>
      </c>
      <c r="V8288" s="6">
        <v>1.45</v>
      </c>
      <c r="W8288" s="6">
        <v>37.619999999999997</v>
      </c>
      <c r="X8288" s="6">
        <v>38.65</v>
      </c>
      <c r="Y8288" s="5">
        <v>39.1</v>
      </c>
      <c r="Z8288" s="6">
        <v>48.75</v>
      </c>
      <c r="AA8288" s="6">
        <v>36.07</v>
      </c>
      <c r="AB8288" s="7">
        <v>44.820999999999998</v>
      </c>
      <c r="AC8288" s="6">
        <v>147.01</v>
      </c>
    </row>
    <row r="8289" spans="1:29" ht="104" x14ac:dyDescent="0.15">
      <c r="A8289" s="3">
        <f>DATE(2006,10,30)</f>
        <v>39020</v>
      </c>
      <c r="B8289" s="3">
        <f>DATE(2007,2,26)</f>
        <v>39139</v>
      </c>
      <c r="C8289" s="2" t="s">
        <v>95</v>
      </c>
      <c r="D8289" s="2" t="s">
        <v>24733</v>
      </c>
      <c r="E8289" s="2" t="s">
        <v>92</v>
      </c>
      <c r="F8289" s="4">
        <v>6798</v>
      </c>
      <c r="G8289" s="2" t="s">
        <v>53</v>
      </c>
      <c r="H8289" s="2" t="s">
        <v>34</v>
      </c>
      <c r="I8289" s="2" t="s">
        <v>24734</v>
      </c>
      <c r="J8289" s="2" t="s">
        <v>7957</v>
      </c>
      <c r="K8289" s="2" t="s">
        <v>370</v>
      </c>
      <c r="L8289" s="2" t="s">
        <v>34</v>
      </c>
      <c r="M8289" s="2"/>
      <c r="N8289" s="2"/>
      <c r="O8289" s="2"/>
      <c r="P8289" s="2" t="s">
        <v>24735</v>
      </c>
      <c r="Q8289" s="6">
        <v>100</v>
      </c>
      <c r="R8289" s="6">
        <v>17.05</v>
      </c>
      <c r="S8289" s="5">
        <v>35.4</v>
      </c>
      <c r="T8289" s="7">
        <v>67.754000000000005</v>
      </c>
      <c r="U8289" s="5">
        <v>10.3</v>
      </c>
      <c r="V8289" s="6">
        <v>0.12</v>
      </c>
      <c r="W8289" s="5">
        <v>12.5</v>
      </c>
      <c r="X8289" s="6">
        <v>12.51</v>
      </c>
      <c r="Y8289" s="6">
        <v>16.97</v>
      </c>
      <c r="Z8289" s="6">
        <v>16.97</v>
      </c>
      <c r="AA8289" s="6">
        <v>67.53</v>
      </c>
      <c r="AB8289" s="7">
        <v>106.17700000000001</v>
      </c>
      <c r="AC8289" s="2"/>
    </row>
    <row r="8290" spans="1:29" ht="117" x14ac:dyDescent="0.15">
      <c r="A8290" s="3">
        <f>DATE(2006,10,31)</f>
        <v>39021</v>
      </c>
      <c r="B8290" s="3">
        <f>DATE(2007,1,9)</f>
        <v>39091</v>
      </c>
      <c r="C8290" s="2" t="s">
        <v>95</v>
      </c>
      <c r="D8290" s="2" t="s">
        <v>24414</v>
      </c>
      <c r="E8290" s="2" t="s">
        <v>24415</v>
      </c>
      <c r="F8290" s="4">
        <v>2752</v>
      </c>
      <c r="G8290" s="2" t="s">
        <v>186</v>
      </c>
      <c r="H8290" s="2" t="s">
        <v>34</v>
      </c>
      <c r="I8290" s="2" t="s">
        <v>24395</v>
      </c>
      <c r="J8290" s="2" t="s">
        <v>24396</v>
      </c>
      <c r="K8290" s="2" t="s">
        <v>186</v>
      </c>
      <c r="L8290" s="2" t="s">
        <v>34</v>
      </c>
      <c r="M8290" s="12">
        <v>7174.6710000000003</v>
      </c>
      <c r="N8290" s="6">
        <v>33.86</v>
      </c>
      <c r="O8290" s="6">
        <v>34.25</v>
      </c>
      <c r="P8290" s="2" t="s">
        <v>24736</v>
      </c>
      <c r="Q8290" s="6">
        <v>100</v>
      </c>
      <c r="R8290" s="6">
        <v>52.5</v>
      </c>
      <c r="S8290" s="5">
        <v>64.599999999999994</v>
      </c>
      <c r="T8290" s="7">
        <v>152.648</v>
      </c>
      <c r="U8290" s="5">
        <v>8.1</v>
      </c>
      <c r="V8290" s="6">
        <v>2.65</v>
      </c>
      <c r="W8290" s="6">
        <v>45.75</v>
      </c>
      <c r="X8290" s="6">
        <v>45.01</v>
      </c>
      <c r="Y8290" s="6">
        <v>44.28</v>
      </c>
      <c r="Z8290" s="6">
        <v>52.15</v>
      </c>
      <c r="AA8290" s="6">
        <v>24.11</v>
      </c>
      <c r="AB8290" s="7">
        <v>12.266</v>
      </c>
      <c r="AC8290" s="5">
        <v>250.7</v>
      </c>
    </row>
    <row r="8291" spans="1:29" ht="130" x14ac:dyDescent="0.15">
      <c r="A8291" s="3">
        <f>DATE(2006,10,31)</f>
        <v>39021</v>
      </c>
      <c r="B8291" s="3">
        <f>DATE(2007,3,30)</f>
        <v>39171</v>
      </c>
      <c r="C8291" s="2" t="s">
        <v>95</v>
      </c>
      <c r="D8291" s="2" t="s">
        <v>23888</v>
      </c>
      <c r="E8291" s="2" t="s">
        <v>9851</v>
      </c>
      <c r="F8291" s="4">
        <v>6331</v>
      </c>
      <c r="G8291" s="2" t="s">
        <v>125</v>
      </c>
      <c r="H8291" s="2" t="s">
        <v>34</v>
      </c>
      <c r="I8291" s="2" t="s">
        <v>24737</v>
      </c>
      <c r="J8291" s="2" t="s">
        <v>124</v>
      </c>
      <c r="K8291" s="2" t="s">
        <v>125</v>
      </c>
      <c r="L8291" s="2" t="s">
        <v>34</v>
      </c>
      <c r="M8291" s="2"/>
      <c r="N8291" s="2"/>
      <c r="O8291" s="2"/>
      <c r="P8291" s="2" t="s">
        <v>24738</v>
      </c>
      <c r="Q8291" s="6">
        <v>100</v>
      </c>
      <c r="R8291" s="6">
        <v>33</v>
      </c>
      <c r="S8291" s="5">
        <v>5.6</v>
      </c>
      <c r="T8291" s="2"/>
      <c r="U8291" s="5">
        <v>38.299999999999997</v>
      </c>
      <c r="V8291" s="6">
        <v>2.64</v>
      </c>
      <c r="W8291" s="6">
        <v>30.65</v>
      </c>
      <c r="X8291" s="5">
        <v>30.4</v>
      </c>
      <c r="Y8291" s="6">
        <v>30.64</v>
      </c>
      <c r="Z8291" s="6">
        <v>31.91</v>
      </c>
      <c r="AA8291" s="6">
        <v>2.15</v>
      </c>
      <c r="AB8291" s="7">
        <v>8.9309999999999992</v>
      </c>
      <c r="AC8291" s="2"/>
    </row>
    <row r="8292" spans="1:29" ht="78" x14ac:dyDescent="0.15">
      <c r="A8292" s="3">
        <f>DATE(2006,11,1)</f>
        <v>39022</v>
      </c>
      <c r="B8292" s="3">
        <f>DATE(2007,2,28)</f>
        <v>39141</v>
      </c>
      <c r="C8292" s="2" t="s">
        <v>95</v>
      </c>
      <c r="D8292" s="2" t="s">
        <v>24739</v>
      </c>
      <c r="E8292" s="2" t="s">
        <v>672</v>
      </c>
      <c r="F8292" s="4">
        <v>6712</v>
      </c>
      <c r="G8292" s="2" t="s">
        <v>37</v>
      </c>
      <c r="H8292" s="2" t="s">
        <v>34</v>
      </c>
      <c r="I8292" s="2" t="s">
        <v>15328</v>
      </c>
      <c r="J8292" s="2" t="s">
        <v>36</v>
      </c>
      <c r="K8292" s="2" t="s">
        <v>37</v>
      </c>
      <c r="L8292" s="2" t="s">
        <v>34</v>
      </c>
      <c r="M8292" s="10">
        <v>3229.22</v>
      </c>
      <c r="N8292" s="6">
        <v>66.569999999999993</v>
      </c>
      <c r="O8292" s="6">
        <v>65.44</v>
      </c>
      <c r="P8292" s="2" t="s">
        <v>24740</v>
      </c>
      <c r="Q8292" s="6">
        <v>100</v>
      </c>
      <c r="R8292" s="2"/>
      <c r="S8292" s="2"/>
      <c r="T8292" s="2"/>
      <c r="U8292" s="2"/>
      <c r="V8292" s="2"/>
      <c r="W8292" s="5">
        <v>52.5</v>
      </c>
      <c r="X8292" s="4">
        <v>58</v>
      </c>
      <c r="Y8292" s="5">
        <v>63.6</v>
      </c>
      <c r="Z8292" s="6">
        <v>63.05</v>
      </c>
      <c r="AA8292" s="2"/>
      <c r="AB8292" s="2" t="s">
        <v>47</v>
      </c>
      <c r="AC8292" s="2"/>
    </row>
    <row r="8293" spans="1:29" ht="299" x14ac:dyDescent="0.15">
      <c r="A8293" s="3">
        <f>DATE(2006,11,1)</f>
        <v>39022</v>
      </c>
      <c r="B8293" s="3">
        <f>DATE(2007,3,22)</f>
        <v>39163</v>
      </c>
      <c r="C8293" s="2" t="s">
        <v>95</v>
      </c>
      <c r="D8293" s="2" t="s">
        <v>21196</v>
      </c>
      <c r="E8293" s="2" t="s">
        <v>9168</v>
      </c>
      <c r="F8293" s="4">
        <v>8099</v>
      </c>
      <c r="G8293" s="2" t="s">
        <v>454</v>
      </c>
      <c r="H8293" s="2" t="s">
        <v>34</v>
      </c>
      <c r="I8293" s="2" t="s">
        <v>9200</v>
      </c>
      <c r="J8293" s="2" t="s">
        <v>9201</v>
      </c>
      <c r="K8293" s="2" t="s">
        <v>73</v>
      </c>
      <c r="L8293" s="2" t="s">
        <v>34</v>
      </c>
      <c r="M8293" s="12">
        <v>26408.685000000001</v>
      </c>
      <c r="N8293" s="6">
        <v>29.06</v>
      </c>
      <c r="O8293" s="6">
        <v>28.86</v>
      </c>
      <c r="P8293" s="2" t="s">
        <v>24741</v>
      </c>
      <c r="Q8293" s="6">
        <v>100</v>
      </c>
      <c r="R8293" s="6">
        <v>59.8</v>
      </c>
      <c r="S8293" s="8">
        <v>1074</v>
      </c>
      <c r="T8293" s="12">
        <v>1859.799</v>
      </c>
      <c r="U8293" s="5">
        <v>18</v>
      </c>
      <c r="V8293" s="6">
        <v>2.46</v>
      </c>
      <c r="W8293" s="5">
        <v>49.7</v>
      </c>
      <c r="X8293" s="6">
        <v>49.23</v>
      </c>
      <c r="Y8293" s="6">
        <v>48.17</v>
      </c>
      <c r="Z8293" s="5">
        <v>47.5</v>
      </c>
      <c r="AA8293" s="6">
        <v>426.46</v>
      </c>
      <c r="AB8293" s="7">
        <v>14.643000000000001</v>
      </c>
      <c r="AC8293" s="5">
        <v>530.70000000000005</v>
      </c>
    </row>
    <row r="8294" spans="1:29" ht="143" x14ac:dyDescent="0.15">
      <c r="A8294" s="3">
        <f>DATE(2006,11,1)</f>
        <v>39022</v>
      </c>
      <c r="B8294" s="3">
        <f>DATE(2007,3,9)</f>
        <v>39150</v>
      </c>
      <c r="C8294" s="2" t="s">
        <v>95</v>
      </c>
      <c r="D8294" s="2" t="s">
        <v>24742</v>
      </c>
      <c r="E8294" s="2" t="s">
        <v>24743</v>
      </c>
      <c r="F8294" s="4">
        <v>8742</v>
      </c>
      <c r="G8294" s="2" t="s">
        <v>223</v>
      </c>
      <c r="H8294" s="2" t="s">
        <v>34</v>
      </c>
      <c r="I8294" s="2" t="s">
        <v>13822</v>
      </c>
      <c r="J8294" s="2" t="s">
        <v>124</v>
      </c>
      <c r="K8294" s="2" t="s">
        <v>125</v>
      </c>
      <c r="L8294" s="2" t="s">
        <v>2105</v>
      </c>
      <c r="M8294" s="12">
        <v>28542.382000000001</v>
      </c>
      <c r="N8294" s="7">
        <v>17.632999999999999</v>
      </c>
      <c r="O8294" s="7">
        <v>17.635999999999999</v>
      </c>
      <c r="P8294" s="2" t="s">
        <v>24744</v>
      </c>
      <c r="Q8294" s="6">
        <v>79.31</v>
      </c>
      <c r="R8294" s="6">
        <v>17.21</v>
      </c>
      <c r="S8294" s="5">
        <v>6.7</v>
      </c>
      <c r="T8294" s="7">
        <v>54.682000000000002</v>
      </c>
      <c r="U8294" s="5">
        <v>15.3</v>
      </c>
      <c r="V8294" s="6">
        <v>0.37</v>
      </c>
      <c r="W8294" s="6">
        <v>11.87</v>
      </c>
      <c r="X8294" s="6">
        <v>12.51</v>
      </c>
      <c r="Y8294" s="5">
        <v>12.5</v>
      </c>
      <c r="Z8294" s="5">
        <v>16.399999999999999</v>
      </c>
      <c r="AA8294" s="6">
        <v>17.66</v>
      </c>
      <c r="AB8294" s="7">
        <v>17.408000000000001</v>
      </c>
      <c r="AC8294" s="10">
        <v>20702.71</v>
      </c>
    </row>
    <row r="8295" spans="1:29" ht="39" x14ac:dyDescent="0.15">
      <c r="A8295" s="3">
        <f t="shared" ref="A8295:A8300" si="160">DATE(2006,11,2)</f>
        <v>39023</v>
      </c>
      <c r="B8295" s="2"/>
      <c r="C8295" s="2" t="s">
        <v>30</v>
      </c>
      <c r="D8295" s="2" t="s">
        <v>5019</v>
      </c>
      <c r="E8295" s="2" t="s">
        <v>5020</v>
      </c>
      <c r="F8295" s="4">
        <v>3842</v>
      </c>
      <c r="G8295" s="2" t="s">
        <v>226</v>
      </c>
      <c r="H8295" s="2" t="s">
        <v>34</v>
      </c>
      <c r="I8295" s="2" t="s">
        <v>19711</v>
      </c>
      <c r="J8295" s="2" t="s">
        <v>15018</v>
      </c>
      <c r="K8295" s="2" t="s">
        <v>226</v>
      </c>
      <c r="L8295" s="2" t="s">
        <v>303</v>
      </c>
      <c r="M8295" s="12">
        <v>1735.1990000000001</v>
      </c>
      <c r="N8295" s="6">
        <v>9.31</v>
      </c>
      <c r="O8295" s="7">
        <v>9.6120000000000001</v>
      </c>
      <c r="P8295" s="2" t="s">
        <v>24745</v>
      </c>
      <c r="Q8295" s="2"/>
      <c r="R8295" s="2"/>
      <c r="S8295" s="5">
        <v>408.7</v>
      </c>
      <c r="T8295" s="7">
        <v>701.77200000000005</v>
      </c>
      <c r="U8295" s="5">
        <v>7.2</v>
      </c>
      <c r="V8295" s="6">
        <v>1.66</v>
      </c>
      <c r="W8295" s="5">
        <v>36.4</v>
      </c>
      <c r="X8295" s="5">
        <v>37.4</v>
      </c>
      <c r="Y8295" s="6">
        <v>38.33</v>
      </c>
      <c r="Z8295" s="6">
        <v>38.25</v>
      </c>
      <c r="AA8295" s="6">
        <v>244.92</v>
      </c>
      <c r="AB8295" s="2" t="s">
        <v>47</v>
      </c>
      <c r="AC8295" s="6">
        <v>307.05</v>
      </c>
    </row>
    <row r="8296" spans="1:29" ht="130" x14ac:dyDescent="0.15">
      <c r="A8296" s="3">
        <f t="shared" si="160"/>
        <v>39023</v>
      </c>
      <c r="B8296" s="2"/>
      <c r="C8296" s="2" t="s">
        <v>30</v>
      </c>
      <c r="D8296" s="2" t="s">
        <v>15055</v>
      </c>
      <c r="E8296" s="2" t="s">
        <v>15056</v>
      </c>
      <c r="F8296" s="4">
        <v>2844</v>
      </c>
      <c r="G8296" s="2" t="s">
        <v>358</v>
      </c>
      <c r="H8296" s="2" t="s">
        <v>34</v>
      </c>
      <c r="I8296" s="2" t="s">
        <v>24746</v>
      </c>
      <c r="J8296" s="2" t="s">
        <v>244</v>
      </c>
      <c r="K8296" s="2" t="s">
        <v>53</v>
      </c>
      <c r="L8296" s="2" t="s">
        <v>34</v>
      </c>
      <c r="M8296" s="2"/>
      <c r="N8296" s="2"/>
      <c r="O8296" s="2"/>
      <c r="P8296" s="2" t="s">
        <v>24747</v>
      </c>
      <c r="Q8296" s="2"/>
      <c r="R8296" s="6">
        <v>12</v>
      </c>
      <c r="S8296" s="5">
        <v>6.2</v>
      </c>
      <c r="T8296" s="7">
        <v>9.1219999999999999</v>
      </c>
      <c r="U8296" s="5">
        <v>3.7</v>
      </c>
      <c r="V8296" s="6">
        <v>0.87</v>
      </c>
      <c r="W8296" s="6">
        <v>10.25</v>
      </c>
      <c r="X8296" s="7">
        <v>10.528</v>
      </c>
      <c r="Y8296" s="6">
        <v>11.49</v>
      </c>
      <c r="Z8296" s="6">
        <v>11.39</v>
      </c>
      <c r="AA8296" s="6">
        <v>6.03</v>
      </c>
      <c r="AB8296" s="7">
        <v>8.3940000000000001</v>
      </c>
      <c r="AC8296" s="2"/>
    </row>
    <row r="8297" spans="1:29" ht="117" x14ac:dyDescent="0.15">
      <c r="A8297" s="3">
        <f t="shared" si="160"/>
        <v>39023</v>
      </c>
      <c r="B8297" s="3">
        <f>DATE(2007,5,1)</f>
        <v>39203</v>
      </c>
      <c r="C8297" s="2" t="s">
        <v>95</v>
      </c>
      <c r="D8297" s="2" t="s">
        <v>18687</v>
      </c>
      <c r="E8297" s="2" t="s">
        <v>265</v>
      </c>
      <c r="F8297" s="4">
        <v>6021</v>
      </c>
      <c r="G8297" s="2" t="s">
        <v>37</v>
      </c>
      <c r="H8297" s="2" t="s">
        <v>34</v>
      </c>
      <c r="I8297" s="2" t="s">
        <v>20190</v>
      </c>
      <c r="J8297" s="2" t="s">
        <v>20191</v>
      </c>
      <c r="K8297" s="2" t="s">
        <v>37</v>
      </c>
      <c r="L8297" s="2" t="s">
        <v>2105</v>
      </c>
      <c r="M8297" s="2"/>
      <c r="N8297" s="2"/>
      <c r="O8297" s="2"/>
      <c r="P8297" s="2" t="s">
        <v>24748</v>
      </c>
      <c r="Q8297" s="6">
        <v>100</v>
      </c>
      <c r="R8297" s="6">
        <v>37</v>
      </c>
      <c r="S8297" s="5">
        <v>36</v>
      </c>
      <c r="T8297" s="7">
        <v>60.613</v>
      </c>
      <c r="U8297" s="5">
        <v>12.5</v>
      </c>
      <c r="V8297" s="6">
        <v>1.58</v>
      </c>
      <c r="W8297" s="5">
        <v>31.5</v>
      </c>
      <c r="X8297" s="6">
        <v>29.11</v>
      </c>
      <c r="Y8297" s="6">
        <v>36.17</v>
      </c>
      <c r="Z8297" s="6">
        <v>36.21</v>
      </c>
      <c r="AA8297" s="6">
        <v>22.04</v>
      </c>
      <c r="AB8297" s="7">
        <v>16.221</v>
      </c>
      <c r="AC8297" s="2"/>
    </row>
    <row r="8298" spans="1:29" ht="143" x14ac:dyDescent="0.15">
      <c r="A8298" s="3">
        <f t="shared" si="160"/>
        <v>39023</v>
      </c>
      <c r="B8298" s="3">
        <f>DATE(2007,4,2)</f>
        <v>39174</v>
      </c>
      <c r="C8298" s="2" t="s">
        <v>95</v>
      </c>
      <c r="D8298" s="2" t="s">
        <v>24749</v>
      </c>
      <c r="E8298" s="2" t="s">
        <v>7190</v>
      </c>
      <c r="F8298" s="4">
        <v>6035</v>
      </c>
      <c r="G8298" s="2" t="s">
        <v>33</v>
      </c>
      <c r="H8298" s="2" t="s">
        <v>34</v>
      </c>
      <c r="I8298" s="2" t="s">
        <v>18639</v>
      </c>
      <c r="J8298" s="2" t="s">
        <v>36</v>
      </c>
      <c r="K8298" s="2" t="s">
        <v>37</v>
      </c>
      <c r="L8298" s="2" t="s">
        <v>34</v>
      </c>
      <c r="M8298" s="12">
        <v>4901.0659999999998</v>
      </c>
      <c r="N8298" s="6">
        <v>15.96</v>
      </c>
      <c r="O8298" s="6">
        <v>15.86</v>
      </c>
      <c r="P8298" s="2" t="s">
        <v>24750</v>
      </c>
      <c r="Q8298" s="6">
        <v>100</v>
      </c>
      <c r="R8298" s="6">
        <v>19.64</v>
      </c>
      <c r="S8298" s="5">
        <v>11.5</v>
      </c>
      <c r="T8298" s="6">
        <v>20.94</v>
      </c>
      <c r="U8298" s="5">
        <v>9.6999999999999993</v>
      </c>
      <c r="V8298" s="6">
        <v>0.88</v>
      </c>
      <c r="W8298" s="6">
        <v>18.420000000000002</v>
      </c>
      <c r="X8298" s="6">
        <v>17.62</v>
      </c>
      <c r="Y8298" s="6">
        <v>18.28</v>
      </c>
      <c r="Z8298" s="6">
        <v>18.77</v>
      </c>
      <c r="AA8298" s="6">
        <v>12.85</v>
      </c>
      <c r="AB8298" s="7">
        <v>49.52</v>
      </c>
      <c r="AC8298" s="2"/>
    </row>
    <row r="8299" spans="1:29" ht="143" x14ac:dyDescent="0.15">
      <c r="A8299" s="3">
        <f t="shared" si="160"/>
        <v>39023</v>
      </c>
      <c r="B8299" s="3">
        <f>DATE(2007,1,10)</f>
        <v>39092</v>
      </c>
      <c r="C8299" s="2" t="s">
        <v>95</v>
      </c>
      <c r="D8299" s="2" t="s">
        <v>24751</v>
      </c>
      <c r="E8299" s="2" t="s">
        <v>24752</v>
      </c>
      <c r="F8299" s="4">
        <v>3089</v>
      </c>
      <c r="G8299" s="2" t="s">
        <v>447</v>
      </c>
      <c r="H8299" s="2" t="s">
        <v>34</v>
      </c>
      <c r="I8299" s="2" t="s">
        <v>24753</v>
      </c>
      <c r="J8299" s="2" t="s">
        <v>244</v>
      </c>
      <c r="K8299" s="2" t="s">
        <v>53</v>
      </c>
      <c r="L8299" s="2" t="s">
        <v>34</v>
      </c>
      <c r="M8299" s="2"/>
      <c r="N8299" s="2"/>
      <c r="O8299" s="2"/>
      <c r="P8299" s="2" t="s">
        <v>24754</v>
      </c>
      <c r="Q8299" s="6">
        <v>100</v>
      </c>
      <c r="R8299" s="6">
        <v>12.5</v>
      </c>
      <c r="S8299" s="5">
        <v>10.199999999999999</v>
      </c>
      <c r="T8299" s="7">
        <v>14.612</v>
      </c>
      <c r="U8299" s="5">
        <v>2.4</v>
      </c>
      <c r="V8299" s="6">
        <v>3.21</v>
      </c>
      <c r="W8299" s="5">
        <v>11.8</v>
      </c>
      <c r="X8299" s="5">
        <v>12.5</v>
      </c>
      <c r="Y8299" s="7">
        <v>12.804</v>
      </c>
      <c r="Z8299" s="6">
        <v>12.32</v>
      </c>
      <c r="AA8299" s="6">
        <v>3.29</v>
      </c>
      <c r="AB8299" s="7">
        <v>4.1669999999999998</v>
      </c>
      <c r="AC8299" s="2"/>
    </row>
    <row r="8300" spans="1:29" ht="143" x14ac:dyDescent="0.15">
      <c r="A8300" s="3">
        <f t="shared" si="160"/>
        <v>39023</v>
      </c>
      <c r="B8300" s="3">
        <f>DATE(2006,12,14)</f>
        <v>39065</v>
      </c>
      <c r="C8300" s="2" t="s">
        <v>95</v>
      </c>
      <c r="D8300" s="2" t="s">
        <v>21596</v>
      </c>
      <c r="E8300" s="2" t="s">
        <v>17078</v>
      </c>
      <c r="F8300" s="4">
        <v>7372</v>
      </c>
      <c r="G8300" s="2" t="s">
        <v>551</v>
      </c>
      <c r="H8300" s="2" t="s">
        <v>34</v>
      </c>
      <c r="I8300" s="2" t="s">
        <v>8588</v>
      </c>
      <c r="J8300" s="2" t="s">
        <v>8589</v>
      </c>
      <c r="K8300" s="2" t="s">
        <v>551</v>
      </c>
      <c r="L8300" s="2" t="s">
        <v>34</v>
      </c>
      <c r="M8300" s="12">
        <v>94869.349000000002</v>
      </c>
      <c r="N8300" s="6">
        <v>18.27</v>
      </c>
      <c r="O8300" s="6">
        <v>17.78</v>
      </c>
      <c r="P8300" s="2" t="s">
        <v>24755</v>
      </c>
      <c r="Q8300" s="6">
        <v>100</v>
      </c>
      <c r="R8300" s="6">
        <v>13.5</v>
      </c>
      <c r="S8300" s="5">
        <v>-3.3</v>
      </c>
      <c r="T8300" s="7">
        <v>4.681</v>
      </c>
      <c r="U8300" s="5">
        <v>5.7</v>
      </c>
      <c r="V8300" s="6">
        <v>-0.13</v>
      </c>
      <c r="W8300" s="6">
        <v>11.58</v>
      </c>
      <c r="X8300" s="6">
        <v>11.18</v>
      </c>
      <c r="Y8300" s="6">
        <v>10.62</v>
      </c>
      <c r="Z8300" s="5">
        <v>13.4</v>
      </c>
      <c r="AA8300" s="6">
        <v>29.67</v>
      </c>
      <c r="AB8300" s="2" t="s">
        <v>86</v>
      </c>
      <c r="AC8300" s="8">
        <v>8298</v>
      </c>
    </row>
    <row r="8301" spans="1:29" ht="78" x14ac:dyDescent="0.15">
      <c r="A8301" s="3">
        <f>DATE(2006,11,3)</f>
        <v>39024</v>
      </c>
      <c r="B8301" s="3">
        <f>DATE(2007,3,14)</f>
        <v>39155</v>
      </c>
      <c r="C8301" s="2" t="s">
        <v>95</v>
      </c>
      <c r="D8301" s="2" t="s">
        <v>24756</v>
      </c>
      <c r="E8301" s="2" t="s">
        <v>265</v>
      </c>
      <c r="F8301" s="4">
        <v>6021</v>
      </c>
      <c r="G8301" s="2" t="s">
        <v>37</v>
      </c>
      <c r="H8301" s="2" t="s">
        <v>34</v>
      </c>
      <c r="I8301" s="2" t="s">
        <v>24757</v>
      </c>
      <c r="J8301" s="2" t="s">
        <v>36</v>
      </c>
      <c r="K8301" s="2" t="s">
        <v>37</v>
      </c>
      <c r="L8301" s="2" t="s">
        <v>34</v>
      </c>
      <c r="M8301" s="2"/>
      <c r="N8301" s="2"/>
      <c r="O8301" s="2"/>
      <c r="P8301" s="2" t="s">
        <v>24758</v>
      </c>
      <c r="Q8301" s="6">
        <v>100</v>
      </c>
      <c r="R8301" s="6">
        <v>23</v>
      </c>
      <c r="S8301" s="5">
        <v>1.4</v>
      </c>
      <c r="T8301" s="7">
        <v>2.5939999999999999</v>
      </c>
      <c r="U8301" s="5">
        <v>17.5</v>
      </c>
      <c r="V8301" s="6">
        <v>0.92</v>
      </c>
      <c r="W8301" s="6">
        <v>23.38</v>
      </c>
      <c r="X8301" s="6">
        <v>22.75</v>
      </c>
      <c r="Y8301" s="6">
        <v>22.75</v>
      </c>
      <c r="Z8301" s="5">
        <v>22.6</v>
      </c>
      <c r="AA8301" s="6">
        <v>1.24</v>
      </c>
      <c r="AB8301" s="7">
        <v>22.472999999999999</v>
      </c>
      <c r="AC8301" s="2"/>
    </row>
    <row r="8302" spans="1:29" ht="52" x14ac:dyDescent="0.15">
      <c r="A8302" s="3">
        <f>DATE(2006,11,3)</f>
        <v>39024</v>
      </c>
      <c r="B8302" s="2"/>
      <c r="C8302" s="2" t="s">
        <v>87</v>
      </c>
      <c r="D8302" s="2" t="s">
        <v>23912</v>
      </c>
      <c r="E8302" s="2" t="s">
        <v>3759</v>
      </c>
      <c r="F8302" s="4">
        <v>4911</v>
      </c>
      <c r="G8302" s="2" t="s">
        <v>439</v>
      </c>
      <c r="H8302" s="2" t="s">
        <v>34</v>
      </c>
      <c r="I8302" s="2" t="s">
        <v>23913</v>
      </c>
      <c r="J8302" s="2" t="s">
        <v>1977</v>
      </c>
      <c r="K8302" s="2" t="s">
        <v>439</v>
      </c>
      <c r="L8302" s="2" t="s">
        <v>34</v>
      </c>
      <c r="M8302" s="12">
        <v>25825.078000000001</v>
      </c>
      <c r="N8302" s="6">
        <v>35.770000000000003</v>
      </c>
      <c r="O8302" s="6">
        <v>35.69</v>
      </c>
      <c r="P8302" s="2" t="s">
        <v>24759</v>
      </c>
      <c r="Q8302" s="2"/>
      <c r="R8302" s="2"/>
      <c r="S8302" s="5">
        <v>439</v>
      </c>
      <c r="T8302" s="8">
        <v>2519</v>
      </c>
      <c r="U8302" s="5">
        <v>31.6</v>
      </c>
      <c r="V8302" s="6">
        <v>1.75</v>
      </c>
      <c r="W8302" s="5">
        <v>44.1</v>
      </c>
      <c r="X8302" s="4">
        <v>46</v>
      </c>
      <c r="Y8302" s="6">
        <v>45.81</v>
      </c>
      <c r="Z8302" s="6">
        <v>46.01</v>
      </c>
      <c r="AA8302" s="6">
        <v>254.2</v>
      </c>
      <c r="AB8302" s="2" t="s">
        <v>47</v>
      </c>
      <c r="AC8302" s="5">
        <v>418.1</v>
      </c>
    </row>
    <row r="8303" spans="1:29" ht="156" x14ac:dyDescent="0.15">
      <c r="A8303" s="3">
        <f>DATE(2006,11,5)</f>
        <v>39026</v>
      </c>
      <c r="B8303" s="3">
        <f>DATE(2007,3,2)</f>
        <v>39143</v>
      </c>
      <c r="C8303" s="2" t="s">
        <v>95</v>
      </c>
      <c r="D8303" s="2" t="s">
        <v>24760</v>
      </c>
      <c r="E8303" s="2" t="s">
        <v>92</v>
      </c>
      <c r="F8303" s="4">
        <v>6798</v>
      </c>
      <c r="G8303" s="2" t="s">
        <v>53</v>
      </c>
      <c r="H8303" s="2" t="s">
        <v>34</v>
      </c>
      <c r="I8303" s="2" t="s">
        <v>24761</v>
      </c>
      <c r="J8303" s="2" t="s">
        <v>14562</v>
      </c>
      <c r="K8303" s="2" t="s">
        <v>53</v>
      </c>
      <c r="L8303" s="2" t="s">
        <v>34</v>
      </c>
      <c r="M8303" s="2"/>
      <c r="N8303" s="2"/>
      <c r="O8303" s="2"/>
      <c r="P8303" s="2" t="s">
        <v>24762</v>
      </c>
      <c r="Q8303" s="6">
        <v>100</v>
      </c>
      <c r="R8303" s="6">
        <v>19.5</v>
      </c>
      <c r="S8303" s="5">
        <v>-2</v>
      </c>
      <c r="T8303" s="7">
        <v>9.1219999999999999</v>
      </c>
      <c r="U8303" s="5">
        <v>11.7</v>
      </c>
      <c r="V8303" s="6">
        <v>-0.15</v>
      </c>
      <c r="W8303" s="6">
        <v>17.37</v>
      </c>
      <c r="X8303" s="6">
        <v>16.91</v>
      </c>
      <c r="Y8303" s="5">
        <v>18.8</v>
      </c>
      <c r="Z8303" s="5">
        <v>18.8</v>
      </c>
      <c r="AA8303" s="6">
        <v>13.86</v>
      </c>
      <c r="AB8303" s="2" t="s">
        <v>86</v>
      </c>
      <c r="AC8303" s="2"/>
    </row>
    <row r="8304" spans="1:29" ht="169" x14ac:dyDescent="0.15">
      <c r="A8304" s="3">
        <f>DATE(2006,11,5)</f>
        <v>39026</v>
      </c>
      <c r="B8304" s="3">
        <f>DATE(2006,12,15)</f>
        <v>39066</v>
      </c>
      <c r="C8304" s="2" t="s">
        <v>95</v>
      </c>
      <c r="D8304" s="2" t="s">
        <v>24763</v>
      </c>
      <c r="E8304" s="2" t="s">
        <v>3812</v>
      </c>
      <c r="F8304" s="4">
        <v>2834</v>
      </c>
      <c r="G8304" s="2" t="s">
        <v>130</v>
      </c>
      <c r="H8304" s="2" t="s">
        <v>34</v>
      </c>
      <c r="I8304" s="2" t="s">
        <v>7700</v>
      </c>
      <c r="J8304" s="2" t="s">
        <v>7701</v>
      </c>
      <c r="K8304" s="2" t="s">
        <v>130</v>
      </c>
      <c r="L8304" s="2" t="s">
        <v>34</v>
      </c>
      <c r="M8304" s="12">
        <v>70569.407000000007</v>
      </c>
      <c r="N8304" s="6">
        <v>47.47</v>
      </c>
      <c r="O8304" s="6">
        <v>47.47</v>
      </c>
      <c r="P8304" s="2" t="s">
        <v>24764</v>
      </c>
      <c r="Q8304" s="6">
        <v>100</v>
      </c>
      <c r="R8304" s="6">
        <v>78</v>
      </c>
      <c r="S8304" s="5">
        <v>110.2</v>
      </c>
      <c r="T8304" s="7">
        <v>117.01300000000001</v>
      </c>
      <c r="U8304" s="5">
        <v>9.6999999999999993</v>
      </c>
      <c r="V8304" s="6">
        <v>2.4700000000000002</v>
      </c>
      <c r="W8304" s="6">
        <v>48.51</v>
      </c>
      <c r="X8304" s="6">
        <v>50.09</v>
      </c>
      <c r="Y8304" s="6">
        <v>77.06</v>
      </c>
      <c r="Z8304" s="6">
        <v>77.06</v>
      </c>
      <c r="AA8304" s="6">
        <v>47.44</v>
      </c>
      <c r="AB8304" s="7">
        <v>30.547999999999998</v>
      </c>
      <c r="AC8304" s="10">
        <v>1051.1300000000001</v>
      </c>
    </row>
    <row r="8305" spans="1:29" ht="130" x14ac:dyDescent="0.15">
      <c r="A8305" s="3">
        <f>DATE(2006,11,5)</f>
        <v>39026</v>
      </c>
      <c r="B8305" s="3">
        <f>DATE(2007,3,6)</f>
        <v>39147</v>
      </c>
      <c r="C8305" s="2" t="s">
        <v>95</v>
      </c>
      <c r="D8305" s="2" t="s">
        <v>24765</v>
      </c>
      <c r="E8305" s="2" t="s">
        <v>24766</v>
      </c>
      <c r="F8305" s="4">
        <v>7375</v>
      </c>
      <c r="G8305" s="2" t="s">
        <v>223</v>
      </c>
      <c r="H8305" s="2" t="s">
        <v>34</v>
      </c>
      <c r="I8305" s="2" t="s">
        <v>24767</v>
      </c>
      <c r="J8305" s="2" t="s">
        <v>24768</v>
      </c>
      <c r="K8305" s="2" t="s">
        <v>551</v>
      </c>
      <c r="L8305" s="2" t="s">
        <v>34</v>
      </c>
      <c r="M8305" s="10">
        <v>2411.92</v>
      </c>
      <c r="N8305" s="6">
        <v>31.28</v>
      </c>
      <c r="O8305" s="6">
        <v>31.28</v>
      </c>
      <c r="P8305" s="2" t="s">
        <v>24769</v>
      </c>
      <c r="Q8305" s="6">
        <v>100</v>
      </c>
      <c r="R8305" s="6">
        <v>8</v>
      </c>
      <c r="S8305" s="5">
        <v>-27</v>
      </c>
      <c r="T8305" s="2"/>
      <c r="U8305" s="5">
        <v>0.8</v>
      </c>
      <c r="V8305" s="6">
        <v>-3.2</v>
      </c>
      <c r="W8305" s="4">
        <v>5</v>
      </c>
      <c r="X8305" s="6">
        <v>6.15</v>
      </c>
      <c r="Y8305" s="5">
        <v>7.4</v>
      </c>
      <c r="Z8305" s="5">
        <v>7.4</v>
      </c>
      <c r="AA8305" s="6">
        <v>20.55</v>
      </c>
      <c r="AB8305" s="2" t="s">
        <v>86</v>
      </c>
      <c r="AC8305" s="6">
        <v>217.82</v>
      </c>
    </row>
    <row r="8306" spans="1:29" ht="143" x14ac:dyDescent="0.15">
      <c r="A8306" s="3">
        <f t="shared" ref="A8306:A8312" si="161">DATE(2006,11,6)</f>
        <v>39027</v>
      </c>
      <c r="B8306" s="3">
        <f>DATE(2007,3,26)</f>
        <v>39167</v>
      </c>
      <c r="C8306" s="2" t="s">
        <v>95</v>
      </c>
      <c r="D8306" s="2" t="s">
        <v>24770</v>
      </c>
      <c r="E8306" s="2" t="s">
        <v>24771</v>
      </c>
      <c r="F8306" s="4">
        <v>2952</v>
      </c>
      <c r="G8306" s="2" t="s">
        <v>148</v>
      </c>
      <c r="H8306" s="2" t="s">
        <v>34</v>
      </c>
      <c r="I8306" s="2" t="s">
        <v>24772</v>
      </c>
      <c r="J8306" s="2" t="s">
        <v>24771</v>
      </c>
      <c r="K8306" s="2" t="s">
        <v>148</v>
      </c>
      <c r="L8306" s="2" t="s">
        <v>34</v>
      </c>
      <c r="M8306" s="2"/>
      <c r="N8306" s="2"/>
      <c r="O8306" s="2"/>
      <c r="P8306" s="2" t="s">
        <v>24773</v>
      </c>
      <c r="Q8306" s="6">
        <v>100</v>
      </c>
      <c r="R8306" s="6">
        <v>43.5</v>
      </c>
      <c r="S8306" s="5">
        <v>38</v>
      </c>
      <c r="T8306" s="7">
        <v>96.691999999999993</v>
      </c>
      <c r="U8306" s="5">
        <v>15</v>
      </c>
      <c r="V8306" s="6">
        <v>1.82</v>
      </c>
      <c r="W8306" s="6">
        <v>25.07</v>
      </c>
      <c r="X8306" s="6">
        <v>25.18</v>
      </c>
      <c r="Y8306" s="6">
        <v>31.71</v>
      </c>
      <c r="Z8306" s="6">
        <v>32.369999999999997</v>
      </c>
      <c r="AA8306" s="6">
        <v>20.59</v>
      </c>
      <c r="AB8306" s="7">
        <v>15.247999999999999</v>
      </c>
      <c r="AC8306" s="6">
        <v>7.78</v>
      </c>
    </row>
    <row r="8307" spans="1:29" ht="182" x14ac:dyDescent="0.15">
      <c r="A8307" s="3">
        <f t="shared" si="161"/>
        <v>39027</v>
      </c>
      <c r="B8307" s="3">
        <f>DATE(2007,7,19)</f>
        <v>39282</v>
      </c>
      <c r="C8307" s="2" t="s">
        <v>95</v>
      </c>
      <c r="D8307" s="2" t="s">
        <v>24682</v>
      </c>
      <c r="E8307" s="2" t="s">
        <v>209</v>
      </c>
      <c r="F8307" s="4">
        <v>3844</v>
      </c>
      <c r="G8307" s="2" t="s">
        <v>226</v>
      </c>
      <c r="H8307" s="2" t="s">
        <v>34</v>
      </c>
      <c r="I8307" s="2" t="s">
        <v>24683</v>
      </c>
      <c r="J8307" s="2" t="s">
        <v>9451</v>
      </c>
      <c r="K8307" s="2" t="s">
        <v>53</v>
      </c>
      <c r="L8307" s="2" t="s">
        <v>18001</v>
      </c>
      <c r="M8307" s="2"/>
      <c r="N8307" s="2"/>
      <c r="O8307" s="2"/>
      <c r="P8307" s="2" t="s">
        <v>24774</v>
      </c>
      <c r="Q8307" s="6">
        <v>77.34</v>
      </c>
      <c r="R8307" s="6">
        <v>12.9</v>
      </c>
      <c r="S8307" s="5">
        <v>-21.1</v>
      </c>
      <c r="T8307" s="7">
        <v>-14.763</v>
      </c>
      <c r="U8307" s="5">
        <v>2.9</v>
      </c>
      <c r="V8307" s="6">
        <v>-1.93</v>
      </c>
      <c r="W8307" s="6">
        <v>10.25</v>
      </c>
      <c r="X8307" s="6">
        <v>9.99</v>
      </c>
      <c r="Y8307" s="6">
        <v>10.83</v>
      </c>
      <c r="Z8307" s="6">
        <v>10.45</v>
      </c>
      <c r="AA8307" s="6">
        <v>13.75</v>
      </c>
      <c r="AB8307" s="2" t="s">
        <v>86</v>
      </c>
      <c r="AC8307" s="2"/>
    </row>
    <row r="8308" spans="1:29" ht="195" x14ac:dyDescent="0.15">
      <c r="A8308" s="3">
        <f t="shared" si="161"/>
        <v>39027</v>
      </c>
      <c r="B8308" s="3">
        <f>DATE(2007,6,14)</f>
        <v>39247</v>
      </c>
      <c r="C8308" s="2" t="s">
        <v>95</v>
      </c>
      <c r="D8308" s="2" t="s">
        <v>24775</v>
      </c>
      <c r="E8308" s="2" t="s">
        <v>1283</v>
      </c>
      <c r="F8308" s="4">
        <v>5812</v>
      </c>
      <c r="G8308" s="2" t="s">
        <v>230</v>
      </c>
      <c r="H8308" s="2" t="s">
        <v>34</v>
      </c>
      <c r="I8308" s="2" t="s">
        <v>24776</v>
      </c>
      <c r="J8308" s="2" t="s">
        <v>11337</v>
      </c>
      <c r="K8308" s="2" t="s">
        <v>53</v>
      </c>
      <c r="L8308" s="2" t="s">
        <v>34</v>
      </c>
      <c r="M8308" s="2"/>
      <c r="N8308" s="2"/>
      <c r="O8308" s="2"/>
      <c r="P8308" s="2" t="s">
        <v>24777</v>
      </c>
      <c r="Q8308" s="6">
        <v>100</v>
      </c>
      <c r="R8308" s="6">
        <v>41.15</v>
      </c>
      <c r="S8308" s="5">
        <v>95.5</v>
      </c>
      <c r="T8308" s="7">
        <v>318.42200000000003</v>
      </c>
      <c r="U8308" s="5">
        <v>16.600000000000001</v>
      </c>
      <c r="V8308" s="9">
        <v>1.2673000000000001</v>
      </c>
      <c r="W8308" s="6">
        <v>33.49</v>
      </c>
      <c r="X8308" s="6">
        <v>32.43</v>
      </c>
      <c r="Y8308" s="6">
        <v>39.75</v>
      </c>
      <c r="Z8308" s="6">
        <v>39.44</v>
      </c>
      <c r="AA8308" s="6">
        <v>74.44</v>
      </c>
      <c r="AB8308" s="7">
        <v>21.097000000000001</v>
      </c>
      <c r="AC8308" s="2"/>
    </row>
    <row r="8309" spans="1:29" ht="78" x14ac:dyDescent="0.15">
      <c r="A8309" s="3">
        <f t="shared" si="161"/>
        <v>39027</v>
      </c>
      <c r="B8309" s="3">
        <f>DATE(2007,1,26)</f>
        <v>39108</v>
      </c>
      <c r="C8309" s="2" t="s">
        <v>95</v>
      </c>
      <c r="D8309" s="2" t="s">
        <v>24778</v>
      </c>
      <c r="E8309" s="2" t="s">
        <v>849</v>
      </c>
      <c r="F8309" s="4">
        <v>7372</v>
      </c>
      <c r="G8309" s="2" t="s">
        <v>551</v>
      </c>
      <c r="H8309" s="2" t="s">
        <v>34</v>
      </c>
      <c r="I8309" s="2" t="s">
        <v>10549</v>
      </c>
      <c r="J8309" s="2" t="s">
        <v>21611</v>
      </c>
      <c r="K8309" s="2" t="s">
        <v>593</v>
      </c>
      <c r="L8309" s="2" t="s">
        <v>34</v>
      </c>
      <c r="M8309" s="10">
        <v>15085.54</v>
      </c>
      <c r="N8309" s="6">
        <v>49.69</v>
      </c>
      <c r="O8309" s="6">
        <v>50.77</v>
      </c>
      <c r="P8309" s="2" t="s">
        <v>24779</v>
      </c>
      <c r="Q8309" s="6">
        <v>100</v>
      </c>
      <c r="R8309" s="6">
        <v>28</v>
      </c>
      <c r="S8309" s="5">
        <v>16.100000000000001</v>
      </c>
      <c r="T8309" s="7">
        <v>114.271</v>
      </c>
      <c r="U8309" s="5">
        <v>6.9</v>
      </c>
      <c r="V8309" s="6">
        <v>0.44</v>
      </c>
      <c r="W8309" s="6">
        <v>24.04</v>
      </c>
      <c r="X8309" s="6">
        <v>24.45</v>
      </c>
      <c r="Y8309" s="6">
        <v>27.55</v>
      </c>
      <c r="Z8309" s="6">
        <v>27.58</v>
      </c>
      <c r="AA8309" s="6">
        <v>39.1</v>
      </c>
      <c r="AB8309" s="7">
        <v>30.1</v>
      </c>
      <c r="AC8309" s="8">
        <v>3235</v>
      </c>
    </row>
    <row r="8310" spans="1:29" ht="78" x14ac:dyDescent="0.15">
      <c r="A8310" s="3">
        <f t="shared" si="161"/>
        <v>39027</v>
      </c>
      <c r="B8310" s="3">
        <f>DATE(2007,1,5)</f>
        <v>39087</v>
      </c>
      <c r="C8310" s="2" t="s">
        <v>95</v>
      </c>
      <c r="D8310" s="2" t="s">
        <v>24780</v>
      </c>
      <c r="E8310" s="2" t="s">
        <v>24781</v>
      </c>
      <c r="F8310" s="4">
        <v>7372</v>
      </c>
      <c r="G8310" s="2" t="s">
        <v>551</v>
      </c>
      <c r="H8310" s="2" t="s">
        <v>34</v>
      </c>
      <c r="I8310" s="2" t="s">
        <v>24625</v>
      </c>
      <c r="J8310" s="2" t="s">
        <v>24626</v>
      </c>
      <c r="K8310" s="2" t="s">
        <v>137</v>
      </c>
      <c r="L8310" s="2" t="s">
        <v>34</v>
      </c>
      <c r="M8310" s="12">
        <v>11604.728999999999</v>
      </c>
      <c r="N8310" s="6">
        <v>33.590000000000003</v>
      </c>
      <c r="O8310" s="5">
        <v>34.1</v>
      </c>
      <c r="P8310" s="2" t="s">
        <v>24782</v>
      </c>
      <c r="Q8310" s="6">
        <v>100</v>
      </c>
      <c r="R8310" s="6">
        <v>13.5</v>
      </c>
      <c r="S8310" s="5">
        <v>33.200000000000003</v>
      </c>
      <c r="T8310" s="7">
        <v>29.315000000000001</v>
      </c>
      <c r="U8310" s="5">
        <v>8.6</v>
      </c>
      <c r="V8310" s="6">
        <v>1.3</v>
      </c>
      <c r="W8310" s="6">
        <v>11.21</v>
      </c>
      <c r="X8310" s="6">
        <v>13.36</v>
      </c>
      <c r="Y8310" s="6">
        <v>13.35</v>
      </c>
      <c r="Z8310" s="6">
        <v>13.29</v>
      </c>
      <c r="AA8310" s="6">
        <v>25.41</v>
      </c>
      <c r="AB8310" s="7">
        <v>6.2249999999999996</v>
      </c>
      <c r="AC8310" s="6">
        <v>786.18</v>
      </c>
    </row>
    <row r="8311" spans="1:29" ht="169" x14ac:dyDescent="0.15">
      <c r="A8311" s="3">
        <f t="shared" si="161"/>
        <v>39027</v>
      </c>
      <c r="B8311" s="3">
        <f>DATE(2007,5,10)</f>
        <v>39212</v>
      </c>
      <c r="C8311" s="2" t="s">
        <v>95</v>
      </c>
      <c r="D8311" s="2" t="s">
        <v>18169</v>
      </c>
      <c r="E8311" s="2" t="s">
        <v>18170</v>
      </c>
      <c r="F8311" s="4">
        <v>4213</v>
      </c>
      <c r="G8311" s="2" t="s">
        <v>173</v>
      </c>
      <c r="H8311" s="2" t="s">
        <v>34</v>
      </c>
      <c r="I8311" s="2" t="s">
        <v>51</v>
      </c>
      <c r="J8311" s="2" t="s">
        <v>52</v>
      </c>
      <c r="K8311" s="2" t="s">
        <v>53</v>
      </c>
      <c r="L8311" s="2" t="s">
        <v>34</v>
      </c>
      <c r="M8311" s="2"/>
      <c r="N8311" s="2"/>
      <c r="O8311" s="2"/>
      <c r="P8311" s="2" t="s">
        <v>24783</v>
      </c>
      <c r="Q8311" s="6">
        <v>100</v>
      </c>
      <c r="R8311" s="6">
        <v>31.55</v>
      </c>
      <c r="S8311" s="5">
        <v>141.1</v>
      </c>
      <c r="T8311" s="7">
        <v>503.47500000000002</v>
      </c>
      <c r="U8311" s="5">
        <v>13.5</v>
      </c>
      <c r="V8311" s="6">
        <v>1.86</v>
      </c>
      <c r="W8311" s="6">
        <v>25.21</v>
      </c>
      <c r="X8311" s="6">
        <v>24.05</v>
      </c>
      <c r="Y8311" s="6">
        <v>29.84</v>
      </c>
      <c r="Z8311" s="6">
        <v>29.43</v>
      </c>
      <c r="AA8311" s="6">
        <v>74.86</v>
      </c>
      <c r="AB8311" s="7">
        <v>9.6199999999999992</v>
      </c>
      <c r="AC8311" s="2"/>
    </row>
    <row r="8312" spans="1:29" ht="130" x14ac:dyDescent="0.15">
      <c r="A8312" s="3">
        <f t="shared" si="161"/>
        <v>39027</v>
      </c>
      <c r="B8312" s="3">
        <f>DATE(2007,2,6)</f>
        <v>39119</v>
      </c>
      <c r="C8312" s="2" t="s">
        <v>95</v>
      </c>
      <c r="D8312" s="2" t="s">
        <v>24784</v>
      </c>
      <c r="E8312" s="2" t="s">
        <v>159</v>
      </c>
      <c r="F8312" s="4">
        <v>6022</v>
      </c>
      <c r="G8312" s="2" t="s">
        <v>37</v>
      </c>
      <c r="H8312" s="2" t="s">
        <v>34</v>
      </c>
      <c r="I8312" s="2" t="s">
        <v>9454</v>
      </c>
      <c r="J8312" s="2" t="s">
        <v>36</v>
      </c>
      <c r="K8312" s="2" t="s">
        <v>37</v>
      </c>
      <c r="L8312" s="2" t="s">
        <v>34</v>
      </c>
      <c r="M8312" s="12">
        <v>59944.597999999998</v>
      </c>
      <c r="N8312" s="6">
        <v>33.71</v>
      </c>
      <c r="O8312" s="6">
        <v>33.81</v>
      </c>
      <c r="P8312" s="2" t="s">
        <v>24785</v>
      </c>
      <c r="Q8312" s="6">
        <v>100</v>
      </c>
      <c r="R8312" s="6">
        <v>22.93</v>
      </c>
      <c r="S8312" s="5">
        <v>4.3</v>
      </c>
      <c r="T8312" s="2"/>
      <c r="U8312" s="5">
        <v>10.8</v>
      </c>
      <c r="V8312" s="7">
        <v>1.3720000000000001</v>
      </c>
      <c r="W8312" s="6">
        <v>20.25</v>
      </c>
      <c r="X8312" s="6">
        <v>20.75</v>
      </c>
      <c r="Y8312" s="6">
        <v>20.75</v>
      </c>
      <c r="Z8312" s="6">
        <v>23.13</v>
      </c>
      <c r="AA8312" s="6">
        <v>3.07</v>
      </c>
      <c r="AB8312" s="7">
        <v>20.268000000000001</v>
      </c>
      <c r="AC8312" s="2"/>
    </row>
    <row r="8313" spans="1:29" ht="91" x14ac:dyDescent="0.15">
      <c r="A8313" s="3">
        <f>DATE(2006,11,8)</f>
        <v>39029</v>
      </c>
      <c r="B8313" s="3">
        <f>DATE(2007,1,25)</f>
        <v>39107</v>
      </c>
      <c r="C8313" s="2" t="s">
        <v>95</v>
      </c>
      <c r="D8313" s="2" t="s">
        <v>24786</v>
      </c>
      <c r="E8313" s="2" t="s">
        <v>24787</v>
      </c>
      <c r="F8313" s="4">
        <v>7371</v>
      </c>
      <c r="G8313" s="2" t="s">
        <v>223</v>
      </c>
      <c r="H8313" s="2" t="s">
        <v>34</v>
      </c>
      <c r="I8313" s="2" t="s">
        <v>9671</v>
      </c>
      <c r="J8313" s="2" t="s">
        <v>9672</v>
      </c>
      <c r="K8313" s="2" t="s">
        <v>226</v>
      </c>
      <c r="L8313" s="2" t="s">
        <v>34</v>
      </c>
      <c r="M8313" s="12">
        <v>23684.941999999999</v>
      </c>
      <c r="N8313" s="6">
        <v>64.98</v>
      </c>
      <c r="O8313" s="6">
        <v>64.59</v>
      </c>
      <c r="P8313" s="2" t="s">
        <v>24788</v>
      </c>
      <c r="Q8313" s="6">
        <v>100</v>
      </c>
      <c r="R8313" s="6">
        <v>24</v>
      </c>
      <c r="S8313" s="5">
        <v>9.1</v>
      </c>
      <c r="T8313" s="7">
        <v>18.917000000000002</v>
      </c>
      <c r="U8313" s="5">
        <v>7.1</v>
      </c>
      <c r="V8313" s="6">
        <v>0.4</v>
      </c>
      <c r="W8313" s="6">
        <v>19.16</v>
      </c>
      <c r="X8313" s="6">
        <v>19.649999999999999</v>
      </c>
      <c r="Y8313" s="6">
        <v>19.98</v>
      </c>
      <c r="Z8313" s="6">
        <v>23.55</v>
      </c>
      <c r="AA8313" s="6">
        <v>21.72</v>
      </c>
      <c r="AB8313" s="7">
        <v>46.857999999999997</v>
      </c>
      <c r="AC8313" s="8">
        <v>1463</v>
      </c>
    </row>
    <row r="8314" spans="1:29" ht="104" x14ac:dyDescent="0.15">
      <c r="A8314" s="3">
        <f>DATE(2006,11,9)</f>
        <v>39030</v>
      </c>
      <c r="B8314" s="3">
        <f>DATE(2007,8,2)</f>
        <v>39296</v>
      </c>
      <c r="C8314" s="2" t="s">
        <v>95</v>
      </c>
      <c r="D8314" s="2" t="s">
        <v>24789</v>
      </c>
      <c r="E8314" s="2" t="s">
        <v>6711</v>
      </c>
      <c r="F8314" s="4">
        <v>2834</v>
      </c>
      <c r="G8314" s="2" t="s">
        <v>130</v>
      </c>
      <c r="H8314" s="2" t="s">
        <v>34</v>
      </c>
      <c r="I8314" s="2" t="s">
        <v>212</v>
      </c>
      <c r="J8314" s="2" t="s">
        <v>6711</v>
      </c>
      <c r="K8314" s="2" t="s">
        <v>130</v>
      </c>
      <c r="L8314" s="2" t="s">
        <v>34</v>
      </c>
      <c r="M8314" s="12">
        <v>87914.202000000005</v>
      </c>
      <c r="N8314" s="6">
        <v>81.349999999999994</v>
      </c>
      <c r="O8314" s="6">
        <v>81.59</v>
      </c>
      <c r="P8314" s="2" t="s">
        <v>24790</v>
      </c>
      <c r="Q8314" s="6">
        <v>100</v>
      </c>
      <c r="R8314" s="6">
        <v>20</v>
      </c>
      <c r="S8314" s="5">
        <v>2.8</v>
      </c>
      <c r="T8314" s="6">
        <v>1.45</v>
      </c>
      <c r="U8314" s="5">
        <v>4.7</v>
      </c>
      <c r="V8314" s="6">
        <v>7.0000000000000007E-2</v>
      </c>
      <c r="W8314" s="6">
        <v>13.65</v>
      </c>
      <c r="X8314" s="6">
        <v>14.49</v>
      </c>
      <c r="Y8314" s="6">
        <v>13.64</v>
      </c>
      <c r="Z8314" s="6">
        <v>19.75</v>
      </c>
      <c r="AA8314" s="6">
        <v>45.25</v>
      </c>
      <c r="AB8314" s="2" t="s">
        <v>86</v>
      </c>
      <c r="AC8314" s="8">
        <v>2103</v>
      </c>
    </row>
    <row r="8315" spans="1:29" ht="143" x14ac:dyDescent="0.15">
      <c r="A8315" s="3">
        <f>DATE(2006,11,12)</f>
        <v>39033</v>
      </c>
      <c r="B8315" s="3">
        <f>DATE(2007,1,26)</f>
        <v>39108</v>
      </c>
      <c r="C8315" s="2" t="s">
        <v>95</v>
      </c>
      <c r="D8315" s="2" t="s">
        <v>24791</v>
      </c>
      <c r="E8315" s="2" t="s">
        <v>21570</v>
      </c>
      <c r="F8315" s="4">
        <v>8731</v>
      </c>
      <c r="G8315" s="2" t="s">
        <v>223</v>
      </c>
      <c r="H8315" s="2" t="s">
        <v>34</v>
      </c>
      <c r="I8315" s="2" t="s">
        <v>24792</v>
      </c>
      <c r="J8315" s="2" t="s">
        <v>24793</v>
      </c>
      <c r="K8315" s="2" t="s">
        <v>226</v>
      </c>
      <c r="L8315" s="2" t="s">
        <v>34</v>
      </c>
      <c r="M8315" s="12">
        <v>1651.029</v>
      </c>
      <c r="N8315" s="6">
        <v>38.909999999999997</v>
      </c>
      <c r="O8315" s="6">
        <v>38.909999999999997</v>
      </c>
      <c r="P8315" s="2" t="s">
        <v>24794</v>
      </c>
      <c r="Q8315" s="6">
        <v>100</v>
      </c>
      <c r="R8315" s="6">
        <v>14</v>
      </c>
      <c r="S8315" s="5">
        <v>-12.4</v>
      </c>
      <c r="T8315" s="7">
        <v>-18.222999999999999</v>
      </c>
      <c r="U8315" s="5">
        <v>2</v>
      </c>
      <c r="V8315" s="6">
        <v>-3.56</v>
      </c>
      <c r="W8315" s="6">
        <v>9.64</v>
      </c>
      <c r="X8315" s="5">
        <v>9.6999999999999993</v>
      </c>
      <c r="Y8315" s="6">
        <v>12.56</v>
      </c>
      <c r="Z8315" s="6">
        <v>12.56</v>
      </c>
      <c r="AA8315" s="6">
        <v>36.54</v>
      </c>
      <c r="AB8315" s="2" t="s">
        <v>86</v>
      </c>
      <c r="AC8315" s="6">
        <v>50.17</v>
      </c>
    </row>
    <row r="8316" spans="1:29" ht="143" x14ac:dyDescent="0.15">
      <c r="A8316" s="3">
        <f>DATE(2006,11,13)</f>
        <v>39034</v>
      </c>
      <c r="B8316" s="2"/>
      <c r="C8316" s="2" t="s">
        <v>30</v>
      </c>
      <c r="D8316" s="2" t="s">
        <v>24795</v>
      </c>
      <c r="E8316" s="2" t="s">
        <v>24796</v>
      </c>
      <c r="F8316" s="4">
        <v>2329</v>
      </c>
      <c r="G8316" s="2" t="s">
        <v>708</v>
      </c>
      <c r="H8316" s="2" t="s">
        <v>34</v>
      </c>
      <c r="I8316" s="2" t="s">
        <v>24797</v>
      </c>
      <c r="J8316" s="2" t="s">
        <v>11337</v>
      </c>
      <c r="K8316" s="2" t="s">
        <v>53</v>
      </c>
      <c r="L8316" s="2" t="s">
        <v>34</v>
      </c>
      <c r="M8316" s="2"/>
      <c r="N8316" s="2"/>
      <c r="O8316" s="2"/>
      <c r="P8316" s="2" t="s">
        <v>24798</v>
      </c>
      <c r="Q8316" s="2"/>
      <c r="R8316" s="6">
        <v>9.25</v>
      </c>
      <c r="S8316" s="5">
        <v>38.1</v>
      </c>
      <c r="T8316" s="7">
        <v>108.839</v>
      </c>
      <c r="U8316" s="5">
        <v>18.2</v>
      </c>
      <c r="V8316" s="6">
        <v>1.41</v>
      </c>
      <c r="W8316" s="6">
        <v>8.65</v>
      </c>
      <c r="X8316" s="6">
        <v>8.85</v>
      </c>
      <c r="Y8316" s="6">
        <v>8.99</v>
      </c>
      <c r="Z8316" s="6">
        <v>8.9600000000000009</v>
      </c>
      <c r="AA8316" s="6">
        <v>30.02</v>
      </c>
      <c r="AB8316" s="7">
        <v>7.8680000000000003</v>
      </c>
      <c r="AC8316" s="2"/>
    </row>
    <row r="8317" spans="1:29" ht="78" x14ac:dyDescent="0.15">
      <c r="A8317" s="3">
        <f>DATE(2006,11,13)</f>
        <v>39034</v>
      </c>
      <c r="B8317" s="3">
        <f>DATE(2007,2,13)</f>
        <v>39126</v>
      </c>
      <c r="C8317" s="2" t="s">
        <v>95</v>
      </c>
      <c r="D8317" s="2" t="s">
        <v>24799</v>
      </c>
      <c r="E8317" s="2" t="s">
        <v>24800</v>
      </c>
      <c r="F8317" s="4">
        <v>5941</v>
      </c>
      <c r="G8317" s="2" t="s">
        <v>73</v>
      </c>
      <c r="H8317" s="2" t="s">
        <v>34</v>
      </c>
      <c r="I8317" s="2" t="s">
        <v>22078</v>
      </c>
      <c r="J8317" s="2" t="s">
        <v>10623</v>
      </c>
      <c r="K8317" s="2" t="s">
        <v>73</v>
      </c>
      <c r="L8317" s="2" t="s">
        <v>34</v>
      </c>
      <c r="M8317" s="12">
        <v>1845.3869999999999</v>
      </c>
      <c r="N8317" s="6">
        <v>48.92</v>
      </c>
      <c r="O8317" s="5">
        <v>54.2</v>
      </c>
      <c r="P8317" s="2" t="s">
        <v>24801</v>
      </c>
      <c r="Q8317" s="6">
        <v>100</v>
      </c>
      <c r="R8317" s="6">
        <v>18.82</v>
      </c>
      <c r="S8317" s="5">
        <v>7.7</v>
      </c>
      <c r="T8317" s="7">
        <v>19.143999999999998</v>
      </c>
      <c r="U8317" s="5">
        <v>6.5</v>
      </c>
      <c r="V8317" s="6">
        <v>0.47</v>
      </c>
      <c r="W8317" s="6">
        <v>15.53</v>
      </c>
      <c r="X8317" s="6">
        <v>15.82</v>
      </c>
      <c r="Y8317" s="6">
        <v>15.65</v>
      </c>
      <c r="Z8317" s="6">
        <v>18.440000000000001</v>
      </c>
      <c r="AA8317" s="6">
        <v>11.02</v>
      </c>
      <c r="AB8317" s="7">
        <v>16.943999999999999</v>
      </c>
      <c r="AC8317" s="6">
        <v>35.14</v>
      </c>
    </row>
    <row r="8318" spans="1:29" ht="91" x14ac:dyDescent="0.15">
      <c r="A8318" s="3">
        <f>DATE(2006,11,13)</f>
        <v>39034</v>
      </c>
      <c r="B8318" s="3">
        <f>DATE(2007,2,7)</f>
        <v>39120</v>
      </c>
      <c r="C8318" s="2" t="s">
        <v>95</v>
      </c>
      <c r="D8318" s="2" t="s">
        <v>18358</v>
      </c>
      <c r="E8318" s="2" t="s">
        <v>18359</v>
      </c>
      <c r="F8318" s="4">
        <v>7373</v>
      </c>
      <c r="G8318" s="2" t="s">
        <v>223</v>
      </c>
      <c r="H8318" s="2" t="s">
        <v>34</v>
      </c>
      <c r="I8318" s="2" t="s">
        <v>15145</v>
      </c>
      <c r="J8318" s="2" t="s">
        <v>15146</v>
      </c>
      <c r="K8318" s="2" t="s">
        <v>921</v>
      </c>
      <c r="L8318" s="2" t="s">
        <v>34</v>
      </c>
      <c r="M8318" s="12">
        <v>61621.188999999998</v>
      </c>
      <c r="N8318" s="6">
        <v>21.17</v>
      </c>
      <c r="O8318" s="6">
        <v>21.68</v>
      </c>
      <c r="P8318" s="2" t="s">
        <v>24802</v>
      </c>
      <c r="Q8318" s="6">
        <v>100</v>
      </c>
      <c r="R8318" s="6">
        <v>7</v>
      </c>
      <c r="S8318" s="5">
        <v>-3.6</v>
      </c>
      <c r="T8318" s="7">
        <v>-2.4260000000000002</v>
      </c>
      <c r="U8318" s="5">
        <v>1.5</v>
      </c>
      <c r="V8318" s="6">
        <v>-0.14000000000000001</v>
      </c>
      <c r="W8318" s="6">
        <v>5.71</v>
      </c>
      <c r="X8318" s="6">
        <v>5.98</v>
      </c>
      <c r="Y8318" s="6">
        <v>5.59</v>
      </c>
      <c r="Z8318" s="6">
        <v>6.83</v>
      </c>
      <c r="AA8318" s="6">
        <v>26.12</v>
      </c>
      <c r="AB8318" s="2" t="s">
        <v>86</v>
      </c>
      <c r="AC8318" s="8">
        <v>14842</v>
      </c>
    </row>
    <row r="8319" spans="1:29" ht="234" x14ac:dyDescent="0.15">
      <c r="A8319" s="3">
        <f>DATE(2006,11,13)</f>
        <v>39034</v>
      </c>
      <c r="B8319" s="2"/>
      <c r="C8319" s="2" t="s">
        <v>30</v>
      </c>
      <c r="D8319" s="2" t="s">
        <v>9560</v>
      </c>
      <c r="E8319" s="2" t="s">
        <v>9561</v>
      </c>
      <c r="F8319" s="4">
        <v>7011</v>
      </c>
      <c r="G8319" s="2" t="s">
        <v>269</v>
      </c>
      <c r="H8319" s="2" t="s">
        <v>34</v>
      </c>
      <c r="I8319" s="2" t="s">
        <v>51</v>
      </c>
      <c r="J8319" s="2" t="s">
        <v>52</v>
      </c>
      <c r="K8319" s="2" t="s">
        <v>53</v>
      </c>
      <c r="L8319" s="2" t="s">
        <v>34</v>
      </c>
      <c r="M8319" s="2"/>
      <c r="N8319" s="2"/>
      <c r="O8319" s="2"/>
      <c r="P8319" s="2" t="s">
        <v>24803</v>
      </c>
      <c r="Q8319" s="2"/>
      <c r="R8319" s="6">
        <v>30</v>
      </c>
      <c r="S8319" s="5">
        <v>0.9</v>
      </c>
      <c r="T8319" s="7">
        <v>40.531999999999996</v>
      </c>
      <c r="U8319" s="5">
        <v>-2.2000000000000002</v>
      </c>
      <c r="V8319" s="6">
        <v>7.0000000000000007E-2</v>
      </c>
      <c r="W8319" s="6">
        <v>19.420000000000002</v>
      </c>
      <c r="X8319" s="6">
        <v>20.29</v>
      </c>
      <c r="Y8319" s="6">
        <v>21.14</v>
      </c>
      <c r="Z8319" s="6">
        <v>21.74</v>
      </c>
      <c r="AA8319" s="6">
        <v>12.46</v>
      </c>
      <c r="AB8319" s="7">
        <v>20.231000000000002</v>
      </c>
      <c r="AC8319" s="2"/>
    </row>
    <row r="8320" spans="1:29" ht="78" x14ac:dyDescent="0.15">
      <c r="A8320" s="3">
        <f>DATE(2006,11,14)</f>
        <v>39035</v>
      </c>
      <c r="B8320" s="2"/>
      <c r="C8320" s="2" t="s">
        <v>87</v>
      </c>
      <c r="D8320" s="2" t="s">
        <v>1225</v>
      </c>
      <c r="E8320" s="2" t="s">
        <v>1226</v>
      </c>
      <c r="F8320" s="4">
        <v>5719</v>
      </c>
      <c r="G8320" s="2" t="s">
        <v>1227</v>
      </c>
      <c r="H8320" s="2" t="s">
        <v>34</v>
      </c>
      <c r="I8320" s="2" t="s">
        <v>24804</v>
      </c>
      <c r="J8320" s="2" t="s">
        <v>150</v>
      </c>
      <c r="K8320" s="2" t="s">
        <v>53</v>
      </c>
      <c r="L8320" s="2" t="s">
        <v>734</v>
      </c>
      <c r="M8320" s="2"/>
      <c r="N8320" s="2"/>
      <c r="O8320" s="2"/>
      <c r="P8320" s="2" t="s">
        <v>24805</v>
      </c>
      <c r="Q8320" s="2"/>
      <c r="R8320" s="2"/>
      <c r="S8320" s="5">
        <v>-113</v>
      </c>
      <c r="T8320" s="6">
        <v>-8.44</v>
      </c>
      <c r="U8320" s="5">
        <v>5.5</v>
      </c>
      <c r="V8320" s="6">
        <v>-1.1499999999999999</v>
      </c>
      <c r="W8320" s="4">
        <v>6</v>
      </c>
      <c r="X8320" s="6">
        <v>6.32</v>
      </c>
      <c r="Y8320" s="6">
        <v>7.62</v>
      </c>
      <c r="Z8320" s="6">
        <v>7.45</v>
      </c>
      <c r="AA8320" s="6">
        <v>87.61</v>
      </c>
      <c r="AB8320" s="2" t="s">
        <v>86</v>
      </c>
      <c r="AC8320" s="2"/>
    </row>
    <row r="8321" spans="1:29" ht="78" x14ac:dyDescent="0.15">
      <c r="A8321" s="3">
        <f>DATE(2006,11,14)</f>
        <v>39035</v>
      </c>
      <c r="B8321" s="2"/>
      <c r="C8321" s="2" t="s">
        <v>141</v>
      </c>
      <c r="D8321" s="2" t="s">
        <v>24806</v>
      </c>
      <c r="E8321" s="2" t="s">
        <v>24807</v>
      </c>
      <c r="F8321" s="4">
        <v>3143</v>
      </c>
      <c r="G8321" s="2" t="s">
        <v>326</v>
      </c>
      <c r="H8321" s="2" t="s">
        <v>34</v>
      </c>
      <c r="I8321" s="2" t="s">
        <v>143</v>
      </c>
      <c r="J8321" s="2" t="s">
        <v>144</v>
      </c>
      <c r="K8321" s="2" t="s">
        <v>53</v>
      </c>
      <c r="L8321" s="2" t="s">
        <v>139</v>
      </c>
      <c r="M8321" s="2"/>
      <c r="N8321" s="2"/>
      <c r="O8321" s="2"/>
      <c r="P8321" s="2" t="s">
        <v>24808</v>
      </c>
      <c r="Q8321" s="2"/>
      <c r="R8321" s="2"/>
      <c r="S8321" s="5">
        <v>115</v>
      </c>
      <c r="T8321" s="6">
        <v>201.37</v>
      </c>
      <c r="U8321" s="5">
        <v>8.6</v>
      </c>
      <c r="V8321" s="6">
        <v>1.82</v>
      </c>
      <c r="W8321" s="6">
        <v>29.03</v>
      </c>
      <c r="X8321" s="4">
        <v>31</v>
      </c>
      <c r="Y8321" s="6">
        <v>33.369999999999997</v>
      </c>
      <c r="Z8321" s="6">
        <v>32.06</v>
      </c>
      <c r="AA8321" s="6">
        <v>62.42</v>
      </c>
      <c r="AB8321" s="2" t="s">
        <v>47</v>
      </c>
      <c r="AC8321" s="2"/>
    </row>
    <row r="8322" spans="1:29" ht="104" x14ac:dyDescent="0.15">
      <c r="A8322" s="3">
        <f>DATE(2006,11,14)</f>
        <v>39035</v>
      </c>
      <c r="B8322" s="3">
        <f>DATE(2007,2,28)</f>
        <v>39141</v>
      </c>
      <c r="C8322" s="2" t="s">
        <v>95</v>
      </c>
      <c r="D8322" s="2" t="s">
        <v>24809</v>
      </c>
      <c r="E8322" s="2" t="s">
        <v>24810</v>
      </c>
      <c r="F8322" s="4">
        <v>5169</v>
      </c>
      <c r="G8322" s="2" t="s">
        <v>593</v>
      </c>
      <c r="H8322" s="2" t="s">
        <v>34</v>
      </c>
      <c r="I8322" s="2" t="s">
        <v>22879</v>
      </c>
      <c r="J8322" s="2" t="s">
        <v>4655</v>
      </c>
      <c r="K8322" s="2" t="s">
        <v>53</v>
      </c>
      <c r="L8322" s="2" t="s">
        <v>34</v>
      </c>
      <c r="M8322" s="2"/>
      <c r="N8322" s="2"/>
      <c r="O8322" s="2"/>
      <c r="P8322" s="2" t="s">
        <v>24811</v>
      </c>
      <c r="Q8322" s="6">
        <v>100</v>
      </c>
      <c r="R8322" s="6">
        <v>27</v>
      </c>
      <c r="S8322" s="5">
        <v>14.6</v>
      </c>
      <c r="T8322" s="7">
        <v>36.613</v>
      </c>
      <c r="U8322" s="5">
        <v>7.6</v>
      </c>
      <c r="V8322" s="6">
        <v>1.5</v>
      </c>
      <c r="W8322" s="6">
        <v>26.85</v>
      </c>
      <c r="X8322" s="4">
        <v>27</v>
      </c>
      <c r="Y8322" s="6">
        <v>26.75</v>
      </c>
      <c r="Z8322" s="6">
        <v>26.35</v>
      </c>
      <c r="AA8322" s="6">
        <v>9.68</v>
      </c>
      <c r="AB8322" s="7">
        <v>12.193</v>
      </c>
      <c r="AC8322" s="2"/>
    </row>
    <row r="8323" spans="1:29" ht="143" x14ac:dyDescent="0.15">
      <c r="A8323" s="3">
        <f>DATE(2006,11,14)</f>
        <v>39035</v>
      </c>
      <c r="B8323" s="3">
        <f>DATE(2007,10,22)</f>
        <v>39377</v>
      </c>
      <c r="C8323" s="2" t="s">
        <v>95</v>
      </c>
      <c r="D8323" s="2" t="s">
        <v>24812</v>
      </c>
      <c r="E8323" s="2" t="s">
        <v>194</v>
      </c>
      <c r="F8323" s="4">
        <v>6712</v>
      </c>
      <c r="G8323" s="2" t="s">
        <v>37</v>
      </c>
      <c r="H8323" s="2" t="s">
        <v>34</v>
      </c>
      <c r="I8323" s="2" t="s">
        <v>24813</v>
      </c>
      <c r="J8323" s="2" t="s">
        <v>24814</v>
      </c>
      <c r="K8323" s="2" t="s">
        <v>33</v>
      </c>
      <c r="L8323" s="2" t="s">
        <v>34</v>
      </c>
      <c r="M8323" s="2"/>
      <c r="N8323" s="2"/>
      <c r="O8323" s="2"/>
      <c r="P8323" s="2" t="s">
        <v>24815</v>
      </c>
      <c r="Q8323" s="6">
        <v>100</v>
      </c>
      <c r="R8323" s="6">
        <v>35</v>
      </c>
      <c r="S8323" s="5">
        <v>0</v>
      </c>
      <c r="T8323" s="7">
        <v>0.32200000000000001</v>
      </c>
      <c r="U8323" s="5">
        <v>17.8</v>
      </c>
      <c r="V8323" s="6">
        <v>-0.03</v>
      </c>
      <c r="W8323" s="4">
        <v>31</v>
      </c>
      <c r="X8323" s="4">
        <v>31</v>
      </c>
      <c r="Y8323" s="5">
        <v>34.299999999999997</v>
      </c>
      <c r="Z8323" s="6">
        <v>34.25</v>
      </c>
      <c r="AA8323" s="6">
        <v>1.6</v>
      </c>
      <c r="AB8323" s="2" t="s">
        <v>86</v>
      </c>
      <c r="AC8323" s="2"/>
    </row>
    <row r="8324" spans="1:29" ht="143" x14ac:dyDescent="0.15">
      <c r="A8324" s="3">
        <f>DATE(2006,11,15)</f>
        <v>39036</v>
      </c>
      <c r="B8324" s="3">
        <f>DATE(2007,1,19)</f>
        <v>39101</v>
      </c>
      <c r="C8324" s="2" t="s">
        <v>95</v>
      </c>
      <c r="D8324" s="2" t="s">
        <v>24816</v>
      </c>
      <c r="E8324" s="2" t="s">
        <v>540</v>
      </c>
      <c r="F8324" s="4">
        <v>2836</v>
      </c>
      <c r="G8324" s="2" t="s">
        <v>130</v>
      </c>
      <c r="H8324" s="2" t="s">
        <v>34</v>
      </c>
      <c r="I8324" s="2" t="s">
        <v>24817</v>
      </c>
      <c r="J8324" s="2" t="s">
        <v>8291</v>
      </c>
      <c r="K8324" s="2" t="s">
        <v>130</v>
      </c>
      <c r="L8324" s="2" t="s">
        <v>34</v>
      </c>
      <c r="M8324" s="2"/>
      <c r="N8324" s="2"/>
      <c r="O8324" s="2"/>
      <c r="P8324" s="2" t="s">
        <v>24818</v>
      </c>
      <c r="Q8324" s="6">
        <v>100</v>
      </c>
      <c r="R8324" s="6">
        <v>17</v>
      </c>
      <c r="S8324" s="5">
        <v>2.6</v>
      </c>
      <c r="T8324" s="7">
        <v>11.285</v>
      </c>
      <c r="U8324" s="5">
        <v>6.9</v>
      </c>
      <c r="V8324" s="6">
        <v>0.31</v>
      </c>
      <c r="W8324" s="6">
        <v>11.24</v>
      </c>
      <c r="X8324" s="6">
        <v>11.92</v>
      </c>
      <c r="Y8324" s="6">
        <v>16.64</v>
      </c>
      <c r="Z8324" s="6">
        <v>16.63</v>
      </c>
      <c r="AA8324" s="6">
        <v>8.35</v>
      </c>
      <c r="AB8324" s="7">
        <v>42.46</v>
      </c>
      <c r="AC8324" s="2"/>
    </row>
    <row r="8325" spans="1:29" ht="104" x14ac:dyDescent="0.15">
      <c r="A8325" s="3">
        <f>DATE(2006,11,15)</f>
        <v>39036</v>
      </c>
      <c r="B8325" s="3">
        <f>DATE(2007,2,14)</f>
        <v>39127</v>
      </c>
      <c r="C8325" s="2" t="s">
        <v>95</v>
      </c>
      <c r="D8325" s="2" t="s">
        <v>15483</v>
      </c>
      <c r="E8325" s="2" t="s">
        <v>15484</v>
      </c>
      <c r="F8325" s="4">
        <v>4011</v>
      </c>
      <c r="G8325" s="2" t="s">
        <v>173</v>
      </c>
      <c r="H8325" s="2" t="s">
        <v>34</v>
      </c>
      <c r="I8325" s="2" t="s">
        <v>22958</v>
      </c>
      <c r="J8325" s="2" t="s">
        <v>22959</v>
      </c>
      <c r="K8325" s="2" t="s">
        <v>53</v>
      </c>
      <c r="L8325" s="2" t="s">
        <v>34</v>
      </c>
      <c r="M8325" s="2"/>
      <c r="N8325" s="2"/>
      <c r="O8325" s="2"/>
      <c r="P8325" s="2" t="s">
        <v>24819</v>
      </c>
      <c r="Q8325" s="6">
        <v>100</v>
      </c>
      <c r="R8325" s="6">
        <v>16.350000000000001</v>
      </c>
      <c r="S8325" s="5">
        <v>27</v>
      </c>
      <c r="T8325" s="7">
        <v>91.251999999999995</v>
      </c>
      <c r="U8325" s="5">
        <v>12</v>
      </c>
      <c r="V8325" s="6">
        <v>0.69</v>
      </c>
      <c r="W8325" s="6">
        <v>12.35</v>
      </c>
      <c r="X8325" s="6">
        <v>12.38</v>
      </c>
      <c r="Y8325" s="6">
        <v>15.82</v>
      </c>
      <c r="Z8325" s="6">
        <v>15.85</v>
      </c>
      <c r="AA8325" s="6">
        <v>39.29</v>
      </c>
      <c r="AB8325" s="7">
        <v>21.111000000000001</v>
      </c>
      <c r="AC8325" s="6">
        <v>288.36</v>
      </c>
    </row>
    <row r="8326" spans="1:29" ht="364" x14ac:dyDescent="0.15">
      <c r="A8326" s="3">
        <f>DATE(2006,11,16)</f>
        <v>39037</v>
      </c>
      <c r="B8326" s="3">
        <f>DATE(2008,7,30)</f>
        <v>39659</v>
      </c>
      <c r="C8326" s="2" t="s">
        <v>95</v>
      </c>
      <c r="D8326" s="2" t="s">
        <v>8034</v>
      </c>
      <c r="E8326" s="2" t="s">
        <v>8035</v>
      </c>
      <c r="F8326" s="4">
        <v>4832</v>
      </c>
      <c r="G8326" s="2" t="s">
        <v>45</v>
      </c>
      <c r="H8326" s="2" t="s">
        <v>34</v>
      </c>
      <c r="I8326" s="2" t="s">
        <v>24820</v>
      </c>
      <c r="J8326" s="2" t="s">
        <v>11337</v>
      </c>
      <c r="K8326" s="2" t="s">
        <v>53</v>
      </c>
      <c r="L8326" s="2" t="s">
        <v>34</v>
      </c>
      <c r="M8326" s="2"/>
      <c r="N8326" s="2"/>
      <c r="O8326" s="2"/>
      <c r="P8326" s="2" t="s">
        <v>24821</v>
      </c>
      <c r="Q8326" s="6">
        <v>100</v>
      </c>
      <c r="R8326" s="6">
        <v>36</v>
      </c>
      <c r="S8326" s="5">
        <v>834.3</v>
      </c>
      <c r="T8326" s="12">
        <v>2061.6729999999998</v>
      </c>
      <c r="U8326" s="5">
        <v>19.399999999999999</v>
      </c>
      <c r="V8326" s="9">
        <v>1.6820999999999999</v>
      </c>
      <c r="W8326" s="6">
        <v>31.37</v>
      </c>
      <c r="X8326" s="6">
        <v>32.35</v>
      </c>
      <c r="Y8326" s="6">
        <v>35.479999999999997</v>
      </c>
      <c r="Z8326" s="5">
        <v>34.700000000000003</v>
      </c>
      <c r="AA8326" s="6">
        <v>493.8</v>
      </c>
      <c r="AB8326" s="7">
        <v>14.629</v>
      </c>
      <c r="AC8326" s="6">
        <v>602.11</v>
      </c>
    </row>
    <row r="8327" spans="1:29" ht="91" x14ac:dyDescent="0.15">
      <c r="A8327" s="3">
        <f>DATE(2006,11,16)</f>
        <v>39037</v>
      </c>
      <c r="B8327" s="3">
        <f>DATE(2007,2,1)</f>
        <v>39114</v>
      </c>
      <c r="C8327" s="2" t="s">
        <v>95</v>
      </c>
      <c r="D8327" s="2" t="s">
        <v>24822</v>
      </c>
      <c r="E8327" s="2" t="s">
        <v>24823</v>
      </c>
      <c r="F8327" s="4">
        <v>3841</v>
      </c>
      <c r="G8327" s="2" t="s">
        <v>226</v>
      </c>
      <c r="H8327" s="2" t="s">
        <v>34</v>
      </c>
      <c r="I8327" s="2" t="s">
        <v>5669</v>
      </c>
      <c r="J8327" s="2" t="s">
        <v>5670</v>
      </c>
      <c r="K8327" s="2" t="s">
        <v>130</v>
      </c>
      <c r="L8327" s="2" t="s">
        <v>34</v>
      </c>
      <c r="M8327" s="12">
        <v>197272.12599999999</v>
      </c>
      <c r="N8327" s="6">
        <v>66.53</v>
      </c>
      <c r="O8327" s="6">
        <v>67.239999999999995</v>
      </c>
      <c r="P8327" s="2" t="s">
        <v>24824</v>
      </c>
      <c r="Q8327" s="6">
        <v>100</v>
      </c>
      <c r="R8327" s="6">
        <v>33.5</v>
      </c>
      <c r="S8327" s="5">
        <v>-60.3</v>
      </c>
      <c r="T8327" s="7">
        <v>-62.524999999999999</v>
      </c>
      <c r="U8327" s="5">
        <v>3.8</v>
      </c>
      <c r="V8327" s="6">
        <v>-1.77</v>
      </c>
      <c r="W8327" s="5">
        <v>25.9</v>
      </c>
      <c r="X8327" s="6">
        <v>27.05</v>
      </c>
      <c r="Y8327" s="6">
        <v>27.52</v>
      </c>
      <c r="Z8327" s="6">
        <v>32.68</v>
      </c>
      <c r="AA8327" s="6">
        <v>37.700000000000003</v>
      </c>
      <c r="AB8327" s="2" t="s">
        <v>86</v>
      </c>
      <c r="AC8327" s="8">
        <v>14692</v>
      </c>
    </row>
    <row r="8328" spans="1:29" ht="182" x14ac:dyDescent="0.15">
      <c r="A8328" s="3">
        <f>DATE(2006,11,16)</f>
        <v>39037</v>
      </c>
      <c r="B8328" s="3">
        <f>DATE(2007,3,2)</f>
        <v>39143</v>
      </c>
      <c r="C8328" s="2" t="s">
        <v>95</v>
      </c>
      <c r="D8328" s="2" t="s">
        <v>24825</v>
      </c>
      <c r="E8328" s="2" t="s">
        <v>24826</v>
      </c>
      <c r="F8328" s="4">
        <v>2721</v>
      </c>
      <c r="G8328" s="2" t="s">
        <v>186</v>
      </c>
      <c r="H8328" s="2" t="s">
        <v>34</v>
      </c>
      <c r="I8328" s="2" t="s">
        <v>51</v>
      </c>
      <c r="J8328" s="2" t="s">
        <v>52</v>
      </c>
      <c r="K8328" s="2" t="s">
        <v>53</v>
      </c>
      <c r="L8328" s="2" t="s">
        <v>34</v>
      </c>
      <c r="M8328" s="2"/>
      <c r="N8328" s="2"/>
      <c r="O8328" s="2"/>
      <c r="P8328" s="2" t="s">
        <v>24827</v>
      </c>
      <c r="Q8328" s="6">
        <v>100</v>
      </c>
      <c r="R8328" s="6">
        <v>17</v>
      </c>
      <c r="S8328" s="5">
        <v>-135.9</v>
      </c>
      <c r="T8328" s="5">
        <v>165</v>
      </c>
      <c r="U8328" s="5">
        <v>1.2</v>
      </c>
      <c r="V8328" s="6">
        <v>-1.43</v>
      </c>
      <c r="W8328" s="6">
        <v>15.23</v>
      </c>
      <c r="X8328" s="6">
        <v>15.51</v>
      </c>
      <c r="Y8328" s="5">
        <v>16.7</v>
      </c>
      <c r="Z8328" s="6">
        <v>16.89</v>
      </c>
      <c r="AA8328" s="6">
        <v>94.98</v>
      </c>
      <c r="AB8328" s="7">
        <v>18.437999999999999</v>
      </c>
      <c r="AC8328" s="2"/>
    </row>
    <row r="8329" spans="1:29" ht="117" x14ac:dyDescent="0.15">
      <c r="A8329" s="3">
        <f>DATE(2006,11,16)</f>
        <v>39037</v>
      </c>
      <c r="B8329" s="2"/>
      <c r="C8329" s="2" t="s">
        <v>30</v>
      </c>
      <c r="D8329" s="2" t="s">
        <v>24368</v>
      </c>
      <c r="E8329" s="2" t="s">
        <v>6321</v>
      </c>
      <c r="F8329" s="4">
        <v>6798</v>
      </c>
      <c r="G8329" s="2" t="s">
        <v>53</v>
      </c>
      <c r="H8329" s="2" t="s">
        <v>34</v>
      </c>
      <c r="I8329" s="2" t="s">
        <v>51</v>
      </c>
      <c r="J8329" s="2" t="s">
        <v>52</v>
      </c>
      <c r="K8329" s="2" t="s">
        <v>53</v>
      </c>
      <c r="L8329" s="2" t="s">
        <v>34</v>
      </c>
      <c r="M8329" s="2"/>
      <c r="N8329" s="2"/>
      <c r="O8329" s="2"/>
      <c r="P8329" s="2" t="s">
        <v>24828</v>
      </c>
      <c r="Q8329" s="2"/>
      <c r="R8329" s="6">
        <v>49</v>
      </c>
      <c r="S8329" s="5">
        <v>74.7</v>
      </c>
      <c r="T8329" s="6">
        <v>169.59</v>
      </c>
      <c r="U8329" s="5">
        <v>16.100000000000001</v>
      </c>
      <c r="V8329" s="6">
        <v>0.9</v>
      </c>
      <c r="W8329" s="5">
        <v>43.9</v>
      </c>
      <c r="X8329" s="6">
        <v>45.06</v>
      </c>
      <c r="Y8329" s="4">
        <v>48</v>
      </c>
      <c r="Z8329" s="5">
        <v>48.2</v>
      </c>
      <c r="AA8329" s="6">
        <v>83.76</v>
      </c>
      <c r="AB8329" s="7">
        <v>226.10400000000001</v>
      </c>
      <c r="AC8329" s="2"/>
    </row>
    <row r="8330" spans="1:29" ht="65" x14ac:dyDescent="0.15">
      <c r="A8330" s="3">
        <f>DATE(2006,11,17)</f>
        <v>39038</v>
      </c>
      <c r="B8330" s="2"/>
      <c r="C8330" s="2" t="s">
        <v>87</v>
      </c>
      <c r="D8330" s="2" t="s">
        <v>19654</v>
      </c>
      <c r="E8330" s="2" t="s">
        <v>19655</v>
      </c>
      <c r="F8330" s="4">
        <v>3312</v>
      </c>
      <c r="G8330" s="2" t="s">
        <v>163</v>
      </c>
      <c r="H8330" s="2" t="s">
        <v>34</v>
      </c>
      <c r="I8330" s="2" t="s">
        <v>24829</v>
      </c>
      <c r="J8330" s="2" t="s">
        <v>14737</v>
      </c>
      <c r="K8330" s="2" t="s">
        <v>163</v>
      </c>
      <c r="L8330" s="2" t="s">
        <v>18001</v>
      </c>
      <c r="M8330" s="12">
        <v>11402.103999999999</v>
      </c>
      <c r="N8330" s="6">
        <v>11.55</v>
      </c>
      <c r="O8330" s="6">
        <v>11.62</v>
      </c>
      <c r="P8330" s="2" t="s">
        <v>24830</v>
      </c>
      <c r="Q8330" s="2"/>
      <c r="R8330" s="2"/>
      <c r="S8330" s="8">
        <v>1180</v>
      </c>
      <c r="T8330" s="8">
        <v>2178</v>
      </c>
      <c r="U8330" s="5">
        <v>35.299999999999997</v>
      </c>
      <c r="V8330" s="6">
        <v>10.36</v>
      </c>
      <c r="W8330" s="6">
        <v>66.53</v>
      </c>
      <c r="X8330" s="6">
        <v>64.569999999999993</v>
      </c>
      <c r="Y8330" s="6">
        <v>70.569999999999993</v>
      </c>
      <c r="Z8330" s="6">
        <v>72.75</v>
      </c>
      <c r="AA8330" s="6">
        <v>118.47</v>
      </c>
      <c r="AB8330" s="2" t="s">
        <v>47</v>
      </c>
      <c r="AC8330" s="10">
        <v>1742.57</v>
      </c>
    </row>
    <row r="8331" spans="1:29" ht="260" x14ac:dyDescent="0.15">
      <c r="A8331" s="3">
        <f>DATE(2006,11,19)</f>
        <v>39040</v>
      </c>
      <c r="B8331" s="3">
        <f>DATE(2007,2,9)</f>
        <v>39122</v>
      </c>
      <c r="C8331" s="2" t="s">
        <v>95</v>
      </c>
      <c r="D8331" s="2" t="s">
        <v>10502</v>
      </c>
      <c r="E8331" s="2" t="s">
        <v>6321</v>
      </c>
      <c r="F8331" s="4">
        <v>6798</v>
      </c>
      <c r="G8331" s="2" t="s">
        <v>53</v>
      </c>
      <c r="H8331" s="2" t="s">
        <v>34</v>
      </c>
      <c r="I8331" s="2" t="s">
        <v>21776</v>
      </c>
      <c r="J8331" s="2" t="s">
        <v>21777</v>
      </c>
      <c r="K8331" s="2" t="s">
        <v>53</v>
      </c>
      <c r="L8331" s="2" t="s">
        <v>34</v>
      </c>
      <c r="M8331" s="2"/>
      <c r="N8331" s="2"/>
      <c r="O8331" s="2"/>
      <c r="P8331" s="2" t="s">
        <v>24831</v>
      </c>
      <c r="Q8331" s="6">
        <v>100</v>
      </c>
      <c r="R8331" s="6">
        <v>55.5</v>
      </c>
      <c r="S8331" s="5">
        <v>8.4</v>
      </c>
      <c r="T8331" s="7">
        <v>988.75800000000004</v>
      </c>
      <c r="U8331" s="5">
        <v>15.8</v>
      </c>
      <c r="V8331" s="6">
        <v>-0.06</v>
      </c>
      <c r="W8331" s="6">
        <v>42.59</v>
      </c>
      <c r="X8331" s="6">
        <v>44.72</v>
      </c>
      <c r="Y8331" s="6">
        <v>48.14</v>
      </c>
      <c r="Z8331" s="6">
        <v>48.14</v>
      </c>
      <c r="AA8331" s="6">
        <v>390.5</v>
      </c>
      <c r="AB8331" s="7">
        <v>497.863</v>
      </c>
      <c r="AC8331" s="6">
        <v>940.17</v>
      </c>
    </row>
    <row r="8332" spans="1:29" ht="143" x14ac:dyDescent="0.15">
      <c r="A8332" s="3">
        <f>DATE(2006,11,19)</f>
        <v>39040</v>
      </c>
      <c r="B8332" s="3">
        <f>DATE(2007,3,19)</f>
        <v>39160</v>
      </c>
      <c r="C8332" s="2" t="s">
        <v>95</v>
      </c>
      <c r="D8332" s="2" t="s">
        <v>15148</v>
      </c>
      <c r="E8332" s="2" t="s">
        <v>15149</v>
      </c>
      <c r="F8332" s="4">
        <v>1021</v>
      </c>
      <c r="G8332" s="2" t="s">
        <v>166</v>
      </c>
      <c r="H8332" s="2" t="s">
        <v>34</v>
      </c>
      <c r="I8332" s="2" t="s">
        <v>4890</v>
      </c>
      <c r="J8332" s="2" t="s">
        <v>24832</v>
      </c>
      <c r="K8332" s="2" t="s">
        <v>166</v>
      </c>
      <c r="L8332" s="2" t="s">
        <v>34</v>
      </c>
      <c r="M8332" s="12">
        <v>11124.441000000001</v>
      </c>
      <c r="N8332" s="6">
        <v>55.63</v>
      </c>
      <c r="O8332" s="6">
        <v>55.63</v>
      </c>
      <c r="P8332" s="2" t="s">
        <v>24833</v>
      </c>
      <c r="Q8332" s="6">
        <v>100</v>
      </c>
      <c r="R8332" s="6">
        <v>126.46</v>
      </c>
      <c r="S8332" s="8">
        <v>1842.3</v>
      </c>
      <c r="T8332" s="8">
        <v>3888.7</v>
      </c>
      <c r="U8332" s="5">
        <v>31.8</v>
      </c>
      <c r="V8332" s="7">
        <v>9.1449999999999996</v>
      </c>
      <c r="W8332" s="5">
        <v>96.7</v>
      </c>
      <c r="X8332" s="6">
        <v>95.02</v>
      </c>
      <c r="Y8332" s="6">
        <v>120.47</v>
      </c>
      <c r="Z8332" s="6">
        <v>120.47</v>
      </c>
      <c r="AA8332" s="6">
        <v>203.99</v>
      </c>
      <c r="AB8332" s="7">
        <v>6.5590000000000002</v>
      </c>
      <c r="AC8332" s="6">
        <v>698.89</v>
      </c>
    </row>
    <row r="8333" spans="1:29" ht="78" x14ac:dyDescent="0.15">
      <c r="A8333" s="3">
        <f t="shared" ref="A8333:A8339" si="162">DATE(2006,11,20)</f>
        <v>39041</v>
      </c>
      <c r="B8333" s="3">
        <f>DATE(2007,5,18)</f>
        <v>39220</v>
      </c>
      <c r="C8333" s="2" t="s">
        <v>95</v>
      </c>
      <c r="D8333" s="2" t="s">
        <v>24834</v>
      </c>
      <c r="E8333" s="2" t="s">
        <v>24835</v>
      </c>
      <c r="F8333" s="4">
        <v>6726</v>
      </c>
      <c r="G8333" s="2" t="s">
        <v>53</v>
      </c>
      <c r="H8333" s="2" t="s">
        <v>34</v>
      </c>
      <c r="I8333" s="2" t="s">
        <v>24836</v>
      </c>
      <c r="J8333" s="2" t="s">
        <v>24835</v>
      </c>
      <c r="K8333" s="2" t="s">
        <v>53</v>
      </c>
      <c r="L8333" s="2" t="s">
        <v>34</v>
      </c>
      <c r="M8333" s="7">
        <v>346.18200000000002</v>
      </c>
      <c r="N8333" s="6">
        <v>15.35</v>
      </c>
      <c r="O8333" s="6">
        <v>15.22</v>
      </c>
      <c r="P8333" s="2" t="s">
        <v>24837</v>
      </c>
      <c r="Q8333" s="6">
        <v>100</v>
      </c>
      <c r="R8333" s="2"/>
      <c r="S8333" s="2"/>
      <c r="T8333" s="2"/>
      <c r="U8333" s="2"/>
      <c r="V8333" s="2"/>
      <c r="W8333" s="6">
        <v>10.57</v>
      </c>
      <c r="X8333" s="6">
        <v>10.63</v>
      </c>
      <c r="Y8333" s="6">
        <v>10.64</v>
      </c>
      <c r="Z8333" s="6">
        <v>10.71</v>
      </c>
      <c r="AA8333" s="6">
        <v>10.92</v>
      </c>
      <c r="AB8333" s="2" t="s">
        <v>47</v>
      </c>
      <c r="AC8333" s="2"/>
    </row>
    <row r="8334" spans="1:29" ht="130" x14ac:dyDescent="0.15">
      <c r="A8334" s="3">
        <f t="shared" si="162"/>
        <v>39041</v>
      </c>
      <c r="B8334" s="3">
        <f>DATE(2007,1,11)</f>
        <v>39093</v>
      </c>
      <c r="C8334" s="2" t="s">
        <v>95</v>
      </c>
      <c r="D8334" s="2" t="s">
        <v>24838</v>
      </c>
      <c r="E8334" s="2" t="s">
        <v>839</v>
      </c>
      <c r="F8334" s="4">
        <v>2836</v>
      </c>
      <c r="G8334" s="2" t="s">
        <v>130</v>
      </c>
      <c r="H8334" s="2" t="s">
        <v>34</v>
      </c>
      <c r="I8334" s="2" t="s">
        <v>24839</v>
      </c>
      <c r="J8334" s="2" t="s">
        <v>7462</v>
      </c>
      <c r="K8334" s="2" t="s">
        <v>130</v>
      </c>
      <c r="L8334" s="2" t="s">
        <v>215</v>
      </c>
      <c r="M8334" s="10">
        <v>3606.96</v>
      </c>
      <c r="N8334" s="7">
        <v>172.88499999999999</v>
      </c>
      <c r="O8334" s="7">
        <v>174.726</v>
      </c>
      <c r="P8334" s="2" t="s">
        <v>24840</v>
      </c>
      <c r="Q8334" s="6">
        <v>100</v>
      </c>
      <c r="R8334" s="6">
        <v>13.5</v>
      </c>
      <c r="S8334" s="5">
        <v>-21.7</v>
      </c>
      <c r="T8334" s="7">
        <v>-16.433</v>
      </c>
      <c r="U8334" s="5">
        <v>3.4</v>
      </c>
      <c r="V8334" s="6">
        <v>-0.74</v>
      </c>
      <c r="W8334" s="6">
        <v>9.98</v>
      </c>
      <c r="X8334" s="5">
        <v>11.2</v>
      </c>
      <c r="Y8334" s="6">
        <v>13.42</v>
      </c>
      <c r="Z8334" s="6">
        <v>13.38</v>
      </c>
      <c r="AA8334" s="6">
        <v>28.71</v>
      </c>
      <c r="AB8334" s="2" t="s">
        <v>86</v>
      </c>
      <c r="AC8334" s="6">
        <v>324.49</v>
      </c>
    </row>
    <row r="8335" spans="1:29" ht="91" x14ac:dyDescent="0.15">
      <c r="A8335" s="3">
        <f t="shared" si="162"/>
        <v>39041</v>
      </c>
      <c r="B8335" s="3">
        <f>DATE(2007,4,12)</f>
        <v>39184</v>
      </c>
      <c r="C8335" s="2" t="s">
        <v>95</v>
      </c>
      <c r="D8335" s="2" t="s">
        <v>24841</v>
      </c>
      <c r="E8335" s="2" t="s">
        <v>1794</v>
      </c>
      <c r="F8335" s="4">
        <v>7331</v>
      </c>
      <c r="G8335" s="2" t="s">
        <v>223</v>
      </c>
      <c r="H8335" s="2" t="s">
        <v>34</v>
      </c>
      <c r="I8335" s="2" t="s">
        <v>24842</v>
      </c>
      <c r="J8335" s="2" t="s">
        <v>302</v>
      </c>
      <c r="K8335" s="2" t="s">
        <v>53</v>
      </c>
      <c r="L8335" s="2" t="s">
        <v>34</v>
      </c>
      <c r="M8335" s="2"/>
      <c r="N8335" s="2"/>
      <c r="O8335" s="2"/>
      <c r="P8335" s="2" t="s">
        <v>24843</v>
      </c>
      <c r="Q8335" s="6">
        <v>31</v>
      </c>
      <c r="R8335" s="6">
        <v>0.25</v>
      </c>
      <c r="S8335" s="5">
        <v>-15.3</v>
      </c>
      <c r="T8335" s="7">
        <v>11.878</v>
      </c>
      <c r="U8335" s="5">
        <v>-2.1</v>
      </c>
      <c r="V8335" s="9">
        <v>-1.0999000000000001</v>
      </c>
      <c r="W8335" s="6">
        <v>1.25</v>
      </c>
      <c r="X8335" s="5">
        <v>1.2</v>
      </c>
      <c r="Y8335" s="6">
        <v>0.24</v>
      </c>
      <c r="Z8335" s="6">
        <v>0.35</v>
      </c>
      <c r="AA8335" s="6">
        <v>22.43</v>
      </c>
      <c r="AB8335" s="7">
        <v>11.962</v>
      </c>
      <c r="AC8335" s="2"/>
    </row>
    <row r="8336" spans="1:29" ht="156" x14ac:dyDescent="0.15">
      <c r="A8336" s="3">
        <f t="shared" si="162"/>
        <v>39041</v>
      </c>
      <c r="B8336" s="3">
        <f>DATE(2007,4,10)</f>
        <v>39182</v>
      </c>
      <c r="C8336" s="2" t="s">
        <v>95</v>
      </c>
      <c r="D8336" s="2" t="s">
        <v>24844</v>
      </c>
      <c r="E8336" s="2" t="s">
        <v>9477</v>
      </c>
      <c r="F8336" s="4">
        <v>7372</v>
      </c>
      <c r="G8336" s="2" t="s">
        <v>551</v>
      </c>
      <c r="H8336" s="2" t="s">
        <v>34</v>
      </c>
      <c r="I8336" s="2" t="s">
        <v>24845</v>
      </c>
      <c r="J8336" s="2" t="s">
        <v>11337</v>
      </c>
      <c r="K8336" s="2" t="s">
        <v>53</v>
      </c>
      <c r="L8336" s="2" t="s">
        <v>34</v>
      </c>
      <c r="M8336" s="2"/>
      <c r="N8336" s="2"/>
      <c r="O8336" s="2"/>
      <c r="P8336" s="2" t="s">
        <v>24846</v>
      </c>
      <c r="Q8336" s="6">
        <v>100</v>
      </c>
      <c r="R8336" s="6">
        <v>16.5</v>
      </c>
      <c r="S8336" s="5">
        <v>3.8</v>
      </c>
      <c r="T8336" s="7">
        <v>8.8109999999999999</v>
      </c>
      <c r="U8336" s="5">
        <v>6</v>
      </c>
      <c r="V8336" s="6">
        <v>0.62</v>
      </c>
      <c r="W8336" s="6">
        <v>13.02</v>
      </c>
      <c r="X8336" s="5">
        <v>14.7</v>
      </c>
      <c r="Y8336" s="6">
        <v>16.13</v>
      </c>
      <c r="Z8336" s="6">
        <v>16.18</v>
      </c>
      <c r="AA8336" s="6">
        <v>6.55</v>
      </c>
      <c r="AB8336" s="7">
        <v>20.742999999999999</v>
      </c>
      <c r="AC8336" s="2"/>
    </row>
    <row r="8337" spans="1:29" ht="156" x14ac:dyDescent="0.15">
      <c r="A8337" s="3">
        <f t="shared" si="162"/>
        <v>39041</v>
      </c>
      <c r="B8337" s="3">
        <f>DATE(2007,1,12)</f>
        <v>39094</v>
      </c>
      <c r="C8337" s="2" t="s">
        <v>95</v>
      </c>
      <c r="D8337" s="2" t="s">
        <v>24847</v>
      </c>
      <c r="E8337" s="2" t="s">
        <v>9503</v>
      </c>
      <c r="F8337" s="4">
        <v>3312</v>
      </c>
      <c r="G8337" s="2" t="s">
        <v>163</v>
      </c>
      <c r="H8337" s="2" t="s">
        <v>34</v>
      </c>
      <c r="I8337" s="2" t="s">
        <v>24848</v>
      </c>
      <c r="J8337" s="2" t="s">
        <v>24849</v>
      </c>
      <c r="K8337" s="2" t="s">
        <v>163</v>
      </c>
      <c r="L8337" s="2" t="s">
        <v>18001</v>
      </c>
      <c r="M8337" s="2"/>
      <c r="N8337" s="2"/>
      <c r="O8337" s="2"/>
      <c r="P8337" s="2" t="s">
        <v>24850</v>
      </c>
      <c r="Q8337" s="6">
        <v>90.87</v>
      </c>
      <c r="R8337" s="6">
        <v>63.25</v>
      </c>
      <c r="S8337" s="5">
        <v>160.9</v>
      </c>
      <c r="T8337" s="7">
        <v>320.66199999999998</v>
      </c>
      <c r="U8337" s="5">
        <v>19.2</v>
      </c>
      <c r="V8337" s="6">
        <v>4.4800000000000004</v>
      </c>
      <c r="W8337" s="6">
        <v>57.56</v>
      </c>
      <c r="X8337" s="6">
        <v>58.96</v>
      </c>
      <c r="Y8337" s="6">
        <v>63.77</v>
      </c>
      <c r="Z8337" s="6">
        <v>62.82</v>
      </c>
      <c r="AA8337" s="6">
        <v>35.82</v>
      </c>
      <c r="AB8337" s="7">
        <v>8.2750000000000004</v>
      </c>
      <c r="AC8337" s="6">
        <v>684.02</v>
      </c>
    </row>
    <row r="8338" spans="1:29" ht="91" x14ac:dyDescent="0.15">
      <c r="A8338" s="3">
        <f t="shared" si="162"/>
        <v>39041</v>
      </c>
      <c r="B8338" s="3">
        <f>DATE(2007,4,20)</f>
        <v>39192</v>
      </c>
      <c r="C8338" s="2" t="s">
        <v>95</v>
      </c>
      <c r="D8338" s="2" t="s">
        <v>23140</v>
      </c>
      <c r="E8338" s="2" t="s">
        <v>18970</v>
      </c>
      <c r="F8338" s="4">
        <v>6022</v>
      </c>
      <c r="G8338" s="2" t="s">
        <v>37</v>
      </c>
      <c r="H8338" s="2" t="s">
        <v>34</v>
      </c>
      <c r="I8338" s="2" t="s">
        <v>7748</v>
      </c>
      <c r="J8338" s="2" t="s">
        <v>265</v>
      </c>
      <c r="K8338" s="2" t="s">
        <v>37</v>
      </c>
      <c r="L8338" s="2" t="s">
        <v>902</v>
      </c>
      <c r="M8338" s="12">
        <v>40551.642</v>
      </c>
      <c r="N8338" s="7">
        <v>58.847000000000001</v>
      </c>
      <c r="O8338" s="6">
        <v>59.04</v>
      </c>
      <c r="P8338" s="2" t="s">
        <v>24851</v>
      </c>
      <c r="Q8338" s="6">
        <v>45.42</v>
      </c>
      <c r="R8338" s="6">
        <v>32.33</v>
      </c>
      <c r="S8338" s="5">
        <v>311.3</v>
      </c>
      <c r="T8338" s="7">
        <v>742.71900000000005</v>
      </c>
      <c r="U8338" s="5">
        <v>38.299999999999997</v>
      </c>
      <c r="V8338" s="6">
        <v>1.51</v>
      </c>
      <c r="W8338" s="6">
        <v>29.83</v>
      </c>
      <c r="X8338" s="6">
        <v>30.35</v>
      </c>
      <c r="Y8338" s="6">
        <v>32.18</v>
      </c>
      <c r="Z8338" s="6">
        <v>32.090000000000003</v>
      </c>
      <c r="AA8338" s="6">
        <v>228.33</v>
      </c>
      <c r="AB8338" s="7">
        <v>53.213999999999999</v>
      </c>
      <c r="AC8338" s="2"/>
    </row>
    <row r="8339" spans="1:29" ht="65" x14ac:dyDescent="0.15">
      <c r="A8339" s="3">
        <f t="shared" si="162"/>
        <v>39041</v>
      </c>
      <c r="B8339" s="2"/>
      <c r="C8339" s="2" t="s">
        <v>87</v>
      </c>
      <c r="D8339" s="2" t="s">
        <v>24852</v>
      </c>
      <c r="E8339" s="2" t="s">
        <v>24853</v>
      </c>
      <c r="F8339" s="4">
        <v>7373</v>
      </c>
      <c r="G8339" s="2" t="s">
        <v>223</v>
      </c>
      <c r="H8339" s="2" t="s">
        <v>34</v>
      </c>
      <c r="I8339" s="2" t="s">
        <v>5443</v>
      </c>
      <c r="J8339" s="2" t="s">
        <v>5444</v>
      </c>
      <c r="K8339" s="2" t="s">
        <v>50</v>
      </c>
      <c r="L8339" s="2" t="s">
        <v>34</v>
      </c>
      <c r="M8339" s="2"/>
      <c r="N8339" s="6">
        <v>93.25</v>
      </c>
      <c r="O8339" s="6">
        <v>93.08</v>
      </c>
      <c r="P8339" s="2" t="s">
        <v>24854</v>
      </c>
      <c r="Q8339" s="2"/>
      <c r="R8339" s="2"/>
      <c r="S8339" s="5">
        <v>1.7</v>
      </c>
      <c r="T8339" s="7">
        <v>29.419</v>
      </c>
      <c r="U8339" s="5">
        <v>6.8</v>
      </c>
      <c r="V8339" s="6">
        <v>0.05</v>
      </c>
      <c r="W8339" s="6">
        <v>32.83</v>
      </c>
      <c r="X8339" s="6">
        <v>32.090000000000003</v>
      </c>
      <c r="Y8339" s="6">
        <v>33.14</v>
      </c>
      <c r="Z8339" s="6">
        <v>33.840000000000003</v>
      </c>
      <c r="AA8339" s="6">
        <v>32.19</v>
      </c>
      <c r="AB8339" s="2" t="s">
        <v>47</v>
      </c>
      <c r="AC8339" s="8">
        <v>10901</v>
      </c>
    </row>
    <row r="8340" spans="1:29" ht="52" x14ac:dyDescent="0.15">
      <c r="A8340" s="3">
        <f>DATE(2006,11,21)</f>
        <v>39042</v>
      </c>
      <c r="B8340" s="2"/>
      <c r="C8340" s="2" t="s">
        <v>87</v>
      </c>
      <c r="D8340" s="2" t="s">
        <v>23946</v>
      </c>
      <c r="E8340" s="2" t="s">
        <v>23947</v>
      </c>
      <c r="F8340" s="4">
        <v>7011</v>
      </c>
      <c r="G8340" s="2" t="s">
        <v>269</v>
      </c>
      <c r="H8340" s="2" t="s">
        <v>34</v>
      </c>
      <c r="I8340" s="2" t="s">
        <v>143</v>
      </c>
      <c r="J8340" s="2" t="s">
        <v>144</v>
      </c>
      <c r="K8340" s="2" t="s">
        <v>53</v>
      </c>
      <c r="L8340" s="2" t="s">
        <v>139</v>
      </c>
      <c r="M8340" s="2"/>
      <c r="N8340" s="2"/>
      <c r="O8340" s="2"/>
      <c r="P8340" s="2" t="s">
        <v>24855</v>
      </c>
      <c r="Q8340" s="2"/>
      <c r="R8340" s="2"/>
      <c r="S8340" s="5">
        <v>56</v>
      </c>
      <c r="T8340" s="6">
        <v>261.97000000000003</v>
      </c>
      <c r="U8340" s="5">
        <v>7.4</v>
      </c>
      <c r="V8340" s="6">
        <v>0.98</v>
      </c>
      <c r="W8340" s="6">
        <v>25.22</v>
      </c>
      <c r="X8340" s="6">
        <v>28.54</v>
      </c>
      <c r="Y8340" s="6">
        <v>29.26</v>
      </c>
      <c r="Z8340" s="5">
        <v>30.3</v>
      </c>
      <c r="AA8340" s="6">
        <v>56.11</v>
      </c>
      <c r="AB8340" s="2" t="s">
        <v>47</v>
      </c>
      <c r="AC8340" s="2"/>
    </row>
    <row r="8341" spans="1:29" ht="104" x14ac:dyDescent="0.15">
      <c r="A8341" s="3">
        <f>DATE(2006,11,21)</f>
        <v>39042</v>
      </c>
      <c r="B8341" s="3">
        <f>DATE(2007,8,31)</f>
        <v>39325</v>
      </c>
      <c r="C8341" s="2" t="s">
        <v>95</v>
      </c>
      <c r="D8341" s="2" t="s">
        <v>24856</v>
      </c>
      <c r="E8341" s="2" t="s">
        <v>1181</v>
      </c>
      <c r="F8341" s="4">
        <v>6021</v>
      </c>
      <c r="G8341" s="2" t="s">
        <v>37</v>
      </c>
      <c r="H8341" s="2" t="s">
        <v>34</v>
      </c>
      <c r="I8341" s="2" t="s">
        <v>24857</v>
      </c>
      <c r="J8341" s="2" t="s">
        <v>36</v>
      </c>
      <c r="K8341" s="2" t="s">
        <v>37</v>
      </c>
      <c r="L8341" s="2" t="s">
        <v>34</v>
      </c>
      <c r="M8341" s="7">
        <v>69.238</v>
      </c>
      <c r="N8341" s="6">
        <v>12.79</v>
      </c>
      <c r="O8341" s="6">
        <v>12.65</v>
      </c>
      <c r="P8341" s="2" t="s">
        <v>24858</v>
      </c>
      <c r="Q8341" s="6">
        <v>100</v>
      </c>
      <c r="R8341" s="6">
        <v>20.13</v>
      </c>
      <c r="S8341" s="2"/>
      <c r="T8341" s="2"/>
      <c r="U8341" s="2"/>
      <c r="V8341" s="2"/>
      <c r="W8341" s="5">
        <v>17.5</v>
      </c>
      <c r="X8341" s="5">
        <v>17.5</v>
      </c>
      <c r="Y8341" s="5">
        <v>17.5</v>
      </c>
      <c r="Z8341" s="4">
        <v>18</v>
      </c>
      <c r="AA8341" s="6">
        <v>1.19</v>
      </c>
      <c r="AB8341" s="2" t="s">
        <v>47</v>
      </c>
      <c r="AC8341" s="2"/>
    </row>
    <row r="8342" spans="1:29" ht="104" x14ac:dyDescent="0.15">
      <c r="A8342" s="3">
        <f>DATE(2006,11,24)</f>
        <v>39045</v>
      </c>
      <c r="B8342" s="3">
        <f>DATE(2007,12,3)</f>
        <v>39419</v>
      </c>
      <c r="C8342" s="2" t="s">
        <v>95</v>
      </c>
      <c r="D8342" s="2" t="s">
        <v>24859</v>
      </c>
      <c r="E8342" s="2" t="s">
        <v>14641</v>
      </c>
      <c r="F8342" s="4">
        <v>2834</v>
      </c>
      <c r="G8342" s="2" t="s">
        <v>130</v>
      </c>
      <c r="H8342" s="2" t="s">
        <v>34</v>
      </c>
      <c r="I8342" s="2" t="s">
        <v>51</v>
      </c>
      <c r="J8342" s="2" t="s">
        <v>52</v>
      </c>
      <c r="K8342" s="2" t="s">
        <v>53</v>
      </c>
      <c r="L8342" s="2" t="s">
        <v>34</v>
      </c>
      <c r="M8342" s="2"/>
      <c r="N8342" s="2"/>
      <c r="O8342" s="2"/>
      <c r="P8342" s="2" t="s">
        <v>24860</v>
      </c>
      <c r="Q8342" s="6">
        <v>100</v>
      </c>
      <c r="R8342" s="6">
        <v>3.01</v>
      </c>
      <c r="S8342" s="5">
        <v>-36.200000000000003</v>
      </c>
      <c r="T8342" s="6">
        <v>-18.43</v>
      </c>
      <c r="U8342" s="5">
        <v>-0.7</v>
      </c>
      <c r="V8342" s="6">
        <v>-0.82</v>
      </c>
      <c r="W8342" s="6">
        <v>2.27</v>
      </c>
      <c r="X8342" s="5">
        <v>2.2000000000000002</v>
      </c>
      <c r="Y8342" s="6">
        <v>2.19</v>
      </c>
      <c r="Z8342" s="6">
        <v>2.12</v>
      </c>
      <c r="AA8342" s="6">
        <v>53.11</v>
      </c>
      <c r="AB8342" s="2" t="s">
        <v>86</v>
      </c>
      <c r="AC8342" s="2"/>
    </row>
    <row r="8343" spans="1:29" ht="156" x14ac:dyDescent="0.15">
      <c r="A8343" s="3">
        <f>DATE(2006,11,27)</f>
        <v>39048</v>
      </c>
      <c r="B8343" s="3">
        <f>DATE(2007,1,29)</f>
        <v>39111</v>
      </c>
      <c r="C8343" s="2" t="s">
        <v>95</v>
      </c>
      <c r="D8343" s="2" t="s">
        <v>21957</v>
      </c>
      <c r="E8343" s="2" t="s">
        <v>21958</v>
      </c>
      <c r="F8343" s="4">
        <v>3845</v>
      </c>
      <c r="G8343" s="2" t="s">
        <v>226</v>
      </c>
      <c r="H8343" s="2" t="s">
        <v>34</v>
      </c>
      <c r="I8343" s="2" t="s">
        <v>22244</v>
      </c>
      <c r="J8343" s="2" t="s">
        <v>15018</v>
      </c>
      <c r="K8343" s="2" t="s">
        <v>226</v>
      </c>
      <c r="L8343" s="2" t="s">
        <v>34</v>
      </c>
      <c r="M8343" s="7">
        <v>344.50400000000002</v>
      </c>
      <c r="N8343" s="6">
        <v>22.04</v>
      </c>
      <c r="O8343" s="6">
        <v>22.23</v>
      </c>
      <c r="P8343" s="2" t="s">
        <v>24861</v>
      </c>
      <c r="Q8343" s="6">
        <v>100</v>
      </c>
      <c r="R8343" s="6">
        <v>4.7</v>
      </c>
      <c r="S8343" s="5">
        <v>10</v>
      </c>
      <c r="T8343" s="7">
        <v>-6.0679999999999996</v>
      </c>
      <c r="U8343" s="5">
        <v>2.8</v>
      </c>
      <c r="V8343" s="6">
        <v>-0.36</v>
      </c>
      <c r="W8343" s="5">
        <v>3.9</v>
      </c>
      <c r="X8343" s="4">
        <v>4</v>
      </c>
      <c r="Y8343" s="6">
        <v>3.95</v>
      </c>
      <c r="Z8343" s="6">
        <v>4.46</v>
      </c>
      <c r="AA8343" s="6">
        <v>43.25</v>
      </c>
      <c r="AB8343" s="2" t="s">
        <v>86</v>
      </c>
      <c r="AC8343" s="6">
        <v>89.21</v>
      </c>
    </row>
    <row r="8344" spans="1:29" ht="182" x14ac:dyDescent="0.15">
      <c r="A8344" s="3">
        <f>DATE(2006,11,28)</f>
        <v>39049</v>
      </c>
      <c r="B8344" s="3">
        <f>DATE(2007,11,21)</f>
        <v>39407</v>
      </c>
      <c r="C8344" s="2" t="s">
        <v>95</v>
      </c>
      <c r="D8344" s="2" t="s">
        <v>24862</v>
      </c>
      <c r="E8344" s="2" t="s">
        <v>8742</v>
      </c>
      <c r="F8344" s="4">
        <v>8082</v>
      </c>
      <c r="G8344" s="2" t="s">
        <v>454</v>
      </c>
      <c r="H8344" s="2" t="s">
        <v>34</v>
      </c>
      <c r="I8344" s="2" t="s">
        <v>51</v>
      </c>
      <c r="J8344" s="2" t="s">
        <v>52</v>
      </c>
      <c r="K8344" s="2" t="s">
        <v>53</v>
      </c>
      <c r="L8344" s="2" t="s">
        <v>34</v>
      </c>
      <c r="M8344" s="2"/>
      <c r="N8344" s="2"/>
      <c r="O8344" s="2"/>
      <c r="P8344" s="2" t="s">
        <v>24863</v>
      </c>
      <c r="Q8344" s="6">
        <v>100</v>
      </c>
      <c r="R8344" s="6">
        <v>12.75</v>
      </c>
      <c r="S8344" s="5">
        <v>2.8</v>
      </c>
      <c r="T8344" s="7">
        <v>6.0780000000000003</v>
      </c>
      <c r="U8344" s="5">
        <v>9.4</v>
      </c>
      <c r="V8344" s="6">
        <v>0.48</v>
      </c>
      <c r="W8344" s="6">
        <v>11.68</v>
      </c>
      <c r="X8344" s="6">
        <v>11.82</v>
      </c>
      <c r="Y8344" s="6">
        <v>11.61</v>
      </c>
      <c r="Z8344" s="5">
        <v>11.5</v>
      </c>
      <c r="AA8344" s="6">
        <v>5.66</v>
      </c>
      <c r="AB8344" s="7">
        <v>10.257999999999999</v>
      </c>
      <c r="AC8344" s="2"/>
    </row>
    <row r="8345" spans="1:29" ht="91" x14ac:dyDescent="0.15">
      <c r="A8345" s="3">
        <f>DATE(2006,11,29)</f>
        <v>39050</v>
      </c>
      <c r="B8345" s="3">
        <f>DATE(2007,2,7)</f>
        <v>39120</v>
      </c>
      <c r="C8345" s="2" t="s">
        <v>95</v>
      </c>
      <c r="D8345" s="2" t="s">
        <v>15796</v>
      </c>
      <c r="E8345" s="2" t="s">
        <v>15797</v>
      </c>
      <c r="F8345" s="4">
        <v>7375</v>
      </c>
      <c r="G8345" s="2" t="s">
        <v>223</v>
      </c>
      <c r="H8345" s="2" t="s">
        <v>34</v>
      </c>
      <c r="I8345" s="2" t="s">
        <v>4138</v>
      </c>
      <c r="J8345" s="2" t="s">
        <v>658</v>
      </c>
      <c r="K8345" s="2" t="s">
        <v>551</v>
      </c>
      <c r="L8345" s="2" t="s">
        <v>34</v>
      </c>
      <c r="M8345" s="12">
        <v>11924.277</v>
      </c>
      <c r="N8345" s="6">
        <v>31.89</v>
      </c>
      <c r="O8345" s="6">
        <v>31.52</v>
      </c>
      <c r="P8345" s="2" t="s">
        <v>24864</v>
      </c>
      <c r="Q8345" s="6">
        <v>100</v>
      </c>
      <c r="R8345" s="6">
        <v>39</v>
      </c>
      <c r="S8345" s="5">
        <v>-4.9000000000000004</v>
      </c>
      <c r="T8345" s="7">
        <v>60.942</v>
      </c>
      <c r="U8345" s="5">
        <v>7.9</v>
      </c>
      <c r="V8345" s="6">
        <v>-0.15</v>
      </c>
      <c r="W8345" s="6">
        <v>33.43</v>
      </c>
      <c r="X8345" s="6">
        <v>32.26</v>
      </c>
      <c r="Y8345" s="4">
        <v>33</v>
      </c>
      <c r="Z8345" s="6">
        <v>38.15</v>
      </c>
      <c r="AA8345" s="6">
        <v>32.42</v>
      </c>
      <c r="AB8345" s="7">
        <v>29.335000000000001</v>
      </c>
      <c r="AC8345" s="10">
        <v>1059.1600000000001</v>
      </c>
    </row>
    <row r="8346" spans="1:29" ht="65" x14ac:dyDescent="0.15">
      <c r="A8346" s="3">
        <f>DATE(2006,11,29)</f>
        <v>39050</v>
      </c>
      <c r="B8346" s="3">
        <f>DATE(2006,11,29)</f>
        <v>39050</v>
      </c>
      <c r="C8346" s="2" t="s">
        <v>95</v>
      </c>
      <c r="D8346" s="2" t="s">
        <v>24865</v>
      </c>
      <c r="E8346" s="2" t="s">
        <v>24866</v>
      </c>
      <c r="F8346" s="4">
        <v>3993</v>
      </c>
      <c r="G8346" s="2" t="s">
        <v>112</v>
      </c>
      <c r="H8346" s="2" t="s">
        <v>34</v>
      </c>
      <c r="I8346" s="2" t="s">
        <v>24867</v>
      </c>
      <c r="J8346" s="2" t="s">
        <v>24866</v>
      </c>
      <c r="K8346" s="2" t="s">
        <v>112</v>
      </c>
      <c r="L8346" s="2" t="s">
        <v>902</v>
      </c>
      <c r="M8346" s="2"/>
      <c r="N8346" s="2"/>
      <c r="O8346" s="2"/>
      <c r="P8346" s="2" t="s">
        <v>24868</v>
      </c>
      <c r="Q8346" s="6">
        <v>83</v>
      </c>
      <c r="R8346" s="10">
        <v>8750</v>
      </c>
      <c r="S8346" s="5">
        <v>1.3</v>
      </c>
      <c r="T8346" s="7">
        <v>3.7530000000000001</v>
      </c>
      <c r="U8346" s="8">
        <v>4039.5</v>
      </c>
      <c r="V8346" s="6">
        <v>250</v>
      </c>
      <c r="W8346" s="7">
        <v>5899.9920000000002</v>
      </c>
      <c r="X8346" s="7">
        <v>5899.9920000000002</v>
      </c>
      <c r="Y8346" s="7">
        <v>5899.9920000000002</v>
      </c>
      <c r="Z8346" s="7">
        <v>5899.9920000000002</v>
      </c>
      <c r="AA8346" s="2"/>
      <c r="AB8346" s="7">
        <v>15.638</v>
      </c>
      <c r="AC8346" s="2"/>
    </row>
    <row r="8347" spans="1:29" ht="65" x14ac:dyDescent="0.15">
      <c r="A8347" s="3">
        <f>DATE(2006,11,30)</f>
        <v>39051</v>
      </c>
      <c r="B8347" s="2"/>
      <c r="C8347" s="2" t="s">
        <v>87</v>
      </c>
      <c r="D8347" s="2" t="s">
        <v>3836</v>
      </c>
      <c r="E8347" s="2" t="s">
        <v>417</v>
      </c>
      <c r="F8347" s="4">
        <v>2711</v>
      </c>
      <c r="G8347" s="2" t="s">
        <v>186</v>
      </c>
      <c r="H8347" s="2" t="s">
        <v>34</v>
      </c>
      <c r="I8347" s="2" t="s">
        <v>24869</v>
      </c>
      <c r="J8347" s="2" t="s">
        <v>150</v>
      </c>
      <c r="K8347" s="2" t="s">
        <v>53</v>
      </c>
      <c r="L8347" s="2" t="s">
        <v>34</v>
      </c>
      <c r="M8347" s="2"/>
      <c r="N8347" s="2"/>
      <c r="O8347" s="2"/>
      <c r="P8347" s="2" t="s">
        <v>24870</v>
      </c>
      <c r="Q8347" s="2"/>
      <c r="R8347" s="2"/>
      <c r="S8347" s="5">
        <v>181</v>
      </c>
      <c r="T8347" s="7">
        <v>301.649</v>
      </c>
      <c r="U8347" s="5">
        <v>10.7</v>
      </c>
      <c r="V8347" s="6">
        <v>1.17</v>
      </c>
      <c r="W8347" s="6">
        <v>24.17</v>
      </c>
      <c r="X8347" s="6">
        <v>24.76</v>
      </c>
      <c r="Y8347" s="6">
        <v>24.14</v>
      </c>
      <c r="Z8347" s="6">
        <v>24.09</v>
      </c>
      <c r="AA8347" s="6">
        <v>143.79</v>
      </c>
      <c r="AB8347" s="2" t="s">
        <v>47</v>
      </c>
      <c r="AC8347" s="2"/>
    </row>
    <row r="8348" spans="1:29" ht="104" x14ac:dyDescent="0.15">
      <c r="A8348" s="3">
        <f>DATE(2006,12,1)</f>
        <v>39052</v>
      </c>
      <c r="B8348" s="2"/>
      <c r="C8348" s="2" t="s">
        <v>39</v>
      </c>
      <c r="D8348" s="2" t="s">
        <v>23685</v>
      </c>
      <c r="E8348" s="2" t="s">
        <v>23686</v>
      </c>
      <c r="F8348" s="4">
        <v>5211</v>
      </c>
      <c r="G8348" s="2" t="s">
        <v>73</v>
      </c>
      <c r="H8348" s="2" t="s">
        <v>34</v>
      </c>
      <c r="I8348" s="2" t="s">
        <v>51</v>
      </c>
      <c r="J8348" s="2" t="s">
        <v>52</v>
      </c>
      <c r="K8348" s="2" t="s">
        <v>53</v>
      </c>
      <c r="L8348" s="2" t="s">
        <v>34</v>
      </c>
      <c r="M8348" s="2"/>
      <c r="N8348" s="2"/>
      <c r="O8348" s="2"/>
      <c r="P8348" s="2" t="s">
        <v>24871</v>
      </c>
      <c r="Q8348" s="2"/>
      <c r="R8348" s="2"/>
      <c r="S8348" s="8">
        <v>6121</v>
      </c>
      <c r="T8348" s="8">
        <v>11952</v>
      </c>
      <c r="U8348" s="5">
        <v>13.6</v>
      </c>
      <c r="V8348" s="6">
        <v>2.93</v>
      </c>
      <c r="W8348" s="6">
        <v>37.72</v>
      </c>
      <c r="X8348" s="6">
        <v>37.97</v>
      </c>
      <c r="Y8348" s="6">
        <v>38.97</v>
      </c>
      <c r="Z8348" s="5">
        <v>39.200000000000003</v>
      </c>
      <c r="AA8348" s="10">
        <v>2040.87</v>
      </c>
      <c r="AB8348" s="2" t="s">
        <v>47</v>
      </c>
      <c r="AC8348" s="2"/>
    </row>
    <row r="8349" spans="1:29" ht="52" x14ac:dyDescent="0.15">
      <c r="A8349" s="3">
        <f>DATE(2006,12,1)</f>
        <v>39052</v>
      </c>
      <c r="B8349" s="3">
        <f>DATE(2006,12,1)</f>
        <v>39052</v>
      </c>
      <c r="C8349" s="2" t="s">
        <v>95</v>
      </c>
      <c r="D8349" s="2" t="s">
        <v>24872</v>
      </c>
      <c r="E8349" s="2" t="s">
        <v>1361</v>
      </c>
      <c r="F8349" s="4">
        <v>8748</v>
      </c>
      <c r="G8349" s="2" t="s">
        <v>223</v>
      </c>
      <c r="H8349" s="2" t="s">
        <v>34</v>
      </c>
      <c r="I8349" s="2" t="s">
        <v>24872</v>
      </c>
      <c r="J8349" s="2" t="s">
        <v>1361</v>
      </c>
      <c r="K8349" s="2" t="s">
        <v>223</v>
      </c>
      <c r="L8349" s="2" t="s">
        <v>34</v>
      </c>
      <c r="M8349" s="2"/>
      <c r="N8349" s="2"/>
      <c r="O8349" s="2"/>
      <c r="P8349" s="2" t="s">
        <v>24873</v>
      </c>
      <c r="Q8349" s="6">
        <v>100</v>
      </c>
      <c r="R8349" s="2"/>
      <c r="S8349" s="5">
        <v>0.7</v>
      </c>
      <c r="T8349" s="7">
        <v>2.2509999999999999</v>
      </c>
      <c r="U8349" s="5">
        <v>1.5</v>
      </c>
      <c r="V8349" s="6">
        <v>1.25</v>
      </c>
      <c r="W8349" s="5">
        <v>5.0999999999999996</v>
      </c>
      <c r="X8349" s="5">
        <v>5.0999999999999996</v>
      </c>
      <c r="Y8349" s="2"/>
      <c r="Z8349" s="2"/>
      <c r="AA8349" s="6">
        <v>5.81</v>
      </c>
      <c r="AB8349" s="2" t="s">
        <v>47</v>
      </c>
      <c r="AC8349" s="2"/>
    </row>
    <row r="8350" spans="1:29" ht="182" x14ac:dyDescent="0.15">
      <c r="A8350" s="3">
        <f>DATE(2006,12,3)</f>
        <v>39054</v>
      </c>
      <c r="B8350" s="3">
        <f>DATE(2007,7,2)</f>
        <v>39265</v>
      </c>
      <c r="C8350" s="2" t="s">
        <v>95</v>
      </c>
      <c r="D8350" s="2" t="s">
        <v>24874</v>
      </c>
      <c r="E8350" s="2" t="s">
        <v>672</v>
      </c>
      <c r="F8350" s="4">
        <v>6021</v>
      </c>
      <c r="G8350" s="2" t="s">
        <v>37</v>
      </c>
      <c r="H8350" s="2" t="s">
        <v>34</v>
      </c>
      <c r="I8350" s="2" t="s">
        <v>4059</v>
      </c>
      <c r="J8350" s="2" t="s">
        <v>4060</v>
      </c>
      <c r="K8350" s="2" t="s">
        <v>37</v>
      </c>
      <c r="L8350" s="2" t="s">
        <v>34</v>
      </c>
      <c r="M8350" s="12">
        <v>25509.988000000001</v>
      </c>
      <c r="N8350" s="6">
        <v>39.75</v>
      </c>
      <c r="O8350" s="6">
        <v>39.75</v>
      </c>
      <c r="P8350" s="2" t="s">
        <v>24875</v>
      </c>
      <c r="Q8350" s="6">
        <v>100</v>
      </c>
      <c r="R8350" s="6">
        <v>37.61</v>
      </c>
      <c r="S8350" s="5">
        <v>782</v>
      </c>
      <c r="T8350" s="2"/>
      <c r="U8350" s="2"/>
      <c r="V8350" s="6">
        <v>1.88</v>
      </c>
      <c r="W8350" s="6">
        <v>40.549999999999997</v>
      </c>
      <c r="X8350" s="6">
        <v>40.049999999999997</v>
      </c>
      <c r="Y8350" s="6">
        <v>42.78</v>
      </c>
      <c r="Z8350" s="6">
        <v>42.78</v>
      </c>
      <c r="AA8350" s="6">
        <v>411.86</v>
      </c>
      <c r="AB8350" s="2" t="s">
        <v>47</v>
      </c>
      <c r="AC8350" s="2"/>
    </row>
    <row r="8351" spans="1:29" ht="195" x14ac:dyDescent="0.15">
      <c r="A8351" s="3">
        <f>DATE(2006,12,4)</f>
        <v>39055</v>
      </c>
      <c r="B8351" s="3">
        <f>DATE(2007,4,2)</f>
        <v>39174</v>
      </c>
      <c r="C8351" s="2" t="s">
        <v>95</v>
      </c>
      <c r="D8351" s="2" t="s">
        <v>24876</v>
      </c>
      <c r="E8351" s="2" t="s">
        <v>24877</v>
      </c>
      <c r="F8351" s="4">
        <v>3674</v>
      </c>
      <c r="G8351" s="2" t="s">
        <v>137</v>
      </c>
      <c r="H8351" s="2" t="s">
        <v>34</v>
      </c>
      <c r="I8351" s="2" t="s">
        <v>13845</v>
      </c>
      <c r="J8351" s="2" t="s">
        <v>13846</v>
      </c>
      <c r="K8351" s="2" t="s">
        <v>137</v>
      </c>
      <c r="L8351" s="2" t="s">
        <v>34</v>
      </c>
      <c r="M8351" s="12">
        <v>3857.9450000000002</v>
      </c>
      <c r="N8351" s="6">
        <v>9.1199999999999992</v>
      </c>
      <c r="O8351" s="6">
        <v>9.2799999999999994</v>
      </c>
      <c r="P8351" s="2" t="s">
        <v>24878</v>
      </c>
      <c r="Q8351" s="6">
        <v>100</v>
      </c>
      <c r="R8351" s="6">
        <v>22.81</v>
      </c>
      <c r="S8351" s="5">
        <v>21</v>
      </c>
      <c r="T8351" s="5">
        <v>205</v>
      </c>
      <c r="U8351" s="5">
        <v>1.8</v>
      </c>
      <c r="V8351" s="6">
        <v>0.1</v>
      </c>
      <c r="W8351" s="6">
        <v>17.38</v>
      </c>
      <c r="X8351" s="6">
        <v>17.79</v>
      </c>
      <c r="Y8351" s="5">
        <v>19.3</v>
      </c>
      <c r="Z8351" s="6">
        <v>19.86</v>
      </c>
      <c r="AA8351" s="6">
        <v>167.68</v>
      </c>
      <c r="AB8351" s="7">
        <v>40.756999999999998</v>
      </c>
      <c r="AC8351" s="10">
        <v>1268.1300000000001</v>
      </c>
    </row>
    <row r="8352" spans="1:29" ht="78" x14ac:dyDescent="0.15">
      <c r="A8352" s="3">
        <f>DATE(2006,12,4)</f>
        <v>39055</v>
      </c>
      <c r="B8352" s="2"/>
      <c r="C8352" s="2" t="s">
        <v>30</v>
      </c>
      <c r="D8352" s="2" t="s">
        <v>24879</v>
      </c>
      <c r="E8352" s="2" t="s">
        <v>24880</v>
      </c>
      <c r="F8352" s="4">
        <v>7215</v>
      </c>
      <c r="G8352" s="2" t="s">
        <v>1517</v>
      </c>
      <c r="H8352" s="2" t="s">
        <v>34</v>
      </c>
      <c r="I8352" s="2" t="s">
        <v>24881</v>
      </c>
      <c r="J8352" s="2" t="s">
        <v>24882</v>
      </c>
      <c r="K8352" s="2" t="s">
        <v>1517</v>
      </c>
      <c r="L8352" s="2" t="s">
        <v>34</v>
      </c>
      <c r="M8352" s="7">
        <v>902.79499999999996</v>
      </c>
      <c r="N8352" s="6">
        <v>17.75</v>
      </c>
      <c r="O8352" s="6">
        <v>17.75</v>
      </c>
      <c r="P8352" s="2" t="s">
        <v>24883</v>
      </c>
      <c r="Q8352" s="2"/>
      <c r="R8352" s="6">
        <v>13.75</v>
      </c>
      <c r="S8352" s="5">
        <v>3.5</v>
      </c>
      <c r="T8352" s="7">
        <v>54.142000000000003</v>
      </c>
      <c r="U8352" s="5">
        <v>7.1</v>
      </c>
      <c r="V8352" s="6">
        <v>0.26</v>
      </c>
      <c r="W8352" s="6">
        <v>10.73</v>
      </c>
      <c r="X8352" s="6">
        <v>10.91</v>
      </c>
      <c r="Y8352" s="6">
        <v>10.85</v>
      </c>
      <c r="Z8352" s="5">
        <v>11.7</v>
      </c>
      <c r="AA8352" s="6">
        <v>13.08</v>
      </c>
      <c r="AB8352" s="7">
        <v>19.277000000000001</v>
      </c>
      <c r="AC8352" s="6">
        <v>35.020000000000003</v>
      </c>
    </row>
    <row r="8353" spans="1:29" ht="117" x14ac:dyDescent="0.15">
      <c r="A8353" s="3">
        <f>DATE(2006,12,4)</f>
        <v>39055</v>
      </c>
      <c r="B8353" s="2"/>
      <c r="C8353" s="2" t="s">
        <v>30</v>
      </c>
      <c r="D8353" s="2" t="s">
        <v>24368</v>
      </c>
      <c r="E8353" s="2" t="s">
        <v>6321</v>
      </c>
      <c r="F8353" s="4">
        <v>6798</v>
      </c>
      <c r="G8353" s="2" t="s">
        <v>53</v>
      </c>
      <c r="H8353" s="2" t="s">
        <v>34</v>
      </c>
      <c r="I8353" s="2" t="s">
        <v>8147</v>
      </c>
      <c r="J8353" s="2" t="s">
        <v>8148</v>
      </c>
      <c r="K8353" s="2" t="s">
        <v>109</v>
      </c>
      <c r="L8353" s="2" t="s">
        <v>34</v>
      </c>
      <c r="M8353" s="12">
        <v>3833.8969999999999</v>
      </c>
      <c r="N8353" s="5">
        <v>82.3</v>
      </c>
      <c r="O8353" s="6">
        <v>81.88</v>
      </c>
      <c r="P8353" s="2" t="s">
        <v>24884</v>
      </c>
      <c r="Q8353" s="2"/>
      <c r="R8353" s="2"/>
      <c r="S8353" s="5">
        <v>74.7</v>
      </c>
      <c r="T8353" s="6">
        <v>169.59</v>
      </c>
      <c r="U8353" s="5">
        <v>16.100000000000001</v>
      </c>
      <c r="V8353" s="6">
        <v>0.9</v>
      </c>
      <c r="W8353" s="6">
        <v>48.96</v>
      </c>
      <c r="X8353" s="6">
        <v>48.09</v>
      </c>
      <c r="Y8353" s="6">
        <v>45.75</v>
      </c>
      <c r="Z8353" s="6">
        <v>45.57</v>
      </c>
      <c r="AA8353" s="6">
        <v>83.76</v>
      </c>
      <c r="AB8353" s="2" t="s">
        <v>47</v>
      </c>
      <c r="AC8353" s="10">
        <v>1317.9</v>
      </c>
    </row>
    <row r="8354" spans="1:29" ht="169" x14ac:dyDescent="0.15">
      <c r="A8354" s="3">
        <f>DATE(2006,12,4)</f>
        <v>39055</v>
      </c>
      <c r="B8354" s="3">
        <f>DATE(2007,11,7)</f>
        <v>39393</v>
      </c>
      <c r="C8354" s="2" t="s">
        <v>95</v>
      </c>
      <c r="D8354" s="2" t="s">
        <v>11331</v>
      </c>
      <c r="E8354" s="2" t="s">
        <v>7716</v>
      </c>
      <c r="F8354" s="4">
        <v>7011</v>
      </c>
      <c r="G8354" s="2" t="s">
        <v>269</v>
      </c>
      <c r="H8354" s="2" t="s">
        <v>34</v>
      </c>
      <c r="I8354" s="2" t="s">
        <v>24885</v>
      </c>
      <c r="J8354" s="2" t="s">
        <v>302</v>
      </c>
      <c r="K8354" s="2" t="s">
        <v>53</v>
      </c>
      <c r="L8354" s="2" t="s">
        <v>34</v>
      </c>
      <c r="M8354" s="2"/>
      <c r="N8354" s="2"/>
      <c r="O8354" s="2"/>
      <c r="P8354" s="2" t="s">
        <v>24886</v>
      </c>
      <c r="Q8354" s="6">
        <v>89.32</v>
      </c>
      <c r="R8354" s="6">
        <v>90</v>
      </c>
      <c r="S8354" s="5">
        <v>110.2</v>
      </c>
      <c r="T8354" s="7">
        <v>450.01799999999997</v>
      </c>
      <c r="U8354" s="5">
        <v>-3.3</v>
      </c>
      <c r="V8354" s="6">
        <v>1.85</v>
      </c>
      <c r="W8354" s="4">
        <v>69</v>
      </c>
      <c r="X8354" s="5">
        <v>69.099999999999994</v>
      </c>
      <c r="Y8354" s="5">
        <v>84.9</v>
      </c>
      <c r="Z8354" s="6">
        <v>82.81</v>
      </c>
      <c r="AA8354" s="6">
        <v>57.21</v>
      </c>
      <c r="AB8354" s="7">
        <v>27.234000000000002</v>
      </c>
      <c r="AC8354" s="2"/>
    </row>
    <row r="8355" spans="1:29" ht="104" x14ac:dyDescent="0.15">
      <c r="A8355" s="3">
        <f>DATE(2006,12,5)</f>
        <v>39056</v>
      </c>
      <c r="B8355" s="3">
        <f>DATE(2007,6,1)</f>
        <v>39234</v>
      </c>
      <c r="C8355" s="2" t="s">
        <v>95</v>
      </c>
      <c r="D8355" s="2" t="s">
        <v>24887</v>
      </c>
      <c r="E8355" s="2" t="s">
        <v>24888</v>
      </c>
      <c r="F8355" s="4">
        <v>3011</v>
      </c>
      <c r="G8355" s="2" t="s">
        <v>447</v>
      </c>
      <c r="H8355" s="2" t="s">
        <v>34</v>
      </c>
      <c r="I8355" s="2" t="s">
        <v>24889</v>
      </c>
      <c r="J8355" s="2" t="s">
        <v>24890</v>
      </c>
      <c r="K8355" s="2" t="s">
        <v>447</v>
      </c>
      <c r="L8355" s="2" t="s">
        <v>34</v>
      </c>
      <c r="M8355" s="2"/>
      <c r="N8355" s="2"/>
      <c r="O8355" s="2"/>
      <c r="P8355" s="2" t="s">
        <v>24891</v>
      </c>
      <c r="Q8355" s="6">
        <v>100</v>
      </c>
      <c r="R8355" s="6">
        <v>50.75</v>
      </c>
      <c r="S8355" s="5">
        <v>68.3</v>
      </c>
      <c r="T8355" s="6">
        <v>100.98</v>
      </c>
      <c r="U8355" s="5">
        <v>28.5</v>
      </c>
      <c r="V8355" s="6">
        <v>3.46</v>
      </c>
      <c r="W8355" s="6">
        <v>43.95</v>
      </c>
      <c r="X8355" s="6">
        <v>45.04</v>
      </c>
      <c r="Y8355" s="5">
        <v>50.5</v>
      </c>
      <c r="Z8355" s="5">
        <v>50.4</v>
      </c>
      <c r="AA8355" s="6">
        <v>19.46</v>
      </c>
      <c r="AB8355" s="7">
        <v>12.2</v>
      </c>
      <c r="AC8355" s="2"/>
    </row>
    <row r="8356" spans="1:29" ht="130" x14ac:dyDescent="0.15">
      <c r="A8356" s="3">
        <f>DATE(2006,12,5)</f>
        <v>39056</v>
      </c>
      <c r="B8356" s="3">
        <f>DATE(2007,3,30)</f>
        <v>39171</v>
      </c>
      <c r="C8356" s="2" t="s">
        <v>95</v>
      </c>
      <c r="D8356" s="2" t="s">
        <v>24892</v>
      </c>
      <c r="E8356" s="2" t="s">
        <v>9851</v>
      </c>
      <c r="F8356" s="4">
        <v>6311</v>
      </c>
      <c r="G8356" s="2" t="s">
        <v>125</v>
      </c>
      <c r="H8356" s="2" t="s">
        <v>34</v>
      </c>
      <c r="I8356" s="2" t="s">
        <v>24893</v>
      </c>
      <c r="J8356" s="2" t="s">
        <v>9299</v>
      </c>
      <c r="K8356" s="2" t="s">
        <v>125</v>
      </c>
      <c r="L8356" s="2" t="s">
        <v>34</v>
      </c>
      <c r="M8356" s="2"/>
      <c r="N8356" s="2"/>
      <c r="O8356" s="2"/>
      <c r="P8356" s="2" t="s">
        <v>24894</v>
      </c>
      <c r="Q8356" s="6">
        <v>100</v>
      </c>
      <c r="R8356" s="6">
        <v>21.25</v>
      </c>
      <c r="S8356" s="5">
        <v>30</v>
      </c>
      <c r="T8356" s="2"/>
      <c r="U8356" s="5">
        <v>13</v>
      </c>
      <c r="V8356" s="6">
        <v>1.48</v>
      </c>
      <c r="W8356" s="6">
        <v>15.87</v>
      </c>
      <c r="X8356" s="6">
        <v>16.510000000000002</v>
      </c>
      <c r="Y8356" s="5">
        <v>20.5</v>
      </c>
      <c r="Z8356" s="6">
        <v>20.54</v>
      </c>
      <c r="AA8356" s="6">
        <v>20.350000000000001</v>
      </c>
      <c r="AB8356" s="7">
        <v>9.4079999999999995</v>
      </c>
      <c r="AC8356" s="2"/>
    </row>
    <row r="8357" spans="1:29" ht="182" x14ac:dyDescent="0.15">
      <c r="A8357" s="3">
        <f>DATE(2006,12,6)</f>
        <v>39057</v>
      </c>
      <c r="B8357" s="3">
        <f>DATE(2007,2,23)</f>
        <v>39136</v>
      </c>
      <c r="C8357" s="2" t="s">
        <v>95</v>
      </c>
      <c r="D8357" s="2" t="s">
        <v>24895</v>
      </c>
      <c r="E8357" s="2" t="s">
        <v>849</v>
      </c>
      <c r="F8357" s="4">
        <v>7372</v>
      </c>
      <c r="G8357" s="2" t="s">
        <v>551</v>
      </c>
      <c r="H8357" s="2" t="s">
        <v>34</v>
      </c>
      <c r="I8357" s="2" t="s">
        <v>24896</v>
      </c>
      <c r="J8357" s="2" t="s">
        <v>24897</v>
      </c>
      <c r="K8357" s="2" t="s">
        <v>551</v>
      </c>
      <c r="L8357" s="2" t="s">
        <v>34</v>
      </c>
      <c r="M8357" s="2"/>
      <c r="N8357" s="2"/>
      <c r="O8357" s="2"/>
      <c r="P8357" s="2" t="s">
        <v>24898</v>
      </c>
      <c r="Q8357" s="6">
        <v>100</v>
      </c>
      <c r="R8357" s="6">
        <v>10</v>
      </c>
      <c r="S8357" s="5">
        <v>3.4</v>
      </c>
      <c r="T8357" s="7">
        <v>15.305</v>
      </c>
      <c r="U8357" s="5">
        <v>2.9</v>
      </c>
      <c r="V8357" s="6">
        <v>0.3</v>
      </c>
      <c r="W8357" s="6">
        <v>7.35</v>
      </c>
      <c r="X8357" s="5">
        <v>7.5</v>
      </c>
      <c r="Y8357" s="6">
        <v>9.76</v>
      </c>
      <c r="Z8357" s="6">
        <v>9.7799999999999994</v>
      </c>
      <c r="AA8357" s="6">
        <v>11.69</v>
      </c>
      <c r="AB8357" s="7">
        <v>18.754000000000001</v>
      </c>
      <c r="AC8357" s="2"/>
    </row>
    <row r="8358" spans="1:29" ht="143" x14ac:dyDescent="0.15">
      <c r="A8358" s="3">
        <f>DATE(2006,12,10)</f>
        <v>39061</v>
      </c>
      <c r="B8358" s="3">
        <f>DATE(2007,2,16)</f>
        <v>39129</v>
      </c>
      <c r="C8358" s="2" t="s">
        <v>95</v>
      </c>
      <c r="D8358" s="2" t="s">
        <v>24899</v>
      </c>
      <c r="E8358" s="2" t="s">
        <v>24900</v>
      </c>
      <c r="F8358" s="4">
        <v>7372</v>
      </c>
      <c r="G8358" s="2" t="s">
        <v>551</v>
      </c>
      <c r="H8358" s="2" t="s">
        <v>34</v>
      </c>
      <c r="I8358" s="2" t="s">
        <v>24901</v>
      </c>
      <c r="J8358" s="2" t="s">
        <v>24902</v>
      </c>
      <c r="K8358" s="2" t="s">
        <v>226</v>
      </c>
      <c r="L8358" s="2" t="s">
        <v>34</v>
      </c>
      <c r="M8358" s="12">
        <v>2597.6790000000001</v>
      </c>
      <c r="N8358" s="6">
        <v>49.24</v>
      </c>
      <c r="O8358" s="6">
        <v>49.24</v>
      </c>
      <c r="P8358" s="2" t="s">
        <v>24903</v>
      </c>
      <c r="Q8358" s="6">
        <v>100</v>
      </c>
      <c r="R8358" s="6">
        <v>7.5</v>
      </c>
      <c r="S8358" s="5">
        <v>-6.3</v>
      </c>
      <c r="T8358" s="7">
        <v>-1.649</v>
      </c>
      <c r="U8358" s="5">
        <v>2.9</v>
      </c>
      <c r="V8358" s="6">
        <v>-0.11</v>
      </c>
      <c r="W8358" s="5">
        <v>6.7</v>
      </c>
      <c r="X8358" s="6">
        <v>6.71</v>
      </c>
      <c r="Y8358" s="6">
        <v>7.24</v>
      </c>
      <c r="Z8358" s="6">
        <v>7.24</v>
      </c>
      <c r="AA8358" s="6">
        <v>61.8</v>
      </c>
      <c r="AB8358" s="2" t="s">
        <v>86</v>
      </c>
      <c r="AC8358" s="6">
        <v>136.4</v>
      </c>
    </row>
    <row r="8359" spans="1:29" ht="52" x14ac:dyDescent="0.15">
      <c r="A8359" s="3">
        <f>DATE(2006,12,12)</f>
        <v>39063</v>
      </c>
      <c r="B8359" s="2"/>
      <c r="C8359" s="2" t="s">
        <v>39</v>
      </c>
      <c r="D8359" s="2" t="s">
        <v>8944</v>
      </c>
      <c r="E8359" s="2" t="s">
        <v>8945</v>
      </c>
      <c r="F8359" s="4">
        <v>4512</v>
      </c>
      <c r="G8359" s="2" t="s">
        <v>59</v>
      </c>
      <c r="H8359" s="2" t="s">
        <v>34</v>
      </c>
      <c r="I8359" s="2" t="s">
        <v>6900</v>
      </c>
      <c r="J8359" s="2" t="s">
        <v>6901</v>
      </c>
      <c r="K8359" s="2" t="s">
        <v>59</v>
      </c>
      <c r="L8359" s="2" t="s">
        <v>34</v>
      </c>
      <c r="M8359" s="2"/>
      <c r="N8359" s="2"/>
      <c r="O8359" s="2"/>
      <c r="P8359" s="2" t="s">
        <v>24904</v>
      </c>
      <c r="Q8359" s="2"/>
      <c r="R8359" s="2"/>
      <c r="S8359" s="5">
        <v>353</v>
      </c>
      <c r="T8359" s="5">
        <v>768</v>
      </c>
      <c r="U8359" s="5">
        <v>7.8</v>
      </c>
      <c r="V8359" s="6">
        <v>3.16</v>
      </c>
      <c r="W8359" s="6">
        <v>41.57</v>
      </c>
      <c r="X8359" s="6">
        <v>45.42</v>
      </c>
      <c r="Y8359" s="6">
        <v>42.88</v>
      </c>
      <c r="Z8359" s="6">
        <v>44.76</v>
      </c>
      <c r="AA8359" s="6">
        <v>90.1</v>
      </c>
      <c r="AB8359" s="2" t="s">
        <v>47</v>
      </c>
      <c r="AC8359" s="8">
        <v>4451</v>
      </c>
    </row>
    <row r="8360" spans="1:29" ht="169" x14ac:dyDescent="0.15">
      <c r="A8360" s="3">
        <f>DATE(2006,12,12)</f>
        <v>39063</v>
      </c>
      <c r="B8360" s="2"/>
      <c r="C8360" s="2" t="s">
        <v>30</v>
      </c>
      <c r="D8360" s="2" t="s">
        <v>11169</v>
      </c>
      <c r="E8360" s="2" t="s">
        <v>11170</v>
      </c>
      <c r="F8360" s="4">
        <v>7011</v>
      </c>
      <c r="G8360" s="2" t="s">
        <v>269</v>
      </c>
      <c r="H8360" s="2" t="s">
        <v>34</v>
      </c>
      <c r="I8360" s="2" t="s">
        <v>20209</v>
      </c>
      <c r="J8360" s="2" t="s">
        <v>20210</v>
      </c>
      <c r="K8360" s="2" t="s">
        <v>364</v>
      </c>
      <c r="L8360" s="2" t="s">
        <v>34</v>
      </c>
      <c r="M8360" s="12">
        <v>3167.491</v>
      </c>
      <c r="N8360" s="6">
        <v>39.04</v>
      </c>
      <c r="O8360" s="6">
        <v>39.33</v>
      </c>
      <c r="P8360" s="2" t="s">
        <v>24905</v>
      </c>
      <c r="Q8360" s="2"/>
      <c r="R8360" s="6">
        <v>87</v>
      </c>
      <c r="S8360" s="5">
        <v>408.7</v>
      </c>
      <c r="T8360" s="8">
        <v>2351.6999999999998</v>
      </c>
      <c r="U8360" s="5">
        <v>32.700000000000003</v>
      </c>
      <c r="V8360" s="7">
        <v>1.972</v>
      </c>
      <c r="W8360" s="6">
        <v>77.209999999999994</v>
      </c>
      <c r="X8360" s="6">
        <v>78.459999999999994</v>
      </c>
      <c r="Y8360" s="6">
        <v>78.92</v>
      </c>
      <c r="Z8360" s="5">
        <v>78.7</v>
      </c>
      <c r="AA8360" s="6">
        <v>186.02</v>
      </c>
      <c r="AB8360" s="7">
        <v>16.055</v>
      </c>
      <c r="AC8360" s="6">
        <v>136.32</v>
      </c>
    </row>
    <row r="8361" spans="1:29" ht="169" x14ac:dyDescent="0.15">
      <c r="A8361" s="3">
        <f>DATE(2006,12,12)</f>
        <v>39063</v>
      </c>
      <c r="B8361" s="3">
        <f>DATE(2007,3,30)</f>
        <v>39171</v>
      </c>
      <c r="C8361" s="2" t="s">
        <v>95</v>
      </c>
      <c r="D8361" s="2" t="s">
        <v>17505</v>
      </c>
      <c r="E8361" s="2" t="s">
        <v>17506</v>
      </c>
      <c r="F8361" s="4">
        <v>7372</v>
      </c>
      <c r="G8361" s="2" t="s">
        <v>551</v>
      </c>
      <c r="H8361" s="2" t="s">
        <v>34</v>
      </c>
      <c r="I8361" s="2" t="s">
        <v>24906</v>
      </c>
      <c r="J8361" s="2" t="s">
        <v>11337</v>
      </c>
      <c r="K8361" s="2" t="s">
        <v>53</v>
      </c>
      <c r="L8361" s="2" t="s">
        <v>34</v>
      </c>
      <c r="M8361" s="2"/>
      <c r="N8361" s="2"/>
      <c r="O8361" s="2"/>
      <c r="P8361" s="2" t="s">
        <v>24907</v>
      </c>
      <c r="Q8361" s="6">
        <v>100</v>
      </c>
      <c r="R8361" s="6">
        <v>32.75</v>
      </c>
      <c r="S8361" s="5">
        <v>130.19999999999999</v>
      </c>
      <c r="T8361" s="7">
        <v>416.90600000000001</v>
      </c>
      <c r="U8361" s="5">
        <v>13.9</v>
      </c>
      <c r="V8361" s="6">
        <v>0.99</v>
      </c>
      <c r="W8361" s="6">
        <v>28.02</v>
      </c>
      <c r="X8361" s="6">
        <v>28.32</v>
      </c>
      <c r="Y8361" s="6">
        <v>30.43</v>
      </c>
      <c r="Z8361" s="6">
        <v>31.96</v>
      </c>
      <c r="AA8361" s="6">
        <v>132.38</v>
      </c>
      <c r="AB8361" s="7">
        <v>20.396000000000001</v>
      </c>
      <c r="AC8361" s="2"/>
    </row>
    <row r="8362" spans="1:29" ht="117" x14ac:dyDescent="0.15">
      <c r="A8362" s="3">
        <f>DATE(2006,12,12)</f>
        <v>39063</v>
      </c>
      <c r="B8362" s="3">
        <f>DATE(2007,4,17)</f>
        <v>39189</v>
      </c>
      <c r="C8362" s="2" t="s">
        <v>95</v>
      </c>
      <c r="D8362" s="2" t="s">
        <v>24908</v>
      </c>
      <c r="E8362" s="2" t="s">
        <v>3812</v>
      </c>
      <c r="F8362" s="4">
        <v>2834</v>
      </c>
      <c r="G8362" s="2" t="s">
        <v>130</v>
      </c>
      <c r="H8362" s="2" t="s">
        <v>34</v>
      </c>
      <c r="I8362" s="2" t="s">
        <v>24909</v>
      </c>
      <c r="J8362" s="2" t="s">
        <v>3812</v>
      </c>
      <c r="K8362" s="2" t="s">
        <v>130</v>
      </c>
      <c r="L8362" s="2" t="s">
        <v>34</v>
      </c>
      <c r="M8362" s="7">
        <v>394.70100000000002</v>
      </c>
      <c r="N8362" s="6">
        <v>7.17</v>
      </c>
      <c r="O8362" s="6">
        <v>7.32</v>
      </c>
      <c r="P8362" s="2" t="s">
        <v>24910</v>
      </c>
      <c r="Q8362" s="6">
        <v>100</v>
      </c>
      <c r="R8362" s="6">
        <v>11.25</v>
      </c>
      <c r="S8362" s="5">
        <v>-11</v>
      </c>
      <c r="T8362" s="7">
        <v>-11.007999999999999</v>
      </c>
      <c r="U8362" s="5">
        <v>2</v>
      </c>
      <c r="V8362" s="2"/>
      <c r="W8362" s="6">
        <v>5.46</v>
      </c>
      <c r="X8362" s="6">
        <v>5.41</v>
      </c>
      <c r="Y8362" s="6">
        <v>7.87</v>
      </c>
      <c r="Z8362" s="5">
        <v>8.1</v>
      </c>
      <c r="AA8362" s="6">
        <v>14.93</v>
      </c>
      <c r="AB8362" s="2" t="s">
        <v>86</v>
      </c>
      <c r="AC8362" s="6">
        <v>76.13</v>
      </c>
    </row>
    <row r="8363" spans="1:29" ht="286" x14ac:dyDescent="0.15">
      <c r="A8363" s="3">
        <f>DATE(2006,12,13)</f>
        <v>39064</v>
      </c>
      <c r="B8363" s="2"/>
      <c r="C8363" s="2" t="s">
        <v>30</v>
      </c>
      <c r="D8363" s="2" t="s">
        <v>24911</v>
      </c>
      <c r="E8363" s="2" t="s">
        <v>58</v>
      </c>
      <c r="F8363" s="4">
        <v>4512</v>
      </c>
      <c r="G8363" s="2" t="s">
        <v>59</v>
      </c>
      <c r="H8363" s="2" t="s">
        <v>34</v>
      </c>
      <c r="I8363" s="2" t="s">
        <v>17057</v>
      </c>
      <c r="J8363" s="2" t="s">
        <v>5422</v>
      </c>
      <c r="K8363" s="2" t="s">
        <v>59</v>
      </c>
      <c r="L8363" s="2" t="s">
        <v>34</v>
      </c>
      <c r="M8363" s="12">
        <v>1168.2080000000001</v>
      </c>
      <c r="N8363" s="6">
        <v>12.85</v>
      </c>
      <c r="O8363" s="6">
        <v>12.52</v>
      </c>
      <c r="P8363" s="2" t="s">
        <v>24912</v>
      </c>
      <c r="Q8363" s="2"/>
      <c r="R8363" s="6">
        <v>16.25</v>
      </c>
      <c r="S8363" s="5">
        <v>18.2</v>
      </c>
      <c r="T8363" s="7">
        <v>26.757000000000001</v>
      </c>
      <c r="U8363" s="5">
        <v>2.6</v>
      </c>
      <c r="V8363" s="6">
        <v>0.78</v>
      </c>
      <c r="W8363" s="6">
        <v>8.81</v>
      </c>
      <c r="X8363" s="6">
        <v>9.08</v>
      </c>
      <c r="Y8363" s="5">
        <v>11.1</v>
      </c>
      <c r="Z8363" s="6">
        <v>12.05</v>
      </c>
      <c r="AA8363" s="6">
        <v>18.600000000000001</v>
      </c>
      <c r="AB8363" s="7">
        <v>21.331</v>
      </c>
      <c r="AC8363" s="6">
        <v>428.73</v>
      </c>
    </row>
    <row r="8364" spans="1:29" ht="130" x14ac:dyDescent="0.15">
      <c r="A8364" s="3">
        <f>DATE(2006,12,14)</f>
        <v>39065</v>
      </c>
      <c r="B8364" s="3">
        <f>DATE(2007,6,1)</f>
        <v>39234</v>
      </c>
      <c r="C8364" s="2" t="s">
        <v>95</v>
      </c>
      <c r="D8364" s="2" t="s">
        <v>24913</v>
      </c>
      <c r="E8364" s="2" t="s">
        <v>159</v>
      </c>
      <c r="F8364" s="4">
        <v>6712</v>
      </c>
      <c r="G8364" s="2" t="s">
        <v>37</v>
      </c>
      <c r="H8364" s="2" t="s">
        <v>34</v>
      </c>
      <c r="I8364" s="2" t="s">
        <v>7771</v>
      </c>
      <c r="J8364" s="2" t="s">
        <v>3246</v>
      </c>
      <c r="K8364" s="2" t="s">
        <v>37</v>
      </c>
      <c r="L8364" s="2" t="s">
        <v>34</v>
      </c>
      <c r="M8364" s="7">
        <v>553.53599999999994</v>
      </c>
      <c r="N8364" s="6">
        <v>37.72</v>
      </c>
      <c r="O8364" s="5">
        <v>37.4</v>
      </c>
      <c r="P8364" s="2" t="s">
        <v>24914</v>
      </c>
      <c r="Q8364" s="6">
        <v>100</v>
      </c>
      <c r="R8364" s="6">
        <v>25</v>
      </c>
      <c r="S8364" s="2"/>
      <c r="T8364" s="2"/>
      <c r="U8364" s="2"/>
      <c r="V8364" s="2"/>
      <c r="W8364" s="6">
        <v>16.05</v>
      </c>
      <c r="X8364" s="6">
        <v>16.05</v>
      </c>
      <c r="Y8364" s="6">
        <v>24.15</v>
      </c>
      <c r="Z8364" s="6">
        <v>24.21</v>
      </c>
      <c r="AA8364" s="6">
        <v>1.73</v>
      </c>
      <c r="AB8364" s="2" t="s">
        <v>47</v>
      </c>
      <c r="AC8364" s="2"/>
    </row>
    <row r="8365" spans="1:29" ht="91" x14ac:dyDescent="0.15">
      <c r="A8365" s="3">
        <f>DATE(2006,12,15)</f>
        <v>39066</v>
      </c>
      <c r="B8365" s="2"/>
      <c r="C8365" s="2" t="s">
        <v>30</v>
      </c>
      <c r="D8365" s="2" t="s">
        <v>24915</v>
      </c>
      <c r="E8365" s="2" t="s">
        <v>24916</v>
      </c>
      <c r="F8365" s="4">
        <v>6141</v>
      </c>
      <c r="G8365" s="2" t="s">
        <v>370</v>
      </c>
      <c r="H8365" s="2" t="s">
        <v>34</v>
      </c>
      <c r="I8365" s="2" t="s">
        <v>4138</v>
      </c>
      <c r="J8365" s="2" t="s">
        <v>658</v>
      </c>
      <c r="K8365" s="2" t="s">
        <v>551</v>
      </c>
      <c r="L8365" s="2" t="s">
        <v>34</v>
      </c>
      <c r="M8365" s="12">
        <v>11317.370999999999</v>
      </c>
      <c r="N8365" s="6">
        <v>31.51</v>
      </c>
      <c r="O8365" s="6">
        <v>30.77</v>
      </c>
      <c r="P8365" s="2" t="s">
        <v>24917</v>
      </c>
      <c r="Q8365" s="2"/>
      <c r="R8365" s="6">
        <v>18.75</v>
      </c>
      <c r="S8365" s="5">
        <v>2.2999999999999998</v>
      </c>
      <c r="T8365" s="7">
        <v>7.6619999999999999</v>
      </c>
      <c r="U8365" s="5">
        <v>3.3</v>
      </c>
      <c r="V8365" s="6">
        <v>0.33</v>
      </c>
      <c r="W8365" s="5">
        <v>13.4</v>
      </c>
      <c r="X8365" s="4">
        <v>15</v>
      </c>
      <c r="Y8365" s="6">
        <v>18.260000000000002</v>
      </c>
      <c r="Z8365" s="6">
        <v>18.29</v>
      </c>
      <c r="AA8365" s="6">
        <v>6.82</v>
      </c>
      <c r="AB8365" s="7">
        <v>25.17</v>
      </c>
      <c r="AC8365" s="10">
        <v>1059.1600000000001</v>
      </c>
    </row>
    <row r="8366" spans="1:29" ht="91" x14ac:dyDescent="0.15">
      <c r="A8366" s="3">
        <f>DATE(2006,12,15)</f>
        <v>39066</v>
      </c>
      <c r="B8366" s="3">
        <f>DATE(2007,6,1)</f>
        <v>39234</v>
      </c>
      <c r="C8366" s="2" t="s">
        <v>95</v>
      </c>
      <c r="D8366" s="2" t="s">
        <v>24918</v>
      </c>
      <c r="E8366" s="2" t="s">
        <v>483</v>
      </c>
      <c r="F8366" s="4">
        <v>6282</v>
      </c>
      <c r="G8366" s="2" t="s">
        <v>53</v>
      </c>
      <c r="H8366" s="2" t="s">
        <v>34</v>
      </c>
      <c r="I8366" s="2" t="s">
        <v>24919</v>
      </c>
      <c r="J8366" s="2" t="s">
        <v>36</v>
      </c>
      <c r="K8366" s="2" t="s">
        <v>33</v>
      </c>
      <c r="L8366" s="2" t="s">
        <v>34</v>
      </c>
      <c r="M8366" s="7">
        <v>67.117999999999995</v>
      </c>
      <c r="N8366" s="6">
        <v>15.85</v>
      </c>
      <c r="O8366" s="6">
        <v>15.83</v>
      </c>
      <c r="P8366" s="2" t="s">
        <v>24920</v>
      </c>
      <c r="Q8366" s="6">
        <v>100</v>
      </c>
      <c r="R8366" s="2"/>
      <c r="S8366" s="2"/>
      <c r="T8366" s="2"/>
      <c r="U8366" s="2"/>
      <c r="V8366" s="2"/>
      <c r="W8366" s="5">
        <v>32.5</v>
      </c>
      <c r="X8366" s="5">
        <v>32.5</v>
      </c>
      <c r="Y8366" s="5">
        <v>41.5</v>
      </c>
      <c r="Z8366" s="6">
        <v>41.25</v>
      </c>
      <c r="AA8366" s="2"/>
      <c r="AB8366" s="2" t="s">
        <v>47</v>
      </c>
      <c r="AC8366" s="2"/>
    </row>
    <row r="8367" spans="1:29" ht="117" x14ac:dyDescent="0.15">
      <c r="A8367" s="3">
        <f>DATE(2006,12,17)</f>
        <v>39068</v>
      </c>
      <c r="B8367" s="3">
        <f>DATE(2007,4,10)</f>
        <v>39182</v>
      </c>
      <c r="C8367" s="2" t="s">
        <v>95</v>
      </c>
      <c r="D8367" s="2" t="s">
        <v>24921</v>
      </c>
      <c r="E8367" s="2" t="s">
        <v>24446</v>
      </c>
      <c r="F8367" s="4">
        <v>6531</v>
      </c>
      <c r="G8367" s="2" t="s">
        <v>109</v>
      </c>
      <c r="H8367" s="2" t="s">
        <v>34</v>
      </c>
      <c r="I8367" s="2" t="s">
        <v>9715</v>
      </c>
      <c r="J8367" s="2" t="s">
        <v>244</v>
      </c>
      <c r="K8367" s="2" t="s">
        <v>53</v>
      </c>
      <c r="L8367" s="2" t="s">
        <v>34</v>
      </c>
      <c r="M8367" s="2"/>
      <c r="N8367" s="2"/>
      <c r="O8367" s="2"/>
      <c r="P8367" s="2" t="s">
        <v>24922</v>
      </c>
      <c r="Q8367" s="6">
        <v>100</v>
      </c>
      <c r="R8367" s="6">
        <v>30</v>
      </c>
      <c r="S8367" s="5">
        <v>412</v>
      </c>
      <c r="T8367" s="8">
        <v>1300</v>
      </c>
      <c r="U8367" s="2"/>
      <c r="V8367" s="9">
        <v>1.6435</v>
      </c>
      <c r="W8367" s="6">
        <v>26.35</v>
      </c>
      <c r="X8367" s="5">
        <v>25.5</v>
      </c>
      <c r="Y8367" s="5">
        <v>30.4</v>
      </c>
      <c r="Z8367" s="5">
        <v>30.4</v>
      </c>
      <c r="AA8367" s="6">
        <v>214.38</v>
      </c>
      <c r="AB8367" s="7">
        <v>6.0439999999999996</v>
      </c>
      <c r="AC8367" s="2"/>
    </row>
    <row r="8368" spans="1:29" ht="260" x14ac:dyDescent="0.15">
      <c r="A8368" s="3">
        <f t="shared" ref="A8368:A8373" si="163">DATE(2006,12,18)</f>
        <v>39069</v>
      </c>
      <c r="B8368" s="3">
        <f>DATE(2007,7,11)</f>
        <v>39274</v>
      </c>
      <c r="C8368" s="2" t="s">
        <v>95</v>
      </c>
      <c r="D8368" s="2" t="s">
        <v>5019</v>
      </c>
      <c r="E8368" s="2" t="s">
        <v>5020</v>
      </c>
      <c r="F8368" s="4">
        <v>3842</v>
      </c>
      <c r="G8368" s="2" t="s">
        <v>226</v>
      </c>
      <c r="H8368" s="2" t="s">
        <v>34</v>
      </c>
      <c r="I8368" s="2" t="s">
        <v>24923</v>
      </c>
      <c r="J8368" s="2" t="s">
        <v>24924</v>
      </c>
      <c r="K8368" s="2" t="s">
        <v>226</v>
      </c>
      <c r="L8368" s="2" t="s">
        <v>34</v>
      </c>
      <c r="M8368" s="2"/>
      <c r="N8368" s="2"/>
      <c r="O8368" s="2"/>
      <c r="P8368" s="2" t="s">
        <v>24925</v>
      </c>
      <c r="Q8368" s="6">
        <v>83.43</v>
      </c>
      <c r="R8368" s="6">
        <v>46</v>
      </c>
      <c r="S8368" s="5">
        <v>392.9</v>
      </c>
      <c r="T8368" s="7">
        <v>677.71799999999996</v>
      </c>
      <c r="U8368" s="5">
        <v>8.1</v>
      </c>
      <c r="V8368" s="6">
        <v>1.6</v>
      </c>
      <c r="W8368" s="6">
        <v>41.54</v>
      </c>
      <c r="X8368" s="4">
        <v>42</v>
      </c>
      <c r="Y8368" s="6">
        <v>41.59</v>
      </c>
      <c r="Z8368" s="6">
        <v>41.37</v>
      </c>
      <c r="AA8368" s="6">
        <v>244.92</v>
      </c>
      <c r="AB8368" s="7">
        <v>19.422000000000001</v>
      </c>
      <c r="AC8368" s="2"/>
    </row>
    <row r="8369" spans="1:29" ht="182" x14ac:dyDescent="0.15">
      <c r="A8369" s="3">
        <f t="shared" si="163"/>
        <v>39069</v>
      </c>
      <c r="B8369" s="2"/>
      <c r="C8369" s="2" t="s">
        <v>30</v>
      </c>
      <c r="D8369" s="2" t="s">
        <v>21196</v>
      </c>
      <c r="E8369" s="2" t="s">
        <v>9168</v>
      </c>
      <c r="F8369" s="4">
        <v>8099</v>
      </c>
      <c r="G8369" s="2" t="s">
        <v>454</v>
      </c>
      <c r="H8369" s="2" t="s">
        <v>34</v>
      </c>
      <c r="I8369" s="2" t="s">
        <v>23159</v>
      </c>
      <c r="J8369" s="2" t="s">
        <v>16835</v>
      </c>
      <c r="K8369" s="2" t="s">
        <v>593</v>
      </c>
      <c r="L8369" s="2" t="s">
        <v>34</v>
      </c>
      <c r="M8369" s="10">
        <v>9071.57</v>
      </c>
      <c r="N8369" s="6">
        <v>69.97</v>
      </c>
      <c r="O8369" s="6">
        <v>72.260000000000005</v>
      </c>
      <c r="P8369" s="2" t="s">
        <v>24926</v>
      </c>
      <c r="Q8369" s="2"/>
      <c r="R8369" s="6">
        <v>58.5</v>
      </c>
      <c r="S8369" s="8">
        <v>1063.2</v>
      </c>
      <c r="T8369" s="12">
        <v>1777.499</v>
      </c>
      <c r="U8369" s="5">
        <v>17.5</v>
      </c>
      <c r="V8369" s="6">
        <v>2.4</v>
      </c>
      <c r="W8369" s="6">
        <v>49.62</v>
      </c>
      <c r="X8369" s="5">
        <v>50.3</v>
      </c>
      <c r="Y8369" s="6">
        <v>55.58</v>
      </c>
      <c r="Z8369" s="6">
        <v>56.28</v>
      </c>
      <c r="AA8369" s="6">
        <v>426.46</v>
      </c>
      <c r="AB8369" s="7">
        <v>14.756</v>
      </c>
      <c r="AC8369" s="5">
        <v>68.099999999999994</v>
      </c>
    </row>
    <row r="8370" spans="1:29" ht="234" x14ac:dyDescent="0.15">
      <c r="A8370" s="3">
        <f t="shared" si="163"/>
        <v>39069</v>
      </c>
      <c r="B8370" s="2"/>
      <c r="C8370" s="2" t="s">
        <v>30</v>
      </c>
      <c r="D8370" s="2" t="s">
        <v>24770</v>
      </c>
      <c r="E8370" s="2" t="s">
        <v>24771</v>
      </c>
      <c r="F8370" s="4">
        <v>2952</v>
      </c>
      <c r="G8370" s="2" t="s">
        <v>148</v>
      </c>
      <c r="H8370" s="2" t="s">
        <v>34</v>
      </c>
      <c r="I8370" s="2" t="s">
        <v>243</v>
      </c>
      <c r="J8370" s="2" t="s">
        <v>244</v>
      </c>
      <c r="K8370" s="2" t="s">
        <v>53</v>
      </c>
      <c r="L8370" s="2" t="s">
        <v>34</v>
      </c>
      <c r="M8370" s="2"/>
      <c r="N8370" s="2"/>
      <c r="O8370" s="2"/>
      <c r="P8370" s="2" t="s">
        <v>24927</v>
      </c>
      <c r="Q8370" s="2"/>
      <c r="R8370" s="6">
        <v>42</v>
      </c>
      <c r="S8370" s="5">
        <v>38</v>
      </c>
      <c r="T8370" s="7">
        <v>96.691999999999993</v>
      </c>
      <c r="U8370" s="5">
        <v>15</v>
      </c>
      <c r="V8370" s="6">
        <v>1.82</v>
      </c>
      <c r="W8370" s="6">
        <v>36.35</v>
      </c>
      <c r="X8370" s="6">
        <v>35.85</v>
      </c>
      <c r="Y8370" s="6">
        <v>38.81</v>
      </c>
      <c r="Z8370" s="5">
        <v>40.9</v>
      </c>
      <c r="AA8370" s="6">
        <v>20.59</v>
      </c>
      <c r="AB8370" s="7">
        <v>14.702999999999999</v>
      </c>
      <c r="AC8370" s="2"/>
    </row>
    <row r="8371" spans="1:29" ht="104" x14ac:dyDescent="0.15">
      <c r="A8371" s="3">
        <f t="shared" si="163"/>
        <v>39069</v>
      </c>
      <c r="B8371" s="3">
        <f>DATE(2007,3,6)</f>
        <v>39147</v>
      </c>
      <c r="C8371" s="2" t="s">
        <v>95</v>
      </c>
      <c r="D8371" s="2" t="s">
        <v>24928</v>
      </c>
      <c r="E8371" s="2" t="s">
        <v>429</v>
      </c>
      <c r="F8371" s="4">
        <v>3559</v>
      </c>
      <c r="G8371" s="2" t="s">
        <v>300</v>
      </c>
      <c r="H8371" s="2" t="s">
        <v>34</v>
      </c>
      <c r="I8371" s="2" t="s">
        <v>51</v>
      </c>
      <c r="J8371" s="2" t="s">
        <v>52</v>
      </c>
      <c r="K8371" s="2" t="s">
        <v>53</v>
      </c>
      <c r="L8371" s="2" t="s">
        <v>34</v>
      </c>
      <c r="M8371" s="2"/>
      <c r="N8371" s="2"/>
      <c r="O8371" s="2"/>
      <c r="P8371" s="2" t="s">
        <v>24929</v>
      </c>
      <c r="Q8371" s="6">
        <v>100</v>
      </c>
      <c r="R8371" s="6">
        <v>2.75</v>
      </c>
      <c r="S8371" s="5">
        <v>0.6</v>
      </c>
      <c r="T8371" s="7">
        <v>2.649</v>
      </c>
      <c r="U8371" s="5">
        <v>2.5</v>
      </c>
      <c r="V8371" s="6">
        <v>0.12</v>
      </c>
      <c r="W8371" s="6">
        <v>1.42</v>
      </c>
      <c r="X8371" s="6">
        <v>1.43</v>
      </c>
      <c r="Y8371" s="6">
        <v>2.65</v>
      </c>
      <c r="Z8371" s="6">
        <v>2.67</v>
      </c>
      <c r="AA8371" s="6">
        <v>6.14</v>
      </c>
      <c r="AB8371" s="7">
        <v>5.73</v>
      </c>
      <c r="AC8371" s="2"/>
    </row>
    <row r="8372" spans="1:29" ht="91" x14ac:dyDescent="0.15">
      <c r="A8372" s="3">
        <f t="shared" si="163"/>
        <v>39069</v>
      </c>
      <c r="B8372" s="3">
        <f>DATE(2007,3,14)</f>
        <v>39155</v>
      </c>
      <c r="C8372" s="2" t="s">
        <v>95</v>
      </c>
      <c r="D8372" s="2" t="s">
        <v>24930</v>
      </c>
      <c r="E8372" s="2" t="s">
        <v>21067</v>
      </c>
      <c r="F8372" s="4">
        <v>7372</v>
      </c>
      <c r="G8372" s="2" t="s">
        <v>551</v>
      </c>
      <c r="H8372" s="2" t="s">
        <v>34</v>
      </c>
      <c r="I8372" s="2" t="s">
        <v>24175</v>
      </c>
      <c r="J8372" s="2" t="s">
        <v>24176</v>
      </c>
      <c r="K8372" s="2" t="s">
        <v>53</v>
      </c>
      <c r="L8372" s="2" t="s">
        <v>34</v>
      </c>
      <c r="M8372" s="2"/>
      <c r="N8372" s="2"/>
      <c r="O8372" s="2"/>
      <c r="P8372" s="2" t="s">
        <v>24931</v>
      </c>
      <c r="Q8372" s="6">
        <v>100</v>
      </c>
      <c r="R8372" s="6">
        <v>5</v>
      </c>
      <c r="S8372" s="5">
        <v>-3.8</v>
      </c>
      <c r="T8372" s="7">
        <v>-2.3919999999999999</v>
      </c>
      <c r="U8372" s="5">
        <v>2.7</v>
      </c>
      <c r="V8372" s="6">
        <v>-0.43</v>
      </c>
      <c r="W8372" s="5">
        <v>4.0999999999999996</v>
      </c>
      <c r="X8372" s="5">
        <v>4.0999999999999996</v>
      </c>
      <c r="Y8372" s="6">
        <v>4.8600000000000003</v>
      </c>
      <c r="Z8372" s="6">
        <v>4.8499999999999996</v>
      </c>
      <c r="AA8372" s="6">
        <v>8.9</v>
      </c>
      <c r="AB8372" s="2" t="s">
        <v>86</v>
      </c>
      <c r="AC8372" s="2"/>
    </row>
    <row r="8373" spans="1:29" ht="143" x14ac:dyDescent="0.15">
      <c r="A8373" s="3">
        <f t="shared" si="163"/>
        <v>39069</v>
      </c>
      <c r="B8373" s="2"/>
      <c r="C8373" s="2" t="s">
        <v>30</v>
      </c>
      <c r="D8373" s="2" t="s">
        <v>24932</v>
      </c>
      <c r="E8373" s="2" t="s">
        <v>24933</v>
      </c>
      <c r="F8373" s="4">
        <v>7372</v>
      </c>
      <c r="G8373" s="2" t="s">
        <v>551</v>
      </c>
      <c r="H8373" s="2" t="s">
        <v>34</v>
      </c>
      <c r="I8373" s="2" t="s">
        <v>24934</v>
      </c>
      <c r="J8373" s="2" t="s">
        <v>24935</v>
      </c>
      <c r="K8373" s="2" t="s">
        <v>551</v>
      </c>
      <c r="L8373" s="2" t="s">
        <v>902</v>
      </c>
      <c r="M8373" s="7">
        <v>302.17599999999999</v>
      </c>
      <c r="N8373" s="7">
        <v>19.271000000000001</v>
      </c>
      <c r="O8373" s="7">
        <v>19.081</v>
      </c>
      <c r="P8373" s="2" t="s">
        <v>24936</v>
      </c>
      <c r="Q8373" s="2"/>
      <c r="R8373" s="6">
        <v>10</v>
      </c>
      <c r="S8373" s="5">
        <v>-2</v>
      </c>
      <c r="T8373" s="7">
        <v>-0.39500000000000002</v>
      </c>
      <c r="U8373" s="5">
        <v>4.2</v>
      </c>
      <c r="V8373" s="6">
        <v>-0.48</v>
      </c>
      <c r="W8373" s="5">
        <v>7.5</v>
      </c>
      <c r="X8373" s="6">
        <v>7.98</v>
      </c>
      <c r="Y8373" s="5">
        <v>8.6</v>
      </c>
      <c r="Z8373" s="6">
        <v>8.75</v>
      </c>
      <c r="AA8373" s="6">
        <v>5.0999999999999996</v>
      </c>
      <c r="AB8373" s="2" t="s">
        <v>86</v>
      </c>
      <c r="AC8373" s="6">
        <v>29.94</v>
      </c>
    </row>
    <row r="8374" spans="1:29" ht="91" x14ac:dyDescent="0.15">
      <c r="A8374" s="3">
        <f>DATE(2006,12,19)</f>
        <v>39070</v>
      </c>
      <c r="B8374" s="3">
        <f>DATE(2007,1,24)</f>
        <v>39106</v>
      </c>
      <c r="C8374" s="2" t="s">
        <v>95</v>
      </c>
      <c r="D8374" s="2" t="s">
        <v>24937</v>
      </c>
      <c r="E8374" s="2" t="s">
        <v>24938</v>
      </c>
      <c r="F8374" s="4">
        <v>3669</v>
      </c>
      <c r="G8374" s="2" t="s">
        <v>921</v>
      </c>
      <c r="H8374" s="2" t="s">
        <v>34</v>
      </c>
      <c r="I8374" s="2" t="s">
        <v>17840</v>
      </c>
      <c r="J8374" s="2" t="s">
        <v>17841</v>
      </c>
      <c r="K8374" s="2" t="s">
        <v>63</v>
      </c>
      <c r="L8374" s="2" t="s">
        <v>435</v>
      </c>
      <c r="M8374" s="12">
        <v>5904.192</v>
      </c>
      <c r="N8374" s="7">
        <v>3.9889999999999999</v>
      </c>
      <c r="O8374" s="7">
        <v>4.0869999999999997</v>
      </c>
      <c r="P8374" s="2" t="s">
        <v>24939</v>
      </c>
      <c r="Q8374" s="6">
        <v>100</v>
      </c>
      <c r="R8374" s="6">
        <v>25</v>
      </c>
      <c r="S8374" s="5">
        <v>-548.79999999999995</v>
      </c>
      <c r="T8374" s="7">
        <v>-26.608000000000001</v>
      </c>
      <c r="U8374" s="5">
        <v>4</v>
      </c>
      <c r="V8374" s="9">
        <v>-19.937799999999999</v>
      </c>
      <c r="W8374" s="6">
        <v>17.61</v>
      </c>
      <c r="X8374" s="6">
        <v>20.72</v>
      </c>
      <c r="Y8374" s="6">
        <v>21.17</v>
      </c>
      <c r="Z8374" s="6">
        <v>25.66</v>
      </c>
      <c r="AA8374" s="6">
        <v>69.680000000000007</v>
      </c>
      <c r="AB8374" s="2" t="s">
        <v>86</v>
      </c>
      <c r="AC8374" s="10">
        <v>9112.7900000000009</v>
      </c>
    </row>
    <row r="8375" spans="1:29" ht="117" x14ac:dyDescent="0.15">
      <c r="A8375" s="3">
        <f>DATE(2006,12,20)</f>
        <v>39071</v>
      </c>
      <c r="B8375" s="3">
        <f>DATE(2007,1,29)</f>
        <v>39111</v>
      </c>
      <c r="C8375" s="2" t="s">
        <v>95</v>
      </c>
      <c r="D8375" s="2" t="s">
        <v>22151</v>
      </c>
      <c r="E8375" s="2" t="s">
        <v>22152</v>
      </c>
      <c r="F8375" s="4">
        <v>7375</v>
      </c>
      <c r="G8375" s="2" t="s">
        <v>223</v>
      </c>
      <c r="H8375" s="2" t="s">
        <v>34</v>
      </c>
      <c r="I8375" s="2" t="s">
        <v>10959</v>
      </c>
      <c r="J8375" s="2" t="s">
        <v>10960</v>
      </c>
      <c r="K8375" s="2" t="s">
        <v>4563</v>
      </c>
      <c r="L8375" s="2" t="s">
        <v>133</v>
      </c>
      <c r="M8375" s="10">
        <v>7548.42</v>
      </c>
      <c r="N8375" s="7">
        <v>40.496000000000002</v>
      </c>
      <c r="O8375" s="7">
        <v>42.558</v>
      </c>
      <c r="P8375" s="2" t="s">
        <v>24940</v>
      </c>
      <c r="Q8375" s="6">
        <v>100</v>
      </c>
      <c r="R8375" s="6">
        <v>13.5</v>
      </c>
      <c r="S8375" s="5">
        <v>44.4</v>
      </c>
      <c r="T8375" s="7">
        <v>56.811</v>
      </c>
      <c r="U8375" s="5">
        <v>4.5999999999999996</v>
      </c>
      <c r="V8375" s="6">
        <v>0.46</v>
      </c>
      <c r="W8375" s="6">
        <v>11.06</v>
      </c>
      <c r="X8375" s="6">
        <v>10.93</v>
      </c>
      <c r="Y8375" s="6">
        <v>13.35</v>
      </c>
      <c r="Z8375" s="6">
        <v>13.37</v>
      </c>
      <c r="AA8375" s="6">
        <v>86.51</v>
      </c>
      <c r="AB8375" s="7">
        <v>28.524000000000001</v>
      </c>
      <c r="AC8375" s="10">
        <v>2344.5300000000002</v>
      </c>
    </row>
    <row r="8376" spans="1:29" ht="78" x14ac:dyDescent="0.15">
      <c r="A8376" s="3">
        <f>DATE(2006,12,20)</f>
        <v>39071</v>
      </c>
      <c r="B8376" s="3">
        <f>DATE(2007,5,1)</f>
        <v>39203</v>
      </c>
      <c r="C8376" s="2" t="s">
        <v>95</v>
      </c>
      <c r="D8376" s="2" t="s">
        <v>1267</v>
      </c>
      <c r="E8376" s="2" t="s">
        <v>849</v>
      </c>
      <c r="F8376" s="4">
        <v>7372</v>
      </c>
      <c r="G8376" s="2" t="s">
        <v>551</v>
      </c>
      <c r="H8376" s="2" t="s">
        <v>34</v>
      </c>
      <c r="I8376" s="2" t="s">
        <v>18711</v>
      </c>
      <c r="J8376" s="2" t="s">
        <v>7424</v>
      </c>
      <c r="K8376" s="2" t="s">
        <v>223</v>
      </c>
      <c r="L8376" s="2" t="s">
        <v>34</v>
      </c>
      <c r="M8376" s="7">
        <v>330.81599999999997</v>
      </c>
      <c r="N8376" s="6">
        <v>20.49</v>
      </c>
      <c r="O8376" s="6">
        <v>23.25</v>
      </c>
      <c r="P8376" s="2" t="s">
        <v>24941</v>
      </c>
      <c r="Q8376" s="6">
        <v>100</v>
      </c>
      <c r="R8376" s="6">
        <v>52.75</v>
      </c>
      <c r="S8376" s="5">
        <v>75</v>
      </c>
      <c r="T8376" s="7">
        <v>175.50399999999999</v>
      </c>
      <c r="U8376" s="5">
        <v>11.9</v>
      </c>
      <c r="V8376" s="6">
        <v>2.76</v>
      </c>
      <c r="W8376" s="6">
        <v>44.15</v>
      </c>
      <c r="X8376" s="6">
        <v>44.47</v>
      </c>
      <c r="Y8376" s="6">
        <v>50.31</v>
      </c>
      <c r="Z8376" s="6">
        <v>49.88</v>
      </c>
      <c r="AA8376" s="6">
        <v>25.55</v>
      </c>
      <c r="AB8376" s="7">
        <v>12.407</v>
      </c>
      <c r="AC8376" s="5">
        <v>85.7</v>
      </c>
    </row>
    <row r="8377" spans="1:29" ht="91" x14ac:dyDescent="0.15">
      <c r="A8377" s="3">
        <f>DATE(2006,12,20)</f>
        <v>39071</v>
      </c>
      <c r="B8377" s="3">
        <f>DATE(2007,6,1)</f>
        <v>39234</v>
      </c>
      <c r="C8377" s="2" t="s">
        <v>95</v>
      </c>
      <c r="D8377" s="2" t="s">
        <v>24942</v>
      </c>
      <c r="E8377" s="2" t="s">
        <v>6180</v>
      </c>
      <c r="F8377" s="4">
        <v>8099</v>
      </c>
      <c r="G8377" s="2" t="s">
        <v>454</v>
      </c>
      <c r="H8377" s="2" t="s">
        <v>34</v>
      </c>
      <c r="I8377" s="2" t="s">
        <v>20786</v>
      </c>
      <c r="J8377" s="2" t="s">
        <v>20787</v>
      </c>
      <c r="K8377" s="2" t="s">
        <v>454</v>
      </c>
      <c r="L8377" s="2" t="s">
        <v>34</v>
      </c>
      <c r="M8377" s="12">
        <v>1912.568</v>
      </c>
      <c r="N8377" s="6">
        <v>36.08</v>
      </c>
      <c r="O8377" s="5">
        <v>37.6</v>
      </c>
      <c r="P8377" s="2" t="s">
        <v>24943</v>
      </c>
      <c r="Q8377" s="6">
        <v>100</v>
      </c>
      <c r="R8377" s="6">
        <v>20</v>
      </c>
      <c r="S8377" s="5">
        <v>12.2</v>
      </c>
      <c r="T8377" s="7">
        <v>34.084000000000003</v>
      </c>
      <c r="U8377" s="5">
        <v>10.8</v>
      </c>
      <c r="V8377" s="6">
        <v>0.8</v>
      </c>
      <c r="W8377" s="6">
        <v>16.27</v>
      </c>
      <c r="X8377" s="6">
        <v>15.94</v>
      </c>
      <c r="Y8377" s="6">
        <v>16.13</v>
      </c>
      <c r="Z8377" s="6">
        <v>19.36</v>
      </c>
      <c r="AA8377" s="6">
        <v>15.06</v>
      </c>
      <c r="AB8377" s="7">
        <v>14.904</v>
      </c>
      <c r="AC8377" s="6">
        <v>10.47</v>
      </c>
    </row>
    <row r="8378" spans="1:29" ht="169" x14ac:dyDescent="0.15">
      <c r="A8378" s="3">
        <f>DATE(2006,12,20)</f>
        <v>39071</v>
      </c>
      <c r="B8378" s="3">
        <f>DATE(2007,4,2)</f>
        <v>39174</v>
      </c>
      <c r="C8378" s="2" t="s">
        <v>95</v>
      </c>
      <c r="D8378" s="2" t="s">
        <v>24106</v>
      </c>
      <c r="E8378" s="2" t="s">
        <v>24107</v>
      </c>
      <c r="F8378" s="4">
        <v>7382</v>
      </c>
      <c r="G8378" s="2" t="s">
        <v>223</v>
      </c>
      <c r="H8378" s="2" t="s">
        <v>34</v>
      </c>
      <c r="I8378" s="2" t="s">
        <v>10213</v>
      </c>
      <c r="J8378" s="2" t="s">
        <v>24944</v>
      </c>
      <c r="K8378" s="2" t="s">
        <v>921</v>
      </c>
      <c r="L8378" s="2" t="s">
        <v>34</v>
      </c>
      <c r="M8378" s="7">
        <v>227.08699999999999</v>
      </c>
      <c r="N8378" s="4">
        <v>12</v>
      </c>
      <c r="O8378" s="6">
        <v>12.25</v>
      </c>
      <c r="P8378" s="2" t="s">
        <v>24945</v>
      </c>
      <c r="Q8378" s="6">
        <v>100</v>
      </c>
      <c r="R8378" s="6">
        <v>3.48</v>
      </c>
      <c r="S8378" s="5">
        <v>-87.2</v>
      </c>
      <c r="T8378" s="7">
        <v>20.077999999999999</v>
      </c>
      <c r="U8378" s="5">
        <v>1.7</v>
      </c>
      <c r="V8378" s="6">
        <v>-3.58</v>
      </c>
      <c r="W8378" s="6">
        <v>3.02</v>
      </c>
      <c r="X8378" s="6">
        <v>2.93</v>
      </c>
      <c r="Y8378" s="5">
        <v>2.9</v>
      </c>
      <c r="Z8378" s="5">
        <v>3.2</v>
      </c>
      <c r="AA8378" s="6">
        <v>24.37</v>
      </c>
      <c r="AB8378" s="2" t="s">
        <v>86</v>
      </c>
      <c r="AC8378" s="6">
        <v>20.53</v>
      </c>
    </row>
    <row r="8379" spans="1:29" ht="156" x14ac:dyDescent="0.15">
      <c r="A8379" s="3">
        <f>DATE(2006,12,20)</f>
        <v>39071</v>
      </c>
      <c r="B8379" s="3">
        <f>DATE(2007,7,1)</f>
        <v>39264</v>
      </c>
      <c r="C8379" s="2" t="s">
        <v>95</v>
      </c>
      <c r="D8379" s="2" t="s">
        <v>13442</v>
      </c>
      <c r="E8379" s="2" t="s">
        <v>3246</v>
      </c>
      <c r="F8379" s="4">
        <v>6021</v>
      </c>
      <c r="G8379" s="2" t="s">
        <v>37</v>
      </c>
      <c r="H8379" s="2" t="s">
        <v>34</v>
      </c>
      <c r="I8379" s="2" t="s">
        <v>390</v>
      </c>
      <c r="J8379" s="2" t="s">
        <v>159</v>
      </c>
      <c r="K8379" s="2" t="s">
        <v>37</v>
      </c>
      <c r="L8379" s="2" t="s">
        <v>34</v>
      </c>
      <c r="M8379" s="12">
        <v>5883.7439999999997</v>
      </c>
      <c r="N8379" s="5">
        <v>24.7</v>
      </c>
      <c r="O8379" s="6">
        <v>22.96</v>
      </c>
      <c r="P8379" s="2" t="s">
        <v>24946</v>
      </c>
      <c r="Q8379" s="6">
        <v>100</v>
      </c>
      <c r="R8379" s="6">
        <v>30.22</v>
      </c>
      <c r="S8379" s="5">
        <v>201.5</v>
      </c>
      <c r="T8379" s="2"/>
      <c r="U8379" s="5">
        <v>15.1</v>
      </c>
      <c r="V8379" s="6">
        <v>1.84</v>
      </c>
      <c r="W8379" s="5">
        <v>24.3</v>
      </c>
      <c r="X8379" s="6">
        <v>24.17</v>
      </c>
      <c r="Y8379" s="6">
        <v>24.29</v>
      </c>
      <c r="Z8379" s="6">
        <v>27.69</v>
      </c>
      <c r="AA8379" s="6">
        <v>109.01</v>
      </c>
      <c r="AB8379" s="7">
        <v>19.606999999999999</v>
      </c>
      <c r="AC8379" s="2"/>
    </row>
    <row r="8380" spans="1:29" ht="156" x14ac:dyDescent="0.15">
      <c r="A8380" s="3">
        <f>DATE(2006,12,21)</f>
        <v>39072</v>
      </c>
      <c r="B8380" s="3">
        <f>DATE(2007,5,1)</f>
        <v>39203</v>
      </c>
      <c r="C8380" s="2" t="s">
        <v>95</v>
      </c>
      <c r="D8380" s="2" t="s">
        <v>24947</v>
      </c>
      <c r="E8380" s="2" t="s">
        <v>263</v>
      </c>
      <c r="F8380" s="4">
        <v>6712</v>
      </c>
      <c r="G8380" s="2" t="s">
        <v>37</v>
      </c>
      <c r="H8380" s="2" t="s">
        <v>34</v>
      </c>
      <c r="I8380" s="2" t="s">
        <v>24948</v>
      </c>
      <c r="J8380" s="2" t="s">
        <v>159</v>
      </c>
      <c r="K8380" s="2" t="s">
        <v>37</v>
      </c>
      <c r="L8380" s="2" t="s">
        <v>34</v>
      </c>
      <c r="M8380" s="7">
        <v>183.88800000000001</v>
      </c>
      <c r="N8380" s="5">
        <v>21.5</v>
      </c>
      <c r="O8380" s="6">
        <v>21.75</v>
      </c>
      <c r="P8380" s="2" t="s">
        <v>24949</v>
      </c>
      <c r="Q8380" s="6">
        <v>100</v>
      </c>
      <c r="R8380" s="6">
        <v>28.62</v>
      </c>
      <c r="S8380" s="2"/>
      <c r="T8380" s="2"/>
      <c r="U8380" s="2"/>
      <c r="V8380" s="2"/>
      <c r="W8380" s="6">
        <v>20.25</v>
      </c>
      <c r="X8380" s="6">
        <v>20.45</v>
      </c>
      <c r="Y8380" s="6">
        <v>20.45</v>
      </c>
      <c r="Z8380" s="5">
        <v>27.7</v>
      </c>
      <c r="AA8380" s="6">
        <v>1.02</v>
      </c>
      <c r="AB8380" s="2" t="s">
        <v>47</v>
      </c>
      <c r="AC8380" s="2"/>
    </row>
    <row r="8381" spans="1:29" ht="130" x14ac:dyDescent="0.15">
      <c r="A8381" s="3">
        <f>DATE(2006,12,21)</f>
        <v>39072</v>
      </c>
      <c r="B8381" s="3">
        <f>DATE(2007,11,1)</f>
        <v>39387</v>
      </c>
      <c r="C8381" s="2" t="s">
        <v>95</v>
      </c>
      <c r="D8381" s="2" t="s">
        <v>24950</v>
      </c>
      <c r="E8381" s="2" t="s">
        <v>92</v>
      </c>
      <c r="F8381" s="4">
        <v>6798</v>
      </c>
      <c r="G8381" s="2" t="s">
        <v>53</v>
      </c>
      <c r="H8381" s="2" t="s">
        <v>34</v>
      </c>
      <c r="I8381" s="2" t="s">
        <v>24951</v>
      </c>
      <c r="J8381" s="2" t="s">
        <v>24952</v>
      </c>
      <c r="K8381" s="2" t="s">
        <v>454</v>
      </c>
      <c r="L8381" s="2" t="s">
        <v>34</v>
      </c>
      <c r="M8381" s="7">
        <v>671.995</v>
      </c>
      <c r="N8381" s="6">
        <v>55.15</v>
      </c>
      <c r="O8381" s="6">
        <v>55.28</v>
      </c>
      <c r="P8381" s="2" t="s">
        <v>24953</v>
      </c>
      <c r="Q8381" s="6">
        <v>100</v>
      </c>
      <c r="R8381" s="6">
        <v>22.58</v>
      </c>
      <c r="S8381" s="5">
        <v>11.9</v>
      </c>
      <c r="T8381" s="7">
        <v>19.016999999999999</v>
      </c>
      <c r="U8381" s="5">
        <v>11.3</v>
      </c>
      <c r="V8381" s="6">
        <v>1.2</v>
      </c>
      <c r="W8381" s="6">
        <v>21.01</v>
      </c>
      <c r="X8381" s="6">
        <v>21.29</v>
      </c>
      <c r="Y8381" s="6">
        <v>24.26</v>
      </c>
      <c r="Z8381" s="6">
        <v>24.32</v>
      </c>
      <c r="AA8381" s="6">
        <v>9.9499999999999993</v>
      </c>
      <c r="AB8381" s="7">
        <v>16.405999999999999</v>
      </c>
      <c r="AC8381" s="6">
        <v>213.27</v>
      </c>
    </row>
    <row r="8382" spans="1:29" ht="169" x14ac:dyDescent="0.15">
      <c r="A8382" s="3">
        <f>DATE(2006,12,21)</f>
        <v>39072</v>
      </c>
      <c r="B8382" s="3">
        <f>DATE(2007,2,16)</f>
        <v>39129</v>
      </c>
      <c r="C8382" s="2" t="s">
        <v>95</v>
      </c>
      <c r="D8382" s="2" t="s">
        <v>24954</v>
      </c>
      <c r="E8382" s="2" t="s">
        <v>6378</v>
      </c>
      <c r="F8382" s="4">
        <v>2836</v>
      </c>
      <c r="G8382" s="2" t="s">
        <v>130</v>
      </c>
      <c r="H8382" s="2" t="s">
        <v>34</v>
      </c>
      <c r="I8382" s="2" t="s">
        <v>22912</v>
      </c>
      <c r="J8382" s="2" t="s">
        <v>13055</v>
      </c>
      <c r="K8382" s="2" t="s">
        <v>130</v>
      </c>
      <c r="L8382" s="2" t="s">
        <v>303</v>
      </c>
      <c r="M8382" s="12">
        <v>148338.68400000001</v>
      </c>
      <c r="N8382" s="7">
        <v>26.113</v>
      </c>
      <c r="O8382" s="7">
        <v>26.207000000000001</v>
      </c>
      <c r="P8382" s="2" t="s">
        <v>24955</v>
      </c>
      <c r="Q8382" s="6">
        <v>82</v>
      </c>
      <c r="R8382" s="6">
        <v>5</v>
      </c>
      <c r="S8382" s="5">
        <v>-30.2</v>
      </c>
      <c r="T8382" s="7">
        <v>-30.757000000000001</v>
      </c>
      <c r="U8382" s="5">
        <v>2.4</v>
      </c>
      <c r="V8382" s="6">
        <v>-2.85</v>
      </c>
      <c r="W8382" s="6">
        <v>1.98</v>
      </c>
      <c r="X8382" s="4">
        <v>2</v>
      </c>
      <c r="Y8382" s="6">
        <v>4.8899999999999997</v>
      </c>
      <c r="Z8382" s="5">
        <v>4.9000000000000004</v>
      </c>
      <c r="AA8382" s="6">
        <v>10.75</v>
      </c>
      <c r="AB8382" s="2" t="s">
        <v>86</v>
      </c>
      <c r="AC8382" s="10">
        <v>6340.8</v>
      </c>
    </row>
    <row r="8383" spans="1:29" ht="182" x14ac:dyDescent="0.15">
      <c r="A8383" s="3">
        <f>DATE(2006,12,22)</f>
        <v>39073</v>
      </c>
      <c r="B8383" s="3">
        <f>DATE(2007,4,20)</f>
        <v>39192</v>
      </c>
      <c r="C8383" s="2" t="s">
        <v>95</v>
      </c>
      <c r="D8383" s="2" t="s">
        <v>24956</v>
      </c>
      <c r="E8383" s="2" t="s">
        <v>24957</v>
      </c>
      <c r="F8383" s="4">
        <v>5012</v>
      </c>
      <c r="G8383" s="2" t="s">
        <v>76</v>
      </c>
      <c r="H8383" s="2" t="s">
        <v>34</v>
      </c>
      <c r="I8383" s="2" t="s">
        <v>24958</v>
      </c>
      <c r="J8383" s="2" t="s">
        <v>11337</v>
      </c>
      <c r="K8383" s="2" t="s">
        <v>53</v>
      </c>
      <c r="L8383" s="2" t="s">
        <v>34</v>
      </c>
      <c r="M8383" s="2"/>
      <c r="N8383" s="2"/>
      <c r="O8383" s="2"/>
      <c r="P8383" s="2" t="s">
        <v>24959</v>
      </c>
      <c r="Q8383" s="6">
        <v>100</v>
      </c>
      <c r="R8383" s="6">
        <v>27.85</v>
      </c>
      <c r="S8383" s="5">
        <v>130.19999999999999</v>
      </c>
      <c r="T8383" s="5">
        <v>274.8</v>
      </c>
      <c r="U8383" s="5">
        <v>13.3</v>
      </c>
      <c r="V8383" s="6">
        <v>1.45</v>
      </c>
      <c r="W8383" s="6">
        <v>25.81</v>
      </c>
      <c r="X8383" s="5">
        <v>25.4</v>
      </c>
      <c r="Y8383" s="6">
        <v>27.78</v>
      </c>
      <c r="Z8383" s="6">
        <v>27.78</v>
      </c>
      <c r="AA8383" s="6">
        <v>89.94</v>
      </c>
      <c r="AB8383" s="7">
        <v>11.722</v>
      </c>
      <c r="AC8383" s="2"/>
    </row>
    <row r="8384" spans="1:29" ht="143" x14ac:dyDescent="0.15">
      <c r="A8384" s="3">
        <f>DATE(2006,12,26)</f>
        <v>39077</v>
      </c>
      <c r="B8384" s="3">
        <f>DATE(2007,11,27)</f>
        <v>39413</v>
      </c>
      <c r="C8384" s="2" t="s">
        <v>95</v>
      </c>
      <c r="D8384" s="2" t="s">
        <v>24960</v>
      </c>
      <c r="E8384" s="2" t="s">
        <v>24961</v>
      </c>
      <c r="F8384" s="4">
        <v>1094</v>
      </c>
      <c r="G8384" s="2" t="s">
        <v>166</v>
      </c>
      <c r="H8384" s="2" t="s">
        <v>34</v>
      </c>
      <c r="I8384" s="2" t="s">
        <v>24962</v>
      </c>
      <c r="J8384" s="2" t="s">
        <v>24963</v>
      </c>
      <c r="K8384" s="2" t="s">
        <v>148</v>
      </c>
      <c r="L8384" s="2" t="s">
        <v>34</v>
      </c>
      <c r="M8384" s="7">
        <v>105.813</v>
      </c>
      <c r="N8384" s="6">
        <v>5.04</v>
      </c>
      <c r="O8384" s="6">
        <v>5.0599999999999996</v>
      </c>
      <c r="P8384" s="2" t="s">
        <v>24964</v>
      </c>
      <c r="Q8384" s="6">
        <v>35.39</v>
      </c>
      <c r="R8384" s="6">
        <v>2.57</v>
      </c>
      <c r="S8384" s="5">
        <v>-4.8</v>
      </c>
      <c r="T8384" s="2"/>
      <c r="U8384" s="5">
        <v>-0.5</v>
      </c>
      <c r="V8384" s="6">
        <v>-0.28999999999999998</v>
      </c>
      <c r="W8384" s="6">
        <v>2.1800000000000002</v>
      </c>
      <c r="X8384" s="5">
        <v>2.2000000000000002</v>
      </c>
      <c r="Y8384" s="6">
        <v>2.4500000000000002</v>
      </c>
      <c r="Z8384" s="6">
        <v>2.46</v>
      </c>
      <c r="AA8384" s="6">
        <v>17.18</v>
      </c>
      <c r="AB8384" s="2" t="s">
        <v>86</v>
      </c>
      <c r="AC8384" s="6">
        <v>21.03</v>
      </c>
    </row>
    <row r="8385" spans="1:29" ht="104" x14ac:dyDescent="0.15">
      <c r="A8385" s="3">
        <f>DATE(2006,12,27)</f>
        <v>39078</v>
      </c>
      <c r="B8385" s="3">
        <f>DATE(2007,3,7)</f>
        <v>39148</v>
      </c>
      <c r="C8385" s="2" t="s">
        <v>95</v>
      </c>
      <c r="D8385" s="2" t="s">
        <v>24965</v>
      </c>
      <c r="E8385" s="2" t="s">
        <v>24966</v>
      </c>
      <c r="F8385" s="4">
        <v>7336</v>
      </c>
      <c r="G8385" s="2" t="s">
        <v>223</v>
      </c>
      <c r="H8385" s="2" t="s">
        <v>34</v>
      </c>
      <c r="I8385" s="2" t="s">
        <v>24416</v>
      </c>
      <c r="J8385" s="2" t="s">
        <v>24417</v>
      </c>
      <c r="K8385" s="2" t="s">
        <v>186</v>
      </c>
      <c r="L8385" s="2" t="s">
        <v>34</v>
      </c>
      <c r="M8385" s="12">
        <v>1075.4870000000001</v>
      </c>
      <c r="N8385" s="5">
        <v>21.7</v>
      </c>
      <c r="O8385" s="6">
        <v>21.52</v>
      </c>
      <c r="P8385" s="2" t="s">
        <v>24967</v>
      </c>
      <c r="Q8385" s="6">
        <v>100</v>
      </c>
      <c r="R8385" s="6">
        <v>24.75</v>
      </c>
      <c r="S8385" s="5">
        <v>3.7</v>
      </c>
      <c r="T8385" s="7">
        <v>35.436</v>
      </c>
      <c r="U8385" s="5">
        <v>6.7</v>
      </c>
      <c r="V8385" s="6">
        <v>0.4</v>
      </c>
      <c r="W8385" s="4">
        <v>20</v>
      </c>
      <c r="X8385" s="6">
        <v>20.98</v>
      </c>
      <c r="Y8385" s="6">
        <v>24.46</v>
      </c>
      <c r="Z8385" s="5">
        <v>24.7</v>
      </c>
      <c r="AA8385" s="6">
        <v>9.5299999999999994</v>
      </c>
      <c r="AB8385" s="7">
        <v>27.535</v>
      </c>
      <c r="AC8385" s="6">
        <v>0.84</v>
      </c>
    </row>
    <row r="8386" spans="1:29" ht="91" x14ac:dyDescent="0.15">
      <c r="A8386" s="3">
        <f>DATE(2006,12,29)</f>
        <v>39080</v>
      </c>
      <c r="B8386" s="3">
        <f>DATE(2007,4,3)</f>
        <v>39175</v>
      </c>
      <c r="C8386" s="2" t="s">
        <v>95</v>
      </c>
      <c r="D8386" s="2" t="s">
        <v>24968</v>
      </c>
      <c r="E8386" s="2" t="s">
        <v>24969</v>
      </c>
      <c r="F8386" s="4">
        <v>7374</v>
      </c>
      <c r="G8386" s="2" t="s">
        <v>223</v>
      </c>
      <c r="H8386" s="2" t="s">
        <v>34</v>
      </c>
      <c r="I8386" s="2" t="s">
        <v>17208</v>
      </c>
      <c r="J8386" s="2" t="s">
        <v>17209</v>
      </c>
      <c r="K8386" s="2" t="s">
        <v>223</v>
      </c>
      <c r="L8386" s="2" t="s">
        <v>34</v>
      </c>
      <c r="M8386" s="12">
        <v>3569.7890000000002</v>
      </c>
      <c r="N8386" s="6">
        <v>40.159999999999997</v>
      </c>
      <c r="O8386" s="6">
        <v>40.159999999999997</v>
      </c>
      <c r="P8386" s="2" t="s">
        <v>24970</v>
      </c>
      <c r="Q8386" s="6">
        <v>100</v>
      </c>
      <c r="R8386" s="6">
        <v>8.0500000000000007</v>
      </c>
      <c r="S8386" s="5">
        <v>1.4</v>
      </c>
      <c r="T8386" s="7">
        <v>11.763</v>
      </c>
      <c r="U8386" s="5">
        <v>2.2999999999999998</v>
      </c>
      <c r="V8386" s="6">
        <v>0.06</v>
      </c>
      <c r="W8386" s="5">
        <v>7.6</v>
      </c>
      <c r="X8386" s="6">
        <v>7.42</v>
      </c>
      <c r="Y8386" s="6">
        <v>7.64</v>
      </c>
      <c r="Z8386" s="6">
        <v>7.64</v>
      </c>
      <c r="AA8386" s="6">
        <v>25.64</v>
      </c>
      <c r="AB8386" s="7">
        <v>145.21600000000001</v>
      </c>
      <c r="AC8386" s="5">
        <v>251.9</v>
      </c>
    </row>
    <row r="8387" spans="1:29" ht="247" x14ac:dyDescent="0.15">
      <c r="A8387" s="3">
        <f>DATE(2007,1,2)</f>
        <v>39084</v>
      </c>
      <c r="B8387" s="2"/>
      <c r="C8387" s="2" t="s">
        <v>30</v>
      </c>
      <c r="D8387" s="2" t="s">
        <v>17188</v>
      </c>
      <c r="E8387" s="2" t="s">
        <v>17189</v>
      </c>
      <c r="F8387" s="4">
        <v>4214</v>
      </c>
      <c r="G8387" s="2" t="s">
        <v>173</v>
      </c>
      <c r="H8387" s="2" t="s">
        <v>34</v>
      </c>
      <c r="I8387" s="2" t="s">
        <v>51</v>
      </c>
      <c r="J8387" s="2" t="s">
        <v>52</v>
      </c>
      <c r="K8387" s="2" t="s">
        <v>53</v>
      </c>
      <c r="L8387" s="2" t="s">
        <v>34</v>
      </c>
      <c r="M8387" s="2"/>
      <c r="N8387" s="2"/>
      <c r="O8387" s="2"/>
      <c r="P8387" s="2" t="s">
        <v>24971</v>
      </c>
      <c r="Q8387" s="2"/>
      <c r="R8387" s="6">
        <v>46.25</v>
      </c>
      <c r="S8387" s="5">
        <v>62.5</v>
      </c>
      <c r="T8387" s="7">
        <v>136.375</v>
      </c>
      <c r="U8387" s="5">
        <v>10.7</v>
      </c>
      <c r="V8387" s="6">
        <v>1.53</v>
      </c>
      <c r="W8387" s="6">
        <v>29.09</v>
      </c>
      <c r="X8387" s="6">
        <v>29.78</v>
      </c>
      <c r="Y8387" s="6">
        <v>29.78</v>
      </c>
      <c r="Z8387" s="5">
        <v>38.1</v>
      </c>
      <c r="AA8387" s="6">
        <v>40.69</v>
      </c>
      <c r="AB8387" s="7">
        <v>18.498000000000001</v>
      </c>
      <c r="AC8387" s="2"/>
    </row>
    <row r="8388" spans="1:29" ht="117" x14ac:dyDescent="0.15">
      <c r="A8388" s="3">
        <f>DATE(2007,1,3)</f>
        <v>39085</v>
      </c>
      <c r="B8388" s="3">
        <f>DATE(2007,4,30)</f>
        <v>39202</v>
      </c>
      <c r="C8388" s="2" t="s">
        <v>95</v>
      </c>
      <c r="D8388" s="2" t="s">
        <v>22947</v>
      </c>
      <c r="E8388" s="2" t="s">
        <v>20944</v>
      </c>
      <c r="F8388" s="4">
        <v>5961</v>
      </c>
      <c r="G8388" s="2" t="s">
        <v>73</v>
      </c>
      <c r="H8388" s="2" t="s">
        <v>34</v>
      </c>
      <c r="I8388" s="2" t="s">
        <v>51</v>
      </c>
      <c r="J8388" s="2" t="s">
        <v>52</v>
      </c>
      <c r="K8388" s="2" t="s">
        <v>53</v>
      </c>
      <c r="L8388" s="2" t="s">
        <v>34</v>
      </c>
      <c r="M8388" s="2"/>
      <c r="N8388" s="2"/>
      <c r="O8388" s="2"/>
      <c r="P8388" s="2" t="s">
        <v>24972</v>
      </c>
      <c r="Q8388" s="6">
        <v>92.13</v>
      </c>
      <c r="R8388" s="6">
        <v>42.5</v>
      </c>
      <c r="S8388" s="5">
        <v>0.2</v>
      </c>
      <c r="T8388" s="7">
        <v>-0.35499999999999998</v>
      </c>
      <c r="U8388" s="5">
        <v>31.3</v>
      </c>
      <c r="V8388" s="6">
        <v>0.06</v>
      </c>
      <c r="W8388" s="6">
        <v>32.78</v>
      </c>
      <c r="X8388" s="6">
        <v>32.75</v>
      </c>
      <c r="Y8388" s="5">
        <v>33.799999999999997</v>
      </c>
      <c r="Z8388" s="5">
        <v>34.1</v>
      </c>
      <c r="AA8388" s="6">
        <v>3.84</v>
      </c>
      <c r="AB8388" s="2" t="s">
        <v>86</v>
      </c>
      <c r="AC8388" s="2"/>
    </row>
    <row r="8389" spans="1:29" ht="78" x14ac:dyDescent="0.15">
      <c r="A8389" s="3">
        <f>DATE(2007,1,5)</f>
        <v>39087</v>
      </c>
      <c r="B8389" s="3">
        <f>DATE(2007,7,30)</f>
        <v>39293</v>
      </c>
      <c r="C8389" s="2" t="s">
        <v>95</v>
      </c>
      <c r="D8389" s="2" t="s">
        <v>24973</v>
      </c>
      <c r="E8389" s="2" t="s">
        <v>389</v>
      </c>
      <c r="F8389" s="4">
        <v>6035</v>
      </c>
      <c r="G8389" s="2" t="s">
        <v>33</v>
      </c>
      <c r="H8389" s="2" t="s">
        <v>34</v>
      </c>
      <c r="I8389" s="2" t="s">
        <v>24974</v>
      </c>
      <c r="J8389" s="2" t="s">
        <v>1181</v>
      </c>
      <c r="K8389" s="2" t="s">
        <v>37</v>
      </c>
      <c r="L8389" s="2" t="s">
        <v>34</v>
      </c>
      <c r="M8389" s="2"/>
      <c r="N8389" s="6">
        <v>23.42</v>
      </c>
      <c r="O8389" s="6">
        <v>23.42</v>
      </c>
      <c r="P8389" s="2" t="s">
        <v>24975</v>
      </c>
      <c r="Q8389" s="6">
        <v>100</v>
      </c>
      <c r="R8389" s="6">
        <v>17.600000000000001</v>
      </c>
      <c r="S8389" s="2"/>
      <c r="T8389" s="2"/>
      <c r="U8389" s="2"/>
      <c r="V8389" s="2"/>
      <c r="W8389" s="6">
        <v>10.55</v>
      </c>
      <c r="X8389" s="6">
        <v>10.55</v>
      </c>
      <c r="Y8389" s="6">
        <v>17.05</v>
      </c>
      <c r="Z8389" s="5">
        <v>17.3</v>
      </c>
      <c r="AA8389" s="6">
        <v>0.79</v>
      </c>
      <c r="AB8389" s="2" t="s">
        <v>47</v>
      </c>
      <c r="AC8389" s="2"/>
    </row>
    <row r="8390" spans="1:29" ht="78" x14ac:dyDescent="0.15">
      <c r="A8390" s="3">
        <f>DATE(2007,1,5)</f>
        <v>39087</v>
      </c>
      <c r="B8390" s="3">
        <f>DATE(2007,4,2)</f>
        <v>39174</v>
      </c>
      <c r="C8390" s="2" t="s">
        <v>95</v>
      </c>
      <c r="D8390" s="2" t="s">
        <v>24976</v>
      </c>
      <c r="E8390" s="2" t="s">
        <v>24977</v>
      </c>
      <c r="F8390" s="4">
        <v>3845</v>
      </c>
      <c r="G8390" s="2" t="s">
        <v>226</v>
      </c>
      <c r="H8390" s="2" t="s">
        <v>34</v>
      </c>
      <c r="I8390" s="2" t="s">
        <v>22480</v>
      </c>
      <c r="J8390" s="2" t="s">
        <v>22481</v>
      </c>
      <c r="K8390" s="2" t="s">
        <v>226</v>
      </c>
      <c r="L8390" s="2" t="s">
        <v>34</v>
      </c>
      <c r="M8390" s="12">
        <v>2152.0940000000001</v>
      </c>
      <c r="N8390" s="6">
        <v>33.99</v>
      </c>
      <c r="O8390" s="6">
        <v>35.61</v>
      </c>
      <c r="P8390" s="2" t="s">
        <v>24978</v>
      </c>
      <c r="Q8390" s="6">
        <v>100</v>
      </c>
      <c r="R8390" s="6">
        <v>25</v>
      </c>
      <c r="S8390" s="5">
        <v>24.3</v>
      </c>
      <c r="T8390" s="7">
        <v>14.366</v>
      </c>
      <c r="U8390" s="5">
        <v>5.3</v>
      </c>
      <c r="V8390" s="6">
        <v>0.78</v>
      </c>
      <c r="W8390" s="6">
        <v>22.38</v>
      </c>
      <c r="X8390" s="6">
        <v>22.51</v>
      </c>
      <c r="Y8390" s="6">
        <v>22.23</v>
      </c>
      <c r="Z8390" s="6">
        <v>24.51</v>
      </c>
      <c r="AA8390" s="6">
        <v>28.73</v>
      </c>
      <c r="AB8390" s="7">
        <v>80.028000000000006</v>
      </c>
      <c r="AC8390" s="6">
        <v>34.520000000000003</v>
      </c>
    </row>
    <row r="8391" spans="1:29" ht="143" x14ac:dyDescent="0.15">
      <c r="A8391" s="3">
        <f>DATE(2007,1,5)</f>
        <v>39087</v>
      </c>
      <c r="B8391" s="3">
        <f>DATE(2007,7,31)</f>
        <v>39294</v>
      </c>
      <c r="C8391" s="2" t="s">
        <v>95</v>
      </c>
      <c r="D8391" s="2" t="s">
        <v>24979</v>
      </c>
      <c r="E8391" s="2" t="s">
        <v>24980</v>
      </c>
      <c r="F8391" s="4">
        <v>7372</v>
      </c>
      <c r="G8391" s="2" t="s">
        <v>551</v>
      </c>
      <c r="H8391" s="2" t="s">
        <v>34</v>
      </c>
      <c r="I8391" s="2" t="s">
        <v>24981</v>
      </c>
      <c r="J8391" s="2" t="s">
        <v>24982</v>
      </c>
      <c r="K8391" s="2" t="s">
        <v>73</v>
      </c>
      <c r="L8391" s="2" t="s">
        <v>34</v>
      </c>
      <c r="M8391" s="7">
        <v>7.4630000000000001</v>
      </c>
      <c r="N8391" s="6">
        <v>0.31</v>
      </c>
      <c r="O8391" s="6">
        <v>0.31</v>
      </c>
      <c r="P8391" s="2" t="s">
        <v>24983</v>
      </c>
      <c r="Q8391" s="6">
        <v>100</v>
      </c>
      <c r="R8391" s="6">
        <v>1.08</v>
      </c>
      <c r="S8391" s="5">
        <v>-1.9</v>
      </c>
      <c r="T8391" s="7">
        <v>-1.887</v>
      </c>
      <c r="U8391" s="5">
        <v>1.2</v>
      </c>
      <c r="V8391" s="6">
        <v>-0.6</v>
      </c>
      <c r="W8391" s="6">
        <v>1.1299999999999999</v>
      </c>
      <c r="X8391" s="6">
        <v>1.1200000000000001</v>
      </c>
      <c r="Y8391" s="6">
        <v>1.1499999999999999</v>
      </c>
      <c r="Z8391" s="6">
        <v>1.1599999999999999</v>
      </c>
      <c r="AA8391" s="6">
        <v>3.21</v>
      </c>
      <c r="AB8391" s="2" t="s">
        <v>86</v>
      </c>
      <c r="AC8391" s="6">
        <v>2.94</v>
      </c>
    </row>
    <row r="8392" spans="1:29" ht="91" x14ac:dyDescent="0.15">
      <c r="A8392" s="3">
        <f>DATE(2007,1,5)</f>
        <v>39087</v>
      </c>
      <c r="B8392" s="3">
        <f>DATE(2007,7,6)</f>
        <v>39269</v>
      </c>
      <c r="C8392" s="2" t="s">
        <v>95</v>
      </c>
      <c r="D8392" s="2" t="s">
        <v>24984</v>
      </c>
      <c r="E8392" s="2" t="s">
        <v>159</v>
      </c>
      <c r="F8392" s="4">
        <v>6021</v>
      </c>
      <c r="G8392" s="2" t="s">
        <v>37</v>
      </c>
      <c r="H8392" s="2" t="s">
        <v>34</v>
      </c>
      <c r="I8392" s="2" t="s">
        <v>19245</v>
      </c>
      <c r="J8392" s="2" t="s">
        <v>159</v>
      </c>
      <c r="K8392" s="2" t="s">
        <v>37</v>
      </c>
      <c r="L8392" s="2" t="s">
        <v>34</v>
      </c>
      <c r="M8392" s="12">
        <v>1409.182</v>
      </c>
      <c r="N8392" s="6">
        <v>26.37</v>
      </c>
      <c r="O8392" s="6">
        <v>26.23</v>
      </c>
      <c r="P8392" s="2" t="s">
        <v>24985</v>
      </c>
      <c r="Q8392" s="6">
        <v>100</v>
      </c>
      <c r="R8392" s="6">
        <v>31</v>
      </c>
      <c r="S8392" s="2"/>
      <c r="T8392" s="2"/>
      <c r="U8392" s="2"/>
      <c r="V8392" s="2"/>
      <c r="W8392" s="5">
        <v>22.5</v>
      </c>
      <c r="X8392" s="6">
        <v>23.25</v>
      </c>
      <c r="Y8392" s="6">
        <v>30.25</v>
      </c>
      <c r="Z8392" s="6">
        <v>30.25</v>
      </c>
      <c r="AA8392" s="6">
        <v>1.07</v>
      </c>
      <c r="AB8392" s="2" t="s">
        <v>47</v>
      </c>
      <c r="AC8392" s="2"/>
    </row>
    <row r="8393" spans="1:29" ht="156" x14ac:dyDescent="0.15">
      <c r="A8393" s="3">
        <f>DATE(2007,1,7)</f>
        <v>39089</v>
      </c>
      <c r="B8393" s="3">
        <f>DATE(2007,6,6)</f>
        <v>39239</v>
      </c>
      <c r="C8393" s="2" t="s">
        <v>95</v>
      </c>
      <c r="D8393" s="2" t="s">
        <v>20143</v>
      </c>
      <c r="E8393" s="2" t="s">
        <v>1435</v>
      </c>
      <c r="F8393" s="4">
        <v>1311</v>
      </c>
      <c r="G8393" s="2" t="s">
        <v>148</v>
      </c>
      <c r="H8393" s="2" t="s">
        <v>34</v>
      </c>
      <c r="I8393" s="2" t="s">
        <v>17223</v>
      </c>
      <c r="J8393" s="2" t="s">
        <v>17224</v>
      </c>
      <c r="K8393" s="2" t="s">
        <v>148</v>
      </c>
      <c r="L8393" s="2" t="s">
        <v>34</v>
      </c>
      <c r="M8393" s="12">
        <v>2183.7249999999999</v>
      </c>
      <c r="N8393" s="6">
        <v>30.13</v>
      </c>
      <c r="O8393" s="6">
        <v>30.13</v>
      </c>
      <c r="P8393" s="2" t="s">
        <v>24986</v>
      </c>
      <c r="Q8393" s="6">
        <v>100</v>
      </c>
      <c r="R8393" s="6">
        <v>52.48</v>
      </c>
      <c r="S8393" s="5">
        <v>67.8</v>
      </c>
      <c r="T8393" s="7">
        <v>399.51400000000001</v>
      </c>
      <c r="U8393" s="5">
        <v>34.299999999999997</v>
      </c>
      <c r="V8393" s="6">
        <v>2.36</v>
      </c>
      <c r="W8393" s="6">
        <v>51.78</v>
      </c>
      <c r="X8393" s="6">
        <v>48.69</v>
      </c>
      <c r="Y8393" s="6">
        <v>50.69</v>
      </c>
      <c r="Z8393" s="6">
        <v>50.69</v>
      </c>
      <c r="AA8393" s="6">
        <v>28.09</v>
      </c>
      <c r="AB8393" s="7">
        <v>11.118</v>
      </c>
      <c r="AC8393" s="6">
        <v>86.37</v>
      </c>
    </row>
    <row r="8394" spans="1:29" ht="65" x14ac:dyDescent="0.15">
      <c r="A8394" s="3">
        <f>DATE(2007,1,8)</f>
        <v>39090</v>
      </c>
      <c r="B8394" s="2"/>
      <c r="C8394" s="2" t="s">
        <v>87</v>
      </c>
      <c r="D8394" s="2" t="s">
        <v>224</v>
      </c>
      <c r="E8394" s="2" t="s">
        <v>225</v>
      </c>
      <c r="F8394" s="4">
        <v>3851</v>
      </c>
      <c r="G8394" s="2" t="s">
        <v>226</v>
      </c>
      <c r="H8394" s="2" t="s">
        <v>34</v>
      </c>
      <c r="I8394" s="2" t="s">
        <v>24987</v>
      </c>
      <c r="J8394" s="2" t="s">
        <v>24988</v>
      </c>
      <c r="K8394" s="2" t="s">
        <v>226</v>
      </c>
      <c r="L8394" s="2" t="s">
        <v>133</v>
      </c>
      <c r="M8394" s="12">
        <v>11248.558000000001</v>
      </c>
      <c r="N8394" s="7">
        <v>106.34099999999999</v>
      </c>
      <c r="O8394" s="7">
        <v>107.319</v>
      </c>
      <c r="P8394" s="2" t="s">
        <v>24989</v>
      </c>
      <c r="Q8394" s="2"/>
      <c r="R8394" s="2"/>
      <c r="S8394" s="5">
        <v>66.2</v>
      </c>
      <c r="T8394" s="7">
        <v>191.63200000000001</v>
      </c>
      <c r="U8394" s="5">
        <v>30.9</v>
      </c>
      <c r="V8394" s="6">
        <v>1.44</v>
      </c>
      <c r="W8394" s="5">
        <v>44.5</v>
      </c>
      <c r="X8394" s="6">
        <v>47.01</v>
      </c>
      <c r="Y8394" s="6">
        <v>46.75</v>
      </c>
      <c r="Z8394" s="6">
        <v>46.26</v>
      </c>
      <c r="AA8394" s="6">
        <v>44.98</v>
      </c>
      <c r="AB8394" s="2" t="s">
        <v>47</v>
      </c>
      <c r="AC8394" s="6">
        <v>875.37</v>
      </c>
    </row>
    <row r="8395" spans="1:29" ht="130" x14ac:dyDescent="0.15">
      <c r="A8395" s="3">
        <f>DATE(2007,1,8)</f>
        <v>39090</v>
      </c>
      <c r="B8395" s="3">
        <f>DATE(2007,4,19)</f>
        <v>39191</v>
      </c>
      <c r="C8395" s="2" t="s">
        <v>95</v>
      </c>
      <c r="D8395" s="2" t="s">
        <v>24990</v>
      </c>
      <c r="E8395" s="2" t="s">
        <v>24991</v>
      </c>
      <c r="F8395" s="4">
        <v>8062</v>
      </c>
      <c r="G8395" s="2" t="s">
        <v>454</v>
      </c>
      <c r="H8395" s="2" t="s">
        <v>34</v>
      </c>
      <c r="I8395" s="2" t="s">
        <v>24992</v>
      </c>
      <c r="J8395" s="2" t="s">
        <v>678</v>
      </c>
      <c r="K8395" s="2" t="s">
        <v>53</v>
      </c>
      <c r="L8395" s="2" t="s">
        <v>34</v>
      </c>
      <c r="M8395" s="2"/>
      <c r="N8395" s="2"/>
      <c r="O8395" s="2"/>
      <c r="P8395" s="2" t="s">
        <v>24993</v>
      </c>
      <c r="Q8395" s="6">
        <v>100</v>
      </c>
      <c r="R8395" s="6">
        <v>31.05</v>
      </c>
      <c r="S8395" s="5">
        <v>40.1</v>
      </c>
      <c r="T8395" s="7">
        <v>162.791</v>
      </c>
      <c r="U8395" s="5">
        <v>13.4</v>
      </c>
      <c r="V8395" s="6">
        <v>0.88</v>
      </c>
      <c r="W8395" s="6">
        <v>28.35</v>
      </c>
      <c r="X8395" s="6">
        <v>27.39</v>
      </c>
      <c r="Y8395" s="6">
        <v>30.58</v>
      </c>
      <c r="Z8395" s="6">
        <v>30.39</v>
      </c>
      <c r="AA8395" s="6">
        <v>44.62</v>
      </c>
      <c r="AB8395" s="7">
        <v>13.826000000000001</v>
      </c>
      <c r="AC8395" s="2"/>
    </row>
    <row r="8396" spans="1:29" ht="65" x14ac:dyDescent="0.15">
      <c r="A8396" s="3">
        <f>DATE(2007,1,8)</f>
        <v>39090</v>
      </c>
      <c r="B8396" s="2"/>
      <c r="C8396" s="2" t="s">
        <v>87</v>
      </c>
      <c r="D8396" s="2" t="s">
        <v>11637</v>
      </c>
      <c r="E8396" s="2" t="s">
        <v>11638</v>
      </c>
      <c r="F8396" s="4">
        <v>3579</v>
      </c>
      <c r="G8396" s="2" t="s">
        <v>50</v>
      </c>
      <c r="H8396" s="2" t="s">
        <v>34</v>
      </c>
      <c r="I8396" s="2" t="s">
        <v>2220</v>
      </c>
      <c r="J8396" s="2" t="s">
        <v>2221</v>
      </c>
      <c r="K8396" s="2" t="s">
        <v>226</v>
      </c>
      <c r="L8396" s="2" t="s">
        <v>34</v>
      </c>
      <c r="M8396" s="12">
        <v>7438.0569999999998</v>
      </c>
      <c r="N8396" s="6">
        <v>25.55</v>
      </c>
      <c r="O8396" s="6">
        <v>25.63</v>
      </c>
      <c r="P8396" s="2" t="s">
        <v>24994</v>
      </c>
      <c r="Q8396" s="2"/>
      <c r="R8396" s="2"/>
      <c r="S8396" s="8">
        <v>1210</v>
      </c>
      <c r="T8396" s="8">
        <v>2429</v>
      </c>
      <c r="U8396" s="5">
        <v>29.9</v>
      </c>
      <c r="V8396" s="6">
        <v>4.88</v>
      </c>
      <c r="W8396" s="6">
        <v>16.95</v>
      </c>
      <c r="X8396" s="6">
        <v>16.73</v>
      </c>
      <c r="Y8396" s="6">
        <v>17.010000000000002</v>
      </c>
      <c r="Z8396" s="6">
        <v>16.96</v>
      </c>
      <c r="AA8396" s="6">
        <v>965.28</v>
      </c>
      <c r="AB8396" s="2" t="s">
        <v>47</v>
      </c>
      <c r="AC8396" s="8">
        <v>1487</v>
      </c>
    </row>
    <row r="8397" spans="1:29" ht="91" x14ac:dyDescent="0.15">
      <c r="A8397" s="3">
        <f>DATE(2007,1,9)</f>
        <v>39091</v>
      </c>
      <c r="B8397" s="3">
        <f>DATE(2007,4,2)</f>
        <v>39174</v>
      </c>
      <c r="C8397" s="2" t="s">
        <v>95</v>
      </c>
      <c r="D8397" s="2" t="s">
        <v>17050</v>
      </c>
      <c r="E8397" s="2" t="s">
        <v>17051</v>
      </c>
      <c r="F8397" s="4">
        <v>3442</v>
      </c>
      <c r="G8397" s="2" t="s">
        <v>163</v>
      </c>
      <c r="H8397" s="2" t="s">
        <v>34</v>
      </c>
      <c r="I8397" s="2" t="s">
        <v>24995</v>
      </c>
      <c r="J8397" s="2" t="s">
        <v>244</v>
      </c>
      <c r="K8397" s="2" t="s">
        <v>53</v>
      </c>
      <c r="L8397" s="2" t="s">
        <v>34</v>
      </c>
      <c r="M8397" s="2"/>
      <c r="N8397" s="2"/>
      <c r="O8397" s="2"/>
      <c r="P8397" s="2" t="s">
        <v>24996</v>
      </c>
      <c r="Q8397" s="6">
        <v>100</v>
      </c>
      <c r="R8397" s="6">
        <v>53</v>
      </c>
      <c r="S8397" s="5">
        <v>19.2</v>
      </c>
      <c r="T8397" s="7">
        <v>37.091999999999999</v>
      </c>
      <c r="U8397" s="5">
        <v>32.700000000000003</v>
      </c>
      <c r="V8397" s="6">
        <v>4.46</v>
      </c>
      <c r="W8397" s="6">
        <v>48.75</v>
      </c>
      <c r="X8397" s="6">
        <v>48.86</v>
      </c>
      <c r="Y8397" s="4">
        <v>50</v>
      </c>
      <c r="Z8397" s="6">
        <v>52.08</v>
      </c>
      <c r="AA8397" s="6">
        <v>4.3099999999999996</v>
      </c>
      <c r="AB8397" s="7">
        <v>6.7679999999999998</v>
      </c>
      <c r="AC8397" s="2"/>
    </row>
    <row r="8398" spans="1:29" ht="91" x14ac:dyDescent="0.15">
      <c r="A8398" s="3">
        <f>DATE(2007,1,9)</f>
        <v>39091</v>
      </c>
      <c r="B8398" s="2"/>
      <c r="C8398" s="2" t="s">
        <v>7330</v>
      </c>
      <c r="D8398" s="2" t="s">
        <v>8462</v>
      </c>
      <c r="E8398" s="2" t="s">
        <v>8463</v>
      </c>
      <c r="F8398" s="4">
        <v>3812</v>
      </c>
      <c r="G8398" s="2" t="s">
        <v>226</v>
      </c>
      <c r="H8398" s="2" t="s">
        <v>34</v>
      </c>
      <c r="I8398" s="2" t="s">
        <v>24997</v>
      </c>
      <c r="J8398" s="2" t="s">
        <v>4655</v>
      </c>
      <c r="K8398" s="2" t="s">
        <v>53</v>
      </c>
      <c r="L8398" s="2" t="s">
        <v>34</v>
      </c>
      <c r="M8398" s="2"/>
      <c r="N8398" s="2"/>
      <c r="O8398" s="2"/>
      <c r="P8398" s="2" t="s">
        <v>24998</v>
      </c>
      <c r="Q8398" s="2"/>
      <c r="R8398" s="6">
        <v>3</v>
      </c>
      <c r="S8398" s="5">
        <v>-6.8</v>
      </c>
      <c r="T8398" s="7">
        <v>-5.5659999999999998</v>
      </c>
      <c r="U8398" s="5">
        <v>3.7</v>
      </c>
      <c r="V8398" s="6">
        <v>-0.48</v>
      </c>
      <c r="W8398" s="6">
        <v>2.56</v>
      </c>
      <c r="X8398" s="6">
        <v>2.52</v>
      </c>
      <c r="Y8398" s="6">
        <v>2.5099999999999998</v>
      </c>
      <c r="Z8398" s="6">
        <v>2.5099999999999998</v>
      </c>
      <c r="AA8398" s="6">
        <v>15.28</v>
      </c>
      <c r="AB8398" s="2" t="s">
        <v>86</v>
      </c>
      <c r="AC8398" s="2"/>
    </row>
    <row r="8399" spans="1:29" ht="143" x14ac:dyDescent="0.15">
      <c r="A8399" s="3">
        <f>DATE(2007,1,9)</f>
        <v>39091</v>
      </c>
      <c r="B8399" s="2"/>
      <c r="C8399" s="2" t="s">
        <v>30</v>
      </c>
      <c r="D8399" s="2" t="s">
        <v>24862</v>
      </c>
      <c r="E8399" s="2" t="s">
        <v>8742</v>
      </c>
      <c r="F8399" s="4">
        <v>8082</v>
      </c>
      <c r="G8399" s="2" t="s">
        <v>454</v>
      </c>
      <c r="H8399" s="2" t="s">
        <v>34</v>
      </c>
      <c r="I8399" s="2" t="s">
        <v>24999</v>
      </c>
      <c r="J8399" s="2" t="s">
        <v>25000</v>
      </c>
      <c r="K8399" s="2" t="s">
        <v>454</v>
      </c>
      <c r="L8399" s="2" t="s">
        <v>34</v>
      </c>
      <c r="M8399" s="2"/>
      <c r="N8399" s="2"/>
      <c r="O8399" s="2"/>
      <c r="P8399" s="2" t="s">
        <v>25001</v>
      </c>
      <c r="Q8399" s="2"/>
      <c r="R8399" s="6">
        <v>12.75</v>
      </c>
      <c r="S8399" s="5">
        <v>2.8</v>
      </c>
      <c r="T8399" s="7">
        <v>6.0780000000000003</v>
      </c>
      <c r="U8399" s="5">
        <v>9.4</v>
      </c>
      <c r="V8399" s="6">
        <v>0.48</v>
      </c>
      <c r="W8399" s="6">
        <v>11.68</v>
      </c>
      <c r="X8399" s="6">
        <v>11.82</v>
      </c>
      <c r="Y8399" s="6">
        <v>11.61</v>
      </c>
      <c r="Z8399" s="5">
        <v>11.5</v>
      </c>
      <c r="AA8399" s="6">
        <v>5.66</v>
      </c>
      <c r="AB8399" s="7">
        <v>10.255000000000001</v>
      </c>
      <c r="AC8399" s="2"/>
    </row>
    <row r="8400" spans="1:29" ht="156" x14ac:dyDescent="0.15">
      <c r="A8400" s="3">
        <f>DATE(2007,1,9)</f>
        <v>39091</v>
      </c>
      <c r="B8400" s="3">
        <f>DATE(2007,6,4)</f>
        <v>39237</v>
      </c>
      <c r="C8400" s="2" t="s">
        <v>95</v>
      </c>
      <c r="D8400" s="2" t="s">
        <v>22298</v>
      </c>
      <c r="E8400" s="2" t="s">
        <v>159</v>
      </c>
      <c r="F8400" s="4">
        <v>6712</v>
      </c>
      <c r="G8400" s="2" t="s">
        <v>37</v>
      </c>
      <c r="H8400" s="2" t="s">
        <v>34</v>
      </c>
      <c r="I8400" s="2" t="s">
        <v>12303</v>
      </c>
      <c r="J8400" s="2" t="s">
        <v>36</v>
      </c>
      <c r="K8400" s="2" t="s">
        <v>37</v>
      </c>
      <c r="L8400" s="2" t="s">
        <v>34</v>
      </c>
      <c r="M8400" s="12">
        <v>119306.595</v>
      </c>
      <c r="N8400" s="6">
        <v>35.590000000000003</v>
      </c>
      <c r="O8400" s="6">
        <v>35.479999999999997</v>
      </c>
      <c r="P8400" s="2" t="s">
        <v>25002</v>
      </c>
      <c r="Q8400" s="6">
        <v>100</v>
      </c>
      <c r="R8400" s="6">
        <v>27.66</v>
      </c>
      <c r="S8400" s="5">
        <v>22.6</v>
      </c>
      <c r="T8400" s="7">
        <v>50.258000000000003</v>
      </c>
      <c r="U8400" s="5">
        <v>18</v>
      </c>
      <c r="V8400" s="6">
        <v>1.1599999999999999</v>
      </c>
      <c r="W8400" s="6">
        <v>23.77</v>
      </c>
      <c r="X8400" s="6">
        <v>23.49</v>
      </c>
      <c r="Y8400" s="6">
        <v>23.53</v>
      </c>
      <c r="Z8400" s="6">
        <v>27.19</v>
      </c>
      <c r="AA8400" s="6">
        <v>22.43</v>
      </c>
      <c r="AB8400" s="7">
        <v>14.737</v>
      </c>
      <c r="AC8400" s="2"/>
    </row>
    <row r="8401" spans="1:29" ht="104" x14ac:dyDescent="0.15">
      <c r="A8401" s="3">
        <f>DATE(2007,1,10)</f>
        <v>39092</v>
      </c>
      <c r="B8401" s="3">
        <f>DATE(2007,6,1)</f>
        <v>39234</v>
      </c>
      <c r="C8401" s="2" t="s">
        <v>95</v>
      </c>
      <c r="D8401" s="2" t="s">
        <v>25003</v>
      </c>
      <c r="E8401" s="2" t="s">
        <v>3780</v>
      </c>
      <c r="F8401" s="4">
        <v>6021</v>
      </c>
      <c r="G8401" s="2" t="s">
        <v>37</v>
      </c>
      <c r="H8401" s="2" t="s">
        <v>34</v>
      </c>
      <c r="I8401" s="2" t="s">
        <v>25004</v>
      </c>
      <c r="J8401" s="2" t="s">
        <v>159</v>
      </c>
      <c r="K8401" s="2" t="s">
        <v>37</v>
      </c>
      <c r="L8401" s="2" t="s">
        <v>34</v>
      </c>
      <c r="M8401" s="2"/>
      <c r="N8401" s="6">
        <v>14.62</v>
      </c>
      <c r="O8401" s="6">
        <v>14.44</v>
      </c>
      <c r="P8401" s="2" t="s">
        <v>25005</v>
      </c>
      <c r="Q8401" s="6">
        <v>100</v>
      </c>
      <c r="R8401" s="2"/>
      <c r="S8401" s="2"/>
      <c r="T8401" s="2"/>
      <c r="U8401" s="2"/>
      <c r="V8401" s="2"/>
      <c r="W8401" s="5">
        <v>19.2</v>
      </c>
      <c r="X8401" s="5">
        <v>19.2</v>
      </c>
      <c r="Y8401" s="5">
        <v>19.2</v>
      </c>
      <c r="Z8401" s="6">
        <v>29.19</v>
      </c>
      <c r="AA8401" s="6">
        <v>1.71</v>
      </c>
      <c r="AB8401" s="2" t="s">
        <v>47</v>
      </c>
      <c r="AC8401" s="2"/>
    </row>
    <row r="8402" spans="1:29" ht="117" x14ac:dyDescent="0.15">
      <c r="A8402" s="3">
        <f>DATE(2007,1,11)</f>
        <v>39093</v>
      </c>
      <c r="B8402" s="2"/>
      <c r="C8402" s="2" t="s">
        <v>30</v>
      </c>
      <c r="D8402" s="2" t="s">
        <v>25006</v>
      </c>
      <c r="E8402" s="2" t="s">
        <v>25007</v>
      </c>
      <c r="F8402" s="4">
        <v>5812</v>
      </c>
      <c r="G8402" s="2" t="s">
        <v>230</v>
      </c>
      <c r="H8402" s="2" t="s">
        <v>34</v>
      </c>
      <c r="I8402" s="2" t="s">
        <v>25008</v>
      </c>
      <c r="J8402" s="2" t="s">
        <v>244</v>
      </c>
      <c r="K8402" s="2" t="s">
        <v>53</v>
      </c>
      <c r="L8402" s="2" t="s">
        <v>34</v>
      </c>
      <c r="M8402" s="2"/>
      <c r="N8402" s="2"/>
      <c r="O8402" s="2"/>
      <c r="P8402" s="2" t="s">
        <v>25009</v>
      </c>
      <c r="Q8402" s="2"/>
      <c r="R8402" s="2"/>
      <c r="S8402" s="5">
        <v>-10.5</v>
      </c>
      <c r="T8402" s="6">
        <v>13.43</v>
      </c>
      <c r="U8402" s="5">
        <v>5.4</v>
      </c>
      <c r="V8402" s="6">
        <v>-0.55000000000000004</v>
      </c>
      <c r="W8402" s="6">
        <v>6.55</v>
      </c>
      <c r="X8402" s="5">
        <v>6.8</v>
      </c>
      <c r="Y8402" s="6">
        <v>6.43</v>
      </c>
      <c r="Z8402" s="6">
        <v>6.43</v>
      </c>
      <c r="AA8402" s="6">
        <v>13.08</v>
      </c>
      <c r="AB8402" s="2" t="s">
        <v>47</v>
      </c>
      <c r="AC8402" s="2"/>
    </row>
    <row r="8403" spans="1:29" ht="78" x14ac:dyDescent="0.15">
      <c r="A8403" s="3">
        <f>DATE(2007,1,12)</f>
        <v>39094</v>
      </c>
      <c r="B8403" s="3">
        <f>DATE(2007,3,16)</f>
        <v>39157</v>
      </c>
      <c r="C8403" s="2" t="s">
        <v>95</v>
      </c>
      <c r="D8403" s="2" t="s">
        <v>25010</v>
      </c>
      <c r="E8403" s="2" t="s">
        <v>15342</v>
      </c>
      <c r="F8403" s="4">
        <v>3841</v>
      </c>
      <c r="G8403" s="2" t="s">
        <v>226</v>
      </c>
      <c r="H8403" s="2" t="s">
        <v>34</v>
      </c>
      <c r="I8403" s="2" t="s">
        <v>25011</v>
      </c>
      <c r="J8403" s="2" t="s">
        <v>25012</v>
      </c>
      <c r="K8403" s="2" t="s">
        <v>300</v>
      </c>
      <c r="L8403" s="2" t="s">
        <v>34</v>
      </c>
      <c r="M8403" s="12">
        <v>1577.3019999999999</v>
      </c>
      <c r="N8403" s="6">
        <v>37.85</v>
      </c>
      <c r="O8403" s="6">
        <v>37.85</v>
      </c>
      <c r="P8403" s="2" t="s">
        <v>25013</v>
      </c>
      <c r="Q8403" s="6">
        <v>100</v>
      </c>
      <c r="R8403" s="6">
        <v>13</v>
      </c>
      <c r="S8403" s="5">
        <v>3.3</v>
      </c>
      <c r="T8403" s="7">
        <v>3.242</v>
      </c>
      <c r="U8403" s="5">
        <v>3.8</v>
      </c>
      <c r="V8403" s="6">
        <v>0.54</v>
      </c>
      <c r="W8403" s="6">
        <v>9.6300000000000008</v>
      </c>
      <c r="X8403" s="6">
        <v>9.36</v>
      </c>
      <c r="Y8403" s="6">
        <v>9.3699999999999992</v>
      </c>
      <c r="Z8403" s="6">
        <v>9.3699999999999992</v>
      </c>
      <c r="AA8403" s="6">
        <v>5.63</v>
      </c>
      <c r="AB8403" s="7">
        <v>30.715</v>
      </c>
      <c r="AC8403" s="6">
        <v>58.18</v>
      </c>
    </row>
    <row r="8404" spans="1:29" ht="104" x14ac:dyDescent="0.15">
      <c r="A8404" s="3">
        <f>DATE(2007,1,15)</f>
        <v>39097</v>
      </c>
      <c r="B8404" s="3">
        <f>DATE(2007,6,22)</f>
        <v>39255</v>
      </c>
      <c r="C8404" s="2" t="s">
        <v>95</v>
      </c>
      <c r="D8404" s="2" t="s">
        <v>17606</v>
      </c>
      <c r="E8404" s="2" t="s">
        <v>17607</v>
      </c>
      <c r="F8404" s="4">
        <v>3089</v>
      </c>
      <c r="G8404" s="2" t="s">
        <v>447</v>
      </c>
      <c r="H8404" s="2" t="s">
        <v>34</v>
      </c>
      <c r="I8404" s="2" t="s">
        <v>25014</v>
      </c>
      <c r="J8404" s="2" t="s">
        <v>25015</v>
      </c>
      <c r="K8404" s="2" t="s">
        <v>447</v>
      </c>
      <c r="L8404" s="2" t="s">
        <v>34</v>
      </c>
      <c r="M8404" s="2"/>
      <c r="N8404" s="2"/>
      <c r="O8404" s="2"/>
      <c r="P8404" s="2" t="s">
        <v>25016</v>
      </c>
      <c r="Q8404" s="6">
        <v>100</v>
      </c>
      <c r="R8404" s="6">
        <v>33.5</v>
      </c>
      <c r="S8404" s="5">
        <v>60.7</v>
      </c>
      <c r="T8404" s="7">
        <v>112.327</v>
      </c>
      <c r="U8404" s="5">
        <v>12.2</v>
      </c>
      <c r="V8404" s="6">
        <v>5.0199999999999996</v>
      </c>
      <c r="W8404" s="6">
        <v>34.369999999999997</v>
      </c>
      <c r="X8404" s="6">
        <v>29.86</v>
      </c>
      <c r="Y8404" s="6">
        <v>29.86</v>
      </c>
      <c r="Z8404" s="6">
        <v>32.92</v>
      </c>
      <c r="AA8404" s="6">
        <v>11.97</v>
      </c>
      <c r="AB8404" s="7">
        <v>4.383</v>
      </c>
      <c r="AC8404" s="2"/>
    </row>
    <row r="8405" spans="1:29" ht="104" x14ac:dyDescent="0.15">
      <c r="A8405" s="3">
        <f>DATE(2007,1,15)</f>
        <v>39097</v>
      </c>
      <c r="B8405" s="3">
        <f>DATE(2007,5,4)</f>
        <v>39206</v>
      </c>
      <c r="C8405" s="2" t="s">
        <v>95</v>
      </c>
      <c r="D8405" s="2" t="s">
        <v>25017</v>
      </c>
      <c r="E8405" s="2" t="s">
        <v>4015</v>
      </c>
      <c r="F8405" s="4">
        <v>6321</v>
      </c>
      <c r="G8405" s="2" t="s">
        <v>125</v>
      </c>
      <c r="H8405" s="2" t="s">
        <v>34</v>
      </c>
      <c r="I8405" s="2" t="s">
        <v>25018</v>
      </c>
      <c r="J8405" s="2" t="s">
        <v>244</v>
      </c>
      <c r="K8405" s="2" t="s">
        <v>53</v>
      </c>
      <c r="L8405" s="2" t="s">
        <v>34</v>
      </c>
      <c r="M8405" s="2"/>
      <c r="N8405" s="2"/>
      <c r="O8405" s="2"/>
      <c r="P8405" s="2" t="s">
        <v>25019</v>
      </c>
      <c r="Q8405" s="6">
        <v>100</v>
      </c>
      <c r="R8405" s="6">
        <v>17</v>
      </c>
      <c r="S8405" s="5">
        <v>20.6</v>
      </c>
      <c r="T8405" s="7">
        <v>102.062</v>
      </c>
      <c r="U8405" s="5">
        <v>7.5</v>
      </c>
      <c r="V8405" s="6">
        <v>0.36</v>
      </c>
      <c r="W8405" s="6">
        <v>14.79</v>
      </c>
      <c r="X8405" s="6">
        <v>15.55</v>
      </c>
      <c r="Y8405" s="6">
        <v>15.55</v>
      </c>
      <c r="Z8405" s="6">
        <v>16.55</v>
      </c>
      <c r="AA8405" s="6">
        <v>58.4</v>
      </c>
      <c r="AB8405" s="7">
        <v>21.356000000000002</v>
      </c>
      <c r="AC8405" s="2"/>
    </row>
    <row r="8406" spans="1:29" ht="234" x14ac:dyDescent="0.15">
      <c r="A8406" s="3">
        <f>DATE(2007,1,16)</f>
        <v>39098</v>
      </c>
      <c r="B8406" s="3">
        <f>DATE(2007,7,13)</f>
        <v>39276</v>
      </c>
      <c r="C8406" s="2" t="s">
        <v>95</v>
      </c>
      <c r="D8406" s="2" t="s">
        <v>25020</v>
      </c>
      <c r="E8406" s="2" t="s">
        <v>25021</v>
      </c>
      <c r="F8406" s="4">
        <v>8051</v>
      </c>
      <c r="G8406" s="2" t="s">
        <v>454</v>
      </c>
      <c r="H8406" s="2" t="s">
        <v>34</v>
      </c>
      <c r="I8406" s="2" t="s">
        <v>25022</v>
      </c>
      <c r="J8406" s="2" t="s">
        <v>25023</v>
      </c>
      <c r="K8406" s="2" t="s">
        <v>454</v>
      </c>
      <c r="L8406" s="2" t="s">
        <v>34</v>
      </c>
      <c r="M8406" s="2"/>
      <c r="N8406" s="2"/>
      <c r="O8406" s="2"/>
      <c r="P8406" s="2" t="s">
        <v>25024</v>
      </c>
      <c r="Q8406" s="6">
        <v>100</v>
      </c>
      <c r="R8406" s="6">
        <v>69.349999999999994</v>
      </c>
      <c r="S8406" s="5">
        <v>34.4</v>
      </c>
      <c r="T8406" s="7">
        <v>165.983</v>
      </c>
      <c r="U8406" s="5">
        <v>36.5</v>
      </c>
      <c r="V8406" s="6">
        <v>1.76</v>
      </c>
      <c r="W8406" s="6">
        <v>49.37</v>
      </c>
      <c r="X8406" s="6">
        <v>52.85</v>
      </c>
      <c r="Y8406" s="6">
        <v>61.26</v>
      </c>
      <c r="Z8406" s="6">
        <v>61.14</v>
      </c>
      <c r="AA8406" s="6">
        <v>19.78</v>
      </c>
      <c r="AB8406" s="7">
        <v>18.66</v>
      </c>
      <c r="AC8406" s="2"/>
    </row>
    <row r="8407" spans="1:29" ht="143" x14ac:dyDescent="0.15">
      <c r="A8407" s="3">
        <f>DATE(2007,1,16)</f>
        <v>39098</v>
      </c>
      <c r="B8407" s="2"/>
      <c r="C8407" s="2" t="s">
        <v>30</v>
      </c>
      <c r="D8407" s="2" t="s">
        <v>25025</v>
      </c>
      <c r="E8407" s="2" t="s">
        <v>25026</v>
      </c>
      <c r="F8407" s="4">
        <v>3537</v>
      </c>
      <c r="G8407" s="2" t="s">
        <v>300</v>
      </c>
      <c r="H8407" s="2" t="s">
        <v>34</v>
      </c>
      <c r="I8407" s="2" t="s">
        <v>51</v>
      </c>
      <c r="J8407" s="2" t="s">
        <v>52</v>
      </c>
      <c r="K8407" s="2" t="s">
        <v>53</v>
      </c>
      <c r="L8407" s="2" t="s">
        <v>34</v>
      </c>
      <c r="M8407" s="2"/>
      <c r="N8407" s="2"/>
      <c r="O8407" s="2"/>
      <c r="P8407" s="2" t="s">
        <v>25027</v>
      </c>
      <c r="Q8407" s="2"/>
      <c r="R8407" s="6">
        <v>24</v>
      </c>
      <c r="S8407" s="5">
        <v>106.6</v>
      </c>
      <c r="T8407" s="6">
        <v>210.28</v>
      </c>
      <c r="U8407" s="5">
        <v>19.5</v>
      </c>
      <c r="V8407" s="6">
        <v>3.29</v>
      </c>
      <c r="W8407" s="6">
        <v>23.46</v>
      </c>
      <c r="X8407" s="6">
        <v>23.64</v>
      </c>
      <c r="Y8407" s="6">
        <v>24.23</v>
      </c>
      <c r="Z8407" s="6">
        <v>24.15</v>
      </c>
      <c r="AA8407" s="6">
        <v>28.5</v>
      </c>
      <c r="AB8407" s="7">
        <v>12.863</v>
      </c>
      <c r="AC8407" s="2"/>
    </row>
    <row r="8408" spans="1:29" ht="156" x14ac:dyDescent="0.15">
      <c r="A8408" s="3">
        <f>DATE(2007,1,16)</f>
        <v>39098</v>
      </c>
      <c r="B8408" s="2"/>
      <c r="C8408" s="2" t="s">
        <v>30</v>
      </c>
      <c r="D8408" s="2" t="s">
        <v>25028</v>
      </c>
      <c r="E8408" s="2" t="s">
        <v>3900</v>
      </c>
      <c r="F8408" s="4">
        <v>5812</v>
      </c>
      <c r="G8408" s="2" t="s">
        <v>230</v>
      </c>
      <c r="H8408" s="2" t="s">
        <v>34</v>
      </c>
      <c r="I8408" s="2" t="s">
        <v>25029</v>
      </c>
      <c r="J8408" s="2" t="s">
        <v>25030</v>
      </c>
      <c r="K8408" s="2" t="s">
        <v>230</v>
      </c>
      <c r="L8408" s="2" t="s">
        <v>34</v>
      </c>
      <c r="M8408" s="6">
        <v>649.69000000000005</v>
      </c>
      <c r="N8408" s="4">
        <v>31</v>
      </c>
      <c r="O8408" s="6">
        <v>31.01</v>
      </c>
      <c r="P8408" s="2" t="s">
        <v>25031</v>
      </c>
      <c r="Q8408" s="2"/>
      <c r="R8408" s="6">
        <v>9.75</v>
      </c>
      <c r="S8408" s="5">
        <v>-4.2</v>
      </c>
      <c r="T8408" s="7">
        <v>8.2850000000000001</v>
      </c>
      <c r="U8408" s="5">
        <v>4.5999999999999996</v>
      </c>
      <c r="V8408" s="6">
        <v>-0.49</v>
      </c>
      <c r="W8408" s="6">
        <v>5.12</v>
      </c>
      <c r="X8408" s="7">
        <v>5.0339999999999998</v>
      </c>
      <c r="Y8408" s="6">
        <v>7.29</v>
      </c>
      <c r="Z8408" s="5">
        <v>7.3</v>
      </c>
      <c r="AA8408" s="6">
        <v>8.59</v>
      </c>
      <c r="AB8408" s="7">
        <v>27.135000000000002</v>
      </c>
      <c r="AC8408" s="6">
        <v>31.27</v>
      </c>
    </row>
    <row r="8409" spans="1:29" ht="234" x14ac:dyDescent="0.15">
      <c r="A8409" s="3">
        <f>DATE(2007,1,17)</f>
        <v>39099</v>
      </c>
      <c r="B8409" s="2"/>
      <c r="C8409" s="2" t="s">
        <v>30</v>
      </c>
      <c r="D8409" s="2" t="s">
        <v>10502</v>
      </c>
      <c r="E8409" s="2" t="s">
        <v>6321</v>
      </c>
      <c r="F8409" s="4">
        <v>6798</v>
      </c>
      <c r="G8409" s="2" t="s">
        <v>53</v>
      </c>
      <c r="H8409" s="2" t="s">
        <v>34</v>
      </c>
      <c r="I8409" s="2" t="s">
        <v>51</v>
      </c>
      <c r="J8409" s="2" t="s">
        <v>52</v>
      </c>
      <c r="K8409" s="2" t="s">
        <v>53</v>
      </c>
      <c r="L8409" s="2" t="s">
        <v>34</v>
      </c>
      <c r="M8409" s="2"/>
      <c r="N8409" s="2"/>
      <c r="O8409" s="2"/>
      <c r="P8409" s="2" t="s">
        <v>25032</v>
      </c>
      <c r="Q8409" s="2"/>
      <c r="R8409" s="6">
        <v>56</v>
      </c>
      <c r="S8409" s="5">
        <v>8.4</v>
      </c>
      <c r="T8409" s="7">
        <v>988.75800000000004</v>
      </c>
      <c r="U8409" s="5">
        <v>15.8</v>
      </c>
      <c r="V8409" s="6">
        <v>-0.06</v>
      </c>
      <c r="W8409" s="6">
        <v>42.59</v>
      </c>
      <c r="X8409" s="6">
        <v>44.72</v>
      </c>
      <c r="Y8409" s="6">
        <v>48.14</v>
      </c>
      <c r="Z8409" s="6">
        <v>48.14</v>
      </c>
      <c r="AA8409" s="6">
        <v>390.5</v>
      </c>
      <c r="AB8409" s="7">
        <v>503.04899999999998</v>
      </c>
      <c r="AC8409" s="2"/>
    </row>
    <row r="8410" spans="1:29" ht="169" x14ac:dyDescent="0.15">
      <c r="A8410" s="3">
        <f>DATE(2007,1,17)</f>
        <v>39099</v>
      </c>
      <c r="B8410" s="2"/>
      <c r="C8410" s="2" t="s">
        <v>30</v>
      </c>
      <c r="D8410" s="2" t="s">
        <v>25033</v>
      </c>
      <c r="E8410" s="2" t="s">
        <v>92</v>
      </c>
      <c r="F8410" s="4">
        <v>6798</v>
      </c>
      <c r="G8410" s="2" t="s">
        <v>53</v>
      </c>
      <c r="H8410" s="2" t="s">
        <v>34</v>
      </c>
      <c r="I8410" s="2" t="s">
        <v>25034</v>
      </c>
      <c r="J8410" s="2" t="s">
        <v>25035</v>
      </c>
      <c r="K8410" s="2" t="s">
        <v>53</v>
      </c>
      <c r="L8410" s="2" t="s">
        <v>902</v>
      </c>
      <c r="M8410" s="12">
        <v>18405.635999999999</v>
      </c>
      <c r="N8410" s="7">
        <v>48.381</v>
      </c>
      <c r="O8410" s="7">
        <v>48.079000000000001</v>
      </c>
      <c r="P8410" s="2" t="s">
        <v>25036</v>
      </c>
      <c r="Q8410" s="2"/>
      <c r="R8410" s="6">
        <v>21</v>
      </c>
      <c r="S8410" s="5">
        <v>52</v>
      </c>
      <c r="T8410" s="7">
        <v>281.26600000000002</v>
      </c>
      <c r="U8410" s="5">
        <v>6.6</v>
      </c>
      <c r="V8410" s="6">
        <v>-0.09</v>
      </c>
      <c r="W8410" s="6">
        <v>15.47</v>
      </c>
      <c r="X8410" s="6">
        <v>17.77</v>
      </c>
      <c r="Y8410" s="6">
        <v>22.46</v>
      </c>
      <c r="Z8410" s="6">
        <v>21.86</v>
      </c>
      <c r="AA8410" s="6">
        <v>56.6</v>
      </c>
      <c r="AB8410" s="2" t="s">
        <v>86</v>
      </c>
      <c r="AC8410" s="10">
        <v>3823.42</v>
      </c>
    </row>
    <row r="8411" spans="1:29" ht="130" x14ac:dyDescent="0.15">
      <c r="A8411" s="3">
        <f>DATE(2007,1,18)</f>
        <v>39100</v>
      </c>
      <c r="B8411" s="2"/>
      <c r="C8411" s="2" t="s">
        <v>30</v>
      </c>
      <c r="D8411" s="2" t="s">
        <v>25037</v>
      </c>
      <c r="E8411" s="2" t="s">
        <v>7974</v>
      </c>
      <c r="F8411" s="4">
        <v>8099</v>
      </c>
      <c r="G8411" s="2" t="s">
        <v>454</v>
      </c>
      <c r="H8411" s="2" t="s">
        <v>34</v>
      </c>
      <c r="I8411" s="2" t="s">
        <v>25038</v>
      </c>
      <c r="J8411" s="2" t="s">
        <v>25039</v>
      </c>
      <c r="K8411" s="2" t="s">
        <v>454</v>
      </c>
      <c r="L8411" s="2" t="s">
        <v>34</v>
      </c>
      <c r="M8411" s="6">
        <v>358.97</v>
      </c>
      <c r="N8411" s="6">
        <v>10.06</v>
      </c>
      <c r="O8411" s="6">
        <v>9.25</v>
      </c>
      <c r="P8411" s="2" t="s">
        <v>25040</v>
      </c>
      <c r="Q8411" s="2"/>
      <c r="R8411" s="2"/>
      <c r="S8411" s="5">
        <v>-1.6</v>
      </c>
      <c r="T8411" s="7">
        <v>-1.8080000000000001</v>
      </c>
      <c r="U8411" s="5">
        <v>-0.2</v>
      </c>
      <c r="V8411" s="6">
        <v>-0.25</v>
      </c>
      <c r="W8411" s="5">
        <v>1.8</v>
      </c>
      <c r="X8411" s="5">
        <v>1.8</v>
      </c>
      <c r="Y8411" s="6">
        <v>1.98</v>
      </c>
      <c r="Z8411" s="6">
        <v>1.1499999999999999</v>
      </c>
      <c r="AA8411" s="6">
        <v>5.92</v>
      </c>
      <c r="AB8411" s="2" t="s">
        <v>86</v>
      </c>
      <c r="AC8411" s="6">
        <v>43.53</v>
      </c>
    </row>
    <row r="8412" spans="1:29" ht="117" x14ac:dyDescent="0.15">
      <c r="A8412" s="3">
        <f>DATE(2007,1,18)</f>
        <v>39100</v>
      </c>
      <c r="B8412" s="3">
        <f>DATE(2007,4,30)</f>
        <v>39202</v>
      </c>
      <c r="C8412" s="2" t="s">
        <v>95</v>
      </c>
      <c r="D8412" s="2" t="s">
        <v>25041</v>
      </c>
      <c r="E8412" s="2" t="s">
        <v>25042</v>
      </c>
      <c r="F8412" s="4">
        <v>6021</v>
      </c>
      <c r="G8412" s="2" t="s">
        <v>37</v>
      </c>
      <c r="H8412" s="2" t="s">
        <v>34</v>
      </c>
      <c r="I8412" s="2" t="s">
        <v>17438</v>
      </c>
      <c r="J8412" s="2" t="s">
        <v>36</v>
      </c>
      <c r="K8412" s="2" t="s">
        <v>33</v>
      </c>
      <c r="L8412" s="2" t="s">
        <v>34</v>
      </c>
      <c r="M8412" s="12">
        <v>1731.2260000000001</v>
      </c>
      <c r="N8412" s="6">
        <v>28.25</v>
      </c>
      <c r="O8412" s="6">
        <v>28.02</v>
      </c>
      <c r="P8412" s="2" t="s">
        <v>25043</v>
      </c>
      <c r="Q8412" s="6">
        <v>100</v>
      </c>
      <c r="R8412" s="6">
        <v>35.01</v>
      </c>
      <c r="S8412" s="5">
        <v>7.1</v>
      </c>
      <c r="T8412" s="7">
        <v>12.172000000000001</v>
      </c>
      <c r="U8412" s="5">
        <v>13.9</v>
      </c>
      <c r="V8412" s="6">
        <v>1.66</v>
      </c>
      <c r="W8412" s="6">
        <v>28.22</v>
      </c>
      <c r="X8412" s="4">
        <v>30</v>
      </c>
      <c r="Y8412" s="6">
        <v>33.75</v>
      </c>
      <c r="Z8412" s="5">
        <v>33.6</v>
      </c>
      <c r="AA8412" s="6">
        <v>4.1500000000000004</v>
      </c>
      <c r="AB8412" s="7">
        <v>24.657</v>
      </c>
      <c r="AC8412" s="2"/>
    </row>
    <row r="8413" spans="1:29" ht="91" x14ac:dyDescent="0.15">
      <c r="A8413" s="3">
        <f>DATE(2007,1,19)</f>
        <v>39101</v>
      </c>
      <c r="B8413" s="3">
        <f>DATE(2007,8,20)</f>
        <v>39314</v>
      </c>
      <c r="C8413" s="2" t="s">
        <v>95</v>
      </c>
      <c r="D8413" s="2" t="s">
        <v>25044</v>
      </c>
      <c r="E8413" s="2" t="s">
        <v>25045</v>
      </c>
      <c r="F8413" s="4">
        <v>7375</v>
      </c>
      <c r="G8413" s="2" t="s">
        <v>223</v>
      </c>
      <c r="H8413" s="2" t="s">
        <v>34</v>
      </c>
      <c r="I8413" s="2" t="s">
        <v>25046</v>
      </c>
      <c r="J8413" s="2" t="s">
        <v>5102</v>
      </c>
      <c r="K8413" s="2" t="s">
        <v>551</v>
      </c>
      <c r="L8413" s="2" t="s">
        <v>34</v>
      </c>
      <c r="M8413" s="6">
        <v>75.08</v>
      </c>
      <c r="N8413" s="6">
        <v>3.01</v>
      </c>
      <c r="O8413" s="6">
        <v>2.97</v>
      </c>
      <c r="P8413" s="2" t="s">
        <v>25047</v>
      </c>
      <c r="Q8413" s="6">
        <v>100</v>
      </c>
      <c r="R8413" s="6">
        <v>5</v>
      </c>
      <c r="S8413" s="5">
        <v>-0.1</v>
      </c>
      <c r="T8413" s="7">
        <v>4.8090000000000002</v>
      </c>
      <c r="U8413" s="5">
        <v>1.7</v>
      </c>
      <c r="V8413" s="6">
        <v>-0.1</v>
      </c>
      <c r="W8413" s="7">
        <v>3.0710000000000002</v>
      </c>
      <c r="X8413" s="6">
        <v>3.63</v>
      </c>
      <c r="Y8413" s="6">
        <v>4.51</v>
      </c>
      <c r="Z8413" s="6">
        <v>4.46</v>
      </c>
      <c r="AA8413" s="6">
        <v>10.94</v>
      </c>
      <c r="AB8413" s="7">
        <v>89.161000000000001</v>
      </c>
      <c r="AC8413" s="6">
        <v>7.93</v>
      </c>
    </row>
    <row r="8414" spans="1:29" ht="104" x14ac:dyDescent="0.15">
      <c r="A8414" s="3">
        <f>DATE(2007,1,19)</f>
        <v>39101</v>
      </c>
      <c r="B8414" s="3">
        <f>DATE(2007,5,31)</f>
        <v>39233</v>
      </c>
      <c r="C8414" s="2" t="s">
        <v>95</v>
      </c>
      <c r="D8414" s="2" t="s">
        <v>25048</v>
      </c>
      <c r="E8414" s="2" t="s">
        <v>265</v>
      </c>
      <c r="F8414" s="4">
        <v>6712</v>
      </c>
      <c r="G8414" s="2" t="s">
        <v>37</v>
      </c>
      <c r="H8414" s="2" t="s">
        <v>34</v>
      </c>
      <c r="I8414" s="2" t="s">
        <v>13489</v>
      </c>
      <c r="J8414" s="2" t="s">
        <v>13490</v>
      </c>
      <c r="K8414" s="2" t="s">
        <v>37</v>
      </c>
      <c r="L8414" s="2" t="s">
        <v>34</v>
      </c>
      <c r="M8414" s="12">
        <v>1380.133</v>
      </c>
      <c r="N8414" s="5">
        <v>29.9</v>
      </c>
      <c r="O8414" s="6">
        <v>29.64</v>
      </c>
      <c r="P8414" s="2" t="s">
        <v>25049</v>
      </c>
      <c r="Q8414" s="6">
        <v>100</v>
      </c>
      <c r="R8414" s="6">
        <v>31</v>
      </c>
      <c r="S8414" s="5">
        <v>6.3</v>
      </c>
      <c r="T8414" s="7">
        <v>9.9049999999999994</v>
      </c>
      <c r="U8414" s="5">
        <v>10.9</v>
      </c>
      <c r="V8414" s="6">
        <v>1.76</v>
      </c>
      <c r="W8414" s="5">
        <v>26.5</v>
      </c>
      <c r="X8414" s="6">
        <v>26.92</v>
      </c>
      <c r="Y8414" s="5">
        <v>30.3</v>
      </c>
      <c r="Z8414" s="6">
        <v>30.25</v>
      </c>
      <c r="AA8414" s="6">
        <v>3.55</v>
      </c>
      <c r="AB8414" s="7">
        <v>16.555</v>
      </c>
      <c r="AC8414" s="2"/>
    </row>
    <row r="8415" spans="1:29" ht="91" x14ac:dyDescent="0.15">
      <c r="A8415" s="3">
        <f>DATE(2007,1,19)</f>
        <v>39101</v>
      </c>
      <c r="B8415" s="3">
        <f>DATE(2007,3,29)</f>
        <v>39170</v>
      </c>
      <c r="C8415" s="2" t="s">
        <v>95</v>
      </c>
      <c r="D8415" s="2" t="s">
        <v>25050</v>
      </c>
      <c r="E8415" s="2" t="s">
        <v>1435</v>
      </c>
      <c r="F8415" s="4">
        <v>1311</v>
      </c>
      <c r="G8415" s="2" t="s">
        <v>148</v>
      </c>
      <c r="H8415" s="2" t="s">
        <v>34</v>
      </c>
      <c r="I8415" s="2" t="s">
        <v>25051</v>
      </c>
      <c r="J8415" s="2" t="s">
        <v>18348</v>
      </c>
      <c r="K8415" s="2" t="s">
        <v>148</v>
      </c>
      <c r="L8415" s="2" t="s">
        <v>303</v>
      </c>
      <c r="M8415" s="6">
        <v>461.57</v>
      </c>
      <c r="N8415" s="7">
        <v>0.33100000000000002</v>
      </c>
      <c r="O8415" s="7">
        <v>0.33600000000000002</v>
      </c>
      <c r="P8415" s="2" t="s">
        <v>25052</v>
      </c>
      <c r="Q8415" s="6">
        <v>100</v>
      </c>
      <c r="R8415" s="6">
        <v>11</v>
      </c>
      <c r="S8415" s="2"/>
      <c r="T8415" s="2"/>
      <c r="U8415" s="2"/>
      <c r="V8415" s="2"/>
      <c r="W8415" s="6">
        <v>8.92</v>
      </c>
      <c r="X8415" s="6">
        <v>8.73</v>
      </c>
      <c r="Y8415" s="6">
        <v>10.71</v>
      </c>
      <c r="Z8415" s="6">
        <v>10.74</v>
      </c>
      <c r="AA8415" s="6">
        <v>12.56</v>
      </c>
      <c r="AB8415" s="2" t="s">
        <v>47</v>
      </c>
      <c r="AC8415" s="6">
        <v>91.83</v>
      </c>
    </row>
    <row r="8416" spans="1:29" ht="169" x14ac:dyDescent="0.15">
      <c r="A8416" s="3">
        <f>DATE(2007,1,20)</f>
        <v>39102</v>
      </c>
      <c r="B8416" s="3">
        <f>DATE(2007,3,13)</f>
        <v>39154</v>
      </c>
      <c r="C8416" s="2" t="s">
        <v>95</v>
      </c>
      <c r="D8416" s="2" t="s">
        <v>25053</v>
      </c>
      <c r="E8416" s="2" t="s">
        <v>4572</v>
      </c>
      <c r="F8416" s="4">
        <v>7371</v>
      </c>
      <c r="G8416" s="2" t="s">
        <v>223</v>
      </c>
      <c r="H8416" s="2" t="s">
        <v>34</v>
      </c>
      <c r="I8416" s="2" t="s">
        <v>25054</v>
      </c>
      <c r="J8416" s="2" t="s">
        <v>25055</v>
      </c>
      <c r="K8416" s="2" t="s">
        <v>223</v>
      </c>
      <c r="L8416" s="2" t="s">
        <v>34</v>
      </c>
      <c r="M8416" s="2"/>
      <c r="N8416" s="2"/>
      <c r="O8416" s="2"/>
      <c r="P8416" s="2" t="s">
        <v>25056</v>
      </c>
      <c r="Q8416" s="6">
        <v>100</v>
      </c>
      <c r="R8416" s="6">
        <v>3.7</v>
      </c>
      <c r="S8416" s="5">
        <v>-4.4000000000000004</v>
      </c>
      <c r="T8416" s="7">
        <v>6.556</v>
      </c>
      <c r="U8416" s="5">
        <v>2.1</v>
      </c>
      <c r="V8416" s="6">
        <v>-0.57999999999999996</v>
      </c>
      <c r="W8416" s="4">
        <v>2</v>
      </c>
      <c r="X8416" s="6">
        <v>1.88</v>
      </c>
      <c r="Y8416" s="6">
        <v>3.63</v>
      </c>
      <c r="Z8416" s="6">
        <v>3.63</v>
      </c>
      <c r="AA8416" s="6">
        <v>16.89</v>
      </c>
      <c r="AB8416" s="7">
        <v>16.489000000000001</v>
      </c>
      <c r="AC8416" s="2"/>
    </row>
    <row r="8417" spans="1:29" ht="78" x14ac:dyDescent="0.15">
      <c r="A8417" s="3">
        <f>DATE(2007,1,22)</f>
        <v>39104</v>
      </c>
      <c r="B8417" s="2"/>
      <c r="C8417" s="2" t="s">
        <v>7330</v>
      </c>
      <c r="D8417" s="2" t="s">
        <v>25057</v>
      </c>
      <c r="E8417" s="2" t="s">
        <v>386</v>
      </c>
      <c r="F8417" s="4">
        <v>6726</v>
      </c>
      <c r="G8417" s="2" t="s">
        <v>53</v>
      </c>
      <c r="H8417" s="2" t="s">
        <v>34</v>
      </c>
      <c r="I8417" s="2" t="s">
        <v>25058</v>
      </c>
      <c r="J8417" s="2" t="s">
        <v>21634</v>
      </c>
      <c r="K8417" s="2" t="s">
        <v>53</v>
      </c>
      <c r="L8417" s="2" t="s">
        <v>34</v>
      </c>
      <c r="M8417" s="2"/>
      <c r="N8417" s="2"/>
      <c r="O8417" s="2"/>
      <c r="P8417" s="2" t="s">
        <v>25059</v>
      </c>
      <c r="Q8417" s="2"/>
      <c r="R8417" s="6">
        <v>14.16</v>
      </c>
      <c r="S8417" s="2"/>
      <c r="T8417" s="2"/>
      <c r="U8417" s="2"/>
      <c r="V8417" s="2"/>
      <c r="W8417" s="7">
        <v>14.012</v>
      </c>
      <c r="X8417" s="6">
        <v>14.07</v>
      </c>
      <c r="Y8417" s="6">
        <v>13.95</v>
      </c>
      <c r="Z8417" s="4">
        <v>14</v>
      </c>
      <c r="AA8417" s="6">
        <v>4.53</v>
      </c>
      <c r="AB8417" s="2" t="s">
        <v>47</v>
      </c>
      <c r="AC8417" s="2"/>
    </row>
    <row r="8418" spans="1:29" ht="130" x14ac:dyDescent="0.15">
      <c r="A8418" s="3">
        <f>DATE(2007,1,23)</f>
        <v>39105</v>
      </c>
      <c r="B8418" s="2"/>
      <c r="C8418" s="2" t="s">
        <v>7330</v>
      </c>
      <c r="D8418" s="2" t="s">
        <v>25060</v>
      </c>
      <c r="E8418" s="2" t="s">
        <v>25061</v>
      </c>
      <c r="F8418" s="4">
        <v>7361</v>
      </c>
      <c r="G8418" s="2" t="s">
        <v>223</v>
      </c>
      <c r="H8418" s="2" t="s">
        <v>34</v>
      </c>
      <c r="I8418" s="2" t="s">
        <v>51</v>
      </c>
      <c r="J8418" s="2" t="s">
        <v>52</v>
      </c>
      <c r="K8418" s="2" t="s">
        <v>53</v>
      </c>
      <c r="L8418" s="2" t="s">
        <v>34</v>
      </c>
      <c r="M8418" s="2"/>
      <c r="N8418" s="2"/>
      <c r="O8418" s="2"/>
      <c r="P8418" s="2" t="s">
        <v>25062</v>
      </c>
      <c r="Q8418" s="2"/>
      <c r="R8418" s="6">
        <v>7.5</v>
      </c>
      <c r="S8418" s="5">
        <v>1.3</v>
      </c>
      <c r="T8418" s="7">
        <v>3.0510000000000002</v>
      </c>
      <c r="U8418" s="5">
        <v>7.2</v>
      </c>
      <c r="V8418" s="6">
        <v>0.45</v>
      </c>
      <c r="W8418" s="6">
        <v>6.51</v>
      </c>
      <c r="X8418" s="5">
        <v>6.8</v>
      </c>
      <c r="Y8418" s="4">
        <v>7</v>
      </c>
      <c r="Z8418" s="6">
        <v>7.59</v>
      </c>
      <c r="AA8418" s="6">
        <v>2.93</v>
      </c>
      <c r="AB8418" s="7">
        <v>7.7649999999999997</v>
      </c>
      <c r="AC8418" s="2"/>
    </row>
    <row r="8419" spans="1:29" ht="143" x14ac:dyDescent="0.15">
      <c r="A8419" s="3">
        <f>DATE(2007,1,23)</f>
        <v>39105</v>
      </c>
      <c r="B8419" s="3">
        <f>DATE(2007,6,30)</f>
        <v>39263</v>
      </c>
      <c r="C8419" s="2" t="s">
        <v>95</v>
      </c>
      <c r="D8419" s="2" t="s">
        <v>25063</v>
      </c>
      <c r="E8419" s="2" t="s">
        <v>159</v>
      </c>
      <c r="F8419" s="4">
        <v>6022</v>
      </c>
      <c r="G8419" s="2" t="s">
        <v>37</v>
      </c>
      <c r="H8419" s="2" t="s">
        <v>34</v>
      </c>
      <c r="I8419" s="2" t="s">
        <v>4018</v>
      </c>
      <c r="J8419" s="2" t="s">
        <v>159</v>
      </c>
      <c r="K8419" s="2" t="s">
        <v>37</v>
      </c>
      <c r="L8419" s="2" t="s">
        <v>34</v>
      </c>
      <c r="M8419" s="12">
        <v>3903.3380000000002</v>
      </c>
      <c r="N8419" s="6">
        <v>24.45</v>
      </c>
      <c r="O8419" s="6">
        <v>24.55</v>
      </c>
      <c r="P8419" s="2" t="s">
        <v>25064</v>
      </c>
      <c r="Q8419" s="6">
        <v>100</v>
      </c>
      <c r="R8419" s="2"/>
      <c r="S8419" s="5">
        <v>12.6</v>
      </c>
      <c r="T8419" s="7">
        <v>19.446000000000002</v>
      </c>
      <c r="U8419" s="5">
        <v>14.9</v>
      </c>
      <c r="V8419" s="6">
        <v>2</v>
      </c>
      <c r="W8419" s="6">
        <v>37.72</v>
      </c>
      <c r="X8419" s="5">
        <v>37.5</v>
      </c>
      <c r="Y8419" s="6">
        <v>48.41</v>
      </c>
      <c r="Z8419" s="6">
        <v>48.48</v>
      </c>
      <c r="AA8419" s="6">
        <v>6.06</v>
      </c>
      <c r="AB8419" s="7">
        <v>22.359000000000002</v>
      </c>
      <c r="AC8419" s="2"/>
    </row>
    <row r="8420" spans="1:29" ht="143" x14ac:dyDescent="0.15">
      <c r="A8420" s="3">
        <f>DATE(2007,1,25)</f>
        <v>39107</v>
      </c>
      <c r="B8420" s="3">
        <f>DATE(2007,5,18)</f>
        <v>39220</v>
      </c>
      <c r="C8420" s="2" t="s">
        <v>95</v>
      </c>
      <c r="D8420" s="2" t="s">
        <v>25065</v>
      </c>
      <c r="E8420" s="2" t="s">
        <v>159</v>
      </c>
      <c r="F8420" s="4">
        <v>6021</v>
      </c>
      <c r="G8420" s="2" t="s">
        <v>37</v>
      </c>
      <c r="H8420" s="2" t="s">
        <v>34</v>
      </c>
      <c r="I8420" s="2" t="s">
        <v>25066</v>
      </c>
      <c r="J8420" s="2" t="s">
        <v>159</v>
      </c>
      <c r="K8420" s="2" t="s">
        <v>37</v>
      </c>
      <c r="L8420" s="2" t="s">
        <v>34</v>
      </c>
      <c r="M8420" s="7">
        <v>387.32600000000002</v>
      </c>
      <c r="N8420" s="6">
        <v>36.67</v>
      </c>
      <c r="O8420" s="6">
        <v>35.909999999999997</v>
      </c>
      <c r="P8420" s="2" t="s">
        <v>25067</v>
      </c>
      <c r="Q8420" s="6">
        <v>100</v>
      </c>
      <c r="R8420" s="6">
        <v>10.25</v>
      </c>
      <c r="S8420" s="5">
        <v>6.7</v>
      </c>
      <c r="T8420" s="7">
        <v>7.2119999999999997</v>
      </c>
      <c r="U8420" s="5">
        <v>3.4</v>
      </c>
      <c r="V8420" s="6">
        <v>0.42</v>
      </c>
      <c r="W8420" s="5">
        <v>7.9</v>
      </c>
      <c r="X8420" s="6">
        <v>7.98</v>
      </c>
      <c r="Y8420" s="4">
        <v>8</v>
      </c>
      <c r="Z8420" s="5">
        <v>9.6</v>
      </c>
      <c r="AA8420" s="6">
        <v>15.9</v>
      </c>
      <c r="AB8420" s="7">
        <v>46.511000000000003</v>
      </c>
      <c r="AC8420" s="2"/>
    </row>
    <row r="8421" spans="1:29" ht="182" x14ac:dyDescent="0.15">
      <c r="A8421" s="3">
        <f>DATE(2007,1,25)</f>
        <v>39107</v>
      </c>
      <c r="B8421" s="2"/>
      <c r="C8421" s="2" t="s">
        <v>30</v>
      </c>
      <c r="D8421" s="2" t="s">
        <v>24895</v>
      </c>
      <c r="E8421" s="2" t="s">
        <v>849</v>
      </c>
      <c r="F8421" s="4">
        <v>7372</v>
      </c>
      <c r="G8421" s="2" t="s">
        <v>551</v>
      </c>
      <c r="H8421" s="2" t="s">
        <v>34</v>
      </c>
      <c r="I8421" s="2" t="s">
        <v>25068</v>
      </c>
      <c r="J8421" s="2" t="s">
        <v>25069</v>
      </c>
      <c r="K8421" s="2" t="s">
        <v>551</v>
      </c>
      <c r="L8421" s="2" t="s">
        <v>34</v>
      </c>
      <c r="M8421" s="7">
        <v>77.623999999999995</v>
      </c>
      <c r="N8421" s="6">
        <v>26.36</v>
      </c>
      <c r="O8421" s="5">
        <v>25.4</v>
      </c>
      <c r="P8421" s="2" t="s">
        <v>25070</v>
      </c>
      <c r="Q8421" s="2"/>
      <c r="R8421" s="2"/>
      <c r="S8421" s="5">
        <v>3.4</v>
      </c>
      <c r="T8421" s="7">
        <v>15.305</v>
      </c>
      <c r="U8421" s="5">
        <v>2.9</v>
      </c>
      <c r="V8421" s="6">
        <v>0.3</v>
      </c>
      <c r="W8421" s="6">
        <v>7.35</v>
      </c>
      <c r="X8421" s="5">
        <v>7.5</v>
      </c>
      <c r="Y8421" s="6">
        <v>9.76</v>
      </c>
      <c r="Z8421" s="6">
        <v>9.7799999999999994</v>
      </c>
      <c r="AA8421" s="6">
        <v>11.69</v>
      </c>
      <c r="AB8421" s="2" t="s">
        <v>47</v>
      </c>
      <c r="AC8421" s="6">
        <v>5.01</v>
      </c>
    </row>
    <row r="8422" spans="1:29" ht="65" x14ac:dyDescent="0.15">
      <c r="A8422" s="3">
        <f>DATE(2007,1,26)</f>
        <v>39108</v>
      </c>
      <c r="B8422" s="2"/>
      <c r="C8422" s="2" t="s">
        <v>87</v>
      </c>
      <c r="D8422" s="2" t="s">
        <v>25071</v>
      </c>
      <c r="E8422" s="2" t="s">
        <v>849</v>
      </c>
      <c r="F8422" s="4">
        <v>7372</v>
      </c>
      <c r="G8422" s="2" t="s">
        <v>551</v>
      </c>
      <c r="H8422" s="2" t="s">
        <v>34</v>
      </c>
      <c r="I8422" s="2" t="s">
        <v>8588</v>
      </c>
      <c r="J8422" s="2" t="s">
        <v>8589</v>
      </c>
      <c r="K8422" s="2" t="s">
        <v>551</v>
      </c>
      <c r="L8422" s="2" t="s">
        <v>34</v>
      </c>
      <c r="M8422" s="12">
        <v>88822.751000000004</v>
      </c>
      <c r="N8422" s="6">
        <v>17.149999999999999</v>
      </c>
      <c r="O8422" s="6">
        <v>17.27</v>
      </c>
      <c r="P8422" s="2" t="s">
        <v>25072</v>
      </c>
      <c r="Q8422" s="2"/>
      <c r="R8422" s="2"/>
      <c r="S8422" s="5">
        <v>59.5</v>
      </c>
      <c r="T8422" s="7">
        <v>156.239</v>
      </c>
      <c r="U8422" s="5">
        <v>14.4</v>
      </c>
      <c r="V8422" s="9">
        <v>0.63970000000000005</v>
      </c>
      <c r="W8422" s="11">
        <v>47.520949999999999</v>
      </c>
      <c r="X8422" s="7">
        <v>47.384999999999998</v>
      </c>
      <c r="Y8422" s="6">
        <v>37.549999999999997</v>
      </c>
      <c r="Z8422" s="6">
        <v>37.909999999999997</v>
      </c>
      <c r="AA8422" s="6">
        <v>96.67</v>
      </c>
      <c r="AB8422" s="2" t="s">
        <v>47</v>
      </c>
      <c r="AC8422" s="8">
        <v>7825</v>
      </c>
    </row>
    <row r="8423" spans="1:29" ht="143" x14ac:dyDescent="0.15">
      <c r="A8423" s="3">
        <f>DATE(2007,1,26)</f>
        <v>39108</v>
      </c>
      <c r="B8423" s="3">
        <f>DATE(2007,7,16)</f>
        <v>39279</v>
      </c>
      <c r="C8423" s="2" t="s">
        <v>95</v>
      </c>
      <c r="D8423" s="2" t="s">
        <v>23691</v>
      </c>
      <c r="E8423" s="2" t="s">
        <v>36</v>
      </c>
      <c r="F8423" s="4">
        <v>6021</v>
      </c>
      <c r="G8423" s="2" t="s">
        <v>37</v>
      </c>
      <c r="H8423" s="2" t="s">
        <v>34</v>
      </c>
      <c r="I8423" s="2" t="s">
        <v>2392</v>
      </c>
      <c r="J8423" s="2" t="s">
        <v>36</v>
      </c>
      <c r="K8423" s="2" t="s">
        <v>37</v>
      </c>
      <c r="L8423" s="2" t="s">
        <v>34</v>
      </c>
      <c r="M8423" s="12">
        <v>1590.8030000000001</v>
      </c>
      <c r="N8423" s="6">
        <v>36.270000000000003</v>
      </c>
      <c r="O8423" s="6">
        <v>35.92</v>
      </c>
      <c r="P8423" s="2" t="s">
        <v>25073</v>
      </c>
      <c r="Q8423" s="6">
        <v>100</v>
      </c>
      <c r="R8423" s="6">
        <v>34</v>
      </c>
      <c r="S8423" s="5">
        <v>7.8</v>
      </c>
      <c r="T8423" s="7">
        <v>13.521000000000001</v>
      </c>
      <c r="U8423" s="5">
        <v>12.6</v>
      </c>
      <c r="V8423" s="6">
        <v>1.45</v>
      </c>
      <c r="W8423" s="6">
        <v>19.95</v>
      </c>
      <c r="X8423" s="6">
        <v>19.91</v>
      </c>
      <c r="Y8423" s="5">
        <v>20.2</v>
      </c>
      <c r="Z8423" s="6">
        <v>33.18</v>
      </c>
      <c r="AA8423" s="6">
        <v>5.7</v>
      </c>
      <c r="AB8423" s="7">
        <v>25.303999999999998</v>
      </c>
      <c r="AC8423" s="2"/>
    </row>
    <row r="8424" spans="1:29" ht="273" x14ac:dyDescent="0.15">
      <c r="A8424" s="3">
        <f>DATE(2007,1,28)</f>
        <v>39110</v>
      </c>
      <c r="B8424" s="3">
        <f>DATE(2007,7,20)</f>
        <v>39283</v>
      </c>
      <c r="C8424" s="2" t="s">
        <v>95</v>
      </c>
      <c r="D8424" s="2" t="s">
        <v>25074</v>
      </c>
      <c r="E8424" s="2" t="s">
        <v>9421</v>
      </c>
      <c r="F8424" s="4">
        <v>8299</v>
      </c>
      <c r="G8424" s="2" t="s">
        <v>415</v>
      </c>
      <c r="H8424" s="2" t="s">
        <v>34</v>
      </c>
      <c r="I8424" s="2" t="s">
        <v>51</v>
      </c>
      <c r="J8424" s="2" t="s">
        <v>52</v>
      </c>
      <c r="K8424" s="2" t="s">
        <v>53</v>
      </c>
      <c r="L8424" s="2" t="s">
        <v>34</v>
      </c>
      <c r="M8424" s="2"/>
      <c r="N8424" s="2"/>
      <c r="O8424" s="2"/>
      <c r="P8424" s="2" t="s">
        <v>25075</v>
      </c>
      <c r="Q8424" s="6">
        <v>100</v>
      </c>
      <c r="R8424" s="6">
        <v>62</v>
      </c>
      <c r="S8424" s="5">
        <v>78.3</v>
      </c>
      <c r="T8424" s="7">
        <v>206.77500000000001</v>
      </c>
      <c r="U8424" s="5">
        <v>21</v>
      </c>
      <c r="V8424" s="6">
        <v>1.53</v>
      </c>
      <c r="W8424" s="6">
        <v>53.05</v>
      </c>
      <c r="X8424" s="6">
        <v>54.41</v>
      </c>
      <c r="Y8424" s="5">
        <v>60.8</v>
      </c>
      <c r="Z8424" s="5">
        <v>60.8</v>
      </c>
      <c r="AA8424" s="6">
        <v>51.44</v>
      </c>
      <c r="AB8424" s="7">
        <v>26.798999999999999</v>
      </c>
      <c r="AC8424" s="2"/>
    </row>
    <row r="8425" spans="1:29" ht="91" x14ac:dyDescent="0.15">
      <c r="A8425" s="3">
        <f>DATE(2007,1,29)</f>
        <v>39111</v>
      </c>
      <c r="B8425" s="3">
        <f>DATE(2007,4,6)</f>
        <v>39178</v>
      </c>
      <c r="C8425" s="2" t="s">
        <v>95</v>
      </c>
      <c r="D8425" s="2" t="s">
        <v>25076</v>
      </c>
      <c r="E8425" s="2" t="s">
        <v>25077</v>
      </c>
      <c r="F8425" s="4">
        <v>7372</v>
      </c>
      <c r="G8425" s="2" t="s">
        <v>551</v>
      </c>
      <c r="H8425" s="2" t="s">
        <v>34</v>
      </c>
      <c r="I8425" s="2" t="s">
        <v>17338</v>
      </c>
      <c r="J8425" s="2" t="s">
        <v>17339</v>
      </c>
      <c r="K8425" s="2" t="s">
        <v>551</v>
      </c>
      <c r="L8425" s="2" t="s">
        <v>34</v>
      </c>
      <c r="M8425" s="12">
        <v>19557.667000000001</v>
      </c>
      <c r="N8425" s="6">
        <v>17.52</v>
      </c>
      <c r="O8425" s="6">
        <v>17.62</v>
      </c>
      <c r="P8425" s="2" t="s">
        <v>25078</v>
      </c>
      <c r="Q8425" s="6">
        <v>100</v>
      </c>
      <c r="R8425" s="6">
        <v>33</v>
      </c>
      <c r="S8425" s="5">
        <v>15.2</v>
      </c>
      <c r="T8425" s="7">
        <v>33.231000000000002</v>
      </c>
      <c r="U8425" s="5">
        <v>9.1</v>
      </c>
      <c r="V8425" s="6">
        <v>0.52</v>
      </c>
      <c r="W8425" s="6">
        <v>26.19</v>
      </c>
      <c r="X8425" s="6">
        <v>27.14</v>
      </c>
      <c r="Y8425" s="6">
        <v>32.549999999999997</v>
      </c>
      <c r="Z8425" s="5">
        <v>32.799999999999997</v>
      </c>
      <c r="AA8425" s="6">
        <v>29.5</v>
      </c>
      <c r="AB8425" s="7">
        <v>44.258000000000003</v>
      </c>
      <c r="AC8425" s="10">
        <v>2977.61</v>
      </c>
    </row>
    <row r="8426" spans="1:29" ht="52" x14ac:dyDescent="0.15">
      <c r="A8426" s="3">
        <f>DATE(2007,1,29)</f>
        <v>39111</v>
      </c>
      <c r="B8426" s="2"/>
      <c r="C8426" s="2" t="s">
        <v>39</v>
      </c>
      <c r="D8426" s="2" t="s">
        <v>629</v>
      </c>
      <c r="E8426" s="2" t="s">
        <v>630</v>
      </c>
      <c r="F8426" s="4">
        <v>2834</v>
      </c>
      <c r="G8426" s="2" t="s">
        <v>130</v>
      </c>
      <c r="H8426" s="2" t="s">
        <v>34</v>
      </c>
      <c r="I8426" s="2" t="s">
        <v>25079</v>
      </c>
      <c r="J8426" s="2" t="s">
        <v>129</v>
      </c>
      <c r="K8426" s="2" t="s">
        <v>130</v>
      </c>
      <c r="L8426" s="2" t="s">
        <v>133</v>
      </c>
      <c r="M8426" s="12">
        <v>125482.463</v>
      </c>
      <c r="N8426" s="6">
        <v>89.39</v>
      </c>
      <c r="O8426" s="7">
        <v>88.807000000000002</v>
      </c>
      <c r="P8426" s="2" t="s">
        <v>25080</v>
      </c>
      <c r="Q8426" s="2"/>
      <c r="R8426" s="2"/>
      <c r="S8426" s="8">
        <v>1585</v>
      </c>
      <c r="T8426" s="8">
        <v>3804</v>
      </c>
      <c r="U8426" s="5">
        <v>5.0999999999999996</v>
      </c>
      <c r="V8426" s="6">
        <v>0.81</v>
      </c>
      <c r="W8426" s="6">
        <v>26.48</v>
      </c>
      <c r="X8426" s="6">
        <v>26.21</v>
      </c>
      <c r="Y8426" s="6">
        <v>27.43</v>
      </c>
      <c r="Z8426" s="6">
        <v>28.03</v>
      </c>
      <c r="AA8426" s="10">
        <v>1966.73</v>
      </c>
      <c r="AB8426" s="2" t="s">
        <v>47</v>
      </c>
      <c r="AC8426" s="8">
        <v>1664.4</v>
      </c>
    </row>
    <row r="8427" spans="1:29" ht="117" x14ac:dyDescent="0.15">
      <c r="A8427" s="3">
        <f>DATE(2007,1,29)</f>
        <v>39111</v>
      </c>
      <c r="B8427" s="3">
        <f>DATE(2007,9,21)</f>
        <v>39346</v>
      </c>
      <c r="C8427" s="2" t="s">
        <v>95</v>
      </c>
      <c r="D8427" s="2" t="s">
        <v>24122</v>
      </c>
      <c r="E8427" s="2" t="s">
        <v>3780</v>
      </c>
      <c r="F8427" s="4">
        <v>6021</v>
      </c>
      <c r="G8427" s="2" t="s">
        <v>37</v>
      </c>
      <c r="H8427" s="2" t="s">
        <v>34</v>
      </c>
      <c r="I8427" s="2" t="s">
        <v>11003</v>
      </c>
      <c r="J8427" s="2" t="s">
        <v>11004</v>
      </c>
      <c r="K8427" s="2" t="s">
        <v>53</v>
      </c>
      <c r="L8427" s="2" t="s">
        <v>34</v>
      </c>
      <c r="M8427" s="12">
        <v>82049.682000000001</v>
      </c>
      <c r="N8427" s="6">
        <v>92.39</v>
      </c>
      <c r="O8427" s="6">
        <v>92.76</v>
      </c>
      <c r="P8427" s="2" t="s">
        <v>25081</v>
      </c>
      <c r="Q8427" s="6">
        <v>100</v>
      </c>
      <c r="R8427" s="6">
        <v>55</v>
      </c>
      <c r="S8427" s="5">
        <v>69.2</v>
      </c>
      <c r="T8427" s="7">
        <v>124.626</v>
      </c>
      <c r="U8427" s="5">
        <v>21.7</v>
      </c>
      <c r="V8427" s="6">
        <v>2.21</v>
      </c>
      <c r="W8427" s="6">
        <v>38.549999999999997</v>
      </c>
      <c r="X8427" s="5">
        <v>38.299999999999997</v>
      </c>
      <c r="Y8427" s="6">
        <v>53.63</v>
      </c>
      <c r="Z8427" s="6">
        <v>53.59</v>
      </c>
      <c r="AA8427" s="6">
        <v>27.03</v>
      </c>
      <c r="AB8427" s="7">
        <v>117.02</v>
      </c>
      <c r="AC8427" s="8">
        <v>45276</v>
      </c>
    </row>
    <row r="8428" spans="1:29" ht="117" x14ac:dyDescent="0.15">
      <c r="A8428" s="3">
        <f>DATE(2007,1,29)</f>
        <v>39111</v>
      </c>
      <c r="B8428" s="3">
        <f>DATE(2007,3,28)</f>
        <v>39169</v>
      </c>
      <c r="C8428" s="2" t="s">
        <v>95</v>
      </c>
      <c r="D8428" s="2" t="s">
        <v>17012</v>
      </c>
      <c r="E8428" s="2" t="s">
        <v>17013</v>
      </c>
      <c r="F8428" s="4">
        <v>3826</v>
      </c>
      <c r="G8428" s="2" t="s">
        <v>226</v>
      </c>
      <c r="H8428" s="2" t="s">
        <v>34</v>
      </c>
      <c r="I8428" s="2" t="s">
        <v>25082</v>
      </c>
      <c r="J8428" s="2" t="s">
        <v>25083</v>
      </c>
      <c r="K8428" s="2" t="s">
        <v>454</v>
      </c>
      <c r="L8428" s="2" t="s">
        <v>902</v>
      </c>
      <c r="M8428" s="12">
        <v>2634.692</v>
      </c>
      <c r="N8428" s="7">
        <v>17.268000000000001</v>
      </c>
      <c r="O8428" s="7">
        <v>17.294</v>
      </c>
      <c r="P8428" s="2" t="s">
        <v>25084</v>
      </c>
      <c r="Q8428" s="6">
        <v>100</v>
      </c>
      <c r="R8428" s="6">
        <v>35.5</v>
      </c>
      <c r="S8428" s="5">
        <v>10.8</v>
      </c>
      <c r="T8428" s="7">
        <v>31.372</v>
      </c>
      <c r="U8428" s="5">
        <v>13.2</v>
      </c>
      <c r="V8428" s="6">
        <v>0.64</v>
      </c>
      <c r="W8428" s="6">
        <v>23.11</v>
      </c>
      <c r="X8428" s="6">
        <v>23.88</v>
      </c>
      <c r="Y8428" s="6">
        <v>35.07</v>
      </c>
      <c r="Z8428" s="6">
        <v>35.17</v>
      </c>
      <c r="AA8428" s="6">
        <v>16.48</v>
      </c>
      <c r="AB8428" s="7">
        <v>28.521999999999998</v>
      </c>
      <c r="AC8428" s="6">
        <v>387.21</v>
      </c>
    </row>
    <row r="8429" spans="1:29" ht="130" x14ac:dyDescent="0.15">
      <c r="A8429" s="3">
        <f>DATE(2007,1,29)</f>
        <v>39111</v>
      </c>
      <c r="B8429" s="3">
        <f>DATE(2007,4,2)</f>
        <v>39174</v>
      </c>
      <c r="C8429" s="2" t="s">
        <v>95</v>
      </c>
      <c r="D8429" s="2" t="s">
        <v>25085</v>
      </c>
      <c r="E8429" s="2" t="s">
        <v>3232</v>
      </c>
      <c r="F8429" s="4">
        <v>4953</v>
      </c>
      <c r="G8429" s="2" t="s">
        <v>116</v>
      </c>
      <c r="H8429" s="2" t="s">
        <v>34</v>
      </c>
      <c r="I8429" s="2" t="s">
        <v>243</v>
      </c>
      <c r="J8429" s="2" t="s">
        <v>244</v>
      </c>
      <c r="K8429" s="2" t="s">
        <v>53</v>
      </c>
      <c r="L8429" s="2" t="s">
        <v>34</v>
      </c>
      <c r="M8429" s="2"/>
      <c r="N8429" s="2"/>
      <c r="O8429" s="2"/>
      <c r="P8429" s="2" t="s">
        <v>25086</v>
      </c>
      <c r="Q8429" s="6">
        <v>100</v>
      </c>
      <c r="R8429" s="6">
        <v>5.76</v>
      </c>
      <c r="S8429" s="5">
        <v>8</v>
      </c>
      <c r="T8429" s="7">
        <v>57.667999999999999</v>
      </c>
      <c r="U8429" s="5">
        <v>2.2999999999999998</v>
      </c>
      <c r="V8429" s="6">
        <v>0.11</v>
      </c>
      <c r="W8429" s="6">
        <v>4.3499999999999996</v>
      </c>
      <c r="X8429" s="6">
        <v>4.4800000000000004</v>
      </c>
      <c r="Y8429" s="6">
        <v>5.72</v>
      </c>
      <c r="Z8429" s="6">
        <v>5.78</v>
      </c>
      <c r="AA8429" s="6">
        <v>77.7</v>
      </c>
      <c r="AB8429" s="7">
        <v>21.713999999999999</v>
      </c>
      <c r="AC8429" s="2"/>
    </row>
    <row r="8430" spans="1:29" ht="117" x14ac:dyDescent="0.15">
      <c r="A8430" s="3">
        <f>DATE(2007,1,31)</f>
        <v>39113</v>
      </c>
      <c r="B8430" s="3">
        <f>DATE(2007,3,30)</f>
        <v>39171</v>
      </c>
      <c r="C8430" s="2" t="s">
        <v>95</v>
      </c>
      <c r="D8430" s="2" t="s">
        <v>16138</v>
      </c>
      <c r="E8430" s="2" t="s">
        <v>25087</v>
      </c>
      <c r="F8430" s="4">
        <v>2023</v>
      </c>
      <c r="G8430" s="2" t="s">
        <v>577</v>
      </c>
      <c r="H8430" s="2" t="s">
        <v>34</v>
      </c>
      <c r="I8430" s="2" t="s">
        <v>278</v>
      </c>
      <c r="J8430" s="2" t="s">
        <v>52</v>
      </c>
      <c r="K8430" s="2" t="s">
        <v>53</v>
      </c>
      <c r="L8430" s="2" t="s">
        <v>34</v>
      </c>
      <c r="M8430" s="2"/>
      <c r="N8430" s="2"/>
      <c r="O8430" s="2"/>
      <c r="P8430" s="2" t="s">
        <v>25088</v>
      </c>
      <c r="Q8430" s="6">
        <v>89.3</v>
      </c>
      <c r="R8430" s="6">
        <v>34.83</v>
      </c>
      <c r="S8430" s="8">
        <v>3060</v>
      </c>
      <c r="T8430" s="8">
        <v>6146</v>
      </c>
      <c r="U8430" s="5">
        <v>17.5</v>
      </c>
      <c r="V8430" s="6">
        <v>1.86</v>
      </c>
      <c r="W8430" s="6">
        <v>32.56</v>
      </c>
      <c r="X8430" s="6">
        <v>32.869999999999997</v>
      </c>
      <c r="Y8430" s="6">
        <v>33.03</v>
      </c>
      <c r="Z8430" s="6">
        <v>33.03</v>
      </c>
      <c r="AA8430" s="10">
        <v>1639.86</v>
      </c>
      <c r="AB8430" s="7">
        <v>12.856999999999999</v>
      </c>
      <c r="AC8430" s="2"/>
    </row>
    <row r="8431" spans="1:29" ht="130" x14ac:dyDescent="0.15">
      <c r="A8431" s="3">
        <f>DATE(2007,1,31)</f>
        <v>39113</v>
      </c>
      <c r="B8431" s="2"/>
      <c r="C8431" s="2" t="s">
        <v>30</v>
      </c>
      <c r="D8431" s="2" t="s">
        <v>25089</v>
      </c>
      <c r="E8431" s="2" t="s">
        <v>25090</v>
      </c>
      <c r="F8431" s="4">
        <v>1522</v>
      </c>
      <c r="G8431" s="2" t="s">
        <v>341</v>
      </c>
      <c r="H8431" s="2" t="s">
        <v>34</v>
      </c>
      <c r="I8431" s="2" t="s">
        <v>25091</v>
      </c>
      <c r="J8431" s="2" t="s">
        <v>1237</v>
      </c>
      <c r="K8431" s="2" t="s">
        <v>33</v>
      </c>
      <c r="L8431" s="2" t="s">
        <v>34</v>
      </c>
      <c r="M8431" s="7">
        <v>234.79499999999999</v>
      </c>
      <c r="N8431" s="5">
        <v>6.1</v>
      </c>
      <c r="O8431" s="5">
        <v>6.1</v>
      </c>
      <c r="P8431" s="2" t="s">
        <v>25092</v>
      </c>
      <c r="Q8431" s="2"/>
      <c r="R8431" s="6">
        <v>14.42</v>
      </c>
      <c r="S8431" s="5">
        <v>-9.1999999999999993</v>
      </c>
      <c r="T8431" s="7">
        <v>9.3559999999999999</v>
      </c>
      <c r="U8431" s="5">
        <v>86.6</v>
      </c>
      <c r="V8431" s="6">
        <v>-2.35</v>
      </c>
      <c r="W8431" s="6">
        <v>11.43</v>
      </c>
      <c r="X8431" s="6">
        <v>10.88</v>
      </c>
      <c r="Y8431" s="6">
        <v>14.16</v>
      </c>
      <c r="Z8431" s="5">
        <v>14.2</v>
      </c>
      <c r="AA8431" s="6">
        <v>19.829999999999998</v>
      </c>
      <c r="AB8431" s="7">
        <v>110.221</v>
      </c>
      <c r="AC8431" s="2"/>
    </row>
    <row r="8432" spans="1:29" ht="260" x14ac:dyDescent="0.15">
      <c r="A8432" s="3">
        <f>DATE(2007,1,31)</f>
        <v>39113</v>
      </c>
      <c r="B8432" s="3">
        <f>DATE(2007,5,16)</f>
        <v>39218</v>
      </c>
      <c r="C8432" s="2" t="s">
        <v>95</v>
      </c>
      <c r="D8432" s="2" t="s">
        <v>25093</v>
      </c>
      <c r="E8432" s="2" t="s">
        <v>2814</v>
      </c>
      <c r="F8432" s="4">
        <v>4812</v>
      </c>
      <c r="G8432" s="2" t="s">
        <v>63</v>
      </c>
      <c r="H8432" s="2" t="s">
        <v>34</v>
      </c>
      <c r="I8432" s="2" t="s">
        <v>1558</v>
      </c>
      <c r="J8432" s="2" t="s">
        <v>52</v>
      </c>
      <c r="K8432" s="2" t="s">
        <v>53</v>
      </c>
      <c r="L8432" s="2" t="s">
        <v>34</v>
      </c>
      <c r="M8432" s="2"/>
      <c r="N8432" s="5">
        <v>1.3</v>
      </c>
      <c r="O8432" s="5">
        <v>1.2</v>
      </c>
      <c r="P8432" s="2" t="s">
        <v>25094</v>
      </c>
      <c r="Q8432" s="6">
        <v>87.8</v>
      </c>
      <c r="R8432" s="6">
        <v>17.29</v>
      </c>
      <c r="S8432" s="5">
        <v>-219.1</v>
      </c>
      <c r="T8432" s="7">
        <v>127.471</v>
      </c>
      <c r="U8432" s="5">
        <v>-62.5</v>
      </c>
      <c r="V8432" s="9">
        <v>-28.5703</v>
      </c>
      <c r="W8432" s="6">
        <v>1.04</v>
      </c>
      <c r="X8432" s="6">
        <v>1.02</v>
      </c>
      <c r="Y8432" s="5">
        <v>1.3</v>
      </c>
      <c r="Z8432" s="5">
        <v>1.2</v>
      </c>
      <c r="AA8432" s="6">
        <v>59.22</v>
      </c>
      <c r="AB8432" s="2" t="s">
        <v>86</v>
      </c>
      <c r="AC8432" s="2"/>
    </row>
    <row r="8433" spans="1:29" ht="91" x14ac:dyDescent="0.15">
      <c r="A8433" s="3">
        <f>DATE(2007,2,1)</f>
        <v>39114</v>
      </c>
      <c r="B8433" s="2"/>
      <c r="C8433" s="2" t="s">
        <v>39</v>
      </c>
      <c r="D8433" s="2" t="s">
        <v>10367</v>
      </c>
      <c r="E8433" s="2" t="s">
        <v>10368</v>
      </c>
      <c r="F8433" s="4">
        <v>7372</v>
      </c>
      <c r="G8433" s="2" t="s">
        <v>551</v>
      </c>
      <c r="H8433" s="2" t="s">
        <v>34</v>
      </c>
      <c r="I8433" s="2" t="s">
        <v>143</v>
      </c>
      <c r="J8433" s="2" t="s">
        <v>144</v>
      </c>
      <c r="K8433" s="2" t="s">
        <v>53</v>
      </c>
      <c r="L8433" s="2" t="s">
        <v>139</v>
      </c>
      <c r="M8433" s="2"/>
      <c r="N8433" s="2"/>
      <c r="O8433" s="2"/>
      <c r="P8433" s="2" t="s">
        <v>25095</v>
      </c>
      <c r="Q8433" s="2"/>
      <c r="R8433" s="2"/>
      <c r="S8433" s="5">
        <v>-315.3</v>
      </c>
      <c r="T8433" s="7">
        <v>-123.03700000000001</v>
      </c>
      <c r="U8433" s="5">
        <v>7.3</v>
      </c>
      <c r="V8433" s="6">
        <v>-1.55</v>
      </c>
      <c r="W8433" s="6">
        <v>19.89</v>
      </c>
      <c r="X8433" s="6">
        <v>19.489999999999998</v>
      </c>
      <c r="Y8433" s="6">
        <v>19.489999999999998</v>
      </c>
      <c r="Z8433" s="5">
        <v>19.600000000000001</v>
      </c>
      <c r="AA8433" s="6">
        <v>202.01</v>
      </c>
      <c r="AB8433" s="2" t="s">
        <v>86</v>
      </c>
      <c r="AC8433" s="2"/>
    </row>
    <row r="8434" spans="1:29" ht="156" x14ac:dyDescent="0.15">
      <c r="A8434" s="3">
        <f>DATE(2007,2,1)</f>
        <v>39114</v>
      </c>
      <c r="B8434" s="3">
        <f>DATE(2007,7,9)</f>
        <v>39272</v>
      </c>
      <c r="C8434" s="2" t="s">
        <v>95</v>
      </c>
      <c r="D8434" s="2" t="s">
        <v>25096</v>
      </c>
      <c r="E8434" s="2" t="s">
        <v>4060</v>
      </c>
      <c r="F8434" s="4">
        <v>6282</v>
      </c>
      <c r="G8434" s="2" t="s">
        <v>53</v>
      </c>
      <c r="H8434" s="2" t="s">
        <v>34</v>
      </c>
      <c r="I8434" s="2" t="s">
        <v>25097</v>
      </c>
      <c r="J8434" s="2" t="s">
        <v>2337</v>
      </c>
      <c r="K8434" s="2" t="s">
        <v>37</v>
      </c>
      <c r="L8434" s="2" t="s">
        <v>34</v>
      </c>
      <c r="M8434" s="7">
        <v>133.00200000000001</v>
      </c>
      <c r="N8434" s="5">
        <v>21.5</v>
      </c>
      <c r="O8434" s="6">
        <v>21.72</v>
      </c>
      <c r="P8434" s="2" t="s">
        <v>25098</v>
      </c>
      <c r="Q8434" s="6">
        <v>100</v>
      </c>
      <c r="R8434" s="6">
        <v>31.5</v>
      </c>
      <c r="S8434" s="2"/>
      <c r="T8434" s="2"/>
      <c r="U8434" s="2"/>
      <c r="V8434" s="2"/>
      <c r="W8434" s="5">
        <v>22.4</v>
      </c>
      <c r="X8434" s="6">
        <v>22.35</v>
      </c>
      <c r="Y8434" s="6">
        <v>22.35</v>
      </c>
      <c r="Z8434" s="6">
        <v>30.55</v>
      </c>
      <c r="AA8434" s="6">
        <v>1.24</v>
      </c>
      <c r="AB8434" s="2" t="s">
        <v>47</v>
      </c>
      <c r="AC8434" s="2"/>
    </row>
    <row r="8435" spans="1:29" ht="91" x14ac:dyDescent="0.15">
      <c r="A8435" s="3">
        <f>DATE(2007,2,2)</f>
        <v>39115</v>
      </c>
      <c r="B8435" s="2"/>
      <c r="C8435" s="2" t="s">
        <v>30</v>
      </c>
      <c r="D8435" s="2" t="s">
        <v>25099</v>
      </c>
      <c r="E8435" s="2" t="s">
        <v>25100</v>
      </c>
      <c r="F8435" s="4">
        <v>5122</v>
      </c>
      <c r="G8435" s="2" t="s">
        <v>593</v>
      </c>
      <c r="H8435" s="2" t="s">
        <v>34</v>
      </c>
      <c r="I8435" s="2" t="s">
        <v>25101</v>
      </c>
      <c r="J8435" s="2" t="s">
        <v>12755</v>
      </c>
      <c r="K8435" s="2" t="s">
        <v>53</v>
      </c>
      <c r="L8435" s="2" t="s">
        <v>34</v>
      </c>
      <c r="M8435" s="2"/>
      <c r="N8435" s="2"/>
      <c r="O8435" s="2"/>
      <c r="P8435" s="2" t="s">
        <v>25102</v>
      </c>
      <c r="Q8435" s="2"/>
      <c r="R8435" s="6">
        <v>38</v>
      </c>
      <c r="S8435" s="2"/>
      <c r="T8435" s="2"/>
      <c r="U8435" s="2"/>
      <c r="V8435" s="2"/>
      <c r="W8435" s="13">
        <v>0</v>
      </c>
      <c r="X8435" s="6">
        <v>32.72</v>
      </c>
      <c r="Y8435" s="5">
        <v>33.1</v>
      </c>
      <c r="Z8435" s="6">
        <v>40.119999999999997</v>
      </c>
      <c r="AA8435" s="6">
        <v>71.27</v>
      </c>
      <c r="AB8435" s="2" t="s">
        <v>47</v>
      </c>
      <c r="AC8435" s="2"/>
    </row>
    <row r="8436" spans="1:29" ht="195" x14ac:dyDescent="0.15">
      <c r="A8436" s="3">
        <f>DATE(2007,2,4)</f>
        <v>39117</v>
      </c>
      <c r="B8436" s="2"/>
      <c r="C8436" s="2" t="s">
        <v>30</v>
      </c>
      <c r="D8436" s="2" t="s">
        <v>17885</v>
      </c>
      <c r="E8436" s="2" t="s">
        <v>17886</v>
      </c>
      <c r="F8436" s="4">
        <v>8062</v>
      </c>
      <c r="G8436" s="2" t="s">
        <v>454</v>
      </c>
      <c r="H8436" s="2" t="s">
        <v>34</v>
      </c>
      <c r="I8436" s="2" t="s">
        <v>51</v>
      </c>
      <c r="J8436" s="2" t="s">
        <v>52</v>
      </c>
      <c r="K8436" s="2" t="s">
        <v>53</v>
      </c>
      <c r="L8436" s="2" t="s">
        <v>34</v>
      </c>
      <c r="M8436" s="2"/>
      <c r="N8436" s="2"/>
      <c r="O8436" s="2"/>
      <c r="P8436" s="2" t="s">
        <v>25103</v>
      </c>
      <c r="Q8436" s="2"/>
      <c r="R8436" s="6">
        <v>50.25</v>
      </c>
      <c r="S8436" s="5">
        <v>207.9</v>
      </c>
      <c r="T8436" s="5">
        <v>650.5</v>
      </c>
      <c r="U8436" s="5">
        <v>36.5</v>
      </c>
      <c r="V8436" s="6">
        <v>2.38</v>
      </c>
      <c r="W8436" s="4">
        <v>42</v>
      </c>
      <c r="X8436" s="6">
        <v>43.27</v>
      </c>
      <c r="Y8436" s="6">
        <v>49.65</v>
      </c>
      <c r="Z8436" s="6">
        <v>49.65</v>
      </c>
      <c r="AA8436" s="6">
        <v>88.02</v>
      </c>
      <c r="AB8436" s="7">
        <v>14.435</v>
      </c>
      <c r="AC8436" s="2"/>
    </row>
    <row r="8437" spans="1:29" ht="143" x14ac:dyDescent="0.15">
      <c r="A8437" s="3">
        <f t="shared" ref="A8437:A8442" si="164">DATE(2007,2,5)</f>
        <v>39118</v>
      </c>
      <c r="B8437" s="3">
        <f>DATE(2007,7,1)</f>
        <v>39264</v>
      </c>
      <c r="C8437" s="2" t="s">
        <v>95</v>
      </c>
      <c r="D8437" s="2" t="s">
        <v>25104</v>
      </c>
      <c r="E8437" s="2" t="s">
        <v>265</v>
      </c>
      <c r="F8437" s="4">
        <v>6021</v>
      </c>
      <c r="G8437" s="2" t="s">
        <v>37</v>
      </c>
      <c r="H8437" s="2" t="s">
        <v>34</v>
      </c>
      <c r="I8437" s="2" t="s">
        <v>25105</v>
      </c>
      <c r="J8437" s="2" t="s">
        <v>36</v>
      </c>
      <c r="K8437" s="2" t="s">
        <v>37</v>
      </c>
      <c r="L8437" s="2" t="s">
        <v>34</v>
      </c>
      <c r="M8437" s="7">
        <v>441.31700000000001</v>
      </c>
      <c r="N8437" s="6">
        <v>27.69</v>
      </c>
      <c r="O8437" s="6">
        <v>25.98</v>
      </c>
      <c r="P8437" s="2" t="s">
        <v>25106</v>
      </c>
      <c r="Q8437" s="6">
        <v>100</v>
      </c>
      <c r="R8437" s="6">
        <v>38</v>
      </c>
      <c r="S8437" s="5">
        <v>4.2</v>
      </c>
      <c r="T8437" s="7">
        <v>7.1360000000000001</v>
      </c>
      <c r="U8437" s="5">
        <v>9.6999999999999993</v>
      </c>
      <c r="V8437" s="6">
        <v>1.1399999999999999</v>
      </c>
      <c r="W8437" s="6">
        <v>25.25</v>
      </c>
      <c r="X8437" s="6">
        <v>25.75</v>
      </c>
      <c r="Y8437" s="6">
        <v>25.75</v>
      </c>
      <c r="Z8437" s="6">
        <v>35.229999999999997</v>
      </c>
      <c r="AA8437" s="6">
        <v>3.56</v>
      </c>
      <c r="AB8437" s="7">
        <v>31.204999999999998</v>
      </c>
      <c r="AC8437" s="2"/>
    </row>
    <row r="8438" spans="1:29" ht="195" x14ac:dyDescent="0.15">
      <c r="A8438" s="3">
        <f t="shared" si="164"/>
        <v>39118</v>
      </c>
      <c r="B8438" s="3">
        <f>DATE(2007,8,20)</f>
        <v>39314</v>
      </c>
      <c r="C8438" s="2" t="s">
        <v>95</v>
      </c>
      <c r="D8438" s="2" t="s">
        <v>25107</v>
      </c>
      <c r="E8438" s="2" t="s">
        <v>25108</v>
      </c>
      <c r="F8438" s="4">
        <v>1389</v>
      </c>
      <c r="G8438" s="2" t="s">
        <v>148</v>
      </c>
      <c r="H8438" s="2" t="s">
        <v>34</v>
      </c>
      <c r="I8438" s="2" t="s">
        <v>25109</v>
      </c>
      <c r="J8438" s="2" t="s">
        <v>12851</v>
      </c>
      <c r="K8438" s="2" t="s">
        <v>223</v>
      </c>
      <c r="L8438" s="2" t="s">
        <v>34</v>
      </c>
      <c r="M8438" s="12">
        <v>1760.001</v>
      </c>
      <c r="N8438" s="5">
        <v>71.099999999999994</v>
      </c>
      <c r="O8438" s="6">
        <v>70.23</v>
      </c>
      <c r="P8438" s="2" t="s">
        <v>25110</v>
      </c>
      <c r="Q8438" s="6">
        <v>100</v>
      </c>
      <c r="R8438" s="6">
        <v>19.86</v>
      </c>
      <c r="S8438" s="5">
        <v>85.7</v>
      </c>
      <c r="T8438" s="7">
        <v>360.88499999999999</v>
      </c>
      <c r="U8438" s="5">
        <v>9.8000000000000007</v>
      </c>
      <c r="V8438" s="6">
        <v>0.8</v>
      </c>
      <c r="W8438" s="6">
        <v>18.77</v>
      </c>
      <c r="X8438" s="5">
        <v>19.399999999999999</v>
      </c>
      <c r="Y8438" s="5">
        <v>22.9</v>
      </c>
      <c r="Z8438" s="6">
        <v>22.99</v>
      </c>
      <c r="AA8438" s="6">
        <v>103.26</v>
      </c>
      <c r="AB8438" s="7">
        <v>18.795999999999999</v>
      </c>
      <c r="AC8438" s="6">
        <v>73.290000000000006</v>
      </c>
    </row>
    <row r="8439" spans="1:29" ht="169" x14ac:dyDescent="0.15">
      <c r="A8439" s="3">
        <f t="shared" si="164"/>
        <v>39118</v>
      </c>
      <c r="B8439" s="3">
        <f>DATE(2007,7,2)</f>
        <v>39265</v>
      </c>
      <c r="C8439" s="2" t="s">
        <v>95</v>
      </c>
      <c r="D8439" s="2" t="s">
        <v>25111</v>
      </c>
      <c r="E8439" s="2" t="s">
        <v>4060</v>
      </c>
      <c r="F8439" s="4">
        <v>6282</v>
      </c>
      <c r="G8439" s="2" t="s">
        <v>53</v>
      </c>
      <c r="H8439" s="2" t="s">
        <v>34</v>
      </c>
      <c r="I8439" s="2" t="s">
        <v>25112</v>
      </c>
      <c r="J8439" s="2" t="s">
        <v>1085</v>
      </c>
      <c r="K8439" s="2" t="s">
        <v>37</v>
      </c>
      <c r="L8439" s="2" t="s">
        <v>34</v>
      </c>
      <c r="M8439" s="12">
        <v>22953.032999999999</v>
      </c>
      <c r="N8439" s="6">
        <v>67.08</v>
      </c>
      <c r="O8439" s="6">
        <v>68.17</v>
      </c>
      <c r="P8439" s="2" t="s">
        <v>25113</v>
      </c>
      <c r="Q8439" s="6">
        <v>100</v>
      </c>
      <c r="R8439" s="6">
        <v>65.010000000000005</v>
      </c>
      <c r="S8439" s="5">
        <v>153.80000000000001</v>
      </c>
      <c r="T8439" s="7">
        <v>253.31299999999999</v>
      </c>
      <c r="U8439" s="5">
        <v>14.3</v>
      </c>
      <c r="V8439" s="6">
        <v>2.2799999999999998</v>
      </c>
      <c r="W8439" s="6">
        <v>45.29</v>
      </c>
      <c r="X8439" s="6">
        <v>46.95</v>
      </c>
      <c r="Y8439" s="5">
        <v>59.8</v>
      </c>
      <c r="Z8439" s="6">
        <v>61.01</v>
      </c>
      <c r="AA8439" s="6">
        <v>66.06</v>
      </c>
      <c r="AB8439" s="7">
        <v>39.122999999999998</v>
      </c>
      <c r="AC8439" s="8">
        <v>2368</v>
      </c>
    </row>
    <row r="8440" spans="1:29" ht="104" x14ac:dyDescent="0.15">
      <c r="A8440" s="3">
        <f t="shared" si="164"/>
        <v>39118</v>
      </c>
      <c r="B8440" s="2"/>
      <c r="C8440" s="2" t="s">
        <v>30</v>
      </c>
      <c r="D8440" s="2" t="s">
        <v>7999</v>
      </c>
      <c r="E8440" s="2" t="s">
        <v>8000</v>
      </c>
      <c r="F8440" s="4">
        <v>3714</v>
      </c>
      <c r="G8440" s="2" t="s">
        <v>105</v>
      </c>
      <c r="H8440" s="2" t="s">
        <v>34</v>
      </c>
      <c r="I8440" s="2" t="s">
        <v>8147</v>
      </c>
      <c r="J8440" s="2" t="s">
        <v>8148</v>
      </c>
      <c r="K8440" s="2" t="s">
        <v>109</v>
      </c>
      <c r="L8440" s="2" t="s">
        <v>34</v>
      </c>
      <c r="M8440" s="12">
        <v>6411.558</v>
      </c>
      <c r="N8440" s="6">
        <v>103.66</v>
      </c>
      <c r="O8440" s="5">
        <v>106.5</v>
      </c>
      <c r="P8440" s="2" t="s">
        <v>25114</v>
      </c>
      <c r="Q8440" s="2"/>
      <c r="R8440" s="6">
        <v>37.25</v>
      </c>
      <c r="S8440" s="5">
        <v>-545.5</v>
      </c>
      <c r="T8440" s="8">
        <v>1002.8</v>
      </c>
      <c r="U8440" s="5">
        <v>5.4</v>
      </c>
      <c r="V8440" s="6">
        <v>-4.13</v>
      </c>
      <c r="W8440" s="5">
        <v>34.6</v>
      </c>
      <c r="X8440" s="6">
        <v>34.67</v>
      </c>
      <c r="Y8440" s="6">
        <v>38.64</v>
      </c>
      <c r="Z8440" s="6">
        <v>40.619999999999997</v>
      </c>
      <c r="AA8440" s="6">
        <v>67.38</v>
      </c>
      <c r="AB8440" s="7">
        <v>11.509</v>
      </c>
      <c r="AC8440" s="10">
        <v>3444.19</v>
      </c>
    </row>
    <row r="8441" spans="1:29" ht="169" x14ac:dyDescent="0.15">
      <c r="A8441" s="3">
        <f t="shared" si="164"/>
        <v>39118</v>
      </c>
      <c r="B8441" s="3">
        <f>DATE(2007,4,20)</f>
        <v>39192</v>
      </c>
      <c r="C8441" s="2" t="s">
        <v>95</v>
      </c>
      <c r="D8441" s="2" t="s">
        <v>23839</v>
      </c>
      <c r="E8441" s="2" t="s">
        <v>23840</v>
      </c>
      <c r="F8441" s="4">
        <v>2653</v>
      </c>
      <c r="G8441" s="2" t="s">
        <v>282</v>
      </c>
      <c r="H8441" s="2" t="s">
        <v>34</v>
      </c>
      <c r="I8441" s="2" t="s">
        <v>25034</v>
      </c>
      <c r="J8441" s="2" t="s">
        <v>25035</v>
      </c>
      <c r="K8441" s="2" t="s">
        <v>53</v>
      </c>
      <c r="L8441" s="2" t="s">
        <v>902</v>
      </c>
      <c r="M8441" s="12">
        <v>11983.745999999999</v>
      </c>
      <c r="N8441" s="7">
        <v>49.835000000000001</v>
      </c>
      <c r="O8441" s="7">
        <v>50.485999999999997</v>
      </c>
      <c r="P8441" s="2" t="s">
        <v>25115</v>
      </c>
      <c r="Q8441" s="6">
        <v>100</v>
      </c>
      <c r="R8441" s="6">
        <v>24.75</v>
      </c>
      <c r="S8441" s="5">
        <v>19</v>
      </c>
      <c r="T8441" s="7">
        <v>81.757999999999996</v>
      </c>
      <c r="U8441" s="5">
        <v>4.5999999999999996</v>
      </c>
      <c r="V8441" s="6">
        <v>0.28999999999999998</v>
      </c>
      <c r="W8441" s="6">
        <v>19.37</v>
      </c>
      <c r="X8441" s="6">
        <v>19.25</v>
      </c>
      <c r="Y8441" s="6">
        <v>23.03</v>
      </c>
      <c r="Z8441" s="6">
        <v>22.97</v>
      </c>
      <c r="AA8441" s="6">
        <v>65.760000000000005</v>
      </c>
      <c r="AB8441" s="7">
        <v>1952.615</v>
      </c>
      <c r="AC8441" s="10">
        <v>3823.42</v>
      </c>
    </row>
    <row r="8442" spans="1:29" ht="208" x14ac:dyDescent="0.15">
      <c r="A8442" s="3">
        <f t="shared" si="164"/>
        <v>39118</v>
      </c>
      <c r="B8442" s="3">
        <f>DATE(2007,4,3)</f>
        <v>39175</v>
      </c>
      <c r="C8442" s="2" t="s">
        <v>95</v>
      </c>
      <c r="D8442" s="2" t="s">
        <v>25033</v>
      </c>
      <c r="E8442" s="2" t="s">
        <v>92</v>
      </c>
      <c r="F8442" s="4">
        <v>6798</v>
      </c>
      <c r="G8442" s="2" t="s">
        <v>53</v>
      </c>
      <c r="H8442" s="2" t="s">
        <v>34</v>
      </c>
      <c r="I8442" s="2" t="s">
        <v>51</v>
      </c>
      <c r="J8442" s="2" t="s">
        <v>52</v>
      </c>
      <c r="K8442" s="2" t="s">
        <v>53</v>
      </c>
      <c r="L8442" s="2" t="s">
        <v>34</v>
      </c>
      <c r="M8442" s="2"/>
      <c r="N8442" s="2"/>
      <c r="O8442" s="2"/>
      <c r="P8442" s="2" t="s">
        <v>25116</v>
      </c>
      <c r="Q8442" s="6">
        <v>100</v>
      </c>
      <c r="R8442" s="6">
        <v>25.25</v>
      </c>
      <c r="S8442" s="5">
        <v>52</v>
      </c>
      <c r="T8442" s="7">
        <v>281.26600000000002</v>
      </c>
      <c r="U8442" s="5">
        <v>6.6</v>
      </c>
      <c r="V8442" s="6">
        <v>-0.09</v>
      </c>
      <c r="W8442" s="6">
        <v>15.47</v>
      </c>
      <c r="X8442" s="6">
        <v>17.77</v>
      </c>
      <c r="Y8442" s="6">
        <v>22.46</v>
      </c>
      <c r="Z8442" s="6">
        <v>21.86</v>
      </c>
      <c r="AA8442" s="6">
        <v>56.6</v>
      </c>
      <c r="AB8442" s="2" t="s">
        <v>86</v>
      </c>
      <c r="AC8442" s="2"/>
    </row>
    <row r="8443" spans="1:29" ht="169" x14ac:dyDescent="0.15">
      <c r="A8443" s="3">
        <f>DATE(2007,2,6)</f>
        <v>39119</v>
      </c>
      <c r="B8443" s="2"/>
      <c r="C8443" s="2" t="s">
        <v>30</v>
      </c>
      <c r="D8443" s="2" t="s">
        <v>18072</v>
      </c>
      <c r="E8443" s="2" t="s">
        <v>18073</v>
      </c>
      <c r="F8443" s="4">
        <v>6351</v>
      </c>
      <c r="G8443" s="2" t="s">
        <v>125</v>
      </c>
      <c r="H8443" s="2" t="s">
        <v>34</v>
      </c>
      <c r="I8443" s="2" t="s">
        <v>25117</v>
      </c>
      <c r="J8443" s="2" t="s">
        <v>25118</v>
      </c>
      <c r="K8443" s="2" t="s">
        <v>125</v>
      </c>
      <c r="L8443" s="2" t="s">
        <v>34</v>
      </c>
      <c r="M8443" s="12">
        <v>5181.0739999999996</v>
      </c>
      <c r="N8443" s="6">
        <v>70.09</v>
      </c>
      <c r="O8443" s="6">
        <v>68.84</v>
      </c>
      <c r="P8443" s="2" t="s">
        <v>25119</v>
      </c>
      <c r="Q8443" s="2"/>
      <c r="R8443" s="6">
        <v>60.79</v>
      </c>
      <c r="S8443" s="5">
        <v>582.20000000000005</v>
      </c>
      <c r="T8443" s="7">
        <v>641.42100000000005</v>
      </c>
      <c r="U8443" s="5">
        <v>49.3</v>
      </c>
      <c r="V8443" s="6">
        <v>7.08</v>
      </c>
      <c r="W8443" s="6">
        <v>59.35</v>
      </c>
      <c r="X8443" s="6">
        <v>60.84</v>
      </c>
      <c r="Y8443" s="6">
        <v>66.510000000000005</v>
      </c>
      <c r="Z8443" s="6">
        <v>65.05</v>
      </c>
      <c r="AA8443" s="6">
        <v>80.59</v>
      </c>
      <c r="AB8443" s="7">
        <v>9.2460000000000004</v>
      </c>
      <c r="AC8443" s="6">
        <v>293.74</v>
      </c>
    </row>
    <row r="8444" spans="1:29" ht="195" x14ac:dyDescent="0.15">
      <c r="A8444" s="3">
        <f>DATE(2007,2,7)</f>
        <v>39120</v>
      </c>
      <c r="B8444" s="3">
        <f>DATE(2008,7,14)</f>
        <v>39643</v>
      </c>
      <c r="C8444" s="2" t="s">
        <v>95</v>
      </c>
      <c r="D8444" s="2" t="s">
        <v>25120</v>
      </c>
      <c r="E8444" s="2" t="s">
        <v>2754</v>
      </c>
      <c r="F8444" s="4">
        <v>4931</v>
      </c>
      <c r="G8444" s="2" t="s">
        <v>439</v>
      </c>
      <c r="H8444" s="2" t="s">
        <v>34</v>
      </c>
      <c r="I8444" s="2" t="s">
        <v>25121</v>
      </c>
      <c r="J8444" s="2" t="s">
        <v>1977</v>
      </c>
      <c r="K8444" s="2" t="s">
        <v>439</v>
      </c>
      <c r="L8444" s="2" t="s">
        <v>34</v>
      </c>
      <c r="M8444" s="12">
        <v>2521.5279999999998</v>
      </c>
      <c r="N8444" s="6">
        <v>32.049999999999997</v>
      </c>
      <c r="O8444" s="6">
        <v>31.82</v>
      </c>
      <c r="P8444" s="2" t="s">
        <v>25122</v>
      </c>
      <c r="Q8444" s="6">
        <v>100</v>
      </c>
      <c r="R8444" s="6">
        <v>4.5599999999999996</v>
      </c>
      <c r="S8444" s="5">
        <v>23.9</v>
      </c>
      <c r="T8444" s="5">
        <v>134.80000000000001</v>
      </c>
      <c r="U8444" s="5">
        <v>3.5</v>
      </c>
      <c r="V8444" s="6">
        <v>-0.75</v>
      </c>
      <c r="W8444" s="6">
        <v>4.53</v>
      </c>
      <c r="X8444" s="6">
        <v>4.67</v>
      </c>
      <c r="Y8444" s="6">
        <v>4.34</v>
      </c>
      <c r="Z8444" s="6">
        <v>4.21</v>
      </c>
      <c r="AA8444" s="6">
        <v>374.47</v>
      </c>
      <c r="AB8444" s="7">
        <v>92.227000000000004</v>
      </c>
      <c r="AC8444" s="6">
        <v>68.709999999999994</v>
      </c>
    </row>
    <row r="8445" spans="1:29" ht="78" x14ac:dyDescent="0.15">
      <c r="A8445" s="3">
        <f>DATE(2007,2,7)</f>
        <v>39120</v>
      </c>
      <c r="B8445" s="3">
        <f>DATE(2007,6,4)</f>
        <v>39237</v>
      </c>
      <c r="C8445" s="2" t="s">
        <v>95</v>
      </c>
      <c r="D8445" s="2" t="s">
        <v>19263</v>
      </c>
      <c r="E8445" s="2" t="s">
        <v>4572</v>
      </c>
      <c r="F8445" s="4">
        <v>7371</v>
      </c>
      <c r="G8445" s="2" t="s">
        <v>223</v>
      </c>
      <c r="H8445" s="2" t="s">
        <v>34</v>
      </c>
      <c r="I8445" s="2" t="s">
        <v>25123</v>
      </c>
      <c r="J8445" s="2" t="s">
        <v>9761</v>
      </c>
      <c r="K8445" s="2" t="s">
        <v>223</v>
      </c>
      <c r="L8445" s="2" t="s">
        <v>34</v>
      </c>
      <c r="M8445" s="2"/>
      <c r="N8445" s="2"/>
      <c r="O8445" s="2"/>
      <c r="P8445" s="2" t="s">
        <v>25124</v>
      </c>
      <c r="Q8445" s="6">
        <v>100</v>
      </c>
      <c r="R8445" s="6">
        <v>14.3</v>
      </c>
      <c r="S8445" s="5">
        <v>34.5</v>
      </c>
      <c r="T8445" s="7">
        <v>84.200999999999993</v>
      </c>
      <c r="U8445" s="2"/>
      <c r="V8445" s="6">
        <v>0.55000000000000004</v>
      </c>
      <c r="W8445" s="6">
        <v>12.17</v>
      </c>
      <c r="X8445" s="4">
        <v>12</v>
      </c>
      <c r="Y8445" s="6">
        <v>14.03</v>
      </c>
      <c r="Z8445" s="6">
        <v>14.04</v>
      </c>
      <c r="AA8445" s="6">
        <v>58.65</v>
      </c>
      <c r="AB8445" s="7">
        <v>15.176</v>
      </c>
      <c r="AC8445" s="2"/>
    </row>
    <row r="8446" spans="1:29" ht="91" x14ac:dyDescent="0.15">
      <c r="A8446" s="3">
        <f>DATE(2007,2,7)</f>
        <v>39120</v>
      </c>
      <c r="B8446" s="3">
        <f>DATE(2007,3,26)</f>
        <v>39167</v>
      </c>
      <c r="C8446" s="2" t="s">
        <v>95</v>
      </c>
      <c r="D8446" s="2" t="s">
        <v>25125</v>
      </c>
      <c r="E8446" s="2" t="s">
        <v>25126</v>
      </c>
      <c r="F8446" s="4">
        <v>3661</v>
      </c>
      <c r="G8446" s="2" t="s">
        <v>921</v>
      </c>
      <c r="H8446" s="2" t="s">
        <v>34</v>
      </c>
      <c r="I8446" s="2" t="s">
        <v>18132</v>
      </c>
      <c r="J8446" s="2" t="s">
        <v>18133</v>
      </c>
      <c r="K8446" s="2" t="s">
        <v>921</v>
      </c>
      <c r="L8446" s="2" t="s">
        <v>34</v>
      </c>
      <c r="M8446" s="12">
        <v>2797.3119999999999</v>
      </c>
      <c r="N8446" s="6">
        <v>34.840000000000003</v>
      </c>
      <c r="O8446" s="6">
        <v>34.81</v>
      </c>
      <c r="P8446" s="2" t="s">
        <v>25127</v>
      </c>
      <c r="Q8446" s="6">
        <v>100</v>
      </c>
      <c r="R8446" s="6">
        <v>11.75</v>
      </c>
      <c r="S8446" s="5">
        <v>0</v>
      </c>
      <c r="T8446" s="7">
        <v>14.492000000000001</v>
      </c>
      <c r="U8446" s="5">
        <v>4.5999999999999996</v>
      </c>
      <c r="V8446" s="7">
        <v>-2E-3</v>
      </c>
      <c r="W8446" s="6">
        <v>9.0399999999999991</v>
      </c>
      <c r="X8446" s="6">
        <v>8.56</v>
      </c>
      <c r="Y8446" s="6">
        <v>8.81</v>
      </c>
      <c r="Z8446" s="6">
        <v>11.66</v>
      </c>
      <c r="AA8446" s="6">
        <v>19.489999999999998</v>
      </c>
      <c r="AB8446" s="7">
        <v>42.177</v>
      </c>
      <c r="AC8446" s="6">
        <v>473.71</v>
      </c>
    </row>
    <row r="8447" spans="1:29" ht="78" x14ac:dyDescent="0.15">
      <c r="A8447" s="3">
        <f>DATE(2007,2,7)</f>
        <v>39120</v>
      </c>
      <c r="B8447" s="3">
        <f>DATE(2007,5,24)</f>
        <v>39226</v>
      </c>
      <c r="C8447" s="2" t="s">
        <v>95</v>
      </c>
      <c r="D8447" s="2" t="s">
        <v>1183</v>
      </c>
      <c r="E8447" s="2" t="s">
        <v>1184</v>
      </c>
      <c r="F8447" s="4">
        <v>3143</v>
      </c>
      <c r="G8447" s="2" t="s">
        <v>326</v>
      </c>
      <c r="H8447" s="2" t="s">
        <v>34</v>
      </c>
      <c r="I8447" s="2" t="s">
        <v>25128</v>
      </c>
      <c r="J8447" s="2" t="s">
        <v>11337</v>
      </c>
      <c r="K8447" s="2" t="s">
        <v>53</v>
      </c>
      <c r="L8447" s="2" t="s">
        <v>34</v>
      </c>
      <c r="M8447" s="2"/>
      <c r="N8447" s="2"/>
      <c r="O8447" s="2"/>
      <c r="P8447" s="2" t="s">
        <v>25129</v>
      </c>
      <c r="Q8447" s="6">
        <v>100</v>
      </c>
      <c r="R8447" s="6">
        <v>14</v>
      </c>
      <c r="S8447" s="5">
        <v>0.5</v>
      </c>
      <c r="T8447" s="7">
        <v>1.9370000000000001</v>
      </c>
      <c r="U8447" s="5">
        <v>8.9</v>
      </c>
      <c r="V8447" s="6">
        <v>0.42</v>
      </c>
      <c r="W8447" s="5">
        <v>11.2</v>
      </c>
      <c r="X8447" s="6">
        <v>10.52</v>
      </c>
      <c r="Y8447" s="6">
        <v>13.76</v>
      </c>
      <c r="Z8447" s="5">
        <v>13.8</v>
      </c>
      <c r="AA8447" s="6">
        <v>1.27</v>
      </c>
      <c r="AB8447" s="7">
        <v>32.881999999999998</v>
      </c>
      <c r="AC8447" s="2"/>
    </row>
    <row r="8448" spans="1:29" ht="130" x14ac:dyDescent="0.15">
      <c r="A8448" s="3">
        <f>DATE(2007,2,8)</f>
        <v>39121</v>
      </c>
      <c r="B8448" s="3">
        <f>DATE(2007,6,20)</f>
        <v>39253</v>
      </c>
      <c r="C8448" s="2" t="s">
        <v>95</v>
      </c>
      <c r="D8448" s="2" t="s">
        <v>25130</v>
      </c>
      <c r="E8448" s="2" t="s">
        <v>3780</v>
      </c>
      <c r="F8448" s="4">
        <v>6022</v>
      </c>
      <c r="G8448" s="2" t="s">
        <v>37</v>
      </c>
      <c r="H8448" s="2" t="s">
        <v>34</v>
      </c>
      <c r="I8448" s="2" t="s">
        <v>25131</v>
      </c>
      <c r="J8448" s="2" t="s">
        <v>36</v>
      </c>
      <c r="K8448" s="2" t="s">
        <v>37</v>
      </c>
      <c r="L8448" s="2" t="s">
        <v>34</v>
      </c>
      <c r="M8448" s="7">
        <v>312.19099999999997</v>
      </c>
      <c r="N8448" s="6">
        <v>27.25</v>
      </c>
      <c r="O8448" s="6">
        <v>26.94</v>
      </c>
      <c r="P8448" s="2" t="s">
        <v>25132</v>
      </c>
      <c r="Q8448" s="6">
        <v>100</v>
      </c>
      <c r="R8448" s="2"/>
      <c r="S8448" s="2"/>
      <c r="T8448" s="2"/>
      <c r="U8448" s="2"/>
      <c r="V8448" s="2"/>
      <c r="W8448" s="6">
        <v>24.25</v>
      </c>
      <c r="X8448" s="6">
        <v>21.75</v>
      </c>
      <c r="Y8448" s="4">
        <v>24</v>
      </c>
      <c r="Z8448" s="5">
        <v>23.5</v>
      </c>
      <c r="AA8448" s="2"/>
      <c r="AB8448" s="2" t="s">
        <v>47</v>
      </c>
      <c r="AC8448" s="2"/>
    </row>
    <row r="8449" spans="1:29" ht="130" x14ac:dyDescent="0.15">
      <c r="A8449" s="3">
        <f>DATE(2007,2,8)</f>
        <v>39121</v>
      </c>
      <c r="B8449" s="3">
        <f>DATE(2007,6,25)</f>
        <v>39258</v>
      </c>
      <c r="C8449" s="2" t="s">
        <v>95</v>
      </c>
      <c r="D8449" s="2" t="s">
        <v>25133</v>
      </c>
      <c r="E8449" s="2" t="s">
        <v>159</v>
      </c>
      <c r="F8449" s="4">
        <v>6712</v>
      </c>
      <c r="G8449" s="2" t="s">
        <v>37</v>
      </c>
      <c r="H8449" s="2" t="s">
        <v>34</v>
      </c>
      <c r="I8449" s="2" t="s">
        <v>2253</v>
      </c>
      <c r="J8449" s="2" t="s">
        <v>159</v>
      </c>
      <c r="K8449" s="2" t="s">
        <v>37</v>
      </c>
      <c r="L8449" s="2" t="s">
        <v>34</v>
      </c>
      <c r="M8449" s="12">
        <v>1003.075</v>
      </c>
      <c r="N8449" s="6">
        <v>12.52</v>
      </c>
      <c r="O8449" s="6">
        <v>12.46</v>
      </c>
      <c r="P8449" s="2" t="s">
        <v>25134</v>
      </c>
      <c r="Q8449" s="6">
        <v>100</v>
      </c>
      <c r="R8449" s="6">
        <v>276.73</v>
      </c>
      <c r="S8449" s="2"/>
      <c r="T8449" s="2"/>
      <c r="U8449" s="2"/>
      <c r="V8449" s="2"/>
      <c r="W8449" s="4">
        <v>133</v>
      </c>
      <c r="X8449" s="4">
        <v>133</v>
      </c>
      <c r="Y8449" s="6">
        <v>23.25</v>
      </c>
      <c r="Z8449" s="6">
        <v>23.25</v>
      </c>
      <c r="AA8449" s="6">
        <v>0.09</v>
      </c>
      <c r="AB8449" s="2" t="s">
        <v>47</v>
      </c>
      <c r="AC8449" s="2"/>
    </row>
    <row r="8450" spans="1:29" ht="104" x14ac:dyDescent="0.15">
      <c r="A8450" s="3">
        <f>DATE(2007,2,9)</f>
        <v>39122</v>
      </c>
      <c r="B8450" s="3">
        <f>DATE(2007,10,1)</f>
        <v>39356</v>
      </c>
      <c r="C8450" s="2" t="s">
        <v>95</v>
      </c>
      <c r="D8450" s="2" t="s">
        <v>25135</v>
      </c>
      <c r="E8450" s="2" t="s">
        <v>25136</v>
      </c>
      <c r="F8450" s="4">
        <v>4119</v>
      </c>
      <c r="G8450" s="2" t="s">
        <v>173</v>
      </c>
      <c r="H8450" s="2" t="s">
        <v>34</v>
      </c>
      <c r="I8450" s="2" t="s">
        <v>25137</v>
      </c>
      <c r="J8450" s="2" t="s">
        <v>25138</v>
      </c>
      <c r="K8450" s="2" t="s">
        <v>173</v>
      </c>
      <c r="L8450" s="2" t="s">
        <v>303</v>
      </c>
      <c r="M8450" s="12">
        <v>4447.0720000000001</v>
      </c>
      <c r="N8450" s="7">
        <v>11.823</v>
      </c>
      <c r="O8450" s="7">
        <v>11.456</v>
      </c>
      <c r="P8450" s="2" t="s">
        <v>25139</v>
      </c>
      <c r="Q8450" s="6">
        <v>100</v>
      </c>
      <c r="R8450" s="6">
        <v>35.25</v>
      </c>
      <c r="S8450" s="5">
        <v>123</v>
      </c>
      <c r="T8450" s="5">
        <v>452.8</v>
      </c>
      <c r="U8450" s="5">
        <v>14.6</v>
      </c>
      <c r="V8450" s="6">
        <v>1.36</v>
      </c>
      <c r="W8450" s="6">
        <v>29.83</v>
      </c>
      <c r="X8450" s="6">
        <v>31.72</v>
      </c>
      <c r="Y8450" s="6">
        <v>34.58</v>
      </c>
      <c r="Z8450" s="6">
        <v>34.590000000000003</v>
      </c>
      <c r="AA8450" s="6">
        <v>79.37</v>
      </c>
      <c r="AB8450" s="7">
        <v>15.124000000000001</v>
      </c>
      <c r="AC8450" s="6">
        <v>327.48</v>
      </c>
    </row>
    <row r="8451" spans="1:29" ht="117" x14ac:dyDescent="0.15">
      <c r="A8451" s="3">
        <f>DATE(2007,2,9)</f>
        <v>39122</v>
      </c>
      <c r="B8451" s="3">
        <f>DATE(2007,5,7)</f>
        <v>39209</v>
      </c>
      <c r="C8451" s="2" t="s">
        <v>95</v>
      </c>
      <c r="D8451" s="2" t="s">
        <v>25140</v>
      </c>
      <c r="E8451" s="2" t="s">
        <v>25141</v>
      </c>
      <c r="F8451" s="4">
        <v>3823</v>
      </c>
      <c r="G8451" s="2" t="s">
        <v>226</v>
      </c>
      <c r="H8451" s="2" t="s">
        <v>34</v>
      </c>
      <c r="I8451" s="2" t="s">
        <v>25142</v>
      </c>
      <c r="J8451" s="2" t="s">
        <v>12755</v>
      </c>
      <c r="K8451" s="2" t="s">
        <v>53</v>
      </c>
      <c r="L8451" s="2" t="s">
        <v>34</v>
      </c>
      <c r="M8451" s="2"/>
      <c r="N8451" s="2"/>
      <c r="O8451" s="2"/>
      <c r="P8451" s="2" t="s">
        <v>25143</v>
      </c>
      <c r="Q8451" s="6">
        <v>100</v>
      </c>
      <c r="R8451" s="6">
        <v>11.5</v>
      </c>
      <c r="S8451" s="5">
        <v>3.5</v>
      </c>
      <c r="T8451" s="7">
        <v>6.1890000000000001</v>
      </c>
      <c r="U8451" s="5">
        <v>3.5</v>
      </c>
      <c r="V8451" s="6">
        <v>0.62</v>
      </c>
      <c r="W8451" s="6">
        <v>9.9700000000000006</v>
      </c>
      <c r="X8451" s="6">
        <v>9.7799999999999994</v>
      </c>
      <c r="Y8451" s="6">
        <v>11.18</v>
      </c>
      <c r="Z8451" s="6">
        <v>11.25</v>
      </c>
      <c r="AA8451" s="6">
        <v>5.59</v>
      </c>
      <c r="AB8451" s="7">
        <v>10.882999999999999</v>
      </c>
      <c r="AC8451" s="2"/>
    </row>
    <row r="8452" spans="1:29" ht="117" x14ac:dyDescent="0.15">
      <c r="A8452" s="3">
        <f>DATE(2007,2,10)</f>
        <v>39123</v>
      </c>
      <c r="B8452" s="3">
        <f>DATE(2007,5,15)</f>
        <v>39217</v>
      </c>
      <c r="C8452" s="2" t="s">
        <v>95</v>
      </c>
      <c r="D8452" s="2" t="s">
        <v>25144</v>
      </c>
      <c r="E8452" s="2" t="s">
        <v>25145</v>
      </c>
      <c r="F8452" s="4">
        <v>3334</v>
      </c>
      <c r="G8452" s="2" t="s">
        <v>163</v>
      </c>
      <c r="H8452" s="2" t="s">
        <v>34</v>
      </c>
      <c r="I8452" s="2" t="s">
        <v>25146</v>
      </c>
      <c r="J8452" s="2" t="s">
        <v>11337</v>
      </c>
      <c r="K8452" s="2" t="s">
        <v>53</v>
      </c>
      <c r="L8452" s="2" t="s">
        <v>902</v>
      </c>
      <c r="M8452" s="2"/>
      <c r="N8452" s="2"/>
      <c r="O8452" s="2"/>
      <c r="P8452" s="2" t="s">
        <v>25147</v>
      </c>
      <c r="Q8452" s="6">
        <v>100</v>
      </c>
      <c r="R8452" s="6">
        <v>44.93</v>
      </c>
      <c r="S8452" s="5">
        <v>-83.3</v>
      </c>
      <c r="T8452" s="7">
        <v>276.95400000000001</v>
      </c>
      <c r="U8452" s="5">
        <v>4.4000000000000004</v>
      </c>
      <c r="V8452" s="9">
        <v>-1.1332</v>
      </c>
      <c r="W8452" s="6">
        <v>36.880000000000003</v>
      </c>
      <c r="X8452" s="6">
        <v>38.54</v>
      </c>
      <c r="Y8452" s="6">
        <v>43.67</v>
      </c>
      <c r="Z8452" s="6">
        <v>43.67</v>
      </c>
      <c r="AA8452" s="6">
        <v>74.010000000000005</v>
      </c>
      <c r="AB8452" s="7">
        <v>94.887</v>
      </c>
      <c r="AC8452" s="2"/>
    </row>
    <row r="8453" spans="1:29" ht="156" x14ac:dyDescent="0.15">
      <c r="A8453" s="3">
        <f>DATE(2007,2,12)</f>
        <v>39125</v>
      </c>
      <c r="B8453" s="3">
        <f>DATE(2007,4,2)</f>
        <v>39174</v>
      </c>
      <c r="C8453" s="2" t="s">
        <v>95</v>
      </c>
      <c r="D8453" s="2" t="s">
        <v>25148</v>
      </c>
      <c r="E8453" s="2" t="s">
        <v>25149</v>
      </c>
      <c r="F8453" s="4">
        <v>2835</v>
      </c>
      <c r="G8453" s="2" t="s">
        <v>130</v>
      </c>
      <c r="H8453" s="2" t="s">
        <v>34</v>
      </c>
      <c r="I8453" s="2" t="s">
        <v>19720</v>
      </c>
      <c r="J8453" s="2" t="s">
        <v>19721</v>
      </c>
      <c r="K8453" s="2" t="s">
        <v>226</v>
      </c>
      <c r="L8453" s="2" t="s">
        <v>34</v>
      </c>
      <c r="M8453" s="12">
        <v>3265.1480000000001</v>
      </c>
      <c r="N8453" s="6">
        <v>30.28</v>
      </c>
      <c r="O8453" s="6">
        <v>30.28</v>
      </c>
      <c r="P8453" s="2" t="s">
        <v>25150</v>
      </c>
      <c r="Q8453" s="6">
        <v>100</v>
      </c>
      <c r="R8453" s="6">
        <v>24</v>
      </c>
      <c r="S8453" s="5">
        <v>2.5</v>
      </c>
      <c r="T8453" s="7">
        <v>1.556</v>
      </c>
      <c r="U8453" s="5">
        <v>6.1</v>
      </c>
      <c r="V8453" s="6">
        <v>0.14000000000000001</v>
      </c>
      <c r="W8453" s="6">
        <v>16.23</v>
      </c>
      <c r="X8453" s="6">
        <v>15.53</v>
      </c>
      <c r="Y8453" s="6">
        <v>23.78</v>
      </c>
      <c r="Z8453" s="6">
        <v>23.84</v>
      </c>
      <c r="AA8453" s="6">
        <v>19.170000000000002</v>
      </c>
      <c r="AB8453" s="7">
        <v>260.61799999999999</v>
      </c>
      <c r="AC8453" s="6">
        <v>204.66</v>
      </c>
    </row>
    <row r="8454" spans="1:29" ht="91" x14ac:dyDescent="0.15">
      <c r="A8454" s="3">
        <f>DATE(2007,2,12)</f>
        <v>39125</v>
      </c>
      <c r="B8454" s="3">
        <f>DATE(2007,5,7)</f>
        <v>39209</v>
      </c>
      <c r="C8454" s="2" t="s">
        <v>95</v>
      </c>
      <c r="D8454" s="2" t="s">
        <v>25151</v>
      </c>
      <c r="E8454" s="2" t="s">
        <v>25152</v>
      </c>
      <c r="F8454" s="4">
        <v>3533</v>
      </c>
      <c r="G8454" s="2" t="s">
        <v>300</v>
      </c>
      <c r="H8454" s="2" t="s">
        <v>34</v>
      </c>
      <c r="I8454" s="2" t="s">
        <v>24190</v>
      </c>
      <c r="J8454" s="2" t="s">
        <v>24191</v>
      </c>
      <c r="K8454" s="2" t="s">
        <v>163</v>
      </c>
      <c r="L8454" s="2" t="s">
        <v>5881</v>
      </c>
      <c r="M8454" s="12">
        <v>29574.809000000001</v>
      </c>
      <c r="N8454" s="7">
        <v>23.213000000000001</v>
      </c>
      <c r="O8454" s="7">
        <v>23.407</v>
      </c>
      <c r="P8454" s="2" t="s">
        <v>25153</v>
      </c>
      <c r="Q8454" s="6">
        <v>100</v>
      </c>
      <c r="R8454" s="6">
        <v>97</v>
      </c>
      <c r="S8454" s="5">
        <v>91.3</v>
      </c>
      <c r="T8454" s="7">
        <v>147.01400000000001</v>
      </c>
      <c r="U8454" s="5">
        <v>13.6</v>
      </c>
      <c r="V8454" s="6">
        <v>3.88</v>
      </c>
      <c r="W8454" s="6">
        <v>83.48</v>
      </c>
      <c r="X8454" s="6">
        <v>83.04</v>
      </c>
      <c r="Y8454" s="6">
        <v>95.24</v>
      </c>
      <c r="Z8454" s="5">
        <v>95.1</v>
      </c>
      <c r="AA8454" s="6">
        <v>22.31</v>
      </c>
      <c r="AB8454" s="7">
        <v>15.167999999999999</v>
      </c>
      <c r="AC8454" s="10">
        <v>1556.69</v>
      </c>
    </row>
    <row r="8455" spans="1:29" ht="91" x14ac:dyDescent="0.15">
      <c r="A8455" s="3">
        <f>DATE(2007,2,12)</f>
        <v>39125</v>
      </c>
      <c r="B8455" s="3">
        <f>DATE(2007,5,29)</f>
        <v>39231</v>
      </c>
      <c r="C8455" s="2" t="s">
        <v>95</v>
      </c>
      <c r="D8455" s="2" t="s">
        <v>24547</v>
      </c>
      <c r="E8455" s="2" t="s">
        <v>24548</v>
      </c>
      <c r="F8455" s="4">
        <v>7372</v>
      </c>
      <c r="G8455" s="2" t="s">
        <v>551</v>
      </c>
      <c r="H8455" s="2" t="s">
        <v>34</v>
      </c>
      <c r="I8455" s="2" t="s">
        <v>24852</v>
      </c>
      <c r="J8455" s="2" t="s">
        <v>24853</v>
      </c>
      <c r="K8455" s="2" t="s">
        <v>223</v>
      </c>
      <c r="L8455" s="2" t="s">
        <v>34</v>
      </c>
      <c r="M8455" s="10">
        <v>1141.6600000000001</v>
      </c>
      <c r="N8455" s="6">
        <v>32.28</v>
      </c>
      <c r="O8455" s="4">
        <v>32</v>
      </c>
      <c r="P8455" s="2" t="s">
        <v>25154</v>
      </c>
      <c r="Q8455" s="6">
        <v>100</v>
      </c>
      <c r="R8455" s="6">
        <v>27.5</v>
      </c>
      <c r="S8455" s="5">
        <v>7.5</v>
      </c>
      <c r="T8455" s="6">
        <v>23.99</v>
      </c>
      <c r="U8455" s="5">
        <v>7.2</v>
      </c>
      <c r="V8455" s="6">
        <v>0.2</v>
      </c>
      <c r="W8455" s="6">
        <v>22.36</v>
      </c>
      <c r="X8455" s="6">
        <v>22.27</v>
      </c>
      <c r="Y8455" s="6">
        <v>26.79</v>
      </c>
      <c r="Z8455" s="6">
        <v>26.81</v>
      </c>
      <c r="AA8455" s="6">
        <v>34.15</v>
      </c>
      <c r="AB8455" s="7">
        <v>473.27499999999998</v>
      </c>
      <c r="AC8455" s="6">
        <v>180.43</v>
      </c>
    </row>
    <row r="8456" spans="1:29" ht="130" x14ac:dyDescent="0.15">
      <c r="A8456" s="3">
        <f>DATE(2007,2,13)</f>
        <v>39126</v>
      </c>
      <c r="B8456" s="2"/>
      <c r="C8456" s="2" t="s">
        <v>87</v>
      </c>
      <c r="D8456" s="2" t="s">
        <v>15095</v>
      </c>
      <c r="E8456" s="2" t="s">
        <v>15096</v>
      </c>
      <c r="F8456" s="4">
        <v>3356</v>
      </c>
      <c r="G8456" s="2" t="s">
        <v>163</v>
      </c>
      <c r="H8456" s="2" t="s">
        <v>34</v>
      </c>
      <c r="I8456" s="2" t="s">
        <v>143</v>
      </c>
      <c r="J8456" s="2" t="s">
        <v>144</v>
      </c>
      <c r="K8456" s="2" t="s">
        <v>53</v>
      </c>
      <c r="L8456" s="2" t="s">
        <v>139</v>
      </c>
      <c r="M8456" s="2"/>
      <c r="N8456" s="2"/>
      <c r="O8456" s="2"/>
      <c r="P8456" s="2" t="s">
        <v>25155</v>
      </c>
      <c r="Q8456" s="2"/>
      <c r="R8456" s="2"/>
      <c r="S8456" s="8">
        <v>2161</v>
      </c>
      <c r="T8456" s="8">
        <v>5482</v>
      </c>
      <c r="U8456" s="5">
        <v>50.4</v>
      </c>
      <c r="V8456" s="6">
        <v>7.41</v>
      </c>
      <c r="W8456" s="6">
        <v>32.85</v>
      </c>
      <c r="X8456" s="5">
        <v>32.9</v>
      </c>
      <c r="Y8456" s="4">
        <v>35</v>
      </c>
      <c r="Z8456" s="6">
        <v>34.57</v>
      </c>
      <c r="AA8456" s="6">
        <v>867.1</v>
      </c>
      <c r="AB8456" s="2" t="s">
        <v>47</v>
      </c>
      <c r="AC8456" s="2"/>
    </row>
    <row r="8457" spans="1:29" ht="78" x14ac:dyDescent="0.15">
      <c r="A8457" s="3">
        <f>DATE(2007,2,13)</f>
        <v>39126</v>
      </c>
      <c r="B8457" s="3">
        <f>DATE(2007,5,15)</f>
        <v>39217</v>
      </c>
      <c r="C8457" s="2" t="s">
        <v>95</v>
      </c>
      <c r="D8457" s="2" t="s">
        <v>25156</v>
      </c>
      <c r="E8457" s="2" t="s">
        <v>5102</v>
      </c>
      <c r="F8457" s="4">
        <v>7372</v>
      </c>
      <c r="G8457" s="2" t="s">
        <v>551</v>
      </c>
      <c r="H8457" s="2" t="s">
        <v>34</v>
      </c>
      <c r="I8457" s="2" t="s">
        <v>17208</v>
      </c>
      <c r="J8457" s="2" t="s">
        <v>17209</v>
      </c>
      <c r="K8457" s="2" t="s">
        <v>223</v>
      </c>
      <c r="L8457" s="2" t="s">
        <v>34</v>
      </c>
      <c r="M8457" s="12">
        <v>3667.674</v>
      </c>
      <c r="N8457" s="6">
        <v>41.62</v>
      </c>
      <c r="O8457" s="6">
        <v>40.29</v>
      </c>
      <c r="P8457" s="2" t="s">
        <v>25157</v>
      </c>
      <c r="Q8457" s="6">
        <v>100</v>
      </c>
      <c r="R8457" s="6">
        <v>5.15</v>
      </c>
      <c r="S8457" s="5">
        <v>-1.1000000000000001</v>
      </c>
      <c r="T8457" s="7">
        <v>1.776</v>
      </c>
      <c r="U8457" s="5">
        <v>1.3</v>
      </c>
      <c r="V8457" s="6">
        <v>-0.02</v>
      </c>
      <c r="W8457" s="6">
        <v>3.28</v>
      </c>
      <c r="X8457" s="5">
        <v>3.4</v>
      </c>
      <c r="Y8457" s="6">
        <v>3.45</v>
      </c>
      <c r="Z8457" s="4">
        <v>5</v>
      </c>
      <c r="AA8457" s="6">
        <v>45.05</v>
      </c>
      <c r="AB8457" s="2" t="s">
        <v>86</v>
      </c>
      <c r="AC8457" s="6">
        <v>260.14999999999998</v>
      </c>
    </row>
    <row r="8458" spans="1:29" ht="247" x14ac:dyDescent="0.15">
      <c r="A8458" s="3">
        <f>DATE(2007,2,14)</f>
        <v>39127</v>
      </c>
      <c r="B8458" s="3">
        <f>DATE(2007,5,15)</f>
        <v>39217</v>
      </c>
      <c r="C8458" s="2" t="s">
        <v>95</v>
      </c>
      <c r="D8458" s="2" t="s">
        <v>25158</v>
      </c>
      <c r="E8458" s="2" t="s">
        <v>25159</v>
      </c>
      <c r="F8458" s="4">
        <v>8721</v>
      </c>
      <c r="G8458" s="2" t="s">
        <v>223</v>
      </c>
      <c r="H8458" s="2" t="s">
        <v>34</v>
      </c>
      <c r="I8458" s="2" t="s">
        <v>893</v>
      </c>
      <c r="J8458" s="2" t="s">
        <v>894</v>
      </c>
      <c r="K8458" s="2" t="s">
        <v>223</v>
      </c>
      <c r="L8458" s="2" t="s">
        <v>34</v>
      </c>
      <c r="M8458" s="12">
        <v>5083.902</v>
      </c>
      <c r="N8458" s="6">
        <v>41.91</v>
      </c>
      <c r="O8458" s="6">
        <v>39.630000000000003</v>
      </c>
      <c r="P8458" s="2" t="s">
        <v>25160</v>
      </c>
      <c r="Q8458" s="6">
        <v>100</v>
      </c>
      <c r="R8458" s="6">
        <v>35.9</v>
      </c>
      <c r="S8458" s="5">
        <v>33.200000000000003</v>
      </c>
      <c r="T8458" s="7">
        <v>87.149000000000001</v>
      </c>
      <c r="U8458" s="5">
        <v>5.8</v>
      </c>
      <c r="V8458" s="6">
        <v>1</v>
      </c>
      <c r="W8458" s="6">
        <v>31.99</v>
      </c>
      <c r="X8458" s="6">
        <v>32.409999999999997</v>
      </c>
      <c r="Y8458" s="6">
        <v>32.049999999999997</v>
      </c>
      <c r="Z8458" s="6">
        <v>35.81</v>
      </c>
      <c r="AA8458" s="6">
        <v>31.49</v>
      </c>
      <c r="AB8458" s="7">
        <v>20.420999999999999</v>
      </c>
      <c r="AC8458" s="5">
        <v>67.8</v>
      </c>
    </row>
    <row r="8459" spans="1:29" ht="91" x14ac:dyDescent="0.15">
      <c r="A8459" s="3">
        <f>DATE(2007,2,15)</f>
        <v>39128</v>
      </c>
      <c r="B8459" s="2"/>
      <c r="C8459" s="2" t="s">
        <v>87</v>
      </c>
      <c r="D8459" s="2" t="s">
        <v>5846</v>
      </c>
      <c r="E8459" s="2" t="s">
        <v>5847</v>
      </c>
      <c r="F8459" s="4">
        <v>6021</v>
      </c>
      <c r="G8459" s="2" t="s">
        <v>37</v>
      </c>
      <c r="H8459" s="2" t="s">
        <v>34</v>
      </c>
      <c r="I8459" s="2" t="s">
        <v>2900</v>
      </c>
      <c r="J8459" s="2" t="s">
        <v>265</v>
      </c>
      <c r="K8459" s="2" t="s">
        <v>37</v>
      </c>
      <c r="L8459" s="2" t="s">
        <v>34</v>
      </c>
      <c r="M8459" s="12">
        <v>29634.496999999999</v>
      </c>
      <c r="N8459" s="6">
        <v>85.42</v>
      </c>
      <c r="O8459" s="6">
        <v>86.56</v>
      </c>
      <c r="P8459" s="2" t="s">
        <v>25161</v>
      </c>
      <c r="Q8459" s="2"/>
      <c r="R8459" s="2"/>
      <c r="S8459" s="5">
        <v>460.4</v>
      </c>
      <c r="T8459" s="7">
        <v>771.95299999999997</v>
      </c>
      <c r="U8459" s="5">
        <v>21.7</v>
      </c>
      <c r="V8459" s="6">
        <v>3.6</v>
      </c>
      <c r="W8459" s="6">
        <v>61.36</v>
      </c>
      <c r="X8459" s="6">
        <v>61.78</v>
      </c>
      <c r="Y8459" s="6">
        <v>66.37</v>
      </c>
      <c r="Z8459" s="5">
        <v>70.7</v>
      </c>
      <c r="AA8459" s="6">
        <v>129.83000000000001</v>
      </c>
      <c r="AB8459" s="2" t="s">
        <v>47</v>
      </c>
      <c r="AC8459" s="2"/>
    </row>
    <row r="8460" spans="1:29" ht="78" x14ac:dyDescent="0.15">
      <c r="A8460" s="3">
        <f>DATE(2007,2,16)</f>
        <v>39129</v>
      </c>
      <c r="B8460" s="2"/>
      <c r="C8460" s="2" t="s">
        <v>87</v>
      </c>
      <c r="D8460" s="2" t="s">
        <v>25162</v>
      </c>
      <c r="E8460" s="2" t="s">
        <v>5422</v>
      </c>
      <c r="F8460" s="4">
        <v>4512</v>
      </c>
      <c r="G8460" s="2" t="s">
        <v>59</v>
      </c>
      <c r="H8460" s="2" t="s">
        <v>34</v>
      </c>
      <c r="I8460" s="2" t="s">
        <v>51</v>
      </c>
      <c r="J8460" s="2" t="s">
        <v>52</v>
      </c>
      <c r="K8460" s="2" t="s">
        <v>53</v>
      </c>
      <c r="L8460" s="2" t="s">
        <v>34</v>
      </c>
      <c r="M8460" s="2"/>
      <c r="N8460" s="2"/>
      <c r="O8460" s="2"/>
      <c r="P8460" s="2" t="s">
        <v>25163</v>
      </c>
      <c r="Q8460" s="2"/>
      <c r="R8460" s="2"/>
      <c r="S8460" s="5">
        <v>231</v>
      </c>
      <c r="T8460" s="8">
        <v>2217</v>
      </c>
      <c r="U8460" s="5">
        <v>-2.7</v>
      </c>
      <c r="V8460" s="6">
        <v>0.98</v>
      </c>
      <c r="W8460" s="6">
        <v>36.909999999999997</v>
      </c>
      <c r="X8460" s="6">
        <v>38.049999999999997</v>
      </c>
      <c r="Y8460" s="6">
        <v>38.97</v>
      </c>
      <c r="Z8460" s="6">
        <v>38.86</v>
      </c>
      <c r="AA8460" s="6">
        <v>214.42</v>
      </c>
      <c r="AB8460" s="2" t="s">
        <v>47</v>
      </c>
      <c r="AC8460" s="2"/>
    </row>
    <row r="8461" spans="1:29" ht="143" x14ac:dyDescent="0.15">
      <c r="A8461" s="3">
        <f>DATE(2007,2,16)</f>
        <v>39129</v>
      </c>
      <c r="B8461" s="3">
        <f>DATE(2007,9,7)</f>
        <v>39332</v>
      </c>
      <c r="C8461" s="2" t="s">
        <v>95</v>
      </c>
      <c r="D8461" s="2" t="s">
        <v>5846</v>
      </c>
      <c r="E8461" s="2" t="s">
        <v>5847</v>
      </c>
      <c r="F8461" s="4">
        <v>6021</v>
      </c>
      <c r="G8461" s="2" t="s">
        <v>37</v>
      </c>
      <c r="H8461" s="2" t="s">
        <v>34</v>
      </c>
      <c r="I8461" s="2" t="s">
        <v>24196</v>
      </c>
      <c r="J8461" s="2" t="s">
        <v>2855</v>
      </c>
      <c r="K8461" s="2" t="s">
        <v>37</v>
      </c>
      <c r="L8461" s="2" t="s">
        <v>8464</v>
      </c>
      <c r="M8461" s="12">
        <v>84018.531000000003</v>
      </c>
      <c r="N8461" s="7">
        <v>25.623999999999999</v>
      </c>
      <c r="O8461" s="7">
        <v>25.582999999999998</v>
      </c>
      <c r="P8461" s="2" t="s">
        <v>25164</v>
      </c>
      <c r="Q8461" s="6">
        <v>100</v>
      </c>
      <c r="R8461" s="6">
        <v>73.44</v>
      </c>
      <c r="S8461" s="5">
        <v>460.4</v>
      </c>
      <c r="T8461" s="7">
        <v>771.95299999999997</v>
      </c>
      <c r="U8461" s="5">
        <v>21.7</v>
      </c>
      <c r="V8461" s="6">
        <v>3.6</v>
      </c>
      <c r="W8461" s="6">
        <v>61.42</v>
      </c>
      <c r="X8461" s="6">
        <v>66.37</v>
      </c>
      <c r="Y8461" s="5">
        <v>70.7</v>
      </c>
      <c r="Z8461" s="5">
        <v>70.099999999999994</v>
      </c>
      <c r="AA8461" s="6">
        <v>129.83000000000001</v>
      </c>
      <c r="AB8461" s="7">
        <v>26.327000000000002</v>
      </c>
      <c r="AC8461" s="2"/>
    </row>
    <row r="8462" spans="1:29" ht="130" x14ac:dyDescent="0.15">
      <c r="A8462" s="3">
        <f>DATE(2007,2,16)</f>
        <v>39129</v>
      </c>
      <c r="B8462" s="3">
        <f>DATE(2007,7,17)</f>
        <v>39280</v>
      </c>
      <c r="C8462" s="2" t="s">
        <v>95</v>
      </c>
      <c r="D8462" s="2" t="s">
        <v>25165</v>
      </c>
      <c r="E8462" s="2" t="s">
        <v>18793</v>
      </c>
      <c r="F8462" s="4">
        <v>6798</v>
      </c>
      <c r="G8462" s="2" t="s">
        <v>53</v>
      </c>
      <c r="H8462" s="2" t="s">
        <v>34</v>
      </c>
      <c r="I8462" s="2" t="s">
        <v>25166</v>
      </c>
      <c r="J8462" s="2" t="s">
        <v>25167</v>
      </c>
      <c r="K8462" s="2" t="s">
        <v>109</v>
      </c>
      <c r="L8462" s="2" t="s">
        <v>34</v>
      </c>
      <c r="M8462" s="2"/>
      <c r="N8462" s="2"/>
      <c r="O8462" s="2"/>
      <c r="P8462" s="2" t="s">
        <v>25168</v>
      </c>
      <c r="Q8462" s="6">
        <v>100</v>
      </c>
      <c r="R8462" s="6">
        <v>4</v>
      </c>
      <c r="S8462" s="5">
        <v>-68.400000000000006</v>
      </c>
      <c r="T8462" s="7">
        <v>-75.522000000000006</v>
      </c>
      <c r="U8462" s="5">
        <v>8.1</v>
      </c>
      <c r="V8462" s="6">
        <v>-1.42</v>
      </c>
      <c r="W8462" s="6">
        <v>2.67</v>
      </c>
      <c r="X8462" s="5">
        <v>2.6</v>
      </c>
      <c r="Y8462" s="6">
        <v>4.9800000000000004</v>
      </c>
      <c r="Z8462" s="6">
        <v>4.9800000000000004</v>
      </c>
      <c r="AA8462" s="6">
        <v>46.9</v>
      </c>
      <c r="AB8462" s="2" t="s">
        <v>86</v>
      </c>
      <c r="AC8462" s="2"/>
    </row>
    <row r="8463" spans="1:29" ht="104" x14ac:dyDescent="0.15">
      <c r="A8463" s="3">
        <f>DATE(2007,2,16)</f>
        <v>39129</v>
      </c>
      <c r="B8463" s="3">
        <f>DATE(2007,2,16)</f>
        <v>39129</v>
      </c>
      <c r="C8463" s="2" t="s">
        <v>95</v>
      </c>
      <c r="D8463" s="2" t="s">
        <v>24954</v>
      </c>
      <c r="E8463" s="2" t="s">
        <v>6378</v>
      </c>
      <c r="F8463" s="4">
        <v>2836</v>
      </c>
      <c r="G8463" s="2" t="s">
        <v>130</v>
      </c>
      <c r="H8463" s="2" t="s">
        <v>34</v>
      </c>
      <c r="I8463" s="2" t="s">
        <v>22912</v>
      </c>
      <c r="J8463" s="2" t="s">
        <v>13055</v>
      </c>
      <c r="K8463" s="2" t="s">
        <v>130</v>
      </c>
      <c r="L8463" s="2" t="s">
        <v>303</v>
      </c>
      <c r="M8463" s="2"/>
      <c r="N8463" s="7">
        <v>28.864000000000001</v>
      </c>
      <c r="O8463" s="7">
        <v>29.137</v>
      </c>
      <c r="P8463" s="2" t="s">
        <v>25169</v>
      </c>
      <c r="Q8463" s="6">
        <v>13.4</v>
      </c>
      <c r="R8463" s="6">
        <v>5</v>
      </c>
      <c r="S8463" s="5">
        <v>-30.2</v>
      </c>
      <c r="T8463" s="7">
        <v>-30.757000000000001</v>
      </c>
      <c r="U8463" s="5">
        <v>2.4</v>
      </c>
      <c r="V8463" s="6">
        <v>-2.85</v>
      </c>
      <c r="W8463" s="6">
        <v>4.9800000000000004</v>
      </c>
      <c r="X8463" s="6">
        <v>4.99</v>
      </c>
      <c r="Y8463" s="6">
        <v>4.99</v>
      </c>
      <c r="Z8463" s="6">
        <v>4.99</v>
      </c>
      <c r="AA8463" s="6">
        <v>10.75</v>
      </c>
      <c r="AB8463" s="2" t="s">
        <v>86</v>
      </c>
      <c r="AC8463" s="10">
        <v>5953.84</v>
      </c>
    </row>
    <row r="8464" spans="1:29" ht="221" x14ac:dyDescent="0.15">
      <c r="A8464" s="3">
        <f>DATE(2007,2,19)</f>
        <v>39132</v>
      </c>
      <c r="B8464" s="3">
        <f>DATE(2007,11,16)</f>
        <v>39402</v>
      </c>
      <c r="C8464" s="2" t="s">
        <v>95</v>
      </c>
      <c r="D8464" s="2" t="s">
        <v>25170</v>
      </c>
      <c r="E8464" s="2" t="s">
        <v>11403</v>
      </c>
      <c r="F8464" s="4">
        <v>3273</v>
      </c>
      <c r="G8464" s="2" t="s">
        <v>237</v>
      </c>
      <c r="H8464" s="2" t="s">
        <v>34</v>
      </c>
      <c r="I8464" s="2" t="s">
        <v>13210</v>
      </c>
      <c r="J8464" s="2" t="s">
        <v>13211</v>
      </c>
      <c r="K8464" s="2" t="s">
        <v>166</v>
      </c>
      <c r="L8464" s="2" t="s">
        <v>34</v>
      </c>
      <c r="M8464" s="12">
        <v>9064.6720000000005</v>
      </c>
      <c r="N8464" s="6">
        <v>111.14</v>
      </c>
      <c r="O8464" s="6">
        <v>111.14</v>
      </c>
      <c r="P8464" s="2" t="s">
        <v>25171</v>
      </c>
      <c r="Q8464" s="6">
        <v>100</v>
      </c>
      <c r="R8464" s="6">
        <v>70.44</v>
      </c>
      <c r="S8464" s="5">
        <v>211.4</v>
      </c>
      <c r="T8464" s="7">
        <v>390.59300000000002</v>
      </c>
      <c r="U8464" s="5">
        <v>14</v>
      </c>
      <c r="V8464" s="6">
        <v>3.16</v>
      </c>
      <c r="W8464" s="6">
        <v>45.88</v>
      </c>
      <c r="X8464" s="6">
        <v>46.96</v>
      </c>
      <c r="Y8464" s="6">
        <v>66.540000000000006</v>
      </c>
      <c r="Z8464" s="6">
        <v>66.540000000000006</v>
      </c>
      <c r="AA8464" s="6">
        <v>65.81</v>
      </c>
      <c r="AB8464" s="7">
        <v>14.909000000000001</v>
      </c>
      <c r="AC8464" s="6">
        <v>55.23</v>
      </c>
    </row>
    <row r="8465" spans="1:29" ht="91" x14ac:dyDescent="0.15">
      <c r="A8465" s="3">
        <f>DATE(2007,2,19)</f>
        <v>39132</v>
      </c>
      <c r="B8465" s="3">
        <f>DATE(2007,5,7)</f>
        <v>39209</v>
      </c>
      <c r="C8465" s="2" t="s">
        <v>95</v>
      </c>
      <c r="D8465" s="2" t="s">
        <v>25172</v>
      </c>
      <c r="E8465" s="2" t="s">
        <v>25173</v>
      </c>
      <c r="F8465" s="4">
        <v>2879</v>
      </c>
      <c r="G8465" s="2" t="s">
        <v>98</v>
      </c>
      <c r="H8465" s="2" t="s">
        <v>34</v>
      </c>
      <c r="I8465" s="2" t="s">
        <v>18919</v>
      </c>
      <c r="J8465" s="2" t="s">
        <v>18920</v>
      </c>
      <c r="K8465" s="2" t="s">
        <v>300</v>
      </c>
      <c r="L8465" s="2" t="s">
        <v>34</v>
      </c>
      <c r="M8465" s="12">
        <v>22041.041000000001</v>
      </c>
      <c r="N8465" s="6">
        <v>113.93</v>
      </c>
      <c r="O8465" s="6">
        <v>113.35</v>
      </c>
      <c r="P8465" s="2" t="s">
        <v>25174</v>
      </c>
      <c r="Q8465" s="6">
        <v>100</v>
      </c>
      <c r="R8465" s="6">
        <v>14.5</v>
      </c>
      <c r="S8465" s="5">
        <v>-19.7</v>
      </c>
      <c r="T8465" s="6">
        <v>-16.27</v>
      </c>
      <c r="U8465" s="5">
        <v>2.8</v>
      </c>
      <c r="V8465" s="6">
        <v>-2.16</v>
      </c>
      <c r="W8465" s="4">
        <v>10</v>
      </c>
      <c r="X8465" s="6">
        <v>10.43</v>
      </c>
      <c r="Y8465" s="6">
        <v>10.43</v>
      </c>
      <c r="Z8465" s="5">
        <v>14.3</v>
      </c>
      <c r="AA8465" s="6">
        <v>9.15</v>
      </c>
      <c r="AB8465" s="2" t="s">
        <v>86</v>
      </c>
      <c r="AC8465" s="8">
        <v>2751.1</v>
      </c>
    </row>
    <row r="8466" spans="1:29" ht="208" x14ac:dyDescent="0.15">
      <c r="A8466" s="3">
        <f>DATE(2007,2,19)</f>
        <v>39132</v>
      </c>
      <c r="B8466" s="3">
        <f>DATE(2008,7,29)</f>
        <v>39658</v>
      </c>
      <c r="C8466" s="2" t="s">
        <v>95</v>
      </c>
      <c r="D8466" s="2" t="s">
        <v>25175</v>
      </c>
      <c r="E8466" s="2" t="s">
        <v>5391</v>
      </c>
      <c r="F8466" s="4">
        <v>4832</v>
      </c>
      <c r="G8466" s="2" t="s">
        <v>45</v>
      </c>
      <c r="H8466" s="2" t="s">
        <v>34</v>
      </c>
      <c r="I8466" s="2" t="s">
        <v>25176</v>
      </c>
      <c r="J8466" s="2" t="s">
        <v>5391</v>
      </c>
      <c r="K8466" s="2" t="s">
        <v>45</v>
      </c>
      <c r="L8466" s="2" t="s">
        <v>34</v>
      </c>
      <c r="M8466" s="12">
        <v>5414.0839999999998</v>
      </c>
      <c r="N8466" s="6">
        <v>3.92</v>
      </c>
      <c r="O8466" s="6">
        <v>3.92</v>
      </c>
      <c r="P8466" s="2" t="s">
        <v>25177</v>
      </c>
      <c r="Q8466" s="6">
        <v>100</v>
      </c>
      <c r="R8466" s="6">
        <v>17.02</v>
      </c>
      <c r="S8466" s="5">
        <v>-718.9</v>
      </c>
      <c r="T8466" s="7">
        <v>-234.21799999999999</v>
      </c>
      <c r="U8466" s="5">
        <v>-1.5</v>
      </c>
      <c r="V8466" s="6">
        <v>-2.7</v>
      </c>
      <c r="W8466" s="6">
        <v>13.23</v>
      </c>
      <c r="X8466" s="6">
        <v>13.46</v>
      </c>
      <c r="Y8466" s="6">
        <v>14.37</v>
      </c>
      <c r="Z8466" s="6">
        <v>13.71</v>
      </c>
      <c r="AA8466" s="6">
        <v>268.54000000000002</v>
      </c>
      <c r="AB8466" s="2" t="s">
        <v>86</v>
      </c>
      <c r="AC8466" s="6">
        <v>433.92</v>
      </c>
    </row>
    <row r="8467" spans="1:29" ht="143" x14ac:dyDescent="0.15">
      <c r="A8467" s="3">
        <f>DATE(2007,2,20)</f>
        <v>39133</v>
      </c>
      <c r="B8467" s="3">
        <f>DATE(2007,5,22)</f>
        <v>39224</v>
      </c>
      <c r="C8467" s="2" t="s">
        <v>95</v>
      </c>
      <c r="D8467" s="2" t="s">
        <v>8989</v>
      </c>
      <c r="E8467" s="2" t="s">
        <v>8990</v>
      </c>
      <c r="F8467" s="4">
        <v>7521</v>
      </c>
      <c r="G8467" s="2" t="s">
        <v>1327</v>
      </c>
      <c r="H8467" s="2" t="s">
        <v>34</v>
      </c>
      <c r="I8467" s="2" t="s">
        <v>25178</v>
      </c>
      <c r="J8467" s="2" t="s">
        <v>25179</v>
      </c>
      <c r="K8467" s="2" t="s">
        <v>53</v>
      </c>
      <c r="L8467" s="2" t="s">
        <v>34</v>
      </c>
      <c r="M8467" s="2"/>
      <c r="N8467" s="2"/>
      <c r="O8467" s="2"/>
      <c r="P8467" s="2" t="s">
        <v>25180</v>
      </c>
      <c r="Q8467" s="6">
        <v>100</v>
      </c>
      <c r="R8467" s="6">
        <v>22.53</v>
      </c>
      <c r="S8467" s="5">
        <v>24.9</v>
      </c>
      <c r="T8467" s="7">
        <v>72.444999999999993</v>
      </c>
      <c r="U8467" s="5">
        <v>12.9</v>
      </c>
      <c r="V8467" s="6">
        <v>0.78</v>
      </c>
      <c r="W8467" s="5">
        <v>20.5</v>
      </c>
      <c r="X8467" s="6">
        <v>20.36</v>
      </c>
      <c r="Y8467" s="6">
        <v>21.22</v>
      </c>
      <c r="Z8467" s="6">
        <v>22.14</v>
      </c>
      <c r="AA8467" s="6">
        <v>32.24</v>
      </c>
      <c r="AB8467" s="7">
        <v>20.228000000000002</v>
      </c>
      <c r="AC8467" s="2"/>
    </row>
    <row r="8468" spans="1:29" ht="143" x14ac:dyDescent="0.15">
      <c r="A8468" s="3">
        <f>DATE(2007,2,20)</f>
        <v>39133</v>
      </c>
      <c r="B8468" s="3">
        <f>DATE(2007,4,17)</f>
        <v>39189</v>
      </c>
      <c r="C8468" s="2" t="s">
        <v>95</v>
      </c>
      <c r="D8468" s="2" t="s">
        <v>25181</v>
      </c>
      <c r="E8468" s="2" t="s">
        <v>25182</v>
      </c>
      <c r="F8468" s="4">
        <v>2834</v>
      </c>
      <c r="G8468" s="2" t="s">
        <v>130</v>
      </c>
      <c r="H8468" s="2" t="s">
        <v>34</v>
      </c>
      <c r="I8468" s="2" t="s">
        <v>25183</v>
      </c>
      <c r="J8468" s="2" t="s">
        <v>839</v>
      </c>
      <c r="K8468" s="2" t="s">
        <v>130</v>
      </c>
      <c r="L8468" s="2" t="s">
        <v>303</v>
      </c>
      <c r="M8468" s="12">
        <v>10917.734</v>
      </c>
      <c r="N8468" s="6">
        <v>21.76</v>
      </c>
      <c r="O8468" s="7">
        <v>21.984999999999999</v>
      </c>
      <c r="P8468" s="2" t="s">
        <v>25184</v>
      </c>
      <c r="Q8468" s="6">
        <v>100</v>
      </c>
      <c r="R8468" s="6">
        <v>64</v>
      </c>
      <c r="S8468" s="5">
        <v>-56.7</v>
      </c>
      <c r="T8468" s="7">
        <v>-55.622</v>
      </c>
      <c r="U8468" s="5">
        <v>-3</v>
      </c>
      <c r="V8468" s="6">
        <v>-1.58</v>
      </c>
      <c r="W8468" s="6">
        <v>54.69</v>
      </c>
      <c r="X8468" s="6">
        <v>58.35</v>
      </c>
      <c r="Y8468" s="6">
        <v>63.19</v>
      </c>
      <c r="Z8468" s="6">
        <v>63.09</v>
      </c>
      <c r="AA8468" s="6">
        <v>37.94</v>
      </c>
      <c r="AB8468" s="2" t="s">
        <v>86</v>
      </c>
      <c r="AC8468" s="10">
        <v>1157.6199999999999</v>
      </c>
    </row>
    <row r="8469" spans="1:29" ht="130" x14ac:dyDescent="0.15">
      <c r="A8469" s="3">
        <f>DATE(2007,2,20)</f>
        <v>39133</v>
      </c>
      <c r="B8469" s="3">
        <f>DATE(2007,3,31)</f>
        <v>39172</v>
      </c>
      <c r="C8469" s="2" t="s">
        <v>95</v>
      </c>
      <c r="D8469" s="2" t="s">
        <v>25185</v>
      </c>
      <c r="E8469" s="2" t="s">
        <v>7682</v>
      </c>
      <c r="F8469" s="4">
        <v>5411</v>
      </c>
      <c r="G8469" s="2" t="s">
        <v>1461</v>
      </c>
      <c r="H8469" s="2" t="s">
        <v>34</v>
      </c>
      <c r="I8469" s="2" t="s">
        <v>9715</v>
      </c>
      <c r="J8469" s="2" t="s">
        <v>244</v>
      </c>
      <c r="K8469" s="2" t="s">
        <v>53</v>
      </c>
      <c r="L8469" s="2" t="s">
        <v>34</v>
      </c>
      <c r="M8469" s="2"/>
      <c r="N8469" s="2"/>
      <c r="O8469" s="2"/>
      <c r="P8469" s="2" t="s">
        <v>25186</v>
      </c>
      <c r="Q8469" s="6">
        <v>100</v>
      </c>
      <c r="R8469" s="6">
        <v>22</v>
      </c>
      <c r="S8469" s="5">
        <v>20.8</v>
      </c>
      <c r="T8469" s="7">
        <v>78.004000000000005</v>
      </c>
      <c r="U8469" s="5">
        <v>9.3000000000000007</v>
      </c>
      <c r="V8469" s="6">
        <v>0.65</v>
      </c>
      <c r="W8469" s="6">
        <v>19.52</v>
      </c>
      <c r="X8469" s="6">
        <v>19.059999999999999</v>
      </c>
      <c r="Y8469" s="5">
        <v>21.6</v>
      </c>
      <c r="Z8469" s="6">
        <v>21.49</v>
      </c>
      <c r="AA8469" s="6">
        <v>31.8</v>
      </c>
      <c r="AB8469" s="7">
        <v>19.315999999999999</v>
      </c>
      <c r="AC8469" s="2"/>
    </row>
    <row r="8470" spans="1:29" ht="104" x14ac:dyDescent="0.15">
      <c r="A8470" s="3">
        <f>DATE(2007,2,20)</f>
        <v>39133</v>
      </c>
      <c r="B8470" s="3">
        <f>DATE(2007,4,6)</f>
        <v>39178</v>
      </c>
      <c r="C8470" s="2" t="s">
        <v>95</v>
      </c>
      <c r="D8470" s="2" t="s">
        <v>25187</v>
      </c>
      <c r="E8470" s="2" t="s">
        <v>25188</v>
      </c>
      <c r="F8470" s="4">
        <v>3569</v>
      </c>
      <c r="G8470" s="2" t="s">
        <v>300</v>
      </c>
      <c r="H8470" s="2" t="s">
        <v>34</v>
      </c>
      <c r="I8470" s="2" t="s">
        <v>25189</v>
      </c>
      <c r="J8470" s="2" t="s">
        <v>25190</v>
      </c>
      <c r="K8470" s="2" t="s">
        <v>300</v>
      </c>
      <c r="L8470" s="2" t="s">
        <v>34</v>
      </c>
      <c r="M8470" s="7">
        <v>331.31299999999999</v>
      </c>
      <c r="N8470" s="6">
        <v>16.579999999999998</v>
      </c>
      <c r="O8470" s="6">
        <v>16.21</v>
      </c>
      <c r="P8470" s="2" t="s">
        <v>25191</v>
      </c>
      <c r="Q8470" s="6">
        <v>100</v>
      </c>
      <c r="R8470" s="6">
        <v>24.8</v>
      </c>
      <c r="S8470" s="5">
        <v>4.0999999999999996</v>
      </c>
      <c r="T8470" s="7">
        <v>14.021000000000001</v>
      </c>
      <c r="U8470" s="5">
        <v>7.1</v>
      </c>
      <c r="V8470" s="6">
        <v>1.05</v>
      </c>
      <c r="W8470" s="6">
        <v>18.11</v>
      </c>
      <c r="X8470" s="4">
        <v>17</v>
      </c>
      <c r="Y8470" s="6">
        <v>24.67</v>
      </c>
      <c r="Z8470" s="6">
        <v>24.65</v>
      </c>
      <c r="AA8470" s="6">
        <v>3.74</v>
      </c>
      <c r="AB8470" s="7">
        <v>13.704000000000001</v>
      </c>
      <c r="AC8470" s="6">
        <v>42.53</v>
      </c>
    </row>
    <row r="8471" spans="1:29" ht="156" x14ac:dyDescent="0.15">
      <c r="A8471" s="3">
        <f>DATE(2007,2,21)</f>
        <v>39134</v>
      </c>
      <c r="B8471" s="3">
        <f>DATE(2007,8,28)</f>
        <v>39322</v>
      </c>
      <c r="C8471" s="2" t="s">
        <v>95</v>
      </c>
      <c r="D8471" s="2" t="s">
        <v>25192</v>
      </c>
      <c r="E8471" s="2" t="s">
        <v>25193</v>
      </c>
      <c r="F8471" s="4">
        <v>5411</v>
      </c>
      <c r="G8471" s="2" t="s">
        <v>1461</v>
      </c>
      <c r="H8471" s="2" t="s">
        <v>34</v>
      </c>
      <c r="I8471" s="2" t="s">
        <v>9856</v>
      </c>
      <c r="J8471" s="2" t="s">
        <v>9676</v>
      </c>
      <c r="K8471" s="2" t="s">
        <v>1461</v>
      </c>
      <c r="L8471" s="2" t="s">
        <v>34</v>
      </c>
      <c r="M8471" s="10">
        <v>6289.02</v>
      </c>
      <c r="N8471" s="5">
        <v>45.7</v>
      </c>
      <c r="O8471" s="6">
        <v>52.11</v>
      </c>
      <c r="P8471" s="2" t="s">
        <v>25194</v>
      </c>
      <c r="Q8471" s="6">
        <v>100</v>
      </c>
      <c r="R8471" s="6">
        <v>18.5</v>
      </c>
      <c r="S8471" s="5">
        <v>-16.600000000000001</v>
      </c>
      <c r="T8471" s="7">
        <v>44.152000000000001</v>
      </c>
      <c r="U8471" s="5">
        <v>3.6</v>
      </c>
      <c r="V8471" s="6">
        <v>-0.56999999999999995</v>
      </c>
      <c r="W8471" s="5">
        <v>15.4</v>
      </c>
      <c r="X8471" s="6">
        <v>15.78</v>
      </c>
      <c r="Y8471" s="6">
        <v>15.72</v>
      </c>
      <c r="Z8471" s="6">
        <v>18.41</v>
      </c>
      <c r="AA8471" s="6">
        <v>29.5</v>
      </c>
      <c r="AB8471" s="7">
        <v>38.521000000000001</v>
      </c>
      <c r="AC8471" s="6">
        <v>222.46</v>
      </c>
    </row>
    <row r="8472" spans="1:29" ht="169" x14ac:dyDescent="0.15">
      <c r="A8472" s="3">
        <f>DATE(2007,2,21)</f>
        <v>39134</v>
      </c>
      <c r="B8472" s="2"/>
      <c r="C8472" s="2" t="s">
        <v>30</v>
      </c>
      <c r="D8472" s="2" t="s">
        <v>25195</v>
      </c>
      <c r="E8472" s="2" t="s">
        <v>6321</v>
      </c>
      <c r="F8472" s="4">
        <v>6798</v>
      </c>
      <c r="G8472" s="2" t="s">
        <v>53</v>
      </c>
      <c r="H8472" s="2" t="s">
        <v>34</v>
      </c>
      <c r="I8472" s="2" t="s">
        <v>25196</v>
      </c>
      <c r="J8472" s="2" t="s">
        <v>4732</v>
      </c>
      <c r="K8472" s="2" t="s">
        <v>53</v>
      </c>
      <c r="L8472" s="2" t="s">
        <v>34</v>
      </c>
      <c r="M8472" s="2"/>
      <c r="N8472" s="2"/>
      <c r="O8472" s="2"/>
      <c r="P8472" s="2" t="s">
        <v>25197</v>
      </c>
      <c r="Q8472" s="2"/>
      <c r="R8472" s="6">
        <v>14.1</v>
      </c>
      <c r="S8472" s="5">
        <v>12.9</v>
      </c>
      <c r="T8472" s="7">
        <v>34.610999999999997</v>
      </c>
      <c r="U8472" s="5">
        <v>5.7</v>
      </c>
      <c r="V8472" s="6">
        <v>0.2</v>
      </c>
      <c r="W8472" s="6">
        <v>13.49</v>
      </c>
      <c r="X8472" s="6">
        <v>13.81</v>
      </c>
      <c r="Y8472" s="6">
        <v>13.71</v>
      </c>
      <c r="Z8472" s="6">
        <v>14.47</v>
      </c>
      <c r="AA8472" s="6">
        <v>29.19</v>
      </c>
      <c r="AB8472" s="7">
        <v>69.244</v>
      </c>
      <c r="AC8472" s="2"/>
    </row>
    <row r="8473" spans="1:29" ht="52" x14ac:dyDescent="0.15">
      <c r="A8473" s="3">
        <f t="shared" ref="A8473:A8478" si="165">DATE(2007,2,22)</f>
        <v>39135</v>
      </c>
      <c r="B8473" s="2"/>
      <c r="C8473" s="2" t="s">
        <v>30</v>
      </c>
      <c r="D8473" s="2" t="s">
        <v>25198</v>
      </c>
      <c r="E8473" s="2" t="s">
        <v>540</v>
      </c>
      <c r="F8473" s="4">
        <v>2836</v>
      </c>
      <c r="G8473" s="2" t="s">
        <v>130</v>
      </c>
      <c r="H8473" s="2" t="s">
        <v>34</v>
      </c>
      <c r="I8473" s="2" t="s">
        <v>25199</v>
      </c>
      <c r="J8473" s="2" t="s">
        <v>22486</v>
      </c>
      <c r="K8473" s="2" t="s">
        <v>53</v>
      </c>
      <c r="L8473" s="2" t="s">
        <v>34</v>
      </c>
      <c r="M8473" s="2"/>
      <c r="N8473" s="2"/>
      <c r="O8473" s="2"/>
      <c r="P8473" s="2" t="s">
        <v>25200</v>
      </c>
      <c r="Q8473" s="2"/>
      <c r="R8473" s="2"/>
      <c r="S8473" s="5">
        <v>-24.5</v>
      </c>
      <c r="T8473" s="7">
        <v>-21.681000000000001</v>
      </c>
      <c r="U8473" s="5">
        <v>0.8</v>
      </c>
      <c r="V8473" s="6">
        <v>-3.29</v>
      </c>
      <c r="W8473" s="6">
        <v>22.14</v>
      </c>
      <c r="X8473" s="6">
        <v>22.61</v>
      </c>
      <c r="Y8473" s="6">
        <v>22.55</v>
      </c>
      <c r="Z8473" s="6">
        <v>24.17</v>
      </c>
      <c r="AA8473" s="6">
        <v>23.02</v>
      </c>
      <c r="AB8473" s="2" t="s">
        <v>86</v>
      </c>
      <c r="AC8473" s="2"/>
    </row>
    <row r="8474" spans="1:29" ht="78" x14ac:dyDescent="0.15">
      <c r="A8474" s="3">
        <f t="shared" si="165"/>
        <v>39135</v>
      </c>
      <c r="B8474" s="3">
        <f>DATE(2007,5,10)</f>
        <v>39212</v>
      </c>
      <c r="C8474" s="2" t="s">
        <v>95</v>
      </c>
      <c r="D8474" s="2" t="s">
        <v>25201</v>
      </c>
      <c r="E8474" s="2" t="s">
        <v>3669</v>
      </c>
      <c r="F8474" s="4">
        <v>7372</v>
      </c>
      <c r="G8474" s="2" t="s">
        <v>551</v>
      </c>
      <c r="H8474" s="2" t="s">
        <v>34</v>
      </c>
      <c r="I8474" s="2" t="s">
        <v>25202</v>
      </c>
      <c r="J8474" s="2" t="s">
        <v>5102</v>
      </c>
      <c r="K8474" s="2" t="s">
        <v>551</v>
      </c>
      <c r="L8474" s="2" t="s">
        <v>34</v>
      </c>
      <c r="M8474" s="2"/>
      <c r="N8474" s="2"/>
      <c r="O8474" s="2"/>
      <c r="P8474" s="2" t="s">
        <v>25203</v>
      </c>
      <c r="Q8474" s="6">
        <v>100</v>
      </c>
      <c r="R8474" s="6">
        <v>3.45</v>
      </c>
      <c r="S8474" s="5">
        <v>3.3</v>
      </c>
      <c r="T8474" s="7">
        <v>2.5680000000000001</v>
      </c>
      <c r="U8474" s="5">
        <v>3.2</v>
      </c>
      <c r="V8474" s="6">
        <v>0.21</v>
      </c>
      <c r="W8474" s="7">
        <v>3.149</v>
      </c>
      <c r="X8474" s="5">
        <v>3.2</v>
      </c>
      <c r="Y8474" s="5">
        <v>3.2</v>
      </c>
      <c r="Z8474" s="6">
        <v>3.33</v>
      </c>
      <c r="AA8474" s="6">
        <v>15.27</v>
      </c>
      <c r="AB8474" s="7">
        <v>13.846</v>
      </c>
      <c r="AC8474" s="2"/>
    </row>
    <row r="8475" spans="1:29" ht="169" x14ac:dyDescent="0.15">
      <c r="A8475" s="3">
        <f t="shared" si="165"/>
        <v>39135</v>
      </c>
      <c r="B8475" s="2"/>
      <c r="C8475" s="2" t="s">
        <v>30</v>
      </c>
      <c r="D8475" s="2" t="s">
        <v>25204</v>
      </c>
      <c r="E8475" s="2" t="s">
        <v>25205</v>
      </c>
      <c r="F8475" s="4">
        <v>7311</v>
      </c>
      <c r="G8475" s="2" t="s">
        <v>4563</v>
      </c>
      <c r="H8475" s="2" t="s">
        <v>34</v>
      </c>
      <c r="I8475" s="2" t="s">
        <v>21270</v>
      </c>
      <c r="J8475" s="2" t="s">
        <v>302</v>
      </c>
      <c r="K8475" s="2" t="s">
        <v>53</v>
      </c>
      <c r="L8475" s="2" t="s">
        <v>34</v>
      </c>
      <c r="M8475" s="2"/>
      <c r="N8475" s="2"/>
      <c r="O8475" s="2"/>
      <c r="P8475" s="2" t="s">
        <v>25206</v>
      </c>
      <c r="Q8475" s="2"/>
      <c r="R8475" s="6">
        <v>32.1</v>
      </c>
      <c r="S8475" s="5">
        <v>57.1</v>
      </c>
      <c r="T8475" s="7">
        <v>125.163</v>
      </c>
      <c r="U8475" s="5">
        <v>4</v>
      </c>
      <c r="V8475" s="9">
        <v>1.2266999999999999</v>
      </c>
      <c r="W8475" s="5">
        <v>24.5</v>
      </c>
      <c r="X8475" s="6">
        <v>24.23</v>
      </c>
      <c r="Y8475" s="6">
        <v>29.11</v>
      </c>
      <c r="Z8475" s="6">
        <v>28.83</v>
      </c>
      <c r="AA8475" s="6">
        <v>46.67</v>
      </c>
      <c r="AB8475" s="7">
        <v>16.832000000000001</v>
      </c>
      <c r="AC8475" s="2"/>
    </row>
    <row r="8476" spans="1:29" ht="130" x14ac:dyDescent="0.15">
      <c r="A8476" s="3">
        <f t="shared" si="165"/>
        <v>39135</v>
      </c>
      <c r="B8476" s="3">
        <f>DATE(2007,9,28)</f>
        <v>39353</v>
      </c>
      <c r="C8476" s="2" t="s">
        <v>95</v>
      </c>
      <c r="D8476" s="2" t="s">
        <v>24051</v>
      </c>
      <c r="E8476" s="2" t="s">
        <v>4015</v>
      </c>
      <c r="F8476" s="4">
        <v>6311</v>
      </c>
      <c r="G8476" s="2" t="s">
        <v>125</v>
      </c>
      <c r="H8476" s="2" t="s">
        <v>34</v>
      </c>
      <c r="I8476" s="2" t="s">
        <v>9376</v>
      </c>
      <c r="J8476" s="2" t="s">
        <v>9851</v>
      </c>
      <c r="K8476" s="2" t="s">
        <v>125</v>
      </c>
      <c r="L8476" s="2" t="s">
        <v>34</v>
      </c>
      <c r="M8476" s="12">
        <v>2790.9459999999999</v>
      </c>
      <c r="N8476" s="6">
        <v>36.36</v>
      </c>
      <c r="O8476" s="6">
        <v>36.29</v>
      </c>
      <c r="P8476" s="2" t="s">
        <v>25207</v>
      </c>
      <c r="Q8476" s="6">
        <v>24.35</v>
      </c>
      <c r="R8476" s="6">
        <v>24.5</v>
      </c>
      <c r="S8476" s="5">
        <v>68.7</v>
      </c>
      <c r="T8476" s="2"/>
      <c r="U8476" s="5">
        <v>22.4</v>
      </c>
      <c r="V8476" s="6">
        <v>1.42</v>
      </c>
      <c r="W8476" s="6">
        <v>21.31</v>
      </c>
      <c r="X8476" s="6">
        <v>21.64</v>
      </c>
      <c r="Y8476" s="6">
        <v>21.69</v>
      </c>
      <c r="Z8476" s="6">
        <v>25.07</v>
      </c>
      <c r="AA8476" s="6">
        <v>47.5</v>
      </c>
      <c r="AB8476" s="7">
        <v>8.1579999999999995</v>
      </c>
      <c r="AC8476" s="8">
        <v>1102.9000000000001</v>
      </c>
    </row>
    <row r="8477" spans="1:29" ht="91" x14ac:dyDescent="0.15">
      <c r="A8477" s="3">
        <f t="shared" si="165"/>
        <v>39135</v>
      </c>
      <c r="B8477" s="2"/>
      <c r="C8477" s="2" t="s">
        <v>30</v>
      </c>
      <c r="D8477" s="2" t="s">
        <v>25208</v>
      </c>
      <c r="E8477" s="2" t="s">
        <v>25209</v>
      </c>
      <c r="F8477" s="4">
        <v>7379</v>
      </c>
      <c r="G8477" s="2" t="s">
        <v>223</v>
      </c>
      <c r="H8477" s="2" t="s">
        <v>34</v>
      </c>
      <c r="I8477" s="2" t="s">
        <v>25210</v>
      </c>
      <c r="J8477" s="2" t="s">
        <v>25211</v>
      </c>
      <c r="K8477" s="2" t="s">
        <v>223</v>
      </c>
      <c r="L8477" s="2" t="s">
        <v>34</v>
      </c>
      <c r="M8477" s="12">
        <v>2565.3890000000001</v>
      </c>
      <c r="N8477" s="6">
        <v>55.36</v>
      </c>
      <c r="O8477" s="6">
        <v>54.45</v>
      </c>
      <c r="P8477" s="2" t="s">
        <v>25212</v>
      </c>
      <c r="Q8477" s="2"/>
      <c r="R8477" s="6">
        <v>9.6</v>
      </c>
      <c r="S8477" s="5">
        <v>7.5</v>
      </c>
      <c r="T8477" s="7">
        <v>29.734999999999999</v>
      </c>
      <c r="U8477" s="5">
        <v>45.1</v>
      </c>
      <c r="V8477" s="6">
        <v>1.47</v>
      </c>
      <c r="W8477" s="7">
        <v>8.0050000000000008</v>
      </c>
      <c r="X8477" s="6">
        <v>10.07</v>
      </c>
      <c r="Y8477" s="6">
        <v>9.24</v>
      </c>
      <c r="Z8477" s="6">
        <v>9.0399999999999991</v>
      </c>
      <c r="AA8477" s="6">
        <v>35.81</v>
      </c>
      <c r="AB8477" s="7">
        <v>7.367</v>
      </c>
      <c r="AC8477" s="6">
        <v>339.47</v>
      </c>
    </row>
    <row r="8478" spans="1:29" ht="143" x14ac:dyDescent="0.15">
      <c r="A8478" s="3">
        <f t="shared" si="165"/>
        <v>39135</v>
      </c>
      <c r="B8478" s="3">
        <f>DATE(2007,7,2)</f>
        <v>39265</v>
      </c>
      <c r="C8478" s="2" t="s">
        <v>95</v>
      </c>
      <c r="D8478" s="2" t="s">
        <v>25213</v>
      </c>
      <c r="E8478" s="2" t="s">
        <v>3780</v>
      </c>
      <c r="F8478" s="4">
        <v>6021</v>
      </c>
      <c r="G8478" s="2" t="s">
        <v>37</v>
      </c>
      <c r="H8478" s="2" t="s">
        <v>34</v>
      </c>
      <c r="I8478" s="2" t="s">
        <v>25214</v>
      </c>
      <c r="J8478" s="2" t="s">
        <v>3780</v>
      </c>
      <c r="K8478" s="2" t="s">
        <v>37</v>
      </c>
      <c r="L8478" s="2" t="s">
        <v>34</v>
      </c>
      <c r="M8478" s="2"/>
      <c r="N8478" s="2"/>
      <c r="O8478" s="2"/>
      <c r="P8478" s="2" t="s">
        <v>25215</v>
      </c>
      <c r="Q8478" s="6">
        <v>100</v>
      </c>
      <c r="R8478" s="6">
        <v>12.45</v>
      </c>
      <c r="S8478" s="5">
        <v>0.5</v>
      </c>
      <c r="T8478" s="7">
        <v>0.754</v>
      </c>
      <c r="U8478" s="2"/>
      <c r="V8478" s="6">
        <v>0.28999999999999998</v>
      </c>
      <c r="W8478" s="5">
        <v>11.6</v>
      </c>
      <c r="X8478" s="4">
        <v>12</v>
      </c>
      <c r="Y8478" s="5">
        <v>12.5</v>
      </c>
      <c r="Z8478" s="6">
        <v>12.25</v>
      </c>
      <c r="AA8478" s="6">
        <v>1.1599999999999999</v>
      </c>
      <c r="AB8478" s="7">
        <v>252.166</v>
      </c>
      <c r="AC8478" s="2"/>
    </row>
    <row r="8479" spans="1:29" ht="39" x14ac:dyDescent="0.15">
      <c r="A8479" s="3">
        <f>DATE(2007,2,23)</f>
        <v>39136</v>
      </c>
      <c r="B8479" s="2"/>
      <c r="C8479" s="2" t="s">
        <v>189</v>
      </c>
      <c r="D8479" s="2" t="s">
        <v>25216</v>
      </c>
      <c r="E8479" s="2" t="s">
        <v>21945</v>
      </c>
      <c r="F8479" s="4">
        <v>6798</v>
      </c>
      <c r="G8479" s="2" t="s">
        <v>53</v>
      </c>
      <c r="H8479" s="2" t="s">
        <v>34</v>
      </c>
      <c r="I8479" s="2" t="s">
        <v>143</v>
      </c>
      <c r="J8479" s="2" t="s">
        <v>144</v>
      </c>
      <c r="K8479" s="2" t="s">
        <v>53</v>
      </c>
      <c r="L8479" s="2" t="s">
        <v>139</v>
      </c>
      <c r="M8479" s="2"/>
      <c r="N8479" s="2"/>
      <c r="O8479" s="2"/>
      <c r="P8479" s="2" t="s">
        <v>25217</v>
      </c>
      <c r="Q8479" s="2"/>
      <c r="R8479" s="2"/>
      <c r="S8479" s="5">
        <v>-15</v>
      </c>
      <c r="T8479" s="7">
        <v>4.2720000000000002</v>
      </c>
      <c r="U8479" s="5">
        <v>39.6</v>
      </c>
      <c r="V8479" s="6">
        <v>1.2</v>
      </c>
      <c r="W8479" s="6">
        <v>3.36</v>
      </c>
      <c r="X8479" s="5">
        <v>3.3</v>
      </c>
      <c r="Y8479" s="5">
        <v>3.3</v>
      </c>
      <c r="Z8479" s="6">
        <v>3.25</v>
      </c>
      <c r="AA8479" s="6">
        <v>18.079999999999998</v>
      </c>
      <c r="AB8479" s="2" t="s">
        <v>47</v>
      </c>
      <c r="AC8479" s="2"/>
    </row>
    <row r="8480" spans="1:29" ht="169" x14ac:dyDescent="0.15">
      <c r="A8480" s="3">
        <f>DATE(2007,2,23)</f>
        <v>39136</v>
      </c>
      <c r="B8480" s="3">
        <f>DATE(2007,11,9)</f>
        <v>39395</v>
      </c>
      <c r="C8480" s="2" t="s">
        <v>95</v>
      </c>
      <c r="D8480" s="2" t="s">
        <v>25218</v>
      </c>
      <c r="E8480" s="2" t="s">
        <v>4880</v>
      </c>
      <c r="F8480" s="4">
        <v>4924</v>
      </c>
      <c r="G8480" s="2" t="s">
        <v>439</v>
      </c>
      <c r="H8480" s="2" t="s">
        <v>34</v>
      </c>
      <c r="I8480" s="2" t="s">
        <v>23493</v>
      </c>
      <c r="J8480" s="2" t="s">
        <v>23494</v>
      </c>
      <c r="K8480" s="2" t="s">
        <v>439</v>
      </c>
      <c r="L8480" s="2" t="s">
        <v>34</v>
      </c>
      <c r="M8480" s="2"/>
      <c r="N8480" s="2"/>
      <c r="O8480" s="2"/>
      <c r="P8480" s="2" t="s">
        <v>25219</v>
      </c>
      <c r="Q8480" s="6">
        <v>100</v>
      </c>
      <c r="R8480" s="6">
        <v>8.15</v>
      </c>
      <c r="S8480" s="5">
        <v>14.7</v>
      </c>
      <c r="T8480" s="7">
        <v>89.004999999999995</v>
      </c>
      <c r="U8480" s="5">
        <v>6.6</v>
      </c>
      <c r="V8480" s="6">
        <v>0.33</v>
      </c>
      <c r="W8480" s="6">
        <v>5.95</v>
      </c>
      <c r="X8480" s="4">
        <v>6</v>
      </c>
      <c r="Y8480" s="7">
        <v>14.563000000000001</v>
      </c>
      <c r="Z8480" s="7">
        <v>14.813000000000001</v>
      </c>
      <c r="AA8480" s="6">
        <v>35.43</v>
      </c>
      <c r="AB8480" s="7">
        <v>12.974</v>
      </c>
      <c r="AC8480" s="2"/>
    </row>
    <row r="8481" spans="1:29" ht="156" x14ac:dyDescent="0.15">
      <c r="A8481" s="3">
        <f>DATE(2007,2,26)</f>
        <v>39139</v>
      </c>
      <c r="B8481" s="3">
        <f>DATE(2007,7,31)</f>
        <v>39294</v>
      </c>
      <c r="C8481" s="2" t="s">
        <v>95</v>
      </c>
      <c r="D8481" s="2" t="s">
        <v>25220</v>
      </c>
      <c r="E8481" s="2" t="s">
        <v>159</v>
      </c>
      <c r="F8481" s="4">
        <v>6021</v>
      </c>
      <c r="G8481" s="2" t="s">
        <v>37</v>
      </c>
      <c r="H8481" s="2" t="s">
        <v>34</v>
      </c>
      <c r="I8481" s="2" t="s">
        <v>9171</v>
      </c>
      <c r="J8481" s="2" t="s">
        <v>159</v>
      </c>
      <c r="K8481" s="2" t="s">
        <v>37</v>
      </c>
      <c r="L8481" s="2" t="s">
        <v>34</v>
      </c>
      <c r="M8481" s="7">
        <v>138.20400000000001</v>
      </c>
      <c r="N8481" s="6">
        <v>16.52</v>
      </c>
      <c r="O8481" s="6">
        <v>15.26</v>
      </c>
      <c r="P8481" s="2" t="s">
        <v>25221</v>
      </c>
      <c r="Q8481" s="6">
        <v>100</v>
      </c>
      <c r="R8481" s="6">
        <v>17.66</v>
      </c>
      <c r="S8481" s="5">
        <v>9.1</v>
      </c>
      <c r="T8481" s="7">
        <v>15.189</v>
      </c>
      <c r="U8481" s="5">
        <v>10.3</v>
      </c>
      <c r="V8481" s="6">
        <v>1.26</v>
      </c>
      <c r="W8481" s="5">
        <v>14.8</v>
      </c>
      <c r="X8481" s="6">
        <v>14.82</v>
      </c>
      <c r="Y8481" s="5">
        <v>14.9</v>
      </c>
      <c r="Z8481" s="6">
        <v>15.98</v>
      </c>
      <c r="AA8481" s="6">
        <v>7.04</v>
      </c>
      <c r="AB8481" s="7">
        <v>17.327999999999999</v>
      </c>
      <c r="AC8481" s="2"/>
    </row>
    <row r="8482" spans="1:29" ht="117" x14ac:dyDescent="0.15">
      <c r="A8482" s="3">
        <f>DATE(2007,2,26)</f>
        <v>39139</v>
      </c>
      <c r="B8482" s="3">
        <f>DATE(2007,4,26)</f>
        <v>39198</v>
      </c>
      <c r="C8482" s="2" t="s">
        <v>95</v>
      </c>
      <c r="D8482" s="2" t="s">
        <v>25222</v>
      </c>
      <c r="E8482" s="2" t="s">
        <v>1739</v>
      </c>
      <c r="F8482" s="4">
        <v>6794</v>
      </c>
      <c r="G8482" s="2" t="s">
        <v>53</v>
      </c>
      <c r="H8482" s="2" t="s">
        <v>34</v>
      </c>
      <c r="I8482" s="2" t="s">
        <v>25223</v>
      </c>
      <c r="J8482" s="2" t="s">
        <v>11337</v>
      </c>
      <c r="K8482" s="2" t="s">
        <v>53</v>
      </c>
      <c r="L8482" s="2" t="s">
        <v>34</v>
      </c>
      <c r="M8482" s="2"/>
      <c r="N8482" s="2"/>
      <c r="O8482" s="2"/>
      <c r="P8482" s="2" t="s">
        <v>25224</v>
      </c>
      <c r="Q8482" s="6">
        <v>10.3</v>
      </c>
      <c r="R8482" s="6">
        <v>6</v>
      </c>
      <c r="S8482" s="5">
        <v>-0.1</v>
      </c>
      <c r="T8482" s="2"/>
      <c r="U8482" s="5">
        <v>4.0999999999999996</v>
      </c>
      <c r="V8482" s="6">
        <v>-0.06</v>
      </c>
      <c r="W8482" s="6">
        <v>3.84</v>
      </c>
      <c r="X8482" s="6">
        <v>4.3099999999999996</v>
      </c>
      <c r="Y8482" s="7">
        <v>5.9740000000000002</v>
      </c>
      <c r="Z8482" s="6">
        <v>6.04</v>
      </c>
      <c r="AA8482" s="6">
        <v>17.78</v>
      </c>
      <c r="AB8482" s="7">
        <v>35.658999999999999</v>
      </c>
      <c r="AC8482" s="2"/>
    </row>
    <row r="8483" spans="1:29" ht="156" x14ac:dyDescent="0.15">
      <c r="A8483" s="3">
        <f>DATE(2007,2,26)</f>
        <v>39139</v>
      </c>
      <c r="B8483" s="3">
        <f>DATE(2007,8,28)</f>
        <v>39322</v>
      </c>
      <c r="C8483" s="2" t="s">
        <v>95</v>
      </c>
      <c r="D8483" s="2" t="s">
        <v>25028</v>
      </c>
      <c r="E8483" s="2" t="s">
        <v>3900</v>
      </c>
      <c r="F8483" s="4">
        <v>5812</v>
      </c>
      <c r="G8483" s="2" t="s">
        <v>230</v>
      </c>
      <c r="H8483" s="2" t="s">
        <v>34</v>
      </c>
      <c r="I8483" s="2" t="s">
        <v>25225</v>
      </c>
      <c r="J8483" s="2" t="s">
        <v>3900</v>
      </c>
      <c r="K8483" s="2" t="s">
        <v>230</v>
      </c>
      <c r="L8483" s="2" t="s">
        <v>34</v>
      </c>
      <c r="M8483" s="2"/>
      <c r="N8483" s="2"/>
      <c r="O8483" s="2"/>
      <c r="P8483" s="2" t="s">
        <v>25226</v>
      </c>
      <c r="Q8483" s="6">
        <v>100</v>
      </c>
      <c r="R8483" s="6">
        <v>11</v>
      </c>
      <c r="S8483" s="5">
        <v>-4.7</v>
      </c>
      <c r="T8483" s="7">
        <v>8.8889999999999993</v>
      </c>
      <c r="U8483" s="5">
        <v>5.2</v>
      </c>
      <c r="V8483" s="6">
        <v>-0.55000000000000004</v>
      </c>
      <c r="W8483" s="5">
        <v>8.1999999999999993</v>
      </c>
      <c r="X8483" s="5">
        <v>8.1999999999999993</v>
      </c>
      <c r="Y8483" s="6">
        <v>7.29</v>
      </c>
      <c r="Z8483" s="5">
        <v>7.3</v>
      </c>
      <c r="AA8483" s="6">
        <v>8.59</v>
      </c>
      <c r="AB8483" s="7">
        <v>21.462</v>
      </c>
      <c r="AC8483" s="2"/>
    </row>
    <row r="8484" spans="1:29" ht="195" x14ac:dyDescent="0.15">
      <c r="A8484" s="3">
        <f>DATE(2007,2,26)</f>
        <v>39139</v>
      </c>
      <c r="B8484" s="3">
        <f>DATE(2007,10,10)</f>
        <v>39365</v>
      </c>
      <c r="C8484" s="2" t="s">
        <v>95</v>
      </c>
      <c r="D8484" s="2" t="s">
        <v>25227</v>
      </c>
      <c r="E8484" s="2" t="s">
        <v>25228</v>
      </c>
      <c r="F8484" s="4">
        <v>4911</v>
      </c>
      <c r="G8484" s="2" t="s">
        <v>439</v>
      </c>
      <c r="H8484" s="2" t="s">
        <v>34</v>
      </c>
      <c r="I8484" s="2" t="s">
        <v>25229</v>
      </c>
      <c r="J8484" s="2" t="s">
        <v>11337</v>
      </c>
      <c r="K8484" s="2" t="s">
        <v>53</v>
      </c>
      <c r="L8484" s="2" t="s">
        <v>34</v>
      </c>
      <c r="M8484" s="2"/>
      <c r="N8484" s="2"/>
      <c r="O8484" s="2"/>
      <c r="P8484" s="2" t="s">
        <v>25230</v>
      </c>
      <c r="Q8484" s="6">
        <v>100</v>
      </c>
      <c r="R8484" s="6">
        <v>69.25</v>
      </c>
      <c r="S8484" s="8">
        <v>2486</v>
      </c>
      <c r="T8484" s="8">
        <v>5539</v>
      </c>
      <c r="U8484" s="5">
        <v>3.7</v>
      </c>
      <c r="V8484" s="7">
        <v>5.1150000000000002</v>
      </c>
      <c r="W8484" s="6">
        <v>56.68</v>
      </c>
      <c r="X8484" s="6">
        <v>57.64</v>
      </c>
      <c r="Y8484" s="6">
        <v>60.02</v>
      </c>
      <c r="Z8484" s="6">
        <v>67.930000000000007</v>
      </c>
      <c r="AA8484" s="6">
        <v>459.24</v>
      </c>
      <c r="AB8484" s="7">
        <v>9.5340000000000007</v>
      </c>
      <c r="AC8484" s="2"/>
    </row>
    <row r="8485" spans="1:29" ht="117" x14ac:dyDescent="0.15">
      <c r="A8485" s="3">
        <f>DATE(2007,2,27)</f>
        <v>39140</v>
      </c>
      <c r="B8485" s="3">
        <f>DATE(2007,4,20)</f>
        <v>39192</v>
      </c>
      <c r="C8485" s="2" t="s">
        <v>95</v>
      </c>
      <c r="D8485" s="2" t="s">
        <v>25231</v>
      </c>
      <c r="E8485" s="2" t="s">
        <v>92</v>
      </c>
      <c r="F8485" s="4">
        <v>6798</v>
      </c>
      <c r="G8485" s="2" t="s">
        <v>53</v>
      </c>
      <c r="H8485" s="2" t="s">
        <v>34</v>
      </c>
      <c r="I8485" s="2" t="s">
        <v>25232</v>
      </c>
      <c r="J8485" s="2" t="s">
        <v>3941</v>
      </c>
      <c r="K8485" s="2" t="s">
        <v>109</v>
      </c>
      <c r="L8485" s="2" t="s">
        <v>885</v>
      </c>
      <c r="M8485" s="6">
        <v>826.57</v>
      </c>
      <c r="N8485" s="2"/>
      <c r="O8485" s="2"/>
      <c r="P8485" s="2" t="s">
        <v>25233</v>
      </c>
      <c r="Q8485" s="6">
        <v>100</v>
      </c>
      <c r="R8485" s="6">
        <v>33.15</v>
      </c>
      <c r="S8485" s="5">
        <v>113.5</v>
      </c>
      <c r="T8485" s="7">
        <v>203.595</v>
      </c>
      <c r="U8485" s="5">
        <v>13.2</v>
      </c>
      <c r="V8485" s="6">
        <v>0.85</v>
      </c>
      <c r="W8485" s="6">
        <v>30.81</v>
      </c>
      <c r="X8485" s="6">
        <v>30.03</v>
      </c>
      <c r="Y8485" s="6">
        <v>29.34</v>
      </c>
      <c r="Z8485" s="6">
        <v>33.39</v>
      </c>
      <c r="AA8485" s="6">
        <v>103.5</v>
      </c>
      <c r="AB8485" s="7">
        <v>49.171999999999997</v>
      </c>
      <c r="AC8485" s="6">
        <v>10.15</v>
      </c>
    </row>
    <row r="8486" spans="1:29" ht="195" x14ac:dyDescent="0.15">
      <c r="A8486" s="3">
        <f>DATE(2007,2,27)</f>
        <v>39140</v>
      </c>
      <c r="B8486" s="3">
        <f>DATE(2007,12,3)</f>
        <v>39419</v>
      </c>
      <c r="C8486" s="2" t="s">
        <v>95</v>
      </c>
      <c r="D8486" s="2" t="s">
        <v>16980</v>
      </c>
      <c r="E8486" s="2" t="s">
        <v>7684</v>
      </c>
      <c r="F8486" s="4">
        <v>5411</v>
      </c>
      <c r="G8486" s="2" t="s">
        <v>1461</v>
      </c>
      <c r="H8486" s="2" t="s">
        <v>34</v>
      </c>
      <c r="I8486" s="2" t="s">
        <v>25234</v>
      </c>
      <c r="J8486" s="2" t="s">
        <v>9676</v>
      </c>
      <c r="K8486" s="2" t="s">
        <v>1461</v>
      </c>
      <c r="L8486" s="2" t="s">
        <v>34</v>
      </c>
      <c r="M8486" s="12">
        <v>1207.9269999999999</v>
      </c>
      <c r="N8486" s="6">
        <v>33.17</v>
      </c>
      <c r="O8486" s="5">
        <v>31.8</v>
      </c>
      <c r="P8486" s="2" t="s">
        <v>25235</v>
      </c>
      <c r="Q8486" s="6">
        <v>100</v>
      </c>
      <c r="R8486" s="6">
        <v>13.01</v>
      </c>
      <c r="S8486" s="5">
        <v>-18.3</v>
      </c>
      <c r="T8486" s="5">
        <v>125.4</v>
      </c>
      <c r="U8486" s="5">
        <v>2.5</v>
      </c>
      <c r="V8486" s="6">
        <v>-0.35</v>
      </c>
      <c r="W8486" s="6">
        <v>11.95</v>
      </c>
      <c r="X8486" s="6">
        <v>12.05</v>
      </c>
      <c r="Y8486" s="6">
        <v>11.95</v>
      </c>
      <c r="Z8486" s="6">
        <v>11.43</v>
      </c>
      <c r="AA8486" s="6">
        <v>52.2</v>
      </c>
      <c r="AB8486" s="7">
        <v>38.963000000000001</v>
      </c>
      <c r="AC8486" s="6">
        <v>157.71</v>
      </c>
    </row>
    <row r="8487" spans="1:29" ht="143" x14ac:dyDescent="0.15">
      <c r="A8487" s="3">
        <f>DATE(2007,2,28)</f>
        <v>39141</v>
      </c>
      <c r="B8487" s="3">
        <f>DATE(2007,4,18)</f>
        <v>39190</v>
      </c>
      <c r="C8487" s="2" t="s">
        <v>95</v>
      </c>
      <c r="D8487" s="2" t="s">
        <v>21088</v>
      </c>
      <c r="E8487" s="2" t="s">
        <v>21089</v>
      </c>
      <c r="F8487" s="4">
        <v>7372</v>
      </c>
      <c r="G8487" s="2" t="s">
        <v>551</v>
      </c>
      <c r="H8487" s="2" t="s">
        <v>34</v>
      </c>
      <c r="I8487" s="2" t="s">
        <v>8588</v>
      </c>
      <c r="J8487" s="2" t="s">
        <v>8589</v>
      </c>
      <c r="K8487" s="2" t="s">
        <v>551</v>
      </c>
      <c r="L8487" s="2" t="s">
        <v>34</v>
      </c>
      <c r="M8487" s="12">
        <v>88926.395000000004</v>
      </c>
      <c r="N8487" s="6">
        <v>16.43</v>
      </c>
      <c r="O8487" s="6">
        <v>16.77</v>
      </c>
      <c r="P8487" s="2" t="s">
        <v>25236</v>
      </c>
      <c r="Q8487" s="6">
        <v>100</v>
      </c>
      <c r="R8487" s="6">
        <v>52</v>
      </c>
      <c r="S8487" s="5">
        <v>67.7</v>
      </c>
      <c r="T8487" s="7">
        <v>137.958</v>
      </c>
      <c r="U8487" s="5">
        <v>10.9</v>
      </c>
      <c r="V8487" s="6">
        <v>1.1299999999999999</v>
      </c>
      <c r="W8487" s="6">
        <v>44.87</v>
      </c>
      <c r="X8487" s="6">
        <v>43.09</v>
      </c>
      <c r="Y8487" s="6">
        <v>42.84</v>
      </c>
      <c r="Z8487" s="6">
        <v>51.57</v>
      </c>
      <c r="AA8487" s="6">
        <v>58.98</v>
      </c>
      <c r="AB8487" s="7">
        <v>27.64</v>
      </c>
      <c r="AC8487" s="8">
        <v>6445</v>
      </c>
    </row>
    <row r="8488" spans="1:29" ht="104" x14ac:dyDescent="0.15">
      <c r="A8488" s="3">
        <f>DATE(2007,2,28)</f>
        <v>39141</v>
      </c>
      <c r="B8488" s="3">
        <f>DATE(2007,6,1)</f>
        <v>39234</v>
      </c>
      <c r="C8488" s="2" t="s">
        <v>95</v>
      </c>
      <c r="D8488" s="2" t="s">
        <v>25237</v>
      </c>
      <c r="E8488" s="2" t="s">
        <v>19653</v>
      </c>
      <c r="F8488" s="4">
        <v>3316</v>
      </c>
      <c r="G8488" s="2" t="s">
        <v>163</v>
      </c>
      <c r="H8488" s="2" t="s">
        <v>34</v>
      </c>
      <c r="I8488" s="2" t="s">
        <v>25238</v>
      </c>
      <c r="J8488" s="2" t="s">
        <v>3554</v>
      </c>
      <c r="K8488" s="2" t="s">
        <v>76</v>
      </c>
      <c r="L8488" s="2" t="s">
        <v>34</v>
      </c>
      <c r="M8488" s="2"/>
      <c r="N8488" s="2"/>
      <c r="O8488" s="2"/>
      <c r="P8488" s="2" t="s">
        <v>25239</v>
      </c>
      <c r="Q8488" s="6">
        <v>100</v>
      </c>
      <c r="R8488" s="6">
        <v>30</v>
      </c>
      <c r="S8488" s="5">
        <v>14.4</v>
      </c>
      <c r="T8488" s="7">
        <v>36.664999999999999</v>
      </c>
      <c r="U8488" s="5">
        <v>25.9</v>
      </c>
      <c r="V8488" s="6">
        <v>1.04</v>
      </c>
      <c r="W8488" s="6">
        <v>18.91</v>
      </c>
      <c r="X8488" s="6">
        <v>18.39</v>
      </c>
      <c r="Y8488" s="6">
        <v>29.32</v>
      </c>
      <c r="Z8488" s="6">
        <v>29.41</v>
      </c>
      <c r="AA8488" s="6">
        <v>13.06</v>
      </c>
      <c r="AB8488" s="7">
        <v>22.018999999999998</v>
      </c>
      <c r="AC8488" s="2"/>
    </row>
    <row r="8489" spans="1:29" ht="78" x14ac:dyDescent="0.15">
      <c r="A8489" s="3">
        <f>DATE(2007,3,1)</f>
        <v>39142</v>
      </c>
      <c r="B8489" s="3">
        <f>DATE(2007,5,9)</f>
        <v>39211</v>
      </c>
      <c r="C8489" s="2" t="s">
        <v>95</v>
      </c>
      <c r="D8489" s="2" t="s">
        <v>20829</v>
      </c>
      <c r="E8489" s="2" t="s">
        <v>20830</v>
      </c>
      <c r="F8489" s="4">
        <v>7372</v>
      </c>
      <c r="G8489" s="2" t="s">
        <v>551</v>
      </c>
      <c r="H8489" s="2" t="s">
        <v>34</v>
      </c>
      <c r="I8489" s="2" t="s">
        <v>20800</v>
      </c>
      <c r="J8489" s="2" t="s">
        <v>4572</v>
      </c>
      <c r="K8489" s="2" t="s">
        <v>223</v>
      </c>
      <c r="L8489" s="2" t="s">
        <v>133</v>
      </c>
      <c r="M8489" s="6">
        <v>850.81</v>
      </c>
      <c r="N8489" s="7">
        <v>89.881</v>
      </c>
      <c r="O8489" s="7">
        <v>94.888999999999996</v>
      </c>
      <c r="P8489" s="2" t="s">
        <v>25240</v>
      </c>
      <c r="Q8489" s="6">
        <v>100</v>
      </c>
      <c r="R8489" s="6">
        <v>16</v>
      </c>
      <c r="S8489" s="5">
        <v>-26.7</v>
      </c>
      <c r="T8489" s="6">
        <v>35.64</v>
      </c>
      <c r="U8489" s="5">
        <v>5.6</v>
      </c>
      <c r="V8489" s="6">
        <v>-0.61</v>
      </c>
      <c r="W8489" s="6">
        <v>12.53</v>
      </c>
      <c r="X8489" s="6">
        <v>12.74</v>
      </c>
      <c r="Y8489" s="6">
        <v>12.79</v>
      </c>
      <c r="Z8489" s="6">
        <v>15.53</v>
      </c>
      <c r="AA8489" s="6">
        <v>43.78</v>
      </c>
      <c r="AB8489" s="7">
        <v>69.683999999999997</v>
      </c>
      <c r="AC8489" s="6">
        <v>52.31</v>
      </c>
    </row>
    <row r="8490" spans="1:29" ht="39" x14ac:dyDescent="0.15">
      <c r="A8490" s="3">
        <f>DATE(2007,3,1)</f>
        <v>39142</v>
      </c>
      <c r="B8490" s="3">
        <f>DATE(2007,3,1)</f>
        <v>39142</v>
      </c>
      <c r="C8490" s="2" t="s">
        <v>95</v>
      </c>
      <c r="D8490" s="2" t="s">
        <v>25241</v>
      </c>
      <c r="E8490" s="2" t="s">
        <v>17633</v>
      </c>
      <c r="F8490" s="4">
        <v>3089</v>
      </c>
      <c r="G8490" s="2" t="s">
        <v>447</v>
      </c>
      <c r="H8490" s="2" t="s">
        <v>34</v>
      </c>
      <c r="I8490" s="2" t="s">
        <v>25242</v>
      </c>
      <c r="J8490" s="2" t="s">
        <v>25243</v>
      </c>
      <c r="K8490" s="2" t="s">
        <v>577</v>
      </c>
      <c r="L8490" s="2" t="s">
        <v>25244</v>
      </c>
      <c r="M8490" s="2"/>
      <c r="N8490" s="2"/>
      <c r="O8490" s="2"/>
      <c r="P8490" s="2" t="s">
        <v>25245</v>
      </c>
      <c r="Q8490" s="6">
        <v>100</v>
      </c>
      <c r="R8490" s="2"/>
      <c r="S8490" s="5">
        <v>94.2</v>
      </c>
      <c r="T8490" s="5">
        <v>220.1</v>
      </c>
      <c r="U8490" s="5">
        <v>6.7</v>
      </c>
      <c r="V8490" s="6">
        <v>1.54</v>
      </c>
      <c r="W8490" s="6">
        <v>24.16</v>
      </c>
      <c r="X8490" s="6">
        <v>23.41</v>
      </c>
      <c r="Y8490" s="6">
        <v>23.51</v>
      </c>
      <c r="Z8490" s="6">
        <v>23.33</v>
      </c>
      <c r="AA8490" s="6">
        <v>60.49</v>
      </c>
      <c r="AB8490" s="2" t="s">
        <v>47</v>
      </c>
      <c r="AC8490" s="2"/>
    </row>
    <row r="8491" spans="1:29" ht="143" x14ac:dyDescent="0.15">
      <c r="A8491" s="3">
        <f>DATE(2007,3,2)</f>
        <v>39143</v>
      </c>
      <c r="B8491" s="2"/>
      <c r="C8491" s="2" t="s">
        <v>30</v>
      </c>
      <c r="D8491" s="2" t="s">
        <v>19907</v>
      </c>
      <c r="E8491" s="2" t="s">
        <v>19908</v>
      </c>
      <c r="F8491" s="4">
        <v>3674</v>
      </c>
      <c r="G8491" s="2" t="s">
        <v>137</v>
      </c>
      <c r="H8491" s="2" t="s">
        <v>34</v>
      </c>
      <c r="I8491" s="2" t="s">
        <v>51</v>
      </c>
      <c r="J8491" s="2" t="s">
        <v>52</v>
      </c>
      <c r="K8491" s="2" t="s">
        <v>53</v>
      </c>
      <c r="L8491" s="2" t="s">
        <v>34</v>
      </c>
      <c r="M8491" s="2"/>
      <c r="N8491" s="2"/>
      <c r="O8491" s="2"/>
      <c r="P8491" s="2" t="s">
        <v>25246</v>
      </c>
      <c r="Q8491" s="2"/>
      <c r="R8491" s="6">
        <v>13.5</v>
      </c>
      <c r="S8491" s="5">
        <v>32.1</v>
      </c>
      <c r="T8491" s="7">
        <v>84.055000000000007</v>
      </c>
      <c r="U8491" s="5">
        <v>6.8</v>
      </c>
      <c r="V8491" s="6">
        <v>0.43</v>
      </c>
      <c r="W8491" s="6">
        <v>11.58</v>
      </c>
      <c r="X8491" s="6">
        <v>11.41</v>
      </c>
      <c r="Y8491" s="6">
        <v>11.01</v>
      </c>
      <c r="Z8491" s="6">
        <v>13.06</v>
      </c>
      <c r="AA8491" s="6">
        <v>73.64</v>
      </c>
      <c r="AB8491" s="7">
        <v>18.349</v>
      </c>
      <c r="AC8491" s="2"/>
    </row>
    <row r="8492" spans="1:29" ht="130" x14ac:dyDescent="0.15">
      <c r="A8492" s="3">
        <f>DATE(2007,3,2)</f>
        <v>39143</v>
      </c>
      <c r="B8492" s="3">
        <f>DATE(2007,7,3)</f>
        <v>39266</v>
      </c>
      <c r="C8492" s="2" t="s">
        <v>95</v>
      </c>
      <c r="D8492" s="2" t="s">
        <v>25247</v>
      </c>
      <c r="E8492" s="2" t="s">
        <v>25248</v>
      </c>
      <c r="F8492" s="4">
        <v>6331</v>
      </c>
      <c r="G8492" s="2" t="s">
        <v>125</v>
      </c>
      <c r="H8492" s="2" t="s">
        <v>34</v>
      </c>
      <c r="I8492" s="2" t="s">
        <v>25249</v>
      </c>
      <c r="J8492" s="2" t="s">
        <v>4015</v>
      </c>
      <c r="K8492" s="2" t="s">
        <v>125</v>
      </c>
      <c r="L8492" s="2" t="s">
        <v>34</v>
      </c>
      <c r="M8492" s="2"/>
      <c r="N8492" s="2"/>
      <c r="O8492" s="2"/>
      <c r="P8492" s="2" t="s">
        <v>25250</v>
      </c>
      <c r="Q8492" s="6">
        <v>100</v>
      </c>
      <c r="R8492" s="6">
        <v>22.5</v>
      </c>
      <c r="S8492" s="5">
        <v>42.1</v>
      </c>
      <c r="T8492" s="7">
        <v>78.798000000000002</v>
      </c>
      <c r="U8492" s="5">
        <v>12.2</v>
      </c>
      <c r="V8492" s="6">
        <v>1.37</v>
      </c>
      <c r="W8492" s="6">
        <v>17.25</v>
      </c>
      <c r="X8492" s="6">
        <v>16.21</v>
      </c>
      <c r="Y8492" s="6">
        <v>22.08</v>
      </c>
      <c r="Z8492" s="6">
        <v>21.85</v>
      </c>
      <c r="AA8492" s="6">
        <v>29.51</v>
      </c>
      <c r="AB8492" s="7">
        <v>10.361000000000001</v>
      </c>
      <c r="AC8492" s="2"/>
    </row>
    <row r="8493" spans="1:29" ht="130" x14ac:dyDescent="0.15">
      <c r="A8493" s="3">
        <f>DATE(2007,3,2)</f>
        <v>39143</v>
      </c>
      <c r="B8493" s="2"/>
      <c r="C8493" s="2" t="s">
        <v>30</v>
      </c>
      <c r="D8493" s="2" t="s">
        <v>24812</v>
      </c>
      <c r="E8493" s="2" t="s">
        <v>194</v>
      </c>
      <c r="F8493" s="4">
        <v>6712</v>
      </c>
      <c r="G8493" s="2" t="s">
        <v>37</v>
      </c>
      <c r="H8493" s="2" t="s">
        <v>34</v>
      </c>
      <c r="I8493" s="2" t="s">
        <v>25251</v>
      </c>
      <c r="J8493" s="2" t="s">
        <v>150</v>
      </c>
      <c r="K8493" s="2" t="s">
        <v>53</v>
      </c>
      <c r="L8493" s="2" t="s">
        <v>34</v>
      </c>
      <c r="M8493" s="2"/>
      <c r="N8493" s="2"/>
      <c r="O8493" s="2"/>
      <c r="P8493" s="2" t="s">
        <v>25252</v>
      </c>
      <c r="Q8493" s="2"/>
      <c r="R8493" s="6">
        <v>41</v>
      </c>
      <c r="S8493" s="5">
        <v>-0.6</v>
      </c>
      <c r="T8493" s="7">
        <v>-0.34899999999999998</v>
      </c>
      <c r="U8493" s="5">
        <v>17.5</v>
      </c>
      <c r="V8493" s="6">
        <v>-0.37</v>
      </c>
      <c r="W8493" s="5">
        <v>28.5</v>
      </c>
      <c r="X8493" s="4">
        <v>31</v>
      </c>
      <c r="Y8493" s="4">
        <v>31</v>
      </c>
      <c r="Z8493" s="4">
        <v>31</v>
      </c>
      <c r="AA8493" s="6">
        <v>1.61</v>
      </c>
      <c r="AB8493" s="2" t="s">
        <v>86</v>
      </c>
      <c r="AC8493" s="2"/>
    </row>
    <row r="8494" spans="1:29" ht="130" x14ac:dyDescent="0.15">
      <c r="A8494" s="3">
        <f>DATE(2007,3,2)</f>
        <v>39143</v>
      </c>
      <c r="B8494" s="3">
        <f>DATE(2007,7,23)</f>
        <v>39286</v>
      </c>
      <c r="C8494" s="2" t="s">
        <v>95</v>
      </c>
      <c r="D8494" s="2" t="s">
        <v>25253</v>
      </c>
      <c r="E8494" s="2" t="s">
        <v>24835</v>
      </c>
      <c r="F8494" s="4">
        <v>6726</v>
      </c>
      <c r="G8494" s="2" t="s">
        <v>53</v>
      </c>
      <c r="H8494" s="2" t="s">
        <v>34</v>
      </c>
      <c r="I8494" s="2" t="s">
        <v>25254</v>
      </c>
      <c r="J8494" s="2" t="s">
        <v>24835</v>
      </c>
      <c r="K8494" s="2" t="s">
        <v>53</v>
      </c>
      <c r="L8494" s="2" t="s">
        <v>34</v>
      </c>
      <c r="M8494" s="7">
        <v>65.745000000000005</v>
      </c>
      <c r="N8494" s="6">
        <v>13.99</v>
      </c>
      <c r="O8494" s="6">
        <v>14.01</v>
      </c>
      <c r="P8494" s="2" t="s">
        <v>25255</v>
      </c>
      <c r="Q8494" s="6">
        <v>100</v>
      </c>
      <c r="R8494" s="6">
        <v>1.27</v>
      </c>
      <c r="S8494" s="2"/>
      <c r="T8494" s="2"/>
      <c r="U8494" s="2"/>
      <c r="V8494" s="2"/>
      <c r="W8494" s="6">
        <v>14.05</v>
      </c>
      <c r="X8494" s="6">
        <v>14.04</v>
      </c>
      <c r="Y8494" s="5">
        <v>13.3</v>
      </c>
      <c r="Z8494" s="5">
        <v>13.4</v>
      </c>
      <c r="AA8494" s="6">
        <v>6.01</v>
      </c>
      <c r="AB8494" s="2" t="s">
        <v>47</v>
      </c>
      <c r="AC8494" s="2"/>
    </row>
    <row r="8495" spans="1:29" ht="143" x14ac:dyDescent="0.15">
      <c r="A8495" s="3">
        <f>DATE(2007,3,5)</f>
        <v>39146</v>
      </c>
      <c r="B8495" s="3">
        <f>DATE(2007,4,12)</f>
        <v>39184</v>
      </c>
      <c r="C8495" s="2" t="s">
        <v>95</v>
      </c>
      <c r="D8495" s="2" t="s">
        <v>21337</v>
      </c>
      <c r="E8495" s="2" t="s">
        <v>21338</v>
      </c>
      <c r="F8495" s="4">
        <v>7372</v>
      </c>
      <c r="G8495" s="2" t="s">
        <v>551</v>
      </c>
      <c r="H8495" s="2" t="s">
        <v>34</v>
      </c>
      <c r="I8495" s="2" t="s">
        <v>51</v>
      </c>
      <c r="J8495" s="2" t="s">
        <v>52</v>
      </c>
      <c r="K8495" s="2" t="s">
        <v>53</v>
      </c>
      <c r="L8495" s="2" t="s">
        <v>34</v>
      </c>
      <c r="M8495" s="2"/>
      <c r="N8495" s="2"/>
      <c r="O8495" s="2"/>
      <c r="P8495" s="2" t="s">
        <v>25256</v>
      </c>
      <c r="Q8495" s="6">
        <v>99.99</v>
      </c>
      <c r="R8495" s="6">
        <v>28.75</v>
      </c>
      <c r="S8495" s="5">
        <v>-1.9</v>
      </c>
      <c r="T8495" s="2"/>
      <c r="U8495" s="2"/>
      <c r="V8495" s="6">
        <v>-0.1</v>
      </c>
      <c r="W8495" s="6">
        <v>27.76</v>
      </c>
      <c r="X8495" s="5">
        <v>28.3</v>
      </c>
      <c r="Y8495" s="6">
        <v>28.35</v>
      </c>
      <c r="Z8495" s="6">
        <v>28.46</v>
      </c>
      <c r="AA8495" s="6">
        <v>27.55</v>
      </c>
      <c r="AB8495" s="7">
        <v>259.18299999999999</v>
      </c>
      <c r="AC8495" s="2"/>
    </row>
    <row r="8496" spans="1:29" ht="117" x14ac:dyDescent="0.15">
      <c r="A8496" s="3">
        <f>DATE(2007,3,6)</f>
        <v>39147</v>
      </c>
      <c r="B8496" s="3">
        <f>DATE(2007,6,22)</f>
        <v>39255</v>
      </c>
      <c r="C8496" s="2" t="s">
        <v>95</v>
      </c>
      <c r="D8496" s="2" t="s">
        <v>25257</v>
      </c>
      <c r="E8496" s="2" t="s">
        <v>25258</v>
      </c>
      <c r="F8496" s="4">
        <v>3728</v>
      </c>
      <c r="G8496" s="2" t="s">
        <v>219</v>
      </c>
      <c r="H8496" s="2" t="s">
        <v>34</v>
      </c>
      <c r="I8496" s="2" t="s">
        <v>14608</v>
      </c>
      <c r="J8496" s="2" t="s">
        <v>14609</v>
      </c>
      <c r="K8496" s="2" t="s">
        <v>219</v>
      </c>
      <c r="L8496" s="2" t="s">
        <v>303</v>
      </c>
      <c r="M8496" s="12">
        <v>3026.9949999999999</v>
      </c>
      <c r="N8496" s="7">
        <v>6.3739999999999997</v>
      </c>
      <c r="O8496" s="7">
        <v>6.6159999999999997</v>
      </c>
      <c r="P8496" s="2" t="s">
        <v>25259</v>
      </c>
      <c r="Q8496" s="6">
        <v>100</v>
      </c>
      <c r="R8496" s="6">
        <v>27</v>
      </c>
      <c r="S8496" s="5">
        <v>54.3</v>
      </c>
      <c r="T8496" s="7">
        <v>167.47800000000001</v>
      </c>
      <c r="U8496" s="5">
        <v>10</v>
      </c>
      <c r="V8496" s="6">
        <v>1.35</v>
      </c>
      <c r="W8496" s="5">
        <v>25.1</v>
      </c>
      <c r="X8496" s="5">
        <v>24.5</v>
      </c>
      <c r="Y8496" s="6">
        <v>26.83</v>
      </c>
      <c r="Z8496" s="6">
        <v>26.94</v>
      </c>
      <c r="AA8496" s="6">
        <v>39.64</v>
      </c>
      <c r="AB8496" s="7">
        <v>13.071</v>
      </c>
      <c r="AC8496" s="6">
        <v>101.84</v>
      </c>
    </row>
    <row r="8497" spans="1:29" ht="130" x14ac:dyDescent="0.15">
      <c r="A8497" s="3">
        <f>DATE(2007,3,6)</f>
        <v>39147</v>
      </c>
      <c r="B8497" s="3">
        <f>DATE(2007,10,12)</f>
        <v>39367</v>
      </c>
      <c r="C8497" s="2" t="s">
        <v>95</v>
      </c>
      <c r="D8497" s="2" t="s">
        <v>2405</v>
      </c>
      <c r="E8497" s="2" t="s">
        <v>2406</v>
      </c>
      <c r="F8497" s="4">
        <v>2067</v>
      </c>
      <c r="G8497" s="2" t="s">
        <v>577</v>
      </c>
      <c r="H8497" s="2" t="s">
        <v>34</v>
      </c>
      <c r="I8497" s="2" t="s">
        <v>51</v>
      </c>
      <c r="J8497" s="2" t="s">
        <v>52</v>
      </c>
      <c r="K8497" s="2" t="s">
        <v>53</v>
      </c>
      <c r="L8497" s="2" t="s">
        <v>34</v>
      </c>
      <c r="M8497" s="2"/>
      <c r="N8497" s="2"/>
      <c r="O8497" s="2"/>
      <c r="P8497" s="2" t="s">
        <v>25260</v>
      </c>
      <c r="Q8497" s="6">
        <v>100</v>
      </c>
      <c r="R8497" s="6">
        <v>9.75</v>
      </c>
      <c r="S8497" s="5">
        <v>11.2</v>
      </c>
      <c r="T8497" s="7">
        <v>22.873000000000001</v>
      </c>
      <c r="U8497" s="5">
        <v>5.2</v>
      </c>
      <c r="V8497" s="6">
        <v>0.28000000000000003</v>
      </c>
      <c r="W8497" s="6">
        <v>9.0299999999999994</v>
      </c>
      <c r="X8497" s="6">
        <v>8.91</v>
      </c>
      <c r="Y8497" s="6">
        <v>9.81</v>
      </c>
      <c r="Z8497" s="6">
        <v>9.94</v>
      </c>
      <c r="AA8497" s="6">
        <v>38.700000000000003</v>
      </c>
      <c r="AB8497" s="7">
        <v>17.010000000000002</v>
      </c>
      <c r="AC8497" s="2"/>
    </row>
    <row r="8498" spans="1:29" ht="195" x14ac:dyDescent="0.15">
      <c r="A8498" s="3">
        <f>DATE(2007,3,8)</f>
        <v>39149</v>
      </c>
      <c r="B8498" s="2"/>
      <c r="C8498" s="2" t="s">
        <v>7330</v>
      </c>
      <c r="D8498" s="2" t="s">
        <v>25261</v>
      </c>
      <c r="E8498" s="2" t="s">
        <v>159</v>
      </c>
      <c r="F8498" s="4">
        <v>6021</v>
      </c>
      <c r="G8498" s="2" t="s">
        <v>37</v>
      </c>
      <c r="H8498" s="2" t="s">
        <v>34</v>
      </c>
      <c r="I8498" s="2" t="s">
        <v>25262</v>
      </c>
      <c r="J8498" s="2" t="s">
        <v>25263</v>
      </c>
      <c r="K8498" s="2" t="s">
        <v>37</v>
      </c>
      <c r="L8498" s="2" t="s">
        <v>34</v>
      </c>
      <c r="M8498" s="2"/>
      <c r="N8498" s="2"/>
      <c r="O8498" s="2"/>
      <c r="P8498" s="2" t="s">
        <v>25264</v>
      </c>
      <c r="Q8498" s="2"/>
      <c r="R8498" s="6">
        <v>34</v>
      </c>
      <c r="S8498" s="5">
        <v>-0.2</v>
      </c>
      <c r="T8498" s="2"/>
      <c r="U8498" s="2"/>
      <c r="V8498" s="6">
        <v>-0.3</v>
      </c>
      <c r="W8498" s="5">
        <v>21.5</v>
      </c>
      <c r="X8498" s="5">
        <v>21.5</v>
      </c>
      <c r="Y8498" s="5">
        <v>21.5</v>
      </c>
      <c r="Z8498" s="5">
        <v>34.5</v>
      </c>
      <c r="AA8498" s="6">
        <v>0.56000000000000005</v>
      </c>
      <c r="AB8498" s="2" t="s">
        <v>86</v>
      </c>
      <c r="AC8498" s="2"/>
    </row>
    <row r="8499" spans="1:29" ht="169" x14ac:dyDescent="0.15">
      <c r="A8499" s="3">
        <f>DATE(2007,3,8)</f>
        <v>39149</v>
      </c>
      <c r="B8499" s="3">
        <f>DATE(2007,7,1)</f>
        <v>39264</v>
      </c>
      <c r="C8499" s="2" t="s">
        <v>95</v>
      </c>
      <c r="D8499" s="2" t="s">
        <v>25195</v>
      </c>
      <c r="E8499" s="2" t="s">
        <v>6321</v>
      </c>
      <c r="F8499" s="4">
        <v>6798</v>
      </c>
      <c r="G8499" s="2" t="s">
        <v>53</v>
      </c>
      <c r="H8499" s="2" t="s">
        <v>34</v>
      </c>
      <c r="I8499" s="2" t="s">
        <v>25265</v>
      </c>
      <c r="J8499" s="2" t="s">
        <v>92</v>
      </c>
      <c r="K8499" s="2" t="s">
        <v>53</v>
      </c>
      <c r="L8499" s="2" t="s">
        <v>34</v>
      </c>
      <c r="M8499" s="2"/>
      <c r="N8499" s="2"/>
      <c r="O8499" s="2"/>
      <c r="P8499" s="2" t="s">
        <v>25266</v>
      </c>
      <c r="Q8499" s="6">
        <v>100</v>
      </c>
      <c r="R8499" s="6">
        <v>15</v>
      </c>
      <c r="S8499" s="5">
        <v>12.9</v>
      </c>
      <c r="T8499" s="7">
        <v>34.610999999999997</v>
      </c>
      <c r="U8499" s="5">
        <v>5.7</v>
      </c>
      <c r="V8499" s="6">
        <v>0.2</v>
      </c>
      <c r="W8499" s="6">
        <v>13.49</v>
      </c>
      <c r="X8499" s="6">
        <v>13.81</v>
      </c>
      <c r="Y8499" s="6">
        <v>13.71</v>
      </c>
      <c r="Z8499" s="6">
        <v>14.47</v>
      </c>
      <c r="AA8499" s="6">
        <v>29.19</v>
      </c>
      <c r="AB8499" s="7">
        <v>71.718999999999994</v>
      </c>
      <c r="AC8499" s="2"/>
    </row>
    <row r="8500" spans="1:29" ht="156" x14ac:dyDescent="0.15">
      <c r="A8500" s="3">
        <f>DATE(2007,3,9)</f>
        <v>39150</v>
      </c>
      <c r="B8500" s="2"/>
      <c r="C8500" s="2" t="s">
        <v>87</v>
      </c>
      <c r="D8500" s="2" t="s">
        <v>25267</v>
      </c>
      <c r="E8500" s="2" t="s">
        <v>92</v>
      </c>
      <c r="F8500" s="4">
        <v>6798</v>
      </c>
      <c r="G8500" s="2" t="s">
        <v>53</v>
      </c>
      <c r="H8500" s="2" t="s">
        <v>34</v>
      </c>
      <c r="I8500" s="2" t="s">
        <v>51</v>
      </c>
      <c r="J8500" s="2" t="s">
        <v>52</v>
      </c>
      <c r="K8500" s="2" t="s">
        <v>53</v>
      </c>
      <c r="L8500" s="2" t="s">
        <v>34</v>
      </c>
      <c r="M8500" s="2"/>
      <c r="N8500" s="2"/>
      <c r="O8500" s="2"/>
      <c r="P8500" s="2" t="s">
        <v>25268</v>
      </c>
      <c r="Q8500" s="2"/>
      <c r="R8500" s="2"/>
      <c r="S8500" s="5">
        <v>33.5</v>
      </c>
      <c r="T8500" s="7">
        <v>163.56700000000001</v>
      </c>
      <c r="U8500" s="5">
        <v>12.7</v>
      </c>
      <c r="V8500" s="6">
        <v>0.13</v>
      </c>
      <c r="W8500" s="6">
        <v>20.079999999999998</v>
      </c>
      <c r="X8500" s="5">
        <v>20.399999999999999</v>
      </c>
      <c r="Y8500" s="5">
        <v>22.1</v>
      </c>
      <c r="Z8500" s="6">
        <v>23.35</v>
      </c>
      <c r="AA8500" s="6">
        <v>75.41</v>
      </c>
      <c r="AB8500" s="2" t="s">
        <v>47</v>
      </c>
      <c r="AC8500" s="2"/>
    </row>
    <row r="8501" spans="1:29" ht="117" x14ac:dyDescent="0.15">
      <c r="A8501" s="3">
        <f>DATE(2007,3,9)</f>
        <v>39150</v>
      </c>
      <c r="B8501" s="3">
        <f>DATE(2007,4,27)</f>
        <v>39199</v>
      </c>
      <c r="C8501" s="2" t="s">
        <v>95</v>
      </c>
      <c r="D8501" s="2" t="s">
        <v>25269</v>
      </c>
      <c r="E8501" s="2" t="s">
        <v>14909</v>
      </c>
      <c r="F8501" s="4">
        <v>6552</v>
      </c>
      <c r="G8501" s="2" t="s">
        <v>109</v>
      </c>
      <c r="H8501" s="2" t="s">
        <v>34</v>
      </c>
      <c r="I8501" s="2" t="s">
        <v>25270</v>
      </c>
      <c r="J8501" s="2" t="s">
        <v>25271</v>
      </c>
      <c r="K8501" s="2" t="s">
        <v>269</v>
      </c>
      <c r="L8501" s="2" t="s">
        <v>34</v>
      </c>
      <c r="M8501" s="2"/>
      <c r="N8501" s="2"/>
      <c r="O8501" s="2"/>
      <c r="P8501" s="2" t="s">
        <v>25272</v>
      </c>
      <c r="Q8501" s="6">
        <v>100</v>
      </c>
      <c r="R8501" s="6">
        <v>16</v>
      </c>
      <c r="S8501" s="5">
        <v>-34.700000000000003</v>
      </c>
      <c r="T8501" s="7">
        <v>45.122</v>
      </c>
      <c r="U8501" s="5">
        <v>10.1</v>
      </c>
      <c r="V8501" s="6">
        <v>-1.74</v>
      </c>
      <c r="W8501" s="6">
        <v>12.04</v>
      </c>
      <c r="X8501" s="6">
        <v>11.85</v>
      </c>
      <c r="Y8501" s="6">
        <v>14.95</v>
      </c>
      <c r="Z8501" s="6">
        <v>15.68</v>
      </c>
      <c r="AA8501" s="6">
        <v>22.46</v>
      </c>
      <c r="AB8501" s="7">
        <v>18.213000000000001</v>
      </c>
      <c r="AC8501" s="2"/>
    </row>
    <row r="8502" spans="1:29" ht="130" x14ac:dyDescent="0.15">
      <c r="A8502" s="3">
        <f>DATE(2007,3,11)</f>
        <v>39152</v>
      </c>
      <c r="B8502" s="3">
        <f>DATE(2007,7,6)</f>
        <v>39269</v>
      </c>
      <c r="C8502" s="2" t="s">
        <v>95</v>
      </c>
      <c r="D8502" s="2" t="s">
        <v>25273</v>
      </c>
      <c r="E8502" s="2" t="s">
        <v>25274</v>
      </c>
      <c r="F8502" s="4">
        <v>5331</v>
      </c>
      <c r="G8502" s="2" t="s">
        <v>756</v>
      </c>
      <c r="H8502" s="2" t="s">
        <v>34</v>
      </c>
      <c r="I8502" s="2" t="s">
        <v>25275</v>
      </c>
      <c r="J8502" s="2" t="s">
        <v>11337</v>
      </c>
      <c r="K8502" s="2" t="s">
        <v>53</v>
      </c>
      <c r="L8502" s="2" t="s">
        <v>34</v>
      </c>
      <c r="M8502" s="2"/>
      <c r="N8502" s="2"/>
      <c r="O8502" s="2"/>
      <c r="P8502" s="2" t="s">
        <v>25276</v>
      </c>
      <c r="Q8502" s="6">
        <v>100</v>
      </c>
      <c r="R8502" s="6">
        <v>22</v>
      </c>
      <c r="S8502" s="5">
        <v>137.9</v>
      </c>
      <c r="T8502" s="7">
        <v>450.98399999999998</v>
      </c>
      <c r="U8502" s="5">
        <v>5.6</v>
      </c>
      <c r="V8502" s="6">
        <v>0.44</v>
      </c>
      <c r="W8502" s="6">
        <v>16.420000000000002</v>
      </c>
      <c r="X8502" s="6">
        <v>16.78</v>
      </c>
      <c r="Y8502" s="6">
        <v>21.07</v>
      </c>
      <c r="Z8502" s="6">
        <v>21.07</v>
      </c>
      <c r="AA8502" s="6">
        <v>312.66000000000003</v>
      </c>
      <c r="AB8502" s="7">
        <v>27.952000000000002</v>
      </c>
      <c r="AC8502" s="2"/>
    </row>
    <row r="8503" spans="1:29" ht="91" x14ac:dyDescent="0.15">
      <c r="A8503" s="3">
        <f>DATE(2007,3,12)</f>
        <v>39153</v>
      </c>
      <c r="B8503" s="3">
        <f>DATE(2008,2,25)</f>
        <v>39503</v>
      </c>
      <c r="C8503" s="2" t="s">
        <v>95</v>
      </c>
      <c r="D8503" s="2" t="s">
        <v>6354</v>
      </c>
      <c r="E8503" s="2" t="s">
        <v>4335</v>
      </c>
      <c r="F8503" s="4">
        <v>6324</v>
      </c>
      <c r="G8503" s="2" t="s">
        <v>125</v>
      </c>
      <c r="H8503" s="2" t="s">
        <v>34</v>
      </c>
      <c r="I8503" s="2" t="s">
        <v>21349</v>
      </c>
      <c r="J8503" s="2" t="s">
        <v>21350</v>
      </c>
      <c r="K8503" s="2" t="s">
        <v>125</v>
      </c>
      <c r="L8503" s="2" t="s">
        <v>34</v>
      </c>
      <c r="M8503" s="12">
        <v>69910.009000000005</v>
      </c>
      <c r="N8503" s="6">
        <v>53.27</v>
      </c>
      <c r="O8503" s="4">
        <v>53</v>
      </c>
      <c r="P8503" s="2" t="s">
        <v>25277</v>
      </c>
      <c r="Q8503" s="6">
        <v>100</v>
      </c>
      <c r="R8503" s="6">
        <v>43.5</v>
      </c>
      <c r="S8503" s="5">
        <v>140.5</v>
      </c>
      <c r="T8503" s="7">
        <v>234.03399999999999</v>
      </c>
      <c r="U8503" s="5">
        <v>4.2</v>
      </c>
      <c r="V8503" s="6">
        <v>2.25</v>
      </c>
      <c r="W8503" s="6">
        <v>36.56</v>
      </c>
      <c r="X8503" s="5">
        <v>35.9</v>
      </c>
      <c r="Y8503" s="6">
        <v>41.57</v>
      </c>
      <c r="Z8503" s="6">
        <v>41.25</v>
      </c>
      <c r="AA8503" s="6">
        <v>55.76</v>
      </c>
      <c r="AB8503" s="7">
        <v>11.044</v>
      </c>
      <c r="AC8503" s="8">
        <v>10320</v>
      </c>
    </row>
    <row r="8504" spans="1:29" ht="130" x14ac:dyDescent="0.15">
      <c r="A8504" s="3">
        <f>DATE(2007,3,12)</f>
        <v>39153</v>
      </c>
      <c r="B8504" s="3">
        <f>DATE(2007,8,1)</f>
        <v>39295</v>
      </c>
      <c r="C8504" s="2" t="s">
        <v>95</v>
      </c>
      <c r="D8504" s="2" t="s">
        <v>25278</v>
      </c>
      <c r="E8504" s="2" t="s">
        <v>6321</v>
      </c>
      <c r="F8504" s="4">
        <v>6798</v>
      </c>
      <c r="G8504" s="2" t="s">
        <v>53</v>
      </c>
      <c r="H8504" s="2" t="s">
        <v>34</v>
      </c>
      <c r="I8504" s="2" t="s">
        <v>25279</v>
      </c>
      <c r="J8504" s="2" t="s">
        <v>11337</v>
      </c>
      <c r="K8504" s="2" t="s">
        <v>53</v>
      </c>
      <c r="L8504" s="2" t="s">
        <v>885</v>
      </c>
      <c r="M8504" s="2"/>
      <c r="N8504" s="2"/>
      <c r="O8504" s="2"/>
      <c r="P8504" s="2" t="s">
        <v>25280</v>
      </c>
      <c r="Q8504" s="6">
        <v>100</v>
      </c>
      <c r="R8504" s="6">
        <v>14.5</v>
      </c>
      <c r="S8504" s="5">
        <v>42.9</v>
      </c>
      <c r="T8504" s="7">
        <v>87.007000000000005</v>
      </c>
      <c r="U8504" s="5">
        <v>9.1999999999999993</v>
      </c>
      <c r="V8504" s="6">
        <v>0.48</v>
      </c>
      <c r="W8504" s="6">
        <v>12.38</v>
      </c>
      <c r="X8504" s="6">
        <v>12.99</v>
      </c>
      <c r="Y8504" s="6">
        <v>13.05</v>
      </c>
      <c r="Z8504" s="6">
        <v>14.51</v>
      </c>
      <c r="AA8504" s="6">
        <v>107.94</v>
      </c>
      <c r="AB8504" s="7">
        <v>77.135000000000005</v>
      </c>
      <c r="AC8504" s="2"/>
    </row>
    <row r="8505" spans="1:29" ht="104" x14ac:dyDescent="0.15">
      <c r="A8505" s="3">
        <f>DATE(2007,3,13)</f>
        <v>39154</v>
      </c>
      <c r="B8505" s="2"/>
      <c r="C8505" s="2" t="s">
        <v>30</v>
      </c>
      <c r="D8505" s="2" t="s">
        <v>25281</v>
      </c>
      <c r="E8505" s="2" t="s">
        <v>25282</v>
      </c>
      <c r="F8505" s="4">
        <v>1521</v>
      </c>
      <c r="G8505" s="2" t="s">
        <v>341</v>
      </c>
      <c r="H8505" s="2" t="s">
        <v>34</v>
      </c>
      <c r="I8505" s="2" t="s">
        <v>51</v>
      </c>
      <c r="J8505" s="2" t="s">
        <v>52</v>
      </c>
      <c r="K8505" s="2" t="s">
        <v>53</v>
      </c>
      <c r="L8505" s="2" t="s">
        <v>34</v>
      </c>
      <c r="M8505" s="2"/>
      <c r="N8505" s="2"/>
      <c r="O8505" s="2"/>
      <c r="P8505" s="2" t="s">
        <v>25283</v>
      </c>
      <c r="Q8505" s="2"/>
      <c r="R8505" s="6">
        <v>22</v>
      </c>
      <c r="S8505" s="5">
        <v>9</v>
      </c>
      <c r="T8505" s="7">
        <v>202.43199999999999</v>
      </c>
      <c r="U8505" s="5">
        <v>23.6</v>
      </c>
      <c r="V8505" s="6">
        <v>0.21</v>
      </c>
      <c r="W8505" s="6">
        <v>19.88</v>
      </c>
      <c r="X8505" s="6">
        <v>18.97</v>
      </c>
      <c r="Y8505" s="5">
        <v>21.8</v>
      </c>
      <c r="Z8505" s="6">
        <v>21.47</v>
      </c>
      <c r="AA8505" s="6">
        <v>41.97</v>
      </c>
      <c r="AB8505" s="7">
        <v>16.378</v>
      </c>
      <c r="AC8505" s="2"/>
    </row>
    <row r="8506" spans="1:29" ht="104" x14ac:dyDescent="0.15">
      <c r="A8506" s="3">
        <f>DATE(2007,3,14)</f>
        <v>39155</v>
      </c>
      <c r="B8506" s="3">
        <f>DATE(2007,10,15)</f>
        <v>39370</v>
      </c>
      <c r="C8506" s="2" t="s">
        <v>95</v>
      </c>
      <c r="D8506" s="2" t="s">
        <v>25284</v>
      </c>
      <c r="E8506" s="2" t="s">
        <v>25285</v>
      </c>
      <c r="F8506" s="4">
        <v>5641</v>
      </c>
      <c r="G8506" s="2" t="s">
        <v>756</v>
      </c>
      <c r="H8506" s="2" t="s">
        <v>34</v>
      </c>
      <c r="I8506" s="2" t="s">
        <v>25286</v>
      </c>
      <c r="J8506" s="2" t="s">
        <v>20944</v>
      </c>
      <c r="K8506" s="2" t="s">
        <v>223</v>
      </c>
      <c r="L8506" s="2" t="s">
        <v>34</v>
      </c>
      <c r="M8506" s="2"/>
      <c r="N8506" s="2"/>
      <c r="O8506" s="2"/>
      <c r="P8506" s="2" t="s">
        <v>25287</v>
      </c>
      <c r="Q8506" s="6">
        <v>100</v>
      </c>
      <c r="R8506" s="2"/>
      <c r="S8506" s="5">
        <v>-5.5</v>
      </c>
      <c r="T8506" s="7">
        <v>-5.4450000000000003</v>
      </c>
      <c r="U8506" s="5">
        <v>3.3</v>
      </c>
      <c r="V8506" s="6">
        <v>-1.01</v>
      </c>
      <c r="W8506" s="5">
        <v>6.7</v>
      </c>
      <c r="X8506" s="6">
        <v>7.93</v>
      </c>
      <c r="Y8506" s="6">
        <v>7.75</v>
      </c>
      <c r="Z8506" s="6">
        <v>8.19</v>
      </c>
      <c r="AA8506" s="2"/>
      <c r="AB8506" s="2" t="s">
        <v>86</v>
      </c>
      <c r="AC8506" s="2"/>
    </row>
    <row r="8507" spans="1:29" ht="221" x14ac:dyDescent="0.15">
      <c r="A8507" s="3">
        <f>DATE(2007,3,14)</f>
        <v>39155</v>
      </c>
      <c r="B8507" s="3">
        <f>DATE(2009,1,23)</f>
        <v>39836</v>
      </c>
      <c r="C8507" s="2" t="s">
        <v>95</v>
      </c>
      <c r="D8507" s="2" t="s">
        <v>25288</v>
      </c>
      <c r="E8507" s="2" t="s">
        <v>25289</v>
      </c>
      <c r="F8507" s="4">
        <v>6411</v>
      </c>
      <c r="G8507" s="2" t="s">
        <v>125</v>
      </c>
      <c r="H8507" s="2" t="s">
        <v>34</v>
      </c>
      <c r="I8507" s="2" t="s">
        <v>25290</v>
      </c>
      <c r="J8507" s="2" t="s">
        <v>25289</v>
      </c>
      <c r="K8507" s="2" t="s">
        <v>125</v>
      </c>
      <c r="L8507" s="2" t="s">
        <v>34</v>
      </c>
      <c r="M8507" s="2"/>
      <c r="N8507" s="2"/>
      <c r="O8507" s="2"/>
      <c r="P8507" s="2" t="s">
        <v>25291</v>
      </c>
      <c r="Q8507" s="6">
        <v>100</v>
      </c>
      <c r="R8507" s="6">
        <v>11.25</v>
      </c>
      <c r="S8507" s="5">
        <v>-5.3</v>
      </c>
      <c r="T8507" s="6">
        <v>10.68</v>
      </c>
      <c r="U8507" s="5">
        <v>5.0999999999999996</v>
      </c>
      <c r="V8507" s="9">
        <v>-0.60640000000000005</v>
      </c>
      <c r="W8507" s="7">
        <v>9.6289999999999996</v>
      </c>
      <c r="X8507" s="7">
        <v>9.5790000000000006</v>
      </c>
      <c r="Y8507" s="7">
        <v>9.9909999999999997</v>
      </c>
      <c r="Z8507" s="7">
        <v>9.9860000000000007</v>
      </c>
      <c r="AA8507" s="6">
        <v>7.73</v>
      </c>
      <c r="AB8507" s="2" t="s">
        <v>47</v>
      </c>
      <c r="AC8507" s="2"/>
    </row>
    <row r="8508" spans="1:29" ht="78" x14ac:dyDescent="0.15">
      <c r="A8508" s="3">
        <f>DATE(2007,3,14)</f>
        <v>39155</v>
      </c>
      <c r="B8508" s="3">
        <f>DATE(2007,4,18)</f>
        <v>39190</v>
      </c>
      <c r="C8508" s="2" t="s">
        <v>95</v>
      </c>
      <c r="D8508" s="2" t="s">
        <v>25292</v>
      </c>
      <c r="E8508" s="2" t="s">
        <v>25293</v>
      </c>
      <c r="F8508" s="4">
        <v>7372</v>
      </c>
      <c r="G8508" s="2" t="s">
        <v>551</v>
      </c>
      <c r="H8508" s="2" t="s">
        <v>34</v>
      </c>
      <c r="I8508" s="2" t="s">
        <v>3712</v>
      </c>
      <c r="J8508" s="2" t="s">
        <v>3713</v>
      </c>
      <c r="K8508" s="2" t="s">
        <v>50</v>
      </c>
      <c r="L8508" s="2" t="s">
        <v>34</v>
      </c>
      <c r="M8508" s="12">
        <v>10591.847</v>
      </c>
      <c r="N8508" s="6">
        <v>45.44</v>
      </c>
      <c r="O8508" s="6">
        <v>45.32</v>
      </c>
      <c r="P8508" s="2" t="s">
        <v>25294</v>
      </c>
      <c r="Q8508" s="6">
        <v>100</v>
      </c>
      <c r="R8508" s="6">
        <v>20.25</v>
      </c>
      <c r="S8508" s="5">
        <v>10</v>
      </c>
      <c r="T8508" s="7">
        <v>20.919</v>
      </c>
      <c r="U8508" s="5">
        <v>8.1</v>
      </c>
      <c r="V8508" s="6">
        <v>0.46</v>
      </c>
      <c r="W8508" s="6">
        <v>13.57</v>
      </c>
      <c r="X8508" s="6">
        <v>13.08</v>
      </c>
      <c r="Y8508" s="6">
        <v>13.21</v>
      </c>
      <c r="Z8508" s="4">
        <v>20</v>
      </c>
      <c r="AA8508" s="6">
        <v>24.52</v>
      </c>
      <c r="AB8508" s="7">
        <v>28.765999999999998</v>
      </c>
      <c r="AC8508" s="6">
        <v>301.61</v>
      </c>
    </row>
    <row r="8509" spans="1:29" ht="234" x14ac:dyDescent="0.15">
      <c r="A8509" s="3">
        <f>DATE(2007,3,15)</f>
        <v>39156</v>
      </c>
      <c r="B8509" s="2"/>
      <c r="C8509" s="2" t="s">
        <v>30</v>
      </c>
      <c r="D8509" s="2" t="s">
        <v>24678</v>
      </c>
      <c r="E8509" s="2" t="s">
        <v>24679</v>
      </c>
      <c r="F8509" s="4">
        <v>6231</v>
      </c>
      <c r="G8509" s="2" t="s">
        <v>53</v>
      </c>
      <c r="H8509" s="2" t="s">
        <v>34</v>
      </c>
      <c r="I8509" s="2" t="s">
        <v>25295</v>
      </c>
      <c r="J8509" s="2" t="s">
        <v>25296</v>
      </c>
      <c r="K8509" s="2" t="s">
        <v>53</v>
      </c>
      <c r="L8509" s="2" t="s">
        <v>34</v>
      </c>
      <c r="M8509" s="12">
        <v>10676.946</v>
      </c>
      <c r="N8509" s="5">
        <v>128.1</v>
      </c>
      <c r="O8509" s="6">
        <v>126.38</v>
      </c>
      <c r="P8509" s="2" t="s">
        <v>25297</v>
      </c>
      <c r="Q8509" s="2"/>
      <c r="R8509" s="6">
        <v>211.85</v>
      </c>
      <c r="S8509" s="5">
        <v>192.5</v>
      </c>
      <c r="T8509" s="7">
        <v>359.42399999999998</v>
      </c>
      <c r="U8509" s="5">
        <v>14.5</v>
      </c>
      <c r="V8509" s="6">
        <v>3.64</v>
      </c>
      <c r="W8509" s="6">
        <v>130.77000000000001</v>
      </c>
      <c r="X8509" s="6">
        <v>134.51</v>
      </c>
      <c r="Y8509" s="6">
        <v>151.99</v>
      </c>
      <c r="Z8509" s="6">
        <v>148.94999999999999</v>
      </c>
      <c r="AA8509" s="6">
        <v>52.84</v>
      </c>
      <c r="AB8509" s="7">
        <v>34.698999999999998</v>
      </c>
      <c r="AC8509" s="6">
        <v>195.09</v>
      </c>
    </row>
    <row r="8510" spans="1:29" ht="130" x14ac:dyDescent="0.15">
      <c r="A8510" s="3">
        <f>DATE(2007,3,15)</f>
        <v>39156</v>
      </c>
      <c r="B8510" s="2"/>
      <c r="C8510" s="2" t="s">
        <v>30</v>
      </c>
      <c r="D8510" s="2" t="s">
        <v>8825</v>
      </c>
      <c r="E8510" s="2" t="s">
        <v>25298</v>
      </c>
      <c r="F8510" s="4">
        <v>6159</v>
      </c>
      <c r="G8510" s="2" t="s">
        <v>370</v>
      </c>
      <c r="H8510" s="2" t="s">
        <v>34</v>
      </c>
      <c r="I8510" s="2" t="s">
        <v>51</v>
      </c>
      <c r="J8510" s="2" t="s">
        <v>52</v>
      </c>
      <c r="K8510" s="2" t="s">
        <v>53</v>
      </c>
      <c r="L8510" s="2" t="s">
        <v>34</v>
      </c>
      <c r="M8510" s="2"/>
      <c r="N8510" s="2"/>
      <c r="O8510" s="2"/>
      <c r="P8510" s="2" t="s">
        <v>25299</v>
      </c>
      <c r="Q8510" s="2"/>
      <c r="R8510" s="6">
        <v>31.5</v>
      </c>
      <c r="S8510" s="5">
        <v>72</v>
      </c>
      <c r="T8510" s="8">
        <v>1559</v>
      </c>
      <c r="U8510" s="5">
        <v>28.5</v>
      </c>
      <c r="V8510" s="6">
        <v>1.36</v>
      </c>
      <c r="W8510" s="6">
        <v>28.41</v>
      </c>
      <c r="X8510" s="6">
        <v>27.81</v>
      </c>
      <c r="Y8510" s="5">
        <v>31.1</v>
      </c>
      <c r="Z8510" s="6">
        <v>30.75</v>
      </c>
      <c r="AA8510" s="6">
        <v>53.51</v>
      </c>
      <c r="AB8510" s="7">
        <v>24.667000000000002</v>
      </c>
      <c r="AC8510" s="2"/>
    </row>
    <row r="8511" spans="1:29" ht="130" x14ac:dyDescent="0.15">
      <c r="A8511" s="3">
        <f>DATE(2007,3,15)</f>
        <v>39156</v>
      </c>
      <c r="B8511" s="3">
        <f>DATE(2007,5,21)</f>
        <v>39223</v>
      </c>
      <c r="C8511" s="2" t="s">
        <v>95</v>
      </c>
      <c r="D8511" s="2" t="s">
        <v>25300</v>
      </c>
      <c r="E8511" s="2" t="s">
        <v>25301</v>
      </c>
      <c r="F8511" s="4">
        <v>7389</v>
      </c>
      <c r="G8511" s="2" t="s">
        <v>223</v>
      </c>
      <c r="H8511" s="2" t="s">
        <v>34</v>
      </c>
      <c r="I8511" s="2" t="s">
        <v>7444</v>
      </c>
      <c r="J8511" s="2" t="s">
        <v>7445</v>
      </c>
      <c r="K8511" s="2" t="s">
        <v>50</v>
      </c>
      <c r="L8511" s="2" t="s">
        <v>34</v>
      </c>
      <c r="M8511" s="12">
        <v>166463.348</v>
      </c>
      <c r="N8511" s="6">
        <v>25.81</v>
      </c>
      <c r="O8511" s="6">
        <v>25.99</v>
      </c>
      <c r="P8511" s="2" t="s">
        <v>25302</v>
      </c>
      <c r="Q8511" s="6">
        <v>100</v>
      </c>
      <c r="R8511" s="6">
        <v>57</v>
      </c>
      <c r="S8511" s="5">
        <v>48.6</v>
      </c>
      <c r="T8511" s="7">
        <v>99.932000000000002</v>
      </c>
      <c r="U8511" s="5">
        <v>9.3000000000000007</v>
      </c>
      <c r="V8511" s="6">
        <v>0.97</v>
      </c>
      <c r="W8511" s="6">
        <v>46.29</v>
      </c>
      <c r="X8511" s="5">
        <v>46.2</v>
      </c>
      <c r="Y8511" s="6">
        <v>56.38</v>
      </c>
      <c r="Z8511" s="6">
        <v>56.75</v>
      </c>
      <c r="AA8511" s="6">
        <v>50.01</v>
      </c>
      <c r="AB8511" s="7">
        <v>34.348999999999997</v>
      </c>
      <c r="AC8511" s="8">
        <v>20681</v>
      </c>
    </row>
    <row r="8512" spans="1:29" ht="143" x14ac:dyDescent="0.15">
      <c r="A8512" s="3">
        <f>DATE(2007,3,18)</f>
        <v>39159</v>
      </c>
      <c r="B8512" s="3">
        <f>DATE(2007,8,30)</f>
        <v>39324</v>
      </c>
      <c r="C8512" s="2" t="s">
        <v>95</v>
      </c>
      <c r="D8512" s="2" t="s">
        <v>25303</v>
      </c>
      <c r="E8512" s="2" t="s">
        <v>25304</v>
      </c>
      <c r="F8512" s="4">
        <v>1799</v>
      </c>
      <c r="G8512" s="2" t="s">
        <v>341</v>
      </c>
      <c r="H8512" s="2" t="s">
        <v>34</v>
      </c>
      <c r="I8512" s="2" t="s">
        <v>25305</v>
      </c>
      <c r="J8512" s="2" t="s">
        <v>25306</v>
      </c>
      <c r="K8512" s="2" t="s">
        <v>341</v>
      </c>
      <c r="L8512" s="2" t="s">
        <v>34</v>
      </c>
      <c r="M8512" s="12">
        <v>2559.2840000000001</v>
      </c>
      <c r="N8512" s="6">
        <v>24.67</v>
      </c>
      <c r="O8512" s="6">
        <v>24.67</v>
      </c>
      <c r="P8512" s="2" t="s">
        <v>25307</v>
      </c>
      <c r="Q8512" s="6">
        <v>100</v>
      </c>
      <c r="R8512" s="6">
        <v>30.13</v>
      </c>
      <c r="S8512" s="5">
        <v>25.9</v>
      </c>
      <c r="T8512" s="7">
        <v>74.972999999999999</v>
      </c>
      <c r="U8512" s="5">
        <v>8.4</v>
      </c>
      <c r="V8512" s="6">
        <v>0.64</v>
      </c>
      <c r="W8512" s="5">
        <v>24.8</v>
      </c>
      <c r="X8512" s="6">
        <v>25.66</v>
      </c>
      <c r="Y8512" s="6">
        <v>29.83</v>
      </c>
      <c r="Z8512" s="6">
        <v>29.83</v>
      </c>
      <c r="AA8512" s="6">
        <v>40.450000000000003</v>
      </c>
      <c r="AB8512" s="7">
        <v>26.425999999999998</v>
      </c>
      <c r="AC8512" s="6">
        <v>383.69</v>
      </c>
    </row>
    <row r="8513" spans="1:29" ht="117" x14ac:dyDescent="0.15">
      <c r="A8513" s="3">
        <f t="shared" ref="A8513:A8519" si="166">DATE(2007,3,19)</f>
        <v>39160</v>
      </c>
      <c r="B8513" s="2"/>
      <c r="C8513" s="2" t="s">
        <v>7330</v>
      </c>
      <c r="D8513" s="2" t="s">
        <v>18224</v>
      </c>
      <c r="E8513" s="2" t="s">
        <v>18225</v>
      </c>
      <c r="F8513" s="4">
        <v>4491</v>
      </c>
      <c r="G8513" s="2" t="s">
        <v>173</v>
      </c>
      <c r="H8513" s="2" t="s">
        <v>34</v>
      </c>
      <c r="I8513" s="2" t="s">
        <v>25308</v>
      </c>
      <c r="J8513" s="2" t="s">
        <v>12755</v>
      </c>
      <c r="K8513" s="2" t="s">
        <v>53</v>
      </c>
      <c r="L8513" s="2" t="s">
        <v>34</v>
      </c>
      <c r="M8513" s="2"/>
      <c r="N8513" s="2"/>
      <c r="O8513" s="2"/>
      <c r="P8513" s="2" t="s">
        <v>25309</v>
      </c>
      <c r="Q8513" s="2"/>
      <c r="R8513" s="10">
        <v>2990</v>
      </c>
      <c r="S8513" s="5">
        <v>35.799999999999997</v>
      </c>
      <c r="T8513" s="6">
        <v>140.49</v>
      </c>
      <c r="U8513" s="8">
        <v>2711.1</v>
      </c>
      <c r="V8513" s="6">
        <v>222.77</v>
      </c>
      <c r="W8513" s="4">
        <v>1805</v>
      </c>
      <c r="X8513" s="4">
        <v>1805</v>
      </c>
      <c r="Y8513" s="4">
        <v>1805</v>
      </c>
      <c r="Z8513" s="4">
        <v>1805</v>
      </c>
      <c r="AA8513" s="6">
        <v>0.09</v>
      </c>
      <c r="AB8513" s="7">
        <v>10.878</v>
      </c>
      <c r="AC8513" s="2"/>
    </row>
    <row r="8514" spans="1:29" ht="221" x14ac:dyDescent="0.15">
      <c r="A8514" s="3">
        <f t="shared" si="166"/>
        <v>39160</v>
      </c>
      <c r="B8514" s="3">
        <f>DATE(2007,8,2)</f>
        <v>39296</v>
      </c>
      <c r="C8514" s="2" t="s">
        <v>95</v>
      </c>
      <c r="D8514" s="2" t="s">
        <v>17188</v>
      </c>
      <c r="E8514" s="2" t="s">
        <v>17189</v>
      </c>
      <c r="F8514" s="4">
        <v>4214</v>
      </c>
      <c r="G8514" s="2" t="s">
        <v>173</v>
      </c>
      <c r="H8514" s="2" t="s">
        <v>34</v>
      </c>
      <c r="I8514" s="2" t="s">
        <v>25310</v>
      </c>
      <c r="J8514" s="2" t="s">
        <v>25311</v>
      </c>
      <c r="K8514" s="2" t="s">
        <v>173</v>
      </c>
      <c r="L8514" s="2" t="s">
        <v>2105</v>
      </c>
      <c r="M8514" s="2"/>
      <c r="N8514" s="2"/>
      <c r="O8514" s="2"/>
      <c r="P8514" s="2" t="s">
        <v>25312</v>
      </c>
      <c r="Q8514" s="6">
        <v>100</v>
      </c>
      <c r="R8514" s="6">
        <v>47.5</v>
      </c>
      <c r="S8514" s="5">
        <v>62.5</v>
      </c>
      <c r="T8514" s="7">
        <v>136.375</v>
      </c>
      <c r="U8514" s="5">
        <v>10.7</v>
      </c>
      <c r="V8514" s="6">
        <v>1.53</v>
      </c>
      <c r="W8514" s="6">
        <v>35.67</v>
      </c>
      <c r="X8514" s="6">
        <v>34.96</v>
      </c>
      <c r="Y8514" s="6">
        <v>29.78</v>
      </c>
      <c r="Z8514" s="5">
        <v>38.1</v>
      </c>
      <c r="AA8514" s="6">
        <v>46.47</v>
      </c>
      <c r="AB8514" s="7">
        <v>19.013999999999999</v>
      </c>
      <c r="AC8514" s="2"/>
    </row>
    <row r="8515" spans="1:29" ht="78" x14ac:dyDescent="0.15">
      <c r="A8515" s="3">
        <f t="shared" si="166"/>
        <v>39160</v>
      </c>
      <c r="B8515" s="2"/>
      <c r="C8515" s="2" t="s">
        <v>30</v>
      </c>
      <c r="D8515" s="2" t="s">
        <v>16902</v>
      </c>
      <c r="E8515" s="2" t="s">
        <v>36</v>
      </c>
      <c r="F8515" s="4">
        <v>6021</v>
      </c>
      <c r="G8515" s="2" t="s">
        <v>37</v>
      </c>
      <c r="H8515" s="2" t="s">
        <v>34</v>
      </c>
      <c r="I8515" s="2" t="s">
        <v>25313</v>
      </c>
      <c r="J8515" s="2" t="s">
        <v>159</v>
      </c>
      <c r="K8515" s="2" t="s">
        <v>37</v>
      </c>
      <c r="L8515" s="2" t="s">
        <v>34</v>
      </c>
      <c r="M8515" s="2"/>
      <c r="N8515" s="2"/>
      <c r="O8515" s="2"/>
      <c r="P8515" s="2" t="s">
        <v>25314</v>
      </c>
      <c r="Q8515" s="2"/>
      <c r="R8515" s="6">
        <v>23</v>
      </c>
      <c r="S8515" s="5">
        <v>1.5</v>
      </c>
      <c r="T8515" s="7">
        <v>2.512</v>
      </c>
      <c r="U8515" s="5">
        <v>10.3</v>
      </c>
      <c r="V8515" s="6">
        <v>0.74</v>
      </c>
      <c r="W8515" s="5">
        <v>12.5</v>
      </c>
      <c r="X8515" s="5">
        <v>12.3</v>
      </c>
      <c r="Y8515" s="5">
        <v>12.3</v>
      </c>
      <c r="Z8515" s="5">
        <v>23.1</v>
      </c>
      <c r="AA8515" s="6">
        <v>1.86</v>
      </c>
      <c r="AB8515" s="7">
        <v>38.393999999999998</v>
      </c>
      <c r="AC8515" s="2"/>
    </row>
    <row r="8516" spans="1:29" ht="156" x14ac:dyDescent="0.15">
      <c r="A8516" s="3">
        <f t="shared" si="166"/>
        <v>39160</v>
      </c>
      <c r="B8516" s="3">
        <f>DATE(2007,7,24)</f>
        <v>39287</v>
      </c>
      <c r="C8516" s="2" t="s">
        <v>95</v>
      </c>
      <c r="D8516" s="2" t="s">
        <v>13159</v>
      </c>
      <c r="E8516" s="2" t="s">
        <v>13160</v>
      </c>
      <c r="F8516" s="2" t="s">
        <v>8961</v>
      </c>
      <c r="G8516" s="2" t="s">
        <v>426</v>
      </c>
      <c r="H8516" s="2" t="s">
        <v>34</v>
      </c>
      <c r="I8516" s="2" t="s">
        <v>25315</v>
      </c>
      <c r="J8516" s="2" t="s">
        <v>11337</v>
      </c>
      <c r="K8516" s="2" t="s">
        <v>53</v>
      </c>
      <c r="L8516" s="2" t="s">
        <v>34</v>
      </c>
      <c r="M8516" s="2"/>
      <c r="N8516" s="2"/>
      <c r="O8516" s="2"/>
      <c r="P8516" s="2" t="s">
        <v>25316</v>
      </c>
      <c r="Q8516" s="6">
        <v>100</v>
      </c>
      <c r="R8516" s="6">
        <v>15.63</v>
      </c>
      <c r="S8516" s="5">
        <v>186.6</v>
      </c>
      <c r="T8516" s="7">
        <v>407.892</v>
      </c>
      <c r="U8516" s="5">
        <v>3.7</v>
      </c>
      <c r="V8516" s="6">
        <v>0.64</v>
      </c>
      <c r="W8516" s="6">
        <v>11.97</v>
      </c>
      <c r="X8516" s="5">
        <v>11.9</v>
      </c>
      <c r="Y8516" s="6">
        <v>13.15</v>
      </c>
      <c r="Z8516" s="6">
        <v>12.92</v>
      </c>
      <c r="AA8516" s="6">
        <v>291.74</v>
      </c>
      <c r="AB8516" s="7">
        <v>14.599</v>
      </c>
      <c r="AC8516" s="2"/>
    </row>
    <row r="8517" spans="1:29" ht="169" x14ac:dyDescent="0.15">
      <c r="A8517" s="3">
        <f t="shared" si="166"/>
        <v>39160</v>
      </c>
      <c r="B8517" s="3">
        <f>DATE(2007,12,11)</f>
        <v>39427</v>
      </c>
      <c r="C8517" s="2" t="s">
        <v>95</v>
      </c>
      <c r="D8517" s="2" t="s">
        <v>25317</v>
      </c>
      <c r="E8517" s="2" t="s">
        <v>2814</v>
      </c>
      <c r="F8517" s="4">
        <v>4812</v>
      </c>
      <c r="G8517" s="2" t="s">
        <v>63</v>
      </c>
      <c r="H8517" s="2" t="s">
        <v>34</v>
      </c>
      <c r="I8517" s="2" t="s">
        <v>25318</v>
      </c>
      <c r="J8517" s="2" t="s">
        <v>25319</v>
      </c>
      <c r="K8517" s="2" t="s">
        <v>53</v>
      </c>
      <c r="L8517" s="2" t="s">
        <v>902</v>
      </c>
      <c r="M8517" s="2"/>
      <c r="N8517" s="2"/>
      <c r="O8517" s="2"/>
      <c r="P8517" s="2" t="s">
        <v>25320</v>
      </c>
      <c r="Q8517" s="6">
        <v>100</v>
      </c>
      <c r="R8517" s="6">
        <v>6.56</v>
      </c>
      <c r="S8517" s="5">
        <v>-26</v>
      </c>
      <c r="T8517" s="7">
        <v>62.773000000000003</v>
      </c>
      <c r="U8517" s="5">
        <v>4.7</v>
      </c>
      <c r="V8517" s="9">
        <v>-0.62070000000000003</v>
      </c>
      <c r="W8517" s="7">
        <v>5.3719999999999999</v>
      </c>
      <c r="X8517" s="6">
        <v>5.43</v>
      </c>
      <c r="Y8517" s="7">
        <v>5.4720000000000004</v>
      </c>
      <c r="Z8517" s="7">
        <v>5.6319999999999997</v>
      </c>
      <c r="AA8517" s="6">
        <v>42</v>
      </c>
      <c r="AB8517" s="7">
        <v>18.364999999999998</v>
      </c>
      <c r="AC8517" s="2"/>
    </row>
    <row r="8518" spans="1:29" ht="195" x14ac:dyDescent="0.15">
      <c r="A8518" s="3">
        <f t="shared" si="166"/>
        <v>39160</v>
      </c>
      <c r="B8518" s="3">
        <f>DATE(2007,7,11)</f>
        <v>39274</v>
      </c>
      <c r="C8518" s="2" t="s">
        <v>95</v>
      </c>
      <c r="D8518" s="2" t="s">
        <v>25321</v>
      </c>
      <c r="E8518" s="2" t="s">
        <v>25322</v>
      </c>
      <c r="F8518" s="4">
        <v>1381</v>
      </c>
      <c r="G8518" s="2" t="s">
        <v>148</v>
      </c>
      <c r="H8518" s="2" t="s">
        <v>34</v>
      </c>
      <c r="I8518" s="2" t="s">
        <v>25323</v>
      </c>
      <c r="J8518" s="2" t="s">
        <v>25324</v>
      </c>
      <c r="K8518" s="2" t="s">
        <v>148</v>
      </c>
      <c r="L8518" s="2" t="s">
        <v>34</v>
      </c>
      <c r="M8518" s="7">
        <v>830.57100000000003</v>
      </c>
      <c r="N8518" s="6">
        <v>25.32</v>
      </c>
      <c r="O8518" s="6">
        <v>25.45</v>
      </c>
      <c r="P8518" s="2" t="s">
        <v>25325</v>
      </c>
      <c r="Q8518" s="6">
        <v>100</v>
      </c>
      <c r="R8518" s="6">
        <v>42.01</v>
      </c>
      <c r="S8518" s="5">
        <v>183.5</v>
      </c>
      <c r="T8518" s="5">
        <v>360.6</v>
      </c>
      <c r="U8518" s="5">
        <v>9.8000000000000007</v>
      </c>
      <c r="V8518" s="6">
        <v>3.04</v>
      </c>
      <c r="W8518" s="6">
        <v>33.619999999999997</v>
      </c>
      <c r="X8518" s="6">
        <v>32.78</v>
      </c>
      <c r="Y8518" s="6">
        <v>39.24</v>
      </c>
      <c r="Z8518" s="6">
        <v>39.54</v>
      </c>
      <c r="AA8518" s="6">
        <v>57.72</v>
      </c>
      <c r="AB8518" s="7">
        <v>8.2929999999999993</v>
      </c>
      <c r="AC8518" s="6">
        <v>73.02</v>
      </c>
    </row>
    <row r="8519" spans="1:29" ht="156" x14ac:dyDescent="0.15">
      <c r="A8519" s="3">
        <f t="shared" si="166"/>
        <v>39160</v>
      </c>
      <c r="B8519" s="3">
        <f>DATE(2007,7,25)</f>
        <v>39288</v>
      </c>
      <c r="C8519" s="2" t="s">
        <v>95</v>
      </c>
      <c r="D8519" s="2" t="s">
        <v>17885</v>
      </c>
      <c r="E8519" s="2" t="s">
        <v>17886</v>
      </c>
      <c r="F8519" s="4">
        <v>8062</v>
      </c>
      <c r="G8519" s="2" t="s">
        <v>454</v>
      </c>
      <c r="H8519" s="2" t="s">
        <v>34</v>
      </c>
      <c r="I8519" s="2" t="s">
        <v>8081</v>
      </c>
      <c r="J8519" s="2" t="s">
        <v>25326</v>
      </c>
      <c r="K8519" s="2" t="s">
        <v>454</v>
      </c>
      <c r="L8519" s="2" t="s">
        <v>34</v>
      </c>
      <c r="M8519" s="12">
        <v>3599.9490000000001</v>
      </c>
      <c r="N8519" s="6">
        <v>34.78</v>
      </c>
      <c r="O8519" s="6">
        <v>33.869999999999997</v>
      </c>
      <c r="P8519" s="2" t="s">
        <v>25327</v>
      </c>
      <c r="Q8519" s="6">
        <v>100</v>
      </c>
      <c r="R8519" s="6">
        <v>54</v>
      </c>
      <c r="S8519" s="5">
        <v>207.9</v>
      </c>
      <c r="T8519" s="5">
        <v>650.5</v>
      </c>
      <c r="U8519" s="5">
        <v>36.5</v>
      </c>
      <c r="V8519" s="6">
        <v>2.38</v>
      </c>
      <c r="W8519" s="4">
        <v>42</v>
      </c>
      <c r="X8519" s="6">
        <v>43.27</v>
      </c>
      <c r="Y8519" s="6">
        <v>49.65</v>
      </c>
      <c r="Z8519" s="6">
        <v>49.65</v>
      </c>
      <c r="AA8519" s="6">
        <v>88.36</v>
      </c>
      <c r="AB8519" s="7">
        <v>15.228</v>
      </c>
      <c r="AC8519" s="6">
        <v>13.44</v>
      </c>
    </row>
    <row r="8520" spans="1:29" ht="195" x14ac:dyDescent="0.15">
      <c r="A8520" s="3">
        <f>DATE(2007,3,20)</f>
        <v>39161</v>
      </c>
      <c r="B8520" s="2"/>
      <c r="C8520" s="2" t="s">
        <v>30</v>
      </c>
      <c r="D8520" s="2" t="s">
        <v>22557</v>
      </c>
      <c r="E8520" s="2" t="s">
        <v>22558</v>
      </c>
      <c r="F8520" s="4">
        <v>7374</v>
      </c>
      <c r="G8520" s="2" t="s">
        <v>223</v>
      </c>
      <c r="H8520" s="2" t="s">
        <v>34</v>
      </c>
      <c r="I8520" s="2" t="s">
        <v>51</v>
      </c>
      <c r="J8520" s="2" t="s">
        <v>52</v>
      </c>
      <c r="K8520" s="2" t="s">
        <v>53</v>
      </c>
      <c r="L8520" s="2" t="s">
        <v>34</v>
      </c>
      <c r="M8520" s="2"/>
      <c r="N8520" s="2"/>
      <c r="O8520" s="2"/>
      <c r="P8520" s="2" t="s">
        <v>25328</v>
      </c>
      <c r="Q8520" s="2"/>
      <c r="R8520" s="6">
        <v>62</v>
      </c>
      <c r="S8520" s="5">
        <v>72.099999999999994</v>
      </c>
      <c r="T8520" s="7">
        <v>317.19400000000002</v>
      </c>
      <c r="U8520" s="2"/>
      <c r="V8520" s="6">
        <v>0.72</v>
      </c>
      <c r="W8520" s="5">
        <v>50.6</v>
      </c>
      <c r="X8520" s="6">
        <v>51.29</v>
      </c>
      <c r="Y8520" s="6">
        <v>59.95</v>
      </c>
      <c r="Z8520" s="6">
        <v>59.53</v>
      </c>
      <c r="AA8520" s="6">
        <v>98.91</v>
      </c>
      <c r="AB8520" s="7">
        <v>53.938000000000002</v>
      </c>
      <c r="AC8520" s="2"/>
    </row>
    <row r="8521" spans="1:29" ht="52" x14ac:dyDescent="0.15">
      <c r="A8521" s="3">
        <f>DATE(2007,3,20)</f>
        <v>39161</v>
      </c>
      <c r="B8521" s="2"/>
      <c r="C8521" s="2" t="s">
        <v>87</v>
      </c>
      <c r="D8521" s="2" t="s">
        <v>2667</v>
      </c>
      <c r="E8521" s="2" t="s">
        <v>2668</v>
      </c>
      <c r="F8521" s="4">
        <v>2074</v>
      </c>
      <c r="G8521" s="2" t="s">
        <v>577</v>
      </c>
      <c r="H8521" s="2" t="s">
        <v>34</v>
      </c>
      <c r="I8521" s="2" t="s">
        <v>143</v>
      </c>
      <c r="J8521" s="2" t="s">
        <v>144</v>
      </c>
      <c r="K8521" s="2" t="s">
        <v>53</v>
      </c>
      <c r="L8521" s="2" t="s">
        <v>139</v>
      </c>
      <c r="M8521" s="2"/>
      <c r="N8521" s="2"/>
      <c r="O8521" s="2"/>
      <c r="P8521" s="2" t="s">
        <v>25329</v>
      </c>
      <c r="Q8521" s="2"/>
      <c r="R8521" s="2"/>
      <c r="S8521" s="8">
        <v>1602.1</v>
      </c>
      <c r="T8521" s="12">
        <v>2918.6289999999999</v>
      </c>
      <c r="U8521" s="5">
        <v>16.5</v>
      </c>
      <c r="V8521" s="6">
        <v>2.4300000000000002</v>
      </c>
      <c r="W8521" s="6">
        <v>33.479999999999997</v>
      </c>
      <c r="X8521" s="6">
        <v>34.229999999999997</v>
      </c>
      <c r="Y8521" s="6">
        <v>35.229999999999997</v>
      </c>
      <c r="Z8521" s="6">
        <v>35.880000000000003</v>
      </c>
      <c r="AA8521" s="6">
        <v>652.73</v>
      </c>
      <c r="AB8521" s="2" t="s">
        <v>47</v>
      </c>
      <c r="AC8521" s="2"/>
    </row>
    <row r="8522" spans="1:29" ht="130" x14ac:dyDescent="0.15">
      <c r="A8522" s="3">
        <f>DATE(2007,3,20)</f>
        <v>39161</v>
      </c>
      <c r="B8522" s="3">
        <f>DATE(2007,5,29)</f>
        <v>39231</v>
      </c>
      <c r="C8522" s="2" t="s">
        <v>95</v>
      </c>
      <c r="D8522" s="2" t="s">
        <v>25330</v>
      </c>
      <c r="E8522" s="2" t="s">
        <v>25331</v>
      </c>
      <c r="F8522" s="4">
        <v>5641</v>
      </c>
      <c r="G8522" s="2" t="s">
        <v>756</v>
      </c>
      <c r="H8522" s="2" t="s">
        <v>34</v>
      </c>
      <c r="I8522" s="2" t="s">
        <v>9715</v>
      </c>
      <c r="J8522" s="2" t="s">
        <v>244</v>
      </c>
      <c r="K8522" s="2" t="s">
        <v>53</v>
      </c>
      <c r="L8522" s="2" t="s">
        <v>34</v>
      </c>
      <c r="M8522" s="2"/>
      <c r="N8522" s="2"/>
      <c r="O8522" s="2"/>
      <c r="P8522" s="2" t="s">
        <v>25332</v>
      </c>
      <c r="Q8522" s="6">
        <v>100</v>
      </c>
      <c r="R8522" s="6">
        <v>33</v>
      </c>
      <c r="S8522" s="5">
        <v>188.8</v>
      </c>
      <c r="T8522" s="7">
        <v>311.33300000000003</v>
      </c>
      <c r="U8522" s="5">
        <v>9.1</v>
      </c>
      <c r="V8522" s="6">
        <v>1.96</v>
      </c>
      <c r="W8522" s="6">
        <v>32.869999999999997</v>
      </c>
      <c r="X8522" s="6">
        <v>31.91</v>
      </c>
      <c r="Y8522" s="6">
        <v>33.36</v>
      </c>
      <c r="Z8522" s="6">
        <v>33.18</v>
      </c>
      <c r="AA8522" s="6">
        <v>93.06</v>
      </c>
      <c r="AB8522" s="7">
        <v>10.867000000000001</v>
      </c>
      <c r="AC8522" s="2"/>
    </row>
    <row r="8523" spans="1:29" ht="104" x14ac:dyDescent="0.15">
      <c r="A8523" s="3">
        <f>DATE(2007,3,20)</f>
        <v>39161</v>
      </c>
      <c r="B8523" s="3">
        <f>DATE(2007,8,31)</f>
        <v>39325</v>
      </c>
      <c r="C8523" s="2" t="s">
        <v>95</v>
      </c>
      <c r="D8523" s="2" t="s">
        <v>25333</v>
      </c>
      <c r="E8523" s="2" t="s">
        <v>25334</v>
      </c>
      <c r="F8523" s="4">
        <v>4813</v>
      </c>
      <c r="G8523" s="2" t="s">
        <v>63</v>
      </c>
      <c r="H8523" s="2" t="s">
        <v>34</v>
      </c>
      <c r="I8523" s="2" t="s">
        <v>25335</v>
      </c>
      <c r="J8523" s="2" t="s">
        <v>973</v>
      </c>
      <c r="K8523" s="2" t="s">
        <v>63</v>
      </c>
      <c r="L8523" s="2" t="s">
        <v>34</v>
      </c>
      <c r="M8523" s="2"/>
      <c r="N8523" s="2"/>
      <c r="O8523" s="2"/>
      <c r="P8523" s="2" t="s">
        <v>25336</v>
      </c>
      <c r="Q8523" s="6">
        <v>100</v>
      </c>
      <c r="R8523" s="6">
        <v>30</v>
      </c>
      <c r="S8523" s="5">
        <v>-2.8</v>
      </c>
      <c r="T8523" s="7">
        <v>53.866</v>
      </c>
      <c r="U8523" s="5">
        <v>7.3</v>
      </c>
      <c r="V8523" s="6">
        <v>-0.17</v>
      </c>
      <c r="W8523" s="4">
        <v>25</v>
      </c>
      <c r="X8523" s="6">
        <v>25.59</v>
      </c>
      <c r="Y8523" s="6">
        <v>28.84</v>
      </c>
      <c r="Z8523" s="5">
        <v>28.9</v>
      </c>
      <c r="AA8523" s="6">
        <v>18.07</v>
      </c>
      <c r="AB8523" s="7">
        <v>57.307000000000002</v>
      </c>
      <c r="AC8523" s="2"/>
    </row>
    <row r="8524" spans="1:29" ht="117" x14ac:dyDescent="0.15">
      <c r="A8524" s="3">
        <f>DATE(2007,3,22)</f>
        <v>39163</v>
      </c>
      <c r="B8524" s="3">
        <f>DATE(2007,6,11)</f>
        <v>39244</v>
      </c>
      <c r="C8524" s="2" t="s">
        <v>95</v>
      </c>
      <c r="D8524" s="2" t="s">
        <v>25337</v>
      </c>
      <c r="E8524" s="2" t="s">
        <v>25338</v>
      </c>
      <c r="F8524" s="4">
        <v>7372</v>
      </c>
      <c r="G8524" s="2" t="s">
        <v>551</v>
      </c>
      <c r="H8524" s="2" t="s">
        <v>34</v>
      </c>
      <c r="I8524" s="2" t="s">
        <v>25339</v>
      </c>
      <c r="J8524" s="2" t="s">
        <v>3197</v>
      </c>
      <c r="K8524" s="2" t="s">
        <v>53</v>
      </c>
      <c r="L8524" s="2" t="s">
        <v>34</v>
      </c>
      <c r="M8524" s="2"/>
      <c r="N8524" s="2"/>
      <c r="O8524" s="2"/>
      <c r="P8524" s="2" t="s">
        <v>25340</v>
      </c>
      <c r="Q8524" s="6">
        <v>100</v>
      </c>
      <c r="R8524" s="6">
        <v>55</v>
      </c>
      <c r="S8524" s="5">
        <v>40.9</v>
      </c>
      <c r="T8524" s="7">
        <v>99.820999999999998</v>
      </c>
      <c r="U8524" s="5">
        <v>12.3</v>
      </c>
      <c r="V8524" s="6">
        <v>1.28</v>
      </c>
      <c r="W8524" s="6">
        <v>40.61</v>
      </c>
      <c r="X8524" s="6">
        <v>45.14</v>
      </c>
      <c r="Y8524" s="6">
        <v>46.63</v>
      </c>
      <c r="Z8524" s="6">
        <v>53.11</v>
      </c>
      <c r="AA8524" s="6">
        <v>31.66</v>
      </c>
      <c r="AB8524" s="7">
        <v>31.116</v>
      </c>
      <c r="AC8524" s="2"/>
    </row>
    <row r="8525" spans="1:29" ht="91" x14ac:dyDescent="0.15">
      <c r="A8525" s="3">
        <f>DATE(2007,3,22)</f>
        <v>39163</v>
      </c>
      <c r="B8525" s="3">
        <f>DATE(2007,6,15)</f>
        <v>39248</v>
      </c>
      <c r="C8525" s="2" t="s">
        <v>95</v>
      </c>
      <c r="D8525" s="2" t="s">
        <v>10100</v>
      </c>
      <c r="E8525" s="2" t="s">
        <v>10101</v>
      </c>
      <c r="F8525" s="4">
        <v>2759</v>
      </c>
      <c r="G8525" s="2" t="s">
        <v>186</v>
      </c>
      <c r="H8525" s="2" t="s">
        <v>34</v>
      </c>
      <c r="I8525" s="2" t="s">
        <v>14556</v>
      </c>
      <c r="J8525" s="2" t="s">
        <v>14557</v>
      </c>
      <c r="K8525" s="2" t="s">
        <v>282</v>
      </c>
      <c r="L8525" s="2" t="s">
        <v>34</v>
      </c>
      <c r="M8525" s="12">
        <v>7278.384</v>
      </c>
      <c r="N8525" s="6">
        <v>65.55</v>
      </c>
      <c r="O8525" s="6">
        <v>66.430000000000007</v>
      </c>
      <c r="P8525" s="2" t="s">
        <v>25341</v>
      </c>
      <c r="Q8525" s="6">
        <v>100</v>
      </c>
      <c r="R8525" s="6">
        <v>30.5</v>
      </c>
      <c r="S8525" s="5">
        <v>56.8</v>
      </c>
      <c r="T8525" s="5">
        <v>94.1</v>
      </c>
      <c r="U8525" s="5">
        <v>13.2</v>
      </c>
      <c r="V8525" s="6">
        <v>1.36</v>
      </c>
      <c r="W8525" s="6">
        <v>23.06</v>
      </c>
      <c r="X8525" s="6">
        <v>23.82</v>
      </c>
      <c r="Y8525" s="6">
        <v>24.03</v>
      </c>
      <c r="Z8525" s="6">
        <v>28.55</v>
      </c>
      <c r="AA8525" s="6">
        <v>41.5</v>
      </c>
      <c r="AB8525" s="7">
        <v>22.135000000000002</v>
      </c>
      <c r="AC8525" s="5">
        <v>58.5</v>
      </c>
    </row>
    <row r="8526" spans="1:29" ht="117" x14ac:dyDescent="0.15">
      <c r="A8526" s="3">
        <f>DATE(2007,3,22)</f>
        <v>39163</v>
      </c>
      <c r="B8526" s="3">
        <f>DATE(2007,10,29)</f>
        <v>39384</v>
      </c>
      <c r="C8526" s="2" t="s">
        <v>95</v>
      </c>
      <c r="D8526" s="2" t="s">
        <v>25342</v>
      </c>
      <c r="E8526" s="2" t="s">
        <v>12930</v>
      </c>
      <c r="F8526" s="4">
        <v>4213</v>
      </c>
      <c r="G8526" s="2" t="s">
        <v>173</v>
      </c>
      <c r="H8526" s="2" t="s">
        <v>34</v>
      </c>
      <c r="I8526" s="2" t="s">
        <v>25343</v>
      </c>
      <c r="J8526" s="2" t="s">
        <v>25344</v>
      </c>
      <c r="K8526" s="2" t="s">
        <v>173</v>
      </c>
      <c r="L8526" s="2" t="s">
        <v>34</v>
      </c>
      <c r="M8526" s="2"/>
      <c r="N8526" s="2"/>
      <c r="O8526" s="2"/>
      <c r="P8526" s="2" t="s">
        <v>25345</v>
      </c>
      <c r="Q8526" s="6">
        <v>100</v>
      </c>
      <c r="R8526" s="6">
        <v>10.63</v>
      </c>
      <c r="S8526" s="5">
        <v>4.3</v>
      </c>
      <c r="T8526" s="7">
        <v>19.082000000000001</v>
      </c>
      <c r="U8526" s="5">
        <v>6.4</v>
      </c>
      <c r="V8526" s="6">
        <v>0.84</v>
      </c>
      <c r="W8526" s="6">
        <v>8.86</v>
      </c>
      <c r="X8526" s="6">
        <v>8.61</v>
      </c>
      <c r="Y8526" s="4">
        <v>9</v>
      </c>
      <c r="Z8526" s="6">
        <v>10.32</v>
      </c>
      <c r="AA8526" s="6">
        <v>4.99</v>
      </c>
      <c r="AB8526" s="7">
        <v>13.308</v>
      </c>
      <c r="AC8526" s="2"/>
    </row>
    <row r="8527" spans="1:29" ht="182" x14ac:dyDescent="0.15">
      <c r="A8527" s="3">
        <f>DATE(2007,3,22)</f>
        <v>39163</v>
      </c>
      <c r="B8527" s="3">
        <f>DATE(2007,8,16)</f>
        <v>39310</v>
      </c>
      <c r="C8527" s="2" t="s">
        <v>95</v>
      </c>
      <c r="D8527" s="2" t="s">
        <v>25346</v>
      </c>
      <c r="E8527" s="2" t="s">
        <v>25347</v>
      </c>
      <c r="F8527" s="4">
        <v>7375</v>
      </c>
      <c r="G8527" s="2" t="s">
        <v>223</v>
      </c>
      <c r="H8527" s="2" t="s">
        <v>34</v>
      </c>
      <c r="I8527" s="2" t="s">
        <v>51</v>
      </c>
      <c r="J8527" s="2" t="s">
        <v>52</v>
      </c>
      <c r="K8527" s="2" t="s">
        <v>53</v>
      </c>
      <c r="L8527" s="2" t="s">
        <v>34</v>
      </c>
      <c r="M8527" s="2"/>
      <c r="N8527" s="2"/>
      <c r="O8527" s="2"/>
      <c r="P8527" s="2" t="s">
        <v>25348</v>
      </c>
      <c r="Q8527" s="6">
        <v>100</v>
      </c>
      <c r="R8527" s="6">
        <v>50</v>
      </c>
      <c r="S8527" s="5">
        <v>36.5</v>
      </c>
      <c r="T8527" s="7">
        <v>104.099</v>
      </c>
      <c r="U8527" s="5">
        <v>2.9</v>
      </c>
      <c r="V8527" s="6">
        <v>3.08</v>
      </c>
      <c r="W8527" s="6">
        <v>37.950000000000003</v>
      </c>
      <c r="X8527" s="6">
        <v>40.119999999999997</v>
      </c>
      <c r="Y8527" s="6">
        <v>43.82</v>
      </c>
      <c r="Z8527" s="6">
        <v>43.99</v>
      </c>
      <c r="AA8527" s="6">
        <v>9.6999999999999993</v>
      </c>
      <c r="AB8527" s="7">
        <v>9.4760000000000009</v>
      </c>
      <c r="AC8527" s="2"/>
    </row>
    <row r="8528" spans="1:29" ht="78" x14ac:dyDescent="0.15">
      <c r="A8528" s="3">
        <f>DATE(2007,3,23)</f>
        <v>39164</v>
      </c>
      <c r="B8528" s="2"/>
      <c r="C8528" s="2" t="s">
        <v>30</v>
      </c>
      <c r="D8528" s="2" t="s">
        <v>5371</v>
      </c>
      <c r="E8528" s="2" t="s">
        <v>3526</v>
      </c>
      <c r="F8528" s="4">
        <v>3677</v>
      </c>
      <c r="G8528" s="2" t="s">
        <v>137</v>
      </c>
      <c r="H8528" s="2" t="s">
        <v>34</v>
      </c>
      <c r="I8528" s="2" t="s">
        <v>12161</v>
      </c>
      <c r="J8528" s="2" t="s">
        <v>209</v>
      </c>
      <c r="K8528" s="2" t="s">
        <v>137</v>
      </c>
      <c r="L8528" s="2" t="s">
        <v>34</v>
      </c>
      <c r="M8528" s="7">
        <v>931.96799999999996</v>
      </c>
      <c r="N8528" s="6">
        <v>25.17</v>
      </c>
      <c r="O8528" s="6">
        <v>25.64</v>
      </c>
      <c r="P8528" s="2" t="s">
        <v>25349</v>
      </c>
      <c r="Q8528" s="2"/>
      <c r="R8528" s="6">
        <v>43</v>
      </c>
      <c r="S8528" s="5">
        <v>25.2</v>
      </c>
      <c r="T8528" s="7">
        <v>31.943000000000001</v>
      </c>
      <c r="U8528" s="5">
        <v>19.399999999999999</v>
      </c>
      <c r="V8528" s="6">
        <v>2.15</v>
      </c>
      <c r="W8528" s="6">
        <v>28.78</v>
      </c>
      <c r="X8528" s="6">
        <v>29.13</v>
      </c>
      <c r="Y8528" s="4">
        <v>37</v>
      </c>
      <c r="Z8528" s="6">
        <v>37.33</v>
      </c>
      <c r="AA8528" s="6">
        <v>11.87</v>
      </c>
      <c r="AB8528" s="7">
        <v>17.434999999999999</v>
      </c>
      <c r="AC8528" s="6">
        <v>87.14</v>
      </c>
    </row>
    <row r="8529" spans="1:29" ht="182" x14ac:dyDescent="0.15">
      <c r="A8529" s="3">
        <f>DATE(2007,3,24)</f>
        <v>39165</v>
      </c>
      <c r="B8529" s="2"/>
      <c r="C8529" s="2" t="s">
        <v>30</v>
      </c>
      <c r="D8529" s="2" t="s">
        <v>25350</v>
      </c>
      <c r="E8529" s="2" t="s">
        <v>25351</v>
      </c>
      <c r="F8529" s="4">
        <v>3845</v>
      </c>
      <c r="G8529" s="2" t="s">
        <v>226</v>
      </c>
      <c r="H8529" s="2" t="s">
        <v>34</v>
      </c>
      <c r="I8529" s="2" t="s">
        <v>25352</v>
      </c>
      <c r="J8529" s="2" t="s">
        <v>25353</v>
      </c>
      <c r="K8529" s="2" t="s">
        <v>226</v>
      </c>
      <c r="L8529" s="2" t="s">
        <v>34</v>
      </c>
      <c r="M8529" s="12">
        <v>4033.1179999999999</v>
      </c>
      <c r="N8529" s="6">
        <v>62.51</v>
      </c>
      <c r="O8529" s="6">
        <v>62.51</v>
      </c>
      <c r="P8529" s="2" t="s">
        <v>25354</v>
      </c>
      <c r="Q8529" s="2"/>
      <c r="R8529" s="6">
        <v>90</v>
      </c>
      <c r="S8529" s="5">
        <v>38.700000000000003</v>
      </c>
      <c r="T8529" s="7">
        <v>84.393000000000001</v>
      </c>
      <c r="U8529" s="5">
        <v>19.100000000000001</v>
      </c>
      <c r="V8529" s="6">
        <v>2.1800000000000002</v>
      </c>
      <c r="W8529" s="6">
        <v>52.83</v>
      </c>
      <c r="X8529" s="6">
        <v>55.38</v>
      </c>
      <c r="Y8529" s="5">
        <v>83.8</v>
      </c>
      <c r="Z8529" s="5">
        <v>83.8</v>
      </c>
      <c r="AA8529" s="6">
        <v>15.97</v>
      </c>
      <c r="AB8529" s="7">
        <v>26.007000000000001</v>
      </c>
      <c r="AC8529" s="5">
        <v>89.3</v>
      </c>
    </row>
    <row r="8530" spans="1:29" ht="156" x14ac:dyDescent="0.15">
      <c r="A8530" s="3">
        <f>DATE(2007,3,26)</f>
        <v>39167</v>
      </c>
      <c r="B8530" s="3">
        <f>DATE(2007,7,31)</f>
        <v>39294</v>
      </c>
      <c r="C8530" s="2" t="s">
        <v>95</v>
      </c>
      <c r="D8530" s="2" t="s">
        <v>25355</v>
      </c>
      <c r="E8530" s="2" t="s">
        <v>6321</v>
      </c>
      <c r="F8530" s="4">
        <v>6798</v>
      </c>
      <c r="G8530" s="2" t="s">
        <v>53</v>
      </c>
      <c r="H8530" s="2" t="s">
        <v>34</v>
      </c>
      <c r="I8530" s="2" t="s">
        <v>25356</v>
      </c>
      <c r="J8530" s="2" t="s">
        <v>92</v>
      </c>
      <c r="K8530" s="2" t="s">
        <v>53</v>
      </c>
      <c r="L8530" s="2" t="s">
        <v>34</v>
      </c>
      <c r="M8530" s="7">
        <v>171.00200000000001</v>
      </c>
      <c r="N8530" s="6">
        <v>8.7200000000000006</v>
      </c>
      <c r="O8530" s="6">
        <v>8.5500000000000007</v>
      </c>
      <c r="P8530" s="2" t="s">
        <v>25357</v>
      </c>
      <c r="Q8530" s="6">
        <v>100</v>
      </c>
      <c r="R8530" s="6">
        <v>5.74</v>
      </c>
      <c r="S8530" s="5">
        <v>0.4</v>
      </c>
      <c r="T8530" s="6">
        <v>2.1800000000000002</v>
      </c>
      <c r="U8530" s="5">
        <v>3.9</v>
      </c>
      <c r="V8530" s="6">
        <v>7.0000000000000007E-2</v>
      </c>
      <c r="W8530" s="6">
        <v>5.75</v>
      </c>
      <c r="X8530" s="6">
        <v>5.62</v>
      </c>
      <c r="Y8530" s="6">
        <v>5.66</v>
      </c>
      <c r="Z8530" s="6">
        <v>5.53</v>
      </c>
      <c r="AA8530" s="6">
        <v>5.73</v>
      </c>
      <c r="AB8530" s="7">
        <v>145.321</v>
      </c>
      <c r="AC8530" s="6">
        <v>14.26</v>
      </c>
    </row>
    <row r="8531" spans="1:29" ht="221" x14ac:dyDescent="0.15">
      <c r="A8531" s="3">
        <f>DATE(2007,3,26)</f>
        <v>39167</v>
      </c>
      <c r="B8531" s="2"/>
      <c r="C8531" s="2" t="s">
        <v>30</v>
      </c>
      <c r="D8531" s="2" t="s">
        <v>9560</v>
      </c>
      <c r="E8531" s="2" t="s">
        <v>9561</v>
      </c>
      <c r="F8531" s="4">
        <v>7011</v>
      </c>
      <c r="G8531" s="2" t="s">
        <v>269</v>
      </c>
      <c r="H8531" s="2" t="s">
        <v>34</v>
      </c>
      <c r="I8531" s="2" t="s">
        <v>23962</v>
      </c>
      <c r="J8531" s="2" t="s">
        <v>1072</v>
      </c>
      <c r="K8531" s="2" t="s">
        <v>53</v>
      </c>
      <c r="L8531" s="2" t="s">
        <v>34</v>
      </c>
      <c r="M8531" s="2"/>
      <c r="N8531" s="2"/>
      <c r="O8531" s="2"/>
      <c r="P8531" s="2" t="s">
        <v>25358</v>
      </c>
      <c r="Q8531" s="2"/>
      <c r="R8531" s="6">
        <v>34</v>
      </c>
      <c r="S8531" s="5">
        <v>0.9</v>
      </c>
      <c r="T8531" s="7">
        <v>40.531999999999996</v>
      </c>
      <c r="U8531" s="5">
        <v>-2.2000000000000002</v>
      </c>
      <c r="V8531" s="6">
        <v>7.0000000000000007E-2</v>
      </c>
      <c r="W8531" s="6">
        <v>20.37</v>
      </c>
      <c r="X8531" s="6">
        <v>25.47</v>
      </c>
      <c r="Y8531" s="5">
        <v>28.1</v>
      </c>
      <c r="Z8531" s="5">
        <v>27.8</v>
      </c>
      <c r="AA8531" s="6">
        <v>12.46</v>
      </c>
      <c r="AB8531" s="7">
        <v>22.064</v>
      </c>
      <c r="AC8531" s="2"/>
    </row>
    <row r="8532" spans="1:29" ht="65" x14ac:dyDescent="0.15">
      <c r="A8532" s="3">
        <f>DATE(2007,3,27)</f>
        <v>39168</v>
      </c>
      <c r="B8532" s="3">
        <f>DATE(2007,7,21)</f>
        <v>39284</v>
      </c>
      <c r="C8532" s="2" t="s">
        <v>95</v>
      </c>
      <c r="D8532" s="2" t="s">
        <v>25359</v>
      </c>
      <c r="E8532" s="2" t="s">
        <v>16918</v>
      </c>
      <c r="F8532" s="4">
        <v>3398</v>
      </c>
      <c r="G8532" s="2" t="s">
        <v>163</v>
      </c>
      <c r="H8532" s="2" t="s">
        <v>34</v>
      </c>
      <c r="I8532" s="2" t="s">
        <v>25360</v>
      </c>
      <c r="J8532" s="2" t="s">
        <v>1620</v>
      </c>
      <c r="K8532" s="2" t="s">
        <v>53</v>
      </c>
      <c r="L8532" s="2" t="s">
        <v>34</v>
      </c>
      <c r="M8532" s="2"/>
      <c r="N8532" s="2"/>
      <c r="O8532" s="2"/>
      <c r="P8532" s="2" t="s">
        <v>25361</v>
      </c>
      <c r="Q8532" s="6">
        <v>99.99</v>
      </c>
      <c r="R8532" s="6">
        <v>2.7</v>
      </c>
      <c r="S8532" s="5">
        <v>1.2</v>
      </c>
      <c r="T8532" s="7">
        <v>2.4390000000000001</v>
      </c>
      <c r="U8532" s="5">
        <v>2.8</v>
      </c>
      <c r="V8532" s="6">
        <v>0.4</v>
      </c>
      <c r="W8532" s="6">
        <v>2.75</v>
      </c>
      <c r="X8532" s="6">
        <v>2.75</v>
      </c>
      <c r="Y8532" s="6">
        <v>2.75</v>
      </c>
      <c r="Z8532" s="5">
        <v>2.7</v>
      </c>
      <c r="AA8532" s="6">
        <v>2.72</v>
      </c>
      <c r="AB8532" s="7">
        <v>3.383</v>
      </c>
      <c r="AC8532" s="2"/>
    </row>
    <row r="8533" spans="1:29" ht="39" x14ac:dyDescent="0.15">
      <c r="A8533" s="3">
        <f>DATE(2007,3,27)</f>
        <v>39168</v>
      </c>
      <c r="B8533" s="2"/>
      <c r="C8533" s="2" t="s">
        <v>39</v>
      </c>
      <c r="D8533" s="2" t="s">
        <v>25362</v>
      </c>
      <c r="E8533" s="2" t="s">
        <v>25363</v>
      </c>
      <c r="F8533" s="4">
        <v>2834</v>
      </c>
      <c r="G8533" s="2" t="s">
        <v>130</v>
      </c>
      <c r="H8533" s="2" t="s">
        <v>34</v>
      </c>
      <c r="I8533" s="2" t="s">
        <v>143</v>
      </c>
      <c r="J8533" s="2" t="s">
        <v>144</v>
      </c>
      <c r="K8533" s="2" t="s">
        <v>53</v>
      </c>
      <c r="L8533" s="2" t="s">
        <v>139</v>
      </c>
      <c r="M8533" s="2"/>
      <c r="N8533" s="2"/>
      <c r="O8533" s="2"/>
      <c r="P8533" s="2" t="s">
        <v>25364</v>
      </c>
      <c r="Q8533" s="2"/>
      <c r="R8533" s="2"/>
      <c r="S8533" s="5">
        <v>111.8</v>
      </c>
      <c r="T8533" s="7">
        <v>244.858</v>
      </c>
      <c r="U8533" s="5">
        <v>12.5</v>
      </c>
      <c r="V8533" s="6">
        <v>1.62</v>
      </c>
      <c r="W8533" s="6">
        <v>49.19</v>
      </c>
      <c r="X8533" s="6">
        <v>50.54</v>
      </c>
      <c r="Y8533" s="6">
        <v>48.68</v>
      </c>
      <c r="Z8533" s="6">
        <v>52.56</v>
      </c>
      <c r="AA8533" s="6">
        <v>67.22</v>
      </c>
      <c r="AB8533" s="2" t="s">
        <v>47</v>
      </c>
      <c r="AC8533" s="2"/>
    </row>
    <row r="8534" spans="1:29" ht="143" x14ac:dyDescent="0.15">
      <c r="A8534" s="3">
        <f>DATE(2007,3,28)</f>
        <v>39169</v>
      </c>
      <c r="B8534" s="3">
        <f>DATE(2007,7,23)</f>
        <v>39286</v>
      </c>
      <c r="C8534" s="2" t="s">
        <v>95</v>
      </c>
      <c r="D8534" s="2" t="s">
        <v>25365</v>
      </c>
      <c r="E8534" s="2" t="s">
        <v>159</v>
      </c>
      <c r="F8534" s="4">
        <v>6021</v>
      </c>
      <c r="G8534" s="2" t="s">
        <v>37</v>
      </c>
      <c r="H8534" s="2" t="s">
        <v>34</v>
      </c>
      <c r="I8534" s="2" t="s">
        <v>22032</v>
      </c>
      <c r="J8534" s="2" t="s">
        <v>36</v>
      </c>
      <c r="K8534" s="2" t="s">
        <v>37</v>
      </c>
      <c r="L8534" s="2" t="s">
        <v>34</v>
      </c>
      <c r="M8534" s="7">
        <v>542.91300000000001</v>
      </c>
      <c r="N8534" s="6">
        <v>33.53</v>
      </c>
      <c r="O8534" s="6">
        <v>33.78</v>
      </c>
      <c r="P8534" s="2" t="s">
        <v>25366</v>
      </c>
      <c r="Q8534" s="6">
        <v>100</v>
      </c>
      <c r="R8534" s="6">
        <v>25</v>
      </c>
      <c r="S8534" s="5">
        <v>2.2000000000000002</v>
      </c>
      <c r="T8534" s="6">
        <v>3.56</v>
      </c>
      <c r="U8534" s="5">
        <v>9.6999999999999993</v>
      </c>
      <c r="V8534" s="6">
        <v>0.91</v>
      </c>
      <c r="W8534" s="4">
        <v>22</v>
      </c>
      <c r="X8534" s="4">
        <v>22</v>
      </c>
      <c r="Y8534" s="6">
        <v>22.37</v>
      </c>
      <c r="Z8534" s="6">
        <v>22.37</v>
      </c>
      <c r="AA8534" s="6">
        <v>2.3199999999999998</v>
      </c>
      <c r="AB8534" s="7">
        <v>19.145</v>
      </c>
      <c r="AC8534" s="2"/>
    </row>
    <row r="8535" spans="1:29" ht="182" x14ac:dyDescent="0.15">
      <c r="A8535" s="3">
        <f>DATE(2007,3,28)</f>
        <v>39169</v>
      </c>
      <c r="B8535" s="3">
        <f>DATE(2007,7,23)</f>
        <v>39286</v>
      </c>
      <c r="C8535" s="2" t="s">
        <v>95</v>
      </c>
      <c r="D8535" s="2" t="s">
        <v>25367</v>
      </c>
      <c r="E8535" s="2" t="s">
        <v>159</v>
      </c>
      <c r="F8535" s="4">
        <v>6021</v>
      </c>
      <c r="G8535" s="2" t="s">
        <v>37</v>
      </c>
      <c r="H8535" s="2" t="s">
        <v>34</v>
      </c>
      <c r="I8535" s="2" t="s">
        <v>22032</v>
      </c>
      <c r="J8535" s="2" t="s">
        <v>36</v>
      </c>
      <c r="K8535" s="2" t="s">
        <v>37</v>
      </c>
      <c r="L8535" s="2" t="s">
        <v>34</v>
      </c>
      <c r="M8535" s="7">
        <v>542.91300000000001</v>
      </c>
      <c r="N8535" s="6">
        <v>33.53</v>
      </c>
      <c r="O8535" s="6">
        <v>33.78</v>
      </c>
      <c r="P8535" s="2" t="s">
        <v>25368</v>
      </c>
      <c r="Q8535" s="6">
        <v>100</v>
      </c>
      <c r="R8535" s="6">
        <v>20.8</v>
      </c>
      <c r="S8535" s="2"/>
      <c r="T8535" s="2"/>
      <c r="U8535" s="2"/>
      <c r="V8535" s="2"/>
      <c r="W8535" s="5">
        <v>16.5</v>
      </c>
      <c r="X8535" s="4">
        <v>17</v>
      </c>
      <c r="Y8535" s="4">
        <v>17</v>
      </c>
      <c r="Z8535" s="6">
        <v>20.11</v>
      </c>
      <c r="AA8535" s="6">
        <v>2.0099999999999998</v>
      </c>
      <c r="AB8535" s="2" t="s">
        <v>47</v>
      </c>
      <c r="AC8535" s="2"/>
    </row>
    <row r="8536" spans="1:29" ht="130" x14ac:dyDescent="0.15">
      <c r="A8536" s="3">
        <f>DATE(2007,3,29)</f>
        <v>39170</v>
      </c>
      <c r="B8536" s="2"/>
      <c r="C8536" s="2" t="s">
        <v>30</v>
      </c>
      <c r="D8536" s="2" t="s">
        <v>23325</v>
      </c>
      <c r="E8536" s="2" t="s">
        <v>23326</v>
      </c>
      <c r="F8536" s="4">
        <v>7822</v>
      </c>
      <c r="G8536" s="2" t="s">
        <v>42</v>
      </c>
      <c r="H8536" s="2" t="s">
        <v>34</v>
      </c>
      <c r="I8536" s="2" t="s">
        <v>25369</v>
      </c>
      <c r="J8536" s="2" t="s">
        <v>11337</v>
      </c>
      <c r="K8536" s="2" t="s">
        <v>53</v>
      </c>
      <c r="L8536" s="2" t="s">
        <v>34</v>
      </c>
      <c r="M8536" s="2"/>
      <c r="N8536" s="2"/>
      <c r="O8536" s="2"/>
      <c r="P8536" s="2" t="s">
        <v>25370</v>
      </c>
      <c r="Q8536" s="2"/>
      <c r="R8536" s="6">
        <v>4.4000000000000004</v>
      </c>
      <c r="S8536" s="5">
        <v>-9.8000000000000007</v>
      </c>
      <c r="T8536" s="7">
        <v>-4.3319999999999999</v>
      </c>
      <c r="U8536" s="5">
        <v>1.5</v>
      </c>
      <c r="V8536" s="6">
        <v>-0.46</v>
      </c>
      <c r="W8536" s="6">
        <v>3.19</v>
      </c>
      <c r="X8536" s="5">
        <v>3.4</v>
      </c>
      <c r="Y8536" s="6">
        <v>3.46</v>
      </c>
      <c r="Z8536" s="6">
        <v>4.1900000000000004</v>
      </c>
      <c r="AA8536" s="6">
        <v>21.58</v>
      </c>
      <c r="AB8536" s="2" t="s">
        <v>86</v>
      </c>
      <c r="AC8536" s="2"/>
    </row>
    <row r="8537" spans="1:29" ht="91" x14ac:dyDescent="0.15">
      <c r="A8537" s="3">
        <f>DATE(2007,3,29)</f>
        <v>39170</v>
      </c>
      <c r="B8537" s="3">
        <f>DATE(2007,6,14)</f>
        <v>39247</v>
      </c>
      <c r="C8537" s="2" t="s">
        <v>95</v>
      </c>
      <c r="D8537" s="2" t="s">
        <v>11243</v>
      </c>
      <c r="E8537" s="2" t="s">
        <v>11244</v>
      </c>
      <c r="F8537" s="4">
        <v>3317</v>
      </c>
      <c r="G8537" s="2" t="s">
        <v>163</v>
      </c>
      <c r="H8537" s="2" t="s">
        <v>34</v>
      </c>
      <c r="I8537" s="2" t="s">
        <v>19654</v>
      </c>
      <c r="J8537" s="2" t="s">
        <v>19655</v>
      </c>
      <c r="K8537" s="2" t="s">
        <v>163</v>
      </c>
      <c r="L8537" s="2" t="s">
        <v>34</v>
      </c>
      <c r="M8537" s="12">
        <v>10394.928</v>
      </c>
      <c r="N8537" s="6">
        <v>101.22</v>
      </c>
      <c r="O8537" s="6">
        <v>99.17</v>
      </c>
      <c r="P8537" s="2" t="s">
        <v>25371</v>
      </c>
      <c r="Q8537" s="6">
        <v>100</v>
      </c>
      <c r="R8537" s="6">
        <v>67.5</v>
      </c>
      <c r="S8537" s="5">
        <v>108.2</v>
      </c>
      <c r="T8537" s="5">
        <v>201.6</v>
      </c>
      <c r="U8537" s="5">
        <v>24.4</v>
      </c>
      <c r="V8537" s="6">
        <v>3.47</v>
      </c>
      <c r="W8537" s="6">
        <v>48.82</v>
      </c>
      <c r="X8537" s="6">
        <v>48.45</v>
      </c>
      <c r="Y8537" s="6">
        <v>66.11</v>
      </c>
      <c r="Z8537" s="6">
        <v>66.03</v>
      </c>
      <c r="AA8537" s="6">
        <v>30.64</v>
      </c>
      <c r="AB8537" s="7">
        <v>11.375</v>
      </c>
      <c r="AC8537" s="8">
        <v>1422</v>
      </c>
    </row>
    <row r="8538" spans="1:29" ht="130" x14ac:dyDescent="0.15">
      <c r="A8538" s="3">
        <f>DATE(2007,4,1)</f>
        <v>39173</v>
      </c>
      <c r="B8538" s="3">
        <f>DATE(2007,7,18)</f>
        <v>39281</v>
      </c>
      <c r="C8538" s="2" t="s">
        <v>95</v>
      </c>
      <c r="D8538" s="2" t="s">
        <v>21163</v>
      </c>
      <c r="E8538" s="2" t="s">
        <v>21164</v>
      </c>
      <c r="F8538" s="4">
        <v>7372</v>
      </c>
      <c r="G8538" s="2" t="s">
        <v>551</v>
      </c>
      <c r="H8538" s="2" t="s">
        <v>34</v>
      </c>
      <c r="I8538" s="2" t="s">
        <v>25372</v>
      </c>
      <c r="J8538" s="2" t="s">
        <v>1032</v>
      </c>
      <c r="K8538" s="2" t="s">
        <v>53</v>
      </c>
      <c r="L8538" s="2" t="s">
        <v>34</v>
      </c>
      <c r="M8538" s="2"/>
      <c r="N8538" s="2"/>
      <c r="O8538" s="2"/>
      <c r="P8538" s="2" t="s">
        <v>25373</v>
      </c>
      <c r="Q8538" s="6">
        <v>100</v>
      </c>
      <c r="R8538" s="6">
        <v>3.2</v>
      </c>
      <c r="S8538" s="5">
        <v>-8</v>
      </c>
      <c r="T8538" s="7">
        <v>1.1559999999999999</v>
      </c>
      <c r="U8538" s="5">
        <v>2.2000000000000002</v>
      </c>
      <c r="V8538" s="6">
        <v>-0.19</v>
      </c>
      <c r="W8538" s="6">
        <v>2.5099999999999998</v>
      </c>
      <c r="X8538" s="6">
        <v>2.5499999999999998</v>
      </c>
      <c r="Y8538" s="6">
        <v>2.95</v>
      </c>
      <c r="Z8538" s="6">
        <v>2.95</v>
      </c>
      <c r="AA8538" s="6">
        <v>42.27</v>
      </c>
      <c r="AB8538" s="2" t="s">
        <v>86</v>
      </c>
      <c r="AC8538" s="2"/>
    </row>
    <row r="8539" spans="1:29" ht="117" x14ac:dyDescent="0.15">
      <c r="A8539" s="3">
        <f>DATE(2007,4,2)</f>
        <v>39174</v>
      </c>
      <c r="B8539" s="3">
        <f>DATE(2007,9,24)</f>
        <v>39349</v>
      </c>
      <c r="C8539" s="2" t="s">
        <v>95</v>
      </c>
      <c r="D8539" s="2" t="s">
        <v>6356</v>
      </c>
      <c r="E8539" s="2" t="s">
        <v>6357</v>
      </c>
      <c r="F8539" s="4">
        <v>7389</v>
      </c>
      <c r="G8539" s="2" t="s">
        <v>223</v>
      </c>
      <c r="H8539" s="2" t="s">
        <v>34</v>
      </c>
      <c r="I8539" s="2" t="s">
        <v>1626</v>
      </c>
      <c r="J8539" s="2" t="s">
        <v>244</v>
      </c>
      <c r="K8539" s="2" t="s">
        <v>53</v>
      </c>
      <c r="L8539" s="2" t="s">
        <v>34</v>
      </c>
      <c r="M8539" s="2"/>
      <c r="N8539" s="2"/>
      <c r="O8539" s="2"/>
      <c r="P8539" s="2" t="s">
        <v>25374</v>
      </c>
      <c r="Q8539" s="6">
        <v>100</v>
      </c>
      <c r="R8539" s="6">
        <v>34</v>
      </c>
      <c r="S8539" s="5">
        <v>847.7</v>
      </c>
      <c r="T8539" s="8">
        <v>1786.6</v>
      </c>
      <c r="U8539" s="5">
        <v>13.5</v>
      </c>
      <c r="V8539" s="6">
        <v>1.0900000000000001</v>
      </c>
      <c r="W8539" s="5">
        <v>26.5</v>
      </c>
      <c r="X8539" s="5">
        <v>26.9</v>
      </c>
      <c r="Y8539" s="6">
        <v>32.450000000000003</v>
      </c>
      <c r="Z8539" s="6">
        <v>32.33</v>
      </c>
      <c r="AA8539" s="6">
        <v>754.9</v>
      </c>
      <c r="AB8539" s="7">
        <v>24.832999999999998</v>
      </c>
      <c r="AC8539" s="2"/>
    </row>
    <row r="8540" spans="1:29" ht="143" x14ac:dyDescent="0.15">
      <c r="A8540" s="3">
        <f>DATE(2007,4,2)</f>
        <v>39174</v>
      </c>
      <c r="B8540" s="3">
        <f>DATE(2007,5,11)</f>
        <v>39213</v>
      </c>
      <c r="C8540" s="2" t="s">
        <v>95</v>
      </c>
      <c r="D8540" s="2" t="s">
        <v>25375</v>
      </c>
      <c r="E8540" s="2" t="s">
        <v>25376</v>
      </c>
      <c r="F8540" s="4">
        <v>5044</v>
      </c>
      <c r="G8540" s="2" t="s">
        <v>76</v>
      </c>
      <c r="H8540" s="2" t="s">
        <v>34</v>
      </c>
      <c r="I8540" s="2" t="s">
        <v>11637</v>
      </c>
      <c r="J8540" s="2" t="s">
        <v>11638</v>
      </c>
      <c r="K8540" s="2" t="s">
        <v>50</v>
      </c>
      <c r="L8540" s="2" t="s">
        <v>34</v>
      </c>
      <c r="M8540" s="12">
        <v>15898.084000000001</v>
      </c>
      <c r="N8540" s="6">
        <v>17.079999999999998</v>
      </c>
      <c r="O8540" s="6">
        <v>17.16</v>
      </c>
      <c r="P8540" s="2" t="s">
        <v>25377</v>
      </c>
      <c r="Q8540" s="6">
        <v>100</v>
      </c>
      <c r="R8540" s="6">
        <v>29</v>
      </c>
      <c r="S8540" s="5">
        <v>67</v>
      </c>
      <c r="T8540" s="7">
        <v>140.37200000000001</v>
      </c>
      <c r="U8540" s="5">
        <v>10.3</v>
      </c>
      <c r="V8540" s="7">
        <v>1.3049999999999999</v>
      </c>
      <c r="W8540" s="6">
        <v>19.89</v>
      </c>
      <c r="X8540" s="5">
        <v>19.5</v>
      </c>
      <c r="Y8540" s="6">
        <v>28.64</v>
      </c>
      <c r="Z8540" s="6">
        <v>28.63</v>
      </c>
      <c r="AA8540" s="6">
        <v>50.32</v>
      </c>
      <c r="AB8540" s="7">
        <v>13.773999999999999</v>
      </c>
      <c r="AC8540" s="8">
        <v>1283</v>
      </c>
    </row>
    <row r="8541" spans="1:29" ht="117" x14ac:dyDescent="0.15">
      <c r="A8541" s="3">
        <f>DATE(2007,4,2)</f>
        <v>39174</v>
      </c>
      <c r="B8541" s="3">
        <f>DATE(2007,12,20)</f>
        <v>39436</v>
      </c>
      <c r="C8541" s="2" t="s">
        <v>95</v>
      </c>
      <c r="D8541" s="2" t="s">
        <v>8202</v>
      </c>
      <c r="E8541" s="2" t="s">
        <v>4673</v>
      </c>
      <c r="F8541" s="4">
        <v>2711</v>
      </c>
      <c r="G8541" s="2" t="s">
        <v>186</v>
      </c>
      <c r="H8541" s="2" t="s">
        <v>34</v>
      </c>
      <c r="I8541" s="2" t="s">
        <v>25378</v>
      </c>
      <c r="J8541" s="2" t="s">
        <v>150</v>
      </c>
      <c r="K8541" s="2" t="s">
        <v>53</v>
      </c>
      <c r="L8541" s="2" t="s">
        <v>34</v>
      </c>
      <c r="M8541" s="2"/>
      <c r="N8541" s="2"/>
      <c r="O8541" s="2"/>
      <c r="P8541" s="2" t="s">
        <v>25379</v>
      </c>
      <c r="Q8541" s="6">
        <v>47.54</v>
      </c>
      <c r="R8541" s="6">
        <v>34</v>
      </c>
      <c r="S8541" s="5">
        <v>534.79999999999995</v>
      </c>
      <c r="T8541" s="12">
        <v>1277.6289999999999</v>
      </c>
      <c r="U8541" s="5">
        <v>17.7</v>
      </c>
      <c r="V8541" s="6">
        <v>2.0699999999999998</v>
      </c>
      <c r="W8541" s="6">
        <v>31.12</v>
      </c>
      <c r="X8541" s="6">
        <v>32.11</v>
      </c>
      <c r="Y8541" s="6">
        <v>32.81</v>
      </c>
      <c r="Z8541" s="6">
        <v>32.68</v>
      </c>
      <c r="AA8541" s="6">
        <v>240.2</v>
      </c>
      <c r="AB8541" s="7">
        <v>12.532999999999999</v>
      </c>
      <c r="AC8541" s="2"/>
    </row>
    <row r="8542" spans="1:29" ht="182" x14ac:dyDescent="0.15">
      <c r="A8542" s="3">
        <f>DATE(2007,4,2)</f>
        <v>39174</v>
      </c>
      <c r="B8542" s="3">
        <f>DATE(2007,5,31)</f>
        <v>39233</v>
      </c>
      <c r="C8542" s="2" t="s">
        <v>95</v>
      </c>
      <c r="D8542" s="2" t="s">
        <v>8202</v>
      </c>
      <c r="E8542" s="2" t="s">
        <v>4673</v>
      </c>
      <c r="F8542" s="4">
        <v>2711</v>
      </c>
      <c r="G8542" s="2" t="s">
        <v>186</v>
      </c>
      <c r="H8542" s="2" t="s">
        <v>34</v>
      </c>
      <c r="I8542" s="2" t="s">
        <v>25378</v>
      </c>
      <c r="J8542" s="2" t="s">
        <v>150</v>
      </c>
      <c r="K8542" s="2" t="s">
        <v>53</v>
      </c>
      <c r="L8542" s="2" t="s">
        <v>34</v>
      </c>
      <c r="M8542" s="2"/>
      <c r="N8542" s="2"/>
      <c r="O8542" s="2"/>
      <c r="P8542" s="2" t="s">
        <v>25380</v>
      </c>
      <c r="Q8542" s="6">
        <v>52.46</v>
      </c>
      <c r="R8542" s="6">
        <v>34</v>
      </c>
      <c r="S8542" s="5">
        <v>534.79999999999995</v>
      </c>
      <c r="T8542" s="12">
        <v>1277.6289999999999</v>
      </c>
      <c r="U8542" s="5">
        <v>17.7</v>
      </c>
      <c r="V8542" s="6">
        <v>2.0699999999999998</v>
      </c>
      <c r="W8542" s="6">
        <v>31.25</v>
      </c>
      <c r="X8542" s="6">
        <v>30.69</v>
      </c>
      <c r="Y8542" s="6">
        <v>32.049999999999997</v>
      </c>
      <c r="Z8542" s="6">
        <v>33.99</v>
      </c>
      <c r="AA8542" s="6">
        <v>240.2</v>
      </c>
      <c r="AB8542" s="7">
        <v>12.45</v>
      </c>
      <c r="AC8542" s="2"/>
    </row>
    <row r="8543" spans="1:29" ht="104" x14ac:dyDescent="0.15">
      <c r="A8543" s="3">
        <f>DATE(2007,4,3)</f>
        <v>39175</v>
      </c>
      <c r="B8543" s="3">
        <f>DATE(2007,6,25)</f>
        <v>39258</v>
      </c>
      <c r="C8543" s="2" t="s">
        <v>95</v>
      </c>
      <c r="D8543" s="2" t="s">
        <v>25381</v>
      </c>
      <c r="E8543" s="2" t="s">
        <v>23906</v>
      </c>
      <c r="F8543" s="4">
        <v>4613</v>
      </c>
      <c r="G8543" s="2" t="s">
        <v>148</v>
      </c>
      <c r="H8543" s="2" t="s">
        <v>34</v>
      </c>
      <c r="I8543" s="2" t="s">
        <v>25382</v>
      </c>
      <c r="J8543" s="2" t="s">
        <v>11337</v>
      </c>
      <c r="K8543" s="2" t="s">
        <v>53</v>
      </c>
      <c r="L8543" s="2" t="s">
        <v>34</v>
      </c>
      <c r="M8543" s="2"/>
      <c r="N8543" s="2"/>
      <c r="O8543" s="2"/>
      <c r="P8543" s="2" t="s">
        <v>25383</v>
      </c>
      <c r="Q8543" s="6">
        <v>62</v>
      </c>
      <c r="R8543" s="2"/>
      <c r="S8543" s="5">
        <v>6.3</v>
      </c>
      <c r="T8543" s="7">
        <v>214.274</v>
      </c>
      <c r="U8543" s="5">
        <v>8.5</v>
      </c>
      <c r="V8543" s="6">
        <v>0.3</v>
      </c>
      <c r="W8543" s="5">
        <v>20.7</v>
      </c>
      <c r="X8543" s="6">
        <v>20.59</v>
      </c>
      <c r="Y8543" s="6">
        <v>20.43</v>
      </c>
      <c r="Z8543" s="6">
        <v>21.86</v>
      </c>
      <c r="AA8543" s="6">
        <v>26.94</v>
      </c>
      <c r="AB8543" s="2" t="s">
        <v>47</v>
      </c>
      <c r="AC8543" s="2"/>
    </row>
    <row r="8544" spans="1:29" ht="104" x14ac:dyDescent="0.15">
      <c r="A8544" s="3">
        <f>DATE(2007,4,4)</f>
        <v>39176</v>
      </c>
      <c r="B8544" s="3">
        <f>DATE(2007,6,11)</f>
        <v>39244</v>
      </c>
      <c r="C8544" s="2" t="s">
        <v>95</v>
      </c>
      <c r="D8544" s="2" t="s">
        <v>25060</v>
      </c>
      <c r="E8544" s="2" t="s">
        <v>25061</v>
      </c>
      <c r="F8544" s="4">
        <v>7361</v>
      </c>
      <c r="G8544" s="2" t="s">
        <v>223</v>
      </c>
      <c r="H8544" s="2" t="s">
        <v>34</v>
      </c>
      <c r="I8544" s="2" t="s">
        <v>25384</v>
      </c>
      <c r="J8544" s="2" t="s">
        <v>18513</v>
      </c>
      <c r="K8544" s="2" t="s">
        <v>223</v>
      </c>
      <c r="L8544" s="2" t="s">
        <v>34</v>
      </c>
      <c r="M8544" s="2"/>
      <c r="N8544" s="2"/>
      <c r="O8544" s="2"/>
      <c r="P8544" s="2" t="s">
        <v>25385</v>
      </c>
      <c r="Q8544" s="6">
        <v>100</v>
      </c>
      <c r="R8544" s="6">
        <v>11</v>
      </c>
      <c r="S8544" s="5">
        <v>0.7</v>
      </c>
      <c r="T8544" s="7">
        <v>1.988</v>
      </c>
      <c r="U8544" s="5">
        <v>6.1</v>
      </c>
      <c r="V8544" s="6">
        <v>0.23</v>
      </c>
      <c r="W8544" s="6">
        <v>7.39</v>
      </c>
      <c r="X8544" s="5">
        <v>7.4</v>
      </c>
      <c r="Y8544" s="6">
        <v>10.75</v>
      </c>
      <c r="Z8544" s="6">
        <v>10.75</v>
      </c>
      <c r="AA8544" s="6">
        <v>2.93</v>
      </c>
      <c r="AB8544" s="7">
        <v>26.100999999999999</v>
      </c>
      <c r="AC8544" s="2"/>
    </row>
    <row r="8545" spans="1:29" ht="117" x14ac:dyDescent="0.15">
      <c r="A8545" s="3">
        <f>DATE(2007,4,4)</f>
        <v>39176</v>
      </c>
      <c r="B8545" s="3">
        <f>DATE(2007,6,26)</f>
        <v>39259</v>
      </c>
      <c r="C8545" s="2" t="s">
        <v>95</v>
      </c>
      <c r="D8545" s="2" t="s">
        <v>25386</v>
      </c>
      <c r="E8545" s="2" t="s">
        <v>25387</v>
      </c>
      <c r="F8545" s="4">
        <v>2835</v>
      </c>
      <c r="G8545" s="2" t="s">
        <v>130</v>
      </c>
      <c r="H8545" s="2" t="s">
        <v>34</v>
      </c>
      <c r="I8545" s="2" t="s">
        <v>25388</v>
      </c>
      <c r="J8545" s="2" t="s">
        <v>25389</v>
      </c>
      <c r="K8545" s="2" t="s">
        <v>130</v>
      </c>
      <c r="L8545" s="2" t="s">
        <v>34</v>
      </c>
      <c r="M8545" s="2"/>
      <c r="N8545" s="2"/>
      <c r="O8545" s="2"/>
      <c r="P8545" s="2" t="s">
        <v>25390</v>
      </c>
      <c r="Q8545" s="6">
        <v>100</v>
      </c>
      <c r="R8545" s="6">
        <v>21.5</v>
      </c>
      <c r="S8545" s="5">
        <v>-30.5</v>
      </c>
      <c r="T8545" s="7">
        <v>-26.414999999999999</v>
      </c>
      <c r="U8545" s="5">
        <v>2.2000000000000002</v>
      </c>
      <c r="V8545" s="6">
        <v>-1.1299999999999999</v>
      </c>
      <c r="W8545" s="6">
        <v>13.36</v>
      </c>
      <c r="X8545" s="5">
        <v>13.6</v>
      </c>
      <c r="Y8545" s="6">
        <v>20.66</v>
      </c>
      <c r="Z8545" s="6">
        <v>20.65</v>
      </c>
      <c r="AA8545" s="6">
        <v>27.25</v>
      </c>
      <c r="AB8545" s="2" t="s">
        <v>86</v>
      </c>
      <c r="AC8545" s="2"/>
    </row>
    <row r="8546" spans="1:29" ht="247" x14ac:dyDescent="0.15">
      <c r="A8546" s="3">
        <f>DATE(2007,4,4)</f>
        <v>39176</v>
      </c>
      <c r="B8546" s="3">
        <f>DATE(2007,6,29)</f>
        <v>39262</v>
      </c>
      <c r="C8546" s="2" t="s">
        <v>95</v>
      </c>
      <c r="D8546" s="2" t="s">
        <v>25350</v>
      </c>
      <c r="E8546" s="2" t="s">
        <v>25351</v>
      </c>
      <c r="F8546" s="4">
        <v>3845</v>
      </c>
      <c r="G8546" s="2" t="s">
        <v>226</v>
      </c>
      <c r="H8546" s="2" t="s">
        <v>34</v>
      </c>
      <c r="I8546" s="2" t="s">
        <v>20285</v>
      </c>
      <c r="J8546" s="2" t="s">
        <v>20286</v>
      </c>
      <c r="K8546" s="2" t="s">
        <v>130</v>
      </c>
      <c r="L8546" s="2" t="s">
        <v>34</v>
      </c>
      <c r="M8546" s="12">
        <v>1922.624</v>
      </c>
      <c r="N8546" s="6">
        <v>44.81</v>
      </c>
      <c r="O8546" s="6">
        <v>41.82</v>
      </c>
      <c r="P8546" s="2" t="s">
        <v>25391</v>
      </c>
      <c r="Q8546" s="6">
        <v>96.15</v>
      </c>
      <c r="R8546" s="6">
        <v>92.5</v>
      </c>
      <c r="S8546" s="5">
        <v>38.700000000000003</v>
      </c>
      <c r="T8546" s="7">
        <v>84.393000000000001</v>
      </c>
      <c r="U8546" s="5">
        <v>19.100000000000001</v>
      </c>
      <c r="V8546" s="6">
        <v>2.1800000000000002</v>
      </c>
      <c r="W8546" s="6">
        <v>52.83</v>
      </c>
      <c r="X8546" s="6">
        <v>55.38</v>
      </c>
      <c r="Y8546" s="5">
        <v>83.8</v>
      </c>
      <c r="Z8546" s="5">
        <v>83.8</v>
      </c>
      <c r="AA8546" s="6">
        <v>16</v>
      </c>
      <c r="AB8546" s="7">
        <v>26.670999999999999</v>
      </c>
      <c r="AC8546" s="6">
        <v>180.94</v>
      </c>
    </row>
    <row r="8547" spans="1:29" ht="91" x14ac:dyDescent="0.15">
      <c r="A8547" s="3">
        <f>DATE(2007,4,5)</f>
        <v>39177</v>
      </c>
      <c r="B8547" s="2"/>
      <c r="C8547" s="2" t="s">
        <v>30</v>
      </c>
      <c r="D8547" s="2" t="s">
        <v>25392</v>
      </c>
      <c r="E8547" s="2" t="s">
        <v>25393</v>
      </c>
      <c r="F8547" s="4">
        <v>7997</v>
      </c>
      <c r="G8547" s="2" t="s">
        <v>364</v>
      </c>
      <c r="H8547" s="2" t="s">
        <v>34</v>
      </c>
      <c r="I8547" s="2" t="s">
        <v>25394</v>
      </c>
      <c r="J8547" s="2" t="s">
        <v>1620</v>
      </c>
      <c r="K8547" s="2" t="s">
        <v>53</v>
      </c>
      <c r="L8547" s="2" t="s">
        <v>34</v>
      </c>
      <c r="M8547" s="2"/>
      <c r="N8547" s="2"/>
      <c r="O8547" s="2"/>
      <c r="P8547" s="2" t="s">
        <v>25395</v>
      </c>
      <c r="Q8547" s="2"/>
      <c r="R8547" s="6">
        <v>1.23</v>
      </c>
      <c r="S8547" s="5">
        <v>1</v>
      </c>
      <c r="T8547" s="7">
        <v>-1.113</v>
      </c>
      <c r="U8547" s="5">
        <v>0.2</v>
      </c>
      <c r="V8547" s="6">
        <v>-0.04</v>
      </c>
      <c r="W8547" s="5">
        <v>1.5</v>
      </c>
      <c r="X8547" s="5">
        <v>1.5</v>
      </c>
      <c r="Y8547" s="5">
        <v>1.5</v>
      </c>
      <c r="Z8547" s="5">
        <v>1.5</v>
      </c>
      <c r="AA8547" s="6">
        <v>19.77</v>
      </c>
      <c r="AB8547" s="2" t="s">
        <v>86</v>
      </c>
      <c r="AC8547" s="2"/>
    </row>
    <row r="8548" spans="1:29" ht="65" x14ac:dyDescent="0.15">
      <c r="A8548" s="3">
        <f>DATE(2007,4,5)</f>
        <v>39177</v>
      </c>
      <c r="B8548" s="2"/>
      <c r="C8548" s="2" t="s">
        <v>87</v>
      </c>
      <c r="D8548" s="2" t="s">
        <v>25396</v>
      </c>
      <c r="E8548" s="2" t="s">
        <v>25397</v>
      </c>
      <c r="F8548" s="4">
        <v>6282</v>
      </c>
      <c r="G8548" s="2" t="s">
        <v>53</v>
      </c>
      <c r="H8548" s="2" t="s">
        <v>34</v>
      </c>
      <c r="I8548" s="2" t="s">
        <v>21256</v>
      </c>
      <c r="J8548" s="2" t="s">
        <v>854</v>
      </c>
      <c r="K8548" s="2" t="s">
        <v>125</v>
      </c>
      <c r="L8548" s="2" t="s">
        <v>902</v>
      </c>
      <c r="M8548" s="12">
        <v>53727.131999999998</v>
      </c>
      <c r="N8548" s="7">
        <v>35.015999999999998</v>
      </c>
      <c r="O8548" s="6">
        <v>35.25</v>
      </c>
      <c r="P8548" s="2" t="s">
        <v>25398</v>
      </c>
      <c r="Q8548" s="2"/>
      <c r="R8548" s="2"/>
      <c r="S8548" s="5">
        <v>651</v>
      </c>
      <c r="T8548" s="8">
        <v>2282</v>
      </c>
      <c r="U8548" s="5">
        <v>32.700000000000003</v>
      </c>
      <c r="V8548" s="6">
        <v>2.64</v>
      </c>
      <c r="W8548" s="5">
        <v>57.3</v>
      </c>
      <c r="X8548" s="6">
        <v>59.29</v>
      </c>
      <c r="Y8548" s="6">
        <v>59.54</v>
      </c>
      <c r="Z8548" s="6">
        <v>59.92</v>
      </c>
      <c r="AA8548" s="6">
        <v>239.21</v>
      </c>
      <c r="AB8548" s="2" t="s">
        <v>47</v>
      </c>
      <c r="AC8548" s="2"/>
    </row>
    <row r="8549" spans="1:29" ht="65" x14ac:dyDescent="0.15">
      <c r="A8549" s="3">
        <f>DATE(2007,4,5)</f>
        <v>39177</v>
      </c>
      <c r="B8549" s="2"/>
      <c r="C8549" s="2" t="s">
        <v>87</v>
      </c>
      <c r="D8549" s="2" t="s">
        <v>25399</v>
      </c>
      <c r="E8549" s="2" t="s">
        <v>1085</v>
      </c>
      <c r="F8549" s="4">
        <v>6321</v>
      </c>
      <c r="G8549" s="2" t="s">
        <v>125</v>
      </c>
      <c r="H8549" s="2" t="s">
        <v>34</v>
      </c>
      <c r="I8549" s="2" t="s">
        <v>21256</v>
      </c>
      <c r="J8549" s="2" t="s">
        <v>854</v>
      </c>
      <c r="K8549" s="2" t="s">
        <v>125</v>
      </c>
      <c r="L8549" s="2" t="s">
        <v>902</v>
      </c>
      <c r="M8549" s="12">
        <v>53727.131999999998</v>
      </c>
      <c r="N8549" s="7">
        <v>35.015999999999998</v>
      </c>
      <c r="O8549" s="6">
        <v>35.25</v>
      </c>
      <c r="P8549" s="2" t="s">
        <v>25400</v>
      </c>
      <c r="Q8549" s="2"/>
      <c r="R8549" s="2"/>
      <c r="S8549" s="8">
        <v>1035.7</v>
      </c>
      <c r="T8549" s="8">
        <v>1300.9000000000001</v>
      </c>
      <c r="U8549" s="5">
        <v>28.3</v>
      </c>
      <c r="V8549" s="6">
        <v>3.57</v>
      </c>
      <c r="W8549" s="6">
        <v>59.86</v>
      </c>
      <c r="X8549" s="6">
        <v>60.57</v>
      </c>
      <c r="Y8549" s="6">
        <v>60.63</v>
      </c>
      <c r="Z8549" s="6">
        <v>60.31</v>
      </c>
      <c r="AA8549" s="6">
        <v>269.76</v>
      </c>
      <c r="AB8549" s="2" t="s">
        <v>47</v>
      </c>
      <c r="AC8549" s="2"/>
    </row>
    <row r="8550" spans="1:29" ht="130" x14ac:dyDescent="0.15">
      <c r="A8550" s="3">
        <f>DATE(2007,4,5)</f>
        <v>39177</v>
      </c>
      <c r="B8550" s="3">
        <f>DATE(2007,6,1)</f>
        <v>39234</v>
      </c>
      <c r="C8550" s="2" t="s">
        <v>95</v>
      </c>
      <c r="D8550" s="2" t="s">
        <v>16915</v>
      </c>
      <c r="E8550" s="2" t="s">
        <v>14580</v>
      </c>
      <c r="F8550" s="4">
        <v>7372</v>
      </c>
      <c r="G8550" s="2" t="s">
        <v>551</v>
      </c>
      <c r="H8550" s="2" t="s">
        <v>34</v>
      </c>
      <c r="I8550" s="2" t="s">
        <v>17994</v>
      </c>
      <c r="J8550" s="2" t="s">
        <v>17995</v>
      </c>
      <c r="K8550" s="2" t="s">
        <v>551</v>
      </c>
      <c r="L8550" s="2" t="s">
        <v>1049</v>
      </c>
      <c r="M8550" s="12">
        <v>2173.7820000000002</v>
      </c>
      <c r="N8550" s="7">
        <v>92.087000000000003</v>
      </c>
      <c r="O8550" s="7">
        <v>92.122</v>
      </c>
      <c r="P8550" s="2" t="s">
        <v>25401</v>
      </c>
      <c r="Q8550" s="6">
        <v>100</v>
      </c>
      <c r="R8550" s="6">
        <v>9.15</v>
      </c>
      <c r="S8550" s="5">
        <v>-18.399999999999999</v>
      </c>
      <c r="T8550" s="2"/>
      <c r="U8550" s="2"/>
      <c r="V8550" s="6">
        <v>-0.33</v>
      </c>
      <c r="W8550" s="6">
        <v>7.19</v>
      </c>
      <c r="X8550" s="6">
        <v>7.28</v>
      </c>
      <c r="Y8550" s="6">
        <v>9.26</v>
      </c>
      <c r="Z8550" s="6">
        <v>9.26</v>
      </c>
      <c r="AA8550" s="6">
        <v>56.54</v>
      </c>
      <c r="AB8550" s="2" t="s">
        <v>86</v>
      </c>
      <c r="AC8550" s="6">
        <v>282.05</v>
      </c>
    </row>
    <row r="8551" spans="1:29" ht="104" x14ac:dyDescent="0.15">
      <c r="A8551" s="3">
        <f>DATE(2007,4,5)</f>
        <v>39177</v>
      </c>
      <c r="B8551" s="3">
        <f>DATE(2007,8,14)</f>
        <v>39308</v>
      </c>
      <c r="C8551" s="2" t="s">
        <v>95</v>
      </c>
      <c r="D8551" s="2" t="s">
        <v>25402</v>
      </c>
      <c r="E8551" s="2" t="s">
        <v>6901</v>
      </c>
      <c r="F8551" s="4">
        <v>4512</v>
      </c>
      <c r="G8551" s="2" t="s">
        <v>59</v>
      </c>
      <c r="H8551" s="2" t="s">
        <v>34</v>
      </c>
      <c r="I8551" s="2" t="s">
        <v>25403</v>
      </c>
      <c r="J8551" s="2" t="s">
        <v>58</v>
      </c>
      <c r="K8551" s="2" t="s">
        <v>59</v>
      </c>
      <c r="L8551" s="2" t="s">
        <v>34</v>
      </c>
      <c r="M8551" s="2"/>
      <c r="N8551" s="2"/>
      <c r="O8551" s="2"/>
      <c r="P8551" s="2" t="s">
        <v>25404</v>
      </c>
      <c r="Q8551" s="6">
        <v>100</v>
      </c>
      <c r="R8551" s="6">
        <v>12.5</v>
      </c>
      <c r="S8551" s="5">
        <v>-5.3</v>
      </c>
      <c r="T8551" s="7">
        <v>-1.7010000000000001</v>
      </c>
      <c r="U8551" s="5">
        <v>3</v>
      </c>
      <c r="V8551" s="6">
        <v>-0.23</v>
      </c>
      <c r="W8551" s="6">
        <v>10.55</v>
      </c>
      <c r="X8551" s="5">
        <v>10.8</v>
      </c>
      <c r="Y8551" s="6">
        <v>11.25</v>
      </c>
      <c r="Z8551" s="6">
        <v>11.25</v>
      </c>
      <c r="AA8551" s="6">
        <v>24.24</v>
      </c>
      <c r="AB8551" s="2" t="s">
        <v>86</v>
      </c>
      <c r="AC8551" s="6">
        <v>80.94</v>
      </c>
    </row>
    <row r="8552" spans="1:29" ht="78" x14ac:dyDescent="0.15">
      <c r="A8552" s="3">
        <f>DATE(2007,4,6)</f>
        <v>39178</v>
      </c>
      <c r="B8552" s="3">
        <f>DATE(2007,6,6)</f>
        <v>39239</v>
      </c>
      <c r="C8552" s="2" t="s">
        <v>95</v>
      </c>
      <c r="D8552" s="2" t="s">
        <v>25405</v>
      </c>
      <c r="E8552" s="2" t="s">
        <v>540</v>
      </c>
      <c r="F8552" s="4">
        <v>2836</v>
      </c>
      <c r="G8552" s="2" t="s">
        <v>130</v>
      </c>
      <c r="H8552" s="2" t="s">
        <v>34</v>
      </c>
      <c r="I8552" s="2" t="s">
        <v>18107</v>
      </c>
      <c r="J8552" s="2" t="s">
        <v>18108</v>
      </c>
      <c r="K8552" s="2" t="s">
        <v>226</v>
      </c>
      <c r="L8552" s="2" t="s">
        <v>34</v>
      </c>
      <c r="M8552" s="12">
        <v>12820.037</v>
      </c>
      <c r="N8552" s="6">
        <v>34.71</v>
      </c>
      <c r="O8552" s="6">
        <v>35.06</v>
      </c>
      <c r="P8552" s="2" t="s">
        <v>25406</v>
      </c>
      <c r="Q8552" s="6">
        <v>100</v>
      </c>
      <c r="R8552" s="6">
        <v>10.94</v>
      </c>
      <c r="S8552" s="5">
        <v>0.3</v>
      </c>
      <c r="T8552" s="7">
        <v>13.667</v>
      </c>
      <c r="U8552" s="5">
        <v>2.8</v>
      </c>
      <c r="V8552" s="6">
        <v>0.01</v>
      </c>
      <c r="W8552" s="6">
        <v>8.14</v>
      </c>
      <c r="X8552" s="6">
        <v>8.51</v>
      </c>
      <c r="Y8552" s="6">
        <v>8.51</v>
      </c>
      <c r="Z8552" s="6">
        <v>10.71</v>
      </c>
      <c r="AA8552" s="6">
        <v>22.45</v>
      </c>
      <c r="AB8552" s="7">
        <v>22.442</v>
      </c>
      <c r="AC8552" s="8">
        <v>2090</v>
      </c>
    </row>
    <row r="8553" spans="1:29" ht="169" x14ac:dyDescent="0.15">
      <c r="A8553" s="3">
        <f>DATE(2007,4,10)</f>
        <v>39182</v>
      </c>
      <c r="B8553" s="3">
        <f>DATE(2007,9,20)</f>
        <v>39345</v>
      </c>
      <c r="C8553" s="2" t="s">
        <v>95</v>
      </c>
      <c r="D8553" s="2" t="s">
        <v>25407</v>
      </c>
      <c r="E8553" s="2" t="s">
        <v>6711</v>
      </c>
      <c r="F8553" s="4">
        <v>2836</v>
      </c>
      <c r="G8553" s="2" t="s">
        <v>130</v>
      </c>
      <c r="H8553" s="2" t="s">
        <v>34</v>
      </c>
      <c r="I8553" s="2" t="s">
        <v>25408</v>
      </c>
      <c r="J8553" s="2" t="s">
        <v>6292</v>
      </c>
      <c r="K8553" s="2" t="s">
        <v>130</v>
      </c>
      <c r="L8553" s="2" t="s">
        <v>34</v>
      </c>
      <c r="M8553" s="7">
        <v>48.651000000000003</v>
      </c>
      <c r="N8553" s="7">
        <v>1.6539999999999999</v>
      </c>
      <c r="O8553" s="6">
        <v>1.65</v>
      </c>
      <c r="P8553" s="2" t="s">
        <v>25409</v>
      </c>
      <c r="Q8553" s="6">
        <v>100</v>
      </c>
      <c r="R8553" s="6">
        <v>0.91</v>
      </c>
      <c r="S8553" s="5">
        <v>-6.1</v>
      </c>
      <c r="T8553" s="7">
        <v>-4.2370000000000001</v>
      </c>
      <c r="U8553" s="5">
        <v>0</v>
      </c>
      <c r="V8553" s="6">
        <v>-0.35</v>
      </c>
      <c r="W8553" s="5">
        <v>1.6</v>
      </c>
      <c r="X8553" s="5">
        <v>1.6</v>
      </c>
      <c r="Y8553" s="6">
        <v>1.33</v>
      </c>
      <c r="Z8553" s="6">
        <v>1.33</v>
      </c>
      <c r="AA8553" s="6">
        <v>20.85</v>
      </c>
      <c r="AB8553" s="2" t="s">
        <v>86</v>
      </c>
      <c r="AC8553" s="6">
        <v>59.56</v>
      </c>
    </row>
    <row r="8554" spans="1:29" ht="169" x14ac:dyDescent="0.15">
      <c r="A8554" s="3">
        <f>DATE(2007,4,11)</f>
        <v>39183</v>
      </c>
      <c r="B8554" s="2"/>
      <c r="C8554" s="2" t="s">
        <v>30</v>
      </c>
      <c r="D8554" s="2" t="s">
        <v>15410</v>
      </c>
      <c r="E8554" s="2" t="s">
        <v>36</v>
      </c>
      <c r="F8554" s="4">
        <v>6022</v>
      </c>
      <c r="G8554" s="2" t="s">
        <v>37</v>
      </c>
      <c r="H8554" s="2" t="s">
        <v>34</v>
      </c>
      <c r="I8554" s="2" t="s">
        <v>11988</v>
      </c>
      <c r="J8554" s="2" t="s">
        <v>36</v>
      </c>
      <c r="K8554" s="2" t="s">
        <v>33</v>
      </c>
      <c r="L8554" s="2" t="s">
        <v>34</v>
      </c>
      <c r="M8554" s="7">
        <v>913.25699999999995</v>
      </c>
      <c r="N8554" s="6">
        <v>30.05</v>
      </c>
      <c r="O8554" s="6">
        <v>30.15</v>
      </c>
      <c r="P8554" s="2" t="s">
        <v>25410</v>
      </c>
      <c r="Q8554" s="2"/>
      <c r="R8554" s="6">
        <v>25.14</v>
      </c>
      <c r="S8554" s="5">
        <v>10.5</v>
      </c>
      <c r="T8554" s="7">
        <v>17.588000000000001</v>
      </c>
      <c r="U8554" s="5">
        <v>53.1</v>
      </c>
      <c r="V8554" s="6">
        <v>7</v>
      </c>
      <c r="W8554" s="6">
        <v>24.78</v>
      </c>
      <c r="X8554" s="6">
        <v>24.86</v>
      </c>
      <c r="Y8554" s="5">
        <v>24.6</v>
      </c>
      <c r="Z8554" s="6">
        <v>24.64</v>
      </c>
      <c r="AA8554" s="6">
        <v>7.34</v>
      </c>
      <c r="AB8554" s="7">
        <v>6.4249999999999998</v>
      </c>
      <c r="AC8554" s="2"/>
    </row>
    <row r="8555" spans="1:29" ht="52" x14ac:dyDescent="0.15">
      <c r="A8555" s="3">
        <f>DATE(2007,4,12)</f>
        <v>39184</v>
      </c>
      <c r="B8555" s="3">
        <f>DATE(2007,6,8)</f>
        <v>39241</v>
      </c>
      <c r="C8555" s="2" t="s">
        <v>95</v>
      </c>
      <c r="D8555" s="2" t="s">
        <v>25411</v>
      </c>
      <c r="E8555" s="2" t="s">
        <v>25412</v>
      </c>
      <c r="F8555" s="4">
        <v>2389</v>
      </c>
      <c r="G8555" s="2" t="s">
        <v>708</v>
      </c>
      <c r="H8555" s="2" t="s">
        <v>34</v>
      </c>
      <c r="I8555" s="2" t="s">
        <v>25413</v>
      </c>
      <c r="J8555" s="2" t="s">
        <v>25414</v>
      </c>
      <c r="K8555" s="2" t="s">
        <v>4563</v>
      </c>
      <c r="L8555" s="2" t="s">
        <v>435</v>
      </c>
      <c r="M8555" s="7">
        <v>501.28899999999999</v>
      </c>
      <c r="N8555" s="7">
        <v>11.242000000000001</v>
      </c>
      <c r="O8555" s="7">
        <v>12.225</v>
      </c>
      <c r="P8555" s="2" t="s">
        <v>25415</v>
      </c>
      <c r="Q8555" s="6">
        <v>100</v>
      </c>
      <c r="R8555" s="6">
        <v>14.38</v>
      </c>
      <c r="S8555" s="5">
        <v>7.7</v>
      </c>
      <c r="T8555" s="7">
        <v>12.250999999999999</v>
      </c>
      <c r="U8555" s="5">
        <v>6.6</v>
      </c>
      <c r="V8555" s="6">
        <v>0.71</v>
      </c>
      <c r="W8555" s="5">
        <v>11.2</v>
      </c>
      <c r="X8555" s="6">
        <v>11.59</v>
      </c>
      <c r="Y8555" s="6">
        <v>11.63</v>
      </c>
      <c r="Z8555" s="6">
        <v>14.17</v>
      </c>
      <c r="AA8555" s="6">
        <v>10.59</v>
      </c>
      <c r="AB8555" s="7">
        <v>13.954000000000001</v>
      </c>
      <c r="AC8555" s="6">
        <v>17.239999999999998</v>
      </c>
    </row>
    <row r="8556" spans="1:29" ht="221" x14ac:dyDescent="0.15">
      <c r="A8556" s="3">
        <f>DATE(2007,4,12)</f>
        <v>39184</v>
      </c>
      <c r="B8556" s="2"/>
      <c r="C8556" s="2" t="s">
        <v>30</v>
      </c>
      <c r="D8556" s="2" t="s">
        <v>25416</v>
      </c>
      <c r="E8556" s="2" t="s">
        <v>25417</v>
      </c>
      <c r="F8556" s="4">
        <v>6036</v>
      </c>
      <c r="G8556" s="2" t="s">
        <v>33</v>
      </c>
      <c r="H8556" s="2" t="s">
        <v>34</v>
      </c>
      <c r="I8556" s="2" t="s">
        <v>25418</v>
      </c>
      <c r="J8556" s="2" t="s">
        <v>25419</v>
      </c>
      <c r="K8556" s="2" t="s">
        <v>37</v>
      </c>
      <c r="L8556" s="2" t="s">
        <v>34</v>
      </c>
      <c r="M8556" s="7">
        <v>152.327</v>
      </c>
      <c r="N8556" s="5">
        <v>20.8</v>
      </c>
      <c r="O8556" s="6">
        <v>20.81</v>
      </c>
      <c r="P8556" s="2" t="s">
        <v>25420</v>
      </c>
      <c r="Q8556" s="2"/>
      <c r="R8556" s="6">
        <v>4.29</v>
      </c>
      <c r="S8556" s="5">
        <v>-3.2</v>
      </c>
      <c r="T8556" s="7">
        <v>-11.326000000000001</v>
      </c>
      <c r="U8556" s="5">
        <v>1.1000000000000001</v>
      </c>
      <c r="V8556" s="6">
        <v>-1.05</v>
      </c>
      <c r="W8556" s="6">
        <v>2.4500000000000002</v>
      </c>
      <c r="X8556" s="6">
        <v>2.54</v>
      </c>
      <c r="Y8556" s="6">
        <v>2.54</v>
      </c>
      <c r="Z8556" s="5">
        <v>4.7</v>
      </c>
      <c r="AA8556" s="6">
        <v>3.02</v>
      </c>
      <c r="AB8556" s="2" t="s">
        <v>86</v>
      </c>
      <c r="AC8556" s="2"/>
    </row>
    <row r="8557" spans="1:29" ht="52" x14ac:dyDescent="0.15">
      <c r="A8557" s="3">
        <f>DATE(2007,4,12)</f>
        <v>39184</v>
      </c>
      <c r="B8557" s="2"/>
      <c r="C8557" s="2" t="s">
        <v>87</v>
      </c>
      <c r="D8557" s="2" t="s">
        <v>24523</v>
      </c>
      <c r="E8557" s="2" t="s">
        <v>24524</v>
      </c>
      <c r="F8557" s="4">
        <v>3312</v>
      </c>
      <c r="G8557" s="2" t="s">
        <v>163</v>
      </c>
      <c r="H8557" s="2" t="s">
        <v>34</v>
      </c>
      <c r="I8557" s="2" t="s">
        <v>24848</v>
      </c>
      <c r="J8557" s="2" t="s">
        <v>24849</v>
      </c>
      <c r="K8557" s="2" t="s">
        <v>163</v>
      </c>
      <c r="L8557" s="2" t="s">
        <v>18001</v>
      </c>
      <c r="M8557" s="2"/>
      <c r="N8557" s="2"/>
      <c r="O8557" s="2"/>
      <c r="P8557" s="2" t="s">
        <v>25421</v>
      </c>
      <c r="Q8557" s="2"/>
      <c r="R8557" s="2"/>
      <c r="S8557" s="5">
        <v>672.2</v>
      </c>
      <c r="T8557" s="12">
        <v>1151.0429999999999</v>
      </c>
      <c r="U8557" s="5">
        <v>57.9</v>
      </c>
      <c r="V8557" s="9">
        <v>14.4229</v>
      </c>
      <c r="W8557" s="6">
        <v>132.59</v>
      </c>
      <c r="X8557" s="5">
        <v>130.9</v>
      </c>
      <c r="Y8557" s="6">
        <v>145.96</v>
      </c>
      <c r="Z8557" s="5">
        <v>148.5</v>
      </c>
      <c r="AA8557" s="6">
        <v>47.21</v>
      </c>
      <c r="AB8557" s="2" t="s">
        <v>47</v>
      </c>
      <c r="AC8557" s="6">
        <v>946.85</v>
      </c>
    </row>
    <row r="8558" spans="1:29" ht="169" x14ac:dyDescent="0.15">
      <c r="A8558" s="3">
        <f>DATE(2007,4,12)</f>
        <v>39184</v>
      </c>
      <c r="B8558" s="3">
        <f>DATE(2007,6,18)</f>
        <v>39251</v>
      </c>
      <c r="C8558" s="2" t="s">
        <v>95</v>
      </c>
      <c r="D8558" s="2" t="s">
        <v>25422</v>
      </c>
      <c r="E8558" s="2" t="s">
        <v>25423</v>
      </c>
      <c r="F8558" s="4">
        <v>7372</v>
      </c>
      <c r="G8558" s="2" t="s">
        <v>551</v>
      </c>
      <c r="H8558" s="2" t="s">
        <v>34</v>
      </c>
      <c r="I8558" s="2" t="s">
        <v>16796</v>
      </c>
      <c r="J8558" s="2" t="s">
        <v>16797</v>
      </c>
      <c r="K8558" s="2" t="s">
        <v>551</v>
      </c>
      <c r="L8558" s="2" t="s">
        <v>34</v>
      </c>
      <c r="M8558" s="2"/>
      <c r="N8558" s="2"/>
      <c r="O8558" s="2"/>
      <c r="P8558" s="2" t="s">
        <v>25424</v>
      </c>
      <c r="Q8558" s="6">
        <v>100</v>
      </c>
      <c r="R8558" s="6">
        <v>10.050000000000001</v>
      </c>
      <c r="S8558" s="5">
        <v>0.6</v>
      </c>
      <c r="T8558" s="7">
        <v>-1.897</v>
      </c>
      <c r="U8558" s="5">
        <v>2.7</v>
      </c>
      <c r="V8558" s="6">
        <v>0.02</v>
      </c>
      <c r="W8558" s="6">
        <v>7.46</v>
      </c>
      <c r="X8558" s="6">
        <v>7.44</v>
      </c>
      <c r="Y8558" s="6">
        <v>9.7899999999999991</v>
      </c>
      <c r="Z8558" s="6">
        <v>9.81</v>
      </c>
      <c r="AA8558" s="6">
        <v>19.62</v>
      </c>
      <c r="AB8558" s="2" t="s">
        <v>86</v>
      </c>
      <c r="AC8558" s="2"/>
    </row>
    <row r="8559" spans="1:29" ht="130" x14ac:dyDescent="0.15">
      <c r="A8559" s="3">
        <f>DATE(2007,4,12)</f>
        <v>39184</v>
      </c>
      <c r="B8559" s="2"/>
      <c r="C8559" s="2" t="s">
        <v>30</v>
      </c>
      <c r="D8559" s="2" t="s">
        <v>25425</v>
      </c>
      <c r="E8559" s="2" t="s">
        <v>1181</v>
      </c>
      <c r="F8559" s="4">
        <v>6021</v>
      </c>
      <c r="G8559" s="2" t="s">
        <v>37</v>
      </c>
      <c r="H8559" s="2" t="s">
        <v>34</v>
      </c>
      <c r="I8559" s="2" t="s">
        <v>25426</v>
      </c>
      <c r="J8559" s="2" t="s">
        <v>159</v>
      </c>
      <c r="K8559" s="2" t="s">
        <v>37</v>
      </c>
      <c r="L8559" s="2" t="s">
        <v>34</v>
      </c>
      <c r="M8559" s="7">
        <v>51.469000000000001</v>
      </c>
      <c r="N8559" s="6">
        <v>13.84</v>
      </c>
      <c r="O8559" s="7">
        <v>13.388</v>
      </c>
      <c r="P8559" s="2" t="s">
        <v>25427</v>
      </c>
      <c r="Q8559" s="2"/>
      <c r="R8559" s="6">
        <v>36.049999999999997</v>
      </c>
      <c r="S8559" s="2"/>
      <c r="T8559" s="2"/>
      <c r="U8559" s="2"/>
      <c r="V8559" s="2"/>
      <c r="W8559" s="5">
        <v>27.1</v>
      </c>
      <c r="X8559" s="5">
        <v>27.1</v>
      </c>
      <c r="Y8559" s="5">
        <v>27.1</v>
      </c>
      <c r="Z8559" s="5">
        <v>33.5</v>
      </c>
      <c r="AA8559" s="6">
        <v>0.94</v>
      </c>
      <c r="AB8559" s="2" t="s">
        <v>47</v>
      </c>
      <c r="AC8559" s="2"/>
    </row>
    <row r="8560" spans="1:29" ht="104" x14ac:dyDescent="0.15">
      <c r="A8560" s="3">
        <f>DATE(2007,4,16)</f>
        <v>39188</v>
      </c>
      <c r="B8560" s="3">
        <f>DATE(2007,6,29)</f>
        <v>39262</v>
      </c>
      <c r="C8560" s="2" t="s">
        <v>95</v>
      </c>
      <c r="D8560" s="2" t="s">
        <v>25428</v>
      </c>
      <c r="E8560" s="2" t="s">
        <v>5957</v>
      </c>
      <c r="F8560" s="4">
        <v>6798</v>
      </c>
      <c r="G8560" s="2" t="s">
        <v>53</v>
      </c>
      <c r="H8560" s="2" t="s">
        <v>34</v>
      </c>
      <c r="I8560" s="2" t="s">
        <v>25429</v>
      </c>
      <c r="J8560" s="2" t="s">
        <v>25430</v>
      </c>
      <c r="K8560" s="2" t="s">
        <v>53</v>
      </c>
      <c r="L8560" s="2" t="s">
        <v>34</v>
      </c>
      <c r="M8560" s="12">
        <v>2177.6170000000002</v>
      </c>
      <c r="N8560" s="6">
        <v>21.88</v>
      </c>
      <c r="O8560" s="6">
        <v>21.89</v>
      </c>
      <c r="P8560" s="2" t="s">
        <v>25431</v>
      </c>
      <c r="Q8560" s="6">
        <v>100</v>
      </c>
      <c r="R8560" s="6">
        <v>17.75</v>
      </c>
      <c r="S8560" s="5">
        <v>30.5</v>
      </c>
      <c r="T8560" s="7">
        <v>71.722999999999999</v>
      </c>
      <c r="U8560" s="5">
        <v>8.1999999999999993</v>
      </c>
      <c r="V8560" s="6">
        <v>0.42</v>
      </c>
      <c r="W8560" s="6">
        <v>16.440000000000001</v>
      </c>
      <c r="X8560" s="6">
        <v>16.45</v>
      </c>
      <c r="Y8560" s="6">
        <v>17.96</v>
      </c>
      <c r="Z8560" s="6">
        <v>17.89</v>
      </c>
      <c r="AA8560" s="6">
        <v>45.2</v>
      </c>
      <c r="AB8560" s="7">
        <v>46.973999999999997</v>
      </c>
      <c r="AC8560" s="10">
        <v>1097.1199999999999</v>
      </c>
    </row>
    <row r="8561" spans="1:29" ht="104" x14ac:dyDescent="0.15">
      <c r="A8561" s="3">
        <f>DATE(2007,4,16)</f>
        <v>39188</v>
      </c>
      <c r="B8561" s="3">
        <f>DATE(2007,12,31)</f>
        <v>39447</v>
      </c>
      <c r="C8561" s="2" t="s">
        <v>95</v>
      </c>
      <c r="D8561" s="2" t="s">
        <v>25432</v>
      </c>
      <c r="E8561" s="2" t="s">
        <v>25433</v>
      </c>
      <c r="F8561" s="4">
        <v>7819</v>
      </c>
      <c r="G8561" s="2" t="s">
        <v>42</v>
      </c>
      <c r="H8561" s="2" t="s">
        <v>34</v>
      </c>
      <c r="I8561" s="2" t="s">
        <v>25434</v>
      </c>
      <c r="J8561" s="2" t="s">
        <v>25435</v>
      </c>
      <c r="K8561" s="2" t="s">
        <v>4563</v>
      </c>
      <c r="L8561" s="2" t="s">
        <v>34</v>
      </c>
      <c r="M8561" s="7">
        <v>224.27500000000001</v>
      </c>
      <c r="N8561" s="6">
        <v>16.940000000000001</v>
      </c>
      <c r="O8561" s="5">
        <v>17.5</v>
      </c>
      <c r="P8561" s="2" t="s">
        <v>25436</v>
      </c>
      <c r="Q8561" s="6">
        <v>83.96</v>
      </c>
      <c r="R8561" s="6">
        <v>3.81</v>
      </c>
      <c r="S8561" s="5">
        <v>0.2</v>
      </c>
      <c r="T8561" s="5">
        <v>6.7</v>
      </c>
      <c r="U8561" s="5">
        <v>4.0999999999999996</v>
      </c>
      <c r="V8561" s="6">
        <v>0.03</v>
      </c>
      <c r="W8561" s="6">
        <v>3.46</v>
      </c>
      <c r="X8561" s="6">
        <v>3.66</v>
      </c>
      <c r="Y8561" s="6">
        <v>3.69</v>
      </c>
      <c r="Z8561" s="7">
        <v>5.4210000000000003</v>
      </c>
      <c r="AA8561" s="6">
        <v>9.98</v>
      </c>
      <c r="AB8561" s="7">
        <v>41.051000000000002</v>
      </c>
      <c r="AC8561" s="6">
        <v>24.85</v>
      </c>
    </row>
    <row r="8562" spans="1:29" ht="195" x14ac:dyDescent="0.15">
      <c r="A8562" s="3">
        <f>DATE(2007,4,16)</f>
        <v>39188</v>
      </c>
      <c r="B8562" s="2"/>
      <c r="C8562" s="2" t="s">
        <v>30</v>
      </c>
      <c r="D8562" s="2" t="s">
        <v>25437</v>
      </c>
      <c r="E8562" s="2" t="s">
        <v>25438</v>
      </c>
      <c r="F8562" s="4">
        <v>6141</v>
      </c>
      <c r="G8562" s="2" t="s">
        <v>370</v>
      </c>
      <c r="H8562" s="2" t="s">
        <v>34</v>
      </c>
      <c r="I8562" s="2" t="s">
        <v>51</v>
      </c>
      <c r="J8562" s="2" t="s">
        <v>52</v>
      </c>
      <c r="K8562" s="2" t="s">
        <v>53</v>
      </c>
      <c r="L8562" s="2" t="s">
        <v>34</v>
      </c>
      <c r="M8562" s="2"/>
      <c r="N8562" s="2"/>
      <c r="O8562" s="2"/>
      <c r="P8562" s="2" t="s">
        <v>25439</v>
      </c>
      <c r="Q8562" s="2"/>
      <c r="R8562" s="6">
        <v>60</v>
      </c>
      <c r="S8562" s="8">
        <v>1346.8</v>
      </c>
      <c r="T8562" s="2"/>
      <c r="U8562" s="5">
        <v>9.3000000000000007</v>
      </c>
      <c r="V8562" s="6">
        <v>2.87</v>
      </c>
      <c r="W8562" s="6">
        <v>41.44</v>
      </c>
      <c r="X8562" s="6">
        <v>40.75</v>
      </c>
      <c r="Y8562" s="6">
        <v>46.76</v>
      </c>
      <c r="Z8562" s="6">
        <v>55.05</v>
      </c>
      <c r="AA8562" s="6">
        <v>410.48</v>
      </c>
      <c r="AB8562" s="7">
        <v>51.993000000000002</v>
      </c>
      <c r="AC8562" s="2"/>
    </row>
    <row r="8563" spans="1:29" ht="65" x14ac:dyDescent="0.15">
      <c r="A8563" s="3">
        <f>DATE(2007,4,16)</f>
        <v>39188</v>
      </c>
      <c r="B8563" s="2"/>
      <c r="C8563" s="2" t="s">
        <v>87</v>
      </c>
      <c r="D8563" s="2" t="s">
        <v>25440</v>
      </c>
      <c r="E8563" s="2" t="s">
        <v>25441</v>
      </c>
      <c r="F8563" s="4">
        <v>4813</v>
      </c>
      <c r="G8563" s="2" t="s">
        <v>63</v>
      </c>
      <c r="H8563" s="2" t="s">
        <v>34</v>
      </c>
      <c r="I8563" s="2" t="s">
        <v>14230</v>
      </c>
      <c r="J8563" s="2" t="s">
        <v>23280</v>
      </c>
      <c r="K8563" s="2" t="s">
        <v>63</v>
      </c>
      <c r="L8563" s="2" t="s">
        <v>34</v>
      </c>
      <c r="M8563" s="10">
        <v>55321.99</v>
      </c>
      <c r="N8563" s="5">
        <v>20.2</v>
      </c>
      <c r="O8563" s="6">
        <v>20.41</v>
      </c>
      <c r="P8563" s="2" t="s">
        <v>25442</v>
      </c>
      <c r="Q8563" s="2"/>
      <c r="R8563" s="2"/>
      <c r="S8563" s="5">
        <v>-325.7</v>
      </c>
      <c r="T8563" s="7">
        <v>-304.58300000000003</v>
      </c>
      <c r="U8563" s="5">
        <v>0.8</v>
      </c>
      <c r="V8563" s="6">
        <v>-3.16</v>
      </c>
      <c r="W8563" s="6">
        <v>3.03</v>
      </c>
      <c r="X8563" s="6">
        <v>3.39</v>
      </c>
      <c r="Y8563" s="6">
        <v>3.29</v>
      </c>
      <c r="Z8563" s="6">
        <v>3.31</v>
      </c>
      <c r="AA8563" s="6">
        <v>155.38999999999999</v>
      </c>
      <c r="AB8563" s="2" t="s">
        <v>86</v>
      </c>
      <c r="AC8563" s="8">
        <v>2354</v>
      </c>
    </row>
    <row r="8564" spans="1:29" ht="156" x14ac:dyDescent="0.15">
      <c r="A8564" s="3">
        <f>DATE(2007,4,17)</f>
        <v>39189</v>
      </c>
      <c r="B8564" s="3">
        <f>DATE(2007,10,1)</f>
        <v>39356</v>
      </c>
      <c r="C8564" s="2" t="s">
        <v>95</v>
      </c>
      <c r="D8564" s="2" t="s">
        <v>25204</v>
      </c>
      <c r="E8564" s="2" t="s">
        <v>25205</v>
      </c>
      <c r="F8564" s="4">
        <v>7311</v>
      </c>
      <c r="G8564" s="2" t="s">
        <v>4563</v>
      </c>
      <c r="H8564" s="2" t="s">
        <v>34</v>
      </c>
      <c r="I8564" s="2" t="s">
        <v>25339</v>
      </c>
      <c r="J8564" s="2" t="s">
        <v>3197</v>
      </c>
      <c r="K8564" s="2" t="s">
        <v>53</v>
      </c>
      <c r="L8564" s="2" t="s">
        <v>34</v>
      </c>
      <c r="M8564" s="2"/>
      <c r="N8564" s="2"/>
      <c r="O8564" s="2"/>
      <c r="P8564" s="2" t="s">
        <v>25443</v>
      </c>
      <c r="Q8564" s="6">
        <v>100</v>
      </c>
      <c r="R8564" s="6">
        <v>32.5</v>
      </c>
      <c r="S8564" s="5">
        <v>60.9</v>
      </c>
      <c r="T8564" s="7">
        <v>144.703</v>
      </c>
      <c r="U8564" s="5">
        <v>4.5</v>
      </c>
      <c r="V8564" s="9">
        <v>1.3367</v>
      </c>
      <c r="W8564" s="6">
        <v>27.66</v>
      </c>
      <c r="X8564" s="6">
        <v>32.020000000000003</v>
      </c>
      <c r="Y8564" s="5">
        <v>32.4</v>
      </c>
      <c r="Z8564" s="6">
        <v>32.58</v>
      </c>
      <c r="AA8564" s="6">
        <v>46.51</v>
      </c>
      <c r="AB8564" s="7">
        <v>16.055</v>
      </c>
      <c r="AC8564" s="2"/>
    </row>
    <row r="8565" spans="1:29" ht="195" x14ac:dyDescent="0.15">
      <c r="A8565" s="3">
        <f>DATE(2007,4,17)</f>
        <v>39189</v>
      </c>
      <c r="B8565" s="3">
        <f>DATE(2007,6,8)</f>
        <v>39241</v>
      </c>
      <c r="C8565" s="2" t="s">
        <v>95</v>
      </c>
      <c r="D8565" s="2" t="s">
        <v>25444</v>
      </c>
      <c r="E8565" s="2" t="s">
        <v>25445</v>
      </c>
      <c r="F8565" s="4">
        <v>4412</v>
      </c>
      <c r="G8565" s="2" t="s">
        <v>173</v>
      </c>
      <c r="H8565" s="2" t="s">
        <v>34</v>
      </c>
      <c r="I8565" s="2" t="s">
        <v>51</v>
      </c>
      <c r="J8565" s="2" t="s">
        <v>52</v>
      </c>
      <c r="K8565" s="2" t="s">
        <v>53</v>
      </c>
      <c r="L8565" s="2" t="s">
        <v>8423</v>
      </c>
      <c r="M8565" s="2"/>
      <c r="N8565" s="2"/>
      <c r="O8565" s="2"/>
      <c r="P8565" s="2" t="s">
        <v>25446</v>
      </c>
      <c r="Q8565" s="6">
        <v>100</v>
      </c>
      <c r="R8565" s="6">
        <v>29.25</v>
      </c>
      <c r="S8565" s="5">
        <v>293.89999999999998</v>
      </c>
      <c r="T8565" s="7">
        <v>258.18900000000002</v>
      </c>
      <c r="U8565" s="5">
        <v>13.8</v>
      </c>
      <c r="V8565" s="6">
        <v>4.42</v>
      </c>
      <c r="W8565" s="6">
        <v>22.26</v>
      </c>
      <c r="X8565" s="6">
        <v>22.93</v>
      </c>
      <c r="Y8565" s="6">
        <v>26.26</v>
      </c>
      <c r="Z8565" s="6">
        <v>25.69</v>
      </c>
      <c r="AA8565" s="6">
        <v>61.98</v>
      </c>
      <c r="AB8565" s="7">
        <v>10.801</v>
      </c>
      <c r="AC8565" s="2"/>
    </row>
    <row r="8566" spans="1:29" ht="65" x14ac:dyDescent="0.15">
      <c r="A8566" s="3">
        <f>DATE(2007,4,18)</f>
        <v>39190</v>
      </c>
      <c r="B8566" s="2"/>
      <c r="C8566" s="2" t="s">
        <v>87</v>
      </c>
      <c r="D8566" s="2" t="s">
        <v>19241</v>
      </c>
      <c r="E8566" s="2" t="s">
        <v>19242</v>
      </c>
      <c r="F8566" s="4">
        <v>6211</v>
      </c>
      <c r="G8566" s="2" t="s">
        <v>53</v>
      </c>
      <c r="H8566" s="2" t="s">
        <v>34</v>
      </c>
      <c r="I8566" s="2" t="s">
        <v>25447</v>
      </c>
      <c r="J8566" s="2" t="s">
        <v>854</v>
      </c>
      <c r="K8566" s="2" t="s">
        <v>125</v>
      </c>
      <c r="L8566" s="2" t="s">
        <v>34</v>
      </c>
      <c r="M8566" s="2"/>
      <c r="N8566" s="2"/>
      <c r="O8566" s="2"/>
      <c r="P8566" s="2" t="s">
        <v>25448</v>
      </c>
      <c r="Q8566" s="2"/>
      <c r="R8566" s="2"/>
      <c r="S8566" s="5">
        <v>209.6</v>
      </c>
      <c r="T8566" s="7">
        <v>375.05099999999999</v>
      </c>
      <c r="U8566" s="5">
        <v>13.6</v>
      </c>
      <c r="V8566" s="6">
        <v>1.45</v>
      </c>
      <c r="W8566" s="6">
        <v>28.52</v>
      </c>
      <c r="X8566" s="6">
        <v>28.71</v>
      </c>
      <c r="Y8566" s="6">
        <v>31.04</v>
      </c>
      <c r="Z8566" s="6">
        <v>30.34</v>
      </c>
      <c r="AA8566" s="6">
        <v>123.75</v>
      </c>
      <c r="AB8566" s="2" t="s">
        <v>47</v>
      </c>
      <c r="AC8566" s="2"/>
    </row>
    <row r="8567" spans="1:29" ht="169" x14ac:dyDescent="0.15">
      <c r="A8567" s="3">
        <f>DATE(2007,4,19)</f>
        <v>39191</v>
      </c>
      <c r="B8567" s="3">
        <f>DATE(2007,8,15)</f>
        <v>39309</v>
      </c>
      <c r="C8567" s="2" t="s">
        <v>95</v>
      </c>
      <c r="D8567" s="2" t="s">
        <v>19907</v>
      </c>
      <c r="E8567" s="2" t="s">
        <v>19908</v>
      </c>
      <c r="F8567" s="4">
        <v>3674</v>
      </c>
      <c r="G8567" s="2" t="s">
        <v>137</v>
      </c>
      <c r="H8567" s="2" t="s">
        <v>34</v>
      </c>
      <c r="I8567" s="2" t="s">
        <v>24629</v>
      </c>
      <c r="J8567" s="2" t="s">
        <v>244</v>
      </c>
      <c r="K8567" s="2" t="s">
        <v>53</v>
      </c>
      <c r="L8567" s="2" t="s">
        <v>34</v>
      </c>
      <c r="M8567" s="2"/>
      <c r="N8567" s="2"/>
      <c r="O8567" s="2"/>
      <c r="P8567" s="2" t="s">
        <v>25449</v>
      </c>
      <c r="Q8567" s="6">
        <v>100</v>
      </c>
      <c r="R8567" s="6">
        <v>14.5</v>
      </c>
      <c r="S8567" s="5">
        <v>29.9</v>
      </c>
      <c r="T8567" s="7">
        <v>85.033000000000001</v>
      </c>
      <c r="U8567" s="5">
        <v>6.9</v>
      </c>
      <c r="V8567" s="6">
        <v>0.4</v>
      </c>
      <c r="W8567" s="6">
        <v>13.29</v>
      </c>
      <c r="X8567" s="6">
        <v>13.32</v>
      </c>
      <c r="Y8567" s="6">
        <v>13.28</v>
      </c>
      <c r="Z8567" s="6">
        <v>14.07</v>
      </c>
      <c r="AA8567" s="6">
        <v>73.64</v>
      </c>
      <c r="AB8567" s="7">
        <v>19.228999999999999</v>
      </c>
      <c r="AC8567" s="2"/>
    </row>
    <row r="8568" spans="1:29" ht="117" x14ac:dyDescent="0.15">
      <c r="A8568" s="3">
        <f>DATE(2007,4,20)</f>
        <v>39192</v>
      </c>
      <c r="B8568" s="2"/>
      <c r="C8568" s="2" t="s">
        <v>30</v>
      </c>
      <c r="D8568" s="2" t="s">
        <v>25450</v>
      </c>
      <c r="E8568" s="2" t="s">
        <v>4003</v>
      </c>
      <c r="F8568" s="4">
        <v>5661</v>
      </c>
      <c r="G8568" s="2" t="s">
        <v>756</v>
      </c>
      <c r="H8568" s="2" t="s">
        <v>34</v>
      </c>
      <c r="I8568" s="2" t="s">
        <v>24302</v>
      </c>
      <c r="J8568" s="2" t="s">
        <v>24303</v>
      </c>
      <c r="K8568" s="2" t="s">
        <v>756</v>
      </c>
      <c r="L8568" s="2" t="s">
        <v>34</v>
      </c>
      <c r="M8568" s="12">
        <v>3761.9459999999999</v>
      </c>
      <c r="N8568" s="6">
        <v>24.21</v>
      </c>
      <c r="O8568" s="6">
        <v>23.91</v>
      </c>
      <c r="P8568" s="2" t="s">
        <v>25451</v>
      </c>
      <c r="Q8568" s="2"/>
      <c r="R8568" s="6">
        <v>51</v>
      </c>
      <c r="S8568" s="5">
        <v>67.599999999999994</v>
      </c>
      <c r="T8568" s="7">
        <v>162.45599999999999</v>
      </c>
      <c r="U8568" s="5">
        <v>17.5</v>
      </c>
      <c r="V8568" s="6">
        <v>2.61</v>
      </c>
      <c r="W8568" s="6">
        <v>38.75</v>
      </c>
      <c r="X8568" s="5">
        <v>39.6</v>
      </c>
      <c r="Y8568" s="5">
        <v>42.6</v>
      </c>
      <c r="Z8568" s="6">
        <v>43.74</v>
      </c>
      <c r="AA8568" s="6">
        <v>22.75</v>
      </c>
      <c r="AB8568" s="7">
        <v>10.307</v>
      </c>
      <c r="AC8568" s="5">
        <v>484</v>
      </c>
    </row>
    <row r="8569" spans="1:29" ht="156" x14ac:dyDescent="0.15">
      <c r="A8569" s="3">
        <f>DATE(2007,4,20)</f>
        <v>39192</v>
      </c>
      <c r="B8569" s="3">
        <f>DATE(2007,7,19)</f>
        <v>39282</v>
      </c>
      <c r="C8569" s="2" t="s">
        <v>95</v>
      </c>
      <c r="D8569" s="2" t="s">
        <v>25025</v>
      </c>
      <c r="E8569" s="2" t="s">
        <v>25026</v>
      </c>
      <c r="F8569" s="4">
        <v>3537</v>
      </c>
      <c r="G8569" s="2" t="s">
        <v>300</v>
      </c>
      <c r="H8569" s="2" t="s">
        <v>34</v>
      </c>
      <c r="I8569" s="2" t="s">
        <v>51</v>
      </c>
      <c r="J8569" s="2" t="s">
        <v>52</v>
      </c>
      <c r="K8569" s="2" t="s">
        <v>53</v>
      </c>
      <c r="L8569" s="2" t="s">
        <v>34</v>
      </c>
      <c r="M8569" s="2"/>
      <c r="N8569" s="2"/>
      <c r="O8569" s="2"/>
      <c r="P8569" s="2" t="s">
        <v>25452</v>
      </c>
      <c r="Q8569" s="6">
        <v>100</v>
      </c>
      <c r="R8569" s="6">
        <v>27.1</v>
      </c>
      <c r="S8569" s="5">
        <v>67.7</v>
      </c>
      <c r="T8569" s="7">
        <v>205.70699999999999</v>
      </c>
      <c r="U8569" s="5">
        <v>19.7</v>
      </c>
      <c r="V8569" s="6">
        <v>2.0699999999999998</v>
      </c>
      <c r="W8569" s="6">
        <v>23.46</v>
      </c>
      <c r="X8569" s="6">
        <v>23.64</v>
      </c>
      <c r="Y8569" s="6">
        <v>24.23</v>
      </c>
      <c r="Z8569" s="6">
        <v>24.15</v>
      </c>
      <c r="AA8569" s="6">
        <v>29.42</v>
      </c>
      <c r="AB8569" s="7">
        <v>13.356</v>
      </c>
      <c r="AC8569" s="2"/>
    </row>
    <row r="8570" spans="1:29" ht="117" x14ac:dyDescent="0.15">
      <c r="A8570" s="3">
        <f>DATE(2007,4,23)</f>
        <v>39195</v>
      </c>
      <c r="B8570" s="3">
        <f>DATE(2007,6,18)</f>
        <v>39251</v>
      </c>
      <c r="C8570" s="2" t="s">
        <v>95</v>
      </c>
      <c r="D8570" s="2" t="s">
        <v>15331</v>
      </c>
      <c r="E8570" s="2" t="s">
        <v>15332</v>
      </c>
      <c r="F8570" s="4">
        <v>2836</v>
      </c>
      <c r="G8570" s="2" t="s">
        <v>130</v>
      </c>
      <c r="H8570" s="2" t="s">
        <v>34</v>
      </c>
      <c r="I8570" s="2" t="s">
        <v>25453</v>
      </c>
      <c r="J8570" s="2" t="s">
        <v>5670</v>
      </c>
      <c r="K8570" s="2" t="s">
        <v>130</v>
      </c>
      <c r="L8570" s="2" t="s">
        <v>303</v>
      </c>
      <c r="M8570" s="12">
        <v>81502.623999999996</v>
      </c>
      <c r="N8570" s="7">
        <v>56.634</v>
      </c>
      <c r="O8570" s="7">
        <v>55.826999999999998</v>
      </c>
      <c r="P8570" s="2" t="s">
        <v>25454</v>
      </c>
      <c r="Q8570" s="6">
        <v>100</v>
      </c>
      <c r="R8570" s="6">
        <v>58</v>
      </c>
      <c r="S8570" s="5">
        <v>161.69999999999999</v>
      </c>
      <c r="T8570" s="5">
        <v>220.8</v>
      </c>
      <c r="U8570" s="5">
        <v>6.2</v>
      </c>
      <c r="V8570" s="6">
        <v>0.67</v>
      </c>
      <c r="W8570" s="6">
        <v>45.44</v>
      </c>
      <c r="X8570" s="6">
        <v>48.01</v>
      </c>
      <c r="Y8570" s="6">
        <v>56.57</v>
      </c>
      <c r="Z8570" s="6">
        <v>56.63</v>
      </c>
      <c r="AA8570" s="6">
        <v>264.77</v>
      </c>
      <c r="AB8570" s="7">
        <v>142.50899999999999</v>
      </c>
      <c r="AC8570" s="10">
        <v>6412.4</v>
      </c>
    </row>
    <row r="8571" spans="1:29" ht="143" x14ac:dyDescent="0.15">
      <c r="A8571" s="3">
        <f>DATE(2007,4,23)</f>
        <v>39195</v>
      </c>
      <c r="B8571" s="3">
        <f>DATE(2007,6,6)</f>
        <v>39239</v>
      </c>
      <c r="C8571" s="2" t="s">
        <v>95</v>
      </c>
      <c r="D8571" s="2" t="s">
        <v>25455</v>
      </c>
      <c r="E8571" s="2" t="s">
        <v>25456</v>
      </c>
      <c r="F8571" s="4">
        <v>3679</v>
      </c>
      <c r="G8571" s="2" t="s">
        <v>137</v>
      </c>
      <c r="H8571" s="2" t="s">
        <v>34</v>
      </c>
      <c r="I8571" s="2" t="s">
        <v>19836</v>
      </c>
      <c r="J8571" s="2" t="s">
        <v>19837</v>
      </c>
      <c r="K8571" s="2" t="s">
        <v>921</v>
      </c>
      <c r="L8571" s="2" t="s">
        <v>34</v>
      </c>
      <c r="M8571" s="6">
        <v>400.36</v>
      </c>
      <c r="N8571" s="6">
        <v>16.559999999999999</v>
      </c>
      <c r="O8571" s="6">
        <v>16.329999999999998</v>
      </c>
      <c r="P8571" s="2" t="s">
        <v>25457</v>
      </c>
      <c r="Q8571" s="6">
        <v>58.16</v>
      </c>
      <c r="R8571" s="2"/>
      <c r="S8571" s="5">
        <v>-23.1</v>
      </c>
      <c r="T8571" s="7">
        <v>-14.625</v>
      </c>
      <c r="U8571" s="5">
        <v>1.5</v>
      </c>
      <c r="V8571" s="6">
        <v>-0.21</v>
      </c>
      <c r="W8571" s="6">
        <v>1.39</v>
      </c>
      <c r="X8571" s="6">
        <v>1.38</v>
      </c>
      <c r="Y8571" s="6">
        <v>1.48</v>
      </c>
      <c r="Z8571" s="5">
        <v>1.5</v>
      </c>
      <c r="AA8571" s="6">
        <v>113.49</v>
      </c>
      <c r="AB8571" s="2" t="s">
        <v>86</v>
      </c>
      <c r="AC8571" s="6">
        <v>161.59</v>
      </c>
    </row>
    <row r="8572" spans="1:29" ht="104" x14ac:dyDescent="0.15">
      <c r="A8572" s="3">
        <f>DATE(2007,4,23)</f>
        <v>39195</v>
      </c>
      <c r="B8572" s="3">
        <f>DATE(2007,7,23)</f>
        <v>39286</v>
      </c>
      <c r="C8572" s="2" t="s">
        <v>95</v>
      </c>
      <c r="D8572" s="2" t="s">
        <v>25458</v>
      </c>
      <c r="E8572" s="2" t="s">
        <v>25459</v>
      </c>
      <c r="F8572" s="4">
        <v>3669</v>
      </c>
      <c r="G8572" s="2" t="s">
        <v>921</v>
      </c>
      <c r="H8572" s="2" t="s">
        <v>34</v>
      </c>
      <c r="I8572" s="2" t="s">
        <v>15145</v>
      </c>
      <c r="J8572" s="2" t="s">
        <v>15146</v>
      </c>
      <c r="K8572" s="2" t="s">
        <v>921</v>
      </c>
      <c r="L8572" s="2" t="s">
        <v>34</v>
      </c>
      <c r="M8572" s="12">
        <v>42812.180999999997</v>
      </c>
      <c r="N8572" s="6">
        <v>17.89</v>
      </c>
      <c r="O8572" s="6">
        <v>17.64</v>
      </c>
      <c r="P8572" s="2" t="s">
        <v>25460</v>
      </c>
      <c r="Q8572" s="6">
        <v>100</v>
      </c>
      <c r="R8572" s="6">
        <v>1.8</v>
      </c>
      <c r="S8572" s="5">
        <v>-6.9</v>
      </c>
      <c r="T8572" s="7">
        <v>-15.266</v>
      </c>
      <c r="U8572" s="5">
        <v>0.2</v>
      </c>
      <c r="V8572" s="6">
        <v>-0.09</v>
      </c>
      <c r="W8572" s="6">
        <v>1.65</v>
      </c>
      <c r="X8572" s="6">
        <v>1.84</v>
      </c>
      <c r="Y8572" s="6">
        <v>1.73</v>
      </c>
      <c r="Z8572" s="6">
        <v>1.73</v>
      </c>
      <c r="AA8572" s="6">
        <v>77.64</v>
      </c>
      <c r="AB8572" s="2" t="s">
        <v>86</v>
      </c>
      <c r="AC8572" s="8">
        <v>8955</v>
      </c>
    </row>
    <row r="8573" spans="1:29" ht="130" x14ac:dyDescent="0.15">
      <c r="A8573" s="3">
        <f>DATE(2007,4,24)</f>
        <v>39196</v>
      </c>
      <c r="B8573" s="3">
        <f>DATE(2007,8,17)</f>
        <v>39311</v>
      </c>
      <c r="C8573" s="2" t="s">
        <v>95</v>
      </c>
      <c r="D8573" s="2" t="s">
        <v>25461</v>
      </c>
      <c r="E8573" s="2" t="s">
        <v>3780</v>
      </c>
      <c r="F8573" s="4">
        <v>6021</v>
      </c>
      <c r="G8573" s="2" t="s">
        <v>37</v>
      </c>
      <c r="H8573" s="2" t="s">
        <v>34</v>
      </c>
      <c r="I8573" s="2" t="s">
        <v>25462</v>
      </c>
      <c r="J8573" s="2" t="s">
        <v>36</v>
      </c>
      <c r="K8573" s="2" t="s">
        <v>37</v>
      </c>
      <c r="L8573" s="2" t="s">
        <v>34</v>
      </c>
      <c r="M8573" s="12">
        <v>2257.4630000000002</v>
      </c>
      <c r="N8573" s="6">
        <v>39.950000000000003</v>
      </c>
      <c r="O8573" s="6">
        <v>40.159999999999997</v>
      </c>
      <c r="P8573" s="2" t="s">
        <v>25463</v>
      </c>
      <c r="Q8573" s="6">
        <v>100</v>
      </c>
      <c r="R8573" s="6">
        <v>24</v>
      </c>
      <c r="S8573" s="5">
        <v>6.8</v>
      </c>
      <c r="T8573" s="2"/>
      <c r="U8573" s="5">
        <v>9.4</v>
      </c>
      <c r="V8573" s="6">
        <v>1.1399999999999999</v>
      </c>
      <c r="W8573" s="6">
        <v>19.329999999999998</v>
      </c>
      <c r="X8573" s="5">
        <v>19.5</v>
      </c>
      <c r="Y8573" s="5">
        <v>19.3</v>
      </c>
      <c r="Z8573" s="6">
        <v>23.15</v>
      </c>
      <c r="AA8573" s="6">
        <v>5.94</v>
      </c>
      <c r="AB8573" s="7">
        <v>14.073</v>
      </c>
      <c r="AC8573" s="2"/>
    </row>
    <row r="8574" spans="1:29" ht="130" x14ac:dyDescent="0.15">
      <c r="A8574" s="3">
        <f>DATE(2007,4,24)</f>
        <v>39196</v>
      </c>
      <c r="B8574" s="3">
        <f>DATE(2007,7,17)</f>
        <v>39280</v>
      </c>
      <c r="C8574" s="2" t="s">
        <v>95</v>
      </c>
      <c r="D8574" s="2" t="s">
        <v>25464</v>
      </c>
      <c r="E8574" s="2" t="s">
        <v>92</v>
      </c>
      <c r="F8574" s="4">
        <v>6798</v>
      </c>
      <c r="G8574" s="2" t="s">
        <v>53</v>
      </c>
      <c r="H8574" s="2" t="s">
        <v>34</v>
      </c>
      <c r="I8574" s="2" t="s">
        <v>25465</v>
      </c>
      <c r="J8574" s="2" t="s">
        <v>8736</v>
      </c>
      <c r="K8574" s="2" t="s">
        <v>53</v>
      </c>
      <c r="L8574" s="2" t="s">
        <v>34</v>
      </c>
      <c r="M8574" s="2"/>
      <c r="N8574" s="2"/>
      <c r="O8574" s="2"/>
      <c r="P8574" s="2" t="s">
        <v>25466</v>
      </c>
      <c r="Q8574" s="6">
        <v>100</v>
      </c>
      <c r="R8574" s="6">
        <v>19.5</v>
      </c>
      <c r="S8574" s="5">
        <v>25.8</v>
      </c>
      <c r="T8574" s="7">
        <v>75.772999999999996</v>
      </c>
      <c r="U8574" s="5">
        <v>8.5</v>
      </c>
      <c r="V8574" s="6">
        <v>0.32</v>
      </c>
      <c r="W8574" s="6">
        <v>19.04</v>
      </c>
      <c r="X8574" s="5">
        <v>18.8</v>
      </c>
      <c r="Y8574" s="5">
        <v>19.3</v>
      </c>
      <c r="Z8574" s="6">
        <v>19.18</v>
      </c>
      <c r="AA8574" s="6">
        <v>61.41</v>
      </c>
      <c r="AB8574" s="7">
        <v>66.704999999999998</v>
      </c>
      <c r="AC8574" s="2"/>
    </row>
    <row r="8575" spans="1:29" ht="130" x14ac:dyDescent="0.15">
      <c r="A8575" s="3">
        <f>DATE(2007,4,24)</f>
        <v>39196</v>
      </c>
      <c r="B8575" s="2"/>
      <c r="C8575" s="2" t="s">
        <v>30</v>
      </c>
      <c r="D8575" s="2" t="s">
        <v>25467</v>
      </c>
      <c r="E8575" s="2" t="s">
        <v>25468</v>
      </c>
      <c r="F8575" s="4">
        <v>3089</v>
      </c>
      <c r="G8575" s="2" t="s">
        <v>447</v>
      </c>
      <c r="H8575" s="2" t="s">
        <v>34</v>
      </c>
      <c r="I8575" s="2" t="s">
        <v>25018</v>
      </c>
      <c r="J8575" s="2" t="s">
        <v>244</v>
      </c>
      <c r="K8575" s="2" t="s">
        <v>53</v>
      </c>
      <c r="L8575" s="2" t="s">
        <v>34</v>
      </c>
      <c r="M8575" s="2"/>
      <c r="N8575" s="2"/>
      <c r="O8575" s="2"/>
      <c r="P8575" s="2" t="s">
        <v>25469</v>
      </c>
      <c r="Q8575" s="2"/>
      <c r="R8575" s="6">
        <v>22.5</v>
      </c>
      <c r="S8575" s="5">
        <v>-65.099999999999994</v>
      </c>
      <c r="T8575" s="6">
        <v>95.74</v>
      </c>
      <c r="U8575" s="5">
        <v>8.6</v>
      </c>
      <c r="V8575" s="6">
        <v>0.93</v>
      </c>
      <c r="W8575" s="6">
        <v>20.010000000000002</v>
      </c>
      <c r="X8575" s="6">
        <v>21.51</v>
      </c>
      <c r="Y8575" s="6">
        <v>22.43</v>
      </c>
      <c r="Z8575" s="5">
        <v>22.5</v>
      </c>
      <c r="AA8575" s="6">
        <v>35.11</v>
      </c>
      <c r="AB8575" s="7">
        <v>15.590999999999999</v>
      </c>
      <c r="AC8575" s="2"/>
    </row>
    <row r="8576" spans="1:29" ht="91" x14ac:dyDescent="0.15">
      <c r="A8576" s="3">
        <f>DATE(2007,4,24)</f>
        <v>39196</v>
      </c>
      <c r="B8576" s="3">
        <f>DATE(2007,8,23)</f>
        <v>39317</v>
      </c>
      <c r="C8576" s="2" t="s">
        <v>95</v>
      </c>
      <c r="D8576" s="2" t="s">
        <v>25470</v>
      </c>
      <c r="E8576" s="2" t="s">
        <v>25326</v>
      </c>
      <c r="F8576" s="4">
        <v>8062</v>
      </c>
      <c r="G8576" s="2" t="s">
        <v>454</v>
      </c>
      <c r="H8576" s="2" t="s">
        <v>34</v>
      </c>
      <c r="I8576" s="2" t="s">
        <v>25471</v>
      </c>
      <c r="J8576" s="2" t="s">
        <v>244</v>
      </c>
      <c r="K8576" s="2" t="s">
        <v>53</v>
      </c>
      <c r="L8576" s="2" t="s">
        <v>34</v>
      </c>
      <c r="M8576" s="2"/>
      <c r="N8576" s="2"/>
      <c r="O8576" s="2"/>
      <c r="P8576" s="2" t="s">
        <v>25472</v>
      </c>
      <c r="Q8576" s="6">
        <v>100</v>
      </c>
      <c r="R8576" s="6">
        <v>22.35</v>
      </c>
      <c r="S8576" s="5">
        <v>18.8</v>
      </c>
      <c r="T8576" s="7">
        <v>75.504000000000005</v>
      </c>
      <c r="U8576" s="5">
        <v>13.4</v>
      </c>
      <c r="V8576" s="6">
        <v>0.88</v>
      </c>
      <c r="W8576" s="6">
        <v>19.71</v>
      </c>
      <c r="X8576" s="6">
        <v>19.03</v>
      </c>
      <c r="Y8576" s="4">
        <v>1</v>
      </c>
      <c r="Z8576" s="4">
        <v>1</v>
      </c>
      <c r="AA8576" s="6">
        <v>21.67</v>
      </c>
      <c r="AB8576" s="7">
        <v>9.5920000000000005</v>
      </c>
      <c r="AC8576" s="2"/>
    </row>
    <row r="8577" spans="1:29" ht="91" x14ac:dyDescent="0.15">
      <c r="A8577" s="3">
        <f>DATE(2007,4,25)</f>
        <v>39197</v>
      </c>
      <c r="B8577" s="3">
        <f>DATE(2007,7,2)</f>
        <v>39265</v>
      </c>
      <c r="C8577" s="2" t="s">
        <v>95</v>
      </c>
      <c r="D8577" s="2" t="s">
        <v>25473</v>
      </c>
      <c r="E8577" s="2" t="s">
        <v>5549</v>
      </c>
      <c r="F8577" s="4">
        <v>7371</v>
      </c>
      <c r="G8577" s="2" t="s">
        <v>223</v>
      </c>
      <c r="H8577" s="2" t="s">
        <v>34</v>
      </c>
      <c r="I8577" s="2" t="s">
        <v>7836</v>
      </c>
      <c r="J8577" s="2" t="s">
        <v>7837</v>
      </c>
      <c r="K8577" s="2" t="s">
        <v>223</v>
      </c>
      <c r="L8577" s="2" t="s">
        <v>34</v>
      </c>
      <c r="M8577" s="12">
        <v>9007.2270000000008</v>
      </c>
      <c r="N8577" s="6">
        <v>55.97</v>
      </c>
      <c r="O8577" s="6">
        <v>55.83</v>
      </c>
      <c r="P8577" s="2" t="s">
        <v>25474</v>
      </c>
      <c r="Q8577" s="6">
        <v>100</v>
      </c>
      <c r="R8577" s="6">
        <v>34</v>
      </c>
      <c r="S8577" s="5">
        <v>39.700000000000003</v>
      </c>
      <c r="T8577" s="7">
        <v>66.531000000000006</v>
      </c>
      <c r="U8577" s="5">
        <v>6.7</v>
      </c>
      <c r="V8577" s="6">
        <v>1.04</v>
      </c>
      <c r="W8577" s="6">
        <v>26.91</v>
      </c>
      <c r="X8577" s="4">
        <v>26</v>
      </c>
      <c r="Y8577" s="5">
        <v>26.8</v>
      </c>
      <c r="Z8577" s="6">
        <v>33.29</v>
      </c>
      <c r="AA8577" s="6">
        <v>36.39</v>
      </c>
      <c r="AB8577" s="7">
        <v>23.652999999999999</v>
      </c>
      <c r="AC8577" s="8">
        <v>1050.0999999999999</v>
      </c>
    </row>
    <row r="8578" spans="1:29" ht="143" x14ac:dyDescent="0.15">
      <c r="A8578" s="3">
        <f>DATE(2007,4,25)</f>
        <v>39197</v>
      </c>
      <c r="B8578" s="2"/>
      <c r="C8578" s="2" t="s">
        <v>30</v>
      </c>
      <c r="D8578" s="2" t="s">
        <v>25020</v>
      </c>
      <c r="E8578" s="2" t="s">
        <v>25021</v>
      </c>
      <c r="F8578" s="4">
        <v>8051</v>
      </c>
      <c r="G8578" s="2" t="s">
        <v>454</v>
      </c>
      <c r="H8578" s="2" t="s">
        <v>34</v>
      </c>
      <c r="I8578" s="2" t="s">
        <v>23543</v>
      </c>
      <c r="J8578" s="2" t="s">
        <v>22486</v>
      </c>
      <c r="K8578" s="2" t="s">
        <v>53</v>
      </c>
      <c r="L8578" s="2" t="s">
        <v>34</v>
      </c>
      <c r="M8578" s="2"/>
      <c r="N8578" s="2"/>
      <c r="O8578" s="2"/>
      <c r="P8578" s="2" t="s">
        <v>25475</v>
      </c>
      <c r="Q8578" s="2"/>
      <c r="R8578" s="6">
        <v>69.25</v>
      </c>
      <c r="S8578" s="5">
        <v>34.4</v>
      </c>
      <c r="T8578" s="7">
        <v>165.983</v>
      </c>
      <c r="U8578" s="5">
        <v>36.5</v>
      </c>
      <c r="V8578" s="6">
        <v>1.76</v>
      </c>
      <c r="W8578" s="6">
        <v>63.23</v>
      </c>
      <c r="X8578" s="6">
        <v>63.23</v>
      </c>
      <c r="Y8578" s="6">
        <v>64.010000000000005</v>
      </c>
      <c r="Z8578" s="5">
        <v>63.9</v>
      </c>
      <c r="AA8578" s="6">
        <v>19.78</v>
      </c>
      <c r="AB8578" s="7">
        <v>18.638000000000002</v>
      </c>
      <c r="AC8578" s="2"/>
    </row>
    <row r="8579" spans="1:29" ht="130" x14ac:dyDescent="0.15">
      <c r="A8579" s="3">
        <f>DATE(2007,4,25)</f>
        <v>39197</v>
      </c>
      <c r="B8579" s="3">
        <f>DATE(2007,8,9)</f>
        <v>39303</v>
      </c>
      <c r="C8579" s="2" t="s">
        <v>95</v>
      </c>
      <c r="D8579" s="2" t="s">
        <v>20516</v>
      </c>
      <c r="E8579" s="2" t="s">
        <v>13671</v>
      </c>
      <c r="F8579" s="4">
        <v>3949</v>
      </c>
      <c r="G8579" s="2" t="s">
        <v>112</v>
      </c>
      <c r="H8579" s="2" t="s">
        <v>34</v>
      </c>
      <c r="I8579" s="2" t="s">
        <v>25476</v>
      </c>
      <c r="J8579" s="2" t="s">
        <v>25477</v>
      </c>
      <c r="K8579" s="2" t="s">
        <v>593</v>
      </c>
      <c r="L8579" s="2" t="s">
        <v>34</v>
      </c>
      <c r="M8579" s="12">
        <v>2723.6309999999999</v>
      </c>
      <c r="N8579" s="6">
        <v>41.58</v>
      </c>
      <c r="O8579" s="6">
        <v>42.09</v>
      </c>
      <c r="P8579" s="2" t="s">
        <v>25478</v>
      </c>
      <c r="Q8579" s="6">
        <v>100</v>
      </c>
      <c r="R8579" s="6">
        <v>15.55</v>
      </c>
      <c r="S8579" s="5">
        <v>38.799999999999997</v>
      </c>
      <c r="T8579" s="7">
        <v>123.27200000000001</v>
      </c>
      <c r="U8579" s="5">
        <v>11</v>
      </c>
      <c r="V8579" s="6">
        <v>0.74</v>
      </c>
      <c r="W8579" s="6">
        <v>12.63</v>
      </c>
      <c r="X8579" s="6">
        <v>12.58</v>
      </c>
      <c r="Y8579" s="5">
        <v>15.1</v>
      </c>
      <c r="Z8579" s="6">
        <v>15.12</v>
      </c>
      <c r="AA8579" s="6">
        <v>49.41</v>
      </c>
      <c r="AB8579" s="7">
        <v>13.31</v>
      </c>
      <c r="AC8579" s="5">
        <v>391.5</v>
      </c>
    </row>
    <row r="8580" spans="1:29" ht="104" x14ac:dyDescent="0.15">
      <c r="A8580" s="3">
        <f>DATE(2007,4,25)</f>
        <v>39197</v>
      </c>
      <c r="B8580" s="3">
        <f>DATE(2007,8,31)</f>
        <v>39325</v>
      </c>
      <c r="C8580" s="2" t="s">
        <v>95</v>
      </c>
      <c r="D8580" s="2" t="s">
        <v>25479</v>
      </c>
      <c r="E8580" s="2" t="s">
        <v>8742</v>
      </c>
      <c r="F8580" s="4">
        <v>8082</v>
      </c>
      <c r="G8580" s="2" t="s">
        <v>454</v>
      </c>
      <c r="H8580" s="2" t="s">
        <v>34</v>
      </c>
      <c r="I8580" s="2" t="s">
        <v>25480</v>
      </c>
      <c r="J8580" s="2" t="s">
        <v>1620</v>
      </c>
      <c r="K8580" s="2" t="s">
        <v>53</v>
      </c>
      <c r="L8580" s="2" t="s">
        <v>34</v>
      </c>
      <c r="M8580" s="2"/>
      <c r="N8580" s="2"/>
      <c r="O8580" s="2"/>
      <c r="P8580" s="2" t="s">
        <v>25481</v>
      </c>
      <c r="Q8580" s="6">
        <v>85.1</v>
      </c>
      <c r="R8580" s="6">
        <v>16.25</v>
      </c>
      <c r="S8580" s="5">
        <v>0.6</v>
      </c>
      <c r="T8580" s="7">
        <v>-11.718999999999999</v>
      </c>
      <c r="U8580" s="5">
        <v>13.2</v>
      </c>
      <c r="V8580" s="6">
        <v>-0.74</v>
      </c>
      <c r="W8580" s="6">
        <v>13.99</v>
      </c>
      <c r="X8580" s="6">
        <v>13.78</v>
      </c>
      <c r="Y8580" s="5">
        <v>13.7</v>
      </c>
      <c r="Z8580" s="6">
        <v>15.84</v>
      </c>
      <c r="AA8580" s="6">
        <v>7.55</v>
      </c>
      <c r="AB8580" s="2" t="s">
        <v>86</v>
      </c>
      <c r="AC8580" s="2"/>
    </row>
    <row r="8581" spans="1:29" ht="117" x14ac:dyDescent="0.15">
      <c r="A8581" s="3">
        <f>DATE(2007,4,26)</f>
        <v>39198</v>
      </c>
      <c r="B8581" s="3">
        <f>DATE(2007,7,11)</f>
        <v>39274</v>
      </c>
      <c r="C8581" s="2" t="s">
        <v>95</v>
      </c>
      <c r="D8581" s="2" t="s">
        <v>25482</v>
      </c>
      <c r="E8581" s="2" t="s">
        <v>25483</v>
      </c>
      <c r="F8581" s="4">
        <v>3577</v>
      </c>
      <c r="G8581" s="2" t="s">
        <v>50</v>
      </c>
      <c r="H8581" s="2" t="s">
        <v>34</v>
      </c>
      <c r="I8581" s="2" t="s">
        <v>25484</v>
      </c>
      <c r="J8581" s="2" t="s">
        <v>25485</v>
      </c>
      <c r="K8581" s="2" t="s">
        <v>551</v>
      </c>
      <c r="L8581" s="2" t="s">
        <v>34</v>
      </c>
      <c r="M8581" s="7">
        <v>160.399</v>
      </c>
      <c r="N8581" s="6">
        <v>5.81</v>
      </c>
      <c r="O8581" s="6">
        <v>6.04</v>
      </c>
      <c r="P8581" s="2" t="s">
        <v>25486</v>
      </c>
      <c r="Q8581" s="6">
        <v>100</v>
      </c>
      <c r="R8581" s="6">
        <v>4.1399999999999997</v>
      </c>
      <c r="S8581" s="5">
        <v>0.7</v>
      </c>
      <c r="T8581" s="7">
        <v>0.50700000000000001</v>
      </c>
      <c r="U8581" s="5">
        <v>2.2999999999999998</v>
      </c>
      <c r="V8581" s="6">
        <v>0.14000000000000001</v>
      </c>
      <c r="W8581" s="6">
        <v>3.45</v>
      </c>
      <c r="X8581" s="5">
        <v>3.4</v>
      </c>
      <c r="Y8581" s="6">
        <v>3.77</v>
      </c>
      <c r="Z8581" s="6">
        <v>3.77</v>
      </c>
      <c r="AA8581" s="6">
        <v>4.05</v>
      </c>
      <c r="AB8581" s="7">
        <v>22.611000000000001</v>
      </c>
      <c r="AC8581" s="6">
        <v>21.08</v>
      </c>
    </row>
    <row r="8582" spans="1:29" ht="182" x14ac:dyDescent="0.15">
      <c r="A8582" s="3">
        <f>DATE(2007,4,26)</f>
        <v>39198</v>
      </c>
      <c r="B8582" s="2"/>
      <c r="C8582" s="2" t="s">
        <v>30</v>
      </c>
      <c r="D8582" s="2" t="s">
        <v>25487</v>
      </c>
      <c r="E8582" s="2" t="s">
        <v>25488</v>
      </c>
      <c r="F8582" s="4">
        <v>3651</v>
      </c>
      <c r="G8582" s="2" t="s">
        <v>137</v>
      </c>
      <c r="H8582" s="2" t="s">
        <v>34</v>
      </c>
      <c r="I8582" s="2" t="s">
        <v>51</v>
      </c>
      <c r="J8582" s="2" t="s">
        <v>52</v>
      </c>
      <c r="K8582" s="2" t="s">
        <v>53</v>
      </c>
      <c r="L8582" s="2" t="s">
        <v>34</v>
      </c>
      <c r="M8582" s="2"/>
      <c r="N8582" s="2"/>
      <c r="O8582" s="2"/>
      <c r="P8582" s="2" t="s">
        <v>25489</v>
      </c>
      <c r="Q8582" s="2"/>
      <c r="R8582" s="6">
        <v>120</v>
      </c>
      <c r="S8582" s="5">
        <v>273.8</v>
      </c>
      <c r="T8582" s="7">
        <v>550.077</v>
      </c>
      <c r="U8582" s="5">
        <v>16.399999999999999</v>
      </c>
      <c r="V8582" s="6">
        <v>4.09</v>
      </c>
      <c r="W8582" s="6">
        <v>100.47</v>
      </c>
      <c r="X8582" s="6">
        <v>102.56</v>
      </c>
      <c r="Y8582" s="5">
        <v>122.5</v>
      </c>
      <c r="Z8582" s="6">
        <v>122.59</v>
      </c>
      <c r="AA8582" s="6">
        <v>65.5</v>
      </c>
      <c r="AB8582" s="7">
        <v>24.602</v>
      </c>
      <c r="AC8582" s="2"/>
    </row>
    <row r="8583" spans="1:29" ht="130" x14ac:dyDescent="0.15">
      <c r="A8583" s="3">
        <f>DATE(2007,4,26)</f>
        <v>39198</v>
      </c>
      <c r="B8583" s="3">
        <f>DATE(2007,8,16)</f>
        <v>39310</v>
      </c>
      <c r="C8583" s="2" t="s">
        <v>95</v>
      </c>
      <c r="D8583" s="2" t="s">
        <v>23949</v>
      </c>
      <c r="E8583" s="2" t="s">
        <v>11151</v>
      </c>
      <c r="F8583" s="4">
        <v>3661</v>
      </c>
      <c r="G8583" s="2" t="s">
        <v>921</v>
      </c>
      <c r="H8583" s="2" t="s">
        <v>34</v>
      </c>
      <c r="I8583" s="2" t="s">
        <v>25490</v>
      </c>
      <c r="J8583" s="2" t="s">
        <v>25491</v>
      </c>
      <c r="K8583" s="2" t="s">
        <v>921</v>
      </c>
      <c r="L8583" s="2" t="s">
        <v>902</v>
      </c>
      <c r="M8583" s="2"/>
      <c r="N8583" s="2"/>
      <c r="O8583" s="2"/>
      <c r="P8583" s="2" t="s">
        <v>25492</v>
      </c>
      <c r="Q8583" s="6">
        <v>100</v>
      </c>
      <c r="R8583" s="6">
        <v>25.6</v>
      </c>
      <c r="S8583" s="5">
        <v>24</v>
      </c>
      <c r="T8583" s="7">
        <v>44.688000000000002</v>
      </c>
      <c r="U8583" s="5">
        <v>9.5</v>
      </c>
      <c r="V8583" s="6">
        <v>0.87</v>
      </c>
      <c r="W8583" s="6">
        <v>23.75</v>
      </c>
      <c r="X8583" s="6">
        <v>23.96</v>
      </c>
      <c r="Y8583" s="6">
        <v>23.79</v>
      </c>
      <c r="Z8583" s="6">
        <v>25.25</v>
      </c>
      <c r="AA8583" s="6">
        <v>27</v>
      </c>
      <c r="AB8583" s="7">
        <v>16.722999999999999</v>
      </c>
      <c r="AC8583" s="2"/>
    </row>
    <row r="8584" spans="1:29" ht="65" x14ac:dyDescent="0.15">
      <c r="A8584" s="3">
        <f>DATE(2007,4,27)</f>
        <v>39199</v>
      </c>
      <c r="B8584" s="3">
        <f>DATE(2007,6,4)</f>
        <v>39237</v>
      </c>
      <c r="C8584" s="2" t="s">
        <v>95</v>
      </c>
      <c r="D8584" s="2" t="s">
        <v>25493</v>
      </c>
      <c r="E8584" s="2" t="s">
        <v>25494</v>
      </c>
      <c r="F8584" s="4">
        <v>7375</v>
      </c>
      <c r="G8584" s="2" t="s">
        <v>223</v>
      </c>
      <c r="H8584" s="2" t="s">
        <v>34</v>
      </c>
      <c r="I8584" s="2" t="s">
        <v>25495</v>
      </c>
      <c r="J8584" s="2" t="s">
        <v>25496</v>
      </c>
      <c r="K8584" s="2" t="s">
        <v>223</v>
      </c>
      <c r="L8584" s="2" t="s">
        <v>34</v>
      </c>
      <c r="M8584" s="12">
        <v>1202.894</v>
      </c>
      <c r="N8584" s="6">
        <v>32.85</v>
      </c>
      <c r="O8584" s="4">
        <v>33</v>
      </c>
      <c r="P8584" s="2" t="s">
        <v>25497</v>
      </c>
      <c r="Q8584" s="6">
        <v>100</v>
      </c>
      <c r="R8584" s="6">
        <v>1.38</v>
      </c>
      <c r="S8584" s="5">
        <v>2.1</v>
      </c>
      <c r="T8584" s="7">
        <v>1.339</v>
      </c>
      <c r="U8584" s="5">
        <v>0.1</v>
      </c>
      <c r="V8584" s="7">
        <v>5.3999999999999999E-2</v>
      </c>
      <c r="W8584" s="6">
        <v>1.35</v>
      </c>
      <c r="X8584" s="6">
        <v>1.34</v>
      </c>
      <c r="Y8584" s="6">
        <v>1.35</v>
      </c>
      <c r="Z8584" s="6">
        <v>1.35</v>
      </c>
      <c r="AA8584" s="6">
        <v>32.57</v>
      </c>
      <c r="AB8584" s="7">
        <v>66.096999999999994</v>
      </c>
      <c r="AC8584" s="5">
        <v>139.4</v>
      </c>
    </row>
    <row r="8585" spans="1:29" ht="169" x14ac:dyDescent="0.15">
      <c r="A8585" s="3">
        <f>DATE(2007,4,30)</f>
        <v>39202</v>
      </c>
      <c r="B8585" s="3">
        <f>DATE(2007,8,15)</f>
        <v>39309</v>
      </c>
      <c r="C8585" s="2" t="s">
        <v>95</v>
      </c>
      <c r="D8585" s="2" t="s">
        <v>25498</v>
      </c>
      <c r="E8585" s="2" t="s">
        <v>6321</v>
      </c>
      <c r="F8585" s="4">
        <v>6798</v>
      </c>
      <c r="G8585" s="2" t="s">
        <v>53</v>
      </c>
      <c r="H8585" s="2" t="s">
        <v>34</v>
      </c>
      <c r="I8585" s="2" t="s">
        <v>25499</v>
      </c>
      <c r="J8585" s="2" t="s">
        <v>6321</v>
      </c>
      <c r="K8585" s="2" t="s">
        <v>53</v>
      </c>
      <c r="L8585" s="2" t="s">
        <v>34</v>
      </c>
      <c r="M8585" s="2"/>
      <c r="N8585" s="2"/>
      <c r="O8585" s="2"/>
      <c r="P8585" s="2" t="s">
        <v>25500</v>
      </c>
      <c r="Q8585" s="6">
        <v>100</v>
      </c>
      <c r="R8585" s="6">
        <v>13.35</v>
      </c>
      <c r="S8585" s="5">
        <v>10.1</v>
      </c>
      <c r="T8585" s="7">
        <v>30.004999999999999</v>
      </c>
      <c r="U8585" s="5">
        <v>9.6999999999999993</v>
      </c>
      <c r="V8585" s="6">
        <v>0.1</v>
      </c>
      <c r="W8585" s="6">
        <v>9.24</v>
      </c>
      <c r="X8585" s="5">
        <v>9.1999999999999993</v>
      </c>
      <c r="Y8585" s="5">
        <v>9.4</v>
      </c>
      <c r="Z8585" s="6">
        <v>9.99</v>
      </c>
      <c r="AA8585" s="6">
        <v>17.75</v>
      </c>
      <c r="AB8585" s="7">
        <v>58.753</v>
      </c>
      <c r="AC8585" s="2"/>
    </row>
    <row r="8586" spans="1:29" ht="182" x14ac:dyDescent="0.15">
      <c r="A8586" s="3">
        <f>DATE(2007,4,30)</f>
        <v>39202</v>
      </c>
      <c r="B8586" s="3">
        <f>DATE(2007,6,18)</f>
        <v>39251</v>
      </c>
      <c r="C8586" s="2" t="s">
        <v>95</v>
      </c>
      <c r="D8586" s="2" t="s">
        <v>25501</v>
      </c>
      <c r="E8586" s="2" t="s">
        <v>25502</v>
      </c>
      <c r="F8586" s="4">
        <v>3841</v>
      </c>
      <c r="G8586" s="2" t="s">
        <v>226</v>
      </c>
      <c r="H8586" s="2" t="s">
        <v>34</v>
      </c>
      <c r="I8586" s="2" t="s">
        <v>25503</v>
      </c>
      <c r="J8586" s="2" t="s">
        <v>25504</v>
      </c>
      <c r="K8586" s="2" t="s">
        <v>226</v>
      </c>
      <c r="L8586" s="2" t="s">
        <v>34</v>
      </c>
      <c r="M8586" s="7">
        <v>564.32399999999996</v>
      </c>
      <c r="N8586" s="6">
        <v>29.03</v>
      </c>
      <c r="O8586" s="6">
        <v>29.04</v>
      </c>
      <c r="P8586" s="2" t="s">
        <v>25505</v>
      </c>
      <c r="Q8586" s="6">
        <v>100</v>
      </c>
      <c r="R8586" s="6">
        <v>14.38</v>
      </c>
      <c r="S8586" s="5">
        <v>1.2</v>
      </c>
      <c r="T8586" s="7">
        <v>4.1959999999999997</v>
      </c>
      <c r="U8586" s="5">
        <v>4.5999999999999996</v>
      </c>
      <c r="V8586" s="6">
        <v>0.19</v>
      </c>
      <c r="W8586" s="6">
        <v>10.35</v>
      </c>
      <c r="X8586" s="6">
        <v>11.13</v>
      </c>
      <c r="Y8586" s="5">
        <v>14.2</v>
      </c>
      <c r="Z8586" s="6">
        <v>14.17</v>
      </c>
      <c r="AA8586" s="6">
        <v>6.37</v>
      </c>
      <c r="AB8586" s="7">
        <v>59.51</v>
      </c>
      <c r="AC8586" s="6">
        <v>225.74</v>
      </c>
    </row>
    <row r="8587" spans="1:29" ht="104" x14ac:dyDescent="0.15">
      <c r="A8587" s="3">
        <f>DATE(2007,4,30)</f>
        <v>39202</v>
      </c>
      <c r="B8587" s="3">
        <f>DATE(2007,12,20)</f>
        <v>39436</v>
      </c>
      <c r="C8587" s="2" t="s">
        <v>95</v>
      </c>
      <c r="D8587" s="2" t="s">
        <v>25506</v>
      </c>
      <c r="E8587" s="2" t="s">
        <v>25507</v>
      </c>
      <c r="F8587" s="4">
        <v>6231</v>
      </c>
      <c r="G8587" s="2" t="s">
        <v>53</v>
      </c>
      <c r="H8587" s="2" t="s">
        <v>34</v>
      </c>
      <c r="I8587" s="2" t="s">
        <v>25508</v>
      </c>
      <c r="J8587" s="2" t="s">
        <v>25509</v>
      </c>
      <c r="K8587" s="2" t="s">
        <v>53</v>
      </c>
      <c r="L8587" s="2" t="s">
        <v>1049</v>
      </c>
      <c r="M8587" s="2"/>
      <c r="N8587" s="2"/>
      <c r="O8587" s="2"/>
      <c r="P8587" s="2" t="s">
        <v>25510</v>
      </c>
      <c r="Q8587" s="6">
        <v>100</v>
      </c>
      <c r="R8587" s="6">
        <v>67.5</v>
      </c>
      <c r="S8587" s="5">
        <v>59.4</v>
      </c>
      <c r="T8587" s="7">
        <v>97.540999999999997</v>
      </c>
      <c r="U8587" s="5">
        <v>7.2</v>
      </c>
      <c r="V8587" s="6">
        <v>1.48</v>
      </c>
      <c r="W8587" s="6">
        <v>48.91</v>
      </c>
      <c r="X8587" s="6">
        <v>45.72</v>
      </c>
      <c r="Y8587" s="6">
        <v>66.69</v>
      </c>
      <c r="Z8587" s="6">
        <v>65.61</v>
      </c>
      <c r="AA8587" s="6">
        <v>38.82</v>
      </c>
      <c r="AB8587" s="7">
        <v>27.869</v>
      </c>
      <c r="AC8587" s="2"/>
    </row>
    <row r="8588" spans="1:29" ht="143" x14ac:dyDescent="0.15">
      <c r="A8588" s="3">
        <f>DATE(2007,5,1)</f>
        <v>39203</v>
      </c>
      <c r="B8588" s="3">
        <f>DATE(2007,11,16)</f>
        <v>39402</v>
      </c>
      <c r="C8588" s="2" t="s">
        <v>95</v>
      </c>
      <c r="D8588" s="2" t="s">
        <v>22501</v>
      </c>
      <c r="E8588" s="2" t="s">
        <v>3246</v>
      </c>
      <c r="F8588" s="4">
        <v>6021</v>
      </c>
      <c r="G8588" s="2" t="s">
        <v>37</v>
      </c>
      <c r="H8588" s="2" t="s">
        <v>34</v>
      </c>
      <c r="I8588" s="2" t="s">
        <v>4811</v>
      </c>
      <c r="J8588" s="2" t="s">
        <v>36</v>
      </c>
      <c r="K8588" s="2" t="s">
        <v>37</v>
      </c>
      <c r="L8588" s="2" t="s">
        <v>34</v>
      </c>
      <c r="M8588" s="12">
        <v>1217.2080000000001</v>
      </c>
      <c r="N8588" s="6">
        <v>21.85</v>
      </c>
      <c r="O8588" s="6">
        <v>22.21</v>
      </c>
      <c r="P8588" s="2" t="s">
        <v>25511</v>
      </c>
      <c r="Q8588" s="6">
        <v>100</v>
      </c>
      <c r="R8588" s="6">
        <v>34</v>
      </c>
      <c r="S8588" s="5">
        <v>40.1</v>
      </c>
      <c r="T8588" s="7">
        <v>58.654000000000003</v>
      </c>
      <c r="U8588" s="5">
        <v>20.8</v>
      </c>
      <c r="V8588" s="6">
        <v>1.57</v>
      </c>
      <c r="W8588" s="6">
        <v>24.78</v>
      </c>
      <c r="X8588" s="6">
        <v>23.63</v>
      </c>
      <c r="Y8588" s="6">
        <v>32.119999999999997</v>
      </c>
      <c r="Z8588" s="6">
        <v>32.54</v>
      </c>
      <c r="AA8588" s="6">
        <v>23.54</v>
      </c>
      <c r="AB8588" s="7">
        <v>26.123999999999999</v>
      </c>
      <c r="AC8588" s="2"/>
    </row>
    <row r="8589" spans="1:29" ht="91" x14ac:dyDescent="0.15">
      <c r="A8589" s="3">
        <f>DATE(2007,5,1)</f>
        <v>39203</v>
      </c>
      <c r="B8589" s="3">
        <f>DATE(2007,12,14)</f>
        <v>39430</v>
      </c>
      <c r="C8589" s="2" t="s">
        <v>95</v>
      </c>
      <c r="D8589" s="2" t="s">
        <v>22494</v>
      </c>
      <c r="E8589" s="2" t="s">
        <v>22495</v>
      </c>
      <c r="F8589" s="4">
        <v>2711</v>
      </c>
      <c r="G8589" s="2" t="s">
        <v>186</v>
      </c>
      <c r="H8589" s="2" t="s">
        <v>34</v>
      </c>
      <c r="I8589" s="2" t="s">
        <v>22609</v>
      </c>
      <c r="J8589" s="2" t="s">
        <v>398</v>
      </c>
      <c r="K8589" s="2" t="s">
        <v>42</v>
      </c>
      <c r="L8589" s="2" t="s">
        <v>34</v>
      </c>
      <c r="M8589" s="12">
        <v>74666.972999999998</v>
      </c>
      <c r="N8589" s="6">
        <v>21.45</v>
      </c>
      <c r="O8589" s="6">
        <v>21.59</v>
      </c>
      <c r="P8589" s="2" t="s">
        <v>25512</v>
      </c>
      <c r="Q8589" s="6">
        <v>100</v>
      </c>
      <c r="R8589" s="6">
        <v>60</v>
      </c>
      <c r="S8589" s="5">
        <v>114.2</v>
      </c>
      <c r="T8589" s="7">
        <v>261.55700000000002</v>
      </c>
      <c r="U8589" s="5">
        <v>6</v>
      </c>
      <c r="V8589" s="6">
        <v>1.34</v>
      </c>
      <c r="W8589" s="6">
        <v>36.369999999999997</v>
      </c>
      <c r="X8589" s="6">
        <v>36.33</v>
      </c>
      <c r="Y8589" s="5">
        <v>56.2</v>
      </c>
      <c r="Z8589" s="4">
        <v>56</v>
      </c>
      <c r="AA8589" s="6">
        <v>83.76</v>
      </c>
      <c r="AB8589" s="7">
        <v>34.311999999999998</v>
      </c>
      <c r="AC8589" s="8">
        <v>7246</v>
      </c>
    </row>
    <row r="8590" spans="1:29" ht="143" x14ac:dyDescent="0.15">
      <c r="A8590" s="3">
        <f>DATE(2007,5,1)</f>
        <v>39203</v>
      </c>
      <c r="B8590" s="3">
        <f>DATE(2007,9,4)</f>
        <v>39329</v>
      </c>
      <c r="C8590" s="2" t="s">
        <v>95</v>
      </c>
      <c r="D8590" s="2" t="s">
        <v>7189</v>
      </c>
      <c r="E8590" s="2" t="s">
        <v>7190</v>
      </c>
      <c r="F8590" s="4">
        <v>6712</v>
      </c>
      <c r="G8590" s="2" t="s">
        <v>37</v>
      </c>
      <c r="H8590" s="2" t="s">
        <v>34</v>
      </c>
      <c r="I8590" s="2" t="s">
        <v>158</v>
      </c>
      <c r="J8590" s="2" t="s">
        <v>159</v>
      </c>
      <c r="K8590" s="2" t="s">
        <v>37</v>
      </c>
      <c r="L8590" s="2" t="s">
        <v>34</v>
      </c>
      <c r="M8590" s="12">
        <v>23284.291000000001</v>
      </c>
      <c r="N8590" s="6">
        <v>36.07</v>
      </c>
      <c r="O8590" s="6">
        <v>35.86</v>
      </c>
      <c r="P8590" s="2" t="s">
        <v>25513</v>
      </c>
      <c r="Q8590" s="6">
        <v>100</v>
      </c>
      <c r="R8590" s="6">
        <v>56</v>
      </c>
      <c r="S8590" s="5">
        <v>74.900000000000006</v>
      </c>
      <c r="T8590" s="6">
        <v>139.71</v>
      </c>
      <c r="U8590" s="5">
        <v>33.1</v>
      </c>
      <c r="V8590" s="6">
        <v>2.2400000000000002</v>
      </c>
      <c r="W8590" s="6">
        <v>41.14</v>
      </c>
      <c r="X8590" s="6">
        <v>40.15</v>
      </c>
      <c r="Y8590" s="6">
        <v>54.44</v>
      </c>
      <c r="Z8590" s="6">
        <v>54.34</v>
      </c>
      <c r="AA8590" s="6">
        <v>32.93</v>
      </c>
      <c r="AB8590" s="7">
        <v>30.832999999999998</v>
      </c>
      <c r="AC8590" s="2"/>
    </row>
    <row r="8591" spans="1:29" ht="130" x14ac:dyDescent="0.15">
      <c r="A8591" s="3">
        <f>DATE(2007,5,2)</f>
        <v>39204</v>
      </c>
      <c r="B8591" s="3">
        <f>DATE(2007,8,1)</f>
        <v>39295</v>
      </c>
      <c r="C8591" s="2" t="s">
        <v>95</v>
      </c>
      <c r="D8591" s="2" t="s">
        <v>5609</v>
      </c>
      <c r="E8591" s="2" t="s">
        <v>5610</v>
      </c>
      <c r="F8591" s="4">
        <v>7374</v>
      </c>
      <c r="G8591" s="2" t="s">
        <v>223</v>
      </c>
      <c r="H8591" s="2" t="s">
        <v>34</v>
      </c>
      <c r="I8591" s="2" t="s">
        <v>15550</v>
      </c>
      <c r="J8591" s="2" t="s">
        <v>23903</v>
      </c>
      <c r="K8591" s="2" t="s">
        <v>37</v>
      </c>
      <c r="L8591" s="2" t="s">
        <v>34</v>
      </c>
      <c r="M8591" s="12">
        <v>254129.25899999999</v>
      </c>
      <c r="N8591" s="5">
        <v>54.3</v>
      </c>
      <c r="O8591" s="6">
        <v>53.95</v>
      </c>
      <c r="P8591" s="2" t="s">
        <v>25514</v>
      </c>
      <c r="Q8591" s="6">
        <v>100</v>
      </c>
      <c r="R8591" s="6">
        <v>11.85</v>
      </c>
      <c r="S8591" s="5">
        <v>-229.6</v>
      </c>
      <c r="T8591" s="7">
        <v>126.313</v>
      </c>
      <c r="U8591" s="5">
        <v>8.1999999999999993</v>
      </c>
      <c r="V8591" s="6">
        <v>0.02</v>
      </c>
      <c r="W8591" s="6">
        <v>11.65</v>
      </c>
      <c r="X8591" s="6">
        <v>11.47</v>
      </c>
      <c r="Y8591" s="6">
        <v>11.71</v>
      </c>
      <c r="Z8591" s="6">
        <v>11.66</v>
      </c>
      <c r="AA8591" s="6">
        <v>121.02</v>
      </c>
      <c r="AB8591" s="7">
        <v>17.25</v>
      </c>
      <c r="AC8591" s="2"/>
    </row>
    <row r="8592" spans="1:29" ht="117" x14ac:dyDescent="0.15">
      <c r="A8592" s="3">
        <f>DATE(2007,5,2)</f>
        <v>39204</v>
      </c>
      <c r="B8592" s="3">
        <f>DATE(2007,7,17)</f>
        <v>39280</v>
      </c>
      <c r="C8592" s="2" t="s">
        <v>95</v>
      </c>
      <c r="D8592" s="2" t="s">
        <v>25515</v>
      </c>
      <c r="E8592" s="2" t="s">
        <v>25516</v>
      </c>
      <c r="F8592" s="4">
        <v>2522</v>
      </c>
      <c r="G8592" s="2" t="s">
        <v>250</v>
      </c>
      <c r="H8592" s="2" t="s">
        <v>34</v>
      </c>
      <c r="I8592" s="2" t="s">
        <v>25517</v>
      </c>
      <c r="J8592" s="2" t="s">
        <v>11337</v>
      </c>
      <c r="K8592" s="2" t="s">
        <v>53</v>
      </c>
      <c r="L8592" s="2" t="s">
        <v>34</v>
      </c>
      <c r="M8592" s="2"/>
      <c r="N8592" s="2"/>
      <c r="O8592" s="2"/>
      <c r="P8592" s="2" t="s">
        <v>25518</v>
      </c>
      <c r="Q8592" s="6">
        <v>100</v>
      </c>
      <c r="R8592" s="6">
        <v>21.5</v>
      </c>
      <c r="S8592" s="5">
        <v>4.4000000000000004</v>
      </c>
      <c r="T8592" s="7">
        <v>8.4049999999999994</v>
      </c>
      <c r="U8592" s="5">
        <v>7</v>
      </c>
      <c r="V8592" s="6">
        <v>1.23</v>
      </c>
      <c r="W8592" s="5">
        <v>19.5</v>
      </c>
      <c r="X8592" s="5">
        <v>20.100000000000001</v>
      </c>
      <c r="Y8592" s="6">
        <v>19.68</v>
      </c>
      <c r="Z8592" s="6">
        <v>21.13</v>
      </c>
      <c r="AA8592" s="6">
        <v>3.33</v>
      </c>
      <c r="AB8592" s="7">
        <v>11.214</v>
      </c>
      <c r="AC8592" s="2"/>
    </row>
    <row r="8593" spans="1:29" ht="104" x14ac:dyDescent="0.15">
      <c r="A8593" s="3">
        <f>DATE(2007,5,3)</f>
        <v>39205</v>
      </c>
      <c r="B8593" s="3">
        <f>DATE(2007,7,2)</f>
        <v>39265</v>
      </c>
      <c r="C8593" s="2" t="s">
        <v>95</v>
      </c>
      <c r="D8593" s="2" t="s">
        <v>25519</v>
      </c>
      <c r="E8593" s="2" t="s">
        <v>849</v>
      </c>
      <c r="F8593" s="4">
        <v>7372</v>
      </c>
      <c r="G8593" s="2" t="s">
        <v>551</v>
      </c>
      <c r="H8593" s="2" t="s">
        <v>34</v>
      </c>
      <c r="I8593" s="2" t="s">
        <v>25520</v>
      </c>
      <c r="J8593" s="2" t="s">
        <v>25521</v>
      </c>
      <c r="K8593" s="2" t="s">
        <v>223</v>
      </c>
      <c r="L8593" s="2" t="s">
        <v>34</v>
      </c>
      <c r="M8593" s="2"/>
      <c r="N8593" s="2"/>
      <c r="O8593" s="2"/>
      <c r="P8593" s="2" t="s">
        <v>25522</v>
      </c>
      <c r="Q8593" s="6">
        <v>100</v>
      </c>
      <c r="R8593" s="6">
        <v>2.4300000000000002</v>
      </c>
      <c r="S8593" s="5">
        <v>1.1000000000000001</v>
      </c>
      <c r="T8593" s="7">
        <v>0.82599999999999996</v>
      </c>
      <c r="U8593" s="5">
        <v>0.4</v>
      </c>
      <c r="V8593" s="6">
        <v>0.12</v>
      </c>
      <c r="W8593" s="6">
        <v>2.23</v>
      </c>
      <c r="X8593" s="6">
        <v>2.5499999999999998</v>
      </c>
      <c r="Y8593" s="6">
        <v>2.35</v>
      </c>
      <c r="Z8593" s="6">
        <v>2.35</v>
      </c>
      <c r="AA8593" s="6">
        <v>7.41</v>
      </c>
      <c r="AB8593" s="7">
        <v>25.085999999999999</v>
      </c>
      <c r="AC8593" s="2"/>
    </row>
    <row r="8594" spans="1:29" ht="52" x14ac:dyDescent="0.15">
      <c r="A8594" s="3">
        <f>DATE(2007,5,3)</f>
        <v>39205</v>
      </c>
      <c r="B8594" s="2"/>
      <c r="C8594" s="2" t="s">
        <v>7330</v>
      </c>
      <c r="D8594" s="2" t="s">
        <v>25523</v>
      </c>
      <c r="E8594" s="2" t="s">
        <v>25524</v>
      </c>
      <c r="F8594" s="4">
        <v>3823</v>
      </c>
      <c r="G8594" s="2" t="s">
        <v>226</v>
      </c>
      <c r="H8594" s="2" t="s">
        <v>34</v>
      </c>
      <c r="I8594" s="2" t="s">
        <v>25525</v>
      </c>
      <c r="J8594" s="2" t="s">
        <v>25526</v>
      </c>
      <c r="K8594" s="2" t="s">
        <v>53</v>
      </c>
      <c r="L8594" s="2" t="s">
        <v>34</v>
      </c>
      <c r="M8594" s="2"/>
      <c r="N8594" s="2"/>
      <c r="O8594" s="2"/>
      <c r="P8594" s="2" t="s">
        <v>25527</v>
      </c>
      <c r="Q8594" s="2"/>
      <c r="R8594" s="2"/>
      <c r="S8594" s="5">
        <v>8.1</v>
      </c>
      <c r="T8594" s="7">
        <v>11.522</v>
      </c>
      <c r="U8594" s="5">
        <v>1.3</v>
      </c>
      <c r="V8594" s="6">
        <v>0.47</v>
      </c>
      <c r="W8594" s="6">
        <v>1.01</v>
      </c>
      <c r="X8594" s="6">
        <v>1.01</v>
      </c>
      <c r="Y8594" s="6">
        <v>1.01</v>
      </c>
      <c r="Z8594" s="6">
        <v>1.01</v>
      </c>
      <c r="AA8594" s="6">
        <v>3.65</v>
      </c>
      <c r="AB8594" s="7">
        <v>2.2890000000000001</v>
      </c>
      <c r="AC8594" s="2"/>
    </row>
    <row r="8595" spans="1:29" ht="104" x14ac:dyDescent="0.15">
      <c r="A8595" s="3">
        <f>DATE(2007,5,3)</f>
        <v>39205</v>
      </c>
      <c r="B8595" s="3">
        <f>DATE(2007,7,18)</f>
        <v>39281</v>
      </c>
      <c r="C8595" s="2" t="s">
        <v>95</v>
      </c>
      <c r="D8595" s="2" t="s">
        <v>24523</v>
      </c>
      <c r="E8595" s="2" t="s">
        <v>24524</v>
      </c>
      <c r="F8595" s="4">
        <v>3312</v>
      </c>
      <c r="G8595" s="2" t="s">
        <v>163</v>
      </c>
      <c r="H8595" s="2" t="s">
        <v>34</v>
      </c>
      <c r="I8595" s="2" t="s">
        <v>25528</v>
      </c>
      <c r="J8595" s="2" t="s">
        <v>25529</v>
      </c>
      <c r="K8595" s="2" t="s">
        <v>163</v>
      </c>
      <c r="L8595" s="2" t="s">
        <v>435</v>
      </c>
      <c r="M8595" s="12">
        <v>7886.6459999999997</v>
      </c>
      <c r="N8595" s="7">
        <v>34.225999999999999</v>
      </c>
      <c r="O8595" s="6">
        <v>36.44</v>
      </c>
      <c r="P8595" s="2" t="s">
        <v>25530</v>
      </c>
      <c r="Q8595" s="6">
        <v>100</v>
      </c>
      <c r="R8595" s="6">
        <v>160</v>
      </c>
      <c r="S8595" s="5">
        <v>582.6</v>
      </c>
      <c r="T8595" s="6">
        <v>997.61</v>
      </c>
      <c r="U8595" s="5">
        <v>50.2</v>
      </c>
      <c r="V8595" s="9">
        <v>12.500299999999999</v>
      </c>
      <c r="W8595" s="6">
        <v>148.63999999999999</v>
      </c>
      <c r="X8595" s="6">
        <v>148.55000000000001</v>
      </c>
      <c r="Y8595" s="6">
        <v>157.19</v>
      </c>
      <c r="Z8595" s="6">
        <v>157.97999999999999</v>
      </c>
      <c r="AA8595" s="6">
        <v>47.21</v>
      </c>
      <c r="AB8595" s="7">
        <v>9.1370000000000005</v>
      </c>
      <c r="AC8595" s="6">
        <v>242.55</v>
      </c>
    </row>
    <row r="8596" spans="1:29" ht="247" x14ac:dyDescent="0.15">
      <c r="A8596" s="3">
        <f>DATE(2007,5,4)</f>
        <v>39206</v>
      </c>
      <c r="B8596" s="3">
        <f>DATE(2007,10,1)</f>
        <v>39356</v>
      </c>
      <c r="C8596" s="2" t="s">
        <v>95</v>
      </c>
      <c r="D8596" s="2" t="s">
        <v>8064</v>
      </c>
      <c r="E8596" s="2" t="s">
        <v>159</v>
      </c>
      <c r="F8596" s="4">
        <v>6021</v>
      </c>
      <c r="G8596" s="2" t="s">
        <v>37</v>
      </c>
      <c r="H8596" s="2" t="s">
        <v>34</v>
      </c>
      <c r="I8596" s="2" t="s">
        <v>12303</v>
      </c>
      <c r="J8596" s="2" t="s">
        <v>36</v>
      </c>
      <c r="K8596" s="2" t="s">
        <v>37</v>
      </c>
      <c r="L8596" s="2" t="s">
        <v>34</v>
      </c>
      <c r="M8596" s="12">
        <v>116359.655</v>
      </c>
      <c r="N8596" s="6">
        <v>35.92</v>
      </c>
      <c r="O8596" s="6">
        <v>36.07</v>
      </c>
      <c r="P8596" s="2" t="s">
        <v>25531</v>
      </c>
      <c r="Q8596" s="6">
        <v>100</v>
      </c>
      <c r="R8596" s="6">
        <v>31.75</v>
      </c>
      <c r="S8596" s="5">
        <v>81.7</v>
      </c>
      <c r="T8596" s="7">
        <v>154.00700000000001</v>
      </c>
      <c r="U8596" s="5">
        <v>14.6</v>
      </c>
      <c r="V8596" s="6">
        <v>1.45</v>
      </c>
      <c r="W8596" s="6">
        <v>26.33</v>
      </c>
      <c r="X8596" s="6">
        <v>29.54</v>
      </c>
      <c r="Y8596" s="6">
        <v>27.93</v>
      </c>
      <c r="Z8596" s="6">
        <v>27.83</v>
      </c>
      <c r="AA8596" s="6">
        <v>51.03</v>
      </c>
      <c r="AB8596" s="7">
        <v>21.567</v>
      </c>
      <c r="AC8596" s="2"/>
    </row>
    <row r="8597" spans="1:29" ht="52" x14ac:dyDescent="0.15">
      <c r="A8597" s="3">
        <f>DATE(2007,5,4)</f>
        <v>39206</v>
      </c>
      <c r="B8597" s="2"/>
      <c r="C8597" s="2" t="s">
        <v>189</v>
      </c>
      <c r="D8597" s="2" t="s">
        <v>14535</v>
      </c>
      <c r="E8597" s="2" t="s">
        <v>14536</v>
      </c>
      <c r="F8597" s="4">
        <v>4832</v>
      </c>
      <c r="G8597" s="2" t="s">
        <v>45</v>
      </c>
      <c r="H8597" s="2" t="s">
        <v>34</v>
      </c>
      <c r="I8597" s="2" t="s">
        <v>143</v>
      </c>
      <c r="J8597" s="2" t="s">
        <v>144</v>
      </c>
      <c r="K8597" s="2" t="s">
        <v>53</v>
      </c>
      <c r="L8597" s="2" t="s">
        <v>139</v>
      </c>
      <c r="M8597" s="2"/>
      <c r="N8597" s="2"/>
      <c r="O8597" s="2"/>
      <c r="P8597" s="2" t="s">
        <v>25532</v>
      </c>
      <c r="Q8597" s="2"/>
      <c r="R8597" s="2"/>
      <c r="S8597" s="5">
        <v>-465.2</v>
      </c>
      <c r="T8597" s="7">
        <v>108.003</v>
      </c>
      <c r="U8597" s="5">
        <v>470.5</v>
      </c>
      <c r="V8597" s="6">
        <v>-1084</v>
      </c>
      <c r="W8597" s="4">
        <v>7</v>
      </c>
      <c r="X8597" s="6">
        <v>6.88</v>
      </c>
      <c r="Y8597" s="6">
        <v>7.24</v>
      </c>
      <c r="Z8597" s="6">
        <v>7.23</v>
      </c>
      <c r="AA8597" s="6">
        <v>86.33</v>
      </c>
      <c r="AB8597" s="2" t="s">
        <v>47</v>
      </c>
      <c r="AC8597" s="2"/>
    </row>
    <row r="8598" spans="1:29" ht="52" x14ac:dyDescent="0.15">
      <c r="A8598" s="3">
        <f>DATE(2007,5,4)</f>
        <v>39206</v>
      </c>
      <c r="B8598" s="2"/>
      <c r="C8598" s="2" t="s">
        <v>39</v>
      </c>
      <c r="D8598" s="2" t="s">
        <v>12515</v>
      </c>
      <c r="E8598" s="2" t="s">
        <v>12371</v>
      </c>
      <c r="F8598" s="4">
        <v>7375</v>
      </c>
      <c r="G8598" s="2" t="s">
        <v>223</v>
      </c>
      <c r="H8598" s="2" t="s">
        <v>34</v>
      </c>
      <c r="I8598" s="2" t="s">
        <v>15288</v>
      </c>
      <c r="J8598" s="2" t="s">
        <v>1550</v>
      </c>
      <c r="K8598" s="2" t="s">
        <v>551</v>
      </c>
      <c r="L8598" s="2" t="s">
        <v>34</v>
      </c>
      <c r="M8598" s="12">
        <v>273132.37900000002</v>
      </c>
      <c r="N8598" s="6">
        <v>30.56</v>
      </c>
      <c r="O8598" s="6">
        <v>30.71</v>
      </c>
      <c r="P8598" s="2" t="s">
        <v>25533</v>
      </c>
      <c r="Q8598" s="2"/>
      <c r="R8598" s="2"/>
      <c r="S8598" s="5">
        <v>734</v>
      </c>
      <c r="T8598" s="12">
        <v>1474.7249999999999</v>
      </c>
      <c r="U8598" s="5">
        <v>6.6</v>
      </c>
      <c r="V8598" s="6">
        <v>0.51</v>
      </c>
      <c r="W8598" s="6">
        <v>28.02</v>
      </c>
      <c r="X8598" s="6">
        <v>28.04</v>
      </c>
      <c r="Y8598" s="7">
        <v>27.605</v>
      </c>
      <c r="Z8598" s="6">
        <v>28.12</v>
      </c>
      <c r="AA8598" s="10">
        <v>1360.22</v>
      </c>
      <c r="AB8598" s="2" t="s">
        <v>47</v>
      </c>
      <c r="AC8598" s="8">
        <v>28236</v>
      </c>
    </row>
    <row r="8599" spans="1:29" ht="117" x14ac:dyDescent="0.15">
      <c r="A8599" s="3">
        <f>DATE(2007,5,7)</f>
        <v>39209</v>
      </c>
      <c r="B8599" s="3">
        <f>DATE(2007,7,31)</f>
        <v>39294</v>
      </c>
      <c r="C8599" s="2" t="s">
        <v>95</v>
      </c>
      <c r="D8599" s="2" t="s">
        <v>21098</v>
      </c>
      <c r="E8599" s="2" t="s">
        <v>21099</v>
      </c>
      <c r="F8599" s="4">
        <v>3482</v>
      </c>
      <c r="G8599" s="2" t="s">
        <v>163</v>
      </c>
      <c r="H8599" s="2" t="s">
        <v>34</v>
      </c>
      <c r="I8599" s="2" t="s">
        <v>22312</v>
      </c>
      <c r="J8599" s="2" t="s">
        <v>22313</v>
      </c>
      <c r="K8599" s="2" t="s">
        <v>223</v>
      </c>
      <c r="L8599" s="2" t="s">
        <v>34</v>
      </c>
      <c r="M8599" s="2"/>
      <c r="N8599" s="2"/>
      <c r="O8599" s="2"/>
      <c r="P8599" s="2" t="s">
        <v>25534</v>
      </c>
      <c r="Q8599" s="6">
        <v>100</v>
      </c>
      <c r="R8599" s="6">
        <v>88</v>
      </c>
      <c r="S8599" s="5">
        <v>129.19999999999999</v>
      </c>
      <c r="T8599" s="7">
        <v>335.10199999999998</v>
      </c>
      <c r="U8599" s="5">
        <v>25</v>
      </c>
      <c r="V8599" s="6">
        <v>3.46</v>
      </c>
      <c r="W8599" s="5">
        <v>71.5</v>
      </c>
      <c r="X8599" s="6">
        <v>82.15</v>
      </c>
      <c r="Y8599" s="5">
        <v>86.6</v>
      </c>
      <c r="Z8599" s="6">
        <v>86.02</v>
      </c>
      <c r="AA8599" s="6">
        <v>35.58</v>
      </c>
      <c r="AB8599" s="7">
        <v>17.140999999999998</v>
      </c>
      <c r="AC8599" s="2"/>
    </row>
    <row r="8600" spans="1:29" ht="104" x14ac:dyDescent="0.15">
      <c r="A8600" s="3">
        <f>DATE(2007,5,7)</f>
        <v>39209</v>
      </c>
      <c r="B8600" s="3">
        <f>DATE(2007,8,24)</f>
        <v>39318</v>
      </c>
      <c r="C8600" s="2" t="s">
        <v>95</v>
      </c>
      <c r="D8600" s="2" t="s">
        <v>25535</v>
      </c>
      <c r="E8600" s="2" t="s">
        <v>25536</v>
      </c>
      <c r="F8600" s="4">
        <v>6331</v>
      </c>
      <c r="G8600" s="2" t="s">
        <v>125</v>
      </c>
      <c r="H8600" s="2" t="s">
        <v>34</v>
      </c>
      <c r="I8600" s="2" t="s">
        <v>12451</v>
      </c>
      <c r="J8600" s="2" t="s">
        <v>124</v>
      </c>
      <c r="K8600" s="2" t="s">
        <v>125</v>
      </c>
      <c r="L8600" s="2" t="s">
        <v>34</v>
      </c>
      <c r="M8600" s="2"/>
      <c r="N8600" s="2"/>
      <c r="O8600" s="2"/>
      <c r="P8600" s="2" t="s">
        <v>25537</v>
      </c>
      <c r="Q8600" s="6">
        <v>100</v>
      </c>
      <c r="R8600" s="6">
        <v>44</v>
      </c>
      <c r="S8600" s="5">
        <v>229.5</v>
      </c>
      <c r="T8600" s="2"/>
      <c r="U8600" s="5">
        <v>26.7</v>
      </c>
      <c r="V8600" s="6">
        <v>3.68</v>
      </c>
      <c r="W8600" s="6">
        <v>31.64</v>
      </c>
      <c r="X8600" s="6">
        <v>33.32</v>
      </c>
      <c r="Y8600" s="6">
        <v>43.17</v>
      </c>
      <c r="Z8600" s="6">
        <v>43.12</v>
      </c>
      <c r="AA8600" s="6">
        <v>59.98</v>
      </c>
      <c r="AB8600" s="7">
        <v>8.6359999999999992</v>
      </c>
      <c r="AC8600" s="2"/>
    </row>
    <row r="8601" spans="1:29" ht="65" x14ac:dyDescent="0.15">
      <c r="A8601" s="3">
        <f>DATE(2007,5,8)</f>
        <v>39210</v>
      </c>
      <c r="B8601" s="2"/>
      <c r="C8601" s="2" t="s">
        <v>87</v>
      </c>
      <c r="D8601" s="2" t="s">
        <v>14463</v>
      </c>
      <c r="E8601" s="2" t="s">
        <v>1637</v>
      </c>
      <c r="F8601" s="4">
        <v>3312</v>
      </c>
      <c r="G8601" s="2" t="s">
        <v>163</v>
      </c>
      <c r="H8601" s="2" t="s">
        <v>34</v>
      </c>
      <c r="I8601" s="2" t="s">
        <v>25538</v>
      </c>
      <c r="J8601" s="2" t="s">
        <v>25539</v>
      </c>
      <c r="K8601" s="2" t="s">
        <v>163</v>
      </c>
      <c r="L8601" s="2" t="s">
        <v>322</v>
      </c>
      <c r="M8601" s="12">
        <v>73049.512000000002</v>
      </c>
      <c r="N8601" s="7">
        <v>56.012999999999998</v>
      </c>
      <c r="O8601" s="7">
        <v>56.631</v>
      </c>
      <c r="P8601" s="2" t="s">
        <v>25540</v>
      </c>
      <c r="Q8601" s="2"/>
      <c r="R8601" s="2"/>
      <c r="S8601" s="5">
        <v>68.5</v>
      </c>
      <c r="T8601" s="5">
        <v>390.1</v>
      </c>
      <c r="U8601" s="5">
        <v>4.3</v>
      </c>
      <c r="V8601" s="6">
        <v>0.6</v>
      </c>
      <c r="W8601" s="6">
        <v>30.48</v>
      </c>
      <c r="X8601" s="6">
        <v>32.06</v>
      </c>
      <c r="Y8601" s="6">
        <v>35.020000000000003</v>
      </c>
      <c r="Z8601" s="6">
        <v>35.18</v>
      </c>
      <c r="AA8601" s="6">
        <v>111.32</v>
      </c>
      <c r="AB8601" s="2" t="s">
        <v>47</v>
      </c>
      <c r="AC8601" s="10">
        <v>8268.93</v>
      </c>
    </row>
    <row r="8602" spans="1:29" ht="91" x14ac:dyDescent="0.15">
      <c r="A8602" s="3">
        <f>DATE(2007,5,8)</f>
        <v>39210</v>
      </c>
      <c r="B8602" s="3">
        <f>DATE(2007,7,26)</f>
        <v>39289</v>
      </c>
      <c r="C8602" s="2" t="s">
        <v>95</v>
      </c>
      <c r="D8602" s="2" t="s">
        <v>9662</v>
      </c>
      <c r="E8602" s="2" t="s">
        <v>9299</v>
      </c>
      <c r="F8602" s="4">
        <v>4011</v>
      </c>
      <c r="G8602" s="2" t="s">
        <v>173</v>
      </c>
      <c r="H8602" s="2" t="s">
        <v>34</v>
      </c>
      <c r="I8602" s="2" t="s">
        <v>22958</v>
      </c>
      <c r="J8602" s="2" t="s">
        <v>25541</v>
      </c>
      <c r="K8602" s="2" t="s">
        <v>53</v>
      </c>
      <c r="L8602" s="2" t="s">
        <v>34</v>
      </c>
      <c r="M8602" s="12">
        <v>11508.737999999999</v>
      </c>
      <c r="N8602" s="6">
        <v>30.07</v>
      </c>
      <c r="O8602" s="6">
        <v>29.95</v>
      </c>
      <c r="P8602" s="2" t="s">
        <v>25542</v>
      </c>
      <c r="Q8602" s="6">
        <v>100</v>
      </c>
      <c r="R8602" s="6">
        <v>62.5</v>
      </c>
      <c r="S8602" s="5">
        <v>47.7</v>
      </c>
      <c r="T8602" s="7">
        <v>134.352</v>
      </c>
      <c r="U8602" s="5">
        <v>20.100000000000001</v>
      </c>
      <c r="V8602" s="6">
        <v>1.35</v>
      </c>
      <c r="W8602" s="6">
        <v>48.82</v>
      </c>
      <c r="X8602" s="6">
        <v>52.63</v>
      </c>
      <c r="Y8602" s="6">
        <v>84.91</v>
      </c>
      <c r="Z8602" s="6">
        <v>83.68</v>
      </c>
      <c r="AA8602" s="6">
        <v>35.72</v>
      </c>
      <c r="AB8602" s="7">
        <v>35.527000000000001</v>
      </c>
      <c r="AC8602" s="6">
        <v>625.21</v>
      </c>
    </row>
    <row r="8603" spans="1:29" ht="156" x14ac:dyDescent="0.15">
      <c r="A8603" s="3">
        <f>DATE(2007,5,8)</f>
        <v>39210</v>
      </c>
      <c r="B8603" s="3">
        <f>DATE(2007,8,25)</f>
        <v>39319</v>
      </c>
      <c r="C8603" s="2" t="s">
        <v>95</v>
      </c>
      <c r="D8603" s="2" t="s">
        <v>25543</v>
      </c>
      <c r="E8603" s="2" t="s">
        <v>207</v>
      </c>
      <c r="F8603" s="4">
        <v>3674</v>
      </c>
      <c r="G8603" s="2" t="s">
        <v>137</v>
      </c>
      <c r="H8603" s="2" t="s">
        <v>34</v>
      </c>
      <c r="I8603" s="2" t="s">
        <v>25544</v>
      </c>
      <c r="J8603" s="2" t="s">
        <v>2728</v>
      </c>
      <c r="K8603" s="2" t="s">
        <v>137</v>
      </c>
      <c r="L8603" s="2" t="s">
        <v>34</v>
      </c>
      <c r="M8603" s="7">
        <v>486.75099999999998</v>
      </c>
      <c r="N8603" s="6">
        <v>14.01</v>
      </c>
      <c r="O8603" s="6">
        <v>14.05</v>
      </c>
      <c r="P8603" s="2" t="s">
        <v>25545</v>
      </c>
      <c r="Q8603" s="6">
        <v>100</v>
      </c>
      <c r="R8603" s="6">
        <v>9.35</v>
      </c>
      <c r="S8603" s="5">
        <v>-41.2</v>
      </c>
      <c r="T8603" s="7">
        <v>-29.456</v>
      </c>
      <c r="U8603" s="2"/>
      <c r="V8603" s="6">
        <v>-2.3199999999999998</v>
      </c>
      <c r="W8603" s="6">
        <v>9.44</v>
      </c>
      <c r="X8603" s="6">
        <v>8.98</v>
      </c>
      <c r="Y8603" s="6">
        <v>9.49</v>
      </c>
      <c r="Z8603" s="5">
        <v>9.3000000000000007</v>
      </c>
      <c r="AA8603" s="6">
        <v>18.690000000000001</v>
      </c>
      <c r="AB8603" s="2" t="s">
        <v>86</v>
      </c>
      <c r="AC8603" s="6">
        <v>356.08</v>
      </c>
    </row>
    <row r="8604" spans="1:29" ht="78" x14ac:dyDescent="0.15">
      <c r="A8604" s="3">
        <f t="shared" ref="A8604:A8610" si="167">DATE(2007,5,14)</f>
        <v>39216</v>
      </c>
      <c r="B8604" s="3">
        <f>DATE(2007,7,31)</f>
        <v>39294</v>
      </c>
      <c r="C8604" s="2" t="s">
        <v>95</v>
      </c>
      <c r="D8604" s="2" t="s">
        <v>25546</v>
      </c>
      <c r="E8604" s="2" t="s">
        <v>25547</v>
      </c>
      <c r="F8604" s="4">
        <v>8299</v>
      </c>
      <c r="G8604" s="2" t="s">
        <v>415</v>
      </c>
      <c r="H8604" s="2" t="s">
        <v>34</v>
      </c>
      <c r="I8604" s="2" t="s">
        <v>25548</v>
      </c>
      <c r="J8604" s="2" t="s">
        <v>25549</v>
      </c>
      <c r="K8604" s="2" t="s">
        <v>186</v>
      </c>
      <c r="L8604" s="2" t="s">
        <v>34</v>
      </c>
      <c r="M8604" s="2"/>
      <c r="N8604" s="2"/>
      <c r="O8604" s="2"/>
      <c r="P8604" s="2" t="s">
        <v>25550</v>
      </c>
      <c r="Q8604" s="6">
        <v>100</v>
      </c>
      <c r="R8604" s="6">
        <v>22.45</v>
      </c>
      <c r="S8604" s="5">
        <v>-1.2</v>
      </c>
      <c r="T8604" s="7">
        <v>17.838999999999999</v>
      </c>
      <c r="U8604" s="5">
        <v>4.5</v>
      </c>
      <c r="V8604" s="6">
        <v>0.38</v>
      </c>
      <c r="W8604" s="6">
        <v>18.61</v>
      </c>
      <c r="X8604" s="6">
        <v>20.97</v>
      </c>
      <c r="Y8604" s="6">
        <v>22.04</v>
      </c>
      <c r="Z8604" s="6">
        <v>22.12</v>
      </c>
      <c r="AA8604" s="6">
        <v>22.44</v>
      </c>
      <c r="AB8604" s="7">
        <v>39.338000000000001</v>
      </c>
      <c r="AC8604" s="2"/>
    </row>
    <row r="8605" spans="1:29" ht="78" x14ac:dyDescent="0.15">
      <c r="A8605" s="3">
        <f t="shared" si="167"/>
        <v>39216</v>
      </c>
      <c r="B8605" s="3">
        <f>DATE(2007,9,24)</f>
        <v>39349</v>
      </c>
      <c r="C8605" s="2" t="s">
        <v>95</v>
      </c>
      <c r="D8605" s="2" t="s">
        <v>25551</v>
      </c>
      <c r="E8605" s="2" t="s">
        <v>9704</v>
      </c>
      <c r="F8605" s="4">
        <v>6282</v>
      </c>
      <c r="G8605" s="2" t="s">
        <v>53</v>
      </c>
      <c r="H8605" s="2" t="s">
        <v>34</v>
      </c>
      <c r="I8605" s="2" t="s">
        <v>25552</v>
      </c>
      <c r="J8605" s="2" t="s">
        <v>1620</v>
      </c>
      <c r="K8605" s="2" t="s">
        <v>53</v>
      </c>
      <c r="L8605" s="2" t="s">
        <v>34</v>
      </c>
      <c r="M8605" s="2"/>
      <c r="N8605" s="2"/>
      <c r="O8605" s="2"/>
      <c r="P8605" s="2" t="s">
        <v>25553</v>
      </c>
      <c r="Q8605" s="6">
        <v>67.06</v>
      </c>
      <c r="R8605" s="2"/>
      <c r="S8605" s="5">
        <v>-36.1</v>
      </c>
      <c r="T8605" s="6">
        <v>-12.44</v>
      </c>
      <c r="U8605" s="5">
        <v>59.1</v>
      </c>
      <c r="V8605" s="6">
        <v>-42.6</v>
      </c>
      <c r="W8605" s="6">
        <v>1.74</v>
      </c>
      <c r="X8605" s="5">
        <v>1.6</v>
      </c>
      <c r="Y8605" s="6">
        <v>1.85</v>
      </c>
      <c r="Z8605" s="6">
        <v>1.78</v>
      </c>
      <c r="AA8605" s="6">
        <v>16.37</v>
      </c>
      <c r="AB8605" s="2" t="s">
        <v>86</v>
      </c>
      <c r="AC8605" s="2"/>
    </row>
    <row r="8606" spans="1:29" ht="65" x14ac:dyDescent="0.15">
      <c r="A8606" s="3">
        <f t="shared" si="167"/>
        <v>39216</v>
      </c>
      <c r="B8606" s="3">
        <f>DATE(2007,7,31)</f>
        <v>39294</v>
      </c>
      <c r="C8606" s="2" t="s">
        <v>95</v>
      </c>
      <c r="D8606" s="2" t="s">
        <v>25554</v>
      </c>
      <c r="E8606" s="2" t="s">
        <v>25555</v>
      </c>
      <c r="F8606" s="4">
        <v>8748</v>
      </c>
      <c r="G8606" s="2" t="s">
        <v>223</v>
      </c>
      <c r="H8606" s="2" t="s">
        <v>34</v>
      </c>
      <c r="I8606" s="2" t="s">
        <v>25556</v>
      </c>
      <c r="J8606" s="2" t="s">
        <v>12877</v>
      </c>
      <c r="K8606" s="2" t="s">
        <v>223</v>
      </c>
      <c r="L8606" s="2" t="s">
        <v>133</v>
      </c>
      <c r="M8606" s="6">
        <v>303.98</v>
      </c>
      <c r="N8606" s="5">
        <v>34.200000000000003</v>
      </c>
      <c r="O8606" s="7">
        <v>34.335999999999999</v>
      </c>
      <c r="P8606" s="2" t="s">
        <v>25557</v>
      </c>
      <c r="Q8606" s="6">
        <v>100</v>
      </c>
      <c r="R8606" s="6">
        <v>4.25</v>
      </c>
      <c r="S8606" s="5">
        <v>-4.3</v>
      </c>
      <c r="T8606" s="7">
        <v>-0.41299999999999998</v>
      </c>
      <c r="U8606" s="5">
        <v>4.3</v>
      </c>
      <c r="V8606" s="6">
        <v>-0.36</v>
      </c>
      <c r="W8606" s="5">
        <v>3.2</v>
      </c>
      <c r="X8606" s="5">
        <v>3.2</v>
      </c>
      <c r="Y8606" s="6">
        <v>4.1399999999999997</v>
      </c>
      <c r="Z8606" s="6">
        <v>4.1500000000000004</v>
      </c>
      <c r="AA8606" s="6">
        <v>11.73</v>
      </c>
      <c r="AB8606" s="2" t="s">
        <v>86</v>
      </c>
      <c r="AC8606" s="6">
        <v>11.21</v>
      </c>
    </row>
    <row r="8607" spans="1:29" ht="78" x14ac:dyDescent="0.15">
      <c r="A8607" s="3">
        <f t="shared" si="167"/>
        <v>39216</v>
      </c>
      <c r="B8607" s="3">
        <f>DATE(2007,6,22)</f>
        <v>39255</v>
      </c>
      <c r="C8607" s="2" t="s">
        <v>95</v>
      </c>
      <c r="D8607" s="2" t="s">
        <v>23919</v>
      </c>
      <c r="E8607" s="2" t="s">
        <v>23920</v>
      </c>
      <c r="F8607" s="4">
        <v>3423</v>
      </c>
      <c r="G8607" s="2" t="s">
        <v>163</v>
      </c>
      <c r="H8607" s="2" t="s">
        <v>34</v>
      </c>
      <c r="I8607" s="2" t="s">
        <v>23921</v>
      </c>
      <c r="J8607" s="2" t="s">
        <v>23922</v>
      </c>
      <c r="K8607" s="2" t="s">
        <v>137</v>
      </c>
      <c r="L8607" s="2" t="s">
        <v>1086</v>
      </c>
      <c r="M8607" s="7">
        <v>0.25600000000000001</v>
      </c>
      <c r="N8607" s="6">
        <v>0.04</v>
      </c>
      <c r="O8607" s="7">
        <v>3.9E-2</v>
      </c>
      <c r="P8607" s="2" t="s">
        <v>25558</v>
      </c>
      <c r="Q8607" s="6">
        <v>38</v>
      </c>
      <c r="R8607" s="6">
        <v>1.96</v>
      </c>
      <c r="S8607" s="5">
        <v>6.7</v>
      </c>
      <c r="T8607" s="7">
        <v>7.0220000000000002</v>
      </c>
      <c r="U8607" s="5">
        <v>3.9</v>
      </c>
      <c r="V8607" s="6">
        <v>0.94</v>
      </c>
      <c r="W8607" s="6">
        <v>1.1499999999999999</v>
      </c>
      <c r="X8607" s="5">
        <v>1.1000000000000001</v>
      </c>
      <c r="Y8607" s="6">
        <v>1.02</v>
      </c>
      <c r="Z8607" s="6">
        <v>1.45</v>
      </c>
      <c r="AA8607" s="6">
        <v>5.74</v>
      </c>
      <c r="AB8607" s="7">
        <v>1.113</v>
      </c>
      <c r="AC8607" s="6">
        <v>43.04</v>
      </c>
    </row>
    <row r="8608" spans="1:29" ht="91" x14ac:dyDescent="0.15">
      <c r="A8608" s="3">
        <f t="shared" si="167"/>
        <v>39216</v>
      </c>
      <c r="B8608" s="3">
        <f>DATE(2007,7,12)</f>
        <v>39275</v>
      </c>
      <c r="C8608" s="2" t="s">
        <v>95</v>
      </c>
      <c r="D8608" s="2" t="s">
        <v>24183</v>
      </c>
      <c r="E8608" s="2" t="s">
        <v>24184</v>
      </c>
      <c r="F8608" s="4">
        <v>3674</v>
      </c>
      <c r="G8608" s="2" t="s">
        <v>137</v>
      </c>
      <c r="H8608" s="2" t="s">
        <v>34</v>
      </c>
      <c r="I8608" s="2" t="s">
        <v>10753</v>
      </c>
      <c r="J8608" s="2" t="s">
        <v>10754</v>
      </c>
      <c r="K8608" s="2" t="s">
        <v>226</v>
      </c>
      <c r="L8608" s="2" t="s">
        <v>34</v>
      </c>
      <c r="M8608" s="12">
        <v>34824.565999999999</v>
      </c>
      <c r="N8608" s="6">
        <v>45.84</v>
      </c>
      <c r="O8608" s="6">
        <v>45.77</v>
      </c>
      <c r="P8608" s="2" t="s">
        <v>25559</v>
      </c>
      <c r="Q8608" s="6">
        <v>100</v>
      </c>
      <c r="R8608" s="6">
        <v>8</v>
      </c>
      <c r="S8608" s="5">
        <v>1.6</v>
      </c>
      <c r="T8608" s="7">
        <v>6.0590000000000002</v>
      </c>
      <c r="U8608" s="5">
        <v>6</v>
      </c>
      <c r="V8608" s="6">
        <v>0.09</v>
      </c>
      <c r="W8608" s="6">
        <v>8.11</v>
      </c>
      <c r="X8608" s="6">
        <v>8.0500000000000007</v>
      </c>
      <c r="Y8608" s="6">
        <v>7.78</v>
      </c>
      <c r="Z8608" s="6">
        <v>7.77</v>
      </c>
      <c r="AA8608" s="6">
        <v>14.5</v>
      </c>
      <c r="AB8608" s="2" t="s">
        <v>86</v>
      </c>
      <c r="AC8608" s="8">
        <v>1094</v>
      </c>
    </row>
    <row r="8609" spans="1:29" ht="143" x14ac:dyDescent="0.15">
      <c r="A8609" s="3">
        <f t="shared" si="167"/>
        <v>39216</v>
      </c>
      <c r="B8609" s="3">
        <f>DATE(2007,12,31)</f>
        <v>39447</v>
      </c>
      <c r="C8609" s="2" t="s">
        <v>95</v>
      </c>
      <c r="D8609" s="2" t="s">
        <v>25560</v>
      </c>
      <c r="E8609" s="2" t="s">
        <v>25561</v>
      </c>
      <c r="F8609" s="4">
        <v>6021</v>
      </c>
      <c r="G8609" s="2" t="s">
        <v>37</v>
      </c>
      <c r="H8609" s="2" t="s">
        <v>34</v>
      </c>
      <c r="I8609" s="2" t="s">
        <v>18639</v>
      </c>
      <c r="J8609" s="2" t="s">
        <v>36</v>
      </c>
      <c r="K8609" s="2" t="s">
        <v>37</v>
      </c>
      <c r="L8609" s="2" t="s">
        <v>34</v>
      </c>
      <c r="M8609" s="12">
        <v>5609.9870000000001</v>
      </c>
      <c r="N8609" s="6">
        <v>17.420000000000002</v>
      </c>
      <c r="O8609" s="6">
        <v>17.47</v>
      </c>
      <c r="P8609" s="2" t="s">
        <v>25562</v>
      </c>
      <c r="Q8609" s="6">
        <v>100</v>
      </c>
      <c r="R8609" s="6">
        <v>14.18</v>
      </c>
      <c r="S8609" s="5">
        <v>3.9</v>
      </c>
      <c r="T8609" s="2"/>
      <c r="U8609" s="5">
        <v>8.8000000000000007</v>
      </c>
      <c r="V8609" s="6">
        <v>0.35</v>
      </c>
      <c r="W8609" s="6">
        <v>14.69</v>
      </c>
      <c r="X8609" s="6">
        <v>14.12</v>
      </c>
      <c r="Y8609" s="6">
        <v>13.57</v>
      </c>
      <c r="Z8609" s="6">
        <v>13.61</v>
      </c>
      <c r="AA8609" s="6">
        <v>11.38</v>
      </c>
      <c r="AB8609" s="7">
        <v>58.103999999999999</v>
      </c>
      <c r="AC8609" s="2"/>
    </row>
    <row r="8610" spans="1:29" ht="156" x14ac:dyDescent="0.15">
      <c r="A8610" s="3">
        <f t="shared" si="167"/>
        <v>39216</v>
      </c>
      <c r="B8610" s="3">
        <f>DATE(2007,6,28)</f>
        <v>39261</v>
      </c>
      <c r="C8610" s="2" t="s">
        <v>95</v>
      </c>
      <c r="D8610" s="2" t="s">
        <v>25563</v>
      </c>
      <c r="E8610" s="2" t="s">
        <v>13817</v>
      </c>
      <c r="F8610" s="4">
        <v>3841</v>
      </c>
      <c r="G8610" s="2" t="s">
        <v>226</v>
      </c>
      <c r="H8610" s="2" t="s">
        <v>34</v>
      </c>
      <c r="I8610" s="2" t="s">
        <v>6702</v>
      </c>
      <c r="J8610" s="2" t="s">
        <v>6703</v>
      </c>
      <c r="K8610" s="2" t="s">
        <v>593</v>
      </c>
      <c r="L8610" s="2" t="s">
        <v>34</v>
      </c>
      <c r="M8610" s="12">
        <v>28571.690999999999</v>
      </c>
      <c r="N8610" s="6">
        <v>69.19</v>
      </c>
      <c r="O8610" s="5">
        <v>69.7</v>
      </c>
      <c r="P8610" s="2" t="s">
        <v>25564</v>
      </c>
      <c r="Q8610" s="6">
        <v>100</v>
      </c>
      <c r="R8610" s="6">
        <v>42.75</v>
      </c>
      <c r="S8610" s="5">
        <v>22.3</v>
      </c>
      <c r="T8610" s="7">
        <v>92.304000000000002</v>
      </c>
      <c r="U8610" s="5">
        <v>16</v>
      </c>
      <c r="V8610" s="6">
        <v>0.67</v>
      </c>
      <c r="W8610" s="6">
        <v>33.15</v>
      </c>
      <c r="X8610" s="6">
        <v>31.55</v>
      </c>
      <c r="Y8610" s="6">
        <v>43.18</v>
      </c>
      <c r="Z8610" s="6">
        <v>43.55</v>
      </c>
      <c r="AA8610" s="6">
        <v>33.28</v>
      </c>
      <c r="AB8610" s="7">
        <v>24.788</v>
      </c>
      <c r="AC8610" s="8">
        <v>1166.5</v>
      </c>
    </row>
    <row r="8611" spans="1:29" ht="91" x14ac:dyDescent="0.15">
      <c r="A8611" s="3">
        <f>DATE(2007,5,15)</f>
        <v>39217</v>
      </c>
      <c r="B8611" s="3">
        <f>DATE(2007,7,16)</f>
        <v>39279</v>
      </c>
      <c r="C8611" s="2" t="s">
        <v>95</v>
      </c>
      <c r="D8611" s="2" t="s">
        <v>18399</v>
      </c>
      <c r="E8611" s="2" t="s">
        <v>18400</v>
      </c>
      <c r="F8611" s="4">
        <v>7372</v>
      </c>
      <c r="G8611" s="2" t="s">
        <v>551</v>
      </c>
      <c r="H8611" s="2" t="s">
        <v>34</v>
      </c>
      <c r="I8611" s="2" t="s">
        <v>8588</v>
      </c>
      <c r="J8611" s="2" t="s">
        <v>8589</v>
      </c>
      <c r="K8611" s="2" t="s">
        <v>551</v>
      </c>
      <c r="L8611" s="2" t="s">
        <v>34</v>
      </c>
      <c r="M8611" s="12">
        <v>97110.895999999993</v>
      </c>
      <c r="N8611" s="6">
        <v>18.84</v>
      </c>
      <c r="O8611" s="6">
        <v>18.989999999999998</v>
      </c>
      <c r="P8611" s="2" t="s">
        <v>25565</v>
      </c>
      <c r="Q8611" s="6">
        <v>100</v>
      </c>
      <c r="R8611" s="6">
        <v>8.1</v>
      </c>
      <c r="S8611" s="5">
        <v>-8</v>
      </c>
      <c r="T8611" s="7">
        <v>-14.848000000000001</v>
      </c>
      <c r="U8611" s="5">
        <v>4.4000000000000004</v>
      </c>
      <c r="V8611" s="6">
        <v>-0.14000000000000001</v>
      </c>
      <c r="W8611" s="6">
        <v>7.34</v>
      </c>
      <c r="X8611" s="6">
        <v>7.26</v>
      </c>
      <c r="Y8611" s="6">
        <v>7.08</v>
      </c>
      <c r="Z8611" s="6">
        <v>7.97</v>
      </c>
      <c r="AA8611" s="6">
        <v>57.24</v>
      </c>
      <c r="AB8611" s="2" t="s">
        <v>86</v>
      </c>
      <c r="AC8611" s="8">
        <v>6445</v>
      </c>
    </row>
    <row r="8612" spans="1:29" ht="104" x14ac:dyDescent="0.15">
      <c r="A8612" s="3">
        <f>DATE(2007,5,15)</f>
        <v>39217</v>
      </c>
      <c r="B8612" s="3">
        <f>DATE(2007,9,21)</f>
        <v>39346</v>
      </c>
      <c r="C8612" s="2" t="s">
        <v>95</v>
      </c>
      <c r="D8612" s="2" t="s">
        <v>25566</v>
      </c>
      <c r="E8612" s="2" t="s">
        <v>1181</v>
      </c>
      <c r="F8612" s="4">
        <v>6021</v>
      </c>
      <c r="G8612" s="2" t="s">
        <v>37</v>
      </c>
      <c r="H8612" s="2" t="s">
        <v>34</v>
      </c>
      <c r="I8612" s="2" t="s">
        <v>22561</v>
      </c>
      <c r="J8612" s="2" t="s">
        <v>1304</v>
      </c>
      <c r="K8612" s="2" t="s">
        <v>33</v>
      </c>
      <c r="L8612" s="2" t="s">
        <v>34</v>
      </c>
      <c r="M8612" s="7">
        <v>293.80900000000003</v>
      </c>
      <c r="N8612" s="6">
        <v>32.08</v>
      </c>
      <c r="O8612" s="6">
        <v>32.08</v>
      </c>
      <c r="P8612" s="2" t="s">
        <v>25567</v>
      </c>
      <c r="Q8612" s="6">
        <v>100</v>
      </c>
      <c r="R8612" s="6">
        <v>19.5</v>
      </c>
      <c r="S8612" s="5">
        <v>2.1</v>
      </c>
      <c r="T8612" s="7">
        <v>3.246</v>
      </c>
      <c r="U8612" s="2"/>
      <c r="V8612" s="6">
        <v>0.51</v>
      </c>
      <c r="W8612" s="6">
        <v>14.15</v>
      </c>
      <c r="X8612" s="6">
        <v>14.75</v>
      </c>
      <c r="Y8612" s="6">
        <v>18.64</v>
      </c>
      <c r="Z8612" s="5">
        <v>18.5</v>
      </c>
      <c r="AA8612" s="6">
        <v>4.0599999999999996</v>
      </c>
      <c r="AB8612" s="7">
        <v>119.873</v>
      </c>
      <c r="AC8612" s="2"/>
    </row>
    <row r="8613" spans="1:29" ht="117" x14ac:dyDescent="0.15">
      <c r="A8613" s="3">
        <f>DATE(2007,5,15)</f>
        <v>39217</v>
      </c>
      <c r="B8613" s="2"/>
      <c r="C8613" s="2" t="s">
        <v>30</v>
      </c>
      <c r="D8613" s="2" t="s">
        <v>23949</v>
      </c>
      <c r="E8613" s="2" t="s">
        <v>11151</v>
      </c>
      <c r="F8613" s="4">
        <v>3661</v>
      </c>
      <c r="G8613" s="2" t="s">
        <v>921</v>
      </c>
      <c r="H8613" s="2" t="s">
        <v>34</v>
      </c>
      <c r="I8613" s="2" t="s">
        <v>23175</v>
      </c>
      <c r="J8613" s="2" t="s">
        <v>244</v>
      </c>
      <c r="K8613" s="2" t="s">
        <v>53</v>
      </c>
      <c r="L8613" s="2" t="s">
        <v>34</v>
      </c>
      <c r="M8613" s="2"/>
      <c r="N8613" s="2"/>
      <c r="O8613" s="2"/>
      <c r="P8613" s="2" t="s">
        <v>25568</v>
      </c>
      <c r="Q8613" s="2"/>
      <c r="R8613" s="6">
        <v>26.5</v>
      </c>
      <c r="S8613" s="5">
        <v>24</v>
      </c>
      <c r="T8613" s="7">
        <v>44.688000000000002</v>
      </c>
      <c r="U8613" s="5">
        <v>9.5</v>
      </c>
      <c r="V8613" s="6">
        <v>0.87</v>
      </c>
      <c r="W8613" s="6">
        <v>23.75</v>
      </c>
      <c r="X8613" s="6">
        <v>23.96</v>
      </c>
      <c r="Y8613" s="6">
        <v>23.79</v>
      </c>
      <c r="Z8613" s="6">
        <v>25.25</v>
      </c>
      <c r="AA8613" s="6">
        <v>27.01</v>
      </c>
      <c r="AB8613" s="7">
        <v>17.591999999999999</v>
      </c>
      <c r="AC8613" s="2"/>
    </row>
    <row r="8614" spans="1:29" ht="104" x14ac:dyDescent="0.15">
      <c r="A8614" s="3">
        <f>DATE(2007,5,15)</f>
        <v>39217</v>
      </c>
      <c r="B8614" s="3">
        <f>DATE(2007,11,9)</f>
        <v>39395</v>
      </c>
      <c r="C8614" s="2" t="s">
        <v>95</v>
      </c>
      <c r="D8614" s="2" t="s">
        <v>25569</v>
      </c>
      <c r="E8614" s="2" t="s">
        <v>3246</v>
      </c>
      <c r="F8614" s="4">
        <v>6712</v>
      </c>
      <c r="G8614" s="2" t="s">
        <v>37</v>
      </c>
      <c r="H8614" s="2" t="s">
        <v>34</v>
      </c>
      <c r="I8614" s="2" t="s">
        <v>25570</v>
      </c>
      <c r="J8614" s="2" t="s">
        <v>159</v>
      </c>
      <c r="K8614" s="2" t="s">
        <v>37</v>
      </c>
      <c r="L8614" s="2" t="s">
        <v>34</v>
      </c>
      <c r="M8614" s="7">
        <v>15.679</v>
      </c>
      <c r="N8614" s="5">
        <v>30.5</v>
      </c>
      <c r="O8614" s="5">
        <v>30.5</v>
      </c>
      <c r="P8614" s="2" t="s">
        <v>25571</v>
      </c>
      <c r="Q8614" s="6">
        <v>100</v>
      </c>
      <c r="R8614" s="6">
        <v>50.5</v>
      </c>
      <c r="S8614" s="2"/>
      <c r="T8614" s="2"/>
      <c r="U8614" s="2"/>
      <c r="V8614" s="2"/>
      <c r="W8614" s="4">
        <v>40</v>
      </c>
      <c r="X8614" s="4">
        <v>40</v>
      </c>
      <c r="Y8614" s="4">
        <v>40</v>
      </c>
      <c r="Z8614" s="6">
        <v>48.35</v>
      </c>
      <c r="AA8614" s="6">
        <v>0.43</v>
      </c>
      <c r="AB8614" s="2" t="s">
        <v>47</v>
      </c>
      <c r="AC8614" s="2"/>
    </row>
    <row r="8615" spans="1:29" ht="182" x14ac:dyDescent="0.15">
      <c r="A8615" s="3">
        <f>DATE(2007,5,16)</f>
        <v>39218</v>
      </c>
      <c r="B8615" s="2"/>
      <c r="C8615" s="2" t="s">
        <v>30</v>
      </c>
      <c r="D8615" s="2" t="s">
        <v>12207</v>
      </c>
      <c r="E8615" s="2" t="s">
        <v>12208</v>
      </c>
      <c r="F8615" s="4">
        <v>7374</v>
      </c>
      <c r="G8615" s="2" t="s">
        <v>223</v>
      </c>
      <c r="H8615" s="2" t="s">
        <v>34</v>
      </c>
      <c r="I8615" s="2" t="s">
        <v>51</v>
      </c>
      <c r="J8615" s="2" t="s">
        <v>52</v>
      </c>
      <c r="K8615" s="2" t="s">
        <v>53</v>
      </c>
      <c r="L8615" s="2" t="s">
        <v>34</v>
      </c>
      <c r="M8615" s="2"/>
      <c r="N8615" s="2"/>
      <c r="O8615" s="2"/>
      <c r="P8615" s="2" t="s">
        <v>25572</v>
      </c>
      <c r="Q8615" s="2"/>
      <c r="R8615" s="6">
        <v>27.1</v>
      </c>
      <c r="S8615" s="5">
        <v>70.7</v>
      </c>
      <c r="T8615" s="7">
        <v>397.233</v>
      </c>
      <c r="U8615" s="5">
        <v>6.6</v>
      </c>
      <c r="V8615" s="6">
        <v>0.84</v>
      </c>
      <c r="W8615" s="6">
        <v>24.23</v>
      </c>
      <c r="X8615" s="6">
        <v>23.76</v>
      </c>
      <c r="Y8615" s="6">
        <v>23.67</v>
      </c>
      <c r="Z8615" s="6">
        <v>27.95</v>
      </c>
      <c r="AA8615" s="6">
        <v>78.349999999999994</v>
      </c>
      <c r="AB8615" s="7">
        <v>17.484000000000002</v>
      </c>
      <c r="AC8615" s="2"/>
    </row>
    <row r="8616" spans="1:29" ht="143" x14ac:dyDescent="0.15">
      <c r="A8616" s="3">
        <f>DATE(2007,5,16)</f>
        <v>39218</v>
      </c>
      <c r="B8616" s="3">
        <f>DATE(2007,10,26)</f>
        <v>39381</v>
      </c>
      <c r="C8616" s="2" t="s">
        <v>95</v>
      </c>
      <c r="D8616" s="2" t="s">
        <v>3530</v>
      </c>
      <c r="E8616" s="2" t="s">
        <v>3531</v>
      </c>
      <c r="F8616" s="4">
        <v>3851</v>
      </c>
      <c r="G8616" s="2" t="s">
        <v>226</v>
      </c>
      <c r="H8616" s="2" t="s">
        <v>34</v>
      </c>
      <c r="I8616" s="2" t="s">
        <v>19494</v>
      </c>
      <c r="J8616" s="2" t="s">
        <v>244</v>
      </c>
      <c r="K8616" s="2" t="s">
        <v>53</v>
      </c>
      <c r="L8616" s="2" t="s">
        <v>34</v>
      </c>
      <c r="M8616" s="2"/>
      <c r="N8616" s="2"/>
      <c r="O8616" s="2"/>
      <c r="P8616" s="2" t="s">
        <v>25573</v>
      </c>
      <c r="Q8616" s="6">
        <v>100</v>
      </c>
      <c r="R8616" s="6">
        <v>65</v>
      </c>
      <c r="S8616" s="5">
        <v>21.5</v>
      </c>
      <c r="T8616" s="5">
        <v>235.5</v>
      </c>
      <c r="U8616" s="5">
        <v>26</v>
      </c>
      <c r="V8616" s="6">
        <v>0.38</v>
      </c>
      <c r="W8616" s="5">
        <v>61.9</v>
      </c>
      <c r="X8616" s="5">
        <v>61.5</v>
      </c>
      <c r="Y8616" s="5">
        <v>67.5</v>
      </c>
      <c r="Z8616" s="5">
        <v>66.8</v>
      </c>
      <c r="AA8616" s="6">
        <v>54.38</v>
      </c>
      <c r="AB8616" s="7">
        <v>37.786999999999999</v>
      </c>
      <c r="AC8616" s="2"/>
    </row>
    <row r="8617" spans="1:29" ht="156" x14ac:dyDescent="0.15">
      <c r="A8617" s="3">
        <f>DATE(2007,5,16)</f>
        <v>39218</v>
      </c>
      <c r="B8617" s="3">
        <f>DATE(2007,11,19)</f>
        <v>39405</v>
      </c>
      <c r="C8617" s="2" t="s">
        <v>95</v>
      </c>
      <c r="D8617" s="2" t="s">
        <v>25574</v>
      </c>
      <c r="E8617" s="2" t="s">
        <v>159</v>
      </c>
      <c r="F8617" s="4">
        <v>6712</v>
      </c>
      <c r="G8617" s="2" t="s">
        <v>37</v>
      </c>
      <c r="H8617" s="2" t="s">
        <v>34</v>
      </c>
      <c r="I8617" s="2" t="s">
        <v>21311</v>
      </c>
      <c r="J8617" s="2" t="s">
        <v>159</v>
      </c>
      <c r="K8617" s="2" t="s">
        <v>37</v>
      </c>
      <c r="L8617" s="2" t="s">
        <v>34</v>
      </c>
      <c r="M8617" s="7">
        <v>506.06799999999998</v>
      </c>
      <c r="N8617" s="5">
        <v>15.8</v>
      </c>
      <c r="O8617" s="6">
        <v>15.54</v>
      </c>
      <c r="P8617" s="2" t="s">
        <v>25575</v>
      </c>
      <c r="Q8617" s="6">
        <v>100</v>
      </c>
      <c r="R8617" s="6">
        <v>14.5</v>
      </c>
      <c r="S8617" s="5">
        <v>3.7</v>
      </c>
      <c r="T8617" s="7">
        <v>4.8959999999999999</v>
      </c>
      <c r="U8617" s="5">
        <v>4</v>
      </c>
      <c r="V8617" s="6">
        <v>0.57999999999999996</v>
      </c>
      <c r="W8617" s="6">
        <v>7.94</v>
      </c>
      <c r="X8617" s="6">
        <v>8.09</v>
      </c>
      <c r="Y8617" s="5">
        <v>13.5</v>
      </c>
      <c r="Z8617" s="6">
        <v>13.68</v>
      </c>
      <c r="AA8617" s="6">
        <v>6.31</v>
      </c>
      <c r="AB8617" s="7">
        <v>30.943999999999999</v>
      </c>
      <c r="AC8617" s="2"/>
    </row>
    <row r="8618" spans="1:29" ht="130" x14ac:dyDescent="0.15">
      <c r="A8618" s="3">
        <f>DATE(2007,5,17)</f>
        <v>39219</v>
      </c>
      <c r="B8618" s="2"/>
      <c r="C8618" s="2" t="s">
        <v>30</v>
      </c>
      <c r="D8618" s="2" t="s">
        <v>25576</v>
      </c>
      <c r="E8618" s="2" t="s">
        <v>25577</v>
      </c>
      <c r="F8618" s="4">
        <v>8742</v>
      </c>
      <c r="G8618" s="2" t="s">
        <v>223</v>
      </c>
      <c r="H8618" s="2" t="s">
        <v>34</v>
      </c>
      <c r="I8618" s="2" t="s">
        <v>24262</v>
      </c>
      <c r="J8618" s="2" t="s">
        <v>3197</v>
      </c>
      <c r="K8618" s="2" t="s">
        <v>53</v>
      </c>
      <c r="L8618" s="2" t="s">
        <v>34</v>
      </c>
      <c r="M8618" s="2"/>
      <c r="N8618" s="2"/>
      <c r="O8618" s="2"/>
      <c r="P8618" s="2" t="s">
        <v>25578</v>
      </c>
      <c r="Q8618" s="2"/>
      <c r="R8618" s="6">
        <v>81.75</v>
      </c>
      <c r="S8618" s="5">
        <v>190</v>
      </c>
      <c r="T8618" s="7">
        <v>493.34800000000001</v>
      </c>
      <c r="U8618" s="5">
        <v>13.1</v>
      </c>
      <c r="V8618" s="6">
        <v>2.33</v>
      </c>
      <c r="W8618" s="6">
        <v>62.85</v>
      </c>
      <c r="X8618" s="6">
        <v>62.96</v>
      </c>
      <c r="Y8618" s="6">
        <v>78.459999999999994</v>
      </c>
      <c r="Z8618" s="6">
        <v>78.33</v>
      </c>
      <c r="AA8618" s="6">
        <v>78.7</v>
      </c>
      <c r="AB8618" s="7">
        <v>21.646000000000001</v>
      </c>
      <c r="AC8618" s="2"/>
    </row>
    <row r="8619" spans="1:29" ht="169" x14ac:dyDescent="0.15">
      <c r="A8619" s="3">
        <f>DATE(2007,5,17)</f>
        <v>39219</v>
      </c>
      <c r="B8619" s="2"/>
      <c r="C8619" s="2" t="s">
        <v>30</v>
      </c>
      <c r="D8619" s="2" t="s">
        <v>25579</v>
      </c>
      <c r="E8619" s="2" t="s">
        <v>159</v>
      </c>
      <c r="F8619" s="4">
        <v>6712</v>
      </c>
      <c r="G8619" s="2" t="s">
        <v>37</v>
      </c>
      <c r="H8619" s="2" t="s">
        <v>34</v>
      </c>
      <c r="I8619" s="2" t="s">
        <v>25580</v>
      </c>
      <c r="J8619" s="2" t="s">
        <v>25581</v>
      </c>
      <c r="K8619" s="2" t="s">
        <v>370</v>
      </c>
      <c r="L8619" s="2" t="s">
        <v>34</v>
      </c>
      <c r="M8619" s="12">
        <v>4813.8890000000001</v>
      </c>
      <c r="N8619" s="6">
        <v>25.86</v>
      </c>
      <c r="O8619" s="6">
        <v>25.23</v>
      </c>
      <c r="P8619" s="2" t="s">
        <v>25582</v>
      </c>
      <c r="Q8619" s="2"/>
      <c r="R8619" s="6">
        <v>33.71</v>
      </c>
      <c r="S8619" s="5">
        <v>41.5</v>
      </c>
      <c r="T8619" s="7">
        <v>70.724999999999994</v>
      </c>
      <c r="U8619" s="5">
        <v>20.2</v>
      </c>
      <c r="V8619" s="6">
        <v>2.42</v>
      </c>
      <c r="W8619" s="6">
        <v>24.56</v>
      </c>
      <c r="X8619" s="6">
        <v>24.92</v>
      </c>
      <c r="Y8619" s="6">
        <v>24.92</v>
      </c>
      <c r="Z8619" s="5">
        <v>31.4</v>
      </c>
      <c r="AA8619" s="6">
        <v>18.05</v>
      </c>
      <c r="AB8619" s="7">
        <v>22.593</v>
      </c>
      <c r="AC8619" s="6">
        <v>444.32</v>
      </c>
    </row>
    <row r="8620" spans="1:29" ht="156" x14ac:dyDescent="0.15">
      <c r="A8620" s="3">
        <f>DATE(2007,5,17)</f>
        <v>39219</v>
      </c>
      <c r="B8620" s="3">
        <f>DATE(2007,7,13)</f>
        <v>39276</v>
      </c>
      <c r="C8620" s="2" t="s">
        <v>95</v>
      </c>
      <c r="D8620" s="2" t="s">
        <v>25583</v>
      </c>
      <c r="E8620" s="2" t="s">
        <v>25584</v>
      </c>
      <c r="F8620" s="4">
        <v>7375</v>
      </c>
      <c r="G8620" s="2" t="s">
        <v>223</v>
      </c>
      <c r="H8620" s="2" t="s">
        <v>34</v>
      </c>
      <c r="I8620" s="2" t="s">
        <v>15100</v>
      </c>
      <c r="J8620" s="2" t="s">
        <v>15101</v>
      </c>
      <c r="K8620" s="2" t="s">
        <v>4563</v>
      </c>
      <c r="L8620" s="2" t="s">
        <v>303</v>
      </c>
      <c r="M8620" s="12">
        <v>18919.723000000002</v>
      </c>
      <c r="N8620" s="7">
        <v>15.047000000000001</v>
      </c>
      <c r="O8620" s="7">
        <v>15.173999999999999</v>
      </c>
      <c r="P8620" s="2" t="s">
        <v>25585</v>
      </c>
      <c r="Q8620" s="6">
        <v>100</v>
      </c>
      <c r="R8620" s="6">
        <v>11.75</v>
      </c>
      <c r="S8620" s="5">
        <v>-1.2</v>
      </c>
      <c r="T8620" s="6">
        <v>6.28</v>
      </c>
      <c r="U8620" s="5">
        <v>2.1</v>
      </c>
      <c r="V8620" s="6">
        <v>-0.02</v>
      </c>
      <c r="W8620" s="6">
        <v>8.41</v>
      </c>
      <c r="X8620" s="6">
        <v>8.4700000000000006</v>
      </c>
      <c r="Y8620" s="6">
        <v>9.94</v>
      </c>
      <c r="Z8620" s="6">
        <v>10.52</v>
      </c>
      <c r="AA8620" s="6">
        <v>51</v>
      </c>
      <c r="AB8620" s="2" t="s">
        <v>86</v>
      </c>
      <c r="AC8620" s="10">
        <v>3258.36</v>
      </c>
    </row>
    <row r="8621" spans="1:29" ht="78" x14ac:dyDescent="0.15">
      <c r="A8621" s="3">
        <f>DATE(2007,5,18)</f>
        <v>39220</v>
      </c>
      <c r="B8621" s="3">
        <f>DATE(2007,8,13)</f>
        <v>39307</v>
      </c>
      <c r="C8621" s="2" t="s">
        <v>95</v>
      </c>
      <c r="D8621" s="2" t="s">
        <v>25586</v>
      </c>
      <c r="E8621" s="2" t="s">
        <v>25587</v>
      </c>
      <c r="F8621" s="4">
        <v>7319</v>
      </c>
      <c r="G8621" s="2" t="s">
        <v>4563</v>
      </c>
      <c r="H8621" s="2" t="s">
        <v>34</v>
      </c>
      <c r="I8621" s="2" t="s">
        <v>15288</v>
      </c>
      <c r="J8621" s="2" t="s">
        <v>1550</v>
      </c>
      <c r="K8621" s="2" t="s">
        <v>551</v>
      </c>
      <c r="L8621" s="2" t="s">
        <v>34</v>
      </c>
      <c r="M8621" s="12">
        <v>277628.77899999998</v>
      </c>
      <c r="N8621" s="6">
        <v>30.83</v>
      </c>
      <c r="O8621" s="6">
        <v>31.05</v>
      </c>
      <c r="P8621" s="2" t="s">
        <v>25588</v>
      </c>
      <c r="Q8621" s="6">
        <v>100</v>
      </c>
      <c r="R8621" s="6">
        <v>66.5</v>
      </c>
      <c r="S8621" s="5">
        <v>60.6</v>
      </c>
      <c r="T8621" s="7">
        <v>112.736</v>
      </c>
      <c r="U8621" s="5">
        <v>7.6</v>
      </c>
      <c r="V8621" s="6">
        <v>0.7</v>
      </c>
      <c r="W8621" s="6">
        <v>34.75</v>
      </c>
      <c r="X8621" s="6">
        <v>35.869999999999997</v>
      </c>
      <c r="Y8621" s="6">
        <v>63.79</v>
      </c>
      <c r="Z8621" s="6">
        <v>63.72</v>
      </c>
      <c r="AA8621" s="6">
        <v>78.92</v>
      </c>
      <c r="AB8621" s="7">
        <v>71.971999999999994</v>
      </c>
      <c r="AC8621" s="8">
        <v>28236</v>
      </c>
    </row>
    <row r="8622" spans="1:29" ht="78" x14ac:dyDescent="0.15">
      <c r="A8622" s="3">
        <f>DATE(2007,5,18)</f>
        <v>39220</v>
      </c>
      <c r="B8622" s="2"/>
      <c r="C8622" s="2" t="s">
        <v>7330</v>
      </c>
      <c r="D8622" s="2" t="s">
        <v>25589</v>
      </c>
      <c r="E8622" s="2" t="s">
        <v>4801</v>
      </c>
      <c r="F8622" s="4">
        <v>3572</v>
      </c>
      <c r="G8622" s="2" t="s">
        <v>50</v>
      </c>
      <c r="H8622" s="2" t="s">
        <v>34</v>
      </c>
      <c r="I8622" s="2" t="s">
        <v>25590</v>
      </c>
      <c r="J8622" s="2" t="s">
        <v>25591</v>
      </c>
      <c r="K8622" s="2" t="s">
        <v>137</v>
      </c>
      <c r="L8622" s="2" t="s">
        <v>455</v>
      </c>
      <c r="M8622" s="2"/>
      <c r="N8622" s="2"/>
      <c r="O8622" s="2"/>
      <c r="P8622" s="2" t="s">
        <v>25592</v>
      </c>
      <c r="Q8622" s="2"/>
      <c r="R8622" s="2"/>
      <c r="S8622" s="5">
        <v>-0.3</v>
      </c>
      <c r="T8622" s="7">
        <v>-2.1920000000000002</v>
      </c>
      <c r="U8622" s="5">
        <v>1.4</v>
      </c>
      <c r="V8622" s="6">
        <v>-7.0000000000000007E-2</v>
      </c>
      <c r="W8622" s="5">
        <v>2.9</v>
      </c>
      <c r="X8622" s="6">
        <v>3.75</v>
      </c>
      <c r="Y8622" s="5">
        <v>3.5</v>
      </c>
      <c r="Z8622" s="5">
        <v>3.5</v>
      </c>
      <c r="AA8622" s="6">
        <v>31.07</v>
      </c>
      <c r="AB8622" s="2" t="s">
        <v>86</v>
      </c>
      <c r="AC8622" s="2"/>
    </row>
    <row r="8623" spans="1:29" ht="117" x14ac:dyDescent="0.15">
      <c r="A8623" s="3">
        <f>DATE(2007,5,18)</f>
        <v>39220</v>
      </c>
      <c r="B8623" s="3">
        <f>DATE(2007,8,9)</f>
        <v>39303</v>
      </c>
      <c r="C8623" s="2" t="s">
        <v>95</v>
      </c>
      <c r="D8623" s="2" t="s">
        <v>25593</v>
      </c>
      <c r="E8623" s="2" t="s">
        <v>2066</v>
      </c>
      <c r="F8623" s="4">
        <v>2834</v>
      </c>
      <c r="G8623" s="2" t="s">
        <v>130</v>
      </c>
      <c r="H8623" s="2" t="s">
        <v>34</v>
      </c>
      <c r="I8623" s="2" t="s">
        <v>25594</v>
      </c>
      <c r="J8623" s="2" t="s">
        <v>23512</v>
      </c>
      <c r="K8623" s="2" t="s">
        <v>226</v>
      </c>
      <c r="L8623" s="2" t="s">
        <v>34</v>
      </c>
      <c r="M8623" s="2"/>
      <c r="N8623" s="2"/>
      <c r="O8623" s="2"/>
      <c r="P8623" s="2" t="s">
        <v>25595</v>
      </c>
      <c r="Q8623" s="6">
        <v>100</v>
      </c>
      <c r="R8623" s="6">
        <v>2.75</v>
      </c>
      <c r="S8623" s="5">
        <v>-0.6</v>
      </c>
      <c r="T8623" s="6">
        <v>-0.39</v>
      </c>
      <c r="U8623" s="5">
        <v>1.4</v>
      </c>
      <c r="V8623" s="6">
        <v>-7.0000000000000007E-2</v>
      </c>
      <c r="W8623" s="4">
        <v>2</v>
      </c>
      <c r="X8623" s="6">
        <v>1.99</v>
      </c>
      <c r="Y8623" s="6">
        <v>2.61</v>
      </c>
      <c r="Z8623" s="6">
        <v>2.61</v>
      </c>
      <c r="AA8623" s="6">
        <v>7.68</v>
      </c>
      <c r="AB8623" s="2" t="s">
        <v>86</v>
      </c>
      <c r="AC8623" s="5">
        <v>23</v>
      </c>
    </row>
    <row r="8624" spans="1:29" ht="39" x14ac:dyDescent="0.15">
      <c r="A8624" s="3">
        <f>DATE(2007,5,19)</f>
        <v>39221</v>
      </c>
      <c r="B8624" s="2"/>
      <c r="C8624" s="2" t="s">
        <v>141</v>
      </c>
      <c r="D8624" s="2" t="s">
        <v>10292</v>
      </c>
      <c r="E8624" s="2" t="s">
        <v>25596</v>
      </c>
      <c r="F8624" s="4">
        <v>4833</v>
      </c>
      <c r="G8624" s="2" t="s">
        <v>45</v>
      </c>
      <c r="H8624" s="2" t="s">
        <v>34</v>
      </c>
      <c r="I8624" s="2" t="s">
        <v>143</v>
      </c>
      <c r="J8624" s="2" t="s">
        <v>144</v>
      </c>
      <c r="K8624" s="2" t="s">
        <v>53</v>
      </c>
      <c r="L8624" s="2" t="s">
        <v>139</v>
      </c>
      <c r="M8624" s="2"/>
      <c r="N8624" s="2"/>
      <c r="O8624" s="2"/>
      <c r="P8624" s="2" t="s">
        <v>25597</v>
      </c>
      <c r="Q8624" s="2"/>
      <c r="R8624" s="2"/>
      <c r="S8624" s="2"/>
      <c r="T8624" s="2"/>
      <c r="U8624" s="2"/>
      <c r="V8624" s="2"/>
      <c r="W8624" s="6">
        <v>16.190000000000001</v>
      </c>
      <c r="X8624" s="6">
        <v>18.88</v>
      </c>
      <c r="Y8624" s="6">
        <v>19.04</v>
      </c>
      <c r="Z8624" s="6">
        <v>19.04</v>
      </c>
      <c r="AA8624" s="2"/>
      <c r="AB8624" s="2" t="s">
        <v>47</v>
      </c>
      <c r="AC8624" s="2"/>
    </row>
    <row r="8625" spans="1:29" ht="169" x14ac:dyDescent="0.15">
      <c r="A8625" s="3">
        <f>DATE(2007,5,20)</f>
        <v>39222</v>
      </c>
      <c r="B8625" s="3">
        <f>DATE(2007,11,16)</f>
        <v>39402</v>
      </c>
      <c r="C8625" s="2" t="s">
        <v>95</v>
      </c>
      <c r="D8625" s="2" t="s">
        <v>11746</v>
      </c>
      <c r="E8625" s="2" t="s">
        <v>6519</v>
      </c>
      <c r="F8625" s="4">
        <v>4813</v>
      </c>
      <c r="G8625" s="2" t="s">
        <v>63</v>
      </c>
      <c r="H8625" s="2" t="s">
        <v>34</v>
      </c>
      <c r="I8625" s="2" t="s">
        <v>25598</v>
      </c>
      <c r="J8625" s="2" t="s">
        <v>11337</v>
      </c>
      <c r="K8625" s="2" t="s">
        <v>53</v>
      </c>
      <c r="L8625" s="2" t="s">
        <v>34</v>
      </c>
      <c r="M8625" s="2"/>
      <c r="N8625" s="2"/>
      <c r="O8625" s="2"/>
      <c r="P8625" s="2" t="s">
        <v>25599</v>
      </c>
      <c r="Q8625" s="6">
        <v>100</v>
      </c>
      <c r="R8625" s="6">
        <v>71.5</v>
      </c>
      <c r="S8625" s="5">
        <v>756.4</v>
      </c>
      <c r="T8625" s="12">
        <v>2368.105</v>
      </c>
      <c r="U8625" s="5">
        <v>34.1</v>
      </c>
      <c r="V8625" s="6">
        <v>2.44</v>
      </c>
      <c r="W8625" s="6">
        <v>57.45</v>
      </c>
      <c r="X8625" s="6">
        <v>58.19</v>
      </c>
      <c r="Y8625" s="6">
        <v>58.31</v>
      </c>
      <c r="Z8625" s="6">
        <v>60.48</v>
      </c>
      <c r="AA8625" s="6">
        <v>345.48</v>
      </c>
      <c r="AB8625" s="7">
        <v>23.338999999999999</v>
      </c>
      <c r="AC8625" s="2"/>
    </row>
    <row r="8626" spans="1:29" ht="143" x14ac:dyDescent="0.15">
      <c r="A8626" s="3">
        <f>DATE(2007,5,20)</f>
        <v>39222</v>
      </c>
      <c r="B8626" s="3">
        <f>DATE(2007,10,22)</f>
        <v>39377</v>
      </c>
      <c r="C8626" s="2" t="s">
        <v>95</v>
      </c>
      <c r="D8626" s="2" t="s">
        <v>19720</v>
      </c>
      <c r="E8626" s="2" t="s">
        <v>19721</v>
      </c>
      <c r="F8626" s="4">
        <v>3826</v>
      </c>
      <c r="G8626" s="2" t="s">
        <v>226</v>
      </c>
      <c r="H8626" s="2" t="s">
        <v>34</v>
      </c>
      <c r="I8626" s="2" t="s">
        <v>8259</v>
      </c>
      <c r="J8626" s="2" t="s">
        <v>8260</v>
      </c>
      <c r="K8626" s="2" t="s">
        <v>226</v>
      </c>
      <c r="L8626" s="2" t="s">
        <v>34</v>
      </c>
      <c r="M8626" s="12">
        <v>3174.0680000000002</v>
      </c>
      <c r="N8626" s="4">
        <v>54</v>
      </c>
      <c r="O8626" s="4">
        <v>54</v>
      </c>
      <c r="P8626" s="2" t="s">
        <v>25600</v>
      </c>
      <c r="Q8626" s="6">
        <v>100</v>
      </c>
      <c r="R8626" s="6">
        <v>46.46</v>
      </c>
      <c r="S8626" s="5">
        <v>130.5</v>
      </c>
      <c r="T8626" s="2"/>
      <c r="U8626" s="5">
        <v>5.9</v>
      </c>
      <c r="V8626" s="6">
        <v>1.08</v>
      </c>
      <c r="W8626" s="6">
        <v>34.75</v>
      </c>
      <c r="X8626" s="6">
        <v>35.049999999999997</v>
      </c>
      <c r="Y8626" s="4">
        <v>43</v>
      </c>
      <c r="Z8626" s="4">
        <v>43</v>
      </c>
      <c r="AA8626" s="6">
        <v>115.23</v>
      </c>
      <c r="AB8626" s="7">
        <v>28.091999999999999</v>
      </c>
      <c r="AC8626" s="6">
        <v>54.5</v>
      </c>
    </row>
    <row r="8627" spans="1:29" ht="130" x14ac:dyDescent="0.15">
      <c r="A8627" s="3">
        <f>DATE(2007,5,21)</f>
        <v>39223</v>
      </c>
      <c r="B8627" s="3">
        <f>DATE(2007,10,15)</f>
        <v>39370</v>
      </c>
      <c r="C8627" s="2" t="s">
        <v>95</v>
      </c>
      <c r="D8627" s="2" t="s">
        <v>18321</v>
      </c>
      <c r="E8627" s="2" t="s">
        <v>3246</v>
      </c>
      <c r="F8627" s="4">
        <v>6712</v>
      </c>
      <c r="G8627" s="2" t="s">
        <v>37</v>
      </c>
      <c r="H8627" s="2" t="s">
        <v>34</v>
      </c>
      <c r="I8627" s="2" t="s">
        <v>20924</v>
      </c>
      <c r="J8627" s="2" t="s">
        <v>36</v>
      </c>
      <c r="K8627" s="2" t="s">
        <v>37</v>
      </c>
      <c r="L8627" s="2" t="s">
        <v>34</v>
      </c>
      <c r="M8627" s="7">
        <v>227.77600000000001</v>
      </c>
      <c r="N8627" s="6">
        <v>18.95</v>
      </c>
      <c r="O8627" s="6">
        <v>19.73</v>
      </c>
      <c r="P8627" s="2" t="s">
        <v>25601</v>
      </c>
      <c r="Q8627" s="6">
        <v>100</v>
      </c>
      <c r="R8627" s="6">
        <v>25.11</v>
      </c>
      <c r="S8627" s="5">
        <v>7.8</v>
      </c>
      <c r="T8627" s="2"/>
      <c r="U8627" s="5">
        <v>14.9</v>
      </c>
      <c r="V8627" s="6">
        <v>1.3</v>
      </c>
      <c r="W8627" s="6">
        <v>22.96</v>
      </c>
      <c r="X8627" s="5">
        <v>22.9</v>
      </c>
      <c r="Y8627" s="5">
        <v>22.9</v>
      </c>
      <c r="Z8627" s="6">
        <v>24.57</v>
      </c>
      <c r="AA8627" s="6">
        <v>6.2</v>
      </c>
      <c r="AB8627" s="7">
        <v>17.588000000000001</v>
      </c>
      <c r="AC8627" s="2"/>
    </row>
    <row r="8628" spans="1:29" ht="91" x14ac:dyDescent="0.15">
      <c r="A8628" s="3">
        <f>DATE(2007,5,21)</f>
        <v>39223</v>
      </c>
      <c r="B8628" s="3">
        <f>DATE(2007,8,31)</f>
        <v>39325</v>
      </c>
      <c r="C8628" s="2" t="s">
        <v>95</v>
      </c>
      <c r="D8628" s="2" t="s">
        <v>25602</v>
      </c>
      <c r="E8628" s="2" t="s">
        <v>25603</v>
      </c>
      <c r="F8628" s="4">
        <v>2812</v>
      </c>
      <c r="G8628" s="2" t="s">
        <v>98</v>
      </c>
      <c r="H8628" s="2" t="s">
        <v>34</v>
      </c>
      <c r="I8628" s="2" t="s">
        <v>19980</v>
      </c>
      <c r="J8628" s="2" t="s">
        <v>19981</v>
      </c>
      <c r="K8628" s="2" t="s">
        <v>98</v>
      </c>
      <c r="L8628" s="2" t="s">
        <v>34</v>
      </c>
      <c r="M8628" s="12">
        <v>1246.9259999999999</v>
      </c>
      <c r="N8628" s="6">
        <v>19.510000000000002</v>
      </c>
      <c r="O8628" s="5">
        <v>20.399999999999999</v>
      </c>
      <c r="P8628" s="2" t="s">
        <v>25604</v>
      </c>
      <c r="Q8628" s="6">
        <v>100</v>
      </c>
      <c r="R8628" s="6">
        <v>35</v>
      </c>
      <c r="S8628" s="5">
        <v>58.4</v>
      </c>
      <c r="T8628" s="6">
        <v>92.69</v>
      </c>
      <c r="U8628" s="5">
        <v>16.2</v>
      </c>
      <c r="V8628" s="6">
        <v>4.93</v>
      </c>
      <c r="W8628" s="6">
        <v>28.85</v>
      </c>
      <c r="X8628" s="6">
        <v>29.38</v>
      </c>
      <c r="Y8628" s="6">
        <v>34.19</v>
      </c>
      <c r="Z8628" s="6">
        <v>34.64</v>
      </c>
      <c r="AA8628" s="6">
        <v>11.84</v>
      </c>
      <c r="AB8628" s="7">
        <v>5.9989999999999997</v>
      </c>
      <c r="AC8628" s="5">
        <v>282.8</v>
      </c>
    </row>
    <row r="8629" spans="1:29" ht="130" x14ac:dyDescent="0.15">
      <c r="A8629" s="3">
        <f>DATE(2007,5,22)</f>
        <v>39224</v>
      </c>
      <c r="B8629" s="3">
        <f>DATE(2007,8,3)</f>
        <v>39297</v>
      </c>
      <c r="C8629" s="2" t="s">
        <v>95</v>
      </c>
      <c r="D8629" s="2" t="s">
        <v>11332</v>
      </c>
      <c r="E8629" s="2" t="s">
        <v>6321</v>
      </c>
      <c r="F8629" s="4">
        <v>6798</v>
      </c>
      <c r="G8629" s="2" t="s">
        <v>53</v>
      </c>
      <c r="H8629" s="2" t="s">
        <v>34</v>
      </c>
      <c r="I8629" s="2" t="s">
        <v>24443</v>
      </c>
      <c r="J8629" s="2" t="s">
        <v>92</v>
      </c>
      <c r="K8629" s="2" t="s">
        <v>53</v>
      </c>
      <c r="L8629" s="2" t="s">
        <v>34</v>
      </c>
      <c r="M8629" s="2"/>
      <c r="N8629" s="2"/>
      <c r="O8629" s="2"/>
      <c r="P8629" s="2" t="s">
        <v>25605</v>
      </c>
      <c r="Q8629" s="6">
        <v>100</v>
      </c>
      <c r="R8629" s="6">
        <v>22.8</v>
      </c>
      <c r="S8629" s="5">
        <v>17.3</v>
      </c>
      <c r="T8629" s="7">
        <v>126.57299999999999</v>
      </c>
      <c r="U8629" s="5">
        <v>6.1</v>
      </c>
      <c r="V8629" s="6">
        <v>-0.3</v>
      </c>
      <c r="W8629" s="6">
        <v>20.16</v>
      </c>
      <c r="X8629" s="6">
        <v>20.95</v>
      </c>
      <c r="Y8629" s="6">
        <v>21.62</v>
      </c>
      <c r="Z8629" s="6">
        <v>22.31</v>
      </c>
      <c r="AA8629" s="6">
        <v>125.12</v>
      </c>
      <c r="AB8629" s="2" t="s">
        <v>86</v>
      </c>
      <c r="AC8629" s="2"/>
    </row>
    <row r="8630" spans="1:29" ht="117" x14ac:dyDescent="0.15">
      <c r="A8630" s="3">
        <f>DATE(2007,5,22)</f>
        <v>39224</v>
      </c>
      <c r="B8630" s="2"/>
      <c r="C8630" s="2" t="s">
        <v>56</v>
      </c>
      <c r="D8630" s="2" t="s">
        <v>20043</v>
      </c>
      <c r="E8630" s="2" t="s">
        <v>20044</v>
      </c>
      <c r="F8630" s="4">
        <v>7372</v>
      </c>
      <c r="G8630" s="2" t="s">
        <v>551</v>
      </c>
      <c r="H8630" s="2" t="s">
        <v>34</v>
      </c>
      <c r="I8630" s="2" t="s">
        <v>25606</v>
      </c>
      <c r="J8630" s="2" t="s">
        <v>11337</v>
      </c>
      <c r="K8630" s="2" t="s">
        <v>53</v>
      </c>
      <c r="L8630" s="2" t="s">
        <v>34</v>
      </c>
      <c r="M8630" s="2"/>
      <c r="N8630" s="2"/>
      <c r="O8630" s="2"/>
      <c r="P8630" s="2" t="s">
        <v>25607</v>
      </c>
      <c r="Q8630" s="2"/>
      <c r="R8630" s="6">
        <v>8.3000000000000007</v>
      </c>
      <c r="S8630" s="5">
        <v>-77.900000000000006</v>
      </c>
      <c r="T8630" s="7">
        <v>-55.183999999999997</v>
      </c>
      <c r="U8630" s="5">
        <v>52.3</v>
      </c>
      <c r="V8630" s="6">
        <v>-10.199999999999999</v>
      </c>
      <c r="W8630" s="6">
        <v>8.42</v>
      </c>
      <c r="X8630" s="6">
        <v>8.65</v>
      </c>
      <c r="Y8630" s="6">
        <v>9.2799999999999994</v>
      </c>
      <c r="Z8630" s="4">
        <v>9</v>
      </c>
      <c r="AA8630" s="6">
        <v>94.61</v>
      </c>
      <c r="AB8630" s="2" t="s">
        <v>86</v>
      </c>
      <c r="AC8630" s="2"/>
    </row>
    <row r="8631" spans="1:29" ht="156" x14ac:dyDescent="0.15">
      <c r="A8631" s="3">
        <f>DATE(2007,5,22)</f>
        <v>39224</v>
      </c>
      <c r="B8631" s="3">
        <f>DATE(2007,8,17)</f>
        <v>39311</v>
      </c>
      <c r="C8631" s="2" t="s">
        <v>95</v>
      </c>
      <c r="D8631" s="2" t="s">
        <v>23007</v>
      </c>
      <c r="E8631" s="2" t="s">
        <v>23008</v>
      </c>
      <c r="F8631" s="4">
        <v>3149</v>
      </c>
      <c r="G8631" s="2" t="s">
        <v>326</v>
      </c>
      <c r="H8631" s="2" t="s">
        <v>34</v>
      </c>
      <c r="I8631" s="2" t="s">
        <v>25608</v>
      </c>
      <c r="J8631" s="2" t="s">
        <v>25609</v>
      </c>
      <c r="K8631" s="2" t="s">
        <v>756</v>
      </c>
      <c r="L8631" s="2" t="s">
        <v>34</v>
      </c>
      <c r="M8631" s="12">
        <v>2203.0390000000002</v>
      </c>
      <c r="N8631" s="5">
        <v>31.9</v>
      </c>
      <c r="O8631" s="6">
        <v>35.14</v>
      </c>
      <c r="P8631" s="2" t="s">
        <v>25610</v>
      </c>
      <c r="Q8631" s="6">
        <v>100</v>
      </c>
      <c r="R8631" s="6">
        <v>20.5</v>
      </c>
      <c r="S8631" s="5">
        <v>34.299999999999997</v>
      </c>
      <c r="T8631" s="7">
        <v>72.381</v>
      </c>
      <c r="U8631" s="5">
        <v>8.1999999999999993</v>
      </c>
      <c r="V8631" s="6">
        <v>0.92</v>
      </c>
      <c r="W8631" s="5">
        <v>14.7</v>
      </c>
      <c r="X8631" s="6">
        <v>15.18</v>
      </c>
      <c r="Y8631" s="6">
        <v>15.45</v>
      </c>
      <c r="Z8631" s="6">
        <v>20.21</v>
      </c>
      <c r="AA8631" s="6">
        <v>36.54</v>
      </c>
      <c r="AB8631" s="7">
        <v>14.462</v>
      </c>
      <c r="AC8631" s="5">
        <v>329.5</v>
      </c>
    </row>
    <row r="8632" spans="1:29" ht="65" x14ac:dyDescent="0.15">
      <c r="A8632" s="3">
        <f>DATE(2007,5,23)</f>
        <v>39225</v>
      </c>
      <c r="B8632" s="2"/>
      <c r="C8632" s="2" t="s">
        <v>189</v>
      </c>
      <c r="D8632" s="2" t="s">
        <v>25611</v>
      </c>
      <c r="E8632" s="2" t="s">
        <v>25612</v>
      </c>
      <c r="F8632" s="4">
        <v>3728</v>
      </c>
      <c r="G8632" s="2" t="s">
        <v>219</v>
      </c>
      <c r="H8632" s="2" t="s">
        <v>34</v>
      </c>
      <c r="I8632" s="2" t="s">
        <v>143</v>
      </c>
      <c r="J8632" s="2" t="s">
        <v>144</v>
      </c>
      <c r="K8632" s="2" t="s">
        <v>53</v>
      </c>
      <c r="L8632" s="2" t="s">
        <v>139</v>
      </c>
      <c r="M8632" s="2"/>
      <c r="N8632" s="2"/>
      <c r="O8632" s="2"/>
      <c r="P8632" s="2" t="s">
        <v>25613</v>
      </c>
      <c r="Q8632" s="2"/>
      <c r="R8632" s="2"/>
      <c r="S8632" s="5">
        <v>64.099999999999994</v>
      </c>
      <c r="T8632" s="5">
        <v>66.7</v>
      </c>
      <c r="U8632" s="5">
        <v>6.7</v>
      </c>
      <c r="V8632" s="6">
        <v>0.45</v>
      </c>
      <c r="W8632" s="6">
        <v>34.270000000000003</v>
      </c>
      <c r="X8632" s="5">
        <v>33.5</v>
      </c>
      <c r="Y8632" s="4">
        <v>33</v>
      </c>
      <c r="Z8632" s="6">
        <v>33.020000000000003</v>
      </c>
      <c r="AA8632" s="6">
        <v>139.61000000000001</v>
      </c>
      <c r="AB8632" s="2" t="s">
        <v>86</v>
      </c>
      <c r="AC8632" s="2"/>
    </row>
    <row r="8633" spans="1:29" ht="130" x14ac:dyDescent="0.15">
      <c r="A8633" s="3">
        <f>DATE(2007,5,24)</f>
        <v>39226</v>
      </c>
      <c r="B8633" s="2"/>
      <c r="C8633" s="2" t="s">
        <v>30</v>
      </c>
      <c r="D8633" s="2" t="s">
        <v>3530</v>
      </c>
      <c r="E8633" s="2" t="s">
        <v>3531</v>
      </c>
      <c r="F8633" s="4">
        <v>3851</v>
      </c>
      <c r="G8633" s="2" t="s">
        <v>226</v>
      </c>
      <c r="H8633" s="2" t="s">
        <v>34</v>
      </c>
      <c r="I8633" s="2" t="s">
        <v>22480</v>
      </c>
      <c r="J8633" s="2" t="s">
        <v>22481</v>
      </c>
      <c r="K8633" s="2" t="s">
        <v>226</v>
      </c>
      <c r="L8633" s="2" t="s">
        <v>34</v>
      </c>
      <c r="M8633" s="12">
        <v>2492.3429999999998</v>
      </c>
      <c r="N8633" s="5">
        <v>41.1</v>
      </c>
      <c r="O8633" s="5">
        <v>40.200000000000003</v>
      </c>
      <c r="P8633" s="2" t="s">
        <v>25614</v>
      </c>
      <c r="Q8633" s="2"/>
      <c r="R8633" s="6">
        <v>75</v>
      </c>
      <c r="S8633" s="5">
        <v>51.7</v>
      </c>
      <c r="T8633" s="5">
        <v>280.10000000000002</v>
      </c>
      <c r="U8633" s="5">
        <v>26.7</v>
      </c>
      <c r="V8633" s="6">
        <v>0.93</v>
      </c>
      <c r="W8633" s="5">
        <v>61.9</v>
      </c>
      <c r="X8633" s="5">
        <v>61.5</v>
      </c>
      <c r="Y8633" s="5">
        <v>67.5</v>
      </c>
      <c r="Z8633" s="5">
        <v>66.8</v>
      </c>
      <c r="AA8633" s="6">
        <v>54.38</v>
      </c>
      <c r="AB8633" s="7">
        <v>30.655000000000001</v>
      </c>
      <c r="AC8633" s="6">
        <v>50.22</v>
      </c>
    </row>
    <row r="8634" spans="1:29" ht="104" x14ac:dyDescent="0.15">
      <c r="A8634" s="3">
        <f>DATE(2007,5,24)</f>
        <v>39226</v>
      </c>
      <c r="B8634" s="2"/>
      <c r="C8634" s="2" t="s">
        <v>30</v>
      </c>
      <c r="D8634" s="2" t="s">
        <v>2405</v>
      </c>
      <c r="E8634" s="2" t="s">
        <v>2406</v>
      </c>
      <c r="F8634" s="4">
        <v>2067</v>
      </c>
      <c r="G8634" s="2" t="s">
        <v>577</v>
      </c>
      <c r="H8634" s="2" t="s">
        <v>34</v>
      </c>
      <c r="I8634" s="2" t="s">
        <v>25615</v>
      </c>
      <c r="J8634" s="2" t="s">
        <v>25616</v>
      </c>
      <c r="K8634" s="2" t="s">
        <v>186</v>
      </c>
      <c r="L8634" s="2" t="s">
        <v>34</v>
      </c>
      <c r="M8634" s="2"/>
      <c r="N8634" s="2"/>
      <c r="O8634" s="2"/>
      <c r="P8634" s="2" t="s">
        <v>25617</v>
      </c>
      <c r="Q8634" s="2"/>
      <c r="R8634" s="6">
        <v>10.75</v>
      </c>
      <c r="S8634" s="5">
        <v>11.2</v>
      </c>
      <c r="T8634" s="7">
        <v>22.873000000000001</v>
      </c>
      <c r="U8634" s="5">
        <v>5.2</v>
      </c>
      <c r="V8634" s="6">
        <v>0.28000000000000003</v>
      </c>
      <c r="W8634" s="6">
        <v>9.0299999999999994</v>
      </c>
      <c r="X8634" s="6">
        <v>8.91</v>
      </c>
      <c r="Y8634" s="6">
        <v>9.81</v>
      </c>
      <c r="Z8634" s="6">
        <v>9.94</v>
      </c>
      <c r="AA8634" s="6">
        <v>38.700000000000003</v>
      </c>
      <c r="AB8634" s="7">
        <v>19.329000000000001</v>
      </c>
      <c r="AC8634" s="2"/>
    </row>
    <row r="8635" spans="1:29" ht="117" x14ac:dyDescent="0.15">
      <c r="A8635" s="3">
        <f>DATE(2007,5,25)</f>
        <v>39227</v>
      </c>
      <c r="B8635" s="3">
        <f>DATE(2007,6,15)</f>
        <v>39248</v>
      </c>
      <c r="C8635" s="2" t="s">
        <v>95</v>
      </c>
      <c r="D8635" s="2" t="s">
        <v>25618</v>
      </c>
      <c r="E8635" s="2" t="s">
        <v>1435</v>
      </c>
      <c r="F8635" s="4">
        <v>1311</v>
      </c>
      <c r="G8635" s="2" t="s">
        <v>148</v>
      </c>
      <c r="H8635" s="2" t="s">
        <v>34</v>
      </c>
      <c r="I8635" s="2" t="s">
        <v>25619</v>
      </c>
      <c r="J8635" s="2" t="s">
        <v>1608</v>
      </c>
      <c r="K8635" s="2" t="s">
        <v>148</v>
      </c>
      <c r="L8635" s="2" t="s">
        <v>34</v>
      </c>
      <c r="M8635" s="2"/>
      <c r="N8635" s="2"/>
      <c r="O8635" s="2"/>
      <c r="P8635" s="2" t="s">
        <v>25620</v>
      </c>
      <c r="Q8635" s="6">
        <v>25</v>
      </c>
      <c r="R8635" s="6">
        <v>1.3</v>
      </c>
      <c r="S8635" s="5">
        <v>2.5</v>
      </c>
      <c r="T8635" s="7">
        <v>5.5730000000000004</v>
      </c>
      <c r="U8635" s="5">
        <v>0.5</v>
      </c>
      <c r="V8635" s="6">
        <v>0.06</v>
      </c>
      <c r="W8635" s="6">
        <v>1.28</v>
      </c>
      <c r="X8635" s="6">
        <v>1.28</v>
      </c>
      <c r="Y8635" s="6">
        <v>1.29</v>
      </c>
      <c r="Z8635" s="6">
        <v>1.29</v>
      </c>
      <c r="AA8635" s="6">
        <v>33.46</v>
      </c>
      <c r="AB8635" s="7">
        <v>25.596</v>
      </c>
      <c r="AC8635" s="2"/>
    </row>
    <row r="8636" spans="1:29" ht="52" x14ac:dyDescent="0.15">
      <c r="A8636" s="3">
        <f>DATE(2007,5,28)</f>
        <v>39230</v>
      </c>
      <c r="B8636" s="2"/>
      <c r="C8636" s="2" t="s">
        <v>87</v>
      </c>
      <c r="D8636" s="2" t="s">
        <v>25621</v>
      </c>
      <c r="E8636" s="2" t="s">
        <v>25622</v>
      </c>
      <c r="F8636" s="4">
        <v>1011</v>
      </c>
      <c r="G8636" s="2" t="s">
        <v>166</v>
      </c>
      <c r="H8636" s="2" t="s">
        <v>34</v>
      </c>
      <c r="I8636" s="2" t="s">
        <v>25623</v>
      </c>
      <c r="J8636" s="2" t="s">
        <v>25622</v>
      </c>
      <c r="K8636" s="2" t="s">
        <v>166</v>
      </c>
      <c r="L8636" s="2" t="s">
        <v>25624</v>
      </c>
      <c r="M8636" s="12">
        <v>50911.745000000003</v>
      </c>
      <c r="N8636" s="7">
        <v>36.872</v>
      </c>
      <c r="O8636" s="7">
        <v>36.485999999999997</v>
      </c>
      <c r="P8636" s="2" t="s">
        <v>25625</v>
      </c>
      <c r="Q8636" s="2"/>
      <c r="R8636" s="2"/>
      <c r="S8636" s="5">
        <v>274.7</v>
      </c>
      <c r="T8636" s="5">
        <v>438.8</v>
      </c>
      <c r="U8636" s="5">
        <v>9.5</v>
      </c>
      <c r="V8636" s="6">
        <v>2.5299999999999998</v>
      </c>
      <c r="W8636" s="6">
        <v>74.23</v>
      </c>
      <c r="X8636" s="6">
        <v>78.13</v>
      </c>
      <c r="Y8636" s="6">
        <v>78.02</v>
      </c>
      <c r="Z8636" s="6">
        <v>78.02</v>
      </c>
      <c r="AA8636" s="6">
        <v>41.03</v>
      </c>
      <c r="AB8636" s="2" t="s">
        <v>47</v>
      </c>
      <c r="AC8636" s="10">
        <v>4042.23</v>
      </c>
    </row>
    <row r="8637" spans="1:29" ht="234" x14ac:dyDescent="0.15">
      <c r="A8637" s="3">
        <f>DATE(2007,5,28)</f>
        <v>39230</v>
      </c>
      <c r="B8637" s="3">
        <f>DATE(2007,11,15)</f>
        <v>39401</v>
      </c>
      <c r="C8637" s="2" t="s">
        <v>95</v>
      </c>
      <c r="D8637" s="2" t="s">
        <v>25626</v>
      </c>
      <c r="E8637" s="2" t="s">
        <v>25090</v>
      </c>
      <c r="F8637" s="4">
        <v>1522</v>
      </c>
      <c r="G8637" s="2" t="s">
        <v>341</v>
      </c>
      <c r="H8637" s="2" t="s">
        <v>34</v>
      </c>
      <c r="I8637" s="2" t="s">
        <v>7226</v>
      </c>
      <c r="J8637" s="2" t="s">
        <v>7227</v>
      </c>
      <c r="K8637" s="2" t="s">
        <v>223</v>
      </c>
      <c r="L8637" s="2" t="s">
        <v>34</v>
      </c>
      <c r="M8637" s="12">
        <v>2317.2689999999998</v>
      </c>
      <c r="N8637" s="6">
        <v>49.27</v>
      </c>
      <c r="O8637" s="6">
        <v>49.27</v>
      </c>
      <c r="P8637" s="2" t="s">
        <v>25627</v>
      </c>
      <c r="Q8637" s="6">
        <v>100</v>
      </c>
      <c r="R8637" s="6">
        <v>97.89</v>
      </c>
      <c r="S8637" s="5">
        <v>66.599999999999994</v>
      </c>
      <c r="T8637" s="7">
        <v>82.391000000000005</v>
      </c>
      <c r="U8637" s="5">
        <v>30.5</v>
      </c>
      <c r="V8637" s="6">
        <v>2.19</v>
      </c>
      <c r="W8637" s="6">
        <v>70.34</v>
      </c>
      <c r="X8637" s="6">
        <v>69.97</v>
      </c>
      <c r="Y8637" s="6">
        <v>69.97</v>
      </c>
      <c r="Z8637" s="6">
        <v>85.04</v>
      </c>
      <c r="AA8637" s="6">
        <v>29.18</v>
      </c>
      <c r="AB8637" s="7">
        <v>44.938000000000002</v>
      </c>
      <c r="AC8637" s="6">
        <v>141.29</v>
      </c>
    </row>
    <row r="8638" spans="1:29" ht="130" x14ac:dyDescent="0.15">
      <c r="A8638" s="3">
        <f>DATE(2007,5,29)</f>
        <v>39231</v>
      </c>
      <c r="B8638" s="3">
        <f>DATE(2007,10,5)</f>
        <v>39360</v>
      </c>
      <c r="C8638" s="2" t="s">
        <v>95</v>
      </c>
      <c r="D8638" s="2" t="s">
        <v>25628</v>
      </c>
      <c r="E8638" s="2" t="s">
        <v>5957</v>
      </c>
      <c r="F8638" s="4">
        <v>6798</v>
      </c>
      <c r="G8638" s="2" t="s">
        <v>53</v>
      </c>
      <c r="H8638" s="2" t="s">
        <v>34</v>
      </c>
      <c r="I8638" s="2" t="s">
        <v>51</v>
      </c>
      <c r="J8638" s="2" t="s">
        <v>52</v>
      </c>
      <c r="K8638" s="2" t="s">
        <v>53</v>
      </c>
      <c r="L8638" s="2" t="s">
        <v>34</v>
      </c>
      <c r="M8638" s="2"/>
      <c r="N8638" s="2"/>
      <c r="O8638" s="2"/>
      <c r="P8638" s="2" t="s">
        <v>25629</v>
      </c>
      <c r="Q8638" s="6">
        <v>100</v>
      </c>
      <c r="R8638" s="6">
        <v>60.75</v>
      </c>
      <c r="S8638" s="5">
        <v>188.9</v>
      </c>
      <c r="T8638" s="7">
        <v>512.654</v>
      </c>
      <c r="U8638" s="5">
        <v>25.9</v>
      </c>
      <c r="V8638" s="6">
        <v>0.84</v>
      </c>
      <c r="W8638" s="6">
        <v>52.02</v>
      </c>
      <c r="X8638" s="6">
        <v>55.23</v>
      </c>
      <c r="Y8638" s="6">
        <v>61.42</v>
      </c>
      <c r="Z8638" s="6">
        <v>61.08</v>
      </c>
      <c r="AA8638" s="6">
        <v>250.23</v>
      </c>
      <c r="AB8638" s="7">
        <v>99.793000000000006</v>
      </c>
      <c r="AC8638" s="2"/>
    </row>
    <row r="8639" spans="1:29" ht="169" x14ac:dyDescent="0.15">
      <c r="A8639" s="3">
        <f>DATE(2007,5,29)</f>
        <v>39231</v>
      </c>
      <c r="B8639" s="3">
        <f>DATE(2007,7,10)</f>
        <v>39273</v>
      </c>
      <c r="C8639" s="2" t="s">
        <v>95</v>
      </c>
      <c r="D8639" s="2" t="s">
        <v>25630</v>
      </c>
      <c r="E8639" s="2" t="s">
        <v>6711</v>
      </c>
      <c r="F8639" s="4">
        <v>2836</v>
      </c>
      <c r="G8639" s="2" t="s">
        <v>130</v>
      </c>
      <c r="H8639" s="2" t="s">
        <v>34</v>
      </c>
      <c r="I8639" s="2" t="s">
        <v>3054</v>
      </c>
      <c r="J8639" s="2" t="s">
        <v>540</v>
      </c>
      <c r="K8639" s="2" t="s">
        <v>130</v>
      </c>
      <c r="L8639" s="2" t="s">
        <v>34</v>
      </c>
      <c r="M8639" s="12">
        <v>17485.223000000002</v>
      </c>
      <c r="N8639" s="6">
        <v>62.56</v>
      </c>
      <c r="O8639" s="6">
        <v>63.21</v>
      </c>
      <c r="P8639" s="2" t="s">
        <v>25631</v>
      </c>
      <c r="Q8639" s="6">
        <v>100</v>
      </c>
      <c r="R8639" s="6">
        <v>5.6</v>
      </c>
      <c r="S8639" s="5">
        <v>-33.9</v>
      </c>
      <c r="T8639" s="6">
        <v>-34.42</v>
      </c>
      <c r="U8639" s="5">
        <v>0.4</v>
      </c>
      <c r="V8639" s="6">
        <v>-0.81</v>
      </c>
      <c r="W8639" s="6">
        <v>4.2300000000000004</v>
      </c>
      <c r="X8639" s="6">
        <v>5.25</v>
      </c>
      <c r="Y8639" s="6">
        <v>5.59</v>
      </c>
      <c r="Z8639" s="6">
        <v>5.88</v>
      </c>
      <c r="AA8639" s="6">
        <v>59.68</v>
      </c>
      <c r="AB8639" s="2" t="s">
        <v>86</v>
      </c>
      <c r="AC8639" s="6">
        <v>850.49</v>
      </c>
    </row>
    <row r="8640" spans="1:29" ht="143" x14ac:dyDescent="0.15">
      <c r="A8640" s="3">
        <f>DATE(2007,5,29)</f>
        <v>39231</v>
      </c>
      <c r="B8640" s="2"/>
      <c r="C8640" s="2" t="s">
        <v>30</v>
      </c>
      <c r="D8640" s="2" t="s">
        <v>25632</v>
      </c>
      <c r="E8640" s="2" t="s">
        <v>2066</v>
      </c>
      <c r="F8640" s="4">
        <v>2834</v>
      </c>
      <c r="G8640" s="2" t="s">
        <v>130</v>
      </c>
      <c r="H8640" s="2" t="s">
        <v>34</v>
      </c>
      <c r="I8640" s="2" t="s">
        <v>51</v>
      </c>
      <c r="J8640" s="2" t="s">
        <v>52</v>
      </c>
      <c r="K8640" s="2" t="s">
        <v>53</v>
      </c>
      <c r="L8640" s="2" t="s">
        <v>34</v>
      </c>
      <c r="M8640" s="2"/>
      <c r="N8640" s="2"/>
      <c r="O8640" s="2"/>
      <c r="P8640" s="2" t="s">
        <v>25633</v>
      </c>
      <c r="Q8640" s="2"/>
      <c r="R8640" s="6">
        <v>21.5</v>
      </c>
      <c r="S8640" s="5">
        <v>12.5</v>
      </c>
      <c r="T8640" s="7">
        <v>37.716000000000001</v>
      </c>
      <c r="U8640" s="5">
        <v>10.9</v>
      </c>
      <c r="V8640" s="6">
        <v>0.73</v>
      </c>
      <c r="W8640" s="5">
        <v>18.7</v>
      </c>
      <c r="X8640" s="6">
        <v>18.440000000000001</v>
      </c>
      <c r="Y8640" s="6">
        <v>22.35</v>
      </c>
      <c r="Z8640" s="6">
        <v>22.35</v>
      </c>
      <c r="AA8640" s="6">
        <v>17.03</v>
      </c>
      <c r="AB8640" s="7">
        <v>15.039</v>
      </c>
      <c r="AC8640" s="2"/>
    </row>
    <row r="8641" spans="1:29" ht="117" x14ac:dyDescent="0.15">
      <c r="A8641" s="3">
        <f>DATE(2007,5,29)</f>
        <v>39231</v>
      </c>
      <c r="B8641" s="3">
        <f>DATE(2007,10,12)</f>
        <v>39367</v>
      </c>
      <c r="C8641" s="2" t="s">
        <v>95</v>
      </c>
      <c r="D8641" s="2" t="s">
        <v>25634</v>
      </c>
      <c r="E8641" s="2" t="s">
        <v>25635</v>
      </c>
      <c r="F8641" s="4">
        <v>3571</v>
      </c>
      <c r="G8641" s="2" t="s">
        <v>50</v>
      </c>
      <c r="H8641" s="2" t="s">
        <v>34</v>
      </c>
      <c r="I8641" s="2" t="s">
        <v>10332</v>
      </c>
      <c r="J8641" s="2" t="s">
        <v>244</v>
      </c>
      <c r="K8641" s="2" t="s">
        <v>53</v>
      </c>
      <c r="L8641" s="2" t="s">
        <v>34</v>
      </c>
      <c r="M8641" s="2"/>
      <c r="N8641" s="2"/>
      <c r="O8641" s="2"/>
      <c r="P8641" s="2" t="s">
        <v>25636</v>
      </c>
      <c r="Q8641" s="6">
        <v>100</v>
      </c>
      <c r="R8641" s="6">
        <v>87.75</v>
      </c>
      <c r="S8641" s="5">
        <v>281.2</v>
      </c>
      <c r="T8641" s="7">
        <v>475.21499999999997</v>
      </c>
      <c r="U8641" s="5">
        <v>18.5</v>
      </c>
      <c r="V8641" s="6">
        <v>3.52</v>
      </c>
      <c r="W8641" s="6">
        <v>78.72</v>
      </c>
      <c r="X8641" s="6">
        <v>75.56</v>
      </c>
      <c r="Y8641" s="6">
        <v>83.11</v>
      </c>
      <c r="Z8641" s="6">
        <v>85.17</v>
      </c>
      <c r="AA8641" s="6">
        <v>79.17</v>
      </c>
      <c r="AB8641" s="7">
        <v>15.314</v>
      </c>
      <c r="AC8641" s="2"/>
    </row>
    <row r="8642" spans="1:29" ht="91" x14ac:dyDescent="0.15">
      <c r="A8642" s="3">
        <f>DATE(2007,5,29)</f>
        <v>39231</v>
      </c>
      <c r="B8642" s="3">
        <f>DATE(2007,8,31)</f>
        <v>39325</v>
      </c>
      <c r="C8642" s="2" t="s">
        <v>95</v>
      </c>
      <c r="D8642" s="2" t="s">
        <v>25637</v>
      </c>
      <c r="E8642" s="2" t="s">
        <v>25638</v>
      </c>
      <c r="F8642" s="4">
        <v>4813</v>
      </c>
      <c r="G8642" s="2" t="s">
        <v>63</v>
      </c>
      <c r="H8642" s="2" t="s">
        <v>34</v>
      </c>
      <c r="I8642" s="2" t="s">
        <v>25639</v>
      </c>
      <c r="J8642" s="2" t="s">
        <v>973</v>
      </c>
      <c r="K8642" s="2" t="s">
        <v>63</v>
      </c>
      <c r="L8642" s="2" t="s">
        <v>34</v>
      </c>
      <c r="M8642" s="12">
        <v>6996.2039999999997</v>
      </c>
      <c r="N8642" s="5">
        <v>14.9</v>
      </c>
      <c r="O8642" s="6">
        <v>15.01</v>
      </c>
      <c r="P8642" s="2" t="s">
        <v>25640</v>
      </c>
      <c r="Q8642" s="6">
        <v>100</v>
      </c>
      <c r="R8642" s="6">
        <v>31.5</v>
      </c>
      <c r="S8642" s="5">
        <v>18.8</v>
      </c>
      <c r="T8642" s="5">
        <v>57</v>
      </c>
      <c r="U8642" s="5">
        <v>13.9</v>
      </c>
      <c r="V8642" s="6">
        <v>0.94</v>
      </c>
      <c r="W8642" s="6">
        <v>21.35</v>
      </c>
      <c r="X8642" s="6">
        <v>21.58</v>
      </c>
      <c r="Y8642" s="6">
        <v>31.39</v>
      </c>
      <c r="Z8642" s="6">
        <v>31.42</v>
      </c>
      <c r="AA8642" s="6">
        <v>20.27</v>
      </c>
      <c r="AB8642" s="7">
        <v>23.190999999999999</v>
      </c>
      <c r="AC8642" s="5">
        <v>386.8</v>
      </c>
    </row>
    <row r="8643" spans="1:29" ht="169" x14ac:dyDescent="0.15">
      <c r="A8643" s="3">
        <f>DATE(2007,5,30)</f>
        <v>39232</v>
      </c>
      <c r="B8643" s="3">
        <f>DATE(2007,11,9)</f>
        <v>39395</v>
      </c>
      <c r="C8643" s="2" t="s">
        <v>95</v>
      </c>
      <c r="D8643" s="2" t="s">
        <v>14271</v>
      </c>
      <c r="E8643" s="2" t="s">
        <v>25159</v>
      </c>
      <c r="F8643" s="4">
        <v>7374</v>
      </c>
      <c r="G8643" s="2" t="s">
        <v>223</v>
      </c>
      <c r="H8643" s="2" t="s">
        <v>34</v>
      </c>
      <c r="I8643" s="2" t="s">
        <v>51</v>
      </c>
      <c r="J8643" s="2" t="s">
        <v>52</v>
      </c>
      <c r="K8643" s="2" t="s">
        <v>53</v>
      </c>
      <c r="L8643" s="2" t="s">
        <v>34</v>
      </c>
      <c r="M8643" s="2"/>
      <c r="N8643" s="2"/>
      <c r="O8643" s="2"/>
      <c r="P8643" s="2" t="s">
        <v>25641</v>
      </c>
      <c r="Q8643" s="6">
        <v>100</v>
      </c>
      <c r="R8643" s="6">
        <v>36</v>
      </c>
      <c r="S8643" s="5">
        <v>177.5</v>
      </c>
      <c r="T8643" s="5">
        <v>336.5</v>
      </c>
      <c r="U8643" s="5">
        <v>10.3</v>
      </c>
      <c r="V8643" s="6">
        <v>1.24</v>
      </c>
      <c r="W8643" s="6">
        <v>33.97</v>
      </c>
      <c r="X8643" s="6">
        <v>33.72</v>
      </c>
      <c r="Y8643" s="6">
        <v>34.19</v>
      </c>
      <c r="Z8643" s="6">
        <v>35.369999999999997</v>
      </c>
      <c r="AA8643" s="6">
        <v>143.4</v>
      </c>
      <c r="AB8643" s="7">
        <v>20.184000000000001</v>
      </c>
      <c r="AC8643" s="2"/>
    </row>
    <row r="8644" spans="1:29" ht="52" x14ac:dyDescent="0.15">
      <c r="A8644" s="3">
        <f>DATE(2007,5,30)</f>
        <v>39232</v>
      </c>
      <c r="B8644" s="2"/>
      <c r="C8644" s="2" t="s">
        <v>87</v>
      </c>
      <c r="D8644" s="2" t="s">
        <v>25642</v>
      </c>
      <c r="E8644" s="2" t="s">
        <v>25643</v>
      </c>
      <c r="F8644" s="4">
        <v>5949</v>
      </c>
      <c r="G8644" s="2" t="s">
        <v>73</v>
      </c>
      <c r="H8644" s="2" t="s">
        <v>34</v>
      </c>
      <c r="I8644" s="2" t="s">
        <v>143</v>
      </c>
      <c r="J8644" s="2" t="s">
        <v>144</v>
      </c>
      <c r="K8644" s="2" t="s">
        <v>53</v>
      </c>
      <c r="L8644" s="2" t="s">
        <v>139</v>
      </c>
      <c r="M8644" s="2"/>
      <c r="N8644" s="2"/>
      <c r="O8644" s="2"/>
      <c r="P8644" s="2" t="s">
        <v>25644</v>
      </c>
      <c r="Q8644" s="2"/>
      <c r="R8644" s="2"/>
      <c r="S8644" s="5">
        <v>-2.9</v>
      </c>
      <c r="T8644" s="5">
        <v>66.099999999999994</v>
      </c>
      <c r="U8644" s="5">
        <v>17.2</v>
      </c>
      <c r="V8644" s="6">
        <v>-0.12</v>
      </c>
      <c r="W8644" s="6">
        <v>30.34</v>
      </c>
      <c r="X8644" s="6">
        <v>30.06</v>
      </c>
      <c r="Y8644" s="6">
        <v>31.05</v>
      </c>
      <c r="Z8644" s="6">
        <v>33.82</v>
      </c>
      <c r="AA8644" s="6">
        <v>24.56</v>
      </c>
      <c r="AB8644" s="2" t="s">
        <v>47</v>
      </c>
      <c r="AC8644" s="2"/>
    </row>
    <row r="8645" spans="1:29" ht="195" x14ac:dyDescent="0.15">
      <c r="A8645" s="3">
        <f>DATE(2007,5,31)</f>
        <v>39233</v>
      </c>
      <c r="B8645" s="2"/>
      <c r="C8645" s="2" t="s">
        <v>30</v>
      </c>
      <c r="D8645" s="2" t="s">
        <v>25645</v>
      </c>
      <c r="E8645" s="2" t="s">
        <v>398</v>
      </c>
      <c r="F8645" s="4">
        <v>7812</v>
      </c>
      <c r="G8645" s="2" t="s">
        <v>42</v>
      </c>
      <c r="H8645" s="2" t="s">
        <v>34</v>
      </c>
      <c r="I8645" s="2" t="s">
        <v>25646</v>
      </c>
      <c r="J8645" s="2" t="s">
        <v>11337</v>
      </c>
      <c r="K8645" s="2" t="s">
        <v>53</v>
      </c>
      <c r="L8645" s="2" t="s">
        <v>34</v>
      </c>
      <c r="M8645" s="2"/>
      <c r="N8645" s="2"/>
      <c r="O8645" s="2"/>
      <c r="P8645" s="2" t="s">
        <v>25647</v>
      </c>
      <c r="Q8645" s="2"/>
      <c r="R8645" s="6">
        <v>12</v>
      </c>
      <c r="S8645" s="5">
        <v>20.5</v>
      </c>
      <c r="T8645" s="7">
        <v>83.465999999999994</v>
      </c>
      <c r="U8645" s="5">
        <v>2.9</v>
      </c>
      <c r="V8645" s="6">
        <v>0.27</v>
      </c>
      <c r="W8645" s="6">
        <v>10.39</v>
      </c>
      <c r="X8645" s="6">
        <v>10.59</v>
      </c>
      <c r="Y8645" s="6">
        <v>10.63</v>
      </c>
      <c r="Z8645" s="6">
        <v>14.65</v>
      </c>
      <c r="AA8645" s="6">
        <v>97.06</v>
      </c>
      <c r="AB8645" s="7">
        <v>20.334</v>
      </c>
      <c r="AC8645" s="2"/>
    </row>
    <row r="8646" spans="1:29" ht="143" x14ac:dyDescent="0.15">
      <c r="A8646" s="3">
        <f>DATE(2007,5,31)</f>
        <v>39233</v>
      </c>
      <c r="B8646" s="3">
        <f>DATE(2007,10,1)</f>
        <v>39356</v>
      </c>
      <c r="C8646" s="2" t="s">
        <v>95</v>
      </c>
      <c r="D8646" s="2" t="s">
        <v>25648</v>
      </c>
      <c r="E8646" s="2" t="s">
        <v>22824</v>
      </c>
      <c r="F8646" s="4">
        <v>6211</v>
      </c>
      <c r="G8646" s="2" t="s">
        <v>53</v>
      </c>
      <c r="H8646" s="2" t="s">
        <v>34</v>
      </c>
      <c r="I8646" s="2" t="s">
        <v>22080</v>
      </c>
      <c r="J8646" s="2" t="s">
        <v>22081</v>
      </c>
      <c r="K8646" s="2" t="s">
        <v>37</v>
      </c>
      <c r="L8646" s="2" t="s">
        <v>34</v>
      </c>
      <c r="M8646" s="12">
        <v>106458.982</v>
      </c>
      <c r="N8646" s="6">
        <v>54.19</v>
      </c>
      <c r="O8646" s="6">
        <v>54.51</v>
      </c>
      <c r="P8646" s="2" t="s">
        <v>25649</v>
      </c>
      <c r="Q8646" s="6">
        <v>100</v>
      </c>
      <c r="R8646" s="6">
        <v>89.5</v>
      </c>
      <c r="S8646" s="5">
        <v>337</v>
      </c>
      <c r="T8646" s="2"/>
      <c r="U8646" s="5">
        <v>28.7</v>
      </c>
      <c r="V8646" s="6">
        <v>4.42</v>
      </c>
      <c r="W8646" s="6">
        <v>75.34</v>
      </c>
      <c r="X8646" s="6">
        <v>77.150000000000006</v>
      </c>
      <c r="Y8646" s="6">
        <v>88.16</v>
      </c>
      <c r="Z8646" s="6">
        <v>88.75</v>
      </c>
      <c r="AA8646" s="6">
        <v>76</v>
      </c>
      <c r="AB8646" s="7">
        <v>11.733000000000001</v>
      </c>
      <c r="AC8646" s="2"/>
    </row>
    <row r="8647" spans="1:29" ht="156" x14ac:dyDescent="0.15">
      <c r="A8647" s="3">
        <f>DATE(2007,6,1)</f>
        <v>39234</v>
      </c>
      <c r="B8647" s="2"/>
      <c r="C8647" s="2" t="s">
        <v>30</v>
      </c>
      <c r="D8647" s="2" t="s">
        <v>25650</v>
      </c>
      <c r="E8647" s="2" t="s">
        <v>25651</v>
      </c>
      <c r="F8647" s="4">
        <v>3949</v>
      </c>
      <c r="G8647" s="2" t="s">
        <v>112</v>
      </c>
      <c r="H8647" s="2" t="s">
        <v>34</v>
      </c>
      <c r="I8647" s="2" t="s">
        <v>25652</v>
      </c>
      <c r="J8647" s="2" t="s">
        <v>1620</v>
      </c>
      <c r="K8647" s="2" t="s">
        <v>53</v>
      </c>
      <c r="L8647" s="2" t="s">
        <v>34</v>
      </c>
      <c r="M8647" s="2"/>
      <c r="N8647" s="2"/>
      <c r="O8647" s="2"/>
      <c r="P8647" s="2" t="s">
        <v>25653</v>
      </c>
      <c r="Q8647" s="2"/>
      <c r="R8647" s="6">
        <v>31.25</v>
      </c>
      <c r="S8647" s="5">
        <v>-2.7</v>
      </c>
      <c r="T8647" s="7">
        <v>8.5609999999999999</v>
      </c>
      <c r="U8647" s="5">
        <v>5.5</v>
      </c>
      <c r="V8647" s="6">
        <v>0.05</v>
      </c>
      <c r="W8647" s="6">
        <v>22.06</v>
      </c>
      <c r="X8647" s="6">
        <v>23.15</v>
      </c>
      <c r="Y8647" s="6">
        <v>26.36</v>
      </c>
      <c r="Z8647" s="5">
        <v>27.5</v>
      </c>
      <c r="AA8647" s="6">
        <v>4.07</v>
      </c>
      <c r="AB8647" s="7">
        <v>26.846</v>
      </c>
      <c r="AC8647" s="2"/>
    </row>
    <row r="8648" spans="1:29" ht="195" x14ac:dyDescent="0.15">
      <c r="A8648" s="3">
        <f>DATE(2007,6,3)</f>
        <v>39236</v>
      </c>
      <c r="B8648" s="3">
        <f>DATE(2007,7,30)</f>
        <v>39293</v>
      </c>
      <c r="C8648" s="2" t="s">
        <v>95</v>
      </c>
      <c r="D8648" s="2" t="s">
        <v>19718</v>
      </c>
      <c r="E8648" s="2" t="s">
        <v>19719</v>
      </c>
      <c r="F8648" s="4">
        <v>2835</v>
      </c>
      <c r="G8648" s="2" t="s">
        <v>130</v>
      </c>
      <c r="H8648" s="2" t="s">
        <v>34</v>
      </c>
      <c r="I8648" s="2" t="s">
        <v>25654</v>
      </c>
      <c r="J8648" s="2" t="s">
        <v>540</v>
      </c>
      <c r="K8648" s="2" t="s">
        <v>130</v>
      </c>
      <c r="L8648" s="2" t="s">
        <v>2105</v>
      </c>
      <c r="M8648" s="8">
        <v>2548.6999999999998</v>
      </c>
      <c r="N8648" s="6">
        <v>15.58</v>
      </c>
      <c r="O8648" s="6">
        <v>15.58</v>
      </c>
      <c r="P8648" s="2" t="s">
        <v>25655</v>
      </c>
      <c r="Q8648" s="6">
        <v>100</v>
      </c>
      <c r="R8648" s="6">
        <v>61.26</v>
      </c>
      <c r="S8648" s="5">
        <v>19.600000000000001</v>
      </c>
      <c r="T8648" s="6">
        <v>33.64</v>
      </c>
      <c r="U8648" s="5">
        <v>9.8000000000000007</v>
      </c>
      <c r="V8648" s="6">
        <v>0.81</v>
      </c>
      <c r="W8648" s="6">
        <v>43.64</v>
      </c>
      <c r="X8648" s="6">
        <v>44.77</v>
      </c>
      <c r="Y8648" s="6">
        <v>56.82</v>
      </c>
      <c r="Z8648" s="6">
        <v>56.82</v>
      </c>
      <c r="AA8648" s="6">
        <v>24.4</v>
      </c>
      <c r="AB8648" s="7">
        <v>49.506999999999998</v>
      </c>
      <c r="AC8648" s="6">
        <v>484.4</v>
      </c>
    </row>
    <row r="8649" spans="1:29" ht="143" x14ac:dyDescent="0.15">
      <c r="A8649" s="3">
        <f t="shared" ref="A8649:A8657" si="168">DATE(2007,6,4)</f>
        <v>39237</v>
      </c>
      <c r="B8649" s="3">
        <f>DATE(2007,10,12)</f>
        <v>39367</v>
      </c>
      <c r="C8649" s="2" t="s">
        <v>95</v>
      </c>
      <c r="D8649" s="2" t="s">
        <v>24137</v>
      </c>
      <c r="E8649" s="2" t="s">
        <v>24138</v>
      </c>
      <c r="F8649" s="4">
        <v>6162</v>
      </c>
      <c r="G8649" s="2" t="s">
        <v>109</v>
      </c>
      <c r="H8649" s="2" t="s">
        <v>34</v>
      </c>
      <c r="I8649" s="2" t="s">
        <v>25656</v>
      </c>
      <c r="J8649" s="2" t="s">
        <v>4655</v>
      </c>
      <c r="K8649" s="2" t="s">
        <v>53</v>
      </c>
      <c r="L8649" s="2" t="s">
        <v>34</v>
      </c>
      <c r="M8649" s="2"/>
      <c r="N8649" s="2"/>
      <c r="O8649" s="2"/>
      <c r="P8649" s="2" t="s">
        <v>25657</v>
      </c>
      <c r="Q8649" s="6">
        <v>100</v>
      </c>
      <c r="R8649" s="6">
        <v>11.75</v>
      </c>
      <c r="S8649" s="5">
        <v>-619.79999999999995</v>
      </c>
      <c r="T8649" s="7">
        <v>1.738</v>
      </c>
      <c r="U8649" s="5">
        <v>9</v>
      </c>
      <c r="V8649" s="6">
        <v>-25.85</v>
      </c>
      <c r="W8649" s="6">
        <v>14.57</v>
      </c>
      <c r="X8649" s="6">
        <v>13.76</v>
      </c>
      <c r="Y8649" s="6">
        <v>15.12</v>
      </c>
      <c r="Z8649" s="5">
        <v>14.9</v>
      </c>
      <c r="AA8649" s="6">
        <v>25.61</v>
      </c>
      <c r="AB8649" s="2" t="s">
        <v>86</v>
      </c>
      <c r="AC8649" s="2"/>
    </row>
    <row r="8650" spans="1:29" ht="143" x14ac:dyDescent="0.15">
      <c r="A8650" s="3">
        <f t="shared" si="168"/>
        <v>39237</v>
      </c>
      <c r="B8650" s="3">
        <f>DATE(2007,10,26)</f>
        <v>39381</v>
      </c>
      <c r="C8650" s="2" t="s">
        <v>95</v>
      </c>
      <c r="D8650" s="2" t="s">
        <v>25658</v>
      </c>
      <c r="E8650" s="2" t="s">
        <v>25659</v>
      </c>
      <c r="F8650" s="4">
        <v>4813</v>
      </c>
      <c r="G8650" s="2" t="s">
        <v>63</v>
      </c>
      <c r="H8650" s="2" t="s">
        <v>34</v>
      </c>
      <c r="I8650" s="2" t="s">
        <v>25660</v>
      </c>
      <c r="J8650" s="2" t="s">
        <v>11337</v>
      </c>
      <c r="K8650" s="2" t="s">
        <v>53</v>
      </c>
      <c r="L8650" s="2" t="s">
        <v>34</v>
      </c>
      <c r="M8650" s="2"/>
      <c r="N8650" s="2"/>
      <c r="O8650" s="2"/>
      <c r="P8650" s="2" t="s">
        <v>25661</v>
      </c>
      <c r="Q8650" s="6">
        <v>100</v>
      </c>
      <c r="R8650" s="6">
        <v>17.5</v>
      </c>
      <c r="S8650" s="5">
        <v>220</v>
      </c>
      <c r="T8650" s="5">
        <v>679</v>
      </c>
      <c r="U8650" s="5">
        <v>5</v>
      </c>
      <c r="V8650" s="6">
        <v>0.48</v>
      </c>
      <c r="W8650" s="6">
        <v>13.88</v>
      </c>
      <c r="X8650" s="6">
        <v>13.67</v>
      </c>
      <c r="Y8650" s="6">
        <v>15.76</v>
      </c>
      <c r="Z8650" s="6">
        <v>15.66</v>
      </c>
      <c r="AA8650" s="6">
        <v>449.86</v>
      </c>
      <c r="AB8650" s="7">
        <v>17.969000000000001</v>
      </c>
      <c r="AC8650" s="2"/>
    </row>
    <row r="8651" spans="1:29" ht="78" x14ac:dyDescent="0.15">
      <c r="A8651" s="3">
        <f t="shared" si="168"/>
        <v>39237</v>
      </c>
      <c r="B8651" s="2"/>
      <c r="C8651" s="2" t="s">
        <v>87</v>
      </c>
      <c r="D8651" s="2" t="s">
        <v>569</v>
      </c>
      <c r="E8651" s="2" t="s">
        <v>2347</v>
      </c>
      <c r="F8651" s="4">
        <v>7372</v>
      </c>
      <c r="G8651" s="2" t="s">
        <v>551</v>
      </c>
      <c r="H8651" s="2" t="s">
        <v>34</v>
      </c>
      <c r="I8651" s="2" t="s">
        <v>143</v>
      </c>
      <c r="J8651" s="2" t="s">
        <v>144</v>
      </c>
      <c r="K8651" s="2" t="s">
        <v>53</v>
      </c>
      <c r="L8651" s="2" t="s">
        <v>139</v>
      </c>
      <c r="M8651" s="2"/>
      <c r="N8651" s="2"/>
      <c r="O8651" s="2"/>
      <c r="P8651" s="2" t="s">
        <v>25662</v>
      </c>
      <c r="Q8651" s="2"/>
      <c r="R8651" s="2"/>
      <c r="S8651" s="5">
        <v>165.2</v>
      </c>
      <c r="T8651" s="2"/>
      <c r="U8651" s="5">
        <v>6.7</v>
      </c>
      <c r="V8651" s="6">
        <v>0.56000000000000005</v>
      </c>
      <c r="W8651" s="6">
        <v>21.68</v>
      </c>
      <c r="X8651" s="5">
        <v>22.9</v>
      </c>
      <c r="Y8651" s="6">
        <v>24.22</v>
      </c>
      <c r="Z8651" s="6">
        <v>24.19</v>
      </c>
      <c r="AA8651" s="6">
        <v>278.33999999999997</v>
      </c>
      <c r="AB8651" s="2" t="s">
        <v>47</v>
      </c>
      <c r="AC8651" s="2"/>
    </row>
    <row r="8652" spans="1:29" ht="143" x14ac:dyDescent="0.15">
      <c r="A8652" s="3">
        <f t="shared" si="168"/>
        <v>39237</v>
      </c>
      <c r="B8652" s="3">
        <f>DATE(2007,9,12)</f>
        <v>39337</v>
      </c>
      <c r="C8652" s="2" t="s">
        <v>95</v>
      </c>
      <c r="D8652" s="2" t="s">
        <v>25663</v>
      </c>
      <c r="E8652" s="2" t="s">
        <v>25664</v>
      </c>
      <c r="F8652" s="4">
        <v>3845</v>
      </c>
      <c r="G8652" s="2" t="s">
        <v>226</v>
      </c>
      <c r="H8652" s="2" t="s">
        <v>34</v>
      </c>
      <c r="I8652" s="2" t="s">
        <v>20285</v>
      </c>
      <c r="J8652" s="2" t="s">
        <v>20286</v>
      </c>
      <c r="K8652" s="2" t="s">
        <v>130</v>
      </c>
      <c r="L8652" s="2" t="s">
        <v>34</v>
      </c>
      <c r="M8652" s="10">
        <v>1844.76</v>
      </c>
      <c r="N8652" s="6">
        <v>46.02</v>
      </c>
      <c r="O8652" s="6">
        <v>45.69</v>
      </c>
      <c r="P8652" s="2" t="s">
        <v>25665</v>
      </c>
      <c r="Q8652" s="6">
        <v>100</v>
      </c>
      <c r="R8652" s="6">
        <v>21.02</v>
      </c>
      <c r="S8652" s="5">
        <v>9.4</v>
      </c>
      <c r="T8652" s="7">
        <v>14.191000000000001</v>
      </c>
      <c r="U8652" s="5">
        <v>6.1</v>
      </c>
      <c r="V8652" s="6">
        <v>0.61</v>
      </c>
      <c r="W8652" s="6">
        <v>17.079999999999998</v>
      </c>
      <c r="X8652" s="6">
        <v>16.79</v>
      </c>
      <c r="Y8652" s="6">
        <v>19.559999999999999</v>
      </c>
      <c r="Z8652" s="6">
        <v>19.45</v>
      </c>
      <c r="AA8652" s="6">
        <v>15.52</v>
      </c>
      <c r="AB8652" s="7">
        <v>25.795000000000002</v>
      </c>
      <c r="AC8652" s="6">
        <v>180.94</v>
      </c>
    </row>
    <row r="8653" spans="1:29" ht="117" x14ac:dyDescent="0.15">
      <c r="A8653" s="3">
        <f t="shared" si="168"/>
        <v>39237</v>
      </c>
      <c r="B8653" s="3">
        <f>DATE(2007,10,31)</f>
        <v>39386</v>
      </c>
      <c r="C8653" s="2" t="s">
        <v>95</v>
      </c>
      <c r="D8653" s="2" t="s">
        <v>25666</v>
      </c>
      <c r="E8653" s="2" t="s">
        <v>3780</v>
      </c>
      <c r="F8653" s="4">
        <v>6021</v>
      </c>
      <c r="G8653" s="2" t="s">
        <v>37</v>
      </c>
      <c r="H8653" s="2" t="s">
        <v>34</v>
      </c>
      <c r="I8653" s="2" t="s">
        <v>13489</v>
      </c>
      <c r="J8653" s="2" t="s">
        <v>13490</v>
      </c>
      <c r="K8653" s="2" t="s">
        <v>37</v>
      </c>
      <c r="L8653" s="2" t="s">
        <v>34</v>
      </c>
      <c r="M8653" s="12">
        <v>1339.048</v>
      </c>
      <c r="N8653" s="6">
        <v>29.52</v>
      </c>
      <c r="O8653" s="6">
        <v>28.59</v>
      </c>
      <c r="P8653" s="2" t="s">
        <v>25667</v>
      </c>
      <c r="Q8653" s="6">
        <v>100</v>
      </c>
      <c r="R8653" s="6">
        <v>33.369999999999997</v>
      </c>
      <c r="S8653" s="2"/>
      <c r="T8653" s="2"/>
      <c r="U8653" s="2"/>
      <c r="V8653" s="2"/>
      <c r="W8653" s="6">
        <v>24.75</v>
      </c>
      <c r="X8653" s="6">
        <v>24.95</v>
      </c>
      <c r="Y8653" s="5">
        <v>24.6</v>
      </c>
      <c r="Z8653" s="6">
        <v>32.049999999999997</v>
      </c>
      <c r="AA8653" s="6">
        <v>3.62</v>
      </c>
      <c r="AB8653" s="2" t="s">
        <v>47</v>
      </c>
      <c r="AC8653" s="2"/>
    </row>
    <row r="8654" spans="1:29" ht="130" x14ac:dyDescent="0.15">
      <c r="A8654" s="3">
        <f t="shared" si="168"/>
        <v>39237</v>
      </c>
      <c r="B8654" s="3">
        <f>DATE(2007,6,4)</f>
        <v>39237</v>
      </c>
      <c r="C8654" s="2" t="s">
        <v>95</v>
      </c>
      <c r="D8654" s="2" t="s">
        <v>25668</v>
      </c>
      <c r="E8654" s="2" t="s">
        <v>386</v>
      </c>
      <c r="F8654" s="4">
        <v>6726</v>
      </c>
      <c r="G8654" s="2" t="s">
        <v>53</v>
      </c>
      <c r="H8654" s="2" t="s">
        <v>34</v>
      </c>
      <c r="I8654" s="2" t="s">
        <v>25669</v>
      </c>
      <c r="J8654" s="2" t="s">
        <v>386</v>
      </c>
      <c r="K8654" s="2" t="s">
        <v>53</v>
      </c>
      <c r="L8654" s="2" t="s">
        <v>34</v>
      </c>
      <c r="M8654" s="7">
        <v>269.20299999999997</v>
      </c>
      <c r="N8654" s="6">
        <v>11.43</v>
      </c>
      <c r="O8654" s="6">
        <v>11.33</v>
      </c>
      <c r="P8654" s="2" t="s">
        <v>25670</v>
      </c>
      <c r="Q8654" s="6">
        <v>100</v>
      </c>
      <c r="R8654" s="6">
        <v>12.89</v>
      </c>
      <c r="S8654" s="2"/>
      <c r="T8654" s="2"/>
      <c r="U8654" s="2"/>
      <c r="V8654" s="2"/>
      <c r="W8654" s="2"/>
      <c r="X8654" s="6">
        <v>12.94</v>
      </c>
      <c r="Y8654" s="6">
        <v>12.86</v>
      </c>
      <c r="Z8654" s="6">
        <v>12.86</v>
      </c>
      <c r="AA8654" s="6">
        <v>8.35</v>
      </c>
      <c r="AB8654" s="2" t="s">
        <v>47</v>
      </c>
      <c r="AC8654" s="2"/>
    </row>
    <row r="8655" spans="1:29" ht="78" x14ac:dyDescent="0.15">
      <c r="A8655" s="3">
        <f t="shared" si="168"/>
        <v>39237</v>
      </c>
      <c r="B8655" s="3">
        <f>DATE(2007,12,31)</f>
        <v>39447</v>
      </c>
      <c r="C8655" s="2" t="s">
        <v>95</v>
      </c>
      <c r="D8655" s="2" t="s">
        <v>25671</v>
      </c>
      <c r="E8655" s="2" t="s">
        <v>25672</v>
      </c>
      <c r="F8655" s="4">
        <v>5963</v>
      </c>
      <c r="G8655" s="2" t="s">
        <v>73</v>
      </c>
      <c r="H8655" s="2" t="s">
        <v>34</v>
      </c>
      <c r="I8655" s="2" t="s">
        <v>25673</v>
      </c>
      <c r="J8655" s="2" t="s">
        <v>244</v>
      </c>
      <c r="K8655" s="2" t="s">
        <v>53</v>
      </c>
      <c r="L8655" s="2" t="s">
        <v>34</v>
      </c>
      <c r="M8655" s="2"/>
      <c r="N8655" s="2"/>
      <c r="O8655" s="2"/>
      <c r="P8655" s="2" t="s">
        <v>25674</v>
      </c>
      <c r="Q8655" s="6">
        <v>100</v>
      </c>
      <c r="R8655" s="6">
        <v>24.25</v>
      </c>
      <c r="S8655" s="5">
        <v>-24.7</v>
      </c>
      <c r="T8655" s="7">
        <v>13.797000000000001</v>
      </c>
      <c r="U8655" s="5">
        <v>2.8</v>
      </c>
      <c r="V8655" s="6">
        <v>-1.52</v>
      </c>
      <c r="W8655" s="6">
        <v>18.78</v>
      </c>
      <c r="X8655" s="6">
        <v>20.079999999999998</v>
      </c>
      <c r="Y8655" s="4">
        <v>24</v>
      </c>
      <c r="Z8655" s="4">
        <v>24</v>
      </c>
      <c r="AA8655" s="6">
        <v>14.01</v>
      </c>
      <c r="AB8655" s="7">
        <v>116.116</v>
      </c>
      <c r="AC8655" s="2"/>
    </row>
    <row r="8656" spans="1:29" ht="143" x14ac:dyDescent="0.15">
      <c r="A8656" s="3">
        <f t="shared" si="168"/>
        <v>39237</v>
      </c>
      <c r="B8656" s="3">
        <f>DATE(2007,10,1)</f>
        <v>39356</v>
      </c>
      <c r="C8656" s="2" t="s">
        <v>95</v>
      </c>
      <c r="D8656" s="2" t="s">
        <v>15270</v>
      </c>
      <c r="E8656" s="2" t="s">
        <v>12389</v>
      </c>
      <c r="F8656" s="4">
        <v>3672</v>
      </c>
      <c r="G8656" s="2" t="s">
        <v>137</v>
      </c>
      <c r="H8656" s="2" t="s">
        <v>34</v>
      </c>
      <c r="I8656" s="2" t="s">
        <v>15781</v>
      </c>
      <c r="J8656" s="2" t="s">
        <v>15782</v>
      </c>
      <c r="K8656" s="2" t="s">
        <v>137</v>
      </c>
      <c r="L8656" s="2" t="s">
        <v>54</v>
      </c>
      <c r="M8656" s="12">
        <v>6987.3190000000004</v>
      </c>
      <c r="N8656" s="6">
        <v>11.54</v>
      </c>
      <c r="O8656" s="6">
        <v>10.91</v>
      </c>
      <c r="P8656" s="2" t="s">
        <v>25675</v>
      </c>
      <c r="Q8656" s="6">
        <v>100</v>
      </c>
      <c r="R8656" s="6">
        <v>4.04</v>
      </c>
      <c r="S8656" s="5">
        <v>55.4</v>
      </c>
      <c r="T8656" s="5">
        <v>329.2</v>
      </c>
      <c r="U8656" s="5">
        <v>2.7</v>
      </c>
      <c r="V8656" s="6">
        <v>0.08</v>
      </c>
      <c r="W8656" s="6">
        <v>3.35</v>
      </c>
      <c r="X8656" s="6">
        <v>3.37</v>
      </c>
      <c r="Y8656" s="6">
        <v>3.88</v>
      </c>
      <c r="Z8656" s="6">
        <v>3.74</v>
      </c>
      <c r="AA8656" s="6">
        <v>909.21</v>
      </c>
      <c r="AB8656" s="7">
        <v>19.631</v>
      </c>
      <c r="AC8656" s="5">
        <v>714.9</v>
      </c>
    </row>
    <row r="8657" spans="1:29" ht="156" x14ac:dyDescent="0.15">
      <c r="A8657" s="3">
        <f t="shared" si="168"/>
        <v>39237</v>
      </c>
      <c r="B8657" s="3">
        <f>DATE(2007,6,15)</f>
        <v>39248</v>
      </c>
      <c r="C8657" s="2" t="s">
        <v>95</v>
      </c>
      <c r="D8657" s="2" t="s">
        <v>25676</v>
      </c>
      <c r="E8657" s="2" t="s">
        <v>25677</v>
      </c>
      <c r="F8657" s="4">
        <v>5651</v>
      </c>
      <c r="G8657" s="2" t="s">
        <v>756</v>
      </c>
      <c r="H8657" s="2" t="s">
        <v>34</v>
      </c>
      <c r="I8657" s="2" t="s">
        <v>51</v>
      </c>
      <c r="J8657" s="2" t="s">
        <v>52</v>
      </c>
      <c r="K8657" s="2" t="s">
        <v>53</v>
      </c>
      <c r="L8657" s="2" t="s">
        <v>34</v>
      </c>
      <c r="M8657" s="2"/>
      <c r="N8657" s="2"/>
      <c r="O8657" s="2"/>
      <c r="P8657" s="2" t="s">
        <v>25678</v>
      </c>
      <c r="Q8657" s="6">
        <v>76.52</v>
      </c>
      <c r="R8657" s="6">
        <v>1.5</v>
      </c>
      <c r="S8657" s="5">
        <v>-47.9</v>
      </c>
      <c r="T8657" s="7">
        <v>-35.765999999999998</v>
      </c>
      <c r="U8657" s="5">
        <v>1.5</v>
      </c>
      <c r="V8657" s="6">
        <v>-1.22</v>
      </c>
      <c r="W8657" s="6">
        <v>1.25</v>
      </c>
      <c r="X8657" s="6">
        <v>1.38</v>
      </c>
      <c r="Y8657" s="6">
        <v>1.51</v>
      </c>
      <c r="Z8657" s="6">
        <v>1.35</v>
      </c>
      <c r="AA8657" s="6">
        <v>39.200000000000003</v>
      </c>
      <c r="AB8657" s="2" t="s">
        <v>86</v>
      </c>
      <c r="AC8657" s="2"/>
    </row>
    <row r="8658" spans="1:29" ht="104" x14ac:dyDescent="0.15">
      <c r="A8658" s="3">
        <f>DATE(2007,6,6)</f>
        <v>39239</v>
      </c>
      <c r="B8658" s="3">
        <f>DATE(2007,10,31)</f>
        <v>39386</v>
      </c>
      <c r="C8658" s="2" t="s">
        <v>95</v>
      </c>
      <c r="D8658" s="2" t="s">
        <v>25455</v>
      </c>
      <c r="E8658" s="2" t="s">
        <v>25456</v>
      </c>
      <c r="F8658" s="4">
        <v>3679</v>
      </c>
      <c r="G8658" s="2" t="s">
        <v>137</v>
      </c>
      <c r="H8658" s="2" t="s">
        <v>34</v>
      </c>
      <c r="I8658" s="2" t="s">
        <v>19836</v>
      </c>
      <c r="J8658" s="2" t="s">
        <v>19837</v>
      </c>
      <c r="K8658" s="2" t="s">
        <v>921</v>
      </c>
      <c r="L8658" s="2" t="s">
        <v>34</v>
      </c>
      <c r="M8658" s="7">
        <v>396.28500000000003</v>
      </c>
      <c r="N8658" s="7">
        <v>17.181999999999999</v>
      </c>
      <c r="O8658" s="6">
        <v>15.59</v>
      </c>
      <c r="P8658" s="2" t="s">
        <v>25679</v>
      </c>
      <c r="Q8658" s="6">
        <v>41.85</v>
      </c>
      <c r="R8658" s="6">
        <v>1.65</v>
      </c>
      <c r="S8658" s="5">
        <v>-23.1</v>
      </c>
      <c r="T8658" s="7">
        <v>-14.625</v>
      </c>
      <c r="U8658" s="5">
        <v>1.5</v>
      </c>
      <c r="V8658" s="6">
        <v>-0.21</v>
      </c>
      <c r="W8658" s="5">
        <v>1.5</v>
      </c>
      <c r="X8658" s="6">
        <v>1.49</v>
      </c>
      <c r="Y8658" s="6">
        <v>1.58</v>
      </c>
      <c r="Z8658" s="6">
        <v>1.57</v>
      </c>
      <c r="AA8658" s="6">
        <v>113.86</v>
      </c>
      <c r="AB8658" s="2" t="s">
        <v>86</v>
      </c>
      <c r="AC8658" s="6">
        <v>161.59</v>
      </c>
    </row>
    <row r="8659" spans="1:29" ht="130" x14ac:dyDescent="0.15">
      <c r="A8659" s="3">
        <f>DATE(2007,6,7)</f>
        <v>39240</v>
      </c>
      <c r="B8659" s="3">
        <f>DATE(2007,12,17)</f>
        <v>39433</v>
      </c>
      <c r="C8659" s="2" t="s">
        <v>95</v>
      </c>
      <c r="D8659" s="2" t="s">
        <v>25680</v>
      </c>
      <c r="E8659" s="2" t="s">
        <v>159</v>
      </c>
      <c r="F8659" s="4">
        <v>6712</v>
      </c>
      <c r="G8659" s="2" t="s">
        <v>37</v>
      </c>
      <c r="H8659" s="2" t="s">
        <v>34</v>
      </c>
      <c r="I8659" s="2" t="s">
        <v>25681</v>
      </c>
      <c r="J8659" s="2" t="s">
        <v>159</v>
      </c>
      <c r="K8659" s="2" t="s">
        <v>37</v>
      </c>
      <c r="L8659" s="2" t="s">
        <v>34</v>
      </c>
      <c r="M8659" s="7">
        <v>106.83799999999999</v>
      </c>
      <c r="N8659" s="5">
        <v>19.600000000000001</v>
      </c>
      <c r="O8659" s="7">
        <v>19.638000000000002</v>
      </c>
      <c r="P8659" s="2" t="s">
        <v>25682</v>
      </c>
      <c r="Q8659" s="6">
        <v>100</v>
      </c>
      <c r="R8659" s="6">
        <v>23</v>
      </c>
      <c r="S8659" s="2"/>
      <c r="T8659" s="2"/>
      <c r="U8659" s="2"/>
      <c r="V8659" s="2"/>
      <c r="W8659" s="6">
        <v>15.45</v>
      </c>
      <c r="X8659" s="6">
        <v>15.46</v>
      </c>
      <c r="Y8659" s="6">
        <v>15.46</v>
      </c>
      <c r="Z8659" s="5">
        <v>20.5</v>
      </c>
      <c r="AA8659" s="6">
        <v>2.79</v>
      </c>
      <c r="AB8659" s="2" t="s">
        <v>47</v>
      </c>
      <c r="AC8659" s="2"/>
    </row>
    <row r="8660" spans="1:29" ht="156" x14ac:dyDescent="0.15">
      <c r="A8660" s="3">
        <f>DATE(2007,6,7)</f>
        <v>39240</v>
      </c>
      <c r="B8660" s="3">
        <f>DATE(2007,10,26)</f>
        <v>39381</v>
      </c>
      <c r="C8660" s="2" t="s">
        <v>95</v>
      </c>
      <c r="D8660" s="2" t="s">
        <v>25683</v>
      </c>
      <c r="E8660" s="2" t="s">
        <v>3246</v>
      </c>
      <c r="F8660" s="4">
        <v>6021</v>
      </c>
      <c r="G8660" s="2" t="s">
        <v>37</v>
      </c>
      <c r="H8660" s="2" t="s">
        <v>34</v>
      </c>
      <c r="I8660" s="2" t="s">
        <v>21185</v>
      </c>
      <c r="J8660" s="2" t="s">
        <v>36</v>
      </c>
      <c r="K8660" s="2" t="s">
        <v>37</v>
      </c>
      <c r="L8660" s="2" t="s">
        <v>34</v>
      </c>
      <c r="M8660" s="12">
        <v>25575.749</v>
      </c>
      <c r="N8660" s="6">
        <v>71.319999999999993</v>
      </c>
      <c r="O8660" s="6">
        <v>72.42</v>
      </c>
      <c r="P8660" s="2" t="s">
        <v>25684</v>
      </c>
      <c r="Q8660" s="6">
        <v>100</v>
      </c>
      <c r="R8660" s="6">
        <v>34.979999999999997</v>
      </c>
      <c r="S8660" s="5">
        <v>5.2</v>
      </c>
      <c r="T8660" s="7">
        <v>5.3680000000000003</v>
      </c>
      <c r="U8660" s="5">
        <v>17.2</v>
      </c>
      <c r="V8660" s="6">
        <v>0.47</v>
      </c>
      <c r="W8660" s="4">
        <v>36</v>
      </c>
      <c r="X8660" s="6">
        <v>35.770000000000003</v>
      </c>
      <c r="Y8660" s="6">
        <v>34.15</v>
      </c>
      <c r="Z8660" s="6">
        <v>34.479999999999997</v>
      </c>
      <c r="AA8660" s="6">
        <v>11.08</v>
      </c>
      <c r="AB8660" s="7">
        <v>273.36500000000001</v>
      </c>
      <c r="AC8660" s="2"/>
    </row>
    <row r="8661" spans="1:29" ht="78" x14ac:dyDescent="0.15">
      <c r="A8661" s="3">
        <f>DATE(2007,6,8)</f>
        <v>39241</v>
      </c>
      <c r="B8661" s="2"/>
      <c r="C8661" s="2" t="s">
        <v>87</v>
      </c>
      <c r="D8661" s="2" t="s">
        <v>4672</v>
      </c>
      <c r="E8661" s="2" t="s">
        <v>21546</v>
      </c>
      <c r="F8661" s="4">
        <v>4833</v>
      </c>
      <c r="G8661" s="2" t="s">
        <v>45</v>
      </c>
      <c r="H8661" s="2" t="s">
        <v>34</v>
      </c>
      <c r="I8661" s="2" t="s">
        <v>22127</v>
      </c>
      <c r="J8661" s="2" t="s">
        <v>22128</v>
      </c>
      <c r="K8661" s="2" t="s">
        <v>42</v>
      </c>
      <c r="L8661" s="2" t="s">
        <v>34</v>
      </c>
      <c r="M8661" s="12">
        <v>81009.001000000004</v>
      </c>
      <c r="N8661" s="6">
        <v>20.74</v>
      </c>
      <c r="O8661" s="6">
        <v>20.61</v>
      </c>
      <c r="P8661" s="2" t="s">
        <v>25685</v>
      </c>
      <c r="Q8661" s="2"/>
      <c r="R8661" s="2"/>
      <c r="S8661" s="5">
        <v>386.8</v>
      </c>
      <c r="T8661" s="7">
        <v>777.41600000000005</v>
      </c>
      <c r="U8661" s="5">
        <v>47.7</v>
      </c>
      <c r="V8661" s="9">
        <v>6.9600999999999997</v>
      </c>
      <c r="W8661" s="6">
        <v>46.51</v>
      </c>
      <c r="X8661" s="6">
        <v>45.73</v>
      </c>
      <c r="Y8661" s="6">
        <v>45.63</v>
      </c>
      <c r="Z8661" s="6">
        <v>45.31</v>
      </c>
      <c r="AA8661" s="6">
        <v>163.44999999999999</v>
      </c>
      <c r="AB8661" s="2" t="s">
        <v>47</v>
      </c>
      <c r="AC8661" s="8">
        <v>1059</v>
      </c>
    </row>
    <row r="8662" spans="1:29" ht="52" x14ac:dyDescent="0.15">
      <c r="A8662" s="3">
        <f>DATE(2007,6,11)</f>
        <v>39244</v>
      </c>
      <c r="B8662" s="2"/>
      <c r="C8662" s="2" t="s">
        <v>30</v>
      </c>
      <c r="D8662" s="2" t="s">
        <v>13758</v>
      </c>
      <c r="E8662" s="2" t="s">
        <v>13759</v>
      </c>
      <c r="F8662" s="4">
        <v>2095</v>
      </c>
      <c r="G8662" s="2" t="s">
        <v>577</v>
      </c>
      <c r="H8662" s="2" t="s">
        <v>34</v>
      </c>
      <c r="I8662" s="2" t="s">
        <v>25686</v>
      </c>
      <c r="J8662" s="2" t="s">
        <v>25687</v>
      </c>
      <c r="K8662" s="2" t="s">
        <v>577</v>
      </c>
      <c r="L8662" s="2" t="s">
        <v>902</v>
      </c>
      <c r="M8662" s="7">
        <v>48.862000000000002</v>
      </c>
      <c r="N8662" s="6">
        <v>1.72</v>
      </c>
      <c r="O8662" s="7">
        <v>1.625</v>
      </c>
      <c r="P8662" s="2" t="s">
        <v>25688</v>
      </c>
      <c r="Q8662" s="2"/>
      <c r="R8662" s="2"/>
      <c r="S8662" s="5">
        <v>-2.5</v>
      </c>
      <c r="T8662" s="7">
        <v>-16.407</v>
      </c>
      <c r="U8662" s="5">
        <v>4.7</v>
      </c>
      <c r="V8662" s="6">
        <v>-0.97</v>
      </c>
      <c r="W8662" s="6">
        <v>4.1900000000000004</v>
      </c>
      <c r="X8662" s="6">
        <v>4.62</v>
      </c>
      <c r="Y8662" s="6">
        <v>4.93</v>
      </c>
      <c r="Z8662" s="6">
        <v>4.78</v>
      </c>
      <c r="AA8662" s="6">
        <v>5.44</v>
      </c>
      <c r="AB8662" s="2" t="s">
        <v>86</v>
      </c>
      <c r="AC8662" s="6">
        <v>1.76</v>
      </c>
    </row>
    <row r="8663" spans="1:29" ht="78" x14ac:dyDescent="0.15">
      <c r="A8663" s="3">
        <f>DATE(2007,6,11)</f>
        <v>39244</v>
      </c>
      <c r="B8663" s="2"/>
      <c r="C8663" s="2" t="s">
        <v>39</v>
      </c>
      <c r="D8663" s="2" t="s">
        <v>22494</v>
      </c>
      <c r="E8663" s="2" t="s">
        <v>22495</v>
      </c>
      <c r="F8663" s="4">
        <v>2711</v>
      </c>
      <c r="G8663" s="2" t="s">
        <v>186</v>
      </c>
      <c r="H8663" s="2" t="s">
        <v>34</v>
      </c>
      <c r="I8663" s="2" t="s">
        <v>51</v>
      </c>
      <c r="J8663" s="2" t="s">
        <v>52</v>
      </c>
      <c r="K8663" s="2" t="s">
        <v>53</v>
      </c>
      <c r="L8663" s="2" t="s">
        <v>34</v>
      </c>
      <c r="M8663" s="2"/>
      <c r="N8663" s="2"/>
      <c r="O8663" s="2"/>
      <c r="P8663" s="2" t="s">
        <v>25689</v>
      </c>
      <c r="Q8663" s="2"/>
      <c r="R8663" s="2"/>
      <c r="S8663" s="5">
        <v>114.2</v>
      </c>
      <c r="T8663" s="7">
        <v>261.55700000000002</v>
      </c>
      <c r="U8663" s="5">
        <v>6</v>
      </c>
      <c r="V8663" s="6">
        <v>1.34</v>
      </c>
      <c r="W8663" s="6">
        <v>60.16</v>
      </c>
      <c r="X8663" s="6">
        <v>60.42</v>
      </c>
      <c r="Y8663" s="6">
        <v>60.21</v>
      </c>
      <c r="Z8663" s="6">
        <v>59.03</v>
      </c>
      <c r="AA8663" s="6">
        <v>83.79</v>
      </c>
      <c r="AB8663" s="2" t="s">
        <v>47</v>
      </c>
      <c r="AC8663" s="2"/>
    </row>
    <row r="8664" spans="1:29" ht="169" x14ac:dyDescent="0.15">
      <c r="A8664" s="3">
        <f>DATE(2007,6,11)</f>
        <v>39244</v>
      </c>
      <c r="B8664" s="3">
        <f>DATE(2007,12,11)</f>
        <v>39427</v>
      </c>
      <c r="C8664" s="2" t="s">
        <v>95</v>
      </c>
      <c r="D8664" s="2" t="s">
        <v>25690</v>
      </c>
      <c r="E8664" s="2" t="s">
        <v>25691</v>
      </c>
      <c r="F8664" s="4">
        <v>1389</v>
      </c>
      <c r="G8664" s="2" t="s">
        <v>148</v>
      </c>
      <c r="H8664" s="2" t="s">
        <v>34</v>
      </c>
      <c r="I8664" s="2" t="s">
        <v>23702</v>
      </c>
      <c r="J8664" s="2" t="s">
        <v>25692</v>
      </c>
      <c r="K8664" s="2" t="s">
        <v>148</v>
      </c>
      <c r="L8664" s="2" t="s">
        <v>34</v>
      </c>
      <c r="M8664" s="12">
        <v>1227.7280000000001</v>
      </c>
      <c r="N8664" s="4">
        <v>16</v>
      </c>
      <c r="O8664" s="6">
        <v>15.52</v>
      </c>
      <c r="P8664" s="2" t="s">
        <v>25693</v>
      </c>
      <c r="Q8664" s="6">
        <v>100</v>
      </c>
      <c r="R8664" s="6">
        <v>19.23</v>
      </c>
      <c r="S8664" s="5">
        <v>53.8</v>
      </c>
      <c r="T8664" s="7">
        <v>111.821</v>
      </c>
      <c r="U8664" s="5">
        <v>9.1999999999999993</v>
      </c>
      <c r="V8664" s="6">
        <v>1.7</v>
      </c>
      <c r="W8664" s="6">
        <v>17.190000000000001</v>
      </c>
      <c r="X8664" s="5">
        <v>16.899999999999999</v>
      </c>
      <c r="Y8664" s="6">
        <v>16.95</v>
      </c>
      <c r="Z8664" s="6">
        <v>18.64</v>
      </c>
      <c r="AA8664" s="6">
        <v>32.68</v>
      </c>
      <c r="AB8664" s="7">
        <v>7.5259999999999998</v>
      </c>
      <c r="AC8664" s="6">
        <v>14.81</v>
      </c>
    </row>
    <row r="8665" spans="1:29" ht="104" x14ac:dyDescent="0.15">
      <c r="A8665" s="3">
        <f>DATE(2007,6,11)</f>
        <v>39244</v>
      </c>
      <c r="B8665" s="3">
        <f>DATE(2007,12,11)</f>
        <v>39427</v>
      </c>
      <c r="C8665" s="2" t="s">
        <v>95</v>
      </c>
      <c r="D8665" s="2" t="s">
        <v>25694</v>
      </c>
      <c r="E8665" s="2" t="s">
        <v>5499</v>
      </c>
      <c r="F8665" s="4">
        <v>6331</v>
      </c>
      <c r="G8665" s="2" t="s">
        <v>125</v>
      </c>
      <c r="H8665" s="2" t="s">
        <v>34</v>
      </c>
      <c r="I8665" s="2" t="s">
        <v>25695</v>
      </c>
      <c r="J8665" s="2" t="s">
        <v>244</v>
      </c>
      <c r="K8665" s="2" t="s">
        <v>53</v>
      </c>
      <c r="L8665" s="2" t="s">
        <v>34</v>
      </c>
      <c r="M8665" s="2"/>
      <c r="N8665" s="2"/>
      <c r="O8665" s="2"/>
      <c r="P8665" s="2" t="s">
        <v>25696</v>
      </c>
      <c r="Q8665" s="6">
        <v>100</v>
      </c>
      <c r="R8665" s="6">
        <v>34.5</v>
      </c>
      <c r="S8665" s="5">
        <v>38</v>
      </c>
      <c r="T8665" s="2"/>
      <c r="U8665" s="5">
        <v>14.8</v>
      </c>
      <c r="V8665" s="6">
        <v>2.36</v>
      </c>
      <c r="W8665" s="5">
        <v>33.799999999999997</v>
      </c>
      <c r="X8665" s="6">
        <v>35.18</v>
      </c>
      <c r="Y8665" s="6">
        <v>34.090000000000003</v>
      </c>
      <c r="Z8665" s="5">
        <v>33.9</v>
      </c>
      <c r="AA8665" s="6">
        <v>15.14</v>
      </c>
      <c r="AB8665" s="7">
        <v>9.8719999999999999</v>
      </c>
      <c r="AC8665" s="2"/>
    </row>
    <row r="8666" spans="1:29" ht="117" x14ac:dyDescent="0.15">
      <c r="A8666" s="3">
        <f>DATE(2007,6,13)</f>
        <v>39246</v>
      </c>
      <c r="B8666" s="3">
        <f>DATE(2007,9,11)</f>
        <v>39336</v>
      </c>
      <c r="C8666" s="2" t="s">
        <v>95</v>
      </c>
      <c r="D8666" s="2" t="s">
        <v>25697</v>
      </c>
      <c r="E8666" s="2" t="s">
        <v>25698</v>
      </c>
      <c r="F8666" s="4">
        <v>3999</v>
      </c>
      <c r="G8666" s="2" t="s">
        <v>112</v>
      </c>
      <c r="H8666" s="2" t="s">
        <v>34</v>
      </c>
      <c r="I8666" s="2" t="s">
        <v>25699</v>
      </c>
      <c r="J8666" s="2" t="s">
        <v>9379</v>
      </c>
      <c r="K8666" s="2" t="s">
        <v>223</v>
      </c>
      <c r="L8666" s="2" t="s">
        <v>1086</v>
      </c>
      <c r="M8666" s="2"/>
      <c r="N8666" s="2"/>
      <c r="O8666" s="2"/>
      <c r="P8666" s="2" t="s">
        <v>25700</v>
      </c>
      <c r="Q8666" s="6">
        <v>75</v>
      </c>
      <c r="R8666" s="2"/>
      <c r="S8666" s="5">
        <v>-15.1</v>
      </c>
      <c r="T8666" s="7">
        <v>-12.814</v>
      </c>
      <c r="U8666" s="5">
        <v>9.4</v>
      </c>
      <c r="V8666" s="6">
        <v>-8.48</v>
      </c>
      <c r="W8666" s="6">
        <v>3.06</v>
      </c>
      <c r="X8666" s="6">
        <v>3.25</v>
      </c>
      <c r="Y8666" s="6">
        <v>3.79</v>
      </c>
      <c r="Z8666" s="6">
        <v>3.74</v>
      </c>
      <c r="AA8666" s="6">
        <v>33.86</v>
      </c>
      <c r="AB8666" s="2" t="s">
        <v>86</v>
      </c>
      <c r="AC8666" s="2"/>
    </row>
    <row r="8667" spans="1:29" ht="104" x14ac:dyDescent="0.15">
      <c r="A8667" s="3">
        <f>DATE(2007,6,14)</f>
        <v>39247</v>
      </c>
      <c r="B8667" s="3">
        <f>DATE(2008,3,31)</f>
        <v>39538</v>
      </c>
      <c r="C8667" s="2" t="s">
        <v>95</v>
      </c>
      <c r="D8667" s="2" t="s">
        <v>25701</v>
      </c>
      <c r="E8667" s="2" t="s">
        <v>1181</v>
      </c>
      <c r="F8667" s="4">
        <v>6022</v>
      </c>
      <c r="G8667" s="2" t="s">
        <v>37</v>
      </c>
      <c r="H8667" s="2" t="s">
        <v>34</v>
      </c>
      <c r="I8667" s="2" t="s">
        <v>25702</v>
      </c>
      <c r="J8667" s="2" t="s">
        <v>159</v>
      </c>
      <c r="K8667" s="2" t="s">
        <v>37</v>
      </c>
      <c r="L8667" s="2" t="s">
        <v>34</v>
      </c>
      <c r="M8667" s="7">
        <v>195.40799999999999</v>
      </c>
      <c r="N8667" s="6">
        <v>19.010000000000002</v>
      </c>
      <c r="O8667" s="4">
        <v>19</v>
      </c>
      <c r="P8667" s="2" t="s">
        <v>25703</v>
      </c>
      <c r="Q8667" s="6">
        <v>100</v>
      </c>
      <c r="R8667" s="6">
        <v>17.62</v>
      </c>
      <c r="S8667" s="5">
        <v>1.2</v>
      </c>
      <c r="T8667" s="7">
        <v>1.6870000000000001</v>
      </c>
      <c r="U8667" s="5">
        <v>9.1</v>
      </c>
      <c r="V8667" s="6">
        <v>0.54</v>
      </c>
      <c r="W8667" s="6">
        <v>12.99</v>
      </c>
      <c r="X8667" s="6">
        <v>12.66</v>
      </c>
      <c r="Y8667" s="6">
        <v>12.66</v>
      </c>
      <c r="Z8667" s="6">
        <v>16.95</v>
      </c>
      <c r="AA8667" s="6">
        <v>2.2599999999999998</v>
      </c>
      <c r="AB8667" s="7">
        <v>39.603000000000002</v>
      </c>
      <c r="AC8667" s="2"/>
    </row>
    <row r="8668" spans="1:29" ht="104" x14ac:dyDescent="0.15">
      <c r="A8668" s="3">
        <f>DATE(2007,6,15)</f>
        <v>39248</v>
      </c>
      <c r="B8668" s="3">
        <f>DATE(2007,11,21)</f>
        <v>39407</v>
      </c>
      <c r="C8668" s="2" t="s">
        <v>95</v>
      </c>
      <c r="D8668" s="2" t="s">
        <v>24881</v>
      </c>
      <c r="E8668" s="2" t="s">
        <v>24882</v>
      </c>
      <c r="F8668" s="4">
        <v>7215</v>
      </c>
      <c r="G8668" s="2" t="s">
        <v>1517</v>
      </c>
      <c r="H8668" s="2" t="s">
        <v>34</v>
      </c>
      <c r="I8668" s="2" t="s">
        <v>51</v>
      </c>
      <c r="J8668" s="2" t="s">
        <v>52</v>
      </c>
      <c r="K8668" s="2" t="s">
        <v>53</v>
      </c>
      <c r="L8668" s="2" t="s">
        <v>885</v>
      </c>
      <c r="M8668" s="2"/>
      <c r="N8668" s="2"/>
      <c r="O8668" s="2"/>
      <c r="P8668" s="2" t="s">
        <v>25704</v>
      </c>
      <c r="Q8668" s="6">
        <v>100</v>
      </c>
      <c r="R8668" s="6">
        <v>13.55</v>
      </c>
      <c r="S8668" s="5">
        <v>0.2</v>
      </c>
      <c r="T8668" s="7">
        <v>167.32400000000001</v>
      </c>
      <c r="U8668" s="5">
        <v>1.9</v>
      </c>
      <c r="V8668" s="2"/>
      <c r="W8668" s="7">
        <v>19.408000000000001</v>
      </c>
      <c r="X8668" s="6">
        <v>19.29</v>
      </c>
      <c r="Y8668" s="6">
        <v>20.350000000000001</v>
      </c>
      <c r="Z8668" s="5">
        <v>20.3</v>
      </c>
      <c r="AA8668" s="6">
        <v>52.63</v>
      </c>
      <c r="AB8668" s="7">
        <v>16.945</v>
      </c>
      <c r="AC8668" s="2"/>
    </row>
    <row r="8669" spans="1:29" ht="156" x14ac:dyDescent="0.15">
      <c r="A8669" s="3">
        <f>DATE(2007,6,15)</f>
        <v>39248</v>
      </c>
      <c r="B8669" s="2"/>
      <c r="C8669" s="2" t="s">
        <v>30</v>
      </c>
      <c r="D8669" s="2" t="s">
        <v>20209</v>
      </c>
      <c r="E8669" s="2" t="s">
        <v>20210</v>
      </c>
      <c r="F8669" s="4">
        <v>7948</v>
      </c>
      <c r="G8669" s="2" t="s">
        <v>364</v>
      </c>
      <c r="H8669" s="2" t="s">
        <v>34</v>
      </c>
      <c r="I8669" s="2" t="s">
        <v>25705</v>
      </c>
      <c r="J8669" s="2" t="s">
        <v>11337</v>
      </c>
      <c r="K8669" s="2" t="s">
        <v>53</v>
      </c>
      <c r="L8669" s="2" t="s">
        <v>34</v>
      </c>
      <c r="M8669" s="2"/>
      <c r="N8669" s="2"/>
      <c r="O8669" s="2"/>
      <c r="P8669" s="2" t="s">
        <v>25706</v>
      </c>
      <c r="Q8669" s="2"/>
      <c r="R8669" s="6">
        <v>67</v>
      </c>
      <c r="S8669" s="5">
        <v>214</v>
      </c>
      <c r="T8669" s="6">
        <v>609.58000000000004</v>
      </c>
      <c r="U8669" s="5">
        <v>11.3</v>
      </c>
      <c r="V8669" s="6">
        <v>2.4700000000000002</v>
      </c>
      <c r="W8669" s="6">
        <v>51.98</v>
      </c>
      <c r="X8669" s="6">
        <v>51.14</v>
      </c>
      <c r="Y8669" s="6">
        <v>62.12</v>
      </c>
      <c r="Z8669" s="6">
        <v>62.57</v>
      </c>
      <c r="AA8669" s="6">
        <v>85.56</v>
      </c>
      <c r="AB8669" s="7">
        <v>18.146999999999998</v>
      </c>
      <c r="AC8669" s="2"/>
    </row>
    <row r="8670" spans="1:29" ht="117" x14ac:dyDescent="0.15">
      <c r="A8670" s="3">
        <f>DATE(2007,6,17)</f>
        <v>39250</v>
      </c>
      <c r="B8670" s="3">
        <f>DATE(2007,8,30)</f>
        <v>39324</v>
      </c>
      <c r="C8670" s="2" t="s">
        <v>95</v>
      </c>
      <c r="D8670" s="2" t="s">
        <v>25707</v>
      </c>
      <c r="E8670" s="2" t="s">
        <v>3900</v>
      </c>
      <c r="F8670" s="4">
        <v>5812</v>
      </c>
      <c r="G8670" s="2" t="s">
        <v>230</v>
      </c>
      <c r="H8670" s="2" t="s">
        <v>34</v>
      </c>
      <c r="I8670" s="2" t="s">
        <v>25708</v>
      </c>
      <c r="J8670" s="2" t="s">
        <v>25709</v>
      </c>
      <c r="K8670" s="2" t="s">
        <v>230</v>
      </c>
      <c r="L8670" s="2" t="s">
        <v>34</v>
      </c>
      <c r="M8670" s="2"/>
      <c r="N8670" s="2"/>
      <c r="O8670" s="2"/>
      <c r="P8670" s="2" t="s">
        <v>25710</v>
      </c>
      <c r="Q8670" s="6">
        <v>100</v>
      </c>
      <c r="R8670" s="6">
        <v>15.5</v>
      </c>
      <c r="S8670" s="5">
        <v>0</v>
      </c>
      <c r="T8670" s="7">
        <v>41.423999999999999</v>
      </c>
      <c r="U8670" s="5">
        <v>-16.3</v>
      </c>
      <c r="V8670" s="6">
        <v>0.01</v>
      </c>
      <c r="W8670" s="4">
        <v>12</v>
      </c>
      <c r="X8670" s="6">
        <v>13.79</v>
      </c>
      <c r="Y8670" s="5">
        <v>14.5</v>
      </c>
      <c r="Z8670" s="6">
        <v>14.42</v>
      </c>
      <c r="AA8670" s="6">
        <v>8.1199999999999992</v>
      </c>
      <c r="AB8670" s="7">
        <v>18.585000000000001</v>
      </c>
      <c r="AC8670" s="2"/>
    </row>
    <row r="8671" spans="1:29" ht="104" x14ac:dyDescent="0.15">
      <c r="A8671" s="3">
        <f>DATE(2007,6,18)</f>
        <v>39251</v>
      </c>
      <c r="B8671" s="3">
        <f>DATE(2007,9,25)</f>
        <v>39350</v>
      </c>
      <c r="C8671" s="2" t="s">
        <v>95</v>
      </c>
      <c r="D8671" s="2" t="s">
        <v>25711</v>
      </c>
      <c r="E8671" s="2" t="s">
        <v>25712</v>
      </c>
      <c r="F8671" s="4">
        <v>3675</v>
      </c>
      <c r="G8671" s="2" t="s">
        <v>137</v>
      </c>
      <c r="H8671" s="2" t="s">
        <v>34</v>
      </c>
      <c r="I8671" s="2" t="s">
        <v>25713</v>
      </c>
      <c r="J8671" s="2" t="s">
        <v>25714</v>
      </c>
      <c r="K8671" s="2" t="s">
        <v>137</v>
      </c>
      <c r="L8671" s="2" t="s">
        <v>34</v>
      </c>
      <c r="M8671" s="12">
        <v>3128.328</v>
      </c>
      <c r="N8671" s="6">
        <v>18.010000000000002</v>
      </c>
      <c r="O8671" s="6">
        <v>18.239999999999998</v>
      </c>
      <c r="P8671" s="2" t="s">
        <v>25715</v>
      </c>
      <c r="Q8671" s="6">
        <v>100</v>
      </c>
      <c r="R8671" s="6">
        <v>24.75</v>
      </c>
      <c r="S8671" s="5">
        <v>8.9</v>
      </c>
      <c r="T8671" s="7">
        <v>19.151</v>
      </c>
      <c r="U8671" s="5">
        <v>8.6</v>
      </c>
      <c r="V8671" s="6">
        <v>0.97</v>
      </c>
      <c r="W8671" s="6">
        <v>16.04</v>
      </c>
      <c r="X8671" s="6">
        <v>16.809999999999999</v>
      </c>
      <c r="Y8671" s="6">
        <v>23.99</v>
      </c>
      <c r="Z8671" s="6">
        <v>23.98</v>
      </c>
      <c r="AA8671" s="6">
        <v>9.01</v>
      </c>
      <c r="AB8671" s="7">
        <v>18.437999999999999</v>
      </c>
      <c r="AC8671" s="6">
        <v>829.38</v>
      </c>
    </row>
    <row r="8672" spans="1:29" ht="143" x14ac:dyDescent="0.15">
      <c r="A8672" s="3">
        <f>DATE(2007,6,18)</f>
        <v>39251</v>
      </c>
      <c r="B8672" s="3">
        <f>DATE(2007,11,1)</f>
        <v>39387</v>
      </c>
      <c r="C8672" s="2" t="s">
        <v>95</v>
      </c>
      <c r="D8672" s="2" t="s">
        <v>25716</v>
      </c>
      <c r="E8672" s="2" t="s">
        <v>12377</v>
      </c>
      <c r="F8672" s="4">
        <v>7379</v>
      </c>
      <c r="G8672" s="2" t="s">
        <v>223</v>
      </c>
      <c r="H8672" s="2" t="s">
        <v>34</v>
      </c>
      <c r="I8672" s="2" t="s">
        <v>25717</v>
      </c>
      <c r="J8672" s="2" t="s">
        <v>6357</v>
      </c>
      <c r="K8672" s="2" t="s">
        <v>223</v>
      </c>
      <c r="L8672" s="2" t="s">
        <v>34</v>
      </c>
      <c r="M8672" s="7">
        <v>445.36500000000001</v>
      </c>
      <c r="N8672" s="6">
        <v>12.21</v>
      </c>
      <c r="O8672" s="6">
        <v>12.16</v>
      </c>
      <c r="P8672" s="2" t="s">
        <v>25718</v>
      </c>
      <c r="Q8672" s="6">
        <v>100</v>
      </c>
      <c r="R8672" s="6">
        <v>14.98</v>
      </c>
      <c r="S8672" s="5">
        <v>25.2</v>
      </c>
      <c r="T8672" s="7">
        <v>17.149000000000001</v>
      </c>
      <c r="U8672" s="5">
        <v>7</v>
      </c>
      <c r="V8672" s="6">
        <v>0.88</v>
      </c>
      <c r="W8672" s="6">
        <v>16.55</v>
      </c>
      <c r="X8672" s="6">
        <v>16.73</v>
      </c>
      <c r="Y8672" s="6">
        <v>18.03</v>
      </c>
      <c r="Z8672" s="6">
        <v>18.07</v>
      </c>
      <c r="AA8672" s="6">
        <v>28.09</v>
      </c>
      <c r="AB8672" s="7">
        <v>33.076999999999998</v>
      </c>
      <c r="AC8672" s="6">
        <v>57.73</v>
      </c>
    </row>
    <row r="8673" spans="1:29" ht="91" x14ac:dyDescent="0.15">
      <c r="A8673" s="3">
        <f>DATE(2007,6,18)</f>
        <v>39251</v>
      </c>
      <c r="B8673" s="2"/>
      <c r="C8673" s="2" t="s">
        <v>30</v>
      </c>
      <c r="D8673" s="2" t="s">
        <v>25450</v>
      </c>
      <c r="E8673" s="2" t="s">
        <v>4003</v>
      </c>
      <c r="F8673" s="4">
        <v>5661</v>
      </c>
      <c r="G8673" s="2" t="s">
        <v>756</v>
      </c>
      <c r="H8673" s="2" t="s">
        <v>34</v>
      </c>
      <c r="I8673" s="2" t="s">
        <v>25719</v>
      </c>
      <c r="J8673" s="2" t="s">
        <v>25720</v>
      </c>
      <c r="K8673" s="2" t="s">
        <v>756</v>
      </c>
      <c r="L8673" s="2" t="s">
        <v>34</v>
      </c>
      <c r="M8673" s="7">
        <v>582.14499999999998</v>
      </c>
      <c r="N8673" s="6">
        <v>11.53</v>
      </c>
      <c r="O8673" s="6">
        <v>10.47</v>
      </c>
      <c r="P8673" s="2" t="s">
        <v>25721</v>
      </c>
      <c r="Q8673" s="2"/>
      <c r="R8673" s="6">
        <v>54.5</v>
      </c>
      <c r="S8673" s="5">
        <v>59.4</v>
      </c>
      <c r="T8673" s="6">
        <v>157.24</v>
      </c>
      <c r="U8673" s="5">
        <v>17.5</v>
      </c>
      <c r="V8673" s="6">
        <v>2.31</v>
      </c>
      <c r="W8673" s="6">
        <v>50.47</v>
      </c>
      <c r="X8673" s="5">
        <v>49.6</v>
      </c>
      <c r="Y8673" s="6">
        <v>53.75</v>
      </c>
      <c r="Z8673" s="6">
        <v>53.22</v>
      </c>
      <c r="AA8673" s="6">
        <v>22.77</v>
      </c>
      <c r="AB8673" s="7">
        <v>11.948</v>
      </c>
      <c r="AC8673" s="6">
        <v>33.049999999999997</v>
      </c>
    </row>
    <row r="8674" spans="1:29" ht="91" x14ac:dyDescent="0.15">
      <c r="A8674" s="3">
        <f>DATE(2007,6,19)</f>
        <v>39252</v>
      </c>
      <c r="B8674" s="3">
        <f>DATE(2007,8,27)</f>
        <v>39321</v>
      </c>
      <c r="C8674" s="2" t="s">
        <v>95</v>
      </c>
      <c r="D8674" s="2" t="s">
        <v>25722</v>
      </c>
      <c r="E8674" s="2" t="s">
        <v>25723</v>
      </c>
      <c r="F8674" s="4">
        <v>3646</v>
      </c>
      <c r="G8674" s="2" t="s">
        <v>137</v>
      </c>
      <c r="H8674" s="2" t="s">
        <v>34</v>
      </c>
      <c r="I8674" s="2" t="s">
        <v>12628</v>
      </c>
      <c r="J8674" s="2" t="s">
        <v>12629</v>
      </c>
      <c r="K8674" s="2" t="s">
        <v>137</v>
      </c>
      <c r="L8674" s="2" t="s">
        <v>2105</v>
      </c>
      <c r="M8674" s="12">
        <v>47071.777999999998</v>
      </c>
      <c r="N8674" s="7">
        <v>42.186</v>
      </c>
      <c r="O8674" s="7">
        <v>42.600999999999999</v>
      </c>
      <c r="P8674" s="2" t="s">
        <v>25724</v>
      </c>
      <c r="Q8674" s="6">
        <v>100</v>
      </c>
      <c r="R8674" s="6">
        <v>34</v>
      </c>
      <c r="S8674" s="5">
        <v>4.5999999999999996</v>
      </c>
      <c r="T8674" s="7">
        <v>2.4460000000000002</v>
      </c>
      <c r="U8674" s="5">
        <v>5.5</v>
      </c>
      <c r="V8674" s="6">
        <v>0.21</v>
      </c>
      <c r="W8674" s="6">
        <v>27.27</v>
      </c>
      <c r="X8674" s="6">
        <v>29.79</v>
      </c>
      <c r="Y8674" s="6">
        <v>33.65</v>
      </c>
      <c r="Z8674" s="6">
        <v>33.520000000000003</v>
      </c>
      <c r="AA8674" s="6">
        <v>21.33</v>
      </c>
      <c r="AB8674" s="7">
        <v>670.40300000000002</v>
      </c>
      <c r="AC8674" s="10">
        <v>7888.02</v>
      </c>
    </row>
    <row r="8675" spans="1:29" ht="91" x14ac:dyDescent="0.15">
      <c r="A8675" s="3">
        <f>DATE(2007,6,19)</f>
        <v>39252</v>
      </c>
      <c r="B8675" s="3">
        <f>DATE(2007,6,19)</f>
        <v>39252</v>
      </c>
      <c r="C8675" s="2" t="s">
        <v>95</v>
      </c>
      <c r="D8675" s="2" t="s">
        <v>25725</v>
      </c>
      <c r="E8675" s="2" t="s">
        <v>10569</v>
      </c>
      <c r="F8675" s="4">
        <v>1311</v>
      </c>
      <c r="G8675" s="2" t="s">
        <v>148</v>
      </c>
      <c r="H8675" s="2" t="s">
        <v>34</v>
      </c>
      <c r="I8675" s="2" t="s">
        <v>25726</v>
      </c>
      <c r="J8675" s="2" t="s">
        <v>4727</v>
      </c>
      <c r="K8675" s="2" t="s">
        <v>370</v>
      </c>
      <c r="L8675" s="2" t="s">
        <v>34</v>
      </c>
      <c r="M8675" s="2"/>
      <c r="N8675" s="2"/>
      <c r="O8675" s="2"/>
      <c r="P8675" s="2" t="s">
        <v>25727</v>
      </c>
      <c r="Q8675" s="6">
        <v>91</v>
      </c>
      <c r="R8675" s="2"/>
      <c r="S8675" s="5">
        <v>-2.4</v>
      </c>
      <c r="T8675" s="7">
        <v>113.29300000000001</v>
      </c>
      <c r="U8675" s="5">
        <v>3.8</v>
      </c>
      <c r="V8675" s="7">
        <v>9.0999999999999998E-2</v>
      </c>
      <c r="W8675" s="6">
        <v>25.16</v>
      </c>
      <c r="X8675" s="6">
        <v>25.23</v>
      </c>
      <c r="Y8675" s="4">
        <v>30</v>
      </c>
      <c r="Z8675" s="6">
        <v>31.87</v>
      </c>
      <c r="AA8675" s="6">
        <v>28.58</v>
      </c>
      <c r="AB8675" s="7">
        <v>19.331</v>
      </c>
      <c r="AC8675" s="2"/>
    </row>
    <row r="8676" spans="1:29" ht="78" x14ac:dyDescent="0.15">
      <c r="A8676" s="3">
        <f>DATE(2007,6,20)</f>
        <v>39253</v>
      </c>
      <c r="B8676" s="2"/>
      <c r="C8676" s="2" t="s">
        <v>87</v>
      </c>
      <c r="D8676" s="2" t="s">
        <v>21981</v>
      </c>
      <c r="E8676" s="2" t="s">
        <v>8998</v>
      </c>
      <c r="F8676" s="4">
        <v>6411</v>
      </c>
      <c r="G8676" s="2" t="s">
        <v>125</v>
      </c>
      <c r="H8676" s="2" t="s">
        <v>34</v>
      </c>
      <c r="I8676" s="2" t="s">
        <v>143</v>
      </c>
      <c r="J8676" s="2" t="s">
        <v>144</v>
      </c>
      <c r="K8676" s="2" t="s">
        <v>53</v>
      </c>
      <c r="L8676" s="2" t="s">
        <v>139</v>
      </c>
      <c r="M8676" s="2"/>
      <c r="N8676" s="2"/>
      <c r="O8676" s="2"/>
      <c r="P8676" s="2" t="s">
        <v>25728</v>
      </c>
      <c r="Q8676" s="2"/>
      <c r="R8676" s="2"/>
      <c r="S8676" s="5">
        <v>848</v>
      </c>
      <c r="T8676" s="8">
        <v>2021</v>
      </c>
      <c r="U8676" s="5">
        <v>10.7</v>
      </c>
      <c r="V8676" s="6">
        <v>1.43</v>
      </c>
      <c r="W8676" s="7">
        <v>103.125</v>
      </c>
      <c r="X8676" s="7">
        <v>107.125</v>
      </c>
      <c r="Y8676" s="6">
        <v>107.25</v>
      </c>
      <c r="Z8676" s="7">
        <v>105.625</v>
      </c>
      <c r="AA8676" s="6">
        <v>555.41999999999996</v>
      </c>
      <c r="AB8676" s="2" t="s">
        <v>47</v>
      </c>
      <c r="AC8676" s="2"/>
    </row>
    <row r="8677" spans="1:29" ht="117" x14ac:dyDescent="0.15">
      <c r="A8677" s="3">
        <f>DATE(2007,6,20)</f>
        <v>39253</v>
      </c>
      <c r="B8677" s="3">
        <f>DATE(2007,11,13)</f>
        <v>39399</v>
      </c>
      <c r="C8677" s="2" t="s">
        <v>95</v>
      </c>
      <c r="D8677" s="2" t="s">
        <v>25729</v>
      </c>
      <c r="E8677" s="2" t="s">
        <v>9451</v>
      </c>
      <c r="F8677" s="4">
        <v>6282</v>
      </c>
      <c r="G8677" s="2" t="s">
        <v>53</v>
      </c>
      <c r="H8677" s="2" t="s">
        <v>34</v>
      </c>
      <c r="I8677" s="2" t="s">
        <v>25730</v>
      </c>
      <c r="J8677" s="2" t="s">
        <v>11337</v>
      </c>
      <c r="K8677" s="2" t="s">
        <v>53</v>
      </c>
      <c r="L8677" s="2" t="s">
        <v>34</v>
      </c>
      <c r="M8677" s="2"/>
      <c r="N8677" s="2"/>
      <c r="O8677" s="2"/>
      <c r="P8677" s="2" t="s">
        <v>25731</v>
      </c>
      <c r="Q8677" s="6">
        <v>100</v>
      </c>
      <c r="R8677" s="6">
        <v>65</v>
      </c>
      <c r="S8677" s="5">
        <v>195.1</v>
      </c>
      <c r="T8677" s="7">
        <v>322.86099999999999</v>
      </c>
      <c r="U8677" s="5">
        <v>4.0999999999999996</v>
      </c>
      <c r="V8677" s="6">
        <v>2.35</v>
      </c>
      <c r="W8677" s="6">
        <v>53.55</v>
      </c>
      <c r="X8677" s="6">
        <v>54.16</v>
      </c>
      <c r="Y8677" s="6">
        <v>63.14</v>
      </c>
      <c r="Z8677" s="6">
        <v>63.02</v>
      </c>
      <c r="AA8677" s="6">
        <v>79.44</v>
      </c>
      <c r="AB8677" s="7">
        <v>20.486000000000001</v>
      </c>
      <c r="AC8677" s="2"/>
    </row>
    <row r="8678" spans="1:29" ht="104" x14ac:dyDescent="0.15">
      <c r="A8678" s="3">
        <f>DATE(2007,6,20)</f>
        <v>39253</v>
      </c>
      <c r="B8678" s="3">
        <f>DATE(2007,11,14)</f>
        <v>39400</v>
      </c>
      <c r="C8678" s="2" t="s">
        <v>95</v>
      </c>
      <c r="D8678" s="2" t="s">
        <v>9021</v>
      </c>
      <c r="E8678" s="2" t="s">
        <v>9022</v>
      </c>
      <c r="F8678" s="4">
        <v>3149</v>
      </c>
      <c r="G8678" s="2" t="s">
        <v>326</v>
      </c>
      <c r="H8678" s="2" t="s">
        <v>34</v>
      </c>
      <c r="I8678" s="2" t="s">
        <v>5905</v>
      </c>
      <c r="J8678" s="2" t="s">
        <v>5906</v>
      </c>
      <c r="K8678" s="2" t="s">
        <v>226</v>
      </c>
      <c r="L8678" s="2" t="s">
        <v>5907</v>
      </c>
      <c r="M8678" s="12">
        <v>15928.222</v>
      </c>
      <c r="N8678" s="7">
        <v>35.201000000000001</v>
      </c>
      <c r="O8678" s="7">
        <v>37.838000000000001</v>
      </c>
      <c r="P8678" s="2" t="s">
        <v>25732</v>
      </c>
      <c r="Q8678" s="6">
        <v>100</v>
      </c>
      <c r="R8678" s="6">
        <v>29.3</v>
      </c>
      <c r="S8678" s="5">
        <v>48.6</v>
      </c>
      <c r="T8678" s="7">
        <v>117.873</v>
      </c>
      <c r="U8678" s="5">
        <v>6.7</v>
      </c>
      <c r="V8678" s="6">
        <v>0.7</v>
      </c>
      <c r="W8678" s="6">
        <v>25.25</v>
      </c>
      <c r="X8678" s="6">
        <v>25.26</v>
      </c>
      <c r="Y8678" s="6">
        <v>25.23</v>
      </c>
      <c r="Z8678" s="6">
        <v>28.45</v>
      </c>
      <c r="AA8678" s="6">
        <v>69.260000000000005</v>
      </c>
      <c r="AB8678" s="7">
        <v>28.81</v>
      </c>
      <c r="AC8678" s="6">
        <v>466.23</v>
      </c>
    </row>
    <row r="8679" spans="1:29" ht="65" x14ac:dyDescent="0.15">
      <c r="A8679" s="3">
        <f>DATE(2007,6,20)</f>
        <v>39253</v>
      </c>
      <c r="B8679" s="3">
        <f>DATE(2007,6,20)</f>
        <v>39253</v>
      </c>
      <c r="C8679" s="2" t="s">
        <v>95</v>
      </c>
      <c r="D8679" s="2" t="s">
        <v>25733</v>
      </c>
      <c r="E8679" s="2" t="s">
        <v>25734</v>
      </c>
      <c r="F8679" s="4">
        <v>7376</v>
      </c>
      <c r="G8679" s="2" t="s">
        <v>223</v>
      </c>
      <c r="H8679" s="2" t="s">
        <v>34</v>
      </c>
      <c r="I8679" s="2" t="s">
        <v>25735</v>
      </c>
      <c r="J8679" s="2" t="s">
        <v>1032</v>
      </c>
      <c r="K8679" s="2" t="s">
        <v>53</v>
      </c>
      <c r="L8679" s="2" t="s">
        <v>34</v>
      </c>
      <c r="M8679" s="2"/>
      <c r="N8679" s="2"/>
      <c r="O8679" s="2"/>
      <c r="P8679" s="2" t="s">
        <v>25736</v>
      </c>
      <c r="Q8679" s="6">
        <v>23.97</v>
      </c>
      <c r="R8679" s="2"/>
      <c r="S8679" s="5">
        <v>-2.5</v>
      </c>
      <c r="T8679" s="7">
        <v>-2.0910000000000002</v>
      </c>
      <c r="U8679" s="5">
        <v>-0.5</v>
      </c>
      <c r="V8679" s="6">
        <v>-0.37</v>
      </c>
      <c r="W8679" s="5">
        <v>3.9</v>
      </c>
      <c r="X8679" s="6">
        <v>3.85</v>
      </c>
      <c r="Y8679" s="6">
        <v>3.79</v>
      </c>
      <c r="Z8679" s="6">
        <v>3.85</v>
      </c>
      <c r="AA8679" s="6">
        <v>8.5</v>
      </c>
      <c r="AB8679" s="2" t="s">
        <v>86</v>
      </c>
      <c r="AC8679" s="2"/>
    </row>
    <row r="8680" spans="1:29" ht="104" x14ac:dyDescent="0.15">
      <c r="A8680" s="3">
        <f>DATE(2007,6,21)</f>
        <v>39254</v>
      </c>
      <c r="B8680" s="3">
        <f>DATE(2007,10,25)</f>
        <v>39380</v>
      </c>
      <c r="C8680" s="2" t="s">
        <v>95</v>
      </c>
      <c r="D8680" s="2" t="s">
        <v>11968</v>
      </c>
      <c r="E8680" s="2" t="s">
        <v>11969</v>
      </c>
      <c r="F8680" s="4">
        <v>6798</v>
      </c>
      <c r="G8680" s="2" t="s">
        <v>53</v>
      </c>
      <c r="H8680" s="2" t="s">
        <v>34</v>
      </c>
      <c r="I8680" s="2" t="s">
        <v>25737</v>
      </c>
      <c r="J8680" s="2" t="s">
        <v>5957</v>
      </c>
      <c r="K8680" s="2" t="s">
        <v>53</v>
      </c>
      <c r="L8680" s="2" t="s">
        <v>34</v>
      </c>
      <c r="M8680" s="2"/>
      <c r="N8680" s="2"/>
      <c r="O8680" s="2"/>
      <c r="P8680" s="2" t="s">
        <v>25738</v>
      </c>
      <c r="Q8680" s="6">
        <v>100</v>
      </c>
      <c r="R8680" s="6">
        <v>23</v>
      </c>
      <c r="S8680" s="5">
        <v>31.5</v>
      </c>
      <c r="T8680" s="7">
        <v>102.776</v>
      </c>
      <c r="U8680" s="5">
        <v>5.3</v>
      </c>
      <c r="V8680" s="6">
        <v>0.28999999999999998</v>
      </c>
      <c r="W8680" s="6">
        <v>19.72</v>
      </c>
      <c r="X8680" s="6">
        <v>19.36</v>
      </c>
      <c r="Y8680" s="6">
        <v>22.68</v>
      </c>
      <c r="Z8680" s="6">
        <v>22.71</v>
      </c>
      <c r="AA8680" s="6">
        <v>55.04</v>
      </c>
      <c r="AB8680" s="7">
        <v>44.573</v>
      </c>
      <c r="AC8680" s="2"/>
    </row>
    <row r="8681" spans="1:29" ht="195" x14ac:dyDescent="0.15">
      <c r="A8681" s="3">
        <f>DATE(2007,6,22)</f>
        <v>39255</v>
      </c>
      <c r="B8681" s="3">
        <f>DATE(2007,10,12)</f>
        <v>39367</v>
      </c>
      <c r="C8681" s="2" t="s">
        <v>95</v>
      </c>
      <c r="D8681" s="2" t="s">
        <v>12240</v>
      </c>
      <c r="E8681" s="2" t="s">
        <v>12241</v>
      </c>
      <c r="F8681" s="4">
        <v>4213</v>
      </c>
      <c r="G8681" s="2" t="s">
        <v>173</v>
      </c>
      <c r="H8681" s="2" t="s">
        <v>34</v>
      </c>
      <c r="I8681" s="2" t="s">
        <v>25739</v>
      </c>
      <c r="J8681" s="2" t="s">
        <v>302</v>
      </c>
      <c r="K8681" s="2" t="s">
        <v>53</v>
      </c>
      <c r="L8681" s="2" t="s">
        <v>34</v>
      </c>
      <c r="M8681" s="2"/>
      <c r="N8681" s="2"/>
      <c r="O8681" s="2"/>
      <c r="P8681" s="2" t="s">
        <v>25740</v>
      </c>
      <c r="Q8681" s="6">
        <v>73.2</v>
      </c>
      <c r="R8681" s="6">
        <v>20.100000000000001</v>
      </c>
      <c r="S8681" s="5">
        <v>13.8</v>
      </c>
      <c r="T8681" s="7">
        <v>120.642</v>
      </c>
      <c r="U8681" s="5">
        <v>16.5</v>
      </c>
      <c r="V8681" s="6">
        <v>0.88</v>
      </c>
      <c r="W8681" s="6">
        <v>13.82</v>
      </c>
      <c r="X8681" s="6">
        <v>14.23</v>
      </c>
      <c r="Y8681" s="5">
        <v>14.2</v>
      </c>
      <c r="Z8681" s="6">
        <v>18.940000000000001</v>
      </c>
      <c r="AA8681" s="6">
        <v>12.12</v>
      </c>
      <c r="AB8681" s="7">
        <v>13.763</v>
      </c>
      <c r="AC8681" s="2"/>
    </row>
    <row r="8682" spans="1:29" ht="117" x14ac:dyDescent="0.15">
      <c r="A8682" s="3">
        <f t="shared" ref="A8682:A8687" si="169">DATE(2007,6,25)</f>
        <v>39258</v>
      </c>
      <c r="B8682" s="3">
        <f>DATE(2007,9,18)</f>
        <v>39343</v>
      </c>
      <c r="C8682" s="2" t="s">
        <v>95</v>
      </c>
      <c r="D8682" s="2" t="s">
        <v>21473</v>
      </c>
      <c r="E8682" s="2" t="s">
        <v>6321</v>
      </c>
      <c r="F8682" s="4">
        <v>6798</v>
      </c>
      <c r="G8682" s="2" t="s">
        <v>53</v>
      </c>
      <c r="H8682" s="2" t="s">
        <v>34</v>
      </c>
      <c r="I8682" s="2" t="s">
        <v>25741</v>
      </c>
      <c r="J8682" s="2" t="s">
        <v>23814</v>
      </c>
      <c r="K8682" s="2" t="s">
        <v>53</v>
      </c>
      <c r="L8682" s="2" t="s">
        <v>34</v>
      </c>
      <c r="M8682" s="2"/>
      <c r="N8682" s="2"/>
      <c r="O8682" s="2"/>
      <c r="P8682" s="2" t="s">
        <v>25742</v>
      </c>
      <c r="Q8682" s="6">
        <v>100</v>
      </c>
      <c r="R8682" s="6">
        <v>25.3</v>
      </c>
      <c r="S8682" s="5">
        <v>-1.6</v>
      </c>
      <c r="T8682" s="7">
        <v>11.334</v>
      </c>
      <c r="U8682" s="5">
        <v>9.3000000000000007</v>
      </c>
      <c r="V8682" s="6">
        <v>-0.12</v>
      </c>
      <c r="W8682" s="6">
        <v>22.07</v>
      </c>
      <c r="X8682" s="6">
        <v>22.54</v>
      </c>
      <c r="Y8682" s="6">
        <v>24.99</v>
      </c>
      <c r="Z8682" s="4">
        <v>25</v>
      </c>
      <c r="AA8682" s="6">
        <v>11.05</v>
      </c>
      <c r="AB8682" s="2" t="s">
        <v>86</v>
      </c>
      <c r="AC8682" s="2"/>
    </row>
    <row r="8683" spans="1:29" ht="117" x14ac:dyDescent="0.15">
      <c r="A8683" s="3">
        <f t="shared" si="169"/>
        <v>39258</v>
      </c>
      <c r="B8683" s="3">
        <f>DATE(2008,1,4)</f>
        <v>39451</v>
      </c>
      <c r="C8683" s="2" t="s">
        <v>95</v>
      </c>
      <c r="D8683" s="2" t="s">
        <v>25743</v>
      </c>
      <c r="E8683" s="2" t="s">
        <v>3780</v>
      </c>
      <c r="F8683" s="4">
        <v>6021</v>
      </c>
      <c r="G8683" s="2" t="s">
        <v>37</v>
      </c>
      <c r="H8683" s="2" t="s">
        <v>34</v>
      </c>
      <c r="I8683" s="2" t="s">
        <v>345</v>
      </c>
      <c r="J8683" s="2" t="s">
        <v>36</v>
      </c>
      <c r="K8683" s="2" t="s">
        <v>37</v>
      </c>
      <c r="L8683" s="2" t="s">
        <v>34</v>
      </c>
      <c r="M8683" s="7">
        <v>868.33100000000002</v>
      </c>
      <c r="N8683" s="6">
        <v>17.059999999999999</v>
      </c>
      <c r="O8683" s="6">
        <v>16.98</v>
      </c>
      <c r="P8683" s="2" t="s">
        <v>25744</v>
      </c>
      <c r="Q8683" s="6">
        <v>100</v>
      </c>
      <c r="R8683" s="6">
        <v>37.69</v>
      </c>
      <c r="S8683" s="2"/>
      <c r="T8683" s="2"/>
      <c r="U8683" s="2"/>
      <c r="V8683" s="2"/>
      <c r="W8683" s="5">
        <v>26.1</v>
      </c>
      <c r="X8683" s="5">
        <v>26.1</v>
      </c>
      <c r="Y8683" s="5">
        <v>25.9</v>
      </c>
      <c r="Z8683" s="5">
        <v>35.4</v>
      </c>
      <c r="AA8683" s="6">
        <v>1.49</v>
      </c>
      <c r="AB8683" s="2" t="s">
        <v>47</v>
      </c>
      <c r="AC8683" s="2"/>
    </row>
    <row r="8684" spans="1:29" ht="78" x14ac:dyDescent="0.15">
      <c r="A8684" s="3">
        <f t="shared" si="169"/>
        <v>39258</v>
      </c>
      <c r="B8684" s="3">
        <f>DATE(2008,9,17)</f>
        <v>39708</v>
      </c>
      <c r="C8684" s="2" t="s">
        <v>95</v>
      </c>
      <c r="D8684" s="2" t="s">
        <v>14217</v>
      </c>
      <c r="E8684" s="2" t="s">
        <v>18487</v>
      </c>
      <c r="F8684" s="4">
        <v>4911</v>
      </c>
      <c r="G8684" s="2" t="s">
        <v>439</v>
      </c>
      <c r="H8684" s="2" t="s">
        <v>34</v>
      </c>
      <c r="I8684" s="2" t="s">
        <v>16630</v>
      </c>
      <c r="J8684" s="2" t="s">
        <v>16631</v>
      </c>
      <c r="K8684" s="2" t="s">
        <v>439</v>
      </c>
      <c r="L8684" s="2" t="s">
        <v>8464</v>
      </c>
      <c r="M8684" s="12">
        <v>64683.383000000002</v>
      </c>
      <c r="N8684" s="7">
        <v>57.680999999999997</v>
      </c>
      <c r="O8684" s="7">
        <v>55.487000000000002</v>
      </c>
      <c r="P8684" s="2" t="s">
        <v>25745</v>
      </c>
      <c r="Q8684" s="6">
        <v>100</v>
      </c>
      <c r="R8684" s="6">
        <v>28.5</v>
      </c>
      <c r="S8684" s="5">
        <v>260.2</v>
      </c>
      <c r="T8684" s="12">
        <v>1102.0340000000001</v>
      </c>
      <c r="U8684" s="5">
        <v>20.2</v>
      </c>
      <c r="V8684" s="6">
        <v>1.71</v>
      </c>
      <c r="W8684" s="6">
        <v>23.03</v>
      </c>
      <c r="X8684" s="6">
        <v>22.37</v>
      </c>
      <c r="Y8684" s="6">
        <v>22.54</v>
      </c>
      <c r="Z8684" s="6">
        <v>26.25</v>
      </c>
      <c r="AA8684" s="6">
        <v>158.03</v>
      </c>
      <c r="AB8684" s="7">
        <v>11.795</v>
      </c>
      <c r="AC8684" s="10">
        <v>1765.66</v>
      </c>
    </row>
    <row r="8685" spans="1:29" ht="91" x14ac:dyDescent="0.15">
      <c r="A8685" s="3">
        <f t="shared" si="169"/>
        <v>39258</v>
      </c>
      <c r="B8685" s="3">
        <f>DATE(2007,11,13)</f>
        <v>39399</v>
      </c>
      <c r="C8685" s="2" t="s">
        <v>95</v>
      </c>
      <c r="D8685" s="2" t="s">
        <v>25746</v>
      </c>
      <c r="E8685" s="2" t="s">
        <v>25747</v>
      </c>
      <c r="F8685" s="4">
        <v>7375</v>
      </c>
      <c r="G8685" s="2" t="s">
        <v>223</v>
      </c>
      <c r="H8685" s="2" t="s">
        <v>34</v>
      </c>
      <c r="I8685" s="2" t="s">
        <v>11596</v>
      </c>
      <c r="J8685" s="2" t="s">
        <v>3892</v>
      </c>
      <c r="K8685" s="2" t="s">
        <v>45</v>
      </c>
      <c r="L8685" s="2" t="s">
        <v>34</v>
      </c>
      <c r="M8685" s="12">
        <v>1073.212</v>
      </c>
      <c r="N8685" s="6">
        <v>18.66</v>
      </c>
      <c r="O8685" s="6">
        <v>18.36</v>
      </c>
      <c r="P8685" s="2" t="s">
        <v>25748</v>
      </c>
      <c r="Q8685" s="6">
        <v>100</v>
      </c>
      <c r="R8685" s="6">
        <v>5.25</v>
      </c>
      <c r="S8685" s="5">
        <v>38.299999999999997</v>
      </c>
      <c r="T8685" s="7">
        <v>9.3659999999999997</v>
      </c>
      <c r="U8685" s="2"/>
      <c r="V8685" s="2"/>
      <c r="W8685" s="6">
        <v>4.8899999999999997</v>
      </c>
      <c r="X8685" s="4">
        <v>5</v>
      </c>
      <c r="Y8685" s="6">
        <v>4.97</v>
      </c>
      <c r="Z8685" s="6">
        <v>4.9800000000000004</v>
      </c>
      <c r="AA8685" s="6">
        <v>48.88</v>
      </c>
      <c r="AB8685" s="2" t="s">
        <v>86</v>
      </c>
      <c r="AC8685" s="6">
        <v>161.24</v>
      </c>
    </row>
    <row r="8686" spans="1:29" ht="78" x14ac:dyDescent="0.15">
      <c r="A8686" s="3">
        <f t="shared" si="169"/>
        <v>39258</v>
      </c>
      <c r="B8686" s="3">
        <f>DATE(2007,9,14)</f>
        <v>39339</v>
      </c>
      <c r="C8686" s="2" t="s">
        <v>95</v>
      </c>
      <c r="D8686" s="2" t="s">
        <v>25749</v>
      </c>
      <c r="E8686" s="2" t="s">
        <v>5499</v>
      </c>
      <c r="F8686" s="4">
        <v>6311</v>
      </c>
      <c r="G8686" s="2" t="s">
        <v>125</v>
      </c>
      <c r="H8686" s="2" t="s">
        <v>34</v>
      </c>
      <c r="I8686" s="2" t="s">
        <v>25750</v>
      </c>
      <c r="J8686" s="2" t="s">
        <v>854</v>
      </c>
      <c r="K8686" s="2" t="s">
        <v>125</v>
      </c>
      <c r="L8686" s="2" t="s">
        <v>34</v>
      </c>
      <c r="M8686" s="12">
        <v>2487.5839999999998</v>
      </c>
      <c r="N8686" s="6">
        <v>47.35</v>
      </c>
      <c r="O8686" s="5">
        <v>47.6</v>
      </c>
      <c r="P8686" s="2" t="s">
        <v>25751</v>
      </c>
      <c r="Q8686" s="6">
        <v>100</v>
      </c>
      <c r="R8686" s="2"/>
      <c r="S8686" s="5">
        <v>1.5</v>
      </c>
      <c r="T8686" s="2"/>
      <c r="U8686" s="5">
        <v>39.200000000000003</v>
      </c>
      <c r="V8686" s="6">
        <v>4.5199999999999996</v>
      </c>
      <c r="W8686" s="4">
        <v>42</v>
      </c>
      <c r="X8686" s="5">
        <v>44.9</v>
      </c>
      <c r="Y8686" s="5">
        <v>44.9</v>
      </c>
      <c r="Z8686" s="5">
        <v>64.5</v>
      </c>
      <c r="AA8686" s="6">
        <v>0.33</v>
      </c>
      <c r="AB8686" s="7">
        <v>9.5220000000000002</v>
      </c>
      <c r="AC8686" s="5">
        <v>218.5</v>
      </c>
    </row>
    <row r="8687" spans="1:29" ht="104" x14ac:dyDescent="0.15">
      <c r="A8687" s="3">
        <f t="shared" si="169"/>
        <v>39258</v>
      </c>
      <c r="B8687" s="3">
        <f>DATE(2008,2,15)</f>
        <v>39493</v>
      </c>
      <c r="C8687" s="2" t="s">
        <v>95</v>
      </c>
      <c r="D8687" s="2" t="s">
        <v>25752</v>
      </c>
      <c r="E8687" s="2" t="s">
        <v>22965</v>
      </c>
      <c r="F8687" s="4">
        <v>5047</v>
      </c>
      <c r="G8687" s="2" t="s">
        <v>76</v>
      </c>
      <c r="H8687" s="2" t="s">
        <v>34</v>
      </c>
      <c r="I8687" s="2" t="s">
        <v>213</v>
      </c>
      <c r="J8687" s="2" t="s">
        <v>214</v>
      </c>
      <c r="K8687" s="2" t="s">
        <v>130</v>
      </c>
      <c r="L8687" s="2" t="s">
        <v>215</v>
      </c>
      <c r="M8687" s="12">
        <v>129964.319</v>
      </c>
      <c r="N8687" s="7">
        <v>172.47300000000001</v>
      </c>
      <c r="O8687" s="7">
        <v>171.98400000000001</v>
      </c>
      <c r="P8687" s="2" t="s">
        <v>25753</v>
      </c>
      <c r="Q8687" s="6">
        <v>100</v>
      </c>
      <c r="R8687" s="6">
        <v>89.5</v>
      </c>
      <c r="S8687" s="5">
        <v>36.799999999999997</v>
      </c>
      <c r="T8687" s="7">
        <v>63.594999999999999</v>
      </c>
      <c r="U8687" s="5">
        <v>6.2</v>
      </c>
      <c r="V8687" s="6">
        <v>1.03</v>
      </c>
      <c r="W8687" s="6">
        <v>53.15</v>
      </c>
      <c r="X8687" s="6">
        <v>51.95</v>
      </c>
      <c r="Y8687" s="6">
        <v>51.74</v>
      </c>
      <c r="Z8687" s="6">
        <v>76.430000000000007</v>
      </c>
      <c r="AA8687" s="6">
        <v>37.68</v>
      </c>
      <c r="AB8687" s="7">
        <v>71.537999999999997</v>
      </c>
      <c r="AC8687" s="10">
        <v>22165.19</v>
      </c>
    </row>
    <row r="8688" spans="1:29" ht="195" x14ac:dyDescent="0.15">
      <c r="A8688" s="3">
        <f>DATE(2007,6,26)</f>
        <v>39259</v>
      </c>
      <c r="B8688" s="2"/>
      <c r="C8688" s="2" t="s">
        <v>30</v>
      </c>
      <c r="D8688" s="2" t="s">
        <v>7812</v>
      </c>
      <c r="E8688" s="2" t="s">
        <v>25754</v>
      </c>
      <c r="F8688" s="4">
        <v>2816</v>
      </c>
      <c r="G8688" s="2" t="s">
        <v>98</v>
      </c>
      <c r="H8688" s="2" t="s">
        <v>34</v>
      </c>
      <c r="I8688" s="2" t="s">
        <v>25755</v>
      </c>
      <c r="J8688" s="2" t="s">
        <v>25756</v>
      </c>
      <c r="K8688" s="2" t="s">
        <v>98</v>
      </c>
      <c r="L8688" s="2" t="s">
        <v>2105</v>
      </c>
      <c r="M8688" s="2"/>
      <c r="N8688" s="2"/>
      <c r="O8688" s="2"/>
      <c r="P8688" s="2" t="s">
        <v>25757</v>
      </c>
      <c r="Q8688" s="2"/>
      <c r="R8688" s="6">
        <v>25.25</v>
      </c>
      <c r="S8688" s="5">
        <v>370.2</v>
      </c>
      <c r="T8688" s="8">
        <v>1096.3</v>
      </c>
      <c r="U8688" s="5">
        <v>6.7</v>
      </c>
      <c r="V8688" s="6">
        <v>1.52</v>
      </c>
      <c r="W8688" s="5">
        <v>19.600000000000001</v>
      </c>
      <c r="X8688" s="5">
        <v>18.899999999999999</v>
      </c>
      <c r="Y8688" s="6">
        <v>24.21</v>
      </c>
      <c r="Z8688" s="6">
        <v>24.26</v>
      </c>
      <c r="AA8688" s="6">
        <v>221.9</v>
      </c>
      <c r="AB8688" s="7">
        <v>14.813000000000001</v>
      </c>
      <c r="AC8688" s="6">
        <v>934.92</v>
      </c>
    </row>
    <row r="8689" spans="1:29" ht="91" x14ac:dyDescent="0.15">
      <c r="A8689" s="3">
        <f>DATE(2007,6,26)</f>
        <v>39259</v>
      </c>
      <c r="B8689" s="2"/>
      <c r="C8689" s="2" t="s">
        <v>87</v>
      </c>
      <c r="D8689" s="2" t="s">
        <v>25758</v>
      </c>
      <c r="E8689" s="2" t="s">
        <v>7733</v>
      </c>
      <c r="F8689" s="4">
        <v>5311</v>
      </c>
      <c r="G8689" s="2" t="s">
        <v>756</v>
      </c>
      <c r="H8689" s="2" t="s">
        <v>34</v>
      </c>
      <c r="I8689" s="2" t="s">
        <v>51</v>
      </c>
      <c r="J8689" s="2" t="s">
        <v>52</v>
      </c>
      <c r="K8689" s="2" t="s">
        <v>53</v>
      </c>
      <c r="L8689" s="2" t="s">
        <v>34</v>
      </c>
      <c r="M8689" s="2"/>
      <c r="N8689" s="2"/>
      <c r="O8689" s="2"/>
      <c r="P8689" s="2" t="s">
        <v>25759</v>
      </c>
      <c r="Q8689" s="2"/>
      <c r="R8689" s="2"/>
      <c r="S8689" s="8">
        <v>1092</v>
      </c>
      <c r="T8689" s="8">
        <v>3658</v>
      </c>
      <c r="U8689" s="5">
        <v>22.7</v>
      </c>
      <c r="V8689" s="6">
        <v>2.0499999999999998</v>
      </c>
      <c r="W8689" s="6">
        <v>38.65</v>
      </c>
      <c r="X8689" s="6">
        <v>40.54</v>
      </c>
      <c r="Y8689" s="6">
        <v>39.590000000000003</v>
      </c>
      <c r="Z8689" s="6">
        <v>39.19</v>
      </c>
      <c r="AA8689" s="6">
        <v>459.62</v>
      </c>
      <c r="AB8689" s="2" t="s">
        <v>47</v>
      </c>
      <c r="AC8689" s="2"/>
    </row>
    <row r="8690" spans="1:29" ht="117" x14ac:dyDescent="0.15">
      <c r="A8690" s="3">
        <f>DATE(2007,6,26)</f>
        <v>39259</v>
      </c>
      <c r="B8690" s="3">
        <f>DATE(2007,10,1)</f>
        <v>39356</v>
      </c>
      <c r="C8690" s="2" t="s">
        <v>95</v>
      </c>
      <c r="D8690" s="2" t="s">
        <v>25760</v>
      </c>
      <c r="E8690" s="2" t="s">
        <v>25761</v>
      </c>
      <c r="F8690" s="4">
        <v>7375</v>
      </c>
      <c r="G8690" s="2" t="s">
        <v>223</v>
      </c>
      <c r="H8690" s="2" t="s">
        <v>34</v>
      </c>
      <c r="I8690" s="2" t="s">
        <v>25762</v>
      </c>
      <c r="J8690" s="2" t="s">
        <v>5102</v>
      </c>
      <c r="K8690" s="2" t="s">
        <v>551</v>
      </c>
      <c r="L8690" s="2" t="s">
        <v>34</v>
      </c>
      <c r="M8690" s="7">
        <v>153.411</v>
      </c>
      <c r="N8690" s="6">
        <v>10.01</v>
      </c>
      <c r="O8690" s="6">
        <v>9.4700000000000006</v>
      </c>
      <c r="P8690" s="2" t="s">
        <v>25763</v>
      </c>
      <c r="Q8690" s="6">
        <v>100</v>
      </c>
      <c r="R8690" s="6">
        <v>6.67</v>
      </c>
      <c r="S8690" s="5">
        <v>-6.5</v>
      </c>
      <c r="T8690" s="7">
        <v>-2.1680000000000001</v>
      </c>
      <c r="U8690" s="5">
        <v>1.4</v>
      </c>
      <c r="V8690" s="6">
        <v>-0.53</v>
      </c>
      <c r="W8690" s="6">
        <v>5.13</v>
      </c>
      <c r="X8690" s="6">
        <v>5.32</v>
      </c>
      <c r="Y8690" s="6">
        <v>5.35</v>
      </c>
      <c r="Z8690" s="6">
        <v>6.17</v>
      </c>
      <c r="AA8690" s="6">
        <v>16.8</v>
      </c>
      <c r="AB8690" s="2" t="s">
        <v>86</v>
      </c>
      <c r="AC8690" s="6">
        <v>41.46</v>
      </c>
    </row>
    <row r="8691" spans="1:29" ht="91" x14ac:dyDescent="0.15">
      <c r="A8691" s="3">
        <f t="shared" ref="A8691:A8696" si="170">DATE(2007,6,27)</f>
        <v>39260</v>
      </c>
      <c r="B8691" s="3">
        <f>DATE(2007,12,27)</f>
        <v>39443</v>
      </c>
      <c r="C8691" s="2" t="s">
        <v>95</v>
      </c>
      <c r="D8691" s="2" t="s">
        <v>20642</v>
      </c>
      <c r="E8691" s="2" t="s">
        <v>8046</v>
      </c>
      <c r="F8691" s="4">
        <v>3663</v>
      </c>
      <c r="G8691" s="2" t="s">
        <v>921</v>
      </c>
      <c r="H8691" s="2" t="s">
        <v>34</v>
      </c>
      <c r="I8691" s="2" t="s">
        <v>24379</v>
      </c>
      <c r="J8691" s="2" t="s">
        <v>24380</v>
      </c>
      <c r="K8691" s="2" t="s">
        <v>163</v>
      </c>
      <c r="L8691" s="2" t="s">
        <v>34</v>
      </c>
      <c r="M8691" s="12">
        <v>3229.3180000000002</v>
      </c>
      <c r="N8691" s="6">
        <v>55.87</v>
      </c>
      <c r="O8691" s="5">
        <v>58.3</v>
      </c>
      <c r="P8691" s="2" t="s">
        <v>25764</v>
      </c>
      <c r="Q8691" s="6">
        <v>100</v>
      </c>
      <c r="R8691" s="6">
        <v>15</v>
      </c>
      <c r="S8691" s="2"/>
      <c r="T8691" s="2"/>
      <c r="U8691" s="2"/>
      <c r="V8691" s="2"/>
      <c r="W8691" s="6">
        <v>12.73</v>
      </c>
      <c r="X8691" s="6">
        <v>12.98</v>
      </c>
      <c r="Y8691" s="5">
        <v>14.4</v>
      </c>
      <c r="Z8691" s="6">
        <v>14.34</v>
      </c>
      <c r="AA8691" s="6">
        <v>155.72</v>
      </c>
      <c r="AB8691" s="2" t="s">
        <v>47</v>
      </c>
      <c r="AC8691" s="6">
        <v>459.77</v>
      </c>
    </row>
    <row r="8692" spans="1:29" ht="143" x14ac:dyDescent="0.15">
      <c r="A8692" s="3">
        <f t="shared" si="170"/>
        <v>39260</v>
      </c>
      <c r="B8692" s="3">
        <f>DATE(2008,1,2)</f>
        <v>39449</v>
      </c>
      <c r="C8692" s="2" t="s">
        <v>95</v>
      </c>
      <c r="D8692" s="2" t="s">
        <v>13489</v>
      </c>
      <c r="E8692" s="2" t="s">
        <v>13490</v>
      </c>
      <c r="F8692" s="4">
        <v>6712</v>
      </c>
      <c r="G8692" s="2" t="s">
        <v>37</v>
      </c>
      <c r="H8692" s="2" t="s">
        <v>34</v>
      </c>
      <c r="I8692" s="2" t="s">
        <v>25765</v>
      </c>
      <c r="J8692" s="2" t="s">
        <v>36</v>
      </c>
      <c r="K8692" s="2" t="s">
        <v>33</v>
      </c>
      <c r="L8692" s="2" t="s">
        <v>34</v>
      </c>
      <c r="M8692" s="12">
        <v>6049.7290000000003</v>
      </c>
      <c r="N8692" s="6">
        <v>18.170000000000002</v>
      </c>
      <c r="O8692" s="6">
        <v>18.04</v>
      </c>
      <c r="P8692" s="2" t="s">
        <v>25766</v>
      </c>
      <c r="Q8692" s="6">
        <v>100</v>
      </c>
      <c r="R8692" s="6">
        <v>37</v>
      </c>
      <c r="S8692" s="5">
        <v>85.3</v>
      </c>
      <c r="T8692" s="7">
        <v>130.65799999999999</v>
      </c>
      <c r="U8692" s="5">
        <v>14.9</v>
      </c>
      <c r="V8692" s="6">
        <v>1.84</v>
      </c>
      <c r="W8692" s="6">
        <v>27.97</v>
      </c>
      <c r="X8692" s="6">
        <v>28.24</v>
      </c>
      <c r="Y8692" s="6">
        <v>35.15</v>
      </c>
      <c r="Z8692" s="6">
        <v>35.090000000000003</v>
      </c>
      <c r="AA8692" s="6">
        <v>44.61</v>
      </c>
      <c r="AB8692" s="7">
        <v>16.608000000000001</v>
      </c>
      <c r="AC8692" s="2"/>
    </row>
    <row r="8693" spans="1:29" ht="104" x14ac:dyDescent="0.15">
      <c r="A8693" s="3">
        <f t="shared" si="170"/>
        <v>39260</v>
      </c>
      <c r="B8693" s="3">
        <f>DATE(2007,9,12)</f>
        <v>39337</v>
      </c>
      <c r="C8693" s="2" t="s">
        <v>95</v>
      </c>
      <c r="D8693" s="2" t="s">
        <v>25767</v>
      </c>
      <c r="E8693" s="2" t="s">
        <v>25768</v>
      </c>
      <c r="F8693" s="4">
        <v>7374</v>
      </c>
      <c r="G8693" s="2" t="s">
        <v>223</v>
      </c>
      <c r="H8693" s="2" t="s">
        <v>34</v>
      </c>
      <c r="I8693" s="2" t="s">
        <v>25769</v>
      </c>
      <c r="J8693" s="2" t="s">
        <v>25770</v>
      </c>
      <c r="K8693" s="2" t="s">
        <v>223</v>
      </c>
      <c r="L8693" s="2" t="s">
        <v>34</v>
      </c>
      <c r="M8693" s="12">
        <v>10034.906999999999</v>
      </c>
      <c r="N8693" s="6">
        <v>54.41</v>
      </c>
      <c r="O8693" s="6">
        <v>54.63</v>
      </c>
      <c r="P8693" s="2" t="s">
        <v>25771</v>
      </c>
      <c r="Q8693" s="6">
        <v>100</v>
      </c>
      <c r="R8693" s="6">
        <v>36.5</v>
      </c>
      <c r="S8693" s="5">
        <v>54.4</v>
      </c>
      <c r="T8693" s="7">
        <v>132.68199999999999</v>
      </c>
      <c r="U8693" s="5">
        <v>11.7</v>
      </c>
      <c r="V8693" s="6">
        <v>1.1499999999999999</v>
      </c>
      <c r="W8693" s="6">
        <v>35.409999999999997</v>
      </c>
      <c r="X8693" s="5">
        <v>34.6</v>
      </c>
      <c r="Y8693" s="6">
        <v>35.33</v>
      </c>
      <c r="Z8693" s="6">
        <v>35.39</v>
      </c>
      <c r="AA8693" s="6">
        <v>47.38</v>
      </c>
      <c r="AB8693" s="7">
        <v>20.643999999999998</v>
      </c>
      <c r="AC8693" s="6">
        <v>222</v>
      </c>
    </row>
    <row r="8694" spans="1:29" ht="117" x14ac:dyDescent="0.15">
      <c r="A8694" s="3">
        <f t="shared" si="170"/>
        <v>39260</v>
      </c>
      <c r="B8694" s="3">
        <f>DATE(2007,10,9)</f>
        <v>39364</v>
      </c>
      <c r="C8694" s="2" t="s">
        <v>95</v>
      </c>
      <c r="D8694" s="2" t="s">
        <v>25772</v>
      </c>
      <c r="E8694" s="2" t="s">
        <v>25773</v>
      </c>
      <c r="F8694" s="4">
        <v>5736</v>
      </c>
      <c r="G8694" s="2" t="s">
        <v>1227</v>
      </c>
      <c r="H8694" s="2" t="s">
        <v>34</v>
      </c>
      <c r="I8694" s="2" t="s">
        <v>25774</v>
      </c>
      <c r="J8694" s="2" t="s">
        <v>244</v>
      </c>
      <c r="K8694" s="2" t="s">
        <v>53</v>
      </c>
      <c r="L8694" s="2" t="s">
        <v>34</v>
      </c>
      <c r="M8694" s="2"/>
      <c r="N8694" s="2"/>
      <c r="O8694" s="2"/>
      <c r="P8694" s="2" t="s">
        <v>25775</v>
      </c>
      <c r="Q8694" s="6">
        <v>100</v>
      </c>
      <c r="R8694" s="6">
        <v>63</v>
      </c>
      <c r="S8694" s="5">
        <v>1.9</v>
      </c>
      <c r="T8694" s="7">
        <v>170.215</v>
      </c>
      <c r="U8694" s="5">
        <v>19.100000000000001</v>
      </c>
      <c r="V8694" s="2"/>
      <c r="W8694" s="6">
        <v>52.04</v>
      </c>
      <c r="X8694" s="6">
        <v>50.06</v>
      </c>
      <c r="Y8694" s="6">
        <v>59.98</v>
      </c>
      <c r="Z8694" s="6">
        <v>59.81</v>
      </c>
      <c r="AA8694" s="6">
        <v>29.55</v>
      </c>
      <c r="AB8694" s="7">
        <v>15.959</v>
      </c>
      <c r="AC8694" s="2"/>
    </row>
    <row r="8695" spans="1:29" ht="208" x14ac:dyDescent="0.15">
      <c r="A8695" s="3">
        <f t="shared" si="170"/>
        <v>39260</v>
      </c>
      <c r="B8695" s="3">
        <f>DATE(2007,11,2)</f>
        <v>39388</v>
      </c>
      <c r="C8695" s="2" t="s">
        <v>95</v>
      </c>
      <c r="D8695" s="2" t="s">
        <v>25776</v>
      </c>
      <c r="E8695" s="2" t="s">
        <v>8974</v>
      </c>
      <c r="F8695" s="4">
        <v>1041</v>
      </c>
      <c r="G8695" s="2" t="s">
        <v>166</v>
      </c>
      <c r="H8695" s="2" t="s">
        <v>34</v>
      </c>
      <c r="I8695" s="2" t="s">
        <v>25777</v>
      </c>
      <c r="J8695" s="2" t="s">
        <v>1248</v>
      </c>
      <c r="K8695" s="2" t="s">
        <v>166</v>
      </c>
      <c r="L8695" s="2" t="s">
        <v>902</v>
      </c>
      <c r="M8695" s="12">
        <v>4471.8119999999999</v>
      </c>
      <c r="N8695" s="7">
        <v>12.156000000000001</v>
      </c>
      <c r="O8695" s="7">
        <v>11.045</v>
      </c>
      <c r="P8695" s="2" t="s">
        <v>25778</v>
      </c>
      <c r="Q8695" s="6">
        <v>89.27</v>
      </c>
      <c r="R8695" s="6">
        <v>35.17</v>
      </c>
      <c r="S8695" s="5">
        <v>48.1</v>
      </c>
      <c r="T8695" s="7">
        <v>115.684</v>
      </c>
      <c r="U8695" s="5">
        <v>3.6</v>
      </c>
      <c r="V8695" s="9">
        <v>0.49059999999999998</v>
      </c>
      <c r="W8695" s="6">
        <v>25.95</v>
      </c>
      <c r="X8695" s="6">
        <v>24.47</v>
      </c>
      <c r="Y8695" s="5">
        <v>24.4</v>
      </c>
      <c r="Z8695" s="6">
        <v>27.55</v>
      </c>
      <c r="AA8695" s="6">
        <v>101.15</v>
      </c>
      <c r="AB8695" s="7">
        <v>39.158000000000001</v>
      </c>
      <c r="AC8695" s="6">
        <v>103.7</v>
      </c>
    </row>
    <row r="8696" spans="1:29" ht="39" x14ac:dyDescent="0.15">
      <c r="A8696" s="3">
        <f t="shared" si="170"/>
        <v>39260</v>
      </c>
      <c r="B8696" s="2"/>
      <c r="C8696" s="2" t="s">
        <v>189</v>
      </c>
      <c r="D8696" s="2" t="s">
        <v>25779</v>
      </c>
      <c r="E8696" s="2" t="s">
        <v>9299</v>
      </c>
      <c r="F8696" s="4">
        <v>6799</v>
      </c>
      <c r="G8696" s="2" t="s">
        <v>53</v>
      </c>
      <c r="H8696" s="2" t="s">
        <v>34</v>
      </c>
      <c r="I8696" s="2" t="s">
        <v>143</v>
      </c>
      <c r="J8696" s="2" t="s">
        <v>144</v>
      </c>
      <c r="K8696" s="2" t="s">
        <v>53</v>
      </c>
      <c r="L8696" s="2" t="s">
        <v>139</v>
      </c>
      <c r="M8696" s="2"/>
      <c r="N8696" s="2"/>
      <c r="O8696" s="2"/>
      <c r="P8696" s="2" t="s">
        <v>25780</v>
      </c>
      <c r="Q8696" s="2"/>
      <c r="R8696" s="2"/>
      <c r="S8696" s="2"/>
      <c r="T8696" s="2"/>
      <c r="U8696" s="2"/>
      <c r="V8696" s="2"/>
      <c r="W8696" s="5">
        <v>1.1000000000000001</v>
      </c>
      <c r="X8696" s="6">
        <v>1.24</v>
      </c>
      <c r="Y8696" s="6">
        <v>1.31</v>
      </c>
      <c r="Z8696" s="6">
        <v>0.88</v>
      </c>
      <c r="AA8696" s="6">
        <v>500</v>
      </c>
      <c r="AB8696" s="2" t="s">
        <v>47</v>
      </c>
      <c r="AC8696" s="2"/>
    </row>
    <row r="8697" spans="1:29" ht="91" x14ac:dyDescent="0.15">
      <c r="A8697" s="3">
        <f>DATE(2007,6,28)</f>
        <v>39261</v>
      </c>
      <c r="B8697" s="2"/>
      <c r="C8697" s="2" t="s">
        <v>30</v>
      </c>
      <c r="D8697" s="2" t="s">
        <v>25781</v>
      </c>
      <c r="E8697" s="2" t="s">
        <v>25782</v>
      </c>
      <c r="F8697" s="4">
        <v>4513</v>
      </c>
      <c r="G8697" s="2" t="s">
        <v>59</v>
      </c>
      <c r="H8697" s="2" t="s">
        <v>34</v>
      </c>
      <c r="I8697" s="2" t="s">
        <v>25783</v>
      </c>
      <c r="J8697" s="2" t="s">
        <v>25784</v>
      </c>
      <c r="K8697" s="2" t="s">
        <v>59</v>
      </c>
      <c r="L8697" s="2" t="s">
        <v>34</v>
      </c>
      <c r="M8697" s="2"/>
      <c r="N8697" s="2"/>
      <c r="O8697" s="2"/>
      <c r="P8697" s="2" t="s">
        <v>25785</v>
      </c>
      <c r="Q8697" s="2"/>
      <c r="R8697" s="6">
        <v>7.75</v>
      </c>
      <c r="S8697" s="5">
        <v>86.2</v>
      </c>
      <c r="T8697" s="6">
        <v>88.69</v>
      </c>
      <c r="U8697" s="5">
        <v>2.1</v>
      </c>
      <c r="V8697" s="6">
        <v>1.47</v>
      </c>
      <c r="W8697" s="6">
        <v>6.82</v>
      </c>
      <c r="X8697" s="6">
        <v>7.23</v>
      </c>
      <c r="Y8697" s="6">
        <v>8.07</v>
      </c>
      <c r="Z8697" s="6">
        <v>8.06</v>
      </c>
      <c r="AA8697" s="6">
        <v>58.68</v>
      </c>
      <c r="AB8697" s="7">
        <v>14.62</v>
      </c>
      <c r="AC8697" s="2"/>
    </row>
    <row r="8698" spans="1:29" ht="169" x14ac:dyDescent="0.15">
      <c r="A8698" s="3">
        <f>DATE(2007,6,28)</f>
        <v>39261</v>
      </c>
      <c r="B8698" s="3">
        <f>DATE(2007,9,20)</f>
        <v>39345</v>
      </c>
      <c r="C8698" s="2" t="s">
        <v>95</v>
      </c>
      <c r="D8698" s="2" t="s">
        <v>25650</v>
      </c>
      <c r="E8698" s="2" t="s">
        <v>25651</v>
      </c>
      <c r="F8698" s="4">
        <v>3949</v>
      </c>
      <c r="G8698" s="2" t="s">
        <v>112</v>
      </c>
      <c r="H8698" s="2" t="s">
        <v>34</v>
      </c>
      <c r="I8698" s="2" t="s">
        <v>25786</v>
      </c>
      <c r="J8698" s="2" t="s">
        <v>25787</v>
      </c>
      <c r="K8698" s="2" t="s">
        <v>73</v>
      </c>
      <c r="L8698" s="2" t="s">
        <v>303</v>
      </c>
      <c r="M8698" s="2"/>
      <c r="N8698" s="2"/>
      <c r="O8698" s="2"/>
      <c r="P8698" s="2" t="s">
        <v>25788</v>
      </c>
      <c r="Q8698" s="6">
        <v>100</v>
      </c>
      <c r="R8698" s="6">
        <v>33</v>
      </c>
      <c r="S8698" s="5">
        <v>-2.7</v>
      </c>
      <c r="T8698" s="7">
        <v>8.5609999999999999</v>
      </c>
      <c r="U8698" s="5">
        <v>5.5</v>
      </c>
      <c r="V8698" s="6">
        <v>0.05</v>
      </c>
      <c r="W8698" s="6">
        <v>22.06</v>
      </c>
      <c r="X8698" s="6">
        <v>23.15</v>
      </c>
      <c r="Y8698" s="6">
        <v>26.36</v>
      </c>
      <c r="Z8698" s="5">
        <v>27.5</v>
      </c>
      <c r="AA8698" s="6">
        <v>4.07</v>
      </c>
      <c r="AB8698" s="7">
        <v>28.126999999999999</v>
      </c>
      <c r="AC8698" s="2"/>
    </row>
    <row r="8699" spans="1:29" ht="104" x14ac:dyDescent="0.15">
      <c r="A8699" s="3">
        <f>DATE(2007,6,28)</f>
        <v>39261</v>
      </c>
      <c r="B8699" s="3">
        <f>DATE(2007,8,20)</f>
        <v>39314</v>
      </c>
      <c r="C8699" s="2" t="s">
        <v>95</v>
      </c>
      <c r="D8699" s="2" t="s">
        <v>25789</v>
      </c>
      <c r="E8699" s="2" t="s">
        <v>25790</v>
      </c>
      <c r="F8699" s="4">
        <v>8748</v>
      </c>
      <c r="G8699" s="2" t="s">
        <v>223</v>
      </c>
      <c r="H8699" s="2" t="s">
        <v>34</v>
      </c>
      <c r="I8699" s="2" t="s">
        <v>21938</v>
      </c>
      <c r="J8699" s="2" t="s">
        <v>21939</v>
      </c>
      <c r="K8699" s="2" t="s">
        <v>223</v>
      </c>
      <c r="L8699" s="2" t="s">
        <v>34</v>
      </c>
      <c r="M8699" s="7">
        <v>593.53099999999995</v>
      </c>
      <c r="N8699" s="6">
        <v>10.25</v>
      </c>
      <c r="O8699" s="6">
        <v>10.220000000000001</v>
      </c>
      <c r="P8699" s="2" t="s">
        <v>25791</v>
      </c>
      <c r="Q8699" s="6">
        <v>89</v>
      </c>
      <c r="R8699" s="6">
        <v>1.35</v>
      </c>
      <c r="S8699" s="5">
        <v>0.8</v>
      </c>
      <c r="T8699" s="6">
        <v>2.2400000000000002</v>
      </c>
      <c r="U8699" s="5">
        <v>1.1000000000000001</v>
      </c>
      <c r="V8699" s="2"/>
      <c r="W8699" s="6">
        <v>1.1399999999999999</v>
      </c>
      <c r="X8699" s="5">
        <v>1.1000000000000001</v>
      </c>
      <c r="Y8699" s="5">
        <v>1.1000000000000001</v>
      </c>
      <c r="Z8699" s="7">
        <v>1.3149999999999999</v>
      </c>
      <c r="AA8699" s="6">
        <v>20.95</v>
      </c>
      <c r="AB8699" s="7">
        <v>39.676000000000002</v>
      </c>
      <c r="AC8699" s="6">
        <v>6.04</v>
      </c>
    </row>
    <row r="8700" spans="1:29" ht="117" x14ac:dyDescent="0.15">
      <c r="A8700" s="3">
        <f>DATE(2007,6,28)</f>
        <v>39261</v>
      </c>
      <c r="B8700" s="3">
        <f>DATE(2007,9,5)</f>
        <v>39330</v>
      </c>
      <c r="C8700" s="2" t="s">
        <v>95</v>
      </c>
      <c r="D8700" s="2" t="s">
        <v>16793</v>
      </c>
      <c r="E8700" s="2" t="s">
        <v>25792</v>
      </c>
      <c r="F8700" s="4">
        <v>3572</v>
      </c>
      <c r="G8700" s="2" t="s">
        <v>50</v>
      </c>
      <c r="H8700" s="2" t="s">
        <v>34</v>
      </c>
      <c r="I8700" s="2" t="s">
        <v>25793</v>
      </c>
      <c r="J8700" s="2" t="s">
        <v>25794</v>
      </c>
      <c r="K8700" s="2" t="s">
        <v>50</v>
      </c>
      <c r="L8700" s="2" t="s">
        <v>34</v>
      </c>
      <c r="M8700" s="12">
        <v>4173.9390000000003</v>
      </c>
      <c r="N8700" s="6">
        <v>19.53</v>
      </c>
      <c r="O8700" s="6">
        <v>19.350000000000001</v>
      </c>
      <c r="P8700" s="2" t="s">
        <v>25795</v>
      </c>
      <c r="Q8700" s="6">
        <v>100</v>
      </c>
      <c r="R8700" s="6">
        <v>32.25</v>
      </c>
      <c r="S8700" s="5">
        <v>154.30000000000001</v>
      </c>
      <c r="T8700" s="7">
        <v>237.89500000000001</v>
      </c>
      <c r="U8700" s="5">
        <v>18.5</v>
      </c>
      <c r="V8700" s="6">
        <v>4.79</v>
      </c>
      <c r="W8700" s="6">
        <v>25.94</v>
      </c>
      <c r="X8700" s="6">
        <v>29.09</v>
      </c>
      <c r="Y8700" s="6">
        <v>29.58</v>
      </c>
      <c r="Z8700" s="6">
        <v>31.89</v>
      </c>
      <c r="AA8700" s="6">
        <v>30.36</v>
      </c>
      <c r="AB8700" s="7">
        <v>6.65</v>
      </c>
      <c r="AC8700" s="5">
        <v>875</v>
      </c>
    </row>
    <row r="8701" spans="1:29" ht="130" x14ac:dyDescent="0.15">
      <c r="A8701" s="3">
        <f>DATE(2007,6,28)</f>
        <v>39261</v>
      </c>
      <c r="B8701" s="3">
        <f>DATE(2007,9,24)</f>
        <v>39349</v>
      </c>
      <c r="C8701" s="2" t="s">
        <v>95</v>
      </c>
      <c r="D8701" s="2" t="s">
        <v>25796</v>
      </c>
      <c r="E8701" s="2" t="s">
        <v>277</v>
      </c>
      <c r="F8701" s="4">
        <v>1041</v>
      </c>
      <c r="G8701" s="2" t="s">
        <v>166</v>
      </c>
      <c r="H8701" s="2" t="s">
        <v>34</v>
      </c>
      <c r="I8701" s="2" t="s">
        <v>25797</v>
      </c>
      <c r="J8701" s="2" t="s">
        <v>25798</v>
      </c>
      <c r="K8701" s="2" t="s">
        <v>166</v>
      </c>
      <c r="L8701" s="2" t="s">
        <v>902</v>
      </c>
      <c r="M8701" s="6">
        <v>813.41</v>
      </c>
      <c r="N8701" s="7">
        <v>11.493</v>
      </c>
      <c r="O8701" s="7">
        <v>11.926</v>
      </c>
      <c r="P8701" s="2" t="s">
        <v>25799</v>
      </c>
      <c r="Q8701" s="6">
        <v>100</v>
      </c>
      <c r="R8701" s="6">
        <v>2.98</v>
      </c>
      <c r="S8701" s="5">
        <v>-8.1</v>
      </c>
      <c r="T8701" s="7">
        <v>-8.3190000000000008</v>
      </c>
      <c r="U8701" s="5">
        <v>0.4</v>
      </c>
      <c r="V8701" s="9">
        <v>-0.15640000000000001</v>
      </c>
      <c r="W8701" s="7">
        <v>2.048</v>
      </c>
      <c r="X8701" s="7">
        <v>2.194</v>
      </c>
      <c r="Y8701" s="7">
        <v>2.194</v>
      </c>
      <c r="Z8701" s="6">
        <v>2.92</v>
      </c>
      <c r="AA8701" s="6">
        <v>58.39</v>
      </c>
      <c r="AB8701" s="2" t="s">
        <v>86</v>
      </c>
      <c r="AC8701" s="6">
        <v>90.81</v>
      </c>
    </row>
    <row r="8702" spans="1:29" ht="117" x14ac:dyDescent="0.15">
      <c r="A8702" s="3">
        <f>DATE(2007,6,29)</f>
        <v>39262</v>
      </c>
      <c r="B8702" s="3">
        <f>DATE(2008,1,17)</f>
        <v>39464</v>
      </c>
      <c r="C8702" s="2" t="s">
        <v>95</v>
      </c>
      <c r="D8702" s="2" t="s">
        <v>25800</v>
      </c>
      <c r="E8702" s="2" t="s">
        <v>4205</v>
      </c>
      <c r="F8702" s="4">
        <v>4941</v>
      </c>
      <c r="G8702" s="2" t="s">
        <v>439</v>
      </c>
      <c r="H8702" s="2" t="s">
        <v>34</v>
      </c>
      <c r="I8702" s="2" t="s">
        <v>25801</v>
      </c>
      <c r="J8702" s="2" t="s">
        <v>4205</v>
      </c>
      <c r="K8702" s="2" t="s">
        <v>439</v>
      </c>
      <c r="L8702" s="2" t="s">
        <v>34</v>
      </c>
      <c r="M8702" s="2"/>
      <c r="N8702" s="2"/>
      <c r="O8702" s="2"/>
      <c r="P8702" s="2" t="s">
        <v>25802</v>
      </c>
      <c r="Q8702" s="6">
        <v>100</v>
      </c>
      <c r="R8702" s="6">
        <v>23.75</v>
      </c>
      <c r="S8702" s="5">
        <v>0.8</v>
      </c>
      <c r="T8702" s="7">
        <v>2.8380000000000001</v>
      </c>
      <c r="U8702" s="5">
        <v>6.7</v>
      </c>
      <c r="V8702" s="6">
        <v>0.47</v>
      </c>
      <c r="W8702" s="4">
        <v>16</v>
      </c>
      <c r="X8702" s="4">
        <v>17</v>
      </c>
      <c r="Y8702" s="5">
        <v>22.7</v>
      </c>
      <c r="Z8702" s="5">
        <v>22.2</v>
      </c>
      <c r="AA8702" s="6">
        <v>1.67</v>
      </c>
      <c r="AB8702" s="7">
        <v>33.207999999999998</v>
      </c>
      <c r="AC8702" s="2"/>
    </row>
    <row r="8703" spans="1:29" ht="91" x14ac:dyDescent="0.15">
      <c r="A8703" s="3">
        <f>DATE(2007,6,29)</f>
        <v>39262</v>
      </c>
      <c r="B8703" s="3">
        <f>DATE(2007,11,15)</f>
        <v>39401</v>
      </c>
      <c r="C8703" s="2" t="s">
        <v>95</v>
      </c>
      <c r="D8703" s="2" t="s">
        <v>25803</v>
      </c>
      <c r="E8703" s="2" t="s">
        <v>2814</v>
      </c>
      <c r="F8703" s="4">
        <v>4812</v>
      </c>
      <c r="G8703" s="2" t="s">
        <v>63</v>
      </c>
      <c r="H8703" s="2" t="s">
        <v>34</v>
      </c>
      <c r="I8703" s="2" t="s">
        <v>23830</v>
      </c>
      <c r="J8703" s="2" t="s">
        <v>973</v>
      </c>
      <c r="K8703" s="2" t="s">
        <v>63</v>
      </c>
      <c r="L8703" s="2" t="s">
        <v>34</v>
      </c>
      <c r="M8703" s="12">
        <v>249889.995</v>
      </c>
      <c r="N8703" s="5">
        <v>41.5</v>
      </c>
      <c r="O8703" s="6">
        <v>41.85</v>
      </c>
      <c r="P8703" s="2" t="s">
        <v>25804</v>
      </c>
      <c r="Q8703" s="6">
        <v>100</v>
      </c>
      <c r="R8703" s="6">
        <v>13</v>
      </c>
      <c r="S8703" s="5">
        <v>-6.9</v>
      </c>
      <c r="T8703" s="7">
        <v>458.041</v>
      </c>
      <c r="U8703" s="5">
        <v>0.9</v>
      </c>
      <c r="V8703" s="6">
        <v>-0.09</v>
      </c>
      <c r="W8703" s="6">
        <v>10.09</v>
      </c>
      <c r="X8703" s="6">
        <v>11.12</v>
      </c>
      <c r="Y8703" s="6">
        <v>11.11</v>
      </c>
      <c r="Z8703" s="6">
        <v>12.42</v>
      </c>
      <c r="AA8703" s="6">
        <v>171.34</v>
      </c>
      <c r="AB8703" s="7">
        <v>19.795999999999999</v>
      </c>
      <c r="AC8703" s="8">
        <v>2364</v>
      </c>
    </row>
    <row r="8704" spans="1:29" ht="78" x14ac:dyDescent="0.15">
      <c r="A8704" s="3">
        <f>DATE(2007,6,29)</f>
        <v>39262</v>
      </c>
      <c r="B8704" s="3">
        <f>DATE(2007,6,29)</f>
        <v>39262</v>
      </c>
      <c r="C8704" s="2" t="s">
        <v>95</v>
      </c>
      <c r="D8704" s="2" t="s">
        <v>25805</v>
      </c>
      <c r="E8704" s="2" t="s">
        <v>25806</v>
      </c>
      <c r="F8704" s="4">
        <v>7389</v>
      </c>
      <c r="G8704" s="2" t="s">
        <v>223</v>
      </c>
      <c r="H8704" s="2" t="s">
        <v>34</v>
      </c>
      <c r="I8704" s="2" t="s">
        <v>51</v>
      </c>
      <c r="J8704" s="2" t="s">
        <v>52</v>
      </c>
      <c r="K8704" s="2" t="s">
        <v>53</v>
      </c>
      <c r="L8704" s="2" t="s">
        <v>34</v>
      </c>
      <c r="M8704" s="2"/>
      <c r="N8704" s="2"/>
      <c r="O8704" s="2"/>
      <c r="P8704" s="2" t="s">
        <v>25807</v>
      </c>
      <c r="Q8704" s="6">
        <v>77.540000000000006</v>
      </c>
      <c r="R8704" s="2"/>
      <c r="S8704" s="5">
        <v>0</v>
      </c>
      <c r="T8704" s="2"/>
      <c r="U8704" s="5">
        <v>0</v>
      </c>
      <c r="V8704" s="6">
        <v>-0.02</v>
      </c>
      <c r="W8704" s="5">
        <v>1.9</v>
      </c>
      <c r="X8704" s="6">
        <v>1.85</v>
      </c>
      <c r="Y8704" s="6">
        <v>1.85</v>
      </c>
      <c r="Z8704" s="5">
        <v>1.2</v>
      </c>
      <c r="AA8704" s="6">
        <v>1.86</v>
      </c>
      <c r="AB8704" s="2" t="s">
        <v>86</v>
      </c>
      <c r="AC8704" s="2"/>
    </row>
    <row r="8705" spans="1:29" ht="130" x14ac:dyDescent="0.15">
      <c r="A8705" s="3">
        <f>DATE(2007,7,2)</f>
        <v>39265</v>
      </c>
      <c r="B8705" s="3">
        <f>DATE(2008,2,1)</f>
        <v>39479</v>
      </c>
      <c r="C8705" s="2" t="s">
        <v>95</v>
      </c>
      <c r="D8705" s="2" t="s">
        <v>25808</v>
      </c>
      <c r="E8705" s="2" t="s">
        <v>25809</v>
      </c>
      <c r="F8705" s="4">
        <v>6022</v>
      </c>
      <c r="G8705" s="2" t="s">
        <v>37</v>
      </c>
      <c r="H8705" s="2" t="s">
        <v>34</v>
      </c>
      <c r="I8705" s="2" t="s">
        <v>24644</v>
      </c>
      <c r="J8705" s="2" t="s">
        <v>36</v>
      </c>
      <c r="K8705" s="2" t="s">
        <v>37</v>
      </c>
      <c r="L8705" s="2" t="s">
        <v>34</v>
      </c>
      <c r="M8705" s="12">
        <v>2217.3829999999998</v>
      </c>
      <c r="N8705" s="6">
        <v>24.35</v>
      </c>
      <c r="O8705" s="6">
        <v>24.26</v>
      </c>
      <c r="P8705" s="2" t="s">
        <v>25810</v>
      </c>
      <c r="Q8705" s="6">
        <v>100</v>
      </c>
      <c r="R8705" s="6">
        <v>27.05</v>
      </c>
      <c r="S8705" s="5">
        <v>10</v>
      </c>
      <c r="T8705" s="7">
        <v>17.303000000000001</v>
      </c>
      <c r="U8705" s="5">
        <v>11</v>
      </c>
      <c r="V8705" s="6">
        <v>1.44</v>
      </c>
      <c r="W8705" s="5">
        <v>22.3</v>
      </c>
      <c r="X8705" s="6">
        <v>22.23</v>
      </c>
      <c r="Y8705" s="6">
        <v>22.38</v>
      </c>
      <c r="Z8705" s="6">
        <v>25.96</v>
      </c>
      <c r="AA8705" s="6">
        <v>6.69</v>
      </c>
      <c r="AB8705" s="7">
        <v>24.669</v>
      </c>
      <c r="AC8705" s="2"/>
    </row>
    <row r="8706" spans="1:29" ht="104" x14ac:dyDescent="0.15">
      <c r="A8706" s="3">
        <f>DATE(2007,7,2)</f>
        <v>39265</v>
      </c>
      <c r="B8706" s="3">
        <f>DATE(2007,12,21)</f>
        <v>39437</v>
      </c>
      <c r="C8706" s="2" t="s">
        <v>95</v>
      </c>
      <c r="D8706" s="2" t="s">
        <v>9592</v>
      </c>
      <c r="E8706" s="2" t="s">
        <v>8300</v>
      </c>
      <c r="F8706" s="4">
        <v>8051</v>
      </c>
      <c r="G8706" s="2" t="s">
        <v>454</v>
      </c>
      <c r="H8706" s="2" t="s">
        <v>34</v>
      </c>
      <c r="I8706" s="2" t="s">
        <v>243</v>
      </c>
      <c r="J8706" s="2" t="s">
        <v>244</v>
      </c>
      <c r="K8706" s="2" t="s">
        <v>53</v>
      </c>
      <c r="L8706" s="2" t="s">
        <v>34</v>
      </c>
      <c r="M8706" s="2"/>
      <c r="N8706" s="2"/>
      <c r="O8706" s="2"/>
      <c r="P8706" s="2" t="s">
        <v>25811</v>
      </c>
      <c r="Q8706" s="6">
        <v>100</v>
      </c>
      <c r="R8706" s="6">
        <v>67</v>
      </c>
      <c r="S8706" s="5">
        <v>170.5</v>
      </c>
      <c r="T8706" s="7">
        <v>448.339</v>
      </c>
      <c r="U8706" s="5">
        <v>8.9</v>
      </c>
      <c r="V8706" s="6">
        <v>2.19</v>
      </c>
      <c r="W8706" s="6">
        <v>63.44</v>
      </c>
      <c r="X8706" s="6">
        <v>65.290000000000006</v>
      </c>
      <c r="Y8706" s="5">
        <v>64.099999999999994</v>
      </c>
      <c r="Z8706" s="5">
        <v>64.2</v>
      </c>
      <c r="AA8706" s="6">
        <v>73.17</v>
      </c>
      <c r="AB8706" s="7">
        <v>23.417999999999999</v>
      </c>
      <c r="AC8706" s="2"/>
    </row>
    <row r="8707" spans="1:29" ht="143" x14ac:dyDescent="0.15">
      <c r="A8707" s="3">
        <f>DATE(2007,7,2)</f>
        <v>39265</v>
      </c>
      <c r="B8707" s="3">
        <f>DATE(2007,12,31)</f>
        <v>39447</v>
      </c>
      <c r="C8707" s="2" t="s">
        <v>95</v>
      </c>
      <c r="D8707" s="2" t="s">
        <v>25812</v>
      </c>
      <c r="E8707" s="2" t="s">
        <v>1604</v>
      </c>
      <c r="F8707" s="4">
        <v>4813</v>
      </c>
      <c r="G8707" s="2" t="s">
        <v>63</v>
      </c>
      <c r="H8707" s="2" t="s">
        <v>34</v>
      </c>
      <c r="I8707" s="2" t="s">
        <v>25813</v>
      </c>
      <c r="J8707" s="2" t="s">
        <v>973</v>
      </c>
      <c r="K8707" s="2" t="s">
        <v>63</v>
      </c>
      <c r="L8707" s="2" t="s">
        <v>34</v>
      </c>
      <c r="M8707" s="7">
        <v>582.45100000000002</v>
      </c>
      <c r="N8707" s="6">
        <v>22.42</v>
      </c>
      <c r="O8707" s="6">
        <v>22.41</v>
      </c>
      <c r="P8707" s="2" t="s">
        <v>25814</v>
      </c>
      <c r="Q8707" s="6">
        <v>100</v>
      </c>
      <c r="R8707" s="6">
        <v>25</v>
      </c>
      <c r="S8707" s="5">
        <v>15</v>
      </c>
      <c r="T8707" s="7">
        <v>36.304000000000002</v>
      </c>
      <c r="U8707" s="5">
        <v>6.6</v>
      </c>
      <c r="V8707" s="6">
        <v>1</v>
      </c>
      <c r="W8707" s="6">
        <v>21.01</v>
      </c>
      <c r="X8707" s="6">
        <v>21.25</v>
      </c>
      <c r="Y8707" s="6">
        <v>24.22</v>
      </c>
      <c r="Z8707" s="6">
        <v>24.19</v>
      </c>
      <c r="AA8707" s="6">
        <v>15.01</v>
      </c>
      <c r="AB8707" s="7">
        <v>15.500999999999999</v>
      </c>
      <c r="AC8707" s="6">
        <v>26.1</v>
      </c>
    </row>
    <row r="8708" spans="1:29" ht="156" x14ac:dyDescent="0.15">
      <c r="A8708" s="3">
        <f>DATE(2007,7,2)</f>
        <v>39265</v>
      </c>
      <c r="B8708" s="3">
        <f>DATE(2007,9,12)</f>
        <v>39337</v>
      </c>
      <c r="C8708" s="2" t="s">
        <v>95</v>
      </c>
      <c r="D8708" s="2" t="s">
        <v>25815</v>
      </c>
      <c r="E8708" s="2" t="s">
        <v>25000</v>
      </c>
      <c r="F8708" s="4">
        <v>8082</v>
      </c>
      <c r="G8708" s="2" t="s">
        <v>454</v>
      </c>
      <c r="H8708" s="2" t="s">
        <v>34</v>
      </c>
      <c r="I8708" s="2" t="s">
        <v>25816</v>
      </c>
      <c r="J8708" s="2" t="s">
        <v>4794</v>
      </c>
      <c r="K8708" s="2" t="s">
        <v>73</v>
      </c>
      <c r="L8708" s="2" t="s">
        <v>34</v>
      </c>
      <c r="M8708" s="10">
        <v>45114.09</v>
      </c>
      <c r="N8708" s="6">
        <v>43.71</v>
      </c>
      <c r="O8708" s="6">
        <v>43.85</v>
      </c>
      <c r="P8708" s="2" t="s">
        <v>25817</v>
      </c>
      <c r="Q8708" s="6">
        <v>100</v>
      </c>
      <c r="R8708" s="6">
        <v>19.5</v>
      </c>
      <c r="S8708" s="5">
        <v>24.8</v>
      </c>
      <c r="T8708" s="7">
        <v>51.524000000000001</v>
      </c>
      <c r="U8708" s="5">
        <v>6.8</v>
      </c>
      <c r="V8708" s="6">
        <v>0.69</v>
      </c>
      <c r="W8708" s="6">
        <v>15.21</v>
      </c>
      <c r="X8708" s="5">
        <v>15.4</v>
      </c>
      <c r="Y8708" s="6">
        <v>19.239999999999998</v>
      </c>
      <c r="Z8708" s="6">
        <v>19.350000000000001</v>
      </c>
      <c r="AA8708" s="6">
        <v>34.51</v>
      </c>
      <c r="AB8708" s="7">
        <v>20.984000000000002</v>
      </c>
      <c r="AC8708" s="5">
        <v>758.1</v>
      </c>
    </row>
    <row r="8709" spans="1:29" ht="104" x14ac:dyDescent="0.15">
      <c r="A8709" s="3">
        <f>DATE(2007,7,2)</f>
        <v>39265</v>
      </c>
      <c r="B8709" s="2"/>
      <c r="C8709" s="2" t="s">
        <v>30</v>
      </c>
      <c r="D8709" s="2" t="s">
        <v>25818</v>
      </c>
      <c r="E8709" s="2" t="s">
        <v>25819</v>
      </c>
      <c r="F8709" s="4">
        <v>2097</v>
      </c>
      <c r="G8709" s="2" t="s">
        <v>577</v>
      </c>
      <c r="H8709" s="2" t="s">
        <v>34</v>
      </c>
      <c r="I8709" s="2" t="s">
        <v>25820</v>
      </c>
      <c r="J8709" s="2" t="s">
        <v>22486</v>
      </c>
      <c r="K8709" s="2" t="s">
        <v>53</v>
      </c>
      <c r="L8709" s="2" t="s">
        <v>34</v>
      </c>
      <c r="M8709" s="2"/>
      <c r="N8709" s="2"/>
      <c r="O8709" s="2"/>
      <c r="P8709" s="2" t="s">
        <v>25821</v>
      </c>
      <c r="Q8709" s="2"/>
      <c r="R8709" s="6">
        <v>31.25</v>
      </c>
      <c r="S8709" s="5">
        <v>10.6</v>
      </c>
      <c r="T8709" s="7">
        <v>79.171999999999997</v>
      </c>
      <c r="U8709" s="5">
        <v>6.9</v>
      </c>
      <c r="V8709" s="6">
        <v>0.49</v>
      </c>
      <c r="W8709" s="6">
        <v>28.12</v>
      </c>
      <c r="X8709" s="6">
        <v>28.52</v>
      </c>
      <c r="Y8709" s="6">
        <v>30.48</v>
      </c>
      <c r="Z8709" s="6">
        <v>30.52</v>
      </c>
      <c r="AA8709" s="6">
        <v>21.81</v>
      </c>
      <c r="AB8709" s="7">
        <v>20.2</v>
      </c>
      <c r="AC8709" s="2"/>
    </row>
    <row r="8710" spans="1:29" ht="91" x14ac:dyDescent="0.15">
      <c r="A8710" s="3">
        <f>DATE(2007,7,3)</f>
        <v>39266</v>
      </c>
      <c r="B8710" s="3">
        <f>DATE(2007,10,24)</f>
        <v>39379</v>
      </c>
      <c r="C8710" s="2" t="s">
        <v>95</v>
      </c>
      <c r="D8710" s="2" t="s">
        <v>267</v>
      </c>
      <c r="E8710" s="2" t="s">
        <v>268</v>
      </c>
      <c r="F8710" s="4">
        <v>7011</v>
      </c>
      <c r="G8710" s="2" t="s">
        <v>269</v>
      </c>
      <c r="H8710" s="2" t="s">
        <v>34</v>
      </c>
      <c r="I8710" s="2" t="s">
        <v>21776</v>
      </c>
      <c r="J8710" s="2" t="s">
        <v>25822</v>
      </c>
      <c r="K8710" s="2" t="s">
        <v>53</v>
      </c>
      <c r="L8710" s="2" t="s">
        <v>34</v>
      </c>
      <c r="M8710" s="2"/>
      <c r="N8710" s="6">
        <v>29.72</v>
      </c>
      <c r="O8710" s="6">
        <v>29.72</v>
      </c>
      <c r="P8710" s="2" t="s">
        <v>25823</v>
      </c>
      <c r="Q8710" s="6">
        <v>100</v>
      </c>
      <c r="R8710" s="6">
        <v>47.5</v>
      </c>
      <c r="S8710" s="5">
        <v>546</v>
      </c>
      <c r="T8710" s="8">
        <v>1679</v>
      </c>
      <c r="U8710" s="5">
        <v>10</v>
      </c>
      <c r="V8710" s="6">
        <v>1.33</v>
      </c>
      <c r="W8710" s="5">
        <v>33.9</v>
      </c>
      <c r="X8710" s="6">
        <v>33.869999999999997</v>
      </c>
      <c r="Y8710" s="6">
        <v>36.049999999999997</v>
      </c>
      <c r="Z8710" s="6">
        <v>36.049999999999997</v>
      </c>
      <c r="AA8710" s="6">
        <v>389.75</v>
      </c>
      <c r="AB8710" s="7">
        <v>22.140999999999998</v>
      </c>
      <c r="AC8710" s="6">
        <v>940.17</v>
      </c>
    </row>
    <row r="8711" spans="1:29" ht="221" x14ac:dyDescent="0.15">
      <c r="A8711" s="3">
        <f>DATE(2007,7,3)</f>
        <v>39266</v>
      </c>
      <c r="B8711" s="2"/>
      <c r="C8711" s="2" t="s">
        <v>30</v>
      </c>
      <c r="D8711" s="2" t="s">
        <v>7812</v>
      </c>
      <c r="E8711" s="2" t="s">
        <v>25754</v>
      </c>
      <c r="F8711" s="4">
        <v>2816</v>
      </c>
      <c r="G8711" s="2" t="s">
        <v>98</v>
      </c>
      <c r="H8711" s="2" t="s">
        <v>34</v>
      </c>
      <c r="I8711" s="2" t="s">
        <v>25824</v>
      </c>
      <c r="J8711" s="2" t="s">
        <v>10682</v>
      </c>
      <c r="K8711" s="2" t="s">
        <v>98</v>
      </c>
      <c r="L8711" s="2" t="s">
        <v>34</v>
      </c>
      <c r="M8711" s="2"/>
      <c r="N8711" s="2"/>
      <c r="O8711" s="2"/>
      <c r="P8711" s="2" t="s">
        <v>25825</v>
      </c>
      <c r="Q8711" s="2"/>
      <c r="R8711" s="6">
        <v>28</v>
      </c>
      <c r="S8711" s="5">
        <v>213.1</v>
      </c>
      <c r="T8711" s="5">
        <v>860.2</v>
      </c>
      <c r="U8711" s="5">
        <v>6.5</v>
      </c>
      <c r="V8711" s="6">
        <v>0.92</v>
      </c>
      <c r="W8711" s="5">
        <v>19.600000000000001</v>
      </c>
      <c r="X8711" s="5">
        <v>18.899999999999999</v>
      </c>
      <c r="Y8711" s="6">
        <v>24.21</v>
      </c>
      <c r="Z8711" s="6">
        <v>24.26</v>
      </c>
      <c r="AA8711" s="6">
        <v>221.9</v>
      </c>
      <c r="AB8711" s="7">
        <v>24.559000000000001</v>
      </c>
      <c r="AC8711" s="2"/>
    </row>
    <row r="8712" spans="1:29" ht="143" x14ac:dyDescent="0.15">
      <c r="A8712" s="3">
        <f>DATE(2007,7,5)</f>
        <v>39268</v>
      </c>
      <c r="B8712" s="3">
        <f>DATE(2007,8,10)</f>
        <v>39304</v>
      </c>
      <c r="C8712" s="2" t="s">
        <v>95</v>
      </c>
      <c r="D8712" s="2" t="s">
        <v>25826</v>
      </c>
      <c r="E8712" s="2" t="s">
        <v>25827</v>
      </c>
      <c r="F8712" s="4">
        <v>5075</v>
      </c>
      <c r="G8712" s="2" t="s">
        <v>76</v>
      </c>
      <c r="H8712" s="2" t="s">
        <v>34</v>
      </c>
      <c r="I8712" s="2" t="s">
        <v>25828</v>
      </c>
      <c r="J8712" s="2" t="s">
        <v>25829</v>
      </c>
      <c r="K8712" s="2" t="s">
        <v>76</v>
      </c>
      <c r="L8712" s="2" t="s">
        <v>34</v>
      </c>
      <c r="M8712" s="12">
        <v>1710.3789999999999</v>
      </c>
      <c r="N8712" s="6">
        <v>57.32</v>
      </c>
      <c r="O8712" s="6">
        <v>58.33</v>
      </c>
      <c r="P8712" s="2" t="s">
        <v>25830</v>
      </c>
      <c r="Q8712" s="6">
        <v>100</v>
      </c>
      <c r="R8712" s="6">
        <v>6.75</v>
      </c>
      <c r="S8712" s="5">
        <v>4.9000000000000004</v>
      </c>
      <c r="T8712" s="7">
        <v>10.667999999999999</v>
      </c>
      <c r="U8712" s="5">
        <v>2.2999999999999998</v>
      </c>
      <c r="V8712" s="6">
        <v>0.41</v>
      </c>
      <c r="W8712" s="6">
        <v>4.6500000000000004</v>
      </c>
      <c r="X8712" s="5">
        <v>4.5999999999999996</v>
      </c>
      <c r="Y8712" s="6">
        <v>6.61</v>
      </c>
      <c r="Z8712" s="6">
        <v>6.64</v>
      </c>
      <c r="AA8712" s="6">
        <v>12.06</v>
      </c>
      <c r="AB8712" s="7">
        <v>11.462</v>
      </c>
      <c r="AC8712" s="6">
        <v>40.36</v>
      </c>
    </row>
    <row r="8713" spans="1:29" ht="143" x14ac:dyDescent="0.15">
      <c r="A8713" s="3">
        <f>DATE(2007,7,5)</f>
        <v>39268</v>
      </c>
      <c r="B8713" s="3">
        <f>DATE(2007,10,22)</f>
        <v>39377</v>
      </c>
      <c r="C8713" s="2" t="s">
        <v>95</v>
      </c>
      <c r="D8713" s="2" t="s">
        <v>25006</v>
      </c>
      <c r="E8713" s="2" t="s">
        <v>25007</v>
      </c>
      <c r="F8713" s="4">
        <v>5812</v>
      </c>
      <c r="G8713" s="2" t="s">
        <v>230</v>
      </c>
      <c r="H8713" s="2" t="s">
        <v>34</v>
      </c>
      <c r="I8713" s="2" t="s">
        <v>23605</v>
      </c>
      <c r="J8713" s="2" t="s">
        <v>4601</v>
      </c>
      <c r="K8713" s="2" t="s">
        <v>230</v>
      </c>
      <c r="L8713" s="2" t="s">
        <v>34</v>
      </c>
      <c r="M8713" s="2"/>
      <c r="N8713" s="2"/>
      <c r="O8713" s="2"/>
      <c r="P8713" s="2" t="s">
        <v>25831</v>
      </c>
      <c r="Q8713" s="6">
        <v>100</v>
      </c>
      <c r="R8713" s="6">
        <v>5.6</v>
      </c>
      <c r="S8713" s="5">
        <v>-7.9</v>
      </c>
      <c r="T8713" s="7">
        <v>11.641999999999999</v>
      </c>
      <c r="U8713" s="5">
        <v>5.3</v>
      </c>
      <c r="V8713" s="6">
        <v>-0.56999999999999995</v>
      </c>
      <c r="W8713" s="6">
        <v>6.55</v>
      </c>
      <c r="X8713" s="5">
        <v>6.8</v>
      </c>
      <c r="Y8713" s="6">
        <v>6.43</v>
      </c>
      <c r="Z8713" s="6">
        <v>6.43</v>
      </c>
      <c r="AA8713" s="6">
        <v>13.09</v>
      </c>
      <c r="AB8713" s="7">
        <v>71.653000000000006</v>
      </c>
      <c r="AC8713" s="2"/>
    </row>
    <row r="8714" spans="1:29" ht="52" x14ac:dyDescent="0.15">
      <c r="A8714" s="3">
        <f>DATE(2007,7,5)</f>
        <v>39268</v>
      </c>
      <c r="B8714" s="2"/>
      <c r="C8714" s="2" t="s">
        <v>87</v>
      </c>
      <c r="D8714" s="2" t="s">
        <v>18729</v>
      </c>
      <c r="E8714" s="2" t="s">
        <v>18730</v>
      </c>
      <c r="F8714" s="4">
        <v>8071</v>
      </c>
      <c r="G8714" s="2" t="s">
        <v>454</v>
      </c>
      <c r="H8714" s="2" t="s">
        <v>34</v>
      </c>
      <c r="I8714" s="2" t="s">
        <v>143</v>
      </c>
      <c r="J8714" s="2" t="s">
        <v>144</v>
      </c>
      <c r="K8714" s="2" t="s">
        <v>53</v>
      </c>
      <c r="L8714" s="2" t="s">
        <v>139</v>
      </c>
      <c r="M8714" s="2"/>
      <c r="N8714" s="2"/>
      <c r="O8714" s="2"/>
      <c r="P8714" s="2" t="s">
        <v>25832</v>
      </c>
      <c r="Q8714" s="2"/>
      <c r="R8714" s="2"/>
      <c r="S8714" s="5">
        <v>557</v>
      </c>
      <c r="T8714" s="12">
        <v>1290.9010000000001</v>
      </c>
      <c r="U8714" s="5">
        <v>16.5</v>
      </c>
      <c r="V8714" s="6">
        <v>3.04</v>
      </c>
      <c r="W8714" s="6">
        <v>52.12</v>
      </c>
      <c r="X8714" s="6">
        <v>51.57</v>
      </c>
      <c r="Y8714" s="4">
        <v>55</v>
      </c>
      <c r="Z8714" s="6">
        <v>56.06</v>
      </c>
      <c r="AA8714" s="6">
        <v>192.69</v>
      </c>
      <c r="AB8714" s="2" t="s">
        <v>47</v>
      </c>
      <c r="AC8714" s="2"/>
    </row>
    <row r="8715" spans="1:29" ht="91" x14ac:dyDescent="0.15">
      <c r="A8715" s="3">
        <f>DATE(2007,7,5)</f>
        <v>39268</v>
      </c>
      <c r="B8715" s="3">
        <f>DATE(2007,10,25)</f>
        <v>39380</v>
      </c>
      <c r="C8715" s="2" t="s">
        <v>95</v>
      </c>
      <c r="D8715" s="2" t="s">
        <v>11640</v>
      </c>
      <c r="E8715" s="2" t="s">
        <v>11641</v>
      </c>
      <c r="F8715" s="4">
        <v>3161</v>
      </c>
      <c r="G8715" s="2" t="s">
        <v>326</v>
      </c>
      <c r="H8715" s="2" t="s">
        <v>34</v>
      </c>
      <c r="I8715" s="2" t="s">
        <v>25833</v>
      </c>
      <c r="J8715" s="2" t="s">
        <v>244</v>
      </c>
      <c r="K8715" s="2" t="s">
        <v>53</v>
      </c>
      <c r="L8715" s="2" t="s">
        <v>303</v>
      </c>
      <c r="M8715" s="2"/>
      <c r="N8715" s="2"/>
      <c r="O8715" s="2"/>
      <c r="P8715" s="2" t="s">
        <v>25834</v>
      </c>
      <c r="Q8715" s="6">
        <v>100</v>
      </c>
      <c r="R8715" s="6">
        <v>1.49</v>
      </c>
      <c r="S8715" s="5">
        <v>-14.7</v>
      </c>
      <c r="T8715" s="7">
        <v>107.57299999999999</v>
      </c>
      <c r="U8715" s="5">
        <v>-0.3</v>
      </c>
      <c r="V8715" s="6">
        <v>-0.56000000000000005</v>
      </c>
      <c r="W8715" s="6">
        <v>1.28</v>
      </c>
      <c r="X8715" s="6">
        <v>1.33</v>
      </c>
      <c r="Y8715" s="6">
        <v>1.44</v>
      </c>
      <c r="Z8715" s="6">
        <v>1.44</v>
      </c>
      <c r="AA8715" s="6">
        <v>742.08</v>
      </c>
      <c r="AB8715" s="7">
        <v>17.777999999999999</v>
      </c>
      <c r="AC8715" s="2"/>
    </row>
    <row r="8716" spans="1:29" ht="91" x14ac:dyDescent="0.15">
      <c r="A8716" s="3">
        <f>DATE(2007,7,9)</f>
        <v>39272</v>
      </c>
      <c r="B8716" s="3">
        <f>DATE(2008,1,2)</f>
        <v>39449</v>
      </c>
      <c r="C8716" s="2" t="s">
        <v>95</v>
      </c>
      <c r="D8716" s="2" t="s">
        <v>16761</v>
      </c>
      <c r="E8716" s="2" t="s">
        <v>159</v>
      </c>
      <c r="F8716" s="4">
        <v>6712</v>
      </c>
      <c r="G8716" s="2" t="s">
        <v>37</v>
      </c>
      <c r="H8716" s="2" t="s">
        <v>34</v>
      </c>
      <c r="I8716" s="2" t="s">
        <v>18753</v>
      </c>
      <c r="J8716" s="2" t="s">
        <v>36</v>
      </c>
      <c r="K8716" s="2" t="s">
        <v>37</v>
      </c>
      <c r="L8716" s="2" t="s">
        <v>34</v>
      </c>
      <c r="M8716" s="12">
        <v>12514.856</v>
      </c>
      <c r="N8716" s="6">
        <v>46.77</v>
      </c>
      <c r="O8716" s="6">
        <v>45.84</v>
      </c>
      <c r="P8716" s="2" t="s">
        <v>25835</v>
      </c>
      <c r="Q8716" s="6">
        <v>100</v>
      </c>
      <c r="R8716" s="6">
        <v>32</v>
      </c>
      <c r="S8716" s="5">
        <v>22.6</v>
      </c>
      <c r="T8716" s="2"/>
      <c r="U8716" s="5">
        <v>10.8</v>
      </c>
      <c r="V8716" s="6">
        <v>0.97</v>
      </c>
      <c r="W8716" s="6">
        <v>22.02</v>
      </c>
      <c r="X8716" s="6">
        <v>22.05</v>
      </c>
      <c r="Y8716" s="6">
        <v>31.27</v>
      </c>
      <c r="Z8716" s="6">
        <v>31.34</v>
      </c>
      <c r="AA8716" s="6">
        <v>16.52</v>
      </c>
      <c r="AB8716" s="7">
        <v>25.321000000000002</v>
      </c>
      <c r="AC8716" s="2"/>
    </row>
    <row r="8717" spans="1:29" ht="104" x14ac:dyDescent="0.15">
      <c r="A8717" s="3">
        <f>DATE(2007,7,9)</f>
        <v>39272</v>
      </c>
      <c r="B8717" s="3">
        <f>DATE(2007,12,3)</f>
        <v>39419</v>
      </c>
      <c r="C8717" s="2" t="s">
        <v>95</v>
      </c>
      <c r="D8717" s="2" t="s">
        <v>7143</v>
      </c>
      <c r="E8717" s="2" t="s">
        <v>7144</v>
      </c>
      <c r="F8717" s="4">
        <v>3724</v>
      </c>
      <c r="G8717" s="2" t="s">
        <v>219</v>
      </c>
      <c r="H8717" s="2" t="s">
        <v>34</v>
      </c>
      <c r="I8717" s="2" t="s">
        <v>243</v>
      </c>
      <c r="J8717" s="2" t="s">
        <v>244</v>
      </c>
      <c r="K8717" s="2" t="s">
        <v>53</v>
      </c>
      <c r="L8717" s="2" t="s">
        <v>34</v>
      </c>
      <c r="M8717" s="2"/>
      <c r="N8717" s="2"/>
      <c r="O8717" s="2"/>
      <c r="P8717" s="2" t="s">
        <v>25836</v>
      </c>
      <c r="Q8717" s="6">
        <v>100</v>
      </c>
      <c r="R8717" s="6">
        <v>175</v>
      </c>
      <c r="S8717" s="5">
        <v>60.7</v>
      </c>
      <c r="T8717" s="6">
        <v>218.61</v>
      </c>
      <c r="U8717" s="5">
        <v>63.9</v>
      </c>
      <c r="V8717" s="6">
        <v>5.64</v>
      </c>
      <c r="W8717" s="6">
        <v>113.41</v>
      </c>
      <c r="X8717" s="6">
        <v>113.52</v>
      </c>
      <c r="Y8717" s="6">
        <v>173.24</v>
      </c>
      <c r="Z8717" s="6">
        <v>172.25</v>
      </c>
      <c r="AA8717" s="6">
        <v>11.39</v>
      </c>
      <c r="AB8717" s="7">
        <v>20.571000000000002</v>
      </c>
      <c r="AC8717" s="2"/>
    </row>
    <row r="8718" spans="1:29" ht="117" x14ac:dyDescent="0.15">
      <c r="A8718" s="3">
        <f>DATE(2007,7,10)</f>
        <v>39273</v>
      </c>
      <c r="B8718" s="3">
        <f>DATE(2007,9,14)</f>
        <v>39339</v>
      </c>
      <c r="C8718" s="2" t="s">
        <v>95</v>
      </c>
      <c r="D8718" s="2" t="s">
        <v>9778</v>
      </c>
      <c r="E8718" s="2" t="s">
        <v>9503</v>
      </c>
      <c r="F8718" s="4">
        <v>3312</v>
      </c>
      <c r="G8718" s="2" t="s">
        <v>163</v>
      </c>
      <c r="H8718" s="2" t="s">
        <v>34</v>
      </c>
      <c r="I8718" s="2" t="s">
        <v>25837</v>
      </c>
      <c r="J8718" s="2" t="s">
        <v>19655</v>
      </c>
      <c r="K8718" s="2" t="s">
        <v>163</v>
      </c>
      <c r="L8718" s="2" t="s">
        <v>902</v>
      </c>
      <c r="M8718" s="10">
        <v>4620.82</v>
      </c>
      <c r="N8718" s="7">
        <v>15.622</v>
      </c>
      <c r="O8718" s="7">
        <v>14.484</v>
      </c>
      <c r="P8718" s="2" t="s">
        <v>25838</v>
      </c>
      <c r="Q8718" s="6">
        <v>100</v>
      </c>
      <c r="R8718" s="6">
        <v>86</v>
      </c>
      <c r="S8718" s="5">
        <v>269.3</v>
      </c>
      <c r="T8718" s="6">
        <v>466.42</v>
      </c>
      <c r="U8718" s="5">
        <v>19.8</v>
      </c>
      <c r="V8718" s="6">
        <v>5.57</v>
      </c>
      <c r="W8718" s="6">
        <v>73.010000000000005</v>
      </c>
      <c r="X8718" s="6">
        <v>74.510000000000005</v>
      </c>
      <c r="Y8718" s="2"/>
      <c r="Z8718" s="2"/>
      <c r="AA8718" s="6">
        <v>46.82</v>
      </c>
      <c r="AB8718" s="7">
        <v>9.5619999999999994</v>
      </c>
      <c r="AC8718" s="6">
        <v>259.27999999999997</v>
      </c>
    </row>
    <row r="8719" spans="1:29" ht="104" x14ac:dyDescent="0.15">
      <c r="A8719" s="3">
        <f>DATE(2007,7,10)</f>
        <v>39273</v>
      </c>
      <c r="B8719" s="3">
        <f>DATE(2008,3,3)</f>
        <v>39510</v>
      </c>
      <c r="C8719" s="2" t="s">
        <v>95</v>
      </c>
      <c r="D8719" s="2" t="s">
        <v>20060</v>
      </c>
      <c r="E8719" s="2" t="s">
        <v>159</v>
      </c>
      <c r="F8719" s="4">
        <v>6712</v>
      </c>
      <c r="G8719" s="2" t="s">
        <v>37</v>
      </c>
      <c r="H8719" s="2" t="s">
        <v>34</v>
      </c>
      <c r="I8719" s="2" t="s">
        <v>25839</v>
      </c>
      <c r="J8719" s="2" t="s">
        <v>25840</v>
      </c>
      <c r="K8719" s="2" t="s">
        <v>53</v>
      </c>
      <c r="L8719" s="2" t="s">
        <v>34</v>
      </c>
      <c r="M8719" s="2"/>
      <c r="N8719" s="2"/>
      <c r="O8719" s="2"/>
      <c r="P8719" s="2" t="s">
        <v>25841</v>
      </c>
      <c r="Q8719" s="6">
        <v>100</v>
      </c>
      <c r="R8719" s="6">
        <v>37.299999999999997</v>
      </c>
      <c r="S8719" s="5">
        <v>3.3</v>
      </c>
      <c r="T8719" s="7">
        <v>7.0430000000000001</v>
      </c>
      <c r="U8719" s="5">
        <v>25.5</v>
      </c>
      <c r="V8719" s="6">
        <v>0.89</v>
      </c>
      <c r="W8719" s="6">
        <v>27.75</v>
      </c>
      <c r="X8719" s="4">
        <v>28</v>
      </c>
      <c r="Y8719" s="6">
        <v>36.049999999999997</v>
      </c>
      <c r="Z8719" s="5">
        <v>36.1</v>
      </c>
      <c r="AA8719" s="6">
        <v>3.66</v>
      </c>
      <c r="AB8719" s="7">
        <v>81.108999999999995</v>
      </c>
      <c r="AC8719" s="2"/>
    </row>
    <row r="8720" spans="1:29" ht="52" x14ac:dyDescent="0.15">
      <c r="A8720" s="3">
        <f>DATE(2007,7,10)</f>
        <v>39273</v>
      </c>
      <c r="B8720" s="2"/>
      <c r="C8720" s="2" t="s">
        <v>39</v>
      </c>
      <c r="D8720" s="2" t="s">
        <v>14230</v>
      </c>
      <c r="E8720" s="2" t="s">
        <v>23280</v>
      </c>
      <c r="F8720" s="4">
        <v>4813</v>
      </c>
      <c r="G8720" s="2" t="s">
        <v>63</v>
      </c>
      <c r="H8720" s="2" t="s">
        <v>34</v>
      </c>
      <c r="I8720" s="2" t="s">
        <v>25842</v>
      </c>
      <c r="J8720" s="2" t="s">
        <v>14906</v>
      </c>
      <c r="K8720" s="2" t="s">
        <v>63</v>
      </c>
      <c r="L8720" s="2" t="s">
        <v>1502</v>
      </c>
      <c r="M8720" s="2"/>
      <c r="N8720" s="6">
        <v>229.11</v>
      </c>
      <c r="O8720" s="7">
        <v>230.74700000000001</v>
      </c>
      <c r="P8720" s="2" t="s">
        <v>25843</v>
      </c>
      <c r="Q8720" s="2"/>
      <c r="R8720" s="2"/>
      <c r="S8720" s="5">
        <v>348</v>
      </c>
      <c r="T8720" s="8">
        <v>11920</v>
      </c>
      <c r="U8720" s="5">
        <v>18.100000000000001</v>
      </c>
      <c r="V8720" s="6">
        <v>0.12</v>
      </c>
      <c r="W8720" s="6">
        <v>21.74</v>
      </c>
      <c r="X8720" s="6">
        <v>21.48</v>
      </c>
      <c r="Y8720" s="5">
        <v>21.4</v>
      </c>
      <c r="Z8720" s="6">
        <v>21.99</v>
      </c>
      <c r="AA8720" s="10">
        <v>2893.63</v>
      </c>
      <c r="AB8720" s="2" t="s">
        <v>47</v>
      </c>
      <c r="AC8720" s="10">
        <v>1381.6</v>
      </c>
    </row>
    <row r="8721" spans="1:29" ht="143" x14ac:dyDescent="0.15">
      <c r="A8721" s="3">
        <f>DATE(2007,7,11)</f>
        <v>39274</v>
      </c>
      <c r="B8721" s="3">
        <f>DATE(2007,8,29)</f>
        <v>39323</v>
      </c>
      <c r="C8721" s="2" t="s">
        <v>95</v>
      </c>
      <c r="D8721" s="2" t="s">
        <v>25844</v>
      </c>
      <c r="E8721" s="2" t="s">
        <v>25845</v>
      </c>
      <c r="F8721" s="4">
        <v>7372</v>
      </c>
      <c r="G8721" s="2" t="s">
        <v>551</v>
      </c>
      <c r="H8721" s="2" t="s">
        <v>34</v>
      </c>
      <c r="I8721" s="2" t="s">
        <v>25846</v>
      </c>
      <c r="J8721" s="2" t="s">
        <v>9761</v>
      </c>
      <c r="K8721" s="2" t="s">
        <v>223</v>
      </c>
      <c r="L8721" s="2" t="s">
        <v>17048</v>
      </c>
      <c r="M8721" s="2"/>
      <c r="N8721" s="2"/>
      <c r="O8721" s="2"/>
      <c r="P8721" s="2" t="s">
        <v>25847</v>
      </c>
      <c r="Q8721" s="6">
        <v>100</v>
      </c>
      <c r="R8721" s="6">
        <v>3.6</v>
      </c>
      <c r="S8721" s="5">
        <v>-12.5</v>
      </c>
      <c r="T8721" s="2"/>
      <c r="U8721" s="2"/>
      <c r="V8721" s="6">
        <v>-0.72</v>
      </c>
      <c r="W8721" s="6">
        <v>1.75</v>
      </c>
      <c r="X8721" s="6">
        <v>1.99</v>
      </c>
      <c r="Y8721" s="2"/>
      <c r="Z8721" s="2"/>
      <c r="AA8721" s="6">
        <v>17.91</v>
      </c>
      <c r="AB8721" s="2" t="s">
        <v>86</v>
      </c>
      <c r="AC8721" s="2"/>
    </row>
    <row r="8722" spans="1:29" ht="104" x14ac:dyDescent="0.15">
      <c r="A8722" s="3">
        <f>DATE(2007,7,11)</f>
        <v>39274</v>
      </c>
      <c r="B8722" s="3">
        <f>DATE(2007,9,24)</f>
        <v>39349</v>
      </c>
      <c r="C8722" s="2" t="s">
        <v>95</v>
      </c>
      <c r="D8722" s="2" t="s">
        <v>1215</v>
      </c>
      <c r="E8722" s="2" t="s">
        <v>1216</v>
      </c>
      <c r="F8722" s="4">
        <v>3821</v>
      </c>
      <c r="G8722" s="2" t="s">
        <v>226</v>
      </c>
      <c r="H8722" s="2" t="s">
        <v>34</v>
      </c>
      <c r="I8722" s="2" t="s">
        <v>25848</v>
      </c>
      <c r="J8722" s="2" t="s">
        <v>25849</v>
      </c>
      <c r="K8722" s="2" t="s">
        <v>226</v>
      </c>
      <c r="L8722" s="2" t="s">
        <v>1049</v>
      </c>
      <c r="M8722" s="2"/>
      <c r="N8722" s="2"/>
      <c r="O8722" s="2"/>
      <c r="P8722" s="2" t="s">
        <v>25850</v>
      </c>
      <c r="Q8722" s="6">
        <v>100</v>
      </c>
      <c r="R8722" s="6">
        <v>11.5</v>
      </c>
      <c r="S8722" s="5">
        <v>3.2</v>
      </c>
      <c r="T8722" s="7">
        <v>6.085</v>
      </c>
      <c r="U8722" s="5">
        <v>5.0999999999999996</v>
      </c>
      <c r="V8722" s="6">
        <v>0.35</v>
      </c>
      <c r="W8722" s="5">
        <v>8.1999999999999993</v>
      </c>
      <c r="X8722" s="6">
        <v>8.0299999999999994</v>
      </c>
      <c r="Y8722" s="6">
        <v>11.16</v>
      </c>
      <c r="Z8722" s="6">
        <v>11.19</v>
      </c>
      <c r="AA8722" s="6">
        <v>9.2200000000000006</v>
      </c>
      <c r="AB8722" s="7">
        <v>20.806000000000001</v>
      </c>
      <c r="AC8722" s="2"/>
    </row>
    <row r="8723" spans="1:29" ht="169" x14ac:dyDescent="0.15">
      <c r="A8723" s="3">
        <f>DATE(2007,7,12)</f>
        <v>39275</v>
      </c>
      <c r="B8723" s="3">
        <f>DATE(2007,9,25)</f>
        <v>39350</v>
      </c>
      <c r="C8723" s="2" t="s">
        <v>95</v>
      </c>
      <c r="D8723" s="2" t="s">
        <v>5019</v>
      </c>
      <c r="E8723" s="2" t="s">
        <v>5020</v>
      </c>
      <c r="F8723" s="4">
        <v>3842</v>
      </c>
      <c r="G8723" s="2" t="s">
        <v>226</v>
      </c>
      <c r="H8723" s="2" t="s">
        <v>34</v>
      </c>
      <c r="I8723" s="2" t="s">
        <v>24923</v>
      </c>
      <c r="J8723" s="2" t="s">
        <v>24924</v>
      </c>
      <c r="K8723" s="2" t="s">
        <v>226</v>
      </c>
      <c r="L8723" s="2" t="s">
        <v>34</v>
      </c>
      <c r="M8723" s="2"/>
      <c r="N8723" s="2"/>
      <c r="O8723" s="2"/>
      <c r="P8723" s="2" t="s">
        <v>25851</v>
      </c>
      <c r="Q8723" s="6">
        <v>19.96</v>
      </c>
      <c r="R8723" s="6">
        <v>46</v>
      </c>
      <c r="S8723" s="5">
        <v>392.9</v>
      </c>
      <c r="T8723" s="7">
        <v>677.71799999999996</v>
      </c>
      <c r="U8723" s="5">
        <v>8.1</v>
      </c>
      <c r="V8723" s="6">
        <v>1.6</v>
      </c>
      <c r="W8723" s="6">
        <v>45.81</v>
      </c>
      <c r="X8723" s="6">
        <v>45.79</v>
      </c>
      <c r="Y8723" s="5">
        <v>45.9</v>
      </c>
      <c r="Z8723" s="6">
        <v>45.62</v>
      </c>
      <c r="AA8723" s="6">
        <v>245.49</v>
      </c>
      <c r="AB8723" s="7">
        <v>19.422000000000001</v>
      </c>
      <c r="AC8723" s="2"/>
    </row>
    <row r="8724" spans="1:29" ht="143" x14ac:dyDescent="0.15">
      <c r="A8724" s="3">
        <f>DATE(2007,7,12)</f>
        <v>39275</v>
      </c>
      <c r="B8724" s="3">
        <f>DATE(2008,4,1)</f>
        <v>39539</v>
      </c>
      <c r="C8724" s="2" t="s">
        <v>95</v>
      </c>
      <c r="D8724" s="2" t="s">
        <v>25852</v>
      </c>
      <c r="E8724" s="2" t="s">
        <v>159</v>
      </c>
      <c r="F8724" s="4">
        <v>6021</v>
      </c>
      <c r="G8724" s="2" t="s">
        <v>37</v>
      </c>
      <c r="H8724" s="2" t="s">
        <v>34</v>
      </c>
      <c r="I8724" s="2" t="s">
        <v>639</v>
      </c>
      <c r="J8724" s="2" t="s">
        <v>36</v>
      </c>
      <c r="K8724" s="2" t="s">
        <v>37</v>
      </c>
      <c r="L8724" s="2" t="s">
        <v>34</v>
      </c>
      <c r="M8724" s="7">
        <v>270.05599999999998</v>
      </c>
      <c r="N8724" s="6">
        <v>18.28</v>
      </c>
      <c r="O8724" s="6">
        <v>17.84</v>
      </c>
      <c r="P8724" s="2" t="s">
        <v>25853</v>
      </c>
      <c r="Q8724" s="6">
        <v>100</v>
      </c>
      <c r="R8724" s="6">
        <v>20.67</v>
      </c>
      <c r="S8724" s="5">
        <v>1.5</v>
      </c>
      <c r="T8724" s="7">
        <v>2.8140000000000001</v>
      </c>
      <c r="U8724" s="5">
        <v>15.3</v>
      </c>
      <c r="V8724" s="6">
        <v>0.89</v>
      </c>
      <c r="W8724" s="6">
        <v>15.74</v>
      </c>
      <c r="X8724" s="6">
        <v>15.32</v>
      </c>
      <c r="Y8724" s="5">
        <v>15.5</v>
      </c>
      <c r="Z8724" s="6">
        <v>19.95</v>
      </c>
      <c r="AA8724" s="6">
        <v>1.79</v>
      </c>
      <c r="AB8724" s="7">
        <v>29.367999999999999</v>
      </c>
      <c r="AC8724" s="2"/>
    </row>
    <row r="8725" spans="1:29" ht="143" x14ac:dyDescent="0.15">
      <c r="A8725" s="3">
        <f>DATE(2007,7,12)</f>
        <v>39275</v>
      </c>
      <c r="B8725" s="3">
        <f>DATE(2007,10,1)</f>
        <v>39356</v>
      </c>
      <c r="C8725" s="2" t="s">
        <v>95</v>
      </c>
      <c r="D8725" s="2" t="s">
        <v>20436</v>
      </c>
      <c r="E8725" s="2" t="s">
        <v>20437</v>
      </c>
      <c r="F8725" s="4">
        <v>2676</v>
      </c>
      <c r="G8725" s="2" t="s">
        <v>282</v>
      </c>
      <c r="H8725" s="2" t="s">
        <v>34</v>
      </c>
      <c r="I8725" s="2" t="s">
        <v>25854</v>
      </c>
      <c r="J8725" s="2" t="s">
        <v>25855</v>
      </c>
      <c r="K8725" s="2" t="s">
        <v>137</v>
      </c>
      <c r="L8725" s="2" t="s">
        <v>34</v>
      </c>
      <c r="M8725" s="12">
        <v>5563.8440000000001</v>
      </c>
      <c r="N8725" s="6">
        <v>106.73</v>
      </c>
      <c r="O8725" s="6">
        <v>107.67</v>
      </c>
      <c r="P8725" s="2" t="s">
        <v>25856</v>
      </c>
      <c r="Q8725" s="6">
        <v>100</v>
      </c>
      <c r="R8725" s="6">
        <v>18.3</v>
      </c>
      <c r="S8725" s="5">
        <v>39</v>
      </c>
      <c r="T8725" s="7">
        <v>131.52199999999999</v>
      </c>
      <c r="U8725" s="5">
        <v>2.8</v>
      </c>
      <c r="V8725" s="6">
        <v>0.61</v>
      </c>
      <c r="W8725" s="6">
        <v>14.95</v>
      </c>
      <c r="X8725" s="6">
        <v>15.21</v>
      </c>
      <c r="Y8725" s="6">
        <v>15.52</v>
      </c>
      <c r="Z8725" s="6">
        <v>17.97</v>
      </c>
      <c r="AA8725" s="6">
        <v>63.46</v>
      </c>
      <c r="AB8725" s="7">
        <v>16.468</v>
      </c>
      <c r="AC8725" s="5">
        <v>340.3</v>
      </c>
    </row>
    <row r="8726" spans="1:29" ht="65" x14ac:dyDescent="0.15">
      <c r="A8726" s="3">
        <f>DATE(2007,7,15)</f>
        <v>39278</v>
      </c>
      <c r="B8726" s="2"/>
      <c r="C8726" s="2" t="s">
        <v>87</v>
      </c>
      <c r="D8726" s="2" t="s">
        <v>6320</v>
      </c>
      <c r="E8726" s="2" t="s">
        <v>6321</v>
      </c>
      <c r="F8726" s="4">
        <v>6798</v>
      </c>
      <c r="G8726" s="2" t="s">
        <v>53</v>
      </c>
      <c r="H8726" s="2" t="s">
        <v>34</v>
      </c>
      <c r="I8726" s="2" t="s">
        <v>8646</v>
      </c>
      <c r="J8726" s="2" t="s">
        <v>3941</v>
      </c>
      <c r="K8726" s="2" t="s">
        <v>53</v>
      </c>
      <c r="L8726" s="2" t="s">
        <v>34</v>
      </c>
      <c r="M8726" s="2"/>
      <c r="N8726" s="2"/>
      <c r="O8726" s="2"/>
      <c r="P8726" s="2" t="s">
        <v>25857</v>
      </c>
      <c r="Q8726" s="2"/>
      <c r="R8726" s="2"/>
      <c r="S8726" s="5">
        <v>9.6</v>
      </c>
      <c r="T8726" s="7">
        <v>53.582000000000001</v>
      </c>
      <c r="U8726" s="5">
        <v>6.7</v>
      </c>
      <c r="V8726" s="6">
        <v>0.48</v>
      </c>
      <c r="W8726" s="6">
        <v>14.01</v>
      </c>
      <c r="X8726" s="6">
        <v>13.69</v>
      </c>
      <c r="Y8726" s="6">
        <v>13.49</v>
      </c>
      <c r="Z8726" s="6">
        <v>13.49</v>
      </c>
      <c r="AA8726" s="6">
        <v>19.64</v>
      </c>
      <c r="AB8726" s="2" t="s">
        <v>47</v>
      </c>
      <c r="AC8726" s="2"/>
    </row>
    <row r="8727" spans="1:29" ht="117" x14ac:dyDescent="0.15">
      <c r="A8727" s="3">
        <f>DATE(2007,7,16)</f>
        <v>39279</v>
      </c>
      <c r="B8727" s="3">
        <f>DATE(2007,11,29)</f>
        <v>39415</v>
      </c>
      <c r="C8727" s="2" t="s">
        <v>95</v>
      </c>
      <c r="D8727" s="2" t="s">
        <v>793</v>
      </c>
      <c r="E8727" s="2" t="s">
        <v>794</v>
      </c>
      <c r="F8727" s="4">
        <v>6794</v>
      </c>
      <c r="G8727" s="2" t="s">
        <v>53</v>
      </c>
      <c r="H8727" s="2" t="s">
        <v>34</v>
      </c>
      <c r="I8727" s="2" t="s">
        <v>25858</v>
      </c>
      <c r="J8727" s="2" t="s">
        <v>794</v>
      </c>
      <c r="K8727" s="2" t="s">
        <v>230</v>
      </c>
      <c r="L8727" s="2" t="s">
        <v>34</v>
      </c>
      <c r="M8727" s="7">
        <v>984.96600000000001</v>
      </c>
      <c r="N8727" s="6">
        <v>61.24</v>
      </c>
      <c r="O8727" s="6">
        <v>62.47</v>
      </c>
      <c r="P8727" s="2" t="s">
        <v>25859</v>
      </c>
      <c r="Q8727" s="6">
        <v>100</v>
      </c>
      <c r="R8727" s="6">
        <v>25.5</v>
      </c>
      <c r="S8727" s="5">
        <v>67</v>
      </c>
      <c r="T8727" s="7">
        <v>165.72800000000001</v>
      </c>
      <c r="U8727" s="5">
        <v>7.1</v>
      </c>
      <c r="V8727" s="6">
        <v>1.08</v>
      </c>
      <c r="W8727" s="6">
        <v>24.55</v>
      </c>
      <c r="X8727" s="6">
        <v>24.23</v>
      </c>
      <c r="Y8727" s="6">
        <v>26.32</v>
      </c>
      <c r="Z8727" s="6">
        <v>26.84</v>
      </c>
      <c r="AA8727" s="6">
        <v>74.650000000000006</v>
      </c>
      <c r="AB8727" s="7">
        <v>21.245999999999999</v>
      </c>
      <c r="AC8727" s="6">
        <v>32.56</v>
      </c>
    </row>
    <row r="8728" spans="1:29" ht="117" x14ac:dyDescent="0.15">
      <c r="A8728" s="3">
        <f>DATE(2007,7,16)</f>
        <v>39279</v>
      </c>
      <c r="B8728" s="3">
        <f>DATE(2007,11,20)</f>
        <v>39406</v>
      </c>
      <c r="C8728" s="2" t="s">
        <v>95</v>
      </c>
      <c r="D8728" s="2" t="s">
        <v>25860</v>
      </c>
      <c r="E8728" s="2" t="s">
        <v>25861</v>
      </c>
      <c r="F8728" s="4">
        <v>3842</v>
      </c>
      <c r="G8728" s="2" t="s">
        <v>226</v>
      </c>
      <c r="H8728" s="2" t="s">
        <v>34</v>
      </c>
      <c r="I8728" s="2" t="s">
        <v>25594</v>
      </c>
      <c r="J8728" s="2" t="s">
        <v>23512</v>
      </c>
      <c r="K8728" s="2" t="s">
        <v>226</v>
      </c>
      <c r="L8728" s="2" t="s">
        <v>34</v>
      </c>
      <c r="M8728" s="2"/>
      <c r="N8728" s="2"/>
      <c r="O8728" s="2"/>
      <c r="P8728" s="2" t="s">
        <v>25862</v>
      </c>
      <c r="Q8728" s="6">
        <v>100</v>
      </c>
      <c r="R8728" s="6">
        <v>50.25</v>
      </c>
      <c r="S8728" s="5">
        <v>14.8</v>
      </c>
      <c r="T8728" s="7">
        <v>80.216999999999999</v>
      </c>
      <c r="U8728" s="5">
        <v>12.4</v>
      </c>
      <c r="V8728" s="6">
        <v>0.62</v>
      </c>
      <c r="W8728" s="5">
        <v>42.3</v>
      </c>
      <c r="X8728" s="5">
        <v>42.1</v>
      </c>
      <c r="Y8728" s="5">
        <v>50.1</v>
      </c>
      <c r="Z8728" s="6">
        <v>50.81</v>
      </c>
      <c r="AA8728" s="6">
        <v>23.56</v>
      </c>
      <c r="AB8728" s="7">
        <v>30.861999999999998</v>
      </c>
      <c r="AC8728" s="5">
        <v>23</v>
      </c>
    </row>
    <row r="8729" spans="1:29" ht="156" x14ac:dyDescent="0.15">
      <c r="A8729" s="3">
        <f>DATE(2007,7,17)</f>
        <v>39280</v>
      </c>
      <c r="B8729" s="3">
        <f>DATE(2008,4,15)</f>
        <v>39553</v>
      </c>
      <c r="C8729" s="2" t="s">
        <v>95</v>
      </c>
      <c r="D8729" s="2" t="s">
        <v>25863</v>
      </c>
      <c r="E8729" s="2" t="s">
        <v>5499</v>
      </c>
      <c r="F8729" s="4">
        <v>6331</v>
      </c>
      <c r="G8729" s="2" t="s">
        <v>125</v>
      </c>
      <c r="H8729" s="2" t="s">
        <v>34</v>
      </c>
      <c r="I8729" s="2" t="s">
        <v>51</v>
      </c>
      <c r="J8729" s="2" t="s">
        <v>52</v>
      </c>
      <c r="K8729" s="2" t="s">
        <v>53</v>
      </c>
      <c r="L8729" s="2" t="s">
        <v>34</v>
      </c>
      <c r="M8729" s="2"/>
      <c r="N8729" s="2"/>
      <c r="O8729" s="2"/>
      <c r="P8729" s="2" t="s">
        <v>25864</v>
      </c>
      <c r="Q8729" s="6">
        <v>47.35</v>
      </c>
      <c r="R8729" s="6">
        <v>22</v>
      </c>
      <c r="S8729" s="5">
        <v>107.7</v>
      </c>
      <c r="T8729" s="2"/>
      <c r="U8729" s="5">
        <v>10.7</v>
      </c>
      <c r="V8729" s="6">
        <v>1.32</v>
      </c>
      <c r="W8729" s="6">
        <v>15.18</v>
      </c>
      <c r="X8729" s="5">
        <v>15.2</v>
      </c>
      <c r="Y8729" s="5">
        <v>15.2</v>
      </c>
      <c r="Z8729" s="5">
        <v>18.399999999999999</v>
      </c>
      <c r="AA8729" s="6">
        <v>80.52</v>
      </c>
      <c r="AB8729" s="7">
        <v>14.657999999999999</v>
      </c>
      <c r="AC8729" s="2"/>
    </row>
    <row r="8730" spans="1:29" ht="91" x14ac:dyDescent="0.15">
      <c r="A8730" s="3">
        <f>DATE(2007,7,17)</f>
        <v>39280</v>
      </c>
      <c r="B8730" s="3">
        <f>DATE(2007,10,15)</f>
        <v>39370</v>
      </c>
      <c r="C8730" s="2" t="s">
        <v>95</v>
      </c>
      <c r="D8730" s="2" t="s">
        <v>25865</v>
      </c>
      <c r="E8730" s="2" t="s">
        <v>25866</v>
      </c>
      <c r="F8730" s="4">
        <v>5013</v>
      </c>
      <c r="G8730" s="2" t="s">
        <v>76</v>
      </c>
      <c r="H8730" s="2" t="s">
        <v>34</v>
      </c>
      <c r="I8730" s="2" t="s">
        <v>25867</v>
      </c>
      <c r="J8730" s="2" t="s">
        <v>25868</v>
      </c>
      <c r="K8730" s="2" t="s">
        <v>76</v>
      </c>
      <c r="L8730" s="2" t="s">
        <v>34</v>
      </c>
      <c r="M8730" s="12">
        <v>1295.9349999999999</v>
      </c>
      <c r="N8730" s="6">
        <v>29.09</v>
      </c>
      <c r="O8730" s="6">
        <v>28.59</v>
      </c>
      <c r="P8730" s="2" t="s">
        <v>25869</v>
      </c>
      <c r="Q8730" s="6">
        <v>100</v>
      </c>
      <c r="R8730" s="6">
        <v>48</v>
      </c>
      <c r="S8730" s="5">
        <v>31.6</v>
      </c>
      <c r="T8730" s="7">
        <v>59.945999999999998</v>
      </c>
      <c r="U8730" s="5">
        <v>16.399999999999999</v>
      </c>
      <c r="V8730" s="6">
        <v>1.91</v>
      </c>
      <c r="W8730" s="6">
        <v>41.94</v>
      </c>
      <c r="X8730" s="6">
        <v>43.61</v>
      </c>
      <c r="Y8730" s="5">
        <v>46.8</v>
      </c>
      <c r="Z8730" s="6">
        <v>47.03</v>
      </c>
      <c r="AA8730" s="6">
        <v>16.57</v>
      </c>
      <c r="AB8730" s="7">
        <v>15.853</v>
      </c>
      <c r="AC8730" s="6">
        <v>8.85</v>
      </c>
    </row>
    <row r="8731" spans="1:29" ht="117" x14ac:dyDescent="0.15">
      <c r="A8731" s="3">
        <f>DATE(2007,7,17)</f>
        <v>39280</v>
      </c>
      <c r="B8731" s="3">
        <f>DATE(2007,12,20)</f>
        <v>39436</v>
      </c>
      <c r="C8731" s="2" t="s">
        <v>95</v>
      </c>
      <c r="D8731" s="2" t="s">
        <v>21856</v>
      </c>
      <c r="E8731" s="2" t="s">
        <v>21857</v>
      </c>
      <c r="F8731" s="4">
        <v>2869</v>
      </c>
      <c r="G8731" s="2" t="s">
        <v>98</v>
      </c>
      <c r="H8731" s="2" t="s">
        <v>34</v>
      </c>
      <c r="I8731" s="2" t="s">
        <v>25755</v>
      </c>
      <c r="J8731" s="2" t="s">
        <v>25756</v>
      </c>
      <c r="K8731" s="2" t="s">
        <v>98</v>
      </c>
      <c r="L8731" s="2" t="s">
        <v>2105</v>
      </c>
      <c r="M8731" s="2"/>
      <c r="N8731" s="2"/>
      <c r="O8731" s="2"/>
      <c r="P8731" s="2" t="s">
        <v>25870</v>
      </c>
      <c r="Q8731" s="6">
        <v>100</v>
      </c>
      <c r="R8731" s="6">
        <v>48</v>
      </c>
      <c r="S8731" s="5">
        <v>13</v>
      </c>
      <c r="T8731" s="8">
        <v>2749</v>
      </c>
      <c r="U8731" s="5">
        <v>13.2</v>
      </c>
      <c r="V8731" s="6">
        <v>0.03</v>
      </c>
      <c r="W8731" s="5">
        <v>38.200000000000003</v>
      </c>
      <c r="X8731" s="6">
        <v>40.119999999999997</v>
      </c>
      <c r="Y8731" s="6">
        <v>47.05</v>
      </c>
      <c r="Z8731" s="5">
        <v>47.1</v>
      </c>
      <c r="AA8731" s="6">
        <v>252.89</v>
      </c>
      <c r="AB8731" s="7">
        <v>10.065</v>
      </c>
      <c r="AC8731" s="6">
        <v>188.27</v>
      </c>
    </row>
    <row r="8732" spans="1:29" ht="221" x14ac:dyDescent="0.15">
      <c r="A8732" s="3">
        <f>DATE(2007,7,17)</f>
        <v>39280</v>
      </c>
      <c r="B8732" s="3">
        <f>DATE(2007,8,23)</f>
        <v>39317</v>
      </c>
      <c r="C8732" s="2" t="s">
        <v>95</v>
      </c>
      <c r="D8732" s="2" t="s">
        <v>7196</v>
      </c>
      <c r="E8732" s="2" t="s">
        <v>1604</v>
      </c>
      <c r="F8732" s="4">
        <v>4812</v>
      </c>
      <c r="G8732" s="2" t="s">
        <v>63</v>
      </c>
      <c r="H8732" s="2" t="s">
        <v>34</v>
      </c>
      <c r="I8732" s="2" t="s">
        <v>25871</v>
      </c>
      <c r="J8732" s="2" t="s">
        <v>25872</v>
      </c>
      <c r="K8732" s="2" t="s">
        <v>45</v>
      </c>
      <c r="L8732" s="2" t="s">
        <v>25873</v>
      </c>
      <c r="M8732" s="2"/>
      <c r="N8732" s="2"/>
      <c r="O8732" s="2"/>
      <c r="P8732" s="2" t="s">
        <v>25874</v>
      </c>
      <c r="Q8732" s="6">
        <v>100</v>
      </c>
      <c r="R8732" s="6">
        <v>1.8</v>
      </c>
      <c r="S8732" s="5">
        <v>-24.6</v>
      </c>
      <c r="T8732" s="7">
        <v>8.6080000000000005</v>
      </c>
      <c r="U8732" s="5">
        <v>-3.1</v>
      </c>
      <c r="V8732" s="6">
        <v>-0.46</v>
      </c>
      <c r="W8732" s="6">
        <v>1.34</v>
      </c>
      <c r="X8732" s="6">
        <v>1.39</v>
      </c>
      <c r="Y8732" s="6">
        <v>1.69</v>
      </c>
      <c r="Z8732" s="6">
        <v>1.74</v>
      </c>
      <c r="AA8732" s="6">
        <v>103.14</v>
      </c>
      <c r="AB8732" s="2" t="s">
        <v>86</v>
      </c>
      <c r="AC8732" s="2"/>
    </row>
    <row r="8733" spans="1:29" ht="195" x14ac:dyDescent="0.15">
      <c r="A8733" s="3">
        <f>DATE(2007,7,17)</f>
        <v>39280</v>
      </c>
      <c r="B8733" s="3">
        <f>DATE(2007,11,6)</f>
        <v>39392</v>
      </c>
      <c r="C8733" s="2" t="s">
        <v>95</v>
      </c>
      <c r="D8733" s="2" t="s">
        <v>12225</v>
      </c>
      <c r="E8733" s="2" t="s">
        <v>12226</v>
      </c>
      <c r="F8733" s="4">
        <v>1311</v>
      </c>
      <c r="G8733" s="2" t="s">
        <v>148</v>
      </c>
      <c r="H8733" s="2" t="s">
        <v>34</v>
      </c>
      <c r="I8733" s="2" t="s">
        <v>20625</v>
      </c>
      <c r="J8733" s="2" t="s">
        <v>1608</v>
      </c>
      <c r="K8733" s="2" t="s">
        <v>148</v>
      </c>
      <c r="L8733" s="2" t="s">
        <v>34</v>
      </c>
      <c r="M8733" s="12">
        <v>3681.078</v>
      </c>
      <c r="N8733" s="6">
        <v>47.88</v>
      </c>
      <c r="O8733" s="6">
        <v>49.46</v>
      </c>
      <c r="P8733" s="2" t="s">
        <v>25875</v>
      </c>
      <c r="Q8733" s="6">
        <v>100</v>
      </c>
      <c r="R8733" s="6">
        <v>59.79</v>
      </c>
      <c r="S8733" s="5">
        <v>-49.2</v>
      </c>
      <c r="T8733" s="5">
        <v>575</v>
      </c>
      <c r="U8733" s="5">
        <v>45.9</v>
      </c>
      <c r="V8733" s="6">
        <v>1.33</v>
      </c>
      <c r="W8733" s="6">
        <v>50.66</v>
      </c>
      <c r="X8733" s="6">
        <v>50.48</v>
      </c>
      <c r="Y8733" s="5">
        <v>57.5</v>
      </c>
      <c r="Z8733" s="6">
        <v>58.19</v>
      </c>
      <c r="AA8733" s="6">
        <v>58.49</v>
      </c>
      <c r="AB8733" s="7">
        <v>35.847000000000001</v>
      </c>
      <c r="AC8733" s="6">
        <v>10.79</v>
      </c>
    </row>
    <row r="8734" spans="1:29" ht="130" x14ac:dyDescent="0.15">
      <c r="A8734" s="3">
        <f>DATE(2007,7,19)</f>
        <v>39282</v>
      </c>
      <c r="B8734" s="3">
        <f>DATE(2007,12,3)</f>
        <v>39419</v>
      </c>
      <c r="C8734" s="2" t="s">
        <v>95</v>
      </c>
      <c r="D8734" s="2" t="s">
        <v>20235</v>
      </c>
      <c r="E8734" s="2" t="s">
        <v>8690</v>
      </c>
      <c r="F8734" s="4">
        <v>6021</v>
      </c>
      <c r="G8734" s="2" t="s">
        <v>37</v>
      </c>
      <c r="H8734" s="2" t="s">
        <v>34</v>
      </c>
      <c r="I8734" s="2" t="s">
        <v>16904</v>
      </c>
      <c r="J8734" s="2" t="s">
        <v>36</v>
      </c>
      <c r="K8734" s="2" t="s">
        <v>37</v>
      </c>
      <c r="L8734" s="2" t="s">
        <v>34</v>
      </c>
      <c r="M8734" s="12">
        <v>11746.192999999999</v>
      </c>
      <c r="N8734" s="6">
        <v>110.74</v>
      </c>
      <c r="O8734" s="6">
        <v>108.71</v>
      </c>
      <c r="P8734" s="2" t="s">
        <v>25876</v>
      </c>
      <c r="Q8734" s="6">
        <v>100</v>
      </c>
      <c r="R8734" s="6">
        <v>12.5</v>
      </c>
      <c r="S8734" s="5">
        <v>22.1</v>
      </c>
      <c r="T8734" s="7">
        <v>37.856999999999999</v>
      </c>
      <c r="U8734" s="5">
        <v>11.3</v>
      </c>
      <c r="V8734" s="6">
        <v>0.52</v>
      </c>
      <c r="W8734" s="6">
        <v>10.27</v>
      </c>
      <c r="X8734" s="6">
        <v>10.01</v>
      </c>
      <c r="Y8734" s="6">
        <v>12.02</v>
      </c>
      <c r="Z8734" s="6">
        <v>11.98</v>
      </c>
      <c r="AA8734" s="6">
        <v>43.59</v>
      </c>
      <c r="AB8734" s="7">
        <v>50.56</v>
      </c>
      <c r="AC8734" s="2"/>
    </row>
    <row r="8735" spans="1:29" ht="182" x14ac:dyDescent="0.15">
      <c r="A8735" s="3">
        <f>DATE(2007,7,19)</f>
        <v>39282</v>
      </c>
      <c r="B8735" s="3">
        <f>DATE(2008,4,4)</f>
        <v>39542</v>
      </c>
      <c r="C8735" s="2" t="s">
        <v>95</v>
      </c>
      <c r="D8735" s="2" t="s">
        <v>11988</v>
      </c>
      <c r="E8735" s="2" t="s">
        <v>159</v>
      </c>
      <c r="F8735" s="4">
        <v>6712</v>
      </c>
      <c r="G8735" s="2" t="s">
        <v>37</v>
      </c>
      <c r="H8735" s="2" t="s">
        <v>34</v>
      </c>
      <c r="I8735" s="2" t="s">
        <v>21185</v>
      </c>
      <c r="J8735" s="2" t="s">
        <v>36</v>
      </c>
      <c r="K8735" s="2" t="s">
        <v>37</v>
      </c>
      <c r="L8735" s="2" t="s">
        <v>34</v>
      </c>
      <c r="M8735" s="12">
        <v>25213.583999999999</v>
      </c>
      <c r="N8735" s="6">
        <v>71.37</v>
      </c>
      <c r="O8735" s="5">
        <v>71.3</v>
      </c>
      <c r="P8735" s="2" t="s">
        <v>25877</v>
      </c>
      <c r="Q8735" s="6">
        <v>100</v>
      </c>
      <c r="R8735" s="6">
        <v>18.899999999999999</v>
      </c>
      <c r="S8735" s="5">
        <v>36.5</v>
      </c>
      <c r="T8735" s="7">
        <v>91.290999999999997</v>
      </c>
      <c r="U8735" s="5">
        <v>11.1</v>
      </c>
      <c r="V8735" s="6">
        <v>1.41</v>
      </c>
      <c r="W8735" s="6">
        <v>11.04</v>
      </c>
      <c r="X8735" s="6">
        <v>10.55</v>
      </c>
      <c r="Y8735" s="5">
        <v>17.7</v>
      </c>
      <c r="Z8735" s="6">
        <v>17.64</v>
      </c>
      <c r="AA8735" s="6">
        <v>29.73</v>
      </c>
      <c r="AB8735" s="7">
        <v>14.215</v>
      </c>
      <c r="AC8735" s="2"/>
    </row>
    <row r="8736" spans="1:29" ht="117" x14ac:dyDescent="0.15">
      <c r="A8736" s="3">
        <f>DATE(2007,7,19)</f>
        <v>39282</v>
      </c>
      <c r="B8736" s="3">
        <f>DATE(2007,10,31)</f>
        <v>39386</v>
      </c>
      <c r="C8736" s="2" t="s">
        <v>95</v>
      </c>
      <c r="D8736" s="2" t="s">
        <v>25878</v>
      </c>
      <c r="E8736" s="2" t="s">
        <v>25879</v>
      </c>
      <c r="F8736" s="4">
        <v>6519</v>
      </c>
      <c r="G8736" s="2" t="s">
        <v>109</v>
      </c>
      <c r="H8736" s="2" t="s">
        <v>34</v>
      </c>
      <c r="I8736" s="2" t="s">
        <v>25880</v>
      </c>
      <c r="J8736" s="2" t="s">
        <v>25881</v>
      </c>
      <c r="K8736" s="2" t="s">
        <v>163</v>
      </c>
      <c r="L8736" s="2" t="s">
        <v>133</v>
      </c>
      <c r="M8736" s="2"/>
      <c r="N8736" s="2"/>
      <c r="O8736" s="2"/>
      <c r="P8736" s="2" t="s">
        <v>25882</v>
      </c>
      <c r="Q8736" s="6">
        <v>100</v>
      </c>
      <c r="R8736" s="6">
        <v>28.25</v>
      </c>
      <c r="S8736" s="5">
        <v>52.2</v>
      </c>
      <c r="T8736" s="7">
        <v>166.678</v>
      </c>
      <c r="U8736" s="5">
        <v>9.5</v>
      </c>
      <c r="V8736" s="6">
        <v>1.19</v>
      </c>
      <c r="W8736" s="6">
        <v>23.42</v>
      </c>
      <c r="X8736" s="6">
        <v>23.36</v>
      </c>
      <c r="Y8736" s="6">
        <v>28.02</v>
      </c>
      <c r="Z8736" s="6">
        <v>28.06</v>
      </c>
      <c r="AA8736" s="6">
        <v>43.46</v>
      </c>
      <c r="AB8736" s="7">
        <v>27.971</v>
      </c>
      <c r="AC8736" s="2"/>
    </row>
    <row r="8737" spans="1:29" ht="130" x14ac:dyDescent="0.15">
      <c r="A8737" s="3">
        <f>DATE(2007,7,20)</f>
        <v>39283</v>
      </c>
      <c r="B8737" s="3">
        <f>DATE(2007,11,30)</f>
        <v>39416</v>
      </c>
      <c r="C8737" s="2" t="s">
        <v>95</v>
      </c>
      <c r="D8737" s="2" t="s">
        <v>22387</v>
      </c>
      <c r="E8737" s="2" t="s">
        <v>159</v>
      </c>
      <c r="F8737" s="4">
        <v>6712</v>
      </c>
      <c r="G8737" s="2" t="s">
        <v>37</v>
      </c>
      <c r="H8737" s="2" t="s">
        <v>34</v>
      </c>
      <c r="I8737" s="2" t="s">
        <v>4131</v>
      </c>
      <c r="J8737" s="2" t="s">
        <v>36</v>
      </c>
      <c r="K8737" s="2" t="s">
        <v>37</v>
      </c>
      <c r="L8737" s="2" t="s">
        <v>34</v>
      </c>
      <c r="M8737" s="7">
        <v>616.745</v>
      </c>
      <c r="N8737" s="6">
        <v>26.72</v>
      </c>
      <c r="O8737" s="6">
        <v>26.57</v>
      </c>
      <c r="P8737" s="2" t="s">
        <v>25883</v>
      </c>
      <c r="Q8737" s="6">
        <v>100</v>
      </c>
      <c r="R8737" s="6">
        <v>38</v>
      </c>
      <c r="S8737" s="5">
        <v>9.6999999999999993</v>
      </c>
      <c r="T8737" s="7">
        <v>13.128</v>
      </c>
      <c r="U8737" s="5">
        <v>17.7</v>
      </c>
      <c r="V8737" s="6">
        <v>1.8</v>
      </c>
      <c r="W8737" s="6">
        <v>22.69</v>
      </c>
      <c r="X8737" s="6">
        <v>23.26</v>
      </c>
      <c r="Y8737" s="6">
        <v>33.049999999999997</v>
      </c>
      <c r="Z8737" s="5">
        <v>32.9</v>
      </c>
      <c r="AA8737" s="6">
        <v>5.34</v>
      </c>
      <c r="AB8737" s="7">
        <v>38.67</v>
      </c>
      <c r="AC8737" s="2"/>
    </row>
    <row r="8738" spans="1:29" ht="91" x14ac:dyDescent="0.15">
      <c r="A8738" s="3">
        <f>DATE(2007,7,20)</f>
        <v>39283</v>
      </c>
      <c r="B8738" s="3">
        <f>DATE(2009,12,31)</f>
        <v>40178</v>
      </c>
      <c r="C8738" s="2" t="s">
        <v>95</v>
      </c>
      <c r="D8738" s="2" t="s">
        <v>25884</v>
      </c>
      <c r="E8738" s="2" t="s">
        <v>36</v>
      </c>
      <c r="F8738" s="4">
        <v>6021</v>
      </c>
      <c r="G8738" s="2" t="s">
        <v>37</v>
      </c>
      <c r="H8738" s="2" t="s">
        <v>34</v>
      </c>
      <c r="I8738" s="2" t="s">
        <v>25885</v>
      </c>
      <c r="J8738" s="2" t="s">
        <v>849</v>
      </c>
      <c r="K8738" s="2" t="s">
        <v>551</v>
      </c>
      <c r="L8738" s="2" t="s">
        <v>34</v>
      </c>
      <c r="M8738" s="2"/>
      <c r="N8738" s="2"/>
      <c r="O8738" s="2"/>
      <c r="P8738" s="2" t="s">
        <v>25886</v>
      </c>
      <c r="Q8738" s="6">
        <v>100</v>
      </c>
      <c r="R8738" s="6">
        <v>29.15</v>
      </c>
      <c r="S8738" s="5">
        <v>0.2</v>
      </c>
      <c r="T8738" s="7">
        <v>0.40300000000000002</v>
      </c>
      <c r="U8738" s="5">
        <v>23.2</v>
      </c>
      <c r="V8738" s="6">
        <v>0.61</v>
      </c>
      <c r="W8738" s="5">
        <v>15.5</v>
      </c>
      <c r="X8738" s="4">
        <v>28</v>
      </c>
      <c r="Y8738" s="4">
        <v>28</v>
      </c>
      <c r="Z8738" s="4">
        <v>28</v>
      </c>
      <c r="AA8738" s="6">
        <v>0.39</v>
      </c>
      <c r="AB8738" s="7">
        <v>50.131</v>
      </c>
      <c r="AC8738" s="2"/>
    </row>
    <row r="8739" spans="1:29" ht="195" x14ac:dyDescent="0.15">
      <c r="A8739" s="3">
        <f>DATE(2007,7,22)</f>
        <v>39285</v>
      </c>
      <c r="B8739" s="3">
        <f>DATE(2007,10,4)</f>
        <v>39359</v>
      </c>
      <c r="C8739" s="2" t="s">
        <v>95</v>
      </c>
      <c r="D8739" s="2" t="s">
        <v>25887</v>
      </c>
      <c r="E8739" s="2" t="s">
        <v>15342</v>
      </c>
      <c r="F8739" s="4">
        <v>3841</v>
      </c>
      <c r="G8739" s="2" t="s">
        <v>226</v>
      </c>
      <c r="H8739" s="2" t="s">
        <v>34</v>
      </c>
      <c r="I8739" s="2" t="s">
        <v>23404</v>
      </c>
      <c r="J8739" s="2" t="s">
        <v>23405</v>
      </c>
      <c r="K8739" s="2" t="s">
        <v>226</v>
      </c>
      <c r="L8739" s="2" t="s">
        <v>34</v>
      </c>
      <c r="M8739" s="12">
        <v>1028.0630000000001</v>
      </c>
      <c r="N8739" s="6">
        <v>17.62</v>
      </c>
      <c r="O8739" s="6">
        <v>17.62</v>
      </c>
      <c r="P8739" s="2" t="s">
        <v>25888</v>
      </c>
      <c r="Q8739" s="6">
        <v>100</v>
      </c>
      <c r="R8739" s="6">
        <v>25.92</v>
      </c>
      <c r="S8739" s="5">
        <v>1.2</v>
      </c>
      <c r="T8739" s="7">
        <v>1.0349999999999999</v>
      </c>
      <c r="U8739" s="5">
        <v>6.6</v>
      </c>
      <c r="V8739" s="6">
        <v>7.0000000000000007E-2</v>
      </c>
      <c r="W8739" s="6">
        <v>22.23</v>
      </c>
      <c r="X8739" s="6">
        <v>24.72</v>
      </c>
      <c r="Y8739" s="6">
        <v>27.45</v>
      </c>
      <c r="Z8739" s="6">
        <v>27.45</v>
      </c>
      <c r="AA8739" s="6">
        <v>29.61</v>
      </c>
      <c r="AB8739" s="2" t="s">
        <v>86</v>
      </c>
      <c r="AC8739" s="6">
        <v>20.13</v>
      </c>
    </row>
    <row r="8740" spans="1:29" ht="91" x14ac:dyDescent="0.15">
      <c r="A8740" s="3">
        <f t="shared" ref="A8740:A8745" si="171">DATE(2007,7,23)</f>
        <v>39286</v>
      </c>
      <c r="B8740" s="3">
        <f>DATE(2007,10,1)</f>
        <v>39356</v>
      </c>
      <c r="C8740" s="2" t="s">
        <v>95</v>
      </c>
      <c r="D8740" s="2" t="s">
        <v>25889</v>
      </c>
      <c r="E8740" s="2" t="s">
        <v>10927</v>
      </c>
      <c r="F8740" s="4">
        <v>3841</v>
      </c>
      <c r="G8740" s="2" t="s">
        <v>226</v>
      </c>
      <c r="H8740" s="2" t="s">
        <v>34</v>
      </c>
      <c r="I8740" s="2" t="s">
        <v>25890</v>
      </c>
      <c r="J8740" s="2" t="s">
        <v>25891</v>
      </c>
      <c r="K8740" s="2" t="s">
        <v>226</v>
      </c>
      <c r="L8740" s="2" t="s">
        <v>34</v>
      </c>
      <c r="M8740" s="12">
        <v>3237.1410000000001</v>
      </c>
      <c r="N8740" s="5">
        <v>85.4</v>
      </c>
      <c r="O8740" s="6">
        <v>83.18</v>
      </c>
      <c r="P8740" s="2" t="s">
        <v>25892</v>
      </c>
      <c r="Q8740" s="6">
        <v>100</v>
      </c>
      <c r="R8740" s="6">
        <v>45.5</v>
      </c>
      <c r="S8740" s="5">
        <v>61.1</v>
      </c>
      <c r="T8740" s="7">
        <v>120.919</v>
      </c>
      <c r="U8740" s="5">
        <v>12.3</v>
      </c>
      <c r="V8740" s="6">
        <v>1.34</v>
      </c>
      <c r="W8740" s="6">
        <v>38.130000000000003</v>
      </c>
      <c r="X8740" s="6">
        <v>37.79</v>
      </c>
      <c r="Y8740" s="6">
        <v>44.11</v>
      </c>
      <c r="Z8740" s="6">
        <v>44.06</v>
      </c>
      <c r="AA8740" s="6">
        <v>45.28</v>
      </c>
      <c r="AB8740" s="7">
        <v>21.696999999999999</v>
      </c>
      <c r="AC8740" s="6">
        <v>444.67</v>
      </c>
    </row>
    <row r="8741" spans="1:29" ht="143" x14ac:dyDescent="0.15">
      <c r="A8741" s="3">
        <f t="shared" si="171"/>
        <v>39286</v>
      </c>
      <c r="B8741" s="2"/>
      <c r="C8741" s="2" t="s">
        <v>30</v>
      </c>
      <c r="D8741" s="2" t="s">
        <v>25893</v>
      </c>
      <c r="E8741" s="2" t="s">
        <v>8330</v>
      </c>
      <c r="F8741" s="4">
        <v>4832</v>
      </c>
      <c r="G8741" s="2" t="s">
        <v>45</v>
      </c>
      <c r="H8741" s="2" t="s">
        <v>34</v>
      </c>
      <c r="I8741" s="2" t="s">
        <v>51</v>
      </c>
      <c r="J8741" s="2" t="s">
        <v>52</v>
      </c>
      <c r="K8741" s="2" t="s">
        <v>53</v>
      </c>
      <c r="L8741" s="2" t="s">
        <v>34</v>
      </c>
      <c r="M8741" s="2"/>
      <c r="N8741" s="2"/>
      <c r="O8741" s="2"/>
      <c r="P8741" s="2" t="s">
        <v>25894</v>
      </c>
      <c r="Q8741" s="2"/>
      <c r="R8741" s="6">
        <v>11.75</v>
      </c>
      <c r="S8741" s="5">
        <v>-49.4</v>
      </c>
      <c r="T8741" s="7">
        <v>82.158000000000001</v>
      </c>
      <c r="U8741" s="5">
        <v>7.9</v>
      </c>
      <c r="V8741" s="6">
        <v>-0.95</v>
      </c>
      <c r="W8741" s="6">
        <v>8.93</v>
      </c>
      <c r="X8741" s="6">
        <v>8.3699999999999992</v>
      </c>
      <c r="Y8741" s="6">
        <v>11.12</v>
      </c>
      <c r="Z8741" s="6">
        <v>11.03</v>
      </c>
      <c r="AA8741" s="6">
        <v>43.15</v>
      </c>
      <c r="AB8741" s="7">
        <v>18.943000000000001</v>
      </c>
      <c r="AC8741" s="2"/>
    </row>
    <row r="8742" spans="1:29" ht="104" x14ac:dyDescent="0.15">
      <c r="A8742" s="3">
        <f t="shared" si="171"/>
        <v>39286</v>
      </c>
      <c r="B8742" s="3">
        <f>DATE(2007,10,1)</f>
        <v>39356</v>
      </c>
      <c r="C8742" s="2" t="s">
        <v>95</v>
      </c>
      <c r="D8742" s="2" t="s">
        <v>25895</v>
      </c>
      <c r="E8742" s="2" t="s">
        <v>25896</v>
      </c>
      <c r="F8742" s="4">
        <v>7372</v>
      </c>
      <c r="G8742" s="2" t="s">
        <v>551</v>
      </c>
      <c r="H8742" s="2" t="s">
        <v>34</v>
      </c>
      <c r="I8742" s="2" t="s">
        <v>21668</v>
      </c>
      <c r="J8742" s="2" t="s">
        <v>21669</v>
      </c>
      <c r="K8742" s="2" t="s">
        <v>50</v>
      </c>
      <c r="L8742" s="2" t="s">
        <v>34</v>
      </c>
      <c r="M8742" s="12">
        <v>117692.863</v>
      </c>
      <c r="N8742" s="6">
        <v>48.43</v>
      </c>
      <c r="O8742" s="6">
        <v>47.61</v>
      </c>
      <c r="P8742" s="2" t="s">
        <v>25897</v>
      </c>
      <c r="Q8742" s="6">
        <v>100</v>
      </c>
      <c r="R8742" s="6">
        <v>16.25</v>
      </c>
      <c r="S8742" s="5">
        <v>-2.4</v>
      </c>
      <c r="T8742" s="7">
        <v>-1.1519999999999999</v>
      </c>
      <c r="U8742" s="5">
        <v>9.4</v>
      </c>
      <c r="V8742" s="6">
        <v>-0.12</v>
      </c>
      <c r="W8742" s="6">
        <v>14.35</v>
      </c>
      <c r="X8742" s="6">
        <v>15.24</v>
      </c>
      <c r="Y8742" s="6">
        <v>15.81</v>
      </c>
      <c r="Z8742" s="6">
        <v>15.75</v>
      </c>
      <c r="AA8742" s="6">
        <v>20.010000000000002</v>
      </c>
      <c r="AB8742" s="2" t="s">
        <v>86</v>
      </c>
      <c r="AC8742" s="8">
        <v>12310</v>
      </c>
    </row>
    <row r="8743" spans="1:29" ht="130" x14ac:dyDescent="0.15">
      <c r="A8743" s="3">
        <f t="shared" si="171"/>
        <v>39286</v>
      </c>
      <c r="B8743" s="3">
        <f>DATE(2007,9,17)</f>
        <v>39342</v>
      </c>
      <c r="C8743" s="2" t="s">
        <v>95</v>
      </c>
      <c r="D8743" s="2" t="s">
        <v>25898</v>
      </c>
      <c r="E8743" s="2" t="s">
        <v>25899</v>
      </c>
      <c r="F8743" s="4">
        <v>7372</v>
      </c>
      <c r="G8743" s="2" t="s">
        <v>551</v>
      </c>
      <c r="H8743" s="2" t="s">
        <v>34</v>
      </c>
      <c r="I8743" s="2" t="s">
        <v>21668</v>
      </c>
      <c r="J8743" s="2" t="s">
        <v>21669</v>
      </c>
      <c r="K8743" s="2" t="s">
        <v>50</v>
      </c>
      <c r="L8743" s="2" t="s">
        <v>34</v>
      </c>
      <c r="M8743" s="12">
        <v>117692.863</v>
      </c>
      <c r="N8743" s="6">
        <v>48.43</v>
      </c>
      <c r="O8743" s="6">
        <v>47.61</v>
      </c>
      <c r="P8743" s="2" t="s">
        <v>25900</v>
      </c>
      <c r="Q8743" s="6">
        <v>100</v>
      </c>
      <c r="R8743" s="6">
        <v>14.25</v>
      </c>
      <c r="S8743" s="5">
        <v>-16.100000000000001</v>
      </c>
      <c r="T8743" s="7">
        <v>-14.542</v>
      </c>
      <c r="U8743" s="5">
        <v>1.3</v>
      </c>
      <c r="V8743" s="6">
        <v>-0.16</v>
      </c>
      <c r="W8743" s="6">
        <v>9.9600000000000009</v>
      </c>
      <c r="X8743" s="6">
        <v>10.28</v>
      </c>
      <c r="Y8743" s="4">
        <v>14</v>
      </c>
      <c r="Z8743" s="4">
        <v>14</v>
      </c>
      <c r="AA8743" s="6">
        <v>105.52</v>
      </c>
      <c r="AB8743" s="2" t="s">
        <v>86</v>
      </c>
      <c r="AC8743" s="8">
        <v>12310</v>
      </c>
    </row>
    <row r="8744" spans="1:29" ht="195" x14ac:dyDescent="0.15">
      <c r="A8744" s="3">
        <f t="shared" si="171"/>
        <v>39286</v>
      </c>
      <c r="B8744" s="2"/>
      <c r="C8744" s="2" t="s">
        <v>30</v>
      </c>
      <c r="D8744" s="2" t="s">
        <v>12348</v>
      </c>
      <c r="E8744" s="2" t="s">
        <v>12347</v>
      </c>
      <c r="F8744" s="4">
        <v>7359</v>
      </c>
      <c r="G8744" s="2" t="s">
        <v>223</v>
      </c>
      <c r="H8744" s="2" t="s">
        <v>34</v>
      </c>
      <c r="I8744" s="2" t="s">
        <v>21046</v>
      </c>
      <c r="J8744" s="2" t="s">
        <v>244</v>
      </c>
      <c r="K8744" s="2" t="s">
        <v>53</v>
      </c>
      <c r="L8744" s="2" t="s">
        <v>34</v>
      </c>
      <c r="M8744" s="2"/>
      <c r="N8744" s="2"/>
      <c r="O8744" s="2"/>
      <c r="P8744" s="2" t="s">
        <v>25901</v>
      </c>
      <c r="Q8744" s="2"/>
      <c r="R8744" s="6">
        <v>34.5</v>
      </c>
      <c r="S8744" s="5">
        <v>210</v>
      </c>
      <c r="T8744" s="5">
        <v>982</v>
      </c>
      <c r="U8744" s="5">
        <v>15.1</v>
      </c>
      <c r="V8744" s="6">
        <v>1.99</v>
      </c>
      <c r="W8744" s="6">
        <v>34.18</v>
      </c>
      <c r="X8744" s="6">
        <v>32.369999999999997</v>
      </c>
      <c r="Y8744" s="6">
        <v>32.979999999999997</v>
      </c>
      <c r="Z8744" s="6">
        <v>32.42</v>
      </c>
      <c r="AA8744" s="6">
        <v>82.99</v>
      </c>
      <c r="AB8744" s="7">
        <v>12.528</v>
      </c>
      <c r="AC8744" s="2"/>
    </row>
    <row r="8745" spans="1:29" ht="195" x14ac:dyDescent="0.15">
      <c r="A8745" s="3">
        <f t="shared" si="171"/>
        <v>39286</v>
      </c>
      <c r="B8745" s="3">
        <f>DATE(2007,11,27)</f>
        <v>39413</v>
      </c>
      <c r="C8745" s="2" t="s">
        <v>95</v>
      </c>
      <c r="D8745" s="2" t="s">
        <v>25902</v>
      </c>
      <c r="E8745" s="2" t="s">
        <v>25322</v>
      </c>
      <c r="F8745" s="4">
        <v>1381</v>
      </c>
      <c r="G8745" s="2" t="s">
        <v>148</v>
      </c>
      <c r="H8745" s="2" t="s">
        <v>34</v>
      </c>
      <c r="I8745" s="2" t="s">
        <v>25903</v>
      </c>
      <c r="J8745" s="2" t="s">
        <v>5872</v>
      </c>
      <c r="K8745" s="2" t="s">
        <v>148</v>
      </c>
      <c r="L8745" s="2" t="s">
        <v>34</v>
      </c>
      <c r="M8745" s="2"/>
      <c r="N8745" s="2"/>
      <c r="O8745" s="2"/>
      <c r="P8745" s="2" t="s">
        <v>25904</v>
      </c>
      <c r="Q8745" s="6">
        <v>100</v>
      </c>
      <c r="R8745" s="6">
        <v>74.78</v>
      </c>
      <c r="S8745" s="8">
        <v>1306.5</v>
      </c>
      <c r="T8745" s="8">
        <v>1600.8</v>
      </c>
      <c r="U8745" s="5">
        <v>22.8</v>
      </c>
      <c r="V8745" s="6">
        <v>5.54</v>
      </c>
      <c r="W8745" s="6">
        <v>72.069999999999993</v>
      </c>
      <c r="X8745" s="6">
        <v>74.739999999999995</v>
      </c>
      <c r="Y8745" s="6">
        <v>78.33</v>
      </c>
      <c r="Z8745" s="5">
        <v>77.599999999999994</v>
      </c>
      <c r="AA8745" s="6">
        <v>227.97</v>
      </c>
      <c r="AB8745" s="7">
        <v>13.515000000000001</v>
      </c>
      <c r="AC8745" s="5">
        <v>445</v>
      </c>
    </row>
    <row r="8746" spans="1:29" ht="169" x14ac:dyDescent="0.15">
      <c r="A8746" s="3">
        <f>DATE(2007,7,24)</f>
        <v>39287</v>
      </c>
      <c r="B8746" s="2"/>
      <c r="C8746" s="2" t="s">
        <v>30</v>
      </c>
      <c r="D8746" s="2" t="s">
        <v>25905</v>
      </c>
      <c r="E8746" s="2" t="s">
        <v>36</v>
      </c>
      <c r="F8746" s="4">
        <v>6035</v>
      </c>
      <c r="G8746" s="2" t="s">
        <v>33</v>
      </c>
      <c r="H8746" s="2" t="s">
        <v>34</v>
      </c>
      <c r="I8746" s="2" t="s">
        <v>18147</v>
      </c>
      <c r="J8746" s="2" t="s">
        <v>18148</v>
      </c>
      <c r="K8746" s="2" t="s">
        <v>33</v>
      </c>
      <c r="L8746" s="2" t="s">
        <v>34</v>
      </c>
      <c r="M8746" s="7">
        <v>316.62200000000001</v>
      </c>
      <c r="N8746" s="6">
        <v>7.52</v>
      </c>
      <c r="O8746" s="6">
        <v>7.19</v>
      </c>
      <c r="P8746" s="2" t="s">
        <v>25906</v>
      </c>
      <c r="Q8746" s="2"/>
      <c r="R8746" s="6">
        <v>18.5</v>
      </c>
      <c r="S8746" s="5">
        <v>4.2</v>
      </c>
      <c r="T8746" s="7">
        <v>7.6879999999999997</v>
      </c>
      <c r="U8746" s="5">
        <v>9.1999999999999993</v>
      </c>
      <c r="V8746" s="6">
        <v>0.54</v>
      </c>
      <c r="W8746" s="6">
        <v>13.16</v>
      </c>
      <c r="X8746" s="6">
        <v>12.58</v>
      </c>
      <c r="Y8746" s="6">
        <v>12.73</v>
      </c>
      <c r="Z8746" s="5">
        <v>15.3</v>
      </c>
      <c r="AA8746" s="6">
        <v>7.73</v>
      </c>
      <c r="AB8746" s="7">
        <v>49.493000000000002</v>
      </c>
      <c r="AC8746" s="2"/>
    </row>
    <row r="8747" spans="1:29" ht="91" x14ac:dyDescent="0.15">
      <c r="A8747" s="3">
        <f>DATE(2007,7,24)</f>
        <v>39287</v>
      </c>
      <c r="B8747" s="3">
        <f>DATE(2007,10,4)</f>
        <v>39359</v>
      </c>
      <c r="C8747" s="2" t="s">
        <v>95</v>
      </c>
      <c r="D8747" s="2" t="s">
        <v>25907</v>
      </c>
      <c r="E8747" s="2" t="s">
        <v>6321</v>
      </c>
      <c r="F8747" s="4">
        <v>6798</v>
      </c>
      <c r="G8747" s="2" t="s">
        <v>53</v>
      </c>
      <c r="H8747" s="2" t="s">
        <v>34</v>
      </c>
      <c r="I8747" s="2" t="s">
        <v>25908</v>
      </c>
      <c r="J8747" s="2" t="s">
        <v>92</v>
      </c>
      <c r="K8747" s="2" t="s">
        <v>53</v>
      </c>
      <c r="L8747" s="2" t="s">
        <v>34</v>
      </c>
      <c r="M8747" s="12">
        <v>3927.5859999999998</v>
      </c>
      <c r="N8747" s="5">
        <v>40.1</v>
      </c>
      <c r="O8747" s="6">
        <v>39.89</v>
      </c>
      <c r="P8747" s="2" t="s">
        <v>25909</v>
      </c>
      <c r="Q8747" s="6">
        <v>100</v>
      </c>
      <c r="R8747" s="6">
        <v>14.7</v>
      </c>
      <c r="S8747" s="5">
        <v>-11.1</v>
      </c>
      <c r="T8747" s="7">
        <v>11.513999999999999</v>
      </c>
      <c r="U8747" s="5">
        <v>6.7</v>
      </c>
      <c r="V8747" s="6">
        <v>-0.43</v>
      </c>
      <c r="W8747" s="6">
        <v>11.77</v>
      </c>
      <c r="X8747" s="6">
        <v>11.48</v>
      </c>
      <c r="Y8747" s="6">
        <v>14.03</v>
      </c>
      <c r="Z8747" s="6">
        <v>14.16</v>
      </c>
      <c r="AA8747" s="6">
        <v>26.09</v>
      </c>
      <c r="AB8747" s="2" t="s">
        <v>86</v>
      </c>
      <c r="AC8747" s="6">
        <v>47.51</v>
      </c>
    </row>
    <row r="8748" spans="1:29" ht="91" x14ac:dyDescent="0.15">
      <c r="A8748" s="3">
        <f>DATE(2007,7,24)</f>
        <v>39287</v>
      </c>
      <c r="B8748" s="3">
        <f>DATE(2007,10,19)</f>
        <v>39374</v>
      </c>
      <c r="C8748" s="2" t="s">
        <v>95</v>
      </c>
      <c r="D8748" s="2" t="s">
        <v>25910</v>
      </c>
      <c r="E8748" s="2" t="s">
        <v>25911</v>
      </c>
      <c r="F8748" s="4">
        <v>3462</v>
      </c>
      <c r="G8748" s="2" t="s">
        <v>163</v>
      </c>
      <c r="H8748" s="2" t="s">
        <v>34</v>
      </c>
      <c r="I8748" s="2" t="s">
        <v>22009</v>
      </c>
      <c r="J8748" s="2" t="s">
        <v>244</v>
      </c>
      <c r="K8748" s="2" t="s">
        <v>53</v>
      </c>
      <c r="L8748" s="2" t="s">
        <v>34</v>
      </c>
      <c r="M8748" s="2"/>
      <c r="N8748" s="2"/>
      <c r="O8748" s="2"/>
      <c r="P8748" s="2" t="s">
        <v>25912</v>
      </c>
      <c r="Q8748" s="6">
        <v>100</v>
      </c>
      <c r="R8748" s="6">
        <v>34.5</v>
      </c>
      <c r="S8748" s="5">
        <v>83.4</v>
      </c>
      <c r="T8748" s="5">
        <v>243.3</v>
      </c>
      <c r="U8748" s="5">
        <v>27.9</v>
      </c>
      <c r="V8748" s="6">
        <v>2.75</v>
      </c>
      <c r="W8748" s="6">
        <v>37.020000000000003</v>
      </c>
      <c r="X8748" s="6">
        <v>34.96</v>
      </c>
      <c r="Y8748" s="6">
        <v>33.89</v>
      </c>
      <c r="Z8748" s="6">
        <v>32.75</v>
      </c>
      <c r="AA8748" s="6">
        <v>26.52</v>
      </c>
      <c r="AB8748" s="7">
        <v>10.222</v>
      </c>
      <c r="AC8748" s="2"/>
    </row>
    <row r="8749" spans="1:29" ht="169" x14ac:dyDescent="0.15">
      <c r="A8749" s="3">
        <f>DATE(2007,7,25)</f>
        <v>39288</v>
      </c>
      <c r="B8749" s="3">
        <f>DATE(2007,11,6)</f>
        <v>39392</v>
      </c>
      <c r="C8749" s="2" t="s">
        <v>95</v>
      </c>
      <c r="D8749" s="2" t="s">
        <v>25913</v>
      </c>
      <c r="E8749" s="2" t="s">
        <v>25914</v>
      </c>
      <c r="F8749" s="4">
        <v>2835</v>
      </c>
      <c r="G8749" s="2" t="s">
        <v>130</v>
      </c>
      <c r="H8749" s="2" t="s">
        <v>34</v>
      </c>
      <c r="I8749" s="2" t="s">
        <v>17711</v>
      </c>
      <c r="J8749" s="2" t="s">
        <v>17712</v>
      </c>
      <c r="K8749" s="2" t="s">
        <v>226</v>
      </c>
      <c r="L8749" s="2" t="s">
        <v>34</v>
      </c>
      <c r="M8749" s="2"/>
      <c r="N8749" s="2"/>
      <c r="O8749" s="2"/>
      <c r="P8749" s="2" t="s">
        <v>25915</v>
      </c>
      <c r="Q8749" s="6">
        <v>100</v>
      </c>
      <c r="R8749" s="6">
        <v>77</v>
      </c>
      <c r="S8749" s="5">
        <v>138.6</v>
      </c>
      <c r="T8749" s="5">
        <v>430.8</v>
      </c>
      <c r="U8749" s="5">
        <v>9.5</v>
      </c>
      <c r="V8749" s="6">
        <v>1.63</v>
      </c>
      <c r="W8749" s="6">
        <v>56.07</v>
      </c>
      <c r="X8749" s="6">
        <v>55.91</v>
      </c>
      <c r="Y8749" s="6">
        <v>74.260000000000005</v>
      </c>
      <c r="Z8749" s="6">
        <v>73.47</v>
      </c>
      <c r="AA8749" s="6">
        <v>82.16</v>
      </c>
      <c r="AB8749" s="7">
        <v>29.524999999999999</v>
      </c>
      <c r="AC8749" s="2"/>
    </row>
    <row r="8750" spans="1:29" ht="143" x14ac:dyDescent="0.15">
      <c r="A8750" s="3">
        <f>DATE(2007,7,25)</f>
        <v>39288</v>
      </c>
      <c r="B8750" s="3">
        <f>DATE(2007,12,13)</f>
        <v>39429</v>
      </c>
      <c r="C8750" s="2" t="s">
        <v>95</v>
      </c>
      <c r="D8750" s="2" t="s">
        <v>25916</v>
      </c>
      <c r="E8750" s="2" t="s">
        <v>25917</v>
      </c>
      <c r="F8750" s="4">
        <v>8731</v>
      </c>
      <c r="G8750" s="2" t="s">
        <v>223</v>
      </c>
      <c r="H8750" s="2" t="s">
        <v>34</v>
      </c>
      <c r="I8750" s="2" t="s">
        <v>24995</v>
      </c>
      <c r="J8750" s="2" t="s">
        <v>244</v>
      </c>
      <c r="K8750" s="2" t="s">
        <v>53</v>
      </c>
      <c r="L8750" s="2" t="s">
        <v>34</v>
      </c>
      <c r="M8750" s="2"/>
      <c r="N8750" s="2"/>
      <c r="O8750" s="2"/>
      <c r="P8750" s="2" t="s">
        <v>25918</v>
      </c>
      <c r="Q8750" s="6">
        <v>88.62</v>
      </c>
      <c r="R8750" s="6">
        <v>30.5</v>
      </c>
      <c r="S8750" s="5">
        <v>17.600000000000001</v>
      </c>
      <c r="T8750" s="7">
        <v>51.307000000000002</v>
      </c>
      <c r="U8750" s="5">
        <v>10.9</v>
      </c>
      <c r="V8750" s="6">
        <v>0.7</v>
      </c>
      <c r="W8750" s="6">
        <v>27.39</v>
      </c>
      <c r="X8750" s="6">
        <v>26.96</v>
      </c>
      <c r="Y8750" s="6">
        <v>29.06</v>
      </c>
      <c r="Z8750" s="6">
        <v>28.95</v>
      </c>
      <c r="AA8750" s="6">
        <v>24.42</v>
      </c>
      <c r="AB8750" s="7">
        <v>20.876000000000001</v>
      </c>
      <c r="AC8750" s="2"/>
    </row>
    <row r="8751" spans="1:29" ht="143" x14ac:dyDescent="0.15">
      <c r="A8751" s="3">
        <f>DATE(2007,7,26)</f>
        <v>39289</v>
      </c>
      <c r="B8751" s="3">
        <f>DATE(2008,1,31)</f>
        <v>39478</v>
      </c>
      <c r="C8751" s="2" t="s">
        <v>95</v>
      </c>
      <c r="D8751" s="2" t="s">
        <v>25919</v>
      </c>
      <c r="E8751" s="2" t="s">
        <v>159</v>
      </c>
      <c r="F8751" s="4">
        <v>6712</v>
      </c>
      <c r="G8751" s="2" t="s">
        <v>37</v>
      </c>
      <c r="H8751" s="2" t="s">
        <v>34</v>
      </c>
      <c r="I8751" s="2" t="s">
        <v>25920</v>
      </c>
      <c r="J8751" s="2" t="s">
        <v>10873</v>
      </c>
      <c r="K8751" s="2" t="s">
        <v>33</v>
      </c>
      <c r="L8751" s="2" t="s">
        <v>34</v>
      </c>
      <c r="M8751" s="2"/>
      <c r="N8751" s="2"/>
      <c r="O8751" s="2"/>
      <c r="P8751" s="2" t="s">
        <v>25921</v>
      </c>
      <c r="Q8751" s="6">
        <v>100</v>
      </c>
      <c r="R8751" s="6">
        <v>23</v>
      </c>
      <c r="S8751" s="2"/>
      <c r="T8751" s="2"/>
      <c r="U8751" s="2"/>
      <c r="V8751" s="2"/>
      <c r="W8751" s="6">
        <v>17.25</v>
      </c>
      <c r="X8751" s="5">
        <v>18.100000000000001</v>
      </c>
      <c r="Y8751" s="5">
        <v>18.100000000000001</v>
      </c>
      <c r="Z8751" s="5">
        <v>21.3</v>
      </c>
      <c r="AA8751" s="6">
        <v>4.29</v>
      </c>
      <c r="AB8751" s="2" t="s">
        <v>47</v>
      </c>
      <c r="AC8751" s="2"/>
    </row>
    <row r="8752" spans="1:29" ht="156" x14ac:dyDescent="0.15">
      <c r="A8752" s="3">
        <f>DATE(2007,7,26)</f>
        <v>39289</v>
      </c>
      <c r="B8752" s="3">
        <f>DATE(2008,2,28)</f>
        <v>39506</v>
      </c>
      <c r="C8752" s="2" t="s">
        <v>95</v>
      </c>
      <c r="D8752" s="2" t="s">
        <v>17234</v>
      </c>
      <c r="E8752" s="2" t="s">
        <v>159</v>
      </c>
      <c r="F8752" s="4">
        <v>6021</v>
      </c>
      <c r="G8752" s="2" t="s">
        <v>37</v>
      </c>
      <c r="H8752" s="2" t="s">
        <v>34</v>
      </c>
      <c r="I8752" s="2" t="s">
        <v>25922</v>
      </c>
      <c r="J8752" s="2" t="s">
        <v>159</v>
      </c>
      <c r="K8752" s="2" t="s">
        <v>37</v>
      </c>
      <c r="L8752" s="2" t="s">
        <v>34</v>
      </c>
      <c r="M8752" s="7">
        <v>237.10499999999999</v>
      </c>
      <c r="N8752" s="6">
        <v>20.46</v>
      </c>
      <c r="O8752" s="6">
        <v>20.04</v>
      </c>
      <c r="P8752" s="2" t="s">
        <v>25923</v>
      </c>
      <c r="Q8752" s="6">
        <v>100</v>
      </c>
      <c r="R8752" s="6">
        <v>32.159999999999997</v>
      </c>
      <c r="S8752" s="5">
        <v>17.399999999999999</v>
      </c>
      <c r="T8752" s="7">
        <v>28.588999999999999</v>
      </c>
      <c r="U8752" s="5">
        <v>24</v>
      </c>
      <c r="V8752" s="6">
        <v>2.31</v>
      </c>
      <c r="W8752" s="6">
        <v>32.51</v>
      </c>
      <c r="X8752" s="6">
        <v>31.24</v>
      </c>
      <c r="Y8752" s="6">
        <v>30.92</v>
      </c>
      <c r="Z8752" s="5">
        <v>31.6</v>
      </c>
      <c r="AA8752" s="6">
        <v>7.37</v>
      </c>
      <c r="AB8752" s="7">
        <v>11.853</v>
      </c>
      <c r="AC8752" s="2"/>
    </row>
    <row r="8753" spans="1:29" ht="208" x14ac:dyDescent="0.15">
      <c r="A8753" s="3">
        <f>DATE(2007,7,26)</f>
        <v>39289</v>
      </c>
      <c r="B8753" s="2"/>
      <c r="C8753" s="2" t="s">
        <v>30</v>
      </c>
      <c r="D8753" s="2" t="s">
        <v>21739</v>
      </c>
      <c r="E8753" s="2" t="s">
        <v>25924</v>
      </c>
      <c r="F8753" s="4">
        <v>1499</v>
      </c>
      <c r="G8753" s="2" t="s">
        <v>166</v>
      </c>
      <c r="H8753" s="2" t="s">
        <v>34</v>
      </c>
      <c r="I8753" s="2" t="s">
        <v>51</v>
      </c>
      <c r="J8753" s="2" t="s">
        <v>52</v>
      </c>
      <c r="K8753" s="2" t="s">
        <v>53</v>
      </c>
      <c r="L8753" s="2" t="s">
        <v>34</v>
      </c>
      <c r="M8753" s="2"/>
      <c r="N8753" s="2"/>
      <c r="O8753" s="2"/>
      <c r="P8753" s="2" t="s">
        <v>25925</v>
      </c>
      <c r="Q8753" s="2"/>
      <c r="R8753" s="6">
        <v>31</v>
      </c>
      <c r="S8753" s="5">
        <v>10.9</v>
      </c>
      <c r="T8753" s="7">
        <v>54.859000000000002</v>
      </c>
      <c r="U8753" s="5">
        <v>13.4</v>
      </c>
      <c r="V8753" s="6">
        <v>0.86</v>
      </c>
      <c r="W8753" s="6">
        <v>24.75</v>
      </c>
      <c r="X8753" s="4">
        <v>24</v>
      </c>
      <c r="Y8753" s="5">
        <v>23.3</v>
      </c>
      <c r="Z8753" s="6">
        <v>24.85</v>
      </c>
      <c r="AA8753" s="6">
        <v>14.45</v>
      </c>
      <c r="AB8753" s="7">
        <v>19.059000000000001</v>
      </c>
      <c r="AC8753" s="2"/>
    </row>
    <row r="8754" spans="1:29" ht="91" x14ac:dyDescent="0.15">
      <c r="A8754" s="3">
        <f>DATE(2007,7,27)</f>
        <v>39290</v>
      </c>
      <c r="B8754" s="3">
        <f>DATE(2007,10,24)</f>
        <v>39379</v>
      </c>
      <c r="C8754" s="2" t="s">
        <v>95</v>
      </c>
      <c r="D8754" s="2" t="s">
        <v>25926</v>
      </c>
      <c r="E8754" s="2" t="s">
        <v>22489</v>
      </c>
      <c r="F8754" s="4">
        <v>5621</v>
      </c>
      <c r="G8754" s="2" t="s">
        <v>756</v>
      </c>
      <c r="H8754" s="2" t="s">
        <v>34</v>
      </c>
      <c r="I8754" s="2" t="s">
        <v>25927</v>
      </c>
      <c r="J8754" s="2" t="s">
        <v>302</v>
      </c>
      <c r="K8754" s="2" t="s">
        <v>53</v>
      </c>
      <c r="L8754" s="2" t="s">
        <v>34</v>
      </c>
      <c r="M8754" s="2"/>
      <c r="N8754" s="2"/>
      <c r="O8754" s="2"/>
      <c r="P8754" s="2" t="s">
        <v>25928</v>
      </c>
      <c r="Q8754" s="6">
        <v>100</v>
      </c>
      <c r="R8754" s="6">
        <v>27.25</v>
      </c>
      <c r="S8754" s="5">
        <v>21.2</v>
      </c>
      <c r="T8754" s="7">
        <v>33.220999999999997</v>
      </c>
      <c r="U8754" s="5">
        <v>10.1</v>
      </c>
      <c r="V8754" s="6">
        <v>1.49</v>
      </c>
      <c r="W8754" s="6">
        <v>29.03</v>
      </c>
      <c r="X8754" s="6">
        <v>26.68</v>
      </c>
      <c r="Y8754" s="6">
        <v>26.51</v>
      </c>
      <c r="Z8754" s="6">
        <v>26.05</v>
      </c>
      <c r="AA8754" s="6">
        <v>14.33</v>
      </c>
      <c r="AB8754" s="7">
        <v>9.3239999999999998</v>
      </c>
      <c r="AC8754" s="2"/>
    </row>
    <row r="8755" spans="1:29" ht="78" x14ac:dyDescent="0.15">
      <c r="A8755" s="3">
        <f>DATE(2007,7,27)</f>
        <v>39290</v>
      </c>
      <c r="B8755" s="3">
        <f>DATE(2007,11,2)</f>
        <v>39388</v>
      </c>
      <c r="C8755" s="2" t="s">
        <v>95</v>
      </c>
      <c r="D8755" s="2" t="s">
        <v>25929</v>
      </c>
      <c r="E8755" s="2" t="s">
        <v>13817</v>
      </c>
      <c r="F8755" s="4">
        <v>3841</v>
      </c>
      <c r="G8755" s="2" t="s">
        <v>226</v>
      </c>
      <c r="H8755" s="2" t="s">
        <v>34</v>
      </c>
      <c r="I8755" s="2" t="s">
        <v>769</v>
      </c>
      <c r="J8755" s="2" t="s">
        <v>770</v>
      </c>
      <c r="K8755" s="2" t="s">
        <v>226</v>
      </c>
      <c r="L8755" s="2" t="s">
        <v>34</v>
      </c>
      <c r="M8755" s="12">
        <v>59141.262000000002</v>
      </c>
      <c r="N8755" s="6">
        <v>50.81</v>
      </c>
      <c r="O8755" s="6">
        <v>51.13</v>
      </c>
      <c r="P8755" s="2" t="s">
        <v>25930</v>
      </c>
      <c r="Q8755" s="6">
        <v>100</v>
      </c>
      <c r="R8755" s="6">
        <v>71</v>
      </c>
      <c r="S8755" s="5">
        <v>10.1</v>
      </c>
      <c r="T8755" s="7">
        <v>69.715999999999994</v>
      </c>
      <c r="U8755" s="5">
        <v>7.3</v>
      </c>
      <c r="V8755" s="6">
        <v>0.21</v>
      </c>
      <c r="W8755" s="6">
        <v>55.01</v>
      </c>
      <c r="X8755" s="6">
        <v>53.68</v>
      </c>
      <c r="Y8755" s="5">
        <v>66.599999999999994</v>
      </c>
      <c r="Z8755" s="6">
        <v>66.08</v>
      </c>
      <c r="AA8755" s="6">
        <v>45.56</v>
      </c>
      <c r="AB8755" s="7">
        <v>102.9</v>
      </c>
      <c r="AC8755" s="8">
        <v>2813</v>
      </c>
    </row>
    <row r="8756" spans="1:29" ht="143" x14ac:dyDescent="0.15">
      <c r="A8756" s="3">
        <f>DATE(2007,7,27)</f>
        <v>39290</v>
      </c>
      <c r="B8756" s="3">
        <f>DATE(2008,1,2)</f>
        <v>39449</v>
      </c>
      <c r="C8756" s="2" t="s">
        <v>95</v>
      </c>
      <c r="D8756" s="2" t="s">
        <v>11660</v>
      </c>
      <c r="E8756" s="2" t="s">
        <v>3246</v>
      </c>
      <c r="F8756" s="4">
        <v>6022</v>
      </c>
      <c r="G8756" s="2" t="s">
        <v>37</v>
      </c>
      <c r="H8756" s="2" t="s">
        <v>34</v>
      </c>
      <c r="I8756" s="2" t="s">
        <v>5994</v>
      </c>
      <c r="J8756" s="2" t="s">
        <v>5995</v>
      </c>
      <c r="K8756" s="2" t="s">
        <v>37</v>
      </c>
      <c r="L8756" s="2" t="s">
        <v>34</v>
      </c>
      <c r="M8756" s="12">
        <v>13467.528</v>
      </c>
      <c r="N8756" s="6">
        <v>34.99</v>
      </c>
      <c r="O8756" s="6">
        <v>35.409999999999997</v>
      </c>
      <c r="P8756" s="2" t="s">
        <v>25931</v>
      </c>
      <c r="Q8756" s="6">
        <v>100</v>
      </c>
      <c r="R8756" s="6">
        <v>24.95</v>
      </c>
      <c r="S8756" s="5">
        <v>29.5</v>
      </c>
      <c r="T8756" s="2"/>
      <c r="U8756" s="5">
        <v>10.4</v>
      </c>
      <c r="V8756" s="6">
        <v>1.31</v>
      </c>
      <c r="W8756" s="6">
        <v>16.739999999999998</v>
      </c>
      <c r="X8756" s="6">
        <v>15.29</v>
      </c>
      <c r="Y8756" s="6">
        <v>24.05</v>
      </c>
      <c r="Z8756" s="6">
        <v>24.15</v>
      </c>
      <c r="AA8756" s="6">
        <v>21.93</v>
      </c>
      <c r="AB8756" s="7">
        <v>31.515999999999998</v>
      </c>
      <c r="AC8756" s="2"/>
    </row>
    <row r="8757" spans="1:29" ht="91" x14ac:dyDescent="0.15">
      <c r="A8757" s="3">
        <f>DATE(2007,7,30)</f>
        <v>39293</v>
      </c>
      <c r="B8757" s="2"/>
      <c r="C8757" s="2" t="s">
        <v>30</v>
      </c>
      <c r="D8757" s="2" t="s">
        <v>15284</v>
      </c>
      <c r="E8757" s="2" t="s">
        <v>36</v>
      </c>
      <c r="F8757" s="4">
        <v>6712</v>
      </c>
      <c r="G8757" s="2" t="s">
        <v>37</v>
      </c>
      <c r="H8757" s="2" t="s">
        <v>34</v>
      </c>
      <c r="I8757" s="2" t="s">
        <v>25932</v>
      </c>
      <c r="J8757" s="2" t="s">
        <v>1620</v>
      </c>
      <c r="K8757" s="2" t="s">
        <v>53</v>
      </c>
      <c r="L8757" s="2" t="s">
        <v>34</v>
      </c>
      <c r="M8757" s="2"/>
      <c r="N8757" s="2"/>
      <c r="O8757" s="2"/>
      <c r="P8757" s="2" t="s">
        <v>25933</v>
      </c>
      <c r="Q8757" s="2"/>
      <c r="R8757" s="6">
        <v>15</v>
      </c>
      <c r="S8757" s="5">
        <v>4.5</v>
      </c>
      <c r="T8757" s="7">
        <v>6.9489999999999998</v>
      </c>
      <c r="U8757" s="5">
        <v>106.2</v>
      </c>
      <c r="V8757" s="6">
        <v>8.8000000000000007</v>
      </c>
      <c r="W8757" s="6">
        <v>15.46</v>
      </c>
      <c r="X8757" s="6">
        <v>12.38</v>
      </c>
      <c r="Y8757" s="6">
        <v>13.44</v>
      </c>
      <c r="Z8757" s="4">
        <v>14</v>
      </c>
      <c r="AA8757" s="6">
        <v>4.9400000000000004</v>
      </c>
      <c r="AB8757" s="7">
        <v>3.2919999999999998</v>
      </c>
      <c r="AC8757" s="2"/>
    </row>
    <row r="8758" spans="1:29" ht="143" x14ac:dyDescent="0.15">
      <c r="A8758" s="3">
        <f>DATE(2007,7,30)</f>
        <v>39293</v>
      </c>
      <c r="B8758" s="3">
        <f>DATE(2008,8,7)</f>
        <v>39667</v>
      </c>
      <c r="C8758" s="2" t="s">
        <v>95</v>
      </c>
      <c r="D8758" s="2" t="s">
        <v>25934</v>
      </c>
      <c r="E8758" s="2" t="s">
        <v>2814</v>
      </c>
      <c r="F8758" s="4">
        <v>4812</v>
      </c>
      <c r="G8758" s="2" t="s">
        <v>63</v>
      </c>
      <c r="H8758" s="2" t="s">
        <v>34</v>
      </c>
      <c r="I8758" s="2" t="s">
        <v>25935</v>
      </c>
      <c r="J8758" s="2" t="s">
        <v>16453</v>
      </c>
      <c r="K8758" s="2" t="s">
        <v>63</v>
      </c>
      <c r="L8758" s="2" t="s">
        <v>34</v>
      </c>
      <c r="M8758" s="2"/>
      <c r="N8758" s="2"/>
      <c r="O8758" s="2"/>
      <c r="P8758" s="2" t="s">
        <v>25936</v>
      </c>
      <c r="Q8758" s="6">
        <v>100</v>
      </c>
      <c r="R8758" s="6">
        <v>45</v>
      </c>
      <c r="S8758" s="5">
        <v>-54.6</v>
      </c>
      <c r="T8758" s="5">
        <v>167.7</v>
      </c>
      <c r="U8758" s="5">
        <v>3</v>
      </c>
      <c r="V8758" s="6">
        <v>-8.9700000000000006</v>
      </c>
      <c r="W8758" s="5">
        <v>33.299999999999997</v>
      </c>
      <c r="X8758" s="6">
        <v>32.020000000000003</v>
      </c>
      <c r="Y8758" s="5">
        <v>36.6</v>
      </c>
      <c r="Z8758" s="5">
        <v>36.6</v>
      </c>
      <c r="AA8758" s="6">
        <v>15.16</v>
      </c>
      <c r="AB8758" s="7">
        <v>31.841000000000001</v>
      </c>
      <c r="AC8758" s="2"/>
    </row>
    <row r="8759" spans="1:29" ht="104" x14ac:dyDescent="0.15">
      <c r="A8759" s="3">
        <f>DATE(2007,8,1)</f>
        <v>39295</v>
      </c>
      <c r="B8759" s="3">
        <f>DATE(2007,12,31)</f>
        <v>39447</v>
      </c>
      <c r="C8759" s="2" t="s">
        <v>95</v>
      </c>
      <c r="D8759" s="2" t="s">
        <v>25937</v>
      </c>
      <c r="E8759" s="2" t="s">
        <v>1237</v>
      </c>
      <c r="F8759" s="4">
        <v>6021</v>
      </c>
      <c r="G8759" s="2" t="s">
        <v>37</v>
      </c>
      <c r="H8759" s="2" t="s">
        <v>34</v>
      </c>
      <c r="I8759" s="2" t="s">
        <v>25938</v>
      </c>
      <c r="J8759" s="2" t="s">
        <v>1237</v>
      </c>
      <c r="K8759" s="2" t="s">
        <v>37</v>
      </c>
      <c r="L8759" s="2" t="s">
        <v>34</v>
      </c>
      <c r="M8759" s="2"/>
      <c r="N8759" s="2"/>
      <c r="O8759" s="2"/>
      <c r="P8759" s="2" t="s">
        <v>25939</v>
      </c>
      <c r="Q8759" s="6">
        <v>100</v>
      </c>
      <c r="R8759" s="6">
        <v>25.25</v>
      </c>
      <c r="S8759" s="5">
        <v>1</v>
      </c>
      <c r="T8759" s="6">
        <v>1.1599999999999999</v>
      </c>
      <c r="U8759" s="5">
        <v>13.5</v>
      </c>
      <c r="V8759" s="6">
        <v>0.95</v>
      </c>
      <c r="W8759" s="6">
        <v>20.25</v>
      </c>
      <c r="X8759" s="6">
        <v>19.75</v>
      </c>
      <c r="Y8759" s="6">
        <v>19.75</v>
      </c>
      <c r="Z8759" s="6">
        <v>19.75</v>
      </c>
      <c r="AA8759" s="6">
        <v>1.06</v>
      </c>
      <c r="AB8759" s="7">
        <v>149.87200000000001</v>
      </c>
      <c r="AC8759" s="2"/>
    </row>
    <row r="8760" spans="1:29" ht="130" x14ac:dyDescent="0.15">
      <c r="A8760" s="3">
        <f>DATE(2007,8,1)</f>
        <v>39295</v>
      </c>
      <c r="B8760" s="2"/>
      <c r="C8760" s="2" t="s">
        <v>30</v>
      </c>
      <c r="D8760" s="2" t="s">
        <v>7196</v>
      </c>
      <c r="E8760" s="2" t="s">
        <v>1604</v>
      </c>
      <c r="F8760" s="4">
        <v>4812</v>
      </c>
      <c r="G8760" s="2" t="s">
        <v>63</v>
      </c>
      <c r="H8760" s="2" t="s">
        <v>34</v>
      </c>
      <c r="I8760" s="2" t="s">
        <v>25940</v>
      </c>
      <c r="J8760" s="2" t="s">
        <v>9451</v>
      </c>
      <c r="K8760" s="2" t="s">
        <v>53</v>
      </c>
      <c r="L8760" s="2" t="s">
        <v>34</v>
      </c>
      <c r="M8760" s="2"/>
      <c r="N8760" s="2"/>
      <c r="O8760" s="2"/>
      <c r="P8760" s="2" t="s">
        <v>25941</v>
      </c>
      <c r="Q8760" s="2"/>
      <c r="R8760" s="6">
        <v>2.0499999999999998</v>
      </c>
      <c r="S8760" s="5">
        <v>-24.6</v>
      </c>
      <c r="T8760" s="7">
        <v>8.6080000000000005</v>
      </c>
      <c r="U8760" s="5">
        <v>-3.1</v>
      </c>
      <c r="V8760" s="6">
        <v>-0.46</v>
      </c>
      <c r="W8760" s="6">
        <v>1.71</v>
      </c>
      <c r="X8760" s="6">
        <v>1.76</v>
      </c>
      <c r="Y8760" s="5">
        <v>1.7</v>
      </c>
      <c r="Z8760" s="5">
        <v>1.8</v>
      </c>
      <c r="AA8760" s="6">
        <v>94.04</v>
      </c>
      <c r="AB8760" s="2" t="s">
        <v>86</v>
      </c>
      <c r="AC8760" s="2"/>
    </row>
    <row r="8761" spans="1:29" ht="78" x14ac:dyDescent="0.15">
      <c r="A8761" s="3">
        <f>DATE(2007,8,2)</f>
        <v>39296</v>
      </c>
      <c r="B8761" s="3">
        <f>DATE(2008,2,1)</f>
        <v>39479</v>
      </c>
      <c r="C8761" s="2" t="s">
        <v>95</v>
      </c>
      <c r="D8761" s="2" t="s">
        <v>25942</v>
      </c>
      <c r="E8761" s="2" t="s">
        <v>386</v>
      </c>
      <c r="F8761" s="4">
        <v>6726</v>
      </c>
      <c r="G8761" s="2" t="s">
        <v>53</v>
      </c>
      <c r="H8761" s="2" t="s">
        <v>34</v>
      </c>
      <c r="I8761" s="2" t="s">
        <v>25943</v>
      </c>
      <c r="J8761" s="2" t="s">
        <v>14562</v>
      </c>
      <c r="K8761" s="2" t="s">
        <v>53</v>
      </c>
      <c r="L8761" s="2" t="s">
        <v>34</v>
      </c>
      <c r="M8761" s="2"/>
      <c r="N8761" s="6">
        <v>21.87</v>
      </c>
      <c r="O8761" s="6">
        <v>21.31</v>
      </c>
      <c r="P8761" s="2" t="s">
        <v>25944</v>
      </c>
      <c r="Q8761" s="6">
        <v>100</v>
      </c>
      <c r="R8761" s="2"/>
      <c r="S8761" s="2"/>
      <c r="T8761" s="2"/>
      <c r="U8761" s="2"/>
      <c r="V8761" s="2"/>
      <c r="W8761" s="6">
        <v>12.82</v>
      </c>
      <c r="X8761" s="5">
        <v>12.6</v>
      </c>
      <c r="Y8761" s="6">
        <v>12.67</v>
      </c>
      <c r="Z8761" s="5">
        <v>12.6</v>
      </c>
      <c r="AA8761" s="6">
        <v>3.62</v>
      </c>
      <c r="AB8761" s="2" t="s">
        <v>47</v>
      </c>
      <c r="AC8761" s="2"/>
    </row>
    <row r="8762" spans="1:29" ht="91" x14ac:dyDescent="0.15">
      <c r="A8762" s="3">
        <f>DATE(2007,8,2)</f>
        <v>39296</v>
      </c>
      <c r="B8762" s="3">
        <f>DATE(2007,12,3)</f>
        <v>39419</v>
      </c>
      <c r="C8762" s="2" t="s">
        <v>95</v>
      </c>
      <c r="D8762" s="2" t="s">
        <v>17208</v>
      </c>
      <c r="E8762" s="2" t="s">
        <v>17209</v>
      </c>
      <c r="F8762" s="4">
        <v>7375</v>
      </c>
      <c r="G8762" s="2" t="s">
        <v>223</v>
      </c>
      <c r="H8762" s="2" t="s">
        <v>34</v>
      </c>
      <c r="I8762" s="2" t="s">
        <v>9378</v>
      </c>
      <c r="J8762" s="2" t="s">
        <v>9379</v>
      </c>
      <c r="K8762" s="2" t="s">
        <v>223</v>
      </c>
      <c r="L8762" s="2" t="s">
        <v>34</v>
      </c>
      <c r="M8762" s="12">
        <v>9506.0959999999995</v>
      </c>
      <c r="N8762" s="5">
        <v>49.5</v>
      </c>
      <c r="O8762" s="6">
        <v>47.78</v>
      </c>
      <c r="P8762" s="2" t="s">
        <v>25945</v>
      </c>
      <c r="Q8762" s="6">
        <v>100</v>
      </c>
      <c r="R8762" s="6">
        <v>48</v>
      </c>
      <c r="S8762" s="5">
        <v>124.4</v>
      </c>
      <c r="T8762" s="7">
        <v>281.875</v>
      </c>
      <c r="U8762" s="5">
        <v>17.100000000000001</v>
      </c>
      <c r="V8762" s="6">
        <v>1.37</v>
      </c>
      <c r="W8762" s="6">
        <v>37.880000000000003</v>
      </c>
      <c r="X8762" s="6">
        <v>36.83</v>
      </c>
      <c r="Y8762" s="5">
        <v>45.4</v>
      </c>
      <c r="Z8762" s="6">
        <v>44.95</v>
      </c>
      <c r="AA8762" s="6">
        <v>87.94</v>
      </c>
      <c r="AB8762" s="7">
        <v>22.890999999999998</v>
      </c>
      <c r="AC8762" s="6">
        <v>151.58000000000001</v>
      </c>
    </row>
    <row r="8763" spans="1:29" ht="78" x14ac:dyDescent="0.15">
      <c r="A8763" s="3">
        <f>DATE(2007,8,3)</f>
        <v>39297</v>
      </c>
      <c r="B8763" s="3">
        <f>DATE(2007,11,30)</f>
        <v>39416</v>
      </c>
      <c r="C8763" s="2" t="s">
        <v>95</v>
      </c>
      <c r="D8763" s="2" t="s">
        <v>25946</v>
      </c>
      <c r="E8763" s="2" t="s">
        <v>263</v>
      </c>
      <c r="F8763" s="4">
        <v>6712</v>
      </c>
      <c r="G8763" s="2" t="s">
        <v>37</v>
      </c>
      <c r="H8763" s="2" t="s">
        <v>34</v>
      </c>
      <c r="I8763" s="2" t="s">
        <v>3289</v>
      </c>
      <c r="J8763" s="2" t="s">
        <v>159</v>
      </c>
      <c r="K8763" s="2" t="s">
        <v>37</v>
      </c>
      <c r="L8763" s="2" t="s">
        <v>34</v>
      </c>
      <c r="M8763" s="2"/>
      <c r="N8763" s="2"/>
      <c r="O8763" s="2"/>
      <c r="P8763" s="2" t="s">
        <v>25947</v>
      </c>
      <c r="Q8763" s="6">
        <v>100</v>
      </c>
      <c r="R8763" s="6">
        <v>3.4</v>
      </c>
      <c r="S8763" s="5">
        <v>-37.4</v>
      </c>
      <c r="T8763" s="7">
        <v>-32.319000000000003</v>
      </c>
      <c r="U8763" s="5">
        <v>5.5</v>
      </c>
      <c r="V8763" s="6">
        <v>-5.74</v>
      </c>
      <c r="W8763" s="5">
        <v>2.6</v>
      </c>
      <c r="X8763" s="6">
        <v>2.3199999999999998</v>
      </c>
      <c r="Y8763" s="6">
        <v>2.2799999999999998</v>
      </c>
      <c r="Z8763" s="6">
        <v>2.86</v>
      </c>
      <c r="AA8763" s="6">
        <v>6.51</v>
      </c>
      <c r="AB8763" s="2" t="s">
        <v>86</v>
      </c>
      <c r="AC8763" s="2"/>
    </row>
    <row r="8764" spans="1:29" ht="78" x14ac:dyDescent="0.15">
      <c r="A8764" s="3">
        <f>DATE(2007,8,6)</f>
        <v>39300</v>
      </c>
      <c r="B8764" s="3">
        <f>DATE(2007,9,21)</f>
        <v>39346</v>
      </c>
      <c r="C8764" s="2" t="s">
        <v>95</v>
      </c>
      <c r="D8764" s="2" t="s">
        <v>25948</v>
      </c>
      <c r="E8764" s="2" t="s">
        <v>10214</v>
      </c>
      <c r="F8764" s="4">
        <v>3812</v>
      </c>
      <c r="G8764" s="2" t="s">
        <v>226</v>
      </c>
      <c r="H8764" s="2" t="s">
        <v>34</v>
      </c>
      <c r="I8764" s="2" t="s">
        <v>51</v>
      </c>
      <c r="J8764" s="2" t="s">
        <v>52</v>
      </c>
      <c r="K8764" s="2" t="s">
        <v>53</v>
      </c>
      <c r="L8764" s="2" t="s">
        <v>34</v>
      </c>
      <c r="M8764" s="2"/>
      <c r="N8764" s="2"/>
      <c r="O8764" s="2"/>
      <c r="P8764" s="2" t="s">
        <v>25949</v>
      </c>
      <c r="Q8764" s="6">
        <v>100</v>
      </c>
      <c r="R8764" s="6">
        <v>7</v>
      </c>
      <c r="S8764" s="5">
        <v>-18.2</v>
      </c>
      <c r="T8764" s="7">
        <v>2.544</v>
      </c>
      <c r="U8764" s="5">
        <v>3</v>
      </c>
      <c r="V8764" s="6">
        <v>-2.21</v>
      </c>
      <c r="W8764" s="6">
        <v>5.33</v>
      </c>
      <c r="X8764" s="6">
        <v>5.21</v>
      </c>
      <c r="Y8764" s="6">
        <v>5.29</v>
      </c>
      <c r="Z8764" s="6">
        <v>6.73</v>
      </c>
      <c r="AA8764" s="6">
        <v>8.44</v>
      </c>
      <c r="AB8764" s="2" t="s">
        <v>86</v>
      </c>
      <c r="AC8764" s="2"/>
    </row>
    <row r="8765" spans="1:29" ht="156" x14ac:dyDescent="0.15">
      <c r="A8765" s="3">
        <f>DATE(2007,8,6)</f>
        <v>39300</v>
      </c>
      <c r="B8765" s="3">
        <f>DATE(2007,11,7)</f>
        <v>39393</v>
      </c>
      <c r="C8765" s="2" t="s">
        <v>95</v>
      </c>
      <c r="D8765" s="2" t="s">
        <v>25950</v>
      </c>
      <c r="E8765" s="2" t="s">
        <v>25951</v>
      </c>
      <c r="F8765" s="4">
        <v>3841</v>
      </c>
      <c r="G8765" s="2" t="s">
        <v>226</v>
      </c>
      <c r="H8765" s="2" t="s">
        <v>34</v>
      </c>
      <c r="I8765" s="2" t="s">
        <v>20285</v>
      </c>
      <c r="J8765" s="2" t="s">
        <v>20286</v>
      </c>
      <c r="K8765" s="2" t="s">
        <v>130</v>
      </c>
      <c r="L8765" s="2" t="s">
        <v>34</v>
      </c>
      <c r="M8765" s="12">
        <v>2405.1759999999999</v>
      </c>
      <c r="N8765" s="6">
        <v>46.46</v>
      </c>
      <c r="O8765" s="6">
        <v>46.36</v>
      </c>
      <c r="P8765" s="2" t="s">
        <v>25952</v>
      </c>
      <c r="Q8765" s="6">
        <v>100</v>
      </c>
      <c r="R8765" s="6">
        <v>12.65</v>
      </c>
      <c r="S8765" s="5">
        <v>-6.3</v>
      </c>
      <c r="T8765" s="7">
        <v>-4.976</v>
      </c>
      <c r="U8765" s="5">
        <v>1</v>
      </c>
      <c r="V8765" s="6">
        <v>-0.53</v>
      </c>
      <c r="W8765" s="6">
        <v>9.4600000000000009</v>
      </c>
      <c r="X8765" s="6">
        <v>9.4499999999999993</v>
      </c>
      <c r="Y8765" s="6">
        <v>9.27</v>
      </c>
      <c r="Z8765" s="5">
        <v>12.4</v>
      </c>
      <c r="AA8765" s="6">
        <v>13.2</v>
      </c>
      <c r="AB8765" s="2" t="s">
        <v>86</v>
      </c>
      <c r="AC8765" s="6">
        <v>164.29</v>
      </c>
    </row>
    <row r="8766" spans="1:29" ht="104" x14ac:dyDescent="0.15">
      <c r="A8766" s="3">
        <f>DATE(2007,8,6)</f>
        <v>39300</v>
      </c>
      <c r="B8766" s="3">
        <f>DATE(2007,9,18)</f>
        <v>39343</v>
      </c>
      <c r="C8766" s="2" t="s">
        <v>95</v>
      </c>
      <c r="D8766" s="2" t="s">
        <v>25953</v>
      </c>
      <c r="E8766" s="2" t="s">
        <v>25954</v>
      </c>
      <c r="F8766" s="4">
        <v>7374</v>
      </c>
      <c r="G8766" s="2" t="s">
        <v>223</v>
      </c>
      <c r="H8766" s="2" t="s">
        <v>34</v>
      </c>
      <c r="I8766" s="2" t="s">
        <v>25955</v>
      </c>
      <c r="J8766" s="2" t="s">
        <v>15468</v>
      </c>
      <c r="K8766" s="2" t="s">
        <v>551</v>
      </c>
      <c r="L8766" s="2" t="s">
        <v>34</v>
      </c>
      <c r="M8766" s="2"/>
      <c r="N8766" s="2"/>
      <c r="O8766" s="2"/>
      <c r="P8766" s="2" t="s">
        <v>25956</v>
      </c>
      <c r="Q8766" s="6">
        <v>100</v>
      </c>
      <c r="R8766" s="6">
        <v>18.7</v>
      </c>
      <c r="S8766" s="5">
        <v>9.6999999999999993</v>
      </c>
      <c r="T8766" s="7">
        <v>45.115000000000002</v>
      </c>
      <c r="U8766" s="5">
        <v>5.9</v>
      </c>
      <c r="V8766" s="6">
        <v>0.41</v>
      </c>
      <c r="W8766" s="6">
        <v>17.440000000000001</v>
      </c>
      <c r="X8766" s="6">
        <v>17.73</v>
      </c>
      <c r="Y8766" s="6">
        <v>18.149999999999999</v>
      </c>
      <c r="Z8766" s="6">
        <v>18.16</v>
      </c>
      <c r="AA8766" s="6">
        <v>22.11</v>
      </c>
      <c r="AB8766" s="7">
        <v>24.79</v>
      </c>
      <c r="AC8766" s="2"/>
    </row>
    <row r="8767" spans="1:29" ht="91" x14ac:dyDescent="0.15">
      <c r="A8767" s="3">
        <f>DATE(2007,8,7)</f>
        <v>39301</v>
      </c>
      <c r="B8767" s="3">
        <f>DATE(2007,10,29)</f>
        <v>39384</v>
      </c>
      <c r="C8767" s="2" t="s">
        <v>95</v>
      </c>
      <c r="D8767" s="2" t="s">
        <v>25957</v>
      </c>
      <c r="E8767" s="2" t="s">
        <v>6711</v>
      </c>
      <c r="F8767" s="4">
        <v>2836</v>
      </c>
      <c r="G8767" s="2" t="s">
        <v>130</v>
      </c>
      <c r="H8767" s="2" t="s">
        <v>34</v>
      </c>
      <c r="I8767" s="2" t="s">
        <v>25958</v>
      </c>
      <c r="J8767" s="2" t="s">
        <v>25959</v>
      </c>
      <c r="K8767" s="2" t="s">
        <v>226</v>
      </c>
      <c r="L8767" s="2" t="s">
        <v>34</v>
      </c>
      <c r="M8767" s="10">
        <v>1374.24</v>
      </c>
      <c r="N8767" s="6">
        <v>47.94</v>
      </c>
      <c r="O8767" s="6">
        <v>47.37</v>
      </c>
      <c r="P8767" s="2" t="s">
        <v>25960</v>
      </c>
      <c r="Q8767" s="6">
        <v>100</v>
      </c>
      <c r="R8767" s="6">
        <v>7.25</v>
      </c>
      <c r="S8767" s="5">
        <v>-13.5</v>
      </c>
      <c r="T8767" s="7">
        <v>-11.211</v>
      </c>
      <c r="U8767" s="5">
        <v>5.8</v>
      </c>
      <c r="V8767" s="6">
        <v>-0.9</v>
      </c>
      <c r="W8767" s="6">
        <v>6.99</v>
      </c>
      <c r="X8767" s="6">
        <v>6.88</v>
      </c>
      <c r="Y8767" s="6">
        <v>7.09</v>
      </c>
      <c r="Z8767" s="4">
        <v>7</v>
      </c>
      <c r="AA8767" s="6">
        <v>6.42</v>
      </c>
      <c r="AB8767" s="2" t="s">
        <v>86</v>
      </c>
      <c r="AC8767" s="6">
        <v>120.84</v>
      </c>
    </row>
    <row r="8768" spans="1:29" ht="117" x14ac:dyDescent="0.15">
      <c r="A8768" s="3">
        <f>DATE(2007,8,7)</f>
        <v>39301</v>
      </c>
      <c r="B8768" s="3">
        <f>DATE(2007,11,12)</f>
        <v>39398</v>
      </c>
      <c r="C8768" s="2" t="s">
        <v>95</v>
      </c>
      <c r="D8768" s="2" t="s">
        <v>25961</v>
      </c>
      <c r="E8768" s="2" t="s">
        <v>7300</v>
      </c>
      <c r="F8768" s="4">
        <v>3842</v>
      </c>
      <c r="G8768" s="2" t="s">
        <v>226</v>
      </c>
      <c r="H8768" s="2" t="s">
        <v>34</v>
      </c>
      <c r="I8768" s="2" t="s">
        <v>21793</v>
      </c>
      <c r="J8768" s="2" t="s">
        <v>21794</v>
      </c>
      <c r="K8768" s="2" t="s">
        <v>358</v>
      </c>
      <c r="L8768" s="2" t="s">
        <v>34</v>
      </c>
      <c r="M8768" s="12">
        <v>10339.376</v>
      </c>
      <c r="N8768" s="6">
        <v>42.65</v>
      </c>
      <c r="O8768" s="6">
        <v>43.19</v>
      </c>
      <c r="P8768" s="2" t="s">
        <v>25962</v>
      </c>
      <c r="Q8768" s="6">
        <v>100</v>
      </c>
      <c r="R8768" s="6">
        <v>6.3</v>
      </c>
      <c r="S8768" s="5">
        <v>8.1</v>
      </c>
      <c r="T8768" s="6">
        <v>14.32</v>
      </c>
      <c r="U8768" s="5">
        <v>3.2</v>
      </c>
      <c r="V8768" s="6">
        <v>0.18</v>
      </c>
      <c r="W8768" s="6">
        <v>4.8899999999999997</v>
      </c>
      <c r="X8768" s="5">
        <v>4.7</v>
      </c>
      <c r="Y8768" s="6">
        <v>4.6900000000000004</v>
      </c>
      <c r="Z8768" s="4">
        <v>6</v>
      </c>
      <c r="AA8768" s="6">
        <v>43.45</v>
      </c>
      <c r="AB8768" s="7">
        <v>24.734000000000002</v>
      </c>
      <c r="AC8768" s="5">
        <v>72.2</v>
      </c>
    </row>
    <row r="8769" spans="1:29" ht="78" x14ac:dyDescent="0.15">
      <c r="A8769" s="3">
        <f>DATE(2007,8,8)</f>
        <v>39302</v>
      </c>
      <c r="B8769" s="3">
        <f>DATE(2007,10,30)</f>
        <v>39385</v>
      </c>
      <c r="C8769" s="2" t="s">
        <v>95</v>
      </c>
      <c r="D8769" s="2" t="s">
        <v>25963</v>
      </c>
      <c r="E8769" s="2" t="s">
        <v>25964</v>
      </c>
      <c r="F8769" s="4">
        <v>7375</v>
      </c>
      <c r="G8769" s="2" t="s">
        <v>223</v>
      </c>
      <c r="H8769" s="2" t="s">
        <v>34</v>
      </c>
      <c r="I8769" s="2" t="s">
        <v>25965</v>
      </c>
      <c r="J8769" s="2" t="s">
        <v>25966</v>
      </c>
      <c r="K8769" s="2" t="s">
        <v>415</v>
      </c>
      <c r="L8769" s="2" t="s">
        <v>34</v>
      </c>
      <c r="M8769" s="12">
        <v>10625.775</v>
      </c>
      <c r="N8769" s="6">
        <v>60.81</v>
      </c>
      <c r="O8769" s="6">
        <v>58.25</v>
      </c>
      <c r="P8769" s="2" t="s">
        <v>25967</v>
      </c>
      <c r="Q8769" s="6">
        <v>83.24</v>
      </c>
      <c r="R8769" s="6">
        <v>6.25</v>
      </c>
      <c r="S8769" s="5">
        <v>-5.2</v>
      </c>
      <c r="T8769" s="7">
        <v>-4.6159999999999997</v>
      </c>
      <c r="U8769" s="5">
        <v>1.1000000000000001</v>
      </c>
      <c r="V8769" s="6">
        <v>-0.79</v>
      </c>
      <c r="W8769" s="6">
        <v>6.84</v>
      </c>
      <c r="X8769" s="6">
        <v>6.99</v>
      </c>
      <c r="Y8769" s="5">
        <v>5.9</v>
      </c>
      <c r="Z8769" s="5">
        <v>5.9</v>
      </c>
      <c r="AA8769" s="6">
        <v>6.59</v>
      </c>
      <c r="AB8769" s="2" t="s">
        <v>86</v>
      </c>
      <c r="AC8769" s="6">
        <v>934.41</v>
      </c>
    </row>
    <row r="8770" spans="1:29" ht="156" x14ac:dyDescent="0.15">
      <c r="A8770" s="3">
        <f>DATE(2007,8,9)</f>
        <v>39303</v>
      </c>
      <c r="B8770" s="3">
        <f>DATE(2008,1,2)</f>
        <v>39449</v>
      </c>
      <c r="C8770" s="2" t="s">
        <v>95</v>
      </c>
      <c r="D8770" s="2" t="s">
        <v>25968</v>
      </c>
      <c r="E8770" s="2" t="s">
        <v>7926</v>
      </c>
      <c r="F8770" s="4">
        <v>3669</v>
      </c>
      <c r="G8770" s="2" t="s">
        <v>921</v>
      </c>
      <c r="H8770" s="2" t="s">
        <v>34</v>
      </c>
      <c r="I8770" s="2" t="s">
        <v>16476</v>
      </c>
      <c r="J8770" s="2" t="s">
        <v>16477</v>
      </c>
      <c r="K8770" s="2" t="s">
        <v>921</v>
      </c>
      <c r="L8770" s="2" t="s">
        <v>34</v>
      </c>
      <c r="M8770" s="7">
        <v>91.870999999999995</v>
      </c>
      <c r="N8770" s="6">
        <v>1.19</v>
      </c>
      <c r="O8770" s="6">
        <v>1.1399999999999999</v>
      </c>
      <c r="P8770" s="2" t="s">
        <v>25969</v>
      </c>
      <c r="Q8770" s="6">
        <v>45</v>
      </c>
      <c r="R8770" s="6">
        <v>1.54</v>
      </c>
      <c r="S8770" s="5">
        <v>-10.3</v>
      </c>
      <c r="T8770" s="7">
        <v>-6.649</v>
      </c>
      <c r="U8770" s="5">
        <v>1.4</v>
      </c>
      <c r="V8770" s="6">
        <v>0.09</v>
      </c>
      <c r="W8770" s="5">
        <v>1.3</v>
      </c>
      <c r="X8770" s="5">
        <v>1.4</v>
      </c>
      <c r="Y8770" s="6">
        <v>1.53</v>
      </c>
      <c r="Z8770" s="6">
        <v>1.51</v>
      </c>
      <c r="AA8770" s="6">
        <v>44.53</v>
      </c>
      <c r="AB8770" s="2" t="s">
        <v>86</v>
      </c>
      <c r="AC8770" s="6">
        <v>15.64</v>
      </c>
    </row>
    <row r="8771" spans="1:29" ht="130" x14ac:dyDescent="0.15">
      <c r="A8771" s="3">
        <f>DATE(2007,8,12)</f>
        <v>39306</v>
      </c>
      <c r="B8771" s="3">
        <f>DATE(2008,1,31)</f>
        <v>39478</v>
      </c>
      <c r="C8771" s="2" t="s">
        <v>95</v>
      </c>
      <c r="D8771" s="2" t="s">
        <v>24911</v>
      </c>
      <c r="E8771" s="2" t="s">
        <v>58</v>
      </c>
      <c r="F8771" s="4">
        <v>4512</v>
      </c>
      <c r="G8771" s="2" t="s">
        <v>59</v>
      </c>
      <c r="H8771" s="2" t="s">
        <v>34</v>
      </c>
      <c r="I8771" s="2" t="s">
        <v>25970</v>
      </c>
      <c r="J8771" s="2" t="s">
        <v>244</v>
      </c>
      <c r="K8771" s="2" t="s">
        <v>53</v>
      </c>
      <c r="L8771" s="2" t="s">
        <v>34</v>
      </c>
      <c r="M8771" s="2"/>
      <c r="N8771" s="2"/>
      <c r="O8771" s="2"/>
      <c r="P8771" s="2" t="s">
        <v>25971</v>
      </c>
      <c r="Q8771" s="6">
        <v>100</v>
      </c>
      <c r="R8771" s="6">
        <v>17</v>
      </c>
      <c r="S8771" s="5">
        <v>18.2</v>
      </c>
      <c r="T8771" s="7">
        <v>26.757000000000001</v>
      </c>
      <c r="U8771" s="5">
        <v>2.6</v>
      </c>
      <c r="V8771" s="6">
        <v>0.78</v>
      </c>
      <c r="W8771" s="6">
        <v>13.71</v>
      </c>
      <c r="X8771" s="6">
        <v>14.23</v>
      </c>
      <c r="Y8771" s="4">
        <v>14</v>
      </c>
      <c r="Z8771" s="4">
        <v>14</v>
      </c>
      <c r="AA8771" s="6">
        <v>26.76</v>
      </c>
      <c r="AB8771" s="7">
        <v>23.079000000000001</v>
      </c>
      <c r="AC8771" s="2"/>
    </row>
    <row r="8772" spans="1:29" ht="78" x14ac:dyDescent="0.15">
      <c r="A8772" s="3">
        <f>DATE(2007,8,13)</f>
        <v>39307</v>
      </c>
      <c r="B8772" s="3">
        <f>DATE(2007,10,25)</f>
        <v>39380</v>
      </c>
      <c r="C8772" s="2" t="s">
        <v>95</v>
      </c>
      <c r="D8772" s="2" t="s">
        <v>25972</v>
      </c>
      <c r="E8772" s="2" t="s">
        <v>25973</v>
      </c>
      <c r="F8772" s="4">
        <v>7372</v>
      </c>
      <c r="G8772" s="2" t="s">
        <v>551</v>
      </c>
      <c r="H8772" s="2" t="s">
        <v>34</v>
      </c>
      <c r="I8772" s="2" t="s">
        <v>23854</v>
      </c>
      <c r="J8772" s="2" t="s">
        <v>8589</v>
      </c>
      <c r="K8772" s="2" t="s">
        <v>551</v>
      </c>
      <c r="L8772" s="2" t="s">
        <v>34</v>
      </c>
      <c r="M8772" s="2"/>
      <c r="N8772" s="2"/>
      <c r="O8772" s="2"/>
      <c r="P8772" s="2" t="s">
        <v>25974</v>
      </c>
      <c r="Q8772" s="6">
        <v>100</v>
      </c>
      <c r="R8772" s="6">
        <v>2.35</v>
      </c>
      <c r="S8772" s="5">
        <v>0</v>
      </c>
      <c r="T8772" s="7">
        <v>1.105</v>
      </c>
      <c r="U8772" s="5">
        <v>0</v>
      </c>
      <c r="V8772" s="6">
        <v>-0.01</v>
      </c>
      <c r="W8772" s="5">
        <v>2.1</v>
      </c>
      <c r="X8772" s="5">
        <v>2.1</v>
      </c>
      <c r="Y8772" s="6">
        <v>2.2400000000000002</v>
      </c>
      <c r="Z8772" s="6">
        <v>2.23</v>
      </c>
      <c r="AA8772" s="6">
        <v>7.92</v>
      </c>
      <c r="AB8772" s="7">
        <v>21.001999999999999</v>
      </c>
      <c r="AC8772" s="6">
        <v>3.33</v>
      </c>
    </row>
    <row r="8773" spans="1:29" ht="182" x14ac:dyDescent="0.15">
      <c r="A8773" s="3">
        <f>DATE(2007,8,13)</f>
        <v>39307</v>
      </c>
      <c r="B8773" s="3">
        <f>DATE(2007,11,13)</f>
        <v>39399</v>
      </c>
      <c r="C8773" s="2" t="s">
        <v>95</v>
      </c>
      <c r="D8773" s="2" t="s">
        <v>24420</v>
      </c>
      <c r="E8773" s="2" t="s">
        <v>24421</v>
      </c>
      <c r="F8773" s="4">
        <v>3674</v>
      </c>
      <c r="G8773" s="2" t="s">
        <v>137</v>
      </c>
      <c r="H8773" s="2" t="s">
        <v>34</v>
      </c>
      <c r="I8773" s="2" t="s">
        <v>25975</v>
      </c>
      <c r="J8773" s="2" t="s">
        <v>25976</v>
      </c>
      <c r="K8773" s="2" t="s">
        <v>137</v>
      </c>
      <c r="L8773" s="2" t="s">
        <v>34</v>
      </c>
      <c r="M8773" s="12">
        <v>1242.3489999999999</v>
      </c>
      <c r="N8773" s="6">
        <v>6.07</v>
      </c>
      <c r="O8773" s="6">
        <v>6.06</v>
      </c>
      <c r="P8773" s="2" t="s">
        <v>25977</v>
      </c>
      <c r="Q8773" s="6">
        <v>100</v>
      </c>
      <c r="R8773" s="6">
        <v>16.649999999999999</v>
      </c>
      <c r="S8773" s="5">
        <v>7.8</v>
      </c>
      <c r="T8773" s="7">
        <v>27.709</v>
      </c>
      <c r="U8773" s="5">
        <v>3.5</v>
      </c>
      <c r="V8773" s="6">
        <v>0.15</v>
      </c>
      <c r="W8773" s="6">
        <v>12.71</v>
      </c>
      <c r="X8773" s="6">
        <v>14.17</v>
      </c>
      <c r="Y8773" s="6">
        <v>15.38</v>
      </c>
      <c r="Z8773" s="6">
        <v>15.46</v>
      </c>
      <c r="AA8773" s="6">
        <v>52.15</v>
      </c>
      <c r="AB8773" s="7">
        <v>76.694999999999993</v>
      </c>
      <c r="AC8773" s="6">
        <v>684.04</v>
      </c>
    </row>
    <row r="8774" spans="1:29" ht="104" x14ac:dyDescent="0.15">
      <c r="A8774" s="3">
        <f>DATE(2007,8,14)</f>
        <v>39308</v>
      </c>
      <c r="B8774" s="3">
        <f>DATE(2007,12,21)</f>
        <v>39437</v>
      </c>
      <c r="C8774" s="2" t="s">
        <v>95</v>
      </c>
      <c r="D8774" s="2" t="s">
        <v>25978</v>
      </c>
      <c r="E8774" s="2" t="s">
        <v>3780</v>
      </c>
      <c r="F8774" s="4">
        <v>6021</v>
      </c>
      <c r="G8774" s="2" t="s">
        <v>37</v>
      </c>
      <c r="H8774" s="2" t="s">
        <v>34</v>
      </c>
      <c r="I8774" s="2" t="s">
        <v>25979</v>
      </c>
      <c r="J8774" s="2" t="s">
        <v>672</v>
      </c>
      <c r="K8774" s="2" t="s">
        <v>37</v>
      </c>
      <c r="L8774" s="2" t="s">
        <v>34</v>
      </c>
      <c r="M8774" s="7">
        <v>88.837000000000003</v>
      </c>
      <c r="N8774" s="6">
        <v>12.65</v>
      </c>
      <c r="O8774" s="6">
        <v>13.95</v>
      </c>
      <c r="P8774" s="2" t="s">
        <v>25980</v>
      </c>
      <c r="Q8774" s="6">
        <v>100</v>
      </c>
      <c r="R8774" s="2"/>
      <c r="S8774" s="2"/>
      <c r="T8774" s="2"/>
      <c r="U8774" s="2"/>
      <c r="V8774" s="2"/>
      <c r="W8774" s="5">
        <v>14.2</v>
      </c>
      <c r="X8774" s="5">
        <v>14.2</v>
      </c>
      <c r="Y8774" s="5">
        <v>14.2</v>
      </c>
      <c r="Z8774" s="5">
        <v>14.2</v>
      </c>
      <c r="AA8774" s="2"/>
      <c r="AB8774" s="2" t="s">
        <v>47</v>
      </c>
      <c r="AC8774" s="2"/>
    </row>
    <row r="8775" spans="1:29" ht="130" x14ac:dyDescent="0.15">
      <c r="A8775" s="3">
        <f>DATE(2007,8,14)</f>
        <v>39308</v>
      </c>
      <c r="B8775" s="3">
        <f>DATE(2008,1,3)</f>
        <v>39450</v>
      </c>
      <c r="C8775" s="2" t="s">
        <v>95</v>
      </c>
      <c r="D8775" s="2" t="s">
        <v>16648</v>
      </c>
      <c r="E8775" s="2" t="s">
        <v>672</v>
      </c>
      <c r="F8775" s="4">
        <v>6022</v>
      </c>
      <c r="G8775" s="2" t="s">
        <v>37</v>
      </c>
      <c r="H8775" s="2" t="s">
        <v>34</v>
      </c>
      <c r="I8775" s="2" t="s">
        <v>14963</v>
      </c>
      <c r="J8775" s="2" t="s">
        <v>159</v>
      </c>
      <c r="K8775" s="2" t="s">
        <v>37</v>
      </c>
      <c r="L8775" s="2" t="s">
        <v>34</v>
      </c>
      <c r="M8775" s="7">
        <v>237.398</v>
      </c>
      <c r="N8775" s="6">
        <v>35.32</v>
      </c>
      <c r="O8775" s="5">
        <v>36.5</v>
      </c>
      <c r="P8775" s="2" t="s">
        <v>25981</v>
      </c>
      <c r="Q8775" s="6">
        <v>100</v>
      </c>
      <c r="R8775" s="6">
        <v>69.81</v>
      </c>
      <c r="S8775" s="5">
        <v>3.9</v>
      </c>
      <c r="T8775" s="7">
        <v>5.9379999999999997</v>
      </c>
      <c r="U8775" s="5">
        <v>39</v>
      </c>
      <c r="V8775" s="6">
        <v>3.63</v>
      </c>
      <c r="W8775" s="6">
        <v>50.85</v>
      </c>
      <c r="X8775" s="4">
        <v>51</v>
      </c>
      <c r="Y8775" s="6">
        <v>66.25</v>
      </c>
      <c r="Z8775" s="5">
        <v>67.5</v>
      </c>
      <c r="AA8775" s="6">
        <v>1.07</v>
      </c>
      <c r="AB8775" s="7">
        <v>46.656999999999996</v>
      </c>
      <c r="AC8775" s="2"/>
    </row>
    <row r="8776" spans="1:29" ht="91" x14ac:dyDescent="0.15">
      <c r="A8776" s="3">
        <f>DATE(2007,8,15)</f>
        <v>39309</v>
      </c>
      <c r="B8776" s="3">
        <f>DATE(2007,11,5)</f>
        <v>39391</v>
      </c>
      <c r="C8776" s="2" t="s">
        <v>95</v>
      </c>
      <c r="D8776" s="2" t="s">
        <v>25982</v>
      </c>
      <c r="E8776" s="2" t="s">
        <v>25983</v>
      </c>
      <c r="F8776" s="4">
        <v>3643</v>
      </c>
      <c r="G8776" s="2" t="s">
        <v>137</v>
      </c>
      <c r="H8776" s="2" t="s">
        <v>34</v>
      </c>
      <c r="I8776" s="2" t="s">
        <v>8642</v>
      </c>
      <c r="J8776" s="2" t="s">
        <v>8643</v>
      </c>
      <c r="K8776" s="2" t="s">
        <v>137</v>
      </c>
      <c r="L8776" s="2" t="s">
        <v>34</v>
      </c>
      <c r="M8776" s="12">
        <v>3609.9490000000001</v>
      </c>
      <c r="N8776" s="6">
        <v>54.87</v>
      </c>
      <c r="O8776" s="6">
        <v>52.84</v>
      </c>
      <c r="P8776" s="2" t="s">
        <v>25984</v>
      </c>
      <c r="Q8776" s="6">
        <v>100</v>
      </c>
      <c r="R8776" s="6">
        <v>27</v>
      </c>
      <c r="S8776" s="5">
        <v>29.7</v>
      </c>
      <c r="T8776" s="7">
        <v>59.261000000000003</v>
      </c>
      <c r="U8776" s="5">
        <v>9.1</v>
      </c>
      <c r="V8776" s="6">
        <v>1.83</v>
      </c>
      <c r="W8776" s="6">
        <v>21.88</v>
      </c>
      <c r="X8776" s="6">
        <v>20.07</v>
      </c>
      <c r="Y8776" s="6">
        <v>19.64</v>
      </c>
      <c r="Z8776" s="5">
        <v>25.8</v>
      </c>
      <c r="AA8776" s="6">
        <v>15.85</v>
      </c>
      <c r="AB8776" s="7">
        <v>9.4039999999999999</v>
      </c>
      <c r="AC8776" s="6">
        <v>338.39</v>
      </c>
    </row>
    <row r="8777" spans="1:29" ht="143" x14ac:dyDescent="0.15">
      <c r="A8777" s="3">
        <f>DATE(2007,8,16)</f>
        <v>39310</v>
      </c>
      <c r="B8777" s="3">
        <f>DATE(2008,6,6)</f>
        <v>39605</v>
      </c>
      <c r="C8777" s="2" t="s">
        <v>95</v>
      </c>
      <c r="D8777" s="2" t="s">
        <v>9991</v>
      </c>
      <c r="E8777" s="2" t="s">
        <v>159</v>
      </c>
      <c r="F8777" s="4">
        <v>6021</v>
      </c>
      <c r="G8777" s="2" t="s">
        <v>37</v>
      </c>
      <c r="H8777" s="2" t="s">
        <v>34</v>
      </c>
      <c r="I8777" s="2" t="s">
        <v>1963</v>
      </c>
      <c r="J8777" s="2" t="s">
        <v>36</v>
      </c>
      <c r="K8777" s="2" t="s">
        <v>37</v>
      </c>
      <c r="L8777" s="2" t="s">
        <v>34</v>
      </c>
      <c r="M8777" s="12">
        <v>21206.011999999999</v>
      </c>
      <c r="N8777" s="6">
        <v>36.39</v>
      </c>
      <c r="O8777" s="6">
        <v>38.03</v>
      </c>
      <c r="P8777" s="2" t="s">
        <v>25985</v>
      </c>
      <c r="Q8777" s="6">
        <v>100</v>
      </c>
      <c r="R8777" s="6">
        <v>31</v>
      </c>
      <c r="S8777" s="5">
        <v>45.7</v>
      </c>
      <c r="T8777" s="7">
        <v>71.540999999999997</v>
      </c>
      <c r="U8777" s="5">
        <v>12.9</v>
      </c>
      <c r="V8777" s="6">
        <v>1.36</v>
      </c>
      <c r="W8777" s="6">
        <v>19.22</v>
      </c>
      <c r="X8777" s="6">
        <v>20.25</v>
      </c>
      <c r="Y8777" s="6">
        <v>27.94</v>
      </c>
      <c r="Z8777" s="6">
        <v>28.77</v>
      </c>
      <c r="AA8777" s="6">
        <v>34.69</v>
      </c>
      <c r="AB8777" s="7">
        <v>35.426000000000002</v>
      </c>
      <c r="AC8777" s="2"/>
    </row>
    <row r="8778" spans="1:29" ht="143" x14ac:dyDescent="0.15">
      <c r="A8778" s="3">
        <f>DATE(2007,8,16)</f>
        <v>39310</v>
      </c>
      <c r="B8778" s="3">
        <f>DATE(2007,10,1)</f>
        <v>39356</v>
      </c>
      <c r="C8778" s="2" t="s">
        <v>95</v>
      </c>
      <c r="D8778" s="2" t="s">
        <v>25986</v>
      </c>
      <c r="E8778" s="2" t="s">
        <v>3900</v>
      </c>
      <c r="F8778" s="4">
        <v>5812</v>
      </c>
      <c r="G8778" s="2" t="s">
        <v>230</v>
      </c>
      <c r="H8778" s="2" t="s">
        <v>34</v>
      </c>
      <c r="I8778" s="2" t="s">
        <v>25987</v>
      </c>
      <c r="J8778" s="2" t="s">
        <v>4601</v>
      </c>
      <c r="K8778" s="2" t="s">
        <v>230</v>
      </c>
      <c r="L8778" s="2" t="s">
        <v>34</v>
      </c>
      <c r="M8778" s="10">
        <v>6252.36</v>
      </c>
      <c r="N8778" s="6">
        <v>39.96</v>
      </c>
      <c r="O8778" s="6">
        <v>38.93</v>
      </c>
      <c r="P8778" s="2" t="s">
        <v>25988</v>
      </c>
      <c r="Q8778" s="6">
        <v>100</v>
      </c>
      <c r="R8778" s="6">
        <v>38.15</v>
      </c>
      <c r="S8778" s="5">
        <v>46.3</v>
      </c>
      <c r="T8778" s="7">
        <v>115.93600000000001</v>
      </c>
      <c r="U8778" s="5">
        <v>12.6</v>
      </c>
      <c r="V8778" s="6">
        <v>1.43</v>
      </c>
      <c r="W8778" s="6">
        <v>29.18</v>
      </c>
      <c r="X8778" s="6">
        <v>26.75</v>
      </c>
      <c r="Y8778" s="6">
        <v>27.51</v>
      </c>
      <c r="Z8778" s="6">
        <v>37.380000000000003</v>
      </c>
      <c r="AA8778" s="6">
        <v>30.61</v>
      </c>
      <c r="AB8778" s="7">
        <v>17.524999999999999</v>
      </c>
      <c r="AC8778" s="5">
        <v>30.2</v>
      </c>
    </row>
    <row r="8779" spans="1:29" ht="117" x14ac:dyDescent="0.15">
      <c r="A8779" s="3">
        <f>DATE(2007,8,21)</f>
        <v>39315</v>
      </c>
      <c r="B8779" s="2"/>
      <c r="C8779" s="2" t="s">
        <v>30</v>
      </c>
      <c r="D8779" s="2" t="s">
        <v>25989</v>
      </c>
      <c r="E8779" s="2" t="s">
        <v>10858</v>
      </c>
      <c r="F8779" s="4">
        <v>7373</v>
      </c>
      <c r="G8779" s="2" t="s">
        <v>223</v>
      </c>
      <c r="H8779" s="2" t="s">
        <v>34</v>
      </c>
      <c r="I8779" s="2" t="s">
        <v>25990</v>
      </c>
      <c r="J8779" s="2" t="s">
        <v>25991</v>
      </c>
      <c r="K8779" s="2" t="s">
        <v>223</v>
      </c>
      <c r="L8779" s="2" t="s">
        <v>34</v>
      </c>
      <c r="M8779" s="7">
        <v>118.551</v>
      </c>
      <c r="N8779" s="6">
        <v>7.88</v>
      </c>
      <c r="O8779" s="6">
        <v>8.0299999999999994</v>
      </c>
      <c r="P8779" s="2" t="s">
        <v>25992</v>
      </c>
      <c r="Q8779" s="2"/>
      <c r="R8779" s="6">
        <v>5.25</v>
      </c>
      <c r="S8779" s="5">
        <v>4</v>
      </c>
      <c r="T8779" s="7">
        <v>9.3559999999999999</v>
      </c>
      <c r="U8779" s="5">
        <v>3.2</v>
      </c>
      <c r="V8779" s="6">
        <v>0.24</v>
      </c>
      <c r="W8779" s="6">
        <v>4.41</v>
      </c>
      <c r="X8779" s="6">
        <v>4.3499999999999996</v>
      </c>
      <c r="Y8779" s="6">
        <v>4.47</v>
      </c>
      <c r="Z8779" s="6">
        <v>4.4800000000000004</v>
      </c>
      <c r="AA8779" s="6">
        <v>19.739999999999998</v>
      </c>
      <c r="AB8779" s="7">
        <v>16.257000000000001</v>
      </c>
      <c r="AC8779" s="6">
        <v>6.88</v>
      </c>
    </row>
    <row r="8780" spans="1:29" ht="78" x14ac:dyDescent="0.15">
      <c r="A8780" s="3">
        <f>DATE(2007,8,21)</f>
        <v>39315</v>
      </c>
      <c r="B8780" s="2"/>
      <c r="C8780" s="2" t="s">
        <v>87</v>
      </c>
      <c r="D8780" s="2" t="s">
        <v>24852</v>
      </c>
      <c r="E8780" s="2" t="s">
        <v>24853</v>
      </c>
      <c r="F8780" s="4">
        <v>7373</v>
      </c>
      <c r="G8780" s="2" t="s">
        <v>223</v>
      </c>
      <c r="H8780" s="2" t="s">
        <v>34</v>
      </c>
      <c r="I8780" s="2" t="s">
        <v>143</v>
      </c>
      <c r="J8780" s="2" t="s">
        <v>144</v>
      </c>
      <c r="K8780" s="2" t="s">
        <v>53</v>
      </c>
      <c r="L8780" s="2" t="s">
        <v>139</v>
      </c>
      <c r="M8780" s="2"/>
      <c r="N8780" s="2"/>
      <c r="O8780" s="2"/>
      <c r="P8780" s="2" t="s">
        <v>25993</v>
      </c>
      <c r="Q8780" s="2"/>
      <c r="R8780" s="2"/>
      <c r="S8780" s="5">
        <v>-40.5</v>
      </c>
      <c r="T8780" s="6">
        <v>20.78</v>
      </c>
      <c r="U8780" s="5">
        <v>6.1</v>
      </c>
      <c r="V8780" s="6">
        <v>-1.26</v>
      </c>
      <c r="W8780" s="5">
        <v>27.5</v>
      </c>
      <c r="X8780" s="5">
        <v>27.5</v>
      </c>
      <c r="Y8780" s="5">
        <v>26.1</v>
      </c>
      <c r="Z8780" s="6">
        <v>25.65</v>
      </c>
      <c r="AA8780" s="6">
        <v>32.19</v>
      </c>
      <c r="AB8780" s="2" t="s">
        <v>86</v>
      </c>
      <c r="AC8780" s="2"/>
    </row>
    <row r="8781" spans="1:29" ht="52" x14ac:dyDescent="0.15">
      <c r="A8781" s="3">
        <f>DATE(2007,8,22)</f>
        <v>39316</v>
      </c>
      <c r="B8781" s="2"/>
      <c r="C8781" s="2" t="s">
        <v>39</v>
      </c>
      <c r="D8781" s="2" t="s">
        <v>25994</v>
      </c>
      <c r="E8781" s="2" t="s">
        <v>11805</v>
      </c>
      <c r="F8781" s="4">
        <v>6211</v>
      </c>
      <c r="G8781" s="2" t="s">
        <v>53</v>
      </c>
      <c r="H8781" s="2" t="s">
        <v>34</v>
      </c>
      <c r="I8781" s="2" t="s">
        <v>25995</v>
      </c>
      <c r="J8781" s="2" t="s">
        <v>22961</v>
      </c>
      <c r="K8781" s="2" t="s">
        <v>53</v>
      </c>
      <c r="L8781" s="2" t="s">
        <v>34</v>
      </c>
      <c r="M8781" s="12">
        <v>10893.736000000001</v>
      </c>
      <c r="N8781" s="6">
        <v>17.149999999999999</v>
      </c>
      <c r="O8781" s="6">
        <v>17.239999999999998</v>
      </c>
      <c r="P8781" s="2" t="s">
        <v>25996</v>
      </c>
      <c r="Q8781" s="2"/>
      <c r="R8781" s="2"/>
      <c r="S8781" s="5">
        <v>656.4</v>
      </c>
      <c r="T8781" s="7">
        <v>249.14099999999999</v>
      </c>
      <c r="U8781" s="5">
        <v>101.9</v>
      </c>
      <c r="V8781" s="6">
        <v>15</v>
      </c>
      <c r="W8781" s="6">
        <v>13.91</v>
      </c>
      <c r="X8781" s="6">
        <v>15.57</v>
      </c>
      <c r="Y8781" s="6">
        <v>15.25</v>
      </c>
      <c r="Z8781" s="6">
        <v>15.34</v>
      </c>
      <c r="AA8781" s="6">
        <v>423.63</v>
      </c>
      <c r="AB8781" s="2" t="s">
        <v>86</v>
      </c>
      <c r="AC8781" s="10">
        <v>1692.17</v>
      </c>
    </row>
    <row r="8782" spans="1:29" ht="52" x14ac:dyDescent="0.15">
      <c r="A8782" s="3">
        <f>DATE(2007,8,23)</f>
        <v>39317</v>
      </c>
      <c r="B8782" s="2"/>
      <c r="C8782" s="2" t="s">
        <v>30</v>
      </c>
      <c r="D8782" s="2" t="s">
        <v>25997</v>
      </c>
      <c r="E8782" s="2" t="s">
        <v>6321</v>
      </c>
      <c r="F8782" s="4">
        <v>6798</v>
      </c>
      <c r="G8782" s="2" t="s">
        <v>53</v>
      </c>
      <c r="H8782" s="2" t="s">
        <v>34</v>
      </c>
      <c r="I8782" s="2" t="s">
        <v>25998</v>
      </c>
      <c r="J8782" s="2" t="s">
        <v>92</v>
      </c>
      <c r="K8782" s="2" t="s">
        <v>53</v>
      </c>
      <c r="L8782" s="2" t="s">
        <v>34</v>
      </c>
      <c r="M8782" s="7">
        <v>445.73700000000002</v>
      </c>
      <c r="N8782" s="6">
        <v>19.920000000000002</v>
      </c>
      <c r="O8782" s="6">
        <v>19.559999999999999</v>
      </c>
      <c r="P8782" s="2" t="s">
        <v>25999</v>
      </c>
      <c r="Q8782" s="2"/>
      <c r="R8782" s="2"/>
      <c r="S8782" s="5">
        <v>2.8</v>
      </c>
      <c r="T8782" s="7">
        <v>18.334</v>
      </c>
      <c r="U8782" s="5">
        <v>12.9</v>
      </c>
      <c r="V8782" s="6">
        <v>0.11</v>
      </c>
      <c r="W8782" s="6">
        <v>6.06</v>
      </c>
      <c r="X8782" s="5">
        <v>6.1</v>
      </c>
      <c r="Y8782" s="6">
        <v>7.37</v>
      </c>
      <c r="Z8782" s="6">
        <v>6.87</v>
      </c>
      <c r="AA8782" s="6">
        <v>30.83</v>
      </c>
      <c r="AB8782" s="2" t="s">
        <v>47</v>
      </c>
      <c r="AC8782" s="5">
        <v>208.5</v>
      </c>
    </row>
    <row r="8783" spans="1:29" ht="104" x14ac:dyDescent="0.15">
      <c r="A8783" s="3">
        <f>DATE(2007,8,24)</f>
        <v>39318</v>
      </c>
      <c r="B8783" s="2"/>
      <c r="C8783" s="2" t="s">
        <v>30</v>
      </c>
      <c r="D8783" s="2" t="s">
        <v>26000</v>
      </c>
      <c r="E8783" s="2" t="s">
        <v>14365</v>
      </c>
      <c r="F8783" s="4">
        <v>4833</v>
      </c>
      <c r="G8783" s="2" t="s">
        <v>45</v>
      </c>
      <c r="H8783" s="2" t="s">
        <v>34</v>
      </c>
      <c r="I8783" s="2" t="s">
        <v>26001</v>
      </c>
      <c r="J8783" s="2" t="s">
        <v>26002</v>
      </c>
      <c r="K8783" s="2" t="s">
        <v>186</v>
      </c>
      <c r="L8783" s="2" t="s">
        <v>34</v>
      </c>
      <c r="M8783" s="2"/>
      <c r="N8783" s="2"/>
      <c r="O8783" s="2"/>
      <c r="P8783" s="2" t="s">
        <v>26003</v>
      </c>
      <c r="Q8783" s="2"/>
      <c r="R8783" s="6">
        <v>23.5</v>
      </c>
      <c r="S8783" s="5">
        <v>82</v>
      </c>
      <c r="T8783" s="7">
        <v>342.988</v>
      </c>
      <c r="U8783" s="5">
        <v>20.2</v>
      </c>
      <c r="V8783" s="6">
        <v>0.88</v>
      </c>
      <c r="W8783" s="6">
        <v>20.46</v>
      </c>
      <c r="X8783" s="6">
        <v>20.46</v>
      </c>
      <c r="Y8783" s="6">
        <v>25.22</v>
      </c>
      <c r="Z8783" s="6">
        <v>25.36</v>
      </c>
      <c r="AA8783" s="6">
        <v>93.87</v>
      </c>
      <c r="AB8783" s="7">
        <v>15.118</v>
      </c>
      <c r="AC8783" s="2"/>
    </row>
    <row r="8784" spans="1:29" ht="130" x14ac:dyDescent="0.15">
      <c r="A8784" s="3">
        <f>DATE(2007,8,27)</f>
        <v>39321</v>
      </c>
      <c r="B8784" s="3">
        <f>DATE(2008,1,31)</f>
        <v>39478</v>
      </c>
      <c r="C8784" s="2" t="s">
        <v>95</v>
      </c>
      <c r="D8784" s="2" t="s">
        <v>26004</v>
      </c>
      <c r="E8784" s="2" t="s">
        <v>159</v>
      </c>
      <c r="F8784" s="4">
        <v>6021</v>
      </c>
      <c r="G8784" s="2" t="s">
        <v>37</v>
      </c>
      <c r="H8784" s="2" t="s">
        <v>34</v>
      </c>
      <c r="I8784" s="2" t="s">
        <v>26005</v>
      </c>
      <c r="J8784" s="2" t="s">
        <v>17388</v>
      </c>
      <c r="K8784" s="2" t="s">
        <v>37</v>
      </c>
      <c r="L8784" s="2" t="s">
        <v>34</v>
      </c>
      <c r="M8784" s="7">
        <v>53.588999999999999</v>
      </c>
      <c r="N8784" s="6">
        <v>14.73</v>
      </c>
      <c r="O8784" s="6">
        <v>14.11</v>
      </c>
      <c r="P8784" s="2" t="s">
        <v>26006</v>
      </c>
      <c r="Q8784" s="6">
        <v>100</v>
      </c>
      <c r="R8784" s="6">
        <v>21.65</v>
      </c>
      <c r="S8784" s="5">
        <v>1.9</v>
      </c>
      <c r="T8784" s="7">
        <v>3.4569999999999999</v>
      </c>
      <c r="U8784" s="5">
        <v>12.3</v>
      </c>
      <c r="V8784" s="6">
        <v>0.73</v>
      </c>
      <c r="W8784" s="5">
        <v>14.4</v>
      </c>
      <c r="X8784" s="5">
        <v>13.6</v>
      </c>
      <c r="Y8784" s="5">
        <v>19.5</v>
      </c>
      <c r="Z8784" s="6">
        <v>19.11</v>
      </c>
      <c r="AA8784" s="6">
        <v>2.58</v>
      </c>
      <c r="AB8784" s="7">
        <v>17.867999999999999</v>
      </c>
      <c r="AC8784" s="2"/>
    </row>
    <row r="8785" spans="1:29" ht="91" x14ac:dyDescent="0.15">
      <c r="A8785" s="3">
        <f>DATE(2007,8,27)</f>
        <v>39321</v>
      </c>
      <c r="B8785" s="3">
        <f>DATE(2007,12,13)</f>
        <v>39429</v>
      </c>
      <c r="C8785" s="2" t="s">
        <v>95</v>
      </c>
      <c r="D8785" s="2" t="s">
        <v>26007</v>
      </c>
      <c r="E8785" s="2" t="s">
        <v>26008</v>
      </c>
      <c r="F8785" s="4">
        <v>5331</v>
      </c>
      <c r="G8785" s="2" t="s">
        <v>756</v>
      </c>
      <c r="H8785" s="2" t="s">
        <v>34</v>
      </c>
      <c r="I8785" s="2" t="s">
        <v>26009</v>
      </c>
      <c r="J8785" s="2" t="s">
        <v>3439</v>
      </c>
      <c r="K8785" s="2" t="s">
        <v>1461</v>
      </c>
      <c r="L8785" s="2" t="s">
        <v>902</v>
      </c>
      <c r="M8785" s="7">
        <v>934.51800000000003</v>
      </c>
      <c r="N8785" s="7">
        <v>19.553999999999998</v>
      </c>
      <c r="O8785" s="7">
        <v>19.516999999999999</v>
      </c>
      <c r="P8785" s="2" t="s">
        <v>26010</v>
      </c>
      <c r="Q8785" s="6">
        <v>100</v>
      </c>
      <c r="R8785" s="6">
        <v>11.75</v>
      </c>
      <c r="S8785" s="5">
        <v>2.8</v>
      </c>
      <c r="T8785" s="7">
        <v>7.0940000000000003</v>
      </c>
      <c r="U8785" s="5">
        <v>7</v>
      </c>
      <c r="V8785" s="6">
        <v>0.65</v>
      </c>
      <c r="W8785" s="6">
        <v>10.94</v>
      </c>
      <c r="X8785" s="5">
        <v>10.5</v>
      </c>
      <c r="Y8785" s="6">
        <v>10.51</v>
      </c>
      <c r="Z8785" s="6">
        <v>11.41</v>
      </c>
      <c r="AA8785" s="6">
        <v>4.05</v>
      </c>
      <c r="AB8785" s="7">
        <v>11.119</v>
      </c>
      <c r="AC8785" s="6">
        <v>26.72</v>
      </c>
    </row>
    <row r="8786" spans="1:29" ht="104" x14ac:dyDescent="0.15">
      <c r="A8786" s="3">
        <f>DATE(2007,8,27)</f>
        <v>39321</v>
      </c>
      <c r="B8786" s="3">
        <f>DATE(2007,10,16)</f>
        <v>39371</v>
      </c>
      <c r="C8786" s="2" t="s">
        <v>95</v>
      </c>
      <c r="D8786" s="2" t="s">
        <v>14712</v>
      </c>
      <c r="E8786" s="2" t="s">
        <v>14713</v>
      </c>
      <c r="F8786" s="4">
        <v>3571</v>
      </c>
      <c r="G8786" s="2" t="s">
        <v>50</v>
      </c>
      <c r="H8786" s="2" t="s">
        <v>34</v>
      </c>
      <c r="I8786" s="2" t="s">
        <v>937</v>
      </c>
      <c r="J8786" s="2" t="s">
        <v>26011</v>
      </c>
      <c r="K8786" s="2" t="s">
        <v>50</v>
      </c>
      <c r="L8786" s="2" t="s">
        <v>210</v>
      </c>
      <c r="M8786" s="12">
        <v>5104.7359999999999</v>
      </c>
      <c r="N8786" s="7">
        <v>1.9259999999999999</v>
      </c>
      <c r="O8786" s="7">
        <v>1.7909999999999999</v>
      </c>
      <c r="P8786" s="2" t="s">
        <v>26012</v>
      </c>
      <c r="Q8786" s="6">
        <v>100</v>
      </c>
      <c r="R8786" s="6">
        <v>1.9</v>
      </c>
      <c r="S8786" s="5">
        <v>23</v>
      </c>
      <c r="T8786" s="7">
        <v>-13.831</v>
      </c>
      <c r="U8786" s="5">
        <v>0.7</v>
      </c>
      <c r="V8786" s="6">
        <v>0.06</v>
      </c>
      <c r="W8786" s="6">
        <v>1.31</v>
      </c>
      <c r="X8786" s="6">
        <v>1.21</v>
      </c>
      <c r="Y8786" s="6">
        <v>1.82</v>
      </c>
      <c r="Z8786" s="6">
        <v>1.85</v>
      </c>
      <c r="AA8786" s="6">
        <v>373.64</v>
      </c>
      <c r="AB8786" s="2" t="s">
        <v>86</v>
      </c>
      <c r="AC8786" s="10">
        <v>1807.47</v>
      </c>
    </row>
    <row r="8787" spans="1:29" ht="91" x14ac:dyDescent="0.15">
      <c r="A8787" s="3">
        <f>DATE(2007,8,28)</f>
        <v>39322</v>
      </c>
      <c r="B8787" s="3">
        <f>DATE(2007,10,31)</f>
        <v>39386</v>
      </c>
      <c r="C8787" s="2" t="s">
        <v>95</v>
      </c>
      <c r="D8787" s="2" t="s">
        <v>26013</v>
      </c>
      <c r="E8787" s="2" t="s">
        <v>26014</v>
      </c>
      <c r="F8787" s="4">
        <v>2834</v>
      </c>
      <c r="G8787" s="2" t="s">
        <v>130</v>
      </c>
      <c r="H8787" s="2" t="s">
        <v>34</v>
      </c>
      <c r="I8787" s="2" t="s">
        <v>22709</v>
      </c>
      <c r="J8787" s="2" t="s">
        <v>9948</v>
      </c>
      <c r="K8787" s="2" t="s">
        <v>454</v>
      </c>
      <c r="L8787" s="2" t="s">
        <v>34</v>
      </c>
      <c r="M8787" s="12">
        <v>22006.075000000001</v>
      </c>
      <c r="N8787" s="6">
        <v>85.11</v>
      </c>
      <c r="O8787" s="6">
        <v>85.58</v>
      </c>
      <c r="P8787" s="2" t="s">
        <v>26015</v>
      </c>
      <c r="Q8787" s="6">
        <v>100</v>
      </c>
      <c r="R8787" s="6">
        <v>53</v>
      </c>
      <c r="S8787" s="5">
        <v>39.1</v>
      </c>
      <c r="T8787" s="7">
        <v>149.238</v>
      </c>
      <c r="U8787" s="5">
        <v>7.6</v>
      </c>
      <c r="V8787" s="6">
        <v>1.69</v>
      </c>
      <c r="W8787" s="6">
        <v>43.47</v>
      </c>
      <c r="X8787" s="6">
        <v>45.29</v>
      </c>
      <c r="Y8787" s="6">
        <v>51.69</v>
      </c>
      <c r="Z8787" s="6">
        <v>51.89</v>
      </c>
      <c r="AA8787" s="6">
        <v>22.92</v>
      </c>
      <c r="AB8787" s="7">
        <v>21.013000000000002</v>
      </c>
      <c r="AC8787" s="8">
        <v>1046</v>
      </c>
    </row>
    <row r="8788" spans="1:29" ht="130" x14ac:dyDescent="0.15">
      <c r="A8788" s="3">
        <f>DATE(2007,8,30)</f>
        <v>39324</v>
      </c>
      <c r="B8788" s="3">
        <f>DATE(2007,11,30)</f>
        <v>39416</v>
      </c>
      <c r="C8788" s="2" t="s">
        <v>95</v>
      </c>
      <c r="D8788" s="2" t="s">
        <v>26016</v>
      </c>
      <c r="E8788" s="2" t="s">
        <v>14447</v>
      </c>
      <c r="F8788" s="4">
        <v>6035</v>
      </c>
      <c r="G8788" s="2" t="s">
        <v>33</v>
      </c>
      <c r="H8788" s="2" t="s">
        <v>34</v>
      </c>
      <c r="I8788" s="2" t="s">
        <v>22550</v>
      </c>
      <c r="J8788" s="2" t="s">
        <v>36</v>
      </c>
      <c r="K8788" s="2" t="s">
        <v>37</v>
      </c>
      <c r="L8788" s="2" t="s">
        <v>34</v>
      </c>
      <c r="M8788" s="6">
        <v>286.43</v>
      </c>
      <c r="N8788" s="6">
        <v>36.33</v>
      </c>
      <c r="O8788" s="6">
        <v>35.659999999999997</v>
      </c>
      <c r="P8788" s="2" t="s">
        <v>26017</v>
      </c>
      <c r="Q8788" s="6">
        <v>100</v>
      </c>
      <c r="R8788" s="6">
        <v>35</v>
      </c>
      <c r="S8788" s="5">
        <v>1.3</v>
      </c>
      <c r="T8788" s="7">
        <v>1.964</v>
      </c>
      <c r="U8788" s="5">
        <v>14</v>
      </c>
      <c r="V8788" s="9">
        <v>1.1491</v>
      </c>
      <c r="W8788" s="6">
        <v>18.75</v>
      </c>
      <c r="X8788" s="6">
        <v>18.75</v>
      </c>
      <c r="Y8788" s="4">
        <v>34</v>
      </c>
      <c r="Z8788" s="5">
        <v>33.5</v>
      </c>
      <c r="AA8788" s="6">
        <v>1.1100000000000001</v>
      </c>
      <c r="AB8788" s="7">
        <v>121.352</v>
      </c>
      <c r="AC8788" s="2"/>
    </row>
    <row r="8789" spans="1:29" ht="143" x14ac:dyDescent="0.15">
      <c r="A8789" s="3">
        <f>DATE(2007,9,4)</f>
        <v>39329</v>
      </c>
      <c r="B8789" s="2"/>
      <c r="C8789" s="2" t="s">
        <v>30</v>
      </c>
      <c r="D8789" s="2" t="s">
        <v>26018</v>
      </c>
      <c r="E8789" s="2" t="s">
        <v>16453</v>
      </c>
      <c r="F8789" s="4">
        <v>4812</v>
      </c>
      <c r="G8789" s="2" t="s">
        <v>63</v>
      </c>
      <c r="H8789" s="2" t="s">
        <v>34</v>
      </c>
      <c r="I8789" s="2" t="s">
        <v>26019</v>
      </c>
      <c r="J8789" s="2" t="s">
        <v>16453</v>
      </c>
      <c r="K8789" s="2" t="s">
        <v>63</v>
      </c>
      <c r="L8789" s="2" t="s">
        <v>34</v>
      </c>
      <c r="M8789" s="12">
        <v>11100.234</v>
      </c>
      <c r="N8789" s="6">
        <v>28.65</v>
      </c>
      <c r="O8789" s="6">
        <v>28.89</v>
      </c>
      <c r="P8789" s="2" t="s">
        <v>26020</v>
      </c>
      <c r="Q8789" s="2"/>
      <c r="R8789" s="6">
        <v>75.05</v>
      </c>
      <c r="S8789" s="5">
        <v>-34.200000000000003</v>
      </c>
      <c r="T8789" s="7">
        <v>302.26499999999999</v>
      </c>
      <c r="U8789" s="5">
        <v>26.5</v>
      </c>
      <c r="V8789" s="6">
        <v>-0.55000000000000004</v>
      </c>
      <c r="W8789" s="5">
        <v>66.900000000000006</v>
      </c>
      <c r="X8789" s="5">
        <v>72.5</v>
      </c>
      <c r="Y8789" s="6">
        <v>83.47</v>
      </c>
      <c r="Z8789" s="5">
        <v>84.8</v>
      </c>
      <c r="AA8789" s="6">
        <v>68.22</v>
      </c>
      <c r="AB8789" s="7">
        <v>216.29599999999999</v>
      </c>
      <c r="AC8789" s="10">
        <v>1767.27</v>
      </c>
    </row>
    <row r="8790" spans="1:29" ht="104" x14ac:dyDescent="0.15">
      <c r="A8790" s="3">
        <f>DATE(2007,9,5)</f>
        <v>39330</v>
      </c>
      <c r="B8790" s="3">
        <f>DATE(2007,10,25)</f>
        <v>39380</v>
      </c>
      <c r="C8790" s="2" t="s">
        <v>95</v>
      </c>
      <c r="D8790" s="2" t="s">
        <v>26021</v>
      </c>
      <c r="E8790" s="2" t="s">
        <v>5102</v>
      </c>
      <c r="F8790" s="4">
        <v>7372</v>
      </c>
      <c r="G8790" s="2" t="s">
        <v>551</v>
      </c>
      <c r="H8790" s="2" t="s">
        <v>34</v>
      </c>
      <c r="I8790" s="2" t="s">
        <v>26022</v>
      </c>
      <c r="J8790" s="2" t="s">
        <v>5102</v>
      </c>
      <c r="K8790" s="2" t="s">
        <v>551</v>
      </c>
      <c r="L8790" s="2" t="s">
        <v>902</v>
      </c>
      <c r="M8790" s="12">
        <v>3512.384</v>
      </c>
      <c r="N8790" s="7">
        <v>41.100999999999999</v>
      </c>
      <c r="O8790" s="7">
        <v>41.488999999999997</v>
      </c>
      <c r="P8790" s="2" t="s">
        <v>26023</v>
      </c>
      <c r="Q8790" s="6">
        <v>100</v>
      </c>
      <c r="R8790" s="6">
        <v>17.87</v>
      </c>
      <c r="S8790" s="5">
        <v>9.8000000000000007</v>
      </c>
      <c r="T8790" s="7">
        <v>8.6110000000000007</v>
      </c>
      <c r="U8790" s="5">
        <v>2.7</v>
      </c>
      <c r="V8790" s="6">
        <v>0.56999999999999995</v>
      </c>
      <c r="W8790" s="7">
        <v>14.292</v>
      </c>
      <c r="X8790" s="6">
        <v>14.37</v>
      </c>
      <c r="Y8790" s="6">
        <v>17.579999999999998</v>
      </c>
      <c r="Z8790" s="6">
        <v>17.61</v>
      </c>
      <c r="AA8790" s="6">
        <v>16.05</v>
      </c>
      <c r="AB8790" s="7">
        <v>44.360999999999997</v>
      </c>
      <c r="AC8790" s="6">
        <v>439.25</v>
      </c>
    </row>
    <row r="8791" spans="1:29" ht="156" x14ac:dyDescent="0.15">
      <c r="A8791" s="3">
        <f>DATE(2007,9,5)</f>
        <v>39330</v>
      </c>
      <c r="B8791" s="3">
        <f>DATE(2008,2,21)</f>
        <v>39499</v>
      </c>
      <c r="C8791" s="2" t="s">
        <v>95</v>
      </c>
      <c r="D8791" s="2" t="s">
        <v>26024</v>
      </c>
      <c r="E8791" s="2" t="s">
        <v>1387</v>
      </c>
      <c r="F8791" s="4">
        <v>4922</v>
      </c>
      <c r="G8791" s="2" t="s">
        <v>439</v>
      </c>
      <c r="H8791" s="2" t="s">
        <v>34</v>
      </c>
      <c r="I8791" s="2" t="s">
        <v>26025</v>
      </c>
      <c r="J8791" s="2" t="s">
        <v>26026</v>
      </c>
      <c r="K8791" s="2" t="s">
        <v>148</v>
      </c>
      <c r="L8791" s="2" t="s">
        <v>34</v>
      </c>
      <c r="M8791" s="12">
        <v>1231.8720000000001</v>
      </c>
      <c r="N8791" s="4">
        <v>32</v>
      </c>
      <c r="O8791" s="6">
        <v>32.65</v>
      </c>
      <c r="P8791" s="2" t="s">
        <v>26027</v>
      </c>
      <c r="Q8791" s="6">
        <v>100</v>
      </c>
      <c r="R8791" s="6">
        <v>61.21</v>
      </c>
      <c r="S8791" s="5">
        <v>2.5</v>
      </c>
      <c r="T8791" s="7">
        <v>131.62299999999999</v>
      </c>
      <c r="U8791" s="5">
        <v>2.4</v>
      </c>
      <c r="V8791" s="6">
        <v>0.2</v>
      </c>
      <c r="W8791" s="6">
        <v>51.32</v>
      </c>
      <c r="X8791" s="6">
        <v>49.73</v>
      </c>
      <c r="Y8791" s="6">
        <v>50.06</v>
      </c>
      <c r="Z8791" s="6">
        <v>59.45</v>
      </c>
      <c r="AA8791" s="6">
        <v>12</v>
      </c>
      <c r="AB8791" s="7">
        <v>14.927</v>
      </c>
      <c r="AC8791" s="6">
        <v>32.409999999999997</v>
      </c>
    </row>
    <row r="8792" spans="1:29" ht="156" x14ac:dyDescent="0.15">
      <c r="A8792" s="3">
        <f>DATE(2007,9,6)</f>
        <v>39331</v>
      </c>
      <c r="B8792" s="3">
        <f>DATE(2008,2,22)</f>
        <v>39500</v>
      </c>
      <c r="C8792" s="2" t="s">
        <v>95</v>
      </c>
      <c r="D8792" s="2" t="s">
        <v>26028</v>
      </c>
      <c r="E8792" s="2" t="s">
        <v>159</v>
      </c>
      <c r="F8792" s="4">
        <v>6021</v>
      </c>
      <c r="G8792" s="2" t="s">
        <v>37</v>
      </c>
      <c r="H8792" s="2" t="s">
        <v>34</v>
      </c>
      <c r="I8792" s="2" t="s">
        <v>19861</v>
      </c>
      <c r="J8792" s="2" t="s">
        <v>159</v>
      </c>
      <c r="K8792" s="2" t="s">
        <v>37</v>
      </c>
      <c r="L8792" s="2" t="s">
        <v>34</v>
      </c>
      <c r="M8792" s="2"/>
      <c r="N8792" s="2"/>
      <c r="O8792" s="2"/>
      <c r="P8792" s="2" t="s">
        <v>26029</v>
      </c>
      <c r="Q8792" s="6">
        <v>100</v>
      </c>
      <c r="R8792" s="6">
        <v>80</v>
      </c>
      <c r="S8792" s="5">
        <v>83.5</v>
      </c>
      <c r="T8792" s="2"/>
      <c r="U8792" s="5">
        <v>42.4</v>
      </c>
      <c r="V8792" s="6">
        <v>4.09</v>
      </c>
      <c r="W8792" s="6">
        <v>53.84</v>
      </c>
      <c r="X8792" s="6">
        <v>53.12</v>
      </c>
      <c r="Y8792" s="5">
        <v>77.099999999999994</v>
      </c>
      <c r="Z8792" s="6">
        <v>77.05</v>
      </c>
      <c r="AA8792" s="6">
        <v>20.38</v>
      </c>
      <c r="AB8792" s="7">
        <v>22.614999999999998</v>
      </c>
      <c r="AC8792" s="2"/>
    </row>
    <row r="8793" spans="1:29" ht="156" x14ac:dyDescent="0.15">
      <c r="A8793" s="3">
        <f>DATE(2007,9,6)</f>
        <v>39331</v>
      </c>
      <c r="B8793" s="3">
        <f>DATE(2008,5,31)</f>
        <v>39599</v>
      </c>
      <c r="C8793" s="2" t="s">
        <v>95</v>
      </c>
      <c r="D8793" s="2" t="s">
        <v>26030</v>
      </c>
      <c r="E8793" s="2" t="s">
        <v>17331</v>
      </c>
      <c r="F8793" s="4">
        <v>6712</v>
      </c>
      <c r="G8793" s="2" t="s">
        <v>37</v>
      </c>
      <c r="H8793" s="2" t="s">
        <v>34</v>
      </c>
      <c r="I8793" s="2" t="s">
        <v>26031</v>
      </c>
      <c r="J8793" s="2" t="s">
        <v>23408</v>
      </c>
      <c r="K8793" s="2" t="s">
        <v>53</v>
      </c>
      <c r="L8793" s="2" t="s">
        <v>34</v>
      </c>
      <c r="M8793" s="7">
        <v>34.079000000000001</v>
      </c>
      <c r="N8793" s="6">
        <v>7.33</v>
      </c>
      <c r="O8793" s="6">
        <v>7.39</v>
      </c>
      <c r="P8793" s="2" t="s">
        <v>26032</v>
      </c>
      <c r="Q8793" s="6">
        <v>100</v>
      </c>
      <c r="R8793" s="6">
        <v>10.54</v>
      </c>
      <c r="S8793" s="5">
        <v>-0.4</v>
      </c>
      <c r="T8793" s="7">
        <v>0.73399999999999999</v>
      </c>
      <c r="U8793" s="5">
        <v>6.5</v>
      </c>
      <c r="V8793" s="6">
        <v>0.1</v>
      </c>
      <c r="W8793" s="6">
        <v>8.25</v>
      </c>
      <c r="X8793" s="6">
        <v>7.25</v>
      </c>
      <c r="Y8793" s="5">
        <v>9.1</v>
      </c>
      <c r="Z8793" s="6">
        <v>9.25</v>
      </c>
      <c r="AA8793" s="6">
        <v>9.3800000000000008</v>
      </c>
      <c r="AB8793" s="7">
        <v>272.30799999999999</v>
      </c>
      <c r="AC8793" s="2"/>
    </row>
    <row r="8794" spans="1:29" ht="78" x14ac:dyDescent="0.15">
      <c r="A8794" s="3">
        <f>DATE(2007,9,7)</f>
        <v>39332</v>
      </c>
      <c r="B8794" s="3">
        <f>DATE(2007,12,19)</f>
        <v>39435</v>
      </c>
      <c r="C8794" s="2" t="s">
        <v>95</v>
      </c>
      <c r="D8794" s="2" t="s">
        <v>26033</v>
      </c>
      <c r="E8794" s="2" t="s">
        <v>26034</v>
      </c>
      <c r="F8794" s="4">
        <v>3281</v>
      </c>
      <c r="G8794" s="2" t="s">
        <v>237</v>
      </c>
      <c r="H8794" s="2" t="s">
        <v>34</v>
      </c>
      <c r="I8794" s="2" t="s">
        <v>26035</v>
      </c>
      <c r="J8794" s="2" t="s">
        <v>844</v>
      </c>
      <c r="K8794" s="2" t="s">
        <v>109</v>
      </c>
      <c r="L8794" s="2" t="s">
        <v>34</v>
      </c>
      <c r="M8794" s="2"/>
      <c r="N8794" s="2"/>
      <c r="O8794" s="2"/>
      <c r="P8794" s="2" t="s">
        <v>26036</v>
      </c>
      <c r="Q8794" s="6">
        <v>100</v>
      </c>
      <c r="R8794" s="2"/>
      <c r="S8794" s="5">
        <v>0.2</v>
      </c>
      <c r="T8794" s="7">
        <v>0.61199999999999999</v>
      </c>
      <c r="U8794" s="5">
        <v>0.8</v>
      </c>
      <c r="V8794" s="6">
        <v>7.0000000000000007E-2</v>
      </c>
      <c r="W8794" s="5">
        <v>5.5</v>
      </c>
      <c r="X8794" s="5">
        <v>5.5</v>
      </c>
      <c r="Y8794" s="5">
        <v>6.5</v>
      </c>
      <c r="Z8794" s="6">
        <v>6.85</v>
      </c>
      <c r="AA8794" s="6">
        <v>2.0299999999999998</v>
      </c>
      <c r="AB8794" s="7">
        <v>108.577</v>
      </c>
      <c r="AC8794" s="2"/>
    </row>
    <row r="8795" spans="1:29" ht="91" x14ac:dyDescent="0.15">
      <c r="A8795" s="3">
        <f>DATE(2007,9,7)</f>
        <v>39332</v>
      </c>
      <c r="B8795" s="3">
        <f>DATE(2007,11,30)</f>
        <v>39416</v>
      </c>
      <c r="C8795" s="2" t="s">
        <v>95</v>
      </c>
      <c r="D8795" s="2" t="s">
        <v>26037</v>
      </c>
      <c r="E8795" s="2" t="s">
        <v>5499</v>
      </c>
      <c r="F8795" s="4">
        <v>6311</v>
      </c>
      <c r="G8795" s="2" t="s">
        <v>125</v>
      </c>
      <c r="H8795" s="2" t="s">
        <v>34</v>
      </c>
      <c r="I8795" s="2" t="s">
        <v>6602</v>
      </c>
      <c r="J8795" s="2" t="s">
        <v>5765</v>
      </c>
      <c r="K8795" s="2" t="s">
        <v>125</v>
      </c>
      <c r="L8795" s="2" t="s">
        <v>34</v>
      </c>
      <c r="M8795" s="12">
        <v>10506.514999999999</v>
      </c>
      <c r="N8795" s="6">
        <v>63.58</v>
      </c>
      <c r="O8795" s="6">
        <v>63.86</v>
      </c>
      <c r="P8795" s="2" t="s">
        <v>26038</v>
      </c>
      <c r="Q8795" s="6">
        <v>100</v>
      </c>
      <c r="R8795" s="6">
        <v>6.2</v>
      </c>
      <c r="S8795" s="5">
        <v>-4.7</v>
      </c>
      <c r="T8795" s="2"/>
      <c r="U8795" s="5">
        <v>8.6</v>
      </c>
      <c r="V8795" s="6">
        <v>-0.21</v>
      </c>
      <c r="W8795" s="6">
        <v>3.84</v>
      </c>
      <c r="X8795" s="6">
        <v>3.66</v>
      </c>
      <c r="Y8795" s="6">
        <v>3.49</v>
      </c>
      <c r="Z8795" s="6">
        <v>5.81</v>
      </c>
      <c r="AA8795" s="6">
        <v>22.22</v>
      </c>
      <c r="AB8795" s="7">
        <v>55.008000000000003</v>
      </c>
      <c r="AC8795" s="10">
        <v>3720.77</v>
      </c>
    </row>
    <row r="8796" spans="1:29" ht="169" x14ac:dyDescent="0.15">
      <c r="A8796" s="3">
        <f>DATE(2007,9,7)</f>
        <v>39332</v>
      </c>
      <c r="B8796" s="3">
        <f>DATE(2008,2,1)</f>
        <v>39479</v>
      </c>
      <c r="C8796" s="2" t="s">
        <v>95</v>
      </c>
      <c r="D8796" s="2" t="s">
        <v>22533</v>
      </c>
      <c r="E8796" s="2" t="s">
        <v>159</v>
      </c>
      <c r="F8796" s="4">
        <v>6712</v>
      </c>
      <c r="G8796" s="2" t="s">
        <v>37</v>
      </c>
      <c r="H8796" s="2" t="s">
        <v>34</v>
      </c>
      <c r="I8796" s="2" t="s">
        <v>345</v>
      </c>
      <c r="J8796" s="2" t="s">
        <v>36</v>
      </c>
      <c r="K8796" s="2" t="s">
        <v>37</v>
      </c>
      <c r="L8796" s="2" t="s">
        <v>34</v>
      </c>
      <c r="M8796" s="7">
        <v>826.39200000000005</v>
      </c>
      <c r="N8796" s="6">
        <v>15.38</v>
      </c>
      <c r="O8796" s="6">
        <v>15.15</v>
      </c>
      <c r="P8796" s="2" t="s">
        <v>26039</v>
      </c>
      <c r="Q8796" s="6">
        <v>100</v>
      </c>
      <c r="R8796" s="6">
        <v>17.309999999999999</v>
      </c>
      <c r="S8796" s="5">
        <v>19.7</v>
      </c>
      <c r="T8796" s="7">
        <v>33.225999999999999</v>
      </c>
      <c r="U8796" s="5">
        <v>13</v>
      </c>
      <c r="V8796" s="6">
        <v>0.75</v>
      </c>
      <c r="W8796" s="6">
        <v>14.71</v>
      </c>
      <c r="X8796" s="6">
        <v>14.37</v>
      </c>
      <c r="Y8796" s="5">
        <v>15.3</v>
      </c>
      <c r="Z8796" s="6">
        <v>15.29</v>
      </c>
      <c r="AA8796" s="6">
        <v>26.24</v>
      </c>
      <c r="AB8796" s="7">
        <v>37.921999999999997</v>
      </c>
      <c r="AC8796" s="2"/>
    </row>
    <row r="8797" spans="1:29" ht="130" x14ac:dyDescent="0.15">
      <c r="A8797" s="3">
        <f>DATE(2007,9,10)</f>
        <v>39335</v>
      </c>
      <c r="B8797" s="3">
        <f>DATE(2008,2,15)</f>
        <v>39493</v>
      </c>
      <c r="C8797" s="2" t="s">
        <v>95</v>
      </c>
      <c r="D8797" s="2" t="s">
        <v>26040</v>
      </c>
      <c r="E8797" s="2" t="s">
        <v>159</v>
      </c>
      <c r="F8797" s="4">
        <v>6035</v>
      </c>
      <c r="G8797" s="2" t="s">
        <v>33</v>
      </c>
      <c r="H8797" s="2" t="s">
        <v>34</v>
      </c>
      <c r="I8797" s="2" t="s">
        <v>21150</v>
      </c>
      <c r="J8797" s="2" t="s">
        <v>36</v>
      </c>
      <c r="K8797" s="2" t="s">
        <v>37</v>
      </c>
      <c r="L8797" s="2" t="s">
        <v>34</v>
      </c>
      <c r="M8797" s="12">
        <v>1317.0840000000001</v>
      </c>
      <c r="N8797" s="6">
        <v>13.39</v>
      </c>
      <c r="O8797" s="6">
        <v>13.66</v>
      </c>
      <c r="P8797" s="2" t="s">
        <v>26041</v>
      </c>
      <c r="Q8797" s="6">
        <v>100</v>
      </c>
      <c r="R8797" s="6">
        <v>14</v>
      </c>
      <c r="S8797" s="5">
        <v>-1.6</v>
      </c>
      <c r="T8797" s="7">
        <v>-1.036</v>
      </c>
      <c r="U8797" s="5">
        <v>12.3</v>
      </c>
      <c r="V8797" s="6">
        <v>-0.16</v>
      </c>
      <c r="W8797" s="6">
        <v>11.85</v>
      </c>
      <c r="X8797" s="4">
        <v>12</v>
      </c>
      <c r="Y8797" s="5">
        <v>13.1</v>
      </c>
      <c r="Z8797" s="6">
        <v>13.33</v>
      </c>
      <c r="AA8797" s="6">
        <v>10.93</v>
      </c>
      <c r="AB8797" s="2" t="s">
        <v>86</v>
      </c>
      <c r="AC8797" s="2"/>
    </row>
    <row r="8798" spans="1:29" ht="117" x14ac:dyDescent="0.15">
      <c r="A8798" s="3">
        <f>DATE(2007,9,11)</f>
        <v>39336</v>
      </c>
      <c r="B8798" s="3">
        <f>DATE(2007,10,24)</f>
        <v>39379</v>
      </c>
      <c r="C8798" s="2" t="s">
        <v>95</v>
      </c>
      <c r="D8798" s="2" t="s">
        <v>26042</v>
      </c>
      <c r="E8798" s="2" t="s">
        <v>26043</v>
      </c>
      <c r="F8798" s="4">
        <v>2331</v>
      </c>
      <c r="G8798" s="2" t="s">
        <v>708</v>
      </c>
      <c r="H8798" s="2" t="s">
        <v>34</v>
      </c>
      <c r="I8798" s="2" t="s">
        <v>26044</v>
      </c>
      <c r="J8798" s="2" t="s">
        <v>26045</v>
      </c>
      <c r="K8798" s="2" t="s">
        <v>73</v>
      </c>
      <c r="L8798" s="2" t="s">
        <v>34</v>
      </c>
      <c r="M8798" s="2"/>
      <c r="N8798" s="2"/>
      <c r="O8798" s="2"/>
      <c r="P8798" s="2" t="s">
        <v>26046</v>
      </c>
      <c r="Q8798" s="6">
        <v>78.63</v>
      </c>
      <c r="R8798" s="6">
        <v>13.7</v>
      </c>
      <c r="S8798" s="5">
        <v>8</v>
      </c>
      <c r="T8798" s="7">
        <v>20.873999999999999</v>
      </c>
      <c r="U8798" s="5">
        <v>8.6999999999999993</v>
      </c>
      <c r="V8798" s="6">
        <v>0.56000000000000005</v>
      </c>
      <c r="W8798" s="6">
        <v>8.5500000000000007</v>
      </c>
      <c r="X8798" s="6">
        <v>7.55</v>
      </c>
      <c r="Y8798" s="6">
        <v>13.47</v>
      </c>
      <c r="Z8798" s="6">
        <v>13.49</v>
      </c>
      <c r="AA8798" s="6">
        <v>13.98</v>
      </c>
      <c r="AB8798" s="7">
        <v>16.523</v>
      </c>
      <c r="AC8798" s="2"/>
    </row>
    <row r="8799" spans="1:29" ht="143" x14ac:dyDescent="0.15">
      <c r="A8799" s="3">
        <f>DATE(2007,9,12)</f>
        <v>39337</v>
      </c>
      <c r="B8799" s="3">
        <f>DATE(2008,3,14)</f>
        <v>39521</v>
      </c>
      <c r="C8799" s="2" t="s">
        <v>95</v>
      </c>
      <c r="D8799" s="2" t="s">
        <v>26047</v>
      </c>
      <c r="E8799" s="2" t="s">
        <v>3780</v>
      </c>
      <c r="F8799" s="4">
        <v>6021</v>
      </c>
      <c r="G8799" s="2" t="s">
        <v>37</v>
      </c>
      <c r="H8799" s="2" t="s">
        <v>34</v>
      </c>
      <c r="I8799" s="2" t="s">
        <v>26048</v>
      </c>
      <c r="J8799" s="2" t="s">
        <v>159</v>
      </c>
      <c r="K8799" s="2" t="s">
        <v>37</v>
      </c>
      <c r="L8799" s="2" t="s">
        <v>34</v>
      </c>
      <c r="M8799" s="7">
        <v>58.914000000000001</v>
      </c>
      <c r="N8799" s="6">
        <v>18.82</v>
      </c>
      <c r="O8799" s="5">
        <v>18.8</v>
      </c>
      <c r="P8799" s="2" t="s">
        <v>26049</v>
      </c>
      <c r="Q8799" s="6">
        <v>100</v>
      </c>
      <c r="R8799" s="6">
        <v>26.13</v>
      </c>
      <c r="S8799" s="5">
        <v>5.6</v>
      </c>
      <c r="T8799" s="7">
        <v>9.6140000000000008</v>
      </c>
      <c r="U8799" s="5">
        <v>17.100000000000001</v>
      </c>
      <c r="V8799" s="6">
        <v>1.5</v>
      </c>
      <c r="W8799" s="7">
        <v>16.952000000000002</v>
      </c>
      <c r="X8799" s="6">
        <v>16.989999999999998</v>
      </c>
      <c r="Y8799" s="6">
        <v>18.82</v>
      </c>
      <c r="Z8799" s="5">
        <v>18.8</v>
      </c>
      <c r="AA8799" s="6">
        <v>3.7</v>
      </c>
      <c r="AB8799" s="7">
        <v>26.408999999999999</v>
      </c>
      <c r="AC8799" s="2"/>
    </row>
    <row r="8800" spans="1:29" ht="169" x14ac:dyDescent="0.15">
      <c r="A8800" s="3">
        <f>DATE(2007,9,12)</f>
        <v>39337</v>
      </c>
      <c r="B8800" s="2"/>
      <c r="C8800" s="2" t="s">
        <v>30</v>
      </c>
      <c r="D8800" s="2" t="s">
        <v>17668</v>
      </c>
      <c r="E8800" s="2" t="s">
        <v>3246</v>
      </c>
      <c r="F8800" s="4">
        <v>6021</v>
      </c>
      <c r="G8800" s="2" t="s">
        <v>37</v>
      </c>
      <c r="H8800" s="2" t="s">
        <v>34</v>
      </c>
      <c r="I8800" s="2" t="s">
        <v>26050</v>
      </c>
      <c r="J8800" s="2" t="s">
        <v>36</v>
      </c>
      <c r="K8800" s="2" t="s">
        <v>37</v>
      </c>
      <c r="L8800" s="2" t="s">
        <v>34</v>
      </c>
      <c r="M8800" s="7">
        <v>361.971</v>
      </c>
      <c r="N8800" s="6">
        <v>18.45</v>
      </c>
      <c r="O8800" s="5">
        <v>18.100000000000001</v>
      </c>
      <c r="P8800" s="2" t="s">
        <v>26051</v>
      </c>
      <c r="Q8800" s="2"/>
      <c r="R8800" s="6">
        <v>17.97</v>
      </c>
      <c r="S8800" s="5">
        <v>-6.7</v>
      </c>
      <c r="T8800" s="2"/>
      <c r="U8800" s="5">
        <v>17.899999999999999</v>
      </c>
      <c r="V8800" s="6">
        <v>-1.46</v>
      </c>
      <c r="W8800" s="6">
        <v>15.75</v>
      </c>
      <c r="X8800" s="6">
        <v>16.649999999999999</v>
      </c>
      <c r="Y8800" s="5">
        <v>16.100000000000001</v>
      </c>
      <c r="Z8800" s="6">
        <v>16.88</v>
      </c>
      <c r="AA8800" s="6">
        <v>4.84</v>
      </c>
      <c r="AB8800" s="2" t="s">
        <v>86</v>
      </c>
      <c r="AC8800" s="2"/>
    </row>
    <row r="8801" spans="1:29" ht="130" x14ac:dyDescent="0.15">
      <c r="A8801" s="3">
        <f>DATE(2007,9,17)</f>
        <v>39342</v>
      </c>
      <c r="B8801" s="3">
        <f>DATE(2007,12,20)</f>
        <v>39436</v>
      </c>
      <c r="C8801" s="2" t="s">
        <v>95</v>
      </c>
      <c r="D8801" s="2" t="s">
        <v>26052</v>
      </c>
      <c r="E8801" s="2" t="s">
        <v>26053</v>
      </c>
      <c r="F8801" s="4">
        <v>3812</v>
      </c>
      <c r="G8801" s="2" t="s">
        <v>226</v>
      </c>
      <c r="H8801" s="2" t="s">
        <v>34</v>
      </c>
      <c r="I8801" s="2" t="s">
        <v>5627</v>
      </c>
      <c r="J8801" s="2" t="s">
        <v>26054</v>
      </c>
      <c r="K8801" s="2" t="s">
        <v>300</v>
      </c>
      <c r="L8801" s="2" t="s">
        <v>34</v>
      </c>
      <c r="M8801" s="2"/>
      <c r="N8801" s="2"/>
      <c r="O8801" s="2"/>
      <c r="P8801" s="2" t="s">
        <v>26055</v>
      </c>
      <c r="Q8801" s="6">
        <v>100</v>
      </c>
      <c r="R8801" s="6">
        <v>56</v>
      </c>
      <c r="S8801" s="5">
        <v>17.899999999999999</v>
      </c>
      <c r="T8801" s="7">
        <v>78.545000000000002</v>
      </c>
      <c r="U8801" s="5">
        <v>13.8</v>
      </c>
      <c r="V8801" s="6">
        <v>0.89</v>
      </c>
      <c r="W8801" s="6">
        <v>50.12</v>
      </c>
      <c r="X8801" s="6">
        <v>51.51</v>
      </c>
      <c r="Y8801" s="6">
        <v>54.84</v>
      </c>
      <c r="Z8801" s="5">
        <v>55.3</v>
      </c>
      <c r="AA8801" s="6">
        <v>21.26</v>
      </c>
      <c r="AB8801" s="7">
        <v>33.953000000000003</v>
      </c>
      <c r="AC8801" s="2"/>
    </row>
    <row r="8802" spans="1:29" ht="117" x14ac:dyDescent="0.15">
      <c r="A8802" s="3">
        <f>DATE(2007,9,17)</f>
        <v>39342</v>
      </c>
      <c r="B8802" s="3">
        <f>DATE(2008,2,22)</f>
        <v>39500</v>
      </c>
      <c r="C8802" s="2" t="s">
        <v>95</v>
      </c>
      <c r="D8802" s="2" t="s">
        <v>25093</v>
      </c>
      <c r="E8802" s="2" t="s">
        <v>2814</v>
      </c>
      <c r="F8802" s="4">
        <v>4812</v>
      </c>
      <c r="G8802" s="2" t="s">
        <v>63</v>
      </c>
      <c r="H8802" s="2" t="s">
        <v>34</v>
      </c>
      <c r="I8802" s="2" t="s">
        <v>26056</v>
      </c>
      <c r="J8802" s="2" t="s">
        <v>16453</v>
      </c>
      <c r="K8802" s="2" t="s">
        <v>63</v>
      </c>
      <c r="L8802" s="2" t="s">
        <v>34</v>
      </c>
      <c r="M8802" s="2"/>
      <c r="N8802" s="2"/>
      <c r="O8802" s="2"/>
      <c r="P8802" s="2" t="s">
        <v>26057</v>
      </c>
      <c r="Q8802" s="6">
        <v>100</v>
      </c>
      <c r="R8802" s="6">
        <v>27</v>
      </c>
      <c r="S8802" s="5">
        <v>-301.7</v>
      </c>
      <c r="T8802" s="7">
        <v>152.929</v>
      </c>
      <c r="U8802" s="5">
        <v>4.2</v>
      </c>
      <c r="V8802" s="6">
        <v>-22.52</v>
      </c>
      <c r="W8802" s="6">
        <v>21.28</v>
      </c>
      <c r="X8802" s="4">
        <v>22</v>
      </c>
      <c r="Y8802" s="6">
        <v>25.65</v>
      </c>
      <c r="Z8802" s="6">
        <v>25.65</v>
      </c>
      <c r="AA8802" s="6">
        <v>59.23</v>
      </c>
      <c r="AB8802" s="7">
        <v>74.096999999999994</v>
      </c>
      <c r="AC8802" s="2"/>
    </row>
    <row r="8803" spans="1:29" ht="91" x14ac:dyDescent="0.15">
      <c r="A8803" s="3">
        <f>DATE(2007,9,17)</f>
        <v>39342</v>
      </c>
      <c r="B8803" s="3">
        <f>DATE(2007,10,31)</f>
        <v>39386</v>
      </c>
      <c r="C8803" s="2" t="s">
        <v>95</v>
      </c>
      <c r="D8803" s="2" t="s">
        <v>26058</v>
      </c>
      <c r="E8803" s="2" t="s">
        <v>19560</v>
      </c>
      <c r="F8803" s="4">
        <v>4731</v>
      </c>
      <c r="G8803" s="2" t="s">
        <v>173</v>
      </c>
      <c r="H8803" s="2" t="s">
        <v>34</v>
      </c>
      <c r="I8803" s="2" t="s">
        <v>26059</v>
      </c>
      <c r="J8803" s="2" t="s">
        <v>26060</v>
      </c>
      <c r="K8803" s="2" t="s">
        <v>173</v>
      </c>
      <c r="L8803" s="2" t="s">
        <v>26061</v>
      </c>
      <c r="M8803" s="7">
        <v>485.64600000000002</v>
      </c>
      <c r="N8803" s="7">
        <v>4.9809999999999999</v>
      </c>
      <c r="O8803" s="7">
        <v>5.1609999999999996</v>
      </c>
      <c r="P8803" s="2" t="s">
        <v>26062</v>
      </c>
      <c r="Q8803" s="6">
        <v>100</v>
      </c>
      <c r="R8803" s="6">
        <v>2.5</v>
      </c>
      <c r="S8803" s="5">
        <v>1.6</v>
      </c>
      <c r="T8803" s="7">
        <v>3.7610000000000001</v>
      </c>
      <c r="U8803" s="5">
        <v>1.2</v>
      </c>
      <c r="V8803" s="6">
        <v>0.08</v>
      </c>
      <c r="W8803" s="6">
        <v>1.76</v>
      </c>
      <c r="X8803" s="5">
        <v>1.8</v>
      </c>
      <c r="Y8803" s="6">
        <v>1.83</v>
      </c>
      <c r="Z8803" s="6">
        <v>2.42</v>
      </c>
      <c r="AA8803" s="6">
        <v>18.079999999999998</v>
      </c>
      <c r="AB8803" s="7">
        <v>15.317</v>
      </c>
      <c r="AC8803" s="6">
        <v>13.89</v>
      </c>
    </row>
    <row r="8804" spans="1:29" ht="143" x14ac:dyDescent="0.15">
      <c r="A8804" s="3">
        <f>DATE(2007,9,18)</f>
        <v>39343</v>
      </c>
      <c r="B8804" s="3">
        <f>DATE(2007,11,16)</f>
        <v>39402</v>
      </c>
      <c r="C8804" s="2" t="s">
        <v>95</v>
      </c>
      <c r="D8804" s="2" t="s">
        <v>26063</v>
      </c>
      <c r="E8804" s="2" t="s">
        <v>18462</v>
      </c>
      <c r="F8804" s="4">
        <v>5963</v>
      </c>
      <c r="G8804" s="2" t="s">
        <v>73</v>
      </c>
      <c r="H8804" s="2" t="s">
        <v>34</v>
      </c>
      <c r="I8804" s="2" t="s">
        <v>23366</v>
      </c>
      <c r="J8804" s="2" t="s">
        <v>9299</v>
      </c>
      <c r="K8804" s="2" t="s">
        <v>53</v>
      </c>
      <c r="L8804" s="2" t="s">
        <v>34</v>
      </c>
      <c r="M8804" s="2"/>
      <c r="N8804" s="2"/>
      <c r="O8804" s="2"/>
      <c r="P8804" s="2" t="s">
        <v>26064</v>
      </c>
      <c r="Q8804" s="6">
        <v>100</v>
      </c>
      <c r="R8804" s="6">
        <v>16.5</v>
      </c>
      <c r="S8804" s="5">
        <v>1.9</v>
      </c>
      <c r="T8804" s="7">
        <v>7.1529999999999996</v>
      </c>
      <c r="U8804" s="5">
        <v>10</v>
      </c>
      <c r="V8804" s="6">
        <v>0.53</v>
      </c>
      <c r="W8804" s="6">
        <v>6.66</v>
      </c>
      <c r="X8804" s="6">
        <v>8.0500000000000007</v>
      </c>
      <c r="Y8804" s="5">
        <v>16.2</v>
      </c>
      <c r="Z8804" s="6">
        <v>16.28</v>
      </c>
      <c r="AA8804" s="6">
        <v>3.38</v>
      </c>
      <c r="AB8804" s="7">
        <v>16.052</v>
      </c>
      <c r="AC8804" s="2"/>
    </row>
    <row r="8805" spans="1:29" ht="143" x14ac:dyDescent="0.15">
      <c r="A8805" s="3">
        <f>DATE(2007,9,18)</f>
        <v>39343</v>
      </c>
      <c r="B8805" s="2"/>
      <c r="C8805" s="2" t="s">
        <v>30</v>
      </c>
      <c r="D8805" s="2" t="s">
        <v>26065</v>
      </c>
      <c r="E8805" s="2" t="s">
        <v>16171</v>
      </c>
      <c r="F8805" s="4">
        <v>6021</v>
      </c>
      <c r="G8805" s="2" t="s">
        <v>37</v>
      </c>
      <c r="H8805" s="2" t="s">
        <v>34</v>
      </c>
      <c r="I8805" s="2" t="s">
        <v>26066</v>
      </c>
      <c r="J8805" s="2" t="s">
        <v>36</v>
      </c>
      <c r="K8805" s="2" t="s">
        <v>37</v>
      </c>
      <c r="L8805" s="2" t="s">
        <v>34</v>
      </c>
      <c r="M8805" s="7">
        <v>267.32799999999997</v>
      </c>
      <c r="N8805" s="6">
        <v>16.16</v>
      </c>
      <c r="O8805" s="6">
        <v>16.72</v>
      </c>
      <c r="P8805" s="2" t="s">
        <v>26067</v>
      </c>
      <c r="Q8805" s="2"/>
      <c r="R8805" s="2"/>
      <c r="S8805" s="2"/>
      <c r="T8805" s="2"/>
      <c r="U8805" s="2"/>
      <c r="V8805" s="2"/>
      <c r="W8805" s="4">
        <v>12</v>
      </c>
      <c r="X8805" s="4">
        <v>12</v>
      </c>
      <c r="Y8805" s="4">
        <v>12</v>
      </c>
      <c r="Z8805" s="4">
        <v>12</v>
      </c>
      <c r="AA8805" s="2"/>
      <c r="AB8805" s="2" t="s">
        <v>47</v>
      </c>
      <c r="AC8805" s="2"/>
    </row>
    <row r="8806" spans="1:29" ht="143" x14ac:dyDescent="0.15">
      <c r="A8806" s="3">
        <f>DATE(2007,9,18)</f>
        <v>39343</v>
      </c>
      <c r="B8806" s="3">
        <f>DATE(2008,2,19)</f>
        <v>39497</v>
      </c>
      <c r="C8806" s="2" t="s">
        <v>95</v>
      </c>
      <c r="D8806" s="2" t="s">
        <v>20008</v>
      </c>
      <c r="E8806" s="2" t="s">
        <v>20009</v>
      </c>
      <c r="F8806" s="4">
        <v>2331</v>
      </c>
      <c r="G8806" s="2" t="s">
        <v>708</v>
      </c>
      <c r="H8806" s="2" t="s">
        <v>34</v>
      </c>
      <c r="I8806" s="2" t="s">
        <v>24605</v>
      </c>
      <c r="J8806" s="2" t="s">
        <v>24606</v>
      </c>
      <c r="K8806" s="2" t="s">
        <v>53</v>
      </c>
      <c r="L8806" s="2" t="s">
        <v>34</v>
      </c>
      <c r="M8806" s="2"/>
      <c r="N8806" s="2"/>
      <c r="O8806" s="2"/>
      <c r="P8806" s="2" t="s">
        <v>26068</v>
      </c>
      <c r="Q8806" s="6">
        <v>100</v>
      </c>
      <c r="R8806" s="6">
        <v>21</v>
      </c>
      <c r="S8806" s="5">
        <v>-45.4</v>
      </c>
      <c r="T8806" s="7">
        <v>120.586</v>
      </c>
      <c r="U8806" s="5">
        <v>22</v>
      </c>
      <c r="V8806" s="6">
        <v>-1.89</v>
      </c>
      <c r="W8806" s="6">
        <v>16.850000000000001</v>
      </c>
      <c r="X8806" s="6">
        <v>15.96</v>
      </c>
      <c r="Y8806" s="6">
        <v>15.17</v>
      </c>
      <c r="Z8806" s="6">
        <v>19.14</v>
      </c>
      <c r="AA8806" s="6">
        <v>25.89</v>
      </c>
      <c r="AB8806" s="7">
        <v>11.577999999999999</v>
      </c>
      <c r="AC8806" s="2"/>
    </row>
    <row r="8807" spans="1:29" ht="143" x14ac:dyDescent="0.15">
      <c r="A8807" s="3">
        <f>DATE(2007,9,19)</f>
        <v>39344</v>
      </c>
      <c r="B8807" s="3">
        <f>DATE(2008,5,2)</f>
        <v>39570</v>
      </c>
      <c r="C8807" s="2" t="s">
        <v>95</v>
      </c>
      <c r="D8807" s="2" t="s">
        <v>26069</v>
      </c>
      <c r="E8807" s="2" t="s">
        <v>3812</v>
      </c>
      <c r="F8807" s="4">
        <v>2834</v>
      </c>
      <c r="G8807" s="2" t="s">
        <v>130</v>
      </c>
      <c r="H8807" s="2" t="s">
        <v>34</v>
      </c>
      <c r="I8807" s="2" t="s">
        <v>26070</v>
      </c>
      <c r="J8807" s="2" t="s">
        <v>6711</v>
      </c>
      <c r="K8807" s="2" t="s">
        <v>130</v>
      </c>
      <c r="L8807" s="2" t="s">
        <v>1049</v>
      </c>
      <c r="M8807" s="7">
        <v>256.93799999999999</v>
      </c>
      <c r="N8807" s="7">
        <v>4.2720000000000002</v>
      </c>
      <c r="O8807" s="7">
        <v>4.2359999999999998</v>
      </c>
      <c r="P8807" s="2" t="s">
        <v>26071</v>
      </c>
      <c r="Q8807" s="6">
        <v>100</v>
      </c>
      <c r="R8807" s="6">
        <v>4.7</v>
      </c>
      <c r="S8807" s="5">
        <v>-32.4</v>
      </c>
      <c r="T8807" s="7">
        <v>-33.878</v>
      </c>
      <c r="U8807" s="5">
        <v>3</v>
      </c>
      <c r="V8807" s="6">
        <v>-1.0900000000000001</v>
      </c>
      <c r="W8807" s="6">
        <v>3.39</v>
      </c>
      <c r="X8807" s="6">
        <v>3.32</v>
      </c>
      <c r="Y8807" s="4">
        <v>4</v>
      </c>
      <c r="Z8807" s="5">
        <v>3.9</v>
      </c>
      <c r="AA8807" s="6">
        <v>29.72</v>
      </c>
      <c r="AB8807" s="2" t="s">
        <v>86</v>
      </c>
      <c r="AC8807" s="6">
        <v>88.53</v>
      </c>
    </row>
    <row r="8808" spans="1:29" ht="91" x14ac:dyDescent="0.15">
      <c r="A8808" s="3">
        <f>DATE(2007,9,21)</f>
        <v>39346</v>
      </c>
      <c r="B8808" s="3">
        <f>DATE(2007,12,18)</f>
        <v>39434</v>
      </c>
      <c r="C8808" s="2" t="s">
        <v>95</v>
      </c>
      <c r="D8808" s="2" t="s">
        <v>19500</v>
      </c>
      <c r="E8808" s="2" t="s">
        <v>19501</v>
      </c>
      <c r="F8808" s="4">
        <v>6331</v>
      </c>
      <c r="G8808" s="2" t="s">
        <v>125</v>
      </c>
      <c r="H8808" s="2" t="s">
        <v>34</v>
      </c>
      <c r="I8808" s="2" t="s">
        <v>26072</v>
      </c>
      <c r="J8808" s="2" t="s">
        <v>5499</v>
      </c>
      <c r="K8808" s="2" t="s">
        <v>125</v>
      </c>
      <c r="L8808" s="2" t="s">
        <v>34</v>
      </c>
      <c r="M8808" s="2"/>
      <c r="N8808" s="2"/>
      <c r="O8808" s="2"/>
      <c r="P8808" s="2" t="s">
        <v>26073</v>
      </c>
      <c r="Q8808" s="6">
        <v>100</v>
      </c>
      <c r="R8808" s="6">
        <v>12.45</v>
      </c>
      <c r="S8808" s="5">
        <v>2.2999999999999998</v>
      </c>
      <c r="T8808" s="2"/>
      <c r="U8808" s="5">
        <v>10.4</v>
      </c>
      <c r="V8808" s="6">
        <v>0.43</v>
      </c>
      <c r="W8808" s="6">
        <v>8.25</v>
      </c>
      <c r="X8808" s="5">
        <v>8.1</v>
      </c>
      <c r="Y8808" s="4">
        <v>12</v>
      </c>
      <c r="Z8808" s="7">
        <v>12.169</v>
      </c>
      <c r="AA8808" s="6">
        <v>5.18</v>
      </c>
      <c r="AB8808" s="7">
        <v>11.912000000000001</v>
      </c>
      <c r="AC8808" s="2"/>
    </row>
    <row r="8809" spans="1:29" ht="182" x14ac:dyDescent="0.15">
      <c r="A8809" s="3">
        <f>DATE(2007,9,23)</f>
        <v>39348</v>
      </c>
      <c r="B8809" s="3">
        <f>DATE(2007,12,14)</f>
        <v>39430</v>
      </c>
      <c r="C8809" s="2" t="s">
        <v>95</v>
      </c>
      <c r="D8809" s="2" t="s">
        <v>26074</v>
      </c>
      <c r="E8809" s="2" t="s">
        <v>26075</v>
      </c>
      <c r="F8809" s="4">
        <v>3663</v>
      </c>
      <c r="G8809" s="2" t="s">
        <v>921</v>
      </c>
      <c r="H8809" s="2" t="s">
        <v>34</v>
      </c>
      <c r="I8809" s="2" t="s">
        <v>26076</v>
      </c>
      <c r="J8809" s="2" t="s">
        <v>26077</v>
      </c>
      <c r="K8809" s="2" t="s">
        <v>921</v>
      </c>
      <c r="L8809" s="2" t="s">
        <v>34</v>
      </c>
      <c r="M8809" s="12">
        <v>1711.011</v>
      </c>
      <c r="N8809" s="6">
        <v>11.98</v>
      </c>
      <c r="O8809" s="6">
        <v>11.98</v>
      </c>
      <c r="P8809" s="2" t="s">
        <v>26078</v>
      </c>
      <c r="Q8809" s="6">
        <v>100</v>
      </c>
      <c r="R8809" s="6">
        <v>13.75</v>
      </c>
      <c r="S8809" s="5">
        <v>25.6</v>
      </c>
      <c r="T8809" s="7">
        <v>35.405999999999999</v>
      </c>
      <c r="U8809" s="5">
        <v>4.8</v>
      </c>
      <c r="V8809" s="6">
        <v>0.51</v>
      </c>
      <c r="W8809" s="6">
        <v>9.82</v>
      </c>
      <c r="X8809" s="6">
        <v>9.8800000000000008</v>
      </c>
      <c r="Y8809" s="6">
        <v>12.02</v>
      </c>
      <c r="Z8809" s="6">
        <v>12.02</v>
      </c>
      <c r="AA8809" s="6">
        <v>50.29</v>
      </c>
      <c r="AB8809" s="7">
        <v>23.332999999999998</v>
      </c>
      <c r="AC8809" s="6">
        <v>607.47</v>
      </c>
    </row>
    <row r="8810" spans="1:29" ht="130" x14ac:dyDescent="0.15">
      <c r="A8810" s="3">
        <f>DATE(2007,9,24)</f>
        <v>39349</v>
      </c>
      <c r="B8810" s="3">
        <f>DATE(2008,3,14)</f>
        <v>39521</v>
      </c>
      <c r="C8810" s="2" t="s">
        <v>95</v>
      </c>
      <c r="D8810" s="2" t="s">
        <v>26079</v>
      </c>
      <c r="E8810" s="2" t="s">
        <v>26080</v>
      </c>
      <c r="F8810" s="4">
        <v>5093</v>
      </c>
      <c r="G8810" s="2" t="s">
        <v>76</v>
      </c>
      <c r="H8810" s="2" t="s">
        <v>34</v>
      </c>
      <c r="I8810" s="2" t="s">
        <v>26081</v>
      </c>
      <c r="J8810" s="2" t="s">
        <v>26082</v>
      </c>
      <c r="K8810" s="2" t="s">
        <v>76</v>
      </c>
      <c r="L8810" s="2" t="s">
        <v>885</v>
      </c>
      <c r="M8810" s="12">
        <v>2923.8890000000001</v>
      </c>
      <c r="N8810" s="7">
        <v>28.273</v>
      </c>
      <c r="O8810" s="6">
        <v>28.91</v>
      </c>
      <c r="P8810" s="2" t="s">
        <v>26083</v>
      </c>
      <c r="Q8810" s="6">
        <v>100</v>
      </c>
      <c r="R8810" s="6">
        <v>57.96</v>
      </c>
      <c r="S8810" s="5">
        <v>94.3</v>
      </c>
      <c r="T8810" s="7">
        <v>177.875</v>
      </c>
      <c r="U8810" s="5">
        <v>18.899999999999999</v>
      </c>
      <c r="V8810" s="6">
        <v>3.62</v>
      </c>
      <c r="W8810" s="6">
        <v>45.34</v>
      </c>
      <c r="X8810" s="6">
        <v>48.86</v>
      </c>
      <c r="Y8810" s="6">
        <v>48.86</v>
      </c>
      <c r="Z8810" s="6">
        <v>54.74</v>
      </c>
      <c r="AA8810" s="6">
        <v>25.85</v>
      </c>
      <c r="AB8810" s="7">
        <v>10.692</v>
      </c>
      <c r="AC8810" s="6">
        <v>45.31</v>
      </c>
    </row>
    <row r="8811" spans="1:29" ht="117" x14ac:dyDescent="0.15">
      <c r="A8811" s="3">
        <f>DATE(2007,9,25)</f>
        <v>39350</v>
      </c>
      <c r="B8811" s="3">
        <f>DATE(2007,12,21)</f>
        <v>39437</v>
      </c>
      <c r="C8811" s="2" t="s">
        <v>95</v>
      </c>
      <c r="D8811" s="2" t="s">
        <v>26084</v>
      </c>
      <c r="E8811" s="2" t="s">
        <v>16453</v>
      </c>
      <c r="F8811" s="4">
        <v>4812</v>
      </c>
      <c r="G8811" s="2" t="s">
        <v>63</v>
      </c>
      <c r="H8811" s="2" t="s">
        <v>34</v>
      </c>
      <c r="I8811" s="2" t="s">
        <v>26085</v>
      </c>
      <c r="J8811" s="2" t="s">
        <v>15833</v>
      </c>
      <c r="K8811" s="2" t="s">
        <v>53</v>
      </c>
      <c r="L8811" s="2" t="s">
        <v>34</v>
      </c>
      <c r="M8811" s="2"/>
      <c r="N8811" s="2"/>
      <c r="O8811" s="2"/>
      <c r="P8811" s="2" t="s">
        <v>26086</v>
      </c>
      <c r="Q8811" s="6">
        <v>28.21</v>
      </c>
      <c r="R8811" s="2"/>
      <c r="S8811" s="5">
        <v>60.5</v>
      </c>
      <c r="T8811" s="6">
        <v>183.93</v>
      </c>
      <c r="U8811" s="5">
        <v>8.1</v>
      </c>
      <c r="V8811" s="6">
        <v>1.6</v>
      </c>
      <c r="W8811" s="6">
        <v>27.44</v>
      </c>
      <c r="X8811" s="6">
        <v>28.46</v>
      </c>
      <c r="Y8811" s="6">
        <v>29.36</v>
      </c>
      <c r="Z8811" s="6">
        <v>29.75</v>
      </c>
      <c r="AA8811" s="6">
        <v>42.02</v>
      </c>
      <c r="AB8811" s="2" t="s">
        <v>47</v>
      </c>
      <c r="AC8811" s="2"/>
    </row>
    <row r="8812" spans="1:29" ht="65" x14ac:dyDescent="0.15">
      <c r="A8812" s="3">
        <f>DATE(2007,9,25)</f>
        <v>39350</v>
      </c>
      <c r="B8812" s="2"/>
      <c r="C8812" s="2" t="s">
        <v>87</v>
      </c>
      <c r="D8812" s="2" t="s">
        <v>26087</v>
      </c>
      <c r="E8812" s="2" t="s">
        <v>26088</v>
      </c>
      <c r="F8812" s="4">
        <v>4213</v>
      </c>
      <c r="G8812" s="2" t="s">
        <v>173</v>
      </c>
      <c r="H8812" s="2" t="s">
        <v>34</v>
      </c>
      <c r="I8812" s="2" t="s">
        <v>26089</v>
      </c>
      <c r="J8812" s="2" t="s">
        <v>26090</v>
      </c>
      <c r="K8812" s="2" t="s">
        <v>173</v>
      </c>
      <c r="L8812" s="2" t="s">
        <v>1049</v>
      </c>
      <c r="M8812" s="2"/>
      <c r="N8812" s="2"/>
      <c r="O8812" s="2"/>
      <c r="P8812" s="2" t="s">
        <v>26091</v>
      </c>
      <c r="Q8812" s="2"/>
      <c r="R8812" s="2"/>
      <c r="S8812" s="5">
        <v>198.9</v>
      </c>
      <c r="T8812" s="7">
        <v>686.322</v>
      </c>
      <c r="U8812" s="8">
        <v>296412</v>
      </c>
      <c r="V8812" s="6">
        <v>25675.68</v>
      </c>
      <c r="W8812" s="6">
        <v>29.12</v>
      </c>
      <c r="X8812" s="6">
        <v>27.79</v>
      </c>
      <c r="Y8812" s="6">
        <v>29.81</v>
      </c>
      <c r="Z8812" s="6">
        <v>27.86</v>
      </c>
      <c r="AA8812" s="6">
        <v>57.67</v>
      </c>
      <c r="AB8812" s="2" t="s">
        <v>47</v>
      </c>
      <c r="AC8812" s="10">
        <v>4437.22</v>
      </c>
    </row>
    <row r="8813" spans="1:29" ht="182" x14ac:dyDescent="0.15">
      <c r="A8813" s="3">
        <f>DATE(2007,9,26)</f>
        <v>39351</v>
      </c>
      <c r="B8813" s="2"/>
      <c r="C8813" s="2" t="s">
        <v>30</v>
      </c>
      <c r="D8813" s="2" t="s">
        <v>26092</v>
      </c>
      <c r="E8813" s="2" t="s">
        <v>36</v>
      </c>
      <c r="F8813" s="4">
        <v>6022</v>
      </c>
      <c r="G8813" s="2" t="s">
        <v>37</v>
      </c>
      <c r="H8813" s="2" t="s">
        <v>34</v>
      </c>
      <c r="I8813" s="2" t="s">
        <v>23318</v>
      </c>
      <c r="J8813" s="2" t="s">
        <v>159</v>
      </c>
      <c r="K8813" s="2" t="s">
        <v>37</v>
      </c>
      <c r="L8813" s="2" t="s">
        <v>34</v>
      </c>
      <c r="M8813" s="12">
        <v>1129.855</v>
      </c>
      <c r="N8813" s="5">
        <v>23.9</v>
      </c>
      <c r="O8813" s="5">
        <v>24.1</v>
      </c>
      <c r="P8813" s="2" t="s">
        <v>26093</v>
      </c>
      <c r="Q8813" s="2"/>
      <c r="R8813" s="2"/>
      <c r="S8813" s="5">
        <v>9.1999999999999993</v>
      </c>
      <c r="T8813" s="7">
        <v>14.852</v>
      </c>
      <c r="U8813" s="5">
        <v>7.4</v>
      </c>
      <c r="V8813" s="7">
        <v>0.96399999999999997</v>
      </c>
      <c r="W8813" s="6">
        <v>15.86</v>
      </c>
      <c r="X8813" s="6">
        <v>15.55</v>
      </c>
      <c r="Y8813" s="5">
        <v>15.3</v>
      </c>
      <c r="Z8813" s="6">
        <v>20.239999999999998</v>
      </c>
      <c r="AA8813" s="6">
        <v>9.39</v>
      </c>
      <c r="AB8813" s="2" t="s">
        <v>47</v>
      </c>
      <c r="AC8813" s="2"/>
    </row>
    <row r="8814" spans="1:29" ht="117" x14ac:dyDescent="0.15">
      <c r="A8814" s="3">
        <f>DATE(2007,9,27)</f>
        <v>39352</v>
      </c>
      <c r="B8814" s="3">
        <f>DATE(2008,2,4)</f>
        <v>39482</v>
      </c>
      <c r="C8814" s="2" t="s">
        <v>95</v>
      </c>
      <c r="D8814" s="2" t="s">
        <v>26094</v>
      </c>
      <c r="E8814" s="2" t="s">
        <v>25347</v>
      </c>
      <c r="F8814" s="4">
        <v>7389</v>
      </c>
      <c r="G8814" s="2" t="s">
        <v>223</v>
      </c>
      <c r="H8814" s="2" t="s">
        <v>34</v>
      </c>
      <c r="I8814" s="2" t="s">
        <v>26095</v>
      </c>
      <c r="J8814" s="2" t="s">
        <v>26096</v>
      </c>
      <c r="K8814" s="2" t="s">
        <v>551</v>
      </c>
      <c r="L8814" s="2" t="s">
        <v>34</v>
      </c>
      <c r="M8814" s="7">
        <v>180.08199999999999</v>
      </c>
      <c r="N8814" s="5">
        <v>14.7</v>
      </c>
      <c r="O8814" s="5">
        <v>14.5</v>
      </c>
      <c r="P8814" s="2" t="s">
        <v>26097</v>
      </c>
      <c r="Q8814" s="6">
        <v>100</v>
      </c>
      <c r="R8814" s="6">
        <v>10.59</v>
      </c>
      <c r="S8814" s="5">
        <v>2.2999999999999998</v>
      </c>
      <c r="T8814" s="7">
        <v>5.5730000000000004</v>
      </c>
      <c r="U8814" s="5">
        <v>3.1</v>
      </c>
      <c r="V8814" s="6">
        <v>0.15</v>
      </c>
      <c r="W8814" s="6">
        <v>4.8499999999999996</v>
      </c>
      <c r="X8814" s="6">
        <v>4.76</v>
      </c>
      <c r="Y8814" s="6">
        <v>6.04</v>
      </c>
      <c r="Z8814" s="6">
        <v>6.58</v>
      </c>
      <c r="AA8814" s="6">
        <v>15.04</v>
      </c>
      <c r="AB8814" s="7">
        <v>42.207000000000001</v>
      </c>
      <c r="AC8814" s="6">
        <v>17.72</v>
      </c>
    </row>
    <row r="8815" spans="1:29" ht="143" x14ac:dyDescent="0.15">
      <c r="A8815" s="3">
        <f>DATE(2007,9,28)</f>
        <v>39353</v>
      </c>
      <c r="B8815" s="2"/>
      <c r="C8815" s="2" t="s">
        <v>30</v>
      </c>
      <c r="D8815" s="2" t="s">
        <v>6537</v>
      </c>
      <c r="E8815" s="2" t="s">
        <v>6538</v>
      </c>
      <c r="F8815" s="4">
        <v>3577</v>
      </c>
      <c r="G8815" s="2" t="s">
        <v>50</v>
      </c>
      <c r="H8815" s="2" t="s">
        <v>34</v>
      </c>
      <c r="I8815" s="2" t="s">
        <v>51</v>
      </c>
      <c r="J8815" s="2" t="s">
        <v>52</v>
      </c>
      <c r="K8815" s="2" t="s">
        <v>53</v>
      </c>
      <c r="L8815" s="2" t="s">
        <v>34</v>
      </c>
      <c r="M8815" s="2"/>
      <c r="N8815" s="2"/>
      <c r="O8815" s="2"/>
      <c r="P8815" s="2" t="s">
        <v>26098</v>
      </c>
      <c r="Q8815" s="2"/>
      <c r="R8815" s="6">
        <v>5.3</v>
      </c>
      <c r="S8815" s="5">
        <v>-93.2</v>
      </c>
      <c r="T8815" s="7">
        <v>-8.1820000000000004</v>
      </c>
      <c r="U8815" s="5">
        <v>2.9</v>
      </c>
      <c r="V8815" s="6">
        <v>-0.24</v>
      </c>
      <c r="W8815" s="6">
        <v>3.58</v>
      </c>
      <c r="X8815" s="6">
        <v>3.68</v>
      </c>
      <c r="Y8815" s="6">
        <v>4.9400000000000004</v>
      </c>
      <c r="Z8815" s="5">
        <v>4.9000000000000004</v>
      </c>
      <c r="AA8815" s="6">
        <v>399.5</v>
      </c>
      <c r="AB8815" s="2" t="s">
        <v>86</v>
      </c>
      <c r="AC8815" s="2"/>
    </row>
    <row r="8816" spans="1:29" ht="65" x14ac:dyDescent="0.15">
      <c r="A8816" s="3">
        <f>DATE(2007,10,1)</f>
        <v>39356</v>
      </c>
      <c r="B8816" s="3">
        <f>DATE(2007,10,11)</f>
        <v>39366</v>
      </c>
      <c r="C8816" s="2" t="s">
        <v>95</v>
      </c>
      <c r="D8816" s="2" t="s">
        <v>26099</v>
      </c>
      <c r="E8816" s="2" t="s">
        <v>26100</v>
      </c>
      <c r="F8816" s="4">
        <v>7372</v>
      </c>
      <c r="G8816" s="2" t="s">
        <v>551</v>
      </c>
      <c r="H8816" s="2" t="s">
        <v>34</v>
      </c>
      <c r="I8816" s="2" t="s">
        <v>26101</v>
      </c>
      <c r="J8816" s="2" t="s">
        <v>302</v>
      </c>
      <c r="K8816" s="2" t="s">
        <v>53</v>
      </c>
      <c r="L8816" s="2" t="s">
        <v>34</v>
      </c>
      <c r="M8816" s="2"/>
      <c r="N8816" s="2"/>
      <c r="O8816" s="2"/>
      <c r="P8816" s="2" t="s">
        <v>26102</v>
      </c>
      <c r="Q8816" s="6">
        <v>87.5</v>
      </c>
      <c r="R8816" s="2"/>
      <c r="S8816" s="2"/>
      <c r="T8816" s="2"/>
      <c r="U8816" s="2"/>
      <c r="V8816" s="2"/>
      <c r="W8816" s="6">
        <v>1.03</v>
      </c>
      <c r="X8816" s="6">
        <v>1.03</v>
      </c>
      <c r="Y8816" s="6">
        <v>1.03</v>
      </c>
      <c r="Z8816" s="5">
        <v>1.5</v>
      </c>
      <c r="AA8816" s="6">
        <v>1.6</v>
      </c>
      <c r="AB8816" s="2" t="s">
        <v>47</v>
      </c>
      <c r="AC8816" s="2"/>
    </row>
    <row r="8817" spans="1:29" ht="91" x14ac:dyDescent="0.15">
      <c r="A8817" s="3">
        <f>DATE(2007,10,1)</f>
        <v>39356</v>
      </c>
      <c r="B8817" s="3">
        <f>DATE(2008,7,10)</f>
        <v>39639</v>
      </c>
      <c r="C8817" s="2" t="s">
        <v>95</v>
      </c>
      <c r="D8817" s="2" t="s">
        <v>24767</v>
      </c>
      <c r="E8817" s="2" t="s">
        <v>24768</v>
      </c>
      <c r="F8817" s="4">
        <v>7372</v>
      </c>
      <c r="G8817" s="2" t="s">
        <v>551</v>
      </c>
      <c r="H8817" s="2" t="s">
        <v>34</v>
      </c>
      <c r="I8817" s="2" t="s">
        <v>18140</v>
      </c>
      <c r="J8817" s="2" t="s">
        <v>18141</v>
      </c>
      <c r="K8817" s="2" t="s">
        <v>921</v>
      </c>
      <c r="L8817" s="2" t="s">
        <v>11620</v>
      </c>
      <c r="M8817" s="12">
        <v>12966.427</v>
      </c>
      <c r="N8817" s="7">
        <v>37.253</v>
      </c>
      <c r="O8817" s="7">
        <v>37.084000000000003</v>
      </c>
      <c r="P8817" s="2" t="s">
        <v>26103</v>
      </c>
      <c r="Q8817" s="6">
        <v>100</v>
      </c>
      <c r="R8817" s="6">
        <v>78</v>
      </c>
      <c r="S8817" s="5">
        <v>154</v>
      </c>
      <c r="T8817" s="7">
        <v>244.399</v>
      </c>
      <c r="U8817" s="5">
        <v>9.5</v>
      </c>
      <c r="V8817" s="6">
        <v>1.57</v>
      </c>
      <c r="W8817" s="4">
        <v>70</v>
      </c>
      <c r="X8817" s="6">
        <v>77.97</v>
      </c>
      <c r="Y8817" s="6">
        <v>76.45</v>
      </c>
      <c r="Z8817" s="5">
        <v>76.099999999999994</v>
      </c>
      <c r="AA8817" s="6">
        <v>98.17</v>
      </c>
      <c r="AB8817" s="7">
        <v>36.875999999999998</v>
      </c>
      <c r="AC8817" s="10">
        <v>13073.52</v>
      </c>
    </row>
    <row r="8818" spans="1:29" ht="104" x14ac:dyDescent="0.15">
      <c r="A8818" s="3">
        <f>DATE(2007,10,1)</f>
        <v>39356</v>
      </c>
      <c r="B8818" s="3">
        <f>DATE(2007,11,9)</f>
        <v>39395</v>
      </c>
      <c r="C8818" s="2" t="s">
        <v>95</v>
      </c>
      <c r="D8818" s="2" t="s">
        <v>26104</v>
      </c>
      <c r="E8818" s="2" t="s">
        <v>6711</v>
      </c>
      <c r="F8818" s="4">
        <v>8731</v>
      </c>
      <c r="G8818" s="2" t="s">
        <v>223</v>
      </c>
      <c r="H8818" s="2" t="s">
        <v>34</v>
      </c>
      <c r="I8818" s="2" t="s">
        <v>19123</v>
      </c>
      <c r="J8818" s="2" t="s">
        <v>19124</v>
      </c>
      <c r="K8818" s="2" t="s">
        <v>226</v>
      </c>
      <c r="L8818" s="2" t="s">
        <v>34</v>
      </c>
      <c r="M8818" s="12">
        <v>3246.087</v>
      </c>
      <c r="N8818" s="6">
        <v>29.86</v>
      </c>
      <c r="O8818" s="6">
        <v>28.91</v>
      </c>
      <c r="P8818" s="2" t="s">
        <v>26105</v>
      </c>
      <c r="Q8818" s="6">
        <v>100</v>
      </c>
      <c r="R8818" s="6">
        <v>7.25</v>
      </c>
      <c r="S8818" s="5">
        <v>-18.600000000000001</v>
      </c>
      <c r="T8818" s="7">
        <v>-23.077999999999999</v>
      </c>
      <c r="U8818" s="5">
        <v>0.7</v>
      </c>
      <c r="V8818" s="6">
        <v>-0.48</v>
      </c>
      <c r="W8818" s="6">
        <v>4.83</v>
      </c>
      <c r="X8818" s="6">
        <v>4.72</v>
      </c>
      <c r="Y8818" s="6">
        <v>4.7699999999999996</v>
      </c>
      <c r="Z8818" s="6">
        <v>7.18</v>
      </c>
      <c r="AA8818" s="6">
        <v>39.19</v>
      </c>
      <c r="AB8818" s="2" t="s">
        <v>86</v>
      </c>
      <c r="AC8818" s="6">
        <v>160.9</v>
      </c>
    </row>
    <row r="8819" spans="1:29" ht="143" x14ac:dyDescent="0.15">
      <c r="A8819" s="3">
        <f>DATE(2007,10,2)</f>
        <v>39357</v>
      </c>
      <c r="B8819" s="3">
        <f>DATE(2008,3,31)</f>
        <v>39538</v>
      </c>
      <c r="C8819" s="2" t="s">
        <v>95</v>
      </c>
      <c r="D8819" s="2" t="s">
        <v>8689</v>
      </c>
      <c r="E8819" s="2" t="s">
        <v>8690</v>
      </c>
      <c r="F8819" s="4">
        <v>6021</v>
      </c>
      <c r="G8819" s="2" t="s">
        <v>37</v>
      </c>
      <c r="H8819" s="2" t="s">
        <v>34</v>
      </c>
      <c r="I8819" s="2" t="s">
        <v>7748</v>
      </c>
      <c r="J8819" s="2" t="s">
        <v>265</v>
      </c>
      <c r="K8819" s="2" t="s">
        <v>37</v>
      </c>
      <c r="L8819" s="2" t="s">
        <v>902</v>
      </c>
      <c r="M8819" s="12">
        <v>49479.678999999996</v>
      </c>
      <c r="N8819" s="7">
        <v>72.692999999999998</v>
      </c>
      <c r="O8819" s="7">
        <v>71.253</v>
      </c>
      <c r="P8819" s="2" t="s">
        <v>26106</v>
      </c>
      <c r="Q8819" s="6">
        <v>100</v>
      </c>
      <c r="R8819" s="6">
        <v>42.35</v>
      </c>
      <c r="S8819" s="5">
        <v>169.8</v>
      </c>
      <c r="T8819" s="6">
        <v>438.71</v>
      </c>
      <c r="U8819" s="5">
        <v>15.2</v>
      </c>
      <c r="V8819" s="6">
        <v>0.86</v>
      </c>
      <c r="W8819" s="6">
        <v>38.01</v>
      </c>
      <c r="X8819" s="6">
        <v>39.74</v>
      </c>
      <c r="Y8819" s="6">
        <v>39.47</v>
      </c>
      <c r="Z8819" s="6">
        <v>38.840000000000003</v>
      </c>
      <c r="AA8819" s="6">
        <v>192.86</v>
      </c>
      <c r="AB8819" s="7">
        <v>31.942</v>
      </c>
      <c r="AC8819" s="2"/>
    </row>
    <row r="8820" spans="1:29" ht="143" x14ac:dyDescent="0.15">
      <c r="A8820" s="3">
        <f>DATE(2007,10,2)</f>
        <v>39357</v>
      </c>
      <c r="B8820" s="3">
        <f>DATE(2008,3,14)</f>
        <v>39521</v>
      </c>
      <c r="C8820" s="2" t="s">
        <v>95</v>
      </c>
      <c r="D8820" s="2" t="s">
        <v>26107</v>
      </c>
      <c r="E8820" s="2" t="s">
        <v>159</v>
      </c>
      <c r="F8820" s="4">
        <v>6035</v>
      </c>
      <c r="G8820" s="2" t="s">
        <v>33</v>
      </c>
      <c r="H8820" s="2" t="s">
        <v>34</v>
      </c>
      <c r="I8820" s="2" t="s">
        <v>22210</v>
      </c>
      <c r="J8820" s="2" t="s">
        <v>36</v>
      </c>
      <c r="K8820" s="2" t="s">
        <v>33</v>
      </c>
      <c r="L8820" s="2" t="s">
        <v>34</v>
      </c>
      <c r="M8820" s="7">
        <v>203.62200000000001</v>
      </c>
      <c r="N8820" s="6">
        <v>26.77</v>
      </c>
      <c r="O8820" s="6">
        <v>25.35</v>
      </c>
      <c r="P8820" s="2" t="s">
        <v>26108</v>
      </c>
      <c r="Q8820" s="6">
        <v>100</v>
      </c>
      <c r="R8820" s="6">
        <v>74.2</v>
      </c>
      <c r="S8820" s="5">
        <v>2.2999999999999998</v>
      </c>
      <c r="T8820" s="7">
        <v>4.3550000000000004</v>
      </c>
      <c r="U8820" s="5">
        <v>40.5</v>
      </c>
      <c r="V8820" s="6">
        <v>3.13</v>
      </c>
      <c r="W8820" s="6">
        <v>43.25</v>
      </c>
      <c r="X8820" s="4">
        <v>47</v>
      </c>
      <c r="Y8820" s="4">
        <v>50</v>
      </c>
      <c r="Z8820" s="4">
        <v>70</v>
      </c>
      <c r="AA8820" s="6">
        <v>0.73</v>
      </c>
      <c r="AB8820" s="7">
        <v>20.222000000000001</v>
      </c>
      <c r="AC8820" s="2"/>
    </row>
    <row r="8821" spans="1:29" ht="117" x14ac:dyDescent="0.15">
      <c r="A8821" s="3">
        <f>DATE(2007,10,2)</f>
        <v>39357</v>
      </c>
      <c r="B8821" s="3">
        <f>DATE(2008,1,8)</f>
        <v>39455</v>
      </c>
      <c r="C8821" s="2" t="s">
        <v>95</v>
      </c>
      <c r="D8821" s="2" t="s">
        <v>26109</v>
      </c>
      <c r="E8821" s="2" t="s">
        <v>26110</v>
      </c>
      <c r="F8821" s="4">
        <v>3577</v>
      </c>
      <c r="G8821" s="2" t="s">
        <v>50</v>
      </c>
      <c r="H8821" s="2" t="s">
        <v>34</v>
      </c>
      <c r="I8821" s="2" t="s">
        <v>23175</v>
      </c>
      <c r="J8821" s="2" t="s">
        <v>244</v>
      </c>
      <c r="K8821" s="2" t="s">
        <v>53</v>
      </c>
      <c r="L8821" s="2" t="s">
        <v>34</v>
      </c>
      <c r="M8821" s="2"/>
      <c r="N8821" s="2"/>
      <c r="O8821" s="2"/>
      <c r="P8821" s="2" t="s">
        <v>26111</v>
      </c>
      <c r="Q8821" s="6">
        <v>100</v>
      </c>
      <c r="R8821" s="6">
        <v>16</v>
      </c>
      <c r="S8821" s="5">
        <v>4.3</v>
      </c>
      <c r="T8821" s="7">
        <v>6.806</v>
      </c>
      <c r="U8821" s="5">
        <v>10.9</v>
      </c>
      <c r="V8821" s="6">
        <v>0.67</v>
      </c>
      <c r="W8821" s="5">
        <v>13.5</v>
      </c>
      <c r="X8821" s="6">
        <v>13.52</v>
      </c>
      <c r="Y8821" s="6">
        <v>15.56</v>
      </c>
      <c r="Z8821" s="6">
        <v>15.56</v>
      </c>
      <c r="AA8821" s="6">
        <v>6.68</v>
      </c>
      <c r="AB8821" s="7">
        <v>28.402999999999999</v>
      </c>
      <c r="AC8821" s="2"/>
    </row>
    <row r="8822" spans="1:29" ht="104" x14ac:dyDescent="0.15">
      <c r="A8822" s="3">
        <f>DATE(2007,10,3)</f>
        <v>39358</v>
      </c>
      <c r="B8822" s="3">
        <f>DATE(2007,12,12)</f>
        <v>39428</v>
      </c>
      <c r="C8822" s="2" t="s">
        <v>95</v>
      </c>
      <c r="D8822" s="2" t="s">
        <v>26112</v>
      </c>
      <c r="E8822" s="2" t="s">
        <v>26113</v>
      </c>
      <c r="F8822" s="4">
        <v>3672</v>
      </c>
      <c r="G8822" s="2" t="s">
        <v>137</v>
      </c>
      <c r="H8822" s="2" t="s">
        <v>34</v>
      </c>
      <c r="I8822" s="2" t="s">
        <v>26114</v>
      </c>
      <c r="J8822" s="2" t="s">
        <v>26115</v>
      </c>
      <c r="K8822" s="2" t="s">
        <v>53</v>
      </c>
      <c r="L8822" s="2" t="s">
        <v>34</v>
      </c>
      <c r="M8822" s="2"/>
      <c r="N8822" s="2"/>
      <c r="O8822" s="2"/>
      <c r="P8822" s="2" t="s">
        <v>26116</v>
      </c>
      <c r="Q8822" s="6">
        <v>9.8699999999999992</v>
      </c>
      <c r="R8822" s="2"/>
      <c r="S8822" s="5">
        <v>-7.6</v>
      </c>
      <c r="T8822" s="7">
        <v>1.746</v>
      </c>
      <c r="U8822" s="5">
        <v>1.5</v>
      </c>
      <c r="V8822" s="6">
        <v>-0.28000000000000003</v>
      </c>
      <c r="W8822" s="6">
        <v>1.0900000000000001</v>
      </c>
      <c r="X8822" s="6">
        <v>1.21</v>
      </c>
      <c r="Y8822" s="6">
        <v>1.21</v>
      </c>
      <c r="Z8822" s="6">
        <v>1.1399999999999999</v>
      </c>
      <c r="AA8822" s="6">
        <v>27.62</v>
      </c>
      <c r="AB8822" s="2" t="s">
        <v>86</v>
      </c>
      <c r="AC8822" s="2"/>
    </row>
    <row r="8823" spans="1:29" ht="195" x14ac:dyDescent="0.15">
      <c r="A8823" s="3">
        <f>DATE(2007,10,7)</f>
        <v>39362</v>
      </c>
      <c r="B8823" s="3">
        <f>DATE(2008,1,15)</f>
        <v>39462</v>
      </c>
      <c r="C8823" s="2" t="s">
        <v>95</v>
      </c>
      <c r="D8823" s="2" t="s">
        <v>25071</v>
      </c>
      <c r="E8823" s="2" t="s">
        <v>849</v>
      </c>
      <c r="F8823" s="4">
        <v>7372</v>
      </c>
      <c r="G8823" s="2" t="s">
        <v>551</v>
      </c>
      <c r="H8823" s="2" t="s">
        <v>34</v>
      </c>
      <c r="I8823" s="2" t="s">
        <v>22733</v>
      </c>
      <c r="J8823" s="2" t="s">
        <v>8587</v>
      </c>
      <c r="K8823" s="2" t="s">
        <v>551</v>
      </c>
      <c r="L8823" s="2" t="s">
        <v>1049</v>
      </c>
      <c r="M8823" s="12">
        <v>70481.409</v>
      </c>
      <c r="N8823" s="7">
        <v>56.164999999999999</v>
      </c>
      <c r="O8823" s="7">
        <v>56.164999999999999</v>
      </c>
      <c r="P8823" s="2" t="s">
        <v>26117</v>
      </c>
      <c r="Q8823" s="6">
        <v>77.989999999999995</v>
      </c>
      <c r="R8823" s="6">
        <v>59.4</v>
      </c>
      <c r="S8823" s="5">
        <v>86</v>
      </c>
      <c r="T8823" s="7">
        <v>254.90299999999999</v>
      </c>
      <c r="U8823" s="5">
        <v>18.600000000000001</v>
      </c>
      <c r="V8823" s="9">
        <v>0.92010000000000003</v>
      </c>
      <c r="W8823" s="6">
        <v>43.96</v>
      </c>
      <c r="X8823" s="6">
        <v>42.38</v>
      </c>
      <c r="Y8823" s="4">
        <v>45</v>
      </c>
      <c r="Z8823" s="4">
        <v>45</v>
      </c>
      <c r="AA8823" s="6">
        <v>100.53</v>
      </c>
      <c r="AB8823" s="7">
        <v>33.817</v>
      </c>
      <c r="AC8823" s="10">
        <v>3670.24</v>
      </c>
    </row>
    <row r="8824" spans="1:29" ht="117" x14ac:dyDescent="0.15">
      <c r="A8824" s="3">
        <f>DATE(2007,10,7)</f>
        <v>39362</v>
      </c>
      <c r="B8824" s="3">
        <f>DATE(2008,2,18)</f>
        <v>39496</v>
      </c>
      <c r="C8824" s="2" t="s">
        <v>95</v>
      </c>
      <c r="D8824" s="2" t="s">
        <v>25071</v>
      </c>
      <c r="E8824" s="2" t="s">
        <v>849</v>
      </c>
      <c r="F8824" s="4">
        <v>7372</v>
      </c>
      <c r="G8824" s="2" t="s">
        <v>551</v>
      </c>
      <c r="H8824" s="2" t="s">
        <v>34</v>
      </c>
      <c r="I8824" s="2" t="s">
        <v>22733</v>
      </c>
      <c r="J8824" s="2" t="s">
        <v>8587</v>
      </c>
      <c r="K8824" s="2" t="s">
        <v>551</v>
      </c>
      <c r="L8824" s="2" t="s">
        <v>1049</v>
      </c>
      <c r="M8824" s="12">
        <v>70481.409</v>
      </c>
      <c r="N8824" s="7">
        <v>56.164999999999999</v>
      </c>
      <c r="O8824" s="7">
        <v>56.164999999999999</v>
      </c>
      <c r="P8824" s="2" t="s">
        <v>26118</v>
      </c>
      <c r="Q8824" s="6">
        <v>4.6500000000000004</v>
      </c>
      <c r="R8824" s="6">
        <v>59.4</v>
      </c>
      <c r="S8824" s="5">
        <v>52.7</v>
      </c>
      <c r="T8824" s="7">
        <v>188.51499999999999</v>
      </c>
      <c r="U8824" s="5">
        <v>13.7</v>
      </c>
      <c r="V8824" s="9">
        <v>0.55720000000000003</v>
      </c>
      <c r="W8824" s="6">
        <v>44.87</v>
      </c>
      <c r="X8824" s="6">
        <v>50.27</v>
      </c>
      <c r="Y8824" s="6">
        <v>57.83</v>
      </c>
      <c r="Z8824" s="6">
        <v>57.83</v>
      </c>
      <c r="AA8824" s="6">
        <v>100.53</v>
      </c>
      <c r="AB8824" s="2" t="s">
        <v>47</v>
      </c>
      <c r="AC8824" s="10">
        <v>3670.24</v>
      </c>
    </row>
    <row r="8825" spans="1:29" ht="52" x14ac:dyDescent="0.15">
      <c r="A8825" s="3">
        <f>DATE(2007,10,8)</f>
        <v>39363</v>
      </c>
      <c r="B8825" s="3">
        <f>DATE(2007,11,14)</f>
        <v>39400</v>
      </c>
      <c r="C8825" s="2" t="s">
        <v>95</v>
      </c>
      <c r="D8825" s="2" t="s">
        <v>26119</v>
      </c>
      <c r="E8825" s="2" t="s">
        <v>26120</v>
      </c>
      <c r="F8825" s="4">
        <v>7349</v>
      </c>
      <c r="G8825" s="2" t="s">
        <v>223</v>
      </c>
      <c r="H8825" s="2" t="s">
        <v>34</v>
      </c>
      <c r="I8825" s="2" t="s">
        <v>26121</v>
      </c>
      <c r="J8825" s="2" t="s">
        <v>26122</v>
      </c>
      <c r="K8825" s="2" t="s">
        <v>223</v>
      </c>
      <c r="L8825" s="2" t="s">
        <v>34</v>
      </c>
      <c r="M8825" s="12">
        <v>1008.027</v>
      </c>
      <c r="N8825" s="6">
        <v>23.21</v>
      </c>
      <c r="O8825" s="6">
        <v>23.17</v>
      </c>
      <c r="P8825" s="2" t="s">
        <v>26123</v>
      </c>
      <c r="Q8825" s="6">
        <v>100</v>
      </c>
      <c r="R8825" s="2"/>
      <c r="S8825" s="5">
        <v>-1.9</v>
      </c>
      <c r="T8825" s="5">
        <v>10.1</v>
      </c>
      <c r="U8825" s="5">
        <v>46</v>
      </c>
      <c r="V8825" s="6">
        <v>-0.51</v>
      </c>
      <c r="W8825" s="7">
        <v>13.282</v>
      </c>
      <c r="X8825" s="7">
        <v>13.579000000000001</v>
      </c>
      <c r="Y8825" s="7">
        <v>90.668999999999997</v>
      </c>
      <c r="Z8825" s="7">
        <v>90.682000000000002</v>
      </c>
      <c r="AA8825" s="6">
        <v>3.72</v>
      </c>
      <c r="AB8825" s="7">
        <v>70.867999999999995</v>
      </c>
      <c r="AC8825" s="6">
        <v>107.33</v>
      </c>
    </row>
    <row r="8826" spans="1:29" ht="104" x14ac:dyDescent="0.15">
      <c r="A8826" s="3">
        <f>DATE(2007,10,8)</f>
        <v>39363</v>
      </c>
      <c r="B8826" s="3">
        <f>DATE(2007,11,14)</f>
        <v>39400</v>
      </c>
      <c r="C8826" s="2" t="s">
        <v>95</v>
      </c>
      <c r="D8826" s="2" t="s">
        <v>26124</v>
      </c>
      <c r="E8826" s="2" t="s">
        <v>26125</v>
      </c>
      <c r="F8826" s="4">
        <v>3694</v>
      </c>
      <c r="G8826" s="2" t="s">
        <v>137</v>
      </c>
      <c r="H8826" s="2" t="s">
        <v>34</v>
      </c>
      <c r="I8826" s="2" t="s">
        <v>6778</v>
      </c>
      <c r="J8826" s="2" t="s">
        <v>6779</v>
      </c>
      <c r="K8826" s="2" t="s">
        <v>219</v>
      </c>
      <c r="L8826" s="2" t="s">
        <v>34</v>
      </c>
      <c r="M8826" s="12">
        <v>6940.0309999999999</v>
      </c>
      <c r="N8826" s="6">
        <v>64.010000000000005</v>
      </c>
      <c r="O8826" s="4">
        <v>64</v>
      </c>
      <c r="P8826" s="2" t="s">
        <v>26126</v>
      </c>
      <c r="Q8826" s="6">
        <v>100</v>
      </c>
      <c r="R8826" s="6">
        <v>81</v>
      </c>
      <c r="S8826" s="5">
        <v>36.299999999999997</v>
      </c>
      <c r="T8826" s="6">
        <v>74.77</v>
      </c>
      <c r="U8826" s="5">
        <v>1.4</v>
      </c>
      <c r="V8826" s="6">
        <v>2.82</v>
      </c>
      <c r="W8826" s="6">
        <v>76.37</v>
      </c>
      <c r="X8826" s="6">
        <v>75.62</v>
      </c>
      <c r="Y8826" s="6">
        <v>80.39</v>
      </c>
      <c r="Z8826" s="6">
        <v>80.459999999999994</v>
      </c>
      <c r="AA8826" s="6">
        <v>9.9600000000000009</v>
      </c>
      <c r="AB8826" s="7">
        <v>16.489999999999998</v>
      </c>
      <c r="AC8826" s="5">
        <v>942</v>
      </c>
    </row>
    <row r="8827" spans="1:29" ht="65" x14ac:dyDescent="0.15">
      <c r="A8827" s="3">
        <f>DATE(2007,10,11)</f>
        <v>39366</v>
      </c>
      <c r="B8827" s="2"/>
      <c r="C8827" s="2" t="s">
        <v>7330</v>
      </c>
      <c r="D8827" s="2" t="s">
        <v>26127</v>
      </c>
      <c r="E8827" s="2" t="s">
        <v>386</v>
      </c>
      <c r="F8827" s="4">
        <v>6726</v>
      </c>
      <c r="G8827" s="2" t="s">
        <v>53</v>
      </c>
      <c r="H8827" s="2" t="s">
        <v>34</v>
      </c>
      <c r="I8827" s="2" t="s">
        <v>26128</v>
      </c>
      <c r="J8827" s="2" t="s">
        <v>24835</v>
      </c>
      <c r="K8827" s="2" t="s">
        <v>53</v>
      </c>
      <c r="L8827" s="2" t="s">
        <v>34</v>
      </c>
      <c r="M8827" s="2"/>
      <c r="N8827" s="2"/>
      <c r="O8827" s="2"/>
      <c r="P8827" s="2" t="s">
        <v>26129</v>
      </c>
      <c r="Q8827" s="2"/>
      <c r="R8827" s="2"/>
      <c r="S8827" s="2"/>
      <c r="T8827" s="2"/>
      <c r="U8827" s="2"/>
      <c r="V8827" s="2"/>
      <c r="W8827" s="6">
        <v>16.05</v>
      </c>
      <c r="X8827" s="6">
        <v>16.43</v>
      </c>
      <c r="Y8827" s="6">
        <v>16.34</v>
      </c>
      <c r="Z8827" s="5">
        <v>16.2</v>
      </c>
      <c r="AA8827" s="6">
        <v>29.01</v>
      </c>
      <c r="AB8827" s="2" t="s">
        <v>47</v>
      </c>
      <c r="AC8827" s="2"/>
    </row>
    <row r="8828" spans="1:29" ht="156" x14ac:dyDescent="0.15">
      <c r="A8828" s="3">
        <f>DATE(2007,10,11)</f>
        <v>39366</v>
      </c>
      <c r="B8828" s="3">
        <f>DATE(2008,2,29)</f>
        <v>39507</v>
      </c>
      <c r="C8828" s="2" t="s">
        <v>95</v>
      </c>
      <c r="D8828" s="2" t="s">
        <v>26130</v>
      </c>
      <c r="E8828" s="2" t="s">
        <v>159</v>
      </c>
      <c r="F8828" s="4">
        <v>6022</v>
      </c>
      <c r="G8828" s="2" t="s">
        <v>37</v>
      </c>
      <c r="H8828" s="2" t="s">
        <v>34</v>
      </c>
      <c r="I8828" s="2" t="s">
        <v>14074</v>
      </c>
      <c r="J8828" s="2" t="s">
        <v>36</v>
      </c>
      <c r="K8828" s="2" t="s">
        <v>37</v>
      </c>
      <c r="L8828" s="2" t="s">
        <v>34</v>
      </c>
      <c r="M8828" s="7">
        <v>395.524</v>
      </c>
      <c r="N8828" s="6">
        <v>30.25</v>
      </c>
      <c r="O8828" s="6">
        <v>30.23</v>
      </c>
      <c r="P8828" s="2" t="s">
        <v>26131</v>
      </c>
      <c r="Q8828" s="6">
        <v>100</v>
      </c>
      <c r="R8828" s="6">
        <v>25.5</v>
      </c>
      <c r="S8828" s="5">
        <v>3.5</v>
      </c>
      <c r="T8828" s="7">
        <v>6.5830000000000002</v>
      </c>
      <c r="U8828" s="5">
        <v>12.8</v>
      </c>
      <c r="V8828" s="6">
        <v>0.87</v>
      </c>
      <c r="W8828" s="6">
        <v>14.81</v>
      </c>
      <c r="X8828" s="4">
        <v>15</v>
      </c>
      <c r="Y8828" s="5">
        <v>15.3</v>
      </c>
      <c r="Z8828" s="6">
        <v>24.33</v>
      </c>
      <c r="AA8828" s="6">
        <v>4</v>
      </c>
      <c r="AB8828" s="7">
        <v>45.305999999999997</v>
      </c>
      <c r="AC8828" s="2"/>
    </row>
    <row r="8829" spans="1:29" ht="130" x14ac:dyDescent="0.15">
      <c r="A8829" s="3">
        <f>DATE(2007,10,12)</f>
        <v>39367</v>
      </c>
      <c r="B8829" s="3">
        <f>DATE(2008,4,29)</f>
        <v>39567</v>
      </c>
      <c r="C8829" s="2" t="s">
        <v>95</v>
      </c>
      <c r="D8829" s="2" t="s">
        <v>23260</v>
      </c>
      <c r="E8829" s="2" t="s">
        <v>15468</v>
      </c>
      <c r="F8829" s="4">
        <v>7372</v>
      </c>
      <c r="G8829" s="2" t="s">
        <v>551</v>
      </c>
      <c r="H8829" s="2" t="s">
        <v>34</v>
      </c>
      <c r="I8829" s="2" t="s">
        <v>8588</v>
      </c>
      <c r="J8829" s="2" t="s">
        <v>8589</v>
      </c>
      <c r="K8829" s="2" t="s">
        <v>551</v>
      </c>
      <c r="L8829" s="2" t="s">
        <v>34</v>
      </c>
      <c r="M8829" s="12">
        <v>103091.31600000001</v>
      </c>
      <c r="N8829" s="6">
        <v>22.44</v>
      </c>
      <c r="O8829" s="6">
        <v>22.07</v>
      </c>
      <c r="P8829" s="2" t="s">
        <v>26132</v>
      </c>
      <c r="Q8829" s="6">
        <v>100</v>
      </c>
      <c r="R8829" s="6">
        <v>19.38</v>
      </c>
      <c r="S8829" s="5">
        <v>32.700000000000003</v>
      </c>
      <c r="T8829" s="7">
        <v>258.67700000000002</v>
      </c>
      <c r="U8829" s="5">
        <v>3.8</v>
      </c>
      <c r="V8829" s="6">
        <v>0.08</v>
      </c>
      <c r="W8829" s="6">
        <v>14.01</v>
      </c>
      <c r="X8829" s="6">
        <v>13.62</v>
      </c>
      <c r="Y8829" s="6">
        <v>18.82</v>
      </c>
      <c r="Z8829" s="6">
        <v>18.440000000000001</v>
      </c>
      <c r="AA8829" s="6">
        <v>392</v>
      </c>
      <c r="AB8829" s="7">
        <v>35.548999999999999</v>
      </c>
      <c r="AC8829" s="8">
        <v>8432</v>
      </c>
    </row>
    <row r="8830" spans="1:29" ht="182" x14ac:dyDescent="0.15">
      <c r="A8830" s="3">
        <f>DATE(2007,10,12)</f>
        <v>39367</v>
      </c>
      <c r="B8830" s="3">
        <f>DATE(2008,2,14)</f>
        <v>39492</v>
      </c>
      <c r="C8830" s="2" t="s">
        <v>95</v>
      </c>
      <c r="D8830" s="2" t="s">
        <v>21739</v>
      </c>
      <c r="E8830" s="2" t="s">
        <v>25924</v>
      </c>
      <c r="F8830" s="4">
        <v>1499</v>
      </c>
      <c r="G8830" s="2" t="s">
        <v>166</v>
      </c>
      <c r="H8830" s="2" t="s">
        <v>34</v>
      </c>
      <c r="I8830" s="2" t="s">
        <v>26133</v>
      </c>
      <c r="J8830" s="2" t="s">
        <v>25924</v>
      </c>
      <c r="K8830" s="2" t="s">
        <v>166</v>
      </c>
      <c r="L8830" s="2" t="s">
        <v>34</v>
      </c>
      <c r="M8830" s="2"/>
      <c r="N8830" s="2"/>
      <c r="O8830" s="2"/>
      <c r="P8830" s="2" t="s">
        <v>26134</v>
      </c>
      <c r="Q8830" s="6">
        <v>100</v>
      </c>
      <c r="R8830" s="6">
        <v>36</v>
      </c>
      <c r="S8830" s="2"/>
      <c r="T8830" s="2"/>
      <c r="U8830" s="2"/>
      <c r="V8830" s="2"/>
      <c r="W8830" s="6">
        <v>33.22</v>
      </c>
      <c r="X8830" s="6">
        <v>34.25</v>
      </c>
      <c r="Y8830" s="5">
        <v>35.6</v>
      </c>
      <c r="Z8830" s="5">
        <v>35.6</v>
      </c>
      <c r="AA8830" s="6">
        <v>14.45</v>
      </c>
      <c r="AB8830" s="2" t="s">
        <v>47</v>
      </c>
      <c r="AC8830" s="2"/>
    </row>
    <row r="8831" spans="1:29" ht="78" x14ac:dyDescent="0.15">
      <c r="A8831" s="3">
        <f>DATE(2007,10,13)</f>
        <v>39368</v>
      </c>
      <c r="B8831" s="2"/>
      <c r="C8831" s="2" t="s">
        <v>189</v>
      </c>
      <c r="D8831" s="2" t="s">
        <v>26135</v>
      </c>
      <c r="E8831" s="2" t="s">
        <v>540</v>
      </c>
      <c r="F8831" s="4">
        <v>2836</v>
      </c>
      <c r="G8831" s="2" t="s">
        <v>130</v>
      </c>
      <c r="H8831" s="2" t="s">
        <v>34</v>
      </c>
      <c r="I8831" s="2" t="s">
        <v>143</v>
      </c>
      <c r="J8831" s="2" t="s">
        <v>144</v>
      </c>
      <c r="K8831" s="2" t="s">
        <v>53</v>
      </c>
      <c r="L8831" s="2" t="s">
        <v>139</v>
      </c>
      <c r="M8831" s="2"/>
      <c r="N8831" s="2"/>
      <c r="O8831" s="2"/>
      <c r="P8831" s="2" t="s">
        <v>26136</v>
      </c>
      <c r="Q8831" s="2"/>
      <c r="R8831" s="2"/>
      <c r="S8831" s="5">
        <v>545.6</v>
      </c>
      <c r="T8831" s="12">
        <v>1129.057</v>
      </c>
      <c r="U8831" s="5">
        <v>17</v>
      </c>
      <c r="V8831" s="6">
        <v>1.66</v>
      </c>
      <c r="W8831" s="6">
        <v>67.63</v>
      </c>
      <c r="X8831" s="6">
        <v>69.430000000000007</v>
      </c>
      <c r="Y8831" s="6">
        <v>82.51</v>
      </c>
      <c r="Z8831" s="6">
        <v>82.51</v>
      </c>
      <c r="AA8831" s="6">
        <v>287.93</v>
      </c>
      <c r="AB8831" s="2" t="s">
        <v>47</v>
      </c>
      <c r="AC8831" s="2"/>
    </row>
    <row r="8832" spans="1:29" ht="169" x14ac:dyDescent="0.15">
      <c r="A8832" s="3">
        <f>DATE(2007,10,15)</f>
        <v>39370</v>
      </c>
      <c r="B8832" s="3">
        <f>DATE(2007,11,21)</f>
        <v>39407</v>
      </c>
      <c r="C8832" s="2" t="s">
        <v>95</v>
      </c>
      <c r="D8832" s="2" t="s">
        <v>22099</v>
      </c>
      <c r="E8832" s="2" t="s">
        <v>22100</v>
      </c>
      <c r="F8832" s="4">
        <v>3825</v>
      </c>
      <c r="G8832" s="2" t="s">
        <v>226</v>
      </c>
      <c r="H8832" s="2" t="s">
        <v>34</v>
      </c>
      <c r="I8832" s="2" t="s">
        <v>315</v>
      </c>
      <c r="J8832" s="2" t="s">
        <v>316</v>
      </c>
      <c r="K8832" s="2" t="s">
        <v>226</v>
      </c>
      <c r="L8832" s="2" t="s">
        <v>34</v>
      </c>
      <c r="M8832" s="12">
        <v>24315.159</v>
      </c>
      <c r="N8832" s="6">
        <v>81.52</v>
      </c>
      <c r="O8832" s="6">
        <v>80.430000000000007</v>
      </c>
      <c r="P8832" s="2" t="s">
        <v>26137</v>
      </c>
      <c r="Q8832" s="6">
        <v>100</v>
      </c>
      <c r="R8832" s="6">
        <v>38</v>
      </c>
      <c r="S8832" s="5">
        <v>87.2</v>
      </c>
      <c r="T8832" s="7">
        <v>167.96100000000001</v>
      </c>
      <c r="U8832" s="5">
        <v>11.8</v>
      </c>
      <c r="V8832" s="6">
        <v>1.0900000000000001</v>
      </c>
      <c r="W8832" s="6">
        <v>28.81</v>
      </c>
      <c r="X8832" s="6">
        <v>28.34</v>
      </c>
      <c r="Y8832" s="6">
        <v>37.85</v>
      </c>
      <c r="Z8832" s="6">
        <v>37.729999999999997</v>
      </c>
      <c r="AA8832" s="6">
        <v>75.09</v>
      </c>
      <c r="AB8832" s="7">
        <v>24.934000000000001</v>
      </c>
      <c r="AC8832" s="6">
        <v>209.28</v>
      </c>
    </row>
    <row r="8833" spans="1:29" ht="130" x14ac:dyDescent="0.15">
      <c r="A8833" s="3">
        <f>DATE(2007,10,16)</f>
        <v>39371</v>
      </c>
      <c r="B8833" s="2"/>
      <c r="C8833" s="2" t="s">
        <v>30</v>
      </c>
      <c r="D8833" s="2" t="s">
        <v>26138</v>
      </c>
      <c r="E8833" s="2" t="s">
        <v>18348</v>
      </c>
      <c r="F8833" s="4">
        <v>1311</v>
      </c>
      <c r="G8833" s="2" t="s">
        <v>148</v>
      </c>
      <c r="H8833" s="2" t="s">
        <v>34</v>
      </c>
      <c r="I8833" s="2" t="s">
        <v>26139</v>
      </c>
      <c r="J8833" s="2" t="s">
        <v>18348</v>
      </c>
      <c r="K8833" s="2" t="s">
        <v>148</v>
      </c>
      <c r="L8833" s="2" t="s">
        <v>34</v>
      </c>
      <c r="M8833" s="6">
        <v>207.78</v>
      </c>
      <c r="N8833" s="6">
        <v>9.2799999999999994</v>
      </c>
      <c r="O8833" s="6">
        <v>8.5399999999999991</v>
      </c>
      <c r="P8833" s="2" t="s">
        <v>26140</v>
      </c>
      <c r="Q8833" s="2"/>
      <c r="R8833" s="6">
        <v>3.77</v>
      </c>
      <c r="S8833" s="5">
        <v>-23.4</v>
      </c>
      <c r="T8833" s="6">
        <v>-1.62</v>
      </c>
      <c r="U8833" s="5">
        <v>4.3</v>
      </c>
      <c r="V8833" s="6">
        <v>-0.86</v>
      </c>
      <c r="W8833" s="7">
        <v>4.5640000000000001</v>
      </c>
      <c r="X8833" s="6">
        <v>4.8600000000000003</v>
      </c>
      <c r="Y8833" s="6">
        <v>5.95</v>
      </c>
      <c r="Z8833" s="6">
        <v>5.64</v>
      </c>
      <c r="AA8833" s="6">
        <v>29.02</v>
      </c>
      <c r="AB8833" s="2" t="s">
        <v>86</v>
      </c>
      <c r="AC8833" s="6">
        <v>17.920000000000002</v>
      </c>
    </row>
    <row r="8834" spans="1:29" ht="91" x14ac:dyDescent="0.15">
      <c r="A8834" s="3">
        <f>DATE(2007,10,16)</f>
        <v>39371</v>
      </c>
      <c r="B8834" s="3">
        <f>DATE(2008,6,30)</f>
        <v>39629</v>
      </c>
      <c r="C8834" s="2" t="s">
        <v>95</v>
      </c>
      <c r="D8834" s="2" t="s">
        <v>26141</v>
      </c>
      <c r="E8834" s="2" t="s">
        <v>26142</v>
      </c>
      <c r="F8834" s="4">
        <v>6399</v>
      </c>
      <c r="G8834" s="2" t="s">
        <v>125</v>
      </c>
      <c r="H8834" s="2" t="s">
        <v>34</v>
      </c>
      <c r="I8834" s="2" t="s">
        <v>26143</v>
      </c>
      <c r="J8834" s="2" t="s">
        <v>26144</v>
      </c>
      <c r="K8834" s="2" t="s">
        <v>125</v>
      </c>
      <c r="L8834" s="2" t="s">
        <v>34</v>
      </c>
      <c r="M8834" s="2"/>
      <c r="N8834" s="2"/>
      <c r="O8834" s="2"/>
      <c r="P8834" s="2" t="s">
        <v>26145</v>
      </c>
      <c r="Q8834" s="6">
        <v>100</v>
      </c>
      <c r="R8834" s="6">
        <v>28</v>
      </c>
      <c r="S8834" s="5">
        <v>15.7</v>
      </c>
      <c r="T8834" s="2"/>
      <c r="U8834" s="5">
        <v>23.3</v>
      </c>
      <c r="V8834" s="6">
        <v>1.62</v>
      </c>
      <c r="W8834" s="6">
        <v>22.79</v>
      </c>
      <c r="X8834" s="6">
        <v>22.09</v>
      </c>
      <c r="Y8834" s="6">
        <v>27.19</v>
      </c>
      <c r="Z8834" s="6">
        <v>27.29</v>
      </c>
      <c r="AA8834" s="6">
        <v>10.08</v>
      </c>
      <c r="AB8834" s="7">
        <v>3.17</v>
      </c>
      <c r="AC8834" s="2"/>
    </row>
    <row r="8835" spans="1:29" ht="104" x14ac:dyDescent="0.15">
      <c r="A8835" s="3">
        <f>DATE(2007,10,17)</f>
        <v>39372</v>
      </c>
      <c r="B8835" s="3">
        <f>DATE(2008,4,3)</f>
        <v>39541</v>
      </c>
      <c r="C8835" s="2" t="s">
        <v>95</v>
      </c>
      <c r="D8835" s="2" t="s">
        <v>26146</v>
      </c>
      <c r="E8835" s="2" t="s">
        <v>26147</v>
      </c>
      <c r="F8835" s="4">
        <v>6331</v>
      </c>
      <c r="G8835" s="2" t="s">
        <v>125</v>
      </c>
      <c r="H8835" s="2" t="s">
        <v>34</v>
      </c>
      <c r="I8835" s="2" t="s">
        <v>8379</v>
      </c>
      <c r="J8835" s="2" t="s">
        <v>124</v>
      </c>
      <c r="K8835" s="2" t="s">
        <v>125</v>
      </c>
      <c r="L8835" s="2" t="s">
        <v>1049</v>
      </c>
      <c r="M8835" s="2"/>
      <c r="N8835" s="2"/>
      <c r="O8835" s="2"/>
      <c r="P8835" s="2" t="s">
        <v>26148</v>
      </c>
      <c r="Q8835" s="6">
        <v>100</v>
      </c>
      <c r="R8835" s="6">
        <v>65</v>
      </c>
      <c r="S8835" s="5">
        <v>93.4</v>
      </c>
      <c r="T8835" s="2"/>
      <c r="U8835" s="5">
        <v>32.799999999999997</v>
      </c>
      <c r="V8835" s="6">
        <v>4.6900000000000004</v>
      </c>
      <c r="W8835" s="5">
        <v>57.7</v>
      </c>
      <c r="X8835" s="6">
        <v>57.27</v>
      </c>
      <c r="Y8835" s="6">
        <v>63.57</v>
      </c>
      <c r="Z8835" s="6">
        <v>63.55</v>
      </c>
      <c r="AA8835" s="6">
        <v>19.36</v>
      </c>
      <c r="AB8835" s="7">
        <v>10.334</v>
      </c>
      <c r="AC8835" s="10">
        <v>3638.83</v>
      </c>
    </row>
    <row r="8836" spans="1:29" ht="104" x14ac:dyDescent="0.15">
      <c r="A8836" s="3">
        <f>DATE(2007,10,19)</f>
        <v>39374</v>
      </c>
      <c r="B8836" s="3">
        <f>DATE(2008,2,21)</f>
        <v>39499</v>
      </c>
      <c r="C8836" s="2" t="s">
        <v>95</v>
      </c>
      <c r="D8836" s="2" t="s">
        <v>26149</v>
      </c>
      <c r="E8836" s="2" t="s">
        <v>26150</v>
      </c>
      <c r="F8836" s="4">
        <v>3841</v>
      </c>
      <c r="G8836" s="2" t="s">
        <v>226</v>
      </c>
      <c r="H8836" s="2" t="s">
        <v>34</v>
      </c>
      <c r="I8836" s="2" t="s">
        <v>26151</v>
      </c>
      <c r="J8836" s="2" t="s">
        <v>244</v>
      </c>
      <c r="K8836" s="2" t="s">
        <v>53</v>
      </c>
      <c r="L8836" s="2" t="s">
        <v>34</v>
      </c>
      <c r="M8836" s="2"/>
      <c r="N8836" s="2"/>
      <c r="O8836" s="2"/>
      <c r="P8836" s="2" t="s">
        <v>26152</v>
      </c>
      <c r="Q8836" s="6">
        <v>100</v>
      </c>
      <c r="R8836" s="6">
        <v>32.5</v>
      </c>
      <c r="S8836" s="5">
        <v>31.4</v>
      </c>
      <c r="T8836" s="7">
        <v>90.302000000000007</v>
      </c>
      <c r="U8836" s="5">
        <v>6.9</v>
      </c>
      <c r="V8836" s="6">
        <v>1.29</v>
      </c>
      <c r="W8836" s="6">
        <v>22.38</v>
      </c>
      <c r="X8836" s="5">
        <v>21.6</v>
      </c>
      <c r="Y8836" s="6">
        <v>21.56</v>
      </c>
      <c r="Z8836" s="6">
        <v>30.96</v>
      </c>
      <c r="AA8836" s="6">
        <v>23.51</v>
      </c>
      <c r="AB8836" s="7">
        <v>16.097000000000001</v>
      </c>
      <c r="AC8836" s="2"/>
    </row>
    <row r="8837" spans="1:29" ht="52" x14ac:dyDescent="0.15">
      <c r="A8837" s="3">
        <f>DATE(2007,10,19)</f>
        <v>39374</v>
      </c>
      <c r="B8837" s="2"/>
      <c r="C8837" s="2" t="s">
        <v>7330</v>
      </c>
      <c r="D8837" s="2" t="s">
        <v>26153</v>
      </c>
      <c r="E8837" s="2" t="s">
        <v>1821</v>
      </c>
      <c r="F8837" s="4">
        <v>5311</v>
      </c>
      <c r="G8837" s="2" t="s">
        <v>756</v>
      </c>
      <c r="H8837" s="2" t="s">
        <v>34</v>
      </c>
      <c r="I8837" s="2" t="s">
        <v>51</v>
      </c>
      <c r="J8837" s="2" t="s">
        <v>52</v>
      </c>
      <c r="K8837" s="2" t="s">
        <v>53</v>
      </c>
      <c r="L8837" s="2" t="s">
        <v>26154</v>
      </c>
      <c r="M8837" s="2"/>
      <c r="N8837" s="2"/>
      <c r="O8837" s="2"/>
      <c r="P8837" s="2" t="s">
        <v>26155</v>
      </c>
      <c r="Q8837" s="2"/>
      <c r="R8837" s="2"/>
      <c r="S8837" s="5">
        <v>-47</v>
      </c>
      <c r="T8837" s="7">
        <v>168.607</v>
      </c>
      <c r="U8837" s="5">
        <v>7.9</v>
      </c>
      <c r="V8837" s="6">
        <v>-0.34</v>
      </c>
      <c r="W8837" s="6">
        <v>18.05</v>
      </c>
      <c r="X8837" s="6">
        <v>19.98</v>
      </c>
      <c r="Y8837" s="6">
        <v>19.329999999999998</v>
      </c>
      <c r="Z8837" s="6">
        <v>19.350000000000001</v>
      </c>
      <c r="AA8837" s="6">
        <v>143.41</v>
      </c>
      <c r="AB8837" s="2" t="s">
        <v>47</v>
      </c>
      <c r="AC8837" s="2"/>
    </row>
    <row r="8838" spans="1:29" ht="104" x14ac:dyDescent="0.15">
      <c r="A8838" s="3">
        <f>DATE(2007,10,22)</f>
        <v>39377</v>
      </c>
      <c r="B8838" s="3">
        <f>DATE(2008,2,13)</f>
        <v>39491</v>
      </c>
      <c r="C8838" s="2" t="s">
        <v>95</v>
      </c>
      <c r="D8838" s="2" t="s">
        <v>26156</v>
      </c>
      <c r="E8838" s="2" t="s">
        <v>26157</v>
      </c>
      <c r="F8838" s="4">
        <v>3433</v>
      </c>
      <c r="G8838" s="2" t="s">
        <v>163</v>
      </c>
      <c r="H8838" s="2" t="s">
        <v>34</v>
      </c>
      <c r="I8838" s="2" t="s">
        <v>26158</v>
      </c>
      <c r="J8838" s="2" t="s">
        <v>244</v>
      </c>
      <c r="K8838" s="2" t="s">
        <v>53</v>
      </c>
      <c r="L8838" s="2" t="s">
        <v>34</v>
      </c>
      <c r="M8838" s="2"/>
      <c r="N8838" s="2"/>
      <c r="O8838" s="2"/>
      <c r="P8838" s="2" t="s">
        <v>26159</v>
      </c>
      <c r="Q8838" s="6">
        <v>100</v>
      </c>
      <c r="R8838" s="6">
        <v>25.6</v>
      </c>
      <c r="S8838" s="5">
        <v>97.9</v>
      </c>
      <c r="T8838" s="7">
        <v>261.14299999999997</v>
      </c>
      <c r="U8838" s="5">
        <v>8.9</v>
      </c>
      <c r="V8838" s="6">
        <v>1.37</v>
      </c>
      <c r="W8838" s="6">
        <v>24.78</v>
      </c>
      <c r="X8838" s="6">
        <v>21.84</v>
      </c>
      <c r="Y8838" s="6">
        <v>24.43</v>
      </c>
      <c r="Z8838" s="5">
        <v>24.8</v>
      </c>
      <c r="AA8838" s="6">
        <v>68.930000000000007</v>
      </c>
      <c r="AB8838" s="7">
        <v>11.166</v>
      </c>
      <c r="AC8838" s="2"/>
    </row>
    <row r="8839" spans="1:29" ht="78" x14ac:dyDescent="0.15">
      <c r="A8839" s="3">
        <f>DATE(2007,10,23)</f>
        <v>39378</v>
      </c>
      <c r="B8839" s="3">
        <f>DATE(2007,11,29)</f>
        <v>39415</v>
      </c>
      <c r="C8839" s="2" t="s">
        <v>95</v>
      </c>
      <c r="D8839" s="2" t="s">
        <v>26160</v>
      </c>
      <c r="E8839" s="2" t="s">
        <v>5782</v>
      </c>
      <c r="F8839" s="4">
        <v>4832</v>
      </c>
      <c r="G8839" s="2" t="s">
        <v>45</v>
      </c>
      <c r="H8839" s="2" t="s">
        <v>34</v>
      </c>
      <c r="I8839" s="2" t="s">
        <v>51</v>
      </c>
      <c r="J8839" s="2" t="s">
        <v>52</v>
      </c>
      <c r="K8839" s="2" t="s">
        <v>53</v>
      </c>
      <c r="L8839" s="2" t="s">
        <v>34</v>
      </c>
      <c r="M8839" s="2"/>
      <c r="N8839" s="2"/>
      <c r="O8839" s="2"/>
      <c r="P8839" s="2" t="s">
        <v>26161</v>
      </c>
      <c r="Q8839" s="6">
        <v>51</v>
      </c>
      <c r="R8839" s="2"/>
      <c r="S8839" s="5">
        <v>-0.3</v>
      </c>
      <c r="T8839" s="7">
        <v>-0.215</v>
      </c>
      <c r="U8839" s="5">
        <v>0</v>
      </c>
      <c r="V8839" s="7">
        <v>-0.20100000000000001</v>
      </c>
      <c r="W8839" s="5">
        <v>1.5</v>
      </c>
      <c r="X8839" s="4">
        <v>3</v>
      </c>
      <c r="Y8839" s="4">
        <v>3</v>
      </c>
      <c r="Z8839" s="5">
        <v>3.1</v>
      </c>
      <c r="AA8839" s="6">
        <v>4.37</v>
      </c>
      <c r="AB8839" s="2" t="s">
        <v>86</v>
      </c>
      <c r="AC8839" s="2"/>
    </row>
    <row r="8840" spans="1:29" ht="182" x14ac:dyDescent="0.15">
      <c r="A8840" s="3">
        <f>DATE(2007,10,23)</f>
        <v>39378</v>
      </c>
      <c r="B8840" s="3">
        <f>DATE(2008,5,9)</f>
        <v>39577</v>
      </c>
      <c r="C8840" s="2" t="s">
        <v>95</v>
      </c>
      <c r="D8840" s="2" t="s">
        <v>26162</v>
      </c>
      <c r="E8840" s="2" t="s">
        <v>12477</v>
      </c>
      <c r="F8840" s="4">
        <v>4953</v>
      </c>
      <c r="G8840" s="2" t="s">
        <v>116</v>
      </c>
      <c r="H8840" s="2" t="s">
        <v>34</v>
      </c>
      <c r="I8840" s="2" t="s">
        <v>51</v>
      </c>
      <c r="J8840" s="2" t="s">
        <v>52</v>
      </c>
      <c r="K8840" s="2" t="s">
        <v>53</v>
      </c>
      <c r="L8840" s="2" t="s">
        <v>34</v>
      </c>
      <c r="M8840" s="2"/>
      <c r="N8840" s="2"/>
      <c r="O8840" s="2"/>
      <c r="P8840" s="2" t="s">
        <v>26163</v>
      </c>
      <c r="Q8840" s="6">
        <v>49</v>
      </c>
      <c r="R8840" s="6">
        <v>38</v>
      </c>
      <c r="S8840" s="5">
        <v>16</v>
      </c>
      <c r="T8840" s="7">
        <v>68.491</v>
      </c>
      <c r="U8840" s="5">
        <v>10.199999999999999</v>
      </c>
      <c r="V8840" s="6">
        <v>1.1399999999999999</v>
      </c>
      <c r="W8840" s="6">
        <v>26.97</v>
      </c>
      <c r="X8840" s="6">
        <v>28.47</v>
      </c>
      <c r="Y8840" s="6">
        <v>35.75</v>
      </c>
      <c r="Z8840" s="5">
        <v>35.299999999999997</v>
      </c>
      <c r="AA8840" s="6">
        <v>14.11</v>
      </c>
      <c r="AB8840" s="7">
        <v>19.288</v>
      </c>
      <c r="AC8840" s="2"/>
    </row>
    <row r="8841" spans="1:29" ht="130" x14ac:dyDescent="0.15">
      <c r="A8841" s="3">
        <f>DATE(2007,10,25)</f>
        <v>39380</v>
      </c>
      <c r="B8841" s="3">
        <f>DATE(2007,12,31)</f>
        <v>39447</v>
      </c>
      <c r="C8841" s="2" t="s">
        <v>95</v>
      </c>
      <c r="D8841" s="2" t="s">
        <v>26164</v>
      </c>
      <c r="E8841" s="2" t="s">
        <v>26165</v>
      </c>
      <c r="F8841" s="4">
        <v>7389</v>
      </c>
      <c r="G8841" s="2" t="s">
        <v>223</v>
      </c>
      <c r="H8841" s="2" t="s">
        <v>34</v>
      </c>
      <c r="I8841" s="2" t="s">
        <v>278</v>
      </c>
      <c r="J8841" s="2" t="s">
        <v>52</v>
      </c>
      <c r="K8841" s="2" t="s">
        <v>53</v>
      </c>
      <c r="L8841" s="2" t="s">
        <v>34</v>
      </c>
      <c r="M8841" s="2"/>
      <c r="N8841" s="2"/>
      <c r="O8841" s="2"/>
      <c r="P8841" s="2" t="s">
        <v>26166</v>
      </c>
      <c r="Q8841" s="6">
        <v>80.599999999999994</v>
      </c>
      <c r="R8841" s="6">
        <v>28</v>
      </c>
      <c r="S8841" s="5">
        <v>237.4</v>
      </c>
      <c r="T8841" s="7">
        <v>519.505</v>
      </c>
      <c r="U8841" s="5">
        <v>4.3</v>
      </c>
      <c r="V8841" s="6">
        <v>1.2</v>
      </c>
      <c r="W8841" s="6">
        <v>28.34</v>
      </c>
      <c r="X8841" s="6">
        <v>29.97</v>
      </c>
      <c r="Y8841" s="5">
        <v>29.4</v>
      </c>
      <c r="Z8841" s="6">
        <v>29.25</v>
      </c>
      <c r="AA8841" s="6">
        <v>197.49</v>
      </c>
      <c r="AB8841" s="7">
        <v>15.179</v>
      </c>
      <c r="AC8841" s="2"/>
    </row>
    <row r="8842" spans="1:29" ht="169" x14ac:dyDescent="0.15">
      <c r="A8842" s="3">
        <f>DATE(2007,10,25)</f>
        <v>39380</v>
      </c>
      <c r="B8842" s="3">
        <f>DATE(2008,1,17)</f>
        <v>39464</v>
      </c>
      <c r="C8842" s="2" t="s">
        <v>95</v>
      </c>
      <c r="D8842" s="2" t="s">
        <v>26167</v>
      </c>
      <c r="E8842" s="2" t="s">
        <v>26168</v>
      </c>
      <c r="F8842" s="4">
        <v>7372</v>
      </c>
      <c r="G8842" s="2" t="s">
        <v>551</v>
      </c>
      <c r="H8842" s="2" t="s">
        <v>34</v>
      </c>
      <c r="I8842" s="2" t="s">
        <v>26169</v>
      </c>
      <c r="J8842" s="2" t="s">
        <v>26170</v>
      </c>
      <c r="K8842" s="2" t="s">
        <v>551</v>
      </c>
      <c r="L8842" s="2" t="s">
        <v>34</v>
      </c>
      <c r="M8842" s="12">
        <v>1807.9960000000001</v>
      </c>
      <c r="N8842" s="5">
        <v>31.5</v>
      </c>
      <c r="O8842" s="6">
        <v>35.85</v>
      </c>
      <c r="P8842" s="2" t="s">
        <v>26171</v>
      </c>
      <c r="Q8842" s="6">
        <v>100</v>
      </c>
      <c r="R8842" s="6">
        <v>18.04</v>
      </c>
      <c r="S8842" s="2"/>
      <c r="T8842" s="2"/>
      <c r="U8842" s="5">
        <v>4.8</v>
      </c>
      <c r="V8842" s="2"/>
      <c r="W8842" s="6">
        <v>16.98</v>
      </c>
      <c r="X8842" s="6">
        <v>17.37</v>
      </c>
      <c r="Y8842" s="6">
        <v>16.72</v>
      </c>
      <c r="Z8842" s="6">
        <v>18.690000000000001</v>
      </c>
      <c r="AA8842" s="6">
        <v>20.88</v>
      </c>
      <c r="AB8842" s="2" t="s">
        <v>47</v>
      </c>
      <c r="AC8842" s="2"/>
    </row>
    <row r="8843" spans="1:29" ht="195" x14ac:dyDescent="0.15">
      <c r="A8843" s="3">
        <f>DATE(2007,10,26)</f>
        <v>39381</v>
      </c>
      <c r="B8843" s="3">
        <f>DATE(2009,2,6)</f>
        <v>39850</v>
      </c>
      <c r="C8843" s="2" t="s">
        <v>95</v>
      </c>
      <c r="D8843" s="2" t="s">
        <v>26172</v>
      </c>
      <c r="E8843" s="2" t="s">
        <v>26173</v>
      </c>
      <c r="F8843" s="4">
        <v>4911</v>
      </c>
      <c r="G8843" s="2" t="s">
        <v>439</v>
      </c>
      <c r="H8843" s="2" t="s">
        <v>34</v>
      </c>
      <c r="I8843" s="2" t="s">
        <v>26174</v>
      </c>
      <c r="J8843" s="2" t="s">
        <v>11337</v>
      </c>
      <c r="K8843" s="2" t="s">
        <v>53</v>
      </c>
      <c r="L8843" s="2" t="s">
        <v>34</v>
      </c>
      <c r="M8843" s="2"/>
      <c r="N8843" s="2"/>
      <c r="O8843" s="2"/>
      <c r="P8843" s="2" t="s">
        <v>26175</v>
      </c>
      <c r="Q8843" s="6">
        <v>90.37</v>
      </c>
      <c r="R8843" s="6">
        <v>30</v>
      </c>
      <c r="S8843" s="5">
        <v>134.5</v>
      </c>
      <c r="T8843" s="7">
        <v>679.01300000000003</v>
      </c>
      <c r="U8843" s="5">
        <v>18.399999999999999</v>
      </c>
      <c r="V8843" s="6">
        <v>1.59</v>
      </c>
      <c r="W8843" s="6">
        <v>23.75</v>
      </c>
      <c r="X8843" s="6">
        <v>23.95</v>
      </c>
      <c r="Y8843" s="5">
        <v>27.8</v>
      </c>
      <c r="Z8843" s="6">
        <v>28.05</v>
      </c>
      <c r="AA8843" s="6">
        <v>129.52000000000001</v>
      </c>
      <c r="AB8843" s="7">
        <v>16.542999999999999</v>
      </c>
      <c r="AC8843" s="2"/>
    </row>
    <row r="8844" spans="1:29" ht="117" x14ac:dyDescent="0.15">
      <c r="A8844" s="3">
        <f>DATE(2007,10,26)</f>
        <v>39381</v>
      </c>
      <c r="B8844" s="3">
        <f>DATE(2008,1,25)</f>
        <v>39472</v>
      </c>
      <c r="C8844" s="2" t="s">
        <v>95</v>
      </c>
      <c r="D8844" s="2" t="s">
        <v>18015</v>
      </c>
      <c r="E8844" s="2" t="s">
        <v>18016</v>
      </c>
      <c r="F8844" s="4">
        <v>7372</v>
      </c>
      <c r="G8844" s="2" t="s">
        <v>551</v>
      </c>
      <c r="H8844" s="2" t="s">
        <v>34</v>
      </c>
      <c r="I8844" s="2" t="s">
        <v>26176</v>
      </c>
      <c r="J8844" s="2" t="s">
        <v>26177</v>
      </c>
      <c r="K8844" s="2" t="s">
        <v>551</v>
      </c>
      <c r="L8844" s="2" t="s">
        <v>5907</v>
      </c>
      <c r="M8844" s="2"/>
      <c r="N8844" s="2"/>
      <c r="O8844" s="2"/>
      <c r="P8844" s="2" t="s">
        <v>26178</v>
      </c>
      <c r="Q8844" s="6">
        <v>100</v>
      </c>
      <c r="R8844" s="6">
        <v>2.56</v>
      </c>
      <c r="S8844" s="5">
        <v>-9.1999999999999993</v>
      </c>
      <c r="T8844" s="7">
        <v>-6.298</v>
      </c>
      <c r="U8844" s="5">
        <v>0.3</v>
      </c>
      <c r="V8844" s="6">
        <v>-6.36</v>
      </c>
      <c r="W8844" s="6">
        <v>4.76</v>
      </c>
      <c r="X8844" s="6">
        <v>5.61</v>
      </c>
      <c r="Y8844" s="6">
        <v>2.98</v>
      </c>
      <c r="Z8844" s="5">
        <v>2.7</v>
      </c>
      <c r="AA8844" s="6">
        <v>12.91</v>
      </c>
      <c r="AB8844" s="2" t="s">
        <v>86</v>
      </c>
      <c r="AC8844" s="2"/>
    </row>
    <row r="8845" spans="1:29" ht="65" x14ac:dyDescent="0.15">
      <c r="A8845" s="3">
        <f>DATE(2007,10,26)</f>
        <v>39381</v>
      </c>
      <c r="B8845" s="2"/>
      <c r="C8845" s="2" t="s">
        <v>87</v>
      </c>
      <c r="D8845" s="2" t="s">
        <v>22080</v>
      </c>
      <c r="E8845" s="2" t="s">
        <v>22081</v>
      </c>
      <c r="F8845" s="4">
        <v>6021</v>
      </c>
      <c r="G8845" s="2" t="s">
        <v>37</v>
      </c>
      <c r="H8845" s="2" t="s">
        <v>34</v>
      </c>
      <c r="I8845" s="2" t="s">
        <v>11003</v>
      </c>
      <c r="J8845" s="2" t="s">
        <v>11004</v>
      </c>
      <c r="K8845" s="2" t="s">
        <v>53</v>
      </c>
      <c r="L8845" s="2" t="s">
        <v>34</v>
      </c>
      <c r="M8845" s="12">
        <v>61436.896000000001</v>
      </c>
      <c r="N8845" s="6">
        <v>66.09</v>
      </c>
      <c r="O8845" s="6">
        <v>67.42</v>
      </c>
      <c r="P8845" s="2" t="s">
        <v>26179</v>
      </c>
      <c r="Q8845" s="2"/>
      <c r="R8845" s="2"/>
      <c r="S8845" s="8">
        <v>8516</v>
      </c>
      <c r="T8845" s="8">
        <v>14392</v>
      </c>
      <c r="U8845" s="5">
        <v>36.9</v>
      </c>
      <c r="V8845" s="6">
        <v>4.4400000000000004</v>
      </c>
      <c r="W8845" s="5">
        <v>46.4</v>
      </c>
      <c r="X8845" s="6">
        <v>45.09</v>
      </c>
      <c r="Y8845" s="6">
        <v>46.54</v>
      </c>
      <c r="Z8845" s="5">
        <v>46.3</v>
      </c>
      <c r="AA8845" s="10">
        <v>1903.01</v>
      </c>
      <c r="AB8845" s="2" t="s">
        <v>47</v>
      </c>
      <c r="AC8845" s="8">
        <v>66882</v>
      </c>
    </row>
    <row r="8846" spans="1:29" ht="156" x14ac:dyDescent="0.15">
      <c r="A8846" s="3">
        <f>DATE(2007,10,30)</f>
        <v>39385</v>
      </c>
      <c r="B8846" s="3">
        <f>DATE(2008,2,21)</f>
        <v>39499</v>
      </c>
      <c r="C8846" s="2" t="s">
        <v>95</v>
      </c>
      <c r="D8846" s="2" t="s">
        <v>25632</v>
      </c>
      <c r="E8846" s="2" t="s">
        <v>2066</v>
      </c>
      <c r="F8846" s="4">
        <v>2834</v>
      </c>
      <c r="G8846" s="2" t="s">
        <v>130</v>
      </c>
      <c r="H8846" s="2" t="s">
        <v>34</v>
      </c>
      <c r="I8846" s="2" t="s">
        <v>26180</v>
      </c>
      <c r="J8846" s="2" t="s">
        <v>8293</v>
      </c>
      <c r="K8846" s="2" t="s">
        <v>130</v>
      </c>
      <c r="L8846" s="2" t="s">
        <v>34</v>
      </c>
      <c r="M8846" s="2"/>
      <c r="N8846" s="2"/>
      <c r="O8846" s="2"/>
      <c r="P8846" s="2" t="s">
        <v>26181</v>
      </c>
      <c r="Q8846" s="6">
        <v>100</v>
      </c>
      <c r="R8846" s="6">
        <v>20</v>
      </c>
      <c r="S8846" s="5">
        <v>0.7</v>
      </c>
      <c r="T8846" s="7">
        <v>19.169</v>
      </c>
      <c r="U8846" s="5">
        <v>11.3</v>
      </c>
      <c r="V8846" s="6">
        <v>0.04</v>
      </c>
      <c r="W8846" s="6">
        <v>16.47</v>
      </c>
      <c r="X8846" s="4">
        <v>16</v>
      </c>
      <c r="Y8846" s="6">
        <v>19.66</v>
      </c>
      <c r="Z8846" s="6">
        <v>19.670000000000002</v>
      </c>
      <c r="AA8846" s="6">
        <v>16.95</v>
      </c>
      <c r="AB8846" s="7">
        <v>43.511000000000003</v>
      </c>
      <c r="AC8846" s="2"/>
    </row>
    <row r="8847" spans="1:29" ht="117" x14ac:dyDescent="0.15">
      <c r="A8847" s="3">
        <f>DATE(2007,10,30)</f>
        <v>39385</v>
      </c>
      <c r="B8847" s="3">
        <f>DATE(2008,6,4)</f>
        <v>39603</v>
      </c>
      <c r="C8847" s="2" t="s">
        <v>95</v>
      </c>
      <c r="D8847" s="2" t="s">
        <v>26182</v>
      </c>
      <c r="E8847" s="2" t="s">
        <v>4875</v>
      </c>
      <c r="F8847" s="4">
        <v>6331</v>
      </c>
      <c r="G8847" s="2" t="s">
        <v>125</v>
      </c>
      <c r="H8847" s="2" t="s">
        <v>34</v>
      </c>
      <c r="I8847" s="2" t="s">
        <v>26183</v>
      </c>
      <c r="J8847" s="2" t="s">
        <v>124</v>
      </c>
      <c r="K8847" s="2" t="s">
        <v>125</v>
      </c>
      <c r="L8847" s="2" t="s">
        <v>8464</v>
      </c>
      <c r="M8847" s="12">
        <v>10530.199000000001</v>
      </c>
      <c r="N8847" s="7">
        <v>4.8460000000000001</v>
      </c>
      <c r="O8847" s="7">
        <v>4.6920000000000002</v>
      </c>
      <c r="P8847" s="2" t="s">
        <v>26184</v>
      </c>
      <c r="Q8847" s="6">
        <v>100</v>
      </c>
      <c r="R8847" s="6">
        <v>36.700000000000003</v>
      </c>
      <c r="S8847" s="5">
        <v>230.8</v>
      </c>
      <c r="T8847" s="2"/>
      <c r="U8847" s="5">
        <v>22.9</v>
      </c>
      <c r="V8847" s="6">
        <v>3.5</v>
      </c>
      <c r="W8847" s="5">
        <v>29.3</v>
      </c>
      <c r="X8847" s="6">
        <v>32.01</v>
      </c>
      <c r="Y8847" s="6">
        <v>31.12</v>
      </c>
      <c r="Z8847" s="6">
        <v>36.49</v>
      </c>
      <c r="AA8847" s="6">
        <v>63.11</v>
      </c>
      <c r="AB8847" s="7">
        <v>6.899</v>
      </c>
      <c r="AC8847" s="2"/>
    </row>
    <row r="8848" spans="1:29" ht="130" x14ac:dyDescent="0.15">
      <c r="A8848" s="3">
        <f>DATE(2007,10,30)</f>
        <v>39385</v>
      </c>
      <c r="B8848" s="3">
        <f>DATE(2007,12,31)</f>
        <v>39447</v>
      </c>
      <c r="C8848" s="2" t="s">
        <v>95</v>
      </c>
      <c r="D8848" s="2" t="s">
        <v>26185</v>
      </c>
      <c r="E8848" s="2" t="s">
        <v>26186</v>
      </c>
      <c r="F8848" s="4">
        <v>6411</v>
      </c>
      <c r="G8848" s="2" t="s">
        <v>125</v>
      </c>
      <c r="H8848" s="2" t="s">
        <v>34</v>
      </c>
      <c r="I8848" s="2" t="s">
        <v>13362</v>
      </c>
      <c r="J8848" s="2" t="s">
        <v>13363</v>
      </c>
      <c r="K8848" s="2" t="s">
        <v>125</v>
      </c>
      <c r="L8848" s="2" t="s">
        <v>902</v>
      </c>
      <c r="M8848" s="12">
        <v>4205.8519999999999</v>
      </c>
      <c r="N8848" s="7">
        <v>269.32100000000003</v>
      </c>
      <c r="O8848" s="7">
        <v>277.09399999999999</v>
      </c>
      <c r="P8848" s="2" t="s">
        <v>26187</v>
      </c>
      <c r="Q8848" s="6">
        <v>5</v>
      </c>
      <c r="R8848" s="6">
        <v>3.2</v>
      </c>
      <c r="S8848" s="5">
        <v>-107.6</v>
      </c>
      <c r="T8848" s="7">
        <v>25.155999999999999</v>
      </c>
      <c r="U8848" s="5">
        <v>-1.7</v>
      </c>
      <c r="V8848" s="9">
        <v>-4.8902999999999999</v>
      </c>
      <c r="W8848" s="5">
        <v>2.2000000000000002</v>
      </c>
      <c r="X8848" s="5">
        <v>2.2000000000000002</v>
      </c>
      <c r="Y8848" s="5">
        <v>2.2000000000000002</v>
      </c>
      <c r="Z8848" s="6">
        <v>3.15</v>
      </c>
      <c r="AA8848" s="6">
        <v>19.920000000000002</v>
      </c>
      <c r="AB8848" s="7">
        <v>14.157</v>
      </c>
      <c r="AC8848" s="5">
        <v>458.3</v>
      </c>
    </row>
    <row r="8849" spans="1:29" ht="91" x14ac:dyDescent="0.15">
      <c r="A8849" s="3">
        <f>DATE(2007,10,30)</f>
        <v>39385</v>
      </c>
      <c r="B8849" s="3">
        <f>DATE(2008,4,1)</f>
        <v>39539</v>
      </c>
      <c r="C8849" s="2" t="s">
        <v>95</v>
      </c>
      <c r="D8849" s="2" t="s">
        <v>26188</v>
      </c>
      <c r="E8849" s="2" t="s">
        <v>26189</v>
      </c>
      <c r="F8849" s="4">
        <v>3845</v>
      </c>
      <c r="G8849" s="2" t="s">
        <v>226</v>
      </c>
      <c r="H8849" s="2" t="s">
        <v>34</v>
      </c>
      <c r="I8849" s="2" t="s">
        <v>26190</v>
      </c>
      <c r="J8849" s="2" t="s">
        <v>20286</v>
      </c>
      <c r="K8849" s="2" t="s">
        <v>130</v>
      </c>
      <c r="L8849" s="2" t="s">
        <v>34</v>
      </c>
      <c r="M8849" s="2"/>
      <c r="N8849" s="2"/>
      <c r="O8849" s="2"/>
      <c r="P8849" s="2" t="s">
        <v>26191</v>
      </c>
      <c r="Q8849" s="6">
        <v>100</v>
      </c>
      <c r="R8849" s="6">
        <v>21</v>
      </c>
      <c r="S8849" s="5">
        <v>7.6</v>
      </c>
      <c r="T8849" s="7">
        <v>13.074</v>
      </c>
      <c r="U8849" s="5">
        <v>10.4</v>
      </c>
      <c r="V8849" s="6">
        <v>0.67</v>
      </c>
      <c r="W8849" s="6">
        <v>15.76</v>
      </c>
      <c r="X8849" s="6">
        <v>16.420000000000002</v>
      </c>
      <c r="Y8849" s="6">
        <v>20.51</v>
      </c>
      <c r="Z8849" s="6">
        <v>20.48</v>
      </c>
      <c r="AA8849" s="6">
        <v>10.98</v>
      </c>
      <c r="AB8849" s="7">
        <v>19.478999999999999</v>
      </c>
      <c r="AC8849" s="2"/>
    </row>
    <row r="8850" spans="1:29" ht="104" x14ac:dyDescent="0.15">
      <c r="A8850" s="3">
        <f>DATE(2007,10,30)</f>
        <v>39385</v>
      </c>
      <c r="B8850" s="2"/>
      <c r="C8850" s="2" t="s">
        <v>30</v>
      </c>
      <c r="D8850" s="2" t="s">
        <v>26192</v>
      </c>
      <c r="E8850" s="2" t="s">
        <v>26193</v>
      </c>
      <c r="F8850" s="4">
        <v>3482</v>
      </c>
      <c r="G8850" s="2" t="s">
        <v>163</v>
      </c>
      <c r="H8850" s="2" t="s">
        <v>34</v>
      </c>
      <c r="I8850" s="2" t="s">
        <v>4438</v>
      </c>
      <c r="J8850" s="2" t="s">
        <v>678</v>
      </c>
      <c r="K8850" s="2" t="s">
        <v>53</v>
      </c>
      <c r="L8850" s="2" t="s">
        <v>34</v>
      </c>
      <c r="M8850" s="2"/>
      <c r="N8850" s="2"/>
      <c r="O8850" s="2"/>
      <c r="P8850" s="2" t="s">
        <v>26194</v>
      </c>
      <c r="Q8850" s="2"/>
      <c r="R8850" s="6">
        <v>5.5</v>
      </c>
      <c r="S8850" s="5">
        <v>-5.3</v>
      </c>
      <c r="T8850" s="7">
        <v>15.731999999999999</v>
      </c>
      <c r="U8850" s="5">
        <v>0</v>
      </c>
      <c r="V8850" s="6">
        <v>-0.12</v>
      </c>
      <c r="W8850" s="5">
        <v>4.5999999999999996</v>
      </c>
      <c r="X8850" s="6">
        <v>4.45</v>
      </c>
      <c r="Y8850" s="2"/>
      <c r="Z8850" s="6">
        <v>5.35</v>
      </c>
      <c r="AA8850" s="6">
        <v>51.03</v>
      </c>
      <c r="AB8850" s="7">
        <v>17.161999999999999</v>
      </c>
      <c r="AC8850" s="2"/>
    </row>
    <row r="8851" spans="1:29" ht="91" x14ac:dyDescent="0.15">
      <c r="A8851" s="3">
        <f>DATE(2007,10,31)</f>
        <v>39386</v>
      </c>
      <c r="B8851" s="3">
        <f>DATE(2008,1,14)</f>
        <v>39461</v>
      </c>
      <c r="C8851" s="2" t="s">
        <v>95</v>
      </c>
      <c r="D8851" s="2" t="s">
        <v>12878</v>
      </c>
      <c r="E8851" s="2" t="s">
        <v>4480</v>
      </c>
      <c r="F8851" s="4">
        <v>8742</v>
      </c>
      <c r="G8851" s="2" t="s">
        <v>223</v>
      </c>
      <c r="H8851" s="2" t="s">
        <v>34</v>
      </c>
      <c r="I8851" s="2" t="s">
        <v>7836</v>
      </c>
      <c r="J8851" s="2" t="s">
        <v>7837</v>
      </c>
      <c r="K8851" s="2" t="s">
        <v>223</v>
      </c>
      <c r="L8851" s="2" t="s">
        <v>34</v>
      </c>
      <c r="M8851" s="12">
        <v>9900.2039999999997</v>
      </c>
      <c r="N8851" s="6">
        <v>58.39</v>
      </c>
      <c r="O8851" s="6">
        <v>56.69</v>
      </c>
      <c r="P8851" s="2" t="s">
        <v>26195</v>
      </c>
      <c r="Q8851" s="6">
        <v>100</v>
      </c>
      <c r="R8851" s="6">
        <v>13</v>
      </c>
      <c r="S8851" s="5">
        <v>23.1</v>
      </c>
      <c r="T8851" s="7">
        <v>26.817</v>
      </c>
      <c r="U8851" s="5">
        <v>5.3</v>
      </c>
      <c r="V8851" s="6">
        <v>0.84</v>
      </c>
      <c r="W8851" s="6">
        <v>9.86</v>
      </c>
      <c r="X8851" s="6">
        <v>9.98</v>
      </c>
      <c r="Y8851" s="6">
        <v>12.69</v>
      </c>
      <c r="Z8851" s="5">
        <v>12.7</v>
      </c>
      <c r="AA8851" s="6">
        <v>27.07</v>
      </c>
      <c r="AB8851" s="7">
        <v>13.721</v>
      </c>
      <c r="AC8851" s="8">
        <v>1829.4</v>
      </c>
    </row>
    <row r="8852" spans="1:29" ht="130" x14ac:dyDescent="0.15">
      <c r="A8852" s="3">
        <f>DATE(2007,11,2)</f>
        <v>39388</v>
      </c>
      <c r="B8852" s="3">
        <f>DATE(2008,5,1)</f>
        <v>39569</v>
      </c>
      <c r="C8852" s="2" t="s">
        <v>95</v>
      </c>
      <c r="D8852" s="2" t="s">
        <v>18424</v>
      </c>
      <c r="E8852" s="2" t="s">
        <v>159</v>
      </c>
      <c r="F8852" s="4">
        <v>6712</v>
      </c>
      <c r="G8852" s="2" t="s">
        <v>37</v>
      </c>
      <c r="H8852" s="2" t="s">
        <v>34</v>
      </c>
      <c r="I8852" s="2" t="s">
        <v>2900</v>
      </c>
      <c r="J8852" s="2" t="s">
        <v>265</v>
      </c>
      <c r="K8852" s="2" t="s">
        <v>37</v>
      </c>
      <c r="L8852" s="2" t="s">
        <v>34</v>
      </c>
      <c r="M8852" s="12">
        <v>27175.142</v>
      </c>
      <c r="N8852" s="6">
        <v>68.209999999999994</v>
      </c>
      <c r="O8852" s="6">
        <v>68.39</v>
      </c>
      <c r="P8852" s="2" t="s">
        <v>26196</v>
      </c>
      <c r="Q8852" s="6">
        <v>100</v>
      </c>
      <c r="R8852" s="6">
        <v>10.78</v>
      </c>
      <c r="S8852" s="5">
        <v>-1.4</v>
      </c>
      <c r="T8852" s="6">
        <v>-1.24</v>
      </c>
      <c r="U8852" s="5">
        <v>16.2</v>
      </c>
      <c r="V8852" s="6">
        <v>-0.11</v>
      </c>
      <c r="W8852" s="6">
        <v>10.64</v>
      </c>
      <c r="X8852" s="5">
        <v>8.8000000000000007</v>
      </c>
      <c r="Y8852" s="6">
        <v>10.63</v>
      </c>
      <c r="Z8852" s="5">
        <v>10.7</v>
      </c>
      <c r="AA8852" s="6">
        <v>14.23</v>
      </c>
      <c r="AB8852" s="2" t="s">
        <v>86</v>
      </c>
      <c r="AC8852" s="2"/>
    </row>
    <row r="8853" spans="1:29" ht="143" x14ac:dyDescent="0.15">
      <c r="A8853" s="3">
        <f>DATE(2007,11,5)</f>
        <v>39391</v>
      </c>
      <c r="B8853" s="3">
        <f>DATE(2008,4,1)</f>
        <v>39539</v>
      </c>
      <c r="C8853" s="2" t="s">
        <v>95</v>
      </c>
      <c r="D8853" s="2" t="s">
        <v>26197</v>
      </c>
      <c r="E8853" s="2" t="s">
        <v>2044</v>
      </c>
      <c r="F8853" s="4">
        <v>6798</v>
      </c>
      <c r="G8853" s="2" t="s">
        <v>53</v>
      </c>
      <c r="H8853" s="2" t="s">
        <v>34</v>
      </c>
      <c r="I8853" s="2" t="s">
        <v>26198</v>
      </c>
      <c r="J8853" s="2" t="s">
        <v>92</v>
      </c>
      <c r="K8853" s="2" t="s">
        <v>53</v>
      </c>
      <c r="L8853" s="2" t="s">
        <v>34</v>
      </c>
      <c r="M8853" s="6">
        <v>674.82</v>
      </c>
      <c r="N8853" s="6">
        <v>24.25</v>
      </c>
      <c r="O8853" s="6">
        <v>23.29</v>
      </c>
      <c r="P8853" s="2" t="s">
        <v>26199</v>
      </c>
      <c r="Q8853" s="6">
        <v>100</v>
      </c>
      <c r="R8853" s="6">
        <v>8.43</v>
      </c>
      <c r="S8853" s="5">
        <v>-89.8</v>
      </c>
      <c r="T8853" s="7">
        <v>55.625</v>
      </c>
      <c r="U8853" s="5">
        <v>5.0999999999999996</v>
      </c>
      <c r="V8853" s="6">
        <v>-0.71</v>
      </c>
      <c r="W8853" s="6">
        <v>6.84</v>
      </c>
      <c r="X8853" s="6">
        <v>6.45</v>
      </c>
      <c r="Y8853" s="6">
        <v>8.01</v>
      </c>
      <c r="Z8853" s="6">
        <v>7.79</v>
      </c>
      <c r="AA8853" s="6">
        <v>129.78</v>
      </c>
      <c r="AB8853" s="2" t="s">
        <v>86</v>
      </c>
      <c r="AC8853" s="6">
        <v>454.63</v>
      </c>
    </row>
    <row r="8854" spans="1:29" ht="52" x14ac:dyDescent="0.15">
      <c r="A8854" s="3">
        <f>DATE(2007,11,6)</f>
        <v>39392</v>
      </c>
      <c r="B8854" s="2"/>
      <c r="C8854" s="2" t="s">
        <v>189</v>
      </c>
      <c r="D8854" s="2" t="s">
        <v>26200</v>
      </c>
      <c r="E8854" s="2" t="s">
        <v>18348</v>
      </c>
      <c r="F8854" s="4">
        <v>1311</v>
      </c>
      <c r="G8854" s="2" t="s">
        <v>148</v>
      </c>
      <c r="H8854" s="2" t="s">
        <v>34</v>
      </c>
      <c r="I8854" s="2" t="s">
        <v>143</v>
      </c>
      <c r="J8854" s="2" t="s">
        <v>144</v>
      </c>
      <c r="K8854" s="2" t="s">
        <v>53</v>
      </c>
      <c r="L8854" s="2" t="s">
        <v>139</v>
      </c>
      <c r="M8854" s="2"/>
      <c r="N8854" s="2"/>
      <c r="O8854" s="2"/>
      <c r="P8854" s="2" t="s">
        <v>26201</v>
      </c>
      <c r="Q8854" s="2"/>
      <c r="R8854" s="2"/>
      <c r="S8854" s="5">
        <v>3.7</v>
      </c>
      <c r="T8854" s="7">
        <v>14.537000000000001</v>
      </c>
      <c r="U8854" s="5">
        <v>4.2</v>
      </c>
      <c r="V8854" s="6">
        <v>0.17</v>
      </c>
      <c r="W8854" s="6">
        <v>42.75</v>
      </c>
      <c r="X8854" s="6">
        <v>43.66</v>
      </c>
      <c r="Y8854" s="6">
        <v>46.97</v>
      </c>
      <c r="Z8854" s="6">
        <v>45.45</v>
      </c>
      <c r="AA8854" s="6">
        <v>16.03</v>
      </c>
      <c r="AB8854" s="2" t="s">
        <v>47</v>
      </c>
      <c r="AC8854" s="2"/>
    </row>
    <row r="8855" spans="1:29" ht="143" x14ac:dyDescent="0.15">
      <c r="A8855" s="3">
        <f>DATE(2007,11,7)</f>
        <v>39393</v>
      </c>
      <c r="B8855" s="2"/>
      <c r="C8855" s="2" t="s">
        <v>30</v>
      </c>
      <c r="D8855" s="2" t="s">
        <v>26202</v>
      </c>
      <c r="E8855" s="2" t="s">
        <v>26203</v>
      </c>
      <c r="F8855" s="4">
        <v>7389</v>
      </c>
      <c r="G8855" s="2" t="s">
        <v>223</v>
      </c>
      <c r="H8855" s="2" t="s">
        <v>34</v>
      </c>
      <c r="I8855" s="2" t="s">
        <v>26204</v>
      </c>
      <c r="J8855" s="2" t="s">
        <v>26205</v>
      </c>
      <c r="K8855" s="2" t="s">
        <v>551</v>
      </c>
      <c r="L8855" s="2" t="s">
        <v>34</v>
      </c>
      <c r="M8855" s="12">
        <v>2957.0259999999998</v>
      </c>
      <c r="N8855" s="6">
        <v>13.07</v>
      </c>
      <c r="O8855" s="6">
        <v>14.71</v>
      </c>
      <c r="P8855" s="2" t="s">
        <v>26206</v>
      </c>
      <c r="Q8855" s="2"/>
      <c r="R8855" s="6">
        <v>8.8800000000000008</v>
      </c>
      <c r="S8855" s="5">
        <v>62.4</v>
      </c>
      <c r="T8855" s="7">
        <v>60.042000000000002</v>
      </c>
      <c r="U8855" s="5">
        <v>10.6</v>
      </c>
      <c r="V8855" s="6">
        <v>1.05</v>
      </c>
      <c r="W8855" s="6">
        <v>45.97</v>
      </c>
      <c r="X8855" s="6">
        <v>45.92</v>
      </c>
      <c r="Y8855" s="6">
        <v>44.13</v>
      </c>
      <c r="Z8855" s="6">
        <v>47.11</v>
      </c>
      <c r="AA8855" s="6">
        <v>57.45</v>
      </c>
      <c r="AB8855" s="7">
        <v>6.5030000000000001</v>
      </c>
      <c r="AC8855" s="6">
        <v>827.74</v>
      </c>
    </row>
    <row r="8856" spans="1:29" ht="182" x14ac:dyDescent="0.15">
      <c r="A8856" s="3">
        <f>DATE(2007,11,8)</f>
        <v>39394</v>
      </c>
      <c r="B8856" s="3">
        <f>DATE(2008,6,17)</f>
        <v>39616</v>
      </c>
      <c r="C8856" s="2" t="s">
        <v>95</v>
      </c>
      <c r="D8856" s="2" t="s">
        <v>26207</v>
      </c>
      <c r="E8856" s="2" t="s">
        <v>26208</v>
      </c>
      <c r="F8856" s="4">
        <v>5719</v>
      </c>
      <c r="G8856" s="2" t="s">
        <v>1227</v>
      </c>
      <c r="H8856" s="2" t="s">
        <v>34</v>
      </c>
      <c r="I8856" s="2" t="s">
        <v>26209</v>
      </c>
      <c r="J8856" s="2" t="s">
        <v>244</v>
      </c>
      <c r="K8856" s="2" t="s">
        <v>53</v>
      </c>
      <c r="L8856" s="2" t="s">
        <v>34</v>
      </c>
      <c r="M8856" s="2"/>
      <c r="N8856" s="2"/>
      <c r="O8856" s="2"/>
      <c r="P8856" s="2" t="s">
        <v>26210</v>
      </c>
      <c r="Q8856" s="6">
        <v>100</v>
      </c>
      <c r="R8856" s="6">
        <v>4.5</v>
      </c>
      <c r="S8856" s="5">
        <v>-23.2</v>
      </c>
      <c r="T8856" s="6">
        <v>9.65</v>
      </c>
      <c r="U8856" s="5">
        <v>1.5</v>
      </c>
      <c r="V8856" s="6">
        <v>-0.6</v>
      </c>
      <c r="W8856" s="6">
        <v>2.85</v>
      </c>
      <c r="X8856" s="6">
        <v>2.68</v>
      </c>
      <c r="Y8856" s="6">
        <v>6.44</v>
      </c>
      <c r="Z8856" s="5">
        <v>6.5</v>
      </c>
      <c r="AA8856" s="6">
        <v>38.83</v>
      </c>
      <c r="AB8856" s="2" t="s">
        <v>86</v>
      </c>
      <c r="AC8856" s="2"/>
    </row>
    <row r="8857" spans="1:29" ht="91" x14ac:dyDescent="0.15">
      <c r="A8857" s="3">
        <f>DATE(2007,11,8)</f>
        <v>39394</v>
      </c>
      <c r="B8857" s="2"/>
      <c r="C8857" s="2" t="s">
        <v>30</v>
      </c>
      <c r="D8857" s="2" t="s">
        <v>21704</v>
      </c>
      <c r="E8857" s="2" t="s">
        <v>3032</v>
      </c>
      <c r="F8857" s="4">
        <v>8062</v>
      </c>
      <c r="G8857" s="2" t="s">
        <v>454</v>
      </c>
      <c r="H8857" s="2" t="s">
        <v>34</v>
      </c>
      <c r="I8857" s="2" t="s">
        <v>26211</v>
      </c>
      <c r="J8857" s="2" t="s">
        <v>4415</v>
      </c>
      <c r="K8857" s="2" t="s">
        <v>454</v>
      </c>
      <c r="L8857" s="2" t="s">
        <v>34</v>
      </c>
      <c r="M8857" s="2"/>
      <c r="N8857" s="2"/>
      <c r="O8857" s="2"/>
      <c r="P8857" s="2" t="s">
        <v>26212</v>
      </c>
      <c r="Q8857" s="2"/>
      <c r="R8857" s="6">
        <v>7.5</v>
      </c>
      <c r="S8857" s="5">
        <v>1.2</v>
      </c>
      <c r="T8857" s="7">
        <v>9.016</v>
      </c>
      <c r="U8857" s="5">
        <v>4.9000000000000004</v>
      </c>
      <c r="V8857" s="6">
        <v>0.2</v>
      </c>
      <c r="W8857" s="6">
        <v>6.05</v>
      </c>
      <c r="X8857" s="6">
        <v>5.95</v>
      </c>
      <c r="Y8857" s="5">
        <v>6.3</v>
      </c>
      <c r="Z8857" s="5">
        <v>6.3</v>
      </c>
      <c r="AA8857" s="6">
        <v>7.51</v>
      </c>
      <c r="AB8857" s="7">
        <v>16.448</v>
      </c>
      <c r="AC8857" s="2"/>
    </row>
    <row r="8858" spans="1:29" ht="156" x14ac:dyDescent="0.15">
      <c r="A8858" s="3">
        <f>DATE(2007,11,9)</f>
        <v>39395</v>
      </c>
      <c r="B8858" s="3">
        <f>DATE(2008,4,1)</f>
        <v>39539</v>
      </c>
      <c r="C8858" s="2" t="s">
        <v>95</v>
      </c>
      <c r="D8858" s="2" t="s">
        <v>4142</v>
      </c>
      <c r="E8858" s="2" t="s">
        <v>3246</v>
      </c>
      <c r="F8858" s="4">
        <v>6021</v>
      </c>
      <c r="G8858" s="2" t="s">
        <v>37</v>
      </c>
      <c r="H8858" s="2" t="s">
        <v>34</v>
      </c>
      <c r="I8858" s="2" t="s">
        <v>21951</v>
      </c>
      <c r="J8858" s="2" t="s">
        <v>36</v>
      </c>
      <c r="K8858" s="2" t="s">
        <v>37</v>
      </c>
      <c r="L8858" s="2" t="s">
        <v>34</v>
      </c>
      <c r="M8858" s="6">
        <v>128.31</v>
      </c>
      <c r="N8858" s="6">
        <v>15.47</v>
      </c>
      <c r="O8858" s="6">
        <v>15.57</v>
      </c>
      <c r="P8858" s="2" t="s">
        <v>26213</v>
      </c>
      <c r="Q8858" s="6">
        <v>100</v>
      </c>
      <c r="R8858" s="6">
        <v>31.14</v>
      </c>
      <c r="S8858" s="5">
        <v>21</v>
      </c>
      <c r="T8858" s="7">
        <v>31.611999999999998</v>
      </c>
      <c r="U8858" s="5">
        <v>26.2</v>
      </c>
      <c r="V8858" s="6">
        <v>1.67</v>
      </c>
      <c r="W8858" s="6">
        <v>25.82</v>
      </c>
      <c r="X8858" s="6">
        <v>26.22</v>
      </c>
      <c r="Y8858" s="6">
        <v>30.56</v>
      </c>
      <c r="Z8858" s="6">
        <v>30.54</v>
      </c>
      <c r="AA8858" s="6">
        <v>12.63</v>
      </c>
      <c r="AB8858" s="7">
        <v>19.856999999999999</v>
      </c>
      <c r="AC8858" s="2"/>
    </row>
    <row r="8859" spans="1:29" ht="182" x14ac:dyDescent="0.15">
      <c r="A8859" s="3">
        <f>DATE(2007,11,9)</f>
        <v>39395</v>
      </c>
      <c r="B8859" s="2"/>
      <c r="C8859" s="2" t="s">
        <v>30</v>
      </c>
      <c r="D8859" s="2" t="s">
        <v>13102</v>
      </c>
      <c r="E8859" s="2" t="s">
        <v>13103</v>
      </c>
      <c r="F8859" s="4">
        <v>5735</v>
      </c>
      <c r="G8859" s="2" t="s">
        <v>1227</v>
      </c>
      <c r="H8859" s="2" t="s">
        <v>34</v>
      </c>
      <c r="I8859" s="2" t="s">
        <v>26214</v>
      </c>
      <c r="J8859" s="2" t="s">
        <v>11337</v>
      </c>
      <c r="K8859" s="2" t="s">
        <v>53</v>
      </c>
      <c r="L8859" s="2" t="s">
        <v>34</v>
      </c>
      <c r="M8859" s="2"/>
      <c r="N8859" s="2"/>
      <c r="O8859" s="2"/>
      <c r="P8859" s="2" t="s">
        <v>26215</v>
      </c>
      <c r="Q8859" s="2"/>
      <c r="R8859" s="6">
        <v>5</v>
      </c>
      <c r="S8859" s="5">
        <v>-0.9</v>
      </c>
      <c r="T8859" s="7">
        <v>44.533000000000001</v>
      </c>
      <c r="U8859" s="5">
        <v>11.7</v>
      </c>
      <c r="V8859" s="6">
        <v>-0.03</v>
      </c>
      <c r="W8859" s="6">
        <v>4.01</v>
      </c>
      <c r="X8859" s="6">
        <v>3.88</v>
      </c>
      <c r="Y8859" s="6">
        <v>4.96</v>
      </c>
      <c r="Z8859" s="6">
        <v>4.9800000000000004</v>
      </c>
      <c r="AA8859" s="6">
        <v>31.08</v>
      </c>
      <c r="AB8859" s="7">
        <v>52.151000000000003</v>
      </c>
      <c r="AC8859" s="2"/>
    </row>
    <row r="8860" spans="1:29" ht="130" x14ac:dyDescent="0.15">
      <c r="A8860" s="3">
        <f>DATE(2007,11,12)</f>
        <v>39398</v>
      </c>
      <c r="B8860" s="2"/>
      <c r="C8860" s="2" t="s">
        <v>30</v>
      </c>
      <c r="D8860" s="2" t="s">
        <v>26216</v>
      </c>
      <c r="E8860" s="2" t="s">
        <v>26217</v>
      </c>
      <c r="F8860" s="4">
        <v>2015</v>
      </c>
      <c r="G8860" s="2" t="s">
        <v>577</v>
      </c>
      <c r="H8860" s="2" t="s">
        <v>34</v>
      </c>
      <c r="I8860" s="2" t="s">
        <v>51</v>
      </c>
      <c r="J8860" s="2" t="s">
        <v>52</v>
      </c>
      <c r="K8860" s="2" t="s">
        <v>53</v>
      </c>
      <c r="L8860" s="2" t="s">
        <v>34</v>
      </c>
      <c r="M8860" s="2"/>
      <c r="N8860" s="2"/>
      <c r="O8860" s="2"/>
      <c r="P8860" s="2" t="s">
        <v>26218</v>
      </c>
      <c r="Q8860" s="2"/>
      <c r="R8860" s="6">
        <v>9</v>
      </c>
      <c r="S8860" s="5">
        <v>-1.3</v>
      </c>
      <c r="T8860" s="7">
        <v>3.0569999999999999</v>
      </c>
      <c r="U8860" s="5">
        <v>10.3</v>
      </c>
      <c r="V8860" s="6">
        <v>-0.26</v>
      </c>
      <c r="W8860" s="7">
        <v>7.6559999999999997</v>
      </c>
      <c r="X8860" s="5">
        <v>7.4</v>
      </c>
      <c r="Y8860" s="6">
        <v>8.65</v>
      </c>
      <c r="Z8860" s="6">
        <v>8.75</v>
      </c>
      <c r="AA8860" s="6">
        <v>4.66</v>
      </c>
      <c r="AB8860" s="7">
        <v>38.811</v>
      </c>
      <c r="AC8860" s="2"/>
    </row>
    <row r="8861" spans="1:29" ht="182" x14ac:dyDescent="0.15">
      <c r="A8861" s="3">
        <f>DATE(2007,11,13)</f>
        <v>39399</v>
      </c>
      <c r="B8861" s="3">
        <f>DATE(2008,2,28)</f>
        <v>39506</v>
      </c>
      <c r="C8861" s="2" t="s">
        <v>95</v>
      </c>
      <c r="D8861" s="2" t="s">
        <v>23856</v>
      </c>
      <c r="E8861" s="2" t="s">
        <v>23857</v>
      </c>
      <c r="F8861" s="4">
        <v>2836</v>
      </c>
      <c r="G8861" s="2" t="s">
        <v>130</v>
      </c>
      <c r="H8861" s="2" t="s">
        <v>34</v>
      </c>
      <c r="I8861" s="2" t="s">
        <v>26219</v>
      </c>
      <c r="J8861" s="2" t="s">
        <v>26220</v>
      </c>
      <c r="K8861" s="2" t="s">
        <v>130</v>
      </c>
      <c r="L8861" s="2" t="s">
        <v>34</v>
      </c>
      <c r="M8861" s="7">
        <v>322.09399999999999</v>
      </c>
      <c r="N8861" s="4">
        <v>10</v>
      </c>
      <c r="O8861" s="4">
        <v>10</v>
      </c>
      <c r="P8861" s="2" t="s">
        <v>26221</v>
      </c>
      <c r="Q8861" s="6">
        <v>100</v>
      </c>
      <c r="R8861" s="6">
        <v>12.86</v>
      </c>
      <c r="S8861" s="5">
        <v>6.8</v>
      </c>
      <c r="T8861" s="7">
        <v>6.3079999999999998</v>
      </c>
      <c r="U8861" s="5">
        <v>2.1</v>
      </c>
      <c r="V8861" s="6">
        <v>0.36</v>
      </c>
      <c r="W8861" s="6">
        <v>11.28</v>
      </c>
      <c r="X8861" s="6">
        <v>10.15</v>
      </c>
      <c r="Y8861" s="6">
        <v>11.95</v>
      </c>
      <c r="Z8861" s="6">
        <v>12.05</v>
      </c>
      <c r="AA8861" s="6">
        <v>19.09</v>
      </c>
      <c r="AB8861" s="7">
        <v>64.745999999999995</v>
      </c>
      <c r="AC8861" s="5">
        <v>18.8</v>
      </c>
    </row>
    <row r="8862" spans="1:29" ht="39" x14ac:dyDescent="0.15">
      <c r="A8862" s="3">
        <f>DATE(2007,11,14)</f>
        <v>39400</v>
      </c>
      <c r="B8862" s="2"/>
      <c r="C8862" s="2" t="s">
        <v>189</v>
      </c>
      <c r="D8862" s="2" t="s">
        <v>26135</v>
      </c>
      <c r="E8862" s="2" t="s">
        <v>540</v>
      </c>
      <c r="F8862" s="4">
        <v>2836</v>
      </c>
      <c r="G8862" s="2" t="s">
        <v>130</v>
      </c>
      <c r="H8862" s="2" t="s">
        <v>34</v>
      </c>
      <c r="I8862" s="2" t="s">
        <v>143</v>
      </c>
      <c r="J8862" s="2" t="s">
        <v>144</v>
      </c>
      <c r="K8862" s="2" t="s">
        <v>53</v>
      </c>
      <c r="L8862" s="2" t="s">
        <v>139</v>
      </c>
      <c r="M8862" s="2"/>
      <c r="N8862" s="2"/>
      <c r="O8862" s="2"/>
      <c r="P8862" s="2" t="s">
        <v>26222</v>
      </c>
      <c r="Q8862" s="2"/>
      <c r="R8862" s="2"/>
      <c r="S8862" s="5">
        <v>545.6</v>
      </c>
      <c r="T8862" s="12">
        <v>1129.057</v>
      </c>
      <c r="U8862" s="5">
        <v>17</v>
      </c>
      <c r="V8862" s="6">
        <v>1.66</v>
      </c>
      <c r="W8862" s="6">
        <v>71.13</v>
      </c>
      <c r="X8862" s="6">
        <v>70.83</v>
      </c>
      <c r="Y8862" s="6">
        <v>70.010000000000005</v>
      </c>
      <c r="Z8862" s="6">
        <v>69.92</v>
      </c>
      <c r="AA8862" s="6">
        <v>293.37</v>
      </c>
      <c r="AB8862" s="2" t="s">
        <v>47</v>
      </c>
      <c r="AC8862" s="2"/>
    </row>
    <row r="8863" spans="1:29" ht="143" x14ac:dyDescent="0.15">
      <c r="A8863" s="3">
        <f>DATE(2007,11,14)</f>
        <v>39400</v>
      </c>
      <c r="B8863" s="2"/>
      <c r="C8863" s="2" t="s">
        <v>30</v>
      </c>
      <c r="D8863" s="2" t="s">
        <v>20359</v>
      </c>
      <c r="E8863" s="2" t="s">
        <v>159</v>
      </c>
      <c r="F8863" s="4">
        <v>6022</v>
      </c>
      <c r="G8863" s="2" t="s">
        <v>37</v>
      </c>
      <c r="H8863" s="2" t="s">
        <v>34</v>
      </c>
      <c r="I8863" s="2" t="s">
        <v>26223</v>
      </c>
      <c r="J8863" s="2" t="s">
        <v>36</v>
      </c>
      <c r="K8863" s="2" t="s">
        <v>37</v>
      </c>
      <c r="L8863" s="2" t="s">
        <v>34</v>
      </c>
      <c r="M8863" s="7">
        <v>651.673</v>
      </c>
      <c r="N8863" s="6">
        <v>14.84</v>
      </c>
      <c r="O8863" s="6">
        <v>14.08</v>
      </c>
      <c r="P8863" s="2" t="s">
        <v>26224</v>
      </c>
      <c r="Q8863" s="2"/>
      <c r="R8863" s="6">
        <v>21.4</v>
      </c>
      <c r="S8863" s="5">
        <v>5.7</v>
      </c>
      <c r="T8863" s="7">
        <v>11.928000000000001</v>
      </c>
      <c r="U8863" s="5">
        <v>8.1</v>
      </c>
      <c r="V8863" s="7">
        <v>0.66700000000000004</v>
      </c>
      <c r="W8863" s="6">
        <v>14.21</v>
      </c>
      <c r="X8863" s="5">
        <v>14.4</v>
      </c>
      <c r="Y8863" s="5">
        <v>20.2</v>
      </c>
      <c r="Z8863" s="6">
        <v>19.75</v>
      </c>
      <c r="AA8863" s="6">
        <v>8.69</v>
      </c>
      <c r="AB8863" s="7">
        <v>29.093</v>
      </c>
      <c r="AC8863" s="2"/>
    </row>
    <row r="8864" spans="1:29" ht="52" x14ac:dyDescent="0.15">
      <c r="A8864" s="3">
        <f>DATE(2007,11,15)</f>
        <v>39401</v>
      </c>
      <c r="B8864" s="2"/>
      <c r="C8864" s="2" t="s">
        <v>7330</v>
      </c>
      <c r="D8864" s="2" t="s">
        <v>26025</v>
      </c>
      <c r="E8864" s="2" t="s">
        <v>26026</v>
      </c>
      <c r="F8864" s="4">
        <v>1311</v>
      </c>
      <c r="G8864" s="2" t="s">
        <v>148</v>
      </c>
      <c r="H8864" s="2" t="s">
        <v>34</v>
      </c>
      <c r="I8864" s="2" t="s">
        <v>26225</v>
      </c>
      <c r="J8864" s="2" t="s">
        <v>26226</v>
      </c>
      <c r="K8864" s="2" t="s">
        <v>439</v>
      </c>
      <c r="L8864" s="2" t="s">
        <v>34</v>
      </c>
      <c r="M8864" s="7">
        <v>334.08300000000003</v>
      </c>
      <c r="N8864" s="6">
        <v>26.57</v>
      </c>
      <c r="O8864" s="6">
        <v>26.51</v>
      </c>
      <c r="P8864" s="2" t="s">
        <v>26227</v>
      </c>
      <c r="Q8864" s="2"/>
      <c r="R8864" s="2"/>
      <c r="S8864" s="5">
        <v>44.2</v>
      </c>
      <c r="T8864" s="7">
        <v>130.63399999999999</v>
      </c>
      <c r="U8864" s="5">
        <v>15.1</v>
      </c>
      <c r="V8864" s="7">
        <v>1.2749999999999999</v>
      </c>
      <c r="W8864" s="6">
        <v>32.409999999999997</v>
      </c>
      <c r="X8864" s="6">
        <v>32.68</v>
      </c>
      <c r="Y8864" s="6">
        <v>34.04</v>
      </c>
      <c r="Z8864" s="6">
        <v>34.090000000000003</v>
      </c>
      <c r="AA8864" s="6">
        <v>36.5</v>
      </c>
      <c r="AB8864" s="2" t="s">
        <v>47</v>
      </c>
      <c r="AC8864" s="2"/>
    </row>
    <row r="8865" spans="1:29" ht="78" x14ac:dyDescent="0.15">
      <c r="A8865" s="3">
        <f>DATE(2007,11,16)</f>
        <v>39402</v>
      </c>
      <c r="B8865" s="3">
        <f>DATE(2007,11,16)</f>
        <v>39402</v>
      </c>
      <c r="C8865" s="2" t="s">
        <v>95</v>
      </c>
      <c r="D8865" s="2" t="s">
        <v>26228</v>
      </c>
      <c r="E8865" s="2" t="s">
        <v>9299</v>
      </c>
      <c r="F8865" s="4">
        <v>6799</v>
      </c>
      <c r="G8865" s="2" t="s">
        <v>53</v>
      </c>
      <c r="H8865" s="2" t="s">
        <v>34</v>
      </c>
      <c r="I8865" s="2" t="s">
        <v>26229</v>
      </c>
      <c r="J8865" s="2" t="s">
        <v>1620</v>
      </c>
      <c r="K8865" s="2" t="s">
        <v>53</v>
      </c>
      <c r="L8865" s="2" t="s">
        <v>34</v>
      </c>
      <c r="M8865" s="2"/>
      <c r="N8865" s="2"/>
      <c r="O8865" s="2"/>
      <c r="P8865" s="2" t="s">
        <v>26230</v>
      </c>
      <c r="Q8865" s="6">
        <v>5.89</v>
      </c>
      <c r="R8865" s="6">
        <v>21.19</v>
      </c>
      <c r="S8865" s="5">
        <v>33.6</v>
      </c>
      <c r="T8865" s="2"/>
      <c r="U8865" s="5">
        <v>22.9</v>
      </c>
      <c r="V8865" s="6">
        <v>2.79</v>
      </c>
      <c r="W8865" s="5">
        <v>18.5</v>
      </c>
      <c r="X8865" s="6">
        <v>17.61</v>
      </c>
      <c r="Y8865" s="4">
        <v>18</v>
      </c>
      <c r="Z8865" s="5">
        <v>20.9</v>
      </c>
      <c r="AA8865" s="6">
        <v>9.9700000000000006</v>
      </c>
      <c r="AB8865" s="2" t="s">
        <v>86</v>
      </c>
      <c r="AC8865" s="2"/>
    </row>
    <row r="8866" spans="1:29" ht="104" x14ac:dyDescent="0.15">
      <c r="A8866" s="3">
        <f>DATE(2007,11,16)</f>
        <v>39402</v>
      </c>
      <c r="B8866" s="3">
        <f>DATE(2007,12,31)</f>
        <v>39447</v>
      </c>
      <c r="C8866" s="2" t="s">
        <v>95</v>
      </c>
      <c r="D8866" s="2" t="s">
        <v>26231</v>
      </c>
      <c r="E8866" s="2" t="s">
        <v>18837</v>
      </c>
      <c r="F8866" s="4">
        <v>8731</v>
      </c>
      <c r="G8866" s="2" t="s">
        <v>223</v>
      </c>
      <c r="H8866" s="2" t="s">
        <v>34</v>
      </c>
      <c r="I8866" s="2" t="s">
        <v>7393</v>
      </c>
      <c r="J8866" s="2" t="s">
        <v>5670</v>
      </c>
      <c r="K8866" s="2" t="s">
        <v>130</v>
      </c>
      <c r="L8866" s="2" t="s">
        <v>34</v>
      </c>
      <c r="M8866" s="12">
        <v>164393.408</v>
      </c>
      <c r="N8866" s="6">
        <v>23.39</v>
      </c>
      <c r="O8866" s="6">
        <v>22.71</v>
      </c>
      <c r="P8866" s="2" t="s">
        <v>26232</v>
      </c>
      <c r="Q8866" s="6">
        <v>100</v>
      </c>
      <c r="R8866" s="6">
        <v>8</v>
      </c>
      <c r="S8866" s="5">
        <v>-33.299999999999997</v>
      </c>
      <c r="T8866" s="7">
        <v>-18.687000000000001</v>
      </c>
      <c r="U8866" s="5">
        <v>1.8</v>
      </c>
      <c r="V8866" s="6">
        <v>-1.25</v>
      </c>
      <c r="W8866" s="6">
        <v>3.26</v>
      </c>
      <c r="X8866" s="4">
        <v>3</v>
      </c>
      <c r="Y8866" s="6">
        <v>7.81</v>
      </c>
      <c r="Z8866" s="6">
        <v>7.82</v>
      </c>
      <c r="AA8866" s="6">
        <v>26.6</v>
      </c>
      <c r="AB8866" s="2" t="s">
        <v>86</v>
      </c>
      <c r="AC8866" s="8">
        <v>22298</v>
      </c>
    </row>
    <row r="8867" spans="1:29" ht="65" x14ac:dyDescent="0.15">
      <c r="A8867" s="3">
        <f>DATE(2007,11,18)</f>
        <v>39404</v>
      </c>
      <c r="B8867" s="2"/>
      <c r="C8867" s="2" t="s">
        <v>87</v>
      </c>
      <c r="D8867" s="2" t="s">
        <v>9335</v>
      </c>
      <c r="E8867" s="2" t="s">
        <v>9336</v>
      </c>
      <c r="F8867" s="4">
        <v>4841</v>
      </c>
      <c r="G8867" s="2" t="s">
        <v>45</v>
      </c>
      <c r="H8867" s="2" t="s">
        <v>34</v>
      </c>
      <c r="I8867" s="2" t="s">
        <v>23830</v>
      </c>
      <c r="J8867" s="2" t="s">
        <v>973</v>
      </c>
      <c r="K8867" s="2" t="s">
        <v>63</v>
      </c>
      <c r="L8867" s="2" t="s">
        <v>34</v>
      </c>
      <c r="M8867" s="12">
        <v>250898.997</v>
      </c>
      <c r="N8867" s="6">
        <v>37.75</v>
      </c>
      <c r="O8867" s="6">
        <v>37.75</v>
      </c>
      <c r="P8867" s="2" t="s">
        <v>26233</v>
      </c>
      <c r="Q8867" s="2"/>
      <c r="R8867" s="2"/>
      <c r="S8867" s="5">
        <v>733.6</v>
      </c>
      <c r="T8867" s="12">
        <v>2818.9639999999999</v>
      </c>
      <c r="U8867" s="5">
        <v>1</v>
      </c>
      <c r="V8867" s="6">
        <v>1.64</v>
      </c>
      <c r="W8867" s="6">
        <v>48.51</v>
      </c>
      <c r="X8867" s="6">
        <v>39.83</v>
      </c>
      <c r="Y8867" s="2"/>
      <c r="Z8867" s="6">
        <v>47.49</v>
      </c>
      <c r="AA8867" s="6">
        <v>447.54</v>
      </c>
      <c r="AB8867" s="2" t="s">
        <v>47</v>
      </c>
      <c r="AC8867" s="8">
        <v>2714</v>
      </c>
    </row>
    <row r="8868" spans="1:29" ht="130" x14ac:dyDescent="0.15">
      <c r="A8868" s="3">
        <f>DATE(2007,11,18)</f>
        <v>39404</v>
      </c>
      <c r="B8868" s="3">
        <f>DATE(2007,12,28)</f>
        <v>39444</v>
      </c>
      <c r="C8868" s="2" t="s">
        <v>95</v>
      </c>
      <c r="D8868" s="2" t="s">
        <v>26234</v>
      </c>
      <c r="E8868" s="2" t="s">
        <v>26235</v>
      </c>
      <c r="F8868" s="4">
        <v>2833</v>
      </c>
      <c r="G8868" s="2" t="s">
        <v>130</v>
      </c>
      <c r="H8868" s="2" t="s">
        <v>34</v>
      </c>
      <c r="I8868" s="2" t="s">
        <v>26236</v>
      </c>
      <c r="J8868" s="2" t="s">
        <v>26237</v>
      </c>
      <c r="K8868" s="2" t="s">
        <v>130</v>
      </c>
      <c r="L8868" s="2" t="s">
        <v>17048</v>
      </c>
      <c r="M8868" s="2"/>
      <c r="N8868" s="2"/>
      <c r="O8868" s="7">
        <v>12.547000000000001</v>
      </c>
      <c r="P8868" s="2" t="s">
        <v>26238</v>
      </c>
      <c r="Q8868" s="6">
        <v>100</v>
      </c>
      <c r="R8868" s="6">
        <v>4.4000000000000004</v>
      </c>
      <c r="S8868" s="5">
        <v>1.6</v>
      </c>
      <c r="T8868" s="7">
        <v>-1.905</v>
      </c>
      <c r="U8868" s="5">
        <v>2.8</v>
      </c>
      <c r="V8868" s="6">
        <v>0.09</v>
      </c>
      <c r="W8868" s="5">
        <v>2.6</v>
      </c>
      <c r="X8868" s="6">
        <v>2.27</v>
      </c>
      <c r="Y8868" s="6">
        <v>4.29</v>
      </c>
      <c r="Z8868" s="6">
        <v>4.29</v>
      </c>
      <c r="AA8868" s="6">
        <v>14.26</v>
      </c>
      <c r="AB8868" s="2" t="s">
        <v>86</v>
      </c>
      <c r="AC8868" s="6">
        <v>15.55</v>
      </c>
    </row>
    <row r="8869" spans="1:29" ht="130" x14ac:dyDescent="0.15">
      <c r="A8869" s="3">
        <f>DATE(2007,11,18)</f>
        <v>39404</v>
      </c>
      <c r="B8869" s="3">
        <f>DATE(2008,3,7)</f>
        <v>39514</v>
      </c>
      <c r="C8869" s="2" t="s">
        <v>95</v>
      </c>
      <c r="D8869" s="2" t="s">
        <v>26239</v>
      </c>
      <c r="E8869" s="2" t="s">
        <v>14641</v>
      </c>
      <c r="F8869" s="4">
        <v>2834</v>
      </c>
      <c r="G8869" s="2" t="s">
        <v>130</v>
      </c>
      <c r="H8869" s="2" t="s">
        <v>34</v>
      </c>
      <c r="I8869" s="2" t="s">
        <v>26240</v>
      </c>
      <c r="J8869" s="2" t="s">
        <v>26241</v>
      </c>
      <c r="K8869" s="2" t="s">
        <v>130</v>
      </c>
      <c r="L8869" s="2" t="s">
        <v>34</v>
      </c>
      <c r="M8869" s="10">
        <v>26994.78</v>
      </c>
      <c r="N8869" s="4">
        <v>64</v>
      </c>
      <c r="O8869" s="4">
        <v>64</v>
      </c>
      <c r="P8869" s="2" t="s">
        <v>26242</v>
      </c>
      <c r="Q8869" s="6">
        <v>100</v>
      </c>
      <c r="R8869" s="6">
        <v>79.3</v>
      </c>
      <c r="S8869" s="5">
        <v>-63.9</v>
      </c>
      <c r="T8869" s="7">
        <v>-48.651000000000003</v>
      </c>
      <c r="U8869" s="5">
        <v>9.6</v>
      </c>
      <c r="V8869" s="6">
        <v>-1.81</v>
      </c>
      <c r="W8869" s="6">
        <v>49.35</v>
      </c>
      <c r="X8869" s="6">
        <v>49.28</v>
      </c>
      <c r="Y8869" s="6">
        <v>65.12</v>
      </c>
      <c r="Z8869" s="6">
        <v>65.12</v>
      </c>
      <c r="AA8869" s="6">
        <v>37.25</v>
      </c>
      <c r="AB8869" s="2" t="s">
        <v>86</v>
      </c>
      <c r="AC8869" s="10">
        <v>2738.92</v>
      </c>
    </row>
    <row r="8870" spans="1:29" ht="39" x14ac:dyDescent="0.15">
      <c r="A8870" s="3">
        <f>DATE(2007,11,19)</f>
        <v>39405</v>
      </c>
      <c r="B8870" s="3">
        <f>DATE(2007,11,19)</f>
        <v>39405</v>
      </c>
      <c r="C8870" s="2" t="s">
        <v>95</v>
      </c>
      <c r="D8870" s="2" t="s">
        <v>26243</v>
      </c>
      <c r="E8870" s="2" t="s">
        <v>80</v>
      </c>
      <c r="F8870" s="4">
        <v>6799</v>
      </c>
      <c r="G8870" s="2" t="s">
        <v>53</v>
      </c>
      <c r="H8870" s="2" t="s">
        <v>34</v>
      </c>
      <c r="I8870" s="2" t="s">
        <v>26244</v>
      </c>
      <c r="J8870" s="2" t="s">
        <v>26245</v>
      </c>
      <c r="K8870" s="2" t="s">
        <v>166</v>
      </c>
      <c r="L8870" s="2" t="s">
        <v>902</v>
      </c>
      <c r="M8870" s="2"/>
      <c r="N8870" s="5">
        <v>0.6</v>
      </c>
      <c r="O8870" s="5">
        <v>0.6</v>
      </c>
      <c r="P8870" s="2" t="s">
        <v>26246</v>
      </c>
      <c r="Q8870" s="6">
        <v>80</v>
      </c>
      <c r="R8870" s="2"/>
      <c r="S8870" s="2"/>
      <c r="T8870" s="2"/>
      <c r="U8870" s="2"/>
      <c r="V8870" s="2"/>
      <c r="W8870" s="4">
        <v>1</v>
      </c>
      <c r="X8870" s="6">
        <v>1.01</v>
      </c>
      <c r="Y8870" s="6">
        <v>1.01</v>
      </c>
      <c r="Z8870" s="6">
        <v>1.01</v>
      </c>
      <c r="AA8870" s="2"/>
      <c r="AB8870" s="2" t="s">
        <v>47</v>
      </c>
      <c r="AC8870" s="2"/>
    </row>
    <row r="8871" spans="1:29" ht="130" x14ac:dyDescent="0.15">
      <c r="A8871" s="3">
        <f>DATE(2007,11,19)</f>
        <v>39405</v>
      </c>
      <c r="B8871" s="3">
        <f>DATE(2008,4,23)</f>
        <v>39561</v>
      </c>
      <c r="C8871" s="2" t="s">
        <v>95</v>
      </c>
      <c r="D8871" s="2" t="s">
        <v>26247</v>
      </c>
      <c r="E8871" s="2" t="s">
        <v>26248</v>
      </c>
      <c r="F8871" s="4">
        <v>3312</v>
      </c>
      <c r="G8871" s="2" t="s">
        <v>163</v>
      </c>
      <c r="H8871" s="2" t="s">
        <v>34</v>
      </c>
      <c r="I8871" s="2" t="s">
        <v>26249</v>
      </c>
      <c r="J8871" s="2" t="s">
        <v>26250</v>
      </c>
      <c r="K8871" s="2" t="s">
        <v>163</v>
      </c>
      <c r="L8871" s="2" t="s">
        <v>25624</v>
      </c>
      <c r="M8871" s="12">
        <v>6550.5410000000002</v>
      </c>
      <c r="N8871" s="6">
        <v>29.05</v>
      </c>
      <c r="O8871" s="7">
        <v>28.725999999999999</v>
      </c>
      <c r="P8871" s="2" t="s">
        <v>26251</v>
      </c>
      <c r="Q8871" s="6">
        <v>100</v>
      </c>
      <c r="R8871" s="6">
        <v>39.200000000000003</v>
      </c>
      <c r="S8871" s="5">
        <v>137.5</v>
      </c>
      <c r="T8871" s="7">
        <v>274.89100000000002</v>
      </c>
      <c r="U8871" s="5">
        <v>22.7</v>
      </c>
      <c r="V8871" s="6">
        <v>3.44</v>
      </c>
      <c r="W8871" s="6">
        <v>37.39</v>
      </c>
      <c r="X8871" s="6">
        <v>36.74</v>
      </c>
      <c r="Y8871" s="6">
        <v>48.75</v>
      </c>
      <c r="Z8871" s="6">
        <v>49.14</v>
      </c>
      <c r="AA8871" s="6">
        <v>37.229999999999997</v>
      </c>
      <c r="AB8871" s="7">
        <v>8.0990000000000002</v>
      </c>
      <c r="AC8871" s="10">
        <v>2762.81</v>
      </c>
    </row>
    <row r="8872" spans="1:29" ht="117" x14ac:dyDescent="0.15">
      <c r="A8872" s="3">
        <f>DATE(2007,11,19)</f>
        <v>39405</v>
      </c>
      <c r="B8872" s="2"/>
      <c r="C8872" s="2" t="s">
        <v>30</v>
      </c>
      <c r="D8872" s="2" t="s">
        <v>26252</v>
      </c>
      <c r="E8872" s="2" t="s">
        <v>26253</v>
      </c>
      <c r="F8872" s="4">
        <v>2873</v>
      </c>
      <c r="G8872" s="2" t="s">
        <v>98</v>
      </c>
      <c r="H8872" s="2" t="s">
        <v>34</v>
      </c>
      <c r="I8872" s="2" t="s">
        <v>26254</v>
      </c>
      <c r="J8872" s="2" t="s">
        <v>1620</v>
      </c>
      <c r="K8872" s="2" t="s">
        <v>53</v>
      </c>
      <c r="L8872" s="2" t="s">
        <v>34</v>
      </c>
      <c r="M8872" s="2"/>
      <c r="N8872" s="2"/>
      <c r="O8872" s="2"/>
      <c r="P8872" s="2" t="s">
        <v>26255</v>
      </c>
      <c r="Q8872" s="2"/>
      <c r="R8872" s="6">
        <v>2.2799999999999998</v>
      </c>
      <c r="S8872" s="5">
        <v>-94.9</v>
      </c>
      <c r="T8872" s="7">
        <v>-47.957000000000001</v>
      </c>
      <c r="U8872" s="5">
        <v>2.6</v>
      </c>
      <c r="V8872" s="6">
        <v>-6.27</v>
      </c>
      <c r="W8872" s="6">
        <v>1.98</v>
      </c>
      <c r="X8872" s="6">
        <v>1.76</v>
      </c>
      <c r="Y8872" s="6">
        <v>2.13</v>
      </c>
      <c r="Z8872" s="6">
        <v>2.12</v>
      </c>
      <c r="AA8872" s="6">
        <v>163.27000000000001</v>
      </c>
      <c r="AB8872" s="2" t="s">
        <v>86</v>
      </c>
      <c r="AC8872" s="2"/>
    </row>
    <row r="8873" spans="1:29" ht="143" x14ac:dyDescent="0.15">
      <c r="A8873" s="3">
        <f>DATE(2007,11,19)</f>
        <v>39405</v>
      </c>
      <c r="B8873" s="2"/>
      <c r="C8873" s="2" t="s">
        <v>30</v>
      </c>
      <c r="D8873" s="2" t="s">
        <v>26207</v>
      </c>
      <c r="E8873" s="2" t="s">
        <v>26208</v>
      </c>
      <c r="F8873" s="4">
        <v>5719</v>
      </c>
      <c r="G8873" s="2" t="s">
        <v>1227</v>
      </c>
      <c r="H8873" s="2" t="s">
        <v>34</v>
      </c>
      <c r="I8873" s="2" t="s">
        <v>26256</v>
      </c>
      <c r="J8873" s="2" t="s">
        <v>26257</v>
      </c>
      <c r="K8873" s="2" t="s">
        <v>756</v>
      </c>
      <c r="L8873" s="2" t="s">
        <v>34</v>
      </c>
      <c r="M8873" s="12">
        <v>19469.323</v>
      </c>
      <c r="N8873" s="5">
        <v>114.2</v>
      </c>
      <c r="O8873" s="6">
        <v>111.85</v>
      </c>
      <c r="P8873" s="2" t="s">
        <v>26258</v>
      </c>
      <c r="Q8873" s="2"/>
      <c r="R8873" s="6">
        <v>6.75</v>
      </c>
      <c r="S8873" s="5">
        <v>-23.2</v>
      </c>
      <c r="T8873" s="6">
        <v>9.65</v>
      </c>
      <c r="U8873" s="5">
        <v>1.5</v>
      </c>
      <c r="V8873" s="6">
        <v>-0.6</v>
      </c>
      <c r="W8873" s="6">
        <v>6.49</v>
      </c>
      <c r="X8873" s="5">
        <v>6.5</v>
      </c>
      <c r="Y8873" s="6">
        <v>6.33</v>
      </c>
      <c r="Z8873" s="6">
        <v>7.18</v>
      </c>
      <c r="AA8873" s="6">
        <v>38.83</v>
      </c>
      <c r="AB8873" s="2" t="s">
        <v>86</v>
      </c>
      <c r="AC8873" s="8">
        <v>1475</v>
      </c>
    </row>
    <row r="8874" spans="1:29" ht="117" x14ac:dyDescent="0.15">
      <c r="A8874" s="3">
        <f>DATE(2007,11,26)</f>
        <v>39412</v>
      </c>
      <c r="B8874" s="3">
        <f>DATE(2008,1,28)</f>
        <v>39475</v>
      </c>
      <c r="C8874" s="2" t="s">
        <v>95</v>
      </c>
      <c r="D8874" s="2" t="s">
        <v>26259</v>
      </c>
      <c r="E8874" s="2" t="s">
        <v>26260</v>
      </c>
      <c r="F8874" s="4">
        <v>3646</v>
      </c>
      <c r="G8874" s="2" t="s">
        <v>137</v>
      </c>
      <c r="H8874" s="2" t="s">
        <v>34</v>
      </c>
      <c r="I8874" s="2" t="s">
        <v>26261</v>
      </c>
      <c r="J8874" s="2" t="s">
        <v>26262</v>
      </c>
      <c r="K8874" s="2" t="s">
        <v>137</v>
      </c>
      <c r="L8874" s="2" t="s">
        <v>34</v>
      </c>
      <c r="M8874" s="2"/>
      <c r="N8874" s="2"/>
      <c r="O8874" s="2"/>
      <c r="P8874" s="2" t="s">
        <v>26263</v>
      </c>
      <c r="Q8874" s="6">
        <v>100</v>
      </c>
      <c r="R8874" s="6">
        <v>95.5</v>
      </c>
      <c r="S8874" s="5">
        <v>144.5</v>
      </c>
      <c r="T8874" s="7">
        <v>266.75900000000001</v>
      </c>
      <c r="U8874" s="5">
        <v>29.2</v>
      </c>
      <c r="V8874" s="6">
        <v>4.9800000000000004</v>
      </c>
      <c r="W8874" s="5">
        <v>63.6</v>
      </c>
      <c r="X8874" s="6">
        <v>62.67</v>
      </c>
      <c r="Y8874" s="6">
        <v>94.47</v>
      </c>
      <c r="Z8874" s="6">
        <v>94.05</v>
      </c>
      <c r="AA8874" s="6">
        <v>30.05</v>
      </c>
      <c r="AB8874" s="7">
        <v>12.122</v>
      </c>
      <c r="AC8874" s="2"/>
    </row>
    <row r="8875" spans="1:29" ht="117" x14ac:dyDescent="0.15">
      <c r="A8875" s="3">
        <f>DATE(2007,11,27)</f>
        <v>39413</v>
      </c>
      <c r="B8875" s="2"/>
      <c r="C8875" s="2" t="s">
        <v>30</v>
      </c>
      <c r="D8875" s="2" t="s">
        <v>26264</v>
      </c>
      <c r="E8875" s="2" t="s">
        <v>26265</v>
      </c>
      <c r="F8875" s="4">
        <v>3826</v>
      </c>
      <c r="G8875" s="2" t="s">
        <v>226</v>
      </c>
      <c r="H8875" s="2" t="s">
        <v>34</v>
      </c>
      <c r="I8875" s="2" t="s">
        <v>26266</v>
      </c>
      <c r="J8875" s="2" t="s">
        <v>12755</v>
      </c>
      <c r="K8875" s="2" t="s">
        <v>53</v>
      </c>
      <c r="L8875" s="2" t="s">
        <v>34</v>
      </c>
      <c r="M8875" s="2"/>
      <c r="N8875" s="2"/>
      <c r="O8875" s="2"/>
      <c r="P8875" s="2" t="s">
        <v>26267</v>
      </c>
      <c r="Q8875" s="2"/>
      <c r="R8875" s="6">
        <v>5</v>
      </c>
      <c r="S8875" s="5">
        <v>-2.4</v>
      </c>
      <c r="T8875" s="7">
        <v>12.385999999999999</v>
      </c>
      <c r="U8875" s="5">
        <v>2.5</v>
      </c>
      <c r="V8875" s="6">
        <v>0.23</v>
      </c>
      <c r="W8875" s="6">
        <v>3.76</v>
      </c>
      <c r="X8875" s="6">
        <v>3.82</v>
      </c>
      <c r="Y8875" s="6">
        <v>3.81</v>
      </c>
      <c r="Z8875" s="6">
        <v>3.99</v>
      </c>
      <c r="AA8875" s="6">
        <v>30.81</v>
      </c>
      <c r="AB8875" s="7">
        <v>16.151</v>
      </c>
      <c r="AC8875" s="2"/>
    </row>
    <row r="8876" spans="1:29" ht="104" x14ac:dyDescent="0.15">
      <c r="A8876" s="3">
        <f>DATE(2007,11,29)</f>
        <v>39415</v>
      </c>
      <c r="B8876" s="3">
        <f>DATE(2008,2,28)</f>
        <v>39506</v>
      </c>
      <c r="C8876" s="2" t="s">
        <v>95</v>
      </c>
      <c r="D8876" s="2" t="s">
        <v>26268</v>
      </c>
      <c r="E8876" s="2" t="s">
        <v>26269</v>
      </c>
      <c r="F8876" s="4">
        <v>2819</v>
      </c>
      <c r="G8876" s="2" t="s">
        <v>98</v>
      </c>
      <c r="H8876" s="2" t="s">
        <v>34</v>
      </c>
      <c r="I8876" s="2" t="s">
        <v>1526</v>
      </c>
      <c r="J8876" s="2" t="s">
        <v>302</v>
      </c>
      <c r="K8876" s="2" t="s">
        <v>53</v>
      </c>
      <c r="L8876" s="2" t="s">
        <v>34</v>
      </c>
      <c r="M8876" s="2"/>
      <c r="N8876" s="2"/>
      <c r="O8876" s="2"/>
      <c r="P8876" s="2" t="s">
        <v>26270</v>
      </c>
      <c r="Q8876" s="6">
        <v>74.040000000000006</v>
      </c>
      <c r="R8876" s="2"/>
      <c r="S8876" s="5">
        <v>-222</v>
      </c>
      <c r="T8876" s="5">
        <v>312</v>
      </c>
      <c r="U8876" s="8">
        <v>-2033.2</v>
      </c>
      <c r="V8876" s="7">
        <v>-282.29000000000002</v>
      </c>
      <c r="W8876" s="6">
        <v>2.59</v>
      </c>
      <c r="X8876" s="6">
        <v>2.54</v>
      </c>
      <c r="Y8876" s="6">
        <v>2.54</v>
      </c>
      <c r="Z8876" s="6">
        <v>0.22</v>
      </c>
      <c r="AA8876" s="6">
        <v>60.76</v>
      </c>
      <c r="AB8876" s="7">
        <v>10.91</v>
      </c>
      <c r="AC8876" s="2"/>
    </row>
    <row r="8877" spans="1:29" ht="156" x14ac:dyDescent="0.15">
      <c r="A8877" s="3">
        <f>DATE(2007,11,29)</f>
        <v>39415</v>
      </c>
      <c r="B8877" s="2"/>
      <c r="C8877" s="2" t="s">
        <v>30</v>
      </c>
      <c r="D8877" s="2" t="s">
        <v>13102</v>
      </c>
      <c r="E8877" s="2" t="s">
        <v>13103</v>
      </c>
      <c r="F8877" s="4">
        <v>5735</v>
      </c>
      <c r="G8877" s="2" t="s">
        <v>1227</v>
      </c>
      <c r="H8877" s="2" t="s">
        <v>34</v>
      </c>
      <c r="I8877" s="2" t="s">
        <v>26254</v>
      </c>
      <c r="J8877" s="2" t="s">
        <v>1620</v>
      </c>
      <c r="K8877" s="2" t="s">
        <v>53</v>
      </c>
      <c r="L8877" s="2" t="s">
        <v>34</v>
      </c>
      <c r="M8877" s="2"/>
      <c r="N8877" s="2"/>
      <c r="O8877" s="2"/>
      <c r="P8877" s="2" t="s">
        <v>26271</v>
      </c>
      <c r="Q8877" s="2"/>
      <c r="R8877" s="6">
        <v>7</v>
      </c>
      <c r="S8877" s="5">
        <v>-0.9</v>
      </c>
      <c r="T8877" s="7">
        <v>44.533000000000001</v>
      </c>
      <c r="U8877" s="5">
        <v>11.7</v>
      </c>
      <c r="V8877" s="6">
        <v>-0.03</v>
      </c>
      <c r="W8877" s="6">
        <v>4.8899999999999997</v>
      </c>
      <c r="X8877" s="6">
        <v>4.97</v>
      </c>
      <c r="Y8877" s="6">
        <v>5.76</v>
      </c>
      <c r="Z8877" s="6">
        <v>5.46</v>
      </c>
      <c r="AA8877" s="6">
        <v>31.08</v>
      </c>
      <c r="AB8877" s="7">
        <v>65.739999999999995</v>
      </c>
      <c r="AC8877" s="2"/>
    </row>
    <row r="8878" spans="1:29" ht="130" x14ac:dyDescent="0.15">
      <c r="A8878" s="3">
        <f>DATE(2007,11,29)</f>
        <v>39415</v>
      </c>
      <c r="B8878" s="3">
        <f>DATE(2008,3,31)</f>
        <v>39538</v>
      </c>
      <c r="C8878" s="2" t="s">
        <v>95</v>
      </c>
      <c r="D8878" s="2" t="s">
        <v>26272</v>
      </c>
      <c r="E8878" s="2" t="s">
        <v>19483</v>
      </c>
      <c r="F8878" s="4">
        <v>2869</v>
      </c>
      <c r="G8878" s="2" t="s">
        <v>98</v>
      </c>
      <c r="H8878" s="2" t="s">
        <v>34</v>
      </c>
      <c r="I8878" s="2" t="s">
        <v>26273</v>
      </c>
      <c r="J8878" s="2" t="s">
        <v>26274</v>
      </c>
      <c r="K8878" s="2" t="s">
        <v>98</v>
      </c>
      <c r="L8878" s="2" t="s">
        <v>34</v>
      </c>
      <c r="M8878" s="12">
        <v>1204.7819999999999</v>
      </c>
      <c r="N8878" s="6">
        <v>10.97</v>
      </c>
      <c r="O8878" s="6">
        <v>11.81</v>
      </c>
      <c r="P8878" s="2" t="s">
        <v>26275</v>
      </c>
      <c r="Q8878" s="6">
        <v>100</v>
      </c>
      <c r="R8878" s="6">
        <v>8.6199999999999992</v>
      </c>
      <c r="S8878" s="5">
        <v>45.6</v>
      </c>
      <c r="T8878" s="6">
        <v>80.150000000000006</v>
      </c>
      <c r="U8878" s="5">
        <v>7.9</v>
      </c>
      <c r="V8878" s="6">
        <v>0.77</v>
      </c>
      <c r="W8878" s="6">
        <v>7.06</v>
      </c>
      <c r="X8878" s="6">
        <v>8.0299999999999994</v>
      </c>
      <c r="Y8878" s="6">
        <v>8.42</v>
      </c>
      <c r="Z8878" s="6">
        <v>9.07</v>
      </c>
      <c r="AA8878" s="6">
        <v>79.62</v>
      </c>
      <c r="AB8878" s="7">
        <v>16.446999999999999</v>
      </c>
      <c r="AC8878" s="6">
        <v>320.22000000000003</v>
      </c>
    </row>
    <row r="8879" spans="1:29" ht="117" x14ac:dyDescent="0.15">
      <c r="A8879" s="3">
        <f>DATE(2007,11,30)</f>
        <v>39416</v>
      </c>
      <c r="B8879" s="2"/>
      <c r="C8879" s="2" t="s">
        <v>30</v>
      </c>
      <c r="D8879" s="2" t="s">
        <v>26276</v>
      </c>
      <c r="E8879" s="2" t="s">
        <v>24657</v>
      </c>
      <c r="F8879" s="4">
        <v>7379</v>
      </c>
      <c r="G8879" s="2" t="s">
        <v>223</v>
      </c>
      <c r="H8879" s="2" t="s">
        <v>34</v>
      </c>
      <c r="I8879" s="2" t="s">
        <v>51</v>
      </c>
      <c r="J8879" s="2" t="s">
        <v>52</v>
      </c>
      <c r="K8879" s="2" t="s">
        <v>53</v>
      </c>
      <c r="L8879" s="2" t="s">
        <v>25244</v>
      </c>
      <c r="M8879" s="2"/>
      <c r="N8879" s="2"/>
      <c r="O8879" s="2"/>
      <c r="P8879" s="2" t="s">
        <v>26277</v>
      </c>
      <c r="Q8879" s="2"/>
      <c r="R8879" s="6">
        <v>17</v>
      </c>
      <c r="S8879" s="5">
        <v>32.299999999999997</v>
      </c>
      <c r="T8879" s="7">
        <v>14.407</v>
      </c>
      <c r="U8879" s="5">
        <v>9.6</v>
      </c>
      <c r="V8879" s="6">
        <v>1.37</v>
      </c>
      <c r="W8879" s="6">
        <v>12.49</v>
      </c>
      <c r="X8879" s="6">
        <v>12.72</v>
      </c>
      <c r="Y8879" s="6">
        <v>14.05</v>
      </c>
      <c r="Z8879" s="5">
        <v>13.9</v>
      </c>
      <c r="AA8879" s="6">
        <v>22.69</v>
      </c>
      <c r="AB8879" s="7">
        <v>66</v>
      </c>
      <c r="AC8879" s="2"/>
    </row>
    <row r="8880" spans="1:29" ht="169" x14ac:dyDescent="0.15">
      <c r="A8880" s="3">
        <f>DATE(2007,12,2)</f>
        <v>39418</v>
      </c>
      <c r="B8880" s="3">
        <f>DATE(2008,7,10)</f>
        <v>39639</v>
      </c>
      <c r="C8880" s="2" t="s">
        <v>95</v>
      </c>
      <c r="D8880" s="2" t="s">
        <v>13926</v>
      </c>
      <c r="E8880" s="2" t="s">
        <v>4642</v>
      </c>
      <c r="F8880" s="4">
        <v>7372</v>
      </c>
      <c r="G8880" s="2" t="s">
        <v>551</v>
      </c>
      <c r="H8880" s="2" t="s">
        <v>34</v>
      </c>
      <c r="I8880" s="2" t="s">
        <v>10583</v>
      </c>
      <c r="J8880" s="2" t="s">
        <v>26278</v>
      </c>
      <c r="K8880" s="2" t="s">
        <v>42</v>
      </c>
      <c r="L8880" s="2" t="s">
        <v>133</v>
      </c>
      <c r="M8880" s="12">
        <v>51342.091</v>
      </c>
      <c r="N8880" s="6">
        <v>46.53</v>
      </c>
      <c r="O8880" s="6">
        <v>46.53</v>
      </c>
      <c r="P8880" s="2" t="s">
        <v>26279</v>
      </c>
      <c r="Q8880" s="6">
        <v>9.14</v>
      </c>
      <c r="R8880" s="6">
        <v>27.5</v>
      </c>
      <c r="S8880" s="5">
        <v>85.8</v>
      </c>
      <c r="T8880" s="7">
        <v>194.75800000000001</v>
      </c>
      <c r="U8880" s="5">
        <v>5</v>
      </c>
      <c r="V8880" s="6">
        <v>0.28000000000000003</v>
      </c>
      <c r="W8880" s="6">
        <v>19.489999999999998</v>
      </c>
      <c r="X8880" s="6">
        <v>22.15</v>
      </c>
      <c r="Y8880" s="6">
        <v>24.97</v>
      </c>
      <c r="Z8880" s="6">
        <v>24.97</v>
      </c>
      <c r="AA8880" s="6">
        <v>688.85</v>
      </c>
      <c r="AB8880" s="7">
        <v>93.457999999999998</v>
      </c>
      <c r="AC8880" s="10">
        <v>3408.99</v>
      </c>
    </row>
    <row r="8881" spans="1:29" ht="91" x14ac:dyDescent="0.15">
      <c r="A8881" s="3">
        <f>DATE(2007,12,3)</f>
        <v>39419</v>
      </c>
      <c r="B8881" s="3">
        <f>DATE(2008,2,26)</f>
        <v>39504</v>
      </c>
      <c r="C8881" s="2" t="s">
        <v>95</v>
      </c>
      <c r="D8881" s="2" t="s">
        <v>26280</v>
      </c>
      <c r="E8881" s="2" t="s">
        <v>26281</v>
      </c>
      <c r="F8881" s="4">
        <v>3589</v>
      </c>
      <c r="G8881" s="2" t="s">
        <v>300</v>
      </c>
      <c r="H8881" s="2" t="s">
        <v>34</v>
      </c>
      <c r="I8881" s="2" t="s">
        <v>26282</v>
      </c>
      <c r="J8881" s="2" t="s">
        <v>26283</v>
      </c>
      <c r="K8881" s="2" t="s">
        <v>300</v>
      </c>
      <c r="L8881" s="2" t="s">
        <v>34</v>
      </c>
      <c r="M8881" s="12">
        <v>2483.0160000000001</v>
      </c>
      <c r="N8881" s="6">
        <v>36.979999999999997</v>
      </c>
      <c r="O8881" s="6">
        <v>37.119999999999997</v>
      </c>
      <c r="P8881" s="2" t="s">
        <v>26284</v>
      </c>
      <c r="Q8881" s="6">
        <v>100</v>
      </c>
      <c r="R8881" s="6">
        <v>9.5500000000000007</v>
      </c>
      <c r="S8881" s="5">
        <v>0.8</v>
      </c>
      <c r="T8881" s="7">
        <v>2.117</v>
      </c>
      <c r="U8881" s="5">
        <v>5.6</v>
      </c>
      <c r="V8881" s="6">
        <v>0.23</v>
      </c>
      <c r="W8881" s="6">
        <v>6.23</v>
      </c>
      <c r="X8881" s="6">
        <v>5.98</v>
      </c>
      <c r="Y8881" s="5">
        <v>8.9</v>
      </c>
      <c r="Z8881" s="6">
        <v>9.07</v>
      </c>
      <c r="AA8881" s="6">
        <v>3.34</v>
      </c>
      <c r="AB8881" s="7">
        <v>25.029</v>
      </c>
      <c r="AC8881" s="6">
        <v>9.77</v>
      </c>
    </row>
    <row r="8882" spans="1:29" ht="91" x14ac:dyDescent="0.15">
      <c r="A8882" s="3">
        <f>DATE(2007,12,3)</f>
        <v>39419</v>
      </c>
      <c r="B8882" s="3">
        <f>DATE(2008,4,1)</f>
        <v>39539</v>
      </c>
      <c r="C8882" s="2" t="s">
        <v>95</v>
      </c>
      <c r="D8882" s="2" t="s">
        <v>26285</v>
      </c>
      <c r="E8882" s="2" t="s">
        <v>159</v>
      </c>
      <c r="F8882" s="4">
        <v>6035</v>
      </c>
      <c r="G8882" s="2" t="s">
        <v>33</v>
      </c>
      <c r="H8882" s="2" t="s">
        <v>34</v>
      </c>
      <c r="I8882" s="2" t="s">
        <v>26286</v>
      </c>
      <c r="J8882" s="2" t="s">
        <v>159</v>
      </c>
      <c r="K8882" s="2" t="s">
        <v>37</v>
      </c>
      <c r="L8882" s="2" t="s">
        <v>34</v>
      </c>
      <c r="M8882" s="2"/>
      <c r="N8882" s="2"/>
      <c r="O8882" s="2"/>
      <c r="P8882" s="2" t="s">
        <v>26287</v>
      </c>
      <c r="Q8882" s="6">
        <v>100</v>
      </c>
      <c r="R8882" s="6">
        <v>10.71</v>
      </c>
      <c r="S8882" s="5">
        <v>-0.7</v>
      </c>
      <c r="T8882" s="7">
        <v>-0.46200000000000002</v>
      </c>
      <c r="U8882" s="5">
        <v>7.4</v>
      </c>
      <c r="V8882" s="6">
        <v>-2.14</v>
      </c>
      <c r="W8882" s="6">
        <v>7.75</v>
      </c>
      <c r="X8882" s="6">
        <v>7.75</v>
      </c>
      <c r="Y8882" s="6">
        <v>7.75</v>
      </c>
      <c r="Z8882" s="5">
        <v>9.6</v>
      </c>
      <c r="AA8882" s="6">
        <v>0.34</v>
      </c>
      <c r="AB8882" s="2" t="s">
        <v>86</v>
      </c>
      <c r="AC8882" s="2"/>
    </row>
    <row r="8883" spans="1:29" ht="143" x14ac:dyDescent="0.15">
      <c r="A8883" s="3">
        <f>DATE(2007,12,3)</f>
        <v>39419</v>
      </c>
      <c r="B8883" s="3">
        <f>DATE(2008,5,5)</f>
        <v>39573</v>
      </c>
      <c r="C8883" s="2" t="s">
        <v>95</v>
      </c>
      <c r="D8883" s="2" t="s">
        <v>26288</v>
      </c>
      <c r="E8883" s="2" t="s">
        <v>26289</v>
      </c>
      <c r="F8883" s="4">
        <v>2875</v>
      </c>
      <c r="G8883" s="2" t="s">
        <v>98</v>
      </c>
      <c r="H8883" s="2" t="s">
        <v>34</v>
      </c>
      <c r="I8883" s="2" t="s">
        <v>6606</v>
      </c>
      <c r="J8883" s="2" t="s">
        <v>6607</v>
      </c>
      <c r="K8883" s="2" t="s">
        <v>98</v>
      </c>
      <c r="L8883" s="2" t="s">
        <v>902</v>
      </c>
      <c r="M8883" s="12">
        <v>8209.8619999999992</v>
      </c>
      <c r="N8883" s="6">
        <v>60.98</v>
      </c>
      <c r="O8883" s="6">
        <v>61.92</v>
      </c>
      <c r="P8883" s="2" t="s">
        <v>26290</v>
      </c>
      <c r="Q8883" s="6">
        <v>100</v>
      </c>
      <c r="R8883" s="6">
        <v>39</v>
      </c>
      <c r="S8883" s="5">
        <v>96.3</v>
      </c>
      <c r="T8883" s="7">
        <v>186.874</v>
      </c>
      <c r="U8883" s="5">
        <v>4.9000000000000004</v>
      </c>
      <c r="V8883" s="6">
        <v>1.86</v>
      </c>
      <c r="W8883" s="6">
        <v>28.88</v>
      </c>
      <c r="X8883" s="6">
        <v>29.91</v>
      </c>
      <c r="Y8883" s="6">
        <v>38.28</v>
      </c>
      <c r="Z8883" s="6">
        <v>38.24</v>
      </c>
      <c r="AA8883" s="6">
        <v>52.46</v>
      </c>
      <c r="AB8883" s="7">
        <v>16.838999999999999</v>
      </c>
      <c r="AC8883" s="6">
        <v>41.11</v>
      </c>
    </row>
    <row r="8884" spans="1:29" ht="169" x14ac:dyDescent="0.15">
      <c r="A8884" s="3">
        <f>DATE(2007,12,7)</f>
        <v>39423</v>
      </c>
      <c r="B8884" s="3">
        <f>DATE(2008,5,2)</f>
        <v>39570</v>
      </c>
      <c r="C8884" s="2" t="s">
        <v>95</v>
      </c>
      <c r="D8884" s="2" t="s">
        <v>18823</v>
      </c>
      <c r="E8884" s="2" t="s">
        <v>18824</v>
      </c>
      <c r="F8884" s="4">
        <v>4841</v>
      </c>
      <c r="G8884" s="2" t="s">
        <v>45</v>
      </c>
      <c r="H8884" s="2" t="s">
        <v>34</v>
      </c>
      <c r="I8884" s="2" t="s">
        <v>26291</v>
      </c>
      <c r="J8884" s="2" t="s">
        <v>26292</v>
      </c>
      <c r="K8884" s="2" t="s">
        <v>551</v>
      </c>
      <c r="L8884" s="2" t="s">
        <v>34</v>
      </c>
      <c r="M8884" s="12">
        <v>1406.412</v>
      </c>
      <c r="N8884" s="6">
        <v>20.440000000000001</v>
      </c>
      <c r="O8884" s="6">
        <v>19.32</v>
      </c>
      <c r="P8884" s="2" t="s">
        <v>26293</v>
      </c>
      <c r="Q8884" s="6">
        <v>100</v>
      </c>
      <c r="R8884" s="6">
        <v>6.62</v>
      </c>
      <c r="S8884" s="5">
        <v>210.2</v>
      </c>
      <c r="T8884" s="7">
        <v>153.221</v>
      </c>
      <c r="U8884" s="5">
        <v>1.6</v>
      </c>
      <c r="V8884" s="6">
        <v>0.48</v>
      </c>
      <c r="W8884" s="5">
        <v>5.9</v>
      </c>
      <c r="X8884" s="6">
        <v>5.98</v>
      </c>
      <c r="Y8884" s="6">
        <v>4.99</v>
      </c>
      <c r="Z8884" s="6">
        <v>4.67</v>
      </c>
      <c r="AA8884" s="6">
        <v>429.06</v>
      </c>
      <c r="AB8884" s="7">
        <v>19.937000000000001</v>
      </c>
      <c r="AC8884" s="6">
        <v>412.15</v>
      </c>
    </row>
    <row r="8885" spans="1:29" ht="117" x14ac:dyDescent="0.15">
      <c r="A8885" s="3">
        <f>DATE(2007,12,10)</f>
        <v>39426</v>
      </c>
      <c r="B8885" s="3">
        <f>DATE(2008,1,30)</f>
        <v>39477</v>
      </c>
      <c r="C8885" s="2" t="s">
        <v>95</v>
      </c>
      <c r="D8885" s="2" t="s">
        <v>26294</v>
      </c>
      <c r="E8885" s="2" t="s">
        <v>3812</v>
      </c>
      <c r="F8885" s="4">
        <v>2834</v>
      </c>
      <c r="G8885" s="2" t="s">
        <v>130</v>
      </c>
      <c r="H8885" s="2" t="s">
        <v>34</v>
      </c>
      <c r="I8885" s="2" t="s">
        <v>26295</v>
      </c>
      <c r="J8885" s="2" t="s">
        <v>26296</v>
      </c>
      <c r="K8885" s="2" t="s">
        <v>358</v>
      </c>
      <c r="L8885" s="2" t="s">
        <v>303</v>
      </c>
      <c r="M8885" s="12">
        <v>39683.167000000001</v>
      </c>
      <c r="N8885" s="7">
        <v>61.034999999999997</v>
      </c>
      <c r="O8885" s="7">
        <v>60.491999999999997</v>
      </c>
      <c r="P8885" s="2" t="s">
        <v>26297</v>
      </c>
      <c r="Q8885" s="6">
        <v>100</v>
      </c>
      <c r="R8885" s="6">
        <v>60</v>
      </c>
      <c r="S8885" s="5">
        <v>43.6</v>
      </c>
      <c r="T8885" s="2"/>
      <c r="U8885" s="2"/>
      <c r="V8885" s="2"/>
      <c r="W8885" s="5">
        <v>43.3</v>
      </c>
      <c r="X8885" s="6">
        <v>43.68</v>
      </c>
      <c r="Y8885" s="5">
        <v>59.3</v>
      </c>
      <c r="Z8885" s="6">
        <v>59.24</v>
      </c>
      <c r="AA8885" s="6">
        <v>38.979999999999997</v>
      </c>
      <c r="AB8885" s="2" t="s">
        <v>47</v>
      </c>
      <c r="AC8885" s="6">
        <v>715.03</v>
      </c>
    </row>
    <row r="8886" spans="1:29" ht="104" x14ac:dyDescent="0.15">
      <c r="A8886" s="3">
        <f>DATE(2007,12,10)</f>
        <v>39426</v>
      </c>
      <c r="B8886" s="3">
        <f>DATE(2008,1,16)</f>
        <v>39463</v>
      </c>
      <c r="C8886" s="2" t="s">
        <v>95</v>
      </c>
      <c r="D8886" s="2" t="s">
        <v>26298</v>
      </c>
      <c r="E8886" s="2" t="s">
        <v>26299</v>
      </c>
      <c r="F8886" s="4">
        <v>3312</v>
      </c>
      <c r="G8886" s="2" t="s">
        <v>163</v>
      </c>
      <c r="H8886" s="2" t="s">
        <v>34</v>
      </c>
      <c r="I8886" s="2" t="s">
        <v>24848</v>
      </c>
      <c r="J8886" s="2" t="s">
        <v>24849</v>
      </c>
      <c r="K8886" s="2" t="s">
        <v>163</v>
      </c>
      <c r="L8886" s="2" t="s">
        <v>18001</v>
      </c>
      <c r="M8886" s="2"/>
      <c r="N8886" s="2"/>
      <c r="O8886" s="2"/>
      <c r="P8886" s="2" t="s">
        <v>26300</v>
      </c>
      <c r="Q8886" s="6">
        <v>100</v>
      </c>
      <c r="R8886" s="6">
        <v>23.5</v>
      </c>
      <c r="S8886" s="5">
        <v>3.2</v>
      </c>
      <c r="T8886" s="7">
        <v>76.143000000000001</v>
      </c>
      <c r="U8886" s="5">
        <v>-2.2999999999999998</v>
      </c>
      <c r="V8886" s="9">
        <v>1.1543000000000001</v>
      </c>
      <c r="W8886" s="6">
        <v>22.71</v>
      </c>
      <c r="X8886" s="4">
        <v>22</v>
      </c>
      <c r="Y8886" s="6">
        <v>23.29</v>
      </c>
      <c r="Z8886" s="6">
        <v>23.23</v>
      </c>
      <c r="AA8886" s="6">
        <v>17.57</v>
      </c>
      <c r="AB8886" s="7">
        <v>9.5630000000000006</v>
      </c>
      <c r="AC8886" s="6">
        <v>946.85</v>
      </c>
    </row>
    <row r="8887" spans="1:29" ht="169" x14ac:dyDescent="0.15">
      <c r="A8887" s="3">
        <f>DATE(2007,12,10)</f>
        <v>39426</v>
      </c>
      <c r="B8887" s="3">
        <f>DATE(2008,1,28)</f>
        <v>39475</v>
      </c>
      <c r="C8887" s="2" t="s">
        <v>95</v>
      </c>
      <c r="D8887" s="2" t="s">
        <v>23156</v>
      </c>
      <c r="E8887" s="2" t="s">
        <v>3812</v>
      </c>
      <c r="F8887" s="4">
        <v>2834</v>
      </c>
      <c r="G8887" s="2" t="s">
        <v>130</v>
      </c>
      <c r="H8887" s="2" t="s">
        <v>34</v>
      </c>
      <c r="I8887" s="2" t="s">
        <v>26301</v>
      </c>
      <c r="J8887" s="2" t="s">
        <v>11337</v>
      </c>
      <c r="K8887" s="2" t="s">
        <v>53</v>
      </c>
      <c r="L8887" s="2" t="s">
        <v>34</v>
      </c>
      <c r="M8887" s="2"/>
      <c r="N8887" s="2"/>
      <c r="O8887" s="2"/>
      <c r="P8887" s="2" t="s">
        <v>26302</v>
      </c>
      <c r="Q8887" s="6">
        <v>100</v>
      </c>
      <c r="R8887" s="6">
        <v>41</v>
      </c>
      <c r="S8887" s="5">
        <v>-6</v>
      </c>
      <c r="T8887" s="7">
        <v>10.747</v>
      </c>
      <c r="U8887" s="5">
        <v>1.8</v>
      </c>
      <c r="V8887" s="6">
        <v>-0.08</v>
      </c>
      <c r="W8887" s="6">
        <v>34.74</v>
      </c>
      <c r="X8887" s="6">
        <v>33.450000000000003</v>
      </c>
      <c r="Y8887" s="4">
        <v>40</v>
      </c>
      <c r="Z8887" s="6">
        <v>40.01</v>
      </c>
      <c r="AA8887" s="6">
        <v>80.61</v>
      </c>
      <c r="AB8887" s="2" t="s">
        <v>86</v>
      </c>
      <c r="AC8887" s="6">
        <v>26.86</v>
      </c>
    </row>
    <row r="8888" spans="1:29" ht="143" x14ac:dyDescent="0.15">
      <c r="A8888" s="3">
        <f>DATE(2007,12,11)</f>
        <v>39427</v>
      </c>
      <c r="B8888" s="3">
        <f>DATE(2008,2,13)</f>
        <v>39491</v>
      </c>
      <c r="C8888" s="2" t="s">
        <v>95</v>
      </c>
      <c r="D8888" s="2" t="s">
        <v>26303</v>
      </c>
      <c r="E8888" s="2" t="s">
        <v>26304</v>
      </c>
      <c r="F8888" s="4">
        <v>7382</v>
      </c>
      <c r="G8888" s="2" t="s">
        <v>223</v>
      </c>
      <c r="H8888" s="2" t="s">
        <v>34</v>
      </c>
      <c r="I8888" s="2" t="s">
        <v>15634</v>
      </c>
      <c r="J8888" s="2" t="s">
        <v>15635</v>
      </c>
      <c r="K8888" s="2" t="s">
        <v>137</v>
      </c>
      <c r="L8888" s="2" t="s">
        <v>34</v>
      </c>
      <c r="M8888" s="12">
        <v>3017.7060000000001</v>
      </c>
      <c r="N8888" s="6">
        <v>13.46</v>
      </c>
      <c r="O8888" s="6">
        <v>13.67</v>
      </c>
      <c r="P8888" s="2" t="s">
        <v>26305</v>
      </c>
      <c r="Q8888" s="6">
        <v>100</v>
      </c>
      <c r="R8888" s="6">
        <v>7.24</v>
      </c>
      <c r="S8888" s="5">
        <v>5.0999999999999996</v>
      </c>
      <c r="T8888" s="7">
        <v>7.5519999999999996</v>
      </c>
      <c r="U8888" s="5">
        <v>1.5</v>
      </c>
      <c r="V8888" s="6">
        <v>0.25</v>
      </c>
      <c r="W8888" s="5">
        <v>5.7</v>
      </c>
      <c r="X8888" s="5">
        <v>5.6</v>
      </c>
      <c r="Y8888" s="5">
        <v>5.9</v>
      </c>
      <c r="Z8888" s="5">
        <v>5.9</v>
      </c>
      <c r="AA8888" s="6">
        <v>19.420000000000002</v>
      </c>
      <c r="AB8888" s="7">
        <v>20.556999999999999</v>
      </c>
      <c r="AC8888" s="8">
        <v>1102.8</v>
      </c>
    </row>
    <row r="8889" spans="1:29" ht="130" x14ac:dyDescent="0.15">
      <c r="A8889" s="3">
        <f>DATE(2007,12,11)</f>
        <v>39427</v>
      </c>
      <c r="B8889" s="3">
        <f>DATE(2008,1,28)</f>
        <v>39475</v>
      </c>
      <c r="C8889" s="2" t="s">
        <v>95</v>
      </c>
      <c r="D8889" s="2" t="s">
        <v>19371</v>
      </c>
      <c r="E8889" s="2" t="s">
        <v>13887</v>
      </c>
      <c r="F8889" s="4">
        <v>3674</v>
      </c>
      <c r="G8889" s="2" t="s">
        <v>137</v>
      </c>
      <c r="H8889" s="2" t="s">
        <v>34</v>
      </c>
      <c r="I8889" s="2" t="s">
        <v>26306</v>
      </c>
      <c r="J8889" s="2" t="s">
        <v>2728</v>
      </c>
      <c r="K8889" s="2" t="s">
        <v>137</v>
      </c>
      <c r="L8889" s="2" t="s">
        <v>215</v>
      </c>
      <c r="M8889" s="12">
        <v>14956.883</v>
      </c>
      <c r="N8889" s="7">
        <v>15.513</v>
      </c>
      <c r="O8889" s="7">
        <v>15.654</v>
      </c>
      <c r="P8889" s="2" t="s">
        <v>26307</v>
      </c>
      <c r="Q8889" s="6">
        <v>100</v>
      </c>
      <c r="R8889" s="6">
        <v>8.65</v>
      </c>
      <c r="S8889" s="5">
        <v>-173.4</v>
      </c>
      <c r="T8889" s="5">
        <v>-33.4</v>
      </c>
      <c r="U8889" s="5">
        <v>8.1</v>
      </c>
      <c r="V8889" s="6">
        <v>-4.7300000000000004</v>
      </c>
      <c r="W8889" s="6">
        <v>4.95</v>
      </c>
      <c r="X8889" s="5">
        <v>5.4</v>
      </c>
      <c r="Y8889" s="6">
        <v>8.49</v>
      </c>
      <c r="Z8889" s="6">
        <v>8.48</v>
      </c>
      <c r="AA8889" s="6">
        <v>37.47</v>
      </c>
      <c r="AB8889" s="2" t="s">
        <v>86</v>
      </c>
      <c r="AC8889" s="10">
        <v>3045.51</v>
      </c>
    </row>
    <row r="8890" spans="1:29" ht="65" x14ac:dyDescent="0.15">
      <c r="A8890" s="3">
        <f>DATE(2007,12,12)</f>
        <v>39428</v>
      </c>
      <c r="B8890" s="3">
        <f>DATE(2007,12,31)</f>
        <v>39447</v>
      </c>
      <c r="C8890" s="2" t="s">
        <v>95</v>
      </c>
      <c r="D8890" s="2" t="s">
        <v>12336</v>
      </c>
      <c r="E8890" s="2" t="s">
        <v>10361</v>
      </c>
      <c r="F8890" s="4">
        <v>7372</v>
      </c>
      <c r="G8890" s="2" t="s">
        <v>551</v>
      </c>
      <c r="H8890" s="2" t="s">
        <v>34</v>
      </c>
      <c r="I8890" s="2" t="s">
        <v>26308</v>
      </c>
      <c r="J8890" s="2" t="s">
        <v>8589</v>
      </c>
      <c r="K8890" s="2" t="s">
        <v>551</v>
      </c>
      <c r="L8890" s="2" t="s">
        <v>34</v>
      </c>
      <c r="M8890" s="2"/>
      <c r="N8890" s="2"/>
      <c r="O8890" s="2"/>
      <c r="P8890" s="2" t="s">
        <v>26309</v>
      </c>
      <c r="Q8890" s="6">
        <v>100</v>
      </c>
      <c r="R8890" s="2"/>
      <c r="S8890" s="5">
        <v>-3.9</v>
      </c>
      <c r="T8890" s="7">
        <v>-2.0489999999999999</v>
      </c>
      <c r="U8890" s="5">
        <v>2</v>
      </c>
      <c r="V8890" s="6">
        <v>-0.41</v>
      </c>
      <c r="W8890" s="6">
        <v>3.78</v>
      </c>
      <c r="X8890" s="6">
        <v>3.69</v>
      </c>
      <c r="Y8890" s="5">
        <v>6.7</v>
      </c>
      <c r="Z8890" s="6">
        <v>6.69</v>
      </c>
      <c r="AA8890" s="6">
        <v>9.58</v>
      </c>
      <c r="AB8890" s="2" t="s">
        <v>86</v>
      </c>
      <c r="AC8890" s="2"/>
    </row>
    <row r="8891" spans="1:29" ht="104" x14ac:dyDescent="0.15">
      <c r="A8891" s="3">
        <f>DATE(2007,12,12)</f>
        <v>39428</v>
      </c>
      <c r="B8891" s="3">
        <f>DATE(2008,1,24)</f>
        <v>39471</v>
      </c>
      <c r="C8891" s="2" t="s">
        <v>95</v>
      </c>
      <c r="D8891" s="2" t="s">
        <v>26310</v>
      </c>
      <c r="E8891" s="2" t="s">
        <v>18844</v>
      </c>
      <c r="F8891" s="4">
        <v>3825</v>
      </c>
      <c r="G8891" s="2" t="s">
        <v>226</v>
      </c>
      <c r="H8891" s="2" t="s">
        <v>34</v>
      </c>
      <c r="I8891" s="2" t="s">
        <v>6748</v>
      </c>
      <c r="J8891" s="2" t="s">
        <v>6749</v>
      </c>
      <c r="K8891" s="2" t="s">
        <v>226</v>
      </c>
      <c r="L8891" s="2" t="s">
        <v>34</v>
      </c>
      <c r="M8891" s="12">
        <v>2009.0260000000001</v>
      </c>
      <c r="N8891" s="6">
        <v>10.99</v>
      </c>
      <c r="O8891" s="6">
        <v>10.46</v>
      </c>
      <c r="P8891" s="2" t="s">
        <v>26311</v>
      </c>
      <c r="Q8891" s="6">
        <v>100</v>
      </c>
      <c r="R8891" s="6">
        <v>20</v>
      </c>
      <c r="S8891" s="5">
        <v>4.9000000000000004</v>
      </c>
      <c r="T8891" s="7">
        <v>4.9370000000000003</v>
      </c>
      <c r="U8891" s="5">
        <v>6.7</v>
      </c>
      <c r="V8891" s="6">
        <v>0.26</v>
      </c>
      <c r="W8891" s="6">
        <v>12.48</v>
      </c>
      <c r="X8891" s="6">
        <v>11.99</v>
      </c>
      <c r="Y8891" s="6">
        <v>19.54</v>
      </c>
      <c r="Z8891" s="5">
        <v>19.600000000000001</v>
      </c>
      <c r="AA8891" s="6">
        <v>17.920000000000002</v>
      </c>
      <c r="AB8891" s="7">
        <v>95.399000000000001</v>
      </c>
      <c r="AC8891" s="6">
        <v>616.25</v>
      </c>
    </row>
    <row r="8892" spans="1:29" ht="169" x14ac:dyDescent="0.15">
      <c r="A8892" s="3">
        <f>DATE(2007,12,13)</f>
        <v>39429</v>
      </c>
      <c r="B8892" s="3">
        <f>DATE(2008,3,17)</f>
        <v>39524</v>
      </c>
      <c r="C8892" s="2" t="s">
        <v>95</v>
      </c>
      <c r="D8892" s="2" t="s">
        <v>26312</v>
      </c>
      <c r="E8892" s="2" t="s">
        <v>18547</v>
      </c>
      <c r="F8892" s="4">
        <v>3674</v>
      </c>
      <c r="G8892" s="2" t="s">
        <v>137</v>
      </c>
      <c r="H8892" s="2" t="s">
        <v>34</v>
      </c>
      <c r="I8892" s="2" t="s">
        <v>26313</v>
      </c>
      <c r="J8892" s="2" t="s">
        <v>4865</v>
      </c>
      <c r="K8892" s="2" t="s">
        <v>137</v>
      </c>
      <c r="L8892" s="2" t="s">
        <v>34</v>
      </c>
      <c r="M8892" s="12">
        <v>2642.174</v>
      </c>
      <c r="N8892" s="6">
        <v>8.5399999999999991</v>
      </c>
      <c r="O8892" s="6">
        <v>8.24</v>
      </c>
      <c r="P8892" s="2" t="s">
        <v>26314</v>
      </c>
      <c r="Q8892" s="6">
        <v>100</v>
      </c>
      <c r="R8892" s="6">
        <v>10.14</v>
      </c>
      <c r="S8892" s="5">
        <v>31.4</v>
      </c>
      <c r="T8892" s="5">
        <v>134.30000000000001</v>
      </c>
      <c r="U8892" s="5">
        <v>4.8</v>
      </c>
      <c r="V8892" s="6">
        <v>0.36</v>
      </c>
      <c r="W8892" s="6">
        <v>7.68</v>
      </c>
      <c r="X8892" s="6">
        <v>7.35</v>
      </c>
      <c r="Y8892" s="6">
        <v>9.64</v>
      </c>
      <c r="Z8892" s="6">
        <v>9.26</v>
      </c>
      <c r="AA8892" s="6">
        <v>89.36</v>
      </c>
      <c r="AB8892" s="7">
        <v>17.103000000000002</v>
      </c>
      <c r="AC8892" s="5">
        <v>327.10000000000002</v>
      </c>
    </row>
    <row r="8893" spans="1:29" ht="117" x14ac:dyDescent="0.15">
      <c r="A8893" s="3">
        <f>DATE(2007,12,13)</f>
        <v>39429</v>
      </c>
      <c r="B8893" s="2"/>
      <c r="C8893" s="2" t="s">
        <v>30</v>
      </c>
      <c r="D8893" s="2" t="s">
        <v>26315</v>
      </c>
      <c r="E8893" s="2" t="s">
        <v>26316</v>
      </c>
      <c r="F8893" s="4">
        <v>6099</v>
      </c>
      <c r="G8893" s="2" t="s">
        <v>3583</v>
      </c>
      <c r="H8893" s="2" t="s">
        <v>34</v>
      </c>
      <c r="I8893" s="2" t="s">
        <v>26317</v>
      </c>
      <c r="J8893" s="2" t="s">
        <v>26318</v>
      </c>
      <c r="K8893" s="2" t="s">
        <v>3583</v>
      </c>
      <c r="L8893" s="2" t="s">
        <v>34</v>
      </c>
      <c r="M8893" s="12">
        <v>1502.7429999999999</v>
      </c>
      <c r="N8893" s="6">
        <v>28.54</v>
      </c>
      <c r="O8893" s="6">
        <v>28.86</v>
      </c>
      <c r="P8893" s="2" t="s">
        <v>26319</v>
      </c>
      <c r="Q8893" s="2"/>
      <c r="R8893" s="6">
        <v>20.13</v>
      </c>
      <c r="S8893" s="5">
        <v>122.9</v>
      </c>
      <c r="T8893" s="7">
        <v>235.29900000000001</v>
      </c>
      <c r="U8893" s="5">
        <v>46.9</v>
      </c>
      <c r="V8893" s="6">
        <v>11.76</v>
      </c>
      <c r="W8893" s="6">
        <v>14.75</v>
      </c>
      <c r="X8893" s="5">
        <v>14.9</v>
      </c>
      <c r="Y8893" s="6">
        <v>17.27</v>
      </c>
      <c r="Z8893" s="6">
        <v>15.78</v>
      </c>
      <c r="AA8893" s="6">
        <v>82.65</v>
      </c>
      <c r="AB8893" s="2" t="s">
        <v>86</v>
      </c>
      <c r="AC8893" s="6">
        <v>358.97</v>
      </c>
    </row>
    <row r="8894" spans="1:29" ht="130" x14ac:dyDescent="0.15">
      <c r="A8894" s="3">
        <f>DATE(2007,12,14)</f>
        <v>39430</v>
      </c>
      <c r="B8894" s="3">
        <f>DATE(2008,5,31)</f>
        <v>39599</v>
      </c>
      <c r="C8894" s="2" t="s">
        <v>95</v>
      </c>
      <c r="D8894" s="2" t="s">
        <v>26320</v>
      </c>
      <c r="E8894" s="2" t="s">
        <v>159</v>
      </c>
      <c r="F8894" s="4">
        <v>6021</v>
      </c>
      <c r="G8894" s="2" t="s">
        <v>37</v>
      </c>
      <c r="H8894" s="2" t="s">
        <v>34</v>
      </c>
      <c r="I8894" s="2" t="s">
        <v>26031</v>
      </c>
      <c r="J8894" s="2" t="s">
        <v>23408</v>
      </c>
      <c r="K8894" s="2" t="s">
        <v>53</v>
      </c>
      <c r="L8894" s="2" t="s">
        <v>34</v>
      </c>
      <c r="M8894" s="7">
        <v>69.281000000000006</v>
      </c>
      <c r="N8894" s="6">
        <v>7.43</v>
      </c>
      <c r="O8894" s="6">
        <v>7.42</v>
      </c>
      <c r="P8894" s="2" t="s">
        <v>26321</v>
      </c>
      <c r="Q8894" s="6">
        <v>100</v>
      </c>
      <c r="R8894" s="6">
        <v>42.44</v>
      </c>
      <c r="S8894" s="5">
        <v>2.9</v>
      </c>
      <c r="T8894" s="7">
        <v>3.6560000000000001</v>
      </c>
      <c r="U8894" s="5">
        <v>24.2</v>
      </c>
      <c r="V8894" s="6">
        <v>2.41</v>
      </c>
      <c r="W8894" s="6">
        <v>26.38</v>
      </c>
      <c r="X8894" s="6">
        <v>26.47</v>
      </c>
      <c r="Y8894" s="6">
        <v>34.659999999999997</v>
      </c>
      <c r="Z8894" s="6">
        <v>33.19</v>
      </c>
      <c r="AA8894" s="6">
        <v>1.21</v>
      </c>
      <c r="AB8894" s="7">
        <v>23.248000000000001</v>
      </c>
      <c r="AC8894" s="2"/>
    </row>
    <row r="8895" spans="1:29" ht="91" x14ac:dyDescent="0.15">
      <c r="A8895" s="3">
        <f>DATE(2007,12,17)</f>
        <v>39433</v>
      </c>
      <c r="B8895" s="3">
        <f>DATE(2008,2,11)</f>
        <v>39489</v>
      </c>
      <c r="C8895" s="2" t="s">
        <v>95</v>
      </c>
      <c r="D8895" s="2" t="s">
        <v>26322</v>
      </c>
      <c r="E8895" s="2" t="s">
        <v>26323</v>
      </c>
      <c r="F8895" s="4">
        <v>3661</v>
      </c>
      <c r="G8895" s="2" t="s">
        <v>921</v>
      </c>
      <c r="H8895" s="2" t="s">
        <v>34</v>
      </c>
      <c r="I8895" s="2" t="s">
        <v>26324</v>
      </c>
      <c r="J8895" s="2" t="s">
        <v>26325</v>
      </c>
      <c r="K8895" s="2" t="s">
        <v>551</v>
      </c>
      <c r="L8895" s="2" t="s">
        <v>34</v>
      </c>
      <c r="M8895" s="2"/>
      <c r="N8895" s="2"/>
      <c r="O8895" s="2"/>
      <c r="P8895" s="2" t="s">
        <v>26326</v>
      </c>
      <c r="Q8895" s="6">
        <v>100</v>
      </c>
      <c r="R8895" s="6">
        <v>2.6</v>
      </c>
      <c r="S8895" s="5">
        <v>-5.6</v>
      </c>
      <c r="T8895" s="7">
        <v>-6.9359999999999999</v>
      </c>
      <c r="U8895" s="5">
        <v>4.5</v>
      </c>
      <c r="V8895" s="6">
        <v>-0.17</v>
      </c>
      <c r="W8895" s="6">
        <v>2.4300000000000002</v>
      </c>
      <c r="X8895" s="5">
        <v>2.5</v>
      </c>
      <c r="Y8895" s="6">
        <v>2.25</v>
      </c>
      <c r="Z8895" s="6">
        <v>2.39</v>
      </c>
      <c r="AA8895" s="6">
        <v>34.700000000000003</v>
      </c>
      <c r="AB8895" s="2" t="s">
        <v>86</v>
      </c>
      <c r="AC8895" s="2"/>
    </row>
    <row r="8896" spans="1:29" ht="182" x14ac:dyDescent="0.15">
      <c r="A8896" s="3">
        <f>DATE(2007,12,17)</f>
        <v>39433</v>
      </c>
      <c r="B8896" s="3">
        <f>DATE(2008,4,21)</f>
        <v>39559</v>
      </c>
      <c r="C8896" s="2" t="s">
        <v>95</v>
      </c>
      <c r="D8896" s="2" t="s">
        <v>26327</v>
      </c>
      <c r="E8896" s="2" t="s">
        <v>26328</v>
      </c>
      <c r="F8896" s="4">
        <v>3533</v>
      </c>
      <c r="G8896" s="2" t="s">
        <v>300</v>
      </c>
      <c r="H8896" s="2" t="s">
        <v>34</v>
      </c>
      <c r="I8896" s="2" t="s">
        <v>26329</v>
      </c>
      <c r="J8896" s="2" t="s">
        <v>26330</v>
      </c>
      <c r="K8896" s="2" t="s">
        <v>300</v>
      </c>
      <c r="L8896" s="2" t="s">
        <v>34</v>
      </c>
      <c r="M8896" s="12">
        <v>23307.928</v>
      </c>
      <c r="N8896" s="6">
        <v>70.69</v>
      </c>
      <c r="O8896" s="5">
        <v>69.7</v>
      </c>
      <c r="P8896" s="2" t="s">
        <v>26331</v>
      </c>
      <c r="Q8896" s="6">
        <v>100</v>
      </c>
      <c r="R8896" s="6">
        <v>58</v>
      </c>
      <c r="S8896" s="5">
        <v>530.79999999999995</v>
      </c>
      <c r="T8896" s="7">
        <v>694.92600000000004</v>
      </c>
      <c r="U8896" s="5">
        <v>12.7</v>
      </c>
      <c r="V8896" s="6">
        <v>4.07</v>
      </c>
      <c r="W8896" s="6">
        <v>50.03</v>
      </c>
      <c r="X8896" s="6">
        <v>47.46</v>
      </c>
      <c r="Y8896" s="6">
        <v>53.91</v>
      </c>
      <c r="Z8896" s="6">
        <v>53.37</v>
      </c>
      <c r="AA8896" s="6">
        <v>127.02</v>
      </c>
      <c r="AB8896" s="7">
        <v>12.461</v>
      </c>
      <c r="AC8896" s="8">
        <v>1486</v>
      </c>
    </row>
    <row r="8897" spans="1:29" ht="156" x14ac:dyDescent="0.15">
      <c r="A8897" s="3">
        <f>DATE(2007,12,17)</f>
        <v>39433</v>
      </c>
      <c r="B8897" s="3">
        <f>DATE(2008,6,9)</f>
        <v>39608</v>
      </c>
      <c r="C8897" s="2" t="s">
        <v>95</v>
      </c>
      <c r="D8897" s="2" t="s">
        <v>26332</v>
      </c>
      <c r="E8897" s="2" t="s">
        <v>159</v>
      </c>
      <c r="F8897" s="4">
        <v>6021</v>
      </c>
      <c r="G8897" s="2" t="s">
        <v>37</v>
      </c>
      <c r="H8897" s="2" t="s">
        <v>34</v>
      </c>
      <c r="I8897" s="2" t="s">
        <v>19847</v>
      </c>
      <c r="J8897" s="2" t="s">
        <v>36</v>
      </c>
      <c r="K8897" s="2" t="s">
        <v>37</v>
      </c>
      <c r="L8897" s="2" t="s">
        <v>34</v>
      </c>
      <c r="M8897" s="7">
        <v>759.86900000000003</v>
      </c>
      <c r="N8897" s="6">
        <v>28.63</v>
      </c>
      <c r="O8897" s="6">
        <v>29.65</v>
      </c>
      <c r="P8897" s="2" t="s">
        <v>26333</v>
      </c>
      <c r="Q8897" s="6">
        <v>100</v>
      </c>
      <c r="R8897" s="6">
        <v>31</v>
      </c>
      <c r="S8897" s="5">
        <v>7.8</v>
      </c>
      <c r="T8897" s="7">
        <v>10.632</v>
      </c>
      <c r="U8897" s="5">
        <v>10.7</v>
      </c>
      <c r="V8897" s="6">
        <v>1.31</v>
      </c>
      <c r="W8897" s="6">
        <v>18.05</v>
      </c>
      <c r="X8897" s="6">
        <v>19.190000000000001</v>
      </c>
      <c r="Y8897" s="5">
        <v>27.8</v>
      </c>
      <c r="Z8897" s="6">
        <v>28.57</v>
      </c>
      <c r="AA8897" s="6">
        <v>5.85</v>
      </c>
      <c r="AB8897" s="7">
        <v>31.120999999999999</v>
      </c>
      <c r="AC8897" s="2"/>
    </row>
    <row r="8898" spans="1:29" ht="143" x14ac:dyDescent="0.15">
      <c r="A8898" s="3">
        <f>DATE(2007,12,17)</f>
        <v>39433</v>
      </c>
      <c r="B8898" s="3">
        <f>DATE(2008,6,5)</f>
        <v>39604</v>
      </c>
      <c r="C8898" s="2" t="s">
        <v>95</v>
      </c>
      <c r="D8898" s="2" t="s">
        <v>26334</v>
      </c>
      <c r="E8898" s="2" t="s">
        <v>9108</v>
      </c>
      <c r="F8898" s="4">
        <v>3585</v>
      </c>
      <c r="G8898" s="2" t="s">
        <v>300</v>
      </c>
      <c r="H8898" s="2" t="s">
        <v>34</v>
      </c>
      <c r="I8898" s="2" t="s">
        <v>26335</v>
      </c>
      <c r="J8898" s="2" t="s">
        <v>26336</v>
      </c>
      <c r="K8898" s="2" t="s">
        <v>300</v>
      </c>
      <c r="L8898" s="2" t="s">
        <v>34</v>
      </c>
      <c r="M8898" s="12">
        <v>13109.237999999999</v>
      </c>
      <c r="N8898" s="5">
        <v>43.6</v>
      </c>
      <c r="O8898" s="6">
        <v>44.27</v>
      </c>
      <c r="P8898" s="2" t="s">
        <v>26337</v>
      </c>
      <c r="Q8898" s="6">
        <v>100</v>
      </c>
      <c r="R8898" s="6">
        <v>47.81</v>
      </c>
      <c r="S8898" s="5">
        <v>451.9</v>
      </c>
      <c r="T8898" s="5">
        <v>997.9</v>
      </c>
      <c r="U8898" s="5">
        <v>2.6</v>
      </c>
      <c r="V8898" s="9">
        <v>2.0243000000000002</v>
      </c>
      <c r="W8898" s="6">
        <v>37.08</v>
      </c>
      <c r="X8898" s="5">
        <v>37.200000000000003</v>
      </c>
      <c r="Y8898" s="6">
        <v>45.24</v>
      </c>
      <c r="Z8898" s="5">
        <v>45.5</v>
      </c>
      <c r="AA8898" s="6">
        <v>192.59</v>
      </c>
      <c r="AB8898" s="7">
        <v>14.863</v>
      </c>
      <c r="AC8898" s="5">
        <v>438.7</v>
      </c>
    </row>
    <row r="8899" spans="1:29" ht="78" x14ac:dyDescent="0.15">
      <c r="A8899" s="3">
        <f>DATE(2007,12,18)</f>
        <v>39434</v>
      </c>
      <c r="B8899" s="3">
        <f>DATE(2008,2,20)</f>
        <v>39498</v>
      </c>
      <c r="C8899" s="2" t="s">
        <v>95</v>
      </c>
      <c r="D8899" s="2" t="s">
        <v>26338</v>
      </c>
      <c r="E8899" s="2" t="s">
        <v>849</v>
      </c>
      <c r="F8899" s="4">
        <v>7372</v>
      </c>
      <c r="G8899" s="2" t="s">
        <v>551</v>
      </c>
      <c r="H8899" s="2" t="s">
        <v>34</v>
      </c>
      <c r="I8899" s="2" t="s">
        <v>12628</v>
      </c>
      <c r="J8899" s="2" t="s">
        <v>12629</v>
      </c>
      <c r="K8899" s="2" t="s">
        <v>137</v>
      </c>
      <c r="L8899" s="2" t="s">
        <v>2105</v>
      </c>
      <c r="M8899" s="12">
        <v>46530.078999999998</v>
      </c>
      <c r="N8899" s="7">
        <v>43.228000000000002</v>
      </c>
      <c r="O8899" s="7">
        <v>43.703000000000003</v>
      </c>
      <c r="P8899" s="2" t="s">
        <v>26339</v>
      </c>
      <c r="Q8899" s="6">
        <v>100</v>
      </c>
      <c r="R8899" s="6">
        <v>12</v>
      </c>
      <c r="S8899" s="5">
        <v>8.9</v>
      </c>
      <c r="T8899" s="7">
        <v>8.641</v>
      </c>
      <c r="U8899" s="5">
        <v>3.5</v>
      </c>
      <c r="V8899" s="6">
        <v>0.25</v>
      </c>
      <c r="W8899" s="6">
        <v>7.87</v>
      </c>
      <c r="X8899" s="6">
        <v>8.86</v>
      </c>
      <c r="Y8899" s="6">
        <v>11.77</v>
      </c>
      <c r="Z8899" s="6">
        <v>11.76</v>
      </c>
      <c r="AA8899" s="6">
        <v>33.15</v>
      </c>
      <c r="AB8899" s="7">
        <v>39.676000000000002</v>
      </c>
      <c r="AC8899" s="10">
        <v>7364.74</v>
      </c>
    </row>
    <row r="8900" spans="1:29" ht="78" x14ac:dyDescent="0.15">
      <c r="A8900" s="3">
        <f>DATE(2007,12,19)</f>
        <v>39435</v>
      </c>
      <c r="B8900" s="3">
        <f>DATE(2008,2,29)</f>
        <v>39507</v>
      </c>
      <c r="C8900" s="2" t="s">
        <v>95</v>
      </c>
      <c r="D8900" s="2" t="s">
        <v>24915</v>
      </c>
      <c r="E8900" s="2" t="s">
        <v>24916</v>
      </c>
      <c r="F8900" s="4">
        <v>6141</v>
      </c>
      <c r="G8900" s="2" t="s">
        <v>370</v>
      </c>
      <c r="H8900" s="2" t="s">
        <v>34</v>
      </c>
      <c r="I8900" s="2" t="s">
        <v>4138</v>
      </c>
      <c r="J8900" s="2" t="s">
        <v>658</v>
      </c>
      <c r="K8900" s="2" t="s">
        <v>551</v>
      </c>
      <c r="L8900" s="2" t="s">
        <v>34</v>
      </c>
      <c r="M8900" s="12">
        <v>9652.1119999999992</v>
      </c>
      <c r="N8900" s="6">
        <v>30.09</v>
      </c>
      <c r="O8900" s="6">
        <v>30.43</v>
      </c>
      <c r="P8900" s="2" t="s">
        <v>26340</v>
      </c>
      <c r="Q8900" s="6">
        <v>100</v>
      </c>
      <c r="R8900" s="6">
        <v>17</v>
      </c>
      <c r="S8900" s="5">
        <v>-2.4</v>
      </c>
      <c r="T8900" s="7">
        <v>4.5350000000000001</v>
      </c>
      <c r="U8900" s="5">
        <v>3.2</v>
      </c>
      <c r="V8900" s="6">
        <v>-0.35</v>
      </c>
      <c r="W8900" s="6">
        <v>9.4499999999999993</v>
      </c>
      <c r="X8900" s="6">
        <v>7.73</v>
      </c>
      <c r="Y8900" s="5">
        <v>7.9</v>
      </c>
      <c r="Z8900" s="6">
        <v>16.59</v>
      </c>
      <c r="AA8900" s="6">
        <v>7.03</v>
      </c>
      <c r="AB8900" s="7">
        <v>3412.9349999999999</v>
      </c>
      <c r="AC8900" s="10">
        <v>1003.45</v>
      </c>
    </row>
    <row r="8901" spans="1:29" ht="130" x14ac:dyDescent="0.15">
      <c r="A8901" s="3">
        <f>DATE(2007,12,20)</f>
        <v>39436</v>
      </c>
      <c r="B8901" s="3">
        <f>DATE(2007,12,31)</f>
        <v>39447</v>
      </c>
      <c r="C8901" s="2" t="s">
        <v>95</v>
      </c>
      <c r="D8901" s="2" t="s">
        <v>25776</v>
      </c>
      <c r="E8901" s="2" t="s">
        <v>8974</v>
      </c>
      <c r="F8901" s="4">
        <v>1041</v>
      </c>
      <c r="G8901" s="2" t="s">
        <v>166</v>
      </c>
      <c r="H8901" s="2" t="s">
        <v>34</v>
      </c>
      <c r="I8901" s="2" t="s">
        <v>25777</v>
      </c>
      <c r="J8901" s="2" t="s">
        <v>1248</v>
      </c>
      <c r="K8901" s="2" t="s">
        <v>166</v>
      </c>
      <c r="L8901" s="2" t="s">
        <v>902</v>
      </c>
      <c r="M8901" s="12">
        <v>4539.3530000000001</v>
      </c>
      <c r="N8901" s="7">
        <v>11.609</v>
      </c>
      <c r="O8901" s="6">
        <v>12.38</v>
      </c>
      <c r="P8901" s="2" t="s">
        <v>26341</v>
      </c>
      <c r="Q8901" s="6">
        <v>10.73</v>
      </c>
      <c r="R8901" s="6">
        <v>33.68</v>
      </c>
      <c r="S8901" s="5">
        <v>40.799999999999997</v>
      </c>
      <c r="T8901" s="7">
        <v>153.96199999999999</v>
      </c>
      <c r="U8901" s="5">
        <v>3.7</v>
      </c>
      <c r="V8901" s="9">
        <v>0.39629999999999999</v>
      </c>
      <c r="W8901" s="6">
        <v>35.44</v>
      </c>
      <c r="X8901" s="6">
        <v>33.520000000000003</v>
      </c>
      <c r="Y8901" s="6">
        <v>33.049999999999997</v>
      </c>
      <c r="Z8901" s="6">
        <v>34.909999999999997</v>
      </c>
      <c r="AA8901" s="6">
        <v>101.15</v>
      </c>
      <c r="AB8901" s="2" t="s">
        <v>47</v>
      </c>
      <c r="AC8901" s="6">
        <v>76.25</v>
      </c>
    </row>
    <row r="8902" spans="1:29" ht="117" x14ac:dyDescent="0.15">
      <c r="A8902" s="3">
        <f>DATE(2007,12,21)</f>
        <v>39437</v>
      </c>
      <c r="B8902" s="3">
        <f>DATE(2008,6,9)</f>
        <v>39608</v>
      </c>
      <c r="C8902" s="2" t="s">
        <v>95</v>
      </c>
      <c r="D8902" s="2" t="s">
        <v>26342</v>
      </c>
      <c r="E8902" s="2" t="s">
        <v>26343</v>
      </c>
      <c r="F8902" s="4">
        <v>7373</v>
      </c>
      <c r="G8902" s="2" t="s">
        <v>223</v>
      </c>
      <c r="H8902" s="2" t="s">
        <v>34</v>
      </c>
      <c r="I8902" s="2" t="s">
        <v>22312</v>
      </c>
      <c r="J8902" s="2" t="s">
        <v>22313</v>
      </c>
      <c r="K8902" s="2" t="s">
        <v>223</v>
      </c>
      <c r="L8902" s="2" t="s">
        <v>34</v>
      </c>
      <c r="M8902" s="2"/>
      <c r="N8902" s="2"/>
      <c r="O8902" s="2"/>
      <c r="P8902" s="2" t="s">
        <v>26344</v>
      </c>
      <c r="Q8902" s="6">
        <v>100</v>
      </c>
      <c r="R8902" s="6">
        <v>24</v>
      </c>
      <c r="S8902" s="5">
        <v>13.6</v>
      </c>
      <c r="T8902" s="7">
        <v>38.436999999999998</v>
      </c>
      <c r="U8902" s="5">
        <v>12.4</v>
      </c>
      <c r="V8902" s="6">
        <v>0.89</v>
      </c>
      <c r="W8902" s="5">
        <v>16.5</v>
      </c>
      <c r="X8902" s="6">
        <v>17.05</v>
      </c>
      <c r="Y8902" s="6">
        <v>17.78</v>
      </c>
      <c r="Z8902" s="5">
        <v>23.5</v>
      </c>
      <c r="AA8902" s="6">
        <v>15.15</v>
      </c>
      <c r="AB8902" s="7">
        <v>15.598000000000001</v>
      </c>
      <c r="AC8902" s="2"/>
    </row>
    <row r="8903" spans="1:29" ht="156" x14ac:dyDescent="0.15">
      <c r="A8903" s="3">
        <f>DATE(2007,12,21)</f>
        <v>39437</v>
      </c>
      <c r="B8903" s="3">
        <f>DATE(2008,3,14)</f>
        <v>39521</v>
      </c>
      <c r="C8903" s="2" t="s">
        <v>95</v>
      </c>
      <c r="D8903" s="2" t="s">
        <v>10926</v>
      </c>
      <c r="E8903" s="2" t="s">
        <v>10927</v>
      </c>
      <c r="F8903" s="4">
        <v>3845</v>
      </c>
      <c r="G8903" s="2" t="s">
        <v>226</v>
      </c>
      <c r="H8903" s="2" t="s">
        <v>34</v>
      </c>
      <c r="I8903" s="2" t="s">
        <v>12628</v>
      </c>
      <c r="J8903" s="2" t="s">
        <v>12629</v>
      </c>
      <c r="K8903" s="2" t="s">
        <v>137</v>
      </c>
      <c r="L8903" s="2" t="s">
        <v>2105</v>
      </c>
      <c r="M8903" s="12">
        <v>46713.108</v>
      </c>
      <c r="N8903" s="7">
        <v>43.298999999999999</v>
      </c>
      <c r="O8903" s="7">
        <v>43.478000000000002</v>
      </c>
      <c r="P8903" s="2" t="s">
        <v>26345</v>
      </c>
      <c r="Q8903" s="6">
        <v>100</v>
      </c>
      <c r="R8903" s="6">
        <v>66</v>
      </c>
      <c r="S8903" s="5">
        <v>127.7</v>
      </c>
      <c r="T8903" s="7">
        <v>241.399</v>
      </c>
      <c r="U8903" s="5">
        <v>13.2</v>
      </c>
      <c r="V8903" s="6">
        <v>1.73</v>
      </c>
      <c r="W8903" s="6">
        <v>52.11</v>
      </c>
      <c r="X8903" s="6">
        <v>53.11</v>
      </c>
      <c r="Y8903" s="6">
        <v>65.319999999999993</v>
      </c>
      <c r="Z8903" s="6">
        <v>65.34</v>
      </c>
      <c r="AA8903" s="6">
        <v>81.040000000000006</v>
      </c>
      <c r="AB8903" s="7">
        <v>26.622</v>
      </c>
      <c r="AC8903" s="10">
        <v>7364.74</v>
      </c>
    </row>
    <row r="8904" spans="1:29" ht="78" x14ac:dyDescent="0.15">
      <c r="A8904" s="3">
        <f>DATE(2007,12,22)</f>
        <v>39438</v>
      </c>
      <c r="B8904" s="3">
        <f>DATE(2008,10,6)</f>
        <v>39727</v>
      </c>
      <c r="C8904" s="2" t="s">
        <v>95</v>
      </c>
      <c r="D8904" s="2" t="s">
        <v>22509</v>
      </c>
      <c r="E8904" s="2" t="s">
        <v>22510</v>
      </c>
      <c r="F8904" s="4">
        <v>7841</v>
      </c>
      <c r="G8904" s="2" t="s">
        <v>42</v>
      </c>
      <c r="H8904" s="2" t="s">
        <v>34</v>
      </c>
      <c r="I8904" s="2" t="s">
        <v>1526</v>
      </c>
      <c r="J8904" s="2" t="s">
        <v>302</v>
      </c>
      <c r="K8904" s="2" t="s">
        <v>53</v>
      </c>
      <c r="L8904" s="2" t="s">
        <v>34</v>
      </c>
      <c r="M8904" s="2"/>
      <c r="N8904" s="2"/>
      <c r="O8904" s="2"/>
      <c r="P8904" s="2" t="s">
        <v>26346</v>
      </c>
      <c r="Q8904" s="6">
        <v>100</v>
      </c>
      <c r="R8904" s="2"/>
      <c r="S8904" s="5">
        <v>-646.5</v>
      </c>
      <c r="T8904" s="7">
        <v>-252.95599999999999</v>
      </c>
      <c r="U8904" s="5">
        <v>-27.7</v>
      </c>
      <c r="V8904" s="6">
        <v>-20.11</v>
      </c>
      <c r="W8904" s="6">
        <v>4.99</v>
      </c>
      <c r="X8904" s="5">
        <v>4.4000000000000004</v>
      </c>
      <c r="Y8904" s="5">
        <v>4.4000000000000004</v>
      </c>
      <c r="Z8904" s="5">
        <v>4.2</v>
      </c>
      <c r="AA8904" s="6">
        <v>32.92</v>
      </c>
      <c r="AB8904" s="2" t="s">
        <v>86</v>
      </c>
      <c r="AC8904" s="2"/>
    </row>
    <row r="8905" spans="1:29" ht="91" x14ac:dyDescent="0.15">
      <c r="A8905" s="3">
        <f>DATE(2007,12,27)</f>
        <v>39443</v>
      </c>
      <c r="B8905" s="3">
        <f>DATE(2008,3,6)</f>
        <v>39513</v>
      </c>
      <c r="C8905" s="2" t="s">
        <v>95</v>
      </c>
      <c r="D8905" s="2" t="s">
        <v>26347</v>
      </c>
      <c r="E8905" s="2" t="s">
        <v>13601</v>
      </c>
      <c r="F8905" s="4">
        <v>7372</v>
      </c>
      <c r="G8905" s="2" t="s">
        <v>551</v>
      </c>
      <c r="H8905" s="2" t="s">
        <v>34</v>
      </c>
      <c r="I8905" s="2" t="s">
        <v>15063</v>
      </c>
      <c r="J8905" s="2" t="s">
        <v>15064</v>
      </c>
      <c r="K8905" s="2" t="s">
        <v>50</v>
      </c>
      <c r="L8905" s="2" t="s">
        <v>34</v>
      </c>
      <c r="M8905" s="12">
        <v>40831.455999999998</v>
      </c>
      <c r="N8905" s="5">
        <v>18.5</v>
      </c>
      <c r="O8905" s="6">
        <v>18.440000000000001</v>
      </c>
      <c r="P8905" s="2" t="s">
        <v>26348</v>
      </c>
      <c r="Q8905" s="6">
        <v>100</v>
      </c>
      <c r="R8905" s="6">
        <v>14.75</v>
      </c>
      <c r="S8905" s="5">
        <v>-1.8</v>
      </c>
      <c r="T8905" s="7">
        <v>-0.40200000000000002</v>
      </c>
      <c r="U8905" s="5">
        <v>0.9</v>
      </c>
      <c r="V8905" s="6">
        <v>-0.43</v>
      </c>
      <c r="W8905" s="6">
        <v>8.39</v>
      </c>
      <c r="X8905" s="7">
        <v>8.2349999999999994</v>
      </c>
      <c r="Y8905" s="6">
        <v>14.49</v>
      </c>
      <c r="Z8905" s="6">
        <v>14.49</v>
      </c>
      <c r="AA8905" s="6">
        <v>4.0199999999999996</v>
      </c>
      <c r="AB8905" s="2" t="s">
        <v>86</v>
      </c>
      <c r="AC8905" s="10">
        <v>5827.94</v>
      </c>
    </row>
    <row r="8906" spans="1:29" ht="143" x14ac:dyDescent="0.15">
      <c r="A8906" s="3">
        <f>DATE(2007,12,31)</f>
        <v>39447</v>
      </c>
      <c r="B8906" s="2"/>
      <c r="C8906" s="2" t="s">
        <v>30</v>
      </c>
      <c r="D8906" s="2" t="s">
        <v>26349</v>
      </c>
      <c r="E8906" s="2" t="s">
        <v>18348</v>
      </c>
      <c r="F8906" s="4">
        <v>1311</v>
      </c>
      <c r="G8906" s="2" t="s">
        <v>148</v>
      </c>
      <c r="H8906" s="2" t="s">
        <v>34</v>
      </c>
      <c r="I8906" s="2" t="s">
        <v>26350</v>
      </c>
      <c r="J8906" s="2" t="s">
        <v>11337</v>
      </c>
      <c r="K8906" s="2" t="s">
        <v>53</v>
      </c>
      <c r="L8906" s="2" t="s">
        <v>25873</v>
      </c>
      <c r="M8906" s="2"/>
      <c r="N8906" s="2"/>
      <c r="O8906" s="2"/>
      <c r="P8906" s="2" t="s">
        <v>26351</v>
      </c>
      <c r="Q8906" s="2"/>
      <c r="R8906" s="6">
        <v>3</v>
      </c>
      <c r="S8906" s="5">
        <v>-57.7</v>
      </c>
      <c r="T8906" s="7">
        <v>-0.80500000000000005</v>
      </c>
      <c r="U8906" s="5">
        <v>-0.1</v>
      </c>
      <c r="V8906" s="6">
        <v>-0.67</v>
      </c>
      <c r="W8906" s="6">
        <v>1.78</v>
      </c>
      <c r="X8906" s="6">
        <v>1.82</v>
      </c>
      <c r="Y8906" s="6">
        <v>2.0099999999999998</v>
      </c>
      <c r="Z8906" s="6">
        <v>2.04</v>
      </c>
      <c r="AA8906" s="6">
        <v>116.33</v>
      </c>
      <c r="AB8906" s="2" t="s">
        <v>86</v>
      </c>
      <c r="AC8906" s="2"/>
    </row>
    <row r="8907" spans="1:29" ht="104" x14ac:dyDescent="0.15">
      <c r="A8907" s="3">
        <f>DATE(2008,1,3)</f>
        <v>39450</v>
      </c>
      <c r="B8907" s="3">
        <f>DATE(2008,4,30)</f>
        <v>39568</v>
      </c>
      <c r="C8907" s="2" t="s">
        <v>95</v>
      </c>
      <c r="D8907" s="2" t="s">
        <v>26352</v>
      </c>
      <c r="E8907" s="2" t="s">
        <v>13752</v>
      </c>
      <c r="F8907" s="4">
        <v>6331</v>
      </c>
      <c r="G8907" s="2" t="s">
        <v>125</v>
      </c>
      <c r="H8907" s="2" t="s">
        <v>34</v>
      </c>
      <c r="I8907" s="2" t="s">
        <v>26353</v>
      </c>
      <c r="J8907" s="2" t="s">
        <v>9851</v>
      </c>
      <c r="K8907" s="2" t="s">
        <v>125</v>
      </c>
      <c r="L8907" s="2" t="s">
        <v>34</v>
      </c>
      <c r="M8907" s="2"/>
      <c r="N8907" s="2"/>
      <c r="O8907" s="2"/>
      <c r="P8907" s="2" t="s">
        <v>26354</v>
      </c>
      <c r="Q8907" s="6">
        <v>100</v>
      </c>
      <c r="R8907" s="6">
        <v>16</v>
      </c>
      <c r="S8907" s="5">
        <v>10.3</v>
      </c>
      <c r="T8907" s="7">
        <v>10.555</v>
      </c>
      <c r="U8907" s="5">
        <v>10.8</v>
      </c>
      <c r="V8907" s="6">
        <v>0.51</v>
      </c>
      <c r="W8907" s="6">
        <v>10.94</v>
      </c>
      <c r="X8907" s="6">
        <v>10.65</v>
      </c>
      <c r="Y8907" s="6">
        <v>10.58</v>
      </c>
      <c r="Z8907" s="7">
        <v>15.439</v>
      </c>
      <c r="AA8907" s="6">
        <v>8.92</v>
      </c>
      <c r="AB8907" s="7">
        <v>13.926</v>
      </c>
      <c r="AC8907" s="2"/>
    </row>
    <row r="8908" spans="1:29" ht="143" x14ac:dyDescent="0.15">
      <c r="A8908" s="3">
        <f>DATE(2008,1,7)</f>
        <v>39454</v>
      </c>
      <c r="B8908" s="3">
        <f>DATE(2008,4,1)</f>
        <v>39539</v>
      </c>
      <c r="C8908" s="2" t="s">
        <v>95</v>
      </c>
      <c r="D8908" s="2" t="s">
        <v>26355</v>
      </c>
      <c r="E8908" s="2" t="s">
        <v>26356</v>
      </c>
      <c r="F8908" s="4">
        <v>2491</v>
      </c>
      <c r="G8908" s="2" t="s">
        <v>250</v>
      </c>
      <c r="H8908" s="2" t="s">
        <v>34</v>
      </c>
      <c r="I8908" s="2" t="s">
        <v>26357</v>
      </c>
      <c r="J8908" s="2" t="s">
        <v>26358</v>
      </c>
      <c r="K8908" s="2" t="s">
        <v>250</v>
      </c>
      <c r="L8908" s="2" t="s">
        <v>902</v>
      </c>
      <c r="M8908" s="6">
        <v>524.29</v>
      </c>
      <c r="N8908" s="7">
        <v>39.134</v>
      </c>
      <c r="O8908" s="7">
        <v>39.332999999999998</v>
      </c>
      <c r="P8908" s="2" t="s">
        <v>26359</v>
      </c>
      <c r="Q8908" s="6">
        <v>100</v>
      </c>
      <c r="R8908" s="6">
        <v>47.78</v>
      </c>
      <c r="S8908" s="2"/>
      <c r="T8908" s="2"/>
      <c r="U8908" s="2"/>
      <c r="V8908" s="2"/>
      <c r="W8908" s="5">
        <v>37.5</v>
      </c>
      <c r="X8908" s="5">
        <v>37.5</v>
      </c>
      <c r="Y8908" s="5">
        <v>43.5</v>
      </c>
      <c r="Z8908" s="5">
        <v>43.5</v>
      </c>
      <c r="AA8908" s="6">
        <v>0.82</v>
      </c>
      <c r="AB8908" s="2" t="s">
        <v>47</v>
      </c>
      <c r="AC8908" s="2"/>
    </row>
    <row r="8909" spans="1:29" ht="91" x14ac:dyDescent="0.15">
      <c r="A8909" s="3">
        <f>DATE(2008,1,7)</f>
        <v>39454</v>
      </c>
      <c r="B8909" s="2"/>
      <c r="C8909" s="2" t="s">
        <v>39</v>
      </c>
      <c r="D8909" s="2" t="s">
        <v>17278</v>
      </c>
      <c r="E8909" s="2" t="s">
        <v>17279</v>
      </c>
      <c r="F8909" s="4">
        <v>3571</v>
      </c>
      <c r="G8909" s="2" t="s">
        <v>50</v>
      </c>
      <c r="H8909" s="2" t="s">
        <v>34</v>
      </c>
      <c r="I8909" s="2" t="s">
        <v>51</v>
      </c>
      <c r="J8909" s="2" t="s">
        <v>52</v>
      </c>
      <c r="K8909" s="2" t="s">
        <v>53</v>
      </c>
      <c r="L8909" s="2" t="s">
        <v>34</v>
      </c>
      <c r="M8909" s="2"/>
      <c r="N8909" s="2"/>
      <c r="O8909" s="2"/>
      <c r="P8909" s="2" t="s">
        <v>26360</v>
      </c>
      <c r="Q8909" s="2"/>
      <c r="R8909" s="2"/>
      <c r="S8909" s="5">
        <v>196.2</v>
      </c>
      <c r="T8909" s="7">
        <v>56.829000000000001</v>
      </c>
      <c r="U8909" s="5">
        <v>3.3</v>
      </c>
      <c r="V8909" s="6">
        <v>1.29</v>
      </c>
      <c r="W8909" s="6">
        <v>9.14</v>
      </c>
      <c r="X8909" s="6">
        <v>8.56</v>
      </c>
      <c r="Y8909" s="6">
        <v>8.44</v>
      </c>
      <c r="Z8909" s="6">
        <v>8.44</v>
      </c>
      <c r="AA8909" s="6">
        <v>151.97</v>
      </c>
      <c r="AB8909" s="2" t="s">
        <v>47</v>
      </c>
      <c r="AC8909" s="2"/>
    </row>
    <row r="8910" spans="1:29" ht="130" x14ac:dyDescent="0.15">
      <c r="A8910" s="3">
        <f>DATE(2008,1,8)</f>
        <v>39455</v>
      </c>
      <c r="B8910" s="3">
        <f>DATE(2008,7,18)</f>
        <v>39647</v>
      </c>
      <c r="C8910" s="2" t="s">
        <v>95</v>
      </c>
      <c r="D8910" s="2" t="s">
        <v>26361</v>
      </c>
      <c r="E8910" s="2" t="s">
        <v>14447</v>
      </c>
      <c r="F8910" s="4">
        <v>6035</v>
      </c>
      <c r="G8910" s="2" t="s">
        <v>33</v>
      </c>
      <c r="H8910" s="2" t="s">
        <v>34</v>
      </c>
      <c r="I8910" s="2" t="s">
        <v>17016</v>
      </c>
      <c r="J8910" s="2" t="s">
        <v>17017</v>
      </c>
      <c r="K8910" s="2" t="s">
        <v>33</v>
      </c>
      <c r="L8910" s="2" t="s">
        <v>34</v>
      </c>
      <c r="M8910" s="5">
        <v>68.599999999999994</v>
      </c>
      <c r="N8910" s="6">
        <v>13.35</v>
      </c>
      <c r="O8910" s="4">
        <v>13</v>
      </c>
      <c r="P8910" s="2" t="s">
        <v>26362</v>
      </c>
      <c r="Q8910" s="6">
        <v>100</v>
      </c>
      <c r="R8910" s="6">
        <v>41</v>
      </c>
      <c r="S8910" s="5">
        <v>2.4</v>
      </c>
      <c r="T8910" s="7">
        <v>4.0140000000000002</v>
      </c>
      <c r="U8910" s="5">
        <v>31.1</v>
      </c>
      <c r="V8910" s="6">
        <v>1.78</v>
      </c>
      <c r="W8910" s="6">
        <v>26.26</v>
      </c>
      <c r="X8910" s="6">
        <v>26.26</v>
      </c>
      <c r="Y8910" s="6">
        <v>26.26</v>
      </c>
      <c r="Z8910" s="6">
        <v>34.18</v>
      </c>
      <c r="AA8910" s="6">
        <v>1.31</v>
      </c>
      <c r="AB8910" s="7">
        <v>68.394999999999996</v>
      </c>
      <c r="AC8910" s="2"/>
    </row>
    <row r="8911" spans="1:29" ht="143" x14ac:dyDescent="0.15">
      <c r="A8911" s="3">
        <f>DATE(2008,1,9)</f>
        <v>39456</v>
      </c>
      <c r="B8911" s="3">
        <f>DATE(2008,5,30)</f>
        <v>39598</v>
      </c>
      <c r="C8911" s="2" t="s">
        <v>95</v>
      </c>
      <c r="D8911" s="2" t="s">
        <v>26363</v>
      </c>
      <c r="E8911" s="2" t="s">
        <v>159</v>
      </c>
      <c r="F8911" s="4">
        <v>6021</v>
      </c>
      <c r="G8911" s="2" t="s">
        <v>37</v>
      </c>
      <c r="H8911" s="2" t="s">
        <v>34</v>
      </c>
      <c r="I8911" s="2" t="s">
        <v>26364</v>
      </c>
      <c r="J8911" s="2" t="s">
        <v>36</v>
      </c>
      <c r="K8911" s="2" t="s">
        <v>37</v>
      </c>
      <c r="L8911" s="2" t="s">
        <v>34</v>
      </c>
      <c r="M8911" s="7">
        <v>130.41499999999999</v>
      </c>
      <c r="N8911" s="6">
        <v>11.12</v>
      </c>
      <c r="O8911" s="4">
        <v>10</v>
      </c>
      <c r="P8911" s="2" t="s">
        <v>26365</v>
      </c>
      <c r="Q8911" s="6">
        <v>100</v>
      </c>
      <c r="R8911" s="6">
        <v>22</v>
      </c>
      <c r="S8911" s="5">
        <v>2.7</v>
      </c>
      <c r="T8911" s="7">
        <v>4.6120000000000001</v>
      </c>
      <c r="U8911" s="5">
        <v>11.1</v>
      </c>
      <c r="V8911" s="6">
        <v>1.08</v>
      </c>
      <c r="W8911" s="5">
        <v>12.1</v>
      </c>
      <c r="X8911" s="5">
        <v>12.1</v>
      </c>
      <c r="Y8911" s="4">
        <v>18</v>
      </c>
      <c r="Z8911" s="5">
        <v>18.3</v>
      </c>
      <c r="AA8911" s="6">
        <v>2.5</v>
      </c>
      <c r="AB8911" s="7">
        <v>24.491</v>
      </c>
      <c r="AC8911" s="2"/>
    </row>
    <row r="8912" spans="1:29" ht="104" x14ac:dyDescent="0.15">
      <c r="A8912" s="3">
        <f>DATE(2008,1,10)</f>
        <v>39457</v>
      </c>
      <c r="B8912" s="3">
        <f>DATE(2008,10,31)</f>
        <v>39752</v>
      </c>
      <c r="C8912" s="2" t="s">
        <v>95</v>
      </c>
      <c r="D8912" s="2" t="s">
        <v>26366</v>
      </c>
      <c r="E8912" s="2" t="s">
        <v>5499</v>
      </c>
      <c r="F8912" s="4">
        <v>6331</v>
      </c>
      <c r="G8912" s="2" t="s">
        <v>125</v>
      </c>
      <c r="H8912" s="2" t="s">
        <v>34</v>
      </c>
      <c r="I8912" s="2" t="s">
        <v>26367</v>
      </c>
      <c r="J8912" s="2" t="s">
        <v>26368</v>
      </c>
      <c r="K8912" s="2" t="s">
        <v>125</v>
      </c>
      <c r="L8912" s="2" t="s">
        <v>34</v>
      </c>
      <c r="M8912" s="7">
        <v>901.03800000000001</v>
      </c>
      <c r="N8912" s="6">
        <v>17.809999999999999</v>
      </c>
      <c r="O8912" s="6">
        <v>17.43</v>
      </c>
      <c r="P8912" s="2" t="s">
        <v>26369</v>
      </c>
      <c r="Q8912" s="6">
        <v>100</v>
      </c>
      <c r="R8912" s="6">
        <v>12.15</v>
      </c>
      <c r="S8912" s="5">
        <v>15.8</v>
      </c>
      <c r="T8912" s="7">
        <v>30.576000000000001</v>
      </c>
      <c r="U8912" s="5">
        <v>10.7</v>
      </c>
      <c r="V8912" s="6">
        <v>1.02</v>
      </c>
      <c r="W8912" s="6">
        <v>8.86</v>
      </c>
      <c r="X8912" s="6">
        <v>8.68</v>
      </c>
      <c r="Y8912" s="6">
        <v>8.75</v>
      </c>
      <c r="Z8912" s="6">
        <v>12.01</v>
      </c>
      <c r="AA8912" s="6">
        <v>15.4</v>
      </c>
      <c r="AB8912" s="7">
        <v>7.2640000000000002</v>
      </c>
      <c r="AC8912" s="6">
        <v>152.66</v>
      </c>
    </row>
    <row r="8913" spans="1:29" ht="65" x14ac:dyDescent="0.15">
      <c r="A8913" s="3">
        <f>DATE(2008,1,10)</f>
        <v>39457</v>
      </c>
      <c r="B8913" s="2"/>
      <c r="C8913" s="2" t="s">
        <v>87</v>
      </c>
      <c r="D8913" s="2" t="s">
        <v>26370</v>
      </c>
      <c r="E8913" s="2" t="s">
        <v>17263</v>
      </c>
      <c r="F8913" s="4">
        <v>7361</v>
      </c>
      <c r="G8913" s="2" t="s">
        <v>223</v>
      </c>
      <c r="H8913" s="2" t="s">
        <v>34</v>
      </c>
      <c r="I8913" s="2" t="s">
        <v>22609</v>
      </c>
      <c r="J8913" s="2" t="s">
        <v>398</v>
      </c>
      <c r="K8913" s="2" t="s">
        <v>42</v>
      </c>
      <c r="L8913" s="2" t="s">
        <v>34</v>
      </c>
      <c r="M8913" s="12">
        <v>44287.292999999998</v>
      </c>
      <c r="N8913" s="6">
        <v>19.48</v>
      </c>
      <c r="O8913" s="6">
        <v>19.11</v>
      </c>
      <c r="P8913" s="2" t="s">
        <v>26371</v>
      </c>
      <c r="Q8913" s="2"/>
      <c r="R8913" s="2"/>
      <c r="S8913" s="5">
        <v>146.4</v>
      </c>
      <c r="T8913" s="7">
        <v>303.08699999999999</v>
      </c>
      <c r="U8913" s="5">
        <v>9</v>
      </c>
      <c r="V8913" s="6">
        <v>1.1299999999999999</v>
      </c>
      <c r="W8913" s="6">
        <v>28.93</v>
      </c>
      <c r="X8913" s="6">
        <v>29.06</v>
      </c>
      <c r="Y8913" s="6">
        <v>29.12</v>
      </c>
      <c r="Z8913" s="6">
        <v>28.71</v>
      </c>
      <c r="AA8913" s="6">
        <v>123.16</v>
      </c>
      <c r="AB8913" s="2" t="s">
        <v>47</v>
      </c>
      <c r="AC8913" s="8">
        <v>3495</v>
      </c>
    </row>
    <row r="8914" spans="1:29" ht="156" x14ac:dyDescent="0.15">
      <c r="A8914" s="3">
        <f>DATE(2008,1,11)</f>
        <v>39458</v>
      </c>
      <c r="B8914" s="3">
        <f>DATE(2008,7,1)</f>
        <v>39630</v>
      </c>
      <c r="C8914" s="2" t="s">
        <v>95</v>
      </c>
      <c r="D8914" s="2" t="s">
        <v>26372</v>
      </c>
      <c r="E8914" s="2" t="s">
        <v>26373</v>
      </c>
      <c r="F8914" s="4">
        <v>6035</v>
      </c>
      <c r="G8914" s="2" t="s">
        <v>33</v>
      </c>
      <c r="H8914" s="2" t="s">
        <v>34</v>
      </c>
      <c r="I8914" s="2" t="s">
        <v>21344</v>
      </c>
      <c r="J8914" s="2" t="s">
        <v>21345</v>
      </c>
      <c r="K8914" s="2" t="s">
        <v>37</v>
      </c>
      <c r="L8914" s="2" t="s">
        <v>34</v>
      </c>
      <c r="M8914" s="12">
        <v>187119.49299999999</v>
      </c>
      <c r="N8914" s="5">
        <v>38.5</v>
      </c>
      <c r="O8914" s="6">
        <v>39.22</v>
      </c>
      <c r="P8914" s="2" t="s">
        <v>26374</v>
      </c>
      <c r="Q8914" s="6">
        <v>100</v>
      </c>
      <c r="R8914" s="6">
        <v>7.16</v>
      </c>
      <c r="S8914" s="5">
        <v>-703.5</v>
      </c>
      <c r="T8914" s="12">
        <v>1521.154</v>
      </c>
      <c r="U8914" s="5">
        <v>21.9</v>
      </c>
      <c r="V8914" s="6">
        <v>-2.0299999999999998</v>
      </c>
      <c r="W8914" s="6">
        <v>8.77</v>
      </c>
      <c r="X8914" s="6">
        <v>5.12</v>
      </c>
      <c r="Y8914" s="6">
        <v>7.75</v>
      </c>
      <c r="Z8914" s="6">
        <v>6.33</v>
      </c>
      <c r="AA8914" s="6">
        <v>578.70000000000005</v>
      </c>
      <c r="AB8914" s="7">
        <v>92.765000000000001</v>
      </c>
      <c r="AC8914" s="2"/>
    </row>
    <row r="8915" spans="1:29" ht="130" x14ac:dyDescent="0.15">
      <c r="A8915" s="3">
        <f>DATE(2008,1,14)</f>
        <v>39461</v>
      </c>
      <c r="B8915" s="3">
        <f>DATE(2008,3,4)</f>
        <v>39511</v>
      </c>
      <c r="C8915" s="2" t="s">
        <v>95</v>
      </c>
      <c r="D8915" s="2" t="s">
        <v>13014</v>
      </c>
      <c r="E8915" s="2" t="s">
        <v>26375</v>
      </c>
      <c r="F8915" s="4">
        <v>3531</v>
      </c>
      <c r="G8915" s="2" t="s">
        <v>300</v>
      </c>
      <c r="H8915" s="2" t="s">
        <v>34</v>
      </c>
      <c r="I8915" s="2" t="s">
        <v>19054</v>
      </c>
      <c r="J8915" s="2" t="s">
        <v>19055</v>
      </c>
      <c r="K8915" s="2" t="s">
        <v>300</v>
      </c>
      <c r="L8915" s="2" t="s">
        <v>34</v>
      </c>
      <c r="M8915" s="10">
        <v>6248.34</v>
      </c>
      <c r="N8915" s="6">
        <v>56.74</v>
      </c>
      <c r="O8915" s="6">
        <v>55.24</v>
      </c>
      <c r="P8915" s="2" t="s">
        <v>26376</v>
      </c>
      <c r="Q8915" s="6">
        <v>100</v>
      </c>
      <c r="R8915" s="6">
        <v>18</v>
      </c>
      <c r="S8915" s="5">
        <v>11.3</v>
      </c>
      <c r="T8915" s="7">
        <v>18.901</v>
      </c>
      <c r="U8915" s="5">
        <v>6.9</v>
      </c>
      <c r="V8915" s="6">
        <v>0.42</v>
      </c>
      <c r="W8915" s="6">
        <v>12.17</v>
      </c>
      <c r="X8915" s="6">
        <v>12.29</v>
      </c>
      <c r="Y8915" s="6">
        <v>17.79</v>
      </c>
      <c r="Z8915" s="6">
        <v>17.78</v>
      </c>
      <c r="AA8915" s="6">
        <v>26.72</v>
      </c>
      <c r="AB8915" s="7">
        <v>29.225000000000001</v>
      </c>
      <c r="AC8915" s="8">
        <v>1272.4000000000001</v>
      </c>
    </row>
    <row r="8916" spans="1:29" ht="104" x14ac:dyDescent="0.15">
      <c r="A8916" s="3">
        <f>DATE(2008,1,14)</f>
        <v>39461</v>
      </c>
      <c r="B8916" s="3">
        <f>DATE(2008,5,28)</f>
        <v>39596</v>
      </c>
      <c r="C8916" s="2" t="s">
        <v>95</v>
      </c>
      <c r="D8916" s="2" t="s">
        <v>26377</v>
      </c>
      <c r="E8916" s="2" t="s">
        <v>23525</v>
      </c>
      <c r="F8916" s="4">
        <v>8351</v>
      </c>
      <c r="G8916" s="2" t="s">
        <v>690</v>
      </c>
      <c r="H8916" s="2" t="s">
        <v>34</v>
      </c>
      <c r="I8916" s="2" t="s">
        <v>25774</v>
      </c>
      <c r="J8916" s="2" t="s">
        <v>244</v>
      </c>
      <c r="K8916" s="2" t="s">
        <v>53</v>
      </c>
      <c r="L8916" s="2" t="s">
        <v>34</v>
      </c>
      <c r="M8916" s="2"/>
      <c r="N8916" s="2"/>
      <c r="O8916" s="2"/>
      <c r="P8916" s="2" t="s">
        <v>26378</v>
      </c>
      <c r="Q8916" s="6">
        <v>100</v>
      </c>
      <c r="R8916" s="6">
        <v>48.25</v>
      </c>
      <c r="S8916" s="5">
        <v>39.1</v>
      </c>
      <c r="T8916" s="7">
        <v>103.676</v>
      </c>
      <c r="U8916" s="5">
        <v>10.3</v>
      </c>
      <c r="V8916" s="6">
        <v>1.45</v>
      </c>
      <c r="W8916" s="5">
        <v>34.700000000000003</v>
      </c>
      <c r="X8916" s="6">
        <v>32.79</v>
      </c>
      <c r="Y8916" s="6">
        <v>44.86</v>
      </c>
      <c r="Z8916" s="6">
        <v>44.93</v>
      </c>
      <c r="AA8916" s="6">
        <v>26.28</v>
      </c>
      <c r="AB8916" s="7">
        <v>16.603999999999999</v>
      </c>
      <c r="AC8916" s="2"/>
    </row>
    <row r="8917" spans="1:29" ht="156" x14ac:dyDescent="0.15">
      <c r="A8917" s="3">
        <f>DATE(2008,1,14)</f>
        <v>39461</v>
      </c>
      <c r="B8917" s="3">
        <f>DATE(2008,7,1)</f>
        <v>39630</v>
      </c>
      <c r="C8917" s="2" t="s">
        <v>95</v>
      </c>
      <c r="D8917" s="2" t="s">
        <v>13985</v>
      </c>
      <c r="E8917" s="2" t="s">
        <v>13986</v>
      </c>
      <c r="F8917" s="4">
        <v>1041</v>
      </c>
      <c r="G8917" s="2" t="s">
        <v>166</v>
      </c>
      <c r="H8917" s="2" t="s">
        <v>34</v>
      </c>
      <c r="I8917" s="2" t="s">
        <v>26379</v>
      </c>
      <c r="J8917" s="2" t="s">
        <v>8974</v>
      </c>
      <c r="K8917" s="2" t="s">
        <v>166</v>
      </c>
      <c r="L8917" s="2" t="s">
        <v>17069</v>
      </c>
      <c r="M8917" s="12">
        <v>12036.035</v>
      </c>
      <c r="N8917" s="7">
        <v>51.142000000000003</v>
      </c>
      <c r="O8917" s="7">
        <v>49.146999999999998</v>
      </c>
      <c r="P8917" s="2" t="s">
        <v>26380</v>
      </c>
      <c r="Q8917" s="6">
        <v>100</v>
      </c>
      <c r="R8917" s="6">
        <v>13.51</v>
      </c>
      <c r="S8917" s="5">
        <v>-0.7</v>
      </c>
      <c r="T8917" s="7">
        <v>-0.86799999999999999</v>
      </c>
      <c r="U8917" s="5">
        <v>0.1</v>
      </c>
      <c r="V8917" s="6">
        <v>-0.08</v>
      </c>
      <c r="W8917" s="7">
        <v>10.218</v>
      </c>
      <c r="X8917" s="5">
        <v>10.5</v>
      </c>
      <c r="Y8917" s="5">
        <v>14.2</v>
      </c>
      <c r="Z8917" s="6">
        <v>13.52</v>
      </c>
      <c r="AA8917" s="6">
        <v>9.77</v>
      </c>
      <c r="AB8917" s="2" t="s">
        <v>86</v>
      </c>
      <c r="AC8917" s="10">
        <v>1043.68</v>
      </c>
    </row>
    <row r="8918" spans="1:29" ht="52" x14ac:dyDescent="0.15">
      <c r="A8918" s="3">
        <f t="shared" ref="A8918:A8923" si="172">DATE(2008,1,15)</f>
        <v>39462</v>
      </c>
      <c r="B8918" s="3">
        <f>DATE(2008,7,1)</f>
        <v>39630</v>
      </c>
      <c r="C8918" s="2" t="s">
        <v>95</v>
      </c>
      <c r="D8918" s="2" t="s">
        <v>26381</v>
      </c>
      <c r="E8918" s="2" t="s">
        <v>26382</v>
      </c>
      <c r="F8918" s="4">
        <v>3691</v>
      </c>
      <c r="G8918" s="2" t="s">
        <v>137</v>
      </c>
      <c r="H8918" s="2" t="s">
        <v>34</v>
      </c>
      <c r="I8918" s="2" t="s">
        <v>26383</v>
      </c>
      <c r="J8918" s="2" t="s">
        <v>26384</v>
      </c>
      <c r="K8918" s="2" t="s">
        <v>53</v>
      </c>
      <c r="L8918" s="2" t="s">
        <v>34</v>
      </c>
      <c r="M8918" s="2"/>
      <c r="N8918" s="2"/>
      <c r="O8918" s="2"/>
      <c r="P8918" s="2" t="s">
        <v>26385</v>
      </c>
      <c r="Q8918" s="6">
        <v>51.96</v>
      </c>
      <c r="R8918" s="2"/>
      <c r="S8918" s="5">
        <v>-6.2</v>
      </c>
      <c r="T8918" s="7">
        <v>-5.7869999999999999</v>
      </c>
      <c r="U8918" s="5">
        <v>-553254.30000000005</v>
      </c>
      <c r="V8918" s="4">
        <v>-653495</v>
      </c>
      <c r="W8918" s="4">
        <v>2</v>
      </c>
      <c r="X8918" s="6">
        <v>2.15</v>
      </c>
      <c r="Y8918" s="5">
        <v>2.1</v>
      </c>
      <c r="Z8918" s="6">
        <v>2.15</v>
      </c>
      <c r="AA8918" s="6">
        <v>16.5</v>
      </c>
      <c r="AB8918" s="2" t="s">
        <v>47</v>
      </c>
      <c r="AC8918" s="2"/>
    </row>
    <row r="8919" spans="1:29" ht="91" x14ac:dyDescent="0.15">
      <c r="A8919" s="3">
        <f t="shared" si="172"/>
        <v>39462</v>
      </c>
      <c r="B8919" s="3">
        <f>DATE(2008,7,18)</f>
        <v>39647</v>
      </c>
      <c r="C8919" s="2" t="s">
        <v>95</v>
      </c>
      <c r="D8919" s="2" t="s">
        <v>18334</v>
      </c>
      <c r="E8919" s="2" t="s">
        <v>5499</v>
      </c>
      <c r="F8919" s="4">
        <v>6311</v>
      </c>
      <c r="G8919" s="2" t="s">
        <v>125</v>
      </c>
      <c r="H8919" s="2" t="s">
        <v>34</v>
      </c>
      <c r="I8919" s="2" t="s">
        <v>26386</v>
      </c>
      <c r="J8919" s="2" t="s">
        <v>26387</v>
      </c>
      <c r="K8919" s="2" t="s">
        <v>125</v>
      </c>
      <c r="L8919" s="2" t="s">
        <v>34</v>
      </c>
      <c r="M8919" s="2"/>
      <c r="N8919" s="2"/>
      <c r="O8919" s="2"/>
      <c r="P8919" s="2" t="s">
        <v>26388</v>
      </c>
      <c r="Q8919" s="6">
        <v>100</v>
      </c>
      <c r="R8919" s="6">
        <v>7.25</v>
      </c>
      <c r="S8919" s="5">
        <v>3.6</v>
      </c>
      <c r="T8919" s="7">
        <v>6.7130000000000001</v>
      </c>
      <c r="U8919" s="5">
        <v>6.8</v>
      </c>
      <c r="V8919" s="6">
        <v>0.35</v>
      </c>
      <c r="W8919" s="5">
        <v>5.5</v>
      </c>
      <c r="X8919" s="6">
        <v>5.55</v>
      </c>
      <c r="Y8919" s="6">
        <v>6.75</v>
      </c>
      <c r="Z8919" s="6">
        <v>6.75</v>
      </c>
      <c r="AA8919" s="6">
        <v>10.26</v>
      </c>
      <c r="AB8919" s="7">
        <v>7.3570000000000002</v>
      </c>
      <c r="AC8919" s="2"/>
    </row>
    <row r="8920" spans="1:29" ht="169" x14ac:dyDescent="0.15">
      <c r="A8920" s="3">
        <f t="shared" si="172"/>
        <v>39462</v>
      </c>
      <c r="B8920" s="3">
        <f>DATE(2008,3,21)</f>
        <v>39528</v>
      </c>
      <c r="C8920" s="2" t="s">
        <v>95</v>
      </c>
      <c r="D8920" s="2" t="s">
        <v>26389</v>
      </c>
      <c r="E8920" s="2" t="s">
        <v>26390</v>
      </c>
      <c r="F8920" s="4">
        <v>3843</v>
      </c>
      <c r="G8920" s="2" t="s">
        <v>226</v>
      </c>
      <c r="H8920" s="2" t="s">
        <v>34</v>
      </c>
      <c r="I8920" s="2" t="s">
        <v>24383</v>
      </c>
      <c r="J8920" s="2" t="s">
        <v>244</v>
      </c>
      <c r="K8920" s="2" t="s">
        <v>53</v>
      </c>
      <c r="L8920" s="2" t="s">
        <v>34</v>
      </c>
      <c r="M8920" s="2"/>
      <c r="N8920" s="2"/>
      <c r="O8920" s="2"/>
      <c r="P8920" s="2" t="s">
        <v>26391</v>
      </c>
      <c r="Q8920" s="6">
        <v>100</v>
      </c>
      <c r="R8920" s="6">
        <v>17</v>
      </c>
      <c r="S8920" s="5">
        <v>7.7</v>
      </c>
      <c r="T8920" s="5">
        <v>13.1</v>
      </c>
      <c r="U8920" s="5">
        <v>6.8</v>
      </c>
      <c r="V8920" s="6">
        <v>0.56000000000000005</v>
      </c>
      <c r="W8920" s="5">
        <v>13.4</v>
      </c>
      <c r="X8920" s="6">
        <v>12.84</v>
      </c>
      <c r="Y8920" s="6">
        <v>16.760000000000002</v>
      </c>
      <c r="Z8920" s="6">
        <v>16.72</v>
      </c>
      <c r="AA8920" s="6">
        <v>13.48</v>
      </c>
      <c r="AB8920" s="7">
        <v>18.564</v>
      </c>
      <c r="AC8920" s="2"/>
    </row>
    <row r="8921" spans="1:29" ht="117" x14ac:dyDescent="0.15">
      <c r="A8921" s="3">
        <f t="shared" si="172"/>
        <v>39462</v>
      </c>
      <c r="B8921" s="3">
        <f>DATE(2008,4,1)</f>
        <v>39539</v>
      </c>
      <c r="C8921" s="2" t="s">
        <v>95</v>
      </c>
      <c r="D8921" s="2" t="s">
        <v>24932</v>
      </c>
      <c r="E8921" s="2" t="s">
        <v>24933</v>
      </c>
      <c r="F8921" s="4">
        <v>7372</v>
      </c>
      <c r="G8921" s="2" t="s">
        <v>551</v>
      </c>
      <c r="H8921" s="2" t="s">
        <v>34</v>
      </c>
      <c r="I8921" s="2" t="s">
        <v>26392</v>
      </c>
      <c r="J8921" s="2" t="s">
        <v>244</v>
      </c>
      <c r="K8921" s="2" t="s">
        <v>53</v>
      </c>
      <c r="L8921" s="2" t="s">
        <v>34</v>
      </c>
      <c r="M8921" s="2"/>
      <c r="N8921" s="2"/>
      <c r="O8921" s="2"/>
      <c r="P8921" s="2" t="s">
        <v>26393</v>
      </c>
      <c r="Q8921" s="6">
        <v>100</v>
      </c>
      <c r="R8921" s="6">
        <v>12</v>
      </c>
      <c r="S8921" s="5">
        <v>1.3</v>
      </c>
      <c r="T8921" s="7">
        <v>4.5490000000000004</v>
      </c>
      <c r="U8921" s="5">
        <v>5</v>
      </c>
      <c r="V8921" s="6">
        <v>0.25</v>
      </c>
      <c r="W8921" s="5">
        <v>8.6999999999999993</v>
      </c>
      <c r="X8921" s="5">
        <v>8.8000000000000007</v>
      </c>
      <c r="Y8921" s="6">
        <v>11.62</v>
      </c>
      <c r="Z8921" s="5">
        <v>11.6</v>
      </c>
      <c r="AA8921" s="6">
        <v>5.1100000000000003</v>
      </c>
      <c r="AB8921" s="7">
        <v>41.377000000000002</v>
      </c>
      <c r="AC8921" s="2"/>
    </row>
    <row r="8922" spans="1:29" ht="104" x14ac:dyDescent="0.15">
      <c r="A8922" s="3">
        <f t="shared" si="172"/>
        <v>39462</v>
      </c>
      <c r="B8922" s="2"/>
      <c r="C8922" s="2" t="s">
        <v>30</v>
      </c>
      <c r="D8922" s="2" t="s">
        <v>12634</v>
      </c>
      <c r="E8922" s="2" t="s">
        <v>26394</v>
      </c>
      <c r="F8922" s="4">
        <v>6162</v>
      </c>
      <c r="G8922" s="2" t="s">
        <v>109</v>
      </c>
      <c r="H8922" s="2" t="s">
        <v>34</v>
      </c>
      <c r="I8922" s="2" t="s">
        <v>51</v>
      </c>
      <c r="J8922" s="2" t="s">
        <v>52</v>
      </c>
      <c r="K8922" s="2" t="s">
        <v>53</v>
      </c>
      <c r="L8922" s="2" t="s">
        <v>34</v>
      </c>
      <c r="M8922" s="2"/>
      <c r="N8922" s="2"/>
      <c r="O8922" s="2"/>
      <c r="P8922" s="2" t="s">
        <v>26395</v>
      </c>
      <c r="Q8922" s="2"/>
      <c r="R8922" s="6">
        <v>7</v>
      </c>
      <c r="S8922" s="5">
        <v>38.6</v>
      </c>
      <c r="T8922" s="7">
        <v>71.686000000000007</v>
      </c>
      <c r="U8922" s="5">
        <v>9.4</v>
      </c>
      <c r="V8922" s="6">
        <v>0.62</v>
      </c>
      <c r="W8922" s="6">
        <v>4.3099999999999996</v>
      </c>
      <c r="X8922" s="6">
        <v>3.98</v>
      </c>
      <c r="Y8922" s="6">
        <v>6.09</v>
      </c>
      <c r="Z8922" s="6">
        <v>6.16</v>
      </c>
      <c r="AA8922" s="6">
        <v>62.53</v>
      </c>
      <c r="AB8922" s="7">
        <v>13.093</v>
      </c>
      <c r="AC8922" s="2"/>
    </row>
    <row r="8923" spans="1:29" ht="104" x14ac:dyDescent="0.15">
      <c r="A8923" s="3">
        <f t="shared" si="172"/>
        <v>39462</v>
      </c>
      <c r="B8923" s="3">
        <f>DATE(2008,3,5)</f>
        <v>39512</v>
      </c>
      <c r="C8923" s="2" t="s">
        <v>95</v>
      </c>
      <c r="D8923" s="2" t="s">
        <v>26396</v>
      </c>
      <c r="E8923" s="2" t="s">
        <v>26397</v>
      </c>
      <c r="F8923" s="4">
        <v>8082</v>
      </c>
      <c r="G8923" s="2" t="s">
        <v>454</v>
      </c>
      <c r="H8923" s="2" t="s">
        <v>34</v>
      </c>
      <c r="I8923" s="2" t="s">
        <v>26398</v>
      </c>
      <c r="J8923" s="2" t="s">
        <v>25000</v>
      </c>
      <c r="K8923" s="2" t="s">
        <v>454</v>
      </c>
      <c r="L8923" s="2" t="s">
        <v>34</v>
      </c>
      <c r="M8923" s="7">
        <v>336.23500000000001</v>
      </c>
      <c r="N8923" s="6">
        <v>8.44</v>
      </c>
      <c r="O8923" s="5">
        <v>8.9</v>
      </c>
      <c r="P8923" s="2" t="s">
        <v>26399</v>
      </c>
      <c r="Q8923" s="6">
        <v>100</v>
      </c>
      <c r="R8923" s="6">
        <v>8.6</v>
      </c>
      <c r="S8923" s="5">
        <v>-6.3</v>
      </c>
      <c r="T8923" s="7">
        <v>-1.1259999999999999</v>
      </c>
      <c r="U8923" s="5">
        <v>4.4000000000000004</v>
      </c>
      <c r="V8923" s="6">
        <v>-0.38</v>
      </c>
      <c r="W8923" s="6">
        <v>7.31</v>
      </c>
      <c r="X8923" s="6">
        <v>7.16</v>
      </c>
      <c r="Y8923" s="7">
        <v>7.0119999999999996</v>
      </c>
      <c r="Z8923" s="5">
        <v>8.3000000000000007</v>
      </c>
      <c r="AA8923" s="6">
        <v>16.87</v>
      </c>
      <c r="AB8923" s="2" t="s">
        <v>86</v>
      </c>
      <c r="AC8923" s="6">
        <v>62.18</v>
      </c>
    </row>
    <row r="8924" spans="1:29" ht="91" x14ac:dyDescent="0.15">
      <c r="A8924" s="3">
        <f>DATE(2008,1,18)</f>
        <v>39465</v>
      </c>
      <c r="B8924" s="2"/>
      <c r="C8924" s="2" t="s">
        <v>30</v>
      </c>
      <c r="D8924" s="2" t="s">
        <v>10140</v>
      </c>
      <c r="E8924" s="2" t="s">
        <v>207</v>
      </c>
      <c r="F8924" s="4">
        <v>3674</v>
      </c>
      <c r="G8924" s="2" t="s">
        <v>137</v>
      </c>
      <c r="H8924" s="2" t="s">
        <v>34</v>
      </c>
      <c r="I8924" s="2" t="s">
        <v>26400</v>
      </c>
      <c r="J8924" s="2" t="s">
        <v>26401</v>
      </c>
      <c r="K8924" s="2" t="s">
        <v>137</v>
      </c>
      <c r="L8924" s="2" t="s">
        <v>34</v>
      </c>
      <c r="M8924" s="7">
        <v>517.04300000000001</v>
      </c>
      <c r="N8924" s="6">
        <v>23.24</v>
      </c>
      <c r="O8924" s="6">
        <v>23.24</v>
      </c>
      <c r="P8924" s="2" t="s">
        <v>26402</v>
      </c>
      <c r="Q8924" s="2"/>
      <c r="R8924" s="6">
        <v>4.5</v>
      </c>
      <c r="S8924" s="5">
        <v>-10.9</v>
      </c>
      <c r="T8924" s="5">
        <v>-3.1</v>
      </c>
      <c r="U8924" s="5">
        <v>1.7</v>
      </c>
      <c r="V8924" s="6">
        <v>-0.64</v>
      </c>
      <c r="W8924" s="6">
        <v>2.93</v>
      </c>
      <c r="X8924" s="6">
        <v>2.69</v>
      </c>
      <c r="Y8924" s="5">
        <v>3.3</v>
      </c>
      <c r="Z8924" s="6">
        <v>3.12</v>
      </c>
      <c r="AA8924" s="6">
        <v>16.86</v>
      </c>
      <c r="AB8924" s="2" t="s">
        <v>86</v>
      </c>
      <c r="AC8924" s="6">
        <v>86.61</v>
      </c>
    </row>
    <row r="8925" spans="1:29" ht="65" x14ac:dyDescent="0.15">
      <c r="A8925" s="3">
        <f>DATE(2008,1,23)</f>
        <v>39470</v>
      </c>
      <c r="B8925" s="2"/>
      <c r="C8925" s="2" t="s">
        <v>87</v>
      </c>
      <c r="D8925" s="2" t="s">
        <v>6973</v>
      </c>
      <c r="E8925" s="2" t="s">
        <v>6974</v>
      </c>
      <c r="F8925" s="4">
        <v>3674</v>
      </c>
      <c r="G8925" s="2" t="s">
        <v>137</v>
      </c>
      <c r="H8925" s="2" t="s">
        <v>34</v>
      </c>
      <c r="I8925" s="2" t="s">
        <v>5443</v>
      </c>
      <c r="J8925" s="2" t="s">
        <v>5444</v>
      </c>
      <c r="K8925" s="2" t="s">
        <v>50</v>
      </c>
      <c r="L8925" s="2" t="s">
        <v>34</v>
      </c>
      <c r="M8925" s="12">
        <v>153724.68900000001</v>
      </c>
      <c r="N8925" s="5">
        <v>106.1</v>
      </c>
      <c r="O8925" s="6">
        <v>106.91</v>
      </c>
      <c r="P8925" s="2" t="s">
        <v>26403</v>
      </c>
      <c r="Q8925" s="2"/>
      <c r="R8925" s="2"/>
      <c r="S8925" s="8">
        <v>-3379</v>
      </c>
      <c r="T8925" s="5">
        <v>76</v>
      </c>
      <c r="U8925" s="5">
        <v>4.9000000000000004</v>
      </c>
      <c r="V8925" s="6">
        <v>-6.06</v>
      </c>
      <c r="W8925" s="6">
        <v>6.57</v>
      </c>
      <c r="X8925" s="6">
        <v>6.83</v>
      </c>
      <c r="Y8925" s="6">
        <v>7.56</v>
      </c>
      <c r="Z8925" s="6">
        <v>7.58</v>
      </c>
      <c r="AA8925" s="6">
        <v>554.57000000000005</v>
      </c>
      <c r="AB8925" s="2" t="s">
        <v>86</v>
      </c>
      <c r="AC8925" s="8">
        <v>16146</v>
      </c>
    </row>
    <row r="8926" spans="1:29" ht="117" x14ac:dyDescent="0.15">
      <c r="A8926" s="3">
        <f>DATE(2008,1,23)</f>
        <v>39470</v>
      </c>
      <c r="B8926" s="2"/>
      <c r="C8926" s="2" t="s">
        <v>30</v>
      </c>
      <c r="D8926" s="2" t="s">
        <v>10241</v>
      </c>
      <c r="E8926" s="2" t="s">
        <v>92</v>
      </c>
      <c r="F8926" s="4">
        <v>6798</v>
      </c>
      <c r="G8926" s="2" t="s">
        <v>53</v>
      </c>
      <c r="H8926" s="2" t="s">
        <v>34</v>
      </c>
      <c r="I8926" s="2" t="s">
        <v>51</v>
      </c>
      <c r="J8926" s="2" t="s">
        <v>52</v>
      </c>
      <c r="K8926" s="2" t="s">
        <v>53</v>
      </c>
      <c r="L8926" s="2" t="s">
        <v>902</v>
      </c>
      <c r="M8926" s="2"/>
      <c r="N8926" s="2"/>
      <c r="O8926" s="2"/>
      <c r="P8926" s="2" t="s">
        <v>26404</v>
      </c>
      <c r="Q8926" s="2"/>
      <c r="R8926" s="6">
        <v>47</v>
      </c>
      <c r="S8926" s="5">
        <v>114.2</v>
      </c>
      <c r="T8926" s="7">
        <v>83.656000000000006</v>
      </c>
      <c r="U8926" s="5">
        <v>22</v>
      </c>
      <c r="V8926" s="6">
        <v>2.41</v>
      </c>
      <c r="W8926" s="6">
        <v>32.17</v>
      </c>
      <c r="X8926" s="6">
        <v>35.770000000000003</v>
      </c>
      <c r="Y8926" s="6">
        <v>41.45</v>
      </c>
      <c r="Z8926" s="6">
        <v>41.68</v>
      </c>
      <c r="AA8926" s="6">
        <v>43.71</v>
      </c>
      <c r="AB8926" s="7">
        <v>198.971</v>
      </c>
      <c r="AC8926" s="2"/>
    </row>
    <row r="8927" spans="1:29" ht="182" x14ac:dyDescent="0.15">
      <c r="A8927" s="3">
        <f>DATE(2008,1,24)</f>
        <v>39471</v>
      </c>
      <c r="B8927" s="2"/>
      <c r="C8927" s="2" t="s">
        <v>30</v>
      </c>
      <c r="D8927" s="2" t="s">
        <v>26405</v>
      </c>
      <c r="E8927" s="2" t="s">
        <v>26406</v>
      </c>
      <c r="F8927" s="4">
        <v>1381</v>
      </c>
      <c r="G8927" s="2" t="s">
        <v>148</v>
      </c>
      <c r="H8927" s="2" t="s">
        <v>34</v>
      </c>
      <c r="I8927" s="2" t="s">
        <v>26407</v>
      </c>
      <c r="J8927" s="2" t="s">
        <v>26408</v>
      </c>
      <c r="K8927" s="2" t="s">
        <v>148</v>
      </c>
      <c r="L8927" s="2" t="s">
        <v>34</v>
      </c>
      <c r="M8927" s="7">
        <v>522.93499999999995</v>
      </c>
      <c r="N8927" s="6">
        <v>11.32</v>
      </c>
      <c r="O8927" s="6">
        <v>12.02</v>
      </c>
      <c r="P8927" s="2" t="s">
        <v>26409</v>
      </c>
      <c r="Q8927" s="2"/>
      <c r="R8927" s="2"/>
      <c r="S8927" s="5">
        <v>34.4</v>
      </c>
      <c r="T8927" s="7">
        <v>101.11799999999999</v>
      </c>
      <c r="U8927" s="5">
        <v>15.4</v>
      </c>
      <c r="V8927" s="6">
        <v>1.31</v>
      </c>
      <c r="W8927" s="5">
        <v>13.6</v>
      </c>
      <c r="X8927" s="6">
        <v>13.41</v>
      </c>
      <c r="Y8927" s="6">
        <v>15.64</v>
      </c>
      <c r="Z8927" s="5">
        <v>15.7</v>
      </c>
      <c r="AA8927" s="6">
        <v>26.03</v>
      </c>
      <c r="AB8927" s="2" t="s">
        <v>47</v>
      </c>
      <c r="AC8927" s="6">
        <v>10.25</v>
      </c>
    </row>
    <row r="8928" spans="1:29" ht="143" x14ac:dyDescent="0.15">
      <c r="A8928" s="3">
        <f>DATE(2008,1,28)</f>
        <v>39475</v>
      </c>
      <c r="B8928" s="2"/>
      <c r="C8928" s="2" t="s">
        <v>30</v>
      </c>
      <c r="D8928" s="2" t="s">
        <v>25029</v>
      </c>
      <c r="E8928" s="2" t="s">
        <v>25030</v>
      </c>
      <c r="F8928" s="4">
        <v>5812</v>
      </c>
      <c r="G8928" s="2" t="s">
        <v>230</v>
      </c>
      <c r="H8928" s="2" t="s">
        <v>34</v>
      </c>
      <c r="I8928" s="2" t="s">
        <v>26410</v>
      </c>
      <c r="J8928" s="2" t="s">
        <v>11337</v>
      </c>
      <c r="K8928" s="2" t="s">
        <v>53</v>
      </c>
      <c r="L8928" s="2" t="s">
        <v>34</v>
      </c>
      <c r="M8928" s="2"/>
      <c r="N8928" s="2"/>
      <c r="O8928" s="2"/>
      <c r="P8928" s="2" t="s">
        <v>26411</v>
      </c>
      <c r="Q8928" s="2"/>
      <c r="R8928" s="6">
        <v>13.5</v>
      </c>
      <c r="S8928" s="5">
        <v>-8.3000000000000007</v>
      </c>
      <c r="T8928" s="7">
        <v>192.167</v>
      </c>
      <c r="U8928" s="5">
        <v>19.5</v>
      </c>
      <c r="V8928" s="6">
        <v>0.6</v>
      </c>
      <c r="W8928" s="6">
        <v>14.79</v>
      </c>
      <c r="X8928" s="6">
        <v>16.670000000000002</v>
      </c>
      <c r="Y8928" s="6">
        <v>20.45</v>
      </c>
      <c r="Z8928" s="5">
        <v>19.7</v>
      </c>
      <c r="AA8928" s="6">
        <v>16.149999999999999</v>
      </c>
      <c r="AB8928" s="7">
        <v>8.6270000000000007</v>
      </c>
      <c r="AC8928" s="2"/>
    </row>
    <row r="8929" spans="1:29" ht="117" x14ac:dyDescent="0.15">
      <c r="A8929" s="3">
        <f>DATE(2008,1,28)</f>
        <v>39475</v>
      </c>
      <c r="B8929" s="3">
        <f>DATE(2008,5,9)</f>
        <v>39577</v>
      </c>
      <c r="C8929" s="2" t="s">
        <v>95</v>
      </c>
      <c r="D8929" s="2" t="s">
        <v>26412</v>
      </c>
      <c r="E8929" s="2" t="s">
        <v>26413</v>
      </c>
      <c r="F8929" s="4">
        <v>8099</v>
      </c>
      <c r="G8929" s="2" t="s">
        <v>454</v>
      </c>
      <c r="H8929" s="2" t="s">
        <v>34</v>
      </c>
      <c r="I8929" s="2" t="s">
        <v>20285</v>
      </c>
      <c r="J8929" s="2" t="s">
        <v>20286</v>
      </c>
      <c r="K8929" s="2" t="s">
        <v>130</v>
      </c>
      <c r="L8929" s="2" t="s">
        <v>34</v>
      </c>
      <c r="M8929" s="10">
        <v>3118.14</v>
      </c>
      <c r="N8929" s="6">
        <v>47.97</v>
      </c>
      <c r="O8929" s="5">
        <v>48.1</v>
      </c>
      <c r="P8929" s="2" t="s">
        <v>26414</v>
      </c>
      <c r="Q8929" s="6">
        <v>100</v>
      </c>
      <c r="R8929" s="6">
        <v>39</v>
      </c>
      <c r="S8929" s="5">
        <v>21.1</v>
      </c>
      <c r="T8929" s="7">
        <v>79.337999999999994</v>
      </c>
      <c r="U8929" s="5">
        <v>16.5</v>
      </c>
      <c r="V8929" s="6">
        <v>0.96</v>
      </c>
      <c r="W8929" s="6">
        <v>30.07</v>
      </c>
      <c r="X8929" s="6">
        <v>30.69</v>
      </c>
      <c r="Y8929" s="6">
        <v>30.67</v>
      </c>
      <c r="Z8929" s="6">
        <v>30.74</v>
      </c>
      <c r="AA8929" s="6">
        <v>21.42</v>
      </c>
      <c r="AB8929" s="7">
        <v>19.649000000000001</v>
      </c>
      <c r="AC8929" s="6">
        <v>559.15</v>
      </c>
    </row>
    <row r="8930" spans="1:29" ht="234" x14ac:dyDescent="0.15">
      <c r="A8930" s="3">
        <f>DATE(2008,1,28)</f>
        <v>39475</v>
      </c>
      <c r="B8930" s="3">
        <f>DATE(2008,8,22)</f>
        <v>39682</v>
      </c>
      <c r="C8930" s="2" t="s">
        <v>95</v>
      </c>
      <c r="D8930" s="2" t="s">
        <v>26415</v>
      </c>
      <c r="E8930" s="2" t="s">
        <v>26416</v>
      </c>
      <c r="F8930" s="4">
        <v>6231</v>
      </c>
      <c r="G8930" s="2" t="s">
        <v>53</v>
      </c>
      <c r="H8930" s="2" t="s">
        <v>34</v>
      </c>
      <c r="I8930" s="2" t="s">
        <v>26417</v>
      </c>
      <c r="J8930" s="2" t="s">
        <v>26418</v>
      </c>
      <c r="K8930" s="2" t="s">
        <v>53</v>
      </c>
      <c r="L8930" s="2" t="s">
        <v>34</v>
      </c>
      <c r="M8930" s="12">
        <v>36523.737000000001</v>
      </c>
      <c r="N8930" s="4">
        <v>625</v>
      </c>
      <c r="O8930" s="4">
        <v>617</v>
      </c>
      <c r="P8930" s="2" t="s">
        <v>26419</v>
      </c>
      <c r="Q8930" s="6">
        <v>100</v>
      </c>
      <c r="R8930" s="6">
        <v>81.349999999999994</v>
      </c>
      <c r="S8930" s="5">
        <v>291.60000000000002</v>
      </c>
      <c r="T8930" s="7">
        <v>468.221</v>
      </c>
      <c r="U8930" s="5">
        <v>11</v>
      </c>
      <c r="V8930" s="6">
        <v>3.07</v>
      </c>
      <c r="W8930" s="6">
        <v>126.72</v>
      </c>
      <c r="X8930" s="6">
        <v>115.82</v>
      </c>
      <c r="Y8930" s="6">
        <v>118.78</v>
      </c>
      <c r="Z8930" s="6">
        <v>126.06</v>
      </c>
      <c r="AA8930" s="6">
        <v>92.87</v>
      </c>
      <c r="AB8930" s="7">
        <v>14.577</v>
      </c>
      <c r="AC8930" s="10">
        <v>2177.69</v>
      </c>
    </row>
    <row r="8931" spans="1:29" ht="52" x14ac:dyDescent="0.15">
      <c r="A8931" s="3">
        <f>DATE(2008,1,28)</f>
        <v>39475</v>
      </c>
      <c r="B8931" s="3">
        <f>DATE(2008,3,7)</f>
        <v>39514</v>
      </c>
      <c r="C8931" s="2" t="s">
        <v>95</v>
      </c>
      <c r="D8931" s="2" t="s">
        <v>26127</v>
      </c>
      <c r="E8931" s="2" t="s">
        <v>386</v>
      </c>
      <c r="F8931" s="4">
        <v>6726</v>
      </c>
      <c r="G8931" s="2" t="s">
        <v>53</v>
      </c>
      <c r="H8931" s="2" t="s">
        <v>34</v>
      </c>
      <c r="I8931" s="2" t="s">
        <v>26128</v>
      </c>
      <c r="J8931" s="2" t="s">
        <v>24835</v>
      </c>
      <c r="K8931" s="2" t="s">
        <v>53</v>
      </c>
      <c r="L8931" s="2" t="s">
        <v>34</v>
      </c>
      <c r="M8931" s="2"/>
      <c r="N8931" s="2"/>
      <c r="O8931" s="2"/>
      <c r="P8931" s="2" t="s">
        <v>26420</v>
      </c>
      <c r="Q8931" s="6">
        <v>100</v>
      </c>
      <c r="R8931" s="2"/>
      <c r="S8931" s="2"/>
      <c r="T8931" s="2"/>
      <c r="U8931" s="2"/>
      <c r="V8931" s="2"/>
      <c r="W8931" s="6">
        <v>10.23</v>
      </c>
      <c r="X8931" s="6">
        <v>11.27</v>
      </c>
      <c r="Y8931" s="6">
        <v>11.52</v>
      </c>
      <c r="Z8931" s="6">
        <v>11.73</v>
      </c>
      <c r="AA8931" s="6">
        <v>33.32</v>
      </c>
      <c r="AB8931" s="2" t="s">
        <v>47</v>
      </c>
      <c r="AC8931" s="2"/>
    </row>
    <row r="8932" spans="1:29" ht="195" x14ac:dyDescent="0.15">
      <c r="A8932" s="3">
        <f>DATE(2008,1,29)</f>
        <v>39476</v>
      </c>
      <c r="B8932" s="2"/>
      <c r="C8932" s="2" t="s">
        <v>30</v>
      </c>
      <c r="D8932" s="2" t="s">
        <v>26421</v>
      </c>
      <c r="E8932" s="2" t="s">
        <v>18348</v>
      </c>
      <c r="F8932" s="4">
        <v>1311</v>
      </c>
      <c r="G8932" s="2" t="s">
        <v>148</v>
      </c>
      <c r="H8932" s="2" t="s">
        <v>34</v>
      </c>
      <c r="I8932" s="2" t="s">
        <v>26422</v>
      </c>
      <c r="J8932" s="2" t="s">
        <v>11539</v>
      </c>
      <c r="K8932" s="2" t="s">
        <v>166</v>
      </c>
      <c r="L8932" s="2" t="s">
        <v>34</v>
      </c>
      <c r="M8932" s="12">
        <v>12976.995000000001</v>
      </c>
      <c r="N8932" s="4">
        <v>73</v>
      </c>
      <c r="O8932" s="6">
        <v>70.69</v>
      </c>
      <c r="P8932" s="2" t="s">
        <v>26423</v>
      </c>
      <c r="Q8932" s="2"/>
      <c r="R8932" s="6">
        <v>33.659999999999997</v>
      </c>
      <c r="S8932" s="5">
        <v>135.69999999999999</v>
      </c>
      <c r="T8932" s="7">
        <v>268.745</v>
      </c>
      <c r="U8932" s="5">
        <v>6.8</v>
      </c>
      <c r="V8932" s="6">
        <v>0.9</v>
      </c>
      <c r="W8932" s="4">
        <v>21</v>
      </c>
      <c r="X8932" s="4">
        <v>21</v>
      </c>
      <c r="Y8932" s="4">
        <v>21</v>
      </c>
      <c r="Z8932" s="4">
        <v>21</v>
      </c>
      <c r="AA8932" s="6">
        <v>150.91</v>
      </c>
      <c r="AB8932" s="7">
        <v>23.344000000000001</v>
      </c>
      <c r="AC8932" s="6">
        <v>41.65</v>
      </c>
    </row>
    <row r="8933" spans="1:29" ht="156" x14ac:dyDescent="0.15">
      <c r="A8933" s="3">
        <f>DATE(2008,1,29)</f>
        <v>39476</v>
      </c>
      <c r="B8933" s="3">
        <f>DATE(2008,3,13)</f>
        <v>39520</v>
      </c>
      <c r="C8933" s="2" t="s">
        <v>95</v>
      </c>
      <c r="D8933" s="2" t="s">
        <v>26424</v>
      </c>
      <c r="E8933" s="2" t="s">
        <v>2128</v>
      </c>
      <c r="F8933" s="4">
        <v>6798</v>
      </c>
      <c r="G8933" s="2" t="s">
        <v>53</v>
      </c>
      <c r="H8933" s="2" t="s">
        <v>34</v>
      </c>
      <c r="I8933" s="2" t="s">
        <v>26425</v>
      </c>
      <c r="J8933" s="2" t="s">
        <v>2128</v>
      </c>
      <c r="K8933" s="2" t="s">
        <v>53</v>
      </c>
      <c r="L8933" s="2" t="s">
        <v>34</v>
      </c>
      <c r="M8933" s="2"/>
      <c r="N8933" s="2"/>
      <c r="O8933" s="2"/>
      <c r="P8933" s="2" t="s">
        <v>26426</v>
      </c>
      <c r="Q8933" s="6">
        <v>65.3</v>
      </c>
      <c r="R8933" s="6">
        <v>10.65</v>
      </c>
      <c r="S8933" s="2"/>
      <c r="T8933" s="2"/>
      <c r="U8933" s="2"/>
      <c r="V8933" s="2"/>
      <c r="W8933" s="4">
        <v>7</v>
      </c>
      <c r="X8933" s="6">
        <v>7.96</v>
      </c>
      <c r="Y8933" s="6">
        <v>10.63</v>
      </c>
      <c r="Z8933" s="6">
        <v>10.65</v>
      </c>
      <c r="AA8933" s="6">
        <v>25.72</v>
      </c>
      <c r="AB8933" s="2" t="s">
        <v>47</v>
      </c>
      <c r="AC8933" s="2"/>
    </row>
    <row r="8934" spans="1:29" ht="104" x14ac:dyDescent="0.15">
      <c r="A8934" s="3">
        <f>DATE(2008,1,30)</f>
        <v>39477</v>
      </c>
      <c r="B8934" s="3">
        <f>DATE(2008,5,29)</f>
        <v>39597</v>
      </c>
      <c r="C8934" s="2" t="s">
        <v>95</v>
      </c>
      <c r="D8934" s="2" t="s">
        <v>26427</v>
      </c>
      <c r="E8934" s="2" t="s">
        <v>26428</v>
      </c>
      <c r="F8934" s="4">
        <v>2819</v>
      </c>
      <c r="G8934" s="2" t="s">
        <v>98</v>
      </c>
      <c r="H8934" s="2" t="s">
        <v>34</v>
      </c>
      <c r="I8934" s="2" t="s">
        <v>15654</v>
      </c>
      <c r="J8934" s="2" t="s">
        <v>244</v>
      </c>
      <c r="K8934" s="2" t="s">
        <v>53</v>
      </c>
      <c r="L8934" s="2" t="s">
        <v>34</v>
      </c>
      <c r="M8934" s="2"/>
      <c r="N8934" s="2"/>
      <c r="O8934" s="2"/>
      <c r="P8934" s="2" t="s">
        <v>26429</v>
      </c>
      <c r="Q8934" s="6">
        <v>100</v>
      </c>
      <c r="R8934" s="6">
        <v>30</v>
      </c>
      <c r="S8934" s="5">
        <v>8.8000000000000007</v>
      </c>
      <c r="T8934" s="6">
        <v>41.48</v>
      </c>
      <c r="U8934" s="5">
        <v>9.5</v>
      </c>
      <c r="V8934" s="6">
        <v>0.56999999999999995</v>
      </c>
      <c r="W8934" s="6">
        <v>24.98</v>
      </c>
      <c r="X8934" s="6">
        <v>24.08</v>
      </c>
      <c r="Y8934" s="6">
        <v>28.12</v>
      </c>
      <c r="Z8934" s="6">
        <v>28.21</v>
      </c>
      <c r="AA8934" s="6">
        <v>14.76</v>
      </c>
      <c r="AB8934" s="7">
        <v>22.359000000000002</v>
      </c>
      <c r="AC8934" s="2"/>
    </row>
    <row r="8935" spans="1:29" ht="117" x14ac:dyDescent="0.15">
      <c r="A8935" s="3">
        <f>DATE(2008,1,31)</f>
        <v>39478</v>
      </c>
      <c r="B8935" s="3">
        <f>DATE(2008,3,17)</f>
        <v>39524</v>
      </c>
      <c r="C8935" s="2" t="s">
        <v>95</v>
      </c>
      <c r="D8935" s="2" t="s">
        <v>26430</v>
      </c>
      <c r="E8935" s="2" t="s">
        <v>26431</v>
      </c>
      <c r="F8935" s="4">
        <v>7375</v>
      </c>
      <c r="G8935" s="2" t="s">
        <v>223</v>
      </c>
      <c r="H8935" s="2" t="s">
        <v>34</v>
      </c>
      <c r="I8935" s="2" t="s">
        <v>14729</v>
      </c>
      <c r="J8935" s="2" t="s">
        <v>14730</v>
      </c>
      <c r="K8935" s="2" t="s">
        <v>73</v>
      </c>
      <c r="L8935" s="2" t="s">
        <v>34</v>
      </c>
      <c r="M8935" s="12">
        <v>39529.038</v>
      </c>
      <c r="N8935" s="5">
        <v>77.7</v>
      </c>
      <c r="O8935" s="6">
        <v>74.63</v>
      </c>
      <c r="P8935" s="2" t="s">
        <v>26432</v>
      </c>
      <c r="Q8935" s="6">
        <v>88.08</v>
      </c>
      <c r="R8935" s="6">
        <v>11.5</v>
      </c>
      <c r="S8935" s="5">
        <v>2.4</v>
      </c>
      <c r="T8935" s="7">
        <v>2.3130000000000002</v>
      </c>
      <c r="U8935" s="5">
        <v>2.4</v>
      </c>
      <c r="V8935" s="6">
        <v>0.1</v>
      </c>
      <c r="W8935" s="6">
        <v>8.59</v>
      </c>
      <c r="X8935" s="6">
        <v>9.33</v>
      </c>
      <c r="Y8935" s="6">
        <v>11.42</v>
      </c>
      <c r="Z8935" s="5">
        <v>11.6</v>
      </c>
      <c r="AA8935" s="6">
        <v>24.41</v>
      </c>
      <c r="AB8935" s="2" t="s">
        <v>86</v>
      </c>
      <c r="AC8935" s="8">
        <v>3112</v>
      </c>
    </row>
    <row r="8936" spans="1:29" ht="104" x14ac:dyDescent="0.15">
      <c r="A8936" s="3">
        <f>DATE(2008,2,1)</f>
        <v>39479</v>
      </c>
      <c r="B8936" s="2"/>
      <c r="C8936" s="2" t="s">
        <v>56</v>
      </c>
      <c r="D8936" s="2" t="s">
        <v>22851</v>
      </c>
      <c r="E8936" s="2" t="s">
        <v>22852</v>
      </c>
      <c r="F8936" s="4">
        <v>7376</v>
      </c>
      <c r="G8936" s="2" t="s">
        <v>223</v>
      </c>
      <c r="H8936" s="2" t="s">
        <v>34</v>
      </c>
      <c r="I8936" s="2" t="s">
        <v>25384</v>
      </c>
      <c r="J8936" s="2" t="s">
        <v>18513</v>
      </c>
      <c r="K8936" s="2" t="s">
        <v>223</v>
      </c>
      <c r="L8936" s="2" t="s">
        <v>34</v>
      </c>
      <c r="M8936" s="2"/>
      <c r="N8936" s="2"/>
      <c r="O8936" s="2"/>
      <c r="P8936" s="2" t="s">
        <v>26433</v>
      </c>
      <c r="Q8936" s="2"/>
      <c r="R8936" s="6">
        <v>1.75</v>
      </c>
      <c r="S8936" s="5">
        <v>-16.2</v>
      </c>
      <c r="T8936" s="7">
        <v>1.3979999999999999</v>
      </c>
      <c r="U8936" s="5">
        <v>8</v>
      </c>
      <c r="V8936" s="6">
        <v>-3.25</v>
      </c>
      <c r="W8936" s="6">
        <v>1.38</v>
      </c>
      <c r="X8936" s="6">
        <v>1.33</v>
      </c>
      <c r="Y8936" s="6">
        <v>1.35</v>
      </c>
      <c r="Z8936" s="6">
        <v>1.41</v>
      </c>
      <c r="AA8936" s="6">
        <v>24.9</v>
      </c>
      <c r="AB8936" s="2" t="s">
        <v>86</v>
      </c>
      <c r="AC8936" s="2"/>
    </row>
    <row r="8937" spans="1:29" ht="195" x14ac:dyDescent="0.15">
      <c r="A8937" s="3">
        <f>DATE(2008,2,1)</f>
        <v>39479</v>
      </c>
      <c r="B8937" s="3">
        <f>DATE(2008,7,11)</f>
        <v>39640</v>
      </c>
      <c r="C8937" s="2" t="s">
        <v>95</v>
      </c>
      <c r="D8937" s="2" t="s">
        <v>26434</v>
      </c>
      <c r="E8937" s="2" t="s">
        <v>26435</v>
      </c>
      <c r="F8937" s="4">
        <v>5013</v>
      </c>
      <c r="G8937" s="2" t="s">
        <v>76</v>
      </c>
      <c r="H8937" s="2" t="s">
        <v>34</v>
      </c>
      <c r="I8937" s="2" t="s">
        <v>11206</v>
      </c>
      <c r="J8937" s="2" t="s">
        <v>11207</v>
      </c>
      <c r="K8937" s="2" t="s">
        <v>73</v>
      </c>
      <c r="L8937" s="2" t="s">
        <v>34</v>
      </c>
      <c r="M8937" s="12">
        <v>3466.9720000000002</v>
      </c>
      <c r="N8937" s="6">
        <v>30.62</v>
      </c>
      <c r="O8937" s="6">
        <v>29.97</v>
      </c>
      <c r="P8937" s="2" t="s">
        <v>26436</v>
      </c>
      <c r="Q8937" s="6">
        <v>100</v>
      </c>
      <c r="R8937" s="6">
        <v>12</v>
      </c>
      <c r="S8937" s="5">
        <v>-11.2</v>
      </c>
      <c r="T8937" s="7">
        <v>86.082999999999998</v>
      </c>
      <c r="U8937" s="5">
        <v>3.7</v>
      </c>
      <c r="V8937" s="6">
        <v>-0.25</v>
      </c>
      <c r="W8937" s="6">
        <v>5.43</v>
      </c>
      <c r="X8937" s="6">
        <v>5.95</v>
      </c>
      <c r="Y8937" s="6">
        <v>8.98</v>
      </c>
      <c r="Z8937" s="5">
        <v>9.6</v>
      </c>
      <c r="AA8937" s="6">
        <v>44.43</v>
      </c>
      <c r="AB8937" s="7">
        <v>25.864999999999998</v>
      </c>
      <c r="AC8937" s="6">
        <v>113.29</v>
      </c>
    </row>
    <row r="8938" spans="1:29" ht="52" x14ac:dyDescent="0.15">
      <c r="A8938" s="3">
        <f>DATE(2008,2,1)</f>
        <v>39479</v>
      </c>
      <c r="B8938" s="2"/>
      <c r="C8938" s="2" t="s">
        <v>7330</v>
      </c>
      <c r="D8938" s="2" t="s">
        <v>26437</v>
      </c>
      <c r="E8938" s="2" t="s">
        <v>58</v>
      </c>
      <c r="F8938" s="4">
        <v>4512</v>
      </c>
      <c r="G8938" s="2" t="s">
        <v>59</v>
      </c>
      <c r="H8938" s="2" t="s">
        <v>34</v>
      </c>
      <c r="I8938" s="2" t="s">
        <v>26438</v>
      </c>
      <c r="J8938" s="2" t="s">
        <v>11337</v>
      </c>
      <c r="K8938" s="2" t="s">
        <v>53</v>
      </c>
      <c r="L8938" s="2" t="s">
        <v>34</v>
      </c>
      <c r="M8938" s="2"/>
      <c r="N8938" s="2"/>
      <c r="O8938" s="2"/>
      <c r="P8938" s="2" t="s">
        <v>26439</v>
      </c>
      <c r="Q8938" s="2"/>
      <c r="R8938" s="2"/>
      <c r="S8938" s="5">
        <v>-79</v>
      </c>
      <c r="T8938" s="7">
        <v>-70.328000000000003</v>
      </c>
      <c r="U8938" s="5">
        <v>-0.4</v>
      </c>
      <c r="V8938" s="6">
        <v>-1.37</v>
      </c>
      <c r="W8938" s="7">
        <v>1.452</v>
      </c>
      <c r="X8938" s="7">
        <v>1.462</v>
      </c>
      <c r="Y8938" s="7">
        <v>1.462</v>
      </c>
      <c r="Z8938" s="7">
        <v>1.444</v>
      </c>
      <c r="AA8938" s="6">
        <v>69.66</v>
      </c>
      <c r="AB8938" s="2" t="s">
        <v>86</v>
      </c>
      <c r="AC8938" s="2"/>
    </row>
    <row r="8939" spans="1:29" ht="91" x14ac:dyDescent="0.15">
      <c r="A8939" s="3">
        <f>DATE(2008,2,1)</f>
        <v>39479</v>
      </c>
      <c r="B8939" s="2"/>
      <c r="C8939" s="2" t="s">
        <v>30</v>
      </c>
      <c r="D8939" s="2" t="s">
        <v>26440</v>
      </c>
      <c r="E8939" s="2" t="s">
        <v>26441</v>
      </c>
      <c r="F8939" s="4">
        <v>3674</v>
      </c>
      <c r="G8939" s="2" t="s">
        <v>137</v>
      </c>
      <c r="H8939" s="2" t="s">
        <v>34</v>
      </c>
      <c r="I8939" s="2" t="s">
        <v>26442</v>
      </c>
      <c r="J8939" s="2" t="s">
        <v>9451</v>
      </c>
      <c r="K8939" s="2" t="s">
        <v>53</v>
      </c>
      <c r="L8939" s="2" t="s">
        <v>34</v>
      </c>
      <c r="M8939" s="2"/>
      <c r="N8939" s="2"/>
      <c r="O8939" s="2"/>
      <c r="P8939" s="2" t="s">
        <v>26443</v>
      </c>
      <c r="Q8939" s="2"/>
      <c r="R8939" s="6">
        <v>15.5</v>
      </c>
      <c r="S8939" s="5">
        <v>-63.2</v>
      </c>
      <c r="T8939" s="7">
        <v>-44.536999999999999</v>
      </c>
      <c r="U8939" s="5">
        <v>-0.5</v>
      </c>
      <c r="V8939" s="6">
        <v>-6.33</v>
      </c>
      <c r="W8939" s="6">
        <v>12.53</v>
      </c>
      <c r="X8939" s="6">
        <v>13.46</v>
      </c>
      <c r="Y8939" s="6">
        <v>13.94</v>
      </c>
      <c r="Z8939" s="6">
        <v>14.29</v>
      </c>
      <c r="AA8939" s="6">
        <v>12.02</v>
      </c>
      <c r="AB8939" s="2" t="s">
        <v>86</v>
      </c>
      <c r="AC8939" s="2"/>
    </row>
    <row r="8940" spans="1:29" ht="156" x14ac:dyDescent="0.15">
      <c r="A8940" s="3">
        <f>DATE(2008,2,1)</f>
        <v>39479</v>
      </c>
      <c r="B8940" s="2"/>
      <c r="C8940" s="2" t="s">
        <v>30</v>
      </c>
      <c r="D8940" s="2" t="s">
        <v>12515</v>
      </c>
      <c r="E8940" s="2" t="s">
        <v>12371</v>
      </c>
      <c r="F8940" s="4">
        <v>7375</v>
      </c>
      <c r="G8940" s="2" t="s">
        <v>223</v>
      </c>
      <c r="H8940" s="2" t="s">
        <v>34</v>
      </c>
      <c r="I8940" s="2" t="s">
        <v>15288</v>
      </c>
      <c r="J8940" s="2" t="s">
        <v>1550</v>
      </c>
      <c r="K8940" s="2" t="s">
        <v>551</v>
      </c>
      <c r="L8940" s="2" t="s">
        <v>34</v>
      </c>
      <c r="M8940" s="12">
        <v>319973.96399999998</v>
      </c>
      <c r="N8940" s="6">
        <v>30.45</v>
      </c>
      <c r="O8940" s="6">
        <v>30.19</v>
      </c>
      <c r="P8940" s="2" t="s">
        <v>26444</v>
      </c>
      <c r="Q8940" s="2"/>
      <c r="R8940" s="6">
        <v>31</v>
      </c>
      <c r="S8940" s="5">
        <v>660</v>
      </c>
      <c r="T8940" s="12">
        <v>1354.6079999999999</v>
      </c>
      <c r="U8940" s="5">
        <v>6.9</v>
      </c>
      <c r="V8940" s="6">
        <v>0.47</v>
      </c>
      <c r="W8940" s="6">
        <v>21.94</v>
      </c>
      <c r="X8940" s="6">
        <v>19.18</v>
      </c>
      <c r="Y8940" s="6">
        <v>28.38</v>
      </c>
      <c r="Z8940" s="6">
        <v>29.33</v>
      </c>
      <c r="AA8940" s="10">
        <v>1336.44</v>
      </c>
      <c r="AB8940" s="7">
        <v>59.945</v>
      </c>
      <c r="AC8940" s="8">
        <v>21076</v>
      </c>
    </row>
    <row r="8941" spans="1:29" ht="91" x14ac:dyDescent="0.15">
      <c r="A8941" s="3">
        <f>DATE(2008,2,4)</f>
        <v>39482</v>
      </c>
      <c r="B8941" s="3">
        <f>DATE(2008,4,30)</f>
        <v>39568</v>
      </c>
      <c r="C8941" s="2" t="s">
        <v>95</v>
      </c>
      <c r="D8941" s="2" t="s">
        <v>26445</v>
      </c>
      <c r="E8941" s="2" t="s">
        <v>2728</v>
      </c>
      <c r="F8941" s="4">
        <v>3674</v>
      </c>
      <c r="G8941" s="2" t="s">
        <v>137</v>
      </c>
      <c r="H8941" s="2" t="s">
        <v>34</v>
      </c>
      <c r="I8941" s="2" t="s">
        <v>24557</v>
      </c>
      <c r="J8941" s="2" t="s">
        <v>207</v>
      </c>
      <c r="K8941" s="2" t="s">
        <v>137</v>
      </c>
      <c r="L8941" s="2" t="s">
        <v>34</v>
      </c>
      <c r="M8941" s="2"/>
      <c r="N8941" s="2"/>
      <c r="O8941" s="2"/>
      <c r="P8941" s="2" t="s">
        <v>26446</v>
      </c>
      <c r="Q8941" s="6">
        <v>100</v>
      </c>
      <c r="R8941" s="6">
        <v>3</v>
      </c>
      <c r="S8941" s="5">
        <v>-37.799999999999997</v>
      </c>
      <c r="T8941" s="7">
        <v>-32.601999999999997</v>
      </c>
      <c r="U8941" s="5">
        <v>2.8</v>
      </c>
      <c r="V8941" s="6">
        <v>-1.05</v>
      </c>
      <c r="W8941" s="6">
        <v>1.67</v>
      </c>
      <c r="X8941" s="6">
        <v>1.79</v>
      </c>
      <c r="Y8941" s="6">
        <v>2.94</v>
      </c>
      <c r="Z8941" s="6">
        <v>2.89</v>
      </c>
      <c r="AA8941" s="6">
        <v>36.03</v>
      </c>
      <c r="AB8941" s="2" t="s">
        <v>86</v>
      </c>
      <c r="AC8941" s="8">
        <v>2965</v>
      </c>
    </row>
    <row r="8942" spans="1:29" ht="117" x14ac:dyDescent="0.15">
      <c r="A8942" s="3">
        <f>DATE(2008,2,6)</f>
        <v>39484</v>
      </c>
      <c r="B8942" s="2"/>
      <c r="C8942" s="2" t="s">
        <v>30</v>
      </c>
      <c r="D8942" s="2" t="s">
        <v>26447</v>
      </c>
      <c r="E8942" s="2" t="s">
        <v>26448</v>
      </c>
      <c r="F8942" s="4">
        <v>2099</v>
      </c>
      <c r="G8942" s="2" t="s">
        <v>577</v>
      </c>
      <c r="H8942" s="2" t="s">
        <v>34</v>
      </c>
      <c r="I8942" s="2" t="s">
        <v>26449</v>
      </c>
      <c r="J8942" s="2" t="s">
        <v>11337</v>
      </c>
      <c r="K8942" s="2" t="s">
        <v>53</v>
      </c>
      <c r="L8942" s="2" t="s">
        <v>34</v>
      </c>
      <c r="M8942" s="2"/>
      <c r="N8942" s="2"/>
      <c r="O8942" s="2"/>
      <c r="P8942" s="2" t="s">
        <v>26450</v>
      </c>
      <c r="Q8942" s="2"/>
      <c r="R8942" s="6">
        <v>4.4000000000000004</v>
      </c>
      <c r="S8942" s="5">
        <v>4.5999999999999996</v>
      </c>
      <c r="T8942" s="7">
        <v>14.659000000000001</v>
      </c>
      <c r="U8942" s="5">
        <v>0.9</v>
      </c>
      <c r="V8942" s="6">
        <v>0.28999999999999998</v>
      </c>
      <c r="W8942" s="6">
        <v>2.63</v>
      </c>
      <c r="X8942" s="6">
        <v>2.52</v>
      </c>
      <c r="Y8942" s="6">
        <v>3.65</v>
      </c>
      <c r="Z8942" s="6">
        <v>4.25</v>
      </c>
      <c r="AA8942" s="6">
        <v>15.79</v>
      </c>
      <c r="AB8942" s="7">
        <v>9.4870000000000001</v>
      </c>
      <c r="AC8942" s="2"/>
    </row>
    <row r="8943" spans="1:29" ht="130" x14ac:dyDescent="0.15">
      <c r="A8943" s="3">
        <f>DATE(2008,2,11)</f>
        <v>39489</v>
      </c>
      <c r="B8943" s="2"/>
      <c r="C8943" s="2" t="s">
        <v>30</v>
      </c>
      <c r="D8943" s="2" t="s">
        <v>26451</v>
      </c>
      <c r="E8943" s="2" t="s">
        <v>17909</v>
      </c>
      <c r="F8943" s="4">
        <v>3674</v>
      </c>
      <c r="G8943" s="2" t="s">
        <v>137</v>
      </c>
      <c r="H8943" s="2" t="s">
        <v>34</v>
      </c>
      <c r="I8943" s="2" t="s">
        <v>51</v>
      </c>
      <c r="J8943" s="2" t="s">
        <v>52</v>
      </c>
      <c r="K8943" s="2" t="s">
        <v>53</v>
      </c>
      <c r="L8943" s="2" t="s">
        <v>99</v>
      </c>
      <c r="M8943" s="2"/>
      <c r="N8943" s="2"/>
      <c r="O8943" s="2"/>
      <c r="P8943" s="2" t="s">
        <v>26452</v>
      </c>
      <c r="Q8943" s="2"/>
      <c r="R8943" s="6">
        <v>6</v>
      </c>
      <c r="S8943" s="5">
        <v>-11.4</v>
      </c>
      <c r="T8943" s="7">
        <v>5.7880000000000003</v>
      </c>
      <c r="U8943" s="5">
        <v>19</v>
      </c>
      <c r="V8943" s="6">
        <v>-0.44</v>
      </c>
      <c r="W8943" s="6">
        <v>4.18</v>
      </c>
      <c r="X8943" s="6">
        <v>4.04</v>
      </c>
      <c r="Y8943" s="6">
        <v>4.9800000000000004</v>
      </c>
      <c r="Z8943" s="5">
        <v>5.2</v>
      </c>
      <c r="AA8943" s="6">
        <v>102.25</v>
      </c>
      <c r="AB8943" s="2" t="s">
        <v>86</v>
      </c>
      <c r="AC8943" s="2"/>
    </row>
    <row r="8944" spans="1:29" ht="156" x14ac:dyDescent="0.15">
      <c r="A8944" s="3">
        <f>DATE(2008,2,11)</f>
        <v>39489</v>
      </c>
      <c r="B8944" s="3">
        <f>DATE(2008,4,2)</f>
        <v>39540</v>
      </c>
      <c r="C8944" s="2" t="s">
        <v>95</v>
      </c>
      <c r="D8944" s="2" t="s">
        <v>14477</v>
      </c>
      <c r="E8944" s="2" t="s">
        <v>13817</v>
      </c>
      <c r="F8944" s="4">
        <v>3842</v>
      </c>
      <c r="G8944" s="2" t="s">
        <v>226</v>
      </c>
      <c r="H8944" s="2" t="s">
        <v>34</v>
      </c>
      <c r="I8944" s="2" t="s">
        <v>26453</v>
      </c>
      <c r="J8944" s="2" t="s">
        <v>15342</v>
      </c>
      <c r="K8944" s="2" t="s">
        <v>226</v>
      </c>
      <c r="L8944" s="2" t="s">
        <v>34</v>
      </c>
      <c r="M8944" s="2"/>
      <c r="N8944" s="2"/>
      <c r="O8944" s="2"/>
      <c r="P8944" s="2" t="s">
        <v>26454</v>
      </c>
      <c r="Q8944" s="6">
        <v>100</v>
      </c>
      <c r="R8944" s="6">
        <v>19.5</v>
      </c>
      <c r="S8944" s="5">
        <v>0.8</v>
      </c>
      <c r="T8944" s="7">
        <v>3.3580000000000001</v>
      </c>
      <c r="U8944" s="5">
        <v>4.5</v>
      </c>
      <c r="V8944" s="9">
        <v>4.3200000000000002E-2</v>
      </c>
      <c r="W8944" s="6">
        <v>13.79</v>
      </c>
      <c r="X8944" s="6">
        <v>14.35</v>
      </c>
      <c r="Y8944" s="6">
        <v>19.36</v>
      </c>
      <c r="Z8944" s="6">
        <v>19.350000000000001</v>
      </c>
      <c r="AA8944" s="6">
        <v>20.28</v>
      </c>
      <c r="AB8944" s="7">
        <v>1500.7629999999999</v>
      </c>
      <c r="AC8944" s="2"/>
    </row>
    <row r="8945" spans="1:29" ht="156" x14ac:dyDescent="0.15">
      <c r="A8945" s="3">
        <f>DATE(2008,2,12)</f>
        <v>39490</v>
      </c>
      <c r="B8945" s="3">
        <f>DATE(2008,6,11)</f>
        <v>39610</v>
      </c>
      <c r="C8945" s="2" t="s">
        <v>95</v>
      </c>
      <c r="D8945" s="2" t="s">
        <v>26455</v>
      </c>
      <c r="E8945" s="2" t="s">
        <v>21945</v>
      </c>
      <c r="F8945" s="4">
        <v>6798</v>
      </c>
      <c r="G8945" s="2" t="s">
        <v>53</v>
      </c>
      <c r="H8945" s="2" t="s">
        <v>34</v>
      </c>
      <c r="I8945" s="2" t="s">
        <v>26456</v>
      </c>
      <c r="J8945" s="2" t="s">
        <v>92</v>
      </c>
      <c r="K8945" s="2" t="s">
        <v>53</v>
      </c>
      <c r="L8945" s="2" t="s">
        <v>34</v>
      </c>
      <c r="M8945" s="7">
        <v>727.98299999999995</v>
      </c>
      <c r="N8945" s="6">
        <v>28.05</v>
      </c>
      <c r="O8945" s="6">
        <v>26.73</v>
      </c>
      <c r="P8945" s="2" t="s">
        <v>26457</v>
      </c>
      <c r="Q8945" s="6">
        <v>100</v>
      </c>
      <c r="R8945" s="6">
        <v>5.53</v>
      </c>
      <c r="S8945" s="5">
        <v>13.5</v>
      </c>
      <c r="T8945" s="7">
        <v>47.542000000000002</v>
      </c>
      <c r="U8945" s="5">
        <v>6.4</v>
      </c>
      <c r="V8945" s="6">
        <v>0.33</v>
      </c>
      <c r="W8945" s="6">
        <v>5.71</v>
      </c>
      <c r="X8945" s="6">
        <v>5.59</v>
      </c>
      <c r="Y8945" s="6">
        <v>8.67</v>
      </c>
      <c r="Z8945" s="6">
        <v>8.75</v>
      </c>
      <c r="AA8945" s="6">
        <v>41.62</v>
      </c>
      <c r="AB8945" s="7">
        <v>480.86099999999999</v>
      </c>
      <c r="AC8945" s="6">
        <v>25.93</v>
      </c>
    </row>
    <row r="8946" spans="1:29" ht="117" x14ac:dyDescent="0.15">
      <c r="A8946" s="3">
        <f>DATE(2008,2,13)</f>
        <v>39491</v>
      </c>
      <c r="B8946" s="3">
        <f>DATE(2008,11,6)</f>
        <v>39758</v>
      </c>
      <c r="C8946" s="2" t="s">
        <v>95</v>
      </c>
      <c r="D8946" s="2" t="s">
        <v>26458</v>
      </c>
      <c r="E8946" s="2" t="s">
        <v>26459</v>
      </c>
      <c r="F8946" s="4">
        <v>1044</v>
      </c>
      <c r="G8946" s="2" t="s">
        <v>166</v>
      </c>
      <c r="H8946" s="2" t="s">
        <v>34</v>
      </c>
      <c r="I8946" s="2" t="s">
        <v>1249</v>
      </c>
      <c r="J8946" s="2" t="s">
        <v>1250</v>
      </c>
      <c r="K8946" s="2" t="s">
        <v>166</v>
      </c>
      <c r="L8946" s="2" t="s">
        <v>34</v>
      </c>
      <c r="M8946" s="12">
        <v>1079.9839999999999</v>
      </c>
      <c r="N8946" s="6">
        <v>10.15</v>
      </c>
      <c r="O8946" s="6">
        <v>9.98</v>
      </c>
      <c r="P8946" s="2" t="s">
        <v>26460</v>
      </c>
      <c r="Q8946" s="6">
        <v>100</v>
      </c>
      <c r="R8946" s="2"/>
      <c r="S8946" s="5">
        <v>-0.3</v>
      </c>
      <c r="T8946" s="2"/>
      <c r="U8946" s="5">
        <v>0</v>
      </c>
      <c r="V8946" s="9">
        <v>-2.7300000000000001E-2</v>
      </c>
      <c r="W8946" s="5">
        <v>3.4</v>
      </c>
      <c r="X8946" s="6">
        <v>3.51</v>
      </c>
      <c r="Y8946" s="5">
        <v>9.3000000000000007</v>
      </c>
      <c r="Z8946" s="5">
        <v>9.9</v>
      </c>
      <c r="AA8946" s="6">
        <v>5.08</v>
      </c>
      <c r="AB8946" s="2" t="s">
        <v>86</v>
      </c>
      <c r="AC8946" s="6">
        <v>398.88</v>
      </c>
    </row>
    <row r="8947" spans="1:29" ht="182" x14ac:dyDescent="0.15">
      <c r="A8947" s="3">
        <f>DATE(2008,2,15)</f>
        <v>39493</v>
      </c>
      <c r="B8947" s="3">
        <f>DATE(2008,8,18)</f>
        <v>39678</v>
      </c>
      <c r="C8947" s="2" t="s">
        <v>95</v>
      </c>
      <c r="D8947" s="2" t="s">
        <v>26461</v>
      </c>
      <c r="E8947" s="2" t="s">
        <v>159</v>
      </c>
      <c r="F8947" s="4">
        <v>6021</v>
      </c>
      <c r="G8947" s="2" t="s">
        <v>37</v>
      </c>
      <c r="H8947" s="2" t="s">
        <v>34</v>
      </c>
      <c r="I8947" s="2" t="s">
        <v>21951</v>
      </c>
      <c r="J8947" s="2" t="s">
        <v>36</v>
      </c>
      <c r="K8947" s="2" t="s">
        <v>37</v>
      </c>
      <c r="L8947" s="2" t="s">
        <v>34</v>
      </c>
      <c r="M8947" s="7">
        <v>810.23900000000003</v>
      </c>
      <c r="N8947" s="5">
        <v>14.9</v>
      </c>
      <c r="O8947" s="5">
        <v>14.9</v>
      </c>
      <c r="P8947" s="2" t="s">
        <v>26462</v>
      </c>
      <c r="Q8947" s="6">
        <v>100</v>
      </c>
      <c r="R8947" s="6">
        <v>75</v>
      </c>
      <c r="S8947" s="2"/>
      <c r="T8947" s="2"/>
      <c r="U8947" s="2"/>
      <c r="V8947" s="2"/>
      <c r="W8947" s="4">
        <v>53</v>
      </c>
      <c r="X8947" s="4">
        <v>53</v>
      </c>
      <c r="Y8947" s="6">
        <v>71.650000000000006</v>
      </c>
      <c r="Z8947" s="5">
        <v>70.599999999999994</v>
      </c>
      <c r="AA8947" s="6">
        <v>1.1100000000000001</v>
      </c>
      <c r="AB8947" s="2" t="s">
        <v>47</v>
      </c>
      <c r="AC8947" s="2"/>
    </row>
    <row r="8948" spans="1:29" ht="65" x14ac:dyDescent="0.15">
      <c r="A8948" s="3">
        <f>DATE(2008,2,15)</f>
        <v>39493</v>
      </c>
      <c r="B8948" s="3">
        <f>DATE(2009,9,14)</f>
        <v>40070</v>
      </c>
      <c r="C8948" s="2" t="s">
        <v>95</v>
      </c>
      <c r="D8948" s="2" t="s">
        <v>26463</v>
      </c>
      <c r="E8948" s="2" t="s">
        <v>386</v>
      </c>
      <c r="F8948" s="4">
        <v>6726</v>
      </c>
      <c r="G8948" s="2" t="s">
        <v>53</v>
      </c>
      <c r="H8948" s="2" t="s">
        <v>34</v>
      </c>
      <c r="I8948" s="2" t="s">
        <v>26464</v>
      </c>
      <c r="J8948" s="2" t="s">
        <v>24835</v>
      </c>
      <c r="K8948" s="2" t="s">
        <v>53</v>
      </c>
      <c r="L8948" s="2" t="s">
        <v>34</v>
      </c>
      <c r="M8948" s="7">
        <v>49.496000000000002</v>
      </c>
      <c r="N8948" s="6">
        <v>11.35</v>
      </c>
      <c r="O8948" s="6">
        <v>11.35</v>
      </c>
      <c r="P8948" s="2" t="s">
        <v>26465</v>
      </c>
      <c r="Q8948" s="6">
        <v>100</v>
      </c>
      <c r="R8948" s="2"/>
      <c r="S8948" s="2"/>
      <c r="T8948" s="2"/>
      <c r="U8948" s="2"/>
      <c r="V8948" s="2"/>
      <c r="W8948" s="6">
        <v>18.309999999999999</v>
      </c>
      <c r="X8948" s="6">
        <v>17.98</v>
      </c>
      <c r="Y8948" s="6">
        <v>17.829999999999998</v>
      </c>
      <c r="Z8948" s="6">
        <v>17.97</v>
      </c>
      <c r="AA8948" s="6">
        <v>28.01</v>
      </c>
      <c r="AB8948" s="2" t="s">
        <v>47</v>
      </c>
      <c r="AC8948" s="2"/>
    </row>
    <row r="8949" spans="1:29" ht="130" x14ac:dyDescent="0.15">
      <c r="A8949" s="3">
        <f>DATE(2008,2,20)</f>
        <v>39498</v>
      </c>
      <c r="B8949" s="3">
        <f>DATE(2008,6,10)</f>
        <v>39609</v>
      </c>
      <c r="C8949" s="2" t="s">
        <v>95</v>
      </c>
      <c r="D8949" s="2" t="s">
        <v>26466</v>
      </c>
      <c r="E8949" s="2" t="s">
        <v>14081</v>
      </c>
      <c r="F8949" s="4">
        <v>2836</v>
      </c>
      <c r="G8949" s="2" t="s">
        <v>130</v>
      </c>
      <c r="H8949" s="2" t="s">
        <v>34</v>
      </c>
      <c r="I8949" s="2" t="s">
        <v>7393</v>
      </c>
      <c r="J8949" s="2" t="s">
        <v>5670</v>
      </c>
      <c r="K8949" s="2" t="s">
        <v>130</v>
      </c>
      <c r="L8949" s="2" t="s">
        <v>34</v>
      </c>
      <c r="M8949" s="12">
        <v>156129.34400000001</v>
      </c>
      <c r="N8949" s="6">
        <v>22.47</v>
      </c>
      <c r="O8949" s="5">
        <v>22.4</v>
      </c>
      <c r="P8949" s="2" t="s">
        <v>26467</v>
      </c>
      <c r="Q8949" s="6">
        <v>100</v>
      </c>
      <c r="R8949" s="6">
        <v>2.35</v>
      </c>
      <c r="S8949" s="5">
        <v>-100.7</v>
      </c>
      <c r="T8949" s="7">
        <v>-72.013999999999996</v>
      </c>
      <c r="U8949" s="5">
        <v>-1.9</v>
      </c>
      <c r="V8949" s="6">
        <v>-1.43</v>
      </c>
      <c r="W8949" s="7">
        <v>0.78200000000000003</v>
      </c>
      <c r="X8949" s="6">
        <v>1.08</v>
      </c>
      <c r="Y8949" s="6">
        <v>2.27</v>
      </c>
      <c r="Z8949" s="6">
        <v>2.27</v>
      </c>
      <c r="AA8949" s="6">
        <v>79.31</v>
      </c>
      <c r="AB8949" s="2" t="s">
        <v>86</v>
      </c>
      <c r="AC8949" s="8">
        <v>25475</v>
      </c>
    </row>
    <row r="8950" spans="1:29" ht="221" x14ac:dyDescent="0.15">
      <c r="A8950" s="3">
        <f>DATE(2008,2,20)</f>
        <v>39498</v>
      </c>
      <c r="B8950" s="2"/>
      <c r="C8950" s="2" t="s">
        <v>30</v>
      </c>
      <c r="D8950" s="2" t="s">
        <v>26468</v>
      </c>
      <c r="E8950" s="2" t="s">
        <v>22849</v>
      </c>
      <c r="F8950" s="4">
        <v>5085</v>
      </c>
      <c r="G8950" s="2" t="s">
        <v>76</v>
      </c>
      <c r="H8950" s="2" t="s">
        <v>34</v>
      </c>
      <c r="I8950" s="2" t="s">
        <v>26469</v>
      </c>
      <c r="J8950" s="2" t="s">
        <v>22849</v>
      </c>
      <c r="K8950" s="2" t="s">
        <v>76</v>
      </c>
      <c r="L8950" s="2" t="s">
        <v>34</v>
      </c>
      <c r="M8950" s="2"/>
      <c r="N8950" s="2"/>
      <c r="O8950" s="2"/>
      <c r="P8950" s="2" t="s">
        <v>26470</v>
      </c>
      <c r="Q8950" s="2"/>
      <c r="R8950" s="6">
        <v>11.8</v>
      </c>
      <c r="S8950" s="5">
        <v>3.5</v>
      </c>
      <c r="T8950" s="7">
        <v>8.3859999999999992</v>
      </c>
      <c r="U8950" s="5">
        <v>8.6999999999999993</v>
      </c>
      <c r="V8950" s="6">
        <v>0.38</v>
      </c>
      <c r="W8950" s="5">
        <v>9.5</v>
      </c>
      <c r="X8950" s="6">
        <v>9.92</v>
      </c>
      <c r="Y8950" s="6">
        <v>9.2100000000000009</v>
      </c>
      <c r="Z8950" s="6">
        <v>9.9499999999999993</v>
      </c>
      <c r="AA8950" s="6">
        <v>9.61</v>
      </c>
      <c r="AB8950" s="7">
        <v>17.5</v>
      </c>
      <c r="AC8950" s="2"/>
    </row>
    <row r="8951" spans="1:29" ht="143" x14ac:dyDescent="0.15">
      <c r="A8951" s="3">
        <f>DATE(2008,2,20)</f>
        <v>39498</v>
      </c>
      <c r="B8951" s="2"/>
      <c r="C8951" s="2" t="s">
        <v>30</v>
      </c>
      <c r="D8951" s="2" t="s">
        <v>26471</v>
      </c>
      <c r="E8951" s="2" t="s">
        <v>23408</v>
      </c>
      <c r="F8951" s="4">
        <v>6726</v>
      </c>
      <c r="G8951" s="2" t="s">
        <v>53</v>
      </c>
      <c r="H8951" s="2" t="s">
        <v>34</v>
      </c>
      <c r="I8951" s="2" t="s">
        <v>26472</v>
      </c>
      <c r="J8951" s="2" t="s">
        <v>26473</v>
      </c>
      <c r="K8951" s="2" t="s">
        <v>223</v>
      </c>
      <c r="L8951" s="2" t="s">
        <v>902</v>
      </c>
      <c r="M8951" s="7">
        <v>58.292999999999999</v>
      </c>
      <c r="N8951" s="6">
        <v>1.49</v>
      </c>
      <c r="O8951" s="6">
        <v>1.25</v>
      </c>
      <c r="P8951" s="2" t="s">
        <v>26474</v>
      </c>
      <c r="Q8951" s="2"/>
      <c r="R8951" s="6">
        <v>3</v>
      </c>
      <c r="S8951" s="5">
        <v>-24.9</v>
      </c>
      <c r="T8951" s="7">
        <v>19.434999999999999</v>
      </c>
      <c r="U8951" s="5">
        <v>0.9</v>
      </c>
      <c r="V8951" s="6">
        <v>-1.3</v>
      </c>
      <c r="W8951" s="6">
        <v>1.19</v>
      </c>
      <c r="X8951" s="6">
        <v>1.1100000000000001</v>
      </c>
      <c r="Y8951" s="6">
        <v>1.25</v>
      </c>
      <c r="Z8951" s="5">
        <v>1.7</v>
      </c>
      <c r="AA8951" s="6">
        <v>27.36</v>
      </c>
      <c r="AB8951" s="7">
        <v>32.819000000000003</v>
      </c>
      <c r="AC8951" s="6">
        <v>1.96</v>
      </c>
    </row>
    <row r="8952" spans="1:29" ht="143" x14ac:dyDescent="0.15">
      <c r="A8952" s="3">
        <f>DATE(2008,2,20)</f>
        <v>39498</v>
      </c>
      <c r="B8952" s="3">
        <f>DATE(2008,8,7)</f>
        <v>39667</v>
      </c>
      <c r="C8952" s="2" t="s">
        <v>95</v>
      </c>
      <c r="D8952" s="2" t="s">
        <v>26475</v>
      </c>
      <c r="E8952" s="2" t="s">
        <v>5499</v>
      </c>
      <c r="F8952" s="4">
        <v>6321</v>
      </c>
      <c r="G8952" s="2" t="s">
        <v>125</v>
      </c>
      <c r="H8952" s="2" t="s">
        <v>34</v>
      </c>
      <c r="I8952" s="2" t="s">
        <v>26476</v>
      </c>
      <c r="J8952" s="2" t="s">
        <v>4015</v>
      </c>
      <c r="K8952" s="2" t="s">
        <v>125</v>
      </c>
      <c r="L8952" s="2" t="s">
        <v>34</v>
      </c>
      <c r="M8952" s="7">
        <v>335.04300000000001</v>
      </c>
      <c r="N8952" s="6">
        <v>9.16</v>
      </c>
      <c r="O8952" s="6">
        <v>8.06</v>
      </c>
      <c r="P8952" s="2" t="s">
        <v>26477</v>
      </c>
      <c r="Q8952" s="6">
        <v>100</v>
      </c>
      <c r="R8952" s="6">
        <v>20</v>
      </c>
      <c r="S8952" s="5">
        <v>24.8</v>
      </c>
      <c r="T8952" s="2"/>
      <c r="U8952" s="5">
        <v>12.7</v>
      </c>
      <c r="V8952" s="6">
        <v>1.85</v>
      </c>
      <c r="W8952" s="6">
        <v>16.079999999999998</v>
      </c>
      <c r="X8952" s="6">
        <v>15.38</v>
      </c>
      <c r="Y8952" s="6">
        <v>15.38</v>
      </c>
      <c r="Z8952" s="6">
        <v>18.559999999999999</v>
      </c>
      <c r="AA8952" s="6">
        <v>13.36</v>
      </c>
      <c r="AB8952" s="7">
        <v>6.7080000000000002</v>
      </c>
      <c r="AC8952" s="6">
        <v>40.85</v>
      </c>
    </row>
    <row r="8953" spans="1:29" ht="104" x14ac:dyDescent="0.15">
      <c r="A8953" s="3">
        <f>DATE(2008,2,21)</f>
        <v>39499</v>
      </c>
      <c r="B8953" s="3">
        <f>DATE(2008,9,19)</f>
        <v>39710</v>
      </c>
      <c r="C8953" s="2" t="s">
        <v>95</v>
      </c>
      <c r="D8953" s="2" t="s">
        <v>16302</v>
      </c>
      <c r="E8953" s="2" t="s">
        <v>16303</v>
      </c>
      <c r="F8953" s="4">
        <v>7323</v>
      </c>
      <c r="G8953" s="2" t="s">
        <v>223</v>
      </c>
      <c r="H8953" s="2" t="s">
        <v>34</v>
      </c>
      <c r="I8953" s="2" t="s">
        <v>17950</v>
      </c>
      <c r="J8953" s="2" t="s">
        <v>417</v>
      </c>
      <c r="K8953" s="2" t="s">
        <v>186</v>
      </c>
      <c r="L8953" s="2" t="s">
        <v>303</v>
      </c>
      <c r="M8953" s="2"/>
      <c r="N8953" s="2"/>
      <c r="O8953" s="2"/>
      <c r="P8953" s="2" t="s">
        <v>26478</v>
      </c>
      <c r="Q8953" s="6">
        <v>100</v>
      </c>
      <c r="R8953" s="6">
        <v>50</v>
      </c>
      <c r="S8953" s="5">
        <v>31.9</v>
      </c>
      <c r="T8953" s="7">
        <v>287.23599999999999</v>
      </c>
      <c r="U8953" s="5">
        <v>4.7</v>
      </c>
      <c r="V8953" s="6">
        <v>0.85</v>
      </c>
      <c r="W8953" s="4">
        <v>34</v>
      </c>
      <c r="X8953" s="6">
        <v>33.659999999999997</v>
      </c>
      <c r="Y8953" s="6">
        <v>48.27</v>
      </c>
      <c r="Z8953" s="5">
        <v>48.1</v>
      </c>
      <c r="AA8953" s="6">
        <v>71.540000000000006</v>
      </c>
      <c r="AB8953" s="7">
        <v>18.446999999999999</v>
      </c>
      <c r="AC8953" s="10">
        <v>5316.79</v>
      </c>
    </row>
    <row r="8954" spans="1:29" ht="78" x14ac:dyDescent="0.15">
      <c r="A8954" s="3">
        <f>DATE(2008,2,21)</f>
        <v>39499</v>
      </c>
      <c r="B8954" s="2"/>
      <c r="C8954" s="2" t="s">
        <v>7330</v>
      </c>
      <c r="D8954" s="2" t="s">
        <v>26479</v>
      </c>
      <c r="E8954" s="2" t="s">
        <v>26480</v>
      </c>
      <c r="F8954" s="4">
        <v>2519</v>
      </c>
      <c r="G8954" s="2" t="s">
        <v>250</v>
      </c>
      <c r="H8954" s="2" t="s">
        <v>34</v>
      </c>
      <c r="I8954" s="2" t="s">
        <v>24605</v>
      </c>
      <c r="J8954" s="2" t="s">
        <v>24606</v>
      </c>
      <c r="K8954" s="2" t="s">
        <v>53</v>
      </c>
      <c r="L8954" s="2" t="s">
        <v>34</v>
      </c>
      <c r="M8954" s="2"/>
      <c r="N8954" s="2"/>
      <c r="O8954" s="2"/>
      <c r="P8954" s="2" t="s">
        <v>26481</v>
      </c>
      <c r="Q8954" s="2"/>
      <c r="R8954" s="2"/>
      <c r="S8954" s="5">
        <v>-45.6</v>
      </c>
      <c r="T8954" s="7">
        <v>11.618</v>
      </c>
      <c r="U8954" s="5">
        <v>121.9</v>
      </c>
      <c r="V8954" s="9">
        <v>-7.4199000000000002</v>
      </c>
      <c r="W8954" s="6">
        <v>10.64</v>
      </c>
      <c r="X8954" s="6">
        <v>10.34</v>
      </c>
      <c r="Y8954" s="6">
        <v>12.78</v>
      </c>
      <c r="Z8954" s="6">
        <v>12.34</v>
      </c>
      <c r="AA8954" s="6">
        <v>48.5</v>
      </c>
      <c r="AB8954" s="2" t="s">
        <v>86</v>
      </c>
      <c r="AC8954" s="2"/>
    </row>
    <row r="8955" spans="1:29" ht="182" x14ac:dyDescent="0.15">
      <c r="A8955" s="3">
        <f>DATE(2008,2,21)</f>
        <v>39499</v>
      </c>
      <c r="B8955" s="3">
        <f>DATE(2008,6,30)</f>
        <v>39629</v>
      </c>
      <c r="C8955" s="2" t="s">
        <v>95</v>
      </c>
      <c r="D8955" s="2" t="s">
        <v>26482</v>
      </c>
      <c r="E8955" s="2" t="s">
        <v>26483</v>
      </c>
      <c r="F8955" s="4">
        <v>7376</v>
      </c>
      <c r="G8955" s="2" t="s">
        <v>223</v>
      </c>
      <c r="H8955" s="2" t="s">
        <v>34</v>
      </c>
      <c r="I8955" s="2" t="s">
        <v>26484</v>
      </c>
      <c r="J8955" s="2" t="s">
        <v>26485</v>
      </c>
      <c r="K8955" s="2" t="s">
        <v>63</v>
      </c>
      <c r="L8955" s="2" t="s">
        <v>34</v>
      </c>
      <c r="M8955" s="7">
        <v>148.39400000000001</v>
      </c>
      <c r="N8955" s="6">
        <v>2.02</v>
      </c>
      <c r="O8955" s="5">
        <v>1.9</v>
      </c>
      <c r="P8955" s="2" t="s">
        <v>26486</v>
      </c>
      <c r="Q8955" s="6">
        <v>100</v>
      </c>
      <c r="R8955" s="6">
        <v>2.66</v>
      </c>
      <c r="S8955" s="5">
        <v>-0.7</v>
      </c>
      <c r="T8955" s="2"/>
      <c r="U8955" s="5">
        <v>1.9</v>
      </c>
      <c r="V8955" s="6">
        <v>-0.04</v>
      </c>
      <c r="W8955" s="5">
        <v>1.6</v>
      </c>
      <c r="X8955" s="6">
        <v>1.56</v>
      </c>
      <c r="Y8955" s="6">
        <v>2.31</v>
      </c>
      <c r="Z8955" s="6">
        <v>2.15</v>
      </c>
      <c r="AA8955" s="6">
        <v>19.7</v>
      </c>
      <c r="AB8955" s="7">
        <v>2639.8319999999999</v>
      </c>
      <c r="AC8955" s="5">
        <v>8.6</v>
      </c>
    </row>
    <row r="8956" spans="1:29" ht="91" x14ac:dyDescent="0.15">
      <c r="A8956" s="3">
        <f>DATE(2008,2,22)</f>
        <v>39500</v>
      </c>
      <c r="B8956" s="3">
        <f>DATE(2008,6,30)</f>
        <v>39629</v>
      </c>
      <c r="C8956" s="2" t="s">
        <v>95</v>
      </c>
      <c r="D8956" s="2" t="s">
        <v>26487</v>
      </c>
      <c r="E8956" s="2" t="s">
        <v>2728</v>
      </c>
      <c r="F8956" s="4">
        <v>3674</v>
      </c>
      <c r="G8956" s="2" t="s">
        <v>137</v>
      </c>
      <c r="H8956" s="2" t="s">
        <v>34</v>
      </c>
      <c r="I8956" s="2" t="s">
        <v>26488</v>
      </c>
      <c r="J8956" s="2" t="s">
        <v>26489</v>
      </c>
      <c r="K8956" s="2" t="s">
        <v>53</v>
      </c>
      <c r="L8956" s="2" t="s">
        <v>34</v>
      </c>
      <c r="M8956" s="2"/>
      <c r="N8956" s="2"/>
      <c r="O8956" s="2"/>
      <c r="P8956" s="2" t="s">
        <v>26490</v>
      </c>
      <c r="Q8956" s="6">
        <v>100</v>
      </c>
      <c r="R8956" s="6">
        <v>1.64</v>
      </c>
      <c r="S8956" s="5">
        <v>3.1</v>
      </c>
      <c r="T8956" s="6">
        <v>-1.46</v>
      </c>
      <c r="U8956" s="5">
        <v>1.3</v>
      </c>
      <c r="V8956" s="6">
        <v>0.09</v>
      </c>
      <c r="W8956" s="5">
        <v>1.2</v>
      </c>
      <c r="X8956" s="5">
        <v>1.2</v>
      </c>
      <c r="Y8956" s="6">
        <v>1.52</v>
      </c>
      <c r="Z8956" s="6">
        <v>1.54</v>
      </c>
      <c r="AA8956" s="6">
        <v>35.549999999999997</v>
      </c>
      <c r="AB8956" s="2" t="s">
        <v>86</v>
      </c>
      <c r="AC8956" s="2"/>
    </row>
    <row r="8957" spans="1:29" ht="130" x14ac:dyDescent="0.15">
      <c r="A8957" s="3">
        <f>DATE(2008,2,22)</f>
        <v>39500</v>
      </c>
      <c r="B8957" s="2"/>
      <c r="C8957" s="2" t="s">
        <v>30</v>
      </c>
      <c r="D8957" s="2" t="s">
        <v>26491</v>
      </c>
      <c r="E8957" s="2" t="s">
        <v>26492</v>
      </c>
      <c r="F8957" s="4">
        <v>8299</v>
      </c>
      <c r="G8957" s="2" t="s">
        <v>415</v>
      </c>
      <c r="H8957" s="2" t="s">
        <v>34</v>
      </c>
      <c r="I8957" s="2" t="s">
        <v>26493</v>
      </c>
      <c r="J8957" s="2" t="s">
        <v>150</v>
      </c>
      <c r="K8957" s="2" t="s">
        <v>53</v>
      </c>
      <c r="L8957" s="2" t="s">
        <v>34</v>
      </c>
      <c r="M8957" s="2"/>
      <c r="N8957" s="2"/>
      <c r="O8957" s="2"/>
      <c r="P8957" s="2" t="s">
        <v>26494</v>
      </c>
      <c r="Q8957" s="2"/>
      <c r="R8957" s="2"/>
      <c r="S8957" s="5">
        <v>-13.8</v>
      </c>
      <c r="T8957" s="7">
        <v>-8.327</v>
      </c>
      <c r="U8957" s="5">
        <v>-0.6</v>
      </c>
      <c r="V8957" s="6">
        <v>-1.6</v>
      </c>
      <c r="W8957" s="5">
        <v>1.6</v>
      </c>
      <c r="X8957" s="5">
        <v>1.6</v>
      </c>
      <c r="Y8957" s="4">
        <v>2</v>
      </c>
      <c r="Z8957" s="6">
        <v>1.95</v>
      </c>
      <c r="AA8957" s="6">
        <v>9.0299999999999994</v>
      </c>
      <c r="AB8957" s="2" t="s">
        <v>86</v>
      </c>
      <c r="AC8957" s="2"/>
    </row>
    <row r="8958" spans="1:29" ht="91" x14ac:dyDescent="0.15">
      <c r="A8958" s="3">
        <f>DATE(2008,2,24)</f>
        <v>39502</v>
      </c>
      <c r="B8958" s="2"/>
      <c r="C8958" s="2" t="s">
        <v>30</v>
      </c>
      <c r="D8958" s="2" t="s">
        <v>26495</v>
      </c>
      <c r="E8958" s="2" t="s">
        <v>26496</v>
      </c>
      <c r="F8958" s="4">
        <v>7372</v>
      </c>
      <c r="G8958" s="2" t="s">
        <v>551</v>
      </c>
      <c r="H8958" s="2" t="s">
        <v>34</v>
      </c>
      <c r="I8958" s="2" t="s">
        <v>4641</v>
      </c>
      <c r="J8958" s="2" t="s">
        <v>4642</v>
      </c>
      <c r="K8958" s="2" t="s">
        <v>551</v>
      </c>
      <c r="L8958" s="2" t="s">
        <v>34</v>
      </c>
      <c r="M8958" s="12">
        <v>14958.324000000001</v>
      </c>
      <c r="N8958" s="6">
        <v>47.14</v>
      </c>
      <c r="O8958" s="6">
        <v>47.14</v>
      </c>
      <c r="P8958" s="2" t="s">
        <v>26497</v>
      </c>
      <c r="Q8958" s="2"/>
      <c r="R8958" s="6">
        <v>26</v>
      </c>
      <c r="S8958" s="5">
        <v>-154.9</v>
      </c>
      <c r="T8958" s="7">
        <v>48.365000000000002</v>
      </c>
      <c r="U8958" s="5">
        <v>6.1</v>
      </c>
      <c r="V8958" s="6">
        <v>-2.12</v>
      </c>
      <c r="W8958" s="6">
        <v>20.07</v>
      </c>
      <c r="X8958" s="6">
        <v>20.85</v>
      </c>
      <c r="Y8958" s="6">
        <v>22.61</v>
      </c>
      <c r="Z8958" s="6">
        <v>23.79</v>
      </c>
      <c r="AA8958" s="6">
        <v>74.040000000000006</v>
      </c>
      <c r="AB8958" s="2" t="s">
        <v>86</v>
      </c>
      <c r="AC8958" s="8">
        <v>3420</v>
      </c>
    </row>
    <row r="8959" spans="1:29" ht="117" x14ac:dyDescent="0.15">
      <c r="A8959" s="3">
        <f>DATE(2008,2,25)</f>
        <v>39503</v>
      </c>
      <c r="B8959" s="2"/>
      <c r="C8959" s="2" t="s">
        <v>30</v>
      </c>
      <c r="D8959" s="2" t="s">
        <v>26498</v>
      </c>
      <c r="E8959" s="2" t="s">
        <v>26499</v>
      </c>
      <c r="F8959" s="4">
        <v>3559</v>
      </c>
      <c r="G8959" s="2" t="s">
        <v>300</v>
      </c>
      <c r="H8959" s="2" t="s">
        <v>34</v>
      </c>
      <c r="I8959" s="2" t="s">
        <v>51</v>
      </c>
      <c r="J8959" s="2" t="s">
        <v>52</v>
      </c>
      <c r="K8959" s="2" t="s">
        <v>53</v>
      </c>
      <c r="L8959" s="2" t="s">
        <v>34</v>
      </c>
      <c r="M8959" s="2"/>
      <c r="N8959" s="2"/>
      <c r="O8959" s="2"/>
      <c r="P8959" s="2" t="s">
        <v>26500</v>
      </c>
      <c r="Q8959" s="2"/>
      <c r="R8959" s="6">
        <v>6</v>
      </c>
      <c r="S8959" s="5">
        <v>2.6</v>
      </c>
      <c r="T8959" s="7">
        <v>41.896999999999998</v>
      </c>
      <c r="U8959" s="5">
        <v>2</v>
      </c>
      <c r="V8959" s="9">
        <v>4.7100000000000003E-2</v>
      </c>
      <c r="W8959" s="6">
        <v>2.59</v>
      </c>
      <c r="X8959" s="6">
        <v>3.64</v>
      </c>
      <c r="Y8959" s="6">
        <v>4.1399999999999997</v>
      </c>
      <c r="Z8959" s="6">
        <v>4.0199999999999996</v>
      </c>
      <c r="AA8959" s="6">
        <v>49.69</v>
      </c>
      <c r="AB8959" s="7">
        <v>25.658000000000001</v>
      </c>
      <c r="AC8959" s="2"/>
    </row>
    <row r="8960" spans="1:29" ht="130" x14ac:dyDescent="0.15">
      <c r="A8960" s="3">
        <f>DATE(2008,2,25)</f>
        <v>39503</v>
      </c>
      <c r="B8960" s="3">
        <f>DATE(2008,4,10)</f>
        <v>39548</v>
      </c>
      <c r="C8960" s="2" t="s">
        <v>95</v>
      </c>
      <c r="D8960" s="2" t="s">
        <v>26501</v>
      </c>
      <c r="E8960" s="2" t="s">
        <v>26502</v>
      </c>
      <c r="F8960" s="4">
        <v>3845</v>
      </c>
      <c r="G8960" s="2" t="s">
        <v>226</v>
      </c>
      <c r="H8960" s="2" t="s">
        <v>34</v>
      </c>
      <c r="I8960" s="2" t="s">
        <v>26503</v>
      </c>
      <c r="J8960" s="2" t="s">
        <v>26504</v>
      </c>
      <c r="K8960" s="2" t="s">
        <v>226</v>
      </c>
      <c r="L8960" s="2" t="s">
        <v>17048</v>
      </c>
      <c r="M8960" s="12">
        <v>1142.1179999999999</v>
      </c>
      <c r="N8960" s="6">
        <v>10.61</v>
      </c>
      <c r="O8960" s="7">
        <v>10.753</v>
      </c>
      <c r="P8960" s="2" t="s">
        <v>26505</v>
      </c>
      <c r="Q8960" s="6">
        <v>100</v>
      </c>
      <c r="R8960" s="6">
        <v>5.5</v>
      </c>
      <c r="S8960" s="5">
        <v>1.3</v>
      </c>
      <c r="T8960" s="7">
        <v>1.198</v>
      </c>
      <c r="U8960" s="5">
        <v>1.5</v>
      </c>
      <c r="V8960" s="6">
        <v>0.1</v>
      </c>
      <c r="W8960" s="6">
        <v>4.3499999999999996</v>
      </c>
      <c r="X8960" s="7">
        <v>4.6210000000000004</v>
      </c>
      <c r="Y8960" s="6">
        <v>5.16</v>
      </c>
      <c r="Z8960" s="6">
        <v>5.15</v>
      </c>
      <c r="AA8960" s="6">
        <v>12.96</v>
      </c>
      <c r="AB8960" s="7">
        <v>80.933999999999997</v>
      </c>
      <c r="AC8960" s="6">
        <v>8.91</v>
      </c>
    </row>
    <row r="8961" spans="1:29" ht="195" x14ac:dyDescent="0.15">
      <c r="A8961" s="3">
        <f>DATE(2008,2,25)</f>
        <v>39503</v>
      </c>
      <c r="B8961" s="3">
        <f>DATE(2008,7,2)</f>
        <v>39631</v>
      </c>
      <c r="C8961" s="2" t="s">
        <v>95</v>
      </c>
      <c r="D8961" s="2" t="s">
        <v>25210</v>
      </c>
      <c r="E8961" s="2" t="s">
        <v>25211</v>
      </c>
      <c r="F8961" s="4">
        <v>7335</v>
      </c>
      <c r="G8961" s="2" t="s">
        <v>223</v>
      </c>
      <c r="H8961" s="2" t="s">
        <v>34</v>
      </c>
      <c r="I8961" s="2" t="s">
        <v>26158</v>
      </c>
      <c r="J8961" s="2" t="s">
        <v>244</v>
      </c>
      <c r="K8961" s="2" t="s">
        <v>53</v>
      </c>
      <c r="L8961" s="2" t="s">
        <v>34</v>
      </c>
      <c r="M8961" s="2"/>
      <c r="N8961" s="2"/>
      <c r="O8961" s="2"/>
      <c r="P8961" s="2" t="s">
        <v>26506</v>
      </c>
      <c r="Q8961" s="6">
        <v>100</v>
      </c>
      <c r="R8961" s="6">
        <v>34</v>
      </c>
      <c r="S8961" s="5">
        <v>125.9</v>
      </c>
      <c r="T8961" s="7">
        <v>292.36500000000001</v>
      </c>
      <c r="U8961" s="5">
        <v>24</v>
      </c>
      <c r="V8961" s="6">
        <v>2.1</v>
      </c>
      <c r="W8961" s="6">
        <v>25.86</v>
      </c>
      <c r="X8961" s="6">
        <v>21.94</v>
      </c>
      <c r="Y8961" s="6">
        <v>21.94</v>
      </c>
      <c r="Z8961" s="6">
        <v>24.75</v>
      </c>
      <c r="AA8961" s="6">
        <v>59.55</v>
      </c>
      <c r="AB8961" s="7">
        <v>10.013</v>
      </c>
      <c r="AC8961" s="2"/>
    </row>
    <row r="8962" spans="1:29" ht="169" x14ac:dyDescent="0.15">
      <c r="A8962" s="3">
        <f>DATE(2008,2,26)</f>
        <v>39504</v>
      </c>
      <c r="B8962" s="3">
        <f>DATE(2008,4,11)</f>
        <v>39549</v>
      </c>
      <c r="C8962" s="2" t="s">
        <v>95</v>
      </c>
      <c r="D8962" s="2" t="s">
        <v>26507</v>
      </c>
      <c r="E8962" s="2" t="s">
        <v>3812</v>
      </c>
      <c r="F8962" s="4">
        <v>2834</v>
      </c>
      <c r="G8962" s="2" t="s">
        <v>130</v>
      </c>
      <c r="H8962" s="2" t="s">
        <v>34</v>
      </c>
      <c r="I8962" s="2" t="s">
        <v>26508</v>
      </c>
      <c r="J8962" s="2" t="s">
        <v>3812</v>
      </c>
      <c r="K8962" s="2" t="s">
        <v>130</v>
      </c>
      <c r="L8962" s="2" t="s">
        <v>34</v>
      </c>
      <c r="M8962" s="2"/>
      <c r="N8962" s="2"/>
      <c r="O8962" s="2"/>
      <c r="P8962" s="2" t="s">
        <v>26509</v>
      </c>
      <c r="Q8962" s="6">
        <v>100</v>
      </c>
      <c r="R8962" s="6">
        <v>16.600000000000001</v>
      </c>
      <c r="S8962" s="5">
        <v>-8.8000000000000007</v>
      </c>
      <c r="T8962" s="7">
        <v>-8.7539999999999996</v>
      </c>
      <c r="U8962" s="5">
        <v>2.7</v>
      </c>
      <c r="V8962" s="6">
        <v>-0.51</v>
      </c>
      <c r="W8962" s="6">
        <v>13.03</v>
      </c>
      <c r="X8962" s="5">
        <v>12.8</v>
      </c>
      <c r="Y8962" s="6">
        <v>16.329999999999998</v>
      </c>
      <c r="Z8962" s="6">
        <v>16.23</v>
      </c>
      <c r="AA8962" s="6">
        <v>21.47</v>
      </c>
      <c r="AB8962" s="2" t="s">
        <v>86</v>
      </c>
      <c r="AC8962" s="2"/>
    </row>
    <row r="8963" spans="1:29" ht="130" x14ac:dyDescent="0.15">
      <c r="A8963" s="3">
        <f>DATE(2008,2,26)</f>
        <v>39504</v>
      </c>
      <c r="B8963" s="3">
        <f>DATE(2008,4,29)</f>
        <v>39567</v>
      </c>
      <c r="C8963" s="2" t="s">
        <v>95</v>
      </c>
      <c r="D8963" s="2" t="s">
        <v>21373</v>
      </c>
      <c r="E8963" s="2" t="s">
        <v>21374</v>
      </c>
      <c r="F8963" s="4">
        <v>6411</v>
      </c>
      <c r="G8963" s="2" t="s">
        <v>125</v>
      </c>
      <c r="H8963" s="2" t="s">
        <v>34</v>
      </c>
      <c r="I8963" s="2" t="s">
        <v>26510</v>
      </c>
      <c r="J8963" s="2" t="s">
        <v>26511</v>
      </c>
      <c r="K8963" s="2" t="s">
        <v>551</v>
      </c>
      <c r="L8963" s="2" t="s">
        <v>34</v>
      </c>
      <c r="M8963" s="7">
        <v>299.91300000000001</v>
      </c>
      <c r="N8963" s="6">
        <v>14.31</v>
      </c>
      <c r="O8963" s="6">
        <v>13.81</v>
      </c>
      <c r="P8963" s="2" t="s">
        <v>26512</v>
      </c>
      <c r="Q8963" s="6">
        <v>100</v>
      </c>
      <c r="R8963" s="6">
        <v>11.16</v>
      </c>
      <c r="S8963" s="5">
        <v>-3.3</v>
      </c>
      <c r="T8963" s="7">
        <v>2.5790000000000002</v>
      </c>
      <c r="U8963" s="5">
        <v>4.7</v>
      </c>
      <c r="V8963" s="6">
        <v>-1.21</v>
      </c>
      <c r="W8963" s="6">
        <v>10.29</v>
      </c>
      <c r="X8963" s="6">
        <v>9.85</v>
      </c>
      <c r="Y8963" s="6">
        <v>10.55</v>
      </c>
      <c r="Z8963" s="6">
        <v>10.39</v>
      </c>
      <c r="AA8963" s="6">
        <v>5.56</v>
      </c>
      <c r="AB8963" s="2" t="s">
        <v>86</v>
      </c>
      <c r="AC8963" s="6">
        <v>90.93</v>
      </c>
    </row>
    <row r="8964" spans="1:29" ht="143" x14ac:dyDescent="0.15">
      <c r="A8964" s="3">
        <f>DATE(2008,2,27)</f>
        <v>39505</v>
      </c>
      <c r="B8964" s="3">
        <f>DATE(2008,9,2)</f>
        <v>39693</v>
      </c>
      <c r="C8964" s="2" t="s">
        <v>95</v>
      </c>
      <c r="D8964" s="2" t="s">
        <v>26513</v>
      </c>
      <c r="E8964" s="2" t="s">
        <v>672</v>
      </c>
      <c r="F8964" s="4">
        <v>6021</v>
      </c>
      <c r="G8964" s="2" t="s">
        <v>37</v>
      </c>
      <c r="H8964" s="2" t="s">
        <v>34</v>
      </c>
      <c r="I8964" s="2" t="s">
        <v>20454</v>
      </c>
      <c r="J8964" s="2" t="s">
        <v>36</v>
      </c>
      <c r="K8964" s="2" t="s">
        <v>37</v>
      </c>
      <c r="L8964" s="2" t="s">
        <v>34</v>
      </c>
      <c r="M8964" s="7">
        <v>273.39400000000001</v>
      </c>
      <c r="N8964" s="6">
        <v>13.62</v>
      </c>
      <c r="O8964" s="6">
        <v>13.36</v>
      </c>
      <c r="P8964" s="2" t="s">
        <v>26514</v>
      </c>
      <c r="Q8964" s="6">
        <v>100</v>
      </c>
      <c r="R8964" s="6">
        <v>18.34</v>
      </c>
      <c r="S8964" s="5">
        <v>-4.8</v>
      </c>
      <c r="T8964" s="7">
        <v>-2.3919999999999999</v>
      </c>
      <c r="U8964" s="5">
        <v>17.7</v>
      </c>
      <c r="V8964" s="6">
        <v>-2.42</v>
      </c>
      <c r="W8964" s="5">
        <v>13.7</v>
      </c>
      <c r="X8964" s="6">
        <v>10.79</v>
      </c>
      <c r="Y8964" s="4">
        <v>16</v>
      </c>
      <c r="Z8964" s="6">
        <v>16.690000000000001</v>
      </c>
      <c r="AA8964" s="6">
        <v>1.99</v>
      </c>
      <c r="AB8964" s="2" t="s">
        <v>86</v>
      </c>
      <c r="AC8964" s="2"/>
    </row>
    <row r="8965" spans="1:29" ht="130" x14ac:dyDescent="0.15">
      <c r="A8965" s="3">
        <f>DATE(2008,2,28)</f>
        <v>39506</v>
      </c>
      <c r="B8965" s="3">
        <f>DATE(2008,7,1)</f>
        <v>39630</v>
      </c>
      <c r="C8965" s="2" t="s">
        <v>95</v>
      </c>
      <c r="D8965" s="2" t="s">
        <v>18990</v>
      </c>
      <c r="E8965" s="2" t="s">
        <v>18991</v>
      </c>
      <c r="F8965" s="4">
        <v>8731</v>
      </c>
      <c r="G8965" s="2" t="s">
        <v>223</v>
      </c>
      <c r="H8965" s="2" t="s">
        <v>34</v>
      </c>
      <c r="I8965" s="2" t="s">
        <v>278</v>
      </c>
      <c r="J8965" s="2" t="s">
        <v>52</v>
      </c>
      <c r="K8965" s="2" t="s">
        <v>53</v>
      </c>
      <c r="L8965" s="2" t="s">
        <v>34</v>
      </c>
      <c r="M8965" s="2"/>
      <c r="N8965" s="2"/>
      <c r="O8965" s="2"/>
      <c r="P8965" s="2" t="s">
        <v>26515</v>
      </c>
      <c r="Q8965" s="6">
        <v>100</v>
      </c>
      <c r="R8965" s="6">
        <v>11.38</v>
      </c>
      <c r="S8965" s="5">
        <v>-19.8</v>
      </c>
      <c r="T8965" s="7">
        <v>-48.686999999999998</v>
      </c>
      <c r="U8965" s="5">
        <v>9.1999999999999993</v>
      </c>
      <c r="V8965" s="6">
        <v>-0.25</v>
      </c>
      <c r="W8965" s="6">
        <v>13.88</v>
      </c>
      <c r="X8965" s="6">
        <v>14.09</v>
      </c>
      <c r="Y8965" s="6">
        <v>13.96</v>
      </c>
      <c r="Z8965" s="6">
        <v>13.86</v>
      </c>
      <c r="AA8965" s="6">
        <v>80</v>
      </c>
      <c r="AB8965" s="2" t="s">
        <v>86</v>
      </c>
      <c r="AC8965" s="2"/>
    </row>
    <row r="8966" spans="1:29" ht="78" x14ac:dyDescent="0.15">
      <c r="A8966" s="3">
        <f>DATE(2008,3,3)</f>
        <v>39510</v>
      </c>
      <c r="B8966" s="2"/>
      <c r="C8966" s="2" t="s">
        <v>30</v>
      </c>
      <c r="D8966" s="2" t="s">
        <v>26516</v>
      </c>
      <c r="E8966" s="2" t="s">
        <v>26517</v>
      </c>
      <c r="F8966" s="4">
        <v>3578</v>
      </c>
      <c r="G8966" s="2" t="s">
        <v>50</v>
      </c>
      <c r="H8966" s="2" t="s">
        <v>34</v>
      </c>
      <c r="I8966" s="2" t="s">
        <v>13850</v>
      </c>
      <c r="J8966" s="2" t="s">
        <v>13851</v>
      </c>
      <c r="K8966" s="2" t="s">
        <v>219</v>
      </c>
      <c r="L8966" s="2" t="s">
        <v>34</v>
      </c>
      <c r="M8966" s="12">
        <v>73939.524999999994</v>
      </c>
      <c r="N8966" s="5">
        <v>69.400000000000006</v>
      </c>
      <c r="O8966" s="5">
        <v>68.900000000000006</v>
      </c>
      <c r="P8966" s="2" t="s">
        <v>26518</v>
      </c>
      <c r="Q8966" s="2"/>
      <c r="R8966" s="6">
        <v>40</v>
      </c>
      <c r="S8966" s="5">
        <v>39.5</v>
      </c>
      <c r="T8966" s="6">
        <v>229.08</v>
      </c>
      <c r="U8966" s="5">
        <v>16.899999999999999</v>
      </c>
      <c r="V8966" s="6">
        <v>0.59</v>
      </c>
      <c r="W8966" s="6">
        <v>25.76</v>
      </c>
      <c r="X8966" s="6">
        <v>24.12</v>
      </c>
      <c r="Y8966" s="6">
        <v>38.840000000000003</v>
      </c>
      <c r="Z8966" s="6">
        <v>37.68</v>
      </c>
      <c r="AA8966" s="6">
        <v>65.790000000000006</v>
      </c>
      <c r="AB8966" s="7">
        <v>17.882999999999999</v>
      </c>
      <c r="AC8966" s="8">
        <v>2904</v>
      </c>
    </row>
    <row r="8967" spans="1:29" ht="78" x14ac:dyDescent="0.15">
      <c r="A8967" s="3">
        <f>DATE(2008,3,3)</f>
        <v>39510</v>
      </c>
      <c r="B8967" s="3">
        <f>DATE(2008,4,21)</f>
        <v>39559</v>
      </c>
      <c r="C8967" s="2" t="s">
        <v>95</v>
      </c>
      <c r="D8967" s="2" t="s">
        <v>26519</v>
      </c>
      <c r="E8967" s="2" t="s">
        <v>12382</v>
      </c>
      <c r="F8967" s="4">
        <v>7372</v>
      </c>
      <c r="G8967" s="2" t="s">
        <v>551</v>
      </c>
      <c r="H8967" s="2" t="s">
        <v>34</v>
      </c>
      <c r="I8967" s="2" t="s">
        <v>26520</v>
      </c>
      <c r="J8967" s="2" t="s">
        <v>26521</v>
      </c>
      <c r="K8967" s="2" t="s">
        <v>551</v>
      </c>
      <c r="L8967" s="2" t="s">
        <v>34</v>
      </c>
      <c r="M8967" s="7">
        <v>323.34500000000003</v>
      </c>
      <c r="N8967" s="6">
        <v>12.75</v>
      </c>
      <c r="O8967" s="6">
        <v>11.83</v>
      </c>
      <c r="P8967" s="2" t="s">
        <v>26522</v>
      </c>
      <c r="Q8967" s="6">
        <v>100</v>
      </c>
      <c r="R8967" s="6">
        <v>1.85</v>
      </c>
      <c r="S8967" s="5">
        <v>-2.8</v>
      </c>
      <c r="T8967" s="7">
        <v>-2.4260000000000002</v>
      </c>
      <c r="U8967" s="5">
        <v>0.4</v>
      </c>
      <c r="V8967" s="6">
        <v>-0.12</v>
      </c>
      <c r="W8967" s="5">
        <v>1.2</v>
      </c>
      <c r="X8967" s="6">
        <v>1.25</v>
      </c>
      <c r="Y8967" s="6">
        <v>1.76</v>
      </c>
      <c r="Z8967" s="6">
        <v>1.75</v>
      </c>
      <c r="AA8967" s="6">
        <v>21.29</v>
      </c>
      <c r="AB8967" s="2" t="s">
        <v>86</v>
      </c>
      <c r="AC8967" s="6">
        <v>71.209999999999994</v>
      </c>
    </row>
    <row r="8968" spans="1:29" ht="78" x14ac:dyDescent="0.15">
      <c r="A8968" s="3">
        <f>DATE(2008,3,4)</f>
        <v>39511</v>
      </c>
      <c r="B8968" s="3">
        <f>DATE(2008,7,8)</f>
        <v>39637</v>
      </c>
      <c r="C8968" s="2" t="s">
        <v>95</v>
      </c>
      <c r="D8968" s="2" t="s">
        <v>26523</v>
      </c>
      <c r="E8968" s="2" t="s">
        <v>20469</v>
      </c>
      <c r="F8968" s="4">
        <v>7373</v>
      </c>
      <c r="G8968" s="2" t="s">
        <v>223</v>
      </c>
      <c r="H8968" s="2" t="s">
        <v>34</v>
      </c>
      <c r="I8968" s="2" t="s">
        <v>2400</v>
      </c>
      <c r="J8968" s="2" t="s">
        <v>2401</v>
      </c>
      <c r="K8968" s="2" t="s">
        <v>112</v>
      </c>
      <c r="L8968" s="2" t="s">
        <v>34</v>
      </c>
      <c r="M8968" s="7">
        <v>13.307</v>
      </c>
      <c r="N8968" s="6">
        <v>47.01</v>
      </c>
      <c r="O8968" s="6">
        <v>45.98</v>
      </c>
      <c r="P8968" s="2" t="s">
        <v>26524</v>
      </c>
      <c r="Q8968" s="6">
        <v>100</v>
      </c>
      <c r="R8968" s="2"/>
      <c r="S8968" s="2"/>
      <c r="T8968" s="2"/>
      <c r="U8968" s="2"/>
      <c r="V8968" s="2"/>
      <c r="W8968" s="7">
        <v>2.6339999999999999</v>
      </c>
      <c r="X8968" s="6">
        <v>2.63</v>
      </c>
      <c r="Y8968" s="6">
        <v>2.68</v>
      </c>
      <c r="Z8968" s="7">
        <v>3.5870000000000002</v>
      </c>
      <c r="AA8968" s="6">
        <v>15.14</v>
      </c>
      <c r="AB8968" s="2" t="s">
        <v>47</v>
      </c>
      <c r="AC8968" s="5">
        <v>415.8</v>
      </c>
    </row>
    <row r="8969" spans="1:29" ht="117" x14ac:dyDescent="0.15">
      <c r="A8969" s="3">
        <f>DATE(2008,3,5)</f>
        <v>39512</v>
      </c>
      <c r="B8969" s="2"/>
      <c r="C8969" s="2" t="s">
        <v>30</v>
      </c>
      <c r="D8969" s="2" t="s">
        <v>26525</v>
      </c>
      <c r="E8969" s="2" t="s">
        <v>26526</v>
      </c>
      <c r="F8969" s="4">
        <v>7373</v>
      </c>
      <c r="G8969" s="2" t="s">
        <v>223</v>
      </c>
      <c r="H8969" s="2" t="s">
        <v>34</v>
      </c>
      <c r="I8969" s="2" t="s">
        <v>26527</v>
      </c>
      <c r="J8969" s="2" t="s">
        <v>22486</v>
      </c>
      <c r="K8969" s="2" t="s">
        <v>53</v>
      </c>
      <c r="L8969" s="2" t="s">
        <v>34</v>
      </c>
      <c r="M8969" s="2"/>
      <c r="N8969" s="2"/>
      <c r="O8969" s="2"/>
      <c r="P8969" s="2" t="s">
        <v>26528</v>
      </c>
      <c r="Q8969" s="2"/>
      <c r="R8969" s="6">
        <v>5.5</v>
      </c>
      <c r="S8969" s="5">
        <v>-25.6</v>
      </c>
      <c r="T8969" s="7">
        <v>-15.504</v>
      </c>
      <c r="U8969" s="5">
        <v>4.5</v>
      </c>
      <c r="V8969" s="6">
        <v>-0.71</v>
      </c>
      <c r="W8969" s="6">
        <v>4.6900000000000004</v>
      </c>
      <c r="X8969" s="6">
        <v>3.86</v>
      </c>
      <c r="Y8969" s="6">
        <v>4.9400000000000004</v>
      </c>
      <c r="Z8969" s="5">
        <v>4.9000000000000004</v>
      </c>
      <c r="AA8969" s="6">
        <v>36.47</v>
      </c>
      <c r="AB8969" s="2" t="s">
        <v>86</v>
      </c>
      <c r="AC8969" s="2"/>
    </row>
    <row r="8970" spans="1:29" ht="143" x14ac:dyDescent="0.15">
      <c r="A8970" s="3">
        <f>DATE(2008,3,5)</f>
        <v>39512</v>
      </c>
      <c r="B8970" s="3">
        <f>DATE(2008,4,8)</f>
        <v>39546</v>
      </c>
      <c r="C8970" s="2" t="s">
        <v>95</v>
      </c>
      <c r="D8970" s="2" t="s">
        <v>26529</v>
      </c>
      <c r="E8970" s="2" t="s">
        <v>26530</v>
      </c>
      <c r="F8970" s="4">
        <v>7372</v>
      </c>
      <c r="G8970" s="2" t="s">
        <v>551</v>
      </c>
      <c r="H8970" s="2" t="s">
        <v>34</v>
      </c>
      <c r="I8970" s="2" t="s">
        <v>26531</v>
      </c>
      <c r="J8970" s="2" t="s">
        <v>500</v>
      </c>
      <c r="K8970" s="2" t="s">
        <v>137</v>
      </c>
      <c r="L8970" s="2" t="s">
        <v>4242</v>
      </c>
      <c r="M8970" s="2"/>
      <c r="N8970" s="7">
        <v>5.2560000000000002</v>
      </c>
      <c r="O8970" s="7">
        <v>5.2530000000000001</v>
      </c>
      <c r="P8970" s="2" t="s">
        <v>26532</v>
      </c>
      <c r="Q8970" s="6">
        <v>14.99</v>
      </c>
      <c r="R8970" s="2"/>
      <c r="S8970" s="5">
        <v>29</v>
      </c>
      <c r="T8970" s="7">
        <v>44.585000000000001</v>
      </c>
      <c r="U8970" s="5">
        <v>25.8</v>
      </c>
      <c r="V8970" s="9">
        <v>1.8786</v>
      </c>
      <c r="W8970" s="6">
        <v>12.65</v>
      </c>
      <c r="X8970" s="6">
        <v>11.97</v>
      </c>
      <c r="Y8970" s="6">
        <v>12.19</v>
      </c>
      <c r="Z8970" s="6">
        <v>12.08</v>
      </c>
      <c r="AA8970" s="6">
        <v>15.6</v>
      </c>
      <c r="AB8970" s="2" t="s">
        <v>47</v>
      </c>
      <c r="AC8970" s="6">
        <v>482.48</v>
      </c>
    </row>
    <row r="8971" spans="1:29" ht="65" x14ac:dyDescent="0.15">
      <c r="A8971" s="3">
        <f>DATE(2008,3,6)</f>
        <v>39513</v>
      </c>
      <c r="B8971" s="3">
        <f>DATE(2008,10,9)</f>
        <v>39730</v>
      </c>
      <c r="C8971" s="2" t="s">
        <v>95</v>
      </c>
      <c r="D8971" s="2" t="s">
        <v>26533</v>
      </c>
      <c r="E8971" s="2" t="s">
        <v>26534</v>
      </c>
      <c r="F8971" s="4">
        <v>7372</v>
      </c>
      <c r="G8971" s="2" t="s">
        <v>551</v>
      </c>
      <c r="H8971" s="2" t="s">
        <v>34</v>
      </c>
      <c r="I8971" s="2" t="s">
        <v>15735</v>
      </c>
      <c r="J8971" s="2" t="s">
        <v>849</v>
      </c>
      <c r="K8971" s="2" t="s">
        <v>551</v>
      </c>
      <c r="L8971" s="2" t="s">
        <v>133</v>
      </c>
      <c r="M8971" s="12">
        <v>26069.883000000002</v>
      </c>
      <c r="N8971" s="7">
        <v>22.029</v>
      </c>
      <c r="O8971" s="7">
        <v>21.545999999999999</v>
      </c>
      <c r="P8971" s="2" t="s">
        <v>26535</v>
      </c>
      <c r="Q8971" s="6">
        <v>49</v>
      </c>
      <c r="R8971" s="6">
        <v>1.68</v>
      </c>
      <c r="S8971" s="5">
        <v>-74.2</v>
      </c>
      <c r="T8971" s="7">
        <v>-20.248999999999999</v>
      </c>
      <c r="U8971" s="5">
        <v>-1.2</v>
      </c>
      <c r="V8971" s="6">
        <v>-5.49</v>
      </c>
      <c r="W8971" s="6">
        <v>1.58</v>
      </c>
      <c r="X8971" s="6">
        <v>1.68</v>
      </c>
      <c r="Y8971" s="6">
        <v>1.66</v>
      </c>
      <c r="Z8971" s="6">
        <v>1.66</v>
      </c>
      <c r="AA8971" s="6">
        <v>13.48</v>
      </c>
      <c r="AB8971" s="2" t="s">
        <v>86</v>
      </c>
      <c r="AC8971" s="6">
        <v>62.24</v>
      </c>
    </row>
    <row r="8972" spans="1:29" ht="65" x14ac:dyDescent="0.15">
      <c r="A8972" s="3">
        <f>DATE(2008,3,6)</f>
        <v>39513</v>
      </c>
      <c r="B8972" s="2"/>
      <c r="C8972" s="2" t="s">
        <v>87</v>
      </c>
      <c r="D8972" s="2" t="s">
        <v>14230</v>
      </c>
      <c r="E8972" s="2" t="s">
        <v>23280</v>
      </c>
      <c r="F8972" s="4">
        <v>4813</v>
      </c>
      <c r="G8972" s="2" t="s">
        <v>63</v>
      </c>
      <c r="H8972" s="2" t="s">
        <v>34</v>
      </c>
      <c r="I8972" s="2" t="s">
        <v>14984</v>
      </c>
      <c r="J8972" s="2" t="s">
        <v>6519</v>
      </c>
      <c r="K8972" s="2" t="s">
        <v>63</v>
      </c>
      <c r="L8972" s="2" t="s">
        <v>1049</v>
      </c>
      <c r="M8972" s="10">
        <v>84330.05</v>
      </c>
      <c r="N8972" s="7">
        <v>18.286000000000001</v>
      </c>
      <c r="O8972" s="7">
        <v>18.295000000000002</v>
      </c>
      <c r="P8972" s="2" t="s">
        <v>26536</v>
      </c>
      <c r="Q8972" s="2"/>
      <c r="R8972" s="2"/>
      <c r="S8972" s="5">
        <v>-29580</v>
      </c>
      <c r="T8972" s="8">
        <v>10798</v>
      </c>
      <c r="U8972" s="5">
        <v>7.7</v>
      </c>
      <c r="V8972" s="6">
        <v>-10.31</v>
      </c>
      <c r="W8972" s="6">
        <v>8.09</v>
      </c>
      <c r="X8972" s="4">
        <v>7</v>
      </c>
      <c r="Y8972" s="5">
        <v>6.8</v>
      </c>
      <c r="Z8972" s="6">
        <v>7.01</v>
      </c>
      <c r="AA8972" s="10">
        <v>2848.94</v>
      </c>
      <c r="AB8972" s="2" t="s">
        <v>47</v>
      </c>
      <c r="AC8972" s="10">
        <v>3772.81</v>
      </c>
    </row>
    <row r="8973" spans="1:29" ht="156" x14ac:dyDescent="0.15">
      <c r="A8973" s="3">
        <f>DATE(2008,3,10)</f>
        <v>39517</v>
      </c>
      <c r="B8973" s="3">
        <f>DATE(2008,6,9)</f>
        <v>39608</v>
      </c>
      <c r="C8973" s="2" t="s">
        <v>95</v>
      </c>
      <c r="D8973" s="2" t="s">
        <v>9831</v>
      </c>
      <c r="E8973" s="2" t="s">
        <v>9832</v>
      </c>
      <c r="F8973" s="4">
        <v>3572</v>
      </c>
      <c r="G8973" s="2" t="s">
        <v>50</v>
      </c>
      <c r="H8973" s="2" t="s">
        <v>34</v>
      </c>
      <c r="I8973" s="2" t="s">
        <v>15063</v>
      </c>
      <c r="J8973" s="2" t="s">
        <v>15064</v>
      </c>
      <c r="K8973" s="2" t="s">
        <v>50</v>
      </c>
      <c r="L8973" s="2" t="s">
        <v>34</v>
      </c>
      <c r="M8973" s="12">
        <v>32873.915000000001</v>
      </c>
      <c r="N8973" s="5">
        <v>14.7</v>
      </c>
      <c r="O8973" s="6">
        <v>15.03</v>
      </c>
      <c r="P8973" s="2" t="s">
        <v>26537</v>
      </c>
      <c r="Q8973" s="6">
        <v>100</v>
      </c>
      <c r="R8973" s="6">
        <v>3.85</v>
      </c>
      <c r="S8973" s="5">
        <v>10.9</v>
      </c>
      <c r="T8973" s="7">
        <v>9.9770000000000003</v>
      </c>
      <c r="U8973" s="5">
        <v>1.9</v>
      </c>
      <c r="V8973" s="6">
        <v>0.2</v>
      </c>
      <c r="W8973" s="5">
        <v>2.8</v>
      </c>
      <c r="X8973" s="6">
        <v>2.66</v>
      </c>
      <c r="Y8973" s="5">
        <v>3.2</v>
      </c>
      <c r="Z8973" s="6">
        <v>3.23</v>
      </c>
      <c r="AA8973" s="6">
        <v>57.07</v>
      </c>
      <c r="AB8973" s="7">
        <v>23.87</v>
      </c>
      <c r="AC8973" s="10">
        <v>5613.5</v>
      </c>
    </row>
    <row r="8974" spans="1:29" ht="78" x14ac:dyDescent="0.15">
      <c r="A8974" s="3">
        <f>DATE(2008,3,10)</f>
        <v>39517</v>
      </c>
      <c r="B8974" s="3">
        <f>DATE(2008,9,3)</f>
        <v>39694</v>
      </c>
      <c r="C8974" s="2" t="s">
        <v>95</v>
      </c>
      <c r="D8974" s="2" t="s">
        <v>9357</v>
      </c>
      <c r="E8974" s="2" t="s">
        <v>3246</v>
      </c>
      <c r="F8974" s="4">
        <v>6021</v>
      </c>
      <c r="G8974" s="2" t="s">
        <v>37</v>
      </c>
      <c r="H8974" s="2" t="s">
        <v>34</v>
      </c>
      <c r="I8974" s="2" t="s">
        <v>10805</v>
      </c>
      <c r="J8974" s="2" t="s">
        <v>1304</v>
      </c>
      <c r="K8974" s="2" t="s">
        <v>37</v>
      </c>
      <c r="L8974" s="2" t="s">
        <v>34</v>
      </c>
      <c r="M8974" s="2"/>
      <c r="N8974" s="2"/>
      <c r="O8974" s="2"/>
      <c r="P8974" s="2" t="s">
        <v>26538</v>
      </c>
      <c r="Q8974" s="6">
        <v>100</v>
      </c>
      <c r="R8974" s="6">
        <v>40</v>
      </c>
      <c r="S8974" s="5">
        <v>7.7</v>
      </c>
      <c r="T8974" s="6">
        <v>12.42</v>
      </c>
      <c r="U8974" s="5">
        <v>25.7</v>
      </c>
      <c r="V8974" s="6">
        <v>1.78</v>
      </c>
      <c r="W8974" s="5">
        <v>38.4</v>
      </c>
      <c r="X8974" s="5">
        <v>38.200000000000003</v>
      </c>
      <c r="Y8974" s="4">
        <v>38</v>
      </c>
      <c r="Z8974" s="6">
        <v>38.82</v>
      </c>
      <c r="AA8974" s="6">
        <v>4.2699999999999996</v>
      </c>
      <c r="AB8974" s="7">
        <v>14.507999999999999</v>
      </c>
      <c r="AC8974" s="2"/>
    </row>
    <row r="8975" spans="1:29" ht="117" x14ac:dyDescent="0.15">
      <c r="A8975" s="3">
        <f>DATE(2008,3,10)</f>
        <v>39517</v>
      </c>
      <c r="B8975" s="3">
        <f>DATE(2009,1,2)</f>
        <v>39815</v>
      </c>
      <c r="C8975" s="2" t="s">
        <v>95</v>
      </c>
      <c r="D8975" s="2" t="s">
        <v>26539</v>
      </c>
      <c r="E8975" s="2" t="s">
        <v>9851</v>
      </c>
      <c r="F8975" s="4">
        <v>6311</v>
      </c>
      <c r="G8975" s="2" t="s">
        <v>125</v>
      </c>
      <c r="H8975" s="2" t="s">
        <v>34</v>
      </c>
      <c r="I8975" s="2" t="s">
        <v>12136</v>
      </c>
      <c r="J8975" s="2" t="s">
        <v>12137</v>
      </c>
      <c r="K8975" s="2" t="s">
        <v>125</v>
      </c>
      <c r="L8975" s="2" t="s">
        <v>34</v>
      </c>
      <c r="M8975" s="2"/>
      <c r="N8975" s="2"/>
      <c r="O8975" s="2"/>
      <c r="P8975" s="2" t="s">
        <v>26540</v>
      </c>
      <c r="Q8975" s="6">
        <v>35.65</v>
      </c>
      <c r="R8975" s="6">
        <v>52.25</v>
      </c>
      <c r="S8975" s="5">
        <v>345.1</v>
      </c>
      <c r="T8975" s="2"/>
      <c r="U8975" s="5">
        <v>39.4</v>
      </c>
      <c r="V8975" s="6">
        <v>2.68</v>
      </c>
      <c r="W8975" s="6">
        <v>40.61</v>
      </c>
      <c r="X8975" s="6">
        <v>37.93</v>
      </c>
      <c r="Y8975" s="6">
        <v>47.72</v>
      </c>
      <c r="Z8975" s="4">
        <v>48</v>
      </c>
      <c r="AA8975" s="6">
        <v>137.93</v>
      </c>
      <c r="AB8975" s="7">
        <v>29.86</v>
      </c>
      <c r="AC8975" s="2"/>
    </row>
    <row r="8976" spans="1:29" ht="221" x14ac:dyDescent="0.15">
      <c r="A8976" s="3">
        <f>DATE(2008,3,10)</f>
        <v>39517</v>
      </c>
      <c r="B8976" s="3">
        <f>DATE(2008,10,16)</f>
        <v>39737</v>
      </c>
      <c r="C8976" s="2" t="s">
        <v>95</v>
      </c>
      <c r="D8976" s="2" t="s">
        <v>26541</v>
      </c>
      <c r="E8976" s="2" t="s">
        <v>3246</v>
      </c>
      <c r="F8976" s="4">
        <v>6021</v>
      </c>
      <c r="G8976" s="2" t="s">
        <v>37</v>
      </c>
      <c r="H8976" s="2" t="s">
        <v>34</v>
      </c>
      <c r="I8976" s="2" t="s">
        <v>26542</v>
      </c>
      <c r="J8976" s="2" t="s">
        <v>159</v>
      </c>
      <c r="K8976" s="2" t="s">
        <v>37</v>
      </c>
      <c r="L8976" s="2" t="s">
        <v>34</v>
      </c>
      <c r="M8976" s="7">
        <v>27.047999999999998</v>
      </c>
      <c r="N8976" s="6">
        <v>11.29</v>
      </c>
      <c r="O8976" s="5">
        <v>10.3</v>
      </c>
      <c r="P8976" s="2" t="s">
        <v>26543</v>
      </c>
      <c r="Q8976" s="6">
        <v>100</v>
      </c>
      <c r="R8976" s="6">
        <v>11.29</v>
      </c>
      <c r="S8976" s="5">
        <v>5</v>
      </c>
      <c r="T8976" s="7">
        <v>8.9250000000000007</v>
      </c>
      <c r="U8976" s="5">
        <v>92.1</v>
      </c>
      <c r="V8976" s="6">
        <v>4.9000000000000004</v>
      </c>
      <c r="W8976" s="6">
        <v>8.06</v>
      </c>
      <c r="X8976" s="6">
        <v>7.75</v>
      </c>
      <c r="Y8976" s="7">
        <v>9.9239999999999995</v>
      </c>
      <c r="Z8976" s="6">
        <v>9.5500000000000007</v>
      </c>
      <c r="AA8976" s="6">
        <v>1.8</v>
      </c>
      <c r="AB8976" s="7">
        <v>12.843</v>
      </c>
      <c r="AC8976" s="2"/>
    </row>
    <row r="8977" spans="1:29" ht="143" x14ac:dyDescent="0.15">
      <c r="A8977" s="3">
        <f>DATE(2008,3,10)</f>
        <v>39517</v>
      </c>
      <c r="B8977" s="3">
        <f>DATE(2008,7,11)</f>
        <v>39640</v>
      </c>
      <c r="C8977" s="2" t="s">
        <v>95</v>
      </c>
      <c r="D8977" s="2" t="s">
        <v>26544</v>
      </c>
      <c r="E8977" s="2" t="s">
        <v>26545</v>
      </c>
      <c r="F8977" s="4">
        <v>3594</v>
      </c>
      <c r="G8977" s="2" t="s">
        <v>300</v>
      </c>
      <c r="H8977" s="2" t="s">
        <v>34</v>
      </c>
      <c r="I8977" s="2" t="s">
        <v>26546</v>
      </c>
      <c r="J8977" s="2" t="s">
        <v>500</v>
      </c>
      <c r="K8977" s="2" t="s">
        <v>137</v>
      </c>
      <c r="L8977" s="2" t="s">
        <v>734</v>
      </c>
      <c r="M8977" s="2"/>
      <c r="N8977" s="2"/>
      <c r="O8977" s="2"/>
      <c r="P8977" s="2" t="s">
        <v>26547</v>
      </c>
      <c r="Q8977" s="6">
        <v>17.36</v>
      </c>
      <c r="R8977" s="2"/>
      <c r="S8977" s="5">
        <v>47.2</v>
      </c>
      <c r="T8977" s="7">
        <v>225.64400000000001</v>
      </c>
      <c r="U8977" s="5">
        <v>10.9</v>
      </c>
      <c r="V8977" s="6">
        <v>0.98</v>
      </c>
      <c r="W8977" s="5">
        <v>19.899999999999999</v>
      </c>
      <c r="X8977" s="6">
        <v>18.350000000000001</v>
      </c>
      <c r="Y8977" s="5">
        <v>17.8</v>
      </c>
      <c r="Z8977" s="6">
        <v>19.09</v>
      </c>
      <c r="AA8977" s="6">
        <v>48.15</v>
      </c>
      <c r="AB8977" s="7">
        <v>26.41</v>
      </c>
      <c r="AC8977" s="6">
        <v>140.74</v>
      </c>
    </row>
    <row r="8978" spans="1:29" ht="78" x14ac:dyDescent="0.15">
      <c r="A8978" s="3">
        <f>DATE(2008,3,11)</f>
        <v>39518</v>
      </c>
      <c r="B8978" s="2"/>
      <c r="C8978" s="2" t="s">
        <v>39</v>
      </c>
      <c r="D8978" s="2" t="s">
        <v>4101</v>
      </c>
      <c r="E8978" s="2" t="s">
        <v>21020</v>
      </c>
      <c r="F8978" s="4">
        <v>2024</v>
      </c>
      <c r="G8978" s="2" t="s">
        <v>577</v>
      </c>
      <c r="H8978" s="2" t="s">
        <v>34</v>
      </c>
      <c r="I8978" s="2" t="s">
        <v>13147</v>
      </c>
      <c r="J8978" s="2" t="s">
        <v>13148</v>
      </c>
      <c r="K8978" s="2" t="s">
        <v>577</v>
      </c>
      <c r="L8978" s="2" t="s">
        <v>133</v>
      </c>
      <c r="M8978" s="12">
        <v>205476.23699999999</v>
      </c>
      <c r="N8978" s="7">
        <v>79.870999999999995</v>
      </c>
      <c r="O8978" s="7">
        <v>84.242000000000004</v>
      </c>
      <c r="P8978" s="2" t="s">
        <v>26548</v>
      </c>
      <c r="Q8978" s="2"/>
      <c r="R8978" s="2"/>
      <c r="S8978" s="5">
        <v>130.5</v>
      </c>
      <c r="T8978" s="7">
        <v>821.60400000000004</v>
      </c>
      <c r="U8978" s="5">
        <v>0.8</v>
      </c>
      <c r="V8978" s="6">
        <v>1.9</v>
      </c>
      <c r="W8978" s="6">
        <v>21.43</v>
      </c>
      <c r="X8978" s="5">
        <v>20.3</v>
      </c>
      <c r="Y8978" s="6">
        <v>20.96</v>
      </c>
      <c r="Z8978" s="6">
        <v>20.74</v>
      </c>
      <c r="AA8978" s="6">
        <v>132.65</v>
      </c>
      <c r="AB8978" s="2" t="s">
        <v>47</v>
      </c>
      <c r="AC8978" s="10">
        <v>1519.93</v>
      </c>
    </row>
    <row r="8979" spans="1:29" ht="91" x14ac:dyDescent="0.15">
      <c r="A8979" s="3">
        <f>DATE(2008,3,13)</f>
        <v>39520</v>
      </c>
      <c r="B8979" s="3">
        <f>DATE(2008,8,1)</f>
        <v>39661</v>
      </c>
      <c r="C8979" s="2" t="s">
        <v>95</v>
      </c>
      <c r="D8979" s="2" t="s">
        <v>26549</v>
      </c>
      <c r="E8979" s="2" t="s">
        <v>26550</v>
      </c>
      <c r="F8979" s="4">
        <v>6331</v>
      </c>
      <c r="G8979" s="2" t="s">
        <v>125</v>
      </c>
      <c r="H8979" s="2" t="s">
        <v>34</v>
      </c>
      <c r="I8979" s="2" t="s">
        <v>26551</v>
      </c>
      <c r="J8979" s="2" t="s">
        <v>25248</v>
      </c>
      <c r="K8979" s="2" t="s">
        <v>125</v>
      </c>
      <c r="L8979" s="2" t="s">
        <v>34</v>
      </c>
      <c r="M8979" s="2"/>
      <c r="N8979" s="2"/>
      <c r="O8979" s="2"/>
      <c r="P8979" s="2" t="s">
        <v>26552</v>
      </c>
      <c r="Q8979" s="6">
        <v>100</v>
      </c>
      <c r="R8979" s="6">
        <v>6.25</v>
      </c>
      <c r="S8979" s="5">
        <v>-6.2</v>
      </c>
      <c r="T8979" s="7">
        <v>-9.9529999999999994</v>
      </c>
      <c r="U8979" s="5">
        <v>13.1</v>
      </c>
      <c r="V8979" s="6">
        <v>-0.56000000000000005</v>
      </c>
      <c r="W8979" s="6">
        <v>5.28</v>
      </c>
      <c r="X8979" s="6">
        <v>5.46</v>
      </c>
      <c r="Y8979" s="6">
        <v>5.99</v>
      </c>
      <c r="Z8979" s="6">
        <v>5.97</v>
      </c>
      <c r="AA8979" s="6">
        <v>11.03</v>
      </c>
      <c r="AB8979" s="2" t="s">
        <v>86</v>
      </c>
      <c r="AC8979" s="2"/>
    </row>
    <row r="8980" spans="1:29" ht="91" x14ac:dyDescent="0.15">
      <c r="A8980" s="3">
        <f>DATE(2008,3,13)</f>
        <v>39520</v>
      </c>
      <c r="B8980" s="3">
        <f>DATE(2008,5,13)</f>
        <v>39581</v>
      </c>
      <c r="C8980" s="2" t="s">
        <v>95</v>
      </c>
      <c r="D8980" s="2" t="s">
        <v>26553</v>
      </c>
      <c r="E8980" s="2" t="s">
        <v>26554</v>
      </c>
      <c r="F8980" s="4">
        <v>3825</v>
      </c>
      <c r="G8980" s="2" t="s">
        <v>226</v>
      </c>
      <c r="H8980" s="2" t="s">
        <v>34</v>
      </c>
      <c r="I8980" s="2" t="s">
        <v>26555</v>
      </c>
      <c r="J8980" s="2" t="s">
        <v>26554</v>
      </c>
      <c r="K8980" s="2" t="s">
        <v>226</v>
      </c>
      <c r="L8980" s="2" t="s">
        <v>133</v>
      </c>
      <c r="M8980" s="7">
        <v>67.799000000000007</v>
      </c>
      <c r="N8980" s="7">
        <v>28.422000000000001</v>
      </c>
      <c r="O8980" s="7">
        <v>28.202000000000002</v>
      </c>
      <c r="P8980" s="2" t="s">
        <v>26556</v>
      </c>
      <c r="Q8980" s="6">
        <v>61.6</v>
      </c>
      <c r="R8980" s="2"/>
      <c r="S8980" s="5">
        <v>1.1000000000000001</v>
      </c>
      <c r="T8980" s="7">
        <v>1.343</v>
      </c>
      <c r="U8980" s="5">
        <v>1.5</v>
      </c>
      <c r="V8980" s="6">
        <v>0.18</v>
      </c>
      <c r="W8980" s="5">
        <v>2.2000000000000002</v>
      </c>
      <c r="X8980" s="5">
        <v>2.2999999999999998</v>
      </c>
      <c r="Y8980" s="6">
        <v>2.72</v>
      </c>
      <c r="Z8980" s="6">
        <v>2.66</v>
      </c>
      <c r="AA8980" s="6">
        <v>6.01</v>
      </c>
      <c r="AB8980" s="7">
        <v>27.248999999999999</v>
      </c>
      <c r="AC8980" s="6">
        <v>6.33</v>
      </c>
    </row>
    <row r="8981" spans="1:29" ht="221" x14ac:dyDescent="0.15">
      <c r="A8981" s="3">
        <f>DATE(2008,3,16)</f>
        <v>39523</v>
      </c>
      <c r="B8981" s="3">
        <f>DATE(2008,5,30)</f>
        <v>39598</v>
      </c>
      <c r="C8981" s="2" t="s">
        <v>95</v>
      </c>
      <c r="D8981" s="2" t="s">
        <v>12157</v>
      </c>
      <c r="E8981" s="2" t="s">
        <v>12158</v>
      </c>
      <c r="F8981" s="4">
        <v>6211</v>
      </c>
      <c r="G8981" s="2" t="s">
        <v>53</v>
      </c>
      <c r="H8981" s="2" t="s">
        <v>34</v>
      </c>
      <c r="I8981" s="2" t="s">
        <v>20361</v>
      </c>
      <c r="J8981" s="2" t="s">
        <v>1085</v>
      </c>
      <c r="K8981" s="2" t="s">
        <v>37</v>
      </c>
      <c r="L8981" s="2" t="s">
        <v>34</v>
      </c>
      <c r="M8981" s="12">
        <v>145278.644</v>
      </c>
      <c r="N8981" s="6">
        <v>40.31</v>
      </c>
      <c r="O8981" s="6">
        <v>40.31</v>
      </c>
      <c r="P8981" s="2" t="s">
        <v>26557</v>
      </c>
      <c r="Q8981" s="6">
        <v>100</v>
      </c>
      <c r="R8981" s="6">
        <v>10</v>
      </c>
      <c r="S8981" s="5">
        <v>-198.7</v>
      </c>
      <c r="T8981" s="7">
        <v>42.469000000000001</v>
      </c>
      <c r="U8981" s="5">
        <v>79.2</v>
      </c>
      <c r="V8981" s="6">
        <v>-1.46</v>
      </c>
      <c r="W8981" s="5">
        <v>62.3</v>
      </c>
      <c r="X8981" s="4">
        <v>30</v>
      </c>
      <c r="Y8981" s="6">
        <v>4.8099999999999996</v>
      </c>
      <c r="Z8981" s="6">
        <v>4.8099999999999996</v>
      </c>
      <c r="AA8981" s="6">
        <v>118.09</v>
      </c>
      <c r="AB8981" s="2" t="s">
        <v>86</v>
      </c>
      <c r="AC8981" s="2"/>
    </row>
    <row r="8982" spans="1:29" ht="91" x14ac:dyDescent="0.15">
      <c r="A8982" s="3">
        <f>DATE(2008,3,17)</f>
        <v>39524</v>
      </c>
      <c r="B8982" s="3">
        <f>DATE(2008,4,18)</f>
        <v>39556</v>
      </c>
      <c r="C8982" s="2" t="s">
        <v>95</v>
      </c>
      <c r="D8982" s="2" t="s">
        <v>26558</v>
      </c>
      <c r="E8982" s="2" t="s">
        <v>26559</v>
      </c>
      <c r="F8982" s="4">
        <v>7372</v>
      </c>
      <c r="G8982" s="2" t="s">
        <v>551</v>
      </c>
      <c r="H8982" s="2" t="s">
        <v>34</v>
      </c>
      <c r="I8982" s="2" t="s">
        <v>11423</v>
      </c>
      <c r="J8982" s="2" t="s">
        <v>11424</v>
      </c>
      <c r="K8982" s="2" t="s">
        <v>551</v>
      </c>
      <c r="L8982" s="2" t="s">
        <v>34</v>
      </c>
      <c r="M8982" s="12">
        <v>6273.0720000000001</v>
      </c>
      <c r="N8982" s="6">
        <v>31.79</v>
      </c>
      <c r="O8982" s="6">
        <v>33.08</v>
      </c>
      <c r="P8982" s="2" t="s">
        <v>26560</v>
      </c>
      <c r="Q8982" s="6">
        <v>100</v>
      </c>
      <c r="R8982" s="6">
        <v>28</v>
      </c>
      <c r="S8982" s="5">
        <v>-0.2</v>
      </c>
      <c r="T8982" s="7">
        <v>-0.26500000000000001</v>
      </c>
      <c r="U8982" s="5">
        <v>2.6</v>
      </c>
      <c r="V8982" s="6">
        <v>-7.0000000000000007E-2</v>
      </c>
      <c r="W8982" s="6">
        <v>22.22</v>
      </c>
      <c r="X8982" s="6">
        <v>23.61</v>
      </c>
      <c r="Y8982" s="6">
        <v>27.39</v>
      </c>
      <c r="Z8982" s="6">
        <v>27.75</v>
      </c>
      <c r="AA8982" s="6">
        <v>27.68</v>
      </c>
      <c r="AB8982" s="2" t="s">
        <v>86</v>
      </c>
      <c r="AC8982" s="8">
        <v>1257.5999999999999</v>
      </c>
    </row>
    <row r="8983" spans="1:29" ht="117" x14ac:dyDescent="0.15">
      <c r="A8983" s="3">
        <f>DATE(2008,3,17)</f>
        <v>39524</v>
      </c>
      <c r="B8983" s="2"/>
      <c r="C8983" s="2" t="s">
        <v>30</v>
      </c>
      <c r="D8983" s="2" t="s">
        <v>25484</v>
      </c>
      <c r="E8983" s="2" t="s">
        <v>25485</v>
      </c>
      <c r="F8983" s="4">
        <v>7372</v>
      </c>
      <c r="G8983" s="2" t="s">
        <v>551</v>
      </c>
      <c r="H8983" s="2" t="s">
        <v>34</v>
      </c>
      <c r="I8983" s="2" t="s">
        <v>23175</v>
      </c>
      <c r="J8983" s="2" t="s">
        <v>244</v>
      </c>
      <c r="K8983" s="2" t="s">
        <v>53</v>
      </c>
      <c r="L8983" s="2" t="s">
        <v>34</v>
      </c>
      <c r="M8983" s="2"/>
      <c r="N8983" s="2"/>
      <c r="O8983" s="2"/>
      <c r="P8983" s="2" t="s">
        <v>26561</v>
      </c>
      <c r="Q8983" s="2"/>
      <c r="R8983" s="6">
        <v>4.75</v>
      </c>
      <c r="S8983" s="5">
        <v>0.2</v>
      </c>
      <c r="T8983" s="7">
        <v>1.462</v>
      </c>
      <c r="U8983" s="5">
        <v>3.6</v>
      </c>
      <c r="V8983" s="6">
        <v>0.01</v>
      </c>
      <c r="W8983" s="6">
        <v>3.37</v>
      </c>
      <c r="X8983" s="6">
        <v>3.49</v>
      </c>
      <c r="Y8983" s="6">
        <v>4.21</v>
      </c>
      <c r="Z8983" s="6">
        <v>4.21</v>
      </c>
      <c r="AA8983" s="6">
        <v>26.65</v>
      </c>
      <c r="AB8983" s="2" t="s">
        <v>86</v>
      </c>
      <c r="AC8983" s="2"/>
    </row>
    <row r="8984" spans="1:29" ht="130" x14ac:dyDescent="0.15">
      <c r="A8984" s="3">
        <f>DATE(2008,3,17)</f>
        <v>39524</v>
      </c>
      <c r="B8984" s="3">
        <f>DATE(2008,4,25)</f>
        <v>39563</v>
      </c>
      <c r="C8984" s="2" t="s">
        <v>95</v>
      </c>
      <c r="D8984" s="2" t="s">
        <v>26562</v>
      </c>
      <c r="E8984" s="2" t="s">
        <v>26563</v>
      </c>
      <c r="F8984" s="4">
        <v>8011</v>
      </c>
      <c r="G8984" s="2" t="s">
        <v>454</v>
      </c>
      <c r="H8984" s="2" t="s">
        <v>34</v>
      </c>
      <c r="I8984" s="2" t="s">
        <v>26564</v>
      </c>
      <c r="J8984" s="2" t="s">
        <v>11337</v>
      </c>
      <c r="K8984" s="2" t="s">
        <v>53</v>
      </c>
      <c r="L8984" s="2" t="s">
        <v>34</v>
      </c>
      <c r="M8984" s="2"/>
      <c r="N8984" s="6">
        <v>35.74</v>
      </c>
      <c r="O8984" s="6">
        <v>36.85</v>
      </c>
      <c r="P8984" s="2" t="s">
        <v>26565</v>
      </c>
      <c r="Q8984" s="6">
        <v>100</v>
      </c>
      <c r="R8984" s="6">
        <v>5.4</v>
      </c>
      <c r="S8984" s="5">
        <v>0.2</v>
      </c>
      <c r="T8984" s="7">
        <v>4.8840000000000003</v>
      </c>
      <c r="U8984" s="5">
        <v>1.7</v>
      </c>
      <c r="V8984" s="6">
        <v>-0.01</v>
      </c>
      <c r="W8984" s="6">
        <v>3.75</v>
      </c>
      <c r="X8984" s="5">
        <v>3.9</v>
      </c>
      <c r="Y8984" s="6">
        <v>5.23</v>
      </c>
      <c r="Z8984" s="6">
        <v>5.27</v>
      </c>
      <c r="AA8984" s="6">
        <v>41.32</v>
      </c>
      <c r="AB8984" s="7">
        <v>351.161</v>
      </c>
      <c r="AC8984" s="2"/>
    </row>
    <row r="8985" spans="1:29" ht="143" x14ac:dyDescent="0.15">
      <c r="A8985" s="3">
        <f>DATE(2008,3,19)</f>
        <v>39526</v>
      </c>
      <c r="B8985" s="3">
        <f>DATE(2008,7,1)</f>
        <v>39630</v>
      </c>
      <c r="C8985" s="2" t="s">
        <v>95</v>
      </c>
      <c r="D8985" s="2" t="s">
        <v>20359</v>
      </c>
      <c r="E8985" s="2" t="s">
        <v>159</v>
      </c>
      <c r="F8985" s="4">
        <v>6022</v>
      </c>
      <c r="G8985" s="2" t="s">
        <v>37</v>
      </c>
      <c r="H8985" s="2" t="s">
        <v>34</v>
      </c>
      <c r="I8985" s="2" t="s">
        <v>204</v>
      </c>
      <c r="J8985" s="2" t="s">
        <v>3246</v>
      </c>
      <c r="K8985" s="2" t="s">
        <v>37</v>
      </c>
      <c r="L8985" s="2" t="s">
        <v>34</v>
      </c>
      <c r="M8985" s="12">
        <v>2275.136</v>
      </c>
      <c r="N8985" s="6">
        <v>19.96</v>
      </c>
      <c r="O8985" s="6">
        <v>20.09</v>
      </c>
      <c r="P8985" s="2" t="s">
        <v>26566</v>
      </c>
      <c r="Q8985" s="6">
        <v>100</v>
      </c>
      <c r="R8985" s="6">
        <v>19.059999999999999</v>
      </c>
      <c r="S8985" s="5">
        <v>8.9</v>
      </c>
      <c r="T8985" s="7">
        <v>12.797000000000001</v>
      </c>
      <c r="U8985" s="5">
        <v>8.3000000000000007</v>
      </c>
      <c r="V8985" s="6">
        <v>1.02</v>
      </c>
      <c r="W8985" s="5">
        <v>15.5</v>
      </c>
      <c r="X8985" s="6">
        <v>15.25</v>
      </c>
      <c r="Y8985" s="6">
        <v>15.25</v>
      </c>
      <c r="Z8985" s="6">
        <v>18.149999999999999</v>
      </c>
      <c r="AA8985" s="6">
        <v>8.73</v>
      </c>
      <c r="AB8985" s="7">
        <v>26.658000000000001</v>
      </c>
      <c r="AC8985" s="2"/>
    </row>
    <row r="8986" spans="1:29" ht="52" x14ac:dyDescent="0.15">
      <c r="A8986" s="3">
        <f>DATE(2008,3,19)</f>
        <v>39526</v>
      </c>
      <c r="B8986" s="3">
        <f>DATE(2008,3,19)</f>
        <v>39526</v>
      </c>
      <c r="C8986" s="2" t="s">
        <v>95</v>
      </c>
      <c r="D8986" s="2" t="s">
        <v>26567</v>
      </c>
      <c r="E8986" s="2" t="s">
        <v>9299</v>
      </c>
      <c r="F8986" s="4">
        <v>6799</v>
      </c>
      <c r="G8986" s="2" t="s">
        <v>53</v>
      </c>
      <c r="H8986" s="2" t="s">
        <v>34</v>
      </c>
      <c r="I8986" s="2" t="s">
        <v>26568</v>
      </c>
      <c r="J8986" s="2" t="s">
        <v>9299</v>
      </c>
      <c r="K8986" s="2" t="s">
        <v>53</v>
      </c>
      <c r="L8986" s="2" t="s">
        <v>34</v>
      </c>
      <c r="M8986" s="2"/>
      <c r="N8986" s="2"/>
      <c r="O8986" s="2"/>
      <c r="P8986" s="2" t="s">
        <v>26569</v>
      </c>
      <c r="Q8986" s="2"/>
      <c r="R8986" s="2"/>
      <c r="S8986" s="2"/>
      <c r="T8986" s="2"/>
      <c r="U8986" s="2"/>
      <c r="V8986" s="2"/>
      <c r="W8986" s="6">
        <v>0.05</v>
      </c>
      <c r="X8986" s="6">
        <v>1.25</v>
      </c>
      <c r="Y8986" s="6">
        <v>1.25</v>
      </c>
      <c r="Z8986" s="6">
        <v>1.25</v>
      </c>
      <c r="AA8986" s="2"/>
      <c r="AB8986" s="2" t="s">
        <v>47</v>
      </c>
      <c r="AC8986" s="2"/>
    </row>
    <row r="8987" spans="1:29" ht="91" x14ac:dyDescent="0.15">
      <c r="A8987" s="3">
        <f>DATE(2008,3,20)</f>
        <v>39527</v>
      </c>
      <c r="B8987" s="3">
        <f>DATE(2008,5,16)</f>
        <v>39584</v>
      </c>
      <c r="C8987" s="2" t="s">
        <v>95</v>
      </c>
      <c r="D8987" s="2" t="s">
        <v>26570</v>
      </c>
      <c r="E8987" s="2" t="s">
        <v>26571</v>
      </c>
      <c r="F8987" s="4">
        <v>7372</v>
      </c>
      <c r="G8987" s="2" t="s">
        <v>551</v>
      </c>
      <c r="H8987" s="2" t="s">
        <v>34</v>
      </c>
      <c r="I8987" s="2" t="s">
        <v>9138</v>
      </c>
      <c r="J8987" s="2" t="s">
        <v>9139</v>
      </c>
      <c r="K8987" s="2" t="s">
        <v>551</v>
      </c>
      <c r="L8987" s="2" t="s">
        <v>34</v>
      </c>
      <c r="M8987" s="12">
        <v>3337.123</v>
      </c>
      <c r="N8987" s="6">
        <v>21.78</v>
      </c>
      <c r="O8987" s="6">
        <v>21.78</v>
      </c>
      <c r="P8987" s="2" t="s">
        <v>26572</v>
      </c>
      <c r="Q8987" s="6">
        <v>100</v>
      </c>
      <c r="R8987" s="6">
        <v>8</v>
      </c>
      <c r="S8987" s="5">
        <v>13.1</v>
      </c>
      <c r="T8987" s="7">
        <v>7.1989999999999998</v>
      </c>
      <c r="U8987" s="5">
        <v>2.7</v>
      </c>
      <c r="V8987" s="6">
        <v>0.47</v>
      </c>
      <c r="W8987" s="6">
        <v>5.18</v>
      </c>
      <c r="X8987" s="6">
        <v>5.26</v>
      </c>
      <c r="Y8987" s="6">
        <v>5.32</v>
      </c>
      <c r="Z8987" s="6">
        <v>5.32</v>
      </c>
      <c r="AA8987" s="6">
        <v>26.46</v>
      </c>
      <c r="AB8987" s="7">
        <v>63.372999999999998</v>
      </c>
      <c r="AC8987" s="6">
        <v>860.32</v>
      </c>
    </row>
    <row r="8988" spans="1:29" ht="234" x14ac:dyDescent="0.15">
      <c r="A8988" s="3">
        <f>DATE(2008,3,24)</f>
        <v>39531</v>
      </c>
      <c r="B8988" s="3">
        <f>DATE(2008,8,13)</f>
        <v>39673</v>
      </c>
      <c r="C8988" s="2" t="s">
        <v>95</v>
      </c>
      <c r="D8988" s="2" t="s">
        <v>26573</v>
      </c>
      <c r="E8988" s="2" t="s">
        <v>26574</v>
      </c>
      <c r="F8988" s="4">
        <v>7373</v>
      </c>
      <c r="G8988" s="2" t="s">
        <v>223</v>
      </c>
      <c r="H8988" s="2" t="s">
        <v>34</v>
      </c>
      <c r="I8988" s="2" t="s">
        <v>26575</v>
      </c>
      <c r="J8988" s="2" t="s">
        <v>3238</v>
      </c>
      <c r="K8988" s="2" t="s">
        <v>223</v>
      </c>
      <c r="L8988" s="2" t="s">
        <v>34</v>
      </c>
      <c r="M8988" s="7">
        <v>944.99599999999998</v>
      </c>
      <c r="N8988" s="6">
        <v>13.15</v>
      </c>
      <c r="O8988" s="5">
        <v>13.6</v>
      </c>
      <c r="P8988" s="2" t="s">
        <v>26576</v>
      </c>
      <c r="Q8988" s="6">
        <v>100</v>
      </c>
      <c r="R8988" s="2"/>
      <c r="S8988" s="5">
        <v>0.1</v>
      </c>
      <c r="T8988" s="7">
        <v>-0.69799999999999995</v>
      </c>
      <c r="U8988" s="2"/>
      <c r="V8988" s="6">
        <v>0.01</v>
      </c>
      <c r="W8988" s="6">
        <v>7.76</v>
      </c>
      <c r="X8988" s="6">
        <v>8.4600000000000009</v>
      </c>
      <c r="Y8988" s="6">
        <v>11.13</v>
      </c>
      <c r="Z8988" s="6">
        <v>10.25</v>
      </c>
      <c r="AA8988" s="6">
        <v>22.04</v>
      </c>
      <c r="AB8988" s="2" t="s">
        <v>86</v>
      </c>
      <c r="AC8988" s="6">
        <v>8.35</v>
      </c>
    </row>
    <row r="8989" spans="1:29" ht="78" x14ac:dyDescent="0.15">
      <c r="A8989" s="3">
        <f>DATE(2008,3,24)</f>
        <v>39531</v>
      </c>
      <c r="B8989" s="2"/>
      <c r="C8989" s="2" t="s">
        <v>7330</v>
      </c>
      <c r="D8989" s="2" t="s">
        <v>26577</v>
      </c>
      <c r="E8989" s="2" t="s">
        <v>9299</v>
      </c>
      <c r="F8989" s="4">
        <v>2834</v>
      </c>
      <c r="G8989" s="2" t="s">
        <v>130</v>
      </c>
      <c r="H8989" s="2" t="s">
        <v>34</v>
      </c>
      <c r="I8989" s="2" t="s">
        <v>26578</v>
      </c>
      <c r="J8989" s="2" t="s">
        <v>26579</v>
      </c>
      <c r="K8989" s="2" t="s">
        <v>130</v>
      </c>
      <c r="L8989" s="2" t="s">
        <v>34</v>
      </c>
      <c r="M8989" s="7">
        <v>1.083</v>
      </c>
      <c r="N8989" s="6">
        <v>0.06</v>
      </c>
      <c r="O8989" s="6">
        <v>0.06</v>
      </c>
      <c r="P8989" s="2" t="s">
        <v>26580</v>
      </c>
      <c r="Q8989" s="2"/>
      <c r="R8989" s="2"/>
      <c r="S8989" s="2"/>
      <c r="T8989" s="2"/>
      <c r="U8989" s="2"/>
      <c r="V8989" s="2"/>
      <c r="W8989" s="5">
        <v>1.7</v>
      </c>
      <c r="X8989" s="5">
        <v>1.5</v>
      </c>
      <c r="Y8989" s="5">
        <v>1.5</v>
      </c>
      <c r="Z8989" s="5">
        <v>1.5</v>
      </c>
      <c r="AA8989" s="6">
        <v>3.96</v>
      </c>
      <c r="AB8989" s="2" t="s">
        <v>47</v>
      </c>
      <c r="AC8989" s="6">
        <v>0.28000000000000003</v>
      </c>
    </row>
    <row r="8990" spans="1:29" ht="65" x14ac:dyDescent="0.15">
      <c r="A8990" s="3">
        <f>DATE(2008,3,25)</f>
        <v>39532</v>
      </c>
      <c r="B8990" s="3">
        <f>DATE(2008,3,25)</f>
        <v>39532</v>
      </c>
      <c r="C8990" s="2" t="s">
        <v>95</v>
      </c>
      <c r="D8990" s="2" t="s">
        <v>26581</v>
      </c>
      <c r="E8990" s="2" t="s">
        <v>277</v>
      </c>
      <c r="F8990" s="4">
        <v>1041</v>
      </c>
      <c r="G8990" s="2" t="s">
        <v>166</v>
      </c>
      <c r="H8990" s="2" t="s">
        <v>34</v>
      </c>
      <c r="I8990" s="2" t="s">
        <v>26582</v>
      </c>
      <c r="J8990" s="2" t="s">
        <v>1248</v>
      </c>
      <c r="K8990" s="2" t="s">
        <v>166</v>
      </c>
      <c r="L8990" s="2" t="s">
        <v>34</v>
      </c>
      <c r="M8990" s="2"/>
      <c r="N8990" s="2"/>
      <c r="O8990" s="2"/>
      <c r="P8990" s="2" t="s">
        <v>26583</v>
      </c>
      <c r="Q8990" s="6">
        <v>4.96</v>
      </c>
      <c r="R8990" s="6">
        <v>1.25</v>
      </c>
      <c r="S8990" s="2"/>
      <c r="T8990" s="2"/>
      <c r="U8990" s="2"/>
      <c r="V8990" s="2"/>
      <c r="W8990" s="6">
        <v>2.25</v>
      </c>
      <c r="X8990" s="6">
        <v>2.25</v>
      </c>
      <c r="Y8990" s="5">
        <v>1.2</v>
      </c>
      <c r="Z8990" s="6">
        <v>0.85</v>
      </c>
      <c r="AA8990" s="10">
        <v>1008.03</v>
      </c>
      <c r="AB8990" s="2" t="s">
        <v>47</v>
      </c>
      <c r="AC8990" s="2"/>
    </row>
    <row r="8991" spans="1:29" ht="91" x14ac:dyDescent="0.15">
      <c r="A8991" s="3">
        <f>DATE(2008,3,27)</f>
        <v>39534</v>
      </c>
      <c r="B8991" s="3">
        <f>DATE(2008,3,27)</f>
        <v>39534</v>
      </c>
      <c r="C8991" s="2" t="s">
        <v>95</v>
      </c>
      <c r="D8991" s="2" t="s">
        <v>10825</v>
      </c>
      <c r="E8991" s="2" t="s">
        <v>10826</v>
      </c>
      <c r="F8991" s="4">
        <v>3559</v>
      </c>
      <c r="G8991" s="2" t="s">
        <v>300</v>
      </c>
      <c r="H8991" s="2" t="s">
        <v>34</v>
      </c>
      <c r="I8991" s="2" t="s">
        <v>506</v>
      </c>
      <c r="J8991" s="2" t="s">
        <v>507</v>
      </c>
      <c r="K8991" s="2" t="s">
        <v>300</v>
      </c>
      <c r="L8991" s="2" t="s">
        <v>34</v>
      </c>
      <c r="M8991" s="10">
        <v>26319.279999999999</v>
      </c>
      <c r="N8991" s="6">
        <v>48.33</v>
      </c>
      <c r="O8991" s="6">
        <v>47.89</v>
      </c>
      <c r="P8991" s="2" t="s">
        <v>26584</v>
      </c>
      <c r="Q8991" s="6">
        <v>100</v>
      </c>
      <c r="R8991" s="6">
        <v>5.65</v>
      </c>
      <c r="S8991" s="5">
        <v>-2.7</v>
      </c>
      <c r="T8991" s="6">
        <v>-0.72</v>
      </c>
      <c r="U8991" s="5">
        <v>4.2</v>
      </c>
      <c r="V8991" s="6">
        <v>-1.83</v>
      </c>
      <c r="W8991" s="4">
        <v>3</v>
      </c>
      <c r="X8991" s="4">
        <v>3</v>
      </c>
      <c r="Y8991" s="6">
        <v>4.75</v>
      </c>
      <c r="Z8991" s="6">
        <v>4.67</v>
      </c>
      <c r="AA8991" s="6">
        <v>1.48</v>
      </c>
      <c r="AB8991" s="2" t="s">
        <v>86</v>
      </c>
      <c r="AC8991" s="6">
        <v>827.52</v>
      </c>
    </row>
    <row r="8992" spans="1:29" ht="130" x14ac:dyDescent="0.15">
      <c r="A8992" s="3">
        <f>DATE(2008,3,28)</f>
        <v>39535</v>
      </c>
      <c r="B8992" s="2"/>
      <c r="C8992" s="2" t="s">
        <v>30</v>
      </c>
      <c r="D8992" s="2" t="s">
        <v>10103</v>
      </c>
      <c r="E8992" s="2" t="s">
        <v>26585</v>
      </c>
      <c r="F8992" s="4">
        <v>7336</v>
      </c>
      <c r="G8992" s="2" t="s">
        <v>223</v>
      </c>
      <c r="H8992" s="2" t="s">
        <v>34</v>
      </c>
      <c r="I8992" s="2" t="s">
        <v>26586</v>
      </c>
      <c r="J8992" s="2" t="s">
        <v>26585</v>
      </c>
      <c r="K8992" s="2" t="s">
        <v>223</v>
      </c>
      <c r="L8992" s="2" t="s">
        <v>34</v>
      </c>
      <c r="M8992" s="2"/>
      <c r="N8992" s="2"/>
      <c r="O8992" s="2"/>
      <c r="P8992" s="2" t="s">
        <v>26587</v>
      </c>
      <c r="Q8992" s="2"/>
      <c r="R8992" s="6">
        <v>5.75</v>
      </c>
      <c r="S8992" s="5">
        <v>35.799999999999997</v>
      </c>
      <c r="T8992" s="6">
        <v>9.56</v>
      </c>
      <c r="U8992" s="5">
        <v>9</v>
      </c>
      <c r="V8992" s="6">
        <v>4.2</v>
      </c>
      <c r="W8992" s="2"/>
      <c r="X8992" s="5">
        <v>2.4</v>
      </c>
      <c r="Y8992" s="5">
        <v>2.4</v>
      </c>
      <c r="Z8992" s="6">
        <v>5.51</v>
      </c>
      <c r="AA8992" s="6">
        <v>8.0399999999999991</v>
      </c>
      <c r="AB8992" s="7">
        <v>12.198</v>
      </c>
      <c r="AC8992" s="2"/>
    </row>
    <row r="8993" spans="1:29" ht="91" x14ac:dyDescent="0.15">
      <c r="A8993" s="3">
        <f>DATE(2008,3,31)</f>
        <v>39538</v>
      </c>
      <c r="B8993" s="3">
        <f>DATE(2008,6,10)</f>
        <v>39609</v>
      </c>
      <c r="C8993" s="2" t="s">
        <v>95</v>
      </c>
      <c r="D8993" s="2" t="s">
        <v>23463</v>
      </c>
      <c r="E8993" s="2" t="s">
        <v>6901</v>
      </c>
      <c r="F8993" s="4">
        <v>4512</v>
      </c>
      <c r="G8993" s="2" t="s">
        <v>59</v>
      </c>
      <c r="H8993" s="2" t="s">
        <v>34</v>
      </c>
      <c r="I8993" s="2" t="s">
        <v>26588</v>
      </c>
      <c r="J8993" s="2" t="s">
        <v>244</v>
      </c>
      <c r="K8993" s="2" t="s">
        <v>53</v>
      </c>
      <c r="L8993" s="2" t="s">
        <v>34</v>
      </c>
      <c r="M8993" s="2"/>
      <c r="N8993" s="2"/>
      <c r="O8993" s="2"/>
      <c r="P8993" s="2" t="s">
        <v>26589</v>
      </c>
      <c r="Q8993" s="6">
        <v>100</v>
      </c>
      <c r="R8993" s="6">
        <v>2.81</v>
      </c>
      <c r="S8993" s="5">
        <v>10.8</v>
      </c>
      <c r="T8993" s="7">
        <v>10.932</v>
      </c>
      <c r="U8993" s="5">
        <v>4.3</v>
      </c>
      <c r="V8993" s="6">
        <v>1.05</v>
      </c>
      <c r="W8993" s="6">
        <v>1.48</v>
      </c>
      <c r="X8993" s="6">
        <v>1.45</v>
      </c>
      <c r="Y8993" s="6">
        <v>2.64</v>
      </c>
      <c r="Z8993" s="6">
        <v>2.65</v>
      </c>
      <c r="AA8993" s="6">
        <v>10.18</v>
      </c>
      <c r="AB8993" s="7">
        <v>3.6819999999999999</v>
      </c>
      <c r="AC8993" s="2"/>
    </row>
    <row r="8994" spans="1:29" ht="156" x14ac:dyDescent="0.15">
      <c r="A8994" s="3">
        <f>DATE(2008,3,31)</f>
        <v>39538</v>
      </c>
      <c r="B8994" s="3">
        <f>DATE(2008,7,31)</f>
        <v>39660</v>
      </c>
      <c r="C8994" s="2" t="s">
        <v>95</v>
      </c>
      <c r="D8994" s="2" t="s">
        <v>26590</v>
      </c>
      <c r="E8994" s="2" t="s">
        <v>2347</v>
      </c>
      <c r="F8994" s="4">
        <v>7372</v>
      </c>
      <c r="G8994" s="2" t="s">
        <v>551</v>
      </c>
      <c r="H8994" s="2" t="s">
        <v>34</v>
      </c>
      <c r="I8994" s="2" t="s">
        <v>26591</v>
      </c>
      <c r="J8994" s="2" t="s">
        <v>26592</v>
      </c>
      <c r="K8994" s="2" t="s">
        <v>551</v>
      </c>
      <c r="L8994" s="2" t="s">
        <v>34</v>
      </c>
      <c r="M8994" s="12">
        <v>2912.5549999999998</v>
      </c>
      <c r="N8994" s="6">
        <v>34.520000000000003</v>
      </c>
      <c r="O8994" s="6">
        <v>37.32</v>
      </c>
      <c r="P8994" s="2" t="s">
        <v>26593</v>
      </c>
      <c r="Q8994" s="6">
        <v>100</v>
      </c>
      <c r="R8994" s="6">
        <v>32.630000000000003</v>
      </c>
      <c r="S8994" s="5">
        <v>23.5</v>
      </c>
      <c r="T8994" s="7">
        <v>36.061999999999998</v>
      </c>
      <c r="U8994" s="5">
        <v>2.7</v>
      </c>
      <c r="V8994" s="6">
        <v>0.91</v>
      </c>
      <c r="W8994" s="5">
        <v>25.1</v>
      </c>
      <c r="X8994" s="6">
        <v>23.42</v>
      </c>
      <c r="Y8994" s="6">
        <v>30.52</v>
      </c>
      <c r="Z8994" s="6">
        <v>31.88</v>
      </c>
      <c r="AA8994" s="6">
        <v>23.32</v>
      </c>
      <c r="AB8994" s="7">
        <v>24.748999999999999</v>
      </c>
      <c r="AC8994" s="6">
        <v>201.23</v>
      </c>
    </row>
    <row r="8995" spans="1:29" ht="169" x14ac:dyDescent="0.15">
      <c r="A8995" s="3">
        <f>DATE(2008,3,31)</f>
        <v>39538</v>
      </c>
      <c r="B8995" s="3">
        <f>DATE(2008,7,22)</f>
        <v>39651</v>
      </c>
      <c r="C8995" s="2" t="s">
        <v>95</v>
      </c>
      <c r="D8995" s="2" t="s">
        <v>26594</v>
      </c>
      <c r="E8995" s="2" t="s">
        <v>2066</v>
      </c>
      <c r="F8995" s="4">
        <v>2834</v>
      </c>
      <c r="G8995" s="2" t="s">
        <v>130</v>
      </c>
      <c r="H8995" s="2" t="s">
        <v>34</v>
      </c>
      <c r="I8995" s="2" t="s">
        <v>7461</v>
      </c>
      <c r="J8995" s="2" t="s">
        <v>7462</v>
      </c>
      <c r="K8995" s="2" t="s">
        <v>130</v>
      </c>
      <c r="L8995" s="2" t="s">
        <v>4242</v>
      </c>
      <c r="M8995" s="12">
        <v>39757.483</v>
      </c>
      <c r="N8995" s="7">
        <v>46.176000000000002</v>
      </c>
      <c r="O8995" s="7">
        <v>46.478999999999999</v>
      </c>
      <c r="P8995" s="2" t="s">
        <v>26595</v>
      </c>
      <c r="Q8995" s="6">
        <v>100</v>
      </c>
      <c r="R8995" s="6">
        <v>14.82</v>
      </c>
      <c r="S8995" s="5">
        <v>1.4</v>
      </c>
      <c r="T8995" s="6">
        <v>18.87</v>
      </c>
      <c r="U8995" s="5">
        <v>5.0999999999999996</v>
      </c>
      <c r="V8995" s="9">
        <v>5.4600000000000003E-2</v>
      </c>
      <c r="W8995" s="6">
        <v>13.83</v>
      </c>
      <c r="X8995" s="6">
        <v>13.74</v>
      </c>
      <c r="Y8995" s="6">
        <v>16.25</v>
      </c>
      <c r="Z8995" s="6">
        <v>15.67</v>
      </c>
      <c r="AA8995" s="6">
        <v>22.45</v>
      </c>
      <c r="AB8995" s="7">
        <v>30.771999999999998</v>
      </c>
      <c r="AC8995" s="10">
        <v>3301.79</v>
      </c>
    </row>
    <row r="8996" spans="1:29" ht="52" x14ac:dyDescent="0.15">
      <c r="A8996" s="3">
        <f>DATE(2008,4,1)</f>
        <v>39539</v>
      </c>
      <c r="B8996" s="2"/>
      <c r="C8996" s="2" t="s">
        <v>87</v>
      </c>
      <c r="D8996" s="2" t="s">
        <v>19108</v>
      </c>
      <c r="E8996" s="2" t="s">
        <v>26596</v>
      </c>
      <c r="F8996" s="4">
        <v>4724</v>
      </c>
      <c r="G8996" s="2" t="s">
        <v>173</v>
      </c>
      <c r="H8996" s="2" t="s">
        <v>34</v>
      </c>
      <c r="I8996" s="2" t="s">
        <v>26597</v>
      </c>
      <c r="J8996" s="2" t="s">
        <v>12371</v>
      </c>
      <c r="K8996" s="2" t="s">
        <v>223</v>
      </c>
      <c r="L8996" s="2" t="s">
        <v>34</v>
      </c>
      <c r="M8996" s="12">
        <v>140179.58199999999</v>
      </c>
      <c r="N8996" s="6">
        <v>465.71</v>
      </c>
      <c r="O8996" s="5">
        <v>465.7</v>
      </c>
      <c r="P8996" s="2" t="s">
        <v>26598</v>
      </c>
      <c r="Q8996" s="2"/>
      <c r="R8996" s="2"/>
      <c r="S8996" s="5">
        <v>312.39999999999998</v>
      </c>
      <c r="T8996" s="7">
        <v>690.30899999999997</v>
      </c>
      <c r="U8996" s="5">
        <v>34.1</v>
      </c>
      <c r="V8996" s="6">
        <v>2.04</v>
      </c>
      <c r="W8996" s="6">
        <v>22.48</v>
      </c>
      <c r="X8996" s="6">
        <v>21.89</v>
      </c>
      <c r="Y8996" s="6">
        <v>24.09</v>
      </c>
      <c r="Z8996" s="6">
        <v>25.13</v>
      </c>
      <c r="AA8996" s="6">
        <v>287.33999999999997</v>
      </c>
      <c r="AB8996" s="2" t="s">
        <v>47</v>
      </c>
      <c r="AC8996" s="10">
        <v>12134.51</v>
      </c>
    </row>
    <row r="8997" spans="1:29" ht="65" x14ac:dyDescent="0.15">
      <c r="A8997" s="3">
        <f>DATE(2008,4,1)</f>
        <v>39539</v>
      </c>
      <c r="B8997" s="3">
        <f>DATE(2008,6,25)</f>
        <v>39624</v>
      </c>
      <c r="C8997" s="2" t="s">
        <v>95</v>
      </c>
      <c r="D8997" s="2" t="s">
        <v>11730</v>
      </c>
      <c r="E8997" s="2" t="s">
        <v>11731</v>
      </c>
      <c r="F8997" s="4">
        <v>2515</v>
      </c>
      <c r="G8997" s="2" t="s">
        <v>250</v>
      </c>
      <c r="H8997" s="2" t="s">
        <v>34</v>
      </c>
      <c r="I8997" s="2" t="s">
        <v>22247</v>
      </c>
      <c r="J8997" s="2" t="s">
        <v>6237</v>
      </c>
      <c r="K8997" s="2" t="s">
        <v>53</v>
      </c>
      <c r="L8997" s="2" t="s">
        <v>34</v>
      </c>
      <c r="M8997" s="2"/>
      <c r="N8997" s="2"/>
      <c r="O8997" s="2"/>
      <c r="P8997" s="2" t="s">
        <v>26599</v>
      </c>
      <c r="Q8997" s="6">
        <v>84.65</v>
      </c>
      <c r="R8997" s="2"/>
      <c r="S8997" s="5">
        <v>-78.3</v>
      </c>
      <c r="T8997" s="7">
        <v>79.064999999999998</v>
      </c>
      <c r="U8997" s="5">
        <v>-14.6</v>
      </c>
      <c r="V8997" s="6">
        <v>13.63</v>
      </c>
      <c r="W8997" s="6">
        <v>1.65</v>
      </c>
      <c r="X8997" s="6">
        <v>1.63</v>
      </c>
      <c r="Y8997" s="5">
        <v>0.8</v>
      </c>
      <c r="Z8997" s="5">
        <v>0.8</v>
      </c>
      <c r="AA8997" s="6">
        <v>153.01</v>
      </c>
      <c r="AB8997" s="7">
        <v>10.92</v>
      </c>
      <c r="AC8997" s="2"/>
    </row>
    <row r="8998" spans="1:29" ht="143" x14ac:dyDescent="0.15">
      <c r="A8998" s="3">
        <f>DATE(2008,4,2)</f>
        <v>39540</v>
      </c>
      <c r="B8998" s="3">
        <f>DATE(2008,6,30)</f>
        <v>39629</v>
      </c>
      <c r="C8998" s="2" t="s">
        <v>95</v>
      </c>
      <c r="D8998" s="2" t="s">
        <v>26600</v>
      </c>
      <c r="E8998" s="2" t="s">
        <v>159</v>
      </c>
      <c r="F8998" s="4">
        <v>6021</v>
      </c>
      <c r="G8998" s="2" t="s">
        <v>37</v>
      </c>
      <c r="H8998" s="2" t="s">
        <v>34</v>
      </c>
      <c r="I8998" s="2" t="s">
        <v>15033</v>
      </c>
      <c r="J8998" s="2" t="s">
        <v>36</v>
      </c>
      <c r="K8998" s="2" t="s">
        <v>33</v>
      </c>
      <c r="L8998" s="2" t="s">
        <v>34</v>
      </c>
      <c r="M8998" s="7">
        <v>194.69399999999999</v>
      </c>
      <c r="N8998" s="6">
        <v>13.93</v>
      </c>
      <c r="O8998" s="6">
        <v>13.87</v>
      </c>
      <c r="P8998" s="2" t="s">
        <v>26601</v>
      </c>
      <c r="Q8998" s="6">
        <v>100</v>
      </c>
      <c r="R8998" s="6">
        <v>13.45</v>
      </c>
      <c r="S8998" s="5">
        <v>-0.7</v>
      </c>
      <c r="T8998" s="7">
        <v>-0.56399999999999995</v>
      </c>
      <c r="U8998" s="5">
        <v>10.4</v>
      </c>
      <c r="V8998" s="6">
        <v>-1.26</v>
      </c>
      <c r="W8998" s="4">
        <v>10</v>
      </c>
      <c r="X8998" s="4">
        <v>10</v>
      </c>
      <c r="Y8998" s="4">
        <v>10</v>
      </c>
      <c r="Z8998" s="6">
        <v>12.42</v>
      </c>
      <c r="AA8998" s="6">
        <v>0.56000000000000005</v>
      </c>
      <c r="AB8998" s="2" t="s">
        <v>86</v>
      </c>
      <c r="AC8998" s="2"/>
    </row>
    <row r="8999" spans="1:29" ht="208" x14ac:dyDescent="0.15">
      <c r="A8999" s="3">
        <f>DATE(2008,4,7)</f>
        <v>39545</v>
      </c>
      <c r="B8999" s="3">
        <f>DATE(2008,8,6)</f>
        <v>39666</v>
      </c>
      <c r="C8999" s="2" t="s">
        <v>95</v>
      </c>
      <c r="D8999" s="2" t="s">
        <v>26468</v>
      </c>
      <c r="E8999" s="2" t="s">
        <v>22849</v>
      </c>
      <c r="F8999" s="4">
        <v>5085</v>
      </c>
      <c r="G8999" s="2" t="s">
        <v>76</v>
      </c>
      <c r="H8999" s="2" t="s">
        <v>34</v>
      </c>
      <c r="I8999" s="2" t="s">
        <v>26602</v>
      </c>
      <c r="J8999" s="2" t="s">
        <v>26603</v>
      </c>
      <c r="K8999" s="2" t="s">
        <v>53</v>
      </c>
      <c r="L8999" s="2" t="s">
        <v>34</v>
      </c>
      <c r="M8999" s="2"/>
      <c r="N8999" s="2"/>
      <c r="O8999" s="2"/>
      <c r="P8999" s="2" t="s">
        <v>26604</v>
      </c>
      <c r="Q8999" s="6">
        <v>86</v>
      </c>
      <c r="R8999" s="6">
        <v>12.1</v>
      </c>
      <c r="S8999" s="5">
        <v>3.5</v>
      </c>
      <c r="T8999" s="7">
        <v>8.3859999999999992</v>
      </c>
      <c r="U8999" s="5">
        <v>8.6999999999999993</v>
      </c>
      <c r="V8999" s="6">
        <v>0.38</v>
      </c>
      <c r="W8999" s="5">
        <v>9.5</v>
      </c>
      <c r="X8999" s="6">
        <v>9.92</v>
      </c>
      <c r="Y8999" s="6">
        <v>9.2100000000000009</v>
      </c>
      <c r="Z8999" s="6">
        <v>9.9499999999999993</v>
      </c>
      <c r="AA8999" s="6">
        <v>9.61</v>
      </c>
      <c r="AB8999" s="7">
        <v>17.885999999999999</v>
      </c>
      <c r="AC8999" s="2"/>
    </row>
    <row r="9000" spans="1:29" ht="156" x14ac:dyDescent="0.15">
      <c r="A9000" s="3">
        <f>DATE(2008,4,7)</f>
        <v>39545</v>
      </c>
      <c r="B9000" s="3">
        <f>DATE(2008,5,27)</f>
        <v>39595</v>
      </c>
      <c r="C9000" s="2" t="s">
        <v>95</v>
      </c>
      <c r="D9000" s="2" t="s">
        <v>26605</v>
      </c>
      <c r="E9000" s="2" t="s">
        <v>26606</v>
      </c>
      <c r="F9000" s="4">
        <v>2836</v>
      </c>
      <c r="G9000" s="2" t="s">
        <v>130</v>
      </c>
      <c r="H9000" s="2" t="s">
        <v>34</v>
      </c>
      <c r="I9000" s="2" t="s">
        <v>10084</v>
      </c>
      <c r="J9000" s="2" t="s">
        <v>26607</v>
      </c>
      <c r="K9000" s="2" t="s">
        <v>226</v>
      </c>
      <c r="L9000" s="2" t="s">
        <v>34</v>
      </c>
      <c r="M9000" s="12">
        <v>3414.2489999999998</v>
      </c>
      <c r="N9000" s="6">
        <v>49.57</v>
      </c>
      <c r="O9000" s="5">
        <v>48.3</v>
      </c>
      <c r="P9000" s="2" t="s">
        <v>26608</v>
      </c>
      <c r="Q9000" s="6">
        <v>100</v>
      </c>
      <c r="R9000" s="6">
        <v>51</v>
      </c>
      <c r="S9000" s="5">
        <v>27.2</v>
      </c>
      <c r="T9000" s="6">
        <v>49.38</v>
      </c>
      <c r="U9000" s="5">
        <v>5.3</v>
      </c>
      <c r="V9000" s="6">
        <v>0.78</v>
      </c>
      <c r="W9000" s="6">
        <v>42.03</v>
      </c>
      <c r="X9000" s="6">
        <v>43.15</v>
      </c>
      <c r="Y9000" s="6">
        <v>50.46</v>
      </c>
      <c r="Z9000" s="6">
        <v>50.41</v>
      </c>
      <c r="AA9000" s="6">
        <v>34.18</v>
      </c>
      <c r="AB9000" s="7">
        <v>38.781999999999996</v>
      </c>
      <c r="AC9000" s="6">
        <v>305.17</v>
      </c>
    </row>
    <row r="9001" spans="1:29" ht="143" x14ac:dyDescent="0.15">
      <c r="A9001" s="3">
        <f>DATE(2008,4,9)</f>
        <v>39547</v>
      </c>
      <c r="B9001" s="3">
        <f>DATE(2008,7,7)</f>
        <v>39636</v>
      </c>
      <c r="C9001" s="2" t="s">
        <v>95</v>
      </c>
      <c r="D9001" s="2" t="s">
        <v>26609</v>
      </c>
      <c r="E9001" s="2" t="s">
        <v>26610</v>
      </c>
      <c r="F9001" s="4">
        <v>3841</v>
      </c>
      <c r="G9001" s="2" t="s">
        <v>226</v>
      </c>
      <c r="H9001" s="2" t="s">
        <v>34</v>
      </c>
      <c r="I9001" s="2" t="s">
        <v>4475</v>
      </c>
      <c r="J9001" s="2" t="s">
        <v>4476</v>
      </c>
      <c r="K9001" s="2" t="s">
        <v>226</v>
      </c>
      <c r="L9001" s="2" t="s">
        <v>34</v>
      </c>
      <c r="M9001" s="12">
        <v>14373.102000000001</v>
      </c>
      <c r="N9001" s="6">
        <v>44.11</v>
      </c>
      <c r="O9001" s="6">
        <v>44.28</v>
      </c>
      <c r="P9001" s="2" t="s">
        <v>26611</v>
      </c>
      <c r="Q9001" s="6">
        <v>100</v>
      </c>
      <c r="R9001" s="6">
        <v>3</v>
      </c>
      <c r="S9001" s="5">
        <v>-5.2</v>
      </c>
      <c r="T9001" s="7">
        <v>-4.1970000000000001</v>
      </c>
      <c r="U9001" s="5">
        <v>0.2</v>
      </c>
      <c r="V9001" s="6">
        <v>-0.17</v>
      </c>
      <c r="W9001" s="6">
        <v>1.55</v>
      </c>
      <c r="X9001" s="6">
        <v>1.41</v>
      </c>
      <c r="Y9001" s="6">
        <v>2.86</v>
      </c>
      <c r="Z9001" s="6">
        <v>2.86</v>
      </c>
      <c r="AA9001" s="6">
        <v>30.41</v>
      </c>
      <c r="AB9001" s="2" t="s">
        <v>86</v>
      </c>
      <c r="AC9001" s="6">
        <v>558.27</v>
      </c>
    </row>
    <row r="9002" spans="1:29" ht="182" x14ac:dyDescent="0.15">
      <c r="A9002" s="3">
        <f>DATE(2008,4,9)</f>
        <v>39547</v>
      </c>
      <c r="B9002" s="2"/>
      <c r="C9002" s="2" t="s">
        <v>30</v>
      </c>
      <c r="D9002" s="2" t="s">
        <v>26612</v>
      </c>
      <c r="E9002" s="2" t="s">
        <v>4572</v>
      </c>
      <c r="F9002" s="4">
        <v>7376</v>
      </c>
      <c r="G9002" s="2" t="s">
        <v>223</v>
      </c>
      <c r="H9002" s="2" t="s">
        <v>34</v>
      </c>
      <c r="I9002" s="2" t="s">
        <v>26613</v>
      </c>
      <c r="J9002" s="2" t="s">
        <v>9299</v>
      </c>
      <c r="K9002" s="2" t="s">
        <v>7998</v>
      </c>
      <c r="L9002" s="2" t="s">
        <v>34</v>
      </c>
      <c r="M9002" s="2"/>
      <c r="N9002" s="2"/>
      <c r="O9002" s="2"/>
      <c r="P9002" s="2" t="s">
        <v>26614</v>
      </c>
      <c r="Q9002" s="2"/>
      <c r="R9002" s="6">
        <v>6</v>
      </c>
      <c r="S9002" s="5">
        <v>-9.5</v>
      </c>
      <c r="T9002" s="7">
        <v>-0.25900000000000001</v>
      </c>
      <c r="U9002" s="5">
        <v>7.7</v>
      </c>
      <c r="V9002" s="6">
        <v>-0.85</v>
      </c>
      <c r="W9002" s="6">
        <v>5.58</v>
      </c>
      <c r="X9002" s="6">
        <v>5.74</v>
      </c>
      <c r="Y9002" s="6">
        <v>6.34</v>
      </c>
      <c r="Z9002" s="5">
        <v>6.4</v>
      </c>
      <c r="AA9002" s="6">
        <v>9.32</v>
      </c>
      <c r="AB9002" s="2" t="s">
        <v>86</v>
      </c>
      <c r="AC9002" s="2"/>
    </row>
    <row r="9003" spans="1:29" ht="143" x14ac:dyDescent="0.15">
      <c r="A9003" s="3">
        <f>DATE(2008,4,10)</f>
        <v>39548</v>
      </c>
      <c r="B9003" s="3">
        <f>DATE(2008,5,14)</f>
        <v>39582</v>
      </c>
      <c r="C9003" s="2" t="s">
        <v>95</v>
      </c>
      <c r="D9003" s="2" t="s">
        <v>15478</v>
      </c>
      <c r="E9003" s="2" t="s">
        <v>15479</v>
      </c>
      <c r="F9003" s="4">
        <v>2834</v>
      </c>
      <c r="G9003" s="2" t="s">
        <v>130</v>
      </c>
      <c r="H9003" s="2" t="s">
        <v>34</v>
      </c>
      <c r="I9003" s="2" t="s">
        <v>26615</v>
      </c>
      <c r="J9003" s="2" t="s">
        <v>11337</v>
      </c>
      <c r="K9003" s="2" t="s">
        <v>53</v>
      </c>
      <c r="L9003" s="2" t="s">
        <v>34</v>
      </c>
      <c r="M9003" s="2"/>
      <c r="N9003" s="2"/>
      <c r="O9003" s="2"/>
      <c r="P9003" s="2" t="s">
        <v>26616</v>
      </c>
      <c r="Q9003" s="6">
        <v>100</v>
      </c>
      <c r="R9003" s="6">
        <v>25</v>
      </c>
      <c r="S9003" s="5">
        <v>36.299999999999997</v>
      </c>
      <c r="T9003" s="7">
        <v>54.585000000000001</v>
      </c>
      <c r="U9003" s="5">
        <v>6.9</v>
      </c>
      <c r="V9003" s="6">
        <v>0.11</v>
      </c>
      <c r="W9003" s="6">
        <v>15.72</v>
      </c>
      <c r="X9003" s="6">
        <v>16.350000000000001</v>
      </c>
      <c r="Y9003" s="6">
        <v>24.34</v>
      </c>
      <c r="Z9003" s="6">
        <v>24.39</v>
      </c>
      <c r="AA9003" s="6">
        <v>324.85000000000002</v>
      </c>
      <c r="AB9003" s="7">
        <v>3245.7460000000001</v>
      </c>
      <c r="AC9003" s="2"/>
    </row>
    <row r="9004" spans="1:29" ht="91" x14ac:dyDescent="0.15">
      <c r="A9004" s="3">
        <f>DATE(2008,4,10)</f>
        <v>39548</v>
      </c>
      <c r="B9004" s="3">
        <f>DATE(2008,7,1)</f>
        <v>39630</v>
      </c>
      <c r="C9004" s="2" t="s">
        <v>95</v>
      </c>
      <c r="D9004" s="2" t="s">
        <v>26617</v>
      </c>
      <c r="E9004" s="2" t="s">
        <v>16415</v>
      </c>
      <c r="F9004" s="4">
        <v>7372</v>
      </c>
      <c r="G9004" s="2" t="s">
        <v>551</v>
      </c>
      <c r="H9004" s="2" t="s">
        <v>34</v>
      </c>
      <c r="I9004" s="2" t="s">
        <v>11939</v>
      </c>
      <c r="J9004" s="2" t="s">
        <v>11940</v>
      </c>
      <c r="K9004" s="2" t="s">
        <v>551</v>
      </c>
      <c r="L9004" s="2" t="s">
        <v>34</v>
      </c>
      <c r="M9004" s="7">
        <v>432.63799999999998</v>
      </c>
      <c r="N9004" s="6">
        <v>15.25</v>
      </c>
      <c r="O9004" s="6">
        <v>14.43</v>
      </c>
      <c r="P9004" s="2" t="s">
        <v>26618</v>
      </c>
      <c r="Q9004" s="6">
        <v>100</v>
      </c>
      <c r="R9004" s="6">
        <v>1.48</v>
      </c>
      <c r="S9004" s="5">
        <v>1.7</v>
      </c>
      <c r="T9004" s="7">
        <v>0.70599999999999996</v>
      </c>
      <c r="U9004" s="5">
        <v>0.3</v>
      </c>
      <c r="V9004" s="6">
        <v>0.12</v>
      </c>
      <c r="W9004" s="6">
        <v>1.19</v>
      </c>
      <c r="X9004" s="6">
        <v>1.1499999999999999</v>
      </c>
      <c r="Y9004" s="7">
        <v>1.425</v>
      </c>
      <c r="Z9004" s="6">
        <v>1.43</v>
      </c>
      <c r="AA9004" s="6">
        <v>12.06</v>
      </c>
      <c r="AB9004" s="7">
        <v>28.443999999999999</v>
      </c>
      <c r="AC9004" s="6">
        <v>78.989999999999995</v>
      </c>
    </row>
    <row r="9005" spans="1:29" ht="117" x14ac:dyDescent="0.15">
      <c r="A9005" s="3">
        <f>DATE(2008,4,11)</f>
        <v>39549</v>
      </c>
      <c r="B9005" s="3">
        <f>DATE(2008,9,17)</f>
        <v>39708</v>
      </c>
      <c r="C9005" s="2" t="s">
        <v>95</v>
      </c>
      <c r="D9005" s="2" t="s">
        <v>26619</v>
      </c>
      <c r="E9005" s="2" t="s">
        <v>2728</v>
      </c>
      <c r="F9005" s="4">
        <v>3674</v>
      </c>
      <c r="G9005" s="2" t="s">
        <v>137</v>
      </c>
      <c r="H9005" s="2" t="s">
        <v>34</v>
      </c>
      <c r="I9005" s="2" t="s">
        <v>26620</v>
      </c>
      <c r="J9005" s="2" t="s">
        <v>26621</v>
      </c>
      <c r="K9005" s="2" t="s">
        <v>137</v>
      </c>
      <c r="L9005" s="2" t="s">
        <v>34</v>
      </c>
      <c r="M9005" s="12">
        <v>3040.3989999999999</v>
      </c>
      <c r="N9005" s="6">
        <v>26.29</v>
      </c>
      <c r="O9005" s="6">
        <v>25.71</v>
      </c>
      <c r="P9005" s="2" t="s">
        <v>26622</v>
      </c>
      <c r="Q9005" s="6">
        <v>80.77</v>
      </c>
      <c r="R9005" s="6">
        <v>2.2000000000000002</v>
      </c>
      <c r="S9005" s="5">
        <v>-2.8</v>
      </c>
      <c r="T9005" s="2"/>
      <c r="U9005" s="2"/>
      <c r="V9005" s="2"/>
      <c r="W9005" s="6">
        <v>2.71</v>
      </c>
      <c r="X9005" s="6">
        <v>2.56</v>
      </c>
      <c r="Y9005" s="6">
        <v>2.5499999999999998</v>
      </c>
      <c r="Z9005" s="6">
        <v>2.39</v>
      </c>
      <c r="AA9005" s="6">
        <v>16.53</v>
      </c>
      <c r="AB9005" s="2" t="s">
        <v>86</v>
      </c>
      <c r="AC9005" s="6">
        <v>956.96</v>
      </c>
    </row>
    <row r="9006" spans="1:29" ht="78" x14ac:dyDescent="0.15">
      <c r="A9006" s="3">
        <f>DATE(2008,4,11)</f>
        <v>39549</v>
      </c>
      <c r="B9006" s="3">
        <f>DATE(2008,7,31)</f>
        <v>39660</v>
      </c>
      <c r="C9006" s="2" t="s">
        <v>95</v>
      </c>
      <c r="D9006" s="2" t="s">
        <v>26623</v>
      </c>
      <c r="E9006" s="2" t="s">
        <v>26624</v>
      </c>
      <c r="F9006" s="4">
        <v>2819</v>
      </c>
      <c r="G9006" s="2" t="s">
        <v>98</v>
      </c>
      <c r="H9006" s="2" t="s">
        <v>34</v>
      </c>
      <c r="I9006" s="2" t="s">
        <v>26625</v>
      </c>
      <c r="J9006" s="2" t="s">
        <v>26626</v>
      </c>
      <c r="K9006" s="2" t="s">
        <v>98</v>
      </c>
      <c r="L9006" s="2" t="s">
        <v>34</v>
      </c>
      <c r="M9006" s="12">
        <v>3230.3470000000002</v>
      </c>
      <c r="N9006" s="6">
        <v>34.93</v>
      </c>
      <c r="O9006" s="6">
        <v>35.14</v>
      </c>
      <c r="P9006" s="2" t="s">
        <v>26627</v>
      </c>
      <c r="Q9006" s="6">
        <v>100</v>
      </c>
      <c r="R9006" s="6">
        <v>6</v>
      </c>
      <c r="S9006" s="2"/>
      <c r="T9006" s="2"/>
      <c r="U9006" s="2"/>
      <c r="V9006" s="2"/>
      <c r="W9006" s="6">
        <v>3.65</v>
      </c>
      <c r="X9006" s="6">
        <v>3.65</v>
      </c>
      <c r="Y9006" s="6">
        <v>3.65</v>
      </c>
      <c r="Z9006" s="6">
        <v>5.03</v>
      </c>
      <c r="AA9006" s="6">
        <v>2.23</v>
      </c>
      <c r="AB9006" s="2" t="s">
        <v>47</v>
      </c>
      <c r="AC9006" s="6">
        <v>135.13</v>
      </c>
    </row>
    <row r="9007" spans="1:29" ht="104" x14ac:dyDescent="0.15">
      <c r="A9007" s="3">
        <f>DATE(2008,4,11)</f>
        <v>39549</v>
      </c>
      <c r="B9007" s="3">
        <f>DATE(2008,8,4)</f>
        <v>39664</v>
      </c>
      <c r="C9007" s="2" t="s">
        <v>95</v>
      </c>
      <c r="D9007" s="2" t="s">
        <v>16656</v>
      </c>
      <c r="E9007" s="2" t="s">
        <v>16657</v>
      </c>
      <c r="F9007" s="4">
        <v>7372</v>
      </c>
      <c r="G9007" s="2" t="s">
        <v>551</v>
      </c>
      <c r="H9007" s="2" t="s">
        <v>34</v>
      </c>
      <c r="I9007" s="2" t="s">
        <v>26628</v>
      </c>
      <c r="J9007" s="2" t="s">
        <v>1032</v>
      </c>
      <c r="K9007" s="2" t="s">
        <v>53</v>
      </c>
      <c r="L9007" s="2" t="s">
        <v>303</v>
      </c>
      <c r="M9007" s="2"/>
      <c r="N9007" s="2"/>
      <c r="O9007" s="2"/>
      <c r="P9007" s="2" t="s">
        <v>26629</v>
      </c>
      <c r="Q9007" s="6">
        <v>100</v>
      </c>
      <c r="R9007" s="6">
        <v>22</v>
      </c>
      <c r="S9007" s="5">
        <v>26.3</v>
      </c>
      <c r="T9007" s="7">
        <v>80.742999999999995</v>
      </c>
      <c r="U9007" s="5">
        <v>3.6</v>
      </c>
      <c r="V9007" s="6">
        <v>0.48</v>
      </c>
      <c r="W9007" s="5">
        <v>17.5</v>
      </c>
      <c r="X9007" s="6">
        <v>17.670000000000002</v>
      </c>
      <c r="Y9007" s="6">
        <v>20.39</v>
      </c>
      <c r="Z9007" s="5">
        <v>20.5</v>
      </c>
      <c r="AA9007" s="6">
        <v>42.9</v>
      </c>
      <c r="AB9007" s="7">
        <v>35.284999999999997</v>
      </c>
      <c r="AC9007" s="2"/>
    </row>
    <row r="9008" spans="1:29" ht="117" x14ac:dyDescent="0.15">
      <c r="A9008" s="3">
        <f>DATE(2008,4,14)</f>
        <v>39552</v>
      </c>
      <c r="B9008" s="2"/>
      <c r="C9008" s="2" t="s">
        <v>30</v>
      </c>
      <c r="D9008" s="2" t="s">
        <v>22693</v>
      </c>
      <c r="E9008" s="2" t="s">
        <v>22694</v>
      </c>
      <c r="F9008" s="4">
        <v>5731</v>
      </c>
      <c r="G9008" s="2" t="s">
        <v>1227</v>
      </c>
      <c r="H9008" s="2" t="s">
        <v>34</v>
      </c>
      <c r="I9008" s="2" t="s">
        <v>21480</v>
      </c>
      <c r="J9008" s="2" t="s">
        <v>21481</v>
      </c>
      <c r="K9008" s="2" t="s">
        <v>42</v>
      </c>
      <c r="L9008" s="2" t="s">
        <v>34</v>
      </c>
      <c r="M9008" s="2"/>
      <c r="N9008" s="6">
        <v>2.81</v>
      </c>
      <c r="O9008" s="5">
        <v>2.8</v>
      </c>
      <c r="P9008" s="2" t="s">
        <v>26630</v>
      </c>
      <c r="Q9008" s="2"/>
      <c r="R9008" s="6">
        <v>8</v>
      </c>
      <c r="S9008" s="5">
        <v>-320</v>
      </c>
      <c r="T9008" s="5">
        <v>-135.69999999999999</v>
      </c>
      <c r="U9008" s="5">
        <v>8.9</v>
      </c>
      <c r="V9008" s="6">
        <v>-1.95</v>
      </c>
      <c r="W9008" s="6">
        <v>15.65</v>
      </c>
      <c r="X9008" s="6">
        <v>15.77</v>
      </c>
      <c r="Y9008" s="6">
        <v>15.53</v>
      </c>
      <c r="Z9008" s="6">
        <v>15.75</v>
      </c>
      <c r="AA9008" s="6">
        <v>168.37</v>
      </c>
      <c r="AB9008" s="2" t="s">
        <v>86</v>
      </c>
      <c r="AC9008" s="5">
        <v>137.69999999999999</v>
      </c>
    </row>
    <row r="9009" spans="1:29" ht="104" x14ac:dyDescent="0.15">
      <c r="A9009" s="3">
        <f>DATE(2008,4,14)</f>
        <v>39552</v>
      </c>
      <c r="B9009" s="3">
        <f>DATE(2008,7,2)</f>
        <v>39631</v>
      </c>
      <c r="C9009" s="2" t="s">
        <v>95</v>
      </c>
      <c r="D9009" s="2" t="s">
        <v>26631</v>
      </c>
      <c r="E9009" s="2" t="s">
        <v>1739</v>
      </c>
      <c r="F9009" s="4">
        <v>7389</v>
      </c>
      <c r="G9009" s="2" t="s">
        <v>223</v>
      </c>
      <c r="H9009" s="2" t="s">
        <v>34</v>
      </c>
      <c r="I9009" s="2" t="s">
        <v>26632</v>
      </c>
      <c r="J9009" s="2" t="s">
        <v>3941</v>
      </c>
      <c r="K9009" s="2" t="s">
        <v>53</v>
      </c>
      <c r="L9009" s="2" t="s">
        <v>34</v>
      </c>
      <c r="M9009" s="2"/>
      <c r="N9009" s="2"/>
      <c r="O9009" s="2"/>
      <c r="P9009" s="2" t="s">
        <v>26633</v>
      </c>
      <c r="Q9009" s="6">
        <v>100</v>
      </c>
      <c r="R9009" s="6">
        <v>6</v>
      </c>
      <c r="S9009" s="5">
        <v>-100.4</v>
      </c>
      <c r="T9009" s="7">
        <v>8.0169999999999995</v>
      </c>
      <c r="U9009" s="5">
        <v>2.5</v>
      </c>
      <c r="V9009" s="6">
        <v>-4.8</v>
      </c>
      <c r="W9009" s="6">
        <v>5.42</v>
      </c>
      <c r="X9009" s="6">
        <v>4.82</v>
      </c>
      <c r="Y9009" s="6">
        <v>5.72</v>
      </c>
      <c r="Z9009" s="5">
        <v>5.7</v>
      </c>
      <c r="AA9009" s="6">
        <v>22.13</v>
      </c>
      <c r="AB9009" s="2" t="s">
        <v>86</v>
      </c>
      <c r="AC9009" s="2"/>
    </row>
    <row r="9010" spans="1:29" ht="130" x14ac:dyDescent="0.15">
      <c r="A9010" s="3">
        <f>DATE(2008,4,14)</f>
        <v>39552</v>
      </c>
      <c r="B9010" s="3">
        <f>DATE(2008,10,29)</f>
        <v>39750</v>
      </c>
      <c r="C9010" s="2" t="s">
        <v>95</v>
      </c>
      <c r="D9010" s="2" t="s">
        <v>1818</v>
      </c>
      <c r="E9010" s="2" t="s">
        <v>8945</v>
      </c>
      <c r="F9010" s="4">
        <v>4512</v>
      </c>
      <c r="G9010" s="2" t="s">
        <v>59</v>
      </c>
      <c r="H9010" s="2" t="s">
        <v>34</v>
      </c>
      <c r="I9010" s="2" t="s">
        <v>8946</v>
      </c>
      <c r="J9010" s="2" t="s">
        <v>8945</v>
      </c>
      <c r="K9010" s="2" t="s">
        <v>59</v>
      </c>
      <c r="L9010" s="2" t="s">
        <v>34</v>
      </c>
      <c r="M9010" s="12">
        <v>2697.163</v>
      </c>
      <c r="N9010" s="6">
        <v>10.48</v>
      </c>
      <c r="O9010" s="6">
        <v>9.16</v>
      </c>
      <c r="P9010" s="2" t="s">
        <v>26634</v>
      </c>
      <c r="Q9010" s="6">
        <v>100</v>
      </c>
      <c r="R9010" s="6">
        <v>12.51</v>
      </c>
      <c r="S9010" s="8">
        <v>2093</v>
      </c>
      <c r="T9010" s="8">
        <v>1599</v>
      </c>
      <c r="U9010" s="5">
        <v>31.6</v>
      </c>
      <c r="V9010" s="6">
        <v>15.58</v>
      </c>
      <c r="W9010" s="6">
        <v>9.83</v>
      </c>
      <c r="X9010" s="6">
        <v>10.96</v>
      </c>
      <c r="Y9010" s="6">
        <v>11.22</v>
      </c>
      <c r="Z9010" s="6">
        <v>10.28</v>
      </c>
      <c r="AA9010" s="6">
        <v>236.43</v>
      </c>
      <c r="AB9010" s="7">
        <v>6.3150000000000004</v>
      </c>
      <c r="AC9010" s="8">
        <v>2813</v>
      </c>
    </row>
    <row r="9011" spans="1:29" ht="65" x14ac:dyDescent="0.15">
      <c r="A9011" s="3">
        <f>DATE(2008,4,15)</f>
        <v>39553</v>
      </c>
      <c r="B9011" s="3">
        <f>DATE(2008,5,28)</f>
        <v>39596</v>
      </c>
      <c r="C9011" s="2" t="s">
        <v>95</v>
      </c>
      <c r="D9011" s="2" t="s">
        <v>26635</v>
      </c>
      <c r="E9011" s="2" t="s">
        <v>628</v>
      </c>
      <c r="F9011" s="4">
        <v>3841</v>
      </c>
      <c r="G9011" s="2" t="s">
        <v>226</v>
      </c>
      <c r="H9011" s="2" t="s">
        <v>34</v>
      </c>
      <c r="I9011" s="2" t="s">
        <v>5268</v>
      </c>
      <c r="J9011" s="2" t="s">
        <v>5269</v>
      </c>
      <c r="K9011" s="2" t="s">
        <v>226</v>
      </c>
      <c r="L9011" s="2" t="s">
        <v>34</v>
      </c>
      <c r="M9011" s="12">
        <v>18835.474999999999</v>
      </c>
      <c r="N9011" s="6">
        <v>12.48</v>
      </c>
      <c r="O9011" s="6">
        <v>12.58</v>
      </c>
      <c r="P9011" s="2" t="s">
        <v>26636</v>
      </c>
      <c r="Q9011" s="6">
        <v>100</v>
      </c>
      <c r="R9011" s="6">
        <v>1.35</v>
      </c>
      <c r="S9011" s="5">
        <v>-16.3</v>
      </c>
      <c r="T9011" s="6">
        <v>-15.88</v>
      </c>
      <c r="U9011" s="5">
        <v>0.2</v>
      </c>
      <c r="V9011" s="6">
        <v>-1.31</v>
      </c>
      <c r="W9011" s="6">
        <v>1.41</v>
      </c>
      <c r="X9011" s="5">
        <v>1.1000000000000001</v>
      </c>
      <c r="Y9011" s="6">
        <v>1.1299999999999999</v>
      </c>
      <c r="Z9011" s="6">
        <v>1.33</v>
      </c>
      <c r="AA9011" s="6">
        <v>12.73</v>
      </c>
      <c r="AB9011" s="2" t="s">
        <v>86</v>
      </c>
      <c r="AC9011" s="8">
        <v>1739</v>
      </c>
    </row>
    <row r="9012" spans="1:29" ht="195" x14ac:dyDescent="0.15">
      <c r="A9012" s="3">
        <f>DATE(2008,4,16)</f>
        <v>39554</v>
      </c>
      <c r="B9012" s="2"/>
      <c r="C9012" s="2" t="s">
        <v>30</v>
      </c>
      <c r="D9012" s="2" t="s">
        <v>26468</v>
      </c>
      <c r="E9012" s="2" t="s">
        <v>22849</v>
      </c>
      <c r="F9012" s="4">
        <v>5085</v>
      </c>
      <c r="G9012" s="2" t="s">
        <v>76</v>
      </c>
      <c r="H9012" s="2" t="s">
        <v>34</v>
      </c>
      <c r="I9012" s="2" t="s">
        <v>26637</v>
      </c>
      <c r="J9012" s="2" t="s">
        <v>26638</v>
      </c>
      <c r="K9012" s="2" t="s">
        <v>76</v>
      </c>
      <c r="L9012" s="2" t="s">
        <v>34</v>
      </c>
      <c r="M9012" s="12">
        <v>1535.106</v>
      </c>
      <c r="N9012" s="6">
        <v>38.85</v>
      </c>
      <c r="O9012" s="6">
        <v>38.99</v>
      </c>
      <c r="P9012" s="2" t="s">
        <v>26639</v>
      </c>
      <c r="Q9012" s="2"/>
      <c r="R9012" s="6">
        <v>11.75</v>
      </c>
      <c r="S9012" s="5">
        <v>3.5</v>
      </c>
      <c r="T9012" s="7">
        <v>8.3859999999999992</v>
      </c>
      <c r="U9012" s="5">
        <v>8.6999999999999993</v>
      </c>
      <c r="V9012" s="6">
        <v>0.38</v>
      </c>
      <c r="W9012" s="5">
        <v>9.5</v>
      </c>
      <c r="X9012" s="6">
        <v>9.92</v>
      </c>
      <c r="Y9012" s="6">
        <v>9.2100000000000009</v>
      </c>
      <c r="Z9012" s="6">
        <v>9.9499999999999993</v>
      </c>
      <c r="AA9012" s="6">
        <v>9.61</v>
      </c>
      <c r="AB9012" s="7">
        <v>17.431000000000001</v>
      </c>
      <c r="AC9012" s="6">
        <v>94.43</v>
      </c>
    </row>
    <row r="9013" spans="1:29" ht="91" x14ac:dyDescent="0.15">
      <c r="A9013" s="3">
        <f>DATE(2008,4,18)</f>
        <v>39556</v>
      </c>
      <c r="B9013" s="3">
        <f>DATE(2008,7,9)</f>
        <v>39638</v>
      </c>
      <c r="C9013" s="2" t="s">
        <v>95</v>
      </c>
      <c r="D9013" s="2" t="s">
        <v>26471</v>
      </c>
      <c r="E9013" s="2" t="s">
        <v>23408</v>
      </c>
      <c r="F9013" s="4">
        <v>6726</v>
      </c>
      <c r="G9013" s="2" t="s">
        <v>53</v>
      </c>
      <c r="H9013" s="2" t="s">
        <v>34</v>
      </c>
      <c r="I9013" s="2" t="s">
        <v>24324</v>
      </c>
      <c r="J9013" s="2" t="s">
        <v>24325</v>
      </c>
      <c r="K9013" s="2" t="s">
        <v>45</v>
      </c>
      <c r="L9013" s="2" t="s">
        <v>34</v>
      </c>
      <c r="M9013" s="12">
        <v>28212.811000000002</v>
      </c>
      <c r="N9013" s="6">
        <v>25.79</v>
      </c>
      <c r="O9013" s="6">
        <v>26.57</v>
      </c>
      <c r="P9013" s="2" t="s">
        <v>26640</v>
      </c>
      <c r="Q9013" s="6">
        <v>100</v>
      </c>
      <c r="R9013" s="6">
        <v>1.8</v>
      </c>
      <c r="S9013" s="5">
        <v>-26.5</v>
      </c>
      <c r="T9013" s="7">
        <v>17.094000000000001</v>
      </c>
      <c r="U9013" s="5">
        <v>0.7</v>
      </c>
      <c r="V9013" s="6">
        <v>-1.2</v>
      </c>
      <c r="W9013" s="6">
        <v>0.95</v>
      </c>
      <c r="X9013" s="4">
        <v>1</v>
      </c>
      <c r="Y9013" s="6">
        <v>1.69</v>
      </c>
      <c r="Z9013" s="5">
        <v>1.7</v>
      </c>
      <c r="AA9013" s="6">
        <v>23.75</v>
      </c>
      <c r="AB9013" s="7">
        <v>133.86799999999999</v>
      </c>
      <c r="AC9013" s="8">
        <v>1626</v>
      </c>
    </row>
    <row r="9014" spans="1:29" ht="195" x14ac:dyDescent="0.15">
      <c r="A9014" s="3">
        <f>DATE(2008,4,21)</f>
        <v>39559</v>
      </c>
      <c r="B9014" s="2"/>
      <c r="C9014" s="2" t="s">
        <v>30</v>
      </c>
      <c r="D9014" s="2" t="s">
        <v>26641</v>
      </c>
      <c r="E9014" s="2" t="s">
        <v>26642</v>
      </c>
      <c r="F9014" s="4">
        <v>1389</v>
      </c>
      <c r="G9014" s="2" t="s">
        <v>148</v>
      </c>
      <c r="H9014" s="2" t="s">
        <v>34</v>
      </c>
      <c r="I9014" s="2" t="s">
        <v>26643</v>
      </c>
      <c r="J9014" s="2" t="s">
        <v>25322</v>
      </c>
      <c r="K9014" s="2" t="s">
        <v>148</v>
      </c>
      <c r="L9014" s="2" t="s">
        <v>34</v>
      </c>
      <c r="M9014" s="12">
        <v>1100.2570000000001</v>
      </c>
      <c r="N9014" s="6">
        <v>7.23</v>
      </c>
      <c r="O9014" s="6">
        <v>7.03</v>
      </c>
      <c r="P9014" s="2" t="s">
        <v>26644</v>
      </c>
      <c r="Q9014" s="2"/>
      <c r="R9014" s="6">
        <v>34.65</v>
      </c>
      <c r="S9014" s="5">
        <v>85.3</v>
      </c>
      <c r="T9014" s="7">
        <v>265.35199999999998</v>
      </c>
      <c r="U9014" s="8">
        <v>7541.7</v>
      </c>
      <c r="V9014" s="7">
        <v>1202.896</v>
      </c>
      <c r="W9014" s="6">
        <v>24.43</v>
      </c>
      <c r="X9014" s="6">
        <v>25.77</v>
      </c>
      <c r="Y9014" s="6">
        <v>26.19</v>
      </c>
      <c r="Z9014" s="6">
        <v>25.76</v>
      </c>
      <c r="AA9014" s="6">
        <v>40.93</v>
      </c>
      <c r="AB9014" s="7">
        <v>2.3730000000000002</v>
      </c>
      <c r="AC9014" s="6">
        <v>287.42</v>
      </c>
    </row>
    <row r="9015" spans="1:29" ht="143" x14ac:dyDescent="0.15">
      <c r="A9015" s="3">
        <f>DATE(2008,4,21)</f>
        <v>39559</v>
      </c>
      <c r="B9015" s="3">
        <f>DATE(2008,6,9)</f>
        <v>39608</v>
      </c>
      <c r="C9015" s="2" t="s">
        <v>95</v>
      </c>
      <c r="D9015" s="2" t="s">
        <v>26525</v>
      </c>
      <c r="E9015" s="2" t="s">
        <v>26526</v>
      </c>
      <c r="F9015" s="4">
        <v>7373</v>
      </c>
      <c r="G9015" s="2" t="s">
        <v>223</v>
      </c>
      <c r="H9015" s="2" t="s">
        <v>34</v>
      </c>
      <c r="I9015" s="2" t="s">
        <v>26645</v>
      </c>
      <c r="J9015" s="2" t="s">
        <v>26646</v>
      </c>
      <c r="K9015" s="2" t="s">
        <v>50</v>
      </c>
      <c r="L9015" s="2" t="s">
        <v>34</v>
      </c>
      <c r="M9015" s="7">
        <v>931.36500000000001</v>
      </c>
      <c r="N9015" s="6">
        <v>20.25</v>
      </c>
      <c r="O9015" s="6">
        <v>21.54</v>
      </c>
      <c r="P9015" s="2" t="s">
        <v>26647</v>
      </c>
      <c r="Q9015" s="6">
        <v>100</v>
      </c>
      <c r="R9015" s="6">
        <v>7.1</v>
      </c>
      <c r="S9015" s="5">
        <v>-22.7</v>
      </c>
      <c r="T9015" s="7">
        <v>-12.084</v>
      </c>
      <c r="U9015" s="5">
        <v>4.4000000000000004</v>
      </c>
      <c r="V9015" s="6">
        <v>-0.64</v>
      </c>
      <c r="W9015" s="5">
        <v>5.3</v>
      </c>
      <c r="X9015" s="6">
        <v>6.18</v>
      </c>
      <c r="Y9015" s="6">
        <v>6.99</v>
      </c>
      <c r="Z9015" s="6">
        <v>6.96</v>
      </c>
      <c r="AA9015" s="6">
        <v>36.47</v>
      </c>
      <c r="AB9015" s="2" t="s">
        <v>86</v>
      </c>
      <c r="AC9015" s="6">
        <v>167.09</v>
      </c>
    </row>
    <row r="9016" spans="1:29" ht="117" x14ac:dyDescent="0.15">
      <c r="A9016" s="3">
        <f>DATE(2008,4,22)</f>
        <v>39560</v>
      </c>
      <c r="B9016" s="3">
        <f>DATE(2008,6,2)</f>
        <v>39601</v>
      </c>
      <c r="C9016" s="2" t="s">
        <v>95</v>
      </c>
      <c r="D9016" s="2" t="s">
        <v>26648</v>
      </c>
      <c r="E9016" s="2" t="s">
        <v>6378</v>
      </c>
      <c r="F9016" s="4">
        <v>2834</v>
      </c>
      <c r="G9016" s="2" t="s">
        <v>130</v>
      </c>
      <c r="H9016" s="2" t="s">
        <v>34</v>
      </c>
      <c r="I9016" s="2" t="s">
        <v>22912</v>
      </c>
      <c r="J9016" s="2" t="s">
        <v>13055</v>
      </c>
      <c r="K9016" s="2" t="s">
        <v>130</v>
      </c>
      <c r="L9016" s="2" t="s">
        <v>303</v>
      </c>
      <c r="M9016" s="12">
        <v>117923.675</v>
      </c>
      <c r="N9016" s="6">
        <v>21.99</v>
      </c>
      <c r="O9016" s="7">
        <v>22.163</v>
      </c>
      <c r="P9016" s="2" t="s">
        <v>26649</v>
      </c>
      <c r="Q9016" s="6">
        <v>100</v>
      </c>
      <c r="R9016" s="6">
        <v>22.5</v>
      </c>
      <c r="S9016" s="5">
        <v>-34.4</v>
      </c>
      <c r="T9016" s="7">
        <v>-38.104999999999997</v>
      </c>
      <c r="U9016" s="5">
        <v>3.5</v>
      </c>
      <c r="V9016" s="6">
        <v>-1.74</v>
      </c>
      <c r="W9016" s="6">
        <v>12.06</v>
      </c>
      <c r="X9016" s="6">
        <v>12.75</v>
      </c>
      <c r="Y9016" s="6">
        <v>12.23</v>
      </c>
      <c r="Z9016" s="6">
        <v>22.25</v>
      </c>
      <c r="AA9016" s="6">
        <v>29.26</v>
      </c>
      <c r="AB9016" s="2" t="s">
        <v>86</v>
      </c>
      <c r="AC9016" s="10">
        <v>7644.08</v>
      </c>
    </row>
    <row r="9017" spans="1:29" ht="91" x14ac:dyDescent="0.15">
      <c r="A9017" s="3">
        <f>DATE(2008,4,23)</f>
        <v>39561</v>
      </c>
      <c r="B9017" s="3">
        <f>DATE(2008,9,22)</f>
        <v>39713</v>
      </c>
      <c r="C9017" s="2" t="s">
        <v>95</v>
      </c>
      <c r="D9017" s="2" t="s">
        <v>9850</v>
      </c>
      <c r="E9017" s="2" t="s">
        <v>9851</v>
      </c>
      <c r="F9017" s="4">
        <v>6331</v>
      </c>
      <c r="G9017" s="2" t="s">
        <v>125</v>
      </c>
      <c r="H9017" s="2" t="s">
        <v>34</v>
      </c>
      <c r="I9017" s="2" t="s">
        <v>12451</v>
      </c>
      <c r="J9017" s="2" t="s">
        <v>124</v>
      </c>
      <c r="K9017" s="2" t="s">
        <v>125</v>
      </c>
      <c r="L9017" s="2" t="s">
        <v>34</v>
      </c>
      <c r="M9017" s="2"/>
      <c r="N9017" s="2"/>
      <c r="O9017" s="2"/>
      <c r="P9017" s="2" t="s">
        <v>26650</v>
      </c>
      <c r="Q9017" s="6">
        <v>100</v>
      </c>
      <c r="R9017" s="6">
        <v>68.25</v>
      </c>
      <c r="S9017" s="5">
        <v>667.1</v>
      </c>
      <c r="T9017" s="2"/>
      <c r="U9017" s="5">
        <v>34.9</v>
      </c>
      <c r="V9017" s="6">
        <v>6.83</v>
      </c>
      <c r="W9017" s="4">
        <v>46</v>
      </c>
      <c r="X9017" s="6">
        <v>45.23</v>
      </c>
      <c r="Y9017" s="6">
        <v>65.94</v>
      </c>
      <c r="Z9017" s="6">
        <v>66.22</v>
      </c>
      <c r="AA9017" s="6">
        <v>89.81</v>
      </c>
      <c r="AB9017" s="7">
        <v>6.1749999999999998</v>
      </c>
      <c r="AC9017" s="2"/>
    </row>
    <row r="9018" spans="1:29" ht="195" x14ac:dyDescent="0.15">
      <c r="A9018" s="3">
        <f>DATE(2008,4,24)</f>
        <v>39562</v>
      </c>
      <c r="B9018" s="3">
        <f>DATE(2008,9,29)</f>
        <v>39720</v>
      </c>
      <c r="C9018" s="2" t="s">
        <v>95</v>
      </c>
      <c r="D9018" s="2" t="s">
        <v>1282</v>
      </c>
      <c r="E9018" s="2" t="s">
        <v>1283</v>
      </c>
      <c r="F9018" s="4">
        <v>5812</v>
      </c>
      <c r="G9018" s="2" t="s">
        <v>230</v>
      </c>
      <c r="H9018" s="2" t="s">
        <v>34</v>
      </c>
      <c r="I9018" s="2" t="s">
        <v>3722</v>
      </c>
      <c r="J9018" s="2" t="s">
        <v>3723</v>
      </c>
      <c r="K9018" s="2" t="s">
        <v>230</v>
      </c>
      <c r="L9018" s="2" t="s">
        <v>34</v>
      </c>
      <c r="M9018" s="7">
        <v>200.751</v>
      </c>
      <c r="N9018" s="6">
        <v>6.47</v>
      </c>
      <c r="O9018" s="6">
        <v>6.82</v>
      </c>
      <c r="P9018" s="2" t="s">
        <v>26651</v>
      </c>
      <c r="Q9018" s="6">
        <v>100</v>
      </c>
      <c r="R9018" s="6">
        <v>26.78</v>
      </c>
      <c r="S9018" s="5">
        <v>76.099999999999994</v>
      </c>
      <c r="T9018" s="7">
        <v>287.87799999999999</v>
      </c>
      <c r="U9018" s="5">
        <v>9.1</v>
      </c>
      <c r="V9018" s="6">
        <v>0.87</v>
      </c>
      <c r="W9018" s="6">
        <v>39.65</v>
      </c>
      <c r="X9018" s="6">
        <v>39.729999999999997</v>
      </c>
      <c r="Y9018" s="6">
        <v>38.26</v>
      </c>
      <c r="Z9018" s="6">
        <v>37.24</v>
      </c>
      <c r="AA9018" s="6">
        <v>87.41</v>
      </c>
      <c r="AB9018" s="7">
        <v>15.603999999999999</v>
      </c>
      <c r="AC9018" s="5">
        <v>92.1</v>
      </c>
    </row>
    <row r="9019" spans="1:29" ht="91" x14ac:dyDescent="0.15">
      <c r="A9019" s="3">
        <f>DATE(2008,4,25)</f>
        <v>39563</v>
      </c>
      <c r="B9019" s="2"/>
      <c r="C9019" s="2" t="s">
        <v>30</v>
      </c>
      <c r="D9019" s="2" t="s">
        <v>26652</v>
      </c>
      <c r="E9019" s="2" t="s">
        <v>26653</v>
      </c>
      <c r="F9019" s="4">
        <v>4512</v>
      </c>
      <c r="G9019" s="2" t="s">
        <v>59</v>
      </c>
      <c r="H9019" s="2" t="s">
        <v>34</v>
      </c>
      <c r="I9019" s="2" t="s">
        <v>26654</v>
      </c>
      <c r="J9019" s="2" t="s">
        <v>26655</v>
      </c>
      <c r="K9019" s="2" t="s">
        <v>59</v>
      </c>
      <c r="L9019" s="2" t="s">
        <v>34</v>
      </c>
      <c r="M9019" s="12">
        <v>1281.441</v>
      </c>
      <c r="N9019" s="6">
        <v>17.25</v>
      </c>
      <c r="O9019" s="6">
        <v>17.97</v>
      </c>
      <c r="P9019" s="2" t="s">
        <v>26656</v>
      </c>
      <c r="Q9019" s="2"/>
      <c r="R9019" s="6">
        <v>3.5</v>
      </c>
      <c r="S9019" s="5">
        <v>-111.7</v>
      </c>
      <c r="T9019" s="7">
        <v>-110.444</v>
      </c>
      <c r="U9019" s="5">
        <v>38.9</v>
      </c>
      <c r="V9019" s="6">
        <v>-17.78</v>
      </c>
      <c r="W9019" s="6">
        <v>2.23</v>
      </c>
      <c r="X9019" s="6">
        <v>2.09</v>
      </c>
      <c r="Y9019" s="6">
        <v>3.25</v>
      </c>
      <c r="Z9019" s="6">
        <v>3.04</v>
      </c>
      <c r="AA9019" s="6">
        <v>51.87</v>
      </c>
      <c r="AB9019" s="2" t="s">
        <v>86</v>
      </c>
      <c r="AC9019" s="6">
        <v>617.61</v>
      </c>
    </row>
    <row r="9020" spans="1:29" ht="117" x14ac:dyDescent="0.15">
      <c r="A9020" s="3">
        <f>DATE(2008,4,28)</f>
        <v>39566</v>
      </c>
      <c r="B9020" s="2"/>
      <c r="C9020" s="2" t="s">
        <v>30</v>
      </c>
      <c r="D9020" s="2" t="s">
        <v>26657</v>
      </c>
      <c r="E9020" s="2" t="s">
        <v>2044</v>
      </c>
      <c r="F9020" s="4">
        <v>6798</v>
      </c>
      <c r="G9020" s="2" t="s">
        <v>53</v>
      </c>
      <c r="H9020" s="2" t="s">
        <v>34</v>
      </c>
      <c r="I9020" s="2" t="s">
        <v>26658</v>
      </c>
      <c r="J9020" s="2" t="s">
        <v>150</v>
      </c>
      <c r="K9020" s="2" t="s">
        <v>53</v>
      </c>
      <c r="L9020" s="2" t="s">
        <v>34</v>
      </c>
      <c r="M9020" s="2"/>
      <c r="N9020" s="2"/>
      <c r="O9020" s="2"/>
      <c r="P9020" s="2" t="s">
        <v>26659</v>
      </c>
      <c r="Q9020" s="2"/>
      <c r="R9020" s="6">
        <v>21</v>
      </c>
      <c r="S9020" s="5">
        <v>-172.6</v>
      </c>
      <c r="T9020" s="7">
        <v>42.478000000000002</v>
      </c>
      <c r="U9020" s="5">
        <v>0.8</v>
      </c>
      <c r="V9020" s="6">
        <v>-4</v>
      </c>
      <c r="W9020" s="6">
        <v>15.49</v>
      </c>
      <c r="X9020" s="6">
        <v>17.07</v>
      </c>
      <c r="Y9020" s="6">
        <v>16.62</v>
      </c>
      <c r="Z9020" s="6">
        <v>16.350000000000001</v>
      </c>
      <c r="AA9020" s="6">
        <v>47.19</v>
      </c>
      <c r="AB9020" s="2" t="s">
        <v>86</v>
      </c>
      <c r="AC9020" s="2"/>
    </row>
    <row r="9021" spans="1:29" ht="65" x14ac:dyDescent="0.15">
      <c r="A9021" s="3">
        <f>DATE(2008,4,28)</f>
        <v>39566</v>
      </c>
      <c r="B9021" s="3">
        <f>DATE(2008,7,10)</f>
        <v>39639</v>
      </c>
      <c r="C9021" s="2" t="s">
        <v>95</v>
      </c>
      <c r="D9021" s="2" t="s">
        <v>26660</v>
      </c>
      <c r="E9021" s="2" t="s">
        <v>3900</v>
      </c>
      <c r="F9021" s="4">
        <v>5812</v>
      </c>
      <c r="G9021" s="2" t="s">
        <v>230</v>
      </c>
      <c r="H9021" s="2" t="s">
        <v>34</v>
      </c>
      <c r="I9021" s="2" t="s">
        <v>26661</v>
      </c>
      <c r="J9021" s="2" t="s">
        <v>1620</v>
      </c>
      <c r="K9021" s="2" t="s">
        <v>53</v>
      </c>
      <c r="L9021" s="2" t="s">
        <v>34</v>
      </c>
      <c r="M9021" s="2"/>
      <c r="N9021" s="2"/>
      <c r="O9021" s="2"/>
      <c r="P9021" s="2" t="s">
        <v>26662</v>
      </c>
      <c r="Q9021" s="6">
        <v>100</v>
      </c>
      <c r="R9021" s="6">
        <v>4</v>
      </c>
      <c r="S9021" s="5">
        <v>-5</v>
      </c>
      <c r="T9021" s="7">
        <v>7.1150000000000002</v>
      </c>
      <c r="U9021" s="5">
        <v>3.5</v>
      </c>
      <c r="V9021" s="6">
        <v>-1.97</v>
      </c>
      <c r="W9021" s="7">
        <v>2.9929999999999999</v>
      </c>
      <c r="X9021" s="6">
        <v>2.92</v>
      </c>
      <c r="Y9021" s="6">
        <v>3.78</v>
      </c>
      <c r="Z9021" s="6">
        <v>3.85</v>
      </c>
      <c r="AA9021" s="6">
        <v>2.5499999999999998</v>
      </c>
      <c r="AB9021" s="2" t="s">
        <v>86</v>
      </c>
      <c r="AC9021" s="2"/>
    </row>
    <row r="9022" spans="1:29" ht="91" x14ac:dyDescent="0.15">
      <c r="A9022" s="3">
        <f>DATE(2008,4,28)</f>
        <v>39566</v>
      </c>
      <c r="B9022" s="3">
        <f>DATE(2008,10,6)</f>
        <v>39727</v>
      </c>
      <c r="C9022" s="2" t="s">
        <v>95</v>
      </c>
      <c r="D9022" s="2" t="s">
        <v>26663</v>
      </c>
      <c r="E9022" s="2" t="s">
        <v>26664</v>
      </c>
      <c r="F9022" s="4">
        <v>2067</v>
      </c>
      <c r="G9022" s="2" t="s">
        <v>577</v>
      </c>
      <c r="H9022" s="2" t="s">
        <v>34</v>
      </c>
      <c r="I9022" s="2" t="s">
        <v>26665</v>
      </c>
      <c r="J9022" s="2" t="s">
        <v>26666</v>
      </c>
      <c r="K9022" s="2" t="s">
        <v>577</v>
      </c>
      <c r="L9022" s="2" t="s">
        <v>34</v>
      </c>
      <c r="M9022" s="2"/>
      <c r="N9022" s="2"/>
      <c r="O9022" s="2"/>
      <c r="P9022" s="2" t="s">
        <v>26667</v>
      </c>
      <c r="Q9022" s="6">
        <v>100</v>
      </c>
      <c r="R9022" s="6">
        <v>80</v>
      </c>
      <c r="S9022" s="5">
        <v>657.9</v>
      </c>
      <c r="T9022" s="12">
        <v>1253.365</v>
      </c>
      <c r="U9022" s="5">
        <v>9.5</v>
      </c>
      <c r="V9022" s="6">
        <v>2.37</v>
      </c>
      <c r="W9022" s="5">
        <v>62.5</v>
      </c>
      <c r="X9022" s="6">
        <v>62.45</v>
      </c>
      <c r="Y9022" s="6">
        <v>76.91</v>
      </c>
      <c r="Z9022" s="6">
        <v>76.87</v>
      </c>
      <c r="AA9022" s="6">
        <v>273.97000000000003</v>
      </c>
      <c r="AB9022" s="7">
        <v>23.873000000000001</v>
      </c>
      <c r="AC9022" s="2"/>
    </row>
    <row r="9023" spans="1:29" ht="130" x14ac:dyDescent="0.15">
      <c r="A9023" s="3">
        <f>DATE(2008,4,29)</f>
        <v>39567</v>
      </c>
      <c r="B9023" s="3">
        <f>DATE(2008,12,31)</f>
        <v>39813</v>
      </c>
      <c r="C9023" s="2" t="s">
        <v>95</v>
      </c>
      <c r="D9023" s="2" t="s">
        <v>26668</v>
      </c>
      <c r="E9023" s="2" t="s">
        <v>12820</v>
      </c>
      <c r="F9023" s="4">
        <v>2082</v>
      </c>
      <c r="G9023" s="2" t="s">
        <v>577</v>
      </c>
      <c r="H9023" s="2" t="s">
        <v>34</v>
      </c>
      <c r="I9023" s="2" t="s">
        <v>26669</v>
      </c>
      <c r="J9023" s="2" t="s">
        <v>12186</v>
      </c>
      <c r="K9023" s="2" t="s">
        <v>577</v>
      </c>
      <c r="L9023" s="2" t="s">
        <v>34</v>
      </c>
      <c r="M9023" s="2"/>
      <c r="N9023" s="2"/>
      <c r="O9023" s="2"/>
      <c r="P9023" s="2" t="s">
        <v>26670</v>
      </c>
      <c r="Q9023" s="6">
        <v>100</v>
      </c>
      <c r="R9023" s="6">
        <v>2.75</v>
      </c>
      <c r="S9023" s="5">
        <v>-3.8</v>
      </c>
      <c r="T9023" s="6">
        <v>0.16</v>
      </c>
      <c r="U9023" s="5">
        <v>1.7</v>
      </c>
      <c r="V9023" s="6">
        <v>-0.41</v>
      </c>
      <c r="W9023" s="5">
        <v>1.6</v>
      </c>
      <c r="X9023" s="6">
        <v>1.76</v>
      </c>
      <c r="Y9023" s="7">
        <v>2.5179999999999998</v>
      </c>
      <c r="Z9023" s="5">
        <v>2.5</v>
      </c>
      <c r="AA9023" s="6">
        <v>9.16</v>
      </c>
      <c r="AB9023" s="2" t="s">
        <v>86</v>
      </c>
      <c r="AC9023" s="2"/>
    </row>
    <row r="9024" spans="1:29" ht="169" x14ac:dyDescent="0.15">
      <c r="A9024" s="3">
        <f>DATE(2008,4,30)</f>
        <v>39568</v>
      </c>
      <c r="B9024" s="3">
        <f>DATE(2008,8,28)</f>
        <v>39688</v>
      </c>
      <c r="C9024" s="2" t="s">
        <v>95</v>
      </c>
      <c r="D9024" s="2" t="s">
        <v>26671</v>
      </c>
      <c r="E9024" s="2" t="s">
        <v>18348</v>
      </c>
      <c r="F9024" s="4">
        <v>1311</v>
      </c>
      <c r="G9024" s="2" t="s">
        <v>148</v>
      </c>
      <c r="H9024" s="2" t="s">
        <v>34</v>
      </c>
      <c r="I9024" s="2" t="s">
        <v>17964</v>
      </c>
      <c r="J9024" s="2" t="s">
        <v>1608</v>
      </c>
      <c r="K9024" s="2" t="s">
        <v>148</v>
      </c>
      <c r="L9024" s="2" t="s">
        <v>34</v>
      </c>
      <c r="M9024" s="12">
        <v>1541.6420000000001</v>
      </c>
      <c r="N9024" s="6">
        <v>60.94</v>
      </c>
      <c r="O9024" s="6">
        <v>59.75</v>
      </c>
      <c r="P9024" s="2" t="s">
        <v>26672</v>
      </c>
      <c r="Q9024" s="6">
        <v>100</v>
      </c>
      <c r="R9024" s="6">
        <v>24.85</v>
      </c>
      <c r="S9024" s="5">
        <v>78.7</v>
      </c>
      <c r="T9024" s="7">
        <v>245.36600000000001</v>
      </c>
      <c r="U9024" s="2"/>
      <c r="V9024" s="6">
        <v>1.17</v>
      </c>
      <c r="W9024" s="6">
        <v>26.15</v>
      </c>
      <c r="X9024" s="6">
        <v>25.98</v>
      </c>
      <c r="Y9024" s="5">
        <v>23.9</v>
      </c>
      <c r="Z9024" s="5">
        <v>23.5</v>
      </c>
      <c r="AA9024" s="6">
        <v>66.45</v>
      </c>
      <c r="AB9024" s="7">
        <v>13.622</v>
      </c>
      <c r="AC9024" s="6">
        <v>517.03</v>
      </c>
    </row>
    <row r="9025" spans="1:29" ht="208" x14ac:dyDescent="0.15">
      <c r="A9025" s="3">
        <f>DATE(2008,4,30)</f>
        <v>39568</v>
      </c>
      <c r="B9025" s="2"/>
      <c r="C9025" s="2" t="s">
        <v>30</v>
      </c>
      <c r="D9025" s="2" t="s">
        <v>26673</v>
      </c>
      <c r="E9025" s="2" t="s">
        <v>26674</v>
      </c>
      <c r="F9025" s="4">
        <v>3312</v>
      </c>
      <c r="G9025" s="2" t="s">
        <v>163</v>
      </c>
      <c r="H9025" s="2" t="s">
        <v>34</v>
      </c>
      <c r="I9025" s="2" t="s">
        <v>26675</v>
      </c>
      <c r="J9025" s="2" t="s">
        <v>1637</v>
      </c>
      <c r="K9025" s="2" t="s">
        <v>163</v>
      </c>
      <c r="L9025" s="2" t="s">
        <v>26676</v>
      </c>
      <c r="M9025" s="2"/>
      <c r="N9025" s="2"/>
      <c r="O9025" s="2"/>
      <c r="P9025" s="2" t="s">
        <v>26677</v>
      </c>
      <c r="Q9025" s="2"/>
      <c r="R9025" s="6">
        <v>19</v>
      </c>
      <c r="S9025" s="5">
        <v>-24.7</v>
      </c>
      <c r="T9025" s="7">
        <v>34.375</v>
      </c>
      <c r="U9025" s="5">
        <v>15.9</v>
      </c>
      <c r="V9025" s="6">
        <v>-2.19</v>
      </c>
      <c r="W9025" s="6">
        <v>13.62</v>
      </c>
      <c r="X9025" s="6">
        <v>14.98</v>
      </c>
      <c r="Y9025" s="6">
        <v>16.690000000000001</v>
      </c>
      <c r="Z9025" s="6">
        <v>16.91</v>
      </c>
      <c r="AA9025" s="6">
        <v>39.35</v>
      </c>
      <c r="AB9025" s="7">
        <v>170.458</v>
      </c>
      <c r="AC9025" s="2"/>
    </row>
    <row r="9026" spans="1:29" ht="156" x14ac:dyDescent="0.15">
      <c r="A9026" s="3">
        <f>DATE(2008,4,30)</f>
        <v>39568</v>
      </c>
      <c r="B9026" s="3">
        <f>DATE(2008,8,26)</f>
        <v>39686</v>
      </c>
      <c r="C9026" s="2" t="s">
        <v>95</v>
      </c>
      <c r="D9026" s="2" t="s">
        <v>26678</v>
      </c>
      <c r="E9026" s="2" t="s">
        <v>26679</v>
      </c>
      <c r="F9026" s="4">
        <v>7389</v>
      </c>
      <c r="G9026" s="2" t="s">
        <v>223</v>
      </c>
      <c r="H9026" s="2" t="s">
        <v>34</v>
      </c>
      <c r="I9026" s="2" t="s">
        <v>26680</v>
      </c>
      <c r="J9026" s="2" t="s">
        <v>26681</v>
      </c>
      <c r="K9026" s="2" t="s">
        <v>223</v>
      </c>
      <c r="L9026" s="2" t="s">
        <v>34</v>
      </c>
      <c r="M9026" s="7">
        <v>770.57100000000003</v>
      </c>
      <c r="N9026" s="6">
        <v>10.68</v>
      </c>
      <c r="O9026" s="6">
        <v>10.76</v>
      </c>
      <c r="P9026" s="2" t="s">
        <v>26682</v>
      </c>
      <c r="Q9026" s="6">
        <v>100</v>
      </c>
      <c r="R9026" s="6">
        <v>15.08</v>
      </c>
      <c r="S9026" s="5">
        <v>37.200000000000003</v>
      </c>
      <c r="T9026" s="7">
        <v>92.662999999999997</v>
      </c>
      <c r="U9026" s="5">
        <v>9.6</v>
      </c>
      <c r="V9026" s="6">
        <v>1.25</v>
      </c>
      <c r="W9026" s="5">
        <v>13.4</v>
      </c>
      <c r="X9026" s="5">
        <v>13.5</v>
      </c>
      <c r="Y9026" s="6">
        <v>13.75</v>
      </c>
      <c r="Z9026" s="6">
        <v>13.83</v>
      </c>
      <c r="AA9026" s="6">
        <v>29.83</v>
      </c>
      <c r="AB9026" s="7">
        <v>8.9469999999999992</v>
      </c>
      <c r="AC9026" s="6">
        <v>224.02</v>
      </c>
    </row>
    <row r="9027" spans="1:29" ht="169" x14ac:dyDescent="0.15">
      <c r="A9027" s="3">
        <f>DATE(2008,4,30)</f>
        <v>39568</v>
      </c>
      <c r="B9027" s="3">
        <f>DATE(2009,3,27)</f>
        <v>39899</v>
      </c>
      <c r="C9027" s="2" t="s">
        <v>95</v>
      </c>
      <c r="D9027" s="2" t="s">
        <v>26683</v>
      </c>
      <c r="E9027" s="2" t="s">
        <v>3892</v>
      </c>
      <c r="F9027" s="4">
        <v>7375</v>
      </c>
      <c r="G9027" s="2" t="s">
        <v>223</v>
      </c>
      <c r="H9027" s="2" t="s">
        <v>34</v>
      </c>
      <c r="I9027" s="2" t="s">
        <v>278</v>
      </c>
      <c r="J9027" s="2" t="s">
        <v>52</v>
      </c>
      <c r="K9027" s="2" t="s">
        <v>53</v>
      </c>
      <c r="L9027" s="2" t="s">
        <v>34</v>
      </c>
      <c r="M9027" s="2"/>
      <c r="N9027" s="2"/>
      <c r="O9027" s="2"/>
      <c r="P9027" s="2" t="s">
        <v>26684</v>
      </c>
      <c r="Q9027" s="6">
        <v>85.25</v>
      </c>
      <c r="R9027" s="6">
        <v>26.32</v>
      </c>
      <c r="S9027" s="8">
        <v>-7344</v>
      </c>
      <c r="T9027" s="8">
        <v>6201</v>
      </c>
      <c r="U9027" s="5">
        <v>52.7</v>
      </c>
      <c r="V9027" s="9">
        <v>-22.560199999999998</v>
      </c>
      <c r="W9027" s="6">
        <v>26.04</v>
      </c>
      <c r="X9027" s="6">
        <v>27.62</v>
      </c>
      <c r="Y9027" s="4">
        <v>28</v>
      </c>
      <c r="Z9027" s="5">
        <v>30.1</v>
      </c>
      <c r="AA9027" s="6">
        <v>976.94</v>
      </c>
      <c r="AB9027" s="7">
        <v>6.7939999999999996</v>
      </c>
      <c r="AC9027" s="2"/>
    </row>
    <row r="9028" spans="1:29" ht="130" x14ac:dyDescent="0.15">
      <c r="A9028" s="3">
        <f>DATE(2008,5,1)</f>
        <v>39569</v>
      </c>
      <c r="B9028" s="3">
        <f>DATE(2008,6,25)</f>
        <v>39624</v>
      </c>
      <c r="C9028" s="2" t="s">
        <v>95</v>
      </c>
      <c r="D9028" s="2" t="s">
        <v>26685</v>
      </c>
      <c r="E9028" s="2" t="s">
        <v>11936</v>
      </c>
      <c r="F9028" s="4">
        <v>7372</v>
      </c>
      <c r="G9028" s="2" t="s">
        <v>551</v>
      </c>
      <c r="H9028" s="2" t="s">
        <v>34</v>
      </c>
      <c r="I9028" s="2" t="s">
        <v>8994</v>
      </c>
      <c r="J9028" s="2" t="s">
        <v>8995</v>
      </c>
      <c r="K9028" s="2" t="s">
        <v>551</v>
      </c>
      <c r="L9028" s="2" t="s">
        <v>34</v>
      </c>
      <c r="M9028" s="12">
        <v>7712.7470000000003</v>
      </c>
      <c r="N9028" s="6">
        <v>39.31</v>
      </c>
      <c r="O9028" s="6">
        <v>39.42</v>
      </c>
      <c r="P9028" s="2" t="s">
        <v>26686</v>
      </c>
      <c r="Q9028" s="6">
        <v>100</v>
      </c>
      <c r="R9028" s="6">
        <v>22</v>
      </c>
      <c r="S9028" s="5">
        <v>6.9</v>
      </c>
      <c r="T9028" s="7">
        <v>10.225</v>
      </c>
      <c r="U9028" s="5">
        <v>7.7</v>
      </c>
      <c r="V9028" s="6">
        <v>0.61</v>
      </c>
      <c r="W9028" s="6">
        <v>18.48</v>
      </c>
      <c r="X9028" s="6">
        <v>19.760000000000002</v>
      </c>
      <c r="Y9028" s="6">
        <v>19.61</v>
      </c>
      <c r="Z9028" s="6">
        <v>21.82</v>
      </c>
      <c r="AA9028" s="6">
        <v>13.23</v>
      </c>
      <c r="AB9028" s="7">
        <v>22.683</v>
      </c>
      <c r="AC9028" s="5">
        <v>942</v>
      </c>
    </row>
    <row r="9029" spans="1:29" ht="91" x14ac:dyDescent="0.15">
      <c r="A9029" s="3">
        <f>DATE(2008,5,1)</f>
        <v>39569</v>
      </c>
      <c r="B9029" s="3">
        <f>DATE(2008,6,18)</f>
        <v>39617</v>
      </c>
      <c r="C9029" s="2" t="s">
        <v>95</v>
      </c>
      <c r="D9029" s="2" t="s">
        <v>12336</v>
      </c>
      <c r="E9029" s="2" t="s">
        <v>10361</v>
      </c>
      <c r="F9029" s="4">
        <v>7372</v>
      </c>
      <c r="G9029" s="2" t="s">
        <v>551</v>
      </c>
      <c r="H9029" s="2" t="s">
        <v>34</v>
      </c>
      <c r="I9029" s="2" t="s">
        <v>26687</v>
      </c>
      <c r="J9029" s="2" t="s">
        <v>8995</v>
      </c>
      <c r="K9029" s="2" t="s">
        <v>551</v>
      </c>
      <c r="L9029" s="2" t="s">
        <v>303</v>
      </c>
      <c r="M9029" s="7">
        <v>815.90200000000004</v>
      </c>
      <c r="N9029" s="6">
        <v>4.9800000000000004</v>
      </c>
      <c r="O9029" s="7">
        <v>5.0369999999999999</v>
      </c>
      <c r="P9029" s="2" t="s">
        <v>26688</v>
      </c>
      <c r="Q9029" s="6">
        <v>100</v>
      </c>
      <c r="R9029" s="6">
        <v>7.2</v>
      </c>
      <c r="S9029" s="5">
        <v>1.9</v>
      </c>
      <c r="T9029" s="7">
        <v>2.9609999999999999</v>
      </c>
      <c r="U9029" s="5">
        <v>2.2000000000000002</v>
      </c>
      <c r="V9029" s="6">
        <v>0.2</v>
      </c>
      <c r="W9029" s="6">
        <v>4.13</v>
      </c>
      <c r="X9029" s="6">
        <v>4.1500000000000004</v>
      </c>
      <c r="Y9029" s="6">
        <v>6.94</v>
      </c>
      <c r="Z9029" s="4">
        <v>7</v>
      </c>
      <c r="AA9029" s="6">
        <v>9.6300000000000008</v>
      </c>
      <c r="AB9029" s="7">
        <v>25.46</v>
      </c>
      <c r="AC9029" s="6">
        <v>92.52</v>
      </c>
    </row>
    <row r="9030" spans="1:29" ht="156" x14ac:dyDescent="0.15">
      <c r="A9030" s="3">
        <f>DATE(2008,5,5)</f>
        <v>39573</v>
      </c>
      <c r="B9030" s="3">
        <f>DATE(2008,7,2)</f>
        <v>39631</v>
      </c>
      <c r="C9030" s="2" t="s">
        <v>95</v>
      </c>
      <c r="D9030" s="2" t="s">
        <v>26689</v>
      </c>
      <c r="E9030" s="2" t="s">
        <v>26690</v>
      </c>
      <c r="F9030" s="4">
        <v>7353</v>
      </c>
      <c r="G9030" s="2" t="s">
        <v>223</v>
      </c>
      <c r="H9030" s="2" t="s">
        <v>34</v>
      </c>
      <c r="I9030" s="2" t="s">
        <v>26691</v>
      </c>
      <c r="J9030" s="2" t="s">
        <v>4655</v>
      </c>
      <c r="K9030" s="2" t="s">
        <v>53</v>
      </c>
      <c r="L9030" s="2" t="s">
        <v>34</v>
      </c>
      <c r="M9030" s="2"/>
      <c r="N9030" s="2"/>
      <c r="O9030" s="2"/>
      <c r="P9030" s="2" t="s">
        <v>26692</v>
      </c>
      <c r="Q9030" s="6">
        <v>100</v>
      </c>
      <c r="R9030" s="6">
        <v>42.5</v>
      </c>
      <c r="S9030" s="2"/>
      <c r="T9030" s="2"/>
      <c r="U9030" s="2"/>
      <c r="V9030" s="2"/>
      <c r="W9030" s="6">
        <v>35.75</v>
      </c>
      <c r="X9030" s="6">
        <v>35.75</v>
      </c>
      <c r="Y9030" s="6">
        <v>35.75</v>
      </c>
      <c r="Z9030" s="4">
        <v>40</v>
      </c>
      <c r="AA9030" s="6">
        <v>10</v>
      </c>
      <c r="AB9030" s="2" t="s">
        <v>47</v>
      </c>
      <c r="AC9030" s="2"/>
    </row>
    <row r="9031" spans="1:29" ht="156" x14ac:dyDescent="0.15">
      <c r="A9031" s="3">
        <f>DATE(2008,5,7)</f>
        <v>39575</v>
      </c>
      <c r="B9031" s="2"/>
      <c r="C9031" s="2" t="s">
        <v>30</v>
      </c>
      <c r="D9031" s="2" t="s">
        <v>7668</v>
      </c>
      <c r="E9031" s="2" t="s">
        <v>7190</v>
      </c>
      <c r="F9031" s="4">
        <v>6036</v>
      </c>
      <c r="G9031" s="2" t="s">
        <v>33</v>
      </c>
      <c r="H9031" s="2" t="s">
        <v>34</v>
      </c>
      <c r="I9031" s="2" t="s">
        <v>15033</v>
      </c>
      <c r="J9031" s="2" t="s">
        <v>36</v>
      </c>
      <c r="K9031" s="2" t="s">
        <v>33</v>
      </c>
      <c r="L9031" s="2" t="s">
        <v>34</v>
      </c>
      <c r="M9031" s="6">
        <v>209.14</v>
      </c>
      <c r="N9031" s="6">
        <v>11.86</v>
      </c>
      <c r="O9031" s="6">
        <v>10.97</v>
      </c>
      <c r="P9031" s="2" t="s">
        <v>26693</v>
      </c>
      <c r="Q9031" s="2"/>
      <c r="R9031" s="6">
        <v>13.58</v>
      </c>
      <c r="S9031" s="5">
        <v>2</v>
      </c>
      <c r="T9031" s="7">
        <v>3.8220000000000001</v>
      </c>
      <c r="U9031" s="5">
        <v>12.1</v>
      </c>
      <c r="V9031" s="6">
        <v>0.27</v>
      </c>
      <c r="W9031" s="6">
        <v>10.37</v>
      </c>
      <c r="X9031" s="6">
        <v>9.9499999999999993</v>
      </c>
      <c r="Y9031" s="6">
        <v>11.54</v>
      </c>
      <c r="Z9031" s="6">
        <v>11.35</v>
      </c>
      <c r="AA9031" s="6">
        <v>7.16</v>
      </c>
      <c r="AB9031" s="7">
        <v>111.729</v>
      </c>
      <c r="AC9031" s="2"/>
    </row>
    <row r="9032" spans="1:29" ht="78" x14ac:dyDescent="0.15">
      <c r="A9032" s="3">
        <f>DATE(2008,5,9)</f>
        <v>39577</v>
      </c>
      <c r="B9032" s="2"/>
      <c r="C9032" s="2" t="s">
        <v>30</v>
      </c>
      <c r="D9032" s="2" t="s">
        <v>26694</v>
      </c>
      <c r="E9032" s="2" t="s">
        <v>21919</v>
      </c>
      <c r="F9032" s="4">
        <v>5641</v>
      </c>
      <c r="G9032" s="2" t="s">
        <v>756</v>
      </c>
      <c r="H9032" s="2" t="s">
        <v>34</v>
      </c>
      <c r="I9032" s="2" t="s">
        <v>51</v>
      </c>
      <c r="J9032" s="2" t="s">
        <v>52</v>
      </c>
      <c r="K9032" s="2" t="s">
        <v>53</v>
      </c>
      <c r="L9032" s="2" t="s">
        <v>34</v>
      </c>
      <c r="M9032" s="2"/>
      <c r="N9032" s="2"/>
      <c r="O9032" s="2"/>
      <c r="P9032" s="2" t="s">
        <v>26695</v>
      </c>
      <c r="Q9032" s="2"/>
      <c r="R9032" s="2"/>
      <c r="S9032" s="5">
        <v>-54.9</v>
      </c>
      <c r="T9032" s="7">
        <v>123.50700000000001</v>
      </c>
      <c r="U9032" s="5">
        <v>16.8</v>
      </c>
      <c r="V9032" s="6">
        <v>-1.9</v>
      </c>
      <c r="W9032" s="6">
        <v>26.94</v>
      </c>
      <c r="X9032" s="6">
        <v>28.74</v>
      </c>
      <c r="Y9032" s="5">
        <v>29.4</v>
      </c>
      <c r="Z9032" s="6">
        <v>29.85</v>
      </c>
      <c r="AA9032" s="6">
        <v>29.19</v>
      </c>
      <c r="AB9032" s="2" t="s">
        <v>47</v>
      </c>
      <c r="AC9032" s="2"/>
    </row>
    <row r="9033" spans="1:29" ht="130" x14ac:dyDescent="0.15">
      <c r="A9033" s="3">
        <f>DATE(2008,5,9)</f>
        <v>39577</v>
      </c>
      <c r="B9033" s="3">
        <f>DATE(2008,9,24)</f>
        <v>39715</v>
      </c>
      <c r="C9033" s="2" t="s">
        <v>95</v>
      </c>
      <c r="D9033" s="2" t="s">
        <v>26696</v>
      </c>
      <c r="E9033" s="2" t="s">
        <v>26697</v>
      </c>
      <c r="F9033" s="4">
        <v>6726</v>
      </c>
      <c r="G9033" s="2" t="s">
        <v>53</v>
      </c>
      <c r="H9033" s="2" t="s">
        <v>34</v>
      </c>
      <c r="I9033" s="2" t="s">
        <v>26698</v>
      </c>
      <c r="J9033" s="2" t="s">
        <v>26699</v>
      </c>
      <c r="K9033" s="2" t="s">
        <v>53</v>
      </c>
      <c r="L9033" s="2" t="s">
        <v>34</v>
      </c>
      <c r="M9033" s="7">
        <v>669.91300000000001</v>
      </c>
      <c r="N9033" s="6">
        <v>9.94</v>
      </c>
      <c r="O9033" s="6">
        <v>9.92</v>
      </c>
      <c r="P9033" s="2" t="s">
        <v>26700</v>
      </c>
      <c r="Q9033" s="6">
        <v>100</v>
      </c>
      <c r="R9033" s="6">
        <v>1.76</v>
      </c>
      <c r="S9033" s="2"/>
      <c r="T9033" s="2"/>
      <c r="U9033" s="2"/>
      <c r="V9033" s="2"/>
      <c r="W9033" s="6">
        <v>2.39</v>
      </c>
      <c r="X9033" s="6">
        <v>2.41</v>
      </c>
      <c r="Y9033" s="6">
        <v>2.41</v>
      </c>
      <c r="Z9033" s="7">
        <v>2.3820000000000001</v>
      </c>
      <c r="AA9033" s="6">
        <v>17.18</v>
      </c>
      <c r="AB9033" s="2" t="s">
        <v>47</v>
      </c>
      <c r="AC9033" s="2"/>
    </row>
    <row r="9034" spans="1:29" ht="143" x14ac:dyDescent="0.15">
      <c r="A9034" s="3">
        <f>DATE(2008,5,12)</f>
        <v>39580</v>
      </c>
      <c r="B9034" s="3">
        <f>DATE(2008,10,22)</f>
        <v>39743</v>
      </c>
      <c r="C9034" s="2" t="s">
        <v>95</v>
      </c>
      <c r="D9034" s="2" t="s">
        <v>11896</v>
      </c>
      <c r="E9034" s="2" t="s">
        <v>11897</v>
      </c>
      <c r="F9034" s="4">
        <v>3812</v>
      </c>
      <c r="G9034" s="2" t="s">
        <v>226</v>
      </c>
      <c r="H9034" s="2" t="s">
        <v>34</v>
      </c>
      <c r="I9034" s="2" t="s">
        <v>26701</v>
      </c>
      <c r="J9034" s="2" t="s">
        <v>26702</v>
      </c>
      <c r="K9034" s="2" t="s">
        <v>226</v>
      </c>
      <c r="L9034" s="2" t="s">
        <v>5907</v>
      </c>
      <c r="M9034" s="12">
        <v>14119.203</v>
      </c>
      <c r="N9034" s="7">
        <v>33.198999999999998</v>
      </c>
      <c r="O9034" s="7">
        <v>31.574999999999999</v>
      </c>
      <c r="P9034" s="2" t="s">
        <v>26703</v>
      </c>
      <c r="Q9034" s="6">
        <v>100</v>
      </c>
      <c r="R9034" s="6">
        <v>81</v>
      </c>
      <c r="S9034" s="5">
        <v>165.8</v>
      </c>
      <c r="T9034" s="7">
        <v>438.56700000000001</v>
      </c>
      <c r="U9034" s="5">
        <v>40.700000000000003</v>
      </c>
      <c r="V9034" s="6">
        <v>4</v>
      </c>
      <c r="W9034" s="6">
        <v>63.49</v>
      </c>
      <c r="X9034" s="6">
        <v>63.74</v>
      </c>
      <c r="Y9034" s="6">
        <v>73.89</v>
      </c>
      <c r="Z9034" s="5">
        <v>74.8</v>
      </c>
      <c r="AA9034" s="6">
        <v>41.36</v>
      </c>
      <c r="AB9034" s="7">
        <v>15.215</v>
      </c>
      <c r="AC9034" s="10">
        <v>2429.4499999999998</v>
      </c>
    </row>
    <row r="9035" spans="1:29" ht="117" x14ac:dyDescent="0.15">
      <c r="A9035" s="3">
        <f>DATE(2008,5,12)</f>
        <v>39580</v>
      </c>
      <c r="B9035" s="3">
        <f>DATE(2008,8,5)</f>
        <v>39665</v>
      </c>
      <c r="C9035" s="2" t="s">
        <v>95</v>
      </c>
      <c r="D9035" s="2" t="s">
        <v>26704</v>
      </c>
      <c r="E9035" s="2" t="s">
        <v>26705</v>
      </c>
      <c r="F9035" s="4">
        <v>2834</v>
      </c>
      <c r="G9035" s="2" t="s">
        <v>130</v>
      </c>
      <c r="H9035" s="2" t="s">
        <v>34</v>
      </c>
      <c r="I9035" s="2" t="s">
        <v>26706</v>
      </c>
      <c r="J9035" s="2" t="s">
        <v>6711</v>
      </c>
      <c r="K9035" s="2" t="s">
        <v>130</v>
      </c>
      <c r="L9035" s="2" t="s">
        <v>14834</v>
      </c>
      <c r="M9035" s="12">
        <v>1884.4739999999999</v>
      </c>
      <c r="N9035" s="7">
        <v>43.643000000000001</v>
      </c>
      <c r="O9035" s="7">
        <v>46.767000000000003</v>
      </c>
      <c r="P9035" s="2" t="s">
        <v>26707</v>
      </c>
      <c r="Q9035" s="6">
        <v>100</v>
      </c>
      <c r="R9035" s="6">
        <v>6.6</v>
      </c>
      <c r="S9035" s="5">
        <v>-25.5</v>
      </c>
      <c r="T9035" s="7">
        <v>-24.501999999999999</v>
      </c>
      <c r="U9035" s="5">
        <v>0.5</v>
      </c>
      <c r="V9035" s="6">
        <v>-1.03</v>
      </c>
      <c r="W9035" s="6">
        <v>2.35</v>
      </c>
      <c r="X9035" s="6">
        <v>2.67</v>
      </c>
      <c r="Y9035" s="6">
        <v>2.92</v>
      </c>
      <c r="Z9035" s="6">
        <v>6.34</v>
      </c>
      <c r="AA9035" s="6">
        <v>25.59</v>
      </c>
      <c r="AB9035" s="2" t="s">
        <v>86</v>
      </c>
      <c r="AC9035" s="6">
        <v>429.17</v>
      </c>
    </row>
    <row r="9036" spans="1:29" ht="117" x14ac:dyDescent="0.15">
      <c r="A9036" s="3">
        <f>DATE(2008,5,12)</f>
        <v>39580</v>
      </c>
      <c r="B9036" s="3">
        <f>DATE(2008,8,1)</f>
        <v>39661</v>
      </c>
      <c r="C9036" s="2" t="s">
        <v>95</v>
      </c>
      <c r="D9036" s="2" t="s">
        <v>26708</v>
      </c>
      <c r="E9036" s="2" t="s">
        <v>26709</v>
      </c>
      <c r="F9036" s="4">
        <v>3663</v>
      </c>
      <c r="G9036" s="2" t="s">
        <v>921</v>
      </c>
      <c r="H9036" s="2" t="s">
        <v>34</v>
      </c>
      <c r="I9036" s="2" t="s">
        <v>26710</v>
      </c>
      <c r="J9036" s="2" t="s">
        <v>26711</v>
      </c>
      <c r="K9036" s="2" t="s">
        <v>921</v>
      </c>
      <c r="L9036" s="2" t="s">
        <v>34</v>
      </c>
      <c r="M9036" s="7">
        <v>933.69200000000001</v>
      </c>
      <c r="N9036" s="6">
        <v>43.45</v>
      </c>
      <c r="O9036" s="5">
        <v>43.6</v>
      </c>
      <c r="P9036" s="2" t="s">
        <v>26712</v>
      </c>
      <c r="Q9036" s="6">
        <v>100</v>
      </c>
      <c r="R9036" s="6">
        <v>11.5</v>
      </c>
      <c r="S9036" s="5">
        <v>10</v>
      </c>
      <c r="T9036" s="7">
        <v>17.818999999999999</v>
      </c>
      <c r="U9036" s="5">
        <v>6.4</v>
      </c>
      <c r="V9036" s="6">
        <v>0.53</v>
      </c>
      <c r="W9036" s="6">
        <v>7.79</v>
      </c>
      <c r="X9036" s="6">
        <v>7.74</v>
      </c>
      <c r="Y9036" s="5">
        <v>11.1</v>
      </c>
      <c r="Z9036" s="6">
        <v>11.14</v>
      </c>
      <c r="AA9036" s="6">
        <v>18.8</v>
      </c>
      <c r="AB9036" s="7">
        <v>13.888</v>
      </c>
      <c r="AC9036" s="6">
        <v>361.09</v>
      </c>
    </row>
    <row r="9037" spans="1:29" ht="130" x14ac:dyDescent="0.15">
      <c r="A9037" s="3">
        <f>DATE(2008,5,13)</f>
        <v>39581</v>
      </c>
      <c r="B9037" s="3">
        <f>DATE(2008,8,26)</f>
        <v>39686</v>
      </c>
      <c r="C9037" s="2" t="s">
        <v>95</v>
      </c>
      <c r="D9037" s="2" t="s">
        <v>16800</v>
      </c>
      <c r="E9037" s="2" t="s">
        <v>4572</v>
      </c>
      <c r="F9037" s="4">
        <v>7376</v>
      </c>
      <c r="G9037" s="2" t="s">
        <v>223</v>
      </c>
      <c r="H9037" s="2" t="s">
        <v>34</v>
      </c>
      <c r="I9037" s="2" t="s">
        <v>21668</v>
      </c>
      <c r="J9037" s="2" t="s">
        <v>21669</v>
      </c>
      <c r="K9037" s="2" t="s">
        <v>50</v>
      </c>
      <c r="L9037" s="2" t="s">
        <v>34</v>
      </c>
      <c r="M9037" s="12">
        <v>112959.969</v>
      </c>
      <c r="N9037" s="6">
        <v>44.27</v>
      </c>
      <c r="O9037" s="6">
        <v>45.64</v>
      </c>
      <c r="P9037" s="2" t="s">
        <v>26713</v>
      </c>
      <c r="Q9037" s="6">
        <v>100</v>
      </c>
      <c r="R9037" s="6">
        <v>25</v>
      </c>
      <c r="S9037" s="5">
        <v>628</v>
      </c>
      <c r="T9037" s="8">
        <v>2614</v>
      </c>
      <c r="U9037" s="5">
        <v>19.2</v>
      </c>
      <c r="V9037" s="6">
        <v>1.18</v>
      </c>
      <c r="W9037" s="6">
        <v>19.260000000000002</v>
      </c>
      <c r="X9037" s="6">
        <v>18.86</v>
      </c>
      <c r="Y9037" s="6">
        <v>24.13</v>
      </c>
      <c r="Z9037" s="6">
        <v>24.34</v>
      </c>
      <c r="AA9037" s="6">
        <v>502.6</v>
      </c>
      <c r="AB9037" s="7">
        <v>11.625</v>
      </c>
      <c r="AC9037" s="8">
        <v>11647</v>
      </c>
    </row>
    <row r="9038" spans="1:29" ht="143" x14ac:dyDescent="0.15">
      <c r="A9038" s="3">
        <f>DATE(2008,5,13)</f>
        <v>39581</v>
      </c>
      <c r="B9038" s="2"/>
      <c r="C9038" s="2" t="s">
        <v>30</v>
      </c>
      <c r="D9038" s="2" t="s">
        <v>19831</v>
      </c>
      <c r="E9038" s="2" t="s">
        <v>19832</v>
      </c>
      <c r="F9038" s="4">
        <v>2833</v>
      </c>
      <c r="G9038" s="2" t="s">
        <v>130</v>
      </c>
      <c r="H9038" s="2" t="s">
        <v>34</v>
      </c>
      <c r="I9038" s="2" t="s">
        <v>26714</v>
      </c>
      <c r="J9038" s="2" t="s">
        <v>11337</v>
      </c>
      <c r="K9038" s="2" t="s">
        <v>53</v>
      </c>
      <c r="L9038" s="2" t="s">
        <v>34</v>
      </c>
      <c r="M9038" s="2"/>
      <c r="N9038" s="2"/>
      <c r="O9038" s="2"/>
      <c r="P9038" s="2" t="s">
        <v>26715</v>
      </c>
      <c r="Q9038" s="2"/>
      <c r="R9038" s="6">
        <v>28</v>
      </c>
      <c r="S9038" s="5">
        <v>40.6</v>
      </c>
      <c r="T9038" s="7">
        <v>68.174999999999997</v>
      </c>
      <c r="U9038" s="5">
        <v>1.9</v>
      </c>
      <c r="V9038" s="7">
        <v>1.2250000000000001</v>
      </c>
      <c r="W9038" s="6">
        <v>20.14</v>
      </c>
      <c r="X9038" s="6">
        <v>20.83</v>
      </c>
      <c r="Y9038" s="6">
        <v>25.65</v>
      </c>
      <c r="Z9038" s="5">
        <v>25.5</v>
      </c>
      <c r="AA9038" s="6">
        <v>16.39</v>
      </c>
      <c r="AB9038" s="7">
        <v>14.792</v>
      </c>
      <c r="AC9038" s="2"/>
    </row>
    <row r="9039" spans="1:29" ht="143" x14ac:dyDescent="0.15">
      <c r="A9039" s="3">
        <f>DATE(2008,5,14)</f>
        <v>39582</v>
      </c>
      <c r="B9039" s="3">
        <f>DATE(2008,10,31)</f>
        <v>39752</v>
      </c>
      <c r="C9039" s="2" t="s">
        <v>95</v>
      </c>
      <c r="D9039" s="2" t="s">
        <v>26716</v>
      </c>
      <c r="E9039" s="2" t="s">
        <v>159</v>
      </c>
      <c r="F9039" s="4">
        <v>6021</v>
      </c>
      <c r="G9039" s="2" t="s">
        <v>37</v>
      </c>
      <c r="H9039" s="2" t="s">
        <v>34</v>
      </c>
      <c r="I9039" s="2" t="s">
        <v>26717</v>
      </c>
      <c r="J9039" s="2" t="s">
        <v>36</v>
      </c>
      <c r="K9039" s="2" t="s">
        <v>37</v>
      </c>
      <c r="L9039" s="2" t="s">
        <v>34</v>
      </c>
      <c r="M9039" s="7">
        <v>40.884</v>
      </c>
      <c r="N9039" s="6">
        <v>17.05</v>
      </c>
      <c r="O9039" s="6">
        <v>16.25</v>
      </c>
      <c r="P9039" s="2" t="s">
        <v>26718</v>
      </c>
      <c r="Q9039" s="6">
        <v>100</v>
      </c>
      <c r="R9039" s="6">
        <v>18.079999999999998</v>
      </c>
      <c r="S9039" s="5">
        <v>0.3</v>
      </c>
      <c r="T9039" s="2"/>
      <c r="U9039" s="5">
        <v>19.100000000000001</v>
      </c>
      <c r="V9039" s="9">
        <v>0.76359999999999995</v>
      </c>
      <c r="W9039" s="6">
        <v>12.25</v>
      </c>
      <c r="X9039" s="4">
        <v>12</v>
      </c>
      <c r="Y9039" s="4">
        <v>12</v>
      </c>
      <c r="Z9039" s="6">
        <v>14.65</v>
      </c>
      <c r="AA9039" s="6">
        <v>0.44</v>
      </c>
      <c r="AB9039" s="7">
        <v>315.89400000000001</v>
      </c>
      <c r="AC9039" s="2"/>
    </row>
    <row r="9040" spans="1:29" ht="143" x14ac:dyDescent="0.15">
      <c r="A9040" s="3">
        <f>DATE(2008,5,15)</f>
        <v>39583</v>
      </c>
      <c r="B9040" s="3">
        <f>DATE(2008,6,30)</f>
        <v>39629</v>
      </c>
      <c r="C9040" s="2" t="s">
        <v>95</v>
      </c>
      <c r="D9040" s="2" t="s">
        <v>17278</v>
      </c>
      <c r="E9040" s="2" t="s">
        <v>17279</v>
      </c>
      <c r="F9040" s="4">
        <v>3571</v>
      </c>
      <c r="G9040" s="2" t="s">
        <v>50</v>
      </c>
      <c r="H9040" s="2" t="s">
        <v>34</v>
      </c>
      <c r="I9040" s="2" t="s">
        <v>10532</v>
      </c>
      <c r="J9040" s="2" t="s">
        <v>26719</v>
      </c>
      <c r="K9040" s="2" t="s">
        <v>45</v>
      </c>
      <c r="L9040" s="2" t="s">
        <v>34</v>
      </c>
      <c r="M9040" s="12">
        <v>14778.098</v>
      </c>
      <c r="N9040" s="6">
        <v>24.26</v>
      </c>
      <c r="O9040" s="5">
        <v>23.4</v>
      </c>
      <c r="P9040" s="2" t="s">
        <v>26720</v>
      </c>
      <c r="Q9040" s="6">
        <v>100</v>
      </c>
      <c r="R9040" s="6">
        <v>11.5</v>
      </c>
      <c r="S9040" s="5">
        <v>199.3</v>
      </c>
      <c r="T9040" s="7">
        <v>51.334000000000003</v>
      </c>
      <c r="U9040" s="5">
        <v>3.3</v>
      </c>
      <c r="V9040" s="6">
        <v>1.31</v>
      </c>
      <c r="W9040" s="5">
        <v>7.7</v>
      </c>
      <c r="X9040" s="6">
        <v>7.95</v>
      </c>
      <c r="Y9040" s="6">
        <v>11.41</v>
      </c>
      <c r="Z9040" s="6">
        <v>11.37</v>
      </c>
      <c r="AA9040" s="6">
        <v>152.34</v>
      </c>
      <c r="AB9040" s="7">
        <v>153.398</v>
      </c>
      <c r="AC9040" s="8">
        <v>2258.9</v>
      </c>
    </row>
    <row r="9041" spans="1:29" ht="143" x14ac:dyDescent="0.15">
      <c r="A9041" s="3">
        <f>DATE(2008,5,16)</f>
        <v>39584</v>
      </c>
      <c r="B9041" s="3">
        <f>DATE(2008,8,29)</f>
        <v>39689</v>
      </c>
      <c r="C9041" s="2" t="s">
        <v>95</v>
      </c>
      <c r="D9041" s="2" t="s">
        <v>26721</v>
      </c>
      <c r="E9041" s="2" t="s">
        <v>26722</v>
      </c>
      <c r="F9041" s="4">
        <v>3674</v>
      </c>
      <c r="G9041" s="2" t="s">
        <v>137</v>
      </c>
      <c r="H9041" s="2" t="s">
        <v>34</v>
      </c>
      <c r="I9041" s="2" t="s">
        <v>26723</v>
      </c>
      <c r="J9041" s="2" t="s">
        <v>26724</v>
      </c>
      <c r="K9041" s="2" t="s">
        <v>137</v>
      </c>
      <c r="L9041" s="2" t="s">
        <v>34</v>
      </c>
      <c r="M9041" s="7">
        <v>382.88400000000001</v>
      </c>
      <c r="N9041" s="6">
        <v>1.53</v>
      </c>
      <c r="O9041" s="7">
        <v>1.698</v>
      </c>
      <c r="P9041" s="2" t="s">
        <v>26725</v>
      </c>
      <c r="Q9041" s="6">
        <v>100</v>
      </c>
      <c r="R9041" s="6">
        <v>8.33</v>
      </c>
      <c r="S9041" s="5">
        <v>-1.3</v>
      </c>
      <c r="T9041" s="7">
        <v>-0.60699999999999998</v>
      </c>
      <c r="U9041" s="5">
        <v>5.7</v>
      </c>
      <c r="V9041" s="6">
        <v>-0.06</v>
      </c>
      <c r="W9041" s="6">
        <v>8.34</v>
      </c>
      <c r="X9041" s="6">
        <v>8.14</v>
      </c>
      <c r="Y9041" s="6">
        <v>9.0299999999999994</v>
      </c>
      <c r="Z9041" s="6">
        <v>10.24</v>
      </c>
      <c r="AA9041" s="6">
        <v>25.48</v>
      </c>
      <c r="AB9041" s="2" t="s">
        <v>86</v>
      </c>
      <c r="AC9041" s="6">
        <v>110.02</v>
      </c>
    </row>
    <row r="9042" spans="1:29" ht="91" x14ac:dyDescent="0.15">
      <c r="A9042" s="3">
        <f>DATE(2008,5,16)</f>
        <v>39584</v>
      </c>
      <c r="B9042" s="3">
        <f>DATE(2010,2,18)</f>
        <v>40227</v>
      </c>
      <c r="C9042" s="2" t="s">
        <v>95</v>
      </c>
      <c r="D9042" s="2" t="s">
        <v>10140</v>
      </c>
      <c r="E9042" s="2" t="s">
        <v>207</v>
      </c>
      <c r="F9042" s="4">
        <v>3674</v>
      </c>
      <c r="G9042" s="2" t="s">
        <v>137</v>
      </c>
      <c r="H9042" s="2" t="s">
        <v>34</v>
      </c>
      <c r="I9042" s="2" t="s">
        <v>19920</v>
      </c>
      <c r="J9042" s="2" t="s">
        <v>207</v>
      </c>
      <c r="K9042" s="2" t="s">
        <v>137</v>
      </c>
      <c r="L9042" s="2" t="s">
        <v>34</v>
      </c>
      <c r="M9042" s="7">
        <v>223.22499999999999</v>
      </c>
      <c r="N9042" s="6">
        <v>7.61</v>
      </c>
      <c r="O9042" s="6">
        <v>7.72</v>
      </c>
      <c r="P9042" s="2" t="s">
        <v>26726</v>
      </c>
      <c r="Q9042" s="6">
        <v>100</v>
      </c>
      <c r="R9042" s="6">
        <v>3.59</v>
      </c>
      <c r="S9042" s="5">
        <v>-7.6</v>
      </c>
      <c r="T9042" s="7">
        <v>-0.85899999999999999</v>
      </c>
      <c r="U9042" s="5">
        <v>1.4</v>
      </c>
      <c r="V9042" s="6">
        <v>-0.44</v>
      </c>
      <c r="W9042" s="4">
        <v>4</v>
      </c>
      <c r="X9042" s="4">
        <v>4</v>
      </c>
      <c r="Y9042" s="6">
        <v>4.1399999999999997</v>
      </c>
      <c r="Z9042" s="6">
        <v>4.2300000000000004</v>
      </c>
      <c r="AA9042" s="6">
        <v>16.89</v>
      </c>
      <c r="AB9042" s="2" t="s">
        <v>86</v>
      </c>
      <c r="AC9042" s="6">
        <v>70.349999999999994</v>
      </c>
    </row>
    <row r="9043" spans="1:29" ht="208" x14ac:dyDescent="0.15">
      <c r="A9043" s="3">
        <f>DATE(2008,5,20)</f>
        <v>39588</v>
      </c>
      <c r="B9043" s="3">
        <f>DATE(2008,8,5)</f>
        <v>39665</v>
      </c>
      <c r="C9043" s="2" t="s">
        <v>95</v>
      </c>
      <c r="D9043" s="2" t="s">
        <v>26673</v>
      </c>
      <c r="E9043" s="2" t="s">
        <v>26674</v>
      </c>
      <c r="F9043" s="4">
        <v>3312</v>
      </c>
      <c r="G9043" s="2" t="s">
        <v>163</v>
      </c>
      <c r="H9043" s="2" t="s">
        <v>34</v>
      </c>
      <c r="I9043" s="2" t="s">
        <v>26727</v>
      </c>
      <c r="J9043" s="2" t="s">
        <v>26728</v>
      </c>
      <c r="K9043" s="2" t="s">
        <v>163</v>
      </c>
      <c r="L9043" s="2" t="s">
        <v>18001</v>
      </c>
      <c r="M9043" s="12">
        <v>26401.776000000002</v>
      </c>
      <c r="N9043" s="5">
        <v>26.2</v>
      </c>
      <c r="O9043" s="6">
        <v>26.85</v>
      </c>
      <c r="P9043" s="2" t="s">
        <v>26729</v>
      </c>
      <c r="Q9043" s="6">
        <v>100</v>
      </c>
      <c r="R9043" s="6">
        <v>19.25</v>
      </c>
      <c r="S9043" s="5">
        <v>-24.7</v>
      </c>
      <c r="T9043" s="7">
        <v>34.375</v>
      </c>
      <c r="U9043" s="5">
        <v>15.9</v>
      </c>
      <c r="V9043" s="6">
        <v>-2.19</v>
      </c>
      <c r="W9043" s="6">
        <v>16.309999999999999</v>
      </c>
      <c r="X9043" s="6">
        <v>15.54</v>
      </c>
      <c r="Y9043" s="4">
        <v>18</v>
      </c>
      <c r="Z9043" s="6">
        <v>18.25</v>
      </c>
      <c r="AA9043" s="6">
        <v>39.51</v>
      </c>
      <c r="AB9043" s="7">
        <v>171.89500000000001</v>
      </c>
      <c r="AC9043" s="10">
        <v>2446.6799999999998</v>
      </c>
    </row>
    <row r="9044" spans="1:29" ht="117" x14ac:dyDescent="0.15">
      <c r="A9044" s="3">
        <f>DATE(2008,5,21)</f>
        <v>39589</v>
      </c>
      <c r="B9044" s="2"/>
      <c r="C9044" s="2" t="s">
        <v>30</v>
      </c>
      <c r="D9044" s="2" t="s">
        <v>15178</v>
      </c>
      <c r="E9044" s="2" t="s">
        <v>26730</v>
      </c>
      <c r="F9044" s="4">
        <v>4911</v>
      </c>
      <c r="G9044" s="2" t="s">
        <v>439</v>
      </c>
      <c r="H9044" s="2" t="s">
        <v>34</v>
      </c>
      <c r="I9044" s="2" t="s">
        <v>19713</v>
      </c>
      <c r="J9044" s="2" t="s">
        <v>24154</v>
      </c>
      <c r="K9044" s="2" t="s">
        <v>439</v>
      </c>
      <c r="L9044" s="2" t="s">
        <v>34</v>
      </c>
      <c r="M9044" s="12">
        <v>10578.741</v>
      </c>
      <c r="N9044" s="6">
        <v>42.51</v>
      </c>
      <c r="O9044" s="6">
        <v>40.35</v>
      </c>
      <c r="P9044" s="2" t="s">
        <v>26731</v>
      </c>
      <c r="Q9044" s="2"/>
      <c r="R9044" s="6">
        <v>22.51</v>
      </c>
      <c r="S9044" s="8">
        <v>2938</v>
      </c>
      <c r="T9044" s="8">
        <v>1171</v>
      </c>
      <c r="U9044" s="5">
        <v>8.6</v>
      </c>
      <c r="V9044" s="6">
        <v>6.14</v>
      </c>
      <c r="W9044" s="5">
        <v>20.399999999999999</v>
      </c>
      <c r="X9044" s="5">
        <v>21.2</v>
      </c>
      <c r="Y9044" s="6">
        <v>21.28</v>
      </c>
      <c r="Z9044" s="4">
        <v>23</v>
      </c>
      <c r="AA9044" s="6">
        <v>420.96</v>
      </c>
      <c r="AB9044" s="7">
        <v>27.164999999999999</v>
      </c>
      <c r="AC9044" s="8">
        <v>3262</v>
      </c>
    </row>
    <row r="9045" spans="1:29" ht="182" x14ac:dyDescent="0.15">
      <c r="A9045" s="3">
        <f>DATE(2008,5,21)</f>
        <v>39589</v>
      </c>
      <c r="B9045" s="3">
        <f>DATE(2008,12,5)</f>
        <v>39787</v>
      </c>
      <c r="C9045" s="2" t="s">
        <v>95</v>
      </c>
      <c r="D9045" s="2" t="s">
        <v>26732</v>
      </c>
      <c r="E9045" s="2" t="s">
        <v>3246</v>
      </c>
      <c r="F9045" s="4">
        <v>6712</v>
      </c>
      <c r="G9045" s="2" t="s">
        <v>37</v>
      </c>
      <c r="H9045" s="2" t="s">
        <v>34</v>
      </c>
      <c r="I9045" s="2" t="s">
        <v>21311</v>
      </c>
      <c r="J9045" s="2" t="s">
        <v>159</v>
      </c>
      <c r="K9045" s="2" t="s">
        <v>37</v>
      </c>
      <c r="L9045" s="2" t="s">
        <v>34</v>
      </c>
      <c r="M9045" s="7">
        <v>435.52800000000002</v>
      </c>
      <c r="N9045" s="6">
        <v>13.33</v>
      </c>
      <c r="O9045" s="6">
        <v>13.52</v>
      </c>
      <c r="P9045" s="2" t="s">
        <v>26733</v>
      </c>
      <c r="Q9045" s="6">
        <v>100</v>
      </c>
      <c r="R9045" s="6">
        <v>10.28</v>
      </c>
      <c r="S9045" s="5">
        <v>-39.5</v>
      </c>
      <c r="T9045" s="7">
        <v>1.7170000000000001</v>
      </c>
      <c r="U9045" s="5">
        <v>10.1</v>
      </c>
      <c r="V9045" s="6">
        <v>-2.61</v>
      </c>
      <c r="W9045" s="6">
        <v>7.56</v>
      </c>
      <c r="X9045" s="6">
        <v>7.74</v>
      </c>
      <c r="Y9045" s="6">
        <v>9.35</v>
      </c>
      <c r="Z9045" s="6">
        <v>9.3800000000000008</v>
      </c>
      <c r="AA9045" s="6">
        <v>15.67</v>
      </c>
      <c r="AB9045" s="2" t="s">
        <v>86</v>
      </c>
      <c r="AC9045" s="2"/>
    </row>
    <row r="9046" spans="1:29" ht="130" x14ac:dyDescent="0.15">
      <c r="A9046" s="3">
        <f>DATE(2008,5,22)</f>
        <v>39590</v>
      </c>
      <c r="B9046" s="3">
        <f>DATE(2008,8,6)</f>
        <v>39666</v>
      </c>
      <c r="C9046" s="2" t="s">
        <v>95</v>
      </c>
      <c r="D9046" s="2" t="s">
        <v>26734</v>
      </c>
      <c r="E9046" s="2" t="s">
        <v>16921</v>
      </c>
      <c r="F9046" s="4">
        <v>7389</v>
      </c>
      <c r="G9046" s="2" t="s">
        <v>223</v>
      </c>
      <c r="H9046" s="2" t="s">
        <v>34</v>
      </c>
      <c r="I9046" s="2" t="s">
        <v>51</v>
      </c>
      <c r="J9046" s="2" t="s">
        <v>52</v>
      </c>
      <c r="K9046" s="2" t="s">
        <v>53</v>
      </c>
      <c r="L9046" s="2" t="s">
        <v>34</v>
      </c>
      <c r="M9046" s="2"/>
      <c r="N9046" s="2"/>
      <c r="O9046" s="2"/>
      <c r="P9046" s="2" t="s">
        <v>26735</v>
      </c>
      <c r="Q9046" s="6">
        <v>57.8</v>
      </c>
      <c r="R9046" s="2"/>
      <c r="S9046" s="5">
        <v>-2.6</v>
      </c>
      <c r="T9046" s="7">
        <v>3.5470000000000002</v>
      </c>
      <c r="U9046" s="5">
        <v>0.5</v>
      </c>
      <c r="V9046" s="9">
        <v>-3.95E-2</v>
      </c>
      <c r="W9046" s="7">
        <v>1.4119999999999999</v>
      </c>
      <c r="X9046" s="5">
        <v>1.4</v>
      </c>
      <c r="Y9046" s="7">
        <v>1.4059999999999999</v>
      </c>
      <c r="Z9046" s="7">
        <v>1.4059999999999999</v>
      </c>
      <c r="AA9046" s="6">
        <v>65</v>
      </c>
      <c r="AB9046" s="2" t="s">
        <v>47</v>
      </c>
      <c r="AC9046" s="2"/>
    </row>
    <row r="9047" spans="1:29" ht="156" x14ac:dyDescent="0.15">
      <c r="A9047" s="3">
        <f>DATE(2008,5,22)</f>
        <v>39590</v>
      </c>
      <c r="B9047" s="3">
        <f>DATE(2008,8,6)</f>
        <v>39666</v>
      </c>
      <c r="C9047" s="2" t="s">
        <v>95</v>
      </c>
      <c r="D9047" s="2" t="s">
        <v>16920</v>
      </c>
      <c r="E9047" s="2" t="s">
        <v>26736</v>
      </c>
      <c r="F9047" s="4">
        <v>7374</v>
      </c>
      <c r="G9047" s="2" t="s">
        <v>223</v>
      </c>
      <c r="H9047" s="2" t="s">
        <v>34</v>
      </c>
      <c r="I9047" s="2" t="s">
        <v>26734</v>
      </c>
      <c r="J9047" s="2" t="s">
        <v>16921</v>
      </c>
      <c r="K9047" s="2" t="s">
        <v>223</v>
      </c>
      <c r="L9047" s="2" t="s">
        <v>34</v>
      </c>
      <c r="M9047" s="7">
        <v>92.302999999999997</v>
      </c>
      <c r="N9047" s="7">
        <v>1.4059999999999999</v>
      </c>
      <c r="O9047" s="7">
        <v>1.4059999999999999</v>
      </c>
      <c r="P9047" s="2" t="s">
        <v>26737</v>
      </c>
      <c r="Q9047" s="6">
        <v>69.5</v>
      </c>
      <c r="R9047" s="6">
        <v>11</v>
      </c>
      <c r="S9047" s="5">
        <v>-17.7</v>
      </c>
      <c r="T9047" s="7">
        <v>1.8049999999999999</v>
      </c>
      <c r="U9047" s="5">
        <v>8.3000000000000007</v>
      </c>
      <c r="V9047" s="6">
        <v>-0.48</v>
      </c>
      <c r="W9047" s="6">
        <v>7.01</v>
      </c>
      <c r="X9047" s="5">
        <v>7.5</v>
      </c>
      <c r="Y9047" s="5">
        <v>8.5</v>
      </c>
      <c r="Z9047" s="6">
        <v>8.85</v>
      </c>
      <c r="AA9047" s="6">
        <v>37.54</v>
      </c>
      <c r="AB9047" s="2" t="s">
        <v>86</v>
      </c>
      <c r="AC9047" s="6">
        <v>1.39</v>
      </c>
    </row>
    <row r="9048" spans="1:29" ht="117" x14ac:dyDescent="0.15">
      <c r="A9048" s="3">
        <f>DATE(2008,5,23)</f>
        <v>39591</v>
      </c>
      <c r="B9048" s="3">
        <f>DATE(2008,8,4)</f>
        <v>39664</v>
      </c>
      <c r="C9048" s="2" t="s">
        <v>95</v>
      </c>
      <c r="D9048" s="2" t="s">
        <v>26738</v>
      </c>
      <c r="E9048" s="2" t="s">
        <v>26739</v>
      </c>
      <c r="F9048" s="4">
        <v>7213</v>
      </c>
      <c r="G9048" s="2" t="s">
        <v>1517</v>
      </c>
      <c r="H9048" s="2" t="s">
        <v>34</v>
      </c>
      <c r="I9048" s="2" t="s">
        <v>26740</v>
      </c>
      <c r="J9048" s="2" t="s">
        <v>11337</v>
      </c>
      <c r="K9048" s="2" t="s">
        <v>53</v>
      </c>
      <c r="L9048" s="2" t="s">
        <v>34</v>
      </c>
      <c r="M9048" s="2"/>
      <c r="N9048" s="2"/>
      <c r="O9048" s="2"/>
      <c r="P9048" s="2" t="s">
        <v>26741</v>
      </c>
      <c r="Q9048" s="6">
        <v>100</v>
      </c>
      <c r="R9048" s="6">
        <v>22</v>
      </c>
      <c r="S9048" s="5">
        <v>7.2</v>
      </c>
      <c r="T9048" s="7">
        <v>30.257999999999999</v>
      </c>
      <c r="U9048" s="5">
        <v>16.8</v>
      </c>
      <c r="V9048" s="6">
        <v>0.76</v>
      </c>
      <c r="W9048" s="6">
        <v>17.010000000000002</v>
      </c>
      <c r="X9048" s="6">
        <v>16.45</v>
      </c>
      <c r="Y9048" s="6">
        <v>21.25</v>
      </c>
      <c r="Z9048" s="6">
        <v>21.25</v>
      </c>
      <c r="AA9048" s="6">
        <v>9.5299999999999994</v>
      </c>
      <c r="AB9048" s="7">
        <v>26.887</v>
      </c>
      <c r="AC9048" s="2"/>
    </row>
    <row r="9049" spans="1:29" ht="65" x14ac:dyDescent="0.15">
      <c r="A9049" s="3">
        <f>DATE(2008,5,23)</f>
        <v>39591</v>
      </c>
      <c r="B9049" s="2"/>
      <c r="C9049" s="2" t="s">
        <v>7330</v>
      </c>
      <c r="D9049" s="2" t="s">
        <v>26742</v>
      </c>
      <c r="E9049" s="2" t="s">
        <v>24835</v>
      </c>
      <c r="F9049" s="4">
        <v>6726</v>
      </c>
      <c r="G9049" s="2" t="s">
        <v>53</v>
      </c>
      <c r="H9049" s="2" t="s">
        <v>34</v>
      </c>
      <c r="I9049" s="2" t="s">
        <v>26743</v>
      </c>
      <c r="J9049" s="2" t="s">
        <v>4117</v>
      </c>
      <c r="K9049" s="2" t="s">
        <v>53</v>
      </c>
      <c r="L9049" s="2" t="s">
        <v>34</v>
      </c>
      <c r="M9049" s="2"/>
      <c r="N9049" s="2"/>
      <c r="O9049" s="2"/>
      <c r="P9049" s="2" t="s">
        <v>26744</v>
      </c>
      <c r="Q9049" s="2"/>
      <c r="R9049" s="2"/>
      <c r="S9049" s="2"/>
      <c r="T9049" s="2"/>
      <c r="U9049" s="2"/>
      <c r="V9049" s="2"/>
      <c r="W9049" s="6">
        <v>12.49</v>
      </c>
      <c r="X9049" s="5">
        <v>12.5</v>
      </c>
      <c r="Y9049" s="6">
        <v>12.57</v>
      </c>
      <c r="Z9049" s="6">
        <v>12.57</v>
      </c>
      <c r="AA9049" s="6">
        <v>28.71</v>
      </c>
      <c r="AB9049" s="2" t="s">
        <v>47</v>
      </c>
      <c r="AC9049" s="2"/>
    </row>
    <row r="9050" spans="1:29" ht="104" x14ac:dyDescent="0.15">
      <c r="A9050" s="3">
        <f>DATE(2008,5,26)</f>
        <v>39594</v>
      </c>
      <c r="B9050" s="2"/>
      <c r="C9050" s="2" t="s">
        <v>87</v>
      </c>
      <c r="D9050" s="2" t="s">
        <v>26745</v>
      </c>
      <c r="E9050" s="2" t="s">
        <v>22755</v>
      </c>
      <c r="F9050" s="4">
        <v>2821</v>
      </c>
      <c r="G9050" s="2" t="s">
        <v>98</v>
      </c>
      <c r="H9050" s="2" t="s">
        <v>34</v>
      </c>
      <c r="I9050" s="2" t="s">
        <v>26746</v>
      </c>
      <c r="J9050" s="2" t="s">
        <v>11337</v>
      </c>
      <c r="K9050" s="2" t="s">
        <v>53</v>
      </c>
      <c r="L9050" s="2" t="s">
        <v>34</v>
      </c>
      <c r="M9050" s="2"/>
      <c r="N9050" s="2"/>
      <c r="O9050" s="2"/>
      <c r="P9050" s="2" t="s">
        <v>26747</v>
      </c>
      <c r="Q9050" s="2"/>
      <c r="R9050" s="2"/>
      <c r="S9050" s="5">
        <v>-32.5</v>
      </c>
      <c r="T9050" s="7">
        <v>422.209</v>
      </c>
      <c r="U9050" s="5">
        <v>7.9</v>
      </c>
      <c r="V9050" s="6">
        <v>-0.19</v>
      </c>
      <c r="W9050" s="6">
        <v>7.98</v>
      </c>
      <c r="X9050" s="5">
        <v>7.8</v>
      </c>
      <c r="Y9050" s="6">
        <v>8.49</v>
      </c>
      <c r="Z9050" s="6">
        <v>8.49</v>
      </c>
      <c r="AA9050" s="6">
        <v>242.17</v>
      </c>
      <c r="AB9050" s="2" t="s">
        <v>47</v>
      </c>
      <c r="AC9050" s="2"/>
    </row>
    <row r="9051" spans="1:29" ht="130" x14ac:dyDescent="0.15">
      <c r="A9051" s="3">
        <f>DATE(2008,5,28)</f>
        <v>39596</v>
      </c>
      <c r="B9051" s="3">
        <f>DATE(2008,6,27)</f>
        <v>39626</v>
      </c>
      <c r="C9051" s="2" t="s">
        <v>95</v>
      </c>
      <c r="D9051" s="2" t="s">
        <v>26748</v>
      </c>
      <c r="E9051" s="2" t="s">
        <v>3001</v>
      </c>
      <c r="F9051" s="4">
        <v>8731</v>
      </c>
      <c r="G9051" s="2" t="s">
        <v>223</v>
      </c>
      <c r="H9051" s="2" t="s">
        <v>34</v>
      </c>
      <c r="I9051" s="2" t="s">
        <v>629</v>
      </c>
      <c r="J9051" s="2" t="s">
        <v>630</v>
      </c>
      <c r="K9051" s="2" t="s">
        <v>130</v>
      </c>
      <c r="L9051" s="2" t="s">
        <v>34</v>
      </c>
      <c r="M9051" s="12">
        <v>43491.767999999996</v>
      </c>
      <c r="N9051" s="6">
        <v>22.09</v>
      </c>
      <c r="O9051" s="6">
        <v>22.48</v>
      </c>
      <c r="P9051" s="2" t="s">
        <v>26749</v>
      </c>
      <c r="Q9051" s="6">
        <v>100</v>
      </c>
      <c r="R9051" s="6">
        <v>5.5</v>
      </c>
      <c r="S9051" s="5">
        <v>-39.9</v>
      </c>
      <c r="T9051" s="7">
        <v>-41.481999999999999</v>
      </c>
      <c r="U9051" s="5">
        <v>1.2</v>
      </c>
      <c r="V9051" s="6">
        <v>-0.96</v>
      </c>
      <c r="W9051" s="5">
        <v>1.6</v>
      </c>
      <c r="X9051" s="6">
        <v>1.67</v>
      </c>
      <c r="Y9051" s="6">
        <v>1.65</v>
      </c>
      <c r="Z9051" s="6">
        <v>5.43</v>
      </c>
      <c r="AA9051" s="6">
        <v>42.59</v>
      </c>
      <c r="AB9051" s="2" t="s">
        <v>86</v>
      </c>
      <c r="AC9051" s="8">
        <v>2637</v>
      </c>
    </row>
    <row r="9052" spans="1:29" ht="52" x14ac:dyDescent="0.15">
      <c r="A9052" s="3">
        <f>DATE(2008,5,28)</f>
        <v>39596</v>
      </c>
      <c r="B9052" s="2"/>
      <c r="C9052" s="2" t="s">
        <v>141</v>
      </c>
      <c r="D9052" s="2" t="s">
        <v>26750</v>
      </c>
      <c r="E9052" s="2" t="s">
        <v>26751</v>
      </c>
      <c r="F9052" s="4">
        <v>8243</v>
      </c>
      <c r="G9052" s="2" t="s">
        <v>415</v>
      </c>
      <c r="H9052" s="2" t="s">
        <v>34</v>
      </c>
      <c r="I9052" s="2" t="s">
        <v>143</v>
      </c>
      <c r="J9052" s="2" t="s">
        <v>144</v>
      </c>
      <c r="K9052" s="2" t="s">
        <v>53</v>
      </c>
      <c r="L9052" s="2" t="s">
        <v>139</v>
      </c>
      <c r="M9052" s="2"/>
      <c r="N9052" s="2"/>
      <c r="O9052" s="2"/>
      <c r="P9052" s="2" t="s">
        <v>26752</v>
      </c>
      <c r="Q9052" s="2"/>
      <c r="R9052" s="2"/>
      <c r="S9052" s="5">
        <v>18.8</v>
      </c>
      <c r="T9052" s="2"/>
      <c r="U9052" s="5">
        <v>4.9000000000000004</v>
      </c>
      <c r="V9052" s="6">
        <v>1.1399999999999999</v>
      </c>
      <c r="W9052" s="6">
        <v>16.27</v>
      </c>
      <c r="X9052" s="5">
        <v>16.399999999999999</v>
      </c>
      <c r="Y9052" s="6">
        <v>17.75</v>
      </c>
      <c r="Z9052" s="6">
        <v>17.440000000000001</v>
      </c>
      <c r="AA9052" s="6">
        <v>16.559999999999999</v>
      </c>
      <c r="AB9052" s="2" t="s">
        <v>47</v>
      </c>
      <c r="AC9052" s="2"/>
    </row>
    <row r="9053" spans="1:29" ht="143" x14ac:dyDescent="0.15">
      <c r="A9053" s="3">
        <f>DATE(2008,5,28)</f>
        <v>39596</v>
      </c>
      <c r="B9053" s="3">
        <f>DATE(2008,11,12)</f>
        <v>39764</v>
      </c>
      <c r="C9053" s="2" t="s">
        <v>95</v>
      </c>
      <c r="D9053" s="2" t="s">
        <v>26753</v>
      </c>
      <c r="E9053" s="2" t="s">
        <v>159</v>
      </c>
      <c r="F9053" s="4">
        <v>6022</v>
      </c>
      <c r="G9053" s="2" t="s">
        <v>37</v>
      </c>
      <c r="H9053" s="2" t="s">
        <v>34</v>
      </c>
      <c r="I9053" s="2" t="s">
        <v>26754</v>
      </c>
      <c r="J9053" s="2" t="s">
        <v>36</v>
      </c>
      <c r="K9053" s="2" t="s">
        <v>37</v>
      </c>
      <c r="L9053" s="2" t="s">
        <v>34</v>
      </c>
      <c r="M9053" s="7">
        <v>60.481000000000002</v>
      </c>
      <c r="N9053" s="6">
        <v>9.94</v>
      </c>
      <c r="O9053" s="6">
        <v>10.24</v>
      </c>
      <c r="P9053" s="2" t="s">
        <v>26755</v>
      </c>
      <c r="Q9053" s="6">
        <v>100</v>
      </c>
      <c r="R9053" s="6">
        <v>9.52</v>
      </c>
      <c r="S9053" s="5">
        <v>0.4</v>
      </c>
      <c r="T9053" s="6">
        <v>0.28999999999999998</v>
      </c>
      <c r="U9053" s="5">
        <v>7.4</v>
      </c>
      <c r="V9053" s="6">
        <v>0.17</v>
      </c>
      <c r="W9053" s="5">
        <v>5.8</v>
      </c>
      <c r="X9053" s="5">
        <v>6.5</v>
      </c>
      <c r="Y9053" s="5">
        <v>6.5</v>
      </c>
      <c r="Z9053" s="5">
        <v>8.1999999999999993</v>
      </c>
      <c r="AA9053" s="6">
        <v>2.39</v>
      </c>
      <c r="AB9053" s="7">
        <v>10852.413</v>
      </c>
      <c r="AC9053" s="2"/>
    </row>
    <row r="9054" spans="1:29" ht="65" x14ac:dyDescent="0.15">
      <c r="A9054" s="3">
        <f>DATE(2008,5,30)</f>
        <v>39598</v>
      </c>
      <c r="B9054" s="2"/>
      <c r="C9054" s="2" t="s">
        <v>7330</v>
      </c>
      <c r="D9054" s="2" t="s">
        <v>26756</v>
      </c>
      <c r="E9054" s="2" t="s">
        <v>672</v>
      </c>
      <c r="F9054" s="4">
        <v>6021</v>
      </c>
      <c r="G9054" s="2" t="s">
        <v>37</v>
      </c>
      <c r="H9054" s="2" t="s">
        <v>34</v>
      </c>
      <c r="I9054" s="2" t="s">
        <v>26757</v>
      </c>
      <c r="J9054" s="2" t="s">
        <v>159</v>
      </c>
      <c r="K9054" s="2" t="s">
        <v>37</v>
      </c>
      <c r="L9054" s="2" t="s">
        <v>34</v>
      </c>
      <c r="M9054" s="2"/>
      <c r="N9054" s="2"/>
      <c r="O9054" s="2"/>
      <c r="P9054" s="2" t="s">
        <v>26758</v>
      </c>
      <c r="Q9054" s="2"/>
      <c r="R9054" s="2"/>
      <c r="S9054" s="2"/>
      <c r="T9054" s="2"/>
      <c r="U9054" s="2"/>
      <c r="V9054" s="2"/>
      <c r="W9054" s="5">
        <v>11.5</v>
      </c>
      <c r="X9054" s="5">
        <v>11.1</v>
      </c>
      <c r="Y9054" s="4">
        <v>18</v>
      </c>
      <c r="Z9054" s="6">
        <v>17.75</v>
      </c>
      <c r="AA9054" s="6">
        <v>0.68</v>
      </c>
      <c r="AB9054" s="2" t="s">
        <v>47</v>
      </c>
      <c r="AC9054" s="2"/>
    </row>
    <row r="9055" spans="1:29" ht="104" x14ac:dyDescent="0.15">
      <c r="A9055" s="3">
        <f>DATE(2008,5,30)</f>
        <v>39598</v>
      </c>
      <c r="B9055" s="2"/>
      <c r="C9055" s="2" t="s">
        <v>56</v>
      </c>
      <c r="D9055" s="2" t="s">
        <v>26759</v>
      </c>
      <c r="E9055" s="2" t="s">
        <v>26760</v>
      </c>
      <c r="F9055" s="4">
        <v>7374</v>
      </c>
      <c r="G9055" s="2" t="s">
        <v>223</v>
      </c>
      <c r="H9055" s="2" t="s">
        <v>34</v>
      </c>
      <c r="I9055" s="2" t="s">
        <v>26761</v>
      </c>
      <c r="J9055" s="2" t="s">
        <v>26762</v>
      </c>
      <c r="K9055" s="2" t="s">
        <v>50</v>
      </c>
      <c r="L9055" s="2" t="s">
        <v>34</v>
      </c>
      <c r="M9055" s="2"/>
      <c r="N9055" s="2"/>
      <c r="O9055" s="2"/>
      <c r="P9055" s="2" t="s">
        <v>26763</v>
      </c>
      <c r="Q9055" s="2"/>
      <c r="R9055" s="6">
        <v>8.25</v>
      </c>
      <c r="S9055" s="5">
        <v>-6.6</v>
      </c>
      <c r="T9055" s="7">
        <v>-6.8979999999999997</v>
      </c>
      <c r="U9055" s="5">
        <v>4.3</v>
      </c>
      <c r="V9055" s="6">
        <v>-0.28999999999999998</v>
      </c>
      <c r="W9055" s="6">
        <v>6.65</v>
      </c>
      <c r="X9055" s="6">
        <v>6.63</v>
      </c>
      <c r="Y9055" s="6">
        <v>7.64</v>
      </c>
      <c r="Z9055" s="6">
        <v>7.84</v>
      </c>
      <c r="AA9055" s="6">
        <v>24.99</v>
      </c>
      <c r="AB9055" s="2" t="s">
        <v>86</v>
      </c>
      <c r="AC9055" s="2"/>
    </row>
    <row r="9056" spans="1:29" ht="182" x14ac:dyDescent="0.15">
      <c r="A9056" s="3">
        <f>DATE(2008,6,3)</f>
        <v>39602</v>
      </c>
      <c r="B9056" s="3">
        <f>DATE(2008,8,22)</f>
        <v>39682</v>
      </c>
      <c r="C9056" s="2" t="s">
        <v>95</v>
      </c>
      <c r="D9056" s="2" t="s">
        <v>26764</v>
      </c>
      <c r="E9056" s="2" t="s">
        <v>8325</v>
      </c>
      <c r="F9056" s="4">
        <v>7359</v>
      </c>
      <c r="G9056" s="2" t="s">
        <v>223</v>
      </c>
      <c r="H9056" s="2" t="s">
        <v>34</v>
      </c>
      <c r="I9056" s="2" t="s">
        <v>26765</v>
      </c>
      <c r="J9056" s="2" t="s">
        <v>26766</v>
      </c>
      <c r="K9056" s="2" t="s">
        <v>300</v>
      </c>
      <c r="L9056" s="2" t="s">
        <v>34</v>
      </c>
      <c r="M9056" s="12">
        <v>16286.734</v>
      </c>
      <c r="N9056" s="6">
        <v>76.84</v>
      </c>
      <c r="O9056" s="5">
        <v>78.599999999999994</v>
      </c>
      <c r="P9056" s="2" t="s">
        <v>26767</v>
      </c>
      <c r="Q9056" s="6">
        <v>100</v>
      </c>
      <c r="R9056" s="6">
        <v>93.55</v>
      </c>
      <c r="S9056" s="5">
        <v>147.6</v>
      </c>
      <c r="T9056" s="7">
        <v>326.43900000000002</v>
      </c>
      <c r="U9056" s="5">
        <v>22.4</v>
      </c>
      <c r="V9056" s="6">
        <v>4.7300000000000004</v>
      </c>
      <c r="W9056" s="6">
        <v>84.88</v>
      </c>
      <c r="X9056" s="6">
        <v>85.54</v>
      </c>
      <c r="Y9056" s="6">
        <v>93.22</v>
      </c>
      <c r="Z9056" s="5">
        <v>94.1</v>
      </c>
      <c r="AA9056" s="6">
        <v>30.94</v>
      </c>
      <c r="AB9056" s="7">
        <v>13.23</v>
      </c>
      <c r="AC9056" s="6">
        <v>148.37</v>
      </c>
    </row>
    <row r="9057" spans="1:29" ht="52" x14ac:dyDescent="0.15">
      <c r="A9057" s="3">
        <f>DATE(2008,6,4)</f>
        <v>39603</v>
      </c>
      <c r="B9057" s="2"/>
      <c r="C9057" s="2" t="s">
        <v>87</v>
      </c>
      <c r="D9057" s="2" t="s">
        <v>26768</v>
      </c>
      <c r="E9057" s="2" t="s">
        <v>26769</v>
      </c>
      <c r="F9057" s="4">
        <v>7372</v>
      </c>
      <c r="G9057" s="2" t="s">
        <v>551</v>
      </c>
      <c r="H9057" s="2" t="s">
        <v>34</v>
      </c>
      <c r="I9057" s="2" t="s">
        <v>26597</v>
      </c>
      <c r="J9057" s="2" t="s">
        <v>12371</v>
      </c>
      <c r="K9057" s="2" t="s">
        <v>223</v>
      </c>
      <c r="L9057" s="2" t="s">
        <v>34</v>
      </c>
      <c r="M9057" s="12">
        <v>138138.595</v>
      </c>
      <c r="N9057" s="6">
        <v>572.22</v>
      </c>
      <c r="O9057" s="5">
        <v>586.29999999999995</v>
      </c>
      <c r="P9057" s="2" t="s">
        <v>26770</v>
      </c>
      <c r="Q9057" s="2"/>
      <c r="R9057" s="2"/>
      <c r="S9057" s="5">
        <v>27.2</v>
      </c>
      <c r="T9057" s="7">
        <v>63.145000000000003</v>
      </c>
      <c r="U9057" s="5">
        <v>1</v>
      </c>
      <c r="V9057" s="7">
        <v>5.5E-2</v>
      </c>
      <c r="W9057" s="6">
        <v>70.180000000000007</v>
      </c>
      <c r="X9057" s="6">
        <v>72.19</v>
      </c>
      <c r="Y9057" s="6">
        <v>72.55</v>
      </c>
      <c r="Z9057" s="6">
        <v>73.92</v>
      </c>
      <c r="AA9057" s="6">
        <v>120.1</v>
      </c>
      <c r="AB9057" s="2" t="s">
        <v>47</v>
      </c>
      <c r="AC9057" s="10">
        <v>12134.51</v>
      </c>
    </row>
    <row r="9058" spans="1:29" ht="130" x14ac:dyDescent="0.15">
      <c r="A9058" s="3">
        <f>DATE(2008,6,4)</f>
        <v>39603</v>
      </c>
      <c r="B9058" s="3">
        <f>DATE(2008,10,16)</f>
        <v>39737</v>
      </c>
      <c r="C9058" s="2" t="s">
        <v>95</v>
      </c>
      <c r="D9058" s="2" t="s">
        <v>26771</v>
      </c>
      <c r="E9058" s="2" t="s">
        <v>3812</v>
      </c>
      <c r="F9058" s="4">
        <v>2834</v>
      </c>
      <c r="G9058" s="2" t="s">
        <v>130</v>
      </c>
      <c r="H9058" s="2" t="s">
        <v>34</v>
      </c>
      <c r="I9058" s="2" t="s">
        <v>26772</v>
      </c>
      <c r="J9058" s="2" t="s">
        <v>129</v>
      </c>
      <c r="K9058" s="2" t="s">
        <v>130</v>
      </c>
      <c r="L9058" s="2" t="s">
        <v>133</v>
      </c>
      <c r="M9058" s="12">
        <v>5102.3339999999998</v>
      </c>
      <c r="N9058" s="7">
        <v>66.733999999999995</v>
      </c>
      <c r="O9058" s="7">
        <v>63.366999999999997</v>
      </c>
      <c r="P9058" s="2" t="s">
        <v>26773</v>
      </c>
      <c r="Q9058" s="6">
        <v>76.91</v>
      </c>
      <c r="R9058" s="6">
        <v>9</v>
      </c>
      <c r="S9058" s="5">
        <v>-45.5</v>
      </c>
      <c r="T9058" s="2"/>
      <c r="U9058" s="2"/>
      <c r="V9058" s="6">
        <v>-0.89</v>
      </c>
      <c r="W9058" s="6">
        <v>4.1900000000000004</v>
      </c>
      <c r="X9058" s="6">
        <v>4.26</v>
      </c>
      <c r="Y9058" s="6">
        <v>4.41</v>
      </c>
      <c r="Z9058" s="5">
        <v>8.8000000000000007</v>
      </c>
      <c r="AA9058" s="6">
        <v>51.58</v>
      </c>
      <c r="AB9058" s="2" t="s">
        <v>86</v>
      </c>
      <c r="AC9058" s="6">
        <v>369.64</v>
      </c>
    </row>
    <row r="9059" spans="1:29" ht="117" x14ac:dyDescent="0.15">
      <c r="A9059" s="3">
        <f>DATE(2008,6,6)</f>
        <v>39605</v>
      </c>
      <c r="B9059" s="3">
        <f>DATE(2008,9,5)</f>
        <v>39696</v>
      </c>
      <c r="C9059" s="2" t="s">
        <v>95</v>
      </c>
      <c r="D9059" s="2" t="s">
        <v>15776</v>
      </c>
      <c r="E9059" s="2" t="s">
        <v>15536</v>
      </c>
      <c r="F9059" s="4">
        <v>7372</v>
      </c>
      <c r="G9059" s="2" t="s">
        <v>551</v>
      </c>
      <c r="H9059" s="2" t="s">
        <v>34</v>
      </c>
      <c r="I9059" s="2" t="s">
        <v>26774</v>
      </c>
      <c r="J9059" s="2" t="s">
        <v>11337</v>
      </c>
      <c r="K9059" s="2" t="s">
        <v>53</v>
      </c>
      <c r="L9059" s="2" t="s">
        <v>34</v>
      </c>
      <c r="M9059" s="2"/>
      <c r="N9059" s="2"/>
      <c r="O9059" s="2"/>
      <c r="P9059" s="2" t="s">
        <v>26775</v>
      </c>
      <c r="Q9059" s="6">
        <v>100</v>
      </c>
      <c r="R9059" s="6">
        <v>2.7</v>
      </c>
      <c r="S9059" s="5">
        <v>-10</v>
      </c>
      <c r="T9059" s="7">
        <v>-7.7969999999999997</v>
      </c>
      <c r="U9059" s="5">
        <v>1.1000000000000001</v>
      </c>
      <c r="V9059" s="6">
        <v>-0.19</v>
      </c>
      <c r="W9059" s="6">
        <v>1.85</v>
      </c>
      <c r="X9059" s="6">
        <v>1.77</v>
      </c>
      <c r="Y9059" s="6">
        <v>2.58</v>
      </c>
      <c r="Z9059" s="6">
        <v>2.58</v>
      </c>
      <c r="AA9059" s="6">
        <v>51.18</v>
      </c>
      <c r="AB9059" s="2" t="s">
        <v>86</v>
      </c>
      <c r="AC9059" s="2"/>
    </row>
    <row r="9060" spans="1:29" ht="117" x14ac:dyDescent="0.15">
      <c r="A9060" s="3">
        <f>DATE(2008,6,8)</f>
        <v>39607</v>
      </c>
      <c r="B9060" s="3">
        <f>DATE(2008,10,1)</f>
        <v>39722</v>
      </c>
      <c r="C9060" s="2" t="s">
        <v>95</v>
      </c>
      <c r="D9060" s="2" t="s">
        <v>26776</v>
      </c>
      <c r="E9060" s="2" t="s">
        <v>9851</v>
      </c>
      <c r="F9060" s="4">
        <v>6411</v>
      </c>
      <c r="G9060" s="2" t="s">
        <v>125</v>
      </c>
      <c r="H9060" s="2" t="s">
        <v>34</v>
      </c>
      <c r="I9060" s="2" t="s">
        <v>26777</v>
      </c>
      <c r="J9060" s="2" t="s">
        <v>26778</v>
      </c>
      <c r="K9060" s="2" t="s">
        <v>125</v>
      </c>
      <c r="L9060" s="2" t="s">
        <v>303</v>
      </c>
      <c r="M9060" s="2"/>
      <c r="N9060" s="2"/>
      <c r="O9060" s="2"/>
      <c r="P9060" s="2" t="s">
        <v>26779</v>
      </c>
      <c r="Q9060" s="6">
        <v>100</v>
      </c>
      <c r="R9060" s="6">
        <v>46</v>
      </c>
      <c r="S9060" s="5">
        <v>68.400000000000006</v>
      </c>
      <c r="T9060" s="7">
        <v>154.98500000000001</v>
      </c>
      <c r="U9060" s="5">
        <v>18.7</v>
      </c>
      <c r="V9060" s="6">
        <v>1.86</v>
      </c>
      <c r="W9060" s="6">
        <v>30.96</v>
      </c>
      <c r="X9060" s="6">
        <v>30.89</v>
      </c>
      <c r="Y9060" s="6">
        <v>43.82</v>
      </c>
      <c r="Z9060" s="6">
        <v>43.82</v>
      </c>
      <c r="AA9060" s="6">
        <v>36.39</v>
      </c>
      <c r="AB9060" s="7">
        <v>16.547999999999998</v>
      </c>
      <c r="AC9060" s="8">
        <v>2025</v>
      </c>
    </row>
    <row r="9061" spans="1:29" ht="104" x14ac:dyDescent="0.15">
      <c r="A9061" s="3">
        <f>DATE(2008,6,9)</f>
        <v>39608</v>
      </c>
      <c r="B9061" s="2"/>
      <c r="C9061" s="2" t="s">
        <v>30</v>
      </c>
      <c r="D9061" s="2" t="s">
        <v>26780</v>
      </c>
      <c r="E9061" s="2" t="s">
        <v>26781</v>
      </c>
      <c r="F9061" s="4">
        <v>5719</v>
      </c>
      <c r="G9061" s="2" t="s">
        <v>1227</v>
      </c>
      <c r="H9061" s="2" t="s">
        <v>34</v>
      </c>
      <c r="I9061" s="2" t="s">
        <v>1225</v>
      </c>
      <c r="J9061" s="2" t="s">
        <v>1226</v>
      </c>
      <c r="K9061" s="2" t="s">
        <v>1227</v>
      </c>
      <c r="L9061" s="2" t="s">
        <v>34</v>
      </c>
      <c r="M9061" s="7">
        <v>680.24300000000005</v>
      </c>
      <c r="N9061" s="6">
        <v>5.26</v>
      </c>
      <c r="O9061" s="6">
        <v>5.83</v>
      </c>
      <c r="P9061" s="2" t="s">
        <v>26782</v>
      </c>
      <c r="Q9061" s="2"/>
      <c r="R9061" s="6">
        <v>4</v>
      </c>
      <c r="S9061" s="5">
        <v>-76.400000000000006</v>
      </c>
      <c r="T9061" s="6">
        <v>-9.69</v>
      </c>
      <c r="U9061" s="5">
        <v>9.3000000000000007</v>
      </c>
      <c r="V9061" s="6">
        <v>-3.44</v>
      </c>
      <c r="W9061" s="6">
        <v>3.13</v>
      </c>
      <c r="X9061" s="6">
        <v>3.05</v>
      </c>
      <c r="Y9061" s="6">
        <v>3.37</v>
      </c>
      <c r="Z9061" s="6">
        <v>3.52</v>
      </c>
      <c r="AA9061" s="6">
        <v>22.09</v>
      </c>
      <c r="AB9061" s="2" t="s">
        <v>86</v>
      </c>
      <c r="AC9061" s="6">
        <v>80.819999999999993</v>
      </c>
    </row>
    <row r="9062" spans="1:29" ht="156" x14ac:dyDescent="0.15">
      <c r="A9062" s="3">
        <f>DATE(2008,6,9)</f>
        <v>39608</v>
      </c>
      <c r="B9062" s="3">
        <f>DATE(2008,8,21)</f>
        <v>39681</v>
      </c>
      <c r="C9062" s="2" t="s">
        <v>95</v>
      </c>
      <c r="D9062" s="2" t="s">
        <v>26783</v>
      </c>
      <c r="E9062" s="2" t="s">
        <v>26784</v>
      </c>
      <c r="F9062" s="4">
        <v>7381</v>
      </c>
      <c r="G9062" s="2" t="s">
        <v>223</v>
      </c>
      <c r="H9062" s="2" t="s">
        <v>34</v>
      </c>
      <c r="I9062" s="2" t="s">
        <v>26785</v>
      </c>
      <c r="J9062" s="2" t="s">
        <v>26786</v>
      </c>
      <c r="K9062" s="2" t="s">
        <v>223</v>
      </c>
      <c r="L9062" s="2" t="s">
        <v>34</v>
      </c>
      <c r="M9062" s="2"/>
      <c r="N9062" s="2"/>
      <c r="O9062" s="2"/>
      <c r="P9062" s="2" t="s">
        <v>26787</v>
      </c>
      <c r="Q9062" s="6">
        <v>100</v>
      </c>
      <c r="R9062" s="6">
        <v>19.75</v>
      </c>
      <c r="S9062" s="5">
        <v>7.4</v>
      </c>
      <c r="T9062" s="7">
        <v>10.852</v>
      </c>
      <c r="U9062" s="5">
        <v>5.8</v>
      </c>
      <c r="V9062" s="9">
        <v>0.77710000000000001</v>
      </c>
      <c r="W9062" s="6">
        <v>10.119999999999999</v>
      </c>
      <c r="X9062" s="6">
        <v>10.119999999999999</v>
      </c>
      <c r="Y9062" s="6">
        <v>10.47</v>
      </c>
      <c r="Z9062" s="6">
        <v>15.19</v>
      </c>
      <c r="AA9062" s="6">
        <v>11.46</v>
      </c>
      <c r="AB9062" s="7">
        <v>21.02</v>
      </c>
      <c r="AC9062" s="2"/>
    </row>
    <row r="9063" spans="1:29" ht="156" x14ac:dyDescent="0.15">
      <c r="A9063" s="3">
        <f>DATE(2008,6,9)</f>
        <v>39608</v>
      </c>
      <c r="B9063" s="3">
        <f>DATE(2008,7,24)</f>
        <v>39653</v>
      </c>
      <c r="C9063" s="2" t="s">
        <v>95</v>
      </c>
      <c r="D9063" s="2" t="s">
        <v>26788</v>
      </c>
      <c r="E9063" s="2" t="s">
        <v>26789</v>
      </c>
      <c r="F9063" s="4">
        <v>2836</v>
      </c>
      <c r="G9063" s="2" t="s">
        <v>130</v>
      </c>
      <c r="H9063" s="2" t="s">
        <v>34</v>
      </c>
      <c r="I9063" s="2" t="s">
        <v>8259</v>
      </c>
      <c r="J9063" s="2" t="s">
        <v>8260</v>
      </c>
      <c r="K9063" s="2" t="s">
        <v>226</v>
      </c>
      <c r="L9063" s="2" t="s">
        <v>34</v>
      </c>
      <c r="M9063" s="12">
        <v>5644.1049999999996</v>
      </c>
      <c r="N9063" s="6">
        <v>23.19</v>
      </c>
      <c r="O9063" s="6">
        <v>23.79</v>
      </c>
      <c r="P9063" s="2" t="s">
        <v>26790</v>
      </c>
      <c r="Q9063" s="6">
        <v>100</v>
      </c>
      <c r="R9063" s="6">
        <v>11.25</v>
      </c>
      <c r="S9063" s="5">
        <v>-29.2</v>
      </c>
      <c r="T9063" s="7">
        <v>-23.645</v>
      </c>
      <c r="U9063" s="5">
        <v>0.5</v>
      </c>
      <c r="V9063" s="6">
        <v>-0.67</v>
      </c>
      <c r="W9063" s="6">
        <v>10.58</v>
      </c>
      <c r="X9063" s="5">
        <v>10.5</v>
      </c>
      <c r="Y9063" s="6">
        <v>11.14</v>
      </c>
      <c r="Z9063" s="6">
        <v>11.12</v>
      </c>
      <c r="AA9063" s="6">
        <v>44.08</v>
      </c>
      <c r="AB9063" s="2" t="s">
        <v>86</v>
      </c>
      <c r="AC9063" s="6">
        <v>97.8</v>
      </c>
    </row>
    <row r="9064" spans="1:29" ht="91" x14ac:dyDescent="0.15">
      <c r="A9064" s="3">
        <f>DATE(2008,6,10)</f>
        <v>39609</v>
      </c>
      <c r="B9064" s="3">
        <f>DATE(2008,8,15)</f>
        <v>39675</v>
      </c>
      <c r="C9064" s="2" t="s">
        <v>95</v>
      </c>
      <c r="D9064" s="2" t="s">
        <v>26791</v>
      </c>
      <c r="E9064" s="2" t="s">
        <v>26792</v>
      </c>
      <c r="F9064" s="4">
        <v>7372</v>
      </c>
      <c r="G9064" s="2" t="s">
        <v>551</v>
      </c>
      <c r="H9064" s="2" t="s">
        <v>34</v>
      </c>
      <c r="I9064" s="2" t="s">
        <v>20859</v>
      </c>
      <c r="J9064" s="2" t="s">
        <v>244</v>
      </c>
      <c r="K9064" s="2" t="s">
        <v>53</v>
      </c>
      <c r="L9064" s="2" t="s">
        <v>34</v>
      </c>
      <c r="M9064" s="2"/>
      <c r="N9064" s="2"/>
      <c r="O9064" s="2"/>
      <c r="P9064" s="2" t="s">
        <v>26793</v>
      </c>
      <c r="Q9064" s="6">
        <v>100</v>
      </c>
      <c r="R9064" s="6">
        <v>40.5</v>
      </c>
      <c r="S9064" s="5">
        <v>6</v>
      </c>
      <c r="T9064" s="7">
        <v>8.4339999999999993</v>
      </c>
      <c r="U9064" s="5">
        <v>6.9</v>
      </c>
      <c r="V9064" s="6">
        <v>1.4</v>
      </c>
      <c r="W9064" s="6">
        <v>36.119999999999997</v>
      </c>
      <c r="X9064" s="6">
        <v>37.54</v>
      </c>
      <c r="Y9064" s="5">
        <v>39.6</v>
      </c>
      <c r="Z9064" s="6">
        <v>39.53</v>
      </c>
      <c r="AA9064" s="6">
        <v>4.1399999999999997</v>
      </c>
      <c r="AB9064" s="7">
        <v>19.484000000000002</v>
      </c>
      <c r="AC9064" s="2"/>
    </row>
    <row r="9065" spans="1:29" ht="234" x14ac:dyDescent="0.15">
      <c r="A9065" s="3">
        <f>DATE(2008,6,10)</f>
        <v>39609</v>
      </c>
      <c r="B9065" s="3">
        <f>DATE(2008,12,23)</f>
        <v>39805</v>
      </c>
      <c r="C9065" s="2" t="s">
        <v>95</v>
      </c>
      <c r="D9065" s="2" t="s">
        <v>26643</v>
      </c>
      <c r="E9065" s="2" t="s">
        <v>25322</v>
      </c>
      <c r="F9065" s="4">
        <v>1381</v>
      </c>
      <c r="G9065" s="2" t="s">
        <v>148</v>
      </c>
      <c r="H9065" s="2" t="s">
        <v>34</v>
      </c>
      <c r="I9065" s="2" t="s">
        <v>26794</v>
      </c>
      <c r="J9065" s="2" t="s">
        <v>5471</v>
      </c>
      <c r="K9065" s="2" t="s">
        <v>148</v>
      </c>
      <c r="L9065" s="2" t="s">
        <v>902</v>
      </c>
      <c r="M9065" s="12">
        <v>3513.2109999999998</v>
      </c>
      <c r="N9065" s="7">
        <v>26.459</v>
      </c>
      <c r="O9065" s="7">
        <v>26.977</v>
      </c>
      <c r="P9065" s="2" t="s">
        <v>26795</v>
      </c>
      <c r="Q9065" s="6">
        <v>100</v>
      </c>
      <c r="R9065" s="6">
        <v>9</v>
      </c>
      <c r="S9065" s="5">
        <v>133.19999999999999</v>
      </c>
      <c r="T9065" s="7">
        <v>319.51100000000002</v>
      </c>
      <c r="U9065" s="5">
        <v>4.0999999999999996</v>
      </c>
      <c r="V9065" s="6">
        <v>0.64</v>
      </c>
      <c r="W9065" s="6">
        <v>7.78</v>
      </c>
      <c r="X9065" s="6">
        <v>8.2799999999999994</v>
      </c>
      <c r="Y9065" s="6">
        <v>9.02</v>
      </c>
      <c r="Z9065" s="6">
        <v>9.32</v>
      </c>
      <c r="AA9065" s="6">
        <v>178.84</v>
      </c>
      <c r="AB9065" s="7">
        <v>7.5049999999999999</v>
      </c>
      <c r="AC9065" s="6">
        <v>6.97</v>
      </c>
    </row>
    <row r="9066" spans="1:29" ht="156" x14ac:dyDescent="0.15">
      <c r="A9066" s="3">
        <f>DATE(2008,6,10)</f>
        <v>39609</v>
      </c>
      <c r="B9066" s="3">
        <f>DATE(2008,8,5)</f>
        <v>39665</v>
      </c>
      <c r="C9066" s="2" t="s">
        <v>95</v>
      </c>
      <c r="D9066" s="2" t="s">
        <v>24430</v>
      </c>
      <c r="E9066" s="2" t="s">
        <v>24431</v>
      </c>
      <c r="F9066" s="4">
        <v>3357</v>
      </c>
      <c r="G9066" s="2" t="s">
        <v>163</v>
      </c>
      <c r="H9066" s="2" t="s">
        <v>34</v>
      </c>
      <c r="I9066" s="2" t="s">
        <v>26796</v>
      </c>
      <c r="J9066" s="2" t="s">
        <v>26797</v>
      </c>
      <c r="K9066" s="2" t="s">
        <v>163</v>
      </c>
      <c r="L9066" s="2" t="s">
        <v>1502</v>
      </c>
      <c r="M9066" s="12">
        <v>2887.5990000000002</v>
      </c>
      <c r="N9066" s="6">
        <v>98.76</v>
      </c>
      <c r="O9066" s="7">
        <v>102.16500000000001</v>
      </c>
      <c r="P9066" s="2" t="s">
        <v>26798</v>
      </c>
      <c r="Q9066" s="6">
        <v>100</v>
      </c>
      <c r="R9066" s="6">
        <v>45</v>
      </c>
      <c r="S9066" s="5">
        <v>58.7</v>
      </c>
      <c r="T9066" s="2"/>
      <c r="U9066" s="2"/>
      <c r="V9066" s="6">
        <v>2.85</v>
      </c>
      <c r="W9066" s="6">
        <v>44.67</v>
      </c>
      <c r="X9066" s="6">
        <v>45.44</v>
      </c>
      <c r="Y9066" s="5">
        <v>44.1</v>
      </c>
      <c r="Z9066" s="6">
        <v>44.77</v>
      </c>
      <c r="AA9066" s="6">
        <v>19.829999999999998</v>
      </c>
      <c r="AB9066" s="7">
        <v>9.4710000000000001</v>
      </c>
      <c r="AC9066" s="6">
        <v>712.99</v>
      </c>
    </row>
    <row r="9067" spans="1:29" ht="156" x14ac:dyDescent="0.15">
      <c r="A9067" s="3">
        <f>DATE(2008,6,11)</f>
        <v>39610</v>
      </c>
      <c r="B9067" s="3">
        <f>DATE(2008,11,18)</f>
        <v>39770</v>
      </c>
      <c r="C9067" s="2" t="s">
        <v>95</v>
      </c>
      <c r="D9067" s="2" t="s">
        <v>26799</v>
      </c>
      <c r="E9067" s="2" t="s">
        <v>26800</v>
      </c>
      <c r="F9067" s="4">
        <v>2082</v>
      </c>
      <c r="G9067" s="2" t="s">
        <v>577</v>
      </c>
      <c r="H9067" s="2" t="s">
        <v>34</v>
      </c>
      <c r="I9067" s="2" t="s">
        <v>26801</v>
      </c>
      <c r="J9067" s="2" t="s">
        <v>26802</v>
      </c>
      <c r="K9067" s="2" t="s">
        <v>577</v>
      </c>
      <c r="L9067" s="2" t="s">
        <v>926</v>
      </c>
      <c r="M9067" s="12">
        <v>123973.629</v>
      </c>
      <c r="N9067" s="7">
        <v>73.090999999999994</v>
      </c>
      <c r="O9067" s="7">
        <v>77.616</v>
      </c>
      <c r="P9067" s="2" t="s">
        <v>26803</v>
      </c>
      <c r="Q9067" s="6">
        <v>100</v>
      </c>
      <c r="R9067" s="6">
        <v>70</v>
      </c>
      <c r="S9067" s="8">
        <v>2120.9</v>
      </c>
      <c r="T9067" s="8">
        <v>3948.3</v>
      </c>
      <c r="U9067" s="5">
        <v>5.7</v>
      </c>
      <c r="V9067" s="6">
        <v>2.89</v>
      </c>
      <c r="W9067" s="6">
        <v>50.19</v>
      </c>
      <c r="X9067" s="6">
        <v>50.23</v>
      </c>
      <c r="Y9067" s="6">
        <v>51.75</v>
      </c>
      <c r="Z9067" s="6">
        <v>51.16</v>
      </c>
      <c r="AA9067" s="6">
        <v>713.07</v>
      </c>
      <c r="AB9067" s="7">
        <v>20.683</v>
      </c>
      <c r="AC9067" s="10">
        <v>1989.92</v>
      </c>
    </row>
    <row r="9068" spans="1:29" ht="156" x14ac:dyDescent="0.15">
      <c r="A9068" s="3">
        <f>DATE(2008,6,12)</f>
        <v>39611</v>
      </c>
      <c r="B9068" s="3">
        <f>DATE(2008,11,21)</f>
        <v>39773</v>
      </c>
      <c r="C9068" s="2" t="s">
        <v>95</v>
      </c>
      <c r="D9068" s="2" t="s">
        <v>3256</v>
      </c>
      <c r="E9068" s="2" t="s">
        <v>26804</v>
      </c>
      <c r="F9068" s="4">
        <v>3826</v>
      </c>
      <c r="G9068" s="2" t="s">
        <v>226</v>
      </c>
      <c r="H9068" s="2" t="s">
        <v>34</v>
      </c>
      <c r="I9068" s="2" t="s">
        <v>17211</v>
      </c>
      <c r="J9068" s="2" t="s">
        <v>16467</v>
      </c>
      <c r="K9068" s="2" t="s">
        <v>130</v>
      </c>
      <c r="L9068" s="2" t="s">
        <v>34</v>
      </c>
      <c r="M9068" s="12">
        <v>2095.9609999999998</v>
      </c>
      <c r="N9068" s="6">
        <v>38.729999999999997</v>
      </c>
      <c r="O9068" s="6">
        <v>38.25</v>
      </c>
      <c r="P9068" s="2" t="s">
        <v>26805</v>
      </c>
      <c r="Q9068" s="6">
        <v>100</v>
      </c>
      <c r="R9068" s="6">
        <v>38</v>
      </c>
      <c r="S9068" s="5">
        <v>332.9</v>
      </c>
      <c r="T9068" s="7">
        <v>526.74099999999999</v>
      </c>
      <c r="U9068" s="5">
        <v>8.9</v>
      </c>
      <c r="V9068" s="6">
        <v>1.91</v>
      </c>
      <c r="W9068" s="5">
        <v>34.5</v>
      </c>
      <c r="X9068" s="6">
        <v>32.44</v>
      </c>
      <c r="Y9068" s="6">
        <v>34.159999999999997</v>
      </c>
      <c r="Z9068" s="6">
        <v>33.53</v>
      </c>
      <c r="AA9068" s="6">
        <v>168.66</v>
      </c>
      <c r="AB9068" s="7">
        <v>14.034000000000001</v>
      </c>
      <c r="AC9068" s="6">
        <v>675.85</v>
      </c>
    </row>
    <row r="9069" spans="1:29" ht="195" x14ac:dyDescent="0.15">
      <c r="A9069" s="3">
        <f>DATE(2008,6,13)</f>
        <v>39612</v>
      </c>
      <c r="B9069" s="2"/>
      <c r="C9069" s="2" t="s">
        <v>30</v>
      </c>
      <c r="D9069" s="2" t="s">
        <v>25288</v>
      </c>
      <c r="E9069" s="2" t="s">
        <v>25289</v>
      </c>
      <c r="F9069" s="4">
        <v>6411</v>
      </c>
      <c r="G9069" s="2" t="s">
        <v>125</v>
      </c>
      <c r="H9069" s="2" t="s">
        <v>34</v>
      </c>
      <c r="I9069" s="2" t="s">
        <v>26806</v>
      </c>
      <c r="J9069" s="2" t="s">
        <v>244</v>
      </c>
      <c r="K9069" s="2" t="s">
        <v>53</v>
      </c>
      <c r="L9069" s="2" t="s">
        <v>34</v>
      </c>
      <c r="M9069" s="2"/>
      <c r="N9069" s="2"/>
      <c r="O9069" s="2"/>
      <c r="P9069" s="2" t="s">
        <v>26807</v>
      </c>
      <c r="Q9069" s="2"/>
      <c r="R9069" s="6">
        <v>17.350000000000001</v>
      </c>
      <c r="S9069" s="5">
        <v>0.4</v>
      </c>
      <c r="T9069" s="7">
        <v>5.7329999999999997</v>
      </c>
      <c r="U9069" s="5">
        <v>5.8</v>
      </c>
      <c r="V9069" s="7">
        <v>0.16500000000000001</v>
      </c>
      <c r="W9069" s="6">
        <v>13.09</v>
      </c>
      <c r="X9069" s="7">
        <v>13.042</v>
      </c>
      <c r="Y9069" s="7">
        <v>16.239000000000001</v>
      </c>
      <c r="Z9069" s="7">
        <v>16.303999999999998</v>
      </c>
      <c r="AA9069" s="6">
        <v>7.73</v>
      </c>
      <c r="AB9069" s="2" t="s">
        <v>47</v>
      </c>
      <c r="AC9069" s="2"/>
    </row>
    <row r="9070" spans="1:29" ht="117" x14ac:dyDescent="0.15">
      <c r="A9070" s="3">
        <f>DATE(2008,6,16)</f>
        <v>39615</v>
      </c>
      <c r="B9070" s="2"/>
      <c r="C9070" s="2" t="s">
        <v>30</v>
      </c>
      <c r="D9070" s="2" t="s">
        <v>26808</v>
      </c>
      <c r="E9070" s="2" t="s">
        <v>26809</v>
      </c>
      <c r="F9070" s="4">
        <v>8742</v>
      </c>
      <c r="G9070" s="2" t="s">
        <v>223</v>
      </c>
      <c r="H9070" s="2" t="s">
        <v>34</v>
      </c>
      <c r="I9070" s="2" t="s">
        <v>26810</v>
      </c>
      <c r="J9070" s="2" t="s">
        <v>244</v>
      </c>
      <c r="K9070" s="2" t="s">
        <v>53</v>
      </c>
      <c r="L9070" s="2" t="s">
        <v>34</v>
      </c>
      <c r="M9070" s="2"/>
      <c r="N9070" s="2"/>
      <c r="O9070" s="2"/>
      <c r="P9070" s="2" t="s">
        <v>26811</v>
      </c>
      <c r="Q9070" s="2"/>
      <c r="R9070" s="6">
        <v>15.5</v>
      </c>
      <c r="S9070" s="5">
        <v>10.9</v>
      </c>
      <c r="T9070" s="7">
        <v>26.847999999999999</v>
      </c>
      <c r="U9070" s="5">
        <v>6.9</v>
      </c>
      <c r="V9070" s="9">
        <v>0.3957</v>
      </c>
      <c r="W9070" s="6">
        <v>12.32</v>
      </c>
      <c r="X9070" s="6">
        <v>13.28</v>
      </c>
      <c r="Y9070" s="6">
        <v>14.88</v>
      </c>
      <c r="Z9070" s="4">
        <v>15</v>
      </c>
      <c r="AA9070" s="6">
        <v>26.32</v>
      </c>
      <c r="AB9070" s="7">
        <v>25.588999999999999</v>
      </c>
      <c r="AC9070" s="2"/>
    </row>
    <row r="9071" spans="1:29" ht="104" x14ac:dyDescent="0.15">
      <c r="A9071" s="3">
        <f>DATE(2008,6,16)</f>
        <v>39615</v>
      </c>
      <c r="B9071" s="2"/>
      <c r="C9071" s="2" t="s">
        <v>30</v>
      </c>
      <c r="D9071" s="2" t="s">
        <v>26812</v>
      </c>
      <c r="E9071" s="2" t="s">
        <v>25417</v>
      </c>
      <c r="F9071" s="4">
        <v>6035</v>
      </c>
      <c r="G9071" s="2" t="s">
        <v>33</v>
      </c>
      <c r="H9071" s="2" t="s">
        <v>34</v>
      </c>
      <c r="I9071" s="2" t="s">
        <v>8238</v>
      </c>
      <c r="J9071" s="2" t="s">
        <v>36</v>
      </c>
      <c r="K9071" s="2" t="s">
        <v>37</v>
      </c>
      <c r="L9071" s="2" t="s">
        <v>34</v>
      </c>
      <c r="M9071" s="2"/>
      <c r="N9071" s="2"/>
      <c r="O9071" s="2"/>
      <c r="P9071" s="2" t="s">
        <v>26813</v>
      </c>
      <c r="Q9071" s="2"/>
      <c r="R9071" s="6">
        <v>1.35</v>
      </c>
      <c r="S9071" s="5">
        <v>-225.4</v>
      </c>
      <c r="T9071" s="7">
        <v>-275.64600000000002</v>
      </c>
      <c r="U9071" s="5">
        <v>5.5</v>
      </c>
      <c r="V9071" s="6">
        <v>-9.81</v>
      </c>
      <c r="W9071" s="6">
        <v>1.18</v>
      </c>
      <c r="X9071" s="6">
        <v>1.18</v>
      </c>
      <c r="Y9071" s="6">
        <v>1.25</v>
      </c>
      <c r="Z9071" s="6">
        <v>1.24</v>
      </c>
      <c r="AA9071" s="6">
        <v>22.62</v>
      </c>
      <c r="AB9071" s="2" t="s">
        <v>86</v>
      </c>
      <c r="AC9071" s="2"/>
    </row>
    <row r="9072" spans="1:29" ht="104" x14ac:dyDescent="0.15">
      <c r="A9072" s="3">
        <f>DATE(2008,6,16)</f>
        <v>39615</v>
      </c>
      <c r="B9072" s="2"/>
      <c r="C9072" s="2" t="s">
        <v>30</v>
      </c>
      <c r="D9072" s="2" t="s">
        <v>23811</v>
      </c>
      <c r="E9072" s="2" t="s">
        <v>23812</v>
      </c>
      <c r="F9072" s="4">
        <v>6798</v>
      </c>
      <c r="G9072" s="2" t="s">
        <v>53</v>
      </c>
      <c r="H9072" s="2" t="s">
        <v>34</v>
      </c>
      <c r="I9072" s="2" t="s">
        <v>26814</v>
      </c>
      <c r="J9072" s="2" t="s">
        <v>23814</v>
      </c>
      <c r="K9072" s="2" t="s">
        <v>53</v>
      </c>
      <c r="L9072" s="2" t="s">
        <v>34</v>
      </c>
      <c r="M9072" s="2"/>
      <c r="N9072" s="2"/>
      <c r="O9072" s="2"/>
      <c r="P9072" s="2" t="s">
        <v>26815</v>
      </c>
      <c r="Q9072" s="2"/>
      <c r="R9072" s="6">
        <v>3.88</v>
      </c>
      <c r="S9072" s="5">
        <v>-1.3</v>
      </c>
      <c r="T9072" s="7">
        <v>-1.6160000000000001</v>
      </c>
      <c r="U9072" s="5">
        <v>1.6</v>
      </c>
      <c r="V9072" s="6">
        <v>-0.15</v>
      </c>
      <c r="W9072" s="6">
        <v>3.38</v>
      </c>
      <c r="X9072" s="6">
        <v>3.34</v>
      </c>
      <c r="Y9072" s="6">
        <v>3.75</v>
      </c>
      <c r="Z9072" s="6">
        <v>3.75</v>
      </c>
      <c r="AA9072" s="6">
        <v>7.92</v>
      </c>
      <c r="AB9072" s="2" t="s">
        <v>86</v>
      </c>
      <c r="AC9072" s="2"/>
    </row>
    <row r="9073" spans="1:29" ht="104" x14ac:dyDescent="0.15">
      <c r="A9073" s="3">
        <f>DATE(2008,6,17)</f>
        <v>39616</v>
      </c>
      <c r="B9073" s="2"/>
      <c r="C9073" s="2" t="s">
        <v>30</v>
      </c>
      <c r="D9073" s="2" t="s">
        <v>6919</v>
      </c>
      <c r="E9073" s="2" t="s">
        <v>6920</v>
      </c>
      <c r="F9073" s="4">
        <v>7373</v>
      </c>
      <c r="G9073" s="2" t="s">
        <v>223</v>
      </c>
      <c r="H9073" s="2" t="s">
        <v>34</v>
      </c>
      <c r="I9073" s="2" t="s">
        <v>569</v>
      </c>
      <c r="J9073" s="2" t="s">
        <v>2347</v>
      </c>
      <c r="K9073" s="2" t="s">
        <v>551</v>
      </c>
      <c r="L9073" s="2" t="s">
        <v>34</v>
      </c>
      <c r="M9073" s="12">
        <v>2877.6570000000002</v>
      </c>
      <c r="N9073" s="6">
        <v>10.84</v>
      </c>
      <c r="O9073" s="6">
        <v>10.82</v>
      </c>
      <c r="P9073" s="2" t="s">
        <v>26816</v>
      </c>
      <c r="Q9073" s="2"/>
      <c r="R9073" s="6">
        <v>16</v>
      </c>
      <c r="S9073" s="5">
        <v>1</v>
      </c>
      <c r="T9073" s="7">
        <v>109.505</v>
      </c>
      <c r="U9073" s="5">
        <v>6.9</v>
      </c>
      <c r="V9073" s="6">
        <v>0.04</v>
      </c>
      <c r="W9073" s="5">
        <v>11.9</v>
      </c>
      <c r="X9073" s="6">
        <v>12.33</v>
      </c>
      <c r="Y9073" s="6">
        <v>14.98</v>
      </c>
      <c r="Z9073" s="5">
        <v>15.2</v>
      </c>
      <c r="AA9073" s="6">
        <v>90.87</v>
      </c>
      <c r="AB9073" s="7">
        <v>26.067</v>
      </c>
      <c r="AC9073" s="6">
        <v>836.7</v>
      </c>
    </row>
    <row r="9074" spans="1:29" ht="104" x14ac:dyDescent="0.15">
      <c r="A9074" s="3">
        <f>DATE(2008,6,17)</f>
        <v>39616</v>
      </c>
      <c r="B9074" s="3">
        <f>DATE(2008,10,7)</f>
        <v>39728</v>
      </c>
      <c r="C9074" s="2" t="s">
        <v>95</v>
      </c>
      <c r="D9074" s="2" t="s">
        <v>26817</v>
      </c>
      <c r="E9074" s="2" t="s">
        <v>15941</v>
      </c>
      <c r="F9074" s="4">
        <v>7372</v>
      </c>
      <c r="G9074" s="2" t="s">
        <v>551</v>
      </c>
      <c r="H9074" s="2" t="s">
        <v>34</v>
      </c>
      <c r="I9074" s="2" t="s">
        <v>26818</v>
      </c>
      <c r="J9074" s="2" t="s">
        <v>26819</v>
      </c>
      <c r="K9074" s="2" t="s">
        <v>921</v>
      </c>
      <c r="L9074" s="2" t="s">
        <v>133</v>
      </c>
      <c r="M9074" s="12">
        <v>16870.973999999998</v>
      </c>
      <c r="N9074" s="7">
        <v>7.0549999999999997</v>
      </c>
      <c r="O9074" s="7">
        <v>6.8179999999999996</v>
      </c>
      <c r="P9074" s="2" t="s">
        <v>26820</v>
      </c>
      <c r="Q9074" s="6">
        <v>100</v>
      </c>
      <c r="R9074" s="6">
        <v>2.23</v>
      </c>
      <c r="S9074" s="5">
        <v>-32.1</v>
      </c>
      <c r="T9074" s="2"/>
      <c r="U9074" s="2"/>
      <c r="V9074" s="6">
        <v>-1.1599999999999999</v>
      </c>
      <c r="W9074" s="5">
        <v>1.8</v>
      </c>
      <c r="X9074" s="6">
        <v>1.46</v>
      </c>
      <c r="Y9074" s="6">
        <v>2.12</v>
      </c>
      <c r="Z9074" s="6">
        <v>2.12</v>
      </c>
      <c r="AA9074" s="6">
        <v>27.96</v>
      </c>
      <c r="AB9074" s="2" t="s">
        <v>86</v>
      </c>
      <c r="AC9074" s="10">
        <v>7498.03</v>
      </c>
    </row>
    <row r="9075" spans="1:29" ht="169" x14ac:dyDescent="0.15">
      <c r="A9075" s="3">
        <f>DATE(2008,6,18)</f>
        <v>39617</v>
      </c>
      <c r="B9075" s="3">
        <f>DATE(2008,12,31)</f>
        <v>39813</v>
      </c>
      <c r="C9075" s="2" t="s">
        <v>95</v>
      </c>
      <c r="D9075" s="2" t="s">
        <v>26821</v>
      </c>
      <c r="E9075" s="2" t="s">
        <v>3780</v>
      </c>
      <c r="F9075" s="4">
        <v>6021</v>
      </c>
      <c r="G9075" s="2" t="s">
        <v>37</v>
      </c>
      <c r="H9075" s="2" t="s">
        <v>34</v>
      </c>
      <c r="I9075" s="2" t="s">
        <v>26822</v>
      </c>
      <c r="J9075" s="2" t="s">
        <v>3780</v>
      </c>
      <c r="K9075" s="2" t="s">
        <v>37</v>
      </c>
      <c r="L9075" s="2" t="s">
        <v>34</v>
      </c>
      <c r="M9075" s="7">
        <v>13.836</v>
      </c>
      <c r="N9075" s="4">
        <v>35</v>
      </c>
      <c r="O9075" s="4">
        <v>35</v>
      </c>
      <c r="P9075" s="2" t="s">
        <v>26823</v>
      </c>
      <c r="Q9075" s="6">
        <v>100</v>
      </c>
      <c r="R9075" s="6">
        <v>31.82</v>
      </c>
      <c r="S9075" s="2"/>
      <c r="T9075" s="2"/>
      <c r="U9075" s="2"/>
      <c r="V9075" s="2"/>
      <c r="W9075" s="6">
        <v>50.25</v>
      </c>
      <c r="X9075" s="6">
        <v>50.25</v>
      </c>
      <c r="Y9075" s="6">
        <v>50.25</v>
      </c>
      <c r="Z9075" s="6">
        <v>50.25</v>
      </c>
      <c r="AA9075" s="6">
        <v>0.31</v>
      </c>
      <c r="AB9075" s="2" t="s">
        <v>47</v>
      </c>
      <c r="AC9075" s="2"/>
    </row>
    <row r="9076" spans="1:29" ht="91" x14ac:dyDescent="0.15">
      <c r="A9076" s="3">
        <f>DATE(2008,6,18)</f>
        <v>39617</v>
      </c>
      <c r="B9076" s="3">
        <f>DATE(2008,8,15)</f>
        <v>39675</v>
      </c>
      <c r="C9076" s="2" t="s">
        <v>95</v>
      </c>
      <c r="D9076" s="2" t="s">
        <v>26824</v>
      </c>
      <c r="E9076" s="2" t="s">
        <v>26825</v>
      </c>
      <c r="F9076" s="4">
        <v>7372</v>
      </c>
      <c r="G9076" s="2" t="s">
        <v>551</v>
      </c>
      <c r="H9076" s="2" t="s">
        <v>34</v>
      </c>
      <c r="I9076" s="2" t="s">
        <v>26826</v>
      </c>
      <c r="J9076" s="2" t="s">
        <v>26827</v>
      </c>
      <c r="K9076" s="2" t="s">
        <v>125</v>
      </c>
      <c r="L9076" s="2" t="s">
        <v>34</v>
      </c>
      <c r="M9076" s="2"/>
      <c r="N9076" s="2"/>
      <c r="O9076" s="2"/>
      <c r="P9076" s="2" t="s">
        <v>26828</v>
      </c>
      <c r="Q9076" s="6">
        <v>100</v>
      </c>
      <c r="R9076" s="6">
        <v>7</v>
      </c>
      <c r="S9076" s="5">
        <v>-6</v>
      </c>
      <c r="T9076" s="7">
        <v>-1.869</v>
      </c>
      <c r="U9076" s="5">
        <v>0.8</v>
      </c>
      <c r="V9076" s="6">
        <v>-0.39</v>
      </c>
      <c r="W9076" s="5">
        <v>1.8</v>
      </c>
      <c r="X9076" s="6">
        <v>1.71</v>
      </c>
      <c r="Y9076" s="6">
        <v>6.62</v>
      </c>
      <c r="Z9076" s="6">
        <v>6.55</v>
      </c>
      <c r="AA9076" s="6">
        <v>16.34</v>
      </c>
      <c r="AB9076" s="2" t="s">
        <v>86</v>
      </c>
      <c r="AC9076" s="2"/>
    </row>
    <row r="9077" spans="1:29" ht="78" x14ac:dyDescent="0.15">
      <c r="A9077" s="3">
        <f>DATE(2008,6,19)</f>
        <v>39618</v>
      </c>
      <c r="B9077" s="3">
        <f>DATE(2008,8,6)</f>
        <v>39666</v>
      </c>
      <c r="C9077" s="2" t="s">
        <v>95</v>
      </c>
      <c r="D9077" s="2" t="s">
        <v>26829</v>
      </c>
      <c r="E9077" s="2" t="s">
        <v>26830</v>
      </c>
      <c r="F9077" s="4">
        <v>7375</v>
      </c>
      <c r="G9077" s="2" t="s">
        <v>223</v>
      </c>
      <c r="H9077" s="2" t="s">
        <v>34</v>
      </c>
      <c r="I9077" s="2" t="s">
        <v>21974</v>
      </c>
      <c r="J9077" s="2" t="s">
        <v>21975</v>
      </c>
      <c r="K9077" s="2" t="s">
        <v>186</v>
      </c>
      <c r="L9077" s="2" t="s">
        <v>34</v>
      </c>
      <c r="M9077" s="12">
        <v>1123.673</v>
      </c>
      <c r="N9077" s="6">
        <v>19.62</v>
      </c>
      <c r="O9077" s="6">
        <v>19.46</v>
      </c>
      <c r="P9077" s="2" t="s">
        <v>26831</v>
      </c>
      <c r="Q9077" s="6">
        <v>100</v>
      </c>
      <c r="R9077" s="6">
        <v>10.39</v>
      </c>
      <c r="S9077" s="5">
        <v>2.2999999999999998</v>
      </c>
      <c r="T9077" s="7">
        <v>4.5359999999999996</v>
      </c>
      <c r="U9077" s="5">
        <v>3.2</v>
      </c>
      <c r="V9077" s="9">
        <v>0.19450000000000001</v>
      </c>
      <c r="W9077" s="7">
        <v>4.4939999999999998</v>
      </c>
      <c r="X9077" s="7">
        <v>4.423</v>
      </c>
      <c r="Y9077" s="7">
        <v>10.196</v>
      </c>
      <c r="Z9077" s="7">
        <v>10.178000000000001</v>
      </c>
      <c r="AA9077" s="6">
        <v>11.64</v>
      </c>
      <c r="AB9077" s="2" t="s">
        <v>47</v>
      </c>
      <c r="AC9077" s="6">
        <v>17.61</v>
      </c>
    </row>
    <row r="9078" spans="1:29" ht="104" x14ac:dyDescent="0.15">
      <c r="A9078" s="3">
        <f>DATE(2008,6,19)</f>
        <v>39618</v>
      </c>
      <c r="B9078" s="3">
        <f>DATE(2008,10,28)</f>
        <v>39749</v>
      </c>
      <c r="C9078" s="2" t="s">
        <v>95</v>
      </c>
      <c r="D9078" s="2" t="s">
        <v>10698</v>
      </c>
      <c r="E9078" s="2" t="s">
        <v>25000</v>
      </c>
      <c r="F9078" s="4">
        <v>8082</v>
      </c>
      <c r="G9078" s="2" t="s">
        <v>454</v>
      </c>
      <c r="H9078" s="2" t="s">
        <v>34</v>
      </c>
      <c r="I9078" s="2" t="s">
        <v>21776</v>
      </c>
      <c r="J9078" s="2" t="s">
        <v>25822</v>
      </c>
      <c r="K9078" s="2" t="s">
        <v>53</v>
      </c>
      <c r="L9078" s="2" t="s">
        <v>34</v>
      </c>
      <c r="M9078" s="12">
        <v>2938.6590000000001</v>
      </c>
      <c r="N9078" s="5">
        <v>18.399999999999999</v>
      </c>
      <c r="O9078" s="6">
        <v>18.18</v>
      </c>
      <c r="P9078" s="2" t="s">
        <v>26832</v>
      </c>
      <c r="Q9078" s="6">
        <v>100</v>
      </c>
      <c r="R9078" s="6">
        <v>21</v>
      </c>
      <c r="S9078" s="2"/>
      <c r="T9078" s="2"/>
      <c r="U9078" s="2"/>
      <c r="V9078" s="2"/>
      <c r="W9078" s="6">
        <v>16.46</v>
      </c>
      <c r="X9078" s="6">
        <v>15.82</v>
      </c>
      <c r="Y9078" s="4">
        <v>20</v>
      </c>
      <c r="Z9078" s="6">
        <v>19.829999999999998</v>
      </c>
      <c r="AA9078" s="6">
        <v>43.87</v>
      </c>
      <c r="AB9078" s="2" t="s">
        <v>47</v>
      </c>
      <c r="AC9078" s="6">
        <v>790.18</v>
      </c>
    </row>
    <row r="9079" spans="1:29" ht="91" x14ac:dyDescent="0.15">
      <c r="A9079" s="3">
        <f>DATE(2008,6,19)</f>
        <v>39618</v>
      </c>
      <c r="B9079" s="3">
        <f>DATE(2008,9,3)</f>
        <v>39694</v>
      </c>
      <c r="C9079" s="2" t="s">
        <v>95</v>
      </c>
      <c r="D9079" s="2" t="s">
        <v>26833</v>
      </c>
      <c r="E9079" s="2" t="s">
        <v>26834</v>
      </c>
      <c r="F9079" s="4">
        <v>7372</v>
      </c>
      <c r="G9079" s="2" t="s">
        <v>551</v>
      </c>
      <c r="H9079" s="2" t="s">
        <v>34</v>
      </c>
      <c r="I9079" s="2" t="s">
        <v>19625</v>
      </c>
      <c r="J9079" s="2" t="s">
        <v>26835</v>
      </c>
      <c r="K9079" s="2" t="s">
        <v>551</v>
      </c>
      <c r="L9079" s="2" t="s">
        <v>34</v>
      </c>
      <c r="M9079" s="12">
        <v>1458.0060000000001</v>
      </c>
      <c r="N9079" s="6">
        <v>7.43</v>
      </c>
      <c r="O9079" s="6">
        <v>7.25</v>
      </c>
      <c r="P9079" s="2" t="s">
        <v>26836</v>
      </c>
      <c r="Q9079" s="6">
        <v>100</v>
      </c>
      <c r="R9079" s="6">
        <v>1.87</v>
      </c>
      <c r="S9079" s="5">
        <v>1</v>
      </c>
      <c r="T9079" s="7">
        <v>-4.0289999999999999</v>
      </c>
      <c r="U9079" s="5">
        <v>0.8</v>
      </c>
      <c r="V9079" s="6">
        <v>-0.08</v>
      </c>
      <c r="W9079" s="6">
        <v>1.79</v>
      </c>
      <c r="X9079" s="6">
        <v>1.89</v>
      </c>
      <c r="Y9079" s="5">
        <v>1.8</v>
      </c>
      <c r="Z9079" s="6">
        <v>1.82</v>
      </c>
      <c r="AA9079" s="6">
        <v>12.98</v>
      </c>
      <c r="AB9079" s="2" t="s">
        <v>86</v>
      </c>
      <c r="AC9079" s="6">
        <v>278.14999999999998</v>
      </c>
    </row>
    <row r="9080" spans="1:29" ht="52" x14ac:dyDescent="0.15">
      <c r="A9080" s="3">
        <f>DATE(2008,6,20)</f>
        <v>39619</v>
      </c>
      <c r="B9080" s="2"/>
      <c r="C9080" s="2" t="s">
        <v>7330</v>
      </c>
      <c r="D9080" s="2" t="s">
        <v>26837</v>
      </c>
      <c r="E9080" s="2" t="s">
        <v>36</v>
      </c>
      <c r="F9080" s="4">
        <v>6021</v>
      </c>
      <c r="G9080" s="2" t="s">
        <v>37</v>
      </c>
      <c r="H9080" s="2" t="s">
        <v>34</v>
      </c>
      <c r="I9080" s="2" t="s">
        <v>26838</v>
      </c>
      <c r="J9080" s="2" t="s">
        <v>672</v>
      </c>
      <c r="K9080" s="2" t="s">
        <v>37</v>
      </c>
      <c r="L9080" s="2" t="s">
        <v>34</v>
      </c>
      <c r="M9080" s="2"/>
      <c r="N9080" s="2"/>
      <c r="O9080" s="2"/>
      <c r="P9080" s="2" t="s">
        <v>26839</v>
      </c>
      <c r="Q9080" s="2"/>
      <c r="R9080" s="2"/>
      <c r="S9080" s="5">
        <v>6</v>
      </c>
      <c r="T9080" s="7">
        <v>17.596</v>
      </c>
      <c r="U9080" s="5">
        <v>35</v>
      </c>
      <c r="V9080" s="6">
        <v>0.66</v>
      </c>
      <c r="W9080" s="6">
        <v>11.53</v>
      </c>
      <c r="X9080" s="6">
        <v>9.15</v>
      </c>
      <c r="Y9080" s="6">
        <v>9.32</v>
      </c>
      <c r="Z9080" s="6">
        <v>8.61</v>
      </c>
      <c r="AA9080" s="6">
        <v>10.050000000000001</v>
      </c>
      <c r="AB9080" s="2" t="s">
        <v>47</v>
      </c>
      <c r="AC9080" s="2"/>
    </row>
    <row r="9081" spans="1:29" ht="156" x14ac:dyDescent="0.15">
      <c r="A9081" s="3">
        <f>DATE(2008,6,22)</f>
        <v>39621</v>
      </c>
      <c r="B9081" s="3">
        <f>DATE(2008,8,29)</f>
        <v>39689</v>
      </c>
      <c r="C9081" s="2" t="s">
        <v>95</v>
      </c>
      <c r="D9081" s="2" t="s">
        <v>18843</v>
      </c>
      <c r="E9081" s="2" t="s">
        <v>18844</v>
      </c>
      <c r="F9081" s="4">
        <v>3825</v>
      </c>
      <c r="G9081" s="2" t="s">
        <v>226</v>
      </c>
      <c r="H9081" s="2" t="s">
        <v>34</v>
      </c>
      <c r="I9081" s="2" t="s">
        <v>26840</v>
      </c>
      <c r="J9081" s="2" t="s">
        <v>19906</v>
      </c>
      <c r="K9081" s="2" t="s">
        <v>226</v>
      </c>
      <c r="L9081" s="2" t="s">
        <v>34</v>
      </c>
      <c r="M9081" s="7">
        <v>174.61199999999999</v>
      </c>
      <c r="N9081" s="6">
        <v>2.35</v>
      </c>
      <c r="O9081" s="6">
        <v>2.35</v>
      </c>
      <c r="P9081" s="2" t="s">
        <v>26841</v>
      </c>
      <c r="Q9081" s="6">
        <v>100</v>
      </c>
      <c r="R9081" s="6">
        <v>1.72</v>
      </c>
      <c r="S9081" s="5">
        <v>-58.9</v>
      </c>
      <c r="T9081" s="7">
        <v>34.677</v>
      </c>
      <c r="U9081" s="5">
        <v>1.6</v>
      </c>
      <c r="V9081" s="6">
        <v>-0.57999999999999996</v>
      </c>
      <c r="W9081" s="6">
        <v>1.18</v>
      </c>
      <c r="X9081" s="6">
        <v>1.25</v>
      </c>
      <c r="Y9081" s="2"/>
      <c r="Z9081" s="6">
        <v>1.27</v>
      </c>
      <c r="AA9081" s="6">
        <v>102.5</v>
      </c>
      <c r="AB9081" s="2" t="s">
        <v>86</v>
      </c>
      <c r="AC9081" s="6">
        <v>70.510000000000005</v>
      </c>
    </row>
    <row r="9082" spans="1:29" ht="117" x14ac:dyDescent="0.15">
      <c r="A9082" s="3">
        <f>DATE(2008,6,22)</f>
        <v>39621</v>
      </c>
      <c r="B9082" s="2"/>
      <c r="C9082" s="2" t="s">
        <v>30</v>
      </c>
      <c r="D9082" s="2" t="s">
        <v>26573</v>
      </c>
      <c r="E9082" s="2" t="s">
        <v>26574</v>
      </c>
      <c r="F9082" s="4">
        <v>7373</v>
      </c>
      <c r="G9082" s="2" t="s">
        <v>223</v>
      </c>
      <c r="H9082" s="2" t="s">
        <v>34</v>
      </c>
      <c r="I9082" s="2" t="s">
        <v>26842</v>
      </c>
      <c r="J9082" s="2" t="s">
        <v>14609</v>
      </c>
      <c r="K9082" s="2" t="s">
        <v>219</v>
      </c>
      <c r="L9082" s="2" t="s">
        <v>133</v>
      </c>
      <c r="M9082" s="10">
        <v>9084.56</v>
      </c>
      <c r="N9082" s="7">
        <v>19.123999999999999</v>
      </c>
      <c r="O9082" s="7">
        <v>19.123999999999999</v>
      </c>
      <c r="P9082" s="2" t="s">
        <v>26843</v>
      </c>
      <c r="Q9082" s="2"/>
      <c r="R9082" s="2"/>
      <c r="S9082" s="5">
        <v>0.1</v>
      </c>
      <c r="T9082" s="7">
        <v>-0.69799999999999995</v>
      </c>
      <c r="U9082" s="2"/>
      <c r="V9082" s="6">
        <v>0.01</v>
      </c>
      <c r="W9082" s="6">
        <v>11.88</v>
      </c>
      <c r="X9082" s="6">
        <v>11.92</v>
      </c>
      <c r="Y9082" s="6">
        <v>13.34</v>
      </c>
      <c r="Z9082" s="6">
        <v>13.34</v>
      </c>
      <c r="AA9082" s="6">
        <v>22.18</v>
      </c>
      <c r="AB9082" s="2" t="s">
        <v>86</v>
      </c>
      <c r="AC9082" s="10">
        <v>1249.82</v>
      </c>
    </row>
    <row r="9083" spans="1:29" ht="169" x14ac:dyDescent="0.15">
      <c r="A9083" s="3">
        <f>DATE(2008,6,23)</f>
        <v>39622</v>
      </c>
      <c r="B9083" s="3">
        <f>DATE(2008,12,5)</f>
        <v>39787</v>
      </c>
      <c r="C9083" s="2" t="s">
        <v>95</v>
      </c>
      <c r="D9083" s="2" t="s">
        <v>12279</v>
      </c>
      <c r="E9083" s="2" t="s">
        <v>12280</v>
      </c>
      <c r="F9083" s="4">
        <v>4953</v>
      </c>
      <c r="G9083" s="2" t="s">
        <v>116</v>
      </c>
      <c r="H9083" s="2" t="s">
        <v>34</v>
      </c>
      <c r="I9083" s="2" t="s">
        <v>26844</v>
      </c>
      <c r="J9083" s="2" t="s">
        <v>1789</v>
      </c>
      <c r="K9083" s="2" t="s">
        <v>116</v>
      </c>
      <c r="L9083" s="2" t="s">
        <v>34</v>
      </c>
      <c r="M9083" s="10">
        <v>5901.42</v>
      </c>
      <c r="N9083" s="6">
        <v>30.98</v>
      </c>
      <c r="O9083" s="6">
        <v>30.73</v>
      </c>
      <c r="P9083" s="2" t="s">
        <v>26845</v>
      </c>
      <c r="Q9083" s="6">
        <v>100</v>
      </c>
      <c r="R9083" s="6">
        <v>14.04</v>
      </c>
      <c r="S9083" s="5">
        <v>342.5</v>
      </c>
      <c r="T9083" s="8">
        <v>1656.9</v>
      </c>
      <c r="U9083" s="5">
        <v>9.1999999999999993</v>
      </c>
      <c r="V9083" s="6">
        <v>0.8</v>
      </c>
      <c r="W9083" s="5">
        <v>13.5</v>
      </c>
      <c r="X9083" s="6">
        <v>13.92</v>
      </c>
      <c r="Y9083" s="4">
        <v>15</v>
      </c>
      <c r="Z9083" s="6">
        <v>13.84</v>
      </c>
      <c r="AA9083" s="6">
        <v>432.45</v>
      </c>
      <c r="AB9083" s="7">
        <v>11.554</v>
      </c>
      <c r="AC9083" s="5">
        <v>50.4</v>
      </c>
    </row>
    <row r="9084" spans="1:29" ht="104" x14ac:dyDescent="0.15">
      <c r="A9084" s="3">
        <f>DATE(2008,6,23)</f>
        <v>39622</v>
      </c>
      <c r="B9084" s="3">
        <f>DATE(2008,8,6)</f>
        <v>39666</v>
      </c>
      <c r="C9084" s="2" t="s">
        <v>95</v>
      </c>
      <c r="D9084" s="2" t="s">
        <v>26846</v>
      </c>
      <c r="E9084" s="2" t="s">
        <v>3812</v>
      </c>
      <c r="F9084" s="4">
        <v>2834</v>
      </c>
      <c r="G9084" s="2" t="s">
        <v>130</v>
      </c>
      <c r="H9084" s="2" t="s">
        <v>34</v>
      </c>
      <c r="I9084" s="2" t="s">
        <v>24703</v>
      </c>
      <c r="J9084" s="2" t="s">
        <v>129</v>
      </c>
      <c r="K9084" s="2" t="s">
        <v>130</v>
      </c>
      <c r="L9084" s="2" t="s">
        <v>34</v>
      </c>
      <c r="M9084" s="2"/>
      <c r="N9084" s="2"/>
      <c r="O9084" s="2"/>
      <c r="P9084" s="2" t="s">
        <v>26847</v>
      </c>
      <c r="Q9084" s="6">
        <v>100</v>
      </c>
      <c r="R9084" s="6">
        <v>4.1500000000000004</v>
      </c>
      <c r="S9084" s="5">
        <v>-52.3</v>
      </c>
      <c r="T9084" s="7">
        <v>-54.154000000000003</v>
      </c>
      <c r="U9084" s="5">
        <v>0.6</v>
      </c>
      <c r="V9084" s="6">
        <v>-1.64</v>
      </c>
      <c r="W9084" s="6">
        <v>2.19</v>
      </c>
      <c r="X9084" s="6">
        <v>1.76</v>
      </c>
      <c r="Y9084" s="6">
        <v>4.03</v>
      </c>
      <c r="Z9084" s="6">
        <v>4.04</v>
      </c>
      <c r="AA9084" s="6">
        <v>35.17</v>
      </c>
      <c r="AB9084" s="2" t="s">
        <v>86</v>
      </c>
      <c r="AC9084" s="2"/>
    </row>
    <row r="9085" spans="1:29" ht="117" x14ac:dyDescent="0.15">
      <c r="A9085" s="3">
        <f>DATE(2008,6,23)</f>
        <v>39622</v>
      </c>
      <c r="B9085" s="2"/>
      <c r="C9085" s="2" t="s">
        <v>30</v>
      </c>
      <c r="D9085" s="2" t="s">
        <v>26848</v>
      </c>
      <c r="E9085" s="2" t="s">
        <v>26849</v>
      </c>
      <c r="F9085" s="4">
        <v>2041</v>
      </c>
      <c r="G9085" s="2" t="s">
        <v>577</v>
      </c>
      <c r="H9085" s="2" t="s">
        <v>34</v>
      </c>
      <c r="I9085" s="2" t="s">
        <v>26850</v>
      </c>
      <c r="J9085" s="2" t="s">
        <v>26851</v>
      </c>
      <c r="K9085" s="2" t="s">
        <v>577</v>
      </c>
      <c r="L9085" s="2" t="s">
        <v>34</v>
      </c>
      <c r="M9085" s="12">
        <v>14222.567999999999</v>
      </c>
      <c r="N9085" s="5">
        <v>110.7</v>
      </c>
      <c r="O9085" s="6">
        <v>109.73</v>
      </c>
      <c r="P9085" s="2" t="s">
        <v>26852</v>
      </c>
      <c r="Q9085" s="2"/>
      <c r="R9085" s="6">
        <v>56</v>
      </c>
      <c r="S9085" s="5">
        <v>212.3</v>
      </c>
      <c r="T9085" s="5">
        <v>481.9</v>
      </c>
      <c r="U9085" s="5">
        <v>23.7</v>
      </c>
      <c r="V9085" s="6">
        <v>2.79</v>
      </c>
      <c r="W9085" s="6">
        <v>40.49</v>
      </c>
      <c r="X9085" s="5">
        <v>42.9</v>
      </c>
      <c r="Y9085" s="6">
        <v>50.75</v>
      </c>
      <c r="Z9085" s="6">
        <v>50.16</v>
      </c>
      <c r="AA9085" s="6">
        <v>74.12</v>
      </c>
      <c r="AB9085" s="7">
        <v>13.164999999999999</v>
      </c>
      <c r="AC9085" s="8">
        <v>4032</v>
      </c>
    </row>
    <row r="9086" spans="1:29" ht="117" x14ac:dyDescent="0.15">
      <c r="A9086" s="3">
        <f>DATE(2008,6,23)</f>
        <v>39622</v>
      </c>
      <c r="B9086" s="2"/>
      <c r="C9086" s="2" t="s">
        <v>30</v>
      </c>
      <c r="D9086" s="2" t="s">
        <v>26853</v>
      </c>
      <c r="E9086" s="2" t="s">
        <v>26854</v>
      </c>
      <c r="F9086" s="4">
        <v>6331</v>
      </c>
      <c r="G9086" s="2" t="s">
        <v>125</v>
      </c>
      <c r="H9086" s="2" t="s">
        <v>34</v>
      </c>
      <c r="I9086" s="2" t="s">
        <v>26855</v>
      </c>
      <c r="J9086" s="2" t="s">
        <v>515</v>
      </c>
      <c r="K9086" s="2" t="s">
        <v>125</v>
      </c>
      <c r="L9086" s="2" t="s">
        <v>34</v>
      </c>
      <c r="M9086" s="2"/>
      <c r="N9086" s="5">
        <v>10.5</v>
      </c>
      <c r="O9086" s="6">
        <v>10.31</v>
      </c>
      <c r="P9086" s="2" t="s">
        <v>26856</v>
      </c>
      <c r="Q9086" s="2"/>
      <c r="R9086" s="2"/>
      <c r="S9086" s="5">
        <v>13</v>
      </c>
      <c r="T9086" s="7">
        <v>18.059000000000001</v>
      </c>
      <c r="U9086" s="5">
        <v>8.6</v>
      </c>
      <c r="V9086" s="6">
        <v>0.85</v>
      </c>
      <c r="W9086" s="6">
        <v>4.99</v>
      </c>
      <c r="X9086" s="6">
        <v>4.96</v>
      </c>
      <c r="Y9086" s="6">
        <v>5.61</v>
      </c>
      <c r="Z9086" s="6">
        <v>5.54</v>
      </c>
      <c r="AA9086" s="6">
        <v>14.7</v>
      </c>
      <c r="AB9086" s="2" t="s">
        <v>47</v>
      </c>
      <c r="AC9086" s="6">
        <v>65.989999999999995</v>
      </c>
    </row>
    <row r="9087" spans="1:29" ht="104" x14ac:dyDescent="0.15">
      <c r="A9087" s="3">
        <f>DATE(2008,6,24)</f>
        <v>39623</v>
      </c>
      <c r="B9087" s="3">
        <f>DATE(2008,9,29)</f>
        <v>39720</v>
      </c>
      <c r="C9087" s="2" t="s">
        <v>95</v>
      </c>
      <c r="D9087" s="2" t="s">
        <v>26857</v>
      </c>
      <c r="E9087" s="2" t="s">
        <v>26858</v>
      </c>
      <c r="F9087" s="4">
        <v>3366</v>
      </c>
      <c r="G9087" s="2" t="s">
        <v>163</v>
      </c>
      <c r="H9087" s="2" t="s">
        <v>34</v>
      </c>
      <c r="I9087" s="2" t="s">
        <v>26859</v>
      </c>
      <c r="J9087" s="2" t="s">
        <v>209</v>
      </c>
      <c r="K9087" s="2" t="s">
        <v>226</v>
      </c>
      <c r="L9087" s="2" t="s">
        <v>5907</v>
      </c>
      <c r="M9087" s="7">
        <v>408.72199999999998</v>
      </c>
      <c r="N9087" s="7">
        <v>22.138999999999999</v>
      </c>
      <c r="O9087" s="7">
        <v>23.033999999999999</v>
      </c>
      <c r="P9087" s="2" t="s">
        <v>26860</v>
      </c>
      <c r="Q9087" s="6">
        <v>100</v>
      </c>
      <c r="R9087" s="6">
        <v>2.5099999999999998</v>
      </c>
      <c r="S9087" s="5">
        <v>0.8</v>
      </c>
      <c r="T9087" s="7">
        <v>4.883</v>
      </c>
      <c r="U9087" s="5">
        <v>1.4</v>
      </c>
      <c r="V9087" s="6">
        <v>0.03</v>
      </c>
      <c r="W9087" s="6">
        <v>1.44</v>
      </c>
      <c r="X9087" s="6">
        <v>1.45</v>
      </c>
      <c r="Y9087" s="6">
        <v>2.39</v>
      </c>
      <c r="Z9087" s="6">
        <v>2.39</v>
      </c>
      <c r="AA9087" s="6">
        <v>29.91</v>
      </c>
      <c r="AB9087" s="7">
        <v>48.432000000000002</v>
      </c>
      <c r="AC9087" s="6">
        <v>103.26</v>
      </c>
    </row>
    <row r="9088" spans="1:29" ht="104" x14ac:dyDescent="0.15">
      <c r="A9088" s="3">
        <f>DATE(2008,6,25)</f>
        <v>39624</v>
      </c>
      <c r="B9088" s="2"/>
      <c r="C9088" s="2" t="s">
        <v>30</v>
      </c>
      <c r="D9088" s="2" t="s">
        <v>26861</v>
      </c>
      <c r="E9088" s="2" t="s">
        <v>3140</v>
      </c>
      <c r="F9088" s="4">
        <v>7261</v>
      </c>
      <c r="G9088" s="2" t="s">
        <v>1517</v>
      </c>
      <c r="H9088" s="2" t="s">
        <v>34</v>
      </c>
      <c r="I9088" s="2" t="s">
        <v>3139</v>
      </c>
      <c r="J9088" s="2" t="s">
        <v>23944</v>
      </c>
      <c r="K9088" s="2" t="s">
        <v>1517</v>
      </c>
      <c r="L9088" s="2" t="s">
        <v>34</v>
      </c>
      <c r="M9088" s="12">
        <v>2728.9140000000002</v>
      </c>
      <c r="N9088" s="6">
        <v>10.17</v>
      </c>
      <c r="O9088" s="6">
        <v>10.07</v>
      </c>
      <c r="P9088" s="2" t="s">
        <v>26862</v>
      </c>
      <c r="Q9088" s="2"/>
      <c r="R9088" s="6">
        <v>11</v>
      </c>
      <c r="S9088" s="5">
        <v>36.4</v>
      </c>
      <c r="T9088" s="7">
        <v>106.54900000000001</v>
      </c>
      <c r="U9088" s="5">
        <v>4.3</v>
      </c>
      <c r="V9088" s="6">
        <v>0.38</v>
      </c>
      <c r="W9088" s="6">
        <v>7.59</v>
      </c>
      <c r="X9088" s="6">
        <v>7.52</v>
      </c>
      <c r="Y9088" s="6">
        <v>7.76</v>
      </c>
      <c r="Z9088" s="6">
        <v>7.57</v>
      </c>
      <c r="AA9088" s="6">
        <v>92.81</v>
      </c>
      <c r="AB9088" s="7">
        <v>18.483000000000001</v>
      </c>
      <c r="AC9088" s="5">
        <v>104.7</v>
      </c>
    </row>
    <row r="9089" spans="1:29" ht="104" x14ac:dyDescent="0.15">
      <c r="A9089" s="3">
        <f>DATE(2008,6,26)</f>
        <v>39625</v>
      </c>
      <c r="B9089" s="3">
        <f>DATE(2008,11,1)</f>
        <v>39753</v>
      </c>
      <c r="C9089" s="2" t="s">
        <v>95</v>
      </c>
      <c r="D9089" s="2" t="s">
        <v>26863</v>
      </c>
      <c r="E9089" s="2" t="s">
        <v>159</v>
      </c>
      <c r="F9089" s="4">
        <v>6712</v>
      </c>
      <c r="G9089" s="2" t="s">
        <v>37</v>
      </c>
      <c r="H9089" s="2" t="s">
        <v>34</v>
      </c>
      <c r="I9089" s="2" t="s">
        <v>26864</v>
      </c>
      <c r="J9089" s="2" t="s">
        <v>1181</v>
      </c>
      <c r="K9089" s="2" t="s">
        <v>37</v>
      </c>
      <c r="L9089" s="2" t="s">
        <v>34</v>
      </c>
      <c r="M9089" s="2"/>
      <c r="N9089" s="2"/>
      <c r="O9089" s="2"/>
      <c r="P9089" s="2" t="s">
        <v>26865</v>
      </c>
      <c r="Q9089" s="6">
        <v>100</v>
      </c>
      <c r="R9089" s="6">
        <v>21</v>
      </c>
      <c r="S9089" s="5">
        <v>2.7</v>
      </c>
      <c r="T9089" s="7">
        <v>5.0839999999999996</v>
      </c>
      <c r="U9089" s="5">
        <v>12.2</v>
      </c>
      <c r="V9089" s="6">
        <v>0.59</v>
      </c>
      <c r="W9089" s="6">
        <v>11.55</v>
      </c>
      <c r="X9089" s="4">
        <v>11</v>
      </c>
      <c r="Y9089" s="4">
        <v>19</v>
      </c>
      <c r="Z9089" s="6">
        <v>19.02</v>
      </c>
      <c r="AA9089" s="6">
        <v>4.46</v>
      </c>
      <c r="AB9089" s="7">
        <v>34.798999999999999</v>
      </c>
      <c r="AC9089" s="2"/>
    </row>
    <row r="9090" spans="1:29" ht="65" x14ac:dyDescent="0.15">
      <c r="A9090" s="3">
        <f>DATE(2008,6,26)</f>
        <v>39625</v>
      </c>
      <c r="B9090" s="2"/>
      <c r="C9090" s="2" t="s">
        <v>87</v>
      </c>
      <c r="D9090" s="2" t="s">
        <v>11896</v>
      </c>
      <c r="E9090" s="2" t="s">
        <v>11897</v>
      </c>
      <c r="F9090" s="4">
        <v>3812</v>
      </c>
      <c r="G9090" s="2" t="s">
        <v>226</v>
      </c>
      <c r="H9090" s="2" t="s">
        <v>34</v>
      </c>
      <c r="I9090" s="2" t="s">
        <v>26866</v>
      </c>
      <c r="J9090" s="2" t="s">
        <v>26867</v>
      </c>
      <c r="K9090" s="2" t="s">
        <v>219</v>
      </c>
      <c r="L9090" s="2" t="s">
        <v>133</v>
      </c>
      <c r="M9090" s="12">
        <v>10493.386</v>
      </c>
      <c r="N9090" s="7">
        <v>57.996000000000002</v>
      </c>
      <c r="O9090" s="7">
        <v>57.052999999999997</v>
      </c>
      <c r="P9090" s="2" t="s">
        <v>26868</v>
      </c>
      <c r="Q9090" s="2"/>
      <c r="R9090" s="2"/>
      <c r="S9090" s="5">
        <v>165.8</v>
      </c>
      <c r="T9090" s="7">
        <v>438.56700000000001</v>
      </c>
      <c r="U9090" s="5">
        <v>40.700000000000003</v>
      </c>
      <c r="V9090" s="6">
        <v>4</v>
      </c>
      <c r="W9090" s="6">
        <v>79.22</v>
      </c>
      <c r="X9090" s="6">
        <v>79.83</v>
      </c>
      <c r="Y9090" s="6">
        <v>79.16</v>
      </c>
      <c r="Z9090" s="6">
        <v>78.75</v>
      </c>
      <c r="AA9090" s="6">
        <v>41.43</v>
      </c>
      <c r="AB9090" s="2" t="s">
        <v>47</v>
      </c>
      <c r="AC9090" s="10">
        <v>2395.09</v>
      </c>
    </row>
    <row r="9091" spans="1:29" ht="91" x14ac:dyDescent="0.15">
      <c r="A9091" s="3">
        <f>DATE(2008,6,26)</f>
        <v>39625</v>
      </c>
      <c r="B9091" s="3">
        <f>DATE(2008,10,2)</f>
        <v>39723</v>
      </c>
      <c r="C9091" s="2" t="s">
        <v>95</v>
      </c>
      <c r="D9091" s="2" t="s">
        <v>26869</v>
      </c>
      <c r="E9091" s="2" t="s">
        <v>26870</v>
      </c>
      <c r="F9091" s="4">
        <v>3825</v>
      </c>
      <c r="G9091" s="2" t="s">
        <v>226</v>
      </c>
      <c r="H9091" s="2" t="s">
        <v>34</v>
      </c>
      <c r="I9091" s="2" t="s">
        <v>26871</v>
      </c>
      <c r="J9091" s="2" t="s">
        <v>26872</v>
      </c>
      <c r="K9091" s="2" t="s">
        <v>226</v>
      </c>
      <c r="L9091" s="2" t="s">
        <v>4242</v>
      </c>
      <c r="M9091" s="6">
        <v>566.03</v>
      </c>
      <c r="N9091" s="6">
        <v>13.86</v>
      </c>
      <c r="O9091" s="6">
        <v>13.15</v>
      </c>
      <c r="P9091" s="2" t="s">
        <v>26873</v>
      </c>
      <c r="Q9091" s="6">
        <v>100</v>
      </c>
      <c r="R9091" s="6">
        <v>15.6</v>
      </c>
      <c r="S9091" s="5">
        <v>-16.7</v>
      </c>
      <c r="T9091" s="7">
        <v>-11.462999999999999</v>
      </c>
      <c r="U9091" s="2"/>
      <c r="V9091" s="6">
        <v>-0.97</v>
      </c>
      <c r="W9091" s="6">
        <v>12.24</v>
      </c>
      <c r="X9091" s="6">
        <v>11.56</v>
      </c>
      <c r="Y9091" s="6">
        <v>15.15</v>
      </c>
      <c r="Z9091" s="6">
        <v>15.06</v>
      </c>
      <c r="AA9091" s="6">
        <v>17.75</v>
      </c>
      <c r="AB9091" s="2" t="s">
        <v>86</v>
      </c>
      <c r="AC9091" s="6">
        <v>182.94</v>
      </c>
    </row>
    <row r="9092" spans="1:29" ht="104" x14ac:dyDescent="0.15">
      <c r="A9092" s="3">
        <f>DATE(2008,6,27)</f>
        <v>39626</v>
      </c>
      <c r="B9092" s="2"/>
      <c r="C9092" s="2" t="s">
        <v>30</v>
      </c>
      <c r="D9092" s="2" t="s">
        <v>26874</v>
      </c>
      <c r="E9092" s="2" t="s">
        <v>6078</v>
      </c>
      <c r="F9092" s="4">
        <v>7011</v>
      </c>
      <c r="G9092" s="2" t="s">
        <v>269</v>
      </c>
      <c r="H9092" s="2" t="s">
        <v>34</v>
      </c>
      <c r="I9092" s="2" t="s">
        <v>26875</v>
      </c>
      <c r="J9092" s="2" t="s">
        <v>1620</v>
      </c>
      <c r="K9092" s="2" t="s">
        <v>53</v>
      </c>
      <c r="L9092" s="2" t="s">
        <v>34</v>
      </c>
      <c r="M9092" s="2"/>
      <c r="N9092" s="2"/>
      <c r="O9092" s="2"/>
      <c r="P9092" s="2" t="s">
        <v>26876</v>
      </c>
      <c r="Q9092" s="2"/>
      <c r="R9092" s="6">
        <v>9.5</v>
      </c>
      <c r="S9092" s="5">
        <v>2.7</v>
      </c>
      <c r="T9092" s="7">
        <v>27.943999999999999</v>
      </c>
      <c r="U9092" s="5">
        <v>9.8000000000000007</v>
      </c>
      <c r="V9092" s="6">
        <v>0.13</v>
      </c>
      <c r="W9092" s="5">
        <v>7.1</v>
      </c>
      <c r="X9092" s="6">
        <v>6.85</v>
      </c>
      <c r="Y9092" s="6">
        <v>7.05</v>
      </c>
      <c r="Z9092" s="6">
        <v>7.97</v>
      </c>
      <c r="AA9092" s="6">
        <v>18.23</v>
      </c>
      <c r="AB9092" s="7">
        <v>24.873000000000001</v>
      </c>
      <c r="AC9092" s="2"/>
    </row>
    <row r="9093" spans="1:29" ht="117" x14ac:dyDescent="0.15">
      <c r="A9093" s="3">
        <f>DATE(2008,6,30)</f>
        <v>39629</v>
      </c>
      <c r="B9093" s="3">
        <f>DATE(2008,10,20)</f>
        <v>39741</v>
      </c>
      <c r="C9093" s="2" t="s">
        <v>95</v>
      </c>
      <c r="D9093" s="2" t="s">
        <v>26877</v>
      </c>
      <c r="E9093" s="2" t="s">
        <v>26878</v>
      </c>
      <c r="F9093" s="4">
        <v>6331</v>
      </c>
      <c r="G9093" s="2" t="s">
        <v>125</v>
      </c>
      <c r="H9093" s="2" t="s">
        <v>34</v>
      </c>
      <c r="I9093" s="2" t="s">
        <v>26879</v>
      </c>
      <c r="J9093" s="2" t="s">
        <v>124</v>
      </c>
      <c r="K9093" s="2" t="s">
        <v>125</v>
      </c>
      <c r="L9093" s="2" t="s">
        <v>1791</v>
      </c>
      <c r="M9093" s="12">
        <v>2227.4450000000002</v>
      </c>
      <c r="N9093" s="6">
        <v>39.619999999999997</v>
      </c>
      <c r="O9093" s="6">
        <v>39.03</v>
      </c>
      <c r="P9093" s="2" t="s">
        <v>26880</v>
      </c>
      <c r="Q9093" s="6">
        <v>100</v>
      </c>
      <c r="R9093" s="6">
        <v>32</v>
      </c>
      <c r="S9093" s="2"/>
      <c r="T9093" s="2"/>
      <c r="U9093" s="2"/>
      <c r="V9093" s="2"/>
      <c r="W9093" s="6">
        <v>27.67</v>
      </c>
      <c r="X9093" s="5">
        <v>30.2</v>
      </c>
      <c r="Y9093" s="5">
        <v>30.8</v>
      </c>
      <c r="Z9093" s="6">
        <v>30.88</v>
      </c>
      <c r="AA9093" s="6">
        <v>17.010000000000002</v>
      </c>
      <c r="AB9093" s="2" t="s">
        <v>47</v>
      </c>
      <c r="AC9093" s="6">
        <v>524.42999999999995</v>
      </c>
    </row>
    <row r="9094" spans="1:29" ht="78" x14ac:dyDescent="0.15">
      <c r="A9094" s="3">
        <f>DATE(2008,7,1)</f>
        <v>39630</v>
      </c>
      <c r="B9094" s="2"/>
      <c r="C9094" s="2" t="s">
        <v>87</v>
      </c>
      <c r="D9094" s="2" t="s">
        <v>20621</v>
      </c>
      <c r="E9094" s="2" t="s">
        <v>20622</v>
      </c>
      <c r="F9094" s="4">
        <v>5461</v>
      </c>
      <c r="G9094" s="2" t="s">
        <v>1461</v>
      </c>
      <c r="H9094" s="2" t="s">
        <v>34</v>
      </c>
      <c r="I9094" s="2" t="s">
        <v>26881</v>
      </c>
      <c r="J9094" s="2" t="s">
        <v>4655</v>
      </c>
      <c r="K9094" s="2" t="s">
        <v>53</v>
      </c>
      <c r="L9094" s="2" t="s">
        <v>34</v>
      </c>
      <c r="M9094" s="2"/>
      <c r="N9094" s="2"/>
      <c r="O9094" s="2"/>
      <c r="P9094" s="2" t="s">
        <v>26882</v>
      </c>
      <c r="Q9094" s="2"/>
      <c r="R9094" s="6">
        <v>7.25</v>
      </c>
      <c r="S9094" s="5">
        <v>-55.6</v>
      </c>
      <c r="T9094" s="7">
        <v>23.251000000000001</v>
      </c>
      <c r="U9094" s="5">
        <v>1</v>
      </c>
      <c r="V9094" s="6">
        <v>-0.87</v>
      </c>
      <c r="W9094" s="6">
        <v>5.05</v>
      </c>
      <c r="X9094" s="6">
        <v>4.99</v>
      </c>
      <c r="Y9094" s="6">
        <v>5.21</v>
      </c>
      <c r="Z9094" s="5">
        <v>4.8</v>
      </c>
      <c r="AA9094" s="6">
        <v>65.86</v>
      </c>
      <c r="AB9094" s="7">
        <v>70.956999999999994</v>
      </c>
      <c r="AC9094" s="2"/>
    </row>
    <row r="9095" spans="1:29" ht="117" x14ac:dyDescent="0.15">
      <c r="A9095" s="3">
        <f>DATE(2008,7,1)</f>
        <v>39630</v>
      </c>
      <c r="B9095" s="3">
        <f>DATE(2008,9,4)</f>
        <v>39695</v>
      </c>
      <c r="C9095" s="2" t="s">
        <v>95</v>
      </c>
      <c r="D9095" s="2" t="s">
        <v>26883</v>
      </c>
      <c r="E9095" s="2" t="s">
        <v>26884</v>
      </c>
      <c r="F9095" s="4">
        <v>2834</v>
      </c>
      <c r="G9095" s="2" t="s">
        <v>130</v>
      </c>
      <c r="H9095" s="2" t="s">
        <v>34</v>
      </c>
      <c r="I9095" s="2" t="s">
        <v>26885</v>
      </c>
      <c r="J9095" s="2" t="s">
        <v>244</v>
      </c>
      <c r="K9095" s="2" t="s">
        <v>53</v>
      </c>
      <c r="L9095" s="2" t="s">
        <v>34</v>
      </c>
      <c r="M9095" s="2"/>
      <c r="N9095" s="2"/>
      <c r="O9095" s="2"/>
      <c r="P9095" s="2" t="s">
        <v>26886</v>
      </c>
      <c r="Q9095" s="6">
        <v>54.11</v>
      </c>
      <c r="R9095" s="6">
        <v>3.3</v>
      </c>
      <c r="S9095" s="5">
        <v>-36.6</v>
      </c>
      <c r="T9095" s="7">
        <v>-24.672999999999998</v>
      </c>
      <c r="U9095" s="5">
        <v>0</v>
      </c>
      <c r="V9095" s="6">
        <v>-0.71</v>
      </c>
      <c r="W9095" s="6">
        <v>3.56</v>
      </c>
      <c r="X9095" s="6">
        <v>3.38</v>
      </c>
      <c r="Y9095" s="6">
        <v>3.07</v>
      </c>
      <c r="Z9095" s="6">
        <v>1.52</v>
      </c>
      <c r="AA9095" s="6">
        <v>56.01</v>
      </c>
      <c r="AB9095" s="2" t="s">
        <v>86</v>
      </c>
      <c r="AC9095" s="2"/>
    </row>
    <row r="9096" spans="1:29" ht="117" x14ac:dyDescent="0.15">
      <c r="A9096" s="3">
        <f>DATE(2008,7,2)</f>
        <v>39631</v>
      </c>
      <c r="B9096" s="2"/>
      <c r="C9096" s="2" t="s">
        <v>7330</v>
      </c>
      <c r="D9096" s="2" t="s">
        <v>26887</v>
      </c>
      <c r="E9096" s="2" t="s">
        <v>26888</v>
      </c>
      <c r="F9096" s="4">
        <v>3845</v>
      </c>
      <c r="G9096" s="2" t="s">
        <v>226</v>
      </c>
      <c r="H9096" s="2" t="s">
        <v>34</v>
      </c>
      <c r="I9096" s="2" t="s">
        <v>26889</v>
      </c>
      <c r="J9096" s="2" t="s">
        <v>9451</v>
      </c>
      <c r="K9096" s="2" t="s">
        <v>53</v>
      </c>
      <c r="L9096" s="2" t="s">
        <v>34</v>
      </c>
      <c r="M9096" s="2"/>
      <c r="N9096" s="2"/>
      <c r="O9096" s="2"/>
      <c r="P9096" s="2" t="s">
        <v>26890</v>
      </c>
      <c r="Q9096" s="2"/>
      <c r="R9096" s="6">
        <v>2.25</v>
      </c>
      <c r="S9096" s="5">
        <v>-22.7</v>
      </c>
      <c r="T9096" s="7">
        <v>-26.975999999999999</v>
      </c>
      <c r="U9096" s="2"/>
      <c r="V9096" s="2"/>
      <c r="W9096" s="6">
        <v>1.62</v>
      </c>
      <c r="X9096" s="5">
        <v>1.5</v>
      </c>
      <c r="Y9096" s="6">
        <v>1.84</v>
      </c>
      <c r="Z9096" s="5">
        <v>1.9</v>
      </c>
      <c r="AA9096" s="6">
        <v>27.05</v>
      </c>
      <c r="AB9096" s="2" t="s">
        <v>86</v>
      </c>
      <c r="AC9096" s="2"/>
    </row>
    <row r="9097" spans="1:29" ht="130" x14ac:dyDescent="0.15">
      <c r="A9097" s="3">
        <f>DATE(2008,7,7)</f>
        <v>39636</v>
      </c>
      <c r="B9097" s="3">
        <f>DATE(2008,9,10)</f>
        <v>39701</v>
      </c>
      <c r="C9097" s="2" t="s">
        <v>95</v>
      </c>
      <c r="D9097" s="2" t="s">
        <v>26891</v>
      </c>
      <c r="E9097" s="2" t="s">
        <v>5597</v>
      </c>
      <c r="F9097" s="4">
        <v>2834</v>
      </c>
      <c r="G9097" s="2" t="s">
        <v>130</v>
      </c>
      <c r="H9097" s="2" t="s">
        <v>34</v>
      </c>
      <c r="I9097" s="2" t="s">
        <v>26892</v>
      </c>
      <c r="J9097" s="2" t="s">
        <v>4591</v>
      </c>
      <c r="K9097" s="2" t="s">
        <v>226</v>
      </c>
      <c r="L9097" s="2" t="s">
        <v>1049</v>
      </c>
      <c r="M9097" s="12">
        <v>4032.0529999999999</v>
      </c>
      <c r="N9097" s="7">
        <v>81.116</v>
      </c>
      <c r="O9097" s="7">
        <v>78.358000000000004</v>
      </c>
      <c r="P9097" s="2" t="s">
        <v>26893</v>
      </c>
      <c r="Q9097" s="6">
        <v>100</v>
      </c>
      <c r="R9097" s="6">
        <v>23</v>
      </c>
      <c r="S9097" s="5">
        <v>33.200000000000003</v>
      </c>
      <c r="T9097" s="7">
        <v>218.22800000000001</v>
      </c>
      <c r="U9097" s="5">
        <v>-0.3</v>
      </c>
      <c r="V9097" s="6">
        <v>0.5</v>
      </c>
      <c r="W9097" s="6">
        <v>16.72</v>
      </c>
      <c r="X9097" s="6">
        <v>17.82</v>
      </c>
      <c r="Y9097" s="6">
        <v>23.19</v>
      </c>
      <c r="Z9097" s="6">
        <v>23.21</v>
      </c>
      <c r="AA9097" s="6">
        <v>160.27000000000001</v>
      </c>
      <c r="AB9097" s="7">
        <v>23.942</v>
      </c>
      <c r="AC9097" s="6">
        <v>537.26</v>
      </c>
    </row>
    <row r="9098" spans="1:29" ht="78" x14ac:dyDescent="0.15">
      <c r="A9098" s="3">
        <f>DATE(2008,7,8)</f>
        <v>39637</v>
      </c>
      <c r="B9098" s="3">
        <f>DATE(2008,8,21)</f>
        <v>39681</v>
      </c>
      <c r="C9098" s="2" t="s">
        <v>95</v>
      </c>
      <c r="D9098" s="2" t="s">
        <v>26894</v>
      </c>
      <c r="E9098" s="2" t="s">
        <v>6711</v>
      </c>
      <c r="F9098" s="4">
        <v>2836</v>
      </c>
      <c r="G9098" s="2" t="s">
        <v>130</v>
      </c>
      <c r="H9098" s="2" t="s">
        <v>34</v>
      </c>
      <c r="I9098" s="2" t="s">
        <v>21448</v>
      </c>
      <c r="J9098" s="2" t="s">
        <v>5670</v>
      </c>
      <c r="K9098" s="2" t="s">
        <v>130</v>
      </c>
      <c r="L9098" s="2" t="s">
        <v>34</v>
      </c>
      <c r="M9098" s="12">
        <v>54506.569000000003</v>
      </c>
      <c r="N9098" s="6">
        <v>48.46</v>
      </c>
      <c r="O9098" s="6">
        <v>48.37</v>
      </c>
      <c r="P9098" s="2" t="s">
        <v>26895</v>
      </c>
      <c r="Q9098" s="6">
        <v>100</v>
      </c>
      <c r="R9098" s="6">
        <v>3</v>
      </c>
      <c r="S9098" s="5">
        <v>-14.4</v>
      </c>
      <c r="T9098" s="7">
        <v>-12.846</v>
      </c>
      <c r="U9098" s="5">
        <v>1.1000000000000001</v>
      </c>
      <c r="V9098" s="6">
        <v>-0.85</v>
      </c>
      <c r="W9098" s="6">
        <v>1.45</v>
      </c>
      <c r="X9098" s="6">
        <v>1.43</v>
      </c>
      <c r="Y9098" s="6">
        <v>1.37</v>
      </c>
      <c r="Z9098" s="6">
        <v>3.09</v>
      </c>
      <c r="AA9098" s="6">
        <v>20.65</v>
      </c>
      <c r="AB9098" s="2" t="s">
        <v>86</v>
      </c>
      <c r="AC9098" s="8">
        <v>5170</v>
      </c>
    </row>
    <row r="9099" spans="1:29" ht="104" x14ac:dyDescent="0.15">
      <c r="A9099" s="3">
        <f>DATE(2008,7,10)</f>
        <v>39639</v>
      </c>
      <c r="B9099" s="2"/>
      <c r="C9099" s="2" t="s">
        <v>30</v>
      </c>
      <c r="D9099" s="2" t="s">
        <v>26896</v>
      </c>
      <c r="E9099" s="2" t="s">
        <v>22200</v>
      </c>
      <c r="F9099" s="4">
        <v>4812</v>
      </c>
      <c r="G9099" s="2" t="s">
        <v>63</v>
      </c>
      <c r="H9099" s="2" t="s">
        <v>34</v>
      </c>
      <c r="I9099" s="2" t="s">
        <v>26897</v>
      </c>
      <c r="J9099" s="2" t="s">
        <v>23408</v>
      </c>
      <c r="K9099" s="2" t="s">
        <v>53</v>
      </c>
      <c r="L9099" s="2" t="s">
        <v>26898</v>
      </c>
      <c r="M9099" s="2"/>
      <c r="N9099" s="6">
        <v>9.2200000000000006</v>
      </c>
      <c r="O9099" s="6">
        <v>9.19</v>
      </c>
      <c r="P9099" s="2" t="s">
        <v>26899</v>
      </c>
      <c r="Q9099" s="2"/>
      <c r="R9099" s="6">
        <v>2.25</v>
      </c>
      <c r="S9099" s="2"/>
      <c r="T9099" s="2"/>
      <c r="U9099" s="2"/>
      <c r="V9099" s="2"/>
      <c r="W9099" s="6">
        <v>2.89</v>
      </c>
      <c r="X9099" s="6">
        <v>2.99</v>
      </c>
      <c r="Y9099" s="6">
        <v>2.85</v>
      </c>
      <c r="Z9099" s="6">
        <v>2.5499999999999998</v>
      </c>
      <c r="AA9099" s="6">
        <v>76.81</v>
      </c>
      <c r="AB9099" s="2" t="s">
        <v>47</v>
      </c>
      <c r="AC9099" s="2"/>
    </row>
    <row r="9100" spans="1:29" ht="117" x14ac:dyDescent="0.15">
      <c r="A9100" s="3">
        <f>DATE(2008,7,10)</f>
        <v>39639</v>
      </c>
      <c r="B9100" s="3">
        <f>DATE(2008,8,27)</f>
        <v>39687</v>
      </c>
      <c r="C9100" s="2" t="s">
        <v>95</v>
      </c>
      <c r="D9100" s="2" t="s">
        <v>2584</v>
      </c>
      <c r="E9100" s="2" t="s">
        <v>2585</v>
      </c>
      <c r="F9100" s="4">
        <v>3699</v>
      </c>
      <c r="G9100" s="2" t="s">
        <v>137</v>
      </c>
      <c r="H9100" s="2" t="s">
        <v>34</v>
      </c>
      <c r="I9100" s="2" t="s">
        <v>26900</v>
      </c>
      <c r="J9100" s="2" t="s">
        <v>26901</v>
      </c>
      <c r="K9100" s="2" t="s">
        <v>226</v>
      </c>
      <c r="L9100" s="2" t="s">
        <v>34</v>
      </c>
      <c r="M9100" s="7">
        <v>326.786</v>
      </c>
      <c r="N9100" s="6">
        <v>6.42</v>
      </c>
      <c r="O9100" s="6">
        <v>5.35</v>
      </c>
      <c r="P9100" s="2" t="s">
        <v>26902</v>
      </c>
      <c r="Q9100" s="6">
        <v>72.040000000000006</v>
      </c>
      <c r="R9100" s="6">
        <v>32</v>
      </c>
      <c r="S9100" s="5">
        <v>17.5</v>
      </c>
      <c r="T9100" s="7">
        <v>23.233000000000001</v>
      </c>
      <c r="U9100" s="5">
        <v>14.6</v>
      </c>
      <c r="V9100" s="6">
        <v>1.52</v>
      </c>
      <c r="W9100" s="6">
        <v>21.55</v>
      </c>
      <c r="X9100" s="6">
        <v>22.66</v>
      </c>
      <c r="Y9100" s="6">
        <v>30.86</v>
      </c>
      <c r="Z9100" s="6">
        <v>30.34</v>
      </c>
      <c r="AA9100" s="6">
        <v>10.86</v>
      </c>
      <c r="AB9100" s="7">
        <v>16.100000000000001</v>
      </c>
      <c r="AC9100" s="6">
        <v>186.57</v>
      </c>
    </row>
    <row r="9101" spans="1:29" ht="104" x14ac:dyDescent="0.15">
      <c r="A9101" s="3">
        <f>DATE(2008,7,10)</f>
        <v>39639</v>
      </c>
      <c r="B9101" s="3">
        <f>DATE(2009,4,1)</f>
        <v>39904</v>
      </c>
      <c r="C9101" s="2" t="s">
        <v>95</v>
      </c>
      <c r="D9101" s="2" t="s">
        <v>13511</v>
      </c>
      <c r="E9101" s="2" t="s">
        <v>13512</v>
      </c>
      <c r="F9101" s="4">
        <v>2821</v>
      </c>
      <c r="G9101" s="2" t="s">
        <v>98</v>
      </c>
      <c r="H9101" s="2" t="s">
        <v>34</v>
      </c>
      <c r="I9101" s="2" t="s">
        <v>2287</v>
      </c>
      <c r="J9101" s="2" t="s">
        <v>2288</v>
      </c>
      <c r="K9101" s="2" t="s">
        <v>98</v>
      </c>
      <c r="L9101" s="2" t="s">
        <v>34</v>
      </c>
      <c r="M9101" s="12">
        <v>35774.707999999999</v>
      </c>
      <c r="N9101" s="6">
        <v>32.520000000000003</v>
      </c>
      <c r="O9101" s="5">
        <v>31.7</v>
      </c>
      <c r="P9101" s="2" t="s">
        <v>26903</v>
      </c>
      <c r="Q9101" s="6">
        <v>100</v>
      </c>
      <c r="R9101" s="6">
        <v>78</v>
      </c>
      <c r="S9101" s="5">
        <v>482</v>
      </c>
      <c r="T9101" s="8">
        <v>1412</v>
      </c>
      <c r="U9101" s="5">
        <v>15.2</v>
      </c>
      <c r="V9101" s="6">
        <v>2.44</v>
      </c>
      <c r="W9101" s="6">
        <v>45.06</v>
      </c>
      <c r="X9101" s="6">
        <v>44.83</v>
      </c>
      <c r="Y9101" s="6">
        <v>73.62</v>
      </c>
      <c r="Z9101" s="5">
        <v>74.7</v>
      </c>
      <c r="AA9101" s="6">
        <v>195.99</v>
      </c>
      <c r="AB9101" s="7">
        <v>20.981999999999999</v>
      </c>
      <c r="AC9101" s="8">
        <v>2800</v>
      </c>
    </row>
    <row r="9102" spans="1:29" ht="143" x14ac:dyDescent="0.15">
      <c r="A9102" s="3">
        <f>DATE(2008,7,11)</f>
        <v>39640</v>
      </c>
      <c r="B9102" s="3">
        <f>DATE(2008,11,13)</f>
        <v>39765</v>
      </c>
      <c r="C9102" s="2" t="s">
        <v>95</v>
      </c>
      <c r="D9102" s="2" t="s">
        <v>7616</v>
      </c>
      <c r="E9102" s="2" t="s">
        <v>7617</v>
      </c>
      <c r="F9102" s="4">
        <v>2899</v>
      </c>
      <c r="G9102" s="2" t="s">
        <v>98</v>
      </c>
      <c r="H9102" s="2" t="s">
        <v>34</v>
      </c>
      <c r="I9102" s="2" t="s">
        <v>5593</v>
      </c>
      <c r="J9102" s="2" t="s">
        <v>26904</v>
      </c>
      <c r="K9102" s="2" t="s">
        <v>148</v>
      </c>
      <c r="L9102" s="2" t="s">
        <v>34</v>
      </c>
      <c r="M9102" s="12">
        <v>3393.346</v>
      </c>
      <c r="N9102" s="5">
        <v>41.1</v>
      </c>
      <c r="O9102" s="6">
        <v>41.12</v>
      </c>
      <c r="P9102" s="2" t="s">
        <v>26905</v>
      </c>
      <c r="Q9102" s="6">
        <v>100</v>
      </c>
      <c r="R9102" s="6">
        <v>23.01</v>
      </c>
      <c r="S9102" s="5">
        <v>135.6</v>
      </c>
      <c r="T9102" s="5">
        <v>356.6</v>
      </c>
      <c r="U9102" s="5">
        <v>5.0999999999999996</v>
      </c>
      <c r="V9102" s="6">
        <v>1.1499999999999999</v>
      </c>
      <c r="W9102" s="6">
        <v>16.16</v>
      </c>
      <c r="X9102" s="6">
        <v>16.66</v>
      </c>
      <c r="Y9102" s="6">
        <v>20.95</v>
      </c>
      <c r="Z9102" s="6">
        <v>20.52</v>
      </c>
      <c r="AA9102" s="6">
        <v>113.11</v>
      </c>
      <c r="AB9102" s="7">
        <v>13.079000000000001</v>
      </c>
      <c r="AC9102" s="5">
        <v>886</v>
      </c>
    </row>
    <row r="9103" spans="1:29" ht="91" x14ac:dyDescent="0.15">
      <c r="A9103" s="3">
        <f>DATE(2008,7,11)</f>
        <v>39640</v>
      </c>
      <c r="B9103" s="2"/>
      <c r="C9103" s="2" t="s">
        <v>30</v>
      </c>
      <c r="D9103" s="2" t="s">
        <v>2068</v>
      </c>
      <c r="E9103" s="2" t="s">
        <v>26906</v>
      </c>
      <c r="F9103" s="4">
        <v>6798</v>
      </c>
      <c r="G9103" s="2" t="s">
        <v>53</v>
      </c>
      <c r="H9103" s="2" t="s">
        <v>34</v>
      </c>
      <c r="I9103" s="2" t="s">
        <v>51</v>
      </c>
      <c r="J9103" s="2" t="s">
        <v>52</v>
      </c>
      <c r="K9103" s="2" t="s">
        <v>53</v>
      </c>
      <c r="L9103" s="2" t="s">
        <v>34</v>
      </c>
      <c r="M9103" s="2"/>
      <c r="N9103" s="2"/>
      <c r="O9103" s="2"/>
      <c r="P9103" s="2" t="s">
        <v>26907</v>
      </c>
      <c r="Q9103" s="2"/>
      <c r="R9103" s="6">
        <v>23</v>
      </c>
      <c r="S9103" s="5">
        <v>12.4</v>
      </c>
      <c r="T9103" s="7">
        <v>24.218</v>
      </c>
      <c r="U9103" s="5">
        <v>23.1</v>
      </c>
      <c r="V9103" s="6">
        <v>1.25</v>
      </c>
      <c r="W9103" s="6">
        <v>19.149999999999999</v>
      </c>
      <c r="X9103" s="5">
        <v>19.899999999999999</v>
      </c>
      <c r="Y9103" s="6">
        <v>20.05</v>
      </c>
      <c r="Z9103" s="6">
        <v>23.08</v>
      </c>
      <c r="AA9103" s="6">
        <v>8.26</v>
      </c>
      <c r="AB9103" s="7">
        <v>3.8159999999999998</v>
      </c>
      <c r="AC9103" s="2"/>
    </row>
    <row r="9104" spans="1:29" ht="208" x14ac:dyDescent="0.15">
      <c r="A9104" s="3">
        <f>DATE(2008,7,14)</f>
        <v>39643</v>
      </c>
      <c r="B9104" s="2"/>
      <c r="C9104" s="2" t="s">
        <v>30</v>
      </c>
      <c r="D9104" s="2" t="s">
        <v>20937</v>
      </c>
      <c r="E9104" s="2" t="s">
        <v>18348</v>
      </c>
      <c r="F9104" s="4">
        <v>1311</v>
      </c>
      <c r="G9104" s="2" t="s">
        <v>148</v>
      </c>
      <c r="H9104" s="2" t="s">
        <v>34</v>
      </c>
      <c r="I9104" s="2" t="s">
        <v>26908</v>
      </c>
      <c r="J9104" s="2" t="s">
        <v>5309</v>
      </c>
      <c r="K9104" s="2" t="s">
        <v>148</v>
      </c>
      <c r="L9104" s="2" t="s">
        <v>34</v>
      </c>
      <c r="M9104" s="2"/>
      <c r="N9104" s="2"/>
      <c r="O9104" s="2"/>
      <c r="P9104" s="2" t="s">
        <v>26909</v>
      </c>
      <c r="Q9104" s="2"/>
      <c r="R9104" s="2"/>
      <c r="S9104" s="5">
        <v>-42.3</v>
      </c>
      <c r="T9104" s="7">
        <v>132.94800000000001</v>
      </c>
      <c r="U9104" s="5">
        <v>13.5</v>
      </c>
      <c r="V9104" s="6">
        <v>-1.77</v>
      </c>
      <c r="W9104" s="6">
        <v>4.66</v>
      </c>
      <c r="X9104" s="6">
        <v>4.5199999999999996</v>
      </c>
      <c r="Y9104" s="6">
        <v>4.6900000000000004</v>
      </c>
      <c r="Z9104" s="6">
        <v>5.53</v>
      </c>
      <c r="AA9104" s="6">
        <v>28.66</v>
      </c>
      <c r="AB9104" s="2" t="s">
        <v>47</v>
      </c>
      <c r="AC9104" s="2"/>
    </row>
    <row r="9105" spans="1:29" ht="117" x14ac:dyDescent="0.15">
      <c r="A9105" s="3">
        <f>DATE(2008,7,14)</f>
        <v>39643</v>
      </c>
      <c r="B9105" s="2"/>
      <c r="C9105" s="2" t="s">
        <v>30</v>
      </c>
      <c r="D9105" s="2" t="s">
        <v>26844</v>
      </c>
      <c r="E9105" s="2" t="s">
        <v>1789</v>
      </c>
      <c r="F9105" s="4">
        <v>4953</v>
      </c>
      <c r="G9105" s="2" t="s">
        <v>116</v>
      </c>
      <c r="H9105" s="2" t="s">
        <v>34</v>
      </c>
      <c r="I9105" s="2" t="s">
        <v>534</v>
      </c>
      <c r="J9105" s="2" t="s">
        <v>5556</v>
      </c>
      <c r="K9105" s="2" t="s">
        <v>116</v>
      </c>
      <c r="L9105" s="2" t="s">
        <v>34</v>
      </c>
      <c r="M9105" s="12">
        <v>18876.382000000001</v>
      </c>
      <c r="N9105" s="6">
        <v>34.49</v>
      </c>
      <c r="O9105" s="6">
        <v>34.68</v>
      </c>
      <c r="P9105" s="2" t="s">
        <v>26910</v>
      </c>
      <c r="Q9105" s="2"/>
      <c r="R9105" s="6">
        <v>37</v>
      </c>
      <c r="S9105" s="5">
        <v>265.89999999999998</v>
      </c>
      <c r="T9105" s="5">
        <v>821.2</v>
      </c>
      <c r="U9105" s="5">
        <v>6.9</v>
      </c>
      <c r="V9105" s="6">
        <v>1.42</v>
      </c>
      <c r="W9105" s="6">
        <v>28.61</v>
      </c>
      <c r="X9105" s="5">
        <v>27.9</v>
      </c>
      <c r="Y9105" s="6">
        <v>31.76</v>
      </c>
      <c r="Z9105" s="6">
        <v>30.37</v>
      </c>
      <c r="AA9105" s="6">
        <v>181.92</v>
      </c>
      <c r="AB9105" s="7">
        <v>17.021000000000001</v>
      </c>
      <c r="AC9105" s="5">
        <v>210</v>
      </c>
    </row>
    <row r="9106" spans="1:29" ht="78" x14ac:dyDescent="0.15">
      <c r="A9106" s="3">
        <f>DATE(2008,7,15)</f>
        <v>39644</v>
      </c>
      <c r="B9106" s="3">
        <f>DATE(2009,2,13)</f>
        <v>39857</v>
      </c>
      <c r="C9106" s="2" t="s">
        <v>95</v>
      </c>
      <c r="D9106" s="2" t="s">
        <v>26911</v>
      </c>
      <c r="E9106" s="2" t="s">
        <v>159</v>
      </c>
      <c r="F9106" s="4">
        <v>6021</v>
      </c>
      <c r="G9106" s="2" t="s">
        <v>37</v>
      </c>
      <c r="H9106" s="2" t="s">
        <v>34</v>
      </c>
      <c r="I9106" s="2" t="s">
        <v>26912</v>
      </c>
      <c r="J9106" s="2" t="s">
        <v>36</v>
      </c>
      <c r="K9106" s="2" t="s">
        <v>37</v>
      </c>
      <c r="L9106" s="2" t="s">
        <v>34</v>
      </c>
      <c r="M9106" s="2"/>
      <c r="N9106" s="2"/>
      <c r="O9106" s="2"/>
      <c r="P9106" s="2" t="s">
        <v>26913</v>
      </c>
      <c r="Q9106" s="6">
        <v>100</v>
      </c>
      <c r="R9106" s="6">
        <v>21.1</v>
      </c>
      <c r="S9106" s="2"/>
      <c r="T9106" s="2"/>
      <c r="U9106" s="2"/>
      <c r="V9106" s="2"/>
      <c r="W9106" s="6">
        <v>16.82</v>
      </c>
      <c r="X9106" s="4">
        <v>17</v>
      </c>
      <c r="Y9106" s="5">
        <v>18.5</v>
      </c>
      <c r="Z9106" s="5">
        <v>18.5</v>
      </c>
      <c r="AA9106" s="6">
        <v>0.27</v>
      </c>
      <c r="AB9106" s="2" t="s">
        <v>47</v>
      </c>
      <c r="AC9106" s="2"/>
    </row>
    <row r="9107" spans="1:29" ht="130" x14ac:dyDescent="0.15">
      <c r="A9107" s="3">
        <f>DATE(2008,7,15)</f>
        <v>39644</v>
      </c>
      <c r="B9107" s="3">
        <f>DATE(2008,10,21)</f>
        <v>39742</v>
      </c>
      <c r="C9107" s="2" t="s">
        <v>95</v>
      </c>
      <c r="D9107" s="2" t="s">
        <v>26914</v>
      </c>
      <c r="E9107" s="2" t="s">
        <v>3812</v>
      </c>
      <c r="F9107" s="4">
        <v>2834</v>
      </c>
      <c r="G9107" s="2" t="s">
        <v>130</v>
      </c>
      <c r="H9107" s="2" t="s">
        <v>34</v>
      </c>
      <c r="I9107" s="2" t="s">
        <v>26915</v>
      </c>
      <c r="J9107" s="2" t="s">
        <v>26916</v>
      </c>
      <c r="K9107" s="2" t="s">
        <v>130</v>
      </c>
      <c r="L9107" s="2" t="s">
        <v>34</v>
      </c>
      <c r="M9107" s="7">
        <v>701.56700000000001</v>
      </c>
      <c r="N9107" s="6">
        <v>10.62</v>
      </c>
      <c r="O9107" s="6">
        <v>10.88</v>
      </c>
      <c r="P9107" s="2" t="s">
        <v>26917</v>
      </c>
      <c r="Q9107" s="6">
        <v>100</v>
      </c>
      <c r="R9107" s="6">
        <v>2.75</v>
      </c>
      <c r="S9107" s="5">
        <v>-35.9</v>
      </c>
      <c r="T9107" s="7">
        <v>-34.790999999999997</v>
      </c>
      <c r="U9107" s="5">
        <v>0</v>
      </c>
      <c r="V9107" s="6">
        <v>-0.27</v>
      </c>
      <c r="W9107" s="6">
        <v>1.91</v>
      </c>
      <c r="X9107" s="6">
        <v>1.85</v>
      </c>
      <c r="Y9107" s="6">
        <v>2.38</v>
      </c>
      <c r="Z9107" s="6">
        <v>2.39</v>
      </c>
      <c r="AA9107" s="6">
        <v>142.33000000000001</v>
      </c>
      <c r="AB9107" s="2" t="s">
        <v>86</v>
      </c>
      <c r="AC9107" s="6">
        <v>632.88</v>
      </c>
    </row>
    <row r="9108" spans="1:29" ht="78" x14ac:dyDescent="0.15">
      <c r="A9108" s="3">
        <f>DATE(2008,7,16)</f>
        <v>39645</v>
      </c>
      <c r="B9108" s="2"/>
      <c r="C9108" s="2" t="s">
        <v>30</v>
      </c>
      <c r="D9108" s="2" t="s">
        <v>26498</v>
      </c>
      <c r="E9108" s="2" t="s">
        <v>26499</v>
      </c>
      <c r="F9108" s="4">
        <v>3559</v>
      </c>
      <c r="G9108" s="2" t="s">
        <v>300</v>
      </c>
      <c r="H9108" s="2" t="s">
        <v>34</v>
      </c>
      <c r="I9108" s="2" t="s">
        <v>26918</v>
      </c>
      <c r="J9108" s="2" t="s">
        <v>26919</v>
      </c>
      <c r="K9108" s="2" t="s">
        <v>300</v>
      </c>
      <c r="L9108" s="2" t="s">
        <v>34</v>
      </c>
      <c r="M9108" s="2"/>
      <c r="N9108" s="2"/>
      <c r="O9108" s="2"/>
      <c r="P9108" s="2" t="s">
        <v>26920</v>
      </c>
      <c r="Q9108" s="2"/>
      <c r="R9108" s="6">
        <v>6.5</v>
      </c>
      <c r="S9108" s="5">
        <v>-23.9</v>
      </c>
      <c r="T9108" s="7">
        <v>-2.2240000000000002</v>
      </c>
      <c r="U9108" s="5">
        <v>1.5</v>
      </c>
      <c r="V9108" s="6">
        <v>-0.48</v>
      </c>
      <c r="W9108" s="6">
        <v>3.79</v>
      </c>
      <c r="X9108" s="6">
        <v>3.91</v>
      </c>
      <c r="Y9108" s="6">
        <v>5.03</v>
      </c>
      <c r="Z9108" s="6">
        <v>5.05</v>
      </c>
      <c r="AA9108" s="6">
        <v>50.17</v>
      </c>
      <c r="AB9108" s="2" t="s">
        <v>86</v>
      </c>
      <c r="AC9108" s="2"/>
    </row>
    <row r="9109" spans="1:29" ht="169" x14ac:dyDescent="0.15">
      <c r="A9109" s="3">
        <f>DATE(2008,7,16)</f>
        <v>39645</v>
      </c>
      <c r="B9109" s="2"/>
      <c r="C9109" s="2" t="s">
        <v>30</v>
      </c>
      <c r="D9109" s="2" t="s">
        <v>26921</v>
      </c>
      <c r="E9109" s="2" t="s">
        <v>11539</v>
      </c>
      <c r="F9109" s="4">
        <v>1221</v>
      </c>
      <c r="G9109" s="2" t="s">
        <v>166</v>
      </c>
      <c r="H9109" s="2" t="s">
        <v>34</v>
      </c>
      <c r="I9109" s="2" t="s">
        <v>25621</v>
      </c>
      <c r="J9109" s="2" t="s">
        <v>25622</v>
      </c>
      <c r="K9109" s="2" t="s">
        <v>166</v>
      </c>
      <c r="L9109" s="2" t="s">
        <v>34</v>
      </c>
      <c r="M9109" s="12">
        <v>4773.5140000000001</v>
      </c>
      <c r="N9109" s="6">
        <v>104.02</v>
      </c>
      <c r="O9109" s="6">
        <v>97.25</v>
      </c>
      <c r="P9109" s="2" t="s">
        <v>26922</v>
      </c>
      <c r="Q9109" s="2"/>
      <c r="R9109" s="6">
        <v>128.12</v>
      </c>
      <c r="S9109" s="5">
        <v>114.5</v>
      </c>
      <c r="T9109" s="7">
        <v>344.666</v>
      </c>
      <c r="U9109" s="5">
        <v>9.5</v>
      </c>
      <c r="V9109" s="6">
        <v>1.69</v>
      </c>
      <c r="W9109" s="6">
        <v>89.18</v>
      </c>
      <c r="X9109" s="6">
        <v>94.92</v>
      </c>
      <c r="Y9109" s="6">
        <v>104.93</v>
      </c>
      <c r="Z9109" s="5">
        <v>95.8</v>
      </c>
      <c r="AA9109" s="6">
        <v>70.3</v>
      </c>
      <c r="AB9109" s="7">
        <v>54.561999999999998</v>
      </c>
      <c r="AC9109" s="5">
        <v>478.3</v>
      </c>
    </row>
    <row r="9110" spans="1:29" ht="143" x14ac:dyDescent="0.15">
      <c r="A9110" s="3">
        <f>DATE(2008,7,16)</f>
        <v>39645</v>
      </c>
      <c r="B9110" s="3">
        <f>DATE(2008,9,4)</f>
        <v>39695</v>
      </c>
      <c r="C9110" s="2" t="s">
        <v>95</v>
      </c>
      <c r="D9110" s="2" t="s">
        <v>14233</v>
      </c>
      <c r="E9110" s="2" t="s">
        <v>26923</v>
      </c>
      <c r="F9110" s="4">
        <v>7373</v>
      </c>
      <c r="G9110" s="2" t="s">
        <v>223</v>
      </c>
      <c r="H9110" s="2" t="s">
        <v>34</v>
      </c>
      <c r="I9110" s="2" t="s">
        <v>21843</v>
      </c>
      <c r="J9110" s="2" t="s">
        <v>21844</v>
      </c>
      <c r="K9110" s="2" t="s">
        <v>223</v>
      </c>
      <c r="L9110" s="2" t="s">
        <v>34</v>
      </c>
      <c r="M9110" s="12">
        <v>1901.627</v>
      </c>
      <c r="N9110" s="6">
        <v>13.92</v>
      </c>
      <c r="O9110" s="6">
        <v>13.85</v>
      </c>
      <c r="P9110" s="2" t="s">
        <v>26924</v>
      </c>
      <c r="Q9110" s="6">
        <v>100</v>
      </c>
      <c r="R9110" s="6">
        <v>8.25</v>
      </c>
      <c r="S9110" s="5">
        <v>9.4</v>
      </c>
      <c r="T9110" s="7">
        <v>26.279</v>
      </c>
      <c r="U9110" s="5">
        <v>3</v>
      </c>
      <c r="V9110" s="6">
        <v>0.24</v>
      </c>
      <c r="W9110" s="6">
        <v>5.35</v>
      </c>
      <c r="X9110" s="6">
        <v>6.67</v>
      </c>
      <c r="Y9110" s="6">
        <v>8.14</v>
      </c>
      <c r="Z9110" s="6">
        <v>8.14</v>
      </c>
      <c r="AA9110" s="6">
        <v>39.06</v>
      </c>
      <c r="AB9110" s="7">
        <v>19.597000000000001</v>
      </c>
      <c r="AC9110" s="5">
        <v>54.9</v>
      </c>
    </row>
    <row r="9111" spans="1:29" ht="156" x14ac:dyDescent="0.15">
      <c r="A9111" s="3">
        <f>DATE(2008,7,17)</f>
        <v>39646</v>
      </c>
      <c r="B9111" s="3">
        <f>DATE(2008,10,10)</f>
        <v>39731</v>
      </c>
      <c r="C9111" s="2" t="s">
        <v>95</v>
      </c>
      <c r="D9111" s="2" t="s">
        <v>26925</v>
      </c>
      <c r="E9111" s="2" t="s">
        <v>207</v>
      </c>
      <c r="F9111" s="4">
        <v>3674</v>
      </c>
      <c r="G9111" s="2" t="s">
        <v>137</v>
      </c>
      <c r="H9111" s="2" t="s">
        <v>34</v>
      </c>
      <c r="I9111" s="2" t="s">
        <v>26313</v>
      </c>
      <c r="J9111" s="2" t="s">
        <v>4865</v>
      </c>
      <c r="K9111" s="2" t="s">
        <v>137</v>
      </c>
      <c r="L9111" s="2" t="s">
        <v>34</v>
      </c>
      <c r="M9111" s="12">
        <v>3768.2629999999999</v>
      </c>
      <c r="N9111" s="6">
        <v>9.26</v>
      </c>
      <c r="O9111" s="6">
        <v>9.2799999999999994</v>
      </c>
      <c r="P9111" s="2" t="s">
        <v>26926</v>
      </c>
      <c r="Q9111" s="6">
        <v>100</v>
      </c>
      <c r="R9111" s="6">
        <v>6.24</v>
      </c>
      <c r="S9111" s="5">
        <v>2.9</v>
      </c>
      <c r="T9111" s="7">
        <v>5.8029999999999999</v>
      </c>
      <c r="U9111" s="5">
        <v>3.7</v>
      </c>
      <c r="V9111" s="6">
        <v>0.17</v>
      </c>
      <c r="W9111" s="6">
        <v>4.05</v>
      </c>
      <c r="X9111" s="6">
        <v>4.0599999999999996</v>
      </c>
      <c r="Y9111" s="6">
        <v>6.45</v>
      </c>
      <c r="Z9111" s="6">
        <v>6.35</v>
      </c>
      <c r="AA9111" s="6">
        <v>15.34</v>
      </c>
      <c r="AB9111" s="7">
        <v>21.513999999999999</v>
      </c>
      <c r="AC9111" s="5">
        <v>321.2</v>
      </c>
    </row>
    <row r="9112" spans="1:29" ht="39" x14ac:dyDescent="0.15">
      <c r="A9112" s="3">
        <f>DATE(2008,7,17)</f>
        <v>39646</v>
      </c>
      <c r="B9112" s="2"/>
      <c r="C9112" s="2" t="s">
        <v>39</v>
      </c>
      <c r="D9112" s="2" t="s">
        <v>10078</v>
      </c>
      <c r="E9112" s="2" t="s">
        <v>10079</v>
      </c>
      <c r="F9112" s="4">
        <v>4924</v>
      </c>
      <c r="G9112" s="2" t="s">
        <v>439</v>
      </c>
      <c r="H9112" s="2" t="s">
        <v>34</v>
      </c>
      <c r="I9112" s="2" t="s">
        <v>143</v>
      </c>
      <c r="J9112" s="2" t="s">
        <v>144</v>
      </c>
      <c r="K9112" s="2" t="s">
        <v>53</v>
      </c>
      <c r="L9112" s="2" t="s">
        <v>139</v>
      </c>
      <c r="M9112" s="2"/>
      <c r="N9112" s="2"/>
      <c r="O9112" s="2"/>
      <c r="P9112" s="2" t="s">
        <v>26927</v>
      </c>
      <c r="Q9112" s="2"/>
      <c r="R9112" s="2"/>
      <c r="S9112" s="5">
        <v>222.8</v>
      </c>
      <c r="T9112" s="7">
        <v>649.63599999999997</v>
      </c>
      <c r="U9112" s="5">
        <v>17.3</v>
      </c>
      <c r="V9112" s="6">
        <v>1.69</v>
      </c>
      <c r="W9112" s="5">
        <v>25.4</v>
      </c>
      <c r="X9112" s="6">
        <v>25.13</v>
      </c>
      <c r="Y9112" s="6">
        <v>25.77</v>
      </c>
      <c r="Z9112" s="5">
        <v>25.8</v>
      </c>
      <c r="AA9112" s="6">
        <v>124</v>
      </c>
      <c r="AB9112" s="2" t="s">
        <v>47</v>
      </c>
      <c r="AC9112" s="2"/>
    </row>
    <row r="9113" spans="1:29" ht="143" x14ac:dyDescent="0.15">
      <c r="A9113" s="3">
        <f>DATE(2008,7,17)</f>
        <v>39646</v>
      </c>
      <c r="B9113" s="3">
        <f>DATE(2008,9,29)</f>
        <v>39720</v>
      </c>
      <c r="C9113" s="2" t="s">
        <v>95</v>
      </c>
      <c r="D9113" s="2" t="s">
        <v>26928</v>
      </c>
      <c r="E9113" s="2" t="s">
        <v>26929</v>
      </c>
      <c r="F9113" s="4">
        <v>3674</v>
      </c>
      <c r="G9113" s="2" t="s">
        <v>137</v>
      </c>
      <c r="H9113" s="2" t="s">
        <v>34</v>
      </c>
      <c r="I9113" s="2" t="s">
        <v>278</v>
      </c>
      <c r="J9113" s="2" t="s">
        <v>52</v>
      </c>
      <c r="K9113" s="2" t="s">
        <v>53</v>
      </c>
      <c r="L9113" s="2" t="s">
        <v>34</v>
      </c>
      <c r="M9113" s="2"/>
      <c r="N9113" s="2"/>
      <c r="O9113" s="2"/>
      <c r="P9113" s="2" t="s">
        <v>26930</v>
      </c>
      <c r="Q9113" s="6">
        <v>52.6</v>
      </c>
      <c r="R9113" s="6">
        <v>59.86</v>
      </c>
      <c r="S9113" s="5">
        <v>54.7</v>
      </c>
      <c r="T9113" s="7">
        <v>140.197</v>
      </c>
      <c r="U9113" s="5">
        <v>11.5</v>
      </c>
      <c r="V9113" s="6">
        <v>0.66</v>
      </c>
      <c r="W9113" s="6">
        <v>70.06</v>
      </c>
      <c r="X9113" s="6">
        <v>80.150000000000006</v>
      </c>
      <c r="Y9113" s="6">
        <v>75.319999999999993</v>
      </c>
      <c r="Z9113" s="5">
        <v>76.7</v>
      </c>
      <c r="AA9113" s="6">
        <v>84.67</v>
      </c>
      <c r="AB9113" s="7">
        <v>67.316999999999993</v>
      </c>
      <c r="AC9113" s="2"/>
    </row>
    <row r="9114" spans="1:29" ht="195" x14ac:dyDescent="0.15">
      <c r="A9114" s="3">
        <f>DATE(2008,7,18)</f>
        <v>39647</v>
      </c>
      <c r="B9114" s="3">
        <f>DATE(2008,12,23)</f>
        <v>39805</v>
      </c>
      <c r="C9114" s="2" t="s">
        <v>95</v>
      </c>
      <c r="D9114" s="2" t="s">
        <v>26931</v>
      </c>
      <c r="E9114" s="2" t="s">
        <v>2066</v>
      </c>
      <c r="F9114" s="4">
        <v>2834</v>
      </c>
      <c r="G9114" s="2" t="s">
        <v>130</v>
      </c>
      <c r="H9114" s="2" t="s">
        <v>34</v>
      </c>
      <c r="I9114" s="2" t="s">
        <v>7461</v>
      </c>
      <c r="J9114" s="2" t="s">
        <v>7462</v>
      </c>
      <c r="K9114" s="2" t="s">
        <v>130</v>
      </c>
      <c r="L9114" s="2" t="s">
        <v>4242</v>
      </c>
      <c r="M9114" s="12">
        <v>36795.911999999997</v>
      </c>
      <c r="N9114" s="7">
        <v>42.045999999999999</v>
      </c>
      <c r="O9114" s="7">
        <v>44.250999999999998</v>
      </c>
      <c r="P9114" s="2" t="s">
        <v>26932</v>
      </c>
      <c r="Q9114" s="6">
        <v>100</v>
      </c>
      <c r="R9114" s="6">
        <v>65.650000000000006</v>
      </c>
      <c r="S9114" s="5">
        <v>151.4</v>
      </c>
      <c r="T9114" s="7">
        <v>649.26900000000001</v>
      </c>
      <c r="U9114" s="5">
        <v>19.899999999999999</v>
      </c>
      <c r="V9114" s="6">
        <v>1.51</v>
      </c>
      <c r="W9114" s="6">
        <v>44.06</v>
      </c>
      <c r="X9114" s="6">
        <v>46.82</v>
      </c>
      <c r="Y9114" s="6">
        <v>57.17</v>
      </c>
      <c r="Z9114" s="6">
        <v>63.43</v>
      </c>
      <c r="AA9114" s="6">
        <v>108.06</v>
      </c>
      <c r="AB9114" s="7">
        <v>26.7</v>
      </c>
      <c r="AC9114" s="10">
        <v>3301.79</v>
      </c>
    </row>
    <row r="9115" spans="1:29" ht="117" x14ac:dyDescent="0.15">
      <c r="A9115" s="3">
        <f>DATE(2008,7,18)</f>
        <v>39647</v>
      </c>
      <c r="B9115" s="3">
        <f>DATE(2008,7,18)</f>
        <v>39647</v>
      </c>
      <c r="C9115" s="2" t="s">
        <v>95</v>
      </c>
      <c r="D9115" s="2" t="s">
        <v>26933</v>
      </c>
      <c r="E9115" s="2" t="s">
        <v>159</v>
      </c>
      <c r="F9115" s="4">
        <v>6021</v>
      </c>
      <c r="G9115" s="2" t="s">
        <v>37</v>
      </c>
      <c r="H9115" s="2" t="s">
        <v>34</v>
      </c>
      <c r="I9115" s="2" t="s">
        <v>26934</v>
      </c>
      <c r="J9115" s="2" t="s">
        <v>36</v>
      </c>
      <c r="K9115" s="2" t="s">
        <v>37</v>
      </c>
      <c r="L9115" s="2" t="s">
        <v>34</v>
      </c>
      <c r="M9115" s="7">
        <v>29.177</v>
      </c>
      <c r="N9115" s="5">
        <v>21.9</v>
      </c>
      <c r="O9115" s="6">
        <v>21.95</v>
      </c>
      <c r="P9115" s="2" t="s">
        <v>26935</v>
      </c>
      <c r="Q9115" s="6">
        <v>100</v>
      </c>
      <c r="R9115" s="6">
        <v>15.77</v>
      </c>
      <c r="S9115" s="2"/>
      <c r="T9115" s="2"/>
      <c r="U9115" s="2"/>
      <c r="V9115" s="2"/>
      <c r="W9115" s="4">
        <v>16</v>
      </c>
      <c r="X9115" s="6">
        <v>15.35</v>
      </c>
      <c r="Y9115" s="6">
        <v>15.35</v>
      </c>
      <c r="Z9115" s="6">
        <v>15.35</v>
      </c>
      <c r="AA9115" s="6">
        <v>1.43</v>
      </c>
      <c r="AB9115" s="2" t="s">
        <v>47</v>
      </c>
      <c r="AC9115" s="2"/>
    </row>
    <row r="9116" spans="1:29" ht="65" x14ac:dyDescent="0.15">
      <c r="A9116" s="3">
        <f>DATE(2008,7,21)</f>
        <v>39650</v>
      </c>
      <c r="B9116" s="2"/>
      <c r="C9116" s="2" t="s">
        <v>30</v>
      </c>
      <c r="D9116" s="2" t="s">
        <v>26936</v>
      </c>
      <c r="E9116" s="2" t="s">
        <v>26937</v>
      </c>
      <c r="F9116" s="4">
        <v>6531</v>
      </c>
      <c r="G9116" s="2" t="s">
        <v>109</v>
      </c>
      <c r="H9116" s="2" t="s">
        <v>34</v>
      </c>
      <c r="I9116" s="2" t="s">
        <v>25270</v>
      </c>
      <c r="J9116" s="2" t="s">
        <v>25271</v>
      </c>
      <c r="K9116" s="2" t="s">
        <v>269</v>
      </c>
      <c r="L9116" s="2" t="s">
        <v>34</v>
      </c>
      <c r="M9116" s="2"/>
      <c r="N9116" s="2"/>
      <c r="O9116" s="2"/>
      <c r="P9116" s="2" t="s">
        <v>26938</v>
      </c>
      <c r="Q9116" s="2"/>
      <c r="R9116" s="2"/>
      <c r="S9116" s="5">
        <v>27.3</v>
      </c>
      <c r="T9116" s="7">
        <v>70.998999999999995</v>
      </c>
      <c r="U9116" s="5">
        <v>12.5</v>
      </c>
      <c r="V9116" s="6">
        <v>0.87</v>
      </c>
      <c r="W9116" s="6">
        <v>6.33</v>
      </c>
      <c r="X9116" s="6">
        <v>6.27</v>
      </c>
      <c r="Y9116" s="6">
        <v>6.44</v>
      </c>
      <c r="Z9116" s="6">
        <v>12.04</v>
      </c>
      <c r="AA9116" s="6">
        <v>31.61</v>
      </c>
      <c r="AB9116" s="2" t="s">
        <v>47</v>
      </c>
      <c r="AC9116" s="2"/>
    </row>
    <row r="9117" spans="1:29" ht="91" x14ac:dyDescent="0.15">
      <c r="A9117" s="3">
        <f>DATE(2008,7,21)</f>
        <v>39650</v>
      </c>
      <c r="B9117" s="3">
        <f>DATE(2008,10,13)</f>
        <v>39734</v>
      </c>
      <c r="C9117" s="2" t="s">
        <v>95</v>
      </c>
      <c r="D9117" s="2" t="s">
        <v>26939</v>
      </c>
      <c r="E9117" s="2" t="s">
        <v>3780</v>
      </c>
      <c r="F9117" s="4">
        <v>6021</v>
      </c>
      <c r="G9117" s="2" t="s">
        <v>37</v>
      </c>
      <c r="H9117" s="2" t="s">
        <v>34</v>
      </c>
      <c r="I9117" s="2" t="s">
        <v>51</v>
      </c>
      <c r="J9117" s="2" t="s">
        <v>52</v>
      </c>
      <c r="K9117" s="2" t="s">
        <v>53</v>
      </c>
      <c r="L9117" s="2" t="s">
        <v>34</v>
      </c>
      <c r="M9117" s="2"/>
      <c r="N9117" s="2"/>
      <c r="O9117" s="2"/>
      <c r="P9117" s="2" t="s">
        <v>26940</v>
      </c>
      <c r="Q9117" s="6">
        <v>100</v>
      </c>
      <c r="R9117" s="6">
        <v>3.5</v>
      </c>
      <c r="S9117" s="2"/>
      <c r="T9117" s="2"/>
      <c r="U9117" s="2"/>
      <c r="V9117" s="2"/>
      <c r="W9117" s="4">
        <v>3</v>
      </c>
      <c r="X9117" s="4">
        <v>3</v>
      </c>
      <c r="Y9117" s="4">
        <v>3</v>
      </c>
      <c r="Z9117" s="4">
        <v>3</v>
      </c>
      <c r="AA9117" s="6">
        <v>0.78</v>
      </c>
      <c r="AB9117" s="2" t="s">
        <v>47</v>
      </c>
      <c r="AC9117" s="2"/>
    </row>
    <row r="9118" spans="1:29" ht="130" x14ac:dyDescent="0.15">
      <c r="A9118" s="3">
        <f>DATE(2008,7,21)</f>
        <v>39650</v>
      </c>
      <c r="B9118" s="3">
        <f>DATE(2008,12,19)</f>
        <v>39801</v>
      </c>
      <c r="C9118" s="2" t="s">
        <v>95</v>
      </c>
      <c r="D9118" s="2" t="s">
        <v>26941</v>
      </c>
      <c r="E9118" s="2" t="s">
        <v>26942</v>
      </c>
      <c r="F9118" s="4">
        <v>3577</v>
      </c>
      <c r="G9118" s="2" t="s">
        <v>50</v>
      </c>
      <c r="H9118" s="2" t="s">
        <v>34</v>
      </c>
      <c r="I9118" s="2" t="s">
        <v>24388</v>
      </c>
      <c r="J9118" s="2" t="s">
        <v>24389</v>
      </c>
      <c r="K9118" s="2" t="s">
        <v>551</v>
      </c>
      <c r="L9118" s="2" t="s">
        <v>34</v>
      </c>
      <c r="M9118" s="12">
        <v>3146.8330000000001</v>
      </c>
      <c r="N9118" s="6">
        <v>8.33</v>
      </c>
      <c r="O9118" s="5">
        <v>6.5</v>
      </c>
      <c r="P9118" s="2" t="s">
        <v>26943</v>
      </c>
      <c r="Q9118" s="6">
        <v>100</v>
      </c>
      <c r="R9118" s="6">
        <v>16.5</v>
      </c>
      <c r="S9118" s="5">
        <v>65.5</v>
      </c>
      <c r="T9118" s="7">
        <v>100.245</v>
      </c>
      <c r="U9118" s="5">
        <v>7.4</v>
      </c>
      <c r="V9118" s="6">
        <v>0.42</v>
      </c>
      <c r="W9118" s="6">
        <v>11.61</v>
      </c>
      <c r="X9118" s="6">
        <v>13.36</v>
      </c>
      <c r="Y9118" s="6">
        <v>13.66</v>
      </c>
      <c r="Z9118" s="6">
        <v>18.079999999999998</v>
      </c>
      <c r="AA9118" s="6">
        <v>145.87</v>
      </c>
      <c r="AB9118" s="7">
        <v>17.166</v>
      </c>
      <c r="AC9118" s="6">
        <v>606.63</v>
      </c>
    </row>
    <row r="9119" spans="1:29" ht="195" x14ac:dyDescent="0.15">
      <c r="A9119" s="3">
        <f>DATE(2008,7,21)</f>
        <v>39650</v>
      </c>
      <c r="B9119" s="3">
        <f>DATE(2009,3,26)</f>
        <v>39898</v>
      </c>
      <c r="C9119" s="2" t="s">
        <v>95</v>
      </c>
      <c r="D9119" s="2" t="s">
        <v>212</v>
      </c>
      <c r="E9119" s="2" t="s">
        <v>6711</v>
      </c>
      <c r="F9119" s="4">
        <v>2836</v>
      </c>
      <c r="G9119" s="2" t="s">
        <v>130</v>
      </c>
      <c r="H9119" s="2" t="s">
        <v>34</v>
      </c>
      <c r="I9119" s="2" t="s">
        <v>213</v>
      </c>
      <c r="J9119" s="2" t="s">
        <v>214</v>
      </c>
      <c r="K9119" s="2" t="s">
        <v>130</v>
      </c>
      <c r="L9119" s="2" t="s">
        <v>215</v>
      </c>
      <c r="M9119" s="12">
        <v>116544.663</v>
      </c>
      <c r="N9119" s="7">
        <v>168.142</v>
      </c>
      <c r="O9119" s="7">
        <v>171.95500000000001</v>
      </c>
      <c r="P9119" s="2" t="s">
        <v>26944</v>
      </c>
      <c r="Q9119" s="6">
        <v>47.82</v>
      </c>
      <c r="R9119" s="6">
        <v>95</v>
      </c>
      <c r="S9119" s="8">
        <v>3427</v>
      </c>
      <c r="T9119" s="8">
        <v>5661</v>
      </c>
      <c r="U9119" s="5">
        <v>14.9</v>
      </c>
      <c r="V9119" s="6">
        <v>3.21</v>
      </c>
      <c r="W9119" s="6">
        <v>75.39</v>
      </c>
      <c r="X9119" s="6">
        <v>81.819999999999993</v>
      </c>
      <c r="Y9119" s="6">
        <v>93.88</v>
      </c>
      <c r="Z9119" s="6">
        <v>93.55</v>
      </c>
      <c r="AA9119" s="10">
        <v>1053.4100000000001</v>
      </c>
      <c r="AB9119" s="7">
        <v>19.545000000000002</v>
      </c>
      <c r="AC9119" s="10">
        <v>19916.59</v>
      </c>
    </row>
    <row r="9120" spans="1:29" ht="169" x14ac:dyDescent="0.15">
      <c r="A9120" s="3">
        <f>DATE(2008,7,22)</f>
        <v>39651</v>
      </c>
      <c r="B9120" s="2"/>
      <c r="C9120" s="2" t="s">
        <v>30</v>
      </c>
      <c r="D9120" s="2" t="s">
        <v>26945</v>
      </c>
      <c r="E9120" s="2" t="s">
        <v>26946</v>
      </c>
      <c r="F9120" s="4">
        <v>1044</v>
      </c>
      <c r="G9120" s="2" t="s">
        <v>166</v>
      </c>
      <c r="H9120" s="2" t="s">
        <v>34</v>
      </c>
      <c r="I9120" s="2" t="s">
        <v>26947</v>
      </c>
      <c r="J9120" s="2" t="s">
        <v>1250</v>
      </c>
      <c r="K9120" s="2" t="s">
        <v>166</v>
      </c>
      <c r="L9120" s="2" t="s">
        <v>902</v>
      </c>
      <c r="M9120" s="7">
        <v>104.408</v>
      </c>
      <c r="N9120" s="7">
        <v>3.028</v>
      </c>
      <c r="O9120" s="7">
        <v>2.8679999999999999</v>
      </c>
      <c r="P9120" s="2" t="s">
        <v>26948</v>
      </c>
      <c r="Q9120" s="2"/>
      <c r="R9120" s="6">
        <v>1.58</v>
      </c>
      <c r="S9120" s="5">
        <v>-23.5</v>
      </c>
      <c r="T9120" s="7">
        <v>-22.783999999999999</v>
      </c>
      <c r="U9120" s="5">
        <v>0.6</v>
      </c>
      <c r="V9120" s="6">
        <v>-0.63</v>
      </c>
      <c r="W9120" s="6">
        <v>1.25</v>
      </c>
      <c r="X9120" s="6">
        <v>1.25</v>
      </c>
      <c r="Y9120" s="6">
        <v>1.25</v>
      </c>
      <c r="Z9120" s="6">
        <v>1.36</v>
      </c>
      <c r="AA9120" s="6">
        <v>39.44</v>
      </c>
      <c r="AB9120" s="2" t="s">
        <v>86</v>
      </c>
      <c r="AC9120" s="6">
        <v>10.94</v>
      </c>
    </row>
    <row r="9121" spans="1:29" ht="104" x14ac:dyDescent="0.15">
      <c r="A9121" s="3">
        <f>DATE(2008,7,23)</f>
        <v>39652</v>
      </c>
      <c r="B9121" s="3">
        <f>DATE(2008,12,1)</f>
        <v>39783</v>
      </c>
      <c r="C9121" s="2" t="s">
        <v>95</v>
      </c>
      <c r="D9121" s="2" t="s">
        <v>26949</v>
      </c>
      <c r="E9121" s="2" t="s">
        <v>13752</v>
      </c>
      <c r="F9121" s="4">
        <v>6331</v>
      </c>
      <c r="G9121" s="2" t="s">
        <v>125</v>
      </c>
      <c r="H9121" s="2" t="s">
        <v>34</v>
      </c>
      <c r="I9121" s="2" t="s">
        <v>26950</v>
      </c>
      <c r="J9121" s="2" t="s">
        <v>515</v>
      </c>
      <c r="K9121" s="2" t="s">
        <v>125</v>
      </c>
      <c r="L9121" s="2" t="s">
        <v>99</v>
      </c>
      <c r="M9121" s="12">
        <v>31920.771000000001</v>
      </c>
      <c r="N9121" s="7">
        <v>37.064</v>
      </c>
      <c r="O9121" s="6">
        <v>38.090000000000003</v>
      </c>
      <c r="P9121" s="2" t="s">
        <v>26951</v>
      </c>
      <c r="Q9121" s="6">
        <v>100</v>
      </c>
      <c r="R9121" s="6">
        <v>61.5</v>
      </c>
      <c r="S9121" s="5">
        <v>282</v>
      </c>
      <c r="T9121" s="2"/>
      <c r="U9121" s="5">
        <v>22.7</v>
      </c>
      <c r="V9121" s="6">
        <v>3.83</v>
      </c>
      <c r="W9121" s="6">
        <v>33.270000000000003</v>
      </c>
      <c r="X9121" s="6">
        <v>35.549999999999997</v>
      </c>
      <c r="Y9121" s="6">
        <v>58.43</v>
      </c>
      <c r="Z9121" s="6">
        <v>58.25</v>
      </c>
      <c r="AA9121" s="6">
        <v>71.430000000000007</v>
      </c>
      <c r="AB9121" s="7">
        <v>11.218</v>
      </c>
      <c r="AC9121" s="2"/>
    </row>
    <row r="9122" spans="1:29" ht="104" x14ac:dyDescent="0.15">
      <c r="A9122" s="3">
        <f>DATE(2008,7,24)</f>
        <v>39653</v>
      </c>
      <c r="B9122" s="3">
        <f>DATE(2008,10,30)</f>
        <v>39751</v>
      </c>
      <c r="C9122" s="2" t="s">
        <v>95</v>
      </c>
      <c r="D9122" s="2" t="s">
        <v>2427</v>
      </c>
      <c r="E9122" s="2" t="s">
        <v>2428</v>
      </c>
      <c r="F9122" s="4">
        <v>3841</v>
      </c>
      <c r="G9122" s="2" t="s">
        <v>226</v>
      </c>
      <c r="H9122" s="2" t="s">
        <v>34</v>
      </c>
      <c r="I9122" s="2" t="s">
        <v>23372</v>
      </c>
      <c r="J9122" s="2" t="s">
        <v>23373</v>
      </c>
      <c r="K9122" s="2" t="s">
        <v>226</v>
      </c>
      <c r="L9122" s="2" t="s">
        <v>34</v>
      </c>
      <c r="M9122" s="2"/>
      <c r="N9122" s="2"/>
      <c r="O9122" s="2"/>
      <c r="P9122" s="2" t="s">
        <v>26952</v>
      </c>
      <c r="Q9122" s="6">
        <v>100</v>
      </c>
      <c r="R9122" s="6">
        <v>74.5</v>
      </c>
      <c r="S9122" s="5">
        <v>22.3</v>
      </c>
      <c r="T9122" s="7">
        <v>49.697000000000003</v>
      </c>
      <c r="U9122" s="5">
        <v>24.9</v>
      </c>
      <c r="V9122" s="6">
        <v>1.64</v>
      </c>
      <c r="W9122" s="6">
        <v>58.35</v>
      </c>
      <c r="X9122" s="4">
        <v>58</v>
      </c>
      <c r="Y9122" s="6">
        <v>73.11</v>
      </c>
      <c r="Z9122" s="6">
        <v>73.150000000000006</v>
      </c>
      <c r="AA9122" s="6">
        <v>13.29</v>
      </c>
      <c r="AB9122" s="7">
        <v>20.733000000000001</v>
      </c>
      <c r="AC9122" s="2"/>
    </row>
    <row r="9123" spans="1:29" ht="117" x14ac:dyDescent="0.15">
      <c r="A9123" s="3">
        <f>DATE(2008,7,25)</f>
        <v>39654</v>
      </c>
      <c r="B9123" s="3">
        <f>DATE(2008,9,16)</f>
        <v>39707</v>
      </c>
      <c r="C9123" s="2" t="s">
        <v>95</v>
      </c>
      <c r="D9123" s="2" t="s">
        <v>26953</v>
      </c>
      <c r="E9123" s="2" t="s">
        <v>26954</v>
      </c>
      <c r="F9123" s="4">
        <v>4813</v>
      </c>
      <c r="G9123" s="2" t="s">
        <v>63</v>
      </c>
      <c r="H9123" s="2" t="s">
        <v>34</v>
      </c>
      <c r="I9123" s="2" t="s">
        <v>26955</v>
      </c>
      <c r="J9123" s="2" t="s">
        <v>244</v>
      </c>
      <c r="K9123" s="2" t="s">
        <v>53</v>
      </c>
      <c r="L9123" s="2" t="s">
        <v>34</v>
      </c>
      <c r="M9123" s="2"/>
      <c r="N9123" s="2"/>
      <c r="O9123" s="2"/>
      <c r="P9123" s="2" t="s">
        <v>26956</v>
      </c>
      <c r="Q9123" s="6">
        <v>23.17</v>
      </c>
      <c r="R9123" s="6">
        <v>0.01</v>
      </c>
      <c r="S9123" s="5">
        <v>-155.80000000000001</v>
      </c>
      <c r="T9123" s="7">
        <v>-50.302</v>
      </c>
      <c r="U9123" s="5">
        <v>5.3</v>
      </c>
      <c r="V9123" s="6">
        <v>-1.51</v>
      </c>
      <c r="W9123" s="6">
        <v>5.45</v>
      </c>
      <c r="X9123" s="4">
        <v>4</v>
      </c>
      <c r="Y9123" s="7">
        <v>4.7350000000000003</v>
      </c>
      <c r="Z9123" s="7">
        <v>4.7350000000000003</v>
      </c>
      <c r="AA9123" s="6">
        <v>107.92</v>
      </c>
      <c r="AB9123" s="2" t="s">
        <v>86</v>
      </c>
      <c r="AC9123" s="2"/>
    </row>
    <row r="9124" spans="1:29" ht="78" x14ac:dyDescent="0.15">
      <c r="A9124" s="3">
        <f>DATE(2008,7,28)</f>
        <v>39657</v>
      </c>
      <c r="B9124" s="3">
        <f>DATE(2008,10,1)</f>
        <v>39722</v>
      </c>
      <c r="C9124" s="2" t="s">
        <v>95</v>
      </c>
      <c r="D9124" s="2" t="s">
        <v>26957</v>
      </c>
      <c r="E9124" s="2" t="s">
        <v>13810</v>
      </c>
      <c r="F9124" s="4">
        <v>4924</v>
      </c>
      <c r="G9124" s="2" t="s">
        <v>439</v>
      </c>
      <c r="H9124" s="2" t="s">
        <v>34</v>
      </c>
      <c r="I9124" s="2" t="s">
        <v>13827</v>
      </c>
      <c r="J9124" s="2" t="s">
        <v>13828</v>
      </c>
      <c r="K9124" s="2" t="s">
        <v>439</v>
      </c>
      <c r="L9124" s="2" t="s">
        <v>34</v>
      </c>
      <c r="M9124" s="12">
        <v>14131.787</v>
      </c>
      <c r="N9124" s="6">
        <v>54.23</v>
      </c>
      <c r="O9124" s="6">
        <v>54.65</v>
      </c>
      <c r="P9124" s="2" t="s">
        <v>26958</v>
      </c>
      <c r="Q9124" s="6">
        <v>100</v>
      </c>
      <c r="R9124" s="6">
        <v>61.5</v>
      </c>
      <c r="S9124" s="5">
        <v>16.3</v>
      </c>
      <c r="T9124" s="7">
        <v>45.781999999999996</v>
      </c>
      <c r="U9124" s="5">
        <v>15.9</v>
      </c>
      <c r="V9124" s="6">
        <v>1.99</v>
      </c>
      <c r="W9124" s="6">
        <v>44.31</v>
      </c>
      <c r="X9124" s="6">
        <v>50.16</v>
      </c>
      <c r="Y9124" s="5">
        <v>59.6</v>
      </c>
      <c r="Z9124" s="4">
        <v>60</v>
      </c>
      <c r="AA9124" s="6">
        <v>8.11</v>
      </c>
      <c r="AB9124" s="7">
        <v>21.154</v>
      </c>
      <c r="AC9124" s="5">
        <v>928</v>
      </c>
    </row>
    <row r="9125" spans="1:29" ht="104" x14ac:dyDescent="0.15">
      <c r="A9125" s="3">
        <f>DATE(2008,7,28)</f>
        <v>39657</v>
      </c>
      <c r="B9125" s="3">
        <f>DATE(2009,2,2)</f>
        <v>39846</v>
      </c>
      <c r="C9125" s="2" t="s">
        <v>95</v>
      </c>
      <c r="D9125" s="2" t="s">
        <v>26959</v>
      </c>
      <c r="E9125" s="2" t="s">
        <v>26960</v>
      </c>
      <c r="F9125" s="4">
        <v>1629</v>
      </c>
      <c r="G9125" s="2" t="s">
        <v>341</v>
      </c>
      <c r="H9125" s="2" t="s">
        <v>34</v>
      </c>
      <c r="I9125" s="2" t="s">
        <v>26961</v>
      </c>
      <c r="J9125" s="2" t="s">
        <v>244</v>
      </c>
      <c r="K9125" s="2" t="s">
        <v>53</v>
      </c>
      <c r="L9125" s="2" t="s">
        <v>34</v>
      </c>
      <c r="M9125" s="2"/>
      <c r="N9125" s="2"/>
      <c r="O9125" s="2"/>
      <c r="P9125" s="2" t="s">
        <v>26962</v>
      </c>
      <c r="Q9125" s="6">
        <v>100</v>
      </c>
      <c r="R9125" s="6">
        <v>11.25</v>
      </c>
      <c r="S9125" s="5">
        <v>5</v>
      </c>
      <c r="T9125" s="7">
        <v>13.335000000000001</v>
      </c>
      <c r="U9125" s="5">
        <v>7.2</v>
      </c>
      <c r="V9125" s="6">
        <v>0.96</v>
      </c>
      <c r="W9125" s="5">
        <v>9.4</v>
      </c>
      <c r="X9125" s="6">
        <v>9.2100000000000009</v>
      </c>
      <c r="Y9125" s="6">
        <v>10.54</v>
      </c>
      <c r="Z9125" s="6">
        <v>10.49</v>
      </c>
      <c r="AA9125" s="6">
        <v>5.18</v>
      </c>
      <c r="AB9125" s="7">
        <v>6.3209999999999997</v>
      </c>
      <c r="AC9125" s="2"/>
    </row>
    <row r="9126" spans="1:29" ht="78" x14ac:dyDescent="0.15">
      <c r="A9126" s="3">
        <f>DATE(2008,7,30)</f>
        <v>39659</v>
      </c>
      <c r="B9126" s="2"/>
      <c r="C9126" s="2" t="s">
        <v>87</v>
      </c>
      <c r="D9126" s="2" t="s">
        <v>255</v>
      </c>
      <c r="E9126" s="2" t="s">
        <v>2288</v>
      </c>
      <c r="F9126" s="4">
        <v>2899</v>
      </c>
      <c r="G9126" s="2" t="s">
        <v>98</v>
      </c>
      <c r="H9126" s="2" t="s">
        <v>34</v>
      </c>
      <c r="I9126" s="2" t="s">
        <v>26963</v>
      </c>
      <c r="J9126" s="2" t="s">
        <v>26964</v>
      </c>
      <c r="K9126" s="2" t="s">
        <v>98</v>
      </c>
      <c r="L9126" s="2" t="s">
        <v>1049</v>
      </c>
      <c r="M9126" s="12">
        <v>63960.142</v>
      </c>
      <c r="N9126" s="6">
        <v>64.459999999999994</v>
      </c>
      <c r="O9126" s="7">
        <v>63.875</v>
      </c>
      <c r="P9126" s="2" t="s">
        <v>26965</v>
      </c>
      <c r="Q9126" s="2"/>
      <c r="R9126" s="2"/>
      <c r="S9126" s="5">
        <v>93.6</v>
      </c>
      <c r="T9126" s="5">
        <v>296.2</v>
      </c>
      <c r="U9126" s="5">
        <v>-4.7</v>
      </c>
      <c r="V9126" s="6">
        <v>1.29</v>
      </c>
      <c r="W9126" s="6">
        <v>23.92</v>
      </c>
      <c r="X9126" s="6">
        <v>23.52</v>
      </c>
      <c r="Y9126" s="5">
        <v>24.8</v>
      </c>
      <c r="Z9126" s="6">
        <v>25.77</v>
      </c>
      <c r="AA9126" s="6">
        <v>72.11</v>
      </c>
      <c r="AB9126" s="2" t="s">
        <v>47</v>
      </c>
      <c r="AC9126" s="10">
        <v>1451.08</v>
      </c>
    </row>
    <row r="9127" spans="1:29" ht="130" x14ac:dyDescent="0.15">
      <c r="A9127" s="3">
        <f>DATE(2008,7,31)</f>
        <v>39660</v>
      </c>
      <c r="B9127" s="2"/>
      <c r="C9127" s="2" t="s">
        <v>30</v>
      </c>
      <c r="D9127" s="2" t="s">
        <v>23713</v>
      </c>
      <c r="E9127" s="2" t="s">
        <v>6711</v>
      </c>
      <c r="F9127" s="4">
        <v>2836</v>
      </c>
      <c r="G9127" s="2" t="s">
        <v>130</v>
      </c>
      <c r="H9127" s="2" t="s">
        <v>34</v>
      </c>
      <c r="I9127" s="2" t="s">
        <v>629</v>
      </c>
      <c r="J9127" s="2" t="s">
        <v>630</v>
      </c>
      <c r="K9127" s="2" t="s">
        <v>130</v>
      </c>
      <c r="L9127" s="2" t="s">
        <v>34</v>
      </c>
      <c r="M9127" s="12">
        <v>41136.425999999999</v>
      </c>
      <c r="N9127" s="6">
        <v>21.12</v>
      </c>
      <c r="O9127" s="6">
        <v>21.11</v>
      </c>
      <c r="P9127" s="2" t="s">
        <v>26966</v>
      </c>
      <c r="Q9127" s="2"/>
      <c r="R9127" s="6">
        <v>62</v>
      </c>
      <c r="S9127" s="5">
        <v>-62</v>
      </c>
      <c r="T9127" s="7">
        <v>192.94499999999999</v>
      </c>
      <c r="U9127" s="5">
        <v>9.4</v>
      </c>
      <c r="V9127" s="6">
        <v>-0.71</v>
      </c>
      <c r="W9127" s="6">
        <v>45.18</v>
      </c>
      <c r="X9127" s="6">
        <v>46.44</v>
      </c>
      <c r="Y9127" s="6">
        <v>63.93</v>
      </c>
      <c r="Z9127" s="7">
        <v>65.335999999999999</v>
      </c>
      <c r="AA9127" s="6">
        <v>86.54</v>
      </c>
      <c r="AB9127" s="7">
        <v>32.853999999999999</v>
      </c>
      <c r="AC9127" s="8">
        <v>4402</v>
      </c>
    </row>
    <row r="9128" spans="1:29" ht="117" x14ac:dyDescent="0.15">
      <c r="A9128" s="3">
        <f>DATE(2008,7,31)</f>
        <v>39660</v>
      </c>
      <c r="B9128" s="3">
        <f>DATE(2008,12,31)</f>
        <v>39813</v>
      </c>
      <c r="C9128" s="2" t="s">
        <v>95</v>
      </c>
      <c r="D9128" s="2" t="s">
        <v>20072</v>
      </c>
      <c r="E9128" s="2" t="s">
        <v>20073</v>
      </c>
      <c r="F9128" s="4">
        <v>5963</v>
      </c>
      <c r="G9128" s="2" t="s">
        <v>73</v>
      </c>
      <c r="H9128" s="2" t="s">
        <v>34</v>
      </c>
      <c r="I9128" s="2" t="s">
        <v>20074</v>
      </c>
      <c r="J9128" s="2" t="s">
        <v>150</v>
      </c>
      <c r="K9128" s="2" t="s">
        <v>53</v>
      </c>
      <c r="L9128" s="2" t="s">
        <v>34</v>
      </c>
      <c r="M9128" s="2"/>
      <c r="N9128" s="2"/>
      <c r="O9128" s="2"/>
      <c r="P9128" s="2" t="s">
        <v>26967</v>
      </c>
      <c r="Q9128" s="6">
        <v>46</v>
      </c>
      <c r="R9128" s="6">
        <v>7</v>
      </c>
      <c r="S9128" s="5">
        <v>11.2</v>
      </c>
      <c r="T9128" s="7">
        <v>20.157</v>
      </c>
      <c r="U9128" s="5">
        <v>5.3</v>
      </c>
      <c r="V9128" s="6">
        <v>0.78</v>
      </c>
      <c r="W9128" s="6">
        <v>7.57</v>
      </c>
      <c r="X9128" s="6">
        <v>5.44</v>
      </c>
      <c r="Y9128" s="6">
        <v>8.35</v>
      </c>
      <c r="Z9128" s="5">
        <v>8.3000000000000007</v>
      </c>
      <c r="AA9128" s="6">
        <v>13.22</v>
      </c>
      <c r="AB9128" s="7">
        <v>5.2859999999999996</v>
      </c>
      <c r="AC9128" s="2"/>
    </row>
    <row r="9129" spans="1:29" ht="104" x14ac:dyDescent="0.15">
      <c r="A9129" s="3">
        <f>DATE(2008,8,4)</f>
        <v>39664</v>
      </c>
      <c r="B9129" s="3">
        <f>DATE(2008,10,31)</f>
        <v>39752</v>
      </c>
      <c r="C9129" s="2" t="s">
        <v>95</v>
      </c>
      <c r="D9129" s="2" t="s">
        <v>26276</v>
      </c>
      <c r="E9129" s="2" t="s">
        <v>24657</v>
      </c>
      <c r="F9129" s="4">
        <v>7379</v>
      </c>
      <c r="G9129" s="2" t="s">
        <v>223</v>
      </c>
      <c r="H9129" s="2" t="s">
        <v>34</v>
      </c>
      <c r="I9129" s="2" t="s">
        <v>26968</v>
      </c>
      <c r="J9129" s="2" t="s">
        <v>21844</v>
      </c>
      <c r="K9129" s="2" t="s">
        <v>223</v>
      </c>
      <c r="L9129" s="2" t="s">
        <v>17048</v>
      </c>
      <c r="M9129" s="2"/>
      <c r="N9129" s="2"/>
      <c r="O9129" s="2"/>
      <c r="P9129" s="2" t="s">
        <v>26969</v>
      </c>
      <c r="Q9129" s="6">
        <v>100</v>
      </c>
      <c r="R9129" s="6">
        <v>12.25</v>
      </c>
      <c r="S9129" s="5">
        <v>1.4</v>
      </c>
      <c r="T9129" s="7">
        <v>13.403</v>
      </c>
      <c r="U9129" s="5">
        <v>8.3000000000000007</v>
      </c>
      <c r="V9129" s="6">
        <v>-0.06</v>
      </c>
      <c r="W9129" s="6">
        <v>8.68</v>
      </c>
      <c r="X9129" s="6">
        <v>9.5299999999999994</v>
      </c>
      <c r="Y9129" s="6">
        <v>11.95</v>
      </c>
      <c r="Z9129" s="6">
        <v>11.95</v>
      </c>
      <c r="AA9129" s="6">
        <v>21.15</v>
      </c>
      <c r="AB9129" s="7">
        <v>51.988</v>
      </c>
      <c r="AC9129" s="2"/>
    </row>
    <row r="9130" spans="1:29" ht="78" x14ac:dyDescent="0.15">
      <c r="A9130" s="3">
        <f>DATE(2008,8,6)</f>
        <v>39666</v>
      </c>
      <c r="B9130" s="2"/>
      <c r="C9130" s="2" t="s">
        <v>30</v>
      </c>
      <c r="D9130" s="2" t="s">
        <v>26970</v>
      </c>
      <c r="E9130" s="2" t="s">
        <v>26971</v>
      </c>
      <c r="F9130" s="4">
        <v>3841</v>
      </c>
      <c r="G9130" s="2" t="s">
        <v>226</v>
      </c>
      <c r="H9130" s="2" t="s">
        <v>34</v>
      </c>
      <c r="I9130" s="2" t="s">
        <v>26972</v>
      </c>
      <c r="J9130" s="2" t="s">
        <v>13817</v>
      </c>
      <c r="K9130" s="2" t="s">
        <v>226</v>
      </c>
      <c r="L9130" s="2" t="s">
        <v>34</v>
      </c>
      <c r="M9130" s="7">
        <v>119.411</v>
      </c>
      <c r="N9130" s="6">
        <v>3.47</v>
      </c>
      <c r="O9130" s="7">
        <v>3.4540000000000002</v>
      </c>
      <c r="P9130" s="2" t="s">
        <v>26973</v>
      </c>
      <c r="Q9130" s="2"/>
      <c r="R9130" s="6">
        <v>2.2799999999999998</v>
      </c>
      <c r="S9130" s="5">
        <v>-7.1</v>
      </c>
      <c r="T9130" s="6">
        <v>-7.23</v>
      </c>
      <c r="U9130" s="5">
        <v>0.7</v>
      </c>
      <c r="V9130" s="6">
        <v>-0.61</v>
      </c>
      <c r="W9130" s="4">
        <v>3</v>
      </c>
      <c r="X9130" s="5">
        <v>2.7</v>
      </c>
      <c r="Y9130" s="5">
        <v>1.9</v>
      </c>
      <c r="Z9130" s="6">
        <v>2.0499999999999998</v>
      </c>
      <c r="AA9130" s="6">
        <v>11.81</v>
      </c>
      <c r="AB9130" s="2" t="s">
        <v>86</v>
      </c>
      <c r="AC9130" s="6">
        <v>18.21</v>
      </c>
    </row>
    <row r="9131" spans="1:29" ht="104" x14ac:dyDescent="0.15">
      <c r="A9131" s="3">
        <f>DATE(2008,8,11)</f>
        <v>39671</v>
      </c>
      <c r="B9131" s="2"/>
      <c r="C9131" s="2" t="s">
        <v>30</v>
      </c>
      <c r="D9131" s="2" t="s">
        <v>16513</v>
      </c>
      <c r="E9131" s="2" t="s">
        <v>16514</v>
      </c>
      <c r="F9131" s="4">
        <v>7372</v>
      </c>
      <c r="G9131" s="2" t="s">
        <v>551</v>
      </c>
      <c r="H9131" s="2" t="s">
        <v>34</v>
      </c>
      <c r="I9131" s="2" t="s">
        <v>22070</v>
      </c>
      <c r="J9131" s="2" t="s">
        <v>4679</v>
      </c>
      <c r="K9131" s="2" t="s">
        <v>551</v>
      </c>
      <c r="L9131" s="2" t="s">
        <v>34</v>
      </c>
      <c r="M9131" s="7">
        <v>562.67600000000004</v>
      </c>
      <c r="N9131" s="6">
        <v>18.739999999999998</v>
      </c>
      <c r="O9131" s="6">
        <v>19.059999999999999</v>
      </c>
      <c r="P9131" s="2" t="s">
        <v>26974</v>
      </c>
      <c r="Q9131" s="2"/>
      <c r="R9131" s="6">
        <v>14.86</v>
      </c>
      <c r="S9131" s="5">
        <v>96</v>
      </c>
      <c r="T9131" s="7">
        <v>192.947</v>
      </c>
      <c r="U9131" s="5">
        <v>0</v>
      </c>
      <c r="V9131" s="6">
        <v>3.51</v>
      </c>
      <c r="W9131" s="6">
        <v>13.84</v>
      </c>
      <c r="X9131" s="6">
        <v>14.16</v>
      </c>
      <c r="Y9131" s="6">
        <v>14.22</v>
      </c>
      <c r="Z9131" s="6">
        <v>14.34</v>
      </c>
      <c r="AA9131" s="6">
        <v>21.57</v>
      </c>
      <c r="AB9131" s="7">
        <v>1.9339999999999999</v>
      </c>
      <c r="AC9131" s="6">
        <v>124.54</v>
      </c>
    </row>
    <row r="9132" spans="1:29" ht="182" x14ac:dyDescent="0.15">
      <c r="A9132" s="3">
        <f>DATE(2008,8,12)</f>
        <v>39672</v>
      </c>
      <c r="B9132" s="3">
        <f>DATE(2008,10,30)</f>
        <v>39751</v>
      </c>
      <c r="C9132" s="2" t="s">
        <v>95</v>
      </c>
      <c r="D9132" s="2" t="s">
        <v>26975</v>
      </c>
      <c r="E9132" s="2" t="s">
        <v>8503</v>
      </c>
      <c r="F9132" s="4">
        <v>5912</v>
      </c>
      <c r="G9132" s="2" t="s">
        <v>73</v>
      </c>
      <c r="H9132" s="2" t="s">
        <v>34</v>
      </c>
      <c r="I9132" s="2" t="s">
        <v>26976</v>
      </c>
      <c r="J9132" s="2" t="s">
        <v>4794</v>
      </c>
      <c r="K9132" s="2" t="s">
        <v>73</v>
      </c>
      <c r="L9132" s="2" t="s">
        <v>34</v>
      </c>
      <c r="M9132" s="12">
        <v>54852.732000000004</v>
      </c>
      <c r="N9132" s="6">
        <v>38.049999999999997</v>
      </c>
      <c r="O9132" s="6">
        <v>38.03</v>
      </c>
      <c r="P9132" s="2" t="s">
        <v>26977</v>
      </c>
      <c r="Q9132" s="6">
        <v>100</v>
      </c>
      <c r="R9132" s="6">
        <v>71.5</v>
      </c>
      <c r="S9132" s="5">
        <v>107.6</v>
      </c>
      <c r="T9132" s="7">
        <v>280.06099999999998</v>
      </c>
      <c r="U9132" s="5">
        <v>23.8</v>
      </c>
      <c r="V9132" s="6">
        <v>2.83</v>
      </c>
      <c r="W9132" s="6">
        <v>54.73</v>
      </c>
      <c r="X9132" s="6">
        <v>55.11</v>
      </c>
      <c r="Y9132" s="6">
        <v>54.04</v>
      </c>
      <c r="Z9132" s="5">
        <v>70.7</v>
      </c>
      <c r="AA9132" s="6">
        <v>35.79</v>
      </c>
      <c r="AB9132" s="7">
        <v>16.026</v>
      </c>
      <c r="AC9132" s="5">
        <v>615.70000000000005</v>
      </c>
    </row>
    <row r="9133" spans="1:29" ht="91" x14ac:dyDescent="0.15">
      <c r="A9133" s="3">
        <f>DATE(2008,8,12)</f>
        <v>39672</v>
      </c>
      <c r="B9133" s="2"/>
      <c r="C9133" s="2" t="s">
        <v>30</v>
      </c>
      <c r="D9133" s="2" t="s">
        <v>26978</v>
      </c>
      <c r="E9133" s="2" t="s">
        <v>26979</v>
      </c>
      <c r="F9133" s="4">
        <v>7375</v>
      </c>
      <c r="G9133" s="2" t="s">
        <v>223</v>
      </c>
      <c r="H9133" s="2" t="s">
        <v>34</v>
      </c>
      <c r="I9133" s="2" t="s">
        <v>26980</v>
      </c>
      <c r="J9133" s="2" t="s">
        <v>26981</v>
      </c>
      <c r="K9133" s="2" t="s">
        <v>223</v>
      </c>
      <c r="L9133" s="2" t="s">
        <v>34</v>
      </c>
      <c r="M9133" s="7">
        <v>900.14599999999996</v>
      </c>
      <c r="N9133" s="6">
        <v>54.13</v>
      </c>
      <c r="O9133" s="6">
        <v>54.13</v>
      </c>
      <c r="P9133" s="2" t="s">
        <v>26982</v>
      </c>
      <c r="Q9133" s="2"/>
      <c r="R9133" s="6">
        <v>8.75</v>
      </c>
      <c r="S9133" s="5">
        <v>-1.3</v>
      </c>
      <c r="T9133" s="7">
        <v>3.653</v>
      </c>
      <c r="U9133" s="5">
        <v>7.3</v>
      </c>
      <c r="V9133" s="6">
        <v>-0.28000000000000003</v>
      </c>
      <c r="W9133" s="6">
        <v>4.75</v>
      </c>
      <c r="X9133" s="5">
        <v>4.9000000000000004</v>
      </c>
      <c r="Y9133" s="6">
        <v>4.4400000000000004</v>
      </c>
      <c r="Z9133" s="6">
        <v>7.15</v>
      </c>
      <c r="AA9133" s="6">
        <v>10.98</v>
      </c>
      <c r="AB9133" s="7">
        <v>85.858999999999995</v>
      </c>
      <c r="AC9133" s="6">
        <v>161.56</v>
      </c>
    </row>
    <row r="9134" spans="1:29" ht="130" x14ac:dyDescent="0.15">
      <c r="A9134" s="3">
        <f>DATE(2008,8,12)</f>
        <v>39672</v>
      </c>
      <c r="B9134" s="3">
        <f>DATE(2009,1,5)</f>
        <v>39818</v>
      </c>
      <c r="C9134" s="2" t="s">
        <v>95</v>
      </c>
      <c r="D9134" s="2" t="s">
        <v>26983</v>
      </c>
      <c r="E9134" s="2" t="s">
        <v>26984</v>
      </c>
      <c r="F9134" s="4">
        <v>3589</v>
      </c>
      <c r="G9134" s="2" t="s">
        <v>300</v>
      </c>
      <c r="H9134" s="2" t="s">
        <v>34</v>
      </c>
      <c r="I9134" s="2" t="s">
        <v>26985</v>
      </c>
      <c r="J9134" s="2" t="s">
        <v>26986</v>
      </c>
      <c r="K9134" s="2" t="s">
        <v>300</v>
      </c>
      <c r="L9134" s="2" t="s">
        <v>34</v>
      </c>
      <c r="M9134" s="7">
        <v>680.80100000000004</v>
      </c>
      <c r="N9134" s="6">
        <v>53.07</v>
      </c>
      <c r="O9134" s="6">
        <v>53.41</v>
      </c>
      <c r="P9134" s="2" t="s">
        <v>26987</v>
      </c>
      <c r="Q9134" s="6">
        <v>100</v>
      </c>
      <c r="R9134" s="6">
        <v>6.47</v>
      </c>
      <c r="S9134" s="5">
        <v>-16.899999999999999</v>
      </c>
      <c r="T9134" s="7">
        <v>-11.768000000000001</v>
      </c>
      <c r="U9134" s="5">
        <v>1</v>
      </c>
      <c r="V9134" s="6">
        <v>-0.56999999999999995</v>
      </c>
      <c r="W9134" s="6">
        <v>5.24</v>
      </c>
      <c r="X9134" s="5">
        <v>5.6</v>
      </c>
      <c r="Y9134" s="6">
        <v>5.98</v>
      </c>
      <c r="Z9134" s="6">
        <v>5.96</v>
      </c>
      <c r="AA9134" s="6">
        <v>30.39</v>
      </c>
      <c r="AB9134" s="2" t="s">
        <v>86</v>
      </c>
      <c r="AC9134" s="6">
        <v>7.05</v>
      </c>
    </row>
    <row r="9135" spans="1:29" ht="143" x14ac:dyDescent="0.15">
      <c r="A9135" s="3">
        <f>DATE(2008,8,12)</f>
        <v>39672</v>
      </c>
      <c r="B9135" s="3">
        <f>DATE(2008,11,4)</f>
        <v>39756</v>
      </c>
      <c r="C9135" s="2" t="s">
        <v>95</v>
      </c>
      <c r="D9135" s="2" t="s">
        <v>20204</v>
      </c>
      <c r="E9135" s="2" t="s">
        <v>3246</v>
      </c>
      <c r="F9135" s="4">
        <v>6021</v>
      </c>
      <c r="G9135" s="2" t="s">
        <v>37</v>
      </c>
      <c r="H9135" s="2" t="s">
        <v>34</v>
      </c>
      <c r="I9135" s="2" t="s">
        <v>26988</v>
      </c>
      <c r="J9135" s="2" t="s">
        <v>2855</v>
      </c>
      <c r="K9135" s="2" t="s">
        <v>37</v>
      </c>
      <c r="L9135" s="2" t="s">
        <v>99</v>
      </c>
      <c r="M9135" s="2"/>
      <c r="N9135" s="2"/>
      <c r="O9135" s="2"/>
      <c r="P9135" s="2" t="s">
        <v>26989</v>
      </c>
      <c r="Q9135" s="6">
        <v>38.880000000000003</v>
      </c>
      <c r="R9135" s="6">
        <v>73.5</v>
      </c>
      <c r="S9135" s="5">
        <v>504.8</v>
      </c>
      <c r="T9135" s="7">
        <v>905.39400000000001</v>
      </c>
      <c r="U9135" s="5">
        <v>34.1</v>
      </c>
      <c r="V9135" s="6">
        <v>3.7</v>
      </c>
      <c r="W9135" s="6">
        <v>57.16</v>
      </c>
      <c r="X9135" s="6">
        <v>58.18</v>
      </c>
      <c r="Y9135" s="5">
        <v>65.5</v>
      </c>
      <c r="Z9135" s="4">
        <v>65</v>
      </c>
      <c r="AA9135" s="6">
        <v>138.13</v>
      </c>
      <c r="AB9135" s="7">
        <v>28.491</v>
      </c>
      <c r="AC9135" s="2"/>
    </row>
    <row r="9136" spans="1:29" ht="91" x14ac:dyDescent="0.15">
      <c r="A9136" s="3">
        <f>DATE(2008,8,13)</f>
        <v>39673</v>
      </c>
      <c r="B9136" s="2"/>
      <c r="C9136" s="2" t="s">
        <v>30</v>
      </c>
      <c r="D9136" s="2" t="s">
        <v>26990</v>
      </c>
      <c r="E9136" s="2" t="s">
        <v>26991</v>
      </c>
      <c r="F9136" s="4">
        <v>3143</v>
      </c>
      <c r="G9136" s="2" t="s">
        <v>326</v>
      </c>
      <c r="H9136" s="2" t="s">
        <v>34</v>
      </c>
      <c r="I9136" s="2" t="s">
        <v>26992</v>
      </c>
      <c r="J9136" s="2" t="s">
        <v>23008</v>
      </c>
      <c r="K9136" s="2" t="s">
        <v>326</v>
      </c>
      <c r="L9136" s="2" t="s">
        <v>34</v>
      </c>
      <c r="M9136" s="7">
        <v>988.68100000000004</v>
      </c>
      <c r="N9136" s="6">
        <v>19.940000000000001</v>
      </c>
      <c r="O9136" s="6">
        <v>19.760000000000002</v>
      </c>
      <c r="P9136" s="2" t="s">
        <v>26993</v>
      </c>
      <c r="Q9136" s="2"/>
      <c r="R9136" s="6">
        <v>5.25</v>
      </c>
      <c r="S9136" s="5">
        <v>-0.3</v>
      </c>
      <c r="T9136" s="7">
        <v>-2.1240000000000001</v>
      </c>
      <c r="U9136" s="5">
        <v>4.3</v>
      </c>
      <c r="V9136" s="6">
        <v>-0.01</v>
      </c>
      <c r="W9136" s="6">
        <v>4.8099999999999996</v>
      </c>
      <c r="X9136" s="6">
        <v>4.8499999999999996</v>
      </c>
      <c r="Y9136" s="6">
        <v>4.87</v>
      </c>
      <c r="Z9136" s="6">
        <v>5.33</v>
      </c>
      <c r="AA9136" s="6">
        <v>27.32</v>
      </c>
      <c r="AB9136" s="2" t="s">
        <v>86</v>
      </c>
      <c r="AC9136" s="6">
        <v>145.62</v>
      </c>
    </row>
    <row r="9137" spans="1:29" ht="78" x14ac:dyDescent="0.15">
      <c r="A9137" s="3">
        <f>DATE(2008,8,13)</f>
        <v>39673</v>
      </c>
      <c r="B9137" s="2"/>
      <c r="C9137" s="2" t="s">
        <v>87</v>
      </c>
      <c r="D9137" s="2" t="s">
        <v>26994</v>
      </c>
      <c r="E9137" s="2" t="s">
        <v>26995</v>
      </c>
      <c r="F9137" s="4">
        <v>7011</v>
      </c>
      <c r="G9137" s="2" t="s">
        <v>269</v>
      </c>
      <c r="H9137" s="2" t="s">
        <v>34</v>
      </c>
      <c r="I9137" s="2" t="s">
        <v>26996</v>
      </c>
      <c r="J9137" s="2" t="s">
        <v>844</v>
      </c>
      <c r="K9137" s="2" t="s">
        <v>109</v>
      </c>
      <c r="L9137" s="2" t="s">
        <v>24613</v>
      </c>
      <c r="M9137" s="2"/>
      <c r="N9137" s="2"/>
      <c r="O9137" s="2"/>
      <c r="P9137" s="2" t="s">
        <v>26997</v>
      </c>
      <c r="Q9137" s="2"/>
      <c r="R9137" s="2"/>
      <c r="S9137" s="5">
        <v>-23.8</v>
      </c>
      <c r="T9137" s="6">
        <v>67.430000000000007</v>
      </c>
      <c r="U9137" s="5">
        <v>3.5</v>
      </c>
      <c r="V9137" s="6">
        <v>-0.73</v>
      </c>
      <c r="W9137" s="6">
        <v>14.19</v>
      </c>
      <c r="X9137" s="6">
        <v>16.73</v>
      </c>
      <c r="Y9137" s="6">
        <v>17.22</v>
      </c>
      <c r="Z9137" s="6">
        <v>16.75</v>
      </c>
      <c r="AA9137" s="6">
        <v>31.08</v>
      </c>
      <c r="AB9137" s="2" t="s">
        <v>47</v>
      </c>
      <c r="AC9137" s="2"/>
    </row>
    <row r="9138" spans="1:29" ht="130" x14ac:dyDescent="0.15">
      <c r="A9138" s="3">
        <f>DATE(2008,8,15)</f>
        <v>39675</v>
      </c>
      <c r="B9138" s="2"/>
      <c r="C9138" s="2" t="s">
        <v>30</v>
      </c>
      <c r="D9138" s="2" t="s">
        <v>16179</v>
      </c>
      <c r="E9138" s="2" t="s">
        <v>16180</v>
      </c>
      <c r="F9138" s="4">
        <v>3674</v>
      </c>
      <c r="G9138" s="2" t="s">
        <v>137</v>
      </c>
      <c r="H9138" s="2" t="s">
        <v>34</v>
      </c>
      <c r="I9138" s="2" t="s">
        <v>8179</v>
      </c>
      <c r="J9138" s="2" t="s">
        <v>207</v>
      </c>
      <c r="K9138" s="2" t="s">
        <v>137</v>
      </c>
      <c r="L9138" s="2" t="s">
        <v>34</v>
      </c>
      <c r="M9138" s="10">
        <v>1486.69</v>
      </c>
      <c r="N9138" s="6">
        <v>9.3699999999999992</v>
      </c>
      <c r="O9138" s="6">
        <v>8.7200000000000006</v>
      </c>
      <c r="P9138" s="2" t="s">
        <v>26998</v>
      </c>
      <c r="Q9138" s="2"/>
      <c r="R9138" s="6">
        <v>23</v>
      </c>
      <c r="S9138" s="5">
        <v>-62.6</v>
      </c>
      <c r="T9138" s="7">
        <v>6.7770000000000001</v>
      </c>
      <c r="U9138" s="5">
        <v>19.899999999999999</v>
      </c>
      <c r="V9138" s="6">
        <v>-0.86</v>
      </c>
      <c r="W9138" s="6">
        <v>18.559999999999999</v>
      </c>
      <c r="X9138" s="6">
        <v>18.82</v>
      </c>
      <c r="Y9138" s="6">
        <v>22.49</v>
      </c>
      <c r="Z9138" s="6">
        <v>22.34</v>
      </c>
      <c r="AA9138" s="6">
        <v>72.83</v>
      </c>
      <c r="AB9138" s="2" t="s">
        <v>86</v>
      </c>
      <c r="AC9138" s="6">
        <v>585.79</v>
      </c>
    </row>
    <row r="9139" spans="1:29" ht="130" x14ac:dyDescent="0.15">
      <c r="A9139" s="3">
        <f>DATE(2008,8,19)</f>
        <v>39679</v>
      </c>
      <c r="B9139" s="3">
        <f>DATE(2008,9,16)</f>
        <v>39707</v>
      </c>
      <c r="C9139" s="2" t="s">
        <v>95</v>
      </c>
      <c r="D9139" s="2" t="s">
        <v>26999</v>
      </c>
      <c r="E9139" s="2" t="s">
        <v>27000</v>
      </c>
      <c r="F9139" s="4">
        <v>3069</v>
      </c>
      <c r="G9139" s="2" t="s">
        <v>447</v>
      </c>
      <c r="H9139" s="2" t="s">
        <v>34</v>
      </c>
      <c r="I9139" s="2" t="s">
        <v>26999</v>
      </c>
      <c r="J9139" s="2" t="s">
        <v>11337</v>
      </c>
      <c r="K9139" s="2" t="s">
        <v>53</v>
      </c>
      <c r="L9139" s="2" t="s">
        <v>34</v>
      </c>
      <c r="M9139" s="2"/>
      <c r="N9139" s="2"/>
      <c r="O9139" s="2"/>
      <c r="P9139" s="2" t="s">
        <v>27001</v>
      </c>
      <c r="Q9139" s="6">
        <v>100</v>
      </c>
      <c r="R9139" s="6">
        <v>16.5</v>
      </c>
      <c r="S9139" s="5">
        <v>8.8000000000000007</v>
      </c>
      <c r="T9139" s="2"/>
      <c r="U9139" s="2"/>
      <c r="V9139" s="6">
        <v>1.6</v>
      </c>
      <c r="W9139" s="4">
        <v>11</v>
      </c>
      <c r="X9139" s="5">
        <v>10.5</v>
      </c>
      <c r="Y9139" s="5">
        <v>15.3</v>
      </c>
      <c r="Z9139" s="5">
        <v>15.2</v>
      </c>
      <c r="AA9139" s="6">
        <v>5.46</v>
      </c>
      <c r="AB9139" s="7">
        <v>6.29</v>
      </c>
      <c r="AC9139" s="2"/>
    </row>
    <row r="9140" spans="1:29" ht="130" x14ac:dyDescent="0.15">
      <c r="A9140" s="3">
        <f>DATE(2008,8,21)</f>
        <v>39681</v>
      </c>
      <c r="B9140" s="3">
        <f>DATE(2008,8,21)</f>
        <v>39681</v>
      </c>
      <c r="C9140" s="2" t="s">
        <v>95</v>
      </c>
      <c r="D9140" s="2" t="s">
        <v>27002</v>
      </c>
      <c r="E9140" s="2" t="s">
        <v>27003</v>
      </c>
      <c r="F9140" s="4">
        <v>7997</v>
      </c>
      <c r="G9140" s="2" t="s">
        <v>364</v>
      </c>
      <c r="H9140" s="2" t="s">
        <v>34</v>
      </c>
      <c r="I9140" s="2" t="s">
        <v>278</v>
      </c>
      <c r="J9140" s="2" t="s">
        <v>52</v>
      </c>
      <c r="K9140" s="2" t="s">
        <v>53</v>
      </c>
      <c r="L9140" s="2" t="s">
        <v>34</v>
      </c>
      <c r="M9140" s="2"/>
      <c r="N9140" s="2"/>
      <c r="O9140" s="2"/>
      <c r="P9140" s="2" t="s">
        <v>27004</v>
      </c>
      <c r="Q9140" s="6">
        <v>100</v>
      </c>
      <c r="R9140" s="6">
        <v>15.88</v>
      </c>
      <c r="S9140" s="5">
        <v>39.700000000000003</v>
      </c>
      <c r="T9140" s="7">
        <v>142.71299999999999</v>
      </c>
      <c r="U9140" s="5">
        <v>17.8</v>
      </c>
      <c r="V9140" s="2"/>
      <c r="W9140" s="4">
        <v>13</v>
      </c>
      <c r="X9140" s="6">
        <v>14.12</v>
      </c>
      <c r="Y9140" s="6">
        <v>15.88</v>
      </c>
      <c r="Z9140" s="6">
        <v>15.06</v>
      </c>
      <c r="AA9140" s="6">
        <v>55.92</v>
      </c>
      <c r="AB9140" s="7">
        <v>7.5629999999999997</v>
      </c>
      <c r="AC9140" s="2"/>
    </row>
    <row r="9141" spans="1:29" ht="117" x14ac:dyDescent="0.15">
      <c r="A9141" s="3">
        <f>DATE(2008,8,22)</f>
        <v>39682</v>
      </c>
      <c r="B9141" s="3">
        <f>DATE(2008,12,30)</f>
        <v>39812</v>
      </c>
      <c r="C9141" s="2" t="s">
        <v>95</v>
      </c>
      <c r="D9141" s="2" t="s">
        <v>13825</v>
      </c>
      <c r="E9141" s="2" t="s">
        <v>3812</v>
      </c>
      <c r="F9141" s="4">
        <v>2834</v>
      </c>
      <c r="G9141" s="2" t="s">
        <v>130</v>
      </c>
      <c r="H9141" s="2" t="s">
        <v>34</v>
      </c>
      <c r="I9141" s="2" t="s">
        <v>15843</v>
      </c>
      <c r="J9141" s="2" t="s">
        <v>7462</v>
      </c>
      <c r="K9141" s="2" t="s">
        <v>130</v>
      </c>
      <c r="L9141" s="2" t="s">
        <v>34</v>
      </c>
      <c r="M9141" s="12">
        <v>2800.125</v>
      </c>
      <c r="N9141" s="6">
        <v>12.19</v>
      </c>
      <c r="O9141" s="6">
        <v>11.68</v>
      </c>
      <c r="P9141" s="2" t="s">
        <v>27005</v>
      </c>
      <c r="Q9141" s="6">
        <v>100</v>
      </c>
      <c r="R9141" s="6">
        <v>37</v>
      </c>
      <c r="S9141" s="5">
        <v>-78.5</v>
      </c>
      <c r="T9141" s="7">
        <v>-35.048000000000002</v>
      </c>
      <c r="U9141" s="5">
        <v>18.899999999999999</v>
      </c>
      <c r="V9141" s="6">
        <v>-1.82</v>
      </c>
      <c r="W9141" s="6">
        <v>24.55</v>
      </c>
      <c r="X9141" s="6">
        <v>24.04</v>
      </c>
      <c r="Y9141" s="6">
        <v>34.51</v>
      </c>
      <c r="Z9141" s="4">
        <v>36</v>
      </c>
      <c r="AA9141" s="6">
        <v>43.15</v>
      </c>
      <c r="AB9141" s="2" t="s">
        <v>86</v>
      </c>
      <c r="AC9141" s="10">
        <v>1194.58</v>
      </c>
    </row>
    <row r="9142" spans="1:29" ht="143" x14ac:dyDescent="0.15">
      <c r="A9142" s="3">
        <f>DATE(2008,8,27)</f>
        <v>39687</v>
      </c>
      <c r="B9142" s="2"/>
      <c r="C9142" s="2" t="s">
        <v>30</v>
      </c>
      <c r="D9142" s="2" t="s">
        <v>27006</v>
      </c>
      <c r="E9142" s="2" t="s">
        <v>8974</v>
      </c>
      <c r="F9142" s="4">
        <v>1041</v>
      </c>
      <c r="G9142" s="2" t="s">
        <v>166</v>
      </c>
      <c r="H9142" s="2" t="s">
        <v>34</v>
      </c>
      <c r="I9142" s="2" t="s">
        <v>27007</v>
      </c>
      <c r="J9142" s="2" t="s">
        <v>1248</v>
      </c>
      <c r="K9142" s="2" t="s">
        <v>166</v>
      </c>
      <c r="L9142" s="2" t="s">
        <v>902</v>
      </c>
      <c r="M9142" s="7">
        <v>409.97500000000002</v>
      </c>
      <c r="N9142" s="7">
        <v>0.76400000000000001</v>
      </c>
      <c r="O9142" s="6">
        <v>0.78</v>
      </c>
      <c r="P9142" s="2" t="s">
        <v>27008</v>
      </c>
      <c r="Q9142" s="2"/>
      <c r="R9142" s="6">
        <v>1.03</v>
      </c>
      <c r="S9142" s="5">
        <v>-20.2</v>
      </c>
      <c r="T9142" s="7">
        <v>-18.326000000000001</v>
      </c>
      <c r="U9142" s="5">
        <v>3.1</v>
      </c>
      <c r="V9142" s="6">
        <v>-0.38</v>
      </c>
      <c r="W9142" s="6">
        <v>1.27</v>
      </c>
      <c r="X9142" s="6">
        <v>1.45</v>
      </c>
      <c r="Y9142" s="6">
        <v>1.51</v>
      </c>
      <c r="Z9142" s="5">
        <v>1.6</v>
      </c>
      <c r="AA9142" s="6">
        <v>54.81</v>
      </c>
      <c r="AB9142" s="2" t="s">
        <v>47</v>
      </c>
      <c r="AC9142" s="6">
        <v>21.31</v>
      </c>
    </row>
    <row r="9143" spans="1:29" ht="117" x14ac:dyDescent="0.15">
      <c r="A9143" s="3">
        <f>DATE(2008,8,27)</f>
        <v>39687</v>
      </c>
      <c r="B9143" s="3">
        <f>DATE(2008,10,31)</f>
        <v>39752</v>
      </c>
      <c r="C9143" s="2" t="s">
        <v>95</v>
      </c>
      <c r="D9143" s="2" t="s">
        <v>27009</v>
      </c>
      <c r="E9143" s="2" t="s">
        <v>27010</v>
      </c>
      <c r="F9143" s="4">
        <v>5045</v>
      </c>
      <c r="G9143" s="2" t="s">
        <v>76</v>
      </c>
      <c r="H9143" s="2" t="s">
        <v>34</v>
      </c>
      <c r="I9143" s="2" t="s">
        <v>27011</v>
      </c>
      <c r="J9143" s="2" t="s">
        <v>27012</v>
      </c>
      <c r="K9143" s="2" t="s">
        <v>50</v>
      </c>
      <c r="L9143" s="2" t="s">
        <v>99</v>
      </c>
      <c r="M9143" s="12">
        <v>11837.619000000001</v>
      </c>
      <c r="N9143" s="7">
        <v>15.763999999999999</v>
      </c>
      <c r="O9143" s="7">
        <v>16.238</v>
      </c>
      <c r="P9143" s="2" t="s">
        <v>27013</v>
      </c>
      <c r="Q9143" s="6">
        <v>100</v>
      </c>
      <c r="R9143" s="6">
        <v>17.25</v>
      </c>
      <c r="S9143" s="5">
        <v>97.2</v>
      </c>
      <c r="T9143" s="7">
        <v>280.67399999999998</v>
      </c>
      <c r="U9143" s="5">
        <v>15.5</v>
      </c>
      <c r="V9143" s="6">
        <v>0.92</v>
      </c>
      <c r="W9143" s="6">
        <v>15.49</v>
      </c>
      <c r="X9143" s="6">
        <v>15.56</v>
      </c>
      <c r="Y9143" s="6">
        <v>17.02</v>
      </c>
      <c r="Z9143" s="6">
        <v>17.39</v>
      </c>
      <c r="AA9143" s="6">
        <v>93.76</v>
      </c>
      <c r="AB9143" s="7">
        <v>11.445</v>
      </c>
      <c r="AC9143" s="10">
        <v>1661.92</v>
      </c>
    </row>
    <row r="9144" spans="1:29" ht="104" x14ac:dyDescent="0.15">
      <c r="A9144" s="3">
        <f>DATE(2008,8,27)</f>
        <v>39687</v>
      </c>
      <c r="B9144" s="2"/>
      <c r="C9144" s="2" t="s">
        <v>30</v>
      </c>
      <c r="D9144" s="2" t="s">
        <v>27014</v>
      </c>
      <c r="E9144" s="2" t="s">
        <v>27015</v>
      </c>
      <c r="F9144" s="4">
        <v>3851</v>
      </c>
      <c r="G9144" s="2" t="s">
        <v>226</v>
      </c>
      <c r="H9144" s="2" t="s">
        <v>34</v>
      </c>
      <c r="I9144" s="2" t="s">
        <v>27016</v>
      </c>
      <c r="J9144" s="2" t="s">
        <v>24835</v>
      </c>
      <c r="K9144" s="2" t="s">
        <v>53</v>
      </c>
      <c r="L9144" s="2" t="s">
        <v>34</v>
      </c>
      <c r="M9144" s="2"/>
      <c r="N9144" s="2"/>
      <c r="O9144" s="2"/>
      <c r="P9144" s="2" t="s">
        <v>27017</v>
      </c>
      <c r="Q9144" s="2"/>
      <c r="R9144" s="6">
        <v>3.9</v>
      </c>
      <c r="S9144" s="5">
        <v>-5.9</v>
      </c>
      <c r="T9144" s="6">
        <v>-3.12</v>
      </c>
      <c r="U9144" s="5">
        <v>2.7</v>
      </c>
      <c r="V9144" s="6">
        <v>-0.72</v>
      </c>
      <c r="W9144" s="4">
        <v>3</v>
      </c>
      <c r="X9144" s="7">
        <v>3.5859999999999999</v>
      </c>
      <c r="Y9144" s="5">
        <v>3.5</v>
      </c>
      <c r="Z9144" s="6">
        <v>3.65</v>
      </c>
      <c r="AA9144" s="6">
        <v>8.17</v>
      </c>
      <c r="AB9144" s="2" t="s">
        <v>86</v>
      </c>
      <c r="AC9144" s="2"/>
    </row>
    <row r="9145" spans="1:29" ht="117" x14ac:dyDescent="0.15">
      <c r="A9145" s="3">
        <f>DATE(2008,8,27)</f>
        <v>39687</v>
      </c>
      <c r="B9145" s="3">
        <f>DATE(2008,12,29)</f>
        <v>39811</v>
      </c>
      <c r="C9145" s="2" t="s">
        <v>95</v>
      </c>
      <c r="D9145" s="2" t="s">
        <v>27018</v>
      </c>
      <c r="E9145" s="2" t="s">
        <v>4572</v>
      </c>
      <c r="F9145" s="4">
        <v>7376</v>
      </c>
      <c r="G9145" s="2" t="s">
        <v>223</v>
      </c>
      <c r="H9145" s="2" t="s">
        <v>34</v>
      </c>
      <c r="I9145" s="2" t="s">
        <v>27019</v>
      </c>
      <c r="J9145" s="2" t="s">
        <v>4572</v>
      </c>
      <c r="K9145" s="2" t="s">
        <v>223</v>
      </c>
      <c r="L9145" s="2" t="s">
        <v>34</v>
      </c>
      <c r="M9145" s="2"/>
      <c r="N9145" s="2"/>
      <c r="O9145" s="2"/>
      <c r="P9145" s="2" t="s">
        <v>27020</v>
      </c>
      <c r="Q9145" s="6">
        <v>100</v>
      </c>
      <c r="R9145" s="6">
        <v>32</v>
      </c>
      <c r="S9145" s="5">
        <v>16.8</v>
      </c>
      <c r="T9145" s="7">
        <v>44.497</v>
      </c>
      <c r="U9145" s="5">
        <v>20.5</v>
      </c>
      <c r="V9145" s="6">
        <v>1.26</v>
      </c>
      <c r="W9145" s="6">
        <v>22.35</v>
      </c>
      <c r="X9145" s="6">
        <v>22.89</v>
      </c>
      <c r="Y9145" s="6">
        <v>31.05</v>
      </c>
      <c r="Z9145" s="6">
        <v>31.25</v>
      </c>
      <c r="AA9145" s="6">
        <v>13.28</v>
      </c>
      <c r="AB9145" s="7">
        <v>14.494</v>
      </c>
      <c r="AC9145" s="2"/>
    </row>
    <row r="9146" spans="1:29" ht="65" x14ac:dyDescent="0.15">
      <c r="A9146" s="3">
        <f>DATE(2008,8,28)</f>
        <v>39688</v>
      </c>
      <c r="B9146" s="3">
        <f>DATE(2008,8,28)</f>
        <v>39688</v>
      </c>
      <c r="C9146" s="2" t="s">
        <v>95</v>
      </c>
      <c r="D9146" s="2" t="s">
        <v>27021</v>
      </c>
      <c r="E9146" s="2" t="s">
        <v>1604</v>
      </c>
      <c r="F9146" s="4">
        <v>4813</v>
      </c>
      <c r="G9146" s="2" t="s">
        <v>63</v>
      </c>
      <c r="H9146" s="2" t="s">
        <v>34</v>
      </c>
      <c r="I9146" s="2" t="s">
        <v>27022</v>
      </c>
      <c r="J9146" s="2" t="s">
        <v>27023</v>
      </c>
      <c r="K9146" s="2" t="s">
        <v>223</v>
      </c>
      <c r="L9146" s="2" t="s">
        <v>34</v>
      </c>
      <c r="M9146" s="2"/>
      <c r="N9146" s="2"/>
      <c r="O9146" s="2"/>
      <c r="P9146" s="2" t="s">
        <v>27024</v>
      </c>
      <c r="Q9146" s="6">
        <v>51</v>
      </c>
      <c r="R9146" s="2"/>
      <c r="S9146" s="2"/>
      <c r="T9146" s="2"/>
      <c r="U9146" s="2"/>
      <c r="V9146" s="2"/>
      <c r="W9146" s="4">
        <v>100</v>
      </c>
      <c r="X9146" s="4">
        <v>100</v>
      </c>
      <c r="Y9146" s="4">
        <v>100</v>
      </c>
      <c r="Z9146" s="4">
        <v>100</v>
      </c>
      <c r="AA9146" s="6">
        <v>0.01</v>
      </c>
      <c r="AB9146" s="2" t="s">
        <v>47</v>
      </c>
      <c r="AC9146" s="2"/>
    </row>
    <row r="9147" spans="1:29" ht="104" x14ac:dyDescent="0.15">
      <c r="A9147" s="3">
        <f>DATE(2008,8,29)</f>
        <v>39689</v>
      </c>
      <c r="B9147" s="2"/>
      <c r="C9147" s="2" t="s">
        <v>7330</v>
      </c>
      <c r="D9147" s="2" t="s">
        <v>27025</v>
      </c>
      <c r="E9147" s="2" t="s">
        <v>27026</v>
      </c>
      <c r="F9147" s="4">
        <v>6722</v>
      </c>
      <c r="G9147" s="2" t="s">
        <v>53</v>
      </c>
      <c r="H9147" s="2" t="s">
        <v>34</v>
      </c>
      <c r="I9147" s="2" t="s">
        <v>27027</v>
      </c>
      <c r="J9147" s="2" t="s">
        <v>24835</v>
      </c>
      <c r="K9147" s="2" t="s">
        <v>53</v>
      </c>
      <c r="L9147" s="2" t="s">
        <v>34</v>
      </c>
      <c r="M9147" s="7">
        <v>38.555999999999997</v>
      </c>
      <c r="N9147" s="6">
        <v>17.260000000000002</v>
      </c>
      <c r="O9147" s="6">
        <v>17.260000000000002</v>
      </c>
      <c r="P9147" s="2" t="s">
        <v>27028</v>
      </c>
      <c r="Q9147" s="2"/>
      <c r="R9147" s="2"/>
      <c r="S9147" s="2"/>
      <c r="T9147" s="2"/>
      <c r="U9147" s="2"/>
      <c r="V9147" s="2"/>
      <c r="W9147" s="6">
        <v>13.74</v>
      </c>
      <c r="X9147" s="6">
        <v>13.87</v>
      </c>
      <c r="Y9147" s="6">
        <v>13.66</v>
      </c>
      <c r="Z9147" s="6">
        <v>13.66</v>
      </c>
      <c r="AA9147" s="6">
        <v>21.35</v>
      </c>
      <c r="AB9147" s="2" t="s">
        <v>47</v>
      </c>
      <c r="AC9147" s="2"/>
    </row>
    <row r="9148" spans="1:29" ht="91" x14ac:dyDescent="0.15">
      <c r="A9148" s="3">
        <f>DATE(2008,8,29)</f>
        <v>39689</v>
      </c>
      <c r="B9148" s="2"/>
      <c r="C9148" s="2" t="s">
        <v>7330</v>
      </c>
      <c r="D9148" s="2" t="s">
        <v>27029</v>
      </c>
      <c r="E9148" s="2" t="s">
        <v>386</v>
      </c>
      <c r="F9148" s="4">
        <v>6726</v>
      </c>
      <c r="G9148" s="2" t="s">
        <v>53</v>
      </c>
      <c r="H9148" s="2" t="s">
        <v>34</v>
      </c>
      <c r="I9148" s="2" t="s">
        <v>27027</v>
      </c>
      <c r="J9148" s="2" t="s">
        <v>24835</v>
      </c>
      <c r="K9148" s="2" t="s">
        <v>53</v>
      </c>
      <c r="L9148" s="2" t="s">
        <v>34</v>
      </c>
      <c r="M9148" s="7">
        <v>38.555999999999997</v>
      </c>
      <c r="N9148" s="6">
        <v>17.260000000000002</v>
      </c>
      <c r="O9148" s="6">
        <v>17.260000000000002</v>
      </c>
      <c r="P9148" s="2" t="s">
        <v>27030</v>
      </c>
      <c r="Q9148" s="2"/>
      <c r="R9148" s="2"/>
      <c r="S9148" s="2"/>
      <c r="T9148" s="2"/>
      <c r="U9148" s="2"/>
      <c r="V9148" s="2"/>
      <c r="W9148" s="6">
        <v>13.75</v>
      </c>
      <c r="X9148" s="6">
        <v>13.86</v>
      </c>
      <c r="Y9148" s="6">
        <v>13.71</v>
      </c>
      <c r="Z9148" s="6">
        <v>13.71</v>
      </c>
      <c r="AA9148" s="6">
        <v>17.57</v>
      </c>
      <c r="AB9148" s="2" t="s">
        <v>47</v>
      </c>
      <c r="AC9148" s="2"/>
    </row>
    <row r="9149" spans="1:29" ht="182" x14ac:dyDescent="0.15">
      <c r="A9149" s="3">
        <f>DATE(2008,8,29)</f>
        <v>39689</v>
      </c>
      <c r="B9149" s="3">
        <f>DATE(2008,10,24)</f>
        <v>39745</v>
      </c>
      <c r="C9149" s="2" t="s">
        <v>95</v>
      </c>
      <c r="D9149" s="2" t="s">
        <v>26808</v>
      </c>
      <c r="E9149" s="2" t="s">
        <v>26809</v>
      </c>
      <c r="F9149" s="4">
        <v>8742</v>
      </c>
      <c r="G9149" s="2" t="s">
        <v>223</v>
      </c>
      <c r="H9149" s="2" t="s">
        <v>34</v>
      </c>
      <c r="I9149" s="2" t="s">
        <v>27031</v>
      </c>
      <c r="J9149" s="2" t="s">
        <v>11337</v>
      </c>
      <c r="K9149" s="2" t="s">
        <v>53</v>
      </c>
      <c r="L9149" s="2" t="s">
        <v>34</v>
      </c>
      <c r="M9149" s="2"/>
      <c r="N9149" s="2"/>
      <c r="O9149" s="2"/>
      <c r="P9149" s="2" t="s">
        <v>27032</v>
      </c>
      <c r="Q9149" s="6">
        <v>100</v>
      </c>
      <c r="R9149" s="6">
        <v>17.5</v>
      </c>
      <c r="S9149" s="5">
        <v>9.9</v>
      </c>
      <c r="T9149" s="7">
        <v>25.986000000000001</v>
      </c>
      <c r="U9149" s="5">
        <v>7</v>
      </c>
      <c r="V9149" s="6">
        <v>0.36</v>
      </c>
      <c r="W9149" s="5">
        <v>16.2</v>
      </c>
      <c r="X9149" s="6">
        <v>17.25</v>
      </c>
      <c r="Y9149" s="6">
        <v>17.350000000000001</v>
      </c>
      <c r="Z9149" s="6">
        <v>17.350000000000001</v>
      </c>
      <c r="AA9149" s="6">
        <v>26.34</v>
      </c>
      <c r="AB9149" s="7">
        <v>32.686</v>
      </c>
      <c r="AC9149" s="2"/>
    </row>
    <row r="9150" spans="1:29" ht="117" x14ac:dyDescent="0.15">
      <c r="A9150" s="3">
        <f>DATE(2008,9,1)</f>
        <v>39692</v>
      </c>
      <c r="B9150" s="3">
        <f>DATE(2008,10,9)</f>
        <v>39730</v>
      </c>
      <c r="C9150" s="2" t="s">
        <v>95</v>
      </c>
      <c r="D9150" s="2" t="s">
        <v>27033</v>
      </c>
      <c r="E9150" s="2" t="s">
        <v>27034</v>
      </c>
      <c r="F9150" s="4">
        <v>2834</v>
      </c>
      <c r="G9150" s="2" t="s">
        <v>130</v>
      </c>
      <c r="H9150" s="2" t="s">
        <v>34</v>
      </c>
      <c r="I9150" s="2" t="s">
        <v>27035</v>
      </c>
      <c r="J9150" s="2" t="s">
        <v>13693</v>
      </c>
      <c r="K9150" s="2" t="s">
        <v>130</v>
      </c>
      <c r="L9150" s="2" t="s">
        <v>99</v>
      </c>
      <c r="M9150" s="12">
        <v>7105.5879999999997</v>
      </c>
      <c r="N9150" s="7">
        <v>22.771999999999998</v>
      </c>
      <c r="O9150" s="7">
        <v>21.998000000000001</v>
      </c>
      <c r="P9150" s="2" t="s">
        <v>27036</v>
      </c>
      <c r="Q9150" s="6">
        <v>100</v>
      </c>
      <c r="R9150" s="6">
        <v>31</v>
      </c>
      <c r="S9150" s="5">
        <v>41</v>
      </c>
      <c r="T9150" s="7">
        <v>104.333</v>
      </c>
      <c r="U9150" s="5">
        <v>11.9</v>
      </c>
      <c r="V9150" s="6">
        <v>1.1499999999999999</v>
      </c>
      <c r="W9150" s="6">
        <v>18.87</v>
      </c>
      <c r="X9150" s="6">
        <v>19.27</v>
      </c>
      <c r="Y9150" s="6">
        <v>19.27</v>
      </c>
      <c r="Z9150" s="6">
        <v>30.67</v>
      </c>
      <c r="AA9150" s="6">
        <v>31.64</v>
      </c>
      <c r="AB9150" s="7">
        <v>17.396999999999998</v>
      </c>
      <c r="AC9150" s="6">
        <v>701.19</v>
      </c>
    </row>
    <row r="9151" spans="1:29" ht="91" x14ac:dyDescent="0.15">
      <c r="A9151" s="3">
        <f>DATE(2008,9,2)</f>
        <v>39693</v>
      </c>
      <c r="B9151" s="3">
        <f>DATE(2008,11,17)</f>
        <v>39769</v>
      </c>
      <c r="C9151" s="2" t="s">
        <v>95</v>
      </c>
      <c r="D9151" s="2" t="s">
        <v>27037</v>
      </c>
      <c r="E9151" s="2" t="s">
        <v>21695</v>
      </c>
      <c r="F9151" s="4">
        <v>3825</v>
      </c>
      <c r="G9151" s="2" t="s">
        <v>226</v>
      </c>
      <c r="H9151" s="2" t="s">
        <v>34</v>
      </c>
      <c r="I9151" s="2" t="s">
        <v>6748</v>
      </c>
      <c r="J9151" s="2" t="s">
        <v>6749</v>
      </c>
      <c r="K9151" s="2" t="s">
        <v>226</v>
      </c>
      <c r="L9151" s="2" t="s">
        <v>34</v>
      </c>
      <c r="M9151" s="12">
        <v>1610.942</v>
      </c>
      <c r="N9151" s="6">
        <v>9.31</v>
      </c>
      <c r="O9151" s="6">
        <v>9.1300000000000008</v>
      </c>
      <c r="P9151" s="2" t="s">
        <v>27038</v>
      </c>
      <c r="Q9151" s="6">
        <v>100</v>
      </c>
      <c r="R9151" s="6">
        <v>15.65</v>
      </c>
      <c r="S9151" s="5">
        <v>21.1</v>
      </c>
      <c r="T9151" s="7">
        <v>31.077000000000002</v>
      </c>
      <c r="U9151" s="5">
        <v>7.4</v>
      </c>
      <c r="V9151" s="6">
        <v>0.92</v>
      </c>
      <c r="W9151" s="6">
        <v>14.16</v>
      </c>
      <c r="X9151" s="6">
        <v>14.18</v>
      </c>
      <c r="Y9151" s="6">
        <v>15.32</v>
      </c>
      <c r="Z9151" s="6">
        <v>15.38</v>
      </c>
      <c r="AA9151" s="6">
        <v>22.97</v>
      </c>
      <c r="AB9151" s="7">
        <v>10.254</v>
      </c>
      <c r="AC9151" s="6">
        <v>305.87</v>
      </c>
    </row>
    <row r="9152" spans="1:29" ht="130" x14ac:dyDescent="0.15">
      <c r="A9152" s="3">
        <f>DATE(2008,9,2)</f>
        <v>39693</v>
      </c>
      <c r="B9152" s="2"/>
      <c r="C9152" s="2" t="s">
        <v>30</v>
      </c>
      <c r="D9152" s="2" t="s">
        <v>27039</v>
      </c>
      <c r="E9152" s="2" t="s">
        <v>27040</v>
      </c>
      <c r="F9152" s="4">
        <v>4412</v>
      </c>
      <c r="G9152" s="2" t="s">
        <v>173</v>
      </c>
      <c r="H9152" s="2" t="s">
        <v>34</v>
      </c>
      <c r="I9152" s="2" t="s">
        <v>27041</v>
      </c>
      <c r="J9152" s="2" t="s">
        <v>9299</v>
      </c>
      <c r="K9152" s="2" t="s">
        <v>53</v>
      </c>
      <c r="L9152" s="2" t="s">
        <v>34</v>
      </c>
      <c r="M9152" s="2"/>
      <c r="N9152" s="2"/>
      <c r="O9152" s="2"/>
      <c r="P9152" s="2" t="s">
        <v>27042</v>
      </c>
      <c r="Q9152" s="2"/>
      <c r="R9152" s="6">
        <v>25.75</v>
      </c>
      <c r="S9152" s="5">
        <v>23.9</v>
      </c>
      <c r="T9152" s="7">
        <v>38.023000000000003</v>
      </c>
      <c r="U9152" s="5">
        <v>28.7</v>
      </c>
      <c r="V9152" s="6">
        <v>3.02</v>
      </c>
      <c r="W9152" s="5">
        <v>19.3</v>
      </c>
      <c r="X9152" s="6">
        <v>20.25</v>
      </c>
      <c r="Y9152" s="6">
        <v>23.73</v>
      </c>
      <c r="Z9152" s="6">
        <v>23.77</v>
      </c>
      <c r="AA9152" s="6">
        <v>7.39</v>
      </c>
      <c r="AB9152" s="7">
        <v>28.725000000000001</v>
      </c>
      <c r="AC9152" s="2"/>
    </row>
    <row r="9153" spans="1:29" ht="104" x14ac:dyDescent="0.15">
      <c r="A9153" s="3">
        <f>DATE(2008,9,3)</f>
        <v>39694</v>
      </c>
      <c r="B9153" s="3">
        <f>DATE(2008,12,31)</f>
        <v>39813</v>
      </c>
      <c r="C9153" s="2" t="s">
        <v>95</v>
      </c>
      <c r="D9153" s="2" t="s">
        <v>16594</v>
      </c>
      <c r="E9153" s="2" t="s">
        <v>159</v>
      </c>
      <c r="F9153" s="4">
        <v>6021</v>
      </c>
      <c r="G9153" s="2" t="s">
        <v>37</v>
      </c>
      <c r="H9153" s="2" t="s">
        <v>34</v>
      </c>
      <c r="I9153" s="2" t="s">
        <v>19421</v>
      </c>
      <c r="J9153" s="2" t="s">
        <v>36</v>
      </c>
      <c r="K9153" s="2" t="s">
        <v>37</v>
      </c>
      <c r="L9153" s="2" t="s">
        <v>34</v>
      </c>
      <c r="M9153" s="7">
        <v>383.83199999999999</v>
      </c>
      <c r="N9153" s="6">
        <v>19.63</v>
      </c>
      <c r="O9153" s="6">
        <v>19.27</v>
      </c>
      <c r="P9153" s="2" t="s">
        <v>27043</v>
      </c>
      <c r="Q9153" s="6">
        <v>100</v>
      </c>
      <c r="R9153" s="6">
        <v>15.76</v>
      </c>
      <c r="S9153" s="5">
        <v>2.5</v>
      </c>
      <c r="T9153" s="7">
        <v>6.1029999999999998</v>
      </c>
      <c r="U9153" s="5">
        <v>18.2</v>
      </c>
      <c r="V9153" s="6">
        <v>0.5</v>
      </c>
      <c r="W9153" s="6">
        <v>9.16</v>
      </c>
      <c r="X9153" s="6">
        <v>10.35</v>
      </c>
      <c r="Y9153" s="4">
        <v>14</v>
      </c>
      <c r="Z9153" s="6">
        <v>13.85</v>
      </c>
      <c r="AA9153" s="6">
        <v>5.32</v>
      </c>
      <c r="AB9153" s="7">
        <v>46.981999999999999</v>
      </c>
      <c r="AC9153" s="2"/>
    </row>
    <row r="9154" spans="1:29" ht="91" x14ac:dyDescent="0.15">
      <c r="A9154" s="3">
        <f>DATE(2008,9,4)</f>
        <v>39695</v>
      </c>
      <c r="B9154" s="3">
        <f>DATE(2008,11,3)</f>
        <v>39755</v>
      </c>
      <c r="C9154" s="2" t="s">
        <v>95</v>
      </c>
      <c r="D9154" s="2" t="s">
        <v>25484</v>
      </c>
      <c r="E9154" s="2" t="s">
        <v>25485</v>
      </c>
      <c r="F9154" s="4">
        <v>7372</v>
      </c>
      <c r="G9154" s="2" t="s">
        <v>551</v>
      </c>
      <c r="H9154" s="2" t="s">
        <v>34</v>
      </c>
      <c r="I9154" s="2" t="s">
        <v>27044</v>
      </c>
      <c r="J9154" s="2" t="s">
        <v>27045</v>
      </c>
      <c r="K9154" s="2" t="s">
        <v>551</v>
      </c>
      <c r="L9154" s="2" t="s">
        <v>902</v>
      </c>
      <c r="M9154" s="12">
        <v>1593.021</v>
      </c>
      <c r="N9154" s="7">
        <v>33.457999999999998</v>
      </c>
      <c r="O9154" s="7">
        <v>34.712000000000003</v>
      </c>
      <c r="P9154" s="2" t="s">
        <v>27046</v>
      </c>
      <c r="Q9154" s="6">
        <v>100</v>
      </c>
      <c r="R9154" s="6">
        <v>4.8</v>
      </c>
      <c r="S9154" s="5">
        <v>-8.6999999999999993</v>
      </c>
      <c r="T9154" s="7">
        <v>-4.3010000000000002</v>
      </c>
      <c r="U9154" s="5">
        <v>3.2</v>
      </c>
      <c r="V9154" s="6">
        <v>-0.32</v>
      </c>
      <c r="W9154" s="6">
        <v>3.77</v>
      </c>
      <c r="X9154" s="6">
        <v>3.74</v>
      </c>
      <c r="Y9154" s="6">
        <v>4.67</v>
      </c>
      <c r="Z9154" s="5">
        <v>4.7</v>
      </c>
      <c r="AA9154" s="6">
        <v>26.47</v>
      </c>
      <c r="AB9154" s="2" t="s">
        <v>86</v>
      </c>
      <c r="AC9154" s="6">
        <v>254.29</v>
      </c>
    </row>
    <row r="9155" spans="1:29" ht="39" x14ac:dyDescent="0.15">
      <c r="A9155" s="3">
        <f>DATE(2008,9,4)</f>
        <v>39695</v>
      </c>
      <c r="B9155" s="3">
        <f>DATE(2009,3,27)</f>
        <v>39899</v>
      </c>
      <c r="C9155" s="2" t="s">
        <v>95</v>
      </c>
      <c r="D9155" s="2" t="s">
        <v>27047</v>
      </c>
      <c r="E9155" s="2" t="s">
        <v>24835</v>
      </c>
      <c r="F9155" s="4">
        <v>6726</v>
      </c>
      <c r="G9155" s="2" t="s">
        <v>53</v>
      </c>
      <c r="H9155" s="2" t="s">
        <v>34</v>
      </c>
      <c r="I9155" s="2" t="s">
        <v>27048</v>
      </c>
      <c r="J9155" s="2" t="s">
        <v>24835</v>
      </c>
      <c r="K9155" s="2" t="s">
        <v>53</v>
      </c>
      <c r="L9155" s="2" t="s">
        <v>34</v>
      </c>
      <c r="M9155" s="2"/>
      <c r="N9155" s="2"/>
      <c r="O9155" s="2"/>
      <c r="P9155" s="2" t="s">
        <v>27049</v>
      </c>
      <c r="Q9155" s="6">
        <v>100</v>
      </c>
      <c r="R9155" s="2"/>
      <c r="S9155" s="2"/>
      <c r="T9155" s="2"/>
      <c r="U9155" s="2"/>
      <c r="V9155" s="2"/>
      <c r="W9155" s="6">
        <v>9.44</v>
      </c>
      <c r="X9155" s="6">
        <v>9.42</v>
      </c>
      <c r="Y9155" s="6">
        <v>10.39</v>
      </c>
      <c r="Z9155" s="7">
        <v>10.379</v>
      </c>
      <c r="AA9155" s="6">
        <v>13.28</v>
      </c>
      <c r="AB9155" s="2" t="s">
        <v>47</v>
      </c>
      <c r="AC9155" s="2"/>
    </row>
    <row r="9156" spans="1:29" ht="130" x14ac:dyDescent="0.15">
      <c r="A9156" s="3">
        <f>DATE(2008,9,5)</f>
        <v>39696</v>
      </c>
      <c r="B9156" s="3">
        <f>DATE(2008,10,24)</f>
        <v>39745</v>
      </c>
      <c r="C9156" s="2" t="s">
        <v>95</v>
      </c>
      <c r="D9156" s="2" t="s">
        <v>27050</v>
      </c>
      <c r="E9156" s="2" t="s">
        <v>27051</v>
      </c>
      <c r="F9156" s="4">
        <v>2819</v>
      </c>
      <c r="G9156" s="2" t="s">
        <v>98</v>
      </c>
      <c r="H9156" s="2" t="s">
        <v>34</v>
      </c>
      <c r="I9156" s="2" t="s">
        <v>51</v>
      </c>
      <c r="J9156" s="2" t="s">
        <v>52</v>
      </c>
      <c r="K9156" s="2" t="s">
        <v>53</v>
      </c>
      <c r="L9156" s="2" t="s">
        <v>34</v>
      </c>
      <c r="M9156" s="2"/>
      <c r="N9156" s="2"/>
      <c r="O9156" s="2"/>
      <c r="P9156" s="2" t="s">
        <v>27052</v>
      </c>
      <c r="Q9156" s="6">
        <v>100</v>
      </c>
      <c r="R9156" s="6">
        <v>13.37</v>
      </c>
      <c r="S9156" s="5">
        <v>5.6</v>
      </c>
      <c r="T9156" s="6">
        <v>-0.31</v>
      </c>
      <c r="U9156" s="5">
        <v>3.8</v>
      </c>
      <c r="V9156" s="6">
        <v>0.79</v>
      </c>
      <c r="W9156" s="6">
        <v>9.9499999999999993</v>
      </c>
      <c r="X9156" s="6">
        <v>9.7100000000000009</v>
      </c>
      <c r="Y9156" s="5">
        <v>9.8000000000000007</v>
      </c>
      <c r="Z9156" s="5">
        <v>13.2</v>
      </c>
      <c r="AA9156" s="6">
        <v>7</v>
      </c>
      <c r="AB9156" s="2" t="s">
        <v>86</v>
      </c>
      <c r="AC9156" s="2"/>
    </row>
    <row r="9157" spans="1:29" ht="312" x14ac:dyDescent="0.15">
      <c r="A9157" s="3">
        <f>DATE(2008,9,7)</f>
        <v>39698</v>
      </c>
      <c r="B9157" s="3">
        <f>DATE(2008,9,7)</f>
        <v>39698</v>
      </c>
      <c r="C9157" s="2" t="s">
        <v>95</v>
      </c>
      <c r="D9157" s="2" t="s">
        <v>27053</v>
      </c>
      <c r="E9157" s="2" t="s">
        <v>27054</v>
      </c>
      <c r="F9157" s="4">
        <v>6111</v>
      </c>
      <c r="G9157" s="2" t="s">
        <v>370</v>
      </c>
      <c r="H9157" s="2" t="s">
        <v>34</v>
      </c>
      <c r="I9157" s="2" t="s">
        <v>27055</v>
      </c>
      <c r="J9157" s="2" t="s">
        <v>27056</v>
      </c>
      <c r="K9157" s="2" t="s">
        <v>8457</v>
      </c>
      <c r="L9157" s="2" t="s">
        <v>34</v>
      </c>
      <c r="M9157" s="2"/>
      <c r="N9157" s="2"/>
      <c r="O9157" s="2"/>
      <c r="P9157" s="2" t="s">
        <v>27057</v>
      </c>
      <c r="Q9157" s="6">
        <v>79.900000000000006</v>
      </c>
      <c r="R9157" s="2"/>
      <c r="S9157" s="8">
        <v>-4619</v>
      </c>
      <c r="T9157" s="2"/>
      <c r="U9157" s="5">
        <v>-1.8</v>
      </c>
      <c r="V9157" s="6">
        <v>-8.1999999999999993</v>
      </c>
      <c r="W9157" s="6">
        <v>4.51</v>
      </c>
      <c r="X9157" s="5">
        <v>5.0999999999999996</v>
      </c>
      <c r="Y9157" s="6">
        <v>0.88</v>
      </c>
      <c r="Z9157" s="6">
        <v>0.88</v>
      </c>
      <c r="AA9157" s="6">
        <v>646.72</v>
      </c>
      <c r="AB9157" s="2" t="s">
        <v>86</v>
      </c>
      <c r="AC9157" s="2"/>
    </row>
    <row r="9158" spans="1:29" ht="312" x14ac:dyDescent="0.15">
      <c r="A9158" s="3">
        <f>DATE(2008,9,7)</f>
        <v>39698</v>
      </c>
      <c r="B9158" s="3">
        <f>DATE(2008,9,7)</f>
        <v>39698</v>
      </c>
      <c r="C9158" s="2" t="s">
        <v>95</v>
      </c>
      <c r="D9158" s="2" t="s">
        <v>27058</v>
      </c>
      <c r="E9158" s="2" t="s">
        <v>27059</v>
      </c>
      <c r="F9158" s="4">
        <v>6111</v>
      </c>
      <c r="G9158" s="2" t="s">
        <v>370</v>
      </c>
      <c r="H9158" s="2" t="s">
        <v>34</v>
      </c>
      <c r="I9158" s="2" t="s">
        <v>27055</v>
      </c>
      <c r="J9158" s="2" t="s">
        <v>27056</v>
      </c>
      <c r="K9158" s="2" t="s">
        <v>8457</v>
      </c>
      <c r="L9158" s="2" t="s">
        <v>34</v>
      </c>
      <c r="M9158" s="2"/>
      <c r="N9158" s="2"/>
      <c r="O9158" s="2"/>
      <c r="P9158" s="2" t="s">
        <v>27060</v>
      </c>
      <c r="Q9158" s="6">
        <v>79.900000000000006</v>
      </c>
      <c r="R9158" s="2"/>
      <c r="S9158" s="8">
        <v>-9435</v>
      </c>
      <c r="T9158" s="2"/>
      <c r="U9158" s="5">
        <v>18.2</v>
      </c>
      <c r="V9158" s="6">
        <v>-10.43</v>
      </c>
      <c r="W9158" s="6">
        <v>6.84</v>
      </c>
      <c r="X9158" s="6">
        <v>7.04</v>
      </c>
      <c r="Y9158" s="6">
        <v>0.73</v>
      </c>
      <c r="Z9158" s="6">
        <v>0.73</v>
      </c>
      <c r="AA9158" s="6">
        <v>982.31</v>
      </c>
      <c r="AB9158" s="2" t="s">
        <v>86</v>
      </c>
      <c r="AC9158" s="2"/>
    </row>
    <row r="9159" spans="1:29" ht="182" x14ac:dyDescent="0.15">
      <c r="A9159" s="3">
        <f>DATE(2008,9,8)</f>
        <v>39699</v>
      </c>
      <c r="B9159" s="3">
        <f>DATE(2008,10,27)</f>
        <v>39748</v>
      </c>
      <c r="C9159" s="2" t="s">
        <v>95</v>
      </c>
      <c r="D9159" s="2" t="s">
        <v>18239</v>
      </c>
      <c r="E9159" s="2" t="s">
        <v>18240</v>
      </c>
      <c r="F9159" s="4">
        <v>3531</v>
      </c>
      <c r="G9159" s="2" t="s">
        <v>300</v>
      </c>
      <c r="H9159" s="2" t="s">
        <v>34</v>
      </c>
      <c r="I9159" s="2" t="s">
        <v>27061</v>
      </c>
      <c r="J9159" s="2" t="s">
        <v>27062</v>
      </c>
      <c r="K9159" s="2" t="s">
        <v>300</v>
      </c>
      <c r="L9159" s="2" t="s">
        <v>34</v>
      </c>
      <c r="M9159" s="2"/>
      <c r="N9159" s="2"/>
      <c r="O9159" s="2"/>
      <c r="P9159" s="2" t="s">
        <v>27063</v>
      </c>
      <c r="Q9159" s="6">
        <v>86.86</v>
      </c>
      <c r="R9159" s="6">
        <v>30</v>
      </c>
      <c r="S9159" s="5">
        <v>14.4</v>
      </c>
      <c r="T9159" s="7">
        <v>33.462000000000003</v>
      </c>
      <c r="U9159" s="5">
        <v>22.1</v>
      </c>
      <c r="V9159" s="6">
        <v>1.1299999999999999</v>
      </c>
      <c r="W9159" s="6">
        <v>15.07</v>
      </c>
      <c r="X9159" s="6">
        <v>13.66</v>
      </c>
      <c r="Y9159" s="6">
        <v>29.52</v>
      </c>
      <c r="Z9159" s="6">
        <v>29.59</v>
      </c>
      <c r="AA9159" s="6">
        <v>12.71</v>
      </c>
      <c r="AB9159" s="7">
        <v>15.391999999999999</v>
      </c>
      <c r="AC9159" s="2"/>
    </row>
    <row r="9160" spans="1:29" ht="156" x14ac:dyDescent="0.15">
      <c r="A9160" s="3">
        <f>DATE(2008,9,8)</f>
        <v>39699</v>
      </c>
      <c r="B9160" s="3">
        <f>DATE(2009,1,6)</f>
        <v>39819</v>
      </c>
      <c r="C9160" s="2" t="s">
        <v>95</v>
      </c>
      <c r="D9160" s="2" t="s">
        <v>17477</v>
      </c>
      <c r="E9160" s="2" t="s">
        <v>17478</v>
      </c>
      <c r="F9160" s="4">
        <v>2131</v>
      </c>
      <c r="G9160" s="2" t="s">
        <v>5397</v>
      </c>
      <c r="H9160" s="2" t="s">
        <v>34</v>
      </c>
      <c r="I9160" s="2" t="s">
        <v>27064</v>
      </c>
      <c r="J9160" s="2" t="s">
        <v>11337</v>
      </c>
      <c r="K9160" s="2" t="s">
        <v>53</v>
      </c>
      <c r="L9160" s="2" t="s">
        <v>34</v>
      </c>
      <c r="M9160" s="2"/>
      <c r="N9160" s="6">
        <v>20.95</v>
      </c>
      <c r="O9160" s="2"/>
      <c r="P9160" s="2" t="s">
        <v>27065</v>
      </c>
      <c r="Q9160" s="6">
        <v>100</v>
      </c>
      <c r="R9160" s="6">
        <v>69.5</v>
      </c>
      <c r="S9160" s="5">
        <v>537.79999999999995</v>
      </c>
      <c r="T9160" s="7">
        <v>977.98299999999995</v>
      </c>
      <c r="U9160" s="5">
        <v>-2.9</v>
      </c>
      <c r="V9160" s="6">
        <v>3.51</v>
      </c>
      <c r="W9160" s="6">
        <v>53.59</v>
      </c>
      <c r="X9160" s="4">
        <v>54</v>
      </c>
      <c r="Y9160" s="6">
        <v>67.55</v>
      </c>
      <c r="Z9160" s="5">
        <v>68.900000000000006</v>
      </c>
      <c r="AA9160" s="6">
        <v>147.55000000000001</v>
      </c>
      <c r="AB9160" s="7">
        <v>12.53</v>
      </c>
      <c r="AC9160" s="2"/>
    </row>
    <row r="9161" spans="1:29" ht="52" x14ac:dyDescent="0.15">
      <c r="A9161" s="3">
        <f>DATE(2008,9,8)</f>
        <v>39699</v>
      </c>
      <c r="B9161" s="3">
        <f>DATE(2008,11,4)</f>
        <v>39756</v>
      </c>
      <c r="C9161" s="2" t="s">
        <v>95</v>
      </c>
      <c r="D9161" s="2" t="s">
        <v>27066</v>
      </c>
      <c r="E9161" s="2" t="s">
        <v>27067</v>
      </c>
      <c r="F9161" s="4">
        <v>6719</v>
      </c>
      <c r="G9161" s="2" t="s">
        <v>7998</v>
      </c>
      <c r="H9161" s="2" t="s">
        <v>34</v>
      </c>
      <c r="I9161" s="2" t="s">
        <v>27068</v>
      </c>
      <c r="J9161" s="2" t="s">
        <v>27069</v>
      </c>
      <c r="K9161" s="2" t="s">
        <v>148</v>
      </c>
      <c r="L9161" s="2" t="s">
        <v>34</v>
      </c>
      <c r="M9161" s="7">
        <v>3.0000000000000001E-3</v>
      </c>
      <c r="N9161" s="4">
        <v>1</v>
      </c>
      <c r="O9161" s="4">
        <v>1</v>
      </c>
      <c r="P9161" s="2" t="s">
        <v>27070</v>
      </c>
      <c r="Q9161" s="6">
        <v>100</v>
      </c>
      <c r="R9161" s="2"/>
      <c r="S9161" s="2"/>
      <c r="T9161" s="2"/>
      <c r="U9161" s="2"/>
      <c r="V9161" s="2"/>
      <c r="W9161" s="5">
        <v>1.7</v>
      </c>
      <c r="X9161" s="5">
        <v>1.7</v>
      </c>
      <c r="Y9161" s="5">
        <v>1.7</v>
      </c>
      <c r="Z9161" s="5">
        <v>1.7</v>
      </c>
      <c r="AA9161" s="6">
        <v>42.45</v>
      </c>
      <c r="AB9161" s="2" t="s">
        <v>47</v>
      </c>
      <c r="AC9161" s="2"/>
    </row>
    <row r="9162" spans="1:29" ht="117" x14ac:dyDescent="0.15">
      <c r="A9162" s="3">
        <f>DATE(2008,9,9)</f>
        <v>39700</v>
      </c>
      <c r="B9162" s="3">
        <f>DATE(2008,11,3)</f>
        <v>39755</v>
      </c>
      <c r="C9162" s="2" t="s">
        <v>95</v>
      </c>
      <c r="D9162" s="2" t="s">
        <v>27071</v>
      </c>
      <c r="E9162" s="2" t="s">
        <v>5102</v>
      </c>
      <c r="F9162" s="4">
        <v>7372</v>
      </c>
      <c r="G9162" s="2" t="s">
        <v>551</v>
      </c>
      <c r="H9162" s="2" t="s">
        <v>34</v>
      </c>
      <c r="I9162" s="2" t="s">
        <v>27072</v>
      </c>
      <c r="J9162" s="2" t="s">
        <v>16821</v>
      </c>
      <c r="K9162" s="2" t="s">
        <v>551</v>
      </c>
      <c r="L9162" s="2" t="s">
        <v>34</v>
      </c>
      <c r="M9162" s="2"/>
      <c r="N9162" s="2"/>
      <c r="O9162" s="2"/>
      <c r="P9162" s="2" t="s">
        <v>27073</v>
      </c>
      <c r="Q9162" s="6">
        <v>100</v>
      </c>
      <c r="R9162" s="6">
        <v>5.5</v>
      </c>
      <c r="S9162" s="5">
        <v>1.7</v>
      </c>
      <c r="T9162" s="7">
        <v>2.2210000000000001</v>
      </c>
      <c r="U9162" s="5">
        <v>1</v>
      </c>
      <c r="V9162" s="6">
        <v>0.18</v>
      </c>
      <c r="W9162" s="6">
        <v>4.12</v>
      </c>
      <c r="X9162" s="6">
        <v>3.99</v>
      </c>
      <c r="Y9162" s="6">
        <v>5.28</v>
      </c>
      <c r="Z9162" s="6">
        <v>5.29</v>
      </c>
      <c r="AA9162" s="6">
        <v>9.48</v>
      </c>
      <c r="AB9162" s="7">
        <v>29.033999999999999</v>
      </c>
      <c r="AC9162" s="6">
        <v>10.85</v>
      </c>
    </row>
    <row r="9163" spans="1:29" ht="208" x14ac:dyDescent="0.15">
      <c r="A9163" s="3">
        <f>DATE(2008,9,10)</f>
        <v>39701</v>
      </c>
      <c r="B9163" s="3">
        <f>DATE(2009,4,17)</f>
        <v>39920</v>
      </c>
      <c r="C9163" s="2" t="s">
        <v>95</v>
      </c>
      <c r="D9163" s="2" t="s">
        <v>21390</v>
      </c>
      <c r="E9163" s="2" t="s">
        <v>159</v>
      </c>
      <c r="F9163" s="4">
        <v>6712</v>
      </c>
      <c r="G9163" s="2" t="s">
        <v>37</v>
      </c>
      <c r="H9163" s="2" t="s">
        <v>34</v>
      </c>
      <c r="I9163" s="2" t="s">
        <v>25702</v>
      </c>
      <c r="J9163" s="2" t="s">
        <v>159</v>
      </c>
      <c r="K9163" s="2" t="s">
        <v>37</v>
      </c>
      <c r="L9163" s="2" t="s">
        <v>34</v>
      </c>
      <c r="M9163" s="7">
        <v>195.078</v>
      </c>
      <c r="N9163" s="6">
        <v>12.54</v>
      </c>
      <c r="O9163" s="6">
        <v>12.11</v>
      </c>
      <c r="P9163" s="2" t="s">
        <v>27074</v>
      </c>
      <c r="Q9163" s="6">
        <v>100</v>
      </c>
      <c r="R9163" s="6">
        <v>14.47</v>
      </c>
      <c r="S9163" s="5">
        <v>4</v>
      </c>
      <c r="T9163" s="7">
        <v>7.0490000000000004</v>
      </c>
      <c r="U9163" s="5">
        <v>8.4</v>
      </c>
      <c r="V9163" s="9">
        <v>0.57240000000000002</v>
      </c>
      <c r="W9163" s="7">
        <v>6.8650000000000002</v>
      </c>
      <c r="X9163" s="7">
        <v>6.8339999999999996</v>
      </c>
      <c r="Y9163" s="6">
        <v>10.51</v>
      </c>
      <c r="Z9163" s="6">
        <v>10.24</v>
      </c>
      <c r="AA9163" s="6">
        <v>6.54</v>
      </c>
      <c r="AB9163" s="7">
        <v>25.555</v>
      </c>
      <c r="AC9163" s="2"/>
    </row>
    <row r="9164" spans="1:29" ht="65" x14ac:dyDescent="0.15">
      <c r="A9164" s="3">
        <f>DATE(2008,9,10)</f>
        <v>39701</v>
      </c>
      <c r="B9164" s="3">
        <f>DATE(2008,9,10)</f>
        <v>39701</v>
      </c>
      <c r="C9164" s="2" t="s">
        <v>95</v>
      </c>
      <c r="D9164" s="2" t="s">
        <v>27075</v>
      </c>
      <c r="E9164" s="2" t="s">
        <v>27076</v>
      </c>
      <c r="F9164" s="4">
        <v>7991</v>
      </c>
      <c r="G9164" s="2" t="s">
        <v>364</v>
      </c>
      <c r="H9164" s="2" t="s">
        <v>34</v>
      </c>
      <c r="I9164" s="2" t="s">
        <v>27077</v>
      </c>
      <c r="J9164" s="2" t="s">
        <v>27078</v>
      </c>
      <c r="K9164" s="2" t="s">
        <v>42</v>
      </c>
      <c r="L9164" s="2" t="s">
        <v>34</v>
      </c>
      <c r="M9164" s="2"/>
      <c r="N9164" s="4">
        <v>8</v>
      </c>
      <c r="O9164" s="4">
        <v>8</v>
      </c>
      <c r="P9164" s="2" t="s">
        <v>27079</v>
      </c>
      <c r="Q9164" s="6">
        <v>100</v>
      </c>
      <c r="R9164" s="2"/>
      <c r="S9164" s="2"/>
      <c r="T9164" s="2"/>
      <c r="U9164" s="2"/>
      <c r="V9164" s="2"/>
      <c r="W9164" s="13">
        <v>0</v>
      </c>
      <c r="X9164" s="4">
        <v>8</v>
      </c>
      <c r="Y9164" s="4">
        <v>8</v>
      </c>
      <c r="Z9164" s="4">
        <v>8</v>
      </c>
      <c r="AA9164" s="2"/>
      <c r="AB9164" s="2" t="s">
        <v>47</v>
      </c>
      <c r="AC9164" s="2"/>
    </row>
    <row r="9165" spans="1:29" ht="130" x14ac:dyDescent="0.15">
      <c r="A9165" s="3">
        <f>DATE(2008,9,12)</f>
        <v>39703</v>
      </c>
      <c r="B9165" s="2"/>
      <c r="C9165" s="2" t="s">
        <v>30</v>
      </c>
      <c r="D9165" s="2" t="s">
        <v>26975</v>
      </c>
      <c r="E9165" s="2" t="s">
        <v>8503</v>
      </c>
      <c r="F9165" s="4">
        <v>5912</v>
      </c>
      <c r="G9165" s="2" t="s">
        <v>73</v>
      </c>
      <c r="H9165" s="2" t="s">
        <v>34</v>
      </c>
      <c r="I9165" s="2" t="s">
        <v>25816</v>
      </c>
      <c r="J9165" s="2" t="s">
        <v>4794</v>
      </c>
      <c r="K9165" s="2" t="s">
        <v>73</v>
      </c>
      <c r="L9165" s="2" t="s">
        <v>34</v>
      </c>
      <c r="M9165" s="12">
        <v>36892.993000000002</v>
      </c>
      <c r="N9165" s="6">
        <v>36.07</v>
      </c>
      <c r="O9165" s="6">
        <v>34.270000000000003</v>
      </c>
      <c r="P9165" s="2" t="s">
        <v>27080</v>
      </c>
      <c r="Q9165" s="2"/>
      <c r="R9165" s="6">
        <v>75</v>
      </c>
      <c r="S9165" s="5">
        <v>107.6</v>
      </c>
      <c r="T9165" s="7">
        <v>280.06099999999998</v>
      </c>
      <c r="U9165" s="5">
        <v>23.8</v>
      </c>
      <c r="V9165" s="6">
        <v>2.83</v>
      </c>
      <c r="W9165" s="6">
        <v>71.81</v>
      </c>
      <c r="X9165" s="6">
        <v>71.73</v>
      </c>
      <c r="Y9165" s="6">
        <v>71.66</v>
      </c>
      <c r="Z9165" s="6">
        <v>75.75</v>
      </c>
      <c r="AA9165" s="6">
        <v>36.01</v>
      </c>
      <c r="AB9165" s="7">
        <v>16.765000000000001</v>
      </c>
      <c r="AC9165" s="5">
        <v>277</v>
      </c>
    </row>
    <row r="9166" spans="1:29" ht="65" x14ac:dyDescent="0.15">
      <c r="A9166" s="3">
        <f>DATE(2008,9,12)</f>
        <v>39703</v>
      </c>
      <c r="B9166" s="2"/>
      <c r="C9166" s="2" t="s">
        <v>30</v>
      </c>
      <c r="D9166" s="2" t="s">
        <v>27081</v>
      </c>
      <c r="E9166" s="2" t="s">
        <v>386</v>
      </c>
      <c r="F9166" s="4">
        <v>6726</v>
      </c>
      <c r="G9166" s="2" t="s">
        <v>53</v>
      </c>
      <c r="H9166" s="2" t="s">
        <v>34</v>
      </c>
      <c r="I9166" s="2" t="s">
        <v>27082</v>
      </c>
      <c r="J9166" s="2" t="s">
        <v>24835</v>
      </c>
      <c r="K9166" s="2" t="s">
        <v>53</v>
      </c>
      <c r="L9166" s="2" t="s">
        <v>34</v>
      </c>
      <c r="M9166" s="2"/>
      <c r="N9166" s="2"/>
      <c r="O9166" s="2"/>
      <c r="P9166" s="2" t="s">
        <v>27083</v>
      </c>
      <c r="Q9166" s="2"/>
      <c r="R9166" s="2"/>
      <c r="S9166" s="2"/>
      <c r="T9166" s="2"/>
      <c r="U9166" s="2"/>
      <c r="V9166" s="2"/>
      <c r="W9166" s="6">
        <v>6.76</v>
      </c>
      <c r="X9166" s="5">
        <v>6.6</v>
      </c>
      <c r="Y9166" s="6">
        <v>6.56</v>
      </c>
      <c r="Z9166" s="6">
        <v>7.03</v>
      </c>
      <c r="AA9166" s="6">
        <v>46.97</v>
      </c>
      <c r="AB9166" s="2" t="s">
        <v>47</v>
      </c>
      <c r="AC9166" s="2"/>
    </row>
    <row r="9167" spans="1:29" ht="65" x14ac:dyDescent="0.15">
      <c r="A9167" s="3">
        <f>DATE(2008,9,12)</f>
        <v>39703</v>
      </c>
      <c r="B9167" s="2"/>
      <c r="C9167" s="2" t="s">
        <v>30</v>
      </c>
      <c r="D9167" s="2" t="s">
        <v>27084</v>
      </c>
      <c r="E9167" s="2" t="s">
        <v>24835</v>
      </c>
      <c r="F9167" s="4">
        <v>6726</v>
      </c>
      <c r="G9167" s="2" t="s">
        <v>53</v>
      </c>
      <c r="H9167" s="2" t="s">
        <v>34</v>
      </c>
      <c r="I9167" s="2" t="s">
        <v>27085</v>
      </c>
      <c r="J9167" s="2" t="s">
        <v>386</v>
      </c>
      <c r="K9167" s="2" t="s">
        <v>53</v>
      </c>
      <c r="L9167" s="2" t="s">
        <v>34</v>
      </c>
      <c r="M9167" s="2"/>
      <c r="N9167" s="6">
        <v>8.44</v>
      </c>
      <c r="O9167" s="6">
        <v>8.44</v>
      </c>
      <c r="P9167" s="2" t="s">
        <v>27086</v>
      </c>
      <c r="Q9167" s="2"/>
      <c r="R9167" s="2"/>
      <c r="S9167" s="2"/>
      <c r="T9167" s="2"/>
      <c r="U9167" s="2"/>
      <c r="V9167" s="2"/>
      <c r="W9167" s="6">
        <v>10.92</v>
      </c>
      <c r="X9167" s="6">
        <v>10.73</v>
      </c>
      <c r="Y9167" s="6">
        <v>10.71</v>
      </c>
      <c r="Z9167" s="5">
        <v>11.4</v>
      </c>
      <c r="AA9167" s="6">
        <v>13.05</v>
      </c>
      <c r="AB9167" s="2" t="s">
        <v>47</v>
      </c>
      <c r="AC9167" s="2"/>
    </row>
    <row r="9168" spans="1:29" ht="325" x14ac:dyDescent="0.15">
      <c r="A9168" s="3">
        <f>DATE(2008,9,14)</f>
        <v>39705</v>
      </c>
      <c r="B9168" s="3">
        <f>DATE(2009,1,1)</f>
        <v>39814</v>
      </c>
      <c r="C9168" s="2" t="s">
        <v>95</v>
      </c>
      <c r="D9168" s="2" t="s">
        <v>11003</v>
      </c>
      <c r="E9168" s="2" t="s">
        <v>11004</v>
      </c>
      <c r="F9168" s="4">
        <v>6211</v>
      </c>
      <c r="G9168" s="2" t="s">
        <v>53</v>
      </c>
      <c r="H9168" s="2" t="s">
        <v>34</v>
      </c>
      <c r="I9168" s="2" t="s">
        <v>21344</v>
      </c>
      <c r="J9168" s="2" t="s">
        <v>21345</v>
      </c>
      <c r="K9168" s="2" t="s">
        <v>37</v>
      </c>
      <c r="L9168" s="2" t="s">
        <v>34</v>
      </c>
      <c r="M9168" s="12">
        <v>139995.459</v>
      </c>
      <c r="N9168" s="6">
        <v>26.55</v>
      </c>
      <c r="O9168" s="6">
        <v>26.55</v>
      </c>
      <c r="P9168" s="2" t="s">
        <v>27087</v>
      </c>
      <c r="Q9168" s="6">
        <v>100</v>
      </c>
      <c r="R9168" s="6">
        <v>29</v>
      </c>
      <c r="S9168" s="5">
        <v>-19537</v>
      </c>
      <c r="T9168" s="5">
        <v>-28044</v>
      </c>
      <c r="U9168" s="5">
        <v>21.1</v>
      </c>
      <c r="V9168" s="6">
        <v>-22.4</v>
      </c>
      <c r="W9168" s="6">
        <v>26.73</v>
      </c>
      <c r="X9168" s="6">
        <v>17.05</v>
      </c>
      <c r="Y9168" s="6">
        <v>17.059999999999999</v>
      </c>
      <c r="Z9168" s="6">
        <v>17.059999999999999</v>
      </c>
      <c r="AA9168" s="10">
        <v>1531.46</v>
      </c>
      <c r="AB9168" s="2" t="s">
        <v>86</v>
      </c>
      <c r="AC9168" s="2"/>
    </row>
    <row r="9169" spans="1:29" ht="234" x14ac:dyDescent="0.15">
      <c r="A9169" s="3">
        <f>DATE(2008,9,15)</f>
        <v>39706</v>
      </c>
      <c r="B9169" s="2"/>
      <c r="C9169" s="2" t="s">
        <v>30</v>
      </c>
      <c r="D9169" s="2" t="s">
        <v>27088</v>
      </c>
      <c r="E9169" s="2" t="s">
        <v>6519</v>
      </c>
      <c r="F9169" s="4">
        <v>4813</v>
      </c>
      <c r="G9169" s="2" t="s">
        <v>63</v>
      </c>
      <c r="H9169" s="2" t="s">
        <v>34</v>
      </c>
      <c r="I9169" s="2" t="s">
        <v>27089</v>
      </c>
      <c r="J9169" s="2" t="s">
        <v>23408</v>
      </c>
      <c r="K9169" s="2" t="s">
        <v>53</v>
      </c>
      <c r="L9169" s="2" t="s">
        <v>34</v>
      </c>
      <c r="M9169" s="7">
        <v>132.13200000000001</v>
      </c>
      <c r="N9169" s="4">
        <v>6</v>
      </c>
      <c r="O9169" s="4">
        <v>6</v>
      </c>
      <c r="P9169" s="2" t="s">
        <v>27090</v>
      </c>
      <c r="Q9169" s="2"/>
      <c r="R9169" s="2"/>
      <c r="S9169" s="5">
        <v>1.3</v>
      </c>
      <c r="T9169" s="7">
        <v>12.567</v>
      </c>
      <c r="U9169" s="5">
        <v>4.5999999999999996</v>
      </c>
      <c r="V9169" s="2"/>
      <c r="W9169" s="4">
        <v>5</v>
      </c>
      <c r="X9169" s="4">
        <v>5</v>
      </c>
      <c r="Y9169" s="4">
        <v>5</v>
      </c>
      <c r="Z9169" s="4">
        <v>5</v>
      </c>
      <c r="AA9169" s="6">
        <v>26.07</v>
      </c>
      <c r="AB9169" s="2" t="s">
        <v>47</v>
      </c>
      <c r="AC9169" s="6">
        <v>0.87</v>
      </c>
    </row>
    <row r="9170" spans="1:29" ht="143" x14ac:dyDescent="0.15">
      <c r="A9170" s="3">
        <f>DATE(2008,9,15)</f>
        <v>39706</v>
      </c>
      <c r="B9170" s="3">
        <f>DATE(2008,10,30)</f>
        <v>39751</v>
      </c>
      <c r="C9170" s="2" t="s">
        <v>95</v>
      </c>
      <c r="D9170" s="2" t="s">
        <v>27091</v>
      </c>
      <c r="E9170" s="2" t="s">
        <v>24781</v>
      </c>
      <c r="F9170" s="4">
        <v>7372</v>
      </c>
      <c r="G9170" s="2" t="s">
        <v>551</v>
      </c>
      <c r="H9170" s="2" t="s">
        <v>34</v>
      </c>
      <c r="I9170" s="2" t="s">
        <v>18137</v>
      </c>
      <c r="J9170" s="2" t="s">
        <v>1367</v>
      </c>
      <c r="K9170" s="2" t="s">
        <v>1227</v>
      </c>
      <c r="L9170" s="2" t="s">
        <v>34</v>
      </c>
      <c r="M9170" s="12">
        <v>18981.734</v>
      </c>
      <c r="N9170" s="5">
        <v>43.7</v>
      </c>
      <c r="O9170" s="5">
        <v>42.4</v>
      </c>
      <c r="P9170" s="2" t="s">
        <v>27092</v>
      </c>
      <c r="Q9170" s="6">
        <v>90.19</v>
      </c>
      <c r="R9170" s="6">
        <v>2.65</v>
      </c>
      <c r="S9170" s="5">
        <v>-16.600000000000001</v>
      </c>
      <c r="T9170" s="7">
        <v>-11.471</v>
      </c>
      <c r="U9170" s="5">
        <v>1.4</v>
      </c>
      <c r="V9170" s="6">
        <v>-0.38</v>
      </c>
      <c r="W9170" s="6">
        <v>1.34</v>
      </c>
      <c r="X9170" s="6">
        <v>1.36</v>
      </c>
      <c r="Y9170" s="6">
        <v>4.01</v>
      </c>
      <c r="Z9170" s="6">
        <v>3.95</v>
      </c>
      <c r="AA9170" s="6">
        <v>47.9</v>
      </c>
      <c r="AB9170" s="2" t="s">
        <v>86</v>
      </c>
      <c r="AC9170" s="5">
        <v>984</v>
      </c>
    </row>
    <row r="9171" spans="1:29" ht="299" x14ac:dyDescent="0.15">
      <c r="A9171" s="3">
        <f>DATE(2008,9,16)</f>
        <v>39707</v>
      </c>
      <c r="B9171" s="3">
        <f>DATE(2009,3,4)</f>
        <v>39876</v>
      </c>
      <c r="C9171" s="2" t="s">
        <v>95</v>
      </c>
      <c r="D9171" s="2" t="s">
        <v>830</v>
      </c>
      <c r="E9171" s="2" t="s">
        <v>831</v>
      </c>
      <c r="F9171" s="4">
        <v>6331</v>
      </c>
      <c r="G9171" s="2" t="s">
        <v>125</v>
      </c>
      <c r="H9171" s="2" t="s">
        <v>34</v>
      </c>
      <c r="I9171" s="2" t="s">
        <v>27055</v>
      </c>
      <c r="J9171" s="2" t="s">
        <v>27056</v>
      </c>
      <c r="K9171" s="2" t="s">
        <v>8457</v>
      </c>
      <c r="L9171" s="2" t="s">
        <v>34</v>
      </c>
      <c r="M9171" s="2"/>
      <c r="N9171" s="2"/>
      <c r="O9171" s="2"/>
      <c r="P9171" s="2" t="s">
        <v>27093</v>
      </c>
      <c r="Q9171" s="2"/>
      <c r="R9171" s="2"/>
      <c r="S9171" s="5">
        <v>-15369</v>
      </c>
      <c r="T9171" s="2"/>
      <c r="U9171" s="5">
        <v>580.79999999999995</v>
      </c>
      <c r="V9171" s="6">
        <v>-118.6</v>
      </c>
      <c r="W9171" s="6">
        <v>18.37</v>
      </c>
      <c r="X9171" s="6">
        <v>4.76</v>
      </c>
      <c r="Y9171" s="6">
        <v>3.75</v>
      </c>
      <c r="Z9171" s="6">
        <v>2.0499999999999998</v>
      </c>
      <c r="AA9171" s="10">
        <v>2688.83</v>
      </c>
      <c r="AB9171" s="7">
        <v>31.745999999999999</v>
      </c>
      <c r="AC9171" s="2"/>
    </row>
    <row r="9172" spans="1:29" ht="169" x14ac:dyDescent="0.15">
      <c r="A9172" s="3">
        <f>DATE(2008,9,16)</f>
        <v>39707</v>
      </c>
      <c r="B9172" s="3">
        <f>DATE(2009,1,30)</f>
        <v>39843</v>
      </c>
      <c r="C9172" s="2" t="s">
        <v>95</v>
      </c>
      <c r="D9172" s="2" t="s">
        <v>27094</v>
      </c>
      <c r="E9172" s="2" t="s">
        <v>6146</v>
      </c>
      <c r="F9172" s="4">
        <v>3845</v>
      </c>
      <c r="G9172" s="2" t="s">
        <v>226</v>
      </c>
      <c r="H9172" s="2" t="s">
        <v>34</v>
      </c>
      <c r="I9172" s="2" t="s">
        <v>27095</v>
      </c>
      <c r="J9172" s="2" t="s">
        <v>27096</v>
      </c>
      <c r="K9172" s="2" t="s">
        <v>226</v>
      </c>
      <c r="L9172" s="2" t="s">
        <v>435</v>
      </c>
      <c r="M9172" s="12">
        <v>4484.4489999999996</v>
      </c>
      <c r="N9172" s="7">
        <v>21.364999999999998</v>
      </c>
      <c r="O9172" s="7">
        <v>21.533999999999999</v>
      </c>
      <c r="P9172" s="2" t="s">
        <v>27097</v>
      </c>
      <c r="Q9172" s="6">
        <v>100</v>
      </c>
      <c r="R9172" s="6">
        <v>53</v>
      </c>
      <c r="S9172" s="5">
        <v>30.2</v>
      </c>
      <c r="T9172" s="7">
        <v>55.113999999999997</v>
      </c>
      <c r="U9172" s="5">
        <v>25.6</v>
      </c>
      <c r="V9172" s="6">
        <v>2.16</v>
      </c>
      <c r="W9172" s="6">
        <v>50.06</v>
      </c>
      <c r="X9172" s="6">
        <v>49.23</v>
      </c>
      <c r="Y9172" s="6">
        <v>51.16</v>
      </c>
      <c r="Z9172" s="6">
        <v>50.98</v>
      </c>
      <c r="AA9172" s="6">
        <v>15.87</v>
      </c>
      <c r="AB9172" s="7">
        <v>16.423999999999999</v>
      </c>
      <c r="AC9172" s="6">
        <v>179.85</v>
      </c>
    </row>
    <row r="9173" spans="1:29" ht="130" x14ac:dyDescent="0.15">
      <c r="A9173" s="3">
        <f>DATE(2008,9,16)</f>
        <v>39707</v>
      </c>
      <c r="B9173" s="2"/>
      <c r="C9173" s="2" t="s">
        <v>30</v>
      </c>
      <c r="D9173" s="2" t="s">
        <v>27098</v>
      </c>
      <c r="E9173" s="2" t="s">
        <v>27099</v>
      </c>
      <c r="F9173" s="4">
        <v>3572</v>
      </c>
      <c r="G9173" s="2" t="s">
        <v>50</v>
      </c>
      <c r="H9173" s="2" t="s">
        <v>34</v>
      </c>
      <c r="I9173" s="2" t="s">
        <v>1500</v>
      </c>
      <c r="J9173" s="2" t="s">
        <v>1501</v>
      </c>
      <c r="K9173" s="2" t="s">
        <v>921</v>
      </c>
      <c r="L9173" s="2" t="s">
        <v>1502</v>
      </c>
      <c r="M9173" s="12">
        <v>79255.111000000004</v>
      </c>
      <c r="N9173" s="6">
        <v>452.55</v>
      </c>
      <c r="O9173" s="5">
        <v>476.7</v>
      </c>
      <c r="P9173" s="2" t="s">
        <v>27100</v>
      </c>
      <c r="Q9173" s="2"/>
      <c r="R9173" s="6">
        <v>26</v>
      </c>
      <c r="S9173" s="5">
        <v>140.5</v>
      </c>
      <c r="T9173" s="7">
        <v>458.09500000000003</v>
      </c>
      <c r="U9173" s="5">
        <v>22.1</v>
      </c>
      <c r="V9173" s="6">
        <v>0.59</v>
      </c>
      <c r="W9173" s="6">
        <v>14.46</v>
      </c>
      <c r="X9173" s="6">
        <v>13.46</v>
      </c>
      <c r="Y9173" s="6">
        <v>17.64</v>
      </c>
      <c r="Z9173" s="5">
        <v>16.600000000000001</v>
      </c>
      <c r="AA9173" s="6">
        <v>225.01</v>
      </c>
      <c r="AB9173" s="7">
        <v>28.657</v>
      </c>
      <c r="AC9173" s="10">
        <v>12750.38</v>
      </c>
    </row>
    <row r="9174" spans="1:29" ht="117" x14ac:dyDescent="0.15">
      <c r="A9174" s="3">
        <f>DATE(2008,9,17)</f>
        <v>39708</v>
      </c>
      <c r="B9174" s="2"/>
      <c r="C9174" s="2" t="s">
        <v>39</v>
      </c>
      <c r="D9174" s="2" t="s">
        <v>21870</v>
      </c>
      <c r="E9174" s="2" t="s">
        <v>21871</v>
      </c>
      <c r="F9174" s="4">
        <v>6211</v>
      </c>
      <c r="G9174" s="2" t="s">
        <v>53</v>
      </c>
      <c r="H9174" s="2" t="s">
        <v>34</v>
      </c>
      <c r="I9174" s="2" t="s">
        <v>22080</v>
      </c>
      <c r="J9174" s="2" t="s">
        <v>22081</v>
      </c>
      <c r="K9174" s="2" t="s">
        <v>37</v>
      </c>
      <c r="L9174" s="2" t="s">
        <v>34</v>
      </c>
      <c r="M9174" s="12">
        <v>32166.940999999999</v>
      </c>
      <c r="N9174" s="6">
        <v>9.1199999999999992</v>
      </c>
      <c r="O9174" s="5">
        <v>14.5</v>
      </c>
      <c r="P9174" s="2" t="s">
        <v>27101</v>
      </c>
      <c r="Q9174" s="2"/>
      <c r="R9174" s="2"/>
      <c r="S9174" s="5">
        <v>414</v>
      </c>
      <c r="T9174" s="8">
        <v>-1567</v>
      </c>
      <c r="U9174" s="5">
        <v>31.3</v>
      </c>
      <c r="V9174" s="6">
        <v>0.3</v>
      </c>
      <c r="W9174" s="6">
        <v>38.92</v>
      </c>
      <c r="X9174" s="5">
        <v>28.7</v>
      </c>
      <c r="Y9174" s="6">
        <v>21.75</v>
      </c>
      <c r="Z9174" s="6">
        <v>22.55</v>
      </c>
      <c r="AA9174" s="10">
        <v>1109.01</v>
      </c>
      <c r="AB9174" s="2" t="s">
        <v>86</v>
      </c>
      <c r="AC9174" s="2"/>
    </row>
    <row r="9175" spans="1:29" ht="91" x14ac:dyDescent="0.15">
      <c r="A9175" s="3">
        <f>DATE(2008,9,17)</f>
        <v>39708</v>
      </c>
      <c r="B9175" s="2"/>
      <c r="C9175" s="2" t="s">
        <v>39</v>
      </c>
      <c r="D9175" s="2" t="s">
        <v>2324</v>
      </c>
      <c r="E9175" s="2" t="s">
        <v>14447</v>
      </c>
      <c r="F9175" s="4">
        <v>6035</v>
      </c>
      <c r="G9175" s="2" t="s">
        <v>33</v>
      </c>
      <c r="H9175" s="2" t="s">
        <v>34</v>
      </c>
      <c r="I9175" s="2" t="s">
        <v>143</v>
      </c>
      <c r="J9175" s="2" t="s">
        <v>144</v>
      </c>
      <c r="K9175" s="2" t="s">
        <v>53</v>
      </c>
      <c r="L9175" s="2" t="s">
        <v>139</v>
      </c>
      <c r="M9175" s="2"/>
      <c r="N9175" s="2"/>
      <c r="O9175" s="2"/>
      <c r="P9175" s="2" t="s">
        <v>27102</v>
      </c>
      <c r="Q9175" s="2"/>
      <c r="R9175" s="2"/>
      <c r="S9175" s="8">
        <v>-6147</v>
      </c>
      <c r="T9175" s="2"/>
      <c r="U9175" s="5">
        <v>13.3</v>
      </c>
      <c r="V9175" s="6">
        <v>-6.82</v>
      </c>
      <c r="W9175" s="6">
        <v>2.3199999999999998</v>
      </c>
      <c r="X9175" s="6">
        <v>2.3199999999999998</v>
      </c>
      <c r="Y9175" s="6">
        <v>2.0099999999999998</v>
      </c>
      <c r="Z9175" s="6">
        <v>2.99</v>
      </c>
      <c r="AA9175" s="10">
        <v>1705.36</v>
      </c>
      <c r="AB9175" s="2" t="s">
        <v>86</v>
      </c>
      <c r="AC9175" s="2"/>
    </row>
    <row r="9176" spans="1:29" ht="130" x14ac:dyDescent="0.15">
      <c r="A9176" s="3">
        <f>DATE(2008,9,18)</f>
        <v>39709</v>
      </c>
      <c r="B9176" s="3">
        <f>DATE(2009,1,27)</f>
        <v>39840</v>
      </c>
      <c r="C9176" s="2" t="s">
        <v>95</v>
      </c>
      <c r="D9176" s="2" t="s">
        <v>27103</v>
      </c>
      <c r="E9176" s="2" t="s">
        <v>27104</v>
      </c>
      <c r="F9176" s="4">
        <v>5812</v>
      </c>
      <c r="G9176" s="2" t="s">
        <v>230</v>
      </c>
      <c r="H9176" s="2" t="s">
        <v>34</v>
      </c>
      <c r="I9176" s="2" t="s">
        <v>20850</v>
      </c>
      <c r="J9176" s="2" t="s">
        <v>244</v>
      </c>
      <c r="K9176" s="2" t="s">
        <v>53</v>
      </c>
      <c r="L9176" s="2" t="s">
        <v>34</v>
      </c>
      <c r="M9176" s="2"/>
      <c r="N9176" s="2"/>
      <c r="O9176" s="2"/>
      <c r="P9176" s="2" t="s">
        <v>27105</v>
      </c>
      <c r="Q9176" s="6">
        <v>100</v>
      </c>
      <c r="R9176" s="6">
        <v>2.5</v>
      </c>
      <c r="S9176" s="5">
        <v>-35.6</v>
      </c>
      <c r="T9176" s="7">
        <v>49.857999999999997</v>
      </c>
      <c r="U9176" s="5">
        <v>-2.7</v>
      </c>
      <c r="V9176" s="6">
        <v>-1.69</v>
      </c>
      <c r="W9176" s="6">
        <v>4.43</v>
      </c>
      <c r="X9176" s="6">
        <v>3.03</v>
      </c>
      <c r="Y9176" s="4">
        <v>3</v>
      </c>
      <c r="Z9176" s="6">
        <v>3.45</v>
      </c>
      <c r="AA9176" s="6">
        <v>20.98</v>
      </c>
      <c r="AB9176" s="7">
        <v>16.702000000000002</v>
      </c>
      <c r="AC9176" s="2"/>
    </row>
    <row r="9177" spans="1:29" ht="195" x14ac:dyDescent="0.15">
      <c r="A9177" s="3">
        <f>DATE(2008,9,18)</f>
        <v>39709</v>
      </c>
      <c r="B9177" s="2"/>
      <c r="C9177" s="2" t="s">
        <v>30</v>
      </c>
      <c r="D9177" s="2" t="s">
        <v>23628</v>
      </c>
      <c r="E9177" s="2" t="s">
        <v>3759</v>
      </c>
      <c r="F9177" s="4">
        <v>4911</v>
      </c>
      <c r="G9177" s="2" t="s">
        <v>439</v>
      </c>
      <c r="H9177" s="2" t="s">
        <v>34</v>
      </c>
      <c r="I9177" s="2" t="s">
        <v>12740</v>
      </c>
      <c r="J9177" s="2" t="s">
        <v>1888</v>
      </c>
      <c r="K9177" s="2" t="s">
        <v>439</v>
      </c>
      <c r="L9177" s="2" t="s">
        <v>34</v>
      </c>
      <c r="M9177" s="2"/>
      <c r="N9177" s="2"/>
      <c r="O9177" s="2"/>
      <c r="P9177" s="2" t="s">
        <v>27106</v>
      </c>
      <c r="Q9177" s="2"/>
      <c r="R9177" s="6">
        <v>26.5</v>
      </c>
      <c r="S9177" s="5">
        <v>827.6</v>
      </c>
      <c r="T9177" s="8">
        <v>1833.5</v>
      </c>
      <c r="U9177" s="5">
        <v>36.200000000000003</v>
      </c>
      <c r="V9177" s="6">
        <v>4.55</v>
      </c>
      <c r="W9177" s="6">
        <v>57.87</v>
      </c>
      <c r="X9177" s="6">
        <v>24.77</v>
      </c>
      <c r="Y9177" s="5">
        <v>24.2</v>
      </c>
      <c r="Z9177" s="6">
        <v>25.76</v>
      </c>
      <c r="AA9177" s="6">
        <v>178.33</v>
      </c>
      <c r="AB9177" s="7">
        <v>7.0780000000000003</v>
      </c>
      <c r="AC9177" s="8">
        <v>1002</v>
      </c>
    </row>
    <row r="9178" spans="1:29" ht="117" x14ac:dyDescent="0.15">
      <c r="A9178" s="3">
        <f>DATE(2008,9,18)</f>
        <v>39709</v>
      </c>
      <c r="B9178" s="2"/>
      <c r="C9178" s="2" t="s">
        <v>87</v>
      </c>
      <c r="D9178" s="2" t="s">
        <v>21870</v>
      </c>
      <c r="E9178" s="2" t="s">
        <v>21871</v>
      </c>
      <c r="F9178" s="4">
        <v>6211</v>
      </c>
      <c r="G9178" s="2" t="s">
        <v>53</v>
      </c>
      <c r="H9178" s="2" t="s">
        <v>34</v>
      </c>
      <c r="I9178" s="2" t="s">
        <v>27107</v>
      </c>
      <c r="J9178" s="2" t="s">
        <v>27108</v>
      </c>
      <c r="K9178" s="2" t="s">
        <v>53</v>
      </c>
      <c r="L9178" s="2" t="s">
        <v>455</v>
      </c>
      <c r="M9178" s="2"/>
      <c r="N9178" s="2"/>
      <c r="O9178" s="2"/>
      <c r="P9178" s="2" t="s">
        <v>27109</v>
      </c>
      <c r="Q9178" s="2"/>
      <c r="R9178" s="2"/>
      <c r="S9178" s="5">
        <v>414</v>
      </c>
      <c r="T9178" s="8">
        <v>-1567</v>
      </c>
      <c r="U9178" s="5">
        <v>31.3</v>
      </c>
      <c r="V9178" s="6">
        <v>0.3</v>
      </c>
      <c r="W9178" s="6">
        <v>38.71</v>
      </c>
      <c r="X9178" s="6">
        <v>21.75</v>
      </c>
      <c r="Y9178" s="6">
        <v>22.55</v>
      </c>
      <c r="Z9178" s="6">
        <v>27.21</v>
      </c>
      <c r="AA9178" s="10">
        <v>1109.01</v>
      </c>
      <c r="AB9178" s="2" t="s">
        <v>86</v>
      </c>
      <c r="AC9178" s="2"/>
    </row>
    <row r="9179" spans="1:29" ht="104" x14ac:dyDescent="0.15">
      <c r="A9179" s="3">
        <f>DATE(2008,9,18)</f>
        <v>39709</v>
      </c>
      <c r="B9179" s="2"/>
      <c r="C9179" s="2" t="s">
        <v>30</v>
      </c>
      <c r="D9179" s="2" t="s">
        <v>27098</v>
      </c>
      <c r="E9179" s="2" t="s">
        <v>27099</v>
      </c>
      <c r="F9179" s="4">
        <v>3572</v>
      </c>
      <c r="G9179" s="2" t="s">
        <v>50</v>
      </c>
      <c r="H9179" s="2" t="s">
        <v>34</v>
      </c>
      <c r="I9179" s="2" t="s">
        <v>27110</v>
      </c>
      <c r="J9179" s="2" t="s">
        <v>27111</v>
      </c>
      <c r="K9179" s="2" t="s">
        <v>137</v>
      </c>
      <c r="L9179" s="2" t="s">
        <v>99</v>
      </c>
      <c r="M9179" s="12">
        <v>19294.835999999999</v>
      </c>
      <c r="N9179" s="7">
        <v>4.4039999999999999</v>
      </c>
      <c r="O9179" s="7">
        <v>4.5330000000000004</v>
      </c>
      <c r="P9179" s="2" t="s">
        <v>27112</v>
      </c>
      <c r="Q9179" s="2"/>
      <c r="R9179" s="2"/>
      <c r="S9179" s="5">
        <v>140.5</v>
      </c>
      <c r="T9179" s="7">
        <v>458.09500000000003</v>
      </c>
      <c r="U9179" s="5">
        <v>22.1</v>
      </c>
      <c r="V9179" s="6">
        <v>0.59</v>
      </c>
      <c r="W9179" s="6">
        <v>16.39</v>
      </c>
      <c r="X9179" s="6">
        <v>20.92</v>
      </c>
      <c r="Y9179" s="6">
        <v>22.49</v>
      </c>
      <c r="Z9179" s="6">
        <v>22.52</v>
      </c>
      <c r="AA9179" s="6">
        <v>225.01</v>
      </c>
      <c r="AB9179" s="2" t="s">
        <v>47</v>
      </c>
      <c r="AC9179" s="10">
        <v>2783.04</v>
      </c>
    </row>
    <row r="9180" spans="1:29" ht="182" x14ac:dyDescent="0.15">
      <c r="A9180" s="3">
        <f>DATE(2008,9,19)</f>
        <v>39710</v>
      </c>
      <c r="B9180" s="2"/>
      <c r="C9180" s="2" t="s">
        <v>30</v>
      </c>
      <c r="D9180" s="2" t="s">
        <v>23628</v>
      </c>
      <c r="E9180" s="2" t="s">
        <v>3759</v>
      </c>
      <c r="F9180" s="4">
        <v>4911</v>
      </c>
      <c r="G9180" s="2" t="s">
        <v>439</v>
      </c>
      <c r="H9180" s="2" t="s">
        <v>34</v>
      </c>
      <c r="I9180" s="2" t="s">
        <v>27113</v>
      </c>
      <c r="J9180" s="2" t="s">
        <v>27114</v>
      </c>
      <c r="K9180" s="2" t="s">
        <v>439</v>
      </c>
      <c r="L9180" s="2" t="s">
        <v>133</v>
      </c>
      <c r="M9180" s="10">
        <v>154257.72</v>
      </c>
      <c r="N9180" s="7">
        <v>73.528000000000006</v>
      </c>
      <c r="O9180" s="7">
        <v>74.688999999999993</v>
      </c>
      <c r="P9180" s="2" t="s">
        <v>27115</v>
      </c>
      <c r="Q9180" s="2"/>
      <c r="R9180" s="6">
        <v>35</v>
      </c>
      <c r="S9180" s="5">
        <v>827.6</v>
      </c>
      <c r="T9180" s="8">
        <v>1833.5</v>
      </c>
      <c r="U9180" s="5">
        <v>36.200000000000003</v>
      </c>
      <c r="V9180" s="6">
        <v>4.55</v>
      </c>
      <c r="W9180" s="6">
        <v>57.87</v>
      </c>
      <c r="X9180" s="6">
        <v>24.77</v>
      </c>
      <c r="Y9180" s="5">
        <v>24.2</v>
      </c>
      <c r="Z9180" s="6">
        <v>25.76</v>
      </c>
      <c r="AA9180" s="6">
        <v>178.33</v>
      </c>
      <c r="AB9180" s="7">
        <v>8.1869999999999994</v>
      </c>
      <c r="AC9180" s="10">
        <v>30531.46</v>
      </c>
    </row>
    <row r="9181" spans="1:29" ht="117" x14ac:dyDescent="0.15">
      <c r="A9181" s="3">
        <f>DATE(2008,9,22)</f>
        <v>39713</v>
      </c>
      <c r="B9181" s="2"/>
      <c r="C9181" s="2" t="s">
        <v>30</v>
      </c>
      <c r="D9181" s="2" t="s">
        <v>20200</v>
      </c>
      <c r="E9181" s="2" t="s">
        <v>20201</v>
      </c>
      <c r="F9181" s="4">
        <v>8211</v>
      </c>
      <c r="G9181" s="2" t="s">
        <v>415</v>
      </c>
      <c r="H9181" s="2" t="s">
        <v>34</v>
      </c>
      <c r="I9181" s="2" t="s">
        <v>27116</v>
      </c>
      <c r="J9181" s="2" t="s">
        <v>27117</v>
      </c>
      <c r="K9181" s="2" t="s">
        <v>415</v>
      </c>
      <c r="L9181" s="2" t="s">
        <v>34</v>
      </c>
      <c r="M9181" s="2"/>
      <c r="N9181" s="2"/>
      <c r="O9181" s="2"/>
      <c r="P9181" s="2" t="s">
        <v>27118</v>
      </c>
      <c r="Q9181" s="2"/>
      <c r="R9181" s="6">
        <v>13.5</v>
      </c>
      <c r="S9181" s="5">
        <v>7.6</v>
      </c>
      <c r="T9181" s="7">
        <v>20.803999999999998</v>
      </c>
      <c r="U9181" s="5">
        <v>6.2</v>
      </c>
      <c r="V9181" s="6">
        <v>0.68</v>
      </c>
      <c r="W9181" s="5">
        <v>14.1</v>
      </c>
      <c r="X9181" s="7">
        <v>12.742000000000001</v>
      </c>
      <c r="Y9181" s="4">
        <v>16</v>
      </c>
      <c r="Z9181" s="6">
        <v>15.75</v>
      </c>
      <c r="AA9181" s="6">
        <v>10.46</v>
      </c>
      <c r="AB9181" s="7">
        <v>12.909000000000001</v>
      </c>
      <c r="AC9181" s="2"/>
    </row>
    <row r="9182" spans="1:29" ht="117" x14ac:dyDescent="0.15">
      <c r="A9182" s="3">
        <f>DATE(2008,9,22)</f>
        <v>39713</v>
      </c>
      <c r="B9182" s="3">
        <f>DATE(2008,11,18)</f>
        <v>39770</v>
      </c>
      <c r="C9182" s="2" t="s">
        <v>95</v>
      </c>
      <c r="D9182" s="2" t="s">
        <v>22136</v>
      </c>
      <c r="E9182" s="2" t="s">
        <v>22137</v>
      </c>
      <c r="F9182" s="4">
        <v>3577</v>
      </c>
      <c r="G9182" s="2" t="s">
        <v>50</v>
      </c>
      <c r="H9182" s="2" t="s">
        <v>34</v>
      </c>
      <c r="I9182" s="2" t="s">
        <v>27119</v>
      </c>
      <c r="J9182" s="2" t="s">
        <v>21355</v>
      </c>
      <c r="K9182" s="2" t="s">
        <v>551</v>
      </c>
      <c r="L9182" s="2" t="s">
        <v>34</v>
      </c>
      <c r="M9182" s="12">
        <v>5800.4009999999998</v>
      </c>
      <c r="N9182" s="6">
        <v>35.71</v>
      </c>
      <c r="O9182" s="5">
        <v>36.1</v>
      </c>
      <c r="P9182" s="2" t="s">
        <v>27120</v>
      </c>
      <c r="Q9182" s="6">
        <v>100</v>
      </c>
      <c r="R9182" s="6">
        <v>5.75</v>
      </c>
      <c r="S9182" s="5">
        <v>-43</v>
      </c>
      <c r="T9182" s="7">
        <v>1.6850000000000001</v>
      </c>
      <c r="U9182" s="5">
        <v>5.5</v>
      </c>
      <c r="V9182" s="6">
        <v>-0.69</v>
      </c>
      <c r="W9182" s="6">
        <v>3.77</v>
      </c>
      <c r="X9182" s="6">
        <v>4.5199999999999996</v>
      </c>
      <c r="Y9182" s="6">
        <v>5.58</v>
      </c>
      <c r="Z9182" s="6">
        <v>5.59</v>
      </c>
      <c r="AA9182" s="6">
        <v>68.180000000000007</v>
      </c>
      <c r="AB9182" s="2" t="s">
        <v>86</v>
      </c>
      <c r="AC9182" s="6">
        <v>835.92</v>
      </c>
    </row>
    <row r="9183" spans="1:29" ht="143" x14ac:dyDescent="0.15">
      <c r="A9183" s="3">
        <f>DATE(2008,9,24)</f>
        <v>39715</v>
      </c>
      <c r="B9183" s="3">
        <f>DATE(2008,12,31)</f>
        <v>39813</v>
      </c>
      <c r="C9183" s="2" t="s">
        <v>95</v>
      </c>
      <c r="D9183" s="2" t="s">
        <v>25004</v>
      </c>
      <c r="E9183" s="2" t="s">
        <v>159</v>
      </c>
      <c r="F9183" s="4">
        <v>6021</v>
      </c>
      <c r="G9183" s="2" t="s">
        <v>37</v>
      </c>
      <c r="H9183" s="2" t="s">
        <v>34</v>
      </c>
      <c r="I9183" s="2" t="s">
        <v>26364</v>
      </c>
      <c r="J9183" s="2" t="s">
        <v>36</v>
      </c>
      <c r="K9183" s="2" t="s">
        <v>37</v>
      </c>
      <c r="L9183" s="2" t="s">
        <v>34</v>
      </c>
      <c r="M9183" s="6">
        <v>154.31</v>
      </c>
      <c r="N9183" s="6">
        <v>12.22</v>
      </c>
      <c r="O9183" s="6">
        <v>12.45</v>
      </c>
      <c r="P9183" s="2" t="s">
        <v>27121</v>
      </c>
      <c r="Q9183" s="6">
        <v>100</v>
      </c>
      <c r="R9183" s="6">
        <v>6.83</v>
      </c>
      <c r="S9183" s="5">
        <v>11.6</v>
      </c>
      <c r="T9183" s="7">
        <v>20.201000000000001</v>
      </c>
      <c r="U9183" s="5">
        <v>11.1</v>
      </c>
      <c r="V9183" s="6">
        <v>0.82</v>
      </c>
      <c r="W9183" s="6">
        <v>4.2699999999999996</v>
      </c>
      <c r="X9183" s="5">
        <v>5.9</v>
      </c>
      <c r="Y9183" s="6">
        <v>6.22</v>
      </c>
      <c r="Z9183" s="6">
        <v>6.39</v>
      </c>
      <c r="AA9183" s="6">
        <v>12.7</v>
      </c>
      <c r="AB9183" s="7">
        <v>27.11</v>
      </c>
      <c r="AC9183" s="2"/>
    </row>
    <row r="9184" spans="1:29" ht="156" x14ac:dyDescent="0.15">
      <c r="A9184" s="3">
        <f>DATE(2008,9,24)</f>
        <v>39715</v>
      </c>
      <c r="B9184" s="3">
        <f>DATE(2008,12,23)</f>
        <v>39805</v>
      </c>
      <c r="C9184" s="2" t="s">
        <v>95</v>
      </c>
      <c r="D9184" s="2" t="s">
        <v>27122</v>
      </c>
      <c r="E9184" s="2" t="s">
        <v>6711</v>
      </c>
      <c r="F9184" s="4">
        <v>8731</v>
      </c>
      <c r="G9184" s="2" t="s">
        <v>223</v>
      </c>
      <c r="H9184" s="2" t="s">
        <v>34</v>
      </c>
      <c r="I9184" s="2" t="s">
        <v>5797</v>
      </c>
      <c r="J9184" s="2" t="s">
        <v>540</v>
      </c>
      <c r="K9184" s="2" t="s">
        <v>130</v>
      </c>
      <c r="L9184" s="2" t="s">
        <v>34</v>
      </c>
      <c r="M9184" s="7">
        <v>296.18200000000002</v>
      </c>
      <c r="N9184" s="6">
        <v>3.12</v>
      </c>
      <c r="O9184" s="6">
        <v>3.04</v>
      </c>
      <c r="P9184" s="2" t="s">
        <v>27123</v>
      </c>
      <c r="Q9184" s="6">
        <v>100</v>
      </c>
      <c r="R9184" s="6">
        <v>1.8</v>
      </c>
      <c r="S9184" s="5">
        <v>-58.3</v>
      </c>
      <c r="T9184" s="7">
        <v>-59.835999999999999</v>
      </c>
      <c r="U9184" s="5">
        <v>-0.1</v>
      </c>
      <c r="V9184" s="6">
        <v>-2.08</v>
      </c>
      <c r="W9184" s="6">
        <v>1.29</v>
      </c>
      <c r="X9184" s="6">
        <v>1.25</v>
      </c>
      <c r="Y9184" s="6">
        <v>1.19</v>
      </c>
      <c r="Z9184" s="6">
        <v>1.48</v>
      </c>
      <c r="AA9184" s="6">
        <v>29.75</v>
      </c>
      <c r="AB9184" s="2" t="s">
        <v>86</v>
      </c>
      <c r="AC9184" s="5">
        <v>85</v>
      </c>
    </row>
    <row r="9185" spans="1:29" ht="52" x14ac:dyDescent="0.15">
      <c r="A9185" s="3">
        <f>DATE(2008,9,24)</f>
        <v>39715</v>
      </c>
      <c r="B9185" s="2"/>
      <c r="C9185" s="2" t="s">
        <v>189</v>
      </c>
      <c r="D9185" s="2" t="s">
        <v>27124</v>
      </c>
      <c r="E9185" s="2" t="s">
        <v>27125</v>
      </c>
      <c r="F9185" s="2" t="s">
        <v>14300</v>
      </c>
      <c r="G9185" s="2" t="s">
        <v>439</v>
      </c>
      <c r="H9185" s="2" t="s">
        <v>34</v>
      </c>
      <c r="I9185" s="2" t="s">
        <v>143</v>
      </c>
      <c r="J9185" s="2" t="s">
        <v>144</v>
      </c>
      <c r="K9185" s="2" t="s">
        <v>53</v>
      </c>
      <c r="L9185" s="2" t="s">
        <v>139</v>
      </c>
      <c r="M9185" s="2"/>
      <c r="N9185" s="2"/>
      <c r="O9185" s="2"/>
      <c r="P9185" s="2" t="s">
        <v>27126</v>
      </c>
      <c r="Q9185" s="2"/>
      <c r="R9185" s="2"/>
      <c r="S9185" s="5">
        <v>-19.7</v>
      </c>
      <c r="T9185" s="7">
        <v>40.167000000000002</v>
      </c>
      <c r="U9185" s="5">
        <v>7.5</v>
      </c>
      <c r="V9185" s="9">
        <v>-1.9192</v>
      </c>
      <c r="W9185" s="7">
        <v>5.2460000000000004</v>
      </c>
      <c r="X9185" s="7">
        <v>4.9160000000000004</v>
      </c>
      <c r="Y9185" s="7">
        <v>5.3929999999999998</v>
      </c>
      <c r="Z9185" s="7">
        <v>5.4219999999999997</v>
      </c>
      <c r="AA9185" s="6">
        <v>30.92</v>
      </c>
      <c r="AB9185" s="2" t="s">
        <v>47</v>
      </c>
      <c r="AC9185" s="2"/>
    </row>
    <row r="9186" spans="1:29" ht="104" x14ac:dyDescent="0.15">
      <c r="A9186" s="3">
        <f>DATE(2008,9,25)</f>
        <v>39716</v>
      </c>
      <c r="B9186" s="3">
        <f>DATE(2008,11,24)</f>
        <v>39776</v>
      </c>
      <c r="C9186" s="2" t="s">
        <v>95</v>
      </c>
      <c r="D9186" s="2" t="s">
        <v>27127</v>
      </c>
      <c r="E9186" s="2" t="s">
        <v>27128</v>
      </c>
      <c r="F9186" s="4">
        <v>3679</v>
      </c>
      <c r="G9186" s="2" t="s">
        <v>137</v>
      </c>
      <c r="H9186" s="2" t="s">
        <v>34</v>
      </c>
      <c r="I9186" s="2" t="s">
        <v>27129</v>
      </c>
      <c r="J9186" s="2" t="s">
        <v>27128</v>
      </c>
      <c r="K9186" s="2" t="s">
        <v>137</v>
      </c>
      <c r="L9186" s="2" t="s">
        <v>34</v>
      </c>
      <c r="M9186" s="2"/>
      <c r="N9186" s="2"/>
      <c r="O9186" s="2"/>
      <c r="P9186" s="2" t="s">
        <v>27130</v>
      </c>
      <c r="Q9186" s="6">
        <v>100</v>
      </c>
      <c r="R9186" s="6">
        <v>3.2</v>
      </c>
      <c r="S9186" s="5">
        <v>-5.9</v>
      </c>
      <c r="T9186" s="7">
        <v>6.2050000000000001</v>
      </c>
      <c r="U9186" s="5">
        <v>0.6</v>
      </c>
      <c r="V9186" s="6">
        <v>-0.3</v>
      </c>
      <c r="W9186" s="6">
        <v>2.15</v>
      </c>
      <c r="X9186" s="5">
        <v>2.4</v>
      </c>
      <c r="Y9186" s="6">
        <v>2.98</v>
      </c>
      <c r="Z9186" s="6">
        <v>2.98</v>
      </c>
      <c r="AA9186" s="6">
        <v>19.48</v>
      </c>
      <c r="AB9186" s="7">
        <v>31.463999999999999</v>
      </c>
      <c r="AC9186" s="2"/>
    </row>
    <row r="9187" spans="1:29" ht="39" x14ac:dyDescent="0.15">
      <c r="A9187" s="3">
        <f>DATE(2008,9,30)</f>
        <v>39721</v>
      </c>
      <c r="B9187" s="3">
        <f>DATE(2008,9,30)</f>
        <v>39721</v>
      </c>
      <c r="C9187" s="2" t="s">
        <v>95</v>
      </c>
      <c r="D9187" s="2" t="s">
        <v>27131</v>
      </c>
      <c r="E9187" s="2" t="s">
        <v>27132</v>
      </c>
      <c r="F9187" s="4">
        <v>6035</v>
      </c>
      <c r="G9187" s="2" t="s">
        <v>33</v>
      </c>
      <c r="H9187" s="2" t="s">
        <v>34</v>
      </c>
      <c r="I9187" s="2" t="s">
        <v>27133</v>
      </c>
      <c r="J9187" s="2" t="s">
        <v>27134</v>
      </c>
      <c r="K9187" s="2" t="s">
        <v>223</v>
      </c>
      <c r="L9187" s="2" t="s">
        <v>34</v>
      </c>
      <c r="M9187" s="2"/>
      <c r="N9187" s="2"/>
      <c r="O9187" s="2"/>
      <c r="P9187" s="2" t="s">
        <v>27135</v>
      </c>
      <c r="Q9187" s="2"/>
      <c r="R9187" s="2"/>
      <c r="S9187" s="2"/>
      <c r="T9187" s="2"/>
      <c r="U9187" s="2"/>
      <c r="V9187" s="2"/>
      <c r="W9187" s="6">
        <v>10.119999999999999</v>
      </c>
      <c r="X9187" s="6">
        <v>9.85</v>
      </c>
      <c r="Y9187" s="6">
        <v>9.85</v>
      </c>
      <c r="Z9187" s="6">
        <v>9.85</v>
      </c>
      <c r="AA9187" s="6">
        <v>1.83</v>
      </c>
      <c r="AB9187" s="2" t="s">
        <v>47</v>
      </c>
      <c r="AC9187" s="2"/>
    </row>
    <row r="9188" spans="1:29" ht="169" x14ac:dyDescent="0.15">
      <c r="A9188" s="3">
        <f>DATE(2008,10,1)</f>
        <v>39722</v>
      </c>
      <c r="B9188" s="2"/>
      <c r="C9188" s="2" t="s">
        <v>30</v>
      </c>
      <c r="D9188" s="2" t="s">
        <v>27136</v>
      </c>
      <c r="E9188" s="2" t="s">
        <v>27137</v>
      </c>
      <c r="F9188" s="4">
        <v>7372</v>
      </c>
      <c r="G9188" s="2" t="s">
        <v>551</v>
      </c>
      <c r="H9188" s="2" t="s">
        <v>34</v>
      </c>
      <c r="I9188" s="2" t="s">
        <v>26527</v>
      </c>
      <c r="J9188" s="2" t="s">
        <v>22486</v>
      </c>
      <c r="K9188" s="2" t="s">
        <v>53</v>
      </c>
      <c r="L9188" s="2" t="s">
        <v>34</v>
      </c>
      <c r="M9188" s="2"/>
      <c r="N9188" s="2"/>
      <c r="O9188" s="2"/>
      <c r="P9188" s="2" t="s">
        <v>27138</v>
      </c>
      <c r="Q9188" s="2"/>
      <c r="R9188" s="6">
        <v>7.5</v>
      </c>
      <c r="S9188" s="5">
        <v>20.6</v>
      </c>
      <c r="T9188" s="7">
        <v>63.067999999999998</v>
      </c>
      <c r="U9188" s="5">
        <v>4.4000000000000004</v>
      </c>
      <c r="V9188" s="6">
        <v>0.36</v>
      </c>
      <c r="W9188" s="6">
        <v>7.88</v>
      </c>
      <c r="X9188" s="6">
        <v>7.89</v>
      </c>
      <c r="Y9188" s="6">
        <v>8.93</v>
      </c>
      <c r="Z9188" s="6">
        <v>8.56</v>
      </c>
      <c r="AA9188" s="6">
        <v>59.57</v>
      </c>
      <c r="AB9188" s="7">
        <v>26.513999999999999</v>
      </c>
      <c r="AC9188" s="2"/>
    </row>
    <row r="9189" spans="1:29" ht="143" x14ac:dyDescent="0.15">
      <c r="A9189" s="3">
        <f>DATE(2008,10,2)</f>
        <v>39723</v>
      </c>
      <c r="B9189" s="2"/>
      <c r="C9189" s="2" t="s">
        <v>30</v>
      </c>
      <c r="D9189" s="2" t="s">
        <v>24094</v>
      </c>
      <c r="E9189" s="2" t="s">
        <v>10974</v>
      </c>
      <c r="F9189" s="4">
        <v>3674</v>
      </c>
      <c r="G9189" s="2" t="s">
        <v>137</v>
      </c>
      <c r="H9189" s="2" t="s">
        <v>34</v>
      </c>
      <c r="I9189" s="2" t="s">
        <v>17961</v>
      </c>
      <c r="J9189" s="2" t="s">
        <v>10974</v>
      </c>
      <c r="K9189" s="2" t="s">
        <v>137</v>
      </c>
      <c r="L9189" s="2" t="s">
        <v>34</v>
      </c>
      <c r="M9189" s="12">
        <v>5435.4160000000002</v>
      </c>
      <c r="N9189" s="6">
        <v>27.39</v>
      </c>
      <c r="O9189" s="6">
        <v>26.95</v>
      </c>
      <c r="P9189" s="2" t="s">
        <v>27139</v>
      </c>
      <c r="Q9189" s="2"/>
      <c r="R9189" s="6">
        <v>5</v>
      </c>
      <c r="S9189" s="5">
        <v>-1.1000000000000001</v>
      </c>
      <c r="T9189" s="6">
        <v>221.28</v>
      </c>
      <c r="U9189" s="5">
        <v>1.9</v>
      </c>
      <c r="V9189" s="2"/>
      <c r="W9189" s="6">
        <v>3.64</v>
      </c>
      <c r="X9189" s="6">
        <v>3.28</v>
      </c>
      <c r="Y9189" s="5">
        <v>4.4000000000000004</v>
      </c>
      <c r="Z9189" s="6">
        <v>3.98</v>
      </c>
      <c r="AA9189" s="6">
        <v>446.21</v>
      </c>
      <c r="AB9189" s="7">
        <v>24.03</v>
      </c>
      <c r="AC9189" s="10">
        <v>1108.42</v>
      </c>
    </row>
    <row r="9190" spans="1:29" ht="78" x14ac:dyDescent="0.15">
      <c r="A9190" s="3">
        <f>DATE(2008,10,3)</f>
        <v>39724</v>
      </c>
      <c r="B9190" s="3">
        <f>DATE(2008,10,3)</f>
        <v>39724</v>
      </c>
      <c r="C9190" s="2" t="s">
        <v>95</v>
      </c>
      <c r="D9190" s="2" t="s">
        <v>27140</v>
      </c>
      <c r="E9190" s="2" t="s">
        <v>27141</v>
      </c>
      <c r="F9190" s="4">
        <v>3695</v>
      </c>
      <c r="G9190" s="2" t="s">
        <v>137</v>
      </c>
      <c r="H9190" s="2" t="s">
        <v>34</v>
      </c>
      <c r="I9190" s="2" t="s">
        <v>1526</v>
      </c>
      <c r="J9190" s="2" t="s">
        <v>302</v>
      </c>
      <c r="K9190" s="2" t="s">
        <v>53</v>
      </c>
      <c r="L9190" s="2" t="s">
        <v>34</v>
      </c>
      <c r="M9190" s="2"/>
      <c r="N9190" s="2"/>
      <c r="O9190" s="2"/>
      <c r="P9190" s="2" t="s">
        <v>27142</v>
      </c>
      <c r="Q9190" s="6">
        <v>96</v>
      </c>
      <c r="R9190" s="2"/>
      <c r="S9190" s="5">
        <v>-8.8000000000000007</v>
      </c>
      <c r="T9190" s="7">
        <v>1.3140000000000001</v>
      </c>
      <c r="U9190" s="5">
        <v>-28.7</v>
      </c>
      <c r="V9190" s="6">
        <v>-2</v>
      </c>
      <c r="W9190" s="6">
        <v>1.96</v>
      </c>
      <c r="X9190" s="5">
        <v>1.7</v>
      </c>
      <c r="Y9190" s="6">
        <v>0.59</v>
      </c>
      <c r="Z9190" s="6">
        <v>0.59</v>
      </c>
      <c r="AA9190" s="2"/>
      <c r="AB9190" s="2" t="s">
        <v>47</v>
      </c>
      <c r="AC9190" s="2"/>
    </row>
    <row r="9191" spans="1:29" ht="260" x14ac:dyDescent="0.15">
      <c r="A9191" s="3">
        <f>DATE(2008,10,3)</f>
        <v>39724</v>
      </c>
      <c r="B9191" s="3">
        <f>DATE(2008,12,31)</f>
        <v>39813</v>
      </c>
      <c r="C9191" s="2" t="s">
        <v>95</v>
      </c>
      <c r="D9191" s="2" t="s">
        <v>22080</v>
      </c>
      <c r="E9191" s="2" t="s">
        <v>22081</v>
      </c>
      <c r="F9191" s="4">
        <v>6021</v>
      </c>
      <c r="G9191" s="2" t="s">
        <v>37</v>
      </c>
      <c r="H9191" s="2" t="s">
        <v>34</v>
      </c>
      <c r="I9191" s="2" t="s">
        <v>12303</v>
      </c>
      <c r="J9191" s="2" t="s">
        <v>36</v>
      </c>
      <c r="K9191" s="2" t="s">
        <v>37</v>
      </c>
      <c r="L9191" s="2" t="s">
        <v>34</v>
      </c>
      <c r="M9191" s="2"/>
      <c r="N9191" s="6">
        <v>34.56</v>
      </c>
      <c r="O9191" s="6">
        <v>33.64</v>
      </c>
      <c r="P9191" s="2" t="s">
        <v>27143</v>
      </c>
      <c r="Q9191" s="6">
        <v>100</v>
      </c>
      <c r="R9191" s="6">
        <v>7</v>
      </c>
      <c r="S9191" s="5">
        <v>-33226</v>
      </c>
      <c r="T9191" s="5">
        <v>-36532</v>
      </c>
      <c r="U9191" s="5">
        <v>-23.2</v>
      </c>
      <c r="V9191" s="6">
        <v>-16.28</v>
      </c>
      <c r="W9191" s="5">
        <v>16.600000000000001</v>
      </c>
      <c r="X9191" s="4">
        <v>10</v>
      </c>
      <c r="Y9191" s="6">
        <v>1.84</v>
      </c>
      <c r="Z9191" s="6">
        <v>1.84</v>
      </c>
      <c r="AA9191" s="10">
        <v>2158.86</v>
      </c>
      <c r="AB9191" s="2" t="s">
        <v>86</v>
      </c>
      <c r="AC9191" s="2"/>
    </row>
    <row r="9192" spans="1:29" ht="182" x14ac:dyDescent="0.15">
      <c r="A9192" s="3">
        <f>DATE(2008,10,6)</f>
        <v>39727</v>
      </c>
      <c r="B9192" s="3">
        <f>DATE(2008,11,21)</f>
        <v>39773</v>
      </c>
      <c r="C9192" s="2" t="s">
        <v>95</v>
      </c>
      <c r="D9192" s="2" t="s">
        <v>23713</v>
      </c>
      <c r="E9192" s="2" t="s">
        <v>6711</v>
      </c>
      <c r="F9192" s="4">
        <v>2836</v>
      </c>
      <c r="G9192" s="2" t="s">
        <v>130</v>
      </c>
      <c r="H9192" s="2" t="s">
        <v>34</v>
      </c>
      <c r="I9192" s="2" t="s">
        <v>21448</v>
      </c>
      <c r="J9192" s="2" t="s">
        <v>5670</v>
      </c>
      <c r="K9192" s="2" t="s">
        <v>130</v>
      </c>
      <c r="L9192" s="2" t="s">
        <v>34</v>
      </c>
      <c r="M9192" s="12">
        <v>53061.464</v>
      </c>
      <c r="N9192" s="6">
        <v>38.42</v>
      </c>
      <c r="O9192" s="6">
        <v>38.61</v>
      </c>
      <c r="P9192" s="2" t="s">
        <v>27144</v>
      </c>
      <c r="Q9192" s="6">
        <v>100</v>
      </c>
      <c r="R9192" s="6">
        <v>70</v>
      </c>
      <c r="S9192" s="5">
        <v>-60.9</v>
      </c>
      <c r="T9192" s="7">
        <v>186.99799999999999</v>
      </c>
      <c r="U9192" s="5">
        <v>10.1</v>
      </c>
      <c r="V9192" s="6">
        <v>-0.7</v>
      </c>
      <c r="W9192" s="6">
        <v>63.95</v>
      </c>
      <c r="X9192" s="5">
        <v>62.4</v>
      </c>
      <c r="Y9192" s="6">
        <v>65.349999999999994</v>
      </c>
      <c r="Z9192" s="5">
        <v>65.099999999999994</v>
      </c>
      <c r="AA9192" s="6">
        <v>88.61</v>
      </c>
      <c r="AB9192" s="7">
        <v>39.58</v>
      </c>
      <c r="AC9192" s="8">
        <v>6118.8</v>
      </c>
    </row>
    <row r="9193" spans="1:29" ht="156" x14ac:dyDescent="0.15">
      <c r="A9193" s="3">
        <f>DATE(2008,10,6)</f>
        <v>39727</v>
      </c>
      <c r="B9193" s="2"/>
      <c r="C9193" s="2" t="s">
        <v>30</v>
      </c>
      <c r="D9193" s="2" t="s">
        <v>27145</v>
      </c>
      <c r="E9193" s="2" t="s">
        <v>19393</v>
      </c>
      <c r="F9193" s="4">
        <v>7389</v>
      </c>
      <c r="G9193" s="2" t="s">
        <v>223</v>
      </c>
      <c r="H9193" s="2" t="s">
        <v>34</v>
      </c>
      <c r="I9193" s="2" t="s">
        <v>27146</v>
      </c>
      <c r="J9193" s="2" t="s">
        <v>27147</v>
      </c>
      <c r="K9193" s="2" t="s">
        <v>223</v>
      </c>
      <c r="L9193" s="2" t="s">
        <v>34</v>
      </c>
      <c r="M9193" s="7">
        <v>796.45899999999995</v>
      </c>
      <c r="N9193" s="6">
        <v>12.91</v>
      </c>
      <c r="O9193" s="6">
        <v>11.96</v>
      </c>
      <c r="P9193" s="2" t="s">
        <v>27148</v>
      </c>
      <c r="Q9193" s="2"/>
      <c r="R9193" s="6">
        <v>3.69</v>
      </c>
      <c r="S9193" s="5">
        <v>3.1</v>
      </c>
      <c r="T9193" s="7">
        <v>8.8360000000000003</v>
      </c>
      <c r="U9193" s="5">
        <v>3.6</v>
      </c>
      <c r="V9193" s="6">
        <v>0.26</v>
      </c>
      <c r="W9193" s="6">
        <v>4.29</v>
      </c>
      <c r="X9193" s="6">
        <v>3.95</v>
      </c>
      <c r="Y9193" s="5">
        <v>3.5</v>
      </c>
      <c r="Z9193" s="7">
        <v>3.1019999999999999</v>
      </c>
      <c r="AA9193" s="6">
        <v>12.32</v>
      </c>
      <c r="AB9193" s="7">
        <v>12.242000000000001</v>
      </c>
      <c r="AC9193" s="6">
        <v>45.05</v>
      </c>
    </row>
    <row r="9194" spans="1:29" ht="52" x14ac:dyDescent="0.15">
      <c r="A9194" s="3">
        <f>DATE(2008,10,7)</f>
        <v>39728</v>
      </c>
      <c r="B9194" s="2"/>
      <c r="C9194" s="2" t="s">
        <v>39</v>
      </c>
      <c r="D9194" s="2" t="s">
        <v>27149</v>
      </c>
      <c r="E9194" s="2" t="s">
        <v>27150</v>
      </c>
      <c r="F9194" s="4">
        <v>3674</v>
      </c>
      <c r="G9194" s="2" t="s">
        <v>137</v>
      </c>
      <c r="H9194" s="2" t="s">
        <v>34</v>
      </c>
      <c r="I9194" s="2" t="s">
        <v>27110</v>
      </c>
      <c r="J9194" s="2" t="s">
        <v>27111</v>
      </c>
      <c r="K9194" s="2" t="s">
        <v>137</v>
      </c>
      <c r="L9194" s="2" t="s">
        <v>99</v>
      </c>
      <c r="M9194" s="10">
        <v>15938.71</v>
      </c>
      <c r="N9194" s="7">
        <v>3.8159999999999998</v>
      </c>
      <c r="O9194" s="7">
        <v>3.6230000000000002</v>
      </c>
      <c r="P9194" s="2" t="s">
        <v>27151</v>
      </c>
      <c r="Q9194" s="2"/>
      <c r="R9194" s="2"/>
      <c r="S9194" s="5">
        <v>-401.9</v>
      </c>
      <c r="T9194" s="7">
        <v>309.45400000000001</v>
      </c>
      <c r="U9194" s="5">
        <v>9</v>
      </c>
      <c r="V9194" s="6">
        <v>-2.66</v>
      </c>
      <c r="W9194" s="6">
        <v>1.55</v>
      </c>
      <c r="X9194" s="6">
        <v>1.1200000000000001</v>
      </c>
      <c r="Y9194" s="6">
        <v>1.17</v>
      </c>
      <c r="Z9194" s="6">
        <v>1.05</v>
      </c>
      <c r="AA9194" s="6">
        <v>160.75</v>
      </c>
      <c r="AB9194" s="2" t="s">
        <v>86</v>
      </c>
      <c r="AC9194" s="10">
        <v>2513.96</v>
      </c>
    </row>
    <row r="9195" spans="1:29" ht="52" x14ac:dyDescent="0.15">
      <c r="A9195" s="3">
        <f>DATE(2008,10,9)</f>
        <v>39730</v>
      </c>
      <c r="B9195" s="2"/>
      <c r="C9195" s="2" t="s">
        <v>87</v>
      </c>
      <c r="D9195" s="2" t="s">
        <v>10746</v>
      </c>
      <c r="E9195" s="2" t="s">
        <v>10747</v>
      </c>
      <c r="F9195" s="4">
        <v>6799</v>
      </c>
      <c r="G9195" s="2" t="s">
        <v>53</v>
      </c>
      <c r="H9195" s="2" t="s">
        <v>34</v>
      </c>
      <c r="I9195" s="2" t="s">
        <v>27152</v>
      </c>
      <c r="J9195" s="2" t="s">
        <v>27153</v>
      </c>
      <c r="K9195" s="2" t="s">
        <v>125</v>
      </c>
      <c r="L9195" s="2" t="s">
        <v>34</v>
      </c>
      <c r="M9195" s="12">
        <v>41593.035000000003</v>
      </c>
      <c r="N9195" s="4">
        <v>28</v>
      </c>
      <c r="O9195" s="6">
        <v>30.25</v>
      </c>
      <c r="P9195" s="2" t="s">
        <v>27154</v>
      </c>
      <c r="Q9195" s="2"/>
      <c r="R9195" s="2"/>
      <c r="S9195" s="8">
        <v>-1348</v>
      </c>
      <c r="T9195" s="8">
        <v>-2211</v>
      </c>
      <c r="U9195" s="5">
        <v>41.8</v>
      </c>
      <c r="V9195" s="6">
        <v>-4.4000000000000004</v>
      </c>
      <c r="W9195" s="6">
        <v>25.91</v>
      </c>
      <c r="X9195" s="6">
        <v>24.86</v>
      </c>
      <c r="Y9195" s="6">
        <v>20.11</v>
      </c>
      <c r="Z9195" s="6">
        <v>19.23</v>
      </c>
      <c r="AA9195" s="6">
        <v>301.29000000000002</v>
      </c>
      <c r="AB9195" s="2" t="s">
        <v>86</v>
      </c>
      <c r="AC9195" s="8">
        <v>20209</v>
      </c>
    </row>
    <row r="9196" spans="1:29" ht="65" x14ac:dyDescent="0.15">
      <c r="A9196" s="3">
        <f>DATE(2008,10,13)</f>
        <v>39734</v>
      </c>
      <c r="B9196" s="2"/>
      <c r="C9196" s="2" t="s">
        <v>30</v>
      </c>
      <c r="D9196" s="2" t="s">
        <v>23938</v>
      </c>
      <c r="E9196" s="2" t="s">
        <v>92</v>
      </c>
      <c r="F9196" s="4">
        <v>6798</v>
      </c>
      <c r="G9196" s="2" t="s">
        <v>53</v>
      </c>
      <c r="H9196" s="2" t="s">
        <v>34</v>
      </c>
      <c r="I9196" s="2" t="s">
        <v>23939</v>
      </c>
      <c r="J9196" s="2" t="s">
        <v>23940</v>
      </c>
      <c r="K9196" s="2" t="s">
        <v>109</v>
      </c>
      <c r="L9196" s="2" t="s">
        <v>34</v>
      </c>
      <c r="M9196" s="2"/>
      <c r="N9196" s="2"/>
      <c r="O9196" s="2"/>
      <c r="P9196" s="2" t="s">
        <v>27155</v>
      </c>
      <c r="Q9196" s="2"/>
      <c r="R9196" s="6">
        <v>27.5</v>
      </c>
      <c r="S9196" s="5">
        <v>15.9</v>
      </c>
      <c r="T9196" s="7">
        <v>21.625</v>
      </c>
      <c r="U9196" s="5">
        <v>16.899999999999999</v>
      </c>
      <c r="V9196" s="6">
        <v>2.06</v>
      </c>
      <c r="W9196" s="6">
        <v>24.63</v>
      </c>
      <c r="X9196" s="6">
        <v>21.95</v>
      </c>
      <c r="Y9196" s="5">
        <v>24.6</v>
      </c>
      <c r="Z9196" s="6">
        <v>22.33</v>
      </c>
      <c r="AA9196" s="6">
        <v>7.79</v>
      </c>
      <c r="AB9196" s="7">
        <v>19.277000000000001</v>
      </c>
      <c r="AC9196" s="2"/>
    </row>
    <row r="9197" spans="1:29" ht="156" x14ac:dyDescent="0.15">
      <c r="A9197" s="3">
        <f>DATE(2008,10,13)</f>
        <v>39734</v>
      </c>
      <c r="B9197" s="3">
        <f>DATE(2008,11,20)</f>
        <v>39772</v>
      </c>
      <c r="C9197" s="2" t="s">
        <v>95</v>
      </c>
      <c r="D9197" s="2" t="s">
        <v>27156</v>
      </c>
      <c r="E9197" s="2" t="s">
        <v>27157</v>
      </c>
      <c r="F9197" s="4">
        <v>2329</v>
      </c>
      <c r="G9197" s="2" t="s">
        <v>708</v>
      </c>
      <c r="H9197" s="2" t="s">
        <v>34</v>
      </c>
      <c r="I9197" s="2" t="s">
        <v>27158</v>
      </c>
      <c r="J9197" s="2" t="s">
        <v>27159</v>
      </c>
      <c r="K9197" s="2" t="s">
        <v>76</v>
      </c>
      <c r="L9197" s="2" t="s">
        <v>34</v>
      </c>
      <c r="M9197" s="2"/>
      <c r="N9197" s="2"/>
      <c r="O9197" s="2"/>
      <c r="P9197" s="2" t="s">
        <v>27160</v>
      </c>
      <c r="Q9197" s="6">
        <v>100</v>
      </c>
      <c r="R9197" s="6">
        <v>1.9</v>
      </c>
      <c r="S9197" s="5">
        <v>-19.600000000000001</v>
      </c>
      <c r="T9197" s="7">
        <v>-4.8639999999999999</v>
      </c>
      <c r="U9197" s="5">
        <v>5.6</v>
      </c>
      <c r="V9197" s="6">
        <v>-1.33</v>
      </c>
      <c r="W9197" s="6">
        <v>2.58</v>
      </c>
      <c r="X9197" s="6">
        <v>1.73</v>
      </c>
      <c r="Y9197" s="6">
        <v>1.84</v>
      </c>
      <c r="Z9197" s="6">
        <v>1.83</v>
      </c>
      <c r="AA9197" s="6">
        <v>14.75</v>
      </c>
      <c r="AB9197" s="2" t="s">
        <v>86</v>
      </c>
      <c r="AC9197" s="2"/>
    </row>
    <row r="9198" spans="1:29" ht="91" x14ac:dyDescent="0.15">
      <c r="A9198" s="3">
        <f>DATE(2008,10,13)</f>
        <v>39734</v>
      </c>
      <c r="B9198" s="2"/>
      <c r="C9198" s="2" t="s">
        <v>30</v>
      </c>
      <c r="D9198" s="2" t="s">
        <v>27161</v>
      </c>
      <c r="E9198" s="2" t="s">
        <v>4572</v>
      </c>
      <c r="F9198" s="4">
        <v>7376</v>
      </c>
      <c r="G9198" s="2" t="s">
        <v>223</v>
      </c>
      <c r="H9198" s="2" t="s">
        <v>34</v>
      </c>
      <c r="I9198" s="2" t="s">
        <v>27162</v>
      </c>
      <c r="J9198" s="2" t="s">
        <v>4940</v>
      </c>
      <c r="K9198" s="2" t="s">
        <v>551</v>
      </c>
      <c r="L9198" s="2" t="s">
        <v>34</v>
      </c>
      <c r="M9198" s="7">
        <v>25.931000000000001</v>
      </c>
      <c r="N9198" s="6">
        <v>2.75</v>
      </c>
      <c r="O9198" s="5">
        <v>2.5</v>
      </c>
      <c r="P9198" s="2" t="s">
        <v>27163</v>
      </c>
      <c r="Q9198" s="2"/>
      <c r="R9198" s="6">
        <v>2.85</v>
      </c>
      <c r="S9198" s="5">
        <v>-37.1</v>
      </c>
      <c r="T9198" s="7">
        <v>-27.814</v>
      </c>
      <c r="U9198" s="5">
        <v>1.3</v>
      </c>
      <c r="V9198" s="6">
        <v>-1.73</v>
      </c>
      <c r="W9198" s="6">
        <v>1.74</v>
      </c>
      <c r="X9198" s="6">
        <v>2.0499999999999998</v>
      </c>
      <c r="Y9198" s="6">
        <v>2.08</v>
      </c>
      <c r="Z9198" s="6">
        <v>2.36</v>
      </c>
      <c r="AA9198" s="6">
        <v>21.47</v>
      </c>
      <c r="AB9198" s="2" t="s">
        <v>86</v>
      </c>
      <c r="AC9198" s="6">
        <v>0.34</v>
      </c>
    </row>
    <row r="9199" spans="1:29" ht="117" x14ac:dyDescent="0.15">
      <c r="A9199" s="3">
        <f>DATE(2008,10,13)</f>
        <v>39734</v>
      </c>
      <c r="B9199" s="2"/>
      <c r="C9199" s="2" t="s">
        <v>30</v>
      </c>
      <c r="D9199" s="2" t="s">
        <v>27164</v>
      </c>
      <c r="E9199" s="2" t="s">
        <v>27165</v>
      </c>
      <c r="F9199" s="4">
        <v>3841</v>
      </c>
      <c r="G9199" s="2" t="s">
        <v>226</v>
      </c>
      <c r="H9199" s="2" t="s">
        <v>34</v>
      </c>
      <c r="I9199" s="2" t="s">
        <v>26527</v>
      </c>
      <c r="J9199" s="2" t="s">
        <v>22486</v>
      </c>
      <c r="K9199" s="2" t="s">
        <v>53</v>
      </c>
      <c r="L9199" s="2" t="s">
        <v>34</v>
      </c>
      <c r="M9199" s="2"/>
      <c r="N9199" s="2"/>
      <c r="O9199" s="2"/>
      <c r="P9199" s="2" t="s">
        <v>27166</v>
      </c>
      <c r="Q9199" s="2"/>
      <c r="R9199" s="6">
        <v>2.25</v>
      </c>
      <c r="S9199" s="5">
        <v>-13.9</v>
      </c>
      <c r="T9199" s="6">
        <v>-11.78</v>
      </c>
      <c r="U9199" s="5">
        <v>0.6</v>
      </c>
      <c r="V9199" s="6">
        <v>-0.32</v>
      </c>
      <c r="W9199" s="6">
        <v>1.87</v>
      </c>
      <c r="X9199" s="6">
        <v>1.33</v>
      </c>
      <c r="Y9199" s="6">
        <v>1.56</v>
      </c>
      <c r="Z9199" s="6">
        <v>1.99</v>
      </c>
      <c r="AA9199" s="6">
        <v>43.63</v>
      </c>
      <c r="AB9199" s="2" t="s">
        <v>86</v>
      </c>
      <c r="AC9199" s="2"/>
    </row>
    <row r="9200" spans="1:29" ht="195" x14ac:dyDescent="0.15">
      <c r="A9200" s="3">
        <f>DATE(2008,10,13)</f>
        <v>39734</v>
      </c>
      <c r="B9200" s="3">
        <f>DATE(2009,1,30)</f>
        <v>39843</v>
      </c>
      <c r="C9200" s="2" t="s">
        <v>95</v>
      </c>
      <c r="D9200" s="2" t="s">
        <v>19135</v>
      </c>
      <c r="E9200" s="2" t="s">
        <v>16534</v>
      </c>
      <c r="F9200" s="4">
        <v>6035</v>
      </c>
      <c r="G9200" s="2" t="s">
        <v>33</v>
      </c>
      <c r="H9200" s="2" t="s">
        <v>34</v>
      </c>
      <c r="I9200" s="2" t="s">
        <v>27167</v>
      </c>
      <c r="J9200" s="2" t="s">
        <v>21345</v>
      </c>
      <c r="K9200" s="2" t="s">
        <v>37</v>
      </c>
      <c r="L9200" s="2" t="s">
        <v>8464</v>
      </c>
      <c r="M9200" s="12">
        <v>96453.198999999993</v>
      </c>
      <c r="N9200" s="7">
        <v>13.855</v>
      </c>
      <c r="O9200" s="7">
        <v>14.009</v>
      </c>
      <c r="P9200" s="2" t="s">
        <v>27168</v>
      </c>
      <c r="Q9200" s="6">
        <v>75.650000000000006</v>
      </c>
      <c r="R9200" s="6">
        <v>3.81</v>
      </c>
      <c r="S9200" s="8">
        <v>-2357</v>
      </c>
      <c r="T9200" s="6">
        <v>-338.62</v>
      </c>
      <c r="U9200" s="5">
        <v>10.8</v>
      </c>
      <c r="V9200" s="6">
        <v>-4.6900000000000004</v>
      </c>
      <c r="W9200" s="6">
        <v>26.99</v>
      </c>
      <c r="X9200" s="6">
        <v>26.99</v>
      </c>
      <c r="Y9200" s="6">
        <v>24.31</v>
      </c>
      <c r="Z9200" s="6">
        <v>23.95</v>
      </c>
      <c r="AA9200" s="6">
        <v>662.74</v>
      </c>
      <c r="AB9200" s="2" t="s">
        <v>86</v>
      </c>
      <c r="AC9200" s="2"/>
    </row>
    <row r="9201" spans="1:29" ht="52" x14ac:dyDescent="0.15">
      <c r="A9201" s="3">
        <f>DATE(2008,10,14)</f>
        <v>39735</v>
      </c>
      <c r="B9201" s="3">
        <f>DATE(2008,10,14)</f>
        <v>39735</v>
      </c>
      <c r="C9201" s="2" t="s">
        <v>95</v>
      </c>
      <c r="D9201" s="2" t="s">
        <v>27169</v>
      </c>
      <c r="E9201" s="2" t="s">
        <v>21800</v>
      </c>
      <c r="F9201" s="4">
        <v>6021</v>
      </c>
      <c r="G9201" s="2" t="s">
        <v>37</v>
      </c>
      <c r="H9201" s="2" t="s">
        <v>34</v>
      </c>
      <c r="I9201" s="2" t="s">
        <v>27170</v>
      </c>
      <c r="J9201" s="2" t="s">
        <v>13664</v>
      </c>
      <c r="K9201" s="2" t="s">
        <v>53</v>
      </c>
      <c r="L9201" s="2" t="s">
        <v>34</v>
      </c>
      <c r="M9201" s="2"/>
      <c r="N9201" s="2"/>
      <c r="O9201" s="2"/>
      <c r="P9201" s="2" t="s">
        <v>27171</v>
      </c>
      <c r="Q9201" s="2"/>
      <c r="R9201" s="2"/>
      <c r="S9201" s="2"/>
      <c r="T9201" s="2"/>
      <c r="U9201" s="2"/>
      <c r="V9201" s="2"/>
      <c r="W9201" s="5">
        <v>3.3</v>
      </c>
      <c r="X9201" s="5">
        <v>3.5</v>
      </c>
      <c r="Y9201" s="5">
        <v>3.5</v>
      </c>
      <c r="Z9201" s="5">
        <v>4.5999999999999996</v>
      </c>
      <c r="AA9201" s="2"/>
      <c r="AB9201" s="2" t="s">
        <v>47</v>
      </c>
      <c r="AC9201" s="2"/>
    </row>
    <row r="9202" spans="1:29" ht="169" x14ac:dyDescent="0.15">
      <c r="A9202" s="3">
        <f>DATE(2008,10,16)</f>
        <v>39737</v>
      </c>
      <c r="B9202" s="2"/>
      <c r="C9202" s="2" t="s">
        <v>30</v>
      </c>
      <c r="D9202" s="2" t="s">
        <v>27172</v>
      </c>
      <c r="E9202" s="2" t="s">
        <v>26872</v>
      </c>
      <c r="F9202" s="4">
        <v>3827</v>
      </c>
      <c r="G9202" s="2" t="s">
        <v>226</v>
      </c>
      <c r="H9202" s="2" t="s">
        <v>34</v>
      </c>
      <c r="I9202" s="2" t="s">
        <v>9162</v>
      </c>
      <c r="J9202" s="2" t="s">
        <v>9163</v>
      </c>
      <c r="K9202" s="2" t="s">
        <v>137</v>
      </c>
      <c r="L9202" s="2" t="s">
        <v>34</v>
      </c>
      <c r="M9202" s="7">
        <v>418.90499999999997</v>
      </c>
      <c r="N9202" s="6">
        <v>9.84</v>
      </c>
      <c r="O9202" s="6">
        <v>9.66</v>
      </c>
      <c r="P9202" s="2" t="s">
        <v>27173</v>
      </c>
      <c r="Q9202" s="2"/>
      <c r="R9202" s="6">
        <v>10.31</v>
      </c>
      <c r="S9202" s="5">
        <v>2.7</v>
      </c>
      <c r="T9202" s="7">
        <v>13.117000000000001</v>
      </c>
      <c r="U9202" s="5">
        <v>9.6999999999999993</v>
      </c>
      <c r="V9202" s="6">
        <v>0.16</v>
      </c>
      <c r="W9202" s="6">
        <v>7.65</v>
      </c>
      <c r="X9202" s="6">
        <v>7.57</v>
      </c>
      <c r="Y9202" s="6">
        <v>8.7799999999999994</v>
      </c>
      <c r="Z9202" s="6">
        <v>8.84</v>
      </c>
      <c r="AA9202" s="6">
        <v>16.84</v>
      </c>
      <c r="AB9202" s="7">
        <v>23.526</v>
      </c>
      <c r="AC9202" s="6">
        <v>143.07</v>
      </c>
    </row>
    <row r="9203" spans="1:29" ht="143" x14ac:dyDescent="0.15">
      <c r="A9203" s="3">
        <f>DATE(2008,10,17)</f>
        <v>39738</v>
      </c>
      <c r="B9203" s="2"/>
      <c r="C9203" s="2" t="s">
        <v>30</v>
      </c>
      <c r="D9203" s="2" t="s">
        <v>27174</v>
      </c>
      <c r="E9203" s="2" t="s">
        <v>1283</v>
      </c>
      <c r="F9203" s="4">
        <v>5812</v>
      </c>
      <c r="G9203" s="2" t="s">
        <v>230</v>
      </c>
      <c r="H9203" s="2" t="s">
        <v>34</v>
      </c>
      <c r="I9203" s="2" t="s">
        <v>24997</v>
      </c>
      <c r="J9203" s="2" t="s">
        <v>4655</v>
      </c>
      <c r="K9203" s="2" t="s">
        <v>53</v>
      </c>
      <c r="L9203" s="2" t="s">
        <v>34</v>
      </c>
      <c r="M9203" s="2"/>
      <c r="N9203" s="2"/>
      <c r="O9203" s="2"/>
      <c r="P9203" s="2" t="s">
        <v>27175</v>
      </c>
      <c r="Q9203" s="2"/>
      <c r="R9203" s="6">
        <v>5</v>
      </c>
      <c r="S9203" s="5">
        <v>0.1</v>
      </c>
      <c r="T9203" s="7">
        <v>9.8510000000000009</v>
      </c>
      <c r="U9203" s="5">
        <v>4.5999999999999996</v>
      </c>
      <c r="V9203" s="6">
        <v>0.02</v>
      </c>
      <c r="W9203" s="5">
        <v>4.5999999999999996</v>
      </c>
      <c r="X9203" s="6">
        <v>3.77</v>
      </c>
      <c r="Y9203" s="6">
        <v>4.28</v>
      </c>
      <c r="Z9203" s="5">
        <v>4.5</v>
      </c>
      <c r="AA9203" s="6">
        <v>9.9499999999999993</v>
      </c>
      <c r="AB9203" s="7">
        <v>69.897999999999996</v>
      </c>
      <c r="AC9203" s="2"/>
    </row>
    <row r="9204" spans="1:29" ht="65" x14ac:dyDescent="0.15">
      <c r="A9204" s="3">
        <f>DATE(2008,10,17)</f>
        <v>39738</v>
      </c>
      <c r="B9204" s="3">
        <f>DATE(2008,11,3)</f>
        <v>39755</v>
      </c>
      <c r="C9204" s="2" t="s">
        <v>95</v>
      </c>
      <c r="D9204" s="2" t="s">
        <v>26464</v>
      </c>
      <c r="E9204" s="2" t="s">
        <v>24835</v>
      </c>
      <c r="F9204" s="4">
        <v>6726</v>
      </c>
      <c r="G9204" s="2" t="s">
        <v>53</v>
      </c>
      <c r="H9204" s="2" t="s">
        <v>34</v>
      </c>
      <c r="I9204" s="2" t="s">
        <v>26464</v>
      </c>
      <c r="J9204" s="2" t="s">
        <v>24835</v>
      </c>
      <c r="K9204" s="2" t="s">
        <v>53</v>
      </c>
      <c r="L9204" s="2" t="s">
        <v>34</v>
      </c>
      <c r="M9204" s="7">
        <v>239.40799999999999</v>
      </c>
      <c r="N9204" s="6">
        <v>8.25</v>
      </c>
      <c r="O9204" s="6">
        <v>8.67</v>
      </c>
      <c r="P9204" s="2" t="s">
        <v>27176</v>
      </c>
      <c r="Q9204" s="6">
        <v>100</v>
      </c>
      <c r="R9204" s="2"/>
      <c r="S9204" s="2"/>
      <c r="T9204" s="2"/>
      <c r="U9204" s="2"/>
      <c r="V9204" s="2"/>
      <c r="W9204" s="6">
        <v>6.76</v>
      </c>
      <c r="X9204" s="6">
        <v>7.89</v>
      </c>
      <c r="Y9204" s="6">
        <v>8.07</v>
      </c>
      <c r="Z9204" s="6">
        <v>8.84</v>
      </c>
      <c r="AA9204" s="6">
        <v>4.04</v>
      </c>
      <c r="AB9204" s="2" t="s">
        <v>47</v>
      </c>
      <c r="AC9204" s="2"/>
    </row>
    <row r="9205" spans="1:29" ht="182" x14ac:dyDescent="0.15">
      <c r="A9205" s="3">
        <f>DATE(2008,10,19)</f>
        <v>39740</v>
      </c>
      <c r="B9205" s="2"/>
      <c r="C9205" s="2" t="s">
        <v>30</v>
      </c>
      <c r="D9205" s="2" t="s">
        <v>19713</v>
      </c>
      <c r="E9205" s="2" t="s">
        <v>24154</v>
      </c>
      <c r="F9205" s="4">
        <v>4911</v>
      </c>
      <c r="G9205" s="2" t="s">
        <v>439</v>
      </c>
      <c r="H9205" s="2" t="s">
        <v>34</v>
      </c>
      <c r="I9205" s="2" t="s">
        <v>22571</v>
      </c>
      <c r="J9205" s="2" t="s">
        <v>3759</v>
      </c>
      <c r="K9205" s="2" t="s">
        <v>439</v>
      </c>
      <c r="L9205" s="2" t="s">
        <v>34</v>
      </c>
      <c r="M9205" s="12">
        <v>44659.148000000001</v>
      </c>
      <c r="N9205" s="6">
        <v>54.59</v>
      </c>
      <c r="O9205" s="6">
        <v>54.59</v>
      </c>
      <c r="P9205" s="2" t="s">
        <v>27177</v>
      </c>
      <c r="Q9205" s="2"/>
      <c r="R9205" s="6">
        <v>28.1</v>
      </c>
      <c r="S9205" s="5">
        <v>381</v>
      </c>
      <c r="T9205" s="8">
        <v>1850</v>
      </c>
      <c r="U9205" s="5">
        <v>16.100000000000001</v>
      </c>
      <c r="V9205" s="6">
        <v>1.1599999999999999</v>
      </c>
      <c r="W9205" s="6">
        <v>15.17</v>
      </c>
      <c r="X9205" s="6">
        <v>19.329999999999998</v>
      </c>
      <c r="Y9205" s="4">
        <v>25</v>
      </c>
      <c r="Z9205" s="4">
        <v>25</v>
      </c>
      <c r="AA9205" s="6">
        <v>265.27</v>
      </c>
      <c r="AB9205" s="7">
        <v>12.718</v>
      </c>
      <c r="AC9205" s="8">
        <v>2511</v>
      </c>
    </row>
    <row r="9206" spans="1:29" ht="91" x14ac:dyDescent="0.15">
      <c r="A9206" s="3">
        <f>DATE(2008,10,20)</f>
        <v>39741</v>
      </c>
      <c r="B9206" s="3">
        <f>DATE(2009,1,7)</f>
        <v>39820</v>
      </c>
      <c r="C9206" s="2" t="s">
        <v>95</v>
      </c>
      <c r="D9206" s="2" t="s">
        <v>27178</v>
      </c>
      <c r="E9206" s="2" t="s">
        <v>27179</v>
      </c>
      <c r="F9206" s="4">
        <v>7372</v>
      </c>
      <c r="G9206" s="2" t="s">
        <v>551</v>
      </c>
      <c r="H9206" s="2" t="s">
        <v>34</v>
      </c>
      <c r="I9206" s="2" t="s">
        <v>27180</v>
      </c>
      <c r="J9206" s="2" t="s">
        <v>15941</v>
      </c>
      <c r="K9206" s="2" t="s">
        <v>551</v>
      </c>
      <c r="L9206" s="2" t="s">
        <v>34</v>
      </c>
      <c r="M9206" s="2"/>
      <c r="N9206" s="2"/>
      <c r="O9206" s="2"/>
      <c r="P9206" s="2" t="s">
        <v>27181</v>
      </c>
      <c r="Q9206" s="6">
        <v>100</v>
      </c>
      <c r="R9206" s="6">
        <v>4</v>
      </c>
      <c r="S9206" s="5">
        <v>-0.5</v>
      </c>
      <c r="T9206" s="7">
        <v>-0.51600000000000001</v>
      </c>
      <c r="U9206" s="5">
        <v>0.8</v>
      </c>
      <c r="V9206" s="6">
        <v>-0.08</v>
      </c>
      <c r="W9206" s="6">
        <v>3.47</v>
      </c>
      <c r="X9206" s="5">
        <v>3.1</v>
      </c>
      <c r="Y9206" s="6">
        <v>3.69</v>
      </c>
      <c r="Z9206" s="6">
        <v>3.68</v>
      </c>
      <c r="AA9206" s="6">
        <v>6.31</v>
      </c>
      <c r="AB9206" s="2" t="s">
        <v>86</v>
      </c>
      <c r="AC9206" s="2"/>
    </row>
    <row r="9207" spans="1:29" ht="143" x14ac:dyDescent="0.15">
      <c r="A9207" s="3">
        <f>DATE(2008,10,20)</f>
        <v>39741</v>
      </c>
      <c r="B9207" s="2"/>
      <c r="C9207" s="2" t="s">
        <v>30</v>
      </c>
      <c r="D9207" s="2" t="s">
        <v>27182</v>
      </c>
      <c r="E9207" s="2" t="s">
        <v>22489</v>
      </c>
      <c r="F9207" s="4">
        <v>5699</v>
      </c>
      <c r="G9207" s="2" t="s">
        <v>756</v>
      </c>
      <c r="H9207" s="2" t="s">
        <v>34</v>
      </c>
      <c r="I9207" s="2" t="s">
        <v>27183</v>
      </c>
      <c r="J9207" s="2" t="s">
        <v>10623</v>
      </c>
      <c r="K9207" s="2" t="s">
        <v>73</v>
      </c>
      <c r="L9207" s="2" t="s">
        <v>34</v>
      </c>
      <c r="M9207" s="7">
        <v>36.302</v>
      </c>
      <c r="N9207" s="6">
        <v>1.45</v>
      </c>
      <c r="O9207" s="5">
        <v>1.3</v>
      </c>
      <c r="P9207" s="2" t="s">
        <v>27184</v>
      </c>
      <c r="Q9207" s="2"/>
      <c r="R9207" s="6">
        <v>5</v>
      </c>
      <c r="S9207" s="5">
        <v>-49.1</v>
      </c>
      <c r="T9207" s="6">
        <v>113.07</v>
      </c>
      <c r="U9207" s="5">
        <v>6.1</v>
      </c>
      <c r="V9207" s="6">
        <v>-0.17</v>
      </c>
      <c r="W9207" s="6">
        <v>3.85</v>
      </c>
      <c r="X9207" s="6">
        <v>3.62</v>
      </c>
      <c r="Y9207" s="5">
        <v>3.8</v>
      </c>
      <c r="Z9207" s="5">
        <v>3.6</v>
      </c>
      <c r="AA9207" s="6">
        <v>65.709999999999994</v>
      </c>
      <c r="AB9207" s="7">
        <v>11.1</v>
      </c>
      <c r="AC9207" s="2"/>
    </row>
    <row r="9208" spans="1:29" ht="182" x14ac:dyDescent="0.15">
      <c r="A9208" s="3">
        <f>DATE(2008,10,21)</f>
        <v>39742</v>
      </c>
      <c r="B9208" s="2"/>
      <c r="C9208" s="2" t="s">
        <v>30</v>
      </c>
      <c r="D9208" s="2" t="s">
        <v>25381</v>
      </c>
      <c r="E9208" s="2" t="s">
        <v>23906</v>
      </c>
      <c r="F9208" s="4">
        <v>4613</v>
      </c>
      <c r="G9208" s="2" t="s">
        <v>148</v>
      </c>
      <c r="H9208" s="2" t="s">
        <v>34</v>
      </c>
      <c r="I9208" s="2" t="s">
        <v>25382</v>
      </c>
      <c r="J9208" s="2" t="s">
        <v>11337</v>
      </c>
      <c r="K9208" s="2" t="s">
        <v>53</v>
      </c>
      <c r="L9208" s="2" t="s">
        <v>34</v>
      </c>
      <c r="M9208" s="2"/>
      <c r="N9208" s="2"/>
      <c r="O9208" s="2"/>
      <c r="P9208" s="2" t="s">
        <v>27185</v>
      </c>
      <c r="Q9208" s="2"/>
      <c r="R9208" s="6">
        <v>17.5</v>
      </c>
      <c r="S9208" s="5">
        <v>26.2</v>
      </c>
      <c r="T9208" s="7">
        <v>280.798</v>
      </c>
      <c r="U9208" s="5">
        <v>8.4</v>
      </c>
      <c r="V9208" s="6">
        <v>0.92</v>
      </c>
      <c r="W9208" s="5">
        <v>14.8</v>
      </c>
      <c r="X9208" s="5">
        <v>14.2</v>
      </c>
      <c r="Y9208" s="6">
        <v>14.29</v>
      </c>
      <c r="Z9208" s="6">
        <v>16.649999999999999</v>
      </c>
      <c r="AA9208" s="6">
        <v>27.77</v>
      </c>
      <c r="AB9208" s="7">
        <v>8.1690000000000005</v>
      </c>
      <c r="AC9208" s="2"/>
    </row>
    <row r="9209" spans="1:29" ht="52" x14ac:dyDescent="0.15">
      <c r="A9209" s="3">
        <f>DATE(2008,10,22)</f>
        <v>39743</v>
      </c>
      <c r="B9209" s="2"/>
      <c r="C9209" s="2" t="s">
        <v>189</v>
      </c>
      <c r="D9209" s="2" t="s">
        <v>20456</v>
      </c>
      <c r="E9209" s="2" t="s">
        <v>20457</v>
      </c>
      <c r="F9209" s="4">
        <v>1099</v>
      </c>
      <c r="G9209" s="2" t="s">
        <v>166</v>
      </c>
      <c r="H9209" s="2" t="s">
        <v>34</v>
      </c>
      <c r="I9209" s="2" t="s">
        <v>143</v>
      </c>
      <c r="J9209" s="2" t="s">
        <v>144</v>
      </c>
      <c r="K9209" s="2" t="s">
        <v>53</v>
      </c>
      <c r="L9209" s="2" t="s">
        <v>139</v>
      </c>
      <c r="M9209" s="2"/>
      <c r="N9209" s="2"/>
      <c r="O9209" s="2"/>
      <c r="P9209" s="2" t="s">
        <v>27186</v>
      </c>
      <c r="Q9209" s="2"/>
      <c r="R9209" s="2"/>
      <c r="S9209" s="5">
        <v>20.399999999999999</v>
      </c>
      <c r="T9209" s="7">
        <v>104.209</v>
      </c>
      <c r="U9209" s="5">
        <v>5.9</v>
      </c>
      <c r="V9209" s="6">
        <v>0.23</v>
      </c>
      <c r="W9209" s="5">
        <v>3.8</v>
      </c>
      <c r="X9209" s="6">
        <v>4.28</v>
      </c>
      <c r="Y9209" s="6">
        <v>3.21</v>
      </c>
      <c r="Z9209" s="6">
        <v>3.07</v>
      </c>
      <c r="AA9209" s="6">
        <v>93.14</v>
      </c>
      <c r="AB9209" s="2" t="s">
        <v>47</v>
      </c>
      <c r="AC9209" s="2"/>
    </row>
    <row r="9210" spans="1:29" ht="208" x14ac:dyDescent="0.15">
      <c r="A9210" s="3">
        <f>DATE(2008,10,24)</f>
        <v>39745</v>
      </c>
      <c r="B9210" s="3">
        <f>DATE(2008,12,31)</f>
        <v>39813</v>
      </c>
      <c r="C9210" s="2" t="s">
        <v>95</v>
      </c>
      <c r="D9210" s="2" t="s">
        <v>158</v>
      </c>
      <c r="E9210" s="2" t="s">
        <v>159</v>
      </c>
      <c r="F9210" s="4">
        <v>6021</v>
      </c>
      <c r="G9210" s="2" t="s">
        <v>37</v>
      </c>
      <c r="H9210" s="2" t="s">
        <v>34</v>
      </c>
      <c r="I9210" s="2" t="s">
        <v>21185</v>
      </c>
      <c r="J9210" s="2" t="s">
        <v>36</v>
      </c>
      <c r="K9210" s="2" t="s">
        <v>37</v>
      </c>
      <c r="L9210" s="2" t="s">
        <v>34</v>
      </c>
      <c r="M9210" s="12">
        <v>26160.538</v>
      </c>
      <c r="N9210" s="6">
        <v>58.88</v>
      </c>
      <c r="O9210" s="6">
        <v>58.63</v>
      </c>
      <c r="P9210" s="2" t="s">
        <v>27187</v>
      </c>
      <c r="Q9210" s="6">
        <v>100</v>
      </c>
      <c r="R9210" s="6">
        <v>2.23</v>
      </c>
      <c r="S9210" s="8">
        <v>-8765.2000000000007</v>
      </c>
      <c r="T9210" s="10">
        <v>-3092.82</v>
      </c>
      <c r="U9210" s="5">
        <v>7.8</v>
      </c>
      <c r="V9210" s="6">
        <v>-11.88</v>
      </c>
      <c r="W9210" s="6">
        <v>14.61</v>
      </c>
      <c r="X9210" s="6">
        <v>15.01</v>
      </c>
      <c r="Y9210" s="6">
        <v>13.15</v>
      </c>
      <c r="Z9210" s="6">
        <v>7.52</v>
      </c>
      <c r="AA9210" s="10">
        <v>2346.94</v>
      </c>
      <c r="AB9210" s="2" t="s">
        <v>86</v>
      </c>
      <c r="AC9210" s="2"/>
    </row>
    <row r="9211" spans="1:29" ht="52" x14ac:dyDescent="0.15">
      <c r="A9211" s="3">
        <f>DATE(2008,10,27)</f>
        <v>39748</v>
      </c>
      <c r="B9211" s="2"/>
      <c r="C9211" s="2" t="s">
        <v>39</v>
      </c>
      <c r="D9211" s="2" t="s">
        <v>14463</v>
      </c>
      <c r="E9211" s="2" t="s">
        <v>1637</v>
      </c>
      <c r="F9211" s="4">
        <v>3312</v>
      </c>
      <c r="G9211" s="2" t="s">
        <v>163</v>
      </c>
      <c r="H9211" s="2" t="s">
        <v>34</v>
      </c>
      <c r="I9211" s="2" t="s">
        <v>27188</v>
      </c>
      <c r="J9211" s="2" t="s">
        <v>27189</v>
      </c>
      <c r="K9211" s="2" t="s">
        <v>163</v>
      </c>
      <c r="L9211" s="2" t="s">
        <v>1049</v>
      </c>
      <c r="M9211" s="10">
        <v>15420.78</v>
      </c>
      <c r="N9211" s="7">
        <v>16.138000000000002</v>
      </c>
      <c r="O9211" s="7">
        <v>16.076000000000001</v>
      </c>
      <c r="P9211" s="2" t="s">
        <v>27190</v>
      </c>
      <c r="Q9211" s="2"/>
      <c r="R9211" s="2"/>
      <c r="S9211" s="5">
        <v>541.29999999999995</v>
      </c>
      <c r="T9211" s="8">
        <v>1082.8</v>
      </c>
      <c r="U9211" s="5">
        <v>12.8</v>
      </c>
      <c r="V9211" s="6">
        <v>4.8099999999999996</v>
      </c>
      <c r="W9211" s="5">
        <v>15.1</v>
      </c>
      <c r="X9211" s="6">
        <v>11.61</v>
      </c>
      <c r="Y9211" s="5">
        <v>10.9</v>
      </c>
      <c r="Z9211" s="5">
        <v>12.1</v>
      </c>
      <c r="AA9211" s="6">
        <v>112.2</v>
      </c>
      <c r="AB9211" s="2" t="s">
        <v>47</v>
      </c>
      <c r="AC9211" s="10">
        <v>4742.2700000000004</v>
      </c>
    </row>
    <row r="9212" spans="1:29" ht="221" x14ac:dyDescent="0.15">
      <c r="A9212" s="3">
        <f>DATE(2008,10,27)</f>
        <v>39748</v>
      </c>
      <c r="B9212" s="3">
        <f>DATE(2009,7,1)</f>
        <v>39995</v>
      </c>
      <c r="C9212" s="2" t="s">
        <v>95</v>
      </c>
      <c r="D9212" s="2" t="s">
        <v>27191</v>
      </c>
      <c r="E9212" s="2" t="s">
        <v>27192</v>
      </c>
      <c r="F9212" s="4">
        <v>4813</v>
      </c>
      <c r="G9212" s="2" t="s">
        <v>63</v>
      </c>
      <c r="H9212" s="2" t="s">
        <v>34</v>
      </c>
      <c r="I9212" s="2" t="s">
        <v>19232</v>
      </c>
      <c r="J9212" s="2" t="s">
        <v>19233</v>
      </c>
      <c r="K9212" s="2" t="s">
        <v>223</v>
      </c>
      <c r="L9212" s="2" t="s">
        <v>34</v>
      </c>
      <c r="M9212" s="12">
        <v>3800.279</v>
      </c>
      <c r="N9212" s="6">
        <v>25.62</v>
      </c>
      <c r="O9212" s="6">
        <v>27.81</v>
      </c>
      <c r="P9212" s="2" t="s">
        <v>27193</v>
      </c>
      <c r="Q9212" s="6">
        <v>100</v>
      </c>
      <c r="R9212" s="6">
        <v>40.42</v>
      </c>
      <c r="S9212" s="5">
        <v>768</v>
      </c>
      <c r="T9212" s="8">
        <v>2602</v>
      </c>
      <c r="U9212" s="5">
        <v>0.5</v>
      </c>
      <c r="V9212" s="6">
        <v>5.1100000000000003</v>
      </c>
      <c r="W9212" s="6">
        <v>42.06</v>
      </c>
      <c r="X9212" s="6">
        <v>40.549999999999997</v>
      </c>
      <c r="Y9212" s="5">
        <v>40.200000000000003</v>
      </c>
      <c r="Z9212" s="6">
        <v>41.16</v>
      </c>
      <c r="AA9212" s="6">
        <v>142.51</v>
      </c>
      <c r="AB9212" s="7">
        <v>7.2370000000000001</v>
      </c>
      <c r="AC9212" s="6">
        <v>258.95999999999998</v>
      </c>
    </row>
    <row r="9213" spans="1:29" ht="65" x14ac:dyDescent="0.15">
      <c r="A9213" s="3">
        <f>DATE(2008,10,27)</f>
        <v>39748</v>
      </c>
      <c r="B9213" s="2"/>
      <c r="C9213" s="2" t="s">
        <v>87</v>
      </c>
      <c r="D9213" s="2" t="s">
        <v>27194</v>
      </c>
      <c r="E9213" s="2" t="s">
        <v>17238</v>
      </c>
      <c r="F9213" s="4">
        <v>6282</v>
      </c>
      <c r="G9213" s="2" t="s">
        <v>53</v>
      </c>
      <c r="H9213" s="2" t="s">
        <v>34</v>
      </c>
      <c r="I9213" s="2" t="s">
        <v>15550</v>
      </c>
      <c r="J9213" s="2" t="s">
        <v>23903</v>
      </c>
      <c r="K9213" s="2" t="s">
        <v>37</v>
      </c>
      <c r="L9213" s="2" t="s">
        <v>34</v>
      </c>
      <c r="M9213" s="12">
        <v>96655.731</v>
      </c>
      <c r="N9213" s="6">
        <v>11.73</v>
      </c>
      <c r="O9213" s="6">
        <v>13.47</v>
      </c>
      <c r="P9213" s="2" t="s">
        <v>27195</v>
      </c>
      <c r="Q9213" s="2"/>
      <c r="R9213" s="2"/>
      <c r="S9213" s="8">
        <v>7658</v>
      </c>
      <c r="T9213" s="8">
        <v>12495</v>
      </c>
      <c r="U9213" s="5">
        <v>107.7</v>
      </c>
      <c r="V9213" s="6">
        <v>16.600000000000001</v>
      </c>
      <c r="W9213" s="5">
        <v>121.5</v>
      </c>
      <c r="X9213" s="5">
        <v>100.4</v>
      </c>
      <c r="Y9213" s="6">
        <v>92.88</v>
      </c>
      <c r="Z9213" s="6">
        <v>93.57</v>
      </c>
      <c r="AA9213" s="6">
        <v>395.44</v>
      </c>
      <c r="AB9213" s="2" t="s">
        <v>47</v>
      </c>
      <c r="AC9213" s="2"/>
    </row>
    <row r="9214" spans="1:29" ht="52" x14ac:dyDescent="0.15">
      <c r="A9214" s="3">
        <f>DATE(2008,10,31)</f>
        <v>39752</v>
      </c>
      <c r="B9214" s="2"/>
      <c r="C9214" s="2" t="s">
        <v>189</v>
      </c>
      <c r="D9214" s="2" t="s">
        <v>27196</v>
      </c>
      <c r="E9214" s="2" t="s">
        <v>27197</v>
      </c>
      <c r="F9214" s="4">
        <v>3861</v>
      </c>
      <c r="G9214" s="2" t="s">
        <v>226</v>
      </c>
      <c r="H9214" s="2" t="s">
        <v>34</v>
      </c>
      <c r="I9214" s="2" t="s">
        <v>143</v>
      </c>
      <c r="J9214" s="2" t="s">
        <v>144</v>
      </c>
      <c r="K9214" s="2" t="s">
        <v>53</v>
      </c>
      <c r="L9214" s="2" t="s">
        <v>139</v>
      </c>
      <c r="M9214" s="2"/>
      <c r="N9214" s="2"/>
      <c r="O9214" s="2"/>
      <c r="P9214" s="2" t="s">
        <v>27198</v>
      </c>
      <c r="Q9214" s="2"/>
      <c r="R9214" s="2"/>
      <c r="S9214" s="5">
        <v>-9.6</v>
      </c>
      <c r="T9214" s="7">
        <v>-2.887</v>
      </c>
      <c r="U9214" s="5">
        <v>6</v>
      </c>
      <c r="V9214" s="6">
        <v>-1.62</v>
      </c>
      <c r="W9214" s="6">
        <v>1.65</v>
      </c>
      <c r="X9214" s="5">
        <v>1.7</v>
      </c>
      <c r="Y9214" s="4">
        <v>2</v>
      </c>
      <c r="Z9214" s="4">
        <v>2</v>
      </c>
      <c r="AA9214" s="6">
        <v>5.91</v>
      </c>
      <c r="AB9214" s="2" t="s">
        <v>86</v>
      </c>
      <c r="AC9214" s="2"/>
    </row>
    <row r="9215" spans="1:29" ht="117" x14ac:dyDescent="0.15">
      <c r="A9215" s="3">
        <f>DATE(2008,10,31)</f>
        <v>39752</v>
      </c>
      <c r="B9215" s="3">
        <f>DATE(2008,12,29)</f>
        <v>39811</v>
      </c>
      <c r="C9215" s="2" t="s">
        <v>95</v>
      </c>
      <c r="D9215" s="2" t="s">
        <v>27199</v>
      </c>
      <c r="E9215" s="2" t="s">
        <v>26343</v>
      </c>
      <c r="F9215" s="4">
        <v>8748</v>
      </c>
      <c r="G9215" s="2" t="s">
        <v>223</v>
      </c>
      <c r="H9215" s="2" t="s">
        <v>34</v>
      </c>
      <c r="I9215" s="2" t="s">
        <v>22841</v>
      </c>
      <c r="J9215" s="2" t="s">
        <v>244</v>
      </c>
      <c r="K9215" s="2" t="s">
        <v>53</v>
      </c>
      <c r="L9215" s="2" t="s">
        <v>34</v>
      </c>
      <c r="M9215" s="2"/>
      <c r="N9215" s="2"/>
      <c r="O9215" s="2"/>
      <c r="P9215" s="2" t="s">
        <v>27200</v>
      </c>
      <c r="Q9215" s="6">
        <v>100</v>
      </c>
      <c r="R9215" s="6">
        <v>6.25</v>
      </c>
      <c r="S9215" s="5">
        <v>3.9</v>
      </c>
      <c r="T9215" s="7">
        <v>9.0180000000000007</v>
      </c>
      <c r="U9215" s="5">
        <v>2.4</v>
      </c>
      <c r="V9215" s="6">
        <v>0.2</v>
      </c>
      <c r="W9215" s="5">
        <v>2.7</v>
      </c>
      <c r="X9215" s="6">
        <v>2.41</v>
      </c>
      <c r="Y9215" s="5">
        <v>5.5</v>
      </c>
      <c r="Z9215" s="6">
        <v>5.58</v>
      </c>
      <c r="AA9215" s="6">
        <v>18.399999999999999</v>
      </c>
      <c r="AB9215" s="7">
        <v>13.557</v>
      </c>
      <c r="AC9215" s="2"/>
    </row>
    <row r="9216" spans="1:29" ht="78" x14ac:dyDescent="0.15">
      <c r="A9216" s="3">
        <f>DATE(2008,10,31)</f>
        <v>39752</v>
      </c>
      <c r="B9216" s="2"/>
      <c r="C9216" s="2" t="s">
        <v>30</v>
      </c>
      <c r="D9216" s="2" t="s">
        <v>27201</v>
      </c>
      <c r="E9216" s="2" t="s">
        <v>12043</v>
      </c>
      <c r="F9216" s="4">
        <v>3674</v>
      </c>
      <c r="G9216" s="2" t="s">
        <v>137</v>
      </c>
      <c r="H9216" s="2" t="s">
        <v>34</v>
      </c>
      <c r="I9216" s="2" t="s">
        <v>27202</v>
      </c>
      <c r="J9216" s="2" t="s">
        <v>150</v>
      </c>
      <c r="K9216" s="2" t="s">
        <v>53</v>
      </c>
      <c r="L9216" s="2" t="s">
        <v>34</v>
      </c>
      <c r="M9216" s="2"/>
      <c r="N9216" s="2"/>
      <c r="O9216" s="2"/>
      <c r="P9216" s="2" t="s">
        <v>27203</v>
      </c>
      <c r="Q9216" s="2"/>
      <c r="R9216" s="6">
        <v>6.05</v>
      </c>
      <c r="S9216" s="5">
        <v>-2.5</v>
      </c>
      <c r="T9216" s="7">
        <v>4.5339999999999998</v>
      </c>
      <c r="U9216" s="5">
        <v>4.4000000000000004</v>
      </c>
      <c r="V9216" s="6">
        <v>0.11</v>
      </c>
      <c r="W9216" s="6">
        <v>3.75</v>
      </c>
      <c r="X9216" s="5">
        <v>3.9</v>
      </c>
      <c r="Y9216" s="6">
        <v>3.99</v>
      </c>
      <c r="Z9216" s="4">
        <v>4</v>
      </c>
      <c r="AA9216" s="6">
        <v>22.44</v>
      </c>
      <c r="AB9216" s="7">
        <v>41.273000000000003</v>
      </c>
      <c r="AC9216" s="2"/>
    </row>
    <row r="9217" spans="1:29" ht="91" x14ac:dyDescent="0.15">
      <c r="A9217" s="3">
        <f>DATE(2008,11,3)</f>
        <v>39755</v>
      </c>
      <c r="B9217" s="2"/>
      <c r="C9217" s="2" t="s">
        <v>30</v>
      </c>
      <c r="D9217" s="2" t="s">
        <v>27204</v>
      </c>
      <c r="E9217" s="2" t="s">
        <v>27205</v>
      </c>
      <c r="F9217" s="4">
        <v>7372</v>
      </c>
      <c r="G9217" s="2" t="s">
        <v>551</v>
      </c>
      <c r="H9217" s="2" t="s">
        <v>34</v>
      </c>
      <c r="I9217" s="2" t="s">
        <v>27206</v>
      </c>
      <c r="J9217" s="2" t="s">
        <v>27207</v>
      </c>
      <c r="K9217" s="2" t="s">
        <v>551</v>
      </c>
      <c r="L9217" s="2" t="s">
        <v>34</v>
      </c>
      <c r="M9217" s="2"/>
      <c r="N9217" s="2"/>
      <c r="O9217" s="2"/>
      <c r="P9217" s="2" t="s">
        <v>27208</v>
      </c>
      <c r="Q9217" s="2"/>
      <c r="R9217" s="6">
        <v>4.5</v>
      </c>
      <c r="S9217" s="5">
        <v>-8.6999999999999993</v>
      </c>
      <c r="T9217" s="7">
        <v>-4.1710000000000003</v>
      </c>
      <c r="U9217" s="5">
        <v>1.4</v>
      </c>
      <c r="V9217" s="6">
        <v>-0.38</v>
      </c>
      <c r="W9217" s="6">
        <v>2.0299999999999998</v>
      </c>
      <c r="X9217" s="6">
        <v>2.85</v>
      </c>
      <c r="Y9217" s="6">
        <v>3.17</v>
      </c>
      <c r="Z9217" s="5">
        <v>3.7</v>
      </c>
      <c r="AA9217" s="6">
        <v>23.16</v>
      </c>
      <c r="AB9217" s="2" t="s">
        <v>86</v>
      </c>
      <c r="AC9217" s="2"/>
    </row>
    <row r="9218" spans="1:29" ht="78" x14ac:dyDescent="0.15">
      <c r="A9218" s="3">
        <f>DATE(2008,11,3)</f>
        <v>39755</v>
      </c>
      <c r="B9218" s="2"/>
      <c r="C9218" s="2" t="s">
        <v>7330</v>
      </c>
      <c r="D9218" s="2" t="s">
        <v>27209</v>
      </c>
      <c r="E9218" s="2" t="s">
        <v>27210</v>
      </c>
      <c r="F9218" s="4">
        <v>3651</v>
      </c>
      <c r="G9218" s="2" t="s">
        <v>137</v>
      </c>
      <c r="H9218" s="2" t="s">
        <v>34</v>
      </c>
      <c r="I9218" s="2" t="s">
        <v>20591</v>
      </c>
      <c r="J9218" s="2" t="s">
        <v>244</v>
      </c>
      <c r="K9218" s="2" t="s">
        <v>53</v>
      </c>
      <c r="L9218" s="2" t="s">
        <v>34</v>
      </c>
      <c r="M9218" s="2"/>
      <c r="N9218" s="2"/>
      <c r="O9218" s="2"/>
      <c r="P9218" s="2" t="s">
        <v>27211</v>
      </c>
      <c r="Q9218" s="2"/>
      <c r="R9218" s="6">
        <v>1.45</v>
      </c>
      <c r="S9218" s="5">
        <v>-28.9</v>
      </c>
      <c r="T9218" s="7">
        <v>8.2780000000000005</v>
      </c>
      <c r="U9218" s="5">
        <v>-4.9000000000000004</v>
      </c>
      <c r="V9218" s="6">
        <v>-5.96</v>
      </c>
      <c r="W9218" s="7">
        <v>1.145</v>
      </c>
      <c r="X9218" s="4">
        <v>1</v>
      </c>
      <c r="Y9218" s="4">
        <v>1</v>
      </c>
      <c r="Z9218" s="6">
        <v>1.71</v>
      </c>
      <c r="AA9218" s="6">
        <v>4.8600000000000003</v>
      </c>
      <c r="AB9218" s="7">
        <v>34.527999999999999</v>
      </c>
      <c r="AC9218" s="2"/>
    </row>
    <row r="9219" spans="1:29" ht="52" x14ac:dyDescent="0.15">
      <c r="A9219" s="3">
        <f>DATE(2008,11,6)</f>
        <v>39758</v>
      </c>
      <c r="B9219" s="2"/>
      <c r="C9219" s="2" t="s">
        <v>39</v>
      </c>
      <c r="D9219" s="2" t="s">
        <v>12515</v>
      </c>
      <c r="E9219" s="2" t="s">
        <v>12371</v>
      </c>
      <c r="F9219" s="4">
        <v>7375</v>
      </c>
      <c r="G9219" s="2" t="s">
        <v>223</v>
      </c>
      <c r="H9219" s="2" t="s">
        <v>34</v>
      </c>
      <c r="I9219" s="2" t="s">
        <v>15288</v>
      </c>
      <c r="J9219" s="2" t="s">
        <v>1550</v>
      </c>
      <c r="K9219" s="2" t="s">
        <v>551</v>
      </c>
      <c r="L9219" s="2" t="s">
        <v>34</v>
      </c>
      <c r="M9219" s="12">
        <v>198371.272</v>
      </c>
      <c r="N9219" s="6">
        <v>20.88</v>
      </c>
      <c r="O9219" s="5">
        <v>21.5</v>
      </c>
      <c r="P9219" s="2" t="s">
        <v>27212</v>
      </c>
      <c r="Q9219" s="2"/>
      <c r="R9219" s="2"/>
      <c r="S9219" s="5">
        <v>933.4</v>
      </c>
      <c r="T9219" s="10">
        <v>1275.6300000000001</v>
      </c>
      <c r="U9219" s="5">
        <v>8.4</v>
      </c>
      <c r="V9219" s="6">
        <v>0.66</v>
      </c>
      <c r="W9219" s="6">
        <v>12.93</v>
      </c>
      <c r="X9219" s="6">
        <v>13.92</v>
      </c>
      <c r="Y9219" s="6">
        <v>13.96</v>
      </c>
      <c r="Z9219" s="5">
        <v>12.2</v>
      </c>
      <c r="AA9219" s="10">
        <v>1385.79</v>
      </c>
      <c r="AB9219" s="2" t="s">
        <v>47</v>
      </c>
      <c r="AC9219" s="8">
        <v>20722</v>
      </c>
    </row>
    <row r="9220" spans="1:29" ht="117" x14ac:dyDescent="0.15">
      <c r="A9220" s="3">
        <f>DATE(2008,11,7)</f>
        <v>39759</v>
      </c>
      <c r="B9220" s="3">
        <f>DATE(2009,11,6)</f>
        <v>40123</v>
      </c>
      <c r="C9220" s="2" t="s">
        <v>95</v>
      </c>
      <c r="D9220" s="2" t="s">
        <v>27213</v>
      </c>
      <c r="E9220" s="2" t="s">
        <v>16453</v>
      </c>
      <c r="F9220" s="4">
        <v>4812</v>
      </c>
      <c r="G9220" s="2" t="s">
        <v>63</v>
      </c>
      <c r="H9220" s="2" t="s">
        <v>34</v>
      </c>
      <c r="I9220" s="2" t="s">
        <v>23830</v>
      </c>
      <c r="J9220" s="2" t="s">
        <v>973</v>
      </c>
      <c r="K9220" s="2" t="s">
        <v>63</v>
      </c>
      <c r="L9220" s="2" t="s">
        <v>34</v>
      </c>
      <c r="M9220" s="10">
        <v>132121.06</v>
      </c>
      <c r="N9220" s="4">
        <v>27</v>
      </c>
      <c r="O9220" s="6">
        <v>27.47</v>
      </c>
      <c r="P9220" s="2" t="s">
        <v>27214</v>
      </c>
      <c r="Q9220" s="6">
        <v>100</v>
      </c>
      <c r="R9220" s="6">
        <v>8.5</v>
      </c>
      <c r="S9220" s="5">
        <v>29.5</v>
      </c>
      <c r="T9220" s="6">
        <v>391.55</v>
      </c>
      <c r="U9220" s="5">
        <v>-9.5</v>
      </c>
      <c r="V9220" s="6">
        <v>0.26</v>
      </c>
      <c r="W9220" s="6">
        <v>3.56</v>
      </c>
      <c r="X9220" s="6">
        <v>3.47</v>
      </c>
      <c r="Y9220" s="6">
        <v>3.84</v>
      </c>
      <c r="Z9220" s="6">
        <v>7.78</v>
      </c>
      <c r="AA9220" s="6">
        <v>108.25</v>
      </c>
      <c r="AB9220" s="7">
        <v>11.356</v>
      </c>
      <c r="AC9220" s="8">
        <v>1594</v>
      </c>
    </row>
    <row r="9221" spans="1:29" ht="169" x14ac:dyDescent="0.15">
      <c r="A9221" s="3">
        <f>DATE(2008,11,7)</f>
        <v>39759</v>
      </c>
      <c r="B9221" s="2"/>
      <c r="C9221" s="2" t="s">
        <v>30</v>
      </c>
      <c r="D9221" s="2" t="s">
        <v>23935</v>
      </c>
      <c r="E9221" s="2" t="s">
        <v>7552</v>
      </c>
      <c r="F9221" s="4">
        <v>6361</v>
      </c>
      <c r="G9221" s="2" t="s">
        <v>125</v>
      </c>
      <c r="H9221" s="2" t="s">
        <v>34</v>
      </c>
      <c r="I9221" s="2" t="s">
        <v>27215</v>
      </c>
      <c r="J9221" s="2" t="s">
        <v>27216</v>
      </c>
      <c r="K9221" s="2" t="s">
        <v>125</v>
      </c>
      <c r="L9221" s="2" t="s">
        <v>34</v>
      </c>
      <c r="M9221" s="2"/>
      <c r="N9221" s="2"/>
      <c r="O9221" s="2"/>
      <c r="P9221" s="2" t="s">
        <v>27217</v>
      </c>
      <c r="Q9221" s="2"/>
      <c r="R9221" s="6">
        <v>8.2899999999999991</v>
      </c>
      <c r="S9221" s="5">
        <v>-719.7</v>
      </c>
      <c r="T9221" s="5">
        <v>-481.5</v>
      </c>
      <c r="U9221" s="5">
        <v>31.4</v>
      </c>
      <c r="V9221" s="6">
        <v>-47.15</v>
      </c>
      <c r="W9221" s="6">
        <v>9.85</v>
      </c>
      <c r="X9221" s="6">
        <v>4.75</v>
      </c>
      <c r="Y9221" s="5">
        <v>8.6999999999999993</v>
      </c>
      <c r="Z9221" s="5">
        <v>7.9</v>
      </c>
      <c r="AA9221" s="6">
        <v>15.48</v>
      </c>
      <c r="AB9221" s="2" t="s">
        <v>86</v>
      </c>
      <c r="AC9221" s="6">
        <v>479.66</v>
      </c>
    </row>
    <row r="9222" spans="1:29" ht="143" x14ac:dyDescent="0.15">
      <c r="A9222" s="3">
        <f>DATE(2008,11,9)</f>
        <v>39761</v>
      </c>
      <c r="B9222" s="3">
        <f>DATE(2009,4,10)</f>
        <v>39913</v>
      </c>
      <c r="C9222" s="2" t="s">
        <v>95</v>
      </c>
      <c r="D9222" s="2" t="s">
        <v>27218</v>
      </c>
      <c r="E9222" s="2" t="s">
        <v>159</v>
      </c>
      <c r="F9222" s="4">
        <v>6035</v>
      </c>
      <c r="G9222" s="2" t="s">
        <v>33</v>
      </c>
      <c r="H9222" s="2" t="s">
        <v>34</v>
      </c>
      <c r="I9222" s="2" t="s">
        <v>14074</v>
      </c>
      <c r="J9222" s="2" t="s">
        <v>36</v>
      </c>
      <c r="K9222" s="2" t="s">
        <v>37</v>
      </c>
      <c r="L9222" s="2" t="s">
        <v>34</v>
      </c>
      <c r="M9222" s="7">
        <v>400.286</v>
      </c>
      <c r="N9222" s="4">
        <v>25</v>
      </c>
      <c r="O9222" s="4">
        <v>25</v>
      </c>
      <c r="P9222" s="2" t="s">
        <v>27219</v>
      </c>
      <c r="Q9222" s="6">
        <v>100</v>
      </c>
      <c r="R9222" s="6">
        <v>15.77</v>
      </c>
      <c r="S9222" s="5">
        <v>4.7</v>
      </c>
      <c r="T9222" s="7">
        <v>6.4660000000000002</v>
      </c>
      <c r="U9222" s="5">
        <v>13.8</v>
      </c>
      <c r="V9222" s="6">
        <v>0.63</v>
      </c>
      <c r="W9222" s="6">
        <v>12.99</v>
      </c>
      <c r="X9222" s="6">
        <v>13.05</v>
      </c>
      <c r="Y9222" s="6">
        <v>13.95</v>
      </c>
      <c r="Z9222" s="6">
        <v>13.95</v>
      </c>
      <c r="AA9222" s="6">
        <v>7.84</v>
      </c>
      <c r="AB9222" s="7">
        <v>56.814999999999998</v>
      </c>
      <c r="AC9222" s="2"/>
    </row>
    <row r="9223" spans="1:29" ht="130" x14ac:dyDescent="0.15">
      <c r="A9223" s="3">
        <f>DATE(2008,11,10)</f>
        <v>39762</v>
      </c>
      <c r="B9223" s="2"/>
      <c r="C9223" s="2" t="s">
        <v>30</v>
      </c>
      <c r="D9223" s="2" t="s">
        <v>27220</v>
      </c>
      <c r="E9223" s="2" t="s">
        <v>159</v>
      </c>
      <c r="F9223" s="4">
        <v>6022</v>
      </c>
      <c r="G9223" s="2" t="s">
        <v>37</v>
      </c>
      <c r="H9223" s="2" t="s">
        <v>34</v>
      </c>
      <c r="I9223" s="2" t="s">
        <v>27221</v>
      </c>
      <c r="J9223" s="2" t="s">
        <v>159</v>
      </c>
      <c r="K9223" s="2" t="s">
        <v>37</v>
      </c>
      <c r="L9223" s="2" t="s">
        <v>34</v>
      </c>
      <c r="M9223" s="7">
        <v>174.80699999999999</v>
      </c>
      <c r="N9223" s="6">
        <v>25.66</v>
      </c>
      <c r="O9223" s="6">
        <v>24.16</v>
      </c>
      <c r="P9223" s="2" t="s">
        <v>27222</v>
      </c>
      <c r="Q9223" s="2"/>
      <c r="R9223" s="6">
        <v>10</v>
      </c>
      <c r="S9223" s="5">
        <v>1.5</v>
      </c>
      <c r="T9223" s="6">
        <v>2.62</v>
      </c>
      <c r="U9223" s="5">
        <v>7.5</v>
      </c>
      <c r="V9223" s="6">
        <v>0.14000000000000001</v>
      </c>
      <c r="W9223" s="6">
        <v>8.39</v>
      </c>
      <c r="X9223" s="6">
        <v>8.75</v>
      </c>
      <c r="Y9223" s="5">
        <v>8.8000000000000007</v>
      </c>
      <c r="Z9223" s="6">
        <v>8.52</v>
      </c>
      <c r="AA9223" s="6">
        <v>11.03</v>
      </c>
      <c r="AB9223" s="7">
        <v>199.524</v>
      </c>
      <c r="AC9223" s="2"/>
    </row>
    <row r="9224" spans="1:29" ht="130" x14ac:dyDescent="0.15">
      <c r="A9224" s="3">
        <f>DATE(2008,11,12)</f>
        <v>39764</v>
      </c>
      <c r="B9224" s="2"/>
      <c r="C9224" s="2" t="s">
        <v>30</v>
      </c>
      <c r="D9224" s="2" t="s">
        <v>27223</v>
      </c>
      <c r="E9224" s="2" t="s">
        <v>27224</v>
      </c>
      <c r="F9224" s="4">
        <v>5621</v>
      </c>
      <c r="G9224" s="2" t="s">
        <v>756</v>
      </c>
      <c r="H9224" s="2" t="s">
        <v>34</v>
      </c>
      <c r="I9224" s="2" t="s">
        <v>27225</v>
      </c>
      <c r="J9224" s="2" t="s">
        <v>11337</v>
      </c>
      <c r="K9224" s="2" t="s">
        <v>53</v>
      </c>
      <c r="L9224" s="2" t="s">
        <v>34</v>
      </c>
      <c r="M9224" s="2"/>
      <c r="N9224" s="2"/>
      <c r="O9224" s="2"/>
      <c r="P9224" s="2" t="s">
        <v>27226</v>
      </c>
      <c r="Q9224" s="2"/>
      <c r="R9224" s="6">
        <v>9.5</v>
      </c>
      <c r="S9224" s="5">
        <v>18.2</v>
      </c>
      <c r="T9224" s="7">
        <v>81.828999999999994</v>
      </c>
      <c r="U9224" s="5">
        <v>9.3000000000000007</v>
      </c>
      <c r="V9224" s="6">
        <v>0.79</v>
      </c>
      <c r="W9224" s="6">
        <v>7.96</v>
      </c>
      <c r="X9224" s="6">
        <v>6.89</v>
      </c>
      <c r="Y9224" s="6">
        <v>8.15</v>
      </c>
      <c r="Z9224" s="6">
        <v>8.0500000000000007</v>
      </c>
      <c r="AA9224" s="6">
        <v>20.87</v>
      </c>
      <c r="AB9224" s="7">
        <v>4.0250000000000004</v>
      </c>
      <c r="AC9224" s="2"/>
    </row>
    <row r="9225" spans="1:29" ht="39" x14ac:dyDescent="0.15">
      <c r="A9225" s="3">
        <f>DATE(2008,11,17)</f>
        <v>39769</v>
      </c>
      <c r="B9225" s="2"/>
      <c r="C9225" s="2" t="s">
        <v>7330</v>
      </c>
      <c r="D9225" s="2" t="s">
        <v>27227</v>
      </c>
      <c r="E9225" s="2" t="s">
        <v>24835</v>
      </c>
      <c r="F9225" s="4">
        <v>6726</v>
      </c>
      <c r="G9225" s="2" t="s">
        <v>53</v>
      </c>
      <c r="H9225" s="2" t="s">
        <v>34</v>
      </c>
      <c r="I9225" s="2" t="s">
        <v>27228</v>
      </c>
      <c r="J9225" s="2" t="s">
        <v>24835</v>
      </c>
      <c r="K9225" s="2" t="s">
        <v>53</v>
      </c>
      <c r="L9225" s="2" t="s">
        <v>34</v>
      </c>
      <c r="M9225" s="7">
        <v>158.017</v>
      </c>
      <c r="N9225" s="6">
        <v>9.59</v>
      </c>
      <c r="O9225" s="6">
        <v>9.58</v>
      </c>
      <c r="P9225" s="2" t="s">
        <v>27229</v>
      </c>
      <c r="Q9225" s="2"/>
      <c r="R9225" s="2"/>
      <c r="S9225" s="2"/>
      <c r="T9225" s="2"/>
      <c r="U9225" s="2"/>
      <c r="V9225" s="2"/>
      <c r="W9225" s="6">
        <v>9.41</v>
      </c>
      <c r="X9225" s="5">
        <v>8.6</v>
      </c>
      <c r="Y9225" s="6">
        <v>8.18</v>
      </c>
      <c r="Z9225" s="6">
        <v>8.91</v>
      </c>
      <c r="AA9225" s="6">
        <v>4.2300000000000004</v>
      </c>
      <c r="AB9225" s="2" t="s">
        <v>47</v>
      </c>
      <c r="AC9225" s="2"/>
    </row>
    <row r="9226" spans="1:29" ht="117" x14ac:dyDescent="0.15">
      <c r="A9226" s="3">
        <f>DATE(2008,11,17)</f>
        <v>39769</v>
      </c>
      <c r="B9226" s="3">
        <f>DATE(2009,1,28)</f>
        <v>39841</v>
      </c>
      <c r="C9226" s="2" t="s">
        <v>95</v>
      </c>
      <c r="D9226" s="2" t="s">
        <v>26440</v>
      </c>
      <c r="E9226" s="2" t="s">
        <v>26441</v>
      </c>
      <c r="F9226" s="4">
        <v>3674</v>
      </c>
      <c r="G9226" s="2" t="s">
        <v>137</v>
      </c>
      <c r="H9226" s="2" t="s">
        <v>34</v>
      </c>
      <c r="I9226" s="2" t="s">
        <v>27230</v>
      </c>
      <c r="J9226" s="2" t="s">
        <v>2728</v>
      </c>
      <c r="K9226" s="2" t="s">
        <v>137</v>
      </c>
      <c r="L9226" s="2" t="s">
        <v>34</v>
      </c>
      <c r="M9226" s="2"/>
      <c r="N9226" s="2"/>
      <c r="O9226" s="2"/>
      <c r="P9226" s="2" t="s">
        <v>27231</v>
      </c>
      <c r="Q9226" s="6">
        <v>100</v>
      </c>
      <c r="R9226" s="6">
        <v>19.010000000000002</v>
      </c>
      <c r="S9226" s="5">
        <v>6.9</v>
      </c>
      <c r="T9226" s="7">
        <v>-8.702</v>
      </c>
      <c r="U9226" s="5">
        <v>2.4</v>
      </c>
      <c r="V9226" s="6">
        <v>0.26</v>
      </c>
      <c r="W9226" s="6">
        <v>13.73</v>
      </c>
      <c r="X9226" s="6">
        <v>13.75</v>
      </c>
      <c r="Y9226" s="5">
        <v>13.5</v>
      </c>
      <c r="Z9226" s="6">
        <v>16.079999999999998</v>
      </c>
      <c r="AA9226" s="6">
        <v>12.15</v>
      </c>
      <c r="AB9226" s="2" t="s">
        <v>86</v>
      </c>
      <c r="AC9226" s="2"/>
    </row>
    <row r="9227" spans="1:29" ht="156" x14ac:dyDescent="0.15">
      <c r="A9227" s="3">
        <f>DATE(2008,11,20)</f>
        <v>39772</v>
      </c>
      <c r="B9227" s="2"/>
      <c r="C9227" s="2" t="s">
        <v>30</v>
      </c>
      <c r="D9227" s="2" t="s">
        <v>27232</v>
      </c>
      <c r="E9227" s="2" t="s">
        <v>18348</v>
      </c>
      <c r="F9227" s="4">
        <v>1311</v>
      </c>
      <c r="G9227" s="2" t="s">
        <v>148</v>
      </c>
      <c r="H9227" s="2" t="s">
        <v>34</v>
      </c>
      <c r="I9227" s="2" t="s">
        <v>27233</v>
      </c>
      <c r="J9227" s="2" t="s">
        <v>18348</v>
      </c>
      <c r="K9227" s="2" t="s">
        <v>148</v>
      </c>
      <c r="L9227" s="2" t="s">
        <v>34</v>
      </c>
      <c r="M9227" s="7">
        <v>25.602</v>
      </c>
      <c r="N9227" s="6">
        <v>2.31</v>
      </c>
      <c r="O9227" s="6">
        <v>2.29</v>
      </c>
      <c r="P9227" s="2" t="s">
        <v>27234</v>
      </c>
      <c r="Q9227" s="2"/>
      <c r="R9227" s="6">
        <v>1</v>
      </c>
      <c r="S9227" s="5">
        <v>0.8</v>
      </c>
      <c r="T9227" s="7">
        <v>3.1960000000000002</v>
      </c>
      <c r="U9227" s="5">
        <v>1.6</v>
      </c>
      <c r="V9227" s="6">
        <v>0.12</v>
      </c>
      <c r="W9227" s="6">
        <v>1.01</v>
      </c>
      <c r="X9227" s="6">
        <v>1.02</v>
      </c>
      <c r="Y9227" s="6">
        <v>0.92</v>
      </c>
      <c r="Z9227" s="6">
        <v>0.85</v>
      </c>
      <c r="AA9227" s="6">
        <v>7.26</v>
      </c>
      <c r="AB9227" s="7">
        <v>6.423</v>
      </c>
      <c r="AC9227" s="6">
        <v>6.84</v>
      </c>
    </row>
    <row r="9228" spans="1:29" ht="169" x14ac:dyDescent="0.15">
      <c r="A9228" s="3">
        <f>DATE(2008,11,24)</f>
        <v>39776</v>
      </c>
      <c r="B9228" s="3">
        <f>DATE(2008,12,24)</f>
        <v>39806</v>
      </c>
      <c r="C9228" s="2" t="s">
        <v>95</v>
      </c>
      <c r="D9228" s="2" t="s">
        <v>27235</v>
      </c>
      <c r="E9228" s="2" t="s">
        <v>27236</v>
      </c>
      <c r="F9228" s="4">
        <v>7376</v>
      </c>
      <c r="G9228" s="2" t="s">
        <v>223</v>
      </c>
      <c r="H9228" s="2" t="s">
        <v>34</v>
      </c>
      <c r="I9228" s="2" t="s">
        <v>26484</v>
      </c>
      <c r="J9228" s="2" t="s">
        <v>26485</v>
      </c>
      <c r="K9228" s="2" t="s">
        <v>63</v>
      </c>
      <c r="L9228" s="2" t="s">
        <v>34</v>
      </c>
      <c r="M9228" s="7">
        <v>143.19800000000001</v>
      </c>
      <c r="N9228" s="6">
        <v>1.35</v>
      </c>
      <c r="O9228" s="6">
        <v>1.22</v>
      </c>
      <c r="P9228" s="2" t="s">
        <v>27237</v>
      </c>
      <c r="Q9228" s="6">
        <v>100</v>
      </c>
      <c r="R9228" s="6">
        <v>2.44</v>
      </c>
      <c r="S9228" s="5">
        <v>1.3</v>
      </c>
      <c r="T9228" s="7">
        <v>0.498</v>
      </c>
      <c r="U9228" s="5">
        <v>0.8</v>
      </c>
      <c r="V9228" s="6">
        <v>0.09</v>
      </c>
      <c r="W9228" s="6">
        <v>1.65</v>
      </c>
      <c r="X9228" s="6">
        <v>1.65</v>
      </c>
      <c r="Y9228" s="6">
        <v>1.85</v>
      </c>
      <c r="Z9228" s="6">
        <v>1.95</v>
      </c>
      <c r="AA9228" s="6">
        <v>11.46</v>
      </c>
      <c r="AB9228" s="2" t="s">
        <v>86</v>
      </c>
      <c r="AC9228" s="5">
        <v>4</v>
      </c>
    </row>
    <row r="9229" spans="1:29" ht="156" x14ac:dyDescent="0.15">
      <c r="A9229" s="3">
        <f>DATE(2008,11,24)</f>
        <v>39776</v>
      </c>
      <c r="B9229" s="3">
        <f>DATE(2008,12,30)</f>
        <v>39812</v>
      </c>
      <c r="C9229" s="2" t="s">
        <v>95</v>
      </c>
      <c r="D9229" s="2" t="s">
        <v>27238</v>
      </c>
      <c r="E9229" s="2" t="s">
        <v>2384</v>
      </c>
      <c r="F9229" s="4">
        <v>2836</v>
      </c>
      <c r="G9229" s="2" t="s">
        <v>130</v>
      </c>
      <c r="H9229" s="2" t="s">
        <v>34</v>
      </c>
      <c r="I9229" s="2" t="s">
        <v>5669</v>
      </c>
      <c r="J9229" s="2" t="s">
        <v>5670</v>
      </c>
      <c r="K9229" s="2" t="s">
        <v>130</v>
      </c>
      <c r="L9229" s="2" t="s">
        <v>34</v>
      </c>
      <c r="M9229" s="12">
        <v>166890.272</v>
      </c>
      <c r="N9229" s="6">
        <v>59.11</v>
      </c>
      <c r="O9229" s="5">
        <v>58.7</v>
      </c>
      <c r="P9229" s="2" t="s">
        <v>27239</v>
      </c>
      <c r="Q9229" s="6">
        <v>100</v>
      </c>
      <c r="R9229" s="6">
        <v>25</v>
      </c>
      <c r="S9229" s="5">
        <v>12</v>
      </c>
      <c r="T9229" s="7">
        <v>9.9529999999999994</v>
      </c>
      <c r="U9229" s="2"/>
      <c r="V9229" s="6">
        <v>0.69</v>
      </c>
      <c r="W9229" s="11">
        <v>4.6819499999999996</v>
      </c>
      <c r="X9229" s="11">
        <v>5.3165800000000001</v>
      </c>
      <c r="Y9229" s="6">
        <v>24.79</v>
      </c>
      <c r="Z9229" s="6">
        <v>24.79</v>
      </c>
      <c r="AA9229" s="6">
        <v>17.13</v>
      </c>
      <c r="AB9229" s="7">
        <v>46.606999999999999</v>
      </c>
      <c r="AC9229" s="8">
        <v>14799</v>
      </c>
    </row>
    <row r="9230" spans="1:29" ht="78" x14ac:dyDescent="0.15">
      <c r="A9230" s="3">
        <f>DATE(2008,11,30)</f>
        <v>39782</v>
      </c>
      <c r="B9230" s="2"/>
      <c r="C9230" s="2" t="s">
        <v>7330</v>
      </c>
      <c r="D9230" s="2" t="s">
        <v>27240</v>
      </c>
      <c r="E9230" s="2" t="s">
        <v>7760</v>
      </c>
      <c r="F9230" s="4">
        <v>7372</v>
      </c>
      <c r="G9230" s="2" t="s">
        <v>551</v>
      </c>
      <c r="H9230" s="2" t="s">
        <v>34</v>
      </c>
      <c r="I9230" s="2" t="s">
        <v>27241</v>
      </c>
      <c r="J9230" s="2" t="s">
        <v>1620</v>
      </c>
      <c r="K9230" s="2" t="s">
        <v>53</v>
      </c>
      <c r="L9230" s="2" t="s">
        <v>34</v>
      </c>
      <c r="M9230" s="2"/>
      <c r="N9230" s="2"/>
      <c r="O9230" s="2"/>
      <c r="P9230" s="2" t="s">
        <v>27242</v>
      </c>
      <c r="Q9230" s="2"/>
      <c r="R9230" s="6">
        <v>6</v>
      </c>
      <c r="S9230" s="5">
        <v>-34</v>
      </c>
      <c r="T9230" s="7">
        <v>3.0739999999999998</v>
      </c>
      <c r="U9230" s="5">
        <v>8.9</v>
      </c>
      <c r="V9230" s="6">
        <v>-2.57</v>
      </c>
      <c r="W9230" s="6">
        <v>5.0199999999999996</v>
      </c>
      <c r="X9230" s="6">
        <v>4.8499999999999996</v>
      </c>
      <c r="Y9230" s="6">
        <v>4.75</v>
      </c>
      <c r="Z9230" s="6">
        <v>4.75</v>
      </c>
      <c r="AA9230" s="6">
        <v>13.23</v>
      </c>
      <c r="AB9230" s="2" t="s">
        <v>86</v>
      </c>
      <c r="AC9230" s="2"/>
    </row>
    <row r="9231" spans="1:29" ht="130" x14ac:dyDescent="0.15">
      <c r="A9231" s="3">
        <f>DATE(2008,12,1)</f>
        <v>39783</v>
      </c>
      <c r="B9231" s="3">
        <f>DATE(2009,1,23)</f>
        <v>39836</v>
      </c>
      <c r="C9231" s="2" t="s">
        <v>95</v>
      </c>
      <c r="D9231" s="2" t="s">
        <v>13892</v>
      </c>
      <c r="E9231" s="2" t="s">
        <v>23545</v>
      </c>
      <c r="F9231" s="4">
        <v>3842</v>
      </c>
      <c r="G9231" s="2" t="s">
        <v>226</v>
      </c>
      <c r="H9231" s="2" t="s">
        <v>34</v>
      </c>
      <c r="I9231" s="2" t="s">
        <v>5669</v>
      </c>
      <c r="J9231" s="2" t="s">
        <v>5670</v>
      </c>
      <c r="K9231" s="2" t="s">
        <v>130</v>
      </c>
      <c r="L9231" s="2" t="s">
        <v>34</v>
      </c>
      <c r="M9231" s="12">
        <v>169692.58499999999</v>
      </c>
      <c r="N9231" s="6">
        <v>55.33</v>
      </c>
      <c r="O9231" s="6">
        <v>56.83</v>
      </c>
      <c r="P9231" s="2" t="s">
        <v>27243</v>
      </c>
      <c r="Q9231" s="6">
        <v>100</v>
      </c>
      <c r="R9231" s="6">
        <v>31</v>
      </c>
      <c r="S9231" s="5">
        <v>47.7</v>
      </c>
      <c r="T9231" s="7">
        <v>84.852000000000004</v>
      </c>
      <c r="U9231" s="5">
        <v>4.4000000000000004</v>
      </c>
      <c r="V9231" s="6">
        <v>1.33</v>
      </c>
      <c r="W9231" s="6">
        <v>15.12</v>
      </c>
      <c r="X9231" s="6">
        <v>16.149999999999999</v>
      </c>
      <c r="Y9231" s="6">
        <v>30.58</v>
      </c>
      <c r="Z9231" s="6">
        <v>30.74</v>
      </c>
      <c r="AA9231" s="6">
        <v>33.78</v>
      </c>
      <c r="AB9231" s="7">
        <v>16.164999999999999</v>
      </c>
      <c r="AC9231" s="8">
        <v>14799</v>
      </c>
    </row>
    <row r="9232" spans="1:29" ht="65" x14ac:dyDescent="0.15">
      <c r="A9232" s="3">
        <f>DATE(2008,12,3)</f>
        <v>39785</v>
      </c>
      <c r="B9232" s="2"/>
      <c r="C9232" s="2" t="s">
        <v>87</v>
      </c>
      <c r="D9232" s="2" t="s">
        <v>12515</v>
      </c>
      <c r="E9232" s="2" t="s">
        <v>12371</v>
      </c>
      <c r="F9232" s="4">
        <v>7375</v>
      </c>
      <c r="G9232" s="2" t="s">
        <v>223</v>
      </c>
      <c r="H9232" s="2" t="s">
        <v>34</v>
      </c>
      <c r="I9232" s="2" t="s">
        <v>51</v>
      </c>
      <c r="J9232" s="2" t="s">
        <v>52</v>
      </c>
      <c r="K9232" s="2" t="s">
        <v>53</v>
      </c>
      <c r="L9232" s="2" t="s">
        <v>34</v>
      </c>
      <c r="M9232" s="2"/>
      <c r="N9232" s="2"/>
      <c r="O9232" s="2"/>
      <c r="P9232" s="2" t="s">
        <v>27244</v>
      </c>
      <c r="Q9232" s="2"/>
      <c r="R9232" s="2"/>
      <c r="S9232" s="5">
        <v>933.4</v>
      </c>
      <c r="T9232" s="10">
        <v>1275.6300000000001</v>
      </c>
      <c r="U9232" s="5">
        <v>8.4</v>
      </c>
      <c r="V9232" s="6">
        <v>0.66</v>
      </c>
      <c r="W9232" s="6">
        <v>10.58</v>
      </c>
      <c r="X9232" s="5">
        <v>11.5</v>
      </c>
      <c r="Y9232" s="5">
        <v>11.5</v>
      </c>
      <c r="Z9232" s="6">
        <v>11.05</v>
      </c>
      <c r="AA9232" s="10">
        <v>1387.72</v>
      </c>
      <c r="AB9232" s="2" t="s">
        <v>47</v>
      </c>
      <c r="AC9232" s="2"/>
    </row>
    <row r="9233" spans="1:29" ht="39" x14ac:dyDescent="0.15">
      <c r="A9233" s="3">
        <f>DATE(2008,12,4)</f>
        <v>39786</v>
      </c>
      <c r="B9233" s="2"/>
      <c r="C9233" s="2" t="s">
        <v>7330</v>
      </c>
      <c r="D9233" s="2" t="s">
        <v>27245</v>
      </c>
      <c r="E9233" s="2" t="s">
        <v>9851</v>
      </c>
      <c r="F9233" s="4">
        <v>6311</v>
      </c>
      <c r="G9233" s="2" t="s">
        <v>125</v>
      </c>
      <c r="H9233" s="2" t="s">
        <v>34</v>
      </c>
      <c r="I9233" s="2" t="s">
        <v>27246</v>
      </c>
      <c r="J9233" s="2" t="s">
        <v>27247</v>
      </c>
      <c r="K9233" s="2" t="s">
        <v>125</v>
      </c>
      <c r="L9233" s="2" t="s">
        <v>34</v>
      </c>
      <c r="M9233" s="2"/>
      <c r="N9233" s="2"/>
      <c r="O9233" s="2"/>
      <c r="P9233" s="2" t="s">
        <v>27248</v>
      </c>
      <c r="Q9233" s="2"/>
      <c r="R9233" s="2"/>
      <c r="S9233" s="2"/>
      <c r="T9233" s="2"/>
      <c r="U9233" s="2"/>
      <c r="V9233" s="2"/>
      <c r="W9233" s="4">
        <v>10</v>
      </c>
      <c r="X9233" s="5">
        <v>8.5</v>
      </c>
      <c r="Y9233" s="5">
        <v>9.9</v>
      </c>
      <c r="Z9233" s="5">
        <v>9.9</v>
      </c>
      <c r="AA9233" s="2"/>
      <c r="AB9233" s="2" t="s">
        <v>47</v>
      </c>
      <c r="AC9233" s="2"/>
    </row>
    <row r="9234" spans="1:29" ht="104" x14ac:dyDescent="0.15">
      <c r="A9234" s="3">
        <f>DATE(2008,12,5)</f>
        <v>39787</v>
      </c>
      <c r="B9234" s="3">
        <f>DATE(2009,4,1)</f>
        <v>39904</v>
      </c>
      <c r="C9234" s="2" t="s">
        <v>95</v>
      </c>
      <c r="D9234" s="2" t="s">
        <v>27249</v>
      </c>
      <c r="E9234" s="2" t="s">
        <v>3780</v>
      </c>
      <c r="F9234" s="4">
        <v>6021</v>
      </c>
      <c r="G9234" s="2" t="s">
        <v>37</v>
      </c>
      <c r="H9234" s="2" t="s">
        <v>34</v>
      </c>
      <c r="I9234" s="2" t="s">
        <v>27250</v>
      </c>
      <c r="J9234" s="2" t="s">
        <v>36</v>
      </c>
      <c r="K9234" s="2" t="s">
        <v>37</v>
      </c>
      <c r="L9234" s="2" t="s">
        <v>34</v>
      </c>
      <c r="M9234" s="7">
        <v>77.328000000000003</v>
      </c>
      <c r="N9234" s="4">
        <v>37</v>
      </c>
      <c r="O9234" s="4">
        <v>40</v>
      </c>
      <c r="P9234" s="2" t="s">
        <v>27251</v>
      </c>
      <c r="Q9234" s="6">
        <v>100</v>
      </c>
      <c r="R9234" s="2"/>
      <c r="S9234" s="5">
        <v>2.5</v>
      </c>
      <c r="T9234" s="7">
        <v>3.2789999999999999</v>
      </c>
      <c r="U9234" s="2"/>
      <c r="V9234" s="6">
        <v>4.51</v>
      </c>
      <c r="W9234" s="4">
        <v>87</v>
      </c>
      <c r="X9234" s="4">
        <v>87</v>
      </c>
      <c r="Y9234" s="4">
        <v>87</v>
      </c>
      <c r="Z9234" s="4">
        <v>87</v>
      </c>
      <c r="AA9234" s="2"/>
      <c r="AB9234" s="7">
        <v>18.800999999999998</v>
      </c>
      <c r="AC9234" s="2"/>
    </row>
    <row r="9235" spans="1:29" ht="39" x14ac:dyDescent="0.15">
      <c r="A9235" s="3">
        <f>DATE(2008,12,7)</f>
        <v>39789</v>
      </c>
      <c r="B9235" s="2"/>
      <c r="C9235" s="2" t="s">
        <v>30</v>
      </c>
      <c r="D9235" s="2" t="s">
        <v>27252</v>
      </c>
      <c r="E9235" s="2" t="s">
        <v>27253</v>
      </c>
      <c r="F9235" s="4">
        <v>6231</v>
      </c>
      <c r="G9235" s="2" t="s">
        <v>53</v>
      </c>
      <c r="H9235" s="2" t="s">
        <v>34</v>
      </c>
      <c r="I9235" s="2" t="s">
        <v>27254</v>
      </c>
      <c r="J9235" s="2" t="s">
        <v>27255</v>
      </c>
      <c r="K9235" s="2" t="s">
        <v>53</v>
      </c>
      <c r="L9235" s="2" t="s">
        <v>1049</v>
      </c>
      <c r="M9235" s="10">
        <v>15625.74</v>
      </c>
      <c r="N9235" s="7">
        <v>72.457999999999998</v>
      </c>
      <c r="O9235" s="7">
        <v>72.457999999999998</v>
      </c>
      <c r="P9235" s="2" t="s">
        <v>27256</v>
      </c>
      <c r="Q9235" s="2"/>
      <c r="R9235" s="2"/>
      <c r="S9235" s="5">
        <v>757</v>
      </c>
      <c r="T9235" s="5">
        <v>847</v>
      </c>
      <c r="U9235" s="5">
        <v>34.1</v>
      </c>
      <c r="V9235" s="6">
        <v>2.81</v>
      </c>
      <c r="W9235" s="6">
        <v>23.81</v>
      </c>
      <c r="X9235" s="6">
        <v>21.39</v>
      </c>
      <c r="Y9235" s="6">
        <v>26.21</v>
      </c>
      <c r="Z9235" s="6">
        <v>26.21</v>
      </c>
      <c r="AA9235" s="6">
        <v>265</v>
      </c>
      <c r="AB9235" s="2" t="s">
        <v>47</v>
      </c>
      <c r="AC9235" s="10">
        <v>165630.15</v>
      </c>
    </row>
    <row r="9236" spans="1:29" ht="78" x14ac:dyDescent="0.15">
      <c r="A9236" s="3">
        <f>DATE(2008,12,8)</f>
        <v>39790</v>
      </c>
      <c r="B9236" s="3">
        <f>DATE(2009,7,1)</f>
        <v>39995</v>
      </c>
      <c r="C9236" s="2" t="s">
        <v>95</v>
      </c>
      <c r="D9236" s="2" t="s">
        <v>27257</v>
      </c>
      <c r="E9236" s="2" t="s">
        <v>27258</v>
      </c>
      <c r="F9236" s="4">
        <v>6021</v>
      </c>
      <c r="G9236" s="2" t="s">
        <v>37</v>
      </c>
      <c r="H9236" s="2" t="s">
        <v>34</v>
      </c>
      <c r="I9236" s="2" t="s">
        <v>27259</v>
      </c>
      <c r="J9236" s="2" t="s">
        <v>7120</v>
      </c>
      <c r="K9236" s="2" t="s">
        <v>37</v>
      </c>
      <c r="L9236" s="2" t="s">
        <v>34</v>
      </c>
      <c r="M9236" s="2"/>
      <c r="N9236" s="2"/>
      <c r="O9236" s="2"/>
      <c r="P9236" s="2" t="s">
        <v>27260</v>
      </c>
      <c r="Q9236" s="6">
        <v>100</v>
      </c>
      <c r="R9236" s="6">
        <v>28</v>
      </c>
      <c r="S9236" s="5">
        <v>-10.4</v>
      </c>
      <c r="T9236" s="7">
        <v>-3.8010000000000002</v>
      </c>
      <c r="U9236" s="5">
        <v>10.3</v>
      </c>
      <c r="V9236" s="6">
        <v>-6.31</v>
      </c>
      <c r="W9236" s="6">
        <v>10.45</v>
      </c>
      <c r="X9236" s="6">
        <v>10.39</v>
      </c>
      <c r="Y9236" s="5">
        <v>25.5</v>
      </c>
      <c r="Z9236" s="5">
        <v>25.2</v>
      </c>
      <c r="AA9236" s="6">
        <v>1.68</v>
      </c>
      <c r="AB9236" s="2" t="s">
        <v>86</v>
      </c>
      <c r="AC9236" s="2"/>
    </row>
    <row r="9237" spans="1:29" ht="143" x14ac:dyDescent="0.15">
      <c r="A9237" s="3">
        <f>DATE(2008,12,9)</f>
        <v>39791</v>
      </c>
      <c r="B9237" s="3">
        <f>DATE(2009,4,22)</f>
        <v>39925</v>
      </c>
      <c r="C9237" s="2" t="s">
        <v>95</v>
      </c>
      <c r="D9237" s="2" t="s">
        <v>27261</v>
      </c>
      <c r="E9237" s="2" t="s">
        <v>3336</v>
      </c>
      <c r="F9237" s="4">
        <v>3714</v>
      </c>
      <c r="G9237" s="2" t="s">
        <v>105</v>
      </c>
      <c r="H9237" s="2" t="s">
        <v>34</v>
      </c>
      <c r="I9237" s="2" t="s">
        <v>27262</v>
      </c>
      <c r="J9237" s="2" t="s">
        <v>27263</v>
      </c>
      <c r="K9237" s="2" t="s">
        <v>137</v>
      </c>
      <c r="L9237" s="2" t="s">
        <v>34</v>
      </c>
      <c r="M9237" s="7">
        <v>873.45100000000002</v>
      </c>
      <c r="N9237" s="4">
        <v>32</v>
      </c>
      <c r="O9237" s="4">
        <v>32</v>
      </c>
      <c r="P9237" s="2" t="s">
        <v>27264</v>
      </c>
      <c r="Q9237" s="6">
        <v>100</v>
      </c>
      <c r="R9237" s="6">
        <v>90.95</v>
      </c>
      <c r="S9237" s="5">
        <v>-2.2000000000000002</v>
      </c>
      <c r="T9237" s="7">
        <v>-1.452</v>
      </c>
      <c r="U9237" s="2"/>
      <c r="V9237" s="2"/>
      <c r="W9237" s="4">
        <v>70</v>
      </c>
      <c r="X9237" s="4">
        <v>60</v>
      </c>
      <c r="Y9237" s="4">
        <v>65</v>
      </c>
      <c r="Z9237" s="4">
        <v>75</v>
      </c>
      <c r="AA9237" s="6">
        <v>3.32</v>
      </c>
      <c r="AB9237" s="2" t="s">
        <v>86</v>
      </c>
      <c r="AC9237" s="5">
        <v>27.6</v>
      </c>
    </row>
    <row r="9238" spans="1:29" ht="130" x14ac:dyDescent="0.15">
      <c r="A9238" s="3">
        <f>DATE(2008,12,10)</f>
        <v>39792</v>
      </c>
      <c r="B9238" s="3">
        <f>DATE(2009,3,16)</f>
        <v>39888</v>
      </c>
      <c r="C9238" s="2" t="s">
        <v>95</v>
      </c>
      <c r="D9238" s="2" t="s">
        <v>27265</v>
      </c>
      <c r="E9238" s="2" t="s">
        <v>21945</v>
      </c>
      <c r="F9238" s="4">
        <v>6798</v>
      </c>
      <c r="G9238" s="2" t="s">
        <v>53</v>
      </c>
      <c r="H9238" s="2" t="s">
        <v>34</v>
      </c>
      <c r="I9238" s="2" t="s">
        <v>27266</v>
      </c>
      <c r="J9238" s="2" t="s">
        <v>27267</v>
      </c>
      <c r="K9238" s="2" t="s">
        <v>53</v>
      </c>
      <c r="L9238" s="2" t="s">
        <v>34</v>
      </c>
      <c r="M9238" s="2"/>
      <c r="N9238" s="2"/>
      <c r="O9238" s="2"/>
      <c r="P9238" s="2" t="s">
        <v>27268</v>
      </c>
      <c r="Q9238" s="6">
        <v>93.75</v>
      </c>
      <c r="R9238" s="6">
        <v>14.2</v>
      </c>
      <c r="S9238" s="5">
        <v>1.5</v>
      </c>
      <c r="T9238" s="7">
        <v>27.827000000000002</v>
      </c>
      <c r="U9238" s="5">
        <v>14.2</v>
      </c>
      <c r="V9238" s="6">
        <v>-0.05</v>
      </c>
      <c r="W9238" s="2"/>
      <c r="X9238" s="5">
        <v>15.5</v>
      </c>
      <c r="Y9238" s="5">
        <v>12.6</v>
      </c>
      <c r="Z9238" s="6">
        <v>12.36</v>
      </c>
      <c r="AA9238" s="6">
        <v>7.94</v>
      </c>
      <c r="AB9238" s="7">
        <v>19.817</v>
      </c>
      <c r="AC9238" s="2"/>
    </row>
    <row r="9239" spans="1:29" ht="117" x14ac:dyDescent="0.15">
      <c r="A9239" s="3">
        <f>DATE(2008,12,12)</f>
        <v>39794</v>
      </c>
      <c r="B9239" s="3">
        <f>DATE(2008,12,12)</f>
        <v>39794</v>
      </c>
      <c r="C9239" s="2" t="s">
        <v>95</v>
      </c>
      <c r="D9239" s="2" t="s">
        <v>27269</v>
      </c>
      <c r="E9239" s="2" t="s">
        <v>6711</v>
      </c>
      <c r="F9239" s="4">
        <v>2836</v>
      </c>
      <c r="G9239" s="2" t="s">
        <v>130</v>
      </c>
      <c r="H9239" s="2" t="s">
        <v>34</v>
      </c>
      <c r="I9239" s="2" t="s">
        <v>27270</v>
      </c>
      <c r="J9239" s="2" t="s">
        <v>25334</v>
      </c>
      <c r="K9239" s="2" t="s">
        <v>63</v>
      </c>
      <c r="L9239" s="2" t="s">
        <v>34</v>
      </c>
      <c r="M9239" s="7">
        <v>9.1999999999999998E-2</v>
      </c>
      <c r="N9239" s="7">
        <v>3.0000000000000001E-3</v>
      </c>
      <c r="O9239" s="7">
        <v>3.0000000000000001E-3</v>
      </c>
      <c r="P9239" s="2" t="s">
        <v>27271</v>
      </c>
      <c r="Q9239" s="6">
        <v>100</v>
      </c>
      <c r="R9239" s="2"/>
      <c r="S9239" s="5">
        <v>-41.3</v>
      </c>
      <c r="T9239" s="2"/>
      <c r="U9239" s="5">
        <v>-7.9</v>
      </c>
      <c r="V9239" s="6">
        <v>3370</v>
      </c>
      <c r="W9239" s="4">
        <v>5</v>
      </c>
      <c r="X9239" s="4">
        <v>15</v>
      </c>
      <c r="Y9239" s="6">
        <v>10.01</v>
      </c>
      <c r="Z9239" s="6">
        <v>10.01</v>
      </c>
      <c r="AA9239" s="6">
        <v>61.22</v>
      </c>
      <c r="AB9239" s="2" t="s">
        <v>86</v>
      </c>
      <c r="AC9239" s="6">
        <v>0.02</v>
      </c>
    </row>
    <row r="9240" spans="1:29" ht="39" x14ac:dyDescent="0.15">
      <c r="A9240" s="3">
        <f>DATE(2008,12,12)</f>
        <v>39794</v>
      </c>
      <c r="B9240" s="2"/>
      <c r="C9240" s="2" t="s">
        <v>39</v>
      </c>
      <c r="D9240" s="2" t="s">
        <v>27272</v>
      </c>
      <c r="E9240" s="2" t="s">
        <v>27273</v>
      </c>
      <c r="F9240" s="4">
        <v>4911</v>
      </c>
      <c r="G9240" s="2" t="s">
        <v>439</v>
      </c>
      <c r="H9240" s="2" t="s">
        <v>34</v>
      </c>
      <c r="I9240" s="2" t="s">
        <v>22571</v>
      </c>
      <c r="J9240" s="2" t="s">
        <v>3759</v>
      </c>
      <c r="K9240" s="2" t="s">
        <v>439</v>
      </c>
      <c r="L9240" s="2" t="s">
        <v>34</v>
      </c>
      <c r="M9240" s="12">
        <v>33271.133999999998</v>
      </c>
      <c r="N9240" s="6">
        <v>54.71</v>
      </c>
      <c r="O9240" s="6">
        <v>53.54</v>
      </c>
      <c r="P9240" s="2" t="s">
        <v>27274</v>
      </c>
      <c r="Q9240" s="2"/>
      <c r="R9240" s="2"/>
      <c r="S9240" s="5">
        <v>-75.099999999999994</v>
      </c>
      <c r="T9240" s="7">
        <v>619.06500000000005</v>
      </c>
      <c r="U9240" s="5">
        <v>12.1</v>
      </c>
      <c r="V9240" s="6">
        <v>-0.28000000000000003</v>
      </c>
      <c r="W9240" s="6">
        <v>5.25</v>
      </c>
      <c r="X9240" s="5">
        <v>5.0999999999999996</v>
      </c>
      <c r="Y9240" s="6">
        <v>5.21</v>
      </c>
      <c r="Z9240" s="6">
        <v>5.09</v>
      </c>
      <c r="AA9240" s="6">
        <v>349.81</v>
      </c>
      <c r="AB9240" s="2" t="s">
        <v>47</v>
      </c>
      <c r="AC9240" s="5">
        <v>649</v>
      </c>
    </row>
    <row r="9241" spans="1:29" ht="156" x14ac:dyDescent="0.15">
      <c r="A9241" s="3">
        <f>DATE(2008,12,15)</f>
        <v>39797</v>
      </c>
      <c r="B9241" s="3">
        <f>DATE(2009,5,31)</f>
        <v>39964</v>
      </c>
      <c r="C9241" s="2" t="s">
        <v>95</v>
      </c>
      <c r="D9241" s="2" t="s">
        <v>27275</v>
      </c>
      <c r="E9241" s="2" t="s">
        <v>159</v>
      </c>
      <c r="F9241" s="4">
        <v>6021</v>
      </c>
      <c r="G9241" s="2" t="s">
        <v>37</v>
      </c>
      <c r="H9241" s="2" t="s">
        <v>34</v>
      </c>
      <c r="I9241" s="2" t="s">
        <v>27276</v>
      </c>
      <c r="J9241" s="2" t="s">
        <v>36</v>
      </c>
      <c r="K9241" s="2" t="s">
        <v>33</v>
      </c>
      <c r="L9241" s="2" t="s">
        <v>34</v>
      </c>
      <c r="M9241" s="12">
        <v>1473.9649999999999</v>
      </c>
      <c r="N9241" s="5">
        <v>12.6</v>
      </c>
      <c r="O9241" s="6">
        <v>12.99</v>
      </c>
      <c r="P9241" s="2" t="s">
        <v>27277</v>
      </c>
      <c r="Q9241" s="6">
        <v>100</v>
      </c>
      <c r="R9241" s="6">
        <v>12.5</v>
      </c>
      <c r="S9241" s="5">
        <v>1.7</v>
      </c>
      <c r="T9241" s="7">
        <v>3.2810000000000001</v>
      </c>
      <c r="U9241" s="5">
        <v>8.5</v>
      </c>
      <c r="V9241" s="6">
        <v>0.17</v>
      </c>
      <c r="W9241" s="6">
        <v>8.75</v>
      </c>
      <c r="X9241" s="6">
        <v>8.75</v>
      </c>
      <c r="Y9241" s="6">
        <v>11.18</v>
      </c>
      <c r="Z9241" s="6">
        <v>11.25</v>
      </c>
      <c r="AA9241" s="6">
        <v>10.86</v>
      </c>
      <c r="AB9241" s="7">
        <v>76.396000000000001</v>
      </c>
      <c r="AC9241" s="2"/>
    </row>
    <row r="9242" spans="1:29" ht="52" x14ac:dyDescent="0.15">
      <c r="A9242" s="3">
        <f>DATE(2008,12,17)</f>
        <v>39799</v>
      </c>
      <c r="B9242" s="3">
        <f>DATE(2009,5,29)</f>
        <v>39962</v>
      </c>
      <c r="C9242" s="2" t="s">
        <v>95</v>
      </c>
      <c r="D9242" s="2" t="s">
        <v>27278</v>
      </c>
      <c r="E9242" s="2" t="s">
        <v>159</v>
      </c>
      <c r="F9242" s="4">
        <v>6021</v>
      </c>
      <c r="G9242" s="2" t="s">
        <v>37</v>
      </c>
      <c r="H9242" s="2" t="s">
        <v>34</v>
      </c>
      <c r="I9242" s="2" t="s">
        <v>27279</v>
      </c>
      <c r="J9242" s="2" t="s">
        <v>36</v>
      </c>
      <c r="K9242" s="2" t="s">
        <v>37</v>
      </c>
      <c r="L9242" s="2" t="s">
        <v>34</v>
      </c>
      <c r="M9242" s="7">
        <v>81.936999999999998</v>
      </c>
      <c r="N9242" s="5">
        <v>20.100000000000001</v>
      </c>
      <c r="O9242" s="5">
        <v>20.100000000000001</v>
      </c>
      <c r="P9242" s="2" t="s">
        <v>27280</v>
      </c>
      <c r="Q9242" s="6">
        <v>100</v>
      </c>
      <c r="R9242" s="2"/>
      <c r="S9242" s="2"/>
      <c r="T9242" s="2"/>
      <c r="U9242" s="2"/>
      <c r="V9242" s="2"/>
      <c r="W9242" s="6">
        <v>100.25</v>
      </c>
      <c r="X9242" s="6">
        <v>100.25</v>
      </c>
      <c r="Y9242" s="6">
        <v>100.25</v>
      </c>
      <c r="Z9242" s="4">
        <v>115</v>
      </c>
      <c r="AA9242" s="6">
        <v>0.03</v>
      </c>
      <c r="AB9242" s="2" t="s">
        <v>47</v>
      </c>
      <c r="AC9242" s="2"/>
    </row>
    <row r="9243" spans="1:29" ht="130" x14ac:dyDescent="0.15">
      <c r="A9243" s="3">
        <f>DATE(2008,12,19)</f>
        <v>39801</v>
      </c>
      <c r="B9243" s="3">
        <f>DATE(2009,5,26)</f>
        <v>39959</v>
      </c>
      <c r="C9243" s="2" t="s">
        <v>95</v>
      </c>
      <c r="D9243" s="2" t="s">
        <v>9405</v>
      </c>
      <c r="E9243" s="2" t="s">
        <v>159</v>
      </c>
      <c r="F9243" s="4">
        <v>6021</v>
      </c>
      <c r="G9243" s="2" t="s">
        <v>37</v>
      </c>
      <c r="H9243" s="2" t="s">
        <v>34</v>
      </c>
      <c r="I9243" s="2" t="s">
        <v>16904</v>
      </c>
      <c r="J9243" s="2" t="s">
        <v>36</v>
      </c>
      <c r="K9243" s="2" t="s">
        <v>37</v>
      </c>
      <c r="L9243" s="2" t="s">
        <v>34</v>
      </c>
      <c r="M9243" s="12">
        <v>6419.7460000000001</v>
      </c>
      <c r="N9243" s="6">
        <v>55.96</v>
      </c>
      <c r="O9243" s="6">
        <v>55.25</v>
      </c>
      <c r="P9243" s="2" t="s">
        <v>27281</v>
      </c>
      <c r="Q9243" s="6">
        <v>100</v>
      </c>
      <c r="R9243" s="6">
        <v>10.25</v>
      </c>
      <c r="S9243" s="5">
        <v>-28.3</v>
      </c>
      <c r="T9243" s="6">
        <v>15.68</v>
      </c>
      <c r="U9243" s="5">
        <v>14.7</v>
      </c>
      <c r="V9243" s="6">
        <v>-0.97</v>
      </c>
      <c r="W9243" s="6">
        <v>6.62</v>
      </c>
      <c r="X9243" s="5">
        <v>5.8</v>
      </c>
      <c r="Y9243" s="6">
        <v>9.33</v>
      </c>
      <c r="Z9243" s="6">
        <v>9.11</v>
      </c>
      <c r="AA9243" s="6">
        <v>33.58</v>
      </c>
      <c r="AB9243" s="2" t="s">
        <v>86</v>
      </c>
      <c r="AC9243" s="2"/>
    </row>
    <row r="9244" spans="1:29" ht="52" x14ac:dyDescent="0.15">
      <c r="A9244" s="3">
        <f>DATE(2008,12,23)</f>
        <v>39805</v>
      </c>
      <c r="B9244" s="2"/>
      <c r="C9244" s="2" t="s">
        <v>189</v>
      </c>
      <c r="D9244" s="2" t="s">
        <v>27282</v>
      </c>
      <c r="E9244" s="2" t="s">
        <v>24835</v>
      </c>
      <c r="F9244" s="4">
        <v>6726</v>
      </c>
      <c r="G9244" s="2" t="s">
        <v>53</v>
      </c>
      <c r="H9244" s="2" t="s">
        <v>34</v>
      </c>
      <c r="I9244" s="2" t="s">
        <v>143</v>
      </c>
      <c r="J9244" s="2" t="s">
        <v>144</v>
      </c>
      <c r="K9244" s="2" t="s">
        <v>53</v>
      </c>
      <c r="L9244" s="2" t="s">
        <v>139</v>
      </c>
      <c r="M9244" s="2"/>
      <c r="N9244" s="2"/>
      <c r="O9244" s="2"/>
      <c r="P9244" s="2" t="s">
        <v>27283</v>
      </c>
      <c r="Q9244" s="2"/>
      <c r="R9244" s="2"/>
      <c r="S9244" s="2"/>
      <c r="T9244" s="2"/>
      <c r="U9244" s="2"/>
      <c r="V9244" s="2"/>
      <c r="W9244" s="6">
        <v>3.07</v>
      </c>
      <c r="X9244" s="6">
        <v>3.22</v>
      </c>
      <c r="Y9244" s="6">
        <v>3.22</v>
      </c>
      <c r="Z9244" s="5">
        <v>4.2</v>
      </c>
      <c r="AA9244" s="2"/>
      <c r="AB9244" s="2" t="s">
        <v>47</v>
      </c>
      <c r="AC9244" s="2"/>
    </row>
    <row r="9245" spans="1:29" ht="130" x14ac:dyDescent="0.15">
      <c r="A9245" s="3">
        <f>DATE(2008,12,31)</f>
        <v>39813</v>
      </c>
      <c r="B9245" s="3">
        <f>DATE(2009,10,1)</f>
        <v>40087</v>
      </c>
      <c r="C9245" s="2" t="s">
        <v>95</v>
      </c>
      <c r="D9245" s="2" t="s">
        <v>27284</v>
      </c>
      <c r="E9245" s="2" t="s">
        <v>159</v>
      </c>
      <c r="F9245" s="4">
        <v>6022</v>
      </c>
      <c r="G9245" s="2" t="s">
        <v>37</v>
      </c>
      <c r="H9245" s="2" t="s">
        <v>34</v>
      </c>
      <c r="I9245" s="2" t="s">
        <v>27285</v>
      </c>
      <c r="J9245" s="2" t="s">
        <v>265</v>
      </c>
      <c r="K9245" s="2" t="s">
        <v>37</v>
      </c>
      <c r="L9245" s="2" t="s">
        <v>34</v>
      </c>
      <c r="M9245" s="7">
        <v>49.543999999999997</v>
      </c>
      <c r="N9245" s="6">
        <v>7.03</v>
      </c>
      <c r="O9245" s="6">
        <v>7.03</v>
      </c>
      <c r="P9245" s="2" t="s">
        <v>27286</v>
      </c>
      <c r="Q9245" s="6">
        <v>100</v>
      </c>
      <c r="R9245" s="6">
        <v>3.11</v>
      </c>
      <c r="S9245" s="5">
        <v>-5.8</v>
      </c>
      <c r="T9245" s="7">
        <v>-8.6379999999999999</v>
      </c>
      <c r="U9245" s="5">
        <v>7</v>
      </c>
      <c r="V9245" s="6">
        <v>-1.67</v>
      </c>
      <c r="W9245" s="4">
        <v>3</v>
      </c>
      <c r="X9245" s="7">
        <v>2.2440000000000002</v>
      </c>
      <c r="Y9245" s="6">
        <v>2.5099999999999998</v>
      </c>
      <c r="Z9245" s="7">
        <v>3.1150000000000002</v>
      </c>
      <c r="AA9245" s="6">
        <v>3.46</v>
      </c>
      <c r="AB9245" s="2" t="s">
        <v>86</v>
      </c>
      <c r="AC9245" s="2"/>
    </row>
    <row r="9246" spans="1:29" ht="182" x14ac:dyDescent="0.15">
      <c r="A9246" s="3">
        <f>DATE(2009,1,5)</f>
        <v>39818</v>
      </c>
      <c r="B9246" s="3">
        <f>DATE(2009,3,23)</f>
        <v>39895</v>
      </c>
      <c r="C9246" s="2" t="s">
        <v>95</v>
      </c>
      <c r="D9246" s="2" t="s">
        <v>24909</v>
      </c>
      <c r="E9246" s="2" t="s">
        <v>3812</v>
      </c>
      <c r="F9246" s="4">
        <v>2834</v>
      </c>
      <c r="G9246" s="2" t="s">
        <v>130</v>
      </c>
      <c r="H9246" s="2" t="s">
        <v>34</v>
      </c>
      <c r="I9246" s="2" t="s">
        <v>27287</v>
      </c>
      <c r="J9246" s="2" t="s">
        <v>13693</v>
      </c>
      <c r="K9246" s="2" t="s">
        <v>130</v>
      </c>
      <c r="L9246" s="2" t="s">
        <v>34</v>
      </c>
      <c r="M9246" s="12">
        <v>2602.078</v>
      </c>
      <c r="N9246" s="6">
        <v>24.05</v>
      </c>
      <c r="O9246" s="6">
        <v>20.25</v>
      </c>
      <c r="P9246" s="2" t="s">
        <v>27288</v>
      </c>
      <c r="Q9246" s="6">
        <v>100</v>
      </c>
      <c r="R9246" s="6">
        <v>4.5</v>
      </c>
      <c r="S9246" s="5">
        <v>-58.4</v>
      </c>
      <c r="T9246" s="7">
        <v>-39.027000000000001</v>
      </c>
      <c r="U9246" s="5">
        <v>-1.7</v>
      </c>
      <c r="V9246" s="6">
        <v>-0.76</v>
      </c>
      <c r="W9246" s="6">
        <v>2.78</v>
      </c>
      <c r="X9246" s="6">
        <v>3.15</v>
      </c>
      <c r="Y9246" s="6">
        <v>3.15</v>
      </c>
      <c r="Z9246" s="6">
        <v>5.38</v>
      </c>
      <c r="AA9246" s="6">
        <v>77.55</v>
      </c>
      <c r="AB9246" s="2" t="s">
        <v>86</v>
      </c>
      <c r="AC9246" s="6">
        <v>782.19</v>
      </c>
    </row>
    <row r="9247" spans="1:29" ht="130" x14ac:dyDescent="0.15">
      <c r="A9247" s="3">
        <f>DATE(2009,1,8)</f>
        <v>39821</v>
      </c>
      <c r="B9247" s="3">
        <f>DATE(2009,6,11)</f>
        <v>39975</v>
      </c>
      <c r="C9247" s="2" t="s">
        <v>95</v>
      </c>
      <c r="D9247" s="2" t="s">
        <v>27289</v>
      </c>
      <c r="E9247" s="2" t="s">
        <v>27290</v>
      </c>
      <c r="F9247" s="4">
        <v>8299</v>
      </c>
      <c r="G9247" s="2" t="s">
        <v>415</v>
      </c>
      <c r="H9247" s="2" t="s">
        <v>34</v>
      </c>
      <c r="I9247" s="2" t="s">
        <v>25995</v>
      </c>
      <c r="J9247" s="2" t="s">
        <v>22961</v>
      </c>
      <c r="K9247" s="2" t="s">
        <v>53</v>
      </c>
      <c r="L9247" s="2" t="s">
        <v>34</v>
      </c>
      <c r="M9247" s="12">
        <v>7655.3249999999998</v>
      </c>
      <c r="N9247" s="5">
        <v>13.4</v>
      </c>
      <c r="O9247" s="6">
        <v>13.06</v>
      </c>
      <c r="P9247" s="2" t="s">
        <v>27291</v>
      </c>
      <c r="Q9247" s="6">
        <v>100</v>
      </c>
      <c r="R9247" s="6">
        <v>8.7100000000000009</v>
      </c>
      <c r="S9247" s="5">
        <v>56.1</v>
      </c>
      <c r="T9247" s="7">
        <v>108.14400000000001</v>
      </c>
      <c r="U9247" s="5">
        <v>3.4</v>
      </c>
      <c r="V9247" s="6">
        <v>0.82</v>
      </c>
      <c r="W9247" s="6">
        <v>5.62</v>
      </c>
      <c r="X9247" s="6">
        <v>5.65</v>
      </c>
      <c r="Y9247" s="6">
        <v>8.34</v>
      </c>
      <c r="Z9247" s="6">
        <v>8.2200000000000006</v>
      </c>
      <c r="AA9247" s="6">
        <v>66.5</v>
      </c>
      <c r="AB9247" s="7">
        <v>7.0460000000000003</v>
      </c>
      <c r="AC9247" s="10">
        <v>3141.42</v>
      </c>
    </row>
    <row r="9248" spans="1:29" ht="91" x14ac:dyDescent="0.15">
      <c r="A9248" s="3">
        <f>DATE(2009,1,12)</f>
        <v>39825</v>
      </c>
      <c r="B9248" s="3">
        <f>DATE(2009,2,24)</f>
        <v>39868</v>
      </c>
      <c r="C9248" s="2" t="s">
        <v>95</v>
      </c>
      <c r="D9248" s="2" t="s">
        <v>22480</v>
      </c>
      <c r="E9248" s="2" t="s">
        <v>22481</v>
      </c>
      <c r="F9248" s="4">
        <v>3841</v>
      </c>
      <c r="G9248" s="2" t="s">
        <v>226</v>
      </c>
      <c r="H9248" s="2" t="s">
        <v>34</v>
      </c>
      <c r="I9248" s="2" t="s">
        <v>7700</v>
      </c>
      <c r="J9248" s="2" t="s">
        <v>7701</v>
      </c>
      <c r="K9248" s="2" t="s">
        <v>130</v>
      </c>
      <c r="L9248" s="2" t="s">
        <v>34</v>
      </c>
      <c r="M9248" s="12">
        <v>80123.703999999998</v>
      </c>
      <c r="N9248" s="6">
        <v>50.06</v>
      </c>
      <c r="O9248" s="6">
        <v>50.06</v>
      </c>
      <c r="P9248" s="2" t="s">
        <v>27292</v>
      </c>
      <c r="Q9248" s="6">
        <v>100</v>
      </c>
      <c r="R9248" s="6">
        <v>22</v>
      </c>
      <c r="S9248" s="5">
        <v>61</v>
      </c>
      <c r="T9248" s="7">
        <v>269.46600000000001</v>
      </c>
      <c r="U9248" s="5">
        <v>10.4</v>
      </c>
      <c r="V9248" s="6">
        <v>0.97</v>
      </c>
      <c r="W9248" s="6">
        <v>6.87</v>
      </c>
      <c r="X9248" s="6">
        <v>8.85</v>
      </c>
      <c r="Y9248" s="5">
        <v>21.5</v>
      </c>
      <c r="Z9248" s="6">
        <v>21.54</v>
      </c>
      <c r="AA9248" s="6">
        <v>61.28</v>
      </c>
      <c r="AB9248" s="7">
        <v>17.753</v>
      </c>
      <c r="AC9248" s="10">
        <v>5079.63</v>
      </c>
    </row>
    <row r="9249" spans="1:29" ht="130" x14ac:dyDescent="0.15">
      <c r="A9249" s="3">
        <f>DATE(2009,1,12)</f>
        <v>39825</v>
      </c>
      <c r="B9249" s="3">
        <f>DATE(2009,2,25)</f>
        <v>39869</v>
      </c>
      <c r="C9249" s="2" t="s">
        <v>95</v>
      </c>
      <c r="D9249" s="2" t="s">
        <v>27293</v>
      </c>
      <c r="E9249" s="2" t="s">
        <v>2384</v>
      </c>
      <c r="F9249" s="4">
        <v>2834</v>
      </c>
      <c r="G9249" s="2" t="s">
        <v>130</v>
      </c>
      <c r="H9249" s="2" t="s">
        <v>34</v>
      </c>
      <c r="I9249" s="2" t="s">
        <v>27294</v>
      </c>
      <c r="J9249" s="2" t="s">
        <v>13055</v>
      </c>
      <c r="K9249" s="2" t="s">
        <v>130</v>
      </c>
      <c r="L9249" s="2" t="s">
        <v>34</v>
      </c>
      <c r="M9249" s="7">
        <v>700.029</v>
      </c>
      <c r="N9249" s="6">
        <v>14.75</v>
      </c>
      <c r="O9249" s="6">
        <v>13.88</v>
      </c>
      <c r="P9249" s="2" t="s">
        <v>27295</v>
      </c>
      <c r="Q9249" s="6">
        <v>100</v>
      </c>
      <c r="R9249" s="6">
        <v>2</v>
      </c>
      <c r="S9249" s="5">
        <v>-58.1</v>
      </c>
      <c r="T9249" s="7">
        <v>-74.872</v>
      </c>
      <c r="U9249" s="5">
        <v>0.9</v>
      </c>
      <c r="V9249" s="6">
        <v>2077.31</v>
      </c>
      <c r="W9249" s="6">
        <v>0.61</v>
      </c>
      <c r="X9249" s="6">
        <v>1.02</v>
      </c>
      <c r="Y9249" s="6">
        <v>1.1599999999999999</v>
      </c>
      <c r="Z9249" s="6">
        <v>2.4300000000000002</v>
      </c>
      <c r="AA9249" s="6">
        <v>20.99</v>
      </c>
      <c r="AB9249" s="2" t="s">
        <v>86</v>
      </c>
      <c r="AC9249" s="6">
        <v>216.21</v>
      </c>
    </row>
    <row r="9250" spans="1:29" ht="117" x14ac:dyDescent="0.15">
      <c r="A9250" s="3">
        <f>DATE(2009,1,14)</f>
        <v>39827</v>
      </c>
      <c r="B9250" s="3">
        <f>DATE(2009,5,1)</f>
        <v>39934</v>
      </c>
      <c r="C9250" s="2" t="s">
        <v>95</v>
      </c>
      <c r="D9250" s="2" t="s">
        <v>27296</v>
      </c>
      <c r="E9250" s="2" t="s">
        <v>3780</v>
      </c>
      <c r="F9250" s="4">
        <v>6021</v>
      </c>
      <c r="G9250" s="2" t="s">
        <v>37</v>
      </c>
      <c r="H9250" s="2" t="s">
        <v>34</v>
      </c>
      <c r="I9250" s="2" t="s">
        <v>24857</v>
      </c>
      <c r="J9250" s="2" t="s">
        <v>36</v>
      </c>
      <c r="K9250" s="2" t="s">
        <v>37</v>
      </c>
      <c r="L9250" s="2" t="s">
        <v>34</v>
      </c>
      <c r="M9250" s="2"/>
      <c r="N9250" s="4">
        <v>8</v>
      </c>
      <c r="O9250" s="6">
        <v>7.95</v>
      </c>
      <c r="P9250" s="2" t="s">
        <v>27297</v>
      </c>
      <c r="Q9250" s="6">
        <v>100</v>
      </c>
      <c r="R9250" s="6">
        <v>8.5</v>
      </c>
      <c r="S9250" s="5">
        <v>-0.6</v>
      </c>
      <c r="T9250" s="7">
        <v>-0.78700000000000003</v>
      </c>
      <c r="U9250" s="5">
        <v>6.9</v>
      </c>
      <c r="V9250" s="6">
        <v>-0.68</v>
      </c>
      <c r="W9250" s="6">
        <v>7.95</v>
      </c>
      <c r="X9250" s="6">
        <v>7.95</v>
      </c>
      <c r="Y9250" s="5">
        <v>7.5</v>
      </c>
      <c r="Z9250" s="5">
        <v>7.5</v>
      </c>
      <c r="AA9250" s="6">
        <v>0.86</v>
      </c>
      <c r="AB9250" s="2" t="s">
        <v>86</v>
      </c>
      <c r="AC9250" s="2"/>
    </row>
    <row r="9251" spans="1:29" ht="130" x14ac:dyDescent="0.15">
      <c r="A9251" s="3">
        <f>DATE(2009,1,15)</f>
        <v>39828</v>
      </c>
      <c r="B9251" s="3">
        <f>DATE(2009,12,4)</f>
        <v>40151</v>
      </c>
      <c r="C9251" s="2" t="s">
        <v>95</v>
      </c>
      <c r="D9251" s="2" t="s">
        <v>27298</v>
      </c>
      <c r="E9251" s="2" t="s">
        <v>27299</v>
      </c>
      <c r="F9251" s="4">
        <v>4924</v>
      </c>
      <c r="G9251" s="2" t="s">
        <v>439</v>
      </c>
      <c r="H9251" s="2" t="s">
        <v>34</v>
      </c>
      <c r="I9251" s="2" t="s">
        <v>27300</v>
      </c>
      <c r="J9251" s="2" t="s">
        <v>150</v>
      </c>
      <c r="K9251" s="2" t="s">
        <v>53</v>
      </c>
      <c r="L9251" s="2" t="s">
        <v>34</v>
      </c>
      <c r="M9251" s="2"/>
      <c r="N9251" s="2"/>
      <c r="O9251" s="2"/>
      <c r="P9251" s="2" t="s">
        <v>27301</v>
      </c>
      <c r="Q9251" s="6">
        <v>100</v>
      </c>
      <c r="R9251" s="6">
        <v>10</v>
      </c>
      <c r="S9251" s="5">
        <v>20.3</v>
      </c>
      <c r="T9251" s="7">
        <v>70.216999999999999</v>
      </c>
      <c r="U9251" s="2"/>
      <c r="V9251" s="6">
        <v>1.31</v>
      </c>
      <c r="W9251" s="6">
        <v>9.98</v>
      </c>
      <c r="X9251" s="5">
        <v>7.9</v>
      </c>
      <c r="Y9251" s="5">
        <v>8.6999999999999993</v>
      </c>
      <c r="Z9251" s="6">
        <v>8.67</v>
      </c>
      <c r="AA9251" s="6">
        <v>6.28</v>
      </c>
      <c r="AB9251" s="7">
        <v>1.4810000000000001</v>
      </c>
      <c r="AC9251" s="2"/>
    </row>
    <row r="9252" spans="1:29" ht="130" x14ac:dyDescent="0.15">
      <c r="A9252" s="3">
        <f>DATE(2009,1,15)</f>
        <v>39828</v>
      </c>
      <c r="B9252" s="3">
        <f>DATE(2009,12,4)</f>
        <v>40151</v>
      </c>
      <c r="C9252" s="2" t="s">
        <v>95</v>
      </c>
      <c r="D9252" s="2" t="s">
        <v>27302</v>
      </c>
      <c r="E9252" s="2" t="s">
        <v>27299</v>
      </c>
      <c r="F9252" s="4">
        <v>1311</v>
      </c>
      <c r="G9252" s="2" t="s">
        <v>148</v>
      </c>
      <c r="H9252" s="2" t="s">
        <v>34</v>
      </c>
      <c r="I9252" s="2" t="s">
        <v>27300</v>
      </c>
      <c r="J9252" s="2" t="s">
        <v>150</v>
      </c>
      <c r="K9252" s="2" t="s">
        <v>53</v>
      </c>
      <c r="L9252" s="2" t="s">
        <v>34</v>
      </c>
      <c r="M9252" s="2"/>
      <c r="N9252" s="2"/>
      <c r="O9252" s="2"/>
      <c r="P9252" s="2" t="s">
        <v>27303</v>
      </c>
      <c r="Q9252" s="6">
        <v>100</v>
      </c>
      <c r="R9252" s="6">
        <v>3.2</v>
      </c>
      <c r="S9252" s="5">
        <v>-17</v>
      </c>
      <c r="T9252" s="7">
        <v>50.177</v>
      </c>
      <c r="U9252" s="5">
        <v>-0.4</v>
      </c>
      <c r="V9252" s="6">
        <v>-0.79</v>
      </c>
      <c r="W9252" s="6">
        <v>3.72</v>
      </c>
      <c r="X9252" s="6">
        <v>2.64</v>
      </c>
      <c r="Y9252" s="6">
        <v>2.84</v>
      </c>
      <c r="Z9252" s="6">
        <v>2.88</v>
      </c>
      <c r="AA9252" s="6">
        <v>21.61</v>
      </c>
      <c r="AB9252" s="7">
        <v>38.753999999999998</v>
      </c>
      <c r="AC9252" s="2"/>
    </row>
    <row r="9253" spans="1:29" ht="234" x14ac:dyDescent="0.15">
      <c r="A9253" s="3">
        <f>DATE(2009,1,15)</f>
        <v>39828</v>
      </c>
      <c r="B9253" s="3">
        <f>DATE(2010,4,5)</f>
        <v>40273</v>
      </c>
      <c r="C9253" s="2" t="s">
        <v>95</v>
      </c>
      <c r="D9253" s="2" t="s">
        <v>6032</v>
      </c>
      <c r="E9253" s="2" t="s">
        <v>6033</v>
      </c>
      <c r="F9253" s="4">
        <v>2873</v>
      </c>
      <c r="G9253" s="2" t="s">
        <v>98</v>
      </c>
      <c r="H9253" s="2" t="s">
        <v>34</v>
      </c>
      <c r="I9253" s="2" t="s">
        <v>27304</v>
      </c>
      <c r="J9253" s="2" t="s">
        <v>27305</v>
      </c>
      <c r="K9253" s="2" t="s">
        <v>98</v>
      </c>
      <c r="L9253" s="2" t="s">
        <v>34</v>
      </c>
      <c r="M9253" s="12">
        <v>2458.0360000000001</v>
      </c>
      <c r="N9253" s="6">
        <v>47.23</v>
      </c>
      <c r="O9253" s="6">
        <v>48.52</v>
      </c>
      <c r="P9253" s="2" t="s">
        <v>27306</v>
      </c>
      <c r="Q9253" s="6">
        <v>85.67</v>
      </c>
      <c r="R9253" s="6">
        <v>47.4</v>
      </c>
      <c r="S9253" s="5">
        <v>152.6</v>
      </c>
      <c r="T9253" s="7">
        <v>386.63400000000001</v>
      </c>
      <c r="U9253" s="5">
        <v>4.9000000000000004</v>
      </c>
      <c r="V9253" s="6">
        <v>1.53</v>
      </c>
      <c r="W9253" s="6">
        <v>18.36</v>
      </c>
      <c r="X9253" s="6">
        <v>15.03</v>
      </c>
      <c r="Y9253" s="6">
        <v>16.29</v>
      </c>
      <c r="Z9253" s="6">
        <v>20.49</v>
      </c>
      <c r="AA9253" s="6">
        <v>100.16</v>
      </c>
      <c r="AB9253" s="7">
        <v>15.994999999999999</v>
      </c>
      <c r="AC9253" s="5">
        <v>882.1</v>
      </c>
    </row>
    <row r="9254" spans="1:29" ht="91" x14ac:dyDescent="0.15">
      <c r="A9254" s="3">
        <f>DATE(2009,1,16)</f>
        <v>39829</v>
      </c>
      <c r="B9254" s="2"/>
      <c r="C9254" s="2" t="s">
        <v>30</v>
      </c>
      <c r="D9254" s="2" t="s">
        <v>27307</v>
      </c>
      <c r="E9254" s="2" t="s">
        <v>27308</v>
      </c>
      <c r="F9254" s="4">
        <v>7342</v>
      </c>
      <c r="G9254" s="2" t="s">
        <v>223</v>
      </c>
      <c r="H9254" s="2" t="s">
        <v>34</v>
      </c>
      <c r="I9254" s="2" t="s">
        <v>27309</v>
      </c>
      <c r="J9254" s="2" t="s">
        <v>27310</v>
      </c>
      <c r="K9254" s="2" t="s">
        <v>223</v>
      </c>
      <c r="L9254" s="2" t="s">
        <v>34</v>
      </c>
      <c r="M9254" s="2"/>
      <c r="N9254" s="2"/>
      <c r="O9254" s="2"/>
      <c r="P9254" s="2" t="s">
        <v>27311</v>
      </c>
      <c r="Q9254" s="2"/>
      <c r="R9254" s="6">
        <v>3</v>
      </c>
      <c r="S9254" s="5">
        <v>-5.7</v>
      </c>
      <c r="T9254" s="7">
        <v>2.4940000000000002</v>
      </c>
      <c r="U9254" s="5">
        <v>3.9</v>
      </c>
      <c r="V9254" s="6">
        <v>-0.25</v>
      </c>
      <c r="W9254" s="6">
        <v>1.55</v>
      </c>
      <c r="X9254" s="6">
        <v>1.43</v>
      </c>
      <c r="Y9254" s="5">
        <v>1.7</v>
      </c>
      <c r="Z9254" s="6">
        <v>1.59</v>
      </c>
      <c r="AA9254" s="6">
        <v>13.09</v>
      </c>
      <c r="AB9254" s="2" t="s">
        <v>86</v>
      </c>
      <c r="AC9254" s="2"/>
    </row>
    <row r="9255" spans="1:29" ht="65" x14ac:dyDescent="0.15">
      <c r="A9255" s="3">
        <f>DATE(2009,1,22)</f>
        <v>39835</v>
      </c>
      <c r="B9255" s="2"/>
      <c r="C9255" s="2" t="s">
        <v>82</v>
      </c>
      <c r="D9255" s="2" t="s">
        <v>27312</v>
      </c>
      <c r="E9255" s="2" t="s">
        <v>844</v>
      </c>
      <c r="F9255" s="4">
        <v>6552</v>
      </c>
      <c r="G9255" s="2" t="s">
        <v>109</v>
      </c>
      <c r="H9255" s="2" t="s">
        <v>34</v>
      </c>
      <c r="I9255" s="2" t="s">
        <v>27313</v>
      </c>
      <c r="J9255" s="2" t="s">
        <v>150</v>
      </c>
      <c r="K9255" s="2" t="s">
        <v>53</v>
      </c>
      <c r="L9255" s="2" t="s">
        <v>34</v>
      </c>
      <c r="M9255" s="2"/>
      <c r="N9255" s="2"/>
      <c r="O9255" s="2"/>
      <c r="P9255" s="2" t="s">
        <v>27314</v>
      </c>
      <c r="Q9255" s="2"/>
      <c r="R9255" s="6">
        <v>15</v>
      </c>
      <c r="S9255" s="5">
        <v>10.3</v>
      </c>
      <c r="T9255" s="6">
        <v>37.68</v>
      </c>
      <c r="U9255" s="5">
        <v>12.5</v>
      </c>
      <c r="V9255" s="6">
        <v>0.28000000000000003</v>
      </c>
      <c r="W9255" s="6">
        <v>8.49</v>
      </c>
      <c r="X9255" s="4">
        <v>10</v>
      </c>
      <c r="Y9255" s="6">
        <v>9.24</v>
      </c>
      <c r="Z9255" s="6">
        <v>12.09</v>
      </c>
      <c r="AA9255" s="6">
        <v>35.700000000000003</v>
      </c>
      <c r="AB9255" s="7">
        <v>16.806999999999999</v>
      </c>
      <c r="AC9255" s="2"/>
    </row>
    <row r="9256" spans="1:29" ht="91" x14ac:dyDescent="0.15">
      <c r="A9256" s="3">
        <f>DATE(2009,1,22)</f>
        <v>39835</v>
      </c>
      <c r="B9256" s="3">
        <f>DATE(2009,3,17)</f>
        <v>39889</v>
      </c>
      <c r="C9256" s="2" t="s">
        <v>95</v>
      </c>
      <c r="D9256" s="2" t="s">
        <v>21145</v>
      </c>
      <c r="E9256" s="2" t="s">
        <v>21146</v>
      </c>
      <c r="F9256" s="4">
        <v>7372</v>
      </c>
      <c r="G9256" s="2" t="s">
        <v>551</v>
      </c>
      <c r="H9256" s="2" t="s">
        <v>34</v>
      </c>
      <c r="I9256" s="2" t="s">
        <v>21043</v>
      </c>
      <c r="J9256" s="2" t="s">
        <v>21044</v>
      </c>
      <c r="K9256" s="2" t="s">
        <v>551</v>
      </c>
      <c r="L9256" s="2" t="s">
        <v>303</v>
      </c>
      <c r="M9256" s="12">
        <v>3150.9870000000001</v>
      </c>
      <c r="N9256" s="5">
        <v>13.7</v>
      </c>
      <c r="O9256" s="5">
        <v>15.5</v>
      </c>
      <c r="P9256" s="2" t="s">
        <v>27315</v>
      </c>
      <c r="Q9256" s="6">
        <v>100</v>
      </c>
      <c r="R9256" s="6">
        <v>16.2</v>
      </c>
      <c r="S9256" s="5">
        <v>32</v>
      </c>
      <c r="T9256" s="7">
        <v>44.344999999999999</v>
      </c>
      <c r="U9256" s="5">
        <v>8.8000000000000007</v>
      </c>
      <c r="V9256" s="6">
        <v>0.69</v>
      </c>
      <c r="W9256" s="6">
        <v>12.96</v>
      </c>
      <c r="X9256" s="6">
        <v>11.84</v>
      </c>
      <c r="Y9256" s="6">
        <v>15.69</v>
      </c>
      <c r="Z9256" s="6">
        <v>15.68</v>
      </c>
      <c r="AA9256" s="6">
        <v>46.1</v>
      </c>
      <c r="AB9256" s="7">
        <v>19.082999999999998</v>
      </c>
      <c r="AC9256" s="6">
        <v>199.95</v>
      </c>
    </row>
    <row r="9257" spans="1:29" ht="78" x14ac:dyDescent="0.15">
      <c r="A9257" s="3">
        <f>DATE(2009,1,26)</f>
        <v>39839</v>
      </c>
      <c r="B9257" s="2"/>
      <c r="C9257" s="2" t="s">
        <v>87</v>
      </c>
      <c r="D9257" s="2" t="s">
        <v>27316</v>
      </c>
      <c r="E9257" s="2" t="s">
        <v>27317</v>
      </c>
      <c r="F9257" s="4">
        <v>2329</v>
      </c>
      <c r="G9257" s="2" t="s">
        <v>708</v>
      </c>
      <c r="H9257" s="2" t="s">
        <v>34</v>
      </c>
      <c r="I9257" s="2" t="s">
        <v>27318</v>
      </c>
      <c r="J9257" s="2" t="s">
        <v>27319</v>
      </c>
      <c r="K9257" s="2" t="s">
        <v>112</v>
      </c>
      <c r="L9257" s="2" t="s">
        <v>34</v>
      </c>
      <c r="M9257" s="12">
        <v>23690.562000000002</v>
      </c>
      <c r="N9257" s="6">
        <v>45.67</v>
      </c>
      <c r="O9257" s="6">
        <v>45.51</v>
      </c>
      <c r="P9257" s="2" t="s">
        <v>27320</v>
      </c>
      <c r="Q9257" s="2"/>
      <c r="R9257" s="2"/>
      <c r="S9257" s="5">
        <v>-226.3</v>
      </c>
      <c r="T9257" s="7">
        <v>261.88400000000001</v>
      </c>
      <c r="U9257" s="5">
        <v>4.7</v>
      </c>
      <c r="V9257" s="6">
        <v>0.51</v>
      </c>
      <c r="W9257" s="6">
        <v>1.77</v>
      </c>
      <c r="X9257" s="6">
        <v>1.51</v>
      </c>
      <c r="Y9257" s="6">
        <v>2.21</v>
      </c>
      <c r="Z9257" s="5">
        <v>2.1</v>
      </c>
      <c r="AA9257" s="6">
        <v>127.63</v>
      </c>
      <c r="AB9257" s="2" t="s">
        <v>47</v>
      </c>
      <c r="AC9257" s="8">
        <v>2729.5</v>
      </c>
    </row>
    <row r="9258" spans="1:29" ht="156" x14ac:dyDescent="0.15">
      <c r="A9258" s="3">
        <f>DATE(2009,1,26)</f>
        <v>39839</v>
      </c>
      <c r="B9258" s="3">
        <f>DATE(2009,10,15)</f>
        <v>40101</v>
      </c>
      <c r="C9258" s="2" t="s">
        <v>95</v>
      </c>
      <c r="D9258" s="2" t="s">
        <v>27321</v>
      </c>
      <c r="E9258" s="2" t="s">
        <v>2066</v>
      </c>
      <c r="F9258" s="4">
        <v>2834</v>
      </c>
      <c r="G9258" s="2" t="s">
        <v>130</v>
      </c>
      <c r="H9258" s="2" t="s">
        <v>34</v>
      </c>
      <c r="I9258" s="2" t="s">
        <v>7393</v>
      </c>
      <c r="J9258" s="2" t="s">
        <v>5670</v>
      </c>
      <c r="K9258" s="2" t="s">
        <v>130</v>
      </c>
      <c r="L9258" s="2" t="s">
        <v>34</v>
      </c>
      <c r="M9258" s="12">
        <v>116585.353</v>
      </c>
      <c r="N9258" s="6">
        <v>15.65</v>
      </c>
      <c r="O9258" s="6">
        <v>15.82</v>
      </c>
      <c r="P9258" s="2" t="s">
        <v>27322</v>
      </c>
      <c r="Q9258" s="6">
        <v>100</v>
      </c>
      <c r="R9258" s="6">
        <v>50.19</v>
      </c>
      <c r="S9258" s="8">
        <v>4417.8</v>
      </c>
      <c r="T9258" s="12">
        <v>7953.808</v>
      </c>
      <c r="U9258" s="5">
        <v>14.4</v>
      </c>
      <c r="V9258" s="6">
        <v>3.27</v>
      </c>
      <c r="W9258" s="6">
        <v>38.81</v>
      </c>
      <c r="X9258" s="6">
        <v>38.83</v>
      </c>
      <c r="Y9258" s="6">
        <v>43.74</v>
      </c>
      <c r="Z9258" s="6">
        <v>43.39</v>
      </c>
      <c r="AA9258" s="10">
        <v>1331.49</v>
      </c>
      <c r="AB9258" s="7">
        <v>9.2829999999999995</v>
      </c>
      <c r="AC9258" s="8">
        <v>23731</v>
      </c>
    </row>
    <row r="9259" spans="1:29" ht="143" x14ac:dyDescent="0.15">
      <c r="A9259" s="3">
        <f>DATE(2009,1,27)</f>
        <v>39840</v>
      </c>
      <c r="B9259" s="3">
        <f>DATE(2009,4,27)</f>
        <v>39930</v>
      </c>
      <c r="C9259" s="2" t="s">
        <v>95</v>
      </c>
      <c r="D9259" s="2" t="s">
        <v>19838</v>
      </c>
      <c r="E9259" s="2" t="s">
        <v>19839</v>
      </c>
      <c r="F9259" s="4">
        <v>3674</v>
      </c>
      <c r="G9259" s="2" t="s">
        <v>137</v>
      </c>
      <c r="H9259" s="2" t="s">
        <v>34</v>
      </c>
      <c r="I9259" s="2" t="s">
        <v>27323</v>
      </c>
      <c r="J9259" s="2" t="s">
        <v>27324</v>
      </c>
      <c r="K9259" s="2" t="s">
        <v>137</v>
      </c>
      <c r="L9259" s="2" t="s">
        <v>34</v>
      </c>
      <c r="M9259" s="6">
        <v>40.479999999999997</v>
      </c>
      <c r="N9259" s="7">
        <v>0.39700000000000002</v>
      </c>
      <c r="O9259" s="6">
        <v>0.37</v>
      </c>
      <c r="P9259" s="2" t="s">
        <v>27325</v>
      </c>
      <c r="Q9259" s="6">
        <v>100</v>
      </c>
      <c r="R9259" s="6">
        <v>2.17</v>
      </c>
      <c r="S9259" s="5">
        <v>-21.9</v>
      </c>
      <c r="T9259" s="7">
        <v>-9.7609999999999992</v>
      </c>
      <c r="U9259" s="5">
        <v>4</v>
      </c>
      <c r="V9259" s="9">
        <v>-1.4000999999999999</v>
      </c>
      <c r="W9259" s="6">
        <v>1.25</v>
      </c>
      <c r="X9259" s="6">
        <v>1.31</v>
      </c>
      <c r="Y9259" s="5">
        <v>1.3</v>
      </c>
      <c r="Z9259" s="6">
        <v>1.84</v>
      </c>
      <c r="AA9259" s="6">
        <v>15.51</v>
      </c>
      <c r="AB9259" s="2" t="s">
        <v>86</v>
      </c>
      <c r="AC9259" s="6">
        <v>44.7</v>
      </c>
    </row>
    <row r="9260" spans="1:29" ht="91" x14ac:dyDescent="0.15">
      <c r="A9260" s="3">
        <f>DATE(2009,1,27)</f>
        <v>39840</v>
      </c>
      <c r="B9260" s="2"/>
      <c r="C9260" s="2" t="s">
        <v>30</v>
      </c>
      <c r="D9260" s="2" t="s">
        <v>27326</v>
      </c>
      <c r="E9260" s="2" t="s">
        <v>2384</v>
      </c>
      <c r="F9260" s="4">
        <v>2836</v>
      </c>
      <c r="G9260" s="2" t="s">
        <v>130</v>
      </c>
      <c r="H9260" s="2" t="s">
        <v>34</v>
      </c>
      <c r="I9260" s="2" t="s">
        <v>27327</v>
      </c>
      <c r="J9260" s="2" t="s">
        <v>2066</v>
      </c>
      <c r="K9260" s="2" t="s">
        <v>130</v>
      </c>
      <c r="L9260" s="2" t="s">
        <v>99</v>
      </c>
      <c r="M9260" s="12">
        <v>20277.031999999999</v>
      </c>
      <c r="N9260" s="7">
        <v>38.685000000000002</v>
      </c>
      <c r="O9260" s="7">
        <v>38.292000000000002</v>
      </c>
      <c r="P9260" s="2" t="s">
        <v>27328</v>
      </c>
      <c r="Q9260" s="2"/>
      <c r="R9260" s="6">
        <v>16</v>
      </c>
      <c r="S9260" s="5">
        <v>-98.5</v>
      </c>
      <c r="T9260" s="6">
        <v>-71.36</v>
      </c>
      <c r="U9260" s="5">
        <v>-3.5</v>
      </c>
      <c r="V9260" s="6">
        <v>-1.61</v>
      </c>
      <c r="W9260" s="6">
        <v>10.65</v>
      </c>
      <c r="X9260" s="6">
        <v>11.35</v>
      </c>
      <c r="Y9260" s="6">
        <v>15.42</v>
      </c>
      <c r="Z9260" s="6">
        <v>14.84</v>
      </c>
      <c r="AA9260" s="6">
        <v>61.33</v>
      </c>
      <c r="AB9260" s="2" t="s">
        <v>86</v>
      </c>
      <c r="AC9260" s="10">
        <v>4928.97</v>
      </c>
    </row>
    <row r="9261" spans="1:29" ht="65" x14ac:dyDescent="0.15">
      <c r="A9261" s="3">
        <f>DATE(2009,1,28)</f>
        <v>39841</v>
      </c>
      <c r="B9261" s="2"/>
      <c r="C9261" s="2" t="s">
        <v>7330</v>
      </c>
      <c r="D9261" s="2" t="s">
        <v>27329</v>
      </c>
      <c r="E9261" s="2" t="s">
        <v>27330</v>
      </c>
      <c r="F9261" s="4">
        <v>5511</v>
      </c>
      <c r="G9261" s="2" t="s">
        <v>73</v>
      </c>
      <c r="H9261" s="2" t="s">
        <v>34</v>
      </c>
      <c r="I9261" s="2" t="s">
        <v>27331</v>
      </c>
      <c r="J9261" s="2" t="s">
        <v>22486</v>
      </c>
      <c r="K9261" s="2" t="s">
        <v>53</v>
      </c>
      <c r="L9261" s="2" t="s">
        <v>34</v>
      </c>
      <c r="M9261" s="2"/>
      <c r="N9261" s="2"/>
      <c r="O9261" s="2"/>
      <c r="P9261" s="2" t="s">
        <v>27332</v>
      </c>
      <c r="Q9261" s="2"/>
      <c r="R9261" s="2"/>
      <c r="S9261" s="8">
        <v>-1235</v>
      </c>
      <c r="T9261" s="5">
        <v>559.70000000000005</v>
      </c>
      <c r="U9261" s="5">
        <v>12.4</v>
      </c>
      <c r="V9261" s="6">
        <v>-6.89</v>
      </c>
      <c r="W9261" s="6">
        <v>8.11</v>
      </c>
      <c r="X9261" s="6">
        <v>8.7899999999999991</v>
      </c>
      <c r="Y9261" s="6">
        <v>9.24</v>
      </c>
      <c r="Z9261" s="6">
        <v>9.67</v>
      </c>
      <c r="AA9261" s="6">
        <v>176.85</v>
      </c>
      <c r="AB9261" s="2" t="s">
        <v>47</v>
      </c>
      <c r="AC9261" s="2"/>
    </row>
    <row r="9262" spans="1:29" ht="104" x14ac:dyDescent="0.15">
      <c r="A9262" s="3">
        <f>DATE(2009,1,28)</f>
        <v>39841</v>
      </c>
      <c r="B9262" s="2"/>
      <c r="C9262" s="2" t="s">
        <v>30</v>
      </c>
      <c r="D9262" s="2" t="s">
        <v>27333</v>
      </c>
      <c r="E9262" s="2" t="s">
        <v>27334</v>
      </c>
      <c r="F9262" s="4">
        <v>3143</v>
      </c>
      <c r="G9262" s="2" t="s">
        <v>326</v>
      </c>
      <c r="H9262" s="2" t="s">
        <v>34</v>
      </c>
      <c r="I9262" s="2" t="s">
        <v>27335</v>
      </c>
      <c r="J9262" s="2" t="s">
        <v>244</v>
      </c>
      <c r="K9262" s="2" t="s">
        <v>53</v>
      </c>
      <c r="L9262" s="2" t="s">
        <v>34</v>
      </c>
      <c r="M9262" s="2"/>
      <c r="N9262" s="2"/>
      <c r="O9262" s="2"/>
      <c r="P9262" s="2" t="s">
        <v>27336</v>
      </c>
      <c r="Q9262" s="2"/>
      <c r="R9262" s="6">
        <v>7.75</v>
      </c>
      <c r="S9262" s="5">
        <v>9.1</v>
      </c>
      <c r="T9262" s="7">
        <v>12.563000000000001</v>
      </c>
      <c r="U9262" s="5">
        <v>5.0999999999999996</v>
      </c>
      <c r="V9262" s="6">
        <v>0.85</v>
      </c>
      <c r="W9262" s="6">
        <v>5.75</v>
      </c>
      <c r="X9262" s="6">
        <v>5.75</v>
      </c>
      <c r="Y9262" s="6">
        <v>5.85</v>
      </c>
      <c r="Z9262" s="6">
        <v>5.73</v>
      </c>
      <c r="AA9262" s="6">
        <v>10.59</v>
      </c>
      <c r="AB9262" s="7">
        <v>4.7759999999999998</v>
      </c>
      <c r="AC9262" s="2"/>
    </row>
    <row r="9263" spans="1:29" ht="91" x14ac:dyDescent="0.15">
      <c r="A9263" s="3">
        <f>DATE(2009,1,29)</f>
        <v>39842</v>
      </c>
      <c r="B9263" s="2"/>
      <c r="C9263" s="2" t="s">
        <v>30</v>
      </c>
      <c r="D9263" s="2" t="s">
        <v>27337</v>
      </c>
      <c r="E9263" s="2" t="s">
        <v>27338</v>
      </c>
      <c r="F9263" s="4">
        <v>7389</v>
      </c>
      <c r="G9263" s="2" t="s">
        <v>223</v>
      </c>
      <c r="H9263" s="2" t="s">
        <v>34</v>
      </c>
      <c r="I9263" s="2" t="s">
        <v>27339</v>
      </c>
      <c r="J9263" s="2" t="s">
        <v>11337</v>
      </c>
      <c r="K9263" s="2" t="s">
        <v>53</v>
      </c>
      <c r="L9263" s="2" t="s">
        <v>34</v>
      </c>
      <c r="M9263" s="2"/>
      <c r="N9263" s="2"/>
      <c r="O9263" s="2"/>
      <c r="P9263" s="2" t="s">
        <v>27340</v>
      </c>
      <c r="Q9263" s="2"/>
      <c r="R9263" s="6">
        <v>1.61</v>
      </c>
      <c r="S9263" s="5">
        <v>3</v>
      </c>
      <c r="T9263" s="7">
        <v>22.765000000000001</v>
      </c>
      <c r="U9263" s="5">
        <v>0.7</v>
      </c>
      <c r="V9263" s="6">
        <v>0.06</v>
      </c>
      <c r="W9263" s="6">
        <v>1.26</v>
      </c>
      <c r="X9263" s="6">
        <v>1.29</v>
      </c>
      <c r="Y9263" s="6">
        <v>1.41</v>
      </c>
      <c r="Z9263" s="6">
        <v>1.38</v>
      </c>
      <c r="AA9263" s="6">
        <v>51.1</v>
      </c>
      <c r="AB9263" s="7">
        <v>8.1739999999999995</v>
      </c>
      <c r="AC9263" s="2"/>
    </row>
    <row r="9264" spans="1:29" ht="91" x14ac:dyDescent="0.15">
      <c r="A9264" s="3">
        <f>DATE(2009,2,3)</f>
        <v>39847</v>
      </c>
      <c r="B9264" s="2"/>
      <c r="C9264" s="2" t="s">
        <v>30</v>
      </c>
      <c r="D9264" s="2" t="s">
        <v>27284</v>
      </c>
      <c r="E9264" s="2" t="s">
        <v>159</v>
      </c>
      <c r="F9264" s="4">
        <v>6022</v>
      </c>
      <c r="G9264" s="2" t="s">
        <v>37</v>
      </c>
      <c r="H9264" s="2" t="s">
        <v>34</v>
      </c>
      <c r="I9264" s="2" t="s">
        <v>27341</v>
      </c>
      <c r="J9264" s="2" t="s">
        <v>1620</v>
      </c>
      <c r="K9264" s="2" t="s">
        <v>53</v>
      </c>
      <c r="L9264" s="2" t="s">
        <v>34</v>
      </c>
      <c r="M9264" s="2"/>
      <c r="N9264" s="2"/>
      <c r="O9264" s="2"/>
      <c r="P9264" s="2" t="s">
        <v>27342</v>
      </c>
      <c r="Q9264" s="2"/>
      <c r="R9264" s="6">
        <v>3.45</v>
      </c>
      <c r="S9264" s="5">
        <v>-5.8</v>
      </c>
      <c r="T9264" s="7">
        <v>-8.6379999999999999</v>
      </c>
      <c r="U9264" s="5">
        <v>7</v>
      </c>
      <c r="V9264" s="6">
        <v>-1.67</v>
      </c>
      <c r="W9264" s="5">
        <v>2.1</v>
      </c>
      <c r="X9264" s="5">
        <v>2.1</v>
      </c>
      <c r="Y9264" s="6">
        <v>2.2599999999999998</v>
      </c>
      <c r="Z9264" s="5">
        <v>2.2000000000000002</v>
      </c>
      <c r="AA9264" s="6">
        <v>3.46</v>
      </c>
      <c r="AB9264" s="2" t="s">
        <v>86</v>
      </c>
      <c r="AC9264" s="2"/>
    </row>
    <row r="9265" spans="1:29" ht="130" x14ac:dyDescent="0.15">
      <c r="A9265" s="3">
        <f>DATE(2009,2,3)</f>
        <v>39847</v>
      </c>
      <c r="B9265" s="3">
        <f>DATE(2009,3,31)</f>
        <v>39903</v>
      </c>
      <c r="C9265" s="2" t="s">
        <v>95</v>
      </c>
      <c r="D9265" s="2" t="s">
        <v>27343</v>
      </c>
      <c r="E9265" s="2" t="s">
        <v>25917</v>
      </c>
      <c r="F9265" s="4">
        <v>8731</v>
      </c>
      <c r="G9265" s="2" t="s">
        <v>223</v>
      </c>
      <c r="H9265" s="2" t="s">
        <v>34</v>
      </c>
      <c r="I9265" s="2" t="s">
        <v>27344</v>
      </c>
      <c r="J9265" s="2" t="s">
        <v>244</v>
      </c>
      <c r="K9265" s="2" t="s">
        <v>53</v>
      </c>
      <c r="L9265" s="2" t="s">
        <v>34</v>
      </c>
      <c r="M9265" s="2"/>
      <c r="N9265" s="2"/>
      <c r="O9265" s="2"/>
      <c r="P9265" s="2" t="s">
        <v>27345</v>
      </c>
      <c r="Q9265" s="6">
        <v>100</v>
      </c>
      <c r="R9265" s="6">
        <v>5</v>
      </c>
      <c r="S9265" s="5">
        <v>-251.1</v>
      </c>
      <c r="T9265" s="7">
        <v>21.835000000000001</v>
      </c>
      <c r="U9265" s="5">
        <v>2</v>
      </c>
      <c r="V9265" s="6">
        <v>-12.96</v>
      </c>
      <c r="W9265" s="6">
        <v>1.47</v>
      </c>
      <c r="X9265" s="6">
        <v>1.34</v>
      </c>
      <c r="Y9265" s="6">
        <v>4.6399999999999997</v>
      </c>
      <c r="Z9265" s="6">
        <v>4.76</v>
      </c>
      <c r="AA9265" s="6">
        <v>19.52</v>
      </c>
      <c r="AB9265" s="7">
        <v>41.914999999999999</v>
      </c>
      <c r="AC9265" s="2"/>
    </row>
    <row r="9266" spans="1:29" ht="130" x14ac:dyDescent="0.15">
      <c r="A9266" s="3">
        <f>DATE(2009,2,3)</f>
        <v>39847</v>
      </c>
      <c r="B9266" s="3">
        <f>DATE(2010,1,25)</f>
        <v>40203</v>
      </c>
      <c r="C9266" s="2" t="s">
        <v>95</v>
      </c>
      <c r="D9266" s="2" t="s">
        <v>27346</v>
      </c>
      <c r="E9266" s="2" t="s">
        <v>20944</v>
      </c>
      <c r="F9266" s="4">
        <v>5961</v>
      </c>
      <c r="G9266" s="2" t="s">
        <v>73</v>
      </c>
      <c r="H9266" s="2" t="s">
        <v>34</v>
      </c>
      <c r="I9266" s="2" t="s">
        <v>27347</v>
      </c>
      <c r="J9266" s="2" t="s">
        <v>27348</v>
      </c>
      <c r="K9266" s="2" t="s">
        <v>364</v>
      </c>
      <c r="L9266" s="2" t="s">
        <v>34</v>
      </c>
      <c r="M9266" s="7">
        <v>441.00099999999998</v>
      </c>
      <c r="N9266" s="6">
        <v>4.99</v>
      </c>
      <c r="O9266" s="6">
        <v>5.22</v>
      </c>
      <c r="P9266" s="2" t="s">
        <v>27349</v>
      </c>
      <c r="Q9266" s="6">
        <v>100</v>
      </c>
      <c r="R9266" s="6">
        <v>13.5</v>
      </c>
      <c r="S9266" s="5">
        <v>55.9</v>
      </c>
      <c r="T9266" s="7">
        <v>251.624</v>
      </c>
      <c r="U9266" s="2"/>
      <c r="V9266" s="9">
        <v>0.99609999999999999</v>
      </c>
      <c r="W9266" s="6">
        <v>6.66</v>
      </c>
      <c r="X9266" s="6">
        <v>5.85</v>
      </c>
      <c r="Y9266" s="6">
        <v>6.14</v>
      </c>
      <c r="Z9266" s="6">
        <v>6.96</v>
      </c>
      <c r="AA9266" s="6">
        <v>57.21</v>
      </c>
      <c r="AB9266" s="7">
        <v>5.83</v>
      </c>
      <c r="AC9266" s="6">
        <v>244.02</v>
      </c>
    </row>
    <row r="9267" spans="1:29" ht="143" x14ac:dyDescent="0.15">
      <c r="A9267" s="3">
        <f>DATE(2009,2,10)</f>
        <v>39854</v>
      </c>
      <c r="B9267" s="3">
        <f>DATE(2009,6,26)</f>
        <v>39990</v>
      </c>
      <c r="C9267" s="2" t="s">
        <v>95</v>
      </c>
      <c r="D9267" s="2" t="s">
        <v>27350</v>
      </c>
      <c r="E9267" s="2" t="s">
        <v>26621</v>
      </c>
      <c r="F9267" s="4">
        <v>3674</v>
      </c>
      <c r="G9267" s="2" t="s">
        <v>137</v>
      </c>
      <c r="H9267" s="2" t="s">
        <v>34</v>
      </c>
      <c r="I9267" s="2" t="s">
        <v>27351</v>
      </c>
      <c r="J9267" s="2" t="s">
        <v>27352</v>
      </c>
      <c r="K9267" s="2" t="s">
        <v>137</v>
      </c>
      <c r="L9267" s="2" t="s">
        <v>303</v>
      </c>
      <c r="M9267" s="7">
        <v>345.00700000000001</v>
      </c>
      <c r="N9267" s="7">
        <v>2.8780000000000001</v>
      </c>
      <c r="O9267" s="7">
        <v>2.9049999999999998</v>
      </c>
      <c r="P9267" s="2" t="s">
        <v>27353</v>
      </c>
      <c r="Q9267" s="6">
        <v>100</v>
      </c>
      <c r="R9267" s="6">
        <v>2.0499999999999998</v>
      </c>
      <c r="S9267" s="5">
        <v>-399</v>
      </c>
      <c r="T9267" s="6">
        <v>-67.97</v>
      </c>
      <c r="U9267" s="5">
        <v>2.5</v>
      </c>
      <c r="V9267" s="6">
        <v>-6.47</v>
      </c>
      <c r="W9267" s="6">
        <v>1.01</v>
      </c>
      <c r="X9267" s="6">
        <v>1.08</v>
      </c>
      <c r="Y9267" s="6">
        <v>1.68</v>
      </c>
      <c r="Z9267" s="6">
        <v>1.88</v>
      </c>
      <c r="AA9267" s="6">
        <v>62.48</v>
      </c>
      <c r="AB9267" s="2" t="s">
        <v>86</v>
      </c>
      <c r="AC9267" s="6">
        <v>262.72000000000003</v>
      </c>
    </row>
    <row r="9268" spans="1:29" ht="104" x14ac:dyDescent="0.15">
      <c r="A9268" s="3">
        <f>DATE(2009,2,17)</f>
        <v>39861</v>
      </c>
      <c r="B9268" s="2"/>
      <c r="C9268" s="2" t="s">
        <v>30</v>
      </c>
      <c r="D9268" s="2" t="s">
        <v>27354</v>
      </c>
      <c r="E9268" s="2" t="s">
        <v>672</v>
      </c>
      <c r="F9268" s="4">
        <v>6021</v>
      </c>
      <c r="G9268" s="2" t="s">
        <v>37</v>
      </c>
      <c r="H9268" s="2" t="s">
        <v>34</v>
      </c>
      <c r="I9268" s="2" t="s">
        <v>27355</v>
      </c>
      <c r="J9268" s="2" t="s">
        <v>36</v>
      </c>
      <c r="K9268" s="2" t="s">
        <v>37</v>
      </c>
      <c r="L9268" s="2" t="s">
        <v>34</v>
      </c>
      <c r="M9268" s="7">
        <v>27.484000000000002</v>
      </c>
      <c r="N9268" s="5">
        <v>4.5</v>
      </c>
      <c r="O9268" s="4">
        <v>6</v>
      </c>
      <c r="P9268" s="2" t="s">
        <v>27356</v>
      </c>
      <c r="Q9268" s="2"/>
      <c r="R9268" s="6">
        <v>6.46</v>
      </c>
      <c r="S9268" s="5">
        <v>-0.5</v>
      </c>
      <c r="T9268" s="7">
        <v>-0.59599999999999997</v>
      </c>
      <c r="U9268" s="5">
        <v>9</v>
      </c>
      <c r="V9268" s="6">
        <v>-0.19</v>
      </c>
      <c r="W9268" s="6">
        <v>6.75</v>
      </c>
      <c r="X9268" s="6">
        <v>6.75</v>
      </c>
      <c r="Y9268" s="4">
        <v>6</v>
      </c>
      <c r="Z9268" s="4">
        <v>6</v>
      </c>
      <c r="AA9268" s="6">
        <v>2.68</v>
      </c>
      <c r="AB9268" s="2" t="s">
        <v>86</v>
      </c>
      <c r="AC9268" s="2"/>
    </row>
    <row r="9269" spans="1:29" ht="78" x14ac:dyDescent="0.15">
      <c r="A9269" s="3">
        <f>DATE(2009,2,20)</f>
        <v>39864</v>
      </c>
      <c r="B9269" s="2"/>
      <c r="C9269" s="2" t="s">
        <v>7330</v>
      </c>
      <c r="D9269" s="2" t="s">
        <v>23811</v>
      </c>
      <c r="E9269" s="2" t="s">
        <v>23812</v>
      </c>
      <c r="F9269" s="4">
        <v>6798</v>
      </c>
      <c r="G9269" s="2" t="s">
        <v>53</v>
      </c>
      <c r="H9269" s="2" t="s">
        <v>34</v>
      </c>
      <c r="I9269" s="2" t="s">
        <v>27357</v>
      </c>
      <c r="J9269" s="2" t="s">
        <v>22486</v>
      </c>
      <c r="K9269" s="2" t="s">
        <v>53</v>
      </c>
      <c r="L9269" s="2" t="s">
        <v>34</v>
      </c>
      <c r="M9269" s="2"/>
      <c r="N9269" s="2"/>
      <c r="O9269" s="2"/>
      <c r="P9269" s="2" t="s">
        <v>27358</v>
      </c>
      <c r="Q9269" s="2"/>
      <c r="R9269" s="6">
        <v>2</v>
      </c>
      <c r="S9269" s="5">
        <v>-2.2000000000000002</v>
      </c>
      <c r="T9269" s="7">
        <v>-2.4689999999999999</v>
      </c>
      <c r="U9269" s="5">
        <v>1.5</v>
      </c>
      <c r="V9269" s="6">
        <v>-0.24</v>
      </c>
      <c r="W9269" s="6">
        <v>1.05</v>
      </c>
      <c r="X9269" s="7">
        <v>1.337</v>
      </c>
      <c r="Y9269" s="6">
        <v>1.1399999999999999</v>
      </c>
      <c r="Z9269" s="6">
        <v>1.1100000000000001</v>
      </c>
      <c r="AA9269" s="6">
        <v>7.93</v>
      </c>
      <c r="AB9269" s="2" t="s">
        <v>86</v>
      </c>
      <c r="AC9269" s="2"/>
    </row>
    <row r="9270" spans="1:29" ht="182" x14ac:dyDescent="0.15">
      <c r="A9270" s="3">
        <f>DATE(2009,2,23)</f>
        <v>39867</v>
      </c>
      <c r="B9270" s="3">
        <f>DATE(2009,4,3)</f>
        <v>39906</v>
      </c>
      <c r="C9270" s="2" t="s">
        <v>95</v>
      </c>
      <c r="D9270" s="2" t="s">
        <v>27359</v>
      </c>
      <c r="E9270" s="2" t="s">
        <v>2728</v>
      </c>
      <c r="F9270" s="4">
        <v>3674</v>
      </c>
      <c r="G9270" s="2" t="s">
        <v>137</v>
      </c>
      <c r="H9270" s="2" t="s">
        <v>34</v>
      </c>
      <c r="I9270" s="2" t="s">
        <v>25544</v>
      </c>
      <c r="J9270" s="2" t="s">
        <v>2728</v>
      </c>
      <c r="K9270" s="2" t="s">
        <v>137</v>
      </c>
      <c r="L9270" s="2" t="s">
        <v>34</v>
      </c>
      <c r="M9270" s="7">
        <v>288.93099999999998</v>
      </c>
      <c r="N9270" s="6">
        <v>5.81</v>
      </c>
      <c r="O9270" s="6">
        <v>5.74</v>
      </c>
      <c r="P9270" s="2" t="s">
        <v>27360</v>
      </c>
      <c r="Q9270" s="6">
        <v>100</v>
      </c>
      <c r="R9270" s="6">
        <v>4</v>
      </c>
      <c r="S9270" s="5">
        <v>-9.6</v>
      </c>
      <c r="T9270" s="7">
        <v>-5.3310000000000004</v>
      </c>
      <c r="U9270" s="5">
        <v>3.1</v>
      </c>
      <c r="V9270" s="6">
        <v>-0.66</v>
      </c>
      <c r="W9270" s="6">
        <v>2.92</v>
      </c>
      <c r="X9270" s="6">
        <v>2.52</v>
      </c>
      <c r="Y9270" s="6">
        <v>2.39</v>
      </c>
      <c r="Z9270" s="6">
        <v>3.89</v>
      </c>
      <c r="AA9270" s="6">
        <v>14.74</v>
      </c>
      <c r="AB9270" s="2" t="s">
        <v>86</v>
      </c>
      <c r="AC9270" s="6">
        <v>257.48</v>
      </c>
    </row>
    <row r="9271" spans="1:29" ht="117" x14ac:dyDescent="0.15">
      <c r="A9271" s="3">
        <f>DATE(2009,2,23)</f>
        <v>39867</v>
      </c>
      <c r="B9271" s="2"/>
      <c r="C9271" s="2" t="s">
        <v>30</v>
      </c>
      <c r="D9271" s="2" t="s">
        <v>27361</v>
      </c>
      <c r="E9271" s="2" t="s">
        <v>159</v>
      </c>
      <c r="F9271" s="4">
        <v>6712</v>
      </c>
      <c r="G9271" s="2" t="s">
        <v>37</v>
      </c>
      <c r="H9271" s="2" t="s">
        <v>34</v>
      </c>
      <c r="I9271" s="2" t="s">
        <v>27362</v>
      </c>
      <c r="J9271" s="2" t="s">
        <v>11337</v>
      </c>
      <c r="K9271" s="2" t="s">
        <v>53</v>
      </c>
      <c r="L9271" s="2" t="s">
        <v>34</v>
      </c>
      <c r="M9271" s="2"/>
      <c r="N9271" s="2"/>
      <c r="O9271" s="2"/>
      <c r="P9271" s="2" t="s">
        <v>27363</v>
      </c>
      <c r="Q9271" s="2"/>
      <c r="R9271" s="6">
        <v>12.15</v>
      </c>
      <c r="S9271" s="5">
        <v>0</v>
      </c>
      <c r="T9271" s="7">
        <v>7.0000000000000001E-3</v>
      </c>
      <c r="U9271" s="5">
        <v>14.2</v>
      </c>
      <c r="V9271" s="6">
        <v>-0.02</v>
      </c>
      <c r="W9271" s="4">
        <v>4</v>
      </c>
      <c r="X9271" s="6">
        <v>3.05</v>
      </c>
      <c r="Y9271" s="6">
        <v>9.99</v>
      </c>
      <c r="Z9271" s="4">
        <v>10</v>
      </c>
      <c r="AA9271" s="6">
        <v>0.71</v>
      </c>
      <c r="AB9271" s="2" t="s">
        <v>86</v>
      </c>
      <c r="AC9271" s="2"/>
    </row>
    <row r="9272" spans="1:29" ht="65" x14ac:dyDescent="0.15">
      <c r="A9272" s="3">
        <f>DATE(2009,2,24)</f>
        <v>39868</v>
      </c>
      <c r="B9272" s="2"/>
      <c r="C9272" s="2" t="s">
        <v>87</v>
      </c>
      <c r="D9272" s="2" t="s">
        <v>25198</v>
      </c>
      <c r="E9272" s="2" t="s">
        <v>540</v>
      </c>
      <c r="F9272" s="4">
        <v>2836</v>
      </c>
      <c r="G9272" s="2" t="s">
        <v>130</v>
      </c>
      <c r="H9272" s="2" t="s">
        <v>34</v>
      </c>
      <c r="I9272" s="2" t="s">
        <v>26135</v>
      </c>
      <c r="J9272" s="2" t="s">
        <v>540</v>
      </c>
      <c r="K9272" s="2" t="s">
        <v>130</v>
      </c>
      <c r="L9272" s="2" t="s">
        <v>34</v>
      </c>
      <c r="M9272" s="12">
        <v>14645.647000000001</v>
      </c>
      <c r="N9272" s="6">
        <v>49.65</v>
      </c>
      <c r="O9272" s="6">
        <v>50.55</v>
      </c>
      <c r="P9272" s="2" t="s">
        <v>27364</v>
      </c>
      <c r="Q9272" s="2"/>
      <c r="R9272" s="2"/>
      <c r="S9272" s="5">
        <v>-74.3</v>
      </c>
      <c r="T9272" s="7">
        <v>-69.957999999999998</v>
      </c>
      <c r="U9272" s="5">
        <v>5.5</v>
      </c>
      <c r="V9272" s="6">
        <v>-2.19</v>
      </c>
      <c r="W9272" s="6">
        <v>23.53</v>
      </c>
      <c r="X9272" s="6">
        <v>21.46</v>
      </c>
      <c r="Y9272" s="6">
        <v>25.61</v>
      </c>
      <c r="Z9272" s="6">
        <v>24.19</v>
      </c>
      <c r="AA9272" s="6">
        <v>37.71</v>
      </c>
      <c r="AB9272" s="2" t="s">
        <v>86</v>
      </c>
      <c r="AC9272" s="8">
        <v>1342</v>
      </c>
    </row>
    <row r="9273" spans="1:29" ht="143" x14ac:dyDescent="0.15">
      <c r="A9273" s="3">
        <f>DATE(2009,2,24)</f>
        <v>39868</v>
      </c>
      <c r="B9273" s="2"/>
      <c r="C9273" s="2" t="s">
        <v>30</v>
      </c>
      <c r="D9273" s="2" t="s">
        <v>27365</v>
      </c>
      <c r="E9273" s="2" t="s">
        <v>27366</v>
      </c>
      <c r="F9273" s="4">
        <v>2253</v>
      </c>
      <c r="G9273" s="2" t="s">
        <v>708</v>
      </c>
      <c r="H9273" s="2" t="s">
        <v>34</v>
      </c>
      <c r="I9273" s="2" t="s">
        <v>27367</v>
      </c>
      <c r="J9273" s="2" t="s">
        <v>1620</v>
      </c>
      <c r="K9273" s="2" t="s">
        <v>53</v>
      </c>
      <c r="L9273" s="2" t="s">
        <v>34</v>
      </c>
      <c r="M9273" s="2"/>
      <c r="N9273" s="2"/>
      <c r="O9273" s="2"/>
      <c r="P9273" s="2" t="s">
        <v>27368</v>
      </c>
      <c r="Q9273" s="2"/>
      <c r="R9273" s="6">
        <v>5.55</v>
      </c>
      <c r="S9273" s="5">
        <v>-24.9</v>
      </c>
      <c r="T9273" s="7">
        <v>-3.915</v>
      </c>
      <c r="U9273" s="5">
        <v>11.8</v>
      </c>
      <c r="V9273" s="6">
        <v>-3.61</v>
      </c>
      <c r="W9273" s="5">
        <v>2.5</v>
      </c>
      <c r="X9273" s="6">
        <v>1.85</v>
      </c>
      <c r="Y9273" s="6">
        <v>4.75</v>
      </c>
      <c r="Z9273" s="6">
        <v>4.74</v>
      </c>
      <c r="AA9273" s="6">
        <v>5.47</v>
      </c>
      <c r="AB9273" s="2" t="s">
        <v>86</v>
      </c>
      <c r="AC9273" s="2"/>
    </row>
    <row r="9274" spans="1:29" ht="247" x14ac:dyDescent="0.15">
      <c r="A9274" s="3">
        <f>DATE(2009,2,25)</f>
        <v>39869</v>
      </c>
      <c r="B9274" s="2"/>
      <c r="C9274" s="2" t="s">
        <v>30</v>
      </c>
      <c r="D9274" s="2" t="s">
        <v>27304</v>
      </c>
      <c r="E9274" s="2" t="s">
        <v>27305</v>
      </c>
      <c r="F9274" s="4">
        <v>2873</v>
      </c>
      <c r="G9274" s="2" t="s">
        <v>98</v>
      </c>
      <c r="H9274" s="2" t="s">
        <v>34</v>
      </c>
      <c r="I9274" s="2" t="s">
        <v>6606</v>
      </c>
      <c r="J9274" s="2" t="s">
        <v>6607</v>
      </c>
      <c r="K9274" s="2" t="s">
        <v>98</v>
      </c>
      <c r="L9274" s="2" t="s">
        <v>902</v>
      </c>
      <c r="M9274" s="12">
        <v>5564.1930000000002</v>
      </c>
      <c r="N9274" s="6">
        <v>36.57</v>
      </c>
      <c r="O9274" s="6">
        <v>34.89</v>
      </c>
      <c r="P9274" s="2" t="s">
        <v>27369</v>
      </c>
      <c r="Q9274" s="2"/>
      <c r="R9274" s="6">
        <v>96.23</v>
      </c>
      <c r="S9274" s="5">
        <v>504.3</v>
      </c>
      <c r="T9274" s="8">
        <v>1087.3</v>
      </c>
      <c r="U9274" s="5">
        <v>6.8</v>
      </c>
      <c r="V9274" s="7">
        <v>1.986</v>
      </c>
      <c r="W9274" s="6">
        <v>52.68</v>
      </c>
      <c r="X9274" s="6">
        <v>55.58</v>
      </c>
      <c r="Y9274" s="6">
        <v>61.77</v>
      </c>
      <c r="Z9274" s="6">
        <v>62.75</v>
      </c>
      <c r="AA9274" s="6">
        <v>56.86</v>
      </c>
      <c r="AB9274" s="7">
        <v>23.047000000000001</v>
      </c>
      <c r="AC9274" s="6">
        <v>332.94</v>
      </c>
    </row>
    <row r="9275" spans="1:29" ht="156" x14ac:dyDescent="0.15">
      <c r="A9275" s="3">
        <f>DATE(2009,2,27)</f>
        <v>39871</v>
      </c>
      <c r="B9275" s="3">
        <f>DATE(2009,11,27)</f>
        <v>40144</v>
      </c>
      <c r="C9275" s="2" t="s">
        <v>95</v>
      </c>
      <c r="D9275" s="2" t="s">
        <v>16645</v>
      </c>
      <c r="E9275" s="2" t="s">
        <v>16646</v>
      </c>
      <c r="F9275" s="4">
        <v>7371</v>
      </c>
      <c r="G9275" s="2" t="s">
        <v>223</v>
      </c>
      <c r="H9275" s="2" t="s">
        <v>34</v>
      </c>
      <c r="I9275" s="2" t="s">
        <v>27370</v>
      </c>
      <c r="J9275" s="2" t="s">
        <v>27371</v>
      </c>
      <c r="K9275" s="2" t="s">
        <v>223</v>
      </c>
      <c r="L9275" s="2" t="s">
        <v>215</v>
      </c>
      <c r="M9275" s="7">
        <v>445.94600000000003</v>
      </c>
      <c r="N9275" s="7">
        <v>10.635999999999999</v>
      </c>
      <c r="O9275" s="7">
        <v>9.8550000000000004</v>
      </c>
      <c r="P9275" s="2" t="s">
        <v>27372</v>
      </c>
      <c r="Q9275" s="6">
        <v>67.989999999999995</v>
      </c>
      <c r="R9275" s="6">
        <v>1.55</v>
      </c>
      <c r="S9275" s="5">
        <v>7.8</v>
      </c>
      <c r="T9275" s="7">
        <v>15.022</v>
      </c>
      <c r="U9275" s="5">
        <v>1.5</v>
      </c>
      <c r="V9275" s="6">
        <v>0.06</v>
      </c>
      <c r="W9275" s="6">
        <v>1.04</v>
      </c>
      <c r="X9275" s="4">
        <v>1</v>
      </c>
      <c r="Y9275" s="6">
        <v>1.18</v>
      </c>
      <c r="Z9275" s="6">
        <v>1.23</v>
      </c>
      <c r="AA9275" s="6">
        <v>109.26</v>
      </c>
      <c r="AB9275" s="7">
        <v>11.420999999999999</v>
      </c>
      <c r="AC9275" s="6">
        <v>246.25</v>
      </c>
    </row>
    <row r="9276" spans="1:29" ht="117" x14ac:dyDescent="0.15">
      <c r="A9276" s="3">
        <f>DATE(2009,3,2)</f>
        <v>39874</v>
      </c>
      <c r="B9276" s="2"/>
      <c r="C9276" s="2" t="s">
        <v>30</v>
      </c>
      <c r="D9276" s="2" t="s">
        <v>27373</v>
      </c>
      <c r="E9276" s="2" t="s">
        <v>27374</v>
      </c>
      <c r="F9276" s="4">
        <v>7389</v>
      </c>
      <c r="G9276" s="2" t="s">
        <v>223</v>
      </c>
      <c r="H9276" s="2" t="s">
        <v>34</v>
      </c>
      <c r="I9276" s="2" t="s">
        <v>26968</v>
      </c>
      <c r="J9276" s="2" t="s">
        <v>21844</v>
      </c>
      <c r="K9276" s="2" t="s">
        <v>223</v>
      </c>
      <c r="L9276" s="2" t="s">
        <v>17048</v>
      </c>
      <c r="M9276" s="2"/>
      <c r="N9276" s="2"/>
      <c r="O9276" s="2"/>
      <c r="P9276" s="2" t="s">
        <v>27375</v>
      </c>
      <c r="Q9276" s="2"/>
      <c r="R9276" s="6">
        <v>8</v>
      </c>
      <c r="S9276" s="5">
        <v>-23.3</v>
      </c>
      <c r="T9276" s="7">
        <v>24.065000000000001</v>
      </c>
      <c r="U9276" s="5">
        <v>7.5</v>
      </c>
      <c r="V9276" s="6">
        <v>-1.47</v>
      </c>
      <c r="W9276" s="6">
        <v>4.34</v>
      </c>
      <c r="X9276" s="5">
        <v>3.6</v>
      </c>
      <c r="Y9276" s="6">
        <v>5.91</v>
      </c>
      <c r="Z9276" s="6">
        <v>4.4400000000000004</v>
      </c>
      <c r="AA9276" s="6">
        <v>15.92</v>
      </c>
      <c r="AB9276" s="2" t="s">
        <v>86</v>
      </c>
      <c r="AC9276" s="2"/>
    </row>
    <row r="9277" spans="1:29" ht="104" x14ac:dyDescent="0.15">
      <c r="A9277" s="3">
        <f>DATE(2009,3,3)</f>
        <v>39875</v>
      </c>
      <c r="B9277" s="2"/>
      <c r="C9277" s="2" t="s">
        <v>39</v>
      </c>
      <c r="D9277" s="2" t="s">
        <v>27376</v>
      </c>
      <c r="E9277" s="2" t="s">
        <v>27377</v>
      </c>
      <c r="F9277" s="4">
        <v>2819</v>
      </c>
      <c r="G9277" s="2" t="s">
        <v>98</v>
      </c>
      <c r="H9277" s="2" t="s">
        <v>34</v>
      </c>
      <c r="I9277" s="2" t="s">
        <v>27378</v>
      </c>
      <c r="J9277" s="2" t="s">
        <v>6031</v>
      </c>
      <c r="K9277" s="2" t="s">
        <v>98</v>
      </c>
      <c r="L9277" s="2" t="s">
        <v>1049</v>
      </c>
      <c r="M9277" s="10">
        <v>7848.06</v>
      </c>
      <c r="N9277" s="7">
        <v>40.871000000000002</v>
      </c>
      <c r="O9277" s="5">
        <v>44.5</v>
      </c>
      <c r="P9277" s="2" t="s">
        <v>27379</v>
      </c>
      <c r="Q9277" s="2"/>
      <c r="R9277" s="2"/>
      <c r="S9277" s="5">
        <v>159.5</v>
      </c>
      <c r="T9277" s="5">
        <v>315.60000000000002</v>
      </c>
      <c r="U9277" s="5">
        <v>2</v>
      </c>
      <c r="V9277" s="6">
        <v>4.8099999999999996</v>
      </c>
      <c r="W9277" s="6">
        <v>55.06</v>
      </c>
      <c r="X9277" s="6">
        <v>56.02</v>
      </c>
      <c r="Y9277" s="6">
        <v>56.76</v>
      </c>
      <c r="Z9277" s="6">
        <v>60.03</v>
      </c>
      <c r="AA9277" s="6">
        <v>32.46</v>
      </c>
      <c r="AB9277" s="2" t="s">
        <v>47</v>
      </c>
      <c r="AC9277" s="6">
        <v>234.62</v>
      </c>
    </row>
    <row r="9278" spans="1:29" ht="169" x14ac:dyDescent="0.15">
      <c r="A9278" s="3">
        <f>DATE(2009,3,3)</f>
        <v>39875</v>
      </c>
      <c r="B9278" s="3">
        <f>DATE(2009,9,30)</f>
        <v>40086</v>
      </c>
      <c r="C9278" s="2" t="s">
        <v>95</v>
      </c>
      <c r="D9278" s="2" t="s">
        <v>27380</v>
      </c>
      <c r="E9278" s="2" t="s">
        <v>27381</v>
      </c>
      <c r="F9278" s="4">
        <v>4613</v>
      </c>
      <c r="G9278" s="2" t="s">
        <v>148</v>
      </c>
      <c r="H9278" s="2" t="s">
        <v>34</v>
      </c>
      <c r="I9278" s="2" t="s">
        <v>27382</v>
      </c>
      <c r="J9278" s="2" t="s">
        <v>18595</v>
      </c>
      <c r="K9278" s="2" t="s">
        <v>148</v>
      </c>
      <c r="L9278" s="2" t="s">
        <v>34</v>
      </c>
      <c r="M9278" s="12">
        <v>2357.3890000000001</v>
      </c>
      <c r="N9278" s="6">
        <v>28.97</v>
      </c>
      <c r="O9278" s="5">
        <v>27.5</v>
      </c>
      <c r="P9278" s="2" t="s">
        <v>27383</v>
      </c>
      <c r="Q9278" s="6">
        <v>45.4</v>
      </c>
      <c r="R9278" s="6">
        <v>18.75</v>
      </c>
      <c r="S9278" s="5">
        <v>87.7</v>
      </c>
      <c r="T9278" s="7">
        <v>438.89800000000002</v>
      </c>
      <c r="U9278" s="5">
        <v>0.8</v>
      </c>
      <c r="V9278" s="6">
        <v>1.4</v>
      </c>
      <c r="W9278" s="6">
        <v>14.95</v>
      </c>
      <c r="X9278" s="4">
        <v>15</v>
      </c>
      <c r="Y9278" s="6">
        <v>14.65</v>
      </c>
      <c r="Z9278" s="6">
        <v>16.55</v>
      </c>
      <c r="AA9278" s="6">
        <v>62.65</v>
      </c>
      <c r="AB9278" s="7">
        <v>6.3010000000000002</v>
      </c>
      <c r="AC9278" s="6">
        <v>33.24</v>
      </c>
    </row>
    <row r="9279" spans="1:29" ht="78" x14ac:dyDescent="0.15">
      <c r="A9279" s="3">
        <f>DATE(2009,3,4)</f>
        <v>39876</v>
      </c>
      <c r="B9279" s="3">
        <f>DATE(2009,11,25)</f>
        <v>40142</v>
      </c>
      <c r="C9279" s="2" t="s">
        <v>95</v>
      </c>
      <c r="D9279" s="2" t="s">
        <v>27384</v>
      </c>
      <c r="E9279" s="2" t="s">
        <v>18837</v>
      </c>
      <c r="F9279" s="4">
        <v>8731</v>
      </c>
      <c r="G9279" s="2" t="s">
        <v>223</v>
      </c>
      <c r="H9279" s="2" t="s">
        <v>34</v>
      </c>
      <c r="I9279" s="2" t="s">
        <v>27385</v>
      </c>
      <c r="J9279" s="2" t="s">
        <v>11337</v>
      </c>
      <c r="K9279" s="2" t="s">
        <v>53</v>
      </c>
      <c r="L9279" s="2" t="s">
        <v>34</v>
      </c>
      <c r="M9279" s="2"/>
      <c r="N9279" s="2"/>
      <c r="O9279" s="2"/>
      <c r="P9279" s="2" t="s">
        <v>27386</v>
      </c>
      <c r="Q9279" s="6">
        <v>100</v>
      </c>
      <c r="R9279" s="6">
        <v>8.5</v>
      </c>
      <c r="S9279" s="5">
        <v>6.4</v>
      </c>
      <c r="T9279" s="7">
        <v>37.454000000000001</v>
      </c>
      <c r="U9279" s="5">
        <v>-0.6</v>
      </c>
      <c r="V9279" s="6">
        <v>0.48</v>
      </c>
      <c r="W9279" s="6">
        <v>5.78</v>
      </c>
      <c r="X9279" s="6">
        <v>4.79</v>
      </c>
      <c r="Y9279" s="6">
        <v>6.04</v>
      </c>
      <c r="Z9279" s="6">
        <v>6.18</v>
      </c>
      <c r="AA9279" s="6">
        <v>13.35</v>
      </c>
      <c r="AB9279" s="7">
        <v>5.3719999999999999</v>
      </c>
      <c r="AC9279" s="2"/>
    </row>
    <row r="9280" spans="1:29" ht="65" x14ac:dyDescent="0.15">
      <c r="A9280" s="3">
        <f>DATE(2009,3,5)</f>
        <v>39877</v>
      </c>
      <c r="B9280" s="3">
        <f>DATE(2009,6,1)</f>
        <v>39965</v>
      </c>
      <c r="C9280" s="2" t="s">
        <v>95</v>
      </c>
      <c r="D9280" s="2" t="s">
        <v>27387</v>
      </c>
      <c r="E9280" s="2" t="s">
        <v>27388</v>
      </c>
      <c r="F9280" s="4">
        <v>7374</v>
      </c>
      <c r="G9280" s="2" t="s">
        <v>223</v>
      </c>
      <c r="H9280" s="2" t="s">
        <v>34</v>
      </c>
      <c r="I9280" s="2" t="s">
        <v>27389</v>
      </c>
      <c r="J9280" s="2" t="s">
        <v>27390</v>
      </c>
      <c r="K9280" s="2" t="s">
        <v>223</v>
      </c>
      <c r="L9280" s="2" t="s">
        <v>34</v>
      </c>
      <c r="M9280" s="2"/>
      <c r="N9280" s="2"/>
      <c r="O9280" s="2"/>
      <c r="P9280" s="2" t="s">
        <v>27391</v>
      </c>
      <c r="Q9280" s="6">
        <v>100</v>
      </c>
      <c r="R9280" s="6">
        <v>4</v>
      </c>
      <c r="S9280" s="5">
        <v>-4.8</v>
      </c>
      <c r="T9280" s="7">
        <v>21.984000000000002</v>
      </c>
      <c r="U9280" s="5">
        <v>4.5999999999999996</v>
      </c>
      <c r="V9280" s="6">
        <v>-0.2</v>
      </c>
      <c r="W9280" s="6">
        <v>2.12</v>
      </c>
      <c r="X9280" s="6">
        <v>2.0299999999999998</v>
      </c>
      <c r="Y9280" s="6">
        <v>3.74</v>
      </c>
      <c r="Z9280" s="6">
        <v>3.76</v>
      </c>
      <c r="AA9280" s="6">
        <v>24.69</v>
      </c>
      <c r="AB9280" s="7">
        <v>9.9949999999999992</v>
      </c>
      <c r="AC9280" s="2"/>
    </row>
    <row r="9281" spans="1:29" ht="156" x14ac:dyDescent="0.15">
      <c r="A9281" s="3">
        <f>DATE(2009,3,9)</f>
        <v>39881</v>
      </c>
      <c r="B9281" s="3">
        <f>DATE(2009,11,3)</f>
        <v>40120</v>
      </c>
      <c r="C9281" s="2" t="s">
        <v>95</v>
      </c>
      <c r="D9281" s="2" t="s">
        <v>24552</v>
      </c>
      <c r="E9281" s="2" t="s">
        <v>2066</v>
      </c>
      <c r="F9281" s="4">
        <v>2834</v>
      </c>
      <c r="G9281" s="2" t="s">
        <v>130</v>
      </c>
      <c r="H9281" s="2" t="s">
        <v>34</v>
      </c>
      <c r="I9281" s="2" t="s">
        <v>4010</v>
      </c>
      <c r="J9281" s="2" t="s">
        <v>4011</v>
      </c>
      <c r="K9281" s="2" t="s">
        <v>130</v>
      </c>
      <c r="L9281" s="2" t="s">
        <v>34</v>
      </c>
      <c r="M9281" s="12">
        <v>64601.383999999998</v>
      </c>
      <c r="N9281" s="6">
        <v>20.99</v>
      </c>
      <c r="O9281" s="5">
        <v>22.2</v>
      </c>
      <c r="P9281" s="2" t="s">
        <v>27392</v>
      </c>
      <c r="Q9281" s="6">
        <v>100</v>
      </c>
      <c r="R9281" s="6">
        <v>23.61</v>
      </c>
      <c r="S9281" s="8">
        <v>1903</v>
      </c>
      <c r="T9281" s="8">
        <v>3018</v>
      </c>
      <c r="U9281" s="5">
        <v>4.9000000000000004</v>
      </c>
      <c r="V9281" s="6">
        <v>1.07</v>
      </c>
      <c r="W9281" s="6">
        <v>16.47</v>
      </c>
      <c r="X9281" s="6">
        <v>17.63</v>
      </c>
      <c r="Y9281" s="6">
        <v>20.13</v>
      </c>
      <c r="Z9281" s="6">
        <v>21.08</v>
      </c>
      <c r="AA9281" s="10">
        <v>1626.41</v>
      </c>
      <c r="AB9281" s="7">
        <v>54.451999999999998</v>
      </c>
      <c r="AC9281" s="8">
        <v>5486.4</v>
      </c>
    </row>
    <row r="9282" spans="1:29" ht="52" x14ac:dyDescent="0.15">
      <c r="A9282" s="3">
        <f>DATE(2009,3,10)</f>
        <v>39882</v>
      </c>
      <c r="B9282" s="2"/>
      <c r="C9282" s="2" t="s">
        <v>189</v>
      </c>
      <c r="D9282" s="2" t="s">
        <v>27393</v>
      </c>
      <c r="E9282" s="2" t="s">
        <v>27394</v>
      </c>
      <c r="F9282" s="4">
        <v>7389</v>
      </c>
      <c r="G9282" s="2" t="s">
        <v>223</v>
      </c>
      <c r="H9282" s="2" t="s">
        <v>34</v>
      </c>
      <c r="I9282" s="2" t="s">
        <v>143</v>
      </c>
      <c r="J9282" s="2" t="s">
        <v>144</v>
      </c>
      <c r="K9282" s="2" t="s">
        <v>53</v>
      </c>
      <c r="L9282" s="2" t="s">
        <v>139</v>
      </c>
      <c r="M9282" s="2"/>
      <c r="N9282" s="2"/>
      <c r="O9282" s="2"/>
      <c r="P9282" s="2" t="s">
        <v>27395</v>
      </c>
      <c r="Q9282" s="2"/>
      <c r="R9282" s="2"/>
      <c r="S9282" s="5">
        <v>-26.3</v>
      </c>
      <c r="T9282" s="7">
        <v>-3.927</v>
      </c>
      <c r="U9282" s="5">
        <v>3.2</v>
      </c>
      <c r="V9282" s="9">
        <v>-2.8382000000000001</v>
      </c>
      <c r="W9282" s="5">
        <v>3.3</v>
      </c>
      <c r="X9282" s="6">
        <v>3.39</v>
      </c>
      <c r="Y9282" s="5">
        <v>3.4</v>
      </c>
      <c r="Z9282" s="6">
        <v>3.44</v>
      </c>
      <c r="AA9282" s="6">
        <v>9.19</v>
      </c>
      <c r="AB9282" s="2" t="s">
        <v>86</v>
      </c>
      <c r="AC9282" s="2"/>
    </row>
    <row r="9283" spans="1:29" ht="65" x14ac:dyDescent="0.15">
      <c r="A9283" s="3">
        <f>DATE(2009,3,10)</f>
        <v>39882</v>
      </c>
      <c r="B9283" s="2"/>
      <c r="C9283" s="2" t="s">
        <v>87</v>
      </c>
      <c r="D9283" s="2" t="s">
        <v>24552</v>
      </c>
      <c r="E9283" s="2" t="s">
        <v>2066</v>
      </c>
      <c r="F9283" s="4">
        <v>2834</v>
      </c>
      <c r="G9283" s="2" t="s">
        <v>130</v>
      </c>
      <c r="H9283" s="2" t="s">
        <v>34</v>
      </c>
      <c r="I9283" s="2" t="s">
        <v>5669</v>
      </c>
      <c r="J9283" s="2" t="s">
        <v>5670</v>
      </c>
      <c r="K9283" s="2" t="s">
        <v>130</v>
      </c>
      <c r="L9283" s="2" t="s">
        <v>34</v>
      </c>
      <c r="M9283" s="12">
        <v>156904.087</v>
      </c>
      <c r="N9283" s="6">
        <v>47.78</v>
      </c>
      <c r="O9283" s="5">
        <v>47.9</v>
      </c>
      <c r="P9283" s="2" t="s">
        <v>27396</v>
      </c>
      <c r="Q9283" s="2"/>
      <c r="R9283" s="2"/>
      <c r="S9283" s="8">
        <v>1903</v>
      </c>
      <c r="T9283" s="8">
        <v>3018</v>
      </c>
      <c r="U9283" s="5">
        <v>4.9000000000000004</v>
      </c>
      <c r="V9283" s="6">
        <v>1.07</v>
      </c>
      <c r="W9283" s="6">
        <v>16.57</v>
      </c>
      <c r="X9283" s="6">
        <v>20.13</v>
      </c>
      <c r="Y9283" s="6">
        <v>21.08</v>
      </c>
      <c r="Z9283" s="6">
        <v>20.84</v>
      </c>
      <c r="AA9283" s="10">
        <v>1626.41</v>
      </c>
      <c r="AB9283" s="2" t="s">
        <v>47</v>
      </c>
      <c r="AC9283" s="8">
        <v>12809</v>
      </c>
    </row>
    <row r="9284" spans="1:29" ht="130" x14ac:dyDescent="0.15">
      <c r="A9284" s="3">
        <f>DATE(2009,3,11)</f>
        <v>39883</v>
      </c>
      <c r="B9284" s="2"/>
      <c r="C9284" s="2" t="s">
        <v>7330</v>
      </c>
      <c r="D9284" s="2" t="s">
        <v>24081</v>
      </c>
      <c r="E9284" s="2" t="s">
        <v>13810</v>
      </c>
      <c r="F9284" s="4">
        <v>4923</v>
      </c>
      <c r="G9284" s="2" t="s">
        <v>439</v>
      </c>
      <c r="H9284" s="2" t="s">
        <v>34</v>
      </c>
      <c r="I9284" s="2" t="s">
        <v>27397</v>
      </c>
      <c r="J9284" s="2" t="s">
        <v>9299</v>
      </c>
      <c r="K9284" s="2" t="s">
        <v>439</v>
      </c>
      <c r="L9284" s="2" t="s">
        <v>34</v>
      </c>
      <c r="M9284" s="7">
        <v>50.686999999999998</v>
      </c>
      <c r="N9284" s="6">
        <v>7.96</v>
      </c>
      <c r="O9284" s="7">
        <v>7.9189999999999996</v>
      </c>
      <c r="P9284" s="2" t="s">
        <v>27398</v>
      </c>
      <c r="Q9284" s="2"/>
      <c r="R9284" s="6">
        <v>25</v>
      </c>
      <c r="S9284" s="5">
        <v>1.3</v>
      </c>
      <c r="T9284" s="7">
        <v>3.3580000000000001</v>
      </c>
      <c r="U9284" s="5">
        <v>7.2</v>
      </c>
      <c r="V9284" s="9">
        <v>0.80449999999999999</v>
      </c>
      <c r="W9284" s="5">
        <v>15.5</v>
      </c>
      <c r="X9284" s="6">
        <v>13.78</v>
      </c>
      <c r="Y9284" s="6">
        <v>13.78</v>
      </c>
      <c r="Z9284" s="6">
        <v>13.78</v>
      </c>
      <c r="AA9284" s="6">
        <v>1.1299999999999999</v>
      </c>
      <c r="AB9284" s="7">
        <v>20.702000000000002</v>
      </c>
      <c r="AC9284" s="6">
        <v>7.25</v>
      </c>
    </row>
    <row r="9285" spans="1:29" ht="130" x14ac:dyDescent="0.15">
      <c r="A9285" s="3">
        <f>DATE(2009,3,12)</f>
        <v>39884</v>
      </c>
      <c r="B9285" s="3">
        <f>DATE(2009,4,17)</f>
        <v>39920</v>
      </c>
      <c r="C9285" s="2" t="s">
        <v>95</v>
      </c>
      <c r="D9285" s="2" t="s">
        <v>27326</v>
      </c>
      <c r="E9285" s="2" t="s">
        <v>2384</v>
      </c>
      <c r="F9285" s="4">
        <v>2836</v>
      </c>
      <c r="G9285" s="2" t="s">
        <v>130</v>
      </c>
      <c r="H9285" s="2" t="s">
        <v>34</v>
      </c>
      <c r="I9285" s="2" t="s">
        <v>13899</v>
      </c>
      <c r="J9285" s="2" t="s">
        <v>540</v>
      </c>
      <c r="K9285" s="2" t="s">
        <v>130</v>
      </c>
      <c r="L9285" s="2" t="s">
        <v>34</v>
      </c>
      <c r="M9285" s="12">
        <v>46003.207000000002</v>
      </c>
      <c r="N9285" s="6">
        <v>44.43</v>
      </c>
      <c r="O9285" s="6">
        <v>45.43</v>
      </c>
      <c r="P9285" s="2" t="s">
        <v>27399</v>
      </c>
      <c r="Q9285" s="6">
        <v>100</v>
      </c>
      <c r="R9285" s="6">
        <v>20</v>
      </c>
      <c r="S9285" s="5">
        <v>-98.5</v>
      </c>
      <c r="T9285" s="6">
        <v>-71.36</v>
      </c>
      <c r="U9285" s="5">
        <v>-3.5</v>
      </c>
      <c r="V9285" s="6">
        <v>-1.61</v>
      </c>
      <c r="W9285" s="6">
        <v>10.65</v>
      </c>
      <c r="X9285" s="6">
        <v>11.35</v>
      </c>
      <c r="Y9285" s="6">
        <v>15.42</v>
      </c>
      <c r="Z9285" s="6">
        <v>14.84</v>
      </c>
      <c r="AA9285" s="6">
        <v>64.23</v>
      </c>
      <c r="AB9285" s="2" t="s">
        <v>86</v>
      </c>
      <c r="AC9285" s="10">
        <v>1790.06</v>
      </c>
    </row>
    <row r="9286" spans="1:29" ht="52" x14ac:dyDescent="0.15">
      <c r="A9286" s="3">
        <f>DATE(2009,3,12)</f>
        <v>39884</v>
      </c>
      <c r="B9286" s="2"/>
      <c r="C9286" s="2" t="s">
        <v>39</v>
      </c>
      <c r="D9286" s="2" t="s">
        <v>27400</v>
      </c>
      <c r="E9286" s="2" t="s">
        <v>27401</v>
      </c>
      <c r="F9286" s="4">
        <v>3812</v>
      </c>
      <c r="G9286" s="2" t="s">
        <v>226</v>
      </c>
      <c r="H9286" s="2" t="s">
        <v>34</v>
      </c>
      <c r="I9286" s="2" t="s">
        <v>143</v>
      </c>
      <c r="J9286" s="2" t="s">
        <v>144</v>
      </c>
      <c r="K9286" s="2" t="s">
        <v>53</v>
      </c>
      <c r="L9286" s="2" t="s">
        <v>139</v>
      </c>
      <c r="M9286" s="2"/>
      <c r="N9286" s="2"/>
      <c r="O9286" s="2"/>
      <c r="P9286" s="2" t="s">
        <v>27402</v>
      </c>
      <c r="Q9286" s="2"/>
      <c r="R9286" s="2"/>
      <c r="S9286" s="5">
        <v>203.7</v>
      </c>
      <c r="T9286" s="7">
        <v>324.46499999999997</v>
      </c>
      <c r="U9286" s="5">
        <v>5.9</v>
      </c>
      <c r="V9286" s="6">
        <v>1.28</v>
      </c>
      <c r="W9286" s="6">
        <v>19.440000000000001</v>
      </c>
      <c r="X9286" s="6">
        <v>19.88</v>
      </c>
      <c r="Y9286" s="6">
        <v>20.38</v>
      </c>
      <c r="Z9286" s="6">
        <v>20.46</v>
      </c>
      <c r="AA9286" s="6">
        <v>141.80000000000001</v>
      </c>
      <c r="AB9286" s="2" t="s">
        <v>47</v>
      </c>
      <c r="AC9286" s="2"/>
    </row>
    <row r="9287" spans="1:29" ht="52" x14ac:dyDescent="0.15">
      <c r="A9287" s="3">
        <f>DATE(2009,3,12)</f>
        <v>39884</v>
      </c>
      <c r="B9287" s="3">
        <f>DATE(2009,10,1)</f>
        <v>40087</v>
      </c>
      <c r="C9287" s="2" t="s">
        <v>95</v>
      </c>
      <c r="D9287" s="2" t="s">
        <v>27403</v>
      </c>
      <c r="E9287" s="2" t="s">
        <v>24835</v>
      </c>
      <c r="F9287" s="4">
        <v>6726</v>
      </c>
      <c r="G9287" s="2" t="s">
        <v>53</v>
      </c>
      <c r="H9287" s="2" t="s">
        <v>34</v>
      </c>
      <c r="I9287" s="2" t="s">
        <v>27404</v>
      </c>
      <c r="J9287" s="2" t="s">
        <v>24835</v>
      </c>
      <c r="K9287" s="2" t="s">
        <v>53</v>
      </c>
      <c r="L9287" s="2" t="s">
        <v>34</v>
      </c>
      <c r="M9287" s="6">
        <v>49.63</v>
      </c>
      <c r="N9287" s="5">
        <v>2.6</v>
      </c>
      <c r="O9287" s="6">
        <v>2.4300000000000002</v>
      </c>
      <c r="P9287" s="2" t="s">
        <v>27405</v>
      </c>
      <c r="Q9287" s="6">
        <v>100</v>
      </c>
      <c r="R9287" s="2"/>
      <c r="S9287" s="2"/>
      <c r="T9287" s="2"/>
      <c r="U9287" s="2"/>
      <c r="V9287" s="2"/>
      <c r="W9287" s="6">
        <v>2.4500000000000002</v>
      </c>
      <c r="X9287" s="6">
        <v>2.75</v>
      </c>
      <c r="Y9287" s="6">
        <v>2.89</v>
      </c>
      <c r="Z9287" s="6">
        <v>2.88</v>
      </c>
      <c r="AA9287" s="6">
        <v>103.33</v>
      </c>
      <c r="AB9287" s="2" t="s">
        <v>47</v>
      </c>
      <c r="AC9287" s="2"/>
    </row>
    <row r="9288" spans="1:29" ht="52" x14ac:dyDescent="0.15">
      <c r="A9288" s="3">
        <f>DATE(2009,3,13)</f>
        <v>39885</v>
      </c>
      <c r="B9288" s="3">
        <f>DATE(2009,9,25)</f>
        <v>40081</v>
      </c>
      <c r="C9288" s="2" t="s">
        <v>95</v>
      </c>
      <c r="D9288" s="2" t="s">
        <v>27406</v>
      </c>
      <c r="E9288" s="2" t="s">
        <v>27407</v>
      </c>
      <c r="F9288" s="4">
        <v>6722</v>
      </c>
      <c r="G9288" s="2" t="s">
        <v>53</v>
      </c>
      <c r="H9288" s="2" t="s">
        <v>34</v>
      </c>
      <c r="I9288" s="2" t="s">
        <v>27408</v>
      </c>
      <c r="J9288" s="2" t="s">
        <v>27407</v>
      </c>
      <c r="K9288" s="2" t="s">
        <v>53</v>
      </c>
      <c r="L9288" s="2" t="s">
        <v>34</v>
      </c>
      <c r="M9288" s="7">
        <v>805.14499999999998</v>
      </c>
      <c r="N9288" s="2"/>
      <c r="O9288" s="2"/>
      <c r="P9288" s="2" t="s">
        <v>27409</v>
      </c>
      <c r="Q9288" s="6">
        <v>100</v>
      </c>
      <c r="R9288" s="2"/>
      <c r="S9288" s="2"/>
      <c r="T9288" s="2"/>
      <c r="U9288" s="2"/>
      <c r="V9288" s="2"/>
      <c r="W9288" s="6">
        <v>4.21</v>
      </c>
      <c r="X9288" s="6">
        <v>4.58</v>
      </c>
      <c r="Y9288" s="6">
        <v>4.57</v>
      </c>
      <c r="Z9288" s="6">
        <v>4.6500000000000004</v>
      </c>
      <c r="AA9288" s="6">
        <v>22.13</v>
      </c>
      <c r="AB9288" s="2" t="s">
        <v>47</v>
      </c>
      <c r="AC9288" s="2"/>
    </row>
    <row r="9289" spans="1:29" ht="65" x14ac:dyDescent="0.15">
      <c r="A9289" s="3">
        <f>DATE(2009,3,13)</f>
        <v>39885</v>
      </c>
      <c r="B9289" s="2"/>
      <c r="C9289" s="2" t="s">
        <v>87</v>
      </c>
      <c r="D9289" s="2" t="s">
        <v>6602</v>
      </c>
      <c r="E9289" s="2" t="s">
        <v>5765</v>
      </c>
      <c r="F9289" s="4">
        <v>6324</v>
      </c>
      <c r="G9289" s="2" t="s">
        <v>125</v>
      </c>
      <c r="H9289" s="2" t="s">
        <v>34</v>
      </c>
      <c r="I9289" s="2" t="s">
        <v>27410</v>
      </c>
      <c r="J9289" s="2" t="s">
        <v>21350</v>
      </c>
      <c r="K9289" s="2" t="s">
        <v>125</v>
      </c>
      <c r="L9289" s="2" t="s">
        <v>34</v>
      </c>
      <c r="M9289" s="12">
        <v>14561.885</v>
      </c>
      <c r="N9289" s="6">
        <v>24.31</v>
      </c>
      <c r="O9289" s="6">
        <v>22.98</v>
      </c>
      <c r="P9289" s="2" t="s">
        <v>27411</v>
      </c>
      <c r="Q9289" s="2"/>
      <c r="R9289" s="2"/>
      <c r="S9289" s="5">
        <v>647.20000000000005</v>
      </c>
      <c r="T9289" s="12">
        <v>1359.537</v>
      </c>
      <c r="U9289" s="5">
        <v>26.4</v>
      </c>
      <c r="V9289" s="6">
        <v>3.83</v>
      </c>
      <c r="W9289" s="6">
        <v>19.54</v>
      </c>
      <c r="X9289" s="6">
        <v>23.06</v>
      </c>
      <c r="Y9289" s="6">
        <v>24.83</v>
      </c>
      <c r="Z9289" s="6">
        <v>24.09</v>
      </c>
      <c r="AA9289" s="6">
        <v>168.85</v>
      </c>
      <c r="AB9289" s="2" t="s">
        <v>47</v>
      </c>
      <c r="AC9289" s="8">
        <v>1179.5</v>
      </c>
    </row>
    <row r="9290" spans="1:29" ht="65" x14ac:dyDescent="0.15">
      <c r="A9290" s="3">
        <f>DATE(2009,3,16)</f>
        <v>39888</v>
      </c>
      <c r="B9290" s="2"/>
      <c r="C9290" s="2" t="s">
        <v>87</v>
      </c>
      <c r="D9290" s="2" t="s">
        <v>27412</v>
      </c>
      <c r="E9290" s="2" t="s">
        <v>27413</v>
      </c>
      <c r="F9290" s="4">
        <v>3743</v>
      </c>
      <c r="G9290" s="2" t="s">
        <v>105</v>
      </c>
      <c r="H9290" s="2" t="s">
        <v>34</v>
      </c>
      <c r="I9290" s="2" t="s">
        <v>27414</v>
      </c>
      <c r="J9290" s="2" t="s">
        <v>27415</v>
      </c>
      <c r="K9290" s="2" t="s">
        <v>105</v>
      </c>
      <c r="L9290" s="2" t="s">
        <v>34</v>
      </c>
      <c r="M9290" s="7">
        <v>222.822</v>
      </c>
      <c r="N9290" s="6">
        <v>8.1199999999999992</v>
      </c>
      <c r="O9290" s="6">
        <v>9.1300000000000008</v>
      </c>
      <c r="P9290" s="2" t="s">
        <v>27416</v>
      </c>
      <c r="Q9290" s="2"/>
      <c r="R9290" s="2"/>
      <c r="S9290" s="5">
        <v>5.3</v>
      </c>
      <c r="T9290" s="7">
        <v>87.094999999999999</v>
      </c>
      <c r="U9290" s="5">
        <v>13.6</v>
      </c>
      <c r="V9290" s="6">
        <v>0.33</v>
      </c>
      <c r="W9290" s="6">
        <v>1.91</v>
      </c>
      <c r="X9290" s="6">
        <v>2.88</v>
      </c>
      <c r="Y9290" s="6">
        <v>3.64</v>
      </c>
      <c r="Z9290" s="6">
        <v>3.49</v>
      </c>
      <c r="AA9290" s="6">
        <v>16.66</v>
      </c>
      <c r="AB9290" s="2" t="s">
        <v>47</v>
      </c>
      <c r="AC9290" s="6">
        <v>294.35000000000002</v>
      </c>
    </row>
    <row r="9291" spans="1:29" ht="117" x14ac:dyDescent="0.15">
      <c r="A9291" s="3">
        <f>DATE(2009,3,18)</f>
        <v>39890</v>
      </c>
      <c r="B9291" s="3">
        <f>DATE(2009,6,29)</f>
        <v>39993</v>
      </c>
      <c r="C9291" s="2" t="s">
        <v>95</v>
      </c>
      <c r="D9291" s="2" t="s">
        <v>27417</v>
      </c>
      <c r="E9291" s="2" t="s">
        <v>5102</v>
      </c>
      <c r="F9291" s="4">
        <v>7372</v>
      </c>
      <c r="G9291" s="2" t="s">
        <v>551</v>
      </c>
      <c r="H9291" s="2" t="s">
        <v>34</v>
      </c>
      <c r="I9291" s="2" t="s">
        <v>27418</v>
      </c>
      <c r="J9291" s="2" t="s">
        <v>27419</v>
      </c>
      <c r="K9291" s="2" t="s">
        <v>551</v>
      </c>
      <c r="L9291" s="2" t="s">
        <v>34</v>
      </c>
      <c r="M9291" s="7">
        <v>109.467</v>
      </c>
      <c r="N9291" s="6">
        <v>4.49</v>
      </c>
      <c r="O9291" s="6">
        <v>4.63</v>
      </c>
      <c r="P9291" s="2" t="s">
        <v>27420</v>
      </c>
      <c r="Q9291" s="6">
        <v>12</v>
      </c>
      <c r="R9291" s="6">
        <v>7.02</v>
      </c>
      <c r="S9291" s="5">
        <v>5.9</v>
      </c>
      <c r="T9291" s="2"/>
      <c r="U9291" s="2"/>
      <c r="V9291" s="6">
        <v>0.45</v>
      </c>
      <c r="W9291" s="5">
        <v>4.7</v>
      </c>
      <c r="X9291" s="6">
        <v>4.87</v>
      </c>
      <c r="Y9291" s="4">
        <v>5</v>
      </c>
      <c r="Z9291" s="6">
        <v>5.09</v>
      </c>
      <c r="AA9291" s="6">
        <v>12.86</v>
      </c>
      <c r="AB9291" s="7">
        <v>6.3970000000000002</v>
      </c>
      <c r="AC9291" s="5">
        <v>54</v>
      </c>
    </row>
    <row r="9292" spans="1:29" ht="91" x14ac:dyDescent="0.15">
      <c r="A9292" s="3">
        <f>DATE(2009,3,18)</f>
        <v>39890</v>
      </c>
      <c r="B9292" s="2"/>
      <c r="C9292" s="2" t="s">
        <v>39</v>
      </c>
      <c r="D9292" s="2" t="s">
        <v>7432</v>
      </c>
      <c r="E9292" s="2" t="s">
        <v>7433</v>
      </c>
      <c r="F9292" s="4">
        <v>3571</v>
      </c>
      <c r="G9292" s="2" t="s">
        <v>50</v>
      </c>
      <c r="H9292" s="2" t="s">
        <v>34</v>
      </c>
      <c r="I9292" s="2" t="s">
        <v>5443</v>
      </c>
      <c r="J9292" s="2" t="s">
        <v>5444</v>
      </c>
      <c r="K9292" s="2" t="s">
        <v>50</v>
      </c>
      <c r="L9292" s="2" t="s">
        <v>34</v>
      </c>
      <c r="M9292" s="12">
        <v>122776.93399999999</v>
      </c>
      <c r="N9292" s="6">
        <v>91.95</v>
      </c>
      <c r="O9292" s="6">
        <v>92.66</v>
      </c>
      <c r="P9292" s="2" t="s">
        <v>27421</v>
      </c>
      <c r="Q9292" s="2"/>
      <c r="R9292" s="2"/>
      <c r="S9292" s="8">
        <v>-1832</v>
      </c>
      <c r="T9292" s="5">
        <v>839</v>
      </c>
      <c r="U9292" s="5">
        <v>4.7</v>
      </c>
      <c r="V9292" s="6">
        <v>-2.4500000000000002</v>
      </c>
      <c r="W9292" s="6">
        <v>4.5599999999999996</v>
      </c>
      <c r="X9292" s="6">
        <v>4.97</v>
      </c>
      <c r="Y9292" s="6">
        <v>8.89</v>
      </c>
      <c r="Z9292" s="6">
        <v>8.6300000000000008</v>
      </c>
      <c r="AA9292" s="6">
        <v>744.71</v>
      </c>
      <c r="AB9292" s="2" t="s">
        <v>47</v>
      </c>
      <c r="AC9292" s="8">
        <v>13680</v>
      </c>
    </row>
    <row r="9293" spans="1:29" ht="143" x14ac:dyDescent="0.15">
      <c r="A9293" s="3">
        <f>DATE(2009,3,23)</f>
        <v>39895</v>
      </c>
      <c r="B9293" s="3">
        <f>DATE(2009,5,20)</f>
        <v>39953</v>
      </c>
      <c r="C9293" s="2" t="s">
        <v>95</v>
      </c>
      <c r="D9293" s="2" t="s">
        <v>27422</v>
      </c>
      <c r="E9293" s="2" t="s">
        <v>20087</v>
      </c>
      <c r="F9293" s="4">
        <v>4832</v>
      </c>
      <c r="G9293" s="2" t="s">
        <v>45</v>
      </c>
      <c r="H9293" s="2" t="s">
        <v>34</v>
      </c>
      <c r="I9293" s="2" t="s">
        <v>22202</v>
      </c>
      <c r="J9293" s="2" t="s">
        <v>22203</v>
      </c>
      <c r="K9293" s="2" t="s">
        <v>186</v>
      </c>
      <c r="L9293" s="2" t="s">
        <v>34</v>
      </c>
      <c r="M9293" s="2"/>
      <c r="N9293" s="2"/>
      <c r="O9293" s="2"/>
      <c r="P9293" s="2" t="s">
        <v>27423</v>
      </c>
      <c r="Q9293" s="6">
        <v>21.6</v>
      </c>
      <c r="R9293" s="6">
        <v>4.8</v>
      </c>
      <c r="S9293" s="5">
        <v>-412.8</v>
      </c>
      <c r="T9293" s="7">
        <v>114.428</v>
      </c>
      <c r="U9293" s="5">
        <v>8.1</v>
      </c>
      <c r="V9293" s="6">
        <v>-4.9000000000000004</v>
      </c>
      <c r="W9293" s="6">
        <v>3.25</v>
      </c>
      <c r="X9293" s="5">
        <v>3.3</v>
      </c>
      <c r="Y9293" s="6">
        <v>4.12</v>
      </c>
      <c r="Z9293" s="6">
        <v>4.0599999999999996</v>
      </c>
      <c r="AA9293" s="6">
        <v>79.489999999999995</v>
      </c>
      <c r="AB9293" s="7">
        <v>7.3070000000000004</v>
      </c>
      <c r="AC9293" s="2"/>
    </row>
    <row r="9294" spans="1:29" ht="52" x14ac:dyDescent="0.15">
      <c r="A9294" s="3">
        <f>DATE(2009,3,23)</f>
        <v>39895</v>
      </c>
      <c r="B9294" s="2"/>
      <c r="C9294" s="2" t="s">
        <v>87</v>
      </c>
      <c r="D9294" s="2" t="s">
        <v>15954</v>
      </c>
      <c r="E9294" s="2" t="s">
        <v>15955</v>
      </c>
      <c r="F9294" s="4">
        <v>7372</v>
      </c>
      <c r="G9294" s="2" t="s">
        <v>551</v>
      </c>
      <c r="H9294" s="2" t="s">
        <v>34</v>
      </c>
      <c r="I9294" s="2" t="s">
        <v>8588</v>
      </c>
      <c r="J9294" s="2" t="s">
        <v>8589</v>
      </c>
      <c r="K9294" s="2" t="s">
        <v>551</v>
      </c>
      <c r="L9294" s="2" t="s">
        <v>34</v>
      </c>
      <c r="M9294" s="12">
        <v>79036.945999999996</v>
      </c>
      <c r="N9294" s="6">
        <v>18.25</v>
      </c>
      <c r="O9294" s="6">
        <v>17.91</v>
      </c>
      <c r="P9294" s="2" t="s">
        <v>27424</v>
      </c>
      <c r="Q9294" s="2"/>
      <c r="R9294" s="2"/>
      <c r="S9294" s="5">
        <v>78.7</v>
      </c>
      <c r="T9294" s="6">
        <v>122.83</v>
      </c>
      <c r="U9294" s="5">
        <v>5.8</v>
      </c>
      <c r="V9294" s="6">
        <v>0.39</v>
      </c>
      <c r="W9294" s="6">
        <v>14.79</v>
      </c>
      <c r="X9294" s="6">
        <v>14.89</v>
      </c>
      <c r="Y9294" s="6">
        <v>16.37</v>
      </c>
      <c r="Z9294" s="6">
        <v>15.27</v>
      </c>
      <c r="AA9294" s="6">
        <v>190.09</v>
      </c>
      <c r="AB9294" s="2" t="s">
        <v>47</v>
      </c>
      <c r="AC9294" s="8">
        <v>11294</v>
      </c>
    </row>
    <row r="9295" spans="1:29" ht="65" x14ac:dyDescent="0.15">
      <c r="A9295" s="3">
        <f>DATE(2009,3,24)</f>
        <v>39896</v>
      </c>
      <c r="B9295" s="2"/>
      <c r="C9295" s="2" t="s">
        <v>87</v>
      </c>
      <c r="D9295" s="2" t="s">
        <v>7904</v>
      </c>
      <c r="E9295" s="2" t="s">
        <v>7905</v>
      </c>
      <c r="F9295" s="4">
        <v>2834</v>
      </c>
      <c r="G9295" s="2" t="s">
        <v>130</v>
      </c>
      <c r="H9295" s="2" t="s">
        <v>34</v>
      </c>
      <c r="I9295" s="2" t="s">
        <v>22912</v>
      </c>
      <c r="J9295" s="2" t="s">
        <v>13055</v>
      </c>
      <c r="K9295" s="2" t="s">
        <v>130</v>
      </c>
      <c r="L9295" s="2" t="s">
        <v>303</v>
      </c>
      <c r="M9295" s="12">
        <v>41601.453000000001</v>
      </c>
      <c r="N9295" s="7">
        <v>14.750999999999999</v>
      </c>
      <c r="O9295" s="7">
        <v>15.013999999999999</v>
      </c>
      <c r="P9295" s="2" t="s">
        <v>27425</v>
      </c>
      <c r="Q9295" s="2"/>
      <c r="R9295" s="2"/>
      <c r="S9295" s="5">
        <v>578.6</v>
      </c>
      <c r="T9295" s="8">
        <v>1227.0999999999999</v>
      </c>
      <c r="U9295" s="5">
        <v>13.2</v>
      </c>
      <c r="V9295" s="6">
        <v>1.89</v>
      </c>
      <c r="W9295" s="6">
        <v>41.98</v>
      </c>
      <c r="X9295" s="6">
        <v>43.17</v>
      </c>
      <c r="Y9295" s="6">
        <v>48.95</v>
      </c>
      <c r="Z9295" s="6">
        <v>48.06</v>
      </c>
      <c r="AA9295" s="6">
        <v>307.51</v>
      </c>
      <c r="AB9295" s="2" t="s">
        <v>47</v>
      </c>
      <c r="AC9295" s="10">
        <v>10065.92</v>
      </c>
    </row>
    <row r="9296" spans="1:29" ht="169" x14ac:dyDescent="0.15">
      <c r="A9296" s="3">
        <f>DATE(2009,3,25)</f>
        <v>39897</v>
      </c>
      <c r="B9296" s="3">
        <f>DATE(2009,6,3)</f>
        <v>39967</v>
      </c>
      <c r="C9296" s="2" t="s">
        <v>95</v>
      </c>
      <c r="D9296" s="2" t="s">
        <v>26000</v>
      </c>
      <c r="E9296" s="2" t="s">
        <v>14365</v>
      </c>
      <c r="F9296" s="4">
        <v>4833</v>
      </c>
      <c r="G9296" s="2" t="s">
        <v>45</v>
      </c>
      <c r="H9296" s="2" t="s">
        <v>34</v>
      </c>
      <c r="I9296" s="2" t="s">
        <v>26001</v>
      </c>
      <c r="J9296" s="2" t="s">
        <v>26002</v>
      </c>
      <c r="K9296" s="2" t="s">
        <v>186</v>
      </c>
      <c r="L9296" s="2" t="s">
        <v>34</v>
      </c>
      <c r="M9296" s="2"/>
      <c r="N9296" s="2"/>
      <c r="O9296" s="2"/>
      <c r="P9296" s="2" t="s">
        <v>27426</v>
      </c>
      <c r="Q9296" s="6">
        <v>14.69</v>
      </c>
      <c r="R9296" s="6">
        <v>4.5</v>
      </c>
      <c r="S9296" s="5">
        <v>-516.5</v>
      </c>
      <c r="T9296" s="7">
        <v>273.12099999999998</v>
      </c>
      <c r="U9296" s="5">
        <v>14.7</v>
      </c>
      <c r="V9296" s="6">
        <v>-5.52</v>
      </c>
      <c r="W9296" s="5">
        <v>1.8</v>
      </c>
      <c r="X9296" s="6">
        <v>2.09</v>
      </c>
      <c r="Y9296" s="6">
        <v>4.03</v>
      </c>
      <c r="Z9296" s="6">
        <v>4.18</v>
      </c>
      <c r="AA9296" s="6">
        <v>93.67</v>
      </c>
      <c r="AB9296" s="7">
        <v>8.6479999999999997</v>
      </c>
      <c r="AC9296" s="2"/>
    </row>
    <row r="9297" spans="1:29" ht="65" x14ac:dyDescent="0.15">
      <c r="A9297" s="3">
        <f>DATE(2009,3,31)</f>
        <v>39903</v>
      </c>
      <c r="B9297" s="2"/>
      <c r="C9297" s="2" t="s">
        <v>87</v>
      </c>
      <c r="D9297" s="2" t="s">
        <v>15095</v>
      </c>
      <c r="E9297" s="2" t="s">
        <v>15096</v>
      </c>
      <c r="F9297" s="4">
        <v>3356</v>
      </c>
      <c r="G9297" s="2" t="s">
        <v>163</v>
      </c>
      <c r="H9297" s="2" t="s">
        <v>34</v>
      </c>
      <c r="I9297" s="2" t="s">
        <v>27427</v>
      </c>
      <c r="J9297" s="2" t="s">
        <v>27428</v>
      </c>
      <c r="K9297" s="2" t="s">
        <v>163</v>
      </c>
      <c r="L9297" s="2" t="s">
        <v>303</v>
      </c>
      <c r="M9297" s="12">
        <v>32771.832000000002</v>
      </c>
      <c r="N9297" s="7">
        <v>19.832000000000001</v>
      </c>
      <c r="O9297" s="7">
        <v>19.631</v>
      </c>
      <c r="P9297" s="2" t="s">
        <v>27429</v>
      </c>
      <c r="Q9297" s="2"/>
      <c r="R9297" s="2"/>
      <c r="S9297" s="5">
        <v>-874</v>
      </c>
      <c r="T9297" s="8">
        <v>1951</v>
      </c>
      <c r="U9297" s="5">
        <v>38.1</v>
      </c>
      <c r="V9297" s="6">
        <v>-1.8</v>
      </c>
      <c r="W9297" s="6">
        <v>7.32</v>
      </c>
      <c r="X9297" s="6">
        <v>6.69</v>
      </c>
      <c r="Y9297" s="6">
        <v>7.34</v>
      </c>
      <c r="Z9297" s="5">
        <v>7.6</v>
      </c>
      <c r="AA9297" s="6">
        <v>801.77</v>
      </c>
      <c r="AB9297" s="2" t="s">
        <v>47</v>
      </c>
      <c r="AC9297" s="10">
        <v>6295.01</v>
      </c>
    </row>
    <row r="9298" spans="1:29" ht="156" x14ac:dyDescent="0.15">
      <c r="A9298" s="3">
        <f>DATE(2009,3,31)</f>
        <v>39903</v>
      </c>
      <c r="B9298" s="3">
        <f>DATE(2009,5,27)</f>
        <v>39960</v>
      </c>
      <c r="C9298" s="2" t="s">
        <v>95</v>
      </c>
      <c r="D9298" s="2" t="s">
        <v>27430</v>
      </c>
      <c r="E9298" s="2" t="s">
        <v>27431</v>
      </c>
      <c r="F9298" s="4">
        <v>3663</v>
      </c>
      <c r="G9298" s="2" t="s">
        <v>921</v>
      </c>
      <c r="H9298" s="2" t="s">
        <v>34</v>
      </c>
      <c r="I9298" s="2" t="s">
        <v>278</v>
      </c>
      <c r="J9298" s="2" t="s">
        <v>52</v>
      </c>
      <c r="K9298" s="2" t="s">
        <v>53</v>
      </c>
      <c r="L9298" s="2" t="s">
        <v>34</v>
      </c>
      <c r="M9298" s="2"/>
      <c r="N9298" s="2"/>
      <c r="O9298" s="2"/>
      <c r="P9298" s="2" t="s">
        <v>27432</v>
      </c>
      <c r="Q9298" s="6">
        <v>56</v>
      </c>
      <c r="R9298" s="6">
        <v>5.16</v>
      </c>
      <c r="S9298" s="5">
        <v>-361.8</v>
      </c>
      <c r="T9298" s="5">
        <v>13.3</v>
      </c>
      <c r="U9298" s="5">
        <v>6.6</v>
      </c>
      <c r="V9298" s="6">
        <v>-6.11</v>
      </c>
      <c r="W9298" s="6">
        <v>4.28</v>
      </c>
      <c r="X9298" s="6">
        <v>4.12</v>
      </c>
      <c r="Y9298" s="6">
        <v>3.81</v>
      </c>
      <c r="Z9298" s="6">
        <v>3.61</v>
      </c>
      <c r="AA9298" s="6">
        <v>58.86</v>
      </c>
      <c r="AB9298" s="2" t="s">
        <v>86</v>
      </c>
      <c r="AC9298" s="2"/>
    </row>
    <row r="9299" spans="1:29" ht="156" x14ac:dyDescent="0.15">
      <c r="A9299" s="3">
        <f>DATE(2009,4,1)</f>
        <v>39904</v>
      </c>
      <c r="B9299" s="3">
        <f>DATE(2009,10,1)</f>
        <v>40087</v>
      </c>
      <c r="C9299" s="2" t="s">
        <v>95</v>
      </c>
      <c r="D9299" s="2" t="s">
        <v>27433</v>
      </c>
      <c r="E9299" s="2" t="s">
        <v>27434</v>
      </c>
      <c r="F9299" s="4">
        <v>7375</v>
      </c>
      <c r="G9299" s="2" t="s">
        <v>223</v>
      </c>
      <c r="H9299" s="2" t="s">
        <v>34</v>
      </c>
      <c r="I9299" s="2" t="s">
        <v>25769</v>
      </c>
      <c r="J9299" s="2" t="s">
        <v>25770</v>
      </c>
      <c r="K9299" s="2" t="s">
        <v>223</v>
      </c>
      <c r="L9299" s="2" t="s">
        <v>34</v>
      </c>
      <c r="M9299" s="12">
        <v>3226.1210000000001</v>
      </c>
      <c r="N9299" s="6">
        <v>16.88</v>
      </c>
      <c r="O9299" s="5">
        <v>17.7</v>
      </c>
      <c r="P9299" s="2" t="s">
        <v>27435</v>
      </c>
      <c r="Q9299" s="6">
        <v>100</v>
      </c>
      <c r="R9299" s="6">
        <v>24.57</v>
      </c>
      <c r="S9299" s="5">
        <v>147.4</v>
      </c>
      <c r="T9299" s="7">
        <v>489.41199999999998</v>
      </c>
      <c r="U9299" s="5">
        <v>3</v>
      </c>
      <c r="V9299" s="6">
        <v>1.23</v>
      </c>
      <c r="W9299" s="6">
        <v>19.39</v>
      </c>
      <c r="X9299" s="6">
        <v>19.96</v>
      </c>
      <c r="Y9299" s="6">
        <v>21.92</v>
      </c>
      <c r="Z9299" s="6">
        <v>23.12</v>
      </c>
      <c r="AA9299" s="6">
        <v>119.67</v>
      </c>
      <c r="AB9299" s="7">
        <v>13.01</v>
      </c>
      <c r="AC9299" s="5">
        <v>272</v>
      </c>
    </row>
    <row r="9300" spans="1:29" ht="117" x14ac:dyDescent="0.15">
      <c r="A9300" s="3">
        <f>DATE(2009,4,2)</f>
        <v>39905</v>
      </c>
      <c r="B9300" s="3">
        <f>DATE(2009,7,31)</f>
        <v>40025</v>
      </c>
      <c r="C9300" s="2" t="s">
        <v>95</v>
      </c>
      <c r="D9300" s="2" t="s">
        <v>27436</v>
      </c>
      <c r="E9300" s="2" t="s">
        <v>7120</v>
      </c>
      <c r="F9300" s="4">
        <v>6022</v>
      </c>
      <c r="G9300" s="2" t="s">
        <v>37</v>
      </c>
      <c r="H9300" s="2" t="s">
        <v>34</v>
      </c>
      <c r="I9300" s="2" t="s">
        <v>27437</v>
      </c>
      <c r="J9300" s="2" t="s">
        <v>36</v>
      </c>
      <c r="K9300" s="2" t="s">
        <v>37</v>
      </c>
      <c r="L9300" s="2" t="s">
        <v>34</v>
      </c>
      <c r="M9300" s="7">
        <v>93.581000000000003</v>
      </c>
      <c r="N9300" s="6">
        <v>12.49</v>
      </c>
      <c r="O9300" s="6">
        <v>13.25</v>
      </c>
      <c r="P9300" s="2" t="s">
        <v>27438</v>
      </c>
      <c r="Q9300" s="6">
        <v>100</v>
      </c>
      <c r="R9300" s="6">
        <v>5.54</v>
      </c>
      <c r="S9300" s="2"/>
      <c r="T9300" s="2"/>
      <c r="U9300" s="2"/>
      <c r="V9300" s="2"/>
      <c r="W9300" s="4">
        <v>4</v>
      </c>
      <c r="X9300" s="4">
        <v>5</v>
      </c>
      <c r="Y9300" s="4">
        <v>5</v>
      </c>
      <c r="Z9300" s="4">
        <v>6</v>
      </c>
      <c r="AA9300" s="6">
        <v>1.5</v>
      </c>
      <c r="AB9300" s="2" t="s">
        <v>47</v>
      </c>
      <c r="AC9300" s="2"/>
    </row>
    <row r="9301" spans="1:29" ht="91" x14ac:dyDescent="0.15">
      <c r="A9301" s="3">
        <f>DATE(2009,4,3)</f>
        <v>39906</v>
      </c>
      <c r="B9301" s="2"/>
      <c r="C9301" s="2" t="s">
        <v>87</v>
      </c>
      <c r="D9301" s="2" t="s">
        <v>27439</v>
      </c>
      <c r="E9301" s="2" t="s">
        <v>6292</v>
      </c>
      <c r="F9301" s="4">
        <v>2834</v>
      </c>
      <c r="G9301" s="2" t="s">
        <v>130</v>
      </c>
      <c r="H9301" s="2" t="s">
        <v>34</v>
      </c>
      <c r="I9301" s="2" t="s">
        <v>8003</v>
      </c>
      <c r="J9301" s="2" t="s">
        <v>7462</v>
      </c>
      <c r="K9301" s="2" t="s">
        <v>130</v>
      </c>
      <c r="L9301" s="2" t="s">
        <v>215</v>
      </c>
      <c r="M9301" s="12">
        <v>78198.573999999993</v>
      </c>
      <c r="N9301" s="7">
        <v>37.703000000000003</v>
      </c>
      <c r="O9301" s="7">
        <v>37.603000000000002</v>
      </c>
      <c r="P9301" s="2" t="s">
        <v>27440</v>
      </c>
      <c r="Q9301" s="2"/>
      <c r="R9301" s="2"/>
      <c r="S9301" s="5">
        <v>160.4</v>
      </c>
      <c r="T9301" s="6">
        <v>104.71</v>
      </c>
      <c r="U9301" s="5">
        <v>6.3</v>
      </c>
      <c r="V9301" s="6">
        <v>2.4300000000000002</v>
      </c>
      <c r="W9301" s="6">
        <v>16.21</v>
      </c>
      <c r="X9301" s="6">
        <v>15.93</v>
      </c>
      <c r="Y9301" s="6">
        <v>19.45</v>
      </c>
      <c r="Z9301" s="6">
        <v>17.87</v>
      </c>
      <c r="AA9301" s="6">
        <v>57.55</v>
      </c>
      <c r="AB9301" s="2" t="s">
        <v>47</v>
      </c>
      <c r="AC9301" s="10">
        <v>7884.99</v>
      </c>
    </row>
    <row r="9302" spans="1:29" ht="143" x14ac:dyDescent="0.15">
      <c r="A9302" s="3">
        <f>DATE(2009,4,3)</f>
        <v>39906</v>
      </c>
      <c r="B9302" s="2"/>
      <c r="C9302" s="2" t="s">
        <v>30</v>
      </c>
      <c r="D9302" s="2" t="s">
        <v>27441</v>
      </c>
      <c r="E9302" s="2" t="s">
        <v>159</v>
      </c>
      <c r="F9302" s="4">
        <v>6029</v>
      </c>
      <c r="G9302" s="2" t="s">
        <v>37</v>
      </c>
      <c r="H9302" s="2" t="s">
        <v>34</v>
      </c>
      <c r="I9302" s="2" t="s">
        <v>27442</v>
      </c>
      <c r="J9302" s="2" t="s">
        <v>265</v>
      </c>
      <c r="K9302" s="2" t="s">
        <v>37</v>
      </c>
      <c r="L9302" s="2" t="s">
        <v>34</v>
      </c>
      <c r="M9302" s="7">
        <v>43.978999999999999</v>
      </c>
      <c r="N9302" s="6">
        <v>8.65</v>
      </c>
      <c r="O9302" s="6">
        <v>9.09</v>
      </c>
      <c r="P9302" s="2" t="s">
        <v>27443</v>
      </c>
      <c r="Q9302" s="2"/>
      <c r="R9302" s="6">
        <v>8.7200000000000006</v>
      </c>
      <c r="S9302" s="5">
        <v>-0.1</v>
      </c>
      <c r="T9302" s="7">
        <v>0.21099999999999999</v>
      </c>
      <c r="U9302" s="5">
        <v>11.8</v>
      </c>
      <c r="V9302" s="6">
        <v>-0.06</v>
      </c>
      <c r="W9302" s="4">
        <v>6</v>
      </c>
      <c r="X9302" s="5">
        <v>6.1</v>
      </c>
      <c r="Y9302" s="4">
        <v>8</v>
      </c>
      <c r="Z9302" s="5">
        <v>7.5</v>
      </c>
      <c r="AA9302" s="6">
        <v>2.97</v>
      </c>
      <c r="AB9302" s="2" t="s">
        <v>86</v>
      </c>
      <c r="AC9302" s="2"/>
    </row>
    <row r="9303" spans="1:29" ht="91" x14ac:dyDescent="0.15">
      <c r="A9303" s="3">
        <f>DATE(2009,4,3)</f>
        <v>39906</v>
      </c>
      <c r="B9303" s="2"/>
      <c r="C9303" s="2" t="s">
        <v>30</v>
      </c>
      <c r="D9303" s="2" t="s">
        <v>27444</v>
      </c>
      <c r="E9303" s="2" t="s">
        <v>1608</v>
      </c>
      <c r="F9303" s="4">
        <v>1311</v>
      </c>
      <c r="G9303" s="2" t="s">
        <v>148</v>
      </c>
      <c r="H9303" s="2" t="s">
        <v>34</v>
      </c>
      <c r="I9303" s="2" t="s">
        <v>27445</v>
      </c>
      <c r="J9303" s="2" t="s">
        <v>3197</v>
      </c>
      <c r="K9303" s="2" t="s">
        <v>53</v>
      </c>
      <c r="L9303" s="2" t="s">
        <v>34</v>
      </c>
      <c r="M9303" s="2"/>
      <c r="N9303" s="2"/>
      <c r="O9303" s="2"/>
      <c r="P9303" s="2" t="s">
        <v>27446</v>
      </c>
      <c r="Q9303" s="2"/>
      <c r="R9303" s="6">
        <v>14</v>
      </c>
      <c r="S9303" s="5">
        <v>179.1</v>
      </c>
      <c r="T9303" s="7">
        <v>111.876</v>
      </c>
      <c r="U9303" s="5">
        <v>11.8</v>
      </c>
      <c r="V9303" s="6">
        <v>5.83</v>
      </c>
      <c r="W9303" s="6">
        <v>9.73</v>
      </c>
      <c r="X9303" s="6">
        <v>9.85</v>
      </c>
      <c r="Y9303" s="6">
        <v>10.029999999999999</v>
      </c>
      <c r="Z9303" s="6">
        <v>12.98</v>
      </c>
      <c r="AA9303" s="6">
        <v>31.07</v>
      </c>
      <c r="AB9303" s="7">
        <v>17.617000000000001</v>
      </c>
      <c r="AC9303" s="2"/>
    </row>
    <row r="9304" spans="1:29" ht="208" x14ac:dyDescent="0.15">
      <c r="A9304" s="3">
        <f>DATE(2009,4,3)</f>
        <v>39906</v>
      </c>
      <c r="B9304" s="3">
        <f>DATE(2009,9,2)</f>
        <v>40058</v>
      </c>
      <c r="C9304" s="2" t="s">
        <v>95</v>
      </c>
      <c r="D9304" s="2" t="s">
        <v>27447</v>
      </c>
      <c r="E9304" s="2" t="s">
        <v>27448</v>
      </c>
      <c r="F9304" s="4">
        <v>4581</v>
      </c>
      <c r="G9304" s="2" t="s">
        <v>59</v>
      </c>
      <c r="H9304" s="2" t="s">
        <v>34</v>
      </c>
      <c r="I9304" s="2" t="s">
        <v>27449</v>
      </c>
      <c r="J9304" s="2" t="s">
        <v>27450</v>
      </c>
      <c r="K9304" s="2" t="s">
        <v>163</v>
      </c>
      <c r="L9304" s="2" t="s">
        <v>4242</v>
      </c>
      <c r="M9304" s="7">
        <v>27.129000000000001</v>
      </c>
      <c r="N9304" s="6">
        <v>4.74</v>
      </c>
      <c r="O9304" s="6">
        <v>4.93</v>
      </c>
      <c r="P9304" s="2" t="s">
        <v>27451</v>
      </c>
      <c r="Q9304" s="6">
        <v>38.200000000000003</v>
      </c>
      <c r="R9304" s="6">
        <v>2.57</v>
      </c>
      <c r="S9304" s="5">
        <v>1.5</v>
      </c>
      <c r="T9304" s="7">
        <v>3.2610000000000001</v>
      </c>
      <c r="U9304" s="5">
        <v>5</v>
      </c>
      <c r="V9304" s="6">
        <v>0.12</v>
      </c>
      <c r="W9304" s="5">
        <v>2.2000000000000002</v>
      </c>
      <c r="X9304" s="6">
        <v>2.29</v>
      </c>
      <c r="Y9304" s="6">
        <v>2.1800000000000002</v>
      </c>
      <c r="Z9304" s="5">
        <v>2.2000000000000002</v>
      </c>
      <c r="AA9304" s="6">
        <v>13.21</v>
      </c>
      <c r="AB9304" s="7">
        <v>0.59199999999999997</v>
      </c>
      <c r="AC9304" s="6">
        <v>43.33</v>
      </c>
    </row>
    <row r="9305" spans="1:29" ht="65" x14ac:dyDescent="0.15">
      <c r="A9305" s="3">
        <f>DATE(2009,4,3)</f>
        <v>39906</v>
      </c>
      <c r="B9305" s="2"/>
      <c r="C9305" s="2" t="s">
        <v>189</v>
      </c>
      <c r="D9305" s="2" t="s">
        <v>27452</v>
      </c>
      <c r="E9305" s="2" t="s">
        <v>27453</v>
      </c>
      <c r="F9305" s="4">
        <v>6331</v>
      </c>
      <c r="G9305" s="2" t="s">
        <v>125</v>
      </c>
      <c r="H9305" s="2" t="s">
        <v>34</v>
      </c>
      <c r="I9305" s="2" t="s">
        <v>143</v>
      </c>
      <c r="J9305" s="2" t="s">
        <v>144</v>
      </c>
      <c r="K9305" s="2" t="s">
        <v>53</v>
      </c>
      <c r="L9305" s="2" t="s">
        <v>139</v>
      </c>
      <c r="M9305" s="2"/>
      <c r="N9305" s="2"/>
      <c r="O9305" s="2"/>
      <c r="P9305" s="2" t="s">
        <v>27454</v>
      </c>
      <c r="Q9305" s="2"/>
      <c r="R9305" s="2"/>
      <c r="S9305" s="5">
        <v>61.8</v>
      </c>
      <c r="T9305" s="2"/>
      <c r="U9305" s="5">
        <v>50</v>
      </c>
      <c r="V9305" s="6">
        <v>0.93</v>
      </c>
      <c r="W9305" s="6">
        <v>35.68</v>
      </c>
      <c r="X9305" s="6">
        <v>37.79</v>
      </c>
      <c r="Y9305" s="6">
        <v>38.68</v>
      </c>
      <c r="Z9305" s="6">
        <v>38.47</v>
      </c>
      <c r="AA9305" s="6">
        <v>66.36</v>
      </c>
      <c r="AB9305" s="2" t="s">
        <v>47</v>
      </c>
      <c r="AC9305" s="2"/>
    </row>
    <row r="9306" spans="1:29" ht="260" x14ac:dyDescent="0.15">
      <c r="A9306" s="3">
        <f>DATE(2009,4,6)</f>
        <v>39909</v>
      </c>
      <c r="B9306" s="3">
        <f>DATE(2009,7,21)</f>
        <v>40015</v>
      </c>
      <c r="C9306" s="2" t="s">
        <v>95</v>
      </c>
      <c r="D9306" s="2" t="s">
        <v>27455</v>
      </c>
      <c r="E9306" s="2" t="s">
        <v>27456</v>
      </c>
      <c r="F9306" s="4">
        <v>7372</v>
      </c>
      <c r="G9306" s="2" t="s">
        <v>551</v>
      </c>
      <c r="H9306" s="2" t="s">
        <v>34</v>
      </c>
      <c r="I9306" s="2" t="s">
        <v>27457</v>
      </c>
      <c r="J9306" s="2" t="s">
        <v>3197</v>
      </c>
      <c r="K9306" s="2" t="s">
        <v>53</v>
      </c>
      <c r="L9306" s="2" t="s">
        <v>34</v>
      </c>
      <c r="M9306" s="2"/>
      <c r="N9306" s="2"/>
      <c r="O9306" s="2"/>
      <c r="P9306" s="2" t="s">
        <v>27458</v>
      </c>
      <c r="Q9306" s="6">
        <v>88.38</v>
      </c>
      <c r="R9306" s="6">
        <v>4.8499999999999996</v>
      </c>
      <c r="S9306" s="5">
        <v>-76.7</v>
      </c>
      <c r="T9306" s="7">
        <v>2.9489999999999998</v>
      </c>
      <c r="U9306" s="5">
        <v>1.1000000000000001</v>
      </c>
      <c r="V9306" s="6">
        <v>-2.42</v>
      </c>
      <c r="W9306" s="6">
        <v>1.77</v>
      </c>
      <c r="X9306" s="6">
        <v>2.0099999999999998</v>
      </c>
      <c r="Y9306" s="4">
        <v>3</v>
      </c>
      <c r="Z9306" s="6">
        <v>3.11</v>
      </c>
      <c r="AA9306" s="6">
        <v>31.58</v>
      </c>
      <c r="AB9306" s="2" t="s">
        <v>86</v>
      </c>
      <c r="AC9306" s="2"/>
    </row>
    <row r="9307" spans="1:29" ht="78" x14ac:dyDescent="0.15">
      <c r="A9307" s="3">
        <f>DATE(2009,4,6)</f>
        <v>39909</v>
      </c>
      <c r="B9307" s="2"/>
      <c r="C9307" s="2" t="s">
        <v>87</v>
      </c>
      <c r="D9307" s="2" t="s">
        <v>6778</v>
      </c>
      <c r="E9307" s="2" t="s">
        <v>6779</v>
      </c>
      <c r="F9307" s="4">
        <v>3724</v>
      </c>
      <c r="G9307" s="2" t="s">
        <v>219</v>
      </c>
      <c r="H9307" s="2" t="s">
        <v>34</v>
      </c>
      <c r="I9307" s="2" t="s">
        <v>143</v>
      </c>
      <c r="J9307" s="2" t="s">
        <v>144</v>
      </c>
      <c r="K9307" s="2" t="s">
        <v>53</v>
      </c>
      <c r="L9307" s="2" t="s">
        <v>139</v>
      </c>
      <c r="M9307" s="2"/>
      <c r="N9307" s="2"/>
      <c r="O9307" s="2"/>
      <c r="P9307" s="2" t="s">
        <v>27459</v>
      </c>
      <c r="Q9307" s="2"/>
      <c r="R9307" s="2"/>
      <c r="S9307" s="5">
        <v>218</v>
      </c>
      <c r="T9307" s="8">
        <v>1692</v>
      </c>
      <c r="U9307" s="5">
        <v>10.1</v>
      </c>
      <c r="V9307" s="6">
        <v>0.66</v>
      </c>
      <c r="W9307" s="6">
        <v>5.53</v>
      </c>
      <c r="X9307" s="6">
        <v>7.42</v>
      </c>
      <c r="Y9307" s="6">
        <v>8.26</v>
      </c>
      <c r="Z9307" s="6">
        <v>9.02</v>
      </c>
      <c r="AA9307" s="6">
        <v>242.95</v>
      </c>
      <c r="AB9307" s="2" t="s">
        <v>47</v>
      </c>
      <c r="AC9307" s="2"/>
    </row>
    <row r="9308" spans="1:29" ht="156" x14ac:dyDescent="0.15">
      <c r="A9308" s="3">
        <f>DATE(2009,4,8)</f>
        <v>39911</v>
      </c>
      <c r="B9308" s="3">
        <f>DATE(2009,8,18)</f>
        <v>40043</v>
      </c>
      <c r="C9308" s="2" t="s">
        <v>95</v>
      </c>
      <c r="D9308" s="2" t="s">
        <v>8967</v>
      </c>
      <c r="E9308" s="2" t="s">
        <v>2692</v>
      </c>
      <c r="F9308" s="4">
        <v>1531</v>
      </c>
      <c r="G9308" s="2" t="s">
        <v>341</v>
      </c>
      <c r="H9308" s="2" t="s">
        <v>34</v>
      </c>
      <c r="I9308" s="2" t="s">
        <v>18762</v>
      </c>
      <c r="J9308" s="2" t="s">
        <v>18763</v>
      </c>
      <c r="K9308" s="2" t="s">
        <v>341</v>
      </c>
      <c r="L9308" s="2" t="s">
        <v>34</v>
      </c>
      <c r="M9308" s="12">
        <v>2376.386</v>
      </c>
      <c r="N9308" s="6">
        <v>9.64</v>
      </c>
      <c r="O9308" s="6">
        <v>10.11</v>
      </c>
      <c r="P9308" s="2" t="s">
        <v>27460</v>
      </c>
      <c r="Q9308" s="6">
        <v>100</v>
      </c>
      <c r="R9308" s="6">
        <v>10.5</v>
      </c>
      <c r="S9308" s="8">
        <v>-1440.2</v>
      </c>
      <c r="T9308" s="7">
        <v>-317.31799999999998</v>
      </c>
      <c r="U9308" s="5">
        <v>7.4</v>
      </c>
      <c r="V9308" s="6">
        <v>-11.58</v>
      </c>
      <c r="W9308" s="6">
        <v>7.72</v>
      </c>
      <c r="X9308" s="6">
        <v>7.62</v>
      </c>
      <c r="Y9308" s="6">
        <v>9.06</v>
      </c>
      <c r="Z9308" s="6">
        <v>9.48</v>
      </c>
      <c r="AA9308" s="6">
        <v>124.35</v>
      </c>
      <c r="AB9308" s="2" t="s">
        <v>86</v>
      </c>
      <c r="AC9308" s="8">
        <v>1873.7</v>
      </c>
    </row>
    <row r="9309" spans="1:29" ht="104" x14ac:dyDescent="0.15">
      <c r="A9309" s="3">
        <f>DATE(2009,4,13)</f>
        <v>39916</v>
      </c>
      <c r="B9309" s="3">
        <f>DATE(2009,7,28)</f>
        <v>40022</v>
      </c>
      <c r="C9309" s="2" t="s">
        <v>95</v>
      </c>
      <c r="D9309" s="2" t="s">
        <v>27461</v>
      </c>
      <c r="E9309" s="2" t="s">
        <v>21338</v>
      </c>
      <c r="F9309" s="4">
        <v>7372</v>
      </c>
      <c r="G9309" s="2" t="s">
        <v>551</v>
      </c>
      <c r="H9309" s="2" t="s">
        <v>34</v>
      </c>
      <c r="I9309" s="2" t="s">
        <v>27462</v>
      </c>
      <c r="J9309" s="2" t="s">
        <v>244</v>
      </c>
      <c r="K9309" s="2" t="s">
        <v>53</v>
      </c>
      <c r="L9309" s="2" t="s">
        <v>34</v>
      </c>
      <c r="M9309" s="2"/>
      <c r="N9309" s="2"/>
      <c r="O9309" s="2"/>
      <c r="P9309" s="2" t="s">
        <v>27463</v>
      </c>
      <c r="Q9309" s="6">
        <v>83.28</v>
      </c>
      <c r="R9309" s="6">
        <v>2</v>
      </c>
      <c r="S9309" s="5">
        <v>1.9</v>
      </c>
      <c r="T9309" s="7">
        <v>7.1909999999999998</v>
      </c>
      <c r="U9309" s="5">
        <v>1</v>
      </c>
      <c r="V9309" s="6">
        <v>0.03</v>
      </c>
      <c r="W9309" s="6">
        <v>1.59</v>
      </c>
      <c r="X9309" s="6">
        <v>1.67</v>
      </c>
      <c r="Y9309" s="5">
        <v>1.8</v>
      </c>
      <c r="Z9309" s="5">
        <v>1.8</v>
      </c>
      <c r="AA9309" s="6">
        <v>61.56</v>
      </c>
      <c r="AB9309" s="7">
        <v>29.302</v>
      </c>
      <c r="AC9309" s="2"/>
    </row>
    <row r="9310" spans="1:29" ht="52" x14ac:dyDescent="0.15">
      <c r="A9310" s="3">
        <f t="shared" ref="A9310:A9315" si="173">DATE(2009,4,20)</f>
        <v>39923</v>
      </c>
      <c r="B9310" s="2"/>
      <c r="C9310" s="2" t="s">
        <v>39</v>
      </c>
      <c r="D9310" s="2" t="s">
        <v>27464</v>
      </c>
      <c r="E9310" s="2" t="s">
        <v>6292</v>
      </c>
      <c r="F9310" s="4">
        <v>2834</v>
      </c>
      <c r="G9310" s="2" t="s">
        <v>130</v>
      </c>
      <c r="H9310" s="2" t="s">
        <v>34</v>
      </c>
      <c r="I9310" s="2" t="s">
        <v>21448</v>
      </c>
      <c r="J9310" s="2" t="s">
        <v>5670</v>
      </c>
      <c r="K9310" s="2" t="s">
        <v>130</v>
      </c>
      <c r="L9310" s="2" t="s">
        <v>34</v>
      </c>
      <c r="M9310" s="12">
        <v>39169.951000000001</v>
      </c>
      <c r="N9310" s="6">
        <v>32.99</v>
      </c>
      <c r="O9310" s="6">
        <v>33.340000000000003</v>
      </c>
      <c r="P9310" s="2" t="s">
        <v>27465</v>
      </c>
      <c r="Q9310" s="2"/>
      <c r="R9310" s="2"/>
      <c r="S9310" s="5">
        <v>-293.60000000000002</v>
      </c>
      <c r="T9310" s="7">
        <v>-183.071</v>
      </c>
      <c r="U9310" s="5">
        <v>3.6</v>
      </c>
      <c r="V9310" s="6">
        <v>-2.14</v>
      </c>
      <c r="W9310" s="6">
        <v>9.7899999999999991</v>
      </c>
      <c r="X9310" s="6">
        <v>10.18</v>
      </c>
      <c r="Y9310" s="5">
        <v>10.199999999999999</v>
      </c>
      <c r="Z9310" s="5">
        <v>10.8</v>
      </c>
      <c r="AA9310" s="6">
        <v>138.07</v>
      </c>
      <c r="AB9310" s="2" t="s">
        <v>86</v>
      </c>
      <c r="AC9310" s="8">
        <v>3508.3</v>
      </c>
    </row>
    <row r="9311" spans="1:29" ht="130" x14ac:dyDescent="0.15">
      <c r="A9311" s="3">
        <f t="shared" si="173"/>
        <v>39923</v>
      </c>
      <c r="B9311" s="3">
        <f>DATE(2009,10,29)</f>
        <v>40115</v>
      </c>
      <c r="C9311" s="2" t="s">
        <v>95</v>
      </c>
      <c r="D9311" s="2" t="s">
        <v>27466</v>
      </c>
      <c r="E9311" s="2" t="s">
        <v>27467</v>
      </c>
      <c r="F9311" s="4">
        <v>4911</v>
      </c>
      <c r="G9311" s="2" t="s">
        <v>439</v>
      </c>
      <c r="H9311" s="2" t="s">
        <v>34</v>
      </c>
      <c r="I9311" s="2" t="s">
        <v>27468</v>
      </c>
      <c r="J9311" s="2" t="s">
        <v>27469</v>
      </c>
      <c r="K9311" s="2" t="s">
        <v>439</v>
      </c>
      <c r="L9311" s="2" t="s">
        <v>34</v>
      </c>
      <c r="M9311" s="7">
        <v>206.97399999999999</v>
      </c>
      <c r="N9311" s="6">
        <v>28.31</v>
      </c>
      <c r="O9311" s="6">
        <v>29.21</v>
      </c>
      <c r="P9311" s="2" t="s">
        <v>27470</v>
      </c>
      <c r="Q9311" s="6">
        <v>100</v>
      </c>
      <c r="R9311" s="6">
        <v>12.01</v>
      </c>
      <c r="S9311" s="5">
        <v>2.2999999999999998</v>
      </c>
      <c r="T9311" s="7">
        <v>16.126999999999999</v>
      </c>
      <c r="U9311" s="5">
        <v>8.1</v>
      </c>
      <c r="V9311" s="6">
        <v>0.37</v>
      </c>
      <c r="W9311" s="5">
        <v>9.8000000000000007</v>
      </c>
      <c r="X9311" s="5">
        <v>10.4</v>
      </c>
      <c r="Y9311" s="5">
        <v>11.4</v>
      </c>
      <c r="Z9311" s="6">
        <v>11.84</v>
      </c>
      <c r="AA9311" s="6">
        <v>6.12</v>
      </c>
      <c r="AB9311" s="7">
        <v>17.408000000000001</v>
      </c>
      <c r="AC9311" s="6">
        <v>3.28</v>
      </c>
    </row>
    <row r="9312" spans="1:29" ht="104" x14ac:dyDescent="0.15">
      <c r="A9312" s="3">
        <f t="shared" si="173"/>
        <v>39923</v>
      </c>
      <c r="B9312" s="2"/>
      <c r="C9312" s="2" t="s">
        <v>30</v>
      </c>
      <c r="D9312" s="2" t="s">
        <v>27471</v>
      </c>
      <c r="E9312" s="2" t="s">
        <v>7424</v>
      </c>
      <c r="F9312" s="4">
        <v>2221</v>
      </c>
      <c r="G9312" s="2" t="s">
        <v>708</v>
      </c>
      <c r="H9312" s="2" t="s">
        <v>34</v>
      </c>
      <c r="I9312" s="2" t="s">
        <v>27472</v>
      </c>
      <c r="J9312" s="2" t="s">
        <v>4060</v>
      </c>
      <c r="K9312" s="2" t="s">
        <v>53</v>
      </c>
      <c r="L9312" s="2" t="s">
        <v>25873</v>
      </c>
      <c r="M9312" s="2"/>
      <c r="N9312" s="2"/>
      <c r="O9312" s="2"/>
      <c r="P9312" s="2" t="s">
        <v>27473</v>
      </c>
      <c r="Q9312" s="2"/>
      <c r="R9312" s="6">
        <v>12</v>
      </c>
      <c r="S9312" s="5">
        <v>2.8</v>
      </c>
      <c r="T9312" s="7">
        <v>16.635999999999999</v>
      </c>
      <c r="U9312" s="5">
        <v>27</v>
      </c>
      <c r="V9312" s="6">
        <v>1.82</v>
      </c>
      <c r="W9312" s="6">
        <v>10.74</v>
      </c>
      <c r="X9312" s="6">
        <v>10.85</v>
      </c>
      <c r="Y9312" s="6">
        <v>10.61</v>
      </c>
      <c r="Z9312" s="6">
        <v>11.91</v>
      </c>
      <c r="AA9312" s="6">
        <v>1.53</v>
      </c>
      <c r="AB9312" s="7">
        <v>1.4710000000000001</v>
      </c>
      <c r="AC9312" s="2"/>
    </row>
    <row r="9313" spans="1:29" ht="208" x14ac:dyDescent="0.15">
      <c r="A9313" s="3">
        <f t="shared" si="173"/>
        <v>39923</v>
      </c>
      <c r="B9313" s="3">
        <f>DATE(2010,2,26)</f>
        <v>40235</v>
      </c>
      <c r="C9313" s="2" t="s">
        <v>95</v>
      </c>
      <c r="D9313" s="2" t="s">
        <v>27474</v>
      </c>
      <c r="E9313" s="2" t="s">
        <v>27475</v>
      </c>
      <c r="F9313" s="4">
        <v>2086</v>
      </c>
      <c r="G9313" s="2" t="s">
        <v>577</v>
      </c>
      <c r="H9313" s="2" t="s">
        <v>34</v>
      </c>
      <c r="I9313" s="2" t="s">
        <v>8719</v>
      </c>
      <c r="J9313" s="2" t="s">
        <v>8720</v>
      </c>
      <c r="K9313" s="2" t="s">
        <v>577</v>
      </c>
      <c r="L9313" s="2" t="s">
        <v>34</v>
      </c>
      <c r="M9313" s="12">
        <v>80351.343999999997</v>
      </c>
      <c r="N9313" s="6">
        <v>49.86</v>
      </c>
      <c r="O9313" s="6">
        <v>49.35</v>
      </c>
      <c r="P9313" s="2" t="s">
        <v>27476</v>
      </c>
      <c r="Q9313" s="6">
        <v>70.77</v>
      </c>
      <c r="R9313" s="6">
        <v>36.5</v>
      </c>
      <c r="S9313" s="5">
        <v>228</v>
      </c>
      <c r="T9313" s="8">
        <v>1809</v>
      </c>
      <c r="U9313" s="5">
        <v>7.9</v>
      </c>
      <c r="V9313" s="6">
        <v>1.0900000000000001</v>
      </c>
      <c r="W9313" s="6">
        <v>24.59</v>
      </c>
      <c r="X9313" s="5">
        <v>25.2</v>
      </c>
      <c r="Y9313" s="6">
        <v>30.73</v>
      </c>
      <c r="Z9313" s="6">
        <v>30.16</v>
      </c>
      <c r="AA9313" s="6">
        <v>211.58</v>
      </c>
      <c r="AB9313" s="7">
        <v>11.651999999999999</v>
      </c>
      <c r="AC9313" s="8">
        <v>2424</v>
      </c>
    </row>
    <row r="9314" spans="1:29" ht="208" x14ac:dyDescent="0.15">
      <c r="A9314" s="3">
        <f t="shared" si="173"/>
        <v>39923</v>
      </c>
      <c r="B9314" s="3">
        <f>DATE(2010,2,26)</f>
        <v>40235</v>
      </c>
      <c r="C9314" s="2" t="s">
        <v>95</v>
      </c>
      <c r="D9314" s="2" t="s">
        <v>27477</v>
      </c>
      <c r="E9314" s="2" t="s">
        <v>27478</v>
      </c>
      <c r="F9314" s="4">
        <v>2086</v>
      </c>
      <c r="G9314" s="2" t="s">
        <v>577</v>
      </c>
      <c r="H9314" s="2" t="s">
        <v>34</v>
      </c>
      <c r="I9314" s="2" t="s">
        <v>8719</v>
      </c>
      <c r="J9314" s="2" t="s">
        <v>8720</v>
      </c>
      <c r="K9314" s="2" t="s">
        <v>577</v>
      </c>
      <c r="L9314" s="2" t="s">
        <v>34</v>
      </c>
      <c r="M9314" s="12">
        <v>80351.343999999997</v>
      </c>
      <c r="N9314" s="6">
        <v>49.86</v>
      </c>
      <c r="O9314" s="6">
        <v>49.35</v>
      </c>
      <c r="P9314" s="2" t="s">
        <v>27479</v>
      </c>
      <c r="Q9314" s="6">
        <v>57.55</v>
      </c>
      <c r="R9314" s="6">
        <v>28.5</v>
      </c>
      <c r="S9314" s="5">
        <v>194</v>
      </c>
      <c r="T9314" s="5">
        <v>687.8</v>
      </c>
      <c r="U9314" s="5">
        <v>13.4</v>
      </c>
      <c r="V9314" s="6">
        <v>1.62</v>
      </c>
      <c r="W9314" s="6">
        <v>19.71</v>
      </c>
      <c r="X9314" s="6">
        <v>19.88</v>
      </c>
      <c r="Y9314" s="6">
        <v>25.04</v>
      </c>
      <c r="Z9314" s="6">
        <v>24.54</v>
      </c>
      <c r="AA9314" s="6">
        <v>125.52</v>
      </c>
      <c r="AB9314" s="7">
        <v>11.6</v>
      </c>
      <c r="AC9314" s="8">
        <v>2424</v>
      </c>
    </row>
    <row r="9315" spans="1:29" ht="78" x14ac:dyDescent="0.15">
      <c r="A9315" s="3">
        <f t="shared" si="173"/>
        <v>39923</v>
      </c>
      <c r="B9315" s="3">
        <f>DATE(2010,1,27)</f>
        <v>40205</v>
      </c>
      <c r="C9315" s="2" t="s">
        <v>95</v>
      </c>
      <c r="D9315" s="2" t="s">
        <v>7432</v>
      </c>
      <c r="E9315" s="2" t="s">
        <v>7433</v>
      </c>
      <c r="F9315" s="4">
        <v>3571</v>
      </c>
      <c r="G9315" s="2" t="s">
        <v>50</v>
      </c>
      <c r="H9315" s="2" t="s">
        <v>34</v>
      </c>
      <c r="I9315" s="2" t="s">
        <v>8588</v>
      </c>
      <c r="J9315" s="2" t="s">
        <v>8589</v>
      </c>
      <c r="K9315" s="2" t="s">
        <v>551</v>
      </c>
      <c r="L9315" s="2" t="s">
        <v>34</v>
      </c>
      <c r="M9315" s="12">
        <v>90947.305999999997</v>
      </c>
      <c r="N9315" s="6">
        <v>18.82</v>
      </c>
      <c r="O9315" s="6">
        <v>19.53</v>
      </c>
      <c r="P9315" s="2" t="s">
        <v>27480</v>
      </c>
      <c r="Q9315" s="6">
        <v>100</v>
      </c>
      <c r="R9315" s="6">
        <v>9.5</v>
      </c>
      <c r="S9315" s="8">
        <v>-1999</v>
      </c>
      <c r="T9315" s="5">
        <v>687</v>
      </c>
      <c r="U9315" s="2"/>
      <c r="V9315" s="6">
        <v>-2.69</v>
      </c>
      <c r="W9315" s="6">
        <v>6.42</v>
      </c>
      <c r="X9315" s="6">
        <v>6.69</v>
      </c>
      <c r="Y9315" s="6">
        <v>9.15</v>
      </c>
      <c r="Z9315" s="6">
        <v>9.2100000000000009</v>
      </c>
      <c r="AA9315" s="6">
        <v>744.71</v>
      </c>
      <c r="AB9315" s="2" t="s">
        <v>86</v>
      </c>
      <c r="AC9315" s="8">
        <v>11294</v>
      </c>
    </row>
    <row r="9316" spans="1:29" ht="104" x14ac:dyDescent="0.15">
      <c r="A9316" s="3">
        <f>DATE(2009,4,21)</f>
        <v>39924</v>
      </c>
      <c r="B9316" s="2"/>
      <c r="C9316" s="2" t="s">
        <v>30</v>
      </c>
      <c r="D9316" s="2" t="s">
        <v>21291</v>
      </c>
      <c r="E9316" s="2" t="s">
        <v>21292</v>
      </c>
      <c r="F9316" s="4">
        <v>3572</v>
      </c>
      <c r="G9316" s="2" t="s">
        <v>50</v>
      </c>
      <c r="H9316" s="2" t="s">
        <v>34</v>
      </c>
      <c r="I9316" s="2" t="s">
        <v>27481</v>
      </c>
      <c r="J9316" s="2" t="s">
        <v>4865</v>
      </c>
      <c r="K9316" s="2" t="s">
        <v>137</v>
      </c>
      <c r="L9316" s="2" t="s">
        <v>34</v>
      </c>
      <c r="M9316" s="10">
        <v>10063.620000000001</v>
      </c>
      <c r="N9316" s="6">
        <v>20.52</v>
      </c>
      <c r="O9316" s="6">
        <v>22.61</v>
      </c>
      <c r="P9316" s="2" t="s">
        <v>27482</v>
      </c>
      <c r="Q9316" s="2"/>
      <c r="R9316" s="6">
        <v>11</v>
      </c>
      <c r="S9316" s="5">
        <v>7.5</v>
      </c>
      <c r="T9316" s="7">
        <v>51.356000000000002</v>
      </c>
      <c r="U9316" s="5">
        <v>7</v>
      </c>
      <c r="V9316" s="6">
        <v>0.09</v>
      </c>
      <c r="W9316" s="6">
        <v>6.89</v>
      </c>
      <c r="X9316" s="6">
        <v>6.61</v>
      </c>
      <c r="Y9316" s="5">
        <v>9.6999999999999993</v>
      </c>
      <c r="Z9316" s="6">
        <v>10.130000000000001</v>
      </c>
      <c r="AA9316" s="6">
        <v>82.55</v>
      </c>
      <c r="AB9316" s="7">
        <v>123.48</v>
      </c>
      <c r="AC9316" s="10">
        <v>1961.81</v>
      </c>
    </row>
    <row r="9317" spans="1:29" ht="39" x14ac:dyDescent="0.15">
      <c r="A9317" s="3">
        <f>DATE(2009,4,24)</f>
        <v>39927</v>
      </c>
      <c r="B9317" s="3">
        <f>DATE(2009,6,15)</f>
        <v>39979</v>
      </c>
      <c r="C9317" s="2" t="s">
        <v>95</v>
      </c>
      <c r="D9317" s="2" t="s">
        <v>27483</v>
      </c>
      <c r="E9317" s="2" t="s">
        <v>24835</v>
      </c>
      <c r="F9317" s="4">
        <v>6726</v>
      </c>
      <c r="G9317" s="2" t="s">
        <v>53</v>
      </c>
      <c r="H9317" s="2" t="s">
        <v>34</v>
      </c>
      <c r="I9317" s="2" t="s">
        <v>27484</v>
      </c>
      <c r="J9317" s="2" t="s">
        <v>24835</v>
      </c>
      <c r="K9317" s="2" t="s">
        <v>53</v>
      </c>
      <c r="L9317" s="2" t="s">
        <v>34</v>
      </c>
      <c r="M9317" s="7">
        <v>219.68700000000001</v>
      </c>
      <c r="N9317" s="6">
        <v>4.8499999999999996</v>
      </c>
      <c r="O9317" s="6">
        <v>4.84</v>
      </c>
      <c r="P9317" s="2" t="s">
        <v>27485</v>
      </c>
      <c r="Q9317" s="6">
        <v>100</v>
      </c>
      <c r="R9317" s="2"/>
      <c r="S9317" s="2"/>
      <c r="T9317" s="2"/>
      <c r="U9317" s="2"/>
      <c r="V9317" s="2"/>
      <c r="W9317" s="6">
        <v>2.02</v>
      </c>
      <c r="X9317" s="6">
        <v>2.0499999999999998</v>
      </c>
      <c r="Y9317" s="6">
        <v>2.0699999999999998</v>
      </c>
      <c r="Z9317" s="6">
        <v>2.0499999999999998</v>
      </c>
      <c r="AA9317" s="6">
        <v>17.72</v>
      </c>
      <c r="AB9317" s="2" t="s">
        <v>47</v>
      </c>
      <c r="AC9317" s="2"/>
    </row>
    <row r="9318" spans="1:29" ht="182" x14ac:dyDescent="0.15">
      <c r="A9318" s="3">
        <f>DATE(2009,4,27)</f>
        <v>39930</v>
      </c>
      <c r="B9318" s="3">
        <f>DATE(2009,9,29)</f>
        <v>40085</v>
      </c>
      <c r="C9318" s="2" t="s">
        <v>95</v>
      </c>
      <c r="D9318" s="2" t="s">
        <v>27486</v>
      </c>
      <c r="E9318" s="2" t="s">
        <v>1435</v>
      </c>
      <c r="F9318" s="4">
        <v>1311</v>
      </c>
      <c r="G9318" s="2" t="s">
        <v>148</v>
      </c>
      <c r="H9318" s="2" t="s">
        <v>34</v>
      </c>
      <c r="I9318" s="2" t="s">
        <v>27487</v>
      </c>
      <c r="J9318" s="2" t="s">
        <v>1435</v>
      </c>
      <c r="K9318" s="2" t="s">
        <v>148</v>
      </c>
      <c r="L9318" s="2" t="s">
        <v>34</v>
      </c>
      <c r="M9318" s="7">
        <v>357.58699999999999</v>
      </c>
      <c r="N9318" s="4">
        <v>13</v>
      </c>
      <c r="O9318" s="6">
        <v>13.49</v>
      </c>
      <c r="P9318" s="2" t="s">
        <v>27488</v>
      </c>
      <c r="Q9318" s="6">
        <v>52</v>
      </c>
      <c r="R9318" s="6">
        <v>14.4</v>
      </c>
      <c r="S9318" s="5">
        <v>131.19999999999999</v>
      </c>
      <c r="T9318" s="7">
        <v>287.93400000000003</v>
      </c>
      <c r="U9318" s="5">
        <v>17.399999999999999</v>
      </c>
      <c r="V9318" s="6">
        <v>2.06</v>
      </c>
      <c r="W9318" s="6">
        <v>13.39</v>
      </c>
      <c r="X9318" s="6">
        <v>14.35</v>
      </c>
      <c r="Y9318" s="6">
        <v>14.81</v>
      </c>
      <c r="Z9318" s="6">
        <v>15.33</v>
      </c>
      <c r="AA9318" s="6">
        <v>63.38</v>
      </c>
      <c r="AB9318" s="7">
        <v>9.1910000000000007</v>
      </c>
      <c r="AC9318" s="6">
        <v>87.4</v>
      </c>
    </row>
    <row r="9319" spans="1:29" ht="208" x14ac:dyDescent="0.15">
      <c r="A9319" s="3">
        <f>DATE(2009,4,29)</f>
        <v>39932</v>
      </c>
      <c r="B9319" s="2"/>
      <c r="C9319" s="2" t="s">
        <v>30</v>
      </c>
      <c r="D9319" s="2" t="s">
        <v>27489</v>
      </c>
      <c r="E9319" s="2" t="s">
        <v>159</v>
      </c>
      <c r="F9319" s="4">
        <v>6021</v>
      </c>
      <c r="G9319" s="2" t="s">
        <v>37</v>
      </c>
      <c r="H9319" s="2" t="s">
        <v>34</v>
      </c>
      <c r="I9319" s="2" t="s">
        <v>22561</v>
      </c>
      <c r="J9319" s="2" t="s">
        <v>1304</v>
      </c>
      <c r="K9319" s="2" t="s">
        <v>33</v>
      </c>
      <c r="L9319" s="2" t="s">
        <v>34</v>
      </c>
      <c r="M9319" s="6">
        <v>285.27999999999997</v>
      </c>
      <c r="N9319" s="6">
        <v>23.45</v>
      </c>
      <c r="O9319" s="6">
        <v>22.56</v>
      </c>
      <c r="P9319" s="2" t="s">
        <v>27490</v>
      </c>
      <c r="Q9319" s="2"/>
      <c r="R9319" s="6">
        <v>9.23</v>
      </c>
      <c r="S9319" s="5">
        <v>5.5</v>
      </c>
      <c r="T9319" s="7">
        <v>8.5190000000000001</v>
      </c>
      <c r="U9319" s="5">
        <v>7.2</v>
      </c>
      <c r="V9319" s="6">
        <v>0.63</v>
      </c>
      <c r="W9319" s="6">
        <v>3.05</v>
      </c>
      <c r="X9319" s="6">
        <v>2.95</v>
      </c>
      <c r="Y9319" s="6">
        <v>3.04</v>
      </c>
      <c r="Z9319" s="4">
        <v>8</v>
      </c>
      <c r="AA9319" s="6">
        <v>2.2799999999999998</v>
      </c>
      <c r="AB9319" s="7">
        <v>154.024</v>
      </c>
      <c r="AC9319" s="2"/>
    </row>
    <row r="9320" spans="1:29" ht="182" x14ac:dyDescent="0.15">
      <c r="A9320" s="3">
        <f>DATE(2009,4,29)</f>
        <v>39932</v>
      </c>
      <c r="B9320" s="3">
        <f>DATE(2009,10,26)</f>
        <v>40112</v>
      </c>
      <c r="C9320" s="2" t="s">
        <v>95</v>
      </c>
      <c r="D9320" s="2" t="s">
        <v>27491</v>
      </c>
      <c r="E9320" s="2" t="s">
        <v>27492</v>
      </c>
      <c r="F9320" s="4">
        <v>5171</v>
      </c>
      <c r="G9320" s="2" t="s">
        <v>593</v>
      </c>
      <c r="H9320" s="2" t="s">
        <v>34</v>
      </c>
      <c r="I9320" s="2" t="s">
        <v>21528</v>
      </c>
      <c r="J9320" s="2" t="s">
        <v>4880</v>
      </c>
      <c r="K9320" s="2" t="s">
        <v>439</v>
      </c>
      <c r="L9320" s="2" t="s">
        <v>34</v>
      </c>
      <c r="M9320" s="12">
        <v>9970.7749999999996</v>
      </c>
      <c r="N9320" s="6">
        <v>24.24</v>
      </c>
      <c r="O9320" s="6">
        <v>23.59</v>
      </c>
      <c r="P9320" s="2" t="s">
        <v>27493</v>
      </c>
      <c r="Q9320" s="6">
        <v>100</v>
      </c>
      <c r="R9320" s="6">
        <v>31.36</v>
      </c>
      <c r="S9320" s="5">
        <v>205.1</v>
      </c>
      <c r="T9320" s="2"/>
      <c r="U9320" s="5">
        <v>16.2</v>
      </c>
      <c r="V9320" s="6">
        <v>1.71</v>
      </c>
      <c r="W9320" s="5">
        <v>25.7</v>
      </c>
      <c r="X9320" s="5">
        <v>26.1</v>
      </c>
      <c r="Y9320" s="6">
        <v>27.74</v>
      </c>
      <c r="Z9320" s="6">
        <v>27.23</v>
      </c>
      <c r="AA9320" s="6">
        <v>104.7</v>
      </c>
      <c r="AB9320" s="2" t="s">
        <v>47</v>
      </c>
      <c r="AC9320" s="5">
        <v>286</v>
      </c>
    </row>
    <row r="9321" spans="1:29" ht="65" x14ac:dyDescent="0.15">
      <c r="A9321" s="3">
        <f>DATE(2009,5,6)</f>
        <v>39939</v>
      </c>
      <c r="B9321" s="2"/>
      <c r="C9321" s="2" t="s">
        <v>7330</v>
      </c>
      <c r="D9321" s="2" t="s">
        <v>23496</v>
      </c>
      <c r="E9321" s="2" t="s">
        <v>1608</v>
      </c>
      <c r="F9321" s="4">
        <v>1311</v>
      </c>
      <c r="G9321" s="2" t="s">
        <v>148</v>
      </c>
      <c r="H9321" s="2" t="s">
        <v>34</v>
      </c>
      <c r="I9321" s="2" t="s">
        <v>1619</v>
      </c>
      <c r="J9321" s="2" t="s">
        <v>1620</v>
      </c>
      <c r="K9321" s="2" t="s">
        <v>53</v>
      </c>
      <c r="L9321" s="2" t="s">
        <v>34</v>
      </c>
      <c r="M9321" s="2"/>
      <c r="N9321" s="2"/>
      <c r="O9321" s="2"/>
      <c r="P9321" s="2" t="s">
        <v>27494</v>
      </c>
      <c r="Q9321" s="2"/>
      <c r="R9321" s="2"/>
      <c r="S9321" s="5">
        <v>-453.6</v>
      </c>
      <c r="T9321" s="7">
        <v>-21.263000000000002</v>
      </c>
      <c r="U9321" s="5">
        <v>71.3</v>
      </c>
      <c r="V9321" s="9">
        <v>-46.2879</v>
      </c>
      <c r="W9321" s="6">
        <v>3.07</v>
      </c>
      <c r="X9321" s="6">
        <v>3.13</v>
      </c>
      <c r="Y9321" s="7">
        <v>2.508</v>
      </c>
      <c r="Z9321" s="6">
        <v>2.27</v>
      </c>
      <c r="AA9321" s="6">
        <v>102.81</v>
      </c>
      <c r="AB9321" s="2" t="s">
        <v>86</v>
      </c>
      <c r="AC9321" s="2"/>
    </row>
    <row r="9322" spans="1:29" ht="117" x14ac:dyDescent="0.15">
      <c r="A9322" s="3">
        <f>DATE(2009,5,6)</f>
        <v>39939</v>
      </c>
      <c r="B9322" s="3">
        <f>DATE(2009,7,21)</f>
        <v>40015</v>
      </c>
      <c r="C9322" s="2" t="s">
        <v>95</v>
      </c>
      <c r="D9322" s="2" t="s">
        <v>16925</v>
      </c>
      <c r="E9322" s="2" t="s">
        <v>16926</v>
      </c>
      <c r="F9322" s="4">
        <v>7372</v>
      </c>
      <c r="G9322" s="2" t="s">
        <v>551</v>
      </c>
      <c r="H9322" s="2" t="s">
        <v>34</v>
      </c>
      <c r="I9322" s="2" t="s">
        <v>27044</v>
      </c>
      <c r="J9322" s="2" t="s">
        <v>27045</v>
      </c>
      <c r="K9322" s="2" t="s">
        <v>551</v>
      </c>
      <c r="L9322" s="2" t="s">
        <v>902</v>
      </c>
      <c r="M9322" s="12">
        <v>1764.1990000000001</v>
      </c>
      <c r="N9322" s="7">
        <v>31.094000000000001</v>
      </c>
      <c r="O9322" s="6">
        <v>31.37</v>
      </c>
      <c r="P9322" s="2" t="s">
        <v>27495</v>
      </c>
      <c r="Q9322" s="6">
        <v>100</v>
      </c>
      <c r="R9322" s="6">
        <v>12.7</v>
      </c>
      <c r="S9322" s="5">
        <v>-7.2</v>
      </c>
      <c r="T9322" s="7">
        <v>4.6639999999999997</v>
      </c>
      <c r="U9322" s="5">
        <v>11.1</v>
      </c>
      <c r="V9322" s="6">
        <v>-0.32</v>
      </c>
      <c r="W9322" s="6">
        <v>7.95</v>
      </c>
      <c r="X9322" s="6">
        <v>9.02</v>
      </c>
      <c r="Y9322" s="6">
        <v>12.11</v>
      </c>
      <c r="Z9322" s="6">
        <v>12.24</v>
      </c>
      <c r="AA9322" s="6">
        <v>23.82</v>
      </c>
      <c r="AB9322" s="2" t="s">
        <v>86</v>
      </c>
      <c r="AC9322" s="5">
        <v>236.9</v>
      </c>
    </row>
    <row r="9323" spans="1:29" ht="65" x14ac:dyDescent="0.15">
      <c r="A9323" s="3">
        <f>DATE(2009,5,7)</f>
        <v>39940</v>
      </c>
      <c r="B9323" s="3">
        <f>DATE(2009,7,30)</f>
        <v>40024</v>
      </c>
      <c r="C9323" s="2" t="s">
        <v>95</v>
      </c>
      <c r="D9323" s="2" t="s">
        <v>27496</v>
      </c>
      <c r="E9323" s="2" t="s">
        <v>3812</v>
      </c>
      <c r="F9323" s="4">
        <v>2834</v>
      </c>
      <c r="G9323" s="2" t="s">
        <v>130</v>
      </c>
      <c r="H9323" s="2" t="s">
        <v>34</v>
      </c>
      <c r="I9323" s="2" t="s">
        <v>27497</v>
      </c>
      <c r="J9323" s="2" t="s">
        <v>27498</v>
      </c>
      <c r="K9323" s="2" t="s">
        <v>130</v>
      </c>
      <c r="L9323" s="2" t="s">
        <v>5907</v>
      </c>
      <c r="M9323" s="2"/>
      <c r="N9323" s="2"/>
      <c r="O9323" s="2"/>
      <c r="P9323" s="2" t="s">
        <v>27499</v>
      </c>
      <c r="Q9323" s="6">
        <v>95.25</v>
      </c>
      <c r="R9323" s="6">
        <v>5.5</v>
      </c>
      <c r="S9323" s="5">
        <v>26.1</v>
      </c>
      <c r="T9323" s="7">
        <v>33.981999999999999</v>
      </c>
      <c r="U9323" s="5">
        <v>3</v>
      </c>
      <c r="V9323" s="6">
        <v>3.98</v>
      </c>
      <c r="W9323" s="5">
        <v>5.7</v>
      </c>
      <c r="X9323" s="5">
        <v>7.5</v>
      </c>
      <c r="Y9323" s="6">
        <v>7.25</v>
      </c>
      <c r="Z9323" s="7">
        <v>7.2839999999999998</v>
      </c>
      <c r="AA9323" s="6">
        <v>12.5</v>
      </c>
      <c r="AB9323" s="7">
        <v>1.7270000000000001</v>
      </c>
      <c r="AC9323" s="2"/>
    </row>
    <row r="9324" spans="1:29" ht="117" x14ac:dyDescent="0.15">
      <c r="A9324" s="3">
        <f>DATE(2009,5,7)</f>
        <v>39940</v>
      </c>
      <c r="B9324" s="3">
        <f>DATE(2009,9,15)</f>
        <v>40071</v>
      </c>
      <c r="C9324" s="2" t="s">
        <v>95</v>
      </c>
      <c r="D9324" s="2" t="s">
        <v>27500</v>
      </c>
      <c r="E9324" s="2" t="s">
        <v>27501</v>
      </c>
      <c r="F9324" s="4">
        <v>2621</v>
      </c>
      <c r="G9324" s="2" t="s">
        <v>282</v>
      </c>
      <c r="H9324" s="2" t="s">
        <v>34</v>
      </c>
      <c r="I9324" s="2" t="s">
        <v>24416</v>
      </c>
      <c r="J9324" s="2" t="s">
        <v>24417</v>
      </c>
      <c r="K9324" s="2" t="s">
        <v>186</v>
      </c>
      <c r="L9324" s="2" t="s">
        <v>34</v>
      </c>
      <c r="M9324" s="7">
        <v>166.00299999999999</v>
      </c>
      <c r="N9324" s="6">
        <v>4.9400000000000004</v>
      </c>
      <c r="O9324" s="6">
        <v>5.01</v>
      </c>
      <c r="P9324" s="2" t="s">
        <v>27502</v>
      </c>
      <c r="Q9324" s="6">
        <v>100</v>
      </c>
      <c r="R9324" s="6">
        <v>6.88</v>
      </c>
      <c r="S9324" s="5">
        <v>-19.7</v>
      </c>
      <c r="T9324" s="7">
        <v>2.4220000000000002</v>
      </c>
      <c r="U9324" s="5">
        <v>3.9</v>
      </c>
      <c r="V9324" s="6">
        <v>-3.64</v>
      </c>
      <c r="W9324" s="6">
        <v>1.56</v>
      </c>
      <c r="X9324" s="6">
        <v>2.52</v>
      </c>
      <c r="Y9324" s="5">
        <v>6.5</v>
      </c>
      <c r="Z9324" s="6">
        <v>6.47</v>
      </c>
      <c r="AA9324" s="6">
        <v>5.6</v>
      </c>
      <c r="AB9324" s="2" t="s">
        <v>86</v>
      </c>
      <c r="AC9324" s="6">
        <v>10.210000000000001</v>
      </c>
    </row>
    <row r="9325" spans="1:29" ht="91" x14ac:dyDescent="0.15">
      <c r="A9325" s="3">
        <f>DATE(2009,5,8)</f>
        <v>39941</v>
      </c>
      <c r="B9325" s="3">
        <f>DATE(2009,6,17)</f>
        <v>39981</v>
      </c>
      <c r="C9325" s="2" t="s">
        <v>95</v>
      </c>
      <c r="D9325" s="2" t="s">
        <v>27503</v>
      </c>
      <c r="E9325" s="2" t="s">
        <v>13817</v>
      </c>
      <c r="F9325" s="4">
        <v>3845</v>
      </c>
      <c r="G9325" s="2" t="s">
        <v>226</v>
      </c>
      <c r="H9325" s="2" t="s">
        <v>34</v>
      </c>
      <c r="I9325" s="2" t="s">
        <v>27504</v>
      </c>
      <c r="J9325" s="2" t="s">
        <v>27505</v>
      </c>
      <c r="K9325" s="2" t="s">
        <v>226</v>
      </c>
      <c r="L9325" s="2" t="s">
        <v>1791</v>
      </c>
      <c r="M9325" s="2"/>
      <c r="N9325" s="2"/>
      <c r="O9325" s="2"/>
      <c r="P9325" s="2" t="s">
        <v>27506</v>
      </c>
      <c r="Q9325" s="6">
        <v>100</v>
      </c>
      <c r="R9325" s="6">
        <v>29</v>
      </c>
      <c r="S9325" s="5">
        <v>15.8</v>
      </c>
      <c r="T9325" s="7">
        <v>18.155999999999999</v>
      </c>
      <c r="U9325" s="5">
        <v>6</v>
      </c>
      <c r="V9325" s="6">
        <v>0.99</v>
      </c>
      <c r="W9325" s="6">
        <v>21.46</v>
      </c>
      <c r="X9325" s="6">
        <v>21.32</v>
      </c>
      <c r="Y9325" s="6">
        <v>28.76</v>
      </c>
      <c r="Z9325" s="6">
        <v>28.75</v>
      </c>
      <c r="AA9325" s="6">
        <v>16.16</v>
      </c>
      <c r="AB9325" s="7">
        <v>25.137</v>
      </c>
      <c r="AC9325" s="8">
        <v>1300</v>
      </c>
    </row>
    <row r="9326" spans="1:29" ht="65" x14ac:dyDescent="0.15">
      <c r="A9326" s="3">
        <f>DATE(2009,5,11)</f>
        <v>39944</v>
      </c>
      <c r="B9326" s="3">
        <f>DATE(2009,6,24)</f>
        <v>39988</v>
      </c>
      <c r="C9326" s="2" t="s">
        <v>95</v>
      </c>
      <c r="D9326" s="2" t="s">
        <v>27507</v>
      </c>
      <c r="E9326" s="2" t="s">
        <v>10368</v>
      </c>
      <c r="F9326" s="4">
        <v>7372</v>
      </c>
      <c r="G9326" s="2" t="s">
        <v>551</v>
      </c>
      <c r="H9326" s="2" t="s">
        <v>34</v>
      </c>
      <c r="I9326" s="2" t="s">
        <v>27508</v>
      </c>
      <c r="J9326" s="2" t="s">
        <v>27509</v>
      </c>
      <c r="K9326" s="2" t="s">
        <v>226</v>
      </c>
      <c r="L9326" s="2" t="s">
        <v>34</v>
      </c>
      <c r="M9326" s="7">
        <v>360.077</v>
      </c>
      <c r="N9326" s="6">
        <v>5.47</v>
      </c>
      <c r="O9326" s="6">
        <v>5.54</v>
      </c>
      <c r="P9326" s="2" t="s">
        <v>27510</v>
      </c>
      <c r="Q9326" s="6">
        <v>100</v>
      </c>
      <c r="R9326" s="6">
        <v>9.25</v>
      </c>
      <c r="S9326" s="5">
        <v>-0.4</v>
      </c>
      <c r="T9326" s="7">
        <v>1.3620000000000001</v>
      </c>
      <c r="U9326" s="5">
        <v>8.4</v>
      </c>
      <c r="V9326" s="6">
        <v>-0.03</v>
      </c>
      <c r="W9326" s="6">
        <v>7.47</v>
      </c>
      <c r="X9326" s="6">
        <v>8.4499999999999993</v>
      </c>
      <c r="Y9326" s="6">
        <v>8.11</v>
      </c>
      <c r="Z9326" s="6">
        <v>9.19</v>
      </c>
      <c r="AA9326" s="6">
        <v>11.39</v>
      </c>
      <c r="AB9326" s="7">
        <v>105.30200000000001</v>
      </c>
      <c r="AC9326" s="6">
        <v>199.94</v>
      </c>
    </row>
    <row r="9327" spans="1:29" ht="130" x14ac:dyDescent="0.15">
      <c r="A9327" s="3">
        <f>DATE(2009,5,11)</f>
        <v>39944</v>
      </c>
      <c r="B9327" s="3">
        <f>DATE(2009,11,10)</f>
        <v>40127</v>
      </c>
      <c r="C9327" s="2" t="s">
        <v>95</v>
      </c>
      <c r="D9327" s="2" t="s">
        <v>19546</v>
      </c>
      <c r="E9327" s="2" t="s">
        <v>6519</v>
      </c>
      <c r="F9327" s="4">
        <v>4813</v>
      </c>
      <c r="G9327" s="2" t="s">
        <v>63</v>
      </c>
      <c r="H9327" s="2" t="s">
        <v>34</v>
      </c>
      <c r="I9327" s="2" t="s">
        <v>25639</v>
      </c>
      <c r="J9327" s="2" t="s">
        <v>973</v>
      </c>
      <c r="K9327" s="2" t="s">
        <v>63</v>
      </c>
      <c r="L9327" s="2" t="s">
        <v>34</v>
      </c>
      <c r="M9327" s="10">
        <v>3646.89</v>
      </c>
      <c r="N9327" s="6">
        <v>8.7100000000000009</v>
      </c>
      <c r="O9327" s="6">
        <v>8.61</v>
      </c>
      <c r="P9327" s="2" t="s">
        <v>27511</v>
      </c>
      <c r="Q9327" s="6">
        <v>100</v>
      </c>
      <c r="R9327" s="6">
        <v>10.88</v>
      </c>
      <c r="S9327" s="5">
        <v>-12</v>
      </c>
      <c r="T9327" s="7">
        <v>64.185000000000002</v>
      </c>
      <c r="U9327" s="5">
        <v>11</v>
      </c>
      <c r="V9327" s="6">
        <v>-0.82</v>
      </c>
      <c r="W9327" s="6">
        <v>5.63</v>
      </c>
      <c r="X9327" s="6">
        <v>6.75</v>
      </c>
      <c r="Y9327" s="6">
        <v>10.25</v>
      </c>
      <c r="Z9327" s="6">
        <v>10.25</v>
      </c>
      <c r="AA9327" s="6">
        <v>14.42</v>
      </c>
      <c r="AB9327" s="7">
        <v>9.2249999999999996</v>
      </c>
      <c r="AC9327" s="5">
        <v>312.2</v>
      </c>
    </row>
    <row r="9328" spans="1:29" ht="65" x14ac:dyDescent="0.15">
      <c r="A9328" s="3">
        <f>DATE(2009,5,11)</f>
        <v>39944</v>
      </c>
      <c r="B9328" s="2"/>
      <c r="C9328" s="2" t="s">
        <v>87</v>
      </c>
      <c r="D9328" s="2" t="s">
        <v>3836</v>
      </c>
      <c r="E9328" s="2" t="s">
        <v>417</v>
      </c>
      <c r="F9328" s="4">
        <v>2711</v>
      </c>
      <c r="G9328" s="2" t="s">
        <v>186</v>
      </c>
      <c r="H9328" s="2" t="s">
        <v>34</v>
      </c>
      <c r="I9328" s="2" t="s">
        <v>26597</v>
      </c>
      <c r="J9328" s="2" t="s">
        <v>12371</v>
      </c>
      <c r="K9328" s="2" t="s">
        <v>223</v>
      </c>
      <c r="L9328" s="2" t="s">
        <v>34</v>
      </c>
      <c r="M9328" s="12">
        <v>91157.406000000003</v>
      </c>
      <c r="N9328" s="6">
        <v>407.98</v>
      </c>
      <c r="O9328" s="6">
        <v>399.01</v>
      </c>
      <c r="P9328" s="2" t="s">
        <v>27512</v>
      </c>
      <c r="Q9328" s="2"/>
      <c r="R9328" s="2"/>
      <c r="S9328" s="5">
        <v>-140.9</v>
      </c>
      <c r="T9328" s="7">
        <v>296.51799999999997</v>
      </c>
      <c r="U9328" s="5">
        <v>3.1</v>
      </c>
      <c r="V9328" s="6">
        <v>-0.97</v>
      </c>
      <c r="W9328" s="6">
        <v>5.97</v>
      </c>
      <c r="X9328" s="6">
        <v>6.48</v>
      </c>
      <c r="Y9328" s="6">
        <v>6.81</v>
      </c>
      <c r="Z9328" s="6">
        <v>6.99</v>
      </c>
      <c r="AA9328" s="6">
        <v>143.13999999999999</v>
      </c>
      <c r="AB9328" s="2" t="s">
        <v>47</v>
      </c>
      <c r="AC9328" s="10">
        <v>17785.080000000002</v>
      </c>
    </row>
    <row r="9329" spans="1:29" ht="195" x14ac:dyDescent="0.15">
      <c r="A9329" s="3">
        <f>DATE(2009,5,12)</f>
        <v>39945</v>
      </c>
      <c r="B9329" s="3">
        <f>DATE(2009,7,31)</f>
        <v>40025</v>
      </c>
      <c r="C9329" s="2" t="s">
        <v>95</v>
      </c>
      <c r="D9329" s="2" t="s">
        <v>27513</v>
      </c>
      <c r="E9329" s="2" t="s">
        <v>27514</v>
      </c>
      <c r="F9329" s="4">
        <v>1221</v>
      </c>
      <c r="G9329" s="2" t="s">
        <v>166</v>
      </c>
      <c r="H9329" s="2" t="s">
        <v>34</v>
      </c>
      <c r="I9329" s="2" t="s">
        <v>26921</v>
      </c>
      <c r="J9329" s="2" t="s">
        <v>11539</v>
      </c>
      <c r="K9329" s="2" t="s">
        <v>166</v>
      </c>
      <c r="L9329" s="2" t="s">
        <v>34</v>
      </c>
      <c r="M9329" s="10">
        <v>1359.95</v>
      </c>
      <c r="N9329" s="6">
        <v>27.06</v>
      </c>
      <c r="O9329" s="6">
        <v>25.23</v>
      </c>
      <c r="P9329" s="2" t="s">
        <v>27515</v>
      </c>
      <c r="Q9329" s="6">
        <v>100</v>
      </c>
      <c r="R9329" s="6">
        <v>31.28</v>
      </c>
      <c r="S9329" s="5">
        <v>181</v>
      </c>
      <c r="T9329" s="7">
        <v>470.154</v>
      </c>
      <c r="U9329" s="5">
        <v>11.7</v>
      </c>
      <c r="V9329" s="6">
        <v>1.78</v>
      </c>
      <c r="W9329" s="5">
        <v>21.1</v>
      </c>
      <c r="X9329" s="6">
        <v>23.24</v>
      </c>
      <c r="Y9329" s="6">
        <v>28.06</v>
      </c>
      <c r="Z9329" s="6">
        <v>26.32</v>
      </c>
      <c r="AA9329" s="6">
        <v>44.69</v>
      </c>
      <c r="AB9329" s="7">
        <v>6.6820000000000004</v>
      </c>
      <c r="AC9329" s="6">
        <v>692.69</v>
      </c>
    </row>
    <row r="9330" spans="1:29" ht="195" x14ac:dyDescent="0.15">
      <c r="A9330" s="3">
        <f>DATE(2009,5,13)</f>
        <v>39946</v>
      </c>
      <c r="B9330" s="3">
        <f>DATE(2009,11,30)</f>
        <v>40147</v>
      </c>
      <c r="C9330" s="2" t="s">
        <v>95</v>
      </c>
      <c r="D9330" s="2" t="s">
        <v>27489</v>
      </c>
      <c r="E9330" s="2" t="s">
        <v>159</v>
      </c>
      <c r="F9330" s="4">
        <v>6021</v>
      </c>
      <c r="G9330" s="2" t="s">
        <v>37</v>
      </c>
      <c r="H9330" s="2" t="s">
        <v>34</v>
      </c>
      <c r="I9330" s="2" t="s">
        <v>27516</v>
      </c>
      <c r="J9330" s="2" t="s">
        <v>36</v>
      </c>
      <c r="K9330" s="2" t="s">
        <v>37</v>
      </c>
      <c r="L9330" s="2" t="s">
        <v>34</v>
      </c>
      <c r="M9330" s="7">
        <v>230.91300000000001</v>
      </c>
      <c r="N9330" s="6">
        <v>12.41</v>
      </c>
      <c r="O9330" s="6">
        <v>13.19</v>
      </c>
      <c r="P9330" s="2" t="s">
        <v>27517</v>
      </c>
      <c r="Q9330" s="6">
        <v>100</v>
      </c>
      <c r="R9330" s="6">
        <v>10.75</v>
      </c>
      <c r="S9330" s="5">
        <v>5.5</v>
      </c>
      <c r="T9330" s="7">
        <v>8.5190000000000001</v>
      </c>
      <c r="U9330" s="5">
        <v>7.2</v>
      </c>
      <c r="V9330" s="6">
        <v>0.63</v>
      </c>
      <c r="W9330" s="5">
        <v>8.1</v>
      </c>
      <c r="X9330" s="6">
        <v>7.99</v>
      </c>
      <c r="Y9330" s="4">
        <v>9</v>
      </c>
      <c r="Z9330" s="5">
        <v>9.3000000000000007</v>
      </c>
      <c r="AA9330" s="6">
        <v>2.2799999999999998</v>
      </c>
      <c r="AB9330" s="7">
        <v>155.976</v>
      </c>
      <c r="AC9330" s="2"/>
    </row>
    <row r="9331" spans="1:29" ht="65" x14ac:dyDescent="0.15">
      <c r="A9331" s="3">
        <f>DATE(2009,5,14)</f>
        <v>39947</v>
      </c>
      <c r="B9331" s="2"/>
      <c r="C9331" s="2" t="s">
        <v>7330</v>
      </c>
      <c r="D9331" s="2" t="s">
        <v>27518</v>
      </c>
      <c r="E9331" s="2" t="s">
        <v>27519</v>
      </c>
      <c r="F9331" s="4">
        <v>2869</v>
      </c>
      <c r="G9331" s="2" t="s">
        <v>98</v>
      </c>
      <c r="H9331" s="2" t="s">
        <v>34</v>
      </c>
      <c r="I9331" s="2" t="s">
        <v>27520</v>
      </c>
      <c r="J9331" s="2" t="s">
        <v>1072</v>
      </c>
      <c r="K9331" s="2" t="s">
        <v>7998</v>
      </c>
      <c r="L9331" s="2" t="s">
        <v>34</v>
      </c>
      <c r="M9331" s="2"/>
      <c r="N9331" s="2"/>
      <c r="O9331" s="2"/>
      <c r="P9331" s="2" t="s">
        <v>27521</v>
      </c>
      <c r="Q9331" s="2"/>
      <c r="R9331" s="2"/>
      <c r="S9331" s="5">
        <v>-17.100000000000001</v>
      </c>
      <c r="T9331" s="6">
        <v>-15.65</v>
      </c>
      <c r="U9331" s="5">
        <v>-0.2</v>
      </c>
      <c r="V9331" s="6">
        <v>-0.17</v>
      </c>
      <c r="W9331" s="4">
        <v>8</v>
      </c>
      <c r="X9331" s="4">
        <v>8</v>
      </c>
      <c r="Y9331" s="4">
        <v>8</v>
      </c>
      <c r="Z9331" s="4">
        <v>8</v>
      </c>
      <c r="AA9331" s="6">
        <v>104.43</v>
      </c>
      <c r="AB9331" s="2" t="s">
        <v>86</v>
      </c>
      <c r="AC9331" s="2"/>
    </row>
    <row r="9332" spans="1:29" ht="65" x14ac:dyDescent="0.15">
      <c r="A9332" s="3">
        <f>DATE(2009,5,17)</f>
        <v>39950</v>
      </c>
      <c r="B9332" s="2"/>
      <c r="C9332" s="2" t="s">
        <v>87</v>
      </c>
      <c r="D9332" s="2" t="s">
        <v>27522</v>
      </c>
      <c r="E9332" s="2" t="s">
        <v>27523</v>
      </c>
      <c r="F9332" s="4">
        <v>5651</v>
      </c>
      <c r="G9332" s="2" t="s">
        <v>756</v>
      </c>
      <c r="H9332" s="2" t="s">
        <v>34</v>
      </c>
      <c r="I9332" s="2" t="s">
        <v>27524</v>
      </c>
      <c r="J9332" s="2" t="s">
        <v>27525</v>
      </c>
      <c r="K9332" s="2" t="s">
        <v>756</v>
      </c>
      <c r="L9332" s="2" t="s">
        <v>99</v>
      </c>
      <c r="M9332" s="12">
        <v>11130.945</v>
      </c>
      <c r="N9332" s="7">
        <v>107.77500000000001</v>
      </c>
      <c r="O9332" s="7">
        <v>107.77500000000001</v>
      </c>
      <c r="P9332" s="2" t="s">
        <v>27526</v>
      </c>
      <c r="Q9332" s="2"/>
      <c r="R9332" s="2"/>
      <c r="S9332" s="5">
        <v>933</v>
      </c>
      <c r="T9332" s="8">
        <v>2095</v>
      </c>
      <c r="U9332" s="5">
        <v>6.5</v>
      </c>
      <c r="V9332" s="6">
        <v>1.31</v>
      </c>
      <c r="W9332" s="6">
        <v>16.55</v>
      </c>
      <c r="X9332" s="6">
        <v>15.16</v>
      </c>
      <c r="Y9332" s="6">
        <v>15.85</v>
      </c>
      <c r="Z9332" s="6">
        <v>15.85</v>
      </c>
      <c r="AA9332" s="6">
        <v>695.72</v>
      </c>
      <c r="AB9332" s="2" t="s">
        <v>47</v>
      </c>
      <c r="AC9332" s="10">
        <v>2303.2199999999998</v>
      </c>
    </row>
    <row r="9333" spans="1:29" ht="117" x14ac:dyDescent="0.15">
      <c r="A9333" s="3">
        <f>DATE(2009,5,18)</f>
        <v>39951</v>
      </c>
      <c r="B9333" s="3">
        <f>DATE(2009,6,22)</f>
        <v>39986</v>
      </c>
      <c r="C9333" s="2" t="s">
        <v>95</v>
      </c>
      <c r="D9333" s="2" t="s">
        <v>27527</v>
      </c>
      <c r="E9333" s="2" t="s">
        <v>2384</v>
      </c>
      <c r="F9333" s="4">
        <v>2836</v>
      </c>
      <c r="G9333" s="2" t="s">
        <v>130</v>
      </c>
      <c r="H9333" s="2" t="s">
        <v>34</v>
      </c>
      <c r="I9333" s="2" t="s">
        <v>27528</v>
      </c>
      <c r="J9333" s="2" t="s">
        <v>1072</v>
      </c>
      <c r="K9333" s="2" t="s">
        <v>53</v>
      </c>
      <c r="L9333" s="2" t="s">
        <v>34</v>
      </c>
      <c r="M9333" s="2"/>
      <c r="N9333" s="2"/>
      <c r="O9333" s="2"/>
      <c r="P9333" s="2" t="s">
        <v>27529</v>
      </c>
      <c r="Q9333" s="6">
        <v>86.41</v>
      </c>
      <c r="R9333" s="6">
        <v>2.64</v>
      </c>
      <c r="S9333" s="2"/>
      <c r="T9333" s="2"/>
      <c r="U9333" s="2"/>
      <c r="V9333" s="2"/>
      <c r="W9333" s="6">
        <v>1.68</v>
      </c>
      <c r="X9333" s="5">
        <v>1.7</v>
      </c>
      <c r="Y9333" s="6">
        <v>2.62</v>
      </c>
      <c r="Z9333" s="6">
        <v>2.61</v>
      </c>
      <c r="AA9333" s="6">
        <v>25.28</v>
      </c>
      <c r="AB9333" s="2" t="s">
        <v>47</v>
      </c>
      <c r="AC9333" s="2"/>
    </row>
    <row r="9334" spans="1:29" ht="104" x14ac:dyDescent="0.15">
      <c r="A9334" s="3">
        <f>DATE(2009,5,18)</f>
        <v>39951</v>
      </c>
      <c r="B9334" s="2"/>
      <c r="C9334" s="2" t="s">
        <v>30</v>
      </c>
      <c r="D9334" s="2" t="s">
        <v>27530</v>
      </c>
      <c r="E9334" s="2" t="s">
        <v>4601</v>
      </c>
      <c r="F9334" s="4">
        <v>5812</v>
      </c>
      <c r="G9334" s="2" t="s">
        <v>230</v>
      </c>
      <c r="H9334" s="2" t="s">
        <v>34</v>
      </c>
      <c r="I9334" s="2" t="s">
        <v>27335</v>
      </c>
      <c r="J9334" s="2" t="s">
        <v>244</v>
      </c>
      <c r="K9334" s="2" t="s">
        <v>53</v>
      </c>
      <c r="L9334" s="2" t="s">
        <v>34</v>
      </c>
      <c r="M9334" s="2"/>
      <c r="N9334" s="2"/>
      <c r="O9334" s="2"/>
      <c r="P9334" s="2" t="s">
        <v>27531</v>
      </c>
      <c r="Q9334" s="2"/>
      <c r="R9334" s="6">
        <v>4.5999999999999996</v>
      </c>
      <c r="S9334" s="5">
        <v>-10.9</v>
      </c>
      <c r="T9334" s="7">
        <v>2.794</v>
      </c>
      <c r="U9334" s="5">
        <v>5.3</v>
      </c>
      <c r="V9334" s="6">
        <v>-1.65</v>
      </c>
      <c r="W9334" s="6">
        <v>2.41</v>
      </c>
      <c r="X9334" s="7">
        <v>2.2890000000000001</v>
      </c>
      <c r="Y9334" s="7">
        <v>3.9279999999999999</v>
      </c>
      <c r="Z9334" s="6">
        <v>4.2300000000000004</v>
      </c>
      <c r="AA9334" s="6">
        <v>6.52</v>
      </c>
      <c r="AB9334" s="2" t="s">
        <v>86</v>
      </c>
      <c r="AC9334" s="2"/>
    </row>
    <row r="9335" spans="1:29" ht="65" x14ac:dyDescent="0.15">
      <c r="A9335" s="3">
        <f>DATE(2009,5,19)</f>
        <v>39952</v>
      </c>
      <c r="B9335" s="2"/>
      <c r="C9335" s="2" t="s">
        <v>189</v>
      </c>
      <c r="D9335" s="2" t="s">
        <v>21630</v>
      </c>
      <c r="E9335" s="2" t="s">
        <v>36</v>
      </c>
      <c r="F9335" s="4">
        <v>6021</v>
      </c>
      <c r="G9335" s="2" t="s">
        <v>37</v>
      </c>
      <c r="H9335" s="2" t="s">
        <v>34</v>
      </c>
      <c r="I9335" s="2" t="s">
        <v>143</v>
      </c>
      <c r="J9335" s="2" t="s">
        <v>144</v>
      </c>
      <c r="K9335" s="2" t="s">
        <v>53</v>
      </c>
      <c r="L9335" s="2" t="s">
        <v>139</v>
      </c>
      <c r="M9335" s="2"/>
      <c r="N9335" s="2"/>
      <c r="O9335" s="2"/>
      <c r="P9335" s="2" t="s">
        <v>27532</v>
      </c>
      <c r="Q9335" s="2"/>
      <c r="R9335" s="2"/>
      <c r="S9335" s="8">
        <v>-5855.4</v>
      </c>
      <c r="T9335" s="12">
        <v>1035.732</v>
      </c>
      <c r="U9335" s="5">
        <v>19.399999999999999</v>
      </c>
      <c r="V9335" s="6">
        <v>-8.52</v>
      </c>
      <c r="W9335" s="6">
        <v>5.35</v>
      </c>
      <c r="X9335" s="6">
        <v>5.43</v>
      </c>
      <c r="Y9335" s="6">
        <v>5.24</v>
      </c>
      <c r="Z9335" s="6">
        <v>4.8899999999999997</v>
      </c>
      <c r="AA9335" s="2"/>
      <c r="AB9335" s="2" t="s">
        <v>47</v>
      </c>
      <c r="AC9335" s="2"/>
    </row>
    <row r="9336" spans="1:29" ht="117" x14ac:dyDescent="0.15">
      <c r="A9336" s="3">
        <f>DATE(2009,5,20)</f>
        <v>39953</v>
      </c>
      <c r="B9336" s="3">
        <f>DATE(2009,6,27)</f>
        <v>39991</v>
      </c>
      <c r="C9336" s="2" t="s">
        <v>95</v>
      </c>
      <c r="D9336" s="2" t="s">
        <v>26407</v>
      </c>
      <c r="E9336" s="2" t="s">
        <v>26408</v>
      </c>
      <c r="F9336" s="4">
        <v>1389</v>
      </c>
      <c r="G9336" s="2" t="s">
        <v>148</v>
      </c>
      <c r="H9336" s="2" t="s">
        <v>34</v>
      </c>
      <c r="I9336" s="2" t="s">
        <v>27533</v>
      </c>
      <c r="J9336" s="2" t="s">
        <v>244</v>
      </c>
      <c r="K9336" s="2" t="s">
        <v>53</v>
      </c>
      <c r="L9336" s="2" t="s">
        <v>34</v>
      </c>
      <c r="M9336" s="2"/>
      <c r="N9336" s="2"/>
      <c r="O9336" s="2"/>
      <c r="P9336" s="2" t="s">
        <v>27534</v>
      </c>
      <c r="Q9336" s="6">
        <v>28.5</v>
      </c>
      <c r="R9336" s="6">
        <v>2.5</v>
      </c>
      <c r="S9336" s="5">
        <v>-50.1</v>
      </c>
      <c r="T9336" s="7">
        <v>158.88900000000001</v>
      </c>
      <c r="U9336" s="5">
        <v>10.3</v>
      </c>
      <c r="V9336" s="9">
        <v>-1.4200999999999999</v>
      </c>
      <c r="W9336" s="6">
        <v>3.09</v>
      </c>
      <c r="X9336" s="6">
        <v>3.64</v>
      </c>
      <c r="Y9336" s="6">
        <v>3.65</v>
      </c>
      <c r="Z9336" s="5">
        <v>2.9</v>
      </c>
      <c r="AA9336" s="6">
        <v>49.89</v>
      </c>
      <c r="AB9336" s="7">
        <v>7.8479999999999999</v>
      </c>
      <c r="AC9336" s="2"/>
    </row>
    <row r="9337" spans="1:29" ht="195" x14ac:dyDescent="0.15">
      <c r="A9337" s="3">
        <f>DATE(2009,5,20)</f>
        <v>39953</v>
      </c>
      <c r="B9337" s="2"/>
      <c r="C9337" s="2" t="s">
        <v>30</v>
      </c>
      <c r="D9337" s="2" t="s">
        <v>27535</v>
      </c>
      <c r="E9337" s="2" t="s">
        <v>27536</v>
      </c>
      <c r="F9337" s="4">
        <v>3572</v>
      </c>
      <c r="G9337" s="2" t="s">
        <v>50</v>
      </c>
      <c r="H9337" s="2" t="s">
        <v>34</v>
      </c>
      <c r="I9337" s="2" t="s">
        <v>27537</v>
      </c>
      <c r="J9337" s="2" t="s">
        <v>27538</v>
      </c>
      <c r="K9337" s="2" t="s">
        <v>50</v>
      </c>
      <c r="L9337" s="2" t="s">
        <v>34</v>
      </c>
      <c r="M9337" s="12">
        <v>6231.2039999999997</v>
      </c>
      <c r="N9337" s="6">
        <v>17.34</v>
      </c>
      <c r="O9337" s="6">
        <v>17.88</v>
      </c>
      <c r="P9337" s="2" t="s">
        <v>27539</v>
      </c>
      <c r="Q9337" s="2"/>
      <c r="R9337" s="6">
        <v>30</v>
      </c>
      <c r="S9337" s="5">
        <v>20.100000000000001</v>
      </c>
      <c r="T9337" s="6">
        <v>25.57</v>
      </c>
      <c r="U9337" s="5">
        <v>4.7</v>
      </c>
      <c r="V9337" s="6">
        <v>0.31</v>
      </c>
      <c r="W9337" s="6">
        <v>16.920000000000002</v>
      </c>
      <c r="X9337" s="6">
        <v>17.43</v>
      </c>
      <c r="Y9337" s="6">
        <v>17.91</v>
      </c>
      <c r="Z9337" s="4">
        <v>24</v>
      </c>
      <c r="AA9337" s="6">
        <v>61.28</v>
      </c>
      <c r="AB9337" s="7">
        <v>105.092</v>
      </c>
      <c r="AC9337" s="10">
        <v>2604.21</v>
      </c>
    </row>
    <row r="9338" spans="1:29" ht="78" x14ac:dyDescent="0.15">
      <c r="A9338" s="3">
        <f>DATE(2009,5,21)</f>
        <v>39954</v>
      </c>
      <c r="B9338" s="3">
        <f>DATE(2009,7,9)</f>
        <v>40003</v>
      </c>
      <c r="C9338" s="2" t="s">
        <v>95</v>
      </c>
      <c r="D9338" s="2" t="s">
        <v>27540</v>
      </c>
      <c r="E9338" s="2" t="s">
        <v>6711</v>
      </c>
      <c r="F9338" s="4">
        <v>2836</v>
      </c>
      <c r="G9338" s="2" t="s">
        <v>130</v>
      </c>
      <c r="H9338" s="2" t="s">
        <v>34</v>
      </c>
      <c r="I9338" s="2" t="s">
        <v>5669</v>
      </c>
      <c r="J9338" s="2" t="s">
        <v>5670</v>
      </c>
      <c r="K9338" s="2" t="s">
        <v>130</v>
      </c>
      <c r="L9338" s="2" t="s">
        <v>34</v>
      </c>
      <c r="M9338" s="10">
        <v>141636.07999999999</v>
      </c>
      <c r="N9338" s="6">
        <v>54.99</v>
      </c>
      <c r="O9338" s="6">
        <v>54.77</v>
      </c>
      <c r="P9338" s="2" t="s">
        <v>27541</v>
      </c>
      <c r="Q9338" s="6">
        <v>100</v>
      </c>
      <c r="R9338" s="6">
        <v>43</v>
      </c>
      <c r="S9338" s="5">
        <v>-76.7</v>
      </c>
      <c r="T9338" s="7">
        <v>-78.635000000000005</v>
      </c>
      <c r="U9338" s="5">
        <v>2.9</v>
      </c>
      <c r="V9338" s="6">
        <v>-3.71</v>
      </c>
      <c r="W9338" s="6">
        <v>35.01</v>
      </c>
      <c r="X9338" s="6">
        <v>36.36</v>
      </c>
      <c r="Y9338" s="6">
        <v>36.979999999999997</v>
      </c>
      <c r="Z9338" s="6">
        <v>42.82</v>
      </c>
      <c r="AA9338" s="6">
        <v>20.78</v>
      </c>
      <c r="AB9338" s="2" t="s">
        <v>86</v>
      </c>
      <c r="AC9338" s="8">
        <v>13933</v>
      </c>
    </row>
    <row r="9339" spans="1:29" ht="130" x14ac:dyDescent="0.15">
      <c r="A9339" s="3">
        <f>DATE(2009,5,27)</f>
        <v>39960</v>
      </c>
      <c r="B9339" s="2"/>
      <c r="C9339" s="2" t="s">
        <v>30</v>
      </c>
      <c r="D9339" s="2" t="s">
        <v>27542</v>
      </c>
      <c r="E9339" s="2" t="s">
        <v>36</v>
      </c>
      <c r="F9339" s="4">
        <v>6021</v>
      </c>
      <c r="G9339" s="2" t="s">
        <v>37</v>
      </c>
      <c r="H9339" s="2" t="s">
        <v>34</v>
      </c>
      <c r="I9339" s="2" t="s">
        <v>27543</v>
      </c>
      <c r="J9339" s="2" t="s">
        <v>22484</v>
      </c>
      <c r="K9339" s="2" t="s">
        <v>33</v>
      </c>
      <c r="L9339" s="2" t="s">
        <v>34</v>
      </c>
      <c r="M9339" s="7">
        <v>152.26900000000001</v>
      </c>
      <c r="N9339" s="5">
        <v>12.6</v>
      </c>
      <c r="O9339" s="6">
        <v>12.33</v>
      </c>
      <c r="P9339" s="2" t="s">
        <v>27544</v>
      </c>
      <c r="Q9339" s="2"/>
      <c r="R9339" s="6">
        <v>7.12</v>
      </c>
      <c r="S9339" s="5">
        <v>2.6</v>
      </c>
      <c r="T9339" s="7">
        <v>3.7229999999999999</v>
      </c>
      <c r="U9339" s="5">
        <v>7.8</v>
      </c>
      <c r="V9339" s="6">
        <v>0.26</v>
      </c>
      <c r="W9339" s="7">
        <v>5.1550000000000002</v>
      </c>
      <c r="X9339" s="5">
        <v>5.0999999999999996</v>
      </c>
      <c r="Y9339" s="6">
        <v>6.25</v>
      </c>
      <c r="Z9339" s="6">
        <v>6.15</v>
      </c>
      <c r="AA9339" s="6">
        <v>9.09</v>
      </c>
      <c r="AB9339" s="7">
        <v>46.756</v>
      </c>
      <c r="AC9339" s="2"/>
    </row>
    <row r="9340" spans="1:29" ht="130" x14ac:dyDescent="0.15">
      <c r="A9340" s="3">
        <f>DATE(2009,5,28)</f>
        <v>39961</v>
      </c>
      <c r="B9340" s="3">
        <f>DATE(2009,9,9)</f>
        <v>40065</v>
      </c>
      <c r="C9340" s="2" t="s">
        <v>95</v>
      </c>
      <c r="D9340" s="2" t="s">
        <v>27545</v>
      </c>
      <c r="E9340" s="2" t="s">
        <v>6519</v>
      </c>
      <c r="F9340" s="4">
        <v>4813</v>
      </c>
      <c r="G9340" s="2" t="s">
        <v>63</v>
      </c>
      <c r="H9340" s="2" t="s">
        <v>34</v>
      </c>
      <c r="I9340" s="2" t="s">
        <v>27546</v>
      </c>
      <c r="J9340" s="2" t="s">
        <v>27547</v>
      </c>
      <c r="K9340" s="2" t="s">
        <v>63</v>
      </c>
      <c r="L9340" s="2" t="s">
        <v>34</v>
      </c>
      <c r="M9340" s="2"/>
      <c r="N9340" s="2"/>
      <c r="O9340" s="2"/>
      <c r="P9340" s="2" t="s">
        <v>27548</v>
      </c>
      <c r="Q9340" s="6">
        <v>99.41</v>
      </c>
      <c r="R9340" s="6">
        <v>11.45</v>
      </c>
      <c r="S9340" s="5">
        <v>-1.3</v>
      </c>
      <c r="T9340" s="7">
        <v>10.532999999999999</v>
      </c>
      <c r="U9340" s="5">
        <v>4.9000000000000004</v>
      </c>
      <c r="V9340" s="6">
        <v>-0.17</v>
      </c>
      <c r="W9340" s="6">
        <v>10.38</v>
      </c>
      <c r="X9340" s="6">
        <v>9.94</v>
      </c>
      <c r="Y9340" s="6">
        <v>9.91</v>
      </c>
      <c r="Z9340" s="5">
        <v>11.2</v>
      </c>
      <c r="AA9340" s="6">
        <v>7.8</v>
      </c>
      <c r="AB9340" s="7">
        <v>317.40499999999997</v>
      </c>
      <c r="AC9340" s="2"/>
    </row>
    <row r="9341" spans="1:29" ht="65" x14ac:dyDescent="0.15">
      <c r="A9341" s="3">
        <f>DATE(2009,5,29)</f>
        <v>39962</v>
      </c>
      <c r="B9341" s="3">
        <f>DATE(2009,10,1)</f>
        <v>40087</v>
      </c>
      <c r="C9341" s="2" t="s">
        <v>95</v>
      </c>
      <c r="D9341" s="2" t="s">
        <v>27549</v>
      </c>
      <c r="E9341" s="2" t="s">
        <v>2384</v>
      </c>
      <c r="F9341" s="4">
        <v>2836</v>
      </c>
      <c r="G9341" s="2" t="s">
        <v>130</v>
      </c>
      <c r="H9341" s="2" t="s">
        <v>34</v>
      </c>
      <c r="I9341" s="2" t="s">
        <v>27550</v>
      </c>
      <c r="J9341" s="2" t="s">
        <v>27551</v>
      </c>
      <c r="K9341" s="2" t="s">
        <v>130</v>
      </c>
      <c r="L9341" s="2" t="s">
        <v>34</v>
      </c>
      <c r="M9341" s="7">
        <v>153.61799999999999</v>
      </c>
      <c r="N9341" s="6">
        <v>9.02</v>
      </c>
      <c r="O9341" s="6">
        <v>11.22</v>
      </c>
      <c r="P9341" s="2" t="s">
        <v>27552</v>
      </c>
      <c r="Q9341" s="6">
        <v>100</v>
      </c>
      <c r="R9341" s="2"/>
      <c r="S9341" s="5">
        <v>30</v>
      </c>
      <c r="T9341" s="6">
        <v>-15.36</v>
      </c>
      <c r="U9341" s="5">
        <v>1.1000000000000001</v>
      </c>
      <c r="V9341" s="6">
        <v>0.48</v>
      </c>
      <c r="W9341" s="6">
        <v>1.07</v>
      </c>
      <c r="X9341" s="6">
        <v>1.25</v>
      </c>
      <c r="Y9341" s="6">
        <v>1.34</v>
      </c>
      <c r="Z9341" s="6">
        <v>1.39</v>
      </c>
      <c r="AA9341" s="6">
        <v>57.19</v>
      </c>
      <c r="AB9341" s="2" t="s">
        <v>86</v>
      </c>
      <c r="AC9341" s="6">
        <v>39.36</v>
      </c>
    </row>
    <row r="9342" spans="1:29" ht="52" x14ac:dyDescent="0.15">
      <c r="A9342" s="3">
        <f>DATE(2009,6,1)</f>
        <v>39965</v>
      </c>
      <c r="B9342" s="2"/>
      <c r="C9342" s="2" t="s">
        <v>30</v>
      </c>
      <c r="D9342" s="2" t="s">
        <v>629</v>
      </c>
      <c r="E9342" s="2" t="s">
        <v>630</v>
      </c>
      <c r="F9342" s="4">
        <v>2834</v>
      </c>
      <c r="G9342" s="2" t="s">
        <v>130</v>
      </c>
      <c r="H9342" s="2" t="s">
        <v>34</v>
      </c>
      <c r="I9342" s="2" t="s">
        <v>7644</v>
      </c>
      <c r="J9342" s="2" t="s">
        <v>540</v>
      </c>
      <c r="K9342" s="2" t="s">
        <v>130</v>
      </c>
      <c r="L9342" s="2" t="s">
        <v>7645</v>
      </c>
      <c r="M9342" s="12">
        <v>2401.0059999999999</v>
      </c>
      <c r="N9342" s="7">
        <v>7.5019999999999998</v>
      </c>
      <c r="O9342" s="7">
        <v>7.5460000000000003</v>
      </c>
      <c r="P9342" s="2" t="s">
        <v>27553</v>
      </c>
      <c r="Q9342" s="2"/>
      <c r="R9342" s="2"/>
      <c r="S9342" s="8">
        <v>3202</v>
      </c>
      <c r="T9342" s="8">
        <v>5745</v>
      </c>
      <c r="U9342" s="5">
        <v>6.7</v>
      </c>
      <c r="V9342" s="6">
        <v>1.59</v>
      </c>
      <c r="W9342" s="5">
        <v>19.899999999999999</v>
      </c>
      <c r="X9342" s="6">
        <v>20.11</v>
      </c>
      <c r="Y9342" s="5">
        <v>20.399999999999999</v>
      </c>
      <c r="Z9342" s="6">
        <v>19.989999999999998</v>
      </c>
      <c r="AA9342" s="10">
        <v>1980.88</v>
      </c>
      <c r="AB9342" s="2" t="s">
        <v>47</v>
      </c>
      <c r="AC9342" s="6">
        <v>427.61</v>
      </c>
    </row>
    <row r="9343" spans="1:29" ht="130" x14ac:dyDescent="0.15">
      <c r="A9343" s="3">
        <f>DATE(2009,6,1)</f>
        <v>39965</v>
      </c>
      <c r="B9343" s="3">
        <f>DATE(2009,7,23)</f>
        <v>40017</v>
      </c>
      <c r="C9343" s="2" t="s">
        <v>95</v>
      </c>
      <c r="D9343" s="2" t="s">
        <v>27535</v>
      </c>
      <c r="E9343" s="2" t="s">
        <v>27536</v>
      </c>
      <c r="F9343" s="4">
        <v>3572</v>
      </c>
      <c r="G9343" s="2" t="s">
        <v>50</v>
      </c>
      <c r="H9343" s="2" t="s">
        <v>34</v>
      </c>
      <c r="I9343" s="2" t="s">
        <v>15063</v>
      </c>
      <c r="J9343" s="2" t="s">
        <v>15064</v>
      </c>
      <c r="K9343" s="2" t="s">
        <v>50</v>
      </c>
      <c r="L9343" s="2" t="s">
        <v>34</v>
      </c>
      <c r="M9343" s="12">
        <v>25846.963</v>
      </c>
      <c r="N9343" s="6">
        <v>12.42</v>
      </c>
      <c r="O9343" s="6">
        <v>12.85</v>
      </c>
      <c r="P9343" s="2" t="s">
        <v>27554</v>
      </c>
      <c r="Q9343" s="6">
        <v>100</v>
      </c>
      <c r="R9343" s="6">
        <v>33.5</v>
      </c>
      <c r="S9343" s="5">
        <v>20.100000000000001</v>
      </c>
      <c r="T9343" s="6">
        <v>25.57</v>
      </c>
      <c r="U9343" s="5">
        <v>4.7</v>
      </c>
      <c r="V9343" s="6">
        <v>0.31</v>
      </c>
      <c r="W9343" s="6">
        <v>24.31</v>
      </c>
      <c r="X9343" s="6">
        <v>25.47</v>
      </c>
      <c r="Y9343" s="6">
        <v>26.35</v>
      </c>
      <c r="Z9343" s="6">
        <v>31.58</v>
      </c>
      <c r="AA9343" s="6">
        <v>61.28</v>
      </c>
      <c r="AB9343" s="7">
        <v>119.863</v>
      </c>
      <c r="AC9343" s="10">
        <v>7258.25</v>
      </c>
    </row>
    <row r="9344" spans="1:29" ht="156" x14ac:dyDescent="0.15">
      <c r="A9344" s="3">
        <f>DATE(2009,6,1)</f>
        <v>39965</v>
      </c>
      <c r="B9344" s="3">
        <f>DATE(2009,7,20)</f>
        <v>40014</v>
      </c>
      <c r="C9344" s="2" t="s">
        <v>95</v>
      </c>
      <c r="D9344" s="2" t="s">
        <v>27555</v>
      </c>
      <c r="E9344" s="2" t="s">
        <v>27556</v>
      </c>
      <c r="F9344" s="4">
        <v>7372</v>
      </c>
      <c r="G9344" s="2" t="s">
        <v>551</v>
      </c>
      <c r="H9344" s="2" t="s">
        <v>34</v>
      </c>
      <c r="I9344" s="2" t="s">
        <v>27557</v>
      </c>
      <c r="J9344" s="2" t="s">
        <v>10654</v>
      </c>
      <c r="K9344" s="2" t="s">
        <v>223</v>
      </c>
      <c r="L9344" s="2" t="s">
        <v>34</v>
      </c>
      <c r="M9344" s="7">
        <v>99.918999999999997</v>
      </c>
      <c r="N9344" s="6">
        <v>2.84</v>
      </c>
      <c r="O9344" s="6">
        <v>2.75</v>
      </c>
      <c r="P9344" s="2" t="s">
        <v>27558</v>
      </c>
      <c r="Q9344" s="6">
        <v>100</v>
      </c>
      <c r="R9344" s="6">
        <v>1.88</v>
      </c>
      <c r="S9344" s="5">
        <v>-14.7</v>
      </c>
      <c r="T9344" s="7">
        <v>-5.694</v>
      </c>
      <c r="U9344" s="5">
        <v>0.9</v>
      </c>
      <c r="V9344" s="6">
        <v>-1.35</v>
      </c>
      <c r="W9344" s="6">
        <v>1.33</v>
      </c>
      <c r="X9344" s="6">
        <v>1.27</v>
      </c>
      <c r="Y9344" s="5">
        <v>1.7</v>
      </c>
      <c r="Z9344" s="6">
        <v>1.62</v>
      </c>
      <c r="AA9344" s="6">
        <v>10.74</v>
      </c>
      <c r="AB9344" s="2" t="s">
        <v>86</v>
      </c>
      <c r="AC9344" s="6">
        <v>19.690000000000001</v>
      </c>
    </row>
    <row r="9345" spans="1:29" ht="130" x14ac:dyDescent="0.15">
      <c r="A9345" s="3">
        <f>DATE(2009,6,2)</f>
        <v>39966</v>
      </c>
      <c r="B9345" s="3">
        <f>DATE(2009,11,19)</f>
        <v>40136</v>
      </c>
      <c r="C9345" s="2" t="s">
        <v>95</v>
      </c>
      <c r="D9345" s="2" t="s">
        <v>27559</v>
      </c>
      <c r="E9345" s="2" t="s">
        <v>27560</v>
      </c>
      <c r="F9345" s="4">
        <v>3533</v>
      </c>
      <c r="G9345" s="2" t="s">
        <v>300</v>
      </c>
      <c r="H9345" s="2" t="s">
        <v>34</v>
      </c>
      <c r="I9345" s="2" t="s">
        <v>27561</v>
      </c>
      <c r="J9345" s="2" t="s">
        <v>27562</v>
      </c>
      <c r="K9345" s="2" t="s">
        <v>300</v>
      </c>
      <c r="L9345" s="2" t="s">
        <v>34</v>
      </c>
      <c r="M9345" s="10">
        <v>5962.52</v>
      </c>
      <c r="N9345" s="5">
        <v>30.8</v>
      </c>
      <c r="O9345" s="6">
        <v>29.79</v>
      </c>
      <c r="P9345" s="2" t="s">
        <v>27563</v>
      </c>
      <c r="Q9345" s="6">
        <v>100</v>
      </c>
      <c r="R9345" s="6">
        <v>38.450000000000003</v>
      </c>
      <c r="S9345" s="5">
        <v>34</v>
      </c>
      <c r="T9345" s="7">
        <v>64.164000000000001</v>
      </c>
      <c r="U9345" s="5">
        <v>14.9</v>
      </c>
      <c r="V9345" s="6">
        <v>1.7</v>
      </c>
      <c r="W9345" s="6">
        <v>26.53</v>
      </c>
      <c r="X9345" s="6">
        <v>31.03</v>
      </c>
      <c r="Y9345" s="4">
        <v>36</v>
      </c>
      <c r="Z9345" s="6">
        <v>34.729999999999997</v>
      </c>
      <c r="AA9345" s="6">
        <v>19.920000000000002</v>
      </c>
      <c r="AB9345" s="7">
        <v>14.451000000000001</v>
      </c>
      <c r="AC9345" s="10">
        <v>1442.02</v>
      </c>
    </row>
    <row r="9346" spans="1:29" ht="247" x14ac:dyDescent="0.15">
      <c r="A9346" s="3">
        <f>DATE(2009,6,3)</f>
        <v>39967</v>
      </c>
      <c r="B9346" s="3">
        <f>DATE(2010,3,5)</f>
        <v>40242</v>
      </c>
      <c r="C9346" s="2" t="s">
        <v>95</v>
      </c>
      <c r="D9346" s="2" t="s">
        <v>27564</v>
      </c>
      <c r="E9346" s="2" t="s">
        <v>18348</v>
      </c>
      <c r="F9346" s="4">
        <v>1311</v>
      </c>
      <c r="G9346" s="2" t="s">
        <v>148</v>
      </c>
      <c r="H9346" s="2" t="s">
        <v>34</v>
      </c>
      <c r="I9346" s="2" t="s">
        <v>26139</v>
      </c>
      <c r="J9346" s="2" t="s">
        <v>18348</v>
      </c>
      <c r="K9346" s="2" t="s">
        <v>148</v>
      </c>
      <c r="L9346" s="2" t="s">
        <v>34</v>
      </c>
      <c r="M9346" s="7">
        <v>15.295999999999999</v>
      </c>
      <c r="N9346" s="6">
        <v>0.52</v>
      </c>
      <c r="O9346" s="5">
        <v>0.5</v>
      </c>
      <c r="P9346" s="2" t="s">
        <v>27565</v>
      </c>
      <c r="Q9346" s="6">
        <v>43</v>
      </c>
      <c r="R9346" s="6">
        <v>1.59</v>
      </c>
      <c r="S9346" s="5">
        <v>-268.3</v>
      </c>
      <c r="T9346" s="7">
        <v>11.506</v>
      </c>
      <c r="U9346" s="5">
        <v>-3.7</v>
      </c>
      <c r="V9346" s="6">
        <v>-12.67</v>
      </c>
      <c r="W9346" s="6">
        <v>2.23</v>
      </c>
      <c r="X9346" s="6">
        <v>2.4700000000000002</v>
      </c>
      <c r="Y9346" s="6">
        <v>2.36</v>
      </c>
      <c r="Z9346" s="6">
        <v>2.23</v>
      </c>
      <c r="AA9346" s="6">
        <v>12.33</v>
      </c>
      <c r="AB9346" s="2" t="s">
        <v>86</v>
      </c>
      <c r="AC9346" s="6">
        <v>43.17</v>
      </c>
    </row>
    <row r="9347" spans="1:29" ht="117" x14ac:dyDescent="0.15">
      <c r="A9347" s="3">
        <f>DATE(2009,6,4)</f>
        <v>39968</v>
      </c>
      <c r="B9347" s="3">
        <f>DATE(2009,9,2)</f>
        <v>40058</v>
      </c>
      <c r="C9347" s="2" t="s">
        <v>95</v>
      </c>
      <c r="D9347" s="2" t="s">
        <v>13269</v>
      </c>
      <c r="E9347" s="2" t="s">
        <v>13270</v>
      </c>
      <c r="F9347" s="4">
        <v>3827</v>
      </c>
      <c r="G9347" s="2" t="s">
        <v>226</v>
      </c>
      <c r="H9347" s="2" t="s">
        <v>34</v>
      </c>
      <c r="I9347" s="2" t="s">
        <v>27566</v>
      </c>
      <c r="J9347" s="2" t="s">
        <v>27567</v>
      </c>
      <c r="K9347" s="2" t="s">
        <v>223</v>
      </c>
      <c r="L9347" s="2" t="s">
        <v>34</v>
      </c>
      <c r="M9347" s="2"/>
      <c r="N9347" s="2"/>
      <c r="O9347" s="2"/>
      <c r="P9347" s="2" t="s">
        <v>27568</v>
      </c>
      <c r="Q9347" s="6">
        <v>100</v>
      </c>
      <c r="R9347" s="6">
        <v>54</v>
      </c>
      <c r="S9347" s="5">
        <v>27.8</v>
      </c>
      <c r="T9347" s="7">
        <v>48.899000000000001</v>
      </c>
      <c r="U9347" s="5">
        <v>17.2</v>
      </c>
      <c r="V9347" s="6">
        <v>2.4500000000000002</v>
      </c>
      <c r="W9347" s="6">
        <v>32.93</v>
      </c>
      <c r="X9347" s="6">
        <v>27.37</v>
      </c>
      <c r="Y9347" s="6">
        <v>36.270000000000003</v>
      </c>
      <c r="Z9347" s="5">
        <v>40.799999999999997</v>
      </c>
      <c r="AA9347" s="6">
        <v>11.19</v>
      </c>
      <c r="AB9347" s="7">
        <v>14.079000000000001</v>
      </c>
      <c r="AC9347" s="2"/>
    </row>
    <row r="9348" spans="1:29" ht="104" x14ac:dyDescent="0.15">
      <c r="A9348" s="3">
        <f>DATE(2009,6,4)</f>
        <v>39968</v>
      </c>
      <c r="B9348" s="3">
        <f>DATE(2009,7,17)</f>
        <v>40011</v>
      </c>
      <c r="C9348" s="2" t="s">
        <v>95</v>
      </c>
      <c r="D9348" s="2" t="s">
        <v>15531</v>
      </c>
      <c r="E9348" s="2" t="s">
        <v>15532</v>
      </c>
      <c r="F9348" s="4">
        <v>7371</v>
      </c>
      <c r="G9348" s="2" t="s">
        <v>223</v>
      </c>
      <c r="H9348" s="2" t="s">
        <v>34</v>
      </c>
      <c r="I9348" s="2" t="s">
        <v>10177</v>
      </c>
      <c r="J9348" s="2" t="s">
        <v>10178</v>
      </c>
      <c r="K9348" s="2" t="s">
        <v>137</v>
      </c>
      <c r="L9348" s="2" t="s">
        <v>34</v>
      </c>
      <c r="M9348" s="10">
        <v>88075.45</v>
      </c>
      <c r="N9348" s="6">
        <v>16.13</v>
      </c>
      <c r="O9348" s="6">
        <v>15.92</v>
      </c>
      <c r="P9348" s="2" t="s">
        <v>27569</v>
      </c>
      <c r="Q9348" s="6">
        <v>100</v>
      </c>
      <c r="R9348" s="6">
        <v>11.5</v>
      </c>
      <c r="S9348" s="5">
        <v>10.8</v>
      </c>
      <c r="T9348" s="7">
        <v>35.874000000000002</v>
      </c>
      <c r="U9348" s="5">
        <v>3.8</v>
      </c>
      <c r="V9348" s="6">
        <v>0.14000000000000001</v>
      </c>
      <c r="W9348" s="6">
        <v>7.74</v>
      </c>
      <c r="X9348" s="4">
        <v>8</v>
      </c>
      <c r="Y9348" s="6">
        <v>11.76</v>
      </c>
      <c r="Z9348" s="6">
        <v>11.63</v>
      </c>
      <c r="AA9348" s="6">
        <v>76.59</v>
      </c>
      <c r="AB9348" s="7">
        <v>35.756999999999998</v>
      </c>
      <c r="AC9348" s="8">
        <v>10599</v>
      </c>
    </row>
    <row r="9349" spans="1:29" ht="52" x14ac:dyDescent="0.15">
      <c r="A9349" s="3">
        <f>DATE(2009,6,11)</f>
        <v>39975</v>
      </c>
      <c r="B9349" s="3">
        <f>DATE(2009,10,29)</f>
        <v>40115</v>
      </c>
      <c r="C9349" s="2" t="s">
        <v>95</v>
      </c>
      <c r="D9349" s="2" t="s">
        <v>27570</v>
      </c>
      <c r="E9349" s="2" t="s">
        <v>27571</v>
      </c>
      <c r="F9349" s="4">
        <v>6726</v>
      </c>
      <c r="G9349" s="2" t="s">
        <v>53</v>
      </c>
      <c r="H9349" s="2" t="s">
        <v>34</v>
      </c>
      <c r="I9349" s="2" t="s">
        <v>27572</v>
      </c>
      <c r="J9349" s="2" t="s">
        <v>6321</v>
      </c>
      <c r="K9349" s="2" t="s">
        <v>53</v>
      </c>
      <c r="L9349" s="2" t="s">
        <v>34</v>
      </c>
      <c r="M9349" s="7">
        <v>313.34500000000003</v>
      </c>
      <c r="N9349" s="6">
        <v>9.73</v>
      </c>
      <c r="O9349" s="6">
        <v>9.73</v>
      </c>
      <c r="P9349" s="2" t="s">
        <v>27573</v>
      </c>
      <c r="Q9349" s="6">
        <v>100</v>
      </c>
      <c r="R9349" s="2"/>
      <c r="S9349" s="2"/>
      <c r="T9349" s="2"/>
      <c r="U9349" s="2"/>
      <c r="V9349" s="2"/>
      <c r="W9349" s="6">
        <v>9.6300000000000008</v>
      </c>
      <c r="X9349" s="6">
        <v>9.61</v>
      </c>
      <c r="Y9349" s="6">
        <v>9.73</v>
      </c>
      <c r="Z9349" s="6">
        <v>9.73</v>
      </c>
      <c r="AA9349" s="6">
        <v>32.81</v>
      </c>
      <c r="AB9349" s="2" t="s">
        <v>47</v>
      </c>
      <c r="AC9349" s="6">
        <v>2.57</v>
      </c>
    </row>
    <row r="9350" spans="1:29" ht="78" x14ac:dyDescent="0.15">
      <c r="A9350" s="3">
        <f>DATE(2009,6,15)</f>
        <v>39979</v>
      </c>
      <c r="B9350" s="3">
        <f>DATE(2009,9,1)</f>
        <v>40057</v>
      </c>
      <c r="C9350" s="2" t="s">
        <v>95</v>
      </c>
      <c r="D9350" s="2" t="s">
        <v>10238</v>
      </c>
      <c r="E9350" s="2" t="s">
        <v>8966</v>
      </c>
      <c r="F9350" s="4">
        <v>2451</v>
      </c>
      <c r="G9350" s="2" t="s">
        <v>250</v>
      </c>
      <c r="H9350" s="2" t="s">
        <v>34</v>
      </c>
      <c r="I9350" s="2" t="s">
        <v>6415</v>
      </c>
      <c r="J9350" s="2" t="s">
        <v>2692</v>
      </c>
      <c r="K9350" s="2" t="s">
        <v>341</v>
      </c>
      <c r="L9350" s="2" t="s">
        <v>34</v>
      </c>
      <c r="M9350" s="2"/>
      <c r="N9350" s="2"/>
      <c r="O9350" s="2"/>
      <c r="P9350" s="2" t="s">
        <v>27574</v>
      </c>
      <c r="Q9350" s="6">
        <v>100</v>
      </c>
      <c r="R9350" s="6">
        <v>2.75</v>
      </c>
      <c r="S9350" s="5">
        <v>3.2</v>
      </c>
      <c r="T9350" s="7">
        <v>3.5169999999999999</v>
      </c>
      <c r="U9350" s="5">
        <v>3</v>
      </c>
      <c r="V9350" s="6">
        <v>0.16</v>
      </c>
      <c r="W9350" s="6">
        <v>2.08</v>
      </c>
      <c r="X9350" s="6">
        <v>2.23</v>
      </c>
      <c r="Y9350" s="6">
        <v>2.71</v>
      </c>
      <c r="Z9350" s="6">
        <v>2.69</v>
      </c>
      <c r="AA9350" s="6">
        <v>17.600000000000001</v>
      </c>
      <c r="AB9350" s="7">
        <v>14.587</v>
      </c>
      <c r="AC9350" s="6">
        <v>11.33</v>
      </c>
    </row>
    <row r="9351" spans="1:29" ht="117" x14ac:dyDescent="0.15">
      <c r="A9351" s="3">
        <f>DATE(2009,6,17)</f>
        <v>39981</v>
      </c>
      <c r="B9351" s="3">
        <f>DATE(2009,10,30)</f>
        <v>40116</v>
      </c>
      <c r="C9351" s="2" t="s">
        <v>95</v>
      </c>
      <c r="D9351" s="2" t="s">
        <v>27575</v>
      </c>
      <c r="E9351" s="2" t="s">
        <v>159</v>
      </c>
      <c r="F9351" s="4">
        <v>6021</v>
      </c>
      <c r="G9351" s="2" t="s">
        <v>37</v>
      </c>
      <c r="H9351" s="2" t="s">
        <v>34</v>
      </c>
      <c r="I9351" s="2" t="s">
        <v>27576</v>
      </c>
      <c r="J9351" s="2" t="s">
        <v>27577</v>
      </c>
      <c r="K9351" s="2" t="s">
        <v>33</v>
      </c>
      <c r="L9351" s="2" t="s">
        <v>34</v>
      </c>
      <c r="M9351" s="7">
        <v>238.85400000000001</v>
      </c>
      <c r="N9351" s="5">
        <v>13.1</v>
      </c>
      <c r="O9351" s="6">
        <v>13.12</v>
      </c>
      <c r="P9351" s="2" t="s">
        <v>27578</v>
      </c>
      <c r="Q9351" s="6">
        <v>100</v>
      </c>
      <c r="R9351" s="6">
        <v>23.04</v>
      </c>
      <c r="S9351" s="5">
        <v>-0.2</v>
      </c>
      <c r="T9351" s="6">
        <v>6.26</v>
      </c>
      <c r="U9351" s="5">
        <v>15.7</v>
      </c>
      <c r="V9351" s="6">
        <v>-0.05</v>
      </c>
      <c r="W9351" s="6">
        <v>16.75</v>
      </c>
      <c r="X9351" s="5">
        <v>16.899999999999999</v>
      </c>
      <c r="Y9351" s="5">
        <v>21.1</v>
      </c>
      <c r="Z9351" s="6">
        <v>21.17</v>
      </c>
      <c r="AA9351" s="6">
        <v>2.68</v>
      </c>
      <c r="AB9351" s="7">
        <v>27.094999999999999</v>
      </c>
      <c r="AC9351" s="2"/>
    </row>
    <row r="9352" spans="1:29" ht="117" x14ac:dyDescent="0.15">
      <c r="A9352" s="3">
        <f>DATE(2009,6,17)</f>
        <v>39981</v>
      </c>
      <c r="B9352" s="3">
        <f>DATE(2009,6,17)</f>
        <v>39981</v>
      </c>
      <c r="C9352" s="2" t="s">
        <v>95</v>
      </c>
      <c r="D9352" s="2" t="s">
        <v>9298</v>
      </c>
      <c r="E9352" s="2" t="s">
        <v>9299</v>
      </c>
      <c r="F9352" s="4">
        <v>6799</v>
      </c>
      <c r="G9352" s="2" t="s">
        <v>53</v>
      </c>
      <c r="H9352" s="2" t="s">
        <v>34</v>
      </c>
      <c r="I9352" s="2" t="s">
        <v>51</v>
      </c>
      <c r="J9352" s="2" t="s">
        <v>52</v>
      </c>
      <c r="K9352" s="2" t="s">
        <v>53</v>
      </c>
      <c r="L9352" s="2" t="s">
        <v>34</v>
      </c>
      <c r="M9352" s="2"/>
      <c r="N9352" s="2"/>
      <c r="O9352" s="2"/>
      <c r="P9352" s="2" t="s">
        <v>27579</v>
      </c>
      <c r="Q9352" s="6">
        <v>51.29</v>
      </c>
      <c r="R9352" s="6">
        <v>7.5</v>
      </c>
      <c r="S9352" s="5">
        <v>-1.1000000000000001</v>
      </c>
      <c r="T9352" s="2"/>
      <c r="U9352" s="5">
        <v>6.4</v>
      </c>
      <c r="V9352" s="6">
        <v>-0.05</v>
      </c>
      <c r="W9352" s="6">
        <v>7.07</v>
      </c>
      <c r="X9352" s="6">
        <v>7.19</v>
      </c>
      <c r="Y9352" s="5">
        <v>7.2</v>
      </c>
      <c r="Z9352" s="6">
        <v>7.19</v>
      </c>
      <c r="AA9352" s="6">
        <v>19.28</v>
      </c>
      <c r="AB9352" s="2" t="s">
        <v>86</v>
      </c>
      <c r="AC9352" s="2"/>
    </row>
    <row r="9353" spans="1:29" ht="104" x14ac:dyDescent="0.15">
      <c r="A9353" s="3">
        <f>DATE(2009,6,18)</f>
        <v>39982</v>
      </c>
      <c r="B9353" s="2"/>
      <c r="C9353" s="2" t="s">
        <v>30</v>
      </c>
      <c r="D9353" s="2" t="s">
        <v>27545</v>
      </c>
      <c r="E9353" s="2" t="s">
        <v>6519</v>
      </c>
      <c r="F9353" s="4">
        <v>4813</v>
      </c>
      <c r="G9353" s="2" t="s">
        <v>63</v>
      </c>
      <c r="H9353" s="2" t="s">
        <v>34</v>
      </c>
      <c r="I9353" s="2" t="s">
        <v>11596</v>
      </c>
      <c r="J9353" s="2" t="s">
        <v>3892</v>
      </c>
      <c r="K9353" s="2" t="s">
        <v>45</v>
      </c>
      <c r="L9353" s="2" t="s">
        <v>34</v>
      </c>
      <c r="M9353" s="7">
        <v>176.87799999999999</v>
      </c>
      <c r="N9353" s="6">
        <v>6.08</v>
      </c>
      <c r="O9353" s="5">
        <v>5.8</v>
      </c>
      <c r="P9353" s="2" t="s">
        <v>27580</v>
      </c>
      <c r="Q9353" s="2"/>
      <c r="R9353" s="6">
        <v>12.5</v>
      </c>
      <c r="S9353" s="5">
        <v>-1.3</v>
      </c>
      <c r="T9353" s="7">
        <v>10.532999999999999</v>
      </c>
      <c r="U9353" s="5">
        <v>4.9000000000000004</v>
      </c>
      <c r="V9353" s="6">
        <v>-0.17</v>
      </c>
      <c r="W9353" s="5">
        <v>11.6</v>
      </c>
      <c r="X9353" s="6">
        <v>11.77</v>
      </c>
      <c r="Y9353" s="6">
        <v>12.61</v>
      </c>
      <c r="Z9353" s="6">
        <v>12.63</v>
      </c>
      <c r="AA9353" s="6">
        <v>7.67</v>
      </c>
      <c r="AB9353" s="7">
        <v>345.02100000000002</v>
      </c>
      <c r="AC9353" s="6">
        <v>71.05</v>
      </c>
    </row>
    <row r="9354" spans="1:29" ht="143" x14ac:dyDescent="0.15">
      <c r="A9354" s="3">
        <f>DATE(2009,6,18)</f>
        <v>39982</v>
      </c>
      <c r="B9354" s="3">
        <f>DATE(2009,10,23)</f>
        <v>40109</v>
      </c>
      <c r="C9354" s="2" t="s">
        <v>95</v>
      </c>
      <c r="D9354" s="2" t="s">
        <v>26204</v>
      </c>
      <c r="E9354" s="2" t="s">
        <v>26205</v>
      </c>
      <c r="F9354" s="4">
        <v>7372</v>
      </c>
      <c r="G9354" s="2" t="s">
        <v>551</v>
      </c>
      <c r="H9354" s="2" t="s">
        <v>34</v>
      </c>
      <c r="I9354" s="2" t="s">
        <v>26202</v>
      </c>
      <c r="J9354" s="2" t="s">
        <v>26203</v>
      </c>
      <c r="K9354" s="2" t="s">
        <v>223</v>
      </c>
      <c r="L9354" s="2" t="s">
        <v>34</v>
      </c>
      <c r="M9354" s="12">
        <v>1603.9929999999999</v>
      </c>
      <c r="N9354" s="6">
        <v>30.32</v>
      </c>
      <c r="O9354" s="6">
        <v>29.91</v>
      </c>
      <c r="P9354" s="2" t="s">
        <v>27581</v>
      </c>
      <c r="Q9354" s="6">
        <v>100</v>
      </c>
      <c r="R9354" s="6">
        <v>12.54</v>
      </c>
      <c r="S9354" s="5">
        <v>102.5</v>
      </c>
      <c r="T9354" s="7">
        <v>47.667000000000002</v>
      </c>
      <c r="U9354" s="5">
        <v>4.8</v>
      </c>
      <c r="V9354" s="6">
        <v>7.0000000000000007E-2</v>
      </c>
      <c r="W9354" s="6">
        <v>11.81</v>
      </c>
      <c r="X9354" s="6">
        <v>11.76</v>
      </c>
      <c r="Y9354" s="6">
        <v>13.26</v>
      </c>
      <c r="Z9354" s="6">
        <v>13.18</v>
      </c>
      <c r="AA9354" s="6">
        <v>125.42</v>
      </c>
      <c r="AB9354" s="7">
        <v>70.102000000000004</v>
      </c>
      <c r="AC9354" s="6">
        <v>204.8</v>
      </c>
    </row>
    <row r="9355" spans="1:29" ht="52" x14ac:dyDescent="0.15">
      <c r="A9355" s="3">
        <f>DATE(2009,6,19)</f>
        <v>39983</v>
      </c>
      <c r="B9355" s="3">
        <f>DATE(2009,6,19)</f>
        <v>39983</v>
      </c>
      <c r="C9355" s="2" t="s">
        <v>95</v>
      </c>
      <c r="D9355" s="2" t="s">
        <v>27582</v>
      </c>
      <c r="E9355" s="2" t="s">
        <v>3780</v>
      </c>
      <c r="F9355" s="4">
        <v>6021</v>
      </c>
      <c r="G9355" s="2" t="s">
        <v>37</v>
      </c>
      <c r="H9355" s="2" t="s">
        <v>34</v>
      </c>
      <c r="I9355" s="2" t="s">
        <v>27583</v>
      </c>
      <c r="J9355" s="2" t="s">
        <v>1181</v>
      </c>
      <c r="K9355" s="2" t="s">
        <v>37</v>
      </c>
      <c r="L9355" s="2" t="s">
        <v>34</v>
      </c>
      <c r="M9355" s="2"/>
      <c r="N9355" s="2"/>
      <c r="O9355" s="2"/>
      <c r="P9355" s="2" t="s">
        <v>27584</v>
      </c>
      <c r="Q9355" s="6">
        <v>100</v>
      </c>
      <c r="R9355" s="2"/>
      <c r="S9355" s="5">
        <v>-44.4</v>
      </c>
      <c r="T9355" s="7">
        <v>-46.234000000000002</v>
      </c>
      <c r="U9355" s="5">
        <v>3.1</v>
      </c>
      <c r="V9355" s="6">
        <v>-6.74</v>
      </c>
      <c r="W9355" s="5">
        <v>1.4</v>
      </c>
      <c r="X9355" s="5">
        <v>1.3</v>
      </c>
      <c r="Y9355" s="6">
        <v>1.38</v>
      </c>
      <c r="Z9355" s="6">
        <v>1.38</v>
      </c>
      <c r="AA9355" s="6">
        <v>6.59</v>
      </c>
      <c r="AB9355" s="2" t="s">
        <v>86</v>
      </c>
      <c r="AC9355" s="2"/>
    </row>
    <row r="9356" spans="1:29" ht="52" x14ac:dyDescent="0.15">
      <c r="A9356" s="3">
        <f>DATE(2009,6,19)</f>
        <v>39983</v>
      </c>
      <c r="B9356" s="3">
        <f>DATE(2009,11,10)</f>
        <v>40127</v>
      </c>
      <c r="C9356" s="2" t="s">
        <v>95</v>
      </c>
      <c r="D9356" s="2" t="s">
        <v>27585</v>
      </c>
      <c r="E9356" s="2" t="s">
        <v>27586</v>
      </c>
      <c r="F9356" s="4">
        <v>2741</v>
      </c>
      <c r="G9356" s="2" t="s">
        <v>186</v>
      </c>
      <c r="H9356" s="2" t="s">
        <v>34</v>
      </c>
      <c r="I9356" s="2" t="s">
        <v>27587</v>
      </c>
      <c r="J9356" s="2" t="s">
        <v>19238</v>
      </c>
      <c r="K9356" s="2" t="s">
        <v>186</v>
      </c>
      <c r="L9356" s="2" t="s">
        <v>34</v>
      </c>
      <c r="M9356" s="2"/>
      <c r="N9356" s="2"/>
      <c r="O9356" s="2"/>
      <c r="P9356" s="2" t="s">
        <v>27588</v>
      </c>
      <c r="Q9356" s="6">
        <v>100</v>
      </c>
      <c r="R9356" s="2"/>
      <c r="S9356" s="2"/>
      <c r="T9356" s="2"/>
      <c r="U9356" s="2"/>
      <c r="V9356" s="2"/>
      <c r="W9356" s="4">
        <v>26</v>
      </c>
      <c r="X9356" s="4">
        <v>26</v>
      </c>
      <c r="Y9356" s="4">
        <v>26</v>
      </c>
      <c r="Z9356" s="4">
        <v>26</v>
      </c>
      <c r="AA9356" s="6">
        <v>0.85</v>
      </c>
      <c r="AB9356" s="2" t="s">
        <v>47</v>
      </c>
      <c r="AC9356" s="2"/>
    </row>
    <row r="9357" spans="1:29" ht="117" x14ac:dyDescent="0.15">
      <c r="A9357" s="3">
        <f>DATE(2009,6,22)</f>
        <v>39986</v>
      </c>
      <c r="B9357" s="3">
        <f>DATE(2009,7,6)</f>
        <v>40000</v>
      </c>
      <c r="C9357" s="2" t="s">
        <v>95</v>
      </c>
      <c r="D9357" s="2" t="s">
        <v>27527</v>
      </c>
      <c r="E9357" s="2" t="s">
        <v>2384</v>
      </c>
      <c r="F9357" s="4">
        <v>2836</v>
      </c>
      <c r="G9357" s="2" t="s">
        <v>130</v>
      </c>
      <c r="H9357" s="2" t="s">
        <v>34</v>
      </c>
      <c r="I9357" s="2" t="s">
        <v>27528</v>
      </c>
      <c r="J9357" s="2" t="s">
        <v>1072</v>
      </c>
      <c r="K9357" s="2" t="s">
        <v>53</v>
      </c>
      <c r="L9357" s="2" t="s">
        <v>34</v>
      </c>
      <c r="M9357" s="2"/>
      <c r="N9357" s="2"/>
      <c r="O9357" s="2"/>
      <c r="P9357" s="2" t="s">
        <v>27589</v>
      </c>
      <c r="Q9357" s="6">
        <v>13.59</v>
      </c>
      <c r="R9357" s="6">
        <v>2.64</v>
      </c>
      <c r="S9357" s="2"/>
      <c r="T9357" s="2"/>
      <c r="U9357" s="2"/>
      <c r="V9357" s="2"/>
      <c r="W9357" s="6">
        <v>2.63</v>
      </c>
      <c r="X9357" s="6">
        <v>2.63</v>
      </c>
      <c r="Y9357" s="6">
        <v>2.63</v>
      </c>
      <c r="Z9357" s="6">
        <v>2.63</v>
      </c>
      <c r="AA9357" s="6">
        <v>25.28</v>
      </c>
      <c r="AB9357" s="2" t="s">
        <v>47</v>
      </c>
      <c r="AC9357" s="2"/>
    </row>
    <row r="9358" spans="1:29" ht="195" x14ac:dyDescent="0.15">
      <c r="A9358" s="3">
        <f>DATE(2009,6,22)</f>
        <v>39986</v>
      </c>
      <c r="B9358" s="3">
        <f>DATE(2009,11,13)</f>
        <v>40130</v>
      </c>
      <c r="C9358" s="2" t="s">
        <v>95</v>
      </c>
      <c r="D9358" s="2" t="s">
        <v>26853</v>
      </c>
      <c r="E9358" s="2" t="s">
        <v>26854</v>
      </c>
      <c r="F9358" s="4">
        <v>6331</v>
      </c>
      <c r="G9358" s="2" t="s">
        <v>125</v>
      </c>
      <c r="H9358" s="2" t="s">
        <v>34</v>
      </c>
      <c r="I9358" s="2" t="s">
        <v>27590</v>
      </c>
      <c r="J9358" s="2" t="s">
        <v>27591</v>
      </c>
      <c r="K9358" s="2" t="s">
        <v>125</v>
      </c>
      <c r="L9358" s="2" t="s">
        <v>34</v>
      </c>
      <c r="M9358" s="6">
        <v>987.55</v>
      </c>
      <c r="N9358" s="6">
        <v>23.06</v>
      </c>
      <c r="O9358" s="6">
        <v>23.92</v>
      </c>
      <c r="P9358" s="2" t="s">
        <v>27592</v>
      </c>
      <c r="Q9358" s="6">
        <v>100</v>
      </c>
      <c r="R9358" s="6">
        <v>6.72</v>
      </c>
      <c r="S9358" s="5">
        <v>5</v>
      </c>
      <c r="T9358" s="7">
        <v>14.396000000000001</v>
      </c>
      <c r="U9358" s="5">
        <v>8.8000000000000007</v>
      </c>
      <c r="V9358" s="6">
        <v>0.31</v>
      </c>
      <c r="W9358" s="5">
        <v>3.6</v>
      </c>
      <c r="X9358" s="6">
        <v>3.96</v>
      </c>
      <c r="Y9358" s="6">
        <v>6.17</v>
      </c>
      <c r="Z9358" s="5">
        <v>6.2</v>
      </c>
      <c r="AA9358" s="6">
        <v>15.81</v>
      </c>
      <c r="AB9358" s="7">
        <v>13.787000000000001</v>
      </c>
      <c r="AC9358" s="6">
        <v>304.64999999999998</v>
      </c>
    </row>
    <row r="9359" spans="1:29" ht="91" x14ac:dyDescent="0.15">
      <c r="A9359" s="3">
        <f>DATE(2009,6,23)</f>
        <v>39987</v>
      </c>
      <c r="B9359" s="3">
        <f>DATE(2009,8,4)</f>
        <v>40029</v>
      </c>
      <c r="C9359" s="2" t="s">
        <v>95</v>
      </c>
      <c r="D9359" s="2" t="s">
        <v>27593</v>
      </c>
      <c r="E9359" s="2" t="s">
        <v>27594</v>
      </c>
      <c r="F9359" s="4">
        <v>2835</v>
      </c>
      <c r="G9359" s="2" t="s">
        <v>130</v>
      </c>
      <c r="H9359" s="2" t="s">
        <v>34</v>
      </c>
      <c r="I9359" s="2" t="s">
        <v>27595</v>
      </c>
      <c r="J9359" s="2" t="s">
        <v>11337</v>
      </c>
      <c r="K9359" s="2" t="s">
        <v>53</v>
      </c>
      <c r="L9359" s="2" t="s">
        <v>34</v>
      </c>
      <c r="M9359" s="2"/>
      <c r="N9359" s="2"/>
      <c r="O9359" s="2"/>
      <c r="P9359" s="2" t="s">
        <v>27596</v>
      </c>
      <c r="Q9359" s="6">
        <v>100</v>
      </c>
      <c r="R9359" s="6">
        <v>4.55</v>
      </c>
      <c r="S9359" s="5">
        <v>-21.4</v>
      </c>
      <c r="T9359" s="6">
        <v>-18.22</v>
      </c>
      <c r="U9359" s="5">
        <v>-0.7</v>
      </c>
      <c r="V9359" s="6">
        <v>-0.96</v>
      </c>
      <c r="W9359" s="6">
        <v>1.72</v>
      </c>
      <c r="X9359" s="6">
        <v>1.68</v>
      </c>
      <c r="Y9359" s="6">
        <v>4.5199999999999996</v>
      </c>
      <c r="Z9359" s="6">
        <v>4.53</v>
      </c>
      <c r="AA9359" s="6">
        <v>23.04</v>
      </c>
      <c r="AB9359" s="2" t="s">
        <v>86</v>
      </c>
      <c r="AC9359" s="2"/>
    </row>
    <row r="9360" spans="1:29" ht="52" x14ac:dyDescent="0.15">
      <c r="A9360" s="3">
        <f>DATE(2009,6,23)</f>
        <v>39987</v>
      </c>
      <c r="B9360" s="3">
        <f>DATE(2009,6,23)</f>
        <v>39987</v>
      </c>
      <c r="C9360" s="2" t="s">
        <v>95</v>
      </c>
      <c r="D9360" s="2" t="s">
        <v>27597</v>
      </c>
      <c r="E9360" s="2" t="s">
        <v>849</v>
      </c>
      <c r="F9360" s="4">
        <v>7372</v>
      </c>
      <c r="G9360" s="2" t="s">
        <v>551</v>
      </c>
      <c r="H9360" s="2" t="s">
        <v>34</v>
      </c>
      <c r="I9360" s="2" t="s">
        <v>27598</v>
      </c>
      <c r="J9360" s="2" t="s">
        <v>149</v>
      </c>
      <c r="K9360" s="2" t="s">
        <v>53</v>
      </c>
      <c r="L9360" s="2" t="s">
        <v>902</v>
      </c>
      <c r="M9360" s="2"/>
      <c r="N9360" s="2"/>
      <c r="O9360" s="2"/>
      <c r="P9360" s="2" t="s">
        <v>27599</v>
      </c>
      <c r="Q9360" s="6">
        <v>92.8</v>
      </c>
      <c r="R9360" s="2"/>
      <c r="S9360" s="5">
        <v>0</v>
      </c>
      <c r="T9360" s="2"/>
      <c r="U9360" s="5">
        <v>0</v>
      </c>
      <c r="V9360" s="9">
        <v>-2.5999999999999999E-3</v>
      </c>
      <c r="W9360" s="6">
        <v>2.25</v>
      </c>
      <c r="X9360" s="6">
        <v>2.25</v>
      </c>
      <c r="Y9360" s="6">
        <v>2.25</v>
      </c>
      <c r="Z9360" s="6">
        <v>2.25</v>
      </c>
      <c r="AA9360" s="6">
        <v>9.16</v>
      </c>
      <c r="AB9360" s="2" t="s">
        <v>86</v>
      </c>
      <c r="AC9360" s="2"/>
    </row>
    <row r="9361" spans="1:29" ht="130" x14ac:dyDescent="0.15">
      <c r="A9361" s="3">
        <f>DATE(2009,6,25)</f>
        <v>39989</v>
      </c>
      <c r="B9361" s="3">
        <f>DATE(2009,11,25)</f>
        <v>40142</v>
      </c>
      <c r="C9361" s="2" t="s">
        <v>95</v>
      </c>
      <c r="D9361" s="2" t="s">
        <v>27600</v>
      </c>
      <c r="E9361" s="2" t="s">
        <v>27601</v>
      </c>
      <c r="F9361" s="4">
        <v>2331</v>
      </c>
      <c r="G9361" s="2" t="s">
        <v>708</v>
      </c>
      <c r="H9361" s="2" t="s">
        <v>34</v>
      </c>
      <c r="I9361" s="2" t="s">
        <v>27602</v>
      </c>
      <c r="J9361" s="2" t="s">
        <v>27603</v>
      </c>
      <c r="K9361" s="2" t="s">
        <v>756</v>
      </c>
      <c r="L9361" s="2" t="s">
        <v>34</v>
      </c>
      <c r="M9361" s="7">
        <v>934.59500000000003</v>
      </c>
      <c r="N9361" s="6">
        <v>14.41</v>
      </c>
      <c r="O9361" s="6">
        <v>14.41</v>
      </c>
      <c r="P9361" s="2" t="s">
        <v>27604</v>
      </c>
      <c r="Q9361" s="6">
        <v>100</v>
      </c>
      <c r="R9361" s="6">
        <v>6.22</v>
      </c>
      <c r="S9361" s="5">
        <v>-22.9</v>
      </c>
      <c r="T9361" s="7">
        <v>42.701999999999998</v>
      </c>
      <c r="U9361" s="5">
        <v>7</v>
      </c>
      <c r="V9361" s="6">
        <v>-0.92</v>
      </c>
      <c r="W9361" s="6">
        <v>5.19</v>
      </c>
      <c r="X9361" s="6">
        <v>5.18</v>
      </c>
      <c r="Y9361" s="6">
        <v>6.63</v>
      </c>
      <c r="Z9361" s="5">
        <v>6.7</v>
      </c>
      <c r="AA9361" s="6">
        <v>24.82</v>
      </c>
      <c r="AB9361" s="2" t="s">
        <v>86</v>
      </c>
      <c r="AC9361" s="6">
        <v>317.95999999999998</v>
      </c>
    </row>
    <row r="9362" spans="1:29" ht="143" x14ac:dyDescent="0.15">
      <c r="A9362" s="3">
        <f>DATE(2009,6,29)</f>
        <v>39993</v>
      </c>
      <c r="B9362" s="3">
        <f>DATE(2009,11,18)</f>
        <v>40135</v>
      </c>
      <c r="C9362" s="2" t="s">
        <v>95</v>
      </c>
      <c r="D9362" s="2" t="s">
        <v>27605</v>
      </c>
      <c r="E9362" s="2" t="s">
        <v>27606</v>
      </c>
      <c r="F9362" s="4">
        <v>8742</v>
      </c>
      <c r="G9362" s="2" t="s">
        <v>223</v>
      </c>
      <c r="H9362" s="2" t="s">
        <v>34</v>
      </c>
      <c r="I9362" s="2" t="s">
        <v>18410</v>
      </c>
      <c r="J9362" s="2" t="s">
        <v>18411</v>
      </c>
      <c r="K9362" s="2" t="s">
        <v>125</v>
      </c>
      <c r="L9362" s="2" t="s">
        <v>34</v>
      </c>
      <c r="M9362" s="12">
        <v>2071.471</v>
      </c>
      <c r="N9362" s="6">
        <v>25.76</v>
      </c>
      <c r="O9362" s="6">
        <v>25.91</v>
      </c>
      <c r="P9362" s="2" t="s">
        <v>27607</v>
      </c>
      <c r="Q9362" s="6">
        <v>19.420000000000002</v>
      </c>
      <c r="R9362" s="6">
        <v>14.05</v>
      </c>
      <c r="S9362" s="5">
        <v>32.5</v>
      </c>
      <c r="T9362" s="7">
        <v>128.63499999999999</v>
      </c>
      <c r="U9362" s="5">
        <v>15.1</v>
      </c>
      <c r="V9362" s="6">
        <v>0.56000000000000005</v>
      </c>
      <c r="W9362" s="6">
        <v>11.24</v>
      </c>
      <c r="X9362" s="6">
        <v>12.75</v>
      </c>
      <c r="Y9362" s="6">
        <v>15.07</v>
      </c>
      <c r="Z9362" s="6">
        <v>15.21</v>
      </c>
      <c r="AA9362" s="6">
        <v>59.76</v>
      </c>
      <c r="AB9362" s="7">
        <v>9.7989999999999995</v>
      </c>
      <c r="AC9362" s="6">
        <v>934.08</v>
      </c>
    </row>
    <row r="9363" spans="1:29" ht="104" x14ac:dyDescent="0.15">
      <c r="A9363" s="3">
        <f>DATE(2009,6,30)</f>
        <v>39994</v>
      </c>
      <c r="B9363" s="3">
        <f>DATE(2010,7,7)</f>
        <v>40366</v>
      </c>
      <c r="C9363" s="2" t="s">
        <v>95</v>
      </c>
      <c r="D9363" s="2" t="s">
        <v>27608</v>
      </c>
      <c r="E9363" s="2" t="s">
        <v>27609</v>
      </c>
      <c r="F9363" s="4">
        <v>6036</v>
      </c>
      <c r="G9363" s="2" t="s">
        <v>33</v>
      </c>
      <c r="H9363" s="2" t="s">
        <v>34</v>
      </c>
      <c r="I9363" s="2" t="s">
        <v>27610</v>
      </c>
      <c r="J9363" s="2" t="s">
        <v>36</v>
      </c>
      <c r="K9363" s="2" t="s">
        <v>37</v>
      </c>
      <c r="L9363" s="2" t="s">
        <v>34</v>
      </c>
      <c r="M9363" s="7">
        <v>43.106999999999999</v>
      </c>
      <c r="N9363" s="6">
        <v>9.3800000000000008</v>
      </c>
      <c r="O9363" s="6">
        <v>10.42</v>
      </c>
      <c r="P9363" s="2" t="s">
        <v>27611</v>
      </c>
      <c r="Q9363" s="6">
        <v>100</v>
      </c>
      <c r="R9363" s="6">
        <v>9.5</v>
      </c>
      <c r="S9363" s="5">
        <v>-2.7</v>
      </c>
      <c r="T9363" s="5">
        <v>0.9</v>
      </c>
      <c r="U9363" s="5">
        <v>10.199999999999999</v>
      </c>
      <c r="V9363" s="6">
        <v>-0.55000000000000004</v>
      </c>
      <c r="W9363" s="5">
        <v>10.1</v>
      </c>
      <c r="X9363" s="6">
        <v>9.57</v>
      </c>
      <c r="Y9363" s="6">
        <v>9.24</v>
      </c>
      <c r="Z9363" s="6">
        <v>9.4600000000000009</v>
      </c>
      <c r="AA9363" s="6">
        <v>4.9400000000000004</v>
      </c>
      <c r="AB9363" s="7">
        <v>226.37799999999999</v>
      </c>
      <c r="AC9363" s="2"/>
    </row>
    <row r="9364" spans="1:29" ht="143" x14ac:dyDescent="0.15">
      <c r="A9364" s="3">
        <f>DATE(2009,7,2)</f>
        <v>39996</v>
      </c>
      <c r="B9364" s="3">
        <f>DATE(2009,9,30)</f>
        <v>40086</v>
      </c>
      <c r="C9364" s="2" t="s">
        <v>95</v>
      </c>
      <c r="D9364" s="2" t="s">
        <v>27612</v>
      </c>
      <c r="E9364" s="2" t="s">
        <v>27613</v>
      </c>
      <c r="F9364" s="4">
        <v>8748</v>
      </c>
      <c r="G9364" s="2" t="s">
        <v>223</v>
      </c>
      <c r="H9364" s="2" t="s">
        <v>34</v>
      </c>
      <c r="I9364" s="2" t="s">
        <v>27614</v>
      </c>
      <c r="J9364" s="2" t="s">
        <v>27023</v>
      </c>
      <c r="K9364" s="2" t="s">
        <v>53</v>
      </c>
      <c r="L9364" s="2" t="s">
        <v>34</v>
      </c>
      <c r="M9364" s="6">
        <v>139.69</v>
      </c>
      <c r="N9364" s="6">
        <v>13.93</v>
      </c>
      <c r="O9364" s="6">
        <v>13.93</v>
      </c>
      <c r="P9364" s="2" t="s">
        <v>27615</v>
      </c>
      <c r="Q9364" s="6">
        <v>100</v>
      </c>
      <c r="R9364" s="6">
        <v>4.6399999999999997</v>
      </c>
      <c r="S9364" s="5">
        <v>-53.9</v>
      </c>
      <c r="T9364" s="7">
        <v>-84.602000000000004</v>
      </c>
      <c r="U9364" s="5">
        <v>5.9</v>
      </c>
      <c r="V9364" s="6">
        <v>-1.91</v>
      </c>
      <c r="W9364" s="6">
        <v>4.3600000000000003</v>
      </c>
      <c r="X9364" s="6">
        <v>4.1500000000000004</v>
      </c>
      <c r="Y9364" s="4">
        <v>4</v>
      </c>
      <c r="Z9364" s="4">
        <v>4</v>
      </c>
      <c r="AA9364" s="6">
        <v>27.93</v>
      </c>
      <c r="AB9364" s="2" t="s">
        <v>86</v>
      </c>
      <c r="AC9364" s="5">
        <v>50.3</v>
      </c>
    </row>
    <row r="9365" spans="1:29" ht="169" x14ac:dyDescent="0.15">
      <c r="A9365" s="3">
        <f>DATE(2009,7,6)</f>
        <v>40000</v>
      </c>
      <c r="B9365" s="3">
        <f>DATE(2009,9,21)</f>
        <v>40077</v>
      </c>
      <c r="C9365" s="2" t="s">
        <v>95</v>
      </c>
      <c r="D9365" s="2" t="s">
        <v>27616</v>
      </c>
      <c r="E9365" s="2" t="s">
        <v>23812</v>
      </c>
      <c r="F9365" s="4">
        <v>6798</v>
      </c>
      <c r="G9365" s="2" t="s">
        <v>53</v>
      </c>
      <c r="H9365" s="2" t="s">
        <v>34</v>
      </c>
      <c r="I9365" s="2" t="s">
        <v>25091</v>
      </c>
      <c r="J9365" s="2" t="s">
        <v>1072</v>
      </c>
      <c r="K9365" s="2" t="s">
        <v>33</v>
      </c>
      <c r="L9365" s="2" t="s">
        <v>34</v>
      </c>
      <c r="M9365" s="7">
        <v>15.302</v>
      </c>
      <c r="N9365" s="5">
        <v>0.4</v>
      </c>
      <c r="O9365" s="5">
        <v>0.4</v>
      </c>
      <c r="P9365" s="2" t="s">
        <v>27617</v>
      </c>
      <c r="Q9365" s="6">
        <v>76.430000000000007</v>
      </c>
      <c r="R9365" s="6">
        <v>1.39</v>
      </c>
      <c r="S9365" s="5">
        <v>-105.5</v>
      </c>
      <c r="T9365" s="2"/>
      <c r="U9365" s="5">
        <v>8.4</v>
      </c>
      <c r="V9365" s="6">
        <v>-5.29</v>
      </c>
      <c r="W9365" s="6">
        <v>1.1399999999999999</v>
      </c>
      <c r="X9365" s="5">
        <v>1.1000000000000001</v>
      </c>
      <c r="Y9365" s="6">
        <v>1.08</v>
      </c>
      <c r="Z9365" s="5">
        <v>1.1000000000000001</v>
      </c>
      <c r="AA9365" s="6">
        <v>16.88</v>
      </c>
      <c r="AB9365" s="2" t="s">
        <v>86</v>
      </c>
      <c r="AC9365" s="2"/>
    </row>
    <row r="9366" spans="1:29" ht="195" x14ac:dyDescent="0.15">
      <c r="A9366" s="3">
        <f>DATE(2009,7,7)</f>
        <v>40001</v>
      </c>
      <c r="B9366" s="3">
        <f>DATE(2009,10,14)</f>
        <v>40100</v>
      </c>
      <c r="C9366" s="2" t="s">
        <v>95</v>
      </c>
      <c r="D9366" s="2" t="s">
        <v>19825</v>
      </c>
      <c r="E9366" s="2" t="s">
        <v>11936</v>
      </c>
      <c r="F9366" s="4">
        <v>7372</v>
      </c>
      <c r="G9366" s="2" t="s">
        <v>551</v>
      </c>
      <c r="H9366" s="2" t="s">
        <v>34</v>
      </c>
      <c r="I9366" s="2" t="s">
        <v>27618</v>
      </c>
      <c r="J9366" s="2" t="s">
        <v>11337</v>
      </c>
      <c r="K9366" s="2" t="s">
        <v>53</v>
      </c>
      <c r="L9366" s="2" t="s">
        <v>34</v>
      </c>
      <c r="M9366" s="2"/>
      <c r="N9366" s="2"/>
      <c r="O9366" s="2"/>
      <c r="P9366" s="2" t="s">
        <v>27619</v>
      </c>
      <c r="Q9366" s="6">
        <v>100</v>
      </c>
      <c r="R9366" s="6">
        <v>8.4</v>
      </c>
      <c r="S9366" s="5">
        <v>-21.6</v>
      </c>
      <c r="T9366" s="7">
        <v>24.372</v>
      </c>
      <c r="U9366" s="5">
        <v>6.8</v>
      </c>
      <c r="V9366" s="6">
        <v>-0.47</v>
      </c>
      <c r="W9366" s="6">
        <v>6.66</v>
      </c>
      <c r="X9366" s="6">
        <v>6.96</v>
      </c>
      <c r="Y9366" s="6">
        <v>6.75</v>
      </c>
      <c r="Z9366" s="6">
        <v>7.49</v>
      </c>
      <c r="AA9366" s="6">
        <v>45.52</v>
      </c>
      <c r="AB9366" s="7">
        <v>22.940999999999999</v>
      </c>
      <c r="AC9366" s="2"/>
    </row>
    <row r="9367" spans="1:29" ht="156" x14ac:dyDescent="0.15">
      <c r="A9367" s="3">
        <f>DATE(2009,7,13)</f>
        <v>40007</v>
      </c>
      <c r="B9367" s="3">
        <f>DATE(2009,12,21)</f>
        <v>40168</v>
      </c>
      <c r="C9367" s="2" t="s">
        <v>95</v>
      </c>
      <c r="D9367" s="2" t="s">
        <v>27620</v>
      </c>
      <c r="E9367" s="2" t="s">
        <v>1604</v>
      </c>
      <c r="F9367" s="4">
        <v>7375</v>
      </c>
      <c r="G9367" s="2" t="s">
        <v>223</v>
      </c>
      <c r="H9367" s="2" t="s">
        <v>34</v>
      </c>
      <c r="I9367" s="2" t="s">
        <v>15779</v>
      </c>
      <c r="J9367" s="2" t="s">
        <v>27621</v>
      </c>
      <c r="K9367" s="2" t="s">
        <v>63</v>
      </c>
      <c r="L9367" s="2" t="s">
        <v>2105</v>
      </c>
      <c r="M9367" s="12">
        <v>20958.149000000001</v>
      </c>
      <c r="N9367" s="7">
        <v>13.714</v>
      </c>
      <c r="O9367" s="7">
        <v>13.628</v>
      </c>
      <c r="P9367" s="2" t="s">
        <v>27622</v>
      </c>
      <c r="Q9367" s="6">
        <v>44.75</v>
      </c>
      <c r="R9367" s="6">
        <v>3</v>
      </c>
      <c r="S9367" s="5">
        <v>-245.9</v>
      </c>
      <c r="T9367" s="7">
        <v>31.018999999999998</v>
      </c>
      <c r="U9367" s="5">
        <v>1.1000000000000001</v>
      </c>
      <c r="V9367" s="6">
        <v>-3.36</v>
      </c>
      <c r="W9367" s="6">
        <v>1.27</v>
      </c>
      <c r="X9367" s="5">
        <v>1.3</v>
      </c>
      <c r="Y9367" s="6">
        <v>1.67</v>
      </c>
      <c r="Z9367" s="6">
        <v>1.71</v>
      </c>
      <c r="AA9367" s="6">
        <v>71.23</v>
      </c>
      <c r="AB9367" s="2" t="s">
        <v>86</v>
      </c>
      <c r="AC9367" s="10">
        <v>4122.6400000000003</v>
      </c>
    </row>
    <row r="9368" spans="1:29" ht="65" x14ac:dyDescent="0.15">
      <c r="A9368" s="3">
        <f>DATE(2009,7,13)</f>
        <v>40007</v>
      </c>
      <c r="B9368" s="2"/>
      <c r="C9368" s="2" t="s">
        <v>87</v>
      </c>
      <c r="D9368" s="2" t="s">
        <v>27623</v>
      </c>
      <c r="E9368" s="2" t="s">
        <v>27624</v>
      </c>
      <c r="F9368" s="4">
        <v>7841</v>
      </c>
      <c r="G9368" s="2" t="s">
        <v>42</v>
      </c>
      <c r="H9368" s="2" t="s">
        <v>34</v>
      </c>
      <c r="I9368" s="2" t="s">
        <v>14729</v>
      </c>
      <c r="J9368" s="2" t="s">
        <v>14730</v>
      </c>
      <c r="K9368" s="2" t="s">
        <v>73</v>
      </c>
      <c r="L9368" s="2" t="s">
        <v>34</v>
      </c>
      <c r="M9368" s="12">
        <v>35738.084000000003</v>
      </c>
      <c r="N9368" s="6">
        <v>81.47</v>
      </c>
      <c r="O9368" s="6">
        <v>81.95</v>
      </c>
      <c r="P9368" s="2" t="s">
        <v>27625</v>
      </c>
      <c r="Q9368" s="2"/>
      <c r="R9368" s="2"/>
      <c r="S9368" s="5">
        <v>97.9</v>
      </c>
      <c r="T9368" s="7">
        <v>390.38600000000002</v>
      </c>
      <c r="U9368" s="5">
        <v>0.8</v>
      </c>
      <c r="V9368" s="6">
        <v>0.23</v>
      </c>
      <c r="W9368" s="6">
        <v>39.78</v>
      </c>
      <c r="X9368" s="6">
        <v>40.07</v>
      </c>
      <c r="Y9368" s="6">
        <v>42.19</v>
      </c>
      <c r="Z9368" s="5">
        <v>43.3</v>
      </c>
      <c r="AA9368" s="6">
        <v>57.7</v>
      </c>
      <c r="AB9368" s="2" t="s">
        <v>47</v>
      </c>
      <c r="AC9368" s="8">
        <v>3212</v>
      </c>
    </row>
    <row r="9369" spans="1:29" ht="182" x14ac:dyDescent="0.15">
      <c r="A9369" s="3">
        <f>DATE(2009,7,14)</f>
        <v>40008</v>
      </c>
      <c r="B9369" s="3">
        <f>DATE(2009,8,28)</f>
        <v>40053</v>
      </c>
      <c r="C9369" s="2" t="s">
        <v>95</v>
      </c>
      <c r="D9369" s="2" t="s">
        <v>2302</v>
      </c>
      <c r="E9369" s="2" t="s">
        <v>3812</v>
      </c>
      <c r="F9369" s="4">
        <v>2834</v>
      </c>
      <c r="G9369" s="2" t="s">
        <v>130</v>
      </c>
      <c r="H9369" s="2" t="s">
        <v>34</v>
      </c>
      <c r="I9369" s="2" t="s">
        <v>27626</v>
      </c>
      <c r="J9369" s="2" t="s">
        <v>3812</v>
      </c>
      <c r="K9369" s="2" t="s">
        <v>130</v>
      </c>
      <c r="L9369" s="2" t="s">
        <v>34</v>
      </c>
      <c r="M9369" s="2"/>
      <c r="N9369" s="2"/>
      <c r="O9369" s="2"/>
      <c r="P9369" s="2" t="s">
        <v>27627</v>
      </c>
      <c r="Q9369" s="6">
        <v>95.72</v>
      </c>
      <c r="R9369" s="6">
        <v>16.5</v>
      </c>
      <c r="S9369" s="5">
        <v>26.1</v>
      </c>
      <c r="T9369" s="7">
        <v>3.9020000000000001</v>
      </c>
      <c r="U9369" s="5">
        <v>7</v>
      </c>
      <c r="V9369" s="6">
        <v>1.05</v>
      </c>
      <c r="W9369" s="6">
        <v>14.36</v>
      </c>
      <c r="X9369" s="6">
        <v>13.48</v>
      </c>
      <c r="Y9369" s="6">
        <v>16.48</v>
      </c>
      <c r="Z9369" s="6">
        <v>16.61</v>
      </c>
      <c r="AA9369" s="6">
        <v>24.91</v>
      </c>
      <c r="AB9369" s="2" t="s">
        <v>86</v>
      </c>
      <c r="AC9369" s="2"/>
    </row>
    <row r="9370" spans="1:29" ht="78" x14ac:dyDescent="0.15">
      <c r="A9370" s="3">
        <f>DATE(2009,7,20)</f>
        <v>40014</v>
      </c>
      <c r="B9370" s="2"/>
      <c r="C9370" s="2" t="s">
        <v>39</v>
      </c>
      <c r="D9370" s="2" t="s">
        <v>25487</v>
      </c>
      <c r="E9370" s="2" t="s">
        <v>25488</v>
      </c>
      <c r="F9370" s="4">
        <v>3651</v>
      </c>
      <c r="G9370" s="2" t="s">
        <v>137</v>
      </c>
      <c r="H9370" s="2" t="s">
        <v>34</v>
      </c>
      <c r="I9370" s="2" t="s">
        <v>27628</v>
      </c>
      <c r="J9370" s="2" t="s">
        <v>4655</v>
      </c>
      <c r="K9370" s="2" t="s">
        <v>53</v>
      </c>
      <c r="L9370" s="2" t="s">
        <v>24613</v>
      </c>
      <c r="M9370" s="2"/>
      <c r="N9370" s="2"/>
      <c r="O9370" s="2"/>
      <c r="P9370" s="2" t="s">
        <v>27629</v>
      </c>
      <c r="Q9370" s="2"/>
      <c r="R9370" s="2"/>
      <c r="S9370" s="5">
        <v>-422.6</v>
      </c>
      <c r="T9370" s="6">
        <v>68.930000000000007</v>
      </c>
      <c r="U9370" s="5">
        <v>14</v>
      </c>
      <c r="V9370" s="6">
        <v>-7.19</v>
      </c>
      <c r="W9370" s="5">
        <v>21.1</v>
      </c>
      <c r="X9370" s="6">
        <v>25.18</v>
      </c>
      <c r="Y9370" s="6">
        <v>20.86</v>
      </c>
      <c r="Z9370" s="6">
        <v>20.71</v>
      </c>
      <c r="AA9370" s="6">
        <v>58.66</v>
      </c>
      <c r="AB9370" s="2" t="s">
        <v>86</v>
      </c>
      <c r="AC9370" s="2"/>
    </row>
    <row r="9371" spans="1:29" ht="143" x14ac:dyDescent="0.15">
      <c r="A9371" s="3">
        <f>DATE(2009,7,22)</f>
        <v>40016</v>
      </c>
      <c r="B9371" s="3">
        <f>DATE(2009,9,25)</f>
        <v>40081</v>
      </c>
      <c r="C9371" s="2" t="s">
        <v>95</v>
      </c>
      <c r="D9371" s="2" t="s">
        <v>27630</v>
      </c>
      <c r="E9371" s="2" t="s">
        <v>27631</v>
      </c>
      <c r="F9371" s="4">
        <v>7375</v>
      </c>
      <c r="G9371" s="2" t="s">
        <v>223</v>
      </c>
      <c r="H9371" s="2" t="s">
        <v>34</v>
      </c>
      <c r="I9371" s="2" t="s">
        <v>27632</v>
      </c>
      <c r="J9371" s="2" t="s">
        <v>1032</v>
      </c>
      <c r="K9371" s="2" t="s">
        <v>53</v>
      </c>
      <c r="L9371" s="2" t="s">
        <v>34</v>
      </c>
      <c r="M9371" s="2"/>
      <c r="N9371" s="2"/>
      <c r="O9371" s="2"/>
      <c r="P9371" s="2" t="s">
        <v>27633</v>
      </c>
      <c r="Q9371" s="6">
        <v>100</v>
      </c>
      <c r="R9371" s="6">
        <v>28.5</v>
      </c>
      <c r="S9371" s="5">
        <v>15.4</v>
      </c>
      <c r="T9371" s="7">
        <v>40.735999999999997</v>
      </c>
      <c r="U9371" s="5">
        <v>13.7</v>
      </c>
      <c r="V9371" s="6">
        <v>0.8</v>
      </c>
      <c r="W9371" s="6">
        <v>24.96</v>
      </c>
      <c r="X9371" s="6">
        <v>24.62</v>
      </c>
      <c r="Y9371" s="6">
        <v>28.65</v>
      </c>
      <c r="Z9371" s="6">
        <v>28.72</v>
      </c>
      <c r="AA9371" s="6">
        <v>18.78</v>
      </c>
      <c r="AB9371" s="7">
        <v>17.436</v>
      </c>
      <c r="AC9371" s="2"/>
    </row>
    <row r="9372" spans="1:29" ht="78" x14ac:dyDescent="0.15">
      <c r="A9372" s="3">
        <f>DATE(2009,7,22)</f>
        <v>40016</v>
      </c>
      <c r="B9372" s="3">
        <f>DATE(2009,7,22)</f>
        <v>40016</v>
      </c>
      <c r="C9372" s="2" t="s">
        <v>95</v>
      </c>
      <c r="D9372" s="2" t="s">
        <v>27634</v>
      </c>
      <c r="E9372" s="2" t="s">
        <v>6711</v>
      </c>
      <c r="F9372" s="4">
        <v>2836</v>
      </c>
      <c r="G9372" s="2" t="s">
        <v>130</v>
      </c>
      <c r="H9372" s="2" t="s">
        <v>34</v>
      </c>
      <c r="I9372" s="2" t="s">
        <v>27635</v>
      </c>
      <c r="J9372" s="2" t="s">
        <v>1620</v>
      </c>
      <c r="K9372" s="2" t="s">
        <v>53</v>
      </c>
      <c r="L9372" s="2" t="s">
        <v>34</v>
      </c>
      <c r="M9372" s="2"/>
      <c r="N9372" s="2"/>
      <c r="O9372" s="2"/>
      <c r="P9372" s="2" t="s">
        <v>27636</v>
      </c>
      <c r="Q9372" s="6">
        <v>82</v>
      </c>
      <c r="R9372" s="2"/>
      <c r="S9372" s="2"/>
      <c r="T9372" s="2"/>
      <c r="U9372" s="2"/>
      <c r="V9372" s="2"/>
      <c r="W9372" s="6">
        <v>1.01</v>
      </c>
      <c r="X9372" s="6">
        <v>1.01</v>
      </c>
      <c r="Y9372" s="6">
        <v>1.01</v>
      </c>
      <c r="Z9372" s="6">
        <v>1.01</v>
      </c>
      <c r="AA9372" s="6">
        <v>15.59</v>
      </c>
      <c r="AB9372" s="2" t="s">
        <v>47</v>
      </c>
      <c r="AC9372" s="2"/>
    </row>
    <row r="9373" spans="1:29" ht="104" x14ac:dyDescent="0.15">
      <c r="A9373" s="3">
        <f>DATE(2009,7,22)</f>
        <v>40016</v>
      </c>
      <c r="B9373" s="3">
        <f>DATE(2009,7,22)</f>
        <v>40016</v>
      </c>
      <c r="C9373" s="2" t="s">
        <v>95</v>
      </c>
      <c r="D9373" s="2" t="s">
        <v>19467</v>
      </c>
      <c r="E9373" s="2" t="s">
        <v>2044</v>
      </c>
      <c r="F9373" s="4">
        <v>6798</v>
      </c>
      <c r="G9373" s="2" t="s">
        <v>53</v>
      </c>
      <c r="H9373" s="2" t="s">
        <v>34</v>
      </c>
      <c r="I9373" s="2" t="s">
        <v>12919</v>
      </c>
      <c r="J9373" s="2" t="s">
        <v>92</v>
      </c>
      <c r="K9373" s="2" t="s">
        <v>53</v>
      </c>
      <c r="L9373" s="2" t="s">
        <v>34</v>
      </c>
      <c r="M9373" s="2"/>
      <c r="N9373" s="6">
        <v>11.99</v>
      </c>
      <c r="O9373" s="6">
        <v>12.75</v>
      </c>
      <c r="P9373" s="2" t="s">
        <v>27637</v>
      </c>
      <c r="Q9373" s="6">
        <v>60.43</v>
      </c>
      <c r="R9373" s="2"/>
      <c r="S9373" s="5">
        <v>6.1</v>
      </c>
      <c r="T9373" s="7">
        <v>-2.0350000000000001</v>
      </c>
      <c r="U9373" s="5">
        <v>16.8</v>
      </c>
      <c r="V9373" s="6">
        <v>1.44</v>
      </c>
      <c r="W9373" s="5">
        <v>6.6</v>
      </c>
      <c r="X9373" s="5">
        <v>6.6</v>
      </c>
      <c r="Y9373" s="5">
        <v>6.6</v>
      </c>
      <c r="Z9373" s="4">
        <v>7</v>
      </c>
      <c r="AA9373" s="6">
        <v>4.17</v>
      </c>
      <c r="AB9373" s="2" t="s">
        <v>86</v>
      </c>
      <c r="AC9373" s="6">
        <v>0.74</v>
      </c>
    </row>
    <row r="9374" spans="1:29" ht="130" x14ac:dyDescent="0.15">
      <c r="A9374" s="3">
        <f>DATE(2009,7,22)</f>
        <v>40016</v>
      </c>
      <c r="B9374" s="3">
        <f>DATE(2009,9,1)</f>
        <v>40057</v>
      </c>
      <c r="C9374" s="2" t="s">
        <v>95</v>
      </c>
      <c r="D9374" s="2" t="s">
        <v>27638</v>
      </c>
      <c r="E9374" s="2" t="s">
        <v>2384</v>
      </c>
      <c r="F9374" s="4">
        <v>2836</v>
      </c>
      <c r="G9374" s="2" t="s">
        <v>130</v>
      </c>
      <c r="H9374" s="2" t="s">
        <v>34</v>
      </c>
      <c r="I9374" s="2" t="s">
        <v>629</v>
      </c>
      <c r="J9374" s="2" t="s">
        <v>630</v>
      </c>
      <c r="K9374" s="2" t="s">
        <v>130</v>
      </c>
      <c r="L9374" s="2" t="s">
        <v>34</v>
      </c>
      <c r="M9374" s="12">
        <v>39994.021999999997</v>
      </c>
      <c r="N9374" s="6">
        <v>20.29</v>
      </c>
      <c r="O9374" s="6">
        <v>20.86</v>
      </c>
      <c r="P9374" s="2" t="s">
        <v>27639</v>
      </c>
      <c r="Q9374" s="6">
        <v>100</v>
      </c>
      <c r="R9374" s="6">
        <v>16</v>
      </c>
      <c r="S9374" s="5">
        <v>-190.4</v>
      </c>
      <c r="T9374" s="7">
        <v>-165.64699999999999</v>
      </c>
      <c r="U9374" s="5">
        <v>1.6</v>
      </c>
      <c r="V9374" s="6">
        <v>-1.49</v>
      </c>
      <c r="W9374" s="6">
        <v>8.7200000000000006</v>
      </c>
      <c r="X9374" s="6">
        <v>8.2799999999999994</v>
      </c>
      <c r="Y9374" s="5">
        <v>8.4</v>
      </c>
      <c r="Z9374" s="6">
        <v>15.89</v>
      </c>
      <c r="AA9374" s="6">
        <v>128.54</v>
      </c>
      <c r="AB9374" s="2" t="s">
        <v>86</v>
      </c>
      <c r="AC9374" s="8">
        <v>8120</v>
      </c>
    </row>
    <row r="9375" spans="1:29" ht="52" x14ac:dyDescent="0.15">
      <c r="A9375" s="3">
        <f>DATE(2009,7,23)</f>
        <v>40017</v>
      </c>
      <c r="B9375" s="2"/>
      <c r="C9375" s="2" t="s">
        <v>7330</v>
      </c>
      <c r="D9375" s="2" t="s">
        <v>27640</v>
      </c>
      <c r="E9375" s="2" t="s">
        <v>12877</v>
      </c>
      <c r="F9375" s="4">
        <v>8748</v>
      </c>
      <c r="G9375" s="2" t="s">
        <v>223</v>
      </c>
      <c r="H9375" s="2" t="s">
        <v>34</v>
      </c>
      <c r="I9375" s="2" t="s">
        <v>27641</v>
      </c>
      <c r="J9375" s="2" t="s">
        <v>27642</v>
      </c>
      <c r="K9375" s="2" t="s">
        <v>223</v>
      </c>
      <c r="L9375" s="2" t="s">
        <v>34</v>
      </c>
      <c r="M9375" s="2"/>
      <c r="N9375" s="2"/>
      <c r="O9375" s="2"/>
      <c r="P9375" s="2" t="s">
        <v>27643</v>
      </c>
      <c r="Q9375" s="2"/>
      <c r="R9375" s="2"/>
      <c r="S9375" s="5">
        <v>-0.1</v>
      </c>
      <c r="T9375" s="2"/>
      <c r="U9375" s="5">
        <v>-1.5</v>
      </c>
      <c r="V9375" s="9">
        <v>-3.2193999999999998</v>
      </c>
      <c r="W9375" s="7">
        <v>2.3E-2</v>
      </c>
      <c r="X9375" s="6">
        <v>2.0499999999999998</v>
      </c>
      <c r="Y9375" s="6">
        <v>2.0499999999999998</v>
      </c>
      <c r="Z9375" s="6">
        <v>2.0499999999999998</v>
      </c>
      <c r="AA9375" s="6">
        <v>18.22</v>
      </c>
      <c r="AB9375" s="2" t="s">
        <v>86</v>
      </c>
      <c r="AC9375" s="2"/>
    </row>
    <row r="9376" spans="1:29" ht="130" x14ac:dyDescent="0.15">
      <c r="A9376" s="3">
        <f>DATE(2009,7,27)</f>
        <v>40021</v>
      </c>
      <c r="B9376" s="3">
        <f>DATE(2010,4,9)</f>
        <v>40277</v>
      </c>
      <c r="C9376" s="2" t="s">
        <v>95</v>
      </c>
      <c r="D9376" s="2" t="s">
        <v>21311</v>
      </c>
      <c r="E9376" s="2" t="s">
        <v>159</v>
      </c>
      <c r="F9376" s="4">
        <v>6021</v>
      </c>
      <c r="G9376" s="2" t="s">
        <v>37</v>
      </c>
      <c r="H9376" s="2" t="s">
        <v>34</v>
      </c>
      <c r="I9376" s="2" t="s">
        <v>21150</v>
      </c>
      <c r="J9376" s="2" t="s">
        <v>36</v>
      </c>
      <c r="K9376" s="2" t="s">
        <v>37</v>
      </c>
      <c r="L9376" s="2" t="s">
        <v>34</v>
      </c>
      <c r="M9376" s="12">
        <v>1731.1759999999999</v>
      </c>
      <c r="N9376" s="6">
        <v>12.51</v>
      </c>
      <c r="O9376" s="6">
        <v>12.69</v>
      </c>
      <c r="P9376" s="2" t="s">
        <v>27644</v>
      </c>
      <c r="Q9376" s="6">
        <v>100</v>
      </c>
      <c r="R9376" s="6">
        <v>5.57</v>
      </c>
      <c r="S9376" s="5">
        <v>-207.4</v>
      </c>
      <c r="T9376" s="7">
        <v>-198.261</v>
      </c>
      <c r="U9376" s="5">
        <v>5.8</v>
      </c>
      <c r="V9376" s="6">
        <v>-4.74</v>
      </c>
      <c r="W9376" s="6">
        <v>4.8099999999999996</v>
      </c>
      <c r="X9376" s="4">
        <v>4</v>
      </c>
      <c r="Y9376" s="6">
        <v>5.51</v>
      </c>
      <c r="Z9376" s="6">
        <v>5.26</v>
      </c>
      <c r="AA9376" s="6">
        <v>43.11</v>
      </c>
      <c r="AB9376" s="2" t="s">
        <v>86</v>
      </c>
      <c r="AC9376" s="2"/>
    </row>
    <row r="9377" spans="1:29" ht="65" x14ac:dyDescent="0.15">
      <c r="A9377" s="3">
        <f>DATE(2009,7,27)</f>
        <v>40021</v>
      </c>
      <c r="B9377" s="3">
        <f>DATE(2010,5,14)</f>
        <v>40312</v>
      </c>
      <c r="C9377" s="2" t="s">
        <v>95</v>
      </c>
      <c r="D9377" s="2" t="s">
        <v>27645</v>
      </c>
      <c r="E9377" s="2" t="s">
        <v>27646</v>
      </c>
      <c r="F9377" s="4">
        <v>3826</v>
      </c>
      <c r="G9377" s="2" t="s">
        <v>226</v>
      </c>
      <c r="H9377" s="2" t="s">
        <v>34</v>
      </c>
      <c r="I9377" s="2" t="s">
        <v>18107</v>
      </c>
      <c r="J9377" s="2" t="s">
        <v>18108</v>
      </c>
      <c r="K9377" s="2" t="s">
        <v>226</v>
      </c>
      <c r="L9377" s="2" t="s">
        <v>34</v>
      </c>
      <c r="M9377" s="12">
        <v>7014.7209999999995</v>
      </c>
      <c r="N9377" s="6">
        <v>22.66</v>
      </c>
      <c r="O9377" s="6">
        <v>23.29</v>
      </c>
      <c r="P9377" s="2" t="s">
        <v>27647</v>
      </c>
      <c r="Q9377" s="6">
        <v>100</v>
      </c>
      <c r="R9377" s="6">
        <v>52</v>
      </c>
      <c r="S9377" s="5">
        <v>58.4</v>
      </c>
      <c r="T9377" s="7">
        <v>127.895</v>
      </c>
      <c r="U9377" s="5">
        <v>21.6</v>
      </c>
      <c r="V9377" s="6">
        <v>2</v>
      </c>
      <c r="W9377" s="4">
        <v>38</v>
      </c>
      <c r="X9377" s="5">
        <v>39.200000000000003</v>
      </c>
      <c r="Y9377" s="6">
        <v>50.61</v>
      </c>
      <c r="Z9377" s="6">
        <v>50.56</v>
      </c>
      <c r="AA9377" s="6">
        <v>28.83</v>
      </c>
      <c r="AB9377" s="7">
        <v>13.717000000000001</v>
      </c>
      <c r="AC9377" s="8">
        <v>1412</v>
      </c>
    </row>
    <row r="9378" spans="1:29" ht="78" x14ac:dyDescent="0.15">
      <c r="A9378" s="3">
        <f>DATE(2009,7,28)</f>
        <v>40022</v>
      </c>
      <c r="B9378" s="3">
        <f>DATE(2009,10,2)</f>
        <v>40088</v>
      </c>
      <c r="C9378" s="2" t="s">
        <v>95</v>
      </c>
      <c r="D9378" s="2" t="s">
        <v>18020</v>
      </c>
      <c r="E9378" s="2" t="s">
        <v>18021</v>
      </c>
      <c r="F9378" s="4">
        <v>7372</v>
      </c>
      <c r="G9378" s="2" t="s">
        <v>551</v>
      </c>
      <c r="H9378" s="2" t="s">
        <v>34</v>
      </c>
      <c r="I9378" s="2" t="s">
        <v>5443</v>
      </c>
      <c r="J9378" s="2" t="s">
        <v>5444</v>
      </c>
      <c r="K9378" s="2" t="s">
        <v>50</v>
      </c>
      <c r="L9378" s="2" t="s">
        <v>34</v>
      </c>
      <c r="M9378" s="12">
        <v>137980.30799999999</v>
      </c>
      <c r="N9378" s="6">
        <v>117.28</v>
      </c>
      <c r="O9378" s="6">
        <v>117.26</v>
      </c>
      <c r="P9378" s="2" t="s">
        <v>27648</v>
      </c>
      <c r="Q9378" s="6">
        <v>100</v>
      </c>
      <c r="R9378" s="6">
        <v>50</v>
      </c>
      <c r="S9378" s="5">
        <v>33.9</v>
      </c>
      <c r="T9378" s="7">
        <v>74.555000000000007</v>
      </c>
      <c r="U9378" s="5">
        <v>13.8</v>
      </c>
      <c r="V9378" s="6">
        <v>1.76</v>
      </c>
      <c r="W9378" s="6">
        <v>34.090000000000003</v>
      </c>
      <c r="X9378" s="6">
        <v>35.090000000000003</v>
      </c>
      <c r="Y9378" s="6">
        <v>49.45</v>
      </c>
      <c r="Z9378" s="6">
        <v>49.45</v>
      </c>
      <c r="AA9378" s="6">
        <v>18.329999999999998</v>
      </c>
      <c r="AB9378" s="7">
        <v>13.59</v>
      </c>
      <c r="AC9378" s="8">
        <v>12736</v>
      </c>
    </row>
    <row r="9379" spans="1:29" ht="221" x14ac:dyDescent="0.15">
      <c r="A9379" s="3">
        <f>DATE(2009,7,28)</f>
        <v>40022</v>
      </c>
      <c r="B9379" s="3">
        <f>DATE(2009,11,24)</f>
        <v>40141</v>
      </c>
      <c r="C9379" s="2" t="s">
        <v>95</v>
      </c>
      <c r="D9379" s="2" t="s">
        <v>27649</v>
      </c>
      <c r="E9379" s="2" t="s">
        <v>7568</v>
      </c>
      <c r="F9379" s="4">
        <v>4812</v>
      </c>
      <c r="G9379" s="2" t="s">
        <v>63</v>
      </c>
      <c r="H9379" s="2" t="s">
        <v>34</v>
      </c>
      <c r="I9379" s="2" t="s">
        <v>14230</v>
      </c>
      <c r="J9379" s="2" t="s">
        <v>23280</v>
      </c>
      <c r="K9379" s="2" t="s">
        <v>63</v>
      </c>
      <c r="L9379" s="2" t="s">
        <v>34</v>
      </c>
      <c r="M9379" s="12">
        <v>13810.880999999999</v>
      </c>
      <c r="N9379" s="6">
        <v>4.59</v>
      </c>
      <c r="O9379" s="6">
        <v>4.05</v>
      </c>
      <c r="P9379" s="2" t="s">
        <v>27650</v>
      </c>
      <c r="Q9379" s="6">
        <v>83.43</v>
      </c>
      <c r="R9379" s="6">
        <v>5.5</v>
      </c>
      <c r="S9379" s="5">
        <v>30.3</v>
      </c>
      <c r="T9379" s="7">
        <v>131.38499999999999</v>
      </c>
      <c r="U9379" s="5">
        <v>-4</v>
      </c>
      <c r="V9379" s="6">
        <v>0.39</v>
      </c>
      <c r="W9379" s="6">
        <v>3.75</v>
      </c>
      <c r="X9379" s="6">
        <v>4.21</v>
      </c>
      <c r="Y9379" s="6">
        <v>5.28</v>
      </c>
      <c r="Z9379" s="6">
        <v>4.9400000000000004</v>
      </c>
      <c r="AA9379" s="6">
        <v>72.78</v>
      </c>
      <c r="AB9379" s="7">
        <v>6.31</v>
      </c>
      <c r="AC9379" s="8">
        <v>4609</v>
      </c>
    </row>
    <row r="9380" spans="1:29" ht="169" x14ac:dyDescent="0.15">
      <c r="A9380" s="3">
        <f>DATE(2009,7,29)</f>
        <v>40023</v>
      </c>
      <c r="B9380" s="3">
        <f>DATE(2009,12,17)</f>
        <v>40164</v>
      </c>
      <c r="C9380" s="2" t="s">
        <v>95</v>
      </c>
      <c r="D9380" s="2" t="s">
        <v>27651</v>
      </c>
      <c r="E9380" s="2" t="s">
        <v>27652</v>
      </c>
      <c r="F9380" s="4">
        <v>4491</v>
      </c>
      <c r="G9380" s="2" t="s">
        <v>173</v>
      </c>
      <c r="H9380" s="2" t="s">
        <v>34</v>
      </c>
      <c r="I9380" s="2" t="s">
        <v>24597</v>
      </c>
      <c r="J9380" s="2" t="s">
        <v>24598</v>
      </c>
      <c r="K9380" s="2" t="s">
        <v>173</v>
      </c>
      <c r="L9380" s="2" t="s">
        <v>34</v>
      </c>
      <c r="M9380" s="7">
        <v>938.54499999999996</v>
      </c>
      <c r="N9380" s="5">
        <v>34.200000000000003</v>
      </c>
      <c r="O9380" s="6">
        <v>34.869999999999997</v>
      </c>
      <c r="P9380" s="2" t="s">
        <v>27653</v>
      </c>
      <c r="Q9380" s="6">
        <v>46.68</v>
      </c>
      <c r="R9380" s="6">
        <v>10.25</v>
      </c>
      <c r="S9380" s="5">
        <v>-51.3</v>
      </c>
      <c r="T9380" s="7">
        <v>85.156000000000006</v>
      </c>
      <c r="U9380" s="5">
        <v>14.4</v>
      </c>
      <c r="V9380" s="6">
        <v>-1.7</v>
      </c>
      <c r="W9380" s="6">
        <v>6.55</v>
      </c>
      <c r="X9380" s="6">
        <v>7.25</v>
      </c>
      <c r="Y9380" s="5">
        <v>7.1</v>
      </c>
      <c r="Z9380" s="6">
        <v>8.4499999999999993</v>
      </c>
      <c r="AA9380" s="6">
        <v>15</v>
      </c>
      <c r="AB9380" s="7">
        <v>10.805</v>
      </c>
      <c r="AC9380" s="6">
        <v>615.51</v>
      </c>
    </row>
    <row r="9381" spans="1:29" ht="91" x14ac:dyDescent="0.15">
      <c r="A9381" s="3">
        <f>DATE(2009,7,31)</f>
        <v>40025</v>
      </c>
      <c r="B9381" s="2"/>
      <c r="C9381" s="2" t="s">
        <v>87</v>
      </c>
      <c r="D9381" s="2" t="s">
        <v>27654</v>
      </c>
      <c r="E9381" s="2" t="s">
        <v>10819</v>
      </c>
      <c r="F9381" s="4">
        <v>7312</v>
      </c>
      <c r="G9381" s="2" t="s">
        <v>4563</v>
      </c>
      <c r="H9381" s="2" t="s">
        <v>34</v>
      </c>
      <c r="I9381" s="2" t="s">
        <v>27655</v>
      </c>
      <c r="J9381" s="2" t="s">
        <v>27656</v>
      </c>
      <c r="K9381" s="2" t="s">
        <v>4563</v>
      </c>
      <c r="L9381" s="2" t="s">
        <v>133</v>
      </c>
      <c r="M9381" s="12">
        <v>3481.2570000000001</v>
      </c>
      <c r="N9381" s="7">
        <v>20.516999999999999</v>
      </c>
      <c r="O9381" s="6">
        <v>20.350000000000001</v>
      </c>
      <c r="P9381" s="2" t="s">
        <v>27657</v>
      </c>
      <c r="Q9381" s="2"/>
      <c r="R9381" s="2"/>
      <c r="S9381" s="8">
        <v>-3797.3</v>
      </c>
      <c r="T9381" s="5">
        <v>572.29999999999995</v>
      </c>
      <c r="U9381" s="5">
        <v>7.3</v>
      </c>
      <c r="V9381" s="6">
        <v>-6.68</v>
      </c>
      <c r="W9381" s="6">
        <v>5.66</v>
      </c>
      <c r="X9381" s="6">
        <v>5.58</v>
      </c>
      <c r="Y9381" s="6">
        <v>5.74</v>
      </c>
      <c r="Z9381" s="6">
        <v>6.29</v>
      </c>
      <c r="AA9381" s="6">
        <v>355.68</v>
      </c>
      <c r="AB9381" s="2" t="s">
        <v>47</v>
      </c>
      <c r="AC9381" s="6">
        <v>181.6</v>
      </c>
    </row>
    <row r="9382" spans="1:29" ht="130" x14ac:dyDescent="0.15">
      <c r="A9382" s="3">
        <f>DATE(2009,8,3)</f>
        <v>40028</v>
      </c>
      <c r="B9382" s="3">
        <f>DATE(2009,12,2)</f>
        <v>40149</v>
      </c>
      <c r="C9382" s="2" t="s">
        <v>95</v>
      </c>
      <c r="D9382" s="2" t="s">
        <v>27658</v>
      </c>
      <c r="E9382" s="2" t="s">
        <v>24835</v>
      </c>
      <c r="F9382" s="4">
        <v>6726</v>
      </c>
      <c r="G9382" s="2" t="s">
        <v>53</v>
      </c>
      <c r="H9382" s="2" t="s">
        <v>34</v>
      </c>
      <c r="I9382" s="2" t="s">
        <v>27659</v>
      </c>
      <c r="J9382" s="2" t="s">
        <v>244</v>
      </c>
      <c r="K9382" s="2" t="s">
        <v>53</v>
      </c>
      <c r="L9382" s="2" t="s">
        <v>34</v>
      </c>
      <c r="M9382" s="7">
        <v>332.45699999999999</v>
      </c>
      <c r="N9382" s="4">
        <v>10</v>
      </c>
      <c r="O9382" s="6">
        <v>10.06</v>
      </c>
      <c r="P9382" s="2" t="s">
        <v>27660</v>
      </c>
      <c r="Q9382" s="6">
        <v>100</v>
      </c>
      <c r="R9382" s="2"/>
      <c r="S9382" s="5">
        <v>-37.700000000000003</v>
      </c>
      <c r="T9382" s="7">
        <v>-46.314999999999998</v>
      </c>
      <c r="U9382" s="5">
        <v>7.7</v>
      </c>
      <c r="V9382" s="6">
        <v>-1.8</v>
      </c>
      <c r="W9382" s="6">
        <v>1.85</v>
      </c>
      <c r="X9382" s="7">
        <v>1.9490000000000001</v>
      </c>
      <c r="Y9382" s="6">
        <v>3.84</v>
      </c>
      <c r="Z9382" s="6">
        <v>3.83</v>
      </c>
      <c r="AA9382" s="6">
        <v>20.95</v>
      </c>
      <c r="AB9382" s="2" t="s">
        <v>86</v>
      </c>
      <c r="AC9382" s="2"/>
    </row>
    <row r="9383" spans="1:29" ht="65" x14ac:dyDescent="0.15">
      <c r="A9383" s="3">
        <f>DATE(2009,8,3)</f>
        <v>40028</v>
      </c>
      <c r="B9383" s="2"/>
      <c r="C9383" s="2" t="s">
        <v>87</v>
      </c>
      <c r="D9383" s="2" t="s">
        <v>27661</v>
      </c>
      <c r="E9383" s="2" t="s">
        <v>6292</v>
      </c>
      <c r="F9383" s="4">
        <v>2836</v>
      </c>
      <c r="G9383" s="2" t="s">
        <v>130</v>
      </c>
      <c r="H9383" s="2" t="s">
        <v>34</v>
      </c>
      <c r="I9383" s="2" t="s">
        <v>143</v>
      </c>
      <c r="J9383" s="2" t="s">
        <v>144</v>
      </c>
      <c r="K9383" s="2" t="s">
        <v>53</v>
      </c>
      <c r="L9383" s="2" t="s">
        <v>139</v>
      </c>
      <c r="M9383" s="2"/>
      <c r="N9383" s="2"/>
      <c r="O9383" s="2"/>
      <c r="P9383" s="2" t="s">
        <v>27662</v>
      </c>
      <c r="Q9383" s="2"/>
      <c r="R9383" s="2"/>
      <c r="S9383" s="5">
        <v>-28.1</v>
      </c>
      <c r="T9383" s="7">
        <v>-28.093</v>
      </c>
      <c r="U9383" s="5">
        <v>0.2</v>
      </c>
      <c r="V9383" s="6">
        <v>-7.64</v>
      </c>
      <c r="W9383" s="5">
        <v>2.2999999999999998</v>
      </c>
      <c r="X9383" s="6">
        <v>2.5299999999999998</v>
      </c>
      <c r="Y9383" s="6">
        <v>1.31</v>
      </c>
      <c r="Z9383" s="6">
        <v>1.41</v>
      </c>
      <c r="AA9383" s="2"/>
      <c r="AB9383" s="2" t="s">
        <v>86</v>
      </c>
      <c r="AC9383" s="2"/>
    </row>
    <row r="9384" spans="1:29" ht="130" x14ac:dyDescent="0.15">
      <c r="A9384" s="3">
        <f>DATE(2009,8,4)</f>
        <v>40029</v>
      </c>
      <c r="B9384" s="2"/>
      <c r="C9384" s="2" t="s">
        <v>30</v>
      </c>
      <c r="D9384" s="2" t="s">
        <v>27663</v>
      </c>
      <c r="E9384" s="2" t="s">
        <v>27664</v>
      </c>
      <c r="F9384" s="4">
        <v>7011</v>
      </c>
      <c r="G9384" s="2" t="s">
        <v>269</v>
      </c>
      <c r="H9384" s="2" t="s">
        <v>34</v>
      </c>
      <c r="I9384" s="2" t="s">
        <v>51</v>
      </c>
      <c r="J9384" s="2" t="s">
        <v>52</v>
      </c>
      <c r="K9384" s="2" t="s">
        <v>53</v>
      </c>
      <c r="L9384" s="2" t="s">
        <v>34</v>
      </c>
      <c r="M9384" s="2"/>
      <c r="N9384" s="2"/>
      <c r="O9384" s="2"/>
      <c r="P9384" s="2" t="s">
        <v>27665</v>
      </c>
      <c r="Q9384" s="2"/>
      <c r="R9384" s="2"/>
      <c r="S9384" s="5">
        <v>-677</v>
      </c>
      <c r="T9384" s="7">
        <v>63.127000000000002</v>
      </c>
      <c r="U9384" s="5">
        <v>-15.5</v>
      </c>
      <c r="V9384" s="6">
        <v>-20.329999999999998</v>
      </c>
      <c r="W9384" s="6">
        <v>16.71</v>
      </c>
      <c r="X9384" s="6">
        <v>18.190000000000001</v>
      </c>
      <c r="Y9384" s="6">
        <v>18.05</v>
      </c>
      <c r="Z9384" s="6">
        <v>18.05</v>
      </c>
      <c r="AA9384" s="6">
        <v>9.3800000000000008</v>
      </c>
      <c r="AB9384" s="2" t="s">
        <v>47</v>
      </c>
      <c r="AC9384" s="2"/>
    </row>
    <row r="9385" spans="1:29" ht="65" x14ac:dyDescent="0.15">
      <c r="A9385" s="3">
        <f>DATE(2009,8,5)</f>
        <v>40030</v>
      </c>
      <c r="B9385" s="2"/>
      <c r="C9385" s="2" t="s">
        <v>87</v>
      </c>
      <c r="D9385" s="2" t="s">
        <v>17540</v>
      </c>
      <c r="E9385" s="2" t="s">
        <v>17541</v>
      </c>
      <c r="F9385" s="4">
        <v>1531</v>
      </c>
      <c r="G9385" s="2" t="s">
        <v>341</v>
      </c>
      <c r="H9385" s="2" t="s">
        <v>34</v>
      </c>
      <c r="I9385" s="2" t="s">
        <v>27666</v>
      </c>
      <c r="J9385" s="2" t="s">
        <v>27667</v>
      </c>
      <c r="K9385" s="2" t="s">
        <v>341</v>
      </c>
      <c r="L9385" s="2" t="s">
        <v>34</v>
      </c>
      <c r="M9385" s="10">
        <v>2506.52</v>
      </c>
      <c r="N9385" s="6">
        <v>20.79</v>
      </c>
      <c r="O9385" s="6">
        <v>20.54</v>
      </c>
      <c r="P9385" s="2" t="s">
        <v>27668</v>
      </c>
      <c r="Q9385" s="2"/>
      <c r="R9385" s="2"/>
      <c r="S9385" s="5">
        <v>-916.4</v>
      </c>
      <c r="T9385" s="7">
        <v>-197.91900000000001</v>
      </c>
      <c r="U9385" s="5">
        <v>-3.2</v>
      </c>
      <c r="V9385" s="6">
        <v>-12.02</v>
      </c>
      <c r="W9385" s="6">
        <v>3.07</v>
      </c>
      <c r="X9385" s="6">
        <v>3.81</v>
      </c>
      <c r="Y9385" s="6">
        <v>4.22</v>
      </c>
      <c r="Z9385" s="6">
        <v>4.03</v>
      </c>
      <c r="AA9385" s="6">
        <v>77.209999999999994</v>
      </c>
      <c r="AB9385" s="2" t="s">
        <v>86</v>
      </c>
      <c r="AC9385" s="10">
        <v>1657.57</v>
      </c>
    </row>
    <row r="9386" spans="1:29" ht="117" x14ac:dyDescent="0.15">
      <c r="A9386" s="3">
        <f>DATE(2009,8,7)</f>
        <v>40032</v>
      </c>
      <c r="B9386" s="3">
        <f>DATE(2009,12,22)</f>
        <v>40169</v>
      </c>
      <c r="C9386" s="2" t="s">
        <v>95</v>
      </c>
      <c r="D9386" s="2" t="s">
        <v>27669</v>
      </c>
      <c r="E9386" s="2" t="s">
        <v>27670</v>
      </c>
      <c r="F9386" s="4">
        <v>2671</v>
      </c>
      <c r="G9386" s="2" t="s">
        <v>282</v>
      </c>
      <c r="H9386" s="2" t="s">
        <v>34</v>
      </c>
      <c r="I9386" s="2" t="s">
        <v>27671</v>
      </c>
      <c r="J9386" s="2" t="s">
        <v>9299</v>
      </c>
      <c r="K9386" s="2" t="s">
        <v>7998</v>
      </c>
      <c r="L9386" s="2" t="s">
        <v>34</v>
      </c>
      <c r="M9386" s="2"/>
      <c r="N9386" s="2"/>
      <c r="O9386" s="2"/>
      <c r="P9386" s="2" t="s">
        <v>27672</v>
      </c>
      <c r="Q9386" s="6">
        <v>88.57</v>
      </c>
      <c r="R9386" s="6">
        <v>5.75</v>
      </c>
      <c r="S9386" s="5">
        <v>2.1</v>
      </c>
      <c r="T9386" s="7">
        <v>6.5540000000000003</v>
      </c>
      <c r="U9386" s="5">
        <v>2.2999999999999998</v>
      </c>
      <c r="V9386" s="6">
        <v>0.31</v>
      </c>
      <c r="W9386" s="6">
        <v>5.56</v>
      </c>
      <c r="X9386" s="5">
        <v>5.5</v>
      </c>
      <c r="Y9386" s="5">
        <v>5.7</v>
      </c>
      <c r="Z9386" s="5">
        <v>5.7</v>
      </c>
      <c r="AA9386" s="6">
        <v>6.47</v>
      </c>
      <c r="AB9386" s="7">
        <v>12.675000000000001</v>
      </c>
      <c r="AC9386" s="2"/>
    </row>
    <row r="9387" spans="1:29" ht="65" x14ac:dyDescent="0.15">
      <c r="A9387" s="3">
        <f>DATE(2009,8,8)</f>
        <v>40033</v>
      </c>
      <c r="B9387" s="2"/>
      <c r="C9387" s="2" t="s">
        <v>39</v>
      </c>
      <c r="D9387" s="2" t="s">
        <v>19625</v>
      </c>
      <c r="E9387" s="2" t="s">
        <v>26835</v>
      </c>
      <c r="F9387" s="4">
        <v>7372</v>
      </c>
      <c r="G9387" s="2" t="s">
        <v>551</v>
      </c>
      <c r="H9387" s="2" t="s">
        <v>34</v>
      </c>
      <c r="I9387" s="2" t="s">
        <v>22733</v>
      </c>
      <c r="J9387" s="2" t="s">
        <v>8587</v>
      </c>
      <c r="K9387" s="2" t="s">
        <v>551</v>
      </c>
      <c r="L9387" s="2" t="s">
        <v>1049</v>
      </c>
      <c r="M9387" s="12">
        <v>48787.364999999998</v>
      </c>
      <c r="N9387" s="6">
        <v>47.27</v>
      </c>
      <c r="O9387" s="6">
        <v>47.27</v>
      </c>
      <c r="P9387" s="2" t="s">
        <v>27673</v>
      </c>
      <c r="Q9387" s="2"/>
      <c r="R9387" s="2"/>
      <c r="S9387" s="5">
        <v>59.1</v>
      </c>
      <c r="T9387" s="7">
        <v>125.205</v>
      </c>
      <c r="U9387" s="5">
        <v>4.5</v>
      </c>
      <c r="V9387" s="6">
        <v>0.33</v>
      </c>
      <c r="W9387" s="6">
        <v>8.73</v>
      </c>
      <c r="X9387" s="6">
        <v>8.4700000000000006</v>
      </c>
      <c r="Y9387" s="6">
        <v>9.59</v>
      </c>
      <c r="Z9387" s="6">
        <v>9.59</v>
      </c>
      <c r="AA9387" s="6">
        <v>174.63</v>
      </c>
      <c r="AB9387" s="2" t="s">
        <v>47</v>
      </c>
      <c r="AC9387" s="10">
        <v>5056.13</v>
      </c>
    </row>
    <row r="9388" spans="1:29" ht="78" x14ac:dyDescent="0.15">
      <c r="A9388" s="3">
        <f>DATE(2009,8,10)</f>
        <v>40035</v>
      </c>
      <c r="B9388" s="2"/>
      <c r="C9388" s="2" t="s">
        <v>87</v>
      </c>
      <c r="D9388" s="2" t="s">
        <v>2504</v>
      </c>
      <c r="E9388" s="2" t="s">
        <v>27674</v>
      </c>
      <c r="F9388" s="4">
        <v>7374</v>
      </c>
      <c r="G9388" s="2" t="s">
        <v>223</v>
      </c>
      <c r="H9388" s="2" t="s">
        <v>34</v>
      </c>
      <c r="I9388" s="2" t="s">
        <v>22733</v>
      </c>
      <c r="J9388" s="2" t="s">
        <v>8587</v>
      </c>
      <c r="K9388" s="2" t="s">
        <v>551</v>
      </c>
      <c r="L9388" s="2" t="s">
        <v>1049</v>
      </c>
      <c r="M9388" s="12">
        <v>50180.281999999999</v>
      </c>
      <c r="N9388" s="6">
        <v>47.27</v>
      </c>
      <c r="O9388" s="7">
        <v>46.781999999999996</v>
      </c>
      <c r="P9388" s="2" t="s">
        <v>27675</v>
      </c>
      <c r="Q9388" s="2"/>
      <c r="R9388" s="2"/>
      <c r="S9388" s="5">
        <v>246</v>
      </c>
      <c r="T9388" s="5">
        <v>386</v>
      </c>
      <c r="U9388" s="5">
        <v>5</v>
      </c>
      <c r="V9388" s="6">
        <v>1.39</v>
      </c>
      <c r="W9388" s="5">
        <v>25.2</v>
      </c>
      <c r="X9388" s="6">
        <v>26.88</v>
      </c>
      <c r="Y9388" s="6">
        <v>26.58</v>
      </c>
      <c r="Z9388" s="6">
        <v>26.45</v>
      </c>
      <c r="AA9388" s="6">
        <v>171.8</v>
      </c>
      <c r="AB9388" s="2" t="s">
        <v>47</v>
      </c>
      <c r="AC9388" s="10">
        <v>5056.13</v>
      </c>
    </row>
    <row r="9389" spans="1:29" ht="52" x14ac:dyDescent="0.15">
      <c r="A9389" s="3">
        <f>DATE(2009,8,13)</f>
        <v>40038</v>
      </c>
      <c r="B9389" s="3">
        <f>DATE(2010,3,30)</f>
        <v>40267</v>
      </c>
      <c r="C9389" s="2" t="s">
        <v>95</v>
      </c>
      <c r="D9389" s="2" t="s">
        <v>27676</v>
      </c>
      <c r="E9389" s="2" t="s">
        <v>1283</v>
      </c>
      <c r="F9389" s="4">
        <v>5812</v>
      </c>
      <c r="G9389" s="2" t="s">
        <v>230</v>
      </c>
      <c r="H9389" s="2" t="s">
        <v>34</v>
      </c>
      <c r="I9389" s="2" t="s">
        <v>27677</v>
      </c>
      <c r="J9389" s="2" t="s">
        <v>27678</v>
      </c>
      <c r="K9389" s="2" t="s">
        <v>230</v>
      </c>
      <c r="L9389" s="2" t="s">
        <v>34</v>
      </c>
      <c r="M9389" s="7">
        <v>296.77300000000002</v>
      </c>
      <c r="N9389" s="6">
        <v>10.85</v>
      </c>
      <c r="O9389" s="6">
        <v>10.55</v>
      </c>
      <c r="P9389" s="2" t="s">
        <v>27679</v>
      </c>
      <c r="Q9389" s="6">
        <v>100</v>
      </c>
      <c r="R9389" s="2"/>
      <c r="S9389" s="5">
        <v>4.2</v>
      </c>
      <c r="T9389" s="7">
        <v>1.2729999999999999</v>
      </c>
      <c r="U9389" s="2"/>
      <c r="V9389" s="6">
        <v>1.49</v>
      </c>
      <c r="W9389" s="6">
        <v>13.94</v>
      </c>
      <c r="X9389" s="6">
        <v>12.75</v>
      </c>
      <c r="Y9389" s="4">
        <v>14</v>
      </c>
      <c r="Z9389" s="6">
        <v>13.75</v>
      </c>
      <c r="AA9389" s="6">
        <v>2.83</v>
      </c>
      <c r="AB9389" s="7">
        <v>28.597000000000001</v>
      </c>
      <c r="AC9389" s="6">
        <v>37.840000000000003</v>
      </c>
    </row>
    <row r="9390" spans="1:29" ht="78" x14ac:dyDescent="0.15">
      <c r="A9390" s="3">
        <f>DATE(2009,8,14)</f>
        <v>40039</v>
      </c>
      <c r="B9390" s="3">
        <f>DATE(2009,10,20)</f>
        <v>40106</v>
      </c>
      <c r="C9390" s="2" t="s">
        <v>95</v>
      </c>
      <c r="D9390" s="2" t="s">
        <v>27680</v>
      </c>
      <c r="E9390" s="2" t="s">
        <v>27681</v>
      </c>
      <c r="F9390" s="4">
        <v>3448</v>
      </c>
      <c r="G9390" s="2" t="s">
        <v>163</v>
      </c>
      <c r="H9390" s="2" t="s">
        <v>34</v>
      </c>
      <c r="I9390" s="2" t="s">
        <v>27682</v>
      </c>
      <c r="J9390" s="2" t="s">
        <v>13664</v>
      </c>
      <c r="K9390" s="2" t="s">
        <v>53</v>
      </c>
      <c r="L9390" s="2" t="s">
        <v>34</v>
      </c>
      <c r="M9390" s="2"/>
      <c r="N9390" s="2"/>
      <c r="O9390" s="2"/>
      <c r="P9390" s="2" t="s">
        <v>27683</v>
      </c>
      <c r="Q9390" s="6">
        <v>84.24</v>
      </c>
      <c r="R9390" s="2"/>
      <c r="S9390" s="5">
        <v>-620.20000000000005</v>
      </c>
      <c r="T9390" s="2"/>
      <c r="U9390" s="5">
        <v>-4.5999999999999996</v>
      </c>
      <c r="V9390" s="6">
        <v>-159.30000000000001</v>
      </c>
      <c r="W9390" s="6">
        <v>3.97</v>
      </c>
      <c r="X9390" s="6">
        <v>4.04</v>
      </c>
      <c r="Y9390" s="6">
        <v>3.94</v>
      </c>
      <c r="Z9390" s="6">
        <v>3.47</v>
      </c>
      <c r="AA9390" s="6">
        <v>19.989999999999998</v>
      </c>
      <c r="AB9390" s="7">
        <v>126.627</v>
      </c>
      <c r="AC9390" s="2"/>
    </row>
    <row r="9391" spans="1:29" ht="65" x14ac:dyDescent="0.15">
      <c r="A9391" s="3">
        <f>DATE(2009,8,19)</f>
        <v>40044</v>
      </c>
      <c r="B9391" s="3">
        <f>DATE(2009,11,12)</f>
        <v>40129</v>
      </c>
      <c r="C9391" s="2" t="s">
        <v>95</v>
      </c>
      <c r="D9391" s="2" t="s">
        <v>27684</v>
      </c>
      <c r="E9391" s="2" t="s">
        <v>27685</v>
      </c>
      <c r="F9391" s="4">
        <v>7999</v>
      </c>
      <c r="G9391" s="2" t="s">
        <v>364</v>
      </c>
      <c r="H9391" s="2" t="s">
        <v>34</v>
      </c>
      <c r="I9391" s="2" t="s">
        <v>27686</v>
      </c>
      <c r="J9391" s="2" t="s">
        <v>1620</v>
      </c>
      <c r="K9391" s="2" t="s">
        <v>53</v>
      </c>
      <c r="L9391" s="2" t="s">
        <v>19418</v>
      </c>
      <c r="M9391" s="2"/>
      <c r="N9391" s="2"/>
      <c r="O9391" s="2"/>
      <c r="P9391" s="2" t="s">
        <v>27687</v>
      </c>
      <c r="Q9391" s="6">
        <v>50.23</v>
      </c>
      <c r="R9391" s="2"/>
      <c r="S9391" s="5">
        <v>-11.1</v>
      </c>
      <c r="T9391" s="7">
        <v>-3.9249999999999998</v>
      </c>
      <c r="U9391" s="5">
        <v>-3.8</v>
      </c>
      <c r="V9391" s="6">
        <v>-1.1100000000000001</v>
      </c>
      <c r="W9391" s="6">
        <v>2.0099999999999998</v>
      </c>
      <c r="X9391" s="6">
        <v>1.97</v>
      </c>
      <c r="Y9391" s="6">
        <v>2.78</v>
      </c>
      <c r="Z9391" s="5">
        <v>3.2</v>
      </c>
      <c r="AA9391" s="6">
        <v>34.19</v>
      </c>
      <c r="AB9391" s="2" t="s">
        <v>86</v>
      </c>
      <c r="AC9391" s="2"/>
    </row>
    <row r="9392" spans="1:29" ht="91" x14ac:dyDescent="0.15">
      <c r="A9392" s="3">
        <f>DATE(2009,8,19)</f>
        <v>40044</v>
      </c>
      <c r="B9392" s="2"/>
      <c r="C9392" s="2" t="s">
        <v>7330</v>
      </c>
      <c r="D9392" s="2" t="s">
        <v>27688</v>
      </c>
      <c r="E9392" s="2" t="s">
        <v>27689</v>
      </c>
      <c r="F9392" s="4">
        <v>2833</v>
      </c>
      <c r="G9392" s="2" t="s">
        <v>130</v>
      </c>
      <c r="H9392" s="2" t="s">
        <v>34</v>
      </c>
      <c r="I9392" s="2" t="s">
        <v>27690</v>
      </c>
      <c r="J9392" s="2" t="s">
        <v>150</v>
      </c>
      <c r="K9392" s="2" t="s">
        <v>53</v>
      </c>
      <c r="L9392" s="2" t="s">
        <v>34</v>
      </c>
      <c r="M9392" s="2"/>
      <c r="N9392" s="2"/>
      <c r="O9392" s="2"/>
      <c r="P9392" s="2" t="s">
        <v>27691</v>
      </c>
      <c r="Q9392" s="2"/>
      <c r="R9392" s="6">
        <v>10.75</v>
      </c>
      <c r="S9392" s="5">
        <v>-15.7</v>
      </c>
      <c r="T9392" s="7">
        <v>28.896999999999998</v>
      </c>
      <c r="U9392" s="5">
        <v>8.8000000000000007</v>
      </c>
      <c r="V9392" s="6">
        <v>-1.44</v>
      </c>
      <c r="W9392" s="6">
        <v>12.05</v>
      </c>
      <c r="X9392" s="5">
        <v>10.7</v>
      </c>
      <c r="Y9392" s="5">
        <v>10.7</v>
      </c>
      <c r="Z9392" s="6">
        <v>11.32</v>
      </c>
      <c r="AA9392" s="6">
        <v>10.92</v>
      </c>
      <c r="AB9392" s="7">
        <v>5.9</v>
      </c>
      <c r="AC9392" s="2"/>
    </row>
    <row r="9393" spans="1:29" ht="91" x14ac:dyDescent="0.15">
      <c r="A9393" s="3">
        <f>DATE(2009,8,24)</f>
        <v>40049</v>
      </c>
      <c r="B9393" s="3">
        <f>DATE(2009,11,18)</f>
        <v>40135</v>
      </c>
      <c r="C9393" s="2" t="s">
        <v>95</v>
      </c>
      <c r="D9393" s="2" t="s">
        <v>24116</v>
      </c>
      <c r="E9393" s="2" t="s">
        <v>24117</v>
      </c>
      <c r="F9393" s="4">
        <v>3841</v>
      </c>
      <c r="G9393" s="2" t="s">
        <v>226</v>
      </c>
      <c r="H9393" s="2" t="s">
        <v>34</v>
      </c>
      <c r="I9393" s="2" t="s">
        <v>24118</v>
      </c>
      <c r="J9393" s="2" t="s">
        <v>24119</v>
      </c>
      <c r="K9393" s="2" t="s">
        <v>163</v>
      </c>
      <c r="L9393" s="2" t="s">
        <v>34</v>
      </c>
      <c r="M9393" s="2"/>
      <c r="N9393" s="2"/>
      <c r="O9393" s="2"/>
      <c r="P9393" s="2" t="s">
        <v>27692</v>
      </c>
      <c r="Q9393" s="6">
        <v>10</v>
      </c>
      <c r="R9393" s="6">
        <v>5.5</v>
      </c>
      <c r="S9393" s="5">
        <v>4.8</v>
      </c>
      <c r="T9393" s="7">
        <v>33.567999999999998</v>
      </c>
      <c r="U9393" s="5">
        <v>2.4</v>
      </c>
      <c r="V9393" s="6">
        <v>-0.22</v>
      </c>
      <c r="W9393" s="6">
        <v>5.15</v>
      </c>
      <c r="X9393" s="6">
        <v>4.9400000000000004</v>
      </c>
      <c r="Y9393" s="7">
        <v>5.008</v>
      </c>
      <c r="Z9393" s="7">
        <v>5.718</v>
      </c>
      <c r="AA9393" s="6">
        <v>17.96</v>
      </c>
      <c r="AB9393" s="7">
        <v>4.83</v>
      </c>
      <c r="AC9393" s="2"/>
    </row>
    <row r="9394" spans="1:29" ht="117" x14ac:dyDescent="0.15">
      <c r="A9394" s="3">
        <f>DATE(2009,8,24)</f>
        <v>40049</v>
      </c>
      <c r="B9394" s="3">
        <f>DATE(2009,10,14)</f>
        <v>40100</v>
      </c>
      <c r="C9394" s="2" t="s">
        <v>95</v>
      </c>
      <c r="D9394" s="2" t="s">
        <v>27223</v>
      </c>
      <c r="E9394" s="2" t="s">
        <v>27224</v>
      </c>
      <c r="F9394" s="4">
        <v>5621</v>
      </c>
      <c r="G9394" s="2" t="s">
        <v>756</v>
      </c>
      <c r="H9394" s="2" t="s">
        <v>34</v>
      </c>
      <c r="I9394" s="2" t="s">
        <v>27693</v>
      </c>
      <c r="J9394" s="2" t="s">
        <v>244</v>
      </c>
      <c r="K9394" s="2" t="s">
        <v>53</v>
      </c>
      <c r="L9394" s="2" t="s">
        <v>34</v>
      </c>
      <c r="M9394" s="2"/>
      <c r="N9394" s="2"/>
      <c r="O9394" s="2"/>
      <c r="P9394" s="2" t="s">
        <v>27694</v>
      </c>
      <c r="Q9394" s="6">
        <v>100</v>
      </c>
      <c r="R9394" s="6">
        <v>17.5</v>
      </c>
      <c r="S9394" s="5">
        <v>-4.0999999999999996</v>
      </c>
      <c r="T9394" s="6">
        <v>57.36</v>
      </c>
      <c r="U9394" s="5">
        <v>9.4</v>
      </c>
      <c r="V9394" s="6">
        <v>-0.13</v>
      </c>
      <c r="W9394" s="6">
        <v>13.66</v>
      </c>
      <c r="X9394" s="6">
        <v>13.79</v>
      </c>
      <c r="Y9394" s="6">
        <v>6.47</v>
      </c>
      <c r="Z9394" s="6">
        <v>6.49</v>
      </c>
      <c r="AA9394" s="6">
        <v>21.04</v>
      </c>
      <c r="AB9394" s="7">
        <v>26.047000000000001</v>
      </c>
      <c r="AC9394" s="2"/>
    </row>
    <row r="9395" spans="1:29" ht="78" x14ac:dyDescent="0.15">
      <c r="A9395" s="3">
        <f>DATE(2009,8,25)</f>
        <v>40050</v>
      </c>
      <c r="B9395" s="2"/>
      <c r="C9395" s="2" t="s">
        <v>39</v>
      </c>
      <c r="D9395" s="2" t="s">
        <v>27695</v>
      </c>
      <c r="E9395" s="2" t="s">
        <v>27696</v>
      </c>
      <c r="F9395" s="4">
        <v>2836</v>
      </c>
      <c r="G9395" s="2" t="s">
        <v>130</v>
      </c>
      <c r="H9395" s="2" t="s">
        <v>34</v>
      </c>
      <c r="I9395" s="2" t="s">
        <v>22912</v>
      </c>
      <c r="J9395" s="2" t="s">
        <v>13055</v>
      </c>
      <c r="K9395" s="2" t="s">
        <v>130</v>
      </c>
      <c r="L9395" s="2" t="s">
        <v>303</v>
      </c>
      <c r="M9395" s="10">
        <v>99867.17</v>
      </c>
      <c r="N9395" s="7">
        <v>19.582000000000001</v>
      </c>
      <c r="O9395" s="7">
        <v>19.478999999999999</v>
      </c>
      <c r="P9395" s="2" t="s">
        <v>27697</v>
      </c>
      <c r="Q9395" s="2"/>
      <c r="R9395" s="2"/>
      <c r="S9395" s="5">
        <v>-59.4</v>
      </c>
      <c r="T9395" s="7">
        <v>-29.045999999999999</v>
      </c>
      <c r="U9395" s="5">
        <v>-0.4</v>
      </c>
      <c r="V9395" s="6">
        <v>-0.44</v>
      </c>
      <c r="W9395" s="6">
        <v>15.63</v>
      </c>
      <c r="X9395" s="6">
        <v>17.18</v>
      </c>
      <c r="Y9395" s="7">
        <v>19.206</v>
      </c>
      <c r="Z9395" s="5">
        <v>20.5</v>
      </c>
      <c r="AA9395" s="6">
        <v>136.06</v>
      </c>
      <c r="AB9395" s="2" t="s">
        <v>86</v>
      </c>
      <c r="AC9395" s="10">
        <v>9745.6299999999992</v>
      </c>
    </row>
    <row r="9396" spans="1:29" ht="52" x14ac:dyDescent="0.15">
      <c r="A9396" s="3">
        <f>DATE(2009,8,28)</f>
        <v>40053</v>
      </c>
      <c r="B9396" s="2"/>
      <c r="C9396" s="2" t="s">
        <v>87</v>
      </c>
      <c r="D9396" s="2" t="s">
        <v>27698</v>
      </c>
      <c r="E9396" s="2" t="s">
        <v>6711</v>
      </c>
      <c r="F9396" s="4">
        <v>2836</v>
      </c>
      <c r="G9396" s="2" t="s">
        <v>130</v>
      </c>
      <c r="H9396" s="2" t="s">
        <v>34</v>
      </c>
      <c r="I9396" s="2" t="s">
        <v>143</v>
      </c>
      <c r="J9396" s="2" t="s">
        <v>144</v>
      </c>
      <c r="K9396" s="2" t="s">
        <v>53</v>
      </c>
      <c r="L9396" s="2" t="s">
        <v>139</v>
      </c>
      <c r="M9396" s="2"/>
      <c r="N9396" s="2"/>
      <c r="O9396" s="2"/>
      <c r="P9396" s="2" t="s">
        <v>27699</v>
      </c>
      <c r="Q9396" s="2"/>
      <c r="R9396" s="2"/>
      <c r="S9396" s="5">
        <v>-9.8000000000000007</v>
      </c>
      <c r="T9396" s="7">
        <v>-9.2409999999999997</v>
      </c>
      <c r="U9396" s="5">
        <v>0.6</v>
      </c>
      <c r="V9396" s="6">
        <v>-0.15</v>
      </c>
      <c r="W9396" s="6">
        <v>1.51</v>
      </c>
      <c r="X9396" s="6">
        <v>1.66</v>
      </c>
      <c r="Y9396" s="6">
        <v>1.99</v>
      </c>
      <c r="Z9396" s="6">
        <v>2.11</v>
      </c>
      <c r="AA9396" s="6">
        <v>66.44</v>
      </c>
      <c r="AB9396" s="2" t="s">
        <v>86</v>
      </c>
      <c r="AC9396" s="2"/>
    </row>
    <row r="9397" spans="1:29" ht="117" x14ac:dyDescent="0.15">
      <c r="A9397" s="3">
        <f>DATE(2009,8,31)</f>
        <v>40056</v>
      </c>
      <c r="B9397" s="3">
        <f>DATE(2010,4,28)</f>
        <v>40296</v>
      </c>
      <c r="C9397" s="2" t="s">
        <v>95</v>
      </c>
      <c r="D9397" s="2" t="s">
        <v>5300</v>
      </c>
      <c r="E9397" s="2" t="s">
        <v>5301</v>
      </c>
      <c r="F9397" s="4">
        <v>1389</v>
      </c>
      <c r="G9397" s="2" t="s">
        <v>148</v>
      </c>
      <c r="H9397" s="2" t="s">
        <v>34</v>
      </c>
      <c r="I9397" s="2" t="s">
        <v>9361</v>
      </c>
      <c r="J9397" s="2" t="s">
        <v>9362</v>
      </c>
      <c r="K9397" s="2" t="s">
        <v>300</v>
      </c>
      <c r="L9397" s="2" t="s">
        <v>34</v>
      </c>
      <c r="M9397" s="12">
        <v>13098.486999999999</v>
      </c>
      <c r="N9397" s="6">
        <v>34.450000000000003</v>
      </c>
      <c r="O9397" s="6">
        <v>35.43</v>
      </c>
      <c r="P9397" s="2" t="s">
        <v>27700</v>
      </c>
      <c r="Q9397" s="6">
        <v>100</v>
      </c>
      <c r="R9397" s="6">
        <v>17.940000000000001</v>
      </c>
      <c r="S9397" s="5">
        <v>328</v>
      </c>
      <c r="T9397" s="7">
        <v>808.899</v>
      </c>
      <c r="U9397" s="5">
        <v>12.1</v>
      </c>
      <c r="V9397" s="6">
        <v>1.1100000000000001</v>
      </c>
      <c r="W9397" s="6">
        <v>15.47</v>
      </c>
      <c r="X9397" s="6">
        <v>15.43</v>
      </c>
      <c r="Y9397" s="6">
        <v>16.059999999999999</v>
      </c>
      <c r="Z9397" s="6">
        <v>16.45</v>
      </c>
      <c r="AA9397" s="6">
        <v>292.12</v>
      </c>
      <c r="AB9397" s="7">
        <v>10.775</v>
      </c>
      <c r="AC9397" s="8">
        <v>1362</v>
      </c>
    </row>
    <row r="9398" spans="1:29" ht="117" x14ac:dyDescent="0.15">
      <c r="A9398" s="3">
        <f>DATE(2009,8,31)</f>
        <v>40056</v>
      </c>
      <c r="B9398" s="3">
        <f>DATE(2009,12,31)</f>
        <v>40178</v>
      </c>
      <c r="C9398" s="2" t="s">
        <v>95</v>
      </c>
      <c r="D9398" s="2" t="s">
        <v>27701</v>
      </c>
      <c r="E9398" s="2" t="s">
        <v>27702</v>
      </c>
      <c r="F9398" s="4">
        <v>6794</v>
      </c>
      <c r="G9398" s="2" t="s">
        <v>53</v>
      </c>
      <c r="H9398" s="2" t="s">
        <v>34</v>
      </c>
      <c r="I9398" s="2" t="s">
        <v>1758</v>
      </c>
      <c r="J9398" s="2" t="s">
        <v>21697</v>
      </c>
      <c r="K9398" s="2" t="s">
        <v>364</v>
      </c>
      <c r="L9398" s="2" t="s">
        <v>34</v>
      </c>
      <c r="M9398" s="12">
        <v>47430.362000000001</v>
      </c>
      <c r="N9398" s="6">
        <v>26.04</v>
      </c>
      <c r="O9398" s="6">
        <v>25.68</v>
      </c>
      <c r="P9398" s="2" t="s">
        <v>27703</v>
      </c>
      <c r="Q9398" s="6">
        <v>100</v>
      </c>
      <c r="R9398" s="6">
        <v>50</v>
      </c>
      <c r="S9398" s="5">
        <v>187.1</v>
      </c>
      <c r="T9398" s="7">
        <v>317.529</v>
      </c>
      <c r="U9398" s="5">
        <v>5.8</v>
      </c>
      <c r="V9398" s="6">
        <v>2.38</v>
      </c>
      <c r="W9398" s="6">
        <v>38.270000000000003</v>
      </c>
      <c r="X9398" s="6">
        <v>38.65</v>
      </c>
      <c r="Y9398" s="6">
        <v>48.37</v>
      </c>
      <c r="Z9398" s="5">
        <v>47.7</v>
      </c>
      <c r="AA9398" s="6">
        <v>78.489999999999995</v>
      </c>
      <c r="AB9398" s="7">
        <v>12.068</v>
      </c>
      <c r="AC9398" s="8">
        <v>3128</v>
      </c>
    </row>
    <row r="9399" spans="1:29" ht="195" x14ac:dyDescent="0.15">
      <c r="A9399" s="3">
        <f>DATE(2009,9,3)</f>
        <v>40059</v>
      </c>
      <c r="B9399" s="3">
        <f>DATE(2009,10,20)</f>
        <v>40106</v>
      </c>
      <c r="C9399" s="2" t="s">
        <v>95</v>
      </c>
      <c r="D9399" s="2" t="s">
        <v>27704</v>
      </c>
      <c r="E9399" s="2" t="s">
        <v>2066</v>
      </c>
      <c r="F9399" s="4">
        <v>2834</v>
      </c>
      <c r="G9399" s="2" t="s">
        <v>130</v>
      </c>
      <c r="H9399" s="2" t="s">
        <v>34</v>
      </c>
      <c r="I9399" s="2" t="s">
        <v>27705</v>
      </c>
      <c r="J9399" s="2" t="s">
        <v>27706</v>
      </c>
      <c r="K9399" s="2" t="s">
        <v>130</v>
      </c>
      <c r="L9399" s="2" t="s">
        <v>34</v>
      </c>
      <c r="M9399" s="2"/>
      <c r="N9399" s="2"/>
      <c r="O9399" s="2"/>
      <c r="P9399" s="2" t="s">
        <v>27707</v>
      </c>
      <c r="Q9399" s="6">
        <v>91.42</v>
      </c>
      <c r="R9399" s="6">
        <v>23</v>
      </c>
      <c r="S9399" s="5">
        <v>187.9</v>
      </c>
      <c r="T9399" s="7">
        <v>309.17700000000002</v>
      </c>
      <c r="U9399" s="5">
        <v>7.6</v>
      </c>
      <c r="V9399" s="6">
        <v>1.65</v>
      </c>
      <c r="W9399" s="6">
        <v>18.05</v>
      </c>
      <c r="X9399" s="6">
        <v>18.03</v>
      </c>
      <c r="Y9399" s="5">
        <v>22.8</v>
      </c>
      <c r="Z9399" s="6">
        <v>22.85</v>
      </c>
      <c r="AA9399" s="6">
        <v>110.99</v>
      </c>
      <c r="AB9399" s="7">
        <v>8.6289999999999996</v>
      </c>
      <c r="AC9399" s="2"/>
    </row>
    <row r="9400" spans="1:29" ht="91" x14ac:dyDescent="0.15">
      <c r="A9400" s="3">
        <f>DATE(2009,9,4)</f>
        <v>40060</v>
      </c>
      <c r="B9400" s="2"/>
      <c r="C9400" s="2" t="s">
        <v>30</v>
      </c>
      <c r="D9400" s="2" t="s">
        <v>27708</v>
      </c>
      <c r="E9400" s="2" t="s">
        <v>6711</v>
      </c>
      <c r="F9400" s="4">
        <v>2836</v>
      </c>
      <c r="G9400" s="2" t="s">
        <v>130</v>
      </c>
      <c r="H9400" s="2" t="s">
        <v>34</v>
      </c>
      <c r="I9400" s="2" t="s">
        <v>26135</v>
      </c>
      <c r="J9400" s="2" t="s">
        <v>540</v>
      </c>
      <c r="K9400" s="2" t="s">
        <v>130</v>
      </c>
      <c r="L9400" s="2" t="s">
        <v>34</v>
      </c>
      <c r="M9400" s="12">
        <v>13657.108</v>
      </c>
      <c r="N9400" s="6">
        <v>51.01</v>
      </c>
      <c r="O9400" s="6">
        <v>51.18</v>
      </c>
      <c r="P9400" s="2" t="s">
        <v>27709</v>
      </c>
      <c r="Q9400" s="2"/>
      <c r="R9400" s="6">
        <v>17.5</v>
      </c>
      <c r="S9400" s="5">
        <v>-160.9</v>
      </c>
      <c r="T9400" s="7">
        <v>-110.676</v>
      </c>
      <c r="U9400" s="5">
        <v>13.9</v>
      </c>
      <c r="V9400" s="6">
        <v>-6.72</v>
      </c>
      <c r="W9400" s="6">
        <v>10.37</v>
      </c>
      <c r="X9400" s="6">
        <v>8.82</v>
      </c>
      <c r="Y9400" s="6">
        <v>15.38</v>
      </c>
      <c r="Z9400" s="6">
        <v>15.38</v>
      </c>
      <c r="AA9400" s="6">
        <v>24.56</v>
      </c>
      <c r="AB9400" s="2" t="s">
        <v>86</v>
      </c>
      <c r="AC9400" s="10">
        <v>1407.68</v>
      </c>
    </row>
    <row r="9401" spans="1:29" ht="208" x14ac:dyDescent="0.15">
      <c r="A9401" s="3">
        <f>DATE(2009,9,4)</f>
        <v>40060</v>
      </c>
      <c r="B9401" s="3">
        <f>DATE(2009,10,22)</f>
        <v>40108</v>
      </c>
      <c r="C9401" s="2" t="s">
        <v>95</v>
      </c>
      <c r="D9401" s="2" t="s">
        <v>27710</v>
      </c>
      <c r="E9401" s="2" t="s">
        <v>27711</v>
      </c>
      <c r="F9401" s="4">
        <v>6331</v>
      </c>
      <c r="G9401" s="2" t="s">
        <v>125</v>
      </c>
      <c r="H9401" s="2" t="s">
        <v>34</v>
      </c>
      <c r="I9401" s="2" t="s">
        <v>13362</v>
      </c>
      <c r="J9401" s="2" t="s">
        <v>13363</v>
      </c>
      <c r="K9401" s="2" t="s">
        <v>125</v>
      </c>
      <c r="L9401" s="2" t="s">
        <v>902</v>
      </c>
      <c r="M9401" s="12">
        <v>5219.3220000000001</v>
      </c>
      <c r="N9401" s="7">
        <v>347.36200000000002</v>
      </c>
      <c r="O9401" s="7">
        <v>350.81200000000001</v>
      </c>
      <c r="P9401" s="2" t="s">
        <v>27712</v>
      </c>
      <c r="Q9401" s="6">
        <v>24.38</v>
      </c>
      <c r="R9401" s="6">
        <v>65</v>
      </c>
      <c r="S9401" s="5">
        <v>356.5</v>
      </c>
      <c r="T9401" s="2"/>
      <c r="U9401" s="5">
        <v>53.2</v>
      </c>
      <c r="V9401" s="6">
        <v>5.82</v>
      </c>
      <c r="W9401" s="6">
        <v>50.11</v>
      </c>
      <c r="X9401" s="6">
        <v>50.23</v>
      </c>
      <c r="Y9401" s="6">
        <v>50.07</v>
      </c>
      <c r="Z9401" s="6">
        <v>50.07</v>
      </c>
      <c r="AA9401" s="6">
        <v>58.8</v>
      </c>
      <c r="AB9401" s="7">
        <v>5.3970000000000002</v>
      </c>
      <c r="AC9401" s="6">
        <v>840.87</v>
      </c>
    </row>
    <row r="9402" spans="1:29" ht="156" x14ac:dyDescent="0.15">
      <c r="A9402" s="3">
        <f>DATE(2009,9,8)</f>
        <v>40064</v>
      </c>
      <c r="B9402" s="3">
        <f>DATE(2009,12,15)</f>
        <v>40162</v>
      </c>
      <c r="C9402" s="2" t="s">
        <v>95</v>
      </c>
      <c r="D9402" s="2" t="s">
        <v>27713</v>
      </c>
      <c r="E9402" s="2" t="s">
        <v>13887</v>
      </c>
      <c r="F9402" s="4">
        <v>3674</v>
      </c>
      <c r="G9402" s="2" t="s">
        <v>137</v>
      </c>
      <c r="H9402" s="2" t="s">
        <v>34</v>
      </c>
      <c r="I9402" s="2" t="s">
        <v>27714</v>
      </c>
      <c r="J9402" s="2" t="s">
        <v>4865</v>
      </c>
      <c r="K9402" s="2" t="s">
        <v>137</v>
      </c>
      <c r="L9402" s="2" t="s">
        <v>34</v>
      </c>
      <c r="M9402" s="12">
        <v>1473.7239999999999</v>
      </c>
      <c r="N9402" s="6">
        <v>27.43</v>
      </c>
      <c r="O9402" s="6">
        <v>27.67</v>
      </c>
      <c r="P9402" s="2" t="s">
        <v>27715</v>
      </c>
      <c r="Q9402" s="6">
        <v>100</v>
      </c>
      <c r="R9402" s="6">
        <v>7.47</v>
      </c>
      <c r="S9402" s="5">
        <v>2.4</v>
      </c>
      <c r="T9402" s="2"/>
      <c r="U9402" s="5">
        <v>2.2999999999999998</v>
      </c>
      <c r="V9402" s="6">
        <v>0.08</v>
      </c>
      <c r="W9402" s="6">
        <v>4.97</v>
      </c>
      <c r="X9402" s="4">
        <v>5</v>
      </c>
      <c r="Y9402" s="6">
        <v>7.12</v>
      </c>
      <c r="Z9402" s="6">
        <v>7.19</v>
      </c>
      <c r="AA9402" s="6">
        <v>31.78</v>
      </c>
      <c r="AB9402" s="2" t="s">
        <v>47</v>
      </c>
      <c r="AC9402" s="6">
        <v>340.62</v>
      </c>
    </row>
    <row r="9403" spans="1:29" ht="65" x14ac:dyDescent="0.15">
      <c r="A9403" s="3">
        <f>DATE(2009,9,8)</f>
        <v>40064</v>
      </c>
      <c r="B9403" s="3">
        <f>DATE(2009,12,1)</f>
        <v>40148</v>
      </c>
      <c r="C9403" s="2" t="s">
        <v>95</v>
      </c>
      <c r="D9403" s="2" t="s">
        <v>27716</v>
      </c>
      <c r="E9403" s="2" t="s">
        <v>11160</v>
      </c>
      <c r="F9403" s="4">
        <v>4813</v>
      </c>
      <c r="G9403" s="2" t="s">
        <v>63</v>
      </c>
      <c r="H9403" s="2" t="s">
        <v>34</v>
      </c>
      <c r="I9403" s="2" t="s">
        <v>25639</v>
      </c>
      <c r="J9403" s="2" t="s">
        <v>973</v>
      </c>
      <c r="K9403" s="2" t="s">
        <v>63</v>
      </c>
      <c r="L9403" s="2" t="s">
        <v>34</v>
      </c>
      <c r="M9403" s="12">
        <v>3751.3330000000001</v>
      </c>
      <c r="N9403" s="6">
        <v>8.64</v>
      </c>
      <c r="O9403" s="5">
        <v>8.8000000000000007</v>
      </c>
      <c r="P9403" s="2" t="s">
        <v>27717</v>
      </c>
      <c r="Q9403" s="6">
        <v>100</v>
      </c>
      <c r="R9403" s="2"/>
      <c r="S9403" s="2"/>
      <c r="T9403" s="2"/>
      <c r="U9403" s="2"/>
      <c r="V9403" s="2"/>
      <c r="W9403" s="6">
        <v>41.75</v>
      </c>
      <c r="X9403" s="6">
        <v>41.75</v>
      </c>
      <c r="Y9403" s="5">
        <v>68.5</v>
      </c>
      <c r="Z9403" s="4">
        <v>68</v>
      </c>
      <c r="AA9403" s="2"/>
      <c r="AB9403" s="2" t="s">
        <v>47</v>
      </c>
      <c r="AC9403" s="5">
        <v>245.4</v>
      </c>
    </row>
    <row r="9404" spans="1:29" ht="130" x14ac:dyDescent="0.15">
      <c r="A9404" s="3">
        <f>DATE(2009,9,9)</f>
        <v>40065</v>
      </c>
      <c r="B9404" s="3">
        <f>DATE(2010,1,5)</f>
        <v>40183</v>
      </c>
      <c r="C9404" s="2" t="s">
        <v>95</v>
      </c>
      <c r="D9404" s="2" t="s">
        <v>27718</v>
      </c>
      <c r="E9404" s="2" t="s">
        <v>27719</v>
      </c>
      <c r="F9404" s="4">
        <v>3845</v>
      </c>
      <c r="G9404" s="2" t="s">
        <v>226</v>
      </c>
      <c r="H9404" s="2" t="s">
        <v>34</v>
      </c>
      <c r="I9404" s="2" t="s">
        <v>27720</v>
      </c>
      <c r="J9404" s="2" t="s">
        <v>15018</v>
      </c>
      <c r="K9404" s="2" t="s">
        <v>226</v>
      </c>
      <c r="L9404" s="2" t="s">
        <v>4242</v>
      </c>
      <c r="M9404" s="7">
        <v>243.684</v>
      </c>
      <c r="N9404" s="6">
        <v>9.33</v>
      </c>
      <c r="O9404" s="6">
        <v>9.7200000000000006</v>
      </c>
      <c r="P9404" s="2" t="s">
        <v>27721</v>
      </c>
      <c r="Q9404" s="6">
        <v>100</v>
      </c>
      <c r="R9404" s="6">
        <v>2.84</v>
      </c>
      <c r="S9404" s="5">
        <v>-22.3</v>
      </c>
      <c r="T9404" s="7">
        <v>-7.0759999999999996</v>
      </c>
      <c r="U9404" s="5">
        <v>3.4</v>
      </c>
      <c r="V9404" s="6">
        <v>-0.47</v>
      </c>
      <c r="W9404" s="5">
        <v>1.6</v>
      </c>
      <c r="X9404" s="6">
        <v>1.88</v>
      </c>
      <c r="Y9404" s="6">
        <v>2.68</v>
      </c>
      <c r="Z9404" s="6">
        <v>2.75</v>
      </c>
      <c r="AA9404" s="6">
        <v>22.89</v>
      </c>
      <c r="AB9404" s="2" t="s">
        <v>86</v>
      </c>
      <c r="AC9404" s="6">
        <v>186.12</v>
      </c>
    </row>
    <row r="9405" spans="1:29" ht="143" x14ac:dyDescent="0.15">
      <c r="A9405" s="3">
        <f>DATE(2009,9,9)</f>
        <v>40065</v>
      </c>
      <c r="B9405" s="3">
        <f>DATE(2009,11,14)</f>
        <v>40131</v>
      </c>
      <c r="C9405" s="2" t="s">
        <v>95</v>
      </c>
      <c r="D9405" s="2" t="s">
        <v>27722</v>
      </c>
      <c r="E9405" s="2" t="s">
        <v>3941</v>
      </c>
      <c r="F9405" s="4">
        <v>6798</v>
      </c>
      <c r="G9405" s="2" t="s">
        <v>53</v>
      </c>
      <c r="H9405" s="2" t="s">
        <v>34</v>
      </c>
      <c r="I9405" s="2" t="s">
        <v>27723</v>
      </c>
      <c r="J9405" s="2" t="s">
        <v>23408</v>
      </c>
      <c r="K9405" s="2" t="s">
        <v>53</v>
      </c>
      <c r="L9405" s="2" t="s">
        <v>34</v>
      </c>
      <c r="M9405" s="7">
        <v>306.56299999999999</v>
      </c>
      <c r="N9405" s="6">
        <v>9.82</v>
      </c>
      <c r="O9405" s="6">
        <v>9.82</v>
      </c>
      <c r="P9405" s="2" t="s">
        <v>27724</v>
      </c>
      <c r="Q9405" s="6">
        <v>100</v>
      </c>
      <c r="R9405" s="2"/>
      <c r="S9405" s="2"/>
      <c r="T9405" s="2"/>
      <c r="U9405" s="2"/>
      <c r="V9405" s="2"/>
      <c r="W9405" s="5">
        <v>33.5</v>
      </c>
      <c r="X9405" s="5">
        <v>33.5</v>
      </c>
      <c r="Y9405" s="4">
        <v>38</v>
      </c>
      <c r="Z9405" s="4">
        <v>38</v>
      </c>
      <c r="AA9405" s="6">
        <v>6.65</v>
      </c>
      <c r="AB9405" s="2" t="s">
        <v>47</v>
      </c>
      <c r="AC9405" s="6">
        <v>25.83</v>
      </c>
    </row>
    <row r="9406" spans="1:29" ht="143" x14ac:dyDescent="0.15">
      <c r="A9406" s="3">
        <f>DATE(2009,9,9)</f>
        <v>40065</v>
      </c>
      <c r="B9406" s="3">
        <f>DATE(2010,10,6)</f>
        <v>40457</v>
      </c>
      <c r="C9406" s="2" t="s">
        <v>95</v>
      </c>
      <c r="D9406" s="2" t="s">
        <v>25029</v>
      </c>
      <c r="E9406" s="2" t="s">
        <v>25030</v>
      </c>
      <c r="F9406" s="4">
        <v>5812</v>
      </c>
      <c r="G9406" s="2" t="s">
        <v>230</v>
      </c>
      <c r="H9406" s="2" t="s">
        <v>34</v>
      </c>
      <c r="I9406" s="2" t="s">
        <v>27725</v>
      </c>
      <c r="J9406" s="2" t="s">
        <v>150</v>
      </c>
      <c r="K9406" s="2" t="s">
        <v>53</v>
      </c>
      <c r="L9406" s="2" t="s">
        <v>34</v>
      </c>
      <c r="M9406" s="2"/>
      <c r="N9406" s="2"/>
      <c r="O9406" s="2"/>
      <c r="P9406" s="2" t="s">
        <v>27726</v>
      </c>
      <c r="Q9406" s="6">
        <v>44.9</v>
      </c>
      <c r="R9406" s="6">
        <v>24.5</v>
      </c>
      <c r="S9406" s="2"/>
      <c r="T9406" s="2"/>
      <c r="U9406" s="5">
        <v>19.7</v>
      </c>
      <c r="V9406" s="2"/>
      <c r="W9406" s="6">
        <v>9.7100000000000009</v>
      </c>
      <c r="X9406" s="6">
        <v>10.86</v>
      </c>
      <c r="Y9406" s="6">
        <v>11.13</v>
      </c>
      <c r="Z9406" s="6">
        <v>11.61</v>
      </c>
      <c r="AA9406" s="6">
        <v>16.14</v>
      </c>
      <c r="AB9406" s="2" t="s">
        <v>47</v>
      </c>
      <c r="AC9406" s="2"/>
    </row>
    <row r="9407" spans="1:29" ht="52" x14ac:dyDescent="0.15">
      <c r="A9407" s="3">
        <f>DATE(2009,9,10)</f>
        <v>40066</v>
      </c>
      <c r="B9407" s="3">
        <f>DATE(2013,5,1)</f>
        <v>41395</v>
      </c>
      <c r="C9407" s="2" t="s">
        <v>95</v>
      </c>
      <c r="D9407" s="2" t="s">
        <v>26019</v>
      </c>
      <c r="E9407" s="2" t="s">
        <v>16453</v>
      </c>
      <c r="F9407" s="4">
        <v>4812</v>
      </c>
      <c r="G9407" s="2" t="s">
        <v>63</v>
      </c>
      <c r="H9407" s="2" t="s">
        <v>34</v>
      </c>
      <c r="I9407" s="2" t="s">
        <v>14984</v>
      </c>
      <c r="J9407" s="2" t="s">
        <v>6519</v>
      </c>
      <c r="K9407" s="2" t="s">
        <v>63</v>
      </c>
      <c r="L9407" s="2" t="s">
        <v>1049</v>
      </c>
      <c r="M9407" s="12">
        <v>56463.440999999999</v>
      </c>
      <c r="N9407" s="7">
        <v>13.907</v>
      </c>
      <c r="O9407" s="7">
        <v>13.895</v>
      </c>
      <c r="P9407" s="2" t="s">
        <v>27727</v>
      </c>
      <c r="Q9407" s="6">
        <v>74</v>
      </c>
      <c r="R9407" s="2"/>
      <c r="S9407" s="5">
        <v>129.6</v>
      </c>
      <c r="T9407" s="7">
        <v>782.96500000000003</v>
      </c>
      <c r="U9407" s="5">
        <v>12.2</v>
      </c>
      <c r="V9407" s="6">
        <v>0.74</v>
      </c>
      <c r="W9407" s="6">
        <v>7.99</v>
      </c>
      <c r="X9407" s="6">
        <v>8.25</v>
      </c>
      <c r="Y9407" s="6">
        <v>8.8800000000000008</v>
      </c>
      <c r="Z9407" s="6">
        <v>9.6199999999999992</v>
      </c>
      <c r="AA9407" s="6">
        <v>352.15</v>
      </c>
      <c r="AB9407" s="2" t="s">
        <v>47</v>
      </c>
      <c r="AC9407" s="10">
        <v>10907.94</v>
      </c>
    </row>
    <row r="9408" spans="1:29" ht="78" x14ac:dyDescent="0.15">
      <c r="A9408" s="3">
        <f>DATE(2009,9,13)</f>
        <v>40069</v>
      </c>
      <c r="B9408" s="2"/>
      <c r="C9408" s="2" t="s">
        <v>87</v>
      </c>
      <c r="D9408" s="2" t="s">
        <v>14230</v>
      </c>
      <c r="E9408" s="2" t="s">
        <v>23280</v>
      </c>
      <c r="F9408" s="4">
        <v>4813</v>
      </c>
      <c r="G9408" s="2" t="s">
        <v>63</v>
      </c>
      <c r="H9408" s="2" t="s">
        <v>34</v>
      </c>
      <c r="I9408" s="2" t="s">
        <v>14984</v>
      </c>
      <c r="J9408" s="2" t="s">
        <v>6519</v>
      </c>
      <c r="K9408" s="2" t="s">
        <v>63</v>
      </c>
      <c r="L9408" s="2" t="s">
        <v>1049</v>
      </c>
      <c r="M9408" s="12">
        <v>56173.775999999998</v>
      </c>
      <c r="N9408" s="7">
        <v>13.789</v>
      </c>
      <c r="O9408" s="7">
        <v>13.789</v>
      </c>
      <c r="P9408" s="2" t="s">
        <v>27728</v>
      </c>
      <c r="Q9408" s="2"/>
      <c r="R9408" s="2"/>
      <c r="S9408" s="8">
        <v>-2925</v>
      </c>
      <c r="T9408" s="8">
        <v>7051</v>
      </c>
      <c r="U9408" s="5">
        <v>6.5</v>
      </c>
      <c r="V9408" s="6">
        <v>-1.02</v>
      </c>
      <c r="W9408" s="6">
        <v>3.81</v>
      </c>
      <c r="X9408" s="6">
        <v>3.77</v>
      </c>
      <c r="Y9408" s="6">
        <v>4.1500000000000004</v>
      </c>
      <c r="Z9408" s="6">
        <v>4.1500000000000004</v>
      </c>
      <c r="AA9408" s="10">
        <v>2875.85</v>
      </c>
      <c r="AB9408" s="2" t="s">
        <v>86</v>
      </c>
      <c r="AC9408" s="10">
        <v>10907.94</v>
      </c>
    </row>
    <row r="9409" spans="1:29" ht="65" x14ac:dyDescent="0.15">
      <c r="A9409" s="3">
        <f>DATE(2009,9,14)</f>
        <v>40070</v>
      </c>
      <c r="B9409" s="2"/>
      <c r="C9409" s="2" t="s">
        <v>7330</v>
      </c>
      <c r="D9409" s="2" t="s">
        <v>27729</v>
      </c>
      <c r="E9409" s="2" t="s">
        <v>27730</v>
      </c>
      <c r="F9409" s="4">
        <v>2911</v>
      </c>
      <c r="G9409" s="2" t="s">
        <v>148</v>
      </c>
      <c r="H9409" s="2" t="s">
        <v>34</v>
      </c>
      <c r="I9409" s="2" t="s">
        <v>27731</v>
      </c>
      <c r="J9409" s="2" t="s">
        <v>9299</v>
      </c>
      <c r="K9409" s="2" t="s">
        <v>7998</v>
      </c>
      <c r="L9409" s="2" t="s">
        <v>4242</v>
      </c>
      <c r="M9409" s="2"/>
      <c r="N9409" s="2"/>
      <c r="O9409" s="2"/>
      <c r="P9409" s="2" t="s">
        <v>27732</v>
      </c>
      <c r="Q9409" s="2"/>
      <c r="R9409" s="2"/>
      <c r="S9409" s="5">
        <v>108.8</v>
      </c>
      <c r="T9409" s="7">
        <v>107.633</v>
      </c>
      <c r="U9409" s="5">
        <v>9.3000000000000007</v>
      </c>
      <c r="V9409" s="6">
        <v>2.09</v>
      </c>
      <c r="W9409" s="6">
        <v>10.07</v>
      </c>
      <c r="X9409" s="6">
        <v>10.15</v>
      </c>
      <c r="Y9409" s="6">
        <v>10.24</v>
      </c>
      <c r="Z9409" s="6">
        <v>10.18</v>
      </c>
      <c r="AA9409" s="6">
        <v>46.82</v>
      </c>
      <c r="AB9409" s="2" t="s">
        <v>47</v>
      </c>
      <c r="AC9409" s="2"/>
    </row>
    <row r="9410" spans="1:29" ht="117" x14ac:dyDescent="0.15">
      <c r="A9410" s="3">
        <f>DATE(2009,9,15)</f>
        <v>40071</v>
      </c>
      <c r="B9410" s="3">
        <f>DATE(2009,10,23)</f>
        <v>40109</v>
      </c>
      <c r="C9410" s="2" t="s">
        <v>95</v>
      </c>
      <c r="D9410" s="2" t="s">
        <v>26169</v>
      </c>
      <c r="E9410" s="2" t="s">
        <v>26170</v>
      </c>
      <c r="F9410" s="4">
        <v>7372</v>
      </c>
      <c r="G9410" s="2" t="s">
        <v>551</v>
      </c>
      <c r="H9410" s="2" t="s">
        <v>34</v>
      </c>
      <c r="I9410" s="2" t="s">
        <v>6406</v>
      </c>
      <c r="J9410" s="2" t="s">
        <v>781</v>
      </c>
      <c r="K9410" s="2" t="s">
        <v>551</v>
      </c>
      <c r="L9410" s="2" t="s">
        <v>34</v>
      </c>
      <c r="M9410" s="12">
        <v>16652.937000000002</v>
      </c>
      <c r="N9410" s="6">
        <v>35.619999999999997</v>
      </c>
      <c r="O9410" s="6">
        <v>33.35</v>
      </c>
      <c r="P9410" s="2" t="s">
        <v>27733</v>
      </c>
      <c r="Q9410" s="6">
        <v>100</v>
      </c>
      <c r="R9410" s="6">
        <v>21.5</v>
      </c>
      <c r="S9410" s="5">
        <v>13.1</v>
      </c>
      <c r="T9410" s="7">
        <v>19.864999999999998</v>
      </c>
      <c r="U9410" s="2"/>
      <c r="V9410" s="6">
        <v>-0.17</v>
      </c>
      <c r="W9410" s="5">
        <v>15.4</v>
      </c>
      <c r="X9410" s="4">
        <v>17</v>
      </c>
      <c r="Y9410" s="6">
        <v>17.32</v>
      </c>
      <c r="Z9410" s="6">
        <v>21.88</v>
      </c>
      <c r="AA9410" s="6">
        <v>89.25</v>
      </c>
      <c r="AB9410" s="2" t="s">
        <v>86</v>
      </c>
      <c r="AC9410" s="10">
        <v>2561.15</v>
      </c>
    </row>
    <row r="9411" spans="1:29" ht="78" x14ac:dyDescent="0.15">
      <c r="A9411" s="3">
        <f>DATE(2009,9,15)</f>
        <v>40071</v>
      </c>
      <c r="B9411" s="3">
        <f>DATE(2009,10,29)</f>
        <v>40115</v>
      </c>
      <c r="C9411" s="2" t="s">
        <v>95</v>
      </c>
      <c r="D9411" s="2" t="s">
        <v>27734</v>
      </c>
      <c r="E9411" s="2" t="s">
        <v>1435</v>
      </c>
      <c r="F9411" s="4">
        <v>1311</v>
      </c>
      <c r="G9411" s="2" t="s">
        <v>148</v>
      </c>
      <c r="H9411" s="2" t="s">
        <v>34</v>
      </c>
      <c r="I9411" s="2" t="s">
        <v>27735</v>
      </c>
      <c r="J9411" s="2" t="s">
        <v>244</v>
      </c>
      <c r="K9411" s="2" t="s">
        <v>53</v>
      </c>
      <c r="L9411" s="2" t="s">
        <v>34</v>
      </c>
      <c r="M9411" s="2"/>
      <c r="N9411" s="2"/>
      <c r="O9411" s="2"/>
      <c r="P9411" s="2" t="s">
        <v>27736</v>
      </c>
      <c r="Q9411" s="6">
        <v>87.38</v>
      </c>
      <c r="R9411" s="6">
        <v>3.15</v>
      </c>
      <c r="S9411" s="5">
        <v>-130</v>
      </c>
      <c r="T9411" s="7">
        <v>76.727000000000004</v>
      </c>
      <c r="U9411" s="5">
        <v>1.9</v>
      </c>
      <c r="V9411" s="6">
        <v>-3.13</v>
      </c>
      <c r="W9411" s="6">
        <v>2.08</v>
      </c>
      <c r="X9411" s="6">
        <v>2.84</v>
      </c>
      <c r="Y9411" s="6">
        <v>3.13</v>
      </c>
      <c r="Z9411" s="6">
        <v>3.13</v>
      </c>
      <c r="AA9411" s="6">
        <v>41.65</v>
      </c>
      <c r="AB9411" s="7">
        <v>11.801</v>
      </c>
      <c r="AC9411" s="2"/>
    </row>
    <row r="9412" spans="1:29" ht="91" x14ac:dyDescent="0.15">
      <c r="A9412" s="3">
        <f>DATE(2009,9,16)</f>
        <v>40072</v>
      </c>
      <c r="B9412" s="3">
        <f>DATE(2009,11,25)</f>
        <v>40142</v>
      </c>
      <c r="C9412" s="2" t="s">
        <v>95</v>
      </c>
      <c r="D9412" s="2" t="s">
        <v>27737</v>
      </c>
      <c r="E9412" s="2" t="s">
        <v>27738</v>
      </c>
      <c r="F9412" s="4">
        <v>3489</v>
      </c>
      <c r="G9412" s="2" t="s">
        <v>163</v>
      </c>
      <c r="H9412" s="2" t="s">
        <v>34</v>
      </c>
      <c r="I9412" s="2" t="s">
        <v>27739</v>
      </c>
      <c r="J9412" s="2" t="s">
        <v>27740</v>
      </c>
      <c r="K9412" s="2" t="s">
        <v>163</v>
      </c>
      <c r="L9412" s="2" t="s">
        <v>303</v>
      </c>
      <c r="M9412" s="12">
        <v>1206.2449999999999</v>
      </c>
      <c r="N9412" s="7">
        <v>38.792000000000002</v>
      </c>
      <c r="O9412" s="6">
        <v>40.520000000000003</v>
      </c>
      <c r="P9412" s="2" t="s">
        <v>27741</v>
      </c>
      <c r="Q9412" s="6">
        <v>100</v>
      </c>
      <c r="R9412" s="6">
        <v>19.18</v>
      </c>
      <c r="S9412" s="5">
        <v>6.6</v>
      </c>
      <c r="T9412" s="7">
        <v>11.457000000000001</v>
      </c>
      <c r="U9412" s="5">
        <v>2.1</v>
      </c>
      <c r="V9412" s="6">
        <v>0.97</v>
      </c>
      <c r="W9412" s="7">
        <v>10.085000000000001</v>
      </c>
      <c r="X9412" s="6">
        <v>11.88</v>
      </c>
      <c r="Y9412" s="6">
        <v>18.809999999999999</v>
      </c>
      <c r="Z9412" s="6">
        <v>18.82</v>
      </c>
      <c r="AA9412" s="6">
        <v>6.83</v>
      </c>
      <c r="AB9412" s="7">
        <v>11.696</v>
      </c>
      <c r="AC9412" s="6">
        <v>111.84</v>
      </c>
    </row>
    <row r="9413" spans="1:29" ht="91" x14ac:dyDescent="0.15">
      <c r="A9413" s="3">
        <f>DATE(2009,9,16)</f>
        <v>40072</v>
      </c>
      <c r="B9413" s="3">
        <f>DATE(2009,12,28)</f>
        <v>40175</v>
      </c>
      <c r="C9413" s="2" t="s">
        <v>95</v>
      </c>
      <c r="D9413" s="2" t="s">
        <v>17722</v>
      </c>
      <c r="E9413" s="2" t="s">
        <v>17723</v>
      </c>
      <c r="F9413" s="4">
        <v>2015</v>
      </c>
      <c r="G9413" s="2" t="s">
        <v>577</v>
      </c>
      <c r="H9413" s="2" t="s">
        <v>34</v>
      </c>
      <c r="I9413" s="2" t="s">
        <v>27742</v>
      </c>
      <c r="J9413" s="2" t="s">
        <v>27743</v>
      </c>
      <c r="K9413" s="2" t="s">
        <v>577</v>
      </c>
      <c r="L9413" s="2" t="s">
        <v>34</v>
      </c>
      <c r="M9413" s="2"/>
      <c r="N9413" s="2"/>
      <c r="O9413" s="2"/>
      <c r="P9413" s="2" t="s">
        <v>27744</v>
      </c>
      <c r="Q9413" s="2"/>
      <c r="R9413" s="2"/>
      <c r="S9413" s="8">
        <v>-1029</v>
      </c>
      <c r="T9413" s="7">
        <v>-168.679</v>
      </c>
      <c r="U9413" s="5">
        <v>1.6</v>
      </c>
      <c r="V9413" s="6">
        <v>-14.72</v>
      </c>
      <c r="W9413" s="5">
        <v>0.4</v>
      </c>
      <c r="X9413" s="6">
        <v>1.1499999999999999</v>
      </c>
      <c r="Y9413" s="7">
        <v>0.624</v>
      </c>
      <c r="Z9413" s="7">
        <v>0.14499999999999999</v>
      </c>
      <c r="AA9413" s="6">
        <v>74.06</v>
      </c>
      <c r="AB9413" s="2" t="s">
        <v>86</v>
      </c>
      <c r="AC9413" s="2"/>
    </row>
    <row r="9414" spans="1:29" ht="130" x14ac:dyDescent="0.15">
      <c r="A9414" s="3">
        <f>DATE(2009,9,16)</f>
        <v>40072</v>
      </c>
      <c r="B9414" s="3">
        <f>DATE(2009,12,28)</f>
        <v>40175</v>
      </c>
      <c r="C9414" s="2" t="s">
        <v>95</v>
      </c>
      <c r="D9414" s="2" t="s">
        <v>17722</v>
      </c>
      <c r="E9414" s="2" t="s">
        <v>17723</v>
      </c>
      <c r="F9414" s="4">
        <v>2015</v>
      </c>
      <c r="G9414" s="2" t="s">
        <v>577</v>
      </c>
      <c r="H9414" s="2" t="s">
        <v>34</v>
      </c>
      <c r="I9414" s="2" t="s">
        <v>27742</v>
      </c>
      <c r="J9414" s="2" t="s">
        <v>27743</v>
      </c>
      <c r="K9414" s="2" t="s">
        <v>577</v>
      </c>
      <c r="L9414" s="2" t="s">
        <v>34</v>
      </c>
      <c r="M9414" s="2"/>
      <c r="N9414" s="2"/>
      <c r="O9414" s="2"/>
      <c r="P9414" s="2" t="s">
        <v>27745</v>
      </c>
      <c r="Q9414" s="6">
        <v>64</v>
      </c>
      <c r="R9414" s="2"/>
      <c r="S9414" s="8">
        <v>-1029</v>
      </c>
      <c r="T9414" s="7">
        <v>-168.679</v>
      </c>
      <c r="U9414" s="5">
        <v>1.6</v>
      </c>
      <c r="V9414" s="6">
        <v>-14.72</v>
      </c>
      <c r="W9414" s="5">
        <v>0.4</v>
      </c>
      <c r="X9414" s="6">
        <v>1.1499999999999999</v>
      </c>
      <c r="Y9414" s="7">
        <v>0.624</v>
      </c>
      <c r="Z9414" s="7">
        <v>0.14499999999999999</v>
      </c>
      <c r="AA9414" s="6">
        <v>74.06</v>
      </c>
      <c r="AB9414" s="2" t="s">
        <v>86</v>
      </c>
      <c r="AC9414" s="2"/>
    </row>
    <row r="9415" spans="1:29" ht="117" x14ac:dyDescent="0.15">
      <c r="A9415" s="3">
        <f>DATE(2009,9,21)</f>
        <v>40077</v>
      </c>
      <c r="B9415" s="3">
        <f>DATE(2009,11,3)</f>
        <v>40120</v>
      </c>
      <c r="C9415" s="2" t="s">
        <v>95</v>
      </c>
      <c r="D9415" s="2" t="s">
        <v>17408</v>
      </c>
      <c r="E9415" s="2" t="s">
        <v>4572</v>
      </c>
      <c r="F9415" s="4">
        <v>7374</v>
      </c>
      <c r="G9415" s="2" t="s">
        <v>223</v>
      </c>
      <c r="H9415" s="2" t="s">
        <v>34</v>
      </c>
      <c r="I9415" s="2" t="s">
        <v>27746</v>
      </c>
      <c r="J9415" s="2" t="s">
        <v>27747</v>
      </c>
      <c r="K9415" s="2" t="s">
        <v>50</v>
      </c>
      <c r="L9415" s="2" t="s">
        <v>34</v>
      </c>
      <c r="M9415" s="12">
        <v>28904.113000000001</v>
      </c>
      <c r="N9415" s="6">
        <v>16.010000000000002</v>
      </c>
      <c r="O9415" s="6">
        <v>15.73</v>
      </c>
      <c r="P9415" s="2" t="s">
        <v>27748</v>
      </c>
      <c r="Q9415" s="6">
        <v>100</v>
      </c>
      <c r="R9415" s="6">
        <v>30</v>
      </c>
      <c r="S9415" s="5">
        <v>118</v>
      </c>
      <c r="T9415" s="5">
        <v>294</v>
      </c>
      <c r="U9415" s="5">
        <v>11.5</v>
      </c>
      <c r="V9415" s="6">
        <v>0.98</v>
      </c>
      <c r="W9415" s="6">
        <v>17.18</v>
      </c>
      <c r="X9415" s="6">
        <v>17.91</v>
      </c>
      <c r="Y9415" s="6">
        <v>29.56</v>
      </c>
      <c r="Z9415" s="6">
        <v>29.56</v>
      </c>
      <c r="AA9415" s="6">
        <v>120.93</v>
      </c>
      <c r="AB9415" s="7">
        <v>19.109000000000002</v>
      </c>
      <c r="AC9415" s="8">
        <v>12198</v>
      </c>
    </row>
    <row r="9416" spans="1:29" ht="65" x14ac:dyDescent="0.15">
      <c r="A9416" s="3">
        <f>DATE(2009,9,22)</f>
        <v>40078</v>
      </c>
      <c r="B9416" s="2"/>
      <c r="C9416" s="2" t="s">
        <v>87</v>
      </c>
      <c r="D9416" s="2" t="s">
        <v>27749</v>
      </c>
      <c r="E9416" s="2" t="s">
        <v>3834</v>
      </c>
      <c r="F9416" s="4">
        <v>7372</v>
      </c>
      <c r="G9416" s="2" t="s">
        <v>551</v>
      </c>
      <c r="H9416" s="2" t="s">
        <v>34</v>
      </c>
      <c r="I9416" s="2" t="s">
        <v>22127</v>
      </c>
      <c r="J9416" s="2" t="s">
        <v>22128</v>
      </c>
      <c r="K9416" s="2" t="s">
        <v>42</v>
      </c>
      <c r="L9416" s="2" t="s">
        <v>34</v>
      </c>
      <c r="M9416" s="12">
        <v>33837.377999999997</v>
      </c>
      <c r="N9416" s="6">
        <v>30.14</v>
      </c>
      <c r="O9416" s="6">
        <v>29.38</v>
      </c>
      <c r="P9416" s="2" t="s">
        <v>27750</v>
      </c>
      <c r="Q9416" s="2"/>
      <c r="R9416" s="2"/>
      <c r="S9416" s="5">
        <v>-397.5</v>
      </c>
      <c r="T9416" s="7">
        <v>180.70400000000001</v>
      </c>
      <c r="U9416" s="5">
        <v>48.6</v>
      </c>
      <c r="V9416" s="6">
        <v>-59.4</v>
      </c>
      <c r="W9416" s="6">
        <v>6.38</v>
      </c>
      <c r="X9416" s="6">
        <v>6.63</v>
      </c>
      <c r="Y9416" s="6">
        <v>7.46</v>
      </c>
      <c r="Z9416" s="6">
        <v>7.41</v>
      </c>
      <c r="AA9416" s="6">
        <v>67.459999999999994</v>
      </c>
      <c r="AB9416" s="2" t="s">
        <v>86</v>
      </c>
      <c r="AC9416" s="8">
        <v>7009</v>
      </c>
    </row>
    <row r="9417" spans="1:29" ht="52" x14ac:dyDescent="0.15">
      <c r="A9417" s="3">
        <f>DATE(2009,9,23)</f>
        <v>40079</v>
      </c>
      <c r="B9417" s="2"/>
      <c r="C9417" s="2" t="s">
        <v>39</v>
      </c>
      <c r="D9417" s="2" t="s">
        <v>4641</v>
      </c>
      <c r="E9417" s="2" t="s">
        <v>4642</v>
      </c>
      <c r="F9417" s="4">
        <v>7372</v>
      </c>
      <c r="G9417" s="2" t="s">
        <v>551</v>
      </c>
      <c r="H9417" s="2" t="s">
        <v>34</v>
      </c>
      <c r="I9417" s="2" t="s">
        <v>15288</v>
      </c>
      <c r="J9417" s="2" t="s">
        <v>1550</v>
      </c>
      <c r="K9417" s="2" t="s">
        <v>551</v>
      </c>
      <c r="L9417" s="2" t="s">
        <v>34</v>
      </c>
      <c r="M9417" s="12">
        <v>218757.04199999999</v>
      </c>
      <c r="N9417" s="6">
        <v>25.72</v>
      </c>
      <c r="O9417" s="6">
        <v>25.94</v>
      </c>
      <c r="P9417" s="2" t="s">
        <v>27751</v>
      </c>
      <c r="Q9417" s="2"/>
      <c r="R9417" s="2"/>
      <c r="S9417" s="8">
        <v>-1227</v>
      </c>
      <c r="T9417" s="5">
        <v>-324</v>
      </c>
      <c r="U9417" s="5">
        <v>9.3000000000000007</v>
      </c>
      <c r="V9417" s="6">
        <v>-3.81</v>
      </c>
      <c r="W9417" s="6">
        <v>18.850000000000001</v>
      </c>
      <c r="X9417" s="6">
        <v>18.52</v>
      </c>
      <c r="Y9417" s="6">
        <v>19.829999999999998</v>
      </c>
      <c r="Z9417" s="6">
        <v>19.29</v>
      </c>
      <c r="AA9417" s="6">
        <v>323.52</v>
      </c>
      <c r="AB9417" s="2" t="s">
        <v>86</v>
      </c>
      <c r="AC9417" s="8">
        <v>31912</v>
      </c>
    </row>
    <row r="9418" spans="1:29" ht="156" x14ac:dyDescent="0.15">
      <c r="A9418" s="3">
        <f>DATE(2009,9,23)</f>
        <v>40079</v>
      </c>
      <c r="B9418" s="3">
        <f>DATE(2010,3,29)</f>
        <v>40266</v>
      </c>
      <c r="C9418" s="2" t="s">
        <v>95</v>
      </c>
      <c r="D9418" s="2" t="s">
        <v>26953</v>
      </c>
      <c r="E9418" s="2" t="s">
        <v>26954</v>
      </c>
      <c r="F9418" s="4">
        <v>4813</v>
      </c>
      <c r="G9418" s="2" t="s">
        <v>63</v>
      </c>
      <c r="H9418" s="2" t="s">
        <v>34</v>
      </c>
      <c r="I9418" s="2" t="s">
        <v>27752</v>
      </c>
      <c r="J9418" s="2" t="s">
        <v>11337</v>
      </c>
      <c r="K9418" s="2" t="s">
        <v>53</v>
      </c>
      <c r="L9418" s="2" t="s">
        <v>34</v>
      </c>
      <c r="M9418" s="2"/>
      <c r="N9418" s="2"/>
      <c r="O9418" s="2"/>
      <c r="P9418" s="2" t="s">
        <v>27753</v>
      </c>
      <c r="Q9418" s="6">
        <v>55.55</v>
      </c>
      <c r="R9418" s="6">
        <v>5</v>
      </c>
      <c r="S9418" s="5">
        <v>-248.4</v>
      </c>
      <c r="T9418" s="7">
        <v>-86.516000000000005</v>
      </c>
      <c r="U9418" s="5">
        <v>3.6</v>
      </c>
      <c r="V9418" s="6">
        <v>-2.2999999999999998</v>
      </c>
      <c r="W9418" s="5">
        <v>2.9</v>
      </c>
      <c r="X9418" s="5">
        <v>3.4</v>
      </c>
      <c r="Y9418" s="6">
        <v>4.71</v>
      </c>
      <c r="Z9418" s="6">
        <v>4.75</v>
      </c>
      <c r="AA9418" s="6">
        <v>118.88</v>
      </c>
      <c r="AB9418" s="2" t="s">
        <v>86</v>
      </c>
      <c r="AC9418" s="2"/>
    </row>
    <row r="9419" spans="1:29" ht="65" x14ac:dyDescent="0.15">
      <c r="A9419" s="3">
        <f>DATE(2009,9,25)</f>
        <v>40081</v>
      </c>
      <c r="B9419" s="3">
        <f>DATE(2009,12,30)</f>
        <v>40177</v>
      </c>
      <c r="C9419" s="2" t="s">
        <v>95</v>
      </c>
      <c r="D9419" s="2" t="s">
        <v>27754</v>
      </c>
      <c r="E9419" s="2" t="s">
        <v>11969</v>
      </c>
      <c r="F9419" s="4">
        <v>6798</v>
      </c>
      <c r="G9419" s="2" t="s">
        <v>53</v>
      </c>
      <c r="H9419" s="2" t="s">
        <v>34</v>
      </c>
      <c r="I9419" s="2" t="s">
        <v>27755</v>
      </c>
      <c r="J9419" s="2" t="s">
        <v>3197</v>
      </c>
      <c r="K9419" s="2" t="s">
        <v>53</v>
      </c>
      <c r="L9419" s="2" t="s">
        <v>34</v>
      </c>
      <c r="M9419" s="2"/>
      <c r="N9419" s="2"/>
      <c r="O9419" s="2"/>
      <c r="P9419" s="2" t="s">
        <v>27756</v>
      </c>
      <c r="Q9419" s="6">
        <v>100</v>
      </c>
      <c r="R9419" s="6">
        <v>7.75</v>
      </c>
      <c r="S9419" s="5">
        <v>-9.3000000000000007</v>
      </c>
      <c r="T9419" s="7">
        <v>11.529</v>
      </c>
      <c r="U9419" s="5">
        <v>0.5</v>
      </c>
      <c r="V9419" s="6">
        <v>-2.23</v>
      </c>
      <c r="W9419" s="6">
        <v>8.2899999999999991</v>
      </c>
      <c r="X9419" s="6">
        <v>8.77</v>
      </c>
      <c r="Y9419" s="6">
        <v>8.75</v>
      </c>
      <c r="Z9419" s="6">
        <v>8.25</v>
      </c>
      <c r="AA9419" s="6">
        <v>5.23</v>
      </c>
      <c r="AB9419" s="7">
        <v>49.304000000000002</v>
      </c>
      <c r="AC9419" s="2"/>
    </row>
    <row r="9420" spans="1:29" ht="117" x14ac:dyDescent="0.15">
      <c r="A9420" s="3">
        <f>DATE(2009,9,25)</f>
        <v>40081</v>
      </c>
      <c r="B9420" s="3">
        <f>DATE(2009,11,12)</f>
        <v>40129</v>
      </c>
      <c r="C9420" s="2" t="s">
        <v>95</v>
      </c>
      <c r="D9420" s="2" t="s">
        <v>26612</v>
      </c>
      <c r="E9420" s="2" t="s">
        <v>4572</v>
      </c>
      <c r="F9420" s="4">
        <v>7376</v>
      </c>
      <c r="G9420" s="2" t="s">
        <v>223</v>
      </c>
      <c r="H9420" s="2" t="s">
        <v>34</v>
      </c>
      <c r="I9420" s="2" t="s">
        <v>27757</v>
      </c>
      <c r="J9420" s="2" t="s">
        <v>1620</v>
      </c>
      <c r="K9420" s="2" t="s">
        <v>53</v>
      </c>
      <c r="L9420" s="2" t="s">
        <v>34</v>
      </c>
      <c r="M9420" s="2"/>
      <c r="N9420" s="2"/>
      <c r="O9420" s="2"/>
      <c r="P9420" s="2" t="s">
        <v>27758</v>
      </c>
      <c r="Q9420" s="6">
        <v>100</v>
      </c>
      <c r="R9420" s="6">
        <v>6.5</v>
      </c>
      <c r="S9420" s="5">
        <v>-10.7</v>
      </c>
      <c r="T9420" s="7">
        <v>-2.1110000000000002</v>
      </c>
      <c r="U9420" s="5">
        <v>7.2</v>
      </c>
      <c r="V9420" s="6">
        <v>-0.93</v>
      </c>
      <c r="W9420" s="6">
        <v>5.82</v>
      </c>
      <c r="X9420" s="5">
        <v>5.9</v>
      </c>
      <c r="Y9420" s="7">
        <v>5.8360000000000003</v>
      </c>
      <c r="Z9420" s="6">
        <v>6.47</v>
      </c>
      <c r="AA9420" s="6">
        <v>9.35</v>
      </c>
      <c r="AB9420" s="2" t="s">
        <v>86</v>
      </c>
      <c r="AC9420" s="2"/>
    </row>
    <row r="9421" spans="1:29" ht="156" x14ac:dyDescent="0.15">
      <c r="A9421" s="3">
        <f>DATE(2009,9,28)</f>
        <v>40084</v>
      </c>
      <c r="B9421" s="3">
        <f>DATE(2010,2,8)</f>
        <v>40217</v>
      </c>
      <c r="C9421" s="2" t="s">
        <v>95</v>
      </c>
      <c r="D9421" s="2" t="s">
        <v>22557</v>
      </c>
      <c r="E9421" s="2" t="s">
        <v>22558</v>
      </c>
      <c r="F9421" s="4">
        <v>7374</v>
      </c>
      <c r="G9421" s="2" t="s">
        <v>223</v>
      </c>
      <c r="H9421" s="2" t="s">
        <v>34</v>
      </c>
      <c r="I9421" s="2" t="s">
        <v>11637</v>
      </c>
      <c r="J9421" s="2" t="s">
        <v>11638</v>
      </c>
      <c r="K9421" s="2" t="s">
        <v>50</v>
      </c>
      <c r="L9421" s="2" t="s">
        <v>34</v>
      </c>
      <c r="M9421" s="12">
        <v>7517.5550000000003</v>
      </c>
      <c r="N9421" s="6">
        <v>7.68</v>
      </c>
      <c r="O9421" s="6">
        <v>7.92</v>
      </c>
      <c r="P9421" s="2" t="s">
        <v>27759</v>
      </c>
      <c r="Q9421" s="6">
        <v>100</v>
      </c>
      <c r="R9421" s="6">
        <v>63.11</v>
      </c>
      <c r="S9421" s="5">
        <v>349.9</v>
      </c>
      <c r="T9421" s="12">
        <v>1115.0609999999999</v>
      </c>
      <c r="U9421" s="5">
        <v>26.9</v>
      </c>
      <c r="V9421" s="6">
        <v>3.57</v>
      </c>
      <c r="W9421" s="6">
        <v>46.85</v>
      </c>
      <c r="X9421" s="6">
        <v>47.25</v>
      </c>
      <c r="Y9421" s="6">
        <v>53.86</v>
      </c>
      <c r="Z9421" s="6">
        <v>55.32</v>
      </c>
      <c r="AA9421" s="6">
        <v>97.64</v>
      </c>
      <c r="AB9421" s="7">
        <v>11.077</v>
      </c>
      <c r="AC9421" s="8">
        <v>1237</v>
      </c>
    </row>
    <row r="9422" spans="1:29" ht="130" x14ac:dyDescent="0.15">
      <c r="A9422" s="3">
        <f>DATE(2009,9,28)</f>
        <v>40084</v>
      </c>
      <c r="B9422" s="3">
        <f>DATE(2009,11,6)</f>
        <v>40123</v>
      </c>
      <c r="C9422" s="2" t="s">
        <v>95</v>
      </c>
      <c r="D9422" s="2" t="s">
        <v>27760</v>
      </c>
      <c r="E9422" s="2" t="s">
        <v>27761</v>
      </c>
      <c r="F9422" s="4">
        <v>3845</v>
      </c>
      <c r="G9422" s="2" t="s">
        <v>226</v>
      </c>
      <c r="H9422" s="2" t="s">
        <v>34</v>
      </c>
      <c r="I9422" s="2" t="s">
        <v>27762</v>
      </c>
      <c r="J9422" s="2" t="s">
        <v>27505</v>
      </c>
      <c r="K9422" s="2" t="s">
        <v>226</v>
      </c>
      <c r="L9422" s="2" t="s">
        <v>34</v>
      </c>
      <c r="M9422" s="2"/>
      <c r="N9422" s="2"/>
      <c r="O9422" s="2"/>
      <c r="P9422" s="2" t="s">
        <v>27763</v>
      </c>
      <c r="Q9422" s="6">
        <v>100</v>
      </c>
      <c r="R9422" s="6">
        <v>12</v>
      </c>
      <c r="S9422" s="5">
        <v>11.6</v>
      </c>
      <c r="T9422" s="7">
        <v>-1.5009999999999999</v>
      </c>
      <c r="U9422" s="5">
        <v>3.5</v>
      </c>
      <c r="V9422" s="6">
        <v>0.57999999999999996</v>
      </c>
      <c r="W9422" s="6">
        <v>7.41</v>
      </c>
      <c r="X9422" s="6">
        <v>7.67</v>
      </c>
      <c r="Y9422" s="6">
        <v>11.96</v>
      </c>
      <c r="Z9422" s="6">
        <v>11.97</v>
      </c>
      <c r="AA9422" s="6">
        <v>17.440000000000001</v>
      </c>
      <c r="AB9422" s="2" t="s">
        <v>86</v>
      </c>
      <c r="AC9422" s="2"/>
    </row>
    <row r="9423" spans="1:29" ht="104" x14ac:dyDescent="0.15">
      <c r="A9423" s="3">
        <f>DATE(2009,9,28)</f>
        <v>40084</v>
      </c>
      <c r="B9423" s="3">
        <f>DATE(2011,1,14)</f>
        <v>40557</v>
      </c>
      <c r="C9423" s="2" t="s">
        <v>95</v>
      </c>
      <c r="D9423" s="2" t="s">
        <v>27764</v>
      </c>
      <c r="E9423" s="2" t="s">
        <v>10623</v>
      </c>
      <c r="F9423" s="4">
        <v>5941</v>
      </c>
      <c r="G9423" s="2" t="s">
        <v>73</v>
      </c>
      <c r="H9423" s="2" t="s">
        <v>34</v>
      </c>
      <c r="I9423" s="2" t="s">
        <v>51</v>
      </c>
      <c r="J9423" s="2" t="s">
        <v>52</v>
      </c>
      <c r="K9423" s="2" t="s">
        <v>53</v>
      </c>
      <c r="L9423" s="2" t="s">
        <v>34</v>
      </c>
      <c r="M9423" s="2"/>
      <c r="N9423" s="2"/>
      <c r="O9423" s="2"/>
      <c r="P9423" s="2" t="s">
        <v>27765</v>
      </c>
      <c r="Q9423" s="6">
        <v>83.44</v>
      </c>
      <c r="R9423" s="6">
        <v>5.15</v>
      </c>
      <c r="S9423" s="5">
        <v>-12.2</v>
      </c>
      <c r="T9423" s="7">
        <v>39.149000000000001</v>
      </c>
      <c r="U9423" s="5">
        <v>0.3</v>
      </c>
      <c r="V9423" s="9">
        <v>-2.2800000000000001E-2</v>
      </c>
      <c r="W9423" s="5">
        <v>3.9</v>
      </c>
      <c r="X9423" s="6">
        <v>3.82</v>
      </c>
      <c r="Y9423" s="5">
        <v>5.0999999999999996</v>
      </c>
      <c r="Z9423" s="6">
        <v>5.09</v>
      </c>
      <c r="AA9423" s="6">
        <v>24.57</v>
      </c>
      <c r="AB9423" s="7">
        <v>357.37599999999998</v>
      </c>
      <c r="AC9423" s="2"/>
    </row>
    <row r="9424" spans="1:29" ht="117" x14ac:dyDescent="0.15">
      <c r="A9424" s="3">
        <f>DATE(2009,9,28)</f>
        <v>40084</v>
      </c>
      <c r="B9424" s="3">
        <f>DATE(2009,10,27)</f>
        <v>40113</v>
      </c>
      <c r="C9424" s="2" t="s">
        <v>95</v>
      </c>
      <c r="D9424" s="2" t="s">
        <v>27766</v>
      </c>
      <c r="E9424" s="2" t="s">
        <v>14431</v>
      </c>
      <c r="F9424" s="4">
        <v>3496</v>
      </c>
      <c r="G9424" s="2" t="s">
        <v>163</v>
      </c>
      <c r="H9424" s="2" t="s">
        <v>34</v>
      </c>
      <c r="I9424" s="2" t="s">
        <v>27767</v>
      </c>
      <c r="J9424" s="2" t="s">
        <v>4655</v>
      </c>
      <c r="K9424" s="2" t="s">
        <v>53</v>
      </c>
      <c r="L9424" s="2" t="s">
        <v>34</v>
      </c>
      <c r="M9424" s="2"/>
      <c r="N9424" s="2"/>
      <c r="O9424" s="2"/>
      <c r="P9424" s="2" t="s">
        <v>27768</v>
      </c>
      <c r="Q9424" s="6">
        <v>83.1</v>
      </c>
      <c r="R9424" s="6">
        <v>38</v>
      </c>
      <c r="S9424" s="5">
        <v>-85.5</v>
      </c>
      <c r="T9424" s="7">
        <v>122.101</v>
      </c>
      <c r="U9424" s="5">
        <v>1.3</v>
      </c>
      <c r="V9424" s="6">
        <v>-8.4499999999999993</v>
      </c>
      <c r="W9424" s="6">
        <v>27.07</v>
      </c>
      <c r="X9424" s="4">
        <v>27</v>
      </c>
      <c r="Y9424" s="7">
        <v>37.765000000000001</v>
      </c>
      <c r="Z9424" s="6">
        <v>37.78</v>
      </c>
      <c r="AA9424" s="6">
        <v>10.18</v>
      </c>
      <c r="AB9424" s="7">
        <v>6.1150000000000002</v>
      </c>
      <c r="AC9424" s="2"/>
    </row>
    <row r="9425" spans="1:29" ht="117" x14ac:dyDescent="0.15">
      <c r="A9425" s="3">
        <f>DATE(2009,9,29)</f>
        <v>40085</v>
      </c>
      <c r="B9425" s="3">
        <f>DATE(2009,12,25)</f>
        <v>40172</v>
      </c>
      <c r="C9425" s="2" t="s">
        <v>95</v>
      </c>
      <c r="D9425" s="2" t="s">
        <v>27769</v>
      </c>
      <c r="E9425" s="2" t="s">
        <v>27770</v>
      </c>
      <c r="F9425" s="4">
        <v>3699</v>
      </c>
      <c r="G9425" s="2" t="s">
        <v>137</v>
      </c>
      <c r="H9425" s="2" t="s">
        <v>34</v>
      </c>
      <c r="I9425" s="2" t="s">
        <v>27771</v>
      </c>
      <c r="J9425" s="2" t="s">
        <v>27772</v>
      </c>
      <c r="K9425" s="2" t="s">
        <v>137</v>
      </c>
      <c r="L9425" s="2" t="s">
        <v>455</v>
      </c>
      <c r="M9425" s="2"/>
      <c r="N9425" s="2"/>
      <c r="O9425" s="2"/>
      <c r="P9425" s="2" t="s">
        <v>27773</v>
      </c>
      <c r="Q9425" s="6">
        <v>67.22</v>
      </c>
      <c r="R9425" s="2"/>
      <c r="S9425" s="5">
        <v>-4</v>
      </c>
      <c r="T9425" s="7">
        <v>-3.444</v>
      </c>
      <c r="U9425" s="5">
        <v>2.4</v>
      </c>
      <c r="V9425" s="6">
        <v>-0.19</v>
      </c>
      <c r="W9425" s="7">
        <v>2.3889999999999998</v>
      </c>
      <c r="X9425" s="6">
        <v>2.2599999999999998</v>
      </c>
      <c r="Y9425" s="6">
        <v>2.2799999999999998</v>
      </c>
      <c r="Z9425" s="6">
        <v>1.93</v>
      </c>
      <c r="AA9425" s="6">
        <v>64.53</v>
      </c>
      <c r="AB9425" s="2" t="s">
        <v>86</v>
      </c>
      <c r="AC9425" s="2"/>
    </row>
    <row r="9426" spans="1:29" ht="52" x14ac:dyDescent="0.15">
      <c r="A9426" s="3">
        <f>DATE(2009,9,29)</f>
        <v>40085</v>
      </c>
      <c r="B9426" s="3">
        <f>DATE(2009,12,1)</f>
        <v>40148</v>
      </c>
      <c r="C9426" s="2" t="s">
        <v>95</v>
      </c>
      <c r="D9426" s="2" t="s">
        <v>27774</v>
      </c>
      <c r="E9426" s="2" t="s">
        <v>27775</v>
      </c>
      <c r="F9426" s="4">
        <v>7533</v>
      </c>
      <c r="G9426" s="2" t="s">
        <v>1327</v>
      </c>
      <c r="H9426" s="2" t="s">
        <v>34</v>
      </c>
      <c r="I9426" s="2" t="s">
        <v>27776</v>
      </c>
      <c r="J9426" s="2" t="s">
        <v>27777</v>
      </c>
      <c r="K9426" s="2" t="s">
        <v>1327</v>
      </c>
      <c r="L9426" s="2" t="s">
        <v>17069</v>
      </c>
      <c r="M9426" s="12">
        <v>1970.8240000000001</v>
      </c>
      <c r="N9426" s="7">
        <v>10.821999999999999</v>
      </c>
      <c r="O9426" s="7">
        <v>10.682</v>
      </c>
      <c r="P9426" s="2" t="s">
        <v>27778</v>
      </c>
      <c r="Q9426" s="6">
        <v>56</v>
      </c>
      <c r="R9426" s="2"/>
      <c r="S9426" s="5">
        <v>5.7</v>
      </c>
      <c r="T9426" s="5">
        <v>30.3</v>
      </c>
      <c r="U9426" s="5">
        <v>1.8</v>
      </c>
      <c r="V9426" s="6">
        <v>0.41</v>
      </c>
      <c r="W9426" s="6">
        <v>9.07</v>
      </c>
      <c r="X9426" s="6">
        <v>9.32</v>
      </c>
      <c r="Y9426" s="6">
        <v>9.3800000000000008</v>
      </c>
      <c r="Z9426" s="5">
        <v>9.4</v>
      </c>
      <c r="AA9426" s="6">
        <v>14.25</v>
      </c>
      <c r="AB9426" s="2" t="s">
        <v>47</v>
      </c>
      <c r="AC9426" s="6">
        <v>606.51</v>
      </c>
    </row>
    <row r="9427" spans="1:29" ht="78" x14ac:dyDescent="0.15">
      <c r="A9427" s="3">
        <f>DATE(2009,9,29)</f>
        <v>40085</v>
      </c>
      <c r="B9427" s="3">
        <f>DATE(2009,12,16)</f>
        <v>40163</v>
      </c>
      <c r="C9427" s="2" t="s">
        <v>95</v>
      </c>
      <c r="D9427" s="2" t="s">
        <v>27307</v>
      </c>
      <c r="E9427" s="2" t="s">
        <v>27308</v>
      </c>
      <c r="F9427" s="4">
        <v>7342</v>
      </c>
      <c r="G9427" s="2" t="s">
        <v>223</v>
      </c>
      <c r="H9427" s="2" t="s">
        <v>34</v>
      </c>
      <c r="I9427" s="2" t="s">
        <v>27309</v>
      </c>
      <c r="J9427" s="2" t="s">
        <v>27310</v>
      </c>
      <c r="K9427" s="2" t="s">
        <v>223</v>
      </c>
      <c r="L9427" s="2" t="s">
        <v>34</v>
      </c>
      <c r="M9427" s="2"/>
      <c r="N9427" s="2"/>
      <c r="O9427" s="2"/>
      <c r="P9427" s="2" t="s">
        <v>27779</v>
      </c>
      <c r="Q9427" s="6">
        <v>90.37</v>
      </c>
      <c r="R9427" s="6">
        <v>2.75</v>
      </c>
      <c r="S9427" s="5">
        <v>-5</v>
      </c>
      <c r="T9427" s="7">
        <v>2.4470000000000001</v>
      </c>
      <c r="U9427" s="5">
        <v>3.9</v>
      </c>
      <c r="V9427" s="6">
        <v>-0.21</v>
      </c>
      <c r="W9427" s="6">
        <v>1.84</v>
      </c>
      <c r="X9427" s="7">
        <v>1.8440000000000001</v>
      </c>
      <c r="Y9427" s="5">
        <v>2.7</v>
      </c>
      <c r="Z9427" s="6">
        <v>2.69</v>
      </c>
      <c r="AA9427" s="6">
        <v>13.09</v>
      </c>
      <c r="AB9427" s="2" t="s">
        <v>86</v>
      </c>
      <c r="AC9427" s="2"/>
    </row>
    <row r="9428" spans="1:29" ht="65" x14ac:dyDescent="0.15">
      <c r="A9428" s="3">
        <f>DATE(2009,10,2)</f>
        <v>40088</v>
      </c>
      <c r="B9428" s="2"/>
      <c r="C9428" s="2" t="s">
        <v>30</v>
      </c>
      <c r="D9428" s="2" t="s">
        <v>27780</v>
      </c>
      <c r="E9428" s="2" t="s">
        <v>6292</v>
      </c>
      <c r="F9428" s="4">
        <v>2836</v>
      </c>
      <c r="G9428" s="2" t="s">
        <v>130</v>
      </c>
      <c r="H9428" s="2" t="s">
        <v>34</v>
      </c>
      <c r="I9428" s="2" t="s">
        <v>27781</v>
      </c>
      <c r="J9428" s="2" t="s">
        <v>27782</v>
      </c>
      <c r="K9428" s="2" t="s">
        <v>364</v>
      </c>
      <c r="L9428" s="2" t="s">
        <v>1502</v>
      </c>
      <c r="M9428" s="6">
        <v>77.430000000000007</v>
      </c>
      <c r="N9428" s="6">
        <v>4.2300000000000004</v>
      </c>
      <c r="O9428" s="7">
        <v>4.0279999999999996</v>
      </c>
      <c r="P9428" s="2" t="s">
        <v>27783</v>
      </c>
      <c r="Q9428" s="2"/>
      <c r="R9428" s="6">
        <v>3.6</v>
      </c>
      <c r="S9428" s="5">
        <v>6.6</v>
      </c>
      <c r="T9428" s="7">
        <v>8.9410000000000007</v>
      </c>
      <c r="U9428" s="5">
        <v>6.1</v>
      </c>
      <c r="V9428" s="6">
        <v>1.5</v>
      </c>
      <c r="W9428" s="6">
        <v>2.67</v>
      </c>
      <c r="X9428" s="7">
        <v>2.5680000000000001</v>
      </c>
      <c r="Y9428" s="7">
        <v>3.5249999999999999</v>
      </c>
      <c r="Z9428" s="6">
        <v>3.57</v>
      </c>
      <c r="AA9428" s="6">
        <v>22.35</v>
      </c>
      <c r="AB9428" s="2" t="s">
        <v>86</v>
      </c>
      <c r="AC9428" s="6">
        <v>6.34</v>
      </c>
    </row>
    <row r="9429" spans="1:29" ht="104" x14ac:dyDescent="0.15">
      <c r="A9429" s="3">
        <f>DATE(2009,10,5)</f>
        <v>40091</v>
      </c>
      <c r="B9429" s="2"/>
      <c r="C9429" s="2" t="s">
        <v>87</v>
      </c>
      <c r="D9429" s="2" t="s">
        <v>24388</v>
      </c>
      <c r="E9429" s="2" t="s">
        <v>24389</v>
      </c>
      <c r="F9429" s="4">
        <v>7372</v>
      </c>
      <c r="G9429" s="2" t="s">
        <v>551</v>
      </c>
      <c r="H9429" s="2" t="s">
        <v>34</v>
      </c>
      <c r="I9429" s="2" t="s">
        <v>143</v>
      </c>
      <c r="J9429" s="2" t="s">
        <v>144</v>
      </c>
      <c r="K9429" s="2" t="s">
        <v>53</v>
      </c>
      <c r="L9429" s="2" t="s">
        <v>139</v>
      </c>
      <c r="M9429" s="2"/>
      <c r="N9429" s="2"/>
      <c r="O9429" s="2"/>
      <c r="P9429" s="2" t="s">
        <v>27784</v>
      </c>
      <c r="Q9429" s="2"/>
      <c r="R9429" s="2"/>
      <c r="S9429" s="5">
        <v>-74.599999999999994</v>
      </c>
      <c r="T9429" s="7">
        <v>298.286</v>
      </c>
      <c r="U9429" s="5">
        <v>4</v>
      </c>
      <c r="V9429" s="6">
        <v>-0.19</v>
      </c>
      <c r="W9429" s="5">
        <v>8.1</v>
      </c>
      <c r="X9429" s="6">
        <v>7.65</v>
      </c>
      <c r="Y9429" s="6">
        <v>9.09</v>
      </c>
      <c r="Z9429" s="5">
        <v>8.9</v>
      </c>
      <c r="AA9429" s="6">
        <v>418.81</v>
      </c>
      <c r="AB9429" s="2" t="s">
        <v>47</v>
      </c>
      <c r="AC9429" s="2"/>
    </row>
    <row r="9430" spans="1:29" ht="78" x14ac:dyDescent="0.15">
      <c r="A9430" s="3">
        <f>DATE(2009,10,6)</f>
        <v>40092</v>
      </c>
      <c r="B9430" s="3">
        <f>DATE(2009,12,11)</f>
        <v>40158</v>
      </c>
      <c r="C9430" s="2" t="s">
        <v>95</v>
      </c>
      <c r="D9430" s="2" t="s">
        <v>18010</v>
      </c>
      <c r="E9430" s="2" t="s">
        <v>18011</v>
      </c>
      <c r="F9430" s="4">
        <v>3577</v>
      </c>
      <c r="G9430" s="2" t="s">
        <v>50</v>
      </c>
      <c r="H9430" s="2" t="s">
        <v>34</v>
      </c>
      <c r="I9430" s="2" t="s">
        <v>10753</v>
      </c>
      <c r="J9430" s="2" t="s">
        <v>10754</v>
      </c>
      <c r="K9430" s="2" t="s">
        <v>226</v>
      </c>
      <c r="L9430" s="2" t="s">
        <v>34</v>
      </c>
      <c r="M9430" s="12">
        <v>28582.956999999999</v>
      </c>
      <c r="N9430" s="6">
        <v>39.22</v>
      </c>
      <c r="O9430" s="6">
        <v>38.75</v>
      </c>
      <c r="P9430" s="2" t="s">
        <v>27785</v>
      </c>
      <c r="Q9430" s="6">
        <v>100</v>
      </c>
      <c r="R9430" s="6">
        <v>25</v>
      </c>
      <c r="S9430" s="5">
        <v>-45.9</v>
      </c>
      <c r="T9430" s="7">
        <v>80.664000000000001</v>
      </c>
      <c r="U9430" s="5">
        <v>16.7</v>
      </c>
      <c r="V9430" s="6">
        <v>-1.05</v>
      </c>
      <c r="W9430" s="6">
        <v>21.11</v>
      </c>
      <c r="X9430" s="6">
        <v>20.52</v>
      </c>
      <c r="Y9430" s="6">
        <v>24.86</v>
      </c>
      <c r="Z9430" s="6">
        <v>24.88</v>
      </c>
      <c r="AA9430" s="6">
        <v>44.35</v>
      </c>
      <c r="AB9430" s="7">
        <v>55.719000000000001</v>
      </c>
      <c r="AC9430" s="8">
        <v>1560</v>
      </c>
    </row>
    <row r="9431" spans="1:29" ht="104" x14ac:dyDescent="0.15">
      <c r="A9431" s="3">
        <f>DATE(2009,10,6)</f>
        <v>40092</v>
      </c>
      <c r="B9431" s="3">
        <f>DATE(2010,2,2)</f>
        <v>40211</v>
      </c>
      <c r="C9431" s="2" t="s">
        <v>95</v>
      </c>
      <c r="D9431" s="2" t="s">
        <v>27373</v>
      </c>
      <c r="E9431" s="2" t="s">
        <v>27374</v>
      </c>
      <c r="F9431" s="4">
        <v>7389</v>
      </c>
      <c r="G9431" s="2" t="s">
        <v>223</v>
      </c>
      <c r="H9431" s="2" t="s">
        <v>34</v>
      </c>
      <c r="I9431" s="2" t="s">
        <v>27786</v>
      </c>
      <c r="J9431" s="2" t="s">
        <v>27787</v>
      </c>
      <c r="K9431" s="2" t="s">
        <v>223</v>
      </c>
      <c r="L9431" s="2" t="s">
        <v>34</v>
      </c>
      <c r="M9431" s="7">
        <v>847.92600000000004</v>
      </c>
      <c r="N9431" s="6">
        <v>22.71</v>
      </c>
      <c r="O9431" s="6">
        <v>24.22</v>
      </c>
      <c r="P9431" s="2" t="s">
        <v>27788</v>
      </c>
      <c r="Q9431" s="6">
        <v>100</v>
      </c>
      <c r="R9431" s="6">
        <v>15.38</v>
      </c>
      <c r="S9431" s="5">
        <v>-19.899999999999999</v>
      </c>
      <c r="T9431" s="6">
        <v>28.56</v>
      </c>
      <c r="U9431" s="5">
        <v>8</v>
      </c>
      <c r="V9431" s="6">
        <v>-1.26</v>
      </c>
      <c r="W9431" s="6">
        <v>10.69</v>
      </c>
      <c r="X9431" s="6">
        <v>10.55</v>
      </c>
      <c r="Y9431" s="6">
        <v>15.35</v>
      </c>
      <c r="Z9431" s="6">
        <v>15.93</v>
      </c>
      <c r="AA9431" s="6">
        <v>16.39</v>
      </c>
      <c r="AB9431" s="7">
        <v>39.048000000000002</v>
      </c>
      <c r="AC9431" s="6">
        <v>272.89</v>
      </c>
    </row>
    <row r="9432" spans="1:29" ht="78" x14ac:dyDescent="0.15">
      <c r="A9432" s="3">
        <f>DATE(2009,10,6)</f>
        <v>40092</v>
      </c>
      <c r="B9432" s="3">
        <f>DATE(2010,2,16)</f>
        <v>40225</v>
      </c>
      <c r="C9432" s="2" t="s">
        <v>95</v>
      </c>
      <c r="D9432" s="2" t="s">
        <v>27789</v>
      </c>
      <c r="E9432" s="2" t="s">
        <v>6632</v>
      </c>
      <c r="F9432" s="4">
        <v>3672</v>
      </c>
      <c r="G9432" s="2" t="s">
        <v>137</v>
      </c>
      <c r="H9432" s="2" t="s">
        <v>34</v>
      </c>
      <c r="I9432" s="2" t="s">
        <v>27790</v>
      </c>
      <c r="J9432" s="2" t="s">
        <v>6632</v>
      </c>
      <c r="K9432" s="2" t="s">
        <v>137</v>
      </c>
      <c r="L9432" s="2" t="s">
        <v>34</v>
      </c>
      <c r="M9432" s="2"/>
      <c r="N9432" s="4">
        <v>3</v>
      </c>
      <c r="O9432" s="4">
        <v>3</v>
      </c>
      <c r="P9432" s="2" t="s">
        <v>27791</v>
      </c>
      <c r="Q9432" s="6">
        <v>100</v>
      </c>
      <c r="R9432" s="2"/>
      <c r="S9432" s="5">
        <v>-55.4</v>
      </c>
      <c r="T9432" s="7">
        <v>2.1789999999999998</v>
      </c>
      <c r="U9432" s="5">
        <v>2.7</v>
      </c>
      <c r="V9432" s="6">
        <v>-2.61</v>
      </c>
      <c r="W9432" s="6">
        <v>2.86</v>
      </c>
      <c r="X9432" s="6">
        <v>2.74</v>
      </c>
      <c r="Y9432" s="6">
        <v>2.76</v>
      </c>
      <c r="Z9432" s="6">
        <v>1.92</v>
      </c>
      <c r="AA9432" s="6">
        <v>21.78</v>
      </c>
      <c r="AB9432" s="2" t="s">
        <v>86</v>
      </c>
      <c r="AC9432" s="6">
        <v>83.36</v>
      </c>
    </row>
    <row r="9433" spans="1:29" ht="117" x14ac:dyDescent="0.15">
      <c r="A9433" s="3">
        <f>DATE(2009,10,8)</f>
        <v>40094</v>
      </c>
      <c r="B9433" s="3">
        <f>DATE(2009,12,11)</f>
        <v>40158</v>
      </c>
      <c r="C9433" s="2" t="s">
        <v>95</v>
      </c>
      <c r="D9433" s="2" t="s">
        <v>27792</v>
      </c>
      <c r="E9433" s="2" t="s">
        <v>27793</v>
      </c>
      <c r="F9433" s="4">
        <v>2098</v>
      </c>
      <c r="G9433" s="2" t="s">
        <v>577</v>
      </c>
      <c r="H9433" s="2" t="s">
        <v>34</v>
      </c>
      <c r="I9433" s="2" t="s">
        <v>27794</v>
      </c>
      <c r="J9433" s="2" t="s">
        <v>27795</v>
      </c>
      <c r="K9433" s="2" t="s">
        <v>426</v>
      </c>
      <c r="L9433" s="2" t="s">
        <v>34</v>
      </c>
      <c r="M9433" s="2"/>
      <c r="N9433" s="6">
        <v>2.37</v>
      </c>
      <c r="O9433" s="6">
        <v>2.69</v>
      </c>
      <c r="P9433" s="2" t="s">
        <v>27796</v>
      </c>
      <c r="Q9433" s="6">
        <v>100</v>
      </c>
      <c r="R9433" s="6">
        <v>2.7</v>
      </c>
      <c r="S9433" s="5">
        <v>-19.399999999999999</v>
      </c>
      <c r="T9433" s="7">
        <v>2.7789999999999999</v>
      </c>
      <c r="U9433" s="5">
        <v>1.8</v>
      </c>
      <c r="V9433" s="6">
        <v>-1.1499999999999999</v>
      </c>
      <c r="W9433" s="4">
        <v>2</v>
      </c>
      <c r="X9433" s="6">
        <v>2.16</v>
      </c>
      <c r="Y9433" s="6">
        <v>2.37</v>
      </c>
      <c r="Z9433" s="6">
        <v>2.69</v>
      </c>
      <c r="AA9433" s="6">
        <v>16.78</v>
      </c>
      <c r="AB9433" s="2" t="s">
        <v>86</v>
      </c>
      <c r="AC9433" s="5">
        <v>3.8</v>
      </c>
    </row>
    <row r="9434" spans="1:29" ht="78" x14ac:dyDescent="0.15">
      <c r="A9434" s="3">
        <f>DATE(2009,10,9)</f>
        <v>40095</v>
      </c>
      <c r="B9434" s="2"/>
      <c r="C9434" s="2" t="s">
        <v>39</v>
      </c>
      <c r="D9434" s="2" t="s">
        <v>27797</v>
      </c>
      <c r="E9434" s="2" t="s">
        <v>27798</v>
      </c>
      <c r="F9434" s="4">
        <v>3621</v>
      </c>
      <c r="G9434" s="2" t="s">
        <v>137</v>
      </c>
      <c r="H9434" s="2" t="s">
        <v>34</v>
      </c>
      <c r="I9434" s="2" t="s">
        <v>27799</v>
      </c>
      <c r="J9434" s="2" t="s">
        <v>27800</v>
      </c>
      <c r="K9434" s="2" t="s">
        <v>137</v>
      </c>
      <c r="L9434" s="2" t="s">
        <v>215</v>
      </c>
      <c r="M9434" s="12">
        <v>47717.133000000002</v>
      </c>
      <c r="N9434" s="6">
        <v>20.71</v>
      </c>
      <c r="O9434" s="7">
        <v>21.178999999999998</v>
      </c>
      <c r="P9434" s="2" t="s">
        <v>27801</v>
      </c>
      <c r="Q9434" s="2"/>
      <c r="R9434" s="2"/>
      <c r="S9434" s="5">
        <v>-0.3</v>
      </c>
      <c r="T9434" s="6">
        <v>24.98</v>
      </c>
      <c r="U9434" s="5">
        <v>58.2</v>
      </c>
      <c r="V9434" s="6">
        <v>-0.1</v>
      </c>
      <c r="W9434" s="5">
        <v>30.7</v>
      </c>
      <c r="X9434" s="6">
        <v>31.37</v>
      </c>
      <c r="Y9434" s="6">
        <v>33.21</v>
      </c>
      <c r="Z9434" s="6">
        <v>32.69</v>
      </c>
      <c r="AA9434" s="6">
        <v>44.1</v>
      </c>
      <c r="AB9434" s="2" t="s">
        <v>47</v>
      </c>
      <c r="AC9434" s="8">
        <v>8281</v>
      </c>
    </row>
    <row r="9435" spans="1:29" ht="130" x14ac:dyDescent="0.15">
      <c r="A9435" s="3">
        <f>DATE(2009,10,9)</f>
        <v>40095</v>
      </c>
      <c r="B9435" s="3">
        <f>DATE(2009,11,17)</f>
        <v>40134</v>
      </c>
      <c r="C9435" s="2" t="s">
        <v>95</v>
      </c>
      <c r="D9435" s="2" t="s">
        <v>27802</v>
      </c>
      <c r="E9435" s="2" t="s">
        <v>27803</v>
      </c>
      <c r="F9435" s="4">
        <v>3841</v>
      </c>
      <c r="G9435" s="2" t="s">
        <v>226</v>
      </c>
      <c r="H9435" s="2" t="s">
        <v>34</v>
      </c>
      <c r="I9435" s="2" t="s">
        <v>6503</v>
      </c>
      <c r="J9435" s="2" t="s">
        <v>6504</v>
      </c>
      <c r="K9435" s="2" t="s">
        <v>282</v>
      </c>
      <c r="L9435" s="2" t="s">
        <v>34</v>
      </c>
      <c r="M9435" s="12">
        <v>24247.822</v>
      </c>
      <c r="N9435" s="6">
        <v>59.26</v>
      </c>
      <c r="O9435" s="6">
        <v>59.53</v>
      </c>
      <c r="P9435" s="2" t="s">
        <v>27804</v>
      </c>
      <c r="Q9435" s="6">
        <v>80.44</v>
      </c>
      <c r="R9435" s="6">
        <v>12.65</v>
      </c>
      <c r="S9435" s="5">
        <v>-6.2</v>
      </c>
      <c r="T9435" s="7">
        <v>2.423</v>
      </c>
      <c r="U9435" s="5">
        <v>4.8</v>
      </c>
      <c r="V9435" s="6">
        <v>-0.26</v>
      </c>
      <c r="W9435" s="6">
        <v>12.08</v>
      </c>
      <c r="X9435" s="6">
        <v>11.76</v>
      </c>
      <c r="Y9435" s="6">
        <v>12.58</v>
      </c>
      <c r="Z9435" s="6">
        <v>12.56</v>
      </c>
      <c r="AA9435" s="6">
        <v>26.45</v>
      </c>
      <c r="AB9435" s="2" t="s">
        <v>86</v>
      </c>
      <c r="AC9435" s="5">
        <v>801</v>
      </c>
    </row>
    <row r="9436" spans="1:29" ht="91" x14ac:dyDescent="0.15">
      <c r="A9436" s="3">
        <f>DATE(2009,10,9)</f>
        <v>40095</v>
      </c>
      <c r="B9436" s="2"/>
      <c r="C9436" s="2" t="s">
        <v>87</v>
      </c>
      <c r="D9436" s="2" t="s">
        <v>24572</v>
      </c>
      <c r="E9436" s="2" t="s">
        <v>159</v>
      </c>
      <c r="F9436" s="4">
        <v>6029</v>
      </c>
      <c r="G9436" s="2" t="s">
        <v>37</v>
      </c>
      <c r="H9436" s="2" t="s">
        <v>34</v>
      </c>
      <c r="I9436" s="2" t="s">
        <v>27805</v>
      </c>
      <c r="J9436" s="2" t="s">
        <v>20191</v>
      </c>
      <c r="K9436" s="2" t="s">
        <v>37</v>
      </c>
      <c r="L9436" s="2" t="s">
        <v>455</v>
      </c>
      <c r="M9436" s="12">
        <v>19124.148000000001</v>
      </c>
      <c r="N9436" s="7">
        <v>1.0229999999999999</v>
      </c>
      <c r="O9436" s="7">
        <v>1.0189999999999999</v>
      </c>
      <c r="P9436" s="2" t="s">
        <v>27806</v>
      </c>
      <c r="Q9436" s="2"/>
      <c r="R9436" s="2"/>
      <c r="S9436" s="5">
        <v>-156</v>
      </c>
      <c r="T9436" s="7">
        <v>-248.20400000000001</v>
      </c>
      <c r="U9436" s="5">
        <v>7.9</v>
      </c>
      <c r="V9436" s="6">
        <v>-1.5</v>
      </c>
      <c r="W9436" s="6">
        <v>0.57999999999999996</v>
      </c>
      <c r="X9436" s="6">
        <v>1.28</v>
      </c>
      <c r="Y9436" s="6">
        <v>1.1299999999999999</v>
      </c>
      <c r="Z9436" s="6">
        <v>1.04</v>
      </c>
      <c r="AA9436" s="6">
        <v>120.44</v>
      </c>
      <c r="AB9436" s="2" t="s">
        <v>86</v>
      </c>
      <c r="AC9436" s="2"/>
    </row>
    <row r="9437" spans="1:29" ht="52" x14ac:dyDescent="0.15">
      <c r="A9437" s="3">
        <f>DATE(2009,10,13)</f>
        <v>40099</v>
      </c>
      <c r="B9437" s="3">
        <f>DATE(2010,10,1)</f>
        <v>40452</v>
      </c>
      <c r="C9437" s="2" t="s">
        <v>95</v>
      </c>
      <c r="D9437" s="2" t="s">
        <v>27807</v>
      </c>
      <c r="E9437" s="2" t="s">
        <v>159</v>
      </c>
      <c r="F9437" s="4">
        <v>6021</v>
      </c>
      <c r="G9437" s="2" t="s">
        <v>37</v>
      </c>
      <c r="H9437" s="2" t="s">
        <v>34</v>
      </c>
      <c r="I9437" s="2" t="s">
        <v>27808</v>
      </c>
      <c r="J9437" s="2" t="s">
        <v>36</v>
      </c>
      <c r="K9437" s="2" t="s">
        <v>37</v>
      </c>
      <c r="L9437" s="2" t="s">
        <v>34</v>
      </c>
      <c r="M9437" s="2"/>
      <c r="N9437" s="2"/>
      <c r="O9437" s="2"/>
      <c r="P9437" s="2" t="s">
        <v>27809</v>
      </c>
      <c r="Q9437" s="6">
        <v>87.59</v>
      </c>
      <c r="R9437" s="2"/>
      <c r="S9437" s="5">
        <v>-25.4</v>
      </c>
      <c r="T9437" s="7">
        <v>-17.526</v>
      </c>
      <c r="U9437" s="5">
        <v>83.3</v>
      </c>
      <c r="V9437" s="6">
        <v>-53.5</v>
      </c>
      <c r="W9437" s="5">
        <v>2.1</v>
      </c>
      <c r="X9437" s="6">
        <v>1.92</v>
      </c>
      <c r="Y9437" s="6">
        <v>2.0699999999999998</v>
      </c>
      <c r="Z9437" s="6">
        <v>2.09</v>
      </c>
      <c r="AA9437" s="6">
        <v>4.76</v>
      </c>
      <c r="AB9437" s="2" t="s">
        <v>86</v>
      </c>
      <c r="AC9437" s="2"/>
    </row>
    <row r="9438" spans="1:29" ht="65" x14ac:dyDescent="0.15">
      <c r="A9438" s="3">
        <f>DATE(2009,10,13)</f>
        <v>40099</v>
      </c>
      <c r="B9438" s="3">
        <f>DATE(2009,12,18)</f>
        <v>40165</v>
      </c>
      <c r="C9438" s="2" t="s">
        <v>95</v>
      </c>
      <c r="D9438" s="2" t="s">
        <v>27810</v>
      </c>
      <c r="E9438" s="2" t="s">
        <v>27811</v>
      </c>
      <c r="F9438" s="4">
        <v>3663</v>
      </c>
      <c r="G9438" s="2" t="s">
        <v>921</v>
      </c>
      <c r="H9438" s="2" t="s">
        <v>34</v>
      </c>
      <c r="I9438" s="2" t="s">
        <v>7444</v>
      </c>
      <c r="J9438" s="2" t="s">
        <v>7445</v>
      </c>
      <c r="K9438" s="2" t="s">
        <v>50</v>
      </c>
      <c r="L9438" s="2" t="s">
        <v>34</v>
      </c>
      <c r="M9438" s="12">
        <v>13303.967000000001</v>
      </c>
      <c r="N9438" s="6">
        <v>23.89</v>
      </c>
      <c r="O9438" s="6">
        <v>24.38</v>
      </c>
      <c r="P9438" s="2" t="s">
        <v>27812</v>
      </c>
      <c r="Q9438" s="6">
        <v>100</v>
      </c>
      <c r="R9438" s="6">
        <v>35</v>
      </c>
      <c r="S9438" s="5">
        <v>60.6</v>
      </c>
      <c r="T9438" s="7">
        <v>101.413</v>
      </c>
      <c r="U9438" s="5">
        <v>5.7</v>
      </c>
      <c r="V9438" s="6">
        <v>0.81</v>
      </c>
      <c r="W9438" s="6">
        <v>27.97</v>
      </c>
      <c r="X9438" s="6">
        <v>29.03</v>
      </c>
      <c r="Y9438" s="6">
        <v>33.909999999999997</v>
      </c>
      <c r="Z9438" s="5">
        <v>33.799999999999997</v>
      </c>
      <c r="AA9438" s="6">
        <v>81.36</v>
      </c>
      <c r="AB9438" s="7">
        <v>27.832999999999998</v>
      </c>
      <c r="AC9438" s="8">
        <v>35001</v>
      </c>
    </row>
    <row r="9439" spans="1:29" ht="143" x14ac:dyDescent="0.15">
      <c r="A9439" s="3">
        <f>DATE(2009,10,13)</f>
        <v>40099</v>
      </c>
      <c r="B9439" s="2"/>
      <c r="C9439" s="2" t="s">
        <v>30</v>
      </c>
      <c r="D9439" s="2" t="s">
        <v>27813</v>
      </c>
      <c r="E9439" s="2" t="s">
        <v>5499</v>
      </c>
      <c r="F9439" s="4">
        <v>6331</v>
      </c>
      <c r="G9439" s="2" t="s">
        <v>125</v>
      </c>
      <c r="H9439" s="2" t="s">
        <v>34</v>
      </c>
      <c r="I9439" s="2" t="s">
        <v>27814</v>
      </c>
      <c r="J9439" s="2" t="s">
        <v>23890</v>
      </c>
      <c r="K9439" s="2" t="s">
        <v>125</v>
      </c>
      <c r="L9439" s="2" t="s">
        <v>34</v>
      </c>
      <c r="M9439" s="7">
        <v>48.207000000000001</v>
      </c>
      <c r="N9439" s="6">
        <v>8.14</v>
      </c>
      <c r="O9439" s="6">
        <v>7.76</v>
      </c>
      <c r="P9439" s="2" t="s">
        <v>27815</v>
      </c>
      <c r="Q9439" s="2"/>
      <c r="R9439" s="6">
        <v>5.08</v>
      </c>
      <c r="S9439" s="5">
        <v>-5.7</v>
      </c>
      <c r="T9439" s="7">
        <v>-6.8819999999999997</v>
      </c>
      <c r="U9439" s="5">
        <v>9.1999999999999993</v>
      </c>
      <c r="V9439" s="6">
        <v>-0.71</v>
      </c>
      <c r="W9439" s="6">
        <v>3.94</v>
      </c>
      <c r="X9439" s="6">
        <v>3.98</v>
      </c>
      <c r="Y9439" s="6">
        <v>4.6900000000000004</v>
      </c>
      <c r="Z9439" s="6">
        <v>4.63</v>
      </c>
      <c r="AA9439" s="6">
        <v>8.01</v>
      </c>
      <c r="AB9439" s="2" t="s">
        <v>86</v>
      </c>
      <c r="AC9439" s="6">
        <v>61.1</v>
      </c>
    </row>
    <row r="9440" spans="1:29" ht="78" x14ac:dyDescent="0.15">
      <c r="A9440" s="3">
        <f>DATE(2009,10,13)</f>
        <v>40099</v>
      </c>
      <c r="B9440" s="2"/>
      <c r="C9440" s="2" t="s">
        <v>30</v>
      </c>
      <c r="D9440" s="2" t="s">
        <v>27816</v>
      </c>
      <c r="E9440" s="2" t="s">
        <v>27817</v>
      </c>
      <c r="F9440" s="4">
        <v>6726</v>
      </c>
      <c r="G9440" s="2" t="s">
        <v>53</v>
      </c>
      <c r="H9440" s="2" t="s">
        <v>34</v>
      </c>
      <c r="I9440" s="2" t="s">
        <v>26908</v>
      </c>
      <c r="J9440" s="2" t="s">
        <v>5309</v>
      </c>
      <c r="K9440" s="2" t="s">
        <v>148</v>
      </c>
      <c r="L9440" s="2" t="s">
        <v>34</v>
      </c>
      <c r="M9440" s="2"/>
      <c r="N9440" s="2"/>
      <c r="O9440" s="2"/>
      <c r="P9440" s="2" t="s">
        <v>27818</v>
      </c>
      <c r="Q9440" s="2"/>
      <c r="R9440" s="2"/>
      <c r="S9440" s="5">
        <v>0.6</v>
      </c>
      <c r="T9440" s="2"/>
      <c r="U9440" s="5">
        <v>6.7</v>
      </c>
      <c r="V9440" s="6">
        <v>0.01</v>
      </c>
      <c r="W9440" s="6">
        <v>9.9499999999999993</v>
      </c>
      <c r="X9440" s="6">
        <v>9.94</v>
      </c>
      <c r="Y9440" s="6">
        <v>9.9600000000000009</v>
      </c>
      <c r="Z9440" s="6">
        <v>9.98</v>
      </c>
      <c r="AA9440" s="6">
        <v>56.25</v>
      </c>
      <c r="AB9440" s="2" t="s">
        <v>86</v>
      </c>
      <c r="AC9440" s="6">
        <v>85.24</v>
      </c>
    </row>
    <row r="9441" spans="1:29" ht="52" x14ac:dyDescent="0.15">
      <c r="A9441" s="3">
        <f>DATE(2009,10,13)</f>
        <v>40099</v>
      </c>
      <c r="B9441" s="2"/>
      <c r="C9441" s="2" t="s">
        <v>189</v>
      </c>
      <c r="D9441" s="2" t="s">
        <v>27819</v>
      </c>
      <c r="E9441" s="2" t="s">
        <v>2384</v>
      </c>
      <c r="F9441" s="4">
        <v>2836</v>
      </c>
      <c r="G9441" s="2" t="s">
        <v>130</v>
      </c>
      <c r="H9441" s="2" t="s">
        <v>34</v>
      </c>
      <c r="I9441" s="2" t="s">
        <v>143</v>
      </c>
      <c r="J9441" s="2" t="s">
        <v>144</v>
      </c>
      <c r="K9441" s="2" t="s">
        <v>53</v>
      </c>
      <c r="L9441" s="2" t="s">
        <v>139</v>
      </c>
      <c r="M9441" s="2"/>
      <c r="N9441" s="2"/>
      <c r="O9441" s="2"/>
      <c r="P9441" s="2" t="s">
        <v>27820</v>
      </c>
      <c r="Q9441" s="2"/>
      <c r="R9441" s="2"/>
      <c r="S9441" s="5">
        <v>-24.1</v>
      </c>
      <c r="T9441" s="7">
        <v>-19.491</v>
      </c>
      <c r="U9441" s="5">
        <v>-5</v>
      </c>
      <c r="V9441" s="6">
        <v>-3.07</v>
      </c>
      <c r="W9441" s="6">
        <v>1.07</v>
      </c>
      <c r="X9441" s="6">
        <v>1.0900000000000001</v>
      </c>
      <c r="Y9441" s="6">
        <v>1.05</v>
      </c>
      <c r="Z9441" s="6">
        <v>1.02</v>
      </c>
      <c r="AA9441" s="6">
        <v>8.0500000000000007</v>
      </c>
      <c r="AB9441" s="2" t="s">
        <v>86</v>
      </c>
      <c r="AC9441" s="2"/>
    </row>
    <row r="9442" spans="1:29" ht="169" x14ac:dyDescent="0.15">
      <c r="A9442" s="3">
        <f>DATE(2009,10,14)</f>
        <v>40100</v>
      </c>
      <c r="B9442" s="2"/>
      <c r="C9442" s="2" t="s">
        <v>30</v>
      </c>
      <c r="D9442" s="2" t="s">
        <v>27174</v>
      </c>
      <c r="E9442" s="2" t="s">
        <v>1283</v>
      </c>
      <c r="F9442" s="4">
        <v>5812</v>
      </c>
      <c r="G9442" s="2" t="s">
        <v>230</v>
      </c>
      <c r="H9442" s="2" t="s">
        <v>34</v>
      </c>
      <c r="I9442" s="2" t="s">
        <v>51</v>
      </c>
      <c r="J9442" s="2" t="s">
        <v>52</v>
      </c>
      <c r="K9442" s="2" t="s">
        <v>53</v>
      </c>
      <c r="L9442" s="2" t="s">
        <v>34</v>
      </c>
      <c r="M9442" s="2"/>
      <c r="N9442" s="2"/>
      <c r="O9442" s="2"/>
      <c r="P9442" s="2" t="s">
        <v>27821</v>
      </c>
      <c r="Q9442" s="2"/>
      <c r="R9442" s="6">
        <v>8.5</v>
      </c>
      <c r="S9442" s="5">
        <v>0.4</v>
      </c>
      <c r="T9442" s="7">
        <v>11.929</v>
      </c>
      <c r="U9442" s="5">
        <v>4.7</v>
      </c>
      <c r="V9442" s="6">
        <v>0.04</v>
      </c>
      <c r="W9442" s="5">
        <v>4.5999999999999996</v>
      </c>
      <c r="X9442" s="6">
        <v>3.77</v>
      </c>
      <c r="Y9442" s="6">
        <v>4.28</v>
      </c>
      <c r="Z9442" s="5">
        <v>4.5</v>
      </c>
      <c r="AA9442" s="6">
        <v>11.91</v>
      </c>
      <c r="AB9442" s="7">
        <v>38.508000000000003</v>
      </c>
      <c r="AC9442" s="2"/>
    </row>
    <row r="9443" spans="1:29" ht="65" x14ac:dyDescent="0.15">
      <c r="A9443" s="3">
        <f>DATE(2009,10,15)</f>
        <v>40101</v>
      </c>
      <c r="B9443" s="2"/>
      <c r="C9443" s="2" t="s">
        <v>87</v>
      </c>
      <c r="D9443" s="2" t="s">
        <v>16266</v>
      </c>
      <c r="E9443" s="2" t="s">
        <v>16267</v>
      </c>
      <c r="F9443" s="4">
        <v>7389</v>
      </c>
      <c r="G9443" s="2" t="s">
        <v>223</v>
      </c>
      <c r="H9443" s="2" t="s">
        <v>34</v>
      </c>
      <c r="I9443" s="2" t="s">
        <v>26597</v>
      </c>
      <c r="J9443" s="2" t="s">
        <v>12371</v>
      </c>
      <c r="K9443" s="2" t="s">
        <v>223</v>
      </c>
      <c r="L9443" s="2" t="s">
        <v>34</v>
      </c>
      <c r="M9443" s="10">
        <v>155664.44</v>
      </c>
      <c r="N9443" s="6">
        <v>529.91</v>
      </c>
      <c r="O9443" s="6">
        <v>529.91</v>
      </c>
      <c r="P9443" s="2" t="s">
        <v>27822</v>
      </c>
      <c r="Q9443" s="2"/>
      <c r="R9443" s="2"/>
      <c r="S9443" s="5">
        <v>146.4</v>
      </c>
      <c r="T9443" s="7">
        <v>336.43400000000003</v>
      </c>
      <c r="U9443" s="5">
        <v>9.9</v>
      </c>
      <c r="V9443" s="6">
        <v>0.8</v>
      </c>
      <c r="W9443" s="6">
        <v>20.239999999999998</v>
      </c>
      <c r="X9443" s="4">
        <v>22</v>
      </c>
      <c r="Y9443" s="6">
        <v>22.04</v>
      </c>
      <c r="Z9443" s="6">
        <v>22.04</v>
      </c>
      <c r="AA9443" s="6">
        <v>172.4</v>
      </c>
      <c r="AB9443" s="2" t="s">
        <v>47</v>
      </c>
      <c r="AC9443" s="10">
        <v>21994.68</v>
      </c>
    </row>
    <row r="9444" spans="1:29" ht="156" x14ac:dyDescent="0.15">
      <c r="A9444" s="3">
        <f>DATE(2009,10,15)</f>
        <v>40101</v>
      </c>
      <c r="B9444" s="2"/>
      <c r="C9444" s="2" t="s">
        <v>30</v>
      </c>
      <c r="D9444" s="2" t="s">
        <v>27823</v>
      </c>
      <c r="E9444" s="2" t="s">
        <v>36</v>
      </c>
      <c r="F9444" s="4">
        <v>6021</v>
      </c>
      <c r="G9444" s="2" t="s">
        <v>37</v>
      </c>
      <c r="H9444" s="2" t="s">
        <v>34</v>
      </c>
      <c r="I9444" s="2" t="s">
        <v>27824</v>
      </c>
      <c r="J9444" s="2" t="s">
        <v>159</v>
      </c>
      <c r="K9444" s="2" t="s">
        <v>37</v>
      </c>
      <c r="L9444" s="2" t="s">
        <v>34</v>
      </c>
      <c r="M9444" s="7">
        <v>138.43100000000001</v>
      </c>
      <c r="N9444" s="6">
        <v>16.989999999999998</v>
      </c>
      <c r="O9444" s="6">
        <v>16.989999999999998</v>
      </c>
      <c r="P9444" s="2" t="s">
        <v>27825</v>
      </c>
      <c r="Q9444" s="2"/>
      <c r="R9444" s="6">
        <v>9.41</v>
      </c>
      <c r="S9444" s="5">
        <v>-7.7</v>
      </c>
      <c r="T9444" s="7">
        <v>-1.9079999999999999</v>
      </c>
      <c r="U9444" s="5">
        <v>10.9</v>
      </c>
      <c r="V9444" s="6">
        <v>-4.3899999999999997</v>
      </c>
      <c r="W9444" s="4">
        <v>4</v>
      </c>
      <c r="X9444" s="6">
        <v>3.75</v>
      </c>
      <c r="Y9444" s="6">
        <v>3.75</v>
      </c>
      <c r="Z9444" s="6">
        <v>3.75</v>
      </c>
      <c r="AA9444" s="6">
        <v>1.97</v>
      </c>
      <c r="AB9444" s="2" t="s">
        <v>86</v>
      </c>
      <c r="AC9444" s="2"/>
    </row>
    <row r="9445" spans="1:29" ht="65" x14ac:dyDescent="0.15">
      <c r="A9445" s="3">
        <f>DATE(2009,10,15)</f>
        <v>40101</v>
      </c>
      <c r="B9445" s="2"/>
      <c r="C9445" s="2" t="s">
        <v>87</v>
      </c>
      <c r="D9445" s="2" t="s">
        <v>21272</v>
      </c>
      <c r="E9445" s="2" t="s">
        <v>5670</v>
      </c>
      <c r="F9445" s="4">
        <v>2833</v>
      </c>
      <c r="G9445" s="2" t="s">
        <v>130</v>
      </c>
      <c r="H9445" s="2" t="s">
        <v>34</v>
      </c>
      <c r="I9445" s="2" t="s">
        <v>5534</v>
      </c>
      <c r="J9445" s="2" t="s">
        <v>5535</v>
      </c>
      <c r="K9445" s="2" t="s">
        <v>130</v>
      </c>
      <c r="L9445" s="2" t="s">
        <v>34</v>
      </c>
      <c r="M9445" s="12">
        <v>61456.644999999997</v>
      </c>
      <c r="N9445" s="6">
        <v>61.83</v>
      </c>
      <c r="O9445" s="6">
        <v>61.83</v>
      </c>
      <c r="P9445" s="2" t="s">
        <v>27826</v>
      </c>
      <c r="Q9445" s="2"/>
      <c r="R9445" s="2"/>
      <c r="S9445" s="5">
        <v>-114.8</v>
      </c>
      <c r="T9445" s="7">
        <v>-85.593000000000004</v>
      </c>
      <c r="U9445" s="5">
        <v>0</v>
      </c>
      <c r="V9445" s="6">
        <v>-2.0099999999999998</v>
      </c>
      <c r="W9445" s="6">
        <v>13.29</v>
      </c>
      <c r="X9445" s="6">
        <v>14.13</v>
      </c>
      <c r="Y9445" s="6">
        <v>14.95</v>
      </c>
      <c r="Z9445" s="6">
        <v>14.95</v>
      </c>
      <c r="AA9445" s="6">
        <v>61.62</v>
      </c>
      <c r="AB9445" s="2" t="s">
        <v>86</v>
      </c>
      <c r="AC9445" s="8">
        <v>14013</v>
      </c>
    </row>
    <row r="9446" spans="1:29" ht="52" x14ac:dyDescent="0.15">
      <c r="A9446" s="3">
        <f>DATE(2009,10,16)</f>
        <v>40102</v>
      </c>
      <c r="B9446" s="3">
        <f>DATE(2009,10,16)</f>
        <v>40102</v>
      </c>
      <c r="C9446" s="2" t="s">
        <v>95</v>
      </c>
      <c r="D9446" s="2" t="s">
        <v>27827</v>
      </c>
      <c r="E9446" s="2" t="s">
        <v>159</v>
      </c>
      <c r="F9446" s="4">
        <v>6021</v>
      </c>
      <c r="G9446" s="2" t="s">
        <v>37</v>
      </c>
      <c r="H9446" s="2" t="s">
        <v>34</v>
      </c>
      <c r="I9446" s="2" t="s">
        <v>27828</v>
      </c>
      <c r="J9446" s="2" t="s">
        <v>3780</v>
      </c>
      <c r="K9446" s="2" t="s">
        <v>37</v>
      </c>
      <c r="L9446" s="2" t="s">
        <v>34</v>
      </c>
      <c r="M9446" s="2"/>
      <c r="N9446" s="2"/>
      <c r="O9446" s="2"/>
      <c r="P9446" s="2" t="s">
        <v>27829</v>
      </c>
      <c r="Q9446" s="6">
        <v>100</v>
      </c>
      <c r="R9446" s="2"/>
      <c r="S9446" s="5">
        <v>-22.8</v>
      </c>
      <c r="T9446" s="7">
        <v>-44.662999999999997</v>
      </c>
      <c r="U9446" s="5">
        <v>9.4</v>
      </c>
      <c r="V9446" s="6">
        <v>-5.77</v>
      </c>
      <c r="W9446" s="5">
        <v>2.4</v>
      </c>
      <c r="X9446" s="6">
        <v>2.99</v>
      </c>
      <c r="Y9446" s="6">
        <v>0.09</v>
      </c>
      <c r="Z9446" s="6">
        <v>0.09</v>
      </c>
      <c r="AA9446" s="6">
        <v>3.94</v>
      </c>
      <c r="AB9446" s="2" t="s">
        <v>86</v>
      </c>
      <c r="AC9446" s="2"/>
    </row>
    <row r="9447" spans="1:29" ht="91" x14ac:dyDescent="0.15">
      <c r="A9447" s="3">
        <f>DATE(2009,10,18)</f>
        <v>40104</v>
      </c>
      <c r="B9447" s="3">
        <f>DATE(2010,1,13)</f>
        <v>40191</v>
      </c>
      <c r="C9447" s="2" t="s">
        <v>95</v>
      </c>
      <c r="D9447" s="2" t="s">
        <v>27830</v>
      </c>
      <c r="E9447" s="2" t="s">
        <v>27831</v>
      </c>
      <c r="F9447" s="4">
        <v>5912</v>
      </c>
      <c r="G9447" s="2" t="s">
        <v>73</v>
      </c>
      <c r="H9447" s="2" t="s">
        <v>34</v>
      </c>
      <c r="I9447" s="2" t="s">
        <v>14838</v>
      </c>
      <c r="J9447" s="2" t="s">
        <v>244</v>
      </c>
      <c r="K9447" s="2" t="s">
        <v>53</v>
      </c>
      <c r="L9447" s="2" t="s">
        <v>34</v>
      </c>
      <c r="M9447" s="2"/>
      <c r="N9447" s="2"/>
      <c r="O9447" s="2"/>
      <c r="P9447" s="2" t="s">
        <v>27832</v>
      </c>
      <c r="Q9447" s="6">
        <v>100</v>
      </c>
      <c r="R9447" s="6">
        <v>6.6</v>
      </c>
      <c r="S9447" s="5">
        <v>9.9</v>
      </c>
      <c r="T9447" s="7">
        <v>25.916</v>
      </c>
      <c r="U9447" s="2"/>
      <c r="V9447" s="6">
        <v>0.34</v>
      </c>
      <c r="W9447" s="6">
        <v>5.15</v>
      </c>
      <c r="X9447" s="6">
        <v>5.0199999999999996</v>
      </c>
      <c r="Y9447" s="6">
        <v>6.48</v>
      </c>
      <c r="Z9447" s="6">
        <v>6.48</v>
      </c>
      <c r="AA9447" s="6">
        <v>28.67</v>
      </c>
      <c r="AB9447" s="7">
        <v>10.39</v>
      </c>
      <c r="AC9447" s="2"/>
    </row>
    <row r="9448" spans="1:29" ht="143" x14ac:dyDescent="0.15">
      <c r="A9448" s="3">
        <f>DATE(2009,10,19)</f>
        <v>40105</v>
      </c>
      <c r="B9448" s="3">
        <f>DATE(2009,12,4)</f>
        <v>40151</v>
      </c>
      <c r="C9448" s="2" t="s">
        <v>95</v>
      </c>
      <c r="D9448" s="2" t="s">
        <v>22778</v>
      </c>
      <c r="E9448" s="2" t="s">
        <v>7568</v>
      </c>
      <c r="F9448" s="4">
        <v>4812</v>
      </c>
      <c r="G9448" s="2" t="s">
        <v>63</v>
      </c>
      <c r="H9448" s="2" t="s">
        <v>34</v>
      </c>
      <c r="I9448" s="2" t="s">
        <v>14230</v>
      </c>
      <c r="J9448" s="2" t="s">
        <v>23280</v>
      </c>
      <c r="K9448" s="2" t="s">
        <v>63</v>
      </c>
      <c r="L9448" s="2" t="s">
        <v>34</v>
      </c>
      <c r="M9448" s="12">
        <v>12222.356</v>
      </c>
      <c r="N9448" s="6">
        <v>3.44</v>
      </c>
      <c r="O9448" s="6">
        <v>3.29</v>
      </c>
      <c r="P9448" s="2" t="s">
        <v>27833</v>
      </c>
      <c r="Q9448" s="6">
        <v>92.31</v>
      </c>
      <c r="R9448" s="6">
        <v>24</v>
      </c>
      <c r="S9448" s="5">
        <v>5.6</v>
      </c>
      <c r="T9448" s="7">
        <v>81.959000000000003</v>
      </c>
      <c r="U9448" s="5">
        <v>-2</v>
      </c>
      <c r="V9448" s="6">
        <v>0.33</v>
      </c>
      <c r="W9448" s="6">
        <v>17.75</v>
      </c>
      <c r="X9448" s="5">
        <v>18.899999999999999</v>
      </c>
      <c r="Y9448" s="6">
        <v>23.88</v>
      </c>
      <c r="Z9448" s="5">
        <v>23.9</v>
      </c>
      <c r="AA9448" s="6">
        <v>18.170000000000002</v>
      </c>
      <c r="AB9448" s="7">
        <v>25.170999999999999</v>
      </c>
      <c r="AC9448" s="8">
        <v>5943</v>
      </c>
    </row>
    <row r="9449" spans="1:29" ht="65" x14ac:dyDescent="0.15">
      <c r="A9449" s="3">
        <f>DATE(2009,10,20)</f>
        <v>40106</v>
      </c>
      <c r="B9449" s="3">
        <f>DATE(2010,1,20)</f>
        <v>40198</v>
      </c>
      <c r="C9449" s="2" t="s">
        <v>95</v>
      </c>
      <c r="D9449" s="2" t="s">
        <v>27834</v>
      </c>
      <c r="E9449" s="2" t="s">
        <v>8448</v>
      </c>
      <c r="F9449" s="4">
        <v>7363</v>
      </c>
      <c r="G9449" s="2" t="s">
        <v>223</v>
      </c>
      <c r="H9449" s="2" t="s">
        <v>34</v>
      </c>
      <c r="I9449" s="2" t="s">
        <v>15137</v>
      </c>
      <c r="J9449" s="2" t="s">
        <v>15138</v>
      </c>
      <c r="K9449" s="2" t="s">
        <v>223</v>
      </c>
      <c r="L9449" s="2" t="s">
        <v>215</v>
      </c>
      <c r="M9449" s="12">
        <v>10167.208000000001</v>
      </c>
      <c r="N9449" s="7">
        <v>51.082000000000001</v>
      </c>
      <c r="O9449" s="7">
        <v>51.371000000000002</v>
      </c>
      <c r="P9449" s="2" t="s">
        <v>27835</v>
      </c>
      <c r="Q9449" s="6">
        <v>100</v>
      </c>
      <c r="R9449" s="6">
        <v>13.8</v>
      </c>
      <c r="S9449" s="5">
        <v>-283</v>
      </c>
      <c r="T9449" s="7">
        <v>58.835999999999999</v>
      </c>
      <c r="U9449" s="5">
        <v>6.7</v>
      </c>
      <c r="V9449" s="6">
        <v>-3.15</v>
      </c>
      <c r="W9449" s="6">
        <v>10.93</v>
      </c>
      <c r="X9449" s="6">
        <v>11.14</v>
      </c>
      <c r="Y9449" s="6">
        <v>13.51</v>
      </c>
      <c r="Z9449" s="6">
        <v>13.52</v>
      </c>
      <c r="AA9449" s="6">
        <v>93.14</v>
      </c>
      <c r="AB9449" s="7">
        <v>28.423999999999999</v>
      </c>
      <c r="AC9449" s="10">
        <v>1124.45</v>
      </c>
    </row>
    <row r="9450" spans="1:29" ht="208" x14ac:dyDescent="0.15">
      <c r="A9450" s="3">
        <f>DATE(2009,10,21)</f>
        <v>40107</v>
      </c>
      <c r="B9450" s="3">
        <f>DATE(2010,5,3)</f>
        <v>40301</v>
      </c>
      <c r="C9450" s="2" t="s">
        <v>95</v>
      </c>
      <c r="D9450" s="2" t="s">
        <v>27836</v>
      </c>
      <c r="E9450" s="2" t="s">
        <v>27837</v>
      </c>
      <c r="F9450" s="4">
        <v>4813</v>
      </c>
      <c r="G9450" s="2" t="s">
        <v>63</v>
      </c>
      <c r="H9450" s="2" t="s">
        <v>34</v>
      </c>
      <c r="I9450" s="2" t="s">
        <v>27838</v>
      </c>
      <c r="J9450" s="2" t="s">
        <v>27839</v>
      </c>
      <c r="K9450" s="2" t="s">
        <v>223</v>
      </c>
      <c r="L9450" s="2" t="s">
        <v>34</v>
      </c>
      <c r="M9450" s="12">
        <v>3543.2979999999998</v>
      </c>
      <c r="N9450" s="6">
        <v>97.75</v>
      </c>
      <c r="O9450" s="6">
        <v>94.15</v>
      </c>
      <c r="P9450" s="2" t="s">
        <v>27840</v>
      </c>
      <c r="Q9450" s="6">
        <v>100</v>
      </c>
      <c r="R9450" s="2"/>
      <c r="S9450" s="5">
        <v>2.5</v>
      </c>
      <c r="T9450" s="6">
        <v>46.07</v>
      </c>
      <c r="U9450" s="2"/>
      <c r="V9450" s="6">
        <v>7.0000000000000007E-2</v>
      </c>
      <c r="W9450" s="6">
        <v>14.96</v>
      </c>
      <c r="X9450" s="6">
        <v>14.23</v>
      </c>
      <c r="Y9450" s="5">
        <v>14.4</v>
      </c>
      <c r="Z9450" s="6">
        <v>18.11</v>
      </c>
      <c r="AA9450" s="6">
        <v>34.57</v>
      </c>
      <c r="AB9450" s="7">
        <v>60.720999999999997</v>
      </c>
      <c r="AC9450" s="10">
        <v>1179.9100000000001</v>
      </c>
    </row>
    <row r="9451" spans="1:29" ht="39" x14ac:dyDescent="0.15">
      <c r="A9451" s="3">
        <f>DATE(2009,10,22)</f>
        <v>40108</v>
      </c>
      <c r="B9451" s="3">
        <f>DATE(2009,11,5)</f>
        <v>40122</v>
      </c>
      <c r="C9451" s="2" t="s">
        <v>95</v>
      </c>
      <c r="D9451" s="2" t="s">
        <v>27841</v>
      </c>
      <c r="E9451" s="2" t="s">
        <v>849</v>
      </c>
      <c r="F9451" s="4">
        <v>7372</v>
      </c>
      <c r="G9451" s="2" t="s">
        <v>551</v>
      </c>
      <c r="H9451" s="2" t="s">
        <v>34</v>
      </c>
      <c r="I9451" s="2" t="s">
        <v>27842</v>
      </c>
      <c r="J9451" s="2" t="s">
        <v>150</v>
      </c>
      <c r="K9451" s="2" t="s">
        <v>53</v>
      </c>
      <c r="L9451" s="2" t="s">
        <v>34</v>
      </c>
      <c r="M9451" s="2"/>
      <c r="N9451" s="2"/>
      <c r="O9451" s="2"/>
      <c r="P9451" s="2" t="s">
        <v>27843</v>
      </c>
      <c r="Q9451" s="6">
        <v>100</v>
      </c>
      <c r="R9451" s="2"/>
      <c r="S9451" s="5">
        <v>5.9</v>
      </c>
      <c r="T9451" s="7">
        <v>8.8740000000000006</v>
      </c>
      <c r="U9451" s="5">
        <v>0.5</v>
      </c>
      <c r="V9451" s="9">
        <v>0.13650000000000001</v>
      </c>
      <c r="W9451" s="6">
        <v>1.05</v>
      </c>
      <c r="X9451" s="6">
        <v>1.01</v>
      </c>
      <c r="Y9451" s="6">
        <v>1.01</v>
      </c>
      <c r="Z9451" s="6">
        <v>1.01</v>
      </c>
      <c r="AA9451" s="6">
        <v>1.1100000000000001</v>
      </c>
      <c r="AB9451" s="2" t="s">
        <v>47</v>
      </c>
      <c r="AC9451" s="2"/>
    </row>
    <row r="9452" spans="1:29" ht="182" x14ac:dyDescent="0.15">
      <c r="A9452" s="3">
        <f>DATE(2009,10,26)</f>
        <v>40112</v>
      </c>
      <c r="B9452" s="3">
        <f>DATE(2010,4,1)</f>
        <v>40269</v>
      </c>
      <c r="C9452" s="2" t="s">
        <v>95</v>
      </c>
      <c r="D9452" s="2" t="s">
        <v>10313</v>
      </c>
      <c r="E9452" s="2" t="s">
        <v>17975</v>
      </c>
      <c r="F9452" s="4">
        <v>6799</v>
      </c>
      <c r="G9452" s="2" t="s">
        <v>53</v>
      </c>
      <c r="H9452" s="2" t="s">
        <v>34</v>
      </c>
      <c r="I9452" s="2" t="s">
        <v>27844</v>
      </c>
      <c r="J9452" s="2" t="s">
        <v>17975</v>
      </c>
      <c r="K9452" s="2" t="s">
        <v>53</v>
      </c>
      <c r="L9452" s="2" t="s">
        <v>34</v>
      </c>
      <c r="M9452" s="12">
        <v>1037.5920000000001</v>
      </c>
      <c r="N9452" s="6">
        <v>11.99</v>
      </c>
      <c r="O9452" s="6">
        <v>11.73</v>
      </c>
      <c r="P9452" s="2" t="s">
        <v>27845</v>
      </c>
      <c r="Q9452" s="6">
        <v>100</v>
      </c>
      <c r="R9452" s="6">
        <v>3.47</v>
      </c>
      <c r="S9452" s="8">
        <v>-1096.2</v>
      </c>
      <c r="T9452" s="7">
        <v>192.673</v>
      </c>
      <c r="U9452" s="5">
        <v>6.7</v>
      </c>
      <c r="V9452" s="6">
        <v>-6.2</v>
      </c>
      <c r="W9452" s="6">
        <v>2.97</v>
      </c>
      <c r="X9452" s="6">
        <v>2.73</v>
      </c>
      <c r="Y9452" s="6">
        <v>3.61</v>
      </c>
      <c r="Z9452" s="6">
        <v>3.52</v>
      </c>
      <c r="AA9452" s="6">
        <v>179.01</v>
      </c>
      <c r="AB9452" s="7">
        <v>10.728999999999999</v>
      </c>
      <c r="AC9452" s="6">
        <v>61.47</v>
      </c>
    </row>
    <row r="9453" spans="1:29" ht="52" x14ac:dyDescent="0.15">
      <c r="A9453" s="3">
        <f>DATE(2009,10,26)</f>
        <v>40112</v>
      </c>
      <c r="B9453" s="3">
        <f>DATE(2010,4,7)</f>
        <v>40275</v>
      </c>
      <c r="C9453" s="2" t="s">
        <v>95</v>
      </c>
      <c r="D9453" s="2" t="s">
        <v>27846</v>
      </c>
      <c r="E9453" s="2" t="s">
        <v>159</v>
      </c>
      <c r="F9453" s="4">
        <v>6021</v>
      </c>
      <c r="G9453" s="2" t="s">
        <v>37</v>
      </c>
      <c r="H9453" s="2" t="s">
        <v>34</v>
      </c>
      <c r="I9453" s="2" t="s">
        <v>27847</v>
      </c>
      <c r="J9453" s="2" t="s">
        <v>27848</v>
      </c>
      <c r="K9453" s="2" t="s">
        <v>37</v>
      </c>
      <c r="L9453" s="2" t="s">
        <v>34</v>
      </c>
      <c r="M9453" s="2"/>
      <c r="N9453" s="2"/>
      <c r="O9453" s="2"/>
      <c r="P9453" s="2" t="s">
        <v>27849</v>
      </c>
      <c r="Q9453" s="6">
        <v>100</v>
      </c>
      <c r="R9453" s="6">
        <v>15</v>
      </c>
      <c r="S9453" s="5">
        <v>0.3</v>
      </c>
      <c r="T9453" s="7">
        <v>0.624</v>
      </c>
      <c r="U9453" s="2"/>
      <c r="V9453" s="6">
        <v>0.05</v>
      </c>
      <c r="W9453" s="5">
        <v>6.2</v>
      </c>
      <c r="X9453" s="5">
        <v>5.8</v>
      </c>
      <c r="Y9453" s="6">
        <v>13.55</v>
      </c>
      <c r="Z9453" s="5">
        <v>14.1</v>
      </c>
      <c r="AA9453" s="6">
        <v>2.36</v>
      </c>
      <c r="AB9453" s="7">
        <v>445.02600000000001</v>
      </c>
      <c r="AC9453" s="2"/>
    </row>
    <row r="9454" spans="1:29" ht="65" x14ac:dyDescent="0.15">
      <c r="A9454" s="3">
        <f>DATE(2009,10,27)</f>
        <v>40113</v>
      </c>
      <c r="B9454" s="3">
        <f>DATE(2009,10,27)</f>
        <v>40113</v>
      </c>
      <c r="C9454" s="2" t="s">
        <v>95</v>
      </c>
      <c r="D9454" s="2" t="s">
        <v>16517</v>
      </c>
      <c r="E9454" s="2" t="s">
        <v>16518</v>
      </c>
      <c r="F9454" s="4">
        <v>1521</v>
      </c>
      <c r="G9454" s="2" t="s">
        <v>341</v>
      </c>
      <c r="H9454" s="2" t="s">
        <v>34</v>
      </c>
      <c r="I9454" s="2" t="s">
        <v>14838</v>
      </c>
      <c r="J9454" s="2" t="s">
        <v>244</v>
      </c>
      <c r="K9454" s="2" t="s">
        <v>53</v>
      </c>
      <c r="L9454" s="2" t="s">
        <v>34</v>
      </c>
      <c r="M9454" s="2"/>
      <c r="N9454" s="2"/>
      <c r="O9454" s="2"/>
      <c r="P9454" s="2" t="s">
        <v>27850</v>
      </c>
      <c r="Q9454" s="6">
        <v>51</v>
      </c>
      <c r="R9454" s="2"/>
      <c r="S9454" s="5">
        <v>-57.2</v>
      </c>
      <c r="T9454" s="7">
        <v>-5.3869999999999996</v>
      </c>
      <c r="U9454" s="5">
        <v>3.3</v>
      </c>
      <c r="V9454" s="6">
        <v>-1.05</v>
      </c>
      <c r="W9454" s="6">
        <v>1.45</v>
      </c>
      <c r="X9454" s="5">
        <v>1.1000000000000001</v>
      </c>
      <c r="Y9454" s="5">
        <v>1.1000000000000001</v>
      </c>
      <c r="Z9454" s="5">
        <v>1.1000000000000001</v>
      </c>
      <c r="AA9454" s="6">
        <v>15.98</v>
      </c>
      <c r="AB9454" s="2" t="s">
        <v>86</v>
      </c>
      <c r="AC9454" s="2"/>
    </row>
    <row r="9455" spans="1:29" ht="39" x14ac:dyDescent="0.15">
      <c r="A9455" s="3">
        <f>DATE(2009,10,27)</f>
        <v>40113</v>
      </c>
      <c r="B9455" s="2"/>
      <c r="C9455" s="2" t="s">
        <v>7330</v>
      </c>
      <c r="D9455" s="2" t="s">
        <v>27851</v>
      </c>
      <c r="E9455" s="2" t="s">
        <v>22462</v>
      </c>
      <c r="F9455" s="4">
        <v>8059</v>
      </c>
      <c r="G9455" s="2" t="s">
        <v>454</v>
      </c>
      <c r="H9455" s="2" t="s">
        <v>34</v>
      </c>
      <c r="I9455" s="2" t="s">
        <v>1526</v>
      </c>
      <c r="J9455" s="2" t="s">
        <v>302</v>
      </c>
      <c r="K9455" s="2" t="s">
        <v>53</v>
      </c>
      <c r="L9455" s="2" t="s">
        <v>34</v>
      </c>
      <c r="M9455" s="2"/>
      <c r="N9455" s="2"/>
      <c r="O9455" s="2"/>
      <c r="P9455" s="2" t="s">
        <v>27852</v>
      </c>
      <c r="Q9455" s="2"/>
      <c r="R9455" s="2"/>
      <c r="S9455" s="5">
        <v>-417</v>
      </c>
      <c r="T9455" s="7">
        <v>-2.278</v>
      </c>
      <c r="U9455" s="5">
        <v>0</v>
      </c>
      <c r="V9455" s="6">
        <v>-7.08</v>
      </c>
      <c r="W9455" s="6">
        <v>5.54</v>
      </c>
      <c r="X9455" s="6">
        <v>4.8099999999999996</v>
      </c>
      <c r="Y9455" s="6">
        <v>5.01</v>
      </c>
      <c r="Z9455" s="6">
        <v>4.5599999999999996</v>
      </c>
      <c r="AA9455" s="2"/>
      <c r="AB9455" s="2" t="s">
        <v>86</v>
      </c>
      <c r="AC9455" s="2"/>
    </row>
    <row r="9456" spans="1:29" ht="65" x14ac:dyDescent="0.15">
      <c r="A9456" s="3">
        <f>DATE(2009,10,28)</f>
        <v>40114</v>
      </c>
      <c r="B9456" s="2"/>
      <c r="C9456" s="2" t="s">
        <v>87</v>
      </c>
      <c r="D9456" s="2" t="s">
        <v>27853</v>
      </c>
      <c r="E9456" s="2" t="s">
        <v>4801</v>
      </c>
      <c r="F9456" s="4">
        <v>3572</v>
      </c>
      <c r="G9456" s="2" t="s">
        <v>50</v>
      </c>
      <c r="H9456" s="2" t="s">
        <v>34</v>
      </c>
      <c r="I9456" s="2" t="s">
        <v>143</v>
      </c>
      <c r="J9456" s="2" t="s">
        <v>144</v>
      </c>
      <c r="K9456" s="2" t="s">
        <v>53</v>
      </c>
      <c r="L9456" s="2" t="s">
        <v>139</v>
      </c>
      <c r="M9456" s="2"/>
      <c r="N9456" s="2"/>
      <c r="O9456" s="2"/>
      <c r="P9456" s="2" t="s">
        <v>27854</v>
      </c>
      <c r="Q9456" s="2"/>
      <c r="R9456" s="2"/>
      <c r="S9456" s="5">
        <v>-14.9</v>
      </c>
      <c r="T9456" s="6">
        <v>-5.52</v>
      </c>
      <c r="U9456" s="5">
        <v>34</v>
      </c>
      <c r="V9456" s="6">
        <v>-1.3</v>
      </c>
      <c r="W9456" s="6">
        <v>3.25</v>
      </c>
      <c r="X9456" s="6">
        <v>3.25</v>
      </c>
      <c r="Y9456" s="6">
        <v>3.18</v>
      </c>
      <c r="Z9456" s="6">
        <v>3.25</v>
      </c>
      <c r="AA9456" s="6">
        <v>120.7</v>
      </c>
      <c r="AB9456" s="2" t="s">
        <v>86</v>
      </c>
      <c r="AC9456" s="2"/>
    </row>
    <row r="9457" spans="1:29" ht="130" x14ac:dyDescent="0.15">
      <c r="A9457" s="3">
        <f>DATE(2009,10,29)</f>
        <v>40115</v>
      </c>
      <c r="B9457" s="2"/>
      <c r="C9457" s="2" t="s">
        <v>30</v>
      </c>
      <c r="D9457" s="2" t="s">
        <v>23124</v>
      </c>
      <c r="E9457" s="2" t="s">
        <v>23125</v>
      </c>
      <c r="F9457" s="4">
        <v>7812</v>
      </c>
      <c r="G9457" s="2" t="s">
        <v>42</v>
      </c>
      <c r="H9457" s="2" t="s">
        <v>34</v>
      </c>
      <c r="I9457" s="2" t="s">
        <v>27855</v>
      </c>
      <c r="J9457" s="2" t="s">
        <v>27856</v>
      </c>
      <c r="K9457" s="2" t="s">
        <v>223</v>
      </c>
      <c r="L9457" s="2" t="s">
        <v>34</v>
      </c>
      <c r="M9457" s="7">
        <v>17.939</v>
      </c>
      <c r="N9457" s="6">
        <v>0.45</v>
      </c>
      <c r="O9457" s="6">
        <v>0.49</v>
      </c>
      <c r="P9457" s="2" t="s">
        <v>27857</v>
      </c>
      <c r="Q9457" s="2"/>
      <c r="R9457" s="6">
        <v>1.65</v>
      </c>
      <c r="S9457" s="5">
        <v>-3.7</v>
      </c>
      <c r="T9457" s="7">
        <v>-9.9000000000000005E-2</v>
      </c>
      <c r="U9457" s="5">
        <v>148.5</v>
      </c>
      <c r="V9457" s="9">
        <v>-29.3994</v>
      </c>
      <c r="W9457" s="6">
        <v>1.1100000000000001</v>
      </c>
      <c r="X9457" s="6">
        <v>1.1100000000000001</v>
      </c>
      <c r="Y9457" s="6">
        <v>1.1100000000000001</v>
      </c>
      <c r="Z9457" s="6">
        <v>1.1100000000000001</v>
      </c>
      <c r="AA9457" s="6">
        <v>20.6</v>
      </c>
      <c r="AB9457" s="2" t="s">
        <v>86</v>
      </c>
      <c r="AC9457" s="2"/>
    </row>
    <row r="9458" spans="1:29" ht="104" x14ac:dyDescent="0.15">
      <c r="A9458" s="3">
        <f>DATE(2009,10,30)</f>
        <v>40116</v>
      </c>
      <c r="B9458" s="3">
        <f>DATE(2010,7,29)</f>
        <v>40388</v>
      </c>
      <c r="C9458" s="2" t="s">
        <v>95</v>
      </c>
      <c r="D9458" s="2" t="s">
        <v>27858</v>
      </c>
      <c r="E9458" s="2" t="s">
        <v>18872</v>
      </c>
      <c r="F9458" s="4">
        <v>7375</v>
      </c>
      <c r="G9458" s="2" t="s">
        <v>223</v>
      </c>
      <c r="H9458" s="2" t="s">
        <v>34</v>
      </c>
      <c r="I9458" s="2" t="s">
        <v>27859</v>
      </c>
      <c r="J9458" s="2" t="s">
        <v>244</v>
      </c>
      <c r="K9458" s="2" t="s">
        <v>53</v>
      </c>
      <c r="L9458" s="2" t="s">
        <v>34</v>
      </c>
      <c r="M9458" s="2"/>
      <c r="N9458" s="2"/>
      <c r="O9458" s="2"/>
      <c r="P9458" s="2" t="s">
        <v>27860</v>
      </c>
      <c r="Q9458" s="6">
        <v>46</v>
      </c>
      <c r="R9458" s="6">
        <v>1.84</v>
      </c>
      <c r="S9458" s="5">
        <v>-17.8</v>
      </c>
      <c r="T9458" s="6">
        <v>-2.06</v>
      </c>
      <c r="U9458" s="5">
        <v>2</v>
      </c>
      <c r="V9458" s="6">
        <v>-2.89</v>
      </c>
      <c r="W9458" s="7">
        <v>1.266</v>
      </c>
      <c r="X9458" s="7">
        <v>1.1379999999999999</v>
      </c>
      <c r="Y9458" s="6">
        <v>1.05</v>
      </c>
      <c r="Z9458" s="6">
        <v>1.45</v>
      </c>
      <c r="AA9458" s="6">
        <v>6.4</v>
      </c>
      <c r="AB9458" s="2" t="s">
        <v>86</v>
      </c>
      <c r="AC9458" s="2"/>
    </row>
    <row r="9459" spans="1:29" ht="91" x14ac:dyDescent="0.15">
      <c r="A9459" s="3">
        <f>DATE(2009,10,30)</f>
        <v>40116</v>
      </c>
      <c r="B9459" s="3">
        <f>DATE(2009,11,25)</f>
        <v>40142</v>
      </c>
      <c r="C9459" s="2" t="s">
        <v>95</v>
      </c>
      <c r="D9459" s="2" t="s">
        <v>27734</v>
      </c>
      <c r="E9459" s="2" t="s">
        <v>1435</v>
      </c>
      <c r="F9459" s="4">
        <v>1311</v>
      </c>
      <c r="G9459" s="2" t="s">
        <v>148</v>
      </c>
      <c r="H9459" s="2" t="s">
        <v>34</v>
      </c>
      <c r="I9459" s="2" t="s">
        <v>27735</v>
      </c>
      <c r="J9459" s="2" t="s">
        <v>244</v>
      </c>
      <c r="K9459" s="2" t="s">
        <v>53</v>
      </c>
      <c r="L9459" s="2" t="s">
        <v>34</v>
      </c>
      <c r="M9459" s="2"/>
      <c r="N9459" s="2"/>
      <c r="O9459" s="2"/>
      <c r="P9459" s="2" t="s">
        <v>27861</v>
      </c>
      <c r="Q9459" s="6">
        <v>12.62</v>
      </c>
      <c r="R9459" s="6">
        <v>3.15</v>
      </c>
      <c r="S9459" s="5">
        <v>-189.7</v>
      </c>
      <c r="T9459" s="7">
        <v>45.231000000000002</v>
      </c>
      <c r="U9459" s="5">
        <v>1.9</v>
      </c>
      <c r="V9459" s="6">
        <v>-4.57</v>
      </c>
      <c r="W9459" s="6">
        <v>3.14</v>
      </c>
      <c r="X9459" s="6">
        <v>3.15</v>
      </c>
      <c r="Y9459" s="6">
        <v>3.16</v>
      </c>
      <c r="Z9459" s="6">
        <v>3.14</v>
      </c>
      <c r="AA9459" s="6">
        <v>41.65</v>
      </c>
      <c r="AB9459" s="7">
        <v>31.559000000000001</v>
      </c>
      <c r="AC9459" s="2"/>
    </row>
    <row r="9460" spans="1:29" ht="91" x14ac:dyDescent="0.15">
      <c r="A9460" s="3">
        <f>DATE(2009,11,1)</f>
        <v>40118</v>
      </c>
      <c r="B9460" s="3">
        <f>DATE(2010,3,10)</f>
        <v>40247</v>
      </c>
      <c r="C9460" s="2" t="s">
        <v>95</v>
      </c>
      <c r="D9460" s="2" t="s">
        <v>27862</v>
      </c>
      <c r="E9460" s="2" t="s">
        <v>18348</v>
      </c>
      <c r="F9460" s="4">
        <v>1311</v>
      </c>
      <c r="G9460" s="2" t="s">
        <v>148</v>
      </c>
      <c r="H9460" s="2" t="s">
        <v>34</v>
      </c>
      <c r="I9460" s="2" t="s">
        <v>13349</v>
      </c>
      <c r="J9460" s="2" t="s">
        <v>1608</v>
      </c>
      <c r="K9460" s="2" t="s">
        <v>148</v>
      </c>
      <c r="L9460" s="2" t="s">
        <v>34</v>
      </c>
      <c r="M9460" s="10">
        <v>3479.66</v>
      </c>
      <c r="N9460" s="6">
        <v>13.09</v>
      </c>
      <c r="O9460" s="6">
        <v>13.09</v>
      </c>
      <c r="P9460" s="2" t="s">
        <v>27863</v>
      </c>
      <c r="Q9460" s="6">
        <v>100</v>
      </c>
      <c r="R9460" s="6">
        <v>50</v>
      </c>
      <c r="S9460" s="5">
        <v>169.5</v>
      </c>
      <c r="T9460" s="7">
        <v>422.56400000000002</v>
      </c>
      <c r="U9460" s="5">
        <v>30</v>
      </c>
      <c r="V9460" s="6">
        <v>3.25</v>
      </c>
      <c r="W9460" s="6">
        <v>42.76</v>
      </c>
      <c r="X9460" s="6">
        <v>37.07</v>
      </c>
      <c r="Y9460" s="6">
        <v>44.67</v>
      </c>
      <c r="Z9460" s="6">
        <v>44.67</v>
      </c>
      <c r="AA9460" s="6">
        <v>55.54</v>
      </c>
      <c r="AB9460" s="7">
        <v>49.960999999999999</v>
      </c>
      <c r="AC9460" s="6">
        <v>21.69</v>
      </c>
    </row>
    <row r="9461" spans="1:29" ht="156" x14ac:dyDescent="0.15">
      <c r="A9461" s="3">
        <f>DATE(2009,11,2)</f>
        <v>40119</v>
      </c>
      <c r="B9461" s="3">
        <f>DATE(2010,3,12)</f>
        <v>40249</v>
      </c>
      <c r="C9461" s="2" t="s">
        <v>95</v>
      </c>
      <c r="D9461" s="2" t="s">
        <v>27864</v>
      </c>
      <c r="E9461" s="2" t="s">
        <v>27865</v>
      </c>
      <c r="F9461" s="4">
        <v>3546</v>
      </c>
      <c r="G9461" s="2" t="s">
        <v>300</v>
      </c>
      <c r="H9461" s="2" t="s">
        <v>34</v>
      </c>
      <c r="I9461" s="2" t="s">
        <v>27866</v>
      </c>
      <c r="J9461" s="2" t="s">
        <v>1444</v>
      </c>
      <c r="K9461" s="2" t="s">
        <v>163</v>
      </c>
      <c r="L9461" s="2" t="s">
        <v>34</v>
      </c>
      <c r="M9461" s="12">
        <v>3340.0709999999999</v>
      </c>
      <c r="N9461" s="6">
        <v>45.15</v>
      </c>
      <c r="O9461" s="6">
        <v>49.69</v>
      </c>
      <c r="P9461" s="2" t="s">
        <v>27867</v>
      </c>
      <c r="Q9461" s="6">
        <v>100</v>
      </c>
      <c r="R9461" s="6">
        <v>57.67</v>
      </c>
      <c r="S9461" s="5">
        <v>142.30000000000001</v>
      </c>
      <c r="T9461" s="5">
        <v>370.1</v>
      </c>
      <c r="U9461" s="5">
        <v>20.7</v>
      </c>
      <c r="V9461" s="6">
        <v>2.35</v>
      </c>
      <c r="W9461" s="6">
        <v>49.21</v>
      </c>
      <c r="X9461" s="6">
        <v>47.22</v>
      </c>
      <c r="Y9461" s="6">
        <v>47.34</v>
      </c>
      <c r="Z9461" s="4">
        <v>62</v>
      </c>
      <c r="AA9461" s="6">
        <v>60.17</v>
      </c>
      <c r="AB9461" s="7">
        <v>17.495999999999999</v>
      </c>
      <c r="AC9461" s="5">
        <v>232.7</v>
      </c>
    </row>
    <row r="9462" spans="1:29" ht="247" x14ac:dyDescent="0.15">
      <c r="A9462" s="3">
        <f>DATE(2009,11,2)</f>
        <v>40119</v>
      </c>
      <c r="B9462" s="2"/>
      <c r="C9462" s="2" t="s">
        <v>30</v>
      </c>
      <c r="D9462" s="2" t="s">
        <v>13758</v>
      </c>
      <c r="E9462" s="2" t="s">
        <v>13759</v>
      </c>
      <c r="F9462" s="4">
        <v>2095</v>
      </c>
      <c r="G9462" s="2" t="s">
        <v>577</v>
      </c>
      <c r="H9462" s="2" t="s">
        <v>34</v>
      </c>
      <c r="I9462" s="2" t="s">
        <v>27868</v>
      </c>
      <c r="J9462" s="2" t="s">
        <v>13759</v>
      </c>
      <c r="K9462" s="2" t="s">
        <v>577</v>
      </c>
      <c r="L9462" s="2" t="s">
        <v>34</v>
      </c>
      <c r="M9462" s="7">
        <v>361.83800000000002</v>
      </c>
      <c r="N9462" s="6">
        <v>34.56</v>
      </c>
      <c r="O9462" s="6">
        <v>38.44</v>
      </c>
      <c r="P9462" s="2" t="s">
        <v>27869</v>
      </c>
      <c r="Q9462" s="2"/>
      <c r="R9462" s="6">
        <v>32.5</v>
      </c>
      <c r="S9462" s="5">
        <v>1.3</v>
      </c>
      <c r="T9462" s="7">
        <v>5.1210000000000004</v>
      </c>
      <c r="U9462" s="5">
        <v>2.5</v>
      </c>
      <c r="V9462" s="6">
        <v>0.35</v>
      </c>
      <c r="W9462" s="6">
        <v>29.75</v>
      </c>
      <c r="X9462" s="5">
        <v>21.8</v>
      </c>
      <c r="Y9462" s="6">
        <v>20.36</v>
      </c>
      <c r="Z9462" s="6">
        <v>25.83</v>
      </c>
      <c r="AA9462" s="6">
        <v>8.4600000000000009</v>
      </c>
      <c r="AB9462" s="7">
        <v>83.56</v>
      </c>
      <c r="AC9462" s="5">
        <v>21.2</v>
      </c>
    </row>
    <row r="9463" spans="1:29" ht="195" x14ac:dyDescent="0.15">
      <c r="A9463" s="3">
        <f>DATE(2009,11,2)</f>
        <v>40119</v>
      </c>
      <c r="B9463" s="3">
        <f>DATE(2009,12,31)</f>
        <v>40178</v>
      </c>
      <c r="C9463" s="2" t="s">
        <v>95</v>
      </c>
      <c r="D9463" s="2" t="s">
        <v>26087</v>
      </c>
      <c r="E9463" s="2" t="s">
        <v>26088</v>
      </c>
      <c r="F9463" s="4">
        <v>4213</v>
      </c>
      <c r="G9463" s="2" t="s">
        <v>173</v>
      </c>
      <c r="H9463" s="2" t="s">
        <v>34</v>
      </c>
      <c r="I9463" s="2" t="s">
        <v>1558</v>
      </c>
      <c r="J9463" s="2" t="s">
        <v>52</v>
      </c>
      <c r="K9463" s="2" t="s">
        <v>53</v>
      </c>
      <c r="L9463" s="2" t="s">
        <v>34</v>
      </c>
      <c r="M9463" s="2"/>
      <c r="N9463" s="6">
        <v>1.32</v>
      </c>
      <c r="O9463" s="6">
        <v>1.23</v>
      </c>
      <c r="P9463" s="2" t="s">
        <v>27870</v>
      </c>
      <c r="Q9463" s="6">
        <v>94</v>
      </c>
      <c r="R9463" s="2"/>
      <c r="S9463" s="5">
        <v>-622</v>
      </c>
      <c r="T9463" s="7">
        <v>-560.26300000000003</v>
      </c>
      <c r="U9463" s="8">
        <v>-3917</v>
      </c>
      <c r="V9463" s="5">
        <v>-78378.399999999994</v>
      </c>
      <c r="W9463" s="6">
        <v>3.72</v>
      </c>
      <c r="X9463" s="6">
        <v>3.65</v>
      </c>
      <c r="Y9463" s="6">
        <v>1.32</v>
      </c>
      <c r="Z9463" s="6">
        <v>1.23</v>
      </c>
      <c r="AA9463" s="6">
        <v>63.47</v>
      </c>
      <c r="AB9463" s="2" t="s">
        <v>86</v>
      </c>
      <c r="AC9463" s="2"/>
    </row>
    <row r="9464" spans="1:29" ht="156" x14ac:dyDescent="0.15">
      <c r="A9464" s="3">
        <f>DATE(2009,11,3)</f>
        <v>40120</v>
      </c>
      <c r="B9464" s="3">
        <f>DATE(2010,2,12)</f>
        <v>40221</v>
      </c>
      <c r="C9464" s="2" t="s">
        <v>95</v>
      </c>
      <c r="D9464" s="2" t="s">
        <v>27871</v>
      </c>
      <c r="E9464" s="2" t="s">
        <v>27872</v>
      </c>
      <c r="F9464" s="4">
        <v>4011</v>
      </c>
      <c r="G9464" s="2" t="s">
        <v>173</v>
      </c>
      <c r="H9464" s="2" t="s">
        <v>34</v>
      </c>
      <c r="I9464" s="2" t="s">
        <v>6692</v>
      </c>
      <c r="J9464" s="2" t="s">
        <v>515</v>
      </c>
      <c r="K9464" s="2" t="s">
        <v>125</v>
      </c>
      <c r="L9464" s="2" t="s">
        <v>34</v>
      </c>
      <c r="M9464" s="12">
        <v>1594279.071</v>
      </c>
      <c r="N9464" s="4">
        <v>100450</v>
      </c>
      <c r="O9464" s="4">
        <v>101530</v>
      </c>
      <c r="P9464" s="2" t="s">
        <v>27873</v>
      </c>
      <c r="Q9464" s="6">
        <v>78.069999999999993</v>
      </c>
      <c r="R9464" s="6">
        <v>100</v>
      </c>
      <c r="S9464" s="2"/>
      <c r="T9464" s="2"/>
      <c r="U9464" s="5">
        <v>36</v>
      </c>
      <c r="V9464" s="2"/>
      <c r="W9464" s="6">
        <v>76.62</v>
      </c>
      <c r="X9464" s="6">
        <v>76.069999999999993</v>
      </c>
      <c r="Y9464" s="4">
        <v>97</v>
      </c>
      <c r="Z9464" s="5">
        <v>97.1</v>
      </c>
      <c r="AA9464" s="6">
        <v>350.1</v>
      </c>
      <c r="AB9464" s="2" t="s">
        <v>47</v>
      </c>
      <c r="AC9464" s="8">
        <v>26919</v>
      </c>
    </row>
    <row r="9465" spans="1:29" ht="130" x14ac:dyDescent="0.15">
      <c r="A9465" s="3">
        <f>DATE(2009,11,3)</f>
        <v>40120</v>
      </c>
      <c r="B9465" s="3">
        <f>DATE(2010,7,1)</f>
        <v>40360</v>
      </c>
      <c r="C9465" s="2" t="s">
        <v>95</v>
      </c>
      <c r="D9465" s="2" t="s">
        <v>27874</v>
      </c>
      <c r="E9465" s="2" t="s">
        <v>159</v>
      </c>
      <c r="F9465" s="4">
        <v>6021</v>
      </c>
      <c r="G9465" s="2" t="s">
        <v>37</v>
      </c>
      <c r="H9465" s="2" t="s">
        <v>34</v>
      </c>
      <c r="I9465" s="2" t="s">
        <v>27875</v>
      </c>
      <c r="J9465" s="2" t="s">
        <v>36</v>
      </c>
      <c r="K9465" s="2" t="s">
        <v>37</v>
      </c>
      <c r="L9465" s="2" t="s">
        <v>34</v>
      </c>
      <c r="M9465" s="7">
        <v>149.137</v>
      </c>
      <c r="N9465" s="6">
        <v>16.32</v>
      </c>
      <c r="O9465" s="5">
        <v>15.1</v>
      </c>
      <c r="P9465" s="2" t="s">
        <v>27876</v>
      </c>
      <c r="Q9465" s="6">
        <v>100</v>
      </c>
      <c r="R9465" s="6">
        <v>13.43</v>
      </c>
      <c r="S9465" s="5">
        <v>-1.6</v>
      </c>
      <c r="T9465" s="7">
        <v>-0.67100000000000004</v>
      </c>
      <c r="U9465" s="5">
        <v>13.8</v>
      </c>
      <c r="V9465" s="6">
        <v>-0.68</v>
      </c>
      <c r="W9465" s="6">
        <v>8.85</v>
      </c>
      <c r="X9465" s="6">
        <v>8.85</v>
      </c>
      <c r="Y9465" s="6">
        <v>8.85</v>
      </c>
      <c r="Z9465" s="4">
        <v>12</v>
      </c>
      <c r="AA9465" s="6">
        <v>2.4500000000000002</v>
      </c>
      <c r="AB9465" s="2" t="s">
        <v>86</v>
      </c>
      <c r="AC9465" s="2"/>
    </row>
    <row r="9466" spans="1:29" ht="91" x14ac:dyDescent="0.15">
      <c r="A9466" s="3">
        <f>DATE(2009,11,4)</f>
        <v>40121</v>
      </c>
      <c r="B9466" s="3">
        <f>DATE(2011,4,18)</f>
        <v>40651</v>
      </c>
      <c r="C9466" s="2" t="s">
        <v>95</v>
      </c>
      <c r="D9466" s="2" t="s">
        <v>27877</v>
      </c>
      <c r="E9466" s="2" t="s">
        <v>27878</v>
      </c>
      <c r="F9466" s="4">
        <v>5813</v>
      </c>
      <c r="G9466" s="2" t="s">
        <v>230</v>
      </c>
      <c r="H9466" s="2" t="s">
        <v>34</v>
      </c>
      <c r="I9466" s="2" t="s">
        <v>27879</v>
      </c>
      <c r="J9466" s="2" t="s">
        <v>27880</v>
      </c>
      <c r="K9466" s="2" t="s">
        <v>230</v>
      </c>
      <c r="L9466" s="2" t="s">
        <v>34</v>
      </c>
      <c r="M9466" s="2"/>
      <c r="N9466" s="2"/>
      <c r="O9466" s="2"/>
      <c r="P9466" s="2" t="s">
        <v>27881</v>
      </c>
      <c r="Q9466" s="6">
        <v>100</v>
      </c>
      <c r="R9466" s="6">
        <v>2.25</v>
      </c>
      <c r="S9466" s="5">
        <v>-33.299999999999997</v>
      </c>
      <c r="T9466" s="7">
        <v>8.8369999999999997</v>
      </c>
      <c r="U9466" s="5">
        <v>1.5</v>
      </c>
      <c r="V9466" s="6">
        <v>-1.82</v>
      </c>
      <c r="W9466" s="6">
        <v>1.92</v>
      </c>
      <c r="X9466" s="6">
        <v>1.77</v>
      </c>
      <c r="Y9466" s="6">
        <v>1.99</v>
      </c>
      <c r="Z9466" s="6">
        <v>1.96</v>
      </c>
      <c r="AA9466" s="6">
        <v>17.48</v>
      </c>
      <c r="AB9466" s="7">
        <v>9.5329999999999995</v>
      </c>
      <c r="AC9466" s="2"/>
    </row>
    <row r="9467" spans="1:29" ht="143" x14ac:dyDescent="0.15">
      <c r="A9467" s="3">
        <f>DATE(2009,11,5)</f>
        <v>40122</v>
      </c>
      <c r="B9467" s="3">
        <f>DATE(2010,2,26)</f>
        <v>40235</v>
      </c>
      <c r="C9467" s="2" t="s">
        <v>95</v>
      </c>
      <c r="D9467" s="2" t="s">
        <v>16654</v>
      </c>
      <c r="E9467" s="2" t="s">
        <v>16655</v>
      </c>
      <c r="F9467" s="4">
        <v>7374</v>
      </c>
      <c r="G9467" s="2" t="s">
        <v>223</v>
      </c>
      <c r="H9467" s="2" t="s">
        <v>34</v>
      </c>
      <c r="I9467" s="2" t="s">
        <v>51</v>
      </c>
      <c r="J9467" s="2" t="s">
        <v>52</v>
      </c>
      <c r="K9467" s="2" t="s">
        <v>53</v>
      </c>
      <c r="L9467" s="2" t="s">
        <v>34</v>
      </c>
      <c r="M9467" s="2"/>
      <c r="N9467" s="2"/>
      <c r="O9467" s="2"/>
      <c r="P9467" s="2" t="s">
        <v>27882</v>
      </c>
      <c r="Q9467" s="6">
        <v>100</v>
      </c>
      <c r="R9467" s="6">
        <v>22</v>
      </c>
      <c r="S9467" s="5">
        <v>285.39999999999998</v>
      </c>
      <c r="T9467" s="7">
        <v>565.83799999999997</v>
      </c>
      <c r="U9467" s="5">
        <v>-0.2</v>
      </c>
      <c r="V9467" s="6">
        <v>1.56</v>
      </c>
      <c r="W9467" s="6">
        <v>15.23</v>
      </c>
      <c r="X9467" s="6">
        <v>15.24</v>
      </c>
      <c r="Y9467" s="6">
        <v>17.84</v>
      </c>
      <c r="Z9467" s="6">
        <v>17.41</v>
      </c>
      <c r="AA9467" s="6">
        <v>197.24</v>
      </c>
      <c r="AB9467" s="7">
        <v>11.808</v>
      </c>
      <c r="AC9467" s="2"/>
    </row>
    <row r="9468" spans="1:29" ht="143" x14ac:dyDescent="0.15">
      <c r="A9468" s="3">
        <f>DATE(2009,11,5)</f>
        <v>40122</v>
      </c>
      <c r="B9468" s="3">
        <f>DATE(2010,1,28)</f>
        <v>40206</v>
      </c>
      <c r="C9468" s="2" t="s">
        <v>95</v>
      </c>
      <c r="D9468" s="2" t="s">
        <v>16513</v>
      </c>
      <c r="E9468" s="2" t="s">
        <v>16514</v>
      </c>
      <c r="F9468" s="4">
        <v>7372</v>
      </c>
      <c r="G9468" s="2" t="s">
        <v>551</v>
      </c>
      <c r="H9468" s="2" t="s">
        <v>34</v>
      </c>
      <c r="I9468" s="2" t="s">
        <v>22070</v>
      </c>
      <c r="J9468" s="2" t="s">
        <v>4679</v>
      </c>
      <c r="K9468" s="2" t="s">
        <v>551</v>
      </c>
      <c r="L9468" s="2" t="s">
        <v>34</v>
      </c>
      <c r="M9468" s="7">
        <v>775.89400000000001</v>
      </c>
      <c r="N9468" s="6">
        <v>22.08</v>
      </c>
      <c r="O9468" s="6">
        <v>22.14</v>
      </c>
      <c r="P9468" s="2" t="s">
        <v>27883</v>
      </c>
      <c r="Q9468" s="6">
        <v>100</v>
      </c>
      <c r="R9468" s="6">
        <v>18</v>
      </c>
      <c r="S9468" s="5">
        <v>46.3</v>
      </c>
      <c r="T9468" s="7">
        <v>-112.411</v>
      </c>
      <c r="U9468" s="5">
        <v>2.7</v>
      </c>
      <c r="V9468" s="6">
        <v>1.58</v>
      </c>
      <c r="W9468" s="6">
        <v>16.45</v>
      </c>
      <c r="X9468" s="6">
        <v>16.510000000000002</v>
      </c>
      <c r="Y9468" s="6">
        <v>17.75</v>
      </c>
      <c r="Z9468" s="6">
        <v>17.86</v>
      </c>
      <c r="AA9468" s="6">
        <v>24.06</v>
      </c>
      <c r="AB9468" s="2" t="s">
        <v>86</v>
      </c>
      <c r="AC9468" s="6">
        <v>85.48</v>
      </c>
    </row>
    <row r="9469" spans="1:29" ht="78" x14ac:dyDescent="0.15">
      <c r="A9469" s="3">
        <f>DATE(2009,11,8)</f>
        <v>40125</v>
      </c>
      <c r="B9469" s="2"/>
      <c r="C9469" s="2" t="s">
        <v>87</v>
      </c>
      <c r="D9469" s="2" t="s">
        <v>27884</v>
      </c>
      <c r="E9469" s="2" t="s">
        <v>27885</v>
      </c>
      <c r="F9469" s="4">
        <v>2844</v>
      </c>
      <c r="G9469" s="2" t="s">
        <v>358</v>
      </c>
      <c r="H9469" s="2" t="s">
        <v>34</v>
      </c>
      <c r="I9469" s="2" t="s">
        <v>26295</v>
      </c>
      <c r="J9469" s="2" t="s">
        <v>26296</v>
      </c>
      <c r="K9469" s="2" t="s">
        <v>358</v>
      </c>
      <c r="L9469" s="2" t="s">
        <v>303</v>
      </c>
      <c r="M9469" s="12">
        <v>35486.370999999999</v>
      </c>
      <c r="N9469" s="7">
        <v>51.091999999999999</v>
      </c>
      <c r="O9469" s="7">
        <v>51.091999999999999</v>
      </c>
      <c r="P9469" s="2" t="s">
        <v>27886</v>
      </c>
      <c r="Q9469" s="2"/>
      <c r="R9469" s="2"/>
      <c r="S9469" s="8">
        <v>2157</v>
      </c>
      <c r="T9469" s="8">
        <v>4011.9</v>
      </c>
      <c r="U9469" s="5">
        <v>2.8</v>
      </c>
      <c r="V9469" s="6">
        <v>2.0499999999999998</v>
      </c>
      <c r="W9469" s="6">
        <v>81.72</v>
      </c>
      <c r="X9469" s="6">
        <v>82.84</v>
      </c>
      <c r="Y9469" s="6">
        <v>85.87</v>
      </c>
      <c r="Z9469" s="6">
        <v>84.42</v>
      </c>
      <c r="AA9469" s="6">
        <v>27.47</v>
      </c>
      <c r="AB9469" s="2" t="s">
        <v>47</v>
      </c>
      <c r="AC9469" s="6">
        <v>864.41</v>
      </c>
    </row>
    <row r="9470" spans="1:29" ht="91" x14ac:dyDescent="0.15">
      <c r="A9470" s="3">
        <f>DATE(2009,11,10)</f>
        <v>40127</v>
      </c>
      <c r="B9470" s="3">
        <f>DATE(2010,2,8)</f>
        <v>40217</v>
      </c>
      <c r="C9470" s="2" t="s">
        <v>95</v>
      </c>
      <c r="D9470" s="2" t="s">
        <v>27887</v>
      </c>
      <c r="E9470" s="2" t="s">
        <v>2066</v>
      </c>
      <c r="F9470" s="4">
        <v>2834</v>
      </c>
      <c r="G9470" s="2" t="s">
        <v>130</v>
      </c>
      <c r="H9470" s="2" t="s">
        <v>34</v>
      </c>
      <c r="I9470" s="2" t="s">
        <v>27888</v>
      </c>
      <c r="J9470" s="2" t="s">
        <v>1620</v>
      </c>
      <c r="K9470" s="2" t="s">
        <v>53</v>
      </c>
      <c r="L9470" s="2" t="s">
        <v>902</v>
      </c>
      <c r="M9470" s="7">
        <v>31.911999999999999</v>
      </c>
      <c r="N9470" s="7">
        <v>0.36199999999999999</v>
      </c>
      <c r="O9470" s="7">
        <v>0.42099999999999999</v>
      </c>
      <c r="P9470" s="2" t="s">
        <v>27889</v>
      </c>
      <c r="Q9470" s="6">
        <v>25</v>
      </c>
      <c r="R9470" s="6">
        <v>1.77</v>
      </c>
      <c r="S9470" s="5">
        <v>-0.3</v>
      </c>
      <c r="T9470" s="6">
        <v>1.32</v>
      </c>
      <c r="U9470" s="5">
        <v>1.5</v>
      </c>
      <c r="V9470" s="9">
        <v>-6.6E-3</v>
      </c>
      <c r="W9470" s="4">
        <v>1</v>
      </c>
      <c r="X9470" s="4">
        <v>1</v>
      </c>
      <c r="Y9470" s="4">
        <v>1</v>
      </c>
      <c r="Z9470" s="5">
        <v>1.7</v>
      </c>
      <c r="AA9470" s="6">
        <v>18.329999999999998</v>
      </c>
      <c r="AB9470" s="2" t="s">
        <v>47</v>
      </c>
      <c r="AC9470" s="6">
        <v>38.090000000000003</v>
      </c>
    </row>
    <row r="9471" spans="1:29" ht="65" x14ac:dyDescent="0.15">
      <c r="A9471" s="3">
        <f>DATE(2009,11,11)</f>
        <v>40128</v>
      </c>
      <c r="B9471" s="3">
        <f>DATE(2010,4,12)</f>
        <v>40280</v>
      </c>
      <c r="C9471" s="2" t="s">
        <v>95</v>
      </c>
      <c r="D9471" s="2" t="s">
        <v>6537</v>
      </c>
      <c r="E9471" s="2" t="s">
        <v>6538</v>
      </c>
      <c r="F9471" s="4">
        <v>3577</v>
      </c>
      <c r="G9471" s="2" t="s">
        <v>50</v>
      </c>
      <c r="H9471" s="2" t="s">
        <v>34</v>
      </c>
      <c r="I9471" s="2" t="s">
        <v>21668</v>
      </c>
      <c r="J9471" s="2" t="s">
        <v>21669</v>
      </c>
      <c r="K9471" s="2" t="s">
        <v>50</v>
      </c>
      <c r="L9471" s="2" t="s">
        <v>34</v>
      </c>
      <c r="M9471" s="12">
        <v>113550.442</v>
      </c>
      <c r="N9471" s="4">
        <v>50</v>
      </c>
      <c r="O9471" s="5">
        <v>49.7</v>
      </c>
      <c r="P9471" s="2" t="s">
        <v>27890</v>
      </c>
      <c r="Q9471" s="6">
        <v>100</v>
      </c>
      <c r="R9471" s="6">
        <v>7.9</v>
      </c>
      <c r="S9471" s="5">
        <v>42.3</v>
      </c>
      <c r="T9471" s="7">
        <v>136.48500000000001</v>
      </c>
      <c r="U9471" s="5">
        <v>2.9</v>
      </c>
      <c r="V9471" s="6">
        <v>0.1</v>
      </c>
      <c r="W9471" s="6">
        <v>5.25</v>
      </c>
      <c r="X9471" s="6">
        <v>5.41</v>
      </c>
      <c r="Y9471" s="6">
        <v>5.69</v>
      </c>
      <c r="Z9471" s="6">
        <v>7.46</v>
      </c>
      <c r="AA9471" s="6">
        <v>420.53</v>
      </c>
      <c r="AB9471" s="7">
        <v>116.298</v>
      </c>
      <c r="AC9471" s="8">
        <v>13671</v>
      </c>
    </row>
    <row r="9472" spans="1:29" ht="130" x14ac:dyDescent="0.15">
      <c r="A9472" s="3">
        <f>DATE(2009,11,11)</f>
        <v>40128</v>
      </c>
      <c r="B9472" s="3">
        <f>DATE(2010,6,2)</f>
        <v>40331</v>
      </c>
      <c r="C9472" s="2" t="s">
        <v>95</v>
      </c>
      <c r="D9472" s="2" t="s">
        <v>19022</v>
      </c>
      <c r="E9472" s="2" t="s">
        <v>19023</v>
      </c>
      <c r="F9472" s="4">
        <v>7999</v>
      </c>
      <c r="G9472" s="2" t="s">
        <v>364</v>
      </c>
      <c r="H9472" s="2" t="s">
        <v>34</v>
      </c>
      <c r="I9472" s="2" t="s">
        <v>27891</v>
      </c>
      <c r="J9472" s="2" t="s">
        <v>27892</v>
      </c>
      <c r="K9472" s="2" t="s">
        <v>364</v>
      </c>
      <c r="L9472" s="2" t="s">
        <v>34</v>
      </c>
      <c r="M9472" s="7">
        <v>518.42600000000004</v>
      </c>
      <c r="N9472" s="6">
        <v>31.57</v>
      </c>
      <c r="O9472" s="6">
        <v>30.76</v>
      </c>
      <c r="P9472" s="2" t="s">
        <v>27893</v>
      </c>
      <c r="Q9472" s="6">
        <v>100</v>
      </c>
      <c r="R9472" s="6">
        <v>2.84</v>
      </c>
      <c r="S9472" s="5">
        <v>-6.8</v>
      </c>
      <c r="T9472" s="7">
        <v>11.606</v>
      </c>
      <c r="U9472" s="5">
        <v>0.5</v>
      </c>
      <c r="V9472" s="6">
        <v>-0.19</v>
      </c>
      <c r="W9472" s="6">
        <v>2.21</v>
      </c>
      <c r="X9472" s="6">
        <v>2.2200000000000002</v>
      </c>
      <c r="Y9472" s="6">
        <v>2.41</v>
      </c>
      <c r="Z9472" s="6">
        <v>2.69</v>
      </c>
      <c r="AA9472" s="6">
        <v>45.33</v>
      </c>
      <c r="AB9472" s="7">
        <v>26.984000000000002</v>
      </c>
      <c r="AC9472" s="6">
        <v>30.01</v>
      </c>
    </row>
    <row r="9473" spans="1:29" ht="65" x14ac:dyDescent="0.15">
      <c r="A9473" s="3">
        <f>DATE(2009,11,13)</f>
        <v>40130</v>
      </c>
      <c r="B9473" s="2"/>
      <c r="C9473" s="2" t="s">
        <v>87</v>
      </c>
      <c r="D9473" s="2" t="s">
        <v>18550</v>
      </c>
      <c r="E9473" s="2" t="s">
        <v>18551</v>
      </c>
      <c r="F9473" s="4">
        <v>3575</v>
      </c>
      <c r="G9473" s="2" t="s">
        <v>50</v>
      </c>
      <c r="H9473" s="2" t="s">
        <v>34</v>
      </c>
      <c r="I9473" s="2" t="s">
        <v>18140</v>
      </c>
      <c r="J9473" s="2" t="s">
        <v>18141</v>
      </c>
      <c r="K9473" s="2" t="s">
        <v>921</v>
      </c>
      <c r="L9473" s="2" t="s">
        <v>11620</v>
      </c>
      <c r="M9473" s="12">
        <v>51514.256000000001</v>
      </c>
      <c r="N9473" s="7">
        <v>13.673999999999999</v>
      </c>
      <c r="O9473" s="7">
        <v>13.776999999999999</v>
      </c>
      <c r="P9473" s="2" t="s">
        <v>27894</v>
      </c>
      <c r="Q9473" s="2"/>
      <c r="R9473" s="2"/>
      <c r="S9473" s="5">
        <v>161.1</v>
      </c>
      <c r="T9473" s="7">
        <v>-118.89100000000001</v>
      </c>
      <c r="U9473" s="2"/>
      <c r="V9473" s="6">
        <v>-1.17</v>
      </c>
      <c r="W9473" s="6">
        <v>11.31</v>
      </c>
      <c r="X9473" s="6">
        <v>11.45</v>
      </c>
      <c r="Y9473" s="5">
        <v>12.4</v>
      </c>
      <c r="Z9473" s="6">
        <v>11.85</v>
      </c>
      <c r="AA9473" s="6">
        <v>142.33000000000001</v>
      </c>
      <c r="AB9473" s="2" t="s">
        <v>86</v>
      </c>
      <c r="AC9473" s="8">
        <v>11551.3</v>
      </c>
    </row>
    <row r="9474" spans="1:29" ht="91" x14ac:dyDescent="0.15">
      <c r="A9474" s="3">
        <f>DATE(2009,11,13)</f>
        <v>40130</v>
      </c>
      <c r="B9474" s="2"/>
      <c r="C9474" s="2" t="s">
        <v>30</v>
      </c>
      <c r="D9474" s="2" t="s">
        <v>27895</v>
      </c>
      <c r="E9474" s="2" t="s">
        <v>27896</v>
      </c>
      <c r="F9474" s="4">
        <v>3674</v>
      </c>
      <c r="G9474" s="2" t="s">
        <v>137</v>
      </c>
      <c r="H9474" s="2" t="s">
        <v>34</v>
      </c>
      <c r="I9474" s="2" t="s">
        <v>27897</v>
      </c>
      <c r="J9474" s="2" t="s">
        <v>27896</v>
      </c>
      <c r="K9474" s="2" t="s">
        <v>137</v>
      </c>
      <c r="L9474" s="2" t="s">
        <v>34</v>
      </c>
      <c r="M9474" s="2"/>
      <c r="N9474" s="2"/>
      <c r="O9474" s="2"/>
      <c r="P9474" s="2" t="s">
        <v>27898</v>
      </c>
      <c r="Q9474" s="2"/>
      <c r="R9474" s="6">
        <v>2.1</v>
      </c>
      <c r="S9474" s="5">
        <v>-49.2</v>
      </c>
      <c r="T9474" s="7">
        <v>-9.7690000000000001</v>
      </c>
      <c r="U9474" s="5">
        <v>2.6</v>
      </c>
      <c r="V9474" s="6">
        <v>-0.5</v>
      </c>
      <c r="W9474" s="6">
        <v>1.91</v>
      </c>
      <c r="X9474" s="6">
        <v>1.86</v>
      </c>
      <c r="Y9474" s="6">
        <v>2.2400000000000002</v>
      </c>
      <c r="Z9474" s="6">
        <v>2.29</v>
      </c>
      <c r="AA9474" s="6">
        <v>95.85</v>
      </c>
      <c r="AB9474" s="2" t="s">
        <v>86</v>
      </c>
      <c r="AC9474" s="2"/>
    </row>
    <row r="9475" spans="1:29" ht="78" x14ac:dyDescent="0.15">
      <c r="A9475" s="3">
        <f>DATE(2009,11,16)</f>
        <v>40133</v>
      </c>
      <c r="B9475" s="3">
        <f>DATE(2009,11,16)</f>
        <v>40133</v>
      </c>
      <c r="C9475" s="2" t="s">
        <v>95</v>
      </c>
      <c r="D9475" s="2" t="s">
        <v>26936</v>
      </c>
      <c r="E9475" s="2" t="s">
        <v>26937</v>
      </c>
      <c r="F9475" s="4">
        <v>6531</v>
      </c>
      <c r="G9475" s="2" t="s">
        <v>109</v>
      </c>
      <c r="H9475" s="2" t="s">
        <v>34</v>
      </c>
      <c r="I9475" s="2" t="s">
        <v>25091</v>
      </c>
      <c r="J9475" s="2" t="s">
        <v>1072</v>
      </c>
      <c r="K9475" s="2" t="s">
        <v>33</v>
      </c>
      <c r="L9475" s="2" t="s">
        <v>34</v>
      </c>
      <c r="M9475" s="7">
        <v>49.445</v>
      </c>
      <c r="N9475" s="6">
        <v>0.56000000000000005</v>
      </c>
      <c r="O9475" s="6">
        <v>0.56000000000000005</v>
      </c>
      <c r="P9475" s="2" t="s">
        <v>27899</v>
      </c>
      <c r="Q9475" s="6">
        <v>22.74</v>
      </c>
      <c r="R9475" s="2"/>
      <c r="S9475" s="5">
        <v>2.1</v>
      </c>
      <c r="T9475" s="7">
        <v>45.585999999999999</v>
      </c>
      <c r="U9475" s="5">
        <v>12.9</v>
      </c>
      <c r="V9475" s="6">
        <v>7.0000000000000007E-2</v>
      </c>
      <c r="W9475" s="6">
        <v>2.71</v>
      </c>
      <c r="X9475" s="6">
        <v>2.76</v>
      </c>
      <c r="Y9475" s="6">
        <v>2.59</v>
      </c>
      <c r="Z9475" s="6">
        <v>2.38</v>
      </c>
      <c r="AA9475" s="6">
        <v>32.549999999999997</v>
      </c>
      <c r="AB9475" s="7">
        <v>18.620999999999999</v>
      </c>
      <c r="AC9475" s="2"/>
    </row>
    <row r="9476" spans="1:29" ht="39" x14ac:dyDescent="0.15">
      <c r="A9476" s="3">
        <f>DATE(2009,11,17)</f>
        <v>40134</v>
      </c>
      <c r="B9476" s="3">
        <f>DATE(2009,11,17)</f>
        <v>40134</v>
      </c>
      <c r="C9476" s="2" t="s">
        <v>95</v>
      </c>
      <c r="D9476" s="2" t="s">
        <v>27900</v>
      </c>
      <c r="E9476" s="2" t="s">
        <v>4117</v>
      </c>
      <c r="F9476" s="4">
        <v>6722</v>
      </c>
      <c r="G9476" s="2" t="s">
        <v>53</v>
      </c>
      <c r="H9476" s="2" t="s">
        <v>34</v>
      </c>
      <c r="I9476" s="2" t="s">
        <v>27901</v>
      </c>
      <c r="J9476" s="2" t="s">
        <v>4117</v>
      </c>
      <c r="K9476" s="2" t="s">
        <v>53</v>
      </c>
      <c r="L9476" s="2" t="s">
        <v>34</v>
      </c>
      <c r="M9476" s="2"/>
      <c r="N9476" s="2"/>
      <c r="O9476" s="2"/>
      <c r="P9476" s="2" t="s">
        <v>27902</v>
      </c>
      <c r="Q9476" s="6">
        <v>100</v>
      </c>
      <c r="R9476" s="2"/>
      <c r="S9476" s="2"/>
      <c r="T9476" s="2"/>
      <c r="U9476" s="2"/>
      <c r="V9476" s="2"/>
      <c r="W9476" s="6">
        <v>5.18</v>
      </c>
      <c r="X9476" s="6">
        <v>5.16</v>
      </c>
      <c r="Y9476" s="6">
        <v>5.16</v>
      </c>
      <c r="Z9476" s="6">
        <v>5.16</v>
      </c>
      <c r="AA9476" s="2"/>
      <c r="AB9476" s="2" t="s">
        <v>47</v>
      </c>
      <c r="AC9476" s="2"/>
    </row>
    <row r="9477" spans="1:29" ht="143" x14ac:dyDescent="0.15">
      <c r="A9477" s="3">
        <f>DATE(2009,11,17)</f>
        <v>40134</v>
      </c>
      <c r="B9477" s="3">
        <f>DATE(2009,12,21)</f>
        <v>40168</v>
      </c>
      <c r="C9477" s="2" t="s">
        <v>95</v>
      </c>
      <c r="D9477" s="2" t="s">
        <v>27903</v>
      </c>
      <c r="E9477" s="2" t="s">
        <v>27904</v>
      </c>
      <c r="F9477" s="4">
        <v>3559</v>
      </c>
      <c r="G9477" s="2" t="s">
        <v>300</v>
      </c>
      <c r="H9477" s="2" t="s">
        <v>34</v>
      </c>
      <c r="I9477" s="2" t="s">
        <v>8901</v>
      </c>
      <c r="J9477" s="2" t="s">
        <v>207</v>
      </c>
      <c r="K9477" s="2" t="s">
        <v>137</v>
      </c>
      <c r="L9477" s="2" t="s">
        <v>34</v>
      </c>
      <c r="M9477" s="12">
        <v>17965.128000000001</v>
      </c>
      <c r="N9477" s="6">
        <v>12.94</v>
      </c>
      <c r="O9477" s="6">
        <v>12.86</v>
      </c>
      <c r="P9477" s="2" t="s">
        <v>27905</v>
      </c>
      <c r="Q9477" s="6">
        <v>100</v>
      </c>
      <c r="R9477" s="6">
        <v>11</v>
      </c>
      <c r="S9477" s="5">
        <v>-11.4</v>
      </c>
      <c r="T9477" s="7">
        <v>-5.5940000000000003</v>
      </c>
      <c r="U9477" s="5">
        <v>5.2</v>
      </c>
      <c r="V9477" s="6">
        <v>-0.35</v>
      </c>
      <c r="W9477" s="6">
        <v>7.28</v>
      </c>
      <c r="X9477" s="5">
        <v>8.4</v>
      </c>
      <c r="Y9477" s="6">
        <v>11.02</v>
      </c>
      <c r="Z9477" s="6">
        <v>10.97</v>
      </c>
      <c r="AA9477" s="6">
        <v>33.950000000000003</v>
      </c>
      <c r="AB9477" s="2" t="s">
        <v>86</v>
      </c>
      <c r="AC9477" s="10">
        <v>2216.9</v>
      </c>
    </row>
    <row r="9478" spans="1:29" ht="65" x14ac:dyDescent="0.15">
      <c r="A9478" s="3">
        <f>DATE(2009,11,19)</f>
        <v>40136</v>
      </c>
      <c r="B9478" s="3">
        <f>DATE(2010,11,9)</f>
        <v>40491</v>
      </c>
      <c r="C9478" s="2" t="s">
        <v>95</v>
      </c>
      <c r="D9478" s="2" t="s">
        <v>19786</v>
      </c>
      <c r="E9478" s="2" t="s">
        <v>11969</v>
      </c>
      <c r="F9478" s="4">
        <v>6798</v>
      </c>
      <c r="G9478" s="2" t="s">
        <v>53</v>
      </c>
      <c r="H9478" s="2" t="s">
        <v>34</v>
      </c>
      <c r="I9478" s="2" t="s">
        <v>1526</v>
      </c>
      <c r="J9478" s="2" t="s">
        <v>302</v>
      </c>
      <c r="K9478" s="2" t="s">
        <v>53</v>
      </c>
      <c r="L9478" s="2" t="s">
        <v>34</v>
      </c>
      <c r="M9478" s="2"/>
      <c r="N9478" s="2"/>
      <c r="O9478" s="2"/>
      <c r="P9478" s="2" t="s">
        <v>27906</v>
      </c>
      <c r="Q9478" s="2"/>
      <c r="R9478" s="2"/>
      <c r="S9478" s="5">
        <v>-795.2</v>
      </c>
      <c r="T9478" s="7">
        <v>944.471</v>
      </c>
      <c r="U9478" s="5">
        <v>2.5</v>
      </c>
      <c r="V9478" s="6">
        <v>-2.5099999999999998</v>
      </c>
      <c r="W9478" s="6">
        <v>0.95</v>
      </c>
      <c r="X9478" s="6">
        <v>1.05</v>
      </c>
      <c r="Y9478" s="5">
        <v>0.6</v>
      </c>
      <c r="Z9478" s="7">
        <v>0.61499999999999999</v>
      </c>
      <c r="AA9478" s="6">
        <v>317.3</v>
      </c>
      <c r="AB9478" s="2" t="s">
        <v>47</v>
      </c>
      <c r="AC9478" s="2"/>
    </row>
    <row r="9479" spans="1:29" ht="65" x14ac:dyDescent="0.15">
      <c r="A9479" s="3">
        <f>DATE(2009,11,19)</f>
        <v>40136</v>
      </c>
      <c r="B9479" s="3">
        <f>DATE(2010,11,9)</f>
        <v>40491</v>
      </c>
      <c r="C9479" s="2" t="s">
        <v>95</v>
      </c>
      <c r="D9479" s="2" t="s">
        <v>19786</v>
      </c>
      <c r="E9479" s="2" t="s">
        <v>11969</v>
      </c>
      <c r="F9479" s="4">
        <v>6798</v>
      </c>
      <c r="G9479" s="2" t="s">
        <v>53</v>
      </c>
      <c r="H9479" s="2" t="s">
        <v>34</v>
      </c>
      <c r="I9479" s="2" t="s">
        <v>1526</v>
      </c>
      <c r="J9479" s="2" t="s">
        <v>302</v>
      </c>
      <c r="K9479" s="2" t="s">
        <v>53</v>
      </c>
      <c r="L9479" s="2" t="s">
        <v>34</v>
      </c>
      <c r="M9479" s="2"/>
      <c r="N9479" s="2"/>
      <c r="O9479" s="2"/>
      <c r="P9479" s="2" t="s">
        <v>27907</v>
      </c>
      <c r="Q9479" s="2"/>
      <c r="R9479" s="2"/>
      <c r="S9479" s="5">
        <v>-673.3</v>
      </c>
      <c r="T9479" s="7">
        <v>94.861999999999995</v>
      </c>
      <c r="U9479" s="5">
        <v>5</v>
      </c>
      <c r="V9479" s="6">
        <v>-2.17</v>
      </c>
      <c r="W9479" s="6">
        <v>0.95</v>
      </c>
      <c r="X9479" s="6">
        <v>1.05</v>
      </c>
      <c r="Y9479" s="5">
        <v>0.6</v>
      </c>
      <c r="Z9479" s="7">
        <v>0.61499999999999999</v>
      </c>
      <c r="AA9479" s="6">
        <v>317.3</v>
      </c>
      <c r="AB9479" s="2" t="s">
        <v>86</v>
      </c>
      <c r="AC9479" s="2"/>
    </row>
    <row r="9480" spans="1:29" ht="169" x14ac:dyDescent="0.15">
      <c r="A9480" s="3">
        <f>DATE(2009,11,23)</f>
        <v>40140</v>
      </c>
      <c r="B9480" s="3">
        <f>DATE(2010,5,11)</f>
        <v>40309</v>
      </c>
      <c r="C9480" s="2" t="s">
        <v>95</v>
      </c>
      <c r="D9480" s="2" t="s">
        <v>13758</v>
      </c>
      <c r="E9480" s="2" t="s">
        <v>13759</v>
      </c>
      <c r="F9480" s="4">
        <v>2095</v>
      </c>
      <c r="G9480" s="2" t="s">
        <v>577</v>
      </c>
      <c r="H9480" s="2" t="s">
        <v>34</v>
      </c>
      <c r="I9480" s="2" t="s">
        <v>27908</v>
      </c>
      <c r="J9480" s="2" t="s">
        <v>27909</v>
      </c>
      <c r="K9480" s="2" t="s">
        <v>577</v>
      </c>
      <c r="L9480" s="2" t="s">
        <v>34</v>
      </c>
      <c r="M9480" s="10">
        <v>2782.28</v>
      </c>
      <c r="N9480" s="6">
        <v>65.44</v>
      </c>
      <c r="O9480" s="6">
        <v>63.96</v>
      </c>
      <c r="P9480" s="2" t="s">
        <v>27910</v>
      </c>
      <c r="Q9480" s="6">
        <v>100</v>
      </c>
      <c r="R9480" s="6">
        <v>35</v>
      </c>
      <c r="S9480" s="5">
        <v>1.3</v>
      </c>
      <c r="T9480" s="7">
        <v>5.1210000000000004</v>
      </c>
      <c r="U9480" s="5">
        <v>2.5</v>
      </c>
      <c r="V9480" s="6">
        <v>0.35</v>
      </c>
      <c r="W9480" s="6">
        <v>29.75</v>
      </c>
      <c r="X9480" s="5">
        <v>21.8</v>
      </c>
      <c r="Y9480" s="6">
        <v>20.36</v>
      </c>
      <c r="Z9480" s="6">
        <v>25.83</v>
      </c>
      <c r="AA9480" s="6">
        <v>5.73</v>
      </c>
      <c r="AB9480" s="7">
        <v>90.144000000000005</v>
      </c>
      <c r="AC9480" s="6">
        <v>292.18</v>
      </c>
    </row>
    <row r="9481" spans="1:29" ht="156" x14ac:dyDescent="0.15">
      <c r="A9481" s="3">
        <f>DATE(2009,11,23)</f>
        <v>40140</v>
      </c>
      <c r="B9481" s="3">
        <f>DATE(2010,2,19)</f>
        <v>40228</v>
      </c>
      <c r="C9481" s="2" t="s">
        <v>95</v>
      </c>
      <c r="D9481" s="2" t="s">
        <v>27911</v>
      </c>
      <c r="E9481" s="2" t="s">
        <v>7957</v>
      </c>
      <c r="F9481" s="4">
        <v>6159</v>
      </c>
      <c r="G9481" s="2" t="s">
        <v>370</v>
      </c>
      <c r="H9481" s="2" t="s">
        <v>34</v>
      </c>
      <c r="I9481" s="2" t="s">
        <v>25765</v>
      </c>
      <c r="J9481" s="2" t="s">
        <v>36</v>
      </c>
      <c r="K9481" s="2" t="s">
        <v>33</v>
      </c>
      <c r="L9481" s="2" t="s">
        <v>34</v>
      </c>
      <c r="M9481" s="12">
        <v>5728.7809999999999</v>
      </c>
      <c r="N9481" s="6">
        <v>16.03</v>
      </c>
      <c r="O9481" s="6">
        <v>16.45</v>
      </c>
      <c r="P9481" s="2" t="s">
        <v>27912</v>
      </c>
      <c r="Q9481" s="6">
        <v>100</v>
      </c>
      <c r="R9481" s="6">
        <v>27.74</v>
      </c>
      <c r="S9481" s="5">
        <v>41.8</v>
      </c>
      <c r="T9481" s="7">
        <v>79.117000000000004</v>
      </c>
      <c r="U9481" s="5">
        <v>17.600000000000001</v>
      </c>
      <c r="V9481" s="6">
        <v>1.64</v>
      </c>
      <c r="W9481" s="6">
        <v>20.88</v>
      </c>
      <c r="X9481" s="6">
        <v>20.55</v>
      </c>
      <c r="Y9481" s="6">
        <v>26.61</v>
      </c>
      <c r="Z9481" s="5">
        <v>27.3</v>
      </c>
      <c r="AA9481" s="6">
        <v>26.64</v>
      </c>
      <c r="AB9481" s="7">
        <v>21.15</v>
      </c>
      <c r="AC9481" s="2"/>
    </row>
    <row r="9482" spans="1:29" ht="156" x14ac:dyDescent="0.15">
      <c r="A9482" s="3">
        <f>DATE(2009,11,23)</f>
        <v>40140</v>
      </c>
      <c r="B9482" s="3">
        <f>DATE(2010,3,3)</f>
        <v>40240</v>
      </c>
      <c r="C9482" s="2" t="s">
        <v>95</v>
      </c>
      <c r="D9482" s="2" t="s">
        <v>27913</v>
      </c>
      <c r="E9482" s="2" t="s">
        <v>27914</v>
      </c>
      <c r="F9482" s="4">
        <v>3999</v>
      </c>
      <c r="G9482" s="2" t="s">
        <v>112</v>
      </c>
      <c r="H9482" s="2" t="s">
        <v>34</v>
      </c>
      <c r="I9482" s="2" t="s">
        <v>27915</v>
      </c>
      <c r="J9482" s="2" t="s">
        <v>27916</v>
      </c>
      <c r="K9482" s="2" t="s">
        <v>53</v>
      </c>
      <c r="L9482" s="2" t="s">
        <v>34</v>
      </c>
      <c r="M9482" s="2"/>
      <c r="N9482" s="2"/>
      <c r="O9482" s="2"/>
      <c r="P9482" s="2" t="s">
        <v>27917</v>
      </c>
      <c r="Q9482" s="6">
        <v>25.2</v>
      </c>
      <c r="R9482" s="6">
        <v>2.25</v>
      </c>
      <c r="S9482" s="5">
        <v>0.5</v>
      </c>
      <c r="T9482" s="7">
        <v>2.6520000000000001</v>
      </c>
      <c r="U9482" s="5">
        <v>1.4</v>
      </c>
      <c r="V9482" s="6">
        <v>0.05</v>
      </c>
      <c r="W9482" s="6">
        <v>1.31</v>
      </c>
      <c r="X9482" s="6">
        <v>1.28</v>
      </c>
      <c r="Y9482" s="6">
        <v>1.68</v>
      </c>
      <c r="Z9482" s="6">
        <v>1.68</v>
      </c>
      <c r="AA9482" s="6">
        <v>11.05</v>
      </c>
      <c r="AB9482" s="7">
        <v>289.49400000000003</v>
      </c>
      <c r="AC9482" s="2"/>
    </row>
    <row r="9483" spans="1:29" ht="78" x14ac:dyDescent="0.15">
      <c r="A9483" s="3">
        <f>DATE(2009,11,23)</f>
        <v>40140</v>
      </c>
      <c r="B9483" s="3">
        <f>DATE(2010,4,7)</f>
        <v>40275</v>
      </c>
      <c r="C9483" s="2" t="s">
        <v>95</v>
      </c>
      <c r="D9483" s="2" t="s">
        <v>27918</v>
      </c>
      <c r="E9483" s="2" t="s">
        <v>1435</v>
      </c>
      <c r="F9483" s="4">
        <v>1381</v>
      </c>
      <c r="G9483" s="2" t="s">
        <v>148</v>
      </c>
      <c r="H9483" s="2" t="s">
        <v>34</v>
      </c>
      <c r="I9483" s="2" t="s">
        <v>27919</v>
      </c>
      <c r="J9483" s="2" t="s">
        <v>1435</v>
      </c>
      <c r="K9483" s="2" t="s">
        <v>148</v>
      </c>
      <c r="L9483" s="2" t="s">
        <v>27920</v>
      </c>
      <c r="M9483" s="2"/>
      <c r="N9483" s="2"/>
      <c r="O9483" s="2"/>
      <c r="P9483" s="2" t="s">
        <v>27921</v>
      </c>
      <c r="Q9483" s="6">
        <v>62.74</v>
      </c>
      <c r="R9483" s="2"/>
      <c r="S9483" s="2"/>
      <c r="T9483" s="2"/>
      <c r="U9483" s="2"/>
      <c r="V9483" s="2"/>
      <c r="W9483" s="6">
        <v>5.31</v>
      </c>
      <c r="X9483" s="6">
        <v>5.35</v>
      </c>
      <c r="Y9483" s="6">
        <v>5.28</v>
      </c>
      <c r="Z9483" s="7">
        <v>5.1779999999999999</v>
      </c>
      <c r="AA9483" s="6">
        <v>42.49</v>
      </c>
      <c r="AB9483" s="2" t="s">
        <v>47</v>
      </c>
      <c r="AC9483" s="2"/>
    </row>
    <row r="9484" spans="1:29" ht="208" x14ac:dyDescent="0.15">
      <c r="A9484" s="3">
        <f>DATE(2009,11,24)</f>
        <v>40141</v>
      </c>
      <c r="B9484" s="3">
        <f>DATE(2010,6,1)</f>
        <v>40330</v>
      </c>
      <c r="C9484" s="2" t="s">
        <v>95</v>
      </c>
      <c r="D9484" s="2" t="s">
        <v>27922</v>
      </c>
      <c r="E9484" s="2" t="s">
        <v>6519</v>
      </c>
      <c r="F9484" s="4">
        <v>4813</v>
      </c>
      <c r="G9484" s="2" t="s">
        <v>63</v>
      </c>
      <c r="H9484" s="2" t="s">
        <v>34</v>
      </c>
      <c r="I9484" s="2" t="s">
        <v>25639</v>
      </c>
      <c r="J9484" s="2" t="s">
        <v>973</v>
      </c>
      <c r="K9484" s="2" t="s">
        <v>63</v>
      </c>
      <c r="L9484" s="2" t="s">
        <v>34</v>
      </c>
      <c r="M9484" s="10">
        <v>4158.51</v>
      </c>
      <c r="N9484" s="6">
        <v>10.08</v>
      </c>
      <c r="O9484" s="6">
        <v>10.130000000000001</v>
      </c>
      <c r="P9484" s="2" t="s">
        <v>27923</v>
      </c>
      <c r="Q9484" s="6">
        <v>100</v>
      </c>
      <c r="R9484" s="6">
        <v>16.48</v>
      </c>
      <c r="S9484" s="5">
        <v>8.4</v>
      </c>
      <c r="T9484" s="7">
        <v>129.83799999999999</v>
      </c>
      <c r="U9484" s="5">
        <v>4.9000000000000004</v>
      </c>
      <c r="V9484" s="6">
        <v>0.26</v>
      </c>
      <c r="W9484" s="6">
        <v>12.51</v>
      </c>
      <c r="X9484" s="6">
        <v>12.69</v>
      </c>
      <c r="Y9484" s="4">
        <v>16</v>
      </c>
      <c r="Z9484" s="6">
        <v>16.02</v>
      </c>
      <c r="AA9484" s="6">
        <v>33.479999999999997</v>
      </c>
      <c r="AB9484" s="7">
        <v>17.038</v>
      </c>
      <c r="AC9484" s="5">
        <v>580.1</v>
      </c>
    </row>
    <row r="9485" spans="1:29" ht="117" x14ac:dyDescent="0.15">
      <c r="A9485" s="3">
        <f>DATE(2009,12,2)</f>
        <v>40149</v>
      </c>
      <c r="B9485" s="3">
        <f>DATE(2010,4,30)</f>
        <v>40298</v>
      </c>
      <c r="C9485" s="2" t="s">
        <v>95</v>
      </c>
      <c r="D9485" s="2" t="s">
        <v>967</v>
      </c>
      <c r="E9485" s="2" t="s">
        <v>18276</v>
      </c>
      <c r="F9485" s="4">
        <v>3089</v>
      </c>
      <c r="G9485" s="2" t="s">
        <v>447</v>
      </c>
      <c r="H9485" s="2" t="s">
        <v>34</v>
      </c>
      <c r="I9485" s="2" t="s">
        <v>27924</v>
      </c>
      <c r="J9485" s="2" t="s">
        <v>27925</v>
      </c>
      <c r="K9485" s="2" t="s">
        <v>98</v>
      </c>
      <c r="L9485" s="2" t="s">
        <v>34</v>
      </c>
      <c r="M9485" s="7">
        <v>440.99700000000001</v>
      </c>
      <c r="N9485" s="6">
        <v>16.95</v>
      </c>
      <c r="O9485" s="6">
        <v>16.739999999999998</v>
      </c>
      <c r="P9485" s="2" t="s">
        <v>27926</v>
      </c>
      <c r="Q9485" s="6">
        <v>100</v>
      </c>
      <c r="R9485" s="6">
        <v>6.69</v>
      </c>
      <c r="S9485" s="5">
        <v>-1.2</v>
      </c>
      <c r="T9485" s="7">
        <v>12.702999999999999</v>
      </c>
      <c r="U9485" s="5">
        <v>3.8</v>
      </c>
      <c r="V9485" s="6">
        <v>-0.05</v>
      </c>
      <c r="W9485" s="6">
        <v>4.21</v>
      </c>
      <c r="X9485" s="5">
        <v>4.2</v>
      </c>
      <c r="Y9485" s="5">
        <v>4.5</v>
      </c>
      <c r="Z9485" s="6">
        <v>6.58</v>
      </c>
      <c r="AA9485" s="6">
        <v>27.63</v>
      </c>
      <c r="AB9485" s="7">
        <v>37.11</v>
      </c>
      <c r="AC9485" s="6">
        <v>237.02</v>
      </c>
    </row>
    <row r="9486" spans="1:29" ht="130" x14ac:dyDescent="0.15">
      <c r="A9486" s="3">
        <f>DATE(2009,12,6)</f>
        <v>40153</v>
      </c>
      <c r="B9486" s="2"/>
      <c r="C9486" s="2" t="s">
        <v>30</v>
      </c>
      <c r="D9486" s="2" t="s">
        <v>27927</v>
      </c>
      <c r="E9486" s="2" t="s">
        <v>27928</v>
      </c>
      <c r="F9486" s="4">
        <v>1041</v>
      </c>
      <c r="G9486" s="2" t="s">
        <v>166</v>
      </c>
      <c r="H9486" s="2" t="s">
        <v>34</v>
      </c>
      <c r="I9486" s="2" t="s">
        <v>27929</v>
      </c>
      <c r="J9486" s="2" t="s">
        <v>27930</v>
      </c>
      <c r="K9486" s="2" t="s">
        <v>166</v>
      </c>
      <c r="L9486" s="2" t="s">
        <v>902</v>
      </c>
      <c r="M9486" s="12">
        <v>2904.6579999999999</v>
      </c>
      <c r="N9486" s="7">
        <v>25.001999999999999</v>
      </c>
      <c r="O9486" s="7">
        <v>25.001999999999999</v>
      </c>
      <c r="P9486" s="2" t="s">
        <v>27931</v>
      </c>
      <c r="Q9486" s="2"/>
      <c r="R9486" s="6">
        <v>6.75</v>
      </c>
      <c r="S9486" s="5">
        <v>-6.8</v>
      </c>
      <c r="T9486" s="7">
        <v>20.774000000000001</v>
      </c>
      <c r="U9486" s="5">
        <v>3.8</v>
      </c>
      <c r="V9486" s="9">
        <v>-7.8200000000000006E-2</v>
      </c>
      <c r="W9486" s="6">
        <v>3.94</v>
      </c>
      <c r="X9486" s="6">
        <v>4.45</v>
      </c>
      <c r="Y9486" s="6">
        <v>6.73</v>
      </c>
      <c r="Z9486" s="6">
        <v>6.73</v>
      </c>
      <c r="AA9486" s="6">
        <v>94.7</v>
      </c>
      <c r="AB9486" s="2" t="s">
        <v>47</v>
      </c>
      <c r="AC9486" s="6">
        <v>500.27</v>
      </c>
    </row>
    <row r="9487" spans="1:29" ht="195" x14ac:dyDescent="0.15">
      <c r="A9487" s="3">
        <f>DATE(2009,12,8)</f>
        <v>40155</v>
      </c>
      <c r="B9487" s="3">
        <f>DATE(2010,4,7)</f>
        <v>40275</v>
      </c>
      <c r="C9487" s="2" t="s">
        <v>95</v>
      </c>
      <c r="D9487" s="2" t="s">
        <v>27932</v>
      </c>
      <c r="E9487" s="2" t="s">
        <v>23408</v>
      </c>
      <c r="F9487" s="4">
        <v>6726</v>
      </c>
      <c r="G9487" s="2" t="s">
        <v>53</v>
      </c>
      <c r="H9487" s="2" t="s">
        <v>34</v>
      </c>
      <c r="I9487" s="2" t="s">
        <v>23741</v>
      </c>
      <c r="J9487" s="2" t="s">
        <v>23537</v>
      </c>
      <c r="K9487" s="2" t="s">
        <v>756</v>
      </c>
      <c r="L9487" s="2" t="s">
        <v>34</v>
      </c>
      <c r="M9487" s="7">
        <v>484.05599999999998</v>
      </c>
      <c r="N9487" s="6">
        <v>8.23</v>
      </c>
      <c r="O9487" s="6">
        <v>8.4700000000000006</v>
      </c>
      <c r="P9487" s="2" t="s">
        <v>27933</v>
      </c>
      <c r="Q9487" s="6">
        <v>100</v>
      </c>
      <c r="R9487" s="6">
        <v>7.1</v>
      </c>
      <c r="S9487" s="5">
        <v>0</v>
      </c>
      <c r="T9487" s="2"/>
      <c r="U9487" s="5">
        <v>5.3</v>
      </c>
      <c r="V9487" s="6">
        <v>-0.01</v>
      </c>
      <c r="W9487" s="6">
        <v>9.8699999999999992</v>
      </c>
      <c r="X9487" s="6">
        <v>9.85</v>
      </c>
      <c r="Y9487" s="6">
        <v>10.32</v>
      </c>
      <c r="Z9487" s="6">
        <v>10.45</v>
      </c>
      <c r="AA9487" s="6">
        <v>41.18</v>
      </c>
      <c r="AB9487" s="2" t="s">
        <v>86</v>
      </c>
      <c r="AC9487" s="6">
        <v>72.010000000000005</v>
      </c>
    </row>
    <row r="9488" spans="1:29" ht="78" x14ac:dyDescent="0.15">
      <c r="A9488" s="3">
        <f>DATE(2009,12,8)</f>
        <v>40155</v>
      </c>
      <c r="B9488" s="3">
        <f>DATE(2010,3,18)</f>
        <v>40255</v>
      </c>
      <c r="C9488" s="2" t="s">
        <v>95</v>
      </c>
      <c r="D9488" s="2" t="s">
        <v>10921</v>
      </c>
      <c r="E9488" s="2" t="s">
        <v>10922</v>
      </c>
      <c r="F9488" s="4">
        <v>7371</v>
      </c>
      <c r="G9488" s="2" t="s">
        <v>223</v>
      </c>
      <c r="H9488" s="2" t="s">
        <v>34</v>
      </c>
      <c r="I9488" s="2" t="s">
        <v>24342</v>
      </c>
      <c r="J9488" s="2" t="s">
        <v>244</v>
      </c>
      <c r="K9488" s="2" t="s">
        <v>53</v>
      </c>
      <c r="L9488" s="2" t="s">
        <v>34</v>
      </c>
      <c r="M9488" s="2"/>
      <c r="N9488" s="2"/>
      <c r="O9488" s="2"/>
      <c r="P9488" s="2" t="s">
        <v>27934</v>
      </c>
      <c r="Q9488" s="6">
        <v>100</v>
      </c>
      <c r="R9488" s="6">
        <v>8.5</v>
      </c>
      <c r="S9488" s="5">
        <v>6.4</v>
      </c>
      <c r="T9488" s="7">
        <v>12.236000000000001</v>
      </c>
      <c r="U9488" s="5">
        <v>1.3</v>
      </c>
      <c r="V9488" s="6">
        <v>0.09</v>
      </c>
      <c r="W9488" s="6">
        <v>6.42</v>
      </c>
      <c r="X9488" s="6">
        <v>6.41</v>
      </c>
      <c r="Y9488" s="6">
        <v>8.31</v>
      </c>
      <c r="Z9488" s="6">
        <v>8.36</v>
      </c>
      <c r="AA9488" s="6">
        <v>8.4600000000000009</v>
      </c>
      <c r="AB9488" s="7">
        <v>18.466999999999999</v>
      </c>
      <c r="AC9488" s="2"/>
    </row>
    <row r="9489" spans="1:29" ht="91" x14ac:dyDescent="0.15">
      <c r="A9489" s="3">
        <f>DATE(2009,12,10)</f>
        <v>40157</v>
      </c>
      <c r="B9489" s="3">
        <f>DATE(2010,1,11)</f>
        <v>40189</v>
      </c>
      <c r="C9489" s="2" t="s">
        <v>95</v>
      </c>
      <c r="D9489" s="2" t="s">
        <v>27935</v>
      </c>
      <c r="E9489" s="2" t="s">
        <v>27936</v>
      </c>
      <c r="F9489" s="4">
        <v>1041</v>
      </c>
      <c r="G9489" s="2" t="s">
        <v>166</v>
      </c>
      <c r="H9489" s="2" t="s">
        <v>34</v>
      </c>
      <c r="I9489" s="2" t="s">
        <v>27937</v>
      </c>
      <c r="J9489" s="2" t="s">
        <v>27938</v>
      </c>
      <c r="K9489" s="2" t="s">
        <v>166</v>
      </c>
      <c r="L9489" s="2" t="s">
        <v>34</v>
      </c>
      <c r="M9489" s="2"/>
      <c r="N9489" s="2"/>
      <c r="O9489" s="2"/>
      <c r="P9489" s="2" t="s">
        <v>27939</v>
      </c>
      <c r="Q9489" s="6">
        <v>72.11</v>
      </c>
      <c r="R9489" s="2"/>
      <c r="S9489" s="5">
        <v>-1.8</v>
      </c>
      <c r="T9489" s="2"/>
      <c r="U9489" s="5">
        <v>0.4</v>
      </c>
      <c r="V9489" s="6">
        <v>-0.13</v>
      </c>
      <c r="W9489" s="6">
        <v>7.89</v>
      </c>
      <c r="X9489" s="5">
        <v>7.9</v>
      </c>
      <c r="Y9489" s="6">
        <v>8.25</v>
      </c>
      <c r="Z9489" s="5">
        <v>8.1</v>
      </c>
      <c r="AA9489" s="6">
        <v>14.8</v>
      </c>
      <c r="AB9489" s="2" t="s">
        <v>86</v>
      </c>
      <c r="AC9489" s="2"/>
    </row>
    <row r="9490" spans="1:29" ht="117" x14ac:dyDescent="0.15">
      <c r="A9490" s="3">
        <f>DATE(2009,12,14)</f>
        <v>40161</v>
      </c>
      <c r="B9490" s="3">
        <f>DATE(2010,1,27)</f>
        <v>40205</v>
      </c>
      <c r="C9490" s="2" t="s">
        <v>95</v>
      </c>
      <c r="D9490" s="2" t="s">
        <v>27940</v>
      </c>
      <c r="E9490" s="2" t="s">
        <v>27941</v>
      </c>
      <c r="F9490" s="4">
        <v>3674</v>
      </c>
      <c r="G9490" s="2" t="s">
        <v>137</v>
      </c>
      <c r="H9490" s="2" t="s">
        <v>34</v>
      </c>
      <c r="I9490" s="2" t="s">
        <v>26313</v>
      </c>
      <c r="J9490" s="2" t="s">
        <v>4865</v>
      </c>
      <c r="K9490" s="2" t="s">
        <v>137</v>
      </c>
      <c r="L9490" s="2" t="s">
        <v>34</v>
      </c>
      <c r="M9490" s="12">
        <v>3465.3989999999999</v>
      </c>
      <c r="N9490" s="6">
        <v>8.51</v>
      </c>
      <c r="O9490" s="6">
        <v>8.3800000000000008</v>
      </c>
      <c r="P9490" s="2" t="s">
        <v>27942</v>
      </c>
      <c r="Q9490" s="6">
        <v>100</v>
      </c>
      <c r="R9490" s="6">
        <v>4.7</v>
      </c>
      <c r="S9490" s="5">
        <v>-19.2</v>
      </c>
      <c r="T9490" s="7">
        <v>-10.929</v>
      </c>
      <c r="U9490" s="5">
        <v>2.1</v>
      </c>
      <c r="V9490" s="6">
        <v>-0.83</v>
      </c>
      <c r="W9490" s="6">
        <v>3.08</v>
      </c>
      <c r="X9490" s="6">
        <v>3.05</v>
      </c>
      <c r="Y9490" s="6">
        <v>4.67</v>
      </c>
      <c r="Z9490" s="6">
        <v>4.71</v>
      </c>
      <c r="AA9490" s="6">
        <v>25.7</v>
      </c>
      <c r="AB9490" s="2" t="s">
        <v>86</v>
      </c>
      <c r="AC9490" s="5">
        <v>470.2</v>
      </c>
    </row>
    <row r="9491" spans="1:29" ht="117" x14ac:dyDescent="0.15">
      <c r="A9491" s="3">
        <f>DATE(2009,12,14)</f>
        <v>40161</v>
      </c>
      <c r="B9491" s="3">
        <f>DATE(2010,4,15)</f>
        <v>40283</v>
      </c>
      <c r="C9491" s="2" t="s">
        <v>95</v>
      </c>
      <c r="D9491" s="2" t="s">
        <v>27943</v>
      </c>
      <c r="E9491" s="2" t="s">
        <v>27944</v>
      </c>
      <c r="F9491" s="4">
        <v>6282</v>
      </c>
      <c r="G9491" s="2" t="s">
        <v>53</v>
      </c>
      <c r="H9491" s="2" t="s">
        <v>34</v>
      </c>
      <c r="I9491" s="2" t="s">
        <v>27945</v>
      </c>
      <c r="J9491" s="2" t="s">
        <v>27946</v>
      </c>
      <c r="K9491" s="2" t="s">
        <v>53</v>
      </c>
      <c r="L9491" s="2" t="s">
        <v>34</v>
      </c>
      <c r="M9491" s="12">
        <v>2971.5259999999998</v>
      </c>
      <c r="N9491" s="6">
        <v>64.73</v>
      </c>
      <c r="O9491" s="6">
        <v>64.63</v>
      </c>
      <c r="P9491" s="2" t="s">
        <v>27947</v>
      </c>
      <c r="Q9491" s="6">
        <v>100</v>
      </c>
      <c r="R9491" s="2"/>
      <c r="S9491" s="5">
        <v>0.2</v>
      </c>
      <c r="T9491" s="7">
        <v>4.8789999999999996</v>
      </c>
      <c r="U9491" s="5">
        <v>2.4</v>
      </c>
      <c r="V9491" s="2"/>
      <c r="W9491" s="6">
        <v>3.94</v>
      </c>
      <c r="X9491" s="4">
        <v>4</v>
      </c>
      <c r="Y9491" s="5">
        <v>5.3</v>
      </c>
      <c r="Z9491" s="6">
        <v>5.31</v>
      </c>
      <c r="AA9491" s="6">
        <v>15.04</v>
      </c>
      <c r="AB9491" s="7">
        <v>18.259</v>
      </c>
      <c r="AC9491" s="6">
        <v>337.41</v>
      </c>
    </row>
    <row r="9492" spans="1:29" ht="143" x14ac:dyDescent="0.15">
      <c r="A9492" s="3">
        <f>DATE(2009,12,14)</f>
        <v>40161</v>
      </c>
      <c r="B9492" s="3">
        <f>DATE(2010,6,25)</f>
        <v>40354</v>
      </c>
      <c r="C9492" s="2" t="s">
        <v>95</v>
      </c>
      <c r="D9492" s="2" t="s">
        <v>27948</v>
      </c>
      <c r="E9492" s="2" t="s">
        <v>5309</v>
      </c>
      <c r="F9492" s="4">
        <v>1311</v>
      </c>
      <c r="G9492" s="2" t="s">
        <v>148</v>
      </c>
      <c r="H9492" s="2" t="s">
        <v>34</v>
      </c>
      <c r="I9492" s="2" t="s">
        <v>27949</v>
      </c>
      <c r="J9492" s="2" t="s">
        <v>27950</v>
      </c>
      <c r="K9492" s="2" t="s">
        <v>148</v>
      </c>
      <c r="L9492" s="2" t="s">
        <v>34</v>
      </c>
      <c r="M9492" s="12">
        <v>353340.33100000001</v>
      </c>
      <c r="N9492" s="6">
        <v>69.69</v>
      </c>
      <c r="O9492" s="6">
        <v>69.17</v>
      </c>
      <c r="P9492" s="2" t="s">
        <v>27951</v>
      </c>
      <c r="Q9492" s="6">
        <v>100</v>
      </c>
      <c r="R9492" s="6">
        <v>51.7</v>
      </c>
      <c r="S9492" s="8">
        <v>1833</v>
      </c>
      <c r="T9492" s="8">
        <v>6353</v>
      </c>
      <c r="U9492" s="5">
        <v>29.9</v>
      </c>
      <c r="V9492" s="6">
        <v>3.12</v>
      </c>
      <c r="W9492" s="6">
        <v>41.15</v>
      </c>
      <c r="X9492" s="6">
        <v>41.49</v>
      </c>
      <c r="Y9492" s="6">
        <v>47.86</v>
      </c>
      <c r="Z9492" s="6">
        <v>47.66</v>
      </c>
      <c r="AA9492" s="6">
        <v>580.34</v>
      </c>
      <c r="AB9492" s="7">
        <v>12.25</v>
      </c>
      <c r="AC9492" s="8">
        <v>12623</v>
      </c>
    </row>
    <row r="9493" spans="1:29" ht="117" x14ac:dyDescent="0.15">
      <c r="A9493" s="3">
        <f>DATE(2009,12,16)</f>
        <v>40163</v>
      </c>
      <c r="B9493" s="3">
        <f>DATE(2010,3,15)</f>
        <v>40252</v>
      </c>
      <c r="C9493" s="2" t="s">
        <v>95</v>
      </c>
      <c r="D9493" s="2" t="s">
        <v>27952</v>
      </c>
      <c r="E9493" s="2" t="s">
        <v>27953</v>
      </c>
      <c r="F9493" s="4">
        <v>3851</v>
      </c>
      <c r="G9493" s="2" t="s">
        <v>226</v>
      </c>
      <c r="H9493" s="2" t="s">
        <v>34</v>
      </c>
      <c r="I9493" s="2" t="s">
        <v>24987</v>
      </c>
      <c r="J9493" s="2" t="s">
        <v>24988</v>
      </c>
      <c r="K9493" s="2" t="s">
        <v>226</v>
      </c>
      <c r="L9493" s="2" t="s">
        <v>133</v>
      </c>
      <c r="M9493" s="12">
        <v>12516.691999999999</v>
      </c>
      <c r="N9493" s="7">
        <v>59.801000000000002</v>
      </c>
      <c r="O9493" s="7">
        <v>58.628999999999998</v>
      </c>
      <c r="P9493" s="2" t="s">
        <v>27954</v>
      </c>
      <c r="Q9493" s="6">
        <v>100</v>
      </c>
      <c r="R9493" s="6">
        <v>19.75</v>
      </c>
      <c r="S9493" s="5">
        <v>20.5</v>
      </c>
      <c r="T9493" s="7">
        <v>57.792999999999999</v>
      </c>
      <c r="U9493" s="5">
        <v>2.4</v>
      </c>
      <c r="V9493" s="6">
        <v>0.92</v>
      </c>
      <c r="W9493" s="6">
        <v>15.94</v>
      </c>
      <c r="X9493" s="6">
        <v>17.91</v>
      </c>
      <c r="Y9493" s="5">
        <v>19.5</v>
      </c>
      <c r="Z9493" s="6">
        <v>19.559999999999999</v>
      </c>
      <c r="AA9493" s="6">
        <v>24.76</v>
      </c>
      <c r="AB9493" s="7">
        <v>14.41</v>
      </c>
      <c r="AC9493" s="6">
        <v>823.58</v>
      </c>
    </row>
    <row r="9494" spans="1:29" ht="117" x14ac:dyDescent="0.15">
      <c r="A9494" s="3">
        <f>DATE(2009,12,17)</f>
        <v>40164</v>
      </c>
      <c r="B9494" s="2"/>
      <c r="C9494" s="2" t="s">
        <v>30</v>
      </c>
      <c r="D9494" s="2" t="s">
        <v>27955</v>
      </c>
      <c r="E9494" s="2" t="s">
        <v>27956</v>
      </c>
      <c r="F9494" s="4">
        <v>7996</v>
      </c>
      <c r="G9494" s="2" t="s">
        <v>364</v>
      </c>
      <c r="H9494" s="2" t="s">
        <v>34</v>
      </c>
      <c r="I9494" s="2" t="s">
        <v>27735</v>
      </c>
      <c r="J9494" s="2" t="s">
        <v>244</v>
      </c>
      <c r="K9494" s="2" t="s">
        <v>53</v>
      </c>
      <c r="L9494" s="2" t="s">
        <v>34</v>
      </c>
      <c r="M9494" s="2"/>
      <c r="N9494" s="2"/>
      <c r="O9494" s="2"/>
      <c r="P9494" s="2" t="s">
        <v>27957</v>
      </c>
      <c r="Q9494" s="2"/>
      <c r="R9494" s="6">
        <v>11.5</v>
      </c>
      <c r="S9494" s="5">
        <v>5</v>
      </c>
      <c r="T9494" s="7">
        <v>317.315</v>
      </c>
      <c r="U9494" s="5">
        <v>2.6</v>
      </c>
      <c r="V9494" s="6">
        <v>0.1</v>
      </c>
      <c r="W9494" s="4">
        <v>6</v>
      </c>
      <c r="X9494" s="5">
        <v>8.6999999999999993</v>
      </c>
      <c r="Y9494" s="6">
        <v>8.6300000000000008</v>
      </c>
      <c r="Z9494" s="6">
        <v>8.6199999999999992</v>
      </c>
      <c r="AA9494" s="6">
        <v>55.21</v>
      </c>
      <c r="AB9494" s="7">
        <v>11.52</v>
      </c>
      <c r="AC9494" s="2"/>
    </row>
    <row r="9495" spans="1:29" ht="143" x14ac:dyDescent="0.15">
      <c r="A9495" s="3">
        <f>DATE(2009,12,18)</f>
        <v>40165</v>
      </c>
      <c r="B9495" s="3">
        <f>DATE(2010,4,9)</f>
        <v>40277</v>
      </c>
      <c r="C9495" s="2" t="s">
        <v>95</v>
      </c>
      <c r="D9495" s="2" t="s">
        <v>27958</v>
      </c>
      <c r="E9495" s="2" t="s">
        <v>27959</v>
      </c>
      <c r="F9495" s="4">
        <v>3661</v>
      </c>
      <c r="G9495" s="2" t="s">
        <v>921</v>
      </c>
      <c r="H9495" s="2" t="s">
        <v>34</v>
      </c>
      <c r="I9495" s="2" t="s">
        <v>27960</v>
      </c>
      <c r="J9495" s="2" t="s">
        <v>11337</v>
      </c>
      <c r="K9495" s="2" t="s">
        <v>53</v>
      </c>
      <c r="L9495" s="2" t="s">
        <v>34</v>
      </c>
      <c r="M9495" s="2"/>
      <c r="N9495" s="2"/>
      <c r="O9495" s="2"/>
      <c r="P9495" s="2" t="s">
        <v>27961</v>
      </c>
      <c r="Q9495" s="6">
        <v>100</v>
      </c>
      <c r="R9495" s="6">
        <v>7.65</v>
      </c>
      <c r="S9495" s="5">
        <v>-13.2</v>
      </c>
      <c r="T9495" s="7">
        <v>-27.518999999999998</v>
      </c>
      <c r="U9495" s="5">
        <v>2</v>
      </c>
      <c r="V9495" s="6">
        <v>-0.25</v>
      </c>
      <c r="W9495" s="6">
        <v>6.26</v>
      </c>
      <c r="X9495" s="6">
        <v>6.24</v>
      </c>
      <c r="Y9495" s="6">
        <v>7.59</v>
      </c>
      <c r="Z9495" s="6">
        <v>7.47</v>
      </c>
      <c r="AA9495" s="6">
        <v>75.150000000000006</v>
      </c>
      <c r="AB9495" s="2" t="s">
        <v>86</v>
      </c>
      <c r="AC9495" s="2"/>
    </row>
    <row r="9496" spans="1:29" ht="156" x14ac:dyDescent="0.15">
      <c r="A9496" s="3">
        <f>DATE(2009,12,18)</f>
        <v>40165</v>
      </c>
      <c r="B9496" s="3">
        <f>DATE(2010,2,22)</f>
        <v>40231</v>
      </c>
      <c r="C9496" s="2" t="s">
        <v>95</v>
      </c>
      <c r="D9496" s="2" t="s">
        <v>27927</v>
      </c>
      <c r="E9496" s="2" t="s">
        <v>27928</v>
      </c>
      <c r="F9496" s="4">
        <v>1041</v>
      </c>
      <c r="G9496" s="2" t="s">
        <v>166</v>
      </c>
      <c r="H9496" s="2" t="s">
        <v>34</v>
      </c>
      <c r="I9496" s="2" t="s">
        <v>27962</v>
      </c>
      <c r="J9496" s="2" t="s">
        <v>27963</v>
      </c>
      <c r="K9496" s="2" t="s">
        <v>53</v>
      </c>
      <c r="L9496" s="2" t="s">
        <v>34</v>
      </c>
      <c r="M9496" s="12">
        <v>2158.7869999999998</v>
      </c>
      <c r="N9496" s="6">
        <v>48.13</v>
      </c>
      <c r="O9496" s="6">
        <v>47.52</v>
      </c>
      <c r="P9496" s="2" t="s">
        <v>27964</v>
      </c>
      <c r="Q9496" s="6">
        <v>100</v>
      </c>
      <c r="R9496" s="6">
        <v>6.96</v>
      </c>
      <c r="S9496" s="5">
        <v>-6.8</v>
      </c>
      <c r="T9496" s="7">
        <v>20.774000000000001</v>
      </c>
      <c r="U9496" s="5">
        <v>3.8</v>
      </c>
      <c r="V9496" s="9">
        <v>-7.8200000000000006E-2</v>
      </c>
      <c r="W9496" s="6">
        <v>3.94</v>
      </c>
      <c r="X9496" s="6">
        <v>4.53</v>
      </c>
      <c r="Y9496" s="6">
        <v>4.45</v>
      </c>
      <c r="Z9496" s="6">
        <v>6.73</v>
      </c>
      <c r="AA9496" s="6">
        <v>94.7</v>
      </c>
      <c r="AB9496" s="2" t="s">
        <v>47</v>
      </c>
      <c r="AC9496" s="5">
        <v>307.5</v>
      </c>
    </row>
    <row r="9497" spans="1:29" ht="169" x14ac:dyDescent="0.15">
      <c r="A9497" s="3">
        <f>DATE(2009,12,18)</f>
        <v>40165</v>
      </c>
      <c r="B9497" s="2"/>
      <c r="C9497" s="2" t="s">
        <v>30</v>
      </c>
      <c r="D9497" s="2" t="s">
        <v>27965</v>
      </c>
      <c r="E9497" s="2" t="s">
        <v>3812</v>
      </c>
      <c r="F9497" s="4">
        <v>2834</v>
      </c>
      <c r="G9497" s="2" t="s">
        <v>130</v>
      </c>
      <c r="H9497" s="2" t="s">
        <v>34</v>
      </c>
      <c r="I9497" s="2" t="s">
        <v>27966</v>
      </c>
      <c r="J9497" s="2" t="s">
        <v>3812</v>
      </c>
      <c r="K9497" s="2" t="s">
        <v>130</v>
      </c>
      <c r="L9497" s="2" t="s">
        <v>34</v>
      </c>
      <c r="M9497" s="7">
        <v>130.61600000000001</v>
      </c>
      <c r="N9497" s="6">
        <v>5.03</v>
      </c>
      <c r="O9497" s="6">
        <v>4.9800000000000004</v>
      </c>
      <c r="P9497" s="2" t="s">
        <v>27967</v>
      </c>
      <c r="Q9497" s="2"/>
      <c r="R9497" s="6">
        <v>1.5</v>
      </c>
      <c r="S9497" s="5">
        <v>-43.2</v>
      </c>
      <c r="T9497" s="7">
        <v>-41.780999999999999</v>
      </c>
      <c r="U9497" s="5">
        <v>-0.1</v>
      </c>
      <c r="V9497" s="6">
        <v>-0.72</v>
      </c>
      <c r="W9497" s="6">
        <v>1.32</v>
      </c>
      <c r="X9497" s="6">
        <v>1.23</v>
      </c>
      <c r="Y9497" s="5">
        <v>1.3</v>
      </c>
      <c r="Z9497" s="6">
        <v>1.25</v>
      </c>
      <c r="AA9497" s="6">
        <v>63.86</v>
      </c>
      <c r="AB9497" s="2" t="s">
        <v>86</v>
      </c>
      <c r="AC9497" s="5">
        <v>169.1</v>
      </c>
    </row>
    <row r="9498" spans="1:29" ht="78" x14ac:dyDescent="0.15">
      <c r="A9498" s="3">
        <f>DATE(2009,12,21)</f>
        <v>40168</v>
      </c>
      <c r="B9498" s="3">
        <f>DATE(2010,2,9)</f>
        <v>40218</v>
      </c>
      <c r="C9498" s="2" t="s">
        <v>95</v>
      </c>
      <c r="D9498" s="2" t="s">
        <v>27968</v>
      </c>
      <c r="E9498" s="2" t="s">
        <v>27505</v>
      </c>
      <c r="F9498" s="4">
        <v>2834</v>
      </c>
      <c r="G9498" s="2" t="s">
        <v>130</v>
      </c>
      <c r="H9498" s="2" t="s">
        <v>34</v>
      </c>
      <c r="I9498" s="2" t="s">
        <v>25079</v>
      </c>
      <c r="J9498" s="2" t="s">
        <v>129</v>
      </c>
      <c r="K9498" s="2" t="s">
        <v>130</v>
      </c>
      <c r="L9498" s="2" t="s">
        <v>133</v>
      </c>
      <c r="M9498" s="12">
        <v>101978.954</v>
      </c>
      <c r="N9498" s="7">
        <v>78.221999999999994</v>
      </c>
      <c r="O9498" s="7">
        <v>78.974000000000004</v>
      </c>
      <c r="P9498" s="2" t="s">
        <v>27969</v>
      </c>
      <c r="Q9498" s="6">
        <v>100</v>
      </c>
      <c r="R9498" s="6">
        <v>93.5</v>
      </c>
      <c r="S9498" s="5">
        <v>63.2</v>
      </c>
      <c r="T9498" s="7">
        <v>164.56399999999999</v>
      </c>
      <c r="U9498" s="5">
        <v>17.100000000000001</v>
      </c>
      <c r="V9498" s="6">
        <v>3.28</v>
      </c>
      <c r="W9498" s="6">
        <v>68.75</v>
      </c>
      <c r="X9498" s="6">
        <v>69.98</v>
      </c>
      <c r="Y9498" s="6">
        <v>93.14</v>
      </c>
      <c r="Z9498" s="5">
        <v>93.1</v>
      </c>
      <c r="AA9498" s="6">
        <v>19.04</v>
      </c>
      <c r="AB9498" s="7">
        <v>13.356</v>
      </c>
      <c r="AC9498" s="10">
        <v>8985.41</v>
      </c>
    </row>
    <row r="9499" spans="1:29" ht="156" x14ac:dyDescent="0.15">
      <c r="A9499" s="3">
        <f>DATE(2009,12,22)</f>
        <v>40169</v>
      </c>
      <c r="B9499" s="2"/>
      <c r="C9499" s="2" t="s">
        <v>30</v>
      </c>
      <c r="D9499" s="2" t="s">
        <v>27970</v>
      </c>
      <c r="E9499" s="2" t="s">
        <v>515</v>
      </c>
      <c r="F9499" s="4">
        <v>6331</v>
      </c>
      <c r="G9499" s="2" t="s">
        <v>125</v>
      </c>
      <c r="H9499" s="2" t="s">
        <v>34</v>
      </c>
      <c r="I9499" s="2" t="s">
        <v>27677</v>
      </c>
      <c r="J9499" s="2" t="s">
        <v>27678</v>
      </c>
      <c r="K9499" s="2" t="s">
        <v>230</v>
      </c>
      <c r="L9499" s="2" t="s">
        <v>34</v>
      </c>
      <c r="M9499" s="12">
        <v>6824.5770000000002</v>
      </c>
      <c r="N9499" s="6">
        <v>325.25</v>
      </c>
      <c r="O9499" s="6">
        <v>327.08</v>
      </c>
      <c r="P9499" s="2" t="s">
        <v>27971</v>
      </c>
      <c r="Q9499" s="2"/>
      <c r="R9499" s="6">
        <v>24.5</v>
      </c>
      <c r="S9499" s="5">
        <v>2.2999999999999998</v>
      </c>
      <c r="T9499" s="2"/>
      <c r="U9499" s="2"/>
      <c r="V9499" s="6">
        <v>1.31</v>
      </c>
      <c r="W9499" s="5">
        <v>23.5</v>
      </c>
      <c r="X9499" s="6">
        <v>22.01</v>
      </c>
      <c r="Y9499" s="4">
        <v>25</v>
      </c>
      <c r="Z9499" s="6">
        <v>26.13</v>
      </c>
      <c r="AA9499" s="6">
        <v>1.75</v>
      </c>
      <c r="AB9499" s="2" t="s">
        <v>47</v>
      </c>
      <c r="AC9499" s="5">
        <v>54.4</v>
      </c>
    </row>
    <row r="9500" spans="1:29" ht="182" x14ac:dyDescent="0.15">
      <c r="A9500" s="3">
        <f>DATE(2009,12,22)</f>
        <v>40169</v>
      </c>
      <c r="B9500" s="2"/>
      <c r="C9500" s="2" t="s">
        <v>30</v>
      </c>
      <c r="D9500" s="2" t="s">
        <v>26544</v>
      </c>
      <c r="E9500" s="2" t="s">
        <v>26545</v>
      </c>
      <c r="F9500" s="4">
        <v>3594</v>
      </c>
      <c r="G9500" s="2" t="s">
        <v>300</v>
      </c>
      <c r="H9500" s="2" t="s">
        <v>34</v>
      </c>
      <c r="I9500" s="2" t="s">
        <v>27972</v>
      </c>
      <c r="J9500" s="2" t="s">
        <v>11337</v>
      </c>
      <c r="K9500" s="2" t="s">
        <v>53</v>
      </c>
      <c r="L9500" s="2" t="s">
        <v>734</v>
      </c>
      <c r="M9500" s="2"/>
      <c r="N9500" s="2"/>
      <c r="O9500" s="2"/>
      <c r="P9500" s="2" t="s">
        <v>27973</v>
      </c>
      <c r="Q9500" s="2"/>
      <c r="R9500" s="6">
        <v>13.25</v>
      </c>
      <c r="S9500" s="5">
        <v>-29.1</v>
      </c>
      <c r="T9500" s="7">
        <v>207.166</v>
      </c>
      <c r="U9500" s="5">
        <v>8.5</v>
      </c>
      <c r="V9500" s="6">
        <v>-0.6</v>
      </c>
      <c r="W9500" s="6">
        <v>9.19</v>
      </c>
      <c r="X9500" s="6">
        <v>9.1300000000000008</v>
      </c>
      <c r="Y9500" s="6">
        <v>11.61</v>
      </c>
      <c r="Z9500" s="6">
        <v>12.07</v>
      </c>
      <c r="AA9500" s="6">
        <v>48.39</v>
      </c>
      <c r="AB9500" s="7">
        <v>11.760999999999999</v>
      </c>
      <c r="AC9500" s="2"/>
    </row>
    <row r="9501" spans="1:29" ht="39" x14ac:dyDescent="0.15">
      <c r="A9501" s="3">
        <f>DATE(2009,12,23)</f>
        <v>40170</v>
      </c>
      <c r="B9501" s="3">
        <f>DATE(2011,1,3)</f>
        <v>40546</v>
      </c>
      <c r="C9501" s="2" t="s">
        <v>95</v>
      </c>
      <c r="D9501" s="2" t="s">
        <v>21030</v>
      </c>
      <c r="E9501" s="2" t="s">
        <v>21031</v>
      </c>
      <c r="F9501" s="4">
        <v>3711</v>
      </c>
      <c r="G9501" s="2" t="s">
        <v>105</v>
      </c>
      <c r="H9501" s="2" t="s">
        <v>34</v>
      </c>
      <c r="I9501" s="2" t="s">
        <v>1526</v>
      </c>
      <c r="J9501" s="2" t="s">
        <v>302</v>
      </c>
      <c r="K9501" s="2" t="s">
        <v>53</v>
      </c>
      <c r="L9501" s="2" t="s">
        <v>34</v>
      </c>
      <c r="M9501" s="2"/>
      <c r="N9501" s="2"/>
      <c r="O9501" s="2"/>
      <c r="P9501" s="2" t="s">
        <v>27974</v>
      </c>
      <c r="Q9501" s="2"/>
      <c r="R9501" s="2"/>
      <c r="S9501" s="8">
        <v>-1285</v>
      </c>
      <c r="T9501" s="5">
        <v>97</v>
      </c>
      <c r="U9501" s="5">
        <v>-17.3</v>
      </c>
      <c r="V9501" s="6">
        <v>-14.86</v>
      </c>
      <c r="W9501" s="6">
        <v>10.210000000000001</v>
      </c>
      <c r="X9501" s="6">
        <v>11.22</v>
      </c>
      <c r="Y9501" s="6">
        <v>11.73</v>
      </c>
      <c r="Z9501" s="6">
        <v>11.89</v>
      </c>
      <c r="AA9501" s="2"/>
      <c r="AB9501" s="2" t="s">
        <v>47</v>
      </c>
      <c r="AC9501" s="2"/>
    </row>
    <row r="9502" spans="1:29" ht="104" x14ac:dyDescent="0.15">
      <c r="A9502" s="3">
        <f>DATE(2009,12,23)</f>
        <v>40170</v>
      </c>
      <c r="B9502" s="3">
        <f>DATE(2010,2,3)</f>
        <v>40212</v>
      </c>
      <c r="C9502" s="2" t="s">
        <v>95</v>
      </c>
      <c r="D9502" s="2" t="s">
        <v>27975</v>
      </c>
      <c r="E9502" s="2" t="s">
        <v>2208</v>
      </c>
      <c r="F9502" s="4">
        <v>3663</v>
      </c>
      <c r="G9502" s="2" t="s">
        <v>921</v>
      </c>
      <c r="H9502" s="2" t="s">
        <v>34</v>
      </c>
      <c r="I9502" s="2" t="s">
        <v>4651</v>
      </c>
      <c r="J9502" s="2" t="s">
        <v>4652</v>
      </c>
      <c r="K9502" s="2" t="s">
        <v>163</v>
      </c>
      <c r="L9502" s="2" t="s">
        <v>34</v>
      </c>
      <c r="M9502" s="12">
        <v>1693.162</v>
      </c>
      <c r="N9502" s="6">
        <v>31.51</v>
      </c>
      <c r="O9502" s="6">
        <v>32.21</v>
      </c>
      <c r="P9502" s="2" t="s">
        <v>27976</v>
      </c>
      <c r="Q9502" s="6">
        <v>100</v>
      </c>
      <c r="R9502" s="6">
        <v>16</v>
      </c>
      <c r="S9502" s="5">
        <v>2.2000000000000002</v>
      </c>
      <c r="T9502" s="7">
        <v>6.0570000000000004</v>
      </c>
      <c r="U9502" s="5">
        <v>7.1</v>
      </c>
      <c r="V9502" s="6">
        <v>0.75</v>
      </c>
      <c r="W9502" s="6">
        <v>8.9600000000000009</v>
      </c>
      <c r="X9502" s="7">
        <v>11.422000000000001</v>
      </c>
      <c r="Y9502" s="6">
        <v>11.54</v>
      </c>
      <c r="Z9502" s="5">
        <v>15.9</v>
      </c>
      <c r="AA9502" s="6">
        <v>2.99</v>
      </c>
      <c r="AB9502" s="7">
        <v>13.631</v>
      </c>
      <c r="AC9502" s="6">
        <v>304.89</v>
      </c>
    </row>
    <row r="9503" spans="1:29" ht="65" x14ac:dyDescent="0.15">
      <c r="A9503" s="3">
        <f>DATE(2009,12,24)</f>
        <v>40171</v>
      </c>
      <c r="B9503" s="2"/>
      <c r="C9503" s="2" t="s">
        <v>7330</v>
      </c>
      <c r="D9503" s="2" t="s">
        <v>27977</v>
      </c>
      <c r="E9503" s="2" t="s">
        <v>36</v>
      </c>
      <c r="F9503" s="4">
        <v>6021</v>
      </c>
      <c r="G9503" s="2" t="s">
        <v>37</v>
      </c>
      <c r="H9503" s="2" t="s">
        <v>34</v>
      </c>
      <c r="I9503" s="2" t="s">
        <v>27978</v>
      </c>
      <c r="J9503" s="2" t="s">
        <v>36</v>
      </c>
      <c r="K9503" s="2" t="s">
        <v>37</v>
      </c>
      <c r="L9503" s="2" t="s">
        <v>34</v>
      </c>
      <c r="M9503" s="2"/>
      <c r="N9503" s="2"/>
      <c r="O9503" s="2"/>
      <c r="P9503" s="2" t="s">
        <v>27979</v>
      </c>
      <c r="Q9503" s="2"/>
      <c r="R9503" s="2"/>
      <c r="S9503" s="5">
        <v>-4</v>
      </c>
      <c r="T9503" s="7">
        <v>-3.2719999999999998</v>
      </c>
      <c r="U9503" s="5">
        <v>13.1</v>
      </c>
      <c r="V9503" s="9">
        <v>-3.3433000000000002</v>
      </c>
      <c r="W9503" s="6">
        <v>6.35</v>
      </c>
      <c r="X9503" s="6">
        <v>6.35</v>
      </c>
      <c r="Y9503" s="6">
        <v>6.35</v>
      </c>
      <c r="Z9503" s="6">
        <v>6.35</v>
      </c>
      <c r="AA9503" s="6">
        <v>1.35</v>
      </c>
      <c r="AB9503" s="2" t="s">
        <v>86</v>
      </c>
      <c r="AC9503" s="2"/>
    </row>
    <row r="9504" spans="1:29" ht="104" x14ac:dyDescent="0.15">
      <c r="A9504" s="3">
        <f>DATE(2009,12,28)</f>
        <v>40175</v>
      </c>
      <c r="B9504" s="2"/>
      <c r="C9504" s="2" t="s">
        <v>30</v>
      </c>
      <c r="D9504" s="2" t="s">
        <v>27980</v>
      </c>
      <c r="E9504" s="2" t="s">
        <v>4572</v>
      </c>
      <c r="F9504" s="4">
        <v>7376</v>
      </c>
      <c r="G9504" s="2" t="s">
        <v>223</v>
      </c>
      <c r="H9504" s="2" t="s">
        <v>34</v>
      </c>
      <c r="I9504" s="2" t="s">
        <v>27462</v>
      </c>
      <c r="J9504" s="2" t="s">
        <v>244</v>
      </c>
      <c r="K9504" s="2" t="s">
        <v>53</v>
      </c>
      <c r="L9504" s="2" t="s">
        <v>34</v>
      </c>
      <c r="M9504" s="2"/>
      <c r="N9504" s="2"/>
      <c r="O9504" s="2"/>
      <c r="P9504" s="2" t="s">
        <v>27981</v>
      </c>
      <c r="Q9504" s="2"/>
      <c r="R9504" s="6">
        <v>5.35</v>
      </c>
      <c r="S9504" s="2"/>
      <c r="T9504" s="2"/>
      <c r="U9504" s="2"/>
      <c r="V9504" s="2"/>
      <c r="W9504" s="5">
        <v>4.3</v>
      </c>
      <c r="X9504" s="6">
        <v>4.42</v>
      </c>
      <c r="Y9504" s="6">
        <v>5.47</v>
      </c>
      <c r="Z9504" s="6">
        <v>5.43</v>
      </c>
      <c r="AA9504" s="6">
        <v>44.22</v>
      </c>
      <c r="AB9504" s="2" t="s">
        <v>47</v>
      </c>
      <c r="AC9504" s="2"/>
    </row>
    <row r="9505" spans="1:29" ht="117" x14ac:dyDescent="0.15">
      <c r="A9505" s="3">
        <f>DATE(2009,12,28)</f>
        <v>40175</v>
      </c>
      <c r="B9505" s="3">
        <f>DATE(2010,12,10)</f>
        <v>40522</v>
      </c>
      <c r="C9505" s="2" t="s">
        <v>95</v>
      </c>
      <c r="D9505" s="2" t="s">
        <v>27982</v>
      </c>
      <c r="E9505" s="2" t="s">
        <v>36</v>
      </c>
      <c r="F9505" s="4">
        <v>6021</v>
      </c>
      <c r="G9505" s="2" t="s">
        <v>37</v>
      </c>
      <c r="H9505" s="2" t="s">
        <v>34</v>
      </c>
      <c r="I9505" s="2" t="s">
        <v>23348</v>
      </c>
      <c r="J9505" s="2" t="s">
        <v>36</v>
      </c>
      <c r="K9505" s="2" t="s">
        <v>37</v>
      </c>
      <c r="L9505" s="2" t="s">
        <v>34</v>
      </c>
      <c r="M9505" s="6">
        <v>136.26</v>
      </c>
      <c r="N9505" s="6">
        <v>22.45</v>
      </c>
      <c r="O9505" s="6">
        <v>22.21</v>
      </c>
      <c r="P9505" s="2" t="s">
        <v>27983</v>
      </c>
      <c r="Q9505" s="6">
        <v>100</v>
      </c>
      <c r="R9505" s="6">
        <v>10.220000000000001</v>
      </c>
      <c r="S9505" s="5">
        <v>-3.6</v>
      </c>
      <c r="T9505" s="7">
        <v>-43.314</v>
      </c>
      <c r="U9505" s="5">
        <v>12.6</v>
      </c>
      <c r="V9505" s="6">
        <v>-0.53</v>
      </c>
      <c r="W9505" s="7">
        <v>5.1520000000000001</v>
      </c>
      <c r="X9505" s="5">
        <v>5.5</v>
      </c>
      <c r="Y9505" s="6">
        <v>9.24</v>
      </c>
      <c r="Z9505" s="6">
        <v>9.02</v>
      </c>
      <c r="AA9505" s="6">
        <v>6.3</v>
      </c>
      <c r="AB9505" s="2" t="s">
        <v>86</v>
      </c>
      <c r="AC9505" s="2"/>
    </row>
    <row r="9506" spans="1:29" ht="65" x14ac:dyDescent="0.15">
      <c r="A9506" s="3">
        <f>DATE(2009,12,30)</f>
        <v>40177</v>
      </c>
      <c r="B9506" s="3">
        <f>DATE(2010,1,15)</f>
        <v>40193</v>
      </c>
      <c r="C9506" s="2" t="s">
        <v>95</v>
      </c>
      <c r="D9506" s="2" t="s">
        <v>27414</v>
      </c>
      <c r="E9506" s="2" t="s">
        <v>27415</v>
      </c>
      <c r="F9506" s="4">
        <v>3743</v>
      </c>
      <c r="G9506" s="2" t="s">
        <v>105</v>
      </c>
      <c r="H9506" s="2" t="s">
        <v>34</v>
      </c>
      <c r="I9506" s="2" t="s">
        <v>27984</v>
      </c>
      <c r="J9506" s="2" t="s">
        <v>27985</v>
      </c>
      <c r="K9506" s="2" t="s">
        <v>53</v>
      </c>
      <c r="L9506" s="2" t="s">
        <v>34</v>
      </c>
      <c r="M9506" s="12">
        <v>3068.223</v>
      </c>
      <c r="N9506" s="13">
        <v>0</v>
      </c>
      <c r="O9506" s="13">
        <v>0</v>
      </c>
      <c r="P9506" s="2" t="s">
        <v>27986</v>
      </c>
      <c r="Q9506" s="6">
        <v>54</v>
      </c>
      <c r="R9506" s="2"/>
      <c r="S9506" s="5">
        <v>12.5</v>
      </c>
      <c r="T9506" s="7">
        <v>57.015000000000001</v>
      </c>
      <c r="U9506" s="5">
        <v>15.7</v>
      </c>
      <c r="V9506" s="6">
        <v>0.57999999999999996</v>
      </c>
      <c r="W9506" s="6">
        <v>10.16</v>
      </c>
      <c r="X9506" s="6">
        <v>10.78</v>
      </c>
      <c r="Y9506" s="6">
        <v>10.65</v>
      </c>
      <c r="Z9506" s="6">
        <v>11.02</v>
      </c>
      <c r="AA9506" s="6">
        <v>21.3</v>
      </c>
      <c r="AB9506" s="2" t="s">
        <v>47</v>
      </c>
      <c r="AC9506" s="8">
        <v>10560</v>
      </c>
    </row>
    <row r="9507" spans="1:29" ht="65" x14ac:dyDescent="0.15">
      <c r="A9507" s="3">
        <f>DATE(2009,12,30)</f>
        <v>40177</v>
      </c>
      <c r="B9507" s="3">
        <f>DATE(2010,1,15)</f>
        <v>40193</v>
      </c>
      <c r="C9507" s="2" t="s">
        <v>95</v>
      </c>
      <c r="D9507" s="2" t="s">
        <v>27987</v>
      </c>
      <c r="E9507" s="2" t="s">
        <v>9738</v>
      </c>
      <c r="F9507" s="4">
        <v>3089</v>
      </c>
      <c r="G9507" s="2" t="s">
        <v>447</v>
      </c>
      <c r="H9507" s="2" t="s">
        <v>34</v>
      </c>
      <c r="I9507" s="2" t="s">
        <v>27984</v>
      </c>
      <c r="J9507" s="2" t="s">
        <v>27985</v>
      </c>
      <c r="K9507" s="2" t="s">
        <v>53</v>
      </c>
      <c r="L9507" s="2" t="s">
        <v>34</v>
      </c>
      <c r="M9507" s="12">
        <v>3606.6509999999998</v>
      </c>
      <c r="N9507" s="13">
        <v>0</v>
      </c>
      <c r="O9507" s="13">
        <v>0</v>
      </c>
      <c r="P9507" s="2" t="s">
        <v>27988</v>
      </c>
      <c r="Q9507" s="6">
        <v>70.06</v>
      </c>
      <c r="R9507" s="2"/>
      <c r="S9507" s="5">
        <v>1.7</v>
      </c>
      <c r="T9507" s="7">
        <v>32.271000000000001</v>
      </c>
      <c r="U9507" s="5">
        <v>-0.6</v>
      </c>
      <c r="V9507" s="6">
        <v>0.05</v>
      </c>
      <c r="W9507" s="4">
        <v>3</v>
      </c>
      <c r="X9507" s="4">
        <v>3</v>
      </c>
      <c r="Y9507" s="5">
        <v>3.5</v>
      </c>
      <c r="Z9507" s="5">
        <v>3.1</v>
      </c>
      <c r="AA9507" s="6">
        <v>29.46</v>
      </c>
      <c r="AB9507" s="2" t="s">
        <v>47</v>
      </c>
      <c r="AC9507" s="8">
        <v>10560</v>
      </c>
    </row>
    <row r="9508" spans="1:29" ht="182" x14ac:dyDescent="0.15">
      <c r="A9508" s="3">
        <f>DATE(2009,12,30)</f>
        <v>40177</v>
      </c>
      <c r="B9508" s="3">
        <f>DATE(2010,2,5)</f>
        <v>40214</v>
      </c>
      <c r="C9508" s="2" t="s">
        <v>95</v>
      </c>
      <c r="D9508" s="2" t="s">
        <v>27989</v>
      </c>
      <c r="E9508" s="2" t="s">
        <v>27990</v>
      </c>
      <c r="F9508" s="4">
        <v>3089</v>
      </c>
      <c r="G9508" s="2" t="s">
        <v>447</v>
      </c>
      <c r="H9508" s="2" t="s">
        <v>34</v>
      </c>
      <c r="I9508" s="2" t="s">
        <v>27991</v>
      </c>
      <c r="J9508" s="2" t="s">
        <v>7885</v>
      </c>
      <c r="K9508" s="2" t="s">
        <v>105</v>
      </c>
      <c r="L9508" s="2" t="s">
        <v>34</v>
      </c>
      <c r="M9508" s="2"/>
      <c r="N9508" s="2"/>
      <c r="O9508" s="2"/>
      <c r="P9508" s="2" t="s">
        <v>27992</v>
      </c>
      <c r="Q9508" s="6">
        <v>87.37</v>
      </c>
      <c r="R9508" s="6">
        <v>6.38</v>
      </c>
      <c r="S9508" s="5">
        <v>-10</v>
      </c>
      <c r="T9508" s="7">
        <v>3.3119999999999998</v>
      </c>
      <c r="U9508" s="5">
        <v>3.7</v>
      </c>
      <c r="V9508" s="6">
        <v>-1.1200000000000001</v>
      </c>
      <c r="W9508" s="5">
        <v>2.7</v>
      </c>
      <c r="X9508" s="6">
        <v>2.85</v>
      </c>
      <c r="Y9508" s="6">
        <v>2.95</v>
      </c>
      <c r="Z9508" s="6">
        <v>6.37</v>
      </c>
      <c r="AA9508" s="6">
        <v>9.33</v>
      </c>
      <c r="AB9508" s="2" t="s">
        <v>86</v>
      </c>
      <c r="AC9508" s="2"/>
    </row>
    <row r="9509" spans="1:29" ht="130" x14ac:dyDescent="0.15">
      <c r="A9509" s="3">
        <f>DATE(2010,1,4)</f>
        <v>40182</v>
      </c>
      <c r="B9509" s="3">
        <f>DATE(2010,2,19)</f>
        <v>40228</v>
      </c>
      <c r="C9509" s="2" t="s">
        <v>95</v>
      </c>
      <c r="D9509" s="2" t="s">
        <v>27993</v>
      </c>
      <c r="E9509" s="2" t="s">
        <v>27994</v>
      </c>
      <c r="F9509" s="4">
        <v>3842</v>
      </c>
      <c r="G9509" s="2" t="s">
        <v>226</v>
      </c>
      <c r="H9509" s="2" t="s">
        <v>34</v>
      </c>
      <c r="I9509" s="2" t="s">
        <v>27995</v>
      </c>
      <c r="J9509" s="2" t="s">
        <v>129</v>
      </c>
      <c r="K9509" s="2" t="s">
        <v>130</v>
      </c>
      <c r="L9509" s="2" t="s">
        <v>1049</v>
      </c>
      <c r="M9509" s="2"/>
      <c r="N9509" s="2"/>
      <c r="O9509" s="2"/>
      <c r="P9509" s="2" t="s">
        <v>27996</v>
      </c>
      <c r="Q9509" s="6">
        <v>97.66</v>
      </c>
      <c r="R9509" s="6">
        <v>5.45</v>
      </c>
      <c r="S9509" s="5">
        <v>-4.4000000000000004</v>
      </c>
      <c r="T9509" s="7">
        <v>-1.631</v>
      </c>
      <c r="U9509" s="5">
        <v>1.4</v>
      </c>
      <c r="V9509" s="6">
        <v>-0.1</v>
      </c>
      <c r="W9509" s="6">
        <v>3.49</v>
      </c>
      <c r="X9509" s="5">
        <v>3.4</v>
      </c>
      <c r="Y9509" s="6">
        <v>5.45</v>
      </c>
      <c r="Z9509" s="6">
        <v>5.52</v>
      </c>
      <c r="AA9509" s="6">
        <v>46.5</v>
      </c>
      <c r="AB9509" s="2" t="s">
        <v>86</v>
      </c>
      <c r="AC9509" s="2"/>
    </row>
    <row r="9510" spans="1:29" ht="78" x14ac:dyDescent="0.15">
      <c r="A9510" s="3">
        <f>DATE(2010,1,5)</f>
        <v>40183</v>
      </c>
      <c r="B9510" s="2"/>
      <c r="C9510" s="2" t="s">
        <v>39</v>
      </c>
      <c r="D9510" s="2" t="s">
        <v>12255</v>
      </c>
      <c r="E9510" s="2" t="s">
        <v>12256</v>
      </c>
      <c r="F9510" s="4">
        <v>3661</v>
      </c>
      <c r="G9510" s="2" t="s">
        <v>921</v>
      </c>
      <c r="H9510" s="2" t="s">
        <v>34</v>
      </c>
      <c r="I9510" s="2" t="s">
        <v>27997</v>
      </c>
      <c r="J9510" s="2" t="s">
        <v>16453</v>
      </c>
      <c r="K9510" s="2" t="s">
        <v>63</v>
      </c>
      <c r="L9510" s="2" t="s">
        <v>11620</v>
      </c>
      <c r="M9510" s="2"/>
      <c r="N9510" s="2"/>
      <c r="O9510" s="2"/>
      <c r="P9510" s="2" t="s">
        <v>27998</v>
      </c>
      <c r="Q9510" s="2"/>
      <c r="R9510" s="2"/>
      <c r="S9510" s="5">
        <v>-581.20000000000005</v>
      </c>
      <c r="T9510" s="7">
        <v>-58.988999999999997</v>
      </c>
      <c r="U9510" s="5">
        <v>5</v>
      </c>
      <c r="V9510" s="6">
        <v>-6.37</v>
      </c>
      <c r="W9510" s="6">
        <v>10.93</v>
      </c>
      <c r="X9510" s="6">
        <v>11.02</v>
      </c>
      <c r="Y9510" s="6">
        <v>11.86</v>
      </c>
      <c r="Z9510" s="6">
        <v>11.91</v>
      </c>
      <c r="AA9510" s="6">
        <v>92.04</v>
      </c>
      <c r="AB9510" s="2" t="s">
        <v>86</v>
      </c>
      <c r="AC9510" s="2"/>
    </row>
    <row r="9511" spans="1:29" ht="52" x14ac:dyDescent="0.15">
      <c r="A9511" s="3">
        <f>DATE(2010,1,5)</f>
        <v>40183</v>
      </c>
      <c r="B9511" s="3">
        <f>DATE(2010,1,8)</f>
        <v>40186</v>
      </c>
      <c r="C9511" s="2" t="s">
        <v>95</v>
      </c>
      <c r="D9511" s="2" t="s">
        <v>27999</v>
      </c>
      <c r="E9511" s="2" t="s">
        <v>1739</v>
      </c>
      <c r="F9511" s="4">
        <v>8748</v>
      </c>
      <c r="G9511" s="2" t="s">
        <v>223</v>
      </c>
      <c r="H9511" s="2" t="s">
        <v>34</v>
      </c>
      <c r="I9511" s="2" t="s">
        <v>27022</v>
      </c>
      <c r="J9511" s="2" t="s">
        <v>27023</v>
      </c>
      <c r="K9511" s="2" t="s">
        <v>223</v>
      </c>
      <c r="L9511" s="2" t="s">
        <v>34</v>
      </c>
      <c r="M9511" s="2"/>
      <c r="N9511" s="2"/>
      <c r="O9511" s="2"/>
      <c r="P9511" s="2" t="s">
        <v>28000</v>
      </c>
      <c r="Q9511" s="6">
        <v>81.37</v>
      </c>
      <c r="R9511" s="2"/>
      <c r="S9511" s="5">
        <v>0</v>
      </c>
      <c r="T9511" s="2"/>
      <c r="U9511" s="2"/>
      <c r="V9511" s="9">
        <v>-1E-4</v>
      </c>
      <c r="W9511" s="5">
        <v>3.2</v>
      </c>
      <c r="X9511" s="5">
        <v>3.2</v>
      </c>
      <c r="Y9511" s="5">
        <v>3.2</v>
      </c>
      <c r="Z9511" s="5">
        <v>3.2</v>
      </c>
      <c r="AA9511" s="6">
        <v>8.6</v>
      </c>
      <c r="AB9511" s="2" t="s">
        <v>86</v>
      </c>
      <c r="AC9511" s="2"/>
    </row>
    <row r="9512" spans="1:29" ht="78" x14ac:dyDescent="0.15">
      <c r="A9512" s="3">
        <f>DATE(2010,1,7)</f>
        <v>40185</v>
      </c>
      <c r="B9512" s="2"/>
      <c r="C9512" s="2" t="s">
        <v>30</v>
      </c>
      <c r="D9512" s="2" t="s">
        <v>28001</v>
      </c>
      <c r="E9512" s="2" t="s">
        <v>129</v>
      </c>
      <c r="F9512" s="4">
        <v>2834</v>
      </c>
      <c r="G9512" s="2" t="s">
        <v>130</v>
      </c>
      <c r="H9512" s="2" t="s">
        <v>34</v>
      </c>
      <c r="I9512" s="2" t="s">
        <v>28002</v>
      </c>
      <c r="J9512" s="2" t="s">
        <v>9451</v>
      </c>
      <c r="K9512" s="2" t="s">
        <v>53</v>
      </c>
      <c r="L9512" s="2" t="s">
        <v>34</v>
      </c>
      <c r="M9512" s="2"/>
      <c r="N9512" s="2"/>
      <c r="O9512" s="2"/>
      <c r="P9512" s="2" t="s">
        <v>28003</v>
      </c>
      <c r="Q9512" s="2"/>
      <c r="R9512" s="6">
        <v>14</v>
      </c>
      <c r="S9512" s="5">
        <v>-3</v>
      </c>
      <c r="T9512" s="5">
        <v>-2.5</v>
      </c>
      <c r="U9512" s="5">
        <v>9.1</v>
      </c>
      <c r="V9512" s="6">
        <v>-1.21</v>
      </c>
      <c r="W9512" s="6">
        <v>11.02</v>
      </c>
      <c r="X9512" s="5">
        <v>11.7</v>
      </c>
      <c r="Y9512" s="6">
        <v>11.25</v>
      </c>
      <c r="Z9512" s="4">
        <v>14</v>
      </c>
      <c r="AA9512" s="6">
        <v>2.54</v>
      </c>
      <c r="AB9512" s="2" t="s">
        <v>86</v>
      </c>
      <c r="AC9512" s="2"/>
    </row>
    <row r="9513" spans="1:29" ht="117" x14ac:dyDescent="0.15">
      <c r="A9513" s="3">
        <f>DATE(2010,1,7)</f>
        <v>40185</v>
      </c>
      <c r="B9513" s="2"/>
      <c r="C9513" s="2" t="s">
        <v>30</v>
      </c>
      <c r="D9513" s="2" t="s">
        <v>18289</v>
      </c>
      <c r="E9513" s="2" t="s">
        <v>15466</v>
      </c>
      <c r="F9513" s="4">
        <v>7372</v>
      </c>
      <c r="G9513" s="2" t="s">
        <v>551</v>
      </c>
      <c r="H9513" s="2" t="s">
        <v>34</v>
      </c>
      <c r="I9513" s="2" t="s">
        <v>28004</v>
      </c>
      <c r="J9513" s="2" t="s">
        <v>4679</v>
      </c>
      <c r="K9513" s="2" t="s">
        <v>551</v>
      </c>
      <c r="L9513" s="2" t="s">
        <v>1086</v>
      </c>
      <c r="M9513" s="7">
        <v>44.588000000000001</v>
      </c>
      <c r="N9513" s="7">
        <v>11.218</v>
      </c>
      <c r="O9513" s="7">
        <v>10.952999999999999</v>
      </c>
      <c r="P9513" s="2" t="s">
        <v>28005</v>
      </c>
      <c r="Q9513" s="2"/>
      <c r="R9513" s="6">
        <v>3.46</v>
      </c>
      <c r="S9513" s="5">
        <v>-9.1</v>
      </c>
      <c r="T9513" s="7">
        <v>-1.5489999999999999</v>
      </c>
      <c r="U9513" s="5">
        <v>1.7</v>
      </c>
      <c r="V9513" s="6">
        <v>-0.3</v>
      </c>
      <c r="W9513" s="6">
        <v>2.76</v>
      </c>
      <c r="X9513" s="6">
        <v>3.33</v>
      </c>
      <c r="Y9513" s="6">
        <v>3.81</v>
      </c>
      <c r="Z9513" s="6">
        <v>3.96</v>
      </c>
      <c r="AA9513" s="6">
        <v>31.12</v>
      </c>
      <c r="AB9513" s="2" t="s">
        <v>86</v>
      </c>
      <c r="AC9513" s="6">
        <v>41.55</v>
      </c>
    </row>
    <row r="9514" spans="1:29" ht="104" x14ac:dyDescent="0.15">
      <c r="A9514" s="3">
        <f>DATE(2010,1,7)</f>
        <v>40185</v>
      </c>
      <c r="B9514" s="3">
        <f>DATE(2010,5,3)</f>
        <v>40301</v>
      </c>
      <c r="C9514" s="2" t="s">
        <v>95</v>
      </c>
      <c r="D9514" s="2" t="s">
        <v>28006</v>
      </c>
      <c r="E9514" s="2" t="s">
        <v>3780</v>
      </c>
      <c r="F9514" s="4">
        <v>6021</v>
      </c>
      <c r="G9514" s="2" t="s">
        <v>37</v>
      </c>
      <c r="H9514" s="2" t="s">
        <v>34</v>
      </c>
      <c r="I9514" s="2" t="s">
        <v>17475</v>
      </c>
      <c r="J9514" s="2" t="s">
        <v>263</v>
      </c>
      <c r="K9514" s="2" t="s">
        <v>37</v>
      </c>
      <c r="L9514" s="2" t="s">
        <v>34</v>
      </c>
      <c r="M9514" s="7">
        <v>562.84799999999996</v>
      </c>
      <c r="N9514" s="6">
        <v>21.75</v>
      </c>
      <c r="O9514" s="6">
        <v>21.87</v>
      </c>
      <c r="P9514" s="2" t="s">
        <v>28007</v>
      </c>
      <c r="Q9514" s="6">
        <v>100</v>
      </c>
      <c r="R9514" s="6">
        <v>28.65</v>
      </c>
      <c r="S9514" s="5">
        <v>0.5</v>
      </c>
      <c r="T9514" s="7">
        <v>1.083</v>
      </c>
      <c r="U9514" s="5">
        <v>25.8</v>
      </c>
      <c r="V9514" s="6">
        <v>0.2</v>
      </c>
      <c r="W9514" s="6">
        <v>17.350000000000001</v>
      </c>
      <c r="X9514" s="6">
        <v>17.350000000000001</v>
      </c>
      <c r="Y9514" s="4">
        <v>18</v>
      </c>
      <c r="Z9514" s="5">
        <v>26.1</v>
      </c>
      <c r="AA9514" s="6">
        <v>2.7</v>
      </c>
      <c r="AB9514" s="2" t="s">
        <v>86</v>
      </c>
      <c r="AC9514" s="2"/>
    </row>
    <row r="9515" spans="1:29" ht="91" x14ac:dyDescent="0.15">
      <c r="A9515" s="3">
        <f>DATE(2010,1,7)</f>
        <v>40185</v>
      </c>
      <c r="B9515" s="2"/>
      <c r="C9515" s="2" t="s">
        <v>30</v>
      </c>
      <c r="D9515" s="2" t="s">
        <v>27172</v>
      </c>
      <c r="E9515" s="2" t="s">
        <v>26872</v>
      </c>
      <c r="F9515" s="4">
        <v>3827</v>
      </c>
      <c r="G9515" s="2" t="s">
        <v>226</v>
      </c>
      <c r="H9515" s="2" t="s">
        <v>34</v>
      </c>
      <c r="I9515" s="2" t="s">
        <v>15325</v>
      </c>
      <c r="J9515" s="2" t="s">
        <v>15326</v>
      </c>
      <c r="K9515" s="2" t="s">
        <v>226</v>
      </c>
      <c r="L9515" s="2" t="s">
        <v>34</v>
      </c>
      <c r="M9515" s="7">
        <v>865.33900000000006</v>
      </c>
      <c r="N9515" s="6">
        <v>31.48</v>
      </c>
      <c r="O9515" s="6">
        <v>31.35</v>
      </c>
      <c r="P9515" s="2" t="s">
        <v>28008</v>
      </c>
      <c r="Q9515" s="2"/>
      <c r="R9515" s="6">
        <v>10</v>
      </c>
      <c r="S9515" s="5">
        <v>-70.2</v>
      </c>
      <c r="T9515" s="7">
        <v>-24.370999999999999</v>
      </c>
      <c r="U9515" s="5">
        <v>5.4</v>
      </c>
      <c r="V9515" s="6">
        <v>-4.01</v>
      </c>
      <c r="W9515" s="6">
        <v>6.73</v>
      </c>
      <c r="X9515" s="6">
        <v>7.38</v>
      </c>
      <c r="Y9515" s="6">
        <v>10.72</v>
      </c>
      <c r="Z9515" s="6">
        <v>10.85</v>
      </c>
      <c r="AA9515" s="6">
        <v>17.59</v>
      </c>
      <c r="AB9515" s="2" t="s">
        <v>86</v>
      </c>
      <c r="AC9515" s="6">
        <v>105.46</v>
      </c>
    </row>
    <row r="9516" spans="1:29" ht="65" x14ac:dyDescent="0.15">
      <c r="A9516" s="3">
        <f>DATE(2010,1,11)</f>
        <v>40189</v>
      </c>
      <c r="B9516" s="3">
        <f>DATE(2010,4,1)</f>
        <v>40269</v>
      </c>
      <c r="C9516" s="2" t="s">
        <v>95</v>
      </c>
      <c r="D9516" s="2" t="s">
        <v>28009</v>
      </c>
      <c r="E9516" s="2" t="s">
        <v>28010</v>
      </c>
      <c r="F9516" s="4">
        <v>3823</v>
      </c>
      <c r="G9516" s="2" t="s">
        <v>226</v>
      </c>
      <c r="H9516" s="2" t="s">
        <v>34</v>
      </c>
      <c r="I9516" s="2" t="s">
        <v>28011</v>
      </c>
      <c r="J9516" s="2" t="s">
        <v>28012</v>
      </c>
      <c r="K9516" s="2" t="s">
        <v>112</v>
      </c>
      <c r="L9516" s="2" t="s">
        <v>34</v>
      </c>
      <c r="M9516" s="12">
        <v>1206.2660000000001</v>
      </c>
      <c r="N9516" s="6">
        <v>18.72</v>
      </c>
      <c r="O9516" s="6">
        <v>18.61</v>
      </c>
      <c r="P9516" s="2" t="s">
        <v>28013</v>
      </c>
      <c r="Q9516" s="6">
        <v>100</v>
      </c>
      <c r="R9516" s="6">
        <v>150</v>
      </c>
      <c r="S9516" s="5">
        <v>21.6</v>
      </c>
      <c r="T9516" s="6">
        <v>36.119999999999997</v>
      </c>
      <c r="U9516" s="5">
        <v>54</v>
      </c>
      <c r="V9516" s="6">
        <v>7.5</v>
      </c>
      <c r="W9516" s="6">
        <v>112.95</v>
      </c>
      <c r="X9516" s="6">
        <v>113.52</v>
      </c>
      <c r="Y9516" s="6">
        <v>148.29</v>
      </c>
      <c r="Z9516" s="6">
        <v>148.38999999999999</v>
      </c>
      <c r="AA9516" s="6">
        <v>2.96</v>
      </c>
      <c r="AB9516" s="7">
        <v>12.853</v>
      </c>
      <c r="AC9516" s="5">
        <v>4.0999999999999996</v>
      </c>
    </row>
    <row r="9517" spans="1:29" ht="65" x14ac:dyDescent="0.15">
      <c r="A9517" s="3">
        <f>DATE(2010,1,11)</f>
        <v>40189</v>
      </c>
      <c r="B9517" s="3">
        <f>DATE(2010,4,1)</f>
        <v>40269</v>
      </c>
      <c r="C9517" s="2" t="s">
        <v>95</v>
      </c>
      <c r="D9517" s="2" t="s">
        <v>28014</v>
      </c>
      <c r="E9517" s="2" t="s">
        <v>28015</v>
      </c>
      <c r="F9517" s="4">
        <v>3699</v>
      </c>
      <c r="G9517" s="2" t="s">
        <v>137</v>
      </c>
      <c r="H9517" s="2" t="s">
        <v>34</v>
      </c>
      <c r="I9517" s="2" t="s">
        <v>28016</v>
      </c>
      <c r="J9517" s="2" t="s">
        <v>28017</v>
      </c>
      <c r="K9517" s="2" t="s">
        <v>98</v>
      </c>
      <c r="L9517" s="2" t="s">
        <v>34</v>
      </c>
      <c r="M9517" s="2"/>
      <c r="N9517" s="2"/>
      <c r="O9517" s="2"/>
      <c r="P9517" s="2" t="s">
        <v>28018</v>
      </c>
      <c r="Q9517" s="6">
        <v>100</v>
      </c>
      <c r="R9517" s="6">
        <v>9</v>
      </c>
      <c r="S9517" s="5">
        <v>1.3</v>
      </c>
      <c r="T9517" s="7">
        <v>2.9460000000000002</v>
      </c>
      <c r="U9517" s="5">
        <v>4.2</v>
      </c>
      <c r="V9517" s="6">
        <v>0.54</v>
      </c>
      <c r="W9517" s="6">
        <v>4.3899999999999997</v>
      </c>
      <c r="X9517" s="6">
        <v>4.7300000000000004</v>
      </c>
      <c r="Y9517" s="6">
        <v>4.51</v>
      </c>
      <c r="Z9517" s="6">
        <v>8.77</v>
      </c>
      <c r="AA9517" s="6">
        <v>2.61</v>
      </c>
      <c r="AB9517" s="7">
        <v>10.47</v>
      </c>
      <c r="AC9517" s="2"/>
    </row>
    <row r="9518" spans="1:29" ht="65" x14ac:dyDescent="0.15">
      <c r="A9518" s="3">
        <f>DATE(2010,1,12)</f>
        <v>40190</v>
      </c>
      <c r="B9518" s="3">
        <f>DATE(2010,1,12)</f>
        <v>40190</v>
      </c>
      <c r="C9518" s="2" t="s">
        <v>95</v>
      </c>
      <c r="D9518" s="2" t="s">
        <v>28019</v>
      </c>
      <c r="E9518" s="2" t="s">
        <v>3812</v>
      </c>
      <c r="F9518" s="4">
        <v>2834</v>
      </c>
      <c r="G9518" s="2" t="s">
        <v>130</v>
      </c>
      <c r="H9518" s="2" t="s">
        <v>34</v>
      </c>
      <c r="I9518" s="2" t="s">
        <v>28020</v>
      </c>
      <c r="J9518" s="2" t="s">
        <v>150</v>
      </c>
      <c r="K9518" s="2" t="s">
        <v>53</v>
      </c>
      <c r="L9518" s="2" t="s">
        <v>34</v>
      </c>
      <c r="M9518" s="2"/>
      <c r="N9518" s="2"/>
      <c r="O9518" s="2"/>
      <c r="P9518" s="2" t="s">
        <v>28021</v>
      </c>
      <c r="Q9518" s="6">
        <v>84.39</v>
      </c>
      <c r="R9518" s="2"/>
      <c r="S9518" s="5">
        <v>-0.1</v>
      </c>
      <c r="T9518" s="2"/>
      <c r="U9518" s="5">
        <v>0</v>
      </c>
      <c r="V9518" s="9">
        <v>-3.0999999999999999E-3</v>
      </c>
      <c r="W9518" s="6">
        <v>2.0099999999999998</v>
      </c>
      <c r="X9518" s="6">
        <v>2.0099999999999998</v>
      </c>
      <c r="Y9518" s="6">
        <v>2.0099999999999998</v>
      </c>
      <c r="Z9518" s="6">
        <v>2.0099999999999998</v>
      </c>
      <c r="AA9518" s="6">
        <v>2.37</v>
      </c>
      <c r="AB9518" s="2" t="s">
        <v>86</v>
      </c>
      <c r="AC9518" s="2"/>
    </row>
    <row r="9519" spans="1:29" ht="169" x14ac:dyDescent="0.15">
      <c r="A9519" s="3">
        <f>DATE(2010,1,14)</f>
        <v>40192</v>
      </c>
      <c r="B9519" s="3">
        <f>DATE(2010,3,8)</f>
        <v>40245</v>
      </c>
      <c r="C9519" s="2" t="s">
        <v>95</v>
      </c>
      <c r="D9519" s="2" t="s">
        <v>28022</v>
      </c>
      <c r="E9519" s="2" t="s">
        <v>28023</v>
      </c>
      <c r="F9519" s="4">
        <v>2844</v>
      </c>
      <c r="G9519" s="2" t="s">
        <v>358</v>
      </c>
      <c r="H9519" s="2" t="s">
        <v>34</v>
      </c>
      <c r="I9519" s="2" t="s">
        <v>28024</v>
      </c>
      <c r="J9519" s="2" t="s">
        <v>28023</v>
      </c>
      <c r="K9519" s="2" t="s">
        <v>358</v>
      </c>
      <c r="L9519" s="2" t="s">
        <v>99</v>
      </c>
      <c r="M9519" s="10">
        <v>8453.3799999999992</v>
      </c>
      <c r="N9519" s="7">
        <v>21.286000000000001</v>
      </c>
      <c r="O9519" s="7">
        <v>22.481000000000002</v>
      </c>
      <c r="P9519" s="2" t="s">
        <v>28025</v>
      </c>
      <c r="Q9519" s="6">
        <v>86.92</v>
      </c>
      <c r="R9519" s="6">
        <v>18.2</v>
      </c>
      <c r="S9519" s="5">
        <v>98.1</v>
      </c>
      <c r="T9519" s="6">
        <v>176.87</v>
      </c>
      <c r="U9519" s="5">
        <v>1.2</v>
      </c>
      <c r="V9519" s="6">
        <v>1.05</v>
      </c>
      <c r="W9519" s="6">
        <v>13.14</v>
      </c>
      <c r="X9519" s="6">
        <v>13.01</v>
      </c>
      <c r="Y9519" s="6">
        <v>12.74</v>
      </c>
      <c r="Z9519" s="6">
        <v>18.07</v>
      </c>
      <c r="AA9519" s="6">
        <v>92.05</v>
      </c>
      <c r="AB9519" s="7">
        <v>10.949</v>
      </c>
      <c r="AC9519" s="10">
        <v>1584.7</v>
      </c>
    </row>
    <row r="9520" spans="1:29" ht="169" x14ac:dyDescent="0.15">
      <c r="A9520" s="3">
        <f>DATE(2010,1,18)</f>
        <v>40196</v>
      </c>
      <c r="B9520" s="3">
        <f>DATE(2010,5,14)</f>
        <v>40312</v>
      </c>
      <c r="C9520" s="2" t="s">
        <v>95</v>
      </c>
      <c r="D9520" s="2" t="s">
        <v>28026</v>
      </c>
      <c r="E9520" s="2" t="s">
        <v>24109</v>
      </c>
      <c r="F9520" s="4">
        <v>7382</v>
      </c>
      <c r="G9520" s="2" t="s">
        <v>223</v>
      </c>
      <c r="H9520" s="2" t="s">
        <v>34</v>
      </c>
      <c r="I9520" s="2" t="s">
        <v>28027</v>
      </c>
      <c r="J9520" s="2" t="s">
        <v>28028</v>
      </c>
      <c r="K9520" s="2" t="s">
        <v>223</v>
      </c>
      <c r="L9520" s="2" t="s">
        <v>215</v>
      </c>
      <c r="M9520" s="12">
        <v>16794.962</v>
      </c>
      <c r="N9520" s="6">
        <v>37.54</v>
      </c>
      <c r="O9520" s="6">
        <v>38.19</v>
      </c>
      <c r="P9520" s="2" t="s">
        <v>28029</v>
      </c>
      <c r="Q9520" s="6">
        <v>100</v>
      </c>
      <c r="R9520" s="6">
        <v>42.5</v>
      </c>
      <c r="S9520" s="2"/>
      <c r="T9520" s="2"/>
      <c r="U9520" s="2"/>
      <c r="V9520" s="2"/>
      <c r="W9520" s="6">
        <v>32.270000000000003</v>
      </c>
      <c r="X9520" s="6">
        <v>31.42</v>
      </c>
      <c r="Y9520" s="6">
        <v>31.42</v>
      </c>
      <c r="Z9520" s="6">
        <v>41.54</v>
      </c>
      <c r="AA9520" s="6">
        <v>47.2</v>
      </c>
      <c r="AB9520" s="2" t="s">
        <v>47</v>
      </c>
      <c r="AC9520" s="8">
        <v>2487</v>
      </c>
    </row>
    <row r="9521" spans="1:29" ht="182" x14ac:dyDescent="0.15">
      <c r="A9521" s="3">
        <f>DATE(2010,1,19)</f>
        <v>40197</v>
      </c>
      <c r="B9521" s="2"/>
      <c r="C9521" s="2" t="s">
        <v>30</v>
      </c>
      <c r="D9521" s="2" t="s">
        <v>10313</v>
      </c>
      <c r="E9521" s="2" t="s">
        <v>17975</v>
      </c>
      <c r="F9521" s="4">
        <v>6799</v>
      </c>
      <c r="G9521" s="2" t="s">
        <v>53</v>
      </c>
      <c r="H9521" s="2" t="s">
        <v>34</v>
      </c>
      <c r="I9521" s="2" t="s">
        <v>27659</v>
      </c>
      <c r="J9521" s="2" t="s">
        <v>244</v>
      </c>
      <c r="K9521" s="2" t="s">
        <v>53</v>
      </c>
      <c r="L9521" s="2" t="s">
        <v>34</v>
      </c>
      <c r="M9521" s="12">
        <v>1496.375</v>
      </c>
      <c r="N9521" s="6">
        <v>12.97</v>
      </c>
      <c r="O9521" s="5">
        <v>13.2</v>
      </c>
      <c r="P9521" s="2" t="s">
        <v>28030</v>
      </c>
      <c r="Q9521" s="2"/>
      <c r="R9521" s="6">
        <v>5.04</v>
      </c>
      <c r="S9521" s="5">
        <v>-521.5</v>
      </c>
      <c r="T9521" s="7">
        <v>-472.26900000000001</v>
      </c>
      <c r="U9521" s="5">
        <v>6.7</v>
      </c>
      <c r="V9521" s="6">
        <v>-2.91</v>
      </c>
      <c r="W9521" s="6">
        <v>3.22</v>
      </c>
      <c r="X9521" s="6">
        <v>3.47</v>
      </c>
      <c r="Y9521" s="6">
        <v>3.37</v>
      </c>
      <c r="Z9521" s="5">
        <v>3.6</v>
      </c>
      <c r="AA9521" s="6">
        <v>179.4</v>
      </c>
      <c r="AB9521" s="2" t="s">
        <v>86</v>
      </c>
      <c r="AC9521" s="6">
        <v>3.84</v>
      </c>
    </row>
    <row r="9522" spans="1:29" ht="182" x14ac:dyDescent="0.15">
      <c r="A9522" s="3">
        <f>DATE(2010,1,19)</f>
        <v>40197</v>
      </c>
      <c r="B9522" s="3">
        <f>DATE(2010,8,31)</f>
        <v>40421</v>
      </c>
      <c r="C9522" s="2" t="s">
        <v>95</v>
      </c>
      <c r="D9522" s="2" t="s">
        <v>28031</v>
      </c>
      <c r="E9522" s="2" t="s">
        <v>27299</v>
      </c>
      <c r="F9522" s="4">
        <v>4922</v>
      </c>
      <c r="G9522" s="2" t="s">
        <v>439</v>
      </c>
      <c r="H9522" s="2" t="s">
        <v>34</v>
      </c>
      <c r="I9522" s="2" t="s">
        <v>28032</v>
      </c>
      <c r="J9522" s="2" t="s">
        <v>28033</v>
      </c>
      <c r="K9522" s="2" t="s">
        <v>439</v>
      </c>
      <c r="L9522" s="2" t="s">
        <v>34</v>
      </c>
      <c r="M9522" s="12">
        <v>1623.434</v>
      </c>
      <c r="N9522" s="6">
        <v>36.39</v>
      </c>
      <c r="O9522" s="6">
        <v>37.659999999999997</v>
      </c>
      <c r="P9522" s="2" t="s">
        <v>28034</v>
      </c>
      <c r="Q9522" s="6">
        <v>100</v>
      </c>
      <c r="R9522" s="6">
        <v>23.35</v>
      </c>
      <c r="S9522" s="5">
        <v>51.3</v>
      </c>
      <c r="T9522" s="2"/>
      <c r="U9522" s="5">
        <v>13.1</v>
      </c>
      <c r="V9522" s="6">
        <v>1.53</v>
      </c>
      <c r="W9522" s="6">
        <v>23.85</v>
      </c>
      <c r="X9522" s="6">
        <v>23.35</v>
      </c>
      <c r="Y9522" s="6">
        <v>27.19</v>
      </c>
      <c r="Z9522" s="6">
        <v>27.92</v>
      </c>
      <c r="AA9522" s="6">
        <v>22.61</v>
      </c>
      <c r="AB9522" s="2" t="s">
        <v>86</v>
      </c>
      <c r="AC9522" s="6">
        <v>144.07</v>
      </c>
    </row>
    <row r="9523" spans="1:29" ht="78" x14ac:dyDescent="0.15">
      <c r="A9523" s="3">
        <f>DATE(2010,1,21)</f>
        <v>40199</v>
      </c>
      <c r="B9523" s="3">
        <f>DATE(2010,2,25)</f>
        <v>40234</v>
      </c>
      <c r="C9523" s="2" t="s">
        <v>95</v>
      </c>
      <c r="D9523" s="2" t="s">
        <v>28035</v>
      </c>
      <c r="E9523" s="2" t="s">
        <v>25039</v>
      </c>
      <c r="F9523" s="4">
        <v>7991</v>
      </c>
      <c r="G9523" s="2" t="s">
        <v>364</v>
      </c>
      <c r="H9523" s="2" t="s">
        <v>34</v>
      </c>
      <c r="I9523" s="2" t="s">
        <v>28036</v>
      </c>
      <c r="J9523" s="2" t="s">
        <v>5499</v>
      </c>
      <c r="K9523" s="2" t="s">
        <v>125</v>
      </c>
      <c r="L9523" s="2" t="s">
        <v>34</v>
      </c>
      <c r="M9523" s="2"/>
      <c r="N9523" s="2"/>
      <c r="O9523" s="2"/>
      <c r="P9523" s="2" t="s">
        <v>28037</v>
      </c>
      <c r="Q9523" s="6">
        <v>100</v>
      </c>
      <c r="R9523" s="6">
        <v>8.7799999999999994</v>
      </c>
      <c r="S9523" s="5">
        <v>3.3</v>
      </c>
      <c r="T9523" s="7">
        <v>5.6459999999999999</v>
      </c>
      <c r="U9523" s="5">
        <v>3.2</v>
      </c>
      <c r="V9523" s="6">
        <v>0.32</v>
      </c>
      <c r="W9523" s="6">
        <v>7.24</v>
      </c>
      <c r="X9523" s="5">
        <v>7.2</v>
      </c>
      <c r="Y9523" s="6">
        <v>8.7100000000000009</v>
      </c>
      <c r="Z9523" s="6">
        <v>8.7100000000000009</v>
      </c>
      <c r="AA9523" s="6">
        <v>11.19</v>
      </c>
      <c r="AB9523" s="7">
        <v>15.805</v>
      </c>
      <c r="AC9523" s="2"/>
    </row>
    <row r="9524" spans="1:29" ht="52" x14ac:dyDescent="0.15">
      <c r="A9524" s="3">
        <f>DATE(2010,1,21)</f>
        <v>40199</v>
      </c>
      <c r="B9524" s="3">
        <f>DATE(2010,1,21)</f>
        <v>40199</v>
      </c>
      <c r="C9524" s="2" t="s">
        <v>95</v>
      </c>
      <c r="D9524" s="2" t="s">
        <v>27999</v>
      </c>
      <c r="E9524" s="2" t="s">
        <v>1739</v>
      </c>
      <c r="F9524" s="4">
        <v>8748</v>
      </c>
      <c r="G9524" s="2" t="s">
        <v>223</v>
      </c>
      <c r="H9524" s="2" t="s">
        <v>34</v>
      </c>
      <c r="I9524" s="2" t="s">
        <v>28038</v>
      </c>
      <c r="J9524" s="2" t="s">
        <v>1739</v>
      </c>
      <c r="K9524" s="2" t="s">
        <v>223</v>
      </c>
      <c r="L9524" s="2" t="s">
        <v>34</v>
      </c>
      <c r="M9524" s="2"/>
      <c r="N9524" s="2"/>
      <c r="O9524" s="2"/>
      <c r="P9524" s="2" t="s">
        <v>28039</v>
      </c>
      <c r="Q9524" s="6">
        <v>50.01</v>
      </c>
      <c r="R9524" s="2"/>
      <c r="S9524" s="5">
        <v>0</v>
      </c>
      <c r="T9524" s="2"/>
      <c r="U9524" s="2"/>
      <c r="V9524" s="9">
        <v>-1E-4</v>
      </c>
      <c r="W9524" s="5">
        <v>3.2</v>
      </c>
      <c r="X9524" s="5">
        <v>3.2</v>
      </c>
      <c r="Y9524" s="5">
        <v>3.2</v>
      </c>
      <c r="Z9524" s="5">
        <v>3.2</v>
      </c>
      <c r="AA9524" s="2"/>
      <c r="AB9524" s="2" t="s">
        <v>86</v>
      </c>
      <c r="AC9524" s="2"/>
    </row>
    <row r="9525" spans="1:29" ht="91" x14ac:dyDescent="0.15">
      <c r="A9525" s="3">
        <f>DATE(2010,1,22)</f>
        <v>40200</v>
      </c>
      <c r="B9525" s="3">
        <f>DATE(2010,4,19)</f>
        <v>40287</v>
      </c>
      <c r="C9525" s="2" t="s">
        <v>95</v>
      </c>
      <c r="D9525" s="2" t="s">
        <v>15748</v>
      </c>
      <c r="E9525" s="2" t="s">
        <v>268</v>
      </c>
      <c r="F9525" s="4">
        <v>7011</v>
      </c>
      <c r="G9525" s="2" t="s">
        <v>269</v>
      </c>
      <c r="H9525" s="2" t="s">
        <v>34</v>
      </c>
      <c r="I9525" s="2" t="s">
        <v>24440</v>
      </c>
      <c r="J9525" s="2" t="s">
        <v>244</v>
      </c>
      <c r="K9525" s="2" t="s">
        <v>53</v>
      </c>
      <c r="L9525" s="2" t="s">
        <v>34</v>
      </c>
      <c r="M9525" s="2"/>
      <c r="N9525" s="2"/>
      <c r="O9525" s="2"/>
      <c r="P9525" s="2" t="s">
        <v>28040</v>
      </c>
      <c r="Q9525" s="6">
        <v>100</v>
      </c>
      <c r="R9525" s="6">
        <v>2.5</v>
      </c>
      <c r="S9525" s="5">
        <v>-52.4</v>
      </c>
      <c r="T9525" s="7">
        <v>27.797000000000001</v>
      </c>
      <c r="U9525" s="5">
        <v>6.3</v>
      </c>
      <c r="V9525" s="6">
        <v>-2.29</v>
      </c>
      <c r="W9525" s="6">
        <v>1.75</v>
      </c>
      <c r="X9525" s="7">
        <v>1.7749999999999999</v>
      </c>
      <c r="Y9525" s="6">
        <v>2.4700000000000002</v>
      </c>
      <c r="Z9525" s="6">
        <v>2.4700000000000002</v>
      </c>
      <c r="AA9525" s="6">
        <v>21.69</v>
      </c>
      <c r="AB9525" s="2" t="s">
        <v>86</v>
      </c>
      <c r="AC9525" s="2"/>
    </row>
    <row r="9526" spans="1:29" ht="65" x14ac:dyDescent="0.15">
      <c r="A9526" s="3">
        <f>DATE(2010,1,29)</f>
        <v>40207</v>
      </c>
      <c r="B9526" s="2"/>
      <c r="C9526" s="2" t="s">
        <v>30</v>
      </c>
      <c r="D9526" s="2" t="s">
        <v>15181</v>
      </c>
      <c r="E9526" s="2" t="s">
        <v>36</v>
      </c>
      <c r="F9526" s="4">
        <v>6021</v>
      </c>
      <c r="G9526" s="2" t="s">
        <v>37</v>
      </c>
      <c r="H9526" s="2" t="s">
        <v>34</v>
      </c>
      <c r="I9526" s="2" t="s">
        <v>28041</v>
      </c>
      <c r="J9526" s="2" t="s">
        <v>7190</v>
      </c>
      <c r="K9526" s="2" t="s">
        <v>33</v>
      </c>
      <c r="L9526" s="2" t="s">
        <v>34</v>
      </c>
      <c r="M9526" s="2"/>
      <c r="N9526" s="2"/>
      <c r="O9526" s="2"/>
      <c r="P9526" s="2" t="s">
        <v>28042</v>
      </c>
      <c r="Q9526" s="2"/>
      <c r="R9526" s="6">
        <v>18</v>
      </c>
      <c r="S9526" s="2"/>
      <c r="T9526" s="2"/>
      <c r="U9526" s="2"/>
      <c r="V9526" s="2"/>
      <c r="W9526" s="5">
        <v>13.5</v>
      </c>
      <c r="X9526" s="5">
        <v>13.5</v>
      </c>
      <c r="Y9526" s="4">
        <v>16</v>
      </c>
      <c r="Z9526" s="5">
        <v>15.9</v>
      </c>
      <c r="AA9526" s="6">
        <v>1.17</v>
      </c>
      <c r="AB9526" s="2" t="s">
        <v>47</v>
      </c>
      <c r="AC9526" s="2"/>
    </row>
    <row r="9527" spans="1:29" ht="143" x14ac:dyDescent="0.15">
      <c r="A9527" s="3">
        <f>DATE(2010,2,2)</f>
        <v>40211</v>
      </c>
      <c r="B9527" s="3">
        <f>DATE(2010,4,5)</f>
        <v>40273</v>
      </c>
      <c r="C9527" s="2" t="s">
        <v>95</v>
      </c>
      <c r="D9527" s="2" t="s">
        <v>28043</v>
      </c>
      <c r="E9527" s="2" t="s">
        <v>4572</v>
      </c>
      <c r="F9527" s="4">
        <v>7376</v>
      </c>
      <c r="G9527" s="2" t="s">
        <v>223</v>
      </c>
      <c r="H9527" s="2" t="s">
        <v>34</v>
      </c>
      <c r="I9527" s="2" t="s">
        <v>21505</v>
      </c>
      <c r="J9527" s="2" t="s">
        <v>21506</v>
      </c>
      <c r="K9527" s="2" t="s">
        <v>223</v>
      </c>
      <c r="L9527" s="2" t="s">
        <v>34</v>
      </c>
      <c r="M9527" s="12">
        <v>4482.183</v>
      </c>
      <c r="N9527" s="6">
        <v>55.17</v>
      </c>
      <c r="O9527" s="6">
        <v>54.89</v>
      </c>
      <c r="P9527" s="2" t="s">
        <v>28044</v>
      </c>
      <c r="Q9527" s="6">
        <v>100</v>
      </c>
      <c r="R9527" s="6">
        <v>17.649999999999999</v>
      </c>
      <c r="S9527" s="5">
        <v>9.4</v>
      </c>
      <c r="T9527" s="7">
        <v>26.303999999999998</v>
      </c>
      <c r="U9527" s="5">
        <v>4.5999999999999996</v>
      </c>
      <c r="V9527" s="6">
        <v>-0.45</v>
      </c>
      <c r="W9527" s="6">
        <v>12.55</v>
      </c>
      <c r="X9527" s="6">
        <v>13.23</v>
      </c>
      <c r="Y9527" s="6">
        <v>17.39</v>
      </c>
      <c r="Z9527" s="6">
        <v>17.440000000000001</v>
      </c>
      <c r="AA9527" s="6">
        <v>21.87</v>
      </c>
      <c r="AB9527" s="7">
        <v>22.658000000000001</v>
      </c>
      <c r="AC9527" s="8">
        <v>1014.6</v>
      </c>
    </row>
    <row r="9528" spans="1:29" ht="143" x14ac:dyDescent="0.15">
      <c r="A9528" s="3">
        <f>DATE(2010,2,3)</f>
        <v>40212</v>
      </c>
      <c r="B9528" s="3">
        <f>DATE(2010,3,15)</f>
        <v>40252</v>
      </c>
      <c r="C9528" s="2" t="s">
        <v>95</v>
      </c>
      <c r="D9528" s="2" t="s">
        <v>28045</v>
      </c>
      <c r="E9528" s="2" t="s">
        <v>28046</v>
      </c>
      <c r="F9528" s="4">
        <v>3841</v>
      </c>
      <c r="G9528" s="2" t="s">
        <v>226</v>
      </c>
      <c r="H9528" s="2" t="s">
        <v>34</v>
      </c>
      <c r="I9528" s="2" t="s">
        <v>28047</v>
      </c>
      <c r="J9528" s="2" t="s">
        <v>15018</v>
      </c>
      <c r="K9528" s="2" t="s">
        <v>226</v>
      </c>
      <c r="L9528" s="2" t="s">
        <v>99</v>
      </c>
      <c r="M9528" s="12">
        <v>1332.231</v>
      </c>
      <c r="N9528" s="7">
        <v>20.773</v>
      </c>
      <c r="O9528" s="7">
        <v>21.527999999999999</v>
      </c>
      <c r="P9528" s="2" t="s">
        <v>28048</v>
      </c>
      <c r="Q9528" s="6">
        <v>100</v>
      </c>
      <c r="R9528" s="6">
        <v>11.5</v>
      </c>
      <c r="S9528" s="5">
        <v>4.8</v>
      </c>
      <c r="T9528" s="7">
        <v>10.435</v>
      </c>
      <c r="U9528" s="5">
        <v>6.7</v>
      </c>
      <c r="V9528" s="6">
        <v>0.27</v>
      </c>
      <c r="W9528" s="6">
        <v>6.18</v>
      </c>
      <c r="X9528" s="6">
        <v>6.05</v>
      </c>
      <c r="Y9528" s="6">
        <v>11.45</v>
      </c>
      <c r="Z9528" s="6">
        <v>11.44</v>
      </c>
      <c r="AA9528" s="6">
        <v>19.920000000000002</v>
      </c>
      <c r="AB9528" s="7">
        <v>48.523000000000003</v>
      </c>
      <c r="AC9528" s="6">
        <v>572.91</v>
      </c>
    </row>
    <row r="9529" spans="1:29" ht="104" x14ac:dyDescent="0.15">
      <c r="A9529" s="3">
        <f>DATE(2010,2,3)</f>
        <v>40212</v>
      </c>
      <c r="B9529" s="3">
        <f>DATE(2010,4,8)</f>
        <v>40276</v>
      </c>
      <c r="C9529" s="2" t="s">
        <v>95</v>
      </c>
      <c r="D9529" s="2" t="s">
        <v>27895</v>
      </c>
      <c r="E9529" s="2" t="s">
        <v>27896</v>
      </c>
      <c r="F9529" s="4">
        <v>3674</v>
      </c>
      <c r="G9529" s="2" t="s">
        <v>137</v>
      </c>
      <c r="H9529" s="2" t="s">
        <v>34</v>
      </c>
      <c r="I9529" s="2" t="s">
        <v>17961</v>
      </c>
      <c r="J9529" s="2" t="s">
        <v>10974</v>
      </c>
      <c r="K9529" s="2" t="s">
        <v>137</v>
      </c>
      <c r="L9529" s="2" t="s">
        <v>34</v>
      </c>
      <c r="M9529" s="12">
        <v>5228.692</v>
      </c>
      <c r="N9529" s="6">
        <v>26.92</v>
      </c>
      <c r="O9529" s="6">
        <v>25.95</v>
      </c>
      <c r="P9529" s="2" t="s">
        <v>28049</v>
      </c>
      <c r="Q9529" s="6">
        <v>100</v>
      </c>
      <c r="R9529" s="6">
        <v>3.05</v>
      </c>
      <c r="S9529" s="5">
        <v>-10.199999999999999</v>
      </c>
      <c r="T9529" s="7">
        <v>-0.32200000000000001</v>
      </c>
      <c r="U9529" s="5">
        <v>2.7</v>
      </c>
      <c r="V9529" s="6">
        <v>-0.11</v>
      </c>
      <c r="W9529" s="6">
        <v>2.69</v>
      </c>
      <c r="X9529" s="6">
        <v>2.69</v>
      </c>
      <c r="Y9529" s="6">
        <v>2.85</v>
      </c>
      <c r="Z9529" s="6">
        <v>2.84</v>
      </c>
      <c r="AA9529" s="6">
        <v>98.3</v>
      </c>
      <c r="AB9529" s="2" t="s">
        <v>86</v>
      </c>
      <c r="AC9529" s="10">
        <v>1077.97</v>
      </c>
    </row>
    <row r="9530" spans="1:29" ht="195" x14ac:dyDescent="0.15">
      <c r="A9530" s="3">
        <f>DATE(2010,2,5)</f>
        <v>40214</v>
      </c>
      <c r="B9530" s="2"/>
      <c r="C9530" s="2" t="s">
        <v>30</v>
      </c>
      <c r="D9530" s="2" t="s">
        <v>28050</v>
      </c>
      <c r="E9530" s="2" t="s">
        <v>28051</v>
      </c>
      <c r="F9530" s="4">
        <v>5084</v>
      </c>
      <c r="G9530" s="2" t="s">
        <v>76</v>
      </c>
      <c r="H9530" s="2" t="s">
        <v>34</v>
      </c>
      <c r="I9530" s="2" t="s">
        <v>28052</v>
      </c>
      <c r="J9530" s="2" t="s">
        <v>28053</v>
      </c>
      <c r="K9530" s="2" t="s">
        <v>98</v>
      </c>
      <c r="L9530" s="2" t="s">
        <v>34</v>
      </c>
      <c r="M9530" s="12">
        <v>17362.547999999999</v>
      </c>
      <c r="N9530" s="6">
        <v>68.64</v>
      </c>
      <c r="O9530" s="6">
        <v>68.349999999999994</v>
      </c>
      <c r="P9530" s="2" t="s">
        <v>28054</v>
      </c>
      <c r="Q9530" s="2"/>
      <c r="R9530" s="6">
        <v>70</v>
      </c>
      <c r="S9530" s="5">
        <v>218.3</v>
      </c>
      <c r="T9530" s="7">
        <v>701.61500000000001</v>
      </c>
      <c r="U9530" s="5">
        <v>23</v>
      </c>
      <c r="V9530" s="6">
        <v>2.57</v>
      </c>
      <c r="W9530" s="6">
        <v>42.26</v>
      </c>
      <c r="X9530" s="6">
        <v>43.53</v>
      </c>
      <c r="Y9530" s="6">
        <v>60.96</v>
      </c>
      <c r="Z9530" s="6">
        <v>60.55</v>
      </c>
      <c r="AA9530" s="6">
        <v>88.75</v>
      </c>
      <c r="AB9530" s="7">
        <v>16.908999999999999</v>
      </c>
      <c r="AC9530" s="5">
        <v>416.9</v>
      </c>
    </row>
    <row r="9531" spans="1:29" ht="143" x14ac:dyDescent="0.15">
      <c r="A9531" s="3">
        <f>DATE(2010,2,11)</f>
        <v>40220</v>
      </c>
      <c r="B9531" s="3">
        <f>DATE(2011,2,25)</f>
        <v>40599</v>
      </c>
      <c r="C9531" s="2" t="s">
        <v>95</v>
      </c>
      <c r="D9531" s="2" t="s">
        <v>28055</v>
      </c>
      <c r="E9531" s="2" t="s">
        <v>18040</v>
      </c>
      <c r="F9531" s="4">
        <v>4911</v>
      </c>
      <c r="G9531" s="2" t="s">
        <v>439</v>
      </c>
      <c r="H9531" s="2" t="s">
        <v>34</v>
      </c>
      <c r="I9531" s="2" t="s">
        <v>17398</v>
      </c>
      <c r="J9531" s="2" t="s">
        <v>438</v>
      </c>
      <c r="K9531" s="2" t="s">
        <v>439</v>
      </c>
      <c r="L9531" s="2" t="s">
        <v>34</v>
      </c>
      <c r="M9531" s="12">
        <v>14287.636</v>
      </c>
      <c r="N9531" s="6">
        <v>39.590000000000003</v>
      </c>
      <c r="O9531" s="6">
        <v>39.19</v>
      </c>
      <c r="P9531" s="2" t="s">
        <v>28056</v>
      </c>
      <c r="Q9531" s="6">
        <v>100</v>
      </c>
      <c r="R9531" s="6">
        <v>27.65</v>
      </c>
      <c r="S9531" s="5">
        <v>392.8</v>
      </c>
      <c r="T9531" s="8">
        <v>1070.5999999999999</v>
      </c>
      <c r="U9531" s="5">
        <v>18.399999999999999</v>
      </c>
      <c r="V9531" s="6">
        <v>2.31</v>
      </c>
      <c r="W9531" s="6">
        <v>20.49</v>
      </c>
      <c r="X9531" s="6">
        <v>21.02</v>
      </c>
      <c r="Y9531" s="6">
        <v>23.55</v>
      </c>
      <c r="Z9531" s="6">
        <v>22.72</v>
      </c>
      <c r="AA9531" s="6">
        <v>170.66</v>
      </c>
      <c r="AB9531" s="7">
        <v>11.343</v>
      </c>
      <c r="AC9531" s="5">
        <v>874</v>
      </c>
    </row>
    <row r="9532" spans="1:29" ht="117" x14ac:dyDescent="0.15">
      <c r="A9532" s="3">
        <f>DATE(2010,2,15)</f>
        <v>40224</v>
      </c>
      <c r="B9532" s="2"/>
      <c r="C9532" s="2" t="s">
        <v>30</v>
      </c>
      <c r="D9532" s="2" t="s">
        <v>6032</v>
      </c>
      <c r="E9532" s="2" t="s">
        <v>6033</v>
      </c>
      <c r="F9532" s="4">
        <v>2873</v>
      </c>
      <c r="G9532" s="2" t="s">
        <v>98</v>
      </c>
      <c r="H9532" s="2" t="s">
        <v>34</v>
      </c>
      <c r="I9532" s="2" t="s">
        <v>28057</v>
      </c>
      <c r="J9532" s="2" t="s">
        <v>28058</v>
      </c>
      <c r="K9532" s="2" t="s">
        <v>98</v>
      </c>
      <c r="L9532" s="2" t="s">
        <v>2823</v>
      </c>
      <c r="M9532" s="10">
        <v>13056.31</v>
      </c>
      <c r="N9532" s="7">
        <v>38.137</v>
      </c>
      <c r="O9532" s="7">
        <v>40.314</v>
      </c>
      <c r="P9532" s="2" t="s">
        <v>28059</v>
      </c>
      <c r="Q9532" s="2"/>
      <c r="R9532" s="6">
        <v>41.1</v>
      </c>
      <c r="S9532" s="5">
        <v>152.6</v>
      </c>
      <c r="T9532" s="7">
        <v>386.63400000000001</v>
      </c>
      <c r="U9532" s="5">
        <v>4.9000000000000004</v>
      </c>
      <c r="V9532" s="6">
        <v>1.53</v>
      </c>
      <c r="W9532" s="6">
        <v>31.36</v>
      </c>
      <c r="X9532" s="6">
        <v>33.25</v>
      </c>
      <c r="Y9532" s="6">
        <v>33.25</v>
      </c>
      <c r="Z9532" s="6">
        <v>40.69</v>
      </c>
      <c r="AA9532" s="6">
        <v>99.88</v>
      </c>
      <c r="AB9532" s="7">
        <v>13.91</v>
      </c>
      <c r="AC9532" s="6">
        <v>168.87</v>
      </c>
    </row>
    <row r="9533" spans="1:29" ht="39" x14ac:dyDescent="0.15">
      <c r="A9533" s="3">
        <f>DATE(2010,2,16)</f>
        <v>40225</v>
      </c>
      <c r="B9533" s="3">
        <f>DATE(2010,7,2)</f>
        <v>40361</v>
      </c>
      <c r="C9533" s="2" t="s">
        <v>95</v>
      </c>
      <c r="D9533" s="2" t="s">
        <v>28060</v>
      </c>
      <c r="E9533" s="2" t="s">
        <v>4015</v>
      </c>
      <c r="F9533" s="4">
        <v>6311</v>
      </c>
      <c r="G9533" s="2" t="s">
        <v>125</v>
      </c>
      <c r="H9533" s="2" t="s">
        <v>34</v>
      </c>
      <c r="I9533" s="2" t="s">
        <v>28061</v>
      </c>
      <c r="J9533" s="2" t="s">
        <v>1563</v>
      </c>
      <c r="K9533" s="2" t="s">
        <v>125</v>
      </c>
      <c r="L9533" s="2" t="s">
        <v>7645</v>
      </c>
      <c r="M9533" s="2"/>
      <c r="N9533" s="6">
        <v>7.55</v>
      </c>
      <c r="O9533" s="6">
        <v>7.21</v>
      </c>
      <c r="P9533" s="2" t="s">
        <v>28062</v>
      </c>
      <c r="Q9533" s="6">
        <v>100</v>
      </c>
      <c r="R9533" s="2"/>
      <c r="S9533" s="5">
        <v>75.400000000000006</v>
      </c>
      <c r="T9533" s="7">
        <v>87.334000000000003</v>
      </c>
      <c r="U9533" s="5">
        <v>25.9</v>
      </c>
      <c r="V9533" s="6">
        <v>2.92</v>
      </c>
      <c r="W9533" s="6">
        <v>6.84</v>
      </c>
      <c r="X9533" s="6">
        <v>7.34</v>
      </c>
      <c r="Y9533" s="6">
        <v>7.55</v>
      </c>
      <c r="Z9533" s="6">
        <v>7.21</v>
      </c>
      <c r="AA9533" s="6">
        <v>60.56</v>
      </c>
      <c r="AB9533" s="2" t="s">
        <v>47</v>
      </c>
      <c r="AC9533" s="6">
        <v>186.09</v>
      </c>
    </row>
    <row r="9534" spans="1:29" ht="143" x14ac:dyDescent="0.15">
      <c r="A9534" s="3">
        <f>DATE(2010,2,16)</f>
        <v>40225</v>
      </c>
      <c r="B9534" s="2"/>
      <c r="C9534" s="2" t="s">
        <v>30</v>
      </c>
      <c r="D9534" s="2" t="s">
        <v>27877</v>
      </c>
      <c r="E9534" s="2" t="s">
        <v>27878</v>
      </c>
      <c r="F9534" s="4">
        <v>5813</v>
      </c>
      <c r="G9534" s="2" t="s">
        <v>230</v>
      </c>
      <c r="H9534" s="2" t="s">
        <v>34</v>
      </c>
      <c r="I9534" s="2" t="s">
        <v>28063</v>
      </c>
      <c r="J9534" s="2" t="s">
        <v>28064</v>
      </c>
      <c r="K9534" s="2" t="s">
        <v>230</v>
      </c>
      <c r="L9534" s="2" t="s">
        <v>34</v>
      </c>
      <c r="M9534" s="7">
        <v>111.92400000000001</v>
      </c>
      <c r="N9534" s="6">
        <v>12.89</v>
      </c>
      <c r="O9534" s="6">
        <v>11.95</v>
      </c>
      <c r="P9534" s="2" t="s">
        <v>28065</v>
      </c>
      <c r="Q9534" s="2"/>
      <c r="R9534" s="6">
        <v>3.8</v>
      </c>
      <c r="S9534" s="5">
        <v>0.7</v>
      </c>
      <c r="T9534" s="7">
        <v>8.8130000000000006</v>
      </c>
      <c r="U9534" s="5">
        <v>1.4</v>
      </c>
      <c r="V9534" s="6">
        <v>0.04</v>
      </c>
      <c r="W9534" s="6">
        <v>2.12</v>
      </c>
      <c r="X9534" s="5">
        <v>2.2000000000000002</v>
      </c>
      <c r="Y9534" s="6">
        <v>2.19</v>
      </c>
      <c r="Z9534" s="6">
        <v>2.59</v>
      </c>
      <c r="AA9534" s="6">
        <v>17.309999999999999</v>
      </c>
      <c r="AB9534" s="7">
        <v>13.217000000000001</v>
      </c>
      <c r="AC9534" s="6">
        <v>10.45</v>
      </c>
    </row>
    <row r="9535" spans="1:29" ht="130" x14ac:dyDescent="0.15">
      <c r="A9535" s="3">
        <f>DATE(2010,2,17)</f>
        <v>40226</v>
      </c>
      <c r="B9535" s="3">
        <f>DATE(2010,12,15)</f>
        <v>40527</v>
      </c>
      <c r="C9535" s="2" t="s">
        <v>95</v>
      </c>
      <c r="D9535" s="2" t="s">
        <v>22173</v>
      </c>
      <c r="E9535" s="2" t="s">
        <v>22174</v>
      </c>
      <c r="F9535" s="4">
        <v>3743</v>
      </c>
      <c r="G9535" s="2" t="s">
        <v>105</v>
      </c>
      <c r="H9535" s="2" t="s">
        <v>34</v>
      </c>
      <c r="I9535" s="2" t="s">
        <v>28066</v>
      </c>
      <c r="J9535" s="2" t="s">
        <v>28067</v>
      </c>
      <c r="K9535" s="2" t="s">
        <v>163</v>
      </c>
      <c r="L9535" s="2" t="s">
        <v>34</v>
      </c>
      <c r="M9535" s="2"/>
      <c r="N9535" s="2"/>
      <c r="O9535" s="2"/>
      <c r="P9535" s="2" t="s">
        <v>28068</v>
      </c>
      <c r="Q9535" s="6">
        <v>100</v>
      </c>
      <c r="R9535" s="6">
        <v>11.8</v>
      </c>
      <c r="S9535" s="5">
        <v>4.8</v>
      </c>
      <c r="T9535" s="7">
        <v>9.5980000000000008</v>
      </c>
      <c r="U9535" s="5">
        <v>6.8</v>
      </c>
      <c r="V9535" s="6">
        <v>0.5</v>
      </c>
      <c r="W9535" s="6">
        <v>10.84</v>
      </c>
      <c r="X9535" s="6">
        <v>11.23</v>
      </c>
      <c r="Y9535" s="6">
        <v>11.62</v>
      </c>
      <c r="Z9535" s="6">
        <v>11.66</v>
      </c>
      <c r="AA9535" s="6">
        <v>9.75</v>
      </c>
      <c r="AB9535" s="7">
        <v>16.725999999999999</v>
      </c>
      <c r="AC9535" s="2"/>
    </row>
    <row r="9536" spans="1:29" ht="78" x14ac:dyDescent="0.15">
      <c r="A9536" s="3">
        <f>DATE(2010,2,18)</f>
        <v>40227</v>
      </c>
      <c r="B9536" s="3">
        <f>DATE(2010,4,16)</f>
        <v>40284</v>
      </c>
      <c r="C9536" s="2" t="s">
        <v>95</v>
      </c>
      <c r="D9536" s="2" t="s">
        <v>28069</v>
      </c>
      <c r="E9536" s="2" t="s">
        <v>28070</v>
      </c>
      <c r="F9536" s="4">
        <v>3669</v>
      </c>
      <c r="G9536" s="2" t="s">
        <v>921</v>
      </c>
      <c r="H9536" s="2" t="s">
        <v>34</v>
      </c>
      <c r="I9536" s="2" t="s">
        <v>27129</v>
      </c>
      <c r="J9536" s="2" t="s">
        <v>27128</v>
      </c>
      <c r="K9536" s="2" t="s">
        <v>137</v>
      </c>
      <c r="L9536" s="2" t="s">
        <v>34</v>
      </c>
      <c r="M9536" s="2"/>
      <c r="N9536" s="2"/>
      <c r="O9536" s="2"/>
      <c r="P9536" s="2" t="s">
        <v>28071</v>
      </c>
      <c r="Q9536" s="6">
        <v>100</v>
      </c>
      <c r="R9536" s="6">
        <v>5.86</v>
      </c>
      <c r="S9536" s="5">
        <v>-1.7</v>
      </c>
      <c r="T9536" s="7">
        <v>-0.23300000000000001</v>
      </c>
      <c r="U9536" s="5">
        <v>6.2</v>
      </c>
      <c r="V9536" s="6">
        <v>-0.59</v>
      </c>
      <c r="W9536" s="5">
        <v>3.5</v>
      </c>
      <c r="X9536" s="6">
        <v>3.88</v>
      </c>
      <c r="Y9536" s="6">
        <v>3.99</v>
      </c>
      <c r="Z9536" s="6">
        <v>5.74</v>
      </c>
      <c r="AA9536" s="6">
        <v>2.85</v>
      </c>
      <c r="AB9536" s="2" t="s">
        <v>86</v>
      </c>
      <c r="AC9536" s="2"/>
    </row>
    <row r="9537" spans="1:29" ht="91" x14ac:dyDescent="0.15">
      <c r="A9537" s="3">
        <f>DATE(2010,2,18)</f>
        <v>40227</v>
      </c>
      <c r="B9537" s="3">
        <f>DATE(2010,5,21)</f>
        <v>40319</v>
      </c>
      <c r="C9537" s="2" t="s">
        <v>95</v>
      </c>
      <c r="D9537" s="2" t="s">
        <v>28072</v>
      </c>
      <c r="E9537" s="2" t="s">
        <v>5499</v>
      </c>
      <c r="F9537" s="4">
        <v>6321</v>
      </c>
      <c r="G9537" s="2" t="s">
        <v>125</v>
      </c>
      <c r="H9537" s="2" t="s">
        <v>34</v>
      </c>
      <c r="I9537" s="2" t="s">
        <v>13362</v>
      </c>
      <c r="J9537" s="2" t="s">
        <v>13363</v>
      </c>
      <c r="K9537" s="2" t="s">
        <v>125</v>
      </c>
      <c r="L9537" s="2" t="s">
        <v>902</v>
      </c>
      <c r="M9537" s="12">
        <v>6828.9889999999996</v>
      </c>
      <c r="N9537" s="7">
        <v>357.74599999999998</v>
      </c>
      <c r="O9537" s="7">
        <v>357.86399999999998</v>
      </c>
      <c r="P9537" s="2" t="s">
        <v>28073</v>
      </c>
      <c r="Q9537" s="6">
        <v>91.65</v>
      </c>
      <c r="R9537" s="6">
        <v>38</v>
      </c>
      <c r="S9537" s="5">
        <v>34.4</v>
      </c>
      <c r="T9537" s="6">
        <v>84.47</v>
      </c>
      <c r="U9537" s="5">
        <v>27.3</v>
      </c>
      <c r="V9537" s="6">
        <v>0.91</v>
      </c>
      <c r="W9537" s="6">
        <v>28.05</v>
      </c>
      <c r="X9537" s="6">
        <v>28.91</v>
      </c>
      <c r="Y9537" s="6">
        <v>37.869999999999997</v>
      </c>
      <c r="Z9537" s="6">
        <v>38.049999999999997</v>
      </c>
      <c r="AA9537" s="6">
        <v>37.880000000000003</v>
      </c>
      <c r="AB9537" s="7">
        <v>19.225000000000001</v>
      </c>
      <c r="AC9537" s="6">
        <v>139.94</v>
      </c>
    </row>
    <row r="9538" spans="1:29" ht="169" x14ac:dyDescent="0.15">
      <c r="A9538" s="3">
        <f>DATE(2010,2,21)</f>
        <v>40230</v>
      </c>
      <c r="B9538" s="3">
        <f>DATE(2010,8,27)</f>
        <v>40417</v>
      </c>
      <c r="C9538" s="2" t="s">
        <v>95</v>
      </c>
      <c r="D9538" s="2" t="s">
        <v>26765</v>
      </c>
      <c r="E9538" s="2" t="s">
        <v>26766</v>
      </c>
      <c r="F9538" s="4">
        <v>3533</v>
      </c>
      <c r="G9538" s="2" t="s">
        <v>300</v>
      </c>
      <c r="H9538" s="2" t="s">
        <v>34</v>
      </c>
      <c r="I9538" s="2" t="s">
        <v>17848</v>
      </c>
      <c r="J9538" s="2" t="s">
        <v>24590</v>
      </c>
      <c r="K9538" s="2" t="s">
        <v>148</v>
      </c>
      <c r="L9538" s="2" t="s">
        <v>34</v>
      </c>
      <c r="M9538" s="12">
        <v>78065.471999999994</v>
      </c>
      <c r="N9538" s="6">
        <v>61.57</v>
      </c>
      <c r="O9538" s="6">
        <v>61.57</v>
      </c>
      <c r="P9538" s="2" t="s">
        <v>28074</v>
      </c>
      <c r="Q9538" s="6">
        <v>100</v>
      </c>
      <c r="R9538" s="6">
        <v>44.51</v>
      </c>
      <c r="S9538" s="5">
        <v>148.5</v>
      </c>
      <c r="T9538" s="12">
        <v>1031.778</v>
      </c>
      <c r="U9538" s="5">
        <v>21.9</v>
      </c>
      <c r="V9538" s="6">
        <v>0.66</v>
      </c>
      <c r="W9538" s="6">
        <v>31.97</v>
      </c>
      <c r="X9538" s="6">
        <v>33.35</v>
      </c>
      <c r="Y9538" s="5">
        <v>37.700000000000003</v>
      </c>
      <c r="Z9538" s="6">
        <v>41.03</v>
      </c>
      <c r="AA9538" s="6">
        <v>248.56</v>
      </c>
      <c r="AB9538" s="7">
        <v>18.382999999999999</v>
      </c>
      <c r="AC9538" s="8">
        <v>4642</v>
      </c>
    </row>
    <row r="9539" spans="1:29" ht="104" x14ac:dyDescent="0.15">
      <c r="A9539" s="3">
        <f>DATE(2010,2,22)</f>
        <v>40231</v>
      </c>
      <c r="B9539" s="3">
        <f>DATE(2010,4,29)</f>
        <v>40297</v>
      </c>
      <c r="C9539" s="2" t="s">
        <v>95</v>
      </c>
      <c r="D9539" s="2" t="s">
        <v>27980</v>
      </c>
      <c r="E9539" s="2" t="s">
        <v>4572</v>
      </c>
      <c r="F9539" s="4">
        <v>7376</v>
      </c>
      <c r="G9539" s="2" t="s">
        <v>223</v>
      </c>
      <c r="H9539" s="2" t="s">
        <v>34</v>
      </c>
      <c r="I9539" s="2" t="s">
        <v>27557</v>
      </c>
      <c r="J9539" s="2" t="s">
        <v>10654</v>
      </c>
      <c r="K9539" s="2" t="s">
        <v>223</v>
      </c>
      <c r="L9539" s="2" t="s">
        <v>34</v>
      </c>
      <c r="M9539" s="7">
        <v>179.22399999999999</v>
      </c>
      <c r="N9539" s="6">
        <v>2.46</v>
      </c>
      <c r="O9539" s="6">
        <v>2.35</v>
      </c>
      <c r="P9539" s="2" t="s">
        <v>28075</v>
      </c>
      <c r="Q9539" s="6">
        <v>100</v>
      </c>
      <c r="R9539" s="6">
        <v>6.05</v>
      </c>
      <c r="S9539" s="2"/>
      <c r="T9539" s="2"/>
      <c r="U9539" s="2"/>
      <c r="V9539" s="2"/>
      <c r="W9539" s="5">
        <v>4.3</v>
      </c>
      <c r="X9539" s="6">
        <v>4.42</v>
      </c>
      <c r="Y9539" s="6">
        <v>5.47</v>
      </c>
      <c r="Z9539" s="6">
        <v>5.43</v>
      </c>
      <c r="AA9539" s="6">
        <v>44.22</v>
      </c>
      <c r="AB9539" s="2" t="s">
        <v>47</v>
      </c>
      <c r="AC9539" s="6">
        <v>19.62</v>
      </c>
    </row>
    <row r="9540" spans="1:29" ht="78" x14ac:dyDescent="0.15">
      <c r="A9540" s="3">
        <f>DATE(2010,2,23)</f>
        <v>40232</v>
      </c>
      <c r="B9540" s="3">
        <f>DATE(2010,11,24)</f>
        <v>40506</v>
      </c>
      <c r="C9540" s="2" t="s">
        <v>95</v>
      </c>
      <c r="D9540" s="2" t="s">
        <v>12213</v>
      </c>
      <c r="E9540" s="2" t="s">
        <v>12214</v>
      </c>
      <c r="F9540" s="4">
        <v>7389</v>
      </c>
      <c r="G9540" s="2" t="s">
        <v>223</v>
      </c>
      <c r="H9540" s="2" t="s">
        <v>34</v>
      </c>
      <c r="I9540" s="2" t="s">
        <v>24395</v>
      </c>
      <c r="J9540" s="2" t="s">
        <v>8370</v>
      </c>
      <c r="K9540" s="2" t="s">
        <v>186</v>
      </c>
      <c r="L9540" s="2" t="s">
        <v>34</v>
      </c>
      <c r="M9540" s="12">
        <v>4089.576</v>
      </c>
      <c r="N9540" s="6">
        <v>20.51</v>
      </c>
      <c r="O9540" s="6">
        <v>20.78</v>
      </c>
      <c r="P9540" s="2" t="s">
        <v>28076</v>
      </c>
      <c r="Q9540" s="6">
        <v>100</v>
      </c>
      <c r="R9540" s="6">
        <v>11.5</v>
      </c>
      <c r="S9540" s="5">
        <v>-16.600000000000001</v>
      </c>
      <c r="T9540" s="7">
        <v>46.052</v>
      </c>
      <c r="U9540" s="5">
        <v>6.3</v>
      </c>
      <c r="V9540" s="6">
        <v>-0.52</v>
      </c>
      <c r="W9540" s="6">
        <v>6.81</v>
      </c>
      <c r="X9540" s="6">
        <v>6.95</v>
      </c>
      <c r="Y9540" s="6">
        <v>6.97</v>
      </c>
      <c r="Z9540" s="6">
        <v>11.15</v>
      </c>
      <c r="AA9540" s="6">
        <v>41.12</v>
      </c>
      <c r="AB9540" s="7">
        <v>34.511000000000003</v>
      </c>
      <c r="AC9540" s="5">
        <v>500.5</v>
      </c>
    </row>
    <row r="9541" spans="1:29" ht="130" x14ac:dyDescent="0.15">
      <c r="A9541" s="3">
        <f>DATE(2010,2,23)</f>
        <v>40232</v>
      </c>
      <c r="B9541" s="2"/>
      <c r="C9541" s="2" t="s">
        <v>30</v>
      </c>
      <c r="D9541" s="2" t="s">
        <v>28077</v>
      </c>
      <c r="E9541" s="2" t="s">
        <v>36</v>
      </c>
      <c r="F9541" s="4">
        <v>6021</v>
      </c>
      <c r="G9541" s="2" t="s">
        <v>37</v>
      </c>
      <c r="H9541" s="2" t="s">
        <v>34</v>
      </c>
      <c r="I9541" s="2" t="s">
        <v>28078</v>
      </c>
      <c r="J9541" s="2" t="s">
        <v>36</v>
      </c>
      <c r="K9541" s="2" t="s">
        <v>33</v>
      </c>
      <c r="L9541" s="2" t="s">
        <v>34</v>
      </c>
      <c r="M9541" s="7">
        <v>41.997</v>
      </c>
      <c r="N9541" s="6">
        <v>6.55</v>
      </c>
      <c r="O9541" s="6">
        <v>6.46</v>
      </c>
      <c r="P9541" s="2" t="s">
        <v>28079</v>
      </c>
      <c r="Q9541" s="2"/>
      <c r="R9541" s="6">
        <v>6.75</v>
      </c>
      <c r="S9541" s="5">
        <v>-2.9</v>
      </c>
      <c r="T9541" s="7">
        <v>2.2050000000000001</v>
      </c>
      <c r="U9541" s="5">
        <v>5.8</v>
      </c>
      <c r="V9541" s="9">
        <v>-1.0810999999999999</v>
      </c>
      <c r="W9541" s="6">
        <v>3.29</v>
      </c>
      <c r="X9541" s="7">
        <v>3.335</v>
      </c>
      <c r="Y9541" s="6">
        <v>6.35</v>
      </c>
      <c r="Z9541" s="5">
        <v>6.3</v>
      </c>
      <c r="AA9541" s="6">
        <v>2.7</v>
      </c>
      <c r="AB9541" s="7">
        <v>10.116</v>
      </c>
      <c r="AC9541" s="2"/>
    </row>
    <row r="9542" spans="1:29" ht="195" x14ac:dyDescent="0.15">
      <c r="A9542" s="3">
        <f>DATE(2010,2,26)</f>
        <v>40235</v>
      </c>
      <c r="B9542" s="2"/>
      <c r="C9542" s="2" t="s">
        <v>30</v>
      </c>
      <c r="D9542" s="2" t="s">
        <v>7222</v>
      </c>
      <c r="E9542" s="2" t="s">
        <v>7082</v>
      </c>
      <c r="F9542" s="4">
        <v>5812</v>
      </c>
      <c r="G9542" s="2" t="s">
        <v>230</v>
      </c>
      <c r="H9542" s="2" t="s">
        <v>34</v>
      </c>
      <c r="I9542" s="2" t="s">
        <v>23079</v>
      </c>
      <c r="J9542" s="2" t="s">
        <v>244</v>
      </c>
      <c r="K9542" s="2" t="s">
        <v>53</v>
      </c>
      <c r="L9542" s="2" t="s">
        <v>34</v>
      </c>
      <c r="M9542" s="2"/>
      <c r="N9542" s="2"/>
      <c r="O9542" s="2"/>
      <c r="P9542" s="2" t="s">
        <v>28080</v>
      </c>
      <c r="Q9542" s="2"/>
      <c r="R9542" s="6">
        <v>11.05</v>
      </c>
      <c r="S9542" s="2"/>
      <c r="T9542" s="2"/>
      <c r="U9542" s="5">
        <v>4.3</v>
      </c>
      <c r="V9542" s="2"/>
      <c r="W9542" s="5">
        <v>8.9</v>
      </c>
      <c r="X9542" s="6">
        <v>8.91</v>
      </c>
      <c r="Y9542" s="6">
        <v>11.37</v>
      </c>
      <c r="Z9542" s="6">
        <v>11.17</v>
      </c>
      <c r="AA9542" s="6">
        <v>55.19</v>
      </c>
      <c r="AB9542" s="2" t="s">
        <v>47</v>
      </c>
      <c r="AC9542" s="2"/>
    </row>
    <row r="9543" spans="1:29" ht="52" x14ac:dyDescent="0.15">
      <c r="A9543" s="3">
        <f>DATE(2010,2,26)</f>
        <v>40235</v>
      </c>
      <c r="B9543" s="2"/>
      <c r="C9543" s="2" t="s">
        <v>7330</v>
      </c>
      <c r="D9543" s="2" t="s">
        <v>28081</v>
      </c>
      <c r="E9543" s="2" t="s">
        <v>28082</v>
      </c>
      <c r="F9543" s="4">
        <v>4899</v>
      </c>
      <c r="G9543" s="2" t="s">
        <v>63</v>
      </c>
      <c r="H9543" s="2" t="s">
        <v>34</v>
      </c>
      <c r="I9543" s="2" t="s">
        <v>28083</v>
      </c>
      <c r="J9543" s="2" t="s">
        <v>7568</v>
      </c>
      <c r="K9543" s="2" t="s">
        <v>63</v>
      </c>
      <c r="L9543" s="2" t="s">
        <v>34</v>
      </c>
      <c r="M9543" s="2"/>
      <c r="N9543" s="2"/>
      <c r="O9543" s="2"/>
      <c r="P9543" s="2" t="s">
        <v>28084</v>
      </c>
      <c r="Q9543" s="2"/>
      <c r="R9543" s="2"/>
      <c r="S9543" s="5">
        <v>1.1000000000000001</v>
      </c>
      <c r="T9543" s="7">
        <v>4.4039999999999999</v>
      </c>
      <c r="U9543" s="8">
        <v>1349.2</v>
      </c>
      <c r="V9543" s="9">
        <v>24.639500000000002</v>
      </c>
      <c r="W9543" s="6">
        <v>3.39</v>
      </c>
      <c r="X9543" s="6">
        <v>3.38</v>
      </c>
      <c r="Y9543" s="5">
        <v>3.4</v>
      </c>
      <c r="Z9543" s="6">
        <v>3.43</v>
      </c>
      <c r="AA9543" s="6">
        <v>6.94</v>
      </c>
      <c r="AB9543" s="2" t="s">
        <v>47</v>
      </c>
      <c r="AC9543" s="6">
        <v>11.41</v>
      </c>
    </row>
    <row r="9544" spans="1:29" ht="130" x14ac:dyDescent="0.15">
      <c r="A9544" s="3">
        <f>DATE(2010,2,28)</f>
        <v>40237</v>
      </c>
      <c r="B9544" s="3">
        <f>DATE(2010,7,15)</f>
        <v>40374</v>
      </c>
      <c r="C9544" s="2" t="s">
        <v>95</v>
      </c>
      <c r="D9544" s="2" t="s">
        <v>9030</v>
      </c>
      <c r="E9544" s="2" t="s">
        <v>9031</v>
      </c>
      <c r="F9544" s="4">
        <v>3826</v>
      </c>
      <c r="G9544" s="2" t="s">
        <v>226</v>
      </c>
      <c r="H9544" s="2" t="s">
        <v>34</v>
      </c>
      <c r="I9544" s="2" t="s">
        <v>14600</v>
      </c>
      <c r="J9544" s="2" t="s">
        <v>14601</v>
      </c>
      <c r="K9544" s="2" t="s">
        <v>130</v>
      </c>
      <c r="L9544" s="2" t="s">
        <v>1049</v>
      </c>
      <c r="M9544" s="12">
        <v>5779.4549999999999</v>
      </c>
      <c r="N9544" s="7">
        <v>80.710999999999999</v>
      </c>
      <c r="O9544" s="7">
        <v>80.710999999999999</v>
      </c>
      <c r="P9544" s="2" t="s">
        <v>28085</v>
      </c>
      <c r="Q9544" s="6">
        <v>100</v>
      </c>
      <c r="R9544" s="6">
        <v>107</v>
      </c>
      <c r="S9544" s="5">
        <v>177</v>
      </c>
      <c r="T9544" s="6">
        <v>398.39</v>
      </c>
      <c r="U9544" s="5">
        <v>27</v>
      </c>
      <c r="V9544" s="6">
        <v>3.15</v>
      </c>
      <c r="W9544" s="6">
        <v>69.06</v>
      </c>
      <c r="X9544" s="6">
        <v>71.34</v>
      </c>
      <c r="Y9544" s="6">
        <v>87.35</v>
      </c>
      <c r="Z9544" s="6">
        <v>88.87</v>
      </c>
      <c r="AA9544" s="6">
        <v>58.67</v>
      </c>
      <c r="AB9544" s="7">
        <v>25.109000000000002</v>
      </c>
      <c r="AC9544" s="10">
        <v>2929.65</v>
      </c>
    </row>
    <row r="9545" spans="1:29" ht="195" x14ac:dyDescent="0.15">
      <c r="A9545" s="3">
        <f>DATE(2010,3,1)</f>
        <v>40238</v>
      </c>
      <c r="B9545" s="3">
        <f>DATE(2010,6,29)</f>
        <v>40358</v>
      </c>
      <c r="C9545" s="2" t="s">
        <v>95</v>
      </c>
      <c r="D9545" s="2" t="s">
        <v>23249</v>
      </c>
      <c r="E9545" s="2" t="s">
        <v>3892</v>
      </c>
      <c r="F9545" s="4">
        <v>4841</v>
      </c>
      <c r="G9545" s="2" t="s">
        <v>45</v>
      </c>
      <c r="H9545" s="2" t="s">
        <v>34</v>
      </c>
      <c r="I9545" s="2" t="s">
        <v>1526</v>
      </c>
      <c r="J9545" s="2" t="s">
        <v>302</v>
      </c>
      <c r="K9545" s="2" t="s">
        <v>53</v>
      </c>
      <c r="L9545" s="2" t="s">
        <v>34</v>
      </c>
      <c r="M9545" s="2"/>
      <c r="N9545" s="2"/>
      <c r="O9545" s="2"/>
      <c r="P9545" s="2" t="s">
        <v>28086</v>
      </c>
      <c r="Q9545" s="6">
        <v>70.87</v>
      </c>
      <c r="R9545" s="2"/>
      <c r="S9545" s="5">
        <v>-18.3</v>
      </c>
      <c r="T9545" s="7">
        <v>216.79499999999999</v>
      </c>
      <c r="U9545" s="5">
        <v>-6.7</v>
      </c>
      <c r="V9545" s="6">
        <v>-0.19</v>
      </c>
      <c r="W9545" s="6">
        <v>1.62</v>
      </c>
      <c r="X9545" s="6">
        <v>1.66</v>
      </c>
      <c r="Y9545" s="5">
        <v>1.7</v>
      </c>
      <c r="Z9545" s="6">
        <v>1.73</v>
      </c>
      <c r="AA9545" s="6">
        <v>359.68</v>
      </c>
      <c r="AB9545" s="7">
        <v>28.411000000000001</v>
      </c>
      <c r="AC9545" s="2"/>
    </row>
    <row r="9546" spans="1:29" ht="169" x14ac:dyDescent="0.15">
      <c r="A9546" s="3">
        <f>DATE(2010,3,1)</f>
        <v>40238</v>
      </c>
      <c r="B9546" s="3">
        <f>DATE(2010,6,8)</f>
        <v>40337</v>
      </c>
      <c r="C9546" s="2" t="s">
        <v>95</v>
      </c>
      <c r="D9546" s="2" t="s">
        <v>23257</v>
      </c>
      <c r="E9546" s="2" t="s">
        <v>23258</v>
      </c>
      <c r="F9546" s="4">
        <v>2834</v>
      </c>
      <c r="G9546" s="2" t="s">
        <v>130</v>
      </c>
      <c r="H9546" s="2" t="s">
        <v>34</v>
      </c>
      <c r="I9546" s="2" t="s">
        <v>28087</v>
      </c>
      <c r="J9546" s="2" t="s">
        <v>7462</v>
      </c>
      <c r="K9546" s="2" t="s">
        <v>130</v>
      </c>
      <c r="L9546" s="2" t="s">
        <v>34</v>
      </c>
      <c r="M9546" s="2"/>
      <c r="N9546" s="2"/>
      <c r="O9546" s="2"/>
      <c r="P9546" s="2" t="s">
        <v>28088</v>
      </c>
      <c r="Q9546" s="6">
        <v>100</v>
      </c>
      <c r="R9546" s="6">
        <v>57.5</v>
      </c>
      <c r="S9546" s="5">
        <v>64.400000000000006</v>
      </c>
      <c r="T9546" s="7">
        <v>166.92500000000001</v>
      </c>
      <c r="U9546" s="2"/>
      <c r="V9546" s="6">
        <v>1.0900000000000001</v>
      </c>
      <c r="W9546" s="6">
        <v>37.049999999999997</v>
      </c>
      <c r="X9546" s="6">
        <v>37.020000000000003</v>
      </c>
      <c r="Y9546" s="6">
        <v>56.25</v>
      </c>
      <c r="Z9546" s="4">
        <v>57</v>
      </c>
      <c r="AA9546" s="6">
        <v>61.21</v>
      </c>
      <c r="AB9546" s="7">
        <v>27.417999999999999</v>
      </c>
      <c r="AC9546" s="2"/>
    </row>
    <row r="9547" spans="1:29" ht="182" x14ac:dyDescent="0.15">
      <c r="A9547" s="3">
        <f>DATE(2010,3,1)</f>
        <v>40238</v>
      </c>
      <c r="B9547" s="3">
        <f>DATE(2010,6,1)</f>
        <v>40330</v>
      </c>
      <c r="C9547" s="2" t="s">
        <v>95</v>
      </c>
      <c r="D9547" s="2" t="s">
        <v>28089</v>
      </c>
      <c r="E9547" s="2" t="s">
        <v>28090</v>
      </c>
      <c r="F9547" s="4">
        <v>7389</v>
      </c>
      <c r="G9547" s="2" t="s">
        <v>223</v>
      </c>
      <c r="H9547" s="2" t="s">
        <v>34</v>
      </c>
      <c r="I9547" s="2" t="s">
        <v>28091</v>
      </c>
      <c r="J9547" s="2" t="s">
        <v>6237</v>
      </c>
      <c r="K9547" s="2" t="s">
        <v>53</v>
      </c>
      <c r="L9547" s="2" t="s">
        <v>34</v>
      </c>
      <c r="M9547" s="12">
        <v>3140.2240000000002</v>
      </c>
      <c r="N9547" s="6">
        <v>28.59</v>
      </c>
      <c r="O9547" s="6">
        <v>32.61</v>
      </c>
      <c r="P9547" s="2" t="s">
        <v>28092</v>
      </c>
      <c r="Q9547" s="6">
        <v>100</v>
      </c>
      <c r="R9547" s="6">
        <v>21.75</v>
      </c>
      <c r="S9547" s="5">
        <v>31.1</v>
      </c>
      <c r="T9547" s="7">
        <v>101.255</v>
      </c>
      <c r="U9547" s="5">
        <v>4.0999999999999996</v>
      </c>
      <c r="V9547" s="6">
        <v>0.46</v>
      </c>
      <c r="W9547" s="6">
        <v>15.74</v>
      </c>
      <c r="X9547" s="6">
        <v>17.07</v>
      </c>
      <c r="Y9547" s="5">
        <v>16.7</v>
      </c>
      <c r="Z9547" s="5">
        <v>16.7</v>
      </c>
      <c r="AA9547" s="6">
        <v>75.459999999999994</v>
      </c>
      <c r="AB9547" s="7">
        <v>23.050999999999998</v>
      </c>
      <c r="AC9547" s="6">
        <v>442.49</v>
      </c>
    </row>
    <row r="9548" spans="1:29" ht="78" x14ac:dyDescent="0.15">
      <c r="A9548" s="3">
        <f>DATE(2010,3,2)</f>
        <v>40239</v>
      </c>
      <c r="B9548" s="2"/>
      <c r="C9548" s="2" t="s">
        <v>87</v>
      </c>
      <c r="D9548" s="2" t="s">
        <v>3836</v>
      </c>
      <c r="E9548" s="2" t="s">
        <v>417</v>
      </c>
      <c r="F9548" s="4">
        <v>2711</v>
      </c>
      <c r="G9548" s="2" t="s">
        <v>186</v>
      </c>
      <c r="H9548" s="2" t="s">
        <v>34</v>
      </c>
      <c r="I9548" s="2" t="s">
        <v>28093</v>
      </c>
      <c r="J9548" s="2" t="s">
        <v>150</v>
      </c>
      <c r="K9548" s="2" t="s">
        <v>53</v>
      </c>
      <c r="L9548" s="2" t="s">
        <v>4389</v>
      </c>
      <c r="M9548" s="2"/>
      <c r="N9548" s="2"/>
      <c r="O9548" s="2"/>
      <c r="P9548" s="2" t="s">
        <v>28094</v>
      </c>
      <c r="Q9548" s="2"/>
      <c r="R9548" s="2"/>
      <c r="S9548" s="5">
        <v>0.4</v>
      </c>
      <c r="T9548" s="7">
        <v>320.31400000000002</v>
      </c>
      <c r="U9548" s="5">
        <v>4.2</v>
      </c>
      <c r="V9548" s="6">
        <v>0.01</v>
      </c>
      <c r="W9548" s="6">
        <v>10.75</v>
      </c>
      <c r="X9548" s="6">
        <v>11.75</v>
      </c>
      <c r="Y9548" s="6">
        <v>11.58</v>
      </c>
      <c r="Z9548" s="6">
        <v>11.46</v>
      </c>
      <c r="AA9548" s="6">
        <v>145.43</v>
      </c>
      <c r="AB9548" s="2" t="s">
        <v>47</v>
      </c>
      <c r="AC9548" s="2"/>
    </row>
    <row r="9549" spans="1:29" ht="130" x14ac:dyDescent="0.15">
      <c r="A9549" s="3">
        <f>DATE(2010,3,2)</f>
        <v>40239</v>
      </c>
      <c r="B9549" s="2"/>
      <c r="C9549" s="2" t="s">
        <v>30</v>
      </c>
      <c r="D9549" s="2" t="s">
        <v>549</v>
      </c>
      <c r="E9549" s="2" t="s">
        <v>550</v>
      </c>
      <c r="F9549" s="4">
        <v>7372</v>
      </c>
      <c r="G9549" s="2" t="s">
        <v>551</v>
      </c>
      <c r="H9549" s="2" t="s">
        <v>34</v>
      </c>
      <c r="I9549" s="2" t="s">
        <v>26527</v>
      </c>
      <c r="J9549" s="2" t="s">
        <v>22486</v>
      </c>
      <c r="K9549" s="2" t="s">
        <v>53</v>
      </c>
      <c r="L9549" s="2" t="s">
        <v>34</v>
      </c>
      <c r="M9549" s="2"/>
      <c r="N9549" s="2"/>
      <c r="O9549" s="2"/>
      <c r="P9549" s="2" t="s">
        <v>28095</v>
      </c>
      <c r="Q9549" s="2"/>
      <c r="R9549" s="6">
        <v>5.75</v>
      </c>
      <c r="S9549" s="5">
        <v>-205.1</v>
      </c>
      <c r="T9549" s="7">
        <v>135.429</v>
      </c>
      <c r="U9549" s="5">
        <v>2.7</v>
      </c>
      <c r="V9549" s="6">
        <v>-0.59</v>
      </c>
      <c r="W9549" s="6">
        <v>4.84</v>
      </c>
      <c r="X9549" s="5">
        <v>4.8</v>
      </c>
      <c r="Y9549" s="6">
        <v>4.75</v>
      </c>
      <c r="Z9549" s="6">
        <v>6.08</v>
      </c>
      <c r="AA9549" s="6">
        <v>365.7</v>
      </c>
      <c r="AB9549" s="7">
        <v>10.326000000000001</v>
      </c>
      <c r="AC9549" s="2"/>
    </row>
    <row r="9550" spans="1:29" ht="65" x14ac:dyDescent="0.15">
      <c r="A9550" s="3">
        <f>DATE(2010,3,2)</f>
        <v>40239</v>
      </c>
      <c r="B9550" s="2"/>
      <c r="C9550" s="2" t="s">
        <v>30</v>
      </c>
      <c r="D9550" s="2" t="s">
        <v>28096</v>
      </c>
      <c r="E9550" s="2" t="s">
        <v>28097</v>
      </c>
      <c r="F9550" s="4">
        <v>7389</v>
      </c>
      <c r="G9550" s="2" t="s">
        <v>223</v>
      </c>
      <c r="H9550" s="2" t="s">
        <v>34</v>
      </c>
      <c r="I9550" s="2" t="s">
        <v>28098</v>
      </c>
      <c r="J9550" s="2" t="s">
        <v>1620</v>
      </c>
      <c r="K9550" s="2" t="s">
        <v>53</v>
      </c>
      <c r="L9550" s="2" t="s">
        <v>34</v>
      </c>
      <c r="M9550" s="2"/>
      <c r="N9550" s="2"/>
      <c r="O9550" s="2"/>
      <c r="P9550" s="2" t="s">
        <v>28099</v>
      </c>
      <c r="Q9550" s="2"/>
      <c r="R9550" s="6">
        <v>3.1</v>
      </c>
      <c r="S9550" s="5">
        <v>-6.4</v>
      </c>
      <c r="T9550" s="7">
        <v>9.5109999999999992</v>
      </c>
      <c r="U9550" s="5">
        <v>0.9</v>
      </c>
      <c r="V9550" s="6">
        <v>-0.31</v>
      </c>
      <c r="W9550" s="5">
        <v>4.7</v>
      </c>
      <c r="X9550" s="5">
        <v>4.9000000000000004</v>
      </c>
      <c r="Y9550" s="5">
        <v>5.4</v>
      </c>
      <c r="Z9550" s="6">
        <v>5.49</v>
      </c>
      <c r="AA9550" s="6">
        <v>23.69</v>
      </c>
      <c r="AB9550" s="7">
        <v>7.1829999999999998</v>
      </c>
      <c r="AC9550" s="2"/>
    </row>
    <row r="9551" spans="1:29" ht="78" x14ac:dyDescent="0.15">
      <c r="A9551" s="3">
        <f>DATE(2010,3,3)</f>
        <v>40240</v>
      </c>
      <c r="B9551" s="2"/>
      <c r="C9551" s="2" t="s">
        <v>87</v>
      </c>
      <c r="D9551" s="2" t="s">
        <v>28100</v>
      </c>
      <c r="E9551" s="2" t="s">
        <v>28101</v>
      </c>
      <c r="F9551" s="4">
        <v>5731</v>
      </c>
      <c r="G9551" s="2" t="s">
        <v>1227</v>
      </c>
      <c r="H9551" s="2" t="s">
        <v>34</v>
      </c>
      <c r="I9551" s="2" t="s">
        <v>143</v>
      </c>
      <c r="J9551" s="2" t="s">
        <v>144</v>
      </c>
      <c r="K9551" s="2" t="s">
        <v>53</v>
      </c>
      <c r="L9551" s="2" t="s">
        <v>34</v>
      </c>
      <c r="M9551" s="2"/>
      <c r="N9551" s="2"/>
      <c r="O9551" s="2"/>
      <c r="P9551" s="2" t="s">
        <v>28102</v>
      </c>
      <c r="Q9551" s="2"/>
      <c r="R9551" s="2"/>
      <c r="S9551" s="5">
        <v>205</v>
      </c>
      <c r="T9551" s="5">
        <v>463.8</v>
      </c>
      <c r="U9551" s="5">
        <v>8.4</v>
      </c>
      <c r="V9551" s="6">
        <v>1.63</v>
      </c>
      <c r="W9551" s="6">
        <v>19.32</v>
      </c>
      <c r="X9551" s="6">
        <v>19.87</v>
      </c>
      <c r="Y9551" s="6">
        <v>21.03</v>
      </c>
      <c r="Z9551" s="6">
        <v>21.04</v>
      </c>
      <c r="AA9551" s="6">
        <v>125.24</v>
      </c>
      <c r="AB9551" s="2" t="s">
        <v>47</v>
      </c>
      <c r="AC9551" s="2"/>
    </row>
    <row r="9552" spans="1:29" ht="78" x14ac:dyDescent="0.15">
      <c r="A9552" s="3">
        <f>DATE(2010,3,3)</f>
        <v>40240</v>
      </c>
      <c r="B9552" s="3">
        <f>DATE(2010,9,13)</f>
        <v>40434</v>
      </c>
      <c r="C9552" s="2" t="s">
        <v>95</v>
      </c>
      <c r="D9552" s="2" t="s">
        <v>28103</v>
      </c>
      <c r="E9552" s="2" t="s">
        <v>28104</v>
      </c>
      <c r="F9552" s="4">
        <v>4941</v>
      </c>
      <c r="G9552" s="2" t="s">
        <v>439</v>
      </c>
      <c r="H9552" s="2" t="s">
        <v>34</v>
      </c>
      <c r="I9552" s="2" t="s">
        <v>28105</v>
      </c>
      <c r="J9552" s="2" t="s">
        <v>28106</v>
      </c>
      <c r="K9552" s="2" t="s">
        <v>53</v>
      </c>
      <c r="L9552" s="2" t="s">
        <v>34</v>
      </c>
      <c r="M9552" s="2"/>
      <c r="N9552" s="2"/>
      <c r="O9552" s="2"/>
      <c r="P9552" s="2" t="s">
        <v>28107</v>
      </c>
      <c r="Q9552" s="6">
        <v>100</v>
      </c>
      <c r="R9552" s="6">
        <v>11</v>
      </c>
      <c r="S9552" s="5">
        <v>-12.7</v>
      </c>
      <c r="T9552" s="7">
        <v>11.135999999999999</v>
      </c>
      <c r="U9552" s="5">
        <v>4.5999999999999996</v>
      </c>
      <c r="V9552" s="6">
        <v>-0.56999999999999995</v>
      </c>
      <c r="W9552" s="5">
        <v>6.8</v>
      </c>
      <c r="X9552" s="6">
        <v>7.07</v>
      </c>
      <c r="Y9552" s="6">
        <v>10.38</v>
      </c>
      <c r="Z9552" s="6">
        <v>10.33</v>
      </c>
      <c r="AA9552" s="6">
        <v>25.45</v>
      </c>
      <c r="AB9552" s="2" t="s">
        <v>86</v>
      </c>
      <c r="AC9552" s="2"/>
    </row>
    <row r="9553" spans="1:29" ht="182" x14ac:dyDescent="0.15">
      <c r="A9553" s="3">
        <f>DATE(2010,3,5)</f>
        <v>40242</v>
      </c>
      <c r="B9553" s="3">
        <f>DATE(2010,11,29)</f>
        <v>40511</v>
      </c>
      <c r="C9553" s="2" t="s">
        <v>95</v>
      </c>
      <c r="D9553" s="2" t="s">
        <v>28108</v>
      </c>
      <c r="E9553" s="2" t="s">
        <v>23408</v>
      </c>
      <c r="F9553" s="4">
        <v>6726</v>
      </c>
      <c r="G9553" s="2" t="s">
        <v>53</v>
      </c>
      <c r="H9553" s="2" t="s">
        <v>34</v>
      </c>
      <c r="I9553" s="2" t="s">
        <v>28109</v>
      </c>
      <c r="J9553" s="2" t="s">
        <v>417</v>
      </c>
      <c r="K9553" s="2" t="s">
        <v>186</v>
      </c>
      <c r="L9553" s="2" t="s">
        <v>8464</v>
      </c>
      <c r="M9553" s="12">
        <v>1016.789</v>
      </c>
      <c r="N9553" s="7">
        <v>4.492</v>
      </c>
      <c r="O9553" s="7">
        <v>4.1790000000000003</v>
      </c>
      <c r="P9553" s="2" t="s">
        <v>28110</v>
      </c>
      <c r="Q9553" s="6">
        <v>100</v>
      </c>
      <c r="R9553" s="6">
        <v>17.16</v>
      </c>
      <c r="S9553" s="5">
        <v>-9.1</v>
      </c>
      <c r="T9553" s="2"/>
      <c r="U9553" s="5">
        <v>5.4</v>
      </c>
      <c r="V9553" s="6">
        <v>-0.08</v>
      </c>
      <c r="W9553" s="6">
        <v>9.82</v>
      </c>
      <c r="X9553" s="6">
        <v>9.7899999999999991</v>
      </c>
      <c r="Y9553" s="6">
        <v>9.92</v>
      </c>
      <c r="Z9553" s="6">
        <v>9.92</v>
      </c>
      <c r="AA9553" s="6">
        <v>129.38</v>
      </c>
      <c r="AB9553" s="2" t="s">
        <v>86</v>
      </c>
      <c r="AC9553" s="6">
        <v>114.97</v>
      </c>
    </row>
    <row r="9554" spans="1:29" ht="39" x14ac:dyDescent="0.15">
      <c r="A9554" s="3">
        <f>DATE(2010,3,5)</f>
        <v>40242</v>
      </c>
      <c r="B9554" s="2"/>
      <c r="C9554" s="2" t="s">
        <v>189</v>
      </c>
      <c r="D9554" s="2" t="s">
        <v>28111</v>
      </c>
      <c r="E9554" s="2" t="s">
        <v>5765</v>
      </c>
      <c r="F9554" s="4">
        <v>8062</v>
      </c>
      <c r="G9554" s="2" t="s">
        <v>454</v>
      </c>
      <c r="H9554" s="2" t="s">
        <v>34</v>
      </c>
      <c r="I9554" s="2" t="s">
        <v>143</v>
      </c>
      <c r="J9554" s="2" t="s">
        <v>144</v>
      </c>
      <c r="K9554" s="2" t="s">
        <v>53</v>
      </c>
      <c r="L9554" s="2" t="s">
        <v>139</v>
      </c>
      <c r="M9554" s="2"/>
      <c r="N9554" s="2"/>
      <c r="O9554" s="2"/>
      <c r="P9554" s="2" t="s">
        <v>28112</v>
      </c>
      <c r="Q9554" s="2"/>
      <c r="R9554" s="2"/>
      <c r="S9554" s="5">
        <v>-51.3</v>
      </c>
      <c r="T9554" s="7">
        <v>40.012999999999998</v>
      </c>
      <c r="U9554" s="5">
        <v>15.4</v>
      </c>
      <c r="V9554" s="6">
        <v>-3.02</v>
      </c>
      <c r="W9554" s="6">
        <v>6.77</v>
      </c>
      <c r="X9554" s="6">
        <v>8.42</v>
      </c>
      <c r="Y9554" s="6">
        <v>8.48</v>
      </c>
      <c r="Z9554" s="6">
        <v>8.89</v>
      </c>
      <c r="AA9554" s="6">
        <v>22.44</v>
      </c>
      <c r="AB9554" s="2" t="s">
        <v>47</v>
      </c>
      <c r="AC9554" s="2"/>
    </row>
    <row r="9555" spans="1:29" ht="65" x14ac:dyDescent="0.15">
      <c r="A9555" s="3">
        <f>DATE(2010,3,5)</f>
        <v>40242</v>
      </c>
      <c r="B9555" s="2"/>
      <c r="C9555" s="2" t="s">
        <v>87</v>
      </c>
      <c r="D9555" s="2" t="s">
        <v>22945</v>
      </c>
      <c r="E9555" s="2" t="s">
        <v>28113</v>
      </c>
      <c r="F9555" s="4">
        <v>7372</v>
      </c>
      <c r="G9555" s="2" t="s">
        <v>551</v>
      </c>
      <c r="H9555" s="2" t="s">
        <v>34</v>
      </c>
      <c r="I9555" s="2" t="s">
        <v>26597</v>
      </c>
      <c r="J9555" s="2" t="s">
        <v>12371</v>
      </c>
      <c r="K9555" s="2" t="s">
        <v>223</v>
      </c>
      <c r="L9555" s="2" t="s">
        <v>34</v>
      </c>
      <c r="M9555" s="12">
        <v>168939.21799999999</v>
      </c>
      <c r="N9555" s="6">
        <v>564.21</v>
      </c>
      <c r="O9555" s="6">
        <v>562.48</v>
      </c>
      <c r="P9555" s="2" t="s">
        <v>28114</v>
      </c>
      <c r="Q9555" s="2"/>
      <c r="R9555" s="2"/>
      <c r="S9555" s="5">
        <v>8.1</v>
      </c>
      <c r="T9555" s="7">
        <v>231.17099999999999</v>
      </c>
      <c r="U9555" s="5">
        <v>7.5</v>
      </c>
      <c r="V9555" s="6">
        <v>0.03</v>
      </c>
      <c r="W9555" s="6">
        <v>14.39</v>
      </c>
      <c r="X9555" s="6">
        <v>14.87</v>
      </c>
      <c r="Y9555" s="6">
        <v>15.87</v>
      </c>
      <c r="Z9555" s="6">
        <v>16.13</v>
      </c>
      <c r="AA9555" s="6">
        <v>283.95999999999998</v>
      </c>
      <c r="AB9555" s="2" t="s">
        <v>47</v>
      </c>
      <c r="AC9555" s="10">
        <v>24590.26</v>
      </c>
    </row>
    <row r="9556" spans="1:29" ht="117" x14ac:dyDescent="0.15">
      <c r="A9556" s="3">
        <f>DATE(2010,3,5)</f>
        <v>40242</v>
      </c>
      <c r="B9556" s="3">
        <f>DATE(2010,8,26)</f>
        <v>40416</v>
      </c>
      <c r="C9556" s="2" t="s">
        <v>95</v>
      </c>
      <c r="D9556" s="2" t="s">
        <v>11596</v>
      </c>
      <c r="E9556" s="2" t="s">
        <v>3892</v>
      </c>
      <c r="F9556" s="4">
        <v>4841</v>
      </c>
      <c r="G9556" s="2" t="s">
        <v>45</v>
      </c>
      <c r="H9556" s="2" t="s">
        <v>34</v>
      </c>
      <c r="I9556" s="2" t="s">
        <v>28115</v>
      </c>
      <c r="J9556" s="2" t="s">
        <v>244</v>
      </c>
      <c r="K9556" s="2" t="s">
        <v>53</v>
      </c>
      <c r="L9556" s="2" t="s">
        <v>34</v>
      </c>
      <c r="M9556" s="2"/>
      <c r="N9556" s="2"/>
      <c r="O9556" s="2"/>
      <c r="P9556" s="2" t="s">
        <v>28116</v>
      </c>
      <c r="Q9556" s="6">
        <v>100</v>
      </c>
      <c r="R9556" s="6">
        <v>15</v>
      </c>
      <c r="S9556" s="5">
        <v>-28.6</v>
      </c>
      <c r="T9556" s="7">
        <v>208.614</v>
      </c>
      <c r="U9556" s="5">
        <v>0.2</v>
      </c>
      <c r="V9556" s="6">
        <v>-0.8</v>
      </c>
      <c r="W9556" s="6">
        <v>10.98</v>
      </c>
      <c r="X9556" s="6">
        <v>12.26</v>
      </c>
      <c r="Y9556" s="6">
        <v>15.15</v>
      </c>
      <c r="Z9556" s="6">
        <v>15.13</v>
      </c>
      <c r="AA9556" s="6">
        <v>38.21</v>
      </c>
      <c r="AB9556" s="7">
        <v>77.545000000000002</v>
      </c>
      <c r="AC9556" s="2"/>
    </row>
    <row r="9557" spans="1:29" ht="182" x14ac:dyDescent="0.15">
      <c r="A9557" s="3">
        <f>DATE(2010,3,8)</f>
        <v>40245</v>
      </c>
      <c r="B9557" s="3">
        <f>DATE(2010,11,9)</f>
        <v>40491</v>
      </c>
      <c r="C9557" s="2" t="s">
        <v>95</v>
      </c>
      <c r="D9557" s="2" t="s">
        <v>19786</v>
      </c>
      <c r="E9557" s="2" t="s">
        <v>92</v>
      </c>
      <c r="F9557" s="4">
        <v>6798</v>
      </c>
      <c r="G9557" s="2" t="s">
        <v>53</v>
      </c>
      <c r="H9557" s="2" t="s">
        <v>34</v>
      </c>
      <c r="I9557" s="2" t="s">
        <v>51</v>
      </c>
      <c r="J9557" s="2" t="s">
        <v>52</v>
      </c>
      <c r="K9557" s="2" t="s">
        <v>53</v>
      </c>
      <c r="L9557" s="2" t="s">
        <v>34</v>
      </c>
      <c r="M9557" s="2"/>
      <c r="N9557" s="2"/>
      <c r="O9557" s="2"/>
      <c r="P9557" s="2" t="s">
        <v>28117</v>
      </c>
      <c r="Q9557" s="6">
        <v>53.84</v>
      </c>
      <c r="R9557" s="6">
        <v>10</v>
      </c>
      <c r="S9557" s="8">
        <v>-1283.7</v>
      </c>
      <c r="T9557" s="7">
        <v>506.35399999999998</v>
      </c>
      <c r="U9557" s="5">
        <v>2.6</v>
      </c>
      <c r="V9557" s="6">
        <v>-4.1100000000000003</v>
      </c>
      <c r="W9557" s="6">
        <v>13.05</v>
      </c>
      <c r="X9557" s="6">
        <v>14.01</v>
      </c>
      <c r="Y9557" s="5">
        <v>0.6</v>
      </c>
      <c r="Z9557" s="7">
        <v>0.61499999999999999</v>
      </c>
      <c r="AA9557" s="6">
        <v>317.3</v>
      </c>
      <c r="AB9557" s="2" t="s">
        <v>86</v>
      </c>
      <c r="AC9557" s="2"/>
    </row>
    <row r="9558" spans="1:29" ht="78" x14ac:dyDescent="0.15">
      <c r="A9558" s="3">
        <f>DATE(2010,3,8)</f>
        <v>40245</v>
      </c>
      <c r="B9558" s="3">
        <f>DATE(2010,7,1)</f>
        <v>40360</v>
      </c>
      <c r="C9558" s="2" t="s">
        <v>95</v>
      </c>
      <c r="D9558" s="2" t="s">
        <v>28118</v>
      </c>
      <c r="E9558" s="2" t="s">
        <v>21939</v>
      </c>
      <c r="F9558" s="4">
        <v>7331</v>
      </c>
      <c r="G9558" s="2" t="s">
        <v>223</v>
      </c>
      <c r="H9558" s="2" t="s">
        <v>34</v>
      </c>
      <c r="I9558" s="2" t="s">
        <v>28119</v>
      </c>
      <c r="J9558" s="2" t="s">
        <v>244</v>
      </c>
      <c r="K9558" s="2" t="s">
        <v>53</v>
      </c>
      <c r="L9558" s="2" t="s">
        <v>34</v>
      </c>
      <c r="M9558" s="2"/>
      <c r="N9558" s="2"/>
      <c r="O9558" s="2"/>
      <c r="P9558" s="2" t="s">
        <v>28120</v>
      </c>
      <c r="Q9558" s="6">
        <v>100</v>
      </c>
      <c r="R9558" s="6">
        <v>8</v>
      </c>
      <c r="S9558" s="5">
        <v>2.7</v>
      </c>
      <c r="T9558" s="6">
        <v>73.44</v>
      </c>
      <c r="U9558" s="5">
        <v>4.5</v>
      </c>
      <c r="V9558" s="6">
        <v>0.03</v>
      </c>
      <c r="W9558" s="6">
        <v>8.32</v>
      </c>
      <c r="X9558" s="6">
        <v>8.16</v>
      </c>
      <c r="Y9558" s="6">
        <v>7.92</v>
      </c>
      <c r="Z9558" s="6">
        <v>7.87</v>
      </c>
      <c r="AA9558" s="6">
        <v>57.9</v>
      </c>
      <c r="AB9558" s="7">
        <v>14.826000000000001</v>
      </c>
      <c r="AC9558" s="2"/>
    </row>
    <row r="9559" spans="1:29" ht="104" x14ac:dyDescent="0.15">
      <c r="A9559" s="3">
        <f>DATE(2010,3,9)</f>
        <v>40246</v>
      </c>
      <c r="B9559" s="3">
        <f>DATE(2010,3,14)</f>
        <v>40251</v>
      </c>
      <c r="C9559" s="2" t="s">
        <v>95</v>
      </c>
      <c r="D9559" s="2" t="s">
        <v>28022</v>
      </c>
      <c r="E9559" s="2" t="s">
        <v>28023</v>
      </c>
      <c r="F9559" s="4">
        <v>2844</v>
      </c>
      <c r="G9559" s="2" t="s">
        <v>358</v>
      </c>
      <c r="H9559" s="2" t="s">
        <v>34</v>
      </c>
      <c r="I9559" s="2" t="s">
        <v>28024</v>
      </c>
      <c r="J9559" s="2" t="s">
        <v>28023</v>
      </c>
      <c r="K9559" s="2" t="s">
        <v>358</v>
      </c>
      <c r="L9559" s="2" t="s">
        <v>99</v>
      </c>
      <c r="M9559" s="10">
        <v>8330.3799999999992</v>
      </c>
      <c r="N9559" s="7">
        <v>22.135000000000002</v>
      </c>
      <c r="O9559" s="7">
        <v>22.109000000000002</v>
      </c>
      <c r="P9559" s="2" t="s">
        <v>28121</v>
      </c>
      <c r="Q9559" s="6">
        <v>17.13</v>
      </c>
      <c r="R9559" s="6">
        <v>18.2</v>
      </c>
      <c r="S9559" s="5">
        <v>98.1</v>
      </c>
      <c r="T9559" s="6">
        <v>176.87</v>
      </c>
      <c r="U9559" s="5">
        <v>1.2</v>
      </c>
      <c r="V9559" s="6">
        <v>1.05</v>
      </c>
      <c r="W9559" s="6">
        <v>18.190000000000001</v>
      </c>
      <c r="X9559" s="6">
        <v>18.22</v>
      </c>
      <c r="Y9559" s="6">
        <v>18.170000000000002</v>
      </c>
      <c r="Z9559" s="6">
        <v>18.190000000000001</v>
      </c>
      <c r="AA9559" s="6">
        <v>96.54</v>
      </c>
      <c r="AB9559" s="7">
        <v>11.358000000000001</v>
      </c>
      <c r="AC9559" s="10">
        <v>1584.7</v>
      </c>
    </row>
    <row r="9560" spans="1:29" ht="78" x14ac:dyDescent="0.15">
      <c r="A9560" s="3">
        <f>DATE(2010,3,10)</f>
        <v>40247</v>
      </c>
      <c r="B9560" s="3">
        <f>DATE(2010,4,21)</f>
        <v>40289</v>
      </c>
      <c r="C9560" s="2" t="s">
        <v>95</v>
      </c>
      <c r="D9560" s="2" t="s">
        <v>27708</v>
      </c>
      <c r="E9560" s="2" t="s">
        <v>6711</v>
      </c>
      <c r="F9560" s="4">
        <v>2836</v>
      </c>
      <c r="G9560" s="2" t="s">
        <v>130</v>
      </c>
      <c r="H9560" s="2" t="s">
        <v>34</v>
      </c>
      <c r="I9560" s="2" t="s">
        <v>7700</v>
      </c>
      <c r="J9560" s="2" t="s">
        <v>7701</v>
      </c>
      <c r="K9560" s="2" t="s">
        <v>130</v>
      </c>
      <c r="L9560" s="2" t="s">
        <v>34</v>
      </c>
      <c r="M9560" s="12">
        <v>82693.786999999997</v>
      </c>
      <c r="N9560" s="6">
        <v>55.03</v>
      </c>
      <c r="O9560" s="6">
        <v>55.54</v>
      </c>
      <c r="P9560" s="2" t="s">
        <v>28122</v>
      </c>
      <c r="Q9560" s="6">
        <v>100</v>
      </c>
      <c r="R9560" s="6">
        <v>27</v>
      </c>
      <c r="S9560" s="5">
        <v>-141.69999999999999</v>
      </c>
      <c r="T9560" s="7">
        <v>-99.972999999999999</v>
      </c>
      <c r="U9560" s="5">
        <v>12.2</v>
      </c>
      <c r="V9560" s="6">
        <v>-5.9</v>
      </c>
      <c r="W9560" s="6">
        <v>16.920000000000002</v>
      </c>
      <c r="X9560" s="6">
        <v>16.21</v>
      </c>
      <c r="Y9560" s="6">
        <v>27.01</v>
      </c>
      <c r="Z9560" s="6">
        <v>27.03</v>
      </c>
      <c r="AA9560" s="6">
        <v>27.29</v>
      </c>
      <c r="AB9560" s="2" t="s">
        <v>86</v>
      </c>
      <c r="AC9560" s="10">
        <v>9932.0499999999993</v>
      </c>
    </row>
    <row r="9561" spans="1:29" ht="65" x14ac:dyDescent="0.15">
      <c r="A9561" s="3">
        <f>DATE(2010,3,11)</f>
        <v>40248</v>
      </c>
      <c r="B9561" s="2"/>
      <c r="C9561" s="2" t="s">
        <v>30</v>
      </c>
      <c r="D9561" s="2" t="s">
        <v>7222</v>
      </c>
      <c r="E9561" s="2" t="s">
        <v>7082</v>
      </c>
      <c r="F9561" s="4">
        <v>5812</v>
      </c>
      <c r="G9561" s="2" t="s">
        <v>230</v>
      </c>
      <c r="H9561" s="2" t="s">
        <v>34</v>
      </c>
      <c r="I9561" s="2" t="s">
        <v>28123</v>
      </c>
      <c r="J9561" s="2" t="s">
        <v>12992</v>
      </c>
      <c r="K9561" s="2" t="s">
        <v>53</v>
      </c>
      <c r="L9561" s="2" t="s">
        <v>34</v>
      </c>
      <c r="M9561" s="2"/>
      <c r="N9561" s="6">
        <v>4.8600000000000003</v>
      </c>
      <c r="O9561" s="5">
        <v>4.9000000000000004</v>
      </c>
      <c r="P9561" s="2" t="s">
        <v>28124</v>
      </c>
      <c r="Q9561" s="2"/>
      <c r="R9561" s="2"/>
      <c r="S9561" s="2"/>
      <c r="T9561" s="2"/>
      <c r="U9561" s="5">
        <v>4.3</v>
      </c>
      <c r="V9561" s="2"/>
      <c r="W9561" s="6">
        <v>11.18</v>
      </c>
      <c r="X9561" s="6">
        <v>11.28</v>
      </c>
      <c r="Y9561" s="6">
        <v>11.42</v>
      </c>
      <c r="Z9561" s="6">
        <v>11.47</v>
      </c>
      <c r="AA9561" s="6">
        <v>55.19</v>
      </c>
      <c r="AB9561" s="2" t="s">
        <v>47</v>
      </c>
      <c r="AC9561" s="2"/>
    </row>
    <row r="9562" spans="1:29" ht="65" x14ac:dyDescent="0.15">
      <c r="A9562" s="3">
        <f>DATE(2010,3,12)</f>
        <v>40249</v>
      </c>
      <c r="B9562" s="3">
        <f>DATE(2010,12,21)</f>
        <v>40533</v>
      </c>
      <c r="C9562" s="2" t="s">
        <v>95</v>
      </c>
      <c r="D9562" s="2" t="s">
        <v>28125</v>
      </c>
      <c r="E9562" s="2" t="s">
        <v>1888</v>
      </c>
      <c r="F9562" s="4">
        <v>4911</v>
      </c>
      <c r="G9562" s="2" t="s">
        <v>439</v>
      </c>
      <c r="H9562" s="2" t="s">
        <v>34</v>
      </c>
      <c r="I9562" s="2" t="s">
        <v>28126</v>
      </c>
      <c r="J9562" s="2" t="s">
        <v>1620</v>
      </c>
      <c r="K9562" s="2" t="s">
        <v>53</v>
      </c>
      <c r="L9562" s="2" t="s">
        <v>34</v>
      </c>
      <c r="M9562" s="2"/>
      <c r="N9562" s="2"/>
      <c r="O9562" s="2"/>
      <c r="P9562" s="2" t="s">
        <v>28127</v>
      </c>
      <c r="Q9562" s="6">
        <v>100</v>
      </c>
      <c r="R9562" s="6">
        <v>45</v>
      </c>
      <c r="S9562" s="5">
        <v>0.9</v>
      </c>
      <c r="T9562" s="7">
        <v>5.0590000000000002</v>
      </c>
      <c r="U9562" s="5">
        <v>27.8</v>
      </c>
      <c r="V9562" s="6">
        <v>0.54</v>
      </c>
      <c r="W9562" s="5">
        <v>32.299999999999997</v>
      </c>
      <c r="X9562" s="4">
        <v>32</v>
      </c>
      <c r="Y9562" s="6">
        <v>42.93</v>
      </c>
      <c r="Z9562" s="5">
        <v>43.2</v>
      </c>
      <c r="AA9562" s="6">
        <v>1.68</v>
      </c>
      <c r="AB9562" s="7">
        <v>52.448999999999998</v>
      </c>
      <c r="AC9562" s="2"/>
    </row>
    <row r="9563" spans="1:29" ht="117" x14ac:dyDescent="0.15">
      <c r="A9563" s="3">
        <f>DATE(2010,3,15)</f>
        <v>40252</v>
      </c>
      <c r="B9563" s="3">
        <f>DATE(2010,4,21)</f>
        <v>40289</v>
      </c>
      <c r="C9563" s="2" t="s">
        <v>95</v>
      </c>
      <c r="D9563" s="2" t="s">
        <v>18289</v>
      </c>
      <c r="E9563" s="2" t="s">
        <v>15466</v>
      </c>
      <c r="F9563" s="4">
        <v>7372</v>
      </c>
      <c r="G9563" s="2" t="s">
        <v>551</v>
      </c>
      <c r="H9563" s="2" t="s">
        <v>34</v>
      </c>
      <c r="I9563" s="2" t="s">
        <v>28128</v>
      </c>
      <c r="J9563" s="2" t="s">
        <v>18402</v>
      </c>
      <c r="K9563" s="2" t="s">
        <v>551</v>
      </c>
      <c r="L9563" s="2" t="s">
        <v>34</v>
      </c>
      <c r="M9563" s="10">
        <v>1305.5899999999999</v>
      </c>
      <c r="N9563" s="5">
        <v>39.299999999999997</v>
      </c>
      <c r="O9563" s="5">
        <v>39.200000000000003</v>
      </c>
      <c r="P9563" s="2" t="s">
        <v>28129</v>
      </c>
      <c r="Q9563" s="6">
        <v>100</v>
      </c>
      <c r="R9563" s="6">
        <v>5</v>
      </c>
      <c r="S9563" s="5">
        <v>-9.1</v>
      </c>
      <c r="T9563" s="7">
        <v>-1.5489999999999999</v>
      </c>
      <c r="U9563" s="5">
        <v>1.7</v>
      </c>
      <c r="V9563" s="6">
        <v>-0.3</v>
      </c>
      <c r="W9563" s="6">
        <v>3.63</v>
      </c>
      <c r="X9563" s="6">
        <v>3.81</v>
      </c>
      <c r="Y9563" s="6">
        <v>4.99</v>
      </c>
      <c r="Z9563" s="6">
        <v>4.9800000000000004</v>
      </c>
      <c r="AA9563" s="6">
        <v>31.62</v>
      </c>
      <c r="AB9563" s="2" t="s">
        <v>86</v>
      </c>
      <c r="AC9563" s="6">
        <v>202.65</v>
      </c>
    </row>
    <row r="9564" spans="1:29" ht="65" x14ac:dyDescent="0.15">
      <c r="A9564" s="3">
        <f>DATE(2010,3,16)</f>
        <v>40253</v>
      </c>
      <c r="B9564" s="2"/>
      <c r="C9564" s="2" t="s">
        <v>141</v>
      </c>
      <c r="D9564" s="2" t="s">
        <v>10153</v>
      </c>
      <c r="E9564" s="2" t="s">
        <v>229</v>
      </c>
      <c r="F9564" s="4">
        <v>5812</v>
      </c>
      <c r="G9564" s="2" t="s">
        <v>230</v>
      </c>
      <c r="H9564" s="2" t="s">
        <v>34</v>
      </c>
      <c r="I9564" s="2" t="s">
        <v>143</v>
      </c>
      <c r="J9564" s="2" t="s">
        <v>144</v>
      </c>
      <c r="K9564" s="2" t="s">
        <v>53</v>
      </c>
      <c r="L9564" s="2" t="s">
        <v>139</v>
      </c>
      <c r="M9564" s="2"/>
      <c r="N9564" s="2"/>
      <c r="O9564" s="2"/>
      <c r="P9564" s="2" t="s">
        <v>28130</v>
      </c>
      <c r="Q9564" s="2"/>
      <c r="R9564" s="2"/>
      <c r="S9564" s="5">
        <v>-15.9</v>
      </c>
      <c r="T9564" s="7">
        <v>23.940999999999999</v>
      </c>
      <c r="U9564" s="5">
        <v>9.1999999999999993</v>
      </c>
      <c r="V9564" s="6">
        <v>-1.1100000000000001</v>
      </c>
      <c r="W9564" s="5">
        <v>5.6</v>
      </c>
      <c r="X9564" s="6">
        <v>5.88</v>
      </c>
      <c r="Y9564" s="5">
        <v>6.4</v>
      </c>
      <c r="Z9564" s="7">
        <v>6.585</v>
      </c>
      <c r="AA9564" s="6">
        <v>9.76</v>
      </c>
      <c r="AB9564" s="2" t="s">
        <v>47</v>
      </c>
      <c r="AC9564" s="2"/>
    </row>
    <row r="9565" spans="1:29" ht="65" x14ac:dyDescent="0.15">
      <c r="A9565" s="3">
        <f>DATE(2010,3,16)</f>
        <v>40253</v>
      </c>
      <c r="B9565" s="3">
        <f>DATE(2010,8,13)</f>
        <v>40403</v>
      </c>
      <c r="C9565" s="2" t="s">
        <v>95</v>
      </c>
      <c r="D9565" s="2" t="s">
        <v>28131</v>
      </c>
      <c r="E9565" s="2" t="s">
        <v>2044</v>
      </c>
      <c r="F9565" s="4">
        <v>6798</v>
      </c>
      <c r="G9565" s="2" t="s">
        <v>53</v>
      </c>
      <c r="H9565" s="2" t="s">
        <v>34</v>
      </c>
      <c r="I9565" s="2" t="s">
        <v>28132</v>
      </c>
      <c r="J9565" s="2" t="s">
        <v>9299</v>
      </c>
      <c r="K9565" s="2" t="s">
        <v>53</v>
      </c>
      <c r="L9565" s="2" t="s">
        <v>34</v>
      </c>
      <c r="M9565" s="2"/>
      <c r="N9565" s="2"/>
      <c r="O9565" s="2"/>
      <c r="P9565" s="2" t="s">
        <v>28133</v>
      </c>
      <c r="Q9565" s="6">
        <v>100</v>
      </c>
      <c r="R9565" s="6">
        <v>9</v>
      </c>
      <c r="S9565" s="5">
        <v>-2.8</v>
      </c>
      <c r="T9565" s="7">
        <v>4.9139999999999997</v>
      </c>
      <c r="U9565" s="5">
        <v>11.3</v>
      </c>
      <c r="V9565" s="6">
        <v>-0.14000000000000001</v>
      </c>
      <c r="W9565" s="6">
        <v>8.2799999999999994</v>
      </c>
      <c r="X9565" s="6">
        <v>8.36</v>
      </c>
      <c r="Y9565" s="6">
        <v>8.91</v>
      </c>
      <c r="Z9565" s="6">
        <v>8.92</v>
      </c>
      <c r="AA9565" s="6">
        <v>20.079999999999998</v>
      </c>
      <c r="AB9565" s="7">
        <v>93.923000000000002</v>
      </c>
      <c r="AC9565" s="2"/>
    </row>
    <row r="9566" spans="1:29" ht="65" x14ac:dyDescent="0.15">
      <c r="A9566" s="3">
        <f>DATE(2010,3,16)</f>
        <v>40253</v>
      </c>
      <c r="B9566" s="2"/>
      <c r="C9566" s="2" t="s">
        <v>30</v>
      </c>
      <c r="D9566" s="2" t="s">
        <v>28134</v>
      </c>
      <c r="E9566" s="2" t="s">
        <v>21800</v>
      </c>
      <c r="F9566" s="4">
        <v>6021</v>
      </c>
      <c r="G9566" s="2" t="s">
        <v>37</v>
      </c>
      <c r="H9566" s="2" t="s">
        <v>34</v>
      </c>
      <c r="I9566" s="2" t="s">
        <v>28135</v>
      </c>
      <c r="J9566" s="2" t="s">
        <v>1620</v>
      </c>
      <c r="K9566" s="2" t="s">
        <v>53</v>
      </c>
      <c r="L9566" s="2" t="s">
        <v>34</v>
      </c>
      <c r="M9566" s="2"/>
      <c r="N9566" s="2"/>
      <c r="O9566" s="2"/>
      <c r="P9566" s="2" t="s">
        <v>28136</v>
      </c>
      <c r="Q9566" s="2"/>
      <c r="R9566" s="6">
        <v>0.38</v>
      </c>
      <c r="S9566" s="2"/>
      <c r="T9566" s="2"/>
      <c r="U9566" s="2"/>
      <c r="V9566" s="2"/>
      <c r="W9566" s="4">
        <v>2</v>
      </c>
      <c r="X9566" s="4">
        <v>2</v>
      </c>
      <c r="Y9566" s="6">
        <v>0.69</v>
      </c>
      <c r="Z9566" s="6">
        <v>0.65</v>
      </c>
      <c r="AA9566" s="6">
        <v>15.85</v>
      </c>
      <c r="AB9566" s="2" t="s">
        <v>47</v>
      </c>
      <c r="AC9566" s="2"/>
    </row>
    <row r="9567" spans="1:29" ht="104" x14ac:dyDescent="0.15">
      <c r="A9567" s="3">
        <f>DATE(2010,3,17)</f>
        <v>40254</v>
      </c>
      <c r="B9567" s="2"/>
      <c r="C9567" s="2" t="s">
        <v>39</v>
      </c>
      <c r="D9567" s="2" t="s">
        <v>18132</v>
      </c>
      <c r="E9567" s="2" t="s">
        <v>18133</v>
      </c>
      <c r="F9567" s="4">
        <v>3661</v>
      </c>
      <c r="G9567" s="2" t="s">
        <v>921</v>
      </c>
      <c r="H9567" s="2" t="s">
        <v>34</v>
      </c>
      <c r="I9567" s="2" t="s">
        <v>28137</v>
      </c>
      <c r="J9567" s="2" t="s">
        <v>28138</v>
      </c>
      <c r="K9567" s="2" t="s">
        <v>53</v>
      </c>
      <c r="L9567" s="2" t="s">
        <v>303</v>
      </c>
      <c r="M9567" s="2"/>
      <c r="N9567" s="2"/>
      <c r="O9567" s="2"/>
      <c r="P9567" s="2" t="s">
        <v>28139</v>
      </c>
      <c r="Q9567" s="2"/>
      <c r="R9567" s="2"/>
      <c r="S9567" s="5">
        <v>49.9</v>
      </c>
      <c r="T9567" s="7">
        <v>138.51900000000001</v>
      </c>
      <c r="U9567" s="5">
        <v>6.2</v>
      </c>
      <c r="V9567" s="6">
        <v>0.28999999999999998</v>
      </c>
      <c r="W9567" s="6">
        <v>28.63</v>
      </c>
      <c r="X9567" s="6">
        <v>30.44</v>
      </c>
      <c r="Y9567" s="6">
        <v>33.14</v>
      </c>
      <c r="Z9567" s="6">
        <v>30.96</v>
      </c>
      <c r="AA9567" s="2"/>
      <c r="AB9567" s="2" t="s">
        <v>47</v>
      </c>
      <c r="AC9567" s="2"/>
    </row>
    <row r="9568" spans="1:29" ht="65" x14ac:dyDescent="0.15">
      <c r="A9568" s="3">
        <f>DATE(2010,3,18)</f>
        <v>40255</v>
      </c>
      <c r="B9568" s="3">
        <f>DATE(2010,7,16)</f>
        <v>40375</v>
      </c>
      <c r="C9568" s="2" t="s">
        <v>95</v>
      </c>
      <c r="D9568" s="2" t="s">
        <v>24232</v>
      </c>
      <c r="E9568" s="2" t="s">
        <v>672</v>
      </c>
      <c r="F9568" s="4">
        <v>6021</v>
      </c>
      <c r="G9568" s="2" t="s">
        <v>37</v>
      </c>
      <c r="H9568" s="2" t="s">
        <v>34</v>
      </c>
      <c r="I9568" s="2" t="s">
        <v>28140</v>
      </c>
      <c r="J9568" s="2" t="s">
        <v>36</v>
      </c>
      <c r="K9568" s="2" t="s">
        <v>37</v>
      </c>
      <c r="L9568" s="2" t="s">
        <v>34</v>
      </c>
      <c r="M9568" s="7">
        <v>371.50099999999998</v>
      </c>
      <c r="N9568" s="5">
        <v>12.6</v>
      </c>
      <c r="O9568" s="6">
        <v>12.47</v>
      </c>
      <c r="P9568" s="2" t="s">
        <v>28141</v>
      </c>
      <c r="Q9568" s="6">
        <v>100</v>
      </c>
      <c r="R9568" s="6">
        <v>2.52</v>
      </c>
      <c r="S9568" s="5">
        <v>-10.4</v>
      </c>
      <c r="T9568" s="6">
        <v>-7.19</v>
      </c>
      <c r="U9568" s="5">
        <v>2.9</v>
      </c>
      <c r="V9568" s="6">
        <v>-1.77</v>
      </c>
      <c r="W9568" s="6">
        <v>1.68</v>
      </c>
      <c r="X9568" s="6">
        <v>1.53</v>
      </c>
      <c r="Y9568" s="6">
        <v>2.35</v>
      </c>
      <c r="Z9568" s="5">
        <v>2.2999999999999998</v>
      </c>
      <c r="AA9568" s="6">
        <v>5.84</v>
      </c>
      <c r="AB9568" s="2" t="s">
        <v>86</v>
      </c>
      <c r="AC9568" s="2"/>
    </row>
    <row r="9569" spans="1:29" ht="117" x14ac:dyDescent="0.15">
      <c r="A9569" s="3">
        <f>DATE(2010,3,21)</f>
        <v>40258</v>
      </c>
      <c r="B9569" s="3">
        <f>DATE(2010,6,1)</f>
        <v>40330</v>
      </c>
      <c r="C9569" s="2" t="s">
        <v>95</v>
      </c>
      <c r="D9569" s="2" t="s">
        <v>26421</v>
      </c>
      <c r="E9569" s="2" t="s">
        <v>18348</v>
      </c>
      <c r="F9569" s="4">
        <v>1311</v>
      </c>
      <c r="G9569" s="2" t="s">
        <v>148</v>
      </c>
      <c r="H9569" s="2" t="s">
        <v>34</v>
      </c>
      <c r="I9569" s="2" t="s">
        <v>26422</v>
      </c>
      <c r="J9569" s="2" t="s">
        <v>11539</v>
      </c>
      <c r="K9569" s="2" t="s">
        <v>166</v>
      </c>
      <c r="L9569" s="2" t="s">
        <v>34</v>
      </c>
      <c r="M9569" s="12">
        <v>9054.7649999999994</v>
      </c>
      <c r="N9569" s="6">
        <v>44.69</v>
      </c>
      <c r="O9569" s="6">
        <v>44.69</v>
      </c>
      <c r="P9569" s="2" t="s">
        <v>28142</v>
      </c>
      <c r="Q9569" s="6">
        <v>17.45</v>
      </c>
      <c r="R9569" s="6">
        <v>38.25</v>
      </c>
      <c r="S9569" s="5">
        <v>164.5</v>
      </c>
      <c r="T9569" s="7">
        <v>375.74200000000002</v>
      </c>
      <c r="U9569" s="5">
        <v>10</v>
      </c>
      <c r="V9569" s="6">
        <v>1.0900000000000001</v>
      </c>
      <c r="W9569" s="6">
        <v>26.23</v>
      </c>
      <c r="X9569" s="5">
        <v>30.8</v>
      </c>
      <c r="Y9569" s="6">
        <v>37.840000000000003</v>
      </c>
      <c r="Z9569" s="6">
        <v>37.840000000000003</v>
      </c>
      <c r="AA9569" s="6">
        <v>150.99</v>
      </c>
      <c r="AB9569" s="7">
        <v>21.724</v>
      </c>
      <c r="AC9569" s="6">
        <v>164.87</v>
      </c>
    </row>
    <row r="9570" spans="1:29" ht="130" x14ac:dyDescent="0.15">
      <c r="A9570" s="3">
        <f>DATE(2010,3,22)</f>
        <v>40259</v>
      </c>
      <c r="B9570" s="3">
        <f>DATE(2010,4,27)</f>
        <v>40295</v>
      </c>
      <c r="C9570" s="2" t="s">
        <v>95</v>
      </c>
      <c r="D9570" s="2" t="s">
        <v>28143</v>
      </c>
      <c r="E9570" s="2" t="s">
        <v>207</v>
      </c>
      <c r="F9570" s="4">
        <v>3674</v>
      </c>
      <c r="G9570" s="2" t="s">
        <v>137</v>
      </c>
      <c r="H9570" s="2" t="s">
        <v>34</v>
      </c>
      <c r="I9570" s="2" t="s">
        <v>19790</v>
      </c>
      <c r="J9570" s="2" t="s">
        <v>2728</v>
      </c>
      <c r="K9570" s="2" t="s">
        <v>137</v>
      </c>
      <c r="L9570" s="2" t="s">
        <v>34</v>
      </c>
      <c r="M9570" s="12">
        <v>1840.319</v>
      </c>
      <c r="N9570" s="6">
        <v>15.19</v>
      </c>
      <c r="O9570" s="6">
        <v>15.19</v>
      </c>
      <c r="P9570" s="2" t="s">
        <v>28144</v>
      </c>
      <c r="Q9570" s="6">
        <v>100</v>
      </c>
      <c r="R9570" s="6">
        <v>18.5</v>
      </c>
      <c r="S9570" s="5">
        <v>1.5</v>
      </c>
      <c r="T9570" s="7">
        <v>1.8859999999999999</v>
      </c>
      <c r="U9570" s="2"/>
      <c r="V9570" s="6">
        <v>7.0000000000000007E-2</v>
      </c>
      <c r="W9570" s="6">
        <v>11.29</v>
      </c>
      <c r="X9570" s="6">
        <v>12.44</v>
      </c>
      <c r="Y9570" s="6">
        <v>18.38</v>
      </c>
      <c r="Z9570" s="5">
        <v>18.399999999999999</v>
      </c>
      <c r="AA9570" s="6">
        <v>23.86</v>
      </c>
      <c r="AB9570" s="7">
        <v>384.70499999999998</v>
      </c>
      <c r="AC9570" s="6">
        <v>361.17</v>
      </c>
    </row>
    <row r="9571" spans="1:29" ht="156" x14ac:dyDescent="0.15">
      <c r="A9571" s="3">
        <f>DATE(2010,3,23)</f>
        <v>40260</v>
      </c>
      <c r="B9571" s="2"/>
      <c r="C9571" s="2" t="s">
        <v>7330</v>
      </c>
      <c r="D9571" s="2" t="s">
        <v>28145</v>
      </c>
      <c r="E9571" s="2" t="s">
        <v>5499</v>
      </c>
      <c r="F9571" s="4">
        <v>6311</v>
      </c>
      <c r="G9571" s="2" t="s">
        <v>125</v>
      </c>
      <c r="H9571" s="2" t="s">
        <v>34</v>
      </c>
      <c r="I9571" s="2" t="s">
        <v>51</v>
      </c>
      <c r="J9571" s="2" t="s">
        <v>52</v>
      </c>
      <c r="K9571" s="2" t="s">
        <v>53</v>
      </c>
      <c r="L9571" s="2" t="s">
        <v>34</v>
      </c>
      <c r="M9571" s="2"/>
      <c r="N9571" s="2"/>
      <c r="O9571" s="2"/>
      <c r="P9571" s="2" t="s">
        <v>28146</v>
      </c>
      <c r="Q9571" s="2"/>
      <c r="R9571" s="6">
        <v>8.5</v>
      </c>
      <c r="S9571" s="5">
        <v>8.5</v>
      </c>
      <c r="T9571" s="2"/>
      <c r="U9571" s="5">
        <v>9.1</v>
      </c>
      <c r="V9571" s="6">
        <v>1.64</v>
      </c>
      <c r="W9571" s="6">
        <v>4.75</v>
      </c>
      <c r="X9571" s="4">
        <v>5</v>
      </c>
      <c r="Y9571" s="5">
        <v>5.6</v>
      </c>
      <c r="Z9571" s="6">
        <v>5.81</v>
      </c>
      <c r="AA9571" s="6">
        <v>5.21</v>
      </c>
      <c r="AB9571" s="7">
        <v>4.359</v>
      </c>
      <c r="AC9571" s="2"/>
    </row>
    <row r="9572" spans="1:29" ht="78" x14ac:dyDescent="0.15">
      <c r="A9572" s="3">
        <f>DATE(2010,3,23)</f>
        <v>40260</v>
      </c>
      <c r="B9572" s="3">
        <f>DATE(2010,3,26)</f>
        <v>40263</v>
      </c>
      <c r="C9572" s="2" t="s">
        <v>95</v>
      </c>
      <c r="D9572" s="2" t="s">
        <v>28147</v>
      </c>
      <c r="E9572" s="2" t="s">
        <v>28148</v>
      </c>
      <c r="F9572" s="4">
        <v>7389</v>
      </c>
      <c r="G9572" s="2" t="s">
        <v>223</v>
      </c>
      <c r="H9572" s="2" t="s">
        <v>34</v>
      </c>
      <c r="I9572" s="2" t="s">
        <v>28149</v>
      </c>
      <c r="J9572" s="2" t="s">
        <v>28150</v>
      </c>
      <c r="K9572" s="2" t="s">
        <v>63</v>
      </c>
      <c r="L9572" s="2" t="s">
        <v>34</v>
      </c>
      <c r="M9572" s="2"/>
      <c r="N9572" s="2"/>
      <c r="O9572" s="2"/>
      <c r="P9572" s="2" t="s">
        <v>28151</v>
      </c>
      <c r="Q9572" s="6">
        <v>89.92</v>
      </c>
      <c r="R9572" s="2"/>
      <c r="S9572" s="5">
        <v>1.7</v>
      </c>
      <c r="T9572" s="7">
        <v>-0.75700000000000001</v>
      </c>
      <c r="U9572" s="2"/>
      <c r="V9572" s="6">
        <v>-0.86</v>
      </c>
      <c r="W9572" s="6">
        <v>1.01</v>
      </c>
      <c r="X9572" s="6">
        <v>1.01</v>
      </c>
      <c r="Y9572" s="6">
        <v>1.01</v>
      </c>
      <c r="Z9572" s="6">
        <v>1.01</v>
      </c>
      <c r="AA9572" s="6">
        <v>27.8</v>
      </c>
      <c r="AB9572" s="2" t="s">
        <v>86</v>
      </c>
      <c r="AC9572" s="2"/>
    </row>
    <row r="9573" spans="1:29" ht="78" x14ac:dyDescent="0.15">
      <c r="A9573" s="3">
        <f>DATE(2010,3,23)</f>
        <v>40260</v>
      </c>
      <c r="B9573" s="2"/>
      <c r="C9573" s="2" t="s">
        <v>87</v>
      </c>
      <c r="D9573" s="2" t="s">
        <v>17413</v>
      </c>
      <c r="E9573" s="2" t="s">
        <v>17414</v>
      </c>
      <c r="F9573" s="4">
        <v>5944</v>
      </c>
      <c r="G9573" s="2" t="s">
        <v>73</v>
      </c>
      <c r="H9573" s="2" t="s">
        <v>34</v>
      </c>
      <c r="I9573" s="2" t="s">
        <v>20591</v>
      </c>
      <c r="J9573" s="2" t="s">
        <v>244</v>
      </c>
      <c r="K9573" s="2" t="s">
        <v>53</v>
      </c>
      <c r="L9573" s="2" t="s">
        <v>34</v>
      </c>
      <c r="M9573" s="2"/>
      <c r="N9573" s="2"/>
      <c r="O9573" s="2"/>
      <c r="P9573" s="2" t="s">
        <v>28152</v>
      </c>
      <c r="Q9573" s="2"/>
      <c r="R9573" s="2"/>
      <c r="S9573" s="5">
        <v>-173.6</v>
      </c>
      <c r="T9573" s="7">
        <v>-76.811000000000007</v>
      </c>
      <c r="U9573" s="5">
        <v>10.199999999999999</v>
      </c>
      <c r="V9573" s="6">
        <v>-5.43</v>
      </c>
      <c r="W9573" s="6">
        <v>3.46</v>
      </c>
      <c r="X9573" s="6">
        <v>3.61</v>
      </c>
      <c r="Y9573" s="6">
        <v>3.64</v>
      </c>
      <c r="Z9573" s="6">
        <v>3.61</v>
      </c>
      <c r="AA9573" s="6">
        <v>32.11</v>
      </c>
      <c r="AB9573" s="2" t="s">
        <v>86</v>
      </c>
      <c r="AC9573" s="2"/>
    </row>
    <row r="9574" spans="1:29" ht="117" x14ac:dyDescent="0.15">
      <c r="A9574" s="3">
        <f>DATE(2010,3,26)</f>
        <v>40263</v>
      </c>
      <c r="B9574" s="2"/>
      <c r="C9574" s="2" t="s">
        <v>141</v>
      </c>
      <c r="D9574" s="2" t="s">
        <v>25645</v>
      </c>
      <c r="E9574" s="2" t="s">
        <v>398</v>
      </c>
      <c r="F9574" s="4">
        <v>7812</v>
      </c>
      <c r="G9574" s="2" t="s">
        <v>42</v>
      </c>
      <c r="H9574" s="2" t="s">
        <v>34</v>
      </c>
      <c r="I9574" s="2" t="s">
        <v>143</v>
      </c>
      <c r="J9574" s="2" t="s">
        <v>144</v>
      </c>
      <c r="K9574" s="2" t="s">
        <v>53</v>
      </c>
      <c r="L9574" s="2" t="s">
        <v>139</v>
      </c>
      <c r="M9574" s="2"/>
      <c r="N9574" s="2"/>
      <c r="O9574" s="2"/>
      <c r="P9574" s="2" t="s">
        <v>28153</v>
      </c>
      <c r="Q9574" s="2"/>
      <c r="R9574" s="2"/>
      <c r="S9574" s="5">
        <v>24.6</v>
      </c>
      <c r="T9574" s="7">
        <v>73.334999999999994</v>
      </c>
      <c r="U9574" s="5">
        <v>2.8</v>
      </c>
      <c r="V9574" s="6">
        <v>0.24</v>
      </c>
      <c r="W9574" s="6">
        <v>5.66</v>
      </c>
      <c r="X9574" s="6">
        <v>5.48</v>
      </c>
      <c r="Y9574" s="6">
        <v>5.96</v>
      </c>
      <c r="Z9574" s="6">
        <v>6.05</v>
      </c>
      <c r="AA9574" s="6">
        <v>93.05</v>
      </c>
      <c r="AB9574" s="2" t="s">
        <v>47</v>
      </c>
      <c r="AC9574" s="2"/>
    </row>
    <row r="9575" spans="1:29" ht="65" x14ac:dyDescent="0.15">
      <c r="A9575" s="3">
        <f>DATE(2010,3,26)</f>
        <v>40263</v>
      </c>
      <c r="B9575" s="3">
        <f>DATE(2010,5,25)</f>
        <v>40323</v>
      </c>
      <c r="C9575" s="2" t="s">
        <v>95</v>
      </c>
      <c r="D9575" s="2" t="s">
        <v>18420</v>
      </c>
      <c r="E9575" s="2" t="s">
        <v>18421</v>
      </c>
      <c r="F9575" s="4">
        <v>7372</v>
      </c>
      <c r="G9575" s="2" t="s">
        <v>551</v>
      </c>
      <c r="H9575" s="2" t="s">
        <v>34</v>
      </c>
      <c r="I9575" s="2" t="s">
        <v>27462</v>
      </c>
      <c r="J9575" s="2" t="s">
        <v>244</v>
      </c>
      <c r="K9575" s="2" t="s">
        <v>53</v>
      </c>
      <c r="L9575" s="2" t="s">
        <v>34</v>
      </c>
      <c r="M9575" s="2"/>
      <c r="N9575" s="2"/>
      <c r="O9575" s="2"/>
      <c r="P9575" s="2" t="s">
        <v>28154</v>
      </c>
      <c r="Q9575" s="6">
        <v>100</v>
      </c>
      <c r="R9575" s="6">
        <v>5.6</v>
      </c>
      <c r="S9575" s="5">
        <v>1.7</v>
      </c>
      <c r="T9575" s="7">
        <v>14.657999999999999</v>
      </c>
      <c r="U9575" s="5">
        <v>0.5</v>
      </c>
      <c r="V9575" s="6">
        <v>7.0000000000000007E-2</v>
      </c>
      <c r="W9575" s="5">
        <v>4.8</v>
      </c>
      <c r="X9575" s="6">
        <v>4.91</v>
      </c>
      <c r="Y9575" s="6">
        <v>5.52</v>
      </c>
      <c r="Z9575" s="6">
        <v>5.55</v>
      </c>
      <c r="AA9575" s="6">
        <v>24.41</v>
      </c>
      <c r="AB9575" s="7">
        <v>55.695999999999998</v>
      </c>
      <c r="AC9575" s="2"/>
    </row>
    <row r="9576" spans="1:29" ht="91" x14ac:dyDescent="0.15">
      <c r="A9576" s="3">
        <f>DATE(2010,3,27)</f>
        <v>40264</v>
      </c>
      <c r="B9576" s="2"/>
      <c r="C9576" s="2" t="s">
        <v>87</v>
      </c>
      <c r="D9576" s="2" t="s">
        <v>28100</v>
      </c>
      <c r="E9576" s="2" t="s">
        <v>28101</v>
      </c>
      <c r="F9576" s="4">
        <v>5731</v>
      </c>
      <c r="G9576" s="2" t="s">
        <v>1227</v>
      </c>
      <c r="H9576" s="2" t="s">
        <v>34</v>
      </c>
      <c r="I9576" s="2" t="s">
        <v>18137</v>
      </c>
      <c r="J9576" s="2" t="s">
        <v>1367</v>
      </c>
      <c r="K9576" s="2" t="s">
        <v>1227</v>
      </c>
      <c r="L9576" s="2" t="s">
        <v>34</v>
      </c>
      <c r="M9576" s="12">
        <v>15258.168</v>
      </c>
      <c r="N9576" s="4">
        <v>43</v>
      </c>
      <c r="O9576" s="4">
        <v>43</v>
      </c>
      <c r="P9576" s="2" t="s">
        <v>28155</v>
      </c>
      <c r="Q9576" s="2"/>
      <c r="R9576" s="2"/>
      <c r="S9576" s="5">
        <v>205</v>
      </c>
      <c r="T9576" s="5">
        <v>463.8</v>
      </c>
      <c r="U9576" s="5">
        <v>8.4</v>
      </c>
      <c r="V9576" s="6">
        <v>1.63</v>
      </c>
      <c r="W9576" s="6">
        <v>22.09</v>
      </c>
      <c r="X9576" s="6">
        <v>23.65</v>
      </c>
      <c r="Y9576" s="6">
        <v>22.98</v>
      </c>
      <c r="Z9576" s="6">
        <v>22.98</v>
      </c>
      <c r="AA9576" s="6">
        <v>125.24</v>
      </c>
      <c r="AB9576" s="2" t="s">
        <v>47</v>
      </c>
      <c r="AC9576" s="8">
        <v>2398</v>
      </c>
    </row>
    <row r="9577" spans="1:29" ht="78" x14ac:dyDescent="0.15">
      <c r="A9577" s="3">
        <f>DATE(2010,3,29)</f>
        <v>40266</v>
      </c>
      <c r="B9577" s="3">
        <f>DATE(2010,7,7)</f>
        <v>40366</v>
      </c>
      <c r="C9577" s="2" t="s">
        <v>95</v>
      </c>
      <c r="D9577" s="2" t="s">
        <v>28156</v>
      </c>
      <c r="E9577" s="2" t="s">
        <v>28157</v>
      </c>
      <c r="F9577" s="4">
        <v>5065</v>
      </c>
      <c r="G9577" s="2" t="s">
        <v>76</v>
      </c>
      <c r="H9577" s="2" t="s">
        <v>34</v>
      </c>
      <c r="I9577" s="2" t="s">
        <v>3706</v>
      </c>
      <c r="J9577" s="2" t="s">
        <v>2195</v>
      </c>
      <c r="K9577" s="2" t="s">
        <v>76</v>
      </c>
      <c r="L9577" s="2" t="s">
        <v>34</v>
      </c>
      <c r="M9577" s="12">
        <v>4287.9669999999996</v>
      </c>
      <c r="N9577" s="6">
        <v>29.75</v>
      </c>
      <c r="O9577" s="6">
        <v>30.53</v>
      </c>
      <c r="P9577" s="2" t="s">
        <v>28158</v>
      </c>
      <c r="Q9577" s="6">
        <v>100</v>
      </c>
      <c r="R9577" s="6">
        <v>7</v>
      </c>
      <c r="S9577" s="5">
        <v>7.5</v>
      </c>
      <c r="T9577" s="7">
        <v>51.619</v>
      </c>
      <c r="U9577" s="5">
        <v>1</v>
      </c>
      <c r="V9577" s="6">
        <v>0.23</v>
      </c>
      <c r="W9577" s="6">
        <v>5.28</v>
      </c>
      <c r="X9577" s="6">
        <v>5.38</v>
      </c>
      <c r="Y9577" s="6">
        <v>6.91</v>
      </c>
      <c r="Z9577" s="6">
        <v>6.96</v>
      </c>
      <c r="AA9577" s="6">
        <v>32.340000000000003</v>
      </c>
      <c r="AB9577" s="7">
        <v>14.491</v>
      </c>
      <c r="AC9577" s="6">
        <v>894.87</v>
      </c>
    </row>
    <row r="9578" spans="1:29" ht="91" x14ac:dyDescent="0.15">
      <c r="A9578" s="3">
        <f>DATE(2010,3,29)</f>
        <v>40266</v>
      </c>
      <c r="B9578" s="3">
        <f>DATE(2010,6,16)</f>
        <v>40345</v>
      </c>
      <c r="C9578" s="2" t="s">
        <v>95</v>
      </c>
      <c r="D9578" s="2" t="s">
        <v>28159</v>
      </c>
      <c r="E9578" s="2" t="s">
        <v>16684</v>
      </c>
      <c r="F9578" s="4">
        <v>3411</v>
      </c>
      <c r="G9578" s="2" t="s">
        <v>163</v>
      </c>
      <c r="H9578" s="2" t="s">
        <v>34</v>
      </c>
      <c r="I9578" s="2" t="s">
        <v>10332</v>
      </c>
      <c r="J9578" s="2" t="s">
        <v>244</v>
      </c>
      <c r="K9578" s="2" t="s">
        <v>53</v>
      </c>
      <c r="L9578" s="2" t="s">
        <v>34</v>
      </c>
      <c r="M9578" s="2"/>
      <c r="N9578" s="2"/>
      <c r="O9578" s="2"/>
      <c r="P9578" s="2" t="s">
        <v>28160</v>
      </c>
      <c r="Q9578" s="6">
        <v>100</v>
      </c>
      <c r="R9578" s="6">
        <v>20</v>
      </c>
      <c r="S9578" s="5">
        <v>27</v>
      </c>
      <c r="T9578" s="5">
        <v>137.1</v>
      </c>
      <c r="U9578" s="5">
        <v>9</v>
      </c>
      <c r="V9578" s="6">
        <v>1.1499999999999999</v>
      </c>
      <c r="W9578" s="6">
        <v>17.37</v>
      </c>
      <c r="X9578" s="6">
        <v>17.350000000000001</v>
      </c>
      <c r="Y9578" s="6">
        <v>20.07</v>
      </c>
      <c r="Z9578" s="6">
        <v>20.11</v>
      </c>
      <c r="AA9578" s="6">
        <v>22.36</v>
      </c>
      <c r="AB9578" s="7">
        <v>10.026999999999999</v>
      </c>
      <c r="AC9578" s="2"/>
    </row>
    <row r="9579" spans="1:29" ht="104" x14ac:dyDescent="0.15">
      <c r="A9579" s="3">
        <f>DATE(2010,3,30)</f>
        <v>40267</v>
      </c>
      <c r="B9579" s="3">
        <f>DATE(2010,4,30)</f>
        <v>40298</v>
      </c>
      <c r="C9579" s="2" t="s">
        <v>95</v>
      </c>
      <c r="D9579" s="2" t="s">
        <v>27201</v>
      </c>
      <c r="E9579" s="2" t="s">
        <v>12043</v>
      </c>
      <c r="F9579" s="4">
        <v>3674</v>
      </c>
      <c r="G9579" s="2" t="s">
        <v>137</v>
      </c>
      <c r="H9579" s="2" t="s">
        <v>34</v>
      </c>
      <c r="I9579" s="2" t="s">
        <v>11358</v>
      </c>
      <c r="J9579" s="2" t="s">
        <v>10974</v>
      </c>
      <c r="K9579" s="2" t="s">
        <v>137</v>
      </c>
      <c r="L9579" s="2" t="s">
        <v>34</v>
      </c>
      <c r="M9579" s="12">
        <v>1354.4269999999999</v>
      </c>
      <c r="N9579" s="6">
        <v>17.25</v>
      </c>
      <c r="O9579" s="6">
        <v>17.34</v>
      </c>
      <c r="P9579" s="2" t="s">
        <v>28161</v>
      </c>
      <c r="Q9579" s="6">
        <v>100</v>
      </c>
      <c r="R9579" s="6">
        <v>7</v>
      </c>
      <c r="S9579" s="5">
        <v>2.5</v>
      </c>
      <c r="T9579" s="7">
        <v>6.7539999999999996</v>
      </c>
      <c r="U9579" s="5">
        <v>4.4000000000000004</v>
      </c>
      <c r="V9579" s="6">
        <v>0.1</v>
      </c>
      <c r="W9579" s="6">
        <v>5.41</v>
      </c>
      <c r="X9579" s="6">
        <v>5.46</v>
      </c>
      <c r="Y9579" s="6">
        <v>6.99</v>
      </c>
      <c r="Z9579" s="4">
        <v>7</v>
      </c>
      <c r="AA9579" s="6">
        <v>24.59</v>
      </c>
      <c r="AB9579" s="7">
        <v>26.425999999999998</v>
      </c>
      <c r="AC9579" s="6">
        <v>292.49</v>
      </c>
    </row>
    <row r="9580" spans="1:29" ht="52" x14ac:dyDescent="0.15">
      <c r="A9580" s="3">
        <f>DATE(2010,3,31)</f>
        <v>40268</v>
      </c>
      <c r="B9580" s="3">
        <f>DATE(2010,12,29)</f>
        <v>40541</v>
      </c>
      <c r="C9580" s="2" t="s">
        <v>95</v>
      </c>
      <c r="D9580" s="2" t="s">
        <v>28162</v>
      </c>
      <c r="E9580" s="2" t="s">
        <v>36</v>
      </c>
      <c r="F9580" s="4">
        <v>6021</v>
      </c>
      <c r="G9580" s="2" t="s">
        <v>37</v>
      </c>
      <c r="H9580" s="2" t="s">
        <v>34</v>
      </c>
      <c r="I9580" s="2" t="s">
        <v>28163</v>
      </c>
      <c r="J9580" s="2" t="s">
        <v>11337</v>
      </c>
      <c r="K9580" s="2" t="s">
        <v>53</v>
      </c>
      <c r="L9580" s="2" t="s">
        <v>34</v>
      </c>
      <c r="M9580" s="2"/>
      <c r="N9580" s="2"/>
      <c r="O9580" s="2"/>
      <c r="P9580" s="2" t="s">
        <v>28164</v>
      </c>
      <c r="Q9580" s="6">
        <v>100</v>
      </c>
      <c r="R9580" s="6">
        <v>13.93</v>
      </c>
      <c r="S9580" s="5">
        <v>1.9</v>
      </c>
      <c r="T9580" s="7">
        <v>5.6539999999999999</v>
      </c>
      <c r="U9580" s="5">
        <v>19.8</v>
      </c>
      <c r="V9580" s="6">
        <v>0.71</v>
      </c>
      <c r="W9580" s="6">
        <v>13.41</v>
      </c>
      <c r="X9580" s="6">
        <v>14.05</v>
      </c>
      <c r="Y9580" s="4">
        <v>14</v>
      </c>
      <c r="Z9580" s="6">
        <v>13.75</v>
      </c>
      <c r="AA9580" s="6">
        <v>2.3199999999999998</v>
      </c>
      <c r="AB9580" s="7">
        <v>72.66</v>
      </c>
      <c r="AC9580" s="2"/>
    </row>
    <row r="9581" spans="1:29" ht="104" x14ac:dyDescent="0.15">
      <c r="A9581" s="3">
        <f>DATE(2010,4,1)</f>
        <v>40269</v>
      </c>
      <c r="B9581" s="3">
        <f>DATE(2010,8,3)</f>
        <v>40393</v>
      </c>
      <c r="C9581" s="2" t="s">
        <v>95</v>
      </c>
      <c r="D9581" s="2" t="s">
        <v>28165</v>
      </c>
      <c r="E9581" s="2" t="s">
        <v>28166</v>
      </c>
      <c r="F9581" s="4">
        <v>3479</v>
      </c>
      <c r="G9581" s="2" t="s">
        <v>163</v>
      </c>
      <c r="H9581" s="2" t="s">
        <v>34</v>
      </c>
      <c r="I9581" s="2" t="s">
        <v>28167</v>
      </c>
      <c r="J9581" s="2" t="s">
        <v>6913</v>
      </c>
      <c r="K9581" s="2" t="s">
        <v>137</v>
      </c>
      <c r="L9581" s="2" t="s">
        <v>34</v>
      </c>
      <c r="M9581" s="7">
        <v>407.39499999999998</v>
      </c>
      <c r="N9581" s="6">
        <v>38.46</v>
      </c>
      <c r="O9581" s="6">
        <v>39.979999999999997</v>
      </c>
      <c r="P9581" s="2" t="s">
        <v>28168</v>
      </c>
      <c r="Q9581" s="6">
        <v>100</v>
      </c>
      <c r="R9581" s="6">
        <v>7.5</v>
      </c>
      <c r="S9581" s="5">
        <v>7.5</v>
      </c>
      <c r="T9581" s="7">
        <v>16.658000000000001</v>
      </c>
      <c r="U9581" s="5">
        <v>3.6</v>
      </c>
      <c r="V9581" s="6">
        <v>0.47</v>
      </c>
      <c r="W9581" s="5">
        <v>5.5</v>
      </c>
      <c r="X9581" s="6">
        <v>5.56</v>
      </c>
      <c r="Y9581" s="6">
        <v>7.49</v>
      </c>
      <c r="Z9581" s="6">
        <v>7.49</v>
      </c>
      <c r="AA9581" s="6">
        <v>16.59</v>
      </c>
      <c r="AB9581" s="7">
        <v>8.4260000000000002</v>
      </c>
      <c r="AC9581" s="6">
        <v>110.61</v>
      </c>
    </row>
    <row r="9582" spans="1:29" ht="182" x14ac:dyDescent="0.15">
      <c r="A9582" s="3">
        <f>DATE(2010,4,4)</f>
        <v>40272</v>
      </c>
      <c r="B9582" s="3">
        <f>DATE(2010,7,16)</f>
        <v>40375</v>
      </c>
      <c r="C9582" s="2" t="s">
        <v>95</v>
      </c>
      <c r="D9582" s="2" t="s">
        <v>28169</v>
      </c>
      <c r="E9582" s="2" t="s">
        <v>18348</v>
      </c>
      <c r="F9582" s="4">
        <v>1311</v>
      </c>
      <c r="G9582" s="2" t="s">
        <v>148</v>
      </c>
      <c r="H9582" s="2" t="s">
        <v>34</v>
      </c>
      <c r="I9582" s="2" t="s">
        <v>28170</v>
      </c>
      <c r="J9582" s="2" t="s">
        <v>1608</v>
      </c>
      <c r="K9582" s="2" t="s">
        <v>148</v>
      </c>
      <c r="L9582" s="2" t="s">
        <v>34</v>
      </c>
      <c r="M9582" s="12">
        <v>1578.104</v>
      </c>
      <c r="N9582" s="6">
        <v>7.58</v>
      </c>
      <c r="O9582" s="6">
        <v>7.58</v>
      </c>
      <c r="P9582" s="2" t="s">
        <v>28171</v>
      </c>
      <c r="Q9582" s="6">
        <v>100</v>
      </c>
      <c r="R9582" s="6">
        <v>42</v>
      </c>
      <c r="S9582" s="5">
        <v>53.9</v>
      </c>
      <c r="T9582" s="7">
        <v>109.517</v>
      </c>
      <c r="U9582" s="5">
        <v>13.8</v>
      </c>
      <c r="V9582" s="6">
        <v>1.38</v>
      </c>
      <c r="W9582" s="6">
        <v>31.76</v>
      </c>
      <c r="X9582" s="6">
        <v>34.26</v>
      </c>
      <c r="Y9582" s="6">
        <v>36.71</v>
      </c>
      <c r="Z9582" s="6">
        <v>36.71</v>
      </c>
      <c r="AA9582" s="6">
        <v>40.549999999999997</v>
      </c>
      <c r="AB9582" s="7">
        <v>25.152000000000001</v>
      </c>
      <c r="AC9582" s="6">
        <v>2.57</v>
      </c>
    </row>
    <row r="9583" spans="1:29" ht="65" x14ac:dyDescent="0.15">
      <c r="A9583" s="3">
        <f>DATE(2010,4,5)</f>
        <v>40273</v>
      </c>
      <c r="B9583" s="3">
        <f>DATE(2010,6,30)</f>
        <v>40359</v>
      </c>
      <c r="C9583" s="2" t="s">
        <v>95</v>
      </c>
      <c r="D9583" s="2" t="s">
        <v>28172</v>
      </c>
      <c r="E9583" s="2" t="s">
        <v>28173</v>
      </c>
      <c r="F9583" s="4">
        <v>8072</v>
      </c>
      <c r="G9583" s="2" t="s">
        <v>454</v>
      </c>
      <c r="H9583" s="2" t="s">
        <v>34</v>
      </c>
      <c r="I9583" s="2" t="s">
        <v>28174</v>
      </c>
      <c r="J9583" s="2" t="s">
        <v>28173</v>
      </c>
      <c r="K9583" s="2" t="s">
        <v>454</v>
      </c>
      <c r="L9583" s="2" t="s">
        <v>34</v>
      </c>
      <c r="M9583" s="2"/>
      <c r="N9583" s="2"/>
      <c r="O9583" s="2"/>
      <c r="P9583" s="2" t="s">
        <v>28175</v>
      </c>
      <c r="Q9583" s="6">
        <v>100</v>
      </c>
      <c r="R9583" s="6">
        <v>17</v>
      </c>
      <c r="S9583" s="5">
        <v>5.5</v>
      </c>
      <c r="T9583" s="7">
        <v>18.178999999999998</v>
      </c>
      <c r="U9583" s="5">
        <v>17.3</v>
      </c>
      <c r="V9583" s="6">
        <v>0.93</v>
      </c>
      <c r="W9583" s="6">
        <v>9.77</v>
      </c>
      <c r="X9583" s="6">
        <v>10.02</v>
      </c>
      <c r="Y9583" s="6">
        <v>16.829999999999998</v>
      </c>
      <c r="Z9583" s="6">
        <v>16.86</v>
      </c>
      <c r="AA9583" s="6">
        <v>6.61</v>
      </c>
      <c r="AB9583" s="7">
        <v>10.202999999999999</v>
      </c>
      <c r="AC9583" s="2"/>
    </row>
    <row r="9584" spans="1:29" ht="169" x14ac:dyDescent="0.15">
      <c r="A9584" s="3">
        <f>DATE(2010,4,5)</f>
        <v>40273</v>
      </c>
      <c r="B9584" s="3">
        <f>DATE(2010,7,1)</f>
        <v>40360</v>
      </c>
      <c r="C9584" s="2" t="s">
        <v>95</v>
      </c>
      <c r="D9584" s="2" t="s">
        <v>28176</v>
      </c>
      <c r="E9584" s="2" t="s">
        <v>28177</v>
      </c>
      <c r="F9584" s="4">
        <v>7372</v>
      </c>
      <c r="G9584" s="2" t="s">
        <v>551</v>
      </c>
      <c r="H9584" s="2" t="s">
        <v>34</v>
      </c>
      <c r="I9584" s="2" t="s">
        <v>28178</v>
      </c>
      <c r="J9584" s="2" t="s">
        <v>28179</v>
      </c>
      <c r="K9584" s="2" t="s">
        <v>551</v>
      </c>
      <c r="L9584" s="2" t="s">
        <v>34</v>
      </c>
      <c r="M9584" s="7">
        <v>181.685</v>
      </c>
      <c r="N9584" s="6">
        <v>7.01</v>
      </c>
      <c r="O9584" s="6">
        <v>7.06</v>
      </c>
      <c r="P9584" s="2" t="s">
        <v>28180</v>
      </c>
      <c r="Q9584" s="6">
        <v>100</v>
      </c>
      <c r="R9584" s="6">
        <v>5.07</v>
      </c>
      <c r="S9584" s="5">
        <v>-6.3</v>
      </c>
      <c r="T9584" s="7">
        <v>13.159000000000001</v>
      </c>
      <c r="U9584" s="5">
        <v>4.2</v>
      </c>
      <c r="V9584" s="6">
        <v>-0.02</v>
      </c>
      <c r="W9584" s="6">
        <v>4.49</v>
      </c>
      <c r="X9584" s="6">
        <v>4.47</v>
      </c>
      <c r="Y9584" s="6">
        <v>5.46</v>
      </c>
      <c r="Z9584" s="6">
        <v>5.48</v>
      </c>
      <c r="AA9584" s="6">
        <v>34.69</v>
      </c>
      <c r="AB9584" s="2" t="s">
        <v>86</v>
      </c>
      <c r="AC9584" s="6">
        <v>61.51</v>
      </c>
    </row>
    <row r="9585" spans="1:29" ht="182" x14ac:dyDescent="0.15">
      <c r="A9585" s="3">
        <f>DATE(2010,4,5)</f>
        <v>40273</v>
      </c>
      <c r="B9585" s="3">
        <f>DATE(2010,4,15)</f>
        <v>40283</v>
      </c>
      <c r="C9585" s="2" t="s">
        <v>95</v>
      </c>
      <c r="D9585" s="2" t="s">
        <v>6032</v>
      </c>
      <c r="E9585" s="2" t="s">
        <v>6033</v>
      </c>
      <c r="F9585" s="4">
        <v>2873</v>
      </c>
      <c r="G9585" s="2" t="s">
        <v>98</v>
      </c>
      <c r="H9585" s="2" t="s">
        <v>34</v>
      </c>
      <c r="I9585" s="2" t="s">
        <v>27304</v>
      </c>
      <c r="J9585" s="2" t="s">
        <v>27305</v>
      </c>
      <c r="K9585" s="2" t="s">
        <v>98</v>
      </c>
      <c r="L9585" s="2" t="s">
        <v>34</v>
      </c>
      <c r="M9585" s="10">
        <v>5002.54</v>
      </c>
      <c r="N9585" s="6">
        <v>91.95</v>
      </c>
      <c r="O9585" s="6">
        <v>92.43</v>
      </c>
      <c r="P9585" s="2" t="s">
        <v>28181</v>
      </c>
      <c r="Q9585" s="6">
        <v>14.33</v>
      </c>
      <c r="R9585" s="6">
        <v>45.96</v>
      </c>
      <c r="S9585" s="5">
        <v>169.3</v>
      </c>
      <c r="T9585" s="7">
        <v>406.101</v>
      </c>
      <c r="U9585" s="5">
        <v>5</v>
      </c>
      <c r="V9585" s="6">
        <v>1.7</v>
      </c>
      <c r="W9585" s="6">
        <v>46.03</v>
      </c>
      <c r="X9585" s="6">
        <v>45.81</v>
      </c>
      <c r="Y9585" s="6">
        <v>45.87</v>
      </c>
      <c r="Z9585" s="4">
        <v>46</v>
      </c>
      <c r="AA9585" s="6">
        <v>100.16</v>
      </c>
      <c r="AB9585" s="7">
        <v>14.238</v>
      </c>
      <c r="AC9585" s="8">
        <v>1035.7</v>
      </c>
    </row>
    <row r="9586" spans="1:29" ht="39" x14ac:dyDescent="0.15">
      <c r="A9586" s="3">
        <f>DATE(2010,4,6)</f>
        <v>40274</v>
      </c>
      <c r="B9586" s="2"/>
      <c r="C9586" s="2" t="s">
        <v>7330</v>
      </c>
      <c r="D9586" s="2" t="s">
        <v>28182</v>
      </c>
      <c r="E9586" s="2" t="s">
        <v>28183</v>
      </c>
      <c r="F9586" s="4">
        <v>7375</v>
      </c>
      <c r="G9586" s="2" t="s">
        <v>223</v>
      </c>
      <c r="H9586" s="2" t="s">
        <v>34</v>
      </c>
      <c r="I9586" s="2" t="s">
        <v>1526</v>
      </c>
      <c r="J9586" s="2" t="s">
        <v>302</v>
      </c>
      <c r="K9586" s="2" t="s">
        <v>53</v>
      </c>
      <c r="L9586" s="2" t="s">
        <v>34</v>
      </c>
      <c r="M9586" s="2"/>
      <c r="N9586" s="2"/>
      <c r="O9586" s="2"/>
      <c r="P9586" s="2" t="s">
        <v>28184</v>
      </c>
      <c r="Q9586" s="2"/>
      <c r="R9586" s="2"/>
      <c r="S9586" s="5">
        <v>-13</v>
      </c>
      <c r="T9586" s="7">
        <v>-5.7770000000000001</v>
      </c>
      <c r="U9586" s="5">
        <v>-1.9</v>
      </c>
      <c r="V9586" s="6">
        <v>-2.35</v>
      </c>
      <c r="W9586" s="6">
        <v>1.44</v>
      </c>
      <c r="X9586" s="6">
        <v>1.42</v>
      </c>
      <c r="Y9586" s="6">
        <v>1.1100000000000001</v>
      </c>
      <c r="Z9586" s="6">
        <v>1.1399999999999999</v>
      </c>
      <c r="AA9586" s="2"/>
      <c r="AB9586" s="2" t="s">
        <v>86</v>
      </c>
      <c r="AC9586" s="2"/>
    </row>
    <row r="9587" spans="1:29" ht="208" x14ac:dyDescent="0.15">
      <c r="A9587" s="3">
        <f>DATE(2010,4,7)</f>
        <v>40275</v>
      </c>
      <c r="B9587" s="3">
        <f>DATE(2010,7,12)</f>
        <v>40371</v>
      </c>
      <c r="C9587" s="2" t="s">
        <v>95</v>
      </c>
      <c r="D9587" s="2" t="s">
        <v>7222</v>
      </c>
      <c r="E9587" s="2" t="s">
        <v>7082</v>
      </c>
      <c r="F9587" s="4">
        <v>5812</v>
      </c>
      <c r="G9587" s="2" t="s">
        <v>230</v>
      </c>
      <c r="H9587" s="2" t="s">
        <v>34</v>
      </c>
      <c r="I9587" s="2" t="s">
        <v>28185</v>
      </c>
      <c r="J9587" s="2" t="s">
        <v>11337</v>
      </c>
      <c r="K9587" s="2" t="s">
        <v>53</v>
      </c>
      <c r="L9587" s="2" t="s">
        <v>34</v>
      </c>
      <c r="M9587" s="2"/>
      <c r="N9587" s="2"/>
      <c r="O9587" s="2"/>
      <c r="P9587" s="2" t="s">
        <v>28186</v>
      </c>
      <c r="Q9587" s="6">
        <v>100</v>
      </c>
      <c r="R9587" s="6">
        <v>12.55</v>
      </c>
      <c r="S9587" s="2"/>
      <c r="T9587" s="2"/>
      <c r="U9587" s="5">
        <v>4.3</v>
      </c>
      <c r="V9587" s="2"/>
      <c r="W9587" s="5">
        <v>8.9</v>
      </c>
      <c r="X9587" s="6">
        <v>8.91</v>
      </c>
      <c r="Y9587" s="6">
        <v>11.37</v>
      </c>
      <c r="Z9587" s="6">
        <v>11.17</v>
      </c>
      <c r="AA9587" s="6">
        <v>55.29</v>
      </c>
      <c r="AB9587" s="2" t="s">
        <v>47</v>
      </c>
      <c r="AC9587" s="2"/>
    </row>
    <row r="9588" spans="1:29" ht="169" x14ac:dyDescent="0.15">
      <c r="A9588" s="3">
        <f>DATE(2010,4,9)</f>
        <v>40277</v>
      </c>
      <c r="B9588" s="2"/>
      <c r="C9588" s="2" t="s">
        <v>30</v>
      </c>
      <c r="D9588" s="2" t="s">
        <v>28187</v>
      </c>
      <c r="E9588" s="2" t="s">
        <v>4522</v>
      </c>
      <c r="F9588" s="4">
        <v>5411</v>
      </c>
      <c r="G9588" s="2" t="s">
        <v>1461</v>
      </c>
      <c r="H9588" s="2" t="s">
        <v>34</v>
      </c>
      <c r="I9588" s="2" t="s">
        <v>28188</v>
      </c>
      <c r="J9588" s="2" t="s">
        <v>14384</v>
      </c>
      <c r="K9588" s="2" t="s">
        <v>1461</v>
      </c>
      <c r="L9588" s="2" t="s">
        <v>902</v>
      </c>
      <c r="M9588" s="7">
        <v>970.00199999999995</v>
      </c>
      <c r="N9588" s="7">
        <v>18.855</v>
      </c>
      <c r="O9588" s="7">
        <v>19.577000000000002</v>
      </c>
      <c r="P9588" s="2" t="s">
        <v>28189</v>
      </c>
      <c r="Q9588" s="2"/>
      <c r="R9588" s="6">
        <v>38.5</v>
      </c>
      <c r="S9588" s="5">
        <v>110.1</v>
      </c>
      <c r="T9588" s="7">
        <v>267.23599999999999</v>
      </c>
      <c r="U9588" s="5">
        <v>22.7</v>
      </c>
      <c r="V9588" s="6">
        <v>2.27</v>
      </c>
      <c r="W9588" s="6">
        <v>31.65</v>
      </c>
      <c r="X9588" s="6">
        <v>31.59</v>
      </c>
      <c r="Y9588" s="5">
        <v>39.1</v>
      </c>
      <c r="Z9588" s="6">
        <v>39.22</v>
      </c>
      <c r="AA9588" s="6">
        <v>50.92</v>
      </c>
      <c r="AB9588" s="7">
        <v>7.5209999999999999</v>
      </c>
      <c r="AC9588" s="5">
        <v>255.6</v>
      </c>
    </row>
    <row r="9589" spans="1:29" ht="78" x14ac:dyDescent="0.15">
      <c r="A9589" s="3">
        <f>DATE(2010,4,10)</f>
        <v>40278</v>
      </c>
      <c r="B9589" s="3">
        <f>DATE(2010,9,17)</f>
        <v>40438</v>
      </c>
      <c r="C9589" s="2" t="s">
        <v>95</v>
      </c>
      <c r="D9589" s="2" t="s">
        <v>28190</v>
      </c>
      <c r="E9589" s="2" t="s">
        <v>28191</v>
      </c>
      <c r="F9589" s="4">
        <v>3533</v>
      </c>
      <c r="G9589" s="2" t="s">
        <v>300</v>
      </c>
      <c r="H9589" s="2" t="s">
        <v>34</v>
      </c>
      <c r="I9589" s="2" t="s">
        <v>8199</v>
      </c>
      <c r="J9589" s="2" t="s">
        <v>8200</v>
      </c>
      <c r="K9589" s="2" t="s">
        <v>148</v>
      </c>
      <c r="L9589" s="2" t="s">
        <v>34</v>
      </c>
      <c r="M9589" s="12">
        <v>28510.334999999999</v>
      </c>
      <c r="N9589" s="5">
        <v>31.5</v>
      </c>
      <c r="O9589" s="5">
        <v>31.5</v>
      </c>
      <c r="P9589" s="2" t="s">
        <v>28192</v>
      </c>
      <c r="Q9589" s="6">
        <v>100</v>
      </c>
      <c r="R9589" s="6">
        <v>3</v>
      </c>
      <c r="S9589" s="5">
        <v>4.8</v>
      </c>
      <c r="T9589" s="6">
        <v>25.27</v>
      </c>
      <c r="U9589" s="5">
        <v>1.4</v>
      </c>
      <c r="V9589" s="6">
        <v>0.05</v>
      </c>
      <c r="W9589" s="5">
        <v>2.4</v>
      </c>
      <c r="X9589" s="6">
        <v>2.35</v>
      </c>
      <c r="Y9589" s="6">
        <v>2.95</v>
      </c>
      <c r="Z9589" s="6">
        <v>2.95</v>
      </c>
      <c r="AA9589" s="6">
        <v>84.72</v>
      </c>
      <c r="AB9589" s="7">
        <v>23.797000000000001</v>
      </c>
      <c r="AC9589" s="8">
        <v>3191</v>
      </c>
    </row>
    <row r="9590" spans="1:29" ht="143" x14ac:dyDescent="0.15">
      <c r="A9590" s="3">
        <f>DATE(2010,4,11)</f>
        <v>40279</v>
      </c>
      <c r="B9590" s="3">
        <f>DATE(2010,12,3)</f>
        <v>40515</v>
      </c>
      <c r="C9590" s="2" t="s">
        <v>95</v>
      </c>
      <c r="D9590" s="2" t="s">
        <v>18482</v>
      </c>
      <c r="E9590" s="2" t="s">
        <v>438</v>
      </c>
      <c r="F9590" s="4">
        <v>4911</v>
      </c>
      <c r="G9590" s="2" t="s">
        <v>439</v>
      </c>
      <c r="H9590" s="2" t="s">
        <v>34</v>
      </c>
      <c r="I9590" s="2" t="s">
        <v>28193</v>
      </c>
      <c r="J9590" s="2" t="s">
        <v>28194</v>
      </c>
      <c r="K9590" s="2" t="s">
        <v>439</v>
      </c>
      <c r="L9590" s="2" t="s">
        <v>34</v>
      </c>
      <c r="M9590" s="12">
        <v>3446.8040000000001</v>
      </c>
      <c r="N9590" s="6">
        <v>4.53</v>
      </c>
      <c r="O9590" s="6">
        <v>4.53</v>
      </c>
      <c r="P9590" s="2" t="s">
        <v>28195</v>
      </c>
      <c r="Q9590" s="6">
        <v>100</v>
      </c>
      <c r="R9590" s="6">
        <v>11.2</v>
      </c>
      <c r="S9590" s="5">
        <v>521</v>
      </c>
      <c r="T9590" s="8">
        <v>1442</v>
      </c>
      <c r="U9590" s="5">
        <v>32.5</v>
      </c>
      <c r="V9590" s="6">
        <v>3.59</v>
      </c>
      <c r="W9590" s="6">
        <v>10.71</v>
      </c>
      <c r="X9590" s="6">
        <v>10.73</v>
      </c>
      <c r="Y9590" s="6">
        <v>12.68</v>
      </c>
      <c r="Z9590" s="6">
        <v>12.68</v>
      </c>
      <c r="AA9590" s="6">
        <v>144.97</v>
      </c>
      <c r="AB9590" s="7">
        <v>1.6419999999999999</v>
      </c>
      <c r="AC9590" s="10">
        <v>1354.53</v>
      </c>
    </row>
    <row r="9591" spans="1:29" ht="78" x14ac:dyDescent="0.15">
      <c r="A9591" s="3">
        <f>DATE(2010,4,12)</f>
        <v>40280</v>
      </c>
      <c r="B9591" s="3">
        <f>DATE(2010,7,7)</f>
        <v>40366</v>
      </c>
      <c r="C9591" s="2" t="s">
        <v>95</v>
      </c>
      <c r="D9591" s="2" t="s">
        <v>28196</v>
      </c>
      <c r="E9591" s="2" t="s">
        <v>28197</v>
      </c>
      <c r="F9591" s="4">
        <v>7389</v>
      </c>
      <c r="G9591" s="2" t="s">
        <v>223</v>
      </c>
      <c r="H9591" s="2" t="s">
        <v>34</v>
      </c>
      <c r="I9591" s="2" t="s">
        <v>21046</v>
      </c>
      <c r="J9591" s="2" t="s">
        <v>244</v>
      </c>
      <c r="K9591" s="2" t="s">
        <v>53</v>
      </c>
      <c r="L9591" s="2" t="s">
        <v>34</v>
      </c>
      <c r="M9591" s="2"/>
      <c r="N9591" s="2"/>
      <c r="O9591" s="2"/>
      <c r="P9591" s="2" t="s">
        <v>28198</v>
      </c>
      <c r="Q9591" s="6">
        <v>100</v>
      </c>
      <c r="R9591" s="6">
        <v>17.55</v>
      </c>
      <c r="S9591" s="5">
        <v>102.1</v>
      </c>
      <c r="T9591" s="7">
        <v>241.74700000000001</v>
      </c>
      <c r="U9591" s="5">
        <v>10.3</v>
      </c>
      <c r="V9591" s="7">
        <v>1.3759999999999999</v>
      </c>
      <c r="W9591" s="6">
        <v>11.65</v>
      </c>
      <c r="X9591" s="6">
        <v>11.75</v>
      </c>
      <c r="Y9591" s="6">
        <v>17.41</v>
      </c>
      <c r="Z9591" s="6">
        <v>17.34</v>
      </c>
      <c r="AA9591" s="6">
        <v>56.29</v>
      </c>
      <c r="AB9591" s="7">
        <v>7.1189999999999998</v>
      </c>
      <c r="AC9591" s="2"/>
    </row>
    <row r="9592" spans="1:29" ht="117" x14ac:dyDescent="0.15">
      <c r="A9592" s="3">
        <f>DATE(2010,4,12)</f>
        <v>40280</v>
      </c>
      <c r="B9592" s="3">
        <f>DATE(2010,7,2)</f>
        <v>40361</v>
      </c>
      <c r="C9592" s="2" t="s">
        <v>95</v>
      </c>
      <c r="D9592" s="2" t="s">
        <v>27965</v>
      </c>
      <c r="E9592" s="2" t="s">
        <v>3812</v>
      </c>
      <c r="F9592" s="4">
        <v>2834</v>
      </c>
      <c r="G9592" s="2" t="s">
        <v>130</v>
      </c>
      <c r="H9592" s="2" t="s">
        <v>34</v>
      </c>
      <c r="I9592" s="2" t="s">
        <v>28199</v>
      </c>
      <c r="J9592" s="2" t="s">
        <v>28200</v>
      </c>
      <c r="K9592" s="2" t="s">
        <v>130</v>
      </c>
      <c r="L9592" s="2" t="s">
        <v>34</v>
      </c>
      <c r="M9592" s="2"/>
      <c r="N9592" s="6">
        <v>56.11</v>
      </c>
      <c r="O9592" s="5">
        <v>57.5</v>
      </c>
      <c r="P9592" s="2" t="s">
        <v>28201</v>
      </c>
      <c r="Q9592" s="6">
        <v>100</v>
      </c>
      <c r="R9592" s="6">
        <v>2.2000000000000002</v>
      </c>
      <c r="S9592" s="5">
        <v>-29.2</v>
      </c>
      <c r="T9592" s="7">
        <v>-27.765999999999998</v>
      </c>
      <c r="U9592" s="5">
        <v>-0.2</v>
      </c>
      <c r="V9592" s="6">
        <v>-0.47</v>
      </c>
      <c r="W9592" s="6">
        <v>1.32</v>
      </c>
      <c r="X9592" s="6">
        <v>1.23</v>
      </c>
      <c r="Y9592" s="5">
        <v>1.3</v>
      </c>
      <c r="Z9592" s="6">
        <v>1.25</v>
      </c>
      <c r="AA9592" s="6">
        <v>64.37</v>
      </c>
      <c r="AB9592" s="2" t="s">
        <v>86</v>
      </c>
      <c r="AC9592" s="2"/>
    </row>
    <row r="9593" spans="1:29" ht="65" x14ac:dyDescent="0.15">
      <c r="A9593" s="3">
        <f>DATE(2010,4,14)</f>
        <v>40282</v>
      </c>
      <c r="B9593" s="3">
        <f>DATE(2010,6,1)</f>
        <v>40330</v>
      </c>
      <c r="C9593" s="2" t="s">
        <v>95</v>
      </c>
      <c r="D9593" s="2" t="s">
        <v>22770</v>
      </c>
      <c r="E9593" s="2" t="s">
        <v>28202</v>
      </c>
      <c r="F9593" s="4">
        <v>8092</v>
      </c>
      <c r="G9593" s="2" t="s">
        <v>454</v>
      </c>
      <c r="H9593" s="2" t="s">
        <v>34</v>
      </c>
      <c r="I9593" s="2" t="s">
        <v>28203</v>
      </c>
      <c r="J9593" s="2" t="s">
        <v>28204</v>
      </c>
      <c r="K9593" s="2" t="s">
        <v>454</v>
      </c>
      <c r="L9593" s="2" t="s">
        <v>34</v>
      </c>
      <c r="M9593" s="2"/>
      <c r="N9593" s="2"/>
      <c r="O9593" s="2"/>
      <c r="P9593" s="2" t="s">
        <v>28205</v>
      </c>
      <c r="Q9593" s="6">
        <v>100</v>
      </c>
      <c r="R9593" s="6">
        <v>11.25</v>
      </c>
      <c r="S9593" s="5">
        <v>2.6</v>
      </c>
      <c r="T9593" s="7">
        <v>9.4009999999999998</v>
      </c>
      <c r="U9593" s="5">
        <v>4</v>
      </c>
      <c r="V9593" s="6">
        <v>0.27</v>
      </c>
      <c r="W9593" s="6">
        <v>6.23</v>
      </c>
      <c r="X9593" s="6">
        <v>6.52</v>
      </c>
      <c r="Y9593" s="6">
        <v>11.21</v>
      </c>
      <c r="Z9593" s="6">
        <v>11.18</v>
      </c>
      <c r="AA9593" s="6">
        <v>9.61</v>
      </c>
      <c r="AB9593" s="7">
        <v>18.198</v>
      </c>
      <c r="AC9593" s="2"/>
    </row>
    <row r="9594" spans="1:29" ht="65" x14ac:dyDescent="0.15">
      <c r="A9594" s="3">
        <f>DATE(2010,4,15)</f>
        <v>40283</v>
      </c>
      <c r="B9594" s="2"/>
      <c r="C9594" s="2" t="s">
        <v>7330</v>
      </c>
      <c r="D9594" s="2" t="s">
        <v>28206</v>
      </c>
      <c r="E9594" s="2" t="s">
        <v>28207</v>
      </c>
      <c r="F9594" s="4">
        <v>7359</v>
      </c>
      <c r="G9594" s="2" t="s">
        <v>223</v>
      </c>
      <c r="H9594" s="2" t="s">
        <v>34</v>
      </c>
      <c r="I9594" s="2" t="s">
        <v>28208</v>
      </c>
      <c r="J9594" s="2" t="s">
        <v>302</v>
      </c>
      <c r="K9594" s="2" t="s">
        <v>53</v>
      </c>
      <c r="L9594" s="2" t="s">
        <v>34</v>
      </c>
      <c r="M9594" s="2"/>
      <c r="N9594" s="2"/>
      <c r="O9594" s="2"/>
      <c r="P9594" s="2" t="s">
        <v>28209</v>
      </c>
      <c r="Q9594" s="2"/>
      <c r="R9594" s="2"/>
      <c r="S9594" s="5">
        <v>0</v>
      </c>
      <c r="T9594" s="2"/>
      <c r="U9594" s="5">
        <v>0.1</v>
      </c>
      <c r="V9594" s="6">
        <v>0.37</v>
      </c>
      <c r="W9594" s="6">
        <v>4.0199999999999996</v>
      </c>
      <c r="X9594" s="6">
        <v>4.0199999999999996</v>
      </c>
      <c r="Y9594" s="6">
        <v>4.0199999999999996</v>
      </c>
      <c r="Z9594" s="6">
        <v>4.0199999999999996</v>
      </c>
      <c r="AA9594" s="6">
        <v>31.31</v>
      </c>
      <c r="AB9594" s="2" t="s">
        <v>86</v>
      </c>
      <c r="AC9594" s="2"/>
    </row>
    <row r="9595" spans="1:29" ht="182" x14ac:dyDescent="0.15">
      <c r="A9595" s="3">
        <f>DATE(2010,4,15)</f>
        <v>40283</v>
      </c>
      <c r="B9595" s="3">
        <f>DATE(2010,11,10)</f>
        <v>40492</v>
      </c>
      <c r="C9595" s="2" t="s">
        <v>95</v>
      </c>
      <c r="D9595" s="2" t="s">
        <v>28210</v>
      </c>
      <c r="E9595" s="2" t="s">
        <v>18348</v>
      </c>
      <c r="F9595" s="4">
        <v>1311</v>
      </c>
      <c r="G9595" s="2" t="s">
        <v>148</v>
      </c>
      <c r="H9595" s="2" t="s">
        <v>34</v>
      </c>
      <c r="I9595" s="2" t="s">
        <v>3866</v>
      </c>
      <c r="J9595" s="2" t="s">
        <v>1608</v>
      </c>
      <c r="K9595" s="2" t="s">
        <v>148</v>
      </c>
      <c r="L9595" s="2" t="s">
        <v>34</v>
      </c>
      <c r="M9595" s="12">
        <v>34816.122000000003</v>
      </c>
      <c r="N9595" s="6">
        <v>106.67</v>
      </c>
      <c r="O9595" s="6">
        <v>105.44</v>
      </c>
      <c r="P9595" s="2" t="s">
        <v>28211</v>
      </c>
      <c r="Q9595" s="6">
        <v>100</v>
      </c>
      <c r="R9595" s="6">
        <v>26.22</v>
      </c>
      <c r="S9595" s="5">
        <v>120</v>
      </c>
      <c r="T9595" s="10">
        <v>1384.54</v>
      </c>
      <c r="U9595" s="5">
        <v>9.1</v>
      </c>
      <c r="V9595" s="6">
        <v>1.31</v>
      </c>
      <c r="W9595" s="6">
        <v>16.96</v>
      </c>
      <c r="X9595" s="6">
        <v>18.09</v>
      </c>
      <c r="Y9595" s="2"/>
      <c r="Z9595" s="2"/>
      <c r="AA9595" s="6">
        <v>101.78</v>
      </c>
      <c r="AB9595" s="7">
        <v>3.964</v>
      </c>
      <c r="AC9595" s="10">
        <v>2125.63</v>
      </c>
    </row>
    <row r="9596" spans="1:29" ht="39" x14ac:dyDescent="0.15">
      <c r="A9596" s="3">
        <f>DATE(2010,4,16)</f>
        <v>40284</v>
      </c>
      <c r="B9596" s="3">
        <f>DATE(2010,4,16)</f>
        <v>40284</v>
      </c>
      <c r="C9596" s="2" t="s">
        <v>95</v>
      </c>
      <c r="D9596" s="2" t="s">
        <v>28212</v>
      </c>
      <c r="E9596" s="2" t="s">
        <v>3780</v>
      </c>
      <c r="F9596" s="4">
        <v>6021</v>
      </c>
      <c r="G9596" s="2" t="s">
        <v>37</v>
      </c>
      <c r="H9596" s="2" t="s">
        <v>34</v>
      </c>
      <c r="I9596" s="2" t="s">
        <v>28213</v>
      </c>
      <c r="J9596" s="2" t="s">
        <v>1181</v>
      </c>
      <c r="K9596" s="2" t="s">
        <v>37</v>
      </c>
      <c r="L9596" s="2" t="s">
        <v>34</v>
      </c>
      <c r="M9596" s="2"/>
      <c r="N9596" s="2"/>
      <c r="O9596" s="2"/>
      <c r="P9596" s="2" t="s">
        <v>28214</v>
      </c>
      <c r="Q9596" s="6">
        <v>100</v>
      </c>
      <c r="R9596" s="2"/>
      <c r="S9596" s="5">
        <v>-104.6</v>
      </c>
      <c r="T9596" s="2"/>
      <c r="U9596" s="5">
        <v>2.2999999999999998</v>
      </c>
      <c r="V9596" s="6">
        <v>-6.64</v>
      </c>
      <c r="W9596" s="5">
        <v>1.1000000000000001</v>
      </c>
      <c r="X9596" s="6">
        <v>1.93</v>
      </c>
      <c r="Y9596" s="5">
        <v>1.7</v>
      </c>
      <c r="Z9596" s="5">
        <v>1.7</v>
      </c>
      <c r="AA9596" s="2"/>
      <c r="AB9596" s="2" t="s">
        <v>86</v>
      </c>
      <c r="AC9596" s="2"/>
    </row>
    <row r="9597" spans="1:29" ht="65" x14ac:dyDescent="0.15">
      <c r="A9597" s="3">
        <f>DATE(2010,4,16)</f>
        <v>40284</v>
      </c>
      <c r="B9597" s="3">
        <f>DATE(2010,8,11)</f>
        <v>40401</v>
      </c>
      <c r="C9597" s="2" t="s">
        <v>95</v>
      </c>
      <c r="D9597" s="2" t="s">
        <v>28215</v>
      </c>
      <c r="E9597" s="2" t="s">
        <v>12382</v>
      </c>
      <c r="F9597" s="4">
        <v>7372</v>
      </c>
      <c r="G9597" s="2" t="s">
        <v>551</v>
      </c>
      <c r="H9597" s="2" t="s">
        <v>34</v>
      </c>
      <c r="I9597" s="2" t="s">
        <v>8588</v>
      </c>
      <c r="J9597" s="2" t="s">
        <v>8589</v>
      </c>
      <c r="K9597" s="2" t="s">
        <v>551</v>
      </c>
      <c r="L9597" s="2" t="s">
        <v>34</v>
      </c>
      <c r="M9597" s="12">
        <v>126232.632</v>
      </c>
      <c r="N9597" s="6">
        <v>25.95</v>
      </c>
      <c r="O9597" s="6">
        <v>26.19</v>
      </c>
      <c r="P9597" s="2" t="s">
        <v>28216</v>
      </c>
      <c r="Q9597" s="6">
        <v>100</v>
      </c>
      <c r="R9597" s="6">
        <v>17</v>
      </c>
      <c r="S9597" s="5">
        <v>5.9</v>
      </c>
      <c r="T9597" s="7">
        <v>30.529</v>
      </c>
      <c r="U9597" s="5">
        <v>5.5</v>
      </c>
      <c r="V9597" s="6">
        <v>0.13</v>
      </c>
      <c r="W9597" s="6">
        <v>13.08</v>
      </c>
      <c r="X9597" s="6">
        <v>13.08</v>
      </c>
      <c r="Y9597" s="5">
        <v>16.8</v>
      </c>
      <c r="Z9597" s="6">
        <v>16.809999999999999</v>
      </c>
      <c r="AA9597" s="6">
        <v>40.78</v>
      </c>
      <c r="AB9597" s="7">
        <v>51.591000000000001</v>
      </c>
      <c r="AC9597" s="8">
        <v>17492</v>
      </c>
    </row>
    <row r="9598" spans="1:29" ht="130" x14ac:dyDescent="0.15">
      <c r="A9598" s="3">
        <f>DATE(2010,4,19)</f>
        <v>40287</v>
      </c>
      <c r="B9598" s="3">
        <f>DATE(2010,8,12)</f>
        <v>40402</v>
      </c>
      <c r="C9598" s="2" t="s">
        <v>95</v>
      </c>
      <c r="D9598" s="2" t="s">
        <v>24628</v>
      </c>
      <c r="E9598" s="2" t="s">
        <v>11951</v>
      </c>
      <c r="F9598" s="4">
        <v>8744</v>
      </c>
      <c r="G9598" s="2" t="s">
        <v>223</v>
      </c>
      <c r="H9598" s="2" t="s">
        <v>34</v>
      </c>
      <c r="I9598" s="2" t="s">
        <v>24579</v>
      </c>
      <c r="J9598" s="2" t="s">
        <v>11951</v>
      </c>
      <c r="K9598" s="2" t="s">
        <v>223</v>
      </c>
      <c r="L9598" s="2" t="s">
        <v>34</v>
      </c>
      <c r="M9598" s="7">
        <v>987.154</v>
      </c>
      <c r="N9598" s="6">
        <v>18.91</v>
      </c>
      <c r="O9598" s="6">
        <v>19.87</v>
      </c>
      <c r="P9598" s="2" t="s">
        <v>28217</v>
      </c>
      <c r="Q9598" s="6">
        <v>100</v>
      </c>
      <c r="R9598" s="6">
        <v>24.91</v>
      </c>
      <c r="S9598" s="5">
        <v>22.6</v>
      </c>
      <c r="T9598" s="7">
        <v>89.503</v>
      </c>
      <c r="U9598" s="5">
        <v>17.399999999999999</v>
      </c>
      <c r="V9598" s="6">
        <v>1.51</v>
      </c>
      <c r="W9598" s="6">
        <v>18.079999999999998</v>
      </c>
      <c r="X9598" s="6">
        <v>18.47</v>
      </c>
      <c r="Y9598" s="5">
        <v>24.5</v>
      </c>
      <c r="Z9598" s="6">
        <v>25.71</v>
      </c>
      <c r="AA9598" s="6">
        <v>14.97</v>
      </c>
      <c r="AB9598" s="7">
        <v>8.7560000000000002</v>
      </c>
      <c r="AC9598" s="6">
        <v>43.58</v>
      </c>
    </row>
    <row r="9599" spans="1:29" ht="130" x14ac:dyDescent="0.15">
      <c r="A9599" s="3">
        <f>DATE(2010,4,20)</f>
        <v>40288</v>
      </c>
      <c r="B9599" s="3">
        <f>DATE(2011,5,6)</f>
        <v>40669</v>
      </c>
      <c r="C9599" s="2" t="s">
        <v>95</v>
      </c>
      <c r="D9599" s="2" t="s">
        <v>28218</v>
      </c>
      <c r="E9599" s="2" t="s">
        <v>36</v>
      </c>
      <c r="F9599" s="4">
        <v>6021</v>
      </c>
      <c r="G9599" s="2" t="s">
        <v>37</v>
      </c>
      <c r="H9599" s="2" t="s">
        <v>34</v>
      </c>
      <c r="I9599" s="2" t="s">
        <v>28219</v>
      </c>
      <c r="J9599" s="2" t="s">
        <v>515</v>
      </c>
      <c r="K9599" s="2" t="s">
        <v>125</v>
      </c>
      <c r="L9599" s="2" t="s">
        <v>34</v>
      </c>
      <c r="M9599" s="7">
        <v>390.17599999999999</v>
      </c>
      <c r="N9599" s="6">
        <v>14.83</v>
      </c>
      <c r="O9599" s="6">
        <v>14.72</v>
      </c>
      <c r="P9599" s="2" t="s">
        <v>28220</v>
      </c>
      <c r="Q9599" s="6">
        <v>100</v>
      </c>
      <c r="R9599" s="6">
        <v>8.18</v>
      </c>
      <c r="S9599" s="5">
        <v>-0.2</v>
      </c>
      <c r="T9599" s="7">
        <v>1.034</v>
      </c>
      <c r="U9599" s="5">
        <v>11.1</v>
      </c>
      <c r="V9599" s="6">
        <v>-0.09</v>
      </c>
      <c r="W9599" s="6">
        <v>5.35</v>
      </c>
      <c r="X9599" s="4">
        <v>6</v>
      </c>
      <c r="Y9599" s="6">
        <v>7.75</v>
      </c>
      <c r="Z9599" s="6">
        <v>7.57</v>
      </c>
      <c r="AA9599" s="6">
        <v>2.74</v>
      </c>
      <c r="AB9599" s="2" t="s">
        <v>86</v>
      </c>
      <c r="AC9599" s="6">
        <v>5.91</v>
      </c>
    </row>
    <row r="9600" spans="1:29" ht="65" x14ac:dyDescent="0.15">
      <c r="A9600" s="3">
        <f>DATE(2010,4,21)</f>
        <v>40289</v>
      </c>
      <c r="B9600" s="3">
        <f>DATE(2010,7,21)</f>
        <v>40380</v>
      </c>
      <c r="C9600" s="2" t="s">
        <v>95</v>
      </c>
      <c r="D9600" s="2" t="s">
        <v>25717</v>
      </c>
      <c r="E9600" s="2" t="s">
        <v>6357</v>
      </c>
      <c r="F9600" s="4">
        <v>7375</v>
      </c>
      <c r="G9600" s="2" t="s">
        <v>223</v>
      </c>
      <c r="H9600" s="2" t="s">
        <v>34</v>
      </c>
      <c r="I9600" s="2" t="s">
        <v>28221</v>
      </c>
      <c r="J9600" s="2" t="s">
        <v>28222</v>
      </c>
      <c r="K9600" s="2" t="s">
        <v>3583</v>
      </c>
      <c r="L9600" s="2" t="s">
        <v>34</v>
      </c>
      <c r="M9600" s="12">
        <v>74749.154999999999</v>
      </c>
      <c r="N9600" s="6">
        <v>93.13</v>
      </c>
      <c r="O9600" s="6">
        <v>95.14</v>
      </c>
      <c r="P9600" s="2" t="s">
        <v>28223</v>
      </c>
      <c r="Q9600" s="6">
        <v>100</v>
      </c>
      <c r="R9600" s="6">
        <v>26</v>
      </c>
      <c r="S9600" s="5">
        <v>13.8</v>
      </c>
      <c r="T9600" s="7">
        <v>57.055</v>
      </c>
      <c r="U9600" s="5">
        <v>7.9</v>
      </c>
      <c r="V9600" s="6">
        <v>0.19</v>
      </c>
      <c r="W9600" s="6">
        <v>19.61</v>
      </c>
      <c r="X9600" s="6">
        <v>19.440000000000001</v>
      </c>
      <c r="Y9600" s="6">
        <v>25.72</v>
      </c>
      <c r="Z9600" s="6">
        <v>25.66</v>
      </c>
      <c r="AA9600" s="6">
        <v>70.56</v>
      </c>
      <c r="AB9600" s="7">
        <v>81.674999999999997</v>
      </c>
      <c r="AC9600" s="8">
        <v>6010</v>
      </c>
    </row>
    <row r="9601" spans="1:29" ht="208" x14ac:dyDescent="0.15">
      <c r="A9601" s="3">
        <f>DATE(2010,4,22)</f>
        <v>40290</v>
      </c>
      <c r="B9601" s="3">
        <f>DATE(2011,4,1)</f>
        <v>40634</v>
      </c>
      <c r="C9601" s="2" t="s">
        <v>95</v>
      </c>
      <c r="D9601" s="2" t="s">
        <v>14653</v>
      </c>
      <c r="E9601" s="2" t="s">
        <v>14654</v>
      </c>
      <c r="F9601" s="4">
        <v>4813</v>
      </c>
      <c r="G9601" s="2" t="s">
        <v>63</v>
      </c>
      <c r="H9601" s="2" t="s">
        <v>34</v>
      </c>
      <c r="I9601" s="2" t="s">
        <v>19232</v>
      </c>
      <c r="J9601" s="2" t="s">
        <v>971</v>
      </c>
      <c r="K9601" s="2" t="s">
        <v>63</v>
      </c>
      <c r="L9601" s="2" t="s">
        <v>34</v>
      </c>
      <c r="M9601" s="12">
        <v>10457.989</v>
      </c>
      <c r="N9601" s="6">
        <v>35.01</v>
      </c>
      <c r="O9601" s="6">
        <v>34.33</v>
      </c>
      <c r="P9601" s="2" t="s">
        <v>28224</v>
      </c>
      <c r="Q9601" s="6">
        <v>100</v>
      </c>
      <c r="R9601" s="6">
        <v>6.02</v>
      </c>
      <c r="S9601" s="5">
        <v>489</v>
      </c>
      <c r="T9601" s="8">
        <v>4386</v>
      </c>
      <c r="U9601" s="5">
        <v>-0.6</v>
      </c>
      <c r="V9601" s="6">
        <v>0.28000000000000003</v>
      </c>
      <c r="W9601" s="6">
        <v>4.21</v>
      </c>
      <c r="X9601" s="6">
        <v>4.41</v>
      </c>
      <c r="Y9601" s="6">
        <v>4.29</v>
      </c>
      <c r="Z9601" s="6">
        <v>4.29</v>
      </c>
      <c r="AA9601" s="10">
        <v>1730.2</v>
      </c>
      <c r="AB9601" s="7">
        <v>10.558</v>
      </c>
      <c r="AC9601" s="6">
        <v>206.49</v>
      </c>
    </row>
    <row r="9602" spans="1:29" ht="65" x14ac:dyDescent="0.15">
      <c r="A9602" s="3">
        <f>DATE(2010,4,23)</f>
        <v>40291</v>
      </c>
      <c r="B9602" s="2"/>
      <c r="C9602" s="2" t="s">
        <v>30</v>
      </c>
      <c r="D9602" s="2" t="s">
        <v>28001</v>
      </c>
      <c r="E9602" s="2" t="s">
        <v>129</v>
      </c>
      <c r="F9602" s="4">
        <v>2834</v>
      </c>
      <c r="G9602" s="2" t="s">
        <v>130</v>
      </c>
      <c r="H9602" s="2" t="s">
        <v>34</v>
      </c>
      <c r="I9602" s="2" t="s">
        <v>28225</v>
      </c>
      <c r="J9602" s="2" t="s">
        <v>150</v>
      </c>
      <c r="K9602" s="2" t="s">
        <v>53</v>
      </c>
      <c r="L9602" s="2" t="s">
        <v>34</v>
      </c>
      <c r="M9602" s="2"/>
      <c r="N9602" s="2"/>
      <c r="O9602" s="2"/>
      <c r="P9602" s="2" t="s">
        <v>28226</v>
      </c>
      <c r="Q9602" s="2"/>
      <c r="R9602" s="6">
        <v>16</v>
      </c>
      <c r="S9602" s="5">
        <v>-3.5</v>
      </c>
      <c r="T9602" s="7">
        <v>-2.9119999999999999</v>
      </c>
      <c r="U9602" s="5">
        <v>8.9</v>
      </c>
      <c r="V9602" s="6">
        <v>-1.37</v>
      </c>
      <c r="W9602" s="6">
        <v>15.49</v>
      </c>
      <c r="X9602" s="5">
        <v>15.7</v>
      </c>
      <c r="Y9602" s="7">
        <v>17.074999999999999</v>
      </c>
      <c r="Z9602" s="5">
        <v>21.4</v>
      </c>
      <c r="AA9602" s="6">
        <v>2.54</v>
      </c>
      <c r="AB9602" s="2" t="s">
        <v>86</v>
      </c>
      <c r="AC9602" s="2"/>
    </row>
    <row r="9603" spans="1:29" ht="208" x14ac:dyDescent="0.15">
      <c r="A9603" s="3">
        <f>DATE(2010,4,25)</f>
        <v>40293</v>
      </c>
      <c r="B9603" s="2"/>
      <c r="C9603" s="2" t="s">
        <v>30</v>
      </c>
      <c r="D9603" s="2" t="s">
        <v>28227</v>
      </c>
      <c r="E9603" s="2" t="s">
        <v>10774</v>
      </c>
      <c r="F9603" s="4">
        <v>7514</v>
      </c>
      <c r="G9603" s="2" t="s">
        <v>1327</v>
      </c>
      <c r="H9603" s="2" t="s">
        <v>34</v>
      </c>
      <c r="I9603" s="2" t="s">
        <v>28228</v>
      </c>
      <c r="J9603" s="2" t="s">
        <v>28229</v>
      </c>
      <c r="K9603" s="2" t="s">
        <v>1327</v>
      </c>
      <c r="L9603" s="2" t="s">
        <v>34</v>
      </c>
      <c r="M9603" s="12">
        <v>4108.3040000000001</v>
      </c>
      <c r="N9603" s="6">
        <v>14.69</v>
      </c>
      <c r="O9603" s="6">
        <v>14.69</v>
      </c>
      <c r="P9603" s="2" t="s">
        <v>28230</v>
      </c>
      <c r="Q9603" s="2"/>
      <c r="R9603" s="6">
        <v>50</v>
      </c>
      <c r="S9603" s="5">
        <v>111.1</v>
      </c>
      <c r="T9603" s="7">
        <v>672.02800000000002</v>
      </c>
      <c r="U9603" s="5">
        <v>16.3</v>
      </c>
      <c r="V9603" s="6">
        <v>4.04</v>
      </c>
      <c r="W9603" s="6">
        <v>34.630000000000003</v>
      </c>
      <c r="X9603" s="6">
        <v>38.85</v>
      </c>
      <c r="Y9603" s="6">
        <v>43.07</v>
      </c>
      <c r="Z9603" s="6">
        <v>43.07</v>
      </c>
      <c r="AA9603" s="6">
        <v>28.6</v>
      </c>
      <c r="AB9603" s="7">
        <v>10.308</v>
      </c>
      <c r="AC9603" s="10">
        <v>1645.68</v>
      </c>
    </row>
    <row r="9604" spans="1:29" ht="78" x14ac:dyDescent="0.15">
      <c r="A9604" s="3">
        <f>DATE(2010,4,26)</f>
        <v>40294</v>
      </c>
      <c r="B9604" s="2"/>
      <c r="C9604" s="2" t="s">
        <v>30</v>
      </c>
      <c r="D9604" s="2" t="s">
        <v>24075</v>
      </c>
      <c r="E9604" s="2" t="s">
        <v>8330</v>
      </c>
      <c r="F9604" s="4">
        <v>4832</v>
      </c>
      <c r="G9604" s="2" t="s">
        <v>45</v>
      </c>
      <c r="H9604" s="2" t="s">
        <v>34</v>
      </c>
      <c r="I9604" s="2" t="s">
        <v>28231</v>
      </c>
      <c r="J9604" s="2" t="s">
        <v>1620</v>
      </c>
      <c r="K9604" s="2" t="s">
        <v>53</v>
      </c>
      <c r="L9604" s="2" t="s">
        <v>34</v>
      </c>
      <c r="M9604" s="2"/>
      <c r="N9604" s="2"/>
      <c r="O9604" s="2"/>
      <c r="P9604" s="2" t="s">
        <v>28232</v>
      </c>
      <c r="Q9604" s="2"/>
      <c r="R9604" s="6">
        <v>2.4</v>
      </c>
      <c r="S9604" s="5">
        <v>-123.1</v>
      </c>
      <c r="T9604" s="7">
        <v>23.634</v>
      </c>
      <c r="U9604" s="5">
        <v>-19</v>
      </c>
      <c r="V9604" s="6">
        <v>-14.24</v>
      </c>
      <c r="W9604" s="6">
        <v>1.85</v>
      </c>
      <c r="X9604" s="5">
        <v>2.2999999999999998</v>
      </c>
      <c r="Y9604" s="6">
        <v>2.38</v>
      </c>
      <c r="Z9604" s="5">
        <v>2.2000000000000002</v>
      </c>
      <c r="AA9604" s="6">
        <v>32.67</v>
      </c>
      <c r="AB9604" s="7">
        <v>40.179000000000002</v>
      </c>
      <c r="AC9604" s="2"/>
    </row>
    <row r="9605" spans="1:29" ht="78" x14ac:dyDescent="0.15">
      <c r="A9605" s="3">
        <f>DATE(2010,4,26)</f>
        <v>40294</v>
      </c>
      <c r="B9605" s="2"/>
      <c r="C9605" s="2" t="s">
        <v>39</v>
      </c>
      <c r="D9605" s="2" t="s">
        <v>23318</v>
      </c>
      <c r="E9605" s="2" t="s">
        <v>159</v>
      </c>
      <c r="F9605" s="4">
        <v>6021</v>
      </c>
      <c r="G9605" s="2" t="s">
        <v>37</v>
      </c>
      <c r="H9605" s="2" t="s">
        <v>34</v>
      </c>
      <c r="I9605" s="2" t="s">
        <v>28233</v>
      </c>
      <c r="J9605" s="2" t="s">
        <v>1620</v>
      </c>
      <c r="K9605" s="2" t="s">
        <v>53</v>
      </c>
      <c r="L9605" s="2" t="s">
        <v>34</v>
      </c>
      <c r="M9605" s="2"/>
      <c r="N9605" s="2"/>
      <c r="O9605" s="2"/>
      <c r="P9605" s="2" t="s">
        <v>28234</v>
      </c>
      <c r="Q9605" s="2"/>
      <c r="R9605" s="2"/>
      <c r="S9605" s="5">
        <v>-295.10000000000002</v>
      </c>
      <c r="T9605" s="7">
        <v>-377.673</v>
      </c>
      <c r="U9605" s="5">
        <v>13</v>
      </c>
      <c r="V9605" s="6">
        <v>-62.61</v>
      </c>
      <c r="W9605" s="6">
        <v>2.54</v>
      </c>
      <c r="X9605" s="6">
        <v>2.98</v>
      </c>
      <c r="Y9605" s="6">
        <v>5.88</v>
      </c>
      <c r="Z9605" s="6">
        <v>4.95</v>
      </c>
      <c r="AA9605" s="6">
        <v>4.7300000000000004</v>
      </c>
      <c r="AB9605" s="2" t="s">
        <v>86</v>
      </c>
      <c r="AC9605" s="2"/>
    </row>
    <row r="9606" spans="1:29" ht="156" x14ac:dyDescent="0.15">
      <c r="A9606" s="3">
        <f>DATE(2010,4,26)</f>
        <v>40294</v>
      </c>
      <c r="B9606" s="3">
        <f>DATE(2010,6,4)</f>
        <v>40333</v>
      </c>
      <c r="C9606" s="2" t="s">
        <v>95</v>
      </c>
      <c r="D9606" s="2" t="s">
        <v>10213</v>
      </c>
      <c r="E9606" s="2" t="s">
        <v>28235</v>
      </c>
      <c r="F9606" s="4">
        <v>7382</v>
      </c>
      <c r="G9606" s="2" t="s">
        <v>223</v>
      </c>
      <c r="H9606" s="2" t="s">
        <v>34</v>
      </c>
      <c r="I9606" s="2" t="s">
        <v>28236</v>
      </c>
      <c r="J9606" s="2" t="s">
        <v>244</v>
      </c>
      <c r="K9606" s="2" t="s">
        <v>53</v>
      </c>
      <c r="L9606" s="2" t="s">
        <v>34</v>
      </c>
      <c r="M9606" s="2"/>
      <c r="N9606" s="2"/>
      <c r="O9606" s="2"/>
      <c r="P9606" s="2" t="s">
        <v>28237</v>
      </c>
      <c r="Q9606" s="6">
        <v>100</v>
      </c>
      <c r="R9606" s="6">
        <v>15.5</v>
      </c>
      <c r="S9606" s="5">
        <v>15.5</v>
      </c>
      <c r="T9606" s="7">
        <v>88.504999999999995</v>
      </c>
      <c r="U9606" s="5">
        <v>-2.4</v>
      </c>
      <c r="V9606" s="6">
        <v>0.62</v>
      </c>
      <c r="W9606" s="6">
        <v>11.98</v>
      </c>
      <c r="X9606" s="6">
        <v>12.51</v>
      </c>
      <c r="Y9606" s="6">
        <v>12.84</v>
      </c>
      <c r="Z9606" s="5">
        <v>13.2</v>
      </c>
      <c r="AA9606" s="6">
        <v>27.56</v>
      </c>
      <c r="AB9606" s="7">
        <v>20.311</v>
      </c>
      <c r="AC9606" s="2"/>
    </row>
    <row r="9607" spans="1:29" ht="130" x14ac:dyDescent="0.15">
      <c r="A9607" s="3">
        <f>DATE(2010,4,26)</f>
        <v>40294</v>
      </c>
      <c r="B9607" s="3">
        <f>DATE(2010,7,1)</f>
        <v>40360</v>
      </c>
      <c r="C9607" s="2" t="s">
        <v>95</v>
      </c>
      <c r="D9607" s="2" t="s">
        <v>28238</v>
      </c>
      <c r="E9607" s="2" t="s">
        <v>12158</v>
      </c>
      <c r="F9607" s="4">
        <v>6211</v>
      </c>
      <c r="G9607" s="2" t="s">
        <v>53</v>
      </c>
      <c r="H9607" s="2" t="s">
        <v>34</v>
      </c>
      <c r="I9607" s="2" t="s">
        <v>2718</v>
      </c>
      <c r="J9607" s="2" t="s">
        <v>2719</v>
      </c>
      <c r="K9607" s="2" t="s">
        <v>53</v>
      </c>
      <c r="L9607" s="2" t="s">
        <v>34</v>
      </c>
      <c r="M9607" s="12">
        <v>1626.0170000000001</v>
      </c>
      <c r="N9607" s="6">
        <v>54.41</v>
      </c>
      <c r="O9607" s="5">
        <v>55.4</v>
      </c>
      <c r="P9607" s="2" t="s">
        <v>28239</v>
      </c>
      <c r="Q9607" s="6">
        <v>100</v>
      </c>
      <c r="R9607" s="6">
        <v>7.6</v>
      </c>
      <c r="S9607" s="5">
        <v>-45.1</v>
      </c>
      <c r="T9607" s="7">
        <v>-30.273</v>
      </c>
      <c r="U9607" s="5">
        <v>3.9</v>
      </c>
      <c r="V9607" s="6">
        <v>-1.36</v>
      </c>
      <c r="W9607" s="6">
        <v>4.16</v>
      </c>
      <c r="X9607" s="6">
        <v>4.3600000000000003</v>
      </c>
      <c r="Y9607" s="6">
        <v>7.33</v>
      </c>
      <c r="Z9607" s="6">
        <v>7.56</v>
      </c>
      <c r="AA9607" s="6">
        <v>32.85</v>
      </c>
      <c r="AB9607" s="2" t="s">
        <v>86</v>
      </c>
      <c r="AC9607" s="6">
        <v>595.77</v>
      </c>
    </row>
    <row r="9608" spans="1:29" ht="52" x14ac:dyDescent="0.15">
      <c r="A9608" s="3">
        <f>DATE(2010,4,27)</f>
        <v>40295</v>
      </c>
      <c r="B9608" s="3">
        <f>DATE(2010,12,31)</f>
        <v>40543</v>
      </c>
      <c r="C9608" s="2" t="s">
        <v>95</v>
      </c>
      <c r="D9608" s="2" t="s">
        <v>28240</v>
      </c>
      <c r="E9608" s="2" t="s">
        <v>1304</v>
      </c>
      <c r="F9608" s="4">
        <v>6022</v>
      </c>
      <c r="G9608" s="2" t="s">
        <v>37</v>
      </c>
      <c r="H9608" s="2" t="s">
        <v>34</v>
      </c>
      <c r="I9608" s="2" t="s">
        <v>28241</v>
      </c>
      <c r="J9608" s="2" t="s">
        <v>159</v>
      </c>
      <c r="K9608" s="2" t="s">
        <v>37</v>
      </c>
      <c r="L9608" s="2" t="s">
        <v>34</v>
      </c>
      <c r="M9608" s="2"/>
      <c r="N9608" s="6">
        <v>3.06</v>
      </c>
      <c r="O9608" s="6">
        <v>4.25</v>
      </c>
      <c r="P9608" s="2" t="s">
        <v>28242</v>
      </c>
      <c r="Q9608" s="6">
        <v>52.35</v>
      </c>
      <c r="R9608" s="6">
        <v>3</v>
      </c>
      <c r="S9608" s="5">
        <v>-4.2</v>
      </c>
      <c r="T9608" s="7">
        <v>-3.6970000000000001</v>
      </c>
      <c r="U9608" s="5">
        <v>28.4</v>
      </c>
      <c r="V9608" s="9">
        <v>-10.466900000000001</v>
      </c>
      <c r="W9608" s="6">
        <v>3.09</v>
      </c>
      <c r="X9608" s="5">
        <v>3.1</v>
      </c>
      <c r="Y9608" s="6">
        <v>3.06</v>
      </c>
      <c r="Z9608" s="6">
        <v>4.25</v>
      </c>
      <c r="AA9608" s="6">
        <v>9.5500000000000007</v>
      </c>
      <c r="AB9608" s="2" t="s">
        <v>86</v>
      </c>
      <c r="AC9608" s="2"/>
    </row>
    <row r="9609" spans="1:29" ht="104" x14ac:dyDescent="0.15">
      <c r="A9609" s="3">
        <f>DATE(2010,4,28)</f>
        <v>40296</v>
      </c>
      <c r="B9609" s="3">
        <f>DATE(2010,7,1)</f>
        <v>40360</v>
      </c>
      <c r="C9609" s="2" t="s">
        <v>95</v>
      </c>
      <c r="D9609" s="2" t="s">
        <v>18550</v>
      </c>
      <c r="E9609" s="2" t="s">
        <v>18551</v>
      </c>
      <c r="F9609" s="4">
        <v>3575</v>
      </c>
      <c r="G9609" s="2" t="s">
        <v>50</v>
      </c>
      <c r="H9609" s="2" t="s">
        <v>34</v>
      </c>
      <c r="I9609" s="2" t="s">
        <v>21668</v>
      </c>
      <c r="J9609" s="2" t="s">
        <v>21669</v>
      </c>
      <c r="K9609" s="2" t="s">
        <v>50</v>
      </c>
      <c r="L9609" s="2" t="s">
        <v>34</v>
      </c>
      <c r="M9609" s="12">
        <v>124641.534</v>
      </c>
      <c r="N9609" s="6">
        <v>53.28</v>
      </c>
      <c r="O9609" s="6">
        <v>52.88</v>
      </c>
      <c r="P9609" s="2" t="s">
        <v>28243</v>
      </c>
      <c r="Q9609" s="6">
        <v>100</v>
      </c>
      <c r="R9609" s="6">
        <v>5.7</v>
      </c>
      <c r="S9609" s="5">
        <v>-732.2</v>
      </c>
      <c r="T9609" s="7">
        <v>-229.85900000000001</v>
      </c>
      <c r="U9609" s="2"/>
      <c r="V9609" s="6">
        <v>-6.51</v>
      </c>
      <c r="W9609" s="5">
        <v>3.9</v>
      </c>
      <c r="X9609" s="6">
        <v>4.6500000000000004</v>
      </c>
      <c r="Y9609" s="6">
        <v>5.16</v>
      </c>
      <c r="Z9609" s="6">
        <v>6.04</v>
      </c>
      <c r="AA9609" s="6">
        <v>168.76</v>
      </c>
      <c r="AB9609" s="2" t="s">
        <v>86</v>
      </c>
      <c r="AC9609" s="8">
        <v>13607</v>
      </c>
    </row>
    <row r="9610" spans="1:29" ht="65" x14ac:dyDescent="0.15">
      <c r="A9610" s="3">
        <f>DATE(2010,4,29)</f>
        <v>40297</v>
      </c>
      <c r="B9610" s="3">
        <f>DATE(2010,8,12)</f>
        <v>40402</v>
      </c>
      <c r="C9610" s="2" t="s">
        <v>95</v>
      </c>
      <c r="D9610" s="2" t="s">
        <v>28244</v>
      </c>
      <c r="E9610" s="2" t="s">
        <v>28245</v>
      </c>
      <c r="F9610" s="4">
        <v>3842</v>
      </c>
      <c r="G9610" s="2" t="s">
        <v>226</v>
      </c>
      <c r="H9610" s="2" t="s">
        <v>34</v>
      </c>
      <c r="I9610" s="2" t="s">
        <v>769</v>
      </c>
      <c r="J9610" s="2" t="s">
        <v>770</v>
      </c>
      <c r="K9610" s="2" t="s">
        <v>226</v>
      </c>
      <c r="L9610" s="2" t="s">
        <v>34</v>
      </c>
      <c r="M9610" s="12">
        <v>50306.964</v>
      </c>
      <c r="N9610" s="6">
        <v>43.84</v>
      </c>
      <c r="O9610" s="6">
        <v>43.69</v>
      </c>
      <c r="P9610" s="2" t="s">
        <v>28246</v>
      </c>
      <c r="Q9610" s="6">
        <v>100</v>
      </c>
      <c r="R9610" s="6">
        <v>4</v>
      </c>
      <c r="S9610" s="5">
        <v>-9.3000000000000007</v>
      </c>
      <c r="T9610" s="7">
        <v>-1.502</v>
      </c>
      <c r="U9610" s="5">
        <v>1.1000000000000001</v>
      </c>
      <c r="V9610" s="6">
        <v>-0.12</v>
      </c>
      <c r="W9610" s="6">
        <v>2.58</v>
      </c>
      <c r="X9610" s="6">
        <v>2.59</v>
      </c>
      <c r="Y9610" s="6">
        <v>3.99</v>
      </c>
      <c r="Z9610" s="6">
        <v>3.98</v>
      </c>
      <c r="AA9610" s="6">
        <v>78.349999999999994</v>
      </c>
      <c r="AB9610" s="2" t="s">
        <v>86</v>
      </c>
      <c r="AC9610" s="8">
        <v>2292</v>
      </c>
    </row>
    <row r="9611" spans="1:29" ht="130" x14ac:dyDescent="0.15">
      <c r="A9611" s="3">
        <f>DATE(2010,4,29)</f>
        <v>40297</v>
      </c>
      <c r="B9611" s="3">
        <f>DATE(2010,8,31)</f>
        <v>40421</v>
      </c>
      <c r="C9611" s="2" t="s">
        <v>95</v>
      </c>
      <c r="D9611" s="2" t="s">
        <v>12571</v>
      </c>
      <c r="E9611" s="2" t="s">
        <v>3246</v>
      </c>
      <c r="F9611" s="4">
        <v>6021</v>
      </c>
      <c r="G9611" s="2" t="s">
        <v>37</v>
      </c>
      <c r="H9611" s="2" t="s">
        <v>34</v>
      </c>
      <c r="I9611" s="2" t="s">
        <v>28247</v>
      </c>
      <c r="J9611" s="2" t="s">
        <v>244</v>
      </c>
      <c r="K9611" s="2" t="s">
        <v>53</v>
      </c>
      <c r="L9611" s="2" t="s">
        <v>34</v>
      </c>
      <c r="M9611" s="2"/>
      <c r="N9611" s="2"/>
      <c r="O9611" s="2"/>
      <c r="P9611" s="2" t="s">
        <v>28248</v>
      </c>
      <c r="Q9611" s="6">
        <v>91.66</v>
      </c>
      <c r="R9611" s="6">
        <v>0.2</v>
      </c>
      <c r="S9611" s="5">
        <v>-504.4</v>
      </c>
      <c r="T9611" s="2"/>
      <c r="U9611" s="5">
        <v>210.2</v>
      </c>
      <c r="V9611" s="7">
        <v>-920.03899999999999</v>
      </c>
      <c r="W9611" s="6">
        <v>4.37</v>
      </c>
      <c r="X9611" s="6">
        <v>4.1100000000000003</v>
      </c>
      <c r="Y9611" s="6">
        <v>2.19</v>
      </c>
      <c r="Z9611" s="7">
        <v>1.748</v>
      </c>
      <c r="AA9611" s="6">
        <v>46.76</v>
      </c>
      <c r="AB9611" s="2" t="s">
        <v>86</v>
      </c>
      <c r="AC9611" s="2"/>
    </row>
    <row r="9612" spans="1:29" ht="143" x14ac:dyDescent="0.15">
      <c r="A9612" s="3">
        <f>DATE(2010,5,3)</f>
        <v>40301</v>
      </c>
      <c r="B9612" s="3">
        <f>DATE(2010,10,1)</f>
        <v>40452</v>
      </c>
      <c r="C9612" s="2" t="s">
        <v>95</v>
      </c>
      <c r="D9612" s="2" t="s">
        <v>8944</v>
      </c>
      <c r="E9612" s="2" t="s">
        <v>8945</v>
      </c>
      <c r="F9612" s="4">
        <v>4512</v>
      </c>
      <c r="G9612" s="2" t="s">
        <v>59</v>
      </c>
      <c r="H9612" s="2" t="s">
        <v>34</v>
      </c>
      <c r="I9612" s="2" t="s">
        <v>57</v>
      </c>
      <c r="J9612" s="2" t="s">
        <v>58</v>
      </c>
      <c r="K9612" s="2" t="s">
        <v>59</v>
      </c>
      <c r="L9612" s="2" t="s">
        <v>34</v>
      </c>
      <c r="M9612" s="12">
        <v>3248.3009999999999</v>
      </c>
      <c r="N9612" s="6">
        <v>22.11</v>
      </c>
      <c r="O9612" s="6">
        <v>19.77</v>
      </c>
      <c r="P9612" s="2" t="s">
        <v>28249</v>
      </c>
      <c r="Q9612" s="6">
        <v>100</v>
      </c>
      <c r="R9612" s="6">
        <v>22.68</v>
      </c>
      <c r="S9612" s="2"/>
      <c r="T9612" s="2"/>
      <c r="U9612" s="5">
        <v>3.6</v>
      </c>
      <c r="V9612" s="2"/>
      <c r="W9612" s="6">
        <v>21.94</v>
      </c>
      <c r="X9612" s="6">
        <v>22.99</v>
      </c>
      <c r="Y9612" s="6">
        <v>21.62</v>
      </c>
      <c r="Z9612" s="6">
        <v>22.17</v>
      </c>
      <c r="AA9612" s="6">
        <v>139.66</v>
      </c>
      <c r="AB9612" s="2" t="s">
        <v>47</v>
      </c>
      <c r="AC9612" s="8">
        <v>3599</v>
      </c>
    </row>
    <row r="9613" spans="1:29" ht="260" x14ac:dyDescent="0.15">
      <c r="A9613" s="3">
        <f>DATE(2010,5,3)</f>
        <v>40301</v>
      </c>
      <c r="B9613" s="2"/>
      <c r="C9613" s="2" t="s">
        <v>30</v>
      </c>
      <c r="D9613" s="2" t="s">
        <v>28227</v>
      </c>
      <c r="E9613" s="2" t="s">
        <v>10774</v>
      </c>
      <c r="F9613" s="4">
        <v>7514</v>
      </c>
      <c r="G9613" s="2" t="s">
        <v>1327</v>
      </c>
      <c r="H9613" s="2" t="s">
        <v>34</v>
      </c>
      <c r="I9613" s="2" t="s">
        <v>28250</v>
      </c>
      <c r="J9613" s="2" t="s">
        <v>28251</v>
      </c>
      <c r="K9613" s="2" t="s">
        <v>1327</v>
      </c>
      <c r="L9613" s="2" t="s">
        <v>34</v>
      </c>
      <c r="M9613" s="12">
        <v>1289.2660000000001</v>
      </c>
      <c r="N9613" s="6">
        <v>15.08</v>
      </c>
      <c r="O9613" s="5">
        <v>14.1</v>
      </c>
      <c r="P9613" s="2" t="s">
        <v>28252</v>
      </c>
      <c r="Q9613" s="2"/>
      <c r="R9613" s="6">
        <v>52.94</v>
      </c>
      <c r="S9613" s="5">
        <v>111.1</v>
      </c>
      <c r="T9613" s="7">
        <v>672.02800000000002</v>
      </c>
      <c r="U9613" s="5">
        <v>16.3</v>
      </c>
      <c r="V9613" s="6">
        <v>4.04</v>
      </c>
      <c r="W9613" s="6">
        <v>34.630000000000003</v>
      </c>
      <c r="X9613" s="6">
        <v>38.85</v>
      </c>
      <c r="Y9613" s="6">
        <v>43.07</v>
      </c>
      <c r="Z9613" s="6">
        <v>43.07</v>
      </c>
      <c r="AA9613" s="6">
        <v>31.1</v>
      </c>
      <c r="AB9613" s="7">
        <v>10.641999999999999</v>
      </c>
      <c r="AC9613" s="5">
        <v>459</v>
      </c>
    </row>
    <row r="9614" spans="1:29" ht="195" x14ac:dyDescent="0.15">
      <c r="A9614" s="3">
        <f>DATE(2010,5,4)</f>
        <v>40302</v>
      </c>
      <c r="B9614" s="3">
        <f>DATE(2010,7,29)</f>
        <v>40388</v>
      </c>
      <c r="C9614" s="2" t="s">
        <v>95</v>
      </c>
      <c r="D9614" s="2" t="s">
        <v>28253</v>
      </c>
      <c r="E9614" s="2" t="s">
        <v>28254</v>
      </c>
      <c r="F9614" s="4">
        <v>7375</v>
      </c>
      <c r="G9614" s="2" t="s">
        <v>223</v>
      </c>
      <c r="H9614" s="2" t="s">
        <v>34</v>
      </c>
      <c r="I9614" s="2" t="s">
        <v>28255</v>
      </c>
      <c r="J9614" s="2" t="s">
        <v>11337</v>
      </c>
      <c r="K9614" s="2" t="s">
        <v>53</v>
      </c>
      <c r="L9614" s="2" t="s">
        <v>34</v>
      </c>
      <c r="M9614" s="2"/>
      <c r="N9614" s="2"/>
      <c r="O9614" s="2"/>
      <c r="P9614" s="2" t="s">
        <v>28256</v>
      </c>
      <c r="Q9614" s="6">
        <v>100</v>
      </c>
      <c r="R9614" s="6">
        <v>33.86</v>
      </c>
      <c r="S9614" s="5">
        <v>138.80000000000001</v>
      </c>
      <c r="T9614" s="7">
        <v>268.29599999999999</v>
      </c>
      <c r="U9614" s="5">
        <v>11.5</v>
      </c>
      <c r="V9614" s="6">
        <v>1.43</v>
      </c>
      <c r="W9614" s="6">
        <v>30.34</v>
      </c>
      <c r="X9614" s="6">
        <v>30.31</v>
      </c>
      <c r="Y9614" s="6">
        <v>30.71</v>
      </c>
      <c r="Z9614" s="6">
        <v>30.75</v>
      </c>
      <c r="AA9614" s="6">
        <v>94.51</v>
      </c>
      <c r="AB9614" s="7">
        <v>15.048</v>
      </c>
      <c r="AC9614" s="2"/>
    </row>
    <row r="9615" spans="1:29" ht="65" x14ac:dyDescent="0.15">
      <c r="A9615" s="3">
        <f>DATE(2010,5,5)</f>
        <v>40303</v>
      </c>
      <c r="B9615" s="3">
        <f>DATE(2010,7,2)</f>
        <v>40361</v>
      </c>
      <c r="C9615" s="2" t="s">
        <v>95</v>
      </c>
      <c r="D9615" s="2" t="s">
        <v>26972</v>
      </c>
      <c r="E9615" s="2" t="s">
        <v>13817</v>
      </c>
      <c r="F9615" s="4">
        <v>3845</v>
      </c>
      <c r="G9615" s="2" t="s">
        <v>226</v>
      </c>
      <c r="H9615" s="2" t="s">
        <v>34</v>
      </c>
      <c r="I9615" s="2" t="s">
        <v>27287</v>
      </c>
      <c r="J9615" s="2" t="s">
        <v>13693</v>
      </c>
      <c r="K9615" s="2" t="s">
        <v>130</v>
      </c>
      <c r="L9615" s="2" t="s">
        <v>34</v>
      </c>
      <c r="M9615" s="12">
        <v>2728.7689999999998</v>
      </c>
      <c r="N9615" s="6">
        <v>21.77</v>
      </c>
      <c r="O9615" s="6">
        <v>21.31</v>
      </c>
      <c r="P9615" s="2" t="s">
        <v>28257</v>
      </c>
      <c r="Q9615" s="6">
        <v>100</v>
      </c>
      <c r="R9615" s="6">
        <v>4.8499999999999996</v>
      </c>
      <c r="S9615" s="5">
        <v>-2</v>
      </c>
      <c r="T9615" s="7">
        <v>72.478999999999999</v>
      </c>
      <c r="U9615" s="5">
        <v>2.9</v>
      </c>
      <c r="V9615" s="6">
        <v>-0.06</v>
      </c>
      <c r="W9615" s="6">
        <v>3.34</v>
      </c>
      <c r="X9615" s="6">
        <v>3.56</v>
      </c>
      <c r="Y9615" s="6">
        <v>3.62</v>
      </c>
      <c r="Z9615" s="5">
        <v>4.8</v>
      </c>
      <c r="AA9615" s="6">
        <v>44.66</v>
      </c>
      <c r="AB9615" s="7">
        <v>4.5599999999999996</v>
      </c>
      <c r="AC9615" s="6">
        <v>848.72</v>
      </c>
    </row>
    <row r="9616" spans="1:29" ht="52" x14ac:dyDescent="0.15">
      <c r="A9616" s="3">
        <f>DATE(2010,5,5)</f>
        <v>40303</v>
      </c>
      <c r="B9616" s="3">
        <f>DATE(2010,7,6)</f>
        <v>40365</v>
      </c>
      <c r="C9616" s="2" t="s">
        <v>95</v>
      </c>
      <c r="D9616" s="2" t="s">
        <v>28258</v>
      </c>
      <c r="E9616" s="2" t="s">
        <v>15342</v>
      </c>
      <c r="F9616" s="4">
        <v>3841</v>
      </c>
      <c r="G9616" s="2" t="s">
        <v>226</v>
      </c>
      <c r="H9616" s="2" t="s">
        <v>34</v>
      </c>
      <c r="I9616" s="2" t="s">
        <v>6301</v>
      </c>
      <c r="J9616" s="2" t="s">
        <v>4476</v>
      </c>
      <c r="K9616" s="2" t="s">
        <v>226</v>
      </c>
      <c r="L9616" s="2" t="s">
        <v>34</v>
      </c>
      <c r="M9616" s="10">
        <v>8001.47</v>
      </c>
      <c r="N9616" s="5">
        <v>85.6</v>
      </c>
      <c r="O9616" s="6">
        <v>84.22</v>
      </c>
      <c r="P9616" s="2" t="s">
        <v>28259</v>
      </c>
      <c r="Q9616" s="6">
        <v>100</v>
      </c>
      <c r="R9616" s="6">
        <v>11</v>
      </c>
      <c r="S9616" s="5">
        <v>2.9</v>
      </c>
      <c r="T9616" s="7">
        <v>-1.1779999999999999</v>
      </c>
      <c r="U9616" s="2"/>
      <c r="V9616" s="6">
        <v>-0.17</v>
      </c>
      <c r="W9616" s="6">
        <v>9.7200000000000006</v>
      </c>
      <c r="X9616" s="6">
        <v>9.68</v>
      </c>
      <c r="Y9616" s="6">
        <v>10.96</v>
      </c>
      <c r="Z9616" s="5">
        <v>10.8</v>
      </c>
      <c r="AA9616" s="6">
        <v>17.54</v>
      </c>
      <c r="AB9616" s="2" t="s">
        <v>86</v>
      </c>
      <c r="AC9616" s="5">
        <v>739.9</v>
      </c>
    </row>
    <row r="9617" spans="1:29" ht="156" x14ac:dyDescent="0.15">
      <c r="A9617" s="3">
        <f>DATE(2010,5,6)</f>
        <v>40304</v>
      </c>
      <c r="B9617" s="2"/>
      <c r="C9617" s="2" t="s">
        <v>39</v>
      </c>
      <c r="D9617" s="2" t="s">
        <v>25769</v>
      </c>
      <c r="E9617" s="2" t="s">
        <v>25770</v>
      </c>
      <c r="F9617" s="4">
        <v>7389</v>
      </c>
      <c r="G9617" s="2" t="s">
        <v>223</v>
      </c>
      <c r="H9617" s="2" t="s">
        <v>34</v>
      </c>
      <c r="I9617" s="2" t="s">
        <v>28260</v>
      </c>
      <c r="J9617" s="2" t="s">
        <v>11337</v>
      </c>
      <c r="K9617" s="2" t="s">
        <v>53</v>
      </c>
      <c r="L9617" s="2" t="s">
        <v>34</v>
      </c>
      <c r="M9617" s="2"/>
      <c r="N9617" s="2"/>
      <c r="O9617" s="2"/>
      <c r="P9617" s="2" t="s">
        <v>28261</v>
      </c>
      <c r="Q9617" s="2"/>
      <c r="R9617" s="2"/>
      <c r="S9617" s="5">
        <v>166.5</v>
      </c>
      <c r="T9617" s="8">
        <v>1011.5</v>
      </c>
      <c r="U9617" s="5">
        <v>22.3</v>
      </c>
      <c r="V9617" s="6">
        <v>0.55000000000000004</v>
      </c>
      <c r="W9617" s="6">
        <v>26.73</v>
      </c>
      <c r="X9617" s="4">
        <v>26</v>
      </c>
      <c r="Y9617" s="6">
        <v>28.68</v>
      </c>
      <c r="Z9617" s="6">
        <v>28.76</v>
      </c>
      <c r="AA9617" s="6">
        <v>376.59</v>
      </c>
      <c r="AB9617" s="2" t="s">
        <v>47</v>
      </c>
      <c r="AC9617" s="2"/>
    </row>
    <row r="9618" spans="1:29" ht="143" x14ac:dyDescent="0.15">
      <c r="A9618" s="3">
        <f>DATE(2010,5,6)</f>
        <v>40304</v>
      </c>
      <c r="B9618" s="3">
        <f>DATE(2010,8,4)</f>
        <v>40394</v>
      </c>
      <c r="C9618" s="2" t="s">
        <v>95</v>
      </c>
      <c r="D9618" s="2" t="s">
        <v>28262</v>
      </c>
      <c r="E9618" s="2" t="s">
        <v>28263</v>
      </c>
      <c r="F9618" s="4">
        <v>8742</v>
      </c>
      <c r="G9618" s="2" t="s">
        <v>223</v>
      </c>
      <c r="H9618" s="2" t="s">
        <v>34</v>
      </c>
      <c r="I9618" s="2" t="s">
        <v>23079</v>
      </c>
      <c r="J9618" s="2" t="s">
        <v>244</v>
      </c>
      <c r="K9618" s="2" t="s">
        <v>53</v>
      </c>
      <c r="L9618" s="2" t="s">
        <v>34</v>
      </c>
      <c r="M9618" s="2"/>
      <c r="N9618" s="2"/>
      <c r="O9618" s="2"/>
      <c r="P9618" s="2" t="s">
        <v>28264</v>
      </c>
      <c r="Q9618" s="6">
        <v>100</v>
      </c>
      <c r="R9618" s="6">
        <v>26</v>
      </c>
      <c r="S9618" s="5">
        <v>49.1</v>
      </c>
      <c r="T9618" s="7">
        <v>136.72300000000001</v>
      </c>
      <c r="U9618" s="5">
        <v>13</v>
      </c>
      <c r="V9618" s="6">
        <v>1.45</v>
      </c>
      <c r="W9618" s="6">
        <v>16.010000000000002</v>
      </c>
      <c r="X9618" s="6">
        <v>17.149999999999999</v>
      </c>
      <c r="Y9618" s="6">
        <v>20.059999999999999</v>
      </c>
      <c r="Z9618" s="6">
        <v>22.25</v>
      </c>
      <c r="AA9618" s="6">
        <v>33.89</v>
      </c>
      <c r="AB9618" s="7">
        <v>10.945</v>
      </c>
      <c r="AC9618" s="2"/>
    </row>
    <row r="9619" spans="1:29" ht="104" x14ac:dyDescent="0.15">
      <c r="A9619" s="3">
        <f>DATE(2010,5,7)</f>
        <v>40305</v>
      </c>
      <c r="B9619" s="3">
        <f>DATE(2010,8,17)</f>
        <v>40407</v>
      </c>
      <c r="C9619" s="2" t="s">
        <v>95</v>
      </c>
      <c r="D9619" s="2" t="s">
        <v>28265</v>
      </c>
      <c r="E9619" s="2" t="s">
        <v>28266</v>
      </c>
      <c r="F9619" s="4">
        <v>7373</v>
      </c>
      <c r="G9619" s="2" t="s">
        <v>223</v>
      </c>
      <c r="H9619" s="2" t="s">
        <v>34</v>
      </c>
      <c r="I9619" s="2" t="s">
        <v>18498</v>
      </c>
      <c r="J9619" s="2" t="s">
        <v>1464</v>
      </c>
      <c r="K9619" s="2" t="s">
        <v>223</v>
      </c>
      <c r="L9619" s="2" t="s">
        <v>902</v>
      </c>
      <c r="M9619" s="12">
        <v>3852.674</v>
      </c>
      <c r="N9619" s="7">
        <v>14.287000000000001</v>
      </c>
      <c r="O9619" s="7">
        <v>15.404999999999999</v>
      </c>
      <c r="P9619" s="2" t="s">
        <v>28267</v>
      </c>
      <c r="Q9619" s="6">
        <v>100</v>
      </c>
      <c r="R9619" s="6">
        <v>37.5</v>
      </c>
      <c r="S9619" s="5">
        <v>46.3</v>
      </c>
      <c r="T9619" s="7">
        <v>91.341999999999999</v>
      </c>
      <c r="U9619" s="5">
        <v>11.5</v>
      </c>
      <c r="V9619" s="6">
        <v>1.92</v>
      </c>
      <c r="W9619" s="6">
        <v>31.63</v>
      </c>
      <c r="X9619" s="4">
        <v>29</v>
      </c>
      <c r="Y9619" s="6">
        <v>36.79</v>
      </c>
      <c r="Z9619" s="6">
        <v>36.61</v>
      </c>
      <c r="AA9619" s="6">
        <v>24.08</v>
      </c>
      <c r="AB9619" s="7">
        <v>13.311</v>
      </c>
      <c r="AC9619" s="5">
        <v>422.3</v>
      </c>
    </row>
    <row r="9620" spans="1:29" ht="169" x14ac:dyDescent="0.15">
      <c r="A9620" s="3">
        <f>DATE(2010,5,10)</f>
        <v>40308</v>
      </c>
      <c r="B9620" s="3">
        <f>DATE(2010,11,19)</f>
        <v>40501</v>
      </c>
      <c r="C9620" s="2" t="s">
        <v>95</v>
      </c>
      <c r="D9620" s="2" t="s">
        <v>28268</v>
      </c>
      <c r="E9620" s="2" t="s">
        <v>7120</v>
      </c>
      <c r="F9620" s="4">
        <v>6021</v>
      </c>
      <c r="G9620" s="2" t="s">
        <v>37</v>
      </c>
      <c r="H9620" s="2" t="s">
        <v>34</v>
      </c>
      <c r="I9620" s="2" t="s">
        <v>28269</v>
      </c>
      <c r="J9620" s="2" t="s">
        <v>36</v>
      </c>
      <c r="K9620" s="2" t="s">
        <v>37</v>
      </c>
      <c r="L9620" s="2" t="s">
        <v>34</v>
      </c>
      <c r="M9620" s="7">
        <v>17.378</v>
      </c>
      <c r="N9620" s="6">
        <v>9.89</v>
      </c>
      <c r="O9620" s="4">
        <v>10</v>
      </c>
      <c r="P9620" s="2" t="s">
        <v>28270</v>
      </c>
      <c r="Q9620" s="6">
        <v>100</v>
      </c>
      <c r="R9620" s="6">
        <v>2.2200000000000002</v>
      </c>
      <c r="S9620" s="5">
        <v>-7.5</v>
      </c>
      <c r="T9620" s="7">
        <v>-3.5960000000000001</v>
      </c>
      <c r="U9620" s="5">
        <v>8</v>
      </c>
      <c r="V9620" s="6">
        <v>-6.01</v>
      </c>
      <c r="W9620" s="6">
        <v>5.82</v>
      </c>
      <c r="X9620" s="7">
        <v>4.4050000000000002</v>
      </c>
      <c r="Y9620" s="5">
        <v>3.3</v>
      </c>
      <c r="Z9620" s="6">
        <v>3.82</v>
      </c>
      <c r="AA9620" s="6">
        <v>1.25</v>
      </c>
      <c r="AB9620" s="2" t="s">
        <v>86</v>
      </c>
      <c r="AC9620" s="2"/>
    </row>
    <row r="9621" spans="1:29" ht="156" x14ac:dyDescent="0.15">
      <c r="A9621" s="3">
        <f>DATE(2010,5,10)</f>
        <v>40308</v>
      </c>
      <c r="B9621" s="2"/>
      <c r="C9621" s="2" t="s">
        <v>30</v>
      </c>
      <c r="D9621" s="2" t="s">
        <v>28271</v>
      </c>
      <c r="E9621" s="2" t="s">
        <v>28272</v>
      </c>
      <c r="F9621" s="4">
        <v>3679</v>
      </c>
      <c r="G9621" s="2" t="s">
        <v>137</v>
      </c>
      <c r="H9621" s="2" t="s">
        <v>34</v>
      </c>
      <c r="I9621" s="2" t="s">
        <v>26710</v>
      </c>
      <c r="J9621" s="2" t="s">
        <v>26711</v>
      </c>
      <c r="K9621" s="2" t="s">
        <v>921</v>
      </c>
      <c r="L9621" s="2" t="s">
        <v>34</v>
      </c>
      <c r="M9621" s="7">
        <v>925.25599999999997</v>
      </c>
      <c r="N9621" s="6">
        <v>32.26</v>
      </c>
      <c r="O9621" s="6">
        <v>31.88</v>
      </c>
      <c r="P9621" s="2" t="s">
        <v>28273</v>
      </c>
      <c r="Q9621" s="2"/>
      <c r="R9621" s="6">
        <v>16.399999999999999</v>
      </c>
      <c r="S9621" s="5">
        <v>20.5</v>
      </c>
      <c r="T9621" s="7">
        <v>55.444000000000003</v>
      </c>
      <c r="U9621" s="5">
        <v>11.1</v>
      </c>
      <c r="V9621" s="6">
        <v>1.1499999999999999</v>
      </c>
      <c r="W9621" s="6">
        <v>13.73</v>
      </c>
      <c r="X9621" s="6">
        <v>13.05</v>
      </c>
      <c r="Y9621" s="6">
        <v>15.72</v>
      </c>
      <c r="Z9621" s="6">
        <v>15.64</v>
      </c>
      <c r="AA9621" s="6">
        <v>16.63</v>
      </c>
      <c r="AB9621" s="7">
        <v>9.4</v>
      </c>
      <c r="AC9621" s="6">
        <v>568.28</v>
      </c>
    </row>
    <row r="9622" spans="1:29" ht="104" x14ac:dyDescent="0.15">
      <c r="A9622" s="3">
        <f>DATE(2010,5,10)</f>
        <v>40308</v>
      </c>
      <c r="B9622" s="3">
        <f>DATE(2011,1,20)</f>
        <v>40563</v>
      </c>
      <c r="C9622" s="2" t="s">
        <v>95</v>
      </c>
      <c r="D9622" s="2" t="s">
        <v>28274</v>
      </c>
      <c r="E9622" s="2" t="s">
        <v>28275</v>
      </c>
      <c r="F9622" s="4">
        <v>3281</v>
      </c>
      <c r="G9622" s="2" t="s">
        <v>237</v>
      </c>
      <c r="H9622" s="2" t="s">
        <v>34</v>
      </c>
      <c r="I9622" s="2" t="s">
        <v>28276</v>
      </c>
      <c r="J9622" s="2" t="s">
        <v>28277</v>
      </c>
      <c r="K9622" s="2" t="s">
        <v>166</v>
      </c>
      <c r="L9622" s="2" t="s">
        <v>34</v>
      </c>
      <c r="M9622" s="2"/>
      <c r="N9622" s="2"/>
      <c r="O9622" s="2"/>
      <c r="P9622" s="2" t="s">
        <v>28278</v>
      </c>
      <c r="Q9622" s="6">
        <v>100</v>
      </c>
      <c r="R9622" s="6">
        <v>5.25</v>
      </c>
      <c r="S9622" s="5">
        <v>2.2999999999999998</v>
      </c>
      <c r="T9622" s="7">
        <v>6.0419999999999998</v>
      </c>
      <c r="U9622" s="5">
        <v>3.8</v>
      </c>
      <c r="V9622" s="6">
        <v>0.3</v>
      </c>
      <c r="W9622" s="6">
        <v>3.48</v>
      </c>
      <c r="X9622" s="7">
        <v>3.375</v>
      </c>
      <c r="Y9622" s="6">
        <v>4.12</v>
      </c>
      <c r="Z9622" s="5">
        <v>4.0999999999999996</v>
      </c>
      <c r="AA9622" s="6">
        <v>4.68</v>
      </c>
      <c r="AB9622" s="7">
        <v>14.143000000000001</v>
      </c>
      <c r="AC9622" s="2"/>
    </row>
    <row r="9623" spans="1:29" ht="65" x14ac:dyDescent="0.15">
      <c r="A9623" s="3">
        <f>DATE(2010,5,10)</f>
        <v>40308</v>
      </c>
      <c r="B9623" s="3">
        <f>DATE(2010,8,24)</f>
        <v>40414</v>
      </c>
      <c r="C9623" s="2" t="s">
        <v>95</v>
      </c>
      <c r="D9623" s="2" t="s">
        <v>27174</v>
      </c>
      <c r="E9623" s="2" t="s">
        <v>1283</v>
      </c>
      <c r="F9623" s="4">
        <v>5812</v>
      </c>
      <c r="G9623" s="2" t="s">
        <v>230</v>
      </c>
      <c r="H9623" s="2" t="s">
        <v>34</v>
      </c>
      <c r="I9623" s="2" t="s">
        <v>27335</v>
      </c>
      <c r="J9623" s="2" t="s">
        <v>244</v>
      </c>
      <c r="K9623" s="2" t="s">
        <v>53</v>
      </c>
      <c r="L9623" s="2" t="s">
        <v>34</v>
      </c>
      <c r="M9623" s="2"/>
      <c r="N9623" s="2"/>
      <c r="O9623" s="2"/>
      <c r="P9623" s="2" t="s">
        <v>28279</v>
      </c>
      <c r="Q9623" s="6">
        <v>100</v>
      </c>
      <c r="R9623" s="6">
        <v>8.6999999999999993</v>
      </c>
      <c r="S9623" s="5">
        <v>0.5</v>
      </c>
      <c r="T9623" s="7">
        <v>12.003</v>
      </c>
      <c r="U9623" s="5">
        <v>4.8</v>
      </c>
      <c r="V9623" s="6">
        <v>0.06</v>
      </c>
      <c r="W9623" s="6">
        <v>8.0399999999999991</v>
      </c>
      <c r="X9623" s="6">
        <v>7.66</v>
      </c>
      <c r="Y9623" s="5">
        <v>8.5</v>
      </c>
      <c r="Z9623" s="6">
        <v>8.49</v>
      </c>
      <c r="AA9623" s="6">
        <v>10.039999999999999</v>
      </c>
      <c r="AB9623" s="7">
        <v>36.314999999999998</v>
      </c>
      <c r="AC9623" s="2"/>
    </row>
    <row r="9624" spans="1:29" ht="156" x14ac:dyDescent="0.15">
      <c r="A9624" s="3">
        <f>DATE(2010,5,12)</f>
        <v>40310</v>
      </c>
      <c r="B9624" s="3">
        <f>DATE(2010,7,29)</f>
        <v>40388</v>
      </c>
      <c r="C9624" s="2" t="s">
        <v>95</v>
      </c>
      <c r="D9624" s="2" t="s">
        <v>5513</v>
      </c>
      <c r="E9624" s="2" t="s">
        <v>5514</v>
      </c>
      <c r="F9624" s="4">
        <v>7372</v>
      </c>
      <c r="G9624" s="2" t="s">
        <v>551</v>
      </c>
      <c r="H9624" s="2" t="s">
        <v>34</v>
      </c>
      <c r="I9624" s="2" t="s">
        <v>28280</v>
      </c>
      <c r="J9624" s="2" t="s">
        <v>28281</v>
      </c>
      <c r="K9624" s="2" t="s">
        <v>551</v>
      </c>
      <c r="L9624" s="2" t="s">
        <v>34</v>
      </c>
      <c r="M9624" s="2"/>
      <c r="N9624" s="2"/>
      <c r="O9624" s="2"/>
      <c r="P9624" s="2" t="s">
        <v>28282</v>
      </c>
      <c r="Q9624" s="6">
        <v>100</v>
      </c>
      <c r="R9624" s="6">
        <v>65</v>
      </c>
      <c r="S9624" s="5">
        <v>175.8</v>
      </c>
      <c r="T9624" s="7">
        <v>411.94400000000002</v>
      </c>
      <c r="U9624" s="5">
        <v>13.4</v>
      </c>
      <c r="V9624" s="6">
        <v>1.97</v>
      </c>
      <c r="W9624" s="6">
        <v>42.49</v>
      </c>
      <c r="X9624" s="6">
        <v>41.57</v>
      </c>
      <c r="Y9624" s="6">
        <v>56.14</v>
      </c>
      <c r="Z9624" s="6">
        <v>64.22</v>
      </c>
      <c r="AA9624" s="6">
        <v>86.86</v>
      </c>
      <c r="AB9624" s="7">
        <v>16.239000000000001</v>
      </c>
      <c r="AC9624" s="2"/>
    </row>
    <row r="9625" spans="1:29" ht="65" x14ac:dyDescent="0.15">
      <c r="A9625" s="3">
        <f>DATE(2010,5,13)</f>
        <v>40311</v>
      </c>
      <c r="B9625" s="3">
        <f>DATE(2010,9,10)</f>
        <v>40431</v>
      </c>
      <c r="C9625" s="2" t="s">
        <v>95</v>
      </c>
      <c r="D9625" s="2" t="s">
        <v>28283</v>
      </c>
      <c r="E9625" s="2" t="s">
        <v>28284</v>
      </c>
      <c r="F9625" s="4">
        <v>3841</v>
      </c>
      <c r="G9625" s="2" t="s">
        <v>226</v>
      </c>
      <c r="H9625" s="2" t="s">
        <v>34</v>
      </c>
      <c r="I9625" s="2" t="s">
        <v>28285</v>
      </c>
      <c r="J9625" s="2" t="s">
        <v>434</v>
      </c>
      <c r="K9625" s="2" t="s">
        <v>226</v>
      </c>
      <c r="L9625" s="2" t="s">
        <v>34</v>
      </c>
      <c r="M9625" s="7">
        <v>452.39699999999999</v>
      </c>
      <c r="N9625" s="6">
        <v>16.16</v>
      </c>
      <c r="O9625" s="6">
        <v>15.84</v>
      </c>
      <c r="P9625" s="2" t="s">
        <v>28286</v>
      </c>
      <c r="Q9625" s="6">
        <v>100</v>
      </c>
      <c r="R9625" s="6">
        <v>4.38</v>
      </c>
      <c r="S9625" s="5">
        <v>-2.1</v>
      </c>
      <c r="T9625" s="7">
        <v>-2.4390000000000001</v>
      </c>
      <c r="U9625" s="5">
        <v>0.7</v>
      </c>
      <c r="V9625" s="6">
        <v>-0.14000000000000001</v>
      </c>
      <c r="W9625" s="6">
        <v>2.61</v>
      </c>
      <c r="X9625" s="6">
        <v>2.84</v>
      </c>
      <c r="Y9625" s="4">
        <v>3</v>
      </c>
      <c r="Z9625" s="5">
        <v>4.3</v>
      </c>
      <c r="AA9625" s="6">
        <v>18.420000000000002</v>
      </c>
      <c r="AB9625" s="2" t="s">
        <v>86</v>
      </c>
      <c r="AC9625" s="6">
        <v>5.99</v>
      </c>
    </row>
    <row r="9626" spans="1:29" ht="39" x14ac:dyDescent="0.15">
      <c r="A9626" s="3">
        <f>DATE(2010,5,14)</f>
        <v>40312</v>
      </c>
      <c r="B9626" s="2"/>
      <c r="C9626" s="2" t="s">
        <v>7330</v>
      </c>
      <c r="D9626" s="2" t="s">
        <v>28287</v>
      </c>
      <c r="E9626" s="2" t="s">
        <v>1304</v>
      </c>
      <c r="F9626" s="4">
        <v>6021</v>
      </c>
      <c r="G9626" s="2" t="s">
        <v>37</v>
      </c>
      <c r="H9626" s="2" t="s">
        <v>34</v>
      </c>
      <c r="I9626" s="2" t="s">
        <v>28288</v>
      </c>
      <c r="J9626" s="2" t="s">
        <v>36</v>
      </c>
      <c r="K9626" s="2" t="s">
        <v>37</v>
      </c>
      <c r="L9626" s="2" t="s">
        <v>34</v>
      </c>
      <c r="M9626" s="2"/>
      <c r="N9626" s="2"/>
      <c r="O9626" s="2"/>
      <c r="P9626" s="2" t="s">
        <v>28289</v>
      </c>
      <c r="Q9626" s="2"/>
      <c r="R9626" s="2"/>
      <c r="S9626" s="2"/>
      <c r="T9626" s="2"/>
      <c r="U9626" s="2"/>
      <c r="V9626" s="2"/>
      <c r="W9626" s="4">
        <v>2</v>
      </c>
      <c r="X9626" s="6">
        <v>4.05</v>
      </c>
      <c r="Y9626" s="6">
        <v>4.05</v>
      </c>
      <c r="Z9626" s="6">
        <v>4.05</v>
      </c>
      <c r="AA9626" s="6">
        <v>1.19</v>
      </c>
      <c r="AB9626" s="2" t="s">
        <v>47</v>
      </c>
      <c r="AC9626" s="2"/>
    </row>
    <row r="9627" spans="1:29" ht="104" x14ac:dyDescent="0.15">
      <c r="A9627" s="3">
        <f t="shared" ref="A9627:A9632" si="174">DATE(2010,5,17)</f>
        <v>40315</v>
      </c>
      <c r="B9627" s="3">
        <f>DATE(2010,7,26)</f>
        <v>40385</v>
      </c>
      <c r="C9627" s="2" t="s">
        <v>95</v>
      </c>
      <c r="D9627" s="2" t="s">
        <v>28290</v>
      </c>
      <c r="E9627" s="2" t="s">
        <v>28291</v>
      </c>
      <c r="F9627" s="4">
        <v>7372</v>
      </c>
      <c r="G9627" s="2" t="s">
        <v>551</v>
      </c>
      <c r="H9627" s="2" t="s">
        <v>34</v>
      </c>
      <c r="I9627" s="2" t="s">
        <v>28292</v>
      </c>
      <c r="J9627" s="2" t="s">
        <v>28293</v>
      </c>
      <c r="K9627" s="2" t="s">
        <v>223</v>
      </c>
      <c r="L9627" s="2" t="s">
        <v>34</v>
      </c>
      <c r="M9627" s="2"/>
      <c r="N9627" s="2"/>
      <c r="O9627" s="2"/>
      <c r="P9627" s="2" t="s">
        <v>28294</v>
      </c>
      <c r="Q9627" s="6">
        <v>100</v>
      </c>
      <c r="R9627" s="6">
        <v>10.55</v>
      </c>
      <c r="S9627" s="5">
        <v>13.3</v>
      </c>
      <c r="T9627" s="7">
        <v>13.811</v>
      </c>
      <c r="U9627" s="5">
        <v>5</v>
      </c>
      <c r="V9627" s="6">
        <v>0.56999999999999995</v>
      </c>
      <c r="W9627" s="6">
        <v>8.92</v>
      </c>
      <c r="X9627" s="6">
        <v>8.7100000000000009</v>
      </c>
      <c r="Y9627" s="6">
        <v>10.44</v>
      </c>
      <c r="Z9627" s="6">
        <v>10.33</v>
      </c>
      <c r="AA9627" s="6">
        <v>21.15</v>
      </c>
      <c r="AB9627" s="7">
        <v>13.65</v>
      </c>
      <c r="AC9627" s="2"/>
    </row>
    <row r="9628" spans="1:29" ht="117" x14ac:dyDescent="0.15">
      <c r="A9628" s="3">
        <f t="shared" si="174"/>
        <v>40315</v>
      </c>
      <c r="B9628" s="3">
        <f>DATE(2010,8,13)</f>
        <v>40403</v>
      </c>
      <c r="C9628" s="2" t="s">
        <v>95</v>
      </c>
      <c r="D9628" s="2" t="s">
        <v>28295</v>
      </c>
      <c r="E9628" s="2" t="s">
        <v>28296</v>
      </c>
      <c r="F9628" s="4">
        <v>3661</v>
      </c>
      <c r="G9628" s="2" t="s">
        <v>921</v>
      </c>
      <c r="H9628" s="2" t="s">
        <v>34</v>
      </c>
      <c r="I9628" s="2" t="s">
        <v>28297</v>
      </c>
      <c r="J9628" s="2" t="s">
        <v>3197</v>
      </c>
      <c r="K9628" s="2" t="s">
        <v>53</v>
      </c>
      <c r="L9628" s="2" t="s">
        <v>34</v>
      </c>
      <c r="M9628" s="2"/>
      <c r="N9628" s="2"/>
      <c r="O9628" s="2"/>
      <c r="P9628" s="2" t="s">
        <v>28298</v>
      </c>
      <c r="Q9628" s="6">
        <v>100</v>
      </c>
      <c r="R9628" s="6">
        <v>1.5</v>
      </c>
      <c r="S9628" s="5">
        <v>-10.8</v>
      </c>
      <c r="T9628" s="7">
        <v>-8.6880000000000006</v>
      </c>
      <c r="U9628" s="5">
        <v>1.8</v>
      </c>
      <c r="V9628" s="6">
        <v>-0.4</v>
      </c>
      <c r="W9628" s="6">
        <v>0.99</v>
      </c>
      <c r="X9628" s="6">
        <v>1.03</v>
      </c>
      <c r="Y9628" s="6">
        <v>1.01</v>
      </c>
      <c r="Z9628" s="6">
        <v>1.01</v>
      </c>
      <c r="AA9628" s="6">
        <v>26.52</v>
      </c>
      <c r="AB9628" s="2" t="s">
        <v>86</v>
      </c>
      <c r="AC9628" s="2"/>
    </row>
    <row r="9629" spans="1:29" ht="195" x14ac:dyDescent="0.15">
      <c r="A9629" s="3">
        <f t="shared" si="174"/>
        <v>40315</v>
      </c>
      <c r="B9629" s="3">
        <f>DATE(2010,10,14)</f>
        <v>40465</v>
      </c>
      <c r="C9629" s="2" t="s">
        <v>95</v>
      </c>
      <c r="D9629" s="2" t="s">
        <v>28299</v>
      </c>
      <c r="E9629" s="2" t="s">
        <v>28300</v>
      </c>
      <c r="F9629" s="4">
        <v>6282</v>
      </c>
      <c r="G9629" s="2" t="s">
        <v>53</v>
      </c>
      <c r="H9629" s="2" t="s">
        <v>34</v>
      </c>
      <c r="I9629" s="2" t="s">
        <v>28301</v>
      </c>
      <c r="J9629" s="2" t="s">
        <v>28300</v>
      </c>
      <c r="K9629" s="2" t="s">
        <v>53</v>
      </c>
      <c r="L9629" s="2" t="s">
        <v>303</v>
      </c>
      <c r="M9629" s="12">
        <v>6934.9769999999999</v>
      </c>
      <c r="N9629" s="7">
        <v>2.9239999999999999</v>
      </c>
      <c r="O9629" s="7">
        <v>3.1480000000000001</v>
      </c>
      <c r="P9629" s="2" t="s">
        <v>28302</v>
      </c>
      <c r="Q9629" s="6">
        <v>100</v>
      </c>
      <c r="R9629" s="6">
        <v>6.91</v>
      </c>
      <c r="S9629" s="5">
        <v>-259.5</v>
      </c>
      <c r="T9629" s="7">
        <v>-404.69400000000002</v>
      </c>
      <c r="U9629" s="5">
        <v>-1.2</v>
      </c>
      <c r="V9629" s="6">
        <v>-1.1599999999999999</v>
      </c>
      <c r="W9629" s="6">
        <v>2.98</v>
      </c>
      <c r="X9629" s="6">
        <v>2.91</v>
      </c>
      <c r="Y9629" s="6">
        <v>4.3600000000000003</v>
      </c>
      <c r="Z9629" s="6">
        <v>4.3899999999999997</v>
      </c>
      <c r="AA9629" s="6">
        <v>376.68</v>
      </c>
      <c r="AB9629" s="2" t="s">
        <v>86</v>
      </c>
      <c r="AC9629" s="10">
        <v>4013.76</v>
      </c>
    </row>
    <row r="9630" spans="1:29" ht="65" x14ac:dyDescent="0.15">
      <c r="A9630" s="3">
        <f t="shared" si="174"/>
        <v>40315</v>
      </c>
      <c r="B9630" s="2"/>
      <c r="C9630" s="2" t="s">
        <v>87</v>
      </c>
      <c r="D9630" s="2" t="s">
        <v>28303</v>
      </c>
      <c r="E9630" s="2" t="s">
        <v>28304</v>
      </c>
      <c r="F9630" s="4">
        <v>3086</v>
      </c>
      <c r="G9630" s="2" t="s">
        <v>447</v>
      </c>
      <c r="H9630" s="2" t="s">
        <v>34</v>
      </c>
      <c r="I9630" s="2" t="s">
        <v>27735</v>
      </c>
      <c r="J9630" s="2" t="s">
        <v>244</v>
      </c>
      <c r="K9630" s="2" t="s">
        <v>53</v>
      </c>
      <c r="L9630" s="2" t="s">
        <v>34</v>
      </c>
      <c r="M9630" s="2"/>
      <c r="N9630" s="2"/>
      <c r="O9630" s="2"/>
      <c r="P9630" s="2" t="s">
        <v>28305</v>
      </c>
      <c r="Q9630" s="2"/>
      <c r="R9630" s="2"/>
      <c r="S9630" s="5">
        <v>280</v>
      </c>
      <c r="T9630" s="5">
        <v>701</v>
      </c>
      <c r="U9630" s="5">
        <v>7.9</v>
      </c>
      <c r="V9630" s="6">
        <v>2.09</v>
      </c>
      <c r="W9630" s="6">
        <v>24.66</v>
      </c>
      <c r="X9630" s="6">
        <v>23.97</v>
      </c>
      <c r="Y9630" s="6">
        <v>28.44</v>
      </c>
      <c r="Z9630" s="5">
        <v>27.9</v>
      </c>
      <c r="AA9630" s="6">
        <v>132.88999999999999</v>
      </c>
      <c r="AB9630" s="2" t="s">
        <v>47</v>
      </c>
      <c r="AC9630" s="6">
        <v>373.04</v>
      </c>
    </row>
    <row r="9631" spans="1:29" ht="104" x14ac:dyDescent="0.15">
      <c r="A9631" s="3">
        <f t="shared" si="174"/>
        <v>40315</v>
      </c>
      <c r="B9631" s="3">
        <f>DATE(2010,11,15)</f>
        <v>40497</v>
      </c>
      <c r="C9631" s="2" t="s">
        <v>95</v>
      </c>
      <c r="D9631" s="2" t="s">
        <v>20786</v>
      </c>
      <c r="E9631" s="2" t="s">
        <v>20787</v>
      </c>
      <c r="F9631" s="4">
        <v>8063</v>
      </c>
      <c r="G9631" s="2" t="s">
        <v>454</v>
      </c>
      <c r="H9631" s="2" t="s">
        <v>34</v>
      </c>
      <c r="I9631" s="2" t="s">
        <v>28306</v>
      </c>
      <c r="J9631" s="2" t="s">
        <v>28307</v>
      </c>
      <c r="K9631" s="2" t="s">
        <v>454</v>
      </c>
      <c r="L9631" s="2" t="s">
        <v>34</v>
      </c>
      <c r="M9631" s="12">
        <v>3472.9009999999998</v>
      </c>
      <c r="N9631" s="6">
        <v>42.14</v>
      </c>
      <c r="O9631" s="6">
        <v>41.75</v>
      </c>
      <c r="P9631" s="2" t="s">
        <v>28308</v>
      </c>
      <c r="Q9631" s="6">
        <v>100</v>
      </c>
      <c r="R9631" s="6">
        <v>33.75</v>
      </c>
      <c r="S9631" s="5">
        <v>118.4</v>
      </c>
      <c r="T9631" s="7">
        <v>318.23399999999998</v>
      </c>
      <c r="U9631" s="5">
        <v>18.600000000000001</v>
      </c>
      <c r="V9631" s="6">
        <v>2.21</v>
      </c>
      <c r="W9631" s="6">
        <v>30.89</v>
      </c>
      <c r="X9631" s="6">
        <v>30.45</v>
      </c>
      <c r="Y9631" s="6">
        <v>30.81</v>
      </c>
      <c r="Z9631" s="6">
        <v>31.24</v>
      </c>
      <c r="AA9631" s="6">
        <v>57.17</v>
      </c>
      <c r="AB9631" s="7">
        <v>11.462999999999999</v>
      </c>
      <c r="AC9631" s="6">
        <v>6.87</v>
      </c>
    </row>
    <row r="9632" spans="1:29" ht="104" x14ac:dyDescent="0.15">
      <c r="A9632" s="3">
        <f t="shared" si="174"/>
        <v>40315</v>
      </c>
      <c r="B9632" s="3">
        <f>DATE(2010,7,12)</f>
        <v>40371</v>
      </c>
      <c r="C9632" s="2" t="s">
        <v>95</v>
      </c>
      <c r="D9632" s="2" t="s">
        <v>28309</v>
      </c>
      <c r="E9632" s="2" t="s">
        <v>28310</v>
      </c>
      <c r="F9632" s="4">
        <v>8099</v>
      </c>
      <c r="G9632" s="2" t="s">
        <v>454</v>
      </c>
      <c r="H9632" s="2" t="s">
        <v>34</v>
      </c>
      <c r="I9632" s="2" t="s">
        <v>28311</v>
      </c>
      <c r="J9632" s="2" t="s">
        <v>11337</v>
      </c>
      <c r="K9632" s="2" t="s">
        <v>53</v>
      </c>
      <c r="L9632" s="2" t="s">
        <v>34</v>
      </c>
      <c r="M9632" s="2"/>
      <c r="N9632" s="2"/>
      <c r="O9632" s="2"/>
      <c r="P9632" s="2" t="s">
        <v>28312</v>
      </c>
      <c r="Q9632" s="6">
        <v>100</v>
      </c>
      <c r="R9632" s="6">
        <v>17.25</v>
      </c>
      <c r="S9632" s="5">
        <v>8.5</v>
      </c>
      <c r="T9632" s="7">
        <v>20.995999999999999</v>
      </c>
      <c r="U9632" s="5">
        <v>4.5</v>
      </c>
      <c r="V9632" s="6">
        <v>0.52</v>
      </c>
      <c r="W9632" s="6">
        <v>13.15</v>
      </c>
      <c r="X9632" s="6">
        <v>12.99</v>
      </c>
      <c r="Y9632" s="5">
        <v>16.899999999999999</v>
      </c>
      <c r="Z9632" s="6">
        <v>16.920000000000002</v>
      </c>
      <c r="AA9632" s="6">
        <v>16.27</v>
      </c>
      <c r="AB9632" s="7">
        <v>16.137</v>
      </c>
      <c r="AC9632" s="2"/>
    </row>
    <row r="9633" spans="1:29" ht="65" x14ac:dyDescent="0.15">
      <c r="A9633" s="3">
        <f>DATE(2010,5,24)</f>
        <v>40322</v>
      </c>
      <c r="B9633" s="3">
        <f>DATE(2010,8,17)</f>
        <v>40407</v>
      </c>
      <c r="C9633" s="2" t="s">
        <v>95</v>
      </c>
      <c r="D9633" s="2" t="s">
        <v>26398</v>
      </c>
      <c r="E9633" s="2" t="s">
        <v>25000</v>
      </c>
      <c r="F9633" s="4">
        <v>8082</v>
      </c>
      <c r="G9633" s="2" t="s">
        <v>454</v>
      </c>
      <c r="H9633" s="2" t="s">
        <v>34</v>
      </c>
      <c r="I9633" s="2" t="s">
        <v>28313</v>
      </c>
      <c r="J9633" s="2" t="s">
        <v>28314</v>
      </c>
      <c r="K9633" s="2" t="s">
        <v>454</v>
      </c>
      <c r="L9633" s="2" t="s">
        <v>34</v>
      </c>
      <c r="M9633" s="7">
        <v>885.11199999999997</v>
      </c>
      <c r="N9633" s="6">
        <v>29.17</v>
      </c>
      <c r="O9633" s="6">
        <v>27.88</v>
      </c>
      <c r="P9633" s="2" t="s">
        <v>28315</v>
      </c>
      <c r="Q9633" s="6">
        <v>100</v>
      </c>
      <c r="R9633" s="6">
        <v>27</v>
      </c>
      <c r="S9633" s="5">
        <v>45.6</v>
      </c>
      <c r="T9633" s="7">
        <v>87.063999999999993</v>
      </c>
      <c r="U9633" s="5">
        <v>7.9</v>
      </c>
      <c r="V9633" s="6">
        <v>1.38</v>
      </c>
      <c r="W9633" s="6">
        <v>20.59</v>
      </c>
      <c r="X9633" s="6">
        <v>19.29</v>
      </c>
      <c r="Y9633" s="6">
        <v>26.75</v>
      </c>
      <c r="Z9633" s="6">
        <v>26.52</v>
      </c>
      <c r="AA9633" s="6">
        <v>33.56</v>
      </c>
      <c r="AB9633" s="7">
        <v>11.226000000000001</v>
      </c>
      <c r="AC9633" s="6">
        <v>168.91</v>
      </c>
    </row>
    <row r="9634" spans="1:29" ht="65" x14ac:dyDescent="0.15">
      <c r="A9634" s="3">
        <f>DATE(2010,5,26)</f>
        <v>40324</v>
      </c>
      <c r="B9634" s="3">
        <f>DATE(2010,11,30)</f>
        <v>40512</v>
      </c>
      <c r="C9634" s="2" t="s">
        <v>95</v>
      </c>
      <c r="D9634" s="2" t="s">
        <v>27542</v>
      </c>
      <c r="E9634" s="2" t="s">
        <v>36</v>
      </c>
      <c r="F9634" s="4">
        <v>6021</v>
      </c>
      <c r="G9634" s="2" t="s">
        <v>37</v>
      </c>
      <c r="H9634" s="2" t="s">
        <v>34</v>
      </c>
      <c r="I9634" s="2" t="s">
        <v>19645</v>
      </c>
      <c r="J9634" s="2" t="s">
        <v>36</v>
      </c>
      <c r="K9634" s="2" t="s">
        <v>37</v>
      </c>
      <c r="L9634" s="2" t="s">
        <v>34</v>
      </c>
      <c r="M9634" s="7">
        <v>696.25800000000004</v>
      </c>
      <c r="N9634" s="6">
        <v>8.91</v>
      </c>
      <c r="O9634" s="6">
        <v>8.91</v>
      </c>
      <c r="P9634" s="2" t="s">
        <v>28316</v>
      </c>
      <c r="Q9634" s="6">
        <v>100</v>
      </c>
      <c r="R9634" s="6">
        <v>7.5</v>
      </c>
      <c r="S9634" s="5">
        <v>-25.3</v>
      </c>
      <c r="T9634" s="7">
        <v>2.996</v>
      </c>
      <c r="U9634" s="5">
        <v>4.9000000000000004</v>
      </c>
      <c r="V9634" s="6">
        <v>-2.87</v>
      </c>
      <c r="W9634" s="5">
        <v>3.6</v>
      </c>
      <c r="X9634" s="6">
        <v>3.08</v>
      </c>
      <c r="Y9634" s="4">
        <v>7</v>
      </c>
      <c r="Z9634" s="6">
        <v>7.03</v>
      </c>
      <c r="AA9634" s="6">
        <v>9.26</v>
      </c>
      <c r="AB9634" s="7">
        <v>58.079000000000001</v>
      </c>
      <c r="AC9634" s="2"/>
    </row>
    <row r="9635" spans="1:29" ht="104" x14ac:dyDescent="0.15">
      <c r="A9635" s="3">
        <f>DATE(2010,5,26)</f>
        <v>40324</v>
      </c>
      <c r="B9635" s="2"/>
      <c r="C9635" s="2" t="s">
        <v>30</v>
      </c>
      <c r="D9635" s="2" t="s">
        <v>21552</v>
      </c>
      <c r="E9635" s="2" t="s">
        <v>36</v>
      </c>
      <c r="F9635" s="4">
        <v>6021</v>
      </c>
      <c r="G9635" s="2" t="s">
        <v>37</v>
      </c>
      <c r="H9635" s="2" t="s">
        <v>34</v>
      </c>
      <c r="I9635" s="2" t="s">
        <v>28317</v>
      </c>
      <c r="J9635" s="2" t="s">
        <v>4060</v>
      </c>
      <c r="K9635" s="2" t="s">
        <v>53</v>
      </c>
      <c r="L9635" s="2" t="s">
        <v>1502</v>
      </c>
      <c r="M9635" s="12">
        <v>38769.322</v>
      </c>
      <c r="N9635" s="5">
        <v>36.200000000000003</v>
      </c>
      <c r="O9635" s="6">
        <v>38.61</v>
      </c>
      <c r="P9635" s="2" t="s">
        <v>28318</v>
      </c>
      <c r="Q9635" s="2"/>
      <c r="R9635" s="2"/>
      <c r="S9635" s="5">
        <v>-166.6</v>
      </c>
      <c r="T9635" s="7">
        <v>-188.905</v>
      </c>
      <c r="U9635" s="5">
        <v>15.8</v>
      </c>
      <c r="V9635" s="6">
        <v>-21.68</v>
      </c>
      <c r="W9635" s="5">
        <v>1.1000000000000001</v>
      </c>
      <c r="X9635" s="6">
        <v>1.68</v>
      </c>
      <c r="Y9635" s="6">
        <v>2.0499999999999998</v>
      </c>
      <c r="Z9635" s="6">
        <v>2.5499999999999998</v>
      </c>
      <c r="AA9635" s="6">
        <v>51.2</v>
      </c>
      <c r="AB9635" s="2" t="s">
        <v>86</v>
      </c>
      <c r="AC9635" s="2"/>
    </row>
    <row r="9636" spans="1:29" ht="169" x14ac:dyDescent="0.15">
      <c r="A9636" s="3">
        <f>DATE(2010,6,1)</f>
        <v>40330</v>
      </c>
      <c r="B9636" s="3">
        <f>DATE(2010,7,12)</f>
        <v>40371</v>
      </c>
      <c r="C9636" s="2" t="s">
        <v>95</v>
      </c>
      <c r="D9636" s="2" t="s">
        <v>23404</v>
      </c>
      <c r="E9636" s="2" t="s">
        <v>23405</v>
      </c>
      <c r="F9636" s="4">
        <v>3841</v>
      </c>
      <c r="G9636" s="2" t="s">
        <v>226</v>
      </c>
      <c r="H9636" s="2" t="s">
        <v>34</v>
      </c>
      <c r="I9636" s="2" t="s">
        <v>28319</v>
      </c>
      <c r="J9636" s="2" t="s">
        <v>4591</v>
      </c>
      <c r="K9636" s="2" t="s">
        <v>226</v>
      </c>
      <c r="L9636" s="2" t="s">
        <v>34</v>
      </c>
      <c r="M9636" s="2"/>
      <c r="N9636" s="2"/>
      <c r="O9636" s="2"/>
      <c r="P9636" s="2" t="s">
        <v>28320</v>
      </c>
      <c r="Q9636" s="6">
        <v>100</v>
      </c>
      <c r="R9636" s="6">
        <v>22.5</v>
      </c>
      <c r="S9636" s="5">
        <v>9.9</v>
      </c>
      <c r="T9636" s="7">
        <v>18.995000000000001</v>
      </c>
      <c r="U9636" s="2"/>
      <c r="V9636" s="6">
        <v>0.09</v>
      </c>
      <c r="W9636" s="6">
        <v>17.940000000000001</v>
      </c>
      <c r="X9636" s="6">
        <v>18.920000000000002</v>
      </c>
      <c r="Y9636" s="6">
        <v>22.22</v>
      </c>
      <c r="Z9636" s="6">
        <v>22.24</v>
      </c>
      <c r="AA9636" s="6">
        <v>114.98</v>
      </c>
      <c r="AB9636" s="7">
        <v>263.22500000000002</v>
      </c>
      <c r="AC9636" s="2"/>
    </row>
    <row r="9637" spans="1:29" ht="156" x14ac:dyDescent="0.15">
      <c r="A9637" s="3">
        <f>DATE(2010,6,1)</f>
        <v>40330</v>
      </c>
      <c r="B9637" s="3">
        <f>DATE(2011,3,4)</f>
        <v>40606</v>
      </c>
      <c r="C9637" s="2" t="s">
        <v>95</v>
      </c>
      <c r="D9637" s="2" t="s">
        <v>28321</v>
      </c>
      <c r="E9637" s="2" t="s">
        <v>10833</v>
      </c>
      <c r="F9637" s="4">
        <v>4841</v>
      </c>
      <c r="G9637" s="2" t="s">
        <v>45</v>
      </c>
      <c r="H9637" s="2" t="s">
        <v>34</v>
      </c>
      <c r="I9637" s="2" t="s">
        <v>28322</v>
      </c>
      <c r="J9637" s="2" t="s">
        <v>28323</v>
      </c>
      <c r="K9637" s="2" t="s">
        <v>53</v>
      </c>
      <c r="L9637" s="2" t="s">
        <v>34</v>
      </c>
      <c r="M9637" s="2"/>
      <c r="N9637" s="2"/>
      <c r="O9637" s="2"/>
      <c r="P9637" s="2" t="s">
        <v>28324</v>
      </c>
      <c r="Q9637" s="6">
        <v>61.08</v>
      </c>
      <c r="R9637" s="6">
        <v>8.75</v>
      </c>
      <c r="S9637" s="5">
        <v>698</v>
      </c>
      <c r="T9637" s="7">
        <v>541.03800000000001</v>
      </c>
      <c r="U9637" s="5">
        <v>4</v>
      </c>
      <c r="V9637" s="6">
        <v>9.4499999999999993</v>
      </c>
      <c r="W9637" s="6">
        <v>5.1100000000000003</v>
      </c>
      <c r="X9637" s="6">
        <v>5.33</v>
      </c>
      <c r="Y9637" s="6">
        <v>6.27</v>
      </c>
      <c r="Z9637" s="6">
        <v>6.43</v>
      </c>
      <c r="AA9637" s="6">
        <v>68.12</v>
      </c>
      <c r="AB9637" s="7">
        <v>12.762</v>
      </c>
      <c r="AC9637" s="2"/>
    </row>
    <row r="9638" spans="1:29" ht="78" x14ac:dyDescent="0.15">
      <c r="A9638" s="3">
        <f>DATE(2010,6,1)</f>
        <v>40330</v>
      </c>
      <c r="B9638" s="2"/>
      <c r="C9638" s="2" t="s">
        <v>87</v>
      </c>
      <c r="D9638" s="2" t="s">
        <v>28100</v>
      </c>
      <c r="E9638" s="2" t="s">
        <v>28101</v>
      </c>
      <c r="F9638" s="4">
        <v>5731</v>
      </c>
      <c r="G9638" s="2" t="s">
        <v>1227</v>
      </c>
      <c r="H9638" s="2" t="s">
        <v>34</v>
      </c>
      <c r="I9638" s="2" t="s">
        <v>21776</v>
      </c>
      <c r="J9638" s="2" t="s">
        <v>25822</v>
      </c>
      <c r="K9638" s="2" t="s">
        <v>53</v>
      </c>
      <c r="L9638" s="2" t="s">
        <v>34</v>
      </c>
      <c r="M9638" s="12">
        <v>4820.0119999999997</v>
      </c>
      <c r="N9638" s="6">
        <v>10.23</v>
      </c>
      <c r="O9638" s="6">
        <v>10.53</v>
      </c>
      <c r="P9638" s="2" t="s">
        <v>28325</v>
      </c>
      <c r="Q9638" s="2"/>
      <c r="R9638" s="2"/>
      <c r="S9638" s="5">
        <v>212</v>
      </c>
      <c r="T9638" s="5">
        <v>472.6</v>
      </c>
      <c r="U9638" s="5">
        <v>8.8000000000000007</v>
      </c>
      <c r="V9638" s="6">
        <v>1.68</v>
      </c>
      <c r="W9638" s="6">
        <v>19.510000000000002</v>
      </c>
      <c r="X9638" s="6">
        <v>20.440000000000001</v>
      </c>
      <c r="Y9638" s="6">
        <v>21.01</v>
      </c>
      <c r="Z9638" s="6">
        <v>21.82</v>
      </c>
      <c r="AA9638" s="6">
        <v>125.38</v>
      </c>
      <c r="AB9638" s="2" t="s">
        <v>47</v>
      </c>
      <c r="AC9638" s="5">
        <v>903.8</v>
      </c>
    </row>
    <row r="9639" spans="1:29" ht="130" x14ac:dyDescent="0.15">
      <c r="A9639" s="3">
        <f>DATE(2010,6,2)</f>
        <v>40331</v>
      </c>
      <c r="B9639" s="3">
        <f>DATE(2010,10,8)</f>
        <v>40459</v>
      </c>
      <c r="C9639" s="2" t="s">
        <v>95</v>
      </c>
      <c r="D9639" s="2" t="s">
        <v>28326</v>
      </c>
      <c r="E9639" s="2" t="s">
        <v>5102</v>
      </c>
      <c r="F9639" s="4">
        <v>7372</v>
      </c>
      <c r="G9639" s="2" t="s">
        <v>551</v>
      </c>
      <c r="H9639" s="2" t="s">
        <v>34</v>
      </c>
      <c r="I9639" s="2" t="s">
        <v>28327</v>
      </c>
      <c r="J9639" s="2" t="s">
        <v>28328</v>
      </c>
      <c r="K9639" s="2" t="s">
        <v>551</v>
      </c>
      <c r="L9639" s="2" t="s">
        <v>34</v>
      </c>
      <c r="M9639" s="7">
        <v>347.69299999999998</v>
      </c>
      <c r="N9639" s="6">
        <v>10.71</v>
      </c>
      <c r="O9639" s="6">
        <v>10.39</v>
      </c>
      <c r="P9639" s="2" t="s">
        <v>28329</v>
      </c>
      <c r="Q9639" s="6">
        <v>100</v>
      </c>
      <c r="R9639" s="6">
        <v>9.83</v>
      </c>
      <c r="S9639" s="5">
        <v>2.8</v>
      </c>
      <c r="T9639" s="7">
        <v>-0.30599999999999999</v>
      </c>
      <c r="U9639" s="5">
        <v>5.7</v>
      </c>
      <c r="V9639" s="9">
        <v>8.7400000000000005E-2</v>
      </c>
      <c r="W9639" s="6">
        <v>7.07</v>
      </c>
      <c r="X9639" s="6">
        <v>6.95</v>
      </c>
      <c r="Y9639" s="6">
        <v>8.7899999999999991</v>
      </c>
      <c r="Z9639" s="6">
        <v>8.7100000000000009</v>
      </c>
      <c r="AA9639" s="6">
        <v>32.89</v>
      </c>
      <c r="AB9639" s="2" t="s">
        <v>86</v>
      </c>
      <c r="AC9639" s="6">
        <v>54.54</v>
      </c>
    </row>
    <row r="9640" spans="1:29" ht="65" x14ac:dyDescent="0.15">
      <c r="A9640" s="3">
        <f>DATE(2010,6,3)</f>
        <v>40332</v>
      </c>
      <c r="B9640" s="2"/>
      <c r="C9640" s="2" t="s">
        <v>30</v>
      </c>
      <c r="D9640" s="2" t="s">
        <v>25990</v>
      </c>
      <c r="E9640" s="2" t="s">
        <v>25991</v>
      </c>
      <c r="F9640" s="4">
        <v>7376</v>
      </c>
      <c r="G9640" s="2" t="s">
        <v>223</v>
      </c>
      <c r="H9640" s="2" t="s">
        <v>34</v>
      </c>
      <c r="I9640" s="2" t="s">
        <v>28330</v>
      </c>
      <c r="J9640" s="2" t="s">
        <v>28331</v>
      </c>
      <c r="K9640" s="2" t="s">
        <v>223</v>
      </c>
      <c r="L9640" s="2" t="s">
        <v>34</v>
      </c>
      <c r="M9640" s="7">
        <v>303.14600000000002</v>
      </c>
      <c r="N9640" s="6">
        <v>16.32</v>
      </c>
      <c r="O9640" s="5">
        <v>14.9</v>
      </c>
      <c r="P9640" s="2" t="s">
        <v>28332</v>
      </c>
      <c r="Q9640" s="2"/>
      <c r="R9640" s="6">
        <v>5.2</v>
      </c>
      <c r="S9640" s="5">
        <v>3.1</v>
      </c>
      <c r="T9640" s="7">
        <v>5.4359999999999999</v>
      </c>
      <c r="U9640" s="5">
        <v>5</v>
      </c>
      <c r="V9640" s="6">
        <v>0.28000000000000003</v>
      </c>
      <c r="W9640" s="6">
        <v>3.64</v>
      </c>
      <c r="X9640" s="7">
        <v>3.4950000000000001</v>
      </c>
      <c r="Y9640" s="5">
        <v>3.5</v>
      </c>
      <c r="Z9640" s="6">
        <v>4.93</v>
      </c>
      <c r="AA9640" s="6">
        <v>13</v>
      </c>
      <c r="AB9640" s="7">
        <v>14.507</v>
      </c>
      <c r="AC9640" s="6">
        <v>76.260000000000005</v>
      </c>
    </row>
    <row r="9641" spans="1:29" ht="91" x14ac:dyDescent="0.15">
      <c r="A9641" s="3">
        <f>DATE(2010,6,3)</f>
        <v>40332</v>
      </c>
      <c r="B9641" s="3">
        <f>DATE(2010,7,20)</f>
        <v>40379</v>
      </c>
      <c r="C9641" s="2" t="s">
        <v>95</v>
      </c>
      <c r="D9641" s="2" t="s">
        <v>28333</v>
      </c>
      <c r="E9641" s="2" t="s">
        <v>23784</v>
      </c>
      <c r="F9641" s="4">
        <v>7375</v>
      </c>
      <c r="G9641" s="2" t="s">
        <v>223</v>
      </c>
      <c r="H9641" s="2" t="s">
        <v>34</v>
      </c>
      <c r="I9641" s="2" t="s">
        <v>28334</v>
      </c>
      <c r="J9641" s="2" t="s">
        <v>11337</v>
      </c>
      <c r="K9641" s="2" t="s">
        <v>53</v>
      </c>
      <c r="L9641" s="2" t="s">
        <v>34</v>
      </c>
      <c r="M9641" s="2"/>
      <c r="N9641" s="2"/>
      <c r="O9641" s="2"/>
      <c r="P9641" s="2" t="s">
        <v>28335</v>
      </c>
      <c r="Q9641" s="6">
        <v>100</v>
      </c>
      <c r="R9641" s="6">
        <v>11.5</v>
      </c>
      <c r="S9641" s="5">
        <v>15.8</v>
      </c>
      <c r="T9641" s="6">
        <v>30.59</v>
      </c>
      <c r="U9641" s="5">
        <v>5.7</v>
      </c>
      <c r="V9641" s="6">
        <v>0.28000000000000003</v>
      </c>
      <c r="W9641" s="6">
        <v>9.35</v>
      </c>
      <c r="X9641" s="6">
        <v>8.99</v>
      </c>
      <c r="Y9641" s="6">
        <v>11.28</v>
      </c>
      <c r="Z9641" s="6">
        <v>11.29</v>
      </c>
      <c r="AA9641" s="6">
        <v>55.1</v>
      </c>
      <c r="AB9641" s="7">
        <v>19.433</v>
      </c>
      <c r="AC9641" s="2"/>
    </row>
    <row r="9642" spans="1:29" ht="78" x14ac:dyDescent="0.15">
      <c r="A9642" s="3">
        <f>DATE(2010,6,4)</f>
        <v>40333</v>
      </c>
      <c r="B9642" s="3">
        <f>DATE(2010,10,27)</f>
        <v>40478</v>
      </c>
      <c r="C9642" s="2" t="s">
        <v>95</v>
      </c>
      <c r="D9642" s="2" t="s">
        <v>28336</v>
      </c>
      <c r="E9642" s="2" t="s">
        <v>28337</v>
      </c>
      <c r="F9642" s="4">
        <v>1382</v>
      </c>
      <c r="G9642" s="2" t="s">
        <v>148</v>
      </c>
      <c r="H9642" s="2" t="s">
        <v>34</v>
      </c>
      <c r="I9642" s="2" t="s">
        <v>23593</v>
      </c>
      <c r="J9642" s="2" t="s">
        <v>244</v>
      </c>
      <c r="K9642" s="2" t="s">
        <v>53</v>
      </c>
      <c r="L9642" s="2" t="s">
        <v>34</v>
      </c>
      <c r="M9642" s="2"/>
      <c r="N9642" s="2"/>
      <c r="O9642" s="2"/>
      <c r="P9642" s="2" t="s">
        <v>28338</v>
      </c>
      <c r="Q9642" s="6">
        <v>100</v>
      </c>
      <c r="R9642" s="6">
        <v>2.75</v>
      </c>
      <c r="S9642" s="5">
        <v>-4.7</v>
      </c>
      <c r="T9642" s="7">
        <v>14.054</v>
      </c>
      <c r="U9642" s="5">
        <v>2.1</v>
      </c>
      <c r="V9642" s="6">
        <v>-0.25</v>
      </c>
      <c r="W9642" s="6">
        <v>2.0499999999999998</v>
      </c>
      <c r="X9642" s="6">
        <v>2.12</v>
      </c>
      <c r="Y9642" s="6">
        <v>2.69</v>
      </c>
      <c r="Z9642" s="6">
        <v>2.67</v>
      </c>
      <c r="AA9642" s="6">
        <v>24.15</v>
      </c>
      <c r="AB9642" s="7">
        <v>229.58</v>
      </c>
      <c r="AC9642" s="2"/>
    </row>
    <row r="9643" spans="1:29" ht="208" x14ac:dyDescent="0.15">
      <c r="A9643" s="3">
        <f>DATE(2010,6,7)</f>
        <v>40336</v>
      </c>
      <c r="B9643" s="3">
        <f>DATE(2011,6,2)</f>
        <v>40696</v>
      </c>
      <c r="C9643" s="2" t="s">
        <v>95</v>
      </c>
      <c r="D9643" s="2" t="s">
        <v>28339</v>
      </c>
      <c r="E9643" s="2" t="s">
        <v>6378</v>
      </c>
      <c r="F9643" s="4">
        <v>2834</v>
      </c>
      <c r="G9643" s="2" t="s">
        <v>130</v>
      </c>
      <c r="H9643" s="2" t="s">
        <v>34</v>
      </c>
      <c r="I9643" s="2" t="s">
        <v>28340</v>
      </c>
      <c r="J9643" s="2" t="s">
        <v>4011</v>
      </c>
      <c r="K9643" s="2" t="s">
        <v>130</v>
      </c>
      <c r="L9643" s="2" t="s">
        <v>8464</v>
      </c>
      <c r="M9643" s="12">
        <v>3637.7089999999998</v>
      </c>
      <c r="N9643" s="7">
        <v>10.105</v>
      </c>
      <c r="O9643" s="6">
        <v>10.56</v>
      </c>
      <c r="P9643" s="2" t="s">
        <v>28341</v>
      </c>
      <c r="Q9643" s="6">
        <v>100</v>
      </c>
      <c r="R9643" s="6">
        <v>27.22</v>
      </c>
      <c r="S9643" s="5">
        <v>150.4</v>
      </c>
      <c r="T9643" s="7">
        <v>355.88799999999998</v>
      </c>
      <c r="U9643" s="5">
        <v>6.2</v>
      </c>
      <c r="V9643" s="6">
        <v>1.04</v>
      </c>
      <c r="W9643" s="6">
        <v>16.579999999999998</v>
      </c>
      <c r="X9643" s="7">
        <v>15.914999999999999</v>
      </c>
      <c r="Y9643" s="6">
        <v>20.010000000000002</v>
      </c>
      <c r="Z9643" s="6">
        <v>20.010000000000002</v>
      </c>
      <c r="AA9643" s="6">
        <v>122.88</v>
      </c>
      <c r="AB9643" s="7">
        <v>12.648</v>
      </c>
      <c r="AC9643" s="6">
        <v>438.98</v>
      </c>
    </row>
    <row r="9644" spans="1:29" ht="221" x14ac:dyDescent="0.15">
      <c r="A9644" s="3">
        <f>DATE(2010,6,9)</f>
        <v>40338</v>
      </c>
      <c r="B9644" s="3">
        <f>DATE(2010,9,1)</f>
        <v>40422</v>
      </c>
      <c r="C9644" s="2" t="s">
        <v>95</v>
      </c>
      <c r="D9644" s="2" t="s">
        <v>13134</v>
      </c>
      <c r="E9644" s="2" t="s">
        <v>13135</v>
      </c>
      <c r="F9644" s="4">
        <v>7372</v>
      </c>
      <c r="G9644" s="2" t="s">
        <v>551</v>
      </c>
      <c r="H9644" s="2" t="s">
        <v>34</v>
      </c>
      <c r="I9644" s="2" t="s">
        <v>28342</v>
      </c>
      <c r="J9644" s="2" t="s">
        <v>13135</v>
      </c>
      <c r="K9644" s="2" t="s">
        <v>223</v>
      </c>
      <c r="L9644" s="2" t="s">
        <v>34</v>
      </c>
      <c r="M9644" s="10">
        <v>2974.44</v>
      </c>
      <c r="N9644" s="6">
        <v>16.64</v>
      </c>
      <c r="O9644" s="6">
        <v>17.21</v>
      </c>
      <c r="P9644" s="2" t="s">
        <v>28343</v>
      </c>
      <c r="Q9644" s="6">
        <v>100</v>
      </c>
      <c r="R9644" s="6">
        <v>22.1</v>
      </c>
      <c r="S9644" s="5">
        <v>8.9</v>
      </c>
      <c r="T9644" s="7">
        <v>69.762</v>
      </c>
      <c r="U9644" s="5">
        <v>7.8</v>
      </c>
      <c r="V9644" s="6">
        <v>0.16</v>
      </c>
      <c r="W9644" s="6">
        <v>19.27</v>
      </c>
      <c r="X9644" s="6">
        <v>18.510000000000002</v>
      </c>
      <c r="Y9644" s="6">
        <v>19.02</v>
      </c>
      <c r="Z9644" s="6">
        <v>19.43</v>
      </c>
      <c r="AA9644" s="6">
        <v>57.45</v>
      </c>
      <c r="AB9644" s="7">
        <v>59.381</v>
      </c>
      <c r="AC9644" s="6">
        <v>71.16</v>
      </c>
    </row>
    <row r="9645" spans="1:29" ht="143" x14ac:dyDescent="0.15">
      <c r="A9645" s="3">
        <f>DATE(2010,6,9)</f>
        <v>40338</v>
      </c>
      <c r="B9645" s="3">
        <f>DATE(2010,12,13)</f>
        <v>40525</v>
      </c>
      <c r="C9645" s="2" t="s">
        <v>95</v>
      </c>
      <c r="D9645" s="2" t="s">
        <v>28344</v>
      </c>
      <c r="E9645" s="2" t="s">
        <v>28345</v>
      </c>
      <c r="F9645" s="4">
        <v>7389</v>
      </c>
      <c r="G9645" s="2" t="s">
        <v>223</v>
      </c>
      <c r="H9645" s="2" t="s">
        <v>34</v>
      </c>
      <c r="I9645" s="2" t="s">
        <v>26885</v>
      </c>
      <c r="J9645" s="2" t="s">
        <v>244</v>
      </c>
      <c r="K9645" s="2" t="s">
        <v>53</v>
      </c>
      <c r="L9645" s="2" t="s">
        <v>34</v>
      </c>
      <c r="M9645" s="2"/>
      <c r="N9645" s="2"/>
      <c r="O9645" s="2"/>
      <c r="P9645" s="2" t="s">
        <v>28346</v>
      </c>
      <c r="Q9645" s="6">
        <v>85.76</v>
      </c>
      <c r="R9645" s="6">
        <v>13.75</v>
      </c>
      <c r="S9645" s="5">
        <v>6.4</v>
      </c>
      <c r="T9645" s="7">
        <v>12.916</v>
      </c>
      <c r="U9645" s="5">
        <v>10.199999999999999</v>
      </c>
      <c r="V9645" s="6">
        <v>0.71</v>
      </c>
      <c r="W9645" s="6">
        <v>10.95</v>
      </c>
      <c r="X9645" s="5">
        <v>9.9</v>
      </c>
      <c r="Y9645" s="6">
        <v>13.67</v>
      </c>
      <c r="Z9645" s="6">
        <v>13.85</v>
      </c>
      <c r="AA9645" s="6">
        <v>8.82</v>
      </c>
      <c r="AB9645" s="7">
        <v>13.686999999999999</v>
      </c>
      <c r="AC9645" s="2"/>
    </row>
    <row r="9646" spans="1:29" ht="91" x14ac:dyDescent="0.15">
      <c r="A9646" s="3">
        <f>DATE(2010,6,10)</f>
        <v>40339</v>
      </c>
      <c r="B9646" s="3">
        <f>DATE(2010,8,13)</f>
        <v>40403</v>
      </c>
      <c r="C9646" s="2" t="s">
        <v>95</v>
      </c>
      <c r="D9646" s="2" t="s">
        <v>28347</v>
      </c>
      <c r="E9646" s="2" t="s">
        <v>28348</v>
      </c>
      <c r="F9646" s="4">
        <v>7375</v>
      </c>
      <c r="G9646" s="2" t="s">
        <v>223</v>
      </c>
      <c r="H9646" s="2" t="s">
        <v>34</v>
      </c>
      <c r="I9646" s="2" t="s">
        <v>28349</v>
      </c>
      <c r="J9646" s="2" t="s">
        <v>11337</v>
      </c>
      <c r="K9646" s="2" t="s">
        <v>53</v>
      </c>
      <c r="L9646" s="2" t="s">
        <v>34</v>
      </c>
      <c r="M9646" s="2"/>
      <c r="N9646" s="2"/>
      <c r="O9646" s="2"/>
      <c r="P9646" s="2" t="s">
        <v>28350</v>
      </c>
      <c r="Q9646" s="6">
        <v>69</v>
      </c>
      <c r="R9646" s="6">
        <v>4</v>
      </c>
      <c r="S9646" s="5">
        <v>13.2</v>
      </c>
      <c r="T9646" s="7">
        <v>-1.573</v>
      </c>
      <c r="U9646" s="5">
        <v>4.4000000000000004</v>
      </c>
      <c r="V9646" s="6">
        <v>1.94</v>
      </c>
      <c r="W9646" s="6">
        <v>3.12</v>
      </c>
      <c r="X9646" s="7">
        <v>3.0350000000000001</v>
      </c>
      <c r="Y9646" s="7">
        <v>2.7650000000000001</v>
      </c>
      <c r="Z9646" s="6">
        <v>3.94</v>
      </c>
      <c r="AA9646" s="6">
        <v>6.77</v>
      </c>
      <c r="AB9646" s="2" t="s">
        <v>86</v>
      </c>
      <c r="AC9646" s="2"/>
    </row>
    <row r="9647" spans="1:29" ht="130" x14ac:dyDescent="0.15">
      <c r="A9647" s="3">
        <f>DATE(2010,6,10)</f>
        <v>40339</v>
      </c>
      <c r="B9647" s="3">
        <f>DATE(2010,9,1)</f>
        <v>40422</v>
      </c>
      <c r="C9647" s="2" t="s">
        <v>95</v>
      </c>
      <c r="D9647" s="2" t="s">
        <v>28351</v>
      </c>
      <c r="E9647" s="2" t="s">
        <v>515</v>
      </c>
      <c r="F9647" s="4">
        <v>6321</v>
      </c>
      <c r="G9647" s="2" t="s">
        <v>125</v>
      </c>
      <c r="H9647" s="2" t="s">
        <v>34</v>
      </c>
      <c r="I9647" s="2" t="s">
        <v>28352</v>
      </c>
      <c r="J9647" s="2" t="s">
        <v>515</v>
      </c>
      <c r="K9647" s="2" t="s">
        <v>125</v>
      </c>
      <c r="L9647" s="2" t="s">
        <v>34</v>
      </c>
      <c r="M9647" s="12">
        <v>3386.4609999999998</v>
      </c>
      <c r="N9647" s="5">
        <v>12.8</v>
      </c>
      <c r="O9647" s="6">
        <v>13.23</v>
      </c>
      <c r="P9647" s="2" t="s">
        <v>28353</v>
      </c>
      <c r="Q9647" s="6">
        <v>100</v>
      </c>
      <c r="R9647" s="6">
        <v>7.1</v>
      </c>
      <c r="S9647" s="5">
        <v>21.1</v>
      </c>
      <c r="T9647" s="7">
        <v>52.286000000000001</v>
      </c>
      <c r="U9647" s="5">
        <v>13</v>
      </c>
      <c r="V9647" s="6">
        <v>1.26</v>
      </c>
      <c r="W9647" s="6">
        <v>6.87</v>
      </c>
      <c r="X9647" s="6">
        <v>6.11</v>
      </c>
      <c r="Y9647" s="6">
        <v>6.89</v>
      </c>
      <c r="Z9647" s="6">
        <v>7.05</v>
      </c>
      <c r="AA9647" s="6">
        <v>32.25</v>
      </c>
      <c r="AB9647" s="7">
        <v>7.51</v>
      </c>
      <c r="AC9647" s="5">
        <v>74.900000000000006</v>
      </c>
    </row>
    <row r="9648" spans="1:29" ht="65" x14ac:dyDescent="0.15">
      <c r="A9648" s="3">
        <f>DATE(2010,6,10)</f>
        <v>40339</v>
      </c>
      <c r="B9648" s="3">
        <f>DATE(2010,9,2)</f>
        <v>40423</v>
      </c>
      <c r="C9648" s="2" t="s">
        <v>95</v>
      </c>
      <c r="D9648" s="2" t="s">
        <v>28354</v>
      </c>
      <c r="E9648" s="2" t="s">
        <v>2728</v>
      </c>
      <c r="F9648" s="4">
        <v>3674</v>
      </c>
      <c r="G9648" s="2" t="s">
        <v>137</v>
      </c>
      <c r="H9648" s="2" t="s">
        <v>34</v>
      </c>
      <c r="I9648" s="2" t="s">
        <v>9138</v>
      </c>
      <c r="J9648" s="2" t="s">
        <v>9139</v>
      </c>
      <c r="K9648" s="2" t="s">
        <v>551</v>
      </c>
      <c r="L9648" s="2" t="s">
        <v>34</v>
      </c>
      <c r="M9648" s="12">
        <v>3308.5929999999998</v>
      </c>
      <c r="N9648" s="6">
        <v>21.26</v>
      </c>
      <c r="O9648" s="6">
        <v>21.75</v>
      </c>
      <c r="P9648" s="2" t="s">
        <v>28355</v>
      </c>
      <c r="Q9648" s="6">
        <v>100</v>
      </c>
      <c r="R9648" s="6">
        <v>12</v>
      </c>
      <c r="S9648" s="5">
        <v>-8.4</v>
      </c>
      <c r="T9648" s="6">
        <v>-5.88</v>
      </c>
      <c r="U9648" s="5">
        <v>3.3</v>
      </c>
      <c r="V9648" s="6">
        <v>-0.35</v>
      </c>
      <c r="W9648" s="5">
        <v>10.7</v>
      </c>
      <c r="X9648" s="6">
        <v>9.3699999999999992</v>
      </c>
      <c r="Y9648" s="7">
        <v>11.955</v>
      </c>
      <c r="Z9648" s="5">
        <v>11.9</v>
      </c>
      <c r="AA9648" s="6">
        <v>28.6</v>
      </c>
      <c r="AB9648" s="2" t="s">
        <v>86</v>
      </c>
      <c r="AC9648" s="10">
        <v>1085.17</v>
      </c>
    </row>
    <row r="9649" spans="1:29" ht="156" x14ac:dyDescent="0.15">
      <c r="A9649" s="3">
        <f>DATE(2010,6,11)</f>
        <v>40340</v>
      </c>
      <c r="B9649" s="3">
        <f>DATE(2010,11,19)</f>
        <v>40501</v>
      </c>
      <c r="C9649" s="2" t="s">
        <v>95</v>
      </c>
      <c r="D9649" s="2" t="s">
        <v>25381</v>
      </c>
      <c r="E9649" s="2" t="s">
        <v>23906</v>
      </c>
      <c r="F9649" s="4">
        <v>4613</v>
      </c>
      <c r="G9649" s="2" t="s">
        <v>148</v>
      </c>
      <c r="H9649" s="2" t="s">
        <v>34</v>
      </c>
      <c r="I9649" s="2" t="s">
        <v>28356</v>
      </c>
      <c r="J9649" s="2" t="s">
        <v>15700</v>
      </c>
      <c r="K9649" s="2" t="s">
        <v>148</v>
      </c>
      <c r="L9649" s="2" t="s">
        <v>34</v>
      </c>
      <c r="M9649" s="12">
        <v>4195.2579999999998</v>
      </c>
      <c r="N9649" s="6">
        <v>55.86</v>
      </c>
      <c r="O9649" s="6">
        <v>56.37</v>
      </c>
      <c r="P9649" s="2" t="s">
        <v>28357</v>
      </c>
      <c r="Q9649" s="6">
        <v>100</v>
      </c>
      <c r="R9649" s="6">
        <v>41.01</v>
      </c>
      <c r="S9649" s="5">
        <v>50.7</v>
      </c>
      <c r="T9649" s="7">
        <v>357.92599999999999</v>
      </c>
      <c r="U9649" s="5">
        <v>8.6</v>
      </c>
      <c r="V9649" s="6">
        <v>1.81</v>
      </c>
      <c r="W9649" s="6">
        <v>29.84</v>
      </c>
      <c r="X9649" s="6">
        <v>31.18</v>
      </c>
      <c r="Y9649" s="6">
        <v>36.65</v>
      </c>
      <c r="Z9649" s="6">
        <v>36.57</v>
      </c>
      <c r="AA9649" s="6">
        <v>27.77</v>
      </c>
      <c r="AB9649" s="7">
        <v>9.1669999999999998</v>
      </c>
      <c r="AC9649" s="6">
        <v>18.47</v>
      </c>
    </row>
    <row r="9650" spans="1:29" ht="52" x14ac:dyDescent="0.15">
      <c r="A9650" s="3">
        <f>DATE(2010,6,11)</f>
        <v>40340</v>
      </c>
      <c r="B9650" s="3">
        <f>DATE(2010,6,11)</f>
        <v>40340</v>
      </c>
      <c r="C9650" s="2" t="s">
        <v>95</v>
      </c>
      <c r="D9650" s="2" t="s">
        <v>28358</v>
      </c>
      <c r="E9650" s="2" t="s">
        <v>28359</v>
      </c>
      <c r="F9650" s="4">
        <v>2834</v>
      </c>
      <c r="G9650" s="2" t="s">
        <v>130</v>
      </c>
      <c r="H9650" s="2" t="s">
        <v>34</v>
      </c>
      <c r="I9650" s="2" t="s">
        <v>28360</v>
      </c>
      <c r="J9650" s="2" t="s">
        <v>28361</v>
      </c>
      <c r="K9650" s="2" t="s">
        <v>577</v>
      </c>
      <c r="L9650" s="2" t="s">
        <v>133</v>
      </c>
      <c r="M9650" s="2"/>
      <c r="N9650" s="7">
        <v>52.561999999999998</v>
      </c>
      <c r="O9650" s="7">
        <v>53.578000000000003</v>
      </c>
      <c r="P9650" s="2" t="s">
        <v>28362</v>
      </c>
      <c r="Q9650" s="6">
        <v>100</v>
      </c>
      <c r="R9650" s="2"/>
      <c r="S9650" s="5">
        <v>0.8</v>
      </c>
      <c r="T9650" s="7">
        <v>1.5469999999999999</v>
      </c>
      <c r="U9650" s="5">
        <v>0.9</v>
      </c>
      <c r="V9650" s="6">
        <v>0.05</v>
      </c>
      <c r="W9650" s="5">
        <v>2.6</v>
      </c>
      <c r="X9650" s="6">
        <v>2.78</v>
      </c>
      <c r="Y9650" s="6">
        <v>3.95</v>
      </c>
      <c r="Z9650" s="6">
        <v>3.95</v>
      </c>
      <c r="AA9650" s="6">
        <v>14.42</v>
      </c>
      <c r="AB9650" s="7">
        <v>37.195999999999998</v>
      </c>
      <c r="AC9650" s="10">
        <v>1573.29</v>
      </c>
    </row>
    <row r="9651" spans="1:29" ht="130" x14ac:dyDescent="0.15">
      <c r="A9651" s="3">
        <f>DATE(2010,6,14)</f>
        <v>40343</v>
      </c>
      <c r="B9651" s="3">
        <f>DATE(2010,7,21)</f>
        <v>40380</v>
      </c>
      <c r="C9651" s="2" t="s">
        <v>95</v>
      </c>
      <c r="D9651" s="2" t="s">
        <v>22349</v>
      </c>
      <c r="E9651" s="2" t="s">
        <v>4572</v>
      </c>
      <c r="F9651" s="4">
        <v>7376</v>
      </c>
      <c r="G9651" s="2" t="s">
        <v>223</v>
      </c>
      <c r="H9651" s="2" t="s">
        <v>34</v>
      </c>
      <c r="I9651" s="2" t="s">
        <v>28363</v>
      </c>
      <c r="J9651" s="2" t="s">
        <v>4572</v>
      </c>
      <c r="K9651" s="2" t="s">
        <v>223</v>
      </c>
      <c r="L9651" s="2" t="s">
        <v>34</v>
      </c>
      <c r="M9651" s="2"/>
      <c r="N9651" s="2"/>
      <c r="O9651" s="2"/>
      <c r="P9651" s="2" t="s">
        <v>28364</v>
      </c>
      <c r="Q9651" s="6">
        <v>100</v>
      </c>
      <c r="R9651" s="6">
        <v>4.6500000000000004</v>
      </c>
      <c r="S9651" s="5">
        <v>12</v>
      </c>
      <c r="T9651" s="7">
        <v>16.276</v>
      </c>
      <c r="U9651" s="5">
        <v>1.2</v>
      </c>
      <c r="V9651" s="6">
        <v>0.3</v>
      </c>
      <c r="W9651" s="6">
        <v>3.65</v>
      </c>
      <c r="X9651" s="6">
        <v>3.64</v>
      </c>
      <c r="Y9651" s="6">
        <v>4.6100000000000003</v>
      </c>
      <c r="Z9651" s="6">
        <v>4.6100000000000003</v>
      </c>
      <c r="AA9651" s="6">
        <v>41.25</v>
      </c>
      <c r="AB9651" s="7">
        <v>13.175000000000001</v>
      </c>
      <c r="AC9651" s="2"/>
    </row>
    <row r="9652" spans="1:29" ht="104" x14ac:dyDescent="0.15">
      <c r="A9652" s="3">
        <f>DATE(2010,6,14)</f>
        <v>40343</v>
      </c>
      <c r="B9652" s="2"/>
      <c r="C9652" s="2" t="s">
        <v>30</v>
      </c>
      <c r="D9652" s="2" t="s">
        <v>28176</v>
      </c>
      <c r="E9652" s="2" t="s">
        <v>28177</v>
      </c>
      <c r="F9652" s="4">
        <v>7372</v>
      </c>
      <c r="G9652" s="2" t="s">
        <v>551</v>
      </c>
      <c r="H9652" s="2" t="s">
        <v>34</v>
      </c>
      <c r="I9652" s="2" t="s">
        <v>28365</v>
      </c>
      <c r="J9652" s="2" t="s">
        <v>302</v>
      </c>
      <c r="K9652" s="2" t="s">
        <v>53</v>
      </c>
      <c r="L9652" s="2" t="s">
        <v>34</v>
      </c>
      <c r="M9652" s="2"/>
      <c r="N9652" s="2"/>
      <c r="O9652" s="2"/>
      <c r="P9652" s="2" t="s">
        <v>28366</v>
      </c>
      <c r="Q9652" s="2"/>
      <c r="R9652" s="6">
        <v>5.75</v>
      </c>
      <c r="S9652" s="5">
        <v>-6.3</v>
      </c>
      <c r="T9652" s="7">
        <v>13.159000000000001</v>
      </c>
      <c r="U9652" s="5">
        <v>4.2</v>
      </c>
      <c r="V9652" s="6">
        <v>-0.02</v>
      </c>
      <c r="W9652" s="6">
        <v>4.49</v>
      </c>
      <c r="X9652" s="6">
        <v>4.47</v>
      </c>
      <c r="Y9652" s="6">
        <v>5.46</v>
      </c>
      <c r="Z9652" s="6">
        <v>5.48</v>
      </c>
      <c r="AA9652" s="6">
        <v>34.79</v>
      </c>
      <c r="AB9652" s="2" t="s">
        <v>86</v>
      </c>
      <c r="AC9652" s="2"/>
    </row>
    <row r="9653" spans="1:29" ht="65" x14ac:dyDescent="0.15">
      <c r="A9653" s="3">
        <f>DATE(2010,6,16)</f>
        <v>40345</v>
      </c>
      <c r="B9653" s="3">
        <f>DATE(2010,7,28)</f>
        <v>40387</v>
      </c>
      <c r="C9653" s="2" t="s">
        <v>95</v>
      </c>
      <c r="D9653" s="2" t="s">
        <v>28367</v>
      </c>
      <c r="E9653" s="2" t="s">
        <v>28368</v>
      </c>
      <c r="F9653" s="4">
        <v>3845</v>
      </c>
      <c r="G9653" s="2" t="s">
        <v>226</v>
      </c>
      <c r="H9653" s="2" t="s">
        <v>34</v>
      </c>
      <c r="I9653" s="2" t="s">
        <v>27504</v>
      </c>
      <c r="J9653" s="2" t="s">
        <v>28369</v>
      </c>
      <c r="K9653" s="2" t="s">
        <v>226</v>
      </c>
      <c r="L9653" s="2" t="s">
        <v>7645</v>
      </c>
      <c r="M9653" s="2"/>
      <c r="N9653" s="2"/>
      <c r="O9653" s="2"/>
      <c r="P9653" s="2" t="s">
        <v>28370</v>
      </c>
      <c r="Q9653" s="6">
        <v>100</v>
      </c>
      <c r="R9653" s="6">
        <v>25</v>
      </c>
      <c r="S9653" s="5">
        <v>7.3</v>
      </c>
      <c r="T9653" s="7">
        <v>11.487</v>
      </c>
      <c r="U9653" s="5">
        <v>8.1999999999999993</v>
      </c>
      <c r="V9653" s="6">
        <v>0.56999999999999995</v>
      </c>
      <c r="W9653" s="6">
        <v>17.47</v>
      </c>
      <c r="X9653" s="5">
        <v>18.899999999999999</v>
      </c>
      <c r="Y9653" s="6">
        <v>24.81</v>
      </c>
      <c r="Z9653" s="6">
        <v>24.83</v>
      </c>
      <c r="AA9653" s="6">
        <v>11.95</v>
      </c>
      <c r="AB9653" s="7">
        <v>24.693999999999999</v>
      </c>
      <c r="AC9653" s="8">
        <v>1720</v>
      </c>
    </row>
    <row r="9654" spans="1:29" ht="117" x14ac:dyDescent="0.15">
      <c r="A9654" s="3">
        <f>DATE(2010,6,21)</f>
        <v>40350</v>
      </c>
      <c r="B9654" s="3">
        <f>DATE(2010,7,22)</f>
        <v>40381</v>
      </c>
      <c r="C9654" s="2" t="s">
        <v>95</v>
      </c>
      <c r="D9654" s="2" t="s">
        <v>28371</v>
      </c>
      <c r="E9654" s="2" t="s">
        <v>28372</v>
      </c>
      <c r="F9654" s="4">
        <v>2099</v>
      </c>
      <c r="G9654" s="2" t="s">
        <v>577</v>
      </c>
      <c r="H9654" s="2" t="s">
        <v>34</v>
      </c>
      <c r="I9654" s="2" t="s">
        <v>17395</v>
      </c>
      <c r="J9654" s="2" t="s">
        <v>17396</v>
      </c>
      <c r="K9654" s="2" t="s">
        <v>577</v>
      </c>
      <c r="L9654" s="2" t="s">
        <v>34</v>
      </c>
      <c r="M9654" s="12">
        <v>3317.2170000000001</v>
      </c>
      <c r="N9654" s="6">
        <v>57.28</v>
      </c>
      <c r="O9654" s="6">
        <v>55.66</v>
      </c>
      <c r="P9654" s="2" t="s">
        <v>28373</v>
      </c>
      <c r="Q9654" s="6">
        <v>100</v>
      </c>
      <c r="R9654" s="6">
        <v>53</v>
      </c>
      <c r="S9654" s="5">
        <v>80</v>
      </c>
      <c r="T9654" s="6">
        <v>148.75</v>
      </c>
      <c r="U9654" s="5">
        <v>16.7</v>
      </c>
      <c r="V9654" s="6">
        <v>3.66</v>
      </c>
      <c r="W9654" s="6">
        <v>39.24</v>
      </c>
      <c r="X9654" s="6">
        <v>41.73</v>
      </c>
      <c r="Y9654" s="6">
        <v>52.66</v>
      </c>
      <c r="Z9654" s="6">
        <v>52.68</v>
      </c>
      <c r="AA9654" s="6">
        <v>21.76</v>
      </c>
      <c r="AB9654" s="7">
        <v>9.4550000000000001</v>
      </c>
      <c r="AC9654" s="5">
        <v>180.5</v>
      </c>
    </row>
    <row r="9655" spans="1:29" ht="195" x14ac:dyDescent="0.15">
      <c r="A9655" s="3">
        <f>DATE(2010,6,21)</f>
        <v>40350</v>
      </c>
      <c r="B9655" s="3">
        <f>DATE(2010,9,28)</f>
        <v>40449</v>
      </c>
      <c r="C9655" s="2" t="s">
        <v>95</v>
      </c>
      <c r="D9655" s="2" t="s">
        <v>28374</v>
      </c>
      <c r="E9655" s="2" t="s">
        <v>28375</v>
      </c>
      <c r="F9655" s="4">
        <v>2834</v>
      </c>
      <c r="G9655" s="2" t="s">
        <v>130</v>
      </c>
      <c r="H9655" s="2" t="s">
        <v>34</v>
      </c>
      <c r="I9655" s="2" t="s">
        <v>28376</v>
      </c>
      <c r="J9655" s="2" t="s">
        <v>2066</v>
      </c>
      <c r="K9655" s="2" t="s">
        <v>130</v>
      </c>
      <c r="L9655" s="2" t="s">
        <v>902</v>
      </c>
      <c r="M9655" s="12">
        <v>4496.0320000000002</v>
      </c>
      <c r="N9655" s="6">
        <v>16.670000000000002</v>
      </c>
      <c r="O9655" s="6">
        <v>18.78</v>
      </c>
      <c r="P9655" s="2" t="s">
        <v>28377</v>
      </c>
      <c r="Q9655" s="6">
        <v>100</v>
      </c>
      <c r="R9655" s="6">
        <v>42.77</v>
      </c>
      <c r="S9655" s="5">
        <v>268.39999999999998</v>
      </c>
      <c r="T9655" s="7">
        <v>368.73099999999999</v>
      </c>
      <c r="U9655" s="5">
        <v>5.9</v>
      </c>
      <c r="V9655" s="6">
        <v>3.13</v>
      </c>
      <c r="W9655" s="6">
        <v>46.93</v>
      </c>
      <c r="X9655" s="6">
        <v>45.87</v>
      </c>
      <c r="Y9655" s="5">
        <v>46.9</v>
      </c>
      <c r="Z9655" s="6">
        <v>50.87</v>
      </c>
      <c r="AA9655" s="6">
        <v>75.69</v>
      </c>
      <c r="AB9655" s="7">
        <v>14.920999999999999</v>
      </c>
      <c r="AC9655" s="6">
        <v>111.12</v>
      </c>
    </row>
    <row r="9656" spans="1:29" ht="39" x14ac:dyDescent="0.15">
      <c r="A9656" s="3">
        <f>DATE(2010,6,23)</f>
        <v>40352</v>
      </c>
      <c r="B9656" s="2"/>
      <c r="C9656" s="2" t="s">
        <v>30</v>
      </c>
      <c r="D9656" s="2" t="s">
        <v>28378</v>
      </c>
      <c r="E9656" s="2" t="s">
        <v>36</v>
      </c>
      <c r="F9656" s="4">
        <v>6021</v>
      </c>
      <c r="G9656" s="2" t="s">
        <v>37</v>
      </c>
      <c r="H9656" s="2" t="s">
        <v>34</v>
      </c>
      <c r="I9656" s="2" t="s">
        <v>24043</v>
      </c>
      <c r="J9656" s="2" t="s">
        <v>36</v>
      </c>
      <c r="K9656" s="2" t="s">
        <v>37</v>
      </c>
      <c r="L9656" s="2" t="s">
        <v>34</v>
      </c>
      <c r="M9656" s="2"/>
      <c r="N9656" s="2"/>
      <c r="O9656" s="2"/>
      <c r="P9656" s="2" t="s">
        <v>28379</v>
      </c>
      <c r="Q9656" s="2"/>
      <c r="R9656" s="2"/>
      <c r="S9656" s="2"/>
      <c r="T9656" s="2"/>
      <c r="U9656" s="2"/>
      <c r="V9656" s="2"/>
      <c r="W9656" s="6">
        <v>10.85</v>
      </c>
      <c r="X9656" s="4">
        <v>11</v>
      </c>
      <c r="Y9656" s="4">
        <v>11</v>
      </c>
      <c r="Z9656" s="4">
        <v>11</v>
      </c>
      <c r="AA9656" s="6">
        <v>0.88</v>
      </c>
      <c r="AB9656" s="2" t="s">
        <v>47</v>
      </c>
      <c r="AC9656" s="2"/>
    </row>
    <row r="9657" spans="1:29" ht="78" x14ac:dyDescent="0.15">
      <c r="A9657" s="3">
        <f>DATE(2010,6,24)</f>
        <v>40353</v>
      </c>
      <c r="B9657" s="3">
        <f>DATE(2010,11,9)</f>
        <v>40491</v>
      </c>
      <c r="C9657" s="2" t="s">
        <v>95</v>
      </c>
      <c r="D9657" s="2" t="s">
        <v>28380</v>
      </c>
      <c r="E9657" s="2" t="s">
        <v>28381</v>
      </c>
      <c r="F9657" s="4">
        <v>7319</v>
      </c>
      <c r="G9657" s="2" t="s">
        <v>4563</v>
      </c>
      <c r="H9657" s="2" t="s">
        <v>34</v>
      </c>
      <c r="I9657" s="2" t="s">
        <v>51</v>
      </c>
      <c r="J9657" s="2" t="s">
        <v>52</v>
      </c>
      <c r="K9657" s="2" t="s">
        <v>53</v>
      </c>
      <c r="L9657" s="2" t="s">
        <v>34</v>
      </c>
      <c r="M9657" s="2"/>
      <c r="N9657" s="2"/>
      <c r="O9657" s="2"/>
      <c r="P9657" s="2" t="s">
        <v>28382</v>
      </c>
      <c r="Q9657" s="6">
        <v>100</v>
      </c>
      <c r="R9657" s="6">
        <v>9.8000000000000007</v>
      </c>
      <c r="S9657" s="5">
        <v>-4.3</v>
      </c>
      <c r="T9657" s="7">
        <v>10.882999999999999</v>
      </c>
      <c r="U9657" s="5">
        <v>8</v>
      </c>
      <c r="V9657" s="6">
        <v>-0.53</v>
      </c>
      <c r="W9657" s="6">
        <v>7.66</v>
      </c>
      <c r="X9657" s="6">
        <v>8.59</v>
      </c>
      <c r="Y9657" s="6">
        <v>9.51</v>
      </c>
      <c r="Z9657" s="5">
        <v>9.5</v>
      </c>
      <c r="AA9657" s="6">
        <v>12.98</v>
      </c>
      <c r="AB9657" s="7">
        <v>30.343</v>
      </c>
      <c r="AC9657" s="2"/>
    </row>
    <row r="9658" spans="1:29" ht="65" x14ac:dyDescent="0.15">
      <c r="A9658" s="3">
        <f>DATE(2010,6,24)</f>
        <v>40353</v>
      </c>
      <c r="B9658" s="2"/>
      <c r="C9658" s="2" t="s">
        <v>87</v>
      </c>
      <c r="D9658" s="2" t="s">
        <v>1291</v>
      </c>
      <c r="E9658" s="2" t="s">
        <v>1292</v>
      </c>
      <c r="F9658" s="4">
        <v>3944</v>
      </c>
      <c r="G9658" s="2" t="s">
        <v>112</v>
      </c>
      <c r="H9658" s="2" t="s">
        <v>34</v>
      </c>
      <c r="I9658" s="2" t="s">
        <v>28383</v>
      </c>
      <c r="J9658" s="2" t="s">
        <v>244</v>
      </c>
      <c r="K9658" s="2" t="s">
        <v>53</v>
      </c>
      <c r="L9658" s="2" t="s">
        <v>34</v>
      </c>
      <c r="M9658" s="2"/>
      <c r="N9658" s="2"/>
      <c r="O9658" s="2"/>
      <c r="P9658" s="2" t="s">
        <v>28384</v>
      </c>
      <c r="Q9658" s="2"/>
      <c r="R9658" s="2"/>
      <c r="S9658" s="5">
        <v>414.1</v>
      </c>
      <c r="T9658" s="7">
        <v>789.93700000000001</v>
      </c>
      <c r="U9658" s="5">
        <v>11.9</v>
      </c>
      <c r="V9658" s="6">
        <v>2.73</v>
      </c>
      <c r="W9658" s="6">
        <v>42.87</v>
      </c>
      <c r="X9658" s="6">
        <v>41.12</v>
      </c>
      <c r="Y9658" s="6">
        <v>42.86</v>
      </c>
      <c r="Z9658" s="4">
        <v>43</v>
      </c>
      <c r="AA9658" s="6">
        <v>145.44999999999999</v>
      </c>
      <c r="AB9658" s="2" t="s">
        <v>47</v>
      </c>
      <c r="AC9658" s="2"/>
    </row>
    <row r="9659" spans="1:29" ht="65" x14ac:dyDescent="0.15">
      <c r="A9659" s="3">
        <f>DATE(2010,6,29)</f>
        <v>40358</v>
      </c>
      <c r="B9659" s="2"/>
      <c r="C9659" s="2" t="s">
        <v>87</v>
      </c>
      <c r="D9659" s="2" t="s">
        <v>18065</v>
      </c>
      <c r="E9659" s="2" t="s">
        <v>18066</v>
      </c>
      <c r="F9659" s="4">
        <v>2011</v>
      </c>
      <c r="G9659" s="2" t="s">
        <v>577</v>
      </c>
      <c r="H9659" s="2" t="s">
        <v>34</v>
      </c>
      <c r="I9659" s="2" t="s">
        <v>28385</v>
      </c>
      <c r="J9659" s="2" t="s">
        <v>28386</v>
      </c>
      <c r="K9659" s="2" t="s">
        <v>426</v>
      </c>
      <c r="L9659" s="2" t="s">
        <v>25624</v>
      </c>
      <c r="M9659" s="12">
        <v>10213.396000000001</v>
      </c>
      <c r="N9659" s="7">
        <v>4.2169999999999996</v>
      </c>
      <c r="O9659" s="7">
        <v>4.2359999999999998</v>
      </c>
      <c r="P9659" s="2" t="s">
        <v>28387</v>
      </c>
      <c r="Q9659" s="2"/>
      <c r="R9659" s="2"/>
      <c r="S9659" s="2"/>
      <c r="T9659" s="2"/>
      <c r="U9659" s="5">
        <v>16.600000000000001</v>
      </c>
      <c r="V9659" s="2"/>
      <c r="W9659" s="6">
        <v>15.24</v>
      </c>
      <c r="X9659" s="6">
        <v>14.88</v>
      </c>
      <c r="Y9659" s="6">
        <v>15.08</v>
      </c>
      <c r="Z9659" s="5">
        <v>14.9</v>
      </c>
      <c r="AA9659" s="6">
        <v>166.01</v>
      </c>
      <c r="AB9659" s="2" t="s">
        <v>47</v>
      </c>
      <c r="AC9659" s="10">
        <v>1681.19</v>
      </c>
    </row>
    <row r="9660" spans="1:29" ht="65" x14ac:dyDescent="0.15">
      <c r="A9660" s="3">
        <f>DATE(2010,6,29)</f>
        <v>40358</v>
      </c>
      <c r="B9660" s="3">
        <f>DATE(2010,11,17)</f>
        <v>40499</v>
      </c>
      <c r="C9660" s="2" t="s">
        <v>95</v>
      </c>
      <c r="D9660" s="2" t="s">
        <v>28388</v>
      </c>
      <c r="E9660" s="2" t="s">
        <v>1304</v>
      </c>
      <c r="F9660" s="4">
        <v>6021</v>
      </c>
      <c r="G9660" s="2" t="s">
        <v>37</v>
      </c>
      <c r="H9660" s="2" t="s">
        <v>34</v>
      </c>
      <c r="I9660" s="2" t="s">
        <v>10805</v>
      </c>
      <c r="J9660" s="2" t="s">
        <v>1304</v>
      </c>
      <c r="K9660" s="2" t="s">
        <v>37</v>
      </c>
      <c r="L9660" s="2" t="s">
        <v>34</v>
      </c>
      <c r="M9660" s="2"/>
      <c r="N9660" s="2"/>
      <c r="O9660" s="2"/>
      <c r="P9660" s="2" t="s">
        <v>28389</v>
      </c>
      <c r="Q9660" s="6">
        <v>100</v>
      </c>
      <c r="R9660" s="6">
        <v>19</v>
      </c>
      <c r="S9660" s="5">
        <v>6.9</v>
      </c>
      <c r="T9660" s="7">
        <v>10.095000000000001</v>
      </c>
      <c r="U9660" s="5">
        <v>9.6</v>
      </c>
      <c r="V9660" s="6">
        <v>0.73</v>
      </c>
      <c r="W9660" s="6">
        <v>9.15</v>
      </c>
      <c r="X9660" s="7">
        <v>9.6150000000000002</v>
      </c>
      <c r="Y9660" s="6">
        <v>18.670000000000002</v>
      </c>
      <c r="Z9660" s="6">
        <v>18.649999999999999</v>
      </c>
      <c r="AA9660" s="6">
        <v>7.34</v>
      </c>
      <c r="AB9660" s="7">
        <v>39.976999999999997</v>
      </c>
      <c r="AC9660" s="2"/>
    </row>
    <row r="9661" spans="1:29" ht="156" x14ac:dyDescent="0.15">
      <c r="A9661" s="3">
        <f>DATE(2010,6,30)</f>
        <v>40359</v>
      </c>
      <c r="B9661" s="3">
        <f>DATE(2010,10,15)</f>
        <v>40466</v>
      </c>
      <c r="C9661" s="2" t="s">
        <v>95</v>
      </c>
      <c r="D9661" s="2" t="s">
        <v>28390</v>
      </c>
      <c r="E9661" s="2" t="s">
        <v>540</v>
      </c>
      <c r="F9661" s="4">
        <v>2836</v>
      </c>
      <c r="G9661" s="2" t="s">
        <v>130</v>
      </c>
      <c r="H9661" s="2" t="s">
        <v>34</v>
      </c>
      <c r="I9661" s="2" t="s">
        <v>26240</v>
      </c>
      <c r="J9661" s="2" t="s">
        <v>26241</v>
      </c>
      <c r="K9661" s="2" t="s">
        <v>130</v>
      </c>
      <c r="L9661" s="2" t="s">
        <v>34</v>
      </c>
      <c r="M9661" s="10">
        <v>24711.45</v>
      </c>
      <c r="N9661" s="6">
        <v>50.82</v>
      </c>
      <c r="O9661" s="6">
        <v>49.62</v>
      </c>
      <c r="P9661" s="2" t="s">
        <v>28391</v>
      </c>
      <c r="Q9661" s="6">
        <v>100</v>
      </c>
      <c r="R9661" s="6">
        <v>71.930000000000007</v>
      </c>
      <c r="S9661" s="5">
        <v>-75.599999999999994</v>
      </c>
      <c r="T9661" s="7">
        <v>-20.530999999999999</v>
      </c>
      <c r="U9661" s="5">
        <v>20.8</v>
      </c>
      <c r="V9661" s="6">
        <v>-1.88</v>
      </c>
      <c r="W9661" s="6">
        <v>51.56</v>
      </c>
      <c r="X9661" s="5">
        <v>52.5</v>
      </c>
      <c r="Y9661" s="6">
        <v>51.03</v>
      </c>
      <c r="Z9661" s="6">
        <v>51.49</v>
      </c>
      <c r="AA9661" s="6">
        <v>41.53</v>
      </c>
      <c r="AB9661" s="2" t="s">
        <v>86</v>
      </c>
      <c r="AC9661" s="10">
        <v>3243.34</v>
      </c>
    </row>
    <row r="9662" spans="1:29" ht="156" x14ac:dyDescent="0.15">
      <c r="A9662" s="3">
        <f>DATE(2010,6,30)</f>
        <v>40359</v>
      </c>
      <c r="B9662" s="3">
        <f>DATE(2010,8,5)</f>
        <v>40395</v>
      </c>
      <c r="C9662" s="2" t="s">
        <v>95</v>
      </c>
      <c r="D9662" s="2" t="s">
        <v>28392</v>
      </c>
      <c r="E9662" s="2" t="s">
        <v>28393</v>
      </c>
      <c r="F9662" s="4">
        <v>3829</v>
      </c>
      <c r="G9662" s="2" t="s">
        <v>226</v>
      </c>
      <c r="H9662" s="2" t="s">
        <v>34</v>
      </c>
      <c r="I9662" s="2" t="s">
        <v>7078</v>
      </c>
      <c r="J9662" s="2" t="s">
        <v>7079</v>
      </c>
      <c r="K9662" s="2" t="s">
        <v>219</v>
      </c>
      <c r="L9662" s="2" t="s">
        <v>34</v>
      </c>
      <c r="M9662" s="12">
        <v>48836.409</v>
      </c>
      <c r="N9662" s="6">
        <v>62.75</v>
      </c>
      <c r="O9662" s="6">
        <v>62.26</v>
      </c>
      <c r="P9662" s="2" t="s">
        <v>28394</v>
      </c>
      <c r="Q9662" s="6">
        <v>100</v>
      </c>
      <c r="R9662" s="6">
        <v>34.5</v>
      </c>
      <c r="S9662" s="5">
        <v>22</v>
      </c>
      <c r="T9662" s="7">
        <v>42.802</v>
      </c>
      <c r="U9662" s="5">
        <v>15.2</v>
      </c>
      <c r="V9662" s="6">
        <v>1</v>
      </c>
      <c r="W9662" s="4">
        <v>22</v>
      </c>
      <c r="X9662" s="6">
        <v>21.46</v>
      </c>
      <c r="Y9662" s="6">
        <v>23.97</v>
      </c>
      <c r="Z9662" s="6">
        <v>24.83</v>
      </c>
      <c r="AA9662" s="6">
        <v>21.75</v>
      </c>
      <c r="AB9662" s="7">
        <v>21.347999999999999</v>
      </c>
      <c r="AC9662" s="8">
        <v>10026</v>
      </c>
    </row>
    <row r="9663" spans="1:29" ht="130" x14ac:dyDescent="0.15">
      <c r="A9663" s="3">
        <f>DATE(2010,7,2)</f>
        <v>40361</v>
      </c>
      <c r="B9663" s="2"/>
      <c r="C9663" s="2" t="s">
        <v>87</v>
      </c>
      <c r="D9663" s="2" t="s">
        <v>7904</v>
      </c>
      <c r="E9663" s="2" t="s">
        <v>7905</v>
      </c>
      <c r="F9663" s="4">
        <v>2834</v>
      </c>
      <c r="G9663" s="2" t="s">
        <v>130</v>
      </c>
      <c r="H9663" s="2" t="s">
        <v>34</v>
      </c>
      <c r="I9663" s="2" t="s">
        <v>25079</v>
      </c>
      <c r="J9663" s="2" t="s">
        <v>129</v>
      </c>
      <c r="K9663" s="2" t="s">
        <v>130</v>
      </c>
      <c r="L9663" s="2" t="s">
        <v>133</v>
      </c>
      <c r="M9663" s="12">
        <v>77319.566999999995</v>
      </c>
      <c r="N9663" s="7">
        <v>59.134999999999998</v>
      </c>
      <c r="O9663" s="7">
        <v>58.302</v>
      </c>
      <c r="P9663" s="2" t="s">
        <v>28395</v>
      </c>
      <c r="Q9663" s="2"/>
      <c r="R9663" s="2"/>
      <c r="S9663" s="5">
        <v>808.5</v>
      </c>
      <c r="T9663" s="8">
        <v>1529.1</v>
      </c>
      <c r="U9663" s="5">
        <v>16.8</v>
      </c>
      <c r="V9663" s="6">
        <v>2.64</v>
      </c>
      <c r="W9663" s="6">
        <v>59.81</v>
      </c>
      <c r="X9663" s="5">
        <v>58.1</v>
      </c>
      <c r="Y9663" s="6">
        <v>62.29</v>
      </c>
      <c r="Z9663" s="6">
        <v>62.29</v>
      </c>
      <c r="AA9663" s="6">
        <v>307.51</v>
      </c>
      <c r="AB9663" s="2" t="s">
        <v>47</v>
      </c>
      <c r="AC9663" s="10">
        <v>4163.5</v>
      </c>
    </row>
    <row r="9664" spans="1:29" ht="117" x14ac:dyDescent="0.15">
      <c r="A9664" s="3">
        <f>DATE(2010,7,2)</f>
        <v>40361</v>
      </c>
      <c r="B9664" s="2"/>
      <c r="C9664" s="2" t="s">
        <v>87</v>
      </c>
      <c r="D9664" s="2" t="s">
        <v>26135</v>
      </c>
      <c r="E9664" s="2" t="s">
        <v>540</v>
      </c>
      <c r="F9664" s="4">
        <v>2836</v>
      </c>
      <c r="G9664" s="2" t="s">
        <v>130</v>
      </c>
      <c r="H9664" s="2" t="s">
        <v>34</v>
      </c>
      <c r="I9664" s="2" t="s">
        <v>25079</v>
      </c>
      <c r="J9664" s="2" t="s">
        <v>129</v>
      </c>
      <c r="K9664" s="2" t="s">
        <v>130</v>
      </c>
      <c r="L9664" s="2" t="s">
        <v>133</v>
      </c>
      <c r="M9664" s="12">
        <v>77319.566999999995</v>
      </c>
      <c r="N9664" s="7">
        <v>59.134999999999998</v>
      </c>
      <c r="O9664" s="7">
        <v>58.302</v>
      </c>
      <c r="P9664" s="2" t="s">
        <v>28396</v>
      </c>
      <c r="Q9664" s="2"/>
      <c r="R9664" s="2"/>
      <c r="S9664" s="8">
        <v>1094</v>
      </c>
      <c r="T9664" s="12">
        <v>1872.2560000000001</v>
      </c>
      <c r="U9664" s="5">
        <v>21.4</v>
      </c>
      <c r="V9664" s="6">
        <v>3.93</v>
      </c>
      <c r="W9664" s="6">
        <v>49.57</v>
      </c>
      <c r="X9664" s="6">
        <v>46.73</v>
      </c>
      <c r="Y9664" s="6">
        <v>49.42</v>
      </c>
      <c r="Z9664" s="6">
        <v>49.42</v>
      </c>
      <c r="AA9664" s="6">
        <v>267</v>
      </c>
      <c r="AB9664" s="2" t="s">
        <v>47</v>
      </c>
      <c r="AC9664" s="10">
        <v>4163.5</v>
      </c>
    </row>
    <row r="9665" spans="1:29" ht="65" x14ac:dyDescent="0.15">
      <c r="A9665" s="3">
        <f>DATE(2010,7,8)</f>
        <v>40367</v>
      </c>
      <c r="B9665" s="3">
        <f>DATE(2010,10,26)</f>
        <v>40477</v>
      </c>
      <c r="C9665" s="2" t="s">
        <v>95</v>
      </c>
      <c r="D9665" s="2" t="s">
        <v>19502</v>
      </c>
      <c r="E9665" s="2" t="s">
        <v>19503</v>
      </c>
      <c r="F9665" s="4">
        <v>6324</v>
      </c>
      <c r="G9665" s="2" t="s">
        <v>125</v>
      </c>
      <c r="H9665" s="2" t="s">
        <v>34</v>
      </c>
      <c r="I9665" s="2" t="s">
        <v>26143</v>
      </c>
      <c r="J9665" s="2" t="s">
        <v>26144</v>
      </c>
      <c r="K9665" s="2" t="s">
        <v>125</v>
      </c>
      <c r="L9665" s="2" t="s">
        <v>34</v>
      </c>
      <c r="M9665" s="2"/>
      <c r="N9665" s="2"/>
      <c r="O9665" s="2"/>
      <c r="P9665" s="2" t="s">
        <v>28397</v>
      </c>
      <c r="Q9665" s="6">
        <v>100</v>
      </c>
      <c r="R9665" s="6">
        <v>41.5</v>
      </c>
      <c r="S9665" s="5">
        <v>37.9</v>
      </c>
      <c r="T9665" s="7">
        <v>64.075999999999993</v>
      </c>
      <c r="U9665" s="5">
        <v>24</v>
      </c>
      <c r="V9665" s="9">
        <v>3.7275</v>
      </c>
      <c r="W9665" s="6">
        <v>31.48</v>
      </c>
      <c r="X9665" s="6">
        <v>31.76</v>
      </c>
      <c r="Y9665" s="6">
        <v>40.630000000000003</v>
      </c>
      <c r="Z9665" s="6">
        <v>40.729999999999997</v>
      </c>
      <c r="AA9665" s="6">
        <v>9.52</v>
      </c>
      <c r="AB9665" s="7">
        <v>4.7229999999999999</v>
      </c>
      <c r="AC9665" s="2"/>
    </row>
    <row r="9666" spans="1:29" ht="52" x14ac:dyDescent="0.15">
      <c r="A9666" s="3">
        <f>DATE(2010,7,8)</f>
        <v>40367</v>
      </c>
      <c r="B9666" s="2"/>
      <c r="C9666" s="2" t="s">
        <v>56</v>
      </c>
      <c r="D9666" s="2" t="s">
        <v>28398</v>
      </c>
      <c r="E9666" s="2" t="s">
        <v>18148</v>
      </c>
      <c r="F9666" s="4">
        <v>6036</v>
      </c>
      <c r="G9666" s="2" t="s">
        <v>33</v>
      </c>
      <c r="H9666" s="2" t="s">
        <v>34</v>
      </c>
      <c r="I9666" s="2" t="s">
        <v>28399</v>
      </c>
      <c r="J9666" s="2" t="s">
        <v>28400</v>
      </c>
      <c r="K9666" s="2" t="s">
        <v>53</v>
      </c>
      <c r="L9666" s="2" t="s">
        <v>34</v>
      </c>
      <c r="M9666" s="7">
        <v>5.5049999999999999</v>
      </c>
      <c r="N9666" s="4">
        <v>15</v>
      </c>
      <c r="O9666" s="4">
        <v>15</v>
      </c>
      <c r="P9666" s="2" t="s">
        <v>28401</v>
      </c>
      <c r="Q9666" s="2"/>
      <c r="R9666" s="2"/>
      <c r="S9666" s="5">
        <v>-2.4</v>
      </c>
      <c r="T9666" s="7">
        <v>-3.661</v>
      </c>
      <c r="U9666" s="5">
        <v>12.9</v>
      </c>
      <c r="V9666" s="6">
        <v>-1.46</v>
      </c>
      <c r="W9666" s="7">
        <v>8.5150000000000006</v>
      </c>
      <c r="X9666" s="5">
        <v>8.6</v>
      </c>
      <c r="Y9666" s="6">
        <v>9.25</v>
      </c>
      <c r="Z9666" s="6">
        <v>10.43</v>
      </c>
      <c r="AA9666" s="6">
        <v>1.69</v>
      </c>
      <c r="AB9666" s="2" t="s">
        <v>86</v>
      </c>
      <c r="AC9666" s="2"/>
    </row>
    <row r="9667" spans="1:29" ht="143" x14ac:dyDescent="0.15">
      <c r="A9667" s="3">
        <f>DATE(2010,7,12)</f>
        <v>40371</v>
      </c>
      <c r="B9667" s="3">
        <f>DATE(2010,10,1)</f>
        <v>40452</v>
      </c>
      <c r="C9667" s="2" t="s">
        <v>95</v>
      </c>
      <c r="D9667" s="2" t="s">
        <v>22062</v>
      </c>
      <c r="E9667" s="2" t="s">
        <v>22063</v>
      </c>
      <c r="F9667" s="4">
        <v>8742</v>
      </c>
      <c r="G9667" s="2" t="s">
        <v>223</v>
      </c>
      <c r="H9667" s="2" t="s">
        <v>34</v>
      </c>
      <c r="I9667" s="2" t="s">
        <v>28402</v>
      </c>
      <c r="J9667" s="2" t="s">
        <v>11337</v>
      </c>
      <c r="K9667" s="2" t="s">
        <v>53</v>
      </c>
      <c r="L9667" s="2" t="s">
        <v>34</v>
      </c>
      <c r="M9667" s="2"/>
      <c r="N9667" s="2"/>
      <c r="O9667" s="2"/>
      <c r="P9667" s="2" t="s">
        <v>28403</v>
      </c>
      <c r="Q9667" s="6">
        <v>100</v>
      </c>
      <c r="R9667" s="6">
        <v>50</v>
      </c>
      <c r="S9667" s="5">
        <v>268.2</v>
      </c>
      <c r="T9667" s="7">
        <v>613.31399999999996</v>
      </c>
      <c r="U9667" s="5">
        <v>10.7</v>
      </c>
      <c r="V9667" s="6">
        <v>2.81</v>
      </c>
      <c r="W9667" s="6">
        <v>34.020000000000003</v>
      </c>
      <c r="X9667" s="5">
        <v>35.4</v>
      </c>
      <c r="Y9667" s="6">
        <v>46.79</v>
      </c>
      <c r="Z9667" s="6">
        <v>47.82</v>
      </c>
      <c r="AA9667" s="6">
        <v>93.06</v>
      </c>
      <c r="AB9667" s="7">
        <v>10.606999999999999</v>
      </c>
      <c r="AC9667" s="2"/>
    </row>
    <row r="9668" spans="1:29" ht="78" x14ac:dyDescent="0.15">
      <c r="A9668" s="3">
        <f>DATE(2010,7,12)</f>
        <v>40371</v>
      </c>
      <c r="B9668" s="3">
        <f>DATE(2010,9,27)</f>
        <v>40448</v>
      </c>
      <c r="C9668" s="2" t="s">
        <v>95</v>
      </c>
      <c r="D9668" s="2" t="s">
        <v>28404</v>
      </c>
      <c r="E9668" s="2" t="s">
        <v>4476</v>
      </c>
      <c r="F9668" s="4">
        <v>3841</v>
      </c>
      <c r="G9668" s="2" t="s">
        <v>226</v>
      </c>
      <c r="H9668" s="2" t="s">
        <v>34</v>
      </c>
      <c r="I9668" s="2" t="s">
        <v>5669</v>
      </c>
      <c r="J9668" s="2" t="s">
        <v>5670</v>
      </c>
      <c r="K9668" s="2" t="s">
        <v>130</v>
      </c>
      <c r="L9668" s="2" t="s">
        <v>34</v>
      </c>
      <c r="M9668" s="12">
        <v>161126.424</v>
      </c>
      <c r="N9668" s="6">
        <v>60.21</v>
      </c>
      <c r="O9668" s="5">
        <v>60.5</v>
      </c>
      <c r="P9668" s="2" t="s">
        <v>28405</v>
      </c>
      <c r="Q9668" s="6">
        <v>100</v>
      </c>
      <c r="R9668" s="6">
        <v>23.4</v>
      </c>
      <c r="S9668" s="5">
        <v>12.3</v>
      </c>
      <c r="T9668" s="7">
        <v>15.106</v>
      </c>
      <c r="U9668" s="5">
        <v>4.3</v>
      </c>
      <c r="V9668" s="6">
        <v>0.72</v>
      </c>
      <c r="W9668" s="6">
        <v>21.44</v>
      </c>
      <c r="X9668" s="6">
        <v>22.19</v>
      </c>
      <c r="Y9668" s="6">
        <v>23.19</v>
      </c>
      <c r="Z9668" s="6">
        <v>23.19</v>
      </c>
      <c r="AA9668" s="6">
        <v>16.57</v>
      </c>
      <c r="AB9668" s="7">
        <v>33.232999999999997</v>
      </c>
      <c r="AC9668" s="8">
        <v>18901</v>
      </c>
    </row>
    <row r="9669" spans="1:29" ht="195" x14ac:dyDescent="0.15">
      <c r="A9669" s="3">
        <f>DATE(2010,7,12)</f>
        <v>40371</v>
      </c>
      <c r="B9669" s="3">
        <f>DATE(2011,3,4)</f>
        <v>40606</v>
      </c>
      <c r="C9669" s="2" t="s">
        <v>95</v>
      </c>
      <c r="D9669" s="2" t="s">
        <v>28406</v>
      </c>
      <c r="E9669" s="2" t="s">
        <v>11444</v>
      </c>
      <c r="F9669" s="4">
        <v>2741</v>
      </c>
      <c r="G9669" s="2" t="s">
        <v>186</v>
      </c>
      <c r="H9669" s="2" t="s">
        <v>34</v>
      </c>
      <c r="I9669" s="2" t="s">
        <v>28407</v>
      </c>
      <c r="J9669" s="2" t="s">
        <v>302</v>
      </c>
      <c r="K9669" s="2" t="s">
        <v>53</v>
      </c>
      <c r="L9669" s="2" t="s">
        <v>34</v>
      </c>
      <c r="M9669" s="2"/>
      <c r="N9669" s="2"/>
      <c r="O9669" s="2"/>
      <c r="P9669" s="2" t="s">
        <v>28408</v>
      </c>
      <c r="Q9669" s="6">
        <v>66.23</v>
      </c>
      <c r="R9669" s="6">
        <v>6.15</v>
      </c>
      <c r="S9669" s="5">
        <v>-61.6</v>
      </c>
      <c r="T9669" s="7">
        <v>42.024999999999999</v>
      </c>
      <c r="U9669" s="5">
        <v>-1.6</v>
      </c>
      <c r="V9669" s="6">
        <v>-1.84</v>
      </c>
      <c r="W9669" s="6">
        <v>3.78</v>
      </c>
      <c r="X9669" s="6">
        <v>3.46</v>
      </c>
      <c r="Y9669" s="6">
        <v>3.46</v>
      </c>
      <c r="Z9669" s="6">
        <v>3.46</v>
      </c>
      <c r="AA9669" s="6">
        <v>33.51</v>
      </c>
      <c r="AB9669" s="7">
        <v>28.38</v>
      </c>
      <c r="AC9669" s="2"/>
    </row>
    <row r="9670" spans="1:29" ht="130" x14ac:dyDescent="0.15">
      <c r="A9670" s="3">
        <f>DATE(2010,7,13)</f>
        <v>40372</v>
      </c>
      <c r="B9670" s="3">
        <f>DATE(2010,12,9)</f>
        <v>40521</v>
      </c>
      <c r="C9670" s="2" t="s">
        <v>95</v>
      </c>
      <c r="D9670" s="2" t="s">
        <v>16400</v>
      </c>
      <c r="E9670" s="2" t="s">
        <v>16401</v>
      </c>
      <c r="F9670" s="4">
        <v>3669</v>
      </c>
      <c r="G9670" s="2" t="s">
        <v>921</v>
      </c>
      <c r="H9670" s="2" t="s">
        <v>34</v>
      </c>
      <c r="I9670" s="2" t="s">
        <v>28409</v>
      </c>
      <c r="J9670" s="2" t="s">
        <v>3526</v>
      </c>
      <c r="K9670" s="2" t="s">
        <v>137</v>
      </c>
      <c r="L9670" s="2" t="s">
        <v>34</v>
      </c>
      <c r="M9670" s="2"/>
      <c r="N9670" s="2"/>
      <c r="O9670" s="2"/>
      <c r="P9670" s="2" t="s">
        <v>28410</v>
      </c>
      <c r="Q9670" s="6">
        <v>100</v>
      </c>
      <c r="R9670" s="6">
        <v>12.75</v>
      </c>
      <c r="S9670" s="5">
        <v>45.4</v>
      </c>
      <c r="T9670" s="7">
        <v>109.06399999999999</v>
      </c>
      <c r="U9670" s="5">
        <v>4.4000000000000004</v>
      </c>
      <c r="V9670" s="6">
        <v>0.48</v>
      </c>
      <c r="W9670" s="6">
        <v>7.63</v>
      </c>
      <c r="X9670" s="6">
        <v>8.85</v>
      </c>
      <c r="Y9670" s="6">
        <v>12.52</v>
      </c>
      <c r="Z9670" s="6">
        <v>12.51</v>
      </c>
      <c r="AA9670" s="6">
        <v>97.03</v>
      </c>
      <c r="AB9670" s="7">
        <v>24.446999999999999</v>
      </c>
      <c r="AC9670" s="2"/>
    </row>
    <row r="9671" spans="1:29" ht="91" x14ac:dyDescent="0.15">
      <c r="A9671" s="3">
        <f>DATE(2010,7,14)</f>
        <v>40373</v>
      </c>
      <c r="B9671" s="3">
        <f>DATE(2010,12,28)</f>
        <v>40540</v>
      </c>
      <c r="C9671" s="2" t="s">
        <v>95</v>
      </c>
      <c r="D9671" s="2" t="s">
        <v>28411</v>
      </c>
      <c r="E9671" s="2" t="s">
        <v>36</v>
      </c>
      <c r="F9671" s="4">
        <v>6021</v>
      </c>
      <c r="G9671" s="2" t="s">
        <v>37</v>
      </c>
      <c r="H9671" s="2" t="s">
        <v>34</v>
      </c>
      <c r="I9671" s="2" t="s">
        <v>28412</v>
      </c>
      <c r="J9671" s="2" t="s">
        <v>28413</v>
      </c>
      <c r="K9671" s="2" t="s">
        <v>37</v>
      </c>
      <c r="L9671" s="2" t="s">
        <v>34</v>
      </c>
      <c r="M9671" s="2"/>
      <c r="N9671" s="2"/>
      <c r="O9671" s="2"/>
      <c r="P9671" s="2" t="s">
        <v>28414</v>
      </c>
      <c r="Q9671" s="6">
        <v>100</v>
      </c>
      <c r="R9671" s="6">
        <v>4.7</v>
      </c>
      <c r="S9671" s="2"/>
      <c r="T9671" s="2"/>
      <c r="U9671" s="2"/>
      <c r="V9671" s="2"/>
      <c r="W9671" s="5">
        <v>2.9</v>
      </c>
      <c r="X9671" s="5">
        <v>2.9</v>
      </c>
      <c r="Y9671" s="4">
        <v>3</v>
      </c>
      <c r="Z9671" s="5">
        <v>4.2</v>
      </c>
      <c r="AA9671" s="6">
        <v>9.33</v>
      </c>
      <c r="AB9671" s="2" t="s">
        <v>47</v>
      </c>
      <c r="AC9671" s="2"/>
    </row>
    <row r="9672" spans="1:29" ht="104" x14ac:dyDescent="0.15">
      <c r="A9672" s="3">
        <f>DATE(2010,7,14)</f>
        <v>40373</v>
      </c>
      <c r="B9672" s="2"/>
      <c r="C9672" s="2" t="s">
        <v>30</v>
      </c>
      <c r="D9672" s="2" t="s">
        <v>28406</v>
      </c>
      <c r="E9672" s="2" t="s">
        <v>11444</v>
      </c>
      <c r="F9672" s="4">
        <v>2741</v>
      </c>
      <c r="G9672" s="2" t="s">
        <v>186</v>
      </c>
      <c r="H9672" s="2" t="s">
        <v>34</v>
      </c>
      <c r="I9672" s="2" t="s">
        <v>28415</v>
      </c>
      <c r="J9672" s="2" t="s">
        <v>23827</v>
      </c>
      <c r="K9672" s="2" t="s">
        <v>223</v>
      </c>
      <c r="L9672" s="2" t="s">
        <v>34</v>
      </c>
      <c r="M9672" s="2"/>
      <c r="N9672" s="2"/>
      <c r="O9672" s="2"/>
      <c r="P9672" s="2" t="s">
        <v>28416</v>
      </c>
      <c r="Q9672" s="2"/>
      <c r="R9672" s="2"/>
      <c r="S9672" s="5">
        <v>-35.200000000000003</v>
      </c>
      <c r="T9672" s="5">
        <v>44.2</v>
      </c>
      <c r="U9672" s="5">
        <v>-0.8</v>
      </c>
      <c r="V9672" s="6">
        <v>-1.05</v>
      </c>
      <c r="W9672" s="6">
        <v>4.3499999999999996</v>
      </c>
      <c r="X9672" s="6">
        <v>4.26</v>
      </c>
      <c r="Y9672" s="6">
        <v>4.2300000000000004</v>
      </c>
      <c r="Z9672" s="6">
        <v>4.05</v>
      </c>
      <c r="AA9672" s="6">
        <v>37</v>
      </c>
      <c r="AB9672" s="2" t="s">
        <v>47</v>
      </c>
      <c r="AC9672" s="2"/>
    </row>
    <row r="9673" spans="1:29" ht="91" x14ac:dyDescent="0.15">
      <c r="A9673" s="3">
        <f>DATE(2010,7,15)</f>
        <v>40374</v>
      </c>
      <c r="B9673" s="3">
        <f>DATE(2010,12,1)</f>
        <v>40513</v>
      </c>
      <c r="C9673" s="2" t="s">
        <v>95</v>
      </c>
      <c r="D9673" s="2" t="s">
        <v>28417</v>
      </c>
      <c r="E9673" s="2" t="s">
        <v>36</v>
      </c>
      <c r="F9673" s="4">
        <v>6021</v>
      </c>
      <c r="G9673" s="2" t="s">
        <v>37</v>
      </c>
      <c r="H9673" s="2" t="s">
        <v>34</v>
      </c>
      <c r="I9673" s="2" t="s">
        <v>25765</v>
      </c>
      <c r="J9673" s="2" t="s">
        <v>36</v>
      </c>
      <c r="K9673" s="2" t="s">
        <v>33</v>
      </c>
      <c r="L9673" s="2" t="s">
        <v>34</v>
      </c>
      <c r="M9673" s="10">
        <v>5463.87</v>
      </c>
      <c r="N9673" s="6">
        <v>14.15</v>
      </c>
      <c r="O9673" s="6">
        <v>13.63</v>
      </c>
      <c r="P9673" s="2" t="s">
        <v>28418</v>
      </c>
      <c r="Q9673" s="6">
        <v>100</v>
      </c>
      <c r="R9673" s="6">
        <v>21</v>
      </c>
      <c r="S9673" s="5">
        <v>6.2</v>
      </c>
      <c r="T9673" s="7">
        <v>10.234999999999999</v>
      </c>
      <c r="U9673" s="5">
        <v>14.2</v>
      </c>
      <c r="V9673" s="6">
        <v>1.19</v>
      </c>
      <c r="W9673" s="4">
        <v>13</v>
      </c>
      <c r="X9673" s="6">
        <v>13.83</v>
      </c>
      <c r="Y9673" s="6">
        <v>14.12</v>
      </c>
      <c r="Z9673" s="5">
        <v>20.6</v>
      </c>
      <c r="AA9673" s="6">
        <v>4.51</v>
      </c>
      <c r="AB9673" s="7">
        <v>34.749000000000002</v>
      </c>
      <c r="AC9673" s="2"/>
    </row>
    <row r="9674" spans="1:29" ht="78" x14ac:dyDescent="0.15">
      <c r="A9674" s="3">
        <f>DATE(2010,7,15)</f>
        <v>40374</v>
      </c>
      <c r="B9674" s="3">
        <f>DATE(2010,10,1)</f>
        <v>40452</v>
      </c>
      <c r="C9674" s="2" t="s">
        <v>95</v>
      </c>
      <c r="D9674" s="2" t="s">
        <v>25362</v>
      </c>
      <c r="E9674" s="2" t="s">
        <v>25363</v>
      </c>
      <c r="F9674" s="4">
        <v>2834</v>
      </c>
      <c r="G9674" s="2" t="s">
        <v>130</v>
      </c>
      <c r="H9674" s="2" t="s">
        <v>34</v>
      </c>
      <c r="I9674" s="2" t="s">
        <v>243</v>
      </c>
      <c r="J9674" s="2" t="s">
        <v>244</v>
      </c>
      <c r="K9674" s="2" t="s">
        <v>53</v>
      </c>
      <c r="L9674" s="2" t="s">
        <v>34</v>
      </c>
      <c r="M9674" s="2"/>
      <c r="N9674" s="2"/>
      <c r="O9674" s="2"/>
      <c r="P9674" s="2" t="s">
        <v>28419</v>
      </c>
      <c r="Q9674" s="6">
        <v>100</v>
      </c>
      <c r="R9674" s="6">
        <v>55</v>
      </c>
      <c r="S9674" s="2"/>
      <c r="T9674" s="2"/>
      <c r="U9674" s="5">
        <v>20.7</v>
      </c>
      <c r="V9674" s="2"/>
      <c r="W9674" s="6">
        <v>35.340000000000003</v>
      </c>
      <c r="X9674" s="6">
        <v>37.47</v>
      </c>
      <c r="Y9674" s="6">
        <v>53.74</v>
      </c>
      <c r="Z9674" s="6">
        <v>53.45</v>
      </c>
      <c r="AA9674" s="6">
        <v>63.41</v>
      </c>
      <c r="AB9674" s="2" t="s">
        <v>47</v>
      </c>
      <c r="AC9674" s="2"/>
    </row>
    <row r="9675" spans="1:29" ht="65" x14ac:dyDescent="0.15">
      <c r="A9675" s="3">
        <f>DATE(2010,7,15)</f>
        <v>40374</v>
      </c>
      <c r="B9675" s="3">
        <f>DATE(2010,11,23)</f>
        <v>40505</v>
      </c>
      <c r="C9675" s="2" t="s">
        <v>95</v>
      </c>
      <c r="D9675" s="2" t="s">
        <v>28420</v>
      </c>
      <c r="E9675" s="2" t="s">
        <v>515</v>
      </c>
      <c r="F9675" s="4">
        <v>6351</v>
      </c>
      <c r="G9675" s="2" t="s">
        <v>125</v>
      </c>
      <c r="H9675" s="2" t="s">
        <v>34</v>
      </c>
      <c r="I9675" s="2" t="s">
        <v>28421</v>
      </c>
      <c r="J9675" s="2" t="s">
        <v>124</v>
      </c>
      <c r="K9675" s="2" t="s">
        <v>125</v>
      </c>
      <c r="L9675" s="2" t="s">
        <v>34</v>
      </c>
      <c r="M9675" s="2"/>
      <c r="N9675" s="2"/>
      <c r="O9675" s="2"/>
      <c r="P9675" s="2" t="s">
        <v>28422</v>
      </c>
      <c r="Q9675" s="6">
        <v>100</v>
      </c>
      <c r="R9675" s="6">
        <v>25.75</v>
      </c>
      <c r="S9675" s="5">
        <v>41.5</v>
      </c>
      <c r="T9675" s="2"/>
      <c r="U9675" s="5">
        <v>29.8</v>
      </c>
      <c r="V9675" s="6">
        <v>4.7699999999999996</v>
      </c>
      <c r="W9675" s="6">
        <v>20.11</v>
      </c>
      <c r="X9675" s="6">
        <v>20.85</v>
      </c>
      <c r="Y9675" s="6">
        <v>25.32</v>
      </c>
      <c r="Z9675" s="6">
        <v>25.31</v>
      </c>
      <c r="AA9675" s="6">
        <v>8.5</v>
      </c>
      <c r="AB9675" s="2" t="s">
        <v>86</v>
      </c>
      <c r="AC9675" s="2"/>
    </row>
    <row r="9676" spans="1:29" ht="156" x14ac:dyDescent="0.15">
      <c r="A9676" s="3">
        <f>DATE(2010,7,15)</f>
        <v>40374</v>
      </c>
      <c r="B9676" s="3">
        <f>DATE(2010,12,1)</f>
        <v>40513</v>
      </c>
      <c r="C9676" s="2" t="s">
        <v>95</v>
      </c>
      <c r="D9676" s="2" t="s">
        <v>28423</v>
      </c>
      <c r="E9676" s="2" t="s">
        <v>36</v>
      </c>
      <c r="F9676" s="4">
        <v>6022</v>
      </c>
      <c r="G9676" s="2" t="s">
        <v>37</v>
      </c>
      <c r="H9676" s="2" t="s">
        <v>34</v>
      </c>
      <c r="I9676" s="2" t="s">
        <v>25765</v>
      </c>
      <c r="J9676" s="2" t="s">
        <v>36</v>
      </c>
      <c r="K9676" s="2" t="s">
        <v>33</v>
      </c>
      <c r="L9676" s="2" t="s">
        <v>34</v>
      </c>
      <c r="M9676" s="10">
        <v>5463.87</v>
      </c>
      <c r="N9676" s="6">
        <v>14.15</v>
      </c>
      <c r="O9676" s="6">
        <v>13.63</v>
      </c>
      <c r="P9676" s="2" t="s">
        <v>28424</v>
      </c>
      <c r="Q9676" s="6">
        <v>100</v>
      </c>
      <c r="R9676" s="2"/>
      <c r="S9676" s="5">
        <v>-61.9</v>
      </c>
      <c r="T9676" s="7">
        <v>-67.254999999999995</v>
      </c>
      <c r="U9676" s="5">
        <v>6.4</v>
      </c>
      <c r="V9676" s="6">
        <v>-4.33</v>
      </c>
      <c r="W9676" s="6">
        <v>3.24</v>
      </c>
      <c r="X9676" s="6">
        <v>3.87</v>
      </c>
      <c r="Y9676" s="6">
        <v>3.79</v>
      </c>
      <c r="Z9676" s="6">
        <v>3.79</v>
      </c>
      <c r="AA9676" s="6">
        <v>14.97</v>
      </c>
      <c r="AB9676" s="2" t="s">
        <v>86</v>
      </c>
      <c r="AC9676" s="2"/>
    </row>
    <row r="9677" spans="1:29" ht="65" x14ac:dyDescent="0.15">
      <c r="A9677" s="3">
        <f>DATE(2010,7,19)</f>
        <v>40378</v>
      </c>
      <c r="B9677" s="3">
        <f>DATE(2010,10,25)</f>
        <v>40476</v>
      </c>
      <c r="C9677" s="2" t="s">
        <v>95</v>
      </c>
      <c r="D9677" s="2" t="s">
        <v>28425</v>
      </c>
      <c r="E9677" s="2" t="s">
        <v>28426</v>
      </c>
      <c r="F9677" s="4">
        <v>4212</v>
      </c>
      <c r="G9677" s="2" t="s">
        <v>173</v>
      </c>
      <c r="H9677" s="2" t="s">
        <v>34</v>
      </c>
      <c r="I9677" s="2" t="s">
        <v>28427</v>
      </c>
      <c r="J9677" s="2" t="s">
        <v>28428</v>
      </c>
      <c r="K9677" s="2" t="s">
        <v>173</v>
      </c>
      <c r="L9677" s="2" t="s">
        <v>34</v>
      </c>
      <c r="M9677" s="2"/>
      <c r="N9677" s="2"/>
      <c r="O9677" s="2"/>
      <c r="P9677" s="2" t="s">
        <v>28429</v>
      </c>
      <c r="Q9677" s="6">
        <v>100</v>
      </c>
      <c r="R9677" s="6">
        <v>25</v>
      </c>
      <c r="S9677" s="5">
        <v>30.5</v>
      </c>
      <c r="T9677" s="7">
        <v>71.497</v>
      </c>
      <c r="U9677" s="5">
        <v>11.7</v>
      </c>
      <c r="V9677" s="6">
        <v>1.8</v>
      </c>
      <c r="W9677" s="6">
        <v>17.04</v>
      </c>
      <c r="X9677" s="6">
        <v>17.43</v>
      </c>
      <c r="Y9677" s="5">
        <v>24.2</v>
      </c>
      <c r="Z9677" s="6">
        <v>24.18</v>
      </c>
      <c r="AA9677" s="6">
        <v>20.149999999999999</v>
      </c>
      <c r="AB9677" s="7">
        <v>7.0439999999999996</v>
      </c>
      <c r="AC9677" s="2"/>
    </row>
    <row r="9678" spans="1:29" ht="65" x14ac:dyDescent="0.15">
      <c r="A9678" s="3">
        <f>DATE(2010,7,19)</f>
        <v>40378</v>
      </c>
      <c r="B9678" s="2"/>
      <c r="C9678" s="2" t="s">
        <v>30</v>
      </c>
      <c r="D9678" s="2" t="s">
        <v>1515</v>
      </c>
      <c r="E9678" s="2" t="s">
        <v>1516</v>
      </c>
      <c r="F9678" s="4">
        <v>7291</v>
      </c>
      <c r="G9678" s="2" t="s">
        <v>1517</v>
      </c>
      <c r="H9678" s="2" t="s">
        <v>34</v>
      </c>
      <c r="I9678" s="2" t="s">
        <v>28430</v>
      </c>
      <c r="J9678" s="2" t="s">
        <v>28431</v>
      </c>
      <c r="K9678" s="2" t="s">
        <v>1517</v>
      </c>
      <c r="L9678" s="2" t="s">
        <v>34</v>
      </c>
      <c r="M9678" s="2"/>
      <c r="N9678" s="2"/>
      <c r="O9678" s="2"/>
      <c r="P9678" s="2" t="s">
        <v>28432</v>
      </c>
      <c r="Q9678" s="2"/>
      <c r="R9678" s="2"/>
      <c r="S9678" s="5">
        <v>479.2</v>
      </c>
      <c r="T9678" s="12">
        <v>1007.307</v>
      </c>
      <c r="U9678" s="5">
        <v>4.5</v>
      </c>
      <c r="V9678" s="6">
        <v>1.46</v>
      </c>
      <c r="W9678" s="6">
        <v>14.37</v>
      </c>
      <c r="X9678" s="6">
        <v>13.98</v>
      </c>
      <c r="Y9678" s="6">
        <v>14.61</v>
      </c>
      <c r="Z9678" s="6">
        <v>14.69</v>
      </c>
      <c r="AA9678" s="6">
        <v>323.31</v>
      </c>
      <c r="AB9678" s="2" t="s">
        <v>47</v>
      </c>
      <c r="AC9678" s="2"/>
    </row>
    <row r="9679" spans="1:29" ht="195" x14ac:dyDescent="0.15">
      <c r="A9679" s="3">
        <f>DATE(2010,7,19)</f>
        <v>40378</v>
      </c>
      <c r="B9679" s="3">
        <f>DATE(2011,1,6)</f>
        <v>40549</v>
      </c>
      <c r="C9679" s="2" t="s">
        <v>95</v>
      </c>
      <c r="D9679" s="2" t="s">
        <v>28433</v>
      </c>
      <c r="E9679" s="2" t="s">
        <v>6292</v>
      </c>
      <c r="F9679" s="4">
        <v>2836</v>
      </c>
      <c r="G9679" s="2" t="s">
        <v>130</v>
      </c>
      <c r="H9679" s="2" t="s">
        <v>34</v>
      </c>
      <c r="I9679" s="2" t="s">
        <v>28434</v>
      </c>
      <c r="J9679" s="2" t="s">
        <v>28435</v>
      </c>
      <c r="K9679" s="2" t="s">
        <v>53</v>
      </c>
      <c r="L9679" s="2" t="s">
        <v>34</v>
      </c>
      <c r="M9679" s="2"/>
      <c r="N9679" s="2"/>
      <c r="O9679" s="2"/>
      <c r="P9679" s="2" t="s">
        <v>28436</v>
      </c>
      <c r="Q9679" s="6">
        <v>90.1</v>
      </c>
      <c r="R9679" s="6">
        <v>6.5</v>
      </c>
      <c r="S9679" s="5">
        <v>-52.2</v>
      </c>
      <c r="T9679" s="7">
        <v>-45.612000000000002</v>
      </c>
      <c r="U9679" s="5">
        <v>2.6</v>
      </c>
      <c r="V9679" s="6">
        <v>-1.31</v>
      </c>
      <c r="W9679" s="6">
        <v>2.16</v>
      </c>
      <c r="X9679" s="5">
        <v>2.5</v>
      </c>
      <c r="Y9679" s="6">
        <v>3.35</v>
      </c>
      <c r="Z9679" s="6">
        <v>3.57</v>
      </c>
      <c r="AA9679" s="6">
        <v>38.380000000000003</v>
      </c>
      <c r="AB9679" s="2" t="s">
        <v>86</v>
      </c>
      <c r="AC9679" s="2"/>
    </row>
    <row r="9680" spans="1:29" ht="156" x14ac:dyDescent="0.15">
      <c r="A9680" s="3">
        <f>DATE(2010,7,20)</f>
        <v>40379</v>
      </c>
      <c r="B9680" s="2"/>
      <c r="C9680" s="2" t="s">
        <v>30</v>
      </c>
      <c r="D9680" s="2" t="s">
        <v>16998</v>
      </c>
      <c r="E9680" s="2" t="s">
        <v>398</v>
      </c>
      <c r="F9680" s="4">
        <v>7812</v>
      </c>
      <c r="G9680" s="2" t="s">
        <v>42</v>
      </c>
      <c r="H9680" s="2" t="s">
        <v>34</v>
      </c>
      <c r="I9680" s="2" t="s">
        <v>28437</v>
      </c>
      <c r="J9680" s="2" t="s">
        <v>22486</v>
      </c>
      <c r="K9680" s="2" t="s">
        <v>53</v>
      </c>
      <c r="L9680" s="2" t="s">
        <v>34</v>
      </c>
      <c r="M9680" s="2"/>
      <c r="N9680" s="2"/>
      <c r="O9680" s="2"/>
      <c r="P9680" s="2" t="s">
        <v>28438</v>
      </c>
      <c r="Q9680" s="2"/>
      <c r="R9680" s="6">
        <v>7.5</v>
      </c>
      <c r="S9680" s="5">
        <v>-131.1</v>
      </c>
      <c r="T9680" s="7">
        <v>-79.361000000000004</v>
      </c>
      <c r="U9680" s="5">
        <v>0</v>
      </c>
      <c r="V9680" s="9">
        <v>-1.0168999999999999</v>
      </c>
      <c r="W9680" s="6">
        <v>6.53</v>
      </c>
      <c r="X9680" s="6">
        <v>6.03</v>
      </c>
      <c r="Y9680" s="6">
        <v>6.53</v>
      </c>
      <c r="Z9680" s="5">
        <v>6.5</v>
      </c>
      <c r="AA9680" s="6">
        <v>118.11</v>
      </c>
      <c r="AB9680" s="2" t="s">
        <v>47</v>
      </c>
      <c r="AC9680" s="2"/>
    </row>
    <row r="9681" spans="1:29" ht="143" x14ac:dyDescent="0.15">
      <c r="A9681" s="3">
        <f>DATE(2010,7,22)</f>
        <v>40381</v>
      </c>
      <c r="B9681" s="3">
        <f>DATE(2010,10,1)</f>
        <v>40452</v>
      </c>
      <c r="C9681" s="2" t="s">
        <v>95</v>
      </c>
      <c r="D9681" s="2" t="s">
        <v>28439</v>
      </c>
      <c r="E9681" s="2" t="s">
        <v>28440</v>
      </c>
      <c r="F9681" s="4">
        <v>6141</v>
      </c>
      <c r="G9681" s="2" t="s">
        <v>370</v>
      </c>
      <c r="H9681" s="2" t="s">
        <v>34</v>
      </c>
      <c r="I9681" s="2" t="s">
        <v>28441</v>
      </c>
      <c r="J9681" s="2" t="s">
        <v>28442</v>
      </c>
      <c r="K9681" s="2" t="s">
        <v>105</v>
      </c>
      <c r="L9681" s="2" t="s">
        <v>34</v>
      </c>
      <c r="M9681" s="2"/>
      <c r="N9681" s="2"/>
      <c r="O9681" s="2"/>
      <c r="P9681" s="2" t="s">
        <v>28443</v>
      </c>
      <c r="Q9681" s="6">
        <v>100</v>
      </c>
      <c r="R9681" s="6">
        <v>24.5</v>
      </c>
      <c r="S9681" s="5">
        <v>220.5</v>
      </c>
      <c r="T9681" s="7">
        <v>432.86799999999999</v>
      </c>
      <c r="U9681" s="5">
        <v>17.8</v>
      </c>
      <c r="V9681" s="6">
        <v>1.6</v>
      </c>
      <c r="W9681" s="6">
        <v>20.73</v>
      </c>
      <c r="X9681" s="5">
        <v>19.7</v>
      </c>
      <c r="Y9681" s="6">
        <v>23.91</v>
      </c>
      <c r="Z9681" s="6">
        <v>24.01</v>
      </c>
      <c r="AA9681" s="6">
        <v>134.56</v>
      </c>
      <c r="AB9681" s="7">
        <v>28.923999999999999</v>
      </c>
      <c r="AC9681" s="8">
        <v>36845</v>
      </c>
    </row>
    <row r="9682" spans="1:29" ht="130" x14ac:dyDescent="0.15">
      <c r="A9682" s="3">
        <f>DATE(2010,7,22)</f>
        <v>40381</v>
      </c>
      <c r="B9682" s="2"/>
      <c r="C9682" s="2" t="s">
        <v>30</v>
      </c>
      <c r="D9682" s="2" t="s">
        <v>28444</v>
      </c>
      <c r="E9682" s="2" t="s">
        <v>16133</v>
      </c>
      <c r="F9682" s="4">
        <v>5031</v>
      </c>
      <c r="G9682" s="2" t="s">
        <v>76</v>
      </c>
      <c r="H9682" s="2" t="s">
        <v>34</v>
      </c>
      <c r="I9682" s="2" t="s">
        <v>21046</v>
      </c>
      <c r="J9682" s="2" t="s">
        <v>244</v>
      </c>
      <c r="K9682" s="2" t="s">
        <v>53</v>
      </c>
      <c r="L9682" s="2" t="s">
        <v>34</v>
      </c>
      <c r="M9682" s="2"/>
      <c r="N9682" s="2"/>
      <c r="O9682" s="2"/>
      <c r="P9682" s="2" t="s">
        <v>28445</v>
      </c>
      <c r="Q9682" s="2"/>
      <c r="R9682" s="6">
        <v>4</v>
      </c>
      <c r="S9682" s="5">
        <v>-19.600000000000001</v>
      </c>
      <c r="T9682" s="7">
        <v>-8.718</v>
      </c>
      <c r="U9682" s="5">
        <v>8.9</v>
      </c>
      <c r="V9682" s="6">
        <v>-5.44</v>
      </c>
      <c r="W9682" s="6">
        <v>2.85</v>
      </c>
      <c r="X9682" s="6">
        <v>2.5099999999999998</v>
      </c>
      <c r="Y9682" s="6">
        <v>3.66</v>
      </c>
      <c r="Z9682" s="6">
        <v>3.91</v>
      </c>
      <c r="AA9682" s="6">
        <v>32.68</v>
      </c>
      <c r="AB9682" s="2" t="s">
        <v>86</v>
      </c>
      <c r="AC9682" s="2"/>
    </row>
    <row r="9683" spans="1:29" ht="182" x14ac:dyDescent="0.15">
      <c r="A9683" s="3">
        <f>DATE(2010,7,23)</f>
        <v>40382</v>
      </c>
      <c r="B9683" s="2"/>
      <c r="C9683" s="2" t="s">
        <v>30</v>
      </c>
      <c r="D9683" s="2" t="s">
        <v>28446</v>
      </c>
      <c r="E9683" s="2" t="s">
        <v>3793</v>
      </c>
      <c r="F9683" s="4">
        <v>1021</v>
      </c>
      <c r="G9683" s="2" t="s">
        <v>166</v>
      </c>
      <c r="H9683" s="2" t="s">
        <v>34</v>
      </c>
      <c r="I9683" s="2" t="s">
        <v>20570</v>
      </c>
      <c r="J9683" s="2" t="s">
        <v>3793</v>
      </c>
      <c r="K9683" s="2" t="s">
        <v>166</v>
      </c>
      <c r="L9683" s="2" t="s">
        <v>34</v>
      </c>
      <c r="M9683" s="2"/>
      <c r="N9683" s="2"/>
      <c r="O9683" s="2"/>
      <c r="P9683" s="2" t="s">
        <v>28447</v>
      </c>
      <c r="Q9683" s="2"/>
      <c r="R9683" s="2"/>
      <c r="S9683" s="8">
        <v>1372.4</v>
      </c>
      <c r="T9683" s="12">
        <v>2512.415</v>
      </c>
      <c r="U9683" s="5">
        <v>4.5</v>
      </c>
      <c r="V9683" s="7">
        <v>1.593</v>
      </c>
      <c r="W9683" s="6">
        <v>28.93</v>
      </c>
      <c r="X9683" s="6">
        <v>32.049999999999997</v>
      </c>
      <c r="Y9683" s="6">
        <v>32.26</v>
      </c>
      <c r="Z9683" s="6">
        <v>32.14</v>
      </c>
      <c r="AA9683" s="6">
        <v>850</v>
      </c>
      <c r="AB9683" s="2" t="s">
        <v>47</v>
      </c>
      <c r="AC9683" s="2"/>
    </row>
    <row r="9684" spans="1:29" ht="117" x14ac:dyDescent="0.15">
      <c r="A9684" s="3">
        <f>DATE(2010,7,27)</f>
        <v>40386</v>
      </c>
      <c r="B9684" s="3">
        <f>DATE(2010,12,20)</f>
        <v>40532</v>
      </c>
      <c r="C9684" s="2" t="s">
        <v>95</v>
      </c>
      <c r="D9684" s="2" t="s">
        <v>28448</v>
      </c>
      <c r="E9684" s="2" t="s">
        <v>5309</v>
      </c>
      <c r="F9684" s="4">
        <v>1311</v>
      </c>
      <c r="G9684" s="2" t="s">
        <v>148</v>
      </c>
      <c r="H9684" s="2" t="s">
        <v>34</v>
      </c>
      <c r="I9684" s="2" t="s">
        <v>28449</v>
      </c>
      <c r="J9684" s="2" t="s">
        <v>28450</v>
      </c>
      <c r="K9684" s="2" t="s">
        <v>148</v>
      </c>
      <c r="L9684" s="2" t="s">
        <v>34</v>
      </c>
      <c r="M9684" s="12">
        <v>16728.871999999999</v>
      </c>
      <c r="N9684" s="5">
        <v>53.3</v>
      </c>
      <c r="O9684" s="6">
        <v>52.47</v>
      </c>
      <c r="P9684" s="2" t="s">
        <v>28451</v>
      </c>
      <c r="Q9684" s="6">
        <v>100</v>
      </c>
      <c r="R9684" s="6">
        <v>7.25</v>
      </c>
      <c r="S9684" s="5">
        <v>22.9</v>
      </c>
      <c r="T9684" s="7">
        <v>-3.194</v>
      </c>
      <c r="U9684" s="5">
        <v>2.1</v>
      </c>
      <c r="V9684" s="6">
        <v>0.36</v>
      </c>
      <c r="W9684" s="6">
        <v>6.21</v>
      </c>
      <c r="X9684" s="6">
        <v>6.73</v>
      </c>
      <c r="Y9684" s="6">
        <v>6.69</v>
      </c>
      <c r="Z9684" s="6">
        <v>7.14</v>
      </c>
      <c r="AA9684" s="6">
        <v>60.81</v>
      </c>
      <c r="AB9684" s="2" t="s">
        <v>86</v>
      </c>
      <c r="AC9684" s="8">
        <v>1363</v>
      </c>
    </row>
    <row r="9685" spans="1:29" ht="130" x14ac:dyDescent="0.15">
      <c r="A9685" s="3">
        <f>DATE(2010,7,28)</f>
        <v>40387</v>
      </c>
      <c r="B9685" s="3">
        <f>DATE(2010,8,23)</f>
        <v>40413</v>
      </c>
      <c r="C9685" s="2" t="s">
        <v>95</v>
      </c>
      <c r="D9685" s="2" t="s">
        <v>28452</v>
      </c>
      <c r="E9685" s="2" t="s">
        <v>28453</v>
      </c>
      <c r="F9685" s="4">
        <v>2834</v>
      </c>
      <c r="G9685" s="2" t="s">
        <v>130</v>
      </c>
      <c r="H9685" s="2" t="s">
        <v>34</v>
      </c>
      <c r="I9685" s="2" t="s">
        <v>28454</v>
      </c>
      <c r="J9685" s="2" t="s">
        <v>28455</v>
      </c>
      <c r="K9685" s="2" t="s">
        <v>708</v>
      </c>
      <c r="L9685" s="2" t="s">
        <v>34</v>
      </c>
      <c r="M9685" s="2"/>
      <c r="N9685" s="2"/>
      <c r="O9685" s="2"/>
      <c r="P9685" s="2" t="s">
        <v>28456</v>
      </c>
      <c r="Q9685" s="6">
        <v>100</v>
      </c>
      <c r="R9685" s="2"/>
      <c r="S9685" s="5">
        <v>-0.1</v>
      </c>
      <c r="T9685" s="2"/>
      <c r="U9685" s="5">
        <v>0</v>
      </c>
      <c r="V9685" s="6">
        <v>-0.01</v>
      </c>
      <c r="W9685" s="6">
        <v>1.32</v>
      </c>
      <c r="X9685" s="6">
        <v>1.01</v>
      </c>
      <c r="Y9685" s="2"/>
      <c r="Z9685" s="2"/>
      <c r="AA9685" s="2"/>
      <c r="AB9685" s="2" t="s">
        <v>86</v>
      </c>
      <c r="AC9685" s="2"/>
    </row>
    <row r="9686" spans="1:29" ht="117" x14ac:dyDescent="0.15">
      <c r="A9686" s="3">
        <f>DATE(2010,7,28)</f>
        <v>40387</v>
      </c>
      <c r="B9686" s="3">
        <f>DATE(2010,10,7)</f>
        <v>40458</v>
      </c>
      <c r="C9686" s="2" t="s">
        <v>95</v>
      </c>
      <c r="D9686" s="2" t="s">
        <v>28457</v>
      </c>
      <c r="E9686" s="2" t="s">
        <v>28458</v>
      </c>
      <c r="F9686" s="4">
        <v>7389</v>
      </c>
      <c r="G9686" s="2" t="s">
        <v>223</v>
      </c>
      <c r="H9686" s="2" t="s">
        <v>34</v>
      </c>
      <c r="I9686" s="2" t="s">
        <v>28459</v>
      </c>
      <c r="J9686" s="2" t="s">
        <v>302</v>
      </c>
      <c r="K9686" s="2" t="s">
        <v>53</v>
      </c>
      <c r="L9686" s="2" t="s">
        <v>34</v>
      </c>
      <c r="M9686" s="2"/>
      <c r="N9686" s="2"/>
      <c r="O9686" s="2"/>
      <c r="P9686" s="2" t="s">
        <v>28460</v>
      </c>
      <c r="Q9686" s="6">
        <v>86</v>
      </c>
      <c r="R9686" s="6">
        <v>8.1999999999999993</v>
      </c>
      <c r="S9686" s="5">
        <v>8.8000000000000007</v>
      </c>
      <c r="T9686" s="7">
        <v>13.521000000000001</v>
      </c>
      <c r="U9686" s="5">
        <v>0.9</v>
      </c>
      <c r="V9686" s="6">
        <v>0.28000000000000003</v>
      </c>
      <c r="W9686" s="6">
        <v>5.95</v>
      </c>
      <c r="X9686" s="6">
        <v>6.34</v>
      </c>
      <c r="Y9686" s="6">
        <v>8.1199999999999992</v>
      </c>
      <c r="Z9686" s="6">
        <v>8.15</v>
      </c>
      <c r="AA9686" s="6">
        <v>34.909999999999997</v>
      </c>
      <c r="AB9686" s="7">
        <v>18.960999999999999</v>
      </c>
      <c r="AC9686" s="2"/>
    </row>
    <row r="9687" spans="1:29" ht="104" x14ac:dyDescent="0.15">
      <c r="A9687" s="3">
        <f>DATE(2010,8,4)</f>
        <v>40394</v>
      </c>
      <c r="B9687" s="3">
        <f>DATE(2010,11,15)</f>
        <v>40497</v>
      </c>
      <c r="C9687" s="2" t="s">
        <v>95</v>
      </c>
      <c r="D9687" s="2" t="s">
        <v>26652</v>
      </c>
      <c r="E9687" s="2" t="s">
        <v>26655</v>
      </c>
      <c r="F9687" s="4">
        <v>4512</v>
      </c>
      <c r="G9687" s="2" t="s">
        <v>59</v>
      </c>
      <c r="H9687" s="2" t="s">
        <v>34</v>
      </c>
      <c r="I9687" s="2" t="s">
        <v>28461</v>
      </c>
      <c r="J9687" s="2" t="s">
        <v>11337</v>
      </c>
      <c r="K9687" s="2" t="s">
        <v>53</v>
      </c>
      <c r="L9687" s="2" t="s">
        <v>34</v>
      </c>
      <c r="M9687" s="2"/>
      <c r="N9687" s="2"/>
      <c r="O9687" s="2"/>
      <c r="P9687" s="2" t="s">
        <v>28462</v>
      </c>
      <c r="Q9687" s="6">
        <v>100</v>
      </c>
      <c r="R9687" s="6">
        <v>6.75</v>
      </c>
      <c r="S9687" s="5">
        <v>-13.5</v>
      </c>
      <c r="T9687" s="6">
        <v>-15.83</v>
      </c>
      <c r="U9687" s="5">
        <v>9.8000000000000007</v>
      </c>
      <c r="V9687" s="6">
        <v>-0.59</v>
      </c>
      <c r="W9687" s="6">
        <v>2.78</v>
      </c>
      <c r="X9687" s="6">
        <v>3.28</v>
      </c>
      <c r="Y9687" s="6">
        <v>6.57</v>
      </c>
      <c r="Z9687" s="6">
        <v>6.59</v>
      </c>
      <c r="AA9687" s="6">
        <v>16.97</v>
      </c>
      <c r="AB9687" s="2" t="s">
        <v>86</v>
      </c>
      <c r="AC9687" s="2"/>
    </row>
    <row r="9688" spans="1:29" ht="78" x14ac:dyDescent="0.15">
      <c r="A9688" s="3">
        <f>DATE(2010,8,6)</f>
        <v>40396</v>
      </c>
      <c r="B9688" s="3">
        <f>DATE(2010,9,3)</f>
        <v>40424</v>
      </c>
      <c r="C9688" s="2" t="s">
        <v>95</v>
      </c>
      <c r="D9688" s="2" t="s">
        <v>28463</v>
      </c>
      <c r="E9688" s="2" t="s">
        <v>28464</v>
      </c>
      <c r="F9688" s="4">
        <v>3674</v>
      </c>
      <c r="G9688" s="2" t="s">
        <v>137</v>
      </c>
      <c r="H9688" s="2" t="s">
        <v>34</v>
      </c>
      <c r="I9688" s="2" t="s">
        <v>28465</v>
      </c>
      <c r="J9688" s="2" t="s">
        <v>28466</v>
      </c>
      <c r="K9688" s="2" t="s">
        <v>219</v>
      </c>
      <c r="L9688" s="2" t="s">
        <v>34</v>
      </c>
      <c r="M9688" s="12">
        <v>2572.9569999999999</v>
      </c>
      <c r="N9688" s="6">
        <v>55.64</v>
      </c>
      <c r="O9688" s="6">
        <v>56.65</v>
      </c>
      <c r="P9688" s="2" t="s">
        <v>28467</v>
      </c>
      <c r="Q9688" s="6">
        <v>100</v>
      </c>
      <c r="R9688" s="2"/>
      <c r="S9688" s="2"/>
      <c r="T9688" s="2"/>
      <c r="U9688" s="2"/>
      <c r="V9688" s="2"/>
      <c r="W9688" s="5">
        <v>6.5</v>
      </c>
      <c r="X9688" s="5">
        <v>6.6</v>
      </c>
      <c r="Y9688" s="5">
        <v>6.6</v>
      </c>
      <c r="Z9688" s="7">
        <v>13.161</v>
      </c>
      <c r="AA9688" s="6">
        <v>4.49</v>
      </c>
      <c r="AB9688" s="2" t="s">
        <v>47</v>
      </c>
      <c r="AC9688" s="6">
        <v>258.39</v>
      </c>
    </row>
    <row r="9689" spans="1:29" ht="117" x14ac:dyDescent="0.15">
      <c r="A9689" s="3">
        <f>DATE(2010,8,9)</f>
        <v>40399</v>
      </c>
      <c r="B9689" s="3">
        <f>DATE(2011,1,3)</f>
        <v>40546</v>
      </c>
      <c r="C9689" s="2" t="s">
        <v>95</v>
      </c>
      <c r="D9689" s="2" t="s">
        <v>28468</v>
      </c>
      <c r="E9689" s="2" t="s">
        <v>3246</v>
      </c>
      <c r="F9689" s="4">
        <v>6022</v>
      </c>
      <c r="G9689" s="2" t="s">
        <v>37</v>
      </c>
      <c r="H9689" s="2" t="s">
        <v>34</v>
      </c>
      <c r="I9689" s="2" t="s">
        <v>21951</v>
      </c>
      <c r="J9689" s="2" t="s">
        <v>36</v>
      </c>
      <c r="K9689" s="2" t="s">
        <v>37</v>
      </c>
      <c r="L9689" s="2" t="s">
        <v>34</v>
      </c>
      <c r="M9689" s="7">
        <v>964.495</v>
      </c>
      <c r="N9689" s="6">
        <v>8.7799999999999994</v>
      </c>
      <c r="O9689" s="6">
        <v>8.74</v>
      </c>
      <c r="P9689" s="2" t="s">
        <v>28469</v>
      </c>
      <c r="Q9689" s="6">
        <v>100</v>
      </c>
      <c r="R9689" s="6">
        <v>39.36</v>
      </c>
      <c r="S9689" s="5">
        <v>-0.6</v>
      </c>
      <c r="T9689" s="7">
        <v>-3.278</v>
      </c>
      <c r="U9689" s="5">
        <v>31.1</v>
      </c>
      <c r="V9689" s="6">
        <v>-0.34</v>
      </c>
      <c r="W9689" s="6">
        <v>22.51</v>
      </c>
      <c r="X9689" s="6">
        <v>23.99</v>
      </c>
      <c r="Y9689" s="5">
        <v>25.8</v>
      </c>
      <c r="Z9689" s="6">
        <v>38.950000000000003</v>
      </c>
      <c r="AA9689" s="6">
        <v>1.72</v>
      </c>
      <c r="AB9689" s="2" t="s">
        <v>86</v>
      </c>
      <c r="AC9689" s="2"/>
    </row>
    <row r="9690" spans="1:29" ht="143" x14ac:dyDescent="0.15">
      <c r="A9690" s="3">
        <f>DATE(2010,8,9)</f>
        <v>40399</v>
      </c>
      <c r="B9690" s="3">
        <f>DATE(2010,11,5)</f>
        <v>40487</v>
      </c>
      <c r="C9690" s="2" t="s">
        <v>95</v>
      </c>
      <c r="D9690" s="2" t="s">
        <v>28470</v>
      </c>
      <c r="E9690" s="2" t="s">
        <v>28471</v>
      </c>
      <c r="F9690" s="4">
        <v>5984</v>
      </c>
      <c r="G9690" s="2" t="s">
        <v>73</v>
      </c>
      <c r="H9690" s="2" t="s">
        <v>34</v>
      </c>
      <c r="I9690" s="2" t="s">
        <v>28472</v>
      </c>
      <c r="J9690" s="2" t="s">
        <v>28471</v>
      </c>
      <c r="K9690" s="2" t="s">
        <v>73</v>
      </c>
      <c r="L9690" s="2" t="s">
        <v>34</v>
      </c>
      <c r="M9690" s="12">
        <v>2635.5219999999999</v>
      </c>
      <c r="N9690" s="5">
        <v>42.6</v>
      </c>
      <c r="O9690" s="6">
        <v>40.11</v>
      </c>
      <c r="P9690" s="2" t="s">
        <v>28473</v>
      </c>
      <c r="Q9690" s="6">
        <v>100</v>
      </c>
      <c r="R9690" s="6">
        <v>33.4</v>
      </c>
      <c r="S9690" s="2"/>
      <c r="T9690" s="2"/>
      <c r="U9690" s="2"/>
      <c r="V9690" s="2"/>
      <c r="W9690" s="5">
        <v>31.3</v>
      </c>
      <c r="X9690" s="6">
        <v>31.85</v>
      </c>
      <c r="Y9690" s="6">
        <v>32.409999999999997</v>
      </c>
      <c r="Z9690" s="6">
        <v>30.01</v>
      </c>
      <c r="AA9690" s="6">
        <v>62.31</v>
      </c>
      <c r="AB9690" s="2" t="s">
        <v>47</v>
      </c>
      <c r="AC9690" s="5">
        <v>5.4</v>
      </c>
    </row>
    <row r="9691" spans="1:29" ht="104" x14ac:dyDescent="0.15">
      <c r="A9691" s="3">
        <f>DATE(2010,8,9)</f>
        <v>40399</v>
      </c>
      <c r="B9691" s="3">
        <f>DATE(2010,11,4)</f>
        <v>40486</v>
      </c>
      <c r="C9691" s="2" t="s">
        <v>95</v>
      </c>
      <c r="D9691" s="2" t="s">
        <v>28474</v>
      </c>
      <c r="E9691" s="2" t="s">
        <v>839</v>
      </c>
      <c r="F9691" s="4">
        <v>2834</v>
      </c>
      <c r="G9691" s="2" t="s">
        <v>130</v>
      </c>
      <c r="H9691" s="2" t="s">
        <v>34</v>
      </c>
      <c r="I9691" s="2" t="s">
        <v>27287</v>
      </c>
      <c r="J9691" s="2" t="s">
        <v>13693</v>
      </c>
      <c r="K9691" s="2" t="s">
        <v>130</v>
      </c>
      <c r="L9691" s="2" t="s">
        <v>34</v>
      </c>
      <c r="M9691" s="12">
        <v>2709.9409999999998</v>
      </c>
      <c r="N9691" s="6">
        <v>25.18</v>
      </c>
      <c r="O9691" s="6">
        <v>25.82</v>
      </c>
      <c r="P9691" s="2" t="s">
        <v>28475</v>
      </c>
      <c r="Q9691" s="6">
        <v>100</v>
      </c>
      <c r="R9691" s="6">
        <v>5</v>
      </c>
      <c r="S9691" s="5">
        <v>13.8</v>
      </c>
      <c r="T9691" s="7">
        <v>16.827000000000002</v>
      </c>
      <c r="U9691" s="5">
        <v>0.9</v>
      </c>
      <c r="V9691" s="6">
        <v>0.43</v>
      </c>
      <c r="W9691" s="6">
        <v>3.48</v>
      </c>
      <c r="X9691" s="6">
        <v>4.21</v>
      </c>
      <c r="Y9691" s="6">
        <v>4.7300000000000004</v>
      </c>
      <c r="Z9691" s="6">
        <v>4.96</v>
      </c>
      <c r="AA9691" s="6">
        <v>31.95</v>
      </c>
      <c r="AB9691" s="7">
        <v>9.2089999999999996</v>
      </c>
      <c r="AC9691" s="6">
        <v>992.27</v>
      </c>
    </row>
    <row r="9692" spans="1:29" ht="130" x14ac:dyDescent="0.15">
      <c r="A9692" s="3">
        <f>DATE(2010,8,9)</f>
        <v>40399</v>
      </c>
      <c r="B9692" s="3">
        <f>DATE(2010,9,8)</f>
        <v>40429</v>
      </c>
      <c r="C9692" s="2" t="s">
        <v>95</v>
      </c>
      <c r="D9692" s="2" t="s">
        <v>28476</v>
      </c>
      <c r="E9692" s="2" t="s">
        <v>28477</v>
      </c>
      <c r="F9692" s="4">
        <v>1389</v>
      </c>
      <c r="G9692" s="2" t="s">
        <v>148</v>
      </c>
      <c r="H9692" s="2" t="s">
        <v>34</v>
      </c>
      <c r="I9692" s="2" t="s">
        <v>28478</v>
      </c>
      <c r="J9692" s="2" t="s">
        <v>11337</v>
      </c>
      <c r="K9692" s="2" t="s">
        <v>53</v>
      </c>
      <c r="L9692" s="2" t="s">
        <v>34</v>
      </c>
      <c r="M9692" s="2"/>
      <c r="N9692" s="2"/>
      <c r="O9692" s="2"/>
      <c r="P9692" s="2" t="s">
        <v>28479</v>
      </c>
      <c r="Q9692" s="6">
        <v>100</v>
      </c>
      <c r="R9692" s="6">
        <v>22.12</v>
      </c>
      <c r="S9692" s="5">
        <v>-29.6</v>
      </c>
      <c r="T9692" s="7">
        <v>43.963999999999999</v>
      </c>
      <c r="U9692" s="5">
        <v>8.1</v>
      </c>
      <c r="V9692" s="6">
        <v>-1.2</v>
      </c>
      <c r="W9692" s="6">
        <v>19.43</v>
      </c>
      <c r="X9692" s="6">
        <v>18.23</v>
      </c>
      <c r="Y9692" s="6">
        <v>22.08</v>
      </c>
      <c r="Z9692" s="6">
        <v>22.12</v>
      </c>
      <c r="AA9692" s="6">
        <v>30.81</v>
      </c>
      <c r="AB9692" s="2" t="s">
        <v>86</v>
      </c>
      <c r="AC9692" s="2"/>
    </row>
    <row r="9693" spans="1:29" ht="130" x14ac:dyDescent="0.15">
      <c r="A9693" s="3">
        <f>DATE(2010,8,12)</f>
        <v>40402</v>
      </c>
      <c r="B9693" s="3">
        <f>DATE(2011,2,23)</f>
        <v>40597</v>
      </c>
      <c r="C9693" s="2" t="s">
        <v>95</v>
      </c>
      <c r="D9693" s="2" t="s">
        <v>26407</v>
      </c>
      <c r="E9693" s="2" t="s">
        <v>26408</v>
      </c>
      <c r="F9693" s="4">
        <v>1389</v>
      </c>
      <c r="G9693" s="2" t="s">
        <v>148</v>
      </c>
      <c r="H9693" s="2" t="s">
        <v>34</v>
      </c>
      <c r="I9693" s="2" t="s">
        <v>28480</v>
      </c>
      <c r="J9693" s="2" t="s">
        <v>28481</v>
      </c>
      <c r="K9693" s="2" t="s">
        <v>148</v>
      </c>
      <c r="L9693" s="2" t="s">
        <v>1791</v>
      </c>
      <c r="M9693" s="2"/>
      <c r="N9693" s="2"/>
      <c r="O9693" s="2"/>
      <c r="P9693" s="2" t="s">
        <v>28482</v>
      </c>
      <c r="Q9693" s="6">
        <v>100</v>
      </c>
      <c r="R9693" s="2"/>
      <c r="S9693" s="5">
        <v>-33.4</v>
      </c>
      <c r="T9693" s="7">
        <v>87.281999999999996</v>
      </c>
      <c r="U9693" s="5">
        <v>6</v>
      </c>
      <c r="V9693" s="6">
        <v>-0.56999999999999995</v>
      </c>
      <c r="W9693" s="6">
        <v>2.56</v>
      </c>
      <c r="X9693" s="5">
        <v>2.2999999999999998</v>
      </c>
      <c r="Y9693" s="5">
        <v>2.2999999999999998</v>
      </c>
      <c r="Z9693" s="5">
        <v>3.7</v>
      </c>
      <c r="AA9693" s="6">
        <v>72.42</v>
      </c>
      <c r="AB9693" s="7">
        <v>370.99900000000002</v>
      </c>
      <c r="AC9693" s="6">
        <v>48.55</v>
      </c>
    </row>
    <row r="9694" spans="1:29" ht="143" x14ac:dyDescent="0.15">
      <c r="A9694" s="3">
        <f>DATE(2010,8,12)</f>
        <v>40402</v>
      </c>
      <c r="B9694" s="3">
        <f>DATE(2010,10,28)</f>
        <v>40479</v>
      </c>
      <c r="C9694" s="2" t="s">
        <v>95</v>
      </c>
      <c r="D9694" s="2" t="s">
        <v>28483</v>
      </c>
      <c r="E9694" s="2" t="s">
        <v>540</v>
      </c>
      <c r="F9694" s="4">
        <v>2836</v>
      </c>
      <c r="G9694" s="2" t="s">
        <v>130</v>
      </c>
      <c r="H9694" s="2" t="s">
        <v>34</v>
      </c>
      <c r="I9694" s="2" t="s">
        <v>28484</v>
      </c>
      <c r="J9694" s="2" t="s">
        <v>27551</v>
      </c>
      <c r="K9694" s="2" t="s">
        <v>130</v>
      </c>
      <c r="L9694" s="2" t="s">
        <v>34</v>
      </c>
      <c r="M9694" s="7">
        <v>563.28099999999995</v>
      </c>
      <c r="N9694" s="5">
        <v>18.5</v>
      </c>
      <c r="O9694" s="6">
        <v>17.43</v>
      </c>
      <c r="P9694" s="2" t="s">
        <v>28485</v>
      </c>
      <c r="Q9694" s="6">
        <v>100</v>
      </c>
      <c r="R9694" s="6">
        <v>4.4800000000000004</v>
      </c>
      <c r="S9694" s="5">
        <v>-23.3</v>
      </c>
      <c r="T9694" s="7">
        <v>-17.768000000000001</v>
      </c>
      <c r="U9694" s="5">
        <v>0.2</v>
      </c>
      <c r="V9694" s="6">
        <v>-1.1399999999999999</v>
      </c>
      <c r="W9694" s="6">
        <v>2.95</v>
      </c>
      <c r="X9694" s="5">
        <v>2.9</v>
      </c>
      <c r="Y9694" s="4">
        <v>3</v>
      </c>
      <c r="Z9694" s="5">
        <v>4.5</v>
      </c>
      <c r="AA9694" s="6">
        <v>20.420000000000002</v>
      </c>
      <c r="AB9694" s="2" t="s">
        <v>86</v>
      </c>
      <c r="AC9694" s="6">
        <v>102.41</v>
      </c>
    </row>
    <row r="9695" spans="1:29" ht="169" x14ac:dyDescent="0.15">
      <c r="A9695" s="3">
        <f>DATE(2010,8,13)</f>
        <v>40403</v>
      </c>
      <c r="B9695" s="2"/>
      <c r="C9695" s="2" t="s">
        <v>30</v>
      </c>
      <c r="D9695" s="2" t="s">
        <v>14627</v>
      </c>
      <c r="E9695" s="2" t="s">
        <v>1977</v>
      </c>
      <c r="F9695" s="4">
        <v>4911</v>
      </c>
      <c r="G9695" s="2" t="s">
        <v>439</v>
      </c>
      <c r="H9695" s="2" t="s">
        <v>34</v>
      </c>
      <c r="I9695" s="2" t="s">
        <v>21776</v>
      </c>
      <c r="J9695" s="2" t="s">
        <v>25822</v>
      </c>
      <c r="K9695" s="2" t="s">
        <v>53</v>
      </c>
      <c r="L9695" s="2" t="s">
        <v>34</v>
      </c>
      <c r="M9695" s="12">
        <v>2687.3629999999998</v>
      </c>
      <c r="N9695" s="6">
        <v>10.63</v>
      </c>
      <c r="O9695" s="6">
        <v>10.38</v>
      </c>
      <c r="P9695" s="2" t="s">
        <v>28486</v>
      </c>
      <c r="Q9695" s="2"/>
      <c r="R9695" s="6">
        <v>5</v>
      </c>
      <c r="S9695" s="5">
        <v>-425</v>
      </c>
      <c r="T9695" s="5">
        <v>154</v>
      </c>
      <c r="U9695" s="5">
        <v>23.9</v>
      </c>
      <c r="V9695" s="6">
        <v>-2.39</v>
      </c>
      <c r="W9695" s="6">
        <v>3.69</v>
      </c>
      <c r="X9695" s="6">
        <v>2.78</v>
      </c>
      <c r="Y9695" s="2"/>
      <c r="Z9695" s="2"/>
      <c r="AA9695" s="6">
        <v>120.6</v>
      </c>
      <c r="AB9695" s="2" t="s">
        <v>86</v>
      </c>
      <c r="AC9695" s="10">
        <v>1407.92</v>
      </c>
    </row>
    <row r="9696" spans="1:29" ht="65" x14ac:dyDescent="0.15">
      <c r="A9696" s="3">
        <f>DATE(2010,8,13)</f>
        <v>40403</v>
      </c>
      <c r="B9696" s="3">
        <f>DATE(2010,10,6)</f>
        <v>40457</v>
      </c>
      <c r="C9696" s="2" t="s">
        <v>95</v>
      </c>
      <c r="D9696" s="2" t="s">
        <v>28487</v>
      </c>
      <c r="E9696" s="2" t="s">
        <v>28488</v>
      </c>
      <c r="F9696" s="4">
        <v>7372</v>
      </c>
      <c r="G9696" s="2" t="s">
        <v>551</v>
      </c>
      <c r="H9696" s="2" t="s">
        <v>34</v>
      </c>
      <c r="I9696" s="2" t="s">
        <v>5443</v>
      </c>
      <c r="J9696" s="2" t="s">
        <v>5444</v>
      </c>
      <c r="K9696" s="2" t="s">
        <v>50</v>
      </c>
      <c r="L9696" s="2" t="s">
        <v>34</v>
      </c>
      <c r="M9696" s="12">
        <v>161481.67800000001</v>
      </c>
      <c r="N9696" s="6">
        <v>127.87</v>
      </c>
      <c r="O9696" s="6">
        <v>127.77</v>
      </c>
      <c r="P9696" s="2" t="s">
        <v>28489</v>
      </c>
      <c r="Q9696" s="6">
        <v>100</v>
      </c>
      <c r="R9696" s="6">
        <v>21</v>
      </c>
      <c r="S9696" s="5">
        <v>2.1</v>
      </c>
      <c r="T9696" s="7">
        <v>10.254</v>
      </c>
      <c r="U9696" s="5">
        <v>2.2999999999999998</v>
      </c>
      <c r="V9696" s="6">
        <v>0.09</v>
      </c>
      <c r="W9696" s="6">
        <v>9.02</v>
      </c>
      <c r="X9696" s="6">
        <v>9.5500000000000007</v>
      </c>
      <c r="Y9696" s="6">
        <v>20.84</v>
      </c>
      <c r="Z9696" s="6">
        <v>20.85</v>
      </c>
      <c r="AA9696" s="6">
        <v>21.51</v>
      </c>
      <c r="AB9696" s="7">
        <v>77.290000000000006</v>
      </c>
      <c r="AC9696" s="8">
        <v>13102</v>
      </c>
    </row>
    <row r="9697" spans="1:29" ht="130" x14ac:dyDescent="0.15">
      <c r="A9697" s="3">
        <f>DATE(2010,8,16)</f>
        <v>40406</v>
      </c>
      <c r="B9697" s="3">
        <f>DATE(2010,10,4)</f>
        <v>40455</v>
      </c>
      <c r="C9697" s="2" t="s">
        <v>95</v>
      </c>
      <c r="D9697" s="2" t="s">
        <v>28490</v>
      </c>
      <c r="E9697" s="2" t="s">
        <v>28491</v>
      </c>
      <c r="F9697" s="4">
        <v>3826</v>
      </c>
      <c r="G9697" s="2" t="s">
        <v>226</v>
      </c>
      <c r="H9697" s="2" t="s">
        <v>34</v>
      </c>
      <c r="I9697" s="2" t="s">
        <v>27400</v>
      </c>
      <c r="J9697" s="2" t="s">
        <v>27401</v>
      </c>
      <c r="K9697" s="2" t="s">
        <v>226</v>
      </c>
      <c r="L9697" s="2" t="s">
        <v>34</v>
      </c>
      <c r="M9697" s="12">
        <v>4793.9960000000001</v>
      </c>
      <c r="N9697" s="6">
        <v>27.02</v>
      </c>
      <c r="O9697" s="6">
        <v>27.74</v>
      </c>
      <c r="P9697" s="2" t="s">
        <v>28492</v>
      </c>
      <c r="Q9697" s="6">
        <v>100</v>
      </c>
      <c r="R9697" s="6">
        <v>7.55</v>
      </c>
      <c r="S9697" s="5">
        <v>-10.6</v>
      </c>
      <c r="T9697" s="7">
        <v>1.976</v>
      </c>
      <c r="U9697" s="5">
        <v>4.8</v>
      </c>
      <c r="V9697" s="6">
        <v>-0.21</v>
      </c>
      <c r="W9697" s="6">
        <v>7.71</v>
      </c>
      <c r="X9697" s="6">
        <v>6.75</v>
      </c>
      <c r="Y9697" s="6">
        <v>7.71</v>
      </c>
      <c r="Z9697" s="6">
        <v>7.57</v>
      </c>
      <c r="AA9697" s="6">
        <v>34.93</v>
      </c>
      <c r="AB9697" s="2" t="s">
        <v>86</v>
      </c>
      <c r="AC9697" s="6">
        <v>284.52</v>
      </c>
    </row>
    <row r="9698" spans="1:29" ht="143" x14ac:dyDescent="0.15">
      <c r="A9698" s="3">
        <f>DATE(2010,8,16)</f>
        <v>40406</v>
      </c>
      <c r="B9698" s="3">
        <f>DATE(2010,12,15)</f>
        <v>40527</v>
      </c>
      <c r="C9698" s="2" t="s">
        <v>95</v>
      </c>
      <c r="D9698" s="2" t="s">
        <v>28493</v>
      </c>
      <c r="E9698" s="2" t="s">
        <v>28494</v>
      </c>
      <c r="F9698" s="4">
        <v>8099</v>
      </c>
      <c r="G9698" s="2" t="s">
        <v>454</v>
      </c>
      <c r="H9698" s="2" t="s">
        <v>34</v>
      </c>
      <c r="I9698" s="2" t="s">
        <v>28495</v>
      </c>
      <c r="J9698" s="2" t="s">
        <v>11337</v>
      </c>
      <c r="K9698" s="2" t="s">
        <v>53</v>
      </c>
      <c r="L9698" s="2" t="s">
        <v>34</v>
      </c>
      <c r="M9698" s="2"/>
      <c r="N9698" s="2"/>
      <c r="O9698" s="2"/>
      <c r="P9698" s="2" t="s">
        <v>28496</v>
      </c>
      <c r="Q9698" s="6">
        <v>100</v>
      </c>
      <c r="R9698" s="6">
        <v>8.5</v>
      </c>
      <c r="S9698" s="5">
        <v>-2.4</v>
      </c>
      <c r="T9698" s="7">
        <v>49.582000000000001</v>
      </c>
      <c r="U9698" s="2"/>
      <c r="V9698" s="6">
        <v>-0.12</v>
      </c>
      <c r="W9698" s="6">
        <v>7.04</v>
      </c>
      <c r="X9698" s="6">
        <v>6.12</v>
      </c>
      <c r="Y9698" s="6">
        <v>8.5399999999999991</v>
      </c>
      <c r="Z9698" s="6">
        <v>8.5299999999999994</v>
      </c>
      <c r="AA9698" s="6">
        <v>21.19</v>
      </c>
      <c r="AB9698" s="7">
        <v>8.5760000000000005</v>
      </c>
      <c r="AC9698" s="2"/>
    </row>
    <row r="9699" spans="1:29" ht="130" x14ac:dyDescent="0.15">
      <c r="A9699" s="3">
        <f>DATE(2010,8,16)</f>
        <v>40406</v>
      </c>
      <c r="B9699" s="3">
        <f>DATE(2010,11,15)</f>
        <v>40497</v>
      </c>
      <c r="C9699" s="2" t="s">
        <v>95</v>
      </c>
      <c r="D9699" s="2" t="s">
        <v>16405</v>
      </c>
      <c r="E9699" s="2" t="s">
        <v>16406</v>
      </c>
      <c r="F9699" s="4">
        <v>8051</v>
      </c>
      <c r="G9699" s="2" t="s">
        <v>454</v>
      </c>
      <c r="H9699" s="2" t="s">
        <v>34</v>
      </c>
      <c r="I9699" s="2" t="s">
        <v>28497</v>
      </c>
      <c r="J9699" s="2" t="s">
        <v>244</v>
      </c>
      <c r="K9699" s="2" t="s">
        <v>53</v>
      </c>
      <c r="L9699" s="2" t="s">
        <v>902</v>
      </c>
      <c r="M9699" s="12">
        <v>2821.1990000000001</v>
      </c>
      <c r="N9699" s="7">
        <v>26.459</v>
      </c>
      <c r="O9699" s="7">
        <v>27.033000000000001</v>
      </c>
      <c r="P9699" s="2" t="s">
        <v>28498</v>
      </c>
      <c r="Q9699" s="6">
        <v>75.099999999999994</v>
      </c>
      <c r="R9699" s="6">
        <v>13.25</v>
      </c>
      <c r="S9699" s="5">
        <v>-11.2</v>
      </c>
      <c r="T9699" s="7">
        <v>99.695999999999998</v>
      </c>
      <c r="U9699" s="5">
        <v>13.8</v>
      </c>
      <c r="V9699" s="6">
        <v>-0.39</v>
      </c>
      <c r="W9699" s="6">
        <v>10.67</v>
      </c>
      <c r="X9699" s="6">
        <v>10.14</v>
      </c>
      <c r="Y9699" s="6">
        <v>12.37</v>
      </c>
      <c r="Z9699" s="6">
        <v>12.38</v>
      </c>
      <c r="AA9699" s="6">
        <v>29.42</v>
      </c>
      <c r="AB9699" s="7">
        <v>8.0839999999999996</v>
      </c>
      <c r="AC9699" s="10">
        <v>3129.88</v>
      </c>
    </row>
    <row r="9700" spans="1:29" ht="156" x14ac:dyDescent="0.15">
      <c r="A9700" s="3">
        <f>DATE(2010,8,16)</f>
        <v>40406</v>
      </c>
      <c r="B9700" s="2"/>
      <c r="C9700" s="2" t="s">
        <v>30</v>
      </c>
      <c r="D9700" s="2" t="s">
        <v>28499</v>
      </c>
      <c r="E9700" s="2" t="s">
        <v>28500</v>
      </c>
      <c r="F9700" s="4">
        <v>3572</v>
      </c>
      <c r="G9700" s="2" t="s">
        <v>50</v>
      </c>
      <c r="H9700" s="2" t="s">
        <v>34</v>
      </c>
      <c r="I9700" s="2" t="s">
        <v>27746</v>
      </c>
      <c r="J9700" s="2" t="s">
        <v>27747</v>
      </c>
      <c r="K9700" s="2" t="s">
        <v>50</v>
      </c>
      <c r="L9700" s="2" t="s">
        <v>34</v>
      </c>
      <c r="M9700" s="12">
        <v>26319.157999999999</v>
      </c>
      <c r="N9700" s="6">
        <v>11.96</v>
      </c>
      <c r="O9700" s="6">
        <v>12.06</v>
      </c>
      <c r="P9700" s="2" t="s">
        <v>28501</v>
      </c>
      <c r="Q9700" s="2"/>
      <c r="R9700" s="6">
        <v>27</v>
      </c>
      <c r="S9700" s="5">
        <v>-3.2</v>
      </c>
      <c r="T9700" s="7">
        <v>6.4580000000000002</v>
      </c>
      <c r="U9700" s="5">
        <v>2.2000000000000002</v>
      </c>
      <c r="V9700" s="6">
        <v>-0.05</v>
      </c>
      <c r="W9700" s="6">
        <v>10.19</v>
      </c>
      <c r="X9700" s="6">
        <v>9.65</v>
      </c>
      <c r="Y9700" s="4">
        <v>18</v>
      </c>
      <c r="Z9700" s="6">
        <v>17.93</v>
      </c>
      <c r="AA9700" s="6">
        <v>62.59</v>
      </c>
      <c r="AB9700" s="2" t="s">
        <v>86</v>
      </c>
      <c r="AC9700" s="8">
        <v>12930</v>
      </c>
    </row>
    <row r="9701" spans="1:29" ht="65" x14ac:dyDescent="0.15">
      <c r="A9701" s="3">
        <f>DATE(2010,8,17)</f>
        <v>40407</v>
      </c>
      <c r="B9701" s="3">
        <f>DATE(2010,11,17)</f>
        <v>40499</v>
      </c>
      <c r="C9701" s="2" t="s">
        <v>95</v>
      </c>
      <c r="D9701" s="2" t="s">
        <v>23142</v>
      </c>
      <c r="E9701" s="2" t="s">
        <v>23143</v>
      </c>
      <c r="F9701" s="4">
        <v>3841</v>
      </c>
      <c r="G9701" s="2" t="s">
        <v>226</v>
      </c>
      <c r="H9701" s="2" t="s">
        <v>34</v>
      </c>
      <c r="I9701" s="2" t="s">
        <v>769</v>
      </c>
      <c r="J9701" s="2" t="s">
        <v>770</v>
      </c>
      <c r="K9701" s="2" t="s">
        <v>226</v>
      </c>
      <c r="L9701" s="2" t="s">
        <v>34</v>
      </c>
      <c r="M9701" s="12">
        <v>40524.656999999999</v>
      </c>
      <c r="N9701" s="6">
        <v>35.840000000000003</v>
      </c>
      <c r="O9701" s="6">
        <v>36.42</v>
      </c>
      <c r="P9701" s="2" t="s">
        <v>28502</v>
      </c>
      <c r="Q9701" s="6">
        <v>100</v>
      </c>
      <c r="R9701" s="6">
        <v>6.5</v>
      </c>
      <c r="S9701" s="5">
        <v>-2.5</v>
      </c>
      <c r="T9701" s="7">
        <v>4.9589999999999996</v>
      </c>
      <c r="U9701" s="5">
        <v>4.4000000000000004</v>
      </c>
      <c r="V9701" s="6">
        <v>-0.13</v>
      </c>
      <c r="W9701" s="6">
        <v>3.68</v>
      </c>
      <c r="X9701" s="6">
        <v>3.94</v>
      </c>
      <c r="Y9701" s="6">
        <v>6.44</v>
      </c>
      <c r="Z9701" s="6">
        <v>6.44</v>
      </c>
      <c r="AA9701" s="6">
        <v>18.13</v>
      </c>
      <c r="AB9701" s="2" t="s">
        <v>86</v>
      </c>
      <c r="AC9701" s="8">
        <v>4101</v>
      </c>
    </row>
    <row r="9702" spans="1:29" ht="117" x14ac:dyDescent="0.15">
      <c r="A9702" s="3">
        <f>DATE(2010,8,17)</f>
        <v>40407</v>
      </c>
      <c r="B9702" s="3">
        <f>DATE(2010,11,16)</f>
        <v>40498</v>
      </c>
      <c r="C9702" s="2" t="s">
        <v>95</v>
      </c>
      <c r="D9702" s="2" t="s">
        <v>28303</v>
      </c>
      <c r="E9702" s="2" t="s">
        <v>28304</v>
      </c>
      <c r="F9702" s="4">
        <v>3086</v>
      </c>
      <c r="G9702" s="2" t="s">
        <v>447</v>
      </c>
      <c r="H9702" s="2" t="s">
        <v>34</v>
      </c>
      <c r="I9702" s="2" t="s">
        <v>28503</v>
      </c>
      <c r="J9702" s="2" t="s">
        <v>28504</v>
      </c>
      <c r="K9702" s="2" t="s">
        <v>282</v>
      </c>
      <c r="L9702" s="2" t="s">
        <v>26061</v>
      </c>
      <c r="M9702" s="2"/>
      <c r="N9702" s="2"/>
      <c r="O9702" s="2"/>
      <c r="P9702" s="2" t="s">
        <v>28505</v>
      </c>
      <c r="Q9702" s="6">
        <v>100</v>
      </c>
      <c r="R9702" s="6">
        <v>33.25</v>
      </c>
      <c r="S9702" s="5">
        <v>259</v>
      </c>
      <c r="T9702" s="5">
        <v>667</v>
      </c>
      <c r="U9702" s="5">
        <v>8.5</v>
      </c>
      <c r="V9702" s="6">
        <v>1.81</v>
      </c>
      <c r="W9702" s="6">
        <v>24.24</v>
      </c>
      <c r="X9702" s="6">
        <v>28.44</v>
      </c>
      <c r="Y9702" s="5">
        <v>27.9</v>
      </c>
      <c r="Z9702" s="6">
        <v>29.79</v>
      </c>
      <c r="AA9702" s="6">
        <v>132.99</v>
      </c>
      <c r="AB9702" s="7">
        <v>12.413</v>
      </c>
      <c r="AC9702" s="5">
        <v>515.5</v>
      </c>
    </row>
    <row r="9703" spans="1:29" ht="208" x14ac:dyDescent="0.15">
      <c r="A9703" s="3">
        <f>DATE(2010,8,17)</f>
        <v>40407</v>
      </c>
      <c r="B9703" s="3">
        <f>DATE(2010,11,23)</f>
        <v>40505</v>
      </c>
      <c r="C9703" s="2" t="s">
        <v>95</v>
      </c>
      <c r="D9703" s="2" t="s">
        <v>11939</v>
      </c>
      <c r="E9703" s="2" t="s">
        <v>11940</v>
      </c>
      <c r="F9703" s="4">
        <v>7372</v>
      </c>
      <c r="G9703" s="2" t="s">
        <v>551</v>
      </c>
      <c r="H9703" s="2" t="s">
        <v>34</v>
      </c>
      <c r="I9703" s="2" t="s">
        <v>28506</v>
      </c>
      <c r="J9703" s="2" t="s">
        <v>11337</v>
      </c>
      <c r="K9703" s="2" t="s">
        <v>53</v>
      </c>
      <c r="L9703" s="2" t="s">
        <v>34</v>
      </c>
      <c r="M9703" s="2"/>
      <c r="N9703" s="2"/>
      <c r="O9703" s="2"/>
      <c r="P9703" s="2" t="s">
        <v>28507</v>
      </c>
      <c r="Q9703" s="6">
        <v>100</v>
      </c>
      <c r="R9703" s="6">
        <v>4.2</v>
      </c>
      <c r="S9703" s="5">
        <v>-0.6</v>
      </c>
      <c r="T9703" s="7">
        <v>5.2380000000000004</v>
      </c>
      <c r="U9703" s="5">
        <v>1</v>
      </c>
      <c r="V9703" s="6">
        <v>0.22</v>
      </c>
      <c r="W9703" s="6">
        <v>3.12</v>
      </c>
      <c r="X9703" s="6">
        <v>3.06</v>
      </c>
      <c r="Y9703" s="6">
        <v>3.02</v>
      </c>
      <c r="Z9703" s="6">
        <v>3.78</v>
      </c>
      <c r="AA9703" s="6">
        <v>35.119999999999997</v>
      </c>
      <c r="AB9703" s="7">
        <v>74.945999999999998</v>
      </c>
      <c r="AC9703" s="2"/>
    </row>
    <row r="9704" spans="1:29" ht="169" x14ac:dyDescent="0.15">
      <c r="A9704" s="3">
        <f>DATE(2010,8,17)</f>
        <v>40407</v>
      </c>
      <c r="B9704" s="3">
        <f>DATE(2011,1,7)</f>
        <v>40550</v>
      </c>
      <c r="C9704" s="2" t="s">
        <v>95</v>
      </c>
      <c r="D9704" s="2" t="s">
        <v>28508</v>
      </c>
      <c r="E9704" s="2" t="s">
        <v>10068</v>
      </c>
      <c r="F9704" s="4">
        <v>3692</v>
      </c>
      <c r="G9704" s="2" t="s">
        <v>137</v>
      </c>
      <c r="H9704" s="2" t="s">
        <v>34</v>
      </c>
      <c r="I9704" s="2" t="s">
        <v>28509</v>
      </c>
      <c r="J9704" s="2" t="s">
        <v>1072</v>
      </c>
      <c r="K9704" s="2" t="s">
        <v>137</v>
      </c>
      <c r="L9704" s="2" t="s">
        <v>34</v>
      </c>
      <c r="M9704" s="7">
        <v>885.28700000000003</v>
      </c>
      <c r="N9704" s="6">
        <v>6.06</v>
      </c>
      <c r="O9704" s="6">
        <v>5.96</v>
      </c>
      <c r="P9704" s="2" t="s">
        <v>28510</v>
      </c>
      <c r="Q9704" s="6">
        <v>54.4</v>
      </c>
      <c r="R9704" s="2"/>
      <c r="S9704" s="5">
        <v>987</v>
      </c>
      <c r="T9704" s="7">
        <v>306.20699999999999</v>
      </c>
      <c r="U9704" s="5">
        <v>20.9</v>
      </c>
      <c r="V9704" s="9">
        <v>28.6785</v>
      </c>
      <c r="W9704" s="6">
        <v>28.62</v>
      </c>
      <c r="X9704" s="6">
        <v>27.96</v>
      </c>
      <c r="Y9704" s="6">
        <v>27.49</v>
      </c>
      <c r="Z9704" s="6">
        <v>27.07</v>
      </c>
      <c r="AA9704" s="6">
        <v>51.02</v>
      </c>
      <c r="AB9704" s="2" t="s">
        <v>47</v>
      </c>
      <c r="AC9704" s="6">
        <v>145.16999999999999</v>
      </c>
    </row>
    <row r="9705" spans="1:29" ht="78" x14ac:dyDescent="0.15">
      <c r="A9705" s="3">
        <f>DATE(2010,8,18)</f>
        <v>40408</v>
      </c>
      <c r="B9705" s="2"/>
      <c r="C9705" s="2" t="s">
        <v>87</v>
      </c>
      <c r="D9705" s="2" t="s">
        <v>19654</v>
      </c>
      <c r="E9705" s="2" t="s">
        <v>19655</v>
      </c>
      <c r="F9705" s="4">
        <v>3312</v>
      </c>
      <c r="G9705" s="2" t="s">
        <v>163</v>
      </c>
      <c r="H9705" s="2" t="s">
        <v>34</v>
      </c>
      <c r="I9705" s="2" t="s">
        <v>25538</v>
      </c>
      <c r="J9705" s="2" t="s">
        <v>25539</v>
      </c>
      <c r="K9705" s="2" t="s">
        <v>163</v>
      </c>
      <c r="L9705" s="2" t="s">
        <v>322</v>
      </c>
      <c r="M9705" s="12">
        <v>47431.512000000002</v>
      </c>
      <c r="N9705" s="7">
        <v>31.213999999999999</v>
      </c>
      <c r="O9705" s="7">
        <v>30.571999999999999</v>
      </c>
      <c r="P9705" s="2" t="s">
        <v>28511</v>
      </c>
      <c r="Q9705" s="2"/>
      <c r="R9705" s="2"/>
      <c r="S9705" s="5">
        <v>-752</v>
      </c>
      <c r="T9705" s="5">
        <v>164</v>
      </c>
      <c r="U9705" s="5">
        <v>31</v>
      </c>
      <c r="V9705" s="6">
        <v>-5.0599999999999996</v>
      </c>
      <c r="W9705" s="6">
        <v>45.32</v>
      </c>
      <c r="X9705" s="6">
        <v>47.32</v>
      </c>
      <c r="Y9705" s="6">
        <v>49.59</v>
      </c>
      <c r="Z9705" s="6">
        <v>47.78</v>
      </c>
      <c r="AA9705" s="6">
        <v>143.56</v>
      </c>
      <c r="AB9705" s="2" t="s">
        <v>86</v>
      </c>
      <c r="AC9705" s="10">
        <v>2577.6799999999998</v>
      </c>
    </row>
    <row r="9706" spans="1:29" ht="78" x14ac:dyDescent="0.15">
      <c r="A9706" s="3">
        <f>DATE(2010,8,19)</f>
        <v>40409</v>
      </c>
      <c r="B9706" s="3">
        <f>DATE(2011,2,28)</f>
        <v>40602</v>
      </c>
      <c r="C9706" s="2" t="s">
        <v>95</v>
      </c>
      <c r="D9706" s="2" t="s">
        <v>27119</v>
      </c>
      <c r="E9706" s="2" t="s">
        <v>21355</v>
      </c>
      <c r="F9706" s="4">
        <v>7372</v>
      </c>
      <c r="G9706" s="2" t="s">
        <v>551</v>
      </c>
      <c r="H9706" s="2" t="s">
        <v>34</v>
      </c>
      <c r="I9706" s="2" t="s">
        <v>28512</v>
      </c>
      <c r="J9706" s="2" t="s">
        <v>10974</v>
      </c>
      <c r="K9706" s="2" t="s">
        <v>137</v>
      </c>
      <c r="L9706" s="2" t="s">
        <v>34</v>
      </c>
      <c r="M9706" s="2"/>
      <c r="N9706" s="2"/>
      <c r="O9706" s="2"/>
      <c r="P9706" s="2" t="s">
        <v>28513</v>
      </c>
      <c r="Q9706" s="6">
        <v>100</v>
      </c>
      <c r="R9706" s="6">
        <v>48</v>
      </c>
      <c r="S9706" s="5">
        <v>168.3</v>
      </c>
      <c r="T9706" s="7">
        <v>430.78100000000001</v>
      </c>
      <c r="U9706" s="5">
        <v>12.7</v>
      </c>
      <c r="V9706" s="6">
        <v>1.06</v>
      </c>
      <c r="W9706" s="6">
        <v>29.97</v>
      </c>
      <c r="X9706" s="6">
        <v>29.93</v>
      </c>
      <c r="Y9706" s="6">
        <v>47.01</v>
      </c>
      <c r="Z9706" s="6">
        <v>47.03</v>
      </c>
      <c r="AA9706" s="6">
        <v>152.08000000000001</v>
      </c>
      <c r="AB9706" s="7">
        <v>26.013999999999999</v>
      </c>
      <c r="AC9706" s="2"/>
    </row>
    <row r="9707" spans="1:29" ht="182" x14ac:dyDescent="0.15">
      <c r="A9707" s="3">
        <f>DATE(2010,8,19)</f>
        <v>40409</v>
      </c>
      <c r="B9707" s="3">
        <f>DATE(2011,4,15)</f>
        <v>40648</v>
      </c>
      <c r="C9707" s="2" t="s">
        <v>95</v>
      </c>
      <c r="D9707" s="2" t="s">
        <v>28514</v>
      </c>
      <c r="E9707" s="2" t="s">
        <v>265</v>
      </c>
      <c r="F9707" s="4">
        <v>6021</v>
      </c>
      <c r="G9707" s="2" t="s">
        <v>37</v>
      </c>
      <c r="H9707" s="2" t="s">
        <v>34</v>
      </c>
      <c r="I9707" s="2" t="s">
        <v>21150</v>
      </c>
      <c r="J9707" s="2" t="s">
        <v>36</v>
      </c>
      <c r="K9707" s="2" t="s">
        <v>37</v>
      </c>
      <c r="L9707" s="2" t="s">
        <v>34</v>
      </c>
      <c r="M9707" s="12">
        <v>2734.3359999999998</v>
      </c>
      <c r="N9707" s="6">
        <v>11.95</v>
      </c>
      <c r="O9707" s="6">
        <v>12.08</v>
      </c>
      <c r="P9707" s="2" t="s">
        <v>28515</v>
      </c>
      <c r="Q9707" s="6">
        <v>100</v>
      </c>
      <c r="R9707" s="6">
        <v>14.06</v>
      </c>
      <c r="S9707" s="5">
        <v>57.5</v>
      </c>
      <c r="T9707" s="7">
        <v>95.775000000000006</v>
      </c>
      <c r="U9707" s="5">
        <v>13.9</v>
      </c>
      <c r="V9707" s="6">
        <v>0.57999999999999996</v>
      </c>
      <c r="W9707" s="6">
        <v>11.17</v>
      </c>
      <c r="X9707" s="6">
        <v>11.36</v>
      </c>
      <c r="Y9707" s="6">
        <v>12.78</v>
      </c>
      <c r="Z9707" s="6">
        <v>12.97</v>
      </c>
      <c r="AA9707" s="6">
        <v>105.08</v>
      </c>
      <c r="AB9707" s="7">
        <v>41.686</v>
      </c>
      <c r="AC9707" s="2"/>
    </row>
    <row r="9708" spans="1:29" ht="143" x14ac:dyDescent="0.15">
      <c r="A9708" s="3">
        <f>DATE(2010,8,23)</f>
        <v>40413</v>
      </c>
      <c r="B9708" s="3">
        <f>DATE(2010,9,27)</f>
        <v>40448</v>
      </c>
      <c r="C9708" s="2" t="s">
        <v>95</v>
      </c>
      <c r="D9708" s="2" t="s">
        <v>28499</v>
      </c>
      <c r="E9708" s="2" t="s">
        <v>28500</v>
      </c>
      <c r="F9708" s="4">
        <v>3572</v>
      </c>
      <c r="G9708" s="2" t="s">
        <v>50</v>
      </c>
      <c r="H9708" s="2" t="s">
        <v>34</v>
      </c>
      <c r="I9708" s="2" t="s">
        <v>21668</v>
      </c>
      <c r="J9708" s="2" t="s">
        <v>21669</v>
      </c>
      <c r="K9708" s="2" t="s">
        <v>50</v>
      </c>
      <c r="L9708" s="2" t="s">
        <v>34</v>
      </c>
      <c r="M9708" s="12">
        <v>108717.48699999999</v>
      </c>
      <c r="N9708" s="6">
        <v>39.04</v>
      </c>
      <c r="O9708" s="6">
        <v>38.39</v>
      </c>
      <c r="P9708" s="2" t="s">
        <v>28516</v>
      </c>
      <c r="Q9708" s="6">
        <v>100</v>
      </c>
      <c r="R9708" s="6">
        <v>33</v>
      </c>
      <c r="S9708" s="5">
        <v>-3.2</v>
      </c>
      <c r="T9708" s="7">
        <v>6.4580000000000002</v>
      </c>
      <c r="U9708" s="5">
        <v>2.2000000000000002</v>
      </c>
      <c r="V9708" s="6">
        <v>-0.05</v>
      </c>
      <c r="W9708" s="4">
        <v>18</v>
      </c>
      <c r="X9708" s="6">
        <v>18.04</v>
      </c>
      <c r="Y9708" s="6">
        <v>26.09</v>
      </c>
      <c r="Z9708" s="6">
        <v>27.04</v>
      </c>
      <c r="AA9708" s="6">
        <v>62.59</v>
      </c>
      <c r="AB9708" s="2" t="s">
        <v>86</v>
      </c>
      <c r="AC9708" s="8">
        <v>15140</v>
      </c>
    </row>
    <row r="9709" spans="1:29" ht="104" x14ac:dyDescent="0.15">
      <c r="A9709" s="3">
        <f>DATE(2010,8,24)</f>
        <v>40414</v>
      </c>
      <c r="B9709" s="3">
        <f>DATE(2010,11,2)</f>
        <v>40484</v>
      </c>
      <c r="C9709" s="2" t="s">
        <v>95</v>
      </c>
      <c r="D9709" s="2" t="s">
        <v>28517</v>
      </c>
      <c r="E9709" s="2" t="s">
        <v>4480</v>
      </c>
      <c r="F9709" s="4">
        <v>8742</v>
      </c>
      <c r="G9709" s="2" t="s">
        <v>223</v>
      </c>
      <c r="H9709" s="2" t="s">
        <v>34</v>
      </c>
      <c r="I9709" s="2" t="s">
        <v>28518</v>
      </c>
      <c r="J9709" s="2" t="s">
        <v>11337</v>
      </c>
      <c r="K9709" s="2" t="s">
        <v>53</v>
      </c>
      <c r="L9709" s="2" t="s">
        <v>34</v>
      </c>
      <c r="M9709" s="2"/>
      <c r="N9709" s="2"/>
      <c r="O9709" s="2"/>
      <c r="P9709" s="2" t="s">
        <v>28519</v>
      </c>
      <c r="Q9709" s="6">
        <v>100</v>
      </c>
      <c r="R9709" s="6">
        <v>12.5</v>
      </c>
      <c r="S9709" s="5">
        <v>14.7</v>
      </c>
      <c r="T9709" s="7">
        <v>21.713000000000001</v>
      </c>
      <c r="U9709" s="5">
        <v>2.6</v>
      </c>
      <c r="V9709" s="6">
        <v>0.53</v>
      </c>
      <c r="W9709" s="6">
        <v>10.119999999999999</v>
      </c>
      <c r="X9709" s="6">
        <v>9.5399999999999991</v>
      </c>
      <c r="Y9709" s="6">
        <v>12.54</v>
      </c>
      <c r="Z9709" s="6">
        <v>12.48</v>
      </c>
      <c r="AA9709" s="6">
        <v>27.41</v>
      </c>
      <c r="AB9709" s="7">
        <v>13.743</v>
      </c>
      <c r="AC9709" s="2"/>
    </row>
    <row r="9710" spans="1:29" ht="156" x14ac:dyDescent="0.15">
      <c r="A9710" s="3">
        <f>DATE(2010,8,25)</f>
        <v>40415</v>
      </c>
      <c r="B9710" s="3">
        <f>DATE(2011,1,3)</f>
        <v>40546</v>
      </c>
      <c r="C9710" s="2" t="s">
        <v>95</v>
      </c>
      <c r="D9710" s="2" t="s">
        <v>28520</v>
      </c>
      <c r="E9710" s="2" t="s">
        <v>21800</v>
      </c>
      <c r="F9710" s="4">
        <v>6021</v>
      </c>
      <c r="G9710" s="2" t="s">
        <v>37</v>
      </c>
      <c r="H9710" s="2" t="s">
        <v>34</v>
      </c>
      <c r="I9710" s="2" t="s">
        <v>28521</v>
      </c>
      <c r="J9710" s="2" t="s">
        <v>1181</v>
      </c>
      <c r="K9710" s="2" t="s">
        <v>37</v>
      </c>
      <c r="L9710" s="2" t="s">
        <v>34</v>
      </c>
      <c r="M9710" s="2"/>
      <c r="N9710" s="2"/>
      <c r="O9710" s="2"/>
      <c r="P9710" s="2" t="s">
        <v>28522</v>
      </c>
      <c r="Q9710" s="6">
        <v>100</v>
      </c>
      <c r="R9710" s="6">
        <v>11.46</v>
      </c>
      <c r="S9710" s="2"/>
      <c r="T9710" s="2"/>
      <c r="U9710" s="2"/>
      <c r="V9710" s="2"/>
      <c r="W9710" s="5">
        <v>6.5</v>
      </c>
      <c r="X9710" s="4">
        <v>6</v>
      </c>
      <c r="Y9710" s="4">
        <v>10</v>
      </c>
      <c r="Z9710" s="4">
        <v>10</v>
      </c>
      <c r="AA9710" s="6">
        <v>1.49</v>
      </c>
      <c r="AB9710" s="2" t="s">
        <v>47</v>
      </c>
      <c r="AC9710" s="2"/>
    </row>
    <row r="9711" spans="1:29" ht="104" x14ac:dyDescent="0.15">
      <c r="A9711" s="3">
        <f>DATE(2010,8,26)</f>
        <v>40416</v>
      </c>
      <c r="B9711" s="3">
        <f>DATE(2011,6,24)</f>
        <v>40718</v>
      </c>
      <c r="C9711" s="2" t="s">
        <v>95</v>
      </c>
      <c r="D9711" s="2" t="s">
        <v>28523</v>
      </c>
      <c r="E9711" s="2" t="s">
        <v>28524</v>
      </c>
      <c r="F9711" s="4">
        <v>7359</v>
      </c>
      <c r="G9711" s="2" t="s">
        <v>223</v>
      </c>
      <c r="H9711" s="2" t="s">
        <v>34</v>
      </c>
      <c r="I9711" s="2" t="s">
        <v>6692</v>
      </c>
      <c r="J9711" s="2" t="s">
        <v>515</v>
      </c>
      <c r="K9711" s="2" t="s">
        <v>125</v>
      </c>
      <c r="L9711" s="2" t="s">
        <v>34</v>
      </c>
      <c r="M9711" s="12">
        <v>117755521.936</v>
      </c>
      <c r="N9711" s="4">
        <v>114433</v>
      </c>
      <c r="O9711" s="4">
        <v>118100</v>
      </c>
      <c r="P9711" s="2" t="s">
        <v>28525</v>
      </c>
      <c r="Q9711" s="6">
        <v>19.899999999999999</v>
      </c>
      <c r="R9711" s="6">
        <v>385</v>
      </c>
      <c r="S9711" s="5">
        <v>64.8</v>
      </c>
      <c r="T9711" s="2"/>
      <c r="U9711" s="5">
        <v>352.7</v>
      </c>
      <c r="V9711" s="6">
        <v>9.09</v>
      </c>
      <c r="W9711" s="4">
        <v>326</v>
      </c>
      <c r="X9711" s="6">
        <v>324.75</v>
      </c>
      <c r="Y9711" s="4">
        <v>363</v>
      </c>
      <c r="Z9711" s="4">
        <v>364</v>
      </c>
      <c r="AA9711" s="6">
        <v>7.12</v>
      </c>
      <c r="AB9711" s="7">
        <v>55.506999999999998</v>
      </c>
      <c r="AC9711" s="8">
        <v>27953</v>
      </c>
    </row>
    <row r="9712" spans="1:29" ht="65" x14ac:dyDescent="0.15">
      <c r="A9712" s="3">
        <f>DATE(2010,8,27)</f>
        <v>40417</v>
      </c>
      <c r="B9712" s="2"/>
      <c r="C9712" s="2" t="s">
        <v>87</v>
      </c>
      <c r="D9712" s="2" t="s">
        <v>9489</v>
      </c>
      <c r="E9712" s="2" t="s">
        <v>124</v>
      </c>
      <c r="F9712" s="4">
        <v>6351</v>
      </c>
      <c r="G9712" s="2" t="s">
        <v>125</v>
      </c>
      <c r="H9712" s="2" t="s">
        <v>34</v>
      </c>
      <c r="I9712" s="2" t="s">
        <v>21256</v>
      </c>
      <c r="J9712" s="2" t="s">
        <v>854</v>
      </c>
      <c r="K9712" s="2" t="s">
        <v>125</v>
      </c>
      <c r="L9712" s="2" t="s">
        <v>902</v>
      </c>
      <c r="M9712" s="10">
        <v>27895.35</v>
      </c>
      <c r="N9712" s="7">
        <v>11.477</v>
      </c>
      <c r="O9712" s="6">
        <v>11.25</v>
      </c>
      <c r="P9712" s="2" t="s">
        <v>28526</v>
      </c>
      <c r="Q9712" s="2"/>
      <c r="R9712" s="2"/>
      <c r="S9712" s="5">
        <v>696</v>
      </c>
      <c r="T9712" s="2"/>
      <c r="U9712" s="5">
        <v>36.299999999999997</v>
      </c>
      <c r="V9712" s="6">
        <v>1.79</v>
      </c>
      <c r="W9712" s="6">
        <v>21.33</v>
      </c>
      <c r="X9712" s="6">
        <v>21.52</v>
      </c>
      <c r="Y9712" s="6">
        <v>23.73</v>
      </c>
      <c r="Z9712" s="5">
        <v>22.9</v>
      </c>
      <c r="AA9712" s="6">
        <v>302.26</v>
      </c>
      <c r="AB9712" s="2" t="s">
        <v>47</v>
      </c>
      <c r="AC9712" s="10">
        <v>16465.71</v>
      </c>
    </row>
    <row r="9713" spans="1:29" ht="130" x14ac:dyDescent="0.15">
      <c r="A9713" s="3">
        <f>DATE(2010,8,27)</f>
        <v>40417</v>
      </c>
      <c r="B9713" s="2"/>
      <c r="C9713" s="2" t="s">
        <v>30</v>
      </c>
      <c r="D9713" s="2" t="s">
        <v>28081</v>
      </c>
      <c r="E9713" s="2" t="s">
        <v>28082</v>
      </c>
      <c r="F9713" s="4">
        <v>4899</v>
      </c>
      <c r="G9713" s="2" t="s">
        <v>63</v>
      </c>
      <c r="H9713" s="2" t="s">
        <v>34</v>
      </c>
      <c r="I9713" s="2" t="s">
        <v>51</v>
      </c>
      <c r="J9713" s="2" t="s">
        <v>52</v>
      </c>
      <c r="K9713" s="2" t="s">
        <v>53</v>
      </c>
      <c r="L9713" s="2" t="s">
        <v>34</v>
      </c>
      <c r="M9713" s="2"/>
      <c r="N9713" s="2"/>
      <c r="O9713" s="2"/>
      <c r="P9713" s="2" t="s">
        <v>28527</v>
      </c>
      <c r="Q9713" s="2"/>
      <c r="R9713" s="6">
        <v>3.5</v>
      </c>
      <c r="S9713" s="5">
        <v>0</v>
      </c>
      <c r="T9713" s="7">
        <v>3.4529999999999998</v>
      </c>
      <c r="U9713" s="8">
        <v>1338.1</v>
      </c>
      <c r="V9713" s="6">
        <v>1.54</v>
      </c>
      <c r="W9713" s="6">
        <v>2.69</v>
      </c>
      <c r="X9713" s="6">
        <v>2.5099999999999998</v>
      </c>
      <c r="Y9713" s="6">
        <v>3.09</v>
      </c>
      <c r="Z9713" s="6">
        <v>3.15</v>
      </c>
      <c r="AA9713" s="6">
        <v>6.96</v>
      </c>
      <c r="AB9713" s="7">
        <v>8.8480000000000008</v>
      </c>
      <c r="AC9713" s="2"/>
    </row>
    <row r="9714" spans="1:29" ht="143" x14ac:dyDescent="0.15">
      <c r="A9714" s="3">
        <f>DATE(2010,8,29)</f>
        <v>40419</v>
      </c>
      <c r="B9714" s="3">
        <f>DATE(2011,4,8)</f>
        <v>40641</v>
      </c>
      <c r="C9714" s="2" t="s">
        <v>95</v>
      </c>
      <c r="D9714" s="2" t="s">
        <v>3054</v>
      </c>
      <c r="E9714" s="2" t="s">
        <v>540</v>
      </c>
      <c r="F9714" s="4">
        <v>2836</v>
      </c>
      <c r="G9714" s="2" t="s">
        <v>130</v>
      </c>
      <c r="H9714" s="2" t="s">
        <v>34</v>
      </c>
      <c r="I9714" s="2" t="s">
        <v>25079</v>
      </c>
      <c r="J9714" s="2" t="s">
        <v>129</v>
      </c>
      <c r="K9714" s="2" t="s">
        <v>130</v>
      </c>
      <c r="L9714" s="2" t="s">
        <v>133</v>
      </c>
      <c r="M9714" s="6">
        <v>561.04999999999995</v>
      </c>
      <c r="N9714" s="5">
        <v>57.7</v>
      </c>
      <c r="O9714" s="5">
        <v>57.7</v>
      </c>
      <c r="P9714" s="2" t="s">
        <v>28528</v>
      </c>
      <c r="Q9714" s="6">
        <v>100</v>
      </c>
      <c r="R9714" s="6">
        <v>74</v>
      </c>
      <c r="S9714" s="5">
        <v>422.1</v>
      </c>
      <c r="T9714" s="7">
        <v>717.37800000000004</v>
      </c>
      <c r="U9714" s="5">
        <v>29.2</v>
      </c>
      <c r="V9714" s="6">
        <v>0.12</v>
      </c>
      <c r="W9714" s="6">
        <v>51.77</v>
      </c>
      <c r="X9714" s="6">
        <v>54.17</v>
      </c>
      <c r="Y9714" s="6">
        <v>62.52</v>
      </c>
      <c r="Z9714" s="6">
        <v>67.38</v>
      </c>
      <c r="AA9714" s="6">
        <v>298.97000000000003</v>
      </c>
      <c r="AB9714" s="7">
        <v>86.911000000000001</v>
      </c>
      <c r="AC9714" s="8">
        <v>8726.4</v>
      </c>
    </row>
    <row r="9715" spans="1:29" ht="117" x14ac:dyDescent="0.15">
      <c r="A9715" s="3">
        <f>DATE(2010,8,30)</f>
        <v>40420</v>
      </c>
      <c r="B9715" s="3">
        <f>DATE(2011,2,8)</f>
        <v>40582</v>
      </c>
      <c r="C9715" s="2" t="s">
        <v>95</v>
      </c>
      <c r="D9715" s="2" t="s">
        <v>28529</v>
      </c>
      <c r="E9715" s="2" t="s">
        <v>28530</v>
      </c>
      <c r="F9715" s="4">
        <v>7376</v>
      </c>
      <c r="G9715" s="2" t="s">
        <v>223</v>
      </c>
      <c r="H9715" s="2" t="s">
        <v>34</v>
      </c>
      <c r="I9715" s="2" t="s">
        <v>25068</v>
      </c>
      <c r="J9715" s="2" t="s">
        <v>25069</v>
      </c>
      <c r="K9715" s="2" t="s">
        <v>551</v>
      </c>
      <c r="L9715" s="2" t="s">
        <v>34</v>
      </c>
      <c r="M9715" s="6">
        <v>582.66</v>
      </c>
      <c r="N9715" s="6">
        <v>18.57</v>
      </c>
      <c r="O9715" s="6">
        <v>18.57</v>
      </c>
      <c r="P9715" s="2" t="s">
        <v>28531</v>
      </c>
      <c r="Q9715" s="6">
        <v>100</v>
      </c>
      <c r="R9715" s="6">
        <v>6.11</v>
      </c>
      <c r="S9715" s="5">
        <v>2.2000000000000002</v>
      </c>
      <c r="T9715" s="7">
        <v>6.6059999999999999</v>
      </c>
      <c r="U9715" s="5">
        <v>2.2000000000000002</v>
      </c>
      <c r="V9715" s="6">
        <v>0.21</v>
      </c>
      <c r="W9715" s="6">
        <v>3.25</v>
      </c>
      <c r="X9715" s="6">
        <v>3.17</v>
      </c>
      <c r="Y9715" s="6">
        <v>5.46</v>
      </c>
      <c r="Z9715" s="6">
        <v>5.41</v>
      </c>
      <c r="AA9715" s="6">
        <v>9.9700000000000006</v>
      </c>
      <c r="AB9715" s="7">
        <v>16.917999999999999</v>
      </c>
      <c r="AC9715" s="6">
        <v>28.59</v>
      </c>
    </row>
    <row r="9716" spans="1:29" ht="130" x14ac:dyDescent="0.15">
      <c r="A9716" s="3">
        <f>DATE(2010,8,30)</f>
        <v>40420</v>
      </c>
      <c r="B9716" s="3">
        <f>DATE(2010,11,2)</f>
        <v>40484</v>
      </c>
      <c r="C9716" s="2" t="s">
        <v>95</v>
      </c>
      <c r="D9716" s="2" t="s">
        <v>28532</v>
      </c>
      <c r="E9716" s="2" t="s">
        <v>28533</v>
      </c>
      <c r="F9716" s="4">
        <v>1041</v>
      </c>
      <c r="G9716" s="2" t="s">
        <v>166</v>
      </c>
      <c r="H9716" s="2" t="s">
        <v>34</v>
      </c>
      <c r="I9716" s="2" t="s">
        <v>28534</v>
      </c>
      <c r="J9716" s="2" t="s">
        <v>25798</v>
      </c>
      <c r="K9716" s="2" t="s">
        <v>166</v>
      </c>
      <c r="L9716" s="2" t="s">
        <v>902</v>
      </c>
      <c r="M9716" s="7">
        <v>731.26700000000005</v>
      </c>
      <c r="N9716" s="7">
        <v>7.3239999999999998</v>
      </c>
      <c r="O9716" s="7">
        <v>7.4379999999999997</v>
      </c>
      <c r="P9716" s="2" t="s">
        <v>28535</v>
      </c>
      <c r="Q9716" s="6">
        <v>100</v>
      </c>
      <c r="R9716" s="6">
        <v>5.73</v>
      </c>
      <c r="S9716" s="5">
        <v>-10.6</v>
      </c>
      <c r="T9716" s="7">
        <v>-11.913</v>
      </c>
      <c r="U9716" s="5">
        <v>0.5</v>
      </c>
      <c r="V9716" s="9">
        <v>-0.26450000000000001</v>
      </c>
      <c r="W9716" s="6">
        <v>3.68</v>
      </c>
      <c r="X9716" s="6">
        <v>4.12</v>
      </c>
      <c r="Y9716" s="6">
        <v>5.39</v>
      </c>
      <c r="Z9716" s="7">
        <v>5.3710000000000004</v>
      </c>
      <c r="AA9716" s="6">
        <v>39.25</v>
      </c>
      <c r="AB9716" s="2" t="s">
        <v>47</v>
      </c>
      <c r="AC9716" s="6">
        <v>171.17</v>
      </c>
    </row>
    <row r="9717" spans="1:29" ht="65" x14ac:dyDescent="0.15">
      <c r="A9717" s="3">
        <f>DATE(2010,8,30)</f>
        <v>40420</v>
      </c>
      <c r="B9717" s="3">
        <f>DATE(2010,12,1)</f>
        <v>40513</v>
      </c>
      <c r="C9717" s="2" t="s">
        <v>95</v>
      </c>
      <c r="D9717" s="2" t="s">
        <v>28536</v>
      </c>
      <c r="E9717" s="2" t="s">
        <v>28537</v>
      </c>
      <c r="F9717" s="4">
        <v>7373</v>
      </c>
      <c r="G9717" s="2" t="s">
        <v>223</v>
      </c>
      <c r="H9717" s="2" t="s">
        <v>34</v>
      </c>
      <c r="I9717" s="2" t="s">
        <v>17758</v>
      </c>
      <c r="J9717" s="2" t="s">
        <v>22965</v>
      </c>
      <c r="K9717" s="2" t="s">
        <v>226</v>
      </c>
      <c r="L9717" s="2" t="s">
        <v>34</v>
      </c>
      <c r="M9717" s="12">
        <v>62335.072</v>
      </c>
      <c r="N9717" s="6">
        <v>79.650000000000006</v>
      </c>
      <c r="O9717" s="6">
        <v>78.55</v>
      </c>
      <c r="P9717" s="2" t="s">
        <v>28538</v>
      </c>
      <c r="Q9717" s="6">
        <v>100</v>
      </c>
      <c r="R9717" s="6">
        <v>10.5</v>
      </c>
      <c r="S9717" s="5">
        <v>22.8</v>
      </c>
      <c r="T9717" s="7">
        <v>31.507000000000001</v>
      </c>
      <c r="U9717" s="5">
        <v>6.2</v>
      </c>
      <c r="V9717" s="6">
        <v>0.26</v>
      </c>
      <c r="W9717" s="6">
        <v>8.76</v>
      </c>
      <c r="X9717" s="7">
        <v>8.9149999999999991</v>
      </c>
      <c r="Y9717" s="6">
        <v>11.09</v>
      </c>
      <c r="Z9717" s="4">
        <v>11</v>
      </c>
      <c r="AA9717" s="6">
        <v>88.84</v>
      </c>
      <c r="AB9717" s="7">
        <v>23.853999999999999</v>
      </c>
      <c r="AC9717" s="8">
        <v>5036</v>
      </c>
    </row>
    <row r="9718" spans="1:29" ht="78" x14ac:dyDescent="0.15">
      <c r="A9718" s="3">
        <f>DATE(2010,9,1)</f>
        <v>40422</v>
      </c>
      <c r="B9718" s="3">
        <f>DATE(2010,11,30)</f>
        <v>40512</v>
      </c>
      <c r="C9718" s="2" t="s">
        <v>95</v>
      </c>
      <c r="D9718" s="2" t="s">
        <v>28539</v>
      </c>
      <c r="E9718" s="2" t="s">
        <v>19503</v>
      </c>
      <c r="F9718" s="4">
        <v>6311</v>
      </c>
      <c r="G9718" s="2" t="s">
        <v>125</v>
      </c>
      <c r="H9718" s="2" t="s">
        <v>34</v>
      </c>
      <c r="I9718" s="2" t="s">
        <v>28540</v>
      </c>
      <c r="J9718" s="2" t="s">
        <v>124</v>
      </c>
      <c r="K9718" s="2" t="s">
        <v>125</v>
      </c>
      <c r="L9718" s="2" t="s">
        <v>34</v>
      </c>
      <c r="M9718" s="2"/>
      <c r="N9718" s="2"/>
      <c r="O9718" s="2"/>
      <c r="P9718" s="2" t="s">
        <v>28541</v>
      </c>
      <c r="Q9718" s="6">
        <v>100</v>
      </c>
      <c r="R9718" s="6">
        <v>32.5</v>
      </c>
      <c r="S9718" s="5">
        <v>23.9</v>
      </c>
      <c r="T9718" s="7">
        <v>37.073</v>
      </c>
      <c r="U9718" s="5">
        <v>24.5</v>
      </c>
      <c r="V9718" s="6">
        <v>3.44</v>
      </c>
      <c r="W9718" s="6">
        <v>26.04</v>
      </c>
      <c r="X9718" s="5">
        <v>26.3</v>
      </c>
      <c r="Y9718" s="6">
        <v>32.46</v>
      </c>
      <c r="Z9718" s="5">
        <v>32.4</v>
      </c>
      <c r="AA9718" s="6">
        <v>6.83</v>
      </c>
      <c r="AB9718" s="7">
        <v>5.78</v>
      </c>
      <c r="AC9718" s="2"/>
    </row>
    <row r="9719" spans="1:29" ht="39" x14ac:dyDescent="0.15">
      <c r="A9719" s="3">
        <f>DATE(2010,9,1)</f>
        <v>40422</v>
      </c>
      <c r="B9719" s="3">
        <f>DATE(2011,3,31)</f>
        <v>40633</v>
      </c>
      <c r="C9719" s="2" t="s">
        <v>95</v>
      </c>
      <c r="D9719" s="2" t="s">
        <v>28542</v>
      </c>
      <c r="E9719" s="2" t="s">
        <v>1181</v>
      </c>
      <c r="F9719" s="4">
        <v>6021</v>
      </c>
      <c r="G9719" s="2" t="s">
        <v>37</v>
      </c>
      <c r="H9719" s="2" t="s">
        <v>34</v>
      </c>
      <c r="I9719" s="2" t="s">
        <v>28543</v>
      </c>
      <c r="J9719" s="2" t="s">
        <v>1181</v>
      </c>
      <c r="K9719" s="2" t="s">
        <v>37</v>
      </c>
      <c r="L9719" s="2" t="s">
        <v>34</v>
      </c>
      <c r="M9719" s="7">
        <v>31.428000000000001</v>
      </c>
      <c r="N9719" s="6">
        <v>7.95</v>
      </c>
      <c r="O9719" s="5">
        <v>7.9</v>
      </c>
      <c r="P9719" s="2" t="s">
        <v>28544</v>
      </c>
      <c r="Q9719" s="6">
        <v>100</v>
      </c>
      <c r="R9719" s="2"/>
      <c r="S9719" s="2"/>
      <c r="T9719" s="2"/>
      <c r="U9719" s="2"/>
      <c r="V9719" s="2"/>
      <c r="W9719" s="5">
        <v>14.5</v>
      </c>
      <c r="X9719" s="5">
        <v>14.5</v>
      </c>
      <c r="Y9719" s="5">
        <v>14.5</v>
      </c>
      <c r="Z9719" s="5">
        <v>14.5</v>
      </c>
      <c r="AA9719" s="2"/>
      <c r="AB9719" s="2" t="s">
        <v>47</v>
      </c>
      <c r="AC9719" s="2"/>
    </row>
    <row r="9720" spans="1:29" ht="78" x14ac:dyDescent="0.15">
      <c r="A9720" s="3">
        <f>DATE(2010,9,1)</f>
        <v>40422</v>
      </c>
      <c r="B9720" s="3">
        <f>DATE(2010,10,1)</f>
        <v>40452</v>
      </c>
      <c r="C9720" s="2" t="s">
        <v>95</v>
      </c>
      <c r="D9720" s="2" t="s">
        <v>28545</v>
      </c>
      <c r="E9720" s="2" t="s">
        <v>28546</v>
      </c>
      <c r="F9720" s="4">
        <v>7372</v>
      </c>
      <c r="G9720" s="2" t="s">
        <v>551</v>
      </c>
      <c r="H9720" s="2" t="s">
        <v>34</v>
      </c>
      <c r="I9720" s="2" t="s">
        <v>28547</v>
      </c>
      <c r="J9720" s="2" t="s">
        <v>28548</v>
      </c>
      <c r="K9720" s="2" t="s">
        <v>551</v>
      </c>
      <c r="L9720" s="2" t="s">
        <v>34</v>
      </c>
      <c r="M9720" s="7">
        <v>233.108</v>
      </c>
      <c r="N9720" s="6">
        <v>11.97</v>
      </c>
      <c r="O9720" s="6">
        <v>13.04</v>
      </c>
      <c r="P9720" s="2" t="s">
        <v>28549</v>
      </c>
      <c r="Q9720" s="6">
        <v>100</v>
      </c>
      <c r="R9720" s="6">
        <v>4.07</v>
      </c>
      <c r="S9720" s="5">
        <v>-27</v>
      </c>
      <c r="T9720" s="7">
        <v>-11.999000000000001</v>
      </c>
      <c r="U9720" s="5">
        <v>-0.2</v>
      </c>
      <c r="V9720" s="6">
        <v>-1.61</v>
      </c>
      <c r="W9720" s="6">
        <v>2.89</v>
      </c>
      <c r="X9720" s="6">
        <v>2.86</v>
      </c>
      <c r="Y9720" s="6">
        <v>4.08</v>
      </c>
      <c r="Z9720" s="6">
        <v>4.09</v>
      </c>
      <c r="AA9720" s="6">
        <v>22.63</v>
      </c>
      <c r="AB9720" s="2" t="s">
        <v>86</v>
      </c>
      <c r="AC9720" s="6">
        <v>65.510000000000005</v>
      </c>
    </row>
    <row r="9721" spans="1:29" ht="169" x14ac:dyDescent="0.15">
      <c r="A9721" s="3">
        <f>DATE(2010,9,2)</f>
        <v>40423</v>
      </c>
      <c r="B9721" s="2"/>
      <c r="C9721" s="2" t="s">
        <v>30</v>
      </c>
      <c r="D9721" s="2" t="s">
        <v>28550</v>
      </c>
      <c r="E9721" s="2" t="s">
        <v>1248</v>
      </c>
      <c r="F9721" s="4">
        <v>1041</v>
      </c>
      <c r="G9721" s="2" t="s">
        <v>166</v>
      </c>
      <c r="H9721" s="2" t="s">
        <v>34</v>
      </c>
      <c r="I9721" s="2" t="s">
        <v>28551</v>
      </c>
      <c r="J9721" s="2" t="s">
        <v>1248</v>
      </c>
      <c r="K9721" s="2" t="s">
        <v>166</v>
      </c>
      <c r="L9721" s="2" t="s">
        <v>902</v>
      </c>
      <c r="M9721" s="12">
        <v>12233.844999999999</v>
      </c>
      <c r="N9721" s="7">
        <v>19.491</v>
      </c>
      <c r="O9721" s="7">
        <v>19.141999999999999</v>
      </c>
      <c r="P9721" s="2" t="s">
        <v>28552</v>
      </c>
      <c r="Q9721" s="2"/>
      <c r="R9721" s="6">
        <v>5.95</v>
      </c>
      <c r="S9721" s="5">
        <v>-16.600000000000001</v>
      </c>
      <c r="T9721" s="7">
        <v>-13.058999999999999</v>
      </c>
      <c r="U9721" s="5">
        <v>0.3</v>
      </c>
      <c r="V9721" s="9">
        <v>-3.5799999999999998E-2</v>
      </c>
      <c r="W9721" s="7">
        <v>3.9670000000000001</v>
      </c>
      <c r="X9721" s="7">
        <v>4.5540000000000003</v>
      </c>
      <c r="Y9721" s="7">
        <v>4.4530000000000003</v>
      </c>
      <c r="Z9721" s="7">
        <v>5.8659999999999997</v>
      </c>
      <c r="AA9721" s="6">
        <v>542.26</v>
      </c>
      <c r="AB9721" s="2" t="s">
        <v>86</v>
      </c>
      <c r="AC9721" s="6">
        <v>385.88</v>
      </c>
    </row>
    <row r="9722" spans="1:29" ht="182" x14ac:dyDescent="0.15">
      <c r="A9722" s="3">
        <f>DATE(2010,9,2)</f>
        <v>40423</v>
      </c>
      <c r="B9722" s="3">
        <f>DATE(2010,10,15)</f>
        <v>40466</v>
      </c>
      <c r="C9722" s="2" t="s">
        <v>95</v>
      </c>
      <c r="D9722" s="2" t="s">
        <v>28553</v>
      </c>
      <c r="E9722" s="2" t="s">
        <v>3171</v>
      </c>
      <c r="F9722" s="4">
        <v>5812</v>
      </c>
      <c r="G9722" s="2" t="s">
        <v>230</v>
      </c>
      <c r="H9722" s="2" t="s">
        <v>34</v>
      </c>
      <c r="I9722" s="2" t="s">
        <v>28554</v>
      </c>
      <c r="J9722" s="2" t="s">
        <v>11337</v>
      </c>
      <c r="K9722" s="2" t="s">
        <v>53</v>
      </c>
      <c r="L9722" s="2" t="s">
        <v>34</v>
      </c>
      <c r="M9722" s="2"/>
      <c r="N9722" s="2"/>
      <c r="O9722" s="2"/>
      <c r="P9722" s="2" t="s">
        <v>28555</v>
      </c>
      <c r="Q9722" s="6">
        <v>100</v>
      </c>
      <c r="R9722" s="6">
        <v>24</v>
      </c>
      <c r="S9722" s="2"/>
      <c r="T9722" s="2"/>
      <c r="U9722" s="2"/>
      <c r="V9722" s="2"/>
      <c r="W9722" s="5">
        <v>16.899999999999999</v>
      </c>
      <c r="X9722" s="6">
        <v>16.77</v>
      </c>
      <c r="Y9722" s="6">
        <v>16.45</v>
      </c>
      <c r="Z9722" s="6">
        <v>18.86</v>
      </c>
      <c r="AA9722" s="6">
        <v>135.88</v>
      </c>
      <c r="AB9722" s="2" t="s">
        <v>47</v>
      </c>
      <c r="AC9722" s="2"/>
    </row>
    <row r="9723" spans="1:29" ht="91" x14ac:dyDescent="0.15">
      <c r="A9723" s="3">
        <f>DATE(2010,9,2)</f>
        <v>40423</v>
      </c>
      <c r="B9723" s="3">
        <f>DATE(2010,9,21)</f>
        <v>40442</v>
      </c>
      <c r="C9723" s="2" t="s">
        <v>95</v>
      </c>
      <c r="D9723" s="2" t="s">
        <v>28556</v>
      </c>
      <c r="E9723" s="2" t="s">
        <v>1608</v>
      </c>
      <c r="F9723" s="4">
        <v>1311</v>
      </c>
      <c r="G9723" s="2" t="s">
        <v>148</v>
      </c>
      <c r="H9723" s="2" t="s">
        <v>34</v>
      </c>
      <c r="I9723" s="2" t="s">
        <v>28557</v>
      </c>
      <c r="J9723" s="2" t="s">
        <v>244</v>
      </c>
      <c r="K9723" s="2" t="s">
        <v>53</v>
      </c>
      <c r="L9723" s="2" t="s">
        <v>34</v>
      </c>
      <c r="M9723" s="2"/>
      <c r="N9723" s="2"/>
      <c r="O9723" s="2"/>
      <c r="P9723" s="2" t="s">
        <v>28558</v>
      </c>
      <c r="Q9723" s="6">
        <v>70.319999999999993</v>
      </c>
      <c r="R9723" s="6">
        <v>3.15</v>
      </c>
      <c r="S9723" s="5">
        <v>-16.2</v>
      </c>
      <c r="T9723" s="7">
        <v>2.1150000000000002</v>
      </c>
      <c r="U9723" s="5">
        <v>-74.2</v>
      </c>
      <c r="V9723" s="6">
        <v>-20.3</v>
      </c>
      <c r="W9723" s="6">
        <v>4.04</v>
      </c>
      <c r="X9723" s="6">
        <v>2.99</v>
      </c>
      <c r="Y9723" s="5">
        <v>4.4000000000000004</v>
      </c>
      <c r="Z9723" s="6">
        <v>4.17</v>
      </c>
      <c r="AA9723" s="6">
        <v>27.09</v>
      </c>
      <c r="AB9723" s="2" t="s">
        <v>86</v>
      </c>
      <c r="AC9723" s="2"/>
    </row>
    <row r="9724" spans="1:29" ht="208" x14ac:dyDescent="0.15">
      <c r="A9724" s="3">
        <f>DATE(2010,9,3)</f>
        <v>40424</v>
      </c>
      <c r="B9724" s="3">
        <f>DATE(2010,12,7)</f>
        <v>40519</v>
      </c>
      <c r="C9724" s="2" t="s">
        <v>95</v>
      </c>
      <c r="D9724" s="2" t="s">
        <v>28550</v>
      </c>
      <c r="E9724" s="2" t="s">
        <v>1248</v>
      </c>
      <c r="F9724" s="4">
        <v>1041</v>
      </c>
      <c r="G9724" s="2" t="s">
        <v>166</v>
      </c>
      <c r="H9724" s="2" t="s">
        <v>34</v>
      </c>
      <c r="I9724" s="2" t="s">
        <v>24474</v>
      </c>
      <c r="J9724" s="2" t="s">
        <v>1248</v>
      </c>
      <c r="K9724" s="2" t="s">
        <v>166</v>
      </c>
      <c r="L9724" s="2" t="s">
        <v>902</v>
      </c>
      <c r="M9724" s="12">
        <v>29825.884999999998</v>
      </c>
      <c r="N9724" s="7">
        <v>42.816000000000003</v>
      </c>
      <c r="O9724" s="7">
        <v>42.985999999999997</v>
      </c>
      <c r="P9724" s="2" t="s">
        <v>28559</v>
      </c>
      <c r="Q9724" s="6">
        <v>100</v>
      </c>
      <c r="R9724" s="6">
        <v>6.22</v>
      </c>
      <c r="S9724" s="5">
        <v>-16.7</v>
      </c>
      <c r="T9724" s="7">
        <v>-13.143000000000001</v>
      </c>
      <c r="U9724" s="5">
        <v>0.3</v>
      </c>
      <c r="V9724" s="7">
        <v>-3.5999999999999997E-2</v>
      </c>
      <c r="W9724" s="7">
        <v>4.0540000000000003</v>
      </c>
      <c r="X9724" s="7">
        <v>4.4530000000000003</v>
      </c>
      <c r="Y9724" s="7">
        <v>5.8659999999999997</v>
      </c>
      <c r="Z9724" s="7">
        <v>6.4169999999999998</v>
      </c>
      <c r="AA9724" s="6">
        <v>542.26</v>
      </c>
      <c r="AB9724" s="2" t="s">
        <v>86</v>
      </c>
      <c r="AC9724" s="6">
        <v>521.23</v>
      </c>
    </row>
    <row r="9725" spans="1:29" ht="130" x14ac:dyDescent="0.15">
      <c r="A9725" s="3">
        <f>DATE(2010,9,7)</f>
        <v>40428</v>
      </c>
      <c r="B9725" s="3">
        <f>DATE(2010,11,22)</f>
        <v>40504</v>
      </c>
      <c r="C9725" s="2" t="s">
        <v>95</v>
      </c>
      <c r="D9725" s="2" t="s">
        <v>28560</v>
      </c>
      <c r="E9725" s="2" t="s">
        <v>28561</v>
      </c>
      <c r="F9725" s="4">
        <v>4922</v>
      </c>
      <c r="G9725" s="2" t="s">
        <v>439</v>
      </c>
      <c r="H9725" s="2" t="s">
        <v>34</v>
      </c>
      <c r="I9725" s="2" t="s">
        <v>21528</v>
      </c>
      <c r="J9725" s="2" t="s">
        <v>4880</v>
      </c>
      <c r="K9725" s="2" t="s">
        <v>439</v>
      </c>
      <c r="L9725" s="2" t="s">
        <v>34</v>
      </c>
      <c r="M9725" s="12">
        <v>31715.217000000001</v>
      </c>
      <c r="N9725" s="6">
        <v>38.130000000000003</v>
      </c>
      <c r="O9725" s="6">
        <v>37.78</v>
      </c>
      <c r="P9725" s="2" t="s">
        <v>28562</v>
      </c>
      <c r="Q9725" s="6">
        <v>100</v>
      </c>
      <c r="R9725" s="6">
        <v>57.68</v>
      </c>
      <c r="S9725" s="5">
        <v>226.1</v>
      </c>
      <c r="T9725" s="8">
        <v>3070.9</v>
      </c>
      <c r="U9725" s="5">
        <v>13.7</v>
      </c>
      <c r="V9725" s="6">
        <v>1.62</v>
      </c>
      <c r="W9725" s="6">
        <v>48.36</v>
      </c>
      <c r="X9725" s="5">
        <v>49.9</v>
      </c>
      <c r="Y9725" s="6">
        <v>55.75</v>
      </c>
      <c r="Z9725" s="6">
        <v>55.25</v>
      </c>
      <c r="AA9725" s="6">
        <v>143.02000000000001</v>
      </c>
      <c r="AB9725" s="7">
        <v>9.6940000000000008</v>
      </c>
      <c r="AC9725" s="5">
        <v>716.5</v>
      </c>
    </row>
    <row r="9726" spans="1:29" ht="143" x14ac:dyDescent="0.15">
      <c r="A9726" s="3">
        <f>DATE(2010,9,7)</f>
        <v>40428</v>
      </c>
      <c r="B9726" s="3">
        <f>DATE(2010,10,7)</f>
        <v>40458</v>
      </c>
      <c r="C9726" s="2" t="s">
        <v>95</v>
      </c>
      <c r="D9726" s="2" t="s">
        <v>28563</v>
      </c>
      <c r="E9726" s="2" t="s">
        <v>540</v>
      </c>
      <c r="F9726" s="4">
        <v>2836</v>
      </c>
      <c r="G9726" s="2" t="s">
        <v>130</v>
      </c>
      <c r="H9726" s="2" t="s">
        <v>34</v>
      </c>
      <c r="I9726" s="2" t="s">
        <v>629</v>
      </c>
      <c r="J9726" s="2" t="s">
        <v>630</v>
      </c>
      <c r="K9726" s="2" t="s">
        <v>130</v>
      </c>
      <c r="L9726" s="2" t="s">
        <v>34</v>
      </c>
      <c r="M9726" s="12">
        <v>45717.692999999999</v>
      </c>
      <c r="N9726" s="6">
        <v>26.61</v>
      </c>
      <c r="O9726" s="6">
        <v>26.75</v>
      </c>
      <c r="P9726" s="2" t="s">
        <v>28564</v>
      </c>
      <c r="Q9726" s="6">
        <v>100</v>
      </c>
      <c r="R9726" s="6">
        <v>9.75</v>
      </c>
      <c r="S9726" s="5">
        <v>-4.0999999999999996</v>
      </c>
      <c r="T9726" s="7">
        <v>4.7629999999999999</v>
      </c>
      <c r="U9726" s="5">
        <v>1</v>
      </c>
      <c r="V9726" s="6">
        <v>-0.04</v>
      </c>
      <c r="W9726" s="4">
        <v>5</v>
      </c>
      <c r="X9726" s="6">
        <v>5.51</v>
      </c>
      <c r="Y9726" s="5">
        <v>5.3</v>
      </c>
      <c r="Z9726" s="6">
        <v>9.76</v>
      </c>
      <c r="AA9726" s="6">
        <v>85.9</v>
      </c>
      <c r="AB9726" s="2" t="s">
        <v>86</v>
      </c>
      <c r="AC9726" s="8">
        <v>7454</v>
      </c>
    </row>
    <row r="9727" spans="1:29" ht="78" x14ac:dyDescent="0.15">
      <c r="A9727" s="3">
        <f>DATE(2010,9,8)</f>
        <v>40429</v>
      </c>
      <c r="B9727" s="3">
        <f>DATE(2010,12,1)</f>
        <v>40513</v>
      </c>
      <c r="C9727" s="2" t="s">
        <v>95</v>
      </c>
      <c r="D9727" s="2" t="s">
        <v>28565</v>
      </c>
      <c r="E9727" s="2" t="s">
        <v>28566</v>
      </c>
      <c r="F9727" s="4">
        <v>3674</v>
      </c>
      <c r="G9727" s="2" t="s">
        <v>137</v>
      </c>
      <c r="H9727" s="2" t="s">
        <v>34</v>
      </c>
      <c r="I9727" s="2" t="s">
        <v>28567</v>
      </c>
      <c r="J9727" s="2" t="s">
        <v>4865</v>
      </c>
      <c r="K9727" s="2" t="s">
        <v>137</v>
      </c>
      <c r="L9727" s="2" t="s">
        <v>34</v>
      </c>
      <c r="M9727" s="2"/>
      <c r="N9727" s="2"/>
      <c r="O9727" s="2"/>
      <c r="P9727" s="2" t="s">
        <v>28568</v>
      </c>
      <c r="Q9727" s="6">
        <v>100</v>
      </c>
      <c r="R9727" s="6">
        <v>2.92</v>
      </c>
      <c r="S9727" s="5">
        <v>-5.9</v>
      </c>
      <c r="T9727" s="7">
        <v>-1.8560000000000001</v>
      </c>
      <c r="U9727" s="5">
        <v>2</v>
      </c>
      <c r="V9727" s="6">
        <v>-0.11</v>
      </c>
      <c r="W9727" s="6">
        <v>2.39</v>
      </c>
      <c r="X9727" s="6">
        <v>2.4700000000000002</v>
      </c>
      <c r="Y9727" s="6">
        <v>2.95</v>
      </c>
      <c r="Z9727" s="6">
        <v>2.95</v>
      </c>
      <c r="AA9727" s="6">
        <v>54.26</v>
      </c>
      <c r="AB9727" s="2" t="s">
        <v>86</v>
      </c>
      <c r="AC9727" s="2"/>
    </row>
    <row r="9728" spans="1:29" ht="78" x14ac:dyDescent="0.15">
      <c r="A9728" s="3">
        <f>DATE(2010,9,9)</f>
        <v>40430</v>
      </c>
      <c r="B9728" s="2"/>
      <c r="C9728" s="2" t="s">
        <v>30</v>
      </c>
      <c r="D9728" s="2" t="s">
        <v>843</v>
      </c>
      <c r="E9728" s="2" t="s">
        <v>844</v>
      </c>
      <c r="F9728" s="4">
        <v>6552</v>
      </c>
      <c r="G9728" s="2" t="s">
        <v>109</v>
      </c>
      <c r="H9728" s="2" t="s">
        <v>34</v>
      </c>
      <c r="I9728" s="2" t="s">
        <v>28569</v>
      </c>
      <c r="J9728" s="2" t="s">
        <v>150</v>
      </c>
      <c r="K9728" s="2" t="s">
        <v>53</v>
      </c>
      <c r="L9728" s="2" t="s">
        <v>34</v>
      </c>
      <c r="M9728" s="2"/>
      <c r="N9728" s="2"/>
      <c r="O9728" s="2"/>
      <c r="P9728" s="2" t="s">
        <v>28570</v>
      </c>
      <c r="Q9728" s="2"/>
      <c r="R9728" s="6">
        <v>12</v>
      </c>
      <c r="S9728" s="5">
        <v>-8.9</v>
      </c>
      <c r="T9728" s="7">
        <v>5.2329999999999997</v>
      </c>
      <c r="U9728" s="5">
        <v>14.4</v>
      </c>
      <c r="V9728" s="6">
        <v>-1.48</v>
      </c>
      <c r="W9728" s="6">
        <v>10.28</v>
      </c>
      <c r="X9728" s="6">
        <v>10.24</v>
      </c>
      <c r="Y9728" s="6">
        <v>12.09</v>
      </c>
      <c r="Z9728" s="4">
        <v>13</v>
      </c>
      <c r="AA9728" s="6">
        <v>6</v>
      </c>
      <c r="AB9728" s="2" t="s">
        <v>86</v>
      </c>
      <c r="AC9728" s="2"/>
    </row>
    <row r="9729" spans="1:29" ht="182" x14ac:dyDescent="0.15">
      <c r="A9729" s="3">
        <f>DATE(2010,9,9)</f>
        <v>40430</v>
      </c>
      <c r="B9729" s="2"/>
      <c r="C9729" s="2" t="s">
        <v>30</v>
      </c>
      <c r="D9729" s="2" t="s">
        <v>28187</v>
      </c>
      <c r="E9729" s="2" t="s">
        <v>4522</v>
      </c>
      <c r="F9729" s="4">
        <v>5411</v>
      </c>
      <c r="G9729" s="2" t="s">
        <v>1461</v>
      </c>
      <c r="H9729" s="2" t="s">
        <v>34</v>
      </c>
      <c r="I9729" s="2" t="s">
        <v>23294</v>
      </c>
      <c r="J9729" s="2" t="s">
        <v>14384</v>
      </c>
      <c r="K9729" s="2" t="s">
        <v>1461</v>
      </c>
      <c r="L9729" s="2" t="s">
        <v>34</v>
      </c>
      <c r="M9729" s="2"/>
      <c r="N9729" s="2"/>
      <c r="O9729" s="2"/>
      <c r="P9729" s="2" t="s">
        <v>28571</v>
      </c>
      <c r="Q9729" s="2"/>
      <c r="R9729" s="6">
        <v>43</v>
      </c>
      <c r="S9729" s="5">
        <v>98.2</v>
      </c>
      <c r="T9729" s="7">
        <v>265.70699999999999</v>
      </c>
      <c r="U9729" s="5">
        <v>9.9</v>
      </c>
      <c r="V9729" s="6">
        <v>2.0299999999999998</v>
      </c>
      <c r="W9729" s="6">
        <v>31.65</v>
      </c>
      <c r="X9729" s="6">
        <v>31.59</v>
      </c>
      <c r="Y9729" s="5">
        <v>39.1</v>
      </c>
      <c r="Z9729" s="6">
        <v>39.22</v>
      </c>
      <c r="AA9729" s="6">
        <v>51.9</v>
      </c>
      <c r="AB9729" s="7">
        <v>11.368</v>
      </c>
      <c r="AC9729" s="2"/>
    </row>
    <row r="9730" spans="1:29" ht="78" x14ac:dyDescent="0.15">
      <c r="A9730" s="3">
        <f>DATE(2010,9,10)</f>
        <v>40431</v>
      </c>
      <c r="B9730" s="2"/>
      <c r="C9730" s="2" t="s">
        <v>87</v>
      </c>
      <c r="D9730" s="2" t="s">
        <v>28572</v>
      </c>
      <c r="E9730" s="2" t="s">
        <v>28573</v>
      </c>
      <c r="F9730" s="4">
        <v>8244</v>
      </c>
      <c r="G9730" s="2" t="s">
        <v>415</v>
      </c>
      <c r="H9730" s="2" t="s">
        <v>34</v>
      </c>
      <c r="I9730" s="2" t="s">
        <v>28574</v>
      </c>
      <c r="J9730" s="2" t="s">
        <v>595</v>
      </c>
      <c r="K9730" s="2" t="s">
        <v>53</v>
      </c>
      <c r="L9730" s="2" t="s">
        <v>34</v>
      </c>
      <c r="M9730" s="2"/>
      <c r="N9730" s="2"/>
      <c r="O9730" s="2"/>
      <c r="P9730" s="2" t="s">
        <v>28575</v>
      </c>
      <c r="Q9730" s="2"/>
      <c r="R9730" s="2"/>
      <c r="S9730" s="5">
        <v>146</v>
      </c>
      <c r="T9730" s="6">
        <v>306.77999999999997</v>
      </c>
      <c r="U9730" s="5">
        <v>7.8</v>
      </c>
      <c r="V9730" s="6">
        <v>1.65</v>
      </c>
      <c r="W9730" s="6">
        <v>5.14</v>
      </c>
      <c r="X9730" s="6">
        <v>5.44</v>
      </c>
      <c r="Y9730" s="6">
        <v>5.43</v>
      </c>
      <c r="Z9730" s="6">
        <v>5.83</v>
      </c>
      <c r="AA9730" s="6">
        <v>88.2</v>
      </c>
      <c r="AB9730" s="2" t="s">
        <v>47</v>
      </c>
      <c r="AC9730" s="2"/>
    </row>
    <row r="9731" spans="1:29" ht="143" x14ac:dyDescent="0.15">
      <c r="A9731" s="3">
        <f>DATE(2010,9,13)</f>
        <v>40434</v>
      </c>
      <c r="B9731" s="3">
        <f>DATE(2010,10,22)</f>
        <v>40473</v>
      </c>
      <c r="C9731" s="2" t="s">
        <v>95</v>
      </c>
      <c r="D9731" s="2" t="s">
        <v>28576</v>
      </c>
      <c r="E9731" s="2" t="s">
        <v>28577</v>
      </c>
      <c r="F9731" s="4">
        <v>7372</v>
      </c>
      <c r="G9731" s="2" t="s">
        <v>551</v>
      </c>
      <c r="H9731" s="2" t="s">
        <v>34</v>
      </c>
      <c r="I9731" s="2" t="s">
        <v>21668</v>
      </c>
      <c r="J9731" s="2" t="s">
        <v>21669</v>
      </c>
      <c r="K9731" s="2" t="s">
        <v>50</v>
      </c>
      <c r="L9731" s="2" t="s">
        <v>34</v>
      </c>
      <c r="M9731" s="12">
        <v>91956.964999999997</v>
      </c>
      <c r="N9731" s="6">
        <v>38.28</v>
      </c>
      <c r="O9731" s="6">
        <v>39.29</v>
      </c>
      <c r="P9731" s="2" t="s">
        <v>28578</v>
      </c>
      <c r="Q9731" s="6">
        <v>100</v>
      </c>
      <c r="R9731" s="6">
        <v>43.5</v>
      </c>
      <c r="S9731" s="5">
        <v>30.4</v>
      </c>
      <c r="T9731" s="7">
        <v>25.891999999999999</v>
      </c>
      <c r="U9731" s="5">
        <v>4.2</v>
      </c>
      <c r="V9731" s="6">
        <v>0.83</v>
      </c>
      <c r="W9731" s="6">
        <v>26.98</v>
      </c>
      <c r="X9731" s="6">
        <v>28.23</v>
      </c>
      <c r="Y9731" s="6">
        <v>36.630000000000003</v>
      </c>
      <c r="Z9731" s="6">
        <v>39.659999999999997</v>
      </c>
      <c r="AA9731" s="6">
        <v>34.61</v>
      </c>
      <c r="AB9731" s="7">
        <v>65.173000000000002</v>
      </c>
      <c r="AC9731" s="8">
        <v>15140</v>
      </c>
    </row>
    <row r="9732" spans="1:29" ht="65" x14ac:dyDescent="0.15">
      <c r="A9732" s="3">
        <f>DATE(2010,9,13)</f>
        <v>40434</v>
      </c>
      <c r="B9732" s="2"/>
      <c r="C9732" s="2" t="s">
        <v>30</v>
      </c>
      <c r="D9732" s="2" t="s">
        <v>28579</v>
      </c>
      <c r="E9732" s="2" t="s">
        <v>22852</v>
      </c>
      <c r="F9732" s="4">
        <v>7376</v>
      </c>
      <c r="G9732" s="2" t="s">
        <v>223</v>
      </c>
      <c r="H9732" s="2" t="s">
        <v>34</v>
      </c>
      <c r="I9732" s="2" t="s">
        <v>28580</v>
      </c>
      <c r="J9732" s="2" t="s">
        <v>22852</v>
      </c>
      <c r="K9732" s="2" t="s">
        <v>223</v>
      </c>
      <c r="L9732" s="2" t="s">
        <v>34</v>
      </c>
      <c r="M9732" s="2"/>
      <c r="N9732" s="2"/>
      <c r="O9732" s="2"/>
      <c r="P9732" s="2" t="s">
        <v>28581</v>
      </c>
      <c r="Q9732" s="2"/>
      <c r="R9732" s="6">
        <v>7</v>
      </c>
      <c r="S9732" s="5">
        <v>3.8</v>
      </c>
      <c r="T9732" s="2"/>
      <c r="U9732" s="5">
        <v>9.4</v>
      </c>
      <c r="V9732" s="6">
        <v>0.38</v>
      </c>
      <c r="W9732" s="6">
        <v>5.37</v>
      </c>
      <c r="X9732" s="6">
        <v>5.18</v>
      </c>
      <c r="Y9732" s="6">
        <v>6.89</v>
      </c>
      <c r="Z9732" s="6">
        <v>6.99</v>
      </c>
      <c r="AA9732" s="6">
        <v>9.58</v>
      </c>
      <c r="AB9732" s="2" t="s">
        <v>86</v>
      </c>
      <c r="AC9732" s="2"/>
    </row>
    <row r="9733" spans="1:29" ht="143" x14ac:dyDescent="0.15">
      <c r="A9733" s="3">
        <f>DATE(2010,9,13)</f>
        <v>40434</v>
      </c>
      <c r="B9733" s="3">
        <f>DATE(2010,11,30)</f>
        <v>40512</v>
      </c>
      <c r="C9733" s="2" t="s">
        <v>95</v>
      </c>
      <c r="D9733" s="2" t="s">
        <v>28582</v>
      </c>
      <c r="E9733" s="2" t="s">
        <v>28583</v>
      </c>
      <c r="F9733" s="4">
        <v>3842</v>
      </c>
      <c r="G9733" s="2" t="s">
        <v>226</v>
      </c>
      <c r="H9733" s="2" t="s">
        <v>34</v>
      </c>
      <c r="I9733" s="2" t="s">
        <v>28584</v>
      </c>
      <c r="J9733" s="2" t="s">
        <v>28585</v>
      </c>
      <c r="K9733" s="2" t="s">
        <v>226</v>
      </c>
      <c r="L9733" s="2" t="s">
        <v>734</v>
      </c>
      <c r="M9733" s="10">
        <v>4251.43</v>
      </c>
      <c r="N9733" s="5">
        <v>74.8</v>
      </c>
      <c r="O9733" s="7">
        <v>75.119</v>
      </c>
      <c r="P9733" s="2" t="s">
        <v>28586</v>
      </c>
      <c r="Q9733" s="6">
        <v>100</v>
      </c>
      <c r="R9733" s="6">
        <v>11.01</v>
      </c>
      <c r="S9733" s="5">
        <v>-26.9</v>
      </c>
      <c r="T9733" s="7">
        <v>-5.7220000000000004</v>
      </c>
      <c r="U9733" s="5">
        <v>4.5999999999999996</v>
      </c>
      <c r="V9733" s="6">
        <v>-4.8499999999999996</v>
      </c>
      <c r="W9733" s="2"/>
      <c r="X9733" s="6">
        <v>4.04</v>
      </c>
      <c r="Y9733" s="6">
        <v>8.34</v>
      </c>
      <c r="Z9733" s="5">
        <v>8.4</v>
      </c>
      <c r="AA9733" s="6">
        <v>5.58</v>
      </c>
      <c r="AB9733" s="2" t="s">
        <v>86</v>
      </c>
      <c r="AC9733" s="6">
        <v>29.92</v>
      </c>
    </row>
    <row r="9734" spans="1:29" ht="91" x14ac:dyDescent="0.15">
      <c r="A9734" s="3">
        <f>DATE(2010,9,14)</f>
        <v>40435</v>
      </c>
      <c r="B9734" s="3">
        <f>DATE(2010,11,15)</f>
        <v>40497</v>
      </c>
      <c r="C9734" s="2" t="s">
        <v>95</v>
      </c>
      <c r="D9734" s="2" t="s">
        <v>28587</v>
      </c>
      <c r="E9734" s="2" t="s">
        <v>4036</v>
      </c>
      <c r="F9734" s="4">
        <v>3826</v>
      </c>
      <c r="G9734" s="2" t="s">
        <v>226</v>
      </c>
      <c r="H9734" s="2" t="s">
        <v>34</v>
      </c>
      <c r="I9734" s="2" t="s">
        <v>28588</v>
      </c>
      <c r="J9734" s="2" t="s">
        <v>11337</v>
      </c>
      <c r="K9734" s="2" t="s">
        <v>53</v>
      </c>
      <c r="L9734" s="2" t="s">
        <v>34</v>
      </c>
      <c r="M9734" s="2"/>
      <c r="N9734" s="2"/>
      <c r="O9734" s="2"/>
      <c r="P9734" s="2" t="s">
        <v>28589</v>
      </c>
      <c r="Q9734" s="6">
        <v>100</v>
      </c>
      <c r="R9734" s="6">
        <v>12</v>
      </c>
      <c r="S9734" s="5">
        <v>1.3</v>
      </c>
      <c r="T9734" s="7">
        <v>2.3410000000000002</v>
      </c>
      <c r="U9734" s="5">
        <v>7.7</v>
      </c>
      <c r="V9734" s="6">
        <v>0.55000000000000004</v>
      </c>
      <c r="W9734" s="6">
        <v>7.91</v>
      </c>
      <c r="X9734" s="5">
        <v>8.4</v>
      </c>
      <c r="Y9734" s="6">
        <v>12.24</v>
      </c>
      <c r="Z9734" s="6">
        <v>12.24</v>
      </c>
      <c r="AA9734" s="6">
        <v>2.36</v>
      </c>
      <c r="AB9734" s="7">
        <v>12.787000000000001</v>
      </c>
      <c r="AC9734" s="2"/>
    </row>
    <row r="9735" spans="1:29" ht="117" x14ac:dyDescent="0.15">
      <c r="A9735" s="3">
        <f>DATE(2010,9,16)</f>
        <v>40437</v>
      </c>
      <c r="B9735" s="3">
        <f>DATE(2010,12,27)</f>
        <v>40539</v>
      </c>
      <c r="C9735" s="2" t="s">
        <v>95</v>
      </c>
      <c r="D9735" s="2" t="s">
        <v>28590</v>
      </c>
      <c r="E9735" s="2" t="s">
        <v>28591</v>
      </c>
      <c r="F9735" s="4">
        <v>2621</v>
      </c>
      <c r="G9735" s="2" t="s">
        <v>282</v>
      </c>
      <c r="H9735" s="2" t="s">
        <v>34</v>
      </c>
      <c r="I9735" s="2" t="s">
        <v>28592</v>
      </c>
      <c r="J9735" s="2" t="s">
        <v>28593</v>
      </c>
      <c r="K9735" s="2" t="s">
        <v>282</v>
      </c>
      <c r="L9735" s="2" t="s">
        <v>34</v>
      </c>
      <c r="M9735" s="2"/>
      <c r="N9735" s="2"/>
      <c r="O9735" s="2"/>
      <c r="P9735" s="2" t="s">
        <v>28594</v>
      </c>
      <c r="Q9735" s="6">
        <v>100</v>
      </c>
      <c r="R9735" s="6">
        <v>12</v>
      </c>
      <c r="S9735" s="2"/>
      <c r="T9735" s="2"/>
      <c r="U9735" s="5">
        <v>5.2</v>
      </c>
      <c r="V9735" s="2"/>
      <c r="W9735" s="6">
        <v>7.94</v>
      </c>
      <c r="X9735" s="6">
        <v>7.93</v>
      </c>
      <c r="Y9735" s="6">
        <v>11.87</v>
      </c>
      <c r="Z9735" s="6">
        <v>11.87</v>
      </c>
      <c r="AA9735" s="6">
        <v>21.21</v>
      </c>
      <c r="AB9735" s="2" t="s">
        <v>47</v>
      </c>
      <c r="AC9735" s="2"/>
    </row>
    <row r="9736" spans="1:29" ht="143" x14ac:dyDescent="0.15">
      <c r="A9736" s="3">
        <f>DATE(2010,9,16)</f>
        <v>40437</v>
      </c>
      <c r="B9736" s="3">
        <f>DATE(2011,2,22)</f>
        <v>40596</v>
      </c>
      <c r="C9736" s="2" t="s">
        <v>95</v>
      </c>
      <c r="D9736" s="2" t="s">
        <v>28595</v>
      </c>
      <c r="E9736" s="2" t="s">
        <v>28596</v>
      </c>
      <c r="F9736" s="4">
        <v>3669</v>
      </c>
      <c r="G9736" s="2" t="s">
        <v>921</v>
      </c>
      <c r="H9736" s="2" t="s">
        <v>34</v>
      </c>
      <c r="I9736" s="2" t="s">
        <v>28597</v>
      </c>
      <c r="J9736" s="2" t="s">
        <v>14525</v>
      </c>
      <c r="K9736" s="2" t="s">
        <v>63</v>
      </c>
      <c r="L9736" s="2" t="s">
        <v>34</v>
      </c>
      <c r="M9736" s="7">
        <v>374.88200000000001</v>
      </c>
      <c r="N9736" s="4">
        <v>13</v>
      </c>
      <c r="O9736" s="6">
        <v>12.45</v>
      </c>
      <c r="P9736" s="2" t="s">
        <v>28598</v>
      </c>
      <c r="Q9736" s="6">
        <v>100</v>
      </c>
      <c r="R9736" s="6">
        <v>7.72</v>
      </c>
      <c r="S9736" s="5">
        <v>-4.4000000000000004</v>
      </c>
      <c r="T9736" s="7">
        <v>0.28299999999999997</v>
      </c>
      <c r="U9736" s="5">
        <v>2.6</v>
      </c>
      <c r="V9736" s="6">
        <v>-0.21</v>
      </c>
      <c r="W9736" s="6">
        <v>4.43</v>
      </c>
      <c r="X9736" s="6">
        <v>5.29</v>
      </c>
      <c r="Y9736" s="6">
        <v>7.19</v>
      </c>
      <c r="Z9736" s="6">
        <v>7.17</v>
      </c>
      <c r="AA9736" s="6">
        <v>24.22</v>
      </c>
      <c r="AB9736" s="2" t="s">
        <v>86</v>
      </c>
      <c r="AC9736" s="6">
        <v>594.66999999999996</v>
      </c>
    </row>
    <row r="9737" spans="1:29" ht="182" x14ac:dyDescent="0.15">
      <c r="A9737" s="3">
        <f>DATE(2010,9,17)</f>
        <v>40438</v>
      </c>
      <c r="B9737" s="3">
        <f>DATE(2010,12,31)</f>
        <v>40543</v>
      </c>
      <c r="C9737" s="2" t="s">
        <v>95</v>
      </c>
      <c r="D9737" s="2" t="s">
        <v>15548</v>
      </c>
      <c r="E9737" s="2" t="s">
        <v>15549</v>
      </c>
      <c r="F9737" s="4">
        <v>6141</v>
      </c>
      <c r="G9737" s="2" t="s">
        <v>370</v>
      </c>
      <c r="H9737" s="2" t="s">
        <v>34</v>
      </c>
      <c r="I9737" s="2" t="s">
        <v>28599</v>
      </c>
      <c r="J9737" s="2" t="s">
        <v>28600</v>
      </c>
      <c r="K9737" s="2" t="s">
        <v>370</v>
      </c>
      <c r="L9737" s="2" t="s">
        <v>34</v>
      </c>
      <c r="M9737" s="12">
        <v>7763.4059999999999</v>
      </c>
      <c r="N9737" s="6">
        <v>15.57</v>
      </c>
      <c r="O9737" s="6">
        <v>16.16</v>
      </c>
      <c r="P9737" s="2" t="s">
        <v>28601</v>
      </c>
      <c r="Q9737" s="6">
        <v>100</v>
      </c>
      <c r="R9737" s="6">
        <v>30</v>
      </c>
      <c r="S9737" s="5">
        <v>114.2</v>
      </c>
      <c r="T9737" s="7">
        <v>396.10399999999998</v>
      </c>
      <c r="U9737" s="5">
        <v>65.7</v>
      </c>
      <c r="V9737" s="6">
        <v>5.7</v>
      </c>
      <c r="W9737" s="6">
        <v>19.72</v>
      </c>
      <c r="X9737" s="6">
        <v>21.15</v>
      </c>
      <c r="Y9737" s="6">
        <v>29.87</v>
      </c>
      <c r="Z9737" s="6">
        <v>29.93</v>
      </c>
      <c r="AA9737" s="6">
        <v>20</v>
      </c>
      <c r="AB9737" s="7">
        <v>116.651</v>
      </c>
      <c r="AC9737" s="2"/>
    </row>
    <row r="9738" spans="1:29" ht="52" x14ac:dyDescent="0.15">
      <c r="A9738" s="3">
        <f>DATE(2010,9,18)</f>
        <v>40439</v>
      </c>
      <c r="B9738" s="2"/>
      <c r="C9738" s="2" t="s">
        <v>39</v>
      </c>
      <c r="D9738" s="2" t="s">
        <v>28602</v>
      </c>
      <c r="E9738" s="2" t="s">
        <v>28603</v>
      </c>
      <c r="F9738" s="4">
        <v>3111</v>
      </c>
      <c r="G9738" s="2" t="s">
        <v>326</v>
      </c>
      <c r="H9738" s="2" t="s">
        <v>34</v>
      </c>
      <c r="I9738" s="2" t="s">
        <v>23952</v>
      </c>
      <c r="J9738" s="2" t="s">
        <v>23953</v>
      </c>
      <c r="K9738" s="2" t="s">
        <v>326</v>
      </c>
      <c r="L9738" s="2" t="s">
        <v>34</v>
      </c>
      <c r="M9738" s="12">
        <v>1161.8330000000001</v>
      </c>
      <c r="N9738" s="6">
        <v>17.440000000000001</v>
      </c>
      <c r="O9738" s="6">
        <v>17.440000000000001</v>
      </c>
      <c r="P9738" s="2" t="s">
        <v>28604</v>
      </c>
      <c r="Q9738" s="2"/>
      <c r="R9738" s="2"/>
      <c r="S9738" s="5">
        <v>-49</v>
      </c>
      <c r="T9738" s="6">
        <v>15.42</v>
      </c>
      <c r="U9738" s="5">
        <v>8</v>
      </c>
      <c r="V9738" s="6">
        <v>-2.73</v>
      </c>
      <c r="W9738" s="6">
        <v>12.31</v>
      </c>
      <c r="X9738" s="6">
        <v>16.59</v>
      </c>
      <c r="Y9738" s="5">
        <v>16.3</v>
      </c>
      <c r="Z9738" s="5">
        <v>16.3</v>
      </c>
      <c r="AA9738" s="6">
        <v>10.199999999999999</v>
      </c>
      <c r="AB9738" s="2" t="s">
        <v>47</v>
      </c>
      <c r="AC9738" s="6">
        <v>60.24</v>
      </c>
    </row>
    <row r="9739" spans="1:29" ht="91" x14ac:dyDescent="0.15">
      <c r="A9739" s="3">
        <f>DATE(2010,9,20)</f>
        <v>40441</v>
      </c>
      <c r="B9739" s="3">
        <f>DATE(2010,12,17)</f>
        <v>40529</v>
      </c>
      <c r="C9739" s="2" t="s">
        <v>95</v>
      </c>
      <c r="D9739" s="2" t="s">
        <v>28605</v>
      </c>
      <c r="E9739" s="2" t="s">
        <v>28606</v>
      </c>
      <c r="F9739" s="4">
        <v>7375</v>
      </c>
      <c r="G9739" s="2" t="s">
        <v>223</v>
      </c>
      <c r="H9739" s="2" t="s">
        <v>34</v>
      </c>
      <c r="I9739" s="2" t="s">
        <v>25339</v>
      </c>
      <c r="J9739" s="2" t="s">
        <v>3197</v>
      </c>
      <c r="K9739" s="2" t="s">
        <v>53</v>
      </c>
      <c r="L9739" s="2" t="s">
        <v>34</v>
      </c>
      <c r="M9739" s="2"/>
      <c r="N9739" s="2"/>
      <c r="O9739" s="2"/>
      <c r="P9739" s="2" t="s">
        <v>28607</v>
      </c>
      <c r="Q9739" s="6">
        <v>100</v>
      </c>
      <c r="R9739" s="6">
        <v>13.35</v>
      </c>
      <c r="S9739" s="5">
        <v>15.2</v>
      </c>
      <c r="T9739" s="7">
        <v>40.427</v>
      </c>
      <c r="U9739" s="5">
        <v>8.3000000000000007</v>
      </c>
      <c r="V9739" s="6">
        <v>0.32</v>
      </c>
      <c r="W9739" s="6">
        <v>9.64</v>
      </c>
      <c r="X9739" s="6">
        <v>9.11</v>
      </c>
      <c r="Y9739" s="6">
        <v>13.16</v>
      </c>
      <c r="Z9739" s="6">
        <v>13.14</v>
      </c>
      <c r="AA9739" s="6">
        <v>48.59</v>
      </c>
      <c r="AB9739" s="7">
        <v>25.302</v>
      </c>
      <c r="AC9739" s="2"/>
    </row>
    <row r="9740" spans="1:29" ht="143" x14ac:dyDescent="0.15">
      <c r="A9740" s="3">
        <f>DATE(2010,9,20)</f>
        <v>40441</v>
      </c>
      <c r="B9740" s="3">
        <f>DATE(2011,7,26)</f>
        <v>40750</v>
      </c>
      <c r="C9740" s="2" t="s">
        <v>95</v>
      </c>
      <c r="D9740" s="2" t="s">
        <v>26575</v>
      </c>
      <c r="E9740" s="2" t="s">
        <v>3238</v>
      </c>
      <c r="F9740" s="4">
        <v>7373</v>
      </c>
      <c r="G9740" s="2" t="s">
        <v>223</v>
      </c>
      <c r="H9740" s="2" t="s">
        <v>34</v>
      </c>
      <c r="I9740" s="2" t="s">
        <v>26842</v>
      </c>
      <c r="J9740" s="2" t="s">
        <v>14609</v>
      </c>
      <c r="K9740" s="2" t="s">
        <v>219</v>
      </c>
      <c r="L9740" s="2" t="s">
        <v>133</v>
      </c>
      <c r="M9740" s="12">
        <v>9892.8140000000003</v>
      </c>
      <c r="N9740" s="6">
        <v>26.65</v>
      </c>
      <c r="O9740" s="7">
        <v>28.591999999999999</v>
      </c>
      <c r="P9740" s="2" t="s">
        <v>28608</v>
      </c>
      <c r="Q9740" s="6">
        <v>100</v>
      </c>
      <c r="R9740" s="6">
        <v>12</v>
      </c>
      <c r="S9740" s="5">
        <v>-9.4</v>
      </c>
      <c r="T9740" s="7">
        <v>69.506</v>
      </c>
      <c r="U9740" s="5">
        <v>7.9</v>
      </c>
      <c r="V9740" s="6">
        <v>-0.11</v>
      </c>
      <c r="W9740" s="6">
        <v>8.67</v>
      </c>
      <c r="X9740" s="6">
        <v>8.52</v>
      </c>
      <c r="Y9740" s="6">
        <v>8.86</v>
      </c>
      <c r="Z9740" s="6">
        <v>8.85</v>
      </c>
      <c r="AA9740" s="6">
        <v>96.02</v>
      </c>
      <c r="AB9740" s="7">
        <v>52.555</v>
      </c>
      <c r="AC9740" s="10">
        <v>3178.11</v>
      </c>
    </row>
    <row r="9741" spans="1:29" ht="104" x14ac:dyDescent="0.15">
      <c r="A9741" s="3">
        <f>DATE(2010,9,20)</f>
        <v>40441</v>
      </c>
      <c r="B9741" s="3">
        <f>DATE(2010,11,11)</f>
        <v>40493</v>
      </c>
      <c r="C9741" s="2" t="s">
        <v>95</v>
      </c>
      <c r="D9741" s="2" t="s">
        <v>28609</v>
      </c>
      <c r="E9741" s="2" t="s">
        <v>28610</v>
      </c>
      <c r="F9741" s="4">
        <v>3571</v>
      </c>
      <c r="G9741" s="2" t="s">
        <v>50</v>
      </c>
      <c r="H9741" s="2" t="s">
        <v>34</v>
      </c>
      <c r="I9741" s="2" t="s">
        <v>28611</v>
      </c>
      <c r="J9741" s="2" t="s">
        <v>11337</v>
      </c>
      <c r="K9741" s="2" t="s">
        <v>53</v>
      </c>
      <c r="L9741" s="2" t="s">
        <v>34</v>
      </c>
      <c r="M9741" s="2"/>
      <c r="N9741" s="6">
        <v>118.22</v>
      </c>
      <c r="O9741" s="6">
        <v>118.05</v>
      </c>
      <c r="P9741" s="2" t="s">
        <v>28612</v>
      </c>
      <c r="Q9741" s="6">
        <v>100</v>
      </c>
      <c r="R9741" s="6">
        <v>27</v>
      </c>
      <c r="S9741" s="5">
        <v>9.6</v>
      </c>
      <c r="T9741" s="7">
        <v>19.710999999999999</v>
      </c>
      <c r="U9741" s="5">
        <v>3.5</v>
      </c>
      <c r="V9741" s="6">
        <v>0.15</v>
      </c>
      <c r="W9741" s="6">
        <v>23.93</v>
      </c>
      <c r="X9741" s="5">
        <v>24.6</v>
      </c>
      <c r="Y9741" s="6">
        <v>9.86</v>
      </c>
      <c r="Z9741" s="5">
        <v>9.6</v>
      </c>
      <c r="AA9741" s="6">
        <v>74.58</v>
      </c>
      <c r="AB9741" s="7">
        <v>136.65700000000001</v>
      </c>
      <c r="AC9741" s="2"/>
    </row>
    <row r="9742" spans="1:29" ht="65" x14ac:dyDescent="0.15">
      <c r="A9742" s="3">
        <f>DATE(2010,9,20)</f>
        <v>40441</v>
      </c>
      <c r="B9742" s="3">
        <f>DATE(2011,1,3)</f>
        <v>40546</v>
      </c>
      <c r="C9742" s="2" t="s">
        <v>95</v>
      </c>
      <c r="D9742" s="2" t="s">
        <v>28613</v>
      </c>
      <c r="E9742" s="2" t="s">
        <v>28614</v>
      </c>
      <c r="F9742" s="4">
        <v>5065</v>
      </c>
      <c r="G9742" s="2" t="s">
        <v>76</v>
      </c>
      <c r="H9742" s="2" t="s">
        <v>34</v>
      </c>
      <c r="I9742" s="2" t="s">
        <v>5015</v>
      </c>
      <c r="J9742" s="2" t="s">
        <v>5016</v>
      </c>
      <c r="K9742" s="2" t="s">
        <v>76</v>
      </c>
      <c r="L9742" s="2" t="s">
        <v>34</v>
      </c>
      <c r="M9742" s="12">
        <v>2877.0909999999999</v>
      </c>
      <c r="N9742" s="6">
        <v>25.66</v>
      </c>
      <c r="O9742" s="6">
        <v>25.76</v>
      </c>
      <c r="P9742" s="2" t="s">
        <v>28615</v>
      </c>
      <c r="Q9742" s="6">
        <v>100</v>
      </c>
      <c r="R9742" s="6">
        <v>7</v>
      </c>
      <c r="S9742" s="5">
        <v>2.6</v>
      </c>
      <c r="T9742" s="7">
        <v>14.452</v>
      </c>
      <c r="U9742" s="5">
        <v>8</v>
      </c>
      <c r="V9742" s="6">
        <v>0.14000000000000001</v>
      </c>
      <c r="W9742" s="6">
        <v>3.25</v>
      </c>
      <c r="X9742" s="6">
        <v>3.41</v>
      </c>
      <c r="Y9742" s="6">
        <v>6.89</v>
      </c>
      <c r="Z9742" s="5">
        <v>6.9</v>
      </c>
      <c r="AA9742" s="6">
        <v>19.29</v>
      </c>
      <c r="AB9742" s="7">
        <v>11.036</v>
      </c>
      <c r="AC9742" s="6">
        <v>581.22</v>
      </c>
    </row>
    <row r="9743" spans="1:29" ht="78" x14ac:dyDescent="0.15">
      <c r="A9743" s="3">
        <f>DATE(2010,9,20)</f>
        <v>40441</v>
      </c>
      <c r="B9743" s="2"/>
      <c r="C9743" s="2" t="s">
        <v>30</v>
      </c>
      <c r="D9743" s="2" t="s">
        <v>28616</v>
      </c>
      <c r="E9743" s="2" t="s">
        <v>28617</v>
      </c>
      <c r="F9743" s="4">
        <v>3822</v>
      </c>
      <c r="G9743" s="2" t="s">
        <v>226</v>
      </c>
      <c r="H9743" s="2" t="s">
        <v>34</v>
      </c>
      <c r="I9743" s="2" t="s">
        <v>25372</v>
      </c>
      <c r="J9743" s="2" t="s">
        <v>1032</v>
      </c>
      <c r="K9743" s="2" t="s">
        <v>53</v>
      </c>
      <c r="L9743" s="2" t="s">
        <v>34</v>
      </c>
      <c r="M9743" s="2"/>
      <c r="N9743" s="2"/>
      <c r="O9743" s="2"/>
      <c r="P9743" s="2" t="s">
        <v>28618</v>
      </c>
      <c r="Q9743" s="2"/>
      <c r="R9743" s="6">
        <v>1.6</v>
      </c>
      <c r="S9743" s="5">
        <v>-0.9</v>
      </c>
      <c r="T9743" s="7">
        <v>0.38800000000000001</v>
      </c>
      <c r="U9743" s="5">
        <v>0.7</v>
      </c>
      <c r="V9743" s="6">
        <v>-0.02</v>
      </c>
      <c r="W9743" s="6">
        <v>1.02</v>
      </c>
      <c r="X9743" s="6">
        <v>1.04</v>
      </c>
      <c r="Y9743" s="6">
        <v>1.56</v>
      </c>
      <c r="Z9743" s="6">
        <v>1.59</v>
      </c>
      <c r="AA9743" s="6">
        <v>62.77</v>
      </c>
      <c r="AB9743" s="2" t="s">
        <v>86</v>
      </c>
      <c r="AC9743" s="2"/>
    </row>
    <row r="9744" spans="1:29" ht="130" x14ac:dyDescent="0.15">
      <c r="A9744" s="3">
        <f>DATE(2010,9,21)</f>
        <v>40442</v>
      </c>
      <c r="B9744" s="3">
        <f>DATE(2011,3,11)</f>
        <v>40613</v>
      </c>
      <c r="C9744" s="2" t="s">
        <v>95</v>
      </c>
      <c r="D9744" s="2" t="s">
        <v>28619</v>
      </c>
      <c r="E9744" s="2" t="s">
        <v>12221</v>
      </c>
      <c r="F9744" s="4">
        <v>1221</v>
      </c>
      <c r="G9744" s="2" t="s">
        <v>166</v>
      </c>
      <c r="H9744" s="2" t="s">
        <v>34</v>
      </c>
      <c r="I9744" s="2" t="s">
        <v>28620</v>
      </c>
      <c r="J9744" s="2" t="s">
        <v>28621</v>
      </c>
      <c r="K9744" s="2" t="s">
        <v>166</v>
      </c>
      <c r="L9744" s="2" t="s">
        <v>34</v>
      </c>
      <c r="M9744" s="12">
        <v>2068.9929999999999</v>
      </c>
      <c r="N9744" s="6">
        <v>24.05</v>
      </c>
      <c r="O9744" s="6">
        <v>24.15</v>
      </c>
      <c r="P9744" s="2" t="s">
        <v>28622</v>
      </c>
      <c r="Q9744" s="6">
        <v>100</v>
      </c>
      <c r="R9744" s="6">
        <v>24.48</v>
      </c>
      <c r="S9744" s="5">
        <v>42.7</v>
      </c>
      <c r="T9744" s="7">
        <v>187.87899999999999</v>
      </c>
      <c r="U9744" s="5">
        <v>5.8</v>
      </c>
      <c r="V9744" s="6">
        <v>1.0900000000000001</v>
      </c>
      <c r="W9744" s="6">
        <v>22.04</v>
      </c>
      <c r="X9744" s="6">
        <v>22.38</v>
      </c>
      <c r="Y9744" s="6">
        <v>22.38</v>
      </c>
      <c r="Z9744" s="6">
        <v>22.86</v>
      </c>
      <c r="AA9744" s="6">
        <v>39.07</v>
      </c>
      <c r="AB9744" s="7">
        <v>13.632</v>
      </c>
      <c r="AC9744" s="6">
        <v>17.52</v>
      </c>
    </row>
    <row r="9745" spans="1:29" ht="130" x14ac:dyDescent="0.15">
      <c r="A9745" s="3">
        <f>DATE(2010,9,22)</f>
        <v>40443</v>
      </c>
      <c r="B9745" s="2"/>
      <c r="C9745" s="2" t="s">
        <v>30</v>
      </c>
      <c r="D9745" s="2" t="s">
        <v>28623</v>
      </c>
      <c r="E9745" s="2" t="s">
        <v>36</v>
      </c>
      <c r="F9745" s="4">
        <v>6021</v>
      </c>
      <c r="G9745" s="2" t="s">
        <v>37</v>
      </c>
      <c r="H9745" s="2" t="s">
        <v>34</v>
      </c>
      <c r="I9745" s="2" t="s">
        <v>28624</v>
      </c>
      <c r="J9745" s="2" t="s">
        <v>36</v>
      </c>
      <c r="K9745" s="2" t="s">
        <v>37</v>
      </c>
      <c r="L9745" s="2" t="s">
        <v>34</v>
      </c>
      <c r="M9745" s="10">
        <v>1232.03</v>
      </c>
      <c r="N9745" s="6">
        <v>20.45</v>
      </c>
      <c r="O9745" s="6">
        <v>21.12</v>
      </c>
      <c r="P9745" s="2" t="s">
        <v>28625</v>
      </c>
      <c r="Q9745" s="2"/>
      <c r="R9745" s="6">
        <v>2.04</v>
      </c>
      <c r="S9745" s="2"/>
      <c r="T9745" s="2"/>
      <c r="U9745" s="2"/>
      <c r="V9745" s="2"/>
      <c r="W9745" s="6">
        <v>1.41</v>
      </c>
      <c r="X9745" s="6">
        <v>1.63</v>
      </c>
      <c r="Y9745" s="6">
        <v>1.64</v>
      </c>
      <c r="Z9745" s="6">
        <v>1.98</v>
      </c>
      <c r="AA9745" s="6">
        <v>11.91</v>
      </c>
      <c r="AB9745" s="2" t="s">
        <v>47</v>
      </c>
      <c r="AC9745" s="2"/>
    </row>
    <row r="9746" spans="1:29" ht="104" x14ac:dyDescent="0.15">
      <c r="A9746" s="3">
        <f>DATE(2010,9,23)</f>
        <v>40444</v>
      </c>
      <c r="B9746" s="2"/>
      <c r="C9746" s="2" t="s">
        <v>30</v>
      </c>
      <c r="D9746" s="2" t="s">
        <v>28626</v>
      </c>
      <c r="E9746" s="2" t="s">
        <v>28627</v>
      </c>
      <c r="F9746" s="4">
        <v>5065</v>
      </c>
      <c r="G9746" s="2" t="s">
        <v>76</v>
      </c>
      <c r="H9746" s="2" t="s">
        <v>34</v>
      </c>
      <c r="I9746" s="2" t="s">
        <v>28628</v>
      </c>
      <c r="J9746" s="2" t="s">
        <v>302</v>
      </c>
      <c r="K9746" s="2" t="s">
        <v>53</v>
      </c>
      <c r="L9746" s="2" t="s">
        <v>34</v>
      </c>
      <c r="M9746" s="2"/>
      <c r="N9746" s="2"/>
      <c r="O9746" s="2"/>
      <c r="P9746" s="2" t="s">
        <v>28629</v>
      </c>
      <c r="Q9746" s="2"/>
      <c r="R9746" s="6">
        <v>15.5</v>
      </c>
      <c r="S9746" s="5">
        <v>9.3000000000000007</v>
      </c>
      <c r="T9746" s="7">
        <v>19.329000000000001</v>
      </c>
      <c r="U9746" s="2"/>
      <c r="V9746" s="9">
        <v>1.2033</v>
      </c>
      <c r="W9746" s="5">
        <v>10.7</v>
      </c>
      <c r="X9746" s="6">
        <v>12.34</v>
      </c>
      <c r="Y9746" s="6">
        <v>15.18</v>
      </c>
      <c r="Z9746" s="6">
        <v>15.26</v>
      </c>
      <c r="AA9746" s="6">
        <v>7.58</v>
      </c>
      <c r="AB9746" s="7">
        <v>7.7569999999999997</v>
      </c>
      <c r="AC9746" s="2"/>
    </row>
    <row r="9747" spans="1:29" ht="143" x14ac:dyDescent="0.15">
      <c r="A9747" s="3">
        <f t="shared" ref="A9747:A9754" si="175">DATE(2010,9,27)</f>
        <v>40448</v>
      </c>
      <c r="B9747" s="3">
        <f>DATE(2011,5,2)</f>
        <v>40665</v>
      </c>
      <c r="C9747" s="2" t="s">
        <v>95</v>
      </c>
      <c r="D9747" s="2" t="s">
        <v>17057</v>
      </c>
      <c r="E9747" s="2" t="s">
        <v>5422</v>
      </c>
      <c r="F9747" s="4">
        <v>4512</v>
      </c>
      <c r="G9747" s="2" t="s">
        <v>59</v>
      </c>
      <c r="H9747" s="2" t="s">
        <v>34</v>
      </c>
      <c r="I9747" s="2" t="s">
        <v>28630</v>
      </c>
      <c r="J9747" s="2" t="s">
        <v>5422</v>
      </c>
      <c r="K9747" s="2" t="s">
        <v>59</v>
      </c>
      <c r="L9747" s="2" t="s">
        <v>34</v>
      </c>
      <c r="M9747" s="12">
        <v>8197.9480000000003</v>
      </c>
      <c r="N9747" s="6">
        <v>13.35</v>
      </c>
      <c r="O9747" s="6">
        <v>13.24</v>
      </c>
      <c r="P9747" s="2" t="s">
        <v>28631</v>
      </c>
      <c r="Q9747" s="6">
        <v>100</v>
      </c>
      <c r="R9747" s="6">
        <v>7.69</v>
      </c>
      <c r="S9747" s="5">
        <v>27.9</v>
      </c>
      <c r="T9747" s="7">
        <v>202.108</v>
      </c>
      <c r="U9747" s="5">
        <v>3.6</v>
      </c>
      <c r="V9747" s="6">
        <v>0.17</v>
      </c>
      <c r="W9747" s="6">
        <v>4.47</v>
      </c>
      <c r="X9747" s="6">
        <v>4.55</v>
      </c>
      <c r="Y9747" s="6">
        <v>7.34</v>
      </c>
      <c r="Z9747" s="6">
        <v>7.33</v>
      </c>
      <c r="AA9747" s="6">
        <v>135.41999999999999</v>
      </c>
      <c r="AB9747" s="7">
        <v>11.03</v>
      </c>
      <c r="AC9747" s="8">
        <v>3124</v>
      </c>
    </row>
    <row r="9748" spans="1:29" ht="65" x14ac:dyDescent="0.15">
      <c r="A9748" s="3">
        <f t="shared" si="175"/>
        <v>40448</v>
      </c>
      <c r="B9748" s="3">
        <f>DATE(2011,5,10)</f>
        <v>40673</v>
      </c>
      <c r="C9748" s="2" t="s">
        <v>95</v>
      </c>
      <c r="D9748" s="2" t="s">
        <v>7029</v>
      </c>
      <c r="E9748" s="2" t="s">
        <v>7030</v>
      </c>
      <c r="F9748" s="4">
        <v>2844</v>
      </c>
      <c r="G9748" s="2" t="s">
        <v>358</v>
      </c>
      <c r="H9748" s="2" t="s">
        <v>34</v>
      </c>
      <c r="I9748" s="2" t="s">
        <v>16814</v>
      </c>
      <c r="J9748" s="2" t="s">
        <v>16815</v>
      </c>
      <c r="K9748" s="2" t="s">
        <v>577</v>
      </c>
      <c r="L9748" s="2" t="s">
        <v>303</v>
      </c>
      <c r="M9748" s="12">
        <v>34982.485000000001</v>
      </c>
      <c r="N9748" s="7">
        <v>28.718</v>
      </c>
      <c r="O9748" s="7">
        <v>28.997</v>
      </c>
      <c r="P9748" s="2" t="s">
        <v>28632</v>
      </c>
      <c r="Q9748" s="6">
        <v>100</v>
      </c>
      <c r="R9748" s="6">
        <v>37.5</v>
      </c>
      <c r="S9748" s="5">
        <v>145.6</v>
      </c>
      <c r="T9748" s="7">
        <v>253.84899999999999</v>
      </c>
      <c r="U9748" s="5">
        <v>12.8</v>
      </c>
      <c r="V9748" s="6">
        <v>1.45</v>
      </c>
      <c r="W9748" s="6">
        <v>31.68</v>
      </c>
      <c r="X9748" s="6">
        <v>31.48</v>
      </c>
      <c r="Y9748" s="6">
        <v>37.64</v>
      </c>
      <c r="Z9748" s="6">
        <v>37.69</v>
      </c>
      <c r="AA9748" s="6">
        <v>98.65</v>
      </c>
      <c r="AB9748" s="7">
        <v>16.594999999999999</v>
      </c>
      <c r="AC9748" s="8">
        <v>4307.1000000000004</v>
      </c>
    </row>
    <row r="9749" spans="1:29" ht="208" x14ac:dyDescent="0.15">
      <c r="A9749" s="3">
        <f t="shared" si="175"/>
        <v>40448</v>
      </c>
      <c r="B9749" s="2"/>
      <c r="C9749" s="2" t="s">
        <v>30</v>
      </c>
      <c r="D9749" s="2" t="s">
        <v>28633</v>
      </c>
      <c r="E9749" s="2" t="s">
        <v>1248</v>
      </c>
      <c r="F9749" s="4">
        <v>1041</v>
      </c>
      <c r="G9749" s="2" t="s">
        <v>166</v>
      </c>
      <c r="H9749" s="2" t="s">
        <v>34</v>
      </c>
      <c r="I9749" s="2" t="s">
        <v>28634</v>
      </c>
      <c r="J9749" s="2" t="s">
        <v>1248</v>
      </c>
      <c r="K9749" s="2" t="s">
        <v>166</v>
      </c>
      <c r="L9749" s="2" t="s">
        <v>902</v>
      </c>
      <c r="M9749" s="7">
        <v>240.82400000000001</v>
      </c>
      <c r="N9749" s="7">
        <v>1.825</v>
      </c>
      <c r="O9749" s="7">
        <v>2.1259999999999999</v>
      </c>
      <c r="P9749" s="2" t="s">
        <v>28635</v>
      </c>
      <c r="Q9749" s="2"/>
      <c r="R9749" s="6">
        <v>4.55</v>
      </c>
      <c r="S9749" s="5">
        <v>14.4</v>
      </c>
      <c r="T9749" s="6">
        <v>36.96</v>
      </c>
      <c r="U9749" s="5">
        <v>1.8</v>
      </c>
      <c r="V9749" s="6">
        <v>0.26</v>
      </c>
      <c r="W9749" s="6">
        <v>3.87</v>
      </c>
      <c r="X9749" s="5">
        <v>3.8</v>
      </c>
      <c r="Y9749" s="6">
        <v>4.34</v>
      </c>
      <c r="Z9749" s="6">
        <v>4.7300000000000004</v>
      </c>
      <c r="AA9749" s="6">
        <v>64.72</v>
      </c>
      <c r="AB9749" s="7">
        <v>8.4600000000000009</v>
      </c>
      <c r="AC9749" s="6">
        <v>5.05</v>
      </c>
    </row>
    <row r="9750" spans="1:29" ht="143" x14ac:dyDescent="0.15">
      <c r="A9750" s="3">
        <f t="shared" si="175"/>
        <v>40448</v>
      </c>
      <c r="B9750" s="2"/>
      <c r="C9750" s="2" t="s">
        <v>30</v>
      </c>
      <c r="D9750" s="2" t="s">
        <v>28636</v>
      </c>
      <c r="E9750" s="2" t="s">
        <v>28637</v>
      </c>
      <c r="F9750" s="4">
        <v>7948</v>
      </c>
      <c r="G9750" s="2" t="s">
        <v>364</v>
      </c>
      <c r="H9750" s="2" t="s">
        <v>34</v>
      </c>
      <c r="I9750" s="2" t="s">
        <v>28638</v>
      </c>
      <c r="J9750" s="2" t="s">
        <v>28639</v>
      </c>
      <c r="K9750" s="2" t="s">
        <v>364</v>
      </c>
      <c r="L9750" s="2" t="s">
        <v>34</v>
      </c>
      <c r="M9750" s="7">
        <v>110.90600000000001</v>
      </c>
      <c r="N9750" s="6">
        <v>3.43</v>
      </c>
      <c r="O9750" s="6">
        <v>3.42</v>
      </c>
      <c r="P9750" s="2" t="s">
        <v>28640</v>
      </c>
      <c r="Q9750" s="2"/>
      <c r="R9750" s="6">
        <v>1.73</v>
      </c>
      <c r="S9750" s="5">
        <v>-11.4</v>
      </c>
      <c r="T9750" s="7">
        <v>7.7850000000000001</v>
      </c>
      <c r="U9750" s="5">
        <v>1.5</v>
      </c>
      <c r="V9750" s="6">
        <v>-0.31</v>
      </c>
      <c r="W9750" s="6">
        <v>1.71</v>
      </c>
      <c r="X9750" s="6">
        <v>1.75</v>
      </c>
      <c r="Y9750" s="6">
        <v>1.75</v>
      </c>
      <c r="Z9750" s="6">
        <v>1.82</v>
      </c>
      <c r="AA9750" s="6">
        <v>36.72</v>
      </c>
      <c r="AB9750" s="7">
        <v>74.022000000000006</v>
      </c>
      <c r="AC9750" s="6">
        <v>15.93</v>
      </c>
    </row>
    <row r="9751" spans="1:29" ht="65" x14ac:dyDescent="0.15">
      <c r="A9751" s="3">
        <f t="shared" si="175"/>
        <v>40448</v>
      </c>
      <c r="B9751" s="2"/>
      <c r="C9751" s="2" t="s">
        <v>87</v>
      </c>
      <c r="D9751" s="2" t="s">
        <v>27908</v>
      </c>
      <c r="E9751" s="2" t="s">
        <v>27909</v>
      </c>
      <c r="F9751" s="4">
        <v>2095</v>
      </c>
      <c r="G9751" s="2" t="s">
        <v>577</v>
      </c>
      <c r="H9751" s="2" t="s">
        <v>34</v>
      </c>
      <c r="I9751" s="2" t="s">
        <v>18304</v>
      </c>
      <c r="J9751" s="2" t="s">
        <v>28641</v>
      </c>
      <c r="K9751" s="2" t="s">
        <v>577</v>
      </c>
      <c r="L9751" s="2" t="s">
        <v>215</v>
      </c>
      <c r="M9751" s="8">
        <v>187179.3</v>
      </c>
      <c r="N9751" s="7">
        <v>53.582000000000001</v>
      </c>
      <c r="O9751" s="7">
        <v>54.143999999999998</v>
      </c>
      <c r="P9751" s="2" t="s">
        <v>28642</v>
      </c>
      <c r="Q9751" s="2"/>
      <c r="R9751" s="2"/>
      <c r="S9751" s="5">
        <v>79.5</v>
      </c>
      <c r="T9751" s="7">
        <v>198.041</v>
      </c>
      <c r="U9751" s="5">
        <v>5.3</v>
      </c>
      <c r="V9751" s="6">
        <v>0.57999999999999996</v>
      </c>
      <c r="W9751" s="6">
        <v>35.97</v>
      </c>
      <c r="X9751" s="6">
        <v>36.22</v>
      </c>
      <c r="Y9751" s="6">
        <v>37.549999999999997</v>
      </c>
      <c r="Z9751" s="6">
        <v>37.01</v>
      </c>
      <c r="AA9751" s="6">
        <v>131.94999999999999</v>
      </c>
      <c r="AB9751" s="2" t="s">
        <v>47</v>
      </c>
      <c r="AC9751" s="8">
        <v>6759.5</v>
      </c>
    </row>
    <row r="9752" spans="1:29" ht="104" x14ac:dyDescent="0.15">
      <c r="A9752" s="3">
        <f t="shared" si="175"/>
        <v>40448</v>
      </c>
      <c r="B9752" s="2"/>
      <c r="C9752" s="2" t="s">
        <v>189</v>
      </c>
      <c r="D9752" s="2" t="s">
        <v>28643</v>
      </c>
      <c r="E9752" s="2" t="s">
        <v>28644</v>
      </c>
      <c r="F9752" s="4">
        <v>1311</v>
      </c>
      <c r="G9752" s="2" t="s">
        <v>148</v>
      </c>
      <c r="H9752" s="2" t="s">
        <v>34</v>
      </c>
      <c r="I9752" s="2" t="s">
        <v>143</v>
      </c>
      <c r="J9752" s="2" t="s">
        <v>144</v>
      </c>
      <c r="K9752" s="2" t="s">
        <v>53</v>
      </c>
      <c r="L9752" s="2" t="s">
        <v>139</v>
      </c>
      <c r="M9752" s="2"/>
      <c r="N9752" s="2"/>
      <c r="O9752" s="2"/>
      <c r="P9752" s="2" t="s">
        <v>28645</v>
      </c>
      <c r="Q9752" s="2"/>
      <c r="R9752" s="2"/>
      <c r="S9752" s="5">
        <v>30.2</v>
      </c>
      <c r="T9752" s="7">
        <v>-22.318999999999999</v>
      </c>
      <c r="U9752" s="5">
        <v>36.200000000000003</v>
      </c>
      <c r="V9752" s="6">
        <v>3.32</v>
      </c>
      <c r="W9752" s="6">
        <v>7.22</v>
      </c>
      <c r="X9752" s="6">
        <v>7.93</v>
      </c>
      <c r="Y9752" s="5">
        <v>9.1</v>
      </c>
      <c r="Z9752" s="5">
        <v>10.4</v>
      </c>
      <c r="AA9752" s="6">
        <v>33.590000000000003</v>
      </c>
      <c r="AB9752" s="2" t="s">
        <v>86</v>
      </c>
      <c r="AC9752" s="2"/>
    </row>
    <row r="9753" spans="1:29" ht="65" x14ac:dyDescent="0.15">
      <c r="A9753" s="3">
        <f t="shared" si="175"/>
        <v>40448</v>
      </c>
      <c r="B9753" s="3">
        <f>DATE(2010,12,22)</f>
        <v>40534</v>
      </c>
      <c r="C9753" s="2" t="s">
        <v>95</v>
      </c>
      <c r="D9753" s="2" t="s">
        <v>28646</v>
      </c>
      <c r="E9753" s="2" t="s">
        <v>28647</v>
      </c>
      <c r="F9753" s="4">
        <v>8071</v>
      </c>
      <c r="G9753" s="2" t="s">
        <v>454</v>
      </c>
      <c r="H9753" s="2" t="s">
        <v>34</v>
      </c>
      <c r="I9753" s="2" t="s">
        <v>28309</v>
      </c>
      <c r="J9753" s="2" t="s">
        <v>28310</v>
      </c>
      <c r="K9753" s="2" t="s">
        <v>454</v>
      </c>
      <c r="L9753" s="2" t="s">
        <v>34</v>
      </c>
      <c r="M9753" s="2"/>
      <c r="N9753" s="2"/>
      <c r="O9753" s="2"/>
      <c r="P9753" s="2" t="s">
        <v>28648</v>
      </c>
      <c r="Q9753" s="6">
        <v>100</v>
      </c>
      <c r="R9753" s="6">
        <v>6.5</v>
      </c>
      <c r="S9753" s="5">
        <v>-21</v>
      </c>
      <c r="T9753" s="7">
        <v>22.516999999999999</v>
      </c>
      <c r="U9753" s="5">
        <v>2</v>
      </c>
      <c r="V9753" s="6">
        <v>-0.2</v>
      </c>
      <c r="W9753" s="6">
        <v>3.17</v>
      </c>
      <c r="X9753" s="6">
        <v>3.25</v>
      </c>
      <c r="Y9753" s="6">
        <v>6.38</v>
      </c>
      <c r="Z9753" s="6">
        <v>6.39</v>
      </c>
      <c r="AA9753" s="6">
        <v>26.91</v>
      </c>
      <c r="AB9753" s="7">
        <v>18.295000000000002</v>
      </c>
      <c r="AC9753" s="6">
        <v>54.14</v>
      </c>
    </row>
    <row r="9754" spans="1:29" ht="117" x14ac:dyDescent="0.15">
      <c r="A9754" s="3">
        <f t="shared" si="175"/>
        <v>40448</v>
      </c>
      <c r="B9754" s="2"/>
      <c r="C9754" s="2" t="s">
        <v>30</v>
      </c>
      <c r="D9754" s="2" t="s">
        <v>28582</v>
      </c>
      <c r="E9754" s="2" t="s">
        <v>28583</v>
      </c>
      <c r="F9754" s="4">
        <v>3842</v>
      </c>
      <c r="G9754" s="2" t="s">
        <v>226</v>
      </c>
      <c r="H9754" s="2" t="s">
        <v>34</v>
      </c>
      <c r="I9754" s="2" t="s">
        <v>28649</v>
      </c>
      <c r="J9754" s="2" t="s">
        <v>28650</v>
      </c>
      <c r="K9754" s="2" t="s">
        <v>226</v>
      </c>
      <c r="L9754" s="2" t="s">
        <v>734</v>
      </c>
      <c r="M9754" s="2"/>
      <c r="N9754" s="2"/>
      <c r="O9754" s="2"/>
      <c r="P9754" s="2" t="s">
        <v>28651</v>
      </c>
      <c r="Q9754" s="2"/>
      <c r="R9754" s="2"/>
      <c r="S9754" s="5">
        <v>-26.9</v>
      </c>
      <c r="T9754" s="7">
        <v>-5.7220000000000004</v>
      </c>
      <c r="U9754" s="5">
        <v>4.5999999999999996</v>
      </c>
      <c r="V9754" s="6">
        <v>-4.8499999999999996</v>
      </c>
      <c r="W9754" s="6">
        <v>4.03</v>
      </c>
      <c r="X9754" s="6">
        <v>4.04</v>
      </c>
      <c r="Y9754" s="6">
        <v>8.34</v>
      </c>
      <c r="Z9754" s="5">
        <v>8.4</v>
      </c>
      <c r="AA9754" s="6">
        <v>5.58</v>
      </c>
      <c r="AB9754" s="2" t="s">
        <v>86</v>
      </c>
      <c r="AC9754" s="2"/>
    </row>
    <row r="9755" spans="1:29" ht="65" x14ac:dyDescent="0.15">
      <c r="A9755" s="3">
        <f>DATE(2010,9,29)</f>
        <v>40450</v>
      </c>
      <c r="B9755" s="3">
        <f>DATE(2010,12,8)</f>
        <v>40520</v>
      </c>
      <c r="C9755" s="2" t="s">
        <v>95</v>
      </c>
      <c r="D9755" s="2" t="s">
        <v>28652</v>
      </c>
      <c r="E9755" s="2" t="s">
        <v>28653</v>
      </c>
      <c r="F9755" s="4">
        <v>3825</v>
      </c>
      <c r="G9755" s="2" t="s">
        <v>226</v>
      </c>
      <c r="H9755" s="2" t="s">
        <v>34</v>
      </c>
      <c r="I9755" s="2" t="s">
        <v>315</v>
      </c>
      <c r="J9755" s="2" t="s">
        <v>316</v>
      </c>
      <c r="K9755" s="2" t="s">
        <v>226</v>
      </c>
      <c r="L9755" s="2" t="s">
        <v>34</v>
      </c>
      <c r="M9755" s="10">
        <v>24799.67</v>
      </c>
      <c r="N9755" s="6">
        <v>40.57</v>
      </c>
      <c r="O9755" s="6">
        <v>40.61</v>
      </c>
      <c r="P9755" s="2" t="s">
        <v>28654</v>
      </c>
      <c r="Q9755" s="6">
        <v>100</v>
      </c>
      <c r="R9755" s="6">
        <v>21.6</v>
      </c>
      <c r="S9755" s="5">
        <v>11.4</v>
      </c>
      <c r="T9755" s="7">
        <v>13.959</v>
      </c>
      <c r="U9755" s="5">
        <v>3</v>
      </c>
      <c r="V9755" s="6">
        <v>0.7</v>
      </c>
      <c r="W9755" s="6">
        <v>11.91</v>
      </c>
      <c r="X9755" s="6">
        <v>12.39</v>
      </c>
      <c r="Y9755" s="6">
        <v>21.45</v>
      </c>
      <c r="Z9755" s="6">
        <v>21.51</v>
      </c>
      <c r="AA9755" s="6">
        <v>15.78</v>
      </c>
      <c r="AB9755" s="7">
        <v>31.34</v>
      </c>
      <c r="AC9755" s="10">
        <v>1232.94</v>
      </c>
    </row>
    <row r="9756" spans="1:29" ht="104" x14ac:dyDescent="0.15">
      <c r="A9756" s="3">
        <f>DATE(2010,9,30)</f>
        <v>40451</v>
      </c>
      <c r="B9756" s="3">
        <f>DATE(2011,1,14)</f>
        <v>40557</v>
      </c>
      <c r="C9756" s="2" t="s">
        <v>95</v>
      </c>
      <c r="D9756" s="2" t="s">
        <v>830</v>
      </c>
      <c r="E9756" s="2" t="s">
        <v>27153</v>
      </c>
      <c r="F9756" s="4">
        <v>6331</v>
      </c>
      <c r="G9756" s="2" t="s">
        <v>125</v>
      </c>
      <c r="H9756" s="2" t="s">
        <v>34</v>
      </c>
      <c r="I9756" s="2" t="s">
        <v>28655</v>
      </c>
      <c r="J9756" s="2" t="s">
        <v>13548</v>
      </c>
      <c r="K9756" s="2" t="s">
        <v>53</v>
      </c>
      <c r="L9756" s="2" t="s">
        <v>139</v>
      </c>
      <c r="M9756" s="2"/>
      <c r="N9756" s="2"/>
      <c r="O9756" s="2"/>
      <c r="P9756" s="2" t="s">
        <v>28656</v>
      </c>
      <c r="Q9756" s="6">
        <v>60.78</v>
      </c>
      <c r="R9756" s="2"/>
      <c r="S9756" s="8">
        <v>1583</v>
      </c>
      <c r="T9756" s="8">
        <v>24065</v>
      </c>
      <c r="U9756" s="5">
        <v>35.200000000000003</v>
      </c>
      <c r="V9756" s="6">
        <v>14.73</v>
      </c>
      <c r="W9756" s="6">
        <v>7.74</v>
      </c>
      <c r="X9756" s="6">
        <v>8.19</v>
      </c>
      <c r="Y9756" s="6">
        <v>8.59</v>
      </c>
      <c r="Z9756" s="6">
        <v>8.5500000000000007</v>
      </c>
      <c r="AA9756" s="10">
        <v>1796.96</v>
      </c>
      <c r="AB9756" s="7">
        <v>19.3</v>
      </c>
      <c r="AC9756" s="2"/>
    </row>
    <row r="9757" spans="1:29" ht="195" x14ac:dyDescent="0.15">
      <c r="A9757" s="3">
        <f>DATE(2010,10,1)</f>
        <v>40452</v>
      </c>
      <c r="B9757" s="3">
        <f>DATE(2011,4,8)</f>
        <v>40641</v>
      </c>
      <c r="C9757" s="2" t="s">
        <v>95</v>
      </c>
      <c r="D9757" s="2" t="s">
        <v>28633</v>
      </c>
      <c r="E9757" s="2" t="s">
        <v>1248</v>
      </c>
      <c r="F9757" s="4">
        <v>1041</v>
      </c>
      <c r="G9757" s="2" t="s">
        <v>166</v>
      </c>
      <c r="H9757" s="2" t="s">
        <v>34</v>
      </c>
      <c r="I9757" s="2" t="s">
        <v>28657</v>
      </c>
      <c r="J9757" s="2" t="s">
        <v>28658</v>
      </c>
      <c r="K9757" s="2" t="s">
        <v>166</v>
      </c>
      <c r="L9757" s="2" t="s">
        <v>902</v>
      </c>
      <c r="M9757" s="7">
        <v>974.11400000000003</v>
      </c>
      <c r="N9757" s="6">
        <v>6.85</v>
      </c>
      <c r="O9757" s="7">
        <v>6.8040000000000003</v>
      </c>
      <c r="P9757" s="2" t="s">
        <v>28659</v>
      </c>
      <c r="Q9757" s="6">
        <v>100</v>
      </c>
      <c r="R9757" s="6">
        <v>4.75</v>
      </c>
      <c r="S9757" s="5">
        <v>14.4</v>
      </c>
      <c r="T9757" s="6">
        <v>36.96</v>
      </c>
      <c r="U9757" s="5">
        <v>1.8</v>
      </c>
      <c r="V9757" s="6">
        <v>0.26</v>
      </c>
      <c r="W9757" s="5">
        <v>3.8</v>
      </c>
      <c r="X9757" s="6">
        <v>4.83</v>
      </c>
      <c r="Y9757" s="6">
        <v>4.82</v>
      </c>
      <c r="Z9757" s="6">
        <v>4.63</v>
      </c>
      <c r="AA9757" s="6">
        <v>64.72</v>
      </c>
      <c r="AB9757" s="7">
        <v>8.8450000000000006</v>
      </c>
      <c r="AC9757" s="6">
        <v>114.12</v>
      </c>
    </row>
    <row r="9758" spans="1:29" ht="91" x14ac:dyDescent="0.15">
      <c r="A9758" s="3">
        <f>DATE(2010,10,1)</f>
        <v>40452</v>
      </c>
      <c r="B9758" s="2"/>
      <c r="C9758" s="2" t="s">
        <v>30</v>
      </c>
      <c r="D9758" s="2" t="s">
        <v>28660</v>
      </c>
      <c r="E9758" s="2" t="s">
        <v>1266</v>
      </c>
      <c r="F9758" s="4">
        <v>4215</v>
      </c>
      <c r="G9758" s="2" t="s">
        <v>173</v>
      </c>
      <c r="H9758" s="2" t="s">
        <v>34</v>
      </c>
      <c r="I9758" s="2" t="s">
        <v>28661</v>
      </c>
      <c r="J9758" s="2" t="s">
        <v>244</v>
      </c>
      <c r="K9758" s="2" t="s">
        <v>53</v>
      </c>
      <c r="L9758" s="2" t="s">
        <v>34</v>
      </c>
      <c r="M9758" s="2"/>
      <c r="N9758" s="2"/>
      <c r="O9758" s="2"/>
      <c r="P9758" s="2" t="s">
        <v>28662</v>
      </c>
      <c r="Q9758" s="2"/>
      <c r="R9758" s="6">
        <v>25</v>
      </c>
      <c r="S9758" s="5">
        <v>9</v>
      </c>
      <c r="T9758" s="7">
        <v>21.024999999999999</v>
      </c>
      <c r="U9758" s="5">
        <v>11.5</v>
      </c>
      <c r="V9758" s="6">
        <v>0.93</v>
      </c>
      <c r="W9758" s="6">
        <v>15.61</v>
      </c>
      <c r="X9758" s="6">
        <v>15.25</v>
      </c>
      <c r="Y9758" s="6">
        <v>15.31</v>
      </c>
      <c r="Z9758" s="6">
        <v>21.05</v>
      </c>
      <c r="AA9758" s="6">
        <v>9.98</v>
      </c>
      <c r="AB9758" s="7">
        <v>13.247999999999999</v>
      </c>
      <c r="AC9758" s="2"/>
    </row>
    <row r="9759" spans="1:29" ht="104" x14ac:dyDescent="0.15">
      <c r="A9759" s="3">
        <f>DATE(2010,10,3)</f>
        <v>40454</v>
      </c>
      <c r="B9759" s="2"/>
      <c r="C9759" s="2" t="s">
        <v>87</v>
      </c>
      <c r="D9759" s="2" t="s">
        <v>28663</v>
      </c>
      <c r="E9759" s="2" t="s">
        <v>4324</v>
      </c>
      <c r="F9759" s="4">
        <v>8082</v>
      </c>
      <c r="G9759" s="2" t="s">
        <v>454</v>
      </c>
      <c r="H9759" s="2" t="s">
        <v>34</v>
      </c>
      <c r="I9759" s="2" t="s">
        <v>28664</v>
      </c>
      <c r="J9759" s="2" t="s">
        <v>124</v>
      </c>
      <c r="K9759" s="2" t="s">
        <v>125</v>
      </c>
      <c r="L9759" s="2" t="s">
        <v>303</v>
      </c>
      <c r="M9759" s="2"/>
      <c r="N9759" s="2"/>
      <c r="O9759" s="2"/>
      <c r="P9759" s="2" t="s">
        <v>28665</v>
      </c>
      <c r="Q9759" s="2"/>
      <c r="R9759" s="2"/>
      <c r="S9759" s="5">
        <v>9.9</v>
      </c>
      <c r="T9759" s="7">
        <v>18.643000000000001</v>
      </c>
      <c r="U9759" s="5">
        <v>3.5</v>
      </c>
      <c r="V9759" s="6">
        <v>0.22</v>
      </c>
      <c r="W9759" s="6">
        <v>2.4500000000000002</v>
      </c>
      <c r="X9759" s="6">
        <v>2.38</v>
      </c>
      <c r="Y9759" s="6">
        <v>2.42</v>
      </c>
      <c r="Z9759" s="6">
        <v>2.42</v>
      </c>
      <c r="AA9759" s="6">
        <v>44.02</v>
      </c>
      <c r="AB9759" s="2" t="s">
        <v>47</v>
      </c>
      <c r="AC9759" s="10">
        <v>1242.18</v>
      </c>
    </row>
    <row r="9760" spans="1:29" ht="130" x14ac:dyDescent="0.15">
      <c r="A9760" s="3">
        <f>DATE(2010,10,3)</f>
        <v>40454</v>
      </c>
      <c r="B9760" s="2"/>
      <c r="C9760" s="2" t="s">
        <v>87</v>
      </c>
      <c r="D9760" s="2" t="s">
        <v>14211</v>
      </c>
      <c r="E9760" s="2" t="s">
        <v>14212</v>
      </c>
      <c r="F9760" s="4">
        <v>2011</v>
      </c>
      <c r="G9760" s="2" t="s">
        <v>577</v>
      </c>
      <c r="H9760" s="2" t="s">
        <v>34</v>
      </c>
      <c r="I9760" s="2" t="s">
        <v>1626</v>
      </c>
      <c r="J9760" s="2" t="s">
        <v>244</v>
      </c>
      <c r="K9760" s="2" t="s">
        <v>53</v>
      </c>
      <c r="L9760" s="2" t="s">
        <v>34</v>
      </c>
      <c r="M9760" s="2"/>
      <c r="N9760" s="2"/>
      <c r="O9760" s="2"/>
      <c r="P9760" s="2" t="s">
        <v>28666</v>
      </c>
      <c r="Q9760" s="2"/>
      <c r="R9760" s="2"/>
      <c r="S9760" s="5">
        <v>241</v>
      </c>
      <c r="T9760" s="8">
        <v>1385</v>
      </c>
      <c r="U9760" s="5">
        <v>11.6</v>
      </c>
      <c r="V9760" s="6">
        <v>4</v>
      </c>
      <c r="W9760" s="6">
        <v>13.76</v>
      </c>
      <c r="X9760" s="6">
        <v>13.43</v>
      </c>
      <c r="Y9760" s="5">
        <v>14.4</v>
      </c>
      <c r="Z9760" s="5">
        <v>14.4</v>
      </c>
      <c r="AA9760" s="6">
        <v>662.22</v>
      </c>
      <c r="AB9760" s="2" t="s">
        <v>47</v>
      </c>
      <c r="AC9760" s="2"/>
    </row>
    <row r="9761" spans="1:29" ht="78" x14ac:dyDescent="0.15">
      <c r="A9761" s="3">
        <f>DATE(2010,10,4)</f>
        <v>40455</v>
      </c>
      <c r="B9761" s="3">
        <f>DATE(2010,11,2)</f>
        <v>40484</v>
      </c>
      <c r="C9761" s="2" t="s">
        <v>95</v>
      </c>
      <c r="D9761" s="2" t="s">
        <v>16873</v>
      </c>
      <c r="E9761" s="2" t="s">
        <v>3526</v>
      </c>
      <c r="F9761" s="4">
        <v>3674</v>
      </c>
      <c r="G9761" s="2" t="s">
        <v>137</v>
      </c>
      <c r="H9761" s="2" t="s">
        <v>34</v>
      </c>
      <c r="I9761" s="2" t="s">
        <v>11358</v>
      </c>
      <c r="J9761" s="2" t="s">
        <v>10974</v>
      </c>
      <c r="K9761" s="2" t="s">
        <v>137</v>
      </c>
      <c r="L9761" s="2" t="s">
        <v>34</v>
      </c>
      <c r="M9761" s="12">
        <v>1266.0820000000001</v>
      </c>
      <c r="N9761" s="5">
        <v>18.3</v>
      </c>
      <c r="O9761" s="6">
        <v>19.03</v>
      </c>
      <c r="P9761" s="2" t="s">
        <v>28667</v>
      </c>
      <c r="Q9761" s="6">
        <v>100</v>
      </c>
      <c r="R9761" s="6">
        <v>20.88</v>
      </c>
      <c r="S9761" s="5">
        <v>9.6</v>
      </c>
      <c r="T9761" s="7">
        <v>28.978000000000002</v>
      </c>
      <c r="U9761" s="5">
        <v>9.1999999999999993</v>
      </c>
      <c r="V9761" s="6">
        <v>0.36</v>
      </c>
      <c r="W9761" s="5">
        <v>16.2</v>
      </c>
      <c r="X9761" s="6">
        <v>16.02</v>
      </c>
      <c r="Y9761" s="6">
        <v>20.95</v>
      </c>
      <c r="Z9761" s="5">
        <v>20.9</v>
      </c>
      <c r="AA9761" s="6">
        <v>31.56</v>
      </c>
      <c r="AB9761" s="7">
        <v>25.972999999999999</v>
      </c>
      <c r="AC9761" s="6">
        <v>199.95</v>
      </c>
    </row>
    <row r="9762" spans="1:29" ht="208" x14ac:dyDescent="0.15">
      <c r="A9762" s="3">
        <f>DATE(2010,10,4)</f>
        <v>40455</v>
      </c>
      <c r="B9762" s="3">
        <f>DATE(2011,1,28)</f>
        <v>40571</v>
      </c>
      <c r="C9762" s="2" t="s">
        <v>95</v>
      </c>
      <c r="D9762" s="2" t="s">
        <v>28668</v>
      </c>
      <c r="E9762" s="2" t="s">
        <v>28669</v>
      </c>
      <c r="F9762" s="4">
        <v>2297</v>
      </c>
      <c r="G9762" s="2" t="s">
        <v>708</v>
      </c>
      <c r="H9762" s="2" t="s">
        <v>34</v>
      </c>
      <c r="I9762" s="2" t="s">
        <v>28670</v>
      </c>
      <c r="J9762" s="2" t="s">
        <v>11337</v>
      </c>
      <c r="K9762" s="2" t="s">
        <v>53</v>
      </c>
      <c r="L9762" s="2" t="s">
        <v>34</v>
      </c>
      <c r="M9762" s="2"/>
      <c r="N9762" s="2"/>
      <c r="O9762" s="2"/>
      <c r="P9762" s="2" t="s">
        <v>28671</v>
      </c>
      <c r="Q9762" s="6">
        <v>100</v>
      </c>
      <c r="R9762" s="6">
        <v>18.23</v>
      </c>
      <c r="S9762" s="5">
        <v>16.3</v>
      </c>
      <c r="T9762" s="7">
        <v>115.599</v>
      </c>
      <c r="U9762" s="5">
        <v>5.5</v>
      </c>
      <c r="V9762" s="2"/>
      <c r="W9762" s="5">
        <v>16.5</v>
      </c>
      <c r="X9762" s="4">
        <v>17</v>
      </c>
      <c r="Y9762" s="6">
        <v>17.25</v>
      </c>
      <c r="Z9762" s="5">
        <v>19.899999999999999</v>
      </c>
      <c r="AA9762" s="6">
        <v>21.44</v>
      </c>
      <c r="AB9762" s="7">
        <v>10.179</v>
      </c>
      <c r="AC9762" s="2"/>
    </row>
    <row r="9763" spans="1:29" ht="104" x14ac:dyDescent="0.15">
      <c r="A9763" s="3">
        <f>DATE(2010,10,5)</f>
        <v>40456</v>
      </c>
      <c r="B9763" s="2"/>
      <c r="C9763" s="2" t="s">
        <v>87</v>
      </c>
      <c r="D9763" s="2" t="s">
        <v>28672</v>
      </c>
      <c r="E9763" s="2" t="s">
        <v>28673</v>
      </c>
      <c r="F9763" s="4">
        <v>7372</v>
      </c>
      <c r="G9763" s="2" t="s">
        <v>551</v>
      </c>
      <c r="H9763" s="2" t="s">
        <v>34</v>
      </c>
      <c r="I9763" s="2" t="s">
        <v>143</v>
      </c>
      <c r="J9763" s="2" t="s">
        <v>144</v>
      </c>
      <c r="K9763" s="2" t="s">
        <v>53</v>
      </c>
      <c r="L9763" s="2" t="s">
        <v>139</v>
      </c>
      <c r="M9763" s="2"/>
      <c r="N9763" s="2"/>
      <c r="O9763" s="2"/>
      <c r="P9763" s="2" t="s">
        <v>28674</v>
      </c>
      <c r="Q9763" s="2"/>
      <c r="R9763" s="2"/>
      <c r="S9763" s="5">
        <v>151.19999999999999</v>
      </c>
      <c r="T9763" s="7">
        <v>253.83500000000001</v>
      </c>
      <c r="U9763" s="5">
        <v>12.5</v>
      </c>
      <c r="V9763" s="6">
        <v>1.86</v>
      </c>
      <c r="W9763" s="6">
        <v>104.06</v>
      </c>
      <c r="X9763" s="6">
        <v>105.89</v>
      </c>
      <c r="Y9763" s="5">
        <v>111.5</v>
      </c>
      <c r="Z9763" s="6">
        <v>97.54</v>
      </c>
      <c r="AA9763" s="6">
        <v>80.47</v>
      </c>
      <c r="AB9763" s="2" t="s">
        <v>47</v>
      </c>
      <c r="AC9763" s="2"/>
    </row>
    <row r="9764" spans="1:29" ht="78" x14ac:dyDescent="0.15">
      <c r="A9764" s="3">
        <f>DATE(2010,10,5)</f>
        <v>40456</v>
      </c>
      <c r="B9764" s="3">
        <f>DATE(2010,12,3)</f>
        <v>40515</v>
      </c>
      <c r="C9764" s="2" t="s">
        <v>95</v>
      </c>
      <c r="D9764" s="2" t="s">
        <v>11360</v>
      </c>
      <c r="E9764" s="2" t="s">
        <v>11361</v>
      </c>
      <c r="F9764" s="4">
        <v>3541</v>
      </c>
      <c r="G9764" s="2" t="s">
        <v>300</v>
      </c>
      <c r="H9764" s="2" t="s">
        <v>34</v>
      </c>
      <c r="I9764" s="2" t="s">
        <v>28675</v>
      </c>
      <c r="J9764" s="2" t="s">
        <v>244</v>
      </c>
      <c r="K9764" s="2" t="s">
        <v>53</v>
      </c>
      <c r="L9764" s="2" t="s">
        <v>34</v>
      </c>
      <c r="M9764" s="2"/>
      <c r="N9764" s="2"/>
      <c r="O9764" s="2"/>
      <c r="P9764" s="2" t="s">
        <v>28676</v>
      </c>
      <c r="Q9764" s="6">
        <v>100</v>
      </c>
      <c r="R9764" s="6">
        <v>15</v>
      </c>
      <c r="S9764" s="5">
        <v>7.7</v>
      </c>
      <c r="T9764" s="7">
        <v>58.076999999999998</v>
      </c>
      <c r="U9764" s="5">
        <v>10.4</v>
      </c>
      <c r="V9764" s="6">
        <v>0.56000000000000005</v>
      </c>
      <c r="W9764" s="6">
        <v>14.23</v>
      </c>
      <c r="X9764" s="6">
        <v>14.72</v>
      </c>
      <c r="Y9764" s="4">
        <v>15</v>
      </c>
      <c r="Z9764" s="6">
        <v>15.01</v>
      </c>
      <c r="AA9764" s="6">
        <v>13.55</v>
      </c>
      <c r="AB9764" s="7">
        <v>8.6649999999999991</v>
      </c>
      <c r="AC9764" s="2"/>
    </row>
    <row r="9765" spans="1:29" ht="143" x14ac:dyDescent="0.15">
      <c r="A9765" s="3">
        <f>DATE(2010,10,6)</f>
        <v>40457</v>
      </c>
      <c r="B9765" s="3">
        <f>DATE(2011,3,4)</f>
        <v>40606</v>
      </c>
      <c r="C9765" s="2" t="s">
        <v>95</v>
      </c>
      <c r="D9765" s="2" t="s">
        <v>28623</v>
      </c>
      <c r="E9765" s="2" t="s">
        <v>36</v>
      </c>
      <c r="F9765" s="4">
        <v>6021</v>
      </c>
      <c r="G9765" s="2" t="s">
        <v>37</v>
      </c>
      <c r="H9765" s="2" t="s">
        <v>34</v>
      </c>
      <c r="I9765" s="2" t="s">
        <v>28677</v>
      </c>
      <c r="J9765" s="2" t="s">
        <v>36</v>
      </c>
      <c r="K9765" s="2" t="s">
        <v>37</v>
      </c>
      <c r="L9765" s="2" t="s">
        <v>34</v>
      </c>
      <c r="M9765" s="2"/>
      <c r="N9765" s="2"/>
      <c r="O9765" s="2"/>
      <c r="P9765" s="2" t="s">
        <v>28678</v>
      </c>
      <c r="Q9765" s="6">
        <v>100</v>
      </c>
      <c r="R9765" s="6">
        <v>2.5</v>
      </c>
      <c r="S9765" s="5">
        <v>-14.6</v>
      </c>
      <c r="T9765" s="7">
        <v>-22.091000000000001</v>
      </c>
      <c r="U9765" s="2"/>
      <c r="V9765" s="6">
        <v>-1.23</v>
      </c>
      <c r="W9765" s="6">
        <v>1.99</v>
      </c>
      <c r="X9765" s="6">
        <v>2.08</v>
      </c>
      <c r="Y9765" s="6">
        <v>2.54</v>
      </c>
      <c r="Z9765" s="6">
        <v>2.4900000000000002</v>
      </c>
      <c r="AA9765" s="6">
        <v>11.91</v>
      </c>
      <c r="AB9765" s="2" t="s">
        <v>86</v>
      </c>
      <c r="AC9765" s="2"/>
    </row>
    <row r="9766" spans="1:29" ht="104" x14ac:dyDescent="0.15">
      <c r="A9766" s="3">
        <f>DATE(2010,10,6)</f>
        <v>40457</v>
      </c>
      <c r="B9766" s="3">
        <f>DATE(2010,12,16)</f>
        <v>40528</v>
      </c>
      <c r="C9766" s="2" t="s">
        <v>95</v>
      </c>
      <c r="D9766" s="2" t="s">
        <v>28679</v>
      </c>
      <c r="E9766" s="2" t="s">
        <v>28680</v>
      </c>
      <c r="F9766" s="4">
        <v>3669</v>
      </c>
      <c r="G9766" s="2" t="s">
        <v>921</v>
      </c>
      <c r="H9766" s="2" t="s">
        <v>34</v>
      </c>
      <c r="I9766" s="2" t="s">
        <v>26484</v>
      </c>
      <c r="J9766" s="2" t="s">
        <v>26485</v>
      </c>
      <c r="K9766" s="2" t="s">
        <v>63</v>
      </c>
      <c r="L9766" s="2" t="s">
        <v>34</v>
      </c>
      <c r="M9766" s="7">
        <v>180.07900000000001</v>
      </c>
      <c r="N9766" s="6">
        <v>10.47</v>
      </c>
      <c r="O9766" s="6">
        <v>10.57</v>
      </c>
      <c r="P9766" s="2" t="s">
        <v>28681</v>
      </c>
      <c r="Q9766" s="6">
        <v>100</v>
      </c>
      <c r="R9766" s="6">
        <v>8.1999999999999993</v>
      </c>
      <c r="S9766" s="5">
        <v>0.5</v>
      </c>
      <c r="T9766" s="7">
        <v>2.9750000000000001</v>
      </c>
      <c r="U9766" s="5">
        <v>2.9</v>
      </c>
      <c r="V9766" s="6">
        <v>7.0000000000000007E-2</v>
      </c>
      <c r="W9766" s="6">
        <v>4.3499999999999996</v>
      </c>
      <c r="X9766" s="5">
        <v>4.5999999999999996</v>
      </c>
      <c r="Y9766" s="6">
        <v>6.91</v>
      </c>
      <c r="Z9766" s="6">
        <v>6.89</v>
      </c>
      <c r="AA9766" s="6">
        <v>7.05</v>
      </c>
      <c r="AB9766" s="7">
        <v>30.302</v>
      </c>
      <c r="AC9766" s="5">
        <v>60</v>
      </c>
    </row>
    <row r="9767" spans="1:29" ht="104" x14ac:dyDescent="0.15">
      <c r="A9767" s="3">
        <f>DATE(2010,10,6)</f>
        <v>40457</v>
      </c>
      <c r="B9767" s="3">
        <f>DATE(2010,10,6)</f>
        <v>40457</v>
      </c>
      <c r="C9767" s="2" t="s">
        <v>95</v>
      </c>
      <c r="D9767" s="2" t="s">
        <v>28682</v>
      </c>
      <c r="E9767" s="2" t="s">
        <v>28683</v>
      </c>
      <c r="F9767" s="4">
        <v>3648</v>
      </c>
      <c r="G9767" s="2" t="s">
        <v>137</v>
      </c>
      <c r="H9767" s="2" t="s">
        <v>34</v>
      </c>
      <c r="I9767" s="2" t="s">
        <v>28684</v>
      </c>
      <c r="J9767" s="2" t="s">
        <v>244</v>
      </c>
      <c r="K9767" s="2" t="s">
        <v>53</v>
      </c>
      <c r="L9767" s="2" t="s">
        <v>34</v>
      </c>
      <c r="M9767" s="2"/>
      <c r="N9767" s="2"/>
      <c r="O9767" s="2"/>
      <c r="P9767" s="2" t="s">
        <v>28685</v>
      </c>
      <c r="Q9767" s="6">
        <v>33.409999999999997</v>
      </c>
      <c r="R9767" s="2"/>
      <c r="S9767" s="5">
        <v>-165.4</v>
      </c>
      <c r="T9767" s="7">
        <v>-48.545999999999999</v>
      </c>
      <c r="U9767" s="5">
        <v>-1.6</v>
      </c>
      <c r="V9767" s="6">
        <v>-5.53</v>
      </c>
      <c r="W9767" s="6">
        <v>1.75</v>
      </c>
      <c r="X9767" s="7">
        <v>2.0409999999999999</v>
      </c>
      <c r="Y9767" s="6">
        <v>2.25</v>
      </c>
      <c r="Z9767" s="5">
        <v>2.2999999999999998</v>
      </c>
      <c r="AA9767" s="6">
        <v>31.15</v>
      </c>
      <c r="AB9767" s="2" t="s">
        <v>86</v>
      </c>
      <c r="AC9767" s="2"/>
    </row>
    <row r="9768" spans="1:29" ht="104" x14ac:dyDescent="0.15">
      <c r="A9768" s="3">
        <f>DATE(2010,10,6)</f>
        <v>40457</v>
      </c>
      <c r="B9768" s="3">
        <f>DATE(2011,1,3)</f>
        <v>40546</v>
      </c>
      <c r="C9768" s="2" t="s">
        <v>95</v>
      </c>
      <c r="D9768" s="2" t="s">
        <v>28686</v>
      </c>
      <c r="E9768" s="2" t="s">
        <v>36</v>
      </c>
      <c r="F9768" s="4">
        <v>6021</v>
      </c>
      <c r="G9768" s="2" t="s">
        <v>37</v>
      </c>
      <c r="H9768" s="2" t="s">
        <v>34</v>
      </c>
      <c r="I9768" s="2" t="s">
        <v>7744</v>
      </c>
      <c r="J9768" s="2" t="s">
        <v>36</v>
      </c>
      <c r="K9768" s="2" t="s">
        <v>37</v>
      </c>
      <c r="L9768" s="2" t="s">
        <v>34</v>
      </c>
      <c r="M9768" s="7">
        <v>831.61099999999999</v>
      </c>
      <c r="N9768" s="5">
        <v>10.1</v>
      </c>
      <c r="O9768" s="6">
        <v>9.85</v>
      </c>
      <c r="P9768" s="2" t="s">
        <v>28687</v>
      </c>
      <c r="Q9768" s="6">
        <v>100</v>
      </c>
      <c r="R9768" s="6">
        <v>13.35</v>
      </c>
      <c r="S9768" s="5">
        <v>-1.1000000000000001</v>
      </c>
      <c r="T9768" s="7">
        <v>-1.5609999999999999</v>
      </c>
      <c r="U9768" s="5">
        <v>9</v>
      </c>
      <c r="V9768" s="7">
        <v>-0.182</v>
      </c>
      <c r="W9768" s="6">
        <v>4.6100000000000003</v>
      </c>
      <c r="X9768" s="6">
        <v>5.38</v>
      </c>
      <c r="Y9768" s="6">
        <v>11.25</v>
      </c>
      <c r="Z9768" s="5">
        <v>11.2</v>
      </c>
      <c r="AA9768" s="6">
        <v>6.23</v>
      </c>
      <c r="AB9768" s="2" t="s">
        <v>86</v>
      </c>
      <c r="AC9768" s="2"/>
    </row>
    <row r="9769" spans="1:29" ht="156" x14ac:dyDescent="0.15">
      <c r="A9769" s="3">
        <f>DATE(2010,10,6)</f>
        <v>40457</v>
      </c>
      <c r="B9769" s="3">
        <f>DATE(2011,1,10)</f>
        <v>40553</v>
      </c>
      <c r="C9769" s="2" t="s">
        <v>95</v>
      </c>
      <c r="D9769" s="2" t="s">
        <v>28688</v>
      </c>
      <c r="E9769" s="2" t="s">
        <v>28689</v>
      </c>
      <c r="F9769" s="4">
        <v>3533</v>
      </c>
      <c r="G9769" s="2" t="s">
        <v>300</v>
      </c>
      <c r="H9769" s="2" t="s">
        <v>34</v>
      </c>
      <c r="I9769" s="2" t="s">
        <v>28690</v>
      </c>
      <c r="J9769" s="2" t="s">
        <v>28691</v>
      </c>
      <c r="K9769" s="2" t="s">
        <v>163</v>
      </c>
      <c r="L9769" s="2" t="s">
        <v>34</v>
      </c>
      <c r="M9769" s="10">
        <v>1107.8699999999999</v>
      </c>
      <c r="N9769" s="6">
        <v>25.29</v>
      </c>
      <c r="O9769" s="6">
        <v>26.73</v>
      </c>
      <c r="P9769" s="2" t="s">
        <v>28692</v>
      </c>
      <c r="Q9769" s="6">
        <v>100</v>
      </c>
      <c r="R9769" s="6">
        <v>31.8</v>
      </c>
      <c r="S9769" s="5">
        <v>13.2</v>
      </c>
      <c r="T9769" s="7">
        <v>30.532</v>
      </c>
      <c r="U9769" s="5">
        <v>19.2</v>
      </c>
      <c r="V9769" s="6">
        <v>1</v>
      </c>
      <c r="W9769" s="6">
        <v>25.88</v>
      </c>
      <c r="X9769" s="6">
        <v>27.15</v>
      </c>
      <c r="Y9769" s="6">
        <v>29.98</v>
      </c>
      <c r="Z9769" s="6">
        <v>31.37</v>
      </c>
      <c r="AA9769" s="6">
        <v>14.41</v>
      </c>
      <c r="AB9769" s="7">
        <v>19.736999999999998</v>
      </c>
      <c r="AC9769" s="6">
        <v>149.21</v>
      </c>
    </row>
    <row r="9770" spans="1:29" ht="52" x14ac:dyDescent="0.15">
      <c r="A9770" s="3">
        <f>DATE(2010,10,7)</f>
        <v>40458</v>
      </c>
      <c r="B9770" s="2"/>
      <c r="C9770" s="2" t="s">
        <v>87</v>
      </c>
      <c r="D9770" s="2" t="s">
        <v>6406</v>
      </c>
      <c r="E9770" s="2" t="s">
        <v>781</v>
      </c>
      <c r="F9770" s="4">
        <v>7372</v>
      </c>
      <c r="G9770" s="2" t="s">
        <v>551</v>
      </c>
      <c r="H9770" s="2" t="s">
        <v>34</v>
      </c>
      <c r="I9770" s="2" t="s">
        <v>15288</v>
      </c>
      <c r="J9770" s="2" t="s">
        <v>1550</v>
      </c>
      <c r="K9770" s="2" t="s">
        <v>551</v>
      </c>
      <c r="L9770" s="2" t="s">
        <v>34</v>
      </c>
      <c r="M9770" s="12">
        <v>207772.152</v>
      </c>
      <c r="N9770" s="6">
        <v>24.53</v>
      </c>
      <c r="O9770" s="6">
        <v>24.57</v>
      </c>
      <c r="P9770" s="2" t="s">
        <v>28693</v>
      </c>
      <c r="Q9770" s="2"/>
      <c r="R9770" s="2"/>
      <c r="S9770" s="5">
        <v>473.8</v>
      </c>
      <c r="T9770" s="10">
        <v>1188.49</v>
      </c>
      <c r="U9770" s="5">
        <v>9.9</v>
      </c>
      <c r="V9770" s="6">
        <v>0.89</v>
      </c>
      <c r="W9770" s="6">
        <v>26.15</v>
      </c>
      <c r="X9770" s="6">
        <v>25.73</v>
      </c>
      <c r="Y9770" s="6">
        <v>28.69</v>
      </c>
      <c r="Z9770" s="6">
        <v>26.99</v>
      </c>
      <c r="AA9770" s="6">
        <v>525.22</v>
      </c>
      <c r="AB9770" s="2" t="s">
        <v>47</v>
      </c>
      <c r="AC9770" s="8">
        <v>44422</v>
      </c>
    </row>
    <row r="9771" spans="1:29" ht="104" x14ac:dyDescent="0.15">
      <c r="A9771" s="3">
        <f>DATE(2010,10,7)</f>
        <v>40458</v>
      </c>
      <c r="B9771" s="2"/>
      <c r="C9771" s="2" t="s">
        <v>87</v>
      </c>
      <c r="D9771" s="2" t="s">
        <v>11423</v>
      </c>
      <c r="E9771" s="2" t="s">
        <v>11424</v>
      </c>
      <c r="F9771" s="4">
        <v>7372</v>
      </c>
      <c r="G9771" s="2" t="s">
        <v>551</v>
      </c>
      <c r="H9771" s="2" t="s">
        <v>34</v>
      </c>
      <c r="I9771" s="2" t="s">
        <v>143</v>
      </c>
      <c r="J9771" s="2" t="s">
        <v>144</v>
      </c>
      <c r="K9771" s="2" t="s">
        <v>53</v>
      </c>
      <c r="L9771" s="2" t="s">
        <v>139</v>
      </c>
      <c r="M9771" s="2"/>
      <c r="N9771" s="2"/>
      <c r="O9771" s="2"/>
      <c r="P9771" s="2" t="s">
        <v>28694</v>
      </c>
      <c r="Q9771" s="2"/>
      <c r="R9771" s="2"/>
      <c r="S9771" s="5">
        <v>454.1</v>
      </c>
      <c r="T9771" s="5">
        <v>698.3</v>
      </c>
      <c r="U9771" s="5">
        <v>8.3000000000000007</v>
      </c>
      <c r="V9771" s="9">
        <v>2.5068999999999999</v>
      </c>
      <c r="W9771" s="6">
        <v>40.479999999999997</v>
      </c>
      <c r="X9771" s="6">
        <v>39.65</v>
      </c>
      <c r="Y9771" s="6">
        <v>42.32</v>
      </c>
      <c r="Z9771" s="5">
        <v>42.2</v>
      </c>
      <c r="AA9771" s="6">
        <v>178.63</v>
      </c>
      <c r="AB9771" s="2" t="s">
        <v>47</v>
      </c>
      <c r="AC9771" s="2"/>
    </row>
    <row r="9772" spans="1:29" ht="65" x14ac:dyDescent="0.15">
      <c r="A9772" s="3">
        <f>DATE(2010,10,8)</f>
        <v>40459</v>
      </c>
      <c r="B9772" s="2"/>
      <c r="C9772" s="2" t="s">
        <v>87</v>
      </c>
      <c r="D9772" s="2" t="s">
        <v>28695</v>
      </c>
      <c r="E9772" s="2" t="s">
        <v>13693</v>
      </c>
      <c r="F9772" s="4">
        <v>3841</v>
      </c>
      <c r="G9772" s="2" t="s">
        <v>226</v>
      </c>
      <c r="H9772" s="2" t="s">
        <v>34</v>
      </c>
      <c r="I9772" s="2" t="s">
        <v>629</v>
      </c>
      <c r="J9772" s="2" t="s">
        <v>630</v>
      </c>
      <c r="K9772" s="2" t="s">
        <v>130</v>
      </c>
      <c r="L9772" s="2" t="s">
        <v>34</v>
      </c>
      <c r="M9772" s="12">
        <v>46386.481</v>
      </c>
      <c r="N9772" s="6">
        <v>27.16</v>
      </c>
      <c r="O9772" s="6">
        <v>27.36</v>
      </c>
      <c r="P9772" s="2" t="s">
        <v>28696</v>
      </c>
      <c r="Q9772" s="2"/>
      <c r="R9772" s="2"/>
      <c r="S9772" s="5">
        <v>-37.1</v>
      </c>
      <c r="T9772" s="7">
        <v>-25.931000000000001</v>
      </c>
      <c r="U9772" s="5">
        <v>250.1</v>
      </c>
      <c r="V9772" s="6">
        <v>-258.56</v>
      </c>
      <c r="W9772" s="6">
        <v>7.36</v>
      </c>
      <c r="X9772" s="5">
        <v>8.1</v>
      </c>
      <c r="Y9772" s="6">
        <v>8.8800000000000008</v>
      </c>
      <c r="Z9772" s="6">
        <v>8.43</v>
      </c>
      <c r="AA9772" s="6">
        <v>37.28</v>
      </c>
      <c r="AB9772" s="2" t="s">
        <v>86</v>
      </c>
      <c r="AC9772" s="8">
        <v>8359</v>
      </c>
    </row>
    <row r="9773" spans="1:29" ht="65" x14ac:dyDescent="0.15">
      <c r="A9773" s="3">
        <f>DATE(2010,10,11)</f>
        <v>40462</v>
      </c>
      <c r="B9773" s="3">
        <f>DATE(2010,12,16)</f>
        <v>40528</v>
      </c>
      <c r="C9773" s="2" t="s">
        <v>95</v>
      </c>
      <c r="D9773" s="2" t="s">
        <v>28697</v>
      </c>
      <c r="E9773" s="2" t="s">
        <v>28698</v>
      </c>
      <c r="F9773" s="4">
        <v>7372</v>
      </c>
      <c r="G9773" s="2" t="s">
        <v>551</v>
      </c>
      <c r="H9773" s="2" t="s">
        <v>34</v>
      </c>
      <c r="I9773" s="2" t="s">
        <v>24129</v>
      </c>
      <c r="J9773" s="2" t="s">
        <v>24130</v>
      </c>
      <c r="K9773" s="2" t="s">
        <v>163</v>
      </c>
      <c r="L9773" s="2" t="s">
        <v>435</v>
      </c>
      <c r="M9773" s="12">
        <v>8147.0739999999996</v>
      </c>
      <c r="N9773" s="7">
        <v>24.806000000000001</v>
      </c>
      <c r="O9773" s="7">
        <v>24.908000000000001</v>
      </c>
      <c r="P9773" s="2" t="s">
        <v>28699</v>
      </c>
      <c r="Q9773" s="6">
        <v>100</v>
      </c>
      <c r="R9773" s="6">
        <v>3.25</v>
      </c>
      <c r="S9773" s="5">
        <v>5.5</v>
      </c>
      <c r="T9773" s="6">
        <v>-3.64</v>
      </c>
      <c r="U9773" s="2"/>
      <c r="V9773" s="6">
        <v>-0.12</v>
      </c>
      <c r="W9773" s="5">
        <v>2.2000000000000002</v>
      </c>
      <c r="X9773" s="6">
        <v>2.27</v>
      </c>
      <c r="Y9773" s="6">
        <v>2.2599999999999998</v>
      </c>
      <c r="Z9773" s="6">
        <v>3.23</v>
      </c>
      <c r="AA9773" s="6">
        <v>47.27</v>
      </c>
      <c r="AB9773" s="2" t="s">
        <v>86</v>
      </c>
      <c r="AC9773" s="6">
        <v>219.05</v>
      </c>
    </row>
    <row r="9774" spans="1:29" ht="143" x14ac:dyDescent="0.15">
      <c r="A9774" s="3">
        <f>DATE(2010,10,11)</f>
        <v>40462</v>
      </c>
      <c r="B9774" s="2"/>
      <c r="C9774" s="2" t="s">
        <v>30</v>
      </c>
      <c r="D9774" s="2" t="s">
        <v>27970</v>
      </c>
      <c r="E9774" s="2" t="s">
        <v>515</v>
      </c>
      <c r="F9774" s="4">
        <v>6331</v>
      </c>
      <c r="G9774" s="2" t="s">
        <v>125</v>
      </c>
      <c r="H9774" s="2" t="s">
        <v>34</v>
      </c>
      <c r="I9774" s="2" t="s">
        <v>28700</v>
      </c>
      <c r="J9774" s="2" t="s">
        <v>4601</v>
      </c>
      <c r="K9774" s="2" t="s">
        <v>230</v>
      </c>
      <c r="L9774" s="2" t="s">
        <v>34</v>
      </c>
      <c r="M9774" s="7">
        <v>465.39299999999997</v>
      </c>
      <c r="N9774" s="6">
        <v>338.99</v>
      </c>
      <c r="O9774" s="6">
        <v>346.74</v>
      </c>
      <c r="P9774" s="2" t="s">
        <v>28701</v>
      </c>
      <c r="Q9774" s="2"/>
      <c r="R9774" s="6">
        <v>31</v>
      </c>
      <c r="S9774" s="5">
        <v>4.2</v>
      </c>
      <c r="T9774" s="2"/>
      <c r="U9774" s="2"/>
      <c r="V9774" s="2"/>
      <c r="W9774" s="5">
        <v>21.5</v>
      </c>
      <c r="X9774" s="5">
        <v>20.5</v>
      </c>
      <c r="Y9774" s="5">
        <v>20.5</v>
      </c>
      <c r="Z9774" s="6">
        <v>27.25</v>
      </c>
      <c r="AA9774" s="6">
        <v>1.77</v>
      </c>
      <c r="AB9774" s="2" t="s">
        <v>47</v>
      </c>
      <c r="AC9774" s="6">
        <v>86.86</v>
      </c>
    </row>
    <row r="9775" spans="1:29" ht="104" x14ac:dyDescent="0.15">
      <c r="A9775" s="3">
        <f>DATE(2010,10,11)</f>
        <v>40462</v>
      </c>
      <c r="B9775" s="3">
        <f>DATE(2010,11,23)</f>
        <v>40505</v>
      </c>
      <c r="C9775" s="2" t="s">
        <v>95</v>
      </c>
      <c r="D9775" s="2" t="s">
        <v>28702</v>
      </c>
      <c r="E9775" s="2" t="s">
        <v>27525</v>
      </c>
      <c r="F9775" s="4">
        <v>5641</v>
      </c>
      <c r="G9775" s="2" t="s">
        <v>756</v>
      </c>
      <c r="H9775" s="2" t="s">
        <v>34</v>
      </c>
      <c r="I9775" s="2" t="s">
        <v>16037</v>
      </c>
      <c r="J9775" s="2" t="s">
        <v>244</v>
      </c>
      <c r="K9775" s="2" t="s">
        <v>53</v>
      </c>
      <c r="L9775" s="2" t="s">
        <v>34</v>
      </c>
      <c r="M9775" s="2"/>
      <c r="N9775" s="2"/>
      <c r="O9775" s="2"/>
      <c r="P9775" s="2" t="s">
        <v>28703</v>
      </c>
      <c r="Q9775" s="6">
        <v>100</v>
      </c>
      <c r="R9775" s="6">
        <v>65.400000000000006</v>
      </c>
      <c r="S9775" s="2"/>
      <c r="T9775" s="2"/>
      <c r="U9775" s="5">
        <v>13.9</v>
      </c>
      <c r="V9775" s="2"/>
      <c r="W9775" s="5">
        <v>43.2</v>
      </c>
      <c r="X9775" s="6">
        <v>42.25</v>
      </c>
      <c r="Y9775" s="6">
        <v>41.54</v>
      </c>
      <c r="Z9775" s="6">
        <v>49.86</v>
      </c>
      <c r="AA9775" s="6">
        <v>27.34</v>
      </c>
      <c r="AB9775" s="2" t="s">
        <v>47</v>
      </c>
      <c r="AC9775" s="6">
        <v>160.66</v>
      </c>
    </row>
    <row r="9776" spans="1:29" ht="78" x14ac:dyDescent="0.15">
      <c r="A9776" s="3">
        <f>DATE(2010,10,11)</f>
        <v>40462</v>
      </c>
      <c r="B9776" s="2"/>
      <c r="C9776" s="2" t="s">
        <v>87</v>
      </c>
      <c r="D9776" s="2" t="s">
        <v>16444</v>
      </c>
      <c r="E9776" s="2" t="s">
        <v>16445</v>
      </c>
      <c r="F9776" s="4">
        <v>3559</v>
      </c>
      <c r="G9776" s="2" t="s">
        <v>300</v>
      </c>
      <c r="H9776" s="2" t="s">
        <v>34</v>
      </c>
      <c r="I9776" s="2" t="s">
        <v>22113</v>
      </c>
      <c r="J9776" s="2" t="s">
        <v>22114</v>
      </c>
      <c r="K9776" s="2" t="s">
        <v>137</v>
      </c>
      <c r="L9776" s="2" t="s">
        <v>1049</v>
      </c>
      <c r="M9776" s="12">
        <v>2560.607</v>
      </c>
      <c r="N9776" s="7">
        <v>28.954000000000001</v>
      </c>
      <c r="O9776" s="7">
        <v>28.716999999999999</v>
      </c>
      <c r="P9776" s="2" t="s">
        <v>28704</v>
      </c>
      <c r="Q9776" s="2"/>
      <c r="R9776" s="2"/>
      <c r="S9776" s="5">
        <v>183.3</v>
      </c>
      <c r="T9776" s="7">
        <v>214.27199999999999</v>
      </c>
      <c r="U9776" s="5">
        <v>13.5</v>
      </c>
      <c r="V9776" s="6">
        <v>4.5</v>
      </c>
      <c r="W9776" s="6">
        <v>33.71</v>
      </c>
      <c r="X9776" s="6">
        <v>36.51</v>
      </c>
      <c r="Y9776" s="6">
        <v>37.06</v>
      </c>
      <c r="Z9776" s="6">
        <v>37.03</v>
      </c>
      <c r="AA9776" s="6">
        <v>40.880000000000003</v>
      </c>
      <c r="AB9776" s="2" t="s">
        <v>47</v>
      </c>
      <c r="AC9776" s="6">
        <v>605.91</v>
      </c>
    </row>
    <row r="9777" spans="1:29" ht="104" x14ac:dyDescent="0.15">
      <c r="A9777" s="3">
        <f>DATE(2010,10,12)</f>
        <v>40463</v>
      </c>
      <c r="B9777" s="2"/>
      <c r="C9777" s="2" t="s">
        <v>87</v>
      </c>
      <c r="D9777" s="2" t="s">
        <v>28705</v>
      </c>
      <c r="E9777" s="2" t="s">
        <v>28706</v>
      </c>
      <c r="F9777" s="4">
        <v>2844</v>
      </c>
      <c r="G9777" s="2" t="s">
        <v>358</v>
      </c>
      <c r="H9777" s="2" t="s">
        <v>34</v>
      </c>
      <c r="I9777" s="2" t="s">
        <v>7258</v>
      </c>
      <c r="J9777" s="2" t="s">
        <v>28707</v>
      </c>
      <c r="K9777" s="2" t="s">
        <v>358</v>
      </c>
      <c r="L9777" s="2" t="s">
        <v>133</v>
      </c>
      <c r="M9777" s="12">
        <v>64991.184000000001</v>
      </c>
      <c r="N9777" s="6">
        <v>113.53</v>
      </c>
      <c r="O9777" s="7">
        <v>116.432</v>
      </c>
      <c r="P9777" s="2" t="s">
        <v>28708</v>
      </c>
      <c r="Q9777" s="2"/>
      <c r="R9777" s="2"/>
      <c r="S9777" s="5">
        <v>638.20000000000005</v>
      </c>
      <c r="T9777" s="8">
        <v>1364.6</v>
      </c>
      <c r="U9777" s="5">
        <v>3.5</v>
      </c>
      <c r="V9777" s="6">
        <v>1.49</v>
      </c>
      <c r="W9777" s="6">
        <v>32.130000000000003</v>
      </c>
      <c r="X9777" s="6">
        <v>33.159999999999997</v>
      </c>
      <c r="Y9777" s="6">
        <v>34.54</v>
      </c>
      <c r="Z9777" s="6">
        <v>35.49</v>
      </c>
      <c r="AA9777" s="6">
        <v>428.95</v>
      </c>
      <c r="AB9777" s="2" t="s">
        <v>47</v>
      </c>
      <c r="AC9777" s="10">
        <v>1774.61</v>
      </c>
    </row>
    <row r="9778" spans="1:29" ht="65" x14ac:dyDescent="0.15">
      <c r="A9778" s="3">
        <f>DATE(2010,10,12)</f>
        <v>40463</v>
      </c>
      <c r="B9778" s="3">
        <f>DATE(2011,2,28)</f>
        <v>40602</v>
      </c>
      <c r="C9778" s="2" t="s">
        <v>95</v>
      </c>
      <c r="D9778" s="2" t="s">
        <v>15843</v>
      </c>
      <c r="E9778" s="2" t="s">
        <v>7462</v>
      </c>
      <c r="F9778" s="4">
        <v>2834</v>
      </c>
      <c r="G9778" s="2" t="s">
        <v>130</v>
      </c>
      <c r="H9778" s="2" t="s">
        <v>34</v>
      </c>
      <c r="I9778" s="2" t="s">
        <v>7393</v>
      </c>
      <c r="J9778" s="2" t="s">
        <v>5670</v>
      </c>
      <c r="K9778" s="2" t="s">
        <v>130</v>
      </c>
      <c r="L9778" s="2" t="s">
        <v>34</v>
      </c>
      <c r="M9778" s="12">
        <v>137293.79500000001</v>
      </c>
      <c r="N9778" s="7">
        <v>17.478999999999999</v>
      </c>
      <c r="O9778" s="6">
        <v>17.73</v>
      </c>
      <c r="P9778" s="2" t="s">
        <v>28709</v>
      </c>
      <c r="Q9778" s="6">
        <v>100</v>
      </c>
      <c r="R9778" s="6">
        <v>14.25</v>
      </c>
      <c r="S9778" s="5">
        <v>83.9</v>
      </c>
      <c r="T9778" s="7">
        <v>389.637</v>
      </c>
      <c r="U9778" s="5">
        <v>9.8000000000000007</v>
      </c>
      <c r="V9778" s="6">
        <v>0.34</v>
      </c>
      <c r="W9778" s="6">
        <v>10.16</v>
      </c>
      <c r="X9778" s="6">
        <v>10.15</v>
      </c>
      <c r="Y9778" s="6">
        <v>14.14</v>
      </c>
      <c r="Z9778" s="6">
        <v>14.16</v>
      </c>
      <c r="AA9778" s="6">
        <v>249.66</v>
      </c>
      <c r="AB9778" s="7">
        <v>16.88</v>
      </c>
      <c r="AC9778" s="8">
        <v>22742</v>
      </c>
    </row>
    <row r="9779" spans="1:29" ht="143" x14ac:dyDescent="0.15">
      <c r="A9779" s="3">
        <f>DATE(2010,10,12)</f>
        <v>40463</v>
      </c>
      <c r="B9779" s="3">
        <f>DATE(2011,4,1)</f>
        <v>40634</v>
      </c>
      <c r="C9779" s="2" t="s">
        <v>95</v>
      </c>
      <c r="D9779" s="2" t="s">
        <v>28710</v>
      </c>
      <c r="E9779" s="2" t="s">
        <v>36</v>
      </c>
      <c r="F9779" s="4">
        <v>6021</v>
      </c>
      <c r="G9779" s="2" t="s">
        <v>37</v>
      </c>
      <c r="H9779" s="2" t="s">
        <v>34</v>
      </c>
      <c r="I9779" s="2" t="s">
        <v>22561</v>
      </c>
      <c r="J9779" s="2" t="s">
        <v>1304</v>
      </c>
      <c r="K9779" s="2" t="s">
        <v>33</v>
      </c>
      <c r="L9779" s="2" t="s">
        <v>34</v>
      </c>
      <c r="M9779" s="6">
        <v>263.72000000000003</v>
      </c>
      <c r="N9779" s="6">
        <v>17.98</v>
      </c>
      <c r="O9779" s="6">
        <v>18.510000000000002</v>
      </c>
      <c r="P9779" s="2" t="s">
        <v>28711</v>
      </c>
      <c r="Q9779" s="6">
        <v>100</v>
      </c>
      <c r="R9779" s="6">
        <v>10.81</v>
      </c>
      <c r="S9779" s="2"/>
      <c r="T9779" s="2"/>
      <c r="U9779" s="2"/>
      <c r="V9779" s="2"/>
      <c r="W9779" s="6">
        <v>9.26</v>
      </c>
      <c r="X9779" s="6">
        <v>9.49</v>
      </c>
      <c r="Y9779" s="6">
        <v>10.15</v>
      </c>
      <c r="Z9779" s="5">
        <v>10.5</v>
      </c>
      <c r="AA9779" s="6">
        <v>6.78</v>
      </c>
      <c r="AB9779" s="2" t="s">
        <v>47</v>
      </c>
      <c r="AC9779" s="2"/>
    </row>
    <row r="9780" spans="1:29" ht="117" x14ac:dyDescent="0.15">
      <c r="A9780" s="3">
        <f>DATE(2010,10,12)</f>
        <v>40463</v>
      </c>
      <c r="B9780" s="3">
        <f>DATE(2010,12,3)</f>
        <v>40515</v>
      </c>
      <c r="C9780" s="2" t="s">
        <v>95</v>
      </c>
      <c r="D9780" s="2" t="s">
        <v>28712</v>
      </c>
      <c r="E9780" s="2" t="s">
        <v>28713</v>
      </c>
      <c r="F9780" s="4">
        <v>7372</v>
      </c>
      <c r="G9780" s="2" t="s">
        <v>551</v>
      </c>
      <c r="H9780" s="2" t="s">
        <v>34</v>
      </c>
      <c r="I9780" s="2" t="s">
        <v>28714</v>
      </c>
      <c r="J9780" s="2" t="s">
        <v>11337</v>
      </c>
      <c r="K9780" s="2" t="s">
        <v>53</v>
      </c>
      <c r="L9780" s="2" t="s">
        <v>34</v>
      </c>
      <c r="M9780" s="2"/>
      <c r="N9780" s="2"/>
      <c r="O9780" s="2"/>
      <c r="P9780" s="2" t="s">
        <v>28715</v>
      </c>
      <c r="Q9780" s="6">
        <v>100</v>
      </c>
      <c r="R9780" s="6">
        <v>2.33</v>
      </c>
      <c r="S9780" s="5">
        <v>-5.5</v>
      </c>
      <c r="T9780" s="7">
        <v>-6.0439999999999996</v>
      </c>
      <c r="U9780" s="5">
        <v>8</v>
      </c>
      <c r="V9780" s="6">
        <v>-0.51</v>
      </c>
      <c r="W9780" s="2"/>
      <c r="X9780" s="6">
        <v>7.69</v>
      </c>
      <c r="Y9780" s="6">
        <v>7.69</v>
      </c>
      <c r="Z9780" s="7">
        <v>8.0730000000000004</v>
      </c>
      <c r="AA9780" s="6">
        <v>11.13</v>
      </c>
      <c r="AB9780" s="2" t="s">
        <v>86</v>
      </c>
      <c r="AC9780" s="2"/>
    </row>
    <row r="9781" spans="1:29" ht="65" x14ac:dyDescent="0.15">
      <c r="A9781" s="3">
        <f>DATE(2010,10,13)</f>
        <v>40464</v>
      </c>
      <c r="B9781" s="3">
        <f>DATE(2011,3,16)</f>
        <v>40618</v>
      </c>
      <c r="C9781" s="2" t="s">
        <v>95</v>
      </c>
      <c r="D9781" s="2" t="s">
        <v>28398</v>
      </c>
      <c r="E9781" s="2" t="s">
        <v>18148</v>
      </c>
      <c r="F9781" s="4">
        <v>6036</v>
      </c>
      <c r="G9781" s="2" t="s">
        <v>33</v>
      </c>
      <c r="H9781" s="2" t="s">
        <v>34</v>
      </c>
      <c r="I9781" s="2" t="s">
        <v>28716</v>
      </c>
      <c r="J9781" s="2" t="s">
        <v>11337</v>
      </c>
      <c r="K9781" s="2" t="s">
        <v>53</v>
      </c>
      <c r="L9781" s="2" t="s">
        <v>34</v>
      </c>
      <c r="M9781" s="2"/>
      <c r="N9781" s="2"/>
      <c r="O9781" s="2"/>
      <c r="P9781" s="2" t="s">
        <v>28717</v>
      </c>
      <c r="Q9781" s="6">
        <v>100</v>
      </c>
      <c r="R9781" s="6">
        <v>14.5</v>
      </c>
      <c r="S9781" s="5">
        <v>-2.2999999999999998</v>
      </c>
      <c r="T9781" s="7">
        <v>-3.452</v>
      </c>
      <c r="U9781" s="5">
        <v>12.6</v>
      </c>
      <c r="V9781" s="6">
        <v>-1.37</v>
      </c>
      <c r="W9781" s="6">
        <v>8.11</v>
      </c>
      <c r="X9781" s="6">
        <v>7.82</v>
      </c>
      <c r="Y9781" s="6">
        <v>14.14</v>
      </c>
      <c r="Z9781" s="6">
        <v>14.15</v>
      </c>
      <c r="AA9781" s="6">
        <v>1.69</v>
      </c>
      <c r="AB9781" s="2" t="s">
        <v>86</v>
      </c>
      <c r="AC9781" s="2"/>
    </row>
    <row r="9782" spans="1:29" ht="65" x14ac:dyDescent="0.15">
      <c r="A9782" s="3">
        <f>DATE(2010,10,14)</f>
        <v>40465</v>
      </c>
      <c r="B9782" s="2"/>
      <c r="C9782" s="2" t="s">
        <v>87</v>
      </c>
      <c r="D9782" s="2" t="s">
        <v>15063</v>
      </c>
      <c r="E9782" s="2" t="s">
        <v>15064</v>
      </c>
      <c r="F9782" s="4">
        <v>3572</v>
      </c>
      <c r="G9782" s="2" t="s">
        <v>50</v>
      </c>
      <c r="H9782" s="2" t="s">
        <v>34</v>
      </c>
      <c r="I9782" s="2" t="s">
        <v>8588</v>
      </c>
      <c r="J9782" s="2" t="s">
        <v>8589</v>
      </c>
      <c r="K9782" s="2" t="s">
        <v>551</v>
      </c>
      <c r="L9782" s="2" t="s">
        <v>34</v>
      </c>
      <c r="M9782" s="12">
        <v>127487.611</v>
      </c>
      <c r="N9782" s="6">
        <v>28.33</v>
      </c>
      <c r="O9782" s="5">
        <v>28.9</v>
      </c>
      <c r="P9782" s="2" t="s">
        <v>28718</v>
      </c>
      <c r="Q9782" s="2"/>
      <c r="R9782" s="2"/>
      <c r="S9782" s="8">
        <v>1662</v>
      </c>
      <c r="T9782" s="12">
        <v>3522.4349999999999</v>
      </c>
      <c r="U9782" s="5">
        <v>8.1999999999999993</v>
      </c>
      <c r="V9782" s="6">
        <v>0.78</v>
      </c>
      <c r="W9782" s="6">
        <v>19.61</v>
      </c>
      <c r="X9782" s="5">
        <v>20.3</v>
      </c>
      <c r="Y9782" s="6">
        <v>21.21</v>
      </c>
      <c r="Z9782" s="6">
        <v>21.09</v>
      </c>
      <c r="AA9782" s="10">
        <v>2053.52</v>
      </c>
      <c r="AB9782" s="2" t="s">
        <v>47</v>
      </c>
      <c r="AC9782" s="8">
        <v>23637</v>
      </c>
    </row>
    <row r="9783" spans="1:29" ht="130" x14ac:dyDescent="0.15">
      <c r="A9783" s="3">
        <f>DATE(2010,10,14)</f>
        <v>40465</v>
      </c>
      <c r="B9783" s="2"/>
      <c r="C9783" s="2" t="s">
        <v>87</v>
      </c>
      <c r="D9783" s="2" t="s">
        <v>12515</v>
      </c>
      <c r="E9783" s="2" t="s">
        <v>12371</v>
      </c>
      <c r="F9783" s="4">
        <v>7375</v>
      </c>
      <c r="G9783" s="2" t="s">
        <v>223</v>
      </c>
      <c r="H9783" s="2" t="s">
        <v>34</v>
      </c>
      <c r="I9783" s="2" t="s">
        <v>143</v>
      </c>
      <c r="J9783" s="2" t="s">
        <v>144</v>
      </c>
      <c r="K9783" s="2" t="s">
        <v>53</v>
      </c>
      <c r="L9783" s="2" t="s">
        <v>139</v>
      </c>
      <c r="M9783" s="2"/>
      <c r="N9783" s="2"/>
      <c r="O9783" s="2"/>
      <c r="P9783" s="2" t="s">
        <v>28719</v>
      </c>
      <c r="Q9783" s="2"/>
      <c r="R9783" s="2"/>
      <c r="S9783" s="8">
        <v>1072.4000000000001</v>
      </c>
      <c r="T9783" s="12">
        <v>1398.9359999999999</v>
      </c>
      <c r="U9783" s="5">
        <v>9.3000000000000007</v>
      </c>
      <c r="V9783" s="6">
        <v>0.77</v>
      </c>
      <c r="W9783" s="6">
        <v>14.23</v>
      </c>
      <c r="X9783" s="6">
        <v>15.25</v>
      </c>
      <c r="Y9783" s="6">
        <v>15.93</v>
      </c>
      <c r="Z9783" s="6">
        <v>16.25</v>
      </c>
      <c r="AA9783" s="10">
        <v>1400.2</v>
      </c>
      <c r="AB9783" s="2" t="s">
        <v>47</v>
      </c>
      <c r="AC9783" s="2"/>
    </row>
    <row r="9784" spans="1:29" ht="156" x14ac:dyDescent="0.15">
      <c r="A9784" s="3">
        <f>DATE(2010,10,15)</f>
        <v>40466</v>
      </c>
      <c r="B9784" s="3">
        <f>DATE(2011,4,11)</f>
        <v>40644</v>
      </c>
      <c r="C9784" s="2" t="s">
        <v>95</v>
      </c>
      <c r="D9784" s="2" t="s">
        <v>28720</v>
      </c>
      <c r="E9784" s="2" t="s">
        <v>36</v>
      </c>
      <c r="F9784" s="4">
        <v>6021</v>
      </c>
      <c r="G9784" s="2" t="s">
        <v>37</v>
      </c>
      <c r="H9784" s="2" t="s">
        <v>34</v>
      </c>
      <c r="I9784" s="2" t="s">
        <v>27279</v>
      </c>
      <c r="J9784" s="2" t="s">
        <v>36</v>
      </c>
      <c r="K9784" s="2" t="s">
        <v>37</v>
      </c>
      <c r="L9784" s="2" t="s">
        <v>34</v>
      </c>
      <c r="M9784" s="7">
        <v>100.268</v>
      </c>
      <c r="N9784" s="5">
        <v>20.5</v>
      </c>
      <c r="O9784" s="5">
        <v>20.5</v>
      </c>
      <c r="P9784" s="2" t="s">
        <v>28721</v>
      </c>
      <c r="Q9784" s="6">
        <v>100</v>
      </c>
      <c r="R9784" s="6">
        <v>7.68</v>
      </c>
      <c r="S9784" s="2"/>
      <c r="T9784" s="2"/>
      <c r="U9784" s="2"/>
      <c r="V9784" s="2"/>
      <c r="W9784" s="6">
        <v>4.55</v>
      </c>
      <c r="X9784" s="6">
        <v>4.55</v>
      </c>
      <c r="Y9784" s="5">
        <v>6.5</v>
      </c>
      <c r="Z9784" s="5">
        <v>6.5</v>
      </c>
      <c r="AA9784" s="6">
        <v>3.52</v>
      </c>
      <c r="AB9784" s="2" t="s">
        <v>47</v>
      </c>
      <c r="AC9784" s="2"/>
    </row>
    <row r="9785" spans="1:29" ht="117" x14ac:dyDescent="0.15">
      <c r="A9785" s="3">
        <f>DATE(2010,10,15)</f>
        <v>40466</v>
      </c>
      <c r="B9785" s="3">
        <f>DATE(2010,12,2)</f>
        <v>40514</v>
      </c>
      <c r="C9785" s="2" t="s">
        <v>95</v>
      </c>
      <c r="D9785" s="2" t="s">
        <v>28722</v>
      </c>
      <c r="E9785" s="2" t="s">
        <v>28723</v>
      </c>
      <c r="F9785" s="4">
        <v>3714</v>
      </c>
      <c r="G9785" s="2" t="s">
        <v>105</v>
      </c>
      <c r="H9785" s="2" t="s">
        <v>34</v>
      </c>
      <c r="I9785" s="2" t="s">
        <v>15042</v>
      </c>
      <c r="J9785" s="2" t="s">
        <v>15043</v>
      </c>
      <c r="K9785" s="2" t="s">
        <v>447</v>
      </c>
      <c r="L9785" s="2" t="s">
        <v>34</v>
      </c>
      <c r="M9785" s="12">
        <v>1787.297</v>
      </c>
      <c r="N9785" s="6">
        <v>32.72</v>
      </c>
      <c r="O9785" s="6">
        <v>32.909999999999997</v>
      </c>
      <c r="P9785" s="2" t="s">
        <v>28724</v>
      </c>
      <c r="Q9785" s="6">
        <v>100</v>
      </c>
      <c r="R9785" s="6">
        <v>50</v>
      </c>
      <c r="S9785" s="5">
        <v>19.3</v>
      </c>
      <c r="T9785" s="7">
        <v>44.904000000000003</v>
      </c>
      <c r="U9785" s="5">
        <v>11.2</v>
      </c>
      <c r="V9785" s="6">
        <v>2.34</v>
      </c>
      <c r="W9785" s="6">
        <v>23.45</v>
      </c>
      <c r="X9785" s="6">
        <v>25.45</v>
      </c>
      <c r="Y9785" s="5">
        <v>27.4</v>
      </c>
      <c r="Z9785" s="6">
        <v>27.25</v>
      </c>
      <c r="AA9785" s="6">
        <v>8.49</v>
      </c>
      <c r="AB9785" s="7">
        <v>10.919</v>
      </c>
      <c r="AC9785" s="5">
        <v>114.8</v>
      </c>
    </row>
    <row r="9786" spans="1:29" ht="91" x14ac:dyDescent="0.15">
      <c r="A9786" s="3">
        <f>DATE(2010,10,15)</f>
        <v>40466</v>
      </c>
      <c r="B9786" s="2"/>
      <c r="C9786" s="2" t="s">
        <v>141</v>
      </c>
      <c r="D9786" s="2" t="s">
        <v>28725</v>
      </c>
      <c r="E9786" s="2" t="s">
        <v>28726</v>
      </c>
      <c r="F9786" s="4">
        <v>3572</v>
      </c>
      <c r="G9786" s="2" t="s">
        <v>50</v>
      </c>
      <c r="H9786" s="2" t="s">
        <v>34</v>
      </c>
      <c r="I9786" s="2" t="s">
        <v>143</v>
      </c>
      <c r="J9786" s="2" t="s">
        <v>144</v>
      </c>
      <c r="K9786" s="2" t="s">
        <v>53</v>
      </c>
      <c r="L9786" s="2" t="s">
        <v>139</v>
      </c>
      <c r="M9786" s="2"/>
      <c r="N9786" s="2"/>
      <c r="O9786" s="2"/>
      <c r="P9786" s="2" t="s">
        <v>28727</v>
      </c>
      <c r="Q9786" s="2"/>
      <c r="R9786" s="2"/>
      <c r="S9786" s="8">
        <v>1584</v>
      </c>
      <c r="T9786" s="8">
        <v>2515</v>
      </c>
      <c r="U9786" s="5">
        <v>6.2</v>
      </c>
      <c r="V9786" s="6">
        <v>3.09</v>
      </c>
      <c r="W9786" s="5">
        <v>12.2</v>
      </c>
      <c r="X9786" s="6">
        <v>12.69</v>
      </c>
      <c r="Y9786" s="5">
        <v>15.5</v>
      </c>
      <c r="Z9786" s="6">
        <v>15.92</v>
      </c>
      <c r="AA9786" s="6">
        <v>472.07</v>
      </c>
      <c r="AB9786" s="2" t="s">
        <v>47</v>
      </c>
      <c r="AC9786" s="2"/>
    </row>
    <row r="9787" spans="1:29" ht="208" x14ac:dyDescent="0.15">
      <c r="A9787" s="3">
        <f>DATE(2010,10,18)</f>
        <v>40469</v>
      </c>
      <c r="B9787" s="3">
        <f>DATE(2010,11,18)</f>
        <v>40500</v>
      </c>
      <c r="C9787" s="2" t="s">
        <v>95</v>
      </c>
      <c r="D9787" s="2" t="s">
        <v>28728</v>
      </c>
      <c r="E9787" s="2" t="s">
        <v>28729</v>
      </c>
      <c r="F9787" s="4">
        <v>3845</v>
      </c>
      <c r="G9787" s="2" t="s">
        <v>226</v>
      </c>
      <c r="H9787" s="2" t="s">
        <v>34</v>
      </c>
      <c r="I9787" s="2" t="s">
        <v>28730</v>
      </c>
      <c r="J9787" s="2" t="s">
        <v>11337</v>
      </c>
      <c r="K9787" s="2" t="s">
        <v>53</v>
      </c>
      <c r="L9787" s="2" t="s">
        <v>34</v>
      </c>
      <c r="M9787" s="2"/>
      <c r="N9787" s="2"/>
      <c r="O9787" s="2"/>
      <c r="P9787" s="2" t="s">
        <v>28731</v>
      </c>
      <c r="Q9787" s="6">
        <v>100</v>
      </c>
      <c r="R9787" s="6">
        <v>20.8</v>
      </c>
      <c r="S9787" s="5">
        <v>-16.399999999999999</v>
      </c>
      <c r="T9787" s="7">
        <v>42.284999999999997</v>
      </c>
      <c r="U9787" s="5">
        <v>0.5</v>
      </c>
      <c r="V9787" s="6">
        <v>-0.19</v>
      </c>
      <c r="W9787" s="5">
        <v>14.5</v>
      </c>
      <c r="X9787" s="6">
        <v>14.71</v>
      </c>
      <c r="Y9787" s="5">
        <v>20.7</v>
      </c>
      <c r="Z9787" s="6">
        <v>20.69</v>
      </c>
      <c r="AA9787" s="6">
        <v>53.21</v>
      </c>
      <c r="AB9787" s="7">
        <v>79.489000000000004</v>
      </c>
      <c r="AC9787" s="2"/>
    </row>
    <row r="9788" spans="1:29" ht="78" x14ac:dyDescent="0.15">
      <c r="A9788" s="3">
        <f>DATE(2010,10,18)</f>
        <v>40469</v>
      </c>
      <c r="B9788" s="3">
        <f>DATE(2010,12,21)</f>
        <v>40533</v>
      </c>
      <c r="C9788" s="2" t="s">
        <v>95</v>
      </c>
      <c r="D9788" s="2" t="s">
        <v>28732</v>
      </c>
      <c r="E9788" s="2" t="s">
        <v>28733</v>
      </c>
      <c r="F9788" s="4">
        <v>4499</v>
      </c>
      <c r="G9788" s="2" t="s">
        <v>173</v>
      </c>
      <c r="H9788" s="2" t="s">
        <v>34</v>
      </c>
      <c r="I9788" s="2" t="s">
        <v>22009</v>
      </c>
      <c r="J9788" s="2" t="s">
        <v>244</v>
      </c>
      <c r="K9788" s="2" t="s">
        <v>53</v>
      </c>
      <c r="L9788" s="2" t="s">
        <v>34</v>
      </c>
      <c r="M9788" s="2"/>
      <c r="N9788" s="2"/>
      <c r="O9788" s="2"/>
      <c r="P9788" s="2" t="s">
        <v>28734</v>
      </c>
      <c r="Q9788" s="6">
        <v>100</v>
      </c>
      <c r="R9788" s="6">
        <v>33</v>
      </c>
      <c r="S9788" s="5">
        <v>9.6</v>
      </c>
      <c r="T9788" s="7">
        <v>122.246</v>
      </c>
      <c r="U9788" s="5">
        <v>13.4</v>
      </c>
      <c r="V9788" s="6">
        <v>0.74</v>
      </c>
      <c r="W9788" s="6">
        <v>32.18</v>
      </c>
      <c r="X9788" s="6">
        <v>33.31</v>
      </c>
      <c r="Y9788" s="5">
        <v>34.1</v>
      </c>
      <c r="Z9788" s="5">
        <v>33.9</v>
      </c>
      <c r="AA9788" s="6">
        <v>13.47</v>
      </c>
      <c r="AB9788" s="7">
        <v>10.327</v>
      </c>
      <c r="AC9788" s="2"/>
    </row>
    <row r="9789" spans="1:29" ht="169" x14ac:dyDescent="0.15">
      <c r="A9789" s="3">
        <f>DATE(2010,10,18)</f>
        <v>40469</v>
      </c>
      <c r="B9789" s="3">
        <f>DATE(2011,3,11)</f>
        <v>40613</v>
      </c>
      <c r="C9789" s="2" t="s">
        <v>95</v>
      </c>
      <c r="D9789" s="2" t="s">
        <v>16920</v>
      </c>
      <c r="E9789" s="2" t="s">
        <v>26736</v>
      </c>
      <c r="F9789" s="4">
        <v>7374</v>
      </c>
      <c r="G9789" s="2" t="s">
        <v>223</v>
      </c>
      <c r="H9789" s="2" t="s">
        <v>34</v>
      </c>
      <c r="I9789" s="2" t="s">
        <v>26734</v>
      </c>
      <c r="J9789" s="2" t="s">
        <v>16921</v>
      </c>
      <c r="K9789" s="2" t="s">
        <v>223</v>
      </c>
      <c r="L9789" s="2" t="s">
        <v>34</v>
      </c>
      <c r="M9789" s="7">
        <v>282.87799999999999</v>
      </c>
      <c r="N9789" s="7">
        <v>2.282</v>
      </c>
      <c r="O9789" s="7">
        <v>2.1579999999999999</v>
      </c>
      <c r="P9789" s="2" t="s">
        <v>28735</v>
      </c>
      <c r="Q9789" s="6">
        <v>17.84</v>
      </c>
      <c r="R9789" s="2"/>
      <c r="S9789" s="5">
        <v>31.1</v>
      </c>
      <c r="T9789" s="7">
        <v>73.093000000000004</v>
      </c>
      <c r="U9789" s="5">
        <v>-0.8</v>
      </c>
      <c r="V9789" s="6">
        <v>0.83</v>
      </c>
      <c r="W9789" s="6">
        <v>11.52</v>
      </c>
      <c r="X9789" s="6">
        <v>11.64</v>
      </c>
      <c r="Y9789" s="6">
        <v>8.39</v>
      </c>
      <c r="Z9789" s="6">
        <v>8.14</v>
      </c>
      <c r="AA9789" s="6">
        <v>37.56</v>
      </c>
      <c r="AB9789" s="7">
        <v>42.164999999999999</v>
      </c>
      <c r="AC9789" s="6">
        <v>66.78</v>
      </c>
    </row>
    <row r="9790" spans="1:29" ht="156" x14ac:dyDescent="0.15">
      <c r="A9790" s="3">
        <f>DATE(2010,10,18)</f>
        <v>40469</v>
      </c>
      <c r="B9790" s="3">
        <f>DATE(2012,4,10)</f>
        <v>41009</v>
      </c>
      <c r="C9790" s="2" t="s">
        <v>95</v>
      </c>
      <c r="D9790" s="2" t="s">
        <v>28736</v>
      </c>
      <c r="E9790" s="2" t="s">
        <v>3759</v>
      </c>
      <c r="F9790" s="4">
        <v>4911</v>
      </c>
      <c r="G9790" s="2" t="s">
        <v>439</v>
      </c>
      <c r="H9790" s="2" t="s">
        <v>34</v>
      </c>
      <c r="I9790" s="2" t="s">
        <v>14675</v>
      </c>
      <c r="J9790" s="2" t="s">
        <v>1977</v>
      </c>
      <c r="K9790" s="2" t="s">
        <v>439</v>
      </c>
      <c r="L9790" s="2" t="s">
        <v>34</v>
      </c>
      <c r="M9790" s="12">
        <v>5192.9210000000003</v>
      </c>
      <c r="N9790" s="6">
        <v>30.42</v>
      </c>
      <c r="O9790" s="6">
        <v>30.79</v>
      </c>
      <c r="P9790" s="2" t="s">
        <v>28737</v>
      </c>
      <c r="Q9790" s="6">
        <v>100</v>
      </c>
      <c r="R9790" s="6">
        <v>40.28</v>
      </c>
      <c r="S9790" s="5">
        <v>247.3</v>
      </c>
      <c r="T9790" s="12">
        <v>1080.8530000000001</v>
      </c>
      <c r="U9790" s="5">
        <v>18.600000000000001</v>
      </c>
      <c r="V9790" s="6">
        <v>2.17</v>
      </c>
      <c r="W9790" s="6">
        <v>39.36</v>
      </c>
      <c r="X9790" s="6">
        <v>39.53</v>
      </c>
      <c r="Y9790" s="5">
        <v>39.299999999999997</v>
      </c>
      <c r="Z9790" s="6">
        <v>39.86</v>
      </c>
      <c r="AA9790" s="6">
        <v>103.59</v>
      </c>
      <c r="AB9790" s="7">
        <v>9.0730000000000004</v>
      </c>
      <c r="AC9790" s="5">
        <v>131.80000000000001</v>
      </c>
    </row>
    <row r="9791" spans="1:29" ht="104" x14ac:dyDescent="0.15">
      <c r="A9791" s="3">
        <f>DATE(2010,10,18)</f>
        <v>40469</v>
      </c>
      <c r="B9791" s="2"/>
      <c r="C9791" s="2" t="s">
        <v>30</v>
      </c>
      <c r="D9791" s="2" t="s">
        <v>28738</v>
      </c>
      <c r="E9791" s="2" t="s">
        <v>5309</v>
      </c>
      <c r="F9791" s="4">
        <v>1311</v>
      </c>
      <c r="G9791" s="2" t="s">
        <v>148</v>
      </c>
      <c r="H9791" s="2" t="s">
        <v>34</v>
      </c>
      <c r="I9791" s="2" t="s">
        <v>51</v>
      </c>
      <c r="J9791" s="2" t="s">
        <v>52</v>
      </c>
      <c r="K9791" s="2" t="s">
        <v>53</v>
      </c>
      <c r="L9791" s="2" t="s">
        <v>34</v>
      </c>
      <c r="M9791" s="2"/>
      <c r="N9791" s="2"/>
      <c r="O9791" s="2"/>
      <c r="P9791" s="2" t="s">
        <v>28739</v>
      </c>
      <c r="Q9791" s="2"/>
      <c r="R9791" s="2"/>
      <c r="S9791" s="5">
        <v>149.30000000000001</v>
      </c>
      <c r="T9791" s="12">
        <v>1036.8440000000001</v>
      </c>
      <c r="U9791" s="5">
        <v>4.9000000000000004</v>
      </c>
      <c r="V9791" s="6">
        <v>0.87</v>
      </c>
      <c r="W9791" s="6">
        <v>12.66</v>
      </c>
      <c r="X9791" s="6">
        <v>12.61</v>
      </c>
      <c r="Y9791" s="6">
        <v>14.65</v>
      </c>
      <c r="Z9791" s="6">
        <v>14.66</v>
      </c>
      <c r="AA9791" s="6">
        <v>170.36</v>
      </c>
      <c r="AB9791" s="2" t="s">
        <v>47</v>
      </c>
      <c r="AC9791" s="2"/>
    </row>
    <row r="9792" spans="1:29" ht="117" x14ac:dyDescent="0.15">
      <c r="A9792" s="3">
        <f>DATE(2010,10,19)</f>
        <v>40470</v>
      </c>
      <c r="B9792" s="3">
        <f>DATE(2010,12,6)</f>
        <v>40518</v>
      </c>
      <c r="C9792" s="2" t="s">
        <v>95</v>
      </c>
      <c r="D9792" s="2" t="s">
        <v>28740</v>
      </c>
      <c r="E9792" s="2" t="s">
        <v>28741</v>
      </c>
      <c r="F9792" s="4">
        <v>3845</v>
      </c>
      <c r="G9792" s="2" t="s">
        <v>226</v>
      </c>
      <c r="H9792" s="2" t="s">
        <v>34</v>
      </c>
      <c r="I9792" s="2" t="s">
        <v>26503</v>
      </c>
      <c r="J9792" s="2" t="s">
        <v>26504</v>
      </c>
      <c r="K9792" s="2" t="s">
        <v>226</v>
      </c>
      <c r="L9792" s="2" t="s">
        <v>17048</v>
      </c>
      <c r="M9792" s="10">
        <v>1276.69</v>
      </c>
      <c r="N9792" s="7">
        <v>6.8550000000000004</v>
      </c>
      <c r="O9792" s="7">
        <v>6.7110000000000003</v>
      </c>
      <c r="P9792" s="2" t="s">
        <v>28742</v>
      </c>
      <c r="Q9792" s="6">
        <v>100</v>
      </c>
      <c r="R9792" s="6">
        <v>2.2999999999999998</v>
      </c>
      <c r="S9792" s="5">
        <v>-41.3</v>
      </c>
      <c r="T9792" s="6">
        <v>-34.14</v>
      </c>
      <c r="U9792" s="5">
        <v>1.1000000000000001</v>
      </c>
      <c r="V9792" s="6">
        <v>-1.74</v>
      </c>
      <c r="W9792" s="7">
        <v>1.8220000000000001</v>
      </c>
      <c r="X9792" s="5">
        <v>2.1</v>
      </c>
      <c r="Y9792" s="6">
        <v>2.2799999999999998</v>
      </c>
      <c r="Z9792" s="6">
        <v>2.2799999999999998</v>
      </c>
      <c r="AA9792" s="6">
        <v>23.82</v>
      </c>
      <c r="AB9792" s="2" t="s">
        <v>86</v>
      </c>
      <c r="AC9792" s="6">
        <v>7.62</v>
      </c>
    </row>
    <row r="9793" spans="1:29" ht="130" x14ac:dyDescent="0.15">
      <c r="A9793" s="3">
        <f>DATE(2010,10,20)</f>
        <v>40471</v>
      </c>
      <c r="B9793" s="3">
        <f>DATE(2012,4,2)</f>
        <v>41001</v>
      </c>
      <c r="C9793" s="2" t="s">
        <v>95</v>
      </c>
      <c r="D9793" s="2" t="s">
        <v>28743</v>
      </c>
      <c r="E9793" s="2" t="s">
        <v>36</v>
      </c>
      <c r="F9793" s="4">
        <v>6021</v>
      </c>
      <c r="G9793" s="2" t="s">
        <v>37</v>
      </c>
      <c r="H9793" s="2" t="s">
        <v>34</v>
      </c>
      <c r="I9793" s="2" t="s">
        <v>28744</v>
      </c>
      <c r="J9793" s="2" t="s">
        <v>36</v>
      </c>
      <c r="K9793" s="2" t="s">
        <v>37</v>
      </c>
      <c r="L9793" s="2" t="s">
        <v>34</v>
      </c>
      <c r="M9793" s="2"/>
      <c r="N9793" s="2"/>
      <c r="O9793" s="2"/>
      <c r="P9793" s="2" t="s">
        <v>28745</v>
      </c>
      <c r="Q9793" s="6">
        <v>95.05</v>
      </c>
      <c r="R9793" s="6">
        <v>9.09</v>
      </c>
      <c r="S9793" s="2"/>
      <c r="T9793" s="2"/>
      <c r="U9793" s="2"/>
      <c r="V9793" s="2"/>
      <c r="W9793" s="4">
        <v>7</v>
      </c>
      <c r="X9793" s="5">
        <v>7.5</v>
      </c>
      <c r="Y9793" s="5">
        <v>7.5</v>
      </c>
      <c r="Z9793" s="5">
        <v>7.5</v>
      </c>
      <c r="AA9793" s="6">
        <v>3.68</v>
      </c>
      <c r="AB9793" s="2" t="s">
        <v>47</v>
      </c>
      <c r="AC9793" s="2"/>
    </row>
    <row r="9794" spans="1:29" ht="156" x14ac:dyDescent="0.15">
      <c r="A9794" s="3">
        <f>DATE(2010,10,21)</f>
        <v>40472</v>
      </c>
      <c r="B9794" s="3">
        <f>DATE(2010,10,21)</f>
        <v>40472</v>
      </c>
      <c r="C9794" s="2" t="s">
        <v>95</v>
      </c>
      <c r="D9794" s="2" t="s">
        <v>28746</v>
      </c>
      <c r="E9794" s="2" t="s">
        <v>28658</v>
      </c>
      <c r="F9794" s="4">
        <v>1041</v>
      </c>
      <c r="G9794" s="2" t="s">
        <v>166</v>
      </c>
      <c r="H9794" s="2" t="s">
        <v>34</v>
      </c>
      <c r="I9794" s="2" t="s">
        <v>1558</v>
      </c>
      <c r="J9794" s="2" t="s">
        <v>52</v>
      </c>
      <c r="K9794" s="2" t="s">
        <v>53</v>
      </c>
      <c r="L9794" s="2" t="s">
        <v>34</v>
      </c>
      <c r="M9794" s="2"/>
      <c r="N9794" s="2"/>
      <c r="O9794" s="2"/>
      <c r="P9794" s="2" t="s">
        <v>28747</v>
      </c>
      <c r="Q9794" s="6">
        <v>51.72</v>
      </c>
      <c r="R9794" s="2"/>
      <c r="S9794" s="5">
        <v>-12.2</v>
      </c>
      <c r="T9794" s="6">
        <v>-5.29</v>
      </c>
      <c r="U9794" s="5">
        <v>-2.1</v>
      </c>
      <c r="V9794" s="6">
        <v>-1.1499999999999999</v>
      </c>
      <c r="W9794" s="6">
        <v>2.17</v>
      </c>
      <c r="X9794" s="5">
        <v>2.2000000000000002</v>
      </c>
      <c r="Y9794" s="6">
        <v>2.66</v>
      </c>
      <c r="Z9794" s="5">
        <v>2.5</v>
      </c>
      <c r="AA9794" s="6">
        <v>20.48</v>
      </c>
      <c r="AB9794" s="2" t="s">
        <v>86</v>
      </c>
      <c r="AC9794" s="2"/>
    </row>
    <row r="9795" spans="1:29" ht="169" x14ac:dyDescent="0.15">
      <c r="A9795" s="3">
        <f>DATE(2010,10,21)</f>
        <v>40472</v>
      </c>
      <c r="B9795" s="2"/>
      <c r="C9795" s="2" t="s">
        <v>30</v>
      </c>
      <c r="D9795" s="2" t="s">
        <v>11939</v>
      </c>
      <c r="E9795" s="2" t="s">
        <v>11940</v>
      </c>
      <c r="F9795" s="4">
        <v>7372</v>
      </c>
      <c r="G9795" s="2" t="s">
        <v>551</v>
      </c>
      <c r="H9795" s="2" t="s">
        <v>34</v>
      </c>
      <c r="I9795" s="2" t="s">
        <v>28748</v>
      </c>
      <c r="J9795" s="2" t="s">
        <v>3197</v>
      </c>
      <c r="K9795" s="2" t="s">
        <v>53</v>
      </c>
      <c r="L9795" s="2" t="s">
        <v>34</v>
      </c>
      <c r="M9795" s="2"/>
      <c r="N9795" s="2"/>
      <c r="O9795" s="2"/>
      <c r="P9795" s="2" t="s">
        <v>28749</v>
      </c>
      <c r="Q9795" s="2"/>
      <c r="R9795" s="6">
        <v>4.2</v>
      </c>
      <c r="S9795" s="5">
        <v>-0.6</v>
      </c>
      <c r="T9795" s="7">
        <v>5.2380000000000004</v>
      </c>
      <c r="U9795" s="5">
        <v>1</v>
      </c>
      <c r="V9795" s="6">
        <v>0.22</v>
      </c>
      <c r="W9795" s="6">
        <v>3.85</v>
      </c>
      <c r="X9795" s="6">
        <v>3.85</v>
      </c>
      <c r="Y9795" s="6">
        <v>4.07</v>
      </c>
      <c r="Z9795" s="6">
        <v>4.09</v>
      </c>
      <c r="AA9795" s="6">
        <v>36.93</v>
      </c>
      <c r="AB9795" s="7">
        <v>76.028999999999996</v>
      </c>
      <c r="AC9795" s="2"/>
    </row>
    <row r="9796" spans="1:29" ht="104" x14ac:dyDescent="0.15">
      <c r="A9796" s="3">
        <f>DATE(2010,10,22)</f>
        <v>40473</v>
      </c>
      <c r="B9796" s="3">
        <f>DATE(2010,12,22)</f>
        <v>40534</v>
      </c>
      <c r="C9796" s="2" t="s">
        <v>95</v>
      </c>
      <c r="D9796" s="2" t="s">
        <v>28750</v>
      </c>
      <c r="E9796" s="2" t="s">
        <v>28751</v>
      </c>
      <c r="F9796" s="4">
        <v>3845</v>
      </c>
      <c r="G9796" s="2" t="s">
        <v>226</v>
      </c>
      <c r="H9796" s="2" t="s">
        <v>34</v>
      </c>
      <c r="I9796" s="2" t="s">
        <v>23372</v>
      </c>
      <c r="J9796" s="2" t="s">
        <v>23373</v>
      </c>
      <c r="K9796" s="2" t="s">
        <v>226</v>
      </c>
      <c r="L9796" s="2" t="s">
        <v>34</v>
      </c>
      <c r="M9796" s="2"/>
      <c r="N9796" s="2"/>
      <c r="O9796" s="2"/>
      <c r="P9796" s="2" t="s">
        <v>28752</v>
      </c>
      <c r="Q9796" s="6">
        <v>100</v>
      </c>
      <c r="R9796" s="6">
        <v>5</v>
      </c>
      <c r="S9796" s="5">
        <v>3.6</v>
      </c>
      <c r="T9796" s="7">
        <v>6.5380000000000003</v>
      </c>
      <c r="U9796" s="5">
        <v>-0.2</v>
      </c>
      <c r="V9796" s="6">
        <v>0.05</v>
      </c>
      <c r="W9796" s="6">
        <v>3.59</v>
      </c>
      <c r="X9796" s="6">
        <v>3.74</v>
      </c>
      <c r="Y9796" s="7">
        <v>4.9749999999999996</v>
      </c>
      <c r="Z9796" s="6">
        <v>4.97</v>
      </c>
      <c r="AA9796" s="6">
        <v>87.73</v>
      </c>
      <c r="AB9796" s="7">
        <v>429.43200000000002</v>
      </c>
      <c r="AC9796" s="2"/>
    </row>
    <row r="9797" spans="1:29" ht="91" x14ac:dyDescent="0.15">
      <c r="A9797" s="3">
        <f>DATE(2010,10,23)</f>
        <v>40474</v>
      </c>
      <c r="B9797" s="2"/>
      <c r="C9797" s="2" t="s">
        <v>87</v>
      </c>
      <c r="D9797" s="2" t="s">
        <v>8232</v>
      </c>
      <c r="E9797" s="2" t="s">
        <v>8233</v>
      </c>
      <c r="F9797" s="4">
        <v>7231</v>
      </c>
      <c r="G9797" s="2" t="s">
        <v>1517</v>
      </c>
      <c r="H9797" s="2" t="s">
        <v>34</v>
      </c>
      <c r="I9797" s="2" t="s">
        <v>143</v>
      </c>
      <c r="J9797" s="2" t="s">
        <v>144</v>
      </c>
      <c r="K9797" s="2" t="s">
        <v>53</v>
      </c>
      <c r="L9797" s="2" t="s">
        <v>139</v>
      </c>
      <c r="M9797" s="2"/>
      <c r="N9797" s="2"/>
      <c r="O9797" s="2"/>
      <c r="P9797" s="2" t="s">
        <v>28753</v>
      </c>
      <c r="Q9797" s="2"/>
      <c r="R9797" s="2"/>
      <c r="S9797" s="5">
        <v>53.3</v>
      </c>
      <c r="T9797" s="7">
        <v>237.84299999999999</v>
      </c>
      <c r="U9797" s="5">
        <v>18.2</v>
      </c>
      <c r="V9797" s="6">
        <v>0.93</v>
      </c>
      <c r="W9797" s="6">
        <v>19.45</v>
      </c>
      <c r="X9797" s="6">
        <v>19.88</v>
      </c>
      <c r="Y9797" s="6">
        <v>20.09</v>
      </c>
      <c r="Z9797" s="6">
        <v>20.09</v>
      </c>
      <c r="AA9797" s="6">
        <v>57.55</v>
      </c>
      <c r="AB9797" s="2" t="s">
        <v>47</v>
      </c>
      <c r="AC9797" s="2"/>
    </row>
    <row r="9798" spans="1:29" ht="65" x14ac:dyDescent="0.15">
      <c r="A9798" s="3">
        <f>DATE(2010,10,25)</f>
        <v>40476</v>
      </c>
      <c r="B9798" s="3">
        <f>DATE(2011,1,14)</f>
        <v>40557</v>
      </c>
      <c r="C9798" s="2" t="s">
        <v>95</v>
      </c>
      <c r="D9798" s="2" t="s">
        <v>24379</v>
      </c>
      <c r="E9798" s="2" t="s">
        <v>24380</v>
      </c>
      <c r="F9798" s="4">
        <v>3357</v>
      </c>
      <c r="G9798" s="2" t="s">
        <v>163</v>
      </c>
      <c r="H9798" s="2" t="s">
        <v>34</v>
      </c>
      <c r="I9798" s="2" t="s">
        <v>243</v>
      </c>
      <c r="J9798" s="2" t="s">
        <v>244</v>
      </c>
      <c r="K9798" s="2" t="s">
        <v>53</v>
      </c>
      <c r="L9798" s="2" t="s">
        <v>34</v>
      </c>
      <c r="M9798" s="2"/>
      <c r="N9798" s="2"/>
      <c r="O9798" s="2"/>
      <c r="P9798" s="2" t="s">
        <v>28754</v>
      </c>
      <c r="Q9798" s="6">
        <v>100</v>
      </c>
      <c r="R9798" s="6">
        <v>31.5</v>
      </c>
      <c r="S9798" s="5">
        <v>109.7</v>
      </c>
      <c r="T9798" s="7">
        <v>483.91500000000002</v>
      </c>
      <c r="U9798" s="5">
        <v>17.600000000000001</v>
      </c>
      <c r="V9798" s="6">
        <v>1.1200000000000001</v>
      </c>
      <c r="W9798" s="6">
        <v>22.69</v>
      </c>
      <c r="X9798" s="6">
        <v>23.12</v>
      </c>
      <c r="Y9798" s="6">
        <v>30.16</v>
      </c>
      <c r="Z9798" s="6">
        <v>30.22</v>
      </c>
      <c r="AA9798" s="6">
        <v>94.72</v>
      </c>
      <c r="AB9798" s="7">
        <v>12.672000000000001</v>
      </c>
      <c r="AC9798" s="2"/>
    </row>
    <row r="9799" spans="1:29" ht="78" x14ac:dyDescent="0.15">
      <c r="A9799" s="3">
        <f>DATE(2010,10,25)</f>
        <v>40476</v>
      </c>
      <c r="B9799" s="3">
        <f>DATE(2011,4,11)</f>
        <v>40644</v>
      </c>
      <c r="C9799" s="2" t="s">
        <v>95</v>
      </c>
      <c r="D9799" s="2" t="s">
        <v>28755</v>
      </c>
      <c r="E9799" s="2" t="s">
        <v>263</v>
      </c>
      <c r="F9799" s="4">
        <v>6022</v>
      </c>
      <c r="G9799" s="2" t="s">
        <v>37</v>
      </c>
      <c r="H9799" s="2" t="s">
        <v>34</v>
      </c>
      <c r="I9799" s="2" t="s">
        <v>18117</v>
      </c>
      <c r="J9799" s="2" t="s">
        <v>36</v>
      </c>
      <c r="K9799" s="2" t="s">
        <v>37</v>
      </c>
      <c r="L9799" s="2" t="s">
        <v>34</v>
      </c>
      <c r="M9799" s="7">
        <v>757.346</v>
      </c>
      <c r="N9799" s="6">
        <v>23.23</v>
      </c>
      <c r="O9799" s="6">
        <v>23.15</v>
      </c>
      <c r="P9799" s="2" t="s">
        <v>28756</v>
      </c>
      <c r="Q9799" s="6">
        <v>100</v>
      </c>
      <c r="R9799" s="6">
        <v>9.5</v>
      </c>
      <c r="S9799" s="5">
        <v>7.3</v>
      </c>
      <c r="T9799" s="7">
        <v>10.840999999999999</v>
      </c>
      <c r="U9799" s="5">
        <v>7.3</v>
      </c>
      <c r="V9799" s="6">
        <v>0.68</v>
      </c>
      <c r="W9799" s="6">
        <v>5.98</v>
      </c>
      <c r="X9799" s="6">
        <v>6.02</v>
      </c>
      <c r="Y9799" s="6">
        <v>8.8800000000000008</v>
      </c>
      <c r="Z9799" s="6">
        <v>9.19</v>
      </c>
      <c r="AA9799" s="6">
        <v>10.72</v>
      </c>
      <c r="AB9799" s="7">
        <v>16.978000000000002</v>
      </c>
      <c r="AC9799" s="2"/>
    </row>
    <row r="9800" spans="1:29" ht="65" x14ac:dyDescent="0.15">
      <c r="A9800" s="3">
        <f>DATE(2010,10,26)</f>
        <v>40477</v>
      </c>
      <c r="B9800" s="2"/>
      <c r="C9800" s="2" t="s">
        <v>87</v>
      </c>
      <c r="D9800" s="2" t="s">
        <v>28757</v>
      </c>
      <c r="E9800" s="2" t="s">
        <v>265</v>
      </c>
      <c r="F9800" s="4">
        <v>6021</v>
      </c>
      <c r="G9800" s="2" t="s">
        <v>37</v>
      </c>
      <c r="H9800" s="2" t="s">
        <v>34</v>
      </c>
      <c r="I9800" s="2" t="s">
        <v>14331</v>
      </c>
      <c r="J9800" s="2" t="s">
        <v>28758</v>
      </c>
      <c r="K9800" s="2" t="s">
        <v>37</v>
      </c>
      <c r="L9800" s="2" t="s">
        <v>303</v>
      </c>
      <c r="M9800" s="12">
        <v>184288.611</v>
      </c>
      <c r="N9800" s="7">
        <v>10.458</v>
      </c>
      <c r="O9800" s="7">
        <v>10.363</v>
      </c>
      <c r="P9800" s="2" t="s">
        <v>28759</v>
      </c>
      <c r="Q9800" s="2"/>
      <c r="R9800" s="2"/>
      <c r="S9800" s="5">
        <v>711.4</v>
      </c>
      <c r="T9800" s="8">
        <v>1173.5999999999999</v>
      </c>
      <c r="U9800" s="5">
        <v>27.9</v>
      </c>
      <c r="V9800" s="6">
        <v>2.92</v>
      </c>
      <c r="W9800" s="6">
        <v>49.29</v>
      </c>
      <c r="X9800" s="6">
        <v>48.02</v>
      </c>
      <c r="Y9800" s="6">
        <v>50.57</v>
      </c>
      <c r="Z9800" s="6">
        <v>50.31</v>
      </c>
      <c r="AA9800" s="6">
        <v>242.09</v>
      </c>
      <c r="AB9800" s="2" t="s">
        <v>47</v>
      </c>
      <c r="AC9800" s="2"/>
    </row>
    <row r="9801" spans="1:29" ht="52" x14ac:dyDescent="0.15">
      <c r="A9801" s="3">
        <f>DATE(2010,10,27)</f>
        <v>40478</v>
      </c>
      <c r="B9801" s="3">
        <f>DATE(2011,3,1)</f>
        <v>40603</v>
      </c>
      <c r="C9801" s="2" t="s">
        <v>95</v>
      </c>
      <c r="D9801" s="2" t="s">
        <v>28760</v>
      </c>
      <c r="E9801" s="2" t="s">
        <v>36</v>
      </c>
      <c r="F9801" s="4">
        <v>6021</v>
      </c>
      <c r="G9801" s="2" t="s">
        <v>37</v>
      </c>
      <c r="H9801" s="2" t="s">
        <v>34</v>
      </c>
      <c r="I9801" s="2" t="s">
        <v>22131</v>
      </c>
      <c r="J9801" s="2" t="s">
        <v>36</v>
      </c>
      <c r="K9801" s="2" t="s">
        <v>37</v>
      </c>
      <c r="L9801" s="2" t="s">
        <v>34</v>
      </c>
      <c r="M9801" s="7">
        <v>591.56200000000001</v>
      </c>
      <c r="N9801" s="6">
        <v>9.66</v>
      </c>
      <c r="O9801" s="6">
        <v>9.66</v>
      </c>
      <c r="P9801" s="2" t="s">
        <v>28761</v>
      </c>
      <c r="Q9801" s="6">
        <v>100</v>
      </c>
      <c r="R9801" s="6">
        <v>8.1</v>
      </c>
      <c r="S9801" s="2"/>
      <c r="T9801" s="2"/>
      <c r="U9801" s="2"/>
      <c r="V9801" s="2"/>
      <c r="W9801" s="6">
        <v>2.25</v>
      </c>
      <c r="X9801" s="6">
        <v>2.25</v>
      </c>
      <c r="Y9801" s="6">
        <v>7.82</v>
      </c>
      <c r="Z9801" s="5">
        <v>7.8</v>
      </c>
      <c r="AA9801" s="6">
        <v>2.34</v>
      </c>
      <c r="AB9801" s="2" t="s">
        <v>47</v>
      </c>
      <c r="AC9801" s="2"/>
    </row>
    <row r="9802" spans="1:29" ht="65" x14ac:dyDescent="0.15">
      <c r="A9802" s="3">
        <f>DATE(2010,10,28)</f>
        <v>40479</v>
      </c>
      <c r="B9802" s="3">
        <f>DATE(2011,2,24)</f>
        <v>40598</v>
      </c>
      <c r="C9802" s="2" t="s">
        <v>95</v>
      </c>
      <c r="D9802" s="2" t="s">
        <v>28762</v>
      </c>
      <c r="E9802" s="2" t="s">
        <v>4011</v>
      </c>
      <c r="F9802" s="4">
        <v>2834</v>
      </c>
      <c r="G9802" s="2" t="s">
        <v>130</v>
      </c>
      <c r="H9802" s="2" t="s">
        <v>34</v>
      </c>
      <c r="I9802" s="2" t="s">
        <v>25079</v>
      </c>
      <c r="J9802" s="2" t="s">
        <v>129</v>
      </c>
      <c r="K9802" s="2" t="s">
        <v>130</v>
      </c>
      <c r="L9802" s="2" t="s">
        <v>133</v>
      </c>
      <c r="M9802" s="12">
        <v>173822.13500000001</v>
      </c>
      <c r="N9802" s="7">
        <v>69.248999999999995</v>
      </c>
      <c r="O9802" s="7">
        <v>70.015000000000001</v>
      </c>
      <c r="P9802" s="2" t="s">
        <v>28763</v>
      </c>
      <c r="Q9802" s="6">
        <v>100</v>
      </c>
      <c r="R9802" s="6">
        <v>10</v>
      </c>
      <c r="S9802" s="5">
        <v>13.9</v>
      </c>
      <c r="T9802" s="7">
        <v>111.238</v>
      </c>
      <c r="U9802" s="5">
        <v>25.5</v>
      </c>
      <c r="V9802" s="9">
        <v>0.3095</v>
      </c>
      <c r="W9802" s="5">
        <v>7.8</v>
      </c>
      <c r="X9802" s="6">
        <v>7.66</v>
      </c>
      <c r="Y9802" s="6">
        <v>9.83</v>
      </c>
      <c r="Z9802" s="6">
        <v>9.84</v>
      </c>
      <c r="AA9802" s="6">
        <v>42.15</v>
      </c>
      <c r="AB9802" s="2" t="s">
        <v>47</v>
      </c>
      <c r="AC9802" s="10">
        <v>4163.5</v>
      </c>
    </row>
    <row r="9803" spans="1:29" ht="52" x14ac:dyDescent="0.15">
      <c r="A9803" s="3">
        <f>DATE(2010,10,28)</f>
        <v>40479</v>
      </c>
      <c r="B9803" s="3">
        <f>DATE(2011,2,8)</f>
        <v>40582</v>
      </c>
      <c r="C9803" s="2" t="s">
        <v>95</v>
      </c>
      <c r="D9803" s="2" t="s">
        <v>28764</v>
      </c>
      <c r="E9803" s="2" t="s">
        <v>515</v>
      </c>
      <c r="F9803" s="4">
        <v>6311</v>
      </c>
      <c r="G9803" s="2" t="s">
        <v>125</v>
      </c>
      <c r="H9803" s="2" t="s">
        <v>34</v>
      </c>
      <c r="I9803" s="2" t="s">
        <v>13362</v>
      </c>
      <c r="J9803" s="2" t="s">
        <v>13363</v>
      </c>
      <c r="K9803" s="2" t="s">
        <v>125</v>
      </c>
      <c r="L9803" s="2" t="s">
        <v>902</v>
      </c>
      <c r="M9803" s="12">
        <v>8111.902</v>
      </c>
      <c r="N9803" s="7">
        <v>405.69400000000002</v>
      </c>
      <c r="O9803" s="7">
        <v>409.53199999999998</v>
      </c>
      <c r="P9803" s="2" t="s">
        <v>28765</v>
      </c>
      <c r="Q9803" s="6">
        <v>100</v>
      </c>
      <c r="R9803" s="6">
        <v>16.5</v>
      </c>
      <c r="S9803" s="5">
        <v>15.7</v>
      </c>
      <c r="T9803" s="7">
        <v>31.559000000000001</v>
      </c>
      <c r="U9803" s="5">
        <v>15.5</v>
      </c>
      <c r="V9803" s="6">
        <v>0.9</v>
      </c>
      <c r="W9803" s="6">
        <v>10.88</v>
      </c>
      <c r="X9803" s="6">
        <v>11.23</v>
      </c>
      <c r="Y9803" s="6">
        <v>11.36</v>
      </c>
      <c r="Z9803" s="5">
        <v>16.3</v>
      </c>
      <c r="AA9803" s="6">
        <v>18.18</v>
      </c>
      <c r="AB9803" s="7">
        <v>13.81</v>
      </c>
      <c r="AC9803" s="10">
        <v>1228.24</v>
      </c>
    </row>
    <row r="9804" spans="1:29" ht="65" x14ac:dyDescent="0.15">
      <c r="A9804" s="3">
        <f>DATE(2010,10,28)</f>
        <v>40479</v>
      </c>
      <c r="B9804" s="3">
        <f>DATE(2011,1,21)</f>
        <v>40564</v>
      </c>
      <c r="C9804" s="2" t="s">
        <v>95</v>
      </c>
      <c r="D9804" s="2" t="s">
        <v>28766</v>
      </c>
      <c r="E9804" s="2" t="s">
        <v>17604</v>
      </c>
      <c r="F9804" s="4">
        <v>4812</v>
      </c>
      <c r="G9804" s="2" t="s">
        <v>63</v>
      </c>
      <c r="H9804" s="2" t="s">
        <v>34</v>
      </c>
      <c r="I9804" s="2" t="s">
        <v>243</v>
      </c>
      <c r="J9804" s="2" t="s">
        <v>244</v>
      </c>
      <c r="K9804" s="2" t="s">
        <v>53</v>
      </c>
      <c r="L9804" s="2" t="s">
        <v>34</v>
      </c>
      <c r="M9804" s="2"/>
      <c r="N9804" s="2"/>
      <c r="O9804" s="2"/>
      <c r="P9804" s="2" t="s">
        <v>28767</v>
      </c>
      <c r="Q9804" s="6">
        <v>100</v>
      </c>
      <c r="R9804" s="6">
        <v>31</v>
      </c>
      <c r="S9804" s="5">
        <v>65.7</v>
      </c>
      <c r="T9804" s="7">
        <v>195.89500000000001</v>
      </c>
      <c r="U9804" s="2"/>
      <c r="V9804" s="6">
        <v>0.96</v>
      </c>
      <c r="W9804" s="6">
        <v>23.42</v>
      </c>
      <c r="X9804" s="6">
        <v>23.79</v>
      </c>
      <c r="Y9804" s="2"/>
      <c r="Z9804" s="2"/>
      <c r="AA9804" s="6">
        <v>70.05</v>
      </c>
      <c r="AB9804" s="7">
        <v>19.75</v>
      </c>
      <c r="AC9804" s="2"/>
    </row>
    <row r="9805" spans="1:29" ht="143" x14ac:dyDescent="0.15">
      <c r="A9805" s="3">
        <f>DATE(2010,11,1)</f>
        <v>40483</v>
      </c>
      <c r="B9805" s="3">
        <f>DATE(2011,6,10)</f>
        <v>40704</v>
      </c>
      <c r="C9805" s="2" t="s">
        <v>95</v>
      </c>
      <c r="D9805" s="2" t="s">
        <v>16590</v>
      </c>
      <c r="E9805" s="2" t="s">
        <v>9054</v>
      </c>
      <c r="F9805" s="4">
        <v>6351</v>
      </c>
      <c r="G9805" s="2" t="s">
        <v>125</v>
      </c>
      <c r="H9805" s="2" t="s">
        <v>34</v>
      </c>
      <c r="I9805" s="2" t="s">
        <v>5574</v>
      </c>
      <c r="J9805" s="2" t="s">
        <v>515</v>
      </c>
      <c r="K9805" s="2" t="s">
        <v>125</v>
      </c>
      <c r="L9805" s="2" t="s">
        <v>34</v>
      </c>
      <c r="M9805" s="12">
        <v>7434.9750000000004</v>
      </c>
      <c r="N9805" s="6">
        <v>28.23</v>
      </c>
      <c r="O9805" s="6">
        <v>27.91</v>
      </c>
      <c r="P9805" s="2" t="s">
        <v>28768</v>
      </c>
      <c r="Q9805" s="6">
        <v>38</v>
      </c>
      <c r="R9805" s="6">
        <v>26.55</v>
      </c>
      <c r="S9805" s="5">
        <v>134.4</v>
      </c>
      <c r="T9805" s="7">
        <v>203.02600000000001</v>
      </c>
      <c r="U9805" s="5">
        <v>23.6</v>
      </c>
      <c r="V9805" s="6">
        <v>3.01</v>
      </c>
      <c r="W9805" s="6">
        <v>19.28</v>
      </c>
      <c r="X9805" s="6">
        <v>19.25</v>
      </c>
      <c r="Y9805" s="6">
        <v>23.15</v>
      </c>
      <c r="Z9805" s="6">
        <v>23.34</v>
      </c>
      <c r="AA9805" s="6">
        <v>44.37</v>
      </c>
      <c r="AB9805" s="7">
        <v>6.1970000000000001</v>
      </c>
      <c r="AC9805" s="5">
        <v>81</v>
      </c>
    </row>
    <row r="9806" spans="1:29" ht="143" x14ac:dyDescent="0.15">
      <c r="A9806" s="3">
        <f>DATE(2010,11,1)</f>
        <v>40483</v>
      </c>
      <c r="B9806" s="2"/>
      <c r="C9806" s="2" t="s">
        <v>30</v>
      </c>
      <c r="D9806" s="2" t="s">
        <v>28769</v>
      </c>
      <c r="E9806" s="2" t="s">
        <v>4076</v>
      </c>
      <c r="F9806" s="4">
        <v>1311</v>
      </c>
      <c r="G9806" s="2" t="s">
        <v>148</v>
      </c>
      <c r="H9806" s="2" t="s">
        <v>34</v>
      </c>
      <c r="I9806" s="2" t="s">
        <v>51</v>
      </c>
      <c r="J9806" s="2" t="s">
        <v>52</v>
      </c>
      <c r="K9806" s="2" t="s">
        <v>53</v>
      </c>
      <c r="L9806" s="2" t="s">
        <v>34</v>
      </c>
      <c r="M9806" s="2"/>
      <c r="N9806" s="2"/>
      <c r="O9806" s="2"/>
      <c r="P9806" s="2" t="s">
        <v>28770</v>
      </c>
      <c r="Q9806" s="2"/>
      <c r="R9806" s="6">
        <v>18.5</v>
      </c>
      <c r="S9806" s="5">
        <v>96.3</v>
      </c>
      <c r="T9806" s="7">
        <v>361.15699999999998</v>
      </c>
      <c r="U9806" s="5">
        <v>114.1</v>
      </c>
      <c r="V9806" s="9">
        <v>6.5254000000000003</v>
      </c>
      <c r="W9806" s="6">
        <v>14.02</v>
      </c>
      <c r="X9806" s="6">
        <v>14.83</v>
      </c>
      <c r="Y9806" s="5">
        <v>19.3</v>
      </c>
      <c r="Z9806" s="6">
        <v>19.11</v>
      </c>
      <c r="AA9806" s="6">
        <v>229.11</v>
      </c>
      <c r="AB9806" s="7">
        <v>18.602</v>
      </c>
      <c r="AC9806" s="2"/>
    </row>
    <row r="9807" spans="1:29" ht="65" x14ac:dyDescent="0.15">
      <c r="A9807" s="3">
        <f>DATE(2010,11,1)</f>
        <v>40483</v>
      </c>
      <c r="B9807" s="2"/>
      <c r="C9807" s="2" t="s">
        <v>87</v>
      </c>
      <c r="D9807" s="2" t="s">
        <v>28771</v>
      </c>
      <c r="E9807" s="2" t="s">
        <v>28772</v>
      </c>
      <c r="F9807" s="4">
        <v>3577</v>
      </c>
      <c r="G9807" s="2" t="s">
        <v>50</v>
      </c>
      <c r="H9807" s="2" t="s">
        <v>34</v>
      </c>
      <c r="I9807" s="2" t="s">
        <v>5443</v>
      </c>
      <c r="J9807" s="2" t="s">
        <v>5444</v>
      </c>
      <c r="K9807" s="2" t="s">
        <v>50</v>
      </c>
      <c r="L9807" s="2" t="s">
        <v>34</v>
      </c>
      <c r="M9807" s="12">
        <v>168029.34400000001</v>
      </c>
      <c r="N9807" s="6">
        <v>143.32</v>
      </c>
      <c r="O9807" s="6">
        <v>143.84</v>
      </c>
      <c r="P9807" s="2" t="s">
        <v>28773</v>
      </c>
      <c r="Q9807" s="2"/>
      <c r="R9807" s="2"/>
      <c r="S9807" s="5">
        <v>78.3</v>
      </c>
      <c r="T9807" s="7">
        <v>47.942999999999998</v>
      </c>
      <c r="U9807" s="5">
        <v>1.4</v>
      </c>
      <c r="V9807" s="6">
        <v>0.5</v>
      </c>
      <c r="W9807" s="6">
        <v>30.25</v>
      </c>
      <c r="X9807" s="4">
        <v>30</v>
      </c>
      <c r="Y9807" s="6">
        <v>31.88</v>
      </c>
      <c r="Z9807" s="6">
        <v>30.99</v>
      </c>
      <c r="AA9807" s="6">
        <v>71.349999999999994</v>
      </c>
      <c r="AB9807" s="2" t="s">
        <v>47</v>
      </c>
      <c r="AC9807" s="8">
        <v>11613</v>
      </c>
    </row>
    <row r="9808" spans="1:29" ht="182" x14ac:dyDescent="0.15">
      <c r="A9808" s="3">
        <f>DATE(2010,11,1)</f>
        <v>40483</v>
      </c>
      <c r="B9808" s="3">
        <f>DATE(2011,5,16)</f>
        <v>40679</v>
      </c>
      <c r="C9808" s="2" t="s">
        <v>95</v>
      </c>
      <c r="D9808" s="2" t="s">
        <v>28774</v>
      </c>
      <c r="E9808" s="2" t="s">
        <v>36</v>
      </c>
      <c r="F9808" s="4">
        <v>6022</v>
      </c>
      <c r="G9808" s="2" t="s">
        <v>37</v>
      </c>
      <c r="H9808" s="2" t="s">
        <v>34</v>
      </c>
      <c r="I9808" s="2" t="s">
        <v>16904</v>
      </c>
      <c r="J9808" s="2" t="s">
        <v>36</v>
      </c>
      <c r="K9808" s="2" t="s">
        <v>37</v>
      </c>
      <c r="L9808" s="2" t="s">
        <v>34</v>
      </c>
      <c r="M9808" s="12">
        <v>9785.6530000000002</v>
      </c>
      <c r="N9808" s="6">
        <v>77.47</v>
      </c>
      <c r="O9808" s="6">
        <v>77.650000000000006</v>
      </c>
      <c r="P9808" s="2" t="s">
        <v>28775</v>
      </c>
      <c r="Q9808" s="6">
        <v>100</v>
      </c>
      <c r="R9808" s="6">
        <v>3.84</v>
      </c>
      <c r="S9808" s="5">
        <v>-522.1</v>
      </c>
      <c r="T9808" s="5">
        <v>-413</v>
      </c>
      <c r="U9808" s="5">
        <v>8.1</v>
      </c>
      <c r="V9808" s="6">
        <v>-6.32</v>
      </c>
      <c r="W9808" s="6">
        <v>7.79</v>
      </c>
      <c r="X9808" s="6">
        <v>8.07</v>
      </c>
      <c r="Y9808" s="6">
        <v>8.76</v>
      </c>
      <c r="Z9808" s="5">
        <v>7.7</v>
      </c>
      <c r="AA9808" s="6">
        <v>91.54</v>
      </c>
      <c r="AB9808" s="2" t="s">
        <v>86</v>
      </c>
      <c r="AC9808" s="2"/>
    </row>
    <row r="9809" spans="1:29" ht="78" x14ac:dyDescent="0.15">
      <c r="A9809" s="3">
        <f>DATE(2010,11,2)</f>
        <v>40484</v>
      </c>
      <c r="B9809" s="3">
        <f>DATE(2011,1,5)</f>
        <v>40548</v>
      </c>
      <c r="C9809" s="2" t="s">
        <v>95</v>
      </c>
      <c r="D9809" s="2" t="s">
        <v>22232</v>
      </c>
      <c r="E9809" s="2" t="s">
        <v>22233</v>
      </c>
      <c r="F9809" s="4">
        <v>7372</v>
      </c>
      <c r="G9809" s="2" t="s">
        <v>551</v>
      </c>
      <c r="H9809" s="2" t="s">
        <v>34</v>
      </c>
      <c r="I9809" s="2" t="s">
        <v>28776</v>
      </c>
      <c r="J9809" s="2" t="s">
        <v>8589</v>
      </c>
      <c r="K9809" s="2" t="s">
        <v>551</v>
      </c>
      <c r="L9809" s="2" t="s">
        <v>34</v>
      </c>
      <c r="M9809" s="2"/>
      <c r="N9809" s="2"/>
      <c r="O9809" s="2"/>
      <c r="P9809" s="2" t="s">
        <v>28777</v>
      </c>
      <c r="Q9809" s="6">
        <v>100</v>
      </c>
      <c r="R9809" s="6">
        <v>6</v>
      </c>
      <c r="S9809" s="5">
        <v>15.6</v>
      </c>
      <c r="T9809" s="7">
        <v>27.439</v>
      </c>
      <c r="U9809" s="5">
        <v>1.6</v>
      </c>
      <c r="V9809" s="6">
        <v>0.1</v>
      </c>
      <c r="W9809" s="6">
        <v>4.3899999999999997</v>
      </c>
      <c r="X9809" s="5">
        <v>4.0999999999999996</v>
      </c>
      <c r="Y9809" s="6">
        <v>5.95</v>
      </c>
      <c r="Z9809" s="6">
        <v>5.98</v>
      </c>
      <c r="AA9809" s="6">
        <v>158.47</v>
      </c>
      <c r="AB9809" s="7">
        <v>52.183</v>
      </c>
      <c r="AC9809" s="2"/>
    </row>
    <row r="9810" spans="1:29" ht="78" x14ac:dyDescent="0.15">
      <c r="A9810" s="3">
        <f>DATE(2010,11,2)</f>
        <v>40484</v>
      </c>
      <c r="B9810" s="3">
        <f>DATE(2010,12,31)</f>
        <v>40543</v>
      </c>
      <c r="C9810" s="2" t="s">
        <v>95</v>
      </c>
      <c r="D9810" s="2" t="s">
        <v>10335</v>
      </c>
      <c r="E9810" s="2" t="s">
        <v>10336</v>
      </c>
      <c r="F9810" s="4">
        <v>8742</v>
      </c>
      <c r="G9810" s="2" t="s">
        <v>223</v>
      </c>
      <c r="H9810" s="2" t="s">
        <v>34</v>
      </c>
      <c r="I9810" s="2" t="s">
        <v>28778</v>
      </c>
      <c r="J9810" s="2" t="s">
        <v>302</v>
      </c>
      <c r="K9810" s="2" t="s">
        <v>53</v>
      </c>
      <c r="L9810" s="2" t="s">
        <v>34</v>
      </c>
      <c r="M9810" s="2"/>
      <c r="N9810" s="2"/>
      <c r="O9810" s="2"/>
      <c r="P9810" s="2" t="s">
        <v>28779</v>
      </c>
      <c r="Q9810" s="6">
        <v>100</v>
      </c>
      <c r="R9810" s="6">
        <v>2.5</v>
      </c>
      <c r="S9810" s="5">
        <v>-9.1999999999999993</v>
      </c>
      <c r="T9810" s="6">
        <v>16.82</v>
      </c>
      <c r="U9810" s="5">
        <v>-1.8</v>
      </c>
      <c r="V9810" s="6">
        <v>-0.67</v>
      </c>
      <c r="W9810" s="6">
        <v>1.42</v>
      </c>
      <c r="X9810" s="6">
        <v>1.62</v>
      </c>
      <c r="Y9810" s="6">
        <v>2.4700000000000002</v>
      </c>
      <c r="Z9810" s="6">
        <v>2.46</v>
      </c>
      <c r="AA9810" s="6">
        <v>20.04</v>
      </c>
      <c r="AB9810" s="7">
        <v>11.510999999999999</v>
      </c>
      <c r="AC9810" s="2"/>
    </row>
    <row r="9811" spans="1:29" ht="117" x14ac:dyDescent="0.15">
      <c r="A9811" s="3">
        <f>DATE(2010,11,2)</f>
        <v>40484</v>
      </c>
      <c r="B9811" s="3">
        <f>DATE(2010,12,13)</f>
        <v>40525</v>
      </c>
      <c r="C9811" s="2" t="s">
        <v>95</v>
      </c>
      <c r="D9811" s="2" t="s">
        <v>28780</v>
      </c>
      <c r="E9811" s="2" t="s">
        <v>25954</v>
      </c>
      <c r="F9811" s="4">
        <v>7379</v>
      </c>
      <c r="G9811" s="2" t="s">
        <v>223</v>
      </c>
      <c r="H9811" s="2" t="s">
        <v>34</v>
      </c>
      <c r="I9811" s="2" t="s">
        <v>28781</v>
      </c>
      <c r="J9811" s="2" t="s">
        <v>11337</v>
      </c>
      <c r="K9811" s="2" t="s">
        <v>53</v>
      </c>
      <c r="L9811" s="2" t="s">
        <v>34</v>
      </c>
      <c r="M9811" s="2"/>
      <c r="N9811" s="2"/>
      <c r="O9811" s="2"/>
      <c r="P9811" s="2" t="s">
        <v>28782</v>
      </c>
      <c r="Q9811" s="6">
        <v>100</v>
      </c>
      <c r="R9811" s="6">
        <v>8.35</v>
      </c>
      <c r="S9811" s="5">
        <v>-33.299999999999997</v>
      </c>
      <c r="T9811" s="7">
        <v>5.3440000000000003</v>
      </c>
      <c r="U9811" s="5">
        <v>6.6</v>
      </c>
      <c r="V9811" s="6">
        <v>-3.23</v>
      </c>
      <c r="W9811" s="6">
        <v>7.05</v>
      </c>
      <c r="X9811" s="6">
        <v>7.15</v>
      </c>
      <c r="Y9811" s="6">
        <v>8.32</v>
      </c>
      <c r="Z9811" s="6">
        <v>8.2899999999999991</v>
      </c>
      <c r="AA9811" s="6">
        <v>11.19</v>
      </c>
      <c r="AB9811" s="2" t="s">
        <v>86</v>
      </c>
      <c r="AC9811" s="2"/>
    </row>
    <row r="9812" spans="1:29" ht="78" x14ac:dyDescent="0.15">
      <c r="A9812" s="3">
        <f>DATE(2010,11,4)</f>
        <v>40486</v>
      </c>
      <c r="B9812" s="3">
        <f>DATE(2011,1,28)</f>
        <v>40571</v>
      </c>
      <c r="C9812" s="2" t="s">
        <v>95</v>
      </c>
      <c r="D9812" s="2" t="s">
        <v>19390</v>
      </c>
      <c r="E9812" s="2" t="s">
        <v>265</v>
      </c>
      <c r="F9812" s="4">
        <v>6022</v>
      </c>
      <c r="G9812" s="2" t="s">
        <v>37</v>
      </c>
      <c r="H9812" s="2" t="s">
        <v>34</v>
      </c>
      <c r="I9812" s="2" t="s">
        <v>28783</v>
      </c>
      <c r="J9812" s="2" t="s">
        <v>36</v>
      </c>
      <c r="K9812" s="2" t="s">
        <v>37</v>
      </c>
      <c r="L9812" s="2" t="s">
        <v>34</v>
      </c>
      <c r="M9812" s="2"/>
      <c r="N9812" s="2"/>
      <c r="O9812" s="2"/>
      <c r="P9812" s="2" t="s">
        <v>28784</v>
      </c>
      <c r="Q9812" s="6">
        <v>84.64</v>
      </c>
      <c r="R9812" s="6">
        <v>2.5499999999999998</v>
      </c>
      <c r="S9812" s="5">
        <v>-35.200000000000003</v>
      </c>
      <c r="T9812" s="6">
        <v>-38.979999999999997</v>
      </c>
      <c r="U9812" s="5">
        <v>5.8</v>
      </c>
      <c r="V9812" s="6">
        <v>-3.02</v>
      </c>
      <c r="W9812" s="5">
        <v>1.6</v>
      </c>
      <c r="X9812" s="6">
        <v>1.64</v>
      </c>
      <c r="Y9812" s="5">
        <v>2.5</v>
      </c>
      <c r="Z9812" s="4">
        <v>3</v>
      </c>
      <c r="AA9812" s="6">
        <v>83.88</v>
      </c>
      <c r="AB9812" s="2" t="s">
        <v>86</v>
      </c>
      <c r="AC9812" s="2"/>
    </row>
    <row r="9813" spans="1:29" ht="169" x14ac:dyDescent="0.15">
      <c r="A9813" s="3">
        <f>DATE(2010,11,9)</f>
        <v>40491</v>
      </c>
      <c r="B9813" s="3">
        <f>DATE(2011,2,17)</f>
        <v>40591</v>
      </c>
      <c r="C9813" s="2" t="s">
        <v>95</v>
      </c>
      <c r="D9813" s="2" t="s">
        <v>28785</v>
      </c>
      <c r="E9813" s="2" t="s">
        <v>5309</v>
      </c>
      <c r="F9813" s="4">
        <v>1311</v>
      </c>
      <c r="G9813" s="2" t="s">
        <v>148</v>
      </c>
      <c r="H9813" s="2" t="s">
        <v>34</v>
      </c>
      <c r="I9813" s="2" t="s">
        <v>13405</v>
      </c>
      <c r="J9813" s="2" t="s">
        <v>28786</v>
      </c>
      <c r="K9813" s="2" t="s">
        <v>148</v>
      </c>
      <c r="L9813" s="2" t="s">
        <v>34</v>
      </c>
      <c r="M9813" s="12">
        <v>168722.005</v>
      </c>
      <c r="N9813" s="6">
        <v>83.56</v>
      </c>
      <c r="O9813" s="6">
        <v>85.17</v>
      </c>
      <c r="P9813" s="2" t="s">
        <v>28787</v>
      </c>
      <c r="Q9813" s="6">
        <v>100</v>
      </c>
      <c r="R9813" s="6">
        <v>38.25</v>
      </c>
      <c r="S9813" s="5">
        <v>-72</v>
      </c>
      <c r="T9813" s="7">
        <v>261.786</v>
      </c>
      <c r="U9813" s="2"/>
      <c r="V9813" s="2"/>
      <c r="W9813" s="6">
        <v>30.29</v>
      </c>
      <c r="X9813" s="6">
        <v>31.72</v>
      </c>
      <c r="Y9813" s="5">
        <v>42.5</v>
      </c>
      <c r="Z9813" s="6">
        <v>43.09</v>
      </c>
      <c r="AA9813" s="6">
        <v>80.47</v>
      </c>
      <c r="AB9813" s="7">
        <v>50.677</v>
      </c>
      <c r="AC9813" s="8">
        <v>14534</v>
      </c>
    </row>
    <row r="9814" spans="1:29" ht="104" x14ac:dyDescent="0.15">
      <c r="A9814" s="3">
        <f>DATE(2010,11,11)</f>
        <v>40493</v>
      </c>
      <c r="B9814" s="3">
        <f>DATE(2011,3,1)</f>
        <v>40603</v>
      </c>
      <c r="C9814" s="2" t="s">
        <v>95</v>
      </c>
      <c r="D9814" s="2" t="s">
        <v>28788</v>
      </c>
      <c r="E9814" s="2" t="s">
        <v>973</v>
      </c>
      <c r="F9814" s="4">
        <v>4813</v>
      </c>
      <c r="G9814" s="2" t="s">
        <v>63</v>
      </c>
      <c r="H9814" s="2" t="s">
        <v>34</v>
      </c>
      <c r="I9814" s="2" t="s">
        <v>11452</v>
      </c>
      <c r="J9814" s="2" t="s">
        <v>973</v>
      </c>
      <c r="K9814" s="2" t="s">
        <v>63</v>
      </c>
      <c r="L9814" s="2" t="s">
        <v>34</v>
      </c>
      <c r="M9814" s="7">
        <v>72.975999999999999</v>
      </c>
      <c r="N9814" s="5">
        <v>10.1</v>
      </c>
      <c r="O9814" s="6">
        <v>9.9499999999999993</v>
      </c>
      <c r="P9814" s="2" t="s">
        <v>28789</v>
      </c>
      <c r="Q9814" s="6">
        <v>100</v>
      </c>
      <c r="R9814" s="2"/>
      <c r="S9814" s="5">
        <v>-17.3</v>
      </c>
      <c r="T9814" s="7">
        <v>-6.2160000000000002</v>
      </c>
      <c r="U9814" s="5">
        <v>5.2</v>
      </c>
      <c r="V9814" s="6">
        <v>-3.17</v>
      </c>
      <c r="W9814" s="6">
        <v>6.42</v>
      </c>
      <c r="X9814" s="5">
        <v>6.9</v>
      </c>
      <c r="Y9814" s="5">
        <v>6.5</v>
      </c>
      <c r="Z9814" s="6">
        <v>6.59</v>
      </c>
      <c r="AA9814" s="6">
        <v>5.48</v>
      </c>
      <c r="AB9814" s="2" t="s">
        <v>86</v>
      </c>
      <c r="AC9814" s="5">
        <v>49.6</v>
      </c>
    </row>
    <row r="9815" spans="1:29" ht="65" x14ac:dyDescent="0.15">
      <c r="A9815" s="3">
        <f>DATE(2010,11,11)</f>
        <v>40493</v>
      </c>
      <c r="B9815" s="3">
        <f>DATE(2011,1,27)</f>
        <v>40570</v>
      </c>
      <c r="C9815" s="2" t="s">
        <v>95</v>
      </c>
      <c r="D9815" s="2" t="s">
        <v>28790</v>
      </c>
      <c r="E9815" s="2" t="s">
        <v>8463</v>
      </c>
      <c r="F9815" s="4">
        <v>3663</v>
      </c>
      <c r="G9815" s="2" t="s">
        <v>921</v>
      </c>
      <c r="H9815" s="2" t="s">
        <v>34</v>
      </c>
      <c r="I9815" s="2" t="s">
        <v>28791</v>
      </c>
      <c r="J9815" s="2" t="s">
        <v>28792</v>
      </c>
      <c r="K9815" s="2" t="s">
        <v>163</v>
      </c>
      <c r="L9815" s="2" t="s">
        <v>2105</v>
      </c>
      <c r="M9815" s="7">
        <v>920.31399999999996</v>
      </c>
      <c r="N9815" s="6">
        <v>24.32</v>
      </c>
      <c r="O9815" s="7">
        <v>23.876999999999999</v>
      </c>
      <c r="P9815" s="2" t="s">
        <v>28793</v>
      </c>
      <c r="Q9815" s="6">
        <v>100</v>
      </c>
      <c r="R9815" s="6">
        <v>2.4500000000000002</v>
      </c>
      <c r="S9815" s="5">
        <v>-3.5</v>
      </c>
      <c r="T9815" s="7">
        <v>0.32400000000000001</v>
      </c>
      <c r="U9815" s="5">
        <v>4.3</v>
      </c>
      <c r="V9815" s="6">
        <v>-0.96</v>
      </c>
      <c r="W9815" s="6">
        <v>1.31</v>
      </c>
      <c r="X9815" s="7">
        <v>1.5840000000000001</v>
      </c>
      <c r="Y9815" s="6">
        <v>2.38</v>
      </c>
      <c r="Z9815" s="6">
        <v>2.38</v>
      </c>
      <c r="AA9815" s="6">
        <v>3.7</v>
      </c>
      <c r="AB9815" s="2" t="s">
        <v>86</v>
      </c>
      <c r="AC9815" s="6">
        <v>62.41</v>
      </c>
    </row>
    <row r="9816" spans="1:29" ht="65" x14ac:dyDescent="0.15">
      <c r="A9816" s="3">
        <f>DATE(2010,11,12)</f>
        <v>40494</v>
      </c>
      <c r="B9816" s="3">
        <f>DATE(2012,1,25)</f>
        <v>40933</v>
      </c>
      <c r="C9816" s="2" t="s">
        <v>95</v>
      </c>
      <c r="D9816" s="2" t="s">
        <v>19953</v>
      </c>
      <c r="E9816" s="2" t="s">
        <v>19954</v>
      </c>
      <c r="F9816" s="4">
        <v>4941</v>
      </c>
      <c r="G9816" s="2" t="s">
        <v>439</v>
      </c>
      <c r="H9816" s="2" t="s">
        <v>34</v>
      </c>
      <c r="I9816" s="2" t="s">
        <v>21461</v>
      </c>
      <c r="J9816" s="2" t="s">
        <v>21462</v>
      </c>
      <c r="K9816" s="2" t="s">
        <v>8457</v>
      </c>
      <c r="L9816" s="2" t="s">
        <v>34</v>
      </c>
      <c r="M9816" s="2"/>
      <c r="N9816" s="2"/>
      <c r="O9816" s="2"/>
      <c r="P9816" s="2" t="s">
        <v>28794</v>
      </c>
      <c r="Q9816" s="6">
        <v>100</v>
      </c>
      <c r="R9816" s="6">
        <v>29</v>
      </c>
      <c r="S9816" s="5">
        <v>3.7</v>
      </c>
      <c r="T9816" s="7">
        <v>14.271000000000001</v>
      </c>
      <c r="U9816" s="5">
        <v>12</v>
      </c>
      <c r="V9816" s="6">
        <v>0.78</v>
      </c>
      <c r="W9816" s="6">
        <v>24.07</v>
      </c>
      <c r="X9816" s="5">
        <v>24.4</v>
      </c>
      <c r="Y9816" s="6">
        <v>27.52</v>
      </c>
      <c r="Z9816" s="6">
        <v>27.55</v>
      </c>
      <c r="AA9816" s="6">
        <v>4.66</v>
      </c>
      <c r="AB9816" s="7">
        <v>19.611999999999998</v>
      </c>
      <c r="AC9816" s="2"/>
    </row>
    <row r="9817" spans="1:29" ht="143" x14ac:dyDescent="0.15">
      <c r="A9817" s="3">
        <f>DATE(2010,11,15)</f>
        <v>40497</v>
      </c>
      <c r="B9817" s="3">
        <f>DATE(2011,7,8)</f>
        <v>40732</v>
      </c>
      <c r="C9817" s="2" t="s">
        <v>95</v>
      </c>
      <c r="D9817" s="2" t="s">
        <v>28795</v>
      </c>
      <c r="E9817" s="2" t="s">
        <v>28796</v>
      </c>
      <c r="F9817" s="4">
        <v>3532</v>
      </c>
      <c r="G9817" s="2" t="s">
        <v>300</v>
      </c>
      <c r="H9817" s="2" t="s">
        <v>34</v>
      </c>
      <c r="I9817" s="2" t="s">
        <v>8281</v>
      </c>
      <c r="J9817" s="2" t="s">
        <v>8282</v>
      </c>
      <c r="K9817" s="2" t="s">
        <v>300</v>
      </c>
      <c r="L9817" s="2" t="s">
        <v>34</v>
      </c>
      <c r="M9817" s="12">
        <v>50928.553</v>
      </c>
      <c r="N9817" s="6">
        <v>81.819999999999993</v>
      </c>
      <c r="O9817" s="6">
        <v>80.37</v>
      </c>
      <c r="P9817" s="2" t="s">
        <v>28797</v>
      </c>
      <c r="Q9817" s="6">
        <v>100</v>
      </c>
      <c r="R9817" s="6">
        <v>92</v>
      </c>
      <c r="S9817" s="5">
        <v>267.3</v>
      </c>
      <c r="T9817" s="7">
        <v>522.67700000000002</v>
      </c>
      <c r="U9817" s="5">
        <v>23.3</v>
      </c>
      <c r="V9817" s="6">
        <v>3.36</v>
      </c>
      <c r="W9817" s="6">
        <v>72.03</v>
      </c>
      <c r="X9817" s="6">
        <v>69.62</v>
      </c>
      <c r="Y9817" s="5">
        <v>89.8</v>
      </c>
      <c r="Z9817" s="6">
        <v>89.24</v>
      </c>
      <c r="AA9817" s="6">
        <v>81.010000000000005</v>
      </c>
      <c r="AB9817" s="7">
        <v>20.245000000000001</v>
      </c>
      <c r="AC9817" s="8">
        <v>2348</v>
      </c>
    </row>
    <row r="9818" spans="1:29" ht="65" x14ac:dyDescent="0.15">
      <c r="A9818" s="3">
        <f>DATE(2010,11,15)</f>
        <v>40497</v>
      </c>
      <c r="B9818" s="2"/>
      <c r="C9818" s="2" t="s">
        <v>87</v>
      </c>
      <c r="D9818" s="2" t="s">
        <v>3054</v>
      </c>
      <c r="E9818" s="2" t="s">
        <v>540</v>
      </c>
      <c r="F9818" s="4">
        <v>2836</v>
      </c>
      <c r="G9818" s="2" t="s">
        <v>130</v>
      </c>
      <c r="H9818" s="2" t="s">
        <v>34</v>
      </c>
      <c r="I9818" s="2" t="s">
        <v>28798</v>
      </c>
      <c r="J9818" s="2" t="s">
        <v>4011</v>
      </c>
      <c r="K9818" s="2" t="s">
        <v>130</v>
      </c>
      <c r="L9818" s="2" t="s">
        <v>99</v>
      </c>
      <c r="M9818" s="12">
        <v>37761.832999999999</v>
      </c>
      <c r="N9818" s="7">
        <v>47.177</v>
      </c>
      <c r="O9818" s="7">
        <v>46.543999999999997</v>
      </c>
      <c r="P9818" s="2" t="s">
        <v>28799</v>
      </c>
      <c r="Q9818" s="2"/>
      <c r="R9818" s="2"/>
      <c r="S9818" s="5">
        <v>-26.5</v>
      </c>
      <c r="T9818" s="7">
        <v>567.17499999999995</v>
      </c>
      <c r="U9818" s="5">
        <v>27</v>
      </c>
      <c r="V9818" s="6">
        <v>-0.06</v>
      </c>
      <c r="W9818" s="6">
        <v>71.06</v>
      </c>
      <c r="X9818" s="6">
        <v>69.84</v>
      </c>
      <c r="Y9818" s="6">
        <v>70.03</v>
      </c>
      <c r="Z9818" s="6">
        <v>69.94</v>
      </c>
      <c r="AA9818" s="6">
        <v>258.99</v>
      </c>
      <c r="AB9818" s="2" t="s">
        <v>47</v>
      </c>
      <c r="AC9818" s="10">
        <v>9650.75</v>
      </c>
    </row>
    <row r="9819" spans="1:29" ht="104" x14ac:dyDescent="0.15">
      <c r="A9819" s="3">
        <f>DATE(2010,11,15)</f>
        <v>40497</v>
      </c>
      <c r="B9819" s="3">
        <f>DATE(2010,12,21)</f>
        <v>40533</v>
      </c>
      <c r="C9819" s="2" t="s">
        <v>95</v>
      </c>
      <c r="D9819" s="2" t="s">
        <v>28800</v>
      </c>
      <c r="E9819" s="2" t="s">
        <v>28801</v>
      </c>
      <c r="F9819" s="4">
        <v>3572</v>
      </c>
      <c r="G9819" s="2" t="s">
        <v>50</v>
      </c>
      <c r="H9819" s="2" t="s">
        <v>34</v>
      </c>
      <c r="I9819" s="2" t="s">
        <v>15063</v>
      </c>
      <c r="J9819" s="2" t="s">
        <v>15064</v>
      </c>
      <c r="K9819" s="2" t="s">
        <v>50</v>
      </c>
      <c r="L9819" s="2" t="s">
        <v>34</v>
      </c>
      <c r="M9819" s="12">
        <v>42856.232000000004</v>
      </c>
      <c r="N9819" s="6">
        <v>21.45</v>
      </c>
      <c r="O9819" s="6">
        <v>21.03</v>
      </c>
      <c r="P9819" s="2" t="s">
        <v>28802</v>
      </c>
      <c r="Q9819" s="6">
        <v>100</v>
      </c>
      <c r="R9819" s="6">
        <v>33.85</v>
      </c>
      <c r="S9819" s="5">
        <v>7.3</v>
      </c>
      <c r="T9819" s="7">
        <v>15.750999999999999</v>
      </c>
      <c r="U9819" s="5">
        <v>1.2</v>
      </c>
      <c r="V9819" s="6">
        <v>0.11</v>
      </c>
      <c r="W9819" s="6">
        <v>24.46</v>
      </c>
      <c r="X9819" s="6">
        <v>23.11</v>
      </c>
      <c r="Y9819" s="6">
        <v>25.16</v>
      </c>
      <c r="Z9819" s="6">
        <v>25.16</v>
      </c>
      <c r="AA9819" s="6">
        <v>66.400000000000006</v>
      </c>
      <c r="AB9819" s="7">
        <v>185.077</v>
      </c>
      <c r="AC9819" s="10">
        <v>6653</v>
      </c>
    </row>
    <row r="9820" spans="1:29" ht="130" x14ac:dyDescent="0.15">
      <c r="A9820" s="3">
        <f>DATE(2010,11,17)</f>
        <v>40499</v>
      </c>
      <c r="B9820" s="3">
        <f>DATE(2011,5,9)</f>
        <v>40672</v>
      </c>
      <c r="C9820" s="2" t="s">
        <v>95</v>
      </c>
      <c r="D9820" s="2" t="s">
        <v>28803</v>
      </c>
      <c r="E9820" s="2" t="s">
        <v>28804</v>
      </c>
      <c r="F9820" s="4">
        <v>3462</v>
      </c>
      <c r="G9820" s="2" t="s">
        <v>163</v>
      </c>
      <c r="H9820" s="2" t="s">
        <v>34</v>
      </c>
      <c r="I9820" s="2" t="s">
        <v>28805</v>
      </c>
      <c r="J9820" s="2" t="s">
        <v>3629</v>
      </c>
      <c r="K9820" s="2" t="s">
        <v>163</v>
      </c>
      <c r="L9820" s="2" t="s">
        <v>34</v>
      </c>
      <c r="M9820" s="12">
        <v>4722.2039999999997</v>
      </c>
      <c r="N9820" s="6">
        <v>48.41</v>
      </c>
      <c r="O9820" s="6">
        <v>49.21</v>
      </c>
      <c r="P9820" s="2" t="s">
        <v>28806</v>
      </c>
      <c r="Q9820" s="6">
        <v>100</v>
      </c>
      <c r="R9820" s="6">
        <v>46.75</v>
      </c>
      <c r="S9820" s="5">
        <v>25.6</v>
      </c>
      <c r="T9820" s="7">
        <v>54.694000000000003</v>
      </c>
      <c r="U9820" s="5">
        <v>15.4</v>
      </c>
      <c r="V9820" s="6">
        <v>1.61</v>
      </c>
      <c r="W9820" s="5">
        <v>32.4</v>
      </c>
      <c r="X9820" s="6">
        <v>29.33</v>
      </c>
      <c r="Y9820" s="6">
        <v>45.42</v>
      </c>
      <c r="Z9820" s="6">
        <v>45.71</v>
      </c>
      <c r="AA9820" s="6">
        <v>15.71</v>
      </c>
      <c r="AB9820" s="7">
        <v>20.445</v>
      </c>
      <c r="AC9820" s="5">
        <v>457.8</v>
      </c>
    </row>
    <row r="9821" spans="1:29" ht="143" x14ac:dyDescent="0.15">
      <c r="A9821" s="3">
        <f>DATE(2010,11,18)</f>
        <v>40500</v>
      </c>
      <c r="B9821" s="2"/>
      <c r="C9821" s="2" t="s">
        <v>30</v>
      </c>
      <c r="D9821" s="2" t="s">
        <v>28807</v>
      </c>
      <c r="E9821" s="2" t="s">
        <v>28808</v>
      </c>
      <c r="F9821" s="4">
        <v>3825</v>
      </c>
      <c r="G9821" s="2" t="s">
        <v>226</v>
      </c>
      <c r="H9821" s="2" t="s">
        <v>34</v>
      </c>
      <c r="I9821" s="2" t="s">
        <v>28809</v>
      </c>
      <c r="J9821" s="2" t="s">
        <v>17160</v>
      </c>
      <c r="K9821" s="2" t="s">
        <v>137</v>
      </c>
      <c r="L9821" s="2" t="s">
        <v>54</v>
      </c>
      <c r="M9821" s="7">
        <v>554.21199999999999</v>
      </c>
      <c r="N9821" s="6">
        <v>8.31</v>
      </c>
      <c r="O9821" s="7">
        <v>8.1329999999999991</v>
      </c>
      <c r="P9821" s="2" t="s">
        <v>28810</v>
      </c>
      <c r="Q9821" s="2"/>
      <c r="R9821" s="6">
        <v>8.5500000000000007</v>
      </c>
      <c r="S9821" s="5">
        <v>41</v>
      </c>
      <c r="T9821" s="6">
        <v>63.34</v>
      </c>
      <c r="U9821" s="5">
        <v>4</v>
      </c>
      <c r="V9821" s="9">
        <v>0.85360000000000003</v>
      </c>
      <c r="W9821" s="6">
        <v>6.39</v>
      </c>
      <c r="X9821" s="6">
        <v>5.98</v>
      </c>
      <c r="Y9821" s="6">
        <v>7.87</v>
      </c>
      <c r="Z9821" s="6">
        <v>7.61</v>
      </c>
      <c r="AA9821" s="6">
        <v>49.61</v>
      </c>
      <c r="AB9821" s="7">
        <v>7.593</v>
      </c>
      <c r="AC9821" s="5">
        <v>434.6</v>
      </c>
    </row>
    <row r="9822" spans="1:29" ht="130" x14ac:dyDescent="0.15">
      <c r="A9822" s="3">
        <f>DATE(2010,11,22)</f>
        <v>40504</v>
      </c>
      <c r="B9822" s="3">
        <f>DATE(2011,4,27)</f>
        <v>40660</v>
      </c>
      <c r="C9822" s="2" t="s">
        <v>95</v>
      </c>
      <c r="D9822" s="2" t="s">
        <v>549</v>
      </c>
      <c r="E9822" s="2" t="s">
        <v>550</v>
      </c>
      <c r="F9822" s="4">
        <v>7372</v>
      </c>
      <c r="G9822" s="2" t="s">
        <v>551</v>
      </c>
      <c r="H9822" s="2" t="s">
        <v>34</v>
      </c>
      <c r="I9822" s="2" t="s">
        <v>28811</v>
      </c>
      <c r="J9822" s="2" t="s">
        <v>11337</v>
      </c>
      <c r="K9822" s="2" t="s">
        <v>53</v>
      </c>
      <c r="L9822" s="2" t="s">
        <v>34</v>
      </c>
      <c r="M9822" s="2"/>
      <c r="N9822" s="2"/>
      <c r="O9822" s="2"/>
      <c r="P9822" s="2" t="s">
        <v>28812</v>
      </c>
      <c r="Q9822" s="6">
        <v>100</v>
      </c>
      <c r="R9822" s="6">
        <v>6.1</v>
      </c>
      <c r="S9822" s="5">
        <v>377.4</v>
      </c>
      <c r="T9822" s="7">
        <v>117.509</v>
      </c>
      <c r="U9822" s="5">
        <v>3.8</v>
      </c>
      <c r="V9822" s="6">
        <v>1.07</v>
      </c>
      <c r="W9822" s="7">
        <v>5.8049999999999997</v>
      </c>
      <c r="X9822" s="6">
        <v>5.59</v>
      </c>
      <c r="Y9822" s="6">
        <v>5.96</v>
      </c>
      <c r="Z9822" s="6">
        <v>5.93</v>
      </c>
      <c r="AA9822" s="6">
        <v>372.06</v>
      </c>
      <c r="AB9822" s="7">
        <v>12.404</v>
      </c>
      <c r="AC9822" s="2"/>
    </row>
    <row r="9823" spans="1:29" ht="104" x14ac:dyDescent="0.15">
      <c r="A9823" s="3">
        <f>DATE(2010,11,23)</f>
        <v>40505</v>
      </c>
      <c r="B9823" s="3">
        <f>DATE(2011,3,7)</f>
        <v>40609</v>
      </c>
      <c r="C9823" s="2" t="s">
        <v>95</v>
      </c>
      <c r="D9823" s="2" t="s">
        <v>28813</v>
      </c>
      <c r="E9823" s="2" t="s">
        <v>28814</v>
      </c>
      <c r="F9823" s="4">
        <v>5611</v>
      </c>
      <c r="G9823" s="2" t="s">
        <v>756</v>
      </c>
      <c r="H9823" s="2" t="s">
        <v>34</v>
      </c>
      <c r="I9823" s="2" t="s">
        <v>28815</v>
      </c>
      <c r="J9823" s="2" t="s">
        <v>11337</v>
      </c>
      <c r="K9823" s="2" t="s">
        <v>53</v>
      </c>
      <c r="L9823" s="2" t="s">
        <v>34</v>
      </c>
      <c r="M9823" s="2"/>
      <c r="N9823" s="2"/>
      <c r="O9823" s="2"/>
      <c r="P9823" s="2" t="s">
        <v>28816</v>
      </c>
      <c r="Q9823" s="6">
        <v>100</v>
      </c>
      <c r="R9823" s="6">
        <v>43.5</v>
      </c>
      <c r="S9823" s="2"/>
      <c r="T9823" s="2"/>
      <c r="U9823" s="5">
        <v>0</v>
      </c>
      <c r="V9823" s="2"/>
      <c r="W9823" s="6">
        <v>35.35</v>
      </c>
      <c r="X9823" s="6">
        <v>37.65</v>
      </c>
      <c r="Y9823" s="6">
        <v>43.99</v>
      </c>
      <c r="Z9823" s="5">
        <v>43.7</v>
      </c>
      <c r="AA9823" s="6">
        <v>71.72</v>
      </c>
      <c r="AB9823" s="2" t="s">
        <v>47</v>
      </c>
      <c r="AC9823" s="2"/>
    </row>
    <row r="9824" spans="1:29" ht="182" x14ac:dyDescent="0.15">
      <c r="A9824" s="3">
        <f>DATE(2010,11,25)</f>
        <v>40507</v>
      </c>
      <c r="B9824" s="3">
        <f>DATE(2011,3,8)</f>
        <v>40610</v>
      </c>
      <c r="C9824" s="2" t="s">
        <v>95</v>
      </c>
      <c r="D9824" s="2" t="s">
        <v>18458</v>
      </c>
      <c r="E9824" s="2" t="s">
        <v>18459</v>
      </c>
      <c r="F9824" s="4">
        <v>2033</v>
      </c>
      <c r="G9824" s="2" t="s">
        <v>577</v>
      </c>
      <c r="H9824" s="2" t="s">
        <v>34</v>
      </c>
      <c r="I9824" s="2" t="s">
        <v>28817</v>
      </c>
      <c r="J9824" s="2" t="s">
        <v>11337</v>
      </c>
      <c r="K9824" s="2" t="s">
        <v>53</v>
      </c>
      <c r="L9824" s="2" t="s">
        <v>34</v>
      </c>
      <c r="M9824" s="2"/>
      <c r="N9824" s="2"/>
      <c r="O9824" s="2"/>
      <c r="P9824" s="2" t="s">
        <v>28818</v>
      </c>
      <c r="Q9824" s="6">
        <v>100</v>
      </c>
      <c r="R9824" s="6">
        <v>19</v>
      </c>
      <c r="S9824" s="5">
        <v>263.60000000000002</v>
      </c>
      <c r="T9824" s="5">
        <v>611.9</v>
      </c>
      <c r="U9824" s="5">
        <v>9.5</v>
      </c>
      <c r="V9824" s="6">
        <v>1.28</v>
      </c>
      <c r="W9824" s="6">
        <v>14.49</v>
      </c>
      <c r="X9824" s="5">
        <v>14.5</v>
      </c>
      <c r="Y9824" s="6">
        <v>15.71</v>
      </c>
      <c r="Z9824" s="6">
        <v>17.510000000000002</v>
      </c>
      <c r="AA9824" s="6">
        <v>212.44</v>
      </c>
      <c r="AB9824" s="7">
        <v>10.365</v>
      </c>
      <c r="AC9824" s="2"/>
    </row>
    <row r="9825" spans="1:29" ht="91" x14ac:dyDescent="0.15">
      <c r="A9825" s="3">
        <f>DATE(2010,11,26)</f>
        <v>40508</v>
      </c>
      <c r="B9825" s="3">
        <f>DATE(2011,2,11)</f>
        <v>40585</v>
      </c>
      <c r="C9825" s="2" t="s">
        <v>95</v>
      </c>
      <c r="D9825" s="2" t="s">
        <v>28271</v>
      </c>
      <c r="E9825" s="2" t="s">
        <v>28272</v>
      </c>
      <c r="F9825" s="4">
        <v>3679</v>
      </c>
      <c r="G9825" s="2" t="s">
        <v>137</v>
      </c>
      <c r="H9825" s="2" t="s">
        <v>34</v>
      </c>
      <c r="I9825" s="2" t="s">
        <v>28819</v>
      </c>
      <c r="J9825" s="2" t="s">
        <v>3197</v>
      </c>
      <c r="K9825" s="2" t="s">
        <v>53</v>
      </c>
      <c r="L9825" s="2" t="s">
        <v>34</v>
      </c>
      <c r="M9825" s="2"/>
      <c r="N9825" s="2"/>
      <c r="O9825" s="2"/>
      <c r="P9825" s="2" t="s">
        <v>28820</v>
      </c>
      <c r="Q9825" s="6">
        <v>100</v>
      </c>
      <c r="R9825" s="6">
        <v>19.5</v>
      </c>
      <c r="S9825" s="5">
        <v>6.7</v>
      </c>
      <c r="T9825" s="7">
        <v>54.622</v>
      </c>
      <c r="U9825" s="5">
        <v>10.9</v>
      </c>
      <c r="V9825" s="6">
        <v>0.37</v>
      </c>
      <c r="W9825" s="6">
        <v>14.69</v>
      </c>
      <c r="X9825" s="6">
        <v>14.47</v>
      </c>
      <c r="Y9825" s="6">
        <v>19.309999999999999</v>
      </c>
      <c r="Z9825" s="6">
        <v>19.260000000000002</v>
      </c>
      <c r="AA9825" s="6">
        <v>20.190000000000001</v>
      </c>
      <c r="AB9825" s="7">
        <v>11.989000000000001</v>
      </c>
      <c r="AC9825" s="2"/>
    </row>
    <row r="9826" spans="1:29" ht="169" x14ac:dyDescent="0.15">
      <c r="A9826" s="3">
        <f>DATE(2010,11,30)</f>
        <v>40512</v>
      </c>
      <c r="B9826" s="3">
        <f>DATE(2011,1,27)</f>
        <v>40570</v>
      </c>
      <c r="C9826" s="2" t="s">
        <v>95</v>
      </c>
      <c r="D9826" s="2" t="s">
        <v>28821</v>
      </c>
      <c r="E9826" s="2" t="s">
        <v>28822</v>
      </c>
      <c r="F9826" s="4">
        <v>3621</v>
      </c>
      <c r="G9826" s="2" t="s">
        <v>137</v>
      </c>
      <c r="H9826" s="2" t="s">
        <v>34</v>
      </c>
      <c r="I9826" s="2" t="s">
        <v>27799</v>
      </c>
      <c r="J9826" s="2" t="s">
        <v>27800</v>
      </c>
      <c r="K9826" s="2" t="s">
        <v>137</v>
      </c>
      <c r="L9826" s="2" t="s">
        <v>215</v>
      </c>
      <c r="M9826" s="12">
        <v>47964.275999999998</v>
      </c>
      <c r="N9826" s="7">
        <v>19.454000000000001</v>
      </c>
      <c r="O9826" s="7">
        <v>19.411000000000001</v>
      </c>
      <c r="P9826" s="2" t="s">
        <v>28823</v>
      </c>
      <c r="Q9826" s="6">
        <v>100</v>
      </c>
      <c r="R9826" s="6">
        <v>63.5</v>
      </c>
      <c r="S9826" s="5">
        <v>66.5</v>
      </c>
      <c r="T9826" s="7">
        <v>290.25599999999997</v>
      </c>
      <c r="U9826" s="5">
        <v>21</v>
      </c>
      <c r="V9826" s="6">
        <v>1.4</v>
      </c>
      <c r="W9826" s="6">
        <v>44.08</v>
      </c>
      <c r="X9826" s="6">
        <v>45.11</v>
      </c>
      <c r="Y9826" s="6">
        <v>63.31</v>
      </c>
      <c r="Z9826" s="6">
        <v>63.23</v>
      </c>
      <c r="AA9826" s="6">
        <v>47.16</v>
      </c>
      <c r="AB9826" s="7">
        <v>19.044</v>
      </c>
      <c r="AC9826" s="8">
        <v>7615.8</v>
      </c>
    </row>
    <row r="9827" spans="1:29" ht="78" x14ac:dyDescent="0.15">
      <c r="A9827" s="3">
        <f>DATE(2010,11,30)</f>
        <v>40512</v>
      </c>
      <c r="B9827" s="3">
        <f>DATE(2011,3,28)</f>
        <v>40630</v>
      </c>
      <c r="C9827" s="2" t="s">
        <v>95</v>
      </c>
      <c r="D9827" s="2" t="s">
        <v>28824</v>
      </c>
      <c r="E9827" s="2" t="s">
        <v>124</v>
      </c>
      <c r="F9827" s="4">
        <v>6331</v>
      </c>
      <c r="G9827" s="2" t="s">
        <v>125</v>
      </c>
      <c r="H9827" s="2" t="s">
        <v>34</v>
      </c>
      <c r="I9827" s="2" t="s">
        <v>28825</v>
      </c>
      <c r="J9827" s="2" t="s">
        <v>11337</v>
      </c>
      <c r="K9827" s="2" t="s">
        <v>53</v>
      </c>
      <c r="L9827" s="2" t="s">
        <v>34</v>
      </c>
      <c r="M9827" s="2"/>
      <c r="N9827" s="2"/>
      <c r="O9827" s="2"/>
      <c r="P9827" s="2" t="s">
        <v>28826</v>
      </c>
      <c r="Q9827" s="6">
        <v>100</v>
      </c>
      <c r="R9827" s="6">
        <v>28.25</v>
      </c>
      <c r="S9827" s="5">
        <v>14.7</v>
      </c>
      <c r="T9827" s="7">
        <v>25.129000000000001</v>
      </c>
      <c r="U9827" s="5">
        <v>25.9</v>
      </c>
      <c r="V9827" s="6">
        <v>2.2999999999999998</v>
      </c>
      <c r="W9827" s="6">
        <v>18.850000000000001</v>
      </c>
      <c r="X9827" s="6">
        <v>18.72</v>
      </c>
      <c r="Y9827" s="6">
        <v>18.86</v>
      </c>
      <c r="Z9827" s="6">
        <v>27.89</v>
      </c>
      <c r="AA9827" s="6">
        <v>6.48</v>
      </c>
      <c r="AB9827" s="7">
        <v>9.0779999999999994</v>
      </c>
      <c r="AC9827" s="2"/>
    </row>
    <row r="9828" spans="1:29" ht="65" x14ac:dyDescent="0.15">
      <c r="A9828" s="3">
        <f>DATE(2010,12,3)</f>
        <v>40515</v>
      </c>
      <c r="B9828" s="2"/>
      <c r="C9828" s="2" t="s">
        <v>87</v>
      </c>
      <c r="D9828" s="2" t="s">
        <v>28827</v>
      </c>
      <c r="E9828" s="2" t="s">
        <v>28828</v>
      </c>
      <c r="F9828" s="4">
        <v>4924</v>
      </c>
      <c r="G9828" s="2" t="s">
        <v>439</v>
      </c>
      <c r="H9828" s="2" t="s">
        <v>34</v>
      </c>
      <c r="I9828" s="2" t="s">
        <v>28829</v>
      </c>
      <c r="J9828" s="2" t="s">
        <v>3759</v>
      </c>
      <c r="K9828" s="2" t="s">
        <v>439</v>
      </c>
      <c r="L9828" s="2" t="s">
        <v>34</v>
      </c>
      <c r="M9828" s="12">
        <v>4136.6729999999998</v>
      </c>
      <c r="N9828" s="6">
        <v>47.81</v>
      </c>
      <c r="O9828" s="6">
        <v>48.03</v>
      </c>
      <c r="P9828" s="2" t="s">
        <v>28830</v>
      </c>
      <c r="Q9828" s="2"/>
      <c r="R9828" s="2"/>
      <c r="S9828" s="5">
        <v>153.5</v>
      </c>
      <c r="T9828" s="5">
        <v>437.4</v>
      </c>
      <c r="U9828" s="5">
        <v>23.7</v>
      </c>
      <c r="V9828" s="6">
        <v>3.36</v>
      </c>
      <c r="W9828" s="6">
        <v>44.01</v>
      </c>
      <c r="X9828" s="6">
        <v>46.63</v>
      </c>
      <c r="Y9828" s="6">
        <v>44.86</v>
      </c>
      <c r="Z9828" s="6">
        <v>46.76</v>
      </c>
      <c r="AA9828" s="6">
        <v>45.53</v>
      </c>
      <c r="AB9828" s="2" t="s">
        <v>47</v>
      </c>
      <c r="AC9828" s="2"/>
    </row>
    <row r="9829" spans="1:29" ht="91" x14ac:dyDescent="0.15">
      <c r="A9829" s="3">
        <f>DATE(2010,12,7)</f>
        <v>40519</v>
      </c>
      <c r="B9829" s="3">
        <f>DATE(2011,3,2)</f>
        <v>40604</v>
      </c>
      <c r="C9829" s="2" t="s">
        <v>95</v>
      </c>
      <c r="D9829" s="2" t="s">
        <v>28831</v>
      </c>
      <c r="E9829" s="2" t="s">
        <v>23940</v>
      </c>
      <c r="F9829" s="4">
        <v>6552</v>
      </c>
      <c r="G9829" s="2" t="s">
        <v>109</v>
      </c>
      <c r="H9829" s="2" t="s">
        <v>34</v>
      </c>
      <c r="I9829" s="2" t="s">
        <v>1526</v>
      </c>
      <c r="J9829" s="2" t="s">
        <v>302</v>
      </c>
      <c r="K9829" s="2" t="s">
        <v>53</v>
      </c>
      <c r="L9829" s="2" t="s">
        <v>34</v>
      </c>
      <c r="M9829" s="2"/>
      <c r="N9829" s="2"/>
      <c r="O9829" s="2"/>
      <c r="P9829" s="2" t="s">
        <v>28832</v>
      </c>
      <c r="Q9829" s="6">
        <v>100</v>
      </c>
      <c r="R9829" s="2"/>
      <c r="S9829" s="5">
        <v>-30.5</v>
      </c>
      <c r="T9829" s="5">
        <v>2.2000000000000002</v>
      </c>
      <c r="U9829" s="5">
        <v>1</v>
      </c>
      <c r="V9829" s="6">
        <v>-2.78</v>
      </c>
      <c r="W9829" s="6">
        <v>1.38</v>
      </c>
      <c r="X9829" s="6">
        <v>1.22</v>
      </c>
      <c r="Y9829" s="6">
        <v>1.1499999999999999</v>
      </c>
      <c r="Z9829" s="6">
        <v>0.85</v>
      </c>
      <c r="AA9829" s="6">
        <v>11</v>
      </c>
      <c r="AB9829" s="2" t="s">
        <v>47</v>
      </c>
      <c r="AC9829" s="2"/>
    </row>
    <row r="9830" spans="1:29" ht="143" x14ac:dyDescent="0.15">
      <c r="A9830" s="3">
        <f>DATE(2010,12,7)</f>
        <v>40519</v>
      </c>
      <c r="B9830" s="3">
        <f>DATE(2011,12,9)</f>
        <v>40886</v>
      </c>
      <c r="C9830" s="2" t="s">
        <v>95</v>
      </c>
      <c r="D9830" s="2" t="s">
        <v>28827</v>
      </c>
      <c r="E9830" s="2" t="s">
        <v>28828</v>
      </c>
      <c r="F9830" s="4">
        <v>4924</v>
      </c>
      <c r="G9830" s="2" t="s">
        <v>439</v>
      </c>
      <c r="H9830" s="2" t="s">
        <v>34</v>
      </c>
      <c r="I9830" s="2" t="s">
        <v>22155</v>
      </c>
      <c r="J9830" s="2" t="s">
        <v>1437</v>
      </c>
      <c r="K9830" s="2" t="s">
        <v>439</v>
      </c>
      <c r="L9830" s="2" t="s">
        <v>34</v>
      </c>
      <c r="M9830" s="10">
        <v>3035.04</v>
      </c>
      <c r="N9830" s="6">
        <v>34.979999999999997</v>
      </c>
      <c r="O9830" s="5">
        <v>35.5</v>
      </c>
      <c r="P9830" s="2" t="s">
        <v>28833</v>
      </c>
      <c r="Q9830" s="6">
        <v>100</v>
      </c>
      <c r="R9830" s="6">
        <v>52.32</v>
      </c>
      <c r="S9830" s="5">
        <v>153.5</v>
      </c>
      <c r="T9830" s="5">
        <v>437.4</v>
      </c>
      <c r="U9830" s="5">
        <v>23.7</v>
      </c>
      <c r="V9830" s="6">
        <v>3.36</v>
      </c>
      <c r="W9830" s="6">
        <v>43.25</v>
      </c>
      <c r="X9830" s="6">
        <v>46.76</v>
      </c>
      <c r="Y9830" s="6">
        <v>48.79</v>
      </c>
      <c r="Z9830" s="6">
        <v>49.42</v>
      </c>
      <c r="AA9830" s="6">
        <v>45.53</v>
      </c>
      <c r="AB9830" s="7">
        <v>12.603</v>
      </c>
      <c r="AC9830" s="5">
        <v>226</v>
      </c>
    </row>
    <row r="9831" spans="1:29" ht="130" x14ac:dyDescent="0.15">
      <c r="A9831" s="3">
        <f>DATE(2010,12,9)</f>
        <v>40521</v>
      </c>
      <c r="B9831" s="3">
        <f>DATE(2011,11,30)</f>
        <v>40877</v>
      </c>
      <c r="C9831" s="2" t="s">
        <v>95</v>
      </c>
      <c r="D9831" s="2" t="s">
        <v>26066</v>
      </c>
      <c r="E9831" s="2" t="s">
        <v>36</v>
      </c>
      <c r="F9831" s="4">
        <v>6022</v>
      </c>
      <c r="G9831" s="2" t="s">
        <v>37</v>
      </c>
      <c r="H9831" s="2" t="s">
        <v>34</v>
      </c>
      <c r="I9831" s="2" t="s">
        <v>28834</v>
      </c>
      <c r="J9831" s="2" t="s">
        <v>36</v>
      </c>
      <c r="K9831" s="2" t="s">
        <v>37</v>
      </c>
      <c r="L9831" s="2" t="s">
        <v>34</v>
      </c>
      <c r="M9831" s="7">
        <v>324.99299999999999</v>
      </c>
      <c r="N9831" s="6">
        <v>8.67</v>
      </c>
      <c r="O9831" s="6">
        <v>9.39</v>
      </c>
      <c r="P9831" s="2" t="s">
        <v>28835</v>
      </c>
      <c r="Q9831" s="6">
        <v>100</v>
      </c>
      <c r="R9831" s="6">
        <v>7.16</v>
      </c>
      <c r="S9831" s="5">
        <v>-8.1999999999999993</v>
      </c>
      <c r="T9831" s="7">
        <v>2.3420000000000001</v>
      </c>
      <c r="U9831" s="5">
        <v>5.4</v>
      </c>
      <c r="V9831" s="6">
        <v>-1.89</v>
      </c>
      <c r="W9831" s="5">
        <v>6.5</v>
      </c>
      <c r="X9831" s="6">
        <v>6.65</v>
      </c>
      <c r="Y9831" s="6">
        <v>6.64</v>
      </c>
      <c r="Z9831" s="6">
        <v>7.15</v>
      </c>
      <c r="AA9831" s="6">
        <v>39.93</v>
      </c>
      <c r="AB9831" s="2" t="s">
        <v>86</v>
      </c>
      <c r="AC9831" s="2"/>
    </row>
    <row r="9832" spans="1:29" ht="65" x14ac:dyDescent="0.15">
      <c r="A9832" s="3">
        <f>DATE(2010,12,9)</f>
        <v>40521</v>
      </c>
      <c r="B9832" s="2"/>
      <c r="C9832" s="2" t="s">
        <v>87</v>
      </c>
      <c r="D9832" s="2" t="s">
        <v>22118</v>
      </c>
      <c r="E9832" s="2" t="s">
        <v>22119</v>
      </c>
      <c r="F9832" s="4">
        <v>8731</v>
      </c>
      <c r="G9832" s="2" t="s">
        <v>223</v>
      </c>
      <c r="H9832" s="2" t="s">
        <v>34</v>
      </c>
      <c r="I9832" s="2" t="s">
        <v>143</v>
      </c>
      <c r="J9832" s="2" t="s">
        <v>144</v>
      </c>
      <c r="K9832" s="2" t="s">
        <v>53</v>
      </c>
      <c r="L9832" s="2" t="s">
        <v>139</v>
      </c>
      <c r="M9832" s="2"/>
      <c r="N9832" s="2"/>
      <c r="O9832" s="2"/>
      <c r="P9832" s="2" t="s">
        <v>28836</v>
      </c>
      <c r="Q9832" s="2"/>
      <c r="R9832" s="2"/>
      <c r="S9832" s="5">
        <v>21.2</v>
      </c>
      <c r="T9832" s="7">
        <v>231.53200000000001</v>
      </c>
      <c r="U9832" s="5">
        <v>18</v>
      </c>
      <c r="V9832" s="6">
        <v>0.38</v>
      </c>
      <c r="W9832" s="6">
        <v>33.590000000000003</v>
      </c>
      <c r="X9832" s="6">
        <v>33.909999999999997</v>
      </c>
      <c r="Y9832" s="6">
        <v>34.82</v>
      </c>
      <c r="Z9832" s="6">
        <v>35.020000000000003</v>
      </c>
      <c r="AA9832" s="6">
        <v>57.72</v>
      </c>
      <c r="AB9832" s="2" t="s">
        <v>47</v>
      </c>
      <c r="AC9832" s="2"/>
    </row>
    <row r="9833" spans="1:29" ht="104" x14ac:dyDescent="0.15">
      <c r="A9833" s="3">
        <f>DATE(2010,12,9)</f>
        <v>40521</v>
      </c>
      <c r="B9833" s="3">
        <f>DATE(2011,1,11)</f>
        <v>40554</v>
      </c>
      <c r="C9833" s="2" t="s">
        <v>95</v>
      </c>
      <c r="D9833" s="2" t="s">
        <v>10740</v>
      </c>
      <c r="E9833" s="2" t="s">
        <v>7529</v>
      </c>
      <c r="F9833" s="4">
        <v>5198</v>
      </c>
      <c r="G9833" s="2" t="s">
        <v>593</v>
      </c>
      <c r="H9833" s="2" t="s">
        <v>34</v>
      </c>
      <c r="I9833" s="2" t="s">
        <v>28837</v>
      </c>
      <c r="J9833" s="2" t="s">
        <v>28838</v>
      </c>
      <c r="K9833" s="2" t="s">
        <v>76</v>
      </c>
      <c r="L9833" s="2" t="s">
        <v>902</v>
      </c>
      <c r="M9833" s="7">
        <v>530.35199999999998</v>
      </c>
      <c r="N9833" s="7">
        <v>26.899000000000001</v>
      </c>
      <c r="O9833" s="7">
        <v>26.466999999999999</v>
      </c>
      <c r="P9833" s="2" t="s">
        <v>28839</v>
      </c>
      <c r="Q9833" s="6">
        <v>100</v>
      </c>
      <c r="R9833" s="6">
        <v>21</v>
      </c>
      <c r="S9833" s="5">
        <v>11</v>
      </c>
      <c r="T9833" s="7">
        <v>25.771000000000001</v>
      </c>
      <c r="U9833" s="2"/>
      <c r="V9833" s="6">
        <v>1.4</v>
      </c>
      <c r="W9833" s="5">
        <v>15.9</v>
      </c>
      <c r="X9833" s="4">
        <v>16</v>
      </c>
      <c r="Y9833" s="4">
        <v>16</v>
      </c>
      <c r="Z9833" s="6">
        <v>20.78</v>
      </c>
      <c r="AA9833" s="6">
        <v>7.89</v>
      </c>
      <c r="AB9833" s="7">
        <v>9.5589999999999993</v>
      </c>
      <c r="AC9833" s="6">
        <v>5.76</v>
      </c>
    </row>
    <row r="9834" spans="1:29" ht="130" x14ac:dyDescent="0.15">
      <c r="A9834" s="3">
        <f>DATE(2010,12,9)</f>
        <v>40521</v>
      </c>
      <c r="B9834" s="2"/>
      <c r="C9834" s="2" t="s">
        <v>30</v>
      </c>
      <c r="D9834" s="2" t="s">
        <v>8716</v>
      </c>
      <c r="E9834" s="2" t="s">
        <v>1488</v>
      </c>
      <c r="F9834" s="4">
        <v>8062</v>
      </c>
      <c r="G9834" s="2" t="s">
        <v>454</v>
      </c>
      <c r="H9834" s="2" t="s">
        <v>34</v>
      </c>
      <c r="I9834" s="2" t="s">
        <v>8081</v>
      </c>
      <c r="J9834" s="2" t="s">
        <v>25326</v>
      </c>
      <c r="K9834" s="2" t="s">
        <v>454</v>
      </c>
      <c r="L9834" s="2" t="s">
        <v>34</v>
      </c>
      <c r="M9834" s="12">
        <v>3088.2950000000001</v>
      </c>
      <c r="N9834" s="6">
        <v>31.64</v>
      </c>
      <c r="O9834" s="6">
        <v>35.89</v>
      </c>
      <c r="P9834" s="2" t="s">
        <v>28840</v>
      </c>
      <c r="Q9834" s="2"/>
      <c r="R9834" s="6">
        <v>7.25</v>
      </c>
      <c r="S9834" s="8">
        <v>1128</v>
      </c>
      <c r="T9834" s="8">
        <v>1131</v>
      </c>
      <c r="U9834" s="5">
        <v>12.3</v>
      </c>
      <c r="V9834" s="6">
        <v>8.0399999999999991</v>
      </c>
      <c r="W9834" s="6">
        <v>4.25</v>
      </c>
      <c r="X9834" s="6">
        <v>4.26</v>
      </c>
      <c r="Y9834" s="6">
        <v>4.29</v>
      </c>
      <c r="Z9834" s="6">
        <v>6.65</v>
      </c>
      <c r="AA9834" s="6">
        <v>485.53</v>
      </c>
      <c r="AB9834" s="7">
        <v>6.8780000000000001</v>
      </c>
      <c r="AC9834" s="6">
        <v>270.72000000000003</v>
      </c>
    </row>
    <row r="9835" spans="1:29" ht="117" x14ac:dyDescent="0.15">
      <c r="A9835" s="3">
        <f>DATE(2010,12,13)</f>
        <v>40525</v>
      </c>
      <c r="B9835" s="3">
        <f>DATE(2011,2,22)</f>
        <v>40596</v>
      </c>
      <c r="C9835" s="2" t="s">
        <v>95</v>
      </c>
      <c r="D9835" s="2" t="s">
        <v>28841</v>
      </c>
      <c r="E9835" s="2" t="s">
        <v>28842</v>
      </c>
      <c r="F9835" s="4">
        <v>7372</v>
      </c>
      <c r="G9835" s="2" t="s">
        <v>551</v>
      </c>
      <c r="H9835" s="2" t="s">
        <v>34</v>
      </c>
      <c r="I9835" s="2" t="s">
        <v>27746</v>
      </c>
      <c r="J9835" s="2" t="s">
        <v>27747</v>
      </c>
      <c r="K9835" s="2" t="s">
        <v>50</v>
      </c>
      <c r="L9835" s="2" t="s">
        <v>34</v>
      </c>
      <c r="M9835" s="12">
        <v>26078.237000000001</v>
      </c>
      <c r="N9835" s="7">
        <v>13.355</v>
      </c>
      <c r="O9835" s="7">
        <v>13.313000000000001</v>
      </c>
      <c r="P9835" s="2" t="s">
        <v>28843</v>
      </c>
      <c r="Q9835" s="6">
        <v>100</v>
      </c>
      <c r="R9835" s="6">
        <v>27.75</v>
      </c>
      <c r="S9835" s="5">
        <v>3.6</v>
      </c>
      <c r="T9835" s="7">
        <v>5.8940000000000001</v>
      </c>
      <c r="U9835" s="5">
        <v>4</v>
      </c>
      <c r="V9835" s="6">
        <v>0.11</v>
      </c>
      <c r="W9835" s="6">
        <v>17.47</v>
      </c>
      <c r="X9835" s="6">
        <v>17.77</v>
      </c>
      <c r="Y9835" s="5">
        <v>19.7</v>
      </c>
      <c r="Z9835" s="6">
        <v>26.06</v>
      </c>
      <c r="AA9835" s="6">
        <v>31.86</v>
      </c>
      <c r="AB9835" s="7">
        <v>352.20400000000001</v>
      </c>
      <c r="AC9835" s="8">
        <v>13445</v>
      </c>
    </row>
    <row r="9836" spans="1:29" ht="78" x14ac:dyDescent="0.15">
      <c r="A9836" s="3">
        <f>DATE(2010,12,13)</f>
        <v>40525</v>
      </c>
      <c r="B9836" s="3">
        <f>DATE(2011,5,17)</f>
        <v>40680</v>
      </c>
      <c r="C9836" s="2" t="s">
        <v>95</v>
      </c>
      <c r="D9836" s="2" t="s">
        <v>28844</v>
      </c>
      <c r="E9836" s="2" t="s">
        <v>28845</v>
      </c>
      <c r="F9836" s="4">
        <v>3823</v>
      </c>
      <c r="G9836" s="2" t="s">
        <v>226</v>
      </c>
      <c r="H9836" s="2" t="s">
        <v>34</v>
      </c>
      <c r="I9836" s="2" t="s">
        <v>28846</v>
      </c>
      <c r="J9836" s="2" t="s">
        <v>28847</v>
      </c>
      <c r="K9836" s="2" t="s">
        <v>226</v>
      </c>
      <c r="L9836" s="2" t="s">
        <v>34</v>
      </c>
      <c r="M9836" s="12">
        <v>20410.476999999999</v>
      </c>
      <c r="N9836" s="6">
        <v>55.56</v>
      </c>
      <c r="O9836" s="6">
        <v>55.11</v>
      </c>
      <c r="P9836" s="2" t="s">
        <v>28848</v>
      </c>
      <c r="Q9836" s="6">
        <v>100</v>
      </c>
      <c r="R9836" s="6">
        <v>118.5</v>
      </c>
      <c r="S9836" s="5">
        <v>59.7</v>
      </c>
      <c r="T9836" s="7">
        <v>102.621</v>
      </c>
      <c r="U9836" s="5">
        <v>14.9</v>
      </c>
      <c r="V9836" s="6">
        <v>3.34</v>
      </c>
      <c r="W9836" s="6">
        <v>94.83</v>
      </c>
      <c r="X9836" s="6">
        <v>98.17</v>
      </c>
      <c r="Y9836" s="6">
        <v>117.83</v>
      </c>
      <c r="Z9836" s="6">
        <v>117.82</v>
      </c>
      <c r="AA9836" s="6">
        <v>19.170000000000002</v>
      </c>
      <c r="AB9836" s="7">
        <v>23.4</v>
      </c>
      <c r="AC9836" s="5">
        <v>940.1</v>
      </c>
    </row>
    <row r="9837" spans="1:29" ht="78" x14ac:dyDescent="0.15">
      <c r="A9837" s="3">
        <f>DATE(2010,12,14)</f>
        <v>40526</v>
      </c>
      <c r="B9837" s="3">
        <f>DATE(2011,2,23)</f>
        <v>40597</v>
      </c>
      <c r="C9837" s="2" t="s">
        <v>95</v>
      </c>
      <c r="D9837" s="2" t="s">
        <v>28660</v>
      </c>
      <c r="E9837" s="2" t="s">
        <v>1266</v>
      </c>
      <c r="F9837" s="4">
        <v>4215</v>
      </c>
      <c r="G9837" s="2" t="s">
        <v>173</v>
      </c>
      <c r="H9837" s="2" t="s">
        <v>34</v>
      </c>
      <c r="I9837" s="2" t="s">
        <v>28849</v>
      </c>
      <c r="J9837" s="2" t="s">
        <v>28850</v>
      </c>
      <c r="K9837" s="2" t="s">
        <v>173</v>
      </c>
      <c r="L9837" s="2" t="s">
        <v>902</v>
      </c>
      <c r="M9837" s="12">
        <v>1049.0029999999999</v>
      </c>
      <c r="N9837" s="7">
        <v>12.481</v>
      </c>
      <c r="O9837" s="7">
        <v>12.734999999999999</v>
      </c>
      <c r="P9837" s="2" t="s">
        <v>28851</v>
      </c>
      <c r="Q9837" s="6">
        <v>100</v>
      </c>
      <c r="R9837" s="6">
        <v>25</v>
      </c>
      <c r="S9837" s="5">
        <v>9</v>
      </c>
      <c r="T9837" s="7">
        <v>21.024999999999999</v>
      </c>
      <c r="U9837" s="5">
        <v>11.5</v>
      </c>
      <c r="V9837" s="6">
        <v>0.93</v>
      </c>
      <c r="W9837" s="6">
        <v>24.31</v>
      </c>
      <c r="X9837" s="6">
        <v>24.25</v>
      </c>
      <c r="Y9837" s="6">
        <v>25.21</v>
      </c>
      <c r="Z9837" s="6">
        <v>25.25</v>
      </c>
      <c r="AA9837" s="6">
        <v>9.76</v>
      </c>
      <c r="AB9837" s="7">
        <v>13.285</v>
      </c>
      <c r="AC9837" s="2"/>
    </row>
    <row r="9838" spans="1:29" ht="104" x14ac:dyDescent="0.15">
      <c r="A9838" s="3">
        <f>DATE(2010,12,14)</f>
        <v>40526</v>
      </c>
      <c r="B9838" s="3">
        <f>DATE(2011,2,18)</f>
        <v>40592</v>
      </c>
      <c r="C9838" s="2" t="s">
        <v>95</v>
      </c>
      <c r="D9838" s="2" t="s">
        <v>28852</v>
      </c>
      <c r="E9838" s="2" t="s">
        <v>13693</v>
      </c>
      <c r="F9838" s="4">
        <v>2834</v>
      </c>
      <c r="G9838" s="2" t="s">
        <v>130</v>
      </c>
      <c r="H9838" s="2" t="s">
        <v>34</v>
      </c>
      <c r="I9838" s="2" t="s">
        <v>28853</v>
      </c>
      <c r="J9838" s="2" t="s">
        <v>11337</v>
      </c>
      <c r="K9838" s="2" t="s">
        <v>53</v>
      </c>
      <c r="L9838" s="2" t="s">
        <v>34</v>
      </c>
      <c r="M9838" s="2"/>
      <c r="N9838" s="2"/>
      <c r="O9838" s="2"/>
      <c r="P9838" s="2" t="s">
        <v>28854</v>
      </c>
      <c r="Q9838" s="6">
        <v>100</v>
      </c>
      <c r="R9838" s="6">
        <v>8.75</v>
      </c>
      <c r="S9838" s="5">
        <v>-3</v>
      </c>
      <c r="T9838" s="7">
        <v>12.582000000000001</v>
      </c>
      <c r="U9838" s="5">
        <v>5.8</v>
      </c>
      <c r="V9838" s="6">
        <v>-0.32</v>
      </c>
      <c r="W9838" s="6">
        <v>5.19</v>
      </c>
      <c r="X9838" s="6">
        <v>5.12</v>
      </c>
      <c r="Y9838" s="6">
        <v>7.98</v>
      </c>
      <c r="Z9838" s="4">
        <v>8</v>
      </c>
      <c r="AA9838" s="6">
        <v>9.4</v>
      </c>
      <c r="AB9838" s="7">
        <v>5.1139999999999999</v>
      </c>
      <c r="AC9838" s="2"/>
    </row>
    <row r="9839" spans="1:29" ht="78" x14ac:dyDescent="0.15">
      <c r="A9839" s="3">
        <f>DATE(2010,12,15)</f>
        <v>40527</v>
      </c>
      <c r="B9839" s="3">
        <f>DATE(2011,1,18)</f>
        <v>40561</v>
      </c>
      <c r="C9839" s="2" t="s">
        <v>95</v>
      </c>
      <c r="D9839" s="2" t="s">
        <v>24872</v>
      </c>
      <c r="E9839" s="2" t="s">
        <v>1361</v>
      </c>
      <c r="F9839" s="4">
        <v>8748</v>
      </c>
      <c r="G9839" s="2" t="s">
        <v>223</v>
      </c>
      <c r="H9839" s="2" t="s">
        <v>34</v>
      </c>
      <c r="I9839" s="2" t="s">
        <v>28855</v>
      </c>
      <c r="J9839" s="2" t="s">
        <v>28856</v>
      </c>
      <c r="K9839" s="2" t="s">
        <v>163</v>
      </c>
      <c r="L9839" s="2" t="s">
        <v>34</v>
      </c>
      <c r="M9839" s="10">
        <v>9892.3700000000008</v>
      </c>
      <c r="N9839" s="6">
        <v>63.66</v>
      </c>
      <c r="O9839" s="6">
        <v>63.22</v>
      </c>
      <c r="P9839" s="2" t="s">
        <v>28857</v>
      </c>
      <c r="Q9839" s="6">
        <v>100</v>
      </c>
      <c r="R9839" s="6">
        <v>4.75</v>
      </c>
      <c r="S9839" s="5">
        <v>-17.7</v>
      </c>
      <c r="T9839" s="2"/>
      <c r="U9839" s="5">
        <v>-0.5</v>
      </c>
      <c r="V9839" s="6">
        <v>-7.45</v>
      </c>
      <c r="W9839" s="6">
        <v>1.75</v>
      </c>
      <c r="X9839" s="6">
        <v>1.75</v>
      </c>
      <c r="Y9839" s="5">
        <v>1.8</v>
      </c>
      <c r="Z9839" s="6">
        <v>4.6399999999999997</v>
      </c>
      <c r="AA9839" s="6">
        <v>6.43</v>
      </c>
      <c r="AB9839" s="2" t="s">
        <v>86</v>
      </c>
      <c r="AC9839" s="8">
        <v>1685.8</v>
      </c>
    </row>
    <row r="9840" spans="1:29" ht="182" x14ac:dyDescent="0.15">
      <c r="A9840" s="3">
        <f>DATE(2010,12,15)</f>
        <v>40527</v>
      </c>
      <c r="B9840" s="3">
        <f>DATE(2011,5,31)</f>
        <v>40694</v>
      </c>
      <c r="C9840" s="2" t="s">
        <v>95</v>
      </c>
      <c r="D9840" s="2" t="s">
        <v>28858</v>
      </c>
      <c r="E9840" s="2" t="s">
        <v>36</v>
      </c>
      <c r="F9840" s="4">
        <v>6035</v>
      </c>
      <c r="G9840" s="2" t="s">
        <v>33</v>
      </c>
      <c r="H9840" s="2" t="s">
        <v>34</v>
      </c>
      <c r="I9840" s="2" t="s">
        <v>28859</v>
      </c>
      <c r="J9840" s="2" t="s">
        <v>36</v>
      </c>
      <c r="K9840" s="2" t="s">
        <v>37</v>
      </c>
      <c r="L9840" s="2" t="s">
        <v>34</v>
      </c>
      <c r="M9840" s="7">
        <v>81.445999999999998</v>
      </c>
      <c r="N9840" s="6">
        <v>27.35</v>
      </c>
      <c r="O9840" s="6">
        <v>26.38</v>
      </c>
      <c r="P9840" s="2" t="s">
        <v>28860</v>
      </c>
      <c r="Q9840" s="6">
        <v>100</v>
      </c>
      <c r="R9840" s="6">
        <v>19.62</v>
      </c>
      <c r="S9840" s="5">
        <v>1.2</v>
      </c>
      <c r="T9840" s="6">
        <v>1.66</v>
      </c>
      <c r="U9840" s="5">
        <v>15.5</v>
      </c>
      <c r="V9840" s="6">
        <v>0.93</v>
      </c>
      <c r="W9840" s="5">
        <v>11.1</v>
      </c>
      <c r="X9840" s="5">
        <v>10.9</v>
      </c>
      <c r="Y9840" s="5">
        <v>16.600000000000001</v>
      </c>
      <c r="Z9840" s="6">
        <v>16.940000000000001</v>
      </c>
      <c r="AA9840" s="6">
        <v>1.39</v>
      </c>
      <c r="AB9840" s="7">
        <v>22.684999999999999</v>
      </c>
      <c r="AC9840" s="2"/>
    </row>
    <row r="9841" spans="1:29" ht="130" x14ac:dyDescent="0.15">
      <c r="A9841" s="3">
        <f>DATE(2010,12,16)</f>
        <v>40528</v>
      </c>
      <c r="B9841" s="3">
        <f>DATE(2011,7,1)</f>
        <v>40725</v>
      </c>
      <c r="C9841" s="2" t="s">
        <v>95</v>
      </c>
      <c r="D9841" s="2" t="s">
        <v>28861</v>
      </c>
      <c r="E9841" s="2" t="s">
        <v>36</v>
      </c>
      <c r="F9841" s="4">
        <v>6021</v>
      </c>
      <c r="G9841" s="2" t="s">
        <v>37</v>
      </c>
      <c r="H9841" s="2" t="s">
        <v>34</v>
      </c>
      <c r="I9841" s="2" t="s">
        <v>23448</v>
      </c>
      <c r="J9841" s="2" t="s">
        <v>1181</v>
      </c>
      <c r="K9841" s="2" t="s">
        <v>37</v>
      </c>
      <c r="L9841" s="2" t="s">
        <v>34</v>
      </c>
      <c r="M9841" s="6">
        <v>140.11000000000001</v>
      </c>
      <c r="N9841" s="6">
        <v>22.22</v>
      </c>
      <c r="O9841" s="6">
        <v>22.55</v>
      </c>
      <c r="P9841" s="2" t="s">
        <v>28862</v>
      </c>
      <c r="Q9841" s="6">
        <v>100</v>
      </c>
      <c r="R9841" s="6">
        <v>7.92</v>
      </c>
      <c r="S9841" s="5">
        <v>1.1000000000000001</v>
      </c>
      <c r="T9841" s="7">
        <v>-8.1669999999999998</v>
      </c>
      <c r="U9841" s="5">
        <v>7.5</v>
      </c>
      <c r="V9841" s="6">
        <v>0.15</v>
      </c>
      <c r="W9841" s="6">
        <v>2.85</v>
      </c>
      <c r="X9841" s="6">
        <v>2.85</v>
      </c>
      <c r="Y9841" s="5">
        <v>6.6</v>
      </c>
      <c r="Z9841" s="6">
        <v>6.75</v>
      </c>
      <c r="AA9841" s="6">
        <v>4.93</v>
      </c>
      <c r="AB9841" s="2" t="s">
        <v>86</v>
      </c>
      <c r="AC9841" s="2"/>
    </row>
    <row r="9842" spans="1:29" ht="117" x14ac:dyDescent="0.15">
      <c r="A9842" s="3">
        <f>DATE(2010,12,17)</f>
        <v>40529</v>
      </c>
      <c r="B9842" s="3">
        <f>DATE(2011,9,16)</f>
        <v>40802</v>
      </c>
      <c r="C9842" s="2" t="s">
        <v>95</v>
      </c>
      <c r="D9842" s="2" t="s">
        <v>28863</v>
      </c>
      <c r="E9842" s="2" t="s">
        <v>8330</v>
      </c>
      <c r="F9842" s="4">
        <v>4832</v>
      </c>
      <c r="G9842" s="2" t="s">
        <v>45</v>
      </c>
      <c r="H9842" s="2" t="s">
        <v>34</v>
      </c>
      <c r="I9842" s="2" t="s">
        <v>25893</v>
      </c>
      <c r="J9842" s="2" t="s">
        <v>8330</v>
      </c>
      <c r="K9842" s="2" t="s">
        <v>45</v>
      </c>
      <c r="L9842" s="2" t="s">
        <v>34</v>
      </c>
      <c r="M9842" s="7">
        <v>147.55699999999999</v>
      </c>
      <c r="N9842" s="6">
        <v>4.07</v>
      </c>
      <c r="O9842" s="6">
        <v>4.03</v>
      </c>
      <c r="P9842" s="2" t="s">
        <v>28864</v>
      </c>
      <c r="Q9842" s="6">
        <v>100</v>
      </c>
      <c r="R9842" s="6">
        <v>37</v>
      </c>
      <c r="S9842" s="5">
        <v>-766.6</v>
      </c>
      <c r="T9842" s="7">
        <v>211.886</v>
      </c>
      <c r="U9842" s="5">
        <v>-4</v>
      </c>
      <c r="V9842" s="6">
        <v>-2.91</v>
      </c>
      <c r="W9842" s="5">
        <v>28.5</v>
      </c>
      <c r="X9842" s="5">
        <v>27.5</v>
      </c>
      <c r="Y9842" s="5">
        <v>27.5</v>
      </c>
      <c r="Z9842" s="5">
        <v>29.4</v>
      </c>
      <c r="AA9842" s="6">
        <v>55.13</v>
      </c>
      <c r="AB9842" s="7">
        <v>14.984999999999999</v>
      </c>
      <c r="AC9842" s="6">
        <v>13.42</v>
      </c>
    </row>
    <row r="9843" spans="1:29" ht="156" x14ac:dyDescent="0.15">
      <c r="A9843" s="3">
        <f>DATE(2010,12,17)</f>
        <v>40529</v>
      </c>
      <c r="B9843" s="3">
        <f>DATE(2011,7,5)</f>
        <v>40729</v>
      </c>
      <c r="C9843" s="2" t="s">
        <v>95</v>
      </c>
      <c r="D9843" s="2" t="s">
        <v>18753</v>
      </c>
      <c r="E9843" s="2" t="s">
        <v>36</v>
      </c>
      <c r="F9843" s="4">
        <v>6021</v>
      </c>
      <c r="G9843" s="2" t="s">
        <v>37</v>
      </c>
      <c r="H9843" s="2" t="s">
        <v>34</v>
      </c>
      <c r="I9843" s="2" t="s">
        <v>28865</v>
      </c>
      <c r="J9843" s="2" t="s">
        <v>2855</v>
      </c>
      <c r="K9843" s="2" t="s">
        <v>37</v>
      </c>
      <c r="L9843" s="2" t="s">
        <v>902</v>
      </c>
      <c r="M9843" s="10">
        <v>33652.910000000003</v>
      </c>
      <c r="N9843" s="7">
        <v>57.222000000000001</v>
      </c>
      <c r="O9843" s="7">
        <v>55.621000000000002</v>
      </c>
      <c r="P9843" s="2" t="s">
        <v>28866</v>
      </c>
      <c r="Q9843" s="6">
        <v>100</v>
      </c>
      <c r="R9843" s="6">
        <v>7.76</v>
      </c>
      <c r="S9843" s="5">
        <v>-642.1</v>
      </c>
      <c r="T9843" s="10">
        <v>-2965.42</v>
      </c>
      <c r="U9843" s="5">
        <v>9.1999999999999993</v>
      </c>
      <c r="V9843" s="6">
        <v>-1.41</v>
      </c>
      <c r="W9843" s="5">
        <v>5.9</v>
      </c>
      <c r="X9843" s="6">
        <v>5.79</v>
      </c>
      <c r="Y9843" s="6">
        <v>6.85</v>
      </c>
      <c r="Z9843" s="6">
        <v>6.62</v>
      </c>
      <c r="AA9843" s="6">
        <v>527.98</v>
      </c>
      <c r="AB9843" s="2" t="s">
        <v>86</v>
      </c>
      <c r="AC9843" s="2"/>
    </row>
    <row r="9844" spans="1:29" ht="65" x14ac:dyDescent="0.15">
      <c r="A9844" s="3">
        <f>DATE(2010,12,19)</f>
        <v>40531</v>
      </c>
      <c r="B9844" s="2"/>
      <c r="C9844" s="2" t="s">
        <v>87</v>
      </c>
      <c r="D9844" s="2" t="s">
        <v>14211</v>
      </c>
      <c r="E9844" s="2" t="s">
        <v>14212</v>
      </c>
      <c r="F9844" s="4">
        <v>2011</v>
      </c>
      <c r="G9844" s="2" t="s">
        <v>577</v>
      </c>
      <c r="H9844" s="2" t="s">
        <v>34</v>
      </c>
      <c r="I9844" s="2" t="s">
        <v>28385</v>
      </c>
      <c r="J9844" s="2" t="s">
        <v>28386</v>
      </c>
      <c r="K9844" s="2" t="s">
        <v>426</v>
      </c>
      <c r="L9844" s="2" t="s">
        <v>25624</v>
      </c>
      <c r="M9844" s="10">
        <v>9448.2900000000009</v>
      </c>
      <c r="N9844" s="7">
        <v>4.0490000000000004</v>
      </c>
      <c r="O9844" s="7">
        <v>4.0490000000000004</v>
      </c>
      <c r="P9844" s="2" t="s">
        <v>28867</v>
      </c>
      <c r="Q9844" s="2"/>
      <c r="R9844" s="2"/>
      <c r="S9844" s="5">
        <v>241</v>
      </c>
      <c r="T9844" s="8">
        <v>1385</v>
      </c>
      <c r="U9844" s="5">
        <v>11.6</v>
      </c>
      <c r="V9844" s="6">
        <v>4</v>
      </c>
      <c r="W9844" s="4">
        <v>16</v>
      </c>
      <c r="X9844" s="6">
        <v>17.260000000000002</v>
      </c>
      <c r="Y9844" s="6">
        <v>17.690000000000001</v>
      </c>
      <c r="Z9844" s="6">
        <v>17.690000000000001</v>
      </c>
      <c r="AA9844" s="6">
        <v>639.27</v>
      </c>
      <c r="AB9844" s="2" t="s">
        <v>47</v>
      </c>
      <c r="AC9844" s="10">
        <v>2609.48</v>
      </c>
    </row>
    <row r="9845" spans="1:29" ht="65" x14ac:dyDescent="0.15">
      <c r="A9845" s="3">
        <f>DATE(2010,12,20)</f>
        <v>40532</v>
      </c>
      <c r="B9845" s="3">
        <f>DATE(2011,3,23)</f>
        <v>40625</v>
      </c>
      <c r="C9845" s="2" t="s">
        <v>95</v>
      </c>
      <c r="D9845" s="2" t="s">
        <v>28868</v>
      </c>
      <c r="E9845" s="2" t="s">
        <v>28869</v>
      </c>
      <c r="F9845" s="4">
        <v>8099</v>
      </c>
      <c r="G9845" s="2" t="s">
        <v>454</v>
      </c>
      <c r="H9845" s="2" t="s">
        <v>34</v>
      </c>
      <c r="I9845" s="2" t="s">
        <v>28870</v>
      </c>
      <c r="J9845" s="2" t="s">
        <v>1072</v>
      </c>
      <c r="K9845" s="2" t="s">
        <v>7998</v>
      </c>
      <c r="L9845" s="2" t="s">
        <v>34</v>
      </c>
      <c r="M9845" s="2"/>
      <c r="N9845" s="2"/>
      <c r="O9845" s="2"/>
      <c r="P9845" s="2" t="s">
        <v>28871</v>
      </c>
      <c r="Q9845" s="6">
        <v>100</v>
      </c>
      <c r="R9845" s="6">
        <v>2.87</v>
      </c>
      <c r="S9845" s="5">
        <v>2.8</v>
      </c>
      <c r="T9845" s="7">
        <v>4.2249999999999996</v>
      </c>
      <c r="U9845" s="5">
        <v>0.5</v>
      </c>
      <c r="V9845" s="6">
        <v>0.23</v>
      </c>
      <c r="W9845" s="6">
        <v>1.45</v>
      </c>
      <c r="X9845" s="5">
        <v>1.3</v>
      </c>
      <c r="Y9845" s="6">
        <v>1.32</v>
      </c>
      <c r="Z9845" s="6">
        <v>2.78</v>
      </c>
      <c r="AA9845" s="6">
        <v>16.850000000000001</v>
      </c>
      <c r="AB9845" s="7">
        <v>10.112</v>
      </c>
      <c r="AC9845" s="2"/>
    </row>
    <row r="9846" spans="1:29" ht="143" x14ac:dyDescent="0.15">
      <c r="A9846" s="3">
        <f>DATE(2010,12,20)</f>
        <v>40532</v>
      </c>
      <c r="B9846" s="3">
        <f>DATE(2011,1,28)</f>
        <v>40571</v>
      </c>
      <c r="C9846" s="2" t="s">
        <v>95</v>
      </c>
      <c r="D9846" s="2" t="s">
        <v>28872</v>
      </c>
      <c r="E9846" s="2" t="s">
        <v>28873</v>
      </c>
      <c r="F9846" s="4">
        <v>3663</v>
      </c>
      <c r="G9846" s="2" t="s">
        <v>921</v>
      </c>
      <c r="H9846" s="2" t="s">
        <v>34</v>
      </c>
      <c r="I9846" s="2" t="s">
        <v>6066</v>
      </c>
      <c r="J9846" s="2" t="s">
        <v>6067</v>
      </c>
      <c r="K9846" s="2" t="s">
        <v>226</v>
      </c>
      <c r="L9846" s="2" t="s">
        <v>34</v>
      </c>
      <c r="M9846" s="12">
        <v>16962.186000000002</v>
      </c>
      <c r="N9846" s="6">
        <v>44.96</v>
      </c>
      <c r="O9846" s="6">
        <v>44.95</v>
      </c>
      <c r="P9846" s="2" t="s">
        <v>28874</v>
      </c>
      <c r="Q9846" s="6">
        <v>100</v>
      </c>
      <c r="R9846" s="6">
        <v>38</v>
      </c>
      <c r="S9846" s="5">
        <v>13</v>
      </c>
      <c r="T9846" s="7">
        <v>32.524000000000001</v>
      </c>
      <c r="U9846" s="5">
        <v>10.8</v>
      </c>
      <c r="V9846" s="6">
        <v>0.98</v>
      </c>
      <c r="W9846" s="6">
        <v>26.03</v>
      </c>
      <c r="X9846" s="6">
        <v>27.73</v>
      </c>
      <c r="Y9846" s="6">
        <v>31.33</v>
      </c>
      <c r="Z9846" s="6">
        <v>33.270000000000003</v>
      </c>
      <c r="AA9846" s="6">
        <v>13.4</v>
      </c>
      <c r="AB9846" s="7">
        <v>18.446000000000002</v>
      </c>
      <c r="AC9846" s="8">
        <v>2149</v>
      </c>
    </row>
    <row r="9847" spans="1:29" ht="78" x14ac:dyDescent="0.15">
      <c r="A9847" s="3">
        <f>DATE(2010,12,20)</f>
        <v>40532</v>
      </c>
      <c r="B9847" s="3">
        <f>DATE(2011,1,28)</f>
        <v>40571</v>
      </c>
      <c r="C9847" s="2" t="s">
        <v>95</v>
      </c>
      <c r="D9847" s="2" t="s">
        <v>28875</v>
      </c>
      <c r="E9847" s="2" t="s">
        <v>28876</v>
      </c>
      <c r="F9847" s="4">
        <v>3572</v>
      </c>
      <c r="G9847" s="2" t="s">
        <v>50</v>
      </c>
      <c r="H9847" s="2" t="s">
        <v>34</v>
      </c>
      <c r="I9847" s="2" t="s">
        <v>28877</v>
      </c>
      <c r="J9847" s="2" t="s">
        <v>28878</v>
      </c>
      <c r="K9847" s="2" t="s">
        <v>163</v>
      </c>
      <c r="L9847" s="2" t="s">
        <v>34</v>
      </c>
      <c r="M9847" s="2"/>
      <c r="N9847" s="2"/>
      <c r="O9847" s="2"/>
      <c r="P9847" s="2" t="s">
        <v>28879</v>
      </c>
      <c r="Q9847" s="6">
        <v>100</v>
      </c>
      <c r="R9847" s="6">
        <v>6.25</v>
      </c>
      <c r="S9847" s="5">
        <v>3.5</v>
      </c>
      <c r="T9847" s="7">
        <v>6.492</v>
      </c>
      <c r="U9847" s="5">
        <v>2.5</v>
      </c>
      <c r="V9847" s="6">
        <v>0.28000000000000003</v>
      </c>
      <c r="W9847" s="6">
        <v>4.47</v>
      </c>
      <c r="X9847" s="6">
        <v>4.54</v>
      </c>
      <c r="Y9847" s="6">
        <v>4.45</v>
      </c>
      <c r="Z9847" s="6">
        <v>6.24</v>
      </c>
      <c r="AA9847" s="6">
        <v>13.04</v>
      </c>
      <c r="AB9847" s="7">
        <v>10.853</v>
      </c>
      <c r="AC9847" s="2"/>
    </row>
    <row r="9848" spans="1:29" ht="104" x14ac:dyDescent="0.15">
      <c r="A9848" s="3">
        <f>DATE(2010,12,21)</f>
        <v>40533</v>
      </c>
      <c r="B9848" s="3">
        <f>DATE(2011,2,28)</f>
        <v>40602</v>
      </c>
      <c r="C9848" s="2" t="s">
        <v>95</v>
      </c>
      <c r="D9848" s="2" t="s">
        <v>28880</v>
      </c>
      <c r="E9848" s="2" t="s">
        <v>28881</v>
      </c>
      <c r="F9848" s="4">
        <v>2836</v>
      </c>
      <c r="G9848" s="2" t="s">
        <v>130</v>
      </c>
      <c r="H9848" s="2" t="s">
        <v>34</v>
      </c>
      <c r="I9848" s="2" t="s">
        <v>28882</v>
      </c>
      <c r="J9848" s="2" t="s">
        <v>11337</v>
      </c>
      <c r="K9848" s="2" t="s">
        <v>53</v>
      </c>
      <c r="L9848" s="2" t="s">
        <v>34</v>
      </c>
      <c r="M9848" s="2"/>
      <c r="N9848" s="2"/>
      <c r="O9848" s="2"/>
      <c r="P9848" s="2" t="s">
        <v>28883</v>
      </c>
      <c r="Q9848" s="6">
        <v>100</v>
      </c>
      <c r="R9848" s="6">
        <v>31.5</v>
      </c>
      <c r="S9848" s="5">
        <v>27.9</v>
      </c>
      <c r="T9848" s="7">
        <v>121.34099999999999</v>
      </c>
      <c r="U9848" s="5">
        <v>20</v>
      </c>
      <c r="V9848" s="6">
        <v>0.83</v>
      </c>
      <c r="W9848" s="6">
        <v>22.57</v>
      </c>
      <c r="X9848" s="6">
        <v>23.36</v>
      </c>
      <c r="Y9848" s="6">
        <v>31.67</v>
      </c>
      <c r="Z9848" s="6">
        <v>31.56</v>
      </c>
      <c r="AA9848" s="6">
        <v>33.479999999999997</v>
      </c>
      <c r="AB9848" s="7">
        <v>11.622</v>
      </c>
      <c r="AC9848" s="2"/>
    </row>
    <row r="9849" spans="1:29" ht="117" x14ac:dyDescent="0.15">
      <c r="A9849" s="3">
        <f>DATE(2010,12,22)</f>
        <v>40534</v>
      </c>
      <c r="B9849" s="3">
        <f>DATE(2011,1,3)</f>
        <v>40546</v>
      </c>
      <c r="C9849" s="2" t="s">
        <v>95</v>
      </c>
      <c r="D9849" s="2" t="s">
        <v>27131</v>
      </c>
      <c r="E9849" s="2" t="s">
        <v>27132</v>
      </c>
      <c r="F9849" s="4">
        <v>6035</v>
      </c>
      <c r="G9849" s="2" t="s">
        <v>33</v>
      </c>
      <c r="H9849" s="2" t="s">
        <v>34</v>
      </c>
      <c r="I9849" s="2" t="s">
        <v>12418</v>
      </c>
      <c r="J9849" s="2" t="s">
        <v>36</v>
      </c>
      <c r="K9849" s="2" t="s">
        <v>37</v>
      </c>
      <c r="L9849" s="2" t="s">
        <v>34</v>
      </c>
      <c r="M9849" s="5">
        <v>199</v>
      </c>
      <c r="N9849" s="6">
        <v>18.809999999999999</v>
      </c>
      <c r="O9849" s="6">
        <v>18.52</v>
      </c>
      <c r="P9849" s="2" t="s">
        <v>28884</v>
      </c>
      <c r="Q9849" s="6">
        <v>100</v>
      </c>
      <c r="R9849" s="6">
        <v>13.35</v>
      </c>
      <c r="S9849" s="2"/>
      <c r="T9849" s="2"/>
      <c r="U9849" s="2"/>
      <c r="V9849" s="2"/>
      <c r="W9849" s="5">
        <v>13.5</v>
      </c>
      <c r="X9849" s="6">
        <v>13.12</v>
      </c>
      <c r="Y9849" s="5">
        <v>13.2</v>
      </c>
      <c r="Z9849" s="5">
        <v>13.3</v>
      </c>
      <c r="AA9849" s="6">
        <v>1.87</v>
      </c>
      <c r="AB9849" s="2" t="s">
        <v>47</v>
      </c>
      <c r="AC9849" s="2"/>
    </row>
    <row r="9850" spans="1:29" ht="143" x14ac:dyDescent="0.15">
      <c r="A9850" s="3">
        <f>DATE(2010,12,22)</f>
        <v>40534</v>
      </c>
      <c r="B9850" s="3">
        <f>DATE(2011,6,21)</f>
        <v>40715</v>
      </c>
      <c r="C9850" s="2" t="s">
        <v>95</v>
      </c>
      <c r="D9850" s="2" t="s">
        <v>28885</v>
      </c>
      <c r="E9850" s="2" t="s">
        <v>36</v>
      </c>
      <c r="F9850" s="4">
        <v>6021</v>
      </c>
      <c r="G9850" s="2" t="s">
        <v>37</v>
      </c>
      <c r="H9850" s="2" t="s">
        <v>34</v>
      </c>
      <c r="I9850" s="2" t="s">
        <v>22561</v>
      </c>
      <c r="J9850" s="2" t="s">
        <v>1304</v>
      </c>
      <c r="K9850" s="2" t="s">
        <v>33</v>
      </c>
      <c r="L9850" s="2" t="s">
        <v>34</v>
      </c>
      <c r="M9850" s="7">
        <v>384.387</v>
      </c>
      <c r="N9850" s="4">
        <v>21</v>
      </c>
      <c r="O9850" s="4">
        <v>21</v>
      </c>
      <c r="P9850" s="2" t="s">
        <v>28886</v>
      </c>
      <c r="Q9850" s="6">
        <v>100</v>
      </c>
      <c r="R9850" s="6">
        <v>13.3</v>
      </c>
      <c r="S9850" s="2"/>
      <c r="T9850" s="2"/>
      <c r="U9850" s="2"/>
      <c r="V9850" s="2"/>
      <c r="W9850" s="6">
        <v>8.06</v>
      </c>
      <c r="X9850" s="5">
        <v>8.6</v>
      </c>
      <c r="Y9850" s="6">
        <v>12.65</v>
      </c>
      <c r="Z9850" s="6">
        <v>12.69</v>
      </c>
      <c r="AA9850" s="6">
        <v>8.64</v>
      </c>
      <c r="AB9850" s="2" t="s">
        <v>47</v>
      </c>
      <c r="AC9850" s="2"/>
    </row>
    <row r="9851" spans="1:29" ht="169" x14ac:dyDescent="0.15">
      <c r="A9851" s="3">
        <f>DATE(2010,12,22)</f>
        <v>40534</v>
      </c>
      <c r="B9851" s="3">
        <f>DATE(2011,2,17)</f>
        <v>40591</v>
      </c>
      <c r="C9851" s="2" t="s">
        <v>95</v>
      </c>
      <c r="D9851" s="2" t="s">
        <v>28327</v>
      </c>
      <c r="E9851" s="2" t="s">
        <v>28328</v>
      </c>
      <c r="F9851" s="4">
        <v>7372</v>
      </c>
      <c r="G9851" s="2" t="s">
        <v>551</v>
      </c>
      <c r="H9851" s="2" t="s">
        <v>34</v>
      </c>
      <c r="I9851" s="2" t="s">
        <v>28887</v>
      </c>
      <c r="J9851" s="2" t="s">
        <v>28888</v>
      </c>
      <c r="K9851" s="2" t="s">
        <v>53</v>
      </c>
      <c r="L9851" s="2" t="s">
        <v>34</v>
      </c>
      <c r="M9851" s="12">
        <v>5730.6360000000004</v>
      </c>
      <c r="N9851" s="7">
        <v>58.354999999999997</v>
      </c>
      <c r="O9851" s="6">
        <v>57.26</v>
      </c>
      <c r="P9851" s="2" t="s">
        <v>28889</v>
      </c>
      <c r="Q9851" s="6">
        <v>100</v>
      </c>
      <c r="R9851" s="2"/>
      <c r="S9851" s="5">
        <v>-2.9</v>
      </c>
      <c r="T9851" s="7">
        <v>0.22500000000000001</v>
      </c>
      <c r="U9851" s="5">
        <v>2</v>
      </c>
      <c r="V9851" s="6">
        <v>-0.08</v>
      </c>
      <c r="W9851" s="6">
        <v>10.77</v>
      </c>
      <c r="X9851" s="5">
        <v>11.4</v>
      </c>
      <c r="Y9851" s="7">
        <v>11.205</v>
      </c>
      <c r="Z9851" s="6">
        <v>14.42</v>
      </c>
      <c r="AA9851" s="6">
        <v>53.42</v>
      </c>
      <c r="AB9851" s="2" t="s">
        <v>86</v>
      </c>
      <c r="AC9851" s="6">
        <v>562.66999999999996</v>
      </c>
    </row>
    <row r="9852" spans="1:29" ht="130" x14ac:dyDescent="0.15">
      <c r="A9852" s="3">
        <f>DATE(2010,12,22)</f>
        <v>40534</v>
      </c>
      <c r="B9852" s="3">
        <f>DATE(2011,6,4)</f>
        <v>40698</v>
      </c>
      <c r="C9852" s="2" t="s">
        <v>95</v>
      </c>
      <c r="D9852" s="2" t="s">
        <v>6872</v>
      </c>
      <c r="E9852" s="2" t="s">
        <v>36</v>
      </c>
      <c r="F9852" s="4">
        <v>6021</v>
      </c>
      <c r="G9852" s="2" t="s">
        <v>37</v>
      </c>
      <c r="H9852" s="2" t="s">
        <v>34</v>
      </c>
      <c r="I9852" s="2" t="s">
        <v>18417</v>
      </c>
      <c r="J9852" s="2" t="s">
        <v>36</v>
      </c>
      <c r="K9852" s="2" t="s">
        <v>37</v>
      </c>
      <c r="L9852" s="2" t="s">
        <v>34</v>
      </c>
      <c r="M9852" s="10">
        <v>2475.46</v>
      </c>
      <c r="N9852" s="6">
        <v>34.58</v>
      </c>
      <c r="O9852" s="6">
        <v>33.119999999999997</v>
      </c>
      <c r="P9852" s="2" t="s">
        <v>28890</v>
      </c>
      <c r="Q9852" s="6">
        <v>100</v>
      </c>
      <c r="R9852" s="6">
        <v>15.48</v>
      </c>
      <c r="S9852" s="5">
        <v>-53</v>
      </c>
      <c r="T9852" s="6">
        <v>-56.91</v>
      </c>
      <c r="U9852" s="5">
        <v>13.9</v>
      </c>
      <c r="V9852" s="6">
        <v>-0.66</v>
      </c>
      <c r="W9852" s="6">
        <v>10.55</v>
      </c>
      <c r="X9852" s="6">
        <v>10.87</v>
      </c>
      <c r="Y9852" s="4">
        <v>14</v>
      </c>
      <c r="Z9852" s="6">
        <v>13.41</v>
      </c>
      <c r="AA9852" s="6">
        <v>96.66</v>
      </c>
      <c r="AB9852" s="2" t="s">
        <v>86</v>
      </c>
      <c r="AC9852" s="2"/>
    </row>
    <row r="9853" spans="1:29" ht="91" x14ac:dyDescent="0.15">
      <c r="A9853" s="3">
        <f>DATE(2010,12,23)</f>
        <v>40535</v>
      </c>
      <c r="B9853" s="3">
        <f>DATE(2011,3,18)</f>
        <v>40620</v>
      </c>
      <c r="C9853" s="2" t="s">
        <v>95</v>
      </c>
      <c r="D9853" s="2" t="s">
        <v>25642</v>
      </c>
      <c r="E9853" s="2" t="s">
        <v>25643</v>
      </c>
      <c r="F9853" s="4">
        <v>5949</v>
      </c>
      <c r="G9853" s="2" t="s">
        <v>73</v>
      </c>
      <c r="H9853" s="2" t="s">
        <v>34</v>
      </c>
      <c r="I9853" s="2" t="s">
        <v>28891</v>
      </c>
      <c r="J9853" s="2" t="s">
        <v>244</v>
      </c>
      <c r="K9853" s="2" t="s">
        <v>53</v>
      </c>
      <c r="L9853" s="2" t="s">
        <v>34</v>
      </c>
      <c r="M9853" s="2"/>
      <c r="N9853" s="2"/>
      <c r="O9853" s="2"/>
      <c r="P9853" s="2" t="s">
        <v>28892</v>
      </c>
      <c r="Q9853" s="6">
        <v>100</v>
      </c>
      <c r="R9853" s="6">
        <v>61</v>
      </c>
      <c r="S9853" s="2"/>
      <c r="T9853" s="2"/>
      <c r="U9853" s="5">
        <v>22.4</v>
      </c>
      <c r="V9853" s="2"/>
      <c r="W9853" s="6">
        <v>45.99</v>
      </c>
      <c r="X9853" s="6">
        <v>45.63</v>
      </c>
      <c r="Y9853" s="6">
        <v>60.19</v>
      </c>
      <c r="Z9853" s="6">
        <v>60.19</v>
      </c>
      <c r="AA9853" s="6">
        <v>26.33</v>
      </c>
      <c r="AB9853" s="2" t="s">
        <v>47</v>
      </c>
      <c r="AC9853" s="2"/>
    </row>
    <row r="9854" spans="1:29" ht="130" x14ac:dyDescent="0.15">
      <c r="A9854" s="3">
        <f>DATE(2010,12,23)</f>
        <v>40535</v>
      </c>
      <c r="B9854" s="3">
        <f>DATE(2011,2,15)</f>
        <v>40589</v>
      </c>
      <c r="C9854" s="2" t="s">
        <v>95</v>
      </c>
      <c r="D9854" s="2" t="s">
        <v>28893</v>
      </c>
      <c r="E9854" s="2" t="s">
        <v>28894</v>
      </c>
      <c r="F9854" s="4">
        <v>3731</v>
      </c>
      <c r="G9854" s="2" t="s">
        <v>105</v>
      </c>
      <c r="H9854" s="2" t="s">
        <v>34</v>
      </c>
      <c r="I9854" s="2" t="s">
        <v>28895</v>
      </c>
      <c r="J9854" s="2" t="s">
        <v>28896</v>
      </c>
      <c r="K9854" s="2" t="s">
        <v>105</v>
      </c>
      <c r="L9854" s="2" t="s">
        <v>34</v>
      </c>
      <c r="M9854" s="2"/>
      <c r="N9854" s="2"/>
      <c r="O9854" s="2"/>
      <c r="P9854" s="2" t="s">
        <v>28897</v>
      </c>
      <c r="Q9854" s="6">
        <v>100</v>
      </c>
      <c r="R9854" s="6">
        <v>22.27</v>
      </c>
      <c r="S9854" s="5">
        <v>14.6</v>
      </c>
      <c r="T9854" s="7">
        <v>25.288</v>
      </c>
      <c r="U9854" s="5">
        <v>14.7</v>
      </c>
      <c r="V9854" s="6">
        <v>2.52</v>
      </c>
      <c r="W9854" s="6">
        <v>20.25</v>
      </c>
      <c r="X9854" s="4">
        <v>21</v>
      </c>
      <c r="Y9854" s="6">
        <v>22.22</v>
      </c>
      <c r="Z9854" s="6">
        <v>22.22</v>
      </c>
      <c r="AA9854" s="6">
        <v>5.78</v>
      </c>
      <c r="AB9854" s="7">
        <v>4.3369999999999997</v>
      </c>
      <c r="AC9854" s="2"/>
    </row>
    <row r="9855" spans="1:29" ht="65" x14ac:dyDescent="0.15">
      <c r="A9855" s="3">
        <f>DATE(2010,12,24)</f>
        <v>40536</v>
      </c>
      <c r="B9855" s="3">
        <f>DATE(2010,12,24)</f>
        <v>40536</v>
      </c>
      <c r="C9855" s="2" t="s">
        <v>95</v>
      </c>
      <c r="D9855" s="2" t="s">
        <v>5490</v>
      </c>
      <c r="E9855" s="2" t="s">
        <v>5102</v>
      </c>
      <c r="F9855" s="4">
        <v>7372</v>
      </c>
      <c r="G9855" s="2" t="s">
        <v>551</v>
      </c>
      <c r="H9855" s="2" t="s">
        <v>34</v>
      </c>
      <c r="I9855" s="2" t="s">
        <v>1526</v>
      </c>
      <c r="J9855" s="2" t="s">
        <v>302</v>
      </c>
      <c r="K9855" s="2" t="s">
        <v>53</v>
      </c>
      <c r="L9855" s="2" t="s">
        <v>34</v>
      </c>
      <c r="M9855" s="2"/>
      <c r="N9855" s="2"/>
      <c r="O9855" s="2"/>
      <c r="P9855" s="2" t="s">
        <v>28898</v>
      </c>
      <c r="Q9855" s="2"/>
      <c r="R9855" s="2"/>
      <c r="S9855" s="5">
        <v>-15.8</v>
      </c>
      <c r="T9855" s="6">
        <v>-2.34</v>
      </c>
      <c r="U9855" s="5">
        <v>-0.4</v>
      </c>
      <c r="V9855" s="6">
        <v>-0.38</v>
      </c>
      <c r="W9855" s="6">
        <v>0.83</v>
      </c>
      <c r="X9855" s="4">
        <v>1</v>
      </c>
      <c r="Y9855" s="4">
        <v>1</v>
      </c>
      <c r="Z9855" s="6">
        <v>1.05</v>
      </c>
      <c r="AA9855" s="2"/>
      <c r="AB9855" s="2" t="s">
        <v>86</v>
      </c>
      <c r="AC9855" s="2"/>
    </row>
    <row r="9856" spans="1:29" ht="91" x14ac:dyDescent="0.15">
      <c r="A9856" s="3">
        <f>DATE(2010,12,28)</f>
        <v>40540</v>
      </c>
      <c r="B9856" s="3">
        <f>DATE(2011,2,25)</f>
        <v>40599</v>
      </c>
      <c r="C9856" s="2" t="s">
        <v>95</v>
      </c>
      <c r="D9856" s="2" t="s">
        <v>28899</v>
      </c>
      <c r="E9856" s="2" t="s">
        <v>28900</v>
      </c>
      <c r="F9856" s="4">
        <v>6141</v>
      </c>
      <c r="G9856" s="2" t="s">
        <v>370</v>
      </c>
      <c r="H9856" s="2" t="s">
        <v>34</v>
      </c>
      <c r="I9856" s="2" t="s">
        <v>51</v>
      </c>
      <c r="J9856" s="2" t="s">
        <v>52</v>
      </c>
      <c r="K9856" s="2" t="s">
        <v>53</v>
      </c>
      <c r="L9856" s="2" t="s">
        <v>34</v>
      </c>
      <c r="M9856" s="2"/>
      <c r="N9856" s="2"/>
      <c r="O9856" s="2"/>
      <c r="P9856" s="2" t="s">
        <v>28901</v>
      </c>
      <c r="Q9856" s="6">
        <v>100</v>
      </c>
      <c r="R9856" s="6">
        <v>7.05</v>
      </c>
      <c r="S9856" s="5">
        <v>-5.6</v>
      </c>
      <c r="T9856" s="2"/>
      <c r="U9856" s="5">
        <v>8.5</v>
      </c>
      <c r="V9856" s="6">
        <v>-0.37</v>
      </c>
      <c r="W9856" s="5">
        <v>5.0999999999999996</v>
      </c>
      <c r="X9856" s="4">
        <v>5</v>
      </c>
      <c r="Y9856" s="6">
        <v>6.88</v>
      </c>
      <c r="Z9856" s="6">
        <v>6.87</v>
      </c>
      <c r="AA9856" s="6">
        <v>15.75</v>
      </c>
      <c r="AB9856" s="2" t="s">
        <v>86</v>
      </c>
      <c r="AC9856" s="2"/>
    </row>
    <row r="9857" spans="1:29" ht="91" x14ac:dyDescent="0.15">
      <c r="A9857" s="3">
        <f>DATE(2010,12,31)</f>
        <v>40543</v>
      </c>
      <c r="B9857" s="3">
        <f>DATE(2011,4,29)</f>
        <v>40662</v>
      </c>
      <c r="C9857" s="2" t="s">
        <v>95</v>
      </c>
      <c r="D9857" s="2" t="s">
        <v>28902</v>
      </c>
      <c r="E9857" s="2" t="s">
        <v>18339</v>
      </c>
      <c r="F9857" s="4">
        <v>6311</v>
      </c>
      <c r="G9857" s="2" t="s">
        <v>125</v>
      </c>
      <c r="H9857" s="2" t="s">
        <v>34</v>
      </c>
      <c r="I9857" s="2" t="s">
        <v>26976</v>
      </c>
      <c r="J9857" s="2" t="s">
        <v>4794</v>
      </c>
      <c r="K9857" s="2" t="s">
        <v>73</v>
      </c>
      <c r="L9857" s="2" t="s">
        <v>34</v>
      </c>
      <c r="M9857" s="12">
        <v>44052.296000000002</v>
      </c>
      <c r="N9857" s="6">
        <v>34.770000000000003</v>
      </c>
      <c r="O9857" s="6">
        <v>35.049999999999997</v>
      </c>
      <c r="P9857" s="2" t="s">
        <v>28903</v>
      </c>
      <c r="Q9857" s="6">
        <v>100</v>
      </c>
      <c r="R9857" s="6">
        <v>14</v>
      </c>
      <c r="S9857" s="5">
        <v>155.80000000000001</v>
      </c>
      <c r="T9857" s="7">
        <v>301.27499999999998</v>
      </c>
      <c r="U9857" s="5">
        <v>18.100000000000001</v>
      </c>
      <c r="V9857" s="6">
        <v>2.4500000000000002</v>
      </c>
      <c r="W9857" s="6">
        <v>15.03</v>
      </c>
      <c r="X9857" s="6">
        <v>14.61</v>
      </c>
      <c r="Y9857" s="6">
        <v>20.45</v>
      </c>
      <c r="Z9857" s="6">
        <v>20.170000000000002</v>
      </c>
      <c r="AA9857" s="6">
        <v>75.63</v>
      </c>
      <c r="AB9857" s="7">
        <v>5.452</v>
      </c>
      <c r="AC9857" s="8">
        <v>2168</v>
      </c>
    </row>
    <row r="9858" spans="1:29" ht="208" x14ac:dyDescent="0.15">
      <c r="A9858" s="3">
        <f>DATE(2011,1,3)</f>
        <v>40546</v>
      </c>
      <c r="B9858" s="2"/>
      <c r="C9858" s="2" t="s">
        <v>30</v>
      </c>
      <c r="D9858" s="2" t="s">
        <v>20449</v>
      </c>
      <c r="E9858" s="2" t="s">
        <v>20450</v>
      </c>
      <c r="F9858" s="4">
        <v>4833</v>
      </c>
      <c r="G9858" s="2" t="s">
        <v>45</v>
      </c>
      <c r="H9858" s="2" t="s">
        <v>34</v>
      </c>
      <c r="I9858" s="2" t="s">
        <v>28904</v>
      </c>
      <c r="J9858" s="2" t="s">
        <v>92</v>
      </c>
      <c r="K9858" s="2" t="s">
        <v>53</v>
      </c>
      <c r="L9858" s="2" t="s">
        <v>902</v>
      </c>
      <c r="M9858" s="7">
        <v>99.921999999999997</v>
      </c>
      <c r="N9858" s="7">
        <v>7.0590000000000002</v>
      </c>
      <c r="O9858" s="7">
        <v>6.883</v>
      </c>
      <c r="P9858" s="2" t="s">
        <v>28905</v>
      </c>
      <c r="Q9858" s="2"/>
      <c r="R9858" s="6">
        <v>25.27</v>
      </c>
      <c r="S9858" s="5">
        <v>9.6999999999999993</v>
      </c>
      <c r="T9858" s="7">
        <v>46.372999999999998</v>
      </c>
      <c r="U9858" s="5">
        <v>18.8</v>
      </c>
      <c r="V9858" s="6">
        <v>1.1000000000000001</v>
      </c>
      <c r="W9858" s="6">
        <v>21.61</v>
      </c>
      <c r="X9858" s="5">
        <v>21.8</v>
      </c>
      <c r="Y9858" s="6">
        <v>23.45</v>
      </c>
      <c r="Z9858" s="6">
        <v>24.49</v>
      </c>
      <c r="AA9858" s="6">
        <v>8.7899999999999991</v>
      </c>
      <c r="AB9858" s="7">
        <v>13.536</v>
      </c>
      <c r="AC9858" s="2"/>
    </row>
    <row r="9859" spans="1:29" ht="78" x14ac:dyDescent="0.15">
      <c r="A9859" s="3">
        <f>DATE(2011,1,4)</f>
        <v>40547</v>
      </c>
      <c r="B9859" s="3">
        <f>DATE(2011,4,5)</f>
        <v>40638</v>
      </c>
      <c r="C9859" s="2" t="s">
        <v>95</v>
      </c>
      <c r="D9859" s="2" t="s">
        <v>28001</v>
      </c>
      <c r="E9859" s="2" t="s">
        <v>129</v>
      </c>
      <c r="F9859" s="4">
        <v>2834</v>
      </c>
      <c r="G9859" s="2" t="s">
        <v>130</v>
      </c>
      <c r="H9859" s="2" t="s">
        <v>34</v>
      </c>
      <c r="I9859" s="2" t="s">
        <v>28906</v>
      </c>
      <c r="J9859" s="2" t="s">
        <v>11337</v>
      </c>
      <c r="K9859" s="2" t="s">
        <v>53</v>
      </c>
      <c r="L9859" s="2" t="s">
        <v>34</v>
      </c>
      <c r="M9859" s="2"/>
      <c r="N9859" s="2"/>
      <c r="O9859" s="2"/>
      <c r="P9859" s="2" t="s">
        <v>28907</v>
      </c>
      <c r="Q9859" s="6">
        <v>100</v>
      </c>
      <c r="R9859" s="6">
        <v>27.25</v>
      </c>
      <c r="S9859" s="5">
        <v>6.6</v>
      </c>
      <c r="T9859" s="6">
        <v>7.01</v>
      </c>
      <c r="U9859" s="5">
        <v>12.1</v>
      </c>
      <c r="V9859" s="6">
        <v>2.46</v>
      </c>
      <c r="W9859" s="6">
        <v>23.95</v>
      </c>
      <c r="X9859" s="6">
        <v>24.55</v>
      </c>
      <c r="Y9859" s="6">
        <v>26.71</v>
      </c>
      <c r="Z9859" s="6">
        <v>26.66</v>
      </c>
      <c r="AA9859" s="6">
        <v>2.62</v>
      </c>
      <c r="AB9859" s="7">
        <v>8.7140000000000004</v>
      </c>
      <c r="AC9859" s="2"/>
    </row>
    <row r="9860" spans="1:29" ht="117" x14ac:dyDescent="0.15">
      <c r="A9860" s="3">
        <f>DATE(2011,1,5)</f>
        <v>40548</v>
      </c>
      <c r="B9860" s="3">
        <f>DATE(2011,5,24)</f>
        <v>40687</v>
      </c>
      <c r="C9860" s="2" t="s">
        <v>95</v>
      </c>
      <c r="D9860" s="2" t="s">
        <v>27714</v>
      </c>
      <c r="E9860" s="2" t="s">
        <v>4865</v>
      </c>
      <c r="F9860" s="4">
        <v>3674</v>
      </c>
      <c r="G9860" s="2" t="s">
        <v>137</v>
      </c>
      <c r="H9860" s="2" t="s">
        <v>34</v>
      </c>
      <c r="I9860" s="2" t="s">
        <v>28908</v>
      </c>
      <c r="J9860" s="2" t="s">
        <v>11337</v>
      </c>
      <c r="K9860" s="2" t="s">
        <v>53</v>
      </c>
      <c r="L9860" s="2" t="s">
        <v>34</v>
      </c>
      <c r="M9860" s="2"/>
      <c r="N9860" s="2"/>
      <c r="O9860" s="2"/>
      <c r="P9860" s="2" t="s">
        <v>28909</v>
      </c>
      <c r="Q9860" s="6">
        <v>100</v>
      </c>
      <c r="R9860" s="6">
        <v>45</v>
      </c>
      <c r="S9860" s="5">
        <v>54.4</v>
      </c>
      <c r="T9860" s="7">
        <v>147.178</v>
      </c>
      <c r="U9860" s="5">
        <v>12.4</v>
      </c>
      <c r="V9860" s="6">
        <v>0.75</v>
      </c>
      <c r="W9860" s="6">
        <v>35.549999999999997</v>
      </c>
      <c r="X9860" s="6">
        <v>37.020000000000003</v>
      </c>
      <c r="Y9860" s="4">
        <v>44</v>
      </c>
      <c r="Z9860" s="6">
        <v>44.64</v>
      </c>
      <c r="AA9860" s="6">
        <v>80.42</v>
      </c>
      <c r="AB9860" s="7">
        <v>30.236000000000001</v>
      </c>
      <c r="AC9860" s="2"/>
    </row>
    <row r="9861" spans="1:29" ht="65" x14ac:dyDescent="0.15">
      <c r="A9861" s="3">
        <f>DATE(2011,1,7)</f>
        <v>40550</v>
      </c>
      <c r="B9861" s="2"/>
      <c r="C9861" s="2" t="s">
        <v>87</v>
      </c>
      <c r="D9861" s="2" t="s">
        <v>28910</v>
      </c>
      <c r="E9861" s="2" t="s">
        <v>1262</v>
      </c>
      <c r="F9861" s="4">
        <v>4911</v>
      </c>
      <c r="G9861" s="2" t="s">
        <v>439</v>
      </c>
      <c r="H9861" s="2" t="s">
        <v>34</v>
      </c>
      <c r="I9861" s="2" t="s">
        <v>28911</v>
      </c>
      <c r="J9861" s="2" t="s">
        <v>1977</v>
      </c>
      <c r="K9861" s="2" t="s">
        <v>439</v>
      </c>
      <c r="L9861" s="2" t="s">
        <v>34</v>
      </c>
      <c r="M9861" s="2"/>
      <c r="N9861" s="2"/>
      <c r="O9861" s="2"/>
      <c r="P9861" s="2" t="s">
        <v>28912</v>
      </c>
      <c r="Q9861" s="2"/>
      <c r="R9861" s="2"/>
      <c r="S9861" s="5">
        <v>115.4</v>
      </c>
      <c r="T9861" s="7">
        <v>415.339</v>
      </c>
      <c r="U9861" s="5">
        <v>15.7</v>
      </c>
      <c r="V9861" s="6">
        <v>1.21</v>
      </c>
      <c r="W9861" s="6">
        <v>22.79</v>
      </c>
      <c r="X9861" s="6">
        <v>23.87</v>
      </c>
      <c r="Y9861" s="6">
        <v>24.76</v>
      </c>
      <c r="Z9861" s="6">
        <v>24.41</v>
      </c>
      <c r="AA9861" s="6">
        <v>94.16</v>
      </c>
      <c r="AB9861" s="2" t="s">
        <v>47</v>
      </c>
      <c r="AC9861" s="2"/>
    </row>
    <row r="9862" spans="1:29" ht="117" x14ac:dyDescent="0.15">
      <c r="A9862" s="3">
        <f>DATE(2011,1,10)</f>
        <v>40553</v>
      </c>
      <c r="B9862" s="2"/>
      <c r="C9862" s="2" t="s">
        <v>30</v>
      </c>
      <c r="D9862" s="2" t="s">
        <v>15979</v>
      </c>
      <c r="E9862" s="2" t="s">
        <v>4865</v>
      </c>
      <c r="F9862" s="4">
        <v>3674</v>
      </c>
      <c r="G9862" s="2" t="s">
        <v>137</v>
      </c>
      <c r="H9862" s="2" t="s">
        <v>34</v>
      </c>
      <c r="I9862" s="2" t="s">
        <v>28913</v>
      </c>
      <c r="J9862" s="2" t="s">
        <v>28914</v>
      </c>
      <c r="K9862" s="2" t="s">
        <v>137</v>
      </c>
      <c r="L9862" s="2" t="s">
        <v>34</v>
      </c>
      <c r="M9862" s="7">
        <v>660.93100000000004</v>
      </c>
      <c r="N9862" s="6">
        <v>26.84</v>
      </c>
      <c r="O9862" s="6">
        <v>25.94</v>
      </c>
      <c r="P9862" s="2" t="s">
        <v>28915</v>
      </c>
      <c r="Q9862" s="2"/>
      <c r="R9862" s="2"/>
      <c r="S9862" s="5">
        <v>2.2000000000000002</v>
      </c>
      <c r="T9862" s="7">
        <v>36.259</v>
      </c>
      <c r="U9862" s="5">
        <v>0</v>
      </c>
      <c r="V9862" s="6">
        <v>7.0000000000000007E-2</v>
      </c>
      <c r="W9862" s="6">
        <v>1.63</v>
      </c>
      <c r="X9862" s="6">
        <v>1.89</v>
      </c>
      <c r="Y9862" s="6">
        <v>2.16</v>
      </c>
      <c r="Z9862" s="6">
        <v>2.15</v>
      </c>
      <c r="AA9862" s="6">
        <v>82.06</v>
      </c>
      <c r="AB9862" s="2" t="s">
        <v>47</v>
      </c>
      <c r="AC9862" s="6">
        <v>158.01</v>
      </c>
    </row>
    <row r="9863" spans="1:29" ht="195" x14ac:dyDescent="0.15">
      <c r="A9863" s="3">
        <f>DATE(2011,1,10)</f>
        <v>40553</v>
      </c>
      <c r="B9863" s="3">
        <f>DATE(2012,7,3)</f>
        <v>41093</v>
      </c>
      <c r="C9863" s="2" t="s">
        <v>95</v>
      </c>
      <c r="D9863" s="2" t="s">
        <v>23912</v>
      </c>
      <c r="E9863" s="2" t="s">
        <v>3759</v>
      </c>
      <c r="F9863" s="4">
        <v>4911</v>
      </c>
      <c r="G9863" s="2" t="s">
        <v>439</v>
      </c>
      <c r="H9863" s="2" t="s">
        <v>34</v>
      </c>
      <c r="I9863" s="2" t="s">
        <v>22942</v>
      </c>
      <c r="J9863" s="2" t="s">
        <v>22943</v>
      </c>
      <c r="K9863" s="2" t="s">
        <v>439</v>
      </c>
      <c r="L9863" s="2" t="s">
        <v>34</v>
      </c>
      <c r="M9863" s="12">
        <v>23232.583999999999</v>
      </c>
      <c r="N9863" s="6">
        <v>17.579999999999998</v>
      </c>
      <c r="O9863" s="6">
        <v>17.64</v>
      </c>
      <c r="P9863" s="2" t="s">
        <v>28916</v>
      </c>
      <c r="Q9863" s="6">
        <v>100</v>
      </c>
      <c r="R9863" s="6">
        <v>46.48</v>
      </c>
      <c r="S9863" s="5">
        <v>867</v>
      </c>
      <c r="T9863" s="8">
        <v>3101</v>
      </c>
      <c r="U9863" s="5">
        <v>34.200000000000003</v>
      </c>
      <c r="V9863" s="9">
        <v>2.9584000000000001</v>
      </c>
      <c r="W9863" s="6">
        <v>43.48</v>
      </c>
      <c r="X9863" s="6">
        <v>44.72</v>
      </c>
      <c r="Y9863" s="6">
        <v>43.99</v>
      </c>
      <c r="Z9863" s="6">
        <v>43.99</v>
      </c>
      <c r="AA9863" s="6">
        <v>292.94</v>
      </c>
      <c r="AB9863" s="7">
        <v>12.471</v>
      </c>
      <c r="AC9863" s="8">
        <v>1783</v>
      </c>
    </row>
    <row r="9864" spans="1:29" ht="156" x14ac:dyDescent="0.15">
      <c r="A9864" s="3">
        <f>DATE(2011,1,10)</f>
        <v>40553</v>
      </c>
      <c r="B9864" s="2"/>
      <c r="C9864" s="2" t="s">
        <v>87</v>
      </c>
      <c r="D9864" s="2" t="s">
        <v>14211</v>
      </c>
      <c r="E9864" s="2" t="s">
        <v>14212</v>
      </c>
      <c r="F9864" s="4">
        <v>2011</v>
      </c>
      <c r="G9864" s="2" t="s">
        <v>577</v>
      </c>
      <c r="H9864" s="2" t="s">
        <v>34</v>
      </c>
      <c r="I9864" s="2" t="s">
        <v>28917</v>
      </c>
      <c r="J9864" s="2" t="s">
        <v>11337</v>
      </c>
      <c r="K9864" s="2" t="s">
        <v>53</v>
      </c>
      <c r="L9864" s="2" t="s">
        <v>34</v>
      </c>
      <c r="M9864" s="2"/>
      <c r="N9864" s="2"/>
      <c r="O9864" s="2"/>
      <c r="P9864" s="2" t="s">
        <v>28918</v>
      </c>
      <c r="Q9864" s="2"/>
      <c r="R9864" s="2"/>
      <c r="S9864" s="5">
        <v>211</v>
      </c>
      <c r="T9864" s="8">
        <v>1206</v>
      </c>
      <c r="U9864" s="5">
        <v>16.399999999999999</v>
      </c>
      <c r="V9864" s="6">
        <v>2.2999999999999998</v>
      </c>
      <c r="W9864" s="6">
        <v>17.48</v>
      </c>
      <c r="X9864" s="6">
        <v>17.43</v>
      </c>
      <c r="Y9864" s="6">
        <v>18.21</v>
      </c>
      <c r="Z9864" s="6">
        <v>18.010000000000002</v>
      </c>
      <c r="AA9864" s="6">
        <v>639.27</v>
      </c>
      <c r="AB9864" s="2" t="s">
        <v>47</v>
      </c>
      <c r="AC9864" s="2"/>
    </row>
    <row r="9865" spans="1:29" ht="156" x14ac:dyDescent="0.15">
      <c r="A9865" s="3">
        <f>DATE(2011,1,18)</f>
        <v>40561</v>
      </c>
      <c r="B9865" s="3">
        <f>DATE(2011,6,16)</f>
        <v>40710</v>
      </c>
      <c r="C9865" s="2" t="s">
        <v>95</v>
      </c>
      <c r="D9865" s="2" t="s">
        <v>28616</v>
      </c>
      <c r="E9865" s="2" t="s">
        <v>28617</v>
      </c>
      <c r="F9865" s="4">
        <v>3822</v>
      </c>
      <c r="G9865" s="2" t="s">
        <v>226</v>
      </c>
      <c r="H9865" s="2" t="s">
        <v>34</v>
      </c>
      <c r="I9865" s="2" t="s">
        <v>23175</v>
      </c>
      <c r="J9865" s="2" t="s">
        <v>244</v>
      </c>
      <c r="K9865" s="2" t="s">
        <v>53</v>
      </c>
      <c r="L9865" s="2" t="s">
        <v>34</v>
      </c>
      <c r="M9865" s="2"/>
      <c r="N9865" s="2"/>
      <c r="O9865" s="2"/>
      <c r="P9865" s="2" t="s">
        <v>28919</v>
      </c>
      <c r="Q9865" s="6">
        <v>100</v>
      </c>
      <c r="R9865" s="6">
        <v>2.25</v>
      </c>
      <c r="S9865" s="5">
        <v>-5.0999999999999996</v>
      </c>
      <c r="T9865" s="7">
        <v>5.5129999999999999</v>
      </c>
      <c r="U9865" s="5">
        <v>0.6</v>
      </c>
      <c r="V9865" s="6">
        <v>0.05</v>
      </c>
      <c r="W9865" s="6">
        <v>1.64</v>
      </c>
      <c r="X9865" s="6">
        <v>1.66</v>
      </c>
      <c r="Y9865" s="6">
        <v>1.71</v>
      </c>
      <c r="Z9865" s="6">
        <v>1.71</v>
      </c>
      <c r="AA9865" s="6">
        <v>59.51</v>
      </c>
      <c r="AB9865" s="7">
        <v>29.497</v>
      </c>
      <c r="AC9865" s="2"/>
    </row>
    <row r="9866" spans="1:29" ht="130" x14ac:dyDescent="0.15">
      <c r="A9866" s="3">
        <f>DATE(2011,1,18)</f>
        <v>40561</v>
      </c>
      <c r="B9866" s="3">
        <f>DATE(2011,5,17)</f>
        <v>40680</v>
      </c>
      <c r="C9866" s="2" t="s">
        <v>95</v>
      </c>
      <c r="D9866" s="2" t="s">
        <v>28920</v>
      </c>
      <c r="E9866" s="2" t="s">
        <v>28921</v>
      </c>
      <c r="F9866" s="4">
        <v>3613</v>
      </c>
      <c r="G9866" s="2" t="s">
        <v>137</v>
      </c>
      <c r="H9866" s="2" t="s">
        <v>34</v>
      </c>
      <c r="I9866" s="2" t="s">
        <v>28922</v>
      </c>
      <c r="J9866" s="2" t="s">
        <v>28923</v>
      </c>
      <c r="K9866" s="2" t="s">
        <v>163</v>
      </c>
      <c r="L9866" s="2" t="s">
        <v>34</v>
      </c>
      <c r="M9866" s="7">
        <v>111.872</v>
      </c>
      <c r="N9866" s="6">
        <v>6.65</v>
      </c>
      <c r="O9866" s="6">
        <v>6.29</v>
      </c>
      <c r="P9866" s="2" t="s">
        <v>28924</v>
      </c>
      <c r="Q9866" s="6">
        <v>86.13</v>
      </c>
      <c r="R9866" s="6">
        <v>7.2</v>
      </c>
      <c r="S9866" s="5">
        <v>0.5</v>
      </c>
      <c r="T9866" s="7">
        <v>3.952</v>
      </c>
      <c r="U9866" s="5">
        <v>4.0999999999999996</v>
      </c>
      <c r="V9866" s="6">
        <v>7.0000000000000007E-2</v>
      </c>
      <c r="W9866" s="6">
        <v>3.83</v>
      </c>
      <c r="X9866" s="7">
        <v>3.9009999999999998</v>
      </c>
      <c r="Y9866" s="6">
        <v>5.15</v>
      </c>
      <c r="Z9866" s="6">
        <v>5.17</v>
      </c>
      <c r="AA9866" s="6">
        <v>6.62</v>
      </c>
      <c r="AB9866" s="7">
        <v>25.91</v>
      </c>
      <c r="AC9866" s="6">
        <v>14.39</v>
      </c>
    </row>
    <row r="9867" spans="1:29" ht="182" x14ac:dyDescent="0.15">
      <c r="A9867" s="3">
        <f>DATE(2011,1,20)</f>
        <v>40563</v>
      </c>
      <c r="B9867" s="3">
        <f>DATE(2011,7,1)</f>
        <v>40725</v>
      </c>
      <c r="C9867" s="2" t="s">
        <v>95</v>
      </c>
      <c r="D9867" s="2" t="s">
        <v>27576</v>
      </c>
      <c r="E9867" s="2" t="s">
        <v>27577</v>
      </c>
      <c r="F9867" s="4">
        <v>6035</v>
      </c>
      <c r="G9867" s="2" t="s">
        <v>33</v>
      </c>
      <c r="H9867" s="2" t="s">
        <v>34</v>
      </c>
      <c r="I9867" s="2" t="s">
        <v>25765</v>
      </c>
      <c r="J9867" s="2" t="s">
        <v>36</v>
      </c>
      <c r="K9867" s="2" t="s">
        <v>33</v>
      </c>
      <c r="L9867" s="2" t="s">
        <v>34</v>
      </c>
      <c r="M9867" s="12">
        <v>5135.7640000000001</v>
      </c>
      <c r="N9867" s="7">
        <v>13.693</v>
      </c>
      <c r="O9867" s="5">
        <v>13.2</v>
      </c>
      <c r="P9867" s="2" t="s">
        <v>28925</v>
      </c>
      <c r="Q9867" s="6">
        <v>100</v>
      </c>
      <c r="R9867" s="6">
        <v>23</v>
      </c>
      <c r="S9867" s="5">
        <v>18.2</v>
      </c>
      <c r="T9867" s="7">
        <v>28.315000000000001</v>
      </c>
      <c r="U9867" s="5">
        <v>15</v>
      </c>
      <c r="V9867" s="6">
        <v>0.91</v>
      </c>
      <c r="W9867" s="6">
        <v>17.37</v>
      </c>
      <c r="X9867" s="6">
        <v>17.170000000000002</v>
      </c>
      <c r="Y9867" s="6">
        <v>17.02</v>
      </c>
      <c r="Z9867" s="6">
        <v>21.65</v>
      </c>
      <c r="AA9867" s="6">
        <v>22.57</v>
      </c>
      <c r="AB9867" s="7">
        <v>37.569000000000003</v>
      </c>
      <c r="AC9867" s="2"/>
    </row>
    <row r="9868" spans="1:29" ht="78" x14ac:dyDescent="0.15">
      <c r="A9868" s="3">
        <f>DATE(2011,1,20)</f>
        <v>40563</v>
      </c>
      <c r="B9868" s="2"/>
      <c r="C9868" s="2" t="s">
        <v>87</v>
      </c>
      <c r="D9868" s="2" t="s">
        <v>28926</v>
      </c>
      <c r="E9868" s="2" t="s">
        <v>28927</v>
      </c>
      <c r="F9868" s="4">
        <v>8111</v>
      </c>
      <c r="G9868" s="2" t="s">
        <v>28928</v>
      </c>
      <c r="H9868" s="2" t="s">
        <v>34</v>
      </c>
      <c r="I9868" s="2" t="s">
        <v>21046</v>
      </c>
      <c r="J9868" s="2" t="s">
        <v>244</v>
      </c>
      <c r="K9868" s="2" t="s">
        <v>53</v>
      </c>
      <c r="L9868" s="2" t="s">
        <v>34</v>
      </c>
      <c r="M9868" s="2"/>
      <c r="N9868" s="2"/>
      <c r="O9868" s="2"/>
      <c r="P9868" s="2" t="s">
        <v>28929</v>
      </c>
      <c r="Q9868" s="2"/>
      <c r="R9868" s="2"/>
      <c r="S9868" s="5">
        <v>67.400000000000006</v>
      </c>
      <c r="T9868" s="7">
        <v>117.864</v>
      </c>
      <c r="U9868" s="5">
        <v>9.4</v>
      </c>
      <c r="V9868" s="6">
        <v>6.8</v>
      </c>
      <c r="W9868" s="6">
        <v>61.23</v>
      </c>
      <c r="X9868" s="6">
        <v>59.93</v>
      </c>
      <c r="Y9868" s="6">
        <v>61.62</v>
      </c>
      <c r="Z9868" s="6">
        <v>60.32</v>
      </c>
      <c r="AA9868" s="6">
        <v>9.76</v>
      </c>
      <c r="AB9868" s="2" t="s">
        <v>47</v>
      </c>
      <c r="AC9868" s="2"/>
    </row>
    <row r="9869" spans="1:29" ht="78" x14ac:dyDescent="0.15">
      <c r="A9869" s="3">
        <f>DATE(2011,1,21)</f>
        <v>40564</v>
      </c>
      <c r="B9869" s="3">
        <f>DATE(2011,5,4)</f>
        <v>40667</v>
      </c>
      <c r="C9869" s="2" t="s">
        <v>95</v>
      </c>
      <c r="D9869" s="2" t="s">
        <v>28930</v>
      </c>
      <c r="E9869" s="2" t="s">
        <v>28931</v>
      </c>
      <c r="F9869" s="4">
        <v>8062</v>
      </c>
      <c r="G9869" s="2" t="s">
        <v>454</v>
      </c>
      <c r="H9869" s="2" t="s">
        <v>34</v>
      </c>
      <c r="I9869" s="2" t="s">
        <v>28932</v>
      </c>
      <c r="J9869" s="2" t="s">
        <v>28933</v>
      </c>
      <c r="K9869" s="2" t="s">
        <v>454</v>
      </c>
      <c r="L9869" s="2" t="s">
        <v>34</v>
      </c>
      <c r="M9869" s="2"/>
      <c r="N9869" s="2"/>
      <c r="O9869" s="2"/>
      <c r="P9869" s="2" t="s">
        <v>28934</v>
      </c>
      <c r="Q9869" s="6">
        <v>100</v>
      </c>
      <c r="R9869" s="6">
        <v>13.25</v>
      </c>
      <c r="S9869" s="5">
        <v>6.9</v>
      </c>
      <c r="T9869" s="7">
        <v>42.048000000000002</v>
      </c>
      <c r="U9869" s="5">
        <v>12.5</v>
      </c>
      <c r="V9869" s="6">
        <v>0.92</v>
      </c>
      <c r="W9869" s="6">
        <v>12.72</v>
      </c>
      <c r="X9869" s="6">
        <v>12.91</v>
      </c>
      <c r="Y9869" s="6">
        <v>13.19</v>
      </c>
      <c r="Z9869" s="6">
        <v>13.14</v>
      </c>
      <c r="AA9869" s="6">
        <v>9.11</v>
      </c>
      <c r="AB9869" s="7">
        <v>5.3449999999999998</v>
      </c>
      <c r="AC9869" s="2"/>
    </row>
    <row r="9870" spans="1:29" ht="52" x14ac:dyDescent="0.15">
      <c r="A9870" s="3">
        <f>DATE(2011,1,22)</f>
        <v>40565</v>
      </c>
      <c r="B9870" s="2"/>
      <c r="C9870" s="2" t="s">
        <v>39</v>
      </c>
      <c r="D9870" s="2" t="s">
        <v>28935</v>
      </c>
      <c r="E9870" s="2" t="s">
        <v>28936</v>
      </c>
      <c r="F9870" s="4">
        <v>7376</v>
      </c>
      <c r="G9870" s="2" t="s">
        <v>223</v>
      </c>
      <c r="H9870" s="2" t="s">
        <v>34</v>
      </c>
      <c r="I9870" s="2" t="s">
        <v>28937</v>
      </c>
      <c r="J9870" s="2" t="s">
        <v>3711</v>
      </c>
      <c r="K9870" s="2" t="s">
        <v>223</v>
      </c>
      <c r="L9870" s="2" t="s">
        <v>303</v>
      </c>
      <c r="M9870" s="12">
        <v>4477.4579999999996</v>
      </c>
      <c r="N9870" s="7">
        <v>8.9220000000000006</v>
      </c>
      <c r="O9870" s="7">
        <v>8.9220000000000006</v>
      </c>
      <c r="P9870" s="2" t="s">
        <v>28938</v>
      </c>
      <c r="Q9870" s="2"/>
      <c r="R9870" s="2"/>
      <c r="S9870" s="5">
        <v>88.6</v>
      </c>
      <c r="T9870" s="6">
        <v>41.21</v>
      </c>
      <c r="U9870" s="5">
        <v>14.3</v>
      </c>
      <c r="V9870" s="9">
        <v>0.30859999999999999</v>
      </c>
      <c r="W9870" s="6">
        <v>25.14</v>
      </c>
      <c r="X9870" s="6">
        <v>26.04</v>
      </c>
      <c r="Y9870" s="6">
        <v>25.56</v>
      </c>
      <c r="Z9870" s="6">
        <v>25.56</v>
      </c>
      <c r="AA9870" s="6">
        <v>12.85</v>
      </c>
      <c r="AB9870" s="2" t="s">
        <v>47</v>
      </c>
      <c r="AC9870" s="6">
        <v>441.76</v>
      </c>
    </row>
    <row r="9871" spans="1:29" ht="143" x14ac:dyDescent="0.15">
      <c r="A9871" s="3">
        <f>DATE(2011,1,23)</f>
        <v>40566</v>
      </c>
      <c r="B9871" s="3">
        <f>DATE(2011,5,27)</f>
        <v>40690</v>
      </c>
      <c r="C9871" s="2" t="s">
        <v>95</v>
      </c>
      <c r="D9871" s="2" t="s">
        <v>28939</v>
      </c>
      <c r="E9871" s="2" t="s">
        <v>28940</v>
      </c>
      <c r="F9871" s="4">
        <v>2631</v>
      </c>
      <c r="G9871" s="2" t="s">
        <v>282</v>
      </c>
      <c r="H9871" s="2" t="s">
        <v>34</v>
      </c>
      <c r="I9871" s="2" t="s">
        <v>28941</v>
      </c>
      <c r="J9871" s="2" t="s">
        <v>16686</v>
      </c>
      <c r="K9871" s="2" t="s">
        <v>282</v>
      </c>
      <c r="L9871" s="2" t="s">
        <v>34</v>
      </c>
      <c r="M9871" s="12">
        <v>2112.9589999999998</v>
      </c>
      <c r="N9871" s="6">
        <v>59.31</v>
      </c>
      <c r="O9871" s="6">
        <v>59.31</v>
      </c>
      <c r="P9871" s="2" t="s">
        <v>28942</v>
      </c>
      <c r="Q9871" s="6">
        <v>100</v>
      </c>
      <c r="R9871" s="6">
        <v>35</v>
      </c>
      <c r="S9871" s="8">
        <v>1437</v>
      </c>
      <c r="T9871" s="5">
        <v>573</v>
      </c>
      <c r="U9871" s="5">
        <v>28.4</v>
      </c>
      <c r="V9871" s="6">
        <v>14.37</v>
      </c>
      <c r="W9871" s="6">
        <v>27.78</v>
      </c>
      <c r="X9871" s="6">
        <v>27.52</v>
      </c>
      <c r="Y9871" s="4">
        <v>35</v>
      </c>
      <c r="Z9871" s="4">
        <v>35</v>
      </c>
      <c r="AA9871" s="6">
        <v>94.52</v>
      </c>
      <c r="AB9871" s="7">
        <v>16.945</v>
      </c>
      <c r="AC9871" s="5">
        <v>11.7</v>
      </c>
    </row>
    <row r="9872" spans="1:29" ht="156" x14ac:dyDescent="0.15">
      <c r="A9872" s="3">
        <f>DATE(2011,1,24)</f>
        <v>40567</v>
      </c>
      <c r="B9872" s="3">
        <f>DATE(2011,2,28)</f>
        <v>40602</v>
      </c>
      <c r="C9872" s="2" t="s">
        <v>95</v>
      </c>
      <c r="D9872" s="2" t="s">
        <v>28943</v>
      </c>
      <c r="E9872" s="2" t="s">
        <v>28944</v>
      </c>
      <c r="F9872" s="4">
        <v>8071</v>
      </c>
      <c r="G9872" s="2" t="s">
        <v>454</v>
      </c>
      <c r="H9872" s="2" t="s">
        <v>34</v>
      </c>
      <c r="I9872" s="2" t="s">
        <v>28945</v>
      </c>
      <c r="J9872" s="2" t="s">
        <v>302</v>
      </c>
      <c r="K9872" s="2" t="s">
        <v>53</v>
      </c>
      <c r="L9872" s="2" t="s">
        <v>322</v>
      </c>
      <c r="M9872" s="2"/>
      <c r="N9872" s="2"/>
      <c r="O9872" s="2"/>
      <c r="P9872" s="2" t="s">
        <v>28946</v>
      </c>
      <c r="Q9872" s="6">
        <v>80.2</v>
      </c>
      <c r="R9872" s="6">
        <v>25</v>
      </c>
      <c r="S9872" s="5">
        <v>22.7</v>
      </c>
      <c r="T9872" s="7">
        <v>48.122999999999998</v>
      </c>
      <c r="U9872" s="5">
        <v>11.9</v>
      </c>
      <c r="V9872" s="6">
        <v>1.25</v>
      </c>
      <c r="W9872" s="5">
        <v>17.399999999999999</v>
      </c>
      <c r="X9872" s="6">
        <v>17.98</v>
      </c>
      <c r="Y9872" s="6">
        <v>20.98</v>
      </c>
      <c r="Z9872" s="6">
        <v>20.32</v>
      </c>
      <c r="AA9872" s="6">
        <v>17.61</v>
      </c>
      <c r="AB9872" s="7">
        <v>6.8620000000000001</v>
      </c>
      <c r="AC9872" s="2"/>
    </row>
    <row r="9873" spans="1:29" ht="143" x14ac:dyDescent="0.15">
      <c r="A9873" s="3">
        <f>DATE(2011,1,26)</f>
        <v>40569</v>
      </c>
      <c r="B9873" s="3">
        <f>DATE(2011,10,1)</f>
        <v>40817</v>
      </c>
      <c r="C9873" s="2" t="s">
        <v>95</v>
      </c>
      <c r="D9873" s="2" t="s">
        <v>28947</v>
      </c>
      <c r="E9873" s="2" t="s">
        <v>36</v>
      </c>
      <c r="F9873" s="4">
        <v>6021</v>
      </c>
      <c r="G9873" s="2" t="s">
        <v>37</v>
      </c>
      <c r="H9873" s="2" t="s">
        <v>34</v>
      </c>
      <c r="I9873" s="2" t="s">
        <v>4811</v>
      </c>
      <c r="J9873" s="2" t="s">
        <v>36</v>
      </c>
      <c r="K9873" s="2" t="s">
        <v>37</v>
      </c>
      <c r="L9873" s="2" t="s">
        <v>34</v>
      </c>
      <c r="M9873" s="10">
        <v>1296.6500000000001</v>
      </c>
      <c r="N9873" s="5">
        <v>9.6999999999999993</v>
      </c>
      <c r="O9873" s="6">
        <v>9.6199999999999992</v>
      </c>
      <c r="P9873" s="2" t="s">
        <v>28948</v>
      </c>
      <c r="Q9873" s="6">
        <v>100</v>
      </c>
      <c r="R9873" s="6">
        <v>13.04</v>
      </c>
      <c r="S9873" s="5">
        <v>7.7</v>
      </c>
      <c r="T9873" s="7">
        <v>11.476000000000001</v>
      </c>
      <c r="U9873" s="5">
        <v>10.5</v>
      </c>
      <c r="V9873" s="6">
        <v>0.39</v>
      </c>
      <c r="W9873" s="6">
        <v>11.05</v>
      </c>
      <c r="X9873" s="6">
        <v>11.46</v>
      </c>
      <c r="Y9873" s="6">
        <v>11.61</v>
      </c>
      <c r="Z9873" s="6">
        <v>12.52</v>
      </c>
      <c r="AA9873" s="6">
        <v>20.170000000000002</v>
      </c>
      <c r="AB9873" s="7">
        <v>37.661000000000001</v>
      </c>
      <c r="AC9873" s="2"/>
    </row>
    <row r="9874" spans="1:29" ht="143" x14ac:dyDescent="0.15">
      <c r="A9874" s="3">
        <f>DATE(2011,1,26)</f>
        <v>40569</v>
      </c>
      <c r="B9874" s="3">
        <f>DATE(2011,6,3)</f>
        <v>40697</v>
      </c>
      <c r="C9874" s="2" t="s">
        <v>95</v>
      </c>
      <c r="D9874" s="2" t="s">
        <v>23021</v>
      </c>
      <c r="E9874" s="2" t="s">
        <v>92</v>
      </c>
      <c r="F9874" s="4">
        <v>6798</v>
      </c>
      <c r="G9874" s="2" t="s">
        <v>53</v>
      </c>
      <c r="H9874" s="2" t="s">
        <v>34</v>
      </c>
      <c r="I9874" s="2" t="s">
        <v>28949</v>
      </c>
      <c r="J9874" s="2" t="s">
        <v>28950</v>
      </c>
      <c r="K9874" s="2" t="s">
        <v>53</v>
      </c>
      <c r="L9874" s="2" t="s">
        <v>34</v>
      </c>
      <c r="M9874" s="12">
        <v>13297.174999999999</v>
      </c>
      <c r="N9874" s="6">
        <v>32.86</v>
      </c>
      <c r="O9874" s="6">
        <v>34.01</v>
      </c>
      <c r="P9874" s="2" t="s">
        <v>28951</v>
      </c>
      <c r="Q9874" s="6">
        <v>100</v>
      </c>
      <c r="R9874" s="6">
        <v>14.7</v>
      </c>
      <c r="S9874" s="8">
        <v>-1505.1</v>
      </c>
      <c r="T9874" s="7">
        <v>38.161999999999999</v>
      </c>
      <c r="U9874" s="5">
        <v>12.6</v>
      </c>
      <c r="V9874" s="6">
        <v>-3.27</v>
      </c>
      <c r="W9874" s="6">
        <v>14.33</v>
      </c>
      <c r="X9874" s="6">
        <v>14.64</v>
      </c>
      <c r="Y9874" s="5">
        <v>14.7</v>
      </c>
      <c r="Z9874" s="6">
        <v>15.87</v>
      </c>
      <c r="AA9874" s="6">
        <v>569.03</v>
      </c>
      <c r="AB9874" s="2" t="s">
        <v>86</v>
      </c>
      <c r="AC9874" s="6">
        <v>228.42</v>
      </c>
    </row>
    <row r="9875" spans="1:29" ht="117" x14ac:dyDescent="0.15">
      <c r="A9875" s="3">
        <f>DATE(2011,1,27)</f>
        <v>40570</v>
      </c>
      <c r="B9875" s="3">
        <f>DATE(2011,4,8)</f>
        <v>40641</v>
      </c>
      <c r="C9875" s="2" t="s">
        <v>95</v>
      </c>
      <c r="D9875" s="2" t="s">
        <v>28952</v>
      </c>
      <c r="E9875" s="2" t="s">
        <v>28953</v>
      </c>
      <c r="F9875" s="4">
        <v>7376</v>
      </c>
      <c r="G9875" s="2" t="s">
        <v>223</v>
      </c>
      <c r="H9875" s="2" t="s">
        <v>34</v>
      </c>
      <c r="I9875" s="2" t="s">
        <v>28954</v>
      </c>
      <c r="J9875" s="2" t="s">
        <v>973</v>
      </c>
      <c r="K9875" s="2" t="s">
        <v>63</v>
      </c>
      <c r="L9875" s="2" t="s">
        <v>34</v>
      </c>
      <c r="M9875" s="2"/>
      <c r="N9875" s="2"/>
      <c r="O9875" s="2"/>
      <c r="P9875" s="2" t="s">
        <v>28955</v>
      </c>
      <c r="Q9875" s="6">
        <v>100</v>
      </c>
      <c r="R9875" s="6">
        <v>19</v>
      </c>
      <c r="S9875" s="5">
        <v>-34</v>
      </c>
      <c r="T9875" s="7">
        <v>82.096999999999994</v>
      </c>
      <c r="U9875" s="5">
        <v>0.8</v>
      </c>
      <c r="V9875" s="6">
        <v>-0.53</v>
      </c>
      <c r="W9875" s="6">
        <v>13.37</v>
      </c>
      <c r="X9875" s="5">
        <v>13.7</v>
      </c>
      <c r="Y9875" s="6">
        <v>14.05</v>
      </c>
      <c r="Z9875" s="6">
        <v>18.920000000000002</v>
      </c>
      <c r="AA9875" s="6">
        <v>72.849999999999994</v>
      </c>
      <c r="AB9875" s="7">
        <v>59.331000000000003</v>
      </c>
      <c r="AC9875" s="2"/>
    </row>
    <row r="9876" spans="1:29" ht="169" x14ac:dyDescent="0.15">
      <c r="A9876" s="3">
        <f>DATE(2011,1,29)</f>
        <v>40572</v>
      </c>
      <c r="B9876" s="3">
        <f>DATE(2011,6,1)</f>
        <v>40695</v>
      </c>
      <c r="C9876" s="2" t="s">
        <v>95</v>
      </c>
      <c r="D9876" s="2" t="s">
        <v>28956</v>
      </c>
      <c r="E9876" s="2" t="s">
        <v>11539</v>
      </c>
      <c r="F9876" s="4">
        <v>1222</v>
      </c>
      <c r="G9876" s="2" t="s">
        <v>166</v>
      </c>
      <c r="H9876" s="2" t="s">
        <v>34</v>
      </c>
      <c r="I9876" s="2" t="s">
        <v>26921</v>
      </c>
      <c r="J9876" s="2" t="s">
        <v>11539</v>
      </c>
      <c r="K9876" s="2" t="s">
        <v>166</v>
      </c>
      <c r="L9876" s="2" t="s">
        <v>34</v>
      </c>
      <c r="M9876" s="12">
        <v>7227.8419999999996</v>
      </c>
      <c r="N9876" s="6">
        <v>53.73</v>
      </c>
      <c r="O9876" s="6">
        <v>53.73</v>
      </c>
      <c r="P9876" s="2" t="s">
        <v>28957</v>
      </c>
      <c r="Q9876" s="6">
        <v>100</v>
      </c>
      <c r="R9876" s="6">
        <v>69.33</v>
      </c>
      <c r="S9876" s="5">
        <v>-166.6</v>
      </c>
      <c r="T9876" s="6">
        <v>162.09</v>
      </c>
      <c r="U9876" s="5">
        <v>17.5</v>
      </c>
      <c r="V9876" s="6">
        <v>-1.71</v>
      </c>
      <c r="W9876" s="6">
        <v>35.68</v>
      </c>
      <c r="X9876" s="6">
        <v>35.22</v>
      </c>
      <c r="Y9876" s="6">
        <v>35.56</v>
      </c>
      <c r="Z9876" s="6">
        <v>37.33</v>
      </c>
      <c r="AA9876" s="6">
        <v>104.16</v>
      </c>
      <c r="AB9876" s="2" t="s">
        <v>86</v>
      </c>
      <c r="AC9876" s="6">
        <v>785.52</v>
      </c>
    </row>
    <row r="9877" spans="1:29" ht="78" x14ac:dyDescent="0.15">
      <c r="A9877" s="3">
        <f>DATE(2011,1,31)</f>
        <v>40574</v>
      </c>
      <c r="B9877" s="3">
        <f>DATE(2011,6,30)</f>
        <v>40724</v>
      </c>
      <c r="C9877" s="2" t="s">
        <v>95</v>
      </c>
      <c r="D9877" s="2" t="s">
        <v>28926</v>
      </c>
      <c r="E9877" s="2" t="s">
        <v>28927</v>
      </c>
      <c r="F9877" s="4">
        <v>8111</v>
      </c>
      <c r="G9877" s="2" t="s">
        <v>28928</v>
      </c>
      <c r="H9877" s="2" t="s">
        <v>34</v>
      </c>
      <c r="I9877" s="2" t="s">
        <v>28958</v>
      </c>
      <c r="J9877" s="2" t="s">
        <v>244</v>
      </c>
      <c r="K9877" s="2" t="s">
        <v>53</v>
      </c>
      <c r="L9877" s="2" t="s">
        <v>34</v>
      </c>
      <c r="M9877" s="2"/>
      <c r="N9877" s="2"/>
      <c r="O9877" s="2"/>
      <c r="P9877" s="2" t="s">
        <v>28959</v>
      </c>
      <c r="Q9877" s="6">
        <v>100</v>
      </c>
      <c r="R9877" s="6">
        <v>66.5</v>
      </c>
      <c r="S9877" s="5">
        <v>67.400000000000006</v>
      </c>
      <c r="T9877" s="7">
        <v>117.864</v>
      </c>
      <c r="U9877" s="5">
        <v>9.4</v>
      </c>
      <c r="V9877" s="6">
        <v>6.8</v>
      </c>
      <c r="W9877" s="5">
        <v>60.6</v>
      </c>
      <c r="X9877" s="6">
        <v>60.26</v>
      </c>
      <c r="Y9877" s="6">
        <v>65.84</v>
      </c>
      <c r="Z9877" s="6">
        <v>65.64</v>
      </c>
      <c r="AA9877" s="6">
        <v>9.8000000000000007</v>
      </c>
      <c r="AB9877" s="7">
        <v>5.4560000000000004</v>
      </c>
      <c r="AC9877" s="2"/>
    </row>
    <row r="9878" spans="1:29" ht="65" x14ac:dyDescent="0.15">
      <c r="A9878" s="3">
        <f>DATE(2011,2,3)</f>
        <v>40577</v>
      </c>
      <c r="B9878" s="3">
        <f>DATE(2011,4,14)</f>
        <v>40647</v>
      </c>
      <c r="C9878" s="2" t="s">
        <v>95</v>
      </c>
      <c r="D9878" s="2" t="s">
        <v>28960</v>
      </c>
      <c r="E9878" s="2" t="s">
        <v>12371</v>
      </c>
      <c r="F9878" s="4">
        <v>7375</v>
      </c>
      <c r="G9878" s="2" t="s">
        <v>223</v>
      </c>
      <c r="H9878" s="2" t="s">
        <v>34</v>
      </c>
      <c r="I9878" s="2" t="s">
        <v>28961</v>
      </c>
      <c r="J9878" s="2" t="s">
        <v>1072</v>
      </c>
      <c r="K9878" s="2" t="s">
        <v>223</v>
      </c>
      <c r="L9878" s="2" t="s">
        <v>34</v>
      </c>
      <c r="M9878" s="2"/>
      <c r="N9878" s="2"/>
      <c r="O9878" s="2"/>
      <c r="P9878" s="2" t="s">
        <v>28962</v>
      </c>
      <c r="Q9878" s="6">
        <v>100</v>
      </c>
      <c r="R9878" s="6">
        <v>10.5</v>
      </c>
      <c r="S9878" s="5">
        <v>7.1</v>
      </c>
      <c r="T9878" s="7">
        <v>5.1239999999999997</v>
      </c>
      <c r="U9878" s="5">
        <v>2.8</v>
      </c>
      <c r="V9878" s="6">
        <v>0.2</v>
      </c>
      <c r="W9878" s="5">
        <v>8.6</v>
      </c>
      <c r="X9878" s="5">
        <v>8.9</v>
      </c>
      <c r="Y9878" s="6">
        <v>10.37</v>
      </c>
      <c r="Z9878" s="6">
        <v>10.46</v>
      </c>
      <c r="AA9878" s="6">
        <v>12</v>
      </c>
      <c r="AB9878" s="7">
        <v>26.672999999999998</v>
      </c>
      <c r="AC9878" s="2"/>
    </row>
    <row r="9879" spans="1:29" ht="65" x14ac:dyDescent="0.15">
      <c r="A9879" s="3">
        <f>DATE(2011,2,3)</f>
        <v>40577</v>
      </c>
      <c r="B9879" s="3">
        <f>DATE(2011,5,16)</f>
        <v>40679</v>
      </c>
      <c r="C9879" s="2" t="s">
        <v>95</v>
      </c>
      <c r="D9879" s="2" t="s">
        <v>28963</v>
      </c>
      <c r="E9879" s="2" t="s">
        <v>28964</v>
      </c>
      <c r="F9879" s="4">
        <v>7011</v>
      </c>
      <c r="G9879" s="2" t="s">
        <v>269</v>
      </c>
      <c r="H9879" s="2" t="s">
        <v>34</v>
      </c>
      <c r="I9879" s="2" t="s">
        <v>28965</v>
      </c>
      <c r="J9879" s="2" t="s">
        <v>302</v>
      </c>
      <c r="K9879" s="2" t="s">
        <v>53</v>
      </c>
      <c r="L9879" s="2" t="s">
        <v>34</v>
      </c>
      <c r="M9879" s="2"/>
      <c r="N9879" s="2"/>
      <c r="O9879" s="2"/>
      <c r="P9879" s="2" t="s">
        <v>28966</v>
      </c>
      <c r="Q9879" s="6">
        <v>100</v>
      </c>
      <c r="R9879" s="6">
        <v>2.5</v>
      </c>
      <c r="S9879" s="5">
        <v>8.6999999999999993</v>
      </c>
      <c r="T9879" s="7">
        <v>-22.495000000000001</v>
      </c>
      <c r="U9879" s="5">
        <v>5.5</v>
      </c>
      <c r="V9879" s="6">
        <v>0.22</v>
      </c>
      <c r="W9879" s="6">
        <v>1.36</v>
      </c>
      <c r="X9879" s="6">
        <v>1.45</v>
      </c>
      <c r="Y9879" s="6">
        <v>1.43</v>
      </c>
      <c r="Z9879" s="6">
        <v>2.4300000000000002</v>
      </c>
      <c r="AA9879" s="6">
        <v>37.770000000000003</v>
      </c>
      <c r="AB9879" s="2" t="s">
        <v>86</v>
      </c>
      <c r="AC9879" s="2"/>
    </row>
    <row r="9880" spans="1:29" ht="156" x14ac:dyDescent="0.15">
      <c r="A9880" s="3">
        <f t="shared" ref="A9880:A9885" si="176">DATE(2011,2,7)</f>
        <v>40581</v>
      </c>
      <c r="B9880" s="3">
        <f>DATE(2011,6,30)</f>
        <v>40724</v>
      </c>
      <c r="C9880" s="2" t="s">
        <v>95</v>
      </c>
      <c r="D9880" s="2" t="s">
        <v>25352</v>
      </c>
      <c r="E9880" s="2" t="s">
        <v>25353</v>
      </c>
      <c r="F9880" s="4">
        <v>3826</v>
      </c>
      <c r="G9880" s="2" t="s">
        <v>226</v>
      </c>
      <c r="H9880" s="2" t="s">
        <v>34</v>
      </c>
      <c r="I9880" s="2" t="s">
        <v>315</v>
      </c>
      <c r="J9880" s="2" t="s">
        <v>316</v>
      </c>
      <c r="K9880" s="2" t="s">
        <v>226</v>
      </c>
      <c r="L9880" s="2" t="s">
        <v>34</v>
      </c>
      <c r="M9880" s="12">
        <v>30265.003000000001</v>
      </c>
      <c r="N9880" s="6">
        <v>49.03</v>
      </c>
      <c r="O9880" s="6">
        <v>49.74</v>
      </c>
      <c r="P9880" s="2" t="s">
        <v>28967</v>
      </c>
      <c r="Q9880" s="6">
        <v>100</v>
      </c>
      <c r="R9880" s="6">
        <v>83.5</v>
      </c>
      <c r="S9880" s="5">
        <v>230.7</v>
      </c>
      <c r="T9880" s="5">
        <v>799.4</v>
      </c>
      <c r="U9880" s="5">
        <v>30.3</v>
      </c>
      <c r="V9880" s="6">
        <v>3.25</v>
      </c>
      <c r="W9880" s="6">
        <v>58.37</v>
      </c>
      <c r="X9880" s="6">
        <v>57.43</v>
      </c>
      <c r="Y9880" s="6">
        <v>57.09</v>
      </c>
      <c r="Z9880" s="6">
        <v>72.08</v>
      </c>
      <c r="AA9880" s="6">
        <v>69.25</v>
      </c>
      <c r="AB9880" s="7">
        <v>15.371</v>
      </c>
      <c r="AC9880" s="8">
        <v>1632.9</v>
      </c>
    </row>
    <row r="9881" spans="1:29" ht="130" x14ac:dyDescent="0.15">
      <c r="A9881" s="3">
        <f t="shared" si="176"/>
        <v>40581</v>
      </c>
      <c r="B9881" s="3">
        <f>DATE(2011,4,19)</f>
        <v>40652</v>
      </c>
      <c r="C9881" s="2" t="s">
        <v>95</v>
      </c>
      <c r="D9881" s="2" t="s">
        <v>15979</v>
      </c>
      <c r="E9881" s="2" t="s">
        <v>4865</v>
      </c>
      <c r="F9881" s="4">
        <v>3674</v>
      </c>
      <c r="G9881" s="2" t="s">
        <v>137</v>
      </c>
      <c r="H9881" s="2" t="s">
        <v>34</v>
      </c>
      <c r="I9881" s="2" t="s">
        <v>28968</v>
      </c>
      <c r="J9881" s="2" t="s">
        <v>4655</v>
      </c>
      <c r="K9881" s="2" t="s">
        <v>53</v>
      </c>
      <c r="L9881" s="2" t="s">
        <v>34</v>
      </c>
      <c r="M9881" s="2"/>
      <c r="N9881" s="2"/>
      <c r="O9881" s="2"/>
      <c r="P9881" s="2" t="s">
        <v>28969</v>
      </c>
      <c r="Q9881" s="6">
        <v>100</v>
      </c>
      <c r="R9881" s="6">
        <v>2.4</v>
      </c>
      <c r="S9881" s="5">
        <v>2.2000000000000002</v>
      </c>
      <c r="T9881" s="7">
        <v>36.259</v>
      </c>
      <c r="U9881" s="5">
        <v>0</v>
      </c>
      <c r="V9881" s="6">
        <v>7.0000000000000007E-2</v>
      </c>
      <c r="W9881" s="6">
        <v>1.63</v>
      </c>
      <c r="X9881" s="6">
        <v>1.89</v>
      </c>
      <c r="Y9881" s="6">
        <v>2.16</v>
      </c>
      <c r="Z9881" s="6">
        <v>2.15</v>
      </c>
      <c r="AA9881" s="6">
        <v>82.06</v>
      </c>
      <c r="AB9881" s="7">
        <v>8.7759999999999998</v>
      </c>
      <c r="AC9881" s="2"/>
    </row>
    <row r="9882" spans="1:29" ht="130" x14ac:dyDescent="0.15">
      <c r="A9882" s="3">
        <f t="shared" si="176"/>
        <v>40581</v>
      </c>
      <c r="B9882" s="3">
        <f>DATE(2011,4,1)</f>
        <v>40634</v>
      </c>
      <c r="C9882" s="2" t="s">
        <v>95</v>
      </c>
      <c r="D9882" s="2" t="s">
        <v>18838</v>
      </c>
      <c r="E9882" s="2" t="s">
        <v>18839</v>
      </c>
      <c r="F9882" s="4">
        <v>7352</v>
      </c>
      <c r="G9882" s="2" t="s">
        <v>223</v>
      </c>
      <c r="H9882" s="2" t="s">
        <v>34</v>
      </c>
      <c r="I9882" s="2" t="s">
        <v>9268</v>
      </c>
      <c r="J9882" s="2" t="s">
        <v>28970</v>
      </c>
      <c r="K9882" s="2" t="s">
        <v>223</v>
      </c>
      <c r="L9882" s="2" t="s">
        <v>34</v>
      </c>
      <c r="M9882" s="2"/>
      <c r="N9882" s="2"/>
      <c r="O9882" s="2"/>
      <c r="P9882" s="2" t="s">
        <v>28971</v>
      </c>
      <c r="Q9882" s="6">
        <v>100</v>
      </c>
      <c r="R9882" s="6">
        <v>8.4600000000000009</v>
      </c>
      <c r="S9882" s="5">
        <v>3.2</v>
      </c>
      <c r="T9882" s="7">
        <v>8.0020000000000007</v>
      </c>
      <c r="U9882" s="5">
        <v>0.9</v>
      </c>
      <c r="V9882" s="6">
        <v>0.46</v>
      </c>
      <c r="W9882" s="6">
        <v>6.09</v>
      </c>
      <c r="X9882" s="6">
        <v>6.06</v>
      </c>
      <c r="Y9882" s="6">
        <v>8.3699999999999992</v>
      </c>
      <c r="Z9882" s="6">
        <v>8.41</v>
      </c>
      <c r="AA9882" s="6">
        <v>6.96</v>
      </c>
      <c r="AB9882" s="7">
        <v>9.5280000000000005</v>
      </c>
      <c r="AC9882" s="2"/>
    </row>
    <row r="9883" spans="1:29" ht="143" x14ac:dyDescent="0.15">
      <c r="A9883" s="3">
        <f t="shared" si="176"/>
        <v>40581</v>
      </c>
      <c r="B9883" s="3">
        <f>DATE(2011,6,17)</f>
        <v>40711</v>
      </c>
      <c r="C9883" s="2" t="s">
        <v>95</v>
      </c>
      <c r="D9883" s="2" t="s">
        <v>28972</v>
      </c>
      <c r="E9883" s="2" t="s">
        <v>28973</v>
      </c>
      <c r="F9883" s="4">
        <v>3663</v>
      </c>
      <c r="G9883" s="2" t="s">
        <v>921</v>
      </c>
      <c r="H9883" s="2" t="s">
        <v>34</v>
      </c>
      <c r="I9883" s="2" t="s">
        <v>28974</v>
      </c>
      <c r="J9883" s="2" t="s">
        <v>2728</v>
      </c>
      <c r="K9883" s="2" t="s">
        <v>137</v>
      </c>
      <c r="L9883" s="2" t="s">
        <v>34</v>
      </c>
      <c r="M9883" s="7">
        <v>53.390999999999998</v>
      </c>
      <c r="N9883" s="5">
        <v>2.7</v>
      </c>
      <c r="O9883" s="6">
        <v>2.58</v>
      </c>
      <c r="P9883" s="2" t="s">
        <v>28975</v>
      </c>
      <c r="Q9883" s="6">
        <v>100</v>
      </c>
      <c r="R9883" s="6">
        <v>2.1800000000000002</v>
      </c>
      <c r="S9883" s="5">
        <v>-10.7</v>
      </c>
      <c r="T9883" s="7">
        <v>-8.3789999999999996</v>
      </c>
      <c r="U9883" s="5">
        <v>2.5</v>
      </c>
      <c r="V9883" s="6">
        <v>-1.08</v>
      </c>
      <c r="W9883" s="7">
        <v>2.2450000000000001</v>
      </c>
      <c r="X9883" s="6">
        <v>2.2400000000000002</v>
      </c>
      <c r="Y9883" s="5">
        <v>2.2999999999999998</v>
      </c>
      <c r="Z9883" s="6">
        <v>2.35</v>
      </c>
      <c r="AA9883" s="6">
        <v>9.8000000000000007</v>
      </c>
      <c r="AB9883" s="2" t="s">
        <v>86</v>
      </c>
      <c r="AC9883" s="6">
        <v>4.1399999999999997</v>
      </c>
    </row>
    <row r="9884" spans="1:29" ht="143" x14ac:dyDescent="0.15">
      <c r="A9884" s="3">
        <f t="shared" si="176"/>
        <v>40581</v>
      </c>
      <c r="B9884" s="3">
        <f>DATE(2011,3,29)</f>
        <v>40631</v>
      </c>
      <c r="C9884" s="2" t="s">
        <v>95</v>
      </c>
      <c r="D9884" s="2" t="s">
        <v>12814</v>
      </c>
      <c r="E9884" s="2" t="s">
        <v>2208</v>
      </c>
      <c r="F9884" s="4">
        <v>3678</v>
      </c>
      <c r="G9884" s="2" t="s">
        <v>137</v>
      </c>
      <c r="H9884" s="2" t="s">
        <v>34</v>
      </c>
      <c r="I9884" s="2" t="s">
        <v>28976</v>
      </c>
      <c r="J9884" s="2" t="s">
        <v>28977</v>
      </c>
      <c r="K9884" s="2" t="s">
        <v>223</v>
      </c>
      <c r="L9884" s="2" t="s">
        <v>34</v>
      </c>
      <c r="M9884" s="2"/>
      <c r="N9884" s="2"/>
      <c r="O9884" s="2"/>
      <c r="P9884" s="2" t="s">
        <v>28978</v>
      </c>
      <c r="Q9884" s="6">
        <v>100</v>
      </c>
      <c r="R9884" s="6">
        <v>19</v>
      </c>
      <c r="S9884" s="5">
        <v>8.4</v>
      </c>
      <c r="T9884" s="7">
        <v>34.296999999999997</v>
      </c>
      <c r="U9884" s="5">
        <v>12.1</v>
      </c>
      <c r="V9884" s="6">
        <v>0.59</v>
      </c>
      <c r="W9884" s="6">
        <v>17.09</v>
      </c>
      <c r="X9884" s="5">
        <v>19.2</v>
      </c>
      <c r="Y9884" s="5">
        <v>19.100000000000001</v>
      </c>
      <c r="Z9884" s="6">
        <v>19.39</v>
      </c>
      <c r="AA9884" s="6">
        <v>16.38</v>
      </c>
      <c r="AB9884" s="7">
        <v>9.59</v>
      </c>
      <c r="AC9884" s="2"/>
    </row>
    <row r="9885" spans="1:29" ht="182" x14ac:dyDescent="0.15">
      <c r="A9885" s="3">
        <f t="shared" si="176"/>
        <v>40581</v>
      </c>
      <c r="B9885" s="3">
        <f>DATE(2011,5,31)</f>
        <v>40694</v>
      </c>
      <c r="C9885" s="2" t="s">
        <v>95</v>
      </c>
      <c r="D9885" s="2" t="s">
        <v>18885</v>
      </c>
      <c r="E9885" s="2" t="s">
        <v>5872</v>
      </c>
      <c r="F9885" s="4">
        <v>1381</v>
      </c>
      <c r="G9885" s="2" t="s">
        <v>148</v>
      </c>
      <c r="H9885" s="2" t="s">
        <v>34</v>
      </c>
      <c r="I9885" s="2" t="s">
        <v>28979</v>
      </c>
      <c r="J9885" s="2" t="s">
        <v>28980</v>
      </c>
      <c r="K9885" s="2" t="s">
        <v>148</v>
      </c>
      <c r="L9885" s="2" t="s">
        <v>303</v>
      </c>
      <c r="M9885" s="12">
        <v>11600.456</v>
      </c>
      <c r="N9885" s="6">
        <v>52.13</v>
      </c>
      <c r="O9885" s="6">
        <v>51.27</v>
      </c>
      <c r="P9885" s="2" t="s">
        <v>28981</v>
      </c>
      <c r="Q9885" s="6">
        <v>100</v>
      </c>
      <c r="R9885" s="6">
        <v>41.6</v>
      </c>
      <c r="S9885" s="5">
        <v>226.2</v>
      </c>
      <c r="T9885" s="5">
        <v>459.4</v>
      </c>
      <c r="U9885" s="5">
        <v>25.7</v>
      </c>
      <c r="V9885" s="6">
        <v>1.38</v>
      </c>
      <c r="W9885" s="6">
        <v>30.51</v>
      </c>
      <c r="X9885" s="6">
        <v>30.57</v>
      </c>
      <c r="Y9885" s="6">
        <v>31.03</v>
      </c>
      <c r="Z9885" s="6">
        <v>32.26</v>
      </c>
      <c r="AA9885" s="6">
        <v>175.65</v>
      </c>
      <c r="AB9885" s="7">
        <v>31.559000000000001</v>
      </c>
      <c r="AC9885" s="10">
        <v>1067.5899999999999</v>
      </c>
    </row>
    <row r="9886" spans="1:29" ht="169" x14ac:dyDescent="0.15">
      <c r="A9886" s="3">
        <f>DATE(2011,2,8)</f>
        <v>40582</v>
      </c>
      <c r="B9886" s="3">
        <f>DATE(2011,6,1)</f>
        <v>40695</v>
      </c>
      <c r="C9886" s="2" t="s">
        <v>95</v>
      </c>
      <c r="D9886" s="2" t="s">
        <v>28982</v>
      </c>
      <c r="E9886" s="2" t="s">
        <v>28983</v>
      </c>
      <c r="F9886" s="4">
        <v>8062</v>
      </c>
      <c r="G9886" s="2" t="s">
        <v>454</v>
      </c>
      <c r="H9886" s="2" t="s">
        <v>34</v>
      </c>
      <c r="I9886" s="2" t="s">
        <v>28984</v>
      </c>
      <c r="J9886" s="2" t="s">
        <v>5765</v>
      </c>
      <c r="K9886" s="2" t="s">
        <v>454</v>
      </c>
      <c r="L9886" s="2" t="s">
        <v>34</v>
      </c>
      <c r="M9886" s="7">
        <v>790.79600000000005</v>
      </c>
      <c r="N9886" s="4">
        <v>25</v>
      </c>
      <c r="O9886" s="6">
        <v>24.69</v>
      </c>
      <c r="P9886" s="2" t="s">
        <v>28985</v>
      </c>
      <c r="Q9886" s="6">
        <v>100</v>
      </c>
      <c r="R9886" s="6">
        <v>35.18</v>
      </c>
      <c r="S9886" s="5">
        <v>62.5</v>
      </c>
      <c r="T9886" s="7">
        <v>164.36699999999999</v>
      </c>
      <c r="U9886" s="5">
        <v>20.6</v>
      </c>
      <c r="V9886" s="6">
        <v>2.48</v>
      </c>
      <c r="W9886" s="5">
        <v>25.1</v>
      </c>
      <c r="X9886" s="6">
        <v>25.47</v>
      </c>
      <c r="Y9886" s="6">
        <v>37.049999999999997</v>
      </c>
      <c r="Z9886" s="6">
        <v>36.97</v>
      </c>
      <c r="AA9886" s="6">
        <v>25.81</v>
      </c>
      <c r="AB9886" s="7">
        <v>9.2189999999999994</v>
      </c>
      <c r="AC9886" s="6">
        <v>99.42</v>
      </c>
    </row>
    <row r="9887" spans="1:29" ht="143" x14ac:dyDescent="0.15">
      <c r="A9887" s="3">
        <f>DATE(2011,2,8)</f>
        <v>40582</v>
      </c>
      <c r="B9887" s="3">
        <f>DATE(2011,5,26)</f>
        <v>40689</v>
      </c>
      <c r="C9887" s="2" t="s">
        <v>95</v>
      </c>
      <c r="D9887" s="2" t="s">
        <v>28986</v>
      </c>
      <c r="E9887" s="2" t="s">
        <v>28987</v>
      </c>
      <c r="F9887" s="4">
        <v>5661</v>
      </c>
      <c r="G9887" s="2" t="s">
        <v>756</v>
      </c>
      <c r="H9887" s="2" t="s">
        <v>34</v>
      </c>
      <c r="I9887" s="2" t="s">
        <v>28988</v>
      </c>
      <c r="J9887" s="2" t="s">
        <v>28989</v>
      </c>
      <c r="K9887" s="2" t="s">
        <v>756</v>
      </c>
      <c r="L9887" s="2" t="s">
        <v>34</v>
      </c>
      <c r="M9887" s="7">
        <v>928.54600000000005</v>
      </c>
      <c r="N9887" s="6">
        <v>36.229999999999997</v>
      </c>
      <c r="O9887" s="6">
        <v>41.66</v>
      </c>
      <c r="P9887" s="2" t="s">
        <v>28990</v>
      </c>
      <c r="Q9887" s="6">
        <v>100</v>
      </c>
      <c r="R9887" s="6">
        <v>15.52</v>
      </c>
      <c r="S9887" s="5">
        <v>86.1</v>
      </c>
      <c r="T9887" s="7">
        <v>131.53200000000001</v>
      </c>
      <c r="U9887" s="5">
        <v>4.5999999999999996</v>
      </c>
      <c r="V9887" s="6">
        <v>0.03</v>
      </c>
      <c r="W9887" s="6">
        <v>15.59</v>
      </c>
      <c r="X9887" s="6">
        <v>15.66</v>
      </c>
      <c r="Y9887" s="6">
        <v>15.94</v>
      </c>
      <c r="Z9887" s="6">
        <v>17.989999999999998</v>
      </c>
      <c r="AA9887" s="6">
        <v>50.25</v>
      </c>
      <c r="AB9887" s="7">
        <v>10.61</v>
      </c>
      <c r="AC9887" s="6">
        <v>335.17</v>
      </c>
    </row>
    <row r="9888" spans="1:29" ht="273" x14ac:dyDescent="0.15">
      <c r="A9888" s="3">
        <f>DATE(2011,2,9)</f>
        <v>40583</v>
      </c>
      <c r="B9888" s="2"/>
      <c r="C9888" s="2" t="s">
        <v>30</v>
      </c>
      <c r="D9888" s="2" t="s">
        <v>27252</v>
      </c>
      <c r="E9888" s="2" t="s">
        <v>27253</v>
      </c>
      <c r="F9888" s="4">
        <v>6231</v>
      </c>
      <c r="G9888" s="2" t="s">
        <v>53</v>
      </c>
      <c r="H9888" s="2" t="s">
        <v>34</v>
      </c>
      <c r="I9888" s="2" t="s">
        <v>27254</v>
      </c>
      <c r="J9888" s="2" t="s">
        <v>27255</v>
      </c>
      <c r="K9888" s="2" t="s">
        <v>53</v>
      </c>
      <c r="L9888" s="2" t="s">
        <v>1049</v>
      </c>
      <c r="M9888" s="12">
        <v>13325.963</v>
      </c>
      <c r="N9888" s="7">
        <v>78.870999999999995</v>
      </c>
      <c r="O9888" s="7">
        <v>83.094999999999999</v>
      </c>
      <c r="P9888" s="2" t="s">
        <v>28991</v>
      </c>
      <c r="Q9888" s="2"/>
      <c r="R9888" s="6">
        <v>38.909999999999997</v>
      </c>
      <c r="S9888" s="5">
        <v>577</v>
      </c>
      <c r="T9888" s="8">
        <v>1140</v>
      </c>
      <c r="U9888" s="5">
        <v>26</v>
      </c>
      <c r="V9888" s="6">
        <v>2.2000000000000002</v>
      </c>
      <c r="W9888" s="5">
        <v>32.9</v>
      </c>
      <c r="X9888" s="6">
        <v>33.409999999999997</v>
      </c>
      <c r="Y9888" s="5">
        <v>38.1</v>
      </c>
      <c r="Z9888" s="5">
        <v>37.799999999999997</v>
      </c>
      <c r="AA9888" s="6">
        <v>261</v>
      </c>
      <c r="AB9888" s="7">
        <v>14.676</v>
      </c>
      <c r="AC9888" s="10">
        <v>181898.76</v>
      </c>
    </row>
    <row r="9889" spans="1:29" ht="78" x14ac:dyDescent="0.15">
      <c r="A9889" s="3">
        <f>DATE(2011,2,9)</f>
        <v>40583</v>
      </c>
      <c r="B9889" s="3">
        <f>DATE(2011,5,31)</f>
        <v>40694</v>
      </c>
      <c r="C9889" s="2" t="s">
        <v>95</v>
      </c>
      <c r="D9889" s="2" t="s">
        <v>28992</v>
      </c>
      <c r="E9889" s="2" t="s">
        <v>28993</v>
      </c>
      <c r="F9889" s="4">
        <v>3661</v>
      </c>
      <c r="G9889" s="2" t="s">
        <v>921</v>
      </c>
      <c r="H9889" s="2" t="s">
        <v>34</v>
      </c>
      <c r="I9889" s="2" t="s">
        <v>28994</v>
      </c>
      <c r="J9889" s="2" t="s">
        <v>28995</v>
      </c>
      <c r="K9889" s="2" t="s">
        <v>63</v>
      </c>
      <c r="L9889" s="2" t="s">
        <v>34</v>
      </c>
      <c r="M9889" s="2"/>
      <c r="N9889" s="2"/>
      <c r="O9889" s="2"/>
      <c r="P9889" s="2" t="s">
        <v>28996</v>
      </c>
      <c r="Q9889" s="6">
        <v>100</v>
      </c>
      <c r="R9889" s="6">
        <v>5.5</v>
      </c>
      <c r="S9889" s="5">
        <v>1.3</v>
      </c>
      <c r="T9889" s="7">
        <v>4.6779999999999999</v>
      </c>
      <c r="U9889" s="5">
        <v>3.3</v>
      </c>
      <c r="V9889" s="6">
        <v>0.12</v>
      </c>
      <c r="W9889" s="6">
        <v>3.52</v>
      </c>
      <c r="X9889" s="6">
        <v>3.84</v>
      </c>
      <c r="Y9889" s="5">
        <v>5.4</v>
      </c>
      <c r="Z9889" s="6">
        <v>5.39</v>
      </c>
      <c r="AA9889" s="6">
        <v>10.7</v>
      </c>
      <c r="AB9889" s="7">
        <v>27.248000000000001</v>
      </c>
      <c r="AC9889" s="2"/>
    </row>
    <row r="9890" spans="1:29" ht="91" x14ac:dyDescent="0.15">
      <c r="A9890" s="3">
        <f>DATE(2011,2,14)</f>
        <v>40588</v>
      </c>
      <c r="B9890" s="2"/>
      <c r="C9890" s="2" t="s">
        <v>30</v>
      </c>
      <c r="D9890" s="2" t="s">
        <v>28997</v>
      </c>
      <c r="E9890" s="2" t="s">
        <v>28998</v>
      </c>
      <c r="F9890" s="4">
        <v>3663</v>
      </c>
      <c r="G9890" s="2" t="s">
        <v>921</v>
      </c>
      <c r="H9890" s="2" t="s">
        <v>34</v>
      </c>
      <c r="I9890" s="2" t="s">
        <v>28999</v>
      </c>
      <c r="J9890" s="2" t="s">
        <v>2208</v>
      </c>
      <c r="K9890" s="2" t="s">
        <v>921</v>
      </c>
      <c r="L9890" s="2" t="s">
        <v>34</v>
      </c>
      <c r="M9890" s="7">
        <v>333.79599999999999</v>
      </c>
      <c r="N9890" s="6">
        <v>20.85</v>
      </c>
      <c r="O9890" s="6">
        <v>20.86</v>
      </c>
      <c r="P9890" s="2" t="s">
        <v>29000</v>
      </c>
      <c r="Q9890" s="2"/>
      <c r="R9890" s="6">
        <v>2.15</v>
      </c>
      <c r="S9890" s="5">
        <v>1.3</v>
      </c>
      <c r="T9890" s="7">
        <v>2.6749999999999998</v>
      </c>
      <c r="U9890" s="5">
        <v>1.5</v>
      </c>
      <c r="V9890" s="6">
        <v>0.12</v>
      </c>
      <c r="W9890" s="5">
        <v>1.4</v>
      </c>
      <c r="X9890" s="5">
        <v>1.4</v>
      </c>
      <c r="Y9890" s="6">
        <v>2.08</v>
      </c>
      <c r="Z9890" s="6">
        <v>2.08</v>
      </c>
      <c r="AA9890" s="6">
        <v>10.74</v>
      </c>
      <c r="AB9890" s="7">
        <v>11.813000000000001</v>
      </c>
      <c r="AC9890" s="5">
        <v>54.4</v>
      </c>
    </row>
    <row r="9891" spans="1:29" ht="182" x14ac:dyDescent="0.15">
      <c r="A9891" s="3">
        <f>DATE(2011,2,14)</f>
        <v>40588</v>
      </c>
      <c r="B9891" s="3">
        <f>DATE(2011,5,25)</f>
        <v>40688</v>
      </c>
      <c r="C9891" s="2" t="s">
        <v>95</v>
      </c>
      <c r="D9891" s="2" t="s">
        <v>29001</v>
      </c>
      <c r="E9891" s="2" t="s">
        <v>29002</v>
      </c>
      <c r="F9891" s="4">
        <v>4119</v>
      </c>
      <c r="G9891" s="2" t="s">
        <v>173</v>
      </c>
      <c r="H9891" s="2" t="s">
        <v>34</v>
      </c>
      <c r="I9891" s="2" t="s">
        <v>29003</v>
      </c>
      <c r="J9891" s="2" t="s">
        <v>244</v>
      </c>
      <c r="K9891" s="2" t="s">
        <v>53</v>
      </c>
      <c r="L9891" s="2" t="s">
        <v>34</v>
      </c>
      <c r="M9891" s="2"/>
      <c r="N9891" s="2"/>
      <c r="O9891" s="2"/>
      <c r="P9891" s="2" t="s">
        <v>29004</v>
      </c>
      <c r="Q9891" s="6">
        <v>100</v>
      </c>
      <c r="R9891" s="6">
        <v>64</v>
      </c>
      <c r="S9891" s="5">
        <v>131.69999999999999</v>
      </c>
      <c r="T9891" s="10">
        <v>7457.79</v>
      </c>
      <c r="U9891" s="5">
        <v>19.2</v>
      </c>
      <c r="V9891" s="9">
        <v>2.9964</v>
      </c>
      <c r="W9891" s="6">
        <v>67.989999999999995</v>
      </c>
      <c r="X9891" s="4">
        <v>70</v>
      </c>
      <c r="Y9891" s="6">
        <v>69.739999999999995</v>
      </c>
      <c r="Z9891" s="6">
        <v>70.69</v>
      </c>
      <c r="AA9891" s="6">
        <v>44.11</v>
      </c>
      <c r="AB9891" s="7">
        <v>0.40100000000000002</v>
      </c>
      <c r="AC9891" s="2"/>
    </row>
    <row r="9892" spans="1:29" ht="117" x14ac:dyDescent="0.15">
      <c r="A9892" s="3">
        <f>DATE(2011,2,14)</f>
        <v>40588</v>
      </c>
      <c r="B9892" s="3">
        <f>DATE(2011,6,8)</f>
        <v>40702</v>
      </c>
      <c r="C9892" s="2" t="s">
        <v>95</v>
      </c>
      <c r="D9892" s="2" t="s">
        <v>29005</v>
      </c>
      <c r="E9892" s="2" t="s">
        <v>29006</v>
      </c>
      <c r="F9892" s="4">
        <v>4899</v>
      </c>
      <c r="G9892" s="2" t="s">
        <v>63</v>
      </c>
      <c r="H9892" s="2" t="s">
        <v>34</v>
      </c>
      <c r="I9892" s="2" t="s">
        <v>29007</v>
      </c>
      <c r="J9892" s="2" t="s">
        <v>29008</v>
      </c>
      <c r="K9892" s="2" t="s">
        <v>63</v>
      </c>
      <c r="L9892" s="2" t="s">
        <v>34</v>
      </c>
      <c r="M9892" s="2"/>
      <c r="N9892" s="2"/>
      <c r="O9892" s="2"/>
      <c r="P9892" s="2" t="s">
        <v>29009</v>
      </c>
      <c r="Q9892" s="6">
        <v>100</v>
      </c>
      <c r="R9892" s="6">
        <v>60.7</v>
      </c>
      <c r="S9892" s="2"/>
      <c r="T9892" s="2"/>
      <c r="U9892" s="2"/>
      <c r="V9892" s="2"/>
      <c r="W9892" s="6">
        <v>42.04</v>
      </c>
      <c r="X9892" s="6">
        <v>46.43</v>
      </c>
      <c r="Y9892" s="6">
        <v>51.49</v>
      </c>
      <c r="Z9892" s="6">
        <v>60.86</v>
      </c>
      <c r="AA9892" s="6">
        <v>21.83</v>
      </c>
      <c r="AB9892" s="2" t="s">
        <v>47</v>
      </c>
      <c r="AC9892" s="2"/>
    </row>
    <row r="9893" spans="1:29" ht="52" x14ac:dyDescent="0.15">
      <c r="A9893" s="3">
        <f>DATE(2011,2,14)</f>
        <v>40588</v>
      </c>
      <c r="B9893" s="3">
        <f>DATE(2011,11,1)</f>
        <v>40848</v>
      </c>
      <c r="C9893" s="2" t="s">
        <v>95</v>
      </c>
      <c r="D9893" s="2" t="s">
        <v>19279</v>
      </c>
      <c r="E9893" s="2" t="s">
        <v>92</v>
      </c>
      <c r="F9893" s="4">
        <v>6798</v>
      </c>
      <c r="G9893" s="2" t="s">
        <v>53</v>
      </c>
      <c r="H9893" s="2" t="s">
        <v>34</v>
      </c>
      <c r="I9893" s="2" t="s">
        <v>29010</v>
      </c>
      <c r="J9893" s="2" t="s">
        <v>17062</v>
      </c>
      <c r="K9893" s="2" t="s">
        <v>53</v>
      </c>
      <c r="L9893" s="2" t="s">
        <v>34</v>
      </c>
      <c r="M9893" s="2"/>
      <c r="N9893" s="2"/>
      <c r="O9893" s="2"/>
      <c r="P9893" s="2" t="s">
        <v>29011</v>
      </c>
      <c r="Q9893" s="6">
        <v>100</v>
      </c>
      <c r="R9893" s="2"/>
      <c r="S9893" s="5">
        <v>-33.200000000000003</v>
      </c>
      <c r="T9893" s="7">
        <v>-2.3690000000000002</v>
      </c>
      <c r="U9893" s="5">
        <v>62.9</v>
      </c>
      <c r="V9893" s="7">
        <v>-222.096</v>
      </c>
      <c r="W9893" s="6">
        <v>6.99</v>
      </c>
      <c r="X9893" s="4">
        <v>7</v>
      </c>
      <c r="Y9893" s="4">
        <v>6</v>
      </c>
      <c r="Z9893" s="5">
        <v>5.7</v>
      </c>
      <c r="AA9893" s="6">
        <v>6.25</v>
      </c>
      <c r="AB9893" s="2" t="s">
        <v>86</v>
      </c>
      <c r="AC9893" s="2"/>
    </row>
    <row r="9894" spans="1:29" ht="39" x14ac:dyDescent="0.15">
      <c r="A9894" s="3">
        <f>DATE(2011,2,15)</f>
        <v>40589</v>
      </c>
      <c r="B9894" s="2"/>
      <c r="C9894" s="2" t="s">
        <v>7330</v>
      </c>
      <c r="D9894" s="2" t="s">
        <v>29012</v>
      </c>
      <c r="E9894" s="2" t="s">
        <v>29013</v>
      </c>
      <c r="F9894" s="4">
        <v>3721</v>
      </c>
      <c r="G9894" s="2" t="s">
        <v>219</v>
      </c>
      <c r="H9894" s="2" t="s">
        <v>34</v>
      </c>
      <c r="I9894" s="2" t="s">
        <v>1526</v>
      </c>
      <c r="J9894" s="2" t="s">
        <v>302</v>
      </c>
      <c r="K9894" s="2" t="s">
        <v>53</v>
      </c>
      <c r="L9894" s="2" t="s">
        <v>34</v>
      </c>
      <c r="M9894" s="2"/>
      <c r="N9894" s="2"/>
      <c r="O9894" s="2"/>
      <c r="P9894" s="2" t="s">
        <v>29014</v>
      </c>
      <c r="Q9894" s="2"/>
      <c r="R9894" s="2"/>
      <c r="S9894" s="5">
        <v>-0.4</v>
      </c>
      <c r="T9894" s="2"/>
      <c r="U9894" s="5">
        <v>-1.9</v>
      </c>
      <c r="V9894" s="6">
        <v>-0.1</v>
      </c>
      <c r="W9894" s="6">
        <v>1.41</v>
      </c>
      <c r="X9894" s="5">
        <v>1.3</v>
      </c>
      <c r="Y9894" s="5">
        <v>1.3</v>
      </c>
      <c r="Z9894" s="5">
        <v>0.5</v>
      </c>
      <c r="AA9894" s="2"/>
      <c r="AB9894" s="2" t="s">
        <v>47</v>
      </c>
      <c r="AC9894" s="2"/>
    </row>
    <row r="9895" spans="1:29" ht="91" x14ac:dyDescent="0.15">
      <c r="A9895" s="3">
        <f>DATE(2011,2,15)</f>
        <v>40589</v>
      </c>
      <c r="B9895" s="2"/>
      <c r="C9895" s="2" t="s">
        <v>30</v>
      </c>
      <c r="D9895" s="2" t="s">
        <v>29015</v>
      </c>
      <c r="E9895" s="2" t="s">
        <v>29016</v>
      </c>
      <c r="F9895" s="4">
        <v>5331</v>
      </c>
      <c r="G9895" s="2" t="s">
        <v>756</v>
      </c>
      <c r="H9895" s="2" t="s">
        <v>34</v>
      </c>
      <c r="I9895" s="2" t="s">
        <v>29017</v>
      </c>
      <c r="J9895" s="2" t="s">
        <v>302</v>
      </c>
      <c r="K9895" s="2" t="s">
        <v>53</v>
      </c>
      <c r="L9895" s="2" t="s">
        <v>34</v>
      </c>
      <c r="M9895" s="2"/>
      <c r="N9895" s="2"/>
      <c r="O9895" s="2"/>
      <c r="P9895" s="2" t="s">
        <v>29018</v>
      </c>
      <c r="Q9895" s="2"/>
      <c r="R9895" s="6">
        <v>60</v>
      </c>
      <c r="S9895" s="5">
        <v>364.8</v>
      </c>
      <c r="T9895" s="7">
        <v>761.51900000000001</v>
      </c>
      <c r="U9895" s="5">
        <v>9.6999999999999993</v>
      </c>
      <c r="V9895" s="6">
        <v>2.71</v>
      </c>
      <c r="W9895" s="6">
        <v>44.01</v>
      </c>
      <c r="X9895" s="6">
        <v>43.83</v>
      </c>
      <c r="Y9895" s="6">
        <v>43.96</v>
      </c>
      <c r="Z9895" s="6">
        <v>53.25</v>
      </c>
      <c r="AA9895" s="6">
        <v>126.39</v>
      </c>
      <c r="AB9895" s="7">
        <v>13.099</v>
      </c>
      <c r="AC9895" s="2"/>
    </row>
    <row r="9896" spans="1:29" ht="65" x14ac:dyDescent="0.15">
      <c r="A9896" s="3">
        <f>DATE(2011,2,16)</f>
        <v>40590</v>
      </c>
      <c r="B9896" s="2"/>
      <c r="C9896" s="2" t="s">
        <v>39</v>
      </c>
      <c r="D9896" s="2" t="s">
        <v>21843</v>
      </c>
      <c r="E9896" s="2" t="s">
        <v>21844</v>
      </c>
      <c r="F9896" s="4">
        <v>7389</v>
      </c>
      <c r="G9896" s="2" t="s">
        <v>223</v>
      </c>
      <c r="H9896" s="2" t="s">
        <v>34</v>
      </c>
      <c r="I9896" s="2" t="s">
        <v>143</v>
      </c>
      <c r="J9896" s="2" t="s">
        <v>144</v>
      </c>
      <c r="K9896" s="2" t="s">
        <v>53</v>
      </c>
      <c r="L9896" s="2" t="s">
        <v>139</v>
      </c>
      <c r="M9896" s="2"/>
      <c r="N9896" s="2"/>
      <c r="O9896" s="2"/>
      <c r="P9896" s="2" t="s">
        <v>29019</v>
      </c>
      <c r="Q9896" s="2"/>
      <c r="R9896" s="2"/>
      <c r="S9896" s="5">
        <v>-53.2</v>
      </c>
      <c r="T9896" s="5">
        <v>231.1</v>
      </c>
      <c r="U9896" s="5">
        <v>9.6999999999999993</v>
      </c>
      <c r="V9896" s="6">
        <v>-0.61</v>
      </c>
      <c r="W9896" s="6">
        <v>14.04</v>
      </c>
      <c r="X9896" s="6">
        <v>14.28</v>
      </c>
      <c r="Y9896" s="6">
        <v>14.53</v>
      </c>
      <c r="Z9896" s="6">
        <v>14.72</v>
      </c>
      <c r="AA9896" s="6">
        <v>121.83</v>
      </c>
      <c r="AB9896" s="2" t="s">
        <v>47</v>
      </c>
      <c r="AC9896" s="2"/>
    </row>
    <row r="9897" spans="1:29" ht="143" x14ac:dyDescent="0.15">
      <c r="A9897" s="3">
        <f>DATE(2011,2,17)</f>
        <v>40591</v>
      </c>
      <c r="B9897" s="3">
        <f>DATE(2011,6,29)</f>
        <v>40723</v>
      </c>
      <c r="C9897" s="2" t="s">
        <v>95</v>
      </c>
      <c r="D9897" s="2" t="s">
        <v>29020</v>
      </c>
      <c r="E9897" s="2" t="s">
        <v>367</v>
      </c>
      <c r="F9897" s="4">
        <v>6211</v>
      </c>
      <c r="G9897" s="2" t="s">
        <v>53</v>
      </c>
      <c r="H9897" s="2" t="s">
        <v>34</v>
      </c>
      <c r="I9897" s="2" t="s">
        <v>29021</v>
      </c>
      <c r="J9897" s="2" t="s">
        <v>11337</v>
      </c>
      <c r="K9897" s="2" t="s">
        <v>53</v>
      </c>
      <c r="L9897" s="2" t="s">
        <v>34</v>
      </c>
      <c r="M9897" s="2"/>
      <c r="N9897" s="2"/>
      <c r="O9897" s="2"/>
      <c r="P9897" s="2" t="s">
        <v>29022</v>
      </c>
      <c r="Q9897" s="6">
        <v>100</v>
      </c>
      <c r="R9897" s="6">
        <v>4.71</v>
      </c>
      <c r="S9897" s="5">
        <v>-62.4</v>
      </c>
      <c r="T9897" s="7">
        <v>-30.186</v>
      </c>
      <c r="U9897" s="5">
        <v>5.0999999999999996</v>
      </c>
      <c r="V9897" s="6">
        <v>-1.43</v>
      </c>
      <c r="W9897" s="6">
        <v>4.0199999999999996</v>
      </c>
      <c r="X9897" s="6">
        <v>4.0599999999999996</v>
      </c>
      <c r="Y9897" s="6">
        <v>4.26</v>
      </c>
      <c r="Z9897" s="6">
        <v>4.24</v>
      </c>
      <c r="AA9897" s="6">
        <v>40.93</v>
      </c>
      <c r="AB9897" s="2" t="s">
        <v>86</v>
      </c>
      <c r="AC9897" s="2"/>
    </row>
    <row r="9898" spans="1:29" ht="52" x14ac:dyDescent="0.15">
      <c r="A9898" s="3">
        <f>DATE(2011,2,18)</f>
        <v>40592</v>
      </c>
      <c r="B9898" s="3">
        <f>DATE(2011,4,26)</f>
        <v>40659</v>
      </c>
      <c r="C9898" s="2" t="s">
        <v>95</v>
      </c>
      <c r="D9898" s="2" t="s">
        <v>29023</v>
      </c>
      <c r="E9898" s="2" t="s">
        <v>29024</v>
      </c>
      <c r="F9898" s="4">
        <v>2331</v>
      </c>
      <c r="G9898" s="2" t="s">
        <v>708</v>
      </c>
      <c r="H9898" s="2" t="s">
        <v>34</v>
      </c>
      <c r="I9898" s="2" t="s">
        <v>1526</v>
      </c>
      <c r="J9898" s="2" t="s">
        <v>302</v>
      </c>
      <c r="K9898" s="2" t="s">
        <v>53</v>
      </c>
      <c r="L9898" s="2" t="s">
        <v>34</v>
      </c>
      <c r="M9898" s="2"/>
      <c r="N9898" s="2"/>
      <c r="O9898" s="2"/>
      <c r="P9898" s="2" t="s">
        <v>29025</v>
      </c>
      <c r="Q9898" s="2"/>
      <c r="R9898" s="2"/>
      <c r="S9898" s="2"/>
      <c r="T9898" s="2"/>
      <c r="U9898" s="2"/>
      <c r="V9898" s="2"/>
      <c r="W9898" s="6">
        <v>1.1299999999999999</v>
      </c>
      <c r="X9898" s="6">
        <v>1.1299999999999999</v>
      </c>
      <c r="Y9898" s="6">
        <v>1.1399999999999999</v>
      </c>
      <c r="Z9898" s="6">
        <v>1.1200000000000001</v>
      </c>
      <c r="AA9898" s="6">
        <v>98.55</v>
      </c>
      <c r="AB9898" s="2" t="s">
        <v>47</v>
      </c>
      <c r="AC9898" s="2"/>
    </row>
    <row r="9899" spans="1:29" ht="130" x14ac:dyDescent="0.15">
      <c r="A9899" s="3">
        <f>DATE(2011,2,18)</f>
        <v>40592</v>
      </c>
      <c r="B9899" s="3">
        <f>DATE(2011,5,9)</f>
        <v>40672</v>
      </c>
      <c r="C9899" s="2" t="s">
        <v>95</v>
      </c>
      <c r="D9899" s="2" t="s">
        <v>23915</v>
      </c>
      <c r="E9899" s="2" t="s">
        <v>23916</v>
      </c>
      <c r="F9899" s="4">
        <v>6519</v>
      </c>
      <c r="G9899" s="2" t="s">
        <v>109</v>
      </c>
      <c r="H9899" s="2" t="s">
        <v>34</v>
      </c>
      <c r="I9899" s="2" t="s">
        <v>29026</v>
      </c>
      <c r="J9899" s="2" t="s">
        <v>11337</v>
      </c>
      <c r="K9899" s="2" t="s">
        <v>53</v>
      </c>
      <c r="L9899" s="2" t="s">
        <v>34</v>
      </c>
      <c r="M9899" s="2"/>
      <c r="N9899" s="2"/>
      <c r="O9899" s="2"/>
      <c r="P9899" s="2" t="s">
        <v>29027</v>
      </c>
      <c r="Q9899" s="6">
        <v>51.86</v>
      </c>
      <c r="R9899" s="6">
        <v>10.050000000000001</v>
      </c>
      <c r="S9899" s="5">
        <v>0.2</v>
      </c>
      <c r="T9899" s="7">
        <v>0.54700000000000004</v>
      </c>
      <c r="U9899" s="5">
        <v>0.8</v>
      </c>
      <c r="V9899" s="6">
        <v>0.2</v>
      </c>
      <c r="W9899" s="6">
        <v>6.25</v>
      </c>
      <c r="X9899" s="5">
        <v>6.5</v>
      </c>
      <c r="Y9899" s="5">
        <v>6.5</v>
      </c>
      <c r="Z9899" s="5">
        <v>6.5</v>
      </c>
      <c r="AA9899" s="6">
        <v>1.25</v>
      </c>
      <c r="AB9899" s="7">
        <v>31.393999999999998</v>
      </c>
      <c r="AC9899" s="2"/>
    </row>
    <row r="9900" spans="1:29" ht="65" x14ac:dyDescent="0.15">
      <c r="A9900" s="3">
        <f>DATE(2011,2,18)</f>
        <v>40592</v>
      </c>
      <c r="B9900" s="3">
        <f>DATE(2011,8,15)</f>
        <v>40770</v>
      </c>
      <c r="C9900" s="2" t="s">
        <v>95</v>
      </c>
      <c r="D9900" s="2" t="s">
        <v>29028</v>
      </c>
      <c r="E9900" s="2" t="s">
        <v>29029</v>
      </c>
      <c r="F9900" s="4">
        <v>4213</v>
      </c>
      <c r="G9900" s="2" t="s">
        <v>173</v>
      </c>
      <c r="H9900" s="2" t="s">
        <v>34</v>
      </c>
      <c r="I9900" s="2" t="s">
        <v>29030</v>
      </c>
      <c r="J9900" s="2" t="s">
        <v>172</v>
      </c>
      <c r="K9900" s="2" t="s">
        <v>173</v>
      </c>
      <c r="L9900" s="2" t="s">
        <v>34</v>
      </c>
      <c r="M9900" s="2"/>
      <c r="N9900" s="6">
        <v>1.41</v>
      </c>
      <c r="O9900" s="5">
        <v>1.4</v>
      </c>
      <c r="P9900" s="2" t="s">
        <v>29031</v>
      </c>
      <c r="Q9900" s="6">
        <v>100</v>
      </c>
      <c r="R9900" s="6">
        <v>1.43</v>
      </c>
      <c r="S9900" s="5">
        <v>1.8</v>
      </c>
      <c r="T9900" s="7">
        <v>6.3419999999999996</v>
      </c>
      <c r="U9900" s="5">
        <v>1.3</v>
      </c>
      <c r="V9900" s="6">
        <v>0.12</v>
      </c>
      <c r="W9900" s="6">
        <v>1.42</v>
      </c>
      <c r="X9900" s="6">
        <v>1.41</v>
      </c>
      <c r="Y9900" s="6">
        <v>1.41</v>
      </c>
      <c r="Z9900" s="6">
        <v>1.41</v>
      </c>
      <c r="AA9900" s="6">
        <v>14.24</v>
      </c>
      <c r="AB9900" s="7">
        <v>5.53</v>
      </c>
      <c r="AC9900" s="2"/>
    </row>
    <row r="9901" spans="1:29" ht="143" x14ac:dyDescent="0.15">
      <c r="A9901" s="3">
        <f>DATE(2011,2,21)</f>
        <v>40595</v>
      </c>
      <c r="B9901" s="3">
        <f>DATE(2011,8,31)</f>
        <v>40786</v>
      </c>
      <c r="C9901" s="2" t="s">
        <v>95</v>
      </c>
      <c r="D9901" s="2" t="s">
        <v>17501</v>
      </c>
      <c r="E9901" s="2" t="s">
        <v>4865</v>
      </c>
      <c r="F9901" s="4">
        <v>3674</v>
      </c>
      <c r="G9901" s="2" t="s">
        <v>137</v>
      </c>
      <c r="H9901" s="2" t="s">
        <v>34</v>
      </c>
      <c r="I9901" s="2" t="s">
        <v>27351</v>
      </c>
      <c r="J9901" s="2" t="s">
        <v>27352</v>
      </c>
      <c r="K9901" s="2" t="s">
        <v>137</v>
      </c>
      <c r="L9901" s="2" t="s">
        <v>303</v>
      </c>
      <c r="M9901" s="10">
        <v>1117.73</v>
      </c>
      <c r="N9901" s="6">
        <v>6.36</v>
      </c>
      <c r="O9901" s="7">
        <v>6.1420000000000003</v>
      </c>
      <c r="P9901" s="2" t="s">
        <v>29032</v>
      </c>
      <c r="Q9901" s="6">
        <v>100</v>
      </c>
      <c r="R9901" s="6">
        <v>9.19</v>
      </c>
      <c r="S9901" s="5">
        <v>-74</v>
      </c>
      <c r="T9901" s="7">
        <v>-54.915999999999997</v>
      </c>
      <c r="U9901" s="5">
        <v>7.6</v>
      </c>
      <c r="V9901" s="6">
        <v>-1.5</v>
      </c>
      <c r="W9901" s="6">
        <v>9.41</v>
      </c>
      <c r="X9901" s="6">
        <v>9.32</v>
      </c>
      <c r="Y9901" s="6">
        <v>10.74</v>
      </c>
      <c r="Z9901" s="6">
        <v>10.74</v>
      </c>
      <c r="AA9901" s="6">
        <v>50.23</v>
      </c>
      <c r="AB9901" s="2" t="s">
        <v>86</v>
      </c>
      <c r="AC9901" s="6">
        <v>405.8</v>
      </c>
    </row>
    <row r="9902" spans="1:29" ht="156" x14ac:dyDescent="0.15">
      <c r="A9902" s="3">
        <f>DATE(2011,2,22)</f>
        <v>40596</v>
      </c>
      <c r="B9902" s="3">
        <f>DATE(2011,4,13)</f>
        <v>40646</v>
      </c>
      <c r="C9902" s="2" t="s">
        <v>95</v>
      </c>
      <c r="D9902" s="2" t="s">
        <v>21749</v>
      </c>
      <c r="E9902" s="2" t="s">
        <v>540</v>
      </c>
      <c r="F9902" s="4">
        <v>2836</v>
      </c>
      <c r="G9902" s="2" t="s">
        <v>130</v>
      </c>
      <c r="H9902" s="2" t="s">
        <v>34</v>
      </c>
      <c r="I9902" s="2" t="s">
        <v>29033</v>
      </c>
      <c r="J9902" s="2" t="s">
        <v>11337</v>
      </c>
      <c r="K9902" s="2" t="s">
        <v>53</v>
      </c>
      <c r="L9902" s="2" t="s">
        <v>34</v>
      </c>
      <c r="M9902" s="2"/>
      <c r="N9902" s="2"/>
      <c r="O9902" s="2"/>
      <c r="P9902" s="2" t="s">
        <v>29034</v>
      </c>
      <c r="Q9902" s="6">
        <v>100</v>
      </c>
      <c r="R9902" s="6">
        <v>36</v>
      </c>
      <c r="S9902" s="5">
        <v>-74.099999999999994</v>
      </c>
      <c r="T9902" s="7">
        <v>-71.287999999999997</v>
      </c>
      <c r="U9902" s="5">
        <v>0.6</v>
      </c>
      <c r="V9902" s="6">
        <v>-2.82</v>
      </c>
      <c r="W9902" s="6">
        <v>33.619999999999997</v>
      </c>
      <c r="X9902" s="5">
        <v>33.9</v>
      </c>
      <c r="Y9902" s="6">
        <v>31.21</v>
      </c>
      <c r="Z9902" s="6">
        <v>30.95</v>
      </c>
      <c r="AA9902" s="6">
        <v>34.869999999999997</v>
      </c>
      <c r="AB9902" s="2" t="s">
        <v>86</v>
      </c>
      <c r="AC9902" s="2"/>
    </row>
    <row r="9903" spans="1:29" ht="143" x14ac:dyDescent="0.15">
      <c r="A9903" s="3">
        <f>DATE(2011,2,22)</f>
        <v>40596</v>
      </c>
      <c r="B9903" s="3">
        <f>DATE(2011,7,1)</f>
        <v>40725</v>
      </c>
      <c r="C9903" s="2" t="s">
        <v>95</v>
      </c>
      <c r="D9903" s="2" t="s">
        <v>20754</v>
      </c>
      <c r="E9903" s="2" t="s">
        <v>20755</v>
      </c>
      <c r="F9903" s="4">
        <v>2911</v>
      </c>
      <c r="G9903" s="2" t="s">
        <v>148</v>
      </c>
      <c r="H9903" s="2" t="s">
        <v>34</v>
      </c>
      <c r="I9903" s="2" t="s">
        <v>11931</v>
      </c>
      <c r="J9903" s="2" t="s">
        <v>11932</v>
      </c>
      <c r="K9903" s="2" t="s">
        <v>148</v>
      </c>
      <c r="L9903" s="2" t="s">
        <v>34</v>
      </c>
      <c r="M9903" s="12">
        <v>2258.7649999999999</v>
      </c>
      <c r="N9903" s="6">
        <v>55.57</v>
      </c>
      <c r="O9903" s="6">
        <v>55.31</v>
      </c>
      <c r="P9903" s="2" t="s">
        <v>29035</v>
      </c>
      <c r="Q9903" s="6">
        <v>100</v>
      </c>
      <c r="R9903" s="6">
        <v>27</v>
      </c>
      <c r="S9903" s="5">
        <v>37.799999999999997</v>
      </c>
      <c r="T9903" s="6">
        <v>182.02</v>
      </c>
      <c r="U9903" s="5">
        <v>9.3000000000000007</v>
      </c>
      <c r="V9903" s="6">
        <v>0.36</v>
      </c>
      <c r="W9903" s="6">
        <v>26.02</v>
      </c>
      <c r="X9903" s="6">
        <v>28.12</v>
      </c>
      <c r="Y9903" s="6">
        <v>26.97</v>
      </c>
      <c r="Z9903" s="5">
        <v>26.6</v>
      </c>
      <c r="AA9903" s="6">
        <v>105.72</v>
      </c>
      <c r="AB9903" s="7">
        <v>34.271000000000001</v>
      </c>
      <c r="AC9903" s="6">
        <v>230.44</v>
      </c>
    </row>
    <row r="9904" spans="1:29" ht="91" x14ac:dyDescent="0.15">
      <c r="A9904" s="3">
        <f>DATE(2011,2,22)</f>
        <v>40596</v>
      </c>
      <c r="B9904" s="2"/>
      <c r="C9904" s="2" t="s">
        <v>30</v>
      </c>
      <c r="D9904" s="2" t="s">
        <v>6919</v>
      </c>
      <c r="E9904" s="2" t="s">
        <v>6920</v>
      </c>
      <c r="F9904" s="4">
        <v>7373</v>
      </c>
      <c r="G9904" s="2" t="s">
        <v>223</v>
      </c>
      <c r="H9904" s="2" t="s">
        <v>34</v>
      </c>
      <c r="I9904" s="2" t="s">
        <v>16697</v>
      </c>
      <c r="J9904" s="2" t="s">
        <v>150</v>
      </c>
      <c r="K9904" s="2" t="s">
        <v>53</v>
      </c>
      <c r="L9904" s="2" t="s">
        <v>34</v>
      </c>
      <c r="M9904" s="2"/>
      <c r="N9904" s="2"/>
      <c r="O9904" s="2"/>
      <c r="P9904" s="2" t="s">
        <v>29036</v>
      </c>
      <c r="Q9904" s="2"/>
      <c r="R9904" s="6">
        <v>17</v>
      </c>
      <c r="S9904" s="5">
        <v>28.6</v>
      </c>
      <c r="T9904" s="7">
        <v>117.688</v>
      </c>
      <c r="U9904" s="5">
        <v>7</v>
      </c>
      <c r="V9904" s="6">
        <v>0.26</v>
      </c>
      <c r="W9904" s="6">
        <v>14.18</v>
      </c>
      <c r="X9904" s="6">
        <v>14.52</v>
      </c>
      <c r="Y9904" s="6">
        <v>15.47</v>
      </c>
      <c r="Z9904" s="6">
        <v>15.48</v>
      </c>
      <c r="AA9904" s="6">
        <v>109.67</v>
      </c>
      <c r="AB9904" s="7">
        <v>32.645000000000003</v>
      </c>
      <c r="AC9904" s="2"/>
    </row>
    <row r="9905" spans="1:29" ht="91" x14ac:dyDescent="0.15">
      <c r="A9905" s="3">
        <f>DATE(2011,2,22)</f>
        <v>40596</v>
      </c>
      <c r="B9905" s="3">
        <f>DATE(2011,5,10)</f>
        <v>40673</v>
      </c>
      <c r="C9905" s="2" t="s">
        <v>95</v>
      </c>
      <c r="D9905" s="2" t="s">
        <v>27240</v>
      </c>
      <c r="E9905" s="2" t="s">
        <v>7760</v>
      </c>
      <c r="F9905" s="4">
        <v>7372</v>
      </c>
      <c r="G9905" s="2" t="s">
        <v>551</v>
      </c>
      <c r="H9905" s="2" t="s">
        <v>34</v>
      </c>
      <c r="I9905" s="2" t="s">
        <v>29037</v>
      </c>
      <c r="J9905" s="2" t="s">
        <v>1072</v>
      </c>
      <c r="K9905" s="2" t="s">
        <v>7998</v>
      </c>
      <c r="L9905" s="2" t="s">
        <v>34</v>
      </c>
      <c r="M9905" s="2"/>
      <c r="N9905" s="2"/>
      <c r="O9905" s="2"/>
      <c r="P9905" s="2" t="s">
        <v>29038</v>
      </c>
      <c r="Q9905" s="6">
        <v>100</v>
      </c>
      <c r="R9905" s="6">
        <v>10.1</v>
      </c>
      <c r="S9905" s="5">
        <v>4.4000000000000004</v>
      </c>
      <c r="T9905" s="7">
        <v>9.5909999999999993</v>
      </c>
      <c r="U9905" s="5">
        <v>6.5</v>
      </c>
      <c r="V9905" s="6">
        <v>0.34</v>
      </c>
      <c r="W9905" s="6">
        <v>9.74</v>
      </c>
      <c r="X9905" s="6">
        <v>10.08</v>
      </c>
      <c r="Y9905" s="6">
        <v>9.98</v>
      </c>
      <c r="Z9905" s="4">
        <v>10</v>
      </c>
      <c r="AA9905" s="6">
        <v>13.01</v>
      </c>
      <c r="AB9905" s="7">
        <v>8.5220000000000002</v>
      </c>
      <c r="AC9905" s="2"/>
    </row>
    <row r="9906" spans="1:29" ht="169" x14ac:dyDescent="0.15">
      <c r="A9906" s="3">
        <f>DATE(2011,2,23)</f>
        <v>40597</v>
      </c>
      <c r="B9906" s="3">
        <f>DATE(2011,12,20)</f>
        <v>40897</v>
      </c>
      <c r="C9906" s="2" t="s">
        <v>95</v>
      </c>
      <c r="D9906" s="2" t="s">
        <v>29039</v>
      </c>
      <c r="E9906" s="2" t="s">
        <v>29040</v>
      </c>
      <c r="F9906" s="4">
        <v>1094</v>
      </c>
      <c r="G9906" s="2" t="s">
        <v>166</v>
      </c>
      <c r="H9906" s="2" t="s">
        <v>34</v>
      </c>
      <c r="I9906" s="2" t="s">
        <v>29041</v>
      </c>
      <c r="J9906" s="2" t="s">
        <v>18348</v>
      </c>
      <c r="K9906" s="2" t="s">
        <v>148</v>
      </c>
      <c r="L9906" s="2" t="s">
        <v>34</v>
      </c>
      <c r="M9906" s="7">
        <v>6.1920000000000002</v>
      </c>
      <c r="N9906" s="6">
        <v>0.23</v>
      </c>
      <c r="O9906" s="6">
        <v>0.34</v>
      </c>
      <c r="P9906" s="2" t="s">
        <v>29042</v>
      </c>
      <c r="Q9906" s="6">
        <v>100</v>
      </c>
      <c r="R9906" s="6">
        <v>0.89</v>
      </c>
      <c r="S9906" s="5">
        <v>-9.4</v>
      </c>
      <c r="T9906" s="7">
        <v>-5.3120000000000003</v>
      </c>
      <c r="U9906" s="5">
        <v>1.7</v>
      </c>
      <c r="V9906" s="9">
        <v>-0.38350000000000001</v>
      </c>
      <c r="W9906" s="6">
        <v>1.82</v>
      </c>
      <c r="X9906" s="6">
        <v>1.88</v>
      </c>
      <c r="Y9906" s="6">
        <v>1.88</v>
      </c>
      <c r="Z9906" s="6">
        <v>2.02</v>
      </c>
      <c r="AA9906" s="6">
        <v>43.37</v>
      </c>
      <c r="AB9906" s="2" t="s">
        <v>47</v>
      </c>
      <c r="AC9906" s="6">
        <v>1.97</v>
      </c>
    </row>
    <row r="9907" spans="1:29" ht="117" x14ac:dyDescent="0.15">
      <c r="A9907" s="3">
        <f>DATE(2011,2,23)</f>
        <v>40597</v>
      </c>
      <c r="B9907" s="3">
        <f>DATE(2011,11,19)</f>
        <v>40866</v>
      </c>
      <c r="C9907" s="2" t="s">
        <v>95</v>
      </c>
      <c r="D9907" s="2" t="s">
        <v>23960</v>
      </c>
      <c r="E9907" s="2" t="s">
        <v>36</v>
      </c>
      <c r="F9907" s="4">
        <v>6021</v>
      </c>
      <c r="G9907" s="2" t="s">
        <v>37</v>
      </c>
      <c r="H9907" s="2" t="s">
        <v>34</v>
      </c>
      <c r="I9907" s="2" t="s">
        <v>29043</v>
      </c>
      <c r="J9907" s="2" t="s">
        <v>21800</v>
      </c>
      <c r="K9907" s="2" t="s">
        <v>37</v>
      </c>
      <c r="L9907" s="2" t="s">
        <v>34</v>
      </c>
      <c r="M9907" s="2"/>
      <c r="N9907" s="6">
        <v>0.04</v>
      </c>
      <c r="O9907" s="6">
        <v>0.04</v>
      </c>
      <c r="P9907" s="2" t="s">
        <v>29044</v>
      </c>
      <c r="Q9907" s="6">
        <v>65.989999999999995</v>
      </c>
      <c r="R9907" s="6">
        <v>4</v>
      </c>
      <c r="S9907" s="5">
        <v>-9.9</v>
      </c>
      <c r="T9907" s="7">
        <v>-12.943</v>
      </c>
      <c r="U9907" s="5">
        <v>5.6</v>
      </c>
      <c r="V9907" s="6">
        <v>-1.21</v>
      </c>
      <c r="W9907" s="6">
        <v>2.08</v>
      </c>
      <c r="X9907" s="6">
        <v>2.0299999999999998</v>
      </c>
      <c r="Y9907" s="6">
        <v>2.17</v>
      </c>
      <c r="Z9907" s="6">
        <v>4.17</v>
      </c>
      <c r="AA9907" s="6">
        <v>28.41</v>
      </c>
      <c r="AB9907" s="2" t="s">
        <v>86</v>
      </c>
      <c r="AC9907" s="2"/>
    </row>
    <row r="9908" spans="1:29" ht="169" x14ac:dyDescent="0.15">
      <c r="A9908" s="3">
        <f>DATE(2011,2,23)</f>
        <v>40597</v>
      </c>
      <c r="B9908" s="3">
        <f>DATE(2011,9,7)</f>
        <v>40793</v>
      </c>
      <c r="C9908" s="2" t="s">
        <v>95</v>
      </c>
      <c r="D9908" s="2" t="s">
        <v>29045</v>
      </c>
      <c r="E9908" s="2" t="s">
        <v>13810</v>
      </c>
      <c r="F9908" s="4">
        <v>4924</v>
      </c>
      <c r="G9908" s="2" t="s">
        <v>439</v>
      </c>
      <c r="H9908" s="2" t="s">
        <v>34</v>
      </c>
      <c r="I9908" s="2" t="s">
        <v>29046</v>
      </c>
      <c r="J9908" s="2" t="s">
        <v>13810</v>
      </c>
      <c r="K9908" s="2" t="s">
        <v>439</v>
      </c>
      <c r="L9908" s="2" t="s">
        <v>34</v>
      </c>
      <c r="M9908" s="2"/>
      <c r="N9908" s="6">
        <v>42.97</v>
      </c>
      <c r="O9908" s="5">
        <v>43.2</v>
      </c>
      <c r="P9908" s="2" t="s">
        <v>29047</v>
      </c>
      <c r="Q9908" s="6">
        <v>41.3</v>
      </c>
      <c r="R9908" s="6">
        <v>43.82</v>
      </c>
      <c r="S9908" s="5">
        <v>87.5</v>
      </c>
      <c r="T9908" s="5">
        <v>-293.7</v>
      </c>
      <c r="U9908" s="5">
        <v>13.1</v>
      </c>
      <c r="V9908" s="6">
        <v>1.52</v>
      </c>
      <c r="W9908" s="6">
        <v>32.54</v>
      </c>
      <c r="X9908" s="6">
        <v>32.56</v>
      </c>
      <c r="Y9908" s="5">
        <v>40.4</v>
      </c>
      <c r="Z9908" s="5">
        <v>40.299999999999997</v>
      </c>
      <c r="AA9908" s="6">
        <v>57.73</v>
      </c>
      <c r="AB9908" s="2" t="s">
        <v>86</v>
      </c>
      <c r="AC9908" s="2"/>
    </row>
    <row r="9909" spans="1:29" ht="65" x14ac:dyDescent="0.15">
      <c r="A9909" s="3">
        <f>DATE(2011,2,23)</f>
        <v>40597</v>
      </c>
      <c r="B9909" s="2"/>
      <c r="C9909" s="2" t="s">
        <v>87</v>
      </c>
      <c r="D9909" s="2" t="s">
        <v>29048</v>
      </c>
      <c r="E9909" s="2" t="s">
        <v>21844</v>
      </c>
      <c r="F9909" s="4">
        <v>7389</v>
      </c>
      <c r="G9909" s="2" t="s">
        <v>223</v>
      </c>
      <c r="H9909" s="2" t="s">
        <v>34</v>
      </c>
      <c r="I9909" s="2" t="s">
        <v>143</v>
      </c>
      <c r="J9909" s="2" t="s">
        <v>144</v>
      </c>
      <c r="K9909" s="2" t="s">
        <v>53</v>
      </c>
      <c r="L9909" s="2" t="s">
        <v>139</v>
      </c>
      <c r="M9909" s="2"/>
      <c r="N9909" s="2"/>
      <c r="O9909" s="2"/>
      <c r="P9909" s="2" t="s">
        <v>29049</v>
      </c>
      <c r="Q9909" s="2"/>
      <c r="R9909" s="2"/>
      <c r="S9909" s="5">
        <v>26.6</v>
      </c>
      <c r="T9909" s="7">
        <v>42.357999999999997</v>
      </c>
      <c r="U9909" s="5">
        <v>8.4</v>
      </c>
      <c r="V9909" s="6">
        <v>0.88</v>
      </c>
      <c r="W9909" s="6">
        <v>21.66</v>
      </c>
      <c r="X9909" s="5">
        <v>21.5</v>
      </c>
      <c r="Y9909" s="6">
        <v>21.37</v>
      </c>
      <c r="Z9909" s="6">
        <v>21.06</v>
      </c>
      <c r="AA9909" s="6">
        <v>29.33</v>
      </c>
      <c r="AB9909" s="2" t="s">
        <v>47</v>
      </c>
      <c r="AC9909" s="2"/>
    </row>
    <row r="9910" spans="1:29" ht="169" x14ac:dyDescent="0.15">
      <c r="A9910" s="3">
        <f>DATE(2011,2,28)</f>
        <v>40602</v>
      </c>
      <c r="B9910" s="3">
        <f>DATE(2011,7,1)</f>
        <v>40725</v>
      </c>
      <c r="C9910" s="2" t="s">
        <v>95</v>
      </c>
      <c r="D9910" s="2" t="s">
        <v>29050</v>
      </c>
      <c r="E9910" s="2" t="s">
        <v>92</v>
      </c>
      <c r="F9910" s="4">
        <v>6798</v>
      </c>
      <c r="G9910" s="2" t="s">
        <v>53</v>
      </c>
      <c r="H9910" s="2" t="s">
        <v>34</v>
      </c>
      <c r="I9910" s="2" t="s">
        <v>21443</v>
      </c>
      <c r="J9910" s="2" t="s">
        <v>92</v>
      </c>
      <c r="K9910" s="2" t="s">
        <v>53</v>
      </c>
      <c r="L9910" s="2" t="s">
        <v>34</v>
      </c>
      <c r="M9910" s="12">
        <v>9035.5720000000001</v>
      </c>
      <c r="N9910" s="6">
        <v>55.42</v>
      </c>
      <c r="O9910" s="6">
        <v>53.01</v>
      </c>
      <c r="P9910" s="2" t="s">
        <v>29051</v>
      </c>
      <c r="Q9910" s="6">
        <v>100</v>
      </c>
      <c r="R9910" s="6">
        <v>44.99</v>
      </c>
      <c r="S9910" s="5">
        <v>125.5</v>
      </c>
      <c r="T9910" s="7">
        <v>268.56299999999999</v>
      </c>
      <c r="U9910" s="5">
        <v>18.2</v>
      </c>
      <c r="V9910" s="6">
        <v>1.01</v>
      </c>
      <c r="W9910" s="6">
        <v>38.31</v>
      </c>
      <c r="X9910" s="6">
        <v>38.96</v>
      </c>
      <c r="Y9910" s="6">
        <v>42.74</v>
      </c>
      <c r="Z9910" s="6">
        <v>40.79</v>
      </c>
      <c r="AA9910" s="6">
        <v>126.25</v>
      </c>
      <c r="AB9910" s="7">
        <v>55.162999999999997</v>
      </c>
      <c r="AC9910" s="6">
        <v>60.75</v>
      </c>
    </row>
    <row r="9911" spans="1:29" ht="91" x14ac:dyDescent="0.15">
      <c r="A9911" s="3">
        <f>DATE(2011,2,28)</f>
        <v>40602</v>
      </c>
      <c r="B9911" s="2"/>
      <c r="C9911" s="2" t="s">
        <v>30</v>
      </c>
      <c r="D9911" s="2" t="s">
        <v>29052</v>
      </c>
      <c r="E9911" s="2" t="s">
        <v>500</v>
      </c>
      <c r="F9911" s="4">
        <v>3677</v>
      </c>
      <c r="G9911" s="2" t="s">
        <v>137</v>
      </c>
      <c r="H9911" s="2" t="s">
        <v>34</v>
      </c>
      <c r="I9911" s="2" t="s">
        <v>5371</v>
      </c>
      <c r="J9911" s="2" t="s">
        <v>3526</v>
      </c>
      <c r="K9911" s="2" t="s">
        <v>137</v>
      </c>
      <c r="L9911" s="2" t="s">
        <v>34</v>
      </c>
      <c r="M9911" s="7">
        <v>286.702</v>
      </c>
      <c r="N9911" s="6">
        <v>24.29</v>
      </c>
      <c r="O9911" s="4">
        <v>24</v>
      </c>
      <c r="P9911" s="2" t="s">
        <v>29053</v>
      </c>
      <c r="Q9911" s="2"/>
      <c r="R9911" s="6">
        <v>6</v>
      </c>
      <c r="S9911" s="5">
        <v>-38.4</v>
      </c>
      <c r="T9911" s="7">
        <v>34.372</v>
      </c>
      <c r="U9911" s="5">
        <v>2.6</v>
      </c>
      <c r="V9911" s="6">
        <v>-7</v>
      </c>
      <c r="W9911" s="6">
        <v>4.3600000000000003</v>
      </c>
      <c r="X9911" s="6">
        <v>4.47</v>
      </c>
      <c r="Y9911" s="6">
        <v>4.3600000000000003</v>
      </c>
      <c r="Z9911" s="6">
        <v>5.45</v>
      </c>
      <c r="AA9911" s="6">
        <v>41.5</v>
      </c>
      <c r="AB9911" s="7">
        <v>4.194</v>
      </c>
      <c r="AC9911" s="6">
        <v>85.54</v>
      </c>
    </row>
    <row r="9912" spans="1:29" ht="104" x14ac:dyDescent="0.15">
      <c r="A9912" s="3">
        <f>DATE(2011,3,3)</f>
        <v>40605</v>
      </c>
      <c r="B9912" s="3">
        <f>DATE(2011,6,3)</f>
        <v>40697</v>
      </c>
      <c r="C9912" s="2" t="s">
        <v>95</v>
      </c>
      <c r="D9912" s="2" t="s">
        <v>5188</v>
      </c>
      <c r="E9912" s="2" t="s">
        <v>5189</v>
      </c>
      <c r="F9912" s="4">
        <v>8099</v>
      </c>
      <c r="G9912" s="2" t="s">
        <v>454</v>
      </c>
      <c r="H9912" s="2" t="s">
        <v>34</v>
      </c>
      <c r="I9912" s="2" t="s">
        <v>29054</v>
      </c>
      <c r="J9912" s="2" t="s">
        <v>302</v>
      </c>
      <c r="K9912" s="2" t="s">
        <v>53</v>
      </c>
      <c r="L9912" s="2" t="s">
        <v>34</v>
      </c>
      <c r="M9912" s="2"/>
      <c r="N9912" s="2"/>
      <c r="O9912" s="2"/>
      <c r="P9912" s="2" t="s">
        <v>29055</v>
      </c>
      <c r="Q9912" s="6">
        <v>100</v>
      </c>
      <c r="R9912" s="6">
        <v>26</v>
      </c>
      <c r="S9912" s="5">
        <v>9.5</v>
      </c>
      <c r="T9912" s="7">
        <v>22.030999999999999</v>
      </c>
      <c r="U9912" s="5">
        <v>6</v>
      </c>
      <c r="V9912" s="6">
        <v>1.0900000000000001</v>
      </c>
      <c r="W9912" s="6">
        <v>17.54</v>
      </c>
      <c r="X9912" s="6">
        <v>17.489999999999998</v>
      </c>
      <c r="Y9912" s="6">
        <v>25.65</v>
      </c>
      <c r="Z9912" s="6">
        <v>25.65</v>
      </c>
      <c r="AA9912" s="6">
        <v>9.3000000000000007</v>
      </c>
      <c r="AB9912" s="7">
        <v>10.869</v>
      </c>
      <c r="AC9912" s="2"/>
    </row>
    <row r="9913" spans="1:29" ht="91" x14ac:dyDescent="0.15">
      <c r="A9913" s="3">
        <f>DATE(2011,3,3)</f>
        <v>40605</v>
      </c>
      <c r="B9913" s="3">
        <f>DATE(2011,4,1)</f>
        <v>40634</v>
      </c>
      <c r="C9913" s="2" t="s">
        <v>95</v>
      </c>
      <c r="D9913" s="2" t="s">
        <v>29056</v>
      </c>
      <c r="E9913" s="2" t="s">
        <v>29057</v>
      </c>
      <c r="F9913" s="4">
        <v>9661</v>
      </c>
      <c r="G9913" s="2" t="s">
        <v>8457</v>
      </c>
      <c r="H9913" s="2" t="s">
        <v>34</v>
      </c>
      <c r="I9913" s="2" t="s">
        <v>29058</v>
      </c>
      <c r="J9913" s="2" t="s">
        <v>302</v>
      </c>
      <c r="K9913" s="2" t="s">
        <v>53</v>
      </c>
      <c r="L9913" s="2" t="s">
        <v>34</v>
      </c>
      <c r="M9913" s="2"/>
      <c r="N9913" s="2"/>
      <c r="O9913" s="2"/>
      <c r="P9913" s="2" t="s">
        <v>29059</v>
      </c>
      <c r="Q9913" s="6">
        <v>100</v>
      </c>
      <c r="R9913" s="6">
        <v>24.25</v>
      </c>
      <c r="S9913" s="5">
        <v>8.8000000000000007</v>
      </c>
      <c r="T9913" s="7">
        <v>20.795999999999999</v>
      </c>
      <c r="U9913" s="5">
        <v>10.5</v>
      </c>
      <c r="V9913" s="6">
        <v>0.96</v>
      </c>
      <c r="W9913" s="6">
        <v>16.41</v>
      </c>
      <c r="X9913" s="6">
        <v>16.079999999999998</v>
      </c>
      <c r="Y9913" s="6">
        <v>24.25</v>
      </c>
      <c r="Z9913" s="6">
        <v>24.25</v>
      </c>
      <c r="AA9913" s="6">
        <v>9.15</v>
      </c>
      <c r="AB9913" s="7">
        <v>18.823</v>
      </c>
      <c r="AC9913" s="2"/>
    </row>
    <row r="9914" spans="1:29" ht="130" x14ac:dyDescent="0.15">
      <c r="A9914" s="3">
        <f>DATE(2011,3,7)</f>
        <v>40609</v>
      </c>
      <c r="B9914" s="2"/>
      <c r="C9914" s="2" t="s">
        <v>87</v>
      </c>
      <c r="D9914" s="2" t="s">
        <v>29060</v>
      </c>
      <c r="E9914" s="2" t="s">
        <v>29061</v>
      </c>
      <c r="F9914" s="4">
        <v>3562</v>
      </c>
      <c r="G9914" s="2" t="s">
        <v>300</v>
      </c>
      <c r="H9914" s="2" t="s">
        <v>34</v>
      </c>
      <c r="I9914" s="2" t="s">
        <v>143</v>
      </c>
      <c r="J9914" s="2" t="s">
        <v>144</v>
      </c>
      <c r="K9914" s="2" t="s">
        <v>53</v>
      </c>
      <c r="L9914" s="2" t="s">
        <v>139</v>
      </c>
      <c r="M9914" s="2"/>
      <c r="N9914" s="2"/>
      <c r="O9914" s="2"/>
      <c r="P9914" s="2" t="s">
        <v>29062</v>
      </c>
      <c r="Q9914" s="2"/>
      <c r="R9914" s="2"/>
      <c r="S9914" s="5">
        <v>161</v>
      </c>
      <c r="T9914" s="5">
        <v>625</v>
      </c>
      <c r="U9914" s="5">
        <v>12.9</v>
      </c>
      <c r="V9914" s="6">
        <v>1.62</v>
      </c>
      <c r="W9914" s="6">
        <v>21.01</v>
      </c>
      <c r="X9914" s="6">
        <v>23.14</v>
      </c>
      <c r="Y9914" s="6">
        <v>24.62</v>
      </c>
      <c r="Z9914" s="6">
        <v>24.98</v>
      </c>
      <c r="AA9914" s="6">
        <v>98.9</v>
      </c>
      <c r="AB9914" s="2" t="s">
        <v>47</v>
      </c>
      <c r="AC9914" s="2"/>
    </row>
    <row r="9915" spans="1:29" ht="78" x14ac:dyDescent="0.15">
      <c r="A9915" s="3">
        <f>DATE(2011,3,7)</f>
        <v>40609</v>
      </c>
      <c r="B9915" s="2"/>
      <c r="C9915" s="2" t="s">
        <v>87</v>
      </c>
      <c r="D9915" s="2" t="s">
        <v>29063</v>
      </c>
      <c r="E9915" s="2" t="s">
        <v>29064</v>
      </c>
      <c r="F9915" s="4">
        <v>6231</v>
      </c>
      <c r="G9915" s="2" t="s">
        <v>53</v>
      </c>
      <c r="H9915" s="2" t="s">
        <v>34</v>
      </c>
      <c r="I9915" s="2" t="s">
        <v>29065</v>
      </c>
      <c r="J9915" s="2" t="s">
        <v>29066</v>
      </c>
      <c r="K9915" s="2" t="s">
        <v>53</v>
      </c>
      <c r="L9915" s="2" t="s">
        <v>303</v>
      </c>
      <c r="M9915" s="12">
        <v>3860.5920000000001</v>
      </c>
      <c r="N9915" s="7">
        <v>14.268000000000001</v>
      </c>
      <c r="O9915" s="7">
        <v>14.228</v>
      </c>
      <c r="P9915" s="2" t="s">
        <v>29067</v>
      </c>
      <c r="Q9915" s="2"/>
      <c r="R9915" s="2"/>
      <c r="S9915" s="5">
        <v>394</v>
      </c>
      <c r="T9915" s="5">
        <v>778</v>
      </c>
      <c r="U9915" s="5">
        <v>26.8</v>
      </c>
      <c r="V9915" s="6">
        <v>1.91</v>
      </c>
      <c r="W9915" s="6">
        <v>28.61</v>
      </c>
      <c r="X9915" s="6">
        <v>28.02</v>
      </c>
      <c r="Y9915" s="6">
        <v>28.24</v>
      </c>
      <c r="Z9915" s="6">
        <v>28.38</v>
      </c>
      <c r="AA9915" s="6">
        <v>176.19</v>
      </c>
      <c r="AB9915" s="2" t="s">
        <v>47</v>
      </c>
      <c r="AC9915" s="6">
        <v>354.04</v>
      </c>
    </row>
    <row r="9916" spans="1:29" ht="156" x14ac:dyDescent="0.15">
      <c r="A9916" s="3">
        <f>DATE(2011,3,7)</f>
        <v>40609</v>
      </c>
      <c r="B9916" s="3">
        <f>DATE(2011,6,13)</f>
        <v>40707</v>
      </c>
      <c r="C9916" s="2" t="s">
        <v>95</v>
      </c>
      <c r="D9916" s="2" t="s">
        <v>29068</v>
      </c>
      <c r="E9916" s="2" t="s">
        <v>29069</v>
      </c>
      <c r="F9916" s="4">
        <v>3845</v>
      </c>
      <c r="G9916" s="2" t="s">
        <v>226</v>
      </c>
      <c r="H9916" s="2" t="s">
        <v>34</v>
      </c>
      <c r="I9916" s="2" t="s">
        <v>29070</v>
      </c>
      <c r="J9916" s="2" t="s">
        <v>29071</v>
      </c>
      <c r="K9916" s="2" t="s">
        <v>226</v>
      </c>
      <c r="L9916" s="2" t="s">
        <v>34</v>
      </c>
      <c r="M9916" s="2"/>
      <c r="N9916" s="4">
        <v>9</v>
      </c>
      <c r="O9916" s="6">
        <v>8.84</v>
      </c>
      <c r="P9916" s="2" t="s">
        <v>29072</v>
      </c>
      <c r="Q9916" s="6">
        <v>100</v>
      </c>
      <c r="R9916" s="6">
        <v>4.8</v>
      </c>
      <c r="S9916" s="5">
        <v>-29.9</v>
      </c>
      <c r="T9916" s="7">
        <v>-28.638000000000002</v>
      </c>
      <c r="U9916" s="5">
        <v>2.9</v>
      </c>
      <c r="V9916" s="6">
        <v>-0.57999999999999996</v>
      </c>
      <c r="W9916" s="6">
        <v>3.56</v>
      </c>
      <c r="X9916" s="6">
        <v>3.67</v>
      </c>
      <c r="Y9916" s="6">
        <v>4.57</v>
      </c>
      <c r="Z9916" s="7">
        <v>4.5179999999999998</v>
      </c>
      <c r="AA9916" s="6">
        <v>56.12</v>
      </c>
      <c r="AB9916" s="2" t="s">
        <v>86</v>
      </c>
      <c r="AC9916" s="2"/>
    </row>
    <row r="9917" spans="1:29" ht="65" x14ac:dyDescent="0.15">
      <c r="A9917" s="3">
        <f>DATE(2011,3,8)</f>
        <v>40610</v>
      </c>
      <c r="B9917" s="2"/>
      <c r="C9917" s="2" t="s">
        <v>87</v>
      </c>
      <c r="D9917" s="2" t="s">
        <v>29073</v>
      </c>
      <c r="E9917" s="2" t="s">
        <v>854</v>
      </c>
      <c r="F9917" s="4">
        <v>6321</v>
      </c>
      <c r="G9917" s="2" t="s">
        <v>125</v>
      </c>
      <c r="H9917" s="2" t="s">
        <v>34</v>
      </c>
      <c r="I9917" s="2" t="s">
        <v>29074</v>
      </c>
      <c r="J9917" s="2" t="s">
        <v>29075</v>
      </c>
      <c r="K9917" s="2" t="s">
        <v>125</v>
      </c>
      <c r="L9917" s="2" t="s">
        <v>902</v>
      </c>
      <c r="M9917" s="12">
        <v>19452.537</v>
      </c>
      <c r="N9917" s="6">
        <v>32.090000000000003</v>
      </c>
      <c r="O9917" s="7">
        <v>32.094999999999999</v>
      </c>
      <c r="P9917" s="2" t="s">
        <v>29076</v>
      </c>
      <c r="Q9917" s="2"/>
      <c r="R9917" s="2"/>
      <c r="S9917" s="5">
        <v>886.1</v>
      </c>
      <c r="T9917" s="8">
        <v>1564.4</v>
      </c>
      <c r="U9917" s="5">
        <v>27</v>
      </c>
      <c r="V9917" s="6">
        <v>2.71</v>
      </c>
      <c r="W9917" s="6">
        <v>26.14</v>
      </c>
      <c r="X9917" s="6">
        <v>25.81</v>
      </c>
      <c r="Y9917" s="6">
        <v>26.44</v>
      </c>
      <c r="Z9917" s="6">
        <v>26.49</v>
      </c>
      <c r="AA9917" s="6">
        <v>317.14</v>
      </c>
      <c r="AB9917" s="2" t="s">
        <v>47</v>
      </c>
      <c r="AC9917" s="10">
        <v>3617.32</v>
      </c>
    </row>
    <row r="9918" spans="1:29" ht="78" x14ac:dyDescent="0.15">
      <c r="A9918" s="3">
        <f>DATE(2011,3,10)</f>
        <v>40612</v>
      </c>
      <c r="B9918" s="3">
        <f>DATE(2011,8,30)</f>
        <v>40785</v>
      </c>
      <c r="C9918" s="2" t="s">
        <v>95</v>
      </c>
      <c r="D9918" s="2" t="s">
        <v>29077</v>
      </c>
      <c r="E9918" s="2" t="s">
        <v>1181</v>
      </c>
      <c r="F9918" s="4">
        <v>6021</v>
      </c>
      <c r="G9918" s="2" t="s">
        <v>37</v>
      </c>
      <c r="H9918" s="2" t="s">
        <v>34</v>
      </c>
      <c r="I9918" s="2" t="s">
        <v>28412</v>
      </c>
      <c r="J9918" s="2" t="s">
        <v>28413</v>
      </c>
      <c r="K9918" s="2" t="s">
        <v>37</v>
      </c>
      <c r="L9918" s="2" t="s">
        <v>34</v>
      </c>
      <c r="M9918" s="2"/>
      <c r="N9918" s="2"/>
      <c r="O9918" s="2"/>
      <c r="P9918" s="2" t="s">
        <v>29078</v>
      </c>
      <c r="Q9918" s="6">
        <v>100</v>
      </c>
      <c r="R9918" s="6">
        <v>12.01</v>
      </c>
      <c r="S9918" s="2"/>
      <c r="T9918" s="2"/>
      <c r="U9918" s="2"/>
      <c r="V9918" s="2"/>
      <c r="W9918" s="4">
        <v>7</v>
      </c>
      <c r="X9918" s="4">
        <v>7</v>
      </c>
      <c r="Y9918" s="4">
        <v>7</v>
      </c>
      <c r="Z9918" s="6">
        <v>11.25</v>
      </c>
      <c r="AA9918" s="6">
        <v>2.15</v>
      </c>
      <c r="AB9918" s="2" t="s">
        <v>47</v>
      </c>
      <c r="AC9918" s="2"/>
    </row>
    <row r="9919" spans="1:29" ht="78" x14ac:dyDescent="0.15">
      <c r="A9919" s="3">
        <f>DATE(2011,3,10)</f>
        <v>40612</v>
      </c>
      <c r="B9919" s="3">
        <f>DATE(2011,5,2)</f>
        <v>40665</v>
      </c>
      <c r="C9919" s="2" t="s">
        <v>95</v>
      </c>
      <c r="D9919" s="2" t="s">
        <v>22036</v>
      </c>
      <c r="E9919" s="2" t="s">
        <v>22037</v>
      </c>
      <c r="F9919" s="4">
        <v>3944</v>
      </c>
      <c r="G9919" s="2" t="s">
        <v>112</v>
      </c>
      <c r="H9919" s="2" t="s">
        <v>34</v>
      </c>
      <c r="I9919" s="2" t="s">
        <v>29079</v>
      </c>
      <c r="J9919" s="2" t="s">
        <v>29080</v>
      </c>
      <c r="K9919" s="2" t="s">
        <v>112</v>
      </c>
      <c r="L9919" s="2" t="s">
        <v>99</v>
      </c>
      <c r="M9919" s="2"/>
      <c r="N9919" s="2"/>
      <c r="O9919" s="2"/>
      <c r="P9919" s="2" t="s">
        <v>29081</v>
      </c>
      <c r="Q9919" s="6">
        <v>100</v>
      </c>
      <c r="R9919" s="6">
        <v>27.9</v>
      </c>
      <c r="S9919" s="5">
        <v>29.7</v>
      </c>
      <c r="T9919" s="7">
        <v>59.392000000000003</v>
      </c>
      <c r="U9919" s="5">
        <v>13.1</v>
      </c>
      <c r="V9919" s="6">
        <v>1.34</v>
      </c>
      <c r="W9919" s="6">
        <v>21.86</v>
      </c>
      <c r="X9919" s="6">
        <v>21.93</v>
      </c>
      <c r="Y9919" s="6">
        <v>25.51</v>
      </c>
      <c r="Z9919" s="6">
        <v>28.31</v>
      </c>
      <c r="AA9919" s="6">
        <v>21.66</v>
      </c>
      <c r="AB9919" s="7">
        <v>12.862</v>
      </c>
      <c r="AC9919" s="2"/>
    </row>
    <row r="9920" spans="1:29" ht="221" x14ac:dyDescent="0.15">
      <c r="A9920" s="3">
        <f>DATE(2011,3,11)</f>
        <v>40613</v>
      </c>
      <c r="B9920" s="2"/>
      <c r="C9920" s="2" t="s">
        <v>30</v>
      </c>
      <c r="D9920" s="2" t="s">
        <v>11528</v>
      </c>
      <c r="E9920" s="2" t="s">
        <v>11529</v>
      </c>
      <c r="F9920" s="4">
        <v>5331</v>
      </c>
      <c r="G9920" s="2" t="s">
        <v>756</v>
      </c>
      <c r="H9920" s="2" t="s">
        <v>34</v>
      </c>
      <c r="I9920" s="2" t="s">
        <v>51</v>
      </c>
      <c r="J9920" s="2" t="s">
        <v>52</v>
      </c>
      <c r="K9920" s="2" t="s">
        <v>53</v>
      </c>
      <c r="L9920" s="2" t="s">
        <v>34</v>
      </c>
      <c r="M9920" s="2"/>
      <c r="N9920" s="2"/>
      <c r="O9920" s="2"/>
      <c r="P9920" s="2" t="s">
        <v>29082</v>
      </c>
      <c r="Q9920" s="2"/>
      <c r="R9920" s="6">
        <v>19.09</v>
      </c>
      <c r="S9920" s="2"/>
      <c r="T9920" s="2"/>
      <c r="U9920" s="5">
        <v>9.5</v>
      </c>
      <c r="V9920" s="2"/>
      <c r="W9920" s="6">
        <v>16.260000000000002</v>
      </c>
      <c r="X9920" s="6">
        <v>16.68</v>
      </c>
      <c r="Y9920" s="6">
        <v>19.579999999999998</v>
      </c>
      <c r="Z9920" s="6">
        <v>19.66</v>
      </c>
      <c r="AA9920" s="6">
        <v>70.08</v>
      </c>
      <c r="AB9920" s="2" t="s">
        <v>47</v>
      </c>
      <c r="AC9920" s="2"/>
    </row>
    <row r="9921" spans="1:29" ht="169" x14ac:dyDescent="0.15">
      <c r="A9921" s="3">
        <f>DATE(2011,3,12)</f>
        <v>40614</v>
      </c>
      <c r="B9921" s="3">
        <f>DATE(2011,7,6)</f>
        <v>40730</v>
      </c>
      <c r="C9921" s="2" t="s">
        <v>95</v>
      </c>
      <c r="D9921" s="2" t="s">
        <v>29083</v>
      </c>
      <c r="E9921" s="2" t="s">
        <v>8589</v>
      </c>
      <c r="F9921" s="4">
        <v>7372</v>
      </c>
      <c r="G9921" s="2" t="s">
        <v>551</v>
      </c>
      <c r="H9921" s="2" t="s">
        <v>34</v>
      </c>
      <c r="I9921" s="2" t="s">
        <v>29084</v>
      </c>
      <c r="J9921" s="2" t="s">
        <v>302</v>
      </c>
      <c r="K9921" s="2" t="s">
        <v>53</v>
      </c>
      <c r="L9921" s="2" t="s">
        <v>34</v>
      </c>
      <c r="M9921" s="2"/>
      <c r="N9921" s="2"/>
      <c r="O9921" s="2"/>
      <c r="P9921" s="2" t="s">
        <v>29085</v>
      </c>
      <c r="Q9921" s="6">
        <v>100</v>
      </c>
      <c r="R9921" s="6">
        <v>11.25</v>
      </c>
      <c r="S9921" s="5">
        <v>25.9</v>
      </c>
      <c r="T9921" s="7">
        <v>115.979</v>
      </c>
      <c r="U9921" s="5">
        <v>4.2</v>
      </c>
      <c r="V9921" s="6">
        <v>0.16</v>
      </c>
      <c r="W9921" s="6">
        <v>9.86</v>
      </c>
      <c r="X9921" s="6">
        <v>9.8800000000000008</v>
      </c>
      <c r="Y9921" s="6">
        <v>11.19</v>
      </c>
      <c r="Z9921" s="6">
        <v>11.45</v>
      </c>
      <c r="AA9921" s="6">
        <v>175.13</v>
      </c>
      <c r="AB9921" s="7">
        <v>30.242000000000001</v>
      </c>
      <c r="AC9921" s="2"/>
    </row>
    <row r="9922" spans="1:29" ht="52" x14ac:dyDescent="0.15">
      <c r="A9922" s="3">
        <f>DATE(2011,3,12)</f>
        <v>40614</v>
      </c>
      <c r="B9922" s="2"/>
      <c r="C9922" s="2" t="s">
        <v>39</v>
      </c>
      <c r="D9922" s="2" t="s">
        <v>19625</v>
      </c>
      <c r="E9922" s="2" t="s">
        <v>26835</v>
      </c>
      <c r="F9922" s="4">
        <v>7372</v>
      </c>
      <c r="G9922" s="2" t="s">
        <v>551</v>
      </c>
      <c r="H9922" s="2" t="s">
        <v>34</v>
      </c>
      <c r="I9922" s="2" t="s">
        <v>21668</v>
      </c>
      <c r="J9922" s="2" t="s">
        <v>21669</v>
      </c>
      <c r="K9922" s="2" t="s">
        <v>50</v>
      </c>
      <c r="L9922" s="2" t="s">
        <v>34</v>
      </c>
      <c r="M9922" s="12">
        <v>105253.607</v>
      </c>
      <c r="N9922" s="6">
        <v>41.49</v>
      </c>
      <c r="O9922" s="6">
        <v>41.49</v>
      </c>
      <c r="P9922" s="2" t="s">
        <v>29086</v>
      </c>
      <c r="Q9922" s="2"/>
      <c r="R9922" s="2"/>
      <c r="S9922" s="5">
        <v>83.6</v>
      </c>
      <c r="T9922" s="7">
        <v>176.214</v>
      </c>
      <c r="U9922" s="5">
        <v>5.0999999999999996</v>
      </c>
      <c r="V9922" s="6">
        <v>0.49</v>
      </c>
      <c r="W9922" s="7">
        <v>25.125</v>
      </c>
      <c r="X9922" s="6">
        <v>23.97</v>
      </c>
      <c r="Y9922" s="6">
        <v>23.93</v>
      </c>
      <c r="Z9922" s="6">
        <v>23.93</v>
      </c>
      <c r="AA9922" s="6">
        <v>165.93</v>
      </c>
      <c r="AB9922" s="2" t="s">
        <v>47</v>
      </c>
      <c r="AC9922" s="8">
        <v>10062</v>
      </c>
    </row>
    <row r="9923" spans="1:29" ht="169" x14ac:dyDescent="0.15">
      <c r="A9923" s="3">
        <f>DATE(2011,3,13)</f>
        <v>40615</v>
      </c>
      <c r="B9923" s="3">
        <f>DATE(2011,7,1)</f>
        <v>40725</v>
      </c>
      <c r="C9923" s="2" t="s">
        <v>95</v>
      </c>
      <c r="D9923" s="2" t="s">
        <v>29087</v>
      </c>
      <c r="E9923" s="2" t="s">
        <v>29088</v>
      </c>
      <c r="F9923" s="4">
        <v>4449</v>
      </c>
      <c r="G9923" s="2" t="s">
        <v>173</v>
      </c>
      <c r="H9923" s="2" t="s">
        <v>34</v>
      </c>
      <c r="I9923" s="2" t="s">
        <v>29089</v>
      </c>
      <c r="J9923" s="2" t="s">
        <v>29090</v>
      </c>
      <c r="K9923" s="2" t="s">
        <v>173</v>
      </c>
      <c r="L9923" s="2" t="s">
        <v>34</v>
      </c>
      <c r="M9923" s="10">
        <v>2672.13</v>
      </c>
      <c r="N9923" s="6">
        <v>56.33</v>
      </c>
      <c r="O9923" s="6">
        <v>56.33</v>
      </c>
      <c r="P9923" s="2" t="s">
        <v>29091</v>
      </c>
      <c r="Q9923" s="6">
        <v>100</v>
      </c>
      <c r="R9923" s="6">
        <v>8.15</v>
      </c>
      <c r="S9923" s="5">
        <v>-78.3</v>
      </c>
      <c r="T9923" s="7">
        <v>55.179000000000002</v>
      </c>
      <c r="U9923" s="5">
        <v>11.8</v>
      </c>
      <c r="V9923" s="6">
        <v>-4.37</v>
      </c>
      <c r="W9923" s="6">
        <v>6.34</v>
      </c>
      <c r="X9923" s="6">
        <v>6.47</v>
      </c>
      <c r="Y9923" s="6">
        <v>8.17</v>
      </c>
      <c r="Z9923" s="6">
        <v>8.17</v>
      </c>
      <c r="AA9923" s="6">
        <v>19.16</v>
      </c>
      <c r="AB9923" s="2" t="s">
        <v>86</v>
      </c>
      <c r="AC9923" s="5">
        <v>195.6</v>
      </c>
    </row>
    <row r="9924" spans="1:29" ht="104" x14ac:dyDescent="0.15">
      <c r="A9924" s="3">
        <f>DATE(2011,3,14)</f>
        <v>40616</v>
      </c>
      <c r="B9924" s="3">
        <f>DATE(2011,6,10)</f>
        <v>40704</v>
      </c>
      <c r="C9924" s="2" t="s">
        <v>95</v>
      </c>
      <c r="D9924" s="2" t="s">
        <v>29092</v>
      </c>
      <c r="E9924" s="2" t="s">
        <v>29093</v>
      </c>
      <c r="F9924" s="4">
        <v>5191</v>
      </c>
      <c r="G9924" s="2" t="s">
        <v>593</v>
      </c>
      <c r="H9924" s="2" t="s">
        <v>34</v>
      </c>
      <c r="I9924" s="2" t="s">
        <v>29094</v>
      </c>
      <c r="J9924" s="2" t="s">
        <v>29093</v>
      </c>
      <c r="K9924" s="2" t="s">
        <v>593</v>
      </c>
      <c r="L9924" s="2" t="s">
        <v>34</v>
      </c>
      <c r="M9924" s="2"/>
      <c r="N9924" s="2"/>
      <c r="O9924" s="2"/>
      <c r="P9924" s="2" t="s">
        <v>29095</v>
      </c>
      <c r="Q9924" s="6">
        <v>100</v>
      </c>
      <c r="R9924" s="6">
        <v>4.25</v>
      </c>
      <c r="S9924" s="5">
        <v>2.1</v>
      </c>
      <c r="T9924" s="7">
        <v>21.331</v>
      </c>
      <c r="U9924" s="5">
        <v>2.8</v>
      </c>
      <c r="V9924" s="6">
        <v>0.08</v>
      </c>
      <c r="W9924" s="6">
        <v>3.84</v>
      </c>
      <c r="X9924" s="6">
        <v>3.83</v>
      </c>
      <c r="Y9924" s="6">
        <v>4.1900000000000004</v>
      </c>
      <c r="Z9924" s="6">
        <v>4.1900000000000004</v>
      </c>
      <c r="AA9924" s="6">
        <v>24.33</v>
      </c>
      <c r="AB9924" s="7">
        <v>18.594999999999999</v>
      </c>
      <c r="AC9924" s="2"/>
    </row>
    <row r="9925" spans="1:29" ht="78" x14ac:dyDescent="0.15">
      <c r="A9925" s="3">
        <f>DATE(2011,3,14)</f>
        <v>40616</v>
      </c>
      <c r="B9925" s="3">
        <f>DATE(2011,9,16)</f>
        <v>40802</v>
      </c>
      <c r="C9925" s="2" t="s">
        <v>95</v>
      </c>
      <c r="D9925" s="2" t="s">
        <v>29096</v>
      </c>
      <c r="E9925" s="2" t="s">
        <v>11833</v>
      </c>
      <c r="F9925" s="4">
        <v>2869</v>
      </c>
      <c r="G9925" s="2" t="s">
        <v>98</v>
      </c>
      <c r="H9925" s="2" t="s">
        <v>34</v>
      </c>
      <c r="I9925" s="2" t="s">
        <v>6692</v>
      </c>
      <c r="J9925" s="2" t="s">
        <v>515</v>
      </c>
      <c r="K9925" s="2" t="s">
        <v>125</v>
      </c>
      <c r="L9925" s="2" t="s">
        <v>34</v>
      </c>
      <c r="M9925" s="12">
        <v>135374218.86700001</v>
      </c>
      <c r="N9925" s="4">
        <v>126400</v>
      </c>
      <c r="O9925" s="4">
        <v>123600</v>
      </c>
      <c r="P9925" s="2" t="s">
        <v>29097</v>
      </c>
      <c r="Q9925" s="6">
        <v>100</v>
      </c>
      <c r="R9925" s="6">
        <v>135</v>
      </c>
      <c r="S9925" s="5">
        <v>732.2</v>
      </c>
      <c r="T9925" s="8">
        <v>1252.5</v>
      </c>
      <c r="U9925" s="5">
        <v>34.299999999999997</v>
      </c>
      <c r="V9925" s="6">
        <v>10.64</v>
      </c>
      <c r="W9925" s="6">
        <v>105.18</v>
      </c>
      <c r="X9925" s="6">
        <v>105.44</v>
      </c>
      <c r="Y9925" s="6">
        <v>134.68</v>
      </c>
      <c r="Z9925" s="6">
        <v>133.77000000000001</v>
      </c>
      <c r="AA9925" s="6">
        <v>64.08</v>
      </c>
      <c r="AB9925" s="7">
        <v>8.5310000000000006</v>
      </c>
      <c r="AC9925" s="8">
        <v>38801</v>
      </c>
    </row>
    <row r="9926" spans="1:29" ht="52" x14ac:dyDescent="0.15">
      <c r="A9926" s="3">
        <f>DATE(2011,3,16)</f>
        <v>40618</v>
      </c>
      <c r="B9926" s="2"/>
      <c r="C9926" s="2" t="s">
        <v>87</v>
      </c>
      <c r="D9926" s="2" t="s">
        <v>27868</v>
      </c>
      <c r="E9926" s="2" t="s">
        <v>13759</v>
      </c>
      <c r="F9926" s="4">
        <v>2095</v>
      </c>
      <c r="G9926" s="2" t="s">
        <v>577</v>
      </c>
      <c r="H9926" s="2" t="s">
        <v>34</v>
      </c>
      <c r="I9926" s="2" t="s">
        <v>29098</v>
      </c>
      <c r="J9926" s="2" t="s">
        <v>29099</v>
      </c>
      <c r="K9926" s="2" t="s">
        <v>230</v>
      </c>
      <c r="L9926" s="2" t="s">
        <v>34</v>
      </c>
      <c r="M9926" s="10">
        <v>25043.22</v>
      </c>
      <c r="N9926" s="4">
        <v>35</v>
      </c>
      <c r="O9926" s="6">
        <v>35.090000000000003</v>
      </c>
      <c r="P9926" s="2" t="s">
        <v>29100</v>
      </c>
      <c r="Q9926" s="2"/>
      <c r="R9926" s="2"/>
      <c r="S9926" s="5">
        <v>17.5</v>
      </c>
      <c r="T9926" s="7">
        <v>46.374000000000002</v>
      </c>
      <c r="U9926" s="5">
        <v>13.2</v>
      </c>
      <c r="V9926" s="6">
        <v>1.28</v>
      </c>
      <c r="W9926" s="6">
        <v>48.05</v>
      </c>
      <c r="X9926" s="4">
        <v>46</v>
      </c>
      <c r="Y9926" s="6">
        <v>46.71</v>
      </c>
      <c r="Z9926" s="6">
        <v>46.47</v>
      </c>
      <c r="AA9926" s="6">
        <v>13.08</v>
      </c>
      <c r="AB9926" s="2" t="s">
        <v>47</v>
      </c>
      <c r="AC9926" s="8">
        <v>2050.6</v>
      </c>
    </row>
    <row r="9927" spans="1:29" ht="91" x14ac:dyDescent="0.15">
      <c r="A9927" s="3">
        <f>DATE(2011,3,17)</f>
        <v>40619</v>
      </c>
      <c r="B9927" s="2"/>
      <c r="C9927" s="2" t="s">
        <v>30</v>
      </c>
      <c r="D9927" s="2" t="s">
        <v>29101</v>
      </c>
      <c r="E9927" s="2" t="s">
        <v>16971</v>
      </c>
      <c r="F9927" s="4">
        <v>3825</v>
      </c>
      <c r="G9927" s="2" t="s">
        <v>226</v>
      </c>
      <c r="H9927" s="2" t="s">
        <v>34</v>
      </c>
      <c r="I9927" s="2" t="s">
        <v>29102</v>
      </c>
      <c r="J9927" s="2" t="s">
        <v>29103</v>
      </c>
      <c r="K9927" s="2" t="s">
        <v>98</v>
      </c>
      <c r="L9927" s="2" t="s">
        <v>1049</v>
      </c>
      <c r="M9927" s="7">
        <v>199.477</v>
      </c>
      <c r="N9927" s="7">
        <v>35.603999999999999</v>
      </c>
      <c r="O9927" s="7">
        <v>34.881999999999998</v>
      </c>
      <c r="P9927" s="2" t="s">
        <v>29104</v>
      </c>
      <c r="Q9927" s="2"/>
      <c r="R9927" s="6">
        <v>2.2000000000000002</v>
      </c>
      <c r="S9927" s="5">
        <v>2.1</v>
      </c>
      <c r="T9927" s="7">
        <v>11.204000000000001</v>
      </c>
      <c r="U9927" s="5">
        <v>2.4</v>
      </c>
      <c r="V9927" s="6">
        <v>0.06</v>
      </c>
      <c r="W9927" s="5">
        <v>1.7</v>
      </c>
      <c r="X9927" s="6">
        <v>1.59</v>
      </c>
      <c r="Y9927" s="6">
        <v>2.02</v>
      </c>
      <c r="Z9927" s="4">
        <v>2</v>
      </c>
      <c r="AA9927" s="6">
        <v>33.64</v>
      </c>
      <c r="AB9927" s="7">
        <v>15.114000000000001</v>
      </c>
      <c r="AC9927" s="6">
        <v>39.43</v>
      </c>
    </row>
    <row r="9928" spans="1:29" ht="78" x14ac:dyDescent="0.15">
      <c r="A9928" s="3">
        <f>DATE(2011,3,18)</f>
        <v>40620</v>
      </c>
      <c r="B9928" s="3">
        <f>DATE(2011,5,4)</f>
        <v>40667</v>
      </c>
      <c r="C9928" s="2" t="s">
        <v>95</v>
      </c>
      <c r="D9928" s="2" t="s">
        <v>29105</v>
      </c>
      <c r="E9928" s="2" t="s">
        <v>18991</v>
      </c>
      <c r="F9928" s="4">
        <v>8731</v>
      </c>
      <c r="G9928" s="2" t="s">
        <v>223</v>
      </c>
      <c r="H9928" s="2" t="s">
        <v>34</v>
      </c>
      <c r="I9928" s="2" t="s">
        <v>29106</v>
      </c>
      <c r="J9928" s="2" t="s">
        <v>18730</v>
      </c>
      <c r="K9928" s="2" t="s">
        <v>454</v>
      </c>
      <c r="L9928" s="2" t="s">
        <v>34</v>
      </c>
      <c r="M9928" s="2"/>
      <c r="N9928" s="2"/>
      <c r="O9928" s="2"/>
      <c r="P9928" s="2" t="s">
        <v>29107</v>
      </c>
      <c r="Q9928" s="6">
        <v>100</v>
      </c>
      <c r="R9928" s="6">
        <v>8</v>
      </c>
      <c r="S9928" s="5">
        <v>24.6</v>
      </c>
      <c r="T9928" s="7">
        <v>-18.756</v>
      </c>
      <c r="U9928" s="5">
        <v>6.9</v>
      </c>
      <c r="V9928" s="6">
        <v>-0.3</v>
      </c>
      <c r="W9928" s="5">
        <v>6.3</v>
      </c>
      <c r="X9928" s="6">
        <v>6.27</v>
      </c>
      <c r="Y9928" s="5">
        <v>8.4</v>
      </c>
      <c r="Z9928" s="6">
        <v>8.2100000000000009</v>
      </c>
      <c r="AA9928" s="6">
        <v>82.11</v>
      </c>
      <c r="AB9928" s="2" t="s">
        <v>86</v>
      </c>
      <c r="AC9928" s="2"/>
    </row>
    <row r="9929" spans="1:29" ht="91" x14ac:dyDescent="0.15">
      <c r="A9929" s="3">
        <f>DATE(2011,3,18)</f>
        <v>40620</v>
      </c>
      <c r="B9929" s="2"/>
      <c r="C9929" s="2" t="s">
        <v>30</v>
      </c>
      <c r="D9929" s="2" t="s">
        <v>29108</v>
      </c>
      <c r="E9929" s="2" t="s">
        <v>29109</v>
      </c>
      <c r="F9929" s="4">
        <v>6211</v>
      </c>
      <c r="G9929" s="2" t="s">
        <v>53</v>
      </c>
      <c r="H9929" s="2" t="s">
        <v>34</v>
      </c>
      <c r="I9929" s="2" t="s">
        <v>29110</v>
      </c>
      <c r="J9929" s="2" t="s">
        <v>11805</v>
      </c>
      <c r="K9929" s="2" t="s">
        <v>53</v>
      </c>
      <c r="L9929" s="2" t="s">
        <v>34</v>
      </c>
      <c r="M9929" s="2"/>
      <c r="N9929" s="2"/>
      <c r="O9929" s="2"/>
      <c r="P9929" s="2" t="s">
        <v>29111</v>
      </c>
      <c r="Q9929" s="2"/>
      <c r="R9929" s="6">
        <v>7.5</v>
      </c>
      <c r="S9929" s="5">
        <v>-23.5</v>
      </c>
      <c r="T9929" s="7">
        <v>-33.622999999999998</v>
      </c>
      <c r="U9929" s="5">
        <v>11.1</v>
      </c>
      <c r="V9929" s="6">
        <v>-0.72</v>
      </c>
      <c r="W9929" s="6">
        <v>5.21</v>
      </c>
      <c r="X9929" s="6">
        <v>6.12</v>
      </c>
      <c r="Y9929" s="6">
        <v>6.15</v>
      </c>
      <c r="Z9929" s="6">
        <v>5.94</v>
      </c>
      <c r="AA9929" s="6">
        <v>32.549999999999997</v>
      </c>
      <c r="AB9929" s="2" t="s">
        <v>86</v>
      </c>
      <c r="AC9929" s="2"/>
    </row>
    <row r="9930" spans="1:29" ht="130" x14ac:dyDescent="0.15">
      <c r="A9930" s="3">
        <f>DATE(2011,3,21)</f>
        <v>40623</v>
      </c>
      <c r="B9930" s="3">
        <f>DATE(2011,9,1)</f>
        <v>40787</v>
      </c>
      <c r="C9930" s="2" t="s">
        <v>95</v>
      </c>
      <c r="D9930" s="2" t="s">
        <v>29112</v>
      </c>
      <c r="E9930" s="2" t="s">
        <v>12441</v>
      </c>
      <c r="F9930" s="4">
        <v>6211</v>
      </c>
      <c r="G9930" s="2" t="s">
        <v>53</v>
      </c>
      <c r="H9930" s="2" t="s">
        <v>34</v>
      </c>
      <c r="I9930" s="2" t="s">
        <v>16085</v>
      </c>
      <c r="J9930" s="2" t="s">
        <v>367</v>
      </c>
      <c r="K9930" s="2" t="s">
        <v>53</v>
      </c>
      <c r="L9930" s="2" t="s">
        <v>34</v>
      </c>
      <c r="M9930" s="2"/>
      <c r="N9930" s="6">
        <v>17.649999999999999</v>
      </c>
      <c r="O9930" s="6">
        <v>17.79</v>
      </c>
      <c r="P9930" s="2" t="s">
        <v>29113</v>
      </c>
      <c r="Q9930" s="6">
        <v>100</v>
      </c>
      <c r="R9930" s="6">
        <v>17.91</v>
      </c>
      <c r="S9930" s="5">
        <v>51.9</v>
      </c>
      <c r="T9930" s="7">
        <v>89.013000000000005</v>
      </c>
      <c r="U9930" s="5">
        <v>1.8</v>
      </c>
      <c r="V9930" s="6">
        <v>0.9</v>
      </c>
      <c r="W9930" s="6">
        <v>15.43</v>
      </c>
      <c r="X9930" s="6">
        <v>15.33</v>
      </c>
      <c r="Y9930" s="5">
        <v>17.899999999999999</v>
      </c>
      <c r="Z9930" s="6">
        <v>17.89</v>
      </c>
      <c r="AA9930" s="6">
        <v>57.48</v>
      </c>
      <c r="AB9930" s="7">
        <v>13.186</v>
      </c>
      <c r="AC9930" s="8">
        <v>14680</v>
      </c>
    </row>
    <row r="9931" spans="1:29" ht="143" x14ac:dyDescent="0.15">
      <c r="A9931" s="3">
        <f>DATE(2011,3,21)</f>
        <v>40623</v>
      </c>
      <c r="B9931" s="2"/>
      <c r="C9931" s="2" t="s">
        <v>30</v>
      </c>
      <c r="D9931" s="2" t="s">
        <v>29114</v>
      </c>
      <c r="E9931" s="2" t="s">
        <v>29115</v>
      </c>
      <c r="F9931" s="4">
        <v>1382</v>
      </c>
      <c r="G9931" s="2" t="s">
        <v>148</v>
      </c>
      <c r="H9931" s="2" t="s">
        <v>34</v>
      </c>
      <c r="I9931" s="2" t="s">
        <v>29116</v>
      </c>
      <c r="J9931" s="2" t="s">
        <v>29117</v>
      </c>
      <c r="K9931" s="2" t="s">
        <v>148</v>
      </c>
      <c r="L9931" s="2" t="s">
        <v>34</v>
      </c>
      <c r="M9931" s="2"/>
      <c r="N9931" s="2"/>
      <c r="O9931" s="2"/>
      <c r="P9931" s="2" t="s">
        <v>29118</v>
      </c>
      <c r="Q9931" s="2"/>
      <c r="R9931" s="6">
        <v>8</v>
      </c>
      <c r="S9931" s="5">
        <v>-1.2</v>
      </c>
      <c r="T9931" s="7">
        <v>15.492000000000001</v>
      </c>
      <c r="U9931" s="5">
        <v>7.5</v>
      </c>
      <c r="V9931" s="9">
        <v>-0.1633</v>
      </c>
      <c r="W9931" s="6">
        <v>6.61</v>
      </c>
      <c r="X9931" s="6">
        <v>6.83</v>
      </c>
      <c r="Y9931" s="6">
        <v>7.73</v>
      </c>
      <c r="Z9931" s="6">
        <v>7.92</v>
      </c>
      <c r="AA9931" s="6">
        <v>19.2</v>
      </c>
      <c r="AB9931" s="7">
        <v>383.64600000000002</v>
      </c>
      <c r="AC9931" s="2"/>
    </row>
    <row r="9932" spans="1:29" ht="65" x14ac:dyDescent="0.15">
      <c r="A9932" s="3">
        <f>DATE(2011,3,24)</f>
        <v>40626</v>
      </c>
      <c r="B9932" s="3">
        <f>DATE(2011,6,3)</f>
        <v>40697</v>
      </c>
      <c r="C9932" s="2" t="s">
        <v>95</v>
      </c>
      <c r="D9932" s="2" t="s">
        <v>29119</v>
      </c>
      <c r="E9932" s="2" t="s">
        <v>16576</v>
      </c>
      <c r="F9932" s="4">
        <v>5912</v>
      </c>
      <c r="G9932" s="2" t="s">
        <v>73</v>
      </c>
      <c r="H9932" s="2" t="s">
        <v>34</v>
      </c>
      <c r="I9932" s="2" t="s">
        <v>29120</v>
      </c>
      <c r="J9932" s="2" t="s">
        <v>4794</v>
      </c>
      <c r="K9932" s="2" t="s">
        <v>73</v>
      </c>
      <c r="L9932" s="2" t="s">
        <v>34</v>
      </c>
      <c r="M9932" s="2"/>
      <c r="N9932" s="2"/>
      <c r="O9932" s="2"/>
      <c r="P9932" s="2" t="s">
        <v>29121</v>
      </c>
      <c r="Q9932" s="6">
        <v>100</v>
      </c>
      <c r="R9932" s="6">
        <v>3.8</v>
      </c>
      <c r="S9932" s="5">
        <v>-9.6</v>
      </c>
      <c r="T9932" s="7">
        <v>7.1849999999999996</v>
      </c>
      <c r="U9932" s="5">
        <v>1.1000000000000001</v>
      </c>
      <c r="V9932" s="6">
        <v>-0.09</v>
      </c>
      <c r="W9932" s="6">
        <v>1.75</v>
      </c>
      <c r="X9932" s="6">
        <v>1.79</v>
      </c>
      <c r="Y9932" s="7">
        <v>3.8149999999999999</v>
      </c>
      <c r="Z9932" s="6">
        <v>3.89</v>
      </c>
      <c r="AA9932" s="6">
        <v>105.91</v>
      </c>
      <c r="AB9932" s="2" t="s">
        <v>86</v>
      </c>
      <c r="AC9932" s="2"/>
    </row>
    <row r="9933" spans="1:29" ht="195" x14ac:dyDescent="0.15">
      <c r="A9933" s="3">
        <f>DATE(2011,3,25)</f>
        <v>40627</v>
      </c>
      <c r="B9933" s="3">
        <f>DATE(2011,12,1)</f>
        <v>40878</v>
      </c>
      <c r="C9933" s="2" t="s">
        <v>95</v>
      </c>
      <c r="D9933" s="2" t="s">
        <v>29122</v>
      </c>
      <c r="E9933" s="2" t="s">
        <v>17224</v>
      </c>
      <c r="F9933" s="4">
        <v>1311</v>
      </c>
      <c r="G9933" s="2" t="s">
        <v>148</v>
      </c>
      <c r="H9933" s="2" t="s">
        <v>34</v>
      </c>
      <c r="I9933" s="2" t="s">
        <v>29123</v>
      </c>
      <c r="J9933" s="2" t="s">
        <v>1608</v>
      </c>
      <c r="K9933" s="2" t="s">
        <v>148</v>
      </c>
      <c r="L9933" s="2" t="s">
        <v>34</v>
      </c>
      <c r="M9933" s="7">
        <v>966.65200000000004</v>
      </c>
      <c r="N9933" s="6">
        <v>32.14</v>
      </c>
      <c r="O9933" s="6">
        <v>31.48</v>
      </c>
      <c r="P9933" s="2" t="s">
        <v>29124</v>
      </c>
      <c r="Q9933" s="6">
        <v>54</v>
      </c>
      <c r="R9933" s="6">
        <v>21.94</v>
      </c>
      <c r="S9933" s="5">
        <v>-5</v>
      </c>
      <c r="T9933" s="7">
        <v>120.182</v>
      </c>
      <c r="U9933" s="5">
        <v>6.9</v>
      </c>
      <c r="V9933" s="6">
        <v>-0.11</v>
      </c>
      <c r="W9933" s="4">
        <v>23</v>
      </c>
      <c r="X9933" s="6">
        <v>23.15</v>
      </c>
      <c r="Y9933" s="6">
        <v>23.29</v>
      </c>
      <c r="Z9933" s="6">
        <v>23.06</v>
      </c>
      <c r="AA9933" s="6">
        <v>45.34</v>
      </c>
      <c r="AB9933" s="7">
        <v>16.952999999999999</v>
      </c>
      <c r="AC9933" s="6">
        <v>11.61</v>
      </c>
    </row>
    <row r="9934" spans="1:29" ht="65" x14ac:dyDescent="0.15">
      <c r="A9934" s="3">
        <f>DATE(2011,3,27)</f>
        <v>40629</v>
      </c>
      <c r="B9934" s="3">
        <f>DATE(2011,6,17)</f>
        <v>40711</v>
      </c>
      <c r="C9934" s="2" t="s">
        <v>95</v>
      </c>
      <c r="D9934" s="2" t="s">
        <v>27146</v>
      </c>
      <c r="E9934" s="2" t="s">
        <v>27147</v>
      </c>
      <c r="F9934" s="4">
        <v>7379</v>
      </c>
      <c r="G9934" s="2" t="s">
        <v>223</v>
      </c>
      <c r="H9934" s="2" t="s">
        <v>34</v>
      </c>
      <c r="I9934" s="2" t="s">
        <v>29125</v>
      </c>
      <c r="J9934" s="2" t="s">
        <v>16576</v>
      </c>
      <c r="K9934" s="2" t="s">
        <v>223</v>
      </c>
      <c r="L9934" s="2" t="s">
        <v>34</v>
      </c>
      <c r="M9934" s="2"/>
      <c r="N9934" s="2"/>
      <c r="O9934" s="2"/>
      <c r="P9934" s="2" t="s">
        <v>29126</v>
      </c>
      <c r="Q9934" s="6">
        <v>100</v>
      </c>
      <c r="R9934" s="6">
        <v>29.25</v>
      </c>
      <c r="S9934" s="5">
        <v>-36.5</v>
      </c>
      <c r="T9934" s="5">
        <v>93.8</v>
      </c>
      <c r="U9934" s="5">
        <v>8.4</v>
      </c>
      <c r="V9934" s="6">
        <v>-0.56999999999999995</v>
      </c>
      <c r="W9934" s="6">
        <v>19.29</v>
      </c>
      <c r="X9934" s="6">
        <v>19.38</v>
      </c>
      <c r="Y9934" s="5">
        <v>29.2</v>
      </c>
      <c r="Z9934" s="5">
        <v>29.2</v>
      </c>
      <c r="AA9934" s="6">
        <v>72.209999999999994</v>
      </c>
      <c r="AB9934" s="7">
        <v>216.857</v>
      </c>
      <c r="AC9934" s="2"/>
    </row>
    <row r="9935" spans="1:29" ht="130" x14ac:dyDescent="0.15">
      <c r="A9935" s="3">
        <f>DATE(2011,3,28)</f>
        <v>40630</v>
      </c>
      <c r="B9935" s="2"/>
      <c r="C9935" s="2" t="s">
        <v>30</v>
      </c>
      <c r="D9935" s="2" t="s">
        <v>29127</v>
      </c>
      <c r="E9935" s="2" t="s">
        <v>92</v>
      </c>
      <c r="F9935" s="4">
        <v>6798</v>
      </c>
      <c r="G9935" s="2" t="s">
        <v>53</v>
      </c>
      <c r="H9935" s="2" t="s">
        <v>34</v>
      </c>
      <c r="I9935" s="2" t="s">
        <v>29128</v>
      </c>
      <c r="J9935" s="2" t="s">
        <v>92</v>
      </c>
      <c r="K9935" s="2" t="s">
        <v>53</v>
      </c>
      <c r="L9935" s="2" t="s">
        <v>34</v>
      </c>
      <c r="M9935" s="12">
        <v>1661.4480000000001</v>
      </c>
      <c r="N9935" s="6">
        <v>22.95</v>
      </c>
      <c r="O9935" s="5">
        <v>22.5</v>
      </c>
      <c r="P9935" s="2" t="s">
        <v>29129</v>
      </c>
      <c r="Q9935" s="2"/>
      <c r="R9935" s="6">
        <v>14.07</v>
      </c>
      <c r="S9935" s="5">
        <v>11.9</v>
      </c>
      <c r="T9935" s="2"/>
      <c r="U9935" s="5">
        <v>14.8</v>
      </c>
      <c r="V9935" s="6">
        <v>0.66</v>
      </c>
      <c r="W9935" s="6">
        <v>12.38</v>
      </c>
      <c r="X9935" s="6">
        <v>11.96</v>
      </c>
      <c r="Y9935" s="6">
        <v>12.15</v>
      </c>
      <c r="Z9935" s="5">
        <v>11.4</v>
      </c>
      <c r="AA9935" s="6">
        <v>18.12</v>
      </c>
      <c r="AB9935" s="7">
        <v>33.374000000000002</v>
      </c>
      <c r="AC9935" s="6">
        <v>226.85</v>
      </c>
    </row>
    <row r="9936" spans="1:29" ht="78" x14ac:dyDescent="0.15">
      <c r="A9936" s="3">
        <f>DATE(2011,3,28)</f>
        <v>40630</v>
      </c>
      <c r="B9936" s="3">
        <f>DATE(2011,6,30)</f>
        <v>40724</v>
      </c>
      <c r="C9936" s="2" t="s">
        <v>95</v>
      </c>
      <c r="D9936" s="2" t="s">
        <v>29130</v>
      </c>
      <c r="E9936" s="2" t="s">
        <v>29131</v>
      </c>
      <c r="F9936" s="4">
        <v>4119</v>
      </c>
      <c r="G9936" s="2" t="s">
        <v>173</v>
      </c>
      <c r="H9936" s="2" t="s">
        <v>34</v>
      </c>
      <c r="I9936" s="2" t="s">
        <v>19494</v>
      </c>
      <c r="J9936" s="2" t="s">
        <v>244</v>
      </c>
      <c r="K9936" s="2" t="s">
        <v>53</v>
      </c>
      <c r="L9936" s="2" t="s">
        <v>34</v>
      </c>
      <c r="M9936" s="2"/>
      <c r="N9936" s="2"/>
      <c r="O9936" s="2"/>
      <c r="P9936" s="2" t="s">
        <v>29132</v>
      </c>
      <c r="Q9936" s="6">
        <v>100</v>
      </c>
      <c r="R9936" s="6">
        <v>17.25</v>
      </c>
      <c r="S9936" s="5">
        <v>7</v>
      </c>
      <c r="T9936" s="5">
        <v>70.8</v>
      </c>
      <c r="U9936" s="5">
        <v>-4</v>
      </c>
      <c r="V9936" s="6">
        <v>0.28000000000000003</v>
      </c>
      <c r="W9936" s="7">
        <v>12.382999999999999</v>
      </c>
      <c r="X9936" s="6">
        <v>12.55</v>
      </c>
      <c r="Y9936" s="6">
        <v>17.05</v>
      </c>
      <c r="Z9936" s="6">
        <v>17.04</v>
      </c>
      <c r="AA9936" s="6">
        <v>25.38</v>
      </c>
      <c r="AB9936" s="7">
        <v>12.571</v>
      </c>
      <c r="AC9936" s="2"/>
    </row>
    <row r="9937" spans="1:29" ht="65" x14ac:dyDescent="0.15">
      <c r="A9937" s="3">
        <f>DATE(2011,3,28)</f>
        <v>40630</v>
      </c>
      <c r="B9937" s="3">
        <f>DATE(2011,6,1)</f>
        <v>40695</v>
      </c>
      <c r="C9937" s="2" t="s">
        <v>95</v>
      </c>
      <c r="D9937" s="2" t="s">
        <v>29133</v>
      </c>
      <c r="E9937" s="2" t="s">
        <v>29134</v>
      </c>
      <c r="F9937" s="4">
        <v>3679</v>
      </c>
      <c r="G9937" s="2" t="s">
        <v>137</v>
      </c>
      <c r="H9937" s="2" t="s">
        <v>34</v>
      </c>
      <c r="I9937" s="2" t="s">
        <v>29135</v>
      </c>
      <c r="J9937" s="2" t="s">
        <v>29136</v>
      </c>
      <c r="K9937" s="2" t="s">
        <v>137</v>
      </c>
      <c r="L9937" s="2" t="s">
        <v>34</v>
      </c>
      <c r="M9937" s="7">
        <v>51.665999999999997</v>
      </c>
      <c r="N9937" s="6">
        <v>7.74</v>
      </c>
      <c r="O9937" s="6">
        <v>7.65</v>
      </c>
      <c r="P9937" s="2" t="s">
        <v>29137</v>
      </c>
      <c r="Q9937" s="6">
        <v>100</v>
      </c>
      <c r="R9937" s="6">
        <v>20</v>
      </c>
      <c r="S9937" s="5">
        <v>13.7</v>
      </c>
      <c r="T9937" s="7">
        <v>29.283000000000001</v>
      </c>
      <c r="U9937" s="5">
        <v>10.199999999999999</v>
      </c>
      <c r="V9937" s="6">
        <v>1.05</v>
      </c>
      <c r="W9937" s="4">
        <v>14</v>
      </c>
      <c r="X9937" s="6">
        <v>14.01</v>
      </c>
      <c r="Y9937" s="6">
        <v>19.59</v>
      </c>
      <c r="Z9937" s="6">
        <v>19.53</v>
      </c>
      <c r="AA9937" s="6">
        <v>13.12</v>
      </c>
      <c r="AB9937" s="7">
        <v>11.928000000000001</v>
      </c>
      <c r="AC9937" s="6">
        <v>13.09</v>
      </c>
    </row>
    <row r="9938" spans="1:29" ht="91" x14ac:dyDescent="0.15">
      <c r="A9938" s="3">
        <f>DATE(2011,3,29)</f>
        <v>40631</v>
      </c>
      <c r="B9938" s="2"/>
      <c r="C9938" s="2" t="s">
        <v>189</v>
      </c>
      <c r="D9938" s="2" t="s">
        <v>29138</v>
      </c>
      <c r="E9938" s="2" t="s">
        <v>17449</v>
      </c>
      <c r="F9938" s="4">
        <v>5331</v>
      </c>
      <c r="G9938" s="2" t="s">
        <v>756</v>
      </c>
      <c r="H9938" s="2" t="s">
        <v>34</v>
      </c>
      <c r="I9938" s="2" t="s">
        <v>143</v>
      </c>
      <c r="J9938" s="2" t="s">
        <v>144</v>
      </c>
      <c r="K9938" s="2" t="s">
        <v>53</v>
      </c>
      <c r="L9938" s="2" t="s">
        <v>139</v>
      </c>
      <c r="M9938" s="2"/>
      <c r="N9938" s="2"/>
      <c r="O9938" s="2"/>
      <c r="P9938" s="2" t="s">
        <v>29139</v>
      </c>
      <c r="Q9938" s="2"/>
      <c r="R9938" s="2"/>
      <c r="S9938" s="5">
        <v>222.5</v>
      </c>
      <c r="T9938" s="7">
        <v>431.404</v>
      </c>
      <c r="U9938" s="5">
        <v>12.8</v>
      </c>
      <c r="V9938" s="6">
        <v>2.83</v>
      </c>
      <c r="W9938" s="6">
        <v>42.28</v>
      </c>
      <c r="X9938" s="5">
        <v>43.2</v>
      </c>
      <c r="Y9938" s="6">
        <v>43.09</v>
      </c>
      <c r="Z9938" s="6">
        <v>43.59</v>
      </c>
      <c r="AA9938" s="6">
        <v>75.47</v>
      </c>
      <c r="AB9938" s="2" t="s">
        <v>47</v>
      </c>
      <c r="AC9938" s="2"/>
    </row>
    <row r="9939" spans="1:29" ht="117" x14ac:dyDescent="0.15">
      <c r="A9939" s="3">
        <f>DATE(2011,3,29)</f>
        <v>40631</v>
      </c>
      <c r="B9939" s="2"/>
      <c r="C9939" s="2" t="s">
        <v>30</v>
      </c>
      <c r="D9939" s="2" t="s">
        <v>17260</v>
      </c>
      <c r="E9939" s="2" t="s">
        <v>7462</v>
      </c>
      <c r="F9939" s="4">
        <v>2834</v>
      </c>
      <c r="G9939" s="2" t="s">
        <v>130</v>
      </c>
      <c r="H9939" s="2" t="s">
        <v>34</v>
      </c>
      <c r="I9939" s="2" t="s">
        <v>28374</v>
      </c>
      <c r="J9939" s="2" t="s">
        <v>29140</v>
      </c>
      <c r="K9939" s="2" t="s">
        <v>130</v>
      </c>
      <c r="L9939" s="2" t="s">
        <v>34</v>
      </c>
      <c r="M9939" s="10">
        <v>11760.67</v>
      </c>
      <c r="N9939" s="6">
        <v>44.39</v>
      </c>
      <c r="O9939" s="6">
        <v>50.08</v>
      </c>
      <c r="P9939" s="2" t="s">
        <v>29141</v>
      </c>
      <c r="Q9939" s="2"/>
      <c r="R9939" s="6">
        <v>73</v>
      </c>
      <c r="S9939" s="5">
        <v>425.7</v>
      </c>
      <c r="T9939" s="12">
        <v>1057.9179999999999</v>
      </c>
      <c r="U9939" s="5">
        <v>34.799999999999997</v>
      </c>
      <c r="V9939" s="6">
        <v>5.27</v>
      </c>
      <c r="W9939" s="6">
        <v>56.29</v>
      </c>
      <c r="X9939" s="6">
        <v>57.57</v>
      </c>
      <c r="Y9939" s="6">
        <v>58.75</v>
      </c>
      <c r="Z9939" s="6">
        <v>75.44</v>
      </c>
      <c r="AA9939" s="6">
        <v>75.73</v>
      </c>
      <c r="AB9939" s="7">
        <v>6.6920000000000002</v>
      </c>
      <c r="AC9939" s="6">
        <v>399.15</v>
      </c>
    </row>
    <row r="9940" spans="1:29" ht="52" x14ac:dyDescent="0.15">
      <c r="A9940" s="3">
        <f>DATE(2011,3,30)</f>
        <v>40632</v>
      </c>
      <c r="B9940" s="3">
        <f>DATE(2011,7,15)</f>
        <v>40739</v>
      </c>
      <c r="C9940" s="2" t="s">
        <v>95</v>
      </c>
      <c r="D9940" s="2" t="s">
        <v>29142</v>
      </c>
      <c r="E9940" s="2" t="s">
        <v>7190</v>
      </c>
      <c r="F9940" s="4">
        <v>6035</v>
      </c>
      <c r="G9940" s="2" t="s">
        <v>33</v>
      </c>
      <c r="H9940" s="2" t="s">
        <v>34</v>
      </c>
      <c r="I9940" s="2" t="s">
        <v>29143</v>
      </c>
      <c r="J9940" s="2" t="s">
        <v>36</v>
      </c>
      <c r="K9940" s="2" t="s">
        <v>33</v>
      </c>
      <c r="L9940" s="2" t="s">
        <v>34</v>
      </c>
      <c r="M9940" s="7">
        <v>113.05800000000001</v>
      </c>
      <c r="N9940" s="6">
        <v>14.85</v>
      </c>
      <c r="O9940" s="6">
        <v>15.32</v>
      </c>
      <c r="P9940" s="2" t="s">
        <v>29144</v>
      </c>
      <c r="Q9940" s="6">
        <v>100</v>
      </c>
      <c r="R9940" s="6">
        <v>21</v>
      </c>
      <c r="S9940" s="5">
        <v>0.4</v>
      </c>
      <c r="T9940" s="7">
        <v>1.3979999999999999</v>
      </c>
      <c r="U9940" s="5">
        <v>22</v>
      </c>
      <c r="V9940" s="6">
        <v>0.33</v>
      </c>
      <c r="W9940" s="5">
        <v>14.5</v>
      </c>
      <c r="X9940" s="6">
        <v>17.25</v>
      </c>
      <c r="Y9940" s="6">
        <v>17.489999999999998</v>
      </c>
      <c r="Z9940" s="5">
        <v>20.399999999999999</v>
      </c>
      <c r="AA9940" s="6">
        <v>1.25</v>
      </c>
      <c r="AB9940" s="7">
        <v>149.31100000000001</v>
      </c>
      <c r="AC9940" s="2"/>
    </row>
    <row r="9941" spans="1:29" ht="104" x14ac:dyDescent="0.15">
      <c r="A9941" s="3">
        <f>DATE(2011,3,31)</f>
        <v>40633</v>
      </c>
      <c r="B9941" s="3">
        <f>DATE(2011,11,1)</f>
        <v>40848</v>
      </c>
      <c r="C9941" s="2" t="s">
        <v>95</v>
      </c>
      <c r="D9941" s="2" t="s">
        <v>29145</v>
      </c>
      <c r="E9941" s="2" t="s">
        <v>36</v>
      </c>
      <c r="F9941" s="4">
        <v>6712</v>
      </c>
      <c r="G9941" s="2" t="s">
        <v>37</v>
      </c>
      <c r="H9941" s="2" t="s">
        <v>34</v>
      </c>
      <c r="I9941" s="2" t="s">
        <v>29146</v>
      </c>
      <c r="J9941" s="2" t="s">
        <v>36</v>
      </c>
      <c r="K9941" s="2" t="s">
        <v>37</v>
      </c>
      <c r="L9941" s="2" t="s">
        <v>34</v>
      </c>
      <c r="M9941" s="7">
        <v>141.65799999999999</v>
      </c>
      <c r="N9941" s="6">
        <v>4.8499999999999996</v>
      </c>
      <c r="O9941" s="6">
        <v>4.8099999999999996</v>
      </c>
      <c r="P9941" s="2" t="s">
        <v>29147</v>
      </c>
      <c r="Q9941" s="6">
        <v>100</v>
      </c>
      <c r="R9941" s="6">
        <v>3.3</v>
      </c>
      <c r="S9941" s="5">
        <v>-6.1</v>
      </c>
      <c r="T9941" s="7">
        <v>-9.3539999999999992</v>
      </c>
      <c r="U9941" s="5">
        <v>4.9000000000000004</v>
      </c>
      <c r="V9941" s="6">
        <v>-0.61</v>
      </c>
      <c r="W9941" s="6">
        <v>2.75</v>
      </c>
      <c r="X9941" s="6">
        <v>2.75</v>
      </c>
      <c r="Y9941" s="6">
        <v>3.15</v>
      </c>
      <c r="Z9941" s="6">
        <v>3.13</v>
      </c>
      <c r="AA9941" s="6">
        <v>10.039999999999999</v>
      </c>
      <c r="AB9941" s="2" t="s">
        <v>86</v>
      </c>
      <c r="AC9941" s="2"/>
    </row>
    <row r="9942" spans="1:29" ht="409" x14ac:dyDescent="0.15">
      <c r="A9942" s="3">
        <f>DATE(2011,4,1)</f>
        <v>40634</v>
      </c>
      <c r="B9942" s="2"/>
      <c r="C9942" s="2" t="s">
        <v>30</v>
      </c>
      <c r="D9942" s="2" t="s">
        <v>27252</v>
      </c>
      <c r="E9942" s="2" t="s">
        <v>27253</v>
      </c>
      <c r="F9942" s="4">
        <v>6231</v>
      </c>
      <c r="G9942" s="2" t="s">
        <v>53</v>
      </c>
      <c r="H9942" s="2" t="s">
        <v>34</v>
      </c>
      <c r="I9942" s="2" t="s">
        <v>51</v>
      </c>
      <c r="J9942" s="2" t="s">
        <v>52</v>
      </c>
      <c r="K9942" s="2" t="s">
        <v>53</v>
      </c>
      <c r="L9942" s="2" t="s">
        <v>34</v>
      </c>
      <c r="M9942" s="2"/>
      <c r="N9942" s="2"/>
      <c r="O9942" s="2"/>
      <c r="P9942" s="2" t="s">
        <v>29148</v>
      </c>
      <c r="Q9942" s="2"/>
      <c r="R9942" s="6">
        <v>42.67</v>
      </c>
      <c r="S9942" s="5">
        <v>602</v>
      </c>
      <c r="T9942" s="8">
        <v>1187</v>
      </c>
      <c r="U9942" s="5">
        <v>27.5</v>
      </c>
      <c r="V9942" s="6">
        <v>2.29</v>
      </c>
      <c r="W9942" s="5">
        <v>32.9</v>
      </c>
      <c r="X9942" s="6">
        <v>33.409999999999997</v>
      </c>
      <c r="Y9942" s="5">
        <v>38.1</v>
      </c>
      <c r="Z9942" s="5">
        <v>37.799999999999997</v>
      </c>
      <c r="AA9942" s="6">
        <v>261.2</v>
      </c>
      <c r="AB9942" s="7">
        <v>15.013</v>
      </c>
      <c r="AC9942" s="2"/>
    </row>
    <row r="9943" spans="1:29" ht="91" x14ac:dyDescent="0.15">
      <c r="A9943" s="3">
        <f>DATE(2011,4,1)</f>
        <v>40634</v>
      </c>
      <c r="B9943" s="3">
        <f>DATE(2011,7,20)</f>
        <v>40744</v>
      </c>
      <c r="C9943" s="2" t="s">
        <v>95</v>
      </c>
      <c r="D9943" s="2" t="s">
        <v>28935</v>
      </c>
      <c r="E9943" s="2" t="s">
        <v>28936</v>
      </c>
      <c r="F9943" s="4">
        <v>7376</v>
      </c>
      <c r="G9943" s="2" t="s">
        <v>223</v>
      </c>
      <c r="H9943" s="2" t="s">
        <v>34</v>
      </c>
      <c r="I9943" s="2" t="s">
        <v>28383</v>
      </c>
      <c r="J9943" s="2" t="s">
        <v>244</v>
      </c>
      <c r="K9943" s="2" t="s">
        <v>53</v>
      </c>
      <c r="L9943" s="2" t="s">
        <v>34</v>
      </c>
      <c r="M9943" s="2"/>
      <c r="N9943" s="2"/>
      <c r="O9943" s="2"/>
      <c r="P9943" s="2" t="s">
        <v>29149</v>
      </c>
      <c r="Q9943" s="6">
        <v>100</v>
      </c>
      <c r="R9943" s="6">
        <v>31.25</v>
      </c>
      <c r="S9943" s="5">
        <v>92.1</v>
      </c>
      <c r="T9943" s="7">
        <v>181.82499999999999</v>
      </c>
      <c r="U9943" s="5">
        <v>14.2</v>
      </c>
      <c r="V9943" s="9">
        <v>0.36409999999999998</v>
      </c>
      <c r="W9943" s="6">
        <v>26.15</v>
      </c>
      <c r="X9943" s="6">
        <v>25.56</v>
      </c>
      <c r="Y9943" s="6">
        <v>26.89</v>
      </c>
      <c r="Z9943" s="6">
        <v>27.13</v>
      </c>
      <c r="AA9943" s="6">
        <v>57.31</v>
      </c>
      <c r="AB9943" s="7">
        <v>11.195</v>
      </c>
      <c r="AC9943" s="2"/>
    </row>
    <row r="9944" spans="1:29" ht="169" x14ac:dyDescent="0.15">
      <c r="A9944" s="3">
        <f>DATE(2011,4,4)</f>
        <v>40637</v>
      </c>
      <c r="B9944" s="3">
        <f>DATE(2011,5,16)</f>
        <v>40679</v>
      </c>
      <c r="C9944" s="2" t="s">
        <v>95</v>
      </c>
      <c r="D9944" s="2" t="s">
        <v>27136</v>
      </c>
      <c r="E9944" s="2" t="s">
        <v>27137</v>
      </c>
      <c r="F9944" s="4">
        <v>7372</v>
      </c>
      <c r="G9944" s="2" t="s">
        <v>551</v>
      </c>
      <c r="H9944" s="2" t="s">
        <v>34</v>
      </c>
      <c r="I9944" s="2" t="s">
        <v>29150</v>
      </c>
      <c r="J9944" s="2" t="s">
        <v>1072</v>
      </c>
      <c r="K9944" s="2" t="s">
        <v>53</v>
      </c>
      <c r="L9944" s="2" t="s">
        <v>34</v>
      </c>
      <c r="M9944" s="2"/>
      <c r="N9944" s="2"/>
      <c r="O9944" s="2"/>
      <c r="P9944" s="2" t="s">
        <v>29151</v>
      </c>
      <c r="Q9944" s="6">
        <v>100</v>
      </c>
      <c r="R9944" s="6">
        <v>12.5</v>
      </c>
      <c r="S9944" s="5">
        <v>-6</v>
      </c>
      <c r="T9944" s="7">
        <v>54.404000000000003</v>
      </c>
      <c r="U9944" s="5">
        <v>4.9000000000000004</v>
      </c>
      <c r="V9944" s="6">
        <v>-0.1</v>
      </c>
      <c r="W9944" s="6">
        <v>10.59</v>
      </c>
      <c r="X9944" s="6">
        <v>11.24</v>
      </c>
      <c r="Y9944" s="6">
        <v>12.56</v>
      </c>
      <c r="Z9944" s="5">
        <v>12.5</v>
      </c>
      <c r="AA9944" s="6">
        <v>64.17</v>
      </c>
      <c r="AB9944" s="7">
        <v>48.514000000000003</v>
      </c>
      <c r="AC9944" s="6">
        <v>90.41</v>
      </c>
    </row>
    <row r="9945" spans="1:29" ht="65" x14ac:dyDescent="0.15">
      <c r="A9945" s="3">
        <f>DATE(2011,4,4)</f>
        <v>40637</v>
      </c>
      <c r="B9945" s="3">
        <f>DATE(2011,6,28)</f>
        <v>40722</v>
      </c>
      <c r="C9945" s="2" t="s">
        <v>95</v>
      </c>
      <c r="D9945" s="2" t="s">
        <v>29152</v>
      </c>
      <c r="E9945" s="2" t="s">
        <v>29153</v>
      </c>
      <c r="F9945" s="4">
        <v>3679</v>
      </c>
      <c r="G9945" s="2" t="s">
        <v>137</v>
      </c>
      <c r="H9945" s="2" t="s">
        <v>34</v>
      </c>
      <c r="I9945" s="2" t="s">
        <v>29154</v>
      </c>
      <c r="J9945" s="2" t="s">
        <v>29155</v>
      </c>
      <c r="K9945" s="2" t="s">
        <v>219</v>
      </c>
      <c r="L9945" s="2" t="s">
        <v>34</v>
      </c>
      <c r="M9945" s="7">
        <v>233.78399999999999</v>
      </c>
      <c r="N9945" s="6">
        <v>25.14</v>
      </c>
      <c r="O9945" s="6">
        <v>25.48</v>
      </c>
      <c r="P9945" s="2" t="s">
        <v>29156</v>
      </c>
      <c r="Q9945" s="6">
        <v>100</v>
      </c>
      <c r="R9945" s="6">
        <v>19.25</v>
      </c>
      <c r="S9945" s="5">
        <v>17.8</v>
      </c>
      <c r="T9945" s="7">
        <v>38.127000000000002</v>
      </c>
      <c r="U9945" s="5">
        <v>8.1999999999999993</v>
      </c>
      <c r="V9945" s="6">
        <v>1.1100000000000001</v>
      </c>
      <c r="W9945" s="6">
        <v>16.940000000000001</v>
      </c>
      <c r="X9945" s="6">
        <v>17.43</v>
      </c>
      <c r="Y9945" s="6">
        <v>19.03</v>
      </c>
      <c r="Z9945" s="6">
        <v>19.260000000000002</v>
      </c>
      <c r="AA9945" s="6">
        <v>15.83</v>
      </c>
      <c r="AB9945" s="7">
        <v>11.333</v>
      </c>
      <c r="AC9945" s="6">
        <v>1.07</v>
      </c>
    </row>
    <row r="9946" spans="1:29" ht="104" x14ac:dyDescent="0.15">
      <c r="A9946" s="3">
        <f>DATE(2011,4,4)</f>
        <v>40637</v>
      </c>
      <c r="B9946" s="2"/>
      <c r="C9946" s="2" t="s">
        <v>30</v>
      </c>
      <c r="D9946" s="2" t="s">
        <v>29157</v>
      </c>
      <c r="E9946" s="2" t="s">
        <v>7785</v>
      </c>
      <c r="F9946" s="4">
        <v>5812</v>
      </c>
      <c r="G9946" s="2" t="s">
        <v>230</v>
      </c>
      <c r="H9946" s="2" t="s">
        <v>34</v>
      </c>
      <c r="I9946" s="2" t="s">
        <v>29158</v>
      </c>
      <c r="J9946" s="2" t="s">
        <v>3900</v>
      </c>
      <c r="K9946" s="2" t="s">
        <v>230</v>
      </c>
      <c r="L9946" s="2" t="s">
        <v>34</v>
      </c>
      <c r="M9946" s="2"/>
      <c r="N9946" s="2"/>
      <c r="O9946" s="2"/>
      <c r="P9946" s="2" t="s">
        <v>29159</v>
      </c>
      <c r="Q9946" s="2"/>
      <c r="R9946" s="6">
        <v>9.25</v>
      </c>
      <c r="S9946" s="5">
        <v>-23.4</v>
      </c>
      <c r="T9946" s="7">
        <v>21.626999999999999</v>
      </c>
      <c r="U9946" s="5">
        <v>4.7</v>
      </c>
      <c r="V9946" s="6">
        <v>-1.57</v>
      </c>
      <c r="W9946" s="6">
        <v>7.51</v>
      </c>
      <c r="X9946" s="6">
        <v>7.12</v>
      </c>
      <c r="Y9946" s="6">
        <v>9.2200000000000006</v>
      </c>
      <c r="Z9946" s="6">
        <v>9.66</v>
      </c>
      <c r="AA9946" s="6">
        <v>14.84</v>
      </c>
      <c r="AB9946" s="7">
        <v>20.481999999999999</v>
      </c>
      <c r="AC9946" s="2"/>
    </row>
    <row r="9947" spans="1:29" ht="78" x14ac:dyDescent="0.15">
      <c r="A9947" s="3">
        <f>DATE(2011,4,4)</f>
        <v>40637</v>
      </c>
      <c r="B9947" s="3">
        <f>DATE(2011,9,23)</f>
        <v>40809</v>
      </c>
      <c r="C9947" s="2" t="s">
        <v>95</v>
      </c>
      <c r="D9947" s="2" t="s">
        <v>10182</v>
      </c>
      <c r="E9947" s="2" t="s">
        <v>2827</v>
      </c>
      <c r="F9947" s="4">
        <v>3674</v>
      </c>
      <c r="G9947" s="2" t="s">
        <v>137</v>
      </c>
      <c r="H9947" s="2" t="s">
        <v>34</v>
      </c>
      <c r="I9947" s="2" t="s">
        <v>29160</v>
      </c>
      <c r="J9947" s="2" t="s">
        <v>207</v>
      </c>
      <c r="K9947" s="2" t="s">
        <v>137</v>
      </c>
      <c r="L9947" s="2" t="s">
        <v>34</v>
      </c>
      <c r="M9947" s="2"/>
      <c r="N9947" s="6">
        <v>34.11</v>
      </c>
      <c r="O9947" s="6">
        <v>34.69</v>
      </c>
      <c r="P9947" s="2" t="s">
        <v>29161</v>
      </c>
      <c r="Q9947" s="6">
        <v>100</v>
      </c>
      <c r="R9947" s="6">
        <v>25</v>
      </c>
      <c r="S9947" s="5">
        <v>310.89999999999998</v>
      </c>
      <c r="T9947" s="5">
        <v>589.6</v>
      </c>
      <c r="U9947" s="5">
        <v>2.7</v>
      </c>
      <c r="V9947" s="6">
        <v>1.27</v>
      </c>
      <c r="W9947" s="6">
        <v>14.34</v>
      </c>
      <c r="X9947" s="6">
        <v>14.23</v>
      </c>
      <c r="Y9947" s="6">
        <v>14.07</v>
      </c>
      <c r="Z9947" s="6">
        <v>24.06</v>
      </c>
      <c r="AA9947" s="6">
        <v>273.73</v>
      </c>
      <c r="AB9947" s="7">
        <v>12.827999999999999</v>
      </c>
      <c r="AC9947" s="2"/>
    </row>
    <row r="9948" spans="1:29" ht="91" x14ac:dyDescent="0.15">
      <c r="A9948" s="3">
        <f>DATE(2011,4,4)</f>
        <v>40637</v>
      </c>
      <c r="B9948" s="2"/>
      <c r="C9948" s="2" t="s">
        <v>7330</v>
      </c>
      <c r="D9948" s="2" t="s">
        <v>29162</v>
      </c>
      <c r="E9948" s="2" t="s">
        <v>29163</v>
      </c>
      <c r="F9948" s="4">
        <v>7999</v>
      </c>
      <c r="G9948" s="2" t="s">
        <v>364</v>
      </c>
      <c r="H9948" s="2" t="s">
        <v>34</v>
      </c>
      <c r="I9948" s="2" t="s">
        <v>29164</v>
      </c>
      <c r="J9948" s="2" t="s">
        <v>29165</v>
      </c>
      <c r="K9948" s="2" t="s">
        <v>223</v>
      </c>
      <c r="L9948" s="2" t="s">
        <v>34</v>
      </c>
      <c r="M9948" s="2"/>
      <c r="N9948" s="2"/>
      <c r="O9948" s="2"/>
      <c r="P9948" s="2" t="s">
        <v>29166</v>
      </c>
      <c r="Q9948" s="2"/>
      <c r="R9948" s="6">
        <v>2.1</v>
      </c>
      <c r="S9948" s="5">
        <v>-3.1</v>
      </c>
      <c r="T9948" s="7">
        <v>3.6230000000000002</v>
      </c>
      <c r="U9948" s="5">
        <v>0.4</v>
      </c>
      <c r="V9948" s="6">
        <v>7.0000000000000007E-2</v>
      </c>
      <c r="W9948" s="6">
        <v>1.39</v>
      </c>
      <c r="X9948" s="6">
        <v>1.42</v>
      </c>
      <c r="Y9948" s="6">
        <v>1.88</v>
      </c>
      <c r="Z9948" s="6">
        <v>1.78</v>
      </c>
      <c r="AA9948" s="6">
        <v>24.86</v>
      </c>
      <c r="AB9948" s="7">
        <v>21.125</v>
      </c>
      <c r="AC9948" s="2"/>
    </row>
    <row r="9949" spans="1:29" ht="78" x14ac:dyDescent="0.15">
      <c r="A9949" s="3">
        <f>DATE(2011,4,5)</f>
        <v>40638</v>
      </c>
      <c r="B9949" s="3">
        <f>DATE(2011,5,16)</f>
        <v>40679</v>
      </c>
      <c r="C9949" s="2" t="s">
        <v>95</v>
      </c>
      <c r="D9949" s="2" t="s">
        <v>29167</v>
      </c>
      <c r="E9949" s="2" t="s">
        <v>4011</v>
      </c>
      <c r="F9949" s="4">
        <v>2834</v>
      </c>
      <c r="G9949" s="2" t="s">
        <v>130</v>
      </c>
      <c r="H9949" s="2" t="s">
        <v>34</v>
      </c>
      <c r="I9949" s="2" t="s">
        <v>29168</v>
      </c>
      <c r="J9949" s="2" t="s">
        <v>4011</v>
      </c>
      <c r="K9949" s="2" t="s">
        <v>130</v>
      </c>
      <c r="L9949" s="2" t="s">
        <v>34</v>
      </c>
      <c r="M9949" s="2"/>
      <c r="N9949" s="2"/>
      <c r="O9949" s="2"/>
      <c r="P9949" s="2" t="s">
        <v>29169</v>
      </c>
      <c r="Q9949" s="6">
        <v>87.11</v>
      </c>
      <c r="R9949" s="6">
        <v>5</v>
      </c>
      <c r="S9949" s="5">
        <v>-38.299999999999997</v>
      </c>
      <c r="T9949" s="7">
        <v>-23.408999999999999</v>
      </c>
      <c r="U9949" s="5">
        <v>1</v>
      </c>
      <c r="V9949" s="6">
        <v>-0.46</v>
      </c>
      <c r="W9949" s="6">
        <v>3.86</v>
      </c>
      <c r="X9949" s="6">
        <v>3.98</v>
      </c>
      <c r="Y9949" s="6">
        <v>4.97</v>
      </c>
      <c r="Z9949" s="6">
        <v>4.96</v>
      </c>
      <c r="AA9949" s="6">
        <v>83.28</v>
      </c>
      <c r="AB9949" s="2" t="s">
        <v>86</v>
      </c>
      <c r="AC9949" s="2"/>
    </row>
    <row r="9950" spans="1:29" ht="78" x14ac:dyDescent="0.15">
      <c r="A9950" s="3">
        <f>DATE(2011,4,6)</f>
        <v>40639</v>
      </c>
      <c r="B9950" s="3">
        <f>DATE(2011,5,27)</f>
        <v>40690</v>
      </c>
      <c r="C9950" s="2" t="s">
        <v>95</v>
      </c>
      <c r="D9950" s="2" t="s">
        <v>28997</v>
      </c>
      <c r="E9950" s="2" t="s">
        <v>28998</v>
      </c>
      <c r="F9950" s="4">
        <v>3663</v>
      </c>
      <c r="G9950" s="2" t="s">
        <v>921</v>
      </c>
      <c r="H9950" s="2" t="s">
        <v>34</v>
      </c>
      <c r="I9950" s="2" t="s">
        <v>11358</v>
      </c>
      <c r="J9950" s="2" t="s">
        <v>10974</v>
      </c>
      <c r="K9950" s="2" t="s">
        <v>137</v>
      </c>
      <c r="L9950" s="2" t="s">
        <v>34</v>
      </c>
      <c r="M9950" s="12">
        <v>1843.6759999999999</v>
      </c>
      <c r="N9950" s="6">
        <v>21.29</v>
      </c>
      <c r="O9950" s="5">
        <v>21.5</v>
      </c>
      <c r="P9950" s="2" t="s">
        <v>29170</v>
      </c>
      <c r="Q9950" s="6">
        <v>100</v>
      </c>
      <c r="R9950" s="6">
        <v>2.5</v>
      </c>
      <c r="S9950" s="5">
        <v>1.3</v>
      </c>
      <c r="T9950" s="7">
        <v>2.6749999999999998</v>
      </c>
      <c r="U9950" s="5">
        <v>1.5</v>
      </c>
      <c r="V9950" s="6">
        <v>0.12</v>
      </c>
      <c r="W9950" s="5">
        <v>1.4</v>
      </c>
      <c r="X9950" s="5">
        <v>1.4</v>
      </c>
      <c r="Y9950" s="6">
        <v>2.08</v>
      </c>
      <c r="Z9950" s="6">
        <v>2.08</v>
      </c>
      <c r="AA9950" s="6">
        <v>10.74</v>
      </c>
      <c r="AB9950" s="7">
        <v>14.282999999999999</v>
      </c>
      <c r="AC9950" s="5">
        <v>217.3</v>
      </c>
    </row>
    <row r="9951" spans="1:29" ht="169" x14ac:dyDescent="0.15">
      <c r="A9951" s="3">
        <f>DATE(2011,4,6)</f>
        <v>40639</v>
      </c>
      <c r="B9951" s="2"/>
      <c r="C9951" s="2" t="s">
        <v>7330</v>
      </c>
      <c r="D9951" s="2" t="s">
        <v>29171</v>
      </c>
      <c r="E9951" s="2" t="s">
        <v>36</v>
      </c>
      <c r="F9951" s="4">
        <v>6021</v>
      </c>
      <c r="G9951" s="2" t="s">
        <v>37</v>
      </c>
      <c r="H9951" s="2" t="s">
        <v>34</v>
      </c>
      <c r="I9951" s="2" t="s">
        <v>51</v>
      </c>
      <c r="J9951" s="2" t="s">
        <v>52</v>
      </c>
      <c r="K9951" s="2" t="s">
        <v>53</v>
      </c>
      <c r="L9951" s="2" t="s">
        <v>34</v>
      </c>
      <c r="M9951" s="2"/>
      <c r="N9951" s="2"/>
      <c r="O9951" s="2"/>
      <c r="P9951" s="2" t="s">
        <v>29172</v>
      </c>
      <c r="Q9951" s="2"/>
      <c r="R9951" s="6">
        <v>1</v>
      </c>
      <c r="S9951" s="5">
        <v>0</v>
      </c>
      <c r="T9951" s="7">
        <v>3.5030000000000001</v>
      </c>
      <c r="U9951" s="5">
        <v>41.2</v>
      </c>
      <c r="V9951" s="6">
        <v>-2.1</v>
      </c>
      <c r="W9951" s="6">
        <v>1.45</v>
      </c>
      <c r="X9951" s="5">
        <v>1.4</v>
      </c>
      <c r="Y9951" s="5">
        <v>1.3</v>
      </c>
      <c r="Z9951" s="6">
        <v>1.25</v>
      </c>
      <c r="AA9951" s="6">
        <v>8.41</v>
      </c>
      <c r="AB9951" s="7">
        <v>289.18200000000002</v>
      </c>
      <c r="AC9951" s="2"/>
    </row>
    <row r="9952" spans="1:29" ht="117" x14ac:dyDescent="0.15">
      <c r="A9952" s="3">
        <f>DATE(2011,4,6)</f>
        <v>40639</v>
      </c>
      <c r="B9952" s="3">
        <f>DATE(2011,12,16)</f>
        <v>40893</v>
      </c>
      <c r="C9952" s="2" t="s">
        <v>95</v>
      </c>
      <c r="D9952" s="2" t="s">
        <v>29173</v>
      </c>
      <c r="E9952" s="2" t="s">
        <v>29174</v>
      </c>
      <c r="F9952" s="4">
        <v>8734</v>
      </c>
      <c r="G9952" s="2" t="s">
        <v>223</v>
      </c>
      <c r="H9952" s="2" t="s">
        <v>34</v>
      </c>
      <c r="I9952" s="2" t="s">
        <v>29175</v>
      </c>
      <c r="J9952" s="2" t="s">
        <v>11337</v>
      </c>
      <c r="K9952" s="2" t="s">
        <v>53</v>
      </c>
      <c r="L9952" s="2" t="s">
        <v>34</v>
      </c>
      <c r="M9952" s="2"/>
      <c r="N9952" s="2"/>
      <c r="O9952" s="2"/>
      <c r="P9952" s="2" t="s">
        <v>29176</v>
      </c>
      <c r="Q9952" s="6">
        <v>100</v>
      </c>
      <c r="R9952" s="6">
        <v>2.8</v>
      </c>
      <c r="S9952" s="5">
        <v>-4.7</v>
      </c>
      <c r="T9952" s="7">
        <v>1.5169999999999999</v>
      </c>
      <c r="U9952" s="5">
        <v>1.4</v>
      </c>
      <c r="V9952" s="6">
        <v>-0.16</v>
      </c>
      <c r="W9952" s="6">
        <v>1.99</v>
      </c>
      <c r="X9952" s="6">
        <v>2.0099999999999998</v>
      </c>
      <c r="Y9952" s="6">
        <v>2.76</v>
      </c>
      <c r="Z9952" s="6">
        <v>2.78</v>
      </c>
      <c r="AA9952" s="6">
        <v>29.99</v>
      </c>
      <c r="AB9952" s="2" t="s">
        <v>86</v>
      </c>
      <c r="AC9952" s="2"/>
    </row>
    <row r="9953" spans="1:29" ht="52" x14ac:dyDescent="0.15">
      <c r="A9953" s="3">
        <f>DATE(2011,4,8)</f>
        <v>40641</v>
      </c>
      <c r="B9953" s="3">
        <f>DATE(2011,4,8)</f>
        <v>40641</v>
      </c>
      <c r="C9953" s="2" t="s">
        <v>95</v>
      </c>
      <c r="D9953" s="2" t="s">
        <v>29177</v>
      </c>
      <c r="E9953" s="2" t="s">
        <v>22474</v>
      </c>
      <c r="F9953" s="4">
        <v>6035</v>
      </c>
      <c r="G9953" s="2" t="s">
        <v>33</v>
      </c>
      <c r="H9953" s="2" t="s">
        <v>34</v>
      </c>
      <c r="I9953" s="2" t="s">
        <v>29178</v>
      </c>
      <c r="J9953" s="2" t="s">
        <v>672</v>
      </c>
      <c r="K9953" s="2" t="s">
        <v>37</v>
      </c>
      <c r="L9953" s="2" t="s">
        <v>34</v>
      </c>
      <c r="M9953" s="2"/>
      <c r="N9953" s="2"/>
      <c r="O9953" s="2"/>
      <c r="P9953" s="2" t="s">
        <v>29179</v>
      </c>
      <c r="Q9953" s="6">
        <v>100</v>
      </c>
      <c r="R9953" s="2"/>
      <c r="S9953" s="5">
        <v>3.1</v>
      </c>
      <c r="T9953" s="7">
        <v>5.9939999999999998</v>
      </c>
      <c r="U9953" s="5">
        <v>10.1</v>
      </c>
      <c r="V9953" s="6">
        <v>0.3</v>
      </c>
      <c r="W9953" s="6">
        <v>5.74</v>
      </c>
      <c r="X9953" s="5">
        <v>5.6</v>
      </c>
      <c r="Y9953" s="7">
        <v>5.4950000000000001</v>
      </c>
      <c r="Z9953" s="6">
        <v>5.45</v>
      </c>
      <c r="AA9953" s="6">
        <v>7.05</v>
      </c>
      <c r="AB9953" s="2" t="s">
        <v>47</v>
      </c>
      <c r="AC9953" s="2"/>
    </row>
    <row r="9954" spans="1:29" ht="130" x14ac:dyDescent="0.15">
      <c r="A9954" s="3">
        <f>DATE(2011,4,11)</f>
        <v>40644</v>
      </c>
      <c r="B9954" s="3">
        <f>DATE(2011,6,20)</f>
        <v>40714</v>
      </c>
      <c r="C9954" s="2" t="s">
        <v>95</v>
      </c>
      <c r="D9954" s="2" t="s">
        <v>24173</v>
      </c>
      <c r="E9954" s="2" t="s">
        <v>15342</v>
      </c>
      <c r="F9954" s="4">
        <v>3841</v>
      </c>
      <c r="G9954" s="2" t="s">
        <v>226</v>
      </c>
      <c r="H9954" s="2" t="s">
        <v>34</v>
      </c>
      <c r="I9954" s="2" t="s">
        <v>29180</v>
      </c>
      <c r="J9954" s="2" t="s">
        <v>13693</v>
      </c>
      <c r="K9954" s="2" t="s">
        <v>130</v>
      </c>
      <c r="L9954" s="2" t="s">
        <v>34</v>
      </c>
      <c r="M9954" s="2"/>
      <c r="N9954" s="2"/>
      <c r="O9954" s="2"/>
      <c r="P9954" s="2" t="s">
        <v>29181</v>
      </c>
      <c r="Q9954" s="6">
        <v>100</v>
      </c>
      <c r="R9954" s="6">
        <v>30</v>
      </c>
      <c r="S9954" s="5">
        <v>87.9</v>
      </c>
      <c r="T9954" s="7">
        <v>180.70400000000001</v>
      </c>
      <c r="U9954" s="5">
        <v>9.1</v>
      </c>
      <c r="V9954" s="6">
        <v>1.1499999999999999</v>
      </c>
      <c r="W9954" s="6">
        <v>22.35</v>
      </c>
      <c r="X9954" s="6">
        <v>22.33</v>
      </c>
      <c r="Y9954" s="5">
        <v>29.5</v>
      </c>
      <c r="Z9954" s="6">
        <v>29.49</v>
      </c>
      <c r="AA9954" s="6">
        <v>76.81</v>
      </c>
      <c r="AB9954" s="7">
        <v>15.888999999999999</v>
      </c>
      <c r="AC9954" s="2"/>
    </row>
    <row r="9955" spans="1:29" ht="52" x14ac:dyDescent="0.15">
      <c r="A9955" s="3">
        <f>DATE(2011,4,11)</f>
        <v>40644</v>
      </c>
      <c r="B9955" s="2"/>
      <c r="C9955" s="2" t="s">
        <v>189</v>
      </c>
      <c r="D9955" s="2" t="s">
        <v>29182</v>
      </c>
      <c r="E9955" s="2" t="s">
        <v>14582</v>
      </c>
      <c r="F9955" s="4">
        <v>3841</v>
      </c>
      <c r="G9955" s="2" t="s">
        <v>226</v>
      </c>
      <c r="H9955" s="2" t="s">
        <v>34</v>
      </c>
      <c r="I9955" s="2" t="s">
        <v>143</v>
      </c>
      <c r="J9955" s="2" t="s">
        <v>144</v>
      </c>
      <c r="K9955" s="2" t="s">
        <v>53</v>
      </c>
      <c r="L9955" s="2" t="s">
        <v>139</v>
      </c>
      <c r="M9955" s="2"/>
      <c r="N9955" s="2"/>
      <c r="O9955" s="2"/>
      <c r="P9955" s="2" t="s">
        <v>29183</v>
      </c>
      <c r="Q9955" s="2"/>
      <c r="R9955" s="2"/>
      <c r="S9955" s="5">
        <v>-19.8</v>
      </c>
      <c r="T9955" s="7">
        <v>-19.565999999999999</v>
      </c>
      <c r="U9955" s="5">
        <v>10.7</v>
      </c>
      <c r="V9955" s="6">
        <v>-8.1</v>
      </c>
      <c r="W9955" s="6">
        <v>3.44</v>
      </c>
      <c r="X9955" s="6">
        <v>3.56</v>
      </c>
      <c r="Y9955" s="6">
        <v>3.57</v>
      </c>
      <c r="Z9955" s="6">
        <v>3.45</v>
      </c>
      <c r="AA9955" s="6">
        <v>25.26</v>
      </c>
      <c r="AB9955" s="2" t="s">
        <v>86</v>
      </c>
      <c r="AC9955" s="2"/>
    </row>
    <row r="9956" spans="1:29" ht="117" x14ac:dyDescent="0.15">
      <c r="A9956" s="3">
        <f>DATE(2011,4,11)</f>
        <v>40644</v>
      </c>
      <c r="B9956" s="3">
        <f>DATE(2011,5,25)</f>
        <v>40688</v>
      </c>
      <c r="C9956" s="2" t="s">
        <v>95</v>
      </c>
      <c r="D9956" s="2" t="s">
        <v>29184</v>
      </c>
      <c r="E9956" s="2" t="s">
        <v>29185</v>
      </c>
      <c r="F9956" s="4">
        <v>2051</v>
      </c>
      <c r="G9956" s="2" t="s">
        <v>577</v>
      </c>
      <c r="H9956" s="2" t="s">
        <v>34</v>
      </c>
      <c r="I9956" s="2" t="s">
        <v>29186</v>
      </c>
      <c r="J9956" s="2" t="s">
        <v>29185</v>
      </c>
      <c r="K9956" s="2" t="s">
        <v>577</v>
      </c>
      <c r="L9956" s="2" t="s">
        <v>34</v>
      </c>
      <c r="M9956" s="2"/>
      <c r="N9956" s="2"/>
      <c r="O9956" s="2"/>
      <c r="P9956" s="2" t="s">
        <v>29187</v>
      </c>
      <c r="Q9956" s="6">
        <v>100</v>
      </c>
      <c r="R9956" s="6">
        <v>4</v>
      </c>
      <c r="S9956" s="5">
        <v>-45.6</v>
      </c>
      <c r="T9956" s="7">
        <v>-0.52300000000000002</v>
      </c>
      <c r="U9956" s="5">
        <v>-2.2000000000000002</v>
      </c>
      <c r="V9956" s="6">
        <v>-5.6</v>
      </c>
      <c r="W9956" s="6">
        <v>1.96</v>
      </c>
      <c r="X9956" s="6">
        <v>1.61</v>
      </c>
      <c r="Y9956" s="6">
        <v>3.97</v>
      </c>
      <c r="Z9956" s="4">
        <v>4</v>
      </c>
      <c r="AA9956" s="6">
        <v>8.6199999999999992</v>
      </c>
      <c r="AB9956" s="2" t="s">
        <v>86</v>
      </c>
      <c r="AC9956" s="2"/>
    </row>
    <row r="9957" spans="1:29" ht="221" x14ac:dyDescent="0.15">
      <c r="A9957" s="3">
        <f>DATE(2011,4,13)</f>
        <v>40646</v>
      </c>
      <c r="B9957" s="2"/>
      <c r="C9957" s="2" t="s">
        <v>30</v>
      </c>
      <c r="D9957" s="2" t="s">
        <v>29188</v>
      </c>
      <c r="E9957" s="2" t="s">
        <v>29189</v>
      </c>
      <c r="F9957" s="4">
        <v>3085</v>
      </c>
      <c r="G9957" s="2" t="s">
        <v>447</v>
      </c>
      <c r="H9957" s="2" t="s">
        <v>34</v>
      </c>
      <c r="I9957" s="2" t="s">
        <v>29190</v>
      </c>
      <c r="J9957" s="2" t="s">
        <v>28504</v>
      </c>
      <c r="K9957" s="2" t="s">
        <v>163</v>
      </c>
      <c r="L9957" s="2" t="s">
        <v>34</v>
      </c>
      <c r="M9957" s="12">
        <v>2506.4479999999999</v>
      </c>
      <c r="N9957" s="5">
        <v>43.8</v>
      </c>
      <c r="O9957" s="6">
        <v>45.05</v>
      </c>
      <c r="P9957" s="2" t="s">
        <v>29191</v>
      </c>
      <c r="Q9957" s="2"/>
      <c r="R9957" s="6">
        <v>19.559999999999999</v>
      </c>
      <c r="S9957" s="5">
        <v>84</v>
      </c>
      <c r="T9957" s="7">
        <v>481.63099999999997</v>
      </c>
      <c r="U9957" s="5">
        <v>-7.8</v>
      </c>
      <c r="V9957" s="6">
        <v>1.36</v>
      </c>
      <c r="W9957" s="6">
        <v>17.05</v>
      </c>
      <c r="X9957" s="6">
        <v>16.71</v>
      </c>
      <c r="Y9957" s="6">
        <v>22.22</v>
      </c>
      <c r="Z9957" s="6">
        <v>22.62</v>
      </c>
      <c r="AA9957" s="6">
        <v>69.55</v>
      </c>
      <c r="AB9957" s="7">
        <v>13.46</v>
      </c>
      <c r="AC9957" s="6">
        <v>135.78</v>
      </c>
    </row>
    <row r="9958" spans="1:29" ht="65" x14ac:dyDescent="0.15">
      <c r="A9958" s="3">
        <f>DATE(2011,4,14)</f>
        <v>40647</v>
      </c>
      <c r="B9958" s="3">
        <f>DATE(2011,6,1)</f>
        <v>40695</v>
      </c>
      <c r="C9958" s="2" t="s">
        <v>95</v>
      </c>
      <c r="D9958" s="2" t="s">
        <v>29192</v>
      </c>
      <c r="E9958" s="2" t="s">
        <v>29193</v>
      </c>
      <c r="F9958" s="4">
        <v>7372</v>
      </c>
      <c r="G9958" s="2" t="s">
        <v>551</v>
      </c>
      <c r="H9958" s="2" t="s">
        <v>34</v>
      </c>
      <c r="I9958" s="2" t="s">
        <v>29194</v>
      </c>
      <c r="J9958" s="2" t="s">
        <v>29195</v>
      </c>
      <c r="K9958" s="2" t="s">
        <v>551</v>
      </c>
      <c r="L9958" s="2" t="s">
        <v>303</v>
      </c>
      <c r="M9958" s="2"/>
      <c r="N9958" s="2"/>
      <c r="O9958" s="2"/>
      <c r="P9958" s="2" t="s">
        <v>29196</v>
      </c>
      <c r="Q9958" s="6">
        <v>100</v>
      </c>
      <c r="R9958" s="2"/>
      <c r="S9958" s="2"/>
      <c r="T9958" s="2"/>
      <c r="U9958" s="2"/>
      <c r="V9958" s="2"/>
      <c r="W9958" s="4">
        <v>37</v>
      </c>
      <c r="X9958" s="4">
        <v>37</v>
      </c>
      <c r="Y9958" s="4">
        <v>37</v>
      </c>
      <c r="Z9958" s="4">
        <v>37</v>
      </c>
      <c r="AA9958" s="6">
        <v>0.03</v>
      </c>
      <c r="AB9958" s="2" t="s">
        <v>47</v>
      </c>
      <c r="AC9958" s="2"/>
    </row>
    <row r="9959" spans="1:29" ht="65" x14ac:dyDescent="0.15">
      <c r="A9959" s="3">
        <f>DATE(2011,4,15)</f>
        <v>40648</v>
      </c>
      <c r="B9959" s="3">
        <f>DATE(2011,6,6)</f>
        <v>40700</v>
      </c>
      <c r="C9959" s="2" t="s">
        <v>95</v>
      </c>
      <c r="D9959" s="2" t="s">
        <v>26405</v>
      </c>
      <c r="E9959" s="2" t="s">
        <v>26406</v>
      </c>
      <c r="F9959" s="4">
        <v>1381</v>
      </c>
      <c r="G9959" s="2" t="s">
        <v>148</v>
      </c>
      <c r="H9959" s="2" t="s">
        <v>34</v>
      </c>
      <c r="I9959" s="2" t="s">
        <v>10943</v>
      </c>
      <c r="J9959" s="2" t="s">
        <v>1608</v>
      </c>
      <c r="K9959" s="2" t="s">
        <v>148</v>
      </c>
      <c r="L9959" s="2" t="s">
        <v>34</v>
      </c>
      <c r="M9959" s="12">
        <v>21945.261999999999</v>
      </c>
      <c r="N9959" s="6">
        <v>32.729999999999997</v>
      </c>
      <c r="O9959" s="6">
        <v>31.98</v>
      </c>
      <c r="P9959" s="2" t="s">
        <v>29197</v>
      </c>
      <c r="Q9959" s="6">
        <v>100</v>
      </c>
      <c r="R9959" s="6">
        <v>11</v>
      </c>
      <c r="S9959" s="5">
        <v>-50.7</v>
      </c>
      <c r="T9959" s="7">
        <v>27.579000000000001</v>
      </c>
      <c r="U9959" s="5">
        <v>10.4</v>
      </c>
      <c r="V9959" s="6">
        <v>-1.31</v>
      </c>
      <c r="W9959" s="5">
        <v>10.4</v>
      </c>
      <c r="X9959" s="5">
        <v>10.4</v>
      </c>
      <c r="Y9959" s="4">
        <v>11</v>
      </c>
      <c r="Z9959" s="4">
        <v>11</v>
      </c>
      <c r="AA9959" s="6">
        <v>28.8</v>
      </c>
      <c r="AB9959" s="7">
        <v>147.62100000000001</v>
      </c>
      <c r="AC9959" s="8">
        <v>1113</v>
      </c>
    </row>
    <row r="9960" spans="1:29" ht="117" x14ac:dyDescent="0.15">
      <c r="A9960" s="3">
        <f>DATE(2011,4,18)</f>
        <v>40651</v>
      </c>
      <c r="B9960" s="3">
        <f>DATE(2011,8,1)</f>
        <v>40756</v>
      </c>
      <c r="C9960" s="2" t="s">
        <v>95</v>
      </c>
      <c r="D9960" s="2" t="s">
        <v>27970</v>
      </c>
      <c r="E9960" s="2" t="s">
        <v>515</v>
      </c>
      <c r="F9960" s="4">
        <v>6331</v>
      </c>
      <c r="G9960" s="2" t="s">
        <v>125</v>
      </c>
      <c r="H9960" s="2" t="s">
        <v>34</v>
      </c>
      <c r="I9960" s="2" t="s">
        <v>29198</v>
      </c>
      <c r="J9960" s="2" t="s">
        <v>29199</v>
      </c>
      <c r="K9960" s="2" t="s">
        <v>125</v>
      </c>
      <c r="L9960" s="2" t="s">
        <v>34</v>
      </c>
      <c r="M9960" s="2"/>
      <c r="N9960" s="2"/>
      <c r="O9960" s="2"/>
      <c r="P9960" s="2" t="s">
        <v>29200</v>
      </c>
      <c r="Q9960" s="6">
        <v>100</v>
      </c>
      <c r="R9960" s="6">
        <v>36.15</v>
      </c>
      <c r="S9960" s="5">
        <v>2.4</v>
      </c>
      <c r="T9960" s="2"/>
      <c r="U9960" s="2"/>
      <c r="V9960" s="2"/>
      <c r="W9960" s="5">
        <v>21.5</v>
      </c>
      <c r="X9960" s="5">
        <v>20.5</v>
      </c>
      <c r="Y9960" s="5">
        <v>20.5</v>
      </c>
      <c r="Z9960" s="6">
        <v>27.25</v>
      </c>
      <c r="AA9960" s="6">
        <v>1.79</v>
      </c>
      <c r="AB9960" s="2" t="s">
        <v>47</v>
      </c>
      <c r="AC9960" s="2"/>
    </row>
    <row r="9961" spans="1:29" ht="247" x14ac:dyDescent="0.15">
      <c r="A9961" s="3">
        <f>DATE(2011,4,18)</f>
        <v>40651</v>
      </c>
      <c r="B9961" s="3">
        <f>DATE(2012,6,14)</f>
        <v>41074</v>
      </c>
      <c r="C9961" s="2" t="s">
        <v>95</v>
      </c>
      <c r="D9961" s="2" t="s">
        <v>29201</v>
      </c>
      <c r="E9961" s="2" t="s">
        <v>4476</v>
      </c>
      <c r="F9961" s="4">
        <v>3842</v>
      </c>
      <c r="G9961" s="2" t="s">
        <v>226</v>
      </c>
      <c r="H9961" s="2" t="s">
        <v>34</v>
      </c>
      <c r="I9961" s="2" t="s">
        <v>5669</v>
      </c>
      <c r="J9961" s="2" t="s">
        <v>5670</v>
      </c>
      <c r="K9961" s="2" t="s">
        <v>130</v>
      </c>
      <c r="L9961" s="2" t="s">
        <v>34</v>
      </c>
      <c r="M9961" s="12">
        <v>160912.62299999999</v>
      </c>
      <c r="N9961" s="6">
        <v>60.46</v>
      </c>
      <c r="O9961" s="6">
        <v>62.69</v>
      </c>
      <c r="P9961" s="2" t="s">
        <v>29202</v>
      </c>
      <c r="Q9961" s="6">
        <v>100</v>
      </c>
      <c r="R9961" s="6">
        <v>168.91</v>
      </c>
      <c r="S9961" s="8">
        <v>1006.3</v>
      </c>
      <c r="T9961" s="12">
        <v>1760.1420000000001</v>
      </c>
      <c r="U9961" s="5">
        <v>56.8</v>
      </c>
      <c r="V9961" s="9">
        <v>8.4808000000000003</v>
      </c>
      <c r="W9961" s="5">
        <v>128.6</v>
      </c>
      <c r="X9961" s="5">
        <v>138.69999999999999</v>
      </c>
      <c r="Y9961" s="7">
        <v>146.429</v>
      </c>
      <c r="Z9961" s="7">
        <v>154.71299999999999</v>
      </c>
      <c r="AA9961" s="6">
        <v>118.78</v>
      </c>
      <c r="AB9961" s="7">
        <v>12.79</v>
      </c>
      <c r="AC9961" s="8">
        <v>33847</v>
      </c>
    </row>
    <row r="9962" spans="1:29" ht="156" x14ac:dyDescent="0.15">
      <c r="A9962" s="3">
        <f>DATE(2011,4,20)</f>
        <v>40653</v>
      </c>
      <c r="B9962" s="3">
        <f>DATE(2012,1,3)</f>
        <v>40911</v>
      </c>
      <c r="C9962" s="2" t="s">
        <v>95</v>
      </c>
      <c r="D9962" s="2" t="s">
        <v>29203</v>
      </c>
      <c r="E9962" s="2" t="s">
        <v>263</v>
      </c>
      <c r="F9962" s="4">
        <v>6021</v>
      </c>
      <c r="G9962" s="2" t="s">
        <v>37</v>
      </c>
      <c r="H9962" s="2" t="s">
        <v>34</v>
      </c>
      <c r="I9962" s="2" t="s">
        <v>22131</v>
      </c>
      <c r="J9962" s="2" t="s">
        <v>36</v>
      </c>
      <c r="K9962" s="2" t="s">
        <v>37</v>
      </c>
      <c r="L9962" s="2" t="s">
        <v>34</v>
      </c>
      <c r="M9962" s="7">
        <v>592.48900000000003</v>
      </c>
      <c r="N9962" s="6">
        <v>9.01</v>
      </c>
      <c r="O9962" s="6">
        <v>9.34</v>
      </c>
      <c r="P9962" s="2" t="s">
        <v>29204</v>
      </c>
      <c r="Q9962" s="6">
        <v>100</v>
      </c>
      <c r="R9962" s="2"/>
      <c r="S9962" s="5">
        <v>9.9</v>
      </c>
      <c r="T9962" s="2"/>
      <c r="U9962" s="5">
        <v>27.8</v>
      </c>
      <c r="V9962" s="6">
        <v>2.11</v>
      </c>
      <c r="W9962" s="4">
        <v>30</v>
      </c>
      <c r="X9962" s="6">
        <v>30.71</v>
      </c>
      <c r="Y9962" s="4">
        <v>44</v>
      </c>
      <c r="Z9962" s="6">
        <v>44.32</v>
      </c>
      <c r="AA9962" s="6">
        <v>4.6900000000000004</v>
      </c>
      <c r="AB9962" s="7">
        <v>37.061</v>
      </c>
      <c r="AC9962" s="2"/>
    </row>
    <row r="9963" spans="1:29" ht="78" x14ac:dyDescent="0.15">
      <c r="A9963" s="3">
        <f>DATE(2011,4,20)</f>
        <v>40653</v>
      </c>
      <c r="B9963" s="3">
        <f>DATE(2011,11,28)</f>
        <v>40875</v>
      </c>
      <c r="C9963" s="2" t="s">
        <v>95</v>
      </c>
      <c r="D9963" s="2" t="s">
        <v>29205</v>
      </c>
      <c r="E9963" s="2" t="s">
        <v>8365</v>
      </c>
      <c r="F9963" s="4">
        <v>4911</v>
      </c>
      <c r="G9963" s="2" t="s">
        <v>439</v>
      </c>
      <c r="H9963" s="2" t="s">
        <v>34</v>
      </c>
      <c r="I9963" s="2" t="s">
        <v>13274</v>
      </c>
      <c r="J9963" s="2" t="s">
        <v>13275</v>
      </c>
      <c r="K9963" s="2" t="s">
        <v>439</v>
      </c>
      <c r="L9963" s="2" t="s">
        <v>34</v>
      </c>
      <c r="M9963" s="12">
        <v>9821.6329999999998</v>
      </c>
      <c r="N9963" s="6">
        <v>12.88</v>
      </c>
      <c r="O9963" s="6">
        <v>13.01</v>
      </c>
      <c r="P9963" s="2" t="s">
        <v>29206</v>
      </c>
      <c r="Q9963" s="6">
        <v>100</v>
      </c>
      <c r="R9963" s="6">
        <v>30</v>
      </c>
      <c r="S9963" s="5">
        <v>413.4</v>
      </c>
      <c r="T9963" s="5">
        <v>624</v>
      </c>
      <c r="U9963" s="5">
        <v>10.6</v>
      </c>
      <c r="V9963" s="9">
        <v>2.2786</v>
      </c>
      <c r="W9963" s="6">
        <v>27.22</v>
      </c>
      <c r="X9963" s="6">
        <v>27.59</v>
      </c>
      <c r="Y9963" s="6">
        <v>30.17</v>
      </c>
      <c r="Z9963" s="6">
        <v>30.32</v>
      </c>
      <c r="AA9963" s="6">
        <v>117.28</v>
      </c>
      <c r="AB9963" s="7">
        <v>9.5749999999999993</v>
      </c>
      <c r="AC9963" s="8">
        <v>4250</v>
      </c>
    </row>
    <row r="9964" spans="1:29" ht="78" x14ac:dyDescent="0.15">
      <c r="A9964" s="3">
        <f>DATE(2011,4,20)</f>
        <v>40653</v>
      </c>
      <c r="B9964" s="3">
        <f>DATE(2011,6,10)</f>
        <v>40704</v>
      </c>
      <c r="C9964" s="2" t="s">
        <v>95</v>
      </c>
      <c r="D9964" s="2" t="s">
        <v>29207</v>
      </c>
      <c r="E9964" s="2" t="s">
        <v>367</v>
      </c>
      <c r="F9964" s="4">
        <v>6211</v>
      </c>
      <c r="G9964" s="2" t="s">
        <v>53</v>
      </c>
      <c r="H9964" s="2" t="s">
        <v>34</v>
      </c>
      <c r="I9964" s="2" t="s">
        <v>29208</v>
      </c>
      <c r="J9964" s="2" t="s">
        <v>11337</v>
      </c>
      <c r="K9964" s="2" t="s">
        <v>53</v>
      </c>
      <c r="L9964" s="2" t="s">
        <v>34</v>
      </c>
      <c r="M9964" s="2"/>
      <c r="N9964" s="2"/>
      <c r="O9964" s="2"/>
      <c r="P9964" s="2" t="s">
        <v>29209</v>
      </c>
      <c r="Q9964" s="6">
        <v>100</v>
      </c>
      <c r="R9964" s="6">
        <v>9.75</v>
      </c>
      <c r="S9964" s="5">
        <v>9.8000000000000007</v>
      </c>
      <c r="T9964" s="7">
        <v>17.388000000000002</v>
      </c>
      <c r="U9964" s="5">
        <v>4.5</v>
      </c>
      <c r="V9964" s="6">
        <v>0.25</v>
      </c>
      <c r="W9964" s="6">
        <v>7.22</v>
      </c>
      <c r="X9964" s="6">
        <v>7.16</v>
      </c>
      <c r="Y9964" s="6">
        <v>7.41</v>
      </c>
      <c r="Z9964" s="6">
        <v>9.69</v>
      </c>
      <c r="AA9964" s="6">
        <v>40.119999999999997</v>
      </c>
      <c r="AB9964" s="2" t="s">
        <v>86</v>
      </c>
      <c r="AC9964" s="2"/>
    </row>
    <row r="9965" spans="1:29" ht="130" x14ac:dyDescent="0.15">
      <c r="A9965" s="3">
        <f>DATE(2011,4,26)</f>
        <v>40659</v>
      </c>
      <c r="B9965" s="3">
        <f>DATE(2011,8,26)</f>
        <v>40781</v>
      </c>
      <c r="C9965" s="2" t="s">
        <v>95</v>
      </c>
      <c r="D9965" s="2" t="s">
        <v>29210</v>
      </c>
      <c r="E9965" s="2" t="s">
        <v>29211</v>
      </c>
      <c r="F9965" s="4">
        <v>3674</v>
      </c>
      <c r="G9965" s="2" t="s">
        <v>137</v>
      </c>
      <c r="H9965" s="2" t="s">
        <v>34</v>
      </c>
      <c r="I9965" s="2" t="s">
        <v>29212</v>
      </c>
      <c r="J9965" s="2" t="s">
        <v>11337</v>
      </c>
      <c r="K9965" s="2" t="s">
        <v>53</v>
      </c>
      <c r="L9965" s="2" t="s">
        <v>26898</v>
      </c>
      <c r="M9965" s="2"/>
      <c r="N9965" s="2"/>
      <c r="O9965" s="2"/>
      <c r="P9965" s="2" t="s">
        <v>29213</v>
      </c>
      <c r="Q9965" s="6">
        <v>100</v>
      </c>
      <c r="R9965" s="6">
        <v>9.25</v>
      </c>
      <c r="S9965" s="5">
        <v>40</v>
      </c>
      <c r="T9965" s="7">
        <v>96.665000000000006</v>
      </c>
      <c r="U9965" s="5">
        <v>5.0999999999999996</v>
      </c>
      <c r="V9965" s="6">
        <v>0.61</v>
      </c>
      <c r="W9965" s="6">
        <v>7.81</v>
      </c>
      <c r="X9965" s="7">
        <v>8.1750000000000007</v>
      </c>
      <c r="Y9965" s="6">
        <v>9.27</v>
      </c>
      <c r="Z9965" s="5">
        <v>9.1999999999999993</v>
      </c>
      <c r="AA9965" s="6">
        <v>63.48</v>
      </c>
      <c r="AB9965" s="7">
        <v>6.6959999999999997</v>
      </c>
      <c r="AC9965" s="2"/>
    </row>
    <row r="9966" spans="1:29" ht="143" x14ac:dyDescent="0.15">
      <c r="A9966" s="3">
        <f>DATE(2011,4,27)</f>
        <v>40660</v>
      </c>
      <c r="B9966" s="3">
        <f>DATE(2012,4,30)</f>
        <v>41029</v>
      </c>
      <c r="C9966" s="2" t="s">
        <v>95</v>
      </c>
      <c r="D9966" s="2" t="s">
        <v>29214</v>
      </c>
      <c r="E9966" s="2" t="s">
        <v>29215</v>
      </c>
      <c r="F9966" s="4">
        <v>6531</v>
      </c>
      <c r="G9966" s="2" t="s">
        <v>109</v>
      </c>
      <c r="H9966" s="2" t="s">
        <v>34</v>
      </c>
      <c r="I9966" s="2" t="s">
        <v>29216</v>
      </c>
      <c r="J9966" s="2" t="s">
        <v>11337</v>
      </c>
      <c r="K9966" s="2" t="s">
        <v>53</v>
      </c>
      <c r="L9966" s="2" t="s">
        <v>34</v>
      </c>
      <c r="M9966" s="2"/>
      <c r="N9966" s="2"/>
      <c r="O9966" s="2"/>
      <c r="P9966" s="2" t="s">
        <v>29217</v>
      </c>
      <c r="Q9966" s="6">
        <v>100</v>
      </c>
      <c r="R9966" s="6">
        <v>18.73</v>
      </c>
      <c r="S9966" s="5">
        <v>15.2</v>
      </c>
      <c r="T9966" s="7">
        <v>21.582999999999998</v>
      </c>
      <c r="U9966" s="5">
        <v>3.4</v>
      </c>
      <c r="V9966" s="6">
        <v>0.35</v>
      </c>
      <c r="W9966" s="5">
        <v>13.8</v>
      </c>
      <c r="X9966" s="6">
        <v>14.31</v>
      </c>
      <c r="Y9966" s="6">
        <v>14.37</v>
      </c>
      <c r="Z9966" s="6">
        <v>18.41</v>
      </c>
      <c r="AA9966" s="6">
        <v>48.59</v>
      </c>
      <c r="AB9966" s="7">
        <v>40.835000000000001</v>
      </c>
      <c r="AC9966" s="2"/>
    </row>
    <row r="9967" spans="1:29" ht="130" x14ac:dyDescent="0.15">
      <c r="A9967" s="3">
        <f>DATE(2011,4,27)</f>
        <v>40660</v>
      </c>
      <c r="B9967" s="3">
        <f>DATE(2011,7,15)</f>
        <v>40739</v>
      </c>
      <c r="C9967" s="2" t="s">
        <v>95</v>
      </c>
      <c r="D9967" s="2" t="s">
        <v>29218</v>
      </c>
      <c r="E9967" s="2" t="s">
        <v>29219</v>
      </c>
      <c r="F9967" s="4">
        <v>7376</v>
      </c>
      <c r="G9967" s="2" t="s">
        <v>223</v>
      </c>
      <c r="H9967" s="2" t="s">
        <v>34</v>
      </c>
      <c r="I9967" s="2" t="s">
        <v>19232</v>
      </c>
      <c r="J9967" s="2" t="s">
        <v>971</v>
      </c>
      <c r="K9967" s="2" t="s">
        <v>63</v>
      </c>
      <c r="L9967" s="2" t="s">
        <v>34</v>
      </c>
      <c r="M9967" s="12">
        <v>12753.078</v>
      </c>
      <c r="N9967" s="6">
        <v>40.14</v>
      </c>
      <c r="O9967" s="6">
        <v>40.42</v>
      </c>
      <c r="P9967" s="2" t="s">
        <v>29220</v>
      </c>
      <c r="Q9967" s="6">
        <v>100</v>
      </c>
      <c r="R9967" s="6">
        <v>40</v>
      </c>
      <c r="S9967" s="5">
        <v>-44.5</v>
      </c>
      <c r="T9967" s="7">
        <v>232.07499999999999</v>
      </c>
      <c r="U9967" s="5">
        <v>3.5</v>
      </c>
      <c r="V9967" s="6">
        <v>-0.8</v>
      </c>
      <c r="W9967" s="6">
        <v>36.54</v>
      </c>
      <c r="X9967" s="6">
        <v>36.020000000000003</v>
      </c>
      <c r="Y9967" s="6">
        <v>39.29</v>
      </c>
      <c r="Z9967" s="6">
        <v>39.22</v>
      </c>
      <c r="AA9967" s="6">
        <v>60.12</v>
      </c>
      <c r="AB9967" s="7">
        <v>73.730999999999995</v>
      </c>
      <c r="AC9967" s="6">
        <v>269.66000000000003</v>
      </c>
    </row>
    <row r="9968" spans="1:29" ht="117" x14ac:dyDescent="0.15">
      <c r="A9968" s="3">
        <f>DATE(2011,4,27)</f>
        <v>40660</v>
      </c>
      <c r="B9968" s="3">
        <f>DATE(2011,6,16)</f>
        <v>40710</v>
      </c>
      <c r="C9968" s="2" t="s">
        <v>95</v>
      </c>
      <c r="D9968" s="2" t="s">
        <v>29221</v>
      </c>
      <c r="E9968" s="2" t="s">
        <v>29222</v>
      </c>
      <c r="F9968" s="4">
        <v>7372</v>
      </c>
      <c r="G9968" s="2" t="s">
        <v>551</v>
      </c>
      <c r="H9968" s="2" t="s">
        <v>34</v>
      </c>
      <c r="I9968" s="2" t="s">
        <v>29223</v>
      </c>
      <c r="J9968" s="2" t="s">
        <v>10606</v>
      </c>
      <c r="K9968" s="2" t="s">
        <v>226</v>
      </c>
      <c r="L9968" s="2" t="s">
        <v>99</v>
      </c>
      <c r="M9968" s="2"/>
      <c r="N9968" s="2"/>
      <c r="O9968" s="2"/>
      <c r="P9968" s="2" t="s">
        <v>29224</v>
      </c>
      <c r="Q9968" s="6">
        <v>100</v>
      </c>
      <c r="R9968" s="6">
        <v>18.75</v>
      </c>
      <c r="S9968" s="5">
        <v>0.2</v>
      </c>
      <c r="T9968" s="6">
        <v>3.11</v>
      </c>
      <c r="U9968" s="5">
        <v>10.3</v>
      </c>
      <c r="V9968" s="6">
        <v>0.02</v>
      </c>
      <c r="W9968" s="6">
        <v>13.55</v>
      </c>
      <c r="X9968" s="6">
        <v>14.26</v>
      </c>
      <c r="Y9968" s="6">
        <v>14.18</v>
      </c>
      <c r="Z9968" s="6">
        <v>18.64</v>
      </c>
      <c r="AA9968" s="6">
        <v>14.02</v>
      </c>
      <c r="AB9968" s="2" t="s">
        <v>86</v>
      </c>
      <c r="AC9968" s="2"/>
    </row>
    <row r="9969" spans="1:29" ht="208" x14ac:dyDescent="0.15">
      <c r="A9969" s="3">
        <f>DATE(2011,4,28)</f>
        <v>40661</v>
      </c>
      <c r="B9969" s="3">
        <f>DATE(2012,3,12)</f>
        <v>40980</v>
      </c>
      <c r="C9969" s="2" t="s">
        <v>95</v>
      </c>
      <c r="D9969" s="2" t="s">
        <v>23628</v>
      </c>
      <c r="E9969" s="2" t="s">
        <v>3759</v>
      </c>
      <c r="F9969" s="4">
        <v>4911</v>
      </c>
      <c r="G9969" s="2" t="s">
        <v>439</v>
      </c>
      <c r="H9969" s="2" t="s">
        <v>34</v>
      </c>
      <c r="I9969" s="2" t="s">
        <v>22571</v>
      </c>
      <c r="J9969" s="2" t="s">
        <v>3759</v>
      </c>
      <c r="K9969" s="2" t="s">
        <v>439</v>
      </c>
      <c r="L9969" s="2" t="s">
        <v>34</v>
      </c>
      <c r="M9969" s="10">
        <v>27316.83</v>
      </c>
      <c r="N9969" s="6">
        <v>42.18</v>
      </c>
      <c r="O9969" s="6">
        <v>42.17</v>
      </c>
      <c r="P9969" s="2" t="s">
        <v>29225</v>
      </c>
      <c r="Q9969" s="6">
        <v>100</v>
      </c>
      <c r="R9969" s="6">
        <v>38.590000000000003</v>
      </c>
      <c r="S9969" s="8">
        <v>-1081.3</v>
      </c>
      <c r="T9969" s="8">
        <v>2320.1</v>
      </c>
      <c r="U9969" s="5">
        <v>41.1</v>
      </c>
      <c r="V9969" s="6">
        <v>-5.5</v>
      </c>
      <c r="W9969" s="6">
        <v>31.56</v>
      </c>
      <c r="X9969" s="5">
        <v>32.299999999999997</v>
      </c>
      <c r="Y9969" s="6">
        <v>32.44</v>
      </c>
      <c r="Z9969" s="6">
        <v>32.729999999999997</v>
      </c>
      <c r="AA9969" s="6">
        <v>199.85</v>
      </c>
      <c r="AB9969" s="7">
        <v>6.4459999999999997</v>
      </c>
      <c r="AC9969" s="5">
        <v>971</v>
      </c>
    </row>
    <row r="9970" spans="1:29" ht="104" x14ac:dyDescent="0.15">
      <c r="A9970" s="3">
        <f>DATE(2011,4,28)</f>
        <v>40661</v>
      </c>
      <c r="B9970" s="3">
        <f>DATE(2012,1,1)</f>
        <v>40909</v>
      </c>
      <c r="C9970" s="2" t="s">
        <v>95</v>
      </c>
      <c r="D9970" s="2" t="s">
        <v>29226</v>
      </c>
      <c r="E9970" s="2" t="s">
        <v>36</v>
      </c>
      <c r="F9970" s="4">
        <v>6022</v>
      </c>
      <c r="G9970" s="2" t="s">
        <v>37</v>
      </c>
      <c r="H9970" s="2" t="s">
        <v>34</v>
      </c>
      <c r="I9970" s="2" t="s">
        <v>204</v>
      </c>
      <c r="J9970" s="2" t="s">
        <v>36</v>
      </c>
      <c r="K9970" s="2" t="s">
        <v>37</v>
      </c>
      <c r="L9970" s="2" t="s">
        <v>34</v>
      </c>
      <c r="M9970" s="12">
        <v>2251.5479999999998</v>
      </c>
      <c r="N9970" s="6">
        <v>14.41</v>
      </c>
      <c r="O9970" s="6">
        <v>14.32</v>
      </c>
      <c r="P9970" s="2" t="s">
        <v>29227</v>
      </c>
      <c r="Q9970" s="6">
        <v>100</v>
      </c>
      <c r="R9970" s="6">
        <v>14.19</v>
      </c>
      <c r="S9970" s="5">
        <v>11.5</v>
      </c>
      <c r="T9970" s="6">
        <v>19.57</v>
      </c>
      <c r="U9970" s="5">
        <v>7.1</v>
      </c>
      <c r="V9970" s="6">
        <v>0.56999999999999995</v>
      </c>
      <c r="W9970" s="5">
        <v>10.6</v>
      </c>
      <c r="X9970" s="6">
        <v>10.75</v>
      </c>
      <c r="Y9970" s="6">
        <v>10.96</v>
      </c>
      <c r="Z9970" s="5">
        <v>13.2</v>
      </c>
      <c r="AA9970" s="6">
        <v>16.66</v>
      </c>
      <c r="AB9970" s="7">
        <v>19.431000000000001</v>
      </c>
      <c r="AC9970" s="2"/>
    </row>
    <row r="9971" spans="1:29" ht="169" x14ac:dyDescent="0.15">
      <c r="A9971" s="3">
        <f>DATE(2011,4,28)</f>
        <v>40661</v>
      </c>
      <c r="B9971" s="3">
        <f>DATE(2011,6,15)</f>
        <v>40709</v>
      </c>
      <c r="C9971" s="2" t="s">
        <v>95</v>
      </c>
      <c r="D9971" s="2" t="s">
        <v>26928</v>
      </c>
      <c r="E9971" s="2" t="s">
        <v>29228</v>
      </c>
      <c r="F9971" s="4">
        <v>3674</v>
      </c>
      <c r="G9971" s="2" t="s">
        <v>137</v>
      </c>
      <c r="H9971" s="2" t="s">
        <v>34</v>
      </c>
      <c r="I9971" s="2" t="s">
        <v>29229</v>
      </c>
      <c r="J9971" s="2" t="s">
        <v>1608</v>
      </c>
      <c r="K9971" s="2" t="s">
        <v>148</v>
      </c>
      <c r="L9971" s="2" t="s">
        <v>34</v>
      </c>
      <c r="M9971" s="2"/>
      <c r="N9971" s="2"/>
      <c r="O9971" s="2"/>
      <c r="P9971" s="2" t="s">
        <v>29230</v>
      </c>
      <c r="Q9971" s="6">
        <v>56.45</v>
      </c>
      <c r="R9971" s="6">
        <v>23.25</v>
      </c>
      <c r="S9971" s="5">
        <v>163.80000000000001</v>
      </c>
      <c r="T9971" s="7">
        <v>294.01900000000001</v>
      </c>
      <c r="U9971" s="5">
        <v>16.399999999999999</v>
      </c>
      <c r="V9971" s="6">
        <v>1.43</v>
      </c>
      <c r="W9971" s="5">
        <v>15.9</v>
      </c>
      <c r="X9971" s="5">
        <v>15.9</v>
      </c>
      <c r="Y9971" s="6">
        <v>16.12</v>
      </c>
      <c r="Z9971" s="6">
        <v>21.69</v>
      </c>
      <c r="AA9971" s="6">
        <v>98.21</v>
      </c>
      <c r="AB9971" s="7">
        <v>17.228000000000002</v>
      </c>
      <c r="AC9971" s="2"/>
    </row>
    <row r="9972" spans="1:29" ht="221" x14ac:dyDescent="0.15">
      <c r="A9972" s="3">
        <f>DATE(2011,4,29)</f>
        <v>40662</v>
      </c>
      <c r="B9972" s="3">
        <f>DATE(2011,7,22)</f>
        <v>40746</v>
      </c>
      <c r="C9972" s="2" t="s">
        <v>95</v>
      </c>
      <c r="D9972" s="2" t="s">
        <v>26087</v>
      </c>
      <c r="E9972" s="2" t="s">
        <v>26088</v>
      </c>
      <c r="F9972" s="4">
        <v>4213</v>
      </c>
      <c r="G9972" s="2" t="s">
        <v>173</v>
      </c>
      <c r="H9972" s="2" t="s">
        <v>34</v>
      </c>
      <c r="I9972" s="2" t="s">
        <v>26087</v>
      </c>
      <c r="J9972" s="2" t="s">
        <v>26088</v>
      </c>
      <c r="K9972" s="2" t="s">
        <v>173</v>
      </c>
      <c r="L9972" s="2" t="s">
        <v>34</v>
      </c>
      <c r="M9972" s="7">
        <v>86.465000000000003</v>
      </c>
      <c r="N9972" s="6">
        <v>1.98</v>
      </c>
      <c r="O9972" s="6">
        <v>1.51</v>
      </c>
      <c r="P9972" s="2" t="s">
        <v>29231</v>
      </c>
      <c r="Q9972" s="2"/>
      <c r="R9972" s="2"/>
      <c r="S9972" s="5">
        <v>-149.9</v>
      </c>
      <c r="T9972" s="7">
        <v>142.697</v>
      </c>
      <c r="U9972" s="8">
        <v>-1793.2</v>
      </c>
      <c r="V9972" s="7">
        <v>-416.69900000000001</v>
      </c>
      <c r="W9972" s="6">
        <v>3.48</v>
      </c>
      <c r="X9972" s="6">
        <v>3.42</v>
      </c>
      <c r="Y9972" s="6">
        <v>2.68</v>
      </c>
      <c r="Z9972" s="6">
        <v>2.2799999999999998</v>
      </c>
      <c r="AA9972" s="6">
        <v>47.77</v>
      </c>
      <c r="AB9972" s="2" t="s">
        <v>86</v>
      </c>
      <c r="AC9972" s="2"/>
    </row>
    <row r="9973" spans="1:29" ht="117" x14ac:dyDescent="0.15">
      <c r="A9973" s="3">
        <f>DATE(2011,5,2)</f>
        <v>40665</v>
      </c>
      <c r="B9973" s="3">
        <f>DATE(2011,10,14)</f>
        <v>40830</v>
      </c>
      <c r="C9973" s="2" t="s">
        <v>95</v>
      </c>
      <c r="D9973" s="2" t="s">
        <v>17260</v>
      </c>
      <c r="E9973" s="2" t="s">
        <v>7462</v>
      </c>
      <c r="F9973" s="4">
        <v>2834</v>
      </c>
      <c r="G9973" s="2" t="s">
        <v>130</v>
      </c>
      <c r="H9973" s="2" t="s">
        <v>34</v>
      </c>
      <c r="I9973" s="2" t="s">
        <v>7461</v>
      </c>
      <c r="J9973" s="2" t="s">
        <v>7462</v>
      </c>
      <c r="K9973" s="2" t="s">
        <v>130</v>
      </c>
      <c r="L9973" s="2" t="s">
        <v>4242</v>
      </c>
      <c r="M9973" s="12">
        <v>48208.512000000002</v>
      </c>
      <c r="N9973" s="7">
        <v>47.875</v>
      </c>
      <c r="O9973" s="7">
        <v>47.122999999999998</v>
      </c>
      <c r="P9973" s="2" t="s">
        <v>29232</v>
      </c>
      <c r="Q9973" s="6">
        <v>100</v>
      </c>
      <c r="R9973" s="6">
        <v>81.5</v>
      </c>
      <c r="S9973" s="5">
        <v>526.29999999999995</v>
      </c>
      <c r="T9973" s="12">
        <v>1089.6410000000001</v>
      </c>
      <c r="U9973" s="5">
        <v>39</v>
      </c>
      <c r="V9973" s="6">
        <v>6.56</v>
      </c>
      <c r="W9973" s="6">
        <v>56.29</v>
      </c>
      <c r="X9973" s="6">
        <v>57.57</v>
      </c>
      <c r="Y9973" s="6">
        <v>58.75</v>
      </c>
      <c r="Z9973" s="6">
        <v>75.44</v>
      </c>
      <c r="AA9973" s="6">
        <v>75.73</v>
      </c>
      <c r="AB9973" s="7">
        <v>7.2809999999999997</v>
      </c>
      <c r="AC9973" s="6">
        <v>749.29</v>
      </c>
    </row>
    <row r="9974" spans="1:29" ht="130" x14ac:dyDescent="0.15">
      <c r="A9974" s="3">
        <f>DATE(2011,5,2)</f>
        <v>40665</v>
      </c>
      <c r="B9974" s="3">
        <f>DATE(2011,6,15)</f>
        <v>40709</v>
      </c>
      <c r="C9974" s="2" t="s">
        <v>95</v>
      </c>
      <c r="D9974" s="2" t="s">
        <v>29233</v>
      </c>
      <c r="E9974" s="2" t="s">
        <v>11539</v>
      </c>
      <c r="F9974" s="4">
        <v>1221</v>
      </c>
      <c r="G9974" s="2" t="s">
        <v>166</v>
      </c>
      <c r="H9974" s="2" t="s">
        <v>34</v>
      </c>
      <c r="I9974" s="2" t="s">
        <v>29234</v>
      </c>
      <c r="J9974" s="2" t="s">
        <v>302</v>
      </c>
      <c r="K9974" s="2" t="s">
        <v>53</v>
      </c>
      <c r="L9974" s="2" t="s">
        <v>34</v>
      </c>
      <c r="M9974" s="2"/>
      <c r="N9974" s="6">
        <v>33.53</v>
      </c>
      <c r="O9974" s="6">
        <v>32.14</v>
      </c>
      <c r="P9974" s="2" t="s">
        <v>29235</v>
      </c>
      <c r="Q9974" s="6">
        <v>100</v>
      </c>
      <c r="R9974" s="6">
        <v>14.6</v>
      </c>
      <c r="S9974" s="5">
        <v>32.6</v>
      </c>
      <c r="T9974" s="7">
        <v>181.82499999999999</v>
      </c>
      <c r="U9974" s="5">
        <v>3.7</v>
      </c>
      <c r="V9974" s="6">
        <v>0.16</v>
      </c>
      <c r="W9974" s="6">
        <v>10.75</v>
      </c>
      <c r="X9974" s="6">
        <v>11.03</v>
      </c>
      <c r="Y9974" s="6">
        <v>14.43</v>
      </c>
      <c r="Z9974" s="6">
        <v>14.46</v>
      </c>
      <c r="AA9974" s="6">
        <v>203.84</v>
      </c>
      <c r="AB9974" s="7">
        <v>46.465000000000003</v>
      </c>
      <c r="AC9974" s="2"/>
    </row>
    <row r="9975" spans="1:29" ht="143" x14ac:dyDescent="0.15">
      <c r="A9975" s="3">
        <f>DATE(2011,5,2)</f>
        <v>40665</v>
      </c>
      <c r="B9975" s="3">
        <f>DATE(2011,6,24)</f>
        <v>40718</v>
      </c>
      <c r="C9975" s="2" t="s">
        <v>95</v>
      </c>
      <c r="D9975" s="2" t="s">
        <v>29236</v>
      </c>
      <c r="E9975" s="2" t="s">
        <v>29237</v>
      </c>
      <c r="F9975" s="4">
        <v>2329</v>
      </c>
      <c r="G9975" s="2" t="s">
        <v>708</v>
      </c>
      <c r="H9975" s="2" t="s">
        <v>34</v>
      </c>
      <c r="I9975" s="2" t="s">
        <v>29238</v>
      </c>
      <c r="J9975" s="2" t="s">
        <v>29239</v>
      </c>
      <c r="K9975" s="2" t="s">
        <v>756</v>
      </c>
      <c r="L9975" s="2" t="s">
        <v>133</v>
      </c>
      <c r="M9975" s="12">
        <v>19902.796999999999</v>
      </c>
      <c r="N9975" s="7">
        <v>178.74600000000001</v>
      </c>
      <c r="O9975" s="7">
        <v>180.28200000000001</v>
      </c>
      <c r="P9975" s="2" t="s">
        <v>29240</v>
      </c>
      <c r="Q9975" s="6">
        <v>100</v>
      </c>
      <c r="R9975" s="6">
        <v>24.5</v>
      </c>
      <c r="S9975" s="5">
        <v>19.399999999999999</v>
      </c>
      <c r="T9975" s="7">
        <v>35.384</v>
      </c>
      <c r="U9975" s="5">
        <v>9.1999999999999993</v>
      </c>
      <c r="V9975" s="6">
        <v>0.79</v>
      </c>
      <c r="W9975" s="6">
        <v>18.57</v>
      </c>
      <c r="X9975" s="6">
        <v>19.73</v>
      </c>
      <c r="Y9975" s="5">
        <v>24.4</v>
      </c>
      <c r="Z9975" s="6">
        <v>24.38</v>
      </c>
      <c r="AA9975" s="6">
        <v>24.43</v>
      </c>
      <c r="AB9975" s="7">
        <v>17.858000000000001</v>
      </c>
      <c r="AC9975" s="10">
        <v>1937.19</v>
      </c>
    </row>
    <row r="9976" spans="1:29" ht="104" x14ac:dyDescent="0.15">
      <c r="A9976" s="3">
        <f>DATE(2011,5,4)</f>
        <v>40667</v>
      </c>
      <c r="B9976" s="3">
        <f>DATE(2011,7,12)</f>
        <v>40736</v>
      </c>
      <c r="C9976" s="2" t="s">
        <v>95</v>
      </c>
      <c r="D9976" s="2" t="s">
        <v>29241</v>
      </c>
      <c r="E9976" s="2" t="s">
        <v>25917</v>
      </c>
      <c r="F9976" s="4">
        <v>8731</v>
      </c>
      <c r="G9976" s="2" t="s">
        <v>223</v>
      </c>
      <c r="H9976" s="2" t="s">
        <v>34</v>
      </c>
      <c r="I9976" s="2" t="s">
        <v>29242</v>
      </c>
      <c r="J9976" s="2" t="s">
        <v>13465</v>
      </c>
      <c r="K9976" s="2" t="s">
        <v>223</v>
      </c>
      <c r="L9976" s="2" t="s">
        <v>34</v>
      </c>
      <c r="M9976" s="2"/>
      <c r="N9976" s="2"/>
      <c r="O9976" s="2"/>
      <c r="P9976" s="2" t="s">
        <v>29243</v>
      </c>
      <c r="Q9976" s="6">
        <v>100</v>
      </c>
      <c r="R9976" s="6">
        <v>15.25</v>
      </c>
      <c r="S9976" s="5">
        <v>-8.6999999999999993</v>
      </c>
      <c r="T9976" s="6">
        <v>25.04</v>
      </c>
      <c r="U9976" s="5">
        <v>15.6</v>
      </c>
      <c r="V9976" s="6">
        <v>-0.48</v>
      </c>
      <c r="W9976" s="6">
        <v>10.029999999999999</v>
      </c>
      <c r="X9976" s="6">
        <v>9.91</v>
      </c>
      <c r="Y9976" s="5">
        <v>9.5</v>
      </c>
      <c r="Z9976" s="6">
        <v>14.98</v>
      </c>
      <c r="AA9976" s="6">
        <v>15.01</v>
      </c>
      <c r="AB9976" s="7">
        <v>47.929000000000002</v>
      </c>
      <c r="AC9976" s="2"/>
    </row>
    <row r="9977" spans="1:29" ht="169" x14ac:dyDescent="0.15">
      <c r="A9977" s="3">
        <f>DATE(2011,5,4)</f>
        <v>40667</v>
      </c>
      <c r="B9977" s="2"/>
      <c r="C9977" s="2" t="s">
        <v>30</v>
      </c>
      <c r="D9977" s="2" t="s">
        <v>17395</v>
      </c>
      <c r="E9977" s="2" t="s">
        <v>17396</v>
      </c>
      <c r="F9977" s="4">
        <v>2043</v>
      </c>
      <c r="G9977" s="2" t="s">
        <v>577</v>
      </c>
      <c r="H9977" s="2" t="s">
        <v>34</v>
      </c>
      <c r="I9977" s="2" t="s">
        <v>29244</v>
      </c>
      <c r="J9977" s="2" t="s">
        <v>29245</v>
      </c>
      <c r="K9977" s="2" t="s">
        <v>577</v>
      </c>
      <c r="L9977" s="2" t="s">
        <v>34</v>
      </c>
      <c r="M9977" s="12">
        <v>9768.4089999999997</v>
      </c>
      <c r="N9977" s="6">
        <v>25.51</v>
      </c>
      <c r="O9977" s="6">
        <v>25.07</v>
      </c>
      <c r="P9977" s="2" t="s">
        <v>29246</v>
      </c>
      <c r="Q9977" s="2"/>
      <c r="R9977" s="6">
        <v>94</v>
      </c>
      <c r="S9977" s="5">
        <v>224.8</v>
      </c>
      <c r="T9977" s="5">
        <v>766.4</v>
      </c>
      <c r="U9977" s="5">
        <v>55.5</v>
      </c>
      <c r="V9977" s="6">
        <v>4.05</v>
      </c>
      <c r="W9977" s="6">
        <v>69.239999999999995</v>
      </c>
      <c r="X9977" s="6">
        <v>71.42</v>
      </c>
      <c r="Y9977" s="5">
        <v>77.8</v>
      </c>
      <c r="Z9977" s="5">
        <v>84.6</v>
      </c>
      <c r="AA9977" s="6">
        <v>54.98</v>
      </c>
      <c r="AB9977" s="7">
        <v>13.372999999999999</v>
      </c>
      <c r="AC9977" s="8">
        <v>1178.5999999999999</v>
      </c>
    </row>
    <row r="9978" spans="1:29" ht="78" x14ac:dyDescent="0.15">
      <c r="A9978" s="3">
        <f>DATE(2011,5,4)</f>
        <v>40667</v>
      </c>
      <c r="B9978" s="3">
        <f>DATE(2011,11,10)</f>
        <v>40857</v>
      </c>
      <c r="C9978" s="2" t="s">
        <v>95</v>
      </c>
      <c r="D9978" s="2" t="s">
        <v>29247</v>
      </c>
      <c r="E9978" s="2" t="s">
        <v>17160</v>
      </c>
      <c r="F9978" s="4">
        <v>3674</v>
      </c>
      <c r="G9978" s="2" t="s">
        <v>137</v>
      </c>
      <c r="H9978" s="2" t="s">
        <v>34</v>
      </c>
      <c r="I9978" s="2" t="s">
        <v>29248</v>
      </c>
      <c r="J9978" s="2" t="s">
        <v>29249</v>
      </c>
      <c r="K9978" s="2" t="s">
        <v>137</v>
      </c>
      <c r="L9978" s="2" t="s">
        <v>34</v>
      </c>
      <c r="M9978" s="2"/>
      <c r="N9978" s="2"/>
      <c r="O9978" s="2"/>
      <c r="P9978" s="2" t="s">
        <v>29250</v>
      </c>
      <c r="Q9978" s="6">
        <v>100</v>
      </c>
      <c r="R9978" s="6">
        <v>63</v>
      </c>
      <c r="S9978" s="5">
        <v>258.60000000000002</v>
      </c>
      <c r="T9978" s="7">
        <v>312.97399999999999</v>
      </c>
      <c r="U9978" s="5">
        <v>11.6</v>
      </c>
      <c r="V9978" s="6">
        <v>3.41</v>
      </c>
      <c r="W9978" s="6">
        <v>46.84</v>
      </c>
      <c r="X9978" s="6">
        <v>40.549999999999997</v>
      </c>
      <c r="Y9978" s="6">
        <v>61.36</v>
      </c>
      <c r="Z9978" s="5">
        <v>61.2</v>
      </c>
      <c r="AA9978" s="6">
        <v>75.42</v>
      </c>
      <c r="AB9978" s="7">
        <v>14.326000000000001</v>
      </c>
      <c r="AC9978" s="2"/>
    </row>
    <row r="9979" spans="1:29" ht="104" x14ac:dyDescent="0.15">
      <c r="A9979" s="3">
        <f>DATE(2011,5,5)</f>
        <v>40668</v>
      </c>
      <c r="B9979" s="3">
        <f>DATE(2011,9,7)</f>
        <v>40793</v>
      </c>
      <c r="C9979" s="2" t="s">
        <v>95</v>
      </c>
      <c r="D9979" s="2" t="s">
        <v>29251</v>
      </c>
      <c r="E9979" s="2" t="s">
        <v>36</v>
      </c>
      <c r="F9979" s="4">
        <v>6022</v>
      </c>
      <c r="G9979" s="2" t="s">
        <v>37</v>
      </c>
      <c r="H9979" s="2" t="s">
        <v>34</v>
      </c>
      <c r="I9979" s="2" t="s">
        <v>28783</v>
      </c>
      <c r="J9979" s="2" t="s">
        <v>36</v>
      </c>
      <c r="K9979" s="2" t="s">
        <v>37</v>
      </c>
      <c r="L9979" s="2" t="s">
        <v>34</v>
      </c>
      <c r="M9979" s="2"/>
      <c r="N9979" s="2"/>
      <c r="O9979" s="2"/>
      <c r="P9979" s="2" t="s">
        <v>29252</v>
      </c>
      <c r="Q9979" s="6">
        <v>90.1</v>
      </c>
      <c r="R9979" s="2"/>
      <c r="S9979" s="5">
        <v>-94.2</v>
      </c>
      <c r="T9979" s="7">
        <v>-76.131</v>
      </c>
      <c r="U9979" s="5">
        <v>4.9000000000000004</v>
      </c>
      <c r="V9979" s="6">
        <v>-6.77</v>
      </c>
      <c r="W9979" s="6">
        <v>2.0699999999999998</v>
      </c>
      <c r="X9979" s="6">
        <v>2.2599999999999998</v>
      </c>
      <c r="Y9979" s="6">
        <v>2.35</v>
      </c>
      <c r="Z9979" s="6">
        <v>2.33</v>
      </c>
      <c r="AA9979" s="6">
        <v>13.19</v>
      </c>
      <c r="AB9979" s="2" t="s">
        <v>86</v>
      </c>
      <c r="AC9979" s="2"/>
    </row>
    <row r="9980" spans="1:29" ht="65" x14ac:dyDescent="0.15">
      <c r="A9980" s="3">
        <f>DATE(2011,5,5)</f>
        <v>40668</v>
      </c>
      <c r="B9980" s="2"/>
      <c r="C9980" s="2" t="s">
        <v>7330</v>
      </c>
      <c r="D9980" s="2" t="s">
        <v>19713</v>
      </c>
      <c r="E9980" s="2" t="s">
        <v>24154</v>
      </c>
      <c r="F9980" s="4">
        <v>4911</v>
      </c>
      <c r="G9980" s="2" t="s">
        <v>439</v>
      </c>
      <c r="H9980" s="2" t="s">
        <v>34</v>
      </c>
      <c r="I9980" s="2" t="s">
        <v>1526</v>
      </c>
      <c r="J9980" s="2" t="s">
        <v>302</v>
      </c>
      <c r="K9980" s="2" t="s">
        <v>53</v>
      </c>
      <c r="L9980" s="2" t="s">
        <v>34</v>
      </c>
      <c r="M9980" s="2"/>
      <c r="N9980" s="2"/>
      <c r="O9980" s="2"/>
      <c r="P9980" s="2" t="s">
        <v>29253</v>
      </c>
      <c r="Q9980" s="2"/>
      <c r="R9980" s="2"/>
      <c r="S9980" s="5">
        <v>159</v>
      </c>
      <c r="T9980" s="8">
        <v>1976</v>
      </c>
      <c r="U9980" s="5">
        <v>31.5</v>
      </c>
      <c r="V9980" s="6">
        <v>0.54</v>
      </c>
      <c r="W9980" s="6">
        <v>23.93</v>
      </c>
      <c r="X9980" s="6">
        <v>23.81</v>
      </c>
      <c r="Y9980" s="6">
        <v>23.72</v>
      </c>
      <c r="Z9980" s="6">
        <v>24.09</v>
      </c>
      <c r="AA9980" s="6">
        <v>241.09</v>
      </c>
      <c r="AB9980" s="2" t="s">
        <v>47</v>
      </c>
      <c r="AC9980" s="2"/>
    </row>
    <row r="9981" spans="1:29" ht="182" x14ac:dyDescent="0.15">
      <c r="A9981" s="3">
        <f>DATE(2011,5,6)</f>
        <v>40669</v>
      </c>
      <c r="B9981" s="3">
        <f>DATE(2011,7,20)</f>
        <v>40744</v>
      </c>
      <c r="C9981" s="2" t="s">
        <v>95</v>
      </c>
      <c r="D9981" s="2" t="s">
        <v>24053</v>
      </c>
      <c r="E9981" s="2" t="s">
        <v>24054</v>
      </c>
      <c r="F9981" s="4">
        <v>3652</v>
      </c>
      <c r="G9981" s="2" t="s">
        <v>137</v>
      </c>
      <c r="H9981" s="2" t="s">
        <v>34</v>
      </c>
      <c r="I9981" s="2" t="s">
        <v>29254</v>
      </c>
      <c r="J9981" s="2" t="s">
        <v>1072</v>
      </c>
      <c r="K9981" s="2" t="s">
        <v>53</v>
      </c>
      <c r="L9981" s="2" t="s">
        <v>34</v>
      </c>
      <c r="M9981" s="2"/>
      <c r="N9981" s="2"/>
      <c r="O9981" s="2"/>
      <c r="P9981" s="2" t="s">
        <v>29255</v>
      </c>
      <c r="Q9981" s="6">
        <v>100</v>
      </c>
      <c r="R9981" s="6">
        <v>8.25</v>
      </c>
      <c r="S9981" s="5">
        <v>-117</v>
      </c>
      <c r="T9981" s="5">
        <v>321</v>
      </c>
      <c r="U9981" s="5">
        <v>-2</v>
      </c>
      <c r="V9981" s="9">
        <v>-1.0470999999999999</v>
      </c>
      <c r="W9981" s="6">
        <v>5.26</v>
      </c>
      <c r="X9981" s="5">
        <v>4.9000000000000004</v>
      </c>
      <c r="Y9981" s="6">
        <v>4.72</v>
      </c>
      <c r="Z9981" s="6">
        <v>6.01</v>
      </c>
      <c r="AA9981" s="6">
        <v>154.97999999999999</v>
      </c>
      <c r="AB9981" s="7">
        <v>47.41</v>
      </c>
      <c r="AC9981" s="2"/>
    </row>
    <row r="9982" spans="1:29" ht="221" x14ac:dyDescent="0.15">
      <c r="A9982" s="3">
        <f>DATE(2011,5,9)</f>
        <v>40672</v>
      </c>
      <c r="B9982" s="2"/>
      <c r="C9982" s="2" t="s">
        <v>30</v>
      </c>
      <c r="D9982" s="2" t="s">
        <v>28227</v>
      </c>
      <c r="E9982" s="2" t="s">
        <v>10774</v>
      </c>
      <c r="F9982" s="4">
        <v>7514</v>
      </c>
      <c r="G9982" s="2" t="s">
        <v>1327</v>
      </c>
      <c r="H9982" s="2" t="s">
        <v>34</v>
      </c>
      <c r="I9982" s="2" t="s">
        <v>28228</v>
      </c>
      <c r="J9982" s="2" t="s">
        <v>28229</v>
      </c>
      <c r="K9982" s="2" t="s">
        <v>1327</v>
      </c>
      <c r="L9982" s="2" t="s">
        <v>34</v>
      </c>
      <c r="M9982" s="12">
        <v>6657.0919999999996</v>
      </c>
      <c r="N9982" s="6">
        <v>16.68</v>
      </c>
      <c r="O9982" s="6">
        <v>16.59</v>
      </c>
      <c r="P9982" s="2" t="s">
        <v>29256</v>
      </c>
      <c r="Q9982" s="2"/>
      <c r="R9982" s="6">
        <v>72</v>
      </c>
      <c r="S9982" s="5">
        <v>120.4</v>
      </c>
      <c r="T9982" s="7">
        <v>651.69500000000005</v>
      </c>
      <c r="U9982" s="5">
        <v>19.3</v>
      </c>
      <c r="V9982" s="6">
        <v>3.97</v>
      </c>
      <c r="W9982" s="6">
        <v>43.07</v>
      </c>
      <c r="X9982" s="6">
        <v>43.99</v>
      </c>
      <c r="Y9982" s="5">
        <v>50.7</v>
      </c>
      <c r="Z9982" s="6">
        <v>51.55</v>
      </c>
      <c r="AA9982" s="6">
        <v>28.93</v>
      </c>
      <c r="AB9982" s="7">
        <v>11.17</v>
      </c>
      <c r="AC9982" s="10">
        <v>1568.85</v>
      </c>
    </row>
    <row r="9983" spans="1:29" ht="104" x14ac:dyDescent="0.15">
      <c r="A9983" s="3">
        <f>DATE(2011,5,10)</f>
        <v>40673</v>
      </c>
      <c r="B9983" s="3">
        <f>DATE(2011,6,22)</f>
        <v>40716</v>
      </c>
      <c r="C9983" s="2" t="s">
        <v>95</v>
      </c>
      <c r="D9983" s="2" t="s">
        <v>25645</v>
      </c>
      <c r="E9983" s="2" t="s">
        <v>398</v>
      </c>
      <c r="F9983" s="4">
        <v>7812</v>
      </c>
      <c r="G9983" s="2" t="s">
        <v>42</v>
      </c>
      <c r="H9983" s="2" t="s">
        <v>34</v>
      </c>
      <c r="I9983" s="2" t="s">
        <v>27735</v>
      </c>
      <c r="J9983" s="2" t="s">
        <v>244</v>
      </c>
      <c r="K9983" s="2" t="s">
        <v>53</v>
      </c>
      <c r="L9983" s="2" t="s">
        <v>34</v>
      </c>
      <c r="M9983" s="12">
        <v>2200.4810000000002</v>
      </c>
      <c r="N9983" s="6">
        <v>18.71</v>
      </c>
      <c r="O9983" s="6">
        <v>18.48</v>
      </c>
      <c r="P9983" s="2" t="s">
        <v>29257</v>
      </c>
      <c r="Q9983" s="6">
        <v>100</v>
      </c>
      <c r="R9983" s="6">
        <v>5.5</v>
      </c>
      <c r="S9983" s="5">
        <v>-1.7</v>
      </c>
      <c r="T9983" s="7">
        <v>61.933999999999997</v>
      </c>
      <c r="U9983" s="5">
        <v>2.7</v>
      </c>
      <c r="V9983" s="6">
        <v>-0.04</v>
      </c>
      <c r="W9983" s="6">
        <v>4.28</v>
      </c>
      <c r="X9983" s="6">
        <v>4.45</v>
      </c>
      <c r="Y9983" s="6">
        <v>5.46</v>
      </c>
      <c r="Z9983" s="6">
        <v>5.46</v>
      </c>
      <c r="AA9983" s="6">
        <v>92.61</v>
      </c>
      <c r="AB9983" s="7">
        <v>12.105</v>
      </c>
      <c r="AC9983" s="6">
        <v>524.22</v>
      </c>
    </row>
    <row r="9984" spans="1:29" ht="52" x14ac:dyDescent="0.15">
      <c r="A9984" s="3">
        <f>DATE(2011,5,13)</f>
        <v>40676</v>
      </c>
      <c r="B9984" s="2"/>
      <c r="C9984" s="2" t="s">
        <v>87</v>
      </c>
      <c r="D9984" s="2" t="s">
        <v>2936</v>
      </c>
      <c r="E9984" s="2" t="s">
        <v>3759</v>
      </c>
      <c r="F9984" s="4">
        <v>4911</v>
      </c>
      <c r="G9984" s="2" t="s">
        <v>439</v>
      </c>
      <c r="H9984" s="2" t="s">
        <v>34</v>
      </c>
      <c r="I9984" s="2" t="s">
        <v>11189</v>
      </c>
      <c r="J9984" s="2" t="s">
        <v>11190</v>
      </c>
      <c r="K9984" s="2" t="s">
        <v>439</v>
      </c>
      <c r="L9984" s="2" t="s">
        <v>34</v>
      </c>
      <c r="M9984" s="12">
        <v>17084.307000000001</v>
      </c>
      <c r="N9984" s="6">
        <v>37.58</v>
      </c>
      <c r="O9984" s="6">
        <v>37.72</v>
      </c>
      <c r="P9984" s="2" t="s">
        <v>29258</v>
      </c>
      <c r="Q9984" s="2"/>
      <c r="R9984" s="2"/>
      <c r="S9984" s="8">
        <v>1305.2</v>
      </c>
      <c r="T9984" s="10">
        <v>3668.38</v>
      </c>
      <c r="U9984" s="5">
        <v>47.9</v>
      </c>
      <c r="V9984" s="6">
        <v>6.92</v>
      </c>
      <c r="W9984" s="6">
        <v>69.33</v>
      </c>
      <c r="X9984" s="6">
        <v>69.78</v>
      </c>
      <c r="Y9984" s="6">
        <v>68.989999999999995</v>
      </c>
      <c r="Z9984" s="6">
        <v>68.89</v>
      </c>
      <c r="AA9984" s="6">
        <v>177.97</v>
      </c>
      <c r="AB9984" s="2" t="s">
        <v>47</v>
      </c>
      <c r="AC9984" s="8">
        <v>1114</v>
      </c>
    </row>
    <row r="9985" spans="1:29" ht="156" x14ac:dyDescent="0.15">
      <c r="A9985" s="3">
        <f>DATE(2011,5,16)</f>
        <v>40679</v>
      </c>
      <c r="B9985" s="3">
        <f>DATE(2011,7,28)</f>
        <v>40752</v>
      </c>
      <c r="C9985" s="2" t="s">
        <v>95</v>
      </c>
      <c r="D9985" s="2" t="s">
        <v>29259</v>
      </c>
      <c r="E9985" s="2" t="s">
        <v>29260</v>
      </c>
      <c r="F9985" s="4">
        <v>7373</v>
      </c>
      <c r="G9985" s="2" t="s">
        <v>223</v>
      </c>
      <c r="H9985" s="2" t="s">
        <v>34</v>
      </c>
      <c r="I9985" s="2" t="s">
        <v>26484</v>
      </c>
      <c r="J9985" s="2" t="s">
        <v>26485</v>
      </c>
      <c r="K9985" s="2" t="s">
        <v>63</v>
      </c>
      <c r="L9985" s="2" t="s">
        <v>34</v>
      </c>
      <c r="M9985" s="7">
        <v>324.161</v>
      </c>
      <c r="N9985" s="6">
        <v>12.49</v>
      </c>
      <c r="O9985" s="6">
        <v>12.36</v>
      </c>
      <c r="P9985" s="2" t="s">
        <v>29261</v>
      </c>
      <c r="Q9985" s="6">
        <v>100</v>
      </c>
      <c r="R9985" s="6">
        <v>12.65</v>
      </c>
      <c r="S9985" s="5">
        <v>-9.8000000000000007</v>
      </c>
      <c r="T9985" s="7">
        <v>-1.1479999999999999</v>
      </c>
      <c r="U9985" s="5">
        <v>6.4</v>
      </c>
      <c r="V9985" s="6">
        <v>-0.56000000000000005</v>
      </c>
      <c r="W9985" s="6">
        <v>13.06</v>
      </c>
      <c r="X9985" s="6">
        <v>13.01</v>
      </c>
      <c r="Y9985" s="6">
        <v>12.16</v>
      </c>
      <c r="Z9985" s="6">
        <v>12.07</v>
      </c>
      <c r="AA9985" s="6">
        <v>17.78</v>
      </c>
      <c r="AB9985" s="2" t="s">
        <v>86</v>
      </c>
      <c r="AC9985" s="5">
        <v>157.80000000000001</v>
      </c>
    </row>
    <row r="9986" spans="1:29" ht="91" x14ac:dyDescent="0.15">
      <c r="A9986" s="3">
        <f>DATE(2011,5,16)</f>
        <v>40679</v>
      </c>
      <c r="B9986" s="3">
        <f>DATE(2011,6,27)</f>
        <v>40721</v>
      </c>
      <c r="C9986" s="2" t="s">
        <v>95</v>
      </c>
      <c r="D9986" s="2" t="s">
        <v>29262</v>
      </c>
      <c r="E9986" s="2" t="s">
        <v>29263</v>
      </c>
      <c r="F9986" s="4">
        <v>3842</v>
      </c>
      <c r="G9986" s="2" t="s">
        <v>226</v>
      </c>
      <c r="H9986" s="2" t="s">
        <v>34</v>
      </c>
      <c r="I9986" s="2" t="s">
        <v>29264</v>
      </c>
      <c r="J9986" s="2" t="s">
        <v>11337</v>
      </c>
      <c r="K9986" s="2" t="s">
        <v>53</v>
      </c>
      <c r="L9986" s="2" t="s">
        <v>34</v>
      </c>
      <c r="M9986" s="2"/>
      <c r="N9986" s="6">
        <v>63.76</v>
      </c>
      <c r="O9986" s="5">
        <v>63.8</v>
      </c>
      <c r="P9986" s="2" t="s">
        <v>29265</v>
      </c>
      <c r="Q9986" s="6">
        <v>100</v>
      </c>
      <c r="R9986" s="6">
        <v>3.85</v>
      </c>
      <c r="S9986" s="5">
        <v>-5.7</v>
      </c>
      <c r="T9986" s="7">
        <v>2.786</v>
      </c>
      <c r="U9986" s="5">
        <v>0.5</v>
      </c>
      <c r="V9986" s="6">
        <v>-0.08</v>
      </c>
      <c r="W9986" s="5">
        <v>2.6</v>
      </c>
      <c r="X9986" s="6">
        <v>2.73</v>
      </c>
      <c r="Y9986" s="6">
        <v>3.83</v>
      </c>
      <c r="Z9986" s="6">
        <v>3.83</v>
      </c>
      <c r="AA9986" s="6">
        <v>77.03</v>
      </c>
      <c r="AB9986" s="2" t="s">
        <v>86</v>
      </c>
      <c r="AC9986" s="2"/>
    </row>
    <row r="9987" spans="1:29" ht="91" x14ac:dyDescent="0.15">
      <c r="A9987" s="3">
        <f>DATE(2011,5,16)</f>
        <v>40679</v>
      </c>
      <c r="B9987" s="3">
        <f>DATE(2011,7,13)</f>
        <v>40737</v>
      </c>
      <c r="C9987" s="2" t="s">
        <v>95</v>
      </c>
      <c r="D9987" s="2" t="s">
        <v>17945</v>
      </c>
      <c r="E9987" s="2" t="s">
        <v>417</v>
      </c>
      <c r="F9987" s="4">
        <v>2721</v>
      </c>
      <c r="G9987" s="2" t="s">
        <v>186</v>
      </c>
      <c r="H9987" s="2" t="s">
        <v>34</v>
      </c>
      <c r="I9987" s="2" t="s">
        <v>25970</v>
      </c>
      <c r="J9987" s="2" t="s">
        <v>244</v>
      </c>
      <c r="K9987" s="2" t="s">
        <v>53</v>
      </c>
      <c r="L9987" s="2" t="s">
        <v>34</v>
      </c>
      <c r="M9987" s="2"/>
      <c r="N9987" s="2"/>
      <c r="O9987" s="2"/>
      <c r="P9987" s="2" t="s">
        <v>29266</v>
      </c>
      <c r="Q9987" s="6">
        <v>100</v>
      </c>
      <c r="R9987" s="6">
        <v>7.1</v>
      </c>
      <c r="S9987" s="5">
        <v>21.3</v>
      </c>
      <c r="T9987" s="7">
        <v>68.227999999999994</v>
      </c>
      <c r="U9987" s="5">
        <v>-2.1</v>
      </c>
      <c r="V9987" s="6">
        <v>0.51</v>
      </c>
      <c r="W9987" s="6">
        <v>4.47</v>
      </c>
      <c r="X9987" s="6">
        <v>4.38</v>
      </c>
      <c r="Y9987" s="6">
        <v>7.02</v>
      </c>
      <c r="Z9987" s="6">
        <v>7.04</v>
      </c>
      <c r="AA9987" s="6">
        <v>44.57</v>
      </c>
      <c r="AB9987" s="7">
        <v>10.103999999999999</v>
      </c>
      <c r="AC9987" s="2"/>
    </row>
    <row r="9988" spans="1:29" ht="52" x14ac:dyDescent="0.15">
      <c r="A9988" s="3">
        <f>DATE(2011,5,18)</f>
        <v>40681</v>
      </c>
      <c r="B9988" s="3">
        <f>DATE(2011,5,27)</f>
        <v>40690</v>
      </c>
      <c r="C9988" s="2" t="s">
        <v>95</v>
      </c>
      <c r="D9988" s="2" t="s">
        <v>29267</v>
      </c>
      <c r="E9988" s="2" t="s">
        <v>29268</v>
      </c>
      <c r="F9988" s="4">
        <v>7389</v>
      </c>
      <c r="G9988" s="2" t="s">
        <v>223</v>
      </c>
      <c r="H9988" s="2" t="s">
        <v>34</v>
      </c>
      <c r="I9988" s="2" t="s">
        <v>29269</v>
      </c>
      <c r="J9988" s="2" t="s">
        <v>302</v>
      </c>
      <c r="K9988" s="2" t="s">
        <v>53</v>
      </c>
      <c r="L9988" s="2" t="s">
        <v>34</v>
      </c>
      <c r="M9988" s="2"/>
      <c r="N9988" s="2"/>
      <c r="O9988" s="2"/>
      <c r="P9988" s="2" t="s">
        <v>29270</v>
      </c>
      <c r="Q9988" s="6">
        <v>100</v>
      </c>
      <c r="R9988" s="2"/>
      <c r="S9988" s="5">
        <v>-2.9</v>
      </c>
      <c r="T9988" s="7">
        <v>-1.8160000000000001</v>
      </c>
      <c r="U9988" s="5">
        <v>0</v>
      </c>
      <c r="V9988" s="6">
        <v>-0.08</v>
      </c>
      <c r="W9988" s="6">
        <v>1.01</v>
      </c>
      <c r="X9988" s="6">
        <v>1.01</v>
      </c>
      <c r="Y9988" s="6">
        <v>1.01</v>
      </c>
      <c r="Z9988" s="5">
        <v>0.7</v>
      </c>
      <c r="AA9988" s="6">
        <v>35.97</v>
      </c>
      <c r="AB9988" s="2" t="s">
        <v>86</v>
      </c>
      <c r="AC9988" s="2"/>
    </row>
    <row r="9989" spans="1:29" ht="104" x14ac:dyDescent="0.15">
      <c r="A9989" s="3">
        <f>DATE(2011,5,18)</f>
        <v>40681</v>
      </c>
      <c r="B9989" s="3">
        <f>DATE(2011,8,9)</f>
        <v>40764</v>
      </c>
      <c r="C9989" s="2" t="s">
        <v>95</v>
      </c>
      <c r="D9989" s="2" t="s">
        <v>20200</v>
      </c>
      <c r="E9989" s="2" t="s">
        <v>20201</v>
      </c>
      <c r="F9989" s="4">
        <v>8211</v>
      </c>
      <c r="G9989" s="2" t="s">
        <v>415</v>
      </c>
      <c r="H9989" s="2" t="s">
        <v>34</v>
      </c>
      <c r="I9989" s="2" t="s">
        <v>29271</v>
      </c>
      <c r="J9989" s="2" t="s">
        <v>244</v>
      </c>
      <c r="K9989" s="2" t="s">
        <v>53</v>
      </c>
      <c r="L9989" s="2" t="s">
        <v>34</v>
      </c>
      <c r="M9989" s="2"/>
      <c r="N9989" s="2"/>
      <c r="O9989" s="2"/>
      <c r="P9989" s="2" t="s">
        <v>29272</v>
      </c>
      <c r="Q9989" s="6">
        <v>100</v>
      </c>
      <c r="R9989" s="6">
        <v>11.75</v>
      </c>
      <c r="S9989" s="5">
        <v>2.8</v>
      </c>
      <c r="T9989" s="7">
        <v>16.071000000000002</v>
      </c>
      <c r="U9989" s="5">
        <v>7</v>
      </c>
      <c r="V9989" s="6">
        <v>0.3</v>
      </c>
      <c r="W9989" s="6">
        <v>9.92</v>
      </c>
      <c r="X9989" s="6">
        <v>8.64</v>
      </c>
      <c r="Y9989" s="6">
        <v>11.43</v>
      </c>
      <c r="Z9989" s="6">
        <v>11.46</v>
      </c>
      <c r="AA9989" s="6">
        <v>10.61</v>
      </c>
      <c r="AB9989" s="7">
        <v>21.256</v>
      </c>
      <c r="AC9989" s="2"/>
    </row>
    <row r="9990" spans="1:29" ht="117" x14ac:dyDescent="0.15">
      <c r="A9990" s="3">
        <f>DATE(2011,5,19)</f>
        <v>40682</v>
      </c>
      <c r="B9990" s="2"/>
      <c r="C9990" s="2" t="s">
        <v>30</v>
      </c>
      <c r="D9990" s="2" t="s">
        <v>21107</v>
      </c>
      <c r="E9990" s="2" t="s">
        <v>21108</v>
      </c>
      <c r="F9990" s="4">
        <v>5942</v>
      </c>
      <c r="G9990" s="2" t="s">
        <v>73</v>
      </c>
      <c r="H9990" s="2" t="s">
        <v>34</v>
      </c>
      <c r="I9990" s="2" t="s">
        <v>3558</v>
      </c>
      <c r="J9990" s="2" t="s">
        <v>3892</v>
      </c>
      <c r="K9990" s="2" t="s">
        <v>45</v>
      </c>
      <c r="L9990" s="2" t="s">
        <v>34</v>
      </c>
      <c r="M9990" s="12">
        <v>1342.394</v>
      </c>
      <c r="N9990" s="6">
        <v>17.97</v>
      </c>
      <c r="O9990" s="7">
        <v>17.704999999999998</v>
      </c>
      <c r="P9990" s="2" t="s">
        <v>29273</v>
      </c>
      <c r="Q9990" s="2"/>
      <c r="R9990" s="6">
        <v>17</v>
      </c>
      <c r="S9990" s="5">
        <v>-73.900000000000006</v>
      </c>
      <c r="T9990" s="7">
        <v>182.33199999999999</v>
      </c>
      <c r="U9990" s="5">
        <v>14.4</v>
      </c>
      <c r="V9990" s="6">
        <v>-1.31</v>
      </c>
      <c r="W9990" s="4">
        <v>13</v>
      </c>
      <c r="X9990" s="6">
        <v>12.97</v>
      </c>
      <c r="Y9990" s="6">
        <v>13.82</v>
      </c>
      <c r="Z9990" s="6">
        <v>12.84</v>
      </c>
      <c r="AA9990" s="6">
        <v>60.25</v>
      </c>
      <c r="AB9990" s="2" t="s">
        <v>86</v>
      </c>
      <c r="AC9990" s="8">
        <v>1366</v>
      </c>
    </row>
    <row r="9991" spans="1:29" ht="78" x14ac:dyDescent="0.15">
      <c r="A9991" s="3">
        <f>DATE(2011,5,24)</f>
        <v>40687</v>
      </c>
      <c r="B9991" s="3">
        <f>DATE(2011,10,19)</f>
        <v>40835</v>
      </c>
      <c r="C9991" s="2" t="s">
        <v>95</v>
      </c>
      <c r="D9991" s="2" t="s">
        <v>29274</v>
      </c>
      <c r="E9991" s="2" t="s">
        <v>854</v>
      </c>
      <c r="F9991" s="4">
        <v>6311</v>
      </c>
      <c r="G9991" s="2" t="s">
        <v>125</v>
      </c>
      <c r="H9991" s="2" t="s">
        <v>34</v>
      </c>
      <c r="I9991" s="2" t="s">
        <v>29275</v>
      </c>
      <c r="J9991" s="2" t="s">
        <v>11337</v>
      </c>
      <c r="K9991" s="2" t="s">
        <v>53</v>
      </c>
      <c r="L9991" s="2" t="s">
        <v>34</v>
      </c>
      <c r="M9991" s="2"/>
      <c r="N9991" s="2"/>
      <c r="O9991" s="2"/>
      <c r="P9991" s="2" t="s">
        <v>29276</v>
      </c>
      <c r="Q9991" s="6">
        <v>100</v>
      </c>
      <c r="R9991" s="6">
        <v>42</v>
      </c>
      <c r="S9991" s="5">
        <v>28.7</v>
      </c>
      <c r="T9991" s="2"/>
      <c r="U9991" s="5">
        <v>29.6</v>
      </c>
      <c r="V9991" s="6">
        <v>3.05</v>
      </c>
      <c r="W9991" s="6">
        <v>33.25</v>
      </c>
      <c r="X9991" s="5">
        <v>32.1</v>
      </c>
      <c r="Y9991" s="6">
        <v>41.34</v>
      </c>
      <c r="Z9991" s="6">
        <v>41.36</v>
      </c>
      <c r="AA9991" s="6">
        <v>8.2799999999999994</v>
      </c>
      <c r="AB9991" s="7">
        <v>6.82</v>
      </c>
      <c r="AC9991" s="2"/>
    </row>
    <row r="9992" spans="1:29" ht="65" x14ac:dyDescent="0.15">
      <c r="A9992" s="3">
        <f>DATE(2011,5,24)</f>
        <v>40687</v>
      </c>
      <c r="B9992" s="3">
        <f>DATE(2011,11,1)</f>
        <v>40848</v>
      </c>
      <c r="C9992" s="2" t="s">
        <v>95</v>
      </c>
      <c r="D9992" s="2" t="s">
        <v>29277</v>
      </c>
      <c r="E9992" s="2" t="s">
        <v>29278</v>
      </c>
      <c r="F9992" s="4">
        <v>8063</v>
      </c>
      <c r="G9992" s="2" t="s">
        <v>454</v>
      </c>
      <c r="H9992" s="2" t="s">
        <v>34</v>
      </c>
      <c r="I9992" s="2" t="s">
        <v>29279</v>
      </c>
      <c r="J9992" s="2" t="s">
        <v>29278</v>
      </c>
      <c r="K9992" s="2" t="s">
        <v>454</v>
      </c>
      <c r="L9992" s="2" t="s">
        <v>34</v>
      </c>
      <c r="M9992" s="2"/>
      <c r="N9992" s="2"/>
      <c r="O9992" s="2"/>
      <c r="P9992" s="2" t="s">
        <v>29280</v>
      </c>
      <c r="Q9992" s="6">
        <v>100</v>
      </c>
      <c r="R9992" s="2"/>
      <c r="S9992" s="5">
        <v>1.7</v>
      </c>
      <c r="T9992" s="6">
        <v>4.9800000000000004</v>
      </c>
      <c r="U9992" s="5">
        <v>0.9</v>
      </c>
      <c r="V9992" s="6">
        <v>0.08</v>
      </c>
      <c r="W9992" s="6">
        <v>2.83</v>
      </c>
      <c r="X9992" s="4">
        <v>3</v>
      </c>
      <c r="Y9992" s="6">
        <v>3.61</v>
      </c>
      <c r="Z9992" s="5">
        <v>3.3</v>
      </c>
      <c r="AA9992" s="6">
        <v>20.72</v>
      </c>
      <c r="AB9992" s="2" t="s">
        <v>47</v>
      </c>
      <c r="AC9992" s="6">
        <v>8.0299999999999994</v>
      </c>
    </row>
    <row r="9993" spans="1:29" ht="169" x14ac:dyDescent="0.15">
      <c r="A9993" s="3">
        <f>DATE(2011,5,25)</f>
        <v>40688</v>
      </c>
      <c r="B9993" s="3">
        <f>DATE(2011,7,7)</f>
        <v>40731</v>
      </c>
      <c r="C9993" s="2" t="s">
        <v>95</v>
      </c>
      <c r="D9993" s="2" t="s">
        <v>29281</v>
      </c>
      <c r="E9993" s="2" t="s">
        <v>29282</v>
      </c>
      <c r="F9993" s="4">
        <v>5812</v>
      </c>
      <c r="G9993" s="2" t="s">
        <v>230</v>
      </c>
      <c r="H9993" s="2" t="s">
        <v>34</v>
      </c>
      <c r="I9993" s="2" t="s">
        <v>21282</v>
      </c>
      <c r="J9993" s="2" t="s">
        <v>244</v>
      </c>
      <c r="K9993" s="2" t="s">
        <v>53</v>
      </c>
      <c r="L9993" s="2" t="s">
        <v>34</v>
      </c>
      <c r="M9993" s="2"/>
      <c r="N9993" s="2"/>
      <c r="O9993" s="2"/>
      <c r="P9993" s="2" t="s">
        <v>29283</v>
      </c>
      <c r="Q9993" s="6">
        <v>100</v>
      </c>
      <c r="R9993" s="6">
        <v>18.5</v>
      </c>
      <c r="S9993" s="5">
        <v>-0.8</v>
      </c>
      <c r="T9993" s="7">
        <v>58.078000000000003</v>
      </c>
      <c r="U9993" s="5">
        <v>8</v>
      </c>
      <c r="V9993" s="6">
        <v>-0.03</v>
      </c>
      <c r="W9993" s="6">
        <v>16.739999999999998</v>
      </c>
      <c r="X9993" s="6">
        <v>20.74</v>
      </c>
      <c r="Y9993" s="6">
        <v>21.07</v>
      </c>
      <c r="Z9993" s="6">
        <v>21.07</v>
      </c>
      <c r="AA9993" s="6">
        <v>30.3</v>
      </c>
      <c r="AB9993" s="7">
        <v>21.318999999999999</v>
      </c>
      <c r="AC9993" s="2"/>
    </row>
    <row r="9994" spans="1:29" ht="104" x14ac:dyDescent="0.15">
      <c r="A9994" s="3">
        <f>DATE(2011,5,26)</f>
        <v>40689</v>
      </c>
      <c r="B9994" s="3">
        <f>DATE(2012,1,10)</f>
        <v>40918</v>
      </c>
      <c r="C9994" s="2" t="s">
        <v>95</v>
      </c>
      <c r="D9994" s="2" t="s">
        <v>29284</v>
      </c>
      <c r="E9994" s="2" t="s">
        <v>29285</v>
      </c>
      <c r="F9994" s="4">
        <v>3674</v>
      </c>
      <c r="G9994" s="2" t="s">
        <v>137</v>
      </c>
      <c r="H9994" s="2" t="s">
        <v>34</v>
      </c>
      <c r="I9994" s="2" t="s">
        <v>29286</v>
      </c>
      <c r="J9994" s="2" t="s">
        <v>29287</v>
      </c>
      <c r="K9994" s="2" t="s">
        <v>137</v>
      </c>
      <c r="L9994" s="2" t="s">
        <v>34</v>
      </c>
      <c r="M9994" s="12">
        <v>5122.0079999999998</v>
      </c>
      <c r="N9994" s="6">
        <v>27.03</v>
      </c>
      <c r="O9994" s="5">
        <v>25.5</v>
      </c>
      <c r="P9994" s="2" t="s">
        <v>29288</v>
      </c>
      <c r="Q9994" s="6">
        <v>100</v>
      </c>
      <c r="R9994" s="6">
        <v>5.8</v>
      </c>
      <c r="S9994" s="5">
        <v>-17.8</v>
      </c>
      <c r="T9994" s="7">
        <v>-7.9059999999999997</v>
      </c>
      <c r="U9994" s="5">
        <v>2.7</v>
      </c>
      <c r="V9994" s="6">
        <v>-0.41</v>
      </c>
      <c r="W9994" s="7">
        <v>3.8050000000000002</v>
      </c>
      <c r="X9994" s="6">
        <v>3.84</v>
      </c>
      <c r="Y9994" s="5">
        <v>3.9</v>
      </c>
      <c r="Z9994" s="6">
        <v>6.03</v>
      </c>
      <c r="AA9994" s="6">
        <v>51.83</v>
      </c>
      <c r="AB9994" s="2" t="s">
        <v>86</v>
      </c>
      <c r="AC9994" s="5">
        <v>410.8</v>
      </c>
    </row>
    <row r="9995" spans="1:29" ht="52" x14ac:dyDescent="0.15">
      <c r="A9995" s="3">
        <f>DATE(2011,5,26)</f>
        <v>40689</v>
      </c>
      <c r="B9995" s="2"/>
      <c r="C9995" s="2" t="s">
        <v>87</v>
      </c>
      <c r="D9995" s="2" t="s">
        <v>29289</v>
      </c>
      <c r="E9995" s="2" t="s">
        <v>29290</v>
      </c>
      <c r="F9995" s="4">
        <v>7372</v>
      </c>
      <c r="G9995" s="2" t="s">
        <v>551</v>
      </c>
      <c r="H9995" s="2" t="s">
        <v>34</v>
      </c>
      <c r="I9995" s="2" t="s">
        <v>26076</v>
      </c>
      <c r="J9995" s="2" t="s">
        <v>26077</v>
      </c>
      <c r="K9995" s="2" t="s">
        <v>921</v>
      </c>
      <c r="L9995" s="2" t="s">
        <v>34</v>
      </c>
      <c r="M9995" s="12">
        <v>1448.095</v>
      </c>
      <c r="N9995" s="5">
        <v>11.1</v>
      </c>
      <c r="O9995" s="6">
        <v>11.27</v>
      </c>
      <c r="P9995" s="2" t="s">
        <v>29291</v>
      </c>
      <c r="Q9995" s="2"/>
      <c r="R9995" s="2"/>
      <c r="S9995" s="5">
        <v>10.199999999999999</v>
      </c>
      <c r="T9995" s="6">
        <v>23.36</v>
      </c>
      <c r="U9995" s="5">
        <v>6.7</v>
      </c>
      <c r="V9995" s="6">
        <v>0.28999999999999998</v>
      </c>
      <c r="W9995" s="6">
        <v>9.98</v>
      </c>
      <c r="X9995" s="6">
        <v>9.57</v>
      </c>
      <c r="Y9995" s="6">
        <v>9.89</v>
      </c>
      <c r="Z9995" s="6">
        <v>11.06</v>
      </c>
      <c r="AA9995" s="6">
        <v>31.59</v>
      </c>
      <c r="AB9995" s="2" t="s">
        <v>47</v>
      </c>
      <c r="AC9995" s="6">
        <v>623.79</v>
      </c>
    </row>
    <row r="9996" spans="1:29" ht="65" x14ac:dyDescent="0.15">
      <c r="A9996" s="3">
        <f>DATE(2011,5,27)</f>
        <v>40690</v>
      </c>
      <c r="B9996" s="2"/>
      <c r="C9996" s="2" t="s">
        <v>87</v>
      </c>
      <c r="D9996" s="2" t="s">
        <v>27439</v>
      </c>
      <c r="E9996" s="2" t="s">
        <v>6292</v>
      </c>
      <c r="F9996" s="4">
        <v>2834</v>
      </c>
      <c r="G9996" s="2" t="s">
        <v>130</v>
      </c>
      <c r="H9996" s="2" t="s">
        <v>34</v>
      </c>
      <c r="I9996" s="2" t="s">
        <v>25183</v>
      </c>
      <c r="J9996" s="2" t="s">
        <v>4011</v>
      </c>
      <c r="K9996" s="2" t="s">
        <v>130</v>
      </c>
      <c r="L9996" s="2" t="s">
        <v>7645</v>
      </c>
      <c r="M9996" s="12">
        <v>17371.761999999999</v>
      </c>
      <c r="N9996" s="7">
        <v>31.163</v>
      </c>
      <c r="O9996" s="7">
        <v>31.099</v>
      </c>
      <c r="P9996" s="2" t="s">
        <v>29292</v>
      </c>
      <c r="Q9996" s="2"/>
      <c r="R9996" s="2"/>
      <c r="S9996" s="5">
        <v>96.5</v>
      </c>
      <c r="T9996" s="7">
        <v>213.79300000000001</v>
      </c>
      <c r="U9996" s="5">
        <v>11.8</v>
      </c>
      <c r="V9996" s="6">
        <v>1.58</v>
      </c>
      <c r="W9996" s="6">
        <v>35.82</v>
      </c>
      <c r="X9996" s="5">
        <v>38.299999999999997</v>
      </c>
      <c r="Y9996" s="6">
        <v>38.29</v>
      </c>
      <c r="Z9996" s="6">
        <v>38.53</v>
      </c>
      <c r="AA9996" s="6">
        <v>59.72</v>
      </c>
      <c r="AB9996" s="2" t="s">
        <v>47</v>
      </c>
      <c r="AC9996" s="6">
        <v>743</v>
      </c>
    </row>
    <row r="9997" spans="1:29" ht="130" x14ac:dyDescent="0.15">
      <c r="A9997" s="3">
        <f>DATE(2011,5,30)</f>
        <v>40693</v>
      </c>
      <c r="B9997" s="2"/>
      <c r="C9997" s="2" t="s">
        <v>30</v>
      </c>
      <c r="D9997" s="2" t="s">
        <v>29293</v>
      </c>
      <c r="E9997" s="2" t="s">
        <v>1977</v>
      </c>
      <c r="F9997" s="4">
        <v>4911</v>
      </c>
      <c r="G9997" s="2" t="s">
        <v>439</v>
      </c>
      <c r="H9997" s="2" t="s">
        <v>34</v>
      </c>
      <c r="I9997" s="2" t="s">
        <v>29294</v>
      </c>
      <c r="J9997" s="2" t="s">
        <v>3759</v>
      </c>
      <c r="K9997" s="2" t="s">
        <v>439</v>
      </c>
      <c r="L9997" s="2" t="s">
        <v>34</v>
      </c>
      <c r="M9997" s="2"/>
      <c r="N9997" s="2"/>
      <c r="O9997" s="2"/>
      <c r="P9997" s="2" t="s">
        <v>29295</v>
      </c>
      <c r="Q9997" s="2"/>
      <c r="R9997" s="6">
        <v>35.1</v>
      </c>
      <c r="S9997" s="5">
        <v>25.2</v>
      </c>
      <c r="T9997" s="5">
        <v>47.9</v>
      </c>
      <c r="U9997" s="5">
        <v>20.6</v>
      </c>
      <c r="V9997" s="6">
        <v>1.94</v>
      </c>
      <c r="W9997" s="6">
        <v>23.31</v>
      </c>
      <c r="X9997" s="6">
        <v>24.32</v>
      </c>
      <c r="Y9997" s="5">
        <v>34.299999999999997</v>
      </c>
      <c r="Z9997" s="5">
        <v>34.299999999999997</v>
      </c>
      <c r="AA9997" s="6">
        <v>13.4</v>
      </c>
      <c r="AB9997" s="7">
        <v>23.024000000000001</v>
      </c>
      <c r="AC9997" s="2"/>
    </row>
    <row r="9998" spans="1:29" ht="130" x14ac:dyDescent="0.15">
      <c r="A9998" s="3">
        <f>DATE(2011,6,1)</f>
        <v>40695</v>
      </c>
      <c r="B9998" s="3">
        <f>DATE(2012,2,29)</f>
        <v>40968</v>
      </c>
      <c r="C9998" s="2" t="s">
        <v>95</v>
      </c>
      <c r="D9998" s="2" t="s">
        <v>29296</v>
      </c>
      <c r="E9998" s="2" t="s">
        <v>1181</v>
      </c>
      <c r="F9998" s="4">
        <v>6021</v>
      </c>
      <c r="G9998" s="2" t="s">
        <v>37</v>
      </c>
      <c r="H9998" s="2" t="s">
        <v>34</v>
      </c>
      <c r="I9998" s="2" t="s">
        <v>29297</v>
      </c>
      <c r="J9998" s="2" t="s">
        <v>29298</v>
      </c>
      <c r="K9998" s="2" t="s">
        <v>33</v>
      </c>
      <c r="L9998" s="2" t="s">
        <v>34</v>
      </c>
      <c r="M9998" s="12">
        <v>2756.7060000000001</v>
      </c>
      <c r="N9998" s="6">
        <v>28.11</v>
      </c>
      <c r="O9998" s="6">
        <v>27.54</v>
      </c>
      <c r="P9998" s="2" t="s">
        <v>29299</v>
      </c>
      <c r="Q9998" s="6">
        <v>100</v>
      </c>
      <c r="R9998" s="6">
        <v>4.16</v>
      </c>
      <c r="S9998" s="5">
        <v>-3.3</v>
      </c>
      <c r="T9998" s="6">
        <v>-4.9800000000000004</v>
      </c>
      <c r="U9998" s="5">
        <v>3.1</v>
      </c>
      <c r="V9998" s="6">
        <v>-0.31</v>
      </c>
      <c r="W9998" s="6">
        <v>2.72</v>
      </c>
      <c r="X9998" s="6">
        <v>3.79</v>
      </c>
      <c r="Y9998" s="6">
        <v>4.13</v>
      </c>
      <c r="Z9998" s="6">
        <v>3.94</v>
      </c>
      <c r="AA9998" s="6">
        <v>12.22</v>
      </c>
      <c r="AB9998" s="2" t="s">
        <v>86</v>
      </c>
      <c r="AC9998" s="2"/>
    </row>
    <row r="9999" spans="1:29" ht="91" x14ac:dyDescent="0.15">
      <c r="A9999" s="3">
        <f>DATE(2011,6,1)</f>
        <v>40695</v>
      </c>
      <c r="B9999" s="3">
        <f>DATE(2011,10,5)</f>
        <v>40821</v>
      </c>
      <c r="C9999" s="2" t="s">
        <v>95</v>
      </c>
      <c r="D9999" s="2" t="s">
        <v>29300</v>
      </c>
      <c r="E9999" s="2" t="s">
        <v>29301</v>
      </c>
      <c r="F9999" s="4">
        <v>4412</v>
      </c>
      <c r="G9999" s="2" t="s">
        <v>173</v>
      </c>
      <c r="H9999" s="2" t="s">
        <v>34</v>
      </c>
      <c r="I9999" s="2" t="s">
        <v>1558</v>
      </c>
      <c r="J9999" s="2" t="s">
        <v>52</v>
      </c>
      <c r="K9999" s="2" t="s">
        <v>53</v>
      </c>
      <c r="L9999" s="2" t="s">
        <v>34</v>
      </c>
      <c r="M9999" s="2"/>
      <c r="N9999" s="2"/>
      <c r="O9999" s="2"/>
      <c r="P9999" s="2" t="s">
        <v>29302</v>
      </c>
      <c r="Q9999" s="2"/>
      <c r="R9999" s="2"/>
      <c r="S9999" s="5">
        <v>-78.8</v>
      </c>
      <c r="T9999" s="7">
        <v>71.509</v>
      </c>
      <c r="U9999" s="5">
        <v>5.4</v>
      </c>
      <c r="V9999" s="9">
        <v>-49.503500000000003</v>
      </c>
      <c r="W9999" s="6">
        <v>1.1599999999999999</v>
      </c>
      <c r="X9999" s="6">
        <v>1.1200000000000001</v>
      </c>
      <c r="Y9999" s="6">
        <v>1.02</v>
      </c>
      <c r="Z9999" s="6">
        <v>1.22</v>
      </c>
      <c r="AA9999" s="2"/>
      <c r="AB9999" s="2" t="s">
        <v>47</v>
      </c>
      <c r="AC9999" s="2"/>
    </row>
    <row r="10000" spans="1:29" ht="130" x14ac:dyDescent="0.15">
      <c r="A10000" s="3">
        <f>DATE(2011,6,1)</f>
        <v>40695</v>
      </c>
      <c r="B10000" s="2"/>
      <c r="C10000" s="2" t="s">
        <v>30</v>
      </c>
      <c r="D10000" s="2" t="s">
        <v>29303</v>
      </c>
      <c r="E10000" s="2" t="s">
        <v>29304</v>
      </c>
      <c r="F10000" s="4">
        <v>7389</v>
      </c>
      <c r="G10000" s="2" t="s">
        <v>223</v>
      </c>
      <c r="H10000" s="2" t="s">
        <v>34</v>
      </c>
      <c r="I10000" s="2" t="s">
        <v>29305</v>
      </c>
      <c r="J10000" s="2" t="s">
        <v>302</v>
      </c>
      <c r="K10000" s="2" t="s">
        <v>53</v>
      </c>
      <c r="L10000" s="2" t="s">
        <v>34</v>
      </c>
      <c r="M10000" s="2"/>
      <c r="N10000" s="2"/>
      <c r="O10000" s="2"/>
      <c r="P10000" s="2" t="s">
        <v>29306</v>
      </c>
      <c r="Q10000" s="2"/>
      <c r="R10000" s="6">
        <v>4.6500000000000004</v>
      </c>
      <c r="S10000" s="5">
        <v>45.1</v>
      </c>
      <c r="T10000" s="7">
        <v>86.385999999999996</v>
      </c>
      <c r="U10000" s="5">
        <v>3.3</v>
      </c>
      <c r="V10000" s="6">
        <v>-0.56999999999999995</v>
      </c>
      <c r="W10000" s="6">
        <v>3.03</v>
      </c>
      <c r="X10000" s="6">
        <v>3.04</v>
      </c>
      <c r="Y10000" s="6">
        <v>3.72</v>
      </c>
      <c r="Z10000" s="6">
        <v>3.85</v>
      </c>
      <c r="AA10000" s="6">
        <v>80.37</v>
      </c>
      <c r="AB10000" s="2" t="s">
        <v>86</v>
      </c>
      <c r="AC10000" s="2"/>
    </row>
    <row r="10001" spans="1:29" ht="39" x14ac:dyDescent="0.15">
      <c r="A10001" s="3">
        <f>DATE(2011,6,6)</f>
        <v>40700</v>
      </c>
      <c r="B10001" s="3">
        <f>DATE(2011,11,1)</f>
        <v>40848</v>
      </c>
      <c r="C10001" s="2" t="s">
        <v>95</v>
      </c>
      <c r="D10001" s="2" t="s">
        <v>29307</v>
      </c>
      <c r="E10001" s="2" t="s">
        <v>36</v>
      </c>
      <c r="F10001" s="4">
        <v>6021</v>
      </c>
      <c r="G10001" s="2" t="s">
        <v>37</v>
      </c>
      <c r="H10001" s="2" t="s">
        <v>34</v>
      </c>
      <c r="I10001" s="2" t="s">
        <v>29308</v>
      </c>
      <c r="J10001" s="2" t="s">
        <v>1181</v>
      </c>
      <c r="K10001" s="2" t="s">
        <v>37</v>
      </c>
      <c r="L10001" s="2" t="s">
        <v>34</v>
      </c>
      <c r="M10001" s="2"/>
      <c r="N10001" s="2"/>
      <c r="O10001" s="2"/>
      <c r="P10001" s="2" t="s">
        <v>29309</v>
      </c>
      <c r="Q10001" s="6">
        <v>100</v>
      </c>
      <c r="R10001" s="2"/>
      <c r="S10001" s="2"/>
      <c r="T10001" s="2"/>
      <c r="U10001" s="2"/>
      <c r="V10001" s="2"/>
      <c r="W10001" s="6">
        <v>7.07</v>
      </c>
      <c r="X10001" s="6">
        <v>7.07</v>
      </c>
      <c r="Y10001" s="6">
        <v>7.07</v>
      </c>
      <c r="Z10001" s="6">
        <v>16.649999999999999</v>
      </c>
      <c r="AA10001" s="6">
        <v>2.81</v>
      </c>
      <c r="AB10001" s="2" t="s">
        <v>47</v>
      </c>
      <c r="AC10001" s="2"/>
    </row>
    <row r="10002" spans="1:29" ht="143" x14ac:dyDescent="0.15">
      <c r="A10002" s="3">
        <f>DATE(2011,6,6)</f>
        <v>40700</v>
      </c>
      <c r="B10002" s="3">
        <f>DATE(2012,2,13)</f>
        <v>40952</v>
      </c>
      <c r="C10002" s="2" t="s">
        <v>95</v>
      </c>
      <c r="D10002" s="2" t="s">
        <v>13220</v>
      </c>
      <c r="E10002" s="2" t="s">
        <v>13221</v>
      </c>
      <c r="F10002" s="4">
        <v>2631</v>
      </c>
      <c r="G10002" s="2" t="s">
        <v>282</v>
      </c>
      <c r="H10002" s="2" t="s">
        <v>34</v>
      </c>
      <c r="I10002" s="2" t="s">
        <v>1981</v>
      </c>
      <c r="J10002" s="2" t="s">
        <v>1982</v>
      </c>
      <c r="K10002" s="2" t="s">
        <v>282</v>
      </c>
      <c r="L10002" s="2" t="s">
        <v>34</v>
      </c>
      <c r="M10002" s="12">
        <v>14082.837</v>
      </c>
      <c r="N10002" s="6">
        <v>29.65</v>
      </c>
      <c r="O10002" s="6">
        <v>29.78</v>
      </c>
      <c r="P10002" s="2" t="s">
        <v>29310</v>
      </c>
      <c r="Q10002" s="6">
        <v>100</v>
      </c>
      <c r="R10002" s="6">
        <v>32</v>
      </c>
      <c r="S10002" s="5">
        <v>186</v>
      </c>
      <c r="T10002" s="5">
        <v>453</v>
      </c>
      <c r="U10002" s="5">
        <v>8.9</v>
      </c>
      <c r="V10002" s="6">
        <v>1.69</v>
      </c>
      <c r="W10002" s="6">
        <v>23.24</v>
      </c>
      <c r="X10002" s="6">
        <v>21.69</v>
      </c>
      <c r="Y10002" s="6">
        <v>21.01</v>
      </c>
      <c r="Z10002" s="6">
        <v>29.49</v>
      </c>
      <c r="AA10002" s="6">
        <v>115.73</v>
      </c>
      <c r="AB10002" s="7">
        <v>16.535</v>
      </c>
      <c r="AC10002" s="8">
        <v>2412</v>
      </c>
    </row>
    <row r="10003" spans="1:29" ht="65" x14ac:dyDescent="0.15">
      <c r="A10003" s="3">
        <f>DATE(2011,6,7)</f>
        <v>40701</v>
      </c>
      <c r="B10003" s="2"/>
      <c r="C10003" s="2" t="s">
        <v>87</v>
      </c>
      <c r="D10003" s="2" t="s">
        <v>20226</v>
      </c>
      <c r="E10003" s="2" t="s">
        <v>20227</v>
      </c>
      <c r="F10003" s="4">
        <v>5944</v>
      </c>
      <c r="G10003" s="2" t="s">
        <v>73</v>
      </c>
      <c r="H10003" s="2" t="s">
        <v>34</v>
      </c>
      <c r="I10003" s="2" t="s">
        <v>29311</v>
      </c>
      <c r="J10003" s="2" t="s">
        <v>29312</v>
      </c>
      <c r="K10003" s="2" t="s">
        <v>112</v>
      </c>
      <c r="L10003" s="2" t="s">
        <v>215</v>
      </c>
      <c r="M10003" s="12">
        <v>40657.355000000003</v>
      </c>
      <c r="N10003" s="7">
        <v>64.718999999999994</v>
      </c>
      <c r="O10003" s="7">
        <v>63.935000000000002</v>
      </c>
      <c r="P10003" s="2" t="s">
        <v>29313</v>
      </c>
      <c r="Q10003" s="2"/>
      <c r="R10003" s="2"/>
      <c r="S10003" s="5">
        <v>385</v>
      </c>
      <c r="T10003" s="7">
        <v>797.18299999999999</v>
      </c>
      <c r="U10003" s="5">
        <v>17.8</v>
      </c>
      <c r="V10003" s="6">
        <v>2.99</v>
      </c>
      <c r="W10003" s="6">
        <v>75.66</v>
      </c>
      <c r="X10003" s="6">
        <v>72.73</v>
      </c>
      <c r="Y10003" s="5">
        <v>73.400000000000006</v>
      </c>
      <c r="Z10003" s="6">
        <v>72.58</v>
      </c>
      <c r="AA10003" s="6">
        <v>127.71</v>
      </c>
      <c r="AB10003" s="2" t="s">
        <v>47</v>
      </c>
      <c r="AC10003" s="10">
        <v>5001.8500000000004</v>
      </c>
    </row>
    <row r="10004" spans="1:29" ht="260" x14ac:dyDescent="0.15">
      <c r="A10004" s="3">
        <f>DATE(2011,6,12)</f>
        <v>40706</v>
      </c>
      <c r="B10004" s="2"/>
      <c r="C10004" s="2" t="s">
        <v>30</v>
      </c>
      <c r="D10004" s="2" t="s">
        <v>27452</v>
      </c>
      <c r="E10004" s="2" t="s">
        <v>27453</v>
      </c>
      <c r="F10004" s="4">
        <v>6331</v>
      </c>
      <c r="G10004" s="2" t="s">
        <v>125</v>
      </c>
      <c r="H10004" s="2" t="s">
        <v>34</v>
      </c>
      <c r="I10004" s="2" t="s">
        <v>29314</v>
      </c>
      <c r="J10004" s="2" t="s">
        <v>515</v>
      </c>
      <c r="K10004" s="2" t="s">
        <v>125</v>
      </c>
      <c r="L10004" s="2" t="s">
        <v>215</v>
      </c>
      <c r="M10004" s="2"/>
      <c r="N10004" s="2"/>
      <c r="O10004" s="2"/>
      <c r="P10004" s="2" t="s">
        <v>29315</v>
      </c>
      <c r="Q10004" s="2"/>
      <c r="R10004" s="6">
        <v>51.1</v>
      </c>
      <c r="S10004" s="5">
        <v>196.2</v>
      </c>
      <c r="T10004" s="2"/>
      <c r="U10004" s="5">
        <v>64.7</v>
      </c>
      <c r="V10004" s="6">
        <v>2.84</v>
      </c>
      <c r="W10004" s="5">
        <v>45.2</v>
      </c>
      <c r="X10004" s="6">
        <v>44.01</v>
      </c>
      <c r="Y10004" s="6">
        <v>48.19</v>
      </c>
      <c r="Z10004" s="6">
        <v>48.19</v>
      </c>
      <c r="AA10004" s="6">
        <v>62.48</v>
      </c>
      <c r="AB10004" s="7">
        <v>20.02</v>
      </c>
      <c r="AC10004" s="6">
        <v>746</v>
      </c>
    </row>
    <row r="10005" spans="1:29" ht="130" x14ac:dyDescent="0.15">
      <c r="A10005" s="3">
        <f>DATE(2011,6,13)</f>
        <v>40707</v>
      </c>
      <c r="B10005" s="3">
        <f>DATE(2011,8,22)</f>
        <v>40777</v>
      </c>
      <c r="C10005" s="2" t="s">
        <v>95</v>
      </c>
      <c r="D10005" s="2" t="s">
        <v>29316</v>
      </c>
      <c r="E10005" s="2" t="s">
        <v>16453</v>
      </c>
      <c r="F10005" s="4">
        <v>4812</v>
      </c>
      <c r="G10005" s="2" t="s">
        <v>63</v>
      </c>
      <c r="H10005" s="2" t="s">
        <v>34</v>
      </c>
      <c r="I10005" s="2" t="s">
        <v>15992</v>
      </c>
      <c r="J10005" s="2" t="s">
        <v>15993</v>
      </c>
      <c r="K10005" s="2" t="s">
        <v>105</v>
      </c>
      <c r="L10005" s="2" t="s">
        <v>34</v>
      </c>
      <c r="M10005" s="12">
        <v>47314.947999999997</v>
      </c>
      <c r="N10005" s="6">
        <v>55.71</v>
      </c>
      <c r="O10005" s="6">
        <v>57.19</v>
      </c>
      <c r="P10005" s="2" t="s">
        <v>29317</v>
      </c>
      <c r="Q10005" s="6">
        <v>100</v>
      </c>
      <c r="R10005" s="6">
        <v>33</v>
      </c>
      <c r="S10005" s="5">
        <v>15.9</v>
      </c>
      <c r="T10005" s="7">
        <v>38.853999999999999</v>
      </c>
      <c r="U10005" s="5">
        <v>17.2</v>
      </c>
      <c r="V10005" s="6">
        <v>1.03</v>
      </c>
      <c r="W10005" s="5">
        <v>24.4</v>
      </c>
      <c r="X10005" s="6">
        <v>24.01</v>
      </c>
      <c r="Y10005" s="6">
        <v>24.96</v>
      </c>
      <c r="Z10005" s="6">
        <v>25.14</v>
      </c>
      <c r="AA10005" s="6">
        <v>15.34</v>
      </c>
      <c r="AB10005" s="7">
        <v>25.123999999999999</v>
      </c>
      <c r="AC10005" s="8">
        <v>3715</v>
      </c>
    </row>
    <row r="10006" spans="1:29" ht="78" x14ac:dyDescent="0.15">
      <c r="A10006" s="3">
        <f>DATE(2011,6,13)</f>
        <v>40707</v>
      </c>
      <c r="B10006" s="3">
        <f>DATE(2011,8,22)</f>
        <v>40777</v>
      </c>
      <c r="C10006" s="2" t="s">
        <v>95</v>
      </c>
      <c r="D10006" s="2" t="s">
        <v>29318</v>
      </c>
      <c r="E10006" s="2" t="s">
        <v>29319</v>
      </c>
      <c r="F10006" s="4">
        <v>7372</v>
      </c>
      <c r="G10006" s="2" t="s">
        <v>551</v>
      </c>
      <c r="H10006" s="2" t="s">
        <v>34</v>
      </c>
      <c r="I10006" s="2" t="s">
        <v>23175</v>
      </c>
      <c r="J10006" s="2" t="s">
        <v>244</v>
      </c>
      <c r="K10006" s="2" t="s">
        <v>53</v>
      </c>
      <c r="L10006" s="2" t="s">
        <v>34</v>
      </c>
      <c r="M10006" s="2"/>
      <c r="N10006" s="2"/>
      <c r="O10006" s="2"/>
      <c r="P10006" s="2" t="s">
        <v>29320</v>
      </c>
      <c r="Q10006" s="6">
        <v>100</v>
      </c>
      <c r="R10006" s="6">
        <v>11</v>
      </c>
      <c r="S10006" s="5">
        <v>-23.6</v>
      </c>
      <c r="T10006" s="7">
        <v>17.751000000000001</v>
      </c>
      <c r="U10006" s="5">
        <v>5.9</v>
      </c>
      <c r="V10006" s="6">
        <v>-0.27</v>
      </c>
      <c r="W10006" s="6">
        <v>8.4600000000000009</v>
      </c>
      <c r="X10006" s="6">
        <v>8.1199999999999992</v>
      </c>
      <c r="Y10006" s="6">
        <v>10.99</v>
      </c>
      <c r="Z10006" s="6">
        <v>10.99</v>
      </c>
      <c r="AA10006" s="6">
        <v>25.14</v>
      </c>
      <c r="AB10006" s="7">
        <v>28.745000000000001</v>
      </c>
      <c r="AC10006" s="2"/>
    </row>
    <row r="10007" spans="1:29" ht="143" x14ac:dyDescent="0.15">
      <c r="A10007" s="3">
        <f>DATE(2011,6,13)</f>
        <v>40707</v>
      </c>
      <c r="B10007" s="3">
        <f>DATE(2011,12,21)</f>
        <v>40898</v>
      </c>
      <c r="C10007" s="2" t="s">
        <v>95</v>
      </c>
      <c r="D10007" s="2" t="s">
        <v>18711</v>
      </c>
      <c r="E10007" s="2" t="s">
        <v>7424</v>
      </c>
      <c r="F10007" s="4">
        <v>8742</v>
      </c>
      <c r="G10007" s="2" t="s">
        <v>223</v>
      </c>
      <c r="H10007" s="2" t="s">
        <v>34</v>
      </c>
      <c r="I10007" s="2" t="s">
        <v>5539</v>
      </c>
      <c r="J10007" s="2" t="s">
        <v>244</v>
      </c>
      <c r="K10007" s="2" t="s">
        <v>53</v>
      </c>
      <c r="L10007" s="2" t="s">
        <v>34</v>
      </c>
      <c r="M10007" s="2"/>
      <c r="N10007" s="2"/>
      <c r="O10007" s="2"/>
      <c r="P10007" s="2" t="s">
        <v>29321</v>
      </c>
      <c r="Q10007" s="6">
        <v>57.27</v>
      </c>
      <c r="R10007" s="6">
        <v>25</v>
      </c>
      <c r="S10007" s="5">
        <v>107.6</v>
      </c>
      <c r="T10007" s="5">
        <v>463.5</v>
      </c>
      <c r="U10007" s="5">
        <v>35.700000000000003</v>
      </c>
      <c r="V10007" s="6">
        <v>5.54</v>
      </c>
      <c r="W10007" s="6">
        <v>18.97</v>
      </c>
      <c r="X10007" s="6">
        <v>16.96</v>
      </c>
      <c r="Y10007" s="6">
        <v>24.06</v>
      </c>
      <c r="Z10007" s="6">
        <v>24.09</v>
      </c>
      <c r="AA10007" s="6">
        <v>19.329999999999998</v>
      </c>
      <c r="AB10007" s="7">
        <v>8.2439999999999998</v>
      </c>
      <c r="AC10007" s="2"/>
    </row>
    <row r="10008" spans="1:29" ht="65" x14ac:dyDescent="0.15">
      <c r="A10008" s="3">
        <f>DATE(2011,6,13)</f>
        <v>40707</v>
      </c>
      <c r="B10008" s="3">
        <f>DATE(2011,9,13)</f>
        <v>40799</v>
      </c>
      <c r="C10008" s="2" t="s">
        <v>95</v>
      </c>
      <c r="D10008" s="2" t="s">
        <v>29322</v>
      </c>
      <c r="E10008" s="2" t="s">
        <v>24807</v>
      </c>
      <c r="F10008" s="4">
        <v>3143</v>
      </c>
      <c r="G10008" s="2" t="s">
        <v>326</v>
      </c>
      <c r="H10008" s="2" t="s">
        <v>34</v>
      </c>
      <c r="I10008" s="2" t="s">
        <v>29323</v>
      </c>
      <c r="J10008" s="2" t="s">
        <v>4494</v>
      </c>
      <c r="K10008" s="2" t="s">
        <v>708</v>
      </c>
      <c r="L10008" s="2" t="s">
        <v>34</v>
      </c>
      <c r="M10008" s="2"/>
      <c r="N10008" s="2"/>
      <c r="O10008" s="2"/>
      <c r="P10008" s="2" t="s">
        <v>29324</v>
      </c>
      <c r="Q10008" s="6">
        <v>100</v>
      </c>
      <c r="R10008" s="6">
        <v>43</v>
      </c>
      <c r="S10008" s="5">
        <v>88.8</v>
      </c>
      <c r="T10008" s="7">
        <v>162.864</v>
      </c>
      <c r="U10008" s="5">
        <v>13</v>
      </c>
      <c r="V10008" s="6">
        <v>1.69</v>
      </c>
      <c r="W10008" s="5">
        <v>29.5</v>
      </c>
      <c r="X10008" s="6">
        <v>29.99</v>
      </c>
      <c r="Y10008" s="5">
        <v>43.2</v>
      </c>
      <c r="Z10008" s="6">
        <v>43.04</v>
      </c>
      <c r="AA10008" s="6">
        <v>50.71</v>
      </c>
      <c r="AB10008" s="7">
        <v>14.224</v>
      </c>
      <c r="AC10008" s="2"/>
    </row>
    <row r="10009" spans="1:29" ht="130" x14ac:dyDescent="0.15">
      <c r="A10009" s="3">
        <f>DATE(2011,6,14)</f>
        <v>40708</v>
      </c>
      <c r="B10009" s="3">
        <f>DATE(2011,9,2)</f>
        <v>40788</v>
      </c>
      <c r="C10009" s="2" t="s">
        <v>95</v>
      </c>
      <c r="D10009" s="2" t="s">
        <v>29325</v>
      </c>
      <c r="E10009" s="2" t="s">
        <v>29326</v>
      </c>
      <c r="F10009" s="4">
        <v>4213</v>
      </c>
      <c r="G10009" s="2" t="s">
        <v>173</v>
      </c>
      <c r="H10009" s="2" t="s">
        <v>34</v>
      </c>
      <c r="I10009" s="2" t="s">
        <v>51</v>
      </c>
      <c r="J10009" s="2" t="s">
        <v>52</v>
      </c>
      <c r="K10009" s="2" t="s">
        <v>53</v>
      </c>
      <c r="L10009" s="2" t="s">
        <v>34</v>
      </c>
      <c r="M10009" s="2"/>
      <c r="N10009" s="2"/>
      <c r="O10009" s="2"/>
      <c r="P10009" s="2" t="s">
        <v>29327</v>
      </c>
      <c r="Q10009" s="2"/>
      <c r="R10009" s="6">
        <v>1.75</v>
      </c>
      <c r="S10009" s="5">
        <v>5.2</v>
      </c>
      <c r="T10009" s="7">
        <v>10.143000000000001</v>
      </c>
      <c r="U10009" s="5">
        <v>4.4000000000000004</v>
      </c>
      <c r="V10009" s="6">
        <v>0.6</v>
      </c>
      <c r="W10009" s="6">
        <v>2.17</v>
      </c>
      <c r="X10009" s="6">
        <v>2.19</v>
      </c>
      <c r="Y10009" s="6">
        <v>2.5299999999999998</v>
      </c>
      <c r="Z10009" s="6">
        <v>2.95</v>
      </c>
      <c r="AA10009" s="6">
        <v>75.94</v>
      </c>
      <c r="AB10009" s="7">
        <v>18.899000000000001</v>
      </c>
      <c r="AC10009" s="2"/>
    </row>
    <row r="10010" spans="1:29" ht="208" x14ac:dyDescent="0.15">
      <c r="A10010" s="3">
        <f>DATE(2011,6,14)</f>
        <v>40708</v>
      </c>
      <c r="B10010" s="3">
        <f>DATE(2011,9,8)</f>
        <v>40794</v>
      </c>
      <c r="C10010" s="2" t="s">
        <v>95</v>
      </c>
      <c r="D10010" s="2" t="s">
        <v>29188</v>
      </c>
      <c r="E10010" s="2" t="s">
        <v>29189</v>
      </c>
      <c r="F10010" s="4">
        <v>3085</v>
      </c>
      <c r="G10010" s="2" t="s">
        <v>447</v>
      </c>
      <c r="H10010" s="2" t="s">
        <v>34</v>
      </c>
      <c r="I10010" s="2" t="s">
        <v>28503</v>
      </c>
      <c r="J10010" s="2" t="s">
        <v>28504</v>
      </c>
      <c r="K10010" s="2" t="s">
        <v>282</v>
      </c>
      <c r="L10010" s="2" t="s">
        <v>26061</v>
      </c>
      <c r="M10010" s="2"/>
      <c r="N10010" s="2"/>
      <c r="O10010" s="2"/>
      <c r="P10010" s="2" t="s">
        <v>29328</v>
      </c>
      <c r="Q10010" s="6">
        <v>100</v>
      </c>
      <c r="R10010" s="6">
        <v>25.5</v>
      </c>
      <c r="S10010" s="5">
        <v>84</v>
      </c>
      <c r="T10010" s="7">
        <v>481.63099999999997</v>
      </c>
      <c r="U10010" s="5">
        <v>-7.8</v>
      </c>
      <c r="V10010" s="6">
        <v>1.36</v>
      </c>
      <c r="W10010" s="6">
        <v>22.19</v>
      </c>
      <c r="X10010" s="6">
        <v>21.95</v>
      </c>
      <c r="Y10010" s="6">
        <v>25.63</v>
      </c>
      <c r="Z10010" s="6">
        <v>26.28</v>
      </c>
      <c r="AA10010" s="6">
        <v>68.8</v>
      </c>
      <c r="AB10010" s="7">
        <v>14.814</v>
      </c>
      <c r="AC10010" s="5">
        <v>664</v>
      </c>
    </row>
    <row r="10011" spans="1:29" ht="117" x14ac:dyDescent="0.15">
      <c r="A10011" s="3">
        <f>DATE(2011,6,15)</f>
        <v>40709</v>
      </c>
      <c r="B10011" s="3">
        <f>DATE(2012,1,1)</f>
        <v>40909</v>
      </c>
      <c r="C10011" s="2" t="s">
        <v>95</v>
      </c>
      <c r="D10011" s="2" t="s">
        <v>22282</v>
      </c>
      <c r="E10011" s="2" t="s">
        <v>159</v>
      </c>
      <c r="F10011" s="4">
        <v>6021</v>
      </c>
      <c r="G10011" s="2" t="s">
        <v>37</v>
      </c>
      <c r="H10011" s="2" t="s">
        <v>34</v>
      </c>
      <c r="I10011" s="2" t="s">
        <v>21951</v>
      </c>
      <c r="J10011" s="2" t="s">
        <v>36</v>
      </c>
      <c r="K10011" s="2" t="s">
        <v>37</v>
      </c>
      <c r="L10011" s="2" t="s">
        <v>34</v>
      </c>
      <c r="M10011" s="12">
        <v>1275.191</v>
      </c>
      <c r="N10011" s="6">
        <v>10.32</v>
      </c>
      <c r="O10011" s="6">
        <v>9.85</v>
      </c>
      <c r="P10011" s="2" t="s">
        <v>29329</v>
      </c>
      <c r="Q10011" s="6">
        <v>100</v>
      </c>
      <c r="R10011" s="6">
        <v>22.74</v>
      </c>
      <c r="S10011" s="5">
        <v>-15.2</v>
      </c>
      <c r="T10011" s="7">
        <v>11.635999999999999</v>
      </c>
      <c r="U10011" s="5">
        <v>16.5</v>
      </c>
      <c r="V10011" s="6">
        <v>-3.07</v>
      </c>
      <c r="W10011" s="6">
        <v>11.03</v>
      </c>
      <c r="X10011" s="6">
        <v>10.88</v>
      </c>
      <c r="Y10011" s="4">
        <v>11</v>
      </c>
      <c r="Z10011" s="5">
        <v>20.100000000000001</v>
      </c>
      <c r="AA10011" s="6">
        <v>5.58</v>
      </c>
      <c r="AB10011" s="7">
        <v>32.024999999999999</v>
      </c>
      <c r="AC10011" s="2"/>
    </row>
    <row r="10012" spans="1:29" ht="143" x14ac:dyDescent="0.15">
      <c r="A10012" s="3">
        <f>DATE(2011,6,16)</f>
        <v>40710</v>
      </c>
      <c r="B10012" s="3">
        <f>DATE(2012,1,13)</f>
        <v>40921</v>
      </c>
      <c r="C10012" s="2" t="s">
        <v>95</v>
      </c>
      <c r="D10012" s="2" t="s">
        <v>29330</v>
      </c>
      <c r="E10012" s="2" t="s">
        <v>29331</v>
      </c>
      <c r="F10012" s="4">
        <v>3691</v>
      </c>
      <c r="G10012" s="2" t="s">
        <v>137</v>
      </c>
      <c r="H10012" s="2" t="s">
        <v>34</v>
      </c>
      <c r="I10012" s="2" t="s">
        <v>29332</v>
      </c>
      <c r="J10012" s="2" t="s">
        <v>22486</v>
      </c>
      <c r="K10012" s="2" t="s">
        <v>53</v>
      </c>
      <c r="L10012" s="2" t="s">
        <v>34</v>
      </c>
      <c r="M10012" s="2"/>
      <c r="N10012" s="2"/>
      <c r="O10012" s="2"/>
      <c r="P10012" s="2" t="s">
        <v>29333</v>
      </c>
      <c r="Q10012" s="6">
        <v>35</v>
      </c>
      <c r="R10012" s="6">
        <v>9.75</v>
      </c>
      <c r="S10012" s="5">
        <v>-1.6</v>
      </c>
      <c r="T10012" s="7">
        <v>18.649000000000001</v>
      </c>
      <c r="U10012" s="5">
        <v>5.4</v>
      </c>
      <c r="V10012" s="9">
        <v>32.356099999999998</v>
      </c>
      <c r="W10012" s="5">
        <v>8.3000000000000007</v>
      </c>
      <c r="X10012" s="6">
        <v>8.24</v>
      </c>
      <c r="Y10012" s="6">
        <v>9.35</v>
      </c>
      <c r="Z10012" s="6">
        <v>9.4499999999999993</v>
      </c>
      <c r="AA10012" s="6">
        <v>15.2</v>
      </c>
      <c r="AB10012" s="7">
        <v>24.356000000000002</v>
      </c>
      <c r="AC10012" s="2"/>
    </row>
    <row r="10013" spans="1:29" ht="117" x14ac:dyDescent="0.15">
      <c r="A10013" s="3">
        <f>DATE(2011,6,16)</f>
        <v>40710</v>
      </c>
      <c r="B10013" s="3">
        <f>DATE(2011,7,26)</f>
        <v>40750</v>
      </c>
      <c r="C10013" s="2" t="s">
        <v>95</v>
      </c>
      <c r="D10013" s="2" t="s">
        <v>29334</v>
      </c>
      <c r="E10013" s="2" t="s">
        <v>29335</v>
      </c>
      <c r="F10013" s="4">
        <v>7389</v>
      </c>
      <c r="G10013" s="2" t="s">
        <v>223</v>
      </c>
      <c r="H10013" s="2" t="s">
        <v>34</v>
      </c>
      <c r="I10013" s="2" t="s">
        <v>25434</v>
      </c>
      <c r="J10013" s="2" t="s">
        <v>25435</v>
      </c>
      <c r="K10013" s="2" t="s">
        <v>4563</v>
      </c>
      <c r="L10013" s="2" t="s">
        <v>34</v>
      </c>
      <c r="M10013" s="7">
        <v>934.18200000000002</v>
      </c>
      <c r="N10013" s="5">
        <v>28.5</v>
      </c>
      <c r="O10013" s="6">
        <v>28.51</v>
      </c>
      <c r="P10013" s="2" t="s">
        <v>29336</v>
      </c>
      <c r="Q10013" s="6">
        <v>100</v>
      </c>
      <c r="R10013" s="6">
        <v>22</v>
      </c>
      <c r="S10013" s="5">
        <v>10</v>
      </c>
      <c r="T10013" s="2"/>
      <c r="U10013" s="5">
        <v>7</v>
      </c>
      <c r="V10013" s="2"/>
      <c r="W10013" s="6">
        <v>16.25</v>
      </c>
      <c r="X10013" s="6">
        <v>15.94</v>
      </c>
      <c r="Y10013" s="6">
        <v>21.91</v>
      </c>
      <c r="Z10013" s="6">
        <v>21.94</v>
      </c>
      <c r="AA10013" s="6">
        <v>19.02</v>
      </c>
      <c r="AB10013" s="7">
        <v>29.739000000000001</v>
      </c>
      <c r="AC10013" s="6">
        <v>82.73</v>
      </c>
    </row>
    <row r="10014" spans="1:29" ht="286" x14ac:dyDescent="0.15">
      <c r="A10014" s="3">
        <f>DATE(2011,6,16)</f>
        <v>40710</v>
      </c>
      <c r="B10014" s="3">
        <f>DATE(2012,3,26)</f>
        <v>40994</v>
      </c>
      <c r="C10014" s="2" t="s">
        <v>95</v>
      </c>
      <c r="D10014" s="2" t="s">
        <v>10078</v>
      </c>
      <c r="E10014" s="2" t="s">
        <v>10079</v>
      </c>
      <c r="F10014" s="4">
        <v>4924</v>
      </c>
      <c r="G10014" s="2" t="s">
        <v>439</v>
      </c>
      <c r="H10014" s="2" t="s">
        <v>34</v>
      </c>
      <c r="I10014" s="2" t="s">
        <v>29337</v>
      </c>
      <c r="J10014" s="2" t="s">
        <v>29338</v>
      </c>
      <c r="K10014" s="2" t="s">
        <v>439</v>
      </c>
      <c r="L10014" s="2" t="s">
        <v>34</v>
      </c>
      <c r="M10014" s="12">
        <v>9141.8809999999994</v>
      </c>
      <c r="N10014" s="6">
        <v>45.96</v>
      </c>
      <c r="O10014" s="6">
        <v>44.24</v>
      </c>
      <c r="P10014" s="2" t="s">
        <v>29339</v>
      </c>
      <c r="Q10014" s="6">
        <v>100</v>
      </c>
      <c r="R10014" s="6">
        <v>44.25</v>
      </c>
      <c r="S10014" s="5">
        <v>213.6</v>
      </c>
      <c r="T10014" s="7">
        <v>667.15300000000002</v>
      </c>
      <c r="U10014" s="5">
        <v>20.9</v>
      </c>
      <c r="V10014" s="6">
        <v>1.7</v>
      </c>
      <c r="W10014" s="5">
        <v>29.3</v>
      </c>
      <c r="X10014" s="6">
        <v>28.26</v>
      </c>
      <c r="Y10014" s="6">
        <v>33.21</v>
      </c>
      <c r="Z10014" s="6">
        <v>33.56</v>
      </c>
      <c r="AA10014" s="6">
        <v>124.71</v>
      </c>
      <c r="AB10014" s="7">
        <v>21.427</v>
      </c>
      <c r="AC10014" s="6">
        <v>306.92</v>
      </c>
    </row>
    <row r="10015" spans="1:29" ht="78" x14ac:dyDescent="0.15">
      <c r="A10015" s="3">
        <f>DATE(2011,6,16)</f>
        <v>40710</v>
      </c>
      <c r="B10015" s="2"/>
      <c r="C10015" s="2" t="s">
        <v>30</v>
      </c>
      <c r="D10015" s="2" t="s">
        <v>28081</v>
      </c>
      <c r="E10015" s="2" t="s">
        <v>28082</v>
      </c>
      <c r="F10015" s="4">
        <v>4899</v>
      </c>
      <c r="G10015" s="2" t="s">
        <v>63</v>
      </c>
      <c r="H10015" s="2" t="s">
        <v>34</v>
      </c>
      <c r="I10015" s="2" t="s">
        <v>29340</v>
      </c>
      <c r="J10015" s="2" t="s">
        <v>29341</v>
      </c>
      <c r="K10015" s="2" t="s">
        <v>63</v>
      </c>
      <c r="L10015" s="2" t="s">
        <v>34</v>
      </c>
      <c r="M10015" s="7">
        <v>35.579000000000001</v>
      </c>
      <c r="N10015" s="6">
        <v>3.36</v>
      </c>
      <c r="O10015" s="6">
        <v>3.28</v>
      </c>
      <c r="P10015" s="2" t="s">
        <v>29342</v>
      </c>
      <c r="Q10015" s="2"/>
      <c r="R10015" s="6">
        <v>3.2</v>
      </c>
      <c r="S10015" s="5">
        <v>-9.3000000000000007</v>
      </c>
      <c r="T10015" s="7">
        <v>-1.0089999999999999</v>
      </c>
      <c r="U10015" s="5">
        <v>-29.6</v>
      </c>
      <c r="V10015" s="9">
        <v>-17.499300000000002</v>
      </c>
      <c r="W10015" s="6">
        <v>2.46</v>
      </c>
      <c r="X10015" s="6">
        <v>2.23</v>
      </c>
      <c r="Y10015" s="6">
        <v>2.94</v>
      </c>
      <c r="Z10015" s="6">
        <v>2.92</v>
      </c>
      <c r="AA10015" s="6">
        <v>6.95</v>
      </c>
      <c r="AB10015" s="2" t="s">
        <v>86</v>
      </c>
      <c r="AC10015" s="6">
        <v>0.33</v>
      </c>
    </row>
    <row r="10016" spans="1:29" ht="182" x14ac:dyDescent="0.15">
      <c r="A10016" s="3">
        <f>DATE(2011,6,17)</f>
        <v>40711</v>
      </c>
      <c r="B10016" s="3">
        <f>DATE(2011,9,30)</f>
        <v>40816</v>
      </c>
      <c r="C10016" s="2" t="s">
        <v>95</v>
      </c>
      <c r="D10016" s="2" t="s">
        <v>29343</v>
      </c>
      <c r="E10016" s="2" t="s">
        <v>29344</v>
      </c>
      <c r="F10016" s="4">
        <v>5399</v>
      </c>
      <c r="G10016" s="2" t="s">
        <v>756</v>
      </c>
      <c r="H10016" s="2" t="s">
        <v>34</v>
      </c>
      <c r="I10016" s="2" t="s">
        <v>29345</v>
      </c>
      <c r="J10016" s="2" t="s">
        <v>11337</v>
      </c>
      <c r="K10016" s="2" t="s">
        <v>53</v>
      </c>
      <c r="L10016" s="2" t="s">
        <v>34</v>
      </c>
      <c r="M10016" s="2"/>
      <c r="N10016" s="2"/>
      <c r="O10016" s="2"/>
      <c r="P10016" s="2" t="s">
        <v>29346</v>
      </c>
      <c r="Q10016" s="6">
        <v>90.64</v>
      </c>
      <c r="R10016" s="6">
        <v>51.25</v>
      </c>
      <c r="S10016" s="5">
        <v>102.6</v>
      </c>
      <c r="T10016" s="6">
        <v>379.22</v>
      </c>
      <c r="U10016" s="5">
        <v>21.8</v>
      </c>
      <c r="V10016" s="6">
        <v>2.46</v>
      </c>
      <c r="W10016" s="5">
        <v>41.3</v>
      </c>
      <c r="X10016" s="6">
        <v>42.03</v>
      </c>
      <c r="Y10016" s="6">
        <v>47.34</v>
      </c>
      <c r="Z10016" s="6">
        <v>47.19</v>
      </c>
      <c r="AA10016" s="6">
        <v>55.52</v>
      </c>
      <c r="AB10016" s="7">
        <v>10.629</v>
      </c>
      <c r="AC10016" s="2"/>
    </row>
    <row r="10017" spans="1:29" ht="130" x14ac:dyDescent="0.15">
      <c r="A10017" s="3">
        <f>DATE(2011,6,20)</f>
        <v>40714</v>
      </c>
      <c r="B10017" s="3">
        <f>DATE(2012,2,18)</f>
        <v>40957</v>
      </c>
      <c r="C10017" s="2" t="s">
        <v>95</v>
      </c>
      <c r="D10017" s="2" t="s">
        <v>23348</v>
      </c>
      <c r="E10017" s="2" t="s">
        <v>36</v>
      </c>
      <c r="F10017" s="4">
        <v>6022</v>
      </c>
      <c r="G10017" s="2" t="s">
        <v>37</v>
      </c>
      <c r="H10017" s="2" t="s">
        <v>34</v>
      </c>
      <c r="I10017" s="2" t="s">
        <v>4811</v>
      </c>
      <c r="J10017" s="2" t="s">
        <v>36</v>
      </c>
      <c r="K10017" s="2" t="s">
        <v>37</v>
      </c>
      <c r="L10017" s="2" t="s">
        <v>34</v>
      </c>
      <c r="M10017" s="10">
        <v>1113.8699999999999</v>
      </c>
      <c r="N10017" s="6">
        <v>8.34</v>
      </c>
      <c r="O10017" s="5">
        <v>7.7</v>
      </c>
      <c r="P10017" s="2" t="s">
        <v>29347</v>
      </c>
      <c r="Q10017" s="6">
        <v>100</v>
      </c>
      <c r="R10017" s="6">
        <v>28.66</v>
      </c>
      <c r="S10017" s="5">
        <v>-0.5</v>
      </c>
      <c r="T10017" s="7">
        <v>11.407</v>
      </c>
      <c r="U10017" s="5">
        <v>21.2</v>
      </c>
      <c r="V10017" s="6">
        <v>-0.08</v>
      </c>
      <c r="W10017" s="6">
        <v>19.45</v>
      </c>
      <c r="X10017" s="6">
        <v>20.27</v>
      </c>
      <c r="Y10017" s="6">
        <v>20.37</v>
      </c>
      <c r="Z10017" s="5">
        <v>26.8</v>
      </c>
      <c r="AA10017" s="6">
        <v>12.01</v>
      </c>
      <c r="AB10017" s="7">
        <v>58.006999999999998</v>
      </c>
      <c r="AC10017" s="2"/>
    </row>
    <row r="10018" spans="1:29" ht="78" x14ac:dyDescent="0.15">
      <c r="A10018" s="3">
        <f>DATE(2011,6,22)</f>
        <v>40716</v>
      </c>
      <c r="B10018" s="3">
        <f>DATE(2011,8,9)</f>
        <v>40764</v>
      </c>
      <c r="C10018" s="2" t="s">
        <v>95</v>
      </c>
      <c r="D10018" s="2" t="s">
        <v>7810</v>
      </c>
      <c r="E10018" s="2" t="s">
        <v>7811</v>
      </c>
      <c r="F10018" s="4">
        <v>2869</v>
      </c>
      <c r="G10018" s="2" t="s">
        <v>98</v>
      </c>
      <c r="H10018" s="2" t="s">
        <v>34</v>
      </c>
      <c r="I10018" s="2" t="s">
        <v>14241</v>
      </c>
      <c r="J10018" s="2" t="s">
        <v>14242</v>
      </c>
      <c r="K10018" s="2" t="s">
        <v>98</v>
      </c>
      <c r="L10018" s="2" t="s">
        <v>34</v>
      </c>
      <c r="M10018" s="12">
        <v>7307.6679999999997</v>
      </c>
      <c r="N10018" s="6">
        <v>99.74</v>
      </c>
      <c r="O10018" s="6">
        <v>98.97</v>
      </c>
      <c r="P10018" s="2" t="s">
        <v>29348</v>
      </c>
      <c r="Q10018" s="6">
        <v>100</v>
      </c>
      <c r="R10018" s="6">
        <v>2.5</v>
      </c>
      <c r="S10018" s="5">
        <v>26.7</v>
      </c>
      <c r="T10018" s="2"/>
      <c r="U10018" s="5">
        <v>-53.4</v>
      </c>
      <c r="V10018" s="6">
        <v>2.93</v>
      </c>
      <c r="W10018" s="5">
        <v>1.7</v>
      </c>
      <c r="X10018" s="6">
        <v>1.53</v>
      </c>
      <c r="Y10018" s="2"/>
      <c r="Z10018" s="2"/>
      <c r="AA10018" s="6">
        <v>2.83</v>
      </c>
      <c r="AB10018" s="2" t="s">
        <v>47</v>
      </c>
      <c r="AC10018" s="5">
        <v>859</v>
      </c>
    </row>
    <row r="10019" spans="1:29" ht="117" x14ac:dyDescent="0.15">
      <c r="A10019" s="3">
        <f>DATE(2011,6,23)</f>
        <v>40717</v>
      </c>
      <c r="B10019" s="3">
        <f>DATE(2012,6,27)</f>
        <v>41087</v>
      </c>
      <c r="C10019" s="2" t="s">
        <v>95</v>
      </c>
      <c r="D10019" s="2" t="s">
        <v>29293</v>
      </c>
      <c r="E10019" s="2" t="s">
        <v>1977</v>
      </c>
      <c r="F10019" s="4">
        <v>4911</v>
      </c>
      <c r="G10019" s="2" t="s">
        <v>439</v>
      </c>
      <c r="H10019" s="2" t="s">
        <v>34</v>
      </c>
      <c r="I10019" s="2" t="s">
        <v>24225</v>
      </c>
      <c r="J10019" s="2" t="s">
        <v>24226</v>
      </c>
      <c r="K10019" s="2" t="s">
        <v>148</v>
      </c>
      <c r="L10019" s="2" t="s">
        <v>34</v>
      </c>
      <c r="M10019" s="2"/>
      <c r="N10019" s="2"/>
      <c r="O10019" s="2"/>
      <c r="P10019" s="2" t="s">
        <v>29349</v>
      </c>
      <c r="Q10019" s="6">
        <v>100</v>
      </c>
      <c r="R10019" s="6">
        <v>35.25</v>
      </c>
      <c r="S10019" s="5">
        <v>25.2</v>
      </c>
      <c r="T10019" s="5">
        <v>47.9</v>
      </c>
      <c r="U10019" s="5">
        <v>20.6</v>
      </c>
      <c r="V10019" s="6">
        <v>1.94</v>
      </c>
      <c r="W10019" s="6">
        <v>23.31</v>
      </c>
      <c r="X10019" s="6">
        <v>24.32</v>
      </c>
      <c r="Y10019" s="5">
        <v>34.299999999999997</v>
      </c>
      <c r="Z10019" s="5">
        <v>34.299999999999997</v>
      </c>
      <c r="AA10019" s="6">
        <v>13.68</v>
      </c>
      <c r="AB10019" s="7">
        <v>23.25</v>
      </c>
      <c r="AC10019" s="2"/>
    </row>
    <row r="10020" spans="1:29" ht="104" x14ac:dyDescent="0.15">
      <c r="A10020" s="3">
        <f>DATE(2011,6,23)</f>
        <v>40717</v>
      </c>
      <c r="B10020" s="2"/>
      <c r="C10020" s="2" t="s">
        <v>30</v>
      </c>
      <c r="D10020" s="2" t="s">
        <v>29350</v>
      </c>
      <c r="E10020" s="2" t="s">
        <v>540</v>
      </c>
      <c r="F10020" s="4">
        <v>2836</v>
      </c>
      <c r="G10020" s="2" t="s">
        <v>130</v>
      </c>
      <c r="H10020" s="2" t="s">
        <v>34</v>
      </c>
      <c r="I10020" s="2" t="s">
        <v>29351</v>
      </c>
      <c r="J10020" s="2" t="s">
        <v>302</v>
      </c>
      <c r="K10020" s="2" t="s">
        <v>53</v>
      </c>
      <c r="L10020" s="2" t="s">
        <v>34</v>
      </c>
      <c r="M10020" s="2"/>
      <c r="N10020" s="2"/>
      <c r="O10020" s="2"/>
      <c r="P10020" s="2" t="s">
        <v>29352</v>
      </c>
      <c r="Q10020" s="2"/>
      <c r="R10020" s="6">
        <v>4.25</v>
      </c>
      <c r="S10020" s="5">
        <v>6.3</v>
      </c>
      <c r="T10020" s="7">
        <v>6.6159999999999997</v>
      </c>
      <c r="U10020" s="5">
        <v>2</v>
      </c>
      <c r="V10020" s="6">
        <v>0.32</v>
      </c>
      <c r="W10020" s="6">
        <v>3.22</v>
      </c>
      <c r="X10020" s="6">
        <v>3.49</v>
      </c>
      <c r="Y10020" s="6">
        <v>4.0199999999999996</v>
      </c>
      <c r="Z10020" s="6">
        <v>3.95</v>
      </c>
      <c r="AA10020" s="6">
        <v>19.28</v>
      </c>
      <c r="AB10020" s="7">
        <v>11.593</v>
      </c>
      <c r="AC10020" s="2"/>
    </row>
    <row r="10021" spans="1:29" ht="130" x14ac:dyDescent="0.15">
      <c r="A10021" s="3">
        <f>DATE(2011,6,23)</f>
        <v>40717</v>
      </c>
      <c r="B10021" s="2"/>
      <c r="C10021" s="2" t="s">
        <v>30</v>
      </c>
      <c r="D10021" s="2" t="s">
        <v>10078</v>
      </c>
      <c r="E10021" s="2" t="s">
        <v>10079</v>
      </c>
      <c r="F10021" s="4">
        <v>4924</v>
      </c>
      <c r="G10021" s="2" t="s">
        <v>439</v>
      </c>
      <c r="H10021" s="2" t="s">
        <v>34</v>
      </c>
      <c r="I10021" s="2" t="s">
        <v>1436</v>
      </c>
      <c r="J10021" s="2" t="s">
        <v>1437</v>
      </c>
      <c r="K10021" s="2" t="s">
        <v>439</v>
      </c>
      <c r="L10021" s="2" t="s">
        <v>34</v>
      </c>
      <c r="M10021" s="12">
        <v>18056.087</v>
      </c>
      <c r="N10021" s="6">
        <v>29.23</v>
      </c>
      <c r="O10021" s="6">
        <v>28.55</v>
      </c>
      <c r="P10021" s="2" t="s">
        <v>29353</v>
      </c>
      <c r="Q10021" s="2"/>
      <c r="R10021" s="6">
        <v>44</v>
      </c>
      <c r="S10021" s="5">
        <v>213.6</v>
      </c>
      <c r="T10021" s="7">
        <v>667.15300000000002</v>
      </c>
      <c r="U10021" s="5">
        <v>20.9</v>
      </c>
      <c r="V10021" s="6">
        <v>1.7</v>
      </c>
      <c r="W10021" s="5">
        <v>29.3</v>
      </c>
      <c r="X10021" s="6">
        <v>28.26</v>
      </c>
      <c r="Y10021" s="6">
        <v>33.21</v>
      </c>
      <c r="Z10021" s="6">
        <v>33.56</v>
      </c>
      <c r="AA10021" s="6">
        <v>124.71</v>
      </c>
      <c r="AB10021" s="7">
        <v>21.353999999999999</v>
      </c>
      <c r="AC10021" s="8">
        <v>1429</v>
      </c>
    </row>
    <row r="10022" spans="1:29" ht="143" x14ac:dyDescent="0.15">
      <c r="A10022" s="3">
        <f>DATE(2011,6,27)</f>
        <v>40721</v>
      </c>
      <c r="B10022" s="3">
        <f>DATE(2011,10,4)</f>
        <v>40820</v>
      </c>
      <c r="C10022" s="2" t="s">
        <v>95</v>
      </c>
      <c r="D10022" s="2" t="s">
        <v>8371</v>
      </c>
      <c r="E10022" s="2" t="s">
        <v>5566</v>
      </c>
      <c r="F10022" s="4">
        <v>8099</v>
      </c>
      <c r="G10022" s="2" t="s">
        <v>454</v>
      </c>
      <c r="H10022" s="2" t="s">
        <v>34</v>
      </c>
      <c r="I10022" s="2" t="s">
        <v>29354</v>
      </c>
      <c r="J10022" s="2" t="s">
        <v>29355</v>
      </c>
      <c r="K10022" s="2" t="s">
        <v>454</v>
      </c>
      <c r="L10022" s="2" t="s">
        <v>34</v>
      </c>
      <c r="M10022" s="2"/>
      <c r="N10022" s="2"/>
      <c r="O10022" s="2"/>
      <c r="P10022" s="2" t="s">
        <v>29356</v>
      </c>
      <c r="Q10022" s="6">
        <v>100</v>
      </c>
      <c r="R10022" s="6">
        <v>6.45</v>
      </c>
      <c r="S10022" s="5">
        <v>24.9</v>
      </c>
      <c r="T10022" s="7">
        <v>42.762999999999998</v>
      </c>
      <c r="U10022" s="5">
        <v>2.6</v>
      </c>
      <c r="V10022" s="6">
        <v>0.4</v>
      </c>
      <c r="W10022" s="6">
        <v>4.21</v>
      </c>
      <c r="X10022" s="6">
        <v>4.7699999999999996</v>
      </c>
      <c r="Y10022" s="6">
        <v>6.25</v>
      </c>
      <c r="Z10022" s="6">
        <v>6.24</v>
      </c>
      <c r="AA10022" s="6">
        <v>60.63</v>
      </c>
      <c r="AB10022" s="7">
        <v>9.4760000000000009</v>
      </c>
      <c r="AC10022" s="2"/>
    </row>
    <row r="10023" spans="1:29" ht="78" x14ac:dyDescent="0.15">
      <c r="A10023" s="3">
        <f>DATE(2011,6,27)</f>
        <v>40721</v>
      </c>
      <c r="B10023" s="3">
        <f>DATE(2011,8,29)</f>
        <v>40784</v>
      </c>
      <c r="C10023" s="2" t="s">
        <v>95</v>
      </c>
      <c r="D10023" s="2" t="s">
        <v>29357</v>
      </c>
      <c r="E10023" s="2" t="s">
        <v>29358</v>
      </c>
      <c r="F10023" s="4">
        <v>8741</v>
      </c>
      <c r="G10023" s="2" t="s">
        <v>223</v>
      </c>
      <c r="H10023" s="2" t="s">
        <v>34</v>
      </c>
      <c r="I10023" s="2" t="s">
        <v>29359</v>
      </c>
      <c r="J10023" s="2" t="s">
        <v>29360</v>
      </c>
      <c r="K10023" s="2" t="s">
        <v>551</v>
      </c>
      <c r="L10023" s="2" t="s">
        <v>34</v>
      </c>
      <c r="M10023" s="2"/>
      <c r="N10023" s="2"/>
      <c r="O10023" s="2"/>
      <c r="P10023" s="2" t="s">
        <v>29361</v>
      </c>
      <c r="Q10023" s="6">
        <v>100</v>
      </c>
      <c r="R10023" s="6">
        <v>3.5</v>
      </c>
      <c r="S10023" s="5">
        <v>-2.2999999999999998</v>
      </c>
      <c r="T10023" s="7">
        <v>-1.7649999999999999</v>
      </c>
      <c r="U10023" s="5">
        <v>3.5</v>
      </c>
      <c r="V10023" s="6">
        <v>-0.55000000000000004</v>
      </c>
      <c r="W10023" s="6">
        <v>2.46</v>
      </c>
      <c r="X10023" s="7">
        <v>2.2629999999999999</v>
      </c>
      <c r="Y10023" s="6">
        <v>3.45</v>
      </c>
      <c r="Z10023" s="6">
        <v>3.38</v>
      </c>
      <c r="AA10023" s="6">
        <v>3.68</v>
      </c>
      <c r="AB10023" s="2" t="s">
        <v>86</v>
      </c>
      <c r="AC10023" s="2"/>
    </row>
    <row r="10024" spans="1:29" ht="234" x14ac:dyDescent="0.15">
      <c r="A10024" s="3">
        <f>DATE(2011,6,27)</f>
        <v>40721</v>
      </c>
      <c r="B10024" s="2"/>
      <c r="C10024" s="2" t="s">
        <v>30</v>
      </c>
      <c r="D10024" s="2" t="s">
        <v>26529</v>
      </c>
      <c r="E10024" s="2" t="s">
        <v>26530</v>
      </c>
      <c r="F10024" s="4">
        <v>7372</v>
      </c>
      <c r="G10024" s="2" t="s">
        <v>551</v>
      </c>
      <c r="H10024" s="2" t="s">
        <v>34</v>
      </c>
      <c r="I10024" s="2" t="s">
        <v>29362</v>
      </c>
      <c r="J10024" s="2" t="s">
        <v>658</v>
      </c>
      <c r="K10024" s="2" t="s">
        <v>551</v>
      </c>
      <c r="L10024" s="2" t="s">
        <v>34</v>
      </c>
      <c r="M10024" s="7">
        <v>692.92600000000004</v>
      </c>
      <c r="N10024" s="6">
        <v>7.26</v>
      </c>
      <c r="O10024" s="5">
        <v>7.4</v>
      </c>
      <c r="P10024" s="2" t="s">
        <v>29363</v>
      </c>
      <c r="Q10024" s="2"/>
      <c r="R10024" s="6">
        <v>20.51</v>
      </c>
      <c r="S10024" s="5">
        <v>14.4</v>
      </c>
      <c r="T10024" s="7">
        <v>22.361000000000001</v>
      </c>
      <c r="U10024" s="2"/>
      <c r="V10024" s="9">
        <v>0.94969999999999999</v>
      </c>
      <c r="W10024" s="9">
        <v>5.7641999999999998</v>
      </c>
      <c r="X10024" s="11">
        <v>5.6951799999999997</v>
      </c>
      <c r="Y10024" s="6">
        <v>19.54</v>
      </c>
      <c r="Z10024" s="6">
        <v>19.82</v>
      </c>
      <c r="AA10024" s="6">
        <v>15.59</v>
      </c>
      <c r="AB10024" s="7">
        <v>17.654</v>
      </c>
      <c r="AC10024" s="5">
        <v>62.4</v>
      </c>
    </row>
    <row r="10025" spans="1:29" ht="78" x14ac:dyDescent="0.15">
      <c r="A10025" s="3">
        <f>DATE(2011,6,29)</f>
        <v>40723</v>
      </c>
      <c r="B10025" s="3">
        <f>DATE(2011,12,31)</f>
        <v>40908</v>
      </c>
      <c r="C10025" s="2" t="s">
        <v>95</v>
      </c>
      <c r="D10025" s="2" t="s">
        <v>29364</v>
      </c>
      <c r="E10025" s="2" t="s">
        <v>21800</v>
      </c>
      <c r="F10025" s="4">
        <v>6021</v>
      </c>
      <c r="G10025" s="2" t="s">
        <v>37</v>
      </c>
      <c r="H10025" s="2" t="s">
        <v>34</v>
      </c>
      <c r="I10025" s="2" t="s">
        <v>29365</v>
      </c>
      <c r="J10025" s="2" t="s">
        <v>21800</v>
      </c>
      <c r="K10025" s="2" t="s">
        <v>37</v>
      </c>
      <c r="L10025" s="2" t="s">
        <v>34</v>
      </c>
      <c r="M10025" s="2"/>
      <c r="N10025" s="2"/>
      <c r="O10025" s="2"/>
      <c r="P10025" s="2" t="s">
        <v>29366</v>
      </c>
      <c r="Q10025" s="6">
        <v>100</v>
      </c>
      <c r="R10025" s="2"/>
      <c r="S10025" s="2"/>
      <c r="T10025" s="2"/>
      <c r="U10025" s="2"/>
      <c r="V10025" s="2"/>
      <c r="W10025" s="6">
        <v>2.75</v>
      </c>
      <c r="X10025" s="4">
        <v>3</v>
      </c>
      <c r="Y10025" s="4">
        <v>3</v>
      </c>
      <c r="Z10025" s="4">
        <v>3</v>
      </c>
      <c r="AA10025" s="6">
        <v>1.65</v>
      </c>
      <c r="AB10025" s="2" t="s">
        <v>47</v>
      </c>
      <c r="AC10025" s="2"/>
    </row>
    <row r="10026" spans="1:29" ht="221" x14ac:dyDescent="0.15">
      <c r="A10026" s="3">
        <f>DATE(2011,7,1)</f>
        <v>40725</v>
      </c>
      <c r="B10026" s="3">
        <f>DATE(2011,10,4)</f>
        <v>40820</v>
      </c>
      <c r="C10026" s="2" t="s">
        <v>95</v>
      </c>
      <c r="D10026" s="2" t="s">
        <v>22715</v>
      </c>
      <c r="E10026" s="2" t="s">
        <v>8589</v>
      </c>
      <c r="F10026" s="4">
        <v>7372</v>
      </c>
      <c r="G10026" s="2" t="s">
        <v>551</v>
      </c>
      <c r="H10026" s="2" t="s">
        <v>34</v>
      </c>
      <c r="I10026" s="2" t="s">
        <v>29367</v>
      </c>
      <c r="J10026" s="2" t="s">
        <v>244</v>
      </c>
      <c r="K10026" s="2" t="s">
        <v>53</v>
      </c>
      <c r="L10026" s="2" t="s">
        <v>34</v>
      </c>
      <c r="M10026" s="2"/>
      <c r="N10026" s="2"/>
      <c r="O10026" s="2"/>
      <c r="P10026" s="2" t="s">
        <v>29368</v>
      </c>
      <c r="Q10026" s="6">
        <v>100</v>
      </c>
      <c r="R10026" s="6">
        <v>45</v>
      </c>
      <c r="S10026" s="5">
        <v>-0.2</v>
      </c>
      <c r="T10026" s="7">
        <v>80.040999999999997</v>
      </c>
      <c r="U10026" s="5">
        <v>12</v>
      </c>
      <c r="V10026" s="2"/>
      <c r="W10026" s="5">
        <v>40.799999999999997</v>
      </c>
      <c r="X10026" s="6">
        <v>39.659999999999997</v>
      </c>
      <c r="Y10026" s="6">
        <v>42.08</v>
      </c>
      <c r="Z10026" s="6">
        <v>42.17</v>
      </c>
      <c r="AA10026" s="6">
        <v>35.03</v>
      </c>
      <c r="AB10026" s="7">
        <v>85.707999999999998</v>
      </c>
      <c r="AC10026" s="2"/>
    </row>
    <row r="10027" spans="1:29" ht="78" x14ac:dyDescent="0.15">
      <c r="A10027" s="3">
        <f>DATE(2011,7,5)</f>
        <v>40729</v>
      </c>
      <c r="B10027" s="3">
        <f>DATE(2011,10,5)</f>
        <v>40821</v>
      </c>
      <c r="C10027" s="2" t="s">
        <v>95</v>
      </c>
      <c r="D10027" s="2" t="s">
        <v>29369</v>
      </c>
      <c r="E10027" s="2" t="s">
        <v>29370</v>
      </c>
      <c r="F10027" s="4">
        <v>3272</v>
      </c>
      <c r="G10027" s="2" t="s">
        <v>237</v>
      </c>
      <c r="H10027" s="2" t="s">
        <v>34</v>
      </c>
      <c r="I10027" s="2" t="s">
        <v>26329</v>
      </c>
      <c r="J10027" s="2" t="s">
        <v>26330</v>
      </c>
      <c r="K10027" s="2" t="s">
        <v>300</v>
      </c>
      <c r="L10027" s="2" t="s">
        <v>34</v>
      </c>
      <c r="M10027" s="10">
        <v>30131.56</v>
      </c>
      <c r="N10027" s="6">
        <v>80.05</v>
      </c>
      <c r="O10027" s="6">
        <v>80.16</v>
      </c>
      <c r="P10027" s="2" t="s">
        <v>29371</v>
      </c>
      <c r="Q10027" s="6">
        <v>100</v>
      </c>
      <c r="R10027" s="6">
        <v>85</v>
      </c>
      <c r="S10027" s="5">
        <v>32.1</v>
      </c>
      <c r="T10027" s="7">
        <v>32.201000000000001</v>
      </c>
      <c r="U10027" s="5">
        <v>54.7</v>
      </c>
      <c r="V10027" s="6">
        <v>3.59</v>
      </c>
      <c r="W10027" s="6">
        <v>66.42</v>
      </c>
      <c r="X10027" s="6">
        <v>66.27</v>
      </c>
      <c r="Y10027" s="6">
        <v>85.08</v>
      </c>
      <c r="Z10027" s="6">
        <v>85.22</v>
      </c>
      <c r="AA10027" s="6">
        <v>9.14</v>
      </c>
      <c r="AB10027" s="7">
        <v>147.51</v>
      </c>
      <c r="AC10027" s="8">
        <v>3511</v>
      </c>
    </row>
    <row r="10028" spans="1:29" ht="156" x14ac:dyDescent="0.15">
      <c r="A10028" s="3">
        <f>DATE(2011,7,5)</f>
        <v>40729</v>
      </c>
      <c r="B10028" s="3">
        <f>DATE(2011,8,19)</f>
        <v>40774</v>
      </c>
      <c r="C10028" s="2" t="s">
        <v>95</v>
      </c>
      <c r="D10028" s="2" t="s">
        <v>12915</v>
      </c>
      <c r="E10028" s="2" t="s">
        <v>12916</v>
      </c>
      <c r="F10028" s="4">
        <v>2835</v>
      </c>
      <c r="G10028" s="2" t="s">
        <v>130</v>
      </c>
      <c r="H10028" s="2" t="s">
        <v>34</v>
      </c>
      <c r="I10028" s="2" t="s">
        <v>29372</v>
      </c>
      <c r="J10028" s="2" t="s">
        <v>302</v>
      </c>
      <c r="K10028" s="2" t="s">
        <v>53</v>
      </c>
      <c r="L10028" s="2" t="s">
        <v>34</v>
      </c>
      <c r="M10028" s="2"/>
      <c r="N10028" s="2"/>
      <c r="O10028" s="2"/>
      <c r="P10028" s="2" t="s">
        <v>29373</v>
      </c>
      <c r="Q10028" s="6">
        <v>84.21</v>
      </c>
      <c r="R10028" s="6">
        <v>27</v>
      </c>
      <c r="S10028" s="5">
        <v>89.3</v>
      </c>
      <c r="T10028" s="6">
        <v>144.71</v>
      </c>
      <c r="U10028" s="5">
        <v>5688720</v>
      </c>
      <c r="V10028" s="9">
        <v>1.2747999999999999</v>
      </c>
      <c r="W10028" s="6">
        <v>20.059999999999999</v>
      </c>
      <c r="X10028" s="6">
        <v>20.73</v>
      </c>
      <c r="Y10028" s="6">
        <v>26.99</v>
      </c>
      <c r="Z10028" s="6">
        <v>26.99</v>
      </c>
      <c r="AA10028" s="6">
        <v>70.3</v>
      </c>
      <c r="AB10028" s="2" t="s">
        <v>86</v>
      </c>
      <c r="AC10028" s="2"/>
    </row>
    <row r="10029" spans="1:29" ht="117" x14ac:dyDescent="0.15">
      <c r="A10029" s="3">
        <f>DATE(2011,7,6)</f>
        <v>40730</v>
      </c>
      <c r="B10029" s="2"/>
      <c r="C10029" s="2" t="s">
        <v>87</v>
      </c>
      <c r="D10029" s="2" t="s">
        <v>10084</v>
      </c>
      <c r="E10029" s="2" t="s">
        <v>26607</v>
      </c>
      <c r="F10029" s="4">
        <v>3841</v>
      </c>
      <c r="G10029" s="2" t="s">
        <v>226</v>
      </c>
      <c r="H10029" s="2" t="s">
        <v>34</v>
      </c>
      <c r="I10029" s="2" t="s">
        <v>21776</v>
      </c>
      <c r="J10029" s="2" t="s">
        <v>25822</v>
      </c>
      <c r="K10029" s="2" t="s">
        <v>53</v>
      </c>
      <c r="L10029" s="2" t="s">
        <v>34</v>
      </c>
      <c r="M10029" s="12">
        <v>1764.971</v>
      </c>
      <c r="N10029" s="6">
        <v>16.95</v>
      </c>
      <c r="O10029" s="5">
        <v>17.2</v>
      </c>
      <c r="P10029" s="2" t="s">
        <v>29374</v>
      </c>
      <c r="Q10029" s="2"/>
      <c r="R10029" s="2"/>
      <c r="S10029" s="5">
        <v>299.60000000000002</v>
      </c>
      <c r="T10029" s="7">
        <v>647.221</v>
      </c>
      <c r="U10029" s="5">
        <v>23.2</v>
      </c>
      <c r="V10029" s="6">
        <v>4.13</v>
      </c>
      <c r="W10029" s="6">
        <v>57.44</v>
      </c>
      <c r="X10029" s="6">
        <v>58.78</v>
      </c>
      <c r="Y10029" s="5">
        <v>66.2</v>
      </c>
      <c r="Z10029" s="6">
        <v>64.53</v>
      </c>
      <c r="AA10029" s="6">
        <v>72.680000000000007</v>
      </c>
      <c r="AB10029" s="2" t="s">
        <v>47</v>
      </c>
      <c r="AC10029" s="10">
        <v>1337.49</v>
      </c>
    </row>
    <row r="10030" spans="1:29" ht="104" x14ac:dyDescent="0.15">
      <c r="A10030" s="3">
        <f>DATE(2011,7,7)</f>
        <v>40731</v>
      </c>
      <c r="B10030" s="3">
        <f>DATE(2011,10,14)</f>
        <v>40830</v>
      </c>
      <c r="C10030" s="2" t="s">
        <v>95</v>
      </c>
      <c r="D10030" s="2" t="s">
        <v>27337</v>
      </c>
      <c r="E10030" s="2" t="s">
        <v>27338</v>
      </c>
      <c r="F10030" s="4">
        <v>7389</v>
      </c>
      <c r="G10030" s="2" t="s">
        <v>223</v>
      </c>
      <c r="H10030" s="2" t="s">
        <v>34</v>
      </c>
      <c r="I10030" s="2" t="s">
        <v>23419</v>
      </c>
      <c r="J10030" s="2" t="s">
        <v>244</v>
      </c>
      <c r="K10030" s="2" t="s">
        <v>53</v>
      </c>
      <c r="L10030" s="2" t="s">
        <v>34</v>
      </c>
      <c r="M10030" s="2"/>
      <c r="N10030" s="2"/>
      <c r="O10030" s="2"/>
      <c r="P10030" s="2" t="s">
        <v>29375</v>
      </c>
      <c r="Q10030" s="6">
        <v>100</v>
      </c>
      <c r="R10030" s="6">
        <v>8.5500000000000007</v>
      </c>
      <c r="S10030" s="5">
        <v>23.4</v>
      </c>
      <c r="T10030" s="7">
        <v>47.348999999999997</v>
      </c>
      <c r="U10030" s="5">
        <v>2.5</v>
      </c>
      <c r="V10030" s="6">
        <v>0.43</v>
      </c>
      <c r="W10030" s="6">
        <v>5.33</v>
      </c>
      <c r="X10030" s="6">
        <v>5.44</v>
      </c>
      <c r="Y10030" s="6">
        <v>8.44</v>
      </c>
      <c r="Z10030" s="7">
        <v>8.4350000000000005</v>
      </c>
      <c r="AA10030" s="6">
        <v>56.86</v>
      </c>
      <c r="AB10030" s="7">
        <v>11.673999999999999</v>
      </c>
      <c r="AC10030" s="2"/>
    </row>
    <row r="10031" spans="1:29" ht="65" x14ac:dyDescent="0.15">
      <c r="A10031" s="3">
        <f>DATE(2011,7,9)</f>
        <v>40733</v>
      </c>
      <c r="B10031" s="3">
        <f>DATE(2011,7,25)</f>
        <v>40749</v>
      </c>
      <c r="C10031" s="2" t="s">
        <v>95</v>
      </c>
      <c r="D10031" s="2" t="s">
        <v>29376</v>
      </c>
      <c r="E10031" s="2" t="s">
        <v>29377</v>
      </c>
      <c r="F10031" s="4">
        <v>1629</v>
      </c>
      <c r="G10031" s="2" t="s">
        <v>341</v>
      </c>
      <c r="H10031" s="2" t="s">
        <v>34</v>
      </c>
      <c r="I10031" s="2" t="s">
        <v>29378</v>
      </c>
      <c r="J10031" s="2" t="s">
        <v>29377</v>
      </c>
      <c r="K10031" s="2" t="s">
        <v>341</v>
      </c>
      <c r="L10031" s="2" t="s">
        <v>34</v>
      </c>
      <c r="M10031" s="2"/>
      <c r="N10031" s="2"/>
      <c r="O10031" s="2"/>
      <c r="P10031" s="2" t="s">
        <v>29379</v>
      </c>
      <c r="Q10031" s="6">
        <v>100</v>
      </c>
      <c r="R10031" s="2"/>
      <c r="S10031" s="2"/>
      <c r="T10031" s="2"/>
      <c r="U10031" s="2"/>
      <c r="V10031" s="2"/>
      <c r="W10031" s="5">
        <v>34.5</v>
      </c>
      <c r="X10031" s="5">
        <v>36.1</v>
      </c>
      <c r="Y10031" s="4">
        <v>40</v>
      </c>
      <c r="Z10031" s="4">
        <v>40</v>
      </c>
      <c r="AA10031" s="6">
        <v>0.33</v>
      </c>
      <c r="AB10031" s="2" t="s">
        <v>47</v>
      </c>
      <c r="AC10031" s="2"/>
    </row>
    <row r="10032" spans="1:29" ht="91" x14ac:dyDescent="0.15">
      <c r="A10032" s="3">
        <f>DATE(2011,7,11)</f>
        <v>40735</v>
      </c>
      <c r="B10032" s="3">
        <f>DATE(2011,10,20)</f>
        <v>40836</v>
      </c>
      <c r="C10032" s="2" t="s">
        <v>95</v>
      </c>
      <c r="D10032" s="2" t="s">
        <v>29380</v>
      </c>
      <c r="E10032" s="2" t="s">
        <v>29381</v>
      </c>
      <c r="F10032" s="4">
        <v>2899</v>
      </c>
      <c r="G10032" s="2" t="s">
        <v>98</v>
      </c>
      <c r="H10032" s="2" t="s">
        <v>34</v>
      </c>
      <c r="I10032" s="2" t="s">
        <v>29382</v>
      </c>
      <c r="J10032" s="2" t="s">
        <v>6292</v>
      </c>
      <c r="K10032" s="2" t="s">
        <v>130</v>
      </c>
      <c r="L10032" s="2" t="s">
        <v>215</v>
      </c>
      <c r="M10032" s="12">
        <v>4380.9939999999997</v>
      </c>
      <c r="N10032" s="7">
        <v>79.942999999999998</v>
      </c>
      <c r="O10032" s="7">
        <v>81.283000000000001</v>
      </c>
      <c r="P10032" s="2" t="s">
        <v>29383</v>
      </c>
      <c r="Q10032" s="6">
        <v>100</v>
      </c>
      <c r="R10032" s="6">
        <v>47.2</v>
      </c>
      <c r="S10032" s="5">
        <v>69.599999999999994</v>
      </c>
      <c r="T10032" s="5">
        <v>143.19999999999999</v>
      </c>
      <c r="U10032" s="5">
        <v>18</v>
      </c>
      <c r="V10032" s="6">
        <v>2.74</v>
      </c>
      <c r="W10032" s="6">
        <v>34.729999999999997</v>
      </c>
      <c r="X10032" s="6">
        <v>42.17</v>
      </c>
      <c r="Y10032" s="6">
        <v>47.37</v>
      </c>
      <c r="Z10032" s="5">
        <v>47.2</v>
      </c>
      <c r="AA10032" s="6">
        <v>25.43</v>
      </c>
      <c r="AB10032" s="7">
        <v>14.352</v>
      </c>
      <c r="AC10032" s="6">
        <v>266.64999999999998</v>
      </c>
    </row>
    <row r="10033" spans="1:29" ht="104" x14ac:dyDescent="0.15">
      <c r="A10033" s="3">
        <f>DATE(2011,7,11)</f>
        <v>40735</v>
      </c>
      <c r="B10033" s="3">
        <f>DATE(2011,8,24)</f>
        <v>40779</v>
      </c>
      <c r="C10033" s="2" t="s">
        <v>95</v>
      </c>
      <c r="D10033" s="2" t="s">
        <v>29384</v>
      </c>
      <c r="E10033" s="2" t="s">
        <v>16352</v>
      </c>
      <c r="F10033" s="4">
        <v>7372</v>
      </c>
      <c r="G10033" s="2" t="s">
        <v>551</v>
      </c>
      <c r="H10033" s="2" t="s">
        <v>34</v>
      </c>
      <c r="I10033" s="2" t="s">
        <v>29385</v>
      </c>
      <c r="J10033" s="2" t="s">
        <v>11337</v>
      </c>
      <c r="K10033" s="2" t="s">
        <v>53</v>
      </c>
      <c r="L10033" s="2" t="s">
        <v>34</v>
      </c>
      <c r="M10033" s="2"/>
      <c r="N10033" s="2"/>
      <c r="O10033" s="2"/>
      <c r="P10033" s="2" t="s">
        <v>29386</v>
      </c>
      <c r="Q10033" s="6">
        <v>100</v>
      </c>
      <c r="R10033" s="6">
        <v>28</v>
      </c>
      <c r="S10033" s="5">
        <v>27.8</v>
      </c>
      <c r="T10033" s="7">
        <v>56.994</v>
      </c>
      <c r="U10033" s="5">
        <v>7.4</v>
      </c>
      <c r="V10033" s="6">
        <v>0.7</v>
      </c>
      <c r="W10033" s="6">
        <v>21.53</v>
      </c>
      <c r="X10033" s="6">
        <v>21.95</v>
      </c>
      <c r="Y10033" s="6">
        <v>21.45</v>
      </c>
      <c r="Z10033" s="6">
        <v>27.99</v>
      </c>
      <c r="AA10033" s="6">
        <v>40.21</v>
      </c>
      <c r="AB10033" s="7">
        <v>28.728999999999999</v>
      </c>
      <c r="AC10033" s="2"/>
    </row>
    <row r="10034" spans="1:29" ht="104" x14ac:dyDescent="0.15">
      <c r="A10034" s="3">
        <f>DATE(2011,7,12)</f>
        <v>40736</v>
      </c>
      <c r="B10034" s="2"/>
      <c r="C10034" s="2" t="s">
        <v>30</v>
      </c>
      <c r="D10034" s="2" t="s">
        <v>29387</v>
      </c>
      <c r="E10034" s="2" t="s">
        <v>29388</v>
      </c>
      <c r="F10034" s="4">
        <v>8099</v>
      </c>
      <c r="G10034" s="2" t="s">
        <v>454</v>
      </c>
      <c r="H10034" s="2" t="s">
        <v>34</v>
      </c>
      <c r="I10034" s="2" t="s">
        <v>29389</v>
      </c>
      <c r="J10034" s="2" t="s">
        <v>302</v>
      </c>
      <c r="K10034" s="2" t="s">
        <v>53</v>
      </c>
      <c r="L10034" s="2" t="s">
        <v>34</v>
      </c>
      <c r="M10034" s="2"/>
      <c r="N10034" s="2"/>
      <c r="O10034" s="2"/>
      <c r="P10034" s="2" t="s">
        <v>29390</v>
      </c>
      <c r="Q10034" s="2"/>
      <c r="R10034" s="6">
        <v>3.85</v>
      </c>
      <c r="S10034" s="5">
        <v>1.2</v>
      </c>
      <c r="T10034" s="7">
        <v>3.5019999999999998</v>
      </c>
      <c r="U10034" s="5">
        <v>1.5</v>
      </c>
      <c r="V10034" s="6">
        <v>7.0000000000000007E-2</v>
      </c>
      <c r="W10034" s="6">
        <v>3.05</v>
      </c>
      <c r="X10034" s="6">
        <v>3.18</v>
      </c>
      <c r="Y10034" s="6">
        <v>3.05</v>
      </c>
      <c r="Z10034" s="5">
        <v>3.7</v>
      </c>
      <c r="AA10034" s="6">
        <v>15.24</v>
      </c>
      <c r="AB10034" s="7">
        <v>14.282</v>
      </c>
      <c r="AC10034" s="2"/>
    </row>
    <row r="10035" spans="1:29" ht="273" x14ac:dyDescent="0.15">
      <c r="A10035" s="3">
        <f>DATE(2011,7,12)</f>
        <v>40736</v>
      </c>
      <c r="B10035" s="2"/>
      <c r="C10035" s="2" t="s">
        <v>30</v>
      </c>
      <c r="D10035" s="2" t="s">
        <v>27452</v>
      </c>
      <c r="E10035" s="2" t="s">
        <v>27453</v>
      </c>
      <c r="F10035" s="4">
        <v>6331</v>
      </c>
      <c r="G10035" s="2" t="s">
        <v>125</v>
      </c>
      <c r="H10035" s="2" t="s">
        <v>34</v>
      </c>
      <c r="I10035" s="2" t="s">
        <v>29391</v>
      </c>
      <c r="J10035" s="2" t="s">
        <v>29392</v>
      </c>
      <c r="K10035" s="2" t="s">
        <v>125</v>
      </c>
      <c r="L10035" s="2" t="s">
        <v>1791</v>
      </c>
      <c r="M10035" s="12">
        <v>3009.5990000000002</v>
      </c>
      <c r="N10035" s="6">
        <v>30.81</v>
      </c>
      <c r="O10035" s="6">
        <v>28.02</v>
      </c>
      <c r="P10035" s="2" t="s">
        <v>29393</v>
      </c>
      <c r="Q10035" s="2"/>
      <c r="R10035" s="6">
        <v>47.66</v>
      </c>
      <c r="S10035" s="5">
        <v>166.5</v>
      </c>
      <c r="T10035" s="2"/>
      <c r="U10035" s="5">
        <v>67.8</v>
      </c>
      <c r="V10035" s="6">
        <v>2.52</v>
      </c>
      <c r="W10035" s="5">
        <v>45.2</v>
      </c>
      <c r="X10035" s="6">
        <v>44.01</v>
      </c>
      <c r="Y10035" s="6">
        <v>48.19</v>
      </c>
      <c r="Z10035" s="6">
        <v>48.19</v>
      </c>
      <c r="AA10035" s="6">
        <v>62.48</v>
      </c>
      <c r="AB10035" s="7">
        <v>19.957999999999998</v>
      </c>
      <c r="AC10035" s="6">
        <v>815.92</v>
      </c>
    </row>
    <row r="10036" spans="1:29" ht="156" x14ac:dyDescent="0.15">
      <c r="A10036" s="3">
        <f>DATE(2011,7,13)</f>
        <v>40737</v>
      </c>
      <c r="B10036" s="3">
        <f>DATE(2011,11,4)</f>
        <v>40851</v>
      </c>
      <c r="C10036" s="2" t="s">
        <v>95</v>
      </c>
      <c r="D10036" s="2" t="s">
        <v>10084</v>
      </c>
      <c r="E10036" s="2" t="s">
        <v>26607</v>
      </c>
      <c r="F10036" s="4">
        <v>3841</v>
      </c>
      <c r="G10036" s="2" t="s">
        <v>226</v>
      </c>
      <c r="H10036" s="2" t="s">
        <v>34</v>
      </c>
      <c r="I10036" s="2" t="s">
        <v>29394</v>
      </c>
      <c r="J10036" s="2" t="s">
        <v>11337</v>
      </c>
      <c r="K10036" s="2" t="s">
        <v>53</v>
      </c>
      <c r="L10036" s="2" t="s">
        <v>34</v>
      </c>
      <c r="M10036" s="2"/>
      <c r="N10036" s="2"/>
      <c r="O10036" s="2"/>
      <c r="P10036" s="2" t="s">
        <v>29395</v>
      </c>
      <c r="Q10036" s="6">
        <v>100</v>
      </c>
      <c r="R10036" s="6">
        <v>68.5</v>
      </c>
      <c r="S10036" s="5">
        <v>299.60000000000002</v>
      </c>
      <c r="T10036" s="7">
        <v>647.221</v>
      </c>
      <c r="U10036" s="5">
        <v>23.2</v>
      </c>
      <c r="V10036" s="6">
        <v>4.13</v>
      </c>
      <c r="W10036" s="5">
        <v>66.2</v>
      </c>
      <c r="X10036" s="6">
        <v>64.489999999999995</v>
      </c>
      <c r="Y10036" s="6">
        <v>68.23</v>
      </c>
      <c r="Z10036" s="5">
        <v>68.099999999999994</v>
      </c>
      <c r="AA10036" s="6">
        <v>72.680000000000007</v>
      </c>
      <c r="AB10036" s="7">
        <v>11.574</v>
      </c>
      <c r="AC10036" s="2"/>
    </row>
    <row r="10037" spans="1:29" ht="78" x14ac:dyDescent="0.15">
      <c r="A10037" s="3">
        <f>DATE(2011,7,14)</f>
        <v>40738</v>
      </c>
      <c r="B10037" s="3">
        <f>DATE(2011,8,19)</f>
        <v>40774</v>
      </c>
      <c r="C10037" s="2" t="s">
        <v>95</v>
      </c>
      <c r="D10037" s="2" t="s">
        <v>22827</v>
      </c>
      <c r="E10037" s="2" t="s">
        <v>5309</v>
      </c>
      <c r="F10037" s="4">
        <v>1311</v>
      </c>
      <c r="G10037" s="2" t="s">
        <v>148</v>
      </c>
      <c r="H10037" s="2" t="s">
        <v>34</v>
      </c>
      <c r="I10037" s="2" t="s">
        <v>27427</v>
      </c>
      <c r="J10037" s="2" t="s">
        <v>27428</v>
      </c>
      <c r="K10037" s="2" t="s">
        <v>163</v>
      </c>
      <c r="L10037" s="2" t="s">
        <v>303</v>
      </c>
      <c r="M10037" s="8">
        <v>118083.5</v>
      </c>
      <c r="N10037" s="7">
        <v>38.517000000000003</v>
      </c>
      <c r="O10037" s="7">
        <v>37.753999999999998</v>
      </c>
      <c r="P10037" s="2" t="s">
        <v>29396</v>
      </c>
      <c r="Q10037" s="6">
        <v>100</v>
      </c>
      <c r="R10037" s="6">
        <v>38.75</v>
      </c>
      <c r="S10037" s="5">
        <v>121.9</v>
      </c>
      <c r="T10037" s="12">
        <v>1012.506</v>
      </c>
      <c r="U10037" s="5">
        <v>12.1</v>
      </c>
      <c r="V10037" s="6">
        <v>0.56999999999999995</v>
      </c>
      <c r="W10037" s="6">
        <v>25.12</v>
      </c>
      <c r="X10037" s="6">
        <v>23.93</v>
      </c>
      <c r="Y10037" s="6">
        <v>23.49</v>
      </c>
      <c r="Z10037" s="6">
        <v>38.17</v>
      </c>
      <c r="AA10037" s="6">
        <v>303.89999999999998</v>
      </c>
      <c r="AB10037" s="7">
        <v>38.137</v>
      </c>
      <c r="AC10037" s="10">
        <v>10293.450000000001</v>
      </c>
    </row>
    <row r="10038" spans="1:29" ht="143" x14ac:dyDescent="0.15">
      <c r="A10038" s="3">
        <f>DATE(2011,7,15)</f>
        <v>40739</v>
      </c>
      <c r="B10038" s="2"/>
      <c r="C10038" s="2" t="s">
        <v>30</v>
      </c>
      <c r="D10038" s="2" t="s">
        <v>8907</v>
      </c>
      <c r="E10038" s="2" t="s">
        <v>8908</v>
      </c>
      <c r="F10038" s="4">
        <v>2842</v>
      </c>
      <c r="G10038" s="2" t="s">
        <v>358</v>
      </c>
      <c r="H10038" s="2" t="s">
        <v>34</v>
      </c>
      <c r="I10038" s="2" t="s">
        <v>27984</v>
      </c>
      <c r="J10038" s="2" t="s">
        <v>27985</v>
      </c>
      <c r="K10038" s="2" t="s">
        <v>53</v>
      </c>
      <c r="L10038" s="2" t="s">
        <v>34</v>
      </c>
      <c r="M10038" s="12">
        <v>3526.3969999999999</v>
      </c>
      <c r="N10038" s="13">
        <v>0</v>
      </c>
      <c r="O10038" s="13">
        <v>0</v>
      </c>
      <c r="P10038" s="2" t="s">
        <v>29397</v>
      </c>
      <c r="Q10038" s="2"/>
      <c r="R10038" s="6">
        <v>78</v>
      </c>
      <c r="S10038" s="5">
        <v>308</v>
      </c>
      <c r="T10038" s="8">
        <v>1085</v>
      </c>
      <c r="U10038" s="5">
        <v>-0.7</v>
      </c>
      <c r="V10038" s="6">
        <v>2.06</v>
      </c>
      <c r="W10038" s="6">
        <v>68.12</v>
      </c>
      <c r="X10038" s="6">
        <v>68.430000000000007</v>
      </c>
      <c r="Y10038" s="6">
        <v>74.55</v>
      </c>
      <c r="Z10038" s="6">
        <v>73.040000000000006</v>
      </c>
      <c r="AA10038" s="6">
        <v>133.33000000000001</v>
      </c>
      <c r="AB10038" s="7">
        <v>13.752000000000001</v>
      </c>
      <c r="AC10038" s="8">
        <v>14184</v>
      </c>
    </row>
    <row r="10039" spans="1:29" ht="130" x14ac:dyDescent="0.15">
      <c r="A10039" s="3">
        <f>DATE(2011,7,20)</f>
        <v>40744</v>
      </c>
      <c r="B10039" s="2"/>
      <c r="C10039" s="2" t="s">
        <v>30</v>
      </c>
      <c r="D10039" s="2" t="s">
        <v>29398</v>
      </c>
      <c r="E10039" s="2" t="s">
        <v>6292</v>
      </c>
      <c r="F10039" s="4">
        <v>2834</v>
      </c>
      <c r="G10039" s="2" t="s">
        <v>130</v>
      </c>
      <c r="H10039" s="2" t="s">
        <v>34</v>
      </c>
      <c r="I10039" s="2" t="s">
        <v>29399</v>
      </c>
      <c r="J10039" s="2" t="s">
        <v>29400</v>
      </c>
      <c r="K10039" s="2" t="s">
        <v>130</v>
      </c>
      <c r="L10039" s="2" t="s">
        <v>34</v>
      </c>
      <c r="M10039" s="7">
        <v>581.56500000000005</v>
      </c>
      <c r="N10039" s="6">
        <v>16.309999999999999</v>
      </c>
      <c r="O10039" s="5">
        <v>15.9</v>
      </c>
      <c r="P10039" s="2" t="s">
        <v>29401</v>
      </c>
      <c r="Q10039" s="2"/>
      <c r="R10039" s="6">
        <v>2.4500000000000002</v>
      </c>
      <c r="S10039" s="5">
        <v>-50</v>
      </c>
      <c r="T10039" s="7">
        <v>-48.841999999999999</v>
      </c>
      <c r="U10039" s="5">
        <v>0.9</v>
      </c>
      <c r="V10039" s="6">
        <v>-0.47</v>
      </c>
      <c r="W10039" s="6">
        <v>2.0699999999999998</v>
      </c>
      <c r="X10039" s="6">
        <v>2.06</v>
      </c>
      <c r="Y10039" s="6">
        <v>1.94</v>
      </c>
      <c r="Z10039" s="6">
        <v>1.83</v>
      </c>
      <c r="AA10039" s="6">
        <v>105.61</v>
      </c>
      <c r="AB10039" s="2" t="s">
        <v>86</v>
      </c>
      <c r="AC10039" s="6">
        <v>239.19</v>
      </c>
    </row>
    <row r="10040" spans="1:29" ht="156" x14ac:dyDescent="0.15">
      <c r="A10040" s="3">
        <f>DATE(2011,7,20)</f>
        <v>40744</v>
      </c>
      <c r="B10040" s="3">
        <f>DATE(2011,10,27)</f>
        <v>40843</v>
      </c>
      <c r="C10040" s="2" t="s">
        <v>95</v>
      </c>
      <c r="D10040" s="2" t="s">
        <v>29402</v>
      </c>
      <c r="E10040" s="2" t="s">
        <v>129</v>
      </c>
      <c r="F10040" s="4">
        <v>2834</v>
      </c>
      <c r="G10040" s="2" t="s">
        <v>130</v>
      </c>
      <c r="H10040" s="2" t="s">
        <v>34</v>
      </c>
      <c r="I10040" s="2" t="s">
        <v>7393</v>
      </c>
      <c r="J10040" s="2" t="s">
        <v>5670</v>
      </c>
      <c r="K10040" s="2" t="s">
        <v>130</v>
      </c>
      <c r="L10040" s="2" t="s">
        <v>34</v>
      </c>
      <c r="M10040" s="12">
        <v>160234.92499999999</v>
      </c>
      <c r="N10040" s="5">
        <v>19.899999999999999</v>
      </c>
      <c r="O10040" s="5">
        <v>20.100000000000001</v>
      </c>
      <c r="P10040" s="2" t="s">
        <v>29403</v>
      </c>
      <c r="Q10040" s="6">
        <v>89.03</v>
      </c>
      <c r="R10040" s="6">
        <v>6</v>
      </c>
      <c r="S10040" s="5">
        <v>-5.6</v>
      </c>
      <c r="T10040" s="7">
        <v>-5.649</v>
      </c>
      <c r="U10040" s="5">
        <v>1.5</v>
      </c>
      <c r="V10040" s="6">
        <v>-0.79</v>
      </c>
      <c r="W10040" s="6">
        <v>6.05</v>
      </c>
      <c r="X10040" s="6">
        <v>7.75</v>
      </c>
      <c r="Y10040" s="6">
        <v>5.96</v>
      </c>
      <c r="Z10040" s="6">
        <v>5.97</v>
      </c>
      <c r="AA10040" s="6">
        <v>7.5</v>
      </c>
      <c r="AB10040" s="2" t="s">
        <v>86</v>
      </c>
      <c r="AC10040" s="8">
        <v>25808</v>
      </c>
    </row>
    <row r="10041" spans="1:29" ht="65" x14ac:dyDescent="0.15">
      <c r="A10041" s="3">
        <f>DATE(2011,7,20)</f>
        <v>40744</v>
      </c>
      <c r="B10041" s="2"/>
      <c r="C10041" s="2" t="s">
        <v>87</v>
      </c>
      <c r="D10041" s="2" t="s">
        <v>29404</v>
      </c>
      <c r="E10041" s="2" t="s">
        <v>29405</v>
      </c>
      <c r="F10041" s="4">
        <v>3663</v>
      </c>
      <c r="G10041" s="2" t="s">
        <v>921</v>
      </c>
      <c r="H10041" s="2" t="s">
        <v>34</v>
      </c>
      <c r="I10041" s="2" t="s">
        <v>143</v>
      </c>
      <c r="J10041" s="2" t="s">
        <v>144</v>
      </c>
      <c r="K10041" s="2" t="s">
        <v>53</v>
      </c>
      <c r="L10041" s="2" t="s">
        <v>139</v>
      </c>
      <c r="M10041" s="2"/>
      <c r="N10041" s="2"/>
      <c r="O10041" s="2"/>
      <c r="P10041" s="2" t="s">
        <v>29406</v>
      </c>
      <c r="Q10041" s="2"/>
      <c r="R10041" s="2"/>
      <c r="S10041" s="5">
        <v>111.1</v>
      </c>
      <c r="T10041" s="7">
        <v>198.304</v>
      </c>
      <c r="U10041" s="5">
        <v>9.3000000000000007</v>
      </c>
      <c r="V10041" s="6">
        <v>2.44</v>
      </c>
      <c r="W10041" s="6">
        <v>43.59</v>
      </c>
      <c r="X10041" s="6">
        <v>53.26</v>
      </c>
      <c r="Y10041" s="6">
        <v>68.67</v>
      </c>
      <c r="Z10041" s="6">
        <v>74.27</v>
      </c>
      <c r="AA10041" s="6">
        <v>45.36</v>
      </c>
      <c r="AB10041" s="2" t="s">
        <v>47</v>
      </c>
      <c r="AC10041" s="2"/>
    </row>
    <row r="10042" spans="1:29" ht="195" x14ac:dyDescent="0.15">
      <c r="A10042" s="3">
        <f>DATE(2011,7,20)</f>
        <v>40744</v>
      </c>
      <c r="B10042" s="3">
        <f>DATE(2011,12,1)</f>
        <v>40878</v>
      </c>
      <c r="C10042" s="2" t="s">
        <v>95</v>
      </c>
      <c r="D10042" s="2" t="s">
        <v>29407</v>
      </c>
      <c r="E10042" s="2" t="s">
        <v>29408</v>
      </c>
      <c r="F10042" s="4">
        <v>4952</v>
      </c>
      <c r="G10042" s="2" t="s">
        <v>116</v>
      </c>
      <c r="H10042" s="2" t="s">
        <v>34</v>
      </c>
      <c r="I10042" s="2" t="s">
        <v>21793</v>
      </c>
      <c r="J10042" s="2" t="s">
        <v>21794</v>
      </c>
      <c r="K10042" s="2" t="s">
        <v>358</v>
      </c>
      <c r="L10042" s="2" t="s">
        <v>34</v>
      </c>
      <c r="M10042" s="12">
        <v>12646.017</v>
      </c>
      <c r="N10042" s="6">
        <v>51.31</v>
      </c>
      <c r="O10042" s="5">
        <v>53.2</v>
      </c>
      <c r="P10042" s="2" t="s">
        <v>29409</v>
      </c>
      <c r="Q10042" s="6">
        <v>100</v>
      </c>
      <c r="R10042" s="6">
        <v>38.799999999999997</v>
      </c>
      <c r="S10042" s="5">
        <v>290.10000000000002</v>
      </c>
      <c r="T10042" s="5">
        <v>717.8</v>
      </c>
      <c r="U10042" s="5">
        <v>6.8</v>
      </c>
      <c r="V10042" s="6">
        <v>2.08</v>
      </c>
      <c r="W10042" s="6">
        <v>29.13</v>
      </c>
      <c r="X10042" s="6">
        <v>28.87</v>
      </c>
      <c r="Y10042" s="6">
        <v>35.869999999999997</v>
      </c>
      <c r="Z10042" s="6">
        <v>36.72</v>
      </c>
      <c r="AA10042" s="6">
        <v>138.78</v>
      </c>
      <c r="AB10042" s="7">
        <v>14.797000000000001</v>
      </c>
      <c r="AC10042" s="5">
        <v>173.5</v>
      </c>
    </row>
    <row r="10043" spans="1:29" ht="91" x14ac:dyDescent="0.15">
      <c r="A10043" s="3">
        <f>DATE(2011,7,20)</f>
        <v>40744</v>
      </c>
      <c r="B10043" s="3">
        <f>DATE(2011,9,5)</f>
        <v>40791</v>
      </c>
      <c r="C10043" s="2" t="s">
        <v>95</v>
      </c>
      <c r="D10043" s="2" t="s">
        <v>29410</v>
      </c>
      <c r="E10043" s="2" t="s">
        <v>3753</v>
      </c>
      <c r="F10043" s="4">
        <v>7363</v>
      </c>
      <c r="G10043" s="2" t="s">
        <v>223</v>
      </c>
      <c r="H10043" s="2" t="s">
        <v>34</v>
      </c>
      <c r="I10043" s="2" t="s">
        <v>29411</v>
      </c>
      <c r="J10043" s="2" t="s">
        <v>29412</v>
      </c>
      <c r="K10043" s="2" t="s">
        <v>223</v>
      </c>
      <c r="L10043" s="2" t="s">
        <v>2105</v>
      </c>
      <c r="M10043" s="12">
        <v>7904.8959999999997</v>
      </c>
      <c r="N10043" s="7">
        <v>42.537999999999997</v>
      </c>
      <c r="O10043" s="7">
        <v>44.972999999999999</v>
      </c>
      <c r="P10043" s="2" t="s">
        <v>29413</v>
      </c>
      <c r="Q10043" s="6">
        <v>100</v>
      </c>
      <c r="R10043" s="6">
        <v>14</v>
      </c>
      <c r="S10043" s="5">
        <v>26.6</v>
      </c>
      <c r="T10043" s="7">
        <v>71.162000000000006</v>
      </c>
      <c r="U10043" s="5">
        <v>7.4</v>
      </c>
      <c r="V10043" s="6">
        <v>0.5</v>
      </c>
      <c r="W10043" s="6">
        <v>9.7200000000000006</v>
      </c>
      <c r="X10043" s="6">
        <v>9.17</v>
      </c>
      <c r="Y10043" s="6">
        <v>9.2200000000000006</v>
      </c>
      <c r="Z10043" s="6">
        <v>13.93</v>
      </c>
      <c r="AA10043" s="6">
        <v>50.7</v>
      </c>
      <c r="AB10043" s="7">
        <v>14.404</v>
      </c>
      <c r="AC10043" s="6">
        <v>362.82</v>
      </c>
    </row>
    <row r="10044" spans="1:29" ht="182" x14ac:dyDescent="0.15">
      <c r="A10044" s="3">
        <f>DATE(2011,7,21)</f>
        <v>40745</v>
      </c>
      <c r="B10044" s="3">
        <f>DATE(2012,4,2)</f>
        <v>41001</v>
      </c>
      <c r="C10044" s="2" t="s">
        <v>95</v>
      </c>
      <c r="D10044" s="2" t="s">
        <v>22709</v>
      </c>
      <c r="E10044" s="2" t="s">
        <v>9948</v>
      </c>
      <c r="F10044" s="4">
        <v>8099</v>
      </c>
      <c r="G10044" s="2" t="s">
        <v>454</v>
      </c>
      <c r="H10044" s="2" t="s">
        <v>34</v>
      </c>
      <c r="I10044" s="2" t="s">
        <v>23159</v>
      </c>
      <c r="J10044" s="2" t="s">
        <v>16835</v>
      </c>
      <c r="K10044" s="2" t="s">
        <v>593</v>
      </c>
      <c r="L10044" s="2" t="s">
        <v>34</v>
      </c>
      <c r="M10044" s="12">
        <v>28622.282999999999</v>
      </c>
      <c r="N10044" s="7">
        <v>55.354999999999997</v>
      </c>
      <c r="O10044" s="5">
        <v>57.3</v>
      </c>
      <c r="P10044" s="2" t="s">
        <v>29414</v>
      </c>
      <c r="Q10044" s="6">
        <v>100</v>
      </c>
      <c r="R10044" s="6">
        <v>71.36</v>
      </c>
      <c r="S10044" s="8">
        <v>1425.8</v>
      </c>
      <c r="T10044" s="8">
        <v>2997.2</v>
      </c>
      <c r="U10044" s="5">
        <v>8.8000000000000007</v>
      </c>
      <c r="V10044" s="6">
        <v>3.37</v>
      </c>
      <c r="W10044" s="6">
        <v>54.28</v>
      </c>
      <c r="X10044" s="6">
        <v>55.78</v>
      </c>
      <c r="Y10044" s="6">
        <v>63.83</v>
      </c>
      <c r="Z10044" s="6">
        <v>65.959999999999994</v>
      </c>
      <c r="AA10044" s="6">
        <v>399.8</v>
      </c>
      <c r="AB10044" s="7">
        <v>13.474</v>
      </c>
      <c r="AC10044" s="5">
        <v>306.89999999999998</v>
      </c>
    </row>
    <row r="10045" spans="1:29" ht="91" x14ac:dyDescent="0.15">
      <c r="A10045" s="3">
        <f>DATE(2011,7,22)</f>
        <v>40746</v>
      </c>
      <c r="B10045" s="2"/>
      <c r="C10045" s="2" t="s">
        <v>189</v>
      </c>
      <c r="D10045" s="2" t="s">
        <v>29415</v>
      </c>
      <c r="E10045" s="2" t="s">
        <v>29416</v>
      </c>
      <c r="F10045" s="4">
        <v>8221</v>
      </c>
      <c r="G10045" s="2" t="s">
        <v>415</v>
      </c>
      <c r="H10045" s="2" t="s">
        <v>34</v>
      </c>
      <c r="I10045" s="2" t="s">
        <v>143</v>
      </c>
      <c r="J10045" s="2" t="s">
        <v>144</v>
      </c>
      <c r="K10045" s="2" t="s">
        <v>53</v>
      </c>
      <c r="L10045" s="2" t="s">
        <v>139</v>
      </c>
      <c r="M10045" s="2"/>
      <c r="N10045" s="2"/>
      <c r="O10045" s="2"/>
      <c r="P10045" s="2" t="s">
        <v>29417</v>
      </c>
      <c r="Q10045" s="2"/>
      <c r="R10045" s="2"/>
      <c r="S10045" s="5">
        <v>168.6</v>
      </c>
      <c r="T10045" s="7">
        <v>286.12599999999998</v>
      </c>
      <c r="U10045" s="5">
        <v>5.9</v>
      </c>
      <c r="V10045" s="6">
        <v>2.89</v>
      </c>
      <c r="W10045" s="6">
        <v>28.25</v>
      </c>
      <c r="X10045" s="6">
        <v>30.06</v>
      </c>
      <c r="Y10045" s="5">
        <v>30.5</v>
      </c>
      <c r="Z10045" s="6">
        <v>27.01</v>
      </c>
      <c r="AA10045" s="6">
        <v>52.36</v>
      </c>
      <c r="AB10045" s="2" t="s">
        <v>47</v>
      </c>
      <c r="AC10045" s="2"/>
    </row>
    <row r="10046" spans="1:29" ht="221" x14ac:dyDescent="0.15">
      <c r="A10046" s="3">
        <f>DATE(2011,7,26)</f>
        <v>40750</v>
      </c>
      <c r="B10046" s="3">
        <f>DATE(2012,2,13)</f>
        <v>40952</v>
      </c>
      <c r="C10046" s="2" t="s">
        <v>95</v>
      </c>
      <c r="D10046" s="2" t="s">
        <v>29362</v>
      </c>
      <c r="E10046" s="2" t="s">
        <v>658</v>
      </c>
      <c r="F10046" s="4">
        <v>7372</v>
      </c>
      <c r="G10046" s="2" t="s">
        <v>551</v>
      </c>
      <c r="H10046" s="2" t="s">
        <v>34</v>
      </c>
      <c r="I10046" s="2" t="s">
        <v>29418</v>
      </c>
      <c r="J10046" s="2" t="s">
        <v>29419</v>
      </c>
      <c r="K10046" s="2" t="s">
        <v>551</v>
      </c>
      <c r="L10046" s="2" t="s">
        <v>34</v>
      </c>
      <c r="M10046" s="10">
        <v>1105.42</v>
      </c>
      <c r="N10046" s="6">
        <v>37.68</v>
      </c>
      <c r="O10046" s="5">
        <v>36.9</v>
      </c>
      <c r="P10046" s="2" t="s">
        <v>29420</v>
      </c>
      <c r="Q10046" s="6">
        <v>100</v>
      </c>
      <c r="R10046" s="6">
        <v>10</v>
      </c>
      <c r="S10046" s="5">
        <v>-1.3</v>
      </c>
      <c r="T10046" s="6">
        <v>11.97</v>
      </c>
      <c r="U10046" s="5">
        <v>4.5</v>
      </c>
      <c r="V10046" s="6">
        <v>-0.03</v>
      </c>
      <c r="W10046" s="6">
        <v>7.22</v>
      </c>
      <c r="X10046" s="6">
        <v>7.54</v>
      </c>
      <c r="Y10046" s="6">
        <v>7.26</v>
      </c>
      <c r="Z10046" s="5">
        <v>7.4</v>
      </c>
      <c r="AA10046" s="6">
        <v>53.44</v>
      </c>
      <c r="AB10046" s="7">
        <v>878.04200000000003</v>
      </c>
      <c r="AC10046" s="6">
        <v>170.81</v>
      </c>
    </row>
    <row r="10047" spans="1:29" ht="117" x14ac:dyDescent="0.15">
      <c r="A10047" s="3">
        <f>DATE(2011,7,27)</f>
        <v>40751</v>
      </c>
      <c r="B10047" s="2"/>
      <c r="C10047" s="2" t="s">
        <v>30</v>
      </c>
      <c r="D10047" s="2" t="s">
        <v>29421</v>
      </c>
      <c r="E10047" s="2" t="s">
        <v>36</v>
      </c>
      <c r="F10047" s="4">
        <v>6021</v>
      </c>
      <c r="G10047" s="2" t="s">
        <v>37</v>
      </c>
      <c r="H10047" s="2" t="s">
        <v>34</v>
      </c>
      <c r="I10047" s="2" t="s">
        <v>29422</v>
      </c>
      <c r="J10047" s="2" t="s">
        <v>36</v>
      </c>
      <c r="K10047" s="2" t="s">
        <v>37</v>
      </c>
      <c r="L10047" s="2" t="s">
        <v>34</v>
      </c>
      <c r="M10047" s="7">
        <v>258.351</v>
      </c>
      <c r="N10047" s="6">
        <v>13.99</v>
      </c>
      <c r="O10047" s="6">
        <v>13.58</v>
      </c>
      <c r="P10047" s="2" t="s">
        <v>29423</v>
      </c>
      <c r="Q10047" s="2"/>
      <c r="R10047" s="6">
        <v>6.11</v>
      </c>
      <c r="S10047" s="5">
        <v>1.2</v>
      </c>
      <c r="T10047" s="6">
        <v>2.71</v>
      </c>
      <c r="U10047" s="5">
        <v>7</v>
      </c>
      <c r="V10047" s="6">
        <v>0.23</v>
      </c>
      <c r="W10047" s="6">
        <v>4.66</v>
      </c>
      <c r="X10047" s="6">
        <v>4.5199999999999996</v>
      </c>
      <c r="Y10047" s="6">
        <v>4.55</v>
      </c>
      <c r="Z10047" s="6">
        <v>5.25</v>
      </c>
      <c r="AA10047" s="6">
        <v>5.1100000000000003</v>
      </c>
      <c r="AB10047" s="7">
        <v>61.911999999999999</v>
      </c>
      <c r="AC10047" s="2"/>
    </row>
    <row r="10048" spans="1:29" ht="91" x14ac:dyDescent="0.15">
      <c r="A10048" s="3">
        <f>DATE(2011,7,29)</f>
        <v>40753</v>
      </c>
      <c r="B10048" s="3">
        <f>DATE(2011,10,21)</f>
        <v>40837</v>
      </c>
      <c r="C10048" s="2" t="s">
        <v>95</v>
      </c>
      <c r="D10048" s="2" t="s">
        <v>28663</v>
      </c>
      <c r="E10048" s="2" t="s">
        <v>4324</v>
      </c>
      <c r="F10048" s="4">
        <v>8082</v>
      </c>
      <c r="G10048" s="2" t="s">
        <v>454</v>
      </c>
      <c r="H10048" s="2" t="s">
        <v>34</v>
      </c>
      <c r="I10048" s="2" t="s">
        <v>29424</v>
      </c>
      <c r="J10048" s="2" t="s">
        <v>29425</v>
      </c>
      <c r="K10048" s="2" t="s">
        <v>125</v>
      </c>
      <c r="L10048" s="2" t="s">
        <v>303</v>
      </c>
      <c r="M10048" s="2"/>
      <c r="N10048" s="2"/>
      <c r="O10048" s="2"/>
      <c r="P10048" s="2" t="s">
        <v>29426</v>
      </c>
      <c r="Q10048" s="6">
        <v>100</v>
      </c>
      <c r="R10048" s="6">
        <v>3.9</v>
      </c>
      <c r="S10048" s="5">
        <v>8.6999999999999993</v>
      </c>
      <c r="T10048" s="7">
        <v>18.129000000000001</v>
      </c>
      <c r="U10048" s="5">
        <v>3.7</v>
      </c>
      <c r="V10048" s="6">
        <v>0.2</v>
      </c>
      <c r="W10048" s="7">
        <v>2.4849999999999999</v>
      </c>
      <c r="X10048" s="6">
        <v>2.4500000000000002</v>
      </c>
      <c r="Y10048" s="6">
        <v>3.82</v>
      </c>
      <c r="Z10048" s="6">
        <v>3.82</v>
      </c>
      <c r="AA10048" s="6">
        <v>47.03</v>
      </c>
      <c r="AB10048" s="7">
        <v>10.311</v>
      </c>
      <c r="AC10048" s="6">
        <v>393.78</v>
      </c>
    </row>
    <row r="10049" spans="1:29" ht="65" x14ac:dyDescent="0.15">
      <c r="A10049" s="3">
        <f>DATE(2011,7,30)</f>
        <v>40754</v>
      </c>
      <c r="B10049" s="2"/>
      <c r="C10049" s="2" t="s">
        <v>141</v>
      </c>
      <c r="D10049" s="2" t="s">
        <v>25994</v>
      </c>
      <c r="E10049" s="2" t="s">
        <v>11805</v>
      </c>
      <c r="F10049" s="4">
        <v>6211</v>
      </c>
      <c r="G10049" s="2" t="s">
        <v>53</v>
      </c>
      <c r="H10049" s="2" t="s">
        <v>34</v>
      </c>
      <c r="I10049" s="2" t="s">
        <v>143</v>
      </c>
      <c r="J10049" s="2" t="s">
        <v>144</v>
      </c>
      <c r="K10049" s="2" t="s">
        <v>53</v>
      </c>
      <c r="L10049" s="2" t="s">
        <v>139</v>
      </c>
      <c r="M10049" s="2"/>
      <c r="N10049" s="2"/>
      <c r="O10049" s="2"/>
      <c r="P10049" s="2" t="s">
        <v>29427</v>
      </c>
      <c r="Q10049" s="2"/>
      <c r="R10049" s="2"/>
      <c r="S10049" s="5">
        <v>76.599999999999994</v>
      </c>
      <c r="T10049" s="6">
        <v>-232.76</v>
      </c>
      <c r="U10049" s="5">
        <v>17.2</v>
      </c>
      <c r="V10049" s="6">
        <v>0.25</v>
      </c>
      <c r="W10049" s="6">
        <v>15.64</v>
      </c>
      <c r="X10049" s="6">
        <v>15.88</v>
      </c>
      <c r="Y10049" s="6">
        <v>15.46</v>
      </c>
      <c r="Z10049" s="6">
        <v>15.46</v>
      </c>
      <c r="AA10049" s="6">
        <v>279.7</v>
      </c>
      <c r="AB10049" s="2" t="s">
        <v>86</v>
      </c>
      <c r="AC10049" s="2"/>
    </row>
    <row r="10050" spans="1:29" ht="182" x14ac:dyDescent="0.15">
      <c r="A10050" s="3">
        <f>DATE(2011,8,1)</f>
        <v>40756</v>
      </c>
      <c r="B10050" s="3">
        <f>DATE(2011,12,1)</f>
        <v>40878</v>
      </c>
      <c r="C10050" s="2" t="s">
        <v>95</v>
      </c>
      <c r="D10050" s="2" t="s">
        <v>29428</v>
      </c>
      <c r="E10050" s="2" t="s">
        <v>973</v>
      </c>
      <c r="F10050" s="4">
        <v>4813</v>
      </c>
      <c r="G10050" s="2" t="s">
        <v>63</v>
      </c>
      <c r="H10050" s="2" t="s">
        <v>34</v>
      </c>
      <c r="I10050" s="2" t="s">
        <v>25639</v>
      </c>
      <c r="J10050" s="2" t="s">
        <v>973</v>
      </c>
      <c r="K10050" s="2" t="s">
        <v>63</v>
      </c>
      <c r="L10050" s="2" t="s">
        <v>34</v>
      </c>
      <c r="M10050" s="10">
        <v>6690.73</v>
      </c>
      <c r="N10050" s="6">
        <v>12.15</v>
      </c>
      <c r="O10050" s="6">
        <v>11.94</v>
      </c>
      <c r="P10050" s="2" t="s">
        <v>29429</v>
      </c>
      <c r="Q10050" s="6">
        <v>100</v>
      </c>
      <c r="R10050" s="6">
        <v>5.62</v>
      </c>
      <c r="S10050" s="5">
        <v>-62</v>
      </c>
      <c r="T10050" s="7">
        <v>314.29599999999999</v>
      </c>
      <c r="U10050" s="5">
        <v>0.8</v>
      </c>
      <c r="V10050" s="6">
        <v>-0.43</v>
      </c>
      <c r="W10050" s="6">
        <v>4.6900000000000004</v>
      </c>
      <c r="X10050" s="6">
        <v>4.42</v>
      </c>
      <c r="Y10050" s="6">
        <v>5.33</v>
      </c>
      <c r="Z10050" s="6">
        <v>5.19</v>
      </c>
      <c r="AA10050" s="6">
        <v>145.08000000000001</v>
      </c>
      <c r="AB10050" s="7">
        <v>27.010999999999999</v>
      </c>
      <c r="AC10050" s="5">
        <v>59.4</v>
      </c>
    </row>
    <row r="10051" spans="1:29" ht="65" x14ac:dyDescent="0.15">
      <c r="A10051" s="3">
        <f>DATE(2011,8,2)</f>
        <v>40757</v>
      </c>
      <c r="B10051" s="2"/>
      <c r="C10051" s="2" t="s">
        <v>30</v>
      </c>
      <c r="D10051" s="2" t="s">
        <v>29399</v>
      </c>
      <c r="E10051" s="2" t="s">
        <v>29400</v>
      </c>
      <c r="F10051" s="4">
        <v>2834</v>
      </c>
      <c r="G10051" s="2" t="s">
        <v>130</v>
      </c>
      <c r="H10051" s="2" t="s">
        <v>34</v>
      </c>
      <c r="I10051" s="2" t="s">
        <v>29351</v>
      </c>
      <c r="J10051" s="2" t="s">
        <v>302</v>
      </c>
      <c r="K10051" s="2" t="s">
        <v>53</v>
      </c>
      <c r="L10051" s="2" t="s">
        <v>34</v>
      </c>
      <c r="M10051" s="2"/>
      <c r="N10051" s="2"/>
      <c r="O10051" s="2"/>
      <c r="P10051" s="2" t="s">
        <v>29430</v>
      </c>
      <c r="Q10051" s="2"/>
      <c r="R10051" s="6">
        <v>18</v>
      </c>
      <c r="S10051" s="5">
        <v>-78.599999999999994</v>
      </c>
      <c r="T10051" s="7">
        <v>-75.498000000000005</v>
      </c>
      <c r="U10051" s="5">
        <v>10</v>
      </c>
      <c r="V10051" s="6">
        <v>-3.72</v>
      </c>
      <c r="W10051" s="6">
        <v>15.56</v>
      </c>
      <c r="X10051" s="6">
        <v>14.91</v>
      </c>
      <c r="Y10051" s="6">
        <v>14.39</v>
      </c>
      <c r="Z10051" s="4">
        <v>16</v>
      </c>
      <c r="AA10051" s="6">
        <v>21.16</v>
      </c>
      <c r="AB10051" s="2" t="s">
        <v>86</v>
      </c>
      <c r="AC10051" s="2"/>
    </row>
    <row r="10052" spans="1:29" ht="52" x14ac:dyDescent="0.15">
      <c r="A10052" s="3">
        <f>DATE(2011,8,3)</f>
        <v>40758</v>
      </c>
      <c r="B10052" s="2"/>
      <c r="C10052" s="2" t="s">
        <v>7330</v>
      </c>
      <c r="D10052" s="2" t="s">
        <v>29431</v>
      </c>
      <c r="E10052" s="2" t="s">
        <v>28658</v>
      </c>
      <c r="F10052" s="4">
        <v>1041</v>
      </c>
      <c r="G10052" s="2" t="s">
        <v>166</v>
      </c>
      <c r="H10052" s="2" t="s">
        <v>34</v>
      </c>
      <c r="I10052" s="2" t="s">
        <v>29432</v>
      </c>
      <c r="J10052" s="2" t="s">
        <v>302</v>
      </c>
      <c r="K10052" s="2" t="s">
        <v>53</v>
      </c>
      <c r="L10052" s="2" t="s">
        <v>34</v>
      </c>
      <c r="M10052" s="7">
        <v>2.157</v>
      </c>
      <c r="N10052" s="6">
        <v>0.01</v>
      </c>
      <c r="O10052" s="6">
        <v>0.01</v>
      </c>
      <c r="P10052" s="2" t="s">
        <v>29433</v>
      </c>
      <c r="Q10052" s="2"/>
      <c r="R10052" s="2"/>
      <c r="S10052" s="5">
        <v>0</v>
      </c>
      <c r="T10052" s="2"/>
      <c r="U10052" s="5">
        <v>-0.4</v>
      </c>
      <c r="V10052" s="7">
        <v>-0.13200000000000001</v>
      </c>
      <c r="W10052" s="5">
        <v>2.5</v>
      </c>
      <c r="X10052" s="5">
        <v>2.5</v>
      </c>
      <c r="Y10052" s="5">
        <v>2.5</v>
      </c>
      <c r="Z10052" s="5">
        <v>2.5</v>
      </c>
      <c r="AA10052" s="6">
        <v>0.28000000000000003</v>
      </c>
      <c r="AB10052" s="2" t="s">
        <v>47</v>
      </c>
      <c r="AC10052" s="2"/>
    </row>
    <row r="10053" spans="1:29" ht="78" x14ac:dyDescent="0.15">
      <c r="A10053" s="3">
        <f>DATE(2011,8,3)</f>
        <v>40758</v>
      </c>
      <c r="B10053" s="3">
        <f>DATE(2011,9,26)</f>
        <v>40812</v>
      </c>
      <c r="C10053" s="2" t="s">
        <v>95</v>
      </c>
      <c r="D10053" s="2" t="s">
        <v>29434</v>
      </c>
      <c r="E10053" s="2" t="s">
        <v>29435</v>
      </c>
      <c r="F10053" s="4">
        <v>7383</v>
      </c>
      <c r="G10053" s="2" t="s">
        <v>223</v>
      </c>
      <c r="H10053" s="2" t="s">
        <v>34</v>
      </c>
      <c r="I10053" s="2" t="s">
        <v>29436</v>
      </c>
      <c r="J10053" s="2" t="s">
        <v>11337</v>
      </c>
      <c r="K10053" s="2" t="s">
        <v>53</v>
      </c>
      <c r="L10053" s="2" t="s">
        <v>34</v>
      </c>
      <c r="M10053" s="2"/>
      <c r="N10053" s="2"/>
      <c r="O10053" s="2"/>
      <c r="P10053" s="2" t="s">
        <v>29437</v>
      </c>
      <c r="Q10053" s="6">
        <v>100</v>
      </c>
      <c r="R10053" s="6">
        <v>14</v>
      </c>
      <c r="S10053" s="5">
        <v>8.9</v>
      </c>
      <c r="T10053" s="7">
        <v>18.294</v>
      </c>
      <c r="U10053" s="5">
        <v>3.5</v>
      </c>
      <c r="V10053" s="6">
        <v>0.48</v>
      </c>
      <c r="W10053" s="6">
        <v>11.48</v>
      </c>
      <c r="X10053" s="6">
        <v>11.67</v>
      </c>
      <c r="Y10053" s="6">
        <v>13.96</v>
      </c>
      <c r="Z10053" s="6">
        <v>13.94</v>
      </c>
      <c r="AA10053" s="6">
        <v>19.05</v>
      </c>
      <c r="AB10053" s="7">
        <v>19.094000000000001</v>
      </c>
      <c r="AC10053" s="2"/>
    </row>
    <row r="10054" spans="1:29" ht="143" x14ac:dyDescent="0.15">
      <c r="A10054" s="3">
        <f>DATE(2011,8,4)</f>
        <v>40759</v>
      </c>
      <c r="B10054" s="3">
        <f>DATE(2011,11,2)</f>
        <v>40849</v>
      </c>
      <c r="C10054" s="2" t="s">
        <v>95</v>
      </c>
      <c r="D10054" s="2" t="s">
        <v>29438</v>
      </c>
      <c r="E10054" s="2" t="s">
        <v>29439</v>
      </c>
      <c r="F10054" s="4">
        <v>7372</v>
      </c>
      <c r="G10054" s="2" t="s">
        <v>551</v>
      </c>
      <c r="H10054" s="2" t="s">
        <v>34</v>
      </c>
      <c r="I10054" s="2" t="s">
        <v>29440</v>
      </c>
      <c r="J10054" s="2" t="s">
        <v>3197</v>
      </c>
      <c r="K10054" s="2" t="s">
        <v>53</v>
      </c>
      <c r="L10054" s="2" t="s">
        <v>34</v>
      </c>
      <c r="M10054" s="2"/>
      <c r="N10054" s="6">
        <v>17.38</v>
      </c>
      <c r="O10054" s="6">
        <v>17.12</v>
      </c>
      <c r="P10054" s="2" t="s">
        <v>29441</v>
      </c>
      <c r="Q10054" s="6">
        <v>100</v>
      </c>
      <c r="R10054" s="6">
        <v>19</v>
      </c>
      <c r="S10054" s="5">
        <v>6.6</v>
      </c>
      <c r="T10054" s="7">
        <v>338.137</v>
      </c>
      <c r="U10054" s="5">
        <v>7</v>
      </c>
      <c r="V10054" s="9">
        <v>0.26119999999999999</v>
      </c>
      <c r="W10054" s="6">
        <v>15.49</v>
      </c>
      <c r="X10054" s="6">
        <v>16.25</v>
      </c>
      <c r="Y10054" s="5">
        <v>16.100000000000001</v>
      </c>
      <c r="Z10054" s="6">
        <v>15.49</v>
      </c>
      <c r="AA10054" s="6">
        <v>115.82</v>
      </c>
      <c r="AB10054" s="7">
        <v>28.239000000000001</v>
      </c>
      <c r="AC10054" s="2"/>
    </row>
    <row r="10055" spans="1:29" ht="65" x14ac:dyDescent="0.15">
      <c r="A10055" s="3">
        <f>DATE(2011,8,5)</f>
        <v>40760</v>
      </c>
      <c r="B10055" s="2"/>
      <c r="C10055" s="2" t="s">
        <v>87</v>
      </c>
      <c r="D10055" s="2" t="s">
        <v>8907</v>
      </c>
      <c r="E10055" s="2" t="s">
        <v>8908</v>
      </c>
      <c r="F10055" s="4">
        <v>2842</v>
      </c>
      <c r="G10055" s="2" t="s">
        <v>358</v>
      </c>
      <c r="H10055" s="2" t="s">
        <v>34</v>
      </c>
      <c r="I10055" s="2" t="s">
        <v>29442</v>
      </c>
      <c r="J10055" s="2" t="s">
        <v>29443</v>
      </c>
      <c r="K10055" s="2" t="s">
        <v>358</v>
      </c>
      <c r="L10055" s="2" t="s">
        <v>99</v>
      </c>
      <c r="M10055" s="12">
        <v>13961.968000000001</v>
      </c>
      <c r="N10055" s="7">
        <v>27.047000000000001</v>
      </c>
      <c r="O10055" s="7">
        <v>26.606999999999999</v>
      </c>
      <c r="P10055" s="2" t="s">
        <v>29444</v>
      </c>
      <c r="Q10055" s="2"/>
      <c r="R10055" s="2"/>
      <c r="S10055" s="5">
        <v>308</v>
      </c>
      <c r="T10055" s="8">
        <v>1085</v>
      </c>
      <c r="U10055" s="5">
        <v>-0.7</v>
      </c>
      <c r="V10055" s="6">
        <v>2.06</v>
      </c>
      <c r="W10055" s="6">
        <v>71.59</v>
      </c>
      <c r="X10055" s="6">
        <v>64.819999999999993</v>
      </c>
      <c r="Y10055" s="6">
        <v>67.180000000000007</v>
      </c>
      <c r="Z10055" s="6">
        <v>64.08</v>
      </c>
      <c r="AA10055" s="6">
        <v>133.33000000000001</v>
      </c>
      <c r="AB10055" s="2" t="s">
        <v>47</v>
      </c>
      <c r="AC10055" s="10">
        <v>1752.24</v>
      </c>
    </row>
    <row r="10056" spans="1:29" ht="78" x14ac:dyDescent="0.15">
      <c r="A10056" s="3">
        <f>DATE(2011,8,5)</f>
        <v>40760</v>
      </c>
      <c r="B10056" s="2"/>
      <c r="C10056" s="2" t="s">
        <v>30</v>
      </c>
      <c r="D10056" s="2" t="s">
        <v>29340</v>
      </c>
      <c r="E10056" s="2" t="s">
        <v>29341</v>
      </c>
      <c r="F10056" s="4">
        <v>4813</v>
      </c>
      <c r="G10056" s="2" t="s">
        <v>63</v>
      </c>
      <c r="H10056" s="2" t="s">
        <v>34</v>
      </c>
      <c r="I10056" s="2" t="s">
        <v>29445</v>
      </c>
      <c r="J10056" s="2" t="s">
        <v>29446</v>
      </c>
      <c r="K10056" s="2" t="s">
        <v>63</v>
      </c>
      <c r="L10056" s="2" t="s">
        <v>34</v>
      </c>
      <c r="M10056" s="7">
        <v>142.78100000000001</v>
      </c>
      <c r="N10056" s="6">
        <v>6.66</v>
      </c>
      <c r="O10056" s="6">
        <v>6.04</v>
      </c>
      <c r="P10056" s="2" t="s">
        <v>29447</v>
      </c>
      <c r="Q10056" s="2"/>
      <c r="R10056" s="6">
        <v>4.5</v>
      </c>
      <c r="S10056" s="5">
        <v>15.2</v>
      </c>
      <c r="T10056" s="7">
        <v>20.045999999999999</v>
      </c>
      <c r="U10056" s="5">
        <v>1.6</v>
      </c>
      <c r="V10056" s="6">
        <v>0.94</v>
      </c>
      <c r="W10056" s="6">
        <v>3.15</v>
      </c>
      <c r="X10056" s="6">
        <v>3.36</v>
      </c>
      <c r="Y10056" s="6">
        <v>3.02</v>
      </c>
      <c r="Z10056" s="5">
        <v>2.7</v>
      </c>
      <c r="AA10056" s="6">
        <v>13.22</v>
      </c>
      <c r="AB10056" s="7">
        <v>9.8219999999999992</v>
      </c>
      <c r="AC10056" s="6">
        <v>17.72</v>
      </c>
    </row>
    <row r="10057" spans="1:29" ht="182" x14ac:dyDescent="0.15">
      <c r="A10057" s="3">
        <f>DATE(2011,8,7)</f>
        <v>40762</v>
      </c>
      <c r="B10057" s="2"/>
      <c r="C10057" s="2" t="s">
        <v>30</v>
      </c>
      <c r="D10057" s="2" t="s">
        <v>27452</v>
      </c>
      <c r="E10057" s="2" t="s">
        <v>27453</v>
      </c>
      <c r="F10057" s="4">
        <v>6331</v>
      </c>
      <c r="G10057" s="2" t="s">
        <v>125</v>
      </c>
      <c r="H10057" s="2" t="s">
        <v>34</v>
      </c>
      <c r="I10057" s="2" t="s">
        <v>29448</v>
      </c>
      <c r="J10057" s="2" t="s">
        <v>13752</v>
      </c>
      <c r="K10057" s="2" t="s">
        <v>125</v>
      </c>
      <c r="L10057" s="2" t="s">
        <v>34</v>
      </c>
      <c r="M10057" s="2"/>
      <c r="N10057" s="2"/>
      <c r="O10057" s="2"/>
      <c r="P10057" s="2" t="s">
        <v>29449</v>
      </c>
      <c r="Q10057" s="2"/>
      <c r="R10057" s="6">
        <v>52</v>
      </c>
      <c r="S10057" s="5">
        <v>166.5</v>
      </c>
      <c r="T10057" s="2"/>
      <c r="U10057" s="5">
        <v>67.8</v>
      </c>
      <c r="V10057" s="6">
        <v>2.52</v>
      </c>
      <c r="W10057" s="5">
        <v>45.2</v>
      </c>
      <c r="X10057" s="6">
        <v>44.01</v>
      </c>
      <c r="Y10057" s="6">
        <v>48.19</v>
      </c>
      <c r="Z10057" s="6">
        <v>48.19</v>
      </c>
      <c r="AA10057" s="6">
        <v>62.48</v>
      </c>
      <c r="AB10057" s="7">
        <v>21.445</v>
      </c>
      <c r="AC10057" s="2"/>
    </row>
    <row r="10058" spans="1:29" ht="65" x14ac:dyDescent="0.15">
      <c r="A10058" s="3">
        <f>DATE(2011,8,15)</f>
        <v>40770</v>
      </c>
      <c r="B10058" s="3">
        <f>DATE(2012,5,22)</f>
        <v>41051</v>
      </c>
      <c r="C10058" s="2" t="s">
        <v>95</v>
      </c>
      <c r="D10058" s="2" t="s">
        <v>29450</v>
      </c>
      <c r="E10058" s="2" t="s">
        <v>29451</v>
      </c>
      <c r="F10058" s="4">
        <v>3663</v>
      </c>
      <c r="G10058" s="2" t="s">
        <v>921</v>
      </c>
      <c r="H10058" s="2" t="s">
        <v>34</v>
      </c>
      <c r="I10058" s="2" t="s">
        <v>26597</v>
      </c>
      <c r="J10058" s="2" t="s">
        <v>12371</v>
      </c>
      <c r="K10058" s="2" t="s">
        <v>223</v>
      </c>
      <c r="L10058" s="2" t="s">
        <v>34</v>
      </c>
      <c r="M10058" s="12">
        <v>192098.84599999999</v>
      </c>
      <c r="N10058" s="6">
        <v>557.23</v>
      </c>
      <c r="O10058" s="4">
        <v>539</v>
      </c>
      <c r="P10058" s="2" t="s">
        <v>29452</v>
      </c>
      <c r="Q10058" s="6">
        <v>100</v>
      </c>
      <c r="R10058" s="6">
        <v>40</v>
      </c>
      <c r="S10058" s="5">
        <v>-91</v>
      </c>
      <c r="T10058" s="5">
        <v>293</v>
      </c>
      <c r="U10058" s="5">
        <v>16.5</v>
      </c>
      <c r="V10058" s="6">
        <v>-0.3</v>
      </c>
      <c r="W10058" s="6">
        <v>21.53</v>
      </c>
      <c r="X10058" s="6">
        <v>24.47</v>
      </c>
      <c r="Y10058" s="6">
        <v>38.119999999999997</v>
      </c>
      <c r="Z10058" s="6">
        <v>38.020000000000003</v>
      </c>
      <c r="AA10058" s="6">
        <v>296.94</v>
      </c>
      <c r="AB10058" s="7">
        <v>141.46600000000001</v>
      </c>
      <c r="AC10058" s="8">
        <v>39127</v>
      </c>
    </row>
    <row r="10059" spans="1:29" ht="78" x14ac:dyDescent="0.15">
      <c r="A10059" s="3">
        <f>DATE(2011,8,15)</f>
        <v>40770</v>
      </c>
      <c r="B10059" s="3">
        <f>DATE(2011,10,3)</f>
        <v>40819</v>
      </c>
      <c r="C10059" s="2" t="s">
        <v>95</v>
      </c>
      <c r="D10059" s="2" t="s">
        <v>29453</v>
      </c>
      <c r="E10059" s="2" t="s">
        <v>14025</v>
      </c>
      <c r="F10059" s="4">
        <v>7375</v>
      </c>
      <c r="G10059" s="2" t="s">
        <v>223</v>
      </c>
      <c r="H10059" s="2" t="s">
        <v>34</v>
      </c>
      <c r="I10059" s="2" t="s">
        <v>24956</v>
      </c>
      <c r="J10059" s="2" t="s">
        <v>5674</v>
      </c>
      <c r="K10059" s="2" t="s">
        <v>76</v>
      </c>
      <c r="L10059" s="2" t="s">
        <v>34</v>
      </c>
      <c r="M10059" s="2"/>
      <c r="N10059" s="2"/>
      <c r="O10059" s="2"/>
      <c r="P10059" s="2" t="s">
        <v>29454</v>
      </c>
      <c r="Q10059" s="6">
        <v>100</v>
      </c>
      <c r="R10059" s="2"/>
      <c r="S10059" s="2"/>
      <c r="T10059" s="2"/>
      <c r="U10059" s="2"/>
      <c r="V10059" s="2"/>
      <c r="W10059" s="5">
        <v>2.4</v>
      </c>
      <c r="X10059" s="6">
        <v>3.01</v>
      </c>
      <c r="Y10059" s="6">
        <v>3.01</v>
      </c>
      <c r="Z10059" s="6">
        <v>3.25</v>
      </c>
      <c r="AA10059" s="6">
        <v>2.81</v>
      </c>
      <c r="AB10059" s="2" t="s">
        <v>47</v>
      </c>
      <c r="AC10059" s="2"/>
    </row>
    <row r="10060" spans="1:29" ht="117" x14ac:dyDescent="0.15">
      <c r="A10060" s="3">
        <f>DATE(2011,8,16)</f>
        <v>40771</v>
      </c>
      <c r="B10060" s="2"/>
      <c r="C10060" s="2" t="s">
        <v>87</v>
      </c>
      <c r="D10060" s="2" t="s">
        <v>10084</v>
      </c>
      <c r="E10060" s="2" t="s">
        <v>26607</v>
      </c>
      <c r="F10060" s="4">
        <v>3841</v>
      </c>
      <c r="G10060" s="2" t="s">
        <v>226</v>
      </c>
      <c r="H10060" s="2" t="s">
        <v>34</v>
      </c>
      <c r="I10060" s="2" t="s">
        <v>29455</v>
      </c>
      <c r="J10060" s="2" t="s">
        <v>11337</v>
      </c>
      <c r="K10060" s="2" t="s">
        <v>53</v>
      </c>
      <c r="L10060" s="2" t="s">
        <v>34</v>
      </c>
      <c r="M10060" s="2"/>
      <c r="N10060" s="2"/>
      <c r="O10060" s="2"/>
      <c r="P10060" s="2" t="s">
        <v>29456</v>
      </c>
      <c r="Q10060" s="2"/>
      <c r="R10060" s="2"/>
      <c r="S10060" s="5">
        <v>299.60000000000002</v>
      </c>
      <c r="T10060" s="7">
        <v>647.221</v>
      </c>
      <c r="U10060" s="5">
        <v>23.2</v>
      </c>
      <c r="V10060" s="6">
        <v>4.13</v>
      </c>
      <c r="W10060" s="6">
        <v>63.27</v>
      </c>
      <c r="X10060" s="6">
        <v>65.98</v>
      </c>
      <c r="Y10060" s="6">
        <v>67.84</v>
      </c>
      <c r="Z10060" s="6">
        <v>67.010000000000005</v>
      </c>
      <c r="AA10060" s="6">
        <v>73.069999999999993</v>
      </c>
      <c r="AB10060" s="2" t="s">
        <v>47</v>
      </c>
      <c r="AC10060" s="2"/>
    </row>
    <row r="10061" spans="1:29" ht="208" x14ac:dyDescent="0.15">
      <c r="A10061" s="3">
        <f>DATE(2011,8,16)</f>
        <v>40771</v>
      </c>
      <c r="B10061" s="3">
        <f>DATE(2011,10,19)</f>
        <v>40835</v>
      </c>
      <c r="C10061" s="2" t="s">
        <v>95</v>
      </c>
      <c r="D10061" s="2" t="s">
        <v>22647</v>
      </c>
      <c r="E10061" s="2" t="s">
        <v>11753</v>
      </c>
      <c r="F10061" s="4">
        <v>7372</v>
      </c>
      <c r="G10061" s="2" t="s">
        <v>551</v>
      </c>
      <c r="H10061" s="2" t="s">
        <v>34</v>
      </c>
      <c r="I10061" s="2" t="s">
        <v>29457</v>
      </c>
      <c r="J10061" s="2" t="s">
        <v>244</v>
      </c>
      <c r="K10061" s="2" t="s">
        <v>53</v>
      </c>
      <c r="L10061" s="2" t="s">
        <v>34</v>
      </c>
      <c r="M10061" s="2"/>
      <c r="N10061" s="2"/>
      <c r="O10061" s="2"/>
      <c r="P10061" s="2" t="s">
        <v>29458</v>
      </c>
      <c r="Q10061" s="6">
        <v>100</v>
      </c>
      <c r="R10061" s="6">
        <v>14.85</v>
      </c>
      <c r="S10061" s="5">
        <v>24.6</v>
      </c>
      <c r="T10061" s="7">
        <v>39.573</v>
      </c>
      <c r="U10061" s="5">
        <v>1</v>
      </c>
      <c r="V10061" s="6">
        <v>0.85</v>
      </c>
      <c r="W10061" s="6">
        <v>13.15</v>
      </c>
      <c r="X10061" s="6">
        <v>11.83</v>
      </c>
      <c r="Y10061" s="6">
        <v>14.57</v>
      </c>
      <c r="Z10061" s="6">
        <v>14.56</v>
      </c>
      <c r="AA10061" s="6">
        <v>29.36</v>
      </c>
      <c r="AB10061" s="7">
        <v>11.46</v>
      </c>
      <c r="AC10061" s="2"/>
    </row>
    <row r="10062" spans="1:29" ht="104" x14ac:dyDescent="0.15">
      <c r="A10062" s="3">
        <f>DATE(2011,8,17)</f>
        <v>40772</v>
      </c>
      <c r="B10062" s="2"/>
      <c r="C10062" s="2" t="s">
        <v>87</v>
      </c>
      <c r="D10062" s="2" t="s">
        <v>29459</v>
      </c>
      <c r="E10062" s="2" t="s">
        <v>29460</v>
      </c>
      <c r="F10062" s="4">
        <v>6211</v>
      </c>
      <c r="G10062" s="2" t="s">
        <v>53</v>
      </c>
      <c r="H10062" s="2" t="s">
        <v>34</v>
      </c>
      <c r="I10062" s="2" t="s">
        <v>143</v>
      </c>
      <c r="J10062" s="2" t="s">
        <v>144</v>
      </c>
      <c r="K10062" s="2" t="s">
        <v>53</v>
      </c>
      <c r="L10062" s="2" t="s">
        <v>139</v>
      </c>
      <c r="M10062" s="2"/>
      <c r="N10062" s="2"/>
      <c r="O10062" s="2"/>
      <c r="P10062" s="2" t="s">
        <v>29461</v>
      </c>
      <c r="Q10062" s="2"/>
      <c r="R10062" s="2"/>
      <c r="S10062" s="5">
        <v>38.6</v>
      </c>
      <c r="T10062" s="7">
        <v>71.840999999999994</v>
      </c>
      <c r="U10062" s="5">
        <v>7.7</v>
      </c>
      <c r="V10062" s="6">
        <v>1.03</v>
      </c>
      <c r="W10062" s="6">
        <v>23.48</v>
      </c>
      <c r="X10062" s="6">
        <v>24.05</v>
      </c>
      <c r="Y10062" s="6">
        <v>27.45</v>
      </c>
      <c r="Z10062" s="6">
        <v>27.35</v>
      </c>
      <c r="AA10062" s="6">
        <v>35.42</v>
      </c>
      <c r="AB10062" s="2" t="s">
        <v>47</v>
      </c>
      <c r="AC10062" s="2"/>
    </row>
    <row r="10063" spans="1:29" ht="52" x14ac:dyDescent="0.15">
      <c r="A10063" s="3">
        <f>DATE(2011,8,18)</f>
        <v>40773</v>
      </c>
      <c r="B10063" s="2"/>
      <c r="C10063" s="2" t="s">
        <v>87</v>
      </c>
      <c r="D10063" s="2" t="s">
        <v>13811</v>
      </c>
      <c r="E10063" s="2" t="s">
        <v>3759</v>
      </c>
      <c r="F10063" s="4">
        <v>4931</v>
      </c>
      <c r="G10063" s="2" t="s">
        <v>439</v>
      </c>
      <c r="H10063" s="2" t="s">
        <v>34</v>
      </c>
      <c r="I10063" s="2" t="s">
        <v>143</v>
      </c>
      <c r="J10063" s="2" t="s">
        <v>144</v>
      </c>
      <c r="K10063" s="2" t="s">
        <v>53</v>
      </c>
      <c r="L10063" s="2" t="s">
        <v>139</v>
      </c>
      <c r="M10063" s="2"/>
      <c r="N10063" s="2"/>
      <c r="O10063" s="2"/>
      <c r="P10063" s="2" t="s">
        <v>29462</v>
      </c>
      <c r="Q10063" s="2"/>
      <c r="R10063" s="2"/>
      <c r="S10063" s="5">
        <v>380</v>
      </c>
      <c r="T10063" s="8">
        <v>1171</v>
      </c>
      <c r="U10063" s="5">
        <v>29.5</v>
      </c>
      <c r="V10063" s="6">
        <v>2.95</v>
      </c>
      <c r="W10063" s="6">
        <v>37.93</v>
      </c>
      <c r="X10063" s="6">
        <v>38.619999999999997</v>
      </c>
      <c r="Y10063" s="6">
        <v>39.15</v>
      </c>
      <c r="Z10063" s="6">
        <v>38.58</v>
      </c>
      <c r="AA10063" s="6">
        <v>129.02000000000001</v>
      </c>
      <c r="AB10063" s="2" t="s">
        <v>47</v>
      </c>
      <c r="AC10063" s="2"/>
    </row>
    <row r="10064" spans="1:29" ht="143" x14ac:dyDescent="0.15">
      <c r="A10064" s="3">
        <f>DATE(2011,8,22)</f>
        <v>40777</v>
      </c>
      <c r="B10064" s="2"/>
      <c r="C10064" s="2" t="s">
        <v>39</v>
      </c>
      <c r="D10064" s="2" t="s">
        <v>11528</v>
      </c>
      <c r="E10064" s="2" t="s">
        <v>11529</v>
      </c>
      <c r="F10064" s="4">
        <v>5331</v>
      </c>
      <c r="G10064" s="2" t="s">
        <v>756</v>
      </c>
      <c r="H10064" s="2" t="s">
        <v>34</v>
      </c>
      <c r="I10064" s="2" t="s">
        <v>27735</v>
      </c>
      <c r="J10064" s="2" t="s">
        <v>244</v>
      </c>
      <c r="K10064" s="2" t="s">
        <v>53</v>
      </c>
      <c r="L10064" s="2" t="s">
        <v>34</v>
      </c>
      <c r="M10064" s="12">
        <v>2094.9389999999999</v>
      </c>
      <c r="N10064" s="6">
        <v>13.22</v>
      </c>
      <c r="O10064" s="6">
        <v>13.35</v>
      </c>
      <c r="P10064" s="2" t="s">
        <v>29463</v>
      </c>
      <c r="Q10064" s="2"/>
      <c r="R10064" s="2"/>
      <c r="S10064" s="2"/>
      <c r="T10064" s="2"/>
      <c r="U10064" s="5">
        <v>10</v>
      </c>
      <c r="V10064" s="2"/>
      <c r="W10064" s="6">
        <v>16.260000000000002</v>
      </c>
      <c r="X10064" s="6">
        <v>16.68</v>
      </c>
      <c r="Y10064" s="6">
        <v>19.579999999999998</v>
      </c>
      <c r="Z10064" s="6">
        <v>19.66</v>
      </c>
      <c r="AA10064" s="6">
        <v>70.540000000000006</v>
      </c>
      <c r="AB10064" s="2" t="s">
        <v>47</v>
      </c>
      <c r="AC10064" s="10">
        <v>1032.06</v>
      </c>
    </row>
    <row r="10065" spans="1:29" ht="78" x14ac:dyDescent="0.15">
      <c r="A10065" s="3">
        <f>DATE(2011,8,22)</f>
        <v>40777</v>
      </c>
      <c r="B10065" s="2"/>
      <c r="C10065" s="2" t="s">
        <v>30</v>
      </c>
      <c r="D10065" s="2" t="s">
        <v>29464</v>
      </c>
      <c r="E10065" s="2" t="s">
        <v>29465</v>
      </c>
      <c r="F10065" s="4">
        <v>5912</v>
      </c>
      <c r="G10065" s="2" t="s">
        <v>73</v>
      </c>
      <c r="H10065" s="2" t="s">
        <v>34</v>
      </c>
      <c r="I10065" s="2" t="s">
        <v>10319</v>
      </c>
      <c r="J10065" s="2" t="s">
        <v>10320</v>
      </c>
      <c r="K10065" s="2" t="s">
        <v>73</v>
      </c>
      <c r="L10065" s="2" t="s">
        <v>34</v>
      </c>
      <c r="M10065" s="10">
        <v>3519.42</v>
      </c>
      <c r="N10065" s="5">
        <v>26.9</v>
      </c>
      <c r="O10065" s="6">
        <v>29.85</v>
      </c>
      <c r="P10065" s="2" t="s">
        <v>29466</v>
      </c>
      <c r="Q10065" s="2"/>
      <c r="R10065" s="6">
        <v>15</v>
      </c>
      <c r="S10065" s="5">
        <v>20.2</v>
      </c>
      <c r="T10065" s="5">
        <v>81.599999999999994</v>
      </c>
      <c r="U10065" s="5">
        <v>13.6</v>
      </c>
      <c r="V10065" s="6">
        <v>0.68</v>
      </c>
      <c r="W10065" s="6">
        <v>11.77</v>
      </c>
      <c r="X10065" s="6">
        <v>10.83</v>
      </c>
      <c r="Y10065" s="6">
        <v>10.93</v>
      </c>
      <c r="Z10065" s="6">
        <v>13.89</v>
      </c>
      <c r="AA10065" s="6">
        <v>29.39</v>
      </c>
      <c r="AB10065" s="7">
        <v>13.465</v>
      </c>
      <c r="AC10065" s="6">
        <v>524.01</v>
      </c>
    </row>
    <row r="10066" spans="1:29" ht="39" x14ac:dyDescent="0.15">
      <c r="A10066" s="3">
        <f>DATE(2011,8,24)</f>
        <v>40779</v>
      </c>
      <c r="B10066" s="2"/>
      <c r="C10066" s="2" t="s">
        <v>7330</v>
      </c>
      <c r="D10066" s="2" t="s">
        <v>29467</v>
      </c>
      <c r="E10066" s="2" t="s">
        <v>29468</v>
      </c>
      <c r="F10066" s="4">
        <v>1011</v>
      </c>
      <c r="G10066" s="2" t="s">
        <v>166</v>
      </c>
      <c r="H10066" s="2" t="s">
        <v>34</v>
      </c>
      <c r="I10066" s="2" t="s">
        <v>1526</v>
      </c>
      <c r="J10066" s="2" t="s">
        <v>302</v>
      </c>
      <c r="K10066" s="2" t="s">
        <v>53</v>
      </c>
      <c r="L10066" s="2" t="s">
        <v>34</v>
      </c>
      <c r="M10066" s="2"/>
      <c r="N10066" s="2"/>
      <c r="O10066" s="2"/>
      <c r="P10066" s="2" t="s">
        <v>29469</v>
      </c>
      <c r="Q10066" s="2"/>
      <c r="R10066" s="2"/>
      <c r="S10066" s="5">
        <v>-6.8</v>
      </c>
      <c r="T10066" s="7">
        <v>-2.9159999999999999</v>
      </c>
      <c r="U10066" s="5">
        <v>-0.1</v>
      </c>
      <c r="V10066" s="6">
        <v>-0.09</v>
      </c>
      <c r="W10066" s="5">
        <v>1.7</v>
      </c>
      <c r="X10066" s="5">
        <v>1.7</v>
      </c>
      <c r="Y10066" s="5">
        <v>1.7</v>
      </c>
      <c r="Z10066" s="5">
        <v>1.1000000000000001</v>
      </c>
      <c r="AA10066" s="6">
        <v>69.790000000000006</v>
      </c>
      <c r="AB10066" s="2" t="s">
        <v>86</v>
      </c>
      <c r="AC10066" s="2"/>
    </row>
    <row r="10067" spans="1:29" ht="169" x14ac:dyDescent="0.15">
      <c r="A10067" s="3">
        <f>DATE(2011,8,25)</f>
        <v>40780</v>
      </c>
      <c r="B10067" s="2"/>
      <c r="C10067" s="2" t="s">
        <v>30</v>
      </c>
      <c r="D10067" s="2" t="s">
        <v>22647</v>
      </c>
      <c r="E10067" s="2" t="s">
        <v>11753</v>
      </c>
      <c r="F10067" s="4">
        <v>7372</v>
      </c>
      <c r="G10067" s="2" t="s">
        <v>551</v>
      </c>
      <c r="H10067" s="2" t="s">
        <v>34</v>
      </c>
      <c r="I10067" s="2" t="s">
        <v>18420</v>
      </c>
      <c r="J10067" s="2" t="s">
        <v>29470</v>
      </c>
      <c r="K10067" s="2" t="s">
        <v>551</v>
      </c>
      <c r="L10067" s="2" t="s">
        <v>34</v>
      </c>
      <c r="M10067" s="2"/>
      <c r="N10067" s="2"/>
      <c r="O10067" s="2"/>
      <c r="P10067" s="2" t="s">
        <v>29471</v>
      </c>
      <c r="Q10067" s="2"/>
      <c r="R10067" s="6">
        <v>16.010000000000002</v>
      </c>
      <c r="S10067" s="5">
        <v>24.6</v>
      </c>
      <c r="T10067" s="7">
        <v>39.573</v>
      </c>
      <c r="U10067" s="5">
        <v>1</v>
      </c>
      <c r="V10067" s="6">
        <v>0.85</v>
      </c>
      <c r="W10067" s="6">
        <v>13.15</v>
      </c>
      <c r="X10067" s="6">
        <v>11.83</v>
      </c>
      <c r="Y10067" s="6">
        <v>14.57</v>
      </c>
      <c r="Z10067" s="6">
        <v>14.56</v>
      </c>
      <c r="AA10067" s="6">
        <v>29.36</v>
      </c>
      <c r="AB10067" s="7">
        <v>12.374000000000001</v>
      </c>
      <c r="AC10067" s="6">
        <v>27.65</v>
      </c>
    </row>
    <row r="10068" spans="1:29" ht="91" x14ac:dyDescent="0.15">
      <c r="A10068" s="3">
        <f>DATE(2011,8,29)</f>
        <v>40784</v>
      </c>
      <c r="B10068" s="3">
        <f>DATE(2012,10,3)</f>
        <v>41185</v>
      </c>
      <c r="C10068" s="2" t="s">
        <v>95</v>
      </c>
      <c r="D10068" s="2" t="s">
        <v>29472</v>
      </c>
      <c r="E10068" s="2" t="s">
        <v>1531</v>
      </c>
      <c r="F10068" s="4">
        <v>1311</v>
      </c>
      <c r="G10068" s="2" t="s">
        <v>148</v>
      </c>
      <c r="H10068" s="2" t="s">
        <v>34</v>
      </c>
      <c r="I10068" s="2" t="s">
        <v>51</v>
      </c>
      <c r="J10068" s="2" t="s">
        <v>52</v>
      </c>
      <c r="K10068" s="2" t="s">
        <v>53</v>
      </c>
      <c r="L10068" s="2" t="s">
        <v>34</v>
      </c>
      <c r="M10068" s="2"/>
      <c r="N10068" s="2"/>
      <c r="O10068" s="2"/>
      <c r="P10068" s="2" t="s">
        <v>29473</v>
      </c>
      <c r="Q10068" s="6">
        <v>50.07</v>
      </c>
      <c r="R10068" s="6">
        <v>12.5</v>
      </c>
      <c r="S10068" s="5">
        <v>14.9</v>
      </c>
      <c r="T10068" s="7">
        <v>107.429</v>
      </c>
      <c r="U10068" s="5">
        <v>0</v>
      </c>
      <c r="V10068" s="9">
        <v>0.17929999999999999</v>
      </c>
      <c r="W10068" s="6">
        <v>8.59</v>
      </c>
      <c r="X10068" s="6">
        <v>8.98</v>
      </c>
      <c r="Y10068" s="6">
        <v>11.76</v>
      </c>
      <c r="Z10068" s="6">
        <v>11.76</v>
      </c>
      <c r="AA10068" s="6">
        <v>61.62</v>
      </c>
      <c r="AB10068" s="7">
        <v>63.905000000000001</v>
      </c>
      <c r="AC10068" s="2"/>
    </row>
    <row r="10069" spans="1:29" ht="130" x14ac:dyDescent="0.15">
      <c r="A10069" s="3">
        <f>DATE(2011,8,31)</f>
        <v>40786</v>
      </c>
      <c r="B10069" s="3">
        <f>DATE(2012,7,2)</f>
        <v>41092</v>
      </c>
      <c r="C10069" s="2" t="s">
        <v>95</v>
      </c>
      <c r="D10069" s="2" t="s">
        <v>29474</v>
      </c>
      <c r="E10069" s="2" t="s">
        <v>1181</v>
      </c>
      <c r="F10069" s="4">
        <v>6021</v>
      </c>
      <c r="G10069" s="2" t="s">
        <v>37</v>
      </c>
      <c r="H10069" s="2" t="s">
        <v>34</v>
      </c>
      <c r="I10069" s="2" t="s">
        <v>29475</v>
      </c>
      <c r="J10069" s="2" t="s">
        <v>36</v>
      </c>
      <c r="K10069" s="2" t="s">
        <v>37</v>
      </c>
      <c r="L10069" s="2" t="s">
        <v>34</v>
      </c>
      <c r="M10069" s="7">
        <v>157.833</v>
      </c>
      <c r="N10069" s="6">
        <v>11.87</v>
      </c>
      <c r="O10069" s="6">
        <v>12.11</v>
      </c>
      <c r="P10069" s="2" t="s">
        <v>29476</v>
      </c>
      <c r="Q10069" s="6">
        <v>100</v>
      </c>
      <c r="R10069" s="6">
        <v>9.1199999999999992</v>
      </c>
      <c r="S10069" s="5">
        <v>2</v>
      </c>
      <c r="T10069" s="2"/>
      <c r="U10069" s="5">
        <v>7.7</v>
      </c>
      <c r="V10069" s="6">
        <v>0.25</v>
      </c>
      <c r="W10069" s="6">
        <v>5.93</v>
      </c>
      <c r="X10069" s="6">
        <v>5.93</v>
      </c>
      <c r="Y10069" s="5">
        <v>8.6</v>
      </c>
      <c r="Z10069" s="6">
        <v>8.6199999999999992</v>
      </c>
      <c r="AA10069" s="6">
        <v>4.04</v>
      </c>
      <c r="AB10069" s="7">
        <v>21.373999999999999</v>
      </c>
      <c r="AC10069" s="2"/>
    </row>
    <row r="10070" spans="1:29" ht="52" x14ac:dyDescent="0.15">
      <c r="A10070" s="3">
        <f>DATE(2011,9,7)</f>
        <v>40793</v>
      </c>
      <c r="B10070" s="3">
        <f>DATE(2011,11,30)</f>
        <v>40877</v>
      </c>
      <c r="C10070" s="2" t="s">
        <v>95</v>
      </c>
      <c r="D10070" s="2" t="s">
        <v>29477</v>
      </c>
      <c r="E10070" s="2" t="s">
        <v>124</v>
      </c>
      <c r="F10070" s="4">
        <v>6331</v>
      </c>
      <c r="G10070" s="2" t="s">
        <v>125</v>
      </c>
      <c r="H10070" s="2" t="s">
        <v>34</v>
      </c>
      <c r="I10070" s="2" t="s">
        <v>14486</v>
      </c>
      <c r="J10070" s="2" t="s">
        <v>124</v>
      </c>
      <c r="K10070" s="2" t="s">
        <v>125</v>
      </c>
      <c r="L10070" s="2" t="s">
        <v>215</v>
      </c>
      <c r="M10070" s="12">
        <v>20058.398000000001</v>
      </c>
      <c r="N10070" s="6">
        <v>64.19</v>
      </c>
      <c r="O10070" s="6">
        <v>63.85</v>
      </c>
      <c r="P10070" s="2" t="s">
        <v>29478</v>
      </c>
      <c r="Q10070" s="6">
        <v>100</v>
      </c>
      <c r="R10070" s="6">
        <v>20.5</v>
      </c>
      <c r="S10070" s="5">
        <v>-4.5</v>
      </c>
      <c r="T10070" s="6">
        <v>-0.49</v>
      </c>
      <c r="U10070" s="5">
        <v>19.600000000000001</v>
      </c>
      <c r="V10070" s="6">
        <v>-1</v>
      </c>
      <c r="W10070" s="5">
        <v>16.5</v>
      </c>
      <c r="X10070" s="5">
        <v>16.3</v>
      </c>
      <c r="Y10070" s="5">
        <v>16.3</v>
      </c>
      <c r="Z10070" s="6">
        <v>20.13</v>
      </c>
      <c r="AA10070" s="6">
        <v>5.2</v>
      </c>
      <c r="AB10070" s="2" t="s">
        <v>86</v>
      </c>
      <c r="AC10070" s="5">
        <v>833</v>
      </c>
    </row>
    <row r="10071" spans="1:29" ht="78" x14ac:dyDescent="0.15">
      <c r="A10071" s="3">
        <f>DATE(2011,9,7)</f>
        <v>40793</v>
      </c>
      <c r="B10071" s="2"/>
      <c r="C10071" s="2" t="s">
        <v>87</v>
      </c>
      <c r="D10071" s="2" t="s">
        <v>29479</v>
      </c>
      <c r="E10071" s="2" t="s">
        <v>11539</v>
      </c>
      <c r="F10071" s="4">
        <v>1221</v>
      </c>
      <c r="G10071" s="2" t="s">
        <v>166</v>
      </c>
      <c r="H10071" s="2" t="s">
        <v>34</v>
      </c>
      <c r="I10071" s="2" t="s">
        <v>143</v>
      </c>
      <c r="J10071" s="2" t="s">
        <v>144</v>
      </c>
      <c r="K10071" s="2" t="s">
        <v>53</v>
      </c>
      <c r="L10071" s="2" t="s">
        <v>139</v>
      </c>
      <c r="M10071" s="2"/>
      <c r="N10071" s="2"/>
      <c r="O10071" s="2"/>
      <c r="P10071" s="2" t="s">
        <v>29480</v>
      </c>
      <c r="Q10071" s="2"/>
      <c r="R10071" s="2"/>
      <c r="S10071" s="5">
        <v>417.3</v>
      </c>
      <c r="T10071" s="6">
        <v>801.21</v>
      </c>
      <c r="U10071" s="5">
        <v>32.5</v>
      </c>
      <c r="V10071" s="6">
        <v>7.53</v>
      </c>
      <c r="W10071" s="6">
        <v>81.739999999999995</v>
      </c>
      <c r="X10071" s="6">
        <v>74.989999999999995</v>
      </c>
      <c r="Y10071" s="6">
        <v>90.98</v>
      </c>
      <c r="Z10071" s="5">
        <v>87.8</v>
      </c>
      <c r="AA10071" s="6">
        <v>62.42</v>
      </c>
      <c r="AB10071" s="2" t="s">
        <v>47</v>
      </c>
      <c r="AC10071" s="2"/>
    </row>
    <row r="10072" spans="1:29" ht="65" x14ac:dyDescent="0.15">
      <c r="A10072" s="3">
        <f>DATE(2011,9,8)</f>
        <v>40794</v>
      </c>
      <c r="B10072" s="3">
        <f>DATE(2011,11,7)</f>
        <v>40854</v>
      </c>
      <c r="C10072" s="2" t="s">
        <v>95</v>
      </c>
      <c r="D10072" s="2" t="s">
        <v>23772</v>
      </c>
      <c r="E10072" s="2" t="s">
        <v>23773</v>
      </c>
      <c r="F10072" s="4">
        <v>3826</v>
      </c>
      <c r="G10072" s="2" t="s">
        <v>226</v>
      </c>
      <c r="H10072" s="2" t="s">
        <v>34</v>
      </c>
      <c r="I10072" s="2" t="s">
        <v>19123</v>
      </c>
      <c r="J10072" s="2" t="s">
        <v>19124</v>
      </c>
      <c r="K10072" s="2" t="s">
        <v>226</v>
      </c>
      <c r="L10072" s="2" t="s">
        <v>34</v>
      </c>
      <c r="M10072" s="12">
        <v>2511.5630000000001</v>
      </c>
      <c r="N10072" s="6">
        <v>20.75</v>
      </c>
      <c r="O10072" s="6">
        <v>20.28</v>
      </c>
      <c r="P10072" s="2" t="s">
        <v>29481</v>
      </c>
      <c r="Q10072" s="6">
        <v>100</v>
      </c>
      <c r="R10072" s="6">
        <v>10.5</v>
      </c>
      <c r="S10072" s="5">
        <v>-8.6</v>
      </c>
      <c r="T10072" s="7">
        <v>7.181</v>
      </c>
      <c r="U10072" s="5">
        <v>1.7</v>
      </c>
      <c r="V10072" s="6">
        <v>-0.17</v>
      </c>
      <c r="W10072" s="5">
        <v>7.4</v>
      </c>
      <c r="X10072" s="6">
        <v>7.39</v>
      </c>
      <c r="Y10072" s="6">
        <v>10.43</v>
      </c>
      <c r="Z10072" s="6">
        <v>10.45</v>
      </c>
      <c r="AA10072" s="6">
        <v>53.06</v>
      </c>
      <c r="AB10072" s="2" t="s">
        <v>86</v>
      </c>
      <c r="AC10072" s="6">
        <v>395.21</v>
      </c>
    </row>
    <row r="10073" spans="1:29" ht="78" x14ac:dyDescent="0.15">
      <c r="A10073" s="3">
        <f>DATE(2011,9,12)</f>
        <v>40798</v>
      </c>
      <c r="B10073" s="3">
        <f>DATE(2011,12,1)</f>
        <v>40878</v>
      </c>
      <c r="C10073" s="2" t="s">
        <v>95</v>
      </c>
      <c r="D10073" s="2" t="s">
        <v>29482</v>
      </c>
      <c r="E10073" s="2" t="s">
        <v>29483</v>
      </c>
      <c r="F10073" s="4">
        <v>1389</v>
      </c>
      <c r="G10073" s="2" t="s">
        <v>148</v>
      </c>
      <c r="H10073" s="2" t="s">
        <v>34</v>
      </c>
      <c r="I10073" s="2" t="s">
        <v>29484</v>
      </c>
      <c r="J10073" s="2" t="s">
        <v>29483</v>
      </c>
      <c r="K10073" s="2" t="s">
        <v>223</v>
      </c>
      <c r="L10073" s="2" t="s">
        <v>34</v>
      </c>
      <c r="M10073" s="2"/>
      <c r="N10073" s="2"/>
      <c r="O10073" s="2"/>
      <c r="P10073" s="2" t="s">
        <v>29485</v>
      </c>
      <c r="Q10073" s="6">
        <v>100</v>
      </c>
      <c r="R10073" s="6">
        <v>8</v>
      </c>
      <c r="S10073" s="5">
        <v>-136.80000000000001</v>
      </c>
      <c r="T10073" s="7">
        <v>-21.832000000000001</v>
      </c>
      <c r="U10073" s="5">
        <v>6.2</v>
      </c>
      <c r="V10073" s="6">
        <v>-1.2</v>
      </c>
      <c r="W10073" s="6">
        <v>4.57</v>
      </c>
      <c r="X10073" s="6">
        <v>5.15</v>
      </c>
      <c r="Y10073" s="6">
        <v>7.78</v>
      </c>
      <c r="Z10073" s="6">
        <v>7.81</v>
      </c>
      <c r="AA10073" s="6">
        <v>114.4</v>
      </c>
      <c r="AB10073" s="2" t="s">
        <v>86</v>
      </c>
      <c r="AC10073" s="2"/>
    </row>
    <row r="10074" spans="1:29" ht="78" x14ac:dyDescent="0.15">
      <c r="A10074" s="3">
        <f>DATE(2011,9,12)</f>
        <v>40798</v>
      </c>
      <c r="B10074" s="3">
        <f>DATE(2012,2,17)</f>
        <v>40956</v>
      </c>
      <c r="C10074" s="2" t="s">
        <v>95</v>
      </c>
      <c r="D10074" s="2" t="s">
        <v>29486</v>
      </c>
      <c r="E10074" s="2" t="s">
        <v>29487</v>
      </c>
      <c r="F10074" s="4">
        <v>3674</v>
      </c>
      <c r="G10074" s="2" t="s">
        <v>137</v>
      </c>
      <c r="H10074" s="2" t="s">
        <v>34</v>
      </c>
      <c r="I10074" s="2" t="s">
        <v>29488</v>
      </c>
      <c r="J10074" s="2" t="s">
        <v>2728</v>
      </c>
      <c r="K10074" s="2" t="s">
        <v>137</v>
      </c>
      <c r="L10074" s="2" t="s">
        <v>34</v>
      </c>
      <c r="M10074" s="2"/>
      <c r="N10074" s="2"/>
      <c r="O10074" s="2"/>
      <c r="P10074" s="2" t="s">
        <v>29489</v>
      </c>
      <c r="Q10074" s="6">
        <v>100</v>
      </c>
      <c r="R10074" s="6">
        <v>50</v>
      </c>
      <c r="S10074" s="5">
        <v>-33.4</v>
      </c>
      <c r="T10074" s="7">
        <v>80.945999999999998</v>
      </c>
      <c r="U10074" s="5">
        <v>9.1</v>
      </c>
      <c r="V10074" s="6">
        <v>-0.5</v>
      </c>
      <c r="W10074" s="6">
        <v>29.89</v>
      </c>
      <c r="X10074" s="6">
        <v>31.91</v>
      </c>
      <c r="Y10074" s="6">
        <v>48.12</v>
      </c>
      <c r="Z10074" s="5">
        <v>48.2</v>
      </c>
      <c r="AA10074" s="6">
        <v>69.34</v>
      </c>
      <c r="AB10074" s="7">
        <v>170.51499999999999</v>
      </c>
      <c r="AC10074" s="2"/>
    </row>
    <row r="10075" spans="1:29" ht="130" x14ac:dyDescent="0.15">
      <c r="A10075" s="3">
        <f>DATE(2011,9,13)</f>
        <v>40799</v>
      </c>
      <c r="B10075" s="2"/>
      <c r="C10075" s="2" t="s">
        <v>30</v>
      </c>
      <c r="D10075" s="2" t="s">
        <v>19696</v>
      </c>
      <c r="E10075" s="2" t="s">
        <v>19697</v>
      </c>
      <c r="F10075" s="4">
        <v>3944</v>
      </c>
      <c r="G10075" s="2" t="s">
        <v>112</v>
      </c>
      <c r="H10075" s="2" t="s">
        <v>34</v>
      </c>
      <c r="I10075" s="2" t="s">
        <v>29490</v>
      </c>
      <c r="J10075" s="2" t="s">
        <v>244</v>
      </c>
      <c r="K10075" s="2" t="s">
        <v>53</v>
      </c>
      <c r="L10075" s="2" t="s">
        <v>34</v>
      </c>
      <c r="M10075" s="2"/>
      <c r="N10075" s="2"/>
      <c r="O10075" s="2"/>
      <c r="P10075" s="2" t="s">
        <v>29491</v>
      </c>
      <c r="Q10075" s="2"/>
      <c r="R10075" s="6">
        <v>20</v>
      </c>
      <c r="S10075" s="5">
        <v>42.9</v>
      </c>
      <c r="T10075" s="7">
        <v>77.442999999999998</v>
      </c>
      <c r="U10075" s="5">
        <v>14.8</v>
      </c>
      <c r="V10075" s="6">
        <v>1.37</v>
      </c>
      <c r="W10075" s="6">
        <v>16.07</v>
      </c>
      <c r="X10075" s="6">
        <v>15.91</v>
      </c>
      <c r="Y10075" s="4">
        <v>16</v>
      </c>
      <c r="Z10075" s="6">
        <v>19.57</v>
      </c>
      <c r="AA10075" s="6">
        <v>27.2</v>
      </c>
      <c r="AB10075" s="7">
        <v>7.8029999999999999</v>
      </c>
      <c r="AC10075" s="2"/>
    </row>
    <row r="10076" spans="1:29" ht="104" x14ac:dyDescent="0.15">
      <c r="A10076" s="3">
        <f>DATE(2011,9,14)</f>
        <v>40800</v>
      </c>
      <c r="B10076" s="3">
        <f>DATE(2012,2,17)</f>
        <v>40956</v>
      </c>
      <c r="C10076" s="2" t="s">
        <v>95</v>
      </c>
      <c r="D10076" s="2" t="s">
        <v>29492</v>
      </c>
      <c r="E10076" s="2" t="s">
        <v>1181</v>
      </c>
      <c r="F10076" s="4">
        <v>6021</v>
      </c>
      <c r="G10076" s="2" t="s">
        <v>37</v>
      </c>
      <c r="H10076" s="2" t="s">
        <v>34</v>
      </c>
      <c r="I10076" s="2" t="s">
        <v>29493</v>
      </c>
      <c r="J10076" s="2" t="s">
        <v>1181</v>
      </c>
      <c r="K10076" s="2" t="s">
        <v>37</v>
      </c>
      <c r="L10076" s="2" t="s">
        <v>34</v>
      </c>
      <c r="M10076" s="7">
        <v>25.265999999999998</v>
      </c>
      <c r="N10076" s="4">
        <v>9</v>
      </c>
      <c r="O10076" s="6">
        <v>9.25</v>
      </c>
      <c r="P10076" s="2" t="s">
        <v>29494</v>
      </c>
      <c r="Q10076" s="6">
        <v>100</v>
      </c>
      <c r="R10076" s="6">
        <v>7.6</v>
      </c>
      <c r="S10076" s="2"/>
      <c r="T10076" s="2"/>
      <c r="U10076" s="2"/>
      <c r="V10076" s="2"/>
      <c r="W10076" s="5">
        <v>4.4000000000000004</v>
      </c>
      <c r="X10076" s="5">
        <v>4.4000000000000004</v>
      </c>
      <c r="Y10076" s="5">
        <v>4.4000000000000004</v>
      </c>
      <c r="Z10076" s="4">
        <v>6</v>
      </c>
      <c r="AA10076" s="6">
        <v>2.2999999999999998</v>
      </c>
      <c r="AB10076" s="2" t="s">
        <v>47</v>
      </c>
      <c r="AC10076" s="2"/>
    </row>
    <row r="10077" spans="1:29" ht="52" x14ac:dyDescent="0.15">
      <c r="A10077" s="3">
        <f>DATE(2011,9,15)</f>
        <v>40801</v>
      </c>
      <c r="B10077" s="3">
        <f>DATE(2011,9,15)</f>
        <v>40801</v>
      </c>
      <c r="C10077" s="2" t="s">
        <v>95</v>
      </c>
      <c r="D10077" s="2" t="s">
        <v>29495</v>
      </c>
      <c r="E10077" s="2" t="s">
        <v>29496</v>
      </c>
      <c r="F10077" s="4">
        <v>2041</v>
      </c>
      <c r="G10077" s="2" t="s">
        <v>577</v>
      </c>
      <c r="H10077" s="2" t="s">
        <v>34</v>
      </c>
      <c r="I10077" s="2" t="s">
        <v>29497</v>
      </c>
      <c r="J10077" s="2" t="s">
        <v>26851</v>
      </c>
      <c r="K10077" s="2" t="s">
        <v>426</v>
      </c>
      <c r="L10077" s="2" t="s">
        <v>34</v>
      </c>
      <c r="M10077" s="2"/>
      <c r="N10077" s="2"/>
      <c r="O10077" s="2"/>
      <c r="P10077" s="2" t="s">
        <v>29498</v>
      </c>
      <c r="Q10077" s="6">
        <v>100</v>
      </c>
      <c r="R10077" s="2"/>
      <c r="S10077" s="5">
        <v>961.4</v>
      </c>
      <c r="T10077" s="12">
        <v>1185.0419999999999</v>
      </c>
      <c r="U10077" s="2"/>
      <c r="V10077" s="2"/>
      <c r="W10077" s="6">
        <v>28.08</v>
      </c>
      <c r="X10077" s="6">
        <v>28.37</v>
      </c>
      <c r="Y10077" s="5">
        <v>28.2</v>
      </c>
      <c r="Z10077" s="5">
        <v>28.1</v>
      </c>
      <c r="AA10077" s="6">
        <v>12.27</v>
      </c>
      <c r="AB10077" s="2" t="s">
        <v>47</v>
      </c>
      <c r="AC10077" s="2"/>
    </row>
    <row r="10078" spans="1:29" ht="130" x14ac:dyDescent="0.15">
      <c r="A10078" s="3">
        <f>DATE(2011,9,15)</f>
        <v>40801</v>
      </c>
      <c r="B10078" s="3">
        <f>DATE(2011,11,30)</f>
        <v>40877</v>
      </c>
      <c r="C10078" s="2" t="s">
        <v>95</v>
      </c>
      <c r="D10078" s="2" t="s">
        <v>26529</v>
      </c>
      <c r="E10078" s="2" t="s">
        <v>26530</v>
      </c>
      <c r="F10078" s="4">
        <v>7372</v>
      </c>
      <c r="G10078" s="2" t="s">
        <v>551</v>
      </c>
      <c r="H10078" s="2" t="s">
        <v>34</v>
      </c>
      <c r="I10078" s="2" t="s">
        <v>29499</v>
      </c>
      <c r="J10078" s="2" t="s">
        <v>3197</v>
      </c>
      <c r="K10078" s="2" t="s">
        <v>53</v>
      </c>
      <c r="L10078" s="2" t="s">
        <v>34</v>
      </c>
      <c r="M10078" s="2"/>
      <c r="N10078" s="2"/>
      <c r="O10078" s="2"/>
      <c r="P10078" s="2" t="s">
        <v>29500</v>
      </c>
      <c r="Q10078" s="6">
        <v>100</v>
      </c>
      <c r="R10078" s="6">
        <v>23.33</v>
      </c>
      <c r="S10078" s="5">
        <v>14.1</v>
      </c>
      <c r="T10078" s="7">
        <v>21.122</v>
      </c>
      <c r="U10078" s="5">
        <v>8</v>
      </c>
      <c r="V10078" s="7">
        <v>0.92200000000000004</v>
      </c>
      <c r="W10078" s="9">
        <v>5.7641999999999998</v>
      </c>
      <c r="X10078" s="11">
        <v>5.2227300000000003</v>
      </c>
      <c r="Y10078" s="6">
        <v>19.54</v>
      </c>
      <c r="Z10078" s="6">
        <v>19.82</v>
      </c>
      <c r="AA10078" s="6">
        <v>17.05</v>
      </c>
      <c r="AB10078" s="7">
        <v>23.25</v>
      </c>
      <c r="AC10078" s="2"/>
    </row>
    <row r="10079" spans="1:29" ht="78" x14ac:dyDescent="0.15">
      <c r="A10079" s="3">
        <f>DATE(2011,9,16)</f>
        <v>40802</v>
      </c>
      <c r="B10079" s="2"/>
      <c r="C10079" s="2" t="s">
        <v>7330</v>
      </c>
      <c r="D10079" s="2" t="s">
        <v>29501</v>
      </c>
      <c r="E10079" s="2" t="s">
        <v>18536</v>
      </c>
      <c r="F10079" s="4">
        <v>6552</v>
      </c>
      <c r="G10079" s="2" t="s">
        <v>109</v>
      </c>
      <c r="H10079" s="2" t="s">
        <v>34</v>
      </c>
      <c r="I10079" s="2" t="s">
        <v>29502</v>
      </c>
      <c r="J10079" s="2" t="s">
        <v>14562</v>
      </c>
      <c r="K10079" s="2" t="s">
        <v>53</v>
      </c>
      <c r="L10079" s="2" t="s">
        <v>34</v>
      </c>
      <c r="M10079" s="2"/>
      <c r="N10079" s="6">
        <v>27.04</v>
      </c>
      <c r="O10079" s="6">
        <v>26.25</v>
      </c>
      <c r="P10079" s="2" t="s">
        <v>29503</v>
      </c>
      <c r="Q10079" s="2"/>
      <c r="R10079" s="2"/>
      <c r="S10079" s="5">
        <v>-15.1</v>
      </c>
      <c r="T10079" s="7">
        <v>13.648999999999999</v>
      </c>
      <c r="U10079" s="5">
        <v>9.5</v>
      </c>
      <c r="V10079" s="6">
        <v>-0.16</v>
      </c>
      <c r="W10079" s="6">
        <v>16.97</v>
      </c>
      <c r="X10079" s="6">
        <v>17.079999999999998</v>
      </c>
      <c r="Y10079" s="5">
        <v>18.2</v>
      </c>
      <c r="Z10079" s="6">
        <v>17.010000000000002</v>
      </c>
      <c r="AA10079" s="6">
        <v>122.77</v>
      </c>
      <c r="AB10079" s="2" t="s">
        <v>86</v>
      </c>
      <c r="AC10079" s="2"/>
    </row>
    <row r="10080" spans="1:29" ht="104" x14ac:dyDescent="0.15">
      <c r="A10080" s="3">
        <f>DATE(2011,9,21)</f>
        <v>40807</v>
      </c>
      <c r="B10080" s="3">
        <f>DATE(2012,7,26)</f>
        <v>41116</v>
      </c>
      <c r="C10080" s="2" t="s">
        <v>95</v>
      </c>
      <c r="D10080" s="2" t="s">
        <v>29504</v>
      </c>
      <c r="E10080" s="2" t="s">
        <v>29505</v>
      </c>
      <c r="F10080" s="4">
        <v>3728</v>
      </c>
      <c r="G10080" s="2" t="s">
        <v>219</v>
      </c>
      <c r="H10080" s="2" t="s">
        <v>34</v>
      </c>
      <c r="I10080" s="2" t="s">
        <v>13850</v>
      </c>
      <c r="J10080" s="2" t="s">
        <v>13851</v>
      </c>
      <c r="K10080" s="2" t="s">
        <v>219</v>
      </c>
      <c r="L10080" s="2" t="s">
        <v>34</v>
      </c>
      <c r="M10080" s="10">
        <v>64891.19</v>
      </c>
      <c r="N10080" s="6">
        <v>74.87</v>
      </c>
      <c r="O10080" s="6">
        <v>68.31</v>
      </c>
      <c r="P10080" s="2" t="s">
        <v>29506</v>
      </c>
      <c r="Q10080" s="6">
        <v>100</v>
      </c>
      <c r="R10080" s="6">
        <v>127.5</v>
      </c>
      <c r="S10080" s="5">
        <v>670.4</v>
      </c>
      <c r="T10080" s="8">
        <v>1456.1</v>
      </c>
      <c r="U10080" s="5">
        <v>30.5</v>
      </c>
      <c r="V10080" s="6">
        <v>5.3</v>
      </c>
      <c r="W10080" s="6">
        <v>84.31</v>
      </c>
      <c r="X10080" s="6">
        <v>92.89</v>
      </c>
      <c r="Y10080" s="5">
        <v>107.6</v>
      </c>
      <c r="Z10080" s="6">
        <v>111.82</v>
      </c>
      <c r="AA10080" s="6">
        <v>125.01</v>
      </c>
      <c r="AB10080" s="7">
        <v>15.521000000000001</v>
      </c>
      <c r="AC10080" s="8">
        <v>5599</v>
      </c>
    </row>
    <row r="10081" spans="1:29" ht="91" x14ac:dyDescent="0.15">
      <c r="A10081" s="3">
        <f>DATE(2011,9,22)</f>
        <v>40808</v>
      </c>
      <c r="B10081" s="3">
        <f>DATE(2011,12,22)</f>
        <v>40899</v>
      </c>
      <c r="C10081" s="2" t="s">
        <v>95</v>
      </c>
      <c r="D10081" s="2" t="s">
        <v>29507</v>
      </c>
      <c r="E10081" s="2" t="s">
        <v>28368</v>
      </c>
      <c r="F10081" s="4">
        <v>3841</v>
      </c>
      <c r="G10081" s="2" t="s">
        <v>226</v>
      </c>
      <c r="H10081" s="2" t="s">
        <v>34</v>
      </c>
      <c r="I10081" s="2" t="s">
        <v>29508</v>
      </c>
      <c r="J10081" s="2" t="s">
        <v>29509</v>
      </c>
      <c r="K10081" s="2" t="s">
        <v>226</v>
      </c>
      <c r="L10081" s="2" t="s">
        <v>303</v>
      </c>
      <c r="M10081" s="2"/>
      <c r="N10081" s="2"/>
      <c r="O10081" s="2"/>
      <c r="P10081" s="2" t="s">
        <v>29510</v>
      </c>
      <c r="Q10081" s="6">
        <v>100</v>
      </c>
      <c r="R10081" s="6">
        <v>8.5500000000000007</v>
      </c>
      <c r="S10081" s="5">
        <v>1.6</v>
      </c>
      <c r="T10081" s="7">
        <v>8.5719999999999992</v>
      </c>
      <c r="U10081" s="5">
        <v>3.2</v>
      </c>
      <c r="V10081" s="6">
        <v>0.17</v>
      </c>
      <c r="W10081" s="6">
        <v>5.33</v>
      </c>
      <c r="X10081" s="4">
        <v>6</v>
      </c>
      <c r="Y10081" s="6">
        <v>5.69</v>
      </c>
      <c r="Z10081" s="5">
        <v>8.4</v>
      </c>
      <c r="AA10081" s="6">
        <v>9.6199999999999992</v>
      </c>
      <c r="AB10081" s="7">
        <v>15.183</v>
      </c>
      <c r="AC10081" s="6">
        <v>33.130000000000003</v>
      </c>
    </row>
    <row r="10082" spans="1:29" ht="156" x14ac:dyDescent="0.15">
      <c r="A10082" s="3">
        <f>DATE(2011,9,29)</f>
        <v>40815</v>
      </c>
      <c r="B10082" s="3">
        <f>DATE(2012,5,1)</f>
        <v>41030</v>
      </c>
      <c r="C10082" s="2" t="s">
        <v>95</v>
      </c>
      <c r="D10082" s="2" t="s">
        <v>29511</v>
      </c>
      <c r="E10082" s="2" t="s">
        <v>124</v>
      </c>
      <c r="F10082" s="4">
        <v>6351</v>
      </c>
      <c r="G10082" s="2" t="s">
        <v>125</v>
      </c>
      <c r="H10082" s="2" t="s">
        <v>34</v>
      </c>
      <c r="I10082" s="2" t="s">
        <v>12136</v>
      </c>
      <c r="J10082" s="2" t="s">
        <v>12137</v>
      </c>
      <c r="K10082" s="2" t="s">
        <v>125</v>
      </c>
      <c r="L10082" s="2" t="s">
        <v>34</v>
      </c>
      <c r="M10082" s="2"/>
      <c r="N10082" s="2"/>
      <c r="O10082" s="2"/>
      <c r="P10082" s="2" t="s">
        <v>29512</v>
      </c>
      <c r="Q10082" s="6">
        <v>93.67</v>
      </c>
      <c r="R10082" s="6">
        <v>60</v>
      </c>
      <c r="S10082" s="5">
        <v>48.7</v>
      </c>
      <c r="T10082" s="7">
        <v>72.278000000000006</v>
      </c>
      <c r="U10082" s="5">
        <v>24</v>
      </c>
      <c r="V10082" s="6">
        <v>1.77</v>
      </c>
      <c r="W10082" s="6">
        <v>26.76</v>
      </c>
      <c r="X10082" s="6">
        <v>25.33</v>
      </c>
      <c r="Y10082" s="6">
        <v>31.32</v>
      </c>
      <c r="Z10082" s="6">
        <v>31.88</v>
      </c>
      <c r="AA10082" s="6">
        <v>27.17</v>
      </c>
      <c r="AB10082" s="7">
        <v>29.489000000000001</v>
      </c>
      <c r="AC10082" s="5">
        <v>666</v>
      </c>
    </row>
    <row r="10083" spans="1:29" ht="143" x14ac:dyDescent="0.15">
      <c r="A10083" s="3">
        <f>DATE(2011,10,3)</f>
        <v>40819</v>
      </c>
      <c r="B10083" s="3">
        <f>DATE(2011,12,5)</f>
        <v>40882</v>
      </c>
      <c r="C10083" s="2" t="s">
        <v>95</v>
      </c>
      <c r="D10083" s="2" t="s">
        <v>8152</v>
      </c>
      <c r="E10083" s="2" t="s">
        <v>8153</v>
      </c>
      <c r="F10083" s="4">
        <v>2836</v>
      </c>
      <c r="G10083" s="2" t="s">
        <v>130</v>
      </c>
      <c r="H10083" s="2" t="s">
        <v>34</v>
      </c>
      <c r="I10083" s="2" t="s">
        <v>29513</v>
      </c>
      <c r="J10083" s="2" t="s">
        <v>11337</v>
      </c>
      <c r="K10083" s="2" t="s">
        <v>53</v>
      </c>
      <c r="L10083" s="2" t="s">
        <v>34</v>
      </c>
      <c r="M10083" s="2"/>
      <c r="N10083" s="2"/>
      <c r="O10083" s="2"/>
      <c r="P10083" s="2" t="s">
        <v>29514</v>
      </c>
      <c r="Q10083" s="6">
        <v>100</v>
      </c>
      <c r="R10083" s="6">
        <v>33.25</v>
      </c>
      <c r="S10083" s="5">
        <v>167.4</v>
      </c>
      <c r="T10083" s="6">
        <v>320.29000000000002</v>
      </c>
      <c r="U10083" s="5">
        <v>10.5</v>
      </c>
      <c r="V10083" s="6">
        <v>1.45</v>
      </c>
      <c r="W10083" s="5">
        <v>24.7</v>
      </c>
      <c r="X10083" s="5">
        <v>26.6</v>
      </c>
      <c r="Y10083" s="6">
        <v>31.51</v>
      </c>
      <c r="Z10083" s="6">
        <v>32.28</v>
      </c>
      <c r="AA10083" s="6">
        <v>113.9</v>
      </c>
      <c r="AB10083" s="7">
        <v>13.337</v>
      </c>
      <c r="AC10083" s="2"/>
    </row>
    <row r="10084" spans="1:29" ht="130" x14ac:dyDescent="0.15">
      <c r="A10084" s="3">
        <f>DATE(2011,10,4)</f>
        <v>40820</v>
      </c>
      <c r="B10084" s="3">
        <f>DATE(2011,11,18)</f>
        <v>40865</v>
      </c>
      <c r="C10084" s="2" t="s">
        <v>95</v>
      </c>
      <c r="D10084" s="2" t="s">
        <v>29515</v>
      </c>
      <c r="E10084" s="2" t="s">
        <v>29516</v>
      </c>
      <c r="F10084" s="4">
        <v>5945</v>
      </c>
      <c r="G10084" s="2" t="s">
        <v>73</v>
      </c>
      <c r="H10084" s="2" t="s">
        <v>34</v>
      </c>
      <c r="I10084" s="2" t="s">
        <v>29517</v>
      </c>
      <c r="J10084" s="2" t="s">
        <v>29518</v>
      </c>
      <c r="K10084" s="2" t="s">
        <v>76</v>
      </c>
      <c r="L10084" s="2" t="s">
        <v>34</v>
      </c>
      <c r="M10084" s="2"/>
      <c r="N10084" s="2"/>
      <c r="O10084" s="2"/>
      <c r="P10084" s="2" t="s">
        <v>29519</v>
      </c>
      <c r="Q10084" s="6">
        <v>100</v>
      </c>
      <c r="R10084" s="6">
        <v>1.6</v>
      </c>
      <c r="S10084" s="5">
        <v>-33.4</v>
      </c>
      <c r="T10084" s="7">
        <v>-14.914999999999999</v>
      </c>
      <c r="U10084" s="5">
        <v>4.0999999999999996</v>
      </c>
      <c r="V10084" s="6">
        <v>-1.35</v>
      </c>
      <c r="W10084" s="6">
        <v>2.29</v>
      </c>
      <c r="X10084" s="6">
        <v>2.44</v>
      </c>
      <c r="Y10084" s="6">
        <v>2.85</v>
      </c>
      <c r="Z10084" s="6">
        <v>2.93</v>
      </c>
      <c r="AA10084" s="6">
        <v>25.49</v>
      </c>
      <c r="AB10084" s="2" t="s">
        <v>86</v>
      </c>
      <c r="AC10084" s="2"/>
    </row>
    <row r="10085" spans="1:29" ht="91" x14ac:dyDescent="0.15">
      <c r="A10085" s="3">
        <f>DATE(2011,10,7)</f>
        <v>40823</v>
      </c>
      <c r="B10085" s="3">
        <f>DATE(2011,11,29)</f>
        <v>40876</v>
      </c>
      <c r="C10085" s="2" t="s">
        <v>95</v>
      </c>
      <c r="D10085" s="2" t="s">
        <v>29520</v>
      </c>
      <c r="E10085" s="2" t="s">
        <v>29521</v>
      </c>
      <c r="F10085" s="4">
        <v>3634</v>
      </c>
      <c r="G10085" s="2" t="s">
        <v>137</v>
      </c>
      <c r="H10085" s="2" t="s">
        <v>34</v>
      </c>
      <c r="I10085" s="2" t="s">
        <v>29522</v>
      </c>
      <c r="J10085" s="2" t="s">
        <v>29521</v>
      </c>
      <c r="K10085" s="2" t="s">
        <v>137</v>
      </c>
      <c r="L10085" s="2" t="s">
        <v>34</v>
      </c>
      <c r="M10085" s="2"/>
      <c r="N10085" s="2"/>
      <c r="O10085" s="2"/>
      <c r="P10085" s="2" t="s">
        <v>29523</v>
      </c>
      <c r="Q10085" s="6">
        <v>80.180000000000007</v>
      </c>
      <c r="R10085" s="6">
        <v>4.25</v>
      </c>
      <c r="S10085" s="5">
        <v>-9.6</v>
      </c>
      <c r="T10085" s="7">
        <v>1.466</v>
      </c>
      <c r="U10085" s="5">
        <v>4.5999999999999996</v>
      </c>
      <c r="V10085" s="6">
        <v>-1.68</v>
      </c>
      <c r="W10085" s="5">
        <v>2.2000000000000002</v>
      </c>
      <c r="X10085" s="4">
        <v>2</v>
      </c>
      <c r="Y10085" s="6">
        <v>4.05</v>
      </c>
      <c r="Z10085" s="6">
        <v>4.05</v>
      </c>
      <c r="AA10085" s="6">
        <v>5.7</v>
      </c>
      <c r="AB10085" s="7">
        <v>193.27</v>
      </c>
      <c r="AC10085" s="2"/>
    </row>
    <row r="10086" spans="1:29" ht="117" x14ac:dyDescent="0.15">
      <c r="A10086" s="3">
        <f>DATE(2011,10,7)</f>
        <v>40823</v>
      </c>
      <c r="B10086" s="3">
        <f>DATE(2011,11,28)</f>
        <v>40875</v>
      </c>
      <c r="C10086" s="2" t="s">
        <v>95</v>
      </c>
      <c r="D10086" s="2" t="s">
        <v>29524</v>
      </c>
      <c r="E10086" s="2" t="s">
        <v>29525</v>
      </c>
      <c r="F10086" s="4">
        <v>3081</v>
      </c>
      <c r="G10086" s="2" t="s">
        <v>447</v>
      </c>
      <c r="H10086" s="2" t="s">
        <v>34</v>
      </c>
      <c r="I10086" s="2" t="s">
        <v>29526</v>
      </c>
      <c r="J10086" s="2" t="s">
        <v>302</v>
      </c>
      <c r="K10086" s="2" t="s">
        <v>53</v>
      </c>
      <c r="L10086" s="2" t="s">
        <v>34</v>
      </c>
      <c r="M10086" s="2"/>
      <c r="N10086" s="2"/>
      <c r="O10086" s="2"/>
      <c r="P10086" s="2" t="s">
        <v>29527</v>
      </c>
      <c r="Q10086" s="6">
        <v>100</v>
      </c>
      <c r="R10086" s="6">
        <v>13.6</v>
      </c>
      <c r="S10086" s="5">
        <v>5.9</v>
      </c>
      <c r="T10086" s="7">
        <v>8.1359999999999992</v>
      </c>
      <c r="U10086" s="5">
        <v>5.8</v>
      </c>
      <c r="V10086" s="6">
        <v>0.8</v>
      </c>
      <c r="W10086" s="5">
        <v>9.6</v>
      </c>
      <c r="X10086" s="6">
        <v>9.3800000000000008</v>
      </c>
      <c r="Y10086" s="6">
        <v>13.49</v>
      </c>
      <c r="Z10086" s="6">
        <v>13.53</v>
      </c>
      <c r="AA10086" s="6">
        <v>5.81</v>
      </c>
      <c r="AB10086" s="7">
        <v>15.807</v>
      </c>
      <c r="AC10086" s="2"/>
    </row>
    <row r="10087" spans="1:29" ht="130" x14ac:dyDescent="0.15">
      <c r="A10087" s="3">
        <f>DATE(2011,10,10)</f>
        <v>40826</v>
      </c>
      <c r="B10087" s="3">
        <f>DATE(2012,2,7)</f>
        <v>40946</v>
      </c>
      <c r="C10087" s="2" t="s">
        <v>95</v>
      </c>
      <c r="D10087" s="2" t="s">
        <v>29528</v>
      </c>
      <c r="E10087" s="2" t="s">
        <v>29529</v>
      </c>
      <c r="F10087" s="4">
        <v>1389</v>
      </c>
      <c r="G10087" s="2" t="s">
        <v>148</v>
      </c>
      <c r="H10087" s="2" t="s">
        <v>34</v>
      </c>
      <c r="I10087" s="2" t="s">
        <v>13127</v>
      </c>
      <c r="J10087" s="2" t="s">
        <v>24590</v>
      </c>
      <c r="K10087" s="2" t="s">
        <v>148</v>
      </c>
      <c r="L10087" s="2" t="s">
        <v>34</v>
      </c>
      <c r="M10087" s="12">
        <v>2723.4540000000002</v>
      </c>
      <c r="N10087" s="6">
        <v>23.63</v>
      </c>
      <c r="O10087" s="6">
        <v>23.52</v>
      </c>
      <c r="P10087" s="2" t="s">
        <v>29530</v>
      </c>
      <c r="Q10087" s="6">
        <v>100</v>
      </c>
      <c r="R10087" s="6">
        <v>32.9</v>
      </c>
      <c r="S10087" s="5">
        <v>190.7</v>
      </c>
      <c r="T10087" s="7">
        <v>550.13400000000001</v>
      </c>
      <c r="U10087" s="5">
        <v>12.6</v>
      </c>
      <c r="V10087" s="6">
        <v>2.39</v>
      </c>
      <c r="W10087" s="6">
        <v>16.97</v>
      </c>
      <c r="X10087" s="6">
        <v>20.38</v>
      </c>
      <c r="Y10087" s="6">
        <v>28.42</v>
      </c>
      <c r="Z10087" s="6">
        <v>28.09</v>
      </c>
      <c r="AA10087" s="6">
        <v>79.290000000000006</v>
      </c>
      <c r="AB10087" s="7">
        <v>8.58</v>
      </c>
      <c r="AC10087" s="6">
        <v>433.77</v>
      </c>
    </row>
    <row r="10088" spans="1:29" ht="117" x14ac:dyDescent="0.15">
      <c r="A10088" s="3">
        <f>DATE(2011,10,11)</f>
        <v>40827</v>
      </c>
      <c r="B10088" s="3">
        <f>DATE(2011,11,21)</f>
        <v>40868</v>
      </c>
      <c r="C10088" s="2" t="s">
        <v>95</v>
      </c>
      <c r="D10088" s="2" t="s">
        <v>29531</v>
      </c>
      <c r="E10088" s="2" t="s">
        <v>29532</v>
      </c>
      <c r="F10088" s="4">
        <v>7372</v>
      </c>
      <c r="G10088" s="2" t="s">
        <v>551</v>
      </c>
      <c r="H10088" s="2" t="s">
        <v>34</v>
      </c>
      <c r="I10088" s="2" t="s">
        <v>29533</v>
      </c>
      <c r="J10088" s="2" t="s">
        <v>26077</v>
      </c>
      <c r="K10088" s="2" t="s">
        <v>921</v>
      </c>
      <c r="L10088" s="2" t="s">
        <v>34</v>
      </c>
      <c r="M10088" s="2"/>
      <c r="N10088" s="2"/>
      <c r="O10088" s="2"/>
      <c r="P10088" s="2" t="s">
        <v>29534</v>
      </c>
      <c r="Q10088" s="6">
        <v>95.15</v>
      </c>
      <c r="R10088" s="6">
        <v>2.2400000000000002</v>
      </c>
      <c r="S10088" s="5">
        <v>-35.200000000000003</v>
      </c>
      <c r="T10088" s="7">
        <v>-27.536999999999999</v>
      </c>
      <c r="U10088" s="5">
        <v>1.6</v>
      </c>
      <c r="V10088" s="6">
        <v>-0.5</v>
      </c>
      <c r="W10088" s="6">
        <v>1.24</v>
      </c>
      <c r="X10088" s="6">
        <v>1.27</v>
      </c>
      <c r="Y10088" s="6">
        <v>2.2200000000000002</v>
      </c>
      <c r="Z10088" s="6">
        <v>2.2599999999999998</v>
      </c>
      <c r="AA10088" s="6">
        <v>70.61</v>
      </c>
      <c r="AB10088" s="2" t="s">
        <v>86</v>
      </c>
      <c r="AC10088" s="2"/>
    </row>
    <row r="10089" spans="1:29" ht="221" x14ac:dyDescent="0.15">
      <c r="A10089" s="3">
        <f>DATE(2011,10,11)</f>
        <v>40827</v>
      </c>
      <c r="B10089" s="3">
        <f>DATE(2012,1,13)</f>
        <v>40921</v>
      </c>
      <c r="C10089" s="2" t="s">
        <v>95</v>
      </c>
      <c r="D10089" s="2" t="s">
        <v>11528</v>
      </c>
      <c r="E10089" s="2" t="s">
        <v>11529</v>
      </c>
      <c r="F10089" s="4">
        <v>5331</v>
      </c>
      <c r="G10089" s="2" t="s">
        <v>756</v>
      </c>
      <c r="H10089" s="2" t="s">
        <v>34</v>
      </c>
      <c r="I10089" s="2" t="s">
        <v>51</v>
      </c>
      <c r="J10089" s="2" t="s">
        <v>52</v>
      </c>
      <c r="K10089" s="2" t="s">
        <v>53</v>
      </c>
      <c r="L10089" s="2" t="s">
        <v>902</v>
      </c>
      <c r="M10089" s="2"/>
      <c r="N10089" s="6">
        <v>13.94</v>
      </c>
      <c r="O10089" s="6">
        <v>13.79</v>
      </c>
      <c r="P10089" s="2" t="s">
        <v>29535</v>
      </c>
      <c r="Q10089" s="6">
        <v>100</v>
      </c>
      <c r="R10089" s="6">
        <v>22</v>
      </c>
      <c r="S10089" s="2"/>
      <c r="T10089" s="2"/>
      <c r="U10089" s="5">
        <v>10.199999999999999</v>
      </c>
      <c r="V10089" s="2"/>
      <c r="W10089" s="6">
        <v>16.260000000000002</v>
      </c>
      <c r="X10089" s="6">
        <v>16.68</v>
      </c>
      <c r="Y10089" s="6">
        <v>19.579999999999998</v>
      </c>
      <c r="Z10089" s="6">
        <v>19.66</v>
      </c>
      <c r="AA10089" s="6">
        <v>70.540000000000006</v>
      </c>
      <c r="AB10089" s="2" t="s">
        <v>47</v>
      </c>
      <c r="AC10089" s="2"/>
    </row>
    <row r="10090" spans="1:29" ht="130" x14ac:dyDescent="0.15">
      <c r="A10090" s="3">
        <f>DATE(2011,10,16)</f>
        <v>40832</v>
      </c>
      <c r="B10090" s="3">
        <f>DATE(2012,5,25)</f>
        <v>41054</v>
      </c>
      <c r="C10090" s="2" t="s">
        <v>95</v>
      </c>
      <c r="D10090" s="2" t="s">
        <v>29536</v>
      </c>
      <c r="E10090" s="2" t="s">
        <v>4880</v>
      </c>
      <c r="F10090" s="4">
        <v>4922</v>
      </c>
      <c r="G10090" s="2" t="s">
        <v>439</v>
      </c>
      <c r="H10090" s="2" t="s">
        <v>34</v>
      </c>
      <c r="I10090" s="2" t="s">
        <v>24147</v>
      </c>
      <c r="J10090" s="2" t="s">
        <v>27469</v>
      </c>
      <c r="K10090" s="2" t="s">
        <v>439</v>
      </c>
      <c r="L10090" s="2" t="s">
        <v>34</v>
      </c>
      <c r="M10090" s="12">
        <v>17813.422999999999</v>
      </c>
      <c r="N10090" s="6">
        <v>28.19</v>
      </c>
      <c r="O10090" s="6">
        <v>28.19</v>
      </c>
      <c r="P10090" s="2" t="s">
        <v>29537</v>
      </c>
      <c r="Q10090" s="6">
        <v>100</v>
      </c>
      <c r="R10090" s="6">
        <v>25.91</v>
      </c>
      <c r="S10090" s="5">
        <v>27</v>
      </c>
      <c r="T10090" s="8">
        <v>2595</v>
      </c>
      <c r="U10090" s="5">
        <v>5.7</v>
      </c>
      <c r="V10090" s="6">
        <v>0.04</v>
      </c>
      <c r="W10090" s="6">
        <v>18.36</v>
      </c>
      <c r="X10090" s="6">
        <v>19.59</v>
      </c>
      <c r="Y10090" s="6">
        <v>24.45</v>
      </c>
      <c r="Z10090" s="6">
        <v>24.45</v>
      </c>
      <c r="AA10090" s="6">
        <v>770.25</v>
      </c>
      <c r="AB10090" s="7">
        <v>21.044</v>
      </c>
      <c r="AC10090" s="5">
        <v>450.9</v>
      </c>
    </row>
    <row r="10091" spans="1:29" ht="78" x14ac:dyDescent="0.15">
      <c r="A10091" s="3">
        <f>DATE(2011,10,17)</f>
        <v>40833</v>
      </c>
      <c r="B10091" s="3">
        <f>DATE(2011,11,30)</f>
        <v>40877</v>
      </c>
      <c r="C10091" s="2" t="s">
        <v>95</v>
      </c>
      <c r="D10091" s="2" t="s">
        <v>29538</v>
      </c>
      <c r="E10091" s="2" t="s">
        <v>6292</v>
      </c>
      <c r="F10091" s="4">
        <v>2834</v>
      </c>
      <c r="G10091" s="2" t="s">
        <v>130</v>
      </c>
      <c r="H10091" s="2" t="s">
        <v>34</v>
      </c>
      <c r="I10091" s="2" t="s">
        <v>29539</v>
      </c>
      <c r="J10091" s="2" t="s">
        <v>11337</v>
      </c>
      <c r="K10091" s="2" t="s">
        <v>53</v>
      </c>
      <c r="L10091" s="2" t="s">
        <v>34</v>
      </c>
      <c r="M10091" s="2"/>
      <c r="N10091" s="2"/>
      <c r="O10091" s="2"/>
      <c r="P10091" s="2" t="s">
        <v>29540</v>
      </c>
      <c r="Q10091" s="6">
        <v>100</v>
      </c>
      <c r="R10091" s="6">
        <v>3.7</v>
      </c>
      <c r="S10091" s="5">
        <v>-25.6</v>
      </c>
      <c r="T10091" s="7">
        <v>-28.971</v>
      </c>
      <c r="U10091" s="5">
        <v>0.2</v>
      </c>
      <c r="V10091" s="6">
        <v>-0.44</v>
      </c>
      <c r="W10091" s="6">
        <v>1.02</v>
      </c>
      <c r="X10091" s="6">
        <v>1.04</v>
      </c>
      <c r="Y10091" s="6">
        <v>3.65</v>
      </c>
      <c r="Z10091" s="6">
        <v>3.66</v>
      </c>
      <c r="AA10091" s="6">
        <v>57.18</v>
      </c>
      <c r="AB10091" s="2" t="s">
        <v>86</v>
      </c>
      <c r="AC10091" s="2"/>
    </row>
    <row r="10092" spans="1:29" ht="104" x14ac:dyDescent="0.15">
      <c r="A10092" s="3">
        <f>DATE(2011,10,17)</f>
        <v>40833</v>
      </c>
      <c r="B10092" s="3">
        <f>DATE(2011,12,8)</f>
        <v>40885</v>
      </c>
      <c r="C10092" s="2" t="s">
        <v>95</v>
      </c>
      <c r="D10092" s="2" t="s">
        <v>29541</v>
      </c>
      <c r="E10092" s="2" t="s">
        <v>612</v>
      </c>
      <c r="F10092" s="4">
        <v>1311</v>
      </c>
      <c r="G10092" s="2" t="s">
        <v>148</v>
      </c>
      <c r="H10092" s="2" t="s">
        <v>34</v>
      </c>
      <c r="I10092" s="2" t="s">
        <v>29542</v>
      </c>
      <c r="J10092" s="2" t="s">
        <v>19818</v>
      </c>
      <c r="K10092" s="2" t="s">
        <v>148</v>
      </c>
      <c r="L10092" s="2" t="s">
        <v>2823</v>
      </c>
      <c r="M10092" s="12">
        <v>70669.986000000004</v>
      </c>
      <c r="N10092" s="7">
        <v>24.338999999999999</v>
      </c>
      <c r="O10092" s="7">
        <v>24.893999999999998</v>
      </c>
      <c r="P10092" s="2" t="s">
        <v>29543</v>
      </c>
      <c r="Q10092" s="6">
        <v>93.5</v>
      </c>
      <c r="R10092" s="6">
        <v>36.5</v>
      </c>
      <c r="S10092" s="5">
        <v>188.7</v>
      </c>
      <c r="T10092" s="7">
        <v>266.22399999999999</v>
      </c>
      <c r="U10092" s="5">
        <v>6.6</v>
      </c>
      <c r="V10092" s="6">
        <v>1.6</v>
      </c>
      <c r="W10092" s="6">
        <v>27.35</v>
      </c>
      <c r="X10092" s="6">
        <v>30.36</v>
      </c>
      <c r="Y10092" s="6">
        <v>36.75</v>
      </c>
      <c r="Z10092" s="6">
        <v>36.51</v>
      </c>
      <c r="AA10092" s="6">
        <v>117.32</v>
      </c>
      <c r="AB10092" s="7">
        <v>27.914999999999999</v>
      </c>
      <c r="AC10092" s="10">
        <v>17067.84</v>
      </c>
    </row>
    <row r="10093" spans="1:29" ht="143" x14ac:dyDescent="0.15">
      <c r="A10093" s="3">
        <f>DATE(2011,10,17)</f>
        <v>40833</v>
      </c>
      <c r="B10093" s="3">
        <f>DATE(2012,3,1)</f>
        <v>40969</v>
      </c>
      <c r="C10093" s="2" t="s">
        <v>95</v>
      </c>
      <c r="D10093" s="2" t="s">
        <v>29544</v>
      </c>
      <c r="E10093" s="2" t="s">
        <v>9653</v>
      </c>
      <c r="F10093" s="4">
        <v>7372</v>
      </c>
      <c r="G10093" s="2" t="s">
        <v>551</v>
      </c>
      <c r="H10093" s="2" t="s">
        <v>34</v>
      </c>
      <c r="I10093" s="2" t="s">
        <v>29545</v>
      </c>
      <c r="J10093" s="2" t="s">
        <v>25964</v>
      </c>
      <c r="K10093" s="2" t="s">
        <v>4563</v>
      </c>
      <c r="L10093" s="2" t="s">
        <v>34</v>
      </c>
      <c r="M10093" s="7">
        <v>12.444000000000001</v>
      </c>
      <c r="N10093" s="7">
        <v>1.425</v>
      </c>
      <c r="O10093" s="6">
        <v>1.39</v>
      </c>
      <c r="P10093" s="2" t="s">
        <v>29546</v>
      </c>
      <c r="Q10093" s="6">
        <v>100</v>
      </c>
      <c r="R10093" s="6">
        <v>2.71</v>
      </c>
      <c r="S10093" s="5">
        <v>12</v>
      </c>
      <c r="T10093" s="7">
        <v>21.003</v>
      </c>
      <c r="U10093" s="5">
        <v>0.4</v>
      </c>
      <c r="V10093" s="6">
        <v>-0.16</v>
      </c>
      <c r="W10093" s="6">
        <v>1.49</v>
      </c>
      <c r="X10093" s="6">
        <v>1.61</v>
      </c>
      <c r="Y10093" s="5">
        <v>1.9</v>
      </c>
      <c r="Z10093" s="5">
        <v>1.9</v>
      </c>
      <c r="AA10093" s="6">
        <v>7.11</v>
      </c>
      <c r="AB10093" s="7">
        <v>0.747</v>
      </c>
      <c r="AC10093" s="6">
        <v>1.64</v>
      </c>
    </row>
    <row r="10094" spans="1:29" ht="39" x14ac:dyDescent="0.15">
      <c r="A10094" s="3">
        <f>DATE(2011,10,19)</f>
        <v>40835</v>
      </c>
      <c r="B10094" s="3">
        <f>DATE(2012,6,15)</f>
        <v>41075</v>
      </c>
      <c r="C10094" s="2" t="s">
        <v>95</v>
      </c>
      <c r="D10094" s="2" t="s">
        <v>26216</v>
      </c>
      <c r="E10094" s="2" t="s">
        <v>29547</v>
      </c>
      <c r="F10094" s="4">
        <v>2015</v>
      </c>
      <c r="G10094" s="2" t="s">
        <v>577</v>
      </c>
      <c r="H10094" s="2" t="s">
        <v>34</v>
      </c>
      <c r="I10094" s="2" t="s">
        <v>1526</v>
      </c>
      <c r="J10094" s="2" t="s">
        <v>302</v>
      </c>
      <c r="K10094" s="2" t="s">
        <v>53</v>
      </c>
      <c r="L10094" s="2" t="s">
        <v>34</v>
      </c>
      <c r="M10094" s="2"/>
      <c r="N10094" s="2"/>
      <c r="O10094" s="2"/>
      <c r="P10094" s="2" t="s">
        <v>29548</v>
      </c>
      <c r="Q10094" s="2"/>
      <c r="R10094" s="2"/>
      <c r="S10094" s="5">
        <v>-9.8000000000000007</v>
      </c>
      <c r="T10094" s="7">
        <v>-8.4960000000000004</v>
      </c>
      <c r="U10094" s="5">
        <v>6.3</v>
      </c>
      <c r="V10094" s="6">
        <v>-2.11</v>
      </c>
      <c r="W10094" s="6">
        <v>3.95</v>
      </c>
      <c r="X10094" s="6">
        <v>3.95</v>
      </c>
      <c r="Y10094" s="6">
        <v>4.05</v>
      </c>
      <c r="Z10094" s="6">
        <v>4.05</v>
      </c>
      <c r="AA10094" s="6">
        <v>4.62</v>
      </c>
      <c r="AB10094" s="2" t="s">
        <v>86</v>
      </c>
      <c r="AC10094" s="2"/>
    </row>
    <row r="10095" spans="1:29" ht="78" x14ac:dyDescent="0.15">
      <c r="A10095" s="3">
        <f>DATE(2011,10,21)</f>
        <v>40837</v>
      </c>
      <c r="B10095" s="2"/>
      <c r="C10095" s="2" t="s">
        <v>87</v>
      </c>
      <c r="D10095" s="2" t="s">
        <v>29549</v>
      </c>
      <c r="E10095" s="2" t="s">
        <v>24667</v>
      </c>
      <c r="F10095" s="4">
        <v>3711</v>
      </c>
      <c r="G10095" s="2" t="s">
        <v>105</v>
      </c>
      <c r="H10095" s="2" t="s">
        <v>34</v>
      </c>
      <c r="I10095" s="2" t="s">
        <v>13875</v>
      </c>
      <c r="J10095" s="2" t="s">
        <v>13876</v>
      </c>
      <c r="K10095" s="2" t="s">
        <v>105</v>
      </c>
      <c r="L10095" s="2" t="s">
        <v>34</v>
      </c>
      <c r="M10095" s="12">
        <v>2484.8420000000001</v>
      </c>
      <c r="N10095" s="6">
        <v>41.69</v>
      </c>
      <c r="O10095" s="6">
        <v>42.93</v>
      </c>
      <c r="P10095" s="2" t="s">
        <v>29550</v>
      </c>
      <c r="Q10095" s="2"/>
      <c r="R10095" s="2"/>
      <c r="S10095" s="5">
        <v>273.39999999999998</v>
      </c>
      <c r="T10095" s="5">
        <v>657.8</v>
      </c>
      <c r="U10095" s="5">
        <v>17.5</v>
      </c>
      <c r="V10095" s="6">
        <v>2.99</v>
      </c>
      <c r="W10095" s="6">
        <v>19.059999999999999</v>
      </c>
      <c r="X10095" s="5">
        <v>18.399999999999999</v>
      </c>
      <c r="Y10095" s="5">
        <v>19.899999999999999</v>
      </c>
      <c r="Z10095" s="6">
        <v>20.350000000000001</v>
      </c>
      <c r="AA10095" s="6">
        <v>91.18</v>
      </c>
      <c r="AB10095" s="2" t="s">
        <v>47</v>
      </c>
      <c r="AC10095" s="8">
        <v>1068</v>
      </c>
    </row>
    <row r="10096" spans="1:29" ht="117" x14ac:dyDescent="0.15">
      <c r="A10096" s="3">
        <f t="shared" ref="A10096:A10101" si="177">DATE(2011,10,24)</f>
        <v>40840</v>
      </c>
      <c r="B10096" s="3">
        <f>DATE(2011,12,12)</f>
        <v>40889</v>
      </c>
      <c r="C10096" s="2" t="s">
        <v>95</v>
      </c>
      <c r="D10096" s="2" t="s">
        <v>29551</v>
      </c>
      <c r="E10096" s="2" t="s">
        <v>6292</v>
      </c>
      <c r="F10096" s="4">
        <v>2836</v>
      </c>
      <c r="G10096" s="2" t="s">
        <v>130</v>
      </c>
      <c r="H10096" s="2" t="s">
        <v>34</v>
      </c>
      <c r="I10096" s="2" t="s">
        <v>29552</v>
      </c>
      <c r="J10096" s="2" t="s">
        <v>6292</v>
      </c>
      <c r="K10096" s="2" t="s">
        <v>223</v>
      </c>
      <c r="L10096" s="2" t="s">
        <v>34</v>
      </c>
      <c r="M10096" s="2"/>
      <c r="N10096" s="2"/>
      <c r="O10096" s="2"/>
      <c r="P10096" s="2" t="s">
        <v>29553</v>
      </c>
      <c r="Q10096" s="6">
        <v>100</v>
      </c>
      <c r="R10096" s="6">
        <v>4.25</v>
      </c>
      <c r="S10096" s="5">
        <v>-3.5</v>
      </c>
      <c r="T10096" s="7">
        <v>-4.5780000000000003</v>
      </c>
      <c r="U10096" s="5">
        <v>0.5</v>
      </c>
      <c r="V10096" s="6">
        <v>-7.0000000000000007E-2</v>
      </c>
      <c r="W10096" s="6">
        <v>2.0099999999999998</v>
      </c>
      <c r="X10096" s="6">
        <v>1.92</v>
      </c>
      <c r="Y10096" s="6">
        <v>4.67</v>
      </c>
      <c r="Z10096" s="6">
        <v>4.53</v>
      </c>
      <c r="AA10096" s="6">
        <v>49.26</v>
      </c>
      <c r="AB10096" s="2" t="s">
        <v>86</v>
      </c>
      <c r="AC10096" s="2"/>
    </row>
    <row r="10097" spans="1:29" ht="91" x14ac:dyDescent="0.15">
      <c r="A10097" s="3">
        <f t="shared" si="177"/>
        <v>40840</v>
      </c>
      <c r="B10097" s="2"/>
      <c r="C10097" s="2" t="s">
        <v>30</v>
      </c>
      <c r="D10097" s="2" t="s">
        <v>29554</v>
      </c>
      <c r="E10097" s="2" t="s">
        <v>20370</v>
      </c>
      <c r="F10097" s="4">
        <v>7375</v>
      </c>
      <c r="G10097" s="2" t="s">
        <v>223</v>
      </c>
      <c r="H10097" s="2" t="s">
        <v>34</v>
      </c>
      <c r="I10097" s="2" t="s">
        <v>13251</v>
      </c>
      <c r="J10097" s="2" t="s">
        <v>29555</v>
      </c>
      <c r="K10097" s="2" t="s">
        <v>125</v>
      </c>
      <c r="L10097" s="2" t="s">
        <v>34</v>
      </c>
      <c r="M10097" s="7">
        <v>0.105</v>
      </c>
      <c r="N10097" s="7">
        <v>1E-3</v>
      </c>
      <c r="O10097" s="7">
        <v>1E-3</v>
      </c>
      <c r="P10097" s="2" t="s">
        <v>29556</v>
      </c>
      <c r="Q10097" s="2"/>
      <c r="R10097" s="2"/>
      <c r="S10097" s="5">
        <v>-54.5</v>
      </c>
      <c r="T10097" s="7">
        <v>166.80099999999999</v>
      </c>
      <c r="U10097" s="5">
        <v>13.3</v>
      </c>
      <c r="V10097" s="6">
        <v>0.63</v>
      </c>
      <c r="W10097" s="5">
        <v>7.8</v>
      </c>
      <c r="X10097" s="6">
        <v>8.42</v>
      </c>
      <c r="Y10097" s="6">
        <v>8.7899999999999991</v>
      </c>
      <c r="Z10097" s="6">
        <v>11.35</v>
      </c>
      <c r="AA10097" s="6">
        <v>106.41</v>
      </c>
      <c r="AB10097" s="2" t="s">
        <v>47</v>
      </c>
      <c r="AC10097" s="6">
        <v>630.97</v>
      </c>
    </row>
    <row r="10098" spans="1:29" ht="78" x14ac:dyDescent="0.15">
      <c r="A10098" s="3">
        <f t="shared" si="177"/>
        <v>40840</v>
      </c>
      <c r="B10098" s="3">
        <f>DATE(2012,1,31)</f>
        <v>40939</v>
      </c>
      <c r="C10098" s="2" t="s">
        <v>95</v>
      </c>
      <c r="D10098" s="2" t="s">
        <v>29557</v>
      </c>
      <c r="E10098" s="2" t="s">
        <v>29558</v>
      </c>
      <c r="F10098" s="4">
        <v>6324</v>
      </c>
      <c r="G10098" s="2" t="s">
        <v>125</v>
      </c>
      <c r="H10098" s="2" t="s">
        <v>34</v>
      </c>
      <c r="I10098" s="2" t="s">
        <v>29559</v>
      </c>
      <c r="J10098" s="2" t="s">
        <v>29558</v>
      </c>
      <c r="K10098" s="2" t="s">
        <v>125</v>
      </c>
      <c r="L10098" s="2" t="s">
        <v>34</v>
      </c>
      <c r="M10098" s="2"/>
      <c r="N10098" s="2"/>
      <c r="O10098" s="2"/>
      <c r="P10098" s="2" t="s">
        <v>29560</v>
      </c>
      <c r="Q10098" s="6">
        <v>100</v>
      </c>
      <c r="R10098" s="6">
        <v>55</v>
      </c>
      <c r="S10098" s="5">
        <v>258</v>
      </c>
      <c r="T10098" s="7">
        <v>498.47199999999998</v>
      </c>
      <c r="U10098" s="5">
        <v>24.8</v>
      </c>
      <c r="V10098" s="6">
        <v>4.0599999999999996</v>
      </c>
      <c r="W10098" s="6">
        <v>39.17</v>
      </c>
      <c r="X10098" s="6">
        <v>40.159999999999997</v>
      </c>
      <c r="Y10098" s="6">
        <v>53.71</v>
      </c>
      <c r="Z10098" s="5">
        <v>53.8</v>
      </c>
      <c r="AA10098" s="6">
        <v>67.900000000000006</v>
      </c>
      <c r="AB10098" s="7">
        <v>7.1029999999999998</v>
      </c>
      <c r="AC10098" s="2"/>
    </row>
    <row r="10099" spans="1:29" ht="91" x14ac:dyDescent="0.15">
      <c r="A10099" s="3">
        <f t="shared" si="177"/>
        <v>40840</v>
      </c>
      <c r="B10099" s="2"/>
      <c r="C10099" s="2" t="s">
        <v>30</v>
      </c>
      <c r="D10099" s="2" t="s">
        <v>24879</v>
      </c>
      <c r="E10099" s="2" t="s">
        <v>24880</v>
      </c>
      <c r="F10099" s="4">
        <v>7215</v>
      </c>
      <c r="G10099" s="2" t="s">
        <v>1517</v>
      </c>
      <c r="H10099" s="2" t="s">
        <v>34</v>
      </c>
      <c r="I10099" s="2" t="s">
        <v>29561</v>
      </c>
      <c r="J10099" s="2" t="s">
        <v>244</v>
      </c>
      <c r="K10099" s="2" t="s">
        <v>53</v>
      </c>
      <c r="L10099" s="2" t="s">
        <v>34</v>
      </c>
      <c r="M10099" s="2"/>
      <c r="N10099" s="2"/>
      <c r="O10099" s="2"/>
      <c r="P10099" s="2" t="s">
        <v>29562</v>
      </c>
      <c r="Q10099" s="2"/>
      <c r="R10099" s="6">
        <v>17.5</v>
      </c>
      <c r="S10099" s="5">
        <v>2.5</v>
      </c>
      <c r="T10099" s="6">
        <v>64.53</v>
      </c>
      <c r="U10099" s="5">
        <v>7.9</v>
      </c>
      <c r="V10099" s="6">
        <v>0.16</v>
      </c>
      <c r="W10099" s="6">
        <v>12.53</v>
      </c>
      <c r="X10099" s="6">
        <v>13.15</v>
      </c>
      <c r="Y10099" s="6">
        <v>14.35</v>
      </c>
      <c r="Z10099" s="6">
        <v>13.91</v>
      </c>
      <c r="AA10099" s="6">
        <v>16.27</v>
      </c>
      <c r="AB10099" s="7">
        <v>24.922999999999998</v>
      </c>
      <c r="AC10099" s="2"/>
    </row>
    <row r="10100" spans="1:29" ht="78" x14ac:dyDescent="0.15">
      <c r="A10100" s="3">
        <f t="shared" si="177"/>
        <v>40840</v>
      </c>
      <c r="B10100" s="3">
        <f>DATE(2012,1,25)</f>
        <v>40933</v>
      </c>
      <c r="C10100" s="2" t="s">
        <v>95</v>
      </c>
      <c r="D10100" s="2" t="s">
        <v>29563</v>
      </c>
      <c r="E10100" s="2" t="s">
        <v>29564</v>
      </c>
      <c r="F10100" s="4">
        <v>7372</v>
      </c>
      <c r="G10100" s="2" t="s">
        <v>551</v>
      </c>
      <c r="H10100" s="2" t="s">
        <v>34</v>
      </c>
      <c r="I10100" s="2" t="s">
        <v>29565</v>
      </c>
      <c r="J10100" s="2" t="s">
        <v>4679</v>
      </c>
      <c r="K10100" s="2" t="s">
        <v>551</v>
      </c>
      <c r="L10100" s="2" t="s">
        <v>34</v>
      </c>
      <c r="M10100" s="2"/>
      <c r="N10100" s="2"/>
      <c r="O10100" s="2"/>
      <c r="P10100" s="2" t="s">
        <v>29566</v>
      </c>
      <c r="Q10100" s="6">
        <v>100</v>
      </c>
      <c r="R10100" s="6">
        <v>43</v>
      </c>
      <c r="S10100" s="5">
        <v>26.6</v>
      </c>
      <c r="T10100" s="7">
        <v>23.027999999999999</v>
      </c>
      <c r="U10100" s="5">
        <v>2.5</v>
      </c>
      <c r="V10100" s="6">
        <v>0.77</v>
      </c>
      <c r="W10100" s="6">
        <v>38.92</v>
      </c>
      <c r="X10100" s="6">
        <v>35.96</v>
      </c>
      <c r="Y10100" s="6">
        <v>42.94</v>
      </c>
      <c r="Z10100" s="6">
        <v>43.29</v>
      </c>
      <c r="AA10100" s="6">
        <v>32.78</v>
      </c>
      <c r="AB10100" s="7">
        <v>157.727</v>
      </c>
      <c r="AC10100" s="2"/>
    </row>
    <row r="10101" spans="1:29" ht="78" x14ac:dyDescent="0.15">
      <c r="A10101" s="3">
        <f t="shared" si="177"/>
        <v>40840</v>
      </c>
      <c r="B10101" s="2"/>
      <c r="C10101" s="2" t="s">
        <v>30</v>
      </c>
      <c r="D10101" s="2" t="s">
        <v>23930</v>
      </c>
      <c r="E10101" s="2" t="s">
        <v>23931</v>
      </c>
      <c r="F10101" s="4">
        <v>1389</v>
      </c>
      <c r="G10101" s="2" t="s">
        <v>148</v>
      </c>
      <c r="H10101" s="2" t="s">
        <v>34</v>
      </c>
      <c r="I10101" s="2" t="s">
        <v>15697</v>
      </c>
      <c r="J10101" s="2" t="s">
        <v>29567</v>
      </c>
      <c r="K10101" s="2" t="s">
        <v>148</v>
      </c>
      <c r="L10101" s="2" t="s">
        <v>34</v>
      </c>
      <c r="M10101" s="12">
        <v>8765.7690000000002</v>
      </c>
      <c r="N10101" s="4">
        <v>65</v>
      </c>
      <c r="O10101" s="6">
        <v>63.88</v>
      </c>
      <c r="P10101" s="2" t="s">
        <v>29568</v>
      </c>
      <c r="Q10101" s="2"/>
      <c r="R10101" s="6">
        <v>24</v>
      </c>
      <c r="S10101" s="5">
        <v>-141.4</v>
      </c>
      <c r="T10101" s="2"/>
      <c r="U10101" s="5">
        <v>20.7</v>
      </c>
      <c r="V10101" s="6">
        <v>-3.48</v>
      </c>
      <c r="W10101" s="5">
        <v>21.4</v>
      </c>
      <c r="X10101" s="6">
        <v>23.56</v>
      </c>
      <c r="Y10101" s="6">
        <v>28.27</v>
      </c>
      <c r="Z10101" s="4">
        <v>29</v>
      </c>
      <c r="AA10101" s="6">
        <v>41.71</v>
      </c>
      <c r="AB10101" s="2" t="s">
        <v>47</v>
      </c>
      <c r="AC10101" s="5">
        <v>213</v>
      </c>
    </row>
    <row r="10102" spans="1:29" ht="130" x14ac:dyDescent="0.15">
      <c r="A10102" s="3">
        <f>DATE(2011,10,26)</f>
        <v>40842</v>
      </c>
      <c r="B10102" s="2"/>
      <c r="C10102" s="2" t="s">
        <v>87</v>
      </c>
      <c r="D10102" s="2" t="s">
        <v>29569</v>
      </c>
      <c r="E10102" s="2" t="s">
        <v>11805</v>
      </c>
      <c r="F10102" s="4">
        <v>6211</v>
      </c>
      <c r="G10102" s="2" t="s">
        <v>53</v>
      </c>
      <c r="H10102" s="2" t="s">
        <v>34</v>
      </c>
      <c r="I10102" s="2" t="s">
        <v>143</v>
      </c>
      <c r="J10102" s="2" t="s">
        <v>144</v>
      </c>
      <c r="K10102" s="2" t="s">
        <v>53</v>
      </c>
      <c r="L10102" s="2" t="s">
        <v>139</v>
      </c>
      <c r="M10102" s="2"/>
      <c r="N10102" s="2"/>
      <c r="O10102" s="2"/>
      <c r="P10102" s="2" t="s">
        <v>29570</v>
      </c>
      <c r="Q10102" s="2"/>
      <c r="R10102" s="2"/>
      <c r="S10102" s="5">
        <v>-224.5</v>
      </c>
      <c r="T10102" s="7">
        <v>-46.612000000000002</v>
      </c>
      <c r="U10102" s="5">
        <v>7.3</v>
      </c>
      <c r="V10102" s="6">
        <v>-1.47</v>
      </c>
      <c r="W10102" s="6">
        <v>3.79</v>
      </c>
      <c r="X10102" s="6">
        <v>1.86</v>
      </c>
      <c r="Y10102" s="5">
        <v>1.7</v>
      </c>
      <c r="Z10102" s="6">
        <v>1.43</v>
      </c>
      <c r="AA10102" s="6">
        <v>164.89</v>
      </c>
      <c r="AB10102" s="2" t="s">
        <v>86</v>
      </c>
      <c r="AC10102" s="2"/>
    </row>
    <row r="10103" spans="1:29" ht="91" x14ac:dyDescent="0.15">
      <c r="A10103" s="3">
        <f>DATE(2011,10,29)</f>
        <v>40845</v>
      </c>
      <c r="B10103" s="2"/>
      <c r="C10103" s="2" t="s">
        <v>39</v>
      </c>
      <c r="D10103" s="2" t="s">
        <v>18605</v>
      </c>
      <c r="E10103" s="2" t="s">
        <v>147</v>
      </c>
      <c r="F10103" s="4">
        <v>2911</v>
      </c>
      <c r="G10103" s="2" t="s">
        <v>148</v>
      </c>
      <c r="H10103" s="2" t="s">
        <v>34</v>
      </c>
      <c r="I10103" s="2" t="s">
        <v>29571</v>
      </c>
      <c r="J10103" s="2" t="s">
        <v>19818</v>
      </c>
      <c r="K10103" s="2" t="s">
        <v>148</v>
      </c>
      <c r="L10103" s="2" t="s">
        <v>17048</v>
      </c>
      <c r="M10103" s="7">
        <v>54.008000000000003</v>
      </c>
      <c r="N10103" s="7">
        <v>18.023</v>
      </c>
      <c r="O10103" s="7">
        <v>18.023</v>
      </c>
      <c r="P10103" s="2" t="s">
        <v>29572</v>
      </c>
      <c r="Q10103" s="2"/>
      <c r="R10103" s="2"/>
      <c r="S10103" s="8">
        <v>1607</v>
      </c>
      <c r="T10103" s="8">
        <v>5649</v>
      </c>
      <c r="U10103" s="5">
        <v>29.8</v>
      </c>
      <c r="V10103" s="6">
        <v>3.94</v>
      </c>
      <c r="W10103" s="6">
        <v>23.68</v>
      </c>
      <c r="X10103" s="5">
        <v>26.7</v>
      </c>
      <c r="Y10103" s="5">
        <v>24.6</v>
      </c>
      <c r="Z10103" s="5">
        <v>24.6</v>
      </c>
      <c r="AA10103" s="6">
        <v>572.13</v>
      </c>
      <c r="AB10103" s="2" t="s">
        <v>47</v>
      </c>
      <c r="AC10103" s="10">
        <v>6769.83</v>
      </c>
    </row>
    <row r="10104" spans="1:29" ht="65" x14ac:dyDescent="0.15">
      <c r="A10104" s="3">
        <f>DATE(2011,11,1)</f>
        <v>40848</v>
      </c>
      <c r="B10104" s="3">
        <f>DATE(2011,12,14)</f>
        <v>40891</v>
      </c>
      <c r="C10104" s="2" t="s">
        <v>95</v>
      </c>
      <c r="D10104" s="2" t="s">
        <v>29573</v>
      </c>
      <c r="E10104" s="2" t="s">
        <v>29574</v>
      </c>
      <c r="F10104" s="4">
        <v>7373</v>
      </c>
      <c r="G10104" s="2" t="s">
        <v>223</v>
      </c>
      <c r="H10104" s="2" t="s">
        <v>34</v>
      </c>
      <c r="I10104" s="2" t="s">
        <v>29575</v>
      </c>
      <c r="J10104" s="2" t="s">
        <v>29574</v>
      </c>
      <c r="K10104" s="2" t="s">
        <v>223</v>
      </c>
      <c r="L10104" s="2" t="s">
        <v>34</v>
      </c>
      <c r="M10104" s="2"/>
      <c r="N10104" s="2"/>
      <c r="O10104" s="2"/>
      <c r="P10104" s="2" t="s">
        <v>29576</v>
      </c>
      <c r="Q10104" s="6">
        <v>100</v>
      </c>
      <c r="R10104" s="6">
        <v>9</v>
      </c>
      <c r="S10104" s="5">
        <v>4.2</v>
      </c>
      <c r="T10104" s="7">
        <v>10.647</v>
      </c>
      <c r="U10104" s="5">
        <v>1.7</v>
      </c>
      <c r="V10104" s="6">
        <v>0.16</v>
      </c>
      <c r="W10104" s="6">
        <v>6.96</v>
      </c>
      <c r="X10104" s="5">
        <v>7.4</v>
      </c>
      <c r="Y10104" s="6">
        <v>8.94</v>
      </c>
      <c r="Z10104" s="6">
        <v>8.9600000000000009</v>
      </c>
      <c r="AA10104" s="6">
        <v>24.71</v>
      </c>
      <c r="AB10104" s="7">
        <v>22.852</v>
      </c>
      <c r="AC10104" s="2"/>
    </row>
    <row r="10105" spans="1:29" ht="78" x14ac:dyDescent="0.15">
      <c r="A10105" s="3">
        <f>DATE(2011,11,1)</f>
        <v>40848</v>
      </c>
      <c r="B10105" s="3">
        <f>DATE(2011,12,30)</f>
        <v>40907</v>
      </c>
      <c r="C10105" s="2" t="s">
        <v>95</v>
      </c>
      <c r="D10105" s="2" t="s">
        <v>29577</v>
      </c>
      <c r="E10105" s="2" t="s">
        <v>29578</v>
      </c>
      <c r="F10105" s="4">
        <v>7376</v>
      </c>
      <c r="G10105" s="2" t="s">
        <v>223</v>
      </c>
      <c r="H10105" s="2" t="s">
        <v>34</v>
      </c>
      <c r="I10105" s="2" t="s">
        <v>29579</v>
      </c>
      <c r="J10105" s="2" t="s">
        <v>29580</v>
      </c>
      <c r="K10105" s="2" t="s">
        <v>223</v>
      </c>
      <c r="L10105" s="2" t="s">
        <v>34</v>
      </c>
      <c r="M10105" s="2"/>
      <c r="N10105" s="2"/>
      <c r="O10105" s="2"/>
      <c r="P10105" s="2" t="s">
        <v>29581</v>
      </c>
      <c r="Q10105" s="6">
        <v>100</v>
      </c>
      <c r="R10105" s="6">
        <v>8.75</v>
      </c>
      <c r="S10105" s="5">
        <v>0.3</v>
      </c>
      <c r="T10105" s="7">
        <v>3.5579999999999998</v>
      </c>
      <c r="U10105" s="5">
        <v>4.5999999999999996</v>
      </c>
      <c r="V10105" s="6">
        <v>0.01</v>
      </c>
      <c r="W10105" s="6">
        <v>7.87</v>
      </c>
      <c r="X10105" s="6">
        <v>7.55</v>
      </c>
      <c r="Y10105" s="6">
        <v>8.5500000000000007</v>
      </c>
      <c r="Z10105" s="6">
        <v>8.58</v>
      </c>
      <c r="AA10105" s="6">
        <v>9.7100000000000009</v>
      </c>
      <c r="AB10105" s="7">
        <v>132.25200000000001</v>
      </c>
      <c r="AC10105" s="2"/>
    </row>
    <row r="10106" spans="1:29" ht="117" x14ac:dyDescent="0.15">
      <c r="A10106" s="3">
        <f>DATE(2011,11,3)</f>
        <v>40850</v>
      </c>
      <c r="B10106" s="3">
        <f>DATE(2012,1,31)</f>
        <v>40939</v>
      </c>
      <c r="C10106" s="2" t="s">
        <v>95</v>
      </c>
      <c r="D10106" s="2" t="s">
        <v>29582</v>
      </c>
      <c r="E10106" s="2" t="s">
        <v>29583</v>
      </c>
      <c r="F10106" s="4">
        <v>7011</v>
      </c>
      <c r="G10106" s="2" t="s">
        <v>269</v>
      </c>
      <c r="H10106" s="2" t="s">
        <v>34</v>
      </c>
      <c r="I10106" s="2" t="s">
        <v>29584</v>
      </c>
      <c r="J10106" s="2" t="s">
        <v>92</v>
      </c>
      <c r="K10106" s="2" t="s">
        <v>53</v>
      </c>
      <c r="L10106" s="2" t="s">
        <v>34</v>
      </c>
      <c r="M10106" s="2"/>
      <c r="N10106" s="2"/>
      <c r="O10106" s="2"/>
      <c r="P10106" s="2" t="s">
        <v>29585</v>
      </c>
      <c r="Q10106" s="6">
        <v>100</v>
      </c>
      <c r="R10106" s="6">
        <v>31</v>
      </c>
      <c r="S10106" s="5">
        <v>-1.1000000000000001</v>
      </c>
      <c r="T10106" s="7">
        <v>5.585</v>
      </c>
      <c r="U10106" s="5">
        <v>5.9</v>
      </c>
      <c r="V10106" s="6">
        <v>-0.31</v>
      </c>
      <c r="W10106" s="5">
        <v>18.100000000000001</v>
      </c>
      <c r="X10106" s="7">
        <v>21.760999999999999</v>
      </c>
      <c r="Y10106" s="6">
        <v>30.65</v>
      </c>
      <c r="Z10106" s="6">
        <v>30.68</v>
      </c>
      <c r="AA10106" s="6">
        <v>3.7</v>
      </c>
      <c r="AB10106" s="2" t="s">
        <v>86</v>
      </c>
      <c r="AC10106" s="2"/>
    </row>
    <row r="10107" spans="1:29" ht="104" x14ac:dyDescent="0.15">
      <c r="A10107" s="3">
        <f>DATE(2011,11,4)</f>
        <v>40851</v>
      </c>
      <c r="B10107" s="3">
        <f>DATE(2013,1,1)</f>
        <v>41275</v>
      </c>
      <c r="C10107" s="2" t="s">
        <v>95</v>
      </c>
      <c r="D10107" s="2" t="s">
        <v>18192</v>
      </c>
      <c r="E10107" s="2" t="s">
        <v>36</v>
      </c>
      <c r="F10107" s="4">
        <v>6021</v>
      </c>
      <c r="G10107" s="2" t="s">
        <v>37</v>
      </c>
      <c r="H10107" s="2" t="s">
        <v>34</v>
      </c>
      <c r="I10107" s="2" t="s">
        <v>29586</v>
      </c>
      <c r="J10107" s="2" t="s">
        <v>36</v>
      </c>
      <c r="K10107" s="2" t="s">
        <v>37</v>
      </c>
      <c r="L10107" s="2" t="s">
        <v>34</v>
      </c>
      <c r="M10107" s="7">
        <v>51.067999999999998</v>
      </c>
      <c r="N10107" s="5">
        <v>7.1</v>
      </c>
      <c r="O10107" s="6">
        <v>8.35</v>
      </c>
      <c r="P10107" s="2" t="s">
        <v>29587</v>
      </c>
      <c r="Q10107" s="6">
        <v>100</v>
      </c>
      <c r="R10107" s="6">
        <v>9.5</v>
      </c>
      <c r="S10107" s="2"/>
      <c r="T10107" s="2"/>
      <c r="U10107" s="2"/>
      <c r="V10107" s="2"/>
      <c r="W10107" s="6">
        <v>7.05</v>
      </c>
      <c r="X10107" s="6">
        <v>7.35</v>
      </c>
      <c r="Y10107" s="5">
        <v>8.5</v>
      </c>
      <c r="Z10107" s="6">
        <v>8.9499999999999993</v>
      </c>
      <c r="AA10107" s="6">
        <v>1.47</v>
      </c>
      <c r="AB10107" s="2" t="s">
        <v>47</v>
      </c>
      <c r="AC10107" s="2"/>
    </row>
    <row r="10108" spans="1:29" ht="143" x14ac:dyDescent="0.15">
      <c r="A10108" s="3">
        <f>DATE(2011,11,7)</f>
        <v>40854</v>
      </c>
      <c r="B10108" s="3">
        <f>DATE(2012,2,9)</f>
        <v>40948</v>
      </c>
      <c r="C10108" s="2" t="s">
        <v>95</v>
      </c>
      <c r="D10108" s="2" t="s">
        <v>29588</v>
      </c>
      <c r="E10108" s="2" t="s">
        <v>29589</v>
      </c>
      <c r="F10108" s="4">
        <v>8099</v>
      </c>
      <c r="G10108" s="2" t="s">
        <v>454</v>
      </c>
      <c r="H10108" s="2" t="s">
        <v>34</v>
      </c>
      <c r="I10108" s="2" t="s">
        <v>29590</v>
      </c>
      <c r="J10108" s="2" t="s">
        <v>11337</v>
      </c>
      <c r="K10108" s="2" t="s">
        <v>53</v>
      </c>
      <c r="L10108" s="2" t="s">
        <v>34</v>
      </c>
      <c r="M10108" s="2"/>
      <c r="N10108" s="2"/>
      <c r="O10108" s="2"/>
      <c r="P10108" s="2" t="s">
        <v>29591</v>
      </c>
      <c r="Q10108" s="6">
        <v>100</v>
      </c>
      <c r="R10108" s="6">
        <v>19</v>
      </c>
      <c r="S10108" s="5">
        <v>11.3</v>
      </c>
      <c r="T10108" s="7">
        <v>47.335999999999999</v>
      </c>
      <c r="U10108" s="5">
        <v>13.3</v>
      </c>
      <c r="V10108" s="6">
        <v>0.72</v>
      </c>
      <c r="W10108" s="6">
        <v>10.56</v>
      </c>
      <c r="X10108" s="6">
        <v>10.38</v>
      </c>
      <c r="Y10108" s="6">
        <v>18.579999999999998</v>
      </c>
      <c r="Z10108" s="6">
        <v>18.61</v>
      </c>
      <c r="AA10108" s="6">
        <v>15.46</v>
      </c>
      <c r="AB10108" s="7">
        <v>15.443</v>
      </c>
      <c r="AC10108" s="2"/>
    </row>
    <row r="10109" spans="1:29" ht="104" x14ac:dyDescent="0.15">
      <c r="A10109" s="3">
        <f>DATE(2011,11,7)</f>
        <v>40854</v>
      </c>
      <c r="B10109" s="3">
        <f>DATE(2011,12,20)</f>
        <v>40897</v>
      </c>
      <c r="C10109" s="2" t="s">
        <v>95</v>
      </c>
      <c r="D10109" s="2" t="s">
        <v>29592</v>
      </c>
      <c r="E10109" s="2" t="s">
        <v>29593</v>
      </c>
      <c r="F10109" s="4">
        <v>3711</v>
      </c>
      <c r="G10109" s="2" t="s">
        <v>105</v>
      </c>
      <c r="H10109" s="2" t="s">
        <v>34</v>
      </c>
      <c r="I10109" s="2" t="s">
        <v>13819</v>
      </c>
      <c r="J10109" s="2" t="s">
        <v>7077</v>
      </c>
      <c r="K10109" s="2" t="s">
        <v>226</v>
      </c>
      <c r="L10109" s="2" t="s">
        <v>34</v>
      </c>
      <c r="M10109" s="12">
        <v>21965.035</v>
      </c>
      <c r="N10109" s="5">
        <v>64.2</v>
      </c>
      <c r="O10109" s="6">
        <v>65.13</v>
      </c>
      <c r="P10109" s="2" t="s">
        <v>29594</v>
      </c>
      <c r="Q10109" s="6">
        <v>100</v>
      </c>
      <c r="R10109" s="6">
        <v>5.52</v>
      </c>
      <c r="S10109" s="5">
        <v>0.5</v>
      </c>
      <c r="T10109" s="7">
        <v>27.472000000000001</v>
      </c>
      <c r="U10109" s="5">
        <v>4.5999999999999996</v>
      </c>
      <c r="V10109" s="2"/>
      <c r="W10109" s="6">
        <v>3.68</v>
      </c>
      <c r="X10109" s="6">
        <v>4.21</v>
      </c>
      <c r="Y10109" s="5">
        <v>5.5</v>
      </c>
      <c r="Z10109" s="6">
        <v>5.53</v>
      </c>
      <c r="AA10109" s="6">
        <v>70.06</v>
      </c>
      <c r="AB10109" s="7">
        <v>22.585999999999999</v>
      </c>
      <c r="AC10109" s="8">
        <v>1631</v>
      </c>
    </row>
    <row r="10110" spans="1:29" ht="117" x14ac:dyDescent="0.15">
      <c r="A10110" s="3">
        <f>DATE(2011,11,7)</f>
        <v>40854</v>
      </c>
      <c r="B10110" s="3">
        <f>DATE(2012,1,27)</f>
        <v>40935</v>
      </c>
      <c r="C10110" s="2" t="s">
        <v>95</v>
      </c>
      <c r="D10110" s="2" t="s">
        <v>29595</v>
      </c>
      <c r="E10110" s="2" t="s">
        <v>29596</v>
      </c>
      <c r="F10110" s="4">
        <v>3663</v>
      </c>
      <c r="G10110" s="2" t="s">
        <v>921</v>
      </c>
      <c r="H10110" s="2" t="s">
        <v>34</v>
      </c>
      <c r="I10110" s="2" t="s">
        <v>29597</v>
      </c>
      <c r="J10110" s="2" t="s">
        <v>302</v>
      </c>
      <c r="K10110" s="2" t="s">
        <v>53</v>
      </c>
      <c r="L10110" s="2" t="s">
        <v>34</v>
      </c>
      <c r="M10110" s="2"/>
      <c r="N10110" s="2"/>
      <c r="O10110" s="2"/>
      <c r="P10110" s="2" t="s">
        <v>29598</v>
      </c>
      <c r="Q10110" s="6">
        <v>100</v>
      </c>
      <c r="R10110" s="6">
        <v>11</v>
      </c>
      <c r="S10110" s="5">
        <v>-29.7</v>
      </c>
      <c r="T10110" s="7">
        <v>42.082000000000001</v>
      </c>
      <c r="U10110" s="5">
        <v>8.6</v>
      </c>
      <c r="V10110" s="6">
        <v>-0.42</v>
      </c>
      <c r="W10110" s="6">
        <v>9.82</v>
      </c>
      <c r="X10110" s="5">
        <v>9.9</v>
      </c>
      <c r="Y10110" s="6">
        <v>11.29</v>
      </c>
      <c r="Z10110" s="6">
        <v>11.11</v>
      </c>
      <c r="AA10110" s="6">
        <v>69.25</v>
      </c>
      <c r="AB10110" s="2" t="s">
        <v>86</v>
      </c>
      <c r="AC10110" s="2"/>
    </row>
    <row r="10111" spans="1:29" ht="117" x14ac:dyDescent="0.15">
      <c r="A10111" s="3">
        <f>DATE(2011,11,8)</f>
        <v>40855</v>
      </c>
      <c r="B10111" s="3">
        <f>DATE(2012,1,3)</f>
        <v>40911</v>
      </c>
      <c r="C10111" s="2" t="s">
        <v>95</v>
      </c>
      <c r="D10111" s="2" t="s">
        <v>29157</v>
      </c>
      <c r="E10111" s="2" t="s">
        <v>7785</v>
      </c>
      <c r="F10111" s="4">
        <v>5812</v>
      </c>
      <c r="G10111" s="2" t="s">
        <v>230</v>
      </c>
      <c r="H10111" s="2" t="s">
        <v>34</v>
      </c>
      <c r="I10111" s="2" t="s">
        <v>29599</v>
      </c>
      <c r="J10111" s="2" t="s">
        <v>7785</v>
      </c>
      <c r="K10111" s="2" t="s">
        <v>230</v>
      </c>
      <c r="L10111" s="2" t="s">
        <v>34</v>
      </c>
      <c r="M10111" s="2"/>
      <c r="N10111" s="2"/>
      <c r="O10111" s="2"/>
      <c r="P10111" s="2" t="s">
        <v>29600</v>
      </c>
      <c r="Q10111" s="6">
        <v>100</v>
      </c>
      <c r="R10111" s="6">
        <v>8.75</v>
      </c>
      <c r="S10111" s="5">
        <v>-31.2</v>
      </c>
      <c r="T10111" s="7">
        <v>16.411000000000001</v>
      </c>
      <c r="U10111" s="5">
        <v>4.3</v>
      </c>
      <c r="V10111" s="6">
        <v>-2.11</v>
      </c>
      <c r="W10111" s="6">
        <v>6.41</v>
      </c>
      <c r="X10111" s="6">
        <v>6.77</v>
      </c>
      <c r="Y10111" s="6">
        <v>8.6300000000000008</v>
      </c>
      <c r="Z10111" s="6">
        <v>8.6300000000000008</v>
      </c>
      <c r="AA10111" s="6">
        <v>14.89</v>
      </c>
      <c r="AB10111" s="7">
        <v>61.04</v>
      </c>
      <c r="AC10111" s="2"/>
    </row>
    <row r="10112" spans="1:29" ht="65" x14ac:dyDescent="0.15">
      <c r="A10112" s="3">
        <f>DATE(2011,11,10)</f>
        <v>40857</v>
      </c>
      <c r="B10112" s="3">
        <f>DATE(2012,1,30)</f>
        <v>40938</v>
      </c>
      <c r="C10112" s="2" t="s">
        <v>95</v>
      </c>
      <c r="D10112" s="2" t="s">
        <v>29601</v>
      </c>
      <c r="E10112" s="2" t="s">
        <v>29602</v>
      </c>
      <c r="F10112" s="4">
        <v>7371</v>
      </c>
      <c r="G10112" s="2" t="s">
        <v>223</v>
      </c>
      <c r="H10112" s="2" t="s">
        <v>34</v>
      </c>
      <c r="I10112" s="2" t="s">
        <v>29603</v>
      </c>
      <c r="J10112" s="2" t="s">
        <v>29604</v>
      </c>
      <c r="K10112" s="2" t="s">
        <v>1327</v>
      </c>
      <c r="L10112" s="2" t="s">
        <v>34</v>
      </c>
      <c r="M10112" s="2"/>
      <c r="N10112" s="6">
        <v>29.62</v>
      </c>
      <c r="O10112" s="6">
        <v>30.84</v>
      </c>
      <c r="P10112" s="2" t="s">
        <v>29605</v>
      </c>
      <c r="Q10112" s="6">
        <v>100</v>
      </c>
      <c r="R10112" s="6">
        <v>2.4</v>
      </c>
      <c r="S10112" s="5">
        <v>1.7</v>
      </c>
      <c r="T10112" s="7">
        <v>-0.38600000000000001</v>
      </c>
      <c r="U10112" s="5">
        <v>1.2</v>
      </c>
      <c r="V10112" s="6">
        <v>0.21</v>
      </c>
      <c r="W10112" s="6">
        <v>1.1499999999999999</v>
      </c>
      <c r="X10112" s="6">
        <v>1.1299999999999999</v>
      </c>
      <c r="Y10112" s="6">
        <v>1.1499999999999999</v>
      </c>
      <c r="Z10112" s="6">
        <v>2.36</v>
      </c>
      <c r="AA10112" s="6">
        <v>7.89</v>
      </c>
      <c r="AB10112" s="2" t="s">
        <v>86</v>
      </c>
      <c r="AC10112" s="2"/>
    </row>
    <row r="10113" spans="1:29" ht="104" x14ac:dyDescent="0.15">
      <c r="A10113" s="3">
        <f>DATE(2011,11,14)</f>
        <v>40861</v>
      </c>
      <c r="B10113" s="3">
        <f>DATE(2013,4,2)</f>
        <v>41366</v>
      </c>
      <c r="C10113" s="2" t="s">
        <v>95</v>
      </c>
      <c r="D10113" s="2" t="s">
        <v>26936</v>
      </c>
      <c r="E10113" s="2" t="s">
        <v>29606</v>
      </c>
      <c r="F10113" s="4">
        <v>6531</v>
      </c>
      <c r="G10113" s="2" t="s">
        <v>109</v>
      </c>
      <c r="H10113" s="2" t="s">
        <v>34</v>
      </c>
      <c r="I10113" s="2" t="s">
        <v>25091</v>
      </c>
      <c r="J10113" s="2" t="s">
        <v>1072</v>
      </c>
      <c r="K10113" s="2" t="s">
        <v>33</v>
      </c>
      <c r="L10113" s="2" t="s">
        <v>34</v>
      </c>
      <c r="M10113" s="7">
        <v>39.338999999999999</v>
      </c>
      <c r="N10113" s="5">
        <v>0.4</v>
      </c>
      <c r="O10113" s="5">
        <v>0.4</v>
      </c>
      <c r="P10113" s="2" t="s">
        <v>29607</v>
      </c>
      <c r="Q10113" s="6">
        <v>48.88</v>
      </c>
      <c r="R10113" s="6">
        <v>10</v>
      </c>
      <c r="S10113" s="5">
        <v>30.4</v>
      </c>
      <c r="T10113" s="6">
        <v>88.16</v>
      </c>
      <c r="U10113" s="5">
        <v>9.6</v>
      </c>
      <c r="V10113" s="6">
        <v>1.2</v>
      </c>
      <c r="W10113" s="6">
        <v>2.38</v>
      </c>
      <c r="X10113" s="6">
        <v>2.04</v>
      </c>
      <c r="Y10113" s="6">
        <v>2.98</v>
      </c>
      <c r="Z10113" s="6">
        <v>2.87</v>
      </c>
      <c r="AA10113" s="6">
        <v>32.57</v>
      </c>
      <c r="AB10113" s="7">
        <v>9.5510000000000002</v>
      </c>
      <c r="AC10113" s="2"/>
    </row>
    <row r="10114" spans="1:29" ht="117" x14ac:dyDescent="0.15">
      <c r="A10114" s="3">
        <f>DATE(2011,11,16)</f>
        <v>40863</v>
      </c>
      <c r="B10114" s="3">
        <f>DATE(2012,6,11)</f>
        <v>41071</v>
      </c>
      <c r="C10114" s="2" t="s">
        <v>95</v>
      </c>
      <c r="D10114" s="2" t="s">
        <v>29608</v>
      </c>
      <c r="E10114" s="2" t="s">
        <v>1181</v>
      </c>
      <c r="F10114" s="4">
        <v>6021</v>
      </c>
      <c r="G10114" s="2" t="s">
        <v>37</v>
      </c>
      <c r="H10114" s="2" t="s">
        <v>34</v>
      </c>
      <c r="I10114" s="2" t="s">
        <v>29609</v>
      </c>
      <c r="J10114" s="2" t="s">
        <v>1181</v>
      </c>
      <c r="K10114" s="2" t="s">
        <v>37</v>
      </c>
      <c r="L10114" s="2" t="s">
        <v>34</v>
      </c>
      <c r="M10114" s="2"/>
      <c r="N10114" s="2"/>
      <c r="O10114" s="2"/>
      <c r="P10114" s="2" t="s">
        <v>29610</v>
      </c>
      <c r="Q10114" s="6">
        <v>100</v>
      </c>
      <c r="R10114" s="6">
        <v>15</v>
      </c>
      <c r="S10114" s="2"/>
      <c r="T10114" s="2"/>
      <c r="U10114" s="2"/>
      <c r="V10114" s="2"/>
      <c r="W10114" s="5">
        <v>9.1</v>
      </c>
      <c r="X10114" s="5">
        <v>9.1</v>
      </c>
      <c r="Y10114" s="5">
        <v>9.1</v>
      </c>
      <c r="Z10114" s="5">
        <v>13.9</v>
      </c>
      <c r="AA10114" s="6">
        <v>3</v>
      </c>
      <c r="AB10114" s="2" t="s">
        <v>47</v>
      </c>
      <c r="AC10114" s="2"/>
    </row>
    <row r="10115" spans="1:29" ht="104" x14ac:dyDescent="0.15">
      <c r="A10115" s="3">
        <f>DATE(2011,11,17)</f>
        <v>40864</v>
      </c>
      <c r="B10115" s="3">
        <f>DATE(2012,1,25)</f>
        <v>40933</v>
      </c>
      <c r="C10115" s="2" t="s">
        <v>95</v>
      </c>
      <c r="D10115" s="2" t="s">
        <v>29611</v>
      </c>
      <c r="E10115" s="2" t="s">
        <v>29612</v>
      </c>
      <c r="F10115" s="4">
        <v>3829</v>
      </c>
      <c r="G10115" s="2" t="s">
        <v>226</v>
      </c>
      <c r="H10115" s="2" t="s">
        <v>34</v>
      </c>
      <c r="I10115" s="2" t="s">
        <v>9719</v>
      </c>
      <c r="J10115" s="2" t="s">
        <v>3526</v>
      </c>
      <c r="K10115" s="2" t="s">
        <v>137</v>
      </c>
      <c r="L10115" s="2" t="s">
        <v>34</v>
      </c>
      <c r="M10115" s="7">
        <v>329.83499999999998</v>
      </c>
      <c r="N10115" s="6">
        <v>8.52</v>
      </c>
      <c r="O10115" s="6">
        <v>8.4499999999999993</v>
      </c>
      <c r="P10115" s="2" t="s">
        <v>29613</v>
      </c>
      <c r="Q10115" s="6">
        <v>100</v>
      </c>
      <c r="R10115" s="6">
        <v>4.1500000000000004</v>
      </c>
      <c r="S10115" s="5">
        <v>0.6</v>
      </c>
      <c r="T10115" s="7">
        <v>1.3480000000000001</v>
      </c>
      <c r="U10115" s="5">
        <v>2</v>
      </c>
      <c r="V10115" s="6">
        <v>0.14000000000000001</v>
      </c>
      <c r="W10115" s="6">
        <v>2.62</v>
      </c>
      <c r="X10115" s="6">
        <v>2.5499999999999998</v>
      </c>
      <c r="Y10115" s="6">
        <v>4.08</v>
      </c>
      <c r="Z10115" s="6">
        <v>4.08</v>
      </c>
      <c r="AA10115" s="6">
        <v>4.3499999999999996</v>
      </c>
      <c r="AB10115" s="7">
        <v>18.484999999999999</v>
      </c>
      <c r="AC10115" s="6">
        <v>89.17</v>
      </c>
    </row>
    <row r="10116" spans="1:29" ht="104" x14ac:dyDescent="0.15">
      <c r="A10116" s="3">
        <f>DATE(2011,11,21)</f>
        <v>40868</v>
      </c>
      <c r="B10116" s="3">
        <f>DATE(2012,1,17)</f>
        <v>40925</v>
      </c>
      <c r="C10116" s="2" t="s">
        <v>95</v>
      </c>
      <c r="D10116" s="2" t="s">
        <v>29614</v>
      </c>
      <c r="E10116" s="2" t="s">
        <v>14641</v>
      </c>
      <c r="F10116" s="4">
        <v>2834</v>
      </c>
      <c r="G10116" s="2" t="s">
        <v>130</v>
      </c>
      <c r="H10116" s="2" t="s">
        <v>34</v>
      </c>
      <c r="I10116" s="2" t="s">
        <v>29615</v>
      </c>
      <c r="J10116" s="2" t="s">
        <v>540</v>
      </c>
      <c r="K10116" s="2" t="s">
        <v>130</v>
      </c>
      <c r="L10116" s="2" t="s">
        <v>34</v>
      </c>
      <c r="M10116" s="2"/>
      <c r="N10116" s="6">
        <v>36.26</v>
      </c>
      <c r="O10116" s="6">
        <v>38.76</v>
      </c>
      <c r="P10116" s="2" t="s">
        <v>29616</v>
      </c>
      <c r="Q10116" s="6">
        <v>100</v>
      </c>
      <c r="R10116" s="6">
        <v>137</v>
      </c>
      <c r="S10116" s="5">
        <v>-91.2</v>
      </c>
      <c r="T10116" s="7">
        <v>-91.006</v>
      </c>
      <c r="U10116" s="5">
        <v>2</v>
      </c>
      <c r="V10116" s="6">
        <v>-1.25</v>
      </c>
      <c r="W10116" s="6">
        <v>68.930000000000007</v>
      </c>
      <c r="X10116" s="6">
        <v>72.67</v>
      </c>
      <c r="Y10116" s="6">
        <v>134.13999999999999</v>
      </c>
      <c r="Z10116" s="6">
        <v>133.43</v>
      </c>
      <c r="AA10116" s="6">
        <v>75.66</v>
      </c>
      <c r="AB10116" s="2" t="s">
        <v>86</v>
      </c>
      <c r="AC10116" s="2"/>
    </row>
    <row r="10117" spans="1:29" ht="234" x14ac:dyDescent="0.15">
      <c r="A10117" s="3">
        <f>DATE(2011,11,21)</f>
        <v>40868</v>
      </c>
      <c r="B10117" s="3">
        <f>DATE(2012,3,6)</f>
        <v>40974</v>
      </c>
      <c r="C10117" s="2" t="s">
        <v>95</v>
      </c>
      <c r="D10117" s="2" t="s">
        <v>27452</v>
      </c>
      <c r="E10117" s="2" t="s">
        <v>27453</v>
      </c>
      <c r="F10117" s="4">
        <v>6331</v>
      </c>
      <c r="G10117" s="2" t="s">
        <v>125</v>
      </c>
      <c r="H10117" s="2" t="s">
        <v>34</v>
      </c>
      <c r="I10117" s="2" t="s">
        <v>19152</v>
      </c>
      <c r="J10117" s="2" t="s">
        <v>19153</v>
      </c>
      <c r="K10117" s="2" t="s">
        <v>125</v>
      </c>
      <c r="L10117" s="2" t="s">
        <v>34</v>
      </c>
      <c r="M10117" s="10">
        <v>2631.13</v>
      </c>
      <c r="N10117" s="6">
        <v>293.01</v>
      </c>
      <c r="O10117" s="5">
        <v>285.7</v>
      </c>
      <c r="P10117" s="2" t="s">
        <v>29617</v>
      </c>
      <c r="Q10117" s="6">
        <v>100</v>
      </c>
      <c r="R10117" s="6">
        <v>59.79</v>
      </c>
      <c r="S10117" s="5">
        <v>100</v>
      </c>
      <c r="T10117" s="2"/>
      <c r="U10117" s="5">
        <v>69.7</v>
      </c>
      <c r="V10117" s="6">
        <v>1.53</v>
      </c>
      <c r="W10117" s="5">
        <v>45.2</v>
      </c>
      <c r="X10117" s="6">
        <v>44.01</v>
      </c>
      <c r="Y10117" s="6">
        <v>48.19</v>
      </c>
      <c r="Z10117" s="6">
        <v>48.19</v>
      </c>
      <c r="AA10117" s="6">
        <v>61.64</v>
      </c>
      <c r="AB10117" s="7">
        <v>39.479999999999997</v>
      </c>
      <c r="AC10117" s="6">
        <v>90.48</v>
      </c>
    </row>
    <row r="10118" spans="1:29" ht="65" x14ac:dyDescent="0.15">
      <c r="A10118" s="3">
        <f>DATE(2011,11,23)</f>
        <v>40870</v>
      </c>
      <c r="B10118" s="2"/>
      <c r="C10118" s="2" t="s">
        <v>30</v>
      </c>
      <c r="D10118" s="2" t="s">
        <v>29618</v>
      </c>
      <c r="E10118" s="2" t="s">
        <v>1608</v>
      </c>
      <c r="F10118" s="4">
        <v>1311</v>
      </c>
      <c r="G10118" s="2" t="s">
        <v>148</v>
      </c>
      <c r="H10118" s="2" t="s">
        <v>34</v>
      </c>
      <c r="I10118" s="2" t="s">
        <v>29619</v>
      </c>
      <c r="J10118" s="2" t="s">
        <v>1608</v>
      </c>
      <c r="K10118" s="2" t="s">
        <v>148</v>
      </c>
      <c r="L10118" s="2" t="s">
        <v>34</v>
      </c>
      <c r="M10118" s="7">
        <v>163.97499999999999</v>
      </c>
      <c r="N10118" s="5">
        <v>3.7</v>
      </c>
      <c r="O10118" s="5">
        <v>3.7</v>
      </c>
      <c r="P10118" s="2" t="s">
        <v>29620</v>
      </c>
      <c r="Q10118" s="2"/>
      <c r="R10118" s="2"/>
      <c r="S10118" s="5">
        <v>-0.9</v>
      </c>
      <c r="T10118" s="7">
        <v>0.90100000000000002</v>
      </c>
      <c r="U10118" s="5">
        <v>1.1000000000000001</v>
      </c>
      <c r="V10118" s="2"/>
      <c r="W10118" s="6">
        <v>1.54</v>
      </c>
      <c r="X10118" s="6">
        <v>1.48</v>
      </c>
      <c r="Y10118" s="6">
        <v>1.62</v>
      </c>
      <c r="Z10118" s="5">
        <v>1.5</v>
      </c>
      <c r="AA10118" s="6">
        <v>16.149999999999999</v>
      </c>
      <c r="AB10118" s="2" t="s">
        <v>86</v>
      </c>
      <c r="AC10118" s="6">
        <v>7.21</v>
      </c>
    </row>
    <row r="10119" spans="1:29" ht="65" x14ac:dyDescent="0.15">
      <c r="A10119" s="3">
        <f>DATE(2011,11,25)</f>
        <v>40872</v>
      </c>
      <c r="B10119" s="3">
        <f>DATE(2011,11,25)</f>
        <v>40872</v>
      </c>
      <c r="C10119" s="2" t="s">
        <v>95</v>
      </c>
      <c r="D10119" s="2" t="s">
        <v>29621</v>
      </c>
      <c r="E10119" s="2" t="s">
        <v>29622</v>
      </c>
      <c r="F10119" s="4">
        <v>3577</v>
      </c>
      <c r="G10119" s="2" t="s">
        <v>50</v>
      </c>
      <c r="H10119" s="2" t="s">
        <v>34</v>
      </c>
      <c r="I10119" s="2" t="s">
        <v>29623</v>
      </c>
      <c r="J10119" s="2" t="s">
        <v>29624</v>
      </c>
      <c r="K10119" s="2" t="s">
        <v>708</v>
      </c>
      <c r="L10119" s="2" t="s">
        <v>1502</v>
      </c>
      <c r="M10119" s="2"/>
      <c r="N10119" s="7">
        <v>1.855</v>
      </c>
      <c r="O10119" s="7">
        <v>1.758</v>
      </c>
      <c r="P10119" s="2" t="s">
        <v>29625</v>
      </c>
      <c r="Q10119" s="6">
        <v>100</v>
      </c>
      <c r="R10119" s="2"/>
      <c r="S10119" s="5">
        <v>-1.4</v>
      </c>
      <c r="T10119" s="7">
        <v>-0.152</v>
      </c>
      <c r="U10119" s="5">
        <v>-0.3</v>
      </c>
      <c r="V10119" s="9">
        <v>-2.0316999999999998</v>
      </c>
      <c r="W10119" s="6">
        <v>4.96</v>
      </c>
      <c r="X10119" s="6">
        <v>4.96</v>
      </c>
      <c r="Y10119" s="6">
        <v>4.96</v>
      </c>
      <c r="Z10119" s="6">
        <v>4.96</v>
      </c>
      <c r="AA10119" s="2"/>
      <c r="AB10119" s="2" t="s">
        <v>86</v>
      </c>
      <c r="AC10119" s="6">
        <v>15.97</v>
      </c>
    </row>
    <row r="10120" spans="1:29" ht="104" x14ac:dyDescent="0.15">
      <c r="A10120" s="3">
        <f>DATE(2011,11,28)</f>
        <v>40875</v>
      </c>
      <c r="B10120" s="2"/>
      <c r="C10120" s="2" t="s">
        <v>30</v>
      </c>
      <c r="D10120" s="2" t="s">
        <v>29626</v>
      </c>
      <c r="E10120" s="2" t="s">
        <v>29627</v>
      </c>
      <c r="F10120" s="4">
        <v>3312</v>
      </c>
      <c r="G10120" s="2" t="s">
        <v>163</v>
      </c>
      <c r="H10120" s="2" t="s">
        <v>34</v>
      </c>
      <c r="I10120" s="2" t="s">
        <v>27984</v>
      </c>
      <c r="J10120" s="2" t="s">
        <v>27985</v>
      </c>
      <c r="K10120" s="2" t="s">
        <v>53</v>
      </c>
      <c r="L10120" s="2" t="s">
        <v>34</v>
      </c>
      <c r="M10120" s="12">
        <v>3759.165</v>
      </c>
      <c r="N10120" s="13">
        <v>0</v>
      </c>
      <c r="O10120" s="13">
        <v>0</v>
      </c>
      <c r="P10120" s="2" t="s">
        <v>29628</v>
      </c>
      <c r="Q10120" s="2"/>
      <c r="R10120" s="6">
        <v>15</v>
      </c>
      <c r="S10120" s="5">
        <v>-129.6</v>
      </c>
      <c r="T10120" s="7">
        <v>272.86399999999998</v>
      </c>
      <c r="U10120" s="5">
        <v>10</v>
      </c>
      <c r="V10120" s="6">
        <v>-1.1299999999999999</v>
      </c>
      <c r="W10120" s="6">
        <v>12.41</v>
      </c>
      <c r="X10120" s="6">
        <v>11.45</v>
      </c>
      <c r="Y10120" s="6">
        <v>14.17</v>
      </c>
      <c r="Z10120" s="6">
        <v>13.99</v>
      </c>
      <c r="AA10120" s="6">
        <v>115.53</v>
      </c>
      <c r="AB10120" s="7">
        <v>24.215</v>
      </c>
      <c r="AC10120" s="8">
        <v>13216</v>
      </c>
    </row>
    <row r="10121" spans="1:29" ht="117" x14ac:dyDescent="0.15">
      <c r="A10121" s="3">
        <f>DATE(2011,11,29)</f>
        <v>40876</v>
      </c>
      <c r="B10121" s="3">
        <f>DATE(2013,12,9)</f>
        <v>41617</v>
      </c>
      <c r="C10121" s="2" t="s">
        <v>95</v>
      </c>
      <c r="D10121" s="2" t="s">
        <v>25162</v>
      </c>
      <c r="E10121" s="2" t="s">
        <v>5422</v>
      </c>
      <c r="F10121" s="4">
        <v>4512</v>
      </c>
      <c r="G10121" s="2" t="s">
        <v>59</v>
      </c>
      <c r="H10121" s="2" t="s">
        <v>34</v>
      </c>
      <c r="I10121" s="2" t="s">
        <v>1526</v>
      </c>
      <c r="J10121" s="2" t="s">
        <v>302</v>
      </c>
      <c r="K10121" s="2" t="s">
        <v>53</v>
      </c>
      <c r="L10121" s="2" t="s">
        <v>34</v>
      </c>
      <c r="M10121" s="2"/>
      <c r="N10121" s="2"/>
      <c r="O10121" s="2"/>
      <c r="P10121" s="2" t="s">
        <v>29629</v>
      </c>
      <c r="Q10121" s="6">
        <v>72</v>
      </c>
      <c r="R10121" s="2"/>
      <c r="S10121" s="5">
        <v>-982</v>
      </c>
      <c r="T10121" s="8">
        <v>1152</v>
      </c>
      <c r="U10121" s="5">
        <v>-14.4</v>
      </c>
      <c r="V10121" s="6">
        <v>-2.93</v>
      </c>
      <c r="W10121" s="6">
        <v>1.65</v>
      </c>
      <c r="X10121" s="6">
        <v>1.62</v>
      </c>
      <c r="Y10121" s="6">
        <v>0.26</v>
      </c>
      <c r="Z10121" s="6">
        <v>0.32</v>
      </c>
      <c r="AA10121" s="6">
        <v>335.23</v>
      </c>
      <c r="AB10121" s="2" t="s">
        <v>47</v>
      </c>
      <c r="AC10121" s="2"/>
    </row>
    <row r="10122" spans="1:29" ht="78" x14ac:dyDescent="0.15">
      <c r="A10122" s="3">
        <f>DATE(2011,11,30)</f>
        <v>40877</v>
      </c>
      <c r="B10122" s="3">
        <f>DATE(2012,2,22)</f>
        <v>40961</v>
      </c>
      <c r="C10122" s="2" t="s">
        <v>95</v>
      </c>
      <c r="D10122" s="2" t="s">
        <v>29630</v>
      </c>
      <c r="E10122" s="2" t="s">
        <v>2347</v>
      </c>
      <c r="F10122" s="4">
        <v>7372</v>
      </c>
      <c r="G10122" s="2" t="s">
        <v>551</v>
      </c>
      <c r="H10122" s="2" t="s">
        <v>34</v>
      </c>
      <c r="I10122" s="2" t="s">
        <v>9138</v>
      </c>
      <c r="J10122" s="2" t="s">
        <v>9139</v>
      </c>
      <c r="K10122" s="2" t="s">
        <v>551</v>
      </c>
      <c r="L10122" s="2" t="s">
        <v>34</v>
      </c>
      <c r="M10122" s="12">
        <v>3833.2660000000001</v>
      </c>
      <c r="N10122" s="6">
        <v>27.97</v>
      </c>
      <c r="O10122" s="5">
        <v>27.5</v>
      </c>
      <c r="P10122" s="2" t="s">
        <v>29631</v>
      </c>
      <c r="Q10122" s="6">
        <v>100</v>
      </c>
      <c r="R10122" s="6">
        <v>7.35</v>
      </c>
      <c r="S10122" s="5">
        <v>5.6</v>
      </c>
      <c r="T10122" s="7">
        <v>14.459</v>
      </c>
      <c r="U10122" s="2"/>
      <c r="V10122" s="6">
        <v>0.1</v>
      </c>
      <c r="W10122" s="6">
        <v>5.32</v>
      </c>
      <c r="X10122" s="6">
        <v>5.55</v>
      </c>
      <c r="Y10122" s="6">
        <v>5.72</v>
      </c>
      <c r="Z10122" s="6">
        <v>7.13</v>
      </c>
      <c r="AA10122" s="6">
        <v>68.45</v>
      </c>
      <c r="AB10122" s="7">
        <v>59.444000000000003</v>
      </c>
      <c r="AC10122" s="10">
        <v>1006.24</v>
      </c>
    </row>
    <row r="10123" spans="1:29" ht="130" x14ac:dyDescent="0.15">
      <c r="A10123" s="3">
        <f>DATE(2011,12,3)</f>
        <v>40880</v>
      </c>
      <c r="B10123" s="3">
        <f>DATE(2012,2,23)</f>
        <v>40962</v>
      </c>
      <c r="C10123" s="2" t="s">
        <v>95</v>
      </c>
      <c r="D10123" s="2" t="s">
        <v>29632</v>
      </c>
      <c r="E10123" s="2" t="s">
        <v>8587</v>
      </c>
      <c r="F10123" s="4">
        <v>7372</v>
      </c>
      <c r="G10123" s="2" t="s">
        <v>551</v>
      </c>
      <c r="H10123" s="2" t="s">
        <v>34</v>
      </c>
      <c r="I10123" s="2" t="s">
        <v>29633</v>
      </c>
      <c r="J10123" s="2" t="s">
        <v>18230</v>
      </c>
      <c r="K10123" s="2" t="s">
        <v>551</v>
      </c>
      <c r="L10123" s="2" t="s">
        <v>34</v>
      </c>
      <c r="M10123" s="2"/>
      <c r="N10123" s="2"/>
      <c r="O10123" s="2"/>
      <c r="P10123" s="2" t="s">
        <v>29634</v>
      </c>
      <c r="Q10123" s="6">
        <v>100</v>
      </c>
      <c r="R10123" s="6">
        <v>40</v>
      </c>
      <c r="S10123" s="5">
        <v>-34.799999999999997</v>
      </c>
      <c r="T10123" s="6">
        <v>-27.17</v>
      </c>
      <c r="U10123" s="5">
        <v>4.8</v>
      </c>
      <c r="V10123" s="6">
        <v>-0.44</v>
      </c>
      <c r="W10123" s="6">
        <v>22.56</v>
      </c>
      <c r="X10123" s="6">
        <v>26.25</v>
      </c>
      <c r="Y10123" s="6">
        <v>39.75</v>
      </c>
      <c r="Z10123" s="6">
        <v>39.75</v>
      </c>
      <c r="AA10123" s="6">
        <v>84.2</v>
      </c>
      <c r="AB10123" s="2" t="s">
        <v>86</v>
      </c>
      <c r="AC10123" s="2"/>
    </row>
    <row r="10124" spans="1:29" ht="156" x14ac:dyDescent="0.15">
      <c r="A10124" s="3">
        <f>DATE(2011,12,6)</f>
        <v>40883</v>
      </c>
      <c r="B10124" s="3">
        <f>DATE(2012,8,3)</f>
        <v>41124</v>
      </c>
      <c r="C10124" s="2" t="s">
        <v>95</v>
      </c>
      <c r="D10124" s="2" t="s">
        <v>23741</v>
      </c>
      <c r="E10124" s="2" t="s">
        <v>29635</v>
      </c>
      <c r="F10124" s="4">
        <v>5621</v>
      </c>
      <c r="G10124" s="2" t="s">
        <v>756</v>
      </c>
      <c r="H10124" s="2" t="s">
        <v>34</v>
      </c>
      <c r="I10124" s="2" t="s">
        <v>11837</v>
      </c>
      <c r="J10124" s="2" t="s">
        <v>244</v>
      </c>
      <c r="K10124" s="2" t="s">
        <v>53</v>
      </c>
      <c r="L10124" s="2" t="s">
        <v>34</v>
      </c>
      <c r="M10124" s="2"/>
      <c r="N10124" s="2"/>
      <c r="O10124" s="2"/>
      <c r="P10124" s="2" t="s">
        <v>29636</v>
      </c>
      <c r="Q10124" s="6">
        <v>90.1</v>
      </c>
      <c r="R10124" s="6">
        <v>2.75</v>
      </c>
      <c r="S10124" s="5">
        <v>-111.5</v>
      </c>
      <c r="T10124" s="6">
        <v>-27.02</v>
      </c>
      <c r="U10124" s="5">
        <v>0.3</v>
      </c>
      <c r="V10124" s="6">
        <v>-1.61</v>
      </c>
      <c r="W10124" s="6">
        <v>1.98</v>
      </c>
      <c r="X10124" s="6">
        <v>1.57</v>
      </c>
      <c r="Y10124" s="6">
        <v>1.56</v>
      </c>
      <c r="Z10124" s="6">
        <v>2.65</v>
      </c>
      <c r="AA10124" s="6">
        <v>70.709999999999994</v>
      </c>
      <c r="AB10124" s="2" t="s">
        <v>86</v>
      </c>
      <c r="AC10124" s="2"/>
    </row>
    <row r="10125" spans="1:29" ht="91" x14ac:dyDescent="0.15">
      <c r="A10125" s="3">
        <f>DATE(2011,12,8)</f>
        <v>40885</v>
      </c>
      <c r="B10125" s="3">
        <f>DATE(2012,2,15)</f>
        <v>40954</v>
      </c>
      <c r="C10125" s="2" t="s">
        <v>95</v>
      </c>
      <c r="D10125" s="2" t="s">
        <v>29637</v>
      </c>
      <c r="E10125" s="2" t="s">
        <v>29638</v>
      </c>
      <c r="F10125" s="4">
        <v>7372</v>
      </c>
      <c r="G10125" s="2" t="s">
        <v>551</v>
      </c>
      <c r="H10125" s="2" t="s">
        <v>34</v>
      </c>
      <c r="I10125" s="2" t="s">
        <v>29639</v>
      </c>
      <c r="J10125" s="2" t="s">
        <v>1464</v>
      </c>
      <c r="K10125" s="2" t="s">
        <v>223</v>
      </c>
      <c r="L10125" s="2" t="s">
        <v>34</v>
      </c>
      <c r="M10125" s="2"/>
      <c r="N10125" s="2"/>
      <c r="O10125" s="2"/>
      <c r="P10125" s="2" t="s">
        <v>29640</v>
      </c>
      <c r="Q10125" s="6">
        <v>100</v>
      </c>
      <c r="R10125" s="6">
        <v>13.2</v>
      </c>
      <c r="S10125" s="5">
        <v>-19.3</v>
      </c>
      <c r="T10125" s="7">
        <v>-8.3249999999999993</v>
      </c>
      <c r="U10125" s="5">
        <v>1.6</v>
      </c>
      <c r="V10125" s="6">
        <v>-0.59</v>
      </c>
      <c r="W10125" s="6">
        <v>7.65</v>
      </c>
      <c r="X10125" s="6">
        <v>8.43</v>
      </c>
      <c r="Y10125" s="6">
        <v>13.15</v>
      </c>
      <c r="Z10125" s="6">
        <v>13.12</v>
      </c>
      <c r="AA10125" s="6">
        <v>33.29</v>
      </c>
      <c r="AB10125" s="2" t="s">
        <v>86</v>
      </c>
      <c r="AC10125" s="2"/>
    </row>
    <row r="10126" spans="1:29" ht="156" x14ac:dyDescent="0.15">
      <c r="A10126" s="3">
        <f>DATE(2011,12,9)</f>
        <v>40886</v>
      </c>
      <c r="B10126" s="3">
        <f>DATE(2012,2,15)</f>
        <v>40954</v>
      </c>
      <c r="C10126" s="2" t="s">
        <v>95</v>
      </c>
      <c r="D10126" s="2" t="s">
        <v>26645</v>
      </c>
      <c r="E10126" s="2" t="s">
        <v>26646</v>
      </c>
      <c r="F10126" s="4">
        <v>3572</v>
      </c>
      <c r="G10126" s="2" t="s">
        <v>50</v>
      </c>
      <c r="H10126" s="2" t="s">
        <v>34</v>
      </c>
      <c r="I10126" s="2" t="s">
        <v>29641</v>
      </c>
      <c r="J10126" s="2" t="s">
        <v>11337</v>
      </c>
      <c r="K10126" s="2" t="s">
        <v>53</v>
      </c>
      <c r="L10126" s="2" t="s">
        <v>34</v>
      </c>
      <c r="M10126" s="2"/>
      <c r="N10126" s="2"/>
      <c r="O10126" s="2"/>
      <c r="P10126" s="2" t="s">
        <v>29642</v>
      </c>
      <c r="Q10126" s="6">
        <v>100</v>
      </c>
      <c r="R10126" s="6">
        <v>25.81</v>
      </c>
      <c r="S10126" s="5">
        <v>28.3</v>
      </c>
      <c r="T10126" s="7">
        <v>67.397999999999996</v>
      </c>
      <c r="U10126" s="5">
        <v>10.6</v>
      </c>
      <c r="V10126" s="6">
        <v>0.57999999999999996</v>
      </c>
      <c r="W10126" s="6">
        <v>17.809999999999999</v>
      </c>
      <c r="X10126" s="6">
        <v>17.48</v>
      </c>
      <c r="Y10126" s="6">
        <v>25.11</v>
      </c>
      <c r="Z10126" s="6">
        <v>25.15</v>
      </c>
      <c r="AA10126" s="6">
        <v>42.8</v>
      </c>
      <c r="AB10126" s="7">
        <v>23.858000000000001</v>
      </c>
      <c r="AC10126" s="2"/>
    </row>
    <row r="10127" spans="1:29" ht="117" x14ac:dyDescent="0.15">
      <c r="A10127" s="3">
        <f>DATE(2011,12,9)</f>
        <v>40886</v>
      </c>
      <c r="B10127" s="3">
        <f>DATE(2013,1,1)</f>
        <v>41275</v>
      </c>
      <c r="C10127" s="2" t="s">
        <v>95</v>
      </c>
      <c r="D10127" s="2" t="s">
        <v>15181</v>
      </c>
      <c r="E10127" s="2" t="s">
        <v>36</v>
      </c>
      <c r="F10127" s="4">
        <v>6021</v>
      </c>
      <c r="G10127" s="2" t="s">
        <v>37</v>
      </c>
      <c r="H10127" s="2" t="s">
        <v>34</v>
      </c>
      <c r="I10127" s="2" t="s">
        <v>23531</v>
      </c>
      <c r="J10127" s="2" t="s">
        <v>36</v>
      </c>
      <c r="K10127" s="2" t="s">
        <v>37</v>
      </c>
      <c r="L10127" s="2" t="s">
        <v>34</v>
      </c>
      <c r="M10127" s="12">
        <v>1798.8130000000001</v>
      </c>
      <c r="N10127" s="6">
        <v>39.659999999999997</v>
      </c>
      <c r="O10127" s="6">
        <v>39.06</v>
      </c>
      <c r="P10127" s="2" t="s">
        <v>29643</v>
      </c>
      <c r="Q10127" s="6">
        <v>100</v>
      </c>
      <c r="R10127" s="2"/>
      <c r="S10127" s="2"/>
      <c r="T10127" s="2"/>
      <c r="U10127" s="2"/>
      <c r="V10127" s="2"/>
      <c r="W10127" s="4">
        <v>11</v>
      </c>
      <c r="X10127" s="5">
        <v>13.3</v>
      </c>
      <c r="Y10127" s="5">
        <v>13.3</v>
      </c>
      <c r="Z10127" s="5">
        <v>15.5</v>
      </c>
      <c r="AA10127" s="6">
        <v>1.18</v>
      </c>
      <c r="AB10127" s="2" t="s">
        <v>47</v>
      </c>
      <c r="AC10127" s="2"/>
    </row>
    <row r="10128" spans="1:29" ht="104" x14ac:dyDescent="0.15">
      <c r="A10128" s="3">
        <f>DATE(2011,12,9)</f>
        <v>40886</v>
      </c>
      <c r="B10128" s="3">
        <f>DATE(2012,7,31)</f>
        <v>41121</v>
      </c>
      <c r="C10128" s="2" t="s">
        <v>95</v>
      </c>
      <c r="D10128" s="2" t="s">
        <v>29644</v>
      </c>
      <c r="E10128" s="2" t="s">
        <v>21252</v>
      </c>
      <c r="F10128" s="4">
        <v>6021</v>
      </c>
      <c r="G10128" s="2" t="s">
        <v>37</v>
      </c>
      <c r="H10128" s="2" t="s">
        <v>34</v>
      </c>
      <c r="I10128" s="2" t="s">
        <v>28521</v>
      </c>
      <c r="J10128" s="2" t="s">
        <v>1181</v>
      </c>
      <c r="K10128" s="2" t="s">
        <v>37</v>
      </c>
      <c r="L10128" s="2" t="s">
        <v>34</v>
      </c>
      <c r="M10128" s="2"/>
      <c r="N10128" s="2"/>
      <c r="O10128" s="2"/>
      <c r="P10128" s="2" t="s">
        <v>29645</v>
      </c>
      <c r="Q10128" s="6">
        <v>100</v>
      </c>
      <c r="R10128" s="2"/>
      <c r="S10128" s="2"/>
      <c r="T10128" s="2"/>
      <c r="U10128" s="2"/>
      <c r="V10128" s="2"/>
      <c r="W10128" s="4">
        <v>9</v>
      </c>
      <c r="X10128" s="5">
        <v>9.1</v>
      </c>
      <c r="Y10128" s="5">
        <v>9.4</v>
      </c>
      <c r="Z10128" s="6">
        <v>9.32</v>
      </c>
      <c r="AA10128" s="6">
        <v>3.29</v>
      </c>
      <c r="AB10128" s="2" t="s">
        <v>47</v>
      </c>
      <c r="AC10128" s="2"/>
    </row>
    <row r="10129" spans="1:29" ht="195" x14ac:dyDescent="0.15">
      <c r="A10129" s="3">
        <f>DATE(2011,12,12)</f>
        <v>40889</v>
      </c>
      <c r="B10129" s="2"/>
      <c r="C10129" s="2" t="s">
        <v>30</v>
      </c>
      <c r="D10129" s="2" t="s">
        <v>13210</v>
      </c>
      <c r="E10129" s="2" t="s">
        <v>13211</v>
      </c>
      <c r="F10129" s="4">
        <v>1422</v>
      </c>
      <c r="G10129" s="2" t="s">
        <v>166</v>
      </c>
      <c r="H10129" s="2" t="s">
        <v>34</v>
      </c>
      <c r="I10129" s="2" t="s">
        <v>29646</v>
      </c>
      <c r="J10129" s="2" t="s">
        <v>29647</v>
      </c>
      <c r="K10129" s="2" t="s">
        <v>166</v>
      </c>
      <c r="L10129" s="2" t="s">
        <v>34</v>
      </c>
      <c r="M10129" s="12">
        <v>3463.3560000000002</v>
      </c>
      <c r="N10129" s="6">
        <v>74.61</v>
      </c>
      <c r="O10129" s="6">
        <v>74.650000000000006</v>
      </c>
      <c r="P10129" s="2" t="s">
        <v>29648</v>
      </c>
      <c r="Q10129" s="2"/>
      <c r="R10129" s="6">
        <v>36.69</v>
      </c>
      <c r="S10129" s="5">
        <v>-89.9</v>
      </c>
      <c r="T10129" s="7">
        <v>307.94099999999997</v>
      </c>
      <c r="U10129" s="5">
        <v>30</v>
      </c>
      <c r="V10129" s="6">
        <v>-0.74</v>
      </c>
      <c r="W10129" s="6">
        <v>32.94</v>
      </c>
      <c r="X10129" s="6">
        <v>33.549999999999997</v>
      </c>
      <c r="Y10129" s="5">
        <v>38.700000000000003</v>
      </c>
      <c r="Z10129" s="5">
        <v>38.700000000000003</v>
      </c>
      <c r="AA10129" s="6">
        <v>129.22999999999999</v>
      </c>
      <c r="AB10129" s="2" t="s">
        <v>86</v>
      </c>
      <c r="AC10129" s="6">
        <v>56.84</v>
      </c>
    </row>
    <row r="10130" spans="1:29" ht="65" x14ac:dyDescent="0.15">
      <c r="A10130" s="3">
        <f>DATE(2011,12,13)</f>
        <v>40890</v>
      </c>
      <c r="B10130" s="2"/>
      <c r="C10130" s="2" t="s">
        <v>87</v>
      </c>
      <c r="D10130" s="2" t="s">
        <v>27623</v>
      </c>
      <c r="E10130" s="2" t="s">
        <v>27624</v>
      </c>
      <c r="F10130" s="4">
        <v>7841</v>
      </c>
      <c r="G10130" s="2" t="s">
        <v>42</v>
      </c>
      <c r="H10130" s="2" t="s">
        <v>34</v>
      </c>
      <c r="I10130" s="2" t="s">
        <v>22686</v>
      </c>
      <c r="J10130" s="2" t="s">
        <v>560</v>
      </c>
      <c r="K10130" s="2" t="s">
        <v>63</v>
      </c>
      <c r="L10130" s="2" t="s">
        <v>34</v>
      </c>
      <c r="M10130" s="2"/>
      <c r="N10130" s="6">
        <v>38.26</v>
      </c>
      <c r="O10130" s="6">
        <v>38.26</v>
      </c>
      <c r="P10130" s="2" t="s">
        <v>29649</v>
      </c>
      <c r="Q10130" s="2"/>
      <c r="R10130" s="2"/>
      <c r="S10130" s="5">
        <v>238</v>
      </c>
      <c r="T10130" s="10">
        <v>1020.44</v>
      </c>
      <c r="U10130" s="5">
        <v>1.1000000000000001</v>
      </c>
      <c r="V10130" s="9">
        <v>0.62860000000000005</v>
      </c>
      <c r="W10130" s="6">
        <v>68.14</v>
      </c>
      <c r="X10130" s="6">
        <v>75.260000000000005</v>
      </c>
      <c r="Y10130" s="6">
        <v>72.11</v>
      </c>
      <c r="Z10130" s="6">
        <v>71.040000000000006</v>
      </c>
      <c r="AA10130" s="2"/>
      <c r="AB10130" s="2" t="s">
        <v>47</v>
      </c>
      <c r="AC10130" s="8">
        <v>10858</v>
      </c>
    </row>
    <row r="10131" spans="1:29" ht="65" x14ac:dyDescent="0.15">
      <c r="A10131" s="3">
        <f>DATE(2011,12,13)</f>
        <v>40890</v>
      </c>
      <c r="B10131" s="3">
        <f>DATE(2012,2,14)</f>
        <v>40953</v>
      </c>
      <c r="C10131" s="2" t="s">
        <v>95</v>
      </c>
      <c r="D10131" s="2" t="s">
        <v>29650</v>
      </c>
      <c r="E10131" s="2" t="s">
        <v>5269</v>
      </c>
      <c r="F10131" s="4">
        <v>3842</v>
      </c>
      <c r="G10131" s="2" t="s">
        <v>226</v>
      </c>
      <c r="H10131" s="2" t="s">
        <v>34</v>
      </c>
      <c r="I10131" s="2" t="s">
        <v>4779</v>
      </c>
      <c r="J10131" s="2" t="s">
        <v>4780</v>
      </c>
      <c r="K10131" s="2" t="s">
        <v>226</v>
      </c>
      <c r="L10131" s="2" t="s">
        <v>34</v>
      </c>
      <c r="M10131" s="12">
        <v>30770.174999999999</v>
      </c>
      <c r="N10131" s="5">
        <v>49.3</v>
      </c>
      <c r="O10131" s="6">
        <v>48.41</v>
      </c>
      <c r="P10131" s="2" t="s">
        <v>29651</v>
      </c>
      <c r="Q10131" s="6">
        <v>100</v>
      </c>
      <c r="R10131" s="6">
        <v>28</v>
      </c>
      <c r="S10131" s="5">
        <v>8.5</v>
      </c>
      <c r="T10131" s="6">
        <v>14.25</v>
      </c>
      <c r="U10131" s="5">
        <v>8.6</v>
      </c>
      <c r="V10131" s="6">
        <v>0.73</v>
      </c>
      <c r="W10131" s="6">
        <v>18.64</v>
      </c>
      <c r="X10131" s="6">
        <v>18.440000000000001</v>
      </c>
      <c r="Y10131" s="6">
        <v>27.78</v>
      </c>
      <c r="Z10131" s="6">
        <v>27.85</v>
      </c>
      <c r="AA10131" s="6">
        <v>12.73</v>
      </c>
      <c r="AB10131" s="7">
        <v>22.073</v>
      </c>
      <c r="AC10131" s="8">
        <v>2380</v>
      </c>
    </row>
    <row r="10132" spans="1:29" ht="156" x14ac:dyDescent="0.15">
      <c r="A10132" s="3">
        <f>DATE(2011,12,14)</f>
        <v>40891</v>
      </c>
      <c r="B10132" s="3">
        <f>DATE(2012,6,4)</f>
        <v>41064</v>
      </c>
      <c r="C10132" s="2" t="s">
        <v>95</v>
      </c>
      <c r="D10132" s="2" t="s">
        <v>17935</v>
      </c>
      <c r="E10132" s="2" t="s">
        <v>17936</v>
      </c>
      <c r="F10132" s="4">
        <v>3559</v>
      </c>
      <c r="G10132" s="2" t="s">
        <v>300</v>
      </c>
      <c r="H10132" s="2" t="s">
        <v>34</v>
      </c>
      <c r="I10132" s="2" t="s">
        <v>9468</v>
      </c>
      <c r="J10132" s="2" t="s">
        <v>9469</v>
      </c>
      <c r="K10132" s="2" t="s">
        <v>300</v>
      </c>
      <c r="L10132" s="2" t="s">
        <v>34</v>
      </c>
      <c r="M10132" s="12">
        <v>5255.4229999999998</v>
      </c>
      <c r="N10132" s="6">
        <v>39.479999999999997</v>
      </c>
      <c r="O10132" s="6">
        <v>36.17</v>
      </c>
      <c r="P10132" s="2" t="s">
        <v>29652</v>
      </c>
      <c r="Q10132" s="6">
        <v>100</v>
      </c>
      <c r="R10132" s="6">
        <v>45.2</v>
      </c>
      <c r="S10132" s="5">
        <v>293.7</v>
      </c>
      <c r="T10132" s="7">
        <v>373.09300000000002</v>
      </c>
      <c r="U10132" s="5">
        <v>14.6</v>
      </c>
      <c r="V10132" s="6">
        <v>3.49</v>
      </c>
      <c r="W10132" s="6">
        <v>37.07</v>
      </c>
      <c r="X10132" s="6">
        <v>35.31</v>
      </c>
      <c r="Y10132" s="5">
        <v>34.700000000000003</v>
      </c>
      <c r="Z10132" s="6">
        <v>40.369999999999997</v>
      </c>
      <c r="AA10132" s="6">
        <v>66.59</v>
      </c>
      <c r="AB10132" s="7">
        <v>8.093</v>
      </c>
      <c r="AC10132" s="10">
        <v>2052.41</v>
      </c>
    </row>
    <row r="10133" spans="1:29" ht="130" x14ac:dyDescent="0.15">
      <c r="A10133" s="3">
        <f>DATE(2011,12,15)</f>
        <v>40892</v>
      </c>
      <c r="B10133" s="3">
        <f>DATE(2012,3,29)</f>
        <v>40997</v>
      </c>
      <c r="C10133" s="2" t="s">
        <v>95</v>
      </c>
      <c r="D10133" s="2" t="s">
        <v>29653</v>
      </c>
      <c r="E10133" s="2" t="s">
        <v>29654</v>
      </c>
      <c r="F10133" s="4">
        <v>3845</v>
      </c>
      <c r="G10133" s="2" t="s">
        <v>226</v>
      </c>
      <c r="H10133" s="2" t="s">
        <v>34</v>
      </c>
      <c r="I10133" s="2" t="s">
        <v>29655</v>
      </c>
      <c r="J10133" s="2" t="s">
        <v>29656</v>
      </c>
      <c r="K10133" s="2" t="s">
        <v>226</v>
      </c>
      <c r="L10133" s="2" t="s">
        <v>99</v>
      </c>
      <c r="M10133" s="12">
        <v>11709.279</v>
      </c>
      <c r="N10133" s="7">
        <v>23.637</v>
      </c>
      <c r="O10133" s="7">
        <v>23.361000000000001</v>
      </c>
      <c r="P10133" s="2" t="s">
        <v>29657</v>
      </c>
      <c r="Q10133" s="6">
        <v>100</v>
      </c>
      <c r="R10133" s="6">
        <v>54</v>
      </c>
      <c r="S10133" s="5">
        <v>6.4</v>
      </c>
      <c r="T10133" s="7">
        <v>32.237000000000002</v>
      </c>
      <c r="U10133" s="5">
        <v>11.6</v>
      </c>
      <c r="V10133" s="6">
        <v>0.43</v>
      </c>
      <c r="W10133" s="6">
        <v>31.18</v>
      </c>
      <c r="X10133" s="6">
        <v>30.78</v>
      </c>
      <c r="Y10133" s="6">
        <v>39.950000000000003</v>
      </c>
      <c r="Z10133" s="6">
        <v>39.99</v>
      </c>
      <c r="AA10133" s="6">
        <v>13.94</v>
      </c>
      <c r="AB10133" s="7">
        <v>36.945999999999998</v>
      </c>
      <c r="AC10133" s="10">
        <v>3847.77</v>
      </c>
    </row>
    <row r="10134" spans="1:29" ht="117" x14ac:dyDescent="0.15">
      <c r="A10134" s="3">
        <f>DATE(2011,12,16)</f>
        <v>40893</v>
      </c>
      <c r="B10134" s="3">
        <f>DATE(2012,8,31)</f>
        <v>41152</v>
      </c>
      <c r="C10134" s="2" t="s">
        <v>95</v>
      </c>
      <c r="D10134" s="2" t="s">
        <v>23496</v>
      </c>
      <c r="E10134" s="2" t="s">
        <v>1608</v>
      </c>
      <c r="F10134" s="4">
        <v>1311</v>
      </c>
      <c r="G10134" s="2" t="s">
        <v>148</v>
      </c>
      <c r="H10134" s="2" t="s">
        <v>34</v>
      </c>
      <c r="I10134" s="2" t="s">
        <v>1526</v>
      </c>
      <c r="J10134" s="2" t="s">
        <v>302</v>
      </c>
      <c r="K10134" s="2" t="s">
        <v>53</v>
      </c>
      <c r="L10134" s="2" t="s">
        <v>34</v>
      </c>
      <c r="M10134" s="2"/>
      <c r="N10134" s="2"/>
      <c r="O10134" s="2"/>
      <c r="P10134" s="2" t="s">
        <v>29658</v>
      </c>
      <c r="Q10134" s="2"/>
      <c r="R10134" s="2"/>
      <c r="S10134" s="5">
        <v>-462.9</v>
      </c>
      <c r="T10134" s="7">
        <v>-7.476</v>
      </c>
      <c r="U10134" s="5">
        <v>7.8</v>
      </c>
      <c r="V10134" s="7">
        <v>-171.404</v>
      </c>
      <c r="W10134" s="6">
        <v>2.2200000000000002</v>
      </c>
      <c r="X10134" s="6">
        <v>2.2599999999999998</v>
      </c>
      <c r="Y10134" s="6">
        <v>2.0499999999999998</v>
      </c>
      <c r="Z10134" s="6">
        <v>0.71</v>
      </c>
      <c r="AA10134" s="6">
        <v>28.87</v>
      </c>
      <c r="AB10134" s="2" t="s">
        <v>86</v>
      </c>
      <c r="AC10134" s="2"/>
    </row>
    <row r="10135" spans="1:29" ht="156" x14ac:dyDescent="0.15">
      <c r="A10135" s="3">
        <f>DATE(2011,12,16)</f>
        <v>40893</v>
      </c>
      <c r="B10135" s="2"/>
      <c r="C10135" s="2" t="s">
        <v>30</v>
      </c>
      <c r="D10135" s="2" t="s">
        <v>29659</v>
      </c>
      <c r="E10135" s="2" t="s">
        <v>29660</v>
      </c>
      <c r="F10135" s="4">
        <v>2834</v>
      </c>
      <c r="G10135" s="2" t="s">
        <v>130</v>
      </c>
      <c r="H10135" s="2" t="s">
        <v>34</v>
      </c>
      <c r="I10135" s="2" t="s">
        <v>28374</v>
      </c>
      <c r="J10135" s="2" t="s">
        <v>29140</v>
      </c>
      <c r="K10135" s="2" t="s">
        <v>130</v>
      </c>
      <c r="L10135" s="2" t="s">
        <v>34</v>
      </c>
      <c r="M10135" s="12">
        <v>13080.174999999999</v>
      </c>
      <c r="N10135" s="6">
        <v>45.33</v>
      </c>
      <c r="O10135" s="6">
        <v>44.35</v>
      </c>
      <c r="P10135" s="2" t="s">
        <v>29661</v>
      </c>
      <c r="Q10135" s="2"/>
      <c r="R10135" s="6">
        <v>7.5</v>
      </c>
      <c r="S10135" s="5">
        <v>-56.6</v>
      </c>
      <c r="T10135" s="7">
        <v>2.323</v>
      </c>
      <c r="U10135" s="5">
        <v>-1.2</v>
      </c>
      <c r="V10135" s="6">
        <v>-1.47</v>
      </c>
      <c r="W10135" s="6">
        <v>3.94</v>
      </c>
      <c r="X10135" s="6">
        <v>3.89</v>
      </c>
      <c r="Y10135" s="6">
        <v>6.68</v>
      </c>
      <c r="Z10135" s="6">
        <v>6.87</v>
      </c>
      <c r="AA10135" s="6">
        <v>41.5</v>
      </c>
      <c r="AB10135" s="7">
        <v>16716.710999999999</v>
      </c>
      <c r="AC10135" s="6">
        <v>173.86</v>
      </c>
    </row>
    <row r="10136" spans="1:29" ht="130" x14ac:dyDescent="0.15">
      <c r="A10136" s="3">
        <f>DATE(2011,12,16)</f>
        <v>40893</v>
      </c>
      <c r="B10136" s="3">
        <f>DATE(2012,2,1)</f>
        <v>40940</v>
      </c>
      <c r="C10136" s="2" t="s">
        <v>95</v>
      </c>
      <c r="D10136" s="2" t="s">
        <v>18758</v>
      </c>
      <c r="E10136" s="2" t="s">
        <v>4601</v>
      </c>
      <c r="F10136" s="4">
        <v>5812</v>
      </c>
      <c r="G10136" s="2" t="s">
        <v>230</v>
      </c>
      <c r="H10136" s="2" t="s">
        <v>34</v>
      </c>
      <c r="I10136" s="2" t="s">
        <v>29662</v>
      </c>
      <c r="J10136" s="2" t="s">
        <v>7785</v>
      </c>
      <c r="K10136" s="2" t="s">
        <v>230</v>
      </c>
      <c r="L10136" s="2" t="s">
        <v>34</v>
      </c>
      <c r="M10136" s="2"/>
      <c r="N10136" s="2"/>
      <c r="O10136" s="2"/>
      <c r="P10136" s="2" t="s">
        <v>29663</v>
      </c>
      <c r="Q10136" s="6">
        <v>92.05</v>
      </c>
      <c r="R10136" s="6">
        <v>6.9</v>
      </c>
      <c r="S10136" s="5">
        <v>4.5</v>
      </c>
      <c r="T10136" s="7">
        <v>25.292000000000002</v>
      </c>
      <c r="U10136" s="5">
        <v>0.9</v>
      </c>
      <c r="V10136" s="6">
        <v>0.33</v>
      </c>
      <c r="W10136" s="6">
        <v>6.68</v>
      </c>
      <c r="X10136" s="6">
        <v>6.44</v>
      </c>
      <c r="Y10136" s="5">
        <v>7.2</v>
      </c>
      <c r="Z10136" s="6">
        <v>7.09</v>
      </c>
      <c r="AA10136" s="6">
        <v>16.93</v>
      </c>
      <c r="AB10136" s="7">
        <v>13.551</v>
      </c>
      <c r="AC10136" s="6">
        <v>132.72</v>
      </c>
    </row>
    <row r="10137" spans="1:29" ht="169" x14ac:dyDescent="0.15">
      <c r="A10137" s="3">
        <f>DATE(2011,12,16)</f>
        <v>40893</v>
      </c>
      <c r="B10137" s="3">
        <f>DATE(2012,4,30)</f>
        <v>41029</v>
      </c>
      <c r="C10137" s="2" t="s">
        <v>95</v>
      </c>
      <c r="D10137" s="2" t="s">
        <v>29664</v>
      </c>
      <c r="E10137" s="2" t="s">
        <v>12347</v>
      </c>
      <c r="F10137" s="4">
        <v>7359</v>
      </c>
      <c r="G10137" s="2" t="s">
        <v>223</v>
      </c>
      <c r="H10137" s="2" t="s">
        <v>34</v>
      </c>
      <c r="I10137" s="2" t="s">
        <v>12348</v>
      </c>
      <c r="J10137" s="2" t="s">
        <v>12347</v>
      </c>
      <c r="K10137" s="2" t="s">
        <v>223</v>
      </c>
      <c r="L10137" s="2" t="s">
        <v>34</v>
      </c>
      <c r="M10137" s="12">
        <v>1591.268</v>
      </c>
      <c r="N10137" s="6">
        <v>27.89</v>
      </c>
      <c r="O10137" s="6">
        <v>28.31</v>
      </c>
      <c r="P10137" s="2" t="s">
        <v>29665</v>
      </c>
      <c r="Q10137" s="6">
        <v>100</v>
      </c>
      <c r="R10137" s="6">
        <v>18.05</v>
      </c>
      <c r="S10137" s="5">
        <v>-41.7</v>
      </c>
      <c r="T10137" s="7">
        <v>500.53399999999999</v>
      </c>
      <c r="U10137" s="5">
        <v>-0.5</v>
      </c>
      <c r="V10137" s="6">
        <v>-0.4</v>
      </c>
      <c r="W10137" s="6">
        <v>12.03</v>
      </c>
      <c r="X10137" s="6">
        <v>11.37</v>
      </c>
      <c r="Y10137" s="6">
        <v>17.95</v>
      </c>
      <c r="Z10137" s="6">
        <v>18.22</v>
      </c>
      <c r="AA10137" s="6">
        <v>103.8</v>
      </c>
      <c r="AB10137" s="7">
        <v>25.001000000000001</v>
      </c>
      <c r="AC10137" s="5">
        <v>27</v>
      </c>
    </row>
    <row r="10138" spans="1:29" ht="91" x14ac:dyDescent="0.15">
      <c r="A10138" s="3">
        <f>DATE(2011,12,19)</f>
        <v>40896</v>
      </c>
      <c r="B10138" s="3">
        <f>DATE(2012,3,12)</f>
        <v>40980</v>
      </c>
      <c r="C10138" s="2" t="s">
        <v>95</v>
      </c>
      <c r="D10138" s="2" t="s">
        <v>29666</v>
      </c>
      <c r="E10138" s="2" t="s">
        <v>29667</v>
      </c>
      <c r="F10138" s="4">
        <v>5411</v>
      </c>
      <c r="G10138" s="2" t="s">
        <v>1461</v>
      </c>
      <c r="H10138" s="2" t="s">
        <v>34</v>
      </c>
      <c r="I10138" s="2" t="s">
        <v>29668</v>
      </c>
      <c r="J10138" s="2" t="s">
        <v>4522</v>
      </c>
      <c r="K10138" s="2" t="s">
        <v>1461</v>
      </c>
      <c r="L10138" s="2" t="s">
        <v>34</v>
      </c>
      <c r="M10138" s="2"/>
      <c r="N10138" s="2"/>
      <c r="O10138" s="2"/>
      <c r="P10138" s="2" t="s">
        <v>29669</v>
      </c>
      <c r="Q10138" s="6">
        <v>100</v>
      </c>
      <c r="R10138" s="6">
        <v>9.5</v>
      </c>
      <c r="S10138" s="5">
        <v>-17.399999999999999</v>
      </c>
      <c r="T10138" s="7">
        <v>104.92100000000001</v>
      </c>
      <c r="U10138" s="5">
        <v>15.1</v>
      </c>
      <c r="V10138" s="6">
        <v>-0.3</v>
      </c>
      <c r="W10138" s="6">
        <v>5.21</v>
      </c>
      <c r="X10138" s="6">
        <v>5.43</v>
      </c>
      <c r="Y10138" s="6">
        <v>9.24</v>
      </c>
      <c r="Z10138" s="6">
        <v>9.31</v>
      </c>
      <c r="AA10138" s="6">
        <v>56.23</v>
      </c>
      <c r="AB10138" s="2" t="s">
        <v>86</v>
      </c>
      <c r="AC10138" s="2"/>
    </row>
    <row r="10139" spans="1:29" ht="169" x14ac:dyDescent="0.15">
      <c r="A10139" s="3">
        <f>DATE(2011,12,20)</f>
        <v>40897</v>
      </c>
      <c r="B10139" s="3">
        <f>DATE(2012,3,31)</f>
        <v>40999</v>
      </c>
      <c r="C10139" s="2" t="s">
        <v>95</v>
      </c>
      <c r="D10139" s="2" t="s">
        <v>29670</v>
      </c>
      <c r="E10139" s="2" t="s">
        <v>36</v>
      </c>
      <c r="F10139" s="4">
        <v>6011</v>
      </c>
      <c r="G10139" s="2" t="s">
        <v>3583</v>
      </c>
      <c r="H10139" s="2" t="s">
        <v>34</v>
      </c>
      <c r="I10139" s="2" t="s">
        <v>7771</v>
      </c>
      <c r="J10139" s="2" t="s">
        <v>3246</v>
      </c>
      <c r="K10139" s="2" t="s">
        <v>37</v>
      </c>
      <c r="L10139" s="2" t="s">
        <v>34</v>
      </c>
      <c r="M10139" s="7">
        <v>383.89299999999997</v>
      </c>
      <c r="N10139" s="6">
        <v>18.64</v>
      </c>
      <c r="O10139" s="6">
        <v>18.27</v>
      </c>
      <c r="P10139" s="2" t="s">
        <v>29671</v>
      </c>
      <c r="Q10139" s="6">
        <v>100</v>
      </c>
      <c r="R10139" s="6">
        <v>14.26</v>
      </c>
      <c r="S10139" s="5">
        <v>1.5</v>
      </c>
      <c r="T10139" s="6">
        <v>2.74</v>
      </c>
      <c r="U10139" s="5">
        <v>13.1</v>
      </c>
      <c r="V10139" s="6">
        <v>0.85</v>
      </c>
      <c r="W10139" s="6">
        <v>7.75</v>
      </c>
      <c r="X10139" s="6">
        <v>7.75</v>
      </c>
      <c r="Y10139" s="6">
        <v>7.75</v>
      </c>
      <c r="Z10139" s="6">
        <v>13.21</v>
      </c>
      <c r="AA10139" s="6">
        <v>1.82</v>
      </c>
      <c r="AB10139" s="7">
        <v>10.237</v>
      </c>
      <c r="AC10139" s="2"/>
    </row>
    <row r="10140" spans="1:29" ht="104" x14ac:dyDescent="0.15">
      <c r="A10140" s="3">
        <f>DATE(2011,12,20)</f>
        <v>40897</v>
      </c>
      <c r="B10140" s="3">
        <f>DATE(2012,4,24)</f>
        <v>41023</v>
      </c>
      <c r="C10140" s="2" t="s">
        <v>95</v>
      </c>
      <c r="D10140" s="2" t="s">
        <v>29672</v>
      </c>
      <c r="E10140" s="2" t="s">
        <v>672</v>
      </c>
      <c r="F10140" s="4">
        <v>6021</v>
      </c>
      <c r="G10140" s="2" t="s">
        <v>37</v>
      </c>
      <c r="H10140" s="2" t="s">
        <v>34</v>
      </c>
      <c r="I10140" s="2" t="s">
        <v>22550</v>
      </c>
      <c r="J10140" s="2" t="s">
        <v>36</v>
      </c>
      <c r="K10140" s="2" t="s">
        <v>37</v>
      </c>
      <c r="L10140" s="2" t="s">
        <v>34</v>
      </c>
      <c r="M10140" s="7">
        <v>379.37299999999999</v>
      </c>
      <c r="N10140" s="6">
        <v>28.53</v>
      </c>
      <c r="O10140" s="6">
        <v>28.78</v>
      </c>
      <c r="P10140" s="2" t="s">
        <v>29673</v>
      </c>
      <c r="Q10140" s="6">
        <v>100</v>
      </c>
      <c r="R10140" s="6">
        <v>3.85</v>
      </c>
      <c r="S10140" s="2"/>
      <c r="T10140" s="2"/>
      <c r="U10140" s="2"/>
      <c r="V10140" s="2"/>
      <c r="W10140" s="2"/>
      <c r="X10140" s="5">
        <v>1.5</v>
      </c>
      <c r="Y10140" s="2"/>
      <c r="Z10140" s="2"/>
      <c r="AA10140" s="6">
        <v>7.11</v>
      </c>
      <c r="AB10140" s="2" t="s">
        <v>47</v>
      </c>
      <c r="AC10140" s="2"/>
    </row>
    <row r="10141" spans="1:29" ht="117" x14ac:dyDescent="0.15">
      <c r="A10141" s="3">
        <f>DATE(2011,12,21)</f>
        <v>40898</v>
      </c>
      <c r="B10141" s="3">
        <f>DATE(2012,5,15)</f>
        <v>41044</v>
      </c>
      <c r="C10141" s="2" t="s">
        <v>95</v>
      </c>
      <c r="D10141" s="2" t="s">
        <v>29674</v>
      </c>
      <c r="E10141" s="2" t="s">
        <v>124</v>
      </c>
      <c r="F10141" s="4">
        <v>6311</v>
      </c>
      <c r="G10141" s="2" t="s">
        <v>125</v>
      </c>
      <c r="H10141" s="2" t="s">
        <v>34</v>
      </c>
      <c r="I10141" s="2" t="s">
        <v>29675</v>
      </c>
      <c r="J10141" s="2" t="s">
        <v>124</v>
      </c>
      <c r="K10141" s="2" t="s">
        <v>125</v>
      </c>
      <c r="L10141" s="2" t="s">
        <v>99</v>
      </c>
      <c r="M10141" s="2"/>
      <c r="N10141" s="2"/>
      <c r="O10141" s="2"/>
      <c r="P10141" s="2" t="s">
        <v>29676</v>
      </c>
      <c r="Q10141" s="6">
        <v>100</v>
      </c>
      <c r="R10141" s="6">
        <v>43.88</v>
      </c>
      <c r="S10141" s="5">
        <v>193.1</v>
      </c>
      <c r="T10141" s="2"/>
      <c r="U10141" s="5">
        <v>31.7</v>
      </c>
      <c r="V10141" s="6">
        <v>3.42</v>
      </c>
      <c r="W10141" s="6">
        <v>24.85</v>
      </c>
      <c r="X10141" s="6">
        <v>25.43</v>
      </c>
      <c r="Y10141" s="4">
        <v>44</v>
      </c>
      <c r="Z10141" s="6">
        <v>44.01</v>
      </c>
      <c r="AA10141" s="6">
        <v>55.82</v>
      </c>
      <c r="AB10141" s="7">
        <v>9.3119999999999994</v>
      </c>
      <c r="AC10141" s="2"/>
    </row>
    <row r="10142" spans="1:29" ht="117" x14ac:dyDescent="0.15">
      <c r="A10142" s="3">
        <f>DATE(2011,12,21)</f>
        <v>40898</v>
      </c>
      <c r="B10142" s="3">
        <f>DATE(2012,3,23)</f>
        <v>40991</v>
      </c>
      <c r="C10142" s="2" t="s">
        <v>95</v>
      </c>
      <c r="D10142" s="2" t="s">
        <v>29677</v>
      </c>
      <c r="E10142" s="2" t="s">
        <v>24689</v>
      </c>
      <c r="F10142" s="4">
        <v>4953</v>
      </c>
      <c r="G10142" s="2" t="s">
        <v>116</v>
      </c>
      <c r="H10142" s="2" t="s">
        <v>34</v>
      </c>
      <c r="I10142" s="2" t="s">
        <v>29678</v>
      </c>
      <c r="J10142" s="2" t="s">
        <v>302</v>
      </c>
      <c r="K10142" s="2" t="s">
        <v>53</v>
      </c>
      <c r="L10142" s="2" t="s">
        <v>34</v>
      </c>
      <c r="M10142" s="2"/>
      <c r="N10142" s="2"/>
      <c r="O10142" s="2"/>
      <c r="P10142" s="2" t="s">
        <v>29679</v>
      </c>
      <c r="Q10142" s="6">
        <v>100</v>
      </c>
      <c r="R10142" s="6">
        <v>6.5</v>
      </c>
      <c r="S10142" s="5">
        <v>-1.3</v>
      </c>
      <c r="T10142" s="7">
        <v>57.866</v>
      </c>
      <c r="U10142" s="5">
        <v>3.4</v>
      </c>
      <c r="V10142" s="6">
        <v>-0.27</v>
      </c>
      <c r="W10142" s="6">
        <v>4.95</v>
      </c>
      <c r="X10142" s="6">
        <v>4.99</v>
      </c>
      <c r="Y10142" s="6">
        <v>4.91</v>
      </c>
      <c r="Z10142" s="6">
        <v>6.39</v>
      </c>
      <c r="AA10142" s="6">
        <v>23.71</v>
      </c>
      <c r="AB10142" s="7">
        <v>20.635999999999999</v>
      </c>
      <c r="AC10142" s="2"/>
    </row>
    <row r="10143" spans="1:29" ht="117" x14ac:dyDescent="0.15">
      <c r="A10143" s="3">
        <f>DATE(2011,12,22)</f>
        <v>40899</v>
      </c>
      <c r="B10143" s="3">
        <f>DATE(2012,7,31)</f>
        <v>41121</v>
      </c>
      <c r="C10143" s="2" t="s">
        <v>95</v>
      </c>
      <c r="D10143" s="2" t="s">
        <v>29680</v>
      </c>
      <c r="E10143" s="2" t="s">
        <v>36</v>
      </c>
      <c r="F10143" s="4">
        <v>6021</v>
      </c>
      <c r="G10143" s="2" t="s">
        <v>37</v>
      </c>
      <c r="H10143" s="2" t="s">
        <v>34</v>
      </c>
      <c r="I10143" s="2" t="s">
        <v>29681</v>
      </c>
      <c r="J10143" s="2" t="s">
        <v>36</v>
      </c>
      <c r="K10143" s="2" t="s">
        <v>33</v>
      </c>
      <c r="L10143" s="2" t="s">
        <v>34</v>
      </c>
      <c r="M10143" s="7">
        <v>172.35599999999999</v>
      </c>
      <c r="N10143" s="5">
        <v>10.5</v>
      </c>
      <c r="O10143" s="6">
        <v>10.53</v>
      </c>
      <c r="P10143" s="2" t="s">
        <v>29682</v>
      </c>
      <c r="Q10143" s="6">
        <v>100</v>
      </c>
      <c r="R10143" s="6">
        <v>11.2</v>
      </c>
      <c r="S10143" s="2"/>
      <c r="T10143" s="2"/>
      <c r="U10143" s="2"/>
      <c r="V10143" s="2"/>
      <c r="W10143" s="4">
        <v>6</v>
      </c>
      <c r="X10143" s="4">
        <v>6</v>
      </c>
      <c r="Y10143" s="6">
        <v>10.52</v>
      </c>
      <c r="Z10143" s="6">
        <v>10.52</v>
      </c>
      <c r="AA10143" s="6">
        <v>1.18</v>
      </c>
      <c r="AB10143" s="2" t="s">
        <v>47</v>
      </c>
      <c r="AC10143" s="2"/>
    </row>
    <row r="10144" spans="1:29" ht="169" x14ac:dyDescent="0.15">
      <c r="A10144" s="3">
        <f>DATE(2011,12,22)</f>
        <v>40899</v>
      </c>
      <c r="B10144" s="3">
        <f>DATE(2012,2,8)</f>
        <v>40947</v>
      </c>
      <c r="C10144" s="2" t="s">
        <v>95</v>
      </c>
      <c r="D10144" s="2" t="s">
        <v>29683</v>
      </c>
      <c r="E10144" s="2" t="s">
        <v>1608</v>
      </c>
      <c r="F10144" s="4">
        <v>1382</v>
      </c>
      <c r="G10144" s="2" t="s">
        <v>148</v>
      </c>
      <c r="H10144" s="2" t="s">
        <v>34</v>
      </c>
      <c r="I10144" s="2" t="s">
        <v>51</v>
      </c>
      <c r="J10144" s="2" t="s">
        <v>52</v>
      </c>
      <c r="K10144" s="2" t="s">
        <v>53</v>
      </c>
      <c r="L10144" s="2" t="s">
        <v>34</v>
      </c>
      <c r="M10144" s="2"/>
      <c r="N10144" s="2"/>
      <c r="O10144" s="2"/>
      <c r="P10144" s="2" t="s">
        <v>29684</v>
      </c>
      <c r="Q10144" s="6">
        <v>73.64</v>
      </c>
      <c r="R10144" s="6">
        <v>1.25</v>
      </c>
      <c r="S10144" s="5">
        <v>6.5</v>
      </c>
      <c r="T10144" s="7">
        <v>48.804000000000002</v>
      </c>
      <c r="U10144" s="5">
        <v>112.2</v>
      </c>
      <c r="V10144" s="9">
        <v>40.746299999999998</v>
      </c>
      <c r="W10144" s="6">
        <v>1.1499999999999999</v>
      </c>
      <c r="X10144" s="5">
        <v>1.1000000000000001</v>
      </c>
      <c r="Y10144" s="6">
        <v>2.0099999999999998</v>
      </c>
      <c r="Z10144" s="6">
        <v>2.4700000000000002</v>
      </c>
      <c r="AA10144" s="6">
        <v>78.77</v>
      </c>
      <c r="AB10144" s="7">
        <v>7.8659999999999997</v>
      </c>
      <c r="AC10144" s="2"/>
    </row>
    <row r="10145" spans="1:29" ht="247" x14ac:dyDescent="0.15">
      <c r="A10145" s="3">
        <f>DATE(2011,12,23)</f>
        <v>40900</v>
      </c>
      <c r="B10145" s="3">
        <f>DATE(2012,4,18)</f>
        <v>41017</v>
      </c>
      <c r="C10145" s="2" t="s">
        <v>95</v>
      </c>
      <c r="D10145" s="2" t="s">
        <v>356</v>
      </c>
      <c r="E10145" s="2" t="s">
        <v>357</v>
      </c>
      <c r="F10145" s="4">
        <v>2844</v>
      </c>
      <c r="G10145" s="2" t="s">
        <v>358</v>
      </c>
      <c r="H10145" s="2" t="s">
        <v>34</v>
      </c>
      <c r="I10145" s="2" t="s">
        <v>29685</v>
      </c>
      <c r="J10145" s="2" t="s">
        <v>29686</v>
      </c>
      <c r="K10145" s="2" t="s">
        <v>593</v>
      </c>
      <c r="L10145" s="2" t="s">
        <v>34</v>
      </c>
      <c r="M10145" s="7">
        <v>171.303</v>
      </c>
      <c r="N10145" s="5">
        <v>19.7</v>
      </c>
      <c r="O10145" s="5">
        <v>19.7</v>
      </c>
      <c r="P10145" s="2" t="s">
        <v>29687</v>
      </c>
      <c r="Q10145" s="6">
        <v>100</v>
      </c>
      <c r="R10145" s="6">
        <v>12.59</v>
      </c>
      <c r="S10145" s="5">
        <v>0.4</v>
      </c>
      <c r="T10145" s="7">
        <v>3.4980000000000002</v>
      </c>
      <c r="U10145" s="5">
        <v>4.9000000000000004</v>
      </c>
      <c r="V10145" s="6">
        <v>0.02</v>
      </c>
      <c r="W10145" s="6">
        <v>3.27</v>
      </c>
      <c r="X10145" s="5">
        <v>3.4</v>
      </c>
      <c r="Y10145" s="6">
        <v>3.47</v>
      </c>
      <c r="Z10145" s="6">
        <v>3.47</v>
      </c>
      <c r="AA10145" s="6">
        <v>20.77</v>
      </c>
      <c r="AB10145" s="7">
        <v>201.83500000000001</v>
      </c>
      <c r="AC10145" s="6">
        <v>1.24</v>
      </c>
    </row>
    <row r="10146" spans="1:29" ht="91" x14ac:dyDescent="0.15">
      <c r="A10146" s="3">
        <f>DATE(2011,12,27)</f>
        <v>40904</v>
      </c>
      <c r="B10146" s="3">
        <f>DATE(2012,4,2)</f>
        <v>41001</v>
      </c>
      <c r="C10146" s="2" t="s">
        <v>95</v>
      </c>
      <c r="D10146" s="2" t="s">
        <v>29688</v>
      </c>
      <c r="E10146" s="2" t="s">
        <v>92</v>
      </c>
      <c r="F10146" s="4">
        <v>6798</v>
      </c>
      <c r="G10146" s="2" t="s">
        <v>53</v>
      </c>
      <c r="H10146" s="2" t="s">
        <v>34</v>
      </c>
      <c r="I10146" s="2" t="s">
        <v>21443</v>
      </c>
      <c r="J10146" s="2" t="s">
        <v>92</v>
      </c>
      <c r="K10146" s="2" t="s">
        <v>53</v>
      </c>
      <c r="L10146" s="2" t="s">
        <v>34</v>
      </c>
      <c r="M10146" s="10">
        <v>14491.08</v>
      </c>
      <c r="N10146" s="6">
        <v>55.37</v>
      </c>
      <c r="O10146" s="6">
        <v>54.97</v>
      </c>
      <c r="P10146" s="2" t="s">
        <v>29689</v>
      </c>
      <c r="Q10146" s="6">
        <v>100</v>
      </c>
      <c r="R10146" s="6">
        <v>4.25</v>
      </c>
      <c r="S10146" s="5">
        <v>-98.6</v>
      </c>
      <c r="T10146" s="6">
        <v>23.22</v>
      </c>
      <c r="U10146" s="5">
        <v>2</v>
      </c>
      <c r="V10146" s="6">
        <v>-2.15</v>
      </c>
      <c r="W10146" s="6">
        <v>3.86</v>
      </c>
      <c r="X10146" s="6">
        <v>3.92</v>
      </c>
      <c r="Y10146" s="6">
        <v>4.26</v>
      </c>
      <c r="Z10146" s="6">
        <v>4.22</v>
      </c>
      <c r="AA10146" s="6">
        <v>51.12</v>
      </c>
      <c r="AB10146" s="2" t="s">
        <v>86</v>
      </c>
      <c r="AC10146" s="6">
        <v>142.27000000000001</v>
      </c>
    </row>
    <row r="10147" spans="1:29" ht="78" x14ac:dyDescent="0.15">
      <c r="A10147" s="3">
        <f>DATE(2012,1,7)</f>
        <v>40915</v>
      </c>
      <c r="B10147" s="3">
        <f>DATE(2012,2,13)</f>
        <v>40952</v>
      </c>
      <c r="C10147" s="2" t="s">
        <v>95</v>
      </c>
      <c r="D10147" s="2" t="s">
        <v>25408</v>
      </c>
      <c r="E10147" s="2" t="s">
        <v>6292</v>
      </c>
      <c r="F10147" s="4">
        <v>2836</v>
      </c>
      <c r="G10147" s="2" t="s">
        <v>130</v>
      </c>
      <c r="H10147" s="2" t="s">
        <v>34</v>
      </c>
      <c r="I10147" s="2" t="s">
        <v>629</v>
      </c>
      <c r="J10147" s="2" t="s">
        <v>630</v>
      </c>
      <c r="K10147" s="2" t="s">
        <v>130</v>
      </c>
      <c r="L10147" s="2" t="s">
        <v>34</v>
      </c>
      <c r="M10147" s="12">
        <v>56834.587</v>
      </c>
      <c r="N10147" s="6">
        <v>33.909999999999997</v>
      </c>
      <c r="O10147" s="6">
        <v>33.909999999999997</v>
      </c>
      <c r="P10147" s="2" t="s">
        <v>29690</v>
      </c>
      <c r="Q10147" s="6">
        <v>100</v>
      </c>
      <c r="R10147" s="6">
        <v>26</v>
      </c>
      <c r="S10147" s="5">
        <v>-25.1</v>
      </c>
      <c r="T10147" s="7">
        <v>-24.984000000000002</v>
      </c>
      <c r="U10147" s="5">
        <v>0.6</v>
      </c>
      <c r="V10147" s="6">
        <v>-0.37</v>
      </c>
      <c r="W10147" s="2"/>
      <c r="X10147" s="6">
        <v>9.8699999999999992</v>
      </c>
      <c r="Y10147" s="5">
        <v>23.7</v>
      </c>
      <c r="Z10147" s="5">
        <v>23.7</v>
      </c>
      <c r="AA10147" s="6">
        <v>78.290000000000006</v>
      </c>
      <c r="AB10147" s="2" t="s">
        <v>86</v>
      </c>
      <c r="AC10147" s="8">
        <v>8733</v>
      </c>
    </row>
    <row r="10148" spans="1:29" ht="78" x14ac:dyDescent="0.15">
      <c r="A10148" s="3">
        <f>DATE(2012,1,10)</f>
        <v>40918</v>
      </c>
      <c r="B10148" s="2"/>
      <c r="C10148" s="2" t="s">
        <v>39</v>
      </c>
      <c r="D10148" s="2" t="s">
        <v>26202</v>
      </c>
      <c r="E10148" s="2" t="s">
        <v>26203</v>
      </c>
      <c r="F10148" s="4">
        <v>7389</v>
      </c>
      <c r="G10148" s="2" t="s">
        <v>223</v>
      </c>
      <c r="H10148" s="2" t="s">
        <v>34</v>
      </c>
      <c r="I10148" s="2" t="s">
        <v>143</v>
      </c>
      <c r="J10148" s="2" t="s">
        <v>144</v>
      </c>
      <c r="K10148" s="2" t="s">
        <v>53</v>
      </c>
      <c r="L10148" s="2" t="s">
        <v>139</v>
      </c>
      <c r="M10148" s="2"/>
      <c r="N10148" s="2"/>
      <c r="O10148" s="2"/>
      <c r="P10148" s="2" t="s">
        <v>29691</v>
      </c>
      <c r="Q10148" s="2"/>
      <c r="R10148" s="2"/>
      <c r="S10148" s="5">
        <v>74.599999999999994</v>
      </c>
      <c r="T10148" s="7">
        <v>141.501</v>
      </c>
      <c r="U10148" s="5">
        <v>12.1</v>
      </c>
      <c r="V10148" s="6">
        <v>1.0900000000000001</v>
      </c>
      <c r="W10148" s="6">
        <v>34.76</v>
      </c>
      <c r="X10148" s="6">
        <v>34.61</v>
      </c>
      <c r="Y10148" s="6">
        <v>37.75</v>
      </c>
      <c r="Z10148" s="6">
        <v>38.31</v>
      </c>
      <c r="AA10148" s="6">
        <v>56.97</v>
      </c>
      <c r="AB10148" s="2" t="s">
        <v>47</v>
      </c>
      <c r="AC10148" s="2"/>
    </row>
    <row r="10149" spans="1:29" ht="78" x14ac:dyDescent="0.15">
      <c r="A10149" s="3">
        <f>DATE(2012,1,11)</f>
        <v>40919</v>
      </c>
      <c r="B10149" s="3">
        <f>DATE(2012,1,11)</f>
        <v>40919</v>
      </c>
      <c r="C10149" s="2" t="s">
        <v>95</v>
      </c>
      <c r="D10149" s="2" t="s">
        <v>29692</v>
      </c>
      <c r="E10149" s="2" t="s">
        <v>973</v>
      </c>
      <c r="F10149" s="4">
        <v>4812</v>
      </c>
      <c r="G10149" s="2" t="s">
        <v>63</v>
      </c>
      <c r="H10149" s="2" t="s">
        <v>34</v>
      </c>
      <c r="I10149" s="2" t="s">
        <v>29693</v>
      </c>
      <c r="J10149" s="2" t="s">
        <v>29694</v>
      </c>
      <c r="K10149" s="2" t="s">
        <v>223</v>
      </c>
      <c r="L10149" s="2" t="s">
        <v>34</v>
      </c>
      <c r="M10149" s="2"/>
      <c r="N10149" s="2"/>
      <c r="O10149" s="2"/>
      <c r="P10149" s="2" t="s">
        <v>29695</v>
      </c>
      <c r="Q10149" s="2"/>
      <c r="R10149" s="2"/>
      <c r="S10149" s="5">
        <v>-7.7</v>
      </c>
      <c r="T10149" s="7">
        <v>-4.2679999999999998</v>
      </c>
      <c r="U10149" s="5">
        <v>-15.9</v>
      </c>
      <c r="V10149" s="6">
        <v>28.34</v>
      </c>
      <c r="W10149" s="6">
        <v>1.41</v>
      </c>
      <c r="X10149" s="6">
        <v>1.45</v>
      </c>
      <c r="Y10149" s="4">
        <v>2</v>
      </c>
      <c r="Z10149" s="4">
        <v>2</v>
      </c>
      <c r="AA10149" s="6">
        <v>23.52</v>
      </c>
      <c r="AB10149" s="2" t="s">
        <v>86</v>
      </c>
      <c r="AC10149" s="2"/>
    </row>
    <row r="10150" spans="1:29" ht="117" x14ac:dyDescent="0.15">
      <c r="A10150" s="3">
        <f>DATE(2012,1,13)</f>
        <v>40921</v>
      </c>
      <c r="B10150" s="2"/>
      <c r="C10150" s="2" t="s">
        <v>87</v>
      </c>
      <c r="D10150" s="2" t="s">
        <v>29297</v>
      </c>
      <c r="E10150" s="2" t="s">
        <v>29298</v>
      </c>
      <c r="F10150" s="4">
        <v>6035</v>
      </c>
      <c r="G10150" s="2" t="s">
        <v>33</v>
      </c>
      <c r="H10150" s="2" t="s">
        <v>34</v>
      </c>
      <c r="I10150" s="2" t="s">
        <v>143</v>
      </c>
      <c r="J10150" s="2" t="s">
        <v>144</v>
      </c>
      <c r="K10150" s="2" t="s">
        <v>53</v>
      </c>
      <c r="L10150" s="2" t="s">
        <v>139</v>
      </c>
      <c r="M10150" s="2"/>
      <c r="N10150" s="2"/>
      <c r="O10150" s="2"/>
      <c r="P10150" s="2" t="s">
        <v>29696</v>
      </c>
      <c r="Q10150" s="2"/>
      <c r="R10150" s="2"/>
      <c r="S10150" s="5">
        <v>59.7</v>
      </c>
      <c r="T10150" s="7">
        <v>200.387</v>
      </c>
      <c r="U10150" s="5">
        <v>15.7</v>
      </c>
      <c r="V10150" s="6">
        <v>0.62</v>
      </c>
      <c r="W10150" s="6">
        <v>23.06</v>
      </c>
      <c r="X10150" s="6">
        <v>23.15</v>
      </c>
      <c r="Y10150" s="6">
        <v>24.48</v>
      </c>
      <c r="Z10150" s="6">
        <v>25.94</v>
      </c>
      <c r="AA10150" s="6">
        <v>97.28</v>
      </c>
      <c r="AB10150" s="2" t="s">
        <v>47</v>
      </c>
      <c r="AC10150" s="2"/>
    </row>
    <row r="10151" spans="1:29" ht="130" x14ac:dyDescent="0.15">
      <c r="A10151" s="3">
        <f>DATE(2012,1,13)</f>
        <v>40921</v>
      </c>
      <c r="B10151" s="2"/>
      <c r="C10151" s="2" t="s">
        <v>30</v>
      </c>
      <c r="D10151" s="2" t="s">
        <v>29697</v>
      </c>
      <c r="E10151" s="2" t="s">
        <v>11833</v>
      </c>
      <c r="F10151" s="4">
        <v>2819</v>
      </c>
      <c r="G10151" s="2" t="s">
        <v>98</v>
      </c>
      <c r="H10151" s="2" t="s">
        <v>34</v>
      </c>
      <c r="I10151" s="2" t="s">
        <v>29698</v>
      </c>
      <c r="J10151" s="2" t="s">
        <v>29699</v>
      </c>
      <c r="K10151" s="2" t="s">
        <v>98</v>
      </c>
      <c r="L10151" s="2" t="s">
        <v>34</v>
      </c>
      <c r="M10151" s="10">
        <v>2583.52</v>
      </c>
      <c r="N10151" s="6">
        <v>53.87</v>
      </c>
      <c r="O10151" s="6">
        <v>56.34</v>
      </c>
      <c r="P10151" s="2" t="s">
        <v>29700</v>
      </c>
      <c r="Q10151" s="2"/>
      <c r="R10151" s="6">
        <v>35</v>
      </c>
      <c r="S10151" s="5">
        <v>56.5</v>
      </c>
      <c r="T10151" s="6">
        <v>236.56</v>
      </c>
      <c r="U10151" s="5">
        <v>14.3</v>
      </c>
      <c r="V10151" s="6">
        <v>1.66</v>
      </c>
      <c r="W10151" s="6">
        <v>21.48</v>
      </c>
      <c r="X10151" s="6">
        <v>24.48</v>
      </c>
      <c r="Y10151" s="6">
        <v>32.93</v>
      </c>
      <c r="Z10151" s="6">
        <v>33.479999999999997</v>
      </c>
      <c r="AA10151" s="6">
        <v>34.24</v>
      </c>
      <c r="AB10151" s="7">
        <v>12.718</v>
      </c>
      <c r="AC10151" s="6">
        <v>825.9</v>
      </c>
    </row>
    <row r="10152" spans="1:29" ht="104" x14ac:dyDescent="0.15">
      <c r="A10152" s="3">
        <f>DATE(2012,1,14)</f>
        <v>40922</v>
      </c>
      <c r="B10152" s="3">
        <f>DATE(2012,3,16)</f>
        <v>40984</v>
      </c>
      <c r="C10152" s="2" t="s">
        <v>95</v>
      </c>
      <c r="D10152" s="2" t="s">
        <v>29701</v>
      </c>
      <c r="E10152" s="2" t="s">
        <v>29702</v>
      </c>
      <c r="F10152" s="4">
        <v>4412</v>
      </c>
      <c r="G10152" s="2" t="s">
        <v>173</v>
      </c>
      <c r="H10152" s="2" t="s">
        <v>34</v>
      </c>
      <c r="I10152" s="2" t="s">
        <v>1526</v>
      </c>
      <c r="J10152" s="2" t="s">
        <v>302</v>
      </c>
      <c r="K10152" s="2" t="s">
        <v>53</v>
      </c>
      <c r="L10152" s="2" t="s">
        <v>34</v>
      </c>
      <c r="M10152" s="2"/>
      <c r="N10152" s="2"/>
      <c r="O10152" s="2"/>
      <c r="P10152" s="2" t="s">
        <v>29703</v>
      </c>
      <c r="Q10152" s="2"/>
      <c r="R10152" s="2"/>
      <c r="S10152" s="5">
        <v>-18.8</v>
      </c>
      <c r="T10152" s="7">
        <v>-2.6669999999999998</v>
      </c>
      <c r="U10152" s="5">
        <v>-1.3</v>
      </c>
      <c r="V10152" s="6">
        <v>-1.57</v>
      </c>
      <c r="W10152" s="6">
        <v>1.99</v>
      </c>
      <c r="X10152" s="6">
        <v>2.15</v>
      </c>
      <c r="Y10152" s="6">
        <v>2.0499999999999998</v>
      </c>
      <c r="Z10152" s="6">
        <v>1.96</v>
      </c>
      <c r="AA10152" s="6">
        <v>12.1</v>
      </c>
      <c r="AB10152" s="2" t="s">
        <v>86</v>
      </c>
      <c r="AC10152" s="2"/>
    </row>
    <row r="10153" spans="1:29" ht="117" x14ac:dyDescent="0.15">
      <c r="A10153" s="3">
        <f>DATE(2012,1,17)</f>
        <v>40925</v>
      </c>
      <c r="B10153" s="3">
        <f>DATE(2012,5,7)</f>
        <v>41036</v>
      </c>
      <c r="C10153" s="2" t="s">
        <v>95</v>
      </c>
      <c r="D10153" s="2" t="s">
        <v>29704</v>
      </c>
      <c r="E10153" s="2" t="s">
        <v>5102</v>
      </c>
      <c r="F10153" s="4">
        <v>7372</v>
      </c>
      <c r="G10153" s="2" t="s">
        <v>551</v>
      </c>
      <c r="H10153" s="2" t="s">
        <v>34</v>
      </c>
      <c r="I10153" s="2" t="s">
        <v>29705</v>
      </c>
      <c r="J10153" s="2" t="s">
        <v>29706</v>
      </c>
      <c r="K10153" s="2" t="s">
        <v>551</v>
      </c>
      <c r="L10153" s="2" t="s">
        <v>34</v>
      </c>
      <c r="M10153" s="12">
        <v>1289.857</v>
      </c>
      <c r="N10153" s="6">
        <v>29.56</v>
      </c>
      <c r="O10153" s="6">
        <v>29.79</v>
      </c>
      <c r="P10153" s="2" t="s">
        <v>29707</v>
      </c>
      <c r="Q10153" s="6">
        <v>100</v>
      </c>
      <c r="R10153" s="6">
        <v>16</v>
      </c>
      <c r="S10153" s="5">
        <v>14.9</v>
      </c>
      <c r="T10153" s="7">
        <v>8.2409999999999997</v>
      </c>
      <c r="U10153" s="5">
        <v>4.2</v>
      </c>
      <c r="V10153" s="6">
        <v>0.76</v>
      </c>
      <c r="W10153" s="6">
        <v>10.95</v>
      </c>
      <c r="X10153" s="6">
        <v>10.74</v>
      </c>
      <c r="Y10153" s="6">
        <v>15.89</v>
      </c>
      <c r="Z10153" s="6">
        <v>15.91</v>
      </c>
      <c r="AA10153" s="6">
        <v>18.37</v>
      </c>
      <c r="AB10153" s="7">
        <v>73.974000000000004</v>
      </c>
      <c r="AC10153" s="6">
        <v>92.73</v>
      </c>
    </row>
    <row r="10154" spans="1:29" ht="52" x14ac:dyDescent="0.15">
      <c r="A10154" s="3">
        <f>DATE(2012,1,18)</f>
        <v>40926</v>
      </c>
      <c r="B10154" s="3">
        <f>DATE(2012,8,10)</f>
        <v>41131</v>
      </c>
      <c r="C10154" s="2" t="s">
        <v>95</v>
      </c>
      <c r="D10154" s="2" t="s">
        <v>29708</v>
      </c>
      <c r="E10154" s="2" t="s">
        <v>36</v>
      </c>
      <c r="F10154" s="4">
        <v>6022</v>
      </c>
      <c r="G10154" s="2" t="s">
        <v>37</v>
      </c>
      <c r="H10154" s="2" t="s">
        <v>34</v>
      </c>
      <c r="I10154" s="2" t="s">
        <v>29709</v>
      </c>
      <c r="J10154" s="2" t="s">
        <v>36</v>
      </c>
      <c r="K10154" s="2" t="s">
        <v>33</v>
      </c>
      <c r="L10154" s="2" t="s">
        <v>34</v>
      </c>
      <c r="M10154" s="12">
        <v>2319.8319999999999</v>
      </c>
      <c r="N10154" s="6">
        <v>7.17</v>
      </c>
      <c r="O10154" s="6">
        <v>7.39</v>
      </c>
      <c r="P10154" s="2" t="s">
        <v>29710</v>
      </c>
      <c r="Q10154" s="6">
        <v>100</v>
      </c>
      <c r="R10154" s="2"/>
      <c r="S10154" s="5">
        <v>1.8</v>
      </c>
      <c r="T10154" s="7">
        <v>3.484</v>
      </c>
      <c r="U10154" s="5">
        <v>96.4</v>
      </c>
      <c r="V10154" s="6">
        <v>5.99</v>
      </c>
      <c r="W10154" s="5">
        <v>64.8</v>
      </c>
      <c r="X10154" s="4">
        <v>67</v>
      </c>
      <c r="Y10154" s="4">
        <v>111</v>
      </c>
      <c r="Z10154" s="4">
        <v>125</v>
      </c>
      <c r="AA10154" s="2"/>
      <c r="AB10154" s="7">
        <v>69.484999999999999</v>
      </c>
      <c r="AC10154" s="2"/>
    </row>
    <row r="10155" spans="1:29" ht="78" x14ac:dyDescent="0.15">
      <c r="A10155" s="3">
        <f>DATE(2012,1,19)</f>
        <v>40927</v>
      </c>
      <c r="B10155" s="3">
        <f>DATE(2012,11,30)</f>
        <v>41243</v>
      </c>
      <c r="C10155" s="2" t="s">
        <v>95</v>
      </c>
      <c r="D10155" s="2" t="s">
        <v>29711</v>
      </c>
      <c r="E10155" s="2" t="s">
        <v>1181</v>
      </c>
      <c r="F10155" s="4">
        <v>6021</v>
      </c>
      <c r="G10155" s="2" t="s">
        <v>37</v>
      </c>
      <c r="H10155" s="2" t="s">
        <v>34</v>
      </c>
      <c r="I10155" s="2" t="s">
        <v>29712</v>
      </c>
      <c r="J10155" s="2" t="s">
        <v>21800</v>
      </c>
      <c r="K10155" s="2" t="s">
        <v>37</v>
      </c>
      <c r="L10155" s="2" t="s">
        <v>34</v>
      </c>
      <c r="M10155" s="2"/>
      <c r="N10155" s="2"/>
      <c r="O10155" s="2"/>
      <c r="P10155" s="2" t="s">
        <v>29713</v>
      </c>
      <c r="Q10155" s="6">
        <v>100</v>
      </c>
      <c r="R10155" s="2"/>
      <c r="S10155" s="2"/>
      <c r="T10155" s="2"/>
      <c r="U10155" s="2"/>
      <c r="V10155" s="2"/>
      <c r="W10155" s="5">
        <v>9.5</v>
      </c>
      <c r="X10155" s="5">
        <v>9.5</v>
      </c>
      <c r="Y10155" s="5">
        <v>9.5</v>
      </c>
      <c r="Z10155" s="6">
        <v>12.45</v>
      </c>
      <c r="AA10155" s="6">
        <v>2.09</v>
      </c>
      <c r="AB10155" s="2" t="s">
        <v>47</v>
      </c>
      <c r="AC10155" s="2"/>
    </row>
    <row r="10156" spans="1:29" ht="156" x14ac:dyDescent="0.15">
      <c r="A10156" s="3">
        <f>DATE(2012,1,19)</f>
        <v>40927</v>
      </c>
      <c r="B10156" s="3">
        <f>DATE(2013,9,3)</f>
        <v>41520</v>
      </c>
      <c r="C10156" s="2" t="s">
        <v>95</v>
      </c>
      <c r="D10156" s="2" t="s">
        <v>2220</v>
      </c>
      <c r="E10156" s="2" t="s">
        <v>2221</v>
      </c>
      <c r="F10156" s="4">
        <v>3861</v>
      </c>
      <c r="G10156" s="2" t="s">
        <v>226</v>
      </c>
      <c r="H10156" s="2" t="s">
        <v>34</v>
      </c>
      <c r="I10156" s="2" t="s">
        <v>1526</v>
      </c>
      <c r="J10156" s="2" t="s">
        <v>302</v>
      </c>
      <c r="K10156" s="2" t="s">
        <v>53</v>
      </c>
      <c r="L10156" s="2" t="s">
        <v>34</v>
      </c>
      <c r="M10156" s="2"/>
      <c r="N10156" s="2"/>
      <c r="O10156" s="2"/>
      <c r="P10156" s="2" t="s">
        <v>29714</v>
      </c>
      <c r="Q10156" s="6">
        <v>77</v>
      </c>
      <c r="R10156" s="2"/>
      <c r="S10156" s="5">
        <v>-655</v>
      </c>
      <c r="T10156" s="5">
        <v>29</v>
      </c>
      <c r="U10156" s="5">
        <v>-11.6</v>
      </c>
      <c r="V10156" s="9">
        <v>-1.9186000000000001</v>
      </c>
      <c r="W10156" s="6">
        <v>0.78</v>
      </c>
      <c r="X10156" s="6">
        <v>1.45</v>
      </c>
      <c r="Y10156" s="6">
        <v>1.39</v>
      </c>
      <c r="Z10156" s="6">
        <v>1.41</v>
      </c>
      <c r="AA10156" s="6">
        <v>41.7</v>
      </c>
      <c r="AB10156" s="2" t="s">
        <v>86</v>
      </c>
      <c r="AC10156" s="2"/>
    </row>
    <row r="10157" spans="1:29" ht="143" x14ac:dyDescent="0.15">
      <c r="A10157" s="3">
        <f>DATE(2012,1,25)</f>
        <v>40933</v>
      </c>
      <c r="B10157" s="2"/>
      <c r="C10157" s="2" t="s">
        <v>30</v>
      </c>
      <c r="D10157" s="2" t="s">
        <v>24792</v>
      </c>
      <c r="E10157" s="2" t="s">
        <v>24793</v>
      </c>
      <c r="F10157" s="4">
        <v>3826</v>
      </c>
      <c r="G10157" s="2" t="s">
        <v>226</v>
      </c>
      <c r="H10157" s="2" t="s">
        <v>34</v>
      </c>
      <c r="I10157" s="2" t="s">
        <v>213</v>
      </c>
      <c r="J10157" s="2" t="s">
        <v>214</v>
      </c>
      <c r="K10157" s="2" t="s">
        <v>130</v>
      </c>
      <c r="L10157" s="2" t="s">
        <v>215</v>
      </c>
      <c r="M10157" s="10">
        <v>27034.560000000001</v>
      </c>
      <c r="N10157" s="7">
        <v>173.57300000000001</v>
      </c>
      <c r="O10157" s="7">
        <v>174.16800000000001</v>
      </c>
      <c r="P10157" s="2" t="s">
        <v>29715</v>
      </c>
      <c r="Q10157" s="2"/>
      <c r="R10157" s="6">
        <v>51</v>
      </c>
      <c r="S10157" s="5">
        <v>86.6</v>
      </c>
      <c r="T10157" s="7">
        <v>318.60599999999999</v>
      </c>
      <c r="U10157" s="5">
        <v>8.8000000000000007</v>
      </c>
      <c r="V10157" s="6">
        <v>0.62</v>
      </c>
      <c r="W10157" s="5">
        <v>36.299999999999997</v>
      </c>
      <c r="X10157" s="7">
        <v>37.685000000000002</v>
      </c>
      <c r="Y10157" s="6">
        <v>55.15</v>
      </c>
      <c r="Z10157" s="6">
        <v>52.65</v>
      </c>
      <c r="AA10157" s="6">
        <v>121.44</v>
      </c>
      <c r="AB10157" s="7">
        <v>29.917999999999999</v>
      </c>
      <c r="AC10157" s="10">
        <v>12330.42</v>
      </c>
    </row>
    <row r="10158" spans="1:29" ht="117" x14ac:dyDescent="0.15">
      <c r="A10158" s="3">
        <f>DATE(2012,1,26)</f>
        <v>40934</v>
      </c>
      <c r="B10158" s="3">
        <f>DATE(2012,3,7)</f>
        <v>40975</v>
      </c>
      <c r="C10158" s="2" t="s">
        <v>95</v>
      </c>
      <c r="D10158" s="2" t="s">
        <v>29716</v>
      </c>
      <c r="E10158" s="2" t="s">
        <v>6292</v>
      </c>
      <c r="F10158" s="4">
        <v>2836</v>
      </c>
      <c r="G10158" s="2" t="s">
        <v>130</v>
      </c>
      <c r="H10158" s="2" t="s">
        <v>34</v>
      </c>
      <c r="I10158" s="2" t="s">
        <v>29717</v>
      </c>
      <c r="J10158" s="2" t="s">
        <v>540</v>
      </c>
      <c r="K10158" s="2" t="s">
        <v>130</v>
      </c>
      <c r="L10158" s="2" t="s">
        <v>34</v>
      </c>
      <c r="M10158" s="2"/>
      <c r="N10158" s="6">
        <v>68.08</v>
      </c>
      <c r="O10158" s="6">
        <v>68.34</v>
      </c>
      <c r="P10158" s="2" t="s">
        <v>29718</v>
      </c>
      <c r="Q10158" s="6">
        <v>100</v>
      </c>
      <c r="R10158" s="6">
        <v>11</v>
      </c>
      <c r="S10158" s="2"/>
      <c r="T10158" s="2"/>
      <c r="U10158" s="2"/>
      <c r="V10158" s="2"/>
      <c r="W10158" s="6">
        <v>8.65</v>
      </c>
      <c r="X10158" s="6">
        <v>8.2799999999999994</v>
      </c>
      <c r="Y10158" s="6">
        <v>10.94</v>
      </c>
      <c r="Z10158" s="5">
        <v>10.9</v>
      </c>
      <c r="AA10158" s="6">
        <v>92.38</v>
      </c>
      <c r="AB10158" s="2" t="s">
        <v>47</v>
      </c>
      <c r="AC10158" s="2"/>
    </row>
    <row r="10159" spans="1:29" ht="117" x14ac:dyDescent="0.15">
      <c r="A10159" s="3">
        <f>DATE(2012,1,26)</f>
        <v>40934</v>
      </c>
      <c r="B10159" s="3">
        <f>DATE(2012,8,1)</f>
        <v>41122</v>
      </c>
      <c r="C10159" s="2" t="s">
        <v>95</v>
      </c>
      <c r="D10159" s="2" t="s">
        <v>29719</v>
      </c>
      <c r="E10159" s="2" t="s">
        <v>1085</v>
      </c>
      <c r="F10159" s="4">
        <v>6289</v>
      </c>
      <c r="G10159" s="2" t="s">
        <v>53</v>
      </c>
      <c r="H10159" s="2" t="s">
        <v>34</v>
      </c>
      <c r="I10159" s="2" t="s">
        <v>29720</v>
      </c>
      <c r="J10159" s="2" t="s">
        <v>36</v>
      </c>
      <c r="K10159" s="2" t="s">
        <v>37</v>
      </c>
      <c r="L10159" s="2" t="s">
        <v>34</v>
      </c>
      <c r="M10159" s="7">
        <v>433.79300000000001</v>
      </c>
      <c r="N10159" s="6">
        <v>39.979999999999997</v>
      </c>
      <c r="O10159" s="6">
        <v>40.24</v>
      </c>
      <c r="P10159" s="2" t="s">
        <v>29721</v>
      </c>
      <c r="Q10159" s="6">
        <v>100</v>
      </c>
      <c r="R10159" s="6">
        <v>11.77</v>
      </c>
      <c r="S10159" s="5">
        <v>-20.6</v>
      </c>
      <c r="T10159" s="7">
        <v>7.0970000000000004</v>
      </c>
      <c r="U10159" s="5">
        <v>13.7</v>
      </c>
      <c r="V10159" s="6">
        <v>-3.39</v>
      </c>
      <c r="W10159" s="6">
        <v>6.59</v>
      </c>
      <c r="X10159" s="5">
        <v>6.9</v>
      </c>
      <c r="Y10159" s="5">
        <v>10.8</v>
      </c>
      <c r="Z10159" s="6">
        <v>11.19</v>
      </c>
      <c r="AA10159" s="6">
        <v>6.59</v>
      </c>
      <c r="AB10159" s="7">
        <v>38.936999999999998</v>
      </c>
      <c r="AC10159" s="2"/>
    </row>
    <row r="10160" spans="1:29" ht="130" x14ac:dyDescent="0.15">
      <c r="A10160" s="3">
        <f>DATE(2012,1,27)</f>
        <v>40935</v>
      </c>
      <c r="B10160" s="3">
        <f>DATE(2012,7,2)</f>
        <v>41092</v>
      </c>
      <c r="C10160" s="2" t="s">
        <v>95</v>
      </c>
      <c r="D10160" s="2" t="s">
        <v>26268</v>
      </c>
      <c r="E10160" s="2" t="s">
        <v>29722</v>
      </c>
      <c r="F10160" s="4">
        <v>2899</v>
      </c>
      <c r="G10160" s="2" t="s">
        <v>98</v>
      </c>
      <c r="H10160" s="2" t="s">
        <v>34</v>
      </c>
      <c r="I10160" s="2" t="s">
        <v>14241</v>
      </c>
      <c r="J10160" s="2" t="s">
        <v>14242</v>
      </c>
      <c r="K10160" s="2" t="s">
        <v>98</v>
      </c>
      <c r="L10160" s="2" t="s">
        <v>34</v>
      </c>
      <c r="M10160" s="12">
        <v>5484.0630000000001</v>
      </c>
      <c r="N10160" s="6">
        <v>50.41</v>
      </c>
      <c r="O10160" s="6">
        <v>50.28</v>
      </c>
      <c r="P10160" s="2" t="s">
        <v>29723</v>
      </c>
      <c r="Q10160" s="6">
        <v>100</v>
      </c>
      <c r="R10160" s="6">
        <v>27.65</v>
      </c>
      <c r="S10160" s="5">
        <v>262</v>
      </c>
      <c r="T10160" s="5">
        <v>502</v>
      </c>
      <c r="U10160" s="5">
        <v>7.5</v>
      </c>
      <c r="V10160" s="6">
        <v>2.16</v>
      </c>
      <c r="W10160" s="6">
        <v>18.66</v>
      </c>
      <c r="X10160" s="6">
        <v>19.510000000000002</v>
      </c>
      <c r="Y10160" s="6">
        <v>27.52</v>
      </c>
      <c r="Z10160" s="6">
        <v>27.37</v>
      </c>
      <c r="AA10160" s="6">
        <v>122.1</v>
      </c>
      <c r="AB10160" s="7">
        <v>12.275</v>
      </c>
      <c r="AC10160" s="5">
        <v>798</v>
      </c>
    </row>
    <row r="10161" spans="1:29" ht="156" x14ac:dyDescent="0.15">
      <c r="A10161" s="3">
        <f>DATE(2012,1,30)</f>
        <v>40938</v>
      </c>
      <c r="B10161" s="2"/>
      <c r="C10161" s="2" t="s">
        <v>30</v>
      </c>
      <c r="D10161" s="2" t="s">
        <v>29724</v>
      </c>
      <c r="E10161" s="2" t="s">
        <v>29725</v>
      </c>
      <c r="F10161" s="4">
        <v>5531</v>
      </c>
      <c r="G10161" s="2" t="s">
        <v>73</v>
      </c>
      <c r="H10161" s="2" t="s">
        <v>34</v>
      </c>
      <c r="I10161" s="2" t="s">
        <v>29726</v>
      </c>
      <c r="J10161" s="2" t="s">
        <v>11337</v>
      </c>
      <c r="K10161" s="2" t="s">
        <v>53</v>
      </c>
      <c r="L10161" s="2" t="s">
        <v>34</v>
      </c>
      <c r="M10161" s="2"/>
      <c r="N10161" s="2"/>
      <c r="O10161" s="2"/>
      <c r="P10161" s="2" t="s">
        <v>29727</v>
      </c>
      <c r="Q10161" s="2"/>
      <c r="R10161" s="6">
        <v>15</v>
      </c>
      <c r="S10161" s="5">
        <v>28.9</v>
      </c>
      <c r="T10161" s="7">
        <v>148.70400000000001</v>
      </c>
      <c r="U10161" s="5">
        <v>9.6</v>
      </c>
      <c r="V10161" s="6">
        <v>0.54</v>
      </c>
      <c r="W10161" s="6">
        <v>13.19</v>
      </c>
      <c r="X10161" s="6">
        <v>12.32</v>
      </c>
      <c r="Y10161" s="6">
        <v>14.15</v>
      </c>
      <c r="Z10161" s="6">
        <v>14.13</v>
      </c>
      <c r="AA10161" s="6">
        <v>52.75</v>
      </c>
      <c r="AB10161" s="7">
        <v>15.037000000000001</v>
      </c>
      <c r="AC10161" s="2"/>
    </row>
    <row r="10162" spans="1:29" ht="91" x14ac:dyDescent="0.15">
      <c r="A10162" s="3">
        <f>DATE(2012,1,30)</f>
        <v>40938</v>
      </c>
      <c r="B10162" s="3">
        <f>DATE(2012,5,16)</f>
        <v>41045</v>
      </c>
      <c r="C10162" s="2" t="s">
        <v>95</v>
      </c>
      <c r="D10162" s="2" t="s">
        <v>8642</v>
      </c>
      <c r="E10162" s="2" t="s">
        <v>8643</v>
      </c>
      <c r="F10162" s="4">
        <v>3643</v>
      </c>
      <c r="G10162" s="2" t="s">
        <v>137</v>
      </c>
      <c r="H10162" s="2" t="s">
        <v>34</v>
      </c>
      <c r="I10162" s="2" t="s">
        <v>27799</v>
      </c>
      <c r="J10162" s="2" t="s">
        <v>27800</v>
      </c>
      <c r="K10162" s="2" t="s">
        <v>137</v>
      </c>
      <c r="L10162" s="2" t="s">
        <v>215</v>
      </c>
      <c r="M10162" s="12">
        <v>43106.173000000003</v>
      </c>
      <c r="N10162" s="7">
        <v>20.765999999999998</v>
      </c>
      <c r="O10162" s="7">
        <v>20.898</v>
      </c>
      <c r="P10162" s="2" t="s">
        <v>29728</v>
      </c>
      <c r="Q10162" s="6">
        <v>100</v>
      </c>
      <c r="R10162" s="6">
        <v>72</v>
      </c>
      <c r="S10162" s="5">
        <v>190.2</v>
      </c>
      <c r="T10162" s="6">
        <v>375.64</v>
      </c>
      <c r="U10162" s="5">
        <v>31</v>
      </c>
      <c r="V10162" s="6">
        <v>3.6</v>
      </c>
      <c r="W10162" s="6">
        <v>58.18</v>
      </c>
      <c r="X10162" s="6">
        <v>57.95</v>
      </c>
      <c r="Y10162" s="6">
        <v>71.31</v>
      </c>
      <c r="Z10162" s="6">
        <v>71.31</v>
      </c>
      <c r="AA10162" s="6">
        <v>52.05</v>
      </c>
      <c r="AB10162" s="7">
        <v>13.395</v>
      </c>
      <c r="AC10162" s="10">
        <v>6023.57</v>
      </c>
    </row>
    <row r="10163" spans="1:29" ht="130" x14ac:dyDescent="0.15">
      <c r="A10163" s="3">
        <f>DATE(2012,2,1)</f>
        <v>40940</v>
      </c>
      <c r="B10163" s="2"/>
      <c r="C10163" s="2" t="s">
        <v>7330</v>
      </c>
      <c r="D10163" s="2" t="s">
        <v>8711</v>
      </c>
      <c r="E10163" s="2" t="s">
        <v>8712</v>
      </c>
      <c r="F10163" s="4">
        <v>3569</v>
      </c>
      <c r="G10163" s="2" t="s">
        <v>300</v>
      </c>
      <c r="H10163" s="2" t="s">
        <v>34</v>
      </c>
      <c r="I10163" s="2" t="s">
        <v>29729</v>
      </c>
      <c r="J10163" s="2" t="s">
        <v>29730</v>
      </c>
      <c r="K10163" s="2" t="s">
        <v>63</v>
      </c>
      <c r="L10163" s="2" t="s">
        <v>4242</v>
      </c>
      <c r="M10163" s="2"/>
      <c r="N10163" s="2"/>
      <c r="O10163" s="2"/>
      <c r="P10163" s="2" t="s">
        <v>29731</v>
      </c>
      <c r="Q10163" s="2"/>
      <c r="R10163" s="2"/>
      <c r="S10163" s="5">
        <v>117.7</v>
      </c>
      <c r="T10163" s="7">
        <v>212.23599999999999</v>
      </c>
      <c r="U10163" s="5">
        <v>14.9</v>
      </c>
      <c r="V10163" s="6">
        <v>2.4</v>
      </c>
      <c r="W10163" s="6">
        <v>37.54</v>
      </c>
      <c r="X10163" s="6">
        <v>37.840000000000003</v>
      </c>
      <c r="Y10163" s="7">
        <v>39.865000000000002</v>
      </c>
      <c r="Z10163" s="7">
        <v>38.994999999999997</v>
      </c>
      <c r="AA10163" s="6">
        <v>51.96</v>
      </c>
      <c r="AB10163" s="2" t="s">
        <v>47</v>
      </c>
      <c r="AC10163" s="2"/>
    </row>
    <row r="10164" spans="1:29" ht="117" x14ac:dyDescent="0.15">
      <c r="A10164" s="3">
        <f>DATE(2012,2,1)</f>
        <v>40940</v>
      </c>
      <c r="B10164" s="2"/>
      <c r="C10164" s="2" t="s">
        <v>7330</v>
      </c>
      <c r="D10164" s="2" t="s">
        <v>8711</v>
      </c>
      <c r="E10164" s="2" t="s">
        <v>8712</v>
      </c>
      <c r="F10164" s="4">
        <v>3569</v>
      </c>
      <c r="G10164" s="2" t="s">
        <v>300</v>
      </c>
      <c r="H10164" s="2" t="s">
        <v>34</v>
      </c>
      <c r="I10164" s="2" t="s">
        <v>29729</v>
      </c>
      <c r="J10164" s="2" t="s">
        <v>29730</v>
      </c>
      <c r="K10164" s="2" t="s">
        <v>63</v>
      </c>
      <c r="L10164" s="2" t="s">
        <v>4242</v>
      </c>
      <c r="M10164" s="2"/>
      <c r="N10164" s="2"/>
      <c r="O10164" s="2"/>
      <c r="P10164" s="2" t="s">
        <v>29732</v>
      </c>
      <c r="Q10164" s="2"/>
      <c r="R10164" s="2"/>
      <c r="S10164" s="5">
        <v>117.7</v>
      </c>
      <c r="T10164" s="7">
        <v>212.23599999999999</v>
      </c>
      <c r="U10164" s="5">
        <v>14.9</v>
      </c>
      <c r="V10164" s="6">
        <v>2.4</v>
      </c>
      <c r="W10164" s="6">
        <v>37.54</v>
      </c>
      <c r="X10164" s="6">
        <v>37.840000000000003</v>
      </c>
      <c r="Y10164" s="7">
        <v>39.865000000000002</v>
      </c>
      <c r="Z10164" s="7">
        <v>38.994999999999997</v>
      </c>
      <c r="AA10164" s="6">
        <v>51.96</v>
      </c>
      <c r="AB10164" s="2" t="s">
        <v>47</v>
      </c>
      <c r="AC10164" s="2"/>
    </row>
    <row r="10165" spans="1:29" ht="78" x14ac:dyDescent="0.15">
      <c r="A10165" s="3">
        <f>DATE(2012,2,3)</f>
        <v>40942</v>
      </c>
      <c r="B10165" s="3">
        <f>DATE(2012,5,17)</f>
        <v>41046</v>
      </c>
      <c r="C10165" s="2" t="s">
        <v>95</v>
      </c>
      <c r="D10165" s="2" t="s">
        <v>29733</v>
      </c>
      <c r="E10165" s="2" t="s">
        <v>29734</v>
      </c>
      <c r="F10165" s="4">
        <v>3172</v>
      </c>
      <c r="G10165" s="2" t="s">
        <v>326</v>
      </c>
      <c r="H10165" s="2" t="s">
        <v>34</v>
      </c>
      <c r="I10165" s="2" t="s">
        <v>29735</v>
      </c>
      <c r="J10165" s="2" t="s">
        <v>29736</v>
      </c>
      <c r="K10165" s="2" t="s">
        <v>708</v>
      </c>
      <c r="L10165" s="2" t="s">
        <v>34</v>
      </c>
      <c r="M10165" s="2"/>
      <c r="N10165" s="2"/>
      <c r="O10165" s="2"/>
      <c r="P10165" s="2" t="s">
        <v>29737</v>
      </c>
      <c r="Q10165" s="6">
        <v>100</v>
      </c>
      <c r="R10165" s="6">
        <v>10</v>
      </c>
      <c r="S10165" s="5">
        <v>5.9</v>
      </c>
      <c r="T10165" s="7">
        <v>10.509</v>
      </c>
      <c r="U10165" s="5">
        <v>7.1</v>
      </c>
      <c r="V10165" s="6">
        <v>1.06</v>
      </c>
      <c r="W10165" s="6">
        <v>4.25</v>
      </c>
      <c r="X10165" s="6">
        <v>4.75</v>
      </c>
      <c r="Y10165" s="4">
        <v>7</v>
      </c>
      <c r="Z10165" s="6">
        <v>9.85</v>
      </c>
      <c r="AA10165" s="6">
        <v>5.58</v>
      </c>
      <c r="AB10165" s="7">
        <v>5.5149999999999997</v>
      </c>
      <c r="AC10165" s="2"/>
    </row>
    <row r="10166" spans="1:29" ht="130" x14ac:dyDescent="0.15">
      <c r="A10166" s="3">
        <f>DATE(2012,2,6)</f>
        <v>40945</v>
      </c>
      <c r="B10166" s="3">
        <f>DATE(2012,5,31)</f>
        <v>41060</v>
      </c>
      <c r="C10166" s="2" t="s">
        <v>95</v>
      </c>
      <c r="D10166" s="2" t="s">
        <v>14150</v>
      </c>
      <c r="E10166" s="2" t="s">
        <v>4601</v>
      </c>
      <c r="F10166" s="4">
        <v>5812</v>
      </c>
      <c r="G10166" s="2" t="s">
        <v>230</v>
      </c>
      <c r="H10166" s="2" t="s">
        <v>34</v>
      </c>
      <c r="I10166" s="2" t="s">
        <v>29738</v>
      </c>
      <c r="J10166" s="2" t="s">
        <v>7552</v>
      </c>
      <c r="K10166" s="2" t="s">
        <v>125</v>
      </c>
      <c r="L10166" s="2" t="s">
        <v>34</v>
      </c>
      <c r="M10166" s="2"/>
      <c r="N10166" s="2"/>
      <c r="O10166" s="2"/>
      <c r="P10166" s="2" t="s">
        <v>29739</v>
      </c>
      <c r="Q10166" s="6">
        <v>80.3</v>
      </c>
      <c r="R10166" s="6">
        <v>9.85</v>
      </c>
      <c r="S10166" s="5">
        <v>-12.1</v>
      </c>
      <c r="T10166" s="7">
        <v>37.295000000000002</v>
      </c>
      <c r="U10166" s="5">
        <v>7.7</v>
      </c>
      <c r="V10166" s="6">
        <v>-0.56000000000000005</v>
      </c>
      <c r="W10166" s="6">
        <v>6.54</v>
      </c>
      <c r="X10166" s="6">
        <v>6.92</v>
      </c>
      <c r="Y10166" s="6">
        <v>9.81</v>
      </c>
      <c r="Z10166" s="6">
        <v>10.17</v>
      </c>
      <c r="AA10166" s="6">
        <v>21.97</v>
      </c>
      <c r="AB10166" s="7">
        <v>168.15299999999999</v>
      </c>
      <c r="AC10166" s="2"/>
    </row>
    <row r="10167" spans="1:29" ht="91" x14ac:dyDescent="0.15">
      <c r="A10167" s="3">
        <f>DATE(2012,2,6)</f>
        <v>40945</v>
      </c>
      <c r="B10167" s="3">
        <f>DATE(2012,7,2)</f>
        <v>41092</v>
      </c>
      <c r="C10167" s="2" t="s">
        <v>95</v>
      </c>
      <c r="D10167" s="2" t="s">
        <v>29740</v>
      </c>
      <c r="E10167" s="2" t="s">
        <v>375</v>
      </c>
      <c r="F10167" s="4">
        <v>4813</v>
      </c>
      <c r="G10167" s="2" t="s">
        <v>63</v>
      </c>
      <c r="H10167" s="2" t="s">
        <v>34</v>
      </c>
      <c r="I10167" s="2" t="s">
        <v>25813</v>
      </c>
      <c r="J10167" s="2" t="s">
        <v>973</v>
      </c>
      <c r="K10167" s="2" t="s">
        <v>63</v>
      </c>
      <c r="L10167" s="2" t="s">
        <v>34</v>
      </c>
      <c r="M10167" s="7">
        <v>568.36599999999999</v>
      </c>
      <c r="N10167" s="6">
        <v>18.98</v>
      </c>
      <c r="O10167" s="5">
        <v>19.100000000000001</v>
      </c>
      <c r="P10167" s="2" t="s">
        <v>29741</v>
      </c>
      <c r="Q10167" s="6">
        <v>100</v>
      </c>
      <c r="R10167" s="6">
        <v>23</v>
      </c>
      <c r="S10167" s="5">
        <v>2.2999999999999998</v>
      </c>
      <c r="T10167" s="7">
        <v>80.072000000000003</v>
      </c>
      <c r="U10167" s="5">
        <v>19.3</v>
      </c>
      <c r="V10167" s="6">
        <v>0.16</v>
      </c>
      <c r="W10167" s="6">
        <v>14.54</v>
      </c>
      <c r="X10167" s="6">
        <v>15.59</v>
      </c>
      <c r="Y10167" s="6">
        <v>22.67</v>
      </c>
      <c r="Z10167" s="6">
        <v>22.45</v>
      </c>
      <c r="AA10167" s="6">
        <v>14.09</v>
      </c>
      <c r="AB10167" s="7">
        <v>32.200000000000003</v>
      </c>
      <c r="AC10167" s="6">
        <v>105.7</v>
      </c>
    </row>
    <row r="10168" spans="1:29" ht="52" x14ac:dyDescent="0.15">
      <c r="A10168" s="3">
        <f>DATE(2012,2,9)</f>
        <v>40948</v>
      </c>
      <c r="B10168" s="3">
        <f>DATE(2012,4,5)</f>
        <v>41004</v>
      </c>
      <c r="C10168" s="2" t="s">
        <v>95</v>
      </c>
      <c r="D10168" s="2" t="s">
        <v>29742</v>
      </c>
      <c r="E10168" s="2" t="s">
        <v>29743</v>
      </c>
      <c r="F10168" s="4">
        <v>7372</v>
      </c>
      <c r="G10168" s="2" t="s">
        <v>551</v>
      </c>
      <c r="H10168" s="2" t="s">
        <v>34</v>
      </c>
      <c r="I10168" s="2" t="s">
        <v>8588</v>
      </c>
      <c r="J10168" s="2" t="s">
        <v>8589</v>
      </c>
      <c r="K10168" s="2" t="s">
        <v>551</v>
      </c>
      <c r="L10168" s="2" t="s">
        <v>34</v>
      </c>
      <c r="M10168" s="12">
        <v>136551.99100000001</v>
      </c>
      <c r="N10168" s="6">
        <v>28.89</v>
      </c>
      <c r="O10168" s="7">
        <v>28.495000000000001</v>
      </c>
      <c r="P10168" s="2" t="s">
        <v>29744</v>
      </c>
      <c r="Q10168" s="6">
        <v>100</v>
      </c>
      <c r="R10168" s="6">
        <v>46</v>
      </c>
      <c r="S10168" s="5">
        <v>-17.399999999999999</v>
      </c>
      <c r="T10168" s="7">
        <v>34.024999999999999</v>
      </c>
      <c r="U10168" s="5">
        <v>9.1</v>
      </c>
      <c r="V10168" s="6">
        <v>-0.42</v>
      </c>
      <c r="W10168" s="6">
        <v>37.06</v>
      </c>
      <c r="X10168" s="6">
        <v>38.94</v>
      </c>
      <c r="Y10168" s="6">
        <v>45.64</v>
      </c>
      <c r="Z10168" s="7">
        <v>45.655000000000001</v>
      </c>
      <c r="AA10168" s="6">
        <v>41.5</v>
      </c>
      <c r="AB10168" s="2" t="s">
        <v>86</v>
      </c>
      <c r="AC10168" s="8">
        <v>31012</v>
      </c>
    </row>
    <row r="10169" spans="1:29" ht="39" x14ac:dyDescent="0.15">
      <c r="A10169" s="3">
        <f>DATE(2012,2,13)</f>
        <v>40952</v>
      </c>
      <c r="B10169" s="3">
        <f>DATE(2012,5,31)</f>
        <v>41060</v>
      </c>
      <c r="C10169" s="2" t="s">
        <v>95</v>
      </c>
      <c r="D10169" s="2" t="s">
        <v>29745</v>
      </c>
      <c r="E10169" s="2" t="s">
        <v>1608</v>
      </c>
      <c r="F10169" s="4">
        <v>1311</v>
      </c>
      <c r="G10169" s="2" t="s">
        <v>148</v>
      </c>
      <c r="H10169" s="2" t="s">
        <v>34</v>
      </c>
      <c r="I10169" s="2" t="s">
        <v>29746</v>
      </c>
      <c r="J10169" s="2" t="s">
        <v>29747</v>
      </c>
      <c r="K10169" s="2" t="s">
        <v>148</v>
      </c>
      <c r="L10169" s="2" t="s">
        <v>34</v>
      </c>
      <c r="M10169" s="6">
        <v>300.14999999999998</v>
      </c>
      <c r="N10169" s="5">
        <v>26.4</v>
      </c>
      <c r="O10169" s="5">
        <v>26.4</v>
      </c>
      <c r="P10169" s="2" t="s">
        <v>29748</v>
      </c>
      <c r="Q10169" s="6">
        <v>100</v>
      </c>
      <c r="R10169" s="2"/>
      <c r="S10169" s="2"/>
      <c r="T10169" s="2"/>
      <c r="U10169" s="2"/>
      <c r="V10169" s="2"/>
      <c r="W10169" s="4">
        <v>300</v>
      </c>
      <c r="X10169" s="4">
        <v>327</v>
      </c>
      <c r="Y10169" s="4">
        <v>327</v>
      </c>
      <c r="Z10169" s="4">
        <v>355</v>
      </c>
      <c r="AA10169" s="6">
        <v>0.15</v>
      </c>
      <c r="AB10169" s="2" t="s">
        <v>47</v>
      </c>
      <c r="AC10169" s="6">
        <v>323.43</v>
      </c>
    </row>
    <row r="10170" spans="1:29" ht="156" x14ac:dyDescent="0.15">
      <c r="A10170" s="3">
        <f>DATE(2012,2,13)</f>
        <v>40952</v>
      </c>
      <c r="B10170" s="3">
        <f>DATE(2012,4,24)</f>
        <v>41023</v>
      </c>
      <c r="C10170" s="2" t="s">
        <v>95</v>
      </c>
      <c r="D10170" s="2" t="s">
        <v>29350</v>
      </c>
      <c r="E10170" s="2" t="s">
        <v>540</v>
      </c>
      <c r="F10170" s="4">
        <v>2836</v>
      </c>
      <c r="G10170" s="2" t="s">
        <v>130</v>
      </c>
      <c r="H10170" s="2" t="s">
        <v>34</v>
      </c>
      <c r="I10170" s="2" t="s">
        <v>29749</v>
      </c>
      <c r="J10170" s="2" t="s">
        <v>244</v>
      </c>
      <c r="K10170" s="2" t="s">
        <v>53</v>
      </c>
      <c r="L10170" s="2" t="s">
        <v>34</v>
      </c>
      <c r="M10170" s="2"/>
      <c r="N10170" s="2"/>
      <c r="O10170" s="2"/>
      <c r="P10170" s="2" t="s">
        <v>29750</v>
      </c>
      <c r="Q10170" s="6">
        <v>100</v>
      </c>
      <c r="R10170" s="6">
        <v>4</v>
      </c>
      <c r="S10170" s="5">
        <v>2.1</v>
      </c>
      <c r="T10170" s="7">
        <v>4.7839999999999998</v>
      </c>
      <c r="U10170" s="5">
        <v>2.1</v>
      </c>
      <c r="V10170" s="6">
        <v>0.11</v>
      </c>
      <c r="W10170" s="4">
        <v>4</v>
      </c>
      <c r="X10170" s="6">
        <v>3.79</v>
      </c>
      <c r="Y10170" s="6">
        <v>3.96</v>
      </c>
      <c r="Z10170" s="6">
        <v>3.69</v>
      </c>
      <c r="AA10170" s="6">
        <v>20.2</v>
      </c>
      <c r="AB10170" s="7">
        <v>16.459</v>
      </c>
      <c r="AC10170" s="2"/>
    </row>
    <row r="10171" spans="1:29" ht="78" x14ac:dyDescent="0.15">
      <c r="A10171" s="3">
        <f>DATE(2012,2,15)</f>
        <v>40954</v>
      </c>
      <c r="B10171" s="3">
        <f>DATE(2012,4,23)</f>
        <v>41022</v>
      </c>
      <c r="C10171" s="2" t="s">
        <v>95</v>
      </c>
      <c r="D10171" s="2" t="s">
        <v>29751</v>
      </c>
      <c r="E10171" s="2" t="s">
        <v>29752</v>
      </c>
      <c r="F10171" s="4">
        <v>6141</v>
      </c>
      <c r="G10171" s="2" t="s">
        <v>370</v>
      </c>
      <c r="H10171" s="2" t="s">
        <v>34</v>
      </c>
      <c r="I10171" s="2" t="s">
        <v>29753</v>
      </c>
      <c r="J10171" s="2" t="s">
        <v>1085</v>
      </c>
      <c r="K10171" s="2" t="s">
        <v>53</v>
      </c>
      <c r="L10171" s="2" t="s">
        <v>4389</v>
      </c>
      <c r="M10171" s="12">
        <v>22446.826000000001</v>
      </c>
      <c r="N10171" s="7">
        <v>88.245000000000005</v>
      </c>
      <c r="O10171" s="7">
        <v>88.674999999999997</v>
      </c>
      <c r="P10171" s="2" t="s">
        <v>29754</v>
      </c>
      <c r="Q10171" s="6">
        <v>100</v>
      </c>
      <c r="R10171" s="6">
        <v>10.5</v>
      </c>
      <c r="S10171" s="5">
        <v>67.599999999999994</v>
      </c>
      <c r="T10171" s="7">
        <v>123.477</v>
      </c>
      <c r="U10171" s="5">
        <v>4.5999999999999996</v>
      </c>
      <c r="V10171" s="6">
        <v>1.0900000000000001</v>
      </c>
      <c r="W10171" s="6">
        <v>8.31</v>
      </c>
      <c r="X10171" s="6">
        <v>8.02</v>
      </c>
      <c r="Y10171" s="6">
        <v>7.91</v>
      </c>
      <c r="Z10171" s="6">
        <v>10.44</v>
      </c>
      <c r="AA10171" s="6">
        <v>62.44</v>
      </c>
      <c r="AB10171" s="7">
        <v>6.5620000000000003</v>
      </c>
      <c r="AC10171" s="10">
        <v>2790.01</v>
      </c>
    </row>
    <row r="10172" spans="1:29" ht="143" x14ac:dyDescent="0.15">
      <c r="A10172" s="3">
        <f>DATE(2012,2,16)</f>
        <v>40955</v>
      </c>
      <c r="B10172" s="3">
        <f>DATE(2012,5,21)</f>
        <v>41050</v>
      </c>
      <c r="C10172" s="2" t="s">
        <v>95</v>
      </c>
      <c r="D10172" s="2" t="s">
        <v>29755</v>
      </c>
      <c r="E10172" s="2" t="s">
        <v>7557</v>
      </c>
      <c r="F10172" s="4">
        <v>2911</v>
      </c>
      <c r="G10172" s="2" t="s">
        <v>148</v>
      </c>
      <c r="H10172" s="2" t="s">
        <v>34</v>
      </c>
      <c r="I10172" s="2" t="s">
        <v>28437</v>
      </c>
      <c r="J10172" s="2" t="s">
        <v>22486</v>
      </c>
      <c r="K10172" s="2" t="s">
        <v>53</v>
      </c>
      <c r="L10172" s="2" t="s">
        <v>34</v>
      </c>
      <c r="M10172" s="2"/>
      <c r="N10172" s="2"/>
      <c r="O10172" s="2"/>
      <c r="P10172" s="2" t="s">
        <v>29756</v>
      </c>
      <c r="Q10172" s="6">
        <v>66.53</v>
      </c>
      <c r="R10172" s="6">
        <v>30</v>
      </c>
      <c r="S10172" s="5">
        <v>345.8</v>
      </c>
      <c r="T10172" s="7">
        <v>653.55700000000002</v>
      </c>
      <c r="U10172" s="5">
        <v>13.3</v>
      </c>
      <c r="V10172" s="6">
        <v>3.94</v>
      </c>
      <c r="W10172" s="6">
        <v>28.12</v>
      </c>
      <c r="X10172" s="5">
        <v>27.6</v>
      </c>
      <c r="Y10172" s="5">
        <v>29.2</v>
      </c>
      <c r="Z10172" s="6">
        <v>29.03</v>
      </c>
      <c r="AA10172" s="6">
        <v>86.57</v>
      </c>
      <c r="AB10172" s="7">
        <v>5.3559999999999999</v>
      </c>
      <c r="AC10172" s="2"/>
    </row>
    <row r="10173" spans="1:29" ht="117" x14ac:dyDescent="0.15">
      <c r="A10173" s="3">
        <f>DATE(2012,2,21)</f>
        <v>40960</v>
      </c>
      <c r="B10173" s="3">
        <f>DATE(2012,3,30)</f>
        <v>40998</v>
      </c>
      <c r="C10173" s="2" t="s">
        <v>95</v>
      </c>
      <c r="D10173" s="2" t="s">
        <v>29757</v>
      </c>
      <c r="E10173" s="2" t="s">
        <v>29758</v>
      </c>
      <c r="F10173" s="4">
        <v>8742</v>
      </c>
      <c r="G10173" s="2" t="s">
        <v>223</v>
      </c>
      <c r="H10173" s="2" t="s">
        <v>34</v>
      </c>
      <c r="I10173" s="2" t="s">
        <v>29759</v>
      </c>
      <c r="J10173" s="2" t="s">
        <v>29760</v>
      </c>
      <c r="K10173" s="2" t="s">
        <v>223</v>
      </c>
      <c r="L10173" s="2" t="s">
        <v>34</v>
      </c>
      <c r="M10173" s="2"/>
      <c r="N10173" s="2"/>
      <c r="O10173" s="2"/>
      <c r="P10173" s="2" t="s">
        <v>29761</v>
      </c>
      <c r="Q10173" s="6">
        <v>100</v>
      </c>
      <c r="R10173" s="6">
        <v>3.2</v>
      </c>
      <c r="S10173" s="5">
        <v>4.5</v>
      </c>
      <c r="T10173" s="7">
        <v>10.007</v>
      </c>
      <c r="U10173" s="5">
        <v>2.8</v>
      </c>
      <c r="V10173" s="7">
        <v>0.193</v>
      </c>
      <c r="W10173" s="6">
        <v>3.15</v>
      </c>
      <c r="X10173" s="6">
        <v>3.25</v>
      </c>
      <c r="Y10173" s="6">
        <v>3.18</v>
      </c>
      <c r="Z10173" s="6">
        <v>3.18</v>
      </c>
      <c r="AA10173" s="6">
        <v>22.97</v>
      </c>
      <c r="AB10173" s="7">
        <v>9.7690000000000001</v>
      </c>
      <c r="AC10173" s="2"/>
    </row>
    <row r="10174" spans="1:29" ht="78" x14ac:dyDescent="0.15">
      <c r="A10174" s="3">
        <f>DATE(2012,2,21)</f>
        <v>40960</v>
      </c>
      <c r="B10174" s="3">
        <f>DATE(2013,6,27)</f>
        <v>41452</v>
      </c>
      <c r="C10174" s="2" t="s">
        <v>95</v>
      </c>
      <c r="D10174" s="2" t="s">
        <v>29762</v>
      </c>
      <c r="E10174" s="2" t="s">
        <v>3395</v>
      </c>
      <c r="F10174" s="4">
        <v>4931</v>
      </c>
      <c r="G10174" s="2" t="s">
        <v>439</v>
      </c>
      <c r="H10174" s="2" t="s">
        <v>34</v>
      </c>
      <c r="I10174" s="2" t="s">
        <v>29763</v>
      </c>
      <c r="J10174" s="2" t="s">
        <v>3759</v>
      </c>
      <c r="K10174" s="2" t="s">
        <v>439</v>
      </c>
      <c r="L10174" s="2" t="s">
        <v>34</v>
      </c>
      <c r="M10174" s="2"/>
      <c r="N10174" s="2"/>
      <c r="O10174" s="2"/>
      <c r="P10174" s="2" t="s">
        <v>29764</v>
      </c>
      <c r="Q10174" s="6">
        <v>100</v>
      </c>
      <c r="R10174" s="6">
        <v>65</v>
      </c>
      <c r="S10174" s="5">
        <v>46.3</v>
      </c>
      <c r="T10174" s="7">
        <v>140.553</v>
      </c>
      <c r="U10174" s="5">
        <v>33.700000000000003</v>
      </c>
      <c r="V10174" s="6">
        <v>2.77</v>
      </c>
      <c r="W10174" s="6">
        <v>57.81</v>
      </c>
      <c r="X10174" s="6">
        <v>58.77</v>
      </c>
      <c r="Y10174" s="6">
        <v>66.22</v>
      </c>
      <c r="Z10174" s="5">
        <v>66.3</v>
      </c>
      <c r="AA10174" s="6">
        <v>14.91</v>
      </c>
      <c r="AB10174" s="7">
        <v>14.797000000000001</v>
      </c>
      <c r="AC10174" s="2"/>
    </row>
    <row r="10175" spans="1:29" ht="78" x14ac:dyDescent="0.15">
      <c r="A10175" s="3">
        <f>DATE(2012,2,21)</f>
        <v>40960</v>
      </c>
      <c r="B10175" s="2"/>
      <c r="C10175" s="2" t="s">
        <v>30</v>
      </c>
      <c r="D10175" s="2" t="s">
        <v>29765</v>
      </c>
      <c r="E10175" s="2" t="s">
        <v>29766</v>
      </c>
      <c r="F10175" s="4">
        <v>2834</v>
      </c>
      <c r="G10175" s="2" t="s">
        <v>130</v>
      </c>
      <c r="H10175" s="2" t="s">
        <v>34</v>
      </c>
      <c r="I10175" s="2" t="s">
        <v>29767</v>
      </c>
      <c r="J10175" s="2" t="s">
        <v>29768</v>
      </c>
      <c r="K10175" s="2" t="s">
        <v>130</v>
      </c>
      <c r="L10175" s="2" t="s">
        <v>4389</v>
      </c>
      <c r="M10175" s="12">
        <v>2170.7689999999998</v>
      </c>
      <c r="N10175" s="7">
        <v>2.2549999999999999</v>
      </c>
      <c r="O10175" s="7">
        <v>2.0329999999999999</v>
      </c>
      <c r="P10175" s="2" t="s">
        <v>29769</v>
      </c>
      <c r="Q10175" s="2"/>
      <c r="R10175" s="6">
        <v>16.600000000000001</v>
      </c>
      <c r="S10175" s="5">
        <v>43.6</v>
      </c>
      <c r="T10175" s="7">
        <v>109.917</v>
      </c>
      <c r="U10175" s="5">
        <v>8</v>
      </c>
      <c r="V10175" s="6">
        <v>0.86</v>
      </c>
      <c r="W10175" s="5">
        <v>13.5</v>
      </c>
      <c r="X10175" s="5">
        <v>13.5</v>
      </c>
      <c r="Y10175" s="6">
        <v>16.41</v>
      </c>
      <c r="Z10175" s="6">
        <v>16.260000000000002</v>
      </c>
      <c r="AA10175" s="6">
        <v>50.43</v>
      </c>
      <c r="AB10175" s="7">
        <v>12.632999999999999</v>
      </c>
      <c r="AC10175" s="6">
        <v>110.39</v>
      </c>
    </row>
    <row r="10176" spans="1:29" ht="78" x14ac:dyDescent="0.15">
      <c r="A10176" s="3">
        <f>DATE(2012,2,22)</f>
        <v>40961</v>
      </c>
      <c r="B10176" s="3">
        <f>DATE(2012,12,31)</f>
        <v>41274</v>
      </c>
      <c r="C10176" s="2" t="s">
        <v>95</v>
      </c>
      <c r="D10176" s="2" t="s">
        <v>29770</v>
      </c>
      <c r="E10176" s="2" t="s">
        <v>20370</v>
      </c>
      <c r="F10176" s="4">
        <v>7389</v>
      </c>
      <c r="G10176" s="2" t="s">
        <v>223</v>
      </c>
      <c r="H10176" s="2" t="s">
        <v>34</v>
      </c>
      <c r="I10176" s="2" t="s">
        <v>29771</v>
      </c>
      <c r="J10176" s="2" t="s">
        <v>244</v>
      </c>
      <c r="K10176" s="2" t="s">
        <v>53</v>
      </c>
      <c r="L10176" s="2" t="s">
        <v>34</v>
      </c>
      <c r="M10176" s="2"/>
      <c r="N10176" s="2"/>
      <c r="O10176" s="2"/>
      <c r="P10176" s="2" t="s">
        <v>29772</v>
      </c>
      <c r="Q10176" s="6">
        <v>100</v>
      </c>
      <c r="R10176" s="6">
        <v>4.25</v>
      </c>
      <c r="S10176" s="5">
        <v>1.6</v>
      </c>
      <c r="T10176" s="7">
        <v>3.4569999999999999</v>
      </c>
      <c r="U10176" s="5">
        <v>1.3</v>
      </c>
      <c r="V10176" s="6">
        <v>0.18</v>
      </c>
      <c r="W10176" s="7">
        <v>3.1190000000000002</v>
      </c>
      <c r="X10176" s="6">
        <v>3.07</v>
      </c>
      <c r="Y10176" s="6">
        <v>3.14</v>
      </c>
      <c r="Z10176" s="6">
        <v>4.24</v>
      </c>
      <c r="AA10176" s="6">
        <v>8.49</v>
      </c>
      <c r="AB10176" s="7">
        <v>27.303999999999998</v>
      </c>
      <c r="AC10176" s="2"/>
    </row>
    <row r="10177" spans="1:29" ht="169" x14ac:dyDescent="0.15">
      <c r="A10177" s="3">
        <f>DATE(2012,2,24)</f>
        <v>40963</v>
      </c>
      <c r="B10177" s="3">
        <f>DATE(2012,9,25)</f>
        <v>41177</v>
      </c>
      <c r="C10177" s="2" t="s">
        <v>95</v>
      </c>
      <c r="D10177" s="2" t="s">
        <v>28602</v>
      </c>
      <c r="E10177" s="2" t="s">
        <v>28603</v>
      </c>
      <c r="F10177" s="4">
        <v>3111</v>
      </c>
      <c r="G10177" s="2" t="s">
        <v>326</v>
      </c>
      <c r="H10177" s="2" t="s">
        <v>34</v>
      </c>
      <c r="I10177" s="2" t="s">
        <v>29773</v>
      </c>
      <c r="J10177" s="2" t="s">
        <v>11337</v>
      </c>
      <c r="K10177" s="2" t="s">
        <v>53</v>
      </c>
      <c r="L10177" s="2" t="s">
        <v>34</v>
      </c>
      <c r="M10177" s="2"/>
      <c r="N10177" s="2"/>
      <c r="O10177" s="2"/>
      <c r="P10177" s="2" t="s">
        <v>29774</v>
      </c>
      <c r="Q10177" s="6">
        <v>53</v>
      </c>
      <c r="R10177" s="6">
        <v>15.25</v>
      </c>
      <c r="S10177" s="5">
        <v>12.4</v>
      </c>
      <c r="T10177" s="7">
        <v>23.268999999999998</v>
      </c>
      <c r="U10177" s="5">
        <v>7.9</v>
      </c>
      <c r="V10177" s="6">
        <v>0.68</v>
      </c>
      <c r="W10177" s="6">
        <v>12.85</v>
      </c>
      <c r="X10177" s="6">
        <v>13.07</v>
      </c>
      <c r="Y10177" s="6">
        <v>15.49</v>
      </c>
      <c r="Z10177" s="5">
        <v>15.6</v>
      </c>
      <c r="AA10177" s="6">
        <v>18.13</v>
      </c>
      <c r="AB10177" s="7">
        <v>16.579999999999998</v>
      </c>
      <c r="AC10177" s="2"/>
    </row>
    <row r="10178" spans="1:29" ht="143" x14ac:dyDescent="0.15">
      <c r="A10178" s="3">
        <f>DATE(2012,2,28)</f>
        <v>40967</v>
      </c>
      <c r="B10178" s="2"/>
      <c r="C10178" s="2" t="s">
        <v>30</v>
      </c>
      <c r="D10178" s="2" t="s">
        <v>29775</v>
      </c>
      <c r="E10178" s="2" t="s">
        <v>1181</v>
      </c>
      <c r="F10178" s="4">
        <v>6021</v>
      </c>
      <c r="G10178" s="2" t="s">
        <v>37</v>
      </c>
      <c r="H10178" s="2" t="s">
        <v>34</v>
      </c>
      <c r="I10178" s="2" t="s">
        <v>29776</v>
      </c>
      <c r="J10178" s="2" t="s">
        <v>36</v>
      </c>
      <c r="K10178" s="2" t="s">
        <v>37</v>
      </c>
      <c r="L10178" s="2" t="s">
        <v>34</v>
      </c>
      <c r="M10178" s="7">
        <v>128.602</v>
      </c>
      <c r="N10178" s="6">
        <v>4.67</v>
      </c>
      <c r="O10178" s="6">
        <v>4.62</v>
      </c>
      <c r="P10178" s="2" t="s">
        <v>29777</v>
      </c>
      <c r="Q10178" s="2"/>
      <c r="R10178" s="6">
        <v>1.58</v>
      </c>
      <c r="S10178" s="5">
        <v>-1.3</v>
      </c>
      <c r="T10178" s="2"/>
      <c r="U10178" s="5">
        <v>8.1999999999999993</v>
      </c>
      <c r="V10178" s="6">
        <v>-1.06</v>
      </c>
      <c r="W10178" s="5">
        <v>0.9</v>
      </c>
      <c r="X10178" s="6">
        <v>1.01</v>
      </c>
      <c r="Y10178" s="6">
        <v>0.95</v>
      </c>
      <c r="Z10178" s="6">
        <v>1.35</v>
      </c>
      <c r="AA10178" s="6">
        <v>1.26</v>
      </c>
      <c r="AB10178" s="2" t="s">
        <v>86</v>
      </c>
      <c r="AC10178" s="2"/>
    </row>
    <row r="10179" spans="1:29" ht="104" x14ac:dyDescent="0.15">
      <c r="A10179" s="3">
        <f>DATE(2012,3,5)</f>
        <v>40973</v>
      </c>
      <c r="B10179" s="3">
        <f>DATE(2012,5,17)</f>
        <v>41046</v>
      </c>
      <c r="C10179" s="2" t="s">
        <v>95</v>
      </c>
      <c r="D10179" s="2" t="s">
        <v>29778</v>
      </c>
      <c r="E10179" s="2" t="s">
        <v>29779</v>
      </c>
      <c r="F10179" s="4">
        <v>8299</v>
      </c>
      <c r="G10179" s="2" t="s">
        <v>415</v>
      </c>
      <c r="H10179" s="2" t="s">
        <v>34</v>
      </c>
      <c r="I10179" s="2" t="s">
        <v>29780</v>
      </c>
      <c r="J10179" s="2" t="s">
        <v>23408</v>
      </c>
      <c r="K10179" s="2" t="s">
        <v>53</v>
      </c>
      <c r="L10179" s="2" t="s">
        <v>34</v>
      </c>
      <c r="M10179" s="2"/>
      <c r="N10179" s="2"/>
      <c r="O10179" s="2"/>
      <c r="P10179" s="2" t="s">
        <v>29781</v>
      </c>
      <c r="Q10179" s="6">
        <v>100</v>
      </c>
      <c r="R10179" s="6">
        <v>11.1</v>
      </c>
      <c r="S10179" s="5">
        <v>11.5</v>
      </c>
      <c r="T10179" s="7">
        <v>21.809000000000001</v>
      </c>
      <c r="U10179" s="5">
        <v>4.5999999999999996</v>
      </c>
      <c r="V10179" s="6">
        <v>0.45</v>
      </c>
      <c r="W10179" s="6">
        <v>9.4600000000000009</v>
      </c>
      <c r="X10179" s="6">
        <v>9.0399999999999991</v>
      </c>
      <c r="Y10179" s="6">
        <v>11.09</v>
      </c>
      <c r="Z10179" s="6">
        <v>11.04</v>
      </c>
      <c r="AA10179" s="6">
        <v>26.34</v>
      </c>
      <c r="AB10179" s="7">
        <v>19.939</v>
      </c>
      <c r="AC10179" s="2"/>
    </row>
    <row r="10180" spans="1:29" ht="65" x14ac:dyDescent="0.15">
      <c r="A10180" s="3">
        <f>DATE(2012,3,5)</f>
        <v>40973</v>
      </c>
      <c r="B10180" s="3">
        <f>DATE(2012,7,2)</f>
        <v>41092</v>
      </c>
      <c r="C10180" s="2" t="s">
        <v>95</v>
      </c>
      <c r="D10180" s="2" t="s">
        <v>29782</v>
      </c>
      <c r="E10180" s="2" t="s">
        <v>36</v>
      </c>
      <c r="F10180" s="4">
        <v>6021</v>
      </c>
      <c r="G10180" s="2" t="s">
        <v>37</v>
      </c>
      <c r="H10180" s="2" t="s">
        <v>34</v>
      </c>
      <c r="I10180" s="2" t="s">
        <v>29783</v>
      </c>
      <c r="J10180" s="2" t="s">
        <v>36</v>
      </c>
      <c r="K10180" s="2" t="s">
        <v>37</v>
      </c>
      <c r="L10180" s="2" t="s">
        <v>34</v>
      </c>
      <c r="M10180" s="2"/>
      <c r="N10180" s="2"/>
      <c r="O10180" s="2"/>
      <c r="P10180" s="2" t="s">
        <v>29784</v>
      </c>
      <c r="Q10180" s="6">
        <v>100</v>
      </c>
      <c r="R10180" s="6">
        <v>20.62</v>
      </c>
      <c r="S10180" s="5">
        <v>7.2</v>
      </c>
      <c r="T10180" s="7">
        <v>12.342000000000001</v>
      </c>
      <c r="U10180" s="5">
        <v>12</v>
      </c>
      <c r="V10180" s="6">
        <v>0.11</v>
      </c>
      <c r="W10180" s="5">
        <v>14.7</v>
      </c>
      <c r="X10180" s="6">
        <v>14.98</v>
      </c>
      <c r="Y10180" s="6">
        <v>14.91</v>
      </c>
      <c r="Z10180" s="6">
        <v>20.190000000000001</v>
      </c>
      <c r="AA10180" s="6">
        <v>11.7</v>
      </c>
      <c r="AB10180" s="7">
        <v>51.994999999999997</v>
      </c>
      <c r="AC10180" s="2"/>
    </row>
    <row r="10181" spans="1:29" ht="156" x14ac:dyDescent="0.15">
      <c r="A10181" s="3">
        <f>DATE(2012,3,7)</f>
        <v>40975</v>
      </c>
      <c r="B10181" s="3">
        <f>DATE(2012,4,27)</f>
        <v>41026</v>
      </c>
      <c r="C10181" s="2" t="s">
        <v>95</v>
      </c>
      <c r="D10181" s="2" t="s">
        <v>29785</v>
      </c>
      <c r="E10181" s="2" t="s">
        <v>29786</v>
      </c>
      <c r="F10181" s="4">
        <v>7374</v>
      </c>
      <c r="G10181" s="2" t="s">
        <v>223</v>
      </c>
      <c r="H10181" s="2" t="s">
        <v>34</v>
      </c>
      <c r="I10181" s="2" t="s">
        <v>29787</v>
      </c>
      <c r="J10181" s="2" t="s">
        <v>20845</v>
      </c>
      <c r="K10181" s="2" t="s">
        <v>551</v>
      </c>
      <c r="L10181" s="2" t="s">
        <v>34</v>
      </c>
      <c r="M10181" s="2"/>
      <c r="N10181" s="2"/>
      <c r="O10181" s="2"/>
      <c r="P10181" s="2" t="s">
        <v>29788</v>
      </c>
      <c r="Q10181" s="6">
        <v>100</v>
      </c>
      <c r="R10181" s="6">
        <v>29.5</v>
      </c>
      <c r="S10181" s="5">
        <v>19</v>
      </c>
      <c r="T10181" s="7">
        <v>26.178000000000001</v>
      </c>
      <c r="U10181" s="5">
        <v>8.6</v>
      </c>
      <c r="V10181" s="6">
        <v>1.72</v>
      </c>
      <c r="W10181" s="5">
        <v>21.5</v>
      </c>
      <c r="X10181" s="6">
        <v>20.97</v>
      </c>
      <c r="Y10181" s="6">
        <v>29.18</v>
      </c>
      <c r="Z10181" s="6">
        <v>29.18</v>
      </c>
      <c r="AA10181" s="6">
        <v>10.69</v>
      </c>
      <c r="AB10181" s="7">
        <v>14.013</v>
      </c>
      <c r="AC10181" s="2"/>
    </row>
    <row r="10182" spans="1:29" ht="208" x14ac:dyDescent="0.15">
      <c r="A10182" s="3">
        <f>DATE(2012,3,9)</f>
        <v>40977</v>
      </c>
      <c r="B10182" s="2"/>
      <c r="C10182" s="2" t="s">
        <v>30</v>
      </c>
      <c r="D10182" s="2" t="s">
        <v>29789</v>
      </c>
      <c r="E10182" s="2" t="s">
        <v>11444</v>
      </c>
      <c r="F10182" s="4">
        <v>7822</v>
      </c>
      <c r="G10182" s="2" t="s">
        <v>42</v>
      </c>
      <c r="H10182" s="2" t="s">
        <v>34</v>
      </c>
      <c r="I10182" s="2" t="s">
        <v>29790</v>
      </c>
      <c r="J10182" s="2" t="s">
        <v>1072</v>
      </c>
      <c r="K10182" s="2" t="s">
        <v>7998</v>
      </c>
      <c r="L10182" s="2" t="s">
        <v>29791</v>
      </c>
      <c r="M10182" s="2"/>
      <c r="N10182" s="2"/>
      <c r="O10182" s="2"/>
      <c r="P10182" s="2" t="s">
        <v>29792</v>
      </c>
      <c r="Q10182" s="2"/>
      <c r="R10182" s="6">
        <v>1.75</v>
      </c>
      <c r="S10182" s="5">
        <v>-3.6</v>
      </c>
      <c r="T10182" s="6">
        <v>7.07</v>
      </c>
      <c r="U10182" s="5">
        <v>2.8</v>
      </c>
      <c r="V10182" s="6">
        <v>-0.2</v>
      </c>
      <c r="W10182" s="6">
        <v>1.19</v>
      </c>
      <c r="X10182" s="6">
        <v>1.1299999999999999</v>
      </c>
      <c r="Y10182" s="6">
        <v>1.32</v>
      </c>
      <c r="Z10182" s="6">
        <v>1.29</v>
      </c>
      <c r="AA10182" s="6">
        <v>16.190000000000001</v>
      </c>
      <c r="AB10182" s="2" t="s">
        <v>86</v>
      </c>
      <c r="AC10182" s="2"/>
    </row>
    <row r="10183" spans="1:29" ht="156" x14ac:dyDescent="0.15">
      <c r="A10183" s="3">
        <f>DATE(2012,3,9)</f>
        <v>40977</v>
      </c>
      <c r="B10183" s="2"/>
      <c r="C10183" s="2" t="s">
        <v>30</v>
      </c>
      <c r="D10183" s="2" t="s">
        <v>29793</v>
      </c>
      <c r="E10183" s="2" t="s">
        <v>29794</v>
      </c>
      <c r="F10183" s="4">
        <v>7372</v>
      </c>
      <c r="G10183" s="2" t="s">
        <v>551</v>
      </c>
      <c r="H10183" s="2" t="s">
        <v>34</v>
      </c>
      <c r="I10183" s="2" t="s">
        <v>51</v>
      </c>
      <c r="J10183" s="2" t="s">
        <v>52</v>
      </c>
      <c r="K10183" s="2" t="s">
        <v>53</v>
      </c>
      <c r="L10183" s="2" t="s">
        <v>34</v>
      </c>
      <c r="M10183" s="2"/>
      <c r="N10183" s="2"/>
      <c r="O10183" s="2"/>
      <c r="P10183" s="2" t="s">
        <v>29795</v>
      </c>
      <c r="Q10183" s="2"/>
      <c r="R10183" s="6">
        <v>27.5</v>
      </c>
      <c r="S10183" s="5">
        <v>43</v>
      </c>
      <c r="T10183" s="7">
        <v>147.56800000000001</v>
      </c>
      <c r="U10183" s="5">
        <v>10.4</v>
      </c>
      <c r="V10183" s="6">
        <v>0.49</v>
      </c>
      <c r="W10183" s="6">
        <v>19.97</v>
      </c>
      <c r="X10183" s="5">
        <v>19.399999999999999</v>
      </c>
      <c r="Y10183" s="6">
        <v>24.07</v>
      </c>
      <c r="Z10183" s="6">
        <v>23.85</v>
      </c>
      <c r="AA10183" s="6">
        <v>83.43</v>
      </c>
      <c r="AB10183" s="7">
        <v>25.724</v>
      </c>
      <c r="AC10183" s="2"/>
    </row>
    <row r="10184" spans="1:29" ht="78" x14ac:dyDescent="0.15">
      <c r="A10184" s="3">
        <f>DATE(2012,3,12)</f>
        <v>40980</v>
      </c>
      <c r="B10184" s="3">
        <f>DATE(2012,6,22)</f>
        <v>41082</v>
      </c>
      <c r="C10184" s="2" t="s">
        <v>95</v>
      </c>
      <c r="D10184" s="2" t="s">
        <v>29796</v>
      </c>
      <c r="E10184" s="2" t="s">
        <v>36</v>
      </c>
      <c r="F10184" s="4">
        <v>6021</v>
      </c>
      <c r="G10184" s="2" t="s">
        <v>37</v>
      </c>
      <c r="H10184" s="2" t="s">
        <v>34</v>
      </c>
      <c r="I10184" s="2" t="s">
        <v>29797</v>
      </c>
      <c r="J10184" s="2" t="s">
        <v>29798</v>
      </c>
      <c r="K10184" s="2" t="s">
        <v>37</v>
      </c>
      <c r="L10184" s="2" t="s">
        <v>34</v>
      </c>
      <c r="M10184" s="2"/>
      <c r="N10184" s="2"/>
      <c r="O10184" s="2"/>
      <c r="P10184" s="2" t="s">
        <v>29799</v>
      </c>
      <c r="Q10184" s="6">
        <v>100</v>
      </c>
      <c r="R10184" s="6">
        <v>30.58</v>
      </c>
      <c r="S10184" s="5">
        <v>2.6</v>
      </c>
      <c r="T10184" s="7">
        <v>4.2649999999999997</v>
      </c>
      <c r="U10184" s="5">
        <v>31</v>
      </c>
      <c r="V10184" s="6">
        <v>1.53</v>
      </c>
      <c r="W10184" s="4">
        <v>23</v>
      </c>
      <c r="X10184" s="5">
        <v>23.3</v>
      </c>
      <c r="Y10184" s="6">
        <v>22.04</v>
      </c>
      <c r="Z10184" s="6">
        <v>30.02</v>
      </c>
      <c r="AA10184" s="6">
        <v>1.36</v>
      </c>
      <c r="AB10184" s="7">
        <v>19.640999999999998</v>
      </c>
      <c r="AC10184" s="2"/>
    </row>
    <row r="10185" spans="1:29" ht="117" x14ac:dyDescent="0.15">
      <c r="A10185" s="3">
        <f>DATE(2012,3,12)</f>
        <v>40980</v>
      </c>
      <c r="B10185" s="3">
        <f>DATE(2012,12,1)</f>
        <v>41244</v>
      </c>
      <c r="C10185" s="2" t="s">
        <v>95</v>
      </c>
      <c r="D10185" s="2" t="s">
        <v>12571</v>
      </c>
      <c r="E10185" s="2" t="s">
        <v>265</v>
      </c>
      <c r="F10185" s="4">
        <v>6021</v>
      </c>
      <c r="G10185" s="2" t="s">
        <v>37</v>
      </c>
      <c r="H10185" s="2" t="s">
        <v>34</v>
      </c>
      <c r="I10185" s="2" t="s">
        <v>29800</v>
      </c>
      <c r="J10185" s="2" t="s">
        <v>265</v>
      </c>
      <c r="K10185" s="2" t="s">
        <v>37</v>
      </c>
      <c r="L10185" s="2" t="s">
        <v>34</v>
      </c>
      <c r="M10185" s="2"/>
      <c r="N10185" s="2"/>
      <c r="O10185" s="2"/>
      <c r="P10185" s="2" t="s">
        <v>29801</v>
      </c>
      <c r="Q10185" s="6">
        <v>100</v>
      </c>
      <c r="R10185" s="6">
        <v>46</v>
      </c>
      <c r="S10185" s="5">
        <v>70.5</v>
      </c>
      <c r="T10185" s="7">
        <v>82.052999999999997</v>
      </c>
      <c r="U10185" s="5">
        <v>23.2</v>
      </c>
      <c r="V10185" s="6">
        <v>2.14</v>
      </c>
      <c r="W10185" s="6">
        <v>28.71</v>
      </c>
      <c r="X10185" s="6">
        <v>28.69</v>
      </c>
      <c r="Y10185" s="6">
        <v>45.03</v>
      </c>
      <c r="Z10185" s="6">
        <v>45.06</v>
      </c>
      <c r="AA10185" s="6">
        <v>32.94</v>
      </c>
      <c r="AB10185" s="7">
        <v>27.068000000000001</v>
      </c>
      <c r="AC10185" s="2"/>
    </row>
    <row r="10186" spans="1:29" ht="117" x14ac:dyDescent="0.15">
      <c r="A10186" s="3">
        <f>DATE(2012,3,12)</f>
        <v>40980</v>
      </c>
      <c r="B10186" s="3">
        <f>DATE(2012,4,22)</f>
        <v>41021</v>
      </c>
      <c r="C10186" s="2" t="s">
        <v>95</v>
      </c>
      <c r="D10186" s="2" t="s">
        <v>29802</v>
      </c>
      <c r="E10186" s="2" t="s">
        <v>10927</v>
      </c>
      <c r="F10186" s="4">
        <v>3845</v>
      </c>
      <c r="G10186" s="2" t="s">
        <v>226</v>
      </c>
      <c r="H10186" s="2" t="s">
        <v>34</v>
      </c>
      <c r="I10186" s="2" t="s">
        <v>29803</v>
      </c>
      <c r="J10186" s="2" t="s">
        <v>2765</v>
      </c>
      <c r="K10186" s="2" t="s">
        <v>98</v>
      </c>
      <c r="L10186" s="2" t="s">
        <v>99</v>
      </c>
      <c r="M10186" s="10">
        <v>8770.56</v>
      </c>
      <c r="N10186" s="7">
        <v>6.2939999999999996</v>
      </c>
      <c r="O10186" s="7">
        <v>5.9119999999999999</v>
      </c>
      <c r="P10186" s="2" t="s">
        <v>29804</v>
      </c>
      <c r="Q10186" s="6">
        <v>100</v>
      </c>
      <c r="R10186" s="6">
        <v>93</v>
      </c>
      <c r="S10186" s="5">
        <v>34</v>
      </c>
      <c r="T10186" s="7">
        <v>81.275999999999996</v>
      </c>
      <c r="U10186" s="5">
        <v>16.8</v>
      </c>
      <c r="V10186" s="6">
        <v>1.5</v>
      </c>
      <c r="W10186" s="6">
        <v>73.22</v>
      </c>
      <c r="X10186" s="5">
        <v>75.099999999999994</v>
      </c>
      <c r="Y10186" s="6">
        <v>92.94</v>
      </c>
      <c r="Z10186" s="6">
        <v>92.78</v>
      </c>
      <c r="AA10186" s="6">
        <v>22.21</v>
      </c>
      <c r="AB10186" s="7">
        <v>39.436</v>
      </c>
      <c r="AC10186" s="10">
        <v>1501.64</v>
      </c>
    </row>
    <row r="10187" spans="1:29" ht="156" x14ac:dyDescent="0.15">
      <c r="A10187" s="3">
        <f>DATE(2012,3,13)</f>
        <v>40981</v>
      </c>
      <c r="B10187" s="3">
        <f>DATE(2012,11,2)</f>
        <v>41215</v>
      </c>
      <c r="C10187" s="2" t="s">
        <v>95</v>
      </c>
      <c r="D10187" s="2" t="s">
        <v>29805</v>
      </c>
      <c r="E10187" s="2" t="s">
        <v>21800</v>
      </c>
      <c r="F10187" s="4">
        <v>6021</v>
      </c>
      <c r="G10187" s="2" t="s">
        <v>37</v>
      </c>
      <c r="H10187" s="2" t="s">
        <v>34</v>
      </c>
      <c r="I10187" s="2" t="s">
        <v>29806</v>
      </c>
      <c r="J10187" s="2" t="s">
        <v>36</v>
      </c>
      <c r="K10187" s="2" t="s">
        <v>33</v>
      </c>
      <c r="L10187" s="2" t="s">
        <v>34</v>
      </c>
      <c r="M10187" s="7">
        <v>579.71900000000005</v>
      </c>
      <c r="N10187" s="6">
        <v>14.38</v>
      </c>
      <c r="O10187" s="5">
        <v>13.3</v>
      </c>
      <c r="P10187" s="2" t="s">
        <v>29807</v>
      </c>
      <c r="Q10187" s="6">
        <v>100</v>
      </c>
      <c r="R10187" s="6">
        <v>6.65</v>
      </c>
      <c r="S10187" s="5">
        <v>-0.6</v>
      </c>
      <c r="T10187" s="6">
        <v>-1.1499999999999999</v>
      </c>
      <c r="U10187" s="5">
        <v>5.3</v>
      </c>
      <c r="V10187" s="6">
        <v>-0.24</v>
      </c>
      <c r="W10187" s="2"/>
      <c r="X10187" s="6">
        <v>3.02</v>
      </c>
      <c r="Y10187" s="6">
        <v>3.02</v>
      </c>
      <c r="Z10187" s="5">
        <v>6.1</v>
      </c>
      <c r="AA10187" s="6">
        <v>2.74</v>
      </c>
      <c r="AB10187" s="2" t="s">
        <v>86</v>
      </c>
      <c r="AC10187" s="2"/>
    </row>
    <row r="10188" spans="1:29" ht="208" x14ac:dyDescent="0.15">
      <c r="A10188" s="3">
        <f>DATE(2012,3,13)</f>
        <v>40981</v>
      </c>
      <c r="B10188" s="3">
        <f>DATE(2012,5,4)</f>
        <v>41033</v>
      </c>
      <c r="C10188" s="2" t="s">
        <v>95</v>
      </c>
      <c r="D10188" s="2" t="s">
        <v>29808</v>
      </c>
      <c r="E10188" s="2" t="s">
        <v>29809</v>
      </c>
      <c r="F10188" s="4">
        <v>7011</v>
      </c>
      <c r="G10188" s="2" t="s">
        <v>269</v>
      </c>
      <c r="H10188" s="2" t="s">
        <v>34</v>
      </c>
      <c r="I10188" s="2" t="s">
        <v>29810</v>
      </c>
      <c r="J10188" s="2" t="s">
        <v>302</v>
      </c>
      <c r="K10188" s="2" t="s">
        <v>53</v>
      </c>
      <c r="L10188" s="2" t="s">
        <v>34</v>
      </c>
      <c r="M10188" s="2"/>
      <c r="N10188" s="2"/>
      <c r="O10188" s="2"/>
      <c r="P10188" s="2" t="s">
        <v>29811</v>
      </c>
      <c r="Q10188" s="6">
        <v>100</v>
      </c>
      <c r="R10188" s="6">
        <v>7.85</v>
      </c>
      <c r="S10188" s="5">
        <v>-35.6</v>
      </c>
      <c r="T10188" s="7">
        <v>74.316000000000003</v>
      </c>
      <c r="U10188" s="5">
        <v>4</v>
      </c>
      <c r="V10188" s="6">
        <v>-0.91</v>
      </c>
      <c r="W10188" s="6">
        <v>4.21</v>
      </c>
      <c r="X10188" s="6">
        <v>4.1900000000000004</v>
      </c>
      <c r="Y10188" s="6">
        <v>5.32</v>
      </c>
      <c r="Z10188" s="6">
        <v>5.29</v>
      </c>
      <c r="AA10188" s="6">
        <v>32.909999999999997</v>
      </c>
      <c r="AB10188" s="7">
        <v>33.369</v>
      </c>
      <c r="AC10188" s="2"/>
    </row>
    <row r="10189" spans="1:29" ht="130" x14ac:dyDescent="0.15">
      <c r="A10189" s="3">
        <f>DATE(2012,3,13)</f>
        <v>40981</v>
      </c>
      <c r="B10189" s="2"/>
      <c r="C10189" s="2" t="s">
        <v>30</v>
      </c>
      <c r="D10189" s="2" t="s">
        <v>29812</v>
      </c>
      <c r="E10189" s="2" t="s">
        <v>29813</v>
      </c>
      <c r="F10189" s="4">
        <v>6211</v>
      </c>
      <c r="G10189" s="2" t="s">
        <v>53</v>
      </c>
      <c r="H10189" s="2" t="s">
        <v>34</v>
      </c>
      <c r="I10189" s="2" t="s">
        <v>1558</v>
      </c>
      <c r="J10189" s="2" t="s">
        <v>52</v>
      </c>
      <c r="K10189" s="2" t="s">
        <v>53</v>
      </c>
      <c r="L10189" s="2" t="s">
        <v>34</v>
      </c>
      <c r="M10189" s="2"/>
      <c r="N10189" s="2"/>
      <c r="O10189" s="2"/>
      <c r="P10189" s="2" t="s">
        <v>29814</v>
      </c>
      <c r="Q10189" s="2"/>
      <c r="R10189" s="2"/>
      <c r="S10189" s="5">
        <v>-225.5</v>
      </c>
      <c r="T10189" s="7">
        <v>-4.5140000000000002</v>
      </c>
      <c r="U10189" s="5">
        <v>2.7</v>
      </c>
      <c r="V10189" s="6">
        <v>-7.92</v>
      </c>
      <c r="W10189" s="6">
        <v>1.27</v>
      </c>
      <c r="X10189" s="6">
        <v>1.25</v>
      </c>
      <c r="Y10189" s="6">
        <v>1.27</v>
      </c>
      <c r="Z10189" s="6">
        <v>1.02</v>
      </c>
      <c r="AA10189" s="6">
        <v>27.98</v>
      </c>
      <c r="AB10189" s="2" t="s">
        <v>86</v>
      </c>
      <c r="AC10189" s="2"/>
    </row>
    <row r="10190" spans="1:29" ht="91" x14ac:dyDescent="0.15">
      <c r="A10190" s="3">
        <f>DATE(2012,3,19)</f>
        <v>40987</v>
      </c>
      <c r="B10190" s="3">
        <f>DATE(2012,7,2)</f>
        <v>41092</v>
      </c>
      <c r="C10190" s="2" t="s">
        <v>95</v>
      </c>
      <c r="D10190" s="2" t="s">
        <v>29815</v>
      </c>
      <c r="E10190" s="2" t="s">
        <v>29816</v>
      </c>
      <c r="F10190" s="4">
        <v>4899</v>
      </c>
      <c r="G10190" s="2" t="s">
        <v>63</v>
      </c>
      <c r="H10190" s="2" t="s">
        <v>34</v>
      </c>
      <c r="I10190" s="2" t="s">
        <v>27546</v>
      </c>
      <c r="J10190" s="2" t="s">
        <v>27547</v>
      </c>
      <c r="K10190" s="2" t="s">
        <v>63</v>
      </c>
      <c r="L10190" s="2" t="s">
        <v>34</v>
      </c>
      <c r="M10190" s="2"/>
      <c r="N10190" s="2"/>
      <c r="O10190" s="2"/>
      <c r="P10190" s="2" t="s">
        <v>29817</v>
      </c>
      <c r="Q10190" s="6">
        <v>100</v>
      </c>
      <c r="R10190" s="6">
        <v>84</v>
      </c>
      <c r="S10190" s="5">
        <v>72.7</v>
      </c>
      <c r="T10190" s="5">
        <v>193.4</v>
      </c>
      <c r="U10190" s="5">
        <v>24.7</v>
      </c>
      <c r="V10190" s="6">
        <v>2.71</v>
      </c>
      <c r="W10190" s="6">
        <v>71.91</v>
      </c>
      <c r="X10190" s="6">
        <v>74.25</v>
      </c>
      <c r="Y10190" s="6">
        <v>83.74</v>
      </c>
      <c r="Z10190" s="6">
        <v>83.98</v>
      </c>
      <c r="AA10190" s="6">
        <v>26.24</v>
      </c>
      <c r="AB10190" s="7">
        <v>18.155000000000001</v>
      </c>
      <c r="AC10190" s="2"/>
    </row>
    <row r="10191" spans="1:29" ht="91" x14ac:dyDescent="0.15">
      <c r="A10191" s="3">
        <f>DATE(2012,3,19)</f>
        <v>40987</v>
      </c>
      <c r="B10191" s="3">
        <f>DATE(2012,6,1)</f>
        <v>41061</v>
      </c>
      <c r="C10191" s="2" t="s">
        <v>95</v>
      </c>
      <c r="D10191" s="2" t="s">
        <v>29818</v>
      </c>
      <c r="E10191" s="2" t="s">
        <v>29819</v>
      </c>
      <c r="F10191" s="4">
        <v>3949</v>
      </c>
      <c r="G10191" s="2" t="s">
        <v>112</v>
      </c>
      <c r="H10191" s="2" t="s">
        <v>34</v>
      </c>
      <c r="I10191" s="2" t="s">
        <v>27158</v>
      </c>
      <c r="J10191" s="2" t="s">
        <v>27159</v>
      </c>
      <c r="K10191" s="2" t="s">
        <v>112</v>
      </c>
      <c r="L10191" s="2" t="s">
        <v>34</v>
      </c>
      <c r="M10191" s="2"/>
      <c r="N10191" s="2"/>
      <c r="O10191" s="2"/>
      <c r="P10191" s="2" t="s">
        <v>29820</v>
      </c>
      <c r="Q10191" s="6">
        <v>100</v>
      </c>
      <c r="R10191" s="6">
        <v>10.8</v>
      </c>
      <c r="S10191" s="5">
        <v>14.5</v>
      </c>
      <c r="T10191" s="7">
        <v>7.3339999999999996</v>
      </c>
      <c r="U10191" s="5">
        <v>8</v>
      </c>
      <c r="V10191" s="6">
        <v>1.79</v>
      </c>
      <c r="W10191" s="7">
        <v>6.2779999999999996</v>
      </c>
      <c r="X10191" s="6">
        <v>6.44</v>
      </c>
      <c r="Y10191" s="6">
        <v>6.31</v>
      </c>
      <c r="Z10191" s="6">
        <v>7.16</v>
      </c>
      <c r="AA10191" s="6">
        <v>7.99</v>
      </c>
      <c r="AB10191" s="7">
        <v>10.491</v>
      </c>
      <c r="AC10191" s="2"/>
    </row>
    <row r="10192" spans="1:29" ht="91" x14ac:dyDescent="0.15">
      <c r="A10192" s="3">
        <f>DATE(2012,3,19)</f>
        <v>40987</v>
      </c>
      <c r="B10192" s="3">
        <f>DATE(2012,5,16)</f>
        <v>41045</v>
      </c>
      <c r="C10192" s="2" t="s">
        <v>95</v>
      </c>
      <c r="D10192" s="2" t="s">
        <v>29821</v>
      </c>
      <c r="E10192" s="2" t="s">
        <v>29822</v>
      </c>
      <c r="F10192" s="4">
        <v>3564</v>
      </c>
      <c r="G10192" s="2" t="s">
        <v>300</v>
      </c>
      <c r="H10192" s="2" t="s">
        <v>34</v>
      </c>
      <c r="I10192" s="2" t="s">
        <v>26961</v>
      </c>
      <c r="J10192" s="2" t="s">
        <v>244</v>
      </c>
      <c r="K10192" s="2" t="s">
        <v>53</v>
      </c>
      <c r="L10192" s="2" t="s">
        <v>34</v>
      </c>
      <c r="M10192" s="2"/>
      <c r="N10192" s="2"/>
      <c r="O10192" s="2"/>
      <c r="P10192" s="2" t="s">
        <v>29823</v>
      </c>
      <c r="Q10192" s="6">
        <v>100</v>
      </c>
      <c r="R10192" s="6">
        <v>4.4000000000000004</v>
      </c>
      <c r="S10192" s="5">
        <v>-10.7</v>
      </c>
      <c r="T10192" s="7">
        <v>11.827999999999999</v>
      </c>
      <c r="U10192" s="5">
        <v>2.6</v>
      </c>
      <c r="V10192" s="6">
        <v>-0.39</v>
      </c>
      <c r="W10192" s="5">
        <v>3.2</v>
      </c>
      <c r="X10192" s="5">
        <v>3.3</v>
      </c>
      <c r="Y10192" s="6">
        <v>4.3499999999999996</v>
      </c>
      <c r="Z10192" s="6">
        <v>4.34</v>
      </c>
      <c r="AA10192" s="6">
        <v>27.91</v>
      </c>
      <c r="AB10192" s="7">
        <v>65.111999999999995</v>
      </c>
      <c r="AC10192" s="2"/>
    </row>
    <row r="10193" spans="1:29" ht="52" x14ac:dyDescent="0.15">
      <c r="A10193" s="3">
        <f>DATE(2012,3,20)</f>
        <v>40988</v>
      </c>
      <c r="B10193" s="2"/>
      <c r="C10193" s="2" t="s">
        <v>39</v>
      </c>
      <c r="D10193" s="2" t="s">
        <v>29824</v>
      </c>
      <c r="E10193" s="2" t="s">
        <v>27525</v>
      </c>
      <c r="F10193" s="4">
        <v>5611</v>
      </c>
      <c r="G10193" s="2" t="s">
        <v>756</v>
      </c>
      <c r="H10193" s="2" t="s">
        <v>34</v>
      </c>
      <c r="I10193" s="2" t="s">
        <v>143</v>
      </c>
      <c r="J10193" s="2" t="s">
        <v>144</v>
      </c>
      <c r="K10193" s="2" t="s">
        <v>53</v>
      </c>
      <c r="L10193" s="2" t="s">
        <v>139</v>
      </c>
      <c r="M10193" s="2"/>
      <c r="N10193" s="2"/>
      <c r="O10193" s="2"/>
      <c r="P10193" s="2" t="s">
        <v>29825</v>
      </c>
      <c r="Q10193" s="2"/>
      <c r="R10193" s="2"/>
      <c r="S10193" s="5">
        <v>127.7</v>
      </c>
      <c r="T10193" s="7">
        <v>499.69099999999997</v>
      </c>
      <c r="U10193" s="5">
        <v>21.7</v>
      </c>
      <c r="V10193" s="6">
        <v>1.42</v>
      </c>
      <c r="W10193" s="6">
        <v>51.61</v>
      </c>
      <c r="X10193" s="6">
        <v>52.13</v>
      </c>
      <c r="Y10193" s="6">
        <v>52.89</v>
      </c>
      <c r="Z10193" s="6">
        <v>52.31</v>
      </c>
      <c r="AA10193" s="6">
        <v>85.96</v>
      </c>
      <c r="AB10193" s="2" t="s">
        <v>47</v>
      </c>
      <c r="AC10193" s="2"/>
    </row>
    <row r="10194" spans="1:29" ht="195" x14ac:dyDescent="0.15">
      <c r="A10194" s="3">
        <f>DATE(2012,3,22)</f>
        <v>40990</v>
      </c>
      <c r="B10194" s="2"/>
      <c r="C10194" s="2" t="s">
        <v>30</v>
      </c>
      <c r="D10194" s="2" t="s">
        <v>29789</v>
      </c>
      <c r="E10194" s="2" t="s">
        <v>11444</v>
      </c>
      <c r="F10194" s="4">
        <v>7822</v>
      </c>
      <c r="G10194" s="2" t="s">
        <v>42</v>
      </c>
      <c r="H10194" s="2" t="s">
        <v>34</v>
      </c>
      <c r="I10194" s="2" t="s">
        <v>29826</v>
      </c>
      <c r="J10194" s="2" t="s">
        <v>29827</v>
      </c>
      <c r="K10194" s="2" t="s">
        <v>223</v>
      </c>
      <c r="L10194" s="2" t="s">
        <v>322</v>
      </c>
      <c r="M10194" s="2"/>
      <c r="N10194" s="2"/>
      <c r="O10194" s="2"/>
      <c r="P10194" s="2" t="s">
        <v>29828</v>
      </c>
      <c r="Q10194" s="2"/>
      <c r="R10194" s="6">
        <v>1.5</v>
      </c>
      <c r="S10194" s="5">
        <v>-1.4</v>
      </c>
      <c r="T10194" s="7">
        <v>7.6660000000000004</v>
      </c>
      <c r="U10194" s="5">
        <v>3</v>
      </c>
      <c r="V10194" s="6">
        <v>-7.0000000000000007E-2</v>
      </c>
      <c r="W10194" s="6">
        <v>1.19</v>
      </c>
      <c r="X10194" s="6">
        <v>1.1299999999999999</v>
      </c>
      <c r="Y10194" s="6">
        <v>1.32</v>
      </c>
      <c r="Z10194" s="6">
        <v>1.29</v>
      </c>
      <c r="AA10194" s="6">
        <v>16.190000000000001</v>
      </c>
      <c r="AB10194" s="2" t="s">
        <v>86</v>
      </c>
      <c r="AC10194" s="2"/>
    </row>
    <row r="10195" spans="1:29" ht="143" x14ac:dyDescent="0.15">
      <c r="A10195" s="3">
        <f>DATE(2012,3,26)</f>
        <v>40994</v>
      </c>
      <c r="B10195" s="3">
        <f>DATE(2012,5,16)</f>
        <v>41045</v>
      </c>
      <c r="C10195" s="2" t="s">
        <v>95</v>
      </c>
      <c r="D10195" s="2" t="s">
        <v>29829</v>
      </c>
      <c r="E10195" s="2" t="s">
        <v>29830</v>
      </c>
      <c r="F10195" s="4">
        <v>3822</v>
      </c>
      <c r="G10195" s="2" t="s">
        <v>226</v>
      </c>
      <c r="H10195" s="2" t="s">
        <v>34</v>
      </c>
      <c r="I10195" s="2" t="s">
        <v>29831</v>
      </c>
      <c r="J10195" s="2" t="s">
        <v>29832</v>
      </c>
      <c r="K10195" s="2" t="s">
        <v>53</v>
      </c>
      <c r="L10195" s="2" t="s">
        <v>34</v>
      </c>
      <c r="M10195" s="2"/>
      <c r="N10195" s="2"/>
      <c r="O10195" s="2"/>
      <c r="P10195" s="2" t="s">
        <v>29833</v>
      </c>
      <c r="Q10195" s="6">
        <v>65.23</v>
      </c>
      <c r="R10195" s="6">
        <v>1.75</v>
      </c>
      <c r="S10195" s="5">
        <v>-12.8</v>
      </c>
      <c r="T10195" s="7">
        <v>-2.5579999999999998</v>
      </c>
      <c r="U10195" s="5">
        <v>1.4</v>
      </c>
      <c r="V10195" s="6">
        <v>-0.52</v>
      </c>
      <c r="W10195" s="6">
        <v>1.72</v>
      </c>
      <c r="X10195" s="6">
        <v>1.88</v>
      </c>
      <c r="Y10195" s="6">
        <v>1.79</v>
      </c>
      <c r="Z10195" s="6">
        <v>1.78</v>
      </c>
      <c r="AA10195" s="6">
        <v>27.55</v>
      </c>
      <c r="AB10195" s="2" t="s">
        <v>86</v>
      </c>
      <c r="AC10195" s="2"/>
    </row>
    <row r="10196" spans="1:29" ht="78" x14ac:dyDescent="0.15">
      <c r="A10196" s="3">
        <f>DATE(2012,3,26)</f>
        <v>40994</v>
      </c>
      <c r="B10196" s="3">
        <f>DATE(2012,6,6)</f>
        <v>41066</v>
      </c>
      <c r="C10196" s="2" t="s">
        <v>95</v>
      </c>
      <c r="D10196" s="2" t="s">
        <v>29659</v>
      </c>
      <c r="E10196" s="2" t="s">
        <v>29660</v>
      </c>
      <c r="F10196" s="4">
        <v>2834</v>
      </c>
      <c r="G10196" s="2" t="s">
        <v>130</v>
      </c>
      <c r="H10196" s="2" t="s">
        <v>34</v>
      </c>
      <c r="I10196" s="2" t="s">
        <v>3530</v>
      </c>
      <c r="J10196" s="2" t="s">
        <v>29834</v>
      </c>
      <c r="K10196" s="2" t="s">
        <v>226</v>
      </c>
      <c r="L10196" s="2" t="s">
        <v>34</v>
      </c>
      <c r="M10196" s="2"/>
      <c r="N10196" s="2"/>
      <c r="O10196" s="2"/>
      <c r="P10196" s="2" t="s">
        <v>29835</v>
      </c>
      <c r="Q10196" s="6">
        <v>100</v>
      </c>
      <c r="R10196" s="6">
        <v>9.1</v>
      </c>
      <c r="S10196" s="5">
        <v>-56.6</v>
      </c>
      <c r="T10196" s="7">
        <v>2.323</v>
      </c>
      <c r="U10196" s="5">
        <v>-1.2</v>
      </c>
      <c r="V10196" s="6">
        <v>-1.47</v>
      </c>
      <c r="W10196" s="6">
        <v>8.43</v>
      </c>
      <c r="X10196" s="5">
        <v>8.3000000000000007</v>
      </c>
      <c r="Y10196" s="6">
        <v>8.3800000000000008</v>
      </c>
      <c r="Z10196" s="6">
        <v>9.0399999999999991</v>
      </c>
      <c r="AA10196" s="6">
        <v>51.82</v>
      </c>
      <c r="AB10196" s="7">
        <v>21981.562999999998</v>
      </c>
      <c r="AC10196" s="2"/>
    </row>
    <row r="10197" spans="1:29" ht="156" x14ac:dyDescent="0.15">
      <c r="A10197" s="3">
        <f>DATE(2012,3,26)</f>
        <v>40994</v>
      </c>
      <c r="B10197" s="3">
        <f>DATE(2012,7,23)</f>
        <v>41113</v>
      </c>
      <c r="C10197" s="2" t="s">
        <v>95</v>
      </c>
      <c r="D10197" s="2" t="s">
        <v>29836</v>
      </c>
      <c r="E10197" s="2" t="s">
        <v>29837</v>
      </c>
      <c r="F10197" s="4">
        <v>3674</v>
      </c>
      <c r="G10197" s="2" t="s">
        <v>137</v>
      </c>
      <c r="H10197" s="2" t="s">
        <v>34</v>
      </c>
      <c r="I10197" s="2" t="s">
        <v>29838</v>
      </c>
      <c r="J10197" s="2" t="s">
        <v>27324</v>
      </c>
      <c r="K10197" s="2" t="s">
        <v>137</v>
      </c>
      <c r="L10197" s="2" t="s">
        <v>34</v>
      </c>
      <c r="M10197" s="7">
        <v>241.84200000000001</v>
      </c>
      <c r="N10197" s="6">
        <v>4.66</v>
      </c>
      <c r="O10197" s="6">
        <v>4.3600000000000003</v>
      </c>
      <c r="P10197" s="2" t="s">
        <v>29839</v>
      </c>
      <c r="Q10197" s="6">
        <v>100</v>
      </c>
      <c r="R10197" s="6">
        <v>1.9</v>
      </c>
      <c r="S10197" s="5">
        <v>-53.5</v>
      </c>
      <c r="T10197" s="6">
        <v>-24.64</v>
      </c>
      <c r="U10197" s="5">
        <v>2</v>
      </c>
      <c r="V10197" s="6">
        <v>-0.59</v>
      </c>
      <c r="W10197" s="6">
        <v>1.1299999999999999</v>
      </c>
      <c r="X10197" s="6">
        <v>1.0900000000000001</v>
      </c>
      <c r="Y10197" s="6">
        <v>1.1299999999999999</v>
      </c>
      <c r="Z10197" s="6">
        <v>1.73</v>
      </c>
      <c r="AA10197" s="6">
        <v>90.3</v>
      </c>
      <c r="AB10197" s="2" t="s">
        <v>86</v>
      </c>
      <c r="AC10197" s="6">
        <v>54.22</v>
      </c>
    </row>
    <row r="10198" spans="1:29" ht="104" x14ac:dyDescent="0.15">
      <c r="A10198" s="3">
        <f>DATE(2012,3,27)</f>
        <v>40995</v>
      </c>
      <c r="B10198" s="3">
        <f>DATE(2012,4,10)</f>
        <v>41009</v>
      </c>
      <c r="C10198" s="2" t="s">
        <v>95</v>
      </c>
      <c r="D10198" s="2" t="s">
        <v>29300</v>
      </c>
      <c r="E10198" s="2" t="s">
        <v>29301</v>
      </c>
      <c r="F10198" s="4">
        <v>4412</v>
      </c>
      <c r="G10198" s="2" t="s">
        <v>173</v>
      </c>
      <c r="H10198" s="2" t="s">
        <v>34</v>
      </c>
      <c r="I10198" s="2" t="s">
        <v>1526</v>
      </c>
      <c r="J10198" s="2" t="s">
        <v>302</v>
      </c>
      <c r="K10198" s="2" t="s">
        <v>53</v>
      </c>
      <c r="L10198" s="2" t="s">
        <v>34</v>
      </c>
      <c r="M10198" s="2"/>
      <c r="N10198" s="2"/>
      <c r="O10198" s="2"/>
      <c r="P10198" s="2" t="s">
        <v>29840</v>
      </c>
      <c r="Q10198" s="2"/>
      <c r="R10198" s="2"/>
      <c r="S10198" s="5">
        <v>-227.9</v>
      </c>
      <c r="T10198" s="6">
        <v>89.95</v>
      </c>
      <c r="U10198" s="5">
        <v>-56.8</v>
      </c>
      <c r="V10198" s="9">
        <v>-15.002700000000001</v>
      </c>
      <c r="W10198" s="6">
        <v>6.66</v>
      </c>
      <c r="X10198" s="6">
        <v>6.45</v>
      </c>
      <c r="Y10198" s="5">
        <v>6.5</v>
      </c>
      <c r="Z10198" s="5">
        <v>6.3</v>
      </c>
      <c r="AA10198" s="6">
        <v>56.17</v>
      </c>
      <c r="AB10198" s="2" t="s">
        <v>47</v>
      </c>
      <c r="AC10198" s="2"/>
    </row>
    <row r="10199" spans="1:29" ht="104" x14ac:dyDescent="0.15">
      <c r="A10199" s="3">
        <f>DATE(2012,3,27)</f>
        <v>40995</v>
      </c>
      <c r="B10199" s="2"/>
      <c r="C10199" s="2" t="s">
        <v>7330</v>
      </c>
      <c r="D10199" s="2" t="s">
        <v>29841</v>
      </c>
      <c r="E10199" s="2" t="s">
        <v>1608</v>
      </c>
      <c r="F10199" s="4">
        <v>1311</v>
      </c>
      <c r="G10199" s="2" t="s">
        <v>148</v>
      </c>
      <c r="H10199" s="2" t="s">
        <v>34</v>
      </c>
      <c r="I10199" s="2" t="s">
        <v>29841</v>
      </c>
      <c r="J10199" s="2" t="s">
        <v>1608</v>
      </c>
      <c r="K10199" s="2" t="s">
        <v>148</v>
      </c>
      <c r="L10199" s="2" t="s">
        <v>34</v>
      </c>
      <c r="M10199" s="7">
        <v>14.510999999999999</v>
      </c>
      <c r="N10199" s="5">
        <v>1.6</v>
      </c>
      <c r="O10199" s="6">
        <v>1.61</v>
      </c>
      <c r="P10199" s="2" t="s">
        <v>29842</v>
      </c>
      <c r="Q10199" s="2"/>
      <c r="R10199" s="6">
        <v>1.45</v>
      </c>
      <c r="S10199" s="5">
        <v>-0.4</v>
      </c>
      <c r="T10199" s="2"/>
      <c r="U10199" s="5">
        <v>0.3</v>
      </c>
      <c r="V10199" s="9">
        <v>-4.2700000000000002E-2</v>
      </c>
      <c r="W10199" s="5">
        <v>1.3</v>
      </c>
      <c r="X10199" s="6">
        <v>1.45</v>
      </c>
      <c r="Y10199" s="5">
        <v>1.6</v>
      </c>
      <c r="Z10199" s="6">
        <v>1.61</v>
      </c>
      <c r="AA10199" s="6">
        <v>8.8699999999999992</v>
      </c>
      <c r="AB10199" s="2" t="s">
        <v>86</v>
      </c>
      <c r="AC10199" s="6">
        <v>0.75</v>
      </c>
    </row>
    <row r="10200" spans="1:29" ht="156" x14ac:dyDescent="0.15">
      <c r="A10200" s="3">
        <f>DATE(2012,3,27)</f>
        <v>40995</v>
      </c>
      <c r="B10200" s="3">
        <f>DATE(2012,10,1)</f>
        <v>41183</v>
      </c>
      <c r="C10200" s="2" t="s">
        <v>95</v>
      </c>
      <c r="D10200" s="2" t="s">
        <v>21119</v>
      </c>
      <c r="E10200" s="2" t="s">
        <v>36</v>
      </c>
      <c r="F10200" s="4">
        <v>6021</v>
      </c>
      <c r="G10200" s="2" t="s">
        <v>37</v>
      </c>
      <c r="H10200" s="2" t="s">
        <v>34</v>
      </c>
      <c r="I10200" s="2" t="s">
        <v>29843</v>
      </c>
      <c r="J10200" s="2" t="s">
        <v>36</v>
      </c>
      <c r="K10200" s="2" t="s">
        <v>37</v>
      </c>
      <c r="L10200" s="2" t="s">
        <v>34</v>
      </c>
      <c r="M10200" s="2"/>
      <c r="N10200" s="2"/>
      <c r="O10200" s="2"/>
      <c r="P10200" s="2" t="s">
        <v>29844</v>
      </c>
      <c r="Q10200" s="6">
        <v>100</v>
      </c>
      <c r="R10200" s="6">
        <v>3.11</v>
      </c>
      <c r="S10200" s="5">
        <v>3.7</v>
      </c>
      <c r="T10200" s="7">
        <v>8.6120000000000001</v>
      </c>
      <c r="U10200" s="5">
        <v>3.4</v>
      </c>
      <c r="V10200" s="6">
        <v>7.0000000000000007E-2</v>
      </c>
      <c r="W10200" s="6">
        <v>1.88</v>
      </c>
      <c r="X10200" s="7">
        <v>1.962</v>
      </c>
      <c r="Y10200" s="6">
        <v>2.65</v>
      </c>
      <c r="Z10200" s="6">
        <v>2.64</v>
      </c>
      <c r="AA10200" s="6">
        <v>16.829999999999998</v>
      </c>
      <c r="AB10200" s="7">
        <v>81.334999999999994</v>
      </c>
      <c r="AC10200" s="2"/>
    </row>
    <row r="10201" spans="1:29" ht="65" x14ac:dyDescent="0.15">
      <c r="A10201" s="3">
        <f>DATE(2012,3,29)</f>
        <v>40997</v>
      </c>
      <c r="B10201" s="2"/>
      <c r="C10201" s="2" t="s">
        <v>39</v>
      </c>
      <c r="D10201" s="2" t="s">
        <v>29845</v>
      </c>
      <c r="E10201" s="2" t="s">
        <v>29846</v>
      </c>
      <c r="F10201" s="4">
        <v>4512</v>
      </c>
      <c r="G10201" s="2" t="s">
        <v>59</v>
      </c>
      <c r="H10201" s="2" t="s">
        <v>34</v>
      </c>
      <c r="I10201" s="2" t="s">
        <v>143</v>
      </c>
      <c r="J10201" s="2" t="s">
        <v>144</v>
      </c>
      <c r="K10201" s="2" t="s">
        <v>53</v>
      </c>
      <c r="L10201" s="2" t="s">
        <v>139</v>
      </c>
      <c r="M10201" s="2"/>
      <c r="N10201" s="2"/>
      <c r="O10201" s="2"/>
      <c r="P10201" s="2" t="s">
        <v>29847</v>
      </c>
      <c r="Q10201" s="2"/>
      <c r="R10201" s="2"/>
      <c r="S10201" s="5">
        <v>86</v>
      </c>
      <c r="T10201" s="5">
        <v>566</v>
      </c>
      <c r="U10201" s="5">
        <v>6.2</v>
      </c>
      <c r="V10201" s="6">
        <v>0.28000000000000003</v>
      </c>
      <c r="W10201" s="6">
        <v>5.07</v>
      </c>
      <c r="X10201" s="6">
        <v>5.22</v>
      </c>
      <c r="Y10201" s="4">
        <v>5</v>
      </c>
      <c r="Z10201" s="6">
        <v>4.8899999999999997</v>
      </c>
      <c r="AA10201" s="6">
        <v>282.07</v>
      </c>
      <c r="AB10201" s="2" t="s">
        <v>47</v>
      </c>
      <c r="AC10201" s="2"/>
    </row>
    <row r="10202" spans="1:29" ht="130" x14ac:dyDescent="0.15">
      <c r="A10202" s="3">
        <f>DATE(2012,3,31)</f>
        <v>40999</v>
      </c>
      <c r="B10202" s="2"/>
      <c r="C10202" s="2" t="s">
        <v>87</v>
      </c>
      <c r="D10202" s="2" t="s">
        <v>23538</v>
      </c>
      <c r="E10202" s="2" t="s">
        <v>23290</v>
      </c>
      <c r="F10202" s="4">
        <v>2337</v>
      </c>
      <c r="G10202" s="2" t="s">
        <v>708</v>
      </c>
      <c r="H10202" s="2" t="s">
        <v>34</v>
      </c>
      <c r="I10202" s="2" t="s">
        <v>51</v>
      </c>
      <c r="J10202" s="2" t="s">
        <v>52</v>
      </c>
      <c r="K10202" s="2" t="s">
        <v>53</v>
      </c>
      <c r="L10202" s="2" t="s">
        <v>34</v>
      </c>
      <c r="M10202" s="2"/>
      <c r="N10202" s="2"/>
      <c r="O10202" s="2"/>
      <c r="P10202" s="2" t="s">
        <v>29848</v>
      </c>
      <c r="Q10202" s="2"/>
      <c r="R10202" s="2"/>
      <c r="S10202" s="5">
        <v>77.099999999999994</v>
      </c>
      <c r="T10202" s="7">
        <v>108.983</v>
      </c>
      <c r="U10202" s="5">
        <v>-1.6</v>
      </c>
      <c r="V10202" s="9">
        <v>1.4192</v>
      </c>
      <c r="W10202" s="6">
        <v>11.95</v>
      </c>
      <c r="X10202" s="6">
        <v>13.36</v>
      </c>
      <c r="Y10202" s="6">
        <v>13.15</v>
      </c>
      <c r="Z10202" s="6">
        <v>13.15</v>
      </c>
      <c r="AA10202" s="6">
        <v>100.97</v>
      </c>
      <c r="AB10202" s="2" t="s">
        <v>47</v>
      </c>
      <c r="AC10202" s="2"/>
    </row>
    <row r="10203" spans="1:29" ht="143" x14ac:dyDescent="0.15">
      <c r="A10203" s="3">
        <f>DATE(2012,4,1)</f>
        <v>41000</v>
      </c>
      <c r="B10203" s="3">
        <f>DATE(2013,5,1)</f>
        <v>41395</v>
      </c>
      <c r="C10203" s="2" t="s">
        <v>95</v>
      </c>
      <c r="D10203" s="2" t="s">
        <v>29849</v>
      </c>
      <c r="E10203" s="2" t="s">
        <v>29850</v>
      </c>
      <c r="F10203" s="4">
        <v>4512</v>
      </c>
      <c r="G10203" s="2" t="s">
        <v>59</v>
      </c>
      <c r="H10203" s="2" t="s">
        <v>34</v>
      </c>
      <c r="I10203" s="2" t="s">
        <v>1526</v>
      </c>
      <c r="J10203" s="2" t="s">
        <v>302</v>
      </c>
      <c r="K10203" s="2" t="s">
        <v>53</v>
      </c>
      <c r="L10203" s="2" t="s">
        <v>34</v>
      </c>
      <c r="M10203" s="2"/>
      <c r="N10203" s="2"/>
      <c r="O10203" s="2"/>
      <c r="P10203" s="2" t="s">
        <v>29851</v>
      </c>
      <c r="Q10203" s="6">
        <v>100</v>
      </c>
      <c r="R10203" s="2"/>
      <c r="S10203" s="5">
        <v>-31.5</v>
      </c>
      <c r="T10203" s="7">
        <v>87.542000000000002</v>
      </c>
      <c r="U10203" s="5">
        <v>4.7</v>
      </c>
      <c r="V10203" s="6">
        <v>-1.7</v>
      </c>
      <c r="W10203" s="6">
        <v>1.25</v>
      </c>
      <c r="X10203" s="6">
        <v>1.35</v>
      </c>
      <c r="Y10203" s="6">
        <v>0.69</v>
      </c>
      <c r="Z10203" s="6">
        <v>0.69</v>
      </c>
      <c r="AA10203" s="2"/>
      <c r="AB10203" s="7">
        <v>37.317999999999998</v>
      </c>
      <c r="AC10203" s="2"/>
    </row>
    <row r="10204" spans="1:29" ht="156" x14ac:dyDescent="0.15">
      <c r="A10204" s="3">
        <f>DATE(2012,4,2)</f>
        <v>41001</v>
      </c>
      <c r="B10204" s="2"/>
      <c r="C10204" s="2" t="s">
        <v>30</v>
      </c>
      <c r="D10204" s="2" t="s">
        <v>28705</v>
      </c>
      <c r="E10204" s="2" t="s">
        <v>28706</v>
      </c>
      <c r="F10204" s="4">
        <v>2844</v>
      </c>
      <c r="G10204" s="2" t="s">
        <v>358</v>
      </c>
      <c r="H10204" s="2" t="s">
        <v>34</v>
      </c>
      <c r="I10204" s="2" t="s">
        <v>14467</v>
      </c>
      <c r="J10204" s="2" t="s">
        <v>14468</v>
      </c>
      <c r="K10204" s="2" t="s">
        <v>358</v>
      </c>
      <c r="L10204" s="2" t="s">
        <v>34</v>
      </c>
      <c r="M10204" s="2"/>
      <c r="N10204" s="2"/>
      <c r="O10204" s="2"/>
      <c r="P10204" s="2" t="s">
        <v>29852</v>
      </c>
      <c r="Q10204" s="2"/>
      <c r="R10204" s="6">
        <v>24.75</v>
      </c>
      <c r="S10204" s="5">
        <v>391.5</v>
      </c>
      <c r="T10204" s="8">
        <v>1239.9000000000001</v>
      </c>
      <c r="U10204" s="5">
        <v>3.8</v>
      </c>
      <c r="V10204" s="9">
        <v>0.91039999999999999</v>
      </c>
      <c r="W10204" s="6">
        <v>18.87</v>
      </c>
      <c r="X10204" s="6">
        <v>18.52</v>
      </c>
      <c r="Y10204" s="6">
        <v>18.72</v>
      </c>
      <c r="Z10204" s="6">
        <v>18.72</v>
      </c>
      <c r="AA10204" s="6">
        <v>430.95</v>
      </c>
      <c r="AB10204" s="7">
        <v>12.891999999999999</v>
      </c>
      <c r="AC10204" s="5">
        <v>524.4</v>
      </c>
    </row>
    <row r="10205" spans="1:29" ht="78" x14ac:dyDescent="0.15">
      <c r="A10205" s="3">
        <f>DATE(2012,4,4)</f>
        <v>41003</v>
      </c>
      <c r="B10205" s="3">
        <f>DATE(2012,6,1)</f>
        <v>41061</v>
      </c>
      <c r="C10205" s="2" t="s">
        <v>95</v>
      </c>
      <c r="D10205" s="2" t="s">
        <v>29853</v>
      </c>
      <c r="E10205" s="2" t="s">
        <v>6632</v>
      </c>
      <c r="F10205" s="4">
        <v>3672</v>
      </c>
      <c r="G10205" s="2" t="s">
        <v>137</v>
      </c>
      <c r="H10205" s="2" t="s">
        <v>34</v>
      </c>
      <c r="I10205" s="2" t="s">
        <v>27790</v>
      </c>
      <c r="J10205" s="2" t="s">
        <v>6632</v>
      </c>
      <c r="K10205" s="2" t="s">
        <v>137</v>
      </c>
      <c r="L10205" s="2" t="s">
        <v>34</v>
      </c>
      <c r="M10205" s="7">
        <v>386.18700000000001</v>
      </c>
      <c r="N10205" s="6">
        <v>21.41</v>
      </c>
      <c r="O10205" s="6">
        <v>21.62</v>
      </c>
      <c r="P10205" s="2" t="s">
        <v>29854</v>
      </c>
      <c r="Q10205" s="6">
        <v>100</v>
      </c>
      <c r="R10205" s="6">
        <v>13</v>
      </c>
      <c r="S10205" s="5">
        <v>23.2</v>
      </c>
      <c r="T10205" s="7">
        <v>35.338000000000001</v>
      </c>
      <c r="U10205" s="5">
        <v>5.3</v>
      </c>
      <c r="V10205" s="6">
        <v>1.1100000000000001</v>
      </c>
      <c r="W10205" s="6">
        <v>12.14</v>
      </c>
      <c r="X10205" s="6">
        <v>12.26</v>
      </c>
      <c r="Y10205" s="6">
        <v>12.93</v>
      </c>
      <c r="Z10205" s="6">
        <v>12.94</v>
      </c>
      <c r="AA10205" s="6">
        <v>20.48</v>
      </c>
      <c r="AB10205" s="7">
        <v>10.053000000000001</v>
      </c>
      <c r="AC10205" s="6">
        <v>59.75</v>
      </c>
    </row>
    <row r="10206" spans="1:29" ht="117" x14ac:dyDescent="0.15">
      <c r="A10206" s="3">
        <f>DATE(2012,4,4)</f>
        <v>41003</v>
      </c>
      <c r="B10206" s="2"/>
      <c r="C10206" s="2" t="s">
        <v>30</v>
      </c>
      <c r="D10206" s="2" t="s">
        <v>29808</v>
      </c>
      <c r="E10206" s="2" t="s">
        <v>29809</v>
      </c>
      <c r="F10206" s="4">
        <v>7011</v>
      </c>
      <c r="G10206" s="2" t="s">
        <v>269</v>
      </c>
      <c r="H10206" s="2" t="s">
        <v>34</v>
      </c>
      <c r="I10206" s="2" t="s">
        <v>29855</v>
      </c>
      <c r="J10206" s="2" t="s">
        <v>244</v>
      </c>
      <c r="K10206" s="2" t="s">
        <v>53</v>
      </c>
      <c r="L10206" s="2" t="s">
        <v>34</v>
      </c>
      <c r="M10206" s="2"/>
      <c r="N10206" s="2"/>
      <c r="O10206" s="2"/>
      <c r="P10206" s="2" t="s">
        <v>29856</v>
      </c>
      <c r="Q10206" s="2"/>
      <c r="R10206" s="6">
        <v>7.25</v>
      </c>
      <c r="S10206" s="5">
        <v>-35.6</v>
      </c>
      <c r="T10206" s="7">
        <v>74.316000000000003</v>
      </c>
      <c r="U10206" s="5">
        <v>4</v>
      </c>
      <c r="V10206" s="6">
        <v>-0.91</v>
      </c>
      <c r="W10206" s="6">
        <v>5.66</v>
      </c>
      <c r="X10206" s="6">
        <v>5.72</v>
      </c>
      <c r="Y10206" s="5">
        <v>5.7</v>
      </c>
      <c r="Z10206" s="6">
        <v>6.58</v>
      </c>
      <c r="AA10206" s="6">
        <v>32.909999999999997</v>
      </c>
      <c r="AB10206" s="7">
        <v>32.450000000000003</v>
      </c>
      <c r="AC10206" s="2"/>
    </row>
    <row r="10207" spans="1:29" ht="169" x14ac:dyDescent="0.15">
      <c r="A10207" s="3">
        <f>DATE(2012,4,5)</f>
        <v>41004</v>
      </c>
      <c r="B10207" s="3">
        <f>DATE(2012,9,6)</f>
        <v>41158</v>
      </c>
      <c r="C10207" s="2" t="s">
        <v>95</v>
      </c>
      <c r="D10207" s="2" t="s">
        <v>29398</v>
      </c>
      <c r="E10207" s="2" t="s">
        <v>6292</v>
      </c>
      <c r="F10207" s="4">
        <v>2834</v>
      </c>
      <c r="G10207" s="2" t="s">
        <v>130</v>
      </c>
      <c r="H10207" s="2" t="s">
        <v>34</v>
      </c>
      <c r="I10207" s="2" t="s">
        <v>29857</v>
      </c>
      <c r="J10207" s="2" t="s">
        <v>6292</v>
      </c>
      <c r="K10207" s="2" t="s">
        <v>130</v>
      </c>
      <c r="L10207" s="2" t="s">
        <v>34</v>
      </c>
      <c r="M10207" s="7">
        <v>760.447</v>
      </c>
      <c r="N10207" s="6">
        <v>11.06</v>
      </c>
      <c r="O10207" s="5">
        <v>10.4</v>
      </c>
      <c r="P10207" s="2" t="s">
        <v>29858</v>
      </c>
      <c r="Q10207" s="6">
        <v>100</v>
      </c>
      <c r="R10207" s="6">
        <v>1.82</v>
      </c>
      <c r="S10207" s="5">
        <v>-26.6</v>
      </c>
      <c r="T10207" s="7">
        <v>-25.373999999999999</v>
      </c>
      <c r="U10207" s="5">
        <v>0.7</v>
      </c>
      <c r="V10207" s="6">
        <v>-0.2</v>
      </c>
      <c r="W10207" s="6">
        <v>1.47</v>
      </c>
      <c r="X10207" s="6">
        <v>1.43</v>
      </c>
      <c r="Y10207" s="7">
        <v>1.8149999999999999</v>
      </c>
      <c r="Z10207" s="7">
        <v>1.8149999999999999</v>
      </c>
      <c r="AA10207" s="6">
        <v>106.96</v>
      </c>
      <c r="AB10207" s="2" t="s">
        <v>86</v>
      </c>
      <c r="AC10207" s="6">
        <v>186.32</v>
      </c>
    </row>
    <row r="10208" spans="1:29" ht="78" x14ac:dyDescent="0.15">
      <c r="A10208" s="3">
        <f>DATE(2012,4,9)</f>
        <v>41008</v>
      </c>
      <c r="B10208" s="3">
        <f>DATE(2013,4,23)</f>
        <v>41387</v>
      </c>
      <c r="C10208" s="2" t="s">
        <v>95</v>
      </c>
      <c r="D10208" s="2" t="s">
        <v>29859</v>
      </c>
      <c r="E10208" s="2" t="s">
        <v>36</v>
      </c>
      <c r="F10208" s="4">
        <v>6021</v>
      </c>
      <c r="G10208" s="2" t="s">
        <v>37</v>
      </c>
      <c r="H10208" s="2" t="s">
        <v>34</v>
      </c>
      <c r="I10208" s="2" t="s">
        <v>29860</v>
      </c>
      <c r="J10208" s="2" t="s">
        <v>36</v>
      </c>
      <c r="K10208" s="2" t="s">
        <v>37</v>
      </c>
      <c r="L10208" s="2" t="s">
        <v>34</v>
      </c>
      <c r="M10208" s="2"/>
      <c r="N10208" s="5">
        <v>5.0999999999999996</v>
      </c>
      <c r="O10208" s="6">
        <v>5.13</v>
      </c>
      <c r="P10208" s="2" t="s">
        <v>29861</v>
      </c>
      <c r="Q10208" s="6">
        <v>100</v>
      </c>
      <c r="R10208" s="2"/>
      <c r="S10208" s="5">
        <v>0.1</v>
      </c>
      <c r="T10208" s="7">
        <v>1.357</v>
      </c>
      <c r="U10208" s="5">
        <v>9.1</v>
      </c>
      <c r="V10208" s="6">
        <v>-0.15</v>
      </c>
      <c r="W10208" s="6">
        <v>4.1399999999999997</v>
      </c>
      <c r="X10208" s="6">
        <v>4.05</v>
      </c>
      <c r="Y10208" s="5">
        <v>5.0999999999999996</v>
      </c>
      <c r="Z10208" s="6">
        <v>5.13</v>
      </c>
      <c r="AA10208" s="6">
        <v>2.58</v>
      </c>
      <c r="AB10208" s="7">
        <v>54.183</v>
      </c>
      <c r="AC10208" s="2"/>
    </row>
    <row r="10209" spans="1:29" ht="104" x14ac:dyDescent="0.15">
      <c r="A10209" s="3">
        <f>DATE(2012,4,9)</f>
        <v>41008</v>
      </c>
      <c r="B10209" s="2"/>
      <c r="C10209" s="2" t="s">
        <v>7330</v>
      </c>
      <c r="D10209" s="2" t="s">
        <v>29862</v>
      </c>
      <c r="E10209" s="2" t="s">
        <v>29863</v>
      </c>
      <c r="F10209" s="4">
        <v>4953</v>
      </c>
      <c r="G10209" s="2" t="s">
        <v>116</v>
      </c>
      <c r="H10209" s="2" t="s">
        <v>34</v>
      </c>
      <c r="I10209" s="2" t="s">
        <v>29864</v>
      </c>
      <c r="J10209" s="2" t="s">
        <v>29865</v>
      </c>
      <c r="K10209" s="2" t="s">
        <v>116</v>
      </c>
      <c r="L10209" s="2" t="s">
        <v>902</v>
      </c>
      <c r="M10209" s="7">
        <v>51.207000000000001</v>
      </c>
      <c r="N10209" s="7">
        <v>0.89300000000000002</v>
      </c>
      <c r="O10209" s="7">
        <v>0.88600000000000001</v>
      </c>
      <c r="P10209" s="2" t="s">
        <v>29866</v>
      </c>
      <c r="Q10209" s="2"/>
      <c r="R10209" s="2"/>
      <c r="S10209" s="5">
        <v>2.2999999999999998</v>
      </c>
      <c r="T10209" s="7">
        <v>0.73699999999999999</v>
      </c>
      <c r="U10209" s="5">
        <v>0.3</v>
      </c>
      <c r="V10209" s="6">
        <v>0.17</v>
      </c>
      <c r="W10209" s="6">
        <v>1.31</v>
      </c>
      <c r="X10209" s="5">
        <v>1.3</v>
      </c>
      <c r="Y10209" s="6">
        <v>1.38</v>
      </c>
      <c r="Z10209" s="6">
        <v>1.32</v>
      </c>
      <c r="AA10209" s="6">
        <v>14.73</v>
      </c>
      <c r="AB10209" s="7">
        <v>62.73</v>
      </c>
      <c r="AC10209" s="6">
        <v>7.0000000000000007E-2</v>
      </c>
    </row>
    <row r="10210" spans="1:29" ht="104" x14ac:dyDescent="0.15">
      <c r="A10210" s="3">
        <f>DATE(2012,4,10)</f>
        <v>41009</v>
      </c>
      <c r="B10210" s="2"/>
      <c r="C10210" s="2" t="s">
        <v>30</v>
      </c>
      <c r="D10210" s="2" t="s">
        <v>29867</v>
      </c>
      <c r="E10210" s="2" t="s">
        <v>1304</v>
      </c>
      <c r="F10210" s="4">
        <v>6022</v>
      </c>
      <c r="G10210" s="2" t="s">
        <v>37</v>
      </c>
      <c r="H10210" s="2" t="s">
        <v>34</v>
      </c>
      <c r="I10210" s="2" t="s">
        <v>29868</v>
      </c>
      <c r="J10210" s="2" t="s">
        <v>1181</v>
      </c>
      <c r="K10210" s="2" t="s">
        <v>37</v>
      </c>
      <c r="L10210" s="2" t="s">
        <v>34</v>
      </c>
      <c r="M10210" s="2"/>
      <c r="N10210" s="2"/>
      <c r="O10210" s="2"/>
      <c r="P10210" s="2" t="s">
        <v>29869</v>
      </c>
      <c r="Q10210" s="2"/>
      <c r="R10210" s="6">
        <v>10</v>
      </c>
      <c r="S10210" s="5">
        <v>2.8</v>
      </c>
      <c r="T10210" s="7">
        <v>2.883</v>
      </c>
      <c r="U10210" s="5">
        <v>10</v>
      </c>
      <c r="V10210" s="6">
        <v>0.64</v>
      </c>
      <c r="W10210" s="5">
        <v>8.9</v>
      </c>
      <c r="X10210" s="5">
        <v>8.9</v>
      </c>
      <c r="Y10210" s="6">
        <v>9.85</v>
      </c>
      <c r="Z10210" s="6">
        <v>9.85</v>
      </c>
      <c r="AA10210" s="6">
        <v>4.37</v>
      </c>
      <c r="AB10210" s="7">
        <v>88.875</v>
      </c>
      <c r="AC10210" s="2"/>
    </row>
    <row r="10211" spans="1:29" ht="65" x14ac:dyDescent="0.15">
      <c r="A10211" s="3">
        <f>DATE(2012,4,10)</f>
        <v>41009</v>
      </c>
      <c r="B10211" s="3">
        <f>DATE(2012,7,3)</f>
        <v>41093</v>
      </c>
      <c r="C10211" s="2" t="s">
        <v>95</v>
      </c>
      <c r="D10211" s="2" t="s">
        <v>29870</v>
      </c>
      <c r="E10211" s="2" t="s">
        <v>29871</v>
      </c>
      <c r="F10211" s="4">
        <v>8734</v>
      </c>
      <c r="G10211" s="2" t="s">
        <v>223</v>
      </c>
      <c r="H10211" s="2" t="s">
        <v>34</v>
      </c>
      <c r="I10211" s="2" t="s">
        <v>24995</v>
      </c>
      <c r="J10211" s="2" t="s">
        <v>244</v>
      </c>
      <c r="K10211" s="2" t="s">
        <v>53</v>
      </c>
      <c r="L10211" s="2" t="s">
        <v>34</v>
      </c>
      <c r="M10211" s="2"/>
      <c r="N10211" s="2"/>
      <c r="O10211" s="2"/>
      <c r="P10211" s="2" t="s">
        <v>29872</v>
      </c>
      <c r="Q10211" s="6">
        <v>100</v>
      </c>
      <c r="R10211" s="6">
        <v>8</v>
      </c>
      <c r="S10211" s="5">
        <v>14.4</v>
      </c>
      <c r="T10211" s="7">
        <v>46.268000000000001</v>
      </c>
      <c r="U10211" s="5">
        <v>3.6</v>
      </c>
      <c r="V10211" s="9">
        <v>0.3034</v>
      </c>
      <c r="W10211" s="6">
        <v>8.11</v>
      </c>
      <c r="X10211" s="6">
        <v>7.84</v>
      </c>
      <c r="Y10211" s="5">
        <v>7.9</v>
      </c>
      <c r="Z10211" s="6">
        <v>7.92</v>
      </c>
      <c r="AA10211" s="6">
        <v>49.24</v>
      </c>
      <c r="AB10211" s="7">
        <v>18.033999999999999</v>
      </c>
      <c r="AC10211" s="2"/>
    </row>
    <row r="10212" spans="1:29" ht="169" x14ac:dyDescent="0.15">
      <c r="A10212" s="3">
        <f>DATE(2012,4,10)</f>
        <v>41009</v>
      </c>
      <c r="B10212" s="3">
        <f>DATE(2012,5,15)</f>
        <v>41044</v>
      </c>
      <c r="C10212" s="2" t="s">
        <v>95</v>
      </c>
      <c r="D10212" s="2" t="s">
        <v>29873</v>
      </c>
      <c r="E10212" s="2" t="s">
        <v>29874</v>
      </c>
      <c r="F10212" s="4">
        <v>3861</v>
      </c>
      <c r="G10212" s="2" t="s">
        <v>226</v>
      </c>
      <c r="H10212" s="2" t="s">
        <v>34</v>
      </c>
      <c r="I10212" s="2" t="s">
        <v>315</v>
      </c>
      <c r="J10212" s="2" t="s">
        <v>316</v>
      </c>
      <c r="K10212" s="2" t="s">
        <v>226</v>
      </c>
      <c r="L10212" s="2" t="s">
        <v>34</v>
      </c>
      <c r="M10212" s="10">
        <v>37752.67</v>
      </c>
      <c r="N10212" s="6">
        <v>52.83</v>
      </c>
      <c r="O10212" s="5">
        <v>53.9</v>
      </c>
      <c r="P10212" s="2" t="s">
        <v>29875</v>
      </c>
      <c r="Q10212" s="6">
        <v>96.45</v>
      </c>
      <c r="R10212" s="6">
        <v>5.55</v>
      </c>
      <c r="S10212" s="5">
        <v>61</v>
      </c>
      <c r="T10212" s="7">
        <v>59.146000000000001</v>
      </c>
      <c r="U10212" s="5">
        <v>3.1</v>
      </c>
      <c r="V10212" s="6">
        <v>0.7</v>
      </c>
      <c r="W10212" s="6">
        <v>4.42</v>
      </c>
      <c r="X10212" s="4">
        <v>4</v>
      </c>
      <c r="Y10212" s="6">
        <v>5.54</v>
      </c>
      <c r="Z10212" s="6">
        <v>5.54</v>
      </c>
      <c r="AA10212" s="6">
        <v>86.29</v>
      </c>
      <c r="AB10212" s="7">
        <v>17.324000000000002</v>
      </c>
      <c r="AC10212" s="10">
        <v>1043.28</v>
      </c>
    </row>
    <row r="10213" spans="1:29" ht="65" x14ac:dyDescent="0.15">
      <c r="A10213" s="3">
        <f>DATE(2012,4,11)</f>
        <v>41010</v>
      </c>
      <c r="B10213" s="2"/>
      <c r="C10213" s="2" t="s">
        <v>87</v>
      </c>
      <c r="D10213" s="2" t="s">
        <v>28705</v>
      </c>
      <c r="E10213" s="2" t="s">
        <v>28706</v>
      </c>
      <c r="F10213" s="4">
        <v>2844</v>
      </c>
      <c r="G10213" s="2" t="s">
        <v>358</v>
      </c>
      <c r="H10213" s="2" t="s">
        <v>34</v>
      </c>
      <c r="I10213" s="2" t="s">
        <v>29876</v>
      </c>
      <c r="J10213" s="2" t="s">
        <v>302</v>
      </c>
      <c r="K10213" s="2" t="s">
        <v>53</v>
      </c>
      <c r="L10213" s="2" t="s">
        <v>34</v>
      </c>
      <c r="M10213" s="2"/>
      <c r="N10213" s="2"/>
      <c r="O10213" s="2"/>
      <c r="P10213" s="2" t="s">
        <v>29877</v>
      </c>
      <c r="Q10213" s="2"/>
      <c r="R10213" s="2"/>
      <c r="S10213" s="5">
        <v>391.5</v>
      </c>
      <c r="T10213" s="8">
        <v>1239.9000000000001</v>
      </c>
      <c r="U10213" s="5">
        <v>3.8</v>
      </c>
      <c r="V10213" s="9">
        <v>0.91039999999999999</v>
      </c>
      <c r="W10213" s="6">
        <v>22.75</v>
      </c>
      <c r="X10213" s="6">
        <v>22.22</v>
      </c>
      <c r="Y10213" s="6">
        <v>22.71</v>
      </c>
      <c r="Z10213" s="6">
        <v>23.07</v>
      </c>
      <c r="AA10213" s="6">
        <v>430.95</v>
      </c>
      <c r="AB10213" s="2" t="s">
        <v>47</v>
      </c>
      <c r="AC10213" s="2"/>
    </row>
    <row r="10214" spans="1:29" ht="78" x14ac:dyDescent="0.15">
      <c r="A10214" s="3">
        <f>DATE(2012,4,11)</f>
        <v>41010</v>
      </c>
      <c r="B10214" s="2"/>
      <c r="C10214" s="2" t="s">
        <v>87</v>
      </c>
      <c r="D10214" s="2" t="s">
        <v>29878</v>
      </c>
      <c r="E10214" s="2" t="s">
        <v>19804</v>
      </c>
      <c r="F10214" s="4">
        <v>7375</v>
      </c>
      <c r="G10214" s="2" t="s">
        <v>223</v>
      </c>
      <c r="H10214" s="2" t="s">
        <v>34</v>
      </c>
      <c r="I10214" s="2" t="s">
        <v>143</v>
      </c>
      <c r="J10214" s="2" t="s">
        <v>144</v>
      </c>
      <c r="K10214" s="2" t="s">
        <v>53</v>
      </c>
      <c r="L10214" s="2" t="s">
        <v>139</v>
      </c>
      <c r="M10214" s="2"/>
      <c r="N10214" s="2"/>
      <c r="O10214" s="2"/>
      <c r="P10214" s="2" t="s">
        <v>29879</v>
      </c>
      <c r="Q10214" s="2"/>
      <c r="R10214" s="2"/>
      <c r="S10214" s="5">
        <v>21</v>
      </c>
      <c r="T10214" s="7">
        <v>37.308</v>
      </c>
      <c r="U10214" s="5">
        <v>2.5</v>
      </c>
      <c r="V10214" s="6">
        <v>1.28</v>
      </c>
      <c r="W10214" s="5">
        <v>21.8</v>
      </c>
      <c r="X10214" s="6">
        <v>21.06</v>
      </c>
      <c r="Y10214" s="6">
        <v>27.06</v>
      </c>
      <c r="Z10214" s="6">
        <v>27.33</v>
      </c>
      <c r="AA10214" s="6">
        <v>15.96</v>
      </c>
      <c r="AB10214" s="2" t="s">
        <v>47</v>
      </c>
      <c r="AC10214" s="2"/>
    </row>
    <row r="10215" spans="1:29" ht="117" x14ac:dyDescent="0.15">
      <c r="A10215" s="3">
        <f>DATE(2012,4,12)</f>
        <v>41011</v>
      </c>
      <c r="B10215" s="3">
        <f>DATE(2012,5,31)</f>
        <v>41060</v>
      </c>
      <c r="C10215" s="2" t="s">
        <v>95</v>
      </c>
      <c r="D10215" s="2" t="s">
        <v>25818</v>
      </c>
      <c r="E10215" s="2" t="s">
        <v>25819</v>
      </c>
      <c r="F10215" s="4">
        <v>2097</v>
      </c>
      <c r="G10215" s="2" t="s">
        <v>577</v>
      </c>
      <c r="H10215" s="2" t="s">
        <v>34</v>
      </c>
      <c r="I10215" s="2" t="s">
        <v>1526</v>
      </c>
      <c r="J10215" s="2" t="s">
        <v>302</v>
      </c>
      <c r="K10215" s="2" t="s">
        <v>53</v>
      </c>
      <c r="L10215" s="2" t="s">
        <v>34</v>
      </c>
      <c r="M10215" s="2"/>
      <c r="N10215" s="2"/>
      <c r="O10215" s="2"/>
      <c r="P10215" s="2" t="s">
        <v>29880</v>
      </c>
      <c r="Q10215" s="2"/>
      <c r="R10215" s="2"/>
      <c r="S10215" s="5">
        <v>-74.7</v>
      </c>
      <c r="T10215" s="7">
        <v>42.387999999999998</v>
      </c>
      <c r="U10215" s="5">
        <v>-5.9</v>
      </c>
      <c r="V10215" s="6">
        <v>-3.26</v>
      </c>
      <c r="W10215" s="6">
        <v>0.98</v>
      </c>
      <c r="X10215" s="6">
        <v>1.35</v>
      </c>
      <c r="Y10215" s="6">
        <v>1.44</v>
      </c>
      <c r="Z10215" s="6">
        <v>1.29</v>
      </c>
      <c r="AA10215" s="6">
        <v>23.98</v>
      </c>
      <c r="AB10215" s="2" t="s">
        <v>47</v>
      </c>
      <c r="AC10215" s="2"/>
    </row>
    <row r="10216" spans="1:29" ht="91" x14ac:dyDescent="0.15">
      <c r="A10216" s="3">
        <f>DATE(2012,4,16)</f>
        <v>41015</v>
      </c>
      <c r="B10216" s="3">
        <f>DATE(2012,6,6)</f>
        <v>41066</v>
      </c>
      <c r="C10216" s="2" t="s">
        <v>95</v>
      </c>
      <c r="D10216" s="2" t="s">
        <v>29881</v>
      </c>
      <c r="E10216" s="2" t="s">
        <v>29882</v>
      </c>
      <c r="F10216" s="4">
        <v>5945</v>
      </c>
      <c r="G10216" s="2" t="s">
        <v>73</v>
      </c>
      <c r="H10216" s="2" t="s">
        <v>34</v>
      </c>
      <c r="I10216" s="2" t="s">
        <v>29883</v>
      </c>
      <c r="J10216" s="2" t="s">
        <v>6365</v>
      </c>
      <c r="K10216" s="2" t="s">
        <v>73</v>
      </c>
      <c r="L10216" s="2" t="s">
        <v>34</v>
      </c>
      <c r="M10216" s="2"/>
      <c r="N10216" s="2"/>
      <c r="O10216" s="2"/>
      <c r="P10216" s="2" t="s">
        <v>29884</v>
      </c>
      <c r="Q10216" s="6">
        <v>100</v>
      </c>
      <c r="R10216" s="6">
        <v>3.45</v>
      </c>
      <c r="S10216" s="5">
        <v>1.8</v>
      </c>
      <c r="T10216" s="7">
        <v>7.5430000000000001</v>
      </c>
      <c r="U10216" s="5">
        <v>0.8</v>
      </c>
      <c r="V10216" s="6">
        <v>0.04</v>
      </c>
      <c r="W10216" s="7">
        <v>2.6349999999999998</v>
      </c>
      <c r="X10216" s="6">
        <v>2.61</v>
      </c>
      <c r="Y10216" s="5">
        <v>3.4</v>
      </c>
      <c r="Z10216" s="5">
        <v>3.4</v>
      </c>
      <c r="AA10216" s="6">
        <v>44.66</v>
      </c>
      <c r="AB10216" s="7">
        <v>37.534999999999997</v>
      </c>
      <c r="AC10216" s="2"/>
    </row>
    <row r="10217" spans="1:29" ht="78" x14ac:dyDescent="0.15">
      <c r="A10217" s="3">
        <f>DATE(2012,4,16)</f>
        <v>41015</v>
      </c>
      <c r="B10217" s="3">
        <f>DATE(2012,9,20)</f>
        <v>41172</v>
      </c>
      <c r="C10217" s="2" t="s">
        <v>95</v>
      </c>
      <c r="D10217" s="2" t="s">
        <v>29885</v>
      </c>
      <c r="E10217" s="2" t="s">
        <v>12992</v>
      </c>
      <c r="F10217" s="4">
        <v>6282</v>
      </c>
      <c r="G10217" s="2" t="s">
        <v>53</v>
      </c>
      <c r="H10217" s="2" t="s">
        <v>34</v>
      </c>
      <c r="I10217" s="2" t="s">
        <v>29886</v>
      </c>
      <c r="J10217" s="2" t="s">
        <v>244</v>
      </c>
      <c r="K10217" s="2" t="s">
        <v>53</v>
      </c>
      <c r="L10217" s="2" t="s">
        <v>34</v>
      </c>
      <c r="M10217" s="2"/>
      <c r="N10217" s="2"/>
      <c r="O10217" s="2"/>
      <c r="P10217" s="2" t="s">
        <v>29887</v>
      </c>
      <c r="Q10217" s="6">
        <v>100</v>
      </c>
      <c r="R10217" s="6">
        <v>8.85</v>
      </c>
      <c r="S10217" s="5">
        <v>2.7</v>
      </c>
      <c r="T10217" s="7">
        <v>24.396000000000001</v>
      </c>
      <c r="U10217" s="5">
        <v>7.3</v>
      </c>
      <c r="V10217" s="6">
        <v>0.14000000000000001</v>
      </c>
      <c r="W10217" s="6">
        <v>6.59</v>
      </c>
      <c r="X10217" s="6">
        <v>6.18</v>
      </c>
      <c r="Y10217" s="6">
        <v>8.74</v>
      </c>
      <c r="Z10217" s="6">
        <v>8.7799999999999994</v>
      </c>
      <c r="AA10217" s="6">
        <v>29.14</v>
      </c>
      <c r="AB10217" s="7">
        <v>15.141</v>
      </c>
      <c r="AC10217" s="2"/>
    </row>
    <row r="10218" spans="1:29" ht="65" x14ac:dyDescent="0.15">
      <c r="A10218" s="3">
        <f>DATE(2012,4,17)</f>
        <v>41016</v>
      </c>
      <c r="B10218" s="2"/>
      <c r="C10218" s="2" t="s">
        <v>7330</v>
      </c>
      <c r="D10218" s="2" t="s">
        <v>29888</v>
      </c>
      <c r="E10218" s="2" t="s">
        <v>29889</v>
      </c>
      <c r="F10218" s="4">
        <v>7372</v>
      </c>
      <c r="G10218" s="2" t="s">
        <v>551</v>
      </c>
      <c r="H10218" s="2" t="s">
        <v>34</v>
      </c>
      <c r="I10218" s="2" t="s">
        <v>29890</v>
      </c>
      <c r="J10218" s="2" t="s">
        <v>29891</v>
      </c>
      <c r="K10218" s="2" t="s">
        <v>551</v>
      </c>
      <c r="L10218" s="2" t="s">
        <v>34</v>
      </c>
      <c r="M10218" s="2"/>
      <c r="N10218" s="2"/>
      <c r="O10218" s="2"/>
      <c r="P10218" s="2" t="s">
        <v>29892</v>
      </c>
      <c r="Q10218" s="2"/>
      <c r="R10218" s="2"/>
      <c r="S10218" s="5">
        <v>-0.8</v>
      </c>
      <c r="T10218" s="2"/>
      <c r="U10218" s="5">
        <v>273.7</v>
      </c>
      <c r="V10218" s="7">
        <v>-756.06700000000001</v>
      </c>
      <c r="W10218" s="6">
        <v>0.25</v>
      </c>
      <c r="X10218" s="6">
        <v>3.94</v>
      </c>
      <c r="Y10218" s="6">
        <v>1.25</v>
      </c>
      <c r="Z10218" s="5">
        <v>0.8</v>
      </c>
      <c r="AA10218" s="6">
        <v>0.24</v>
      </c>
      <c r="AB10218" s="2" t="s">
        <v>86</v>
      </c>
      <c r="AC10218" s="2"/>
    </row>
    <row r="10219" spans="1:29" ht="117" x14ac:dyDescent="0.15">
      <c r="A10219" s="3">
        <f>DATE(2012,4,17)</f>
        <v>41016</v>
      </c>
      <c r="B10219" s="3">
        <f>DATE(2012,7,23)</f>
        <v>41113</v>
      </c>
      <c r="C10219" s="2" t="s">
        <v>95</v>
      </c>
      <c r="D10219" s="2" t="s">
        <v>14777</v>
      </c>
      <c r="E10219" s="2" t="s">
        <v>29893</v>
      </c>
      <c r="F10219" s="4">
        <v>3651</v>
      </c>
      <c r="G10219" s="2" t="s">
        <v>137</v>
      </c>
      <c r="H10219" s="2" t="s">
        <v>34</v>
      </c>
      <c r="I10219" s="2" t="s">
        <v>29894</v>
      </c>
      <c r="J10219" s="2" t="s">
        <v>29895</v>
      </c>
      <c r="K10219" s="2" t="s">
        <v>137</v>
      </c>
      <c r="L10219" s="2" t="s">
        <v>34</v>
      </c>
      <c r="M10219" s="7">
        <v>483.93400000000003</v>
      </c>
      <c r="N10219" s="6">
        <v>30.24</v>
      </c>
      <c r="O10219" s="6">
        <v>30.19</v>
      </c>
      <c r="P10219" s="2" t="s">
        <v>29896</v>
      </c>
      <c r="Q10219" s="6">
        <v>100</v>
      </c>
      <c r="R10219" s="6">
        <v>9.5</v>
      </c>
      <c r="S10219" s="5">
        <v>0</v>
      </c>
      <c r="T10219" s="7">
        <v>0.98899999999999999</v>
      </c>
      <c r="U10219" s="5">
        <v>3.8</v>
      </c>
      <c r="V10219" s="6">
        <v>-0.01</v>
      </c>
      <c r="W10219" s="6">
        <v>6.84</v>
      </c>
      <c r="X10219" s="6">
        <v>6.86</v>
      </c>
      <c r="Y10219" s="6">
        <v>9.39</v>
      </c>
      <c r="Z10219" s="6">
        <v>9.39</v>
      </c>
      <c r="AA10219" s="6">
        <v>19.100000000000001</v>
      </c>
      <c r="AB10219" s="2" t="s">
        <v>86</v>
      </c>
      <c r="AC10219" s="6">
        <v>79.069999999999993</v>
      </c>
    </row>
    <row r="10220" spans="1:29" ht="169" x14ac:dyDescent="0.15">
      <c r="A10220" s="3">
        <f>DATE(2012,4,18)</f>
        <v>41017</v>
      </c>
      <c r="B10220" s="3">
        <f>DATE(2012,7,2)</f>
        <v>41092</v>
      </c>
      <c r="C10220" s="2" t="s">
        <v>95</v>
      </c>
      <c r="D10220" s="2" t="s">
        <v>29897</v>
      </c>
      <c r="E10220" s="2" t="s">
        <v>16835</v>
      </c>
      <c r="F10220" s="4">
        <v>6324</v>
      </c>
      <c r="G10220" s="2" t="s">
        <v>125</v>
      </c>
      <c r="H10220" s="2" t="s">
        <v>34</v>
      </c>
      <c r="I10220" s="2" t="s">
        <v>26510</v>
      </c>
      <c r="J10220" s="2" t="s">
        <v>26511</v>
      </c>
      <c r="K10220" s="2" t="s">
        <v>551</v>
      </c>
      <c r="L10220" s="2" t="s">
        <v>34</v>
      </c>
      <c r="M10220" s="12">
        <v>4486.0450000000001</v>
      </c>
      <c r="N10220" s="6">
        <v>89.36</v>
      </c>
      <c r="O10220" s="4">
        <v>97</v>
      </c>
      <c r="P10220" s="2" t="s">
        <v>29898</v>
      </c>
      <c r="Q10220" s="6">
        <v>100</v>
      </c>
      <c r="R10220" s="6">
        <v>81.069999999999993</v>
      </c>
      <c r="S10220" s="5">
        <v>65.900000000000006</v>
      </c>
      <c r="T10220" s="7">
        <v>217.595</v>
      </c>
      <c r="U10220" s="5">
        <v>17.3</v>
      </c>
      <c r="V10220" s="6">
        <v>1.34</v>
      </c>
      <c r="W10220" s="6">
        <v>61.27</v>
      </c>
      <c r="X10220" s="6">
        <v>63.54</v>
      </c>
      <c r="Y10220" s="6">
        <v>85.23</v>
      </c>
      <c r="Z10220" s="6">
        <v>90.18</v>
      </c>
      <c r="AA10220" s="6">
        <v>50.25</v>
      </c>
      <c r="AB10220" s="7">
        <v>25.507999999999999</v>
      </c>
      <c r="AC10220" s="6">
        <v>272.12</v>
      </c>
    </row>
    <row r="10221" spans="1:29" ht="104" x14ac:dyDescent="0.15">
      <c r="A10221" s="3">
        <f>DATE(2012,4,18)</f>
        <v>41017</v>
      </c>
      <c r="B10221" s="3">
        <f>DATE(2012,7,17)</f>
        <v>41107</v>
      </c>
      <c r="C10221" s="2" t="s">
        <v>95</v>
      </c>
      <c r="D10221" s="2" t="s">
        <v>29899</v>
      </c>
      <c r="E10221" s="2" t="s">
        <v>29900</v>
      </c>
      <c r="F10221" s="4">
        <v>4812</v>
      </c>
      <c r="G10221" s="2" t="s">
        <v>63</v>
      </c>
      <c r="H10221" s="2" t="s">
        <v>34</v>
      </c>
      <c r="I10221" s="2" t="s">
        <v>29901</v>
      </c>
      <c r="J10221" s="2" t="s">
        <v>10711</v>
      </c>
      <c r="K10221" s="2" t="s">
        <v>223</v>
      </c>
      <c r="L10221" s="2" t="s">
        <v>34</v>
      </c>
      <c r="M10221" s="2"/>
      <c r="N10221" s="2"/>
      <c r="O10221" s="2"/>
      <c r="P10221" s="2" t="s">
        <v>29902</v>
      </c>
      <c r="Q10221" s="6">
        <v>100</v>
      </c>
      <c r="R10221" s="2"/>
      <c r="S10221" s="5">
        <v>46.3</v>
      </c>
      <c r="T10221" s="7">
        <v>176.87700000000001</v>
      </c>
      <c r="U10221" s="5">
        <v>0.8</v>
      </c>
      <c r="V10221" s="6">
        <v>1.19</v>
      </c>
      <c r="W10221" s="6">
        <v>15.99</v>
      </c>
      <c r="X10221" s="6">
        <v>15.81</v>
      </c>
      <c r="Y10221" s="6">
        <v>17.47</v>
      </c>
      <c r="Z10221" s="6">
        <v>17.829999999999998</v>
      </c>
      <c r="AA10221" s="6">
        <v>37.99</v>
      </c>
      <c r="AB10221" s="7">
        <v>17.907</v>
      </c>
      <c r="AC10221" s="2"/>
    </row>
    <row r="10222" spans="1:29" ht="156" x14ac:dyDescent="0.15">
      <c r="A10222" s="3">
        <f>DATE(2012,4,19)</f>
        <v>41018</v>
      </c>
      <c r="B10222" s="3">
        <f>DATE(2012,8,3)</f>
        <v>41124</v>
      </c>
      <c r="C10222" s="2" t="s">
        <v>95</v>
      </c>
      <c r="D10222" s="2" t="s">
        <v>27695</v>
      </c>
      <c r="E10222" s="2" t="s">
        <v>27696</v>
      </c>
      <c r="F10222" s="4">
        <v>2836</v>
      </c>
      <c r="G10222" s="2" t="s">
        <v>130</v>
      </c>
      <c r="H10222" s="2" t="s">
        <v>34</v>
      </c>
      <c r="I10222" s="2" t="s">
        <v>22912</v>
      </c>
      <c r="J10222" s="2" t="s">
        <v>13055</v>
      </c>
      <c r="K10222" s="2" t="s">
        <v>130</v>
      </c>
      <c r="L10222" s="2" t="s">
        <v>303</v>
      </c>
      <c r="M10222" s="10">
        <v>117200.92</v>
      </c>
      <c r="N10222" s="7">
        <v>23.338000000000001</v>
      </c>
      <c r="O10222" s="7">
        <v>23.702000000000002</v>
      </c>
      <c r="P10222" s="2" t="s">
        <v>29903</v>
      </c>
      <c r="Q10222" s="6">
        <v>100</v>
      </c>
      <c r="R10222" s="6">
        <v>14.25</v>
      </c>
      <c r="S10222" s="5">
        <v>-355.7</v>
      </c>
      <c r="T10222" s="7">
        <v>-207.15700000000001</v>
      </c>
      <c r="U10222" s="5">
        <v>1.5</v>
      </c>
      <c r="V10222" s="6">
        <v>-1.78</v>
      </c>
      <c r="W10222" s="6">
        <v>7.41</v>
      </c>
      <c r="X10222" s="6">
        <v>7.17</v>
      </c>
      <c r="Y10222" s="6">
        <v>14.17</v>
      </c>
      <c r="Z10222" s="6">
        <v>14.36</v>
      </c>
      <c r="AA10222" s="6">
        <v>198.98</v>
      </c>
      <c r="AB10222" s="2" t="s">
        <v>86</v>
      </c>
      <c r="AC10222" s="10">
        <v>12000.19</v>
      </c>
    </row>
    <row r="10223" spans="1:29" ht="91" x14ac:dyDescent="0.15">
      <c r="A10223" s="3">
        <f>DATE(2012,4,23)</f>
        <v>41022</v>
      </c>
      <c r="B10223" s="3">
        <f>DATE(2012,6,26)</f>
        <v>41086</v>
      </c>
      <c r="C10223" s="2" t="s">
        <v>95</v>
      </c>
      <c r="D10223" s="2" t="s">
        <v>29904</v>
      </c>
      <c r="E10223" s="2" t="s">
        <v>29905</v>
      </c>
      <c r="F10223" s="4">
        <v>3826</v>
      </c>
      <c r="G10223" s="2" t="s">
        <v>226</v>
      </c>
      <c r="H10223" s="2" t="s">
        <v>34</v>
      </c>
      <c r="I10223" s="2" t="s">
        <v>29906</v>
      </c>
      <c r="J10223" s="2" t="s">
        <v>1032</v>
      </c>
      <c r="K10223" s="2" t="s">
        <v>53</v>
      </c>
      <c r="L10223" s="2" t="s">
        <v>34</v>
      </c>
      <c r="M10223" s="2"/>
      <c r="N10223" s="2"/>
      <c r="O10223" s="2"/>
      <c r="P10223" s="2" t="s">
        <v>29907</v>
      </c>
      <c r="Q10223" s="6">
        <v>71.61</v>
      </c>
      <c r="R10223" s="6">
        <v>1.03</v>
      </c>
      <c r="S10223" s="5">
        <v>-0.4</v>
      </c>
      <c r="T10223" s="7">
        <v>-0.153</v>
      </c>
      <c r="U10223" s="5">
        <v>0.5</v>
      </c>
      <c r="V10223" s="6">
        <v>-0.04</v>
      </c>
      <c r="W10223" s="6">
        <v>0.95</v>
      </c>
      <c r="X10223" s="6">
        <v>1.04</v>
      </c>
      <c r="Y10223" s="6">
        <v>2.5099999999999998</v>
      </c>
      <c r="Z10223" s="6">
        <v>2.27</v>
      </c>
      <c r="AA10223" s="6">
        <v>11.1</v>
      </c>
      <c r="AB10223" s="2" t="s">
        <v>86</v>
      </c>
      <c r="AC10223" s="2"/>
    </row>
    <row r="10224" spans="1:29" ht="52" x14ac:dyDescent="0.15">
      <c r="A10224" s="3">
        <f>DATE(2012,4,23)</f>
        <v>41022</v>
      </c>
      <c r="B10224" s="3">
        <f>DATE(2012,6,19)</f>
        <v>41079</v>
      </c>
      <c r="C10224" s="2" t="s">
        <v>95</v>
      </c>
      <c r="D10224" s="2" t="s">
        <v>29908</v>
      </c>
      <c r="E10224" s="2" t="s">
        <v>540</v>
      </c>
      <c r="F10224" s="4">
        <v>2836</v>
      </c>
      <c r="G10224" s="2" t="s">
        <v>130</v>
      </c>
      <c r="H10224" s="2" t="s">
        <v>34</v>
      </c>
      <c r="I10224" s="2" t="s">
        <v>25453</v>
      </c>
      <c r="J10224" s="2" t="s">
        <v>5670</v>
      </c>
      <c r="K10224" s="2" t="s">
        <v>130</v>
      </c>
      <c r="L10224" s="2" t="s">
        <v>303</v>
      </c>
      <c r="M10224" s="12">
        <v>57924.807999999997</v>
      </c>
      <c r="N10224" s="7">
        <v>45.332999999999998</v>
      </c>
      <c r="O10224" s="7">
        <v>45.796999999999997</v>
      </c>
      <c r="P10224" s="2" t="s">
        <v>29909</v>
      </c>
      <c r="Q10224" s="6">
        <v>100</v>
      </c>
      <c r="R10224" s="6">
        <v>32</v>
      </c>
      <c r="S10224" s="5">
        <v>-112.3</v>
      </c>
      <c r="T10224" s="6">
        <v>-111.66</v>
      </c>
      <c r="U10224" s="5">
        <v>5.5</v>
      </c>
      <c r="V10224" s="6">
        <v>-3.92</v>
      </c>
      <c r="W10224" s="6">
        <v>19.760000000000002</v>
      </c>
      <c r="X10224" s="6">
        <v>20.84</v>
      </c>
      <c r="Y10224" s="6">
        <v>31.62</v>
      </c>
      <c r="Z10224" s="6">
        <v>31.65</v>
      </c>
      <c r="AA10224" s="6">
        <v>36.74</v>
      </c>
      <c r="AB10224" s="2" t="s">
        <v>86</v>
      </c>
      <c r="AC10224" s="10">
        <v>9990.24</v>
      </c>
    </row>
    <row r="10225" spans="1:29" ht="39" x14ac:dyDescent="0.15">
      <c r="A10225" s="3">
        <f>DATE(2012,4,24)</f>
        <v>41023</v>
      </c>
      <c r="B10225" s="3">
        <f>DATE(2012,4,24)</f>
        <v>41023</v>
      </c>
      <c r="C10225" s="2" t="s">
        <v>95</v>
      </c>
      <c r="D10225" s="2" t="s">
        <v>29910</v>
      </c>
      <c r="E10225" s="2" t="s">
        <v>13055</v>
      </c>
      <c r="F10225" s="4">
        <v>2834</v>
      </c>
      <c r="G10225" s="2" t="s">
        <v>130</v>
      </c>
      <c r="H10225" s="2" t="s">
        <v>34</v>
      </c>
      <c r="I10225" s="2" t="s">
        <v>29911</v>
      </c>
      <c r="J10225" s="2" t="s">
        <v>302</v>
      </c>
      <c r="K10225" s="2" t="s">
        <v>53</v>
      </c>
      <c r="L10225" s="2" t="s">
        <v>34</v>
      </c>
      <c r="M10225" s="2"/>
      <c r="N10225" s="2"/>
      <c r="O10225" s="2"/>
      <c r="P10225" s="2" t="s">
        <v>29912</v>
      </c>
      <c r="Q10225" s="6">
        <v>100</v>
      </c>
      <c r="R10225" s="2"/>
      <c r="S10225" s="5">
        <v>-32.4</v>
      </c>
      <c r="T10225" s="7">
        <v>-20.954000000000001</v>
      </c>
      <c r="U10225" s="5">
        <v>-4.3</v>
      </c>
      <c r="V10225" s="7">
        <v>-12.125999999999999</v>
      </c>
      <c r="W10225" s="6">
        <v>1.65</v>
      </c>
      <c r="X10225" s="6">
        <v>1.59</v>
      </c>
      <c r="Y10225" s="6">
        <v>1.25</v>
      </c>
      <c r="Z10225" s="6">
        <v>1.33</v>
      </c>
      <c r="AA10225" s="6">
        <v>65.64</v>
      </c>
      <c r="AB10225" s="2" t="s">
        <v>86</v>
      </c>
      <c r="AC10225" s="2"/>
    </row>
    <row r="10226" spans="1:29" ht="156" x14ac:dyDescent="0.15">
      <c r="A10226" s="3">
        <f>DATE(2012,4,25)</f>
        <v>41024</v>
      </c>
      <c r="B10226" s="3">
        <f>DATE(2012,8,1)</f>
        <v>41122</v>
      </c>
      <c r="C10226" s="2" t="s">
        <v>95</v>
      </c>
      <c r="D10226" s="2" t="s">
        <v>29913</v>
      </c>
      <c r="E10226" s="2" t="s">
        <v>1608</v>
      </c>
      <c r="F10226" s="4">
        <v>1311</v>
      </c>
      <c r="G10226" s="2" t="s">
        <v>148</v>
      </c>
      <c r="H10226" s="2" t="s">
        <v>34</v>
      </c>
      <c r="I10226" s="2" t="s">
        <v>29914</v>
      </c>
      <c r="J10226" s="2" t="s">
        <v>1608</v>
      </c>
      <c r="K10226" s="2" t="s">
        <v>148</v>
      </c>
      <c r="L10226" s="2" t="s">
        <v>34</v>
      </c>
      <c r="M10226" s="12">
        <v>1061.3510000000001</v>
      </c>
      <c r="N10226" s="6">
        <v>10.68</v>
      </c>
      <c r="O10226" s="6">
        <v>10.68</v>
      </c>
      <c r="P10226" s="2" t="s">
        <v>29915</v>
      </c>
      <c r="Q10226" s="6">
        <v>100</v>
      </c>
      <c r="R10226" s="6">
        <v>40.630000000000003</v>
      </c>
      <c r="S10226" s="5">
        <v>36.4</v>
      </c>
      <c r="T10226" s="6">
        <v>90.77</v>
      </c>
      <c r="U10226" s="5">
        <v>14.8</v>
      </c>
      <c r="V10226" s="6">
        <v>1.4</v>
      </c>
      <c r="W10226" s="5">
        <v>30.9</v>
      </c>
      <c r="X10226" s="6">
        <v>30.77</v>
      </c>
      <c r="Y10226" s="6">
        <v>36.520000000000003</v>
      </c>
      <c r="Z10226" s="6">
        <v>36.619999999999997</v>
      </c>
      <c r="AA10226" s="6">
        <v>25.63</v>
      </c>
      <c r="AB10226" s="7">
        <v>18.526</v>
      </c>
      <c r="AC10226" s="6">
        <v>685.78</v>
      </c>
    </row>
    <row r="10227" spans="1:29" ht="130" x14ac:dyDescent="0.15">
      <c r="A10227" s="3">
        <f>DATE(2012,4,30)</f>
        <v>41029</v>
      </c>
      <c r="B10227" s="2"/>
      <c r="C10227" s="2" t="s">
        <v>30</v>
      </c>
      <c r="D10227" s="2" t="s">
        <v>29916</v>
      </c>
      <c r="E10227" s="2" t="s">
        <v>29917</v>
      </c>
      <c r="F10227" s="4">
        <v>5942</v>
      </c>
      <c r="G10227" s="2" t="s">
        <v>73</v>
      </c>
      <c r="H10227" s="2" t="s">
        <v>34</v>
      </c>
      <c r="I10227" s="2" t="s">
        <v>51</v>
      </c>
      <c r="J10227" s="2" t="s">
        <v>52</v>
      </c>
      <c r="K10227" s="2" t="s">
        <v>53</v>
      </c>
      <c r="L10227" s="2" t="s">
        <v>34</v>
      </c>
      <c r="M10227" s="2"/>
      <c r="N10227" s="2"/>
      <c r="O10227" s="2"/>
      <c r="P10227" s="2" t="s">
        <v>29918</v>
      </c>
      <c r="Q10227" s="2"/>
      <c r="R10227" s="6">
        <v>3.05</v>
      </c>
      <c r="S10227" s="5">
        <v>-1.3</v>
      </c>
      <c r="T10227" s="7">
        <v>15.654</v>
      </c>
      <c r="U10227" s="5">
        <v>7.1</v>
      </c>
      <c r="V10227" s="9">
        <v>-7.5600000000000001E-2</v>
      </c>
      <c r="W10227" s="6">
        <v>2.56</v>
      </c>
      <c r="X10227" s="6">
        <v>2.5499999999999998</v>
      </c>
      <c r="Y10227" s="6">
        <v>3.19</v>
      </c>
      <c r="Z10227" s="6">
        <v>3.06</v>
      </c>
      <c r="AA10227" s="6">
        <v>15.99</v>
      </c>
      <c r="AB10227" s="2" t="s">
        <v>86</v>
      </c>
      <c r="AC10227" s="2"/>
    </row>
    <row r="10228" spans="1:29" ht="91" x14ac:dyDescent="0.15">
      <c r="A10228" s="3">
        <f>DATE(2012,4,30)</f>
        <v>41029</v>
      </c>
      <c r="B10228" s="3">
        <f>DATE(2012,11,9)</f>
        <v>41222</v>
      </c>
      <c r="C10228" s="2" t="s">
        <v>95</v>
      </c>
      <c r="D10228" s="2" t="s">
        <v>29919</v>
      </c>
      <c r="E10228" s="2" t="s">
        <v>36</v>
      </c>
      <c r="F10228" s="4">
        <v>6022</v>
      </c>
      <c r="G10228" s="2" t="s">
        <v>37</v>
      </c>
      <c r="H10228" s="2" t="s">
        <v>34</v>
      </c>
      <c r="I10228" s="2" t="s">
        <v>14074</v>
      </c>
      <c r="J10228" s="2" t="s">
        <v>36</v>
      </c>
      <c r="K10228" s="2" t="s">
        <v>37</v>
      </c>
      <c r="L10228" s="2" t="s">
        <v>34</v>
      </c>
      <c r="M10228" s="7">
        <v>634.20100000000002</v>
      </c>
      <c r="N10228" s="6">
        <v>28.07</v>
      </c>
      <c r="O10228" s="4">
        <v>28</v>
      </c>
      <c r="P10228" s="2" t="s">
        <v>29920</v>
      </c>
      <c r="Q10228" s="6">
        <v>100</v>
      </c>
      <c r="R10228" s="2"/>
      <c r="S10228" s="5">
        <v>0.9</v>
      </c>
      <c r="T10228" s="7">
        <v>1.611</v>
      </c>
      <c r="U10228" s="5">
        <v>20.9</v>
      </c>
      <c r="V10228" s="6">
        <v>-0.01</v>
      </c>
      <c r="W10228" s="5">
        <v>19.5</v>
      </c>
      <c r="X10228" s="6">
        <v>18.05</v>
      </c>
      <c r="Y10228" s="6">
        <v>30.65</v>
      </c>
      <c r="Z10228" s="7">
        <v>30.512</v>
      </c>
      <c r="AA10228" s="6">
        <v>1.69</v>
      </c>
      <c r="AB10228" s="7">
        <v>174.05</v>
      </c>
      <c r="AC10228" s="2"/>
    </row>
    <row r="10229" spans="1:29" ht="130" x14ac:dyDescent="0.15">
      <c r="A10229" s="3">
        <f>DATE(2012,4,30)</f>
        <v>41029</v>
      </c>
      <c r="B10229" s="3">
        <f>DATE(2012,8,1)</f>
        <v>41122</v>
      </c>
      <c r="C10229" s="2" t="s">
        <v>95</v>
      </c>
      <c r="D10229" s="2" t="s">
        <v>29921</v>
      </c>
      <c r="E10229" s="2" t="s">
        <v>29922</v>
      </c>
      <c r="F10229" s="4">
        <v>3841</v>
      </c>
      <c r="G10229" s="2" t="s">
        <v>226</v>
      </c>
      <c r="H10229" s="2" t="s">
        <v>34</v>
      </c>
      <c r="I10229" s="2" t="s">
        <v>8259</v>
      </c>
      <c r="J10229" s="2" t="s">
        <v>8260</v>
      </c>
      <c r="K10229" s="2" t="s">
        <v>226</v>
      </c>
      <c r="L10229" s="2" t="s">
        <v>34</v>
      </c>
      <c r="M10229" s="10">
        <v>5745.07</v>
      </c>
      <c r="N10229" s="6">
        <v>19.12</v>
      </c>
      <c r="O10229" s="5">
        <v>18.8</v>
      </c>
      <c r="P10229" s="2" t="s">
        <v>29923</v>
      </c>
      <c r="Q10229" s="6">
        <v>100</v>
      </c>
      <c r="R10229" s="6">
        <v>82.75</v>
      </c>
      <c r="S10229" s="5">
        <v>49.3</v>
      </c>
      <c r="T10229" s="7">
        <v>186.488</v>
      </c>
      <c r="U10229" s="5">
        <v>16.5</v>
      </c>
      <c r="V10229" s="6">
        <v>1.04</v>
      </c>
      <c r="W10229" s="4">
        <v>82</v>
      </c>
      <c r="X10229" s="6">
        <v>79.25</v>
      </c>
      <c r="Y10229" s="6">
        <v>86.66</v>
      </c>
      <c r="Z10229" s="6">
        <v>82.87</v>
      </c>
      <c r="AA10229" s="6">
        <v>45.23</v>
      </c>
      <c r="AB10229" s="7">
        <v>27.63</v>
      </c>
      <c r="AC10229" s="5">
        <v>855.1</v>
      </c>
    </row>
    <row r="10230" spans="1:29" ht="234" x14ac:dyDescent="0.15">
      <c r="A10230" s="3">
        <f>DATE(2012,4,30)</f>
        <v>41029</v>
      </c>
      <c r="B10230" s="2"/>
      <c r="C10230" s="2" t="s">
        <v>30</v>
      </c>
      <c r="D10230" s="2" t="s">
        <v>29924</v>
      </c>
      <c r="E10230" s="2" t="s">
        <v>10974</v>
      </c>
      <c r="F10230" s="4">
        <v>3674</v>
      </c>
      <c r="G10230" s="2" t="s">
        <v>137</v>
      </c>
      <c r="H10230" s="2" t="s">
        <v>34</v>
      </c>
      <c r="I10230" s="2" t="s">
        <v>13163</v>
      </c>
      <c r="J10230" s="2" t="s">
        <v>10974</v>
      </c>
      <c r="K10230" s="2" t="s">
        <v>137</v>
      </c>
      <c r="L10230" s="2" t="s">
        <v>34</v>
      </c>
      <c r="M10230" s="12">
        <v>1008.126</v>
      </c>
      <c r="N10230" s="7">
        <v>6.7750000000000004</v>
      </c>
      <c r="O10230" s="6">
        <v>6.13</v>
      </c>
      <c r="P10230" s="2" t="s">
        <v>29925</v>
      </c>
      <c r="Q10230" s="2"/>
      <c r="R10230" s="6">
        <v>7</v>
      </c>
      <c r="S10230" s="5">
        <v>-23.1</v>
      </c>
      <c r="T10230" s="7">
        <v>-9.6989999999999998</v>
      </c>
      <c r="U10230" s="5">
        <v>1.5</v>
      </c>
      <c r="V10230" s="9">
        <v>-0.50560000000000005</v>
      </c>
      <c r="W10230" s="6">
        <v>3.77</v>
      </c>
      <c r="X10230" s="6">
        <v>4.0599999999999996</v>
      </c>
      <c r="Y10230" s="6">
        <v>3.98</v>
      </c>
      <c r="Z10230" s="6">
        <v>6.66</v>
      </c>
      <c r="AA10230" s="6">
        <v>44.74</v>
      </c>
      <c r="AB10230" s="2" t="s">
        <v>86</v>
      </c>
      <c r="AC10230" s="6">
        <v>325.45999999999998</v>
      </c>
    </row>
    <row r="10231" spans="1:29" ht="208" x14ac:dyDescent="0.15">
      <c r="A10231" s="3">
        <f>DATE(2012,4,30)</f>
        <v>41029</v>
      </c>
      <c r="B10231" s="3">
        <f>DATE(2012,10,5)</f>
        <v>41187</v>
      </c>
      <c r="C10231" s="2" t="s">
        <v>95</v>
      </c>
      <c r="D10231" s="2" t="s">
        <v>29926</v>
      </c>
      <c r="E10231" s="2" t="s">
        <v>29927</v>
      </c>
      <c r="F10231" s="4">
        <v>2911</v>
      </c>
      <c r="G10231" s="2" t="s">
        <v>148</v>
      </c>
      <c r="H10231" s="2" t="s">
        <v>34</v>
      </c>
      <c r="I10231" s="2" t="s">
        <v>29928</v>
      </c>
      <c r="J10231" s="2" t="s">
        <v>4767</v>
      </c>
      <c r="K10231" s="2" t="s">
        <v>439</v>
      </c>
      <c r="L10231" s="2" t="s">
        <v>34</v>
      </c>
      <c r="M10231" s="12">
        <v>10519.186</v>
      </c>
      <c r="N10231" s="6">
        <v>49.63</v>
      </c>
      <c r="O10231" s="6">
        <v>50.98</v>
      </c>
      <c r="P10231" s="2" t="s">
        <v>29929</v>
      </c>
      <c r="Q10231" s="6">
        <v>100</v>
      </c>
      <c r="R10231" s="6">
        <v>50.29</v>
      </c>
      <c r="S10231" s="8">
        <v>-1168</v>
      </c>
      <c r="T10231" s="8">
        <v>1144</v>
      </c>
      <c r="U10231" s="5">
        <v>6.8</v>
      </c>
      <c r="V10231" s="6">
        <v>-10.07</v>
      </c>
      <c r="W10231" s="6">
        <v>39.47</v>
      </c>
      <c r="X10231" s="6">
        <v>40.909999999999997</v>
      </c>
      <c r="Y10231" s="6">
        <v>49.29</v>
      </c>
      <c r="Z10231" s="6">
        <v>49.72</v>
      </c>
      <c r="AA10231" s="6">
        <v>104.6</v>
      </c>
      <c r="AB10231" s="7">
        <v>7.5629999999999997</v>
      </c>
      <c r="AC10231" s="6">
        <v>427.93</v>
      </c>
    </row>
    <row r="10232" spans="1:29" ht="156" x14ac:dyDescent="0.15">
      <c r="A10232" s="3">
        <f>DATE(2012,5,1)</f>
        <v>41030</v>
      </c>
      <c r="B10232" s="3">
        <f>DATE(2012,10,9)</f>
        <v>41191</v>
      </c>
      <c r="C10232" s="2" t="s">
        <v>95</v>
      </c>
      <c r="D10232" s="2" t="s">
        <v>29930</v>
      </c>
      <c r="E10232" s="2" t="s">
        <v>1575</v>
      </c>
      <c r="F10232" s="4">
        <v>5661</v>
      </c>
      <c r="G10232" s="2" t="s">
        <v>756</v>
      </c>
      <c r="H10232" s="2" t="s">
        <v>34</v>
      </c>
      <c r="I10232" s="2" t="s">
        <v>29931</v>
      </c>
      <c r="J10232" s="2" t="s">
        <v>11337</v>
      </c>
      <c r="K10232" s="2" t="s">
        <v>53</v>
      </c>
      <c r="L10232" s="2" t="s">
        <v>34</v>
      </c>
      <c r="M10232" s="2"/>
      <c r="N10232" s="2"/>
      <c r="O10232" s="2"/>
      <c r="P10232" s="2" t="s">
        <v>29932</v>
      </c>
      <c r="Q10232" s="6">
        <v>100</v>
      </c>
      <c r="R10232" s="6">
        <v>21.75</v>
      </c>
      <c r="S10232" s="5">
        <v>-153.4</v>
      </c>
      <c r="T10232" s="5">
        <v>220.4</v>
      </c>
      <c r="U10232" s="5">
        <v>11.2</v>
      </c>
      <c r="V10232" s="6">
        <v>-2.54</v>
      </c>
      <c r="W10232" s="6">
        <v>14.56</v>
      </c>
      <c r="X10232" s="6">
        <v>15.89</v>
      </c>
      <c r="Y10232" s="6">
        <v>16.37</v>
      </c>
      <c r="Z10232" s="6">
        <v>16.41</v>
      </c>
      <c r="AA10232" s="6">
        <v>60.62</v>
      </c>
      <c r="AB10232" s="7">
        <v>19.216000000000001</v>
      </c>
      <c r="AC10232" s="2"/>
    </row>
    <row r="10233" spans="1:29" ht="91" x14ac:dyDescent="0.15">
      <c r="A10233" s="3">
        <f>DATE(2012,5,1)</f>
        <v>41030</v>
      </c>
      <c r="B10233" s="3">
        <f>DATE(2012,7,2)</f>
        <v>41092</v>
      </c>
      <c r="C10233" s="2" t="s">
        <v>95</v>
      </c>
      <c r="D10233" s="2" t="s">
        <v>29933</v>
      </c>
      <c r="E10233" s="2" t="s">
        <v>29934</v>
      </c>
      <c r="F10233" s="4">
        <v>7375</v>
      </c>
      <c r="G10233" s="2" t="s">
        <v>223</v>
      </c>
      <c r="H10233" s="2" t="s">
        <v>34</v>
      </c>
      <c r="I10233" s="2" t="s">
        <v>27044</v>
      </c>
      <c r="J10233" s="2" t="s">
        <v>27045</v>
      </c>
      <c r="K10233" s="2" t="s">
        <v>551</v>
      </c>
      <c r="L10233" s="2" t="s">
        <v>902</v>
      </c>
      <c r="M10233" s="12">
        <v>3554.8809999999999</v>
      </c>
      <c r="N10233" s="7">
        <v>54.283000000000001</v>
      </c>
      <c r="O10233" s="7">
        <v>52.579000000000001</v>
      </c>
      <c r="P10233" s="2" t="s">
        <v>29935</v>
      </c>
      <c r="Q10233" s="6">
        <v>100</v>
      </c>
      <c r="R10233" s="6">
        <v>7.25</v>
      </c>
      <c r="S10233" s="5">
        <v>27</v>
      </c>
      <c r="T10233" s="7">
        <v>42.588000000000001</v>
      </c>
      <c r="U10233" s="5">
        <v>3.5</v>
      </c>
      <c r="V10233" s="6">
        <v>0.84</v>
      </c>
      <c r="W10233" s="6">
        <v>5.63</v>
      </c>
      <c r="X10233" s="5">
        <v>5.9</v>
      </c>
      <c r="Y10233" s="6">
        <v>6.36</v>
      </c>
      <c r="Z10233" s="6">
        <v>7.16</v>
      </c>
      <c r="AA10233" s="6">
        <v>32.01</v>
      </c>
      <c r="AB10233" s="7">
        <v>10.500999999999999</v>
      </c>
      <c r="AC10233" s="6">
        <v>510.31</v>
      </c>
    </row>
    <row r="10234" spans="1:29" ht="156" x14ac:dyDescent="0.15">
      <c r="A10234" s="3">
        <f>DATE(2012,5,1)</f>
        <v>41030</v>
      </c>
      <c r="B10234" s="3">
        <f>DATE(2012,6,26)</f>
        <v>41086</v>
      </c>
      <c r="C10234" s="2" t="s">
        <v>95</v>
      </c>
      <c r="D10234" s="2" t="s">
        <v>22984</v>
      </c>
      <c r="E10234" s="2" t="s">
        <v>22985</v>
      </c>
      <c r="F10234" s="4">
        <v>2063</v>
      </c>
      <c r="G10234" s="2" t="s">
        <v>577</v>
      </c>
      <c r="H10234" s="2" t="s">
        <v>34</v>
      </c>
      <c r="I10234" s="2" t="s">
        <v>29936</v>
      </c>
      <c r="J10234" s="2" t="s">
        <v>29937</v>
      </c>
      <c r="K10234" s="2" t="s">
        <v>76</v>
      </c>
      <c r="L10234" s="2" t="s">
        <v>34</v>
      </c>
      <c r="M10234" s="2"/>
      <c r="N10234" s="2"/>
      <c r="O10234" s="2"/>
      <c r="P10234" s="2" t="s">
        <v>29938</v>
      </c>
      <c r="Q10234" s="6">
        <v>100</v>
      </c>
      <c r="R10234" s="6">
        <v>6.35</v>
      </c>
      <c r="S10234" s="5">
        <v>-58.6</v>
      </c>
      <c r="T10234" s="6">
        <v>-29.61</v>
      </c>
      <c r="U10234" s="5">
        <v>11.7</v>
      </c>
      <c r="V10234" s="6">
        <v>-4.92</v>
      </c>
      <c r="W10234" s="6">
        <v>3.96</v>
      </c>
      <c r="X10234" s="6">
        <v>4.05</v>
      </c>
      <c r="Y10234" s="5">
        <v>6.4</v>
      </c>
      <c r="Z10234" s="6">
        <v>6.45</v>
      </c>
      <c r="AA10234" s="6">
        <v>12.22</v>
      </c>
      <c r="AB10234" s="2" t="s">
        <v>86</v>
      </c>
      <c r="AC10234" s="2"/>
    </row>
    <row r="10235" spans="1:29" ht="130" x14ac:dyDescent="0.15">
      <c r="A10235" s="3">
        <f>DATE(2012,5,1)</f>
        <v>41030</v>
      </c>
      <c r="B10235" s="3">
        <f>DATE(2012,7,2)</f>
        <v>41092</v>
      </c>
      <c r="C10235" s="2" t="s">
        <v>95</v>
      </c>
      <c r="D10235" s="2" t="s">
        <v>29939</v>
      </c>
      <c r="E10235" s="2" t="s">
        <v>4601</v>
      </c>
      <c r="F10235" s="4">
        <v>5812</v>
      </c>
      <c r="G10235" s="2" t="s">
        <v>230</v>
      </c>
      <c r="H10235" s="2" t="s">
        <v>34</v>
      </c>
      <c r="I10235" s="2" t="s">
        <v>29940</v>
      </c>
      <c r="J10235" s="2" t="s">
        <v>244</v>
      </c>
      <c r="K10235" s="2" t="s">
        <v>53</v>
      </c>
      <c r="L10235" s="2" t="s">
        <v>34</v>
      </c>
      <c r="M10235" s="2"/>
      <c r="N10235" s="2"/>
      <c r="O10235" s="2"/>
      <c r="P10235" s="2" t="s">
        <v>29941</v>
      </c>
      <c r="Q10235" s="6">
        <v>100</v>
      </c>
      <c r="R10235" s="6">
        <v>51.5</v>
      </c>
      <c r="S10235" s="5">
        <v>25.8</v>
      </c>
      <c r="T10235" s="7">
        <v>123.352</v>
      </c>
      <c r="U10235" s="5">
        <v>14.8</v>
      </c>
      <c r="V10235" s="6">
        <v>1.19</v>
      </c>
      <c r="W10235" s="6">
        <v>39.71</v>
      </c>
      <c r="X10235" s="6">
        <v>39.69</v>
      </c>
      <c r="Y10235" s="6">
        <v>51.48</v>
      </c>
      <c r="Z10235" s="7">
        <v>51.445</v>
      </c>
      <c r="AA10235" s="6">
        <v>21.23</v>
      </c>
      <c r="AB10235" s="7">
        <v>25.06</v>
      </c>
      <c r="AC10235" s="2"/>
    </row>
    <row r="10236" spans="1:29" ht="130" x14ac:dyDescent="0.15">
      <c r="A10236" s="3">
        <f>DATE(2012,5,2)</f>
        <v>41031</v>
      </c>
      <c r="B10236" s="3">
        <f>DATE(2012,6,15)</f>
        <v>41075</v>
      </c>
      <c r="C10236" s="2" t="s">
        <v>95</v>
      </c>
      <c r="D10236" s="2" t="s">
        <v>15727</v>
      </c>
      <c r="E10236" s="2" t="s">
        <v>5184</v>
      </c>
      <c r="F10236" s="4">
        <v>5621</v>
      </c>
      <c r="G10236" s="2" t="s">
        <v>756</v>
      </c>
      <c r="H10236" s="2" t="s">
        <v>34</v>
      </c>
      <c r="I10236" s="2" t="s">
        <v>29942</v>
      </c>
      <c r="J10236" s="2" t="s">
        <v>29943</v>
      </c>
      <c r="K10236" s="2" t="s">
        <v>756</v>
      </c>
      <c r="L10236" s="2" t="s">
        <v>34</v>
      </c>
      <c r="M10236" s="12">
        <v>1682.5329999999999</v>
      </c>
      <c r="N10236" s="6">
        <v>21.06</v>
      </c>
      <c r="O10236" s="6">
        <v>21.48</v>
      </c>
      <c r="P10236" s="2" t="s">
        <v>29944</v>
      </c>
      <c r="Q10236" s="6">
        <v>100</v>
      </c>
      <c r="R10236" s="6">
        <v>7.35</v>
      </c>
      <c r="S10236" s="5">
        <v>-10.3</v>
      </c>
      <c r="T10236" s="6">
        <v>84.43</v>
      </c>
      <c r="U10236" s="5">
        <v>3.7</v>
      </c>
      <c r="V10236" s="6">
        <v>-0.09</v>
      </c>
      <c r="W10236" s="5">
        <v>5.9</v>
      </c>
      <c r="X10236" s="5">
        <v>5.9</v>
      </c>
      <c r="Y10236" s="6">
        <v>7.31</v>
      </c>
      <c r="Z10236" s="5">
        <v>7.3</v>
      </c>
      <c r="AA10236" s="6">
        <v>116.63</v>
      </c>
      <c r="AB10236" s="7">
        <v>30</v>
      </c>
      <c r="AC10236" s="5">
        <v>609.79999999999995</v>
      </c>
    </row>
    <row r="10237" spans="1:29" ht="91" x14ac:dyDescent="0.15">
      <c r="A10237" s="3">
        <f>DATE(2012,5,2)</f>
        <v>41031</v>
      </c>
      <c r="B10237" s="3">
        <f>DATE(2012,8,2)</f>
        <v>41123</v>
      </c>
      <c r="C10237" s="2" t="s">
        <v>95</v>
      </c>
      <c r="D10237" s="2" t="s">
        <v>28913</v>
      </c>
      <c r="E10237" s="2" t="s">
        <v>28914</v>
      </c>
      <c r="F10237" s="4">
        <v>3674</v>
      </c>
      <c r="G10237" s="2" t="s">
        <v>137</v>
      </c>
      <c r="H10237" s="2" t="s">
        <v>34</v>
      </c>
      <c r="I10237" s="2" t="s">
        <v>17961</v>
      </c>
      <c r="J10237" s="2" t="s">
        <v>10974</v>
      </c>
      <c r="K10237" s="2" t="s">
        <v>137</v>
      </c>
      <c r="L10237" s="2" t="s">
        <v>34</v>
      </c>
      <c r="M10237" s="10">
        <v>6942.95</v>
      </c>
      <c r="N10237" s="6">
        <v>34.92</v>
      </c>
      <c r="O10237" s="6">
        <v>34.69</v>
      </c>
      <c r="P10237" s="2" t="s">
        <v>29945</v>
      </c>
      <c r="Q10237" s="6">
        <v>100</v>
      </c>
      <c r="R10237" s="6">
        <v>37</v>
      </c>
      <c r="S10237" s="5">
        <v>10.7</v>
      </c>
      <c r="T10237" s="7">
        <v>59.026000000000003</v>
      </c>
      <c r="U10237" s="5">
        <v>17.7</v>
      </c>
      <c r="V10237" s="6">
        <v>0.46</v>
      </c>
      <c r="W10237" s="6">
        <v>26.32</v>
      </c>
      <c r="X10237" s="6">
        <v>26.24</v>
      </c>
      <c r="Y10237" s="6">
        <v>36.43</v>
      </c>
      <c r="Z10237" s="6">
        <v>36.43</v>
      </c>
      <c r="AA10237" s="6">
        <v>22.41</v>
      </c>
      <c r="AB10237" s="7">
        <v>25.082000000000001</v>
      </c>
      <c r="AC10237" s="10">
        <v>1459.01</v>
      </c>
    </row>
    <row r="10238" spans="1:29" ht="104" x14ac:dyDescent="0.15">
      <c r="A10238" s="3">
        <f>DATE(2012,5,3)</f>
        <v>41032</v>
      </c>
      <c r="B10238" s="3">
        <f>DATE(2012,12,21)</f>
        <v>41264</v>
      </c>
      <c r="C10238" s="2" t="s">
        <v>95</v>
      </c>
      <c r="D10238" s="2" t="s">
        <v>29421</v>
      </c>
      <c r="E10238" s="2" t="s">
        <v>36</v>
      </c>
      <c r="F10238" s="4">
        <v>6021</v>
      </c>
      <c r="G10238" s="2" t="s">
        <v>37</v>
      </c>
      <c r="H10238" s="2" t="s">
        <v>34</v>
      </c>
      <c r="I10238" s="2" t="s">
        <v>29946</v>
      </c>
      <c r="J10238" s="2" t="s">
        <v>36</v>
      </c>
      <c r="K10238" s="2" t="s">
        <v>37</v>
      </c>
      <c r="L10238" s="2" t="s">
        <v>34</v>
      </c>
      <c r="M10238" s="7">
        <v>24.713999999999999</v>
      </c>
      <c r="N10238" s="6">
        <v>10.35</v>
      </c>
      <c r="O10238" s="6">
        <v>10.75</v>
      </c>
      <c r="P10238" s="2" t="s">
        <v>29947</v>
      </c>
      <c r="Q10238" s="6">
        <v>100</v>
      </c>
      <c r="R10238" s="6">
        <v>5.3</v>
      </c>
      <c r="S10238" s="5">
        <v>-6.8</v>
      </c>
      <c r="T10238" s="6">
        <v>0.76</v>
      </c>
      <c r="U10238" s="5">
        <v>5.4</v>
      </c>
      <c r="V10238" s="6">
        <v>-1.33</v>
      </c>
      <c r="W10238" s="5">
        <v>4.0999999999999996</v>
      </c>
      <c r="X10238" s="5">
        <v>4.0999999999999996</v>
      </c>
      <c r="Y10238" s="6">
        <v>4.08</v>
      </c>
      <c r="Z10238" s="7">
        <v>4.5140000000000002</v>
      </c>
      <c r="AA10238" s="6">
        <v>5.1100000000000003</v>
      </c>
      <c r="AB10238" s="2" t="s">
        <v>86</v>
      </c>
      <c r="AC10238" s="2"/>
    </row>
    <row r="10239" spans="1:29" ht="117" x14ac:dyDescent="0.15">
      <c r="A10239" s="3">
        <f>DATE(2012,5,3)</f>
        <v>41032</v>
      </c>
      <c r="B10239" s="3">
        <f>DATE(2012,6,25)</f>
        <v>41085</v>
      </c>
      <c r="C10239" s="2" t="s">
        <v>95</v>
      </c>
      <c r="D10239" s="2" t="s">
        <v>29948</v>
      </c>
      <c r="E10239" s="2" t="s">
        <v>29949</v>
      </c>
      <c r="F10239" s="4">
        <v>3841</v>
      </c>
      <c r="G10239" s="2" t="s">
        <v>226</v>
      </c>
      <c r="H10239" s="2" t="s">
        <v>34</v>
      </c>
      <c r="I10239" s="2" t="s">
        <v>29950</v>
      </c>
      <c r="J10239" s="2" t="s">
        <v>29951</v>
      </c>
      <c r="K10239" s="2" t="s">
        <v>98</v>
      </c>
      <c r="L10239" s="2" t="s">
        <v>2105</v>
      </c>
      <c r="M10239" s="10">
        <v>8999.89</v>
      </c>
      <c r="N10239" s="7">
        <v>57.814</v>
      </c>
      <c r="O10239" s="7">
        <v>55.561</v>
      </c>
      <c r="P10239" s="2" t="s">
        <v>29952</v>
      </c>
      <c r="Q10239" s="6">
        <v>100</v>
      </c>
      <c r="R10239" s="6">
        <v>38.5</v>
      </c>
      <c r="S10239" s="5">
        <v>12.5</v>
      </c>
      <c r="T10239" s="7">
        <v>27.776</v>
      </c>
      <c r="U10239" s="5">
        <v>11</v>
      </c>
      <c r="V10239" s="6">
        <v>1.42</v>
      </c>
      <c r="W10239" s="6">
        <v>28.06</v>
      </c>
      <c r="X10239" s="6">
        <v>29.01</v>
      </c>
      <c r="Y10239" s="6">
        <v>38.33</v>
      </c>
      <c r="Z10239" s="6">
        <v>38.32</v>
      </c>
      <c r="AA10239" s="6">
        <v>8.6999999999999993</v>
      </c>
      <c r="AB10239" s="7">
        <v>17.216000000000001</v>
      </c>
      <c r="AC10239" s="10">
        <v>2833.31</v>
      </c>
    </row>
    <row r="10240" spans="1:29" ht="143" x14ac:dyDescent="0.15">
      <c r="A10240" s="3">
        <f>DATE(2012,5,4)</f>
        <v>41033</v>
      </c>
      <c r="B10240" s="2"/>
      <c r="C10240" s="2" t="s">
        <v>30</v>
      </c>
      <c r="D10240" s="2" t="s">
        <v>29953</v>
      </c>
      <c r="E10240" s="2" t="s">
        <v>29954</v>
      </c>
      <c r="F10240" s="4">
        <v>4899</v>
      </c>
      <c r="G10240" s="2" t="s">
        <v>63</v>
      </c>
      <c r="H10240" s="2" t="s">
        <v>34</v>
      </c>
      <c r="I10240" s="2" t="s">
        <v>29955</v>
      </c>
      <c r="J10240" s="2" t="s">
        <v>29956</v>
      </c>
      <c r="K10240" s="2" t="s">
        <v>63</v>
      </c>
      <c r="L10240" s="2" t="s">
        <v>34</v>
      </c>
      <c r="M10240" s="7">
        <v>518.505</v>
      </c>
      <c r="N10240" s="6">
        <v>24.83</v>
      </c>
      <c r="O10240" s="6">
        <v>23.54</v>
      </c>
      <c r="P10240" s="2" t="s">
        <v>29957</v>
      </c>
      <c r="Q10240" s="2"/>
      <c r="R10240" s="6">
        <v>17</v>
      </c>
      <c r="S10240" s="5">
        <v>-23.6</v>
      </c>
      <c r="T10240" s="5">
        <v>148.4</v>
      </c>
      <c r="U10240" s="5">
        <v>10.6</v>
      </c>
      <c r="V10240" s="9">
        <v>-0.51329999999999998</v>
      </c>
      <c r="W10240" s="6">
        <v>12.31</v>
      </c>
      <c r="X10240" s="6">
        <v>13.52</v>
      </c>
      <c r="Y10240" s="6">
        <v>16.440000000000001</v>
      </c>
      <c r="Z10240" s="6">
        <v>15.06</v>
      </c>
      <c r="AA10240" s="6">
        <v>46.61</v>
      </c>
      <c r="AB10240" s="7">
        <v>33.737000000000002</v>
      </c>
      <c r="AC10240" s="2"/>
    </row>
    <row r="10241" spans="1:29" ht="104" x14ac:dyDescent="0.15">
      <c r="A10241" s="3">
        <f>DATE(2012,5,7)</f>
        <v>41036</v>
      </c>
      <c r="B10241" s="3">
        <f>DATE(2012,6,15)</f>
        <v>41075</v>
      </c>
      <c r="C10241" s="2" t="s">
        <v>95</v>
      </c>
      <c r="D10241" s="2" t="s">
        <v>28579</v>
      </c>
      <c r="E10241" s="2" t="s">
        <v>22852</v>
      </c>
      <c r="F10241" s="4">
        <v>7376</v>
      </c>
      <c r="G10241" s="2" t="s">
        <v>223</v>
      </c>
      <c r="H10241" s="2" t="s">
        <v>34</v>
      </c>
      <c r="I10241" s="2" t="s">
        <v>29958</v>
      </c>
      <c r="J10241" s="2" t="s">
        <v>10858</v>
      </c>
      <c r="K10241" s="2" t="s">
        <v>223</v>
      </c>
      <c r="L10241" s="2" t="s">
        <v>34</v>
      </c>
      <c r="M10241" s="2"/>
      <c r="N10241" s="2"/>
      <c r="O10241" s="2"/>
      <c r="P10241" s="2" t="s">
        <v>29959</v>
      </c>
      <c r="Q10241" s="6">
        <v>100</v>
      </c>
      <c r="R10241" s="6">
        <v>7.75</v>
      </c>
      <c r="S10241" s="5">
        <v>0.7</v>
      </c>
      <c r="T10241" s="7">
        <v>-1.502</v>
      </c>
      <c r="U10241" s="5">
        <v>9.4</v>
      </c>
      <c r="V10241" s="6">
        <v>7.0000000000000007E-2</v>
      </c>
      <c r="W10241" s="7">
        <v>5.282</v>
      </c>
      <c r="X10241" s="6">
        <v>5.24</v>
      </c>
      <c r="Y10241" s="6">
        <v>7.72</v>
      </c>
      <c r="Z10241" s="5">
        <v>7.7</v>
      </c>
      <c r="AA10241" s="6">
        <v>9.7100000000000009</v>
      </c>
      <c r="AB10241" s="2" t="s">
        <v>86</v>
      </c>
      <c r="AC10241" s="2"/>
    </row>
    <row r="10242" spans="1:29" ht="117" x14ac:dyDescent="0.15">
      <c r="A10242" s="3">
        <f>DATE(2012,5,8)</f>
        <v>41037</v>
      </c>
      <c r="B10242" s="3">
        <f>DATE(2013,5,31)</f>
        <v>41425</v>
      </c>
      <c r="C10242" s="2" t="s">
        <v>95</v>
      </c>
      <c r="D10242" s="2" t="s">
        <v>29776</v>
      </c>
      <c r="E10242" s="2" t="s">
        <v>36</v>
      </c>
      <c r="F10242" s="4">
        <v>6022</v>
      </c>
      <c r="G10242" s="2" t="s">
        <v>37</v>
      </c>
      <c r="H10242" s="2" t="s">
        <v>34</v>
      </c>
      <c r="I10242" s="2" t="s">
        <v>29960</v>
      </c>
      <c r="J10242" s="2" t="s">
        <v>1304</v>
      </c>
      <c r="K10242" s="2" t="s">
        <v>37</v>
      </c>
      <c r="L10242" s="2" t="s">
        <v>34</v>
      </c>
      <c r="M10242" s="7">
        <v>804.59299999999996</v>
      </c>
      <c r="N10242" s="6">
        <v>24.93</v>
      </c>
      <c r="O10242" s="6">
        <v>24.83</v>
      </c>
      <c r="P10242" s="2" t="s">
        <v>29961</v>
      </c>
      <c r="Q10242" s="6">
        <v>100</v>
      </c>
      <c r="R10242" s="6">
        <v>8</v>
      </c>
      <c r="S10242" s="5">
        <v>12.1</v>
      </c>
      <c r="T10242" s="7">
        <v>21.474</v>
      </c>
      <c r="U10242" s="5">
        <v>7.2</v>
      </c>
      <c r="V10242" s="6">
        <v>0.35</v>
      </c>
      <c r="W10242" s="6">
        <v>5.43</v>
      </c>
      <c r="X10242" s="6">
        <v>5.43</v>
      </c>
      <c r="Y10242" s="6">
        <v>5.61</v>
      </c>
      <c r="Z10242" s="6">
        <v>6.71</v>
      </c>
      <c r="AA10242" s="6">
        <v>29.25</v>
      </c>
      <c r="AB10242" s="7">
        <v>20.728000000000002</v>
      </c>
      <c r="AC10242" s="2"/>
    </row>
    <row r="10243" spans="1:29" ht="130" x14ac:dyDescent="0.15">
      <c r="A10243" s="3">
        <f>DATE(2012,5,9)</f>
        <v>41038</v>
      </c>
      <c r="B10243" s="3">
        <f>DATE(2012,6,29)</f>
        <v>41089</v>
      </c>
      <c r="C10243" s="2" t="s">
        <v>95</v>
      </c>
      <c r="D10243" s="2" t="s">
        <v>26780</v>
      </c>
      <c r="E10243" s="2" t="s">
        <v>26781</v>
      </c>
      <c r="F10243" s="4">
        <v>5719</v>
      </c>
      <c r="G10243" s="2" t="s">
        <v>1227</v>
      </c>
      <c r="H10243" s="2" t="s">
        <v>34</v>
      </c>
      <c r="I10243" s="2" t="s">
        <v>29962</v>
      </c>
      <c r="J10243" s="2" t="s">
        <v>29963</v>
      </c>
      <c r="K10243" s="2" t="s">
        <v>1227</v>
      </c>
      <c r="L10243" s="2" t="s">
        <v>34</v>
      </c>
      <c r="M10243" s="12">
        <v>16380.509</v>
      </c>
      <c r="N10243" s="6">
        <v>68.02</v>
      </c>
      <c r="O10243" s="6">
        <v>68.75</v>
      </c>
      <c r="P10243" s="2" t="s">
        <v>29964</v>
      </c>
      <c r="Q10243" s="6">
        <v>80.61</v>
      </c>
      <c r="R10243" s="6">
        <v>22</v>
      </c>
      <c r="S10243" s="5">
        <v>19.8</v>
      </c>
      <c r="T10243" s="7">
        <v>54.037999999999997</v>
      </c>
      <c r="U10243" s="5">
        <v>4.5</v>
      </c>
      <c r="V10243" s="6">
        <v>0.9</v>
      </c>
      <c r="W10243" s="6">
        <v>19.010000000000002</v>
      </c>
      <c r="X10243" s="6">
        <v>17.989999999999998</v>
      </c>
      <c r="Y10243" s="6">
        <v>21.93</v>
      </c>
      <c r="Z10243" s="6">
        <v>21.92</v>
      </c>
      <c r="AA10243" s="6">
        <v>22.49</v>
      </c>
      <c r="AB10243" s="7">
        <v>19.23</v>
      </c>
      <c r="AC10243" s="10">
        <v>1759.56</v>
      </c>
    </row>
    <row r="10244" spans="1:29" ht="65" x14ac:dyDescent="0.15">
      <c r="A10244" s="3">
        <f>DATE(2012,5,11)</f>
        <v>41040</v>
      </c>
      <c r="B10244" s="2"/>
      <c r="C10244" s="2" t="s">
        <v>30</v>
      </c>
      <c r="D10244" s="2" t="s">
        <v>12838</v>
      </c>
      <c r="E10244" s="2" t="s">
        <v>12839</v>
      </c>
      <c r="F10244" s="4">
        <v>8051</v>
      </c>
      <c r="G10244" s="2" t="s">
        <v>454</v>
      </c>
      <c r="H10244" s="2" t="s">
        <v>34</v>
      </c>
      <c r="I10244" s="2" t="s">
        <v>29965</v>
      </c>
      <c r="J10244" s="2" t="s">
        <v>12839</v>
      </c>
      <c r="K10244" s="2" t="s">
        <v>454</v>
      </c>
      <c r="L10244" s="2" t="s">
        <v>34</v>
      </c>
      <c r="M10244" s="2"/>
      <c r="N10244" s="2"/>
      <c r="O10244" s="2"/>
      <c r="P10244" s="2" t="s">
        <v>29966</v>
      </c>
      <c r="Q10244" s="2"/>
      <c r="R10244" s="6">
        <v>8.5</v>
      </c>
      <c r="S10244" s="5">
        <v>-0.5</v>
      </c>
      <c r="T10244" s="7">
        <v>9.0660000000000007</v>
      </c>
      <c r="U10244" s="5">
        <v>3.4</v>
      </c>
      <c r="V10244" s="9">
        <v>-0.1706</v>
      </c>
      <c r="W10244" s="6">
        <v>4.79</v>
      </c>
      <c r="X10244" s="6">
        <v>4.34</v>
      </c>
      <c r="Y10244" s="6">
        <v>6.82</v>
      </c>
      <c r="Z10244" s="6">
        <v>6.95</v>
      </c>
      <c r="AA10244" s="6">
        <v>5.88</v>
      </c>
      <c r="AB10244" s="7">
        <v>36.082999999999998</v>
      </c>
      <c r="AC10244" s="2"/>
    </row>
    <row r="10245" spans="1:29" ht="156" x14ac:dyDescent="0.15">
      <c r="A10245" s="3">
        <f>DATE(2012,5,14)</f>
        <v>41043</v>
      </c>
      <c r="B10245" s="3">
        <f>DATE(2012,10,1)</f>
        <v>41183</v>
      </c>
      <c r="C10245" s="2" t="s">
        <v>95</v>
      </c>
      <c r="D10245" s="2" t="s">
        <v>22991</v>
      </c>
      <c r="E10245" s="2" t="s">
        <v>36</v>
      </c>
      <c r="F10245" s="4">
        <v>6035</v>
      </c>
      <c r="G10245" s="2" t="s">
        <v>33</v>
      </c>
      <c r="H10245" s="2" t="s">
        <v>34</v>
      </c>
      <c r="I10245" s="2" t="s">
        <v>29146</v>
      </c>
      <c r="J10245" s="2" t="s">
        <v>36</v>
      </c>
      <c r="K10245" s="2" t="s">
        <v>37</v>
      </c>
      <c r="L10245" s="2" t="s">
        <v>34</v>
      </c>
      <c r="M10245" s="7">
        <v>149.18100000000001</v>
      </c>
      <c r="N10245" s="6">
        <v>4.1500000000000004</v>
      </c>
      <c r="O10245" s="5">
        <v>4.0999999999999996</v>
      </c>
      <c r="P10245" s="2" t="s">
        <v>29967</v>
      </c>
      <c r="Q10245" s="6">
        <v>100</v>
      </c>
      <c r="R10245" s="6">
        <v>7</v>
      </c>
      <c r="S10245" s="5">
        <v>-1</v>
      </c>
      <c r="T10245" s="7">
        <v>-4.5179999999999998</v>
      </c>
      <c r="U10245" s="5">
        <v>6</v>
      </c>
      <c r="V10245" s="6">
        <v>-0.21</v>
      </c>
      <c r="W10245" s="6">
        <v>4.7300000000000004</v>
      </c>
      <c r="X10245" s="4">
        <v>5</v>
      </c>
      <c r="Y10245" s="6">
        <v>6.22</v>
      </c>
      <c r="Z10245" s="6">
        <v>6.17</v>
      </c>
      <c r="AA10245" s="6">
        <v>11.51</v>
      </c>
      <c r="AB10245" s="2" t="s">
        <v>86</v>
      </c>
      <c r="AC10245" s="2"/>
    </row>
    <row r="10246" spans="1:29" ht="169" x14ac:dyDescent="0.15">
      <c r="A10246" s="3">
        <f>DATE(2012,5,14)</f>
        <v>41043</v>
      </c>
      <c r="B10246" s="3">
        <f>DATE(2012,7,24)</f>
        <v>41114</v>
      </c>
      <c r="C10246" s="2" t="s">
        <v>95</v>
      </c>
      <c r="D10246" s="2" t="s">
        <v>29968</v>
      </c>
      <c r="E10246" s="2" t="s">
        <v>29969</v>
      </c>
      <c r="F10246" s="4">
        <v>5941</v>
      </c>
      <c r="G10246" s="2" t="s">
        <v>73</v>
      </c>
      <c r="H10246" s="2" t="s">
        <v>34</v>
      </c>
      <c r="I10246" s="2" t="s">
        <v>29970</v>
      </c>
      <c r="J10246" s="2" t="s">
        <v>29971</v>
      </c>
      <c r="K10246" s="2" t="s">
        <v>73</v>
      </c>
      <c r="L10246" s="2" t="s">
        <v>902</v>
      </c>
      <c r="M10246" s="2"/>
      <c r="N10246" s="2"/>
      <c r="O10246" s="2"/>
      <c r="P10246" s="2" t="s">
        <v>29972</v>
      </c>
      <c r="Q10246" s="6">
        <v>100</v>
      </c>
      <c r="R10246" s="6">
        <v>6.1</v>
      </c>
      <c r="S10246" s="5">
        <v>-0.6</v>
      </c>
      <c r="T10246" s="7">
        <v>12.865</v>
      </c>
      <c r="U10246" s="5">
        <v>3.9</v>
      </c>
      <c r="V10246" s="6">
        <v>-0.03</v>
      </c>
      <c r="W10246" s="5">
        <v>4.0999999999999996</v>
      </c>
      <c r="X10246" s="6">
        <v>4.09</v>
      </c>
      <c r="Y10246" s="6">
        <v>4.45</v>
      </c>
      <c r="Z10246" s="6">
        <v>4.1500000000000004</v>
      </c>
      <c r="AA10246" s="6">
        <v>15.93</v>
      </c>
      <c r="AB10246" s="7">
        <v>162.84200000000001</v>
      </c>
      <c r="AC10246" s="2"/>
    </row>
    <row r="10247" spans="1:29" ht="65" x14ac:dyDescent="0.15">
      <c r="A10247" s="3">
        <f>DATE(2012,5,14)</f>
        <v>41043</v>
      </c>
      <c r="B10247" s="3">
        <f>DATE(2012,7,31)</f>
        <v>41121</v>
      </c>
      <c r="C10247" s="2" t="s">
        <v>95</v>
      </c>
      <c r="D10247" s="2" t="s">
        <v>29973</v>
      </c>
      <c r="E10247" s="2" t="s">
        <v>29974</v>
      </c>
      <c r="F10247" s="4">
        <v>3613</v>
      </c>
      <c r="G10247" s="2" t="s">
        <v>137</v>
      </c>
      <c r="H10247" s="2" t="s">
        <v>34</v>
      </c>
      <c r="I10247" s="2" t="s">
        <v>29975</v>
      </c>
      <c r="J10247" s="2" t="s">
        <v>29976</v>
      </c>
      <c r="K10247" s="2" t="s">
        <v>137</v>
      </c>
      <c r="L10247" s="2" t="s">
        <v>34</v>
      </c>
      <c r="M10247" s="2"/>
      <c r="N10247" s="2"/>
      <c r="O10247" s="2"/>
      <c r="P10247" s="2" t="s">
        <v>29977</v>
      </c>
      <c r="Q10247" s="6">
        <v>100</v>
      </c>
      <c r="R10247" s="6">
        <v>2.15</v>
      </c>
      <c r="S10247" s="5">
        <v>-3.8</v>
      </c>
      <c r="T10247" s="7">
        <v>2.0059999999999998</v>
      </c>
      <c r="U10247" s="5">
        <v>2.6</v>
      </c>
      <c r="V10247" s="6">
        <v>-0.27</v>
      </c>
      <c r="W10247" s="6">
        <v>1.37</v>
      </c>
      <c r="X10247" s="6">
        <v>1.45</v>
      </c>
      <c r="Y10247" s="6">
        <v>2.08</v>
      </c>
      <c r="Z10247" s="6">
        <v>2.06</v>
      </c>
      <c r="AA10247" s="6">
        <v>15.05</v>
      </c>
      <c r="AB10247" s="2" t="s">
        <v>86</v>
      </c>
      <c r="AC10247" s="2"/>
    </row>
    <row r="10248" spans="1:29" ht="78" x14ac:dyDescent="0.15">
      <c r="A10248" s="3">
        <f>DATE(2012,5,18)</f>
        <v>41047</v>
      </c>
      <c r="B10248" s="2"/>
      <c r="C10248" s="2" t="s">
        <v>30</v>
      </c>
      <c r="D10248" s="2" t="s">
        <v>29978</v>
      </c>
      <c r="E10248" s="2" t="s">
        <v>29979</v>
      </c>
      <c r="F10248" s="4">
        <v>3716</v>
      </c>
      <c r="G10248" s="2" t="s">
        <v>105</v>
      </c>
      <c r="H10248" s="2" t="s">
        <v>34</v>
      </c>
      <c r="I10248" s="2" t="s">
        <v>29980</v>
      </c>
      <c r="J10248" s="2" t="s">
        <v>244</v>
      </c>
      <c r="K10248" s="2" t="s">
        <v>53</v>
      </c>
      <c r="L10248" s="2" t="s">
        <v>34</v>
      </c>
      <c r="M10248" s="2"/>
      <c r="N10248" s="2"/>
      <c r="O10248" s="2"/>
      <c r="P10248" s="2" t="s">
        <v>29981</v>
      </c>
      <c r="Q10248" s="2"/>
      <c r="R10248" s="6">
        <v>11</v>
      </c>
      <c r="S10248" s="5">
        <v>4.9000000000000004</v>
      </c>
      <c r="T10248" s="7">
        <v>7.609</v>
      </c>
      <c r="U10248" s="5">
        <v>3.9</v>
      </c>
      <c r="V10248" s="6">
        <v>0.17</v>
      </c>
      <c r="W10248" s="6">
        <v>8.93</v>
      </c>
      <c r="X10248" s="6">
        <v>8.51</v>
      </c>
      <c r="Y10248" s="6">
        <v>8.66</v>
      </c>
      <c r="Z10248" s="6">
        <v>8.98</v>
      </c>
      <c r="AA10248" s="6">
        <v>29.23</v>
      </c>
      <c r="AB10248" s="7">
        <v>101.38200000000001</v>
      </c>
      <c r="AC10248" s="2"/>
    </row>
    <row r="10249" spans="1:29" ht="78" x14ac:dyDescent="0.15">
      <c r="A10249" s="3">
        <f>DATE(2012,5,22)</f>
        <v>41051</v>
      </c>
      <c r="B10249" s="3">
        <f>DATE(2012,10,1)</f>
        <v>41183</v>
      </c>
      <c r="C10249" s="2" t="s">
        <v>95</v>
      </c>
      <c r="D10249" s="2" t="s">
        <v>18401</v>
      </c>
      <c r="E10249" s="2" t="s">
        <v>18402</v>
      </c>
      <c r="F10249" s="4">
        <v>7372</v>
      </c>
      <c r="G10249" s="2" t="s">
        <v>551</v>
      </c>
      <c r="H10249" s="2" t="s">
        <v>34</v>
      </c>
      <c r="I10249" s="2" t="s">
        <v>29633</v>
      </c>
      <c r="J10249" s="2" t="s">
        <v>18230</v>
      </c>
      <c r="K10249" s="2" t="s">
        <v>551</v>
      </c>
      <c r="L10249" s="2" t="s">
        <v>34</v>
      </c>
      <c r="M10249" s="2"/>
      <c r="N10249" s="2"/>
      <c r="O10249" s="2"/>
      <c r="P10249" s="2" t="s">
        <v>29982</v>
      </c>
      <c r="Q10249" s="6">
        <v>100</v>
      </c>
      <c r="R10249" s="6">
        <v>45</v>
      </c>
      <c r="S10249" s="5">
        <v>-6.3</v>
      </c>
      <c r="T10249" s="6">
        <v>43.41</v>
      </c>
      <c r="U10249" s="5">
        <v>6.7</v>
      </c>
      <c r="V10249" s="6">
        <v>-0.09</v>
      </c>
      <c r="W10249" s="6">
        <v>37.92</v>
      </c>
      <c r="X10249" s="6">
        <v>37.64</v>
      </c>
      <c r="Y10249" s="6">
        <v>44.87</v>
      </c>
      <c r="Z10249" s="4">
        <v>45</v>
      </c>
      <c r="AA10249" s="6">
        <v>100.17</v>
      </c>
      <c r="AB10249" s="7">
        <v>318.346</v>
      </c>
      <c r="AC10249" s="2"/>
    </row>
    <row r="10250" spans="1:29" ht="91" x14ac:dyDescent="0.15">
      <c r="A10250" s="3">
        <f>DATE(2012,5,22)</f>
        <v>41051</v>
      </c>
      <c r="B10250" s="3">
        <f>DATE(2012,8,21)</f>
        <v>41142</v>
      </c>
      <c r="C10250" s="2" t="s">
        <v>95</v>
      </c>
      <c r="D10250" s="2" t="s">
        <v>10153</v>
      </c>
      <c r="E10250" s="2" t="s">
        <v>229</v>
      </c>
      <c r="F10250" s="4">
        <v>5812</v>
      </c>
      <c r="G10250" s="2" t="s">
        <v>230</v>
      </c>
      <c r="H10250" s="2" t="s">
        <v>34</v>
      </c>
      <c r="I10250" s="2" t="s">
        <v>29983</v>
      </c>
      <c r="J10250" s="2" t="s">
        <v>244</v>
      </c>
      <c r="K10250" s="2" t="s">
        <v>53</v>
      </c>
      <c r="L10250" s="2" t="s">
        <v>34</v>
      </c>
      <c r="M10250" s="2"/>
      <c r="N10250" s="2"/>
      <c r="O10250" s="2"/>
      <c r="P10250" s="2" t="s">
        <v>29984</v>
      </c>
      <c r="Q10250" s="6">
        <v>100</v>
      </c>
      <c r="R10250" s="6">
        <v>16.3</v>
      </c>
      <c r="S10250" s="5">
        <v>4</v>
      </c>
      <c r="T10250" s="5">
        <v>30.2</v>
      </c>
      <c r="U10250" s="5">
        <v>9.5</v>
      </c>
      <c r="V10250" s="6">
        <v>0.21</v>
      </c>
      <c r="W10250" s="6">
        <v>13.95</v>
      </c>
      <c r="X10250" s="6">
        <v>14.18</v>
      </c>
      <c r="Y10250" s="6">
        <v>14.08</v>
      </c>
      <c r="Z10250" s="6">
        <v>14.08</v>
      </c>
      <c r="AA10250" s="6">
        <v>17.920000000000002</v>
      </c>
      <c r="AB10250" s="7">
        <v>26.292000000000002</v>
      </c>
      <c r="AC10250" s="2"/>
    </row>
    <row r="10251" spans="1:29" ht="104" x14ac:dyDescent="0.15">
      <c r="A10251" s="3">
        <f>DATE(2012,5,24)</f>
        <v>41053</v>
      </c>
      <c r="B10251" s="2"/>
      <c r="C10251" s="2" t="s">
        <v>189</v>
      </c>
      <c r="D10251" s="2" t="s">
        <v>29755</v>
      </c>
      <c r="E10251" s="2" t="s">
        <v>7557</v>
      </c>
      <c r="F10251" s="4">
        <v>2911</v>
      </c>
      <c r="G10251" s="2" t="s">
        <v>148</v>
      </c>
      <c r="H10251" s="2" t="s">
        <v>34</v>
      </c>
      <c r="I10251" s="2" t="s">
        <v>143</v>
      </c>
      <c r="J10251" s="2" t="s">
        <v>144</v>
      </c>
      <c r="K10251" s="2" t="s">
        <v>53</v>
      </c>
      <c r="L10251" s="2" t="s">
        <v>139</v>
      </c>
      <c r="M10251" s="2"/>
      <c r="N10251" s="2"/>
      <c r="O10251" s="2"/>
      <c r="P10251" s="2" t="s">
        <v>29985</v>
      </c>
      <c r="Q10251" s="2"/>
      <c r="R10251" s="2"/>
      <c r="S10251" s="5">
        <v>274.8</v>
      </c>
      <c r="T10251" s="7">
        <v>697.42200000000003</v>
      </c>
      <c r="U10251" s="5">
        <v>13</v>
      </c>
      <c r="V10251" s="9">
        <v>3.1295999999999999</v>
      </c>
      <c r="W10251" s="5">
        <v>30.5</v>
      </c>
      <c r="X10251" s="6">
        <v>27.46</v>
      </c>
      <c r="Y10251" s="6">
        <v>27.17</v>
      </c>
      <c r="Z10251" s="6">
        <v>26.56</v>
      </c>
      <c r="AA10251" s="6">
        <v>86.81</v>
      </c>
      <c r="AB10251" s="2" t="s">
        <v>47</v>
      </c>
      <c r="AC10251" s="2"/>
    </row>
    <row r="10252" spans="1:29" ht="65" x14ac:dyDescent="0.15">
      <c r="A10252" s="3">
        <f>DATE(2012,5,25)</f>
        <v>41054</v>
      </c>
      <c r="B10252" s="2"/>
      <c r="C10252" s="2" t="s">
        <v>7330</v>
      </c>
      <c r="D10252" s="2" t="s">
        <v>29986</v>
      </c>
      <c r="E10252" s="2" t="s">
        <v>540</v>
      </c>
      <c r="F10252" s="4">
        <v>2836</v>
      </c>
      <c r="G10252" s="2" t="s">
        <v>130</v>
      </c>
      <c r="H10252" s="2" t="s">
        <v>34</v>
      </c>
      <c r="I10252" s="2" t="s">
        <v>29987</v>
      </c>
      <c r="J10252" s="2" t="s">
        <v>150</v>
      </c>
      <c r="K10252" s="2" t="s">
        <v>53</v>
      </c>
      <c r="L10252" s="2" t="s">
        <v>34</v>
      </c>
      <c r="M10252" s="2"/>
      <c r="N10252" s="2"/>
      <c r="O10252" s="2"/>
      <c r="P10252" s="2" t="s">
        <v>29988</v>
      </c>
      <c r="Q10252" s="2"/>
      <c r="R10252" s="2"/>
      <c r="S10252" s="5">
        <v>-0.2</v>
      </c>
      <c r="T10252" s="2"/>
      <c r="U10252" s="5">
        <v>0</v>
      </c>
      <c r="V10252" s="6">
        <v>-0.01</v>
      </c>
      <c r="W10252" s="5">
        <v>4.8</v>
      </c>
      <c r="X10252" s="5">
        <v>4.8</v>
      </c>
      <c r="Y10252" s="5">
        <v>4.8</v>
      </c>
      <c r="Z10252" s="5">
        <v>4.8</v>
      </c>
      <c r="AA10252" s="6">
        <v>6.03</v>
      </c>
      <c r="AB10252" s="2" t="s">
        <v>86</v>
      </c>
      <c r="AC10252" s="2"/>
    </row>
    <row r="10253" spans="1:29" ht="104" x14ac:dyDescent="0.15">
      <c r="A10253" s="3">
        <f>DATE(2012,5,25)</f>
        <v>41054</v>
      </c>
      <c r="B10253" s="2"/>
      <c r="C10253" s="2" t="s">
        <v>87</v>
      </c>
      <c r="D10253" s="2" t="s">
        <v>29989</v>
      </c>
      <c r="E10253" s="2" t="s">
        <v>25435</v>
      </c>
      <c r="F10253" s="4">
        <v>7389</v>
      </c>
      <c r="G10253" s="2" t="s">
        <v>223</v>
      </c>
      <c r="H10253" s="2" t="s">
        <v>34</v>
      </c>
      <c r="I10253" s="2" t="s">
        <v>143</v>
      </c>
      <c r="J10253" s="2" t="s">
        <v>144</v>
      </c>
      <c r="K10253" s="2" t="s">
        <v>53</v>
      </c>
      <c r="L10253" s="2" t="s">
        <v>139</v>
      </c>
      <c r="M10253" s="2"/>
      <c r="N10253" s="2"/>
      <c r="O10253" s="2"/>
      <c r="P10253" s="2" t="s">
        <v>29990</v>
      </c>
      <c r="Q10253" s="2"/>
      <c r="R10253" s="2"/>
      <c r="S10253" s="5">
        <v>12.9</v>
      </c>
      <c r="T10253" s="7">
        <v>119.691</v>
      </c>
      <c r="U10253" s="5">
        <v>19</v>
      </c>
      <c r="V10253" s="7">
        <v>0.496</v>
      </c>
      <c r="W10253" s="6">
        <v>8.34</v>
      </c>
      <c r="X10253" s="6">
        <v>8.58</v>
      </c>
      <c r="Y10253" s="6">
        <v>8.64</v>
      </c>
      <c r="Z10253" s="6">
        <v>9.0500000000000007</v>
      </c>
      <c r="AA10253" s="6">
        <v>27.57</v>
      </c>
      <c r="AB10253" s="2" t="s">
        <v>47</v>
      </c>
      <c r="AC10253" s="2"/>
    </row>
    <row r="10254" spans="1:29" ht="143" x14ac:dyDescent="0.15">
      <c r="A10254" s="3">
        <f>DATE(2012,5,29)</f>
        <v>41058</v>
      </c>
      <c r="B10254" s="3">
        <f>DATE(2013,2,15)</f>
        <v>41320</v>
      </c>
      <c r="C10254" s="2" t="s">
        <v>95</v>
      </c>
      <c r="D10254" s="2" t="s">
        <v>20924</v>
      </c>
      <c r="E10254" s="2" t="s">
        <v>36</v>
      </c>
      <c r="F10254" s="4">
        <v>6021</v>
      </c>
      <c r="G10254" s="2" t="s">
        <v>37</v>
      </c>
      <c r="H10254" s="2" t="s">
        <v>34</v>
      </c>
      <c r="I10254" s="2" t="s">
        <v>28624</v>
      </c>
      <c r="J10254" s="2" t="s">
        <v>36</v>
      </c>
      <c r="K10254" s="2" t="s">
        <v>37</v>
      </c>
      <c r="L10254" s="2" t="s">
        <v>34</v>
      </c>
      <c r="M10254" s="10">
        <v>1641.16</v>
      </c>
      <c r="N10254" s="6">
        <v>25.15</v>
      </c>
      <c r="O10254" s="6">
        <v>24.43</v>
      </c>
      <c r="P10254" s="2" t="s">
        <v>29991</v>
      </c>
      <c r="Q10254" s="6">
        <v>100</v>
      </c>
      <c r="R10254" s="6">
        <v>3.08</v>
      </c>
      <c r="S10254" s="5">
        <v>-48.2</v>
      </c>
      <c r="T10254" s="7">
        <v>-34.796999999999997</v>
      </c>
      <c r="U10254" s="5">
        <v>3.6</v>
      </c>
      <c r="V10254" s="6">
        <v>-2.87</v>
      </c>
      <c r="W10254" s="6">
        <v>1.31</v>
      </c>
      <c r="X10254" s="6">
        <v>1.48</v>
      </c>
      <c r="Y10254" s="6">
        <v>1.49</v>
      </c>
      <c r="Z10254" s="7">
        <v>1.2190000000000001</v>
      </c>
      <c r="AA10254" s="6">
        <v>17.97</v>
      </c>
      <c r="AB10254" s="2" t="s">
        <v>86</v>
      </c>
      <c r="AC10254" s="2"/>
    </row>
    <row r="10255" spans="1:29" ht="130" x14ac:dyDescent="0.15">
      <c r="A10255" s="3">
        <f>DATE(2012,5,29)</f>
        <v>41058</v>
      </c>
      <c r="B10255" s="3">
        <f>DATE(2012,9,7)</f>
        <v>41159</v>
      </c>
      <c r="C10255" s="2" t="s">
        <v>95</v>
      </c>
      <c r="D10255" s="2" t="s">
        <v>29992</v>
      </c>
      <c r="E10255" s="2" t="s">
        <v>29993</v>
      </c>
      <c r="F10255" s="4">
        <v>5074</v>
      </c>
      <c r="G10255" s="2" t="s">
        <v>76</v>
      </c>
      <c r="H10255" s="2" t="s">
        <v>34</v>
      </c>
      <c r="I10255" s="2" t="s">
        <v>29994</v>
      </c>
      <c r="J10255" s="2" t="s">
        <v>11337</v>
      </c>
      <c r="K10255" s="2" t="s">
        <v>53</v>
      </c>
      <c r="L10255" s="2" t="s">
        <v>34</v>
      </c>
      <c r="M10255" s="2"/>
      <c r="N10255" s="2"/>
      <c r="O10255" s="2"/>
      <c r="P10255" s="2" t="s">
        <v>29995</v>
      </c>
      <c r="Q10255" s="6">
        <v>100</v>
      </c>
      <c r="R10255" s="6">
        <v>25.5</v>
      </c>
      <c r="S10255" s="5">
        <v>38.299999999999997</v>
      </c>
      <c r="T10255" s="7">
        <v>108.953</v>
      </c>
      <c r="U10255" s="5">
        <v>16.399999999999999</v>
      </c>
      <c r="V10255" s="9">
        <v>5.9828999999999999</v>
      </c>
      <c r="W10255" s="6">
        <v>18.010000000000002</v>
      </c>
      <c r="X10255" s="6">
        <v>17.940000000000001</v>
      </c>
      <c r="Y10255" s="6">
        <v>25.08</v>
      </c>
      <c r="Z10255" s="6">
        <v>25.08</v>
      </c>
      <c r="AA10255" s="6">
        <v>31.86</v>
      </c>
      <c r="AB10255" s="7">
        <v>12.433</v>
      </c>
      <c r="AC10255" s="2"/>
    </row>
    <row r="10256" spans="1:29" ht="65" x14ac:dyDescent="0.15">
      <c r="A10256" s="3">
        <f>DATE(2012,5,29)</f>
        <v>41058</v>
      </c>
      <c r="B10256" s="3">
        <f>DATE(2012,8,6)</f>
        <v>41127</v>
      </c>
      <c r="C10256" s="2" t="s">
        <v>95</v>
      </c>
      <c r="D10256" s="2" t="s">
        <v>22291</v>
      </c>
      <c r="E10256" s="2" t="s">
        <v>905</v>
      </c>
      <c r="F10256" s="4">
        <v>3825</v>
      </c>
      <c r="G10256" s="2" t="s">
        <v>226</v>
      </c>
      <c r="H10256" s="2" t="s">
        <v>34</v>
      </c>
      <c r="I10256" s="2" t="s">
        <v>21880</v>
      </c>
      <c r="J10256" s="2" t="s">
        <v>9379</v>
      </c>
      <c r="K10256" s="2" t="s">
        <v>223</v>
      </c>
      <c r="L10256" s="2" t="s">
        <v>34</v>
      </c>
      <c r="M10256" s="12">
        <v>2365.9029999999998</v>
      </c>
      <c r="N10256" s="6">
        <v>60.66</v>
      </c>
      <c r="O10256" s="6">
        <v>59.92</v>
      </c>
      <c r="P10256" s="2" t="s">
        <v>29996</v>
      </c>
      <c r="Q10256" s="6">
        <v>100</v>
      </c>
      <c r="R10256" s="6">
        <v>14.3</v>
      </c>
      <c r="S10256" s="5">
        <v>15</v>
      </c>
      <c r="T10256" s="7">
        <v>32.783999999999999</v>
      </c>
      <c r="U10256" s="5">
        <v>4</v>
      </c>
      <c r="V10256" s="6">
        <v>0.9</v>
      </c>
      <c r="W10256" s="6">
        <v>9.15</v>
      </c>
      <c r="X10256" s="6">
        <v>9.14</v>
      </c>
      <c r="Y10256" s="5">
        <v>14.2</v>
      </c>
      <c r="Z10256" s="5">
        <v>14.2</v>
      </c>
      <c r="AA10256" s="6">
        <v>16.82</v>
      </c>
      <c r="AB10256" s="7">
        <v>9.7479999999999993</v>
      </c>
      <c r="AC10256" s="5">
        <v>84.9</v>
      </c>
    </row>
    <row r="10257" spans="1:29" ht="78" x14ac:dyDescent="0.15">
      <c r="A10257" s="3">
        <f>DATE(2012,5,29)</f>
        <v>41058</v>
      </c>
      <c r="B10257" s="3">
        <f>DATE(2012,5,29)</f>
        <v>41058</v>
      </c>
      <c r="C10257" s="2" t="s">
        <v>95</v>
      </c>
      <c r="D10257" s="2" t="s">
        <v>29997</v>
      </c>
      <c r="E10257" s="2" t="s">
        <v>29998</v>
      </c>
      <c r="F10257" s="4">
        <v>1481</v>
      </c>
      <c r="G10257" s="2" t="s">
        <v>166</v>
      </c>
      <c r="H10257" s="2" t="s">
        <v>34</v>
      </c>
      <c r="I10257" s="2" t="s">
        <v>29999</v>
      </c>
      <c r="J10257" s="2" t="s">
        <v>30000</v>
      </c>
      <c r="K10257" s="2" t="s">
        <v>166</v>
      </c>
      <c r="L10257" s="2" t="s">
        <v>902</v>
      </c>
      <c r="M10257" s="2"/>
      <c r="N10257" s="2"/>
      <c r="O10257" s="2"/>
      <c r="P10257" s="2" t="s">
        <v>30001</v>
      </c>
      <c r="Q10257" s="6">
        <v>100</v>
      </c>
      <c r="R10257" s="2"/>
      <c r="S10257" s="2"/>
      <c r="T10257" s="2"/>
      <c r="U10257" s="2"/>
      <c r="V10257" s="2"/>
      <c r="W10257" s="7">
        <v>2.125</v>
      </c>
      <c r="X10257" s="7">
        <v>2.3420000000000001</v>
      </c>
      <c r="Y10257" s="7">
        <v>2.738</v>
      </c>
      <c r="Z10257" s="6">
        <v>2.72</v>
      </c>
      <c r="AA10257" s="2"/>
      <c r="AB10257" s="2" t="s">
        <v>47</v>
      </c>
      <c r="AC10257" s="2"/>
    </row>
    <row r="10258" spans="1:29" ht="156" x14ac:dyDescent="0.15">
      <c r="A10258" s="3">
        <f>DATE(2012,5,31)</f>
        <v>41060</v>
      </c>
      <c r="B10258" s="3">
        <f>DATE(2012,10,19)</f>
        <v>41201</v>
      </c>
      <c r="C10258" s="2" t="s">
        <v>95</v>
      </c>
      <c r="D10258" s="2" t="s">
        <v>30002</v>
      </c>
      <c r="E10258" s="2" t="s">
        <v>36</v>
      </c>
      <c r="F10258" s="4">
        <v>6035</v>
      </c>
      <c r="G10258" s="2" t="s">
        <v>33</v>
      </c>
      <c r="H10258" s="2" t="s">
        <v>34</v>
      </c>
      <c r="I10258" s="2" t="s">
        <v>22561</v>
      </c>
      <c r="J10258" s="2" t="s">
        <v>1304</v>
      </c>
      <c r="K10258" s="2" t="s">
        <v>33</v>
      </c>
      <c r="L10258" s="2" t="s">
        <v>34</v>
      </c>
      <c r="M10258" s="7">
        <v>504.26600000000002</v>
      </c>
      <c r="N10258" s="6">
        <v>21.82</v>
      </c>
      <c r="O10258" s="6">
        <v>20.75</v>
      </c>
      <c r="P10258" s="2" t="s">
        <v>30003</v>
      </c>
      <c r="Q10258" s="6">
        <v>100</v>
      </c>
      <c r="R10258" s="6">
        <v>20.63</v>
      </c>
      <c r="S10258" s="5">
        <v>5.5</v>
      </c>
      <c r="T10258" s="7">
        <v>6.6589999999999998</v>
      </c>
      <c r="U10258" s="5">
        <v>18.399999999999999</v>
      </c>
      <c r="V10258" s="6">
        <v>0.9</v>
      </c>
      <c r="W10258" s="5">
        <v>13.5</v>
      </c>
      <c r="X10258" s="6">
        <v>13.67</v>
      </c>
      <c r="Y10258" s="5">
        <v>13.3</v>
      </c>
      <c r="Z10258" s="6">
        <v>19.23</v>
      </c>
      <c r="AA10258" s="6">
        <v>6.2</v>
      </c>
      <c r="AB10258" s="7">
        <v>70.834999999999994</v>
      </c>
      <c r="AC10258" s="2"/>
    </row>
    <row r="10259" spans="1:29" ht="130" x14ac:dyDescent="0.15">
      <c r="A10259" s="3">
        <f>DATE(2012,5,31)</f>
        <v>41060</v>
      </c>
      <c r="B10259" s="3">
        <f>DATE(2012,11,16)</f>
        <v>41229</v>
      </c>
      <c r="C10259" s="2" t="s">
        <v>95</v>
      </c>
      <c r="D10259" s="2" t="s">
        <v>24857</v>
      </c>
      <c r="E10259" s="2" t="s">
        <v>36</v>
      </c>
      <c r="F10259" s="4">
        <v>6712</v>
      </c>
      <c r="G10259" s="2" t="s">
        <v>37</v>
      </c>
      <c r="H10259" s="2" t="s">
        <v>34</v>
      </c>
      <c r="I10259" s="2" t="s">
        <v>27516</v>
      </c>
      <c r="J10259" s="2" t="s">
        <v>36</v>
      </c>
      <c r="K10259" s="2" t="s">
        <v>37</v>
      </c>
      <c r="L10259" s="2" t="s">
        <v>34</v>
      </c>
      <c r="M10259" s="6">
        <v>253.39</v>
      </c>
      <c r="N10259" s="6">
        <v>13.78</v>
      </c>
      <c r="O10259" s="6">
        <v>13.65</v>
      </c>
      <c r="P10259" s="2" t="s">
        <v>30004</v>
      </c>
      <c r="Q10259" s="6">
        <v>94.29</v>
      </c>
      <c r="R10259" s="6">
        <v>14.24</v>
      </c>
      <c r="S10259" s="5">
        <v>4.0999999999999996</v>
      </c>
      <c r="T10259" s="7">
        <v>7.4969999999999999</v>
      </c>
      <c r="U10259" s="2"/>
      <c r="V10259" s="6">
        <v>0.69</v>
      </c>
      <c r="W10259" s="5">
        <v>9.9</v>
      </c>
      <c r="X10259" s="6">
        <v>9.7799999999999994</v>
      </c>
      <c r="Y10259" s="5">
        <v>12.7</v>
      </c>
      <c r="Z10259" s="6">
        <v>12.59</v>
      </c>
      <c r="AA10259" s="6">
        <v>5.81</v>
      </c>
      <c r="AB10259" s="7">
        <v>95.290999999999997</v>
      </c>
      <c r="AC10259" s="2"/>
    </row>
    <row r="10260" spans="1:29" ht="104" x14ac:dyDescent="0.15">
      <c r="A10260" s="3">
        <f>DATE(2012,6,1)</f>
        <v>41061</v>
      </c>
      <c r="B10260" s="3">
        <f>DATE(2012,7,26)</f>
        <v>41116</v>
      </c>
      <c r="C10260" s="2" t="s">
        <v>95</v>
      </c>
      <c r="D10260" s="2" t="s">
        <v>30005</v>
      </c>
      <c r="E10260" s="2" t="s">
        <v>30006</v>
      </c>
      <c r="F10260" s="4">
        <v>3669</v>
      </c>
      <c r="G10260" s="2" t="s">
        <v>921</v>
      </c>
      <c r="H10260" s="2" t="s">
        <v>34</v>
      </c>
      <c r="I10260" s="2" t="s">
        <v>22686</v>
      </c>
      <c r="J10260" s="2" t="s">
        <v>560</v>
      </c>
      <c r="K10260" s="2" t="s">
        <v>63</v>
      </c>
      <c r="L10260" s="2" t="s">
        <v>34</v>
      </c>
      <c r="M10260" s="12">
        <v>114379.973</v>
      </c>
      <c r="N10260" s="6">
        <v>41.03</v>
      </c>
      <c r="O10260" s="6">
        <v>41.34</v>
      </c>
      <c r="P10260" s="2" t="s">
        <v>30007</v>
      </c>
      <c r="Q10260" s="6">
        <v>100</v>
      </c>
      <c r="R10260" s="6">
        <v>12</v>
      </c>
      <c r="S10260" s="5">
        <v>78.3</v>
      </c>
      <c r="T10260" s="7">
        <v>-40.741</v>
      </c>
      <c r="U10260" s="5">
        <v>-2.2000000000000002</v>
      </c>
      <c r="V10260" s="6">
        <v>-1.83</v>
      </c>
      <c r="W10260" s="6">
        <v>4.42</v>
      </c>
      <c r="X10260" s="6">
        <v>4.3499999999999996</v>
      </c>
      <c r="Y10260" s="6">
        <v>11.79</v>
      </c>
      <c r="Z10260" s="6">
        <v>11.82</v>
      </c>
      <c r="AA10260" s="6">
        <v>105.9</v>
      </c>
      <c r="AB10260" s="2" t="s">
        <v>86</v>
      </c>
      <c r="AC10260" s="8">
        <v>6551</v>
      </c>
    </row>
    <row r="10261" spans="1:29" ht="65" x14ac:dyDescent="0.15">
      <c r="A10261" s="3">
        <f>DATE(2012,6,4)</f>
        <v>41064</v>
      </c>
      <c r="B10261" s="3">
        <f>DATE(2012,9,28)</f>
        <v>41180</v>
      </c>
      <c r="C10261" s="2" t="s">
        <v>95</v>
      </c>
      <c r="D10261" s="2" t="s">
        <v>30008</v>
      </c>
      <c r="E10261" s="2" t="s">
        <v>1608</v>
      </c>
      <c r="F10261" s="4">
        <v>1311</v>
      </c>
      <c r="G10261" s="2" t="s">
        <v>148</v>
      </c>
      <c r="H10261" s="2" t="s">
        <v>34</v>
      </c>
      <c r="I10261" s="2" t="s">
        <v>27312</v>
      </c>
      <c r="J10261" s="2" t="s">
        <v>844</v>
      </c>
      <c r="K10261" s="2" t="s">
        <v>109</v>
      </c>
      <c r="L10261" s="2" t="s">
        <v>34</v>
      </c>
      <c r="M10261" s="7">
        <v>537.93600000000004</v>
      </c>
      <c r="N10261" s="6">
        <v>12.47</v>
      </c>
      <c r="O10261" s="5">
        <v>12.3</v>
      </c>
      <c r="P10261" s="2" t="s">
        <v>30009</v>
      </c>
      <c r="Q10261" s="6">
        <v>100</v>
      </c>
      <c r="R10261" s="6">
        <v>14.5</v>
      </c>
      <c r="S10261" s="5">
        <v>5.2</v>
      </c>
      <c r="T10261" s="7">
        <v>13.573</v>
      </c>
      <c r="U10261" s="5">
        <v>5.2</v>
      </c>
      <c r="V10261" s="6">
        <v>0.52</v>
      </c>
      <c r="W10261" s="5">
        <v>10.9</v>
      </c>
      <c r="X10261" s="6">
        <v>10.86</v>
      </c>
      <c r="Y10261" s="7">
        <v>14.346</v>
      </c>
      <c r="Z10261" s="6">
        <v>14.38</v>
      </c>
      <c r="AA10261" s="6">
        <v>10.039999999999999</v>
      </c>
      <c r="AB10261" s="7">
        <v>21.448</v>
      </c>
      <c r="AC10261" s="6">
        <v>6.8</v>
      </c>
    </row>
    <row r="10262" spans="1:29" ht="143" x14ac:dyDescent="0.15">
      <c r="A10262" s="3">
        <f>DATE(2012,6,4)</f>
        <v>41064</v>
      </c>
      <c r="B10262" s="3">
        <f>DATE(2012,11,30)</f>
        <v>41243</v>
      </c>
      <c r="C10262" s="2" t="s">
        <v>95</v>
      </c>
      <c r="D10262" s="2" t="s">
        <v>30010</v>
      </c>
      <c r="E10262" s="2" t="s">
        <v>21800</v>
      </c>
      <c r="F10262" s="4">
        <v>6021</v>
      </c>
      <c r="G10262" s="2" t="s">
        <v>37</v>
      </c>
      <c r="H10262" s="2" t="s">
        <v>34</v>
      </c>
      <c r="I10262" s="2" t="s">
        <v>23752</v>
      </c>
      <c r="J10262" s="2" t="s">
        <v>36</v>
      </c>
      <c r="K10262" s="2" t="s">
        <v>37</v>
      </c>
      <c r="L10262" s="2" t="s">
        <v>34</v>
      </c>
      <c r="M10262" s="7">
        <v>68.813000000000002</v>
      </c>
      <c r="N10262" s="5">
        <v>7.4</v>
      </c>
      <c r="O10262" s="6">
        <v>7.03</v>
      </c>
      <c r="P10262" s="2" t="s">
        <v>30011</v>
      </c>
      <c r="Q10262" s="6">
        <v>100</v>
      </c>
      <c r="R10262" s="6">
        <v>7.65</v>
      </c>
      <c r="S10262" s="5">
        <v>-3.8</v>
      </c>
      <c r="T10262" s="7">
        <v>-6.9950000000000001</v>
      </c>
      <c r="U10262" s="5">
        <v>8.8000000000000007</v>
      </c>
      <c r="V10262" s="6">
        <v>-0.79</v>
      </c>
      <c r="W10262" s="6">
        <v>5.94</v>
      </c>
      <c r="X10262" s="5">
        <v>5.9</v>
      </c>
      <c r="Y10262" s="5">
        <v>5.9</v>
      </c>
      <c r="Z10262" s="5">
        <v>6.4</v>
      </c>
      <c r="AA10262" s="6">
        <v>4.42</v>
      </c>
      <c r="AB10262" s="2" t="s">
        <v>86</v>
      </c>
      <c r="AC10262" s="2"/>
    </row>
    <row r="10263" spans="1:29" ht="65" x14ac:dyDescent="0.15">
      <c r="A10263" s="3">
        <f>DATE(2012,6,4)</f>
        <v>41064</v>
      </c>
      <c r="B10263" s="3">
        <f>DATE(2012,8,1)</f>
        <v>41122</v>
      </c>
      <c r="C10263" s="2" t="s">
        <v>95</v>
      </c>
      <c r="D10263" s="2" t="s">
        <v>30012</v>
      </c>
      <c r="E10263" s="2" t="s">
        <v>30013</v>
      </c>
      <c r="F10263" s="4">
        <v>2835</v>
      </c>
      <c r="G10263" s="2" t="s">
        <v>130</v>
      </c>
      <c r="H10263" s="2" t="s">
        <v>34</v>
      </c>
      <c r="I10263" s="2" t="s">
        <v>19987</v>
      </c>
      <c r="J10263" s="2" t="s">
        <v>19988</v>
      </c>
      <c r="K10263" s="2" t="s">
        <v>454</v>
      </c>
      <c r="L10263" s="2" t="s">
        <v>34</v>
      </c>
      <c r="M10263" s="12">
        <v>8425.4719999999998</v>
      </c>
      <c r="N10263" s="6">
        <v>83.84</v>
      </c>
      <c r="O10263" s="6">
        <v>84.56</v>
      </c>
      <c r="P10263" s="2" t="s">
        <v>30014</v>
      </c>
      <c r="Q10263" s="6">
        <v>100</v>
      </c>
      <c r="R10263" s="2"/>
      <c r="S10263" s="5">
        <v>5.2</v>
      </c>
      <c r="T10263" s="7">
        <v>14.519</v>
      </c>
      <c r="U10263" s="5">
        <v>6.6</v>
      </c>
      <c r="V10263" s="6">
        <v>0.56999999999999995</v>
      </c>
      <c r="W10263" s="6">
        <v>20.13</v>
      </c>
      <c r="X10263" s="5">
        <v>19.7</v>
      </c>
      <c r="Y10263" s="6">
        <v>26.68</v>
      </c>
      <c r="Z10263" s="6">
        <v>26.71</v>
      </c>
      <c r="AA10263" s="6">
        <v>8.9700000000000006</v>
      </c>
      <c r="AB10263" s="7">
        <v>28.334</v>
      </c>
      <c r="AC10263" s="5">
        <v>129.9</v>
      </c>
    </row>
    <row r="10264" spans="1:29" ht="52" x14ac:dyDescent="0.15">
      <c r="A10264" s="3">
        <f>DATE(2012,6,5)</f>
        <v>41065</v>
      </c>
      <c r="B10264" s="3">
        <f>DATE(2012,12,3)</f>
        <v>41246</v>
      </c>
      <c r="C10264" s="2" t="s">
        <v>95</v>
      </c>
      <c r="D10264" s="2" t="s">
        <v>30015</v>
      </c>
      <c r="E10264" s="2" t="s">
        <v>36</v>
      </c>
      <c r="F10264" s="4">
        <v>6022</v>
      </c>
      <c r="G10264" s="2" t="s">
        <v>37</v>
      </c>
      <c r="H10264" s="2" t="s">
        <v>34</v>
      </c>
      <c r="I10264" s="2" t="s">
        <v>30016</v>
      </c>
      <c r="J10264" s="2" t="s">
        <v>36</v>
      </c>
      <c r="K10264" s="2" t="s">
        <v>37</v>
      </c>
      <c r="L10264" s="2" t="s">
        <v>34</v>
      </c>
      <c r="M10264" s="2"/>
      <c r="N10264" s="2"/>
      <c r="O10264" s="2"/>
      <c r="P10264" s="2" t="s">
        <v>30017</v>
      </c>
      <c r="Q10264" s="6">
        <v>100</v>
      </c>
      <c r="R10264" s="6">
        <v>29</v>
      </c>
      <c r="S10264" s="5">
        <v>1</v>
      </c>
      <c r="T10264" s="7">
        <v>1.5109999999999999</v>
      </c>
      <c r="U10264" s="5">
        <v>23.3</v>
      </c>
      <c r="V10264" s="6">
        <v>1.1399999999999999</v>
      </c>
      <c r="W10264" s="6">
        <v>14.27</v>
      </c>
      <c r="X10264" s="6">
        <v>14.27</v>
      </c>
      <c r="Y10264" s="6">
        <v>14.27</v>
      </c>
      <c r="Z10264" s="6">
        <v>26.57</v>
      </c>
      <c r="AA10264" s="6">
        <v>0.59</v>
      </c>
      <c r="AB10264" s="7">
        <v>17.492000000000001</v>
      </c>
      <c r="AC10264" s="2"/>
    </row>
    <row r="10265" spans="1:29" ht="117" x14ac:dyDescent="0.15">
      <c r="A10265" s="3">
        <f>DATE(2012,6,7)</f>
        <v>41067</v>
      </c>
      <c r="B10265" s="3">
        <f>DATE(2012,7,16)</f>
        <v>41106</v>
      </c>
      <c r="C10265" s="2" t="s">
        <v>95</v>
      </c>
      <c r="D10265" s="2" t="s">
        <v>30018</v>
      </c>
      <c r="E10265" s="2" t="s">
        <v>30019</v>
      </c>
      <c r="F10265" s="4">
        <v>2392</v>
      </c>
      <c r="G10265" s="2" t="s">
        <v>708</v>
      </c>
      <c r="H10265" s="2" t="s">
        <v>34</v>
      </c>
      <c r="I10265" s="2" t="s">
        <v>30020</v>
      </c>
      <c r="J10265" s="2" t="s">
        <v>30021</v>
      </c>
      <c r="K10265" s="2" t="s">
        <v>454</v>
      </c>
      <c r="L10265" s="2" t="s">
        <v>303</v>
      </c>
      <c r="M10265" s="7">
        <v>713.31799999999998</v>
      </c>
      <c r="N10265" s="7">
        <v>13.423999999999999</v>
      </c>
      <c r="O10265" s="7">
        <v>13.724</v>
      </c>
      <c r="P10265" s="2" t="s">
        <v>30022</v>
      </c>
      <c r="Q10265" s="6">
        <v>100</v>
      </c>
      <c r="R10265" s="6">
        <v>3.7</v>
      </c>
      <c r="S10265" s="5">
        <v>-1.6</v>
      </c>
      <c r="T10265" s="7">
        <v>7.4160000000000004</v>
      </c>
      <c r="U10265" s="5">
        <v>5.8</v>
      </c>
      <c r="V10265" s="6">
        <v>-0.25</v>
      </c>
      <c r="W10265" s="6">
        <v>3.51</v>
      </c>
      <c r="X10265" s="6">
        <v>3.77</v>
      </c>
      <c r="Y10265" s="6">
        <v>3.68</v>
      </c>
      <c r="Z10265" s="6">
        <v>3.68</v>
      </c>
      <c r="AA10265" s="6">
        <v>6.5</v>
      </c>
      <c r="AB10265" s="2" t="s">
        <v>86</v>
      </c>
      <c r="AC10265" s="6">
        <v>35.69</v>
      </c>
    </row>
    <row r="10266" spans="1:29" ht="208" x14ac:dyDescent="0.15">
      <c r="A10266" s="3">
        <f>DATE(2012,6,8)</f>
        <v>41068</v>
      </c>
      <c r="B10266" s="3">
        <f>DATE(2012,7,2)</f>
        <v>41092</v>
      </c>
      <c r="C10266" s="2" t="s">
        <v>95</v>
      </c>
      <c r="D10266" s="2" t="s">
        <v>30023</v>
      </c>
      <c r="E10266" s="2" t="s">
        <v>27299</v>
      </c>
      <c r="F10266" s="4">
        <v>4922</v>
      </c>
      <c r="G10266" s="2" t="s">
        <v>439</v>
      </c>
      <c r="H10266" s="2" t="s">
        <v>34</v>
      </c>
      <c r="I10266" s="2" t="s">
        <v>30024</v>
      </c>
      <c r="J10266" s="2" t="s">
        <v>24021</v>
      </c>
      <c r="K10266" s="2" t="s">
        <v>53</v>
      </c>
      <c r="L10266" s="2" t="s">
        <v>34</v>
      </c>
      <c r="M10266" s="2"/>
      <c r="N10266" s="2"/>
      <c r="O10266" s="2"/>
      <c r="P10266" s="2" t="s">
        <v>30025</v>
      </c>
      <c r="Q10266" s="6">
        <v>46.1</v>
      </c>
      <c r="R10266" s="2"/>
      <c r="S10266" s="5">
        <v>202.2</v>
      </c>
      <c r="T10266" s="6">
        <v>371.19</v>
      </c>
      <c r="U10266" s="5">
        <v>15.4</v>
      </c>
      <c r="V10266" s="9">
        <v>1.3471</v>
      </c>
      <c r="W10266" s="6">
        <v>25.41</v>
      </c>
      <c r="X10266" s="6">
        <v>23.65</v>
      </c>
      <c r="Y10266" s="6">
        <v>24.17</v>
      </c>
      <c r="Z10266" s="6">
        <v>25.28</v>
      </c>
      <c r="AA10266" s="6">
        <v>78.900000000000006</v>
      </c>
      <c r="AB10266" s="7">
        <v>24.202000000000002</v>
      </c>
      <c r="AC10266" s="2"/>
    </row>
    <row r="10267" spans="1:29" ht="104" x14ac:dyDescent="0.15">
      <c r="A10267" s="3">
        <f>DATE(2012,6,11)</f>
        <v>41071</v>
      </c>
      <c r="B10267" s="3">
        <f>DATE(2012,9,20)</f>
        <v>41172</v>
      </c>
      <c r="C10267" s="2" t="s">
        <v>95</v>
      </c>
      <c r="D10267" s="2" t="s">
        <v>30026</v>
      </c>
      <c r="E10267" s="2" t="s">
        <v>5753</v>
      </c>
      <c r="F10267" s="4">
        <v>8099</v>
      </c>
      <c r="G10267" s="2" t="s">
        <v>454</v>
      </c>
      <c r="H10267" s="2" t="s">
        <v>34</v>
      </c>
      <c r="I10267" s="2" t="s">
        <v>30027</v>
      </c>
      <c r="J10267" s="2" t="s">
        <v>11337</v>
      </c>
      <c r="K10267" s="2" t="s">
        <v>53</v>
      </c>
      <c r="L10267" s="2" t="s">
        <v>34</v>
      </c>
      <c r="M10267" s="2"/>
      <c r="N10267" s="2"/>
      <c r="O10267" s="2"/>
      <c r="P10267" s="2" t="s">
        <v>30028</v>
      </c>
      <c r="Q10267" s="6">
        <v>100</v>
      </c>
      <c r="R10267" s="6">
        <v>14.05</v>
      </c>
      <c r="S10267" s="5">
        <v>5</v>
      </c>
      <c r="T10267" s="7">
        <v>18.805</v>
      </c>
      <c r="U10267" s="5">
        <v>7.6</v>
      </c>
      <c r="V10267" s="6">
        <v>0.42</v>
      </c>
      <c r="W10267" s="6">
        <v>11.45</v>
      </c>
      <c r="X10267" s="6">
        <v>11.34</v>
      </c>
      <c r="Y10267" s="6">
        <v>13.68</v>
      </c>
      <c r="Z10267" s="6">
        <v>13.66</v>
      </c>
      <c r="AA10267" s="6">
        <v>11.99</v>
      </c>
      <c r="AB10267" s="7">
        <v>11.93</v>
      </c>
      <c r="AC10267" s="2"/>
    </row>
    <row r="10268" spans="1:29" ht="117" x14ac:dyDescent="0.15">
      <c r="A10268" s="3">
        <f>DATE(2012,6,11)</f>
        <v>41071</v>
      </c>
      <c r="B10268" s="3">
        <f>DATE(2012,8,8)</f>
        <v>41129</v>
      </c>
      <c r="C10268" s="2" t="s">
        <v>95</v>
      </c>
      <c r="D10268" s="2" t="s">
        <v>30029</v>
      </c>
      <c r="E10268" s="2" t="s">
        <v>30030</v>
      </c>
      <c r="F10268" s="4">
        <v>3679</v>
      </c>
      <c r="G10268" s="2" t="s">
        <v>137</v>
      </c>
      <c r="H10268" s="2" t="s">
        <v>34</v>
      </c>
      <c r="I10268" s="2" t="s">
        <v>30031</v>
      </c>
      <c r="J10268" s="2" t="s">
        <v>30032</v>
      </c>
      <c r="K10268" s="2" t="s">
        <v>50</v>
      </c>
      <c r="L10268" s="2" t="s">
        <v>34</v>
      </c>
      <c r="M10268" s="7">
        <v>380.17899999999997</v>
      </c>
      <c r="N10268" s="6">
        <v>11.74</v>
      </c>
      <c r="O10268" s="6">
        <v>12.03</v>
      </c>
      <c r="P10268" s="2" t="s">
        <v>30033</v>
      </c>
      <c r="Q10268" s="6">
        <v>100</v>
      </c>
      <c r="R10268" s="6">
        <v>14.8</v>
      </c>
      <c r="S10268" s="5">
        <v>3.4</v>
      </c>
      <c r="T10268" s="6">
        <v>7.14</v>
      </c>
      <c r="U10268" s="5">
        <v>4.0999999999999996</v>
      </c>
      <c r="V10268" s="6">
        <v>0.74</v>
      </c>
      <c r="W10268" s="6">
        <v>7.68</v>
      </c>
      <c r="X10268" s="6">
        <v>7.49</v>
      </c>
      <c r="Y10268" s="6">
        <v>14.59</v>
      </c>
      <c r="Z10268" s="6">
        <v>14.57</v>
      </c>
      <c r="AA10268" s="6">
        <v>4.58</v>
      </c>
      <c r="AB10268" s="7">
        <v>13.452</v>
      </c>
      <c r="AC10268" s="6">
        <v>114.85</v>
      </c>
    </row>
    <row r="10269" spans="1:29" ht="195" x14ac:dyDescent="0.15">
      <c r="A10269" s="3">
        <f>DATE(2012,6,12)</f>
        <v>41072</v>
      </c>
      <c r="B10269" s="3">
        <f>DATE(2012,11,20)</f>
        <v>41233</v>
      </c>
      <c r="C10269" s="2" t="s">
        <v>95</v>
      </c>
      <c r="D10269" s="2" t="s">
        <v>30034</v>
      </c>
      <c r="E10269" s="2" t="s">
        <v>207</v>
      </c>
      <c r="F10269" s="4">
        <v>3674</v>
      </c>
      <c r="G10269" s="2" t="s">
        <v>137</v>
      </c>
      <c r="H10269" s="2" t="s">
        <v>34</v>
      </c>
      <c r="I10269" s="2" t="s">
        <v>26620</v>
      </c>
      <c r="J10269" s="2" t="s">
        <v>30035</v>
      </c>
      <c r="K10269" s="2" t="s">
        <v>137</v>
      </c>
      <c r="L10269" s="2" t="s">
        <v>34</v>
      </c>
      <c r="M10269" s="12">
        <v>2047.298</v>
      </c>
      <c r="N10269" s="6">
        <v>13.18</v>
      </c>
      <c r="O10269" s="5">
        <v>12.8</v>
      </c>
      <c r="P10269" s="2" t="s">
        <v>30036</v>
      </c>
      <c r="Q10269" s="6">
        <v>100</v>
      </c>
      <c r="R10269" s="6">
        <v>3.1</v>
      </c>
      <c r="S10269" s="5">
        <v>1.8</v>
      </c>
      <c r="T10269" s="7">
        <v>7.3369999999999997</v>
      </c>
      <c r="U10269" s="5">
        <v>1.4</v>
      </c>
      <c r="V10269" s="6">
        <v>7.0000000000000007E-2</v>
      </c>
      <c r="W10269" s="6">
        <v>1.75</v>
      </c>
      <c r="X10269" s="6">
        <v>1.81</v>
      </c>
      <c r="Y10269" s="6">
        <v>2.42</v>
      </c>
      <c r="Z10269" s="6">
        <v>2.41</v>
      </c>
      <c r="AA10269" s="6">
        <v>35.33</v>
      </c>
      <c r="AB10269" s="7">
        <v>32.463000000000001</v>
      </c>
      <c r="AC10269" s="6">
        <v>210.8</v>
      </c>
    </row>
    <row r="10270" spans="1:29" ht="104" x14ac:dyDescent="0.15">
      <c r="A10270" s="3">
        <f>DATE(2012,6,13)</f>
        <v>41073</v>
      </c>
      <c r="B10270" s="2"/>
      <c r="C10270" s="2" t="s">
        <v>7330</v>
      </c>
      <c r="D10270" s="2" t="s">
        <v>30037</v>
      </c>
      <c r="E10270" s="2" t="s">
        <v>30038</v>
      </c>
      <c r="F10270" s="4">
        <v>5812</v>
      </c>
      <c r="G10270" s="2" t="s">
        <v>230</v>
      </c>
      <c r="H10270" s="2" t="s">
        <v>34</v>
      </c>
      <c r="I10270" s="2" t="s">
        <v>30039</v>
      </c>
      <c r="J10270" s="2" t="s">
        <v>4601</v>
      </c>
      <c r="K10270" s="2" t="s">
        <v>230</v>
      </c>
      <c r="L10270" s="2" t="s">
        <v>34</v>
      </c>
      <c r="M10270" s="2"/>
      <c r="N10270" s="2"/>
      <c r="O10270" s="2"/>
      <c r="P10270" s="2" t="s">
        <v>30040</v>
      </c>
      <c r="Q10270" s="2"/>
      <c r="R10270" s="6">
        <v>2.11</v>
      </c>
      <c r="S10270" s="5">
        <v>1</v>
      </c>
      <c r="T10270" s="7">
        <v>0.127</v>
      </c>
      <c r="U10270" s="5">
        <v>0.6</v>
      </c>
      <c r="V10270" s="6">
        <v>-0.33</v>
      </c>
      <c r="W10270" s="5">
        <v>2.1</v>
      </c>
      <c r="X10270" s="6">
        <v>2.11</v>
      </c>
      <c r="Y10270" s="6">
        <v>1.87</v>
      </c>
      <c r="Z10270" s="6">
        <v>2.0299999999999998</v>
      </c>
      <c r="AA10270" s="6">
        <v>2.73</v>
      </c>
      <c r="AB10270" s="2" t="s">
        <v>86</v>
      </c>
      <c r="AC10270" s="2"/>
    </row>
    <row r="10271" spans="1:29" ht="143" x14ac:dyDescent="0.15">
      <c r="A10271" s="3">
        <f>DATE(2012,6,14)</f>
        <v>41074</v>
      </c>
      <c r="B10271" s="2"/>
      <c r="C10271" s="2" t="s">
        <v>87</v>
      </c>
      <c r="D10271" s="2" t="s">
        <v>7812</v>
      </c>
      <c r="E10271" s="2" t="s">
        <v>25754</v>
      </c>
      <c r="F10271" s="4">
        <v>2816</v>
      </c>
      <c r="G10271" s="2" t="s">
        <v>98</v>
      </c>
      <c r="H10271" s="2" t="s">
        <v>34</v>
      </c>
      <c r="I10271" s="2" t="s">
        <v>143</v>
      </c>
      <c r="J10271" s="2" t="s">
        <v>144</v>
      </c>
      <c r="K10271" s="2" t="s">
        <v>53</v>
      </c>
      <c r="L10271" s="2" t="s">
        <v>139</v>
      </c>
      <c r="M10271" s="2"/>
      <c r="N10271" s="2"/>
      <c r="O10271" s="2"/>
      <c r="P10271" s="2" t="s">
        <v>30041</v>
      </c>
      <c r="Q10271" s="2"/>
      <c r="R10271" s="2"/>
      <c r="S10271" s="5">
        <v>345</v>
      </c>
      <c r="T10271" s="8">
        <v>1319</v>
      </c>
      <c r="U10271" s="5">
        <v>8</v>
      </c>
      <c r="V10271" s="9">
        <v>1.3841000000000001</v>
      </c>
      <c r="W10271" s="6">
        <v>12.42</v>
      </c>
      <c r="X10271" s="7">
        <v>11.865</v>
      </c>
      <c r="Y10271" s="6">
        <v>12.96</v>
      </c>
      <c r="Z10271" s="6">
        <v>13.04</v>
      </c>
      <c r="AA10271" s="6">
        <v>239.33</v>
      </c>
      <c r="AB10271" s="2" t="s">
        <v>47</v>
      </c>
      <c r="AC10271" s="2"/>
    </row>
    <row r="10272" spans="1:29" ht="91" x14ac:dyDescent="0.15">
      <c r="A10272" s="3">
        <f>DATE(2012,6,18)</f>
        <v>41078</v>
      </c>
      <c r="B10272" s="2"/>
      <c r="C10272" s="2" t="s">
        <v>30</v>
      </c>
      <c r="D10272" s="2" t="s">
        <v>26936</v>
      </c>
      <c r="E10272" s="2" t="s">
        <v>29606</v>
      </c>
      <c r="F10272" s="4">
        <v>6531</v>
      </c>
      <c r="G10272" s="2" t="s">
        <v>109</v>
      </c>
      <c r="H10272" s="2" t="s">
        <v>34</v>
      </c>
      <c r="I10272" s="2" t="s">
        <v>25270</v>
      </c>
      <c r="J10272" s="2" t="s">
        <v>25271</v>
      </c>
      <c r="K10272" s="2" t="s">
        <v>269</v>
      </c>
      <c r="L10272" s="2" t="s">
        <v>34</v>
      </c>
      <c r="M10272" s="2"/>
      <c r="N10272" s="2"/>
      <c r="O10272" s="2"/>
      <c r="P10272" s="2" t="s">
        <v>30042</v>
      </c>
      <c r="Q10272" s="2"/>
      <c r="R10272" s="2"/>
      <c r="S10272" s="5">
        <v>-14.1</v>
      </c>
      <c r="T10272" s="7">
        <v>77.399000000000001</v>
      </c>
      <c r="U10272" s="5">
        <v>8.8000000000000007</v>
      </c>
      <c r="V10272" s="6">
        <v>0.98</v>
      </c>
      <c r="W10272" s="6">
        <v>4.78</v>
      </c>
      <c r="X10272" s="6">
        <v>5.31</v>
      </c>
      <c r="Y10272" s="6">
        <v>5.74</v>
      </c>
      <c r="Z10272" s="6">
        <v>5.73</v>
      </c>
      <c r="AA10272" s="6">
        <v>31.49</v>
      </c>
      <c r="AB10272" s="2" t="s">
        <v>47</v>
      </c>
      <c r="AC10272" s="2"/>
    </row>
    <row r="10273" spans="1:29" ht="143" x14ac:dyDescent="0.15">
      <c r="A10273" s="3">
        <f>DATE(2012,6,18)</f>
        <v>41078</v>
      </c>
      <c r="B10273" s="2"/>
      <c r="C10273" s="2" t="s">
        <v>7330</v>
      </c>
      <c r="D10273" s="2" t="s">
        <v>29926</v>
      </c>
      <c r="E10273" s="2" t="s">
        <v>29927</v>
      </c>
      <c r="F10273" s="4">
        <v>2911</v>
      </c>
      <c r="G10273" s="2" t="s">
        <v>148</v>
      </c>
      <c r="H10273" s="2" t="s">
        <v>34</v>
      </c>
      <c r="I10273" s="2" t="s">
        <v>10078</v>
      </c>
      <c r="J10273" s="2" t="s">
        <v>10079</v>
      </c>
      <c r="K10273" s="2" t="s">
        <v>439</v>
      </c>
      <c r="L10273" s="2" t="s">
        <v>34</v>
      </c>
      <c r="M10273" s="2"/>
      <c r="N10273" s="2"/>
      <c r="O10273" s="2"/>
      <c r="P10273" s="2" t="s">
        <v>30043</v>
      </c>
      <c r="Q10273" s="2"/>
      <c r="R10273" s="2"/>
      <c r="S10273" s="8">
        <v>-1168</v>
      </c>
      <c r="T10273" s="8">
        <v>1144</v>
      </c>
      <c r="U10273" s="5">
        <v>6.8</v>
      </c>
      <c r="V10273" s="6">
        <v>-10.07</v>
      </c>
      <c r="W10273" s="6">
        <v>46.71</v>
      </c>
      <c r="X10273" s="6">
        <v>46.89</v>
      </c>
      <c r="Y10273" s="6">
        <v>47.16</v>
      </c>
      <c r="Z10273" s="6">
        <v>47.69</v>
      </c>
      <c r="AA10273" s="6">
        <v>105.9</v>
      </c>
      <c r="AB10273" s="2" t="s">
        <v>47</v>
      </c>
      <c r="AC10273" s="6">
        <v>12.73</v>
      </c>
    </row>
    <row r="10274" spans="1:29" ht="104" x14ac:dyDescent="0.15">
      <c r="A10274" s="3">
        <f>DATE(2012,6,19)</f>
        <v>41079</v>
      </c>
      <c r="B10274" s="3">
        <f>DATE(2012,8,24)</f>
        <v>41145</v>
      </c>
      <c r="C10274" s="2" t="s">
        <v>95</v>
      </c>
      <c r="D10274" s="2" t="s">
        <v>30044</v>
      </c>
      <c r="E10274" s="2" t="s">
        <v>30045</v>
      </c>
      <c r="F10274" s="4">
        <v>3669</v>
      </c>
      <c r="G10274" s="2" t="s">
        <v>921</v>
      </c>
      <c r="H10274" s="2" t="s">
        <v>34</v>
      </c>
      <c r="I10274" s="2" t="s">
        <v>30046</v>
      </c>
      <c r="J10274" s="2" t="s">
        <v>30047</v>
      </c>
      <c r="K10274" s="2" t="s">
        <v>223</v>
      </c>
      <c r="L10274" s="2" t="s">
        <v>34</v>
      </c>
      <c r="M10274" s="7">
        <v>660.55899999999997</v>
      </c>
      <c r="N10274" s="6">
        <v>2.23</v>
      </c>
      <c r="O10274" s="6">
        <v>2.1800000000000002</v>
      </c>
      <c r="P10274" s="2" t="s">
        <v>30048</v>
      </c>
      <c r="Q10274" s="6">
        <v>100</v>
      </c>
      <c r="R10274" s="6">
        <v>1.35</v>
      </c>
      <c r="S10274" s="5">
        <v>-34.1</v>
      </c>
      <c r="T10274" s="7">
        <v>-28.222999999999999</v>
      </c>
      <c r="U10274" s="5">
        <v>0.2</v>
      </c>
      <c r="V10274" s="6">
        <v>-1.1200000000000001</v>
      </c>
      <c r="W10274" s="6">
        <v>1.1200000000000001</v>
      </c>
      <c r="X10274" s="6">
        <v>1.18</v>
      </c>
      <c r="Y10274" s="6">
        <v>1.32</v>
      </c>
      <c r="Z10274" s="6">
        <v>1.33</v>
      </c>
      <c r="AA10274" s="6">
        <v>30.59</v>
      </c>
      <c r="AB10274" s="2" t="s">
        <v>86</v>
      </c>
      <c r="AC10274" s="6">
        <v>320.47000000000003</v>
      </c>
    </row>
    <row r="10275" spans="1:29" ht="91" x14ac:dyDescent="0.15">
      <c r="A10275" s="3">
        <f>DATE(2012,6,20)</f>
        <v>41080</v>
      </c>
      <c r="B10275" s="3">
        <f>DATE(2012,12,1)</f>
        <v>41244</v>
      </c>
      <c r="C10275" s="2" t="s">
        <v>95</v>
      </c>
      <c r="D10275" s="2" t="s">
        <v>10185</v>
      </c>
      <c r="E10275" s="2" t="s">
        <v>10186</v>
      </c>
      <c r="F10275" s="4">
        <v>8051</v>
      </c>
      <c r="G10275" s="2" t="s">
        <v>454</v>
      </c>
      <c r="H10275" s="2" t="s">
        <v>34</v>
      </c>
      <c r="I10275" s="2" t="s">
        <v>30049</v>
      </c>
      <c r="J10275" s="2" t="s">
        <v>10648</v>
      </c>
      <c r="K10275" s="2" t="s">
        <v>454</v>
      </c>
      <c r="L10275" s="2" t="s">
        <v>34</v>
      </c>
      <c r="M10275" s="2"/>
      <c r="N10275" s="2"/>
      <c r="O10275" s="2"/>
      <c r="P10275" s="2" t="s">
        <v>30050</v>
      </c>
      <c r="Q10275" s="6">
        <v>100</v>
      </c>
      <c r="R10275" s="6">
        <v>8.5</v>
      </c>
      <c r="S10275" s="5">
        <v>-299</v>
      </c>
      <c r="T10275" s="7">
        <v>84.307000000000002</v>
      </c>
      <c r="U10275" s="5">
        <v>9</v>
      </c>
      <c r="V10275" s="6">
        <v>-11.35</v>
      </c>
      <c r="W10275" s="6">
        <v>5.83</v>
      </c>
      <c r="X10275" s="6">
        <v>5.94</v>
      </c>
      <c r="Y10275" s="6">
        <v>6.14</v>
      </c>
      <c r="Z10275" s="5">
        <v>8.4</v>
      </c>
      <c r="AA10275" s="6">
        <v>25.27</v>
      </c>
      <c r="AB10275" s="7">
        <v>4.8010000000000002</v>
      </c>
      <c r="AC10275" s="2"/>
    </row>
    <row r="10276" spans="1:29" ht="234" x14ac:dyDescent="0.15">
      <c r="A10276" s="3">
        <f>DATE(2012,6,25)</f>
        <v>41085</v>
      </c>
      <c r="B10276" s="3">
        <f>DATE(2012,10,29)</f>
        <v>41211</v>
      </c>
      <c r="C10276" s="2" t="s">
        <v>95</v>
      </c>
      <c r="D10276" s="2" t="s">
        <v>14149</v>
      </c>
      <c r="E10276" s="2" t="s">
        <v>4601</v>
      </c>
      <c r="F10276" s="4">
        <v>5812</v>
      </c>
      <c r="G10276" s="2" t="s">
        <v>230</v>
      </c>
      <c r="H10276" s="2" t="s">
        <v>34</v>
      </c>
      <c r="I10276" s="2" t="s">
        <v>30051</v>
      </c>
      <c r="J10276" s="2" t="s">
        <v>4601</v>
      </c>
      <c r="K10276" s="2" t="s">
        <v>230</v>
      </c>
      <c r="L10276" s="2" t="s">
        <v>34</v>
      </c>
      <c r="M10276" s="2"/>
      <c r="N10276" s="2"/>
      <c r="O10276" s="2"/>
      <c r="P10276" s="2" t="s">
        <v>30052</v>
      </c>
      <c r="Q10276" s="6">
        <v>90.36</v>
      </c>
      <c r="R10276" s="6">
        <v>14.5</v>
      </c>
      <c r="S10276" s="5">
        <v>2.4</v>
      </c>
      <c r="T10276" s="7">
        <v>10.237</v>
      </c>
      <c r="U10276" s="5">
        <v>8.8000000000000007</v>
      </c>
      <c r="V10276" s="6">
        <v>0.37</v>
      </c>
      <c r="W10276" s="5">
        <v>9.9</v>
      </c>
      <c r="X10276" s="5">
        <v>9.9</v>
      </c>
      <c r="Y10276" s="6">
        <v>11.53</v>
      </c>
      <c r="Z10276" s="6">
        <v>11.45</v>
      </c>
      <c r="AA10276" s="6">
        <v>6</v>
      </c>
      <c r="AB10276" s="7">
        <v>23.15</v>
      </c>
      <c r="AC10276" s="2"/>
    </row>
    <row r="10277" spans="1:29" ht="221" x14ac:dyDescent="0.15">
      <c r="A10277" s="3">
        <f>DATE(2012,6,29)</f>
        <v>41089</v>
      </c>
      <c r="B10277" s="3">
        <f>DATE(2012,8,9)</f>
        <v>41130</v>
      </c>
      <c r="C10277" s="2" t="s">
        <v>95</v>
      </c>
      <c r="D10277" s="2" t="s">
        <v>27464</v>
      </c>
      <c r="E10277" s="2" t="s">
        <v>6292</v>
      </c>
      <c r="F10277" s="4">
        <v>2834</v>
      </c>
      <c r="G10277" s="2" t="s">
        <v>130</v>
      </c>
      <c r="H10277" s="2" t="s">
        <v>34</v>
      </c>
      <c r="I10277" s="2" t="s">
        <v>629</v>
      </c>
      <c r="J10277" s="2" t="s">
        <v>630</v>
      </c>
      <c r="K10277" s="2" t="s">
        <v>130</v>
      </c>
      <c r="L10277" s="2" t="s">
        <v>34</v>
      </c>
      <c r="M10277" s="12">
        <v>56264.608999999997</v>
      </c>
      <c r="N10277" s="6">
        <v>35.950000000000003</v>
      </c>
      <c r="O10277" s="6">
        <v>36.049999999999997</v>
      </c>
      <c r="P10277" s="2" t="s">
        <v>30053</v>
      </c>
      <c r="Q10277" s="6">
        <v>100</v>
      </c>
      <c r="R10277" s="6">
        <v>31</v>
      </c>
      <c r="S10277" s="5">
        <v>-647.9</v>
      </c>
      <c r="T10277" s="6">
        <v>-7.61</v>
      </c>
      <c r="U10277" s="5">
        <v>-0.3</v>
      </c>
      <c r="V10277" s="6">
        <v>-4.37</v>
      </c>
      <c r="W10277" s="6">
        <v>15.26</v>
      </c>
      <c r="X10277" s="6">
        <v>15.39</v>
      </c>
      <c r="Y10277" s="6">
        <v>23.77</v>
      </c>
      <c r="Z10277" s="5">
        <v>24.8</v>
      </c>
      <c r="AA10277" s="6">
        <v>162.85</v>
      </c>
      <c r="AB10277" s="2" t="s">
        <v>86</v>
      </c>
      <c r="AC10277" s="8">
        <v>5037</v>
      </c>
    </row>
    <row r="10278" spans="1:29" ht="156" x14ac:dyDescent="0.15">
      <c r="A10278" s="3">
        <f>DATE(2012,7,1)</f>
        <v>41091</v>
      </c>
      <c r="B10278" s="3">
        <f>DATE(2012,8,13)</f>
        <v>41134</v>
      </c>
      <c r="C10278" s="2" t="s">
        <v>95</v>
      </c>
      <c r="D10278" s="2" t="s">
        <v>6122</v>
      </c>
      <c r="E10278" s="2" t="s">
        <v>6123</v>
      </c>
      <c r="F10278" s="4">
        <v>8082</v>
      </c>
      <c r="G10278" s="2" t="s">
        <v>454</v>
      </c>
      <c r="H10278" s="2" t="s">
        <v>34</v>
      </c>
      <c r="I10278" s="2" t="s">
        <v>30054</v>
      </c>
      <c r="J10278" s="2" t="s">
        <v>30055</v>
      </c>
      <c r="K10278" s="2" t="s">
        <v>98</v>
      </c>
      <c r="L10278" s="2" t="s">
        <v>1049</v>
      </c>
      <c r="M10278" s="10">
        <v>26529.85</v>
      </c>
      <c r="N10278" s="6">
        <v>154.41</v>
      </c>
      <c r="O10278" s="6">
        <v>154.41</v>
      </c>
      <c r="P10278" s="2" t="s">
        <v>30056</v>
      </c>
      <c r="Q10278" s="6">
        <v>100</v>
      </c>
      <c r="R10278" s="6">
        <v>41.5</v>
      </c>
      <c r="S10278" s="5">
        <v>182.5</v>
      </c>
      <c r="T10278" s="7">
        <v>470.07100000000003</v>
      </c>
      <c r="U10278" s="5">
        <v>10.4</v>
      </c>
      <c r="V10278" s="6">
        <v>2.09</v>
      </c>
      <c r="W10278" s="6">
        <v>25.75</v>
      </c>
      <c r="X10278" s="6">
        <v>25.26</v>
      </c>
      <c r="Y10278" s="6">
        <v>31.17</v>
      </c>
      <c r="Z10278" s="5">
        <v>32.299999999999997</v>
      </c>
      <c r="AA10278" s="6">
        <v>86.36</v>
      </c>
      <c r="AB10278" s="7">
        <v>12.929</v>
      </c>
      <c r="AC10278" s="10">
        <v>1976.45</v>
      </c>
    </row>
    <row r="10279" spans="1:29" ht="104" x14ac:dyDescent="0.15">
      <c r="A10279" s="3">
        <f>DATE(2012,7,2)</f>
        <v>41092</v>
      </c>
      <c r="B10279" s="3">
        <f>DATE(2012,10,15)</f>
        <v>41197</v>
      </c>
      <c r="C10279" s="2" t="s">
        <v>95</v>
      </c>
      <c r="D10279" s="2" t="s">
        <v>30057</v>
      </c>
      <c r="E10279" s="2" t="s">
        <v>30058</v>
      </c>
      <c r="F10279" s="4">
        <v>5065</v>
      </c>
      <c r="G10279" s="2" t="s">
        <v>76</v>
      </c>
      <c r="H10279" s="2" t="s">
        <v>34</v>
      </c>
      <c r="I10279" s="2" t="s">
        <v>30059</v>
      </c>
      <c r="J10279" s="2" t="s">
        <v>30060</v>
      </c>
      <c r="K10279" s="2" t="s">
        <v>76</v>
      </c>
      <c r="L10279" s="2" t="s">
        <v>34</v>
      </c>
      <c r="M10279" s="12">
        <v>2640.866</v>
      </c>
      <c r="N10279" s="6">
        <v>17.55</v>
      </c>
      <c r="O10279" s="6">
        <v>17.27</v>
      </c>
      <c r="P10279" s="2" t="s">
        <v>30061</v>
      </c>
      <c r="Q10279" s="6">
        <v>100</v>
      </c>
      <c r="R10279" s="6">
        <v>9</v>
      </c>
      <c r="S10279" s="5">
        <v>41.4</v>
      </c>
      <c r="T10279" s="7">
        <v>127.76300000000001</v>
      </c>
      <c r="U10279" s="5">
        <v>4.4000000000000004</v>
      </c>
      <c r="V10279" s="6">
        <v>0.62</v>
      </c>
      <c r="W10279" s="6">
        <v>4.5599999999999996</v>
      </c>
      <c r="X10279" s="6">
        <v>5.41</v>
      </c>
      <c r="Y10279" s="6">
        <v>9.01</v>
      </c>
      <c r="Z10279" s="6">
        <v>8.8699999999999992</v>
      </c>
      <c r="AA10279" s="6">
        <v>69.099999999999994</v>
      </c>
      <c r="AB10279" s="7">
        <v>11.301</v>
      </c>
      <c r="AC10279" s="6">
        <v>995</v>
      </c>
    </row>
    <row r="10280" spans="1:29" ht="91" x14ac:dyDescent="0.15">
      <c r="A10280" s="3">
        <f>DATE(2012,7,2)</f>
        <v>41092</v>
      </c>
      <c r="B10280" s="3">
        <f>DATE(2012,9,28)</f>
        <v>41180</v>
      </c>
      <c r="C10280" s="2" t="s">
        <v>95</v>
      </c>
      <c r="D10280" s="2" t="s">
        <v>29793</v>
      </c>
      <c r="E10280" s="2" t="s">
        <v>29794</v>
      </c>
      <c r="F10280" s="4">
        <v>7372</v>
      </c>
      <c r="G10280" s="2" t="s">
        <v>551</v>
      </c>
      <c r="H10280" s="2" t="s">
        <v>34</v>
      </c>
      <c r="I10280" s="2" t="s">
        <v>27746</v>
      </c>
      <c r="J10280" s="2" t="s">
        <v>27747</v>
      </c>
      <c r="K10280" s="2" t="s">
        <v>50</v>
      </c>
      <c r="L10280" s="2" t="s">
        <v>34</v>
      </c>
      <c r="M10280" s="12">
        <v>21144.535</v>
      </c>
      <c r="N10280" s="7">
        <v>12.385</v>
      </c>
      <c r="O10280" s="6">
        <v>12.68</v>
      </c>
      <c r="P10280" s="2" t="s">
        <v>30062</v>
      </c>
      <c r="Q10280" s="6">
        <v>100</v>
      </c>
      <c r="R10280" s="6">
        <v>28</v>
      </c>
      <c r="S10280" s="5">
        <v>5.3</v>
      </c>
      <c r="T10280" s="7">
        <v>113.024</v>
      </c>
      <c r="U10280" s="5">
        <v>10.199999999999999</v>
      </c>
      <c r="V10280" s="6">
        <v>0.04</v>
      </c>
      <c r="W10280" s="5">
        <v>24.5</v>
      </c>
      <c r="X10280" s="6">
        <v>25.18</v>
      </c>
      <c r="Y10280" s="6">
        <v>25.15</v>
      </c>
      <c r="Z10280" s="6">
        <v>25.15</v>
      </c>
      <c r="AA10280" s="6">
        <v>84.33</v>
      </c>
      <c r="AB10280" s="7">
        <v>45.222999999999999</v>
      </c>
      <c r="AC10280" s="8">
        <v>13715</v>
      </c>
    </row>
    <row r="10281" spans="1:29" ht="91" x14ac:dyDescent="0.15">
      <c r="A10281" s="3">
        <f>DATE(2012,7,3)</f>
        <v>41093</v>
      </c>
      <c r="B10281" s="2"/>
      <c r="C10281" s="2" t="s">
        <v>56</v>
      </c>
      <c r="D10281" s="2" t="s">
        <v>30063</v>
      </c>
      <c r="E10281" s="2" t="s">
        <v>30064</v>
      </c>
      <c r="F10281" s="4">
        <v>5621</v>
      </c>
      <c r="G10281" s="2" t="s">
        <v>756</v>
      </c>
      <c r="H10281" s="2" t="s">
        <v>34</v>
      </c>
      <c r="I10281" s="2" t="s">
        <v>30065</v>
      </c>
      <c r="J10281" s="2" t="s">
        <v>28300</v>
      </c>
      <c r="K10281" s="2" t="s">
        <v>53</v>
      </c>
      <c r="L10281" s="2" t="s">
        <v>34</v>
      </c>
      <c r="M10281" s="2"/>
      <c r="N10281" s="2"/>
      <c r="O10281" s="2"/>
      <c r="P10281" s="2" t="s">
        <v>30066</v>
      </c>
      <c r="Q10281" s="2"/>
      <c r="R10281" s="6">
        <v>1.75</v>
      </c>
      <c r="S10281" s="5">
        <v>-75.7</v>
      </c>
      <c r="T10281" s="7">
        <v>-34.987000000000002</v>
      </c>
      <c r="U10281" s="5">
        <v>2.5</v>
      </c>
      <c r="V10281" s="6">
        <v>-2.13</v>
      </c>
      <c r="W10281" s="6">
        <v>1.18</v>
      </c>
      <c r="X10281" s="6">
        <v>1.1599999999999999</v>
      </c>
      <c r="Y10281" s="6">
        <v>1.39</v>
      </c>
      <c r="Z10281" s="6">
        <v>1.49</v>
      </c>
      <c r="AA10281" s="6">
        <v>36.69</v>
      </c>
      <c r="AB10281" s="2" t="s">
        <v>86</v>
      </c>
      <c r="AC10281" s="2"/>
    </row>
    <row r="10282" spans="1:29" ht="195" x14ac:dyDescent="0.15">
      <c r="A10282" s="3">
        <f>DATE(2012,7,3)</f>
        <v>41093</v>
      </c>
      <c r="B10282" s="3">
        <f>DATE(2012,8,17)</f>
        <v>41138</v>
      </c>
      <c r="C10282" s="2" t="s">
        <v>95</v>
      </c>
      <c r="D10282" s="2" t="s">
        <v>30067</v>
      </c>
      <c r="E10282" s="2" t="s">
        <v>30068</v>
      </c>
      <c r="F10282" s="4">
        <v>7372</v>
      </c>
      <c r="G10282" s="2" t="s">
        <v>551</v>
      </c>
      <c r="H10282" s="2" t="s">
        <v>34</v>
      </c>
      <c r="I10282" s="2" t="s">
        <v>23419</v>
      </c>
      <c r="J10282" s="2" t="s">
        <v>244</v>
      </c>
      <c r="K10282" s="2" t="s">
        <v>53</v>
      </c>
      <c r="L10282" s="2" t="s">
        <v>34</v>
      </c>
      <c r="M10282" s="2"/>
      <c r="N10282" s="2"/>
      <c r="O10282" s="2"/>
      <c r="P10282" s="2" t="s">
        <v>30069</v>
      </c>
      <c r="Q10282" s="6">
        <v>100</v>
      </c>
      <c r="R10282" s="6">
        <v>14</v>
      </c>
      <c r="S10282" s="5">
        <v>48.5</v>
      </c>
      <c r="T10282" s="5">
        <v>110</v>
      </c>
      <c r="U10282" s="5">
        <v>2.2999999999999998</v>
      </c>
      <c r="V10282" s="6">
        <v>0.95</v>
      </c>
      <c r="W10282" s="6">
        <v>12.53</v>
      </c>
      <c r="X10282" s="6">
        <v>12.93</v>
      </c>
      <c r="Y10282" s="6">
        <v>14.02</v>
      </c>
      <c r="Z10282" s="6">
        <v>14.02</v>
      </c>
      <c r="AA10282" s="6">
        <v>56.94</v>
      </c>
      <c r="AB10282" s="7">
        <v>16.564</v>
      </c>
      <c r="AC10282" s="2"/>
    </row>
    <row r="10283" spans="1:29" ht="91" x14ac:dyDescent="0.15">
      <c r="A10283" s="3">
        <f>DATE(2012,7,5)</f>
        <v>41095</v>
      </c>
      <c r="B10283" s="3">
        <f>DATE(2012,8,16)</f>
        <v>41137</v>
      </c>
      <c r="C10283" s="2" t="s">
        <v>95</v>
      </c>
      <c r="D10283" s="2" t="s">
        <v>30070</v>
      </c>
      <c r="E10283" s="2" t="s">
        <v>30071</v>
      </c>
      <c r="F10283" s="4">
        <v>3021</v>
      </c>
      <c r="G10283" s="2" t="s">
        <v>447</v>
      </c>
      <c r="H10283" s="2" t="s">
        <v>34</v>
      </c>
      <c r="I10283" s="2" t="s">
        <v>30072</v>
      </c>
      <c r="J10283" s="2" t="s">
        <v>30073</v>
      </c>
      <c r="K10283" s="2" t="s">
        <v>756</v>
      </c>
      <c r="L10283" s="2" t="s">
        <v>99</v>
      </c>
      <c r="M10283" s="2"/>
      <c r="N10283" s="7">
        <v>38.113999999999997</v>
      </c>
      <c r="O10283" s="7">
        <v>38.423999999999999</v>
      </c>
      <c r="P10283" s="2" t="s">
        <v>30074</v>
      </c>
      <c r="Q10283" s="6">
        <v>95</v>
      </c>
      <c r="R10283" s="6">
        <v>20</v>
      </c>
      <c r="S10283" s="5">
        <v>3.2</v>
      </c>
      <c r="T10283" s="7">
        <v>10.345000000000001</v>
      </c>
      <c r="U10283" s="5">
        <v>9.4</v>
      </c>
      <c r="V10283" s="9">
        <v>0.4819</v>
      </c>
      <c r="W10283" s="6">
        <v>10.99</v>
      </c>
      <c r="X10283" s="6">
        <v>11.05</v>
      </c>
      <c r="Y10283" s="6">
        <v>10.98</v>
      </c>
      <c r="Z10283" s="6">
        <v>19.88</v>
      </c>
      <c r="AA10283" s="6">
        <v>6.51</v>
      </c>
      <c r="AB10283" s="7">
        <v>22.032</v>
      </c>
      <c r="AC10283" s="6">
        <v>531.37</v>
      </c>
    </row>
    <row r="10284" spans="1:29" ht="65" x14ac:dyDescent="0.15">
      <c r="A10284" s="3">
        <f>DATE(2012,7,9)</f>
        <v>41099</v>
      </c>
      <c r="B10284" s="3">
        <f>DATE(2012,12,25)</f>
        <v>41268</v>
      </c>
      <c r="C10284" s="2" t="s">
        <v>95</v>
      </c>
      <c r="D10284" s="2" t="s">
        <v>30075</v>
      </c>
      <c r="E10284" s="2" t="s">
        <v>30076</v>
      </c>
      <c r="F10284" s="4">
        <v>6324</v>
      </c>
      <c r="G10284" s="2" t="s">
        <v>125</v>
      </c>
      <c r="H10284" s="2" t="s">
        <v>34</v>
      </c>
      <c r="I10284" s="2" t="s">
        <v>23368</v>
      </c>
      <c r="J10284" s="2" t="s">
        <v>5189</v>
      </c>
      <c r="K10284" s="2" t="s">
        <v>125</v>
      </c>
      <c r="L10284" s="2" t="s">
        <v>34</v>
      </c>
      <c r="M10284" s="12">
        <v>22830.561000000002</v>
      </c>
      <c r="N10284" s="6">
        <v>61.95</v>
      </c>
      <c r="O10284" s="6">
        <v>61.14</v>
      </c>
      <c r="P10284" s="2" t="s">
        <v>30077</v>
      </c>
      <c r="Q10284" s="6">
        <v>100</v>
      </c>
      <c r="R10284" s="6">
        <v>92</v>
      </c>
      <c r="S10284" s="5">
        <v>146</v>
      </c>
      <c r="T10284" s="7">
        <v>309.339</v>
      </c>
      <c r="U10284" s="5">
        <v>28.8</v>
      </c>
      <c r="V10284" s="6">
        <v>2.91</v>
      </c>
      <c r="W10284" s="6">
        <v>65.44</v>
      </c>
      <c r="X10284" s="6">
        <v>64.34</v>
      </c>
      <c r="Y10284" s="6">
        <v>88.79</v>
      </c>
      <c r="Z10284" s="6">
        <v>89.45</v>
      </c>
      <c r="AA10284" s="6">
        <v>48.5</v>
      </c>
      <c r="AB10284" s="7">
        <v>17.234000000000002</v>
      </c>
      <c r="AC10284" s="8">
        <v>1953.1</v>
      </c>
    </row>
    <row r="10285" spans="1:29" ht="143" x14ac:dyDescent="0.15">
      <c r="A10285" s="3">
        <f>DATE(2012,7,9)</f>
        <v>41099</v>
      </c>
      <c r="B10285" s="3">
        <f>DATE(2012,8,20)</f>
        <v>41141</v>
      </c>
      <c r="C10285" s="2" t="s">
        <v>95</v>
      </c>
      <c r="D10285" s="2" t="s">
        <v>30078</v>
      </c>
      <c r="E10285" s="2" t="s">
        <v>30079</v>
      </c>
      <c r="F10285" s="4">
        <v>6231</v>
      </c>
      <c r="G10285" s="2" t="s">
        <v>53</v>
      </c>
      <c r="H10285" s="2" t="s">
        <v>34</v>
      </c>
      <c r="I10285" s="2" t="s">
        <v>30080</v>
      </c>
      <c r="J10285" s="2" t="s">
        <v>30081</v>
      </c>
      <c r="K10285" s="2" t="s">
        <v>223</v>
      </c>
      <c r="L10285" s="2" t="s">
        <v>34</v>
      </c>
      <c r="M10285" s="12">
        <v>23238.243999999999</v>
      </c>
      <c r="N10285" s="6">
        <v>28.44</v>
      </c>
      <c r="O10285" s="6">
        <v>28.33</v>
      </c>
      <c r="P10285" s="2" t="s">
        <v>30082</v>
      </c>
      <c r="Q10285" s="6">
        <v>100</v>
      </c>
      <c r="R10285" s="6">
        <v>22</v>
      </c>
      <c r="S10285" s="5">
        <v>17.600000000000001</v>
      </c>
      <c r="T10285" s="7">
        <v>51.384</v>
      </c>
      <c r="U10285" s="5">
        <v>4.7</v>
      </c>
      <c r="V10285" s="6">
        <v>0.66</v>
      </c>
      <c r="W10285" s="6">
        <v>15.96</v>
      </c>
      <c r="X10285" s="5">
        <v>15.7</v>
      </c>
      <c r="Y10285" s="6">
        <v>21.96</v>
      </c>
      <c r="Z10285" s="4">
        <v>22</v>
      </c>
      <c r="AA10285" s="6">
        <v>28.32</v>
      </c>
      <c r="AB10285" s="7">
        <v>13.696999999999999</v>
      </c>
      <c r="AC10285" s="10">
        <v>1924.16</v>
      </c>
    </row>
    <row r="10286" spans="1:29" ht="91" x14ac:dyDescent="0.15">
      <c r="A10286" s="3">
        <f>DATE(2012,7,13)</f>
        <v>41103</v>
      </c>
      <c r="B10286" s="3">
        <f>DATE(2012,12,28)</f>
        <v>41271</v>
      </c>
      <c r="C10286" s="2" t="s">
        <v>95</v>
      </c>
      <c r="D10286" s="2" t="s">
        <v>30083</v>
      </c>
      <c r="E10286" s="2" t="s">
        <v>515</v>
      </c>
      <c r="F10286" s="4">
        <v>6311</v>
      </c>
      <c r="G10286" s="2" t="s">
        <v>125</v>
      </c>
      <c r="H10286" s="2" t="s">
        <v>34</v>
      </c>
      <c r="I10286" s="2" t="s">
        <v>30084</v>
      </c>
      <c r="J10286" s="2" t="s">
        <v>124</v>
      </c>
      <c r="K10286" s="2" t="s">
        <v>125</v>
      </c>
      <c r="L10286" s="2" t="s">
        <v>34</v>
      </c>
      <c r="M10286" s="2"/>
      <c r="N10286" s="2"/>
      <c r="O10286" s="2"/>
      <c r="P10286" s="2" t="s">
        <v>30085</v>
      </c>
      <c r="Q10286" s="6">
        <v>100</v>
      </c>
      <c r="R10286" s="6">
        <v>14</v>
      </c>
      <c r="S10286" s="5">
        <v>24.6</v>
      </c>
      <c r="T10286" s="2"/>
      <c r="U10286" s="5">
        <v>20.2</v>
      </c>
      <c r="V10286" s="6">
        <v>0.83</v>
      </c>
      <c r="W10286" s="6">
        <v>9.83</v>
      </c>
      <c r="X10286" s="6">
        <v>10.14</v>
      </c>
      <c r="Y10286" s="6">
        <v>13.86</v>
      </c>
      <c r="Z10286" s="6">
        <v>13.87</v>
      </c>
      <c r="AA10286" s="6">
        <v>29.59</v>
      </c>
      <c r="AB10286" s="7">
        <v>8.9019999999999992</v>
      </c>
      <c r="AC10286" s="2"/>
    </row>
    <row r="10287" spans="1:29" ht="130" x14ac:dyDescent="0.15">
      <c r="A10287" s="3">
        <f>DATE(2012,7,16)</f>
        <v>41106</v>
      </c>
      <c r="B10287" s="3">
        <f>DATE(2012,8,29)</f>
        <v>41150</v>
      </c>
      <c r="C10287" s="2" t="s">
        <v>95</v>
      </c>
      <c r="D10287" s="2" t="s">
        <v>29387</v>
      </c>
      <c r="E10287" s="2" t="s">
        <v>29388</v>
      </c>
      <c r="F10287" s="4">
        <v>8099</v>
      </c>
      <c r="G10287" s="2" t="s">
        <v>454</v>
      </c>
      <c r="H10287" s="2" t="s">
        <v>34</v>
      </c>
      <c r="I10287" s="2" t="s">
        <v>30086</v>
      </c>
      <c r="J10287" s="2" t="s">
        <v>30087</v>
      </c>
      <c r="K10287" s="2" t="s">
        <v>454</v>
      </c>
      <c r="L10287" s="2" t="s">
        <v>34</v>
      </c>
      <c r="M10287" s="2"/>
      <c r="N10287" s="2"/>
      <c r="O10287" s="2"/>
      <c r="P10287" s="2" t="s">
        <v>30088</v>
      </c>
      <c r="Q10287" s="6">
        <v>100</v>
      </c>
      <c r="R10287" s="6">
        <v>3.95</v>
      </c>
      <c r="S10287" s="5">
        <v>2.7</v>
      </c>
      <c r="T10287" s="7">
        <v>3.694</v>
      </c>
      <c r="U10287" s="5">
        <v>1.6</v>
      </c>
      <c r="V10287" s="6">
        <v>0.14000000000000001</v>
      </c>
      <c r="W10287" s="6">
        <v>3.34</v>
      </c>
      <c r="X10287" s="6">
        <v>3.45</v>
      </c>
      <c r="Y10287" s="6">
        <v>3.91</v>
      </c>
      <c r="Z10287" s="6">
        <v>3.91</v>
      </c>
      <c r="AA10287" s="6">
        <v>13.91</v>
      </c>
      <c r="AB10287" s="7">
        <v>13.166</v>
      </c>
      <c r="AC10287" s="2"/>
    </row>
    <row r="10288" spans="1:29" ht="143" x14ac:dyDescent="0.15">
      <c r="A10288" s="3">
        <f>DATE(2012,7,16)</f>
        <v>41106</v>
      </c>
      <c r="B10288" s="3">
        <f>DATE(2013,5,1)</f>
        <v>41395</v>
      </c>
      <c r="C10288" s="2" t="s">
        <v>95</v>
      </c>
      <c r="D10288" s="2" t="s">
        <v>30089</v>
      </c>
      <c r="E10288" s="2" t="s">
        <v>30090</v>
      </c>
      <c r="F10288" s="4">
        <v>7372</v>
      </c>
      <c r="G10288" s="2" t="s">
        <v>551</v>
      </c>
      <c r="H10288" s="2" t="s">
        <v>34</v>
      </c>
      <c r="I10288" s="2" t="s">
        <v>30091</v>
      </c>
      <c r="J10288" s="2" t="s">
        <v>1032</v>
      </c>
      <c r="K10288" s="2" t="s">
        <v>53</v>
      </c>
      <c r="L10288" s="2" t="s">
        <v>34</v>
      </c>
      <c r="M10288" s="2"/>
      <c r="N10288" s="2"/>
      <c r="O10288" s="2"/>
      <c r="P10288" s="2" t="s">
        <v>30092</v>
      </c>
      <c r="Q10288" s="6">
        <v>72.23</v>
      </c>
      <c r="R10288" s="6">
        <v>4.8499999999999996</v>
      </c>
      <c r="S10288" s="5">
        <v>-3.7</v>
      </c>
      <c r="T10288" s="7">
        <v>-3.5230000000000001</v>
      </c>
      <c r="U10288" s="5">
        <v>2.7</v>
      </c>
      <c r="V10288" s="9">
        <v>-0.7429</v>
      </c>
      <c r="W10288" s="6">
        <v>3.72</v>
      </c>
      <c r="X10288" s="6">
        <v>3.59</v>
      </c>
      <c r="Y10288" s="6">
        <v>4.08</v>
      </c>
      <c r="Z10288" s="6">
        <v>4.08</v>
      </c>
      <c r="AA10288" s="6">
        <v>4.91</v>
      </c>
      <c r="AB10288" s="2" t="s">
        <v>86</v>
      </c>
      <c r="AC10288" s="2"/>
    </row>
    <row r="10289" spans="1:29" ht="130" x14ac:dyDescent="0.15">
      <c r="A10289" s="3">
        <f>DATE(2012,7,16)</f>
        <v>41106</v>
      </c>
      <c r="B10289" s="3">
        <f>DATE(2012,9,28)</f>
        <v>41180</v>
      </c>
      <c r="C10289" s="2" t="s">
        <v>95</v>
      </c>
      <c r="D10289" s="2" t="s">
        <v>30093</v>
      </c>
      <c r="E10289" s="2" t="s">
        <v>13693</v>
      </c>
      <c r="F10289" s="4">
        <v>2834</v>
      </c>
      <c r="G10289" s="2" t="s">
        <v>130</v>
      </c>
      <c r="H10289" s="2" t="s">
        <v>34</v>
      </c>
      <c r="I10289" s="2" t="s">
        <v>25970</v>
      </c>
      <c r="J10289" s="2" t="s">
        <v>244</v>
      </c>
      <c r="K10289" s="2" t="s">
        <v>53</v>
      </c>
      <c r="L10289" s="2" t="s">
        <v>34</v>
      </c>
      <c r="M10289" s="2"/>
      <c r="N10289" s="2"/>
      <c r="O10289" s="2"/>
      <c r="P10289" s="2" t="s">
        <v>30094</v>
      </c>
      <c r="Q10289" s="6">
        <v>100</v>
      </c>
      <c r="R10289" s="6">
        <v>50</v>
      </c>
      <c r="S10289" s="5">
        <v>76</v>
      </c>
      <c r="T10289" s="7">
        <v>225.59100000000001</v>
      </c>
      <c r="U10289" s="5">
        <v>17.5</v>
      </c>
      <c r="V10289" s="9">
        <v>2.1217999999999999</v>
      </c>
      <c r="W10289" s="6">
        <v>20.16</v>
      </c>
      <c r="X10289" s="6">
        <v>19.34</v>
      </c>
      <c r="Y10289" s="6">
        <v>21.78</v>
      </c>
      <c r="Z10289" s="5">
        <v>21.7</v>
      </c>
      <c r="AA10289" s="6">
        <v>36.75</v>
      </c>
      <c r="AB10289" s="7">
        <v>10.986000000000001</v>
      </c>
      <c r="AC10289" s="2"/>
    </row>
    <row r="10290" spans="1:29" ht="104" x14ac:dyDescent="0.15">
      <c r="A10290" s="3">
        <f>DATE(2012,7,16)</f>
        <v>41106</v>
      </c>
      <c r="B10290" s="3">
        <f>DATE(2012,9,17)</f>
        <v>41169</v>
      </c>
      <c r="C10290" s="2" t="s">
        <v>95</v>
      </c>
      <c r="D10290" s="2" t="s">
        <v>6730</v>
      </c>
      <c r="E10290" s="2" t="s">
        <v>6731</v>
      </c>
      <c r="F10290" s="4">
        <v>5651</v>
      </c>
      <c r="G10290" s="2" t="s">
        <v>756</v>
      </c>
      <c r="H10290" s="2" t="s">
        <v>34</v>
      </c>
      <c r="I10290" s="2" t="s">
        <v>1526</v>
      </c>
      <c r="J10290" s="2" t="s">
        <v>302</v>
      </c>
      <c r="K10290" s="2" t="s">
        <v>53</v>
      </c>
      <c r="L10290" s="2" t="s">
        <v>34</v>
      </c>
      <c r="M10290" s="2"/>
      <c r="N10290" s="2"/>
      <c r="O10290" s="2"/>
      <c r="P10290" s="2" t="s">
        <v>30095</v>
      </c>
      <c r="Q10290" s="6">
        <v>69.209999999999994</v>
      </c>
      <c r="R10290" s="6">
        <v>2.4900000000000002</v>
      </c>
      <c r="S10290" s="5">
        <v>-31.2</v>
      </c>
      <c r="T10290" s="7">
        <v>-22.923999999999999</v>
      </c>
      <c r="U10290" s="5">
        <v>10.4</v>
      </c>
      <c r="V10290" s="6">
        <v>-2.16</v>
      </c>
      <c r="W10290" s="6">
        <v>7.13</v>
      </c>
      <c r="X10290" s="6">
        <v>7.45</v>
      </c>
      <c r="Y10290" s="6">
        <v>9.49</v>
      </c>
      <c r="Z10290" s="6">
        <v>9.35</v>
      </c>
      <c r="AA10290" s="6">
        <v>14.45</v>
      </c>
      <c r="AB10290" s="2" t="s">
        <v>86</v>
      </c>
      <c r="AC10290" s="2"/>
    </row>
    <row r="10291" spans="1:29" ht="91" x14ac:dyDescent="0.15">
      <c r="A10291" s="3">
        <f>DATE(2012,7,19)</f>
        <v>41109</v>
      </c>
      <c r="B10291" s="2"/>
      <c r="C10291" s="2" t="s">
        <v>39</v>
      </c>
      <c r="D10291" s="2" t="s">
        <v>30096</v>
      </c>
      <c r="E10291" s="2" t="s">
        <v>23415</v>
      </c>
      <c r="F10291" s="4">
        <v>3572</v>
      </c>
      <c r="G10291" s="2" t="s">
        <v>50</v>
      </c>
      <c r="H10291" s="2" t="s">
        <v>34</v>
      </c>
      <c r="I10291" s="2" t="s">
        <v>28725</v>
      </c>
      <c r="J10291" s="2" t="s">
        <v>28726</v>
      </c>
      <c r="K10291" s="2" t="s">
        <v>50</v>
      </c>
      <c r="L10291" s="2" t="s">
        <v>34</v>
      </c>
      <c r="M10291" s="12">
        <v>9644.3289999999997</v>
      </c>
      <c r="N10291" s="7">
        <v>27.164999999999999</v>
      </c>
      <c r="O10291" s="5">
        <v>26.8</v>
      </c>
      <c r="P10291" s="2" t="s">
        <v>30097</v>
      </c>
      <c r="Q10291" s="2"/>
      <c r="R10291" s="2"/>
      <c r="S10291" s="5">
        <v>-14.8</v>
      </c>
      <c r="T10291" s="7">
        <v>-19.524999999999999</v>
      </c>
      <c r="U10291" s="5">
        <v>3.7</v>
      </c>
      <c r="V10291" s="9">
        <v>-0.54169999999999996</v>
      </c>
      <c r="W10291" s="6">
        <v>4.3600000000000003</v>
      </c>
      <c r="X10291" s="6">
        <v>4.5599999999999996</v>
      </c>
      <c r="Y10291" s="6">
        <v>5.61</v>
      </c>
      <c r="Z10291" s="4">
        <v>6</v>
      </c>
      <c r="AA10291" s="6">
        <v>67.650000000000006</v>
      </c>
      <c r="AB10291" s="2" t="s">
        <v>86</v>
      </c>
      <c r="AC10291" s="8">
        <v>2212</v>
      </c>
    </row>
    <row r="10292" spans="1:29" ht="143" x14ac:dyDescent="0.15">
      <c r="A10292" s="3">
        <f>DATE(2012,7,22)</f>
        <v>41112</v>
      </c>
      <c r="B10292" s="3">
        <f>DATE(2012,12,14)</f>
        <v>41257</v>
      </c>
      <c r="C10292" s="2" t="s">
        <v>95</v>
      </c>
      <c r="D10292" s="2" t="s">
        <v>30098</v>
      </c>
      <c r="E10292" s="2" t="s">
        <v>28194</v>
      </c>
      <c r="F10292" s="4">
        <v>4911</v>
      </c>
      <c r="G10292" s="2" t="s">
        <v>439</v>
      </c>
      <c r="H10292" s="2" t="s">
        <v>34</v>
      </c>
      <c r="I10292" s="2" t="s">
        <v>19713</v>
      </c>
      <c r="J10292" s="2" t="s">
        <v>24154</v>
      </c>
      <c r="K10292" s="2" t="s">
        <v>439</v>
      </c>
      <c r="L10292" s="2" t="s">
        <v>34</v>
      </c>
      <c r="M10292" s="12">
        <v>3554.701</v>
      </c>
      <c r="N10292" s="6">
        <v>19.52</v>
      </c>
      <c r="O10292" s="6">
        <v>19.52</v>
      </c>
      <c r="P10292" s="2" t="s">
        <v>30099</v>
      </c>
      <c r="Q10292" s="6">
        <v>100</v>
      </c>
      <c r="R10292" s="6">
        <v>2.2000000000000002</v>
      </c>
      <c r="S10292" s="5">
        <v>-200</v>
      </c>
      <c r="T10292" s="5">
        <v>646</v>
      </c>
      <c r="U10292" s="5">
        <v>6.3</v>
      </c>
      <c r="V10292" s="7">
        <v>-0.25800000000000001</v>
      </c>
      <c r="W10292" s="6">
        <v>1.79</v>
      </c>
      <c r="X10292" s="6">
        <v>1.82</v>
      </c>
      <c r="Y10292" s="6">
        <v>2.29</v>
      </c>
      <c r="Z10292" s="6">
        <v>2.29</v>
      </c>
      <c r="AA10292" s="6">
        <v>771.59</v>
      </c>
      <c r="AB10292" s="7">
        <v>14.672000000000001</v>
      </c>
      <c r="AC10292" s="8">
        <v>5027</v>
      </c>
    </row>
    <row r="10293" spans="1:29" ht="234" x14ac:dyDescent="0.15">
      <c r="A10293" s="3">
        <f>DATE(2012,7,23)</f>
        <v>41113</v>
      </c>
      <c r="B10293" s="3">
        <f>DATE(2013,1,31)</f>
        <v>41305</v>
      </c>
      <c r="C10293" s="2" t="s">
        <v>95</v>
      </c>
      <c r="D10293" s="2" t="s">
        <v>29955</v>
      </c>
      <c r="E10293" s="2" t="s">
        <v>29956</v>
      </c>
      <c r="F10293" s="4">
        <v>4899</v>
      </c>
      <c r="G10293" s="2" t="s">
        <v>63</v>
      </c>
      <c r="H10293" s="2" t="s">
        <v>34</v>
      </c>
      <c r="I10293" s="2" t="s">
        <v>29953</v>
      </c>
      <c r="J10293" s="2" t="s">
        <v>29954</v>
      </c>
      <c r="K10293" s="2" t="s">
        <v>63</v>
      </c>
      <c r="L10293" s="2" t="s">
        <v>34</v>
      </c>
      <c r="M10293" s="7">
        <v>717.12400000000002</v>
      </c>
      <c r="N10293" s="6">
        <v>15.04</v>
      </c>
      <c r="O10293" s="6">
        <v>17.57</v>
      </c>
      <c r="P10293" s="2" t="s">
        <v>30100</v>
      </c>
      <c r="Q10293" s="6">
        <v>100</v>
      </c>
      <c r="R10293" s="6">
        <v>20.27</v>
      </c>
      <c r="S10293" s="5">
        <v>60.1</v>
      </c>
      <c r="T10293" s="7">
        <v>172.53299999999999</v>
      </c>
      <c r="U10293" s="5">
        <v>22.8</v>
      </c>
      <c r="V10293" s="6">
        <v>2.25</v>
      </c>
      <c r="W10293" s="5">
        <v>15.2</v>
      </c>
      <c r="X10293" s="6">
        <v>15.17</v>
      </c>
      <c r="Y10293" s="6">
        <v>20.43</v>
      </c>
      <c r="Z10293" s="6">
        <v>22.78</v>
      </c>
      <c r="AA10293" s="6">
        <v>23.02</v>
      </c>
      <c r="AB10293" s="7">
        <v>7.6639999999999997</v>
      </c>
      <c r="AC10293" s="5">
        <v>220.2</v>
      </c>
    </row>
    <row r="10294" spans="1:29" ht="104" x14ac:dyDescent="0.15">
      <c r="A10294" s="3">
        <f>DATE(2012,7,23)</f>
        <v>41113</v>
      </c>
      <c r="B10294" s="3">
        <f>DATE(2012,10,29)</f>
        <v>41211</v>
      </c>
      <c r="C10294" s="2" t="s">
        <v>95</v>
      </c>
      <c r="D10294" s="2" t="s">
        <v>27868</v>
      </c>
      <c r="E10294" s="2" t="s">
        <v>13759</v>
      </c>
      <c r="F10294" s="4">
        <v>2095</v>
      </c>
      <c r="G10294" s="2" t="s">
        <v>577</v>
      </c>
      <c r="H10294" s="2" t="s">
        <v>34</v>
      </c>
      <c r="I10294" s="2" t="s">
        <v>51</v>
      </c>
      <c r="J10294" s="2" t="s">
        <v>52</v>
      </c>
      <c r="K10294" s="2" t="s">
        <v>53</v>
      </c>
      <c r="L10294" s="2" t="s">
        <v>14834</v>
      </c>
      <c r="M10294" s="2"/>
      <c r="N10294" s="2"/>
      <c r="O10294" s="2"/>
      <c r="P10294" s="2" t="s">
        <v>30101</v>
      </c>
      <c r="Q10294" s="6">
        <v>100</v>
      </c>
      <c r="R10294" s="6">
        <v>73.5</v>
      </c>
      <c r="S10294" s="5">
        <v>14.6</v>
      </c>
      <c r="T10294" s="7">
        <v>43.514000000000003</v>
      </c>
      <c r="U10294" s="5">
        <v>14.4</v>
      </c>
      <c r="V10294" s="6">
        <v>1.0900000000000001</v>
      </c>
      <c r="W10294" s="6">
        <v>53.55</v>
      </c>
      <c r="X10294" s="6">
        <v>57.16</v>
      </c>
      <c r="Y10294" s="6">
        <v>73.05</v>
      </c>
      <c r="Z10294" s="6">
        <v>74.44</v>
      </c>
      <c r="AA10294" s="6">
        <v>13.25</v>
      </c>
      <c r="AB10294" s="7">
        <v>38.131</v>
      </c>
      <c r="AC10294" s="2"/>
    </row>
    <row r="10295" spans="1:29" ht="65" x14ac:dyDescent="0.15">
      <c r="A10295" s="3">
        <f>DATE(2012,7,23)</f>
        <v>41113</v>
      </c>
      <c r="B10295" s="3">
        <f>DATE(2012,10,1)</f>
        <v>41183</v>
      </c>
      <c r="C10295" s="2" t="s">
        <v>95</v>
      </c>
      <c r="D10295" s="2" t="s">
        <v>15483</v>
      </c>
      <c r="E10295" s="2" t="s">
        <v>30102</v>
      </c>
      <c r="F10295" s="4">
        <v>4011</v>
      </c>
      <c r="G10295" s="2" t="s">
        <v>173</v>
      </c>
      <c r="H10295" s="2" t="s">
        <v>34</v>
      </c>
      <c r="I10295" s="2" t="s">
        <v>19561</v>
      </c>
      <c r="J10295" s="2" t="s">
        <v>19562</v>
      </c>
      <c r="K10295" s="2" t="s">
        <v>173</v>
      </c>
      <c r="L10295" s="2" t="s">
        <v>34</v>
      </c>
      <c r="M10295" s="12">
        <v>2762.8980000000001</v>
      </c>
      <c r="N10295" s="6">
        <v>56.33</v>
      </c>
      <c r="O10295" s="6">
        <v>59.49</v>
      </c>
      <c r="P10295" s="2" t="s">
        <v>30103</v>
      </c>
      <c r="Q10295" s="6">
        <v>100</v>
      </c>
      <c r="R10295" s="6">
        <v>27.5</v>
      </c>
      <c r="S10295" s="5">
        <v>-4.7</v>
      </c>
      <c r="T10295" s="7">
        <v>191.06700000000001</v>
      </c>
      <c r="U10295" s="5">
        <v>13</v>
      </c>
      <c r="V10295" s="6">
        <v>-0.11</v>
      </c>
      <c r="W10295" s="6">
        <v>24.79</v>
      </c>
      <c r="X10295" s="6">
        <v>24.81</v>
      </c>
      <c r="Y10295" s="6">
        <v>27.25</v>
      </c>
      <c r="Z10295" s="6">
        <v>27.27</v>
      </c>
      <c r="AA10295" s="6">
        <v>50.41</v>
      </c>
      <c r="AB10295" s="7">
        <v>14.071</v>
      </c>
      <c r="AC10295" s="6">
        <v>50.22</v>
      </c>
    </row>
    <row r="10296" spans="1:29" ht="91" x14ac:dyDescent="0.15">
      <c r="A10296" s="3">
        <f>DATE(2012,7,27)</f>
        <v>41117</v>
      </c>
      <c r="B10296" s="3">
        <f>DATE(2012,10,4)</f>
        <v>41186</v>
      </c>
      <c r="C10296" s="2" t="s">
        <v>95</v>
      </c>
      <c r="D10296" s="2" t="s">
        <v>30104</v>
      </c>
      <c r="E10296" s="2" t="s">
        <v>4865</v>
      </c>
      <c r="F10296" s="4">
        <v>3674</v>
      </c>
      <c r="G10296" s="2" t="s">
        <v>137</v>
      </c>
      <c r="H10296" s="2" t="s">
        <v>34</v>
      </c>
      <c r="I10296" s="2" t="s">
        <v>30105</v>
      </c>
      <c r="J10296" s="2" t="s">
        <v>1712</v>
      </c>
      <c r="K10296" s="2" t="s">
        <v>50</v>
      </c>
      <c r="L10296" s="2" t="s">
        <v>34</v>
      </c>
      <c r="M10296" s="12">
        <v>547445.10400000005</v>
      </c>
      <c r="N10296" s="6">
        <v>585.16</v>
      </c>
      <c r="O10296" s="6">
        <v>595.03</v>
      </c>
      <c r="P10296" s="2" t="s">
        <v>30106</v>
      </c>
      <c r="Q10296" s="6">
        <v>100</v>
      </c>
      <c r="R10296" s="6">
        <v>8</v>
      </c>
      <c r="S10296" s="5">
        <v>-3.2</v>
      </c>
      <c r="T10296" s="7">
        <v>4.8559999999999999</v>
      </c>
      <c r="U10296" s="5">
        <v>1.1000000000000001</v>
      </c>
      <c r="V10296" s="6">
        <v>-7.0000000000000007E-2</v>
      </c>
      <c r="W10296" s="6">
        <v>5.01</v>
      </c>
      <c r="X10296" s="6">
        <v>5.07</v>
      </c>
      <c r="Y10296" s="6">
        <v>8.42</v>
      </c>
      <c r="Z10296" s="6">
        <v>8.4499999999999993</v>
      </c>
      <c r="AA10296" s="6">
        <v>44.51</v>
      </c>
      <c r="AB10296" s="2" t="s">
        <v>86</v>
      </c>
      <c r="AC10296" s="8">
        <v>27654</v>
      </c>
    </row>
    <row r="10297" spans="1:29" ht="52" x14ac:dyDescent="0.15">
      <c r="A10297" s="3">
        <f>DATE(2012,7,29)</f>
        <v>41119</v>
      </c>
      <c r="B10297" s="2"/>
      <c r="C10297" s="2" t="s">
        <v>7330</v>
      </c>
      <c r="D10297" s="2" t="s">
        <v>30107</v>
      </c>
      <c r="E10297" s="2" t="s">
        <v>30108</v>
      </c>
      <c r="F10297" s="4">
        <v>6021</v>
      </c>
      <c r="G10297" s="2" t="s">
        <v>37</v>
      </c>
      <c r="H10297" s="2" t="s">
        <v>34</v>
      </c>
      <c r="I10297" s="2" t="s">
        <v>30109</v>
      </c>
      <c r="J10297" s="2" t="s">
        <v>2855</v>
      </c>
      <c r="K10297" s="2" t="s">
        <v>37</v>
      </c>
      <c r="L10297" s="2" t="s">
        <v>34</v>
      </c>
      <c r="M10297" s="2"/>
      <c r="N10297" s="4">
        <v>120</v>
      </c>
      <c r="O10297" s="4">
        <v>120</v>
      </c>
      <c r="P10297" s="2" t="s">
        <v>30110</v>
      </c>
      <c r="Q10297" s="2"/>
      <c r="R10297" s="6">
        <v>11.1</v>
      </c>
      <c r="S10297" s="2"/>
      <c r="T10297" s="2"/>
      <c r="U10297" s="2"/>
      <c r="V10297" s="2"/>
      <c r="W10297" s="6">
        <v>7.55</v>
      </c>
      <c r="X10297" s="6">
        <v>7.55</v>
      </c>
      <c r="Y10297" s="5">
        <v>10.5</v>
      </c>
      <c r="Z10297" s="5">
        <v>10.5</v>
      </c>
      <c r="AA10297" s="6">
        <v>2.64</v>
      </c>
      <c r="AB10297" s="2" t="s">
        <v>47</v>
      </c>
      <c r="AC10297" s="2"/>
    </row>
    <row r="10298" spans="1:29" ht="143" x14ac:dyDescent="0.15">
      <c r="A10298" s="3">
        <f>DATE(2012,7,30)</f>
        <v>41120</v>
      </c>
      <c r="B10298" s="3">
        <f>DATE(2013,2,13)</f>
        <v>41318</v>
      </c>
      <c r="C10298" s="2" t="s">
        <v>95</v>
      </c>
      <c r="D10298" s="2" t="s">
        <v>30111</v>
      </c>
      <c r="E10298" s="2" t="s">
        <v>30112</v>
      </c>
      <c r="F10298" s="4">
        <v>3498</v>
      </c>
      <c r="G10298" s="2" t="s">
        <v>163</v>
      </c>
      <c r="H10298" s="2" t="s">
        <v>34</v>
      </c>
      <c r="I10298" s="2" t="s">
        <v>30113</v>
      </c>
      <c r="J10298" s="2" t="s">
        <v>7227</v>
      </c>
      <c r="K10298" s="2" t="s">
        <v>341</v>
      </c>
      <c r="L10298" s="2" t="s">
        <v>2105</v>
      </c>
      <c r="M10298" s="12">
        <v>3674.4960000000001</v>
      </c>
      <c r="N10298" s="6">
        <v>34.94</v>
      </c>
      <c r="O10298" s="6">
        <v>35.74</v>
      </c>
      <c r="P10298" s="2" t="s">
        <v>30114</v>
      </c>
      <c r="Q10298" s="6">
        <v>100</v>
      </c>
      <c r="R10298" s="6">
        <v>46.24</v>
      </c>
      <c r="S10298" s="5">
        <v>-4.5</v>
      </c>
      <c r="T10298" s="7">
        <v>119.898</v>
      </c>
      <c r="U10298" s="5">
        <v>12.8</v>
      </c>
      <c r="V10298" s="6">
        <v>0.08</v>
      </c>
      <c r="W10298" s="6">
        <v>25.77</v>
      </c>
      <c r="X10298" s="6">
        <v>26.69</v>
      </c>
      <c r="Y10298" s="6">
        <v>41.49</v>
      </c>
      <c r="Z10298" s="6">
        <v>38.950000000000003</v>
      </c>
      <c r="AA10298" s="6">
        <v>65.989999999999995</v>
      </c>
      <c r="AB10298" s="7">
        <v>70.06</v>
      </c>
      <c r="AC10298" s="5">
        <v>554.5</v>
      </c>
    </row>
    <row r="10299" spans="1:29" ht="117" x14ac:dyDescent="0.15">
      <c r="A10299" s="3">
        <f>DATE(2012,7,31)</f>
        <v>41121</v>
      </c>
      <c r="B10299" s="2"/>
      <c r="C10299" s="2" t="s">
        <v>87</v>
      </c>
      <c r="D10299" s="2" t="s">
        <v>19987</v>
      </c>
      <c r="E10299" s="2" t="s">
        <v>19988</v>
      </c>
      <c r="F10299" s="4">
        <v>8071</v>
      </c>
      <c r="G10299" s="2" t="s">
        <v>454</v>
      </c>
      <c r="H10299" s="2" t="s">
        <v>34</v>
      </c>
      <c r="I10299" s="2" t="s">
        <v>143</v>
      </c>
      <c r="J10299" s="2" t="s">
        <v>144</v>
      </c>
      <c r="K10299" s="2" t="s">
        <v>53</v>
      </c>
      <c r="L10299" s="2" t="s">
        <v>139</v>
      </c>
      <c r="M10299" s="2"/>
      <c r="N10299" s="2"/>
      <c r="O10299" s="2"/>
      <c r="P10299" s="2" t="s">
        <v>30115</v>
      </c>
      <c r="Q10299" s="2"/>
      <c r="R10299" s="2"/>
      <c r="S10299" s="5">
        <v>584.6</v>
      </c>
      <c r="T10299" s="8">
        <v>1347.3</v>
      </c>
      <c r="U10299" s="5">
        <v>27.5</v>
      </c>
      <c r="V10299" s="6">
        <v>5.86</v>
      </c>
      <c r="W10299" s="6">
        <v>84.39</v>
      </c>
      <c r="X10299" s="6">
        <v>84.95</v>
      </c>
      <c r="Y10299" s="6">
        <v>84.09</v>
      </c>
      <c r="Z10299" s="5">
        <v>87.9</v>
      </c>
      <c r="AA10299" s="6">
        <v>96.8</v>
      </c>
      <c r="AB10299" s="2" t="s">
        <v>47</v>
      </c>
      <c r="AC10299" s="2"/>
    </row>
    <row r="10300" spans="1:29" ht="104" x14ac:dyDescent="0.15">
      <c r="A10300" s="3">
        <f>DATE(2012,8,1)</f>
        <v>41122</v>
      </c>
      <c r="B10300" s="3">
        <f>DATE(2012,8,1)</f>
        <v>41122</v>
      </c>
      <c r="C10300" s="2" t="s">
        <v>95</v>
      </c>
      <c r="D10300" s="2" t="s">
        <v>28556</v>
      </c>
      <c r="E10300" s="2" t="s">
        <v>1608</v>
      </c>
      <c r="F10300" s="4">
        <v>1311</v>
      </c>
      <c r="G10300" s="2" t="s">
        <v>148</v>
      </c>
      <c r="H10300" s="2" t="s">
        <v>34</v>
      </c>
      <c r="I10300" s="2" t="s">
        <v>28557</v>
      </c>
      <c r="J10300" s="2" t="s">
        <v>244</v>
      </c>
      <c r="K10300" s="2" t="s">
        <v>53</v>
      </c>
      <c r="L10300" s="2" t="s">
        <v>34</v>
      </c>
      <c r="M10300" s="2"/>
      <c r="N10300" s="2"/>
      <c r="O10300" s="2"/>
      <c r="P10300" s="2" t="s">
        <v>30116</v>
      </c>
      <c r="Q10300" s="6">
        <v>39.75</v>
      </c>
      <c r="R10300" s="6">
        <v>1.95</v>
      </c>
      <c r="S10300" s="5">
        <v>5.2</v>
      </c>
      <c r="T10300" s="6">
        <v>22.34</v>
      </c>
      <c r="U10300" s="5">
        <v>1.2</v>
      </c>
      <c r="V10300" s="6">
        <v>-5.8</v>
      </c>
      <c r="W10300" s="5">
        <v>1.6</v>
      </c>
      <c r="X10300" s="6">
        <v>2.0099999999999998</v>
      </c>
      <c r="Y10300" s="6">
        <v>1.96</v>
      </c>
      <c r="Z10300" s="6">
        <v>2.02</v>
      </c>
      <c r="AA10300" s="6">
        <v>12.41</v>
      </c>
      <c r="AB10300" s="2" t="s">
        <v>86</v>
      </c>
      <c r="AC10300" s="2"/>
    </row>
    <row r="10301" spans="1:29" ht="143" x14ac:dyDescent="0.15">
      <c r="A10301" s="3">
        <f>DATE(2012,8,2)</f>
        <v>41123</v>
      </c>
      <c r="B10301" s="3">
        <f>DATE(2013,1,10)</f>
        <v>41284</v>
      </c>
      <c r="C10301" s="2" t="s">
        <v>95</v>
      </c>
      <c r="D10301" s="2" t="s">
        <v>30117</v>
      </c>
      <c r="E10301" s="2" t="s">
        <v>36</v>
      </c>
      <c r="F10301" s="4">
        <v>6035</v>
      </c>
      <c r="G10301" s="2" t="s">
        <v>33</v>
      </c>
      <c r="H10301" s="2" t="s">
        <v>34</v>
      </c>
      <c r="I10301" s="2" t="s">
        <v>4543</v>
      </c>
      <c r="J10301" s="2" t="s">
        <v>36</v>
      </c>
      <c r="K10301" s="2" t="s">
        <v>37</v>
      </c>
      <c r="L10301" s="2" t="s">
        <v>34</v>
      </c>
      <c r="M10301" s="7">
        <v>502.60899999999998</v>
      </c>
      <c r="N10301" s="6">
        <v>32.369999999999997</v>
      </c>
      <c r="O10301" s="5">
        <v>33.4</v>
      </c>
      <c r="P10301" s="2" t="s">
        <v>30118</v>
      </c>
      <c r="Q10301" s="6">
        <v>100</v>
      </c>
      <c r="R10301" s="6">
        <v>5.73</v>
      </c>
      <c r="S10301" s="5">
        <v>2.5</v>
      </c>
      <c r="T10301" s="7">
        <v>4.5640000000000001</v>
      </c>
      <c r="U10301" s="5">
        <v>8.9</v>
      </c>
      <c r="V10301" s="6">
        <v>0.41</v>
      </c>
      <c r="W10301" s="5">
        <v>3.8</v>
      </c>
      <c r="X10301" s="5">
        <v>3.9</v>
      </c>
      <c r="Y10301" s="5">
        <v>3.9</v>
      </c>
      <c r="Z10301" s="5">
        <v>5.5</v>
      </c>
      <c r="AA10301" s="6">
        <v>4.3600000000000003</v>
      </c>
      <c r="AB10301" s="7">
        <v>28.776</v>
      </c>
      <c r="AC10301" s="2"/>
    </row>
    <row r="10302" spans="1:29" ht="39" x14ac:dyDescent="0.15">
      <c r="A10302" s="3">
        <f>DATE(2012,8,2)</f>
        <v>41123</v>
      </c>
      <c r="B10302" s="2"/>
      <c r="C10302" s="2" t="s">
        <v>87</v>
      </c>
      <c r="D10302" s="2" t="s">
        <v>30119</v>
      </c>
      <c r="E10302" s="2" t="s">
        <v>30120</v>
      </c>
      <c r="F10302" s="4">
        <v>7389</v>
      </c>
      <c r="G10302" s="2" t="s">
        <v>223</v>
      </c>
      <c r="H10302" s="2" t="s">
        <v>34</v>
      </c>
      <c r="I10302" s="2" t="s">
        <v>143</v>
      </c>
      <c r="J10302" s="2" t="s">
        <v>144</v>
      </c>
      <c r="K10302" s="2" t="s">
        <v>53</v>
      </c>
      <c r="L10302" s="2" t="s">
        <v>139</v>
      </c>
      <c r="M10302" s="2"/>
      <c r="N10302" s="2"/>
      <c r="O10302" s="2"/>
      <c r="P10302" s="2" t="s">
        <v>30121</v>
      </c>
      <c r="Q10302" s="2"/>
      <c r="R10302" s="2"/>
      <c r="S10302" s="5">
        <v>33.5</v>
      </c>
      <c r="T10302" s="7">
        <v>62.292999999999999</v>
      </c>
      <c r="U10302" s="5">
        <v>2.2999999999999998</v>
      </c>
      <c r="V10302" s="6">
        <v>0.57999999999999996</v>
      </c>
      <c r="W10302" s="6">
        <v>11.55</v>
      </c>
      <c r="X10302" s="6">
        <v>11.12</v>
      </c>
      <c r="Y10302" s="4">
        <v>12</v>
      </c>
      <c r="Z10302" s="6">
        <v>11.83</v>
      </c>
      <c r="AA10302" s="6">
        <v>54.78</v>
      </c>
      <c r="AB10302" s="2" t="s">
        <v>47</v>
      </c>
      <c r="AC10302" s="2"/>
    </row>
    <row r="10303" spans="1:29" ht="130" x14ac:dyDescent="0.15">
      <c r="A10303" s="3">
        <f>DATE(2012,8,6)</f>
        <v>41127</v>
      </c>
      <c r="B10303" s="2"/>
      <c r="C10303" s="2" t="s">
        <v>30</v>
      </c>
      <c r="D10303" s="2" t="s">
        <v>18137</v>
      </c>
      <c r="E10303" s="2" t="s">
        <v>1367</v>
      </c>
      <c r="F10303" s="4">
        <v>5731</v>
      </c>
      <c r="G10303" s="2" t="s">
        <v>1227</v>
      </c>
      <c r="H10303" s="2" t="s">
        <v>34</v>
      </c>
      <c r="I10303" s="2" t="s">
        <v>30122</v>
      </c>
      <c r="J10303" s="2" t="s">
        <v>150</v>
      </c>
      <c r="K10303" s="2" t="s">
        <v>53</v>
      </c>
      <c r="L10303" s="2" t="s">
        <v>34</v>
      </c>
      <c r="M10303" s="2"/>
      <c r="N10303" s="2"/>
      <c r="O10303" s="2"/>
      <c r="P10303" s="2" t="s">
        <v>30123</v>
      </c>
      <c r="Q10303" s="2"/>
      <c r="R10303" s="6">
        <v>26</v>
      </c>
      <c r="S10303" s="8">
        <v>1038</v>
      </c>
      <c r="T10303" s="8">
        <v>3071</v>
      </c>
      <c r="U10303" s="5">
        <v>10.4</v>
      </c>
      <c r="V10303" s="6">
        <v>2.63</v>
      </c>
      <c r="W10303" s="5">
        <v>18.3</v>
      </c>
      <c r="X10303" s="5">
        <v>19.7</v>
      </c>
      <c r="Y10303" s="6">
        <v>19.98</v>
      </c>
      <c r="Z10303" s="5">
        <v>19.5</v>
      </c>
      <c r="AA10303" s="6">
        <v>342.14</v>
      </c>
      <c r="AB10303" s="7">
        <v>4.7110000000000003</v>
      </c>
      <c r="AC10303" s="2"/>
    </row>
    <row r="10304" spans="1:29" ht="104" x14ac:dyDescent="0.15">
      <c r="A10304" s="3">
        <f>DATE(2012,8,6)</f>
        <v>41127</v>
      </c>
      <c r="B10304" s="3">
        <f>DATE(2012,8,6)</f>
        <v>41127</v>
      </c>
      <c r="C10304" s="2" t="s">
        <v>95</v>
      </c>
      <c r="D10304" s="2" t="s">
        <v>30124</v>
      </c>
      <c r="E10304" s="2" t="s">
        <v>12441</v>
      </c>
      <c r="F10304" s="4">
        <v>6211</v>
      </c>
      <c r="G10304" s="2" t="s">
        <v>53</v>
      </c>
      <c r="H10304" s="2" t="s">
        <v>34</v>
      </c>
      <c r="I10304" s="2" t="s">
        <v>51</v>
      </c>
      <c r="J10304" s="2" t="s">
        <v>52</v>
      </c>
      <c r="K10304" s="2" t="s">
        <v>53</v>
      </c>
      <c r="L10304" s="2" t="s">
        <v>34</v>
      </c>
      <c r="M10304" s="2"/>
      <c r="N10304" s="2"/>
      <c r="O10304" s="2"/>
      <c r="P10304" s="2" t="s">
        <v>30125</v>
      </c>
      <c r="Q10304" s="6">
        <v>73.08</v>
      </c>
      <c r="R10304" s="2"/>
      <c r="S10304" s="5">
        <v>103.6</v>
      </c>
      <c r="T10304" s="7">
        <v>284.21100000000001</v>
      </c>
      <c r="U10304" s="5">
        <v>15.3</v>
      </c>
      <c r="V10304" s="6">
        <v>1.0900000000000001</v>
      </c>
      <c r="W10304" s="6">
        <v>10.42</v>
      </c>
      <c r="X10304" s="6">
        <v>4.05</v>
      </c>
      <c r="Y10304" s="6">
        <v>3.07</v>
      </c>
      <c r="Z10304" s="6">
        <v>3.06</v>
      </c>
      <c r="AA10304" s="6">
        <v>364.88</v>
      </c>
      <c r="AB10304" s="2" t="s">
        <v>86</v>
      </c>
      <c r="AC10304" s="2"/>
    </row>
    <row r="10305" spans="1:29" ht="65" x14ac:dyDescent="0.15">
      <c r="A10305" s="3">
        <f>DATE(2012,8,7)</f>
        <v>41128</v>
      </c>
      <c r="B10305" s="3">
        <f>DATE(2012,10,29)</f>
        <v>41211</v>
      </c>
      <c r="C10305" s="2" t="s">
        <v>95</v>
      </c>
      <c r="D10305" s="2" t="s">
        <v>30126</v>
      </c>
      <c r="E10305" s="2" t="s">
        <v>30127</v>
      </c>
      <c r="F10305" s="4">
        <v>1799</v>
      </c>
      <c r="G10305" s="2" t="s">
        <v>341</v>
      </c>
      <c r="H10305" s="2" t="s">
        <v>34</v>
      </c>
      <c r="I10305" s="2" t="s">
        <v>23685</v>
      </c>
      <c r="J10305" s="2" t="s">
        <v>23686</v>
      </c>
      <c r="K10305" s="2" t="s">
        <v>73</v>
      </c>
      <c r="L10305" s="2" t="s">
        <v>34</v>
      </c>
      <c r="M10305" s="12">
        <v>79931.184999999998</v>
      </c>
      <c r="N10305" s="5">
        <v>52.4</v>
      </c>
      <c r="O10305" s="6">
        <v>52.79</v>
      </c>
      <c r="P10305" s="2" t="s">
        <v>30128</v>
      </c>
      <c r="Q10305" s="6">
        <v>100</v>
      </c>
      <c r="R10305" s="6">
        <v>12.5</v>
      </c>
      <c r="S10305" s="5">
        <v>5.3</v>
      </c>
      <c r="T10305" s="7">
        <v>9.5150000000000006</v>
      </c>
      <c r="U10305" s="5">
        <v>3.8</v>
      </c>
      <c r="V10305" s="6">
        <v>0.7</v>
      </c>
      <c r="W10305" s="6">
        <v>9.06</v>
      </c>
      <c r="X10305" s="6">
        <v>9.06</v>
      </c>
      <c r="Y10305" s="6">
        <v>12.53</v>
      </c>
      <c r="Z10305" s="6">
        <v>12.45</v>
      </c>
      <c r="AA10305" s="6">
        <v>7.47</v>
      </c>
      <c r="AB10305" s="7">
        <v>9.4979999999999993</v>
      </c>
      <c r="AC10305" s="8">
        <v>2810</v>
      </c>
    </row>
    <row r="10306" spans="1:29" ht="104" x14ac:dyDescent="0.15">
      <c r="A10306" s="3">
        <f>DATE(2012,8,8)</f>
        <v>41129</v>
      </c>
      <c r="B10306" s="3">
        <f>DATE(2012,12,13)</f>
        <v>41256</v>
      </c>
      <c r="C10306" s="2" t="s">
        <v>95</v>
      </c>
      <c r="D10306" s="2" t="s">
        <v>30129</v>
      </c>
      <c r="E10306" s="2" t="s">
        <v>265</v>
      </c>
      <c r="F10306" s="4">
        <v>6021</v>
      </c>
      <c r="G10306" s="2" t="s">
        <v>37</v>
      </c>
      <c r="H10306" s="2" t="s">
        <v>34</v>
      </c>
      <c r="I10306" s="2" t="s">
        <v>22550</v>
      </c>
      <c r="J10306" s="2" t="s">
        <v>36</v>
      </c>
      <c r="K10306" s="2" t="s">
        <v>37</v>
      </c>
      <c r="L10306" s="2" t="s">
        <v>34</v>
      </c>
      <c r="M10306" s="7">
        <v>543.34199999999998</v>
      </c>
      <c r="N10306" s="6">
        <v>37.32</v>
      </c>
      <c r="O10306" s="6">
        <v>38.96</v>
      </c>
      <c r="P10306" s="2" t="s">
        <v>30130</v>
      </c>
      <c r="Q10306" s="6">
        <v>100</v>
      </c>
      <c r="R10306" s="6">
        <v>9.31</v>
      </c>
      <c r="S10306" s="5">
        <v>-1.4</v>
      </c>
      <c r="T10306" s="7">
        <v>-1.716</v>
      </c>
      <c r="U10306" s="5">
        <v>11.6</v>
      </c>
      <c r="V10306" s="6">
        <v>-0.19</v>
      </c>
      <c r="W10306" s="6">
        <v>5.75</v>
      </c>
      <c r="X10306" s="6">
        <v>5.55</v>
      </c>
      <c r="Y10306" s="6">
        <v>9.0299999999999994</v>
      </c>
      <c r="Z10306" s="5">
        <v>9.5</v>
      </c>
      <c r="AA10306" s="6">
        <v>7.2</v>
      </c>
      <c r="AB10306" s="2" t="s">
        <v>86</v>
      </c>
      <c r="AC10306" s="2"/>
    </row>
    <row r="10307" spans="1:29" ht="78" x14ac:dyDescent="0.15">
      <c r="A10307" s="3">
        <f>DATE(2012,8,9)</f>
        <v>41130</v>
      </c>
      <c r="B10307" s="3">
        <f>DATE(2013,2,20)</f>
        <v>41325</v>
      </c>
      <c r="C10307" s="2" t="s">
        <v>95</v>
      </c>
      <c r="D10307" s="2" t="s">
        <v>28690</v>
      </c>
      <c r="E10307" s="2" t="s">
        <v>28691</v>
      </c>
      <c r="F10307" s="4">
        <v>3491</v>
      </c>
      <c r="G10307" s="2" t="s">
        <v>163</v>
      </c>
      <c r="H10307" s="2" t="s">
        <v>34</v>
      </c>
      <c r="I10307" s="2" t="s">
        <v>26329</v>
      </c>
      <c r="J10307" s="2" t="s">
        <v>26330</v>
      </c>
      <c r="K10307" s="2" t="s">
        <v>300</v>
      </c>
      <c r="L10307" s="2" t="s">
        <v>34</v>
      </c>
      <c r="M10307" s="12">
        <v>28502.062000000002</v>
      </c>
      <c r="N10307" s="6">
        <v>76.98</v>
      </c>
      <c r="O10307" s="6">
        <v>77.36</v>
      </c>
      <c r="P10307" s="2" t="s">
        <v>30131</v>
      </c>
      <c r="Q10307" s="6">
        <v>100</v>
      </c>
      <c r="R10307" s="6">
        <v>60</v>
      </c>
      <c r="S10307" s="5">
        <v>206</v>
      </c>
      <c r="T10307" s="7">
        <v>266.73500000000001</v>
      </c>
      <c r="U10307" s="5">
        <v>25.4</v>
      </c>
      <c r="V10307" s="9">
        <v>3.3895</v>
      </c>
      <c r="W10307" s="6">
        <v>44.45</v>
      </c>
      <c r="X10307" s="5">
        <v>46.8</v>
      </c>
      <c r="Y10307" s="6">
        <v>59.63</v>
      </c>
      <c r="Z10307" s="5">
        <v>59.6</v>
      </c>
      <c r="AA10307" s="6">
        <v>42.58</v>
      </c>
      <c r="AB10307" s="7">
        <v>10.452999999999999</v>
      </c>
      <c r="AC10307" s="8">
        <v>1933</v>
      </c>
    </row>
    <row r="10308" spans="1:29" ht="221" x14ac:dyDescent="0.15">
      <c r="A10308" s="3">
        <f>DATE(2012,8,13)</f>
        <v>41134</v>
      </c>
      <c r="B10308" s="3">
        <f>DATE(2013,2,4)</f>
        <v>41309</v>
      </c>
      <c r="C10308" s="2" t="s">
        <v>95</v>
      </c>
      <c r="D10308" s="2" t="s">
        <v>10367</v>
      </c>
      <c r="E10308" s="2" t="s">
        <v>30132</v>
      </c>
      <c r="F10308" s="4">
        <v>3661</v>
      </c>
      <c r="G10308" s="2" t="s">
        <v>921</v>
      </c>
      <c r="H10308" s="2" t="s">
        <v>34</v>
      </c>
      <c r="I10308" s="2" t="s">
        <v>24852</v>
      </c>
      <c r="J10308" s="2" t="s">
        <v>24853</v>
      </c>
      <c r="K10308" s="2" t="s">
        <v>223</v>
      </c>
      <c r="L10308" s="2" t="s">
        <v>34</v>
      </c>
      <c r="M10308" s="12">
        <v>1125.3420000000001</v>
      </c>
      <c r="N10308" s="6">
        <v>27.87</v>
      </c>
      <c r="O10308" s="5">
        <v>27.4</v>
      </c>
      <c r="P10308" s="2" t="s">
        <v>30133</v>
      </c>
      <c r="Q10308" s="6">
        <v>100</v>
      </c>
      <c r="R10308" s="2"/>
      <c r="S10308" s="5">
        <v>-13.3</v>
      </c>
      <c r="T10308" s="7">
        <v>162.315</v>
      </c>
      <c r="U10308" s="5">
        <v>1.9</v>
      </c>
      <c r="V10308" s="9">
        <v>-5.3100000000000001E-2</v>
      </c>
      <c r="W10308" s="6">
        <v>5.56</v>
      </c>
      <c r="X10308" s="5">
        <v>5.7</v>
      </c>
      <c r="Y10308" s="6">
        <v>5.79</v>
      </c>
      <c r="Z10308" s="6">
        <v>5.86</v>
      </c>
      <c r="AA10308" s="6">
        <v>219.05</v>
      </c>
      <c r="AB10308" s="7">
        <v>12.94</v>
      </c>
      <c r="AC10308" s="5">
        <v>184.1</v>
      </c>
    </row>
    <row r="10309" spans="1:29" ht="130" x14ac:dyDescent="0.15">
      <c r="A10309" s="3">
        <f>DATE(2012,8,13)</f>
        <v>41134</v>
      </c>
      <c r="B10309" s="3">
        <f>DATE(2012,10,11)</f>
        <v>41193</v>
      </c>
      <c r="C10309" s="2" t="s">
        <v>95</v>
      </c>
      <c r="D10309" s="2" t="s">
        <v>13682</v>
      </c>
      <c r="E10309" s="2" t="s">
        <v>13683</v>
      </c>
      <c r="F10309" s="4">
        <v>5065</v>
      </c>
      <c r="G10309" s="2" t="s">
        <v>76</v>
      </c>
      <c r="H10309" s="2" t="s">
        <v>34</v>
      </c>
      <c r="I10309" s="2" t="s">
        <v>30134</v>
      </c>
      <c r="J10309" s="2" t="s">
        <v>17160</v>
      </c>
      <c r="K10309" s="2" t="s">
        <v>137</v>
      </c>
      <c r="L10309" s="2" t="s">
        <v>99</v>
      </c>
      <c r="M10309" s="12">
        <v>7949.2280000000001</v>
      </c>
      <c r="N10309" s="7">
        <v>49.935000000000002</v>
      </c>
      <c r="O10309" s="7">
        <v>48.533000000000001</v>
      </c>
      <c r="P10309" s="2" t="s">
        <v>30135</v>
      </c>
      <c r="Q10309" s="6">
        <v>100</v>
      </c>
      <c r="R10309" s="6">
        <v>6.2</v>
      </c>
      <c r="S10309" s="5">
        <v>12.5</v>
      </c>
      <c r="T10309" s="7">
        <v>15.323</v>
      </c>
      <c r="U10309" s="5">
        <v>2.7</v>
      </c>
      <c r="V10309" s="6">
        <v>0.31</v>
      </c>
      <c r="W10309" s="6">
        <v>4.0599999999999996</v>
      </c>
      <c r="X10309" s="6">
        <v>4.04</v>
      </c>
      <c r="Y10309" s="6">
        <v>6.16</v>
      </c>
      <c r="Z10309" s="7">
        <v>6.165</v>
      </c>
      <c r="AA10309" s="6">
        <v>39.33</v>
      </c>
      <c r="AB10309" s="7">
        <v>15.548999999999999</v>
      </c>
      <c r="AC10309" s="10">
        <v>3167.73</v>
      </c>
    </row>
    <row r="10310" spans="1:29" ht="91" x14ac:dyDescent="0.15">
      <c r="A10310" s="3">
        <f>DATE(2012,8,13)</f>
        <v>41134</v>
      </c>
      <c r="B10310" s="3">
        <f>DATE(2013,4,11)</f>
        <v>41375</v>
      </c>
      <c r="C10310" s="2" t="s">
        <v>95</v>
      </c>
      <c r="D10310" s="2" t="s">
        <v>30136</v>
      </c>
      <c r="E10310" s="2" t="s">
        <v>12382</v>
      </c>
      <c r="F10310" s="4">
        <v>7372</v>
      </c>
      <c r="G10310" s="2" t="s">
        <v>551</v>
      </c>
      <c r="H10310" s="2" t="s">
        <v>34</v>
      </c>
      <c r="I10310" s="2" t="s">
        <v>30137</v>
      </c>
      <c r="J10310" s="2" t="s">
        <v>30138</v>
      </c>
      <c r="K10310" s="2" t="s">
        <v>551</v>
      </c>
      <c r="L10310" s="2" t="s">
        <v>34</v>
      </c>
      <c r="M10310" s="2"/>
      <c r="N10310" s="2"/>
      <c r="O10310" s="2"/>
      <c r="P10310" s="2" t="s">
        <v>30139</v>
      </c>
      <c r="Q10310" s="6">
        <v>100</v>
      </c>
      <c r="R10310" s="6">
        <v>9</v>
      </c>
      <c r="S10310" s="5">
        <v>1.9</v>
      </c>
      <c r="T10310" s="7">
        <v>3.964</v>
      </c>
      <c r="U10310" s="5">
        <v>5.0999999999999996</v>
      </c>
      <c r="V10310" s="6">
        <v>0.11</v>
      </c>
      <c r="W10310" s="6">
        <v>6.71</v>
      </c>
      <c r="X10310" s="6">
        <v>6.55</v>
      </c>
      <c r="Y10310" s="6">
        <v>8.07</v>
      </c>
      <c r="Z10310" s="6">
        <v>8.14</v>
      </c>
      <c r="AA10310" s="6">
        <v>16.329999999999998</v>
      </c>
      <c r="AB10310" s="7">
        <v>43.256999999999998</v>
      </c>
      <c r="AC10310" s="2"/>
    </row>
    <row r="10311" spans="1:29" ht="78" x14ac:dyDescent="0.15">
      <c r="A10311" s="3">
        <f>DATE(2012,8,15)</f>
        <v>41136</v>
      </c>
      <c r="B10311" s="2"/>
      <c r="C10311" s="2" t="s">
        <v>30</v>
      </c>
      <c r="D10311" s="2" t="s">
        <v>30140</v>
      </c>
      <c r="E10311" s="2" t="s">
        <v>30141</v>
      </c>
      <c r="F10311" s="4">
        <v>2844</v>
      </c>
      <c r="G10311" s="2" t="s">
        <v>358</v>
      </c>
      <c r="H10311" s="2" t="s">
        <v>34</v>
      </c>
      <c r="I10311" s="2" t="s">
        <v>30142</v>
      </c>
      <c r="J10311" s="2" t="s">
        <v>244</v>
      </c>
      <c r="K10311" s="2" t="s">
        <v>53</v>
      </c>
      <c r="L10311" s="2" t="s">
        <v>34</v>
      </c>
      <c r="M10311" s="2"/>
      <c r="N10311" s="2"/>
      <c r="O10311" s="2"/>
      <c r="P10311" s="2" t="s">
        <v>30143</v>
      </c>
      <c r="Q10311" s="2"/>
      <c r="R10311" s="6">
        <v>4.25</v>
      </c>
      <c r="S10311" s="5">
        <v>3.1</v>
      </c>
      <c r="T10311" s="7">
        <v>11.438000000000001</v>
      </c>
      <c r="U10311" s="5">
        <v>4.5999999999999996</v>
      </c>
      <c r="V10311" s="6">
        <v>0.22</v>
      </c>
      <c r="W10311" s="6">
        <v>3.43</v>
      </c>
      <c r="X10311" s="6">
        <v>3.68</v>
      </c>
      <c r="Y10311" s="6">
        <v>4.21</v>
      </c>
      <c r="Z10311" s="7">
        <v>4.2149999999999999</v>
      </c>
      <c r="AA10311" s="6">
        <v>13.71</v>
      </c>
      <c r="AB10311" s="7">
        <v>9.2530000000000001</v>
      </c>
      <c r="AC10311" s="2"/>
    </row>
    <row r="10312" spans="1:29" ht="91" x14ac:dyDescent="0.15">
      <c r="A10312" s="3">
        <f>DATE(2012,8,16)</f>
        <v>41137</v>
      </c>
      <c r="B10312" s="2"/>
      <c r="C10312" s="2" t="s">
        <v>87</v>
      </c>
      <c r="D10312" s="2" t="s">
        <v>4641</v>
      </c>
      <c r="E10312" s="2" t="s">
        <v>4642</v>
      </c>
      <c r="F10312" s="4">
        <v>7372</v>
      </c>
      <c r="G10312" s="2" t="s">
        <v>551</v>
      </c>
      <c r="H10312" s="2" t="s">
        <v>34</v>
      </c>
      <c r="I10312" s="2" t="s">
        <v>143</v>
      </c>
      <c r="J10312" s="2" t="s">
        <v>144</v>
      </c>
      <c r="K10312" s="2" t="s">
        <v>53</v>
      </c>
      <c r="L10312" s="2" t="s">
        <v>139</v>
      </c>
      <c r="M10312" s="2"/>
      <c r="N10312" s="2"/>
      <c r="O10312" s="2"/>
      <c r="P10312" s="2" t="s">
        <v>30144</v>
      </c>
      <c r="Q10312" s="2"/>
      <c r="R10312" s="2"/>
      <c r="S10312" s="5">
        <v>56</v>
      </c>
      <c r="T10312" s="5">
        <v>278</v>
      </c>
      <c r="U10312" s="5">
        <v>8</v>
      </c>
      <c r="V10312" s="9">
        <v>0.18310000000000001</v>
      </c>
      <c r="W10312" s="6">
        <v>13.12</v>
      </c>
      <c r="X10312" s="6">
        <v>13.09</v>
      </c>
      <c r="Y10312" s="6">
        <v>13.81</v>
      </c>
      <c r="Z10312" s="6">
        <v>13.77</v>
      </c>
      <c r="AA10312" s="6">
        <v>318.39</v>
      </c>
      <c r="AB10312" s="2" t="s">
        <v>47</v>
      </c>
      <c r="AC10312" s="2"/>
    </row>
    <row r="10313" spans="1:29" ht="78" x14ac:dyDescent="0.15">
      <c r="A10313" s="3">
        <f>DATE(2012,8,17)</f>
        <v>41138</v>
      </c>
      <c r="B10313" s="2"/>
      <c r="C10313" s="2" t="s">
        <v>7330</v>
      </c>
      <c r="D10313" s="2" t="s">
        <v>30145</v>
      </c>
      <c r="E10313" s="2" t="s">
        <v>1608</v>
      </c>
      <c r="F10313" s="4">
        <v>1311</v>
      </c>
      <c r="G10313" s="2" t="s">
        <v>148</v>
      </c>
      <c r="H10313" s="2" t="s">
        <v>34</v>
      </c>
      <c r="I10313" s="2" t="s">
        <v>1526</v>
      </c>
      <c r="J10313" s="2" t="s">
        <v>302</v>
      </c>
      <c r="K10313" s="2" t="s">
        <v>53</v>
      </c>
      <c r="L10313" s="2" t="s">
        <v>34</v>
      </c>
      <c r="M10313" s="2"/>
      <c r="N10313" s="2"/>
      <c r="O10313" s="2"/>
      <c r="P10313" s="2" t="s">
        <v>30146</v>
      </c>
      <c r="Q10313" s="2"/>
      <c r="R10313" s="2"/>
      <c r="S10313" s="5">
        <v>-214</v>
      </c>
      <c r="T10313" s="7">
        <v>497.51900000000001</v>
      </c>
      <c r="U10313" s="5">
        <v>-5.3</v>
      </c>
      <c r="V10313" s="6">
        <v>-4.6100000000000003</v>
      </c>
      <c r="W10313" s="6">
        <v>7.56</v>
      </c>
      <c r="X10313" s="6">
        <v>7.25</v>
      </c>
      <c r="Y10313" s="6">
        <v>7.04</v>
      </c>
      <c r="Z10313" s="6">
        <v>7.05</v>
      </c>
      <c r="AA10313" s="6">
        <v>52.16</v>
      </c>
      <c r="AB10313" s="2" t="s">
        <v>47</v>
      </c>
      <c r="AC10313" s="2"/>
    </row>
    <row r="10314" spans="1:29" ht="169" x14ac:dyDescent="0.15">
      <c r="A10314" s="3">
        <f>DATE(2012,8,17)</f>
        <v>41138</v>
      </c>
      <c r="B10314" s="3">
        <f>DATE(2012,9,25)</f>
        <v>41177</v>
      </c>
      <c r="C10314" s="2" t="s">
        <v>95</v>
      </c>
      <c r="D10314" s="2" t="s">
        <v>30147</v>
      </c>
      <c r="E10314" s="2" t="s">
        <v>30148</v>
      </c>
      <c r="F10314" s="4">
        <v>2869</v>
      </c>
      <c r="G10314" s="2" t="s">
        <v>98</v>
      </c>
      <c r="H10314" s="2" t="s">
        <v>34</v>
      </c>
      <c r="I10314" s="2" t="s">
        <v>1526</v>
      </c>
      <c r="J10314" s="2" t="s">
        <v>302</v>
      </c>
      <c r="K10314" s="2" t="s">
        <v>53</v>
      </c>
      <c r="L10314" s="2" t="s">
        <v>34</v>
      </c>
      <c r="M10314" s="2"/>
      <c r="N10314" s="2"/>
      <c r="O10314" s="2"/>
      <c r="P10314" s="2" t="s">
        <v>30149</v>
      </c>
      <c r="Q10314" s="6">
        <v>92.9</v>
      </c>
      <c r="R10314" s="2"/>
      <c r="S10314" s="5">
        <v>-46.6</v>
      </c>
      <c r="T10314" s="7">
        <v>12.268000000000001</v>
      </c>
      <c r="U10314" s="5">
        <v>814.7</v>
      </c>
      <c r="V10314" s="6">
        <v>-247.5</v>
      </c>
      <c r="W10314" s="6">
        <v>25.95</v>
      </c>
      <c r="X10314" s="5">
        <v>25.8</v>
      </c>
      <c r="Y10314" s="5">
        <v>25.8</v>
      </c>
      <c r="Z10314" s="6">
        <v>25.39</v>
      </c>
      <c r="AA10314" s="6">
        <v>0.17</v>
      </c>
      <c r="AB10314" s="2" t="s">
        <v>86</v>
      </c>
      <c r="AC10314" s="2"/>
    </row>
    <row r="10315" spans="1:29" ht="78" x14ac:dyDescent="0.15">
      <c r="A10315" s="3">
        <f>DATE(2012,8,17)</f>
        <v>41138</v>
      </c>
      <c r="B10315" s="3">
        <f>DATE(2013,1,18)</f>
        <v>41292</v>
      </c>
      <c r="C10315" s="2" t="s">
        <v>95</v>
      </c>
      <c r="D10315" s="2" t="s">
        <v>30150</v>
      </c>
      <c r="E10315" s="2" t="s">
        <v>8330</v>
      </c>
      <c r="F10315" s="4">
        <v>4832</v>
      </c>
      <c r="G10315" s="2" t="s">
        <v>45</v>
      </c>
      <c r="H10315" s="2" t="s">
        <v>34</v>
      </c>
      <c r="I10315" s="2" t="s">
        <v>30151</v>
      </c>
      <c r="J10315" s="2" t="s">
        <v>27192</v>
      </c>
      <c r="K10315" s="2" t="s">
        <v>45</v>
      </c>
      <c r="L10315" s="2" t="s">
        <v>34</v>
      </c>
      <c r="M10315" s="12">
        <v>7982.9210000000003</v>
      </c>
      <c r="N10315" s="6">
        <v>18.079999999999998</v>
      </c>
      <c r="O10315" s="6">
        <v>17.89</v>
      </c>
      <c r="P10315" s="2" t="s">
        <v>30152</v>
      </c>
      <c r="Q10315" s="6">
        <v>1.3</v>
      </c>
      <c r="R10315" s="6">
        <v>3.15</v>
      </c>
      <c r="S10315" s="8">
        <v>2387.8000000000002</v>
      </c>
      <c r="T10315" s="12">
        <v>1613.0170000000001</v>
      </c>
      <c r="U10315" s="5">
        <v>0.8</v>
      </c>
      <c r="V10315" s="6">
        <v>0.51</v>
      </c>
      <c r="W10315" s="6">
        <v>2.48</v>
      </c>
      <c r="X10315" s="6">
        <v>2.59</v>
      </c>
      <c r="Y10315" s="6">
        <v>2.56</v>
      </c>
      <c r="Z10315" s="6">
        <v>2.56</v>
      </c>
      <c r="AA10315" s="10">
        <v>3833.25</v>
      </c>
      <c r="AB10315" s="7">
        <v>13.711</v>
      </c>
      <c r="AC10315" s="8">
        <v>2660</v>
      </c>
    </row>
    <row r="10316" spans="1:29" ht="156" x14ac:dyDescent="0.15">
      <c r="A10316" s="3">
        <f>DATE(2012,8,17)</f>
        <v>41138</v>
      </c>
      <c r="B10316" s="3">
        <f>DATE(2012,10,17)</f>
        <v>41199</v>
      </c>
      <c r="C10316" s="2" t="s">
        <v>95</v>
      </c>
      <c r="D10316" s="2" t="s">
        <v>30153</v>
      </c>
      <c r="E10316" s="2" t="s">
        <v>36</v>
      </c>
      <c r="F10316" s="4">
        <v>6021</v>
      </c>
      <c r="G10316" s="2" t="s">
        <v>37</v>
      </c>
      <c r="H10316" s="2" t="s">
        <v>34</v>
      </c>
      <c r="I10316" s="2" t="s">
        <v>30154</v>
      </c>
      <c r="J10316" s="2" t="s">
        <v>36</v>
      </c>
      <c r="K10316" s="2" t="s">
        <v>37</v>
      </c>
      <c r="L10316" s="2" t="s">
        <v>34</v>
      </c>
      <c r="M10316" s="6">
        <v>752.57</v>
      </c>
      <c r="N10316" s="6">
        <v>9.5399999999999991</v>
      </c>
      <c r="O10316" s="6">
        <v>9.5299999999999994</v>
      </c>
      <c r="P10316" s="2" t="s">
        <v>30155</v>
      </c>
      <c r="Q10316" s="6">
        <v>100</v>
      </c>
      <c r="R10316" s="6">
        <v>4.08</v>
      </c>
      <c r="S10316" s="5">
        <v>-7.7</v>
      </c>
      <c r="T10316" s="7">
        <v>-7.5780000000000003</v>
      </c>
      <c r="U10316" s="5">
        <v>6.2</v>
      </c>
      <c r="V10316" s="6">
        <v>-0.65</v>
      </c>
      <c r="W10316" s="6">
        <v>2.85</v>
      </c>
      <c r="X10316" s="6">
        <v>2.85</v>
      </c>
      <c r="Y10316" s="6">
        <v>2.85</v>
      </c>
      <c r="Z10316" s="7">
        <v>3.8210000000000002</v>
      </c>
      <c r="AA10316" s="6">
        <v>13.47</v>
      </c>
      <c r="AB10316" s="2" t="s">
        <v>86</v>
      </c>
      <c r="AC10316" s="2"/>
    </row>
    <row r="10317" spans="1:29" ht="117" x14ac:dyDescent="0.15">
      <c r="A10317" s="3">
        <f>DATE(2012,8,20)</f>
        <v>41141</v>
      </c>
      <c r="B10317" s="3">
        <f>DATE(2013,5,7)</f>
        <v>41401</v>
      </c>
      <c r="C10317" s="2" t="s">
        <v>95</v>
      </c>
      <c r="D10317" s="2" t="s">
        <v>22390</v>
      </c>
      <c r="E10317" s="2" t="s">
        <v>5189</v>
      </c>
      <c r="F10317" s="4">
        <v>6324</v>
      </c>
      <c r="G10317" s="2" t="s">
        <v>125</v>
      </c>
      <c r="H10317" s="2" t="s">
        <v>34</v>
      </c>
      <c r="I10317" s="2" t="s">
        <v>27410</v>
      </c>
      <c r="J10317" s="2" t="s">
        <v>21350</v>
      </c>
      <c r="K10317" s="2" t="s">
        <v>125</v>
      </c>
      <c r="L10317" s="2" t="s">
        <v>34</v>
      </c>
      <c r="M10317" s="12">
        <v>12448.333000000001</v>
      </c>
      <c r="N10317" s="6">
        <v>40.18</v>
      </c>
      <c r="O10317" s="5">
        <v>39.9</v>
      </c>
      <c r="P10317" s="2" t="s">
        <v>30156</v>
      </c>
      <c r="Q10317" s="6">
        <v>100</v>
      </c>
      <c r="R10317" s="6">
        <v>42.08</v>
      </c>
      <c r="S10317" s="5">
        <v>467.3</v>
      </c>
      <c r="T10317" s="7">
        <v>997.32799999999997</v>
      </c>
      <c r="U10317" s="5">
        <v>33.200000000000003</v>
      </c>
      <c r="V10317" s="6">
        <v>3.3</v>
      </c>
      <c r="W10317" s="5">
        <v>32.299999999999997</v>
      </c>
      <c r="X10317" s="6">
        <v>34.94</v>
      </c>
      <c r="Y10317" s="6">
        <v>42.04</v>
      </c>
      <c r="Z10317" s="6">
        <v>41.97</v>
      </c>
      <c r="AA10317" s="6">
        <v>133.85</v>
      </c>
      <c r="AB10317" s="7">
        <v>6.7850000000000001</v>
      </c>
      <c r="AC10317" s="5">
        <v>922.1</v>
      </c>
    </row>
    <row r="10318" spans="1:29" ht="169" x14ac:dyDescent="0.15">
      <c r="A10318" s="3">
        <f>DATE(2012,8,21)</f>
        <v>41142</v>
      </c>
      <c r="B10318" s="3">
        <f>DATE(2013,4,30)</f>
        <v>41394</v>
      </c>
      <c r="C10318" s="2" t="s">
        <v>95</v>
      </c>
      <c r="D10318" s="2" t="s">
        <v>30157</v>
      </c>
      <c r="E10318" s="2" t="s">
        <v>30158</v>
      </c>
      <c r="F10318" s="4">
        <v>2741</v>
      </c>
      <c r="G10318" s="2" t="s">
        <v>186</v>
      </c>
      <c r="H10318" s="2" t="s">
        <v>34</v>
      </c>
      <c r="I10318" s="2" t="s">
        <v>30159</v>
      </c>
      <c r="J10318" s="2" t="s">
        <v>30160</v>
      </c>
      <c r="K10318" s="2" t="s">
        <v>4563</v>
      </c>
      <c r="L10318" s="2" t="s">
        <v>34</v>
      </c>
      <c r="M10318" s="7">
        <v>61.478999999999999</v>
      </c>
      <c r="N10318" s="6">
        <v>1.63</v>
      </c>
      <c r="O10318" s="6">
        <v>1.65</v>
      </c>
      <c r="P10318" s="2" t="s">
        <v>30161</v>
      </c>
      <c r="Q10318" s="6">
        <v>100</v>
      </c>
      <c r="R10318" s="6">
        <v>2.72</v>
      </c>
      <c r="S10318" s="5">
        <v>-705</v>
      </c>
      <c r="T10318" s="5">
        <v>578</v>
      </c>
      <c r="U10318" s="5">
        <v>-31.1</v>
      </c>
      <c r="V10318" s="6">
        <v>-46.81</v>
      </c>
      <c r="W10318" s="6">
        <v>2.4700000000000002</v>
      </c>
      <c r="X10318" s="6">
        <v>2.58</v>
      </c>
      <c r="Y10318" s="6">
        <v>3.64</v>
      </c>
      <c r="Z10318" s="6">
        <v>3.53</v>
      </c>
      <c r="AA10318" s="6">
        <v>15.67</v>
      </c>
      <c r="AB10318" s="7">
        <v>3.5670000000000002</v>
      </c>
      <c r="AC10318" s="6">
        <v>82.92</v>
      </c>
    </row>
    <row r="10319" spans="1:29" ht="143" x14ac:dyDescent="0.15">
      <c r="A10319" s="3">
        <f>DATE(2012,8,22)</f>
        <v>41143</v>
      </c>
      <c r="B10319" s="3">
        <f>DATE(2013,7,2)</f>
        <v>41457</v>
      </c>
      <c r="C10319" s="2" t="s">
        <v>95</v>
      </c>
      <c r="D10319" s="2" t="s">
        <v>30162</v>
      </c>
      <c r="E10319" s="2" t="s">
        <v>30163</v>
      </c>
      <c r="F10319" s="4">
        <v>6022</v>
      </c>
      <c r="G10319" s="2" t="s">
        <v>37</v>
      </c>
      <c r="H10319" s="2" t="s">
        <v>34</v>
      </c>
      <c r="I10319" s="2" t="s">
        <v>29474</v>
      </c>
      <c r="J10319" s="2" t="s">
        <v>1181</v>
      </c>
      <c r="K10319" s="2" t="s">
        <v>37</v>
      </c>
      <c r="L10319" s="2" t="s">
        <v>34</v>
      </c>
      <c r="M10319" s="2"/>
      <c r="N10319" s="2"/>
      <c r="O10319" s="2"/>
      <c r="P10319" s="2" t="s">
        <v>30164</v>
      </c>
      <c r="Q10319" s="6">
        <v>100</v>
      </c>
      <c r="R10319" s="2"/>
      <c r="S10319" s="2"/>
      <c r="T10319" s="2"/>
      <c r="U10319" s="2"/>
      <c r="V10319" s="2"/>
      <c r="W10319" s="5">
        <v>10.199999999999999</v>
      </c>
      <c r="X10319" s="5">
        <v>10.199999999999999</v>
      </c>
      <c r="Y10319" s="5">
        <v>12.4</v>
      </c>
      <c r="Z10319" s="5">
        <v>12.3</v>
      </c>
      <c r="AA10319" s="6">
        <v>3.63</v>
      </c>
      <c r="AB10319" s="2" t="s">
        <v>47</v>
      </c>
      <c r="AC10319" s="2"/>
    </row>
    <row r="10320" spans="1:29" ht="65" x14ac:dyDescent="0.15">
      <c r="A10320" s="3">
        <f>DATE(2012,8,22)</f>
        <v>41143</v>
      </c>
      <c r="B10320" s="3">
        <f>DATE(2013,1,9)</f>
        <v>41283</v>
      </c>
      <c r="C10320" s="2" t="s">
        <v>95</v>
      </c>
      <c r="D10320" s="2" t="s">
        <v>27851</v>
      </c>
      <c r="E10320" s="2" t="s">
        <v>22462</v>
      </c>
      <c r="F10320" s="4">
        <v>8059</v>
      </c>
      <c r="G10320" s="2" t="s">
        <v>454</v>
      </c>
      <c r="H10320" s="2" t="s">
        <v>34</v>
      </c>
      <c r="I10320" s="2" t="s">
        <v>24539</v>
      </c>
      <c r="J10320" s="2" t="s">
        <v>92</v>
      </c>
      <c r="K10320" s="2" t="s">
        <v>53</v>
      </c>
      <c r="L10320" s="2" t="s">
        <v>34</v>
      </c>
      <c r="M10320" s="12">
        <v>13072.843000000001</v>
      </c>
      <c r="N10320" s="6">
        <v>58.14</v>
      </c>
      <c r="O10320" s="6">
        <v>57.22</v>
      </c>
      <c r="P10320" s="2" t="s">
        <v>30165</v>
      </c>
      <c r="Q10320" s="6">
        <v>100</v>
      </c>
      <c r="R10320" s="6">
        <v>14.5</v>
      </c>
      <c r="S10320" s="5">
        <v>4.7</v>
      </c>
      <c r="T10320" s="7">
        <v>58.817</v>
      </c>
      <c r="U10320" s="5">
        <v>1.9</v>
      </c>
      <c r="V10320" s="6">
        <v>0.11</v>
      </c>
      <c r="W10320" s="6">
        <v>8.34</v>
      </c>
      <c r="X10320" s="6">
        <v>8.93</v>
      </c>
      <c r="Y10320" s="6">
        <v>14.26</v>
      </c>
      <c r="Z10320" s="6">
        <v>14.24</v>
      </c>
      <c r="AA10320" s="6">
        <v>58.25</v>
      </c>
      <c r="AB10320" s="7">
        <v>85.894000000000005</v>
      </c>
      <c r="AC10320" s="6">
        <v>284.51</v>
      </c>
    </row>
    <row r="10321" spans="1:29" ht="182" x14ac:dyDescent="0.15">
      <c r="A10321" s="3">
        <f>DATE(2012,8,27)</f>
        <v>41148</v>
      </c>
      <c r="B10321" s="3">
        <f>DATE(2012,10,10)</f>
        <v>41192</v>
      </c>
      <c r="C10321" s="2" t="s">
        <v>95</v>
      </c>
      <c r="D10321" s="2" t="s">
        <v>30166</v>
      </c>
      <c r="E10321" s="2" t="s">
        <v>4679</v>
      </c>
      <c r="F10321" s="4">
        <v>7372</v>
      </c>
      <c r="G10321" s="2" t="s">
        <v>551</v>
      </c>
      <c r="H10321" s="2" t="s">
        <v>34</v>
      </c>
      <c r="I10321" s="2" t="s">
        <v>27462</v>
      </c>
      <c r="J10321" s="2" t="s">
        <v>244</v>
      </c>
      <c r="K10321" s="2" t="s">
        <v>53</v>
      </c>
      <c r="L10321" s="2" t="s">
        <v>34</v>
      </c>
      <c r="M10321" s="2"/>
      <c r="N10321" s="2"/>
      <c r="O10321" s="2"/>
      <c r="P10321" s="2" t="s">
        <v>30167</v>
      </c>
      <c r="Q10321" s="6">
        <v>100</v>
      </c>
      <c r="R10321" s="6">
        <v>13</v>
      </c>
      <c r="S10321" s="5">
        <v>10.1</v>
      </c>
      <c r="T10321" s="7">
        <v>55.585000000000001</v>
      </c>
      <c r="U10321" s="5">
        <v>0.7</v>
      </c>
      <c r="V10321" s="6">
        <v>0.16</v>
      </c>
      <c r="W10321" s="6">
        <v>12.13</v>
      </c>
      <c r="X10321" s="6">
        <v>12.32</v>
      </c>
      <c r="Y10321" s="6">
        <v>13.33</v>
      </c>
      <c r="Z10321" s="6">
        <v>13.72</v>
      </c>
      <c r="AA10321" s="6">
        <v>68.459999999999994</v>
      </c>
      <c r="AB10321" s="7">
        <v>32.393000000000001</v>
      </c>
      <c r="AC10321" s="2"/>
    </row>
    <row r="10322" spans="1:29" ht="156" x14ac:dyDescent="0.15">
      <c r="A10322" s="3">
        <f>DATE(2012,8,27)</f>
        <v>41148</v>
      </c>
      <c r="B10322" s="3">
        <f>DATE(2012,11,20)</f>
        <v>41233</v>
      </c>
      <c r="C10322" s="2" t="s">
        <v>95</v>
      </c>
      <c r="D10322" s="2" t="s">
        <v>28227</v>
      </c>
      <c r="E10322" s="2" t="s">
        <v>10774</v>
      </c>
      <c r="F10322" s="4">
        <v>7514</v>
      </c>
      <c r="G10322" s="2" t="s">
        <v>1327</v>
      </c>
      <c r="H10322" s="2" t="s">
        <v>34</v>
      </c>
      <c r="I10322" s="2" t="s">
        <v>28228</v>
      </c>
      <c r="J10322" s="2" t="s">
        <v>28229</v>
      </c>
      <c r="K10322" s="2" t="s">
        <v>1327</v>
      </c>
      <c r="L10322" s="2" t="s">
        <v>34</v>
      </c>
      <c r="M10322" s="12">
        <v>4833.6670000000004</v>
      </c>
      <c r="N10322" s="6">
        <v>14.21</v>
      </c>
      <c r="O10322" s="5">
        <v>14.4</v>
      </c>
      <c r="P10322" s="2" t="s">
        <v>30168</v>
      </c>
      <c r="Q10322" s="6">
        <v>100</v>
      </c>
      <c r="R10322" s="6">
        <v>87.5</v>
      </c>
      <c r="S10322" s="5">
        <v>190.3</v>
      </c>
      <c r="T10322" s="7">
        <v>662.73400000000004</v>
      </c>
      <c r="U10322" s="5">
        <v>24.5</v>
      </c>
      <c r="V10322" s="6">
        <v>6.25</v>
      </c>
      <c r="W10322" s="6">
        <v>76.989999999999995</v>
      </c>
      <c r="X10322" s="4">
        <v>81</v>
      </c>
      <c r="Y10322" s="6">
        <v>87.08</v>
      </c>
      <c r="Z10322" s="6">
        <v>87.02</v>
      </c>
      <c r="AA10322" s="6">
        <v>27.87</v>
      </c>
      <c r="AB10322" s="7">
        <v>9.9719999999999995</v>
      </c>
      <c r="AC10322" s="5">
        <v>45.1</v>
      </c>
    </row>
    <row r="10323" spans="1:29" ht="169" x14ac:dyDescent="0.15">
      <c r="A10323" s="3">
        <f>DATE(2012,8,27)</f>
        <v>41148</v>
      </c>
      <c r="B10323" s="3">
        <f>DATE(2015,11,1)</f>
        <v>42309</v>
      </c>
      <c r="C10323" s="2" t="s">
        <v>95</v>
      </c>
      <c r="D10323" s="2" t="s">
        <v>23759</v>
      </c>
      <c r="E10323" s="2" t="s">
        <v>23760</v>
      </c>
      <c r="F10323" s="4">
        <v>6036</v>
      </c>
      <c r="G10323" s="2" t="s">
        <v>33</v>
      </c>
      <c r="H10323" s="2" t="s">
        <v>34</v>
      </c>
      <c r="I10323" s="2" t="s">
        <v>16904</v>
      </c>
      <c r="J10323" s="2" t="s">
        <v>36</v>
      </c>
      <c r="K10323" s="2" t="s">
        <v>37</v>
      </c>
      <c r="L10323" s="2" t="s">
        <v>34</v>
      </c>
      <c r="M10323" s="12">
        <v>10916.598</v>
      </c>
      <c r="N10323" s="6">
        <v>89.82</v>
      </c>
      <c r="O10323" s="6">
        <v>88.42</v>
      </c>
      <c r="P10323" s="2" t="s">
        <v>30169</v>
      </c>
      <c r="Q10323" s="6">
        <v>100</v>
      </c>
      <c r="R10323" s="2"/>
      <c r="S10323" s="5">
        <v>-131.1</v>
      </c>
      <c r="T10323" s="7">
        <v>477.99599999999998</v>
      </c>
      <c r="U10323" s="5">
        <v>8.8000000000000007</v>
      </c>
      <c r="V10323" s="6">
        <v>-0.27</v>
      </c>
      <c r="W10323" s="6">
        <v>6.66</v>
      </c>
      <c r="X10323" s="6">
        <v>6.44</v>
      </c>
      <c r="Y10323" s="6">
        <v>7.45</v>
      </c>
      <c r="Z10323" s="6">
        <v>7.26</v>
      </c>
      <c r="AA10323" s="6">
        <v>528.13</v>
      </c>
      <c r="AB10323" s="7">
        <v>36.573999999999998</v>
      </c>
      <c r="AC10323" s="2"/>
    </row>
    <row r="10324" spans="1:29" ht="91" x14ac:dyDescent="0.15">
      <c r="A10324" s="3">
        <f>DATE(2012,8,27)</f>
        <v>41148</v>
      </c>
      <c r="B10324" s="3">
        <f>DATE(2012,12,4)</f>
        <v>41247</v>
      </c>
      <c r="C10324" s="2" t="s">
        <v>95</v>
      </c>
      <c r="D10324" s="2" t="s">
        <v>28547</v>
      </c>
      <c r="E10324" s="2" t="s">
        <v>28548</v>
      </c>
      <c r="F10324" s="4">
        <v>7372</v>
      </c>
      <c r="G10324" s="2" t="s">
        <v>551</v>
      </c>
      <c r="H10324" s="2" t="s">
        <v>34</v>
      </c>
      <c r="I10324" s="2" t="s">
        <v>5443</v>
      </c>
      <c r="J10324" s="2" t="s">
        <v>5444</v>
      </c>
      <c r="K10324" s="2" t="s">
        <v>50</v>
      </c>
      <c r="L10324" s="2" t="s">
        <v>34</v>
      </c>
      <c r="M10324" s="12">
        <v>224760.90700000001</v>
      </c>
      <c r="N10324" s="6">
        <v>195.69</v>
      </c>
      <c r="O10324" s="6">
        <v>194.87</v>
      </c>
      <c r="P10324" s="2" t="s">
        <v>30170</v>
      </c>
      <c r="Q10324" s="6">
        <v>100</v>
      </c>
      <c r="R10324" s="6">
        <v>46</v>
      </c>
      <c r="S10324" s="5">
        <v>-6.7</v>
      </c>
      <c r="T10324" s="7">
        <v>27.858000000000001</v>
      </c>
      <c r="U10324" s="5">
        <v>8.4</v>
      </c>
      <c r="V10324" s="6">
        <v>-0.23</v>
      </c>
      <c r="W10324" s="6">
        <v>33.33</v>
      </c>
      <c r="X10324" s="6">
        <v>32.39</v>
      </c>
      <c r="Y10324" s="6">
        <v>45.79</v>
      </c>
      <c r="Z10324" s="6">
        <v>45.79</v>
      </c>
      <c r="AA10324" s="6">
        <v>27.42</v>
      </c>
      <c r="AB10324" s="2" t="s">
        <v>86</v>
      </c>
      <c r="AC10324" s="8">
        <v>11785</v>
      </c>
    </row>
    <row r="10325" spans="1:29" ht="169" x14ac:dyDescent="0.15">
      <c r="A10325" s="3">
        <f>DATE(2012,8,27)</f>
        <v>41148</v>
      </c>
      <c r="B10325" s="3">
        <f>DATE(2012,12,20)</f>
        <v>41263</v>
      </c>
      <c r="C10325" s="2" t="s">
        <v>95</v>
      </c>
      <c r="D10325" s="2" t="s">
        <v>30171</v>
      </c>
      <c r="E10325" s="2" t="s">
        <v>26964</v>
      </c>
      <c r="F10325" s="4">
        <v>2869</v>
      </c>
      <c r="G10325" s="2" t="s">
        <v>98</v>
      </c>
      <c r="H10325" s="2" t="s">
        <v>34</v>
      </c>
      <c r="I10325" s="2" t="s">
        <v>30172</v>
      </c>
      <c r="J10325" s="2" t="s">
        <v>11337</v>
      </c>
      <c r="K10325" s="2" t="s">
        <v>53</v>
      </c>
      <c r="L10325" s="2" t="s">
        <v>34</v>
      </c>
      <c r="M10325" s="2"/>
      <c r="N10325" s="2"/>
      <c r="O10325" s="2"/>
      <c r="P10325" s="2" t="s">
        <v>30173</v>
      </c>
      <c r="Q10325" s="6">
        <v>100</v>
      </c>
      <c r="R10325" s="6">
        <v>45</v>
      </c>
      <c r="S10325" s="5">
        <v>10.3</v>
      </c>
      <c r="T10325" s="7">
        <v>93.128</v>
      </c>
      <c r="U10325" s="5">
        <v>20.399999999999999</v>
      </c>
      <c r="V10325" s="6">
        <v>0.68</v>
      </c>
      <c r="W10325" s="6">
        <v>39.49</v>
      </c>
      <c r="X10325" s="6">
        <v>38.76</v>
      </c>
      <c r="Y10325" s="6">
        <v>39.47</v>
      </c>
      <c r="Z10325" s="6">
        <v>38.96</v>
      </c>
      <c r="AA10325" s="6">
        <v>15.68</v>
      </c>
      <c r="AB10325" s="7">
        <v>16.899000000000001</v>
      </c>
      <c r="AC10325" s="2"/>
    </row>
    <row r="10326" spans="1:29" ht="78" x14ac:dyDescent="0.15">
      <c r="A10326" s="3">
        <f>DATE(2012,8,28)</f>
        <v>41149</v>
      </c>
      <c r="B10326" s="3">
        <f>DATE(2013,2,7)</f>
        <v>41312</v>
      </c>
      <c r="C10326" s="2" t="s">
        <v>95</v>
      </c>
      <c r="D10326" s="2" t="s">
        <v>30174</v>
      </c>
      <c r="E10326" s="2" t="s">
        <v>124</v>
      </c>
      <c r="F10326" s="4">
        <v>6331</v>
      </c>
      <c r="G10326" s="2" t="s">
        <v>125</v>
      </c>
      <c r="H10326" s="2" t="s">
        <v>34</v>
      </c>
      <c r="I10326" s="2" t="s">
        <v>30175</v>
      </c>
      <c r="J10326" s="2" t="s">
        <v>1563</v>
      </c>
      <c r="K10326" s="2" t="s">
        <v>125</v>
      </c>
      <c r="L10326" s="2" t="s">
        <v>1791</v>
      </c>
      <c r="M10326" s="10">
        <v>1550.18</v>
      </c>
      <c r="N10326" s="6">
        <v>94.69</v>
      </c>
      <c r="O10326" s="6">
        <v>93.81</v>
      </c>
      <c r="P10326" s="2" t="s">
        <v>30176</v>
      </c>
      <c r="Q10326" s="6">
        <v>100</v>
      </c>
      <c r="R10326" s="6">
        <v>11.11</v>
      </c>
      <c r="S10326" s="5">
        <v>10.5</v>
      </c>
      <c r="T10326" s="7">
        <v>22.413</v>
      </c>
      <c r="U10326" s="5">
        <v>14.9</v>
      </c>
      <c r="V10326" s="6">
        <v>0.48</v>
      </c>
      <c r="W10326" s="6">
        <v>8.48</v>
      </c>
      <c r="X10326" s="6">
        <v>8.27</v>
      </c>
      <c r="Y10326" s="6">
        <v>10.96</v>
      </c>
      <c r="Z10326" s="6">
        <v>10.95</v>
      </c>
      <c r="AA10326" s="6">
        <v>22.44</v>
      </c>
      <c r="AB10326" s="7">
        <v>16.414000000000001</v>
      </c>
      <c r="AC10326" s="5">
        <v>956.3</v>
      </c>
    </row>
    <row r="10327" spans="1:29" ht="117" x14ac:dyDescent="0.15">
      <c r="A10327" s="3">
        <f>DATE(2012,8,31)</f>
        <v>41152</v>
      </c>
      <c r="B10327" s="2"/>
      <c r="C10327" s="2" t="s">
        <v>30</v>
      </c>
      <c r="D10327" s="2" t="s">
        <v>30177</v>
      </c>
      <c r="E10327" s="2" t="s">
        <v>92</v>
      </c>
      <c r="F10327" s="4">
        <v>6798</v>
      </c>
      <c r="G10327" s="2" t="s">
        <v>53</v>
      </c>
      <c r="H10327" s="2" t="s">
        <v>34</v>
      </c>
      <c r="I10327" s="2" t="s">
        <v>51</v>
      </c>
      <c r="J10327" s="2" t="s">
        <v>52</v>
      </c>
      <c r="K10327" s="2" t="s">
        <v>53</v>
      </c>
      <c r="L10327" s="2" t="s">
        <v>34</v>
      </c>
      <c r="M10327" s="2"/>
      <c r="N10327" s="2"/>
      <c r="O10327" s="2"/>
      <c r="P10327" s="2" t="s">
        <v>30178</v>
      </c>
      <c r="Q10327" s="2"/>
      <c r="R10327" s="6">
        <v>7.5</v>
      </c>
      <c r="S10327" s="5">
        <v>-12.3</v>
      </c>
      <c r="T10327" s="7">
        <v>22.367000000000001</v>
      </c>
      <c r="U10327" s="5">
        <v>2</v>
      </c>
      <c r="V10327" s="9">
        <v>-1.0142</v>
      </c>
      <c r="W10327" s="6">
        <v>3.05</v>
      </c>
      <c r="X10327" s="6">
        <v>3.06</v>
      </c>
      <c r="Y10327" s="6">
        <v>3.07</v>
      </c>
      <c r="Z10327" s="7">
        <v>4.702</v>
      </c>
      <c r="AA10327" s="6">
        <v>11.1</v>
      </c>
      <c r="AB10327" s="7">
        <v>91.643000000000001</v>
      </c>
      <c r="AC10327" s="2"/>
    </row>
    <row r="10328" spans="1:29" ht="182" x14ac:dyDescent="0.15">
      <c r="A10328" s="3">
        <f>DATE(2012,8,31)</f>
        <v>41152</v>
      </c>
      <c r="B10328" s="3">
        <f>DATE(2013,12,9)</f>
        <v>41617</v>
      </c>
      <c r="C10328" s="2" t="s">
        <v>95</v>
      </c>
      <c r="D10328" s="2" t="s">
        <v>16932</v>
      </c>
      <c r="E10328" s="2" t="s">
        <v>58</v>
      </c>
      <c r="F10328" s="4">
        <v>4512</v>
      </c>
      <c r="G10328" s="2" t="s">
        <v>59</v>
      </c>
      <c r="H10328" s="2" t="s">
        <v>34</v>
      </c>
      <c r="I10328" s="2" t="s">
        <v>25162</v>
      </c>
      <c r="J10328" s="2" t="s">
        <v>5422</v>
      </c>
      <c r="K10328" s="2" t="s">
        <v>59</v>
      </c>
      <c r="L10328" s="2" t="s">
        <v>34</v>
      </c>
      <c r="M10328" s="6">
        <v>169.96</v>
      </c>
      <c r="N10328" s="6">
        <v>0.47</v>
      </c>
      <c r="O10328" s="6">
        <v>0.47</v>
      </c>
      <c r="P10328" s="2" t="s">
        <v>30179</v>
      </c>
      <c r="Q10328" s="6">
        <v>100</v>
      </c>
      <c r="R10328" s="2"/>
      <c r="S10328" s="5">
        <v>637</v>
      </c>
      <c r="T10328" s="2"/>
      <c r="U10328" s="2"/>
      <c r="V10328" s="2"/>
      <c r="W10328" s="6">
        <v>11.11</v>
      </c>
      <c r="X10328" s="5">
        <v>10.4</v>
      </c>
      <c r="Y10328" s="6">
        <v>6.05</v>
      </c>
      <c r="Z10328" s="6">
        <v>5.97</v>
      </c>
      <c r="AA10328" s="6">
        <v>162.4</v>
      </c>
      <c r="AB10328" s="7">
        <v>3.5979999999999999</v>
      </c>
      <c r="AC10328" s="8">
        <v>4807</v>
      </c>
    </row>
    <row r="10329" spans="1:29" ht="117" x14ac:dyDescent="0.15">
      <c r="A10329" s="3">
        <f>DATE(2012,9,3)</f>
        <v>41155</v>
      </c>
      <c r="B10329" s="3">
        <f>DATE(2012,12,11)</f>
        <v>41254</v>
      </c>
      <c r="C10329" s="2" t="s">
        <v>95</v>
      </c>
      <c r="D10329" s="2" t="s">
        <v>22789</v>
      </c>
      <c r="E10329" s="2" t="s">
        <v>22790</v>
      </c>
      <c r="F10329" s="4">
        <v>2834</v>
      </c>
      <c r="G10329" s="2" t="s">
        <v>130</v>
      </c>
      <c r="H10329" s="2" t="s">
        <v>34</v>
      </c>
      <c r="I10329" s="2" t="s">
        <v>28374</v>
      </c>
      <c r="J10329" s="2" t="s">
        <v>29140</v>
      </c>
      <c r="K10329" s="2" t="s">
        <v>130</v>
      </c>
      <c r="L10329" s="2" t="s">
        <v>34</v>
      </c>
      <c r="M10329" s="12">
        <v>14444.423000000001</v>
      </c>
      <c r="N10329" s="6">
        <v>58.78</v>
      </c>
      <c r="O10329" s="6">
        <v>58.78</v>
      </c>
      <c r="P10329" s="2" t="s">
        <v>30180</v>
      </c>
      <c r="Q10329" s="6">
        <v>100</v>
      </c>
      <c r="R10329" s="6">
        <v>44</v>
      </c>
      <c r="S10329" s="5">
        <v>95.7</v>
      </c>
      <c r="T10329" s="7">
        <v>188.88800000000001</v>
      </c>
      <c r="U10329" s="5">
        <v>15.3</v>
      </c>
      <c r="V10329" s="6">
        <v>1</v>
      </c>
      <c r="W10329" s="6">
        <v>36.79</v>
      </c>
      <c r="X10329" s="6">
        <v>32.090000000000003</v>
      </c>
      <c r="Y10329" s="6">
        <v>33.630000000000003</v>
      </c>
      <c r="Z10329" s="6">
        <v>37.340000000000003</v>
      </c>
      <c r="AA10329" s="6">
        <v>59.76</v>
      </c>
      <c r="AB10329" s="7">
        <v>20.419</v>
      </c>
      <c r="AC10329" s="6">
        <v>401.99</v>
      </c>
    </row>
    <row r="10330" spans="1:29" ht="52" x14ac:dyDescent="0.15">
      <c r="A10330" s="3">
        <f>DATE(2012,9,5)</f>
        <v>41157</v>
      </c>
      <c r="B10330" s="2"/>
      <c r="C10330" s="2" t="s">
        <v>39</v>
      </c>
      <c r="D10330" s="2" t="s">
        <v>28599</v>
      </c>
      <c r="E10330" s="2" t="s">
        <v>28600</v>
      </c>
      <c r="F10330" s="4">
        <v>6141</v>
      </c>
      <c r="G10330" s="2" t="s">
        <v>370</v>
      </c>
      <c r="H10330" s="2" t="s">
        <v>34</v>
      </c>
      <c r="I10330" s="2" t="s">
        <v>12303</v>
      </c>
      <c r="J10330" s="2" t="s">
        <v>36</v>
      </c>
      <c r="K10330" s="2" t="s">
        <v>37</v>
      </c>
      <c r="L10330" s="2" t="s">
        <v>34</v>
      </c>
      <c r="M10330" s="12">
        <v>178643.51699999999</v>
      </c>
      <c r="N10330" s="6">
        <v>33.75</v>
      </c>
      <c r="O10330" s="6">
        <v>34.840000000000003</v>
      </c>
      <c r="P10330" s="2" t="s">
        <v>30181</v>
      </c>
      <c r="Q10330" s="2"/>
      <c r="R10330" s="2"/>
      <c r="S10330" s="8">
        <v>2283.9</v>
      </c>
      <c r="T10330" s="12">
        <v>3791.1750000000002</v>
      </c>
      <c r="U10330" s="5">
        <v>18</v>
      </c>
      <c r="V10330" s="6">
        <v>4.34</v>
      </c>
      <c r="W10330" s="5">
        <v>38.5</v>
      </c>
      <c r="X10330" s="6">
        <v>38.75</v>
      </c>
      <c r="Y10330" s="6">
        <v>37.909999999999997</v>
      </c>
      <c r="Z10330" s="6">
        <v>38.229999999999997</v>
      </c>
      <c r="AA10330" s="6">
        <v>514.91</v>
      </c>
      <c r="AB10330" s="2" t="s">
        <v>47</v>
      </c>
      <c r="AC10330" s="2"/>
    </row>
    <row r="10331" spans="1:29" ht="234" x14ac:dyDescent="0.15">
      <c r="A10331" s="3">
        <f>DATE(2012,9,6)</f>
        <v>41158</v>
      </c>
      <c r="B10331" s="3">
        <f>DATE(2013,1,22)</f>
        <v>41296</v>
      </c>
      <c r="C10331" s="2" t="s">
        <v>95</v>
      </c>
      <c r="D10331" s="2" t="s">
        <v>30182</v>
      </c>
      <c r="E10331" s="2" t="s">
        <v>30183</v>
      </c>
      <c r="F10331" s="4">
        <v>6519</v>
      </c>
      <c r="G10331" s="2" t="s">
        <v>109</v>
      </c>
      <c r="H10331" s="2" t="s">
        <v>34</v>
      </c>
      <c r="I10331" s="2" t="s">
        <v>30184</v>
      </c>
      <c r="J10331" s="2" t="s">
        <v>92</v>
      </c>
      <c r="K10331" s="2" t="s">
        <v>53</v>
      </c>
      <c r="L10331" s="2" t="s">
        <v>34</v>
      </c>
      <c r="M10331" s="12">
        <v>5405.8010000000004</v>
      </c>
      <c r="N10331" s="6">
        <v>42.21</v>
      </c>
      <c r="O10331" s="6">
        <v>42.78</v>
      </c>
      <c r="P10331" s="2" t="s">
        <v>30185</v>
      </c>
      <c r="Q10331" s="6">
        <v>100</v>
      </c>
      <c r="R10331" s="6">
        <v>12.23</v>
      </c>
      <c r="S10331" s="5">
        <v>-7.3</v>
      </c>
      <c r="T10331" s="7">
        <v>9.1069999999999993</v>
      </c>
      <c r="U10331" s="5">
        <v>6.5</v>
      </c>
      <c r="V10331" s="6">
        <v>-0.76</v>
      </c>
      <c r="W10331" s="6">
        <v>11.76</v>
      </c>
      <c r="X10331" s="6">
        <v>11.96</v>
      </c>
      <c r="Y10331" s="5">
        <v>12.2</v>
      </c>
      <c r="Z10331" s="6">
        <v>12.37</v>
      </c>
      <c r="AA10331" s="6">
        <v>158.47</v>
      </c>
      <c r="AB10331" s="2" t="s">
        <v>86</v>
      </c>
      <c r="AC10331" s="6">
        <v>5.25</v>
      </c>
    </row>
    <row r="10332" spans="1:29" ht="78" x14ac:dyDescent="0.15">
      <c r="A10332" s="3">
        <f>DATE(2012,9,6)</f>
        <v>41158</v>
      </c>
      <c r="B10332" s="2"/>
      <c r="C10332" s="2" t="s">
        <v>141</v>
      </c>
      <c r="D10332" s="2" t="s">
        <v>27557</v>
      </c>
      <c r="E10332" s="2" t="s">
        <v>10654</v>
      </c>
      <c r="F10332" s="4">
        <v>7373</v>
      </c>
      <c r="G10332" s="2" t="s">
        <v>223</v>
      </c>
      <c r="H10332" s="2" t="s">
        <v>34</v>
      </c>
      <c r="I10332" s="2" t="s">
        <v>143</v>
      </c>
      <c r="J10332" s="2" t="s">
        <v>144</v>
      </c>
      <c r="K10332" s="2" t="s">
        <v>53</v>
      </c>
      <c r="L10332" s="2" t="s">
        <v>139</v>
      </c>
      <c r="M10332" s="2"/>
      <c r="N10332" s="2"/>
      <c r="O10332" s="2"/>
      <c r="P10332" s="2" t="s">
        <v>30186</v>
      </c>
      <c r="Q10332" s="2"/>
      <c r="R10332" s="2"/>
      <c r="S10332" s="5">
        <v>10</v>
      </c>
      <c r="T10332" s="7">
        <v>48.695999999999998</v>
      </c>
      <c r="U10332" s="5">
        <v>1</v>
      </c>
      <c r="V10332" s="6">
        <v>-0.1</v>
      </c>
      <c r="W10332" s="6">
        <v>3.18</v>
      </c>
      <c r="X10332" s="6">
        <v>3.22</v>
      </c>
      <c r="Y10332" s="6">
        <v>3.54</v>
      </c>
      <c r="Z10332" s="6">
        <v>3.42</v>
      </c>
      <c r="AA10332" s="6">
        <v>92.2</v>
      </c>
      <c r="AB10332" s="2" t="s">
        <v>47</v>
      </c>
      <c r="AC10332" s="2"/>
    </row>
    <row r="10333" spans="1:29" ht="117" x14ac:dyDescent="0.15">
      <c r="A10333" s="3">
        <f>DATE(2012,9,7)</f>
        <v>41159</v>
      </c>
      <c r="B10333" s="3">
        <f>DATE(2012,10,11)</f>
        <v>41193</v>
      </c>
      <c r="C10333" s="2" t="s">
        <v>95</v>
      </c>
      <c r="D10333" s="2" t="s">
        <v>30187</v>
      </c>
      <c r="E10333" s="2" t="s">
        <v>30188</v>
      </c>
      <c r="F10333" s="4">
        <v>5075</v>
      </c>
      <c r="G10333" s="2" t="s">
        <v>76</v>
      </c>
      <c r="H10333" s="2" t="s">
        <v>34</v>
      </c>
      <c r="I10333" s="2" t="s">
        <v>30189</v>
      </c>
      <c r="J10333" s="2" t="s">
        <v>844</v>
      </c>
      <c r="K10333" s="2" t="s">
        <v>109</v>
      </c>
      <c r="L10333" s="2" t="s">
        <v>34</v>
      </c>
      <c r="M10333" s="2"/>
      <c r="N10333" s="2"/>
      <c r="O10333" s="2"/>
      <c r="P10333" s="2" t="s">
        <v>30190</v>
      </c>
      <c r="Q10333" s="6">
        <v>62.05</v>
      </c>
      <c r="R10333" s="6">
        <v>5</v>
      </c>
      <c r="S10333" s="5">
        <v>2.1</v>
      </c>
      <c r="T10333" s="7">
        <v>3.8149999999999999</v>
      </c>
      <c r="U10333" s="5">
        <v>3.6</v>
      </c>
      <c r="V10333" s="6">
        <v>0.32</v>
      </c>
      <c r="W10333" s="6">
        <v>3.96</v>
      </c>
      <c r="X10333" s="6">
        <v>4.0599999999999996</v>
      </c>
      <c r="Y10333" s="6">
        <v>4.07</v>
      </c>
      <c r="Z10333" s="6">
        <v>4.97</v>
      </c>
      <c r="AA10333" s="6">
        <v>6.39</v>
      </c>
      <c r="AB10333" s="7">
        <v>4.306</v>
      </c>
      <c r="AC10333" s="2"/>
    </row>
    <row r="10334" spans="1:29" ht="143" x14ac:dyDescent="0.15">
      <c r="A10334" s="3">
        <f>DATE(2012,9,10)</f>
        <v>41162</v>
      </c>
      <c r="B10334" s="3">
        <f>DATE(2013,5,10)</f>
        <v>41404</v>
      </c>
      <c r="C10334" s="2" t="s">
        <v>95</v>
      </c>
      <c r="D10334" s="2" t="s">
        <v>30191</v>
      </c>
      <c r="E10334" s="2" t="s">
        <v>21323</v>
      </c>
      <c r="F10334" s="4">
        <v>6035</v>
      </c>
      <c r="G10334" s="2" t="s">
        <v>33</v>
      </c>
      <c r="H10334" s="2" t="s">
        <v>34</v>
      </c>
      <c r="I10334" s="2" t="s">
        <v>28543</v>
      </c>
      <c r="J10334" s="2" t="s">
        <v>1181</v>
      </c>
      <c r="K10334" s="2" t="s">
        <v>37</v>
      </c>
      <c r="L10334" s="2" t="s">
        <v>34</v>
      </c>
      <c r="M10334" s="7">
        <v>74.036000000000001</v>
      </c>
      <c r="N10334" s="6">
        <v>10.95</v>
      </c>
      <c r="O10334" s="5">
        <v>10.199999999999999</v>
      </c>
      <c r="P10334" s="2" t="s">
        <v>30192</v>
      </c>
      <c r="Q10334" s="6">
        <v>100</v>
      </c>
      <c r="R10334" s="6">
        <v>6.14</v>
      </c>
      <c r="S10334" s="5">
        <v>1.1000000000000001</v>
      </c>
      <c r="T10334" s="7">
        <v>2.3359999999999999</v>
      </c>
      <c r="U10334" s="5">
        <v>6.9</v>
      </c>
      <c r="V10334" s="6">
        <v>0.15</v>
      </c>
      <c r="W10334" s="2"/>
      <c r="X10334" s="6">
        <v>2.92</v>
      </c>
      <c r="Y10334" s="6">
        <v>2.92</v>
      </c>
      <c r="Z10334" s="6">
        <v>5.34</v>
      </c>
      <c r="AA10334" s="6">
        <v>8</v>
      </c>
      <c r="AB10334" s="7">
        <v>62.055</v>
      </c>
      <c r="AC10334" s="2"/>
    </row>
    <row r="10335" spans="1:29" ht="104" x14ac:dyDescent="0.15">
      <c r="A10335" s="3">
        <f>DATE(2012,9,12)</f>
        <v>41164</v>
      </c>
      <c r="B10335" s="3">
        <f>DATE(2012,11,9)</f>
        <v>41222</v>
      </c>
      <c r="C10335" s="2" t="s">
        <v>95</v>
      </c>
      <c r="D10335" s="2" t="s">
        <v>30193</v>
      </c>
      <c r="E10335" s="2" t="s">
        <v>30194</v>
      </c>
      <c r="F10335" s="4">
        <v>7373</v>
      </c>
      <c r="G10335" s="2" t="s">
        <v>223</v>
      </c>
      <c r="H10335" s="2" t="s">
        <v>34</v>
      </c>
      <c r="I10335" s="2" t="s">
        <v>27462</v>
      </c>
      <c r="J10335" s="2" t="s">
        <v>244</v>
      </c>
      <c r="K10335" s="2" t="s">
        <v>53</v>
      </c>
      <c r="L10335" s="2" t="s">
        <v>34</v>
      </c>
      <c r="M10335" s="2"/>
      <c r="N10335" s="2"/>
      <c r="O10335" s="2"/>
      <c r="P10335" s="2" t="s">
        <v>30195</v>
      </c>
      <c r="Q10335" s="6">
        <v>100</v>
      </c>
      <c r="R10335" s="6">
        <v>22</v>
      </c>
      <c r="S10335" s="5">
        <v>7.5</v>
      </c>
      <c r="T10335" s="7">
        <v>17.684000000000001</v>
      </c>
      <c r="U10335" s="5">
        <v>7.8</v>
      </c>
      <c r="V10335" s="6">
        <v>0.9</v>
      </c>
      <c r="W10335" s="6">
        <v>14.75</v>
      </c>
      <c r="X10335" s="6">
        <v>15.75</v>
      </c>
      <c r="Y10335" s="6">
        <v>21.86</v>
      </c>
      <c r="Z10335" s="5">
        <v>21.9</v>
      </c>
      <c r="AA10335" s="6">
        <v>9.1300000000000008</v>
      </c>
      <c r="AB10335" s="7">
        <v>12.661</v>
      </c>
      <c r="AC10335" s="2"/>
    </row>
    <row r="10336" spans="1:29" ht="169" x14ac:dyDescent="0.15">
      <c r="A10336" s="3">
        <f>DATE(2012,9,13)</f>
        <v>41165</v>
      </c>
      <c r="B10336" s="3">
        <f>DATE(2013,4,12)</f>
        <v>41376</v>
      </c>
      <c r="C10336" s="2" t="s">
        <v>95</v>
      </c>
      <c r="D10336" s="2" t="s">
        <v>30196</v>
      </c>
      <c r="E10336" s="2" t="s">
        <v>36</v>
      </c>
      <c r="F10336" s="4">
        <v>6021</v>
      </c>
      <c r="G10336" s="2" t="s">
        <v>37</v>
      </c>
      <c r="H10336" s="2" t="s">
        <v>34</v>
      </c>
      <c r="I10336" s="2" t="s">
        <v>7285</v>
      </c>
      <c r="J10336" s="2" t="s">
        <v>3426</v>
      </c>
      <c r="K10336" s="2" t="s">
        <v>37</v>
      </c>
      <c r="L10336" s="2" t="s">
        <v>34</v>
      </c>
      <c r="M10336" s="12">
        <v>1718.0909999999999</v>
      </c>
      <c r="N10336" s="6">
        <v>15.23</v>
      </c>
      <c r="O10336" s="6">
        <v>15.22</v>
      </c>
      <c r="P10336" s="2" t="s">
        <v>30197</v>
      </c>
      <c r="Q10336" s="6">
        <v>100</v>
      </c>
      <c r="R10336" s="6">
        <v>23.51</v>
      </c>
      <c r="S10336" s="5">
        <v>372.4</v>
      </c>
      <c r="T10336" s="7">
        <v>103.395</v>
      </c>
      <c r="U10336" s="5">
        <v>26.1</v>
      </c>
      <c r="V10336" s="6">
        <v>8.85</v>
      </c>
      <c r="W10336" s="6">
        <v>20.45</v>
      </c>
      <c r="X10336" s="6">
        <v>19.87</v>
      </c>
      <c r="Y10336" s="6">
        <v>19.989999999999998</v>
      </c>
      <c r="Z10336" s="6">
        <v>20.03</v>
      </c>
      <c r="AA10336" s="6">
        <v>40.51</v>
      </c>
      <c r="AB10336" s="7">
        <v>23.004999999999999</v>
      </c>
      <c r="AC10336" s="2"/>
    </row>
    <row r="10337" spans="1:29" ht="65" x14ac:dyDescent="0.15">
      <c r="A10337" s="3">
        <f>DATE(2012,9,13)</f>
        <v>41165</v>
      </c>
      <c r="B10337" s="2"/>
      <c r="C10337" s="2" t="s">
        <v>87</v>
      </c>
      <c r="D10337" s="2" t="s">
        <v>8496</v>
      </c>
      <c r="E10337" s="2" t="s">
        <v>7363</v>
      </c>
      <c r="F10337" s="4">
        <v>5943</v>
      </c>
      <c r="G10337" s="2" t="s">
        <v>73</v>
      </c>
      <c r="H10337" s="2" t="s">
        <v>34</v>
      </c>
      <c r="I10337" s="2" t="s">
        <v>143</v>
      </c>
      <c r="J10337" s="2" t="s">
        <v>144</v>
      </c>
      <c r="K10337" s="2" t="s">
        <v>53</v>
      </c>
      <c r="L10337" s="2" t="s">
        <v>139</v>
      </c>
      <c r="M10337" s="2"/>
      <c r="N10337" s="2"/>
      <c r="O10337" s="2"/>
      <c r="P10337" s="2" t="s">
        <v>30198</v>
      </c>
      <c r="Q10337" s="2"/>
      <c r="R10337" s="2"/>
      <c r="S10337" s="5">
        <v>917.5</v>
      </c>
      <c r="T10337" s="12">
        <v>2008.7090000000001</v>
      </c>
      <c r="U10337" s="5">
        <v>9.9</v>
      </c>
      <c r="V10337" s="6">
        <v>1.32</v>
      </c>
      <c r="W10337" s="6">
        <v>11.47</v>
      </c>
      <c r="X10337" s="6">
        <v>11.54</v>
      </c>
      <c r="Y10337" s="6">
        <v>11.96</v>
      </c>
      <c r="Z10337" s="6">
        <v>12.21</v>
      </c>
      <c r="AA10337" s="6">
        <v>682.38</v>
      </c>
      <c r="AB10337" s="2" t="s">
        <v>47</v>
      </c>
      <c r="AC10337" s="2"/>
    </row>
    <row r="10338" spans="1:29" ht="143" x14ac:dyDescent="0.15">
      <c r="A10338" s="3">
        <f>DATE(2012,9,17)</f>
        <v>41169</v>
      </c>
      <c r="B10338" s="3">
        <f>DATE(2013,3,18)</f>
        <v>41351</v>
      </c>
      <c r="C10338" s="2" t="s">
        <v>95</v>
      </c>
      <c r="D10338" s="2" t="s">
        <v>30199</v>
      </c>
      <c r="E10338" s="2" t="s">
        <v>540</v>
      </c>
      <c r="F10338" s="4">
        <v>8731</v>
      </c>
      <c r="G10338" s="2" t="s">
        <v>223</v>
      </c>
      <c r="H10338" s="2" t="s">
        <v>34</v>
      </c>
      <c r="I10338" s="2" t="s">
        <v>30200</v>
      </c>
      <c r="J10338" s="2" t="s">
        <v>8153</v>
      </c>
      <c r="K10338" s="2" t="s">
        <v>223</v>
      </c>
      <c r="L10338" s="2" t="s">
        <v>455</v>
      </c>
      <c r="M10338" s="2"/>
      <c r="N10338" s="2"/>
      <c r="O10338" s="2"/>
      <c r="P10338" s="2" t="s">
        <v>30201</v>
      </c>
      <c r="Q10338" s="6">
        <v>100</v>
      </c>
      <c r="R10338" s="6">
        <v>3.15</v>
      </c>
      <c r="S10338" s="5">
        <v>-83</v>
      </c>
      <c r="T10338" s="7">
        <v>-64.816999999999993</v>
      </c>
      <c r="U10338" s="5">
        <v>1.4</v>
      </c>
      <c r="V10338" s="6">
        <v>-2.5099999999999998</v>
      </c>
      <c r="W10338" s="6">
        <v>3.04</v>
      </c>
      <c r="X10338" s="6">
        <v>2.67</v>
      </c>
      <c r="Y10338" s="6">
        <v>3.02</v>
      </c>
      <c r="Z10338" s="6">
        <v>3.04</v>
      </c>
      <c r="AA10338" s="6">
        <v>34.29</v>
      </c>
      <c r="AB10338" s="2" t="s">
        <v>86</v>
      </c>
      <c r="AC10338" s="2"/>
    </row>
    <row r="10339" spans="1:29" ht="117" x14ac:dyDescent="0.15">
      <c r="A10339" s="3">
        <f>DATE(2012,9,17)</f>
        <v>41169</v>
      </c>
      <c r="B10339" s="3">
        <f>DATE(2012,10,31)</f>
        <v>41213</v>
      </c>
      <c r="C10339" s="2" t="s">
        <v>95</v>
      </c>
      <c r="D10339" s="2" t="s">
        <v>30202</v>
      </c>
      <c r="E10339" s="2" t="s">
        <v>5076</v>
      </c>
      <c r="F10339" s="4">
        <v>3844</v>
      </c>
      <c r="G10339" s="2" t="s">
        <v>226</v>
      </c>
      <c r="H10339" s="2" t="s">
        <v>34</v>
      </c>
      <c r="I10339" s="2" t="s">
        <v>315</v>
      </c>
      <c r="J10339" s="2" t="s">
        <v>316</v>
      </c>
      <c r="K10339" s="2" t="s">
        <v>226</v>
      </c>
      <c r="L10339" s="2" t="s">
        <v>34</v>
      </c>
      <c r="M10339" s="12">
        <v>37389.264000000003</v>
      </c>
      <c r="N10339" s="6">
        <v>54.84</v>
      </c>
      <c r="O10339" s="6">
        <v>55.66</v>
      </c>
      <c r="P10339" s="2" t="s">
        <v>30203</v>
      </c>
      <c r="Q10339" s="6">
        <v>100</v>
      </c>
      <c r="R10339" s="6">
        <v>19.5</v>
      </c>
      <c r="S10339" s="5">
        <v>0.8</v>
      </c>
      <c r="T10339" s="6">
        <v>12.02</v>
      </c>
      <c r="U10339" s="5">
        <v>5.2</v>
      </c>
      <c r="V10339" s="6">
        <v>0.04</v>
      </c>
      <c r="W10339" s="6">
        <v>12.83</v>
      </c>
      <c r="X10339" s="6">
        <v>13.42</v>
      </c>
      <c r="Y10339" s="6">
        <v>19.54</v>
      </c>
      <c r="Z10339" s="6">
        <v>19.48</v>
      </c>
      <c r="AA10339" s="6">
        <v>18.059999999999999</v>
      </c>
      <c r="AB10339" s="7">
        <v>51.244</v>
      </c>
      <c r="AC10339" s="10">
        <v>1118.24</v>
      </c>
    </row>
    <row r="10340" spans="1:29" ht="169" x14ac:dyDescent="0.15">
      <c r="A10340" s="3">
        <f>DATE(2012,9,17)</f>
        <v>41169</v>
      </c>
      <c r="B10340" s="2"/>
      <c r="C10340" s="2" t="s">
        <v>30</v>
      </c>
      <c r="D10340" s="2" t="s">
        <v>26750</v>
      </c>
      <c r="E10340" s="2" t="s">
        <v>26751</v>
      </c>
      <c r="F10340" s="4">
        <v>8243</v>
      </c>
      <c r="G10340" s="2" t="s">
        <v>415</v>
      </c>
      <c r="H10340" s="2" t="s">
        <v>34</v>
      </c>
      <c r="I10340" s="2" t="s">
        <v>30204</v>
      </c>
      <c r="J10340" s="2" t="s">
        <v>11337</v>
      </c>
      <c r="K10340" s="2" t="s">
        <v>53</v>
      </c>
      <c r="L10340" s="2" t="s">
        <v>34</v>
      </c>
      <c r="M10340" s="2"/>
      <c r="N10340" s="2"/>
      <c r="O10340" s="2"/>
      <c r="P10340" s="2" t="s">
        <v>30205</v>
      </c>
      <c r="Q10340" s="2"/>
      <c r="R10340" s="6">
        <v>5.25</v>
      </c>
      <c r="S10340" s="5">
        <v>-5.4</v>
      </c>
      <c r="T10340" s="5">
        <v>6</v>
      </c>
      <c r="U10340" s="5">
        <v>2.2000000000000002</v>
      </c>
      <c r="V10340" s="6">
        <v>-0.4</v>
      </c>
      <c r="W10340" s="6">
        <v>4.29</v>
      </c>
      <c r="X10340" s="6">
        <v>4.25</v>
      </c>
      <c r="Y10340" s="5">
        <v>5.0999999999999996</v>
      </c>
      <c r="Z10340" s="6">
        <v>5.1100000000000003</v>
      </c>
      <c r="AA10340" s="6">
        <v>13.18</v>
      </c>
      <c r="AB10340" s="7">
        <v>22.178999999999998</v>
      </c>
      <c r="AC10340" s="2"/>
    </row>
    <row r="10341" spans="1:29" ht="104" x14ac:dyDescent="0.15">
      <c r="A10341" s="3">
        <f>DATE(2012,9,17)</f>
        <v>41169</v>
      </c>
      <c r="B10341" s="2"/>
      <c r="C10341" s="2" t="s">
        <v>30</v>
      </c>
      <c r="D10341" s="2" t="s">
        <v>30206</v>
      </c>
      <c r="E10341" s="2" t="s">
        <v>30207</v>
      </c>
      <c r="F10341" s="4">
        <v>2834</v>
      </c>
      <c r="G10341" s="2" t="s">
        <v>130</v>
      </c>
      <c r="H10341" s="2" t="s">
        <v>34</v>
      </c>
      <c r="I10341" s="2" t="s">
        <v>28852</v>
      </c>
      <c r="J10341" s="2" t="s">
        <v>13693</v>
      </c>
      <c r="K10341" s="2" t="s">
        <v>130</v>
      </c>
      <c r="L10341" s="2" t="s">
        <v>34</v>
      </c>
      <c r="M10341" s="2"/>
      <c r="N10341" s="2"/>
      <c r="O10341" s="2"/>
      <c r="P10341" s="2" t="s">
        <v>30208</v>
      </c>
      <c r="Q10341" s="2"/>
      <c r="R10341" s="6">
        <v>1.6</v>
      </c>
      <c r="S10341" s="5">
        <v>-3.4</v>
      </c>
      <c r="T10341" s="7">
        <v>-3.1379999999999999</v>
      </c>
      <c r="U10341" s="5">
        <v>0.7</v>
      </c>
      <c r="V10341" s="6">
        <v>-0.22</v>
      </c>
      <c r="W10341" s="6">
        <v>1.25</v>
      </c>
      <c r="X10341" s="6">
        <v>1.19</v>
      </c>
      <c r="Y10341" s="6">
        <v>1.35</v>
      </c>
      <c r="Z10341" s="6">
        <v>1.44</v>
      </c>
      <c r="AA10341" s="6">
        <v>14.84</v>
      </c>
      <c r="AB10341" s="2" t="s">
        <v>86</v>
      </c>
      <c r="AC10341" s="6">
        <v>23.53</v>
      </c>
    </row>
    <row r="10342" spans="1:29" ht="91" x14ac:dyDescent="0.15">
      <c r="A10342" s="3">
        <f>DATE(2012,9,21)</f>
        <v>41173</v>
      </c>
      <c r="B10342" s="3">
        <f>DATE(2013,2,1)</f>
        <v>41306</v>
      </c>
      <c r="C10342" s="2" t="s">
        <v>95</v>
      </c>
      <c r="D10342" s="2" t="s">
        <v>30209</v>
      </c>
      <c r="E10342" s="2" t="s">
        <v>1181</v>
      </c>
      <c r="F10342" s="4">
        <v>6021</v>
      </c>
      <c r="G10342" s="2" t="s">
        <v>37</v>
      </c>
      <c r="H10342" s="2" t="s">
        <v>34</v>
      </c>
      <c r="I10342" s="2" t="s">
        <v>30210</v>
      </c>
      <c r="J10342" s="2" t="s">
        <v>1181</v>
      </c>
      <c r="K10342" s="2" t="s">
        <v>37</v>
      </c>
      <c r="L10342" s="2" t="s">
        <v>34</v>
      </c>
      <c r="M10342" s="2"/>
      <c r="N10342" s="2"/>
      <c r="O10342" s="2"/>
      <c r="P10342" s="2" t="s">
        <v>30211</v>
      </c>
      <c r="Q10342" s="6">
        <v>100</v>
      </c>
      <c r="R10342" s="6">
        <v>6.45</v>
      </c>
      <c r="S10342" s="5">
        <v>0</v>
      </c>
      <c r="T10342" s="7">
        <v>0.26500000000000001</v>
      </c>
      <c r="U10342" s="2"/>
      <c r="V10342" s="2"/>
      <c r="W10342" s="6">
        <v>5.95</v>
      </c>
      <c r="X10342" s="4">
        <v>8</v>
      </c>
      <c r="Y10342" s="4">
        <v>8</v>
      </c>
      <c r="Z10342" s="6">
        <v>7.25</v>
      </c>
      <c r="AA10342" s="6">
        <v>1.77</v>
      </c>
      <c r="AB10342" s="7">
        <v>2620.471</v>
      </c>
      <c r="AC10342" s="2"/>
    </row>
    <row r="10343" spans="1:29" ht="156" x14ac:dyDescent="0.15">
      <c r="A10343" s="3">
        <f>DATE(2012,9,25)</f>
        <v>41177</v>
      </c>
      <c r="B10343" s="3">
        <f>DATE(2013,4,1)</f>
        <v>41365</v>
      </c>
      <c r="C10343" s="2" t="s">
        <v>95</v>
      </c>
      <c r="D10343" s="2" t="s">
        <v>30212</v>
      </c>
      <c r="E10343" s="2" t="s">
        <v>36</v>
      </c>
      <c r="F10343" s="4">
        <v>6021</v>
      </c>
      <c r="G10343" s="2" t="s">
        <v>37</v>
      </c>
      <c r="H10343" s="2" t="s">
        <v>34</v>
      </c>
      <c r="I10343" s="2" t="s">
        <v>30213</v>
      </c>
      <c r="J10343" s="2" t="s">
        <v>36</v>
      </c>
      <c r="K10343" s="2" t="s">
        <v>37</v>
      </c>
      <c r="L10343" s="2" t="s">
        <v>34</v>
      </c>
      <c r="M10343" s="7">
        <v>151.84100000000001</v>
      </c>
      <c r="N10343" s="6">
        <v>4.57</v>
      </c>
      <c r="O10343" s="6">
        <v>4.7300000000000004</v>
      </c>
      <c r="P10343" s="2" t="s">
        <v>30214</v>
      </c>
      <c r="Q10343" s="6">
        <v>100</v>
      </c>
      <c r="R10343" s="6">
        <v>18.739999999999998</v>
      </c>
      <c r="S10343" s="5">
        <v>-0.1</v>
      </c>
      <c r="T10343" s="7">
        <v>0.32600000000000001</v>
      </c>
      <c r="U10343" s="5">
        <v>23.1</v>
      </c>
      <c r="V10343" s="6">
        <v>-0.42</v>
      </c>
      <c r="W10343" s="5">
        <v>11.6</v>
      </c>
      <c r="X10343" s="6">
        <v>11.75</v>
      </c>
      <c r="Y10343" s="6">
        <v>15.69</v>
      </c>
      <c r="Z10343" s="6">
        <v>15.45</v>
      </c>
      <c r="AA10343" s="6">
        <v>2.85</v>
      </c>
      <c r="AB10343" s="2" t="s">
        <v>86</v>
      </c>
      <c r="AC10343" s="2"/>
    </row>
    <row r="10344" spans="1:29" ht="156" x14ac:dyDescent="0.15">
      <c r="A10344" s="3">
        <f>DATE(2012,9,25)</f>
        <v>41177</v>
      </c>
      <c r="B10344" s="3">
        <f>DATE(2012,11,5)</f>
        <v>41218</v>
      </c>
      <c r="C10344" s="2" t="s">
        <v>95</v>
      </c>
      <c r="D10344" s="2" t="s">
        <v>30215</v>
      </c>
      <c r="E10344" s="2" t="s">
        <v>30216</v>
      </c>
      <c r="F10344" s="4">
        <v>1381</v>
      </c>
      <c r="G10344" s="2" t="s">
        <v>148</v>
      </c>
      <c r="H10344" s="2" t="s">
        <v>34</v>
      </c>
      <c r="I10344" s="2" t="s">
        <v>30217</v>
      </c>
      <c r="J10344" s="2" t="s">
        <v>30218</v>
      </c>
      <c r="K10344" s="2" t="s">
        <v>148</v>
      </c>
      <c r="L10344" s="2" t="s">
        <v>34</v>
      </c>
      <c r="M10344" s="2"/>
      <c r="N10344" s="2"/>
      <c r="O10344" s="2"/>
      <c r="P10344" s="2" t="s">
        <v>30219</v>
      </c>
      <c r="Q10344" s="6">
        <v>100</v>
      </c>
      <c r="R10344" s="6">
        <v>6.5</v>
      </c>
      <c r="S10344" s="5">
        <v>-1.1000000000000001</v>
      </c>
      <c r="T10344" s="7">
        <v>48.600999999999999</v>
      </c>
      <c r="U10344" s="5">
        <v>8.1</v>
      </c>
      <c r="V10344" s="6">
        <v>0.05</v>
      </c>
      <c r="W10344" s="6">
        <v>5.53</v>
      </c>
      <c r="X10344" s="6">
        <v>6.13</v>
      </c>
      <c r="Y10344" s="6">
        <v>6.47</v>
      </c>
      <c r="Z10344" s="6">
        <v>6.48</v>
      </c>
      <c r="AA10344" s="6">
        <v>21.4</v>
      </c>
      <c r="AB10344" s="2" t="s">
        <v>86</v>
      </c>
      <c r="AC10344" s="2"/>
    </row>
    <row r="10345" spans="1:29" ht="299" x14ac:dyDescent="0.15">
      <c r="A10345" s="3">
        <f>DATE(2012,9,26)</f>
        <v>41178</v>
      </c>
      <c r="B10345" s="3">
        <f>DATE(2013,8,9)</f>
        <v>41495</v>
      </c>
      <c r="C10345" s="2" t="s">
        <v>95</v>
      </c>
      <c r="D10345" s="2" t="s">
        <v>15607</v>
      </c>
      <c r="E10345" s="2" t="s">
        <v>15608</v>
      </c>
      <c r="F10345" s="4">
        <v>2771</v>
      </c>
      <c r="G10345" s="2" t="s">
        <v>186</v>
      </c>
      <c r="H10345" s="2" t="s">
        <v>34</v>
      </c>
      <c r="I10345" s="2" t="s">
        <v>51</v>
      </c>
      <c r="J10345" s="2" t="s">
        <v>52</v>
      </c>
      <c r="K10345" s="2" t="s">
        <v>53</v>
      </c>
      <c r="L10345" s="2" t="s">
        <v>34</v>
      </c>
      <c r="M10345" s="2"/>
      <c r="N10345" s="2"/>
      <c r="O10345" s="2"/>
      <c r="P10345" s="2" t="s">
        <v>30220</v>
      </c>
      <c r="Q10345" s="6">
        <v>92.05</v>
      </c>
      <c r="R10345" s="6">
        <v>19</v>
      </c>
      <c r="S10345" s="2"/>
      <c r="T10345" s="2"/>
      <c r="U10345" s="5">
        <v>22.1</v>
      </c>
      <c r="V10345" s="2"/>
      <c r="W10345" s="6">
        <v>15.33</v>
      </c>
      <c r="X10345" s="6">
        <v>14.34</v>
      </c>
      <c r="Y10345" s="6">
        <v>16.82</v>
      </c>
      <c r="Z10345" s="6">
        <v>17.010000000000002</v>
      </c>
      <c r="AA10345" s="6">
        <v>33.81</v>
      </c>
      <c r="AB10345" s="2" t="s">
        <v>47</v>
      </c>
      <c r="AC10345" s="2"/>
    </row>
    <row r="10346" spans="1:29" ht="78" x14ac:dyDescent="0.15">
      <c r="A10346" s="3">
        <f>DATE(2012,9,26)</f>
        <v>41178</v>
      </c>
      <c r="B10346" s="3">
        <f>DATE(2012,11,1)</f>
        <v>41214</v>
      </c>
      <c r="C10346" s="2" t="s">
        <v>95</v>
      </c>
      <c r="D10346" s="2" t="s">
        <v>30221</v>
      </c>
      <c r="E10346" s="2" t="s">
        <v>30222</v>
      </c>
      <c r="F10346" s="4">
        <v>6141</v>
      </c>
      <c r="G10346" s="2" t="s">
        <v>370</v>
      </c>
      <c r="H10346" s="2" t="s">
        <v>34</v>
      </c>
      <c r="I10346" s="2" t="s">
        <v>30223</v>
      </c>
      <c r="J10346" s="2" t="s">
        <v>244</v>
      </c>
      <c r="K10346" s="2" t="s">
        <v>53</v>
      </c>
      <c r="L10346" s="2" t="s">
        <v>34</v>
      </c>
      <c r="M10346" s="2"/>
      <c r="N10346" s="2"/>
      <c r="O10346" s="2"/>
      <c r="P10346" s="2" t="s">
        <v>30224</v>
      </c>
      <c r="Q10346" s="6">
        <v>100</v>
      </c>
      <c r="R10346" s="6">
        <v>13.87</v>
      </c>
      <c r="S10346" s="5">
        <v>3.2</v>
      </c>
      <c r="T10346" s="2"/>
      <c r="U10346" s="2"/>
      <c r="V10346" s="6">
        <v>0.69</v>
      </c>
      <c r="W10346" s="4">
        <v>10</v>
      </c>
      <c r="X10346" s="4">
        <v>10</v>
      </c>
      <c r="Y10346" s="6">
        <v>13.71</v>
      </c>
      <c r="Z10346" s="6">
        <v>13.73</v>
      </c>
      <c r="AA10346" s="6">
        <v>5.37</v>
      </c>
      <c r="AB10346" s="7">
        <v>125.1</v>
      </c>
      <c r="AC10346" s="2"/>
    </row>
    <row r="10347" spans="1:29" ht="182" x14ac:dyDescent="0.15">
      <c r="A10347" s="3">
        <f>DATE(2012,9,26)</f>
        <v>41178</v>
      </c>
      <c r="B10347" s="3">
        <f>DATE(2013,4,1)</f>
        <v>41365</v>
      </c>
      <c r="C10347" s="2" t="s">
        <v>95</v>
      </c>
      <c r="D10347" s="2" t="s">
        <v>3682</v>
      </c>
      <c r="E10347" s="2" t="s">
        <v>265</v>
      </c>
      <c r="F10347" s="4">
        <v>6022</v>
      </c>
      <c r="G10347" s="2" t="s">
        <v>37</v>
      </c>
      <c r="H10347" s="2" t="s">
        <v>34</v>
      </c>
      <c r="I10347" s="2" t="s">
        <v>22032</v>
      </c>
      <c r="J10347" s="2" t="s">
        <v>36</v>
      </c>
      <c r="K10347" s="2" t="s">
        <v>37</v>
      </c>
      <c r="L10347" s="2" t="s">
        <v>34</v>
      </c>
      <c r="M10347" s="7">
        <v>705.71699999999998</v>
      </c>
      <c r="N10347" s="6">
        <v>18.05</v>
      </c>
      <c r="O10347" s="6">
        <v>18.420000000000002</v>
      </c>
      <c r="P10347" s="2" t="s">
        <v>30225</v>
      </c>
      <c r="Q10347" s="6">
        <v>100</v>
      </c>
      <c r="R10347" s="2"/>
      <c r="S10347" s="5">
        <v>36</v>
      </c>
      <c r="T10347" s="7">
        <v>34.759</v>
      </c>
      <c r="U10347" s="5">
        <v>15.9</v>
      </c>
      <c r="V10347" s="6">
        <v>1.68</v>
      </c>
      <c r="W10347" s="6">
        <v>20.45</v>
      </c>
      <c r="X10347" s="6">
        <v>20.18</v>
      </c>
      <c r="Y10347" s="6">
        <v>22.22</v>
      </c>
      <c r="Z10347" s="6">
        <v>22.44</v>
      </c>
      <c r="AA10347" s="6">
        <v>19.29</v>
      </c>
      <c r="AB10347" s="7">
        <v>31.577999999999999</v>
      </c>
      <c r="AC10347" s="2"/>
    </row>
    <row r="10348" spans="1:29" ht="65" x14ac:dyDescent="0.15">
      <c r="A10348" s="3">
        <f>DATE(2012,9,27)</f>
        <v>41179</v>
      </c>
      <c r="B10348" s="3">
        <f>DATE(2012,12,13)</f>
        <v>41256</v>
      </c>
      <c r="C10348" s="2" t="s">
        <v>95</v>
      </c>
      <c r="D10348" s="2" t="s">
        <v>30140</v>
      </c>
      <c r="E10348" s="2" t="s">
        <v>30141</v>
      </c>
      <c r="F10348" s="4">
        <v>2844</v>
      </c>
      <c r="G10348" s="2" t="s">
        <v>358</v>
      </c>
      <c r="H10348" s="2" t="s">
        <v>34</v>
      </c>
      <c r="I10348" s="2" t="s">
        <v>30226</v>
      </c>
      <c r="J10348" s="2" t="s">
        <v>30141</v>
      </c>
      <c r="K10348" s="2" t="s">
        <v>358</v>
      </c>
      <c r="L10348" s="2" t="s">
        <v>34</v>
      </c>
      <c r="M10348" s="2"/>
      <c r="N10348" s="2"/>
      <c r="O10348" s="2"/>
      <c r="P10348" s="2" t="s">
        <v>30227</v>
      </c>
      <c r="Q10348" s="6">
        <v>100</v>
      </c>
      <c r="R10348" s="6">
        <v>4.9000000000000004</v>
      </c>
      <c r="S10348" s="5">
        <v>3.1</v>
      </c>
      <c r="T10348" s="7">
        <v>11.438000000000001</v>
      </c>
      <c r="U10348" s="5">
        <v>3.7</v>
      </c>
      <c r="V10348" s="6">
        <v>0.19</v>
      </c>
      <c r="W10348" s="6">
        <v>4.8499999999999996</v>
      </c>
      <c r="X10348" s="6">
        <v>4.8499999999999996</v>
      </c>
      <c r="Y10348" s="7">
        <v>4.8550000000000004</v>
      </c>
      <c r="Z10348" s="6">
        <v>4.87</v>
      </c>
      <c r="AA10348" s="6">
        <v>13.71</v>
      </c>
      <c r="AB10348" s="7">
        <v>11.475</v>
      </c>
      <c r="AC10348" s="2"/>
    </row>
    <row r="10349" spans="1:29" ht="78" x14ac:dyDescent="0.15">
      <c r="A10349" s="3">
        <f>DATE(2012,9,27)</f>
        <v>41179</v>
      </c>
      <c r="B10349" s="3">
        <f>DATE(2013,3,18)</f>
        <v>41351</v>
      </c>
      <c r="C10349" s="2" t="s">
        <v>95</v>
      </c>
      <c r="D10349" s="2" t="s">
        <v>30228</v>
      </c>
      <c r="E10349" s="2" t="s">
        <v>30229</v>
      </c>
      <c r="F10349" s="4">
        <v>2515</v>
      </c>
      <c r="G10349" s="2" t="s">
        <v>250</v>
      </c>
      <c r="H10349" s="2" t="s">
        <v>34</v>
      </c>
      <c r="I10349" s="2" t="s">
        <v>30230</v>
      </c>
      <c r="J10349" s="2" t="s">
        <v>30231</v>
      </c>
      <c r="K10349" s="2" t="s">
        <v>250</v>
      </c>
      <c r="L10349" s="2" t="s">
        <v>34</v>
      </c>
      <c r="M10349" s="12">
        <v>1862.5930000000001</v>
      </c>
      <c r="N10349" s="6">
        <v>30.64</v>
      </c>
      <c r="O10349" s="6">
        <v>29.89</v>
      </c>
      <c r="P10349" s="2" t="s">
        <v>30232</v>
      </c>
      <c r="Q10349" s="6">
        <v>100</v>
      </c>
      <c r="R10349" s="6">
        <v>2.2000000000000002</v>
      </c>
      <c r="S10349" s="5">
        <v>-10.4</v>
      </c>
      <c r="T10349" s="7">
        <v>92.798000000000002</v>
      </c>
      <c r="U10349" s="5">
        <v>-0.5</v>
      </c>
      <c r="V10349" s="6">
        <v>-0.12</v>
      </c>
      <c r="W10349" s="6">
        <v>2.04</v>
      </c>
      <c r="X10349" s="6">
        <v>2.14</v>
      </c>
      <c r="Y10349" s="6">
        <v>2.19</v>
      </c>
      <c r="Z10349" s="6">
        <v>2.1800000000000002</v>
      </c>
      <c r="AA10349" s="6">
        <v>104.69</v>
      </c>
      <c r="AB10349" s="7">
        <v>13.276</v>
      </c>
      <c r="AC10349" s="5">
        <v>134.19999999999999</v>
      </c>
    </row>
    <row r="10350" spans="1:29" ht="117" x14ac:dyDescent="0.15">
      <c r="A10350" s="3">
        <f>DATE(2012,9,28)</f>
        <v>41180</v>
      </c>
      <c r="B10350" s="2"/>
      <c r="C10350" s="2" t="s">
        <v>30</v>
      </c>
      <c r="D10350" s="2" t="s">
        <v>30233</v>
      </c>
      <c r="E10350" s="2" t="s">
        <v>30234</v>
      </c>
      <c r="F10350" s="4">
        <v>7372</v>
      </c>
      <c r="G10350" s="2" t="s">
        <v>551</v>
      </c>
      <c r="H10350" s="2" t="s">
        <v>34</v>
      </c>
      <c r="I10350" s="2" t="s">
        <v>29958</v>
      </c>
      <c r="J10350" s="2" t="s">
        <v>10858</v>
      </c>
      <c r="K10350" s="2" t="s">
        <v>223</v>
      </c>
      <c r="L10350" s="2" t="s">
        <v>34</v>
      </c>
      <c r="M10350" s="2"/>
      <c r="N10350" s="2"/>
      <c r="O10350" s="2"/>
      <c r="P10350" s="2" t="s">
        <v>30235</v>
      </c>
      <c r="Q10350" s="2"/>
      <c r="R10350" s="6">
        <v>11.5</v>
      </c>
      <c r="S10350" s="2"/>
      <c r="T10350" s="2"/>
      <c r="U10350" s="2"/>
      <c r="V10350" s="2"/>
      <c r="W10350" s="5">
        <v>9.6</v>
      </c>
      <c r="X10350" s="6">
        <v>9.85</v>
      </c>
      <c r="Y10350" s="6">
        <v>9.85</v>
      </c>
      <c r="Z10350" s="5">
        <v>11.4</v>
      </c>
      <c r="AA10350" s="6">
        <v>2.73</v>
      </c>
      <c r="AB10350" s="2" t="s">
        <v>47</v>
      </c>
      <c r="AC10350" s="2"/>
    </row>
    <row r="10351" spans="1:29" ht="91" x14ac:dyDescent="0.15">
      <c r="A10351" s="3">
        <f>DATE(2012,9,29)</f>
        <v>41181</v>
      </c>
      <c r="B10351" s="2"/>
      <c r="C10351" s="2" t="s">
        <v>87</v>
      </c>
      <c r="D10351" s="2" t="s">
        <v>30236</v>
      </c>
      <c r="E10351" s="2" t="s">
        <v>30237</v>
      </c>
      <c r="F10351" s="4">
        <v>7373</v>
      </c>
      <c r="G10351" s="2" t="s">
        <v>223</v>
      </c>
      <c r="H10351" s="2" t="s">
        <v>34</v>
      </c>
      <c r="I10351" s="2" t="s">
        <v>143</v>
      </c>
      <c r="J10351" s="2" t="s">
        <v>144</v>
      </c>
      <c r="K10351" s="2" t="s">
        <v>53</v>
      </c>
      <c r="L10351" s="2" t="s">
        <v>139</v>
      </c>
      <c r="M10351" s="2"/>
      <c r="N10351" s="2"/>
      <c r="O10351" s="2"/>
      <c r="P10351" s="2" t="s">
        <v>30238</v>
      </c>
      <c r="Q10351" s="2"/>
      <c r="R10351" s="2"/>
      <c r="S10351" s="5">
        <v>58.9</v>
      </c>
      <c r="T10351" s="7">
        <v>272.25599999999997</v>
      </c>
      <c r="U10351" s="5">
        <v>7.5</v>
      </c>
      <c r="V10351" s="6">
        <v>0.31</v>
      </c>
      <c r="W10351" s="6">
        <v>10.77</v>
      </c>
      <c r="X10351" s="6">
        <v>12.42</v>
      </c>
      <c r="Y10351" s="6">
        <v>12.84</v>
      </c>
      <c r="Z10351" s="6">
        <v>12.84</v>
      </c>
      <c r="AA10351" s="6">
        <v>171.39</v>
      </c>
      <c r="AB10351" s="2" t="s">
        <v>47</v>
      </c>
      <c r="AC10351" s="2"/>
    </row>
    <row r="10352" spans="1:29" ht="117" x14ac:dyDescent="0.15">
      <c r="A10352" s="3">
        <f>DATE(2012,10,1)</f>
        <v>41183</v>
      </c>
      <c r="B10352" s="3">
        <f>DATE(2012,11,29)</f>
        <v>41242</v>
      </c>
      <c r="C10352" s="2" t="s">
        <v>95</v>
      </c>
      <c r="D10352" s="2" t="s">
        <v>30239</v>
      </c>
      <c r="E10352" s="2" t="s">
        <v>30240</v>
      </c>
      <c r="F10352" s="4">
        <v>3264</v>
      </c>
      <c r="G10352" s="2" t="s">
        <v>237</v>
      </c>
      <c r="H10352" s="2" t="s">
        <v>34</v>
      </c>
      <c r="I10352" s="2" t="s">
        <v>17758</v>
      </c>
      <c r="J10352" s="2" t="s">
        <v>22965</v>
      </c>
      <c r="K10352" s="2" t="s">
        <v>226</v>
      </c>
      <c r="L10352" s="2" t="s">
        <v>34</v>
      </c>
      <c r="M10352" s="12">
        <v>64016.182000000001</v>
      </c>
      <c r="N10352" s="6">
        <v>93.29</v>
      </c>
      <c r="O10352" s="6">
        <v>93.54</v>
      </c>
      <c r="P10352" s="2" t="s">
        <v>30241</v>
      </c>
      <c r="Q10352" s="6">
        <v>100</v>
      </c>
      <c r="R10352" s="6">
        <v>35</v>
      </c>
      <c r="S10352" s="5">
        <v>8.3000000000000007</v>
      </c>
      <c r="T10352" s="7">
        <v>86.564999999999998</v>
      </c>
      <c r="U10352" s="5">
        <v>28.4</v>
      </c>
      <c r="V10352" s="6">
        <v>0.35</v>
      </c>
      <c r="W10352" s="6">
        <v>24.95</v>
      </c>
      <c r="X10352" s="6">
        <v>24.43</v>
      </c>
      <c r="Y10352" s="6">
        <v>34.97</v>
      </c>
      <c r="Z10352" s="7">
        <v>35.045000000000002</v>
      </c>
      <c r="AA10352" s="6">
        <v>24.2</v>
      </c>
      <c r="AB10352" s="7">
        <v>12.951000000000001</v>
      </c>
      <c r="AC10352" s="8">
        <v>5073</v>
      </c>
    </row>
    <row r="10353" spans="1:29" ht="117" x14ac:dyDescent="0.15">
      <c r="A10353" s="3">
        <f>DATE(2012,10,4)</f>
        <v>41186</v>
      </c>
      <c r="B10353" s="2"/>
      <c r="C10353" s="2" t="s">
        <v>87</v>
      </c>
      <c r="D10353" s="2" t="s">
        <v>26019</v>
      </c>
      <c r="E10353" s="2" t="s">
        <v>16453</v>
      </c>
      <c r="F10353" s="4">
        <v>4812</v>
      </c>
      <c r="G10353" s="2" t="s">
        <v>63</v>
      </c>
      <c r="H10353" s="2" t="s">
        <v>34</v>
      </c>
      <c r="I10353" s="2" t="s">
        <v>14230</v>
      </c>
      <c r="J10353" s="2" t="s">
        <v>23280</v>
      </c>
      <c r="K10353" s="2" t="s">
        <v>63</v>
      </c>
      <c r="L10353" s="2" t="s">
        <v>34</v>
      </c>
      <c r="M10353" s="12">
        <v>14881.879000000001</v>
      </c>
      <c r="N10353" s="6">
        <v>5.09</v>
      </c>
      <c r="O10353" s="5">
        <v>5.2</v>
      </c>
      <c r="P10353" s="2" t="s">
        <v>30242</v>
      </c>
      <c r="Q10353" s="2"/>
      <c r="R10353" s="2"/>
      <c r="S10353" s="5">
        <v>453</v>
      </c>
      <c r="T10353" s="12">
        <v>1524.442</v>
      </c>
      <c r="U10353" s="5">
        <v>18.3</v>
      </c>
      <c r="V10353" s="6">
        <v>2.48</v>
      </c>
      <c r="W10353" s="6">
        <v>11.95</v>
      </c>
      <c r="X10353" s="6">
        <v>12.24</v>
      </c>
      <c r="Y10353" s="6">
        <v>12.69</v>
      </c>
      <c r="Z10353" s="6">
        <v>12.65</v>
      </c>
      <c r="AA10353" s="6">
        <v>363.42</v>
      </c>
      <c r="AB10353" s="2" t="s">
        <v>47</v>
      </c>
      <c r="AC10353" s="8">
        <v>6329</v>
      </c>
    </row>
    <row r="10354" spans="1:29" ht="130" x14ac:dyDescent="0.15">
      <c r="A10354" s="3">
        <f>DATE(2012,10,8)</f>
        <v>41190</v>
      </c>
      <c r="B10354" s="3">
        <f>DATE(2013,3,8)</f>
        <v>41341</v>
      </c>
      <c r="C10354" s="2" t="s">
        <v>95</v>
      </c>
      <c r="D10354" s="2" t="s">
        <v>24011</v>
      </c>
      <c r="E10354" s="2" t="s">
        <v>36</v>
      </c>
      <c r="F10354" s="4">
        <v>6021</v>
      </c>
      <c r="G10354" s="2" t="s">
        <v>37</v>
      </c>
      <c r="H10354" s="2" t="s">
        <v>34</v>
      </c>
      <c r="I10354" s="2" t="s">
        <v>3099</v>
      </c>
      <c r="J10354" s="2" t="s">
        <v>265</v>
      </c>
      <c r="K10354" s="2" t="s">
        <v>37</v>
      </c>
      <c r="L10354" s="2" t="s">
        <v>34</v>
      </c>
      <c r="M10354" s="7">
        <v>731.72900000000004</v>
      </c>
      <c r="N10354" s="5">
        <v>21.5</v>
      </c>
      <c r="O10354" s="6">
        <v>21.34</v>
      </c>
      <c r="P10354" s="2" t="s">
        <v>30243</v>
      </c>
      <c r="Q10354" s="6">
        <v>100</v>
      </c>
      <c r="R10354" s="6">
        <v>48.24</v>
      </c>
      <c r="S10354" s="5">
        <v>10.5</v>
      </c>
      <c r="T10354" s="6">
        <v>16.68</v>
      </c>
      <c r="U10354" s="5">
        <v>31</v>
      </c>
      <c r="V10354" s="6">
        <v>2.2400000000000002</v>
      </c>
      <c r="W10354" s="6">
        <v>39.520000000000003</v>
      </c>
      <c r="X10354" s="6">
        <v>39.409999999999997</v>
      </c>
      <c r="Y10354" s="6">
        <v>45.79</v>
      </c>
      <c r="Z10354" s="6">
        <v>45.44</v>
      </c>
      <c r="AA10354" s="6">
        <v>4.78</v>
      </c>
      <c r="AB10354" s="7">
        <v>26.106000000000002</v>
      </c>
      <c r="AC10354" s="2"/>
    </row>
    <row r="10355" spans="1:29" ht="143" x14ac:dyDescent="0.15">
      <c r="A10355" s="3">
        <f>DATE(2012,10,8)</f>
        <v>41190</v>
      </c>
      <c r="B10355" s="2"/>
      <c r="C10355" s="2" t="s">
        <v>30</v>
      </c>
      <c r="D10355" s="2" t="s">
        <v>30171</v>
      </c>
      <c r="E10355" s="2" t="s">
        <v>26964</v>
      </c>
      <c r="F10355" s="4">
        <v>2869</v>
      </c>
      <c r="G10355" s="2" t="s">
        <v>98</v>
      </c>
      <c r="H10355" s="2" t="s">
        <v>34</v>
      </c>
      <c r="I10355" s="2" t="s">
        <v>30244</v>
      </c>
      <c r="J10355" s="2" t="s">
        <v>22755</v>
      </c>
      <c r="K10355" s="2" t="s">
        <v>98</v>
      </c>
      <c r="L10355" s="2" t="s">
        <v>34</v>
      </c>
      <c r="M10355" s="7">
        <v>737.90300000000002</v>
      </c>
      <c r="N10355" s="6">
        <v>33.369999999999997</v>
      </c>
      <c r="O10355" s="5">
        <v>33.200000000000003</v>
      </c>
      <c r="P10355" s="2" t="s">
        <v>30245</v>
      </c>
      <c r="Q10355" s="2"/>
      <c r="R10355" s="6">
        <v>47.5</v>
      </c>
      <c r="S10355" s="5">
        <v>10.3</v>
      </c>
      <c r="T10355" s="7">
        <v>93.128</v>
      </c>
      <c r="U10355" s="5">
        <v>20.399999999999999</v>
      </c>
      <c r="V10355" s="6">
        <v>0.68</v>
      </c>
      <c r="W10355" s="6">
        <v>39.49</v>
      </c>
      <c r="X10355" s="6">
        <v>38.76</v>
      </c>
      <c r="Y10355" s="6">
        <v>39.47</v>
      </c>
      <c r="Z10355" s="6">
        <v>38.96</v>
      </c>
      <c r="AA10355" s="6">
        <v>15.7</v>
      </c>
      <c r="AB10355" s="7">
        <v>17.643999999999998</v>
      </c>
      <c r="AC10355" s="5">
        <v>133.6</v>
      </c>
    </row>
    <row r="10356" spans="1:29" ht="104" x14ac:dyDescent="0.15">
      <c r="A10356" s="3">
        <f>DATE(2012,10,11)</f>
        <v>41193</v>
      </c>
      <c r="B10356" s="2"/>
      <c r="C10356" s="2" t="s">
        <v>30</v>
      </c>
      <c r="D10356" s="2" t="s">
        <v>29549</v>
      </c>
      <c r="E10356" s="2" t="s">
        <v>24667</v>
      </c>
      <c r="F10356" s="4">
        <v>3711</v>
      </c>
      <c r="G10356" s="2" t="s">
        <v>105</v>
      </c>
      <c r="H10356" s="2" t="s">
        <v>34</v>
      </c>
      <c r="I10356" s="2" t="s">
        <v>30246</v>
      </c>
      <c r="J10356" s="2" t="s">
        <v>6237</v>
      </c>
      <c r="K10356" s="2" t="s">
        <v>53</v>
      </c>
      <c r="L10356" s="2" t="s">
        <v>34</v>
      </c>
      <c r="M10356" s="2"/>
      <c r="N10356" s="2"/>
      <c r="O10356" s="2"/>
      <c r="P10356" s="2" t="s">
        <v>30247</v>
      </c>
      <c r="Q10356" s="2"/>
      <c r="R10356" s="6">
        <v>32.5</v>
      </c>
      <c r="S10356" s="5">
        <v>230.2</v>
      </c>
      <c r="T10356" s="5">
        <v>501.2</v>
      </c>
      <c r="U10356" s="5">
        <v>20.2</v>
      </c>
      <c r="V10356" s="6">
        <v>2.5099999999999998</v>
      </c>
      <c r="W10356" s="6">
        <v>28.09</v>
      </c>
      <c r="X10356" s="6">
        <v>26.85</v>
      </c>
      <c r="Y10356" s="5">
        <v>29.9</v>
      </c>
      <c r="Z10356" s="6">
        <v>29.73</v>
      </c>
      <c r="AA10356" s="6">
        <v>91.65</v>
      </c>
      <c r="AB10356" s="7">
        <v>9.1760000000000002</v>
      </c>
      <c r="AC10356" s="2"/>
    </row>
    <row r="10357" spans="1:29" ht="325" x14ac:dyDescent="0.15">
      <c r="A10357" s="3">
        <f>DATE(2012,10,15)</f>
        <v>41197</v>
      </c>
      <c r="B10357" s="3">
        <f>DATE(2012,11,30)</f>
        <v>41243</v>
      </c>
      <c r="C10357" s="2" t="s">
        <v>95</v>
      </c>
      <c r="D10357" s="2" t="s">
        <v>29789</v>
      </c>
      <c r="E10357" s="2" t="s">
        <v>11444</v>
      </c>
      <c r="F10357" s="4">
        <v>7822</v>
      </c>
      <c r="G10357" s="2" t="s">
        <v>42</v>
      </c>
      <c r="H10357" s="2" t="s">
        <v>34</v>
      </c>
      <c r="I10357" s="2" t="s">
        <v>30248</v>
      </c>
      <c r="J10357" s="2" t="s">
        <v>11444</v>
      </c>
      <c r="K10357" s="2" t="s">
        <v>42</v>
      </c>
      <c r="L10357" s="2" t="s">
        <v>34</v>
      </c>
      <c r="M10357" s="2"/>
      <c r="N10357" s="2"/>
      <c r="O10357" s="2"/>
      <c r="P10357" s="2" t="s">
        <v>30249</v>
      </c>
      <c r="Q10357" s="6">
        <v>100</v>
      </c>
      <c r="R10357" s="6">
        <v>2.06</v>
      </c>
      <c r="S10357" s="5">
        <v>-6.5</v>
      </c>
      <c r="T10357" s="6">
        <v>5.59</v>
      </c>
      <c r="U10357" s="5">
        <v>2.6</v>
      </c>
      <c r="V10357" s="6">
        <v>-0.38</v>
      </c>
      <c r="W10357" s="6">
        <v>1.19</v>
      </c>
      <c r="X10357" s="6">
        <v>1.1299999999999999</v>
      </c>
      <c r="Y10357" s="6">
        <v>1.32</v>
      </c>
      <c r="Z10357" s="6">
        <v>1.29</v>
      </c>
      <c r="AA10357" s="6">
        <v>16.190000000000001</v>
      </c>
      <c r="AB10357" s="2" t="s">
        <v>86</v>
      </c>
      <c r="AC10357" s="2"/>
    </row>
    <row r="10358" spans="1:29" ht="364" x14ac:dyDescent="0.15">
      <c r="A10358" s="3">
        <f>DATE(2012,10,15)</f>
        <v>41197</v>
      </c>
      <c r="B10358" s="3">
        <f>DATE(2013,7,10)</f>
        <v>41465</v>
      </c>
      <c r="C10358" s="2" t="s">
        <v>95</v>
      </c>
      <c r="D10358" s="2" t="s">
        <v>14230</v>
      </c>
      <c r="E10358" s="2" t="s">
        <v>23280</v>
      </c>
      <c r="F10358" s="4">
        <v>4813</v>
      </c>
      <c r="G10358" s="2" t="s">
        <v>63</v>
      </c>
      <c r="H10358" s="2" t="s">
        <v>34</v>
      </c>
      <c r="I10358" s="2" t="s">
        <v>30250</v>
      </c>
      <c r="J10358" s="2" t="s">
        <v>16453</v>
      </c>
      <c r="K10358" s="2" t="s">
        <v>63</v>
      </c>
      <c r="L10358" s="2" t="s">
        <v>99</v>
      </c>
      <c r="M10358" s="12">
        <v>45697.091</v>
      </c>
      <c r="N10358" s="7">
        <v>28.826000000000001</v>
      </c>
      <c r="O10358" s="7">
        <v>31.507000000000001</v>
      </c>
      <c r="P10358" s="2" t="s">
        <v>30251</v>
      </c>
      <c r="Q10358" s="6">
        <v>78</v>
      </c>
      <c r="R10358" s="2"/>
      <c r="S10358" s="8">
        <v>-4106</v>
      </c>
      <c r="T10358" s="8">
        <v>5050</v>
      </c>
      <c r="U10358" s="5">
        <v>2.1</v>
      </c>
      <c r="V10358" s="9">
        <v>-1.1637</v>
      </c>
      <c r="W10358" s="6">
        <v>5.09</v>
      </c>
      <c r="X10358" s="6">
        <v>5.04</v>
      </c>
      <c r="Y10358" s="6">
        <v>5.76</v>
      </c>
      <c r="Z10358" s="6">
        <v>5.73</v>
      </c>
      <c r="AA10358" s="10">
        <v>3004.21</v>
      </c>
      <c r="AB10358" s="2" t="s">
        <v>86</v>
      </c>
      <c r="AC10358" s="10">
        <v>14577.78</v>
      </c>
    </row>
    <row r="10359" spans="1:29" ht="104" x14ac:dyDescent="0.15">
      <c r="A10359" s="3">
        <f>DATE(2012,10,17)</f>
        <v>41199</v>
      </c>
      <c r="B10359" s="3">
        <f>DATE(2013,2,7)</f>
        <v>41312</v>
      </c>
      <c r="C10359" s="2" t="s">
        <v>95</v>
      </c>
      <c r="D10359" s="2" t="s">
        <v>12653</v>
      </c>
      <c r="E10359" s="2" t="s">
        <v>12654</v>
      </c>
      <c r="F10359" s="4">
        <v>3949</v>
      </c>
      <c r="G10359" s="2" t="s">
        <v>112</v>
      </c>
      <c r="H10359" s="2" t="s">
        <v>34</v>
      </c>
      <c r="I10359" s="2" t="s">
        <v>12655</v>
      </c>
      <c r="J10359" s="2" t="s">
        <v>302</v>
      </c>
      <c r="K10359" s="2" t="s">
        <v>53</v>
      </c>
      <c r="L10359" s="2" t="s">
        <v>34</v>
      </c>
      <c r="M10359" s="2"/>
      <c r="N10359" s="2"/>
      <c r="O10359" s="2"/>
      <c r="P10359" s="2" t="s">
        <v>30252</v>
      </c>
      <c r="Q10359" s="6">
        <v>51.73</v>
      </c>
      <c r="R10359" s="6">
        <v>2.5499999999999998</v>
      </c>
      <c r="S10359" s="5">
        <v>35.1</v>
      </c>
      <c r="T10359" s="7">
        <v>11.391999999999999</v>
      </c>
      <c r="U10359" s="5">
        <v>1.2</v>
      </c>
      <c r="V10359" s="6">
        <v>2.0499999999999998</v>
      </c>
      <c r="W10359" s="6">
        <v>1.36</v>
      </c>
      <c r="X10359" s="6">
        <v>1.35</v>
      </c>
      <c r="Y10359" s="6">
        <v>1.35</v>
      </c>
      <c r="Z10359" s="6">
        <v>2.4500000000000002</v>
      </c>
      <c r="AA10359" s="6">
        <v>17.14</v>
      </c>
      <c r="AB10359" s="7">
        <v>9.3420000000000005</v>
      </c>
      <c r="AC10359" s="2"/>
    </row>
    <row r="10360" spans="1:29" ht="169" x14ac:dyDescent="0.15">
      <c r="A10360" s="3">
        <f>DATE(2012,10,17)</f>
        <v>41199</v>
      </c>
      <c r="B10360" s="3">
        <f>DATE(2013,5,30)</f>
        <v>41424</v>
      </c>
      <c r="C10360" s="2" t="s">
        <v>95</v>
      </c>
      <c r="D10360" s="2" t="s">
        <v>30253</v>
      </c>
      <c r="E10360" s="2" t="s">
        <v>30254</v>
      </c>
      <c r="F10360" s="4">
        <v>3559</v>
      </c>
      <c r="G10360" s="2" t="s">
        <v>300</v>
      </c>
      <c r="H10360" s="2" t="s">
        <v>34</v>
      </c>
      <c r="I10360" s="2" t="s">
        <v>30255</v>
      </c>
      <c r="J10360" s="2" t="s">
        <v>30256</v>
      </c>
      <c r="K10360" s="2" t="s">
        <v>300</v>
      </c>
      <c r="L10360" s="2" t="s">
        <v>2105</v>
      </c>
      <c r="M10360" s="12">
        <v>22731.539000000001</v>
      </c>
      <c r="N10360" s="7">
        <v>51.350999999999999</v>
      </c>
      <c r="O10360" s="7">
        <v>51.548999999999999</v>
      </c>
      <c r="P10360" s="2" t="s">
        <v>30257</v>
      </c>
      <c r="Q10360" s="6">
        <v>100</v>
      </c>
      <c r="R10360" s="6">
        <v>82.25</v>
      </c>
      <c r="S10360" s="5">
        <v>53.4</v>
      </c>
      <c r="T10360" s="7">
        <v>86.447000000000003</v>
      </c>
      <c r="U10360" s="5">
        <v>26.3</v>
      </c>
      <c r="V10360" s="6">
        <v>1.68</v>
      </c>
      <c r="W10360" s="6">
        <v>48.03</v>
      </c>
      <c r="X10360" s="6">
        <v>47.83</v>
      </c>
      <c r="Y10360" s="6">
        <v>71.45</v>
      </c>
      <c r="Z10360" s="6">
        <v>74.13</v>
      </c>
      <c r="AA10360" s="6">
        <v>31.13</v>
      </c>
      <c r="AB10360" s="7">
        <v>39.779000000000003</v>
      </c>
      <c r="AC10360" s="10">
        <v>7913.15</v>
      </c>
    </row>
    <row r="10361" spans="1:29" ht="91" x14ac:dyDescent="0.15">
      <c r="A10361" s="3">
        <f>DATE(2012,10,17)</f>
        <v>41199</v>
      </c>
      <c r="B10361" s="2"/>
      <c r="C10361" s="2" t="s">
        <v>7330</v>
      </c>
      <c r="D10361" s="2" t="s">
        <v>8399</v>
      </c>
      <c r="E10361" s="2" t="s">
        <v>8400</v>
      </c>
      <c r="F10361" s="4">
        <v>5211</v>
      </c>
      <c r="G10361" s="2" t="s">
        <v>73</v>
      </c>
      <c r="H10361" s="2" t="s">
        <v>34</v>
      </c>
      <c r="I10361" s="2" t="s">
        <v>1526</v>
      </c>
      <c r="J10361" s="2" t="s">
        <v>302</v>
      </c>
      <c r="K10361" s="2" t="s">
        <v>53</v>
      </c>
      <c r="L10361" s="2" t="s">
        <v>34</v>
      </c>
      <c r="M10361" s="2"/>
      <c r="N10361" s="2"/>
      <c r="O10361" s="2"/>
      <c r="P10361" s="2" t="s">
        <v>30258</v>
      </c>
      <c r="Q10361" s="2"/>
      <c r="R10361" s="2"/>
      <c r="S10361" s="5">
        <v>-118.4</v>
      </c>
      <c r="T10361" s="7">
        <v>18.786000000000001</v>
      </c>
      <c r="U10361" s="5">
        <v>-7.8</v>
      </c>
      <c r="V10361" s="6">
        <v>-19.64</v>
      </c>
      <c r="W10361" s="6">
        <v>13.39</v>
      </c>
      <c r="X10361" s="6">
        <v>12.88</v>
      </c>
      <c r="Y10361" s="5">
        <v>12.9</v>
      </c>
      <c r="Z10361" s="6">
        <v>12.66</v>
      </c>
      <c r="AA10361" s="2"/>
      <c r="AB10361" s="2" t="s">
        <v>86</v>
      </c>
      <c r="AC10361" s="2"/>
    </row>
    <row r="10362" spans="1:29" ht="39" x14ac:dyDescent="0.15">
      <c r="A10362" s="3">
        <f>DATE(2012,10,17)</f>
        <v>41199</v>
      </c>
      <c r="B10362" s="2"/>
      <c r="C10362" s="2" t="s">
        <v>7330</v>
      </c>
      <c r="D10362" s="2" t="s">
        <v>30259</v>
      </c>
      <c r="E10362" s="2" t="s">
        <v>30260</v>
      </c>
      <c r="F10362" s="4">
        <v>3674</v>
      </c>
      <c r="G10362" s="2" t="s">
        <v>137</v>
      </c>
      <c r="H10362" s="2" t="s">
        <v>34</v>
      </c>
      <c r="I10362" s="2" t="s">
        <v>1526</v>
      </c>
      <c r="J10362" s="2" t="s">
        <v>302</v>
      </c>
      <c r="K10362" s="2" t="s">
        <v>53</v>
      </c>
      <c r="L10362" s="2" t="s">
        <v>34</v>
      </c>
      <c r="M10362" s="2"/>
      <c r="N10362" s="2"/>
      <c r="O10362" s="2"/>
      <c r="P10362" s="2" t="s">
        <v>30261</v>
      </c>
      <c r="Q10362" s="2"/>
      <c r="R10362" s="2"/>
      <c r="S10362" s="5">
        <v>-80.3</v>
      </c>
      <c r="T10362" s="7">
        <v>-65.488</v>
      </c>
      <c r="U10362" s="5">
        <v>-1.6</v>
      </c>
      <c r="V10362" s="6">
        <v>-5.2</v>
      </c>
      <c r="W10362" s="6">
        <v>2.0299999999999998</v>
      </c>
      <c r="X10362" s="6">
        <v>2.2799999999999998</v>
      </c>
      <c r="Y10362" s="6">
        <v>2.4300000000000002</v>
      </c>
      <c r="Z10362" s="6">
        <v>2.39</v>
      </c>
      <c r="AA10362" s="6">
        <v>18.03</v>
      </c>
      <c r="AB10362" s="2" t="s">
        <v>86</v>
      </c>
      <c r="AC10362" s="2"/>
    </row>
    <row r="10363" spans="1:29" ht="117" x14ac:dyDescent="0.15">
      <c r="A10363" s="3">
        <f>DATE(2012,10,18)</f>
        <v>41200</v>
      </c>
      <c r="B10363" s="3">
        <f>DATE(2012,12,11)</f>
        <v>41254</v>
      </c>
      <c r="C10363" s="2" t="s">
        <v>95</v>
      </c>
      <c r="D10363" s="2" t="s">
        <v>30262</v>
      </c>
      <c r="E10363" s="2" t="s">
        <v>30263</v>
      </c>
      <c r="F10363" s="4">
        <v>4899</v>
      </c>
      <c r="G10363" s="2" t="s">
        <v>63</v>
      </c>
      <c r="H10363" s="2" t="s">
        <v>34</v>
      </c>
      <c r="I10363" s="2" t="s">
        <v>14230</v>
      </c>
      <c r="J10363" s="2" t="s">
        <v>23280</v>
      </c>
      <c r="K10363" s="2" t="s">
        <v>63</v>
      </c>
      <c r="L10363" s="2" t="s">
        <v>34</v>
      </c>
      <c r="M10363" s="12">
        <v>16322.061</v>
      </c>
      <c r="N10363" s="6">
        <v>5.78</v>
      </c>
      <c r="O10363" s="6">
        <v>5.65</v>
      </c>
      <c r="P10363" s="2" t="s">
        <v>30264</v>
      </c>
      <c r="Q10363" s="6">
        <v>2.31</v>
      </c>
      <c r="R10363" s="2"/>
      <c r="S10363" s="5">
        <v>-778.3</v>
      </c>
      <c r="T10363" s="7">
        <v>-264.87799999999999</v>
      </c>
      <c r="U10363" s="5">
        <v>0.7</v>
      </c>
      <c r="V10363" s="6">
        <v>-1.55</v>
      </c>
      <c r="W10363" s="6">
        <v>2.2200000000000002</v>
      </c>
      <c r="X10363" s="6">
        <v>2.2599999999999998</v>
      </c>
      <c r="Y10363" s="6">
        <v>2.0299999999999998</v>
      </c>
      <c r="Z10363" s="6">
        <v>1.85</v>
      </c>
      <c r="AA10363" s="10">
        <v>1459.21</v>
      </c>
      <c r="AB10363" s="2" t="s">
        <v>86</v>
      </c>
      <c r="AC10363" s="8">
        <v>6329</v>
      </c>
    </row>
    <row r="10364" spans="1:29" ht="78" x14ac:dyDescent="0.15">
      <c r="A10364" s="3">
        <f>DATE(2012,10,18)</f>
        <v>41200</v>
      </c>
      <c r="B10364" s="2"/>
      <c r="C10364" s="2" t="s">
        <v>39</v>
      </c>
      <c r="D10364" s="2" t="s">
        <v>21680</v>
      </c>
      <c r="E10364" s="2" t="s">
        <v>21681</v>
      </c>
      <c r="F10364" s="4">
        <v>3577</v>
      </c>
      <c r="G10364" s="2" t="s">
        <v>50</v>
      </c>
      <c r="H10364" s="2" t="s">
        <v>34</v>
      </c>
      <c r="I10364" s="2" t="s">
        <v>143</v>
      </c>
      <c r="J10364" s="2" t="s">
        <v>144</v>
      </c>
      <c r="K10364" s="2" t="s">
        <v>53</v>
      </c>
      <c r="L10364" s="2" t="s">
        <v>139</v>
      </c>
      <c r="M10364" s="2"/>
      <c r="N10364" s="2"/>
      <c r="O10364" s="2"/>
      <c r="P10364" s="2" t="s">
        <v>30265</v>
      </c>
      <c r="Q10364" s="2"/>
      <c r="R10364" s="2"/>
      <c r="S10364" s="5">
        <v>187</v>
      </c>
      <c r="T10364" s="7">
        <v>545.05600000000004</v>
      </c>
      <c r="U10364" s="5">
        <v>13.7</v>
      </c>
      <c r="V10364" s="6">
        <v>0.36</v>
      </c>
      <c r="W10364" s="6">
        <v>16.350000000000001</v>
      </c>
      <c r="X10364" s="6">
        <v>17.309999999999999</v>
      </c>
      <c r="Y10364" s="5">
        <v>18.2</v>
      </c>
      <c r="Z10364" s="6">
        <v>17.79</v>
      </c>
      <c r="AA10364" s="6">
        <v>526.59</v>
      </c>
      <c r="AB10364" s="2" t="s">
        <v>47</v>
      </c>
      <c r="AC10364" s="2"/>
    </row>
    <row r="10365" spans="1:29" ht="143" x14ac:dyDescent="0.15">
      <c r="A10365" s="3">
        <f>DATE(2012,10,18)</f>
        <v>41200</v>
      </c>
      <c r="B10365" s="3">
        <f>DATE(2013,6,1)</f>
        <v>41426</v>
      </c>
      <c r="C10365" s="2" t="s">
        <v>95</v>
      </c>
      <c r="D10365" s="2" t="s">
        <v>30266</v>
      </c>
      <c r="E10365" s="2" t="s">
        <v>1181</v>
      </c>
      <c r="F10365" s="4">
        <v>6021</v>
      </c>
      <c r="G10365" s="2" t="s">
        <v>37</v>
      </c>
      <c r="H10365" s="2" t="s">
        <v>34</v>
      </c>
      <c r="I10365" s="2" t="s">
        <v>30267</v>
      </c>
      <c r="J10365" s="2" t="s">
        <v>36</v>
      </c>
      <c r="K10365" s="2" t="s">
        <v>37</v>
      </c>
      <c r="L10365" s="2" t="s">
        <v>34</v>
      </c>
      <c r="M10365" s="7">
        <v>160.11799999999999</v>
      </c>
      <c r="N10365" s="5">
        <v>42.6</v>
      </c>
      <c r="O10365" s="6">
        <v>40.54</v>
      </c>
      <c r="P10365" s="2" t="s">
        <v>30268</v>
      </c>
      <c r="Q10365" s="6">
        <v>100</v>
      </c>
      <c r="R10365" s="6">
        <v>68.75</v>
      </c>
      <c r="S10365" s="2"/>
      <c r="T10365" s="2"/>
      <c r="U10365" s="2"/>
      <c r="V10365" s="2"/>
      <c r="W10365" s="4">
        <v>38</v>
      </c>
      <c r="X10365" s="5">
        <v>38.799999999999997</v>
      </c>
      <c r="Y10365" s="5">
        <v>38.799999999999997</v>
      </c>
      <c r="Z10365" s="5">
        <v>59.5</v>
      </c>
      <c r="AA10365" s="6">
        <v>0.68</v>
      </c>
      <c r="AB10365" s="2" t="s">
        <v>47</v>
      </c>
      <c r="AC10365" s="2"/>
    </row>
    <row r="10366" spans="1:29" ht="221" x14ac:dyDescent="0.15">
      <c r="A10366" s="3">
        <f>DATE(2012,10,22)</f>
        <v>41204</v>
      </c>
      <c r="B10366" s="3">
        <f>DATE(2012,12,28)</f>
        <v>41271</v>
      </c>
      <c r="C10366" s="2" t="s">
        <v>95</v>
      </c>
      <c r="D10366" s="2" t="s">
        <v>30269</v>
      </c>
      <c r="E10366" s="2" t="s">
        <v>12954</v>
      </c>
      <c r="F10366" s="4">
        <v>7374</v>
      </c>
      <c r="G10366" s="2" t="s">
        <v>223</v>
      </c>
      <c r="H10366" s="2" t="s">
        <v>34</v>
      </c>
      <c r="I10366" s="2" t="s">
        <v>30270</v>
      </c>
      <c r="J10366" s="2" t="s">
        <v>244</v>
      </c>
      <c r="K10366" s="2" t="s">
        <v>53</v>
      </c>
      <c r="L10366" s="2" t="s">
        <v>34</v>
      </c>
      <c r="M10366" s="2"/>
      <c r="N10366" s="2"/>
      <c r="O10366" s="2"/>
      <c r="P10366" s="2" t="s">
        <v>30271</v>
      </c>
      <c r="Q10366" s="6">
        <v>100</v>
      </c>
      <c r="R10366" s="6">
        <v>32</v>
      </c>
      <c r="S10366" s="5">
        <v>76.7</v>
      </c>
      <c r="T10366" s="7">
        <v>152.30600000000001</v>
      </c>
      <c r="U10366" s="5">
        <v>8.6999999999999993</v>
      </c>
      <c r="V10366" s="6">
        <v>1.67</v>
      </c>
      <c r="W10366" s="6">
        <v>22.16</v>
      </c>
      <c r="X10366" s="6">
        <v>21.95</v>
      </c>
      <c r="Y10366" s="6">
        <v>22.63</v>
      </c>
      <c r="Z10366" s="6">
        <v>25.06</v>
      </c>
      <c r="AA10366" s="6">
        <v>43</v>
      </c>
      <c r="AB10366" s="7">
        <v>13.106</v>
      </c>
      <c r="AC10366" s="2"/>
    </row>
    <row r="10367" spans="1:29" ht="143" x14ac:dyDescent="0.15">
      <c r="A10367" s="3">
        <f>DATE(2012,10,22)</f>
        <v>41204</v>
      </c>
      <c r="B10367" s="3">
        <f>DATE(2013,4,6)</f>
        <v>41370</v>
      </c>
      <c r="C10367" s="2" t="s">
        <v>95</v>
      </c>
      <c r="D10367" s="2" t="s">
        <v>30272</v>
      </c>
      <c r="E10367" s="2" t="s">
        <v>265</v>
      </c>
      <c r="F10367" s="4">
        <v>6021</v>
      </c>
      <c r="G10367" s="2" t="s">
        <v>37</v>
      </c>
      <c r="H10367" s="2" t="s">
        <v>34</v>
      </c>
      <c r="I10367" s="2" t="s">
        <v>21951</v>
      </c>
      <c r="J10367" s="2" t="s">
        <v>36</v>
      </c>
      <c r="K10367" s="2" t="s">
        <v>37</v>
      </c>
      <c r="L10367" s="2" t="s">
        <v>34</v>
      </c>
      <c r="M10367" s="10">
        <v>1624.88</v>
      </c>
      <c r="N10367" s="6">
        <v>10.68</v>
      </c>
      <c r="O10367" s="6">
        <v>10.71</v>
      </c>
      <c r="P10367" s="2" t="s">
        <v>30273</v>
      </c>
      <c r="Q10367" s="6">
        <v>100</v>
      </c>
      <c r="R10367" s="6">
        <v>12.09</v>
      </c>
      <c r="S10367" s="5">
        <v>3.5</v>
      </c>
      <c r="T10367" s="7">
        <v>6.1369999999999996</v>
      </c>
      <c r="U10367" s="5">
        <v>8.1</v>
      </c>
      <c r="V10367" s="6">
        <v>0.78</v>
      </c>
      <c r="W10367" s="6">
        <v>7.45</v>
      </c>
      <c r="X10367" s="5">
        <v>8.1</v>
      </c>
      <c r="Y10367" s="6">
        <v>7.75</v>
      </c>
      <c r="Z10367" s="6">
        <v>11.79</v>
      </c>
      <c r="AA10367" s="6">
        <v>3.98</v>
      </c>
      <c r="AB10367" s="7">
        <v>19.684999999999999</v>
      </c>
      <c r="AC10367" s="2"/>
    </row>
    <row r="10368" spans="1:29" ht="104" x14ac:dyDescent="0.15">
      <c r="A10368" s="3">
        <f>DATE(2012,10,22)</f>
        <v>41204</v>
      </c>
      <c r="B10368" s="3">
        <f>DATE(2013,3,28)</f>
        <v>41361</v>
      </c>
      <c r="C10368" s="2" t="s">
        <v>95</v>
      </c>
      <c r="D10368" s="2" t="s">
        <v>17879</v>
      </c>
      <c r="E10368" s="2" t="s">
        <v>10826</v>
      </c>
      <c r="F10368" s="4">
        <v>3537</v>
      </c>
      <c r="G10368" s="2" t="s">
        <v>300</v>
      </c>
      <c r="H10368" s="2" t="s">
        <v>34</v>
      </c>
      <c r="I10368" s="2" t="s">
        <v>30274</v>
      </c>
      <c r="J10368" s="2" t="s">
        <v>30275</v>
      </c>
      <c r="K10368" s="2" t="s">
        <v>300</v>
      </c>
      <c r="L10368" s="2" t="s">
        <v>99</v>
      </c>
      <c r="M10368" s="12">
        <v>9449.3790000000008</v>
      </c>
      <c r="N10368" s="7">
        <v>28.888000000000002</v>
      </c>
      <c r="O10368" s="7">
        <v>29.088999999999999</v>
      </c>
      <c r="P10368" s="2" t="s">
        <v>30276</v>
      </c>
      <c r="Q10368" s="6">
        <v>100</v>
      </c>
      <c r="R10368" s="6">
        <v>65</v>
      </c>
      <c r="S10368" s="5">
        <v>60.6</v>
      </c>
      <c r="T10368" s="7">
        <v>89.864000000000004</v>
      </c>
      <c r="U10368" s="5">
        <v>29.5</v>
      </c>
      <c r="V10368" s="6">
        <v>5.35</v>
      </c>
      <c r="W10368" s="6">
        <v>54.67</v>
      </c>
      <c r="X10368" s="6">
        <v>55.08</v>
      </c>
      <c r="Y10368" s="6">
        <v>64.97</v>
      </c>
      <c r="Z10368" s="6">
        <v>65.069999999999993</v>
      </c>
      <c r="AA10368" s="6">
        <v>11.2</v>
      </c>
      <c r="AB10368" s="7">
        <v>9.2490000000000006</v>
      </c>
      <c r="AC10368" s="8">
        <v>3946.1</v>
      </c>
    </row>
    <row r="10369" spans="1:29" ht="91" x14ac:dyDescent="0.15">
      <c r="A10369" s="3">
        <f>DATE(2012,10,23)</f>
        <v>41205</v>
      </c>
      <c r="B10369" s="2"/>
      <c r="C10369" s="2" t="s">
        <v>30</v>
      </c>
      <c r="D10369" s="2" t="s">
        <v>26990</v>
      </c>
      <c r="E10369" s="2" t="s">
        <v>26991</v>
      </c>
      <c r="F10369" s="4">
        <v>3143</v>
      </c>
      <c r="G10369" s="2" t="s">
        <v>326</v>
      </c>
      <c r="H10369" s="2" t="s">
        <v>34</v>
      </c>
      <c r="I10369" s="2" t="s">
        <v>30277</v>
      </c>
      <c r="J10369" s="2" t="s">
        <v>244</v>
      </c>
      <c r="K10369" s="2" t="s">
        <v>53</v>
      </c>
      <c r="L10369" s="2" t="s">
        <v>34</v>
      </c>
      <c r="M10369" s="2"/>
      <c r="N10369" s="2"/>
      <c r="O10369" s="2"/>
      <c r="P10369" s="2" t="s">
        <v>30278</v>
      </c>
      <c r="Q10369" s="2"/>
      <c r="R10369" s="2"/>
      <c r="S10369" s="5">
        <v>-7.6</v>
      </c>
      <c r="T10369" s="7">
        <v>-5.4589999999999996</v>
      </c>
      <c r="U10369" s="5">
        <v>2.4</v>
      </c>
      <c r="V10369" s="6">
        <v>-0.27</v>
      </c>
      <c r="W10369" s="6">
        <v>1.85</v>
      </c>
      <c r="X10369" s="6">
        <v>1.85</v>
      </c>
      <c r="Y10369" s="6">
        <v>2.2599999999999998</v>
      </c>
      <c r="Z10369" s="6">
        <v>2.2599999999999998</v>
      </c>
      <c r="AA10369" s="6">
        <v>27.57</v>
      </c>
      <c r="AB10369" s="2" t="s">
        <v>86</v>
      </c>
      <c r="AC10369" s="2"/>
    </row>
    <row r="10370" spans="1:29" ht="169" x14ac:dyDescent="0.15">
      <c r="A10370" s="3">
        <f>DATE(2012,10,24)</f>
        <v>41206</v>
      </c>
      <c r="B10370" s="3">
        <f>DATE(2013,3,13)</f>
        <v>41346</v>
      </c>
      <c r="C10370" s="2" t="s">
        <v>95</v>
      </c>
      <c r="D10370" s="2" t="s">
        <v>7429</v>
      </c>
      <c r="E10370" s="2" t="s">
        <v>7430</v>
      </c>
      <c r="F10370" s="4">
        <v>3089</v>
      </c>
      <c r="G10370" s="2" t="s">
        <v>447</v>
      </c>
      <c r="H10370" s="2" t="s">
        <v>34</v>
      </c>
      <c r="I10370" s="2" t="s">
        <v>30279</v>
      </c>
      <c r="J10370" s="2" t="s">
        <v>30280</v>
      </c>
      <c r="K10370" s="2" t="s">
        <v>98</v>
      </c>
      <c r="L10370" s="2" t="s">
        <v>34</v>
      </c>
      <c r="M10370" s="12">
        <v>1474.1980000000001</v>
      </c>
      <c r="N10370" s="6">
        <v>18.36</v>
      </c>
      <c r="O10370" s="6">
        <v>18.21</v>
      </c>
      <c r="P10370" s="2" t="s">
        <v>30281</v>
      </c>
      <c r="Q10370" s="6">
        <v>100</v>
      </c>
      <c r="R10370" s="6">
        <v>8</v>
      </c>
      <c r="S10370" s="5">
        <v>-24.4</v>
      </c>
      <c r="T10370" s="7">
        <v>52.832000000000001</v>
      </c>
      <c r="U10370" s="5">
        <v>5.8</v>
      </c>
      <c r="V10370" s="6">
        <v>-0.79</v>
      </c>
      <c r="W10370" s="6">
        <v>5.28</v>
      </c>
      <c r="X10370" s="6">
        <v>5.14</v>
      </c>
      <c r="Y10370" s="6">
        <v>8.3800000000000008</v>
      </c>
      <c r="Z10370" s="6">
        <v>8.2899999999999991</v>
      </c>
      <c r="AA10370" s="6">
        <v>30.79</v>
      </c>
      <c r="AB10370" s="7">
        <v>19.428999999999998</v>
      </c>
      <c r="AC10370" s="5">
        <v>249.8</v>
      </c>
    </row>
    <row r="10371" spans="1:29" ht="52" x14ac:dyDescent="0.15">
      <c r="A10371" s="3">
        <f>DATE(2012,10,25)</f>
        <v>41207</v>
      </c>
      <c r="B10371" s="2"/>
      <c r="C10371" s="2" t="s">
        <v>87</v>
      </c>
      <c r="D10371" s="2" t="s">
        <v>23759</v>
      </c>
      <c r="E10371" s="2" t="s">
        <v>23760</v>
      </c>
      <c r="F10371" s="4">
        <v>6036</v>
      </c>
      <c r="G10371" s="2" t="s">
        <v>33</v>
      </c>
      <c r="H10371" s="2" t="s">
        <v>34</v>
      </c>
      <c r="I10371" s="2" t="s">
        <v>350</v>
      </c>
      <c r="J10371" s="2" t="s">
        <v>351</v>
      </c>
      <c r="K10371" s="2" t="s">
        <v>137</v>
      </c>
      <c r="L10371" s="2" t="s">
        <v>34</v>
      </c>
      <c r="M10371" s="12">
        <v>240002.524</v>
      </c>
      <c r="N10371" s="6">
        <v>21.26</v>
      </c>
      <c r="O10371" s="6">
        <v>21.11</v>
      </c>
      <c r="P10371" s="2" t="s">
        <v>30282</v>
      </c>
      <c r="Q10371" s="2"/>
      <c r="R10371" s="2"/>
      <c r="S10371" s="5">
        <v>-159.30000000000001</v>
      </c>
      <c r="T10371" s="7">
        <v>435.43400000000003</v>
      </c>
      <c r="U10371" s="5">
        <v>8.9</v>
      </c>
      <c r="V10371" s="6">
        <v>-0.32</v>
      </c>
      <c r="W10371" s="6">
        <v>8.75</v>
      </c>
      <c r="X10371" s="6">
        <v>8.66</v>
      </c>
      <c r="Y10371" s="6">
        <v>8.69</v>
      </c>
      <c r="Z10371" s="6">
        <v>8.6199999999999992</v>
      </c>
      <c r="AA10371" s="6">
        <v>528.13</v>
      </c>
      <c r="AB10371" s="2" t="s">
        <v>47</v>
      </c>
      <c r="AC10371" s="8">
        <v>134180</v>
      </c>
    </row>
    <row r="10372" spans="1:29" ht="78" x14ac:dyDescent="0.15">
      <c r="A10372" s="3">
        <f>DATE(2012,10,25)</f>
        <v>41207</v>
      </c>
      <c r="B10372" s="3">
        <f>DATE(2013,2,22)</f>
        <v>41327</v>
      </c>
      <c r="C10372" s="2" t="s">
        <v>95</v>
      </c>
      <c r="D10372" s="2" t="s">
        <v>17102</v>
      </c>
      <c r="E10372" s="2" t="s">
        <v>17103</v>
      </c>
      <c r="F10372" s="4">
        <v>5047</v>
      </c>
      <c r="G10372" s="2" t="s">
        <v>76</v>
      </c>
      <c r="H10372" s="2" t="s">
        <v>34</v>
      </c>
      <c r="I10372" s="2" t="s">
        <v>10549</v>
      </c>
      <c r="J10372" s="2" t="s">
        <v>21611</v>
      </c>
      <c r="K10372" s="2" t="s">
        <v>593</v>
      </c>
      <c r="L10372" s="2" t="s">
        <v>34</v>
      </c>
      <c r="M10372" s="12">
        <v>20568.166000000001</v>
      </c>
      <c r="N10372" s="6">
        <v>93.16</v>
      </c>
      <c r="O10372" s="6">
        <v>92.58</v>
      </c>
      <c r="P10372" s="2" t="s">
        <v>30283</v>
      </c>
      <c r="Q10372" s="6">
        <v>100</v>
      </c>
      <c r="R10372" s="6">
        <v>29</v>
      </c>
      <c r="S10372" s="5">
        <v>66.099999999999994</v>
      </c>
      <c r="T10372" s="7">
        <v>158.64400000000001</v>
      </c>
      <c r="U10372" s="5">
        <v>8.1</v>
      </c>
      <c r="V10372" s="6">
        <v>1.2</v>
      </c>
      <c r="W10372" s="6">
        <v>22.08</v>
      </c>
      <c r="X10372" s="5">
        <v>21.6</v>
      </c>
      <c r="Y10372" s="6">
        <v>28.57</v>
      </c>
      <c r="Z10372" s="6">
        <v>28.57</v>
      </c>
      <c r="AA10372" s="6">
        <v>50.28</v>
      </c>
      <c r="AB10372" s="7">
        <v>14.45</v>
      </c>
      <c r="AC10372" s="8">
        <v>2831</v>
      </c>
    </row>
    <row r="10373" spans="1:29" ht="208" x14ac:dyDescent="0.15">
      <c r="A10373" s="3">
        <f>DATE(2012,10,29)</f>
        <v>41211</v>
      </c>
      <c r="B10373" s="3">
        <f>DATE(2013,9,30)</f>
        <v>41547</v>
      </c>
      <c r="C10373" s="2" t="s">
        <v>95</v>
      </c>
      <c r="D10373" s="2" t="s">
        <v>30284</v>
      </c>
      <c r="E10373" s="2" t="s">
        <v>30285</v>
      </c>
      <c r="F10373" s="4">
        <v>2652</v>
      </c>
      <c r="G10373" s="2" t="s">
        <v>282</v>
      </c>
      <c r="H10373" s="2" t="s">
        <v>34</v>
      </c>
      <c r="I10373" s="2" t="s">
        <v>30286</v>
      </c>
      <c r="J10373" s="2" t="s">
        <v>11337</v>
      </c>
      <c r="K10373" s="2" t="s">
        <v>53</v>
      </c>
      <c r="L10373" s="2" t="s">
        <v>34</v>
      </c>
      <c r="M10373" s="2"/>
      <c r="N10373" s="2"/>
      <c r="O10373" s="2"/>
      <c r="P10373" s="2" t="s">
        <v>30287</v>
      </c>
      <c r="Q10373" s="6">
        <v>78.5</v>
      </c>
      <c r="R10373" s="6">
        <v>9.25</v>
      </c>
      <c r="S10373" s="5">
        <v>2.2999999999999998</v>
      </c>
      <c r="T10373" s="7">
        <v>7.1340000000000003</v>
      </c>
      <c r="U10373" s="5">
        <v>8.6</v>
      </c>
      <c r="V10373" s="7">
        <v>0.68799999999999994</v>
      </c>
      <c r="W10373" s="6">
        <v>5.12</v>
      </c>
      <c r="X10373" s="6">
        <v>5.49</v>
      </c>
      <c r="Y10373" s="6">
        <v>5.49</v>
      </c>
      <c r="Z10373" s="6">
        <v>5.49</v>
      </c>
      <c r="AA10373" s="6">
        <v>3.67</v>
      </c>
      <c r="AB10373" s="7">
        <v>7.726</v>
      </c>
      <c r="AC10373" s="2"/>
    </row>
    <row r="10374" spans="1:29" ht="169" x14ac:dyDescent="0.15">
      <c r="A10374" s="3">
        <f>DATE(2012,10,29)</f>
        <v>41211</v>
      </c>
      <c r="B10374" s="3">
        <f>DATE(2012,12,18)</f>
        <v>41261</v>
      </c>
      <c r="C10374" s="2" t="s">
        <v>95</v>
      </c>
      <c r="D10374" s="2" t="s">
        <v>30288</v>
      </c>
      <c r="E10374" s="2" t="s">
        <v>30289</v>
      </c>
      <c r="F10374" s="4">
        <v>7372</v>
      </c>
      <c r="G10374" s="2" t="s">
        <v>551</v>
      </c>
      <c r="H10374" s="2" t="s">
        <v>34</v>
      </c>
      <c r="I10374" s="2" t="s">
        <v>30290</v>
      </c>
      <c r="J10374" s="2" t="s">
        <v>30291</v>
      </c>
      <c r="K10374" s="2" t="s">
        <v>50</v>
      </c>
      <c r="L10374" s="2" t="s">
        <v>34</v>
      </c>
      <c r="M10374" s="12">
        <v>3521.0830000000001</v>
      </c>
      <c r="N10374" s="6">
        <v>22.62</v>
      </c>
      <c r="O10374" s="6">
        <v>22.62</v>
      </c>
      <c r="P10374" s="2" t="s">
        <v>30292</v>
      </c>
      <c r="Q10374" s="6">
        <v>100</v>
      </c>
      <c r="R10374" s="6">
        <v>42.83</v>
      </c>
      <c r="S10374" s="5">
        <v>16.600000000000001</v>
      </c>
      <c r="T10374" s="7">
        <v>33.744</v>
      </c>
      <c r="U10374" s="5">
        <v>5.5</v>
      </c>
      <c r="V10374" s="6">
        <v>0.74</v>
      </c>
      <c r="W10374" s="6">
        <v>32.53</v>
      </c>
      <c r="X10374" s="5">
        <v>32.1</v>
      </c>
      <c r="Y10374" s="5">
        <v>32.1</v>
      </c>
      <c r="Z10374" s="5">
        <v>32.1</v>
      </c>
      <c r="AA10374" s="6">
        <v>23.1</v>
      </c>
      <c r="AB10374" s="7">
        <v>34.753</v>
      </c>
      <c r="AC10374" s="6">
        <v>534.35</v>
      </c>
    </row>
    <row r="10375" spans="1:29" ht="91" x14ac:dyDescent="0.15">
      <c r="A10375" s="3">
        <f>DATE(2012,10,30)</f>
        <v>41212</v>
      </c>
      <c r="B10375" s="3">
        <f>DATE(2013,4,10)</f>
        <v>41374</v>
      </c>
      <c r="C10375" s="2" t="s">
        <v>95</v>
      </c>
      <c r="D10375" s="2" t="s">
        <v>17874</v>
      </c>
      <c r="E10375" s="2" t="s">
        <v>36</v>
      </c>
      <c r="F10375" s="4">
        <v>6021</v>
      </c>
      <c r="G10375" s="2" t="s">
        <v>37</v>
      </c>
      <c r="H10375" s="2" t="s">
        <v>34</v>
      </c>
      <c r="I10375" s="2" t="s">
        <v>30293</v>
      </c>
      <c r="J10375" s="2" t="s">
        <v>36</v>
      </c>
      <c r="K10375" s="2" t="s">
        <v>37</v>
      </c>
      <c r="L10375" s="2" t="s">
        <v>34</v>
      </c>
      <c r="M10375" s="2"/>
      <c r="N10375" s="2"/>
      <c r="O10375" s="2"/>
      <c r="P10375" s="2" t="s">
        <v>30294</v>
      </c>
      <c r="Q10375" s="6">
        <v>100</v>
      </c>
      <c r="R10375" s="6">
        <v>1.65</v>
      </c>
      <c r="S10375" s="5">
        <v>-8.1999999999999993</v>
      </c>
      <c r="T10375" s="7">
        <v>-5.1870000000000003</v>
      </c>
      <c r="U10375" s="5">
        <v>4</v>
      </c>
      <c r="V10375" s="6">
        <v>-1.07</v>
      </c>
      <c r="W10375" s="6">
        <v>1.64</v>
      </c>
      <c r="X10375" s="6">
        <v>1.51</v>
      </c>
      <c r="Y10375" s="6">
        <v>1.51</v>
      </c>
      <c r="Z10375" s="5">
        <v>1.6</v>
      </c>
      <c r="AA10375" s="6">
        <v>10.029999999999999</v>
      </c>
      <c r="AB10375" s="2" t="s">
        <v>86</v>
      </c>
      <c r="AC10375" s="2"/>
    </row>
    <row r="10376" spans="1:29" ht="130" x14ac:dyDescent="0.15">
      <c r="A10376" s="3">
        <f>DATE(2012,10,30)</f>
        <v>41212</v>
      </c>
      <c r="B10376" s="2"/>
      <c r="C10376" s="2" t="s">
        <v>30</v>
      </c>
      <c r="D10376" s="2" t="s">
        <v>30295</v>
      </c>
      <c r="E10376" s="2" t="s">
        <v>13693</v>
      </c>
      <c r="F10376" s="4">
        <v>2834</v>
      </c>
      <c r="G10376" s="2" t="s">
        <v>130</v>
      </c>
      <c r="H10376" s="2" t="s">
        <v>34</v>
      </c>
      <c r="I10376" s="2" t="s">
        <v>30296</v>
      </c>
      <c r="J10376" s="2" t="s">
        <v>540</v>
      </c>
      <c r="K10376" s="2" t="s">
        <v>130</v>
      </c>
      <c r="L10376" s="2" t="s">
        <v>34</v>
      </c>
      <c r="M10376" s="2"/>
      <c r="N10376" s="2"/>
      <c r="O10376" s="2"/>
      <c r="P10376" s="2" t="s">
        <v>30297</v>
      </c>
      <c r="Q10376" s="2"/>
      <c r="R10376" s="6">
        <v>34</v>
      </c>
      <c r="S10376" s="5">
        <v>15.1</v>
      </c>
      <c r="T10376" s="7">
        <v>37.002000000000002</v>
      </c>
      <c r="U10376" s="5">
        <v>4</v>
      </c>
      <c r="V10376" s="6">
        <v>0.51</v>
      </c>
      <c r="W10376" s="6">
        <v>23.28</v>
      </c>
      <c r="X10376" s="6">
        <v>23.19</v>
      </c>
      <c r="Y10376" s="6">
        <v>23.19</v>
      </c>
      <c r="Z10376" s="6">
        <v>33.840000000000003</v>
      </c>
      <c r="AA10376" s="6">
        <v>29.3</v>
      </c>
      <c r="AB10376" s="7">
        <v>39.932000000000002</v>
      </c>
      <c r="AC10376" s="2"/>
    </row>
    <row r="10377" spans="1:29" ht="130" x14ac:dyDescent="0.15">
      <c r="A10377" s="3">
        <f>DATE(2012,10,31)</f>
        <v>41213</v>
      </c>
      <c r="B10377" s="3">
        <f>DATE(2013,2,13)</f>
        <v>41318</v>
      </c>
      <c r="C10377" s="2" t="s">
        <v>95</v>
      </c>
      <c r="D10377" s="2" t="s">
        <v>8059</v>
      </c>
      <c r="E10377" s="2" t="s">
        <v>30298</v>
      </c>
      <c r="F10377" s="4">
        <v>2342</v>
      </c>
      <c r="G10377" s="2" t="s">
        <v>708</v>
      </c>
      <c r="H10377" s="2" t="s">
        <v>34</v>
      </c>
      <c r="I10377" s="2" t="s">
        <v>30299</v>
      </c>
      <c r="J10377" s="2" t="s">
        <v>30300</v>
      </c>
      <c r="K10377" s="2" t="s">
        <v>708</v>
      </c>
      <c r="L10377" s="2" t="s">
        <v>34</v>
      </c>
      <c r="M10377" s="12">
        <v>6681.6390000000001</v>
      </c>
      <c r="N10377" s="6">
        <v>109.99</v>
      </c>
      <c r="O10377" s="6">
        <v>114.75</v>
      </c>
      <c r="P10377" s="2" t="s">
        <v>30301</v>
      </c>
      <c r="Q10377" s="6">
        <v>100</v>
      </c>
      <c r="R10377" s="6">
        <v>68.42</v>
      </c>
      <c r="S10377" s="5">
        <v>78.900000000000006</v>
      </c>
      <c r="T10377" s="7">
        <v>250.16800000000001</v>
      </c>
      <c r="U10377" s="5">
        <v>25.1</v>
      </c>
      <c r="V10377" s="6">
        <v>1.89</v>
      </c>
      <c r="W10377" s="6">
        <v>52.21</v>
      </c>
      <c r="X10377" s="6">
        <v>50.88</v>
      </c>
      <c r="Y10377" s="6">
        <v>70.58</v>
      </c>
      <c r="Z10377" s="6">
        <v>71.430000000000007</v>
      </c>
      <c r="AA10377" s="6">
        <v>40.869999999999997</v>
      </c>
      <c r="AB10377" s="7">
        <v>14.798999999999999</v>
      </c>
      <c r="AC10377" s="6">
        <v>280.36</v>
      </c>
    </row>
    <row r="10378" spans="1:29" ht="182" x14ac:dyDescent="0.15">
      <c r="A10378" s="3">
        <f>DATE(2012,11,1)</f>
        <v>41214</v>
      </c>
      <c r="B10378" s="3">
        <f>DATE(2012,12,21)</f>
        <v>41264</v>
      </c>
      <c r="C10378" s="2" t="s">
        <v>95</v>
      </c>
      <c r="D10378" s="2" t="s">
        <v>22070</v>
      </c>
      <c r="E10378" s="2" t="s">
        <v>4679</v>
      </c>
      <c r="F10378" s="4">
        <v>7372</v>
      </c>
      <c r="G10378" s="2" t="s">
        <v>551</v>
      </c>
      <c r="H10378" s="2" t="s">
        <v>34</v>
      </c>
      <c r="I10378" s="2" t="s">
        <v>30302</v>
      </c>
      <c r="J10378" s="2" t="s">
        <v>30303</v>
      </c>
      <c r="K10378" s="2" t="s">
        <v>551</v>
      </c>
      <c r="L10378" s="2" t="s">
        <v>34</v>
      </c>
      <c r="M10378" s="2"/>
      <c r="N10378" s="2"/>
      <c r="O10378" s="2"/>
      <c r="P10378" s="2" t="s">
        <v>30304</v>
      </c>
      <c r="Q10378" s="6">
        <v>100</v>
      </c>
      <c r="R10378" s="6">
        <v>45</v>
      </c>
      <c r="S10378" s="5">
        <v>36.6</v>
      </c>
      <c r="T10378" s="7">
        <v>179.27799999999999</v>
      </c>
      <c r="U10378" s="5">
        <v>17</v>
      </c>
      <c r="V10378" s="6">
        <v>0.84</v>
      </c>
      <c r="W10378" s="6">
        <v>34.18</v>
      </c>
      <c r="X10378" s="6">
        <v>33.92</v>
      </c>
      <c r="Y10378" s="6">
        <v>33.92</v>
      </c>
      <c r="Z10378" s="6">
        <v>33.92</v>
      </c>
      <c r="AA10378" s="6">
        <v>42.81</v>
      </c>
      <c r="AB10378" s="7">
        <v>15.096</v>
      </c>
      <c r="AC10378" s="2"/>
    </row>
    <row r="10379" spans="1:29" ht="104" x14ac:dyDescent="0.15">
      <c r="A10379" s="3">
        <f>DATE(2012,11,1)</f>
        <v>41214</v>
      </c>
      <c r="B10379" s="3">
        <f>DATE(2012,12,14)</f>
        <v>41257</v>
      </c>
      <c r="C10379" s="2" t="s">
        <v>95</v>
      </c>
      <c r="D10379" s="2" t="s">
        <v>30305</v>
      </c>
      <c r="E10379" s="2" t="s">
        <v>3336</v>
      </c>
      <c r="F10379" s="4">
        <v>3714</v>
      </c>
      <c r="G10379" s="2" t="s">
        <v>105</v>
      </c>
      <c r="H10379" s="2" t="s">
        <v>34</v>
      </c>
      <c r="I10379" s="2" t="s">
        <v>485</v>
      </c>
      <c r="J10379" s="2" t="s">
        <v>486</v>
      </c>
      <c r="K10379" s="2" t="s">
        <v>300</v>
      </c>
      <c r="L10379" s="2" t="s">
        <v>34</v>
      </c>
      <c r="M10379" s="10">
        <v>1546.42</v>
      </c>
      <c r="N10379" s="5">
        <v>31.5</v>
      </c>
      <c r="O10379" s="6">
        <v>30.97</v>
      </c>
      <c r="P10379" s="2" t="s">
        <v>30306</v>
      </c>
      <c r="Q10379" s="6">
        <v>100</v>
      </c>
      <c r="R10379" s="6">
        <v>15.42</v>
      </c>
      <c r="S10379" s="5">
        <v>3.4</v>
      </c>
      <c r="T10379" s="7">
        <v>7.9169999999999998</v>
      </c>
      <c r="U10379" s="5">
        <v>2.2999999999999998</v>
      </c>
      <c r="V10379" s="6">
        <v>0.44</v>
      </c>
      <c r="W10379" s="5">
        <v>10.9</v>
      </c>
      <c r="X10379" s="6">
        <v>10.91</v>
      </c>
      <c r="Y10379" s="6">
        <v>15.36</v>
      </c>
      <c r="Z10379" s="6">
        <v>15.37</v>
      </c>
      <c r="AA10379" s="6">
        <v>7.38</v>
      </c>
      <c r="AB10379" s="7">
        <v>20.373000000000001</v>
      </c>
      <c r="AC10379" s="6">
        <v>239.58</v>
      </c>
    </row>
    <row r="10380" spans="1:29" ht="65" x14ac:dyDescent="0.15">
      <c r="A10380" s="3">
        <f>DATE(2012,11,2)</f>
        <v>41215</v>
      </c>
      <c r="B10380" s="2"/>
      <c r="C10380" s="2" t="s">
        <v>87</v>
      </c>
      <c r="D10380" s="2" t="s">
        <v>30307</v>
      </c>
      <c r="E10380" s="2" t="s">
        <v>13678</v>
      </c>
      <c r="F10380" s="4">
        <v>5531</v>
      </c>
      <c r="G10380" s="2" t="s">
        <v>73</v>
      </c>
      <c r="H10380" s="2" t="s">
        <v>34</v>
      </c>
      <c r="I10380" s="2" t="s">
        <v>143</v>
      </c>
      <c r="J10380" s="2" t="s">
        <v>144</v>
      </c>
      <c r="K10380" s="2" t="s">
        <v>53</v>
      </c>
      <c r="L10380" s="2" t="s">
        <v>139</v>
      </c>
      <c r="M10380" s="2"/>
      <c r="N10380" s="2"/>
      <c r="O10380" s="2"/>
      <c r="P10380" s="2" t="s">
        <v>30308</v>
      </c>
      <c r="Q10380" s="2"/>
      <c r="R10380" s="2"/>
      <c r="S10380" s="5">
        <v>388.2</v>
      </c>
      <c r="T10380" s="7">
        <v>842.34100000000001</v>
      </c>
      <c r="U10380" s="5">
        <v>15.6</v>
      </c>
      <c r="V10380" s="6">
        <v>5.26</v>
      </c>
      <c r="W10380" s="6">
        <v>68.14</v>
      </c>
      <c r="X10380" s="4">
        <v>81</v>
      </c>
      <c r="Y10380" s="6">
        <v>79.97</v>
      </c>
      <c r="Z10380" s="6">
        <v>80.790000000000006</v>
      </c>
      <c r="AA10380" s="6">
        <v>73.33</v>
      </c>
      <c r="AB10380" s="2" t="s">
        <v>47</v>
      </c>
      <c r="AC10380" s="2"/>
    </row>
    <row r="10381" spans="1:29" ht="78" x14ac:dyDescent="0.15">
      <c r="A10381" s="3">
        <f>DATE(2012,11,5)</f>
        <v>41218</v>
      </c>
      <c r="B10381" s="3">
        <f>DATE(2013,2,15)</f>
        <v>41320</v>
      </c>
      <c r="C10381" s="2" t="s">
        <v>95</v>
      </c>
      <c r="D10381" s="2" t="s">
        <v>30309</v>
      </c>
      <c r="E10381" s="2" t="s">
        <v>2712</v>
      </c>
      <c r="F10381" s="4">
        <v>6211</v>
      </c>
      <c r="G10381" s="2" t="s">
        <v>53</v>
      </c>
      <c r="H10381" s="2" t="s">
        <v>34</v>
      </c>
      <c r="I10381" s="2" t="s">
        <v>2718</v>
      </c>
      <c r="J10381" s="2" t="s">
        <v>2719</v>
      </c>
      <c r="K10381" s="2" t="s">
        <v>53</v>
      </c>
      <c r="L10381" s="2" t="s">
        <v>34</v>
      </c>
      <c r="M10381" s="12">
        <v>1820.5709999999999</v>
      </c>
      <c r="N10381" s="6">
        <v>32.58</v>
      </c>
      <c r="O10381" s="6">
        <v>32.49</v>
      </c>
      <c r="P10381" s="2" t="s">
        <v>30310</v>
      </c>
      <c r="Q10381" s="6">
        <v>100</v>
      </c>
      <c r="R10381" s="6">
        <v>17.5</v>
      </c>
      <c r="S10381" s="5">
        <v>-27.3</v>
      </c>
      <c r="T10381" s="7">
        <v>0.88400000000000001</v>
      </c>
      <c r="U10381" s="5">
        <v>12.6</v>
      </c>
      <c r="V10381" s="6">
        <v>-0.89</v>
      </c>
      <c r="W10381" s="6">
        <v>16.149999999999999</v>
      </c>
      <c r="X10381" s="5">
        <v>16.3</v>
      </c>
      <c r="Y10381" s="6">
        <v>17.47</v>
      </c>
      <c r="Z10381" s="6">
        <v>17.649999999999999</v>
      </c>
      <c r="AA10381" s="6">
        <v>34.64</v>
      </c>
      <c r="AB10381" s="2" t="s">
        <v>86</v>
      </c>
      <c r="AC10381" s="5">
        <v>804.2</v>
      </c>
    </row>
    <row r="10382" spans="1:29" ht="117" x14ac:dyDescent="0.15">
      <c r="A10382" s="3">
        <f>DATE(2012,11,5)</f>
        <v>41218</v>
      </c>
      <c r="B10382" s="3">
        <f>DATE(2012,12,21)</f>
        <v>41264</v>
      </c>
      <c r="C10382" s="2" t="s">
        <v>95</v>
      </c>
      <c r="D10382" s="2" t="s">
        <v>30311</v>
      </c>
      <c r="E10382" s="2" t="s">
        <v>29355</v>
      </c>
      <c r="F10382" s="4">
        <v>8011</v>
      </c>
      <c r="G10382" s="2" t="s">
        <v>454</v>
      </c>
      <c r="H10382" s="2" t="s">
        <v>34</v>
      </c>
      <c r="I10382" s="2" t="s">
        <v>6602</v>
      </c>
      <c r="J10382" s="2" t="s">
        <v>5765</v>
      </c>
      <c r="K10382" s="2" t="s">
        <v>125</v>
      </c>
      <c r="L10382" s="2" t="s">
        <v>34</v>
      </c>
      <c r="M10382" s="12">
        <v>12002.297</v>
      </c>
      <c r="N10382" s="6">
        <v>75.52</v>
      </c>
      <c r="O10382" s="6">
        <v>76.16</v>
      </c>
      <c r="P10382" s="2" t="s">
        <v>30312</v>
      </c>
      <c r="Q10382" s="6">
        <v>100</v>
      </c>
      <c r="R10382" s="6">
        <v>11.25</v>
      </c>
      <c r="S10382" s="5">
        <v>22.9</v>
      </c>
      <c r="T10382" s="7">
        <v>96.063000000000002</v>
      </c>
      <c r="U10382" s="5">
        <v>2.9</v>
      </c>
      <c r="V10382" s="6">
        <v>0.49</v>
      </c>
      <c r="W10382" s="6">
        <v>11.02</v>
      </c>
      <c r="X10382" s="6">
        <v>10.85</v>
      </c>
      <c r="Y10382" s="6">
        <v>11.15</v>
      </c>
      <c r="Z10382" s="6">
        <v>11.17</v>
      </c>
      <c r="AA10382" s="6">
        <v>44.27</v>
      </c>
      <c r="AB10382" s="7">
        <v>9.7460000000000004</v>
      </c>
      <c r="AC10382" s="8">
        <v>1363</v>
      </c>
    </row>
    <row r="10383" spans="1:29" ht="169" x14ac:dyDescent="0.15">
      <c r="A10383" s="3">
        <f>DATE(2012,11,5)</f>
        <v>41218</v>
      </c>
      <c r="B10383" s="3">
        <f>DATE(2013,2,7)</f>
        <v>41312</v>
      </c>
      <c r="C10383" s="2" t="s">
        <v>95</v>
      </c>
      <c r="D10383" s="2" t="s">
        <v>13631</v>
      </c>
      <c r="E10383" s="2" t="s">
        <v>30313</v>
      </c>
      <c r="F10383" s="4">
        <v>3674</v>
      </c>
      <c r="G10383" s="2" t="s">
        <v>137</v>
      </c>
      <c r="H10383" s="2" t="s">
        <v>34</v>
      </c>
      <c r="I10383" s="2" t="s">
        <v>30314</v>
      </c>
      <c r="J10383" s="2" t="s">
        <v>30315</v>
      </c>
      <c r="K10383" s="2" t="s">
        <v>137</v>
      </c>
      <c r="L10383" s="2" t="s">
        <v>303</v>
      </c>
      <c r="M10383" s="10">
        <v>2144.86</v>
      </c>
      <c r="N10383" s="7">
        <v>7.431</v>
      </c>
      <c r="O10383" s="7">
        <v>7.585</v>
      </c>
      <c r="P10383" s="2" t="s">
        <v>30316</v>
      </c>
      <c r="Q10383" s="6">
        <v>100</v>
      </c>
      <c r="R10383" s="2"/>
      <c r="S10383" s="5">
        <v>9.4</v>
      </c>
      <c r="T10383" s="7">
        <v>13.041</v>
      </c>
      <c r="U10383" s="5">
        <v>2.4</v>
      </c>
      <c r="V10383" s="6">
        <v>0.16</v>
      </c>
      <c r="W10383" s="6">
        <v>5.24</v>
      </c>
      <c r="X10383" s="6">
        <v>5.21</v>
      </c>
      <c r="Y10383" s="6">
        <v>6.58</v>
      </c>
      <c r="Z10383" s="6">
        <v>6.31</v>
      </c>
      <c r="AA10383" s="6">
        <v>53.49</v>
      </c>
      <c r="AB10383" s="2" t="s">
        <v>86</v>
      </c>
      <c r="AC10383" s="6">
        <v>107.56</v>
      </c>
    </row>
    <row r="10384" spans="1:29" ht="65" x14ac:dyDescent="0.15">
      <c r="A10384" s="3">
        <f>DATE(2012,11,6)</f>
        <v>41219</v>
      </c>
      <c r="B10384" s="2"/>
      <c r="C10384" s="2" t="s">
        <v>30</v>
      </c>
      <c r="D10384" s="2" t="s">
        <v>30317</v>
      </c>
      <c r="E10384" s="2" t="s">
        <v>30318</v>
      </c>
      <c r="F10384" s="4">
        <v>3548</v>
      </c>
      <c r="G10384" s="2" t="s">
        <v>300</v>
      </c>
      <c r="H10384" s="2" t="s">
        <v>34</v>
      </c>
      <c r="I10384" s="2" t="s">
        <v>30319</v>
      </c>
      <c r="J10384" s="2" t="s">
        <v>429</v>
      </c>
      <c r="K10384" s="2" t="s">
        <v>300</v>
      </c>
      <c r="L10384" s="2" t="s">
        <v>34</v>
      </c>
      <c r="M10384" s="2"/>
      <c r="N10384" s="2"/>
      <c r="O10384" s="2"/>
      <c r="P10384" s="2" t="s">
        <v>30320</v>
      </c>
      <c r="Q10384" s="2"/>
      <c r="R10384" s="2"/>
      <c r="S10384" s="5">
        <v>0.3</v>
      </c>
      <c r="T10384" s="7">
        <v>0.46800000000000003</v>
      </c>
      <c r="U10384" s="5">
        <v>1</v>
      </c>
      <c r="V10384" s="6">
        <v>0.18</v>
      </c>
      <c r="W10384" s="6">
        <v>1.73</v>
      </c>
      <c r="X10384" s="6">
        <v>1.75</v>
      </c>
      <c r="Y10384" s="5">
        <v>1.7</v>
      </c>
      <c r="Z10384" s="5">
        <v>1.7</v>
      </c>
      <c r="AA10384" s="2"/>
      <c r="AB10384" s="2" t="s">
        <v>47</v>
      </c>
      <c r="AC10384" s="2"/>
    </row>
    <row r="10385" spans="1:29" ht="65" x14ac:dyDescent="0.15">
      <c r="A10385" s="3">
        <f>DATE(2012,11,6)</f>
        <v>41219</v>
      </c>
      <c r="B10385" s="2"/>
      <c r="C10385" s="2" t="s">
        <v>87</v>
      </c>
      <c r="D10385" s="2" t="s">
        <v>1291</v>
      </c>
      <c r="E10385" s="2" t="s">
        <v>30321</v>
      </c>
      <c r="F10385" s="4">
        <v>3944</v>
      </c>
      <c r="G10385" s="2" t="s">
        <v>112</v>
      </c>
      <c r="H10385" s="2" t="s">
        <v>34</v>
      </c>
      <c r="I10385" s="2" t="s">
        <v>1758</v>
      </c>
      <c r="J10385" s="2" t="s">
        <v>21697</v>
      </c>
      <c r="K10385" s="2" t="s">
        <v>364</v>
      </c>
      <c r="L10385" s="2" t="s">
        <v>34</v>
      </c>
      <c r="M10385" s="12">
        <v>92423.091</v>
      </c>
      <c r="N10385" s="6">
        <v>50.47</v>
      </c>
      <c r="O10385" s="6">
        <v>50.08</v>
      </c>
      <c r="P10385" s="2" t="s">
        <v>30322</v>
      </c>
      <c r="Q10385" s="2"/>
      <c r="R10385" s="2"/>
      <c r="S10385" s="5">
        <v>344.8</v>
      </c>
      <c r="T10385" s="6">
        <v>741.22</v>
      </c>
      <c r="U10385" s="5">
        <v>11.7</v>
      </c>
      <c r="V10385" s="6">
        <v>2.6</v>
      </c>
      <c r="W10385" s="6">
        <v>36.35</v>
      </c>
      <c r="X10385" s="6">
        <v>36.17</v>
      </c>
      <c r="Y10385" s="6">
        <v>37.79</v>
      </c>
      <c r="Z10385" s="6">
        <v>37.21</v>
      </c>
      <c r="AA10385" s="6">
        <v>130.22999999999999</v>
      </c>
      <c r="AB10385" s="2" t="s">
        <v>47</v>
      </c>
      <c r="AC10385" s="8">
        <v>3387</v>
      </c>
    </row>
    <row r="10386" spans="1:29" ht="156" x14ac:dyDescent="0.15">
      <c r="A10386" s="3">
        <f>DATE(2012,11,8)</f>
        <v>41221</v>
      </c>
      <c r="B10386" s="3">
        <f>DATE(2012,12,21)</f>
        <v>41264</v>
      </c>
      <c r="C10386" s="2" t="s">
        <v>95</v>
      </c>
      <c r="D10386" s="2" t="s">
        <v>30323</v>
      </c>
      <c r="E10386" s="2" t="s">
        <v>6292</v>
      </c>
      <c r="F10386" s="4">
        <v>2834</v>
      </c>
      <c r="G10386" s="2" t="s">
        <v>130</v>
      </c>
      <c r="H10386" s="2" t="s">
        <v>34</v>
      </c>
      <c r="I10386" s="2" t="s">
        <v>21655</v>
      </c>
      <c r="J10386" s="2" t="s">
        <v>21656</v>
      </c>
      <c r="K10386" s="2" t="s">
        <v>130</v>
      </c>
      <c r="L10386" s="2" t="s">
        <v>17048</v>
      </c>
      <c r="M10386" s="12">
        <v>14162.619000000001</v>
      </c>
      <c r="N10386" s="7">
        <v>12.814</v>
      </c>
      <c r="O10386" s="7">
        <v>12.718999999999999</v>
      </c>
      <c r="P10386" s="2" t="s">
        <v>30324</v>
      </c>
      <c r="Q10386" s="6">
        <v>100</v>
      </c>
      <c r="R10386" s="6">
        <v>8</v>
      </c>
      <c r="S10386" s="5">
        <v>3.7</v>
      </c>
      <c r="T10386" s="7">
        <v>7.3259999999999996</v>
      </c>
      <c r="U10386" s="5">
        <v>1.2</v>
      </c>
      <c r="V10386" s="6">
        <v>0.13</v>
      </c>
      <c r="W10386" s="6">
        <v>6.41</v>
      </c>
      <c r="X10386" s="6">
        <v>5.78</v>
      </c>
      <c r="Y10386" s="6">
        <v>7.95</v>
      </c>
      <c r="Z10386" s="6">
        <v>7.96</v>
      </c>
      <c r="AA10386" s="6">
        <v>25</v>
      </c>
      <c r="AB10386" s="7">
        <v>26.643999999999998</v>
      </c>
      <c r="AC10386" s="5">
        <v>990.7</v>
      </c>
    </row>
    <row r="10387" spans="1:29" ht="156" x14ac:dyDescent="0.15">
      <c r="A10387" s="3">
        <f>DATE(2012,11,8)</f>
        <v>41221</v>
      </c>
      <c r="B10387" s="3">
        <f>DATE(2014,5,16)</f>
        <v>41775</v>
      </c>
      <c r="C10387" s="2" t="s">
        <v>95</v>
      </c>
      <c r="D10387" s="2" t="s">
        <v>27471</v>
      </c>
      <c r="E10387" s="2" t="s">
        <v>7424</v>
      </c>
      <c r="F10387" s="4">
        <v>2221</v>
      </c>
      <c r="G10387" s="2" t="s">
        <v>708</v>
      </c>
      <c r="H10387" s="2" t="s">
        <v>34</v>
      </c>
      <c r="I10387" s="2" t="s">
        <v>27472</v>
      </c>
      <c r="J10387" s="2" t="s">
        <v>302</v>
      </c>
      <c r="K10387" s="2" t="s">
        <v>53</v>
      </c>
      <c r="L10387" s="2" t="s">
        <v>34</v>
      </c>
      <c r="M10387" s="2"/>
      <c r="N10387" s="2"/>
      <c r="O10387" s="2"/>
      <c r="P10387" s="2" t="s">
        <v>30325</v>
      </c>
      <c r="Q10387" s="6">
        <v>34.33</v>
      </c>
      <c r="R10387" s="2"/>
      <c r="S10387" s="5">
        <v>-5.9</v>
      </c>
      <c r="T10387" s="7">
        <v>-3.7250000000000001</v>
      </c>
      <c r="U10387" s="5">
        <v>22.3</v>
      </c>
      <c r="V10387" s="9">
        <v>-3.8551000000000002</v>
      </c>
      <c r="W10387" s="6">
        <v>6.27</v>
      </c>
      <c r="X10387" s="6">
        <v>5.85</v>
      </c>
      <c r="Y10387" s="6">
        <v>5.61</v>
      </c>
      <c r="Z10387" s="6">
        <v>9.4600000000000009</v>
      </c>
      <c r="AA10387" s="6">
        <v>1.53</v>
      </c>
      <c r="AB10387" s="2" t="s">
        <v>86</v>
      </c>
      <c r="AC10387" s="2"/>
    </row>
    <row r="10388" spans="1:29" ht="130" x14ac:dyDescent="0.15">
      <c r="A10388" s="3">
        <f>DATE(2012,11,8)</f>
        <v>41221</v>
      </c>
      <c r="B10388" s="3">
        <f>DATE(2013,5,21)</f>
        <v>41415</v>
      </c>
      <c r="C10388" s="2" t="s">
        <v>95</v>
      </c>
      <c r="D10388" s="2" t="s">
        <v>30326</v>
      </c>
      <c r="E10388" s="2" t="s">
        <v>30327</v>
      </c>
      <c r="F10388" s="4">
        <v>7375</v>
      </c>
      <c r="G10388" s="2" t="s">
        <v>223</v>
      </c>
      <c r="H10388" s="2" t="s">
        <v>34</v>
      </c>
      <c r="I10388" s="2" t="s">
        <v>30328</v>
      </c>
      <c r="J10388" s="2" t="s">
        <v>30329</v>
      </c>
      <c r="K10388" s="2" t="s">
        <v>173</v>
      </c>
      <c r="L10388" s="2" t="s">
        <v>34</v>
      </c>
      <c r="M10388" s="12">
        <v>29826.526999999998</v>
      </c>
      <c r="N10388" s="6">
        <v>627.87</v>
      </c>
      <c r="O10388" s="6">
        <v>625.87</v>
      </c>
      <c r="P10388" s="2" t="s">
        <v>30330</v>
      </c>
      <c r="Q10388" s="6">
        <v>100</v>
      </c>
      <c r="R10388" s="6">
        <v>40</v>
      </c>
      <c r="S10388" s="5">
        <v>25.3</v>
      </c>
      <c r="T10388" s="6">
        <v>55.01</v>
      </c>
      <c r="U10388" s="5">
        <v>9.8000000000000007</v>
      </c>
      <c r="V10388" s="6">
        <v>0.87</v>
      </c>
      <c r="W10388" s="6">
        <v>34.42</v>
      </c>
      <c r="X10388" s="6">
        <v>31.54</v>
      </c>
      <c r="Y10388" s="6">
        <v>31.04</v>
      </c>
      <c r="Z10388" s="6">
        <v>39.67</v>
      </c>
      <c r="AA10388" s="6">
        <v>34.4</v>
      </c>
      <c r="AB10388" s="7">
        <v>34.875999999999998</v>
      </c>
      <c r="AC10388" s="10">
        <v>4675.21</v>
      </c>
    </row>
    <row r="10389" spans="1:29" ht="65" x14ac:dyDescent="0.15">
      <c r="A10389" s="3">
        <f>DATE(2012,11,8)</f>
        <v>41221</v>
      </c>
      <c r="B10389" s="2"/>
      <c r="C10389" s="2" t="s">
        <v>87</v>
      </c>
      <c r="D10389" s="2" t="s">
        <v>2475</v>
      </c>
      <c r="E10389" s="2" t="s">
        <v>21652</v>
      </c>
      <c r="F10389" s="4">
        <v>1382</v>
      </c>
      <c r="G10389" s="2" t="s">
        <v>148</v>
      </c>
      <c r="H10389" s="2" t="s">
        <v>34</v>
      </c>
      <c r="I10389" s="2" t="s">
        <v>29542</v>
      </c>
      <c r="J10389" s="2" t="s">
        <v>19818</v>
      </c>
      <c r="K10389" s="2" t="s">
        <v>148</v>
      </c>
      <c r="L10389" s="2" t="s">
        <v>2823</v>
      </c>
      <c r="M10389" s="12">
        <v>81909.937999999995</v>
      </c>
      <c r="N10389" s="6">
        <v>24.03</v>
      </c>
      <c r="O10389" s="7">
        <v>24.047000000000001</v>
      </c>
      <c r="P10389" s="2" t="s">
        <v>30331</v>
      </c>
      <c r="Q10389" s="2"/>
      <c r="R10389" s="2"/>
      <c r="S10389" s="5">
        <v>395.4</v>
      </c>
      <c r="T10389" s="12">
        <v>1393.452</v>
      </c>
      <c r="U10389" s="5">
        <v>28.6</v>
      </c>
      <c r="V10389" s="6">
        <v>3.31</v>
      </c>
      <c r="W10389" s="6">
        <v>42.95</v>
      </c>
      <c r="X10389" s="6">
        <v>42.04</v>
      </c>
      <c r="Y10389" s="6">
        <v>43.52</v>
      </c>
      <c r="Z10389" s="6">
        <v>44.02</v>
      </c>
      <c r="AA10389" s="6">
        <v>117.63</v>
      </c>
      <c r="AB10389" s="2" t="s">
        <v>47</v>
      </c>
      <c r="AC10389" s="10">
        <v>15591.51</v>
      </c>
    </row>
    <row r="10390" spans="1:29" ht="130" x14ac:dyDescent="0.15">
      <c r="A10390" s="3">
        <f>DATE(2012,11,9)</f>
        <v>41222</v>
      </c>
      <c r="B10390" s="3">
        <f>DATE(2013,1,7)</f>
        <v>41281</v>
      </c>
      <c r="C10390" s="2" t="s">
        <v>95</v>
      </c>
      <c r="D10390" s="2" t="s">
        <v>19333</v>
      </c>
      <c r="E10390" s="2" t="s">
        <v>19334</v>
      </c>
      <c r="F10390" s="4">
        <v>3341</v>
      </c>
      <c r="G10390" s="2" t="s">
        <v>163</v>
      </c>
      <c r="H10390" s="2" t="s">
        <v>34</v>
      </c>
      <c r="I10390" s="2" t="s">
        <v>11584</v>
      </c>
      <c r="J10390" s="2" t="s">
        <v>11585</v>
      </c>
      <c r="K10390" s="2" t="s">
        <v>163</v>
      </c>
      <c r="L10390" s="2" t="s">
        <v>34</v>
      </c>
      <c r="M10390" s="12">
        <v>23636.757000000001</v>
      </c>
      <c r="N10390" s="6">
        <v>171.33</v>
      </c>
      <c r="O10390" s="6">
        <v>179.69</v>
      </c>
      <c r="P10390" s="2" t="s">
        <v>30332</v>
      </c>
      <c r="Q10390" s="6">
        <v>90.39</v>
      </c>
      <c r="R10390" s="6">
        <v>16.5</v>
      </c>
      <c r="S10390" s="5">
        <v>102.9</v>
      </c>
      <c r="T10390" s="5">
        <v>223.1</v>
      </c>
      <c r="U10390" s="5">
        <v>7</v>
      </c>
      <c r="V10390" s="6">
        <v>0.57999999999999996</v>
      </c>
      <c r="W10390" s="5">
        <v>11.9</v>
      </c>
      <c r="X10390" s="6">
        <v>11.44</v>
      </c>
      <c r="Y10390" s="6">
        <v>11.57</v>
      </c>
      <c r="Z10390" s="5">
        <v>16.5</v>
      </c>
      <c r="AA10390" s="6">
        <v>175.06</v>
      </c>
      <c r="AB10390" s="7">
        <v>17.571999999999999</v>
      </c>
      <c r="AC10390" s="5">
        <v>483.3</v>
      </c>
    </row>
    <row r="10391" spans="1:29" ht="143" x14ac:dyDescent="0.15">
      <c r="A10391" s="3">
        <f>DATE(2012,11,12)</f>
        <v>41225</v>
      </c>
      <c r="B10391" s="3">
        <f>DATE(2013,5,23)</f>
        <v>41417</v>
      </c>
      <c r="C10391" s="2" t="s">
        <v>95</v>
      </c>
      <c r="D10391" s="2" t="s">
        <v>29127</v>
      </c>
      <c r="E10391" s="2" t="s">
        <v>92</v>
      </c>
      <c r="F10391" s="4">
        <v>6798</v>
      </c>
      <c r="G10391" s="2" t="s">
        <v>53</v>
      </c>
      <c r="H10391" s="2" t="s">
        <v>34</v>
      </c>
      <c r="I10391" s="2" t="s">
        <v>30333</v>
      </c>
      <c r="J10391" s="2" t="s">
        <v>92</v>
      </c>
      <c r="K10391" s="2" t="s">
        <v>53</v>
      </c>
      <c r="L10391" s="2" t="s">
        <v>34</v>
      </c>
      <c r="M10391" s="12">
        <v>15180.194</v>
      </c>
      <c r="N10391" s="6">
        <v>14.87</v>
      </c>
      <c r="O10391" s="6">
        <v>14.46</v>
      </c>
      <c r="P10391" s="2" t="s">
        <v>30334</v>
      </c>
      <c r="Q10391" s="6">
        <v>87.57</v>
      </c>
      <c r="R10391" s="6">
        <v>13.05</v>
      </c>
      <c r="S10391" s="5">
        <v>69.3</v>
      </c>
      <c r="T10391" s="7">
        <v>66.631</v>
      </c>
      <c r="U10391" s="5">
        <v>11.8</v>
      </c>
      <c r="V10391" s="6">
        <v>0.85</v>
      </c>
      <c r="W10391" s="6">
        <v>11.31</v>
      </c>
      <c r="X10391" s="5">
        <v>11.1</v>
      </c>
      <c r="Y10391" s="6">
        <v>12.43</v>
      </c>
      <c r="Z10391" s="6">
        <v>12.35</v>
      </c>
      <c r="AA10391" s="6">
        <v>76.63</v>
      </c>
      <c r="AB10391" s="7">
        <v>13.97</v>
      </c>
      <c r="AC10391" s="10">
        <v>4587.83</v>
      </c>
    </row>
    <row r="10392" spans="1:29" ht="156" x14ac:dyDescent="0.15">
      <c r="A10392" s="3">
        <f>DATE(2012,11,12)</f>
        <v>41225</v>
      </c>
      <c r="B10392" s="3">
        <f>DATE(2013,3,1)</f>
        <v>41334</v>
      </c>
      <c r="C10392" s="2" t="s">
        <v>95</v>
      </c>
      <c r="D10392" s="2" t="s">
        <v>19241</v>
      </c>
      <c r="E10392" s="2" t="s">
        <v>19242</v>
      </c>
      <c r="F10392" s="4">
        <v>6211</v>
      </c>
      <c r="G10392" s="2" t="s">
        <v>53</v>
      </c>
      <c r="H10392" s="2" t="s">
        <v>34</v>
      </c>
      <c r="I10392" s="2" t="s">
        <v>248</v>
      </c>
      <c r="J10392" s="2" t="s">
        <v>249</v>
      </c>
      <c r="K10392" s="2" t="s">
        <v>250</v>
      </c>
      <c r="L10392" s="2" t="s">
        <v>34</v>
      </c>
      <c r="M10392" s="8">
        <v>5449.3</v>
      </c>
      <c r="N10392" s="6">
        <v>21.14</v>
      </c>
      <c r="O10392" s="6">
        <v>20.75</v>
      </c>
      <c r="P10392" s="2" t="s">
        <v>30335</v>
      </c>
      <c r="Q10392" s="6">
        <v>71.400000000000006</v>
      </c>
      <c r="R10392" s="6">
        <v>17.66</v>
      </c>
      <c r="S10392" s="5">
        <v>289</v>
      </c>
      <c r="T10392" s="7">
        <v>519.47199999999998</v>
      </c>
      <c r="U10392" s="5">
        <v>16.600000000000001</v>
      </c>
      <c r="V10392" s="9">
        <v>1.1074999999999999</v>
      </c>
      <c r="W10392" s="6">
        <v>15.09</v>
      </c>
      <c r="X10392" s="6">
        <v>14.27</v>
      </c>
      <c r="Y10392" s="6">
        <v>16.27</v>
      </c>
      <c r="Z10392" s="4">
        <v>16</v>
      </c>
      <c r="AA10392" s="6">
        <v>203.12</v>
      </c>
      <c r="AB10392" s="7">
        <v>4.96</v>
      </c>
      <c r="AC10392" s="10">
        <v>1162.52</v>
      </c>
    </row>
    <row r="10393" spans="1:29" ht="117" x14ac:dyDescent="0.15">
      <c r="A10393" s="3">
        <f>DATE(2012,11,14)</f>
        <v>41227</v>
      </c>
      <c r="B10393" s="3">
        <f>DATE(2014,8,5)</f>
        <v>41856</v>
      </c>
      <c r="C10393" s="2" t="s">
        <v>95</v>
      </c>
      <c r="D10393" s="2" t="s">
        <v>24597</v>
      </c>
      <c r="E10393" s="2" t="s">
        <v>24598</v>
      </c>
      <c r="F10393" s="4">
        <v>4412</v>
      </c>
      <c r="G10393" s="2" t="s">
        <v>173</v>
      </c>
      <c r="H10393" s="2" t="s">
        <v>34</v>
      </c>
      <c r="I10393" s="2" t="s">
        <v>1526</v>
      </c>
      <c r="J10393" s="2" t="s">
        <v>302</v>
      </c>
      <c r="K10393" s="2" t="s">
        <v>53</v>
      </c>
      <c r="L10393" s="2" t="s">
        <v>34</v>
      </c>
      <c r="M10393" s="2"/>
      <c r="N10393" s="6">
        <v>10.050000000000001</v>
      </c>
      <c r="O10393" s="6">
        <v>9.59</v>
      </c>
      <c r="P10393" s="2" t="s">
        <v>30336</v>
      </c>
      <c r="Q10393" s="2"/>
      <c r="R10393" s="2"/>
      <c r="S10393" s="5">
        <v>-165.3</v>
      </c>
      <c r="T10393" s="6">
        <v>95.15</v>
      </c>
      <c r="U10393" s="5">
        <v>173</v>
      </c>
      <c r="V10393" s="9">
        <v>-32.721299999999999</v>
      </c>
      <c r="W10393" s="6">
        <v>10.55</v>
      </c>
      <c r="X10393" s="6">
        <v>10.37</v>
      </c>
      <c r="Y10393" s="6">
        <v>10.050000000000001</v>
      </c>
      <c r="Z10393" s="6">
        <v>9.59</v>
      </c>
      <c r="AA10393" s="6">
        <v>30.91</v>
      </c>
      <c r="AB10393" s="2" t="s">
        <v>86</v>
      </c>
      <c r="AC10393" s="2"/>
    </row>
    <row r="10394" spans="1:29" ht="52" x14ac:dyDescent="0.15">
      <c r="A10394" s="3">
        <f>DATE(2012,11,14)</f>
        <v>41227</v>
      </c>
      <c r="B10394" s="3">
        <f>DATE(2012,12,31)</f>
        <v>41274</v>
      </c>
      <c r="C10394" s="2" t="s">
        <v>95</v>
      </c>
      <c r="D10394" s="2" t="s">
        <v>30337</v>
      </c>
      <c r="E10394" s="2" t="s">
        <v>30338</v>
      </c>
      <c r="F10394" s="4">
        <v>5499</v>
      </c>
      <c r="G10394" s="2" t="s">
        <v>1461</v>
      </c>
      <c r="H10394" s="2" t="s">
        <v>34</v>
      </c>
      <c r="I10394" s="2" t="s">
        <v>29098</v>
      </c>
      <c r="J10394" s="2" t="s">
        <v>29099</v>
      </c>
      <c r="K10394" s="2" t="s">
        <v>230</v>
      </c>
      <c r="L10394" s="2" t="s">
        <v>34</v>
      </c>
      <c r="M10394" s="8">
        <v>36776.400000000001</v>
      </c>
      <c r="N10394" s="6">
        <v>48.84</v>
      </c>
      <c r="O10394" s="6">
        <v>48.43</v>
      </c>
      <c r="P10394" s="2" t="s">
        <v>30339</v>
      </c>
      <c r="Q10394" s="6">
        <v>96.58</v>
      </c>
      <c r="R10394" s="6">
        <v>15.5</v>
      </c>
      <c r="S10394" s="5">
        <v>14.4</v>
      </c>
      <c r="T10394" s="7">
        <v>35.347999999999999</v>
      </c>
      <c r="U10394" s="5">
        <v>1.9</v>
      </c>
      <c r="V10394" s="6">
        <v>0.37</v>
      </c>
      <c r="W10394" s="5">
        <v>10.5</v>
      </c>
      <c r="X10394" s="6">
        <v>10.130000000000001</v>
      </c>
      <c r="Y10394" s="6">
        <v>15.45</v>
      </c>
      <c r="Z10394" s="6">
        <v>15.43</v>
      </c>
      <c r="AA10394" s="6">
        <v>38.590000000000003</v>
      </c>
      <c r="AB10394" s="7">
        <v>23.49</v>
      </c>
      <c r="AC10394" s="8">
        <v>2037</v>
      </c>
    </row>
    <row r="10395" spans="1:29" ht="182" x14ac:dyDescent="0.15">
      <c r="A10395" s="3">
        <f>DATE(2012,11,15)</f>
        <v>41228</v>
      </c>
      <c r="B10395" s="3">
        <f>DATE(2012,12,17)</f>
        <v>41260</v>
      </c>
      <c r="C10395" s="2" t="s">
        <v>95</v>
      </c>
      <c r="D10395" s="2" t="s">
        <v>30295</v>
      </c>
      <c r="E10395" s="2" t="s">
        <v>13693</v>
      </c>
      <c r="F10395" s="4">
        <v>2834</v>
      </c>
      <c r="G10395" s="2" t="s">
        <v>130</v>
      </c>
      <c r="H10395" s="2" t="s">
        <v>34</v>
      </c>
      <c r="I10395" s="2" t="s">
        <v>26295</v>
      </c>
      <c r="J10395" s="2" t="s">
        <v>26296</v>
      </c>
      <c r="K10395" s="2" t="s">
        <v>358</v>
      </c>
      <c r="L10395" s="2" t="s">
        <v>303</v>
      </c>
      <c r="M10395" s="12">
        <v>42311.684999999998</v>
      </c>
      <c r="N10395" s="6">
        <v>59.51</v>
      </c>
      <c r="O10395" s="7">
        <v>58.826999999999998</v>
      </c>
      <c r="P10395" s="2" t="s">
        <v>30340</v>
      </c>
      <c r="Q10395" s="6">
        <v>100</v>
      </c>
      <c r="R10395" s="6">
        <v>42</v>
      </c>
      <c r="S10395" s="5">
        <v>15.1</v>
      </c>
      <c r="T10395" s="7">
        <v>37.002000000000002</v>
      </c>
      <c r="U10395" s="5">
        <v>4</v>
      </c>
      <c r="V10395" s="6">
        <v>0.51</v>
      </c>
      <c r="W10395" s="6">
        <v>23.28</v>
      </c>
      <c r="X10395" s="6">
        <v>23.19</v>
      </c>
      <c r="Y10395" s="6">
        <v>23.19</v>
      </c>
      <c r="Z10395" s="6">
        <v>33.840000000000003</v>
      </c>
      <c r="AA10395" s="6">
        <v>29.3</v>
      </c>
      <c r="AB10395" s="7">
        <v>48.631999999999998</v>
      </c>
      <c r="AC10395" s="10">
        <v>1113.43</v>
      </c>
    </row>
    <row r="10396" spans="1:29" ht="39" x14ac:dyDescent="0.15">
      <c r="A10396" s="3">
        <f>DATE(2012,11,15)</f>
        <v>41228</v>
      </c>
      <c r="B10396" s="2"/>
      <c r="C10396" s="2" t="s">
        <v>189</v>
      </c>
      <c r="D10396" s="2" t="s">
        <v>30341</v>
      </c>
      <c r="E10396" s="2" t="s">
        <v>6292</v>
      </c>
      <c r="F10396" s="4">
        <v>2834</v>
      </c>
      <c r="G10396" s="2" t="s">
        <v>130</v>
      </c>
      <c r="H10396" s="2" t="s">
        <v>34</v>
      </c>
      <c r="I10396" s="2" t="s">
        <v>143</v>
      </c>
      <c r="J10396" s="2" t="s">
        <v>144</v>
      </c>
      <c r="K10396" s="2" t="s">
        <v>53</v>
      </c>
      <c r="L10396" s="2" t="s">
        <v>139</v>
      </c>
      <c r="M10396" s="2"/>
      <c r="N10396" s="2"/>
      <c r="O10396" s="2"/>
      <c r="P10396" s="2" t="s">
        <v>30342</v>
      </c>
      <c r="Q10396" s="2"/>
      <c r="R10396" s="2"/>
      <c r="S10396" s="5">
        <v>-94.7</v>
      </c>
      <c r="T10396" s="7">
        <v>-95.369</v>
      </c>
      <c r="U10396" s="5">
        <v>2.7</v>
      </c>
      <c r="V10396" s="6">
        <v>-0.13</v>
      </c>
      <c r="W10396" s="6">
        <v>10.24</v>
      </c>
      <c r="X10396" s="6">
        <v>10.68</v>
      </c>
      <c r="Y10396" s="6">
        <v>10.27</v>
      </c>
      <c r="Z10396" s="6">
        <v>10.33</v>
      </c>
      <c r="AA10396" s="6">
        <v>100.59</v>
      </c>
      <c r="AB10396" s="2" t="s">
        <v>86</v>
      </c>
      <c r="AC10396" s="2"/>
    </row>
    <row r="10397" spans="1:29" ht="143" x14ac:dyDescent="0.15">
      <c r="A10397" s="3">
        <f>DATE(2012,11,15)</f>
        <v>41228</v>
      </c>
      <c r="B10397" s="3">
        <f>DATE(2013,2,14)</f>
        <v>41319</v>
      </c>
      <c r="C10397" s="2" t="s">
        <v>95</v>
      </c>
      <c r="D10397" s="2" t="s">
        <v>30343</v>
      </c>
      <c r="E10397" s="2" t="s">
        <v>6734</v>
      </c>
      <c r="F10397" s="4">
        <v>6141</v>
      </c>
      <c r="G10397" s="2" t="s">
        <v>370</v>
      </c>
      <c r="H10397" s="2" t="s">
        <v>34</v>
      </c>
      <c r="I10397" s="2" t="s">
        <v>30344</v>
      </c>
      <c r="J10397" s="2" t="s">
        <v>5141</v>
      </c>
      <c r="K10397" s="2" t="s">
        <v>53</v>
      </c>
      <c r="L10397" s="2" t="s">
        <v>34</v>
      </c>
      <c r="M10397" s="2"/>
      <c r="N10397" s="2"/>
      <c r="O10397" s="2"/>
      <c r="P10397" s="2" t="s">
        <v>30345</v>
      </c>
      <c r="Q10397" s="6">
        <v>100</v>
      </c>
      <c r="R10397" s="6">
        <v>21.93</v>
      </c>
      <c r="S10397" s="5">
        <v>8.9</v>
      </c>
      <c r="T10397" s="6">
        <v>13.94</v>
      </c>
      <c r="U10397" s="5">
        <v>21.5</v>
      </c>
      <c r="V10397" s="6">
        <v>2.5099999999999998</v>
      </c>
      <c r="W10397" s="5">
        <v>22.5</v>
      </c>
      <c r="X10397" s="6">
        <v>21.91</v>
      </c>
      <c r="Y10397" s="6">
        <v>21.91</v>
      </c>
      <c r="Z10397" s="6">
        <v>21.43</v>
      </c>
      <c r="AA10397" s="6">
        <v>3.54</v>
      </c>
      <c r="AB10397" s="7">
        <v>11.587</v>
      </c>
      <c r="AC10397" s="2"/>
    </row>
    <row r="10398" spans="1:29" ht="91" x14ac:dyDescent="0.15">
      <c r="A10398" s="3">
        <f>DATE(2012,11,16)</f>
        <v>41229</v>
      </c>
      <c r="B10398" s="2"/>
      <c r="C10398" s="2" t="s">
        <v>30</v>
      </c>
      <c r="D10398" s="2" t="s">
        <v>30199</v>
      </c>
      <c r="E10398" s="2" t="s">
        <v>540</v>
      </c>
      <c r="F10398" s="4">
        <v>8731</v>
      </c>
      <c r="G10398" s="2" t="s">
        <v>223</v>
      </c>
      <c r="H10398" s="2" t="s">
        <v>34</v>
      </c>
      <c r="I10398" s="2" t="s">
        <v>24792</v>
      </c>
      <c r="J10398" s="2" t="s">
        <v>24793</v>
      </c>
      <c r="K10398" s="2" t="s">
        <v>226</v>
      </c>
      <c r="L10398" s="2" t="s">
        <v>34</v>
      </c>
      <c r="M10398" s="12">
        <v>5759.5590000000002</v>
      </c>
      <c r="N10398" s="6">
        <v>49.43</v>
      </c>
      <c r="O10398" s="6">
        <v>50.07</v>
      </c>
      <c r="P10398" s="2" t="s">
        <v>30346</v>
      </c>
      <c r="Q10398" s="2"/>
      <c r="R10398" s="6">
        <v>3.3</v>
      </c>
      <c r="S10398" s="5">
        <v>-79.400000000000006</v>
      </c>
      <c r="T10398" s="7">
        <v>-61.304000000000002</v>
      </c>
      <c r="U10398" s="5">
        <v>0.9</v>
      </c>
      <c r="V10398" s="6">
        <v>-2.36</v>
      </c>
      <c r="W10398" s="6">
        <v>3.04</v>
      </c>
      <c r="X10398" s="6">
        <v>2.67</v>
      </c>
      <c r="Y10398" s="6">
        <v>3.02</v>
      </c>
      <c r="Z10398" s="6">
        <v>3.04</v>
      </c>
      <c r="AA10398" s="6">
        <v>34.49</v>
      </c>
      <c r="AB10398" s="2" t="s">
        <v>86</v>
      </c>
      <c r="AC10398" s="10">
        <v>1233.07</v>
      </c>
    </row>
    <row r="10399" spans="1:29" ht="195" x14ac:dyDescent="0.15">
      <c r="A10399" s="3">
        <f>DATE(2012,11,16)</f>
        <v>41229</v>
      </c>
      <c r="B10399" s="2"/>
      <c r="C10399" s="2" t="s">
        <v>30</v>
      </c>
      <c r="D10399" s="2" t="s">
        <v>30347</v>
      </c>
      <c r="E10399" s="2" t="s">
        <v>21698</v>
      </c>
      <c r="F10399" s="4">
        <v>4841</v>
      </c>
      <c r="G10399" s="2" t="s">
        <v>45</v>
      </c>
      <c r="H10399" s="2" t="s">
        <v>34</v>
      </c>
      <c r="I10399" s="2" t="s">
        <v>30348</v>
      </c>
      <c r="J10399" s="2" t="s">
        <v>30349</v>
      </c>
      <c r="K10399" s="2" t="s">
        <v>186</v>
      </c>
      <c r="L10399" s="2" t="s">
        <v>34</v>
      </c>
      <c r="M10399" s="2"/>
      <c r="N10399" s="2"/>
      <c r="O10399" s="2"/>
      <c r="P10399" s="2" t="s">
        <v>30350</v>
      </c>
      <c r="Q10399" s="2"/>
      <c r="R10399" s="6">
        <v>9.15</v>
      </c>
      <c r="S10399" s="5">
        <v>-3</v>
      </c>
      <c r="T10399" s="7">
        <v>-0.69699999999999995</v>
      </c>
      <c r="U10399" s="5">
        <v>4.9000000000000004</v>
      </c>
      <c r="V10399" s="9">
        <v>-0.12230000000000001</v>
      </c>
      <c r="W10399" s="6">
        <v>7.29</v>
      </c>
      <c r="X10399" s="6">
        <v>7.19</v>
      </c>
      <c r="Y10399" s="6">
        <v>7.52</v>
      </c>
      <c r="Z10399" s="6">
        <v>7.44</v>
      </c>
      <c r="AA10399" s="6">
        <v>25.94</v>
      </c>
      <c r="AB10399" s="2" t="s">
        <v>86</v>
      </c>
      <c r="AC10399" s="2"/>
    </row>
    <row r="10400" spans="1:29" ht="156" x14ac:dyDescent="0.15">
      <c r="A10400" s="3">
        <f>DATE(2012,11,19)</f>
        <v>41232</v>
      </c>
      <c r="B10400" s="3">
        <f>DATE(2013,3,1)</f>
        <v>41334</v>
      </c>
      <c r="C10400" s="2" t="s">
        <v>95</v>
      </c>
      <c r="D10400" s="2" t="s">
        <v>30351</v>
      </c>
      <c r="E10400" s="2" t="s">
        <v>30352</v>
      </c>
      <c r="F10400" s="4">
        <v>3841</v>
      </c>
      <c r="G10400" s="2" t="s">
        <v>226</v>
      </c>
      <c r="H10400" s="2" t="s">
        <v>34</v>
      </c>
      <c r="I10400" s="2" t="s">
        <v>30353</v>
      </c>
      <c r="J10400" s="2" t="s">
        <v>30354</v>
      </c>
      <c r="K10400" s="2" t="s">
        <v>226</v>
      </c>
      <c r="L10400" s="2" t="s">
        <v>34</v>
      </c>
      <c r="M10400" s="6">
        <v>817.67</v>
      </c>
      <c r="N10400" s="6">
        <v>19.670000000000002</v>
      </c>
      <c r="O10400" s="6">
        <v>20.98</v>
      </c>
      <c r="P10400" s="2" t="s">
        <v>30355</v>
      </c>
      <c r="Q10400" s="6">
        <v>100</v>
      </c>
      <c r="R10400" s="6">
        <v>12.97</v>
      </c>
      <c r="S10400" s="5">
        <v>-27</v>
      </c>
      <c r="T10400" s="7">
        <v>-22.777000000000001</v>
      </c>
      <c r="U10400" s="5">
        <v>1.4</v>
      </c>
      <c r="V10400" s="6">
        <v>-0.97</v>
      </c>
      <c r="W10400" s="6">
        <v>3.85</v>
      </c>
      <c r="X10400" s="6">
        <v>4.1500000000000004</v>
      </c>
      <c r="Y10400" s="6">
        <v>7.23</v>
      </c>
      <c r="Z10400" s="6">
        <v>6.94</v>
      </c>
      <c r="AA10400" s="6">
        <v>30.97</v>
      </c>
      <c r="AB10400" s="2" t="s">
        <v>86</v>
      </c>
      <c r="AC10400" s="6">
        <v>317.62</v>
      </c>
    </row>
    <row r="10401" spans="1:29" ht="143" x14ac:dyDescent="0.15">
      <c r="A10401" s="3">
        <f>DATE(2012,11,20)</f>
        <v>41233</v>
      </c>
      <c r="B10401" s="3">
        <f>DATE(2013,9,17)</f>
        <v>41534</v>
      </c>
      <c r="C10401" s="2" t="s">
        <v>95</v>
      </c>
      <c r="D10401" s="2" t="s">
        <v>30356</v>
      </c>
      <c r="E10401" s="2" t="s">
        <v>30357</v>
      </c>
      <c r="F10401" s="4">
        <v>3674</v>
      </c>
      <c r="G10401" s="2" t="s">
        <v>137</v>
      </c>
      <c r="H10401" s="2" t="s">
        <v>34</v>
      </c>
      <c r="I10401" s="2" t="s">
        <v>30358</v>
      </c>
      <c r="J10401" s="2" t="s">
        <v>1032</v>
      </c>
      <c r="K10401" s="2" t="s">
        <v>53</v>
      </c>
      <c r="L10401" s="2" t="s">
        <v>1086</v>
      </c>
      <c r="M10401" s="2"/>
      <c r="N10401" s="2"/>
      <c r="O10401" s="2"/>
      <c r="P10401" s="2" t="s">
        <v>30359</v>
      </c>
      <c r="Q10401" s="6">
        <v>80.47</v>
      </c>
      <c r="R10401" s="6">
        <v>4.2300000000000004</v>
      </c>
      <c r="S10401" s="5">
        <v>-4.7</v>
      </c>
      <c r="T10401" s="7">
        <v>-0.113</v>
      </c>
      <c r="U10401" s="5">
        <v>3.5</v>
      </c>
      <c r="V10401" s="9">
        <v>-0.18990000000000001</v>
      </c>
      <c r="W10401" s="6">
        <v>1.73</v>
      </c>
      <c r="X10401" s="6">
        <v>1.67</v>
      </c>
      <c r="Y10401" s="6">
        <v>1.74</v>
      </c>
      <c r="Z10401" s="6">
        <v>2.99</v>
      </c>
      <c r="AA10401" s="6">
        <v>24.2</v>
      </c>
      <c r="AB10401" s="2" t="s">
        <v>86</v>
      </c>
      <c r="AC10401" s="2"/>
    </row>
    <row r="10402" spans="1:29" ht="130" x14ac:dyDescent="0.15">
      <c r="A10402" s="3">
        <f>DATE(2012,11,20)</f>
        <v>41233</v>
      </c>
      <c r="B10402" s="2"/>
      <c r="C10402" s="2" t="s">
        <v>30</v>
      </c>
      <c r="D10402" s="2" t="s">
        <v>13631</v>
      </c>
      <c r="E10402" s="2" t="s">
        <v>30313</v>
      </c>
      <c r="F10402" s="4">
        <v>3674</v>
      </c>
      <c r="G10402" s="2" t="s">
        <v>137</v>
      </c>
      <c r="H10402" s="2" t="s">
        <v>34</v>
      </c>
      <c r="I10402" s="2" t="s">
        <v>30360</v>
      </c>
      <c r="J10402" s="2" t="s">
        <v>30361</v>
      </c>
      <c r="K10402" s="2" t="s">
        <v>53</v>
      </c>
      <c r="L10402" s="2" t="s">
        <v>34</v>
      </c>
      <c r="M10402" s="7">
        <v>329.33199999999999</v>
      </c>
      <c r="N10402" s="6">
        <v>14.53</v>
      </c>
      <c r="O10402" s="6">
        <v>14.03</v>
      </c>
      <c r="P10402" s="2" t="s">
        <v>30362</v>
      </c>
      <c r="Q10402" s="2"/>
      <c r="R10402" s="2"/>
      <c r="S10402" s="5">
        <v>10.7</v>
      </c>
      <c r="T10402" s="7">
        <v>13.657999999999999</v>
      </c>
      <c r="U10402" s="5">
        <v>2</v>
      </c>
      <c r="V10402" s="6">
        <v>0.2</v>
      </c>
      <c r="W10402" s="6">
        <v>5.24</v>
      </c>
      <c r="X10402" s="6">
        <v>5.21</v>
      </c>
      <c r="Y10402" s="6">
        <v>6.58</v>
      </c>
      <c r="Z10402" s="6">
        <v>6.31</v>
      </c>
      <c r="AA10402" s="6">
        <v>54.02</v>
      </c>
      <c r="AB10402" s="2" t="s">
        <v>47</v>
      </c>
      <c r="AC10402" s="6">
        <v>137.22999999999999</v>
      </c>
    </row>
    <row r="10403" spans="1:29" ht="78" x14ac:dyDescent="0.15">
      <c r="A10403" s="3">
        <f>DATE(2012,11,21)</f>
        <v>41234</v>
      </c>
      <c r="B10403" s="3">
        <f>DATE(2012,12,21)</f>
        <v>41264</v>
      </c>
      <c r="C10403" s="2" t="s">
        <v>95</v>
      </c>
      <c r="D10403" s="2" t="s">
        <v>30233</v>
      </c>
      <c r="E10403" s="2" t="s">
        <v>30234</v>
      </c>
      <c r="F10403" s="4">
        <v>7372</v>
      </c>
      <c r="G10403" s="2" t="s">
        <v>551</v>
      </c>
      <c r="H10403" s="2" t="s">
        <v>34</v>
      </c>
      <c r="I10403" s="2" t="s">
        <v>30137</v>
      </c>
      <c r="J10403" s="2" t="s">
        <v>30138</v>
      </c>
      <c r="K10403" s="2" t="s">
        <v>551</v>
      </c>
      <c r="L10403" s="2" t="s">
        <v>34</v>
      </c>
      <c r="M10403" s="2"/>
      <c r="N10403" s="2"/>
      <c r="O10403" s="2"/>
      <c r="P10403" s="2" t="s">
        <v>30363</v>
      </c>
      <c r="Q10403" s="6">
        <v>100</v>
      </c>
      <c r="R10403" s="6">
        <v>13</v>
      </c>
      <c r="S10403" s="5">
        <v>-1.5</v>
      </c>
      <c r="T10403" s="7">
        <v>-6.6000000000000003E-2</v>
      </c>
      <c r="U10403" s="5">
        <v>10.7</v>
      </c>
      <c r="V10403" s="6">
        <v>-0.34</v>
      </c>
      <c r="W10403" s="6">
        <v>11.82</v>
      </c>
      <c r="X10403" s="5">
        <v>11.8</v>
      </c>
      <c r="Y10403" s="6">
        <v>12.81</v>
      </c>
      <c r="Z10403" s="6">
        <v>12.81</v>
      </c>
      <c r="AA10403" s="6">
        <v>2.73</v>
      </c>
      <c r="AB10403" s="2" t="s">
        <v>86</v>
      </c>
      <c r="AC10403" s="2"/>
    </row>
    <row r="10404" spans="1:29" ht="169" x14ac:dyDescent="0.15">
      <c r="A10404" s="3">
        <f>DATE(2012,11,23)</f>
        <v>41236</v>
      </c>
      <c r="B10404" s="2"/>
      <c r="C10404" s="2" t="s">
        <v>7330</v>
      </c>
      <c r="D10404" s="2" t="s">
        <v>30364</v>
      </c>
      <c r="E10404" s="2" t="s">
        <v>30365</v>
      </c>
      <c r="F10404" s="4">
        <v>7375</v>
      </c>
      <c r="G10404" s="2" t="s">
        <v>223</v>
      </c>
      <c r="H10404" s="2" t="s">
        <v>34</v>
      </c>
      <c r="I10404" s="2" t="s">
        <v>30366</v>
      </c>
      <c r="J10404" s="2" t="s">
        <v>150</v>
      </c>
      <c r="K10404" s="2" t="s">
        <v>53</v>
      </c>
      <c r="L10404" s="2" t="s">
        <v>34</v>
      </c>
      <c r="M10404" s="2"/>
      <c r="N10404" s="2"/>
      <c r="O10404" s="2"/>
      <c r="P10404" s="2" t="s">
        <v>30367</v>
      </c>
      <c r="Q10404" s="2"/>
      <c r="R10404" s="6">
        <v>1</v>
      </c>
      <c r="S10404" s="5">
        <v>-170.8</v>
      </c>
      <c r="T10404" s="7">
        <v>-22.163</v>
      </c>
      <c r="U10404" s="5">
        <v>3.7</v>
      </c>
      <c r="V10404" s="6">
        <v>-2.38</v>
      </c>
      <c r="W10404" s="6">
        <v>3.11</v>
      </c>
      <c r="X10404" s="6">
        <v>3.37</v>
      </c>
      <c r="Y10404" s="4">
        <v>4</v>
      </c>
      <c r="Z10404" s="6">
        <v>4.08</v>
      </c>
      <c r="AA10404" s="6">
        <v>57.1</v>
      </c>
      <c r="AB10404" s="2" t="s">
        <v>86</v>
      </c>
      <c r="AC10404" s="2"/>
    </row>
    <row r="10405" spans="1:29" ht="78" x14ac:dyDescent="0.15">
      <c r="A10405" s="3">
        <f>DATE(2012,11,27)</f>
        <v>41240</v>
      </c>
      <c r="B10405" s="3">
        <f>DATE(2013,1,29)</f>
        <v>41303</v>
      </c>
      <c r="C10405" s="2" t="s">
        <v>95</v>
      </c>
      <c r="D10405" s="2" t="s">
        <v>17395</v>
      </c>
      <c r="E10405" s="2" t="s">
        <v>17396</v>
      </c>
      <c r="F10405" s="4">
        <v>2043</v>
      </c>
      <c r="G10405" s="2" t="s">
        <v>577</v>
      </c>
      <c r="H10405" s="2" t="s">
        <v>34</v>
      </c>
      <c r="I10405" s="2" t="s">
        <v>29244</v>
      </c>
      <c r="J10405" s="2" t="s">
        <v>29245</v>
      </c>
      <c r="K10405" s="2" t="s">
        <v>577</v>
      </c>
      <c r="L10405" s="2" t="s">
        <v>34</v>
      </c>
      <c r="M10405" s="12">
        <v>11496.465</v>
      </c>
      <c r="N10405" s="6">
        <v>29.63</v>
      </c>
      <c r="O10405" s="6">
        <v>29.65</v>
      </c>
      <c r="P10405" s="2" t="s">
        <v>30368</v>
      </c>
      <c r="Q10405" s="6">
        <v>100</v>
      </c>
      <c r="R10405" s="6">
        <v>90</v>
      </c>
      <c r="S10405" s="5">
        <v>73.400000000000006</v>
      </c>
      <c r="T10405" s="5">
        <v>550.20000000000005</v>
      </c>
      <c r="U10405" s="5">
        <v>29.9</v>
      </c>
      <c r="V10405" s="6">
        <v>1.03</v>
      </c>
      <c r="W10405" s="6">
        <v>71.08</v>
      </c>
      <c r="X10405" s="6">
        <v>70.23</v>
      </c>
      <c r="Y10405" s="5">
        <v>88.8</v>
      </c>
      <c r="Z10405" s="6">
        <v>88.86</v>
      </c>
      <c r="AA10405" s="6">
        <v>55.03</v>
      </c>
      <c r="AB10405" s="7">
        <v>19.113</v>
      </c>
      <c r="AC10405" s="5">
        <v>549</v>
      </c>
    </row>
    <row r="10406" spans="1:29" ht="143" x14ac:dyDescent="0.15">
      <c r="A10406" s="3">
        <f>DATE(2012,11,28)</f>
        <v>41241</v>
      </c>
      <c r="B10406" s="3">
        <f>DATE(2013,7,1)</f>
        <v>41456</v>
      </c>
      <c r="C10406" s="2" t="s">
        <v>95</v>
      </c>
      <c r="D10406" s="2" t="s">
        <v>30124</v>
      </c>
      <c r="E10406" s="2" t="s">
        <v>12441</v>
      </c>
      <c r="F10406" s="4">
        <v>6211</v>
      </c>
      <c r="G10406" s="2" t="s">
        <v>53</v>
      </c>
      <c r="H10406" s="2" t="s">
        <v>34</v>
      </c>
      <c r="I10406" s="2" t="s">
        <v>30369</v>
      </c>
      <c r="J10406" s="2" t="s">
        <v>7424</v>
      </c>
      <c r="K10406" s="2" t="s">
        <v>53</v>
      </c>
      <c r="L10406" s="2" t="s">
        <v>34</v>
      </c>
      <c r="M10406" s="2"/>
      <c r="N10406" s="2"/>
      <c r="O10406" s="2"/>
      <c r="P10406" s="2" t="s">
        <v>30370</v>
      </c>
      <c r="Q10406" s="6">
        <v>41.97</v>
      </c>
      <c r="R10406" s="6">
        <v>3.75</v>
      </c>
      <c r="S10406" s="5">
        <v>-313.3</v>
      </c>
      <c r="T10406" s="7">
        <v>-282.93700000000001</v>
      </c>
      <c r="U10406" s="5">
        <v>6.7</v>
      </c>
      <c r="V10406" s="6">
        <v>-6.78</v>
      </c>
      <c r="W10406" s="6">
        <v>2.5299999999999998</v>
      </c>
      <c r="X10406" s="6">
        <v>2.97</v>
      </c>
      <c r="Y10406" s="6">
        <v>3.42</v>
      </c>
      <c r="Z10406" s="6">
        <v>3.36</v>
      </c>
      <c r="AA10406" s="6">
        <v>366.89</v>
      </c>
      <c r="AB10406" s="2" t="s">
        <v>86</v>
      </c>
      <c r="AC10406" s="2"/>
    </row>
    <row r="10407" spans="1:29" ht="104" x14ac:dyDescent="0.15">
      <c r="A10407" s="3">
        <f>DATE(2012,11,28)</f>
        <v>41241</v>
      </c>
      <c r="B10407" s="2"/>
      <c r="C10407" s="2" t="s">
        <v>39</v>
      </c>
      <c r="D10407" s="2" t="s">
        <v>30124</v>
      </c>
      <c r="E10407" s="2" t="s">
        <v>12441</v>
      </c>
      <c r="F10407" s="4">
        <v>6211</v>
      </c>
      <c r="G10407" s="2" t="s">
        <v>53</v>
      </c>
      <c r="H10407" s="2" t="s">
        <v>34</v>
      </c>
      <c r="I10407" s="2" t="s">
        <v>30371</v>
      </c>
      <c r="J10407" s="2" t="s">
        <v>30372</v>
      </c>
      <c r="K10407" s="2" t="s">
        <v>53</v>
      </c>
      <c r="L10407" s="2" t="s">
        <v>34</v>
      </c>
      <c r="M10407" s="2"/>
      <c r="N10407" s="2"/>
      <c r="O10407" s="2"/>
      <c r="P10407" s="2" t="s">
        <v>30373</v>
      </c>
      <c r="Q10407" s="2"/>
      <c r="R10407" s="2"/>
      <c r="S10407" s="5">
        <v>-313.3</v>
      </c>
      <c r="T10407" s="7">
        <v>-282.93700000000001</v>
      </c>
      <c r="U10407" s="5">
        <v>6.7</v>
      </c>
      <c r="V10407" s="6">
        <v>-6.78</v>
      </c>
      <c r="W10407" s="6">
        <v>2.5299999999999998</v>
      </c>
      <c r="X10407" s="6">
        <v>2.97</v>
      </c>
      <c r="Y10407" s="6">
        <v>3.42</v>
      </c>
      <c r="Z10407" s="6">
        <v>3.36</v>
      </c>
      <c r="AA10407" s="6">
        <v>307.7</v>
      </c>
      <c r="AB10407" s="2" t="s">
        <v>86</v>
      </c>
      <c r="AC10407" s="2"/>
    </row>
    <row r="10408" spans="1:29" ht="78" x14ac:dyDescent="0.15">
      <c r="A10408" s="3">
        <f>DATE(2012,11,28)</f>
        <v>41241</v>
      </c>
      <c r="B10408" s="3">
        <f>DATE(2013,4,26)</f>
        <v>41390</v>
      </c>
      <c r="C10408" s="2" t="s">
        <v>95</v>
      </c>
      <c r="D10408" s="2" t="s">
        <v>30374</v>
      </c>
      <c r="E10408" s="2" t="s">
        <v>265</v>
      </c>
      <c r="F10408" s="4">
        <v>6021</v>
      </c>
      <c r="G10408" s="2" t="s">
        <v>37</v>
      </c>
      <c r="H10408" s="2" t="s">
        <v>34</v>
      </c>
      <c r="I10408" s="2" t="s">
        <v>30375</v>
      </c>
      <c r="J10408" s="2" t="s">
        <v>159</v>
      </c>
      <c r="K10408" s="2" t="s">
        <v>37</v>
      </c>
      <c r="L10408" s="2" t="s">
        <v>34</v>
      </c>
      <c r="M10408" s="2"/>
      <c r="N10408" s="2"/>
      <c r="O10408" s="2"/>
      <c r="P10408" s="2" t="s">
        <v>30376</v>
      </c>
      <c r="Q10408" s="2"/>
      <c r="R10408" s="2"/>
      <c r="S10408" s="5">
        <v>-5.4</v>
      </c>
      <c r="T10408" s="7">
        <v>-0.66700000000000004</v>
      </c>
      <c r="U10408" s="5">
        <v>16</v>
      </c>
      <c r="V10408" s="6">
        <v>-3.67</v>
      </c>
      <c r="W10408" s="5">
        <v>4.5</v>
      </c>
      <c r="X10408" s="4">
        <v>4</v>
      </c>
      <c r="Y10408" s="6">
        <v>3.94</v>
      </c>
      <c r="Z10408" s="5">
        <v>5.4</v>
      </c>
      <c r="AA10408" s="6">
        <v>1.66</v>
      </c>
      <c r="AB10408" s="2" t="s">
        <v>86</v>
      </c>
      <c r="AC10408" s="2"/>
    </row>
    <row r="10409" spans="1:29" ht="182" x14ac:dyDescent="0.15">
      <c r="A10409" s="3">
        <f>DATE(2012,11,28)</f>
        <v>41241</v>
      </c>
      <c r="B10409" s="3">
        <f>DATE(2013,4,12)</f>
        <v>41376</v>
      </c>
      <c r="C10409" s="2" t="s">
        <v>95</v>
      </c>
      <c r="D10409" s="2" t="s">
        <v>26544</v>
      </c>
      <c r="E10409" s="2" t="s">
        <v>26545</v>
      </c>
      <c r="F10409" s="4">
        <v>3594</v>
      </c>
      <c r="G10409" s="2" t="s">
        <v>300</v>
      </c>
      <c r="H10409" s="2" t="s">
        <v>34</v>
      </c>
      <c r="I10409" s="2" t="s">
        <v>26546</v>
      </c>
      <c r="J10409" s="2" t="s">
        <v>500</v>
      </c>
      <c r="K10409" s="2" t="s">
        <v>137</v>
      </c>
      <c r="L10409" s="2" t="s">
        <v>734</v>
      </c>
      <c r="M10409" s="2"/>
      <c r="N10409" s="2"/>
      <c r="O10409" s="2"/>
      <c r="P10409" s="2" t="s">
        <v>30377</v>
      </c>
      <c r="Q10409" s="6">
        <v>24.44</v>
      </c>
      <c r="R10409" s="6">
        <v>58.5</v>
      </c>
      <c r="S10409" s="5">
        <v>181.8</v>
      </c>
      <c r="T10409" s="7">
        <v>402.77499999999998</v>
      </c>
      <c r="U10409" s="5">
        <v>12.4</v>
      </c>
      <c r="V10409" s="6">
        <v>3.75</v>
      </c>
      <c r="W10409" s="6">
        <v>39.32</v>
      </c>
      <c r="X10409" s="6">
        <v>39.380000000000003</v>
      </c>
      <c r="Y10409" s="6">
        <v>52.72</v>
      </c>
      <c r="Z10409" s="6">
        <v>52.73</v>
      </c>
      <c r="AA10409" s="6">
        <v>48.46</v>
      </c>
      <c r="AB10409" s="7">
        <v>7.9779999999999998</v>
      </c>
      <c r="AC10409" s="6">
        <v>157.11000000000001</v>
      </c>
    </row>
    <row r="10410" spans="1:29" ht="78" x14ac:dyDescent="0.15">
      <c r="A10410" s="3">
        <f>DATE(2012,12,4)</f>
        <v>41247</v>
      </c>
      <c r="B10410" s="3">
        <f>DATE(2013,4,1)</f>
        <v>41365</v>
      </c>
      <c r="C10410" s="2" t="s">
        <v>95</v>
      </c>
      <c r="D10410" s="2" t="s">
        <v>30378</v>
      </c>
      <c r="E10410" s="2" t="s">
        <v>30379</v>
      </c>
      <c r="F10410" s="4">
        <v>3949</v>
      </c>
      <c r="G10410" s="2" t="s">
        <v>112</v>
      </c>
      <c r="H10410" s="2" t="s">
        <v>34</v>
      </c>
      <c r="I10410" s="2" t="s">
        <v>30380</v>
      </c>
      <c r="J10410" s="2" t="s">
        <v>2288</v>
      </c>
      <c r="K10410" s="2" t="s">
        <v>98</v>
      </c>
      <c r="L10410" s="2" t="s">
        <v>34</v>
      </c>
      <c r="M10410" s="2"/>
      <c r="N10410" s="2"/>
      <c r="O10410" s="2"/>
      <c r="P10410" s="2" t="s">
        <v>30381</v>
      </c>
      <c r="Q10410" s="6">
        <v>100</v>
      </c>
      <c r="R10410" s="6">
        <v>4</v>
      </c>
      <c r="S10410" s="5">
        <v>-9.6999999999999993</v>
      </c>
      <c r="T10410" s="7">
        <v>-3.867</v>
      </c>
      <c r="U10410" s="5">
        <v>3.1</v>
      </c>
      <c r="V10410" s="6">
        <v>-1.81</v>
      </c>
      <c r="W10410" s="6">
        <v>2.35</v>
      </c>
      <c r="X10410" s="5">
        <v>2.5</v>
      </c>
      <c r="Y10410" s="6">
        <v>3.85</v>
      </c>
      <c r="Z10410" s="6">
        <v>3.89</v>
      </c>
      <c r="AA10410" s="6">
        <v>5.39</v>
      </c>
      <c r="AB10410" s="2" t="s">
        <v>86</v>
      </c>
      <c r="AC10410" s="2"/>
    </row>
    <row r="10411" spans="1:29" ht="91" x14ac:dyDescent="0.15">
      <c r="A10411" s="3">
        <f>DATE(2012,12,4)</f>
        <v>41247</v>
      </c>
      <c r="B10411" s="3">
        <f>DATE(2013,1,31)</f>
        <v>41305</v>
      </c>
      <c r="C10411" s="2" t="s">
        <v>95</v>
      </c>
      <c r="D10411" s="2" t="s">
        <v>30382</v>
      </c>
      <c r="E10411" s="2" t="s">
        <v>30383</v>
      </c>
      <c r="F10411" s="4">
        <v>3843</v>
      </c>
      <c r="G10411" s="2" t="s">
        <v>226</v>
      </c>
      <c r="H10411" s="2" t="s">
        <v>34</v>
      </c>
      <c r="I10411" s="2" t="s">
        <v>29749</v>
      </c>
      <c r="J10411" s="2" t="s">
        <v>244</v>
      </c>
      <c r="K10411" s="2" t="s">
        <v>53</v>
      </c>
      <c r="L10411" s="2" t="s">
        <v>34</v>
      </c>
      <c r="M10411" s="2"/>
      <c r="N10411" s="2"/>
      <c r="O10411" s="2"/>
      <c r="P10411" s="2" t="s">
        <v>30384</v>
      </c>
      <c r="Q10411" s="6">
        <v>100</v>
      </c>
      <c r="R10411" s="6">
        <v>39.5</v>
      </c>
      <c r="S10411" s="5">
        <v>17.2</v>
      </c>
      <c r="T10411" s="7">
        <v>29.414999999999999</v>
      </c>
      <c r="U10411" s="5">
        <v>18.100000000000001</v>
      </c>
      <c r="V10411" s="6">
        <v>2.17</v>
      </c>
      <c r="W10411" s="6">
        <v>35.75</v>
      </c>
      <c r="X10411" s="6">
        <v>36.340000000000003</v>
      </c>
      <c r="Y10411" s="6">
        <v>39.79</v>
      </c>
      <c r="Z10411" s="6">
        <v>40.03</v>
      </c>
      <c r="AA10411" s="6">
        <v>7.92</v>
      </c>
      <c r="AB10411" s="7">
        <v>11.811999999999999</v>
      </c>
      <c r="AC10411" s="2"/>
    </row>
    <row r="10412" spans="1:29" ht="169" x14ac:dyDescent="0.15">
      <c r="A10412" s="3">
        <f>DATE(2012,12,5)</f>
        <v>41248</v>
      </c>
      <c r="B10412" s="3">
        <f>DATE(2013,6,3)</f>
        <v>41428</v>
      </c>
      <c r="C10412" s="2" t="s">
        <v>95</v>
      </c>
      <c r="D10412" s="2" t="s">
        <v>30385</v>
      </c>
      <c r="E10412" s="2" t="s">
        <v>1608</v>
      </c>
      <c r="F10412" s="4">
        <v>1311</v>
      </c>
      <c r="G10412" s="2" t="s">
        <v>148</v>
      </c>
      <c r="H10412" s="2" t="s">
        <v>34</v>
      </c>
      <c r="I10412" s="2" t="s">
        <v>4890</v>
      </c>
      <c r="J10412" s="2" t="s">
        <v>30386</v>
      </c>
      <c r="K10412" s="2" t="s">
        <v>166</v>
      </c>
      <c r="L10412" s="2" t="s">
        <v>34</v>
      </c>
      <c r="M10412" s="12">
        <v>37298.737000000001</v>
      </c>
      <c r="N10412" s="6">
        <v>32.159999999999997</v>
      </c>
      <c r="O10412" s="6">
        <v>30.81</v>
      </c>
      <c r="P10412" s="2" t="s">
        <v>30387</v>
      </c>
      <c r="Q10412" s="6">
        <v>64</v>
      </c>
      <c r="R10412" s="2"/>
      <c r="S10412" s="5">
        <v>-74.599999999999994</v>
      </c>
      <c r="T10412" s="7">
        <v>13.545999999999999</v>
      </c>
      <c r="U10412" s="5">
        <v>5.5</v>
      </c>
      <c r="V10412" s="6">
        <v>-0.65</v>
      </c>
      <c r="W10412" s="6">
        <v>8.19</v>
      </c>
      <c r="X10412" s="6">
        <v>8.4600000000000009</v>
      </c>
      <c r="Y10412" s="6">
        <v>15.82</v>
      </c>
      <c r="Z10412" s="6">
        <v>15.02</v>
      </c>
      <c r="AA10412" s="6">
        <v>161.88</v>
      </c>
      <c r="AB10412" s="2" t="s">
        <v>86</v>
      </c>
      <c r="AC10412" s="8">
        <v>3739</v>
      </c>
    </row>
    <row r="10413" spans="1:29" ht="221" x14ac:dyDescent="0.15">
      <c r="A10413" s="3">
        <f>DATE(2012,12,5)</f>
        <v>41248</v>
      </c>
      <c r="B10413" s="3">
        <f>DATE(2013,5,31)</f>
        <v>41425</v>
      </c>
      <c r="C10413" s="2" t="s">
        <v>95</v>
      </c>
      <c r="D10413" s="2" t="s">
        <v>20625</v>
      </c>
      <c r="E10413" s="2" t="s">
        <v>1608</v>
      </c>
      <c r="F10413" s="4">
        <v>1311</v>
      </c>
      <c r="G10413" s="2" t="s">
        <v>148</v>
      </c>
      <c r="H10413" s="2" t="s">
        <v>34</v>
      </c>
      <c r="I10413" s="2" t="s">
        <v>4890</v>
      </c>
      <c r="J10413" s="2" t="s">
        <v>30386</v>
      </c>
      <c r="K10413" s="2" t="s">
        <v>166</v>
      </c>
      <c r="L10413" s="2" t="s">
        <v>34</v>
      </c>
      <c r="M10413" s="12">
        <v>37298.737000000001</v>
      </c>
      <c r="N10413" s="6">
        <v>32.159999999999997</v>
      </c>
      <c r="O10413" s="6">
        <v>30.81</v>
      </c>
      <c r="P10413" s="2" t="s">
        <v>30388</v>
      </c>
      <c r="Q10413" s="6">
        <v>100</v>
      </c>
      <c r="R10413" s="6">
        <v>50</v>
      </c>
      <c r="S10413" s="5">
        <v>185.5</v>
      </c>
      <c r="T10413" s="12">
        <v>1458.8040000000001</v>
      </c>
      <c r="U10413" s="5">
        <v>25.5</v>
      </c>
      <c r="V10413" s="6">
        <v>1.36</v>
      </c>
      <c r="W10413" s="5">
        <v>34.799999999999997</v>
      </c>
      <c r="X10413" s="6">
        <v>36.049999999999997</v>
      </c>
      <c r="Y10413" s="5">
        <v>44.5</v>
      </c>
      <c r="Z10413" s="6">
        <v>43.18</v>
      </c>
      <c r="AA10413" s="6">
        <v>129</v>
      </c>
      <c r="AB10413" s="7">
        <v>31.605</v>
      </c>
      <c r="AC10413" s="8">
        <v>3739</v>
      </c>
    </row>
    <row r="10414" spans="1:29" ht="78" x14ac:dyDescent="0.15">
      <c r="A10414" s="3">
        <f>DATE(2012,12,6)</f>
        <v>41249</v>
      </c>
      <c r="B10414" s="2"/>
      <c r="C10414" s="2" t="s">
        <v>7330</v>
      </c>
      <c r="D10414" s="2" t="s">
        <v>30389</v>
      </c>
      <c r="E10414" s="2" t="s">
        <v>30390</v>
      </c>
      <c r="F10414" s="4">
        <v>2066</v>
      </c>
      <c r="G10414" s="2" t="s">
        <v>577</v>
      </c>
      <c r="H10414" s="2" t="s">
        <v>34</v>
      </c>
      <c r="I10414" s="2" t="s">
        <v>30391</v>
      </c>
      <c r="J10414" s="2" t="s">
        <v>30392</v>
      </c>
      <c r="K10414" s="2" t="s">
        <v>226</v>
      </c>
      <c r="L10414" s="2" t="s">
        <v>34</v>
      </c>
      <c r="M10414" s="2"/>
      <c r="N10414" s="2"/>
      <c r="O10414" s="2"/>
      <c r="P10414" s="2" t="s">
        <v>30393</v>
      </c>
      <c r="Q10414" s="2"/>
      <c r="R10414" s="2"/>
      <c r="S10414" s="5">
        <v>0</v>
      </c>
      <c r="T10414" s="7">
        <v>-2.7E-2</v>
      </c>
      <c r="U10414" s="5">
        <v>-0.1</v>
      </c>
      <c r="V10414" s="6">
        <v>-0.22</v>
      </c>
      <c r="W10414" s="4">
        <v>3</v>
      </c>
      <c r="X10414" s="4">
        <v>3</v>
      </c>
      <c r="Y10414" s="4">
        <v>3</v>
      </c>
      <c r="Z10414" s="4">
        <v>3</v>
      </c>
      <c r="AA10414" s="6">
        <v>0.16</v>
      </c>
      <c r="AB10414" s="2" t="s">
        <v>86</v>
      </c>
      <c r="AC10414" s="2"/>
    </row>
    <row r="10415" spans="1:29" ht="65" x14ac:dyDescent="0.15">
      <c r="A10415" s="3">
        <f>DATE(2012,12,6)</f>
        <v>41249</v>
      </c>
      <c r="B10415" s="3">
        <f>DATE(2013,3,27)</f>
        <v>41360</v>
      </c>
      <c r="C10415" s="2" t="s">
        <v>95</v>
      </c>
      <c r="D10415" s="2" t="s">
        <v>30394</v>
      </c>
      <c r="E10415" s="2" t="s">
        <v>13377</v>
      </c>
      <c r="F10415" s="4">
        <v>6282</v>
      </c>
      <c r="G10415" s="2" t="s">
        <v>53</v>
      </c>
      <c r="H10415" s="2" t="s">
        <v>34</v>
      </c>
      <c r="I10415" s="2" t="s">
        <v>7748</v>
      </c>
      <c r="J10415" s="2" t="s">
        <v>265</v>
      </c>
      <c r="K10415" s="2" t="s">
        <v>37</v>
      </c>
      <c r="L10415" s="2" t="s">
        <v>902</v>
      </c>
      <c r="M10415" s="12">
        <v>73712.165999999997</v>
      </c>
      <c r="N10415" s="7">
        <v>81.823999999999998</v>
      </c>
      <c r="O10415" s="7">
        <v>81.385000000000005</v>
      </c>
      <c r="P10415" s="2" t="s">
        <v>30395</v>
      </c>
      <c r="Q10415" s="6">
        <v>100</v>
      </c>
      <c r="R10415" s="6">
        <v>28</v>
      </c>
      <c r="S10415" s="5">
        <v>28.2</v>
      </c>
      <c r="T10415" s="7">
        <v>49.881999999999998</v>
      </c>
      <c r="U10415" s="5">
        <v>3.3</v>
      </c>
      <c r="V10415" s="6">
        <v>1.19</v>
      </c>
      <c r="W10415" s="6">
        <v>22.14</v>
      </c>
      <c r="X10415" s="6">
        <v>21.91</v>
      </c>
      <c r="Y10415" s="6">
        <v>27.69</v>
      </c>
      <c r="Z10415" s="5">
        <v>27.8</v>
      </c>
      <c r="AA10415" s="6">
        <v>23.67</v>
      </c>
      <c r="AB10415" s="7">
        <v>12.959</v>
      </c>
      <c r="AC10415" s="2"/>
    </row>
    <row r="10416" spans="1:29" ht="130" x14ac:dyDescent="0.15">
      <c r="A10416" s="3">
        <f>DATE(2012,12,9)</f>
        <v>41252</v>
      </c>
      <c r="B10416" s="3">
        <f>DATE(2013,9,17)</f>
        <v>41534</v>
      </c>
      <c r="C10416" s="2" t="s">
        <v>95</v>
      </c>
      <c r="D10416" s="2" t="s">
        <v>30396</v>
      </c>
      <c r="E10416" s="2" t="s">
        <v>30397</v>
      </c>
      <c r="F10416" s="4">
        <v>3577</v>
      </c>
      <c r="G10416" s="2" t="s">
        <v>50</v>
      </c>
      <c r="H10416" s="2" t="s">
        <v>34</v>
      </c>
      <c r="I10416" s="2" t="s">
        <v>15992</v>
      </c>
      <c r="J10416" s="2" t="s">
        <v>15993</v>
      </c>
      <c r="K10416" s="2" t="s">
        <v>105</v>
      </c>
      <c r="L10416" s="2" t="s">
        <v>34</v>
      </c>
      <c r="M10416" s="12">
        <v>47652.529000000002</v>
      </c>
      <c r="N10416" s="6">
        <v>61.86</v>
      </c>
      <c r="O10416" s="6">
        <v>61.86</v>
      </c>
      <c r="P10416" s="2" t="s">
        <v>30398</v>
      </c>
      <c r="Q10416" s="6">
        <v>100</v>
      </c>
      <c r="R10416" s="6">
        <v>10</v>
      </c>
      <c r="S10416" s="5">
        <v>294</v>
      </c>
      <c r="T10416" s="7">
        <v>-19.335999999999999</v>
      </c>
      <c r="U10416" s="2"/>
      <c r="V10416" s="6">
        <v>-4.88</v>
      </c>
      <c r="W10416" s="6">
        <v>7.55</v>
      </c>
      <c r="X10416" s="6">
        <v>7.98</v>
      </c>
      <c r="Y10416" s="6">
        <v>9.83</v>
      </c>
      <c r="Z10416" s="6">
        <v>9.83</v>
      </c>
      <c r="AA10416" s="6">
        <v>60.34</v>
      </c>
      <c r="AB10416" s="2" t="s">
        <v>86</v>
      </c>
      <c r="AC10416" s="8">
        <v>5400</v>
      </c>
    </row>
    <row r="10417" spans="1:29" ht="65" x14ac:dyDescent="0.15">
      <c r="A10417" s="3">
        <f>DATE(2012,12,10)</f>
        <v>41253</v>
      </c>
      <c r="B10417" s="3">
        <f>DATE(2013,1,25)</f>
        <v>41299</v>
      </c>
      <c r="C10417" s="2" t="s">
        <v>95</v>
      </c>
      <c r="D10417" s="2" t="s">
        <v>26990</v>
      </c>
      <c r="E10417" s="2" t="s">
        <v>26991</v>
      </c>
      <c r="F10417" s="4">
        <v>3143</v>
      </c>
      <c r="G10417" s="2" t="s">
        <v>326</v>
      </c>
      <c r="H10417" s="2" t="s">
        <v>34</v>
      </c>
      <c r="I10417" s="2" t="s">
        <v>30399</v>
      </c>
      <c r="J10417" s="2" t="s">
        <v>30400</v>
      </c>
      <c r="K10417" s="2" t="s">
        <v>708</v>
      </c>
      <c r="L10417" s="2" t="s">
        <v>34</v>
      </c>
      <c r="M10417" s="7">
        <v>13.798999999999999</v>
      </c>
      <c r="N10417" s="6">
        <v>4.75</v>
      </c>
      <c r="O10417" s="6">
        <v>4.6500000000000004</v>
      </c>
      <c r="P10417" s="2" t="s">
        <v>30401</v>
      </c>
      <c r="Q10417" s="6">
        <v>100</v>
      </c>
      <c r="R10417" s="6">
        <v>2.25</v>
      </c>
      <c r="S10417" s="5">
        <v>-7.6</v>
      </c>
      <c r="T10417" s="7">
        <v>-5.4589999999999996</v>
      </c>
      <c r="U10417" s="5">
        <v>2.4</v>
      </c>
      <c r="V10417" s="6">
        <v>-0.27</v>
      </c>
      <c r="W10417" s="5">
        <v>2.2000000000000002</v>
      </c>
      <c r="X10417" s="6">
        <v>2.21</v>
      </c>
      <c r="Y10417" s="6">
        <v>2.21</v>
      </c>
      <c r="Z10417" s="6">
        <v>2.2200000000000002</v>
      </c>
      <c r="AA10417" s="6">
        <v>27.57</v>
      </c>
      <c r="AB10417" s="2" t="s">
        <v>86</v>
      </c>
      <c r="AC10417" s="6">
        <v>5.9</v>
      </c>
    </row>
    <row r="10418" spans="1:29" ht="65" x14ac:dyDescent="0.15">
      <c r="A10418" s="3">
        <f>DATE(2012,12,11)</f>
        <v>41254</v>
      </c>
      <c r="B10418" s="3">
        <f>DATE(2013,3,6)</f>
        <v>41339</v>
      </c>
      <c r="C10418" s="2" t="s">
        <v>95</v>
      </c>
      <c r="D10418" s="2" t="s">
        <v>30402</v>
      </c>
      <c r="E10418" s="2" t="s">
        <v>839</v>
      </c>
      <c r="F10418" s="4">
        <v>2834</v>
      </c>
      <c r="G10418" s="2" t="s">
        <v>130</v>
      </c>
      <c r="H10418" s="2" t="s">
        <v>34</v>
      </c>
      <c r="I10418" s="2" t="s">
        <v>30403</v>
      </c>
      <c r="J10418" s="2" t="s">
        <v>13693</v>
      </c>
      <c r="K10418" s="2" t="s">
        <v>130</v>
      </c>
      <c r="L10418" s="2" t="s">
        <v>34</v>
      </c>
      <c r="M10418" s="7">
        <v>217.76900000000001</v>
      </c>
      <c r="N10418" s="6">
        <v>7.65</v>
      </c>
      <c r="O10418" s="6">
        <v>7.82</v>
      </c>
      <c r="P10418" s="2" t="s">
        <v>30404</v>
      </c>
      <c r="Q10418" s="6">
        <v>100</v>
      </c>
      <c r="R10418" s="2"/>
      <c r="S10418" s="5">
        <v>-19</v>
      </c>
      <c r="T10418" s="7">
        <v>-16.347999999999999</v>
      </c>
      <c r="U10418" s="5">
        <v>0.4</v>
      </c>
      <c r="V10418" s="6">
        <v>-3.07</v>
      </c>
      <c r="W10418" s="6">
        <v>1.48</v>
      </c>
      <c r="X10418" s="6">
        <v>1.47</v>
      </c>
      <c r="Y10418" s="6">
        <v>2.65</v>
      </c>
      <c r="Z10418" s="5">
        <v>2.7</v>
      </c>
      <c r="AA10418" s="6">
        <v>5.26</v>
      </c>
      <c r="AB10418" s="2" t="s">
        <v>86</v>
      </c>
      <c r="AC10418" s="6">
        <v>37.04</v>
      </c>
    </row>
    <row r="10419" spans="1:29" ht="104" x14ac:dyDescent="0.15">
      <c r="A10419" s="3">
        <f>DATE(2012,12,11)</f>
        <v>41254</v>
      </c>
      <c r="B10419" s="3">
        <f>DATE(2013,2,15)</f>
        <v>41320</v>
      </c>
      <c r="C10419" s="2" t="s">
        <v>95</v>
      </c>
      <c r="D10419" s="2" t="s">
        <v>23872</v>
      </c>
      <c r="E10419" s="2" t="s">
        <v>16057</v>
      </c>
      <c r="F10419" s="4">
        <v>7389</v>
      </c>
      <c r="G10419" s="2" t="s">
        <v>223</v>
      </c>
      <c r="H10419" s="2" t="s">
        <v>34</v>
      </c>
      <c r="I10419" s="2" t="s">
        <v>51</v>
      </c>
      <c r="J10419" s="2" t="s">
        <v>52</v>
      </c>
      <c r="K10419" s="2" t="s">
        <v>53</v>
      </c>
      <c r="L10419" s="2" t="s">
        <v>34</v>
      </c>
      <c r="M10419" s="2"/>
      <c r="N10419" s="2"/>
      <c r="O10419" s="2"/>
      <c r="P10419" s="2" t="s">
        <v>30405</v>
      </c>
      <c r="Q10419" s="6">
        <v>100</v>
      </c>
      <c r="R10419" s="6">
        <v>21</v>
      </c>
      <c r="S10419" s="5">
        <v>15.1</v>
      </c>
      <c r="T10419" s="7">
        <v>122.926</v>
      </c>
      <c r="U10419" s="5">
        <v>4.9000000000000004</v>
      </c>
      <c r="V10419" s="6">
        <v>0.54</v>
      </c>
      <c r="W10419" s="6">
        <v>14.78</v>
      </c>
      <c r="X10419" s="6">
        <v>14.56</v>
      </c>
      <c r="Y10419" s="6">
        <v>20.76</v>
      </c>
      <c r="Z10419" s="6">
        <v>20.75</v>
      </c>
      <c r="AA10419" s="6">
        <v>24.65</v>
      </c>
      <c r="AB10419" s="7">
        <v>24.678999999999998</v>
      </c>
      <c r="AC10419" s="2"/>
    </row>
    <row r="10420" spans="1:29" ht="325" x14ac:dyDescent="0.15">
      <c r="A10420" s="3">
        <f>DATE(2012,12,13)</f>
        <v>41256</v>
      </c>
      <c r="B10420" s="3">
        <f>DATE(2013,7,9)</f>
        <v>41464</v>
      </c>
      <c r="C10420" s="2" t="s">
        <v>95</v>
      </c>
      <c r="D10420" s="2" t="s">
        <v>30262</v>
      </c>
      <c r="E10420" s="2" t="s">
        <v>30263</v>
      </c>
      <c r="F10420" s="4">
        <v>4899</v>
      </c>
      <c r="G10420" s="2" t="s">
        <v>63</v>
      </c>
      <c r="H10420" s="2" t="s">
        <v>34</v>
      </c>
      <c r="I10420" s="2" t="s">
        <v>14230</v>
      </c>
      <c r="J10420" s="2" t="s">
        <v>23280</v>
      </c>
      <c r="K10420" s="2" t="s">
        <v>63</v>
      </c>
      <c r="L10420" s="2" t="s">
        <v>34</v>
      </c>
      <c r="M10420" s="12">
        <v>16645.562000000002</v>
      </c>
      <c r="N10420" s="6">
        <v>5.64</v>
      </c>
      <c r="O10420" s="6">
        <v>5.55</v>
      </c>
      <c r="P10420" s="2" t="s">
        <v>30406</v>
      </c>
      <c r="Q10420" s="6">
        <v>49.55</v>
      </c>
      <c r="R10420" s="6">
        <v>5</v>
      </c>
      <c r="S10420" s="5">
        <v>-773.7</v>
      </c>
      <c r="T10420" s="7">
        <v>-428.62099999999998</v>
      </c>
      <c r="U10420" s="5">
        <v>0.9</v>
      </c>
      <c r="V10420" s="6">
        <v>-1.02</v>
      </c>
      <c r="W10420" s="6">
        <v>2.4700000000000002</v>
      </c>
      <c r="X10420" s="5">
        <v>2.4</v>
      </c>
      <c r="Y10420" s="6">
        <v>2.68</v>
      </c>
      <c r="Z10420" s="6">
        <v>2.75</v>
      </c>
      <c r="AA10420" s="10">
        <v>1464.97</v>
      </c>
      <c r="AB10420" s="2" t="s">
        <v>86</v>
      </c>
      <c r="AC10420" s="8">
        <v>7769</v>
      </c>
    </row>
    <row r="10421" spans="1:29" ht="169" x14ac:dyDescent="0.15">
      <c r="A10421" s="3">
        <f>DATE(2012,12,16)</f>
        <v>41259</v>
      </c>
      <c r="B10421" s="3">
        <f>DATE(2013,1,23)</f>
        <v>41297</v>
      </c>
      <c r="C10421" s="2" t="s">
        <v>95</v>
      </c>
      <c r="D10421" s="2" t="s">
        <v>30407</v>
      </c>
      <c r="E10421" s="2" t="s">
        <v>30408</v>
      </c>
      <c r="F10421" s="4">
        <v>5812</v>
      </c>
      <c r="G10421" s="2" t="s">
        <v>230</v>
      </c>
      <c r="H10421" s="2" t="s">
        <v>34</v>
      </c>
      <c r="I10421" s="2" t="s">
        <v>51</v>
      </c>
      <c r="J10421" s="2" t="s">
        <v>52</v>
      </c>
      <c r="K10421" s="2" t="s">
        <v>53</v>
      </c>
      <c r="L10421" s="2" t="s">
        <v>34</v>
      </c>
      <c r="M10421" s="2"/>
      <c r="N10421" s="2"/>
      <c r="O10421" s="2"/>
      <c r="P10421" s="2" t="s">
        <v>30409</v>
      </c>
      <c r="Q10421" s="6">
        <v>100</v>
      </c>
      <c r="R10421" s="6">
        <v>16</v>
      </c>
      <c r="S10421" s="5">
        <v>10.7</v>
      </c>
      <c r="T10421" s="7">
        <v>27.321000000000002</v>
      </c>
      <c r="U10421" s="5">
        <v>4.9000000000000004</v>
      </c>
      <c r="V10421" s="6">
        <v>0.5</v>
      </c>
      <c r="W10421" s="6">
        <v>13.65</v>
      </c>
      <c r="X10421" s="6">
        <v>17.05</v>
      </c>
      <c r="Y10421" s="6">
        <v>15.99</v>
      </c>
      <c r="Z10421" s="6">
        <v>15.75</v>
      </c>
      <c r="AA10421" s="6">
        <v>20.329999999999998</v>
      </c>
      <c r="AB10421" s="7">
        <v>21.114000000000001</v>
      </c>
      <c r="AC10421" s="2"/>
    </row>
    <row r="10422" spans="1:29" ht="91" x14ac:dyDescent="0.15">
      <c r="A10422" s="3">
        <f>DATE(2012,12,17)</f>
        <v>41260</v>
      </c>
      <c r="B10422" s="2"/>
      <c r="C10422" s="2" t="s">
        <v>30</v>
      </c>
      <c r="D10422" s="2" t="s">
        <v>3638</v>
      </c>
      <c r="E10422" s="2" t="s">
        <v>3639</v>
      </c>
      <c r="F10422" s="4">
        <v>7372</v>
      </c>
      <c r="G10422" s="2" t="s">
        <v>551</v>
      </c>
      <c r="H10422" s="2" t="s">
        <v>34</v>
      </c>
      <c r="I10422" s="2" t="s">
        <v>30410</v>
      </c>
      <c r="J10422" s="2" t="s">
        <v>22486</v>
      </c>
      <c r="K10422" s="2" t="s">
        <v>53</v>
      </c>
      <c r="L10422" s="2" t="s">
        <v>34</v>
      </c>
      <c r="M10422" s="2"/>
      <c r="N10422" s="2"/>
      <c r="O10422" s="2"/>
      <c r="P10422" s="2" t="s">
        <v>30411</v>
      </c>
      <c r="Q10422" s="2"/>
      <c r="R10422" s="6">
        <v>11</v>
      </c>
      <c r="S10422" s="5">
        <v>69.8</v>
      </c>
      <c r="T10422" s="6">
        <v>163.15</v>
      </c>
      <c r="U10422" s="5">
        <v>4.9000000000000004</v>
      </c>
      <c r="V10422" s="6">
        <v>0.32</v>
      </c>
      <c r="W10422" s="6">
        <v>9.4700000000000006</v>
      </c>
      <c r="X10422" s="6">
        <v>9.5299999999999994</v>
      </c>
      <c r="Y10422" s="6">
        <v>10.76</v>
      </c>
      <c r="Z10422" s="6">
        <v>10.82</v>
      </c>
      <c r="AA10422" s="6">
        <v>213.25</v>
      </c>
      <c r="AB10422" s="7">
        <v>23.693000000000001</v>
      </c>
      <c r="AC10422" s="2"/>
    </row>
    <row r="10423" spans="1:29" ht="91" x14ac:dyDescent="0.15">
      <c r="A10423" s="3">
        <f>DATE(2012,12,17)</f>
        <v>41260</v>
      </c>
      <c r="B10423" s="3">
        <f>DATE(2013,5,10)</f>
        <v>41404</v>
      </c>
      <c r="C10423" s="2" t="s">
        <v>95</v>
      </c>
      <c r="D10423" s="2" t="s">
        <v>30412</v>
      </c>
      <c r="E10423" s="2" t="s">
        <v>30413</v>
      </c>
      <c r="F10423" s="4">
        <v>1311</v>
      </c>
      <c r="G10423" s="2" t="s">
        <v>148</v>
      </c>
      <c r="H10423" s="2" t="s">
        <v>34</v>
      </c>
      <c r="I10423" s="2" t="s">
        <v>1526</v>
      </c>
      <c r="J10423" s="2" t="s">
        <v>302</v>
      </c>
      <c r="K10423" s="2" t="s">
        <v>53</v>
      </c>
      <c r="L10423" s="2" t="s">
        <v>34</v>
      </c>
      <c r="M10423" s="2"/>
      <c r="N10423" s="6">
        <v>2.31</v>
      </c>
      <c r="O10423" s="6">
        <v>2.39</v>
      </c>
      <c r="P10423" s="2" t="s">
        <v>30414</v>
      </c>
      <c r="Q10423" s="2"/>
      <c r="R10423" s="2"/>
      <c r="S10423" s="5">
        <v>-83</v>
      </c>
      <c r="T10423" s="7">
        <v>105.992</v>
      </c>
      <c r="U10423" s="5">
        <v>-15.3</v>
      </c>
      <c r="V10423" s="7">
        <v>-4.8869999999999996</v>
      </c>
      <c r="W10423" s="5">
        <v>2.5</v>
      </c>
      <c r="X10423" s="6">
        <v>2.42</v>
      </c>
      <c r="Y10423" s="6">
        <v>2.31</v>
      </c>
      <c r="Z10423" s="6">
        <v>2.39</v>
      </c>
      <c r="AA10423" s="6">
        <v>19.05</v>
      </c>
      <c r="AB10423" s="2" t="s">
        <v>86</v>
      </c>
      <c r="AC10423" s="2"/>
    </row>
    <row r="10424" spans="1:29" ht="78" x14ac:dyDescent="0.15">
      <c r="A10424" s="3">
        <f>DATE(2012,12,18)</f>
        <v>41261</v>
      </c>
      <c r="B10424" s="3">
        <f>DATE(2013,9,30)</f>
        <v>41547</v>
      </c>
      <c r="C10424" s="2" t="s">
        <v>95</v>
      </c>
      <c r="D10424" s="2" t="s">
        <v>30415</v>
      </c>
      <c r="E10424" s="2" t="s">
        <v>30416</v>
      </c>
      <c r="F10424" s="4">
        <v>8732</v>
      </c>
      <c r="G10424" s="2" t="s">
        <v>223</v>
      </c>
      <c r="H10424" s="2" t="s">
        <v>34</v>
      </c>
      <c r="I10424" s="2" t="s">
        <v>30417</v>
      </c>
      <c r="J10424" s="2" t="s">
        <v>30418</v>
      </c>
      <c r="K10424" s="2" t="s">
        <v>223</v>
      </c>
      <c r="L10424" s="2" t="s">
        <v>34</v>
      </c>
      <c r="M10424" s="12">
        <v>9981.4140000000007</v>
      </c>
      <c r="N10424" s="6">
        <v>30.92</v>
      </c>
      <c r="O10424" s="6">
        <v>30.54</v>
      </c>
      <c r="P10424" s="2" t="s">
        <v>30419</v>
      </c>
      <c r="Q10424" s="6">
        <v>100</v>
      </c>
      <c r="R10424" s="6">
        <v>48</v>
      </c>
      <c r="S10424" s="5">
        <v>57.7</v>
      </c>
      <c r="T10424" s="7">
        <v>121.86199999999999</v>
      </c>
      <c r="U10424" s="5">
        <v>4.8</v>
      </c>
      <c r="V10424" s="6">
        <v>2.12</v>
      </c>
      <c r="W10424" s="6">
        <v>38.24</v>
      </c>
      <c r="X10424" s="6">
        <v>38.04</v>
      </c>
      <c r="Y10424" s="6">
        <v>47.03</v>
      </c>
      <c r="Z10424" s="6">
        <v>46.52</v>
      </c>
      <c r="AA10424" s="6">
        <v>26.16</v>
      </c>
      <c r="AB10424" s="7">
        <v>13.781000000000001</v>
      </c>
      <c r="AC10424" s="5">
        <v>325</v>
      </c>
    </row>
    <row r="10425" spans="1:29" ht="130" x14ac:dyDescent="0.15">
      <c r="A10425" s="3">
        <f>DATE(2012,12,18)</f>
        <v>41261</v>
      </c>
      <c r="B10425" s="2"/>
      <c r="C10425" s="2" t="s">
        <v>30</v>
      </c>
      <c r="D10425" s="2" t="s">
        <v>27412</v>
      </c>
      <c r="E10425" s="2" t="s">
        <v>27413</v>
      </c>
      <c r="F10425" s="4">
        <v>3743</v>
      </c>
      <c r="G10425" s="2" t="s">
        <v>105</v>
      </c>
      <c r="H10425" s="2" t="s">
        <v>34</v>
      </c>
      <c r="I10425" s="2" t="s">
        <v>27414</v>
      </c>
      <c r="J10425" s="2" t="s">
        <v>27415</v>
      </c>
      <c r="K10425" s="2" t="s">
        <v>105</v>
      </c>
      <c r="L10425" s="2" t="s">
        <v>34</v>
      </c>
      <c r="M10425" s="2"/>
      <c r="N10425" s="6">
        <v>34.36</v>
      </c>
      <c r="O10425" s="4">
        <v>36</v>
      </c>
      <c r="P10425" s="2" t="s">
        <v>30420</v>
      </c>
      <c r="Q10425" s="2"/>
      <c r="R10425" s="6">
        <v>22</v>
      </c>
      <c r="S10425" s="5">
        <v>54.6</v>
      </c>
      <c r="T10425" s="7">
        <v>151.68600000000001</v>
      </c>
      <c r="U10425" s="5">
        <v>16.399999999999999</v>
      </c>
      <c r="V10425" s="9">
        <v>1.8309</v>
      </c>
      <c r="W10425" s="6">
        <v>19.55</v>
      </c>
      <c r="X10425" s="6">
        <v>18.97</v>
      </c>
      <c r="Y10425" s="6">
        <v>20.37</v>
      </c>
      <c r="Z10425" s="6">
        <v>20.61</v>
      </c>
      <c r="AA10425" s="6">
        <v>27.14</v>
      </c>
      <c r="AB10425" s="7">
        <v>9.8559999999999999</v>
      </c>
      <c r="AC10425" s="5">
        <v>99.2</v>
      </c>
    </row>
    <row r="10426" spans="1:29" ht="91" x14ac:dyDescent="0.15">
      <c r="A10426" s="3">
        <f>DATE(2012,12,18)</f>
        <v>41261</v>
      </c>
      <c r="B10426" s="2"/>
      <c r="C10426" s="2" t="s">
        <v>56</v>
      </c>
      <c r="D10426" s="2" t="s">
        <v>14350</v>
      </c>
      <c r="E10426" s="2" t="s">
        <v>14351</v>
      </c>
      <c r="F10426" s="4">
        <v>2066</v>
      </c>
      <c r="G10426" s="2" t="s">
        <v>577</v>
      </c>
      <c r="H10426" s="2" t="s">
        <v>34</v>
      </c>
      <c r="I10426" s="2" t="s">
        <v>30421</v>
      </c>
      <c r="J10426" s="2" t="s">
        <v>244</v>
      </c>
      <c r="K10426" s="2" t="s">
        <v>53</v>
      </c>
      <c r="L10426" s="2" t="s">
        <v>303</v>
      </c>
      <c r="M10426" s="2"/>
      <c r="N10426" s="2"/>
      <c r="O10426" s="2"/>
      <c r="P10426" s="2" t="s">
        <v>30422</v>
      </c>
      <c r="Q10426" s="2"/>
      <c r="R10426" s="6">
        <v>13.5</v>
      </c>
      <c r="S10426" s="5">
        <v>2.7</v>
      </c>
      <c r="T10426" s="7">
        <v>6.875</v>
      </c>
      <c r="U10426" s="5">
        <v>2.8</v>
      </c>
      <c r="V10426" s="6">
        <v>0.43</v>
      </c>
      <c r="W10426" s="6">
        <v>10.37</v>
      </c>
      <c r="X10426" s="6">
        <v>10.65</v>
      </c>
      <c r="Y10426" s="5">
        <v>10.6</v>
      </c>
      <c r="Z10426" s="6">
        <v>10.95</v>
      </c>
      <c r="AA10426" s="6">
        <v>6.25</v>
      </c>
      <c r="AB10426" s="7">
        <v>13.260999999999999</v>
      </c>
      <c r="AC10426" s="2"/>
    </row>
    <row r="10427" spans="1:29" ht="104" x14ac:dyDescent="0.15">
      <c r="A10427" s="3">
        <f>DATE(2012,12,19)</f>
        <v>41262</v>
      </c>
      <c r="B10427" s="2"/>
      <c r="C10427" s="2" t="s">
        <v>56</v>
      </c>
      <c r="D10427" s="2" t="s">
        <v>30423</v>
      </c>
      <c r="E10427" s="2" t="s">
        <v>3322</v>
      </c>
      <c r="F10427" s="4">
        <v>8711</v>
      </c>
      <c r="G10427" s="2" t="s">
        <v>223</v>
      </c>
      <c r="H10427" s="2" t="s">
        <v>34</v>
      </c>
      <c r="I10427" s="2" t="s">
        <v>30424</v>
      </c>
      <c r="J10427" s="2" t="s">
        <v>30425</v>
      </c>
      <c r="K10427" s="2" t="s">
        <v>3562</v>
      </c>
      <c r="L10427" s="2" t="s">
        <v>34</v>
      </c>
      <c r="M10427" s="2"/>
      <c r="N10427" s="2"/>
      <c r="O10427" s="2"/>
      <c r="P10427" s="2" t="s">
        <v>30426</v>
      </c>
      <c r="Q10427" s="2"/>
      <c r="R10427" s="6">
        <v>24.25</v>
      </c>
      <c r="S10427" s="5">
        <v>9.5</v>
      </c>
      <c r="T10427" s="7">
        <v>31.597999999999999</v>
      </c>
      <c r="U10427" s="5">
        <v>23.6</v>
      </c>
      <c r="V10427" s="6">
        <v>0.87</v>
      </c>
      <c r="W10427" s="6">
        <v>19.03</v>
      </c>
      <c r="X10427" s="6">
        <v>20.95</v>
      </c>
      <c r="Y10427" s="6">
        <v>21.85</v>
      </c>
      <c r="Z10427" s="6">
        <v>23.53</v>
      </c>
      <c r="AA10427" s="6">
        <v>9.65</v>
      </c>
      <c r="AB10427" s="7">
        <v>12.16</v>
      </c>
      <c r="AC10427" s="2"/>
    </row>
    <row r="10428" spans="1:29" ht="78" x14ac:dyDescent="0.15">
      <c r="A10428" s="3">
        <f>DATE(2012,12,19)</f>
        <v>41262</v>
      </c>
      <c r="B10428" s="2"/>
      <c r="C10428" s="2" t="s">
        <v>7330</v>
      </c>
      <c r="D10428" s="2" t="s">
        <v>27749</v>
      </c>
      <c r="E10428" s="2" t="s">
        <v>3834</v>
      </c>
      <c r="F10428" s="4">
        <v>7372</v>
      </c>
      <c r="G10428" s="2" t="s">
        <v>551</v>
      </c>
      <c r="H10428" s="2" t="s">
        <v>34</v>
      </c>
      <c r="I10428" s="2" t="s">
        <v>30427</v>
      </c>
      <c r="J10428" s="2" t="s">
        <v>302</v>
      </c>
      <c r="K10428" s="2" t="s">
        <v>53</v>
      </c>
      <c r="L10428" s="2" t="s">
        <v>303</v>
      </c>
      <c r="M10428" s="2"/>
      <c r="N10428" s="2"/>
      <c r="O10428" s="2"/>
      <c r="P10428" s="2" t="s">
        <v>30428</v>
      </c>
      <c r="Q10428" s="2"/>
      <c r="R10428" s="2"/>
      <c r="S10428" s="5">
        <v>-117.3</v>
      </c>
      <c r="T10428" s="7">
        <v>118.709</v>
      </c>
      <c r="U10428" s="5">
        <v>-6</v>
      </c>
      <c r="V10428" s="6">
        <v>-17.22</v>
      </c>
      <c r="W10428" s="5">
        <v>1.4</v>
      </c>
      <c r="X10428" s="6">
        <v>1.38</v>
      </c>
      <c r="Y10428" s="6">
        <v>0.36</v>
      </c>
      <c r="Z10428" s="5">
        <v>0.4</v>
      </c>
      <c r="AA10428" s="6">
        <v>6.86</v>
      </c>
      <c r="AB10428" s="2" t="s">
        <v>86</v>
      </c>
      <c r="AC10428" s="2"/>
    </row>
    <row r="10429" spans="1:29" ht="143" x14ac:dyDescent="0.15">
      <c r="A10429" s="3">
        <f>DATE(2012,12,19)</f>
        <v>41262</v>
      </c>
      <c r="B10429" s="3">
        <f>DATE(2013,7,1)</f>
        <v>41456</v>
      </c>
      <c r="C10429" s="2" t="s">
        <v>95</v>
      </c>
      <c r="D10429" s="2" t="s">
        <v>30429</v>
      </c>
      <c r="E10429" s="2" t="s">
        <v>1181</v>
      </c>
      <c r="F10429" s="4">
        <v>6021</v>
      </c>
      <c r="G10429" s="2" t="s">
        <v>37</v>
      </c>
      <c r="H10429" s="2" t="s">
        <v>34</v>
      </c>
      <c r="I10429" s="2" t="s">
        <v>30430</v>
      </c>
      <c r="J10429" s="2" t="s">
        <v>1181</v>
      </c>
      <c r="K10429" s="2" t="s">
        <v>37</v>
      </c>
      <c r="L10429" s="2" t="s">
        <v>34</v>
      </c>
      <c r="M10429" s="2"/>
      <c r="N10429" s="2"/>
      <c r="O10429" s="2"/>
      <c r="P10429" s="2" t="s">
        <v>30431</v>
      </c>
      <c r="Q10429" s="6">
        <v>100</v>
      </c>
      <c r="R10429" s="2"/>
      <c r="S10429" s="5">
        <v>0.5</v>
      </c>
      <c r="T10429" s="7">
        <v>1.0049999999999999</v>
      </c>
      <c r="U10429" s="2"/>
      <c r="V10429" s="2"/>
      <c r="W10429" s="4">
        <v>31</v>
      </c>
      <c r="X10429" s="4">
        <v>31</v>
      </c>
      <c r="Y10429" s="4">
        <v>31</v>
      </c>
      <c r="Z10429" s="4">
        <v>31</v>
      </c>
      <c r="AA10429" s="6">
        <v>3.75</v>
      </c>
      <c r="AB10429" s="7">
        <v>308.60399999999998</v>
      </c>
      <c r="AC10429" s="2"/>
    </row>
    <row r="10430" spans="1:29" ht="78" x14ac:dyDescent="0.15">
      <c r="A10430" s="3">
        <f>DATE(2012,12,20)</f>
        <v>41263</v>
      </c>
      <c r="B10430" s="3">
        <f>DATE(2013,2,8)</f>
        <v>41313</v>
      </c>
      <c r="C10430" s="2" t="s">
        <v>95</v>
      </c>
      <c r="D10430" s="2" t="s">
        <v>30432</v>
      </c>
      <c r="E10430" s="2" t="s">
        <v>781</v>
      </c>
      <c r="F10430" s="4">
        <v>7372</v>
      </c>
      <c r="G10430" s="2" t="s">
        <v>551</v>
      </c>
      <c r="H10430" s="2" t="s">
        <v>34</v>
      </c>
      <c r="I10430" s="2" t="s">
        <v>8588</v>
      </c>
      <c r="J10430" s="2" t="s">
        <v>8589</v>
      </c>
      <c r="K10430" s="2" t="s">
        <v>551</v>
      </c>
      <c r="L10430" s="2" t="s">
        <v>34</v>
      </c>
      <c r="M10430" s="12">
        <v>146475.20699999999</v>
      </c>
      <c r="N10430" s="6">
        <v>33.94</v>
      </c>
      <c r="O10430" s="6">
        <v>33.76</v>
      </c>
      <c r="P10430" s="2" t="s">
        <v>30433</v>
      </c>
      <c r="Q10430" s="6">
        <v>100</v>
      </c>
      <c r="R10430" s="6">
        <v>23.5</v>
      </c>
      <c r="S10430" s="5">
        <v>-9</v>
      </c>
      <c r="T10430" s="6">
        <v>-2.58</v>
      </c>
      <c r="U10430" s="5">
        <v>2.2000000000000002</v>
      </c>
      <c r="V10430" s="6">
        <v>-25.71</v>
      </c>
      <c r="W10430" s="6">
        <v>17.73</v>
      </c>
      <c r="X10430" s="6">
        <v>17.920000000000002</v>
      </c>
      <c r="Y10430" s="6">
        <v>23.66</v>
      </c>
      <c r="Z10430" s="6">
        <v>23.55</v>
      </c>
      <c r="AA10430" s="6">
        <v>34.46</v>
      </c>
      <c r="AB10430" s="2" t="s">
        <v>86</v>
      </c>
      <c r="AC10430" s="8">
        <v>33695</v>
      </c>
    </row>
    <row r="10431" spans="1:29" ht="65" x14ac:dyDescent="0.15">
      <c r="A10431" s="3">
        <f>DATE(2012,12,20)</f>
        <v>41263</v>
      </c>
      <c r="B10431" s="2"/>
      <c r="C10431" s="2" t="s">
        <v>39</v>
      </c>
      <c r="D10431" s="2" t="s">
        <v>24792</v>
      </c>
      <c r="E10431" s="2" t="s">
        <v>24793</v>
      </c>
      <c r="F10431" s="4">
        <v>3826</v>
      </c>
      <c r="G10431" s="2" t="s">
        <v>226</v>
      </c>
      <c r="H10431" s="2" t="s">
        <v>34</v>
      </c>
      <c r="I10431" s="2" t="s">
        <v>213</v>
      </c>
      <c r="J10431" s="2" t="s">
        <v>214</v>
      </c>
      <c r="K10431" s="2" t="s">
        <v>130</v>
      </c>
      <c r="L10431" s="2" t="s">
        <v>215</v>
      </c>
      <c r="M10431" s="10">
        <v>30288.639999999999</v>
      </c>
      <c r="N10431" s="7">
        <v>203.029</v>
      </c>
      <c r="O10431" s="7">
        <v>203.64500000000001</v>
      </c>
      <c r="P10431" s="2" t="s">
        <v>30434</v>
      </c>
      <c r="Q10431" s="2"/>
      <c r="R10431" s="2"/>
      <c r="S10431" s="5">
        <v>91.1</v>
      </c>
      <c r="T10431" s="7">
        <v>314.17500000000001</v>
      </c>
      <c r="U10431" s="5">
        <v>9.9</v>
      </c>
      <c r="V10431" s="6">
        <v>0.7</v>
      </c>
      <c r="W10431" s="6">
        <v>53.21</v>
      </c>
      <c r="X10431" s="7">
        <v>52.164999999999999</v>
      </c>
      <c r="Y10431" s="6">
        <v>56.22</v>
      </c>
      <c r="Z10431" s="6">
        <v>56.39</v>
      </c>
      <c r="AA10431" s="6">
        <v>123.38</v>
      </c>
      <c r="AB10431" s="2" t="s">
        <v>47</v>
      </c>
      <c r="AC10431" s="10">
        <v>12330.42</v>
      </c>
    </row>
    <row r="10432" spans="1:29" ht="260" x14ac:dyDescent="0.15">
      <c r="A10432" s="3">
        <f>DATE(2012,12,20)</f>
        <v>41263</v>
      </c>
      <c r="B10432" s="3">
        <f>DATE(2013,11,13)</f>
        <v>41591</v>
      </c>
      <c r="C10432" s="2" t="s">
        <v>95</v>
      </c>
      <c r="D10432" s="2" t="s">
        <v>27252</v>
      </c>
      <c r="E10432" s="2" t="s">
        <v>27253</v>
      </c>
      <c r="F10432" s="4">
        <v>6231</v>
      </c>
      <c r="G10432" s="2" t="s">
        <v>53</v>
      </c>
      <c r="H10432" s="2" t="s">
        <v>34</v>
      </c>
      <c r="I10432" s="2" t="s">
        <v>25295</v>
      </c>
      <c r="J10432" s="2" t="s">
        <v>25296</v>
      </c>
      <c r="K10432" s="2" t="s">
        <v>53</v>
      </c>
      <c r="L10432" s="2" t="s">
        <v>34</v>
      </c>
      <c r="M10432" s="10">
        <v>9491.25</v>
      </c>
      <c r="N10432" s="5">
        <v>130.1</v>
      </c>
      <c r="O10432" s="6">
        <v>126.25</v>
      </c>
      <c r="P10432" s="2" t="s">
        <v>30435</v>
      </c>
      <c r="Q10432" s="6">
        <v>100</v>
      </c>
      <c r="R10432" s="6">
        <v>33.119999999999997</v>
      </c>
      <c r="S10432" s="5">
        <v>431</v>
      </c>
      <c r="T10432" s="8">
        <v>1008</v>
      </c>
      <c r="U10432" s="5">
        <v>26.3</v>
      </c>
      <c r="V10432" s="6">
        <v>1.69</v>
      </c>
      <c r="W10432" s="6">
        <v>23.18</v>
      </c>
      <c r="X10432" s="6">
        <v>24.05</v>
      </c>
      <c r="Y10432" s="6">
        <v>32.25</v>
      </c>
      <c r="Z10432" s="6">
        <v>32.25</v>
      </c>
      <c r="AA10432" s="6">
        <v>243</v>
      </c>
      <c r="AB10432" s="7">
        <v>13.742000000000001</v>
      </c>
      <c r="AC10432" s="10">
        <v>1321.75</v>
      </c>
    </row>
    <row r="10433" spans="1:29" ht="143" x14ac:dyDescent="0.15">
      <c r="A10433" s="3">
        <f>DATE(2012,12,20)</f>
        <v>41263</v>
      </c>
      <c r="B10433" s="3">
        <f>DATE(2013,1,31)</f>
        <v>41305</v>
      </c>
      <c r="C10433" s="2" t="s">
        <v>95</v>
      </c>
      <c r="D10433" s="2" t="s">
        <v>30436</v>
      </c>
      <c r="E10433" s="2" t="s">
        <v>30437</v>
      </c>
      <c r="F10433" s="4">
        <v>2041</v>
      </c>
      <c r="G10433" s="2" t="s">
        <v>577</v>
      </c>
      <c r="H10433" s="2" t="s">
        <v>34</v>
      </c>
      <c r="I10433" s="2" t="s">
        <v>30438</v>
      </c>
      <c r="J10433" s="2" t="s">
        <v>3197</v>
      </c>
      <c r="K10433" s="2" t="s">
        <v>53</v>
      </c>
      <c r="L10433" s="2" t="s">
        <v>2105</v>
      </c>
      <c r="M10433" s="2"/>
      <c r="N10433" s="2"/>
      <c r="O10433" s="2"/>
      <c r="P10433" s="2" t="s">
        <v>30439</v>
      </c>
      <c r="Q10433" s="6">
        <v>100</v>
      </c>
      <c r="R10433" s="6">
        <v>6.7</v>
      </c>
      <c r="S10433" s="5">
        <v>2.7</v>
      </c>
      <c r="T10433" s="7">
        <v>48.957000000000001</v>
      </c>
      <c r="U10433" s="5">
        <v>4.0999999999999996</v>
      </c>
      <c r="V10433" s="6">
        <v>-7.0000000000000007E-2</v>
      </c>
      <c r="W10433" s="6">
        <v>5.77</v>
      </c>
      <c r="X10433" s="6">
        <v>6.11</v>
      </c>
      <c r="Y10433" s="6">
        <v>6.08</v>
      </c>
      <c r="Z10433" s="6">
        <v>6.69</v>
      </c>
      <c r="AA10433" s="6">
        <v>28.22</v>
      </c>
      <c r="AB10433" s="7">
        <v>21.138999999999999</v>
      </c>
      <c r="AC10433" s="2"/>
    </row>
    <row r="10434" spans="1:29" ht="65" x14ac:dyDescent="0.15">
      <c r="A10434" s="3">
        <f>DATE(2012,12,21)</f>
        <v>41264</v>
      </c>
      <c r="B10434" s="3">
        <f>DATE(2013,8,14)</f>
        <v>41500</v>
      </c>
      <c r="C10434" s="2" t="s">
        <v>95</v>
      </c>
      <c r="D10434" s="2" t="s">
        <v>23946</v>
      </c>
      <c r="E10434" s="2" t="s">
        <v>23947</v>
      </c>
      <c r="F10434" s="4">
        <v>7011</v>
      </c>
      <c r="G10434" s="2" t="s">
        <v>269</v>
      </c>
      <c r="H10434" s="2" t="s">
        <v>34</v>
      </c>
      <c r="I10434" s="2" t="s">
        <v>16499</v>
      </c>
      <c r="J10434" s="2" t="s">
        <v>16500</v>
      </c>
      <c r="K10434" s="2" t="s">
        <v>269</v>
      </c>
      <c r="L10434" s="2" t="s">
        <v>34</v>
      </c>
      <c r="M10434" s="7">
        <v>736.52200000000005</v>
      </c>
      <c r="N10434" s="5">
        <v>16.2</v>
      </c>
      <c r="O10434" s="6">
        <v>15.95</v>
      </c>
      <c r="P10434" s="2" t="s">
        <v>30440</v>
      </c>
      <c r="Q10434" s="6">
        <v>100</v>
      </c>
      <c r="R10434" s="6">
        <v>26.5</v>
      </c>
      <c r="S10434" s="5">
        <v>82.5</v>
      </c>
      <c r="T10434" s="7">
        <v>338.14100000000002</v>
      </c>
      <c r="U10434" s="5">
        <v>-0.8</v>
      </c>
      <c r="V10434" s="6">
        <v>2.4</v>
      </c>
      <c r="W10434" s="6">
        <v>20.73</v>
      </c>
      <c r="X10434" s="6">
        <v>22.07</v>
      </c>
      <c r="Y10434" s="5">
        <v>26.5</v>
      </c>
      <c r="Z10434" s="6">
        <v>26.56</v>
      </c>
      <c r="AA10434" s="6">
        <v>32.81</v>
      </c>
      <c r="AB10434" s="7">
        <v>11.762</v>
      </c>
      <c r="AC10434" s="6">
        <v>158.84</v>
      </c>
    </row>
    <row r="10435" spans="1:29" ht="52" x14ac:dyDescent="0.15">
      <c r="A10435" s="3">
        <f>DATE(2012,12,21)</f>
        <v>41264</v>
      </c>
      <c r="B10435" s="3">
        <f>DATE(2013,5,17)</f>
        <v>41411</v>
      </c>
      <c r="C10435" s="2" t="s">
        <v>95</v>
      </c>
      <c r="D10435" s="2" t="s">
        <v>30441</v>
      </c>
      <c r="E10435" s="2" t="s">
        <v>4727</v>
      </c>
      <c r="F10435" s="4">
        <v>6153</v>
      </c>
      <c r="G10435" s="2" t="s">
        <v>370</v>
      </c>
      <c r="H10435" s="2" t="s">
        <v>34</v>
      </c>
      <c r="I10435" s="2" t="s">
        <v>30442</v>
      </c>
      <c r="J10435" s="2" t="s">
        <v>28300</v>
      </c>
      <c r="K10435" s="2" t="s">
        <v>53</v>
      </c>
      <c r="L10435" s="2" t="s">
        <v>34</v>
      </c>
      <c r="M10435" s="2"/>
      <c r="N10435" s="2"/>
      <c r="O10435" s="2"/>
      <c r="P10435" s="2" t="s">
        <v>30443</v>
      </c>
      <c r="Q10435" s="6">
        <v>100</v>
      </c>
      <c r="R10435" s="6">
        <v>10</v>
      </c>
      <c r="S10435" s="5">
        <v>29.6</v>
      </c>
      <c r="T10435" s="7">
        <v>10.445</v>
      </c>
      <c r="U10435" s="5">
        <v>12.2</v>
      </c>
      <c r="V10435" s="6">
        <v>2.85</v>
      </c>
      <c r="W10435" s="6">
        <v>8.11</v>
      </c>
      <c r="X10435" s="5">
        <v>8.3000000000000007</v>
      </c>
      <c r="Y10435" s="5">
        <v>9.6999999999999993</v>
      </c>
      <c r="Z10435" s="6">
        <v>9.75</v>
      </c>
      <c r="AA10435" s="6">
        <v>10.56</v>
      </c>
      <c r="AB10435" s="7">
        <v>24.670999999999999</v>
      </c>
      <c r="AC10435" s="2"/>
    </row>
    <row r="10436" spans="1:29" ht="104" x14ac:dyDescent="0.15">
      <c r="A10436" s="3">
        <f>DATE(2012,12,28)</f>
        <v>41271</v>
      </c>
      <c r="B10436" s="3">
        <f>DATE(2013,7,3)</f>
        <v>41458</v>
      </c>
      <c r="C10436" s="2" t="s">
        <v>95</v>
      </c>
      <c r="D10436" s="2" t="s">
        <v>30444</v>
      </c>
      <c r="E10436" s="2" t="s">
        <v>159</v>
      </c>
      <c r="F10436" s="4">
        <v>6712</v>
      </c>
      <c r="G10436" s="2" t="s">
        <v>37</v>
      </c>
      <c r="H10436" s="2" t="s">
        <v>34</v>
      </c>
      <c r="I10436" s="2" t="s">
        <v>30445</v>
      </c>
      <c r="J10436" s="2" t="s">
        <v>17331</v>
      </c>
      <c r="K10436" s="2" t="s">
        <v>37</v>
      </c>
      <c r="L10436" s="2" t="s">
        <v>34</v>
      </c>
      <c r="M10436" s="7">
        <v>66.733000000000004</v>
      </c>
      <c r="N10436" s="7">
        <v>24.843</v>
      </c>
      <c r="O10436" s="6">
        <v>23.83</v>
      </c>
      <c r="P10436" s="2" t="s">
        <v>30446</v>
      </c>
      <c r="Q10436" s="6">
        <v>100</v>
      </c>
      <c r="R10436" s="2"/>
      <c r="S10436" s="5">
        <v>0.1</v>
      </c>
      <c r="T10436" s="7">
        <v>0.28799999999999998</v>
      </c>
      <c r="U10436" s="5">
        <v>10</v>
      </c>
      <c r="V10436" s="6">
        <v>0.08</v>
      </c>
      <c r="W10436" s="6">
        <v>4.58</v>
      </c>
      <c r="X10436" s="6">
        <v>4.7699999999999996</v>
      </c>
      <c r="Y10436" s="6">
        <v>4.7699999999999996</v>
      </c>
      <c r="Z10436" s="5">
        <v>8.1999999999999993</v>
      </c>
      <c r="AA10436" s="6">
        <v>1.69</v>
      </c>
      <c r="AB10436" s="7">
        <v>169.602</v>
      </c>
      <c r="AC10436" s="2"/>
    </row>
    <row r="10437" spans="1:29" ht="117" x14ac:dyDescent="0.15">
      <c r="A10437" s="3">
        <f>DATE(2012,12,30)</f>
        <v>41273</v>
      </c>
      <c r="B10437" s="3">
        <f>DATE(2013,4,23)</f>
        <v>41387</v>
      </c>
      <c r="C10437" s="2" t="s">
        <v>95</v>
      </c>
      <c r="D10437" s="2" t="s">
        <v>30447</v>
      </c>
      <c r="E10437" s="2" t="s">
        <v>30448</v>
      </c>
      <c r="F10437" s="4">
        <v>6282</v>
      </c>
      <c r="G10437" s="2" t="s">
        <v>53</v>
      </c>
      <c r="H10437" s="2" t="s">
        <v>34</v>
      </c>
      <c r="I10437" s="2" t="s">
        <v>30449</v>
      </c>
      <c r="J10437" s="2" t="s">
        <v>11337</v>
      </c>
      <c r="K10437" s="2" t="s">
        <v>53</v>
      </c>
      <c r="L10437" s="2" t="s">
        <v>34</v>
      </c>
      <c r="M10437" s="2"/>
      <c r="N10437" s="2"/>
      <c r="O10437" s="2"/>
      <c r="P10437" s="2" t="s">
        <v>30450</v>
      </c>
      <c r="Q10437" s="6">
        <v>100</v>
      </c>
      <c r="R10437" s="6">
        <v>15.55</v>
      </c>
      <c r="S10437" s="5">
        <v>21.9</v>
      </c>
      <c r="T10437" s="7">
        <v>80.885999999999996</v>
      </c>
      <c r="U10437" s="5">
        <v>8.5</v>
      </c>
      <c r="V10437" s="6">
        <v>0.69</v>
      </c>
      <c r="W10437" s="6">
        <v>12.88</v>
      </c>
      <c r="X10437" s="6">
        <v>13.05</v>
      </c>
      <c r="Y10437" s="6">
        <v>15.62</v>
      </c>
      <c r="Z10437" s="6">
        <v>15.62</v>
      </c>
      <c r="AA10437" s="6">
        <v>42.47</v>
      </c>
      <c r="AB10437" s="7">
        <v>9.7520000000000007</v>
      </c>
      <c r="AC10437" s="2"/>
    </row>
    <row r="10438" spans="1:29" ht="78" x14ac:dyDescent="0.15">
      <c r="A10438" s="3">
        <f>DATE(2012,12,31)</f>
        <v>41274</v>
      </c>
      <c r="B10438" s="3">
        <f>DATE(2013,7,1)</f>
        <v>41456</v>
      </c>
      <c r="C10438" s="2" t="s">
        <v>95</v>
      </c>
      <c r="D10438" s="2" t="s">
        <v>28131</v>
      </c>
      <c r="E10438" s="2" t="s">
        <v>92</v>
      </c>
      <c r="F10438" s="4">
        <v>6798</v>
      </c>
      <c r="G10438" s="2" t="s">
        <v>53</v>
      </c>
      <c r="H10438" s="2" t="s">
        <v>34</v>
      </c>
      <c r="I10438" s="2" t="s">
        <v>28132</v>
      </c>
      <c r="J10438" s="2" t="s">
        <v>9299</v>
      </c>
      <c r="K10438" s="2" t="s">
        <v>53</v>
      </c>
      <c r="L10438" s="2" t="s">
        <v>34</v>
      </c>
      <c r="M10438" s="2"/>
      <c r="N10438" s="2"/>
      <c r="O10438" s="2"/>
      <c r="P10438" s="2" t="s">
        <v>30451</v>
      </c>
      <c r="Q10438" s="6">
        <v>9.1999999999999993</v>
      </c>
      <c r="R10438" s="2"/>
      <c r="S10438" s="5">
        <v>-15.1</v>
      </c>
      <c r="T10438" s="7">
        <v>-5.1829999999999998</v>
      </c>
      <c r="U10438" s="5">
        <v>10.7</v>
      </c>
      <c r="V10438" s="6">
        <v>-0.75</v>
      </c>
      <c r="W10438" s="6">
        <v>7.09</v>
      </c>
      <c r="X10438" s="5">
        <v>7.2</v>
      </c>
      <c r="Y10438" s="5">
        <v>7.5</v>
      </c>
      <c r="Z10438" s="5">
        <v>7.5</v>
      </c>
      <c r="AA10438" s="6">
        <v>10.220000000000001</v>
      </c>
      <c r="AB10438" s="2" t="s">
        <v>86</v>
      </c>
      <c r="AC10438" s="2"/>
    </row>
    <row r="10439" spans="1:29" ht="52" x14ac:dyDescent="0.15">
      <c r="A10439" s="3">
        <f>DATE(2013,1,2)</f>
        <v>41276</v>
      </c>
      <c r="B10439" s="3">
        <f>DATE(2013,1,2)</f>
        <v>41276</v>
      </c>
      <c r="C10439" s="2" t="s">
        <v>95</v>
      </c>
      <c r="D10439" s="2" t="s">
        <v>30452</v>
      </c>
      <c r="E10439" s="2" t="s">
        <v>30453</v>
      </c>
      <c r="F10439" s="4">
        <v>4724</v>
      </c>
      <c r="G10439" s="2" t="s">
        <v>173</v>
      </c>
      <c r="H10439" s="2" t="s">
        <v>34</v>
      </c>
      <c r="I10439" s="2" t="s">
        <v>30454</v>
      </c>
      <c r="J10439" s="2" t="s">
        <v>30455</v>
      </c>
      <c r="K10439" s="2" t="s">
        <v>173</v>
      </c>
      <c r="L10439" s="2" t="s">
        <v>34</v>
      </c>
      <c r="M10439" s="2"/>
      <c r="N10439" s="2"/>
      <c r="O10439" s="2"/>
      <c r="P10439" s="2" t="s">
        <v>30456</v>
      </c>
      <c r="Q10439" s="6">
        <v>80</v>
      </c>
      <c r="R10439" s="6">
        <v>2.65</v>
      </c>
      <c r="S10439" s="5">
        <v>0</v>
      </c>
      <c r="T10439" s="2"/>
      <c r="U10439" s="2"/>
      <c r="V10439" s="9">
        <v>-5.9999999999999995E-4</v>
      </c>
      <c r="W10439" s="6">
        <v>2.85</v>
      </c>
      <c r="X10439" s="6">
        <v>3.05</v>
      </c>
      <c r="Y10439" s="6">
        <v>3.06</v>
      </c>
      <c r="Z10439" s="6">
        <v>3.07</v>
      </c>
      <c r="AA10439" s="6">
        <v>25</v>
      </c>
      <c r="AB10439" s="2" t="s">
        <v>86</v>
      </c>
      <c r="AC10439" s="2"/>
    </row>
    <row r="10440" spans="1:29" ht="78" x14ac:dyDescent="0.15">
      <c r="A10440" s="3">
        <f>DATE(2013,1,2)</f>
        <v>41276</v>
      </c>
      <c r="B10440" s="3">
        <f>DATE(2013,3,14)</f>
        <v>41347</v>
      </c>
      <c r="C10440" s="2" t="s">
        <v>95</v>
      </c>
      <c r="D10440" s="2" t="s">
        <v>30457</v>
      </c>
      <c r="E10440" s="2" t="s">
        <v>30458</v>
      </c>
      <c r="F10440" s="4">
        <v>7514</v>
      </c>
      <c r="G10440" s="2" t="s">
        <v>1327</v>
      </c>
      <c r="H10440" s="2" t="s">
        <v>34</v>
      </c>
      <c r="I10440" s="2" t="s">
        <v>28250</v>
      </c>
      <c r="J10440" s="2" t="s">
        <v>28251</v>
      </c>
      <c r="K10440" s="2" t="s">
        <v>1327</v>
      </c>
      <c r="L10440" s="2" t="s">
        <v>34</v>
      </c>
      <c r="M10440" s="12">
        <v>2037.1079999999999</v>
      </c>
      <c r="N10440" s="6">
        <v>20.77</v>
      </c>
      <c r="O10440" s="6">
        <v>21.34</v>
      </c>
      <c r="P10440" s="2" t="s">
        <v>30459</v>
      </c>
      <c r="Q10440" s="6">
        <v>100</v>
      </c>
      <c r="R10440" s="6">
        <v>12.25</v>
      </c>
      <c r="S10440" s="5">
        <v>13.7</v>
      </c>
      <c r="T10440" s="7">
        <v>47.350999999999999</v>
      </c>
      <c r="U10440" s="5">
        <v>6.2</v>
      </c>
      <c r="V10440" s="9">
        <v>0.32969999999999999</v>
      </c>
      <c r="W10440" s="6">
        <v>8.4700000000000006</v>
      </c>
      <c r="X10440" s="6">
        <v>8.24</v>
      </c>
      <c r="Y10440" s="6">
        <v>12.18</v>
      </c>
      <c r="Z10440" s="6">
        <v>12.17</v>
      </c>
      <c r="AA10440" s="6">
        <v>40.119999999999997</v>
      </c>
      <c r="AB10440" s="7">
        <v>90.498999999999995</v>
      </c>
      <c r="AC10440" s="5">
        <v>606</v>
      </c>
    </row>
    <row r="10441" spans="1:29" ht="65" x14ac:dyDescent="0.15">
      <c r="A10441" s="3">
        <f>DATE(2013,1,7)</f>
        <v>41281</v>
      </c>
      <c r="B10441" s="2"/>
      <c r="C10441" s="2" t="s">
        <v>30</v>
      </c>
      <c r="D10441" s="2" t="s">
        <v>30460</v>
      </c>
      <c r="E10441" s="2" t="s">
        <v>30461</v>
      </c>
      <c r="F10441" s="4">
        <v>5531</v>
      </c>
      <c r="G10441" s="2" t="s">
        <v>73</v>
      </c>
      <c r="H10441" s="2" t="s">
        <v>34</v>
      </c>
      <c r="I10441" s="2" t="s">
        <v>30462</v>
      </c>
      <c r="J10441" s="2" t="s">
        <v>302</v>
      </c>
      <c r="K10441" s="2" t="s">
        <v>53</v>
      </c>
      <c r="L10441" s="2" t="s">
        <v>34</v>
      </c>
      <c r="M10441" s="2"/>
      <c r="N10441" s="2"/>
      <c r="O10441" s="2"/>
      <c r="P10441" s="2" t="s">
        <v>30463</v>
      </c>
      <c r="Q10441" s="2"/>
      <c r="R10441" s="2"/>
      <c r="S10441" s="5">
        <v>-1.2</v>
      </c>
      <c r="T10441" s="7">
        <v>-1.3260000000000001</v>
      </c>
      <c r="U10441" s="5">
        <v>0</v>
      </c>
      <c r="V10441" s="9">
        <v>-4.6199999999999998E-2</v>
      </c>
      <c r="W10441" s="6">
        <v>0.85</v>
      </c>
      <c r="X10441" s="6">
        <v>1.01</v>
      </c>
      <c r="Y10441" s="6">
        <v>1.01</v>
      </c>
      <c r="Z10441" s="6">
        <v>1.01</v>
      </c>
      <c r="AA10441" s="6">
        <v>25.44</v>
      </c>
      <c r="AB10441" s="2" t="s">
        <v>86</v>
      </c>
      <c r="AC10441" s="2"/>
    </row>
    <row r="10442" spans="1:29" ht="130" x14ac:dyDescent="0.15">
      <c r="A10442" s="3">
        <f>DATE(2013,1,7)</f>
        <v>41281</v>
      </c>
      <c r="B10442" s="3">
        <f>DATE(2013,5,24)</f>
        <v>41418</v>
      </c>
      <c r="C10442" s="2" t="s">
        <v>95</v>
      </c>
      <c r="D10442" s="2" t="s">
        <v>30464</v>
      </c>
      <c r="E10442" s="2" t="s">
        <v>30465</v>
      </c>
      <c r="F10442" s="4">
        <v>4953</v>
      </c>
      <c r="G10442" s="2" t="s">
        <v>116</v>
      </c>
      <c r="H10442" s="2" t="s">
        <v>34</v>
      </c>
      <c r="I10442" s="2" t="s">
        <v>30466</v>
      </c>
      <c r="J10442" s="2" t="s">
        <v>3197</v>
      </c>
      <c r="K10442" s="2" t="s">
        <v>53</v>
      </c>
      <c r="L10442" s="2" t="s">
        <v>34</v>
      </c>
      <c r="M10442" s="2"/>
      <c r="N10442" s="2"/>
      <c r="O10442" s="2"/>
      <c r="P10442" s="2" t="s">
        <v>30467</v>
      </c>
      <c r="Q10442" s="6">
        <v>100</v>
      </c>
      <c r="R10442" s="6">
        <v>4.1500000000000004</v>
      </c>
      <c r="S10442" s="5">
        <v>-3.6</v>
      </c>
      <c r="T10442" s="6">
        <v>126.69</v>
      </c>
      <c r="U10442" s="5">
        <v>3.1</v>
      </c>
      <c r="V10442" s="9">
        <v>-4.2500000000000003E-2</v>
      </c>
      <c r="W10442" s="6">
        <v>3.12</v>
      </c>
      <c r="X10442" s="6">
        <v>3.44</v>
      </c>
      <c r="Y10442" s="6">
        <v>3.73</v>
      </c>
      <c r="Z10442" s="5">
        <v>3.7</v>
      </c>
      <c r="AA10442" s="6">
        <v>90.26</v>
      </c>
      <c r="AB10442" s="7">
        <v>19.349</v>
      </c>
      <c r="AC10442" s="2"/>
    </row>
    <row r="10443" spans="1:29" ht="65" x14ac:dyDescent="0.15">
      <c r="A10443" s="3">
        <f>DATE(2013,1,7)</f>
        <v>41281</v>
      </c>
      <c r="B10443" s="3">
        <f>DATE(2013,3,12)</f>
        <v>41345</v>
      </c>
      <c r="C10443" s="2" t="s">
        <v>95</v>
      </c>
      <c r="D10443" s="2" t="s">
        <v>30468</v>
      </c>
      <c r="E10443" s="2" t="s">
        <v>30469</v>
      </c>
      <c r="F10443" s="4">
        <v>7374</v>
      </c>
      <c r="G10443" s="2" t="s">
        <v>223</v>
      </c>
      <c r="H10443" s="2" t="s">
        <v>34</v>
      </c>
      <c r="I10443" s="2" t="s">
        <v>30470</v>
      </c>
      <c r="J10443" s="2" t="s">
        <v>30471</v>
      </c>
      <c r="K10443" s="2" t="s">
        <v>551</v>
      </c>
      <c r="L10443" s="2" t="s">
        <v>34</v>
      </c>
      <c r="M10443" s="12">
        <v>2752.3359999999998</v>
      </c>
      <c r="N10443" s="6">
        <v>77.989999999999995</v>
      </c>
      <c r="O10443" s="6">
        <v>77.64</v>
      </c>
      <c r="P10443" s="2" t="s">
        <v>30472</v>
      </c>
      <c r="Q10443" s="6">
        <v>100</v>
      </c>
      <c r="R10443" s="6">
        <v>11.75</v>
      </c>
      <c r="S10443" s="5">
        <v>-7.3</v>
      </c>
      <c r="T10443" s="7">
        <v>1.6160000000000001</v>
      </c>
      <c r="U10443" s="5">
        <v>3.4</v>
      </c>
      <c r="V10443" s="9">
        <v>-0.31919999999999998</v>
      </c>
      <c r="W10443" s="6">
        <v>8.82</v>
      </c>
      <c r="X10443" s="6">
        <v>9.6199999999999992</v>
      </c>
      <c r="Y10443" s="6">
        <v>11.68</v>
      </c>
      <c r="Z10443" s="6">
        <v>11.67</v>
      </c>
      <c r="AA10443" s="6">
        <v>24.87</v>
      </c>
      <c r="AB10443" s="2" t="s">
        <v>86</v>
      </c>
      <c r="AC10443" s="6">
        <v>194.44</v>
      </c>
    </row>
    <row r="10444" spans="1:29" ht="182" x14ac:dyDescent="0.15">
      <c r="A10444" s="3">
        <f>DATE(2013,1,8)</f>
        <v>41282</v>
      </c>
      <c r="B10444" s="2"/>
      <c r="C10444" s="2" t="s">
        <v>30</v>
      </c>
      <c r="D10444" s="2" t="s">
        <v>30262</v>
      </c>
      <c r="E10444" s="2" t="s">
        <v>30263</v>
      </c>
      <c r="F10444" s="4">
        <v>4899</v>
      </c>
      <c r="G10444" s="2" t="s">
        <v>63</v>
      </c>
      <c r="H10444" s="2" t="s">
        <v>34</v>
      </c>
      <c r="I10444" s="2" t="s">
        <v>30473</v>
      </c>
      <c r="J10444" s="2" t="s">
        <v>6412</v>
      </c>
      <c r="K10444" s="2" t="s">
        <v>45</v>
      </c>
      <c r="L10444" s="2" t="s">
        <v>34</v>
      </c>
      <c r="M10444" s="12">
        <v>16711.962</v>
      </c>
      <c r="N10444" s="6">
        <v>35.97</v>
      </c>
      <c r="O10444" s="6">
        <v>36.85</v>
      </c>
      <c r="P10444" s="2" t="s">
        <v>30474</v>
      </c>
      <c r="Q10444" s="2"/>
      <c r="R10444" s="6">
        <v>4.4000000000000004</v>
      </c>
      <c r="S10444" s="5">
        <v>-728.6</v>
      </c>
      <c r="T10444" s="7">
        <v>-474.05599999999998</v>
      </c>
      <c r="U10444" s="5">
        <v>0.6</v>
      </c>
      <c r="V10444" s="6">
        <v>-1.01</v>
      </c>
      <c r="W10444" s="2"/>
      <c r="X10444" s="5">
        <v>2.9</v>
      </c>
      <c r="Y10444" s="6">
        <v>2.68</v>
      </c>
      <c r="Z10444" s="6">
        <v>2.75</v>
      </c>
      <c r="AA10444" s="10">
        <v>1464.97</v>
      </c>
      <c r="AB10444" s="2" t="s">
        <v>86</v>
      </c>
      <c r="AC10444" s="10">
        <v>7237.78</v>
      </c>
    </row>
    <row r="10445" spans="1:29" ht="65" x14ac:dyDescent="0.15">
      <c r="A10445" s="3">
        <f>DATE(2013,1,16)</f>
        <v>41290</v>
      </c>
      <c r="B10445" s="2"/>
      <c r="C10445" s="2" t="s">
        <v>7330</v>
      </c>
      <c r="D10445" s="2" t="s">
        <v>30475</v>
      </c>
      <c r="E10445" s="2" t="s">
        <v>6457</v>
      </c>
      <c r="F10445" s="4">
        <v>7011</v>
      </c>
      <c r="G10445" s="2" t="s">
        <v>269</v>
      </c>
      <c r="H10445" s="2" t="s">
        <v>34</v>
      </c>
      <c r="I10445" s="2" t="s">
        <v>30476</v>
      </c>
      <c r="J10445" s="2" t="s">
        <v>6457</v>
      </c>
      <c r="K10445" s="2" t="s">
        <v>269</v>
      </c>
      <c r="L10445" s="2" t="s">
        <v>34</v>
      </c>
      <c r="M10445" s="2"/>
      <c r="N10445" s="2"/>
      <c r="O10445" s="2"/>
      <c r="P10445" s="2" t="s">
        <v>30477</v>
      </c>
      <c r="Q10445" s="2"/>
      <c r="R10445" s="2"/>
      <c r="S10445" s="5">
        <v>-23.8</v>
      </c>
      <c r="T10445" s="7">
        <v>75.882000000000005</v>
      </c>
      <c r="U10445" s="4">
        <v>24640589</v>
      </c>
      <c r="V10445" s="2" t="s">
        <v>30478</v>
      </c>
      <c r="W10445" s="5">
        <v>50.5</v>
      </c>
      <c r="X10445" s="5">
        <v>50.5</v>
      </c>
      <c r="Y10445" s="5">
        <v>50.5</v>
      </c>
      <c r="Z10445" s="5">
        <v>50.5</v>
      </c>
      <c r="AA10445" s="6">
        <v>0.15</v>
      </c>
      <c r="AB10445" s="2" t="s">
        <v>47</v>
      </c>
      <c r="AC10445" s="2"/>
    </row>
    <row r="10446" spans="1:29" ht="65" x14ac:dyDescent="0.15">
      <c r="A10446" s="3">
        <f>DATE(2013,1,16)</f>
        <v>41290</v>
      </c>
      <c r="B10446" s="3">
        <f>DATE(2013,4,30)</f>
        <v>41394</v>
      </c>
      <c r="C10446" s="2" t="s">
        <v>95</v>
      </c>
      <c r="D10446" s="2" t="s">
        <v>30479</v>
      </c>
      <c r="E10446" s="2" t="s">
        <v>30480</v>
      </c>
      <c r="F10446" s="4">
        <v>3021</v>
      </c>
      <c r="G10446" s="2" t="s">
        <v>447</v>
      </c>
      <c r="H10446" s="2" t="s">
        <v>34</v>
      </c>
      <c r="I10446" s="2" t="s">
        <v>30481</v>
      </c>
      <c r="J10446" s="2" t="s">
        <v>1821</v>
      </c>
      <c r="K10446" s="2" t="s">
        <v>756</v>
      </c>
      <c r="L10446" s="2" t="s">
        <v>1502</v>
      </c>
      <c r="M10446" s="2"/>
      <c r="N10446" s="2"/>
      <c r="O10446" s="2"/>
      <c r="P10446" s="2" t="s">
        <v>30482</v>
      </c>
      <c r="Q10446" s="6">
        <v>100</v>
      </c>
      <c r="R10446" s="6">
        <v>4.75</v>
      </c>
      <c r="S10446" s="5">
        <v>-34.799999999999997</v>
      </c>
      <c r="T10446" s="7">
        <v>-27.056000000000001</v>
      </c>
      <c r="U10446" s="5">
        <v>3.7</v>
      </c>
      <c r="V10446" s="6">
        <v>-0.98</v>
      </c>
      <c r="W10446" s="6">
        <v>3.18</v>
      </c>
      <c r="X10446" s="6">
        <v>3.23</v>
      </c>
      <c r="Y10446" s="6">
        <v>3.19</v>
      </c>
      <c r="Z10446" s="6">
        <v>4.71</v>
      </c>
      <c r="AA10446" s="6">
        <v>35.61</v>
      </c>
      <c r="AB10446" s="2" t="s">
        <v>86</v>
      </c>
      <c r="AC10446" s="6">
        <v>744.18</v>
      </c>
    </row>
    <row r="10447" spans="1:29" ht="52" x14ac:dyDescent="0.15">
      <c r="A10447" s="3">
        <f>DATE(2013,1,16)</f>
        <v>41290</v>
      </c>
      <c r="B10447" s="3">
        <f>DATE(2013,6,24)</f>
        <v>41449</v>
      </c>
      <c r="C10447" s="2" t="s">
        <v>95</v>
      </c>
      <c r="D10447" s="2" t="s">
        <v>28077</v>
      </c>
      <c r="E10447" s="2" t="s">
        <v>36</v>
      </c>
      <c r="F10447" s="4">
        <v>6021</v>
      </c>
      <c r="G10447" s="2" t="s">
        <v>37</v>
      </c>
      <c r="H10447" s="2" t="s">
        <v>34</v>
      </c>
      <c r="I10447" s="2" t="s">
        <v>30483</v>
      </c>
      <c r="J10447" s="2" t="s">
        <v>30484</v>
      </c>
      <c r="K10447" s="2" t="s">
        <v>37</v>
      </c>
      <c r="L10447" s="2" t="s">
        <v>34</v>
      </c>
      <c r="M10447" s="2"/>
      <c r="N10447" s="2"/>
      <c r="O10447" s="2"/>
      <c r="P10447" s="2" t="s">
        <v>30485</v>
      </c>
      <c r="Q10447" s="6">
        <v>100</v>
      </c>
      <c r="R10447" s="6">
        <v>3.76</v>
      </c>
      <c r="S10447" s="5">
        <v>-0.2</v>
      </c>
      <c r="T10447" s="7">
        <v>3.0310000000000001</v>
      </c>
      <c r="U10447" s="5">
        <v>4.2</v>
      </c>
      <c r="V10447" s="9">
        <v>-6.2799999999999995E-2</v>
      </c>
      <c r="W10447" s="6">
        <v>2.34</v>
      </c>
      <c r="X10447" s="7">
        <v>2.3340000000000001</v>
      </c>
      <c r="Y10447" s="6">
        <v>2.48</v>
      </c>
      <c r="Z10447" s="6">
        <v>3.58</v>
      </c>
      <c r="AA10447" s="6">
        <v>2.81</v>
      </c>
      <c r="AB10447" s="7">
        <v>4.1340000000000003</v>
      </c>
      <c r="AC10447" s="2"/>
    </row>
    <row r="10448" spans="1:29" ht="78" x14ac:dyDescent="0.15">
      <c r="A10448" s="3">
        <f>DATE(2013,1,18)</f>
        <v>41292</v>
      </c>
      <c r="B10448" s="3">
        <f>DATE(2013,4,24)</f>
        <v>41388</v>
      </c>
      <c r="C10448" s="2" t="s">
        <v>95</v>
      </c>
      <c r="D10448" s="2" t="s">
        <v>30486</v>
      </c>
      <c r="E10448" s="2" t="s">
        <v>30487</v>
      </c>
      <c r="F10448" s="4">
        <v>7359</v>
      </c>
      <c r="G10448" s="2" t="s">
        <v>223</v>
      </c>
      <c r="H10448" s="2" t="s">
        <v>34</v>
      </c>
      <c r="I10448" s="2" t="s">
        <v>30488</v>
      </c>
      <c r="J10448" s="2" t="s">
        <v>30489</v>
      </c>
      <c r="K10448" s="2" t="s">
        <v>125</v>
      </c>
      <c r="L10448" s="2" t="s">
        <v>902</v>
      </c>
      <c r="M10448" s="2"/>
      <c r="N10448" s="2"/>
      <c r="O10448" s="2"/>
      <c r="P10448" s="2" t="s">
        <v>30490</v>
      </c>
      <c r="Q10448" s="6">
        <v>100</v>
      </c>
      <c r="R10448" s="6">
        <v>23</v>
      </c>
      <c r="S10448" s="5">
        <v>45.9</v>
      </c>
      <c r="T10448" s="6">
        <v>101.64</v>
      </c>
      <c r="U10448" s="5">
        <v>12.6</v>
      </c>
      <c r="V10448" s="6">
        <v>2.29</v>
      </c>
      <c r="W10448" s="6">
        <v>19.55</v>
      </c>
      <c r="X10448" s="6">
        <v>19.72</v>
      </c>
      <c r="Y10448" s="5">
        <v>20.3</v>
      </c>
      <c r="Z10448" s="5">
        <v>20.3</v>
      </c>
      <c r="AA10448" s="6">
        <v>20.29</v>
      </c>
      <c r="AB10448" s="7">
        <v>40.901000000000003</v>
      </c>
      <c r="AC10448" s="6">
        <v>346.77</v>
      </c>
    </row>
    <row r="10449" spans="1:29" ht="130" x14ac:dyDescent="0.15">
      <c r="A10449" s="3">
        <f>DATE(2013,1,22)</f>
        <v>41296</v>
      </c>
      <c r="B10449" s="3">
        <f>DATE(2013,3,1)</f>
        <v>41334</v>
      </c>
      <c r="C10449" s="2" t="s">
        <v>95</v>
      </c>
      <c r="D10449" s="2" t="s">
        <v>30491</v>
      </c>
      <c r="E10449" s="2" t="s">
        <v>839</v>
      </c>
      <c r="F10449" s="4">
        <v>2834</v>
      </c>
      <c r="G10449" s="2" t="s">
        <v>130</v>
      </c>
      <c r="H10449" s="2" t="s">
        <v>34</v>
      </c>
      <c r="I10449" s="2" t="s">
        <v>7904</v>
      </c>
      <c r="J10449" s="2" t="s">
        <v>7905</v>
      </c>
      <c r="K10449" s="2" t="s">
        <v>130</v>
      </c>
      <c r="L10449" s="2" t="s">
        <v>34</v>
      </c>
      <c r="M10449" s="12">
        <v>28360.865000000002</v>
      </c>
      <c r="N10449" s="6">
        <v>105.75</v>
      </c>
      <c r="O10449" s="6">
        <v>104.65</v>
      </c>
      <c r="P10449" s="2" t="s">
        <v>30492</v>
      </c>
      <c r="Q10449" s="6">
        <v>100</v>
      </c>
      <c r="R10449" s="6">
        <v>25</v>
      </c>
      <c r="S10449" s="5">
        <v>-96.9</v>
      </c>
      <c r="T10449" s="7">
        <v>-95.066999999999993</v>
      </c>
      <c r="U10449" s="5">
        <v>1.7</v>
      </c>
      <c r="V10449" s="6">
        <v>-3.11</v>
      </c>
      <c r="W10449" s="6">
        <v>15.95</v>
      </c>
      <c r="X10449" s="6">
        <v>15.58</v>
      </c>
      <c r="Y10449" s="6">
        <v>15.58</v>
      </c>
      <c r="Z10449" s="6">
        <v>24.71</v>
      </c>
      <c r="AA10449" s="6">
        <v>35.29</v>
      </c>
      <c r="AB10449" s="2" t="s">
        <v>86</v>
      </c>
      <c r="AC10449" s="8">
        <v>2962.4</v>
      </c>
    </row>
    <row r="10450" spans="1:29" ht="78" x14ac:dyDescent="0.15">
      <c r="A10450" s="3">
        <f>DATE(2013,1,24)</f>
        <v>41298</v>
      </c>
      <c r="B10450" s="3">
        <f>DATE(2013,7,31)</f>
        <v>41486</v>
      </c>
      <c r="C10450" s="2" t="s">
        <v>95</v>
      </c>
      <c r="D10450" s="2" t="s">
        <v>30493</v>
      </c>
      <c r="E10450" s="2" t="s">
        <v>1304</v>
      </c>
      <c r="F10450" s="4">
        <v>6021</v>
      </c>
      <c r="G10450" s="2" t="s">
        <v>37</v>
      </c>
      <c r="H10450" s="2" t="s">
        <v>34</v>
      </c>
      <c r="I10450" s="2" t="s">
        <v>30494</v>
      </c>
      <c r="J10450" s="2" t="s">
        <v>36</v>
      </c>
      <c r="K10450" s="2" t="s">
        <v>37</v>
      </c>
      <c r="L10450" s="2" t="s">
        <v>34</v>
      </c>
      <c r="M10450" s="12">
        <v>1178.596</v>
      </c>
      <c r="N10450" s="5">
        <v>36.5</v>
      </c>
      <c r="O10450" s="6">
        <v>37.020000000000003</v>
      </c>
      <c r="P10450" s="2" t="s">
        <v>30495</v>
      </c>
      <c r="Q10450" s="6">
        <v>100</v>
      </c>
      <c r="R10450" s="2"/>
      <c r="S10450" s="2"/>
      <c r="T10450" s="2"/>
      <c r="U10450" s="2"/>
      <c r="V10450" s="2"/>
      <c r="W10450" s="4">
        <v>66</v>
      </c>
      <c r="X10450" s="5">
        <v>67.599999999999994</v>
      </c>
      <c r="Y10450" s="5">
        <v>67.599999999999994</v>
      </c>
      <c r="Z10450" s="4">
        <v>145</v>
      </c>
      <c r="AA10450" s="2"/>
      <c r="AB10450" s="2" t="s">
        <v>47</v>
      </c>
      <c r="AC10450" s="2"/>
    </row>
    <row r="10451" spans="1:29" ht="182" x14ac:dyDescent="0.15">
      <c r="A10451" s="3">
        <f>DATE(2013,1,29)</f>
        <v>41303</v>
      </c>
      <c r="B10451" s="3">
        <f>DATE(2013,5,1)</f>
        <v>41395</v>
      </c>
      <c r="C10451" s="2" t="s">
        <v>95</v>
      </c>
      <c r="D10451" s="2" t="s">
        <v>30496</v>
      </c>
      <c r="E10451" s="2" t="s">
        <v>30497</v>
      </c>
      <c r="F10451" s="4">
        <v>4923</v>
      </c>
      <c r="G10451" s="2" t="s">
        <v>439</v>
      </c>
      <c r="H10451" s="2" t="s">
        <v>34</v>
      </c>
      <c r="I10451" s="2" t="s">
        <v>10787</v>
      </c>
      <c r="J10451" s="2" t="s">
        <v>4767</v>
      </c>
      <c r="K10451" s="2" t="s">
        <v>439</v>
      </c>
      <c r="L10451" s="2" t="s">
        <v>34</v>
      </c>
      <c r="M10451" s="12">
        <v>19658.746999999999</v>
      </c>
      <c r="N10451" s="6">
        <v>89.66</v>
      </c>
      <c r="O10451" s="6">
        <v>87.61</v>
      </c>
      <c r="P10451" s="2" t="s">
        <v>30498</v>
      </c>
      <c r="Q10451" s="6">
        <v>100</v>
      </c>
      <c r="R10451" s="6">
        <v>40.92</v>
      </c>
      <c r="S10451" s="5">
        <v>-139</v>
      </c>
      <c r="T10451" s="7">
        <v>157.88399999999999</v>
      </c>
      <c r="U10451" s="5">
        <v>8.8000000000000007</v>
      </c>
      <c r="V10451" s="9">
        <v>-2.3910999999999998</v>
      </c>
      <c r="W10451" s="6">
        <v>33.94</v>
      </c>
      <c r="X10451" s="6">
        <v>33.43</v>
      </c>
      <c r="Y10451" s="6">
        <v>33.130000000000003</v>
      </c>
      <c r="Z10451" s="6">
        <v>38.03</v>
      </c>
      <c r="AA10451" s="6">
        <v>78.94</v>
      </c>
      <c r="AB10451" s="7">
        <v>60.277999999999999</v>
      </c>
      <c r="AC10451" s="5">
        <v>573</v>
      </c>
    </row>
    <row r="10452" spans="1:29" ht="117" x14ac:dyDescent="0.15">
      <c r="A10452" s="3">
        <f>DATE(2013,1,29)</f>
        <v>41303</v>
      </c>
      <c r="B10452" s="3">
        <f>DATE(2013,6,1)</f>
        <v>41426</v>
      </c>
      <c r="C10452" s="2" t="s">
        <v>95</v>
      </c>
      <c r="D10452" s="2" t="s">
        <v>30499</v>
      </c>
      <c r="E10452" s="2" t="s">
        <v>36</v>
      </c>
      <c r="F10452" s="4">
        <v>6022</v>
      </c>
      <c r="G10452" s="2" t="s">
        <v>37</v>
      </c>
      <c r="H10452" s="2" t="s">
        <v>34</v>
      </c>
      <c r="I10452" s="2" t="s">
        <v>13374</v>
      </c>
      <c r="J10452" s="2" t="s">
        <v>36</v>
      </c>
      <c r="K10452" s="2" t="s">
        <v>37</v>
      </c>
      <c r="L10452" s="2" t="s">
        <v>34</v>
      </c>
      <c r="M10452" s="7">
        <v>302.267</v>
      </c>
      <c r="N10452" s="5">
        <v>9.9</v>
      </c>
      <c r="O10452" s="6">
        <v>9.58</v>
      </c>
      <c r="P10452" s="2" t="s">
        <v>30500</v>
      </c>
      <c r="Q10452" s="6">
        <v>100</v>
      </c>
      <c r="R10452" s="6">
        <v>12</v>
      </c>
      <c r="S10452" s="5">
        <v>3.4</v>
      </c>
      <c r="T10452" s="7">
        <v>5.8259999999999996</v>
      </c>
      <c r="U10452" s="5">
        <v>7.8</v>
      </c>
      <c r="V10452" s="6">
        <v>0.63</v>
      </c>
      <c r="W10452" s="6">
        <v>9.06</v>
      </c>
      <c r="X10452" s="6">
        <v>9.1300000000000008</v>
      </c>
      <c r="Y10452" s="5">
        <v>11.6</v>
      </c>
      <c r="Z10452" s="6">
        <v>11.39</v>
      </c>
      <c r="AA10452" s="6">
        <v>5.37</v>
      </c>
      <c r="AB10452" s="7">
        <v>12.891999999999999</v>
      </c>
      <c r="AC10452" s="2"/>
    </row>
    <row r="10453" spans="1:29" ht="182" x14ac:dyDescent="0.15">
      <c r="A10453" s="3">
        <f>DATE(2013,1,30)</f>
        <v>41304</v>
      </c>
      <c r="B10453" s="3">
        <f>DATE(2013,3,14)</f>
        <v>41347</v>
      </c>
      <c r="C10453" s="2" t="s">
        <v>95</v>
      </c>
      <c r="D10453" s="2" t="s">
        <v>30501</v>
      </c>
      <c r="E10453" s="2" t="s">
        <v>30502</v>
      </c>
      <c r="F10453" s="4">
        <v>8734</v>
      </c>
      <c r="G10453" s="2" t="s">
        <v>223</v>
      </c>
      <c r="H10453" s="2" t="s">
        <v>34</v>
      </c>
      <c r="I10453" s="2" t="s">
        <v>30503</v>
      </c>
      <c r="J10453" s="2" t="s">
        <v>3197</v>
      </c>
      <c r="K10453" s="2" t="s">
        <v>53</v>
      </c>
      <c r="L10453" s="2" t="s">
        <v>34</v>
      </c>
      <c r="M10453" s="2"/>
      <c r="N10453" s="2"/>
      <c r="O10453" s="2"/>
      <c r="P10453" s="2" t="s">
        <v>30504</v>
      </c>
      <c r="Q10453" s="6">
        <v>100</v>
      </c>
      <c r="R10453" s="6">
        <v>7.25</v>
      </c>
      <c r="S10453" s="5">
        <v>3.7</v>
      </c>
      <c r="T10453" s="7">
        <v>13.071</v>
      </c>
      <c r="U10453" s="5">
        <v>4.0999999999999996</v>
      </c>
      <c r="V10453" s="6">
        <v>0.24</v>
      </c>
      <c r="W10453" s="4">
        <v>6</v>
      </c>
      <c r="X10453" s="6">
        <v>6.04</v>
      </c>
      <c r="Y10453" s="6">
        <v>7.21</v>
      </c>
      <c r="Z10453" s="6">
        <v>7.21</v>
      </c>
      <c r="AA10453" s="6">
        <v>15.69</v>
      </c>
      <c r="AB10453" s="7">
        <v>14.02</v>
      </c>
      <c r="AC10453" s="2"/>
    </row>
    <row r="10454" spans="1:29" ht="156" x14ac:dyDescent="0.15">
      <c r="A10454" s="3">
        <f>DATE(2013,1,30)</f>
        <v>41304</v>
      </c>
      <c r="B10454" s="3">
        <f>DATE(2014,1,31)</f>
        <v>41670</v>
      </c>
      <c r="C10454" s="2" t="s">
        <v>95</v>
      </c>
      <c r="D10454" s="2" t="s">
        <v>30505</v>
      </c>
      <c r="E10454" s="2" t="s">
        <v>159</v>
      </c>
      <c r="F10454" s="4">
        <v>6022</v>
      </c>
      <c r="G10454" s="2" t="s">
        <v>37</v>
      </c>
      <c r="H10454" s="2" t="s">
        <v>34</v>
      </c>
      <c r="I10454" s="2" t="s">
        <v>2392</v>
      </c>
      <c r="J10454" s="2" t="s">
        <v>36</v>
      </c>
      <c r="K10454" s="2" t="s">
        <v>37</v>
      </c>
      <c r="L10454" s="2" t="s">
        <v>34</v>
      </c>
      <c r="M10454" s="12">
        <v>1277.998</v>
      </c>
      <c r="N10454" s="6">
        <v>25.14</v>
      </c>
      <c r="O10454" s="6">
        <v>25.49</v>
      </c>
      <c r="P10454" s="2" t="s">
        <v>30506</v>
      </c>
      <c r="Q10454" s="6">
        <v>100</v>
      </c>
      <c r="R10454" s="6">
        <v>14.06</v>
      </c>
      <c r="S10454" s="5">
        <v>30.1</v>
      </c>
      <c r="T10454" s="7">
        <v>47.262</v>
      </c>
      <c r="U10454" s="5">
        <v>7.7</v>
      </c>
      <c r="V10454" s="6">
        <v>0.67</v>
      </c>
      <c r="W10454" s="6">
        <v>9.4700000000000006</v>
      </c>
      <c r="X10454" s="6">
        <v>9.49</v>
      </c>
      <c r="Y10454" s="6">
        <v>10.55</v>
      </c>
      <c r="Z10454" s="6">
        <v>11.58</v>
      </c>
      <c r="AA10454" s="6">
        <v>30.82</v>
      </c>
      <c r="AB10454" s="7">
        <v>17.350999999999999</v>
      </c>
      <c r="AC10454" s="2"/>
    </row>
    <row r="10455" spans="1:29" ht="104" x14ac:dyDescent="0.15">
      <c r="A10455" s="3">
        <f>DATE(2013,1,31)</f>
        <v>41305</v>
      </c>
      <c r="B10455" s="3">
        <f>DATE(2013,3,11)</f>
        <v>41344</v>
      </c>
      <c r="C10455" s="2" t="s">
        <v>95</v>
      </c>
      <c r="D10455" s="2" t="s">
        <v>30507</v>
      </c>
      <c r="E10455" s="2" t="s">
        <v>30508</v>
      </c>
      <c r="F10455" s="4">
        <v>7375</v>
      </c>
      <c r="G10455" s="2" t="s">
        <v>223</v>
      </c>
      <c r="H10455" s="2" t="s">
        <v>34</v>
      </c>
      <c r="I10455" s="2" t="s">
        <v>29418</v>
      </c>
      <c r="J10455" s="2" t="s">
        <v>29419</v>
      </c>
      <c r="K10455" s="2" t="s">
        <v>551</v>
      </c>
      <c r="L10455" s="2" t="s">
        <v>34</v>
      </c>
      <c r="M10455" s="12">
        <v>1759.627</v>
      </c>
      <c r="N10455" s="6">
        <v>47.54</v>
      </c>
      <c r="O10455" s="5">
        <v>47.9</v>
      </c>
      <c r="P10455" s="2" t="s">
        <v>30509</v>
      </c>
      <c r="Q10455" s="6">
        <v>100</v>
      </c>
      <c r="R10455" s="6">
        <v>3.85</v>
      </c>
      <c r="S10455" s="5">
        <v>8.9</v>
      </c>
      <c r="T10455" s="7">
        <v>36.158000000000001</v>
      </c>
      <c r="U10455" s="5">
        <v>4</v>
      </c>
      <c r="V10455" s="6">
        <v>-0.04</v>
      </c>
      <c r="W10455" s="6">
        <v>2.13</v>
      </c>
      <c r="X10455" s="5">
        <v>2.1</v>
      </c>
      <c r="Y10455" s="6">
        <v>3.81</v>
      </c>
      <c r="Z10455" s="7">
        <v>3.8149999999999999</v>
      </c>
      <c r="AA10455" s="6">
        <v>32.89</v>
      </c>
      <c r="AB10455" s="7">
        <v>10.167</v>
      </c>
      <c r="AC10455" s="6">
        <v>76.33</v>
      </c>
    </row>
    <row r="10456" spans="1:29" ht="104" x14ac:dyDescent="0.15">
      <c r="A10456" s="3">
        <f>DATE(2013,1,31)</f>
        <v>41305</v>
      </c>
      <c r="B10456" s="3">
        <f>DATE(2013,10,18)</f>
        <v>41565</v>
      </c>
      <c r="C10456" s="2" t="s">
        <v>95</v>
      </c>
      <c r="D10456" s="2" t="s">
        <v>6118</v>
      </c>
      <c r="E10456" s="2" t="s">
        <v>6119</v>
      </c>
      <c r="F10456" s="4">
        <v>3999</v>
      </c>
      <c r="G10456" s="2" t="s">
        <v>112</v>
      </c>
      <c r="H10456" s="2" t="s">
        <v>34</v>
      </c>
      <c r="I10456" s="2" t="s">
        <v>19757</v>
      </c>
      <c r="J10456" s="2" t="s">
        <v>19758</v>
      </c>
      <c r="K10456" s="2" t="s">
        <v>223</v>
      </c>
      <c r="L10456" s="2" t="s">
        <v>34</v>
      </c>
      <c r="M10456" s="7">
        <v>807.38800000000003</v>
      </c>
      <c r="N10456" s="6">
        <v>8.89</v>
      </c>
      <c r="O10456" s="6">
        <v>9.42</v>
      </c>
      <c r="P10456" s="2" t="s">
        <v>30510</v>
      </c>
      <c r="Q10456" s="6">
        <v>100</v>
      </c>
      <c r="R10456" s="6">
        <v>26</v>
      </c>
      <c r="S10456" s="5">
        <v>57.8</v>
      </c>
      <c r="T10456" s="5">
        <v>205.2</v>
      </c>
      <c r="U10456" s="5">
        <v>16.5</v>
      </c>
      <c r="V10456" s="9">
        <v>1.0490999999999999</v>
      </c>
      <c r="W10456" s="6">
        <v>17.18</v>
      </c>
      <c r="X10456" s="6">
        <v>16.37</v>
      </c>
      <c r="Y10456" s="6">
        <v>24.75</v>
      </c>
      <c r="Z10456" s="6">
        <v>24.69</v>
      </c>
      <c r="AA10456" s="6">
        <v>54.58</v>
      </c>
      <c r="AB10456" s="7">
        <v>16.747</v>
      </c>
      <c r="AC10456" s="6">
        <v>139.41</v>
      </c>
    </row>
    <row r="10457" spans="1:29" ht="117" x14ac:dyDescent="0.15">
      <c r="A10457" s="3">
        <f>DATE(2013,2,1)</f>
        <v>41306</v>
      </c>
      <c r="B10457" s="2"/>
      <c r="C10457" s="2" t="s">
        <v>30</v>
      </c>
      <c r="D10457" s="2" t="s">
        <v>30511</v>
      </c>
      <c r="E10457" s="2" t="s">
        <v>1464</v>
      </c>
      <c r="F10457" s="4">
        <v>7376</v>
      </c>
      <c r="G10457" s="2" t="s">
        <v>223</v>
      </c>
      <c r="H10457" s="2" t="s">
        <v>34</v>
      </c>
      <c r="I10457" s="2" t="s">
        <v>30512</v>
      </c>
      <c r="J10457" s="2" t="s">
        <v>302</v>
      </c>
      <c r="K10457" s="2" t="s">
        <v>53</v>
      </c>
      <c r="L10457" s="2" t="s">
        <v>34</v>
      </c>
      <c r="M10457" s="2"/>
      <c r="N10457" s="2"/>
      <c r="O10457" s="2"/>
      <c r="P10457" s="2" t="s">
        <v>30513</v>
      </c>
      <c r="Q10457" s="2"/>
      <c r="R10457" s="2"/>
      <c r="S10457" s="5">
        <v>6.2</v>
      </c>
      <c r="T10457" s="7">
        <v>2.7360000000000002</v>
      </c>
      <c r="U10457" s="5">
        <v>6.6</v>
      </c>
      <c r="V10457" s="9">
        <v>1.8136000000000001</v>
      </c>
      <c r="W10457" s="5">
        <v>6.2</v>
      </c>
      <c r="X10457" s="6">
        <v>6.25</v>
      </c>
      <c r="Y10457" s="6">
        <v>6.22</v>
      </c>
      <c r="Z10457" s="6">
        <v>6.12</v>
      </c>
      <c r="AA10457" s="6">
        <v>3.44</v>
      </c>
      <c r="AB10457" s="2" t="s">
        <v>47</v>
      </c>
      <c r="AC10457" s="2"/>
    </row>
    <row r="10458" spans="1:29" ht="156" x14ac:dyDescent="0.15">
      <c r="A10458" s="3">
        <f>DATE(2013,2,1)</f>
        <v>41306</v>
      </c>
      <c r="B10458" s="3">
        <f>DATE(2013,5,28)</f>
        <v>41422</v>
      </c>
      <c r="C10458" s="2" t="s">
        <v>95</v>
      </c>
      <c r="D10458" s="2" t="s">
        <v>30514</v>
      </c>
      <c r="E10458" s="2" t="s">
        <v>973</v>
      </c>
      <c r="F10458" s="4">
        <v>4812</v>
      </c>
      <c r="G10458" s="2" t="s">
        <v>63</v>
      </c>
      <c r="H10458" s="2" t="s">
        <v>34</v>
      </c>
      <c r="I10458" s="2" t="s">
        <v>1526</v>
      </c>
      <c r="J10458" s="2" t="s">
        <v>302</v>
      </c>
      <c r="K10458" s="2" t="s">
        <v>53</v>
      </c>
      <c r="L10458" s="2" t="s">
        <v>34</v>
      </c>
      <c r="M10458" s="2"/>
      <c r="N10458" s="7">
        <v>1.7869999999999999</v>
      </c>
      <c r="O10458" s="6">
        <v>1.67</v>
      </c>
      <c r="P10458" s="2" t="s">
        <v>30515</v>
      </c>
      <c r="Q10458" s="2"/>
      <c r="R10458" s="2"/>
      <c r="S10458" s="5">
        <v>-126.9</v>
      </c>
      <c r="T10458" s="7">
        <v>42.156999999999996</v>
      </c>
      <c r="U10458" s="5">
        <v>-10.7</v>
      </c>
      <c r="V10458" s="7">
        <v>-9.5980000000000008</v>
      </c>
      <c r="W10458" s="6">
        <v>1.39</v>
      </c>
      <c r="X10458" s="6">
        <v>1.28</v>
      </c>
      <c r="Y10458" s="7">
        <v>1.7869999999999999</v>
      </c>
      <c r="Z10458" s="6">
        <v>1.67</v>
      </c>
      <c r="AA10458" s="6">
        <v>13.22</v>
      </c>
      <c r="AB10458" s="2" t="s">
        <v>47</v>
      </c>
      <c r="AC10458" s="2"/>
    </row>
    <row r="10459" spans="1:29" ht="104" x14ac:dyDescent="0.15">
      <c r="A10459" s="3">
        <f>DATE(2013,2,4)</f>
        <v>41309</v>
      </c>
      <c r="B10459" s="3">
        <f>DATE(2013,3,28)</f>
        <v>41361</v>
      </c>
      <c r="C10459" s="2" t="s">
        <v>95</v>
      </c>
      <c r="D10459" s="2" t="s">
        <v>30516</v>
      </c>
      <c r="E10459" s="2" t="s">
        <v>30517</v>
      </c>
      <c r="F10459" s="4">
        <v>3577</v>
      </c>
      <c r="G10459" s="2" t="s">
        <v>50</v>
      </c>
      <c r="H10459" s="2" t="s">
        <v>34</v>
      </c>
      <c r="I10459" s="2" t="s">
        <v>8588</v>
      </c>
      <c r="J10459" s="2" t="s">
        <v>8589</v>
      </c>
      <c r="K10459" s="2" t="s">
        <v>551</v>
      </c>
      <c r="L10459" s="2" t="s">
        <v>34</v>
      </c>
      <c r="M10459" s="12">
        <v>163001.84599999999</v>
      </c>
      <c r="N10459" s="6">
        <v>35.130000000000003</v>
      </c>
      <c r="O10459" s="6">
        <v>35.479999999999997</v>
      </c>
      <c r="P10459" s="2" t="s">
        <v>30518</v>
      </c>
      <c r="Q10459" s="6">
        <v>100</v>
      </c>
      <c r="R10459" s="6">
        <v>29.25</v>
      </c>
      <c r="S10459" s="5">
        <v>-5.2</v>
      </c>
      <c r="T10459" s="7">
        <v>9.0719999999999992</v>
      </c>
      <c r="U10459" s="5">
        <v>7.5</v>
      </c>
      <c r="V10459" s="6">
        <v>-0.08</v>
      </c>
      <c r="W10459" s="6">
        <v>23.98</v>
      </c>
      <c r="X10459" s="6">
        <v>23.93</v>
      </c>
      <c r="Y10459" s="6">
        <v>29.59</v>
      </c>
      <c r="Z10459" s="6">
        <v>29.25</v>
      </c>
      <c r="AA10459" s="6">
        <v>67.45</v>
      </c>
      <c r="AB10459" s="2" t="s">
        <v>86</v>
      </c>
      <c r="AC10459" s="8">
        <v>33695</v>
      </c>
    </row>
    <row r="10460" spans="1:29" ht="364" x14ac:dyDescent="0.15">
      <c r="A10460" s="3">
        <f>DATE(2013,2,5)</f>
        <v>41310</v>
      </c>
      <c r="B10460" s="3">
        <f>DATE(2013,10,29)</f>
        <v>41576</v>
      </c>
      <c r="C10460" s="2" t="s">
        <v>95</v>
      </c>
      <c r="D10460" s="2" t="s">
        <v>27746</v>
      </c>
      <c r="E10460" s="2" t="s">
        <v>27747</v>
      </c>
      <c r="F10460" s="4">
        <v>3571</v>
      </c>
      <c r="G10460" s="2" t="s">
        <v>50</v>
      </c>
      <c r="H10460" s="2" t="s">
        <v>34</v>
      </c>
      <c r="I10460" s="2" t="s">
        <v>51</v>
      </c>
      <c r="J10460" s="2" t="s">
        <v>52</v>
      </c>
      <c r="K10460" s="2" t="s">
        <v>53</v>
      </c>
      <c r="L10460" s="2" t="s">
        <v>34</v>
      </c>
      <c r="M10460" s="2"/>
      <c r="N10460" s="2"/>
      <c r="O10460" s="2"/>
      <c r="P10460" s="2" t="s">
        <v>30519</v>
      </c>
      <c r="Q10460" s="6">
        <v>86.61</v>
      </c>
      <c r="R10460" s="6">
        <v>13.88</v>
      </c>
      <c r="S10460" s="8">
        <v>2606</v>
      </c>
      <c r="T10460" s="8">
        <v>4621</v>
      </c>
      <c r="U10460" s="5">
        <v>5.9</v>
      </c>
      <c r="V10460" s="6">
        <v>1.47</v>
      </c>
      <c r="W10460" s="6">
        <v>10.77</v>
      </c>
      <c r="X10460" s="6">
        <v>12.29</v>
      </c>
      <c r="Y10460" s="6">
        <v>13.17</v>
      </c>
      <c r="Z10460" s="6">
        <v>12.61</v>
      </c>
      <c r="AA10460" s="10">
        <v>1737.27</v>
      </c>
      <c r="AB10460" s="7">
        <v>6.2160000000000002</v>
      </c>
      <c r="AC10460" s="2"/>
    </row>
    <row r="10461" spans="1:29" ht="195" x14ac:dyDescent="0.15">
      <c r="A10461" s="3">
        <f>DATE(2013,2,5)</f>
        <v>41310</v>
      </c>
      <c r="B10461" s="3">
        <f>DATE(2013,6,7)</f>
        <v>41432</v>
      </c>
      <c r="C10461" s="2" t="s">
        <v>95</v>
      </c>
      <c r="D10461" s="2" t="s">
        <v>30520</v>
      </c>
      <c r="E10461" s="2" t="s">
        <v>16453</v>
      </c>
      <c r="F10461" s="4">
        <v>4813</v>
      </c>
      <c r="G10461" s="2" t="s">
        <v>63</v>
      </c>
      <c r="H10461" s="2" t="s">
        <v>34</v>
      </c>
      <c r="I10461" s="2" t="s">
        <v>30521</v>
      </c>
      <c r="J10461" s="2" t="s">
        <v>30522</v>
      </c>
      <c r="K10461" s="2" t="s">
        <v>45</v>
      </c>
      <c r="L10461" s="2" t="s">
        <v>34</v>
      </c>
      <c r="M10461" s="10">
        <v>17199.12</v>
      </c>
      <c r="N10461" s="6">
        <v>67.88</v>
      </c>
      <c r="O10461" s="6">
        <v>66.06</v>
      </c>
      <c r="P10461" s="2" t="s">
        <v>30523</v>
      </c>
      <c r="Q10461" s="6">
        <v>100</v>
      </c>
      <c r="R10461" s="6">
        <v>47.87</v>
      </c>
      <c r="S10461" s="8">
        <v>2852.6</v>
      </c>
      <c r="T10461" s="8">
        <v>1653.5</v>
      </c>
      <c r="U10461" s="5">
        <v>11.7</v>
      </c>
      <c r="V10461" s="6">
        <v>10.4</v>
      </c>
      <c r="W10461" s="11">
        <v>62.035310000000003</v>
      </c>
      <c r="X10461" s="11">
        <v>60.932879999999997</v>
      </c>
      <c r="Y10461" s="6">
        <v>45.61</v>
      </c>
      <c r="Z10461" s="6">
        <v>44.89</v>
      </c>
      <c r="AA10461" s="6">
        <v>335</v>
      </c>
      <c r="AB10461" s="2" t="s">
        <v>47</v>
      </c>
      <c r="AC10461" s="8">
        <v>2232.1999999999998</v>
      </c>
    </row>
    <row r="10462" spans="1:29" ht="78" x14ac:dyDescent="0.15">
      <c r="A10462" s="3">
        <f>DATE(2013,2,6)</f>
        <v>41311</v>
      </c>
      <c r="B10462" s="3">
        <f>DATE(2013,4,15)</f>
        <v>41379</v>
      </c>
      <c r="C10462" s="2" t="s">
        <v>95</v>
      </c>
      <c r="D10462" s="2" t="s">
        <v>30524</v>
      </c>
      <c r="E10462" s="2" t="s">
        <v>30525</v>
      </c>
      <c r="F10462" s="4">
        <v>5051</v>
      </c>
      <c r="G10462" s="2" t="s">
        <v>76</v>
      </c>
      <c r="H10462" s="2" t="s">
        <v>34</v>
      </c>
      <c r="I10462" s="2" t="s">
        <v>23695</v>
      </c>
      <c r="J10462" s="2" t="s">
        <v>23696</v>
      </c>
      <c r="K10462" s="2" t="s">
        <v>76</v>
      </c>
      <c r="L10462" s="2" t="s">
        <v>34</v>
      </c>
      <c r="M10462" s="12">
        <v>4936.1679999999997</v>
      </c>
      <c r="N10462" s="6">
        <v>70.25</v>
      </c>
      <c r="O10462" s="6">
        <v>70.06</v>
      </c>
      <c r="P10462" s="2" t="s">
        <v>30526</v>
      </c>
      <c r="Q10462" s="6">
        <v>100</v>
      </c>
      <c r="R10462" s="6">
        <v>20.65</v>
      </c>
      <c r="S10462" s="5">
        <v>52.7</v>
      </c>
      <c r="T10462" s="5">
        <v>143.30000000000001</v>
      </c>
      <c r="U10462" s="5">
        <v>8.4</v>
      </c>
      <c r="V10462" s="9">
        <v>1.4091</v>
      </c>
      <c r="W10462" s="6">
        <v>17.88</v>
      </c>
      <c r="X10462" s="5">
        <v>18.3</v>
      </c>
      <c r="Y10462" s="6">
        <v>20.65</v>
      </c>
      <c r="Z10462" s="6">
        <v>20.69</v>
      </c>
      <c r="AA10462" s="6">
        <v>37.729999999999997</v>
      </c>
      <c r="AB10462" s="7">
        <v>10.202</v>
      </c>
      <c r="AC10462" s="5">
        <v>97.6</v>
      </c>
    </row>
    <row r="10463" spans="1:29" ht="65" x14ac:dyDescent="0.15">
      <c r="A10463" s="3">
        <f>DATE(2013,2,7)</f>
        <v>41312</v>
      </c>
      <c r="B10463" s="2"/>
      <c r="C10463" s="2" t="s">
        <v>30</v>
      </c>
      <c r="D10463" s="2" t="s">
        <v>30527</v>
      </c>
      <c r="E10463" s="2" t="s">
        <v>14951</v>
      </c>
      <c r="F10463" s="4">
        <v>5812</v>
      </c>
      <c r="G10463" s="2" t="s">
        <v>230</v>
      </c>
      <c r="H10463" s="2" t="s">
        <v>34</v>
      </c>
      <c r="I10463" s="2" t="s">
        <v>29662</v>
      </c>
      <c r="J10463" s="2" t="s">
        <v>7785</v>
      </c>
      <c r="K10463" s="2" t="s">
        <v>230</v>
      </c>
      <c r="L10463" s="2" t="s">
        <v>34</v>
      </c>
      <c r="M10463" s="2"/>
      <c r="N10463" s="2"/>
      <c r="O10463" s="2"/>
      <c r="P10463" s="2" t="s">
        <v>30528</v>
      </c>
      <c r="Q10463" s="2"/>
      <c r="R10463" s="6">
        <v>22</v>
      </c>
      <c r="S10463" s="5">
        <v>4.4000000000000004</v>
      </c>
      <c r="T10463" s="7">
        <v>13.709</v>
      </c>
      <c r="U10463" s="5">
        <v>9.3000000000000007</v>
      </c>
      <c r="V10463" s="9">
        <v>1.3763000000000001</v>
      </c>
      <c r="W10463" s="7">
        <v>17.555</v>
      </c>
      <c r="X10463" s="7">
        <v>18.044</v>
      </c>
      <c r="Y10463" s="6">
        <v>21.22</v>
      </c>
      <c r="Z10463" s="5">
        <v>20.8</v>
      </c>
      <c r="AA10463" s="6">
        <v>3.24</v>
      </c>
      <c r="AB10463" s="7">
        <v>7.2510000000000003</v>
      </c>
      <c r="AC10463" s="6">
        <v>132.72</v>
      </c>
    </row>
    <row r="10464" spans="1:29" ht="130" x14ac:dyDescent="0.15">
      <c r="A10464" s="3">
        <f>DATE(2013,2,7)</f>
        <v>41312</v>
      </c>
      <c r="B10464" s="3">
        <f>DATE(2013,9,3)</f>
        <v>41520</v>
      </c>
      <c r="C10464" s="2" t="s">
        <v>95</v>
      </c>
      <c r="D10464" s="2" t="s">
        <v>14826</v>
      </c>
      <c r="E10464" s="2" t="s">
        <v>36</v>
      </c>
      <c r="F10464" s="4">
        <v>6021</v>
      </c>
      <c r="G10464" s="2" t="s">
        <v>37</v>
      </c>
      <c r="H10464" s="2" t="s">
        <v>34</v>
      </c>
      <c r="I10464" s="2" t="s">
        <v>25105</v>
      </c>
      <c r="J10464" s="2" t="s">
        <v>36</v>
      </c>
      <c r="K10464" s="2" t="s">
        <v>37</v>
      </c>
      <c r="L10464" s="2" t="s">
        <v>34</v>
      </c>
      <c r="M10464" s="7">
        <v>494.43299999999999</v>
      </c>
      <c r="N10464" s="6">
        <v>18.96</v>
      </c>
      <c r="O10464" s="6">
        <v>19.41</v>
      </c>
      <c r="P10464" s="2" t="s">
        <v>30529</v>
      </c>
      <c r="Q10464" s="6">
        <v>100</v>
      </c>
      <c r="R10464" s="6">
        <v>12.49</v>
      </c>
      <c r="S10464" s="5">
        <v>6.8</v>
      </c>
      <c r="T10464" s="7">
        <v>11.335000000000001</v>
      </c>
      <c r="U10464" s="5">
        <v>9.6</v>
      </c>
      <c r="V10464" s="6">
        <v>0.54</v>
      </c>
      <c r="W10464" s="5">
        <v>8.1999999999999993</v>
      </c>
      <c r="X10464" s="6">
        <v>8.4499999999999993</v>
      </c>
      <c r="Y10464" s="5">
        <v>11.7</v>
      </c>
      <c r="Z10464" s="6">
        <v>11.92</v>
      </c>
      <c r="AA10464" s="6">
        <v>9.2200000000000006</v>
      </c>
      <c r="AB10464" s="7">
        <v>22.927</v>
      </c>
      <c r="AC10464" s="2"/>
    </row>
    <row r="10465" spans="1:29" ht="104" x14ac:dyDescent="0.15">
      <c r="A10465" s="3">
        <f>DATE(2013,2,11)</f>
        <v>41316</v>
      </c>
      <c r="B10465" s="2"/>
      <c r="C10465" s="2" t="s">
        <v>87</v>
      </c>
      <c r="D10465" s="2" t="s">
        <v>29063</v>
      </c>
      <c r="E10465" s="2" t="s">
        <v>29064</v>
      </c>
      <c r="F10465" s="4">
        <v>6231</v>
      </c>
      <c r="G10465" s="2" t="s">
        <v>53</v>
      </c>
      <c r="H10465" s="2" t="s">
        <v>34</v>
      </c>
      <c r="I10465" s="2" t="s">
        <v>30530</v>
      </c>
      <c r="J10465" s="2" t="s">
        <v>244</v>
      </c>
      <c r="K10465" s="2" t="s">
        <v>53</v>
      </c>
      <c r="L10465" s="2" t="s">
        <v>34</v>
      </c>
      <c r="M10465" s="12">
        <v>1151.5930000000001</v>
      </c>
      <c r="N10465" s="5">
        <v>32.5</v>
      </c>
      <c r="O10465" s="6">
        <v>32.770000000000003</v>
      </c>
      <c r="P10465" s="2" t="s">
        <v>30531</v>
      </c>
      <c r="Q10465" s="2"/>
      <c r="R10465" s="2"/>
      <c r="S10465" s="5">
        <v>352</v>
      </c>
      <c r="T10465" s="5">
        <v>842</v>
      </c>
      <c r="U10465" s="5">
        <v>31.4</v>
      </c>
      <c r="V10465" s="6">
        <v>2.04</v>
      </c>
      <c r="W10465" s="6">
        <v>28.36</v>
      </c>
      <c r="X10465" s="6">
        <v>29.47</v>
      </c>
      <c r="Y10465" s="6">
        <v>30.38</v>
      </c>
      <c r="Z10465" s="6">
        <v>30.55</v>
      </c>
      <c r="AA10465" s="6">
        <v>164.94</v>
      </c>
      <c r="AB10465" s="2" t="s">
        <v>47</v>
      </c>
      <c r="AC10465" s="8">
        <v>2284.5</v>
      </c>
    </row>
    <row r="10466" spans="1:29" ht="65" x14ac:dyDescent="0.15">
      <c r="A10466" s="3">
        <f>DATE(2013,2,12)</f>
        <v>41317</v>
      </c>
      <c r="B10466" s="2"/>
      <c r="C10466" s="2" t="s">
        <v>30</v>
      </c>
      <c r="D10466" s="2" t="s">
        <v>30532</v>
      </c>
      <c r="E10466" s="2" t="s">
        <v>1181</v>
      </c>
      <c r="F10466" s="4">
        <v>6021</v>
      </c>
      <c r="G10466" s="2" t="s">
        <v>37</v>
      </c>
      <c r="H10466" s="2" t="s">
        <v>34</v>
      </c>
      <c r="I10466" s="2" t="s">
        <v>30533</v>
      </c>
      <c r="J10466" s="2" t="s">
        <v>159</v>
      </c>
      <c r="K10466" s="2" t="s">
        <v>33</v>
      </c>
      <c r="L10466" s="2" t="s">
        <v>34</v>
      </c>
      <c r="M10466" s="7">
        <v>67.525000000000006</v>
      </c>
      <c r="N10466" s="6">
        <v>9.89</v>
      </c>
      <c r="O10466" s="6">
        <v>9.9499999999999993</v>
      </c>
      <c r="P10466" s="2" t="s">
        <v>30534</v>
      </c>
      <c r="Q10466" s="2"/>
      <c r="R10466" s="6">
        <v>10.039999999999999</v>
      </c>
      <c r="S10466" s="2"/>
      <c r="T10466" s="2"/>
      <c r="U10466" s="2"/>
      <c r="V10466" s="2"/>
      <c r="W10466" s="4">
        <v>10</v>
      </c>
      <c r="X10466" s="4">
        <v>10</v>
      </c>
      <c r="Y10466" s="4">
        <v>10</v>
      </c>
      <c r="Z10466" s="4">
        <v>10</v>
      </c>
      <c r="AA10466" s="6">
        <v>1.27</v>
      </c>
      <c r="AB10466" s="2" t="s">
        <v>47</v>
      </c>
      <c r="AC10466" s="2"/>
    </row>
    <row r="10467" spans="1:29" ht="78" x14ac:dyDescent="0.15">
      <c r="A10467" s="3">
        <f>DATE(2013,2,14)</f>
        <v>41319</v>
      </c>
      <c r="B10467" s="3">
        <f>DATE(2013,5,22)</f>
        <v>41416</v>
      </c>
      <c r="C10467" s="2" t="s">
        <v>95</v>
      </c>
      <c r="D10467" s="2" t="s">
        <v>30535</v>
      </c>
      <c r="E10467" s="2" t="s">
        <v>28300</v>
      </c>
      <c r="F10467" s="4">
        <v>6282</v>
      </c>
      <c r="G10467" s="2" t="s">
        <v>53</v>
      </c>
      <c r="H10467" s="2" t="s">
        <v>34</v>
      </c>
      <c r="I10467" s="2" t="s">
        <v>30536</v>
      </c>
      <c r="J10467" s="2" t="s">
        <v>30537</v>
      </c>
      <c r="K10467" s="2" t="s">
        <v>53</v>
      </c>
      <c r="L10467" s="2" t="s">
        <v>303</v>
      </c>
      <c r="M10467" s="12">
        <v>7383.3760000000002</v>
      </c>
      <c r="N10467" s="7">
        <v>6.6059999999999999</v>
      </c>
      <c r="O10467" s="7">
        <v>6.641</v>
      </c>
      <c r="P10467" s="2" t="s">
        <v>30538</v>
      </c>
      <c r="Q10467" s="6">
        <v>100</v>
      </c>
      <c r="R10467" s="6">
        <v>2.75</v>
      </c>
      <c r="S10467" s="5">
        <v>-47.5</v>
      </c>
      <c r="T10467" s="7">
        <v>-12.077</v>
      </c>
      <c r="U10467" s="5">
        <v>2.4</v>
      </c>
      <c r="V10467" s="6">
        <v>-0.8</v>
      </c>
      <c r="W10467" s="6">
        <v>1.99</v>
      </c>
      <c r="X10467" s="6">
        <v>2.0499999999999998</v>
      </c>
      <c r="Y10467" s="6">
        <v>2.74</v>
      </c>
      <c r="Z10467" s="6">
        <v>2.73</v>
      </c>
      <c r="AA10467" s="6">
        <v>60.01</v>
      </c>
      <c r="AB10467" s="2" t="s">
        <v>86</v>
      </c>
      <c r="AC10467" s="6">
        <v>656.17</v>
      </c>
    </row>
    <row r="10468" spans="1:29" ht="130" x14ac:dyDescent="0.15">
      <c r="A10468" s="3">
        <f>DATE(2013,2,14)</f>
        <v>41319</v>
      </c>
      <c r="B10468" s="3">
        <f>DATE(2013,6,7)</f>
        <v>41432</v>
      </c>
      <c r="C10468" s="2" t="s">
        <v>95</v>
      </c>
      <c r="D10468" s="2" t="s">
        <v>30539</v>
      </c>
      <c r="E10468" s="2" t="s">
        <v>30540</v>
      </c>
      <c r="F10468" s="4">
        <v>2035</v>
      </c>
      <c r="G10468" s="2" t="s">
        <v>577</v>
      </c>
      <c r="H10468" s="2" t="s">
        <v>34</v>
      </c>
      <c r="I10468" s="2" t="s">
        <v>30541</v>
      </c>
      <c r="J10468" s="2" t="s">
        <v>11337</v>
      </c>
      <c r="K10468" s="2" t="s">
        <v>53</v>
      </c>
      <c r="L10468" s="2" t="s">
        <v>34</v>
      </c>
      <c r="M10468" s="2"/>
      <c r="N10468" s="2"/>
      <c r="O10468" s="2"/>
      <c r="P10468" s="2" t="s">
        <v>30542</v>
      </c>
      <c r="Q10468" s="6">
        <v>100</v>
      </c>
      <c r="R10468" s="6">
        <v>72.5</v>
      </c>
      <c r="S10468" s="5">
        <v>994.3</v>
      </c>
      <c r="T10468" s="12">
        <v>1828.7349999999999</v>
      </c>
      <c r="U10468" s="5">
        <v>9.5</v>
      </c>
      <c r="V10468" s="6">
        <v>3.29</v>
      </c>
      <c r="W10468" s="4">
        <v>61</v>
      </c>
      <c r="X10468" s="6">
        <v>60.48</v>
      </c>
      <c r="Y10468" s="5">
        <v>72.5</v>
      </c>
      <c r="Z10468" s="6">
        <v>72.28</v>
      </c>
      <c r="AA10468" s="6">
        <v>320.66000000000003</v>
      </c>
      <c r="AB10468" s="7">
        <v>18.472999999999999</v>
      </c>
      <c r="AC10468" s="2"/>
    </row>
    <row r="10469" spans="1:29" ht="130" x14ac:dyDescent="0.15">
      <c r="A10469" s="3">
        <f>DATE(2013,2,19)</f>
        <v>41324</v>
      </c>
      <c r="B10469" s="3">
        <f>DATE(2014,2,3)</f>
        <v>41673</v>
      </c>
      <c r="C10469" s="2" t="s">
        <v>95</v>
      </c>
      <c r="D10469" s="2" t="s">
        <v>27496</v>
      </c>
      <c r="E10469" s="2" t="s">
        <v>4011</v>
      </c>
      <c r="F10469" s="4">
        <v>2834</v>
      </c>
      <c r="G10469" s="2" t="s">
        <v>130</v>
      </c>
      <c r="H10469" s="2" t="s">
        <v>34</v>
      </c>
      <c r="I10469" s="2" t="s">
        <v>27497</v>
      </c>
      <c r="J10469" s="2" t="s">
        <v>27498</v>
      </c>
      <c r="K10469" s="2" t="s">
        <v>130</v>
      </c>
      <c r="L10469" s="2" t="s">
        <v>5907</v>
      </c>
      <c r="M10469" s="2"/>
      <c r="N10469" s="2"/>
      <c r="O10469" s="2"/>
      <c r="P10469" s="2" t="s">
        <v>30543</v>
      </c>
      <c r="Q10469" s="6">
        <v>44.56</v>
      </c>
      <c r="R10469" s="6">
        <v>9.5</v>
      </c>
      <c r="S10469" s="5">
        <v>2.5</v>
      </c>
      <c r="T10469" s="7">
        <v>46.895000000000003</v>
      </c>
      <c r="U10469" s="5">
        <v>6.7</v>
      </c>
      <c r="V10469" s="7">
        <v>6.8000000000000005E-2</v>
      </c>
      <c r="W10469" s="6">
        <v>5.39</v>
      </c>
      <c r="X10469" s="6">
        <v>5.35</v>
      </c>
      <c r="Y10469" s="5">
        <v>5.5</v>
      </c>
      <c r="Z10469" s="6">
        <v>6.85</v>
      </c>
      <c r="AA10469" s="6">
        <v>26.44</v>
      </c>
      <c r="AB10469" s="7">
        <v>10.644</v>
      </c>
      <c r="AC10469" s="6">
        <v>367.91</v>
      </c>
    </row>
    <row r="10470" spans="1:29" ht="52" x14ac:dyDescent="0.15">
      <c r="A10470" s="3">
        <f>DATE(2013,2,19)</f>
        <v>41324</v>
      </c>
      <c r="B10470" s="3">
        <f>DATE(2013,7,1)</f>
        <v>41456</v>
      </c>
      <c r="C10470" s="2" t="s">
        <v>95</v>
      </c>
      <c r="D10470" s="2" t="s">
        <v>30544</v>
      </c>
      <c r="E10470" s="2" t="s">
        <v>30545</v>
      </c>
      <c r="F10470" s="4">
        <v>6141</v>
      </c>
      <c r="G10470" s="2" t="s">
        <v>370</v>
      </c>
      <c r="H10470" s="2" t="s">
        <v>34</v>
      </c>
      <c r="I10470" s="2" t="s">
        <v>26164</v>
      </c>
      <c r="J10470" s="2" t="s">
        <v>30546</v>
      </c>
      <c r="K10470" s="2" t="s">
        <v>223</v>
      </c>
      <c r="L10470" s="2" t="s">
        <v>34</v>
      </c>
      <c r="M10470" s="12">
        <v>4401.8980000000001</v>
      </c>
      <c r="N10470" s="6">
        <v>23.48</v>
      </c>
      <c r="O10470" s="6">
        <v>21.97</v>
      </c>
      <c r="P10470" s="2" t="s">
        <v>30547</v>
      </c>
      <c r="Q10470" s="6">
        <v>100</v>
      </c>
      <c r="R10470" s="6">
        <v>16</v>
      </c>
      <c r="S10470" s="5">
        <v>16.8</v>
      </c>
      <c r="T10470" s="7">
        <v>84.694999999999993</v>
      </c>
      <c r="U10470" s="5">
        <v>1.7</v>
      </c>
      <c r="V10470" s="9">
        <v>0.2238</v>
      </c>
      <c r="W10470" s="6">
        <v>11.34</v>
      </c>
      <c r="X10470" s="6">
        <v>12.69</v>
      </c>
      <c r="Y10470" s="6">
        <v>12.29</v>
      </c>
      <c r="Z10470" s="6">
        <v>15.81</v>
      </c>
      <c r="AA10470" s="6">
        <v>69.47</v>
      </c>
      <c r="AB10470" s="7">
        <v>18.042000000000002</v>
      </c>
      <c r="AC10470" s="6">
        <v>247.61</v>
      </c>
    </row>
    <row r="10471" spans="1:29" ht="130" x14ac:dyDescent="0.15">
      <c r="A10471" s="3">
        <f>DATE(2013,2,19)</f>
        <v>41324</v>
      </c>
      <c r="B10471" s="3">
        <f>DATE(2013,10,11)</f>
        <v>41558</v>
      </c>
      <c r="C10471" s="2" t="s">
        <v>95</v>
      </c>
      <c r="D10471" s="2" t="s">
        <v>25905</v>
      </c>
      <c r="E10471" s="2" t="s">
        <v>36</v>
      </c>
      <c r="F10471" s="4">
        <v>6035</v>
      </c>
      <c r="G10471" s="2" t="s">
        <v>33</v>
      </c>
      <c r="H10471" s="2" t="s">
        <v>34</v>
      </c>
      <c r="I10471" s="2" t="s">
        <v>21951</v>
      </c>
      <c r="J10471" s="2" t="s">
        <v>36</v>
      </c>
      <c r="K10471" s="2" t="s">
        <v>37</v>
      </c>
      <c r="L10471" s="2" t="s">
        <v>34</v>
      </c>
      <c r="M10471" s="12">
        <v>1590.867</v>
      </c>
      <c r="N10471" s="6">
        <v>11.84</v>
      </c>
      <c r="O10471" s="6">
        <v>11.62</v>
      </c>
      <c r="P10471" s="2" t="s">
        <v>30548</v>
      </c>
      <c r="Q10471" s="6">
        <v>100</v>
      </c>
      <c r="R10471" s="6">
        <v>4.0999999999999996</v>
      </c>
      <c r="S10471" s="5">
        <v>5.3</v>
      </c>
      <c r="T10471" s="7">
        <v>6.3920000000000003</v>
      </c>
      <c r="U10471" s="5">
        <v>2.9</v>
      </c>
      <c r="V10471" s="6">
        <v>0.2</v>
      </c>
      <c r="W10471" s="6">
        <v>2.48</v>
      </c>
      <c r="X10471" s="6">
        <v>2.52</v>
      </c>
      <c r="Y10471" s="6">
        <v>3.82</v>
      </c>
      <c r="Z10471" s="6">
        <v>3.75</v>
      </c>
      <c r="AA10471" s="6">
        <v>26.4</v>
      </c>
      <c r="AB10471" s="7">
        <v>25.123999999999999</v>
      </c>
      <c r="AC10471" s="2"/>
    </row>
    <row r="10472" spans="1:29" ht="143" x14ac:dyDescent="0.15">
      <c r="A10472" s="3">
        <f>DATE(2013,2,20)</f>
        <v>41325</v>
      </c>
      <c r="B10472" s="3">
        <f>DATE(2013,7,26)</f>
        <v>41481</v>
      </c>
      <c r="C10472" s="2" t="s">
        <v>95</v>
      </c>
      <c r="D10472" s="2" t="s">
        <v>30549</v>
      </c>
      <c r="E10472" s="2" t="s">
        <v>36</v>
      </c>
      <c r="F10472" s="4">
        <v>6036</v>
      </c>
      <c r="G10472" s="2" t="s">
        <v>33</v>
      </c>
      <c r="H10472" s="2" t="s">
        <v>34</v>
      </c>
      <c r="I10472" s="2" t="s">
        <v>22550</v>
      </c>
      <c r="J10472" s="2" t="s">
        <v>36</v>
      </c>
      <c r="K10472" s="2" t="s">
        <v>37</v>
      </c>
      <c r="L10472" s="2" t="s">
        <v>34</v>
      </c>
      <c r="M10472" s="7">
        <v>704.42899999999997</v>
      </c>
      <c r="N10472" s="6">
        <v>43.73</v>
      </c>
      <c r="O10472" s="6">
        <v>46.24</v>
      </c>
      <c r="P10472" s="2" t="s">
        <v>30550</v>
      </c>
      <c r="Q10472" s="6">
        <v>100</v>
      </c>
      <c r="R10472" s="6">
        <v>18.3</v>
      </c>
      <c r="S10472" s="5">
        <v>28.8</v>
      </c>
      <c r="T10472" s="7">
        <v>53.536000000000001</v>
      </c>
      <c r="U10472" s="5">
        <v>18.100000000000001</v>
      </c>
      <c r="V10472" s="6">
        <v>1.51</v>
      </c>
      <c r="W10472" s="6">
        <v>16.57</v>
      </c>
      <c r="X10472" s="5">
        <v>16.5</v>
      </c>
      <c r="Y10472" s="6">
        <v>18.22</v>
      </c>
      <c r="Z10472" s="5">
        <v>19.3</v>
      </c>
      <c r="AA10472" s="6">
        <v>16.53</v>
      </c>
      <c r="AB10472" s="7">
        <v>12.308999999999999</v>
      </c>
      <c r="AC10472" s="2"/>
    </row>
    <row r="10473" spans="1:29" ht="65" x14ac:dyDescent="0.15">
      <c r="A10473" s="3">
        <f>DATE(2013,2,20)</f>
        <v>41325</v>
      </c>
      <c r="B10473" s="2"/>
      <c r="C10473" s="2" t="s">
        <v>39</v>
      </c>
      <c r="D10473" s="2" t="s">
        <v>30551</v>
      </c>
      <c r="E10473" s="2" t="s">
        <v>30552</v>
      </c>
      <c r="F10473" s="4">
        <v>3532</v>
      </c>
      <c r="G10473" s="2" t="s">
        <v>300</v>
      </c>
      <c r="H10473" s="2" t="s">
        <v>34</v>
      </c>
      <c r="I10473" s="2" t="s">
        <v>30553</v>
      </c>
      <c r="J10473" s="2" t="s">
        <v>30554</v>
      </c>
      <c r="K10473" s="2" t="s">
        <v>300</v>
      </c>
      <c r="L10473" s="2" t="s">
        <v>435</v>
      </c>
      <c r="M10473" s="12">
        <v>23857.256000000001</v>
      </c>
      <c r="N10473" s="7">
        <v>29.545000000000002</v>
      </c>
      <c r="O10473" s="5">
        <v>28.7</v>
      </c>
      <c r="P10473" s="2" t="s">
        <v>30555</v>
      </c>
      <c r="Q10473" s="2"/>
      <c r="R10473" s="2"/>
      <c r="S10473" s="5">
        <v>761.8</v>
      </c>
      <c r="T10473" s="12">
        <v>1297.4110000000001</v>
      </c>
      <c r="U10473" s="5">
        <v>25.5</v>
      </c>
      <c r="V10473" s="9">
        <v>7.1878000000000002</v>
      </c>
      <c r="W10473" s="6">
        <v>62.82</v>
      </c>
      <c r="X10473" s="6">
        <v>63.54</v>
      </c>
      <c r="Y10473" s="6">
        <v>65.25</v>
      </c>
      <c r="Z10473" s="6">
        <v>62.77</v>
      </c>
      <c r="AA10473" s="6">
        <v>108.08</v>
      </c>
      <c r="AB10473" s="2" t="s">
        <v>47</v>
      </c>
      <c r="AC10473" s="10">
        <v>2137.91</v>
      </c>
    </row>
    <row r="10474" spans="1:29" ht="156" x14ac:dyDescent="0.15">
      <c r="A10474" s="3">
        <f>DATE(2013,2,20)</f>
        <v>41325</v>
      </c>
      <c r="B10474" s="3">
        <f>DATE(2013,11,5)</f>
        <v>41583</v>
      </c>
      <c r="C10474" s="2" t="s">
        <v>95</v>
      </c>
      <c r="D10474" s="2" t="s">
        <v>2758</v>
      </c>
      <c r="E10474" s="2" t="s">
        <v>30556</v>
      </c>
      <c r="F10474" s="4">
        <v>5943</v>
      </c>
      <c r="G10474" s="2" t="s">
        <v>73</v>
      </c>
      <c r="H10474" s="2" t="s">
        <v>34</v>
      </c>
      <c r="I10474" s="2" t="s">
        <v>1569</v>
      </c>
      <c r="J10474" s="2" t="s">
        <v>8495</v>
      </c>
      <c r="K10474" s="2" t="s">
        <v>73</v>
      </c>
      <c r="L10474" s="2" t="s">
        <v>34</v>
      </c>
      <c r="M10474" s="12">
        <v>3377.4180000000001</v>
      </c>
      <c r="N10474" s="6">
        <v>4.18</v>
      </c>
      <c r="O10474" s="6">
        <v>3.98</v>
      </c>
      <c r="P10474" s="2" t="s">
        <v>30557</v>
      </c>
      <c r="Q10474" s="6">
        <v>100</v>
      </c>
      <c r="R10474" s="6">
        <v>13.5</v>
      </c>
      <c r="S10474" s="5">
        <v>416.8</v>
      </c>
      <c r="T10474" s="7">
        <v>109.77800000000001</v>
      </c>
      <c r="U10474" s="5">
        <v>11.6</v>
      </c>
      <c r="V10474" s="9">
        <v>4.7394999999999996</v>
      </c>
      <c r="W10474" s="6">
        <v>10.71</v>
      </c>
      <c r="X10474" s="6">
        <v>10.75</v>
      </c>
      <c r="Y10474" s="6">
        <v>10.75</v>
      </c>
      <c r="Z10474" s="4">
        <v>13</v>
      </c>
      <c r="AA10474" s="6">
        <v>86.74</v>
      </c>
      <c r="AB10474" s="7">
        <v>47.317999999999998</v>
      </c>
      <c r="AC10474" s="6">
        <v>671.58</v>
      </c>
    </row>
    <row r="10475" spans="1:29" ht="182" x14ac:dyDescent="0.15">
      <c r="A10475" s="3">
        <f>DATE(2013,2,21)</f>
        <v>41326</v>
      </c>
      <c r="B10475" s="3">
        <f>DATE(2013,12,16)</f>
        <v>41624</v>
      </c>
      <c r="C10475" s="2" t="s">
        <v>95</v>
      </c>
      <c r="D10475" s="2" t="s">
        <v>30558</v>
      </c>
      <c r="E10475" s="2" t="s">
        <v>18348</v>
      </c>
      <c r="F10475" s="4">
        <v>1311</v>
      </c>
      <c r="G10475" s="2" t="s">
        <v>148</v>
      </c>
      <c r="H10475" s="2" t="s">
        <v>34</v>
      </c>
      <c r="I10475" s="2" t="s">
        <v>30559</v>
      </c>
      <c r="J10475" s="2" t="s">
        <v>1608</v>
      </c>
      <c r="K10475" s="2" t="s">
        <v>148</v>
      </c>
      <c r="L10475" s="2" t="s">
        <v>34</v>
      </c>
      <c r="M10475" s="12">
        <v>4082.357</v>
      </c>
      <c r="N10475" s="4">
        <v>39</v>
      </c>
      <c r="O10475" s="6">
        <v>39.270000000000003</v>
      </c>
      <c r="P10475" s="2" t="s">
        <v>30560</v>
      </c>
      <c r="Q10475" s="6">
        <v>100</v>
      </c>
      <c r="R10475" s="6">
        <v>55.79</v>
      </c>
      <c r="S10475" s="5">
        <v>160.5</v>
      </c>
      <c r="T10475" s="7">
        <v>689.78599999999994</v>
      </c>
      <c r="U10475" s="5">
        <v>20.8</v>
      </c>
      <c r="V10475" s="9">
        <v>2.8978000000000002</v>
      </c>
      <c r="W10475" s="6">
        <v>40.659999999999997</v>
      </c>
      <c r="X10475" s="6">
        <v>38.590000000000003</v>
      </c>
      <c r="Y10475" s="6">
        <v>46.02</v>
      </c>
      <c r="Z10475" s="6">
        <v>46.95</v>
      </c>
      <c r="AA10475" s="6">
        <v>54.31</v>
      </c>
      <c r="AB10475" s="7">
        <v>11.156000000000001</v>
      </c>
      <c r="AC10475" s="6">
        <v>1.05</v>
      </c>
    </row>
    <row r="10476" spans="1:29" ht="91" x14ac:dyDescent="0.15">
      <c r="A10476" s="3">
        <f>DATE(2013,2,26)</f>
        <v>41331</v>
      </c>
      <c r="B10476" s="3">
        <f>DATE(2013,7,11)</f>
        <v>41466</v>
      </c>
      <c r="C10476" s="2" t="s">
        <v>95</v>
      </c>
      <c r="D10476" s="2" t="s">
        <v>13253</v>
      </c>
      <c r="E10476" s="2" t="s">
        <v>30561</v>
      </c>
      <c r="F10476" s="4">
        <v>8051</v>
      </c>
      <c r="G10476" s="2" t="s">
        <v>454</v>
      </c>
      <c r="H10476" s="2" t="s">
        <v>34</v>
      </c>
      <c r="I10476" s="2" t="s">
        <v>25970</v>
      </c>
      <c r="J10476" s="2" t="s">
        <v>244</v>
      </c>
      <c r="K10476" s="2" t="s">
        <v>53</v>
      </c>
      <c r="L10476" s="2" t="s">
        <v>34</v>
      </c>
      <c r="M10476" s="2"/>
      <c r="N10476" s="2"/>
      <c r="O10476" s="2"/>
      <c r="P10476" s="2" t="s">
        <v>30562</v>
      </c>
      <c r="Q10476" s="6">
        <v>100</v>
      </c>
      <c r="R10476" s="6">
        <v>12</v>
      </c>
      <c r="S10476" s="5">
        <v>-26.1</v>
      </c>
      <c r="T10476" s="7">
        <v>39.966000000000001</v>
      </c>
      <c r="U10476" s="5">
        <v>10</v>
      </c>
      <c r="V10476" s="6">
        <v>-1.1399999999999999</v>
      </c>
      <c r="W10476" s="6">
        <v>10.52</v>
      </c>
      <c r="X10476" s="5">
        <v>9.6999999999999993</v>
      </c>
      <c r="Y10476" s="6">
        <v>11.91</v>
      </c>
      <c r="Z10476" s="6">
        <v>11.86</v>
      </c>
      <c r="AA10476" s="6">
        <v>20.07</v>
      </c>
      <c r="AB10476" s="7">
        <v>33.423999999999999</v>
      </c>
      <c r="AC10476" s="2"/>
    </row>
    <row r="10477" spans="1:29" ht="65" x14ac:dyDescent="0.15">
      <c r="A10477" s="3">
        <f>DATE(2013,2,26)</f>
        <v>41331</v>
      </c>
      <c r="B10477" s="2"/>
      <c r="C10477" s="2" t="s">
        <v>30</v>
      </c>
      <c r="D10477" s="2" t="s">
        <v>30563</v>
      </c>
      <c r="E10477" s="2" t="s">
        <v>36</v>
      </c>
      <c r="F10477" s="4">
        <v>6035</v>
      </c>
      <c r="G10477" s="2" t="s">
        <v>33</v>
      </c>
      <c r="H10477" s="2" t="s">
        <v>34</v>
      </c>
      <c r="I10477" s="2" t="s">
        <v>30564</v>
      </c>
      <c r="J10477" s="2" t="s">
        <v>36</v>
      </c>
      <c r="K10477" s="2" t="s">
        <v>37</v>
      </c>
      <c r="L10477" s="2" t="s">
        <v>34</v>
      </c>
      <c r="M10477" s="2"/>
      <c r="N10477" s="2"/>
      <c r="O10477" s="2"/>
      <c r="P10477" s="2" t="s">
        <v>30565</v>
      </c>
      <c r="Q10477" s="2"/>
      <c r="R10477" s="6">
        <v>5</v>
      </c>
      <c r="S10477" s="5">
        <v>-6.7</v>
      </c>
      <c r="T10477" s="7">
        <v>-5.7450000000000001</v>
      </c>
      <c r="U10477" s="5">
        <v>15.3</v>
      </c>
      <c r="V10477" s="6">
        <v>-2.67</v>
      </c>
      <c r="W10477" s="5">
        <v>3.6</v>
      </c>
      <c r="X10477" s="6">
        <v>3.54</v>
      </c>
      <c r="Y10477" s="6">
        <v>3.86</v>
      </c>
      <c r="Z10477" s="6">
        <v>3.84</v>
      </c>
      <c r="AA10477" s="6">
        <v>2.63</v>
      </c>
      <c r="AB10477" s="2" t="s">
        <v>86</v>
      </c>
      <c r="AC10477" s="2"/>
    </row>
    <row r="10478" spans="1:29" ht="143" x14ac:dyDescent="0.15">
      <c r="A10478" s="3">
        <f>DATE(2013,2,27)</f>
        <v>41332</v>
      </c>
      <c r="B10478" s="2"/>
      <c r="C10478" s="2" t="s">
        <v>30</v>
      </c>
      <c r="D10478" s="2" t="s">
        <v>30566</v>
      </c>
      <c r="E10478" s="2" t="s">
        <v>92</v>
      </c>
      <c r="F10478" s="4">
        <v>6798</v>
      </c>
      <c r="G10478" s="2" t="s">
        <v>53</v>
      </c>
      <c r="H10478" s="2" t="s">
        <v>34</v>
      </c>
      <c r="I10478" s="2" t="s">
        <v>51</v>
      </c>
      <c r="J10478" s="2" t="s">
        <v>52</v>
      </c>
      <c r="K10478" s="2" t="s">
        <v>53</v>
      </c>
      <c r="L10478" s="2" t="s">
        <v>34</v>
      </c>
      <c r="M10478" s="2"/>
      <c r="N10478" s="2"/>
      <c r="O10478" s="2"/>
      <c r="P10478" s="2" t="s">
        <v>30567</v>
      </c>
      <c r="Q10478" s="2"/>
      <c r="R10478" s="6">
        <v>24.5</v>
      </c>
      <c r="S10478" s="5">
        <v>-97.5</v>
      </c>
      <c r="T10478" s="7">
        <v>359.995</v>
      </c>
      <c r="U10478" s="5">
        <v>29.2</v>
      </c>
      <c r="V10478" s="6">
        <v>0.35</v>
      </c>
      <c r="W10478" s="5">
        <v>17.600000000000001</v>
      </c>
      <c r="X10478" s="5">
        <v>24.4</v>
      </c>
      <c r="Y10478" s="6">
        <v>22.51</v>
      </c>
      <c r="Z10478" s="6">
        <v>25.25</v>
      </c>
      <c r="AA10478" s="6">
        <v>83.8</v>
      </c>
      <c r="AB10478" s="7">
        <v>75.632999999999996</v>
      </c>
      <c r="AC10478" s="2"/>
    </row>
    <row r="10479" spans="1:29" ht="182" x14ac:dyDescent="0.15">
      <c r="A10479" s="3">
        <f>DATE(2013,3,1)</f>
        <v>41334</v>
      </c>
      <c r="B10479" s="3">
        <f>DATE(2013,5,17)</f>
        <v>41411</v>
      </c>
      <c r="C10479" s="2" t="s">
        <v>95</v>
      </c>
      <c r="D10479" s="2" t="s">
        <v>30347</v>
      </c>
      <c r="E10479" s="2" t="s">
        <v>21698</v>
      </c>
      <c r="F10479" s="4">
        <v>4841</v>
      </c>
      <c r="G10479" s="2" t="s">
        <v>45</v>
      </c>
      <c r="H10479" s="2" t="s">
        <v>34</v>
      </c>
      <c r="I10479" s="2" t="s">
        <v>30568</v>
      </c>
      <c r="J10479" s="2" t="s">
        <v>30569</v>
      </c>
      <c r="K10479" s="2" t="s">
        <v>45</v>
      </c>
      <c r="L10479" s="2" t="s">
        <v>34</v>
      </c>
      <c r="M10479" s="2"/>
      <c r="N10479" s="2"/>
      <c r="O10479" s="2"/>
      <c r="P10479" s="2" t="s">
        <v>30570</v>
      </c>
      <c r="Q10479" s="6">
        <v>100</v>
      </c>
      <c r="R10479" s="6">
        <v>10.25</v>
      </c>
      <c r="S10479" s="5">
        <v>-3</v>
      </c>
      <c r="T10479" s="7">
        <v>-0.69699999999999995</v>
      </c>
      <c r="U10479" s="5">
        <v>4.9000000000000004</v>
      </c>
      <c r="V10479" s="9">
        <v>-0.12230000000000001</v>
      </c>
      <c r="W10479" s="6">
        <v>7.29</v>
      </c>
      <c r="X10479" s="6">
        <v>7.19</v>
      </c>
      <c r="Y10479" s="6">
        <v>7.52</v>
      </c>
      <c r="Z10479" s="6">
        <v>7.44</v>
      </c>
      <c r="AA10479" s="6">
        <v>25.94</v>
      </c>
      <c r="AB10479" s="2" t="s">
        <v>86</v>
      </c>
      <c r="AC10479" s="2"/>
    </row>
    <row r="10480" spans="1:29" ht="104" x14ac:dyDescent="0.15">
      <c r="A10480" s="3">
        <f>DATE(2013,3,4)</f>
        <v>41337</v>
      </c>
      <c r="B10480" s="2"/>
      <c r="C10480" s="2" t="s">
        <v>30</v>
      </c>
      <c r="D10480" s="2" t="s">
        <v>30571</v>
      </c>
      <c r="E10480" s="2" t="s">
        <v>30572</v>
      </c>
      <c r="F10480" s="4">
        <v>2851</v>
      </c>
      <c r="G10480" s="2" t="s">
        <v>98</v>
      </c>
      <c r="H10480" s="2" t="s">
        <v>34</v>
      </c>
      <c r="I10480" s="2" t="s">
        <v>27924</v>
      </c>
      <c r="J10480" s="2" t="s">
        <v>27925</v>
      </c>
      <c r="K10480" s="2" t="s">
        <v>98</v>
      </c>
      <c r="L10480" s="2" t="s">
        <v>34</v>
      </c>
      <c r="M10480" s="7">
        <v>945.94899999999996</v>
      </c>
      <c r="N10480" s="6">
        <v>31.19</v>
      </c>
      <c r="O10480" s="6">
        <v>31.51</v>
      </c>
      <c r="P10480" s="2" t="s">
        <v>30573</v>
      </c>
      <c r="Q10480" s="2"/>
      <c r="R10480" s="6">
        <v>6.5</v>
      </c>
      <c r="S10480" s="5">
        <v>-374.3</v>
      </c>
      <c r="T10480" s="7">
        <v>52.588000000000001</v>
      </c>
      <c r="U10480" s="5">
        <v>2.2000000000000002</v>
      </c>
      <c r="V10480" s="9">
        <v>-4.3373999999999997</v>
      </c>
      <c r="W10480" s="6">
        <v>5.15</v>
      </c>
      <c r="X10480" s="5">
        <v>5.2</v>
      </c>
      <c r="Y10480" s="5">
        <v>6.8</v>
      </c>
      <c r="Z10480" s="6">
        <v>6.57</v>
      </c>
      <c r="AA10480" s="6">
        <v>86.56</v>
      </c>
      <c r="AB10480" s="2" t="s">
        <v>86</v>
      </c>
      <c r="AC10480" s="5">
        <v>79.7</v>
      </c>
    </row>
    <row r="10481" spans="1:29" ht="130" x14ac:dyDescent="0.15">
      <c r="A10481" s="3">
        <f>DATE(2013,3,5)</f>
        <v>41338</v>
      </c>
      <c r="B10481" s="3">
        <f>DATE(2013,9,6)</f>
        <v>41523</v>
      </c>
      <c r="C10481" s="2" t="s">
        <v>95</v>
      </c>
      <c r="D10481" s="2" t="s">
        <v>30574</v>
      </c>
      <c r="E10481" s="2" t="s">
        <v>265</v>
      </c>
      <c r="F10481" s="4">
        <v>6021</v>
      </c>
      <c r="G10481" s="2" t="s">
        <v>37</v>
      </c>
      <c r="H10481" s="2" t="s">
        <v>34</v>
      </c>
      <c r="I10481" s="2" t="s">
        <v>30575</v>
      </c>
      <c r="J10481" s="2" t="s">
        <v>36</v>
      </c>
      <c r="K10481" s="2" t="s">
        <v>33</v>
      </c>
      <c r="L10481" s="2" t="s">
        <v>34</v>
      </c>
      <c r="M10481" s="7">
        <v>118.44799999999999</v>
      </c>
      <c r="N10481" s="6">
        <v>11.58</v>
      </c>
      <c r="O10481" s="6">
        <v>11.81</v>
      </c>
      <c r="P10481" s="2" t="s">
        <v>30576</v>
      </c>
      <c r="Q10481" s="6">
        <v>100</v>
      </c>
      <c r="R10481" s="6">
        <v>17.63</v>
      </c>
      <c r="S10481" s="5">
        <v>1.6</v>
      </c>
      <c r="T10481" s="7">
        <v>3.1709999999999998</v>
      </c>
      <c r="U10481" s="5">
        <v>15.2</v>
      </c>
      <c r="V10481" s="6">
        <v>0.46</v>
      </c>
      <c r="W10481" s="6">
        <v>15.73</v>
      </c>
      <c r="X10481" s="6">
        <v>16.52</v>
      </c>
      <c r="Y10481" s="6">
        <v>15.77</v>
      </c>
      <c r="Z10481" s="6">
        <v>17.25</v>
      </c>
      <c r="AA10481" s="6">
        <v>3.49</v>
      </c>
      <c r="AB10481" s="7">
        <v>74.644000000000005</v>
      </c>
      <c r="AC10481" s="2"/>
    </row>
    <row r="10482" spans="1:29" ht="117" x14ac:dyDescent="0.15">
      <c r="A10482" s="3">
        <f>DATE(2013,3,6)</f>
        <v>41339</v>
      </c>
      <c r="B10482" s="3">
        <f>DATE(2013,6,13)</f>
        <v>41438</v>
      </c>
      <c r="C10482" s="2" t="s">
        <v>95</v>
      </c>
      <c r="D10482" s="2" t="s">
        <v>30577</v>
      </c>
      <c r="E10482" s="2" t="s">
        <v>30578</v>
      </c>
      <c r="F10482" s="4">
        <v>6153</v>
      </c>
      <c r="G10482" s="2" t="s">
        <v>370</v>
      </c>
      <c r="H10482" s="2" t="s">
        <v>34</v>
      </c>
      <c r="I10482" s="2" t="s">
        <v>30579</v>
      </c>
      <c r="J10482" s="2" t="s">
        <v>30580</v>
      </c>
      <c r="K10482" s="2" t="s">
        <v>370</v>
      </c>
      <c r="L10482" s="2" t="s">
        <v>34</v>
      </c>
      <c r="M10482" s="7">
        <v>712.33399999999995</v>
      </c>
      <c r="N10482" s="6">
        <v>30.88</v>
      </c>
      <c r="O10482" s="6">
        <v>31.22</v>
      </c>
      <c r="P10482" s="2" t="s">
        <v>30581</v>
      </c>
      <c r="Q10482" s="6">
        <v>100</v>
      </c>
      <c r="R10482" s="6">
        <v>6.5</v>
      </c>
      <c r="S10482" s="5">
        <v>10.9</v>
      </c>
      <c r="T10482" s="7">
        <v>19.372</v>
      </c>
      <c r="U10482" s="5">
        <v>4.9000000000000004</v>
      </c>
      <c r="V10482" s="6">
        <v>0.35</v>
      </c>
      <c r="W10482" s="6">
        <v>5.17</v>
      </c>
      <c r="X10482" s="6">
        <v>5.76</v>
      </c>
      <c r="Y10482" s="6">
        <v>6.46</v>
      </c>
      <c r="Z10482" s="6">
        <v>6.56</v>
      </c>
      <c r="AA10482" s="6">
        <v>30.77</v>
      </c>
      <c r="AB10482" s="7">
        <v>25.297999999999998</v>
      </c>
      <c r="AC10482" s="6">
        <v>17.510000000000002</v>
      </c>
    </row>
    <row r="10483" spans="1:29" ht="208" x14ac:dyDescent="0.15">
      <c r="A10483" s="3">
        <f>DATE(2013,3,6)</f>
        <v>41339</v>
      </c>
      <c r="B10483" s="3">
        <f>DATE(2013,6,25)</f>
        <v>41450</v>
      </c>
      <c r="C10483" s="2" t="s">
        <v>95</v>
      </c>
      <c r="D10483" s="2" t="s">
        <v>30582</v>
      </c>
      <c r="E10483" s="2" t="s">
        <v>1181</v>
      </c>
      <c r="F10483" s="4">
        <v>6021</v>
      </c>
      <c r="G10483" s="2" t="s">
        <v>37</v>
      </c>
      <c r="H10483" s="2" t="s">
        <v>34</v>
      </c>
      <c r="I10483" s="2" t="s">
        <v>30583</v>
      </c>
      <c r="J10483" s="2" t="s">
        <v>36</v>
      </c>
      <c r="K10483" s="2" t="s">
        <v>37</v>
      </c>
      <c r="L10483" s="2" t="s">
        <v>34</v>
      </c>
      <c r="M10483" s="7">
        <v>114.77500000000001</v>
      </c>
      <c r="N10483" s="6">
        <v>12.36</v>
      </c>
      <c r="O10483" s="7">
        <v>12.679</v>
      </c>
      <c r="P10483" s="2" t="s">
        <v>30584</v>
      </c>
      <c r="Q10483" s="6">
        <v>100</v>
      </c>
      <c r="R10483" s="6">
        <v>13.81</v>
      </c>
      <c r="S10483" s="2"/>
      <c r="T10483" s="2"/>
      <c r="U10483" s="2"/>
      <c r="V10483" s="2"/>
      <c r="W10483" s="5">
        <v>14.5</v>
      </c>
      <c r="X10483" s="5">
        <v>14.5</v>
      </c>
      <c r="Y10483" s="6">
        <v>13.36</v>
      </c>
      <c r="Z10483" s="6">
        <v>13.08</v>
      </c>
      <c r="AA10483" s="6">
        <v>2.15</v>
      </c>
      <c r="AB10483" s="2" t="s">
        <v>47</v>
      </c>
      <c r="AC10483" s="2"/>
    </row>
    <row r="10484" spans="1:29" ht="78" x14ac:dyDescent="0.15">
      <c r="A10484" s="3">
        <f>DATE(2013,3,7)</f>
        <v>41340</v>
      </c>
      <c r="B10484" s="3">
        <f>DATE(2013,6,12)</f>
        <v>41437</v>
      </c>
      <c r="C10484" s="2" t="s">
        <v>95</v>
      </c>
      <c r="D10484" s="2" t="s">
        <v>30585</v>
      </c>
      <c r="E10484" s="2" t="s">
        <v>27525</v>
      </c>
      <c r="F10484" s="4">
        <v>5699</v>
      </c>
      <c r="G10484" s="2" t="s">
        <v>756</v>
      </c>
      <c r="H10484" s="2" t="s">
        <v>34</v>
      </c>
      <c r="I10484" s="2" t="s">
        <v>11837</v>
      </c>
      <c r="J10484" s="2" t="s">
        <v>244</v>
      </c>
      <c r="K10484" s="2" t="s">
        <v>53</v>
      </c>
      <c r="L10484" s="2" t="s">
        <v>34</v>
      </c>
      <c r="M10484" s="2"/>
      <c r="N10484" s="2"/>
      <c r="O10484" s="2"/>
      <c r="P10484" s="2" t="s">
        <v>30586</v>
      </c>
      <c r="Q10484" s="6">
        <v>100</v>
      </c>
      <c r="R10484" s="6">
        <v>14</v>
      </c>
      <c r="S10484" s="5">
        <v>19.5</v>
      </c>
      <c r="T10484" s="7">
        <v>63.973999999999997</v>
      </c>
      <c r="U10484" s="5">
        <v>4.0999999999999996</v>
      </c>
      <c r="V10484" s="6">
        <v>0.46</v>
      </c>
      <c r="W10484" s="5">
        <v>10.8</v>
      </c>
      <c r="X10484" s="6">
        <v>10.75</v>
      </c>
      <c r="Y10484" s="6">
        <v>13.87</v>
      </c>
      <c r="Z10484" s="6">
        <v>13.83</v>
      </c>
      <c r="AA10484" s="6">
        <v>42.31</v>
      </c>
      <c r="AB10484" s="7">
        <v>18.645</v>
      </c>
      <c r="AC10484" s="2"/>
    </row>
    <row r="10485" spans="1:29" ht="169" x14ac:dyDescent="0.15">
      <c r="A10485" s="3">
        <f>DATE(2013,3,8)</f>
        <v>41341</v>
      </c>
      <c r="B10485" s="3">
        <f>DATE(2013,7,30)</f>
        <v>41485</v>
      </c>
      <c r="C10485" s="2" t="s">
        <v>95</v>
      </c>
      <c r="D10485" s="2" t="s">
        <v>22759</v>
      </c>
      <c r="E10485" s="2" t="s">
        <v>22760</v>
      </c>
      <c r="F10485" s="4">
        <v>3563</v>
      </c>
      <c r="G10485" s="2" t="s">
        <v>300</v>
      </c>
      <c r="H10485" s="2" t="s">
        <v>34</v>
      </c>
      <c r="I10485" s="2" t="s">
        <v>30587</v>
      </c>
      <c r="J10485" s="2" t="s">
        <v>244</v>
      </c>
      <c r="K10485" s="2" t="s">
        <v>53</v>
      </c>
      <c r="L10485" s="2" t="s">
        <v>34</v>
      </c>
      <c r="M10485" s="12">
        <v>4657.7250000000004</v>
      </c>
      <c r="N10485" s="6">
        <v>19.03</v>
      </c>
      <c r="O10485" s="6">
        <v>19.22</v>
      </c>
      <c r="P10485" s="2" t="s">
        <v>30588</v>
      </c>
      <c r="Q10485" s="6">
        <v>100</v>
      </c>
      <c r="R10485" s="6">
        <v>76</v>
      </c>
      <c r="S10485" s="5">
        <v>263.3</v>
      </c>
      <c r="T10485" s="7">
        <v>460.88600000000002</v>
      </c>
      <c r="U10485" s="5">
        <v>29.5</v>
      </c>
      <c r="V10485" s="9">
        <v>5.2847</v>
      </c>
      <c r="W10485" s="5">
        <v>58.5</v>
      </c>
      <c r="X10485" s="6">
        <v>54.75</v>
      </c>
      <c r="Y10485" s="4">
        <v>66</v>
      </c>
      <c r="Z10485" s="6">
        <v>67.150000000000006</v>
      </c>
      <c r="AA10485" s="6">
        <v>49.77</v>
      </c>
      <c r="AB10485" s="7">
        <v>9.7319999999999993</v>
      </c>
      <c r="AC10485" s="10">
        <v>1905.27</v>
      </c>
    </row>
    <row r="10486" spans="1:29" ht="195" x14ac:dyDescent="0.15">
      <c r="A10486" s="3">
        <f>DATE(2013,3,8)</f>
        <v>41341</v>
      </c>
      <c r="B10486" s="3">
        <f>DATE(2013,11,1)</f>
        <v>41579</v>
      </c>
      <c r="C10486" s="2" t="s">
        <v>95</v>
      </c>
      <c r="D10486" s="2" t="s">
        <v>30589</v>
      </c>
      <c r="E10486" s="2" t="s">
        <v>36</v>
      </c>
      <c r="F10486" s="4">
        <v>6799</v>
      </c>
      <c r="G10486" s="2" t="s">
        <v>53</v>
      </c>
      <c r="H10486" s="2" t="s">
        <v>34</v>
      </c>
      <c r="I10486" s="2" t="s">
        <v>30590</v>
      </c>
      <c r="J10486" s="2" t="s">
        <v>1304</v>
      </c>
      <c r="K10486" s="2" t="s">
        <v>37</v>
      </c>
      <c r="L10486" s="2" t="s">
        <v>34</v>
      </c>
      <c r="M10486" s="6">
        <v>18.45</v>
      </c>
      <c r="N10486" s="6">
        <v>10.35</v>
      </c>
      <c r="O10486" s="6">
        <v>10.35</v>
      </c>
      <c r="P10486" s="2" t="s">
        <v>30591</v>
      </c>
      <c r="Q10486" s="6">
        <v>100</v>
      </c>
      <c r="R10486" s="6">
        <v>20.18</v>
      </c>
      <c r="S10486" s="2"/>
      <c r="T10486" s="2"/>
      <c r="U10486" s="2"/>
      <c r="V10486" s="2"/>
      <c r="W10486" s="5">
        <v>13.3</v>
      </c>
      <c r="X10486" s="5">
        <v>13.3</v>
      </c>
      <c r="Y10486" s="4">
        <v>15</v>
      </c>
      <c r="Z10486" s="6">
        <v>17.75</v>
      </c>
      <c r="AA10486" s="6">
        <v>4.1399999999999997</v>
      </c>
      <c r="AB10486" s="2" t="s">
        <v>47</v>
      </c>
      <c r="AC10486" s="2"/>
    </row>
    <row r="10487" spans="1:29" ht="130" x14ac:dyDescent="0.15">
      <c r="A10487" s="3">
        <f>DATE(2013,3,13)</f>
        <v>41346</v>
      </c>
      <c r="B10487" s="3">
        <f>DATE(2013,9,13)</f>
        <v>41530</v>
      </c>
      <c r="C10487" s="2" t="s">
        <v>95</v>
      </c>
      <c r="D10487" s="2" t="s">
        <v>30592</v>
      </c>
      <c r="E10487" s="2" t="s">
        <v>30593</v>
      </c>
      <c r="F10487" s="4">
        <v>7629</v>
      </c>
      <c r="G10487" s="2" t="s">
        <v>1327</v>
      </c>
      <c r="H10487" s="2" t="s">
        <v>34</v>
      </c>
      <c r="I10487" s="2" t="s">
        <v>30594</v>
      </c>
      <c r="J10487" s="2" t="s">
        <v>30595</v>
      </c>
      <c r="K10487" s="2" t="s">
        <v>341</v>
      </c>
      <c r="L10487" s="2" t="s">
        <v>34</v>
      </c>
      <c r="M10487" s="7">
        <v>81.308999999999997</v>
      </c>
      <c r="N10487" s="7">
        <v>5.7240000000000002</v>
      </c>
      <c r="O10487" s="6">
        <v>6.09</v>
      </c>
      <c r="P10487" s="2" t="s">
        <v>30596</v>
      </c>
      <c r="Q10487" s="6">
        <v>100</v>
      </c>
      <c r="R10487" s="6">
        <v>1.48</v>
      </c>
      <c r="S10487" s="5">
        <v>2.9</v>
      </c>
      <c r="T10487" s="7">
        <v>3.1989999999999998</v>
      </c>
      <c r="U10487" s="5">
        <v>1.3</v>
      </c>
      <c r="V10487" s="9">
        <v>0.23930000000000001</v>
      </c>
      <c r="W10487" s="5">
        <v>1.3</v>
      </c>
      <c r="X10487" s="5">
        <v>1.3</v>
      </c>
      <c r="Y10487" s="6">
        <v>1.25</v>
      </c>
      <c r="Z10487" s="6">
        <v>1.45</v>
      </c>
      <c r="AA10487" s="6">
        <v>11.79</v>
      </c>
      <c r="AB10487" s="7">
        <v>14.986000000000001</v>
      </c>
      <c r="AC10487" s="6">
        <v>22.19</v>
      </c>
    </row>
    <row r="10488" spans="1:29" ht="156" x14ac:dyDescent="0.15">
      <c r="A10488" s="3">
        <f>DATE(2013,3,18)</f>
        <v>41351</v>
      </c>
      <c r="B10488" s="3">
        <f>DATE(2013,5,7)</f>
        <v>41401</v>
      </c>
      <c r="C10488" s="2" t="s">
        <v>95</v>
      </c>
      <c r="D10488" s="2" t="s">
        <v>30597</v>
      </c>
      <c r="E10488" s="2" t="s">
        <v>30598</v>
      </c>
      <c r="F10488" s="4">
        <v>3724</v>
      </c>
      <c r="G10488" s="2" t="s">
        <v>219</v>
      </c>
      <c r="H10488" s="2" t="s">
        <v>34</v>
      </c>
      <c r="I10488" s="2" t="s">
        <v>30599</v>
      </c>
      <c r="J10488" s="2" t="s">
        <v>19795</v>
      </c>
      <c r="K10488" s="2" t="s">
        <v>219</v>
      </c>
      <c r="L10488" s="2" t="s">
        <v>34</v>
      </c>
      <c r="M10488" s="2"/>
      <c r="N10488" s="2"/>
      <c r="O10488" s="2"/>
      <c r="P10488" s="2" t="s">
        <v>30600</v>
      </c>
      <c r="Q10488" s="6">
        <v>100</v>
      </c>
      <c r="R10488" s="6">
        <v>17.75</v>
      </c>
      <c r="S10488" s="5">
        <v>5.9</v>
      </c>
      <c r="T10488" s="7">
        <v>13.840999999999999</v>
      </c>
      <c r="U10488" s="5">
        <v>6.9</v>
      </c>
      <c r="V10488" s="9">
        <v>1.0399</v>
      </c>
      <c r="W10488" s="5">
        <v>16.2</v>
      </c>
      <c r="X10488" s="6">
        <v>16.440000000000001</v>
      </c>
      <c r="Y10488" s="5">
        <v>17.7</v>
      </c>
      <c r="Z10488" s="6">
        <v>17.66</v>
      </c>
      <c r="AA10488" s="6">
        <v>5.32</v>
      </c>
      <c r="AB10488" s="7">
        <v>12.849</v>
      </c>
      <c r="AC10488" s="2"/>
    </row>
    <row r="10489" spans="1:29" ht="208" x14ac:dyDescent="0.15">
      <c r="A10489" s="3">
        <f>DATE(2013,3,18)</f>
        <v>41351</v>
      </c>
      <c r="B10489" s="3">
        <f>DATE(2013,6,24)</f>
        <v>41449</v>
      </c>
      <c r="C10489" s="2" t="s">
        <v>95</v>
      </c>
      <c r="D10489" s="2" t="s">
        <v>7659</v>
      </c>
      <c r="E10489" s="2" t="s">
        <v>7660</v>
      </c>
      <c r="F10489" s="4">
        <v>3845</v>
      </c>
      <c r="G10489" s="2" t="s">
        <v>226</v>
      </c>
      <c r="H10489" s="2" t="s">
        <v>34</v>
      </c>
      <c r="I10489" s="2" t="s">
        <v>30601</v>
      </c>
      <c r="J10489" s="2" t="s">
        <v>30602</v>
      </c>
      <c r="K10489" s="2" t="s">
        <v>226</v>
      </c>
      <c r="L10489" s="2" t="s">
        <v>34</v>
      </c>
      <c r="M10489" s="2"/>
      <c r="N10489" s="2"/>
      <c r="O10489" s="2"/>
      <c r="P10489" s="2" t="s">
        <v>30603</v>
      </c>
      <c r="Q10489" s="6">
        <v>100</v>
      </c>
      <c r="R10489" s="6">
        <v>10.38</v>
      </c>
      <c r="S10489" s="5">
        <v>-6.2</v>
      </c>
      <c r="T10489" s="7">
        <v>-4.5220000000000002</v>
      </c>
      <c r="U10489" s="5">
        <v>7.5</v>
      </c>
      <c r="V10489" s="6">
        <v>-0.33</v>
      </c>
      <c r="W10489" s="6">
        <v>12.17</v>
      </c>
      <c r="X10489" s="6">
        <v>12.62</v>
      </c>
      <c r="Y10489" s="6">
        <v>13.17</v>
      </c>
      <c r="Z10489" s="6">
        <v>13.46</v>
      </c>
      <c r="AA10489" s="6">
        <v>19.97</v>
      </c>
      <c r="AB10489" s="2" t="s">
        <v>86</v>
      </c>
      <c r="AC10489" s="2"/>
    </row>
    <row r="10490" spans="1:29" ht="65" x14ac:dyDescent="0.15">
      <c r="A10490" s="3">
        <f>DATE(2013,3,19)</f>
        <v>41352</v>
      </c>
      <c r="B10490" s="2"/>
      <c r="C10490" s="2" t="s">
        <v>30</v>
      </c>
      <c r="D10490" s="2" t="s">
        <v>21367</v>
      </c>
      <c r="E10490" s="2" t="s">
        <v>21368</v>
      </c>
      <c r="F10490" s="4">
        <v>3663</v>
      </c>
      <c r="G10490" s="2" t="s">
        <v>921</v>
      </c>
      <c r="H10490" s="2" t="s">
        <v>34</v>
      </c>
      <c r="I10490" s="2" t="s">
        <v>30604</v>
      </c>
      <c r="J10490" s="2" t="s">
        <v>30605</v>
      </c>
      <c r="K10490" s="2" t="s">
        <v>921</v>
      </c>
      <c r="L10490" s="2" t="s">
        <v>34</v>
      </c>
      <c r="M10490" s="2"/>
      <c r="N10490" s="2"/>
      <c r="O10490" s="2"/>
      <c r="P10490" s="2" t="s">
        <v>30606</v>
      </c>
      <c r="Q10490" s="2"/>
      <c r="R10490" s="6">
        <v>1.25</v>
      </c>
      <c r="S10490" s="5">
        <v>-3.8</v>
      </c>
      <c r="T10490" s="7">
        <v>-1.768</v>
      </c>
      <c r="U10490" s="5">
        <v>1.4</v>
      </c>
      <c r="V10490" s="6">
        <v>-1.63</v>
      </c>
      <c r="W10490" s="7">
        <v>1.3009999999999999</v>
      </c>
      <c r="X10490" s="6">
        <v>1.24</v>
      </c>
      <c r="Y10490" s="6">
        <v>1.25</v>
      </c>
      <c r="Z10490" s="6">
        <v>1.21</v>
      </c>
      <c r="AA10490" s="6">
        <v>2.3199999999999998</v>
      </c>
      <c r="AB10490" s="2" t="s">
        <v>86</v>
      </c>
      <c r="AC10490" s="2"/>
    </row>
    <row r="10491" spans="1:29" ht="182" x14ac:dyDescent="0.15">
      <c r="A10491" s="3">
        <f>DATE(2013,3,20)</f>
        <v>41353</v>
      </c>
      <c r="B10491" s="3">
        <f>DATE(2013,4,25)</f>
        <v>41389</v>
      </c>
      <c r="C10491" s="2" t="s">
        <v>95</v>
      </c>
      <c r="D10491" s="2" t="s">
        <v>30607</v>
      </c>
      <c r="E10491" s="2" t="s">
        <v>30608</v>
      </c>
      <c r="F10491" s="4">
        <v>2834</v>
      </c>
      <c r="G10491" s="2" t="s">
        <v>130</v>
      </c>
      <c r="H10491" s="2" t="s">
        <v>34</v>
      </c>
      <c r="I10491" s="2" t="s">
        <v>28374</v>
      </c>
      <c r="J10491" s="2" t="s">
        <v>29140</v>
      </c>
      <c r="K10491" s="2" t="s">
        <v>130</v>
      </c>
      <c r="L10491" s="2" t="s">
        <v>34</v>
      </c>
      <c r="M10491" s="12">
        <v>20127.776000000002</v>
      </c>
      <c r="N10491" s="6">
        <v>73.33</v>
      </c>
      <c r="O10491" s="6">
        <v>72.86</v>
      </c>
      <c r="P10491" s="2" t="s">
        <v>30609</v>
      </c>
      <c r="Q10491" s="6">
        <v>100</v>
      </c>
      <c r="R10491" s="6">
        <v>24</v>
      </c>
      <c r="S10491" s="5">
        <v>16.600000000000001</v>
      </c>
      <c r="T10491" s="7">
        <v>29.062000000000001</v>
      </c>
      <c r="U10491" s="5">
        <v>3.6</v>
      </c>
      <c r="V10491" s="9">
        <v>0.90159999999999996</v>
      </c>
      <c r="W10491" s="6">
        <v>13.96</v>
      </c>
      <c r="X10491" s="6">
        <v>15.39</v>
      </c>
      <c r="Y10491" s="6">
        <v>19.73</v>
      </c>
      <c r="Z10491" s="6">
        <v>19.75</v>
      </c>
      <c r="AA10491" s="6">
        <v>17.43</v>
      </c>
      <c r="AB10491" s="7">
        <v>14.685</v>
      </c>
      <c r="AC10491" s="6">
        <v>420.77</v>
      </c>
    </row>
    <row r="10492" spans="1:29" ht="260" x14ac:dyDescent="0.15">
      <c r="A10492" s="3">
        <f>DATE(2013,3,22)</f>
        <v>41355</v>
      </c>
      <c r="B10492" s="2"/>
      <c r="C10492" s="2" t="s">
        <v>30</v>
      </c>
      <c r="D10492" s="2" t="s">
        <v>27746</v>
      </c>
      <c r="E10492" s="2" t="s">
        <v>27747</v>
      </c>
      <c r="F10492" s="4">
        <v>3571</v>
      </c>
      <c r="G10492" s="2" t="s">
        <v>50</v>
      </c>
      <c r="H10492" s="2" t="s">
        <v>34</v>
      </c>
      <c r="I10492" s="2" t="s">
        <v>30610</v>
      </c>
      <c r="J10492" s="2" t="s">
        <v>11337</v>
      </c>
      <c r="K10492" s="2" t="s">
        <v>53</v>
      </c>
      <c r="L10492" s="2" t="s">
        <v>34</v>
      </c>
      <c r="M10492" s="2"/>
      <c r="N10492" s="2"/>
      <c r="O10492" s="2"/>
      <c r="P10492" s="2" t="s">
        <v>30611</v>
      </c>
      <c r="Q10492" s="2"/>
      <c r="R10492" s="6">
        <v>14.25</v>
      </c>
      <c r="S10492" s="8">
        <v>2372</v>
      </c>
      <c r="T10492" s="8">
        <v>4156</v>
      </c>
      <c r="U10492" s="5">
        <v>6.1</v>
      </c>
      <c r="V10492" s="9">
        <v>1.3515999999999999</v>
      </c>
      <c r="W10492" s="6">
        <v>10.77</v>
      </c>
      <c r="X10492" s="6">
        <v>12.29</v>
      </c>
      <c r="Y10492" s="6">
        <v>13.17</v>
      </c>
      <c r="Z10492" s="6">
        <v>12.61</v>
      </c>
      <c r="AA10492" s="10">
        <v>1747.22</v>
      </c>
      <c r="AB10492" s="7">
        <v>7.5869999999999997</v>
      </c>
      <c r="AC10492" s="2"/>
    </row>
    <row r="10493" spans="1:29" ht="117" x14ac:dyDescent="0.15">
      <c r="A10493" s="3">
        <f>DATE(2013,3,22)</f>
        <v>41355</v>
      </c>
      <c r="B10493" s="3">
        <f>DATE(2013,7,1)</f>
        <v>41456</v>
      </c>
      <c r="C10493" s="2" t="s">
        <v>95</v>
      </c>
      <c r="D10493" s="2" t="s">
        <v>30612</v>
      </c>
      <c r="E10493" s="2" t="s">
        <v>36</v>
      </c>
      <c r="F10493" s="4">
        <v>6022</v>
      </c>
      <c r="G10493" s="2" t="s">
        <v>37</v>
      </c>
      <c r="H10493" s="2" t="s">
        <v>34</v>
      </c>
      <c r="I10493" s="2" t="s">
        <v>30613</v>
      </c>
      <c r="J10493" s="2" t="s">
        <v>36</v>
      </c>
      <c r="K10493" s="2" t="s">
        <v>37</v>
      </c>
      <c r="L10493" s="2" t="s">
        <v>34</v>
      </c>
      <c r="M10493" s="7">
        <v>215.32400000000001</v>
      </c>
      <c r="N10493" s="6">
        <v>6.44</v>
      </c>
      <c r="O10493" s="6">
        <v>6.39</v>
      </c>
      <c r="P10493" s="2" t="s">
        <v>30614</v>
      </c>
      <c r="Q10493" s="6">
        <v>100</v>
      </c>
      <c r="R10493" s="2"/>
      <c r="S10493" s="5">
        <v>12.4</v>
      </c>
      <c r="T10493" s="7">
        <v>23.207999999999998</v>
      </c>
      <c r="U10493" s="5">
        <v>14.4</v>
      </c>
      <c r="V10493" s="6">
        <v>1.28</v>
      </c>
      <c r="W10493" s="6">
        <v>16.649999999999999</v>
      </c>
      <c r="X10493" s="6">
        <v>16.72</v>
      </c>
      <c r="Y10493" s="5">
        <v>16.899999999999999</v>
      </c>
      <c r="Z10493" s="6">
        <v>16.89</v>
      </c>
      <c r="AA10493" s="6">
        <v>112.31</v>
      </c>
      <c r="AB10493" s="7">
        <v>4.399</v>
      </c>
      <c r="AC10493" s="2"/>
    </row>
    <row r="10494" spans="1:29" ht="143" x14ac:dyDescent="0.15">
      <c r="A10494" s="3">
        <f>DATE(2013,3,26)</f>
        <v>41359</v>
      </c>
      <c r="B10494" s="3">
        <f>DATE(2013,10,11)</f>
        <v>41558</v>
      </c>
      <c r="C10494" s="2" t="s">
        <v>95</v>
      </c>
      <c r="D10494" s="2" t="s">
        <v>30615</v>
      </c>
      <c r="E10494" s="2" t="s">
        <v>36</v>
      </c>
      <c r="F10494" s="4">
        <v>6021</v>
      </c>
      <c r="G10494" s="2" t="s">
        <v>37</v>
      </c>
      <c r="H10494" s="2" t="s">
        <v>34</v>
      </c>
      <c r="I10494" s="2" t="s">
        <v>27489</v>
      </c>
      <c r="J10494" s="2" t="s">
        <v>265</v>
      </c>
      <c r="K10494" s="2" t="s">
        <v>37</v>
      </c>
      <c r="L10494" s="2" t="s">
        <v>34</v>
      </c>
      <c r="M10494" s="7">
        <v>799.00099999999998</v>
      </c>
      <c r="N10494" s="5">
        <v>17.2</v>
      </c>
      <c r="O10494" s="6">
        <v>16.940000000000001</v>
      </c>
      <c r="P10494" s="2" t="s">
        <v>30616</v>
      </c>
      <c r="Q10494" s="6">
        <v>100</v>
      </c>
      <c r="R10494" s="6">
        <v>30.12</v>
      </c>
      <c r="S10494" s="2"/>
      <c r="T10494" s="2"/>
      <c r="U10494" s="2"/>
      <c r="V10494" s="2"/>
      <c r="W10494" s="5">
        <v>23.5</v>
      </c>
      <c r="X10494" s="5">
        <v>23.4</v>
      </c>
      <c r="Y10494" s="5">
        <v>23.4</v>
      </c>
      <c r="Z10494" s="6">
        <v>27.75</v>
      </c>
      <c r="AA10494" s="6">
        <v>0.79</v>
      </c>
      <c r="AB10494" s="2" t="s">
        <v>47</v>
      </c>
      <c r="AC10494" s="2"/>
    </row>
    <row r="10495" spans="1:29" ht="156" x14ac:dyDescent="0.15">
      <c r="A10495" s="3">
        <f>DATE(2013,3,28)</f>
        <v>41361</v>
      </c>
      <c r="B10495" s="2"/>
      <c r="C10495" s="2" t="s">
        <v>30</v>
      </c>
      <c r="D10495" s="2" t="s">
        <v>30597</v>
      </c>
      <c r="E10495" s="2" t="s">
        <v>30598</v>
      </c>
      <c r="F10495" s="4">
        <v>3724</v>
      </c>
      <c r="G10495" s="2" t="s">
        <v>219</v>
      </c>
      <c r="H10495" s="2" t="s">
        <v>34</v>
      </c>
      <c r="I10495" s="2" t="s">
        <v>28958</v>
      </c>
      <c r="J10495" s="2" t="s">
        <v>244</v>
      </c>
      <c r="K10495" s="2" t="s">
        <v>53</v>
      </c>
      <c r="L10495" s="2" t="s">
        <v>34</v>
      </c>
      <c r="M10495" s="2"/>
      <c r="N10495" s="2"/>
      <c r="O10495" s="2"/>
      <c r="P10495" s="2" t="s">
        <v>30617</v>
      </c>
      <c r="Q10495" s="2"/>
      <c r="R10495" s="6">
        <v>18.25</v>
      </c>
      <c r="S10495" s="5">
        <v>5.9</v>
      </c>
      <c r="T10495" s="7">
        <v>13.840999999999999</v>
      </c>
      <c r="U10495" s="5">
        <v>6.9</v>
      </c>
      <c r="V10495" s="9">
        <v>1.0399</v>
      </c>
      <c r="W10495" s="5">
        <v>16.2</v>
      </c>
      <c r="X10495" s="6">
        <v>16.440000000000001</v>
      </c>
      <c r="Y10495" s="5">
        <v>17.7</v>
      </c>
      <c r="Z10495" s="6">
        <v>17.66</v>
      </c>
      <c r="AA10495" s="6">
        <v>5.32</v>
      </c>
      <c r="AB10495" s="7">
        <v>13.11</v>
      </c>
      <c r="AC10495" s="2"/>
    </row>
    <row r="10496" spans="1:29" ht="156" x14ac:dyDescent="0.15">
      <c r="A10496" s="3">
        <f>DATE(2013,4,1)</f>
        <v>41365</v>
      </c>
      <c r="B10496" s="3">
        <f>DATE(2014,2,3)</f>
        <v>41673</v>
      </c>
      <c r="C10496" s="2" t="s">
        <v>95</v>
      </c>
      <c r="D10496" s="2" t="s">
        <v>30618</v>
      </c>
      <c r="E10496" s="2" t="s">
        <v>1531</v>
      </c>
      <c r="F10496" s="4">
        <v>1311</v>
      </c>
      <c r="G10496" s="2" t="s">
        <v>148</v>
      </c>
      <c r="H10496" s="2" t="s">
        <v>34</v>
      </c>
      <c r="I10496" s="2" t="s">
        <v>1558</v>
      </c>
      <c r="J10496" s="2" t="s">
        <v>52</v>
      </c>
      <c r="K10496" s="2" t="s">
        <v>53</v>
      </c>
      <c r="L10496" s="2" t="s">
        <v>34</v>
      </c>
      <c r="M10496" s="2"/>
      <c r="N10496" s="2"/>
      <c r="O10496" s="2"/>
      <c r="P10496" s="2" t="s">
        <v>30619</v>
      </c>
      <c r="Q10496" s="6">
        <v>100</v>
      </c>
      <c r="R10496" s="2"/>
      <c r="S10496" s="5">
        <v>-202.6</v>
      </c>
      <c r="T10496" s="7">
        <v>21.488</v>
      </c>
      <c r="U10496" s="5">
        <v>-17.3</v>
      </c>
      <c r="V10496" s="9">
        <v>-37.8003</v>
      </c>
      <c r="W10496" s="6">
        <v>4.96</v>
      </c>
      <c r="X10496" s="5">
        <v>2.5</v>
      </c>
      <c r="Y10496" s="6">
        <v>1.96</v>
      </c>
      <c r="Z10496" s="5">
        <v>2.2000000000000002</v>
      </c>
      <c r="AA10496" s="2"/>
      <c r="AB10496" s="2" t="s">
        <v>86</v>
      </c>
      <c r="AC10496" s="2"/>
    </row>
    <row r="10497" spans="1:29" ht="117" x14ac:dyDescent="0.15">
      <c r="A10497" s="3">
        <f>DATE(2013,4,2)</f>
        <v>41366</v>
      </c>
      <c r="B10497" s="2"/>
      <c r="C10497" s="2" t="s">
        <v>30</v>
      </c>
      <c r="D10497" s="2" t="s">
        <v>30607</v>
      </c>
      <c r="E10497" s="2" t="s">
        <v>30608</v>
      </c>
      <c r="F10497" s="4">
        <v>2834</v>
      </c>
      <c r="G10497" s="2" t="s">
        <v>130</v>
      </c>
      <c r="H10497" s="2" t="s">
        <v>34</v>
      </c>
      <c r="I10497" s="2" t="s">
        <v>27995</v>
      </c>
      <c r="J10497" s="2" t="s">
        <v>129</v>
      </c>
      <c r="K10497" s="2" t="s">
        <v>130</v>
      </c>
      <c r="L10497" s="2" t="s">
        <v>1049</v>
      </c>
      <c r="M10497" s="2"/>
      <c r="N10497" s="2"/>
      <c r="O10497" s="2"/>
      <c r="P10497" s="2" t="s">
        <v>30620</v>
      </c>
      <c r="Q10497" s="2"/>
      <c r="R10497" s="6">
        <v>22</v>
      </c>
      <c r="S10497" s="5">
        <v>16.600000000000001</v>
      </c>
      <c r="T10497" s="7">
        <v>29.062000000000001</v>
      </c>
      <c r="U10497" s="5">
        <v>3.6</v>
      </c>
      <c r="V10497" s="9">
        <v>0.90159999999999996</v>
      </c>
      <c r="W10497" s="6">
        <v>13.96</v>
      </c>
      <c r="X10497" s="6">
        <v>15.39</v>
      </c>
      <c r="Y10497" s="6">
        <v>19.73</v>
      </c>
      <c r="Z10497" s="6">
        <v>19.75</v>
      </c>
      <c r="AA10497" s="6">
        <v>17.43</v>
      </c>
      <c r="AB10497" s="7">
        <v>13.3</v>
      </c>
      <c r="AC10497" s="6">
        <v>118.86</v>
      </c>
    </row>
    <row r="10498" spans="1:29" ht="130" x14ac:dyDescent="0.15">
      <c r="A10498" s="3">
        <f>DATE(2013,4,3)</f>
        <v>41367</v>
      </c>
      <c r="B10498" s="3">
        <f>DATE(2013,10,25)</f>
        <v>41572</v>
      </c>
      <c r="C10498" s="2" t="s">
        <v>95</v>
      </c>
      <c r="D10498" s="2" t="s">
        <v>30621</v>
      </c>
      <c r="E10498" s="2" t="s">
        <v>36</v>
      </c>
      <c r="F10498" s="4">
        <v>6021</v>
      </c>
      <c r="G10498" s="2" t="s">
        <v>37</v>
      </c>
      <c r="H10498" s="2" t="s">
        <v>34</v>
      </c>
      <c r="I10498" s="2" t="s">
        <v>24919</v>
      </c>
      <c r="J10498" s="2" t="s">
        <v>36</v>
      </c>
      <c r="K10498" s="2" t="s">
        <v>33</v>
      </c>
      <c r="L10498" s="2" t="s">
        <v>34</v>
      </c>
      <c r="M10498" s="7">
        <v>93.462999999999994</v>
      </c>
      <c r="N10498" s="6">
        <v>12.91</v>
      </c>
      <c r="O10498" s="4">
        <v>13</v>
      </c>
      <c r="P10498" s="2" t="s">
        <v>30622</v>
      </c>
      <c r="Q10498" s="6">
        <v>100</v>
      </c>
      <c r="R10498" s="6">
        <v>114.91</v>
      </c>
      <c r="S10498" s="2"/>
      <c r="T10498" s="2"/>
      <c r="U10498" s="2"/>
      <c r="V10498" s="2"/>
      <c r="W10498" s="4">
        <v>76</v>
      </c>
      <c r="X10498" s="4">
        <v>76</v>
      </c>
      <c r="Y10498" s="4">
        <v>76</v>
      </c>
      <c r="Z10498" s="4">
        <v>76</v>
      </c>
      <c r="AA10498" s="6">
        <v>0.13</v>
      </c>
      <c r="AB10498" s="2" t="s">
        <v>47</v>
      </c>
      <c r="AC10498" s="2"/>
    </row>
    <row r="10499" spans="1:29" ht="104" x14ac:dyDescent="0.15">
      <c r="A10499" s="3">
        <f>DATE(2013,4,4)</f>
        <v>41368</v>
      </c>
      <c r="B10499" s="2"/>
      <c r="C10499" s="2" t="s">
        <v>7330</v>
      </c>
      <c r="D10499" s="2" t="s">
        <v>30623</v>
      </c>
      <c r="E10499" s="2" t="s">
        <v>30624</v>
      </c>
      <c r="F10499" s="4">
        <v>3679</v>
      </c>
      <c r="G10499" s="2" t="s">
        <v>137</v>
      </c>
      <c r="H10499" s="2" t="s">
        <v>34</v>
      </c>
      <c r="I10499" s="2" t="s">
        <v>51</v>
      </c>
      <c r="J10499" s="2" t="s">
        <v>52</v>
      </c>
      <c r="K10499" s="2" t="s">
        <v>53</v>
      </c>
      <c r="L10499" s="2" t="s">
        <v>34</v>
      </c>
      <c r="M10499" s="2"/>
      <c r="N10499" s="2"/>
      <c r="O10499" s="2"/>
      <c r="P10499" s="2" t="s">
        <v>30625</v>
      </c>
      <c r="Q10499" s="2"/>
      <c r="R10499" s="2"/>
      <c r="S10499" s="5">
        <v>6.2</v>
      </c>
      <c r="T10499" s="7">
        <v>8.4710000000000001</v>
      </c>
      <c r="U10499" s="5">
        <v>-8.8000000000000007</v>
      </c>
      <c r="V10499" s="9">
        <v>0.1502</v>
      </c>
      <c r="W10499" s="6">
        <v>14.05</v>
      </c>
      <c r="X10499" s="6">
        <v>14.55</v>
      </c>
      <c r="Y10499" s="6">
        <v>15.46</v>
      </c>
      <c r="Z10499" s="6">
        <v>15.14</v>
      </c>
      <c r="AA10499" s="6">
        <v>3.21</v>
      </c>
      <c r="AB10499" s="7">
        <v>3.5259999999999998</v>
      </c>
      <c r="AC10499" s="2"/>
    </row>
    <row r="10500" spans="1:29" ht="143" x14ac:dyDescent="0.15">
      <c r="A10500" s="3">
        <f>DATE(2013,4,8)</f>
        <v>41372</v>
      </c>
      <c r="B10500" s="2"/>
      <c r="C10500" s="2" t="s">
        <v>30</v>
      </c>
      <c r="D10500" s="2" t="s">
        <v>30626</v>
      </c>
      <c r="E10500" s="2" t="s">
        <v>30627</v>
      </c>
      <c r="F10500" s="4">
        <v>6221</v>
      </c>
      <c r="G10500" s="2" t="s">
        <v>53</v>
      </c>
      <c r="H10500" s="2" t="s">
        <v>34</v>
      </c>
      <c r="I10500" s="2" t="s">
        <v>30628</v>
      </c>
      <c r="J10500" s="2" t="s">
        <v>30629</v>
      </c>
      <c r="K10500" s="2" t="s">
        <v>53</v>
      </c>
      <c r="L10500" s="2" t="s">
        <v>34</v>
      </c>
      <c r="M10500" s="7">
        <v>504.827</v>
      </c>
      <c r="N10500" s="6">
        <v>13.39</v>
      </c>
      <c r="O10500" s="6">
        <v>13.62</v>
      </c>
      <c r="P10500" s="2" t="s">
        <v>30630</v>
      </c>
      <c r="Q10500" s="2"/>
      <c r="R10500" s="6">
        <v>5.2</v>
      </c>
      <c r="S10500" s="5">
        <v>8.1</v>
      </c>
      <c r="T10500" s="7">
        <v>15.579000000000001</v>
      </c>
      <c r="U10500" s="5">
        <v>4.5999999999999996</v>
      </c>
      <c r="V10500" s="9">
        <v>0.2145</v>
      </c>
      <c r="W10500" s="6">
        <v>4.46</v>
      </c>
      <c r="X10500" s="6">
        <v>4.3499999999999996</v>
      </c>
      <c r="Y10500" s="6">
        <v>4.2699999999999996</v>
      </c>
      <c r="Z10500" s="6">
        <v>5.27</v>
      </c>
      <c r="AA10500" s="6">
        <v>35.53</v>
      </c>
      <c r="AB10500" s="2" t="s">
        <v>86</v>
      </c>
      <c r="AC10500" s="8">
        <v>1463.8</v>
      </c>
    </row>
    <row r="10501" spans="1:29" ht="65" x14ac:dyDescent="0.15">
      <c r="A10501" s="3">
        <f>DATE(2013,4,8)</f>
        <v>41372</v>
      </c>
      <c r="B10501" s="3">
        <f>DATE(2013,7,1)</f>
        <v>41456</v>
      </c>
      <c r="C10501" s="2" t="s">
        <v>95</v>
      </c>
      <c r="D10501" s="2" t="s">
        <v>30631</v>
      </c>
      <c r="E10501" s="2" t="s">
        <v>30632</v>
      </c>
      <c r="F10501" s="4">
        <v>3533</v>
      </c>
      <c r="G10501" s="2" t="s">
        <v>300</v>
      </c>
      <c r="H10501" s="2" t="s">
        <v>34</v>
      </c>
      <c r="I10501" s="2" t="s">
        <v>350</v>
      </c>
      <c r="J10501" s="2" t="s">
        <v>351</v>
      </c>
      <c r="K10501" s="2" t="s">
        <v>137</v>
      </c>
      <c r="L10501" s="2" t="s">
        <v>34</v>
      </c>
      <c r="M10501" s="12">
        <v>245607.16099999999</v>
      </c>
      <c r="N10501" s="6">
        <v>23.12</v>
      </c>
      <c r="O10501" s="6">
        <v>23.06</v>
      </c>
      <c r="P10501" s="2" t="s">
        <v>30633</v>
      </c>
      <c r="Q10501" s="6">
        <v>100</v>
      </c>
      <c r="R10501" s="6">
        <v>88.5</v>
      </c>
      <c r="S10501" s="5">
        <v>90.1</v>
      </c>
      <c r="T10501" s="7">
        <v>195.303</v>
      </c>
      <c r="U10501" s="5">
        <v>24.2</v>
      </c>
      <c r="V10501" s="6">
        <v>2.69</v>
      </c>
      <c r="W10501" s="6">
        <v>64.16</v>
      </c>
      <c r="X10501" s="6">
        <v>63.93</v>
      </c>
      <c r="Y10501" s="6">
        <v>87.96</v>
      </c>
      <c r="Z10501" s="6">
        <v>87.95</v>
      </c>
      <c r="AA10501" s="6">
        <v>33.840000000000003</v>
      </c>
      <c r="AB10501" s="7">
        <v>21.914000000000001</v>
      </c>
      <c r="AC10501" s="8">
        <v>138110</v>
      </c>
    </row>
    <row r="10502" spans="1:29" ht="130" x14ac:dyDescent="0.15">
      <c r="A10502" s="3">
        <f>DATE(2013,4,8)</f>
        <v>41372</v>
      </c>
      <c r="B10502" s="3">
        <f>DATE(2013,7,15)</f>
        <v>41470</v>
      </c>
      <c r="C10502" s="2" t="s">
        <v>95</v>
      </c>
      <c r="D10502" s="2" t="s">
        <v>30634</v>
      </c>
      <c r="E10502" s="2" t="s">
        <v>386</v>
      </c>
      <c r="F10502" s="4">
        <v>6726</v>
      </c>
      <c r="G10502" s="2" t="s">
        <v>53</v>
      </c>
      <c r="H10502" s="2" t="s">
        <v>34</v>
      </c>
      <c r="I10502" s="2" t="s">
        <v>30635</v>
      </c>
      <c r="J10502" s="2" t="s">
        <v>386</v>
      </c>
      <c r="K10502" s="2" t="s">
        <v>53</v>
      </c>
      <c r="L10502" s="2" t="s">
        <v>34</v>
      </c>
      <c r="M10502" s="7">
        <v>650.02300000000002</v>
      </c>
      <c r="N10502" s="6">
        <v>13.66</v>
      </c>
      <c r="O10502" s="6">
        <v>13.66</v>
      </c>
      <c r="P10502" s="2" t="s">
        <v>30636</v>
      </c>
      <c r="Q10502" s="6">
        <v>100</v>
      </c>
      <c r="R10502" s="6">
        <v>11.81</v>
      </c>
      <c r="S10502" s="2"/>
      <c r="T10502" s="2"/>
      <c r="U10502" s="2"/>
      <c r="V10502" s="2"/>
      <c r="W10502" s="6">
        <v>13.23</v>
      </c>
      <c r="X10502" s="6">
        <v>13.33</v>
      </c>
      <c r="Y10502" s="6">
        <v>13.33</v>
      </c>
      <c r="Z10502" s="6">
        <v>13.33</v>
      </c>
      <c r="AA10502" s="6">
        <v>18.59</v>
      </c>
      <c r="AB10502" s="2" t="s">
        <v>47</v>
      </c>
      <c r="AC10502" s="2"/>
    </row>
    <row r="10503" spans="1:29" ht="104" x14ac:dyDescent="0.15">
      <c r="A10503" s="3">
        <f>DATE(2013,4,11)</f>
        <v>41375</v>
      </c>
      <c r="B10503" s="3">
        <f>DATE(2013,8,8)</f>
        <v>41494</v>
      </c>
      <c r="C10503" s="2" t="s">
        <v>95</v>
      </c>
      <c r="D10503" s="2" t="s">
        <v>20449</v>
      </c>
      <c r="E10503" s="2" t="s">
        <v>20450</v>
      </c>
      <c r="F10503" s="4">
        <v>4833</v>
      </c>
      <c r="G10503" s="2" t="s">
        <v>45</v>
      </c>
      <c r="H10503" s="2" t="s">
        <v>34</v>
      </c>
      <c r="I10503" s="2" t="s">
        <v>30637</v>
      </c>
      <c r="J10503" s="2" t="s">
        <v>30638</v>
      </c>
      <c r="K10503" s="2" t="s">
        <v>45</v>
      </c>
      <c r="L10503" s="2" t="s">
        <v>34</v>
      </c>
      <c r="M10503" s="12">
        <v>1462.8019999999999</v>
      </c>
      <c r="N10503" s="6">
        <v>23.69</v>
      </c>
      <c r="O10503" s="5">
        <v>27.6</v>
      </c>
      <c r="P10503" s="2" t="s">
        <v>30639</v>
      </c>
      <c r="Q10503" s="6">
        <v>100</v>
      </c>
      <c r="R10503" s="6">
        <v>41</v>
      </c>
      <c r="S10503" s="5">
        <v>14.3</v>
      </c>
      <c r="T10503" s="7">
        <v>39.673000000000002</v>
      </c>
      <c r="U10503" s="5">
        <v>13.7</v>
      </c>
      <c r="V10503" s="9">
        <v>1.5903</v>
      </c>
      <c r="W10503" s="6">
        <v>28.17</v>
      </c>
      <c r="X10503" s="6">
        <v>28.49</v>
      </c>
      <c r="Y10503" s="6">
        <v>33.21</v>
      </c>
      <c r="Z10503" s="6">
        <v>33.26</v>
      </c>
      <c r="AA10503" s="6">
        <v>8.7799999999999994</v>
      </c>
      <c r="AB10503" s="7">
        <v>15.266</v>
      </c>
      <c r="AC10503" s="6">
        <v>25.83</v>
      </c>
    </row>
    <row r="10504" spans="1:29" ht="143" x14ac:dyDescent="0.15">
      <c r="A10504" s="3">
        <f>DATE(2013,4,15)</f>
        <v>41379</v>
      </c>
      <c r="B10504" s="2"/>
      <c r="C10504" s="2" t="s">
        <v>30</v>
      </c>
      <c r="D10504" s="2" t="s">
        <v>28999</v>
      </c>
      <c r="E10504" s="2" t="s">
        <v>2208</v>
      </c>
      <c r="F10504" s="4">
        <v>3663</v>
      </c>
      <c r="G10504" s="2" t="s">
        <v>921</v>
      </c>
      <c r="H10504" s="2" t="s">
        <v>34</v>
      </c>
      <c r="I10504" s="2" t="s">
        <v>30640</v>
      </c>
      <c r="J10504" s="2" t="s">
        <v>244</v>
      </c>
      <c r="K10504" s="2" t="s">
        <v>53</v>
      </c>
      <c r="L10504" s="2" t="s">
        <v>34</v>
      </c>
      <c r="M10504" s="2"/>
      <c r="N10504" s="2"/>
      <c r="O10504" s="2"/>
      <c r="P10504" s="2" t="s">
        <v>30641</v>
      </c>
      <c r="Q10504" s="2"/>
      <c r="R10504" s="6">
        <v>23</v>
      </c>
      <c r="S10504" s="5">
        <v>14.6</v>
      </c>
      <c r="T10504" s="7">
        <v>26.834</v>
      </c>
      <c r="U10504" s="5">
        <v>13.8</v>
      </c>
      <c r="V10504" s="9">
        <v>1.0795999999999999</v>
      </c>
      <c r="W10504" s="6">
        <v>19.46</v>
      </c>
      <c r="X10504" s="6">
        <v>19.940000000000001</v>
      </c>
      <c r="Y10504" s="6">
        <v>19.61</v>
      </c>
      <c r="Z10504" s="6">
        <v>22.55</v>
      </c>
      <c r="AA10504" s="6">
        <v>13.17</v>
      </c>
      <c r="AB10504" s="7">
        <v>15.657</v>
      </c>
      <c r="AC10504" s="2"/>
    </row>
    <row r="10505" spans="1:29" ht="234" x14ac:dyDescent="0.15">
      <c r="A10505" s="3">
        <f>DATE(2013,4,15)</f>
        <v>41379</v>
      </c>
      <c r="B10505" s="2"/>
      <c r="C10505" s="2" t="s">
        <v>56</v>
      </c>
      <c r="D10505" s="2" t="s">
        <v>30642</v>
      </c>
      <c r="E10505" s="2" t="s">
        <v>30643</v>
      </c>
      <c r="F10505" s="4">
        <v>7993</v>
      </c>
      <c r="G10505" s="2" t="s">
        <v>364</v>
      </c>
      <c r="H10505" s="2" t="s">
        <v>34</v>
      </c>
      <c r="I10505" s="2" t="s">
        <v>30644</v>
      </c>
      <c r="J10505" s="2" t="s">
        <v>5761</v>
      </c>
      <c r="K10505" s="2" t="s">
        <v>53</v>
      </c>
      <c r="L10505" s="2" t="s">
        <v>34</v>
      </c>
      <c r="M10505" s="2"/>
      <c r="N10505" s="2"/>
      <c r="O10505" s="2"/>
      <c r="P10505" s="2" t="s">
        <v>30645</v>
      </c>
      <c r="Q10505" s="2"/>
      <c r="R10505" s="6">
        <v>21.65</v>
      </c>
      <c r="S10505" s="5">
        <v>1</v>
      </c>
      <c r="T10505" s="7">
        <v>2.1379999999999999</v>
      </c>
      <c r="U10505" s="5">
        <v>7.8</v>
      </c>
      <c r="V10505" s="6">
        <v>-0.17</v>
      </c>
      <c r="W10505" s="5">
        <v>10.6</v>
      </c>
      <c r="X10505" s="5">
        <v>10.5</v>
      </c>
      <c r="Y10505" s="4">
        <v>13</v>
      </c>
      <c r="Z10505" s="4">
        <v>13</v>
      </c>
      <c r="AA10505" s="6">
        <v>5.79</v>
      </c>
      <c r="AB10505" s="2" t="s">
        <v>86</v>
      </c>
      <c r="AC10505" s="2"/>
    </row>
    <row r="10506" spans="1:29" ht="221" x14ac:dyDescent="0.15">
      <c r="A10506" s="3">
        <f>DATE(2013,4,15)</f>
        <v>41379</v>
      </c>
      <c r="B10506" s="3">
        <f>DATE(2014,2,3)</f>
        <v>41673</v>
      </c>
      <c r="C10506" s="2" t="s">
        <v>95</v>
      </c>
      <c r="D10506" s="2" t="s">
        <v>30646</v>
      </c>
      <c r="E10506" s="2" t="s">
        <v>540</v>
      </c>
      <c r="F10506" s="4">
        <v>2836</v>
      </c>
      <c r="G10506" s="2" t="s">
        <v>130</v>
      </c>
      <c r="H10506" s="2" t="s">
        <v>34</v>
      </c>
      <c r="I10506" s="2" t="s">
        <v>28846</v>
      </c>
      <c r="J10506" s="2" t="s">
        <v>28847</v>
      </c>
      <c r="K10506" s="2" t="s">
        <v>226</v>
      </c>
      <c r="L10506" s="2" t="s">
        <v>34</v>
      </c>
      <c r="M10506" s="12">
        <v>27465.602999999999</v>
      </c>
      <c r="N10506" s="6">
        <v>78.58</v>
      </c>
      <c r="O10506" s="6">
        <v>81.819999999999993</v>
      </c>
      <c r="P10506" s="2" t="s">
        <v>30647</v>
      </c>
      <c r="Q10506" s="6">
        <v>100</v>
      </c>
      <c r="R10506" s="6">
        <v>76.13</v>
      </c>
      <c r="S10506" s="5">
        <v>419.4</v>
      </c>
      <c r="T10506" s="12">
        <v>1175.5409999999999</v>
      </c>
      <c r="U10506" s="5">
        <v>27.3</v>
      </c>
      <c r="V10506" s="9">
        <v>2.3685999999999998</v>
      </c>
      <c r="W10506" s="5">
        <v>54.1</v>
      </c>
      <c r="X10506" s="6">
        <v>53.64</v>
      </c>
      <c r="Y10506" s="6">
        <v>54.97</v>
      </c>
      <c r="Z10506" s="6">
        <v>60.79</v>
      </c>
      <c r="AA10506" s="6">
        <v>170.39</v>
      </c>
      <c r="AB10506" s="7">
        <v>21.015000000000001</v>
      </c>
      <c r="AC10506" s="8">
        <v>1010.4</v>
      </c>
    </row>
    <row r="10507" spans="1:29" ht="156" x14ac:dyDescent="0.15">
      <c r="A10507" s="3">
        <f>DATE(2013,4,15)</f>
        <v>41379</v>
      </c>
      <c r="B10507" s="3">
        <f>DATE(2013,7,1)</f>
        <v>41456</v>
      </c>
      <c r="C10507" s="2" t="s">
        <v>95</v>
      </c>
      <c r="D10507" s="2" t="s">
        <v>30648</v>
      </c>
      <c r="E10507" s="2" t="s">
        <v>8998</v>
      </c>
      <c r="F10507" s="4">
        <v>6411</v>
      </c>
      <c r="G10507" s="2" t="s">
        <v>125</v>
      </c>
      <c r="H10507" s="2" t="s">
        <v>34</v>
      </c>
      <c r="I10507" s="2" t="s">
        <v>10332</v>
      </c>
      <c r="J10507" s="2" t="s">
        <v>244</v>
      </c>
      <c r="K10507" s="2" t="s">
        <v>53</v>
      </c>
      <c r="L10507" s="2" t="s">
        <v>34</v>
      </c>
      <c r="M10507" s="2"/>
      <c r="N10507" s="2"/>
      <c r="O10507" s="2"/>
      <c r="P10507" s="2" t="s">
        <v>30649</v>
      </c>
      <c r="Q10507" s="6">
        <v>100</v>
      </c>
      <c r="R10507" s="6">
        <v>25.35</v>
      </c>
      <c r="S10507" s="5">
        <v>28.5</v>
      </c>
      <c r="T10507" s="7">
        <v>149.69200000000001</v>
      </c>
      <c r="U10507" s="5">
        <v>10.4</v>
      </c>
      <c r="V10507" s="9">
        <v>0.66490000000000005</v>
      </c>
      <c r="W10507" s="6">
        <v>19.87</v>
      </c>
      <c r="X10507" s="6">
        <v>20.05</v>
      </c>
      <c r="Y10507" s="6">
        <v>22.13</v>
      </c>
      <c r="Z10507" s="6">
        <v>22.39</v>
      </c>
      <c r="AA10507" s="6">
        <v>40.08</v>
      </c>
      <c r="AB10507" s="7">
        <v>10.220000000000001</v>
      </c>
      <c r="AC10507" s="2"/>
    </row>
    <row r="10508" spans="1:29" ht="182" x14ac:dyDescent="0.15">
      <c r="A10508" s="3">
        <f>DATE(2013,4,15)</f>
        <v>41379</v>
      </c>
      <c r="B10508" s="2"/>
      <c r="C10508" s="2" t="s">
        <v>30</v>
      </c>
      <c r="D10508" s="2" t="s">
        <v>14230</v>
      </c>
      <c r="E10508" s="2" t="s">
        <v>23280</v>
      </c>
      <c r="F10508" s="4">
        <v>4813</v>
      </c>
      <c r="G10508" s="2" t="s">
        <v>63</v>
      </c>
      <c r="H10508" s="2" t="s">
        <v>34</v>
      </c>
      <c r="I10508" s="2" t="s">
        <v>30473</v>
      </c>
      <c r="J10508" s="2" t="s">
        <v>6412</v>
      </c>
      <c r="K10508" s="2" t="s">
        <v>45</v>
      </c>
      <c r="L10508" s="2" t="s">
        <v>34</v>
      </c>
      <c r="M10508" s="12">
        <v>15726.698</v>
      </c>
      <c r="N10508" s="6">
        <v>36.770000000000003</v>
      </c>
      <c r="O10508" s="6">
        <v>37.93</v>
      </c>
      <c r="P10508" s="2" t="s">
        <v>30650</v>
      </c>
      <c r="Q10508" s="2"/>
      <c r="R10508" s="6">
        <v>7</v>
      </c>
      <c r="S10508" s="8">
        <v>-4106</v>
      </c>
      <c r="T10508" s="8">
        <v>5050</v>
      </c>
      <c r="U10508" s="5">
        <v>2.1</v>
      </c>
      <c r="V10508" s="9">
        <v>-1.1637</v>
      </c>
      <c r="W10508" s="6">
        <v>5.09</v>
      </c>
      <c r="X10508" s="6">
        <v>5.04</v>
      </c>
      <c r="Y10508" s="6">
        <v>5.76</v>
      </c>
      <c r="Z10508" s="6">
        <v>5.73</v>
      </c>
      <c r="AA10508" s="10">
        <v>3010.77</v>
      </c>
      <c r="AB10508" s="2" t="s">
        <v>86</v>
      </c>
      <c r="AC10508" s="10">
        <v>7095.07</v>
      </c>
    </row>
    <row r="10509" spans="1:29" ht="130" x14ac:dyDescent="0.15">
      <c r="A10509" s="3">
        <f>DATE(2013,4,18)</f>
        <v>41382</v>
      </c>
      <c r="B10509" s="2"/>
      <c r="C10509" s="2" t="s">
        <v>30</v>
      </c>
      <c r="D10509" s="2" t="s">
        <v>30651</v>
      </c>
      <c r="E10509" s="2" t="s">
        <v>3632</v>
      </c>
      <c r="F10509" s="4">
        <v>8051</v>
      </c>
      <c r="G10509" s="2" t="s">
        <v>454</v>
      </c>
      <c r="H10509" s="2" t="s">
        <v>34</v>
      </c>
      <c r="I10509" s="2" t="s">
        <v>30652</v>
      </c>
      <c r="J10509" s="2" t="s">
        <v>3632</v>
      </c>
      <c r="K10509" s="2" t="s">
        <v>454</v>
      </c>
      <c r="L10509" s="2" t="s">
        <v>34</v>
      </c>
      <c r="M10509" s="2"/>
      <c r="N10509" s="2"/>
      <c r="O10509" s="2"/>
      <c r="P10509" s="2" t="s">
        <v>30653</v>
      </c>
      <c r="Q10509" s="2"/>
      <c r="R10509" s="6">
        <v>8</v>
      </c>
      <c r="S10509" s="5">
        <v>-15.9</v>
      </c>
      <c r="T10509" s="7">
        <v>5.2839999999999998</v>
      </c>
      <c r="U10509" s="5">
        <v>0.8</v>
      </c>
      <c r="V10509" s="9">
        <v>-1.0325</v>
      </c>
      <c r="W10509" s="6">
        <v>4.22</v>
      </c>
      <c r="X10509" s="5">
        <v>4.3</v>
      </c>
      <c r="Y10509" s="6">
        <v>5.88</v>
      </c>
      <c r="Z10509" s="5">
        <v>5.8</v>
      </c>
      <c r="AA10509" s="6">
        <v>14.66</v>
      </c>
      <c r="AB10509" s="2" t="s">
        <v>86</v>
      </c>
      <c r="AC10509" s="2"/>
    </row>
    <row r="10510" spans="1:29" ht="91" x14ac:dyDescent="0.15">
      <c r="A10510" s="3">
        <f>DATE(2013,4,22)</f>
        <v>41386</v>
      </c>
      <c r="B10510" s="3">
        <f>DATE(2013,6,10)</f>
        <v>41435</v>
      </c>
      <c r="C10510" s="2" t="s">
        <v>95</v>
      </c>
      <c r="D10510" s="2" t="s">
        <v>2212</v>
      </c>
      <c r="E10510" s="2" t="s">
        <v>2213</v>
      </c>
      <c r="F10510" s="4">
        <v>3724</v>
      </c>
      <c r="G10510" s="2" t="s">
        <v>219</v>
      </c>
      <c r="H10510" s="2" t="s">
        <v>34</v>
      </c>
      <c r="I10510" s="2" t="s">
        <v>28465</v>
      </c>
      <c r="J10510" s="2" t="s">
        <v>28466</v>
      </c>
      <c r="K10510" s="2" t="s">
        <v>219</v>
      </c>
      <c r="L10510" s="2" t="s">
        <v>34</v>
      </c>
      <c r="M10510" s="12">
        <v>7716.5590000000002</v>
      </c>
      <c r="N10510" s="6">
        <v>146.16</v>
      </c>
      <c r="O10510" s="6">
        <v>146.88</v>
      </c>
      <c r="P10510" s="2" t="s">
        <v>30654</v>
      </c>
      <c r="Q10510" s="2"/>
      <c r="R10510" s="6">
        <v>7.75</v>
      </c>
      <c r="S10510" s="5">
        <v>2.5</v>
      </c>
      <c r="T10510" s="6">
        <v>2.36</v>
      </c>
      <c r="U10510" s="5">
        <v>3</v>
      </c>
      <c r="V10510" s="6">
        <v>0.62</v>
      </c>
      <c r="W10510" s="6">
        <v>4.78</v>
      </c>
      <c r="X10510" s="6">
        <v>4.8499999999999996</v>
      </c>
      <c r="Y10510" s="6">
        <v>7.75</v>
      </c>
      <c r="Z10510" s="6">
        <v>7.74</v>
      </c>
      <c r="AA10510" s="6">
        <v>3.85</v>
      </c>
      <c r="AB10510" s="7">
        <v>21.14</v>
      </c>
      <c r="AC10510" s="6">
        <v>680.02</v>
      </c>
    </row>
    <row r="10511" spans="1:29" ht="195" x14ac:dyDescent="0.15">
      <c r="A10511" s="3">
        <f>DATE(2013,4,22)</f>
        <v>41386</v>
      </c>
      <c r="B10511" s="3">
        <f>DATE(2013,8,27)</f>
        <v>41513</v>
      </c>
      <c r="C10511" s="2" t="s">
        <v>95</v>
      </c>
      <c r="D10511" s="2" t="s">
        <v>30655</v>
      </c>
      <c r="E10511" s="2" t="s">
        <v>22012</v>
      </c>
      <c r="F10511" s="4">
        <v>3564</v>
      </c>
      <c r="G10511" s="2" t="s">
        <v>300</v>
      </c>
      <c r="H10511" s="2" t="s">
        <v>34</v>
      </c>
      <c r="I10511" s="2" t="s">
        <v>2574</v>
      </c>
      <c r="J10511" s="2" t="s">
        <v>2575</v>
      </c>
      <c r="K10511" s="2" t="s">
        <v>300</v>
      </c>
      <c r="L10511" s="2" t="s">
        <v>34</v>
      </c>
      <c r="M10511" s="7">
        <v>228.97200000000001</v>
      </c>
      <c r="N10511" s="6">
        <v>10.86</v>
      </c>
      <c r="O10511" s="6">
        <v>11.25</v>
      </c>
      <c r="P10511" s="2" t="s">
        <v>30656</v>
      </c>
      <c r="Q10511" s="6">
        <v>100</v>
      </c>
      <c r="R10511" s="6">
        <v>15.03</v>
      </c>
      <c r="S10511" s="5">
        <v>8</v>
      </c>
      <c r="T10511" s="5">
        <v>13.9</v>
      </c>
      <c r="U10511" s="5">
        <v>6</v>
      </c>
      <c r="V10511" s="9">
        <v>0.54590000000000005</v>
      </c>
      <c r="W10511" s="5">
        <v>9.6</v>
      </c>
      <c r="X10511" s="5">
        <v>9.6</v>
      </c>
      <c r="Y10511" s="6">
        <v>13.38</v>
      </c>
      <c r="Z10511" s="6">
        <v>13.35</v>
      </c>
      <c r="AA10511" s="6">
        <v>14.7</v>
      </c>
      <c r="AB10511" s="7">
        <v>16.452999999999999</v>
      </c>
      <c r="AC10511" s="6">
        <v>6.93</v>
      </c>
    </row>
    <row r="10512" spans="1:29" ht="65" x14ac:dyDescent="0.15">
      <c r="A10512" s="3">
        <f>DATE(2013,4,22)</f>
        <v>41386</v>
      </c>
      <c r="B10512" s="3">
        <f>DATE(2013,7,25)</f>
        <v>41480</v>
      </c>
      <c r="C10512" s="2" t="s">
        <v>95</v>
      </c>
      <c r="D10512" s="2" t="s">
        <v>30657</v>
      </c>
      <c r="E10512" s="2" t="s">
        <v>30260</v>
      </c>
      <c r="F10512" s="4">
        <v>3679</v>
      </c>
      <c r="G10512" s="2" t="s">
        <v>137</v>
      </c>
      <c r="H10512" s="2" t="s">
        <v>34</v>
      </c>
      <c r="I10512" s="2" t="s">
        <v>27799</v>
      </c>
      <c r="J10512" s="2" t="s">
        <v>27800</v>
      </c>
      <c r="K10512" s="2" t="s">
        <v>137</v>
      </c>
      <c r="L10512" s="2" t="s">
        <v>215</v>
      </c>
      <c r="M10512" s="12">
        <v>51747.017999999996</v>
      </c>
      <c r="N10512" s="7">
        <v>21.088000000000001</v>
      </c>
      <c r="O10512" s="7">
        <v>21.689</v>
      </c>
      <c r="P10512" s="2" t="s">
        <v>30658</v>
      </c>
      <c r="Q10512" s="6">
        <v>100</v>
      </c>
      <c r="R10512" s="6">
        <v>6.35</v>
      </c>
      <c r="S10512" s="5">
        <v>34.299999999999997</v>
      </c>
      <c r="T10512" s="7">
        <v>113.274</v>
      </c>
      <c r="U10512" s="5">
        <v>3.8</v>
      </c>
      <c r="V10512" s="9">
        <v>0.27129999999999999</v>
      </c>
      <c r="W10512" s="6">
        <v>4.09</v>
      </c>
      <c r="X10512" s="6">
        <v>4.04</v>
      </c>
      <c r="Y10512" s="6">
        <v>6.33</v>
      </c>
      <c r="Z10512" s="7">
        <v>6.3150000000000004</v>
      </c>
      <c r="AA10512" s="6">
        <v>122.1</v>
      </c>
      <c r="AB10512" s="7">
        <v>9.1329999999999991</v>
      </c>
      <c r="AC10512" s="10">
        <v>7248.65</v>
      </c>
    </row>
    <row r="10513" spans="1:29" ht="143" x14ac:dyDescent="0.15">
      <c r="A10513" s="3">
        <f>DATE(2013,4,24)</f>
        <v>41388</v>
      </c>
      <c r="B10513" s="3">
        <f>DATE(2013,8,23)</f>
        <v>41509</v>
      </c>
      <c r="C10513" s="2" t="s">
        <v>95</v>
      </c>
      <c r="D10513" s="2" t="s">
        <v>30659</v>
      </c>
      <c r="E10513" s="2" t="s">
        <v>30660</v>
      </c>
      <c r="F10513" s="4">
        <v>2611</v>
      </c>
      <c r="G10513" s="2" t="s">
        <v>282</v>
      </c>
      <c r="H10513" s="2" t="s">
        <v>34</v>
      </c>
      <c r="I10513" s="2" t="s">
        <v>30661</v>
      </c>
      <c r="J10513" s="2" t="s">
        <v>30662</v>
      </c>
      <c r="K10513" s="2" t="s">
        <v>250</v>
      </c>
      <c r="L10513" s="2" t="s">
        <v>34</v>
      </c>
      <c r="M10513" s="2"/>
      <c r="N10513" s="2"/>
      <c r="O10513" s="2"/>
      <c r="P10513" s="2" t="s">
        <v>30663</v>
      </c>
      <c r="Q10513" s="6">
        <v>100</v>
      </c>
      <c r="R10513" s="6">
        <v>37.5</v>
      </c>
      <c r="S10513" s="5">
        <v>99.7</v>
      </c>
      <c r="T10513" s="7">
        <v>157.102</v>
      </c>
      <c r="U10513" s="5">
        <v>17.100000000000001</v>
      </c>
      <c r="V10513" s="7">
        <v>2.532</v>
      </c>
      <c r="W10513" s="5">
        <v>28.9</v>
      </c>
      <c r="X10513" s="6">
        <v>29.93</v>
      </c>
      <c r="Y10513" s="6">
        <v>37.86</v>
      </c>
      <c r="Z10513" s="5">
        <v>37.799999999999997</v>
      </c>
      <c r="AA10513" s="6">
        <v>39.51</v>
      </c>
      <c r="AB10513" s="7">
        <v>13.843</v>
      </c>
      <c r="AC10513" s="2"/>
    </row>
    <row r="10514" spans="1:29" ht="130" x14ac:dyDescent="0.15">
      <c r="A10514" s="3">
        <f>DATE(2013,4,25)</f>
        <v>41389</v>
      </c>
      <c r="B10514" s="3">
        <f>DATE(2013,10,15)</f>
        <v>41562</v>
      </c>
      <c r="C10514" s="2" t="s">
        <v>95</v>
      </c>
      <c r="D10514" s="2" t="s">
        <v>30664</v>
      </c>
      <c r="E10514" s="2" t="s">
        <v>92</v>
      </c>
      <c r="F10514" s="4">
        <v>6798</v>
      </c>
      <c r="G10514" s="2" t="s">
        <v>53</v>
      </c>
      <c r="H10514" s="2" t="s">
        <v>34</v>
      </c>
      <c r="I10514" s="2" t="s">
        <v>30665</v>
      </c>
      <c r="J10514" s="2" t="s">
        <v>30666</v>
      </c>
      <c r="K10514" s="2" t="s">
        <v>109</v>
      </c>
      <c r="L10514" s="2" t="s">
        <v>902</v>
      </c>
      <c r="M10514" s="12">
        <v>8670.9529999999995</v>
      </c>
      <c r="N10514" s="7">
        <v>17.981999999999999</v>
      </c>
      <c r="O10514" s="7">
        <v>18.004000000000001</v>
      </c>
      <c r="P10514" s="2" t="s">
        <v>30667</v>
      </c>
      <c r="Q10514" s="6">
        <v>98.26</v>
      </c>
      <c r="R10514" s="6">
        <v>3.15</v>
      </c>
      <c r="S10514" s="5">
        <v>260.3</v>
      </c>
      <c r="T10514" s="7">
        <v>11.053000000000001</v>
      </c>
      <c r="U10514" s="5">
        <v>-13.5</v>
      </c>
      <c r="V10514" s="6">
        <v>-0.26</v>
      </c>
      <c r="W10514" s="5">
        <v>2.5</v>
      </c>
      <c r="X10514" s="5">
        <v>2.6</v>
      </c>
      <c r="Y10514" s="6">
        <v>3.13</v>
      </c>
      <c r="Z10514" s="6">
        <v>3.12</v>
      </c>
      <c r="AA10514" s="6">
        <v>57.25</v>
      </c>
      <c r="AB10514" s="2" t="s">
        <v>86</v>
      </c>
      <c r="AC10514" s="6">
        <v>474.58</v>
      </c>
    </row>
    <row r="10515" spans="1:29" ht="143" x14ac:dyDescent="0.15">
      <c r="A10515" s="3">
        <f>DATE(2013,4,29)</f>
        <v>41393</v>
      </c>
      <c r="B10515" s="3">
        <f>DATE(2013,6,5)</f>
        <v>41430</v>
      </c>
      <c r="C10515" s="2" t="s">
        <v>95</v>
      </c>
      <c r="D10515" s="2" t="s">
        <v>30668</v>
      </c>
      <c r="E10515" s="2" t="s">
        <v>30669</v>
      </c>
      <c r="F10515" s="4">
        <v>3841</v>
      </c>
      <c r="G10515" s="2" t="s">
        <v>226</v>
      </c>
      <c r="H10515" s="2" t="s">
        <v>34</v>
      </c>
      <c r="I10515" s="2" t="s">
        <v>30670</v>
      </c>
      <c r="J10515" s="2" t="s">
        <v>11337</v>
      </c>
      <c r="K10515" s="2" t="s">
        <v>53</v>
      </c>
      <c r="L10515" s="2" t="s">
        <v>34</v>
      </c>
      <c r="M10515" s="2"/>
      <c r="N10515" s="2"/>
      <c r="O10515" s="2"/>
      <c r="P10515" s="2" t="s">
        <v>30671</v>
      </c>
      <c r="Q10515" s="6">
        <v>100</v>
      </c>
      <c r="R10515" s="6">
        <v>31</v>
      </c>
      <c r="S10515" s="5">
        <v>10.1</v>
      </c>
      <c r="T10515" s="7">
        <v>29.745000000000001</v>
      </c>
      <c r="U10515" s="5">
        <v>5.4</v>
      </c>
      <c r="V10515" s="9">
        <v>0.30459999999999998</v>
      </c>
      <c r="W10515" s="6">
        <v>25.37</v>
      </c>
      <c r="X10515" s="5">
        <v>25.9</v>
      </c>
      <c r="Y10515" s="6">
        <v>30.96</v>
      </c>
      <c r="Z10515" s="6">
        <v>31.01</v>
      </c>
      <c r="AA10515" s="6">
        <v>32.54</v>
      </c>
      <c r="AB10515" s="7">
        <v>48.857999999999997</v>
      </c>
      <c r="AC10515" s="2"/>
    </row>
    <row r="10516" spans="1:29" ht="117" x14ac:dyDescent="0.15">
      <c r="A10516" s="3">
        <f>DATE(2013,4,29)</f>
        <v>41393</v>
      </c>
      <c r="B10516" s="3">
        <f>DATE(2013,6,24)</f>
        <v>41449</v>
      </c>
      <c r="C10516" s="2" t="s">
        <v>95</v>
      </c>
      <c r="D10516" s="2" t="s">
        <v>6408</v>
      </c>
      <c r="E10516" s="2" t="s">
        <v>6409</v>
      </c>
      <c r="F10516" s="4">
        <v>3661</v>
      </c>
      <c r="G10516" s="2" t="s">
        <v>921</v>
      </c>
      <c r="H10516" s="2" t="s">
        <v>34</v>
      </c>
      <c r="I10516" s="2" t="s">
        <v>30672</v>
      </c>
      <c r="J10516" s="2" t="s">
        <v>244</v>
      </c>
      <c r="K10516" s="2" t="s">
        <v>53</v>
      </c>
      <c r="L10516" s="2" t="s">
        <v>34</v>
      </c>
      <c r="M10516" s="2"/>
      <c r="N10516" s="2"/>
      <c r="O10516" s="2"/>
      <c r="P10516" s="2" t="s">
        <v>30673</v>
      </c>
      <c r="Q10516" s="6">
        <v>100</v>
      </c>
      <c r="R10516" s="6">
        <v>12.61</v>
      </c>
      <c r="S10516" s="5">
        <v>7.2</v>
      </c>
      <c r="T10516" s="6">
        <v>20.51</v>
      </c>
      <c r="U10516" s="5">
        <v>4.3</v>
      </c>
      <c r="V10516" s="7">
        <v>0.39600000000000002</v>
      </c>
      <c r="W10516" s="5">
        <v>9.6</v>
      </c>
      <c r="X10516" s="6">
        <v>9.6300000000000008</v>
      </c>
      <c r="Y10516" s="6">
        <v>12.67</v>
      </c>
      <c r="Z10516" s="6">
        <v>12.77</v>
      </c>
      <c r="AA10516" s="6">
        <v>17.190000000000001</v>
      </c>
      <c r="AB10516" s="7">
        <v>19.64</v>
      </c>
      <c r="AC10516" s="2"/>
    </row>
    <row r="10517" spans="1:29" ht="130" x14ac:dyDescent="0.15">
      <c r="A10517" s="3">
        <f>DATE(2013,4,30)</f>
        <v>41394</v>
      </c>
      <c r="B10517" s="3">
        <f>DATE(2013,10,2)</f>
        <v>41549</v>
      </c>
      <c r="C10517" s="2" t="s">
        <v>95</v>
      </c>
      <c r="D10517" s="2" t="s">
        <v>30674</v>
      </c>
      <c r="E10517" s="2" t="s">
        <v>1608</v>
      </c>
      <c r="F10517" s="4">
        <v>1311</v>
      </c>
      <c r="G10517" s="2" t="s">
        <v>148</v>
      </c>
      <c r="H10517" s="2" t="s">
        <v>34</v>
      </c>
      <c r="I10517" s="2" t="s">
        <v>26200</v>
      </c>
      <c r="J10517" s="2" t="s">
        <v>1608</v>
      </c>
      <c r="K10517" s="2" t="s">
        <v>148</v>
      </c>
      <c r="L10517" s="2" t="s">
        <v>34</v>
      </c>
      <c r="M10517" s="7">
        <v>587.58900000000006</v>
      </c>
      <c r="N10517" s="6">
        <v>37.619999999999997</v>
      </c>
      <c r="O10517" s="6">
        <v>37.53</v>
      </c>
      <c r="P10517" s="2" t="s">
        <v>30675</v>
      </c>
      <c r="Q10517" s="6">
        <v>100</v>
      </c>
      <c r="R10517" s="6">
        <v>3.19</v>
      </c>
      <c r="S10517" s="5">
        <v>-92.3</v>
      </c>
      <c r="T10517" s="7">
        <v>79.347999999999999</v>
      </c>
      <c r="U10517" s="5">
        <v>1.6</v>
      </c>
      <c r="V10517" s="9">
        <v>-2.0861999999999998</v>
      </c>
      <c r="W10517" s="6">
        <v>2.83</v>
      </c>
      <c r="X10517" s="6">
        <v>2.96</v>
      </c>
      <c r="Y10517" s="6">
        <v>3.07</v>
      </c>
      <c r="Z10517" s="6">
        <v>3.15</v>
      </c>
      <c r="AA10517" s="6">
        <v>46.06</v>
      </c>
      <c r="AB10517" s="7">
        <v>19.175999999999998</v>
      </c>
      <c r="AC10517" s="6">
        <v>129.97999999999999</v>
      </c>
    </row>
    <row r="10518" spans="1:29" ht="117" x14ac:dyDescent="0.15">
      <c r="A10518" s="3">
        <f>DATE(2013,5,1)</f>
        <v>41395</v>
      </c>
      <c r="B10518" s="2"/>
      <c r="C10518" s="2" t="s">
        <v>30</v>
      </c>
      <c r="D10518" s="2" t="s">
        <v>25068</v>
      </c>
      <c r="E10518" s="2" t="s">
        <v>25069</v>
      </c>
      <c r="F10518" s="4">
        <v>7372</v>
      </c>
      <c r="G10518" s="2" t="s">
        <v>551</v>
      </c>
      <c r="H10518" s="2" t="s">
        <v>34</v>
      </c>
      <c r="I10518" s="2" t="s">
        <v>30676</v>
      </c>
      <c r="J10518" s="2" t="s">
        <v>2712</v>
      </c>
      <c r="K10518" s="2" t="s">
        <v>53</v>
      </c>
      <c r="L10518" s="2" t="s">
        <v>34</v>
      </c>
      <c r="M10518" s="2"/>
      <c r="N10518" s="2"/>
      <c r="O10518" s="2"/>
      <c r="P10518" s="2" t="s">
        <v>30677</v>
      </c>
      <c r="Q10518" s="2"/>
      <c r="R10518" s="6">
        <v>20</v>
      </c>
      <c r="S10518" s="5">
        <v>72.2</v>
      </c>
      <c r="T10518" s="7">
        <v>88.575999999999993</v>
      </c>
      <c r="U10518" s="5">
        <v>10.3</v>
      </c>
      <c r="V10518" s="7">
        <v>1.859</v>
      </c>
      <c r="W10518" s="6">
        <v>19.37</v>
      </c>
      <c r="X10518" s="6">
        <v>18.61</v>
      </c>
      <c r="Y10518" s="5">
        <v>20.6</v>
      </c>
      <c r="Z10518" s="6">
        <v>19.510000000000002</v>
      </c>
      <c r="AA10518" s="6">
        <v>39.049999999999997</v>
      </c>
      <c r="AB10518" s="7">
        <v>10.250999999999999</v>
      </c>
      <c r="AC10518" s="2"/>
    </row>
    <row r="10519" spans="1:29" ht="52" x14ac:dyDescent="0.15">
      <c r="A10519" s="3">
        <f>DATE(2013,5,1)</f>
        <v>41395</v>
      </c>
      <c r="B10519" s="2"/>
      <c r="C10519" s="2" t="s">
        <v>7330</v>
      </c>
      <c r="D10519" s="2" t="s">
        <v>30678</v>
      </c>
      <c r="E10519" s="2" t="s">
        <v>5309</v>
      </c>
      <c r="F10519" s="4">
        <v>1311</v>
      </c>
      <c r="G10519" s="2" t="s">
        <v>148</v>
      </c>
      <c r="H10519" s="2" t="s">
        <v>34</v>
      </c>
      <c r="I10519" s="2" t="s">
        <v>27444</v>
      </c>
      <c r="J10519" s="2" t="s">
        <v>1608</v>
      </c>
      <c r="K10519" s="2" t="s">
        <v>148</v>
      </c>
      <c r="L10519" s="2" t="s">
        <v>34</v>
      </c>
      <c r="M10519" s="12">
        <v>1559.6310000000001</v>
      </c>
      <c r="N10519" s="6">
        <v>25.66</v>
      </c>
      <c r="O10519" s="6">
        <v>26.08</v>
      </c>
      <c r="P10519" s="2" t="s">
        <v>30679</v>
      </c>
      <c r="Q10519" s="2"/>
      <c r="R10519" s="2"/>
      <c r="S10519" s="5">
        <v>6.5</v>
      </c>
      <c r="T10519" s="7">
        <v>8.3330000000000002</v>
      </c>
      <c r="U10519" s="5">
        <v>3.9</v>
      </c>
      <c r="V10519" s="6">
        <v>0.32</v>
      </c>
      <c r="W10519" s="6">
        <v>6.99</v>
      </c>
      <c r="X10519" s="6">
        <v>6.99</v>
      </c>
      <c r="Y10519" s="7">
        <v>5.2999999999999999E-2</v>
      </c>
      <c r="Z10519" s="7">
        <v>5.2999999999999999E-2</v>
      </c>
      <c r="AA10519" s="6">
        <v>20.75</v>
      </c>
      <c r="AB10519" s="7">
        <v>38.854999999999997</v>
      </c>
      <c r="AC10519" s="6">
        <v>6.37</v>
      </c>
    </row>
    <row r="10520" spans="1:29" ht="52" x14ac:dyDescent="0.15">
      <c r="A10520" s="3">
        <f>DATE(2013,5,2)</f>
        <v>41396</v>
      </c>
      <c r="B10520" s="3">
        <f>DATE(2013,10,2)</f>
        <v>41549</v>
      </c>
      <c r="C10520" s="2" t="s">
        <v>95</v>
      </c>
      <c r="D10520" s="2" t="s">
        <v>30680</v>
      </c>
      <c r="E10520" s="2" t="s">
        <v>1181</v>
      </c>
      <c r="F10520" s="4">
        <v>6029</v>
      </c>
      <c r="G10520" s="2" t="s">
        <v>37</v>
      </c>
      <c r="H10520" s="2" t="s">
        <v>34</v>
      </c>
      <c r="I10520" s="2" t="s">
        <v>11988</v>
      </c>
      <c r="J10520" s="2" t="s">
        <v>36</v>
      </c>
      <c r="K10520" s="2" t="s">
        <v>33</v>
      </c>
      <c r="L10520" s="2" t="s">
        <v>34</v>
      </c>
      <c r="M10520" s="12">
        <v>1328.356</v>
      </c>
      <c r="N10520" s="6">
        <v>21.03</v>
      </c>
      <c r="O10520" s="6">
        <v>21.27</v>
      </c>
      <c r="P10520" s="2" t="s">
        <v>30681</v>
      </c>
      <c r="Q10520" s="6">
        <v>100</v>
      </c>
      <c r="R10520" s="6">
        <v>15.1</v>
      </c>
      <c r="S10520" s="2"/>
      <c r="T10520" s="2"/>
      <c r="U10520" s="2"/>
      <c r="V10520" s="2"/>
      <c r="W10520" s="4">
        <v>11</v>
      </c>
      <c r="X10520" s="6">
        <v>11.45</v>
      </c>
      <c r="Y10520" s="5">
        <v>14.8</v>
      </c>
      <c r="Z10520" s="5">
        <v>14.8</v>
      </c>
      <c r="AA10520" s="6">
        <v>2.66</v>
      </c>
      <c r="AB10520" s="2" t="s">
        <v>47</v>
      </c>
      <c r="AC10520" s="2"/>
    </row>
    <row r="10521" spans="1:29" ht="182" x14ac:dyDescent="0.15">
      <c r="A10521" s="3">
        <f>DATE(2013,5,6)</f>
        <v>41400</v>
      </c>
      <c r="B10521" s="3">
        <f>DATE(2013,9,10)</f>
        <v>41527</v>
      </c>
      <c r="C10521" s="2" t="s">
        <v>95</v>
      </c>
      <c r="D10521" s="2" t="s">
        <v>11423</v>
      </c>
      <c r="E10521" s="2" t="s">
        <v>11424</v>
      </c>
      <c r="F10521" s="4">
        <v>7372</v>
      </c>
      <c r="G10521" s="2" t="s">
        <v>551</v>
      </c>
      <c r="H10521" s="2" t="s">
        <v>34</v>
      </c>
      <c r="I10521" s="2" t="s">
        <v>30682</v>
      </c>
      <c r="J10521" s="2" t="s">
        <v>11337</v>
      </c>
      <c r="K10521" s="2" t="s">
        <v>53</v>
      </c>
      <c r="L10521" s="2" t="s">
        <v>34</v>
      </c>
      <c r="M10521" s="2"/>
      <c r="N10521" s="2"/>
      <c r="O10521" s="2"/>
      <c r="P10521" s="2" t="s">
        <v>30683</v>
      </c>
      <c r="Q10521" s="6">
        <v>100</v>
      </c>
      <c r="R10521" s="6">
        <v>46.25</v>
      </c>
      <c r="S10521" s="5">
        <v>331</v>
      </c>
      <c r="T10521" s="5">
        <v>694.4</v>
      </c>
      <c r="U10521" s="5">
        <v>5.7</v>
      </c>
      <c r="V10521" s="6">
        <v>2.17</v>
      </c>
      <c r="W10521" s="6">
        <v>42.68</v>
      </c>
      <c r="X10521" s="6">
        <v>41.49</v>
      </c>
      <c r="Y10521" s="7">
        <v>42.844999999999999</v>
      </c>
      <c r="Z10521" s="6">
        <v>43.48</v>
      </c>
      <c r="AA10521" s="6">
        <v>143.96</v>
      </c>
      <c r="AB10521" s="7">
        <v>14.036</v>
      </c>
      <c r="AC10521" s="2"/>
    </row>
    <row r="10522" spans="1:29" ht="156" x14ac:dyDescent="0.15">
      <c r="A10522" s="3">
        <f>DATE(2013,5,6)</f>
        <v>41400</v>
      </c>
      <c r="B10522" s="3">
        <f>DATE(2013,10,7)</f>
        <v>41554</v>
      </c>
      <c r="C10522" s="2" t="s">
        <v>95</v>
      </c>
      <c r="D10522" s="2" t="s">
        <v>30684</v>
      </c>
      <c r="E10522" s="2" t="s">
        <v>30685</v>
      </c>
      <c r="F10522" s="4">
        <v>4922</v>
      </c>
      <c r="G10522" s="2" t="s">
        <v>439</v>
      </c>
      <c r="H10522" s="2" t="s">
        <v>34</v>
      </c>
      <c r="I10522" s="2" t="s">
        <v>30686</v>
      </c>
      <c r="J10522" s="2" t="s">
        <v>30687</v>
      </c>
      <c r="K10522" s="2" t="s">
        <v>439</v>
      </c>
      <c r="L10522" s="2" t="s">
        <v>34</v>
      </c>
      <c r="M10522" s="12">
        <v>2033.5129999999999</v>
      </c>
      <c r="N10522" s="6">
        <v>22.78</v>
      </c>
      <c r="O10522" s="5">
        <v>22.6</v>
      </c>
      <c r="P10522" s="2" t="s">
        <v>30688</v>
      </c>
      <c r="Q10522" s="6">
        <v>100</v>
      </c>
      <c r="R10522" s="6">
        <v>26.27</v>
      </c>
      <c r="S10522" s="5">
        <v>15.8</v>
      </c>
      <c r="T10522" s="7">
        <v>118.244</v>
      </c>
      <c r="U10522" s="5">
        <v>15.2</v>
      </c>
      <c r="V10522" s="7">
        <v>0.28699999999999998</v>
      </c>
      <c r="W10522" s="6">
        <v>23.76</v>
      </c>
      <c r="X10522" s="6">
        <v>23.85</v>
      </c>
      <c r="Y10522" s="5">
        <v>24.7</v>
      </c>
      <c r="Z10522" s="6">
        <v>24.77</v>
      </c>
      <c r="AA10522" s="6">
        <v>59.96</v>
      </c>
      <c r="AB10522" s="7">
        <v>32.612000000000002</v>
      </c>
      <c r="AC10522" s="5">
        <v>0.3</v>
      </c>
    </row>
    <row r="10523" spans="1:29" ht="156" x14ac:dyDescent="0.15">
      <c r="A10523" s="3">
        <f>DATE(2013,5,7)</f>
        <v>41401</v>
      </c>
      <c r="B10523" s="2"/>
      <c r="C10523" s="2" t="s">
        <v>30</v>
      </c>
      <c r="D10523" s="2" t="s">
        <v>30689</v>
      </c>
      <c r="E10523" s="2" t="s">
        <v>36</v>
      </c>
      <c r="F10523" s="4">
        <v>6035</v>
      </c>
      <c r="G10523" s="2" t="s">
        <v>33</v>
      </c>
      <c r="H10523" s="2" t="s">
        <v>34</v>
      </c>
      <c r="I10523" s="2" t="s">
        <v>25091</v>
      </c>
      <c r="J10523" s="2" t="s">
        <v>1072</v>
      </c>
      <c r="K10523" s="2" t="s">
        <v>33</v>
      </c>
      <c r="L10523" s="2" t="s">
        <v>34</v>
      </c>
      <c r="M10523" s="7">
        <v>149.79499999999999</v>
      </c>
      <c r="N10523" s="6">
        <v>2.35</v>
      </c>
      <c r="O10523" s="6">
        <v>2.35</v>
      </c>
      <c r="P10523" s="2" t="s">
        <v>30690</v>
      </c>
      <c r="Q10523" s="2"/>
      <c r="R10523" s="6">
        <v>11.59</v>
      </c>
      <c r="S10523" s="5">
        <v>243.4</v>
      </c>
      <c r="T10523" s="2"/>
      <c r="U10523" s="5">
        <v>14.8</v>
      </c>
      <c r="V10523" s="9">
        <v>-1.6912</v>
      </c>
      <c r="W10523" s="4">
        <v>12</v>
      </c>
      <c r="X10523" s="5">
        <v>12.7</v>
      </c>
      <c r="Y10523" s="6">
        <v>13.08</v>
      </c>
      <c r="Z10523" s="6">
        <v>13.35</v>
      </c>
      <c r="AA10523" s="6">
        <v>15.81</v>
      </c>
      <c r="AB10523" s="2" t="s">
        <v>86</v>
      </c>
      <c r="AC10523" s="2"/>
    </row>
    <row r="10524" spans="1:29" ht="182" x14ac:dyDescent="0.15">
      <c r="A10524" s="3">
        <f>DATE(2013,5,7)</f>
        <v>41401</v>
      </c>
      <c r="B10524" s="3">
        <f>DATE(2013,12,17)</f>
        <v>41625</v>
      </c>
      <c r="C10524" s="2" t="s">
        <v>95</v>
      </c>
      <c r="D10524" s="2" t="s">
        <v>30691</v>
      </c>
      <c r="E10524" s="2" t="s">
        <v>1608</v>
      </c>
      <c r="F10524" s="4">
        <v>1311</v>
      </c>
      <c r="G10524" s="2" t="s">
        <v>148</v>
      </c>
      <c r="H10524" s="2" t="s">
        <v>34</v>
      </c>
      <c r="I10524" s="2" t="s">
        <v>21948</v>
      </c>
      <c r="J10524" s="2" t="s">
        <v>21903</v>
      </c>
      <c r="K10524" s="2" t="s">
        <v>148</v>
      </c>
      <c r="L10524" s="2" t="s">
        <v>34</v>
      </c>
      <c r="M10524" s="12">
        <v>17068.947</v>
      </c>
      <c r="N10524" s="6">
        <v>137.79</v>
      </c>
      <c r="O10524" s="6">
        <v>138.07</v>
      </c>
      <c r="P10524" s="2" t="s">
        <v>30692</v>
      </c>
      <c r="Q10524" s="6">
        <v>47.58</v>
      </c>
      <c r="R10524" s="6">
        <v>40.83</v>
      </c>
      <c r="S10524" s="5">
        <v>75.599999999999994</v>
      </c>
      <c r="T10524" s="7">
        <v>113.429</v>
      </c>
      <c r="U10524" s="5">
        <v>7.6</v>
      </c>
      <c r="V10524" s="6">
        <v>2.11</v>
      </c>
      <c r="W10524" s="5">
        <v>26.2</v>
      </c>
      <c r="X10524" s="4">
        <v>26</v>
      </c>
      <c r="Y10524" s="6">
        <v>26.05</v>
      </c>
      <c r="Z10524" s="5">
        <v>32.200000000000003</v>
      </c>
      <c r="AA10524" s="6">
        <v>35.71</v>
      </c>
      <c r="AB10524" s="7">
        <v>18.73</v>
      </c>
      <c r="AC10524" s="6">
        <v>887.32</v>
      </c>
    </row>
    <row r="10525" spans="1:29" ht="91" x14ac:dyDescent="0.15">
      <c r="A10525" s="3">
        <f>DATE(2013,5,8)</f>
        <v>41402</v>
      </c>
      <c r="B10525" s="2"/>
      <c r="C10525" s="2" t="s">
        <v>39</v>
      </c>
      <c r="D10525" s="2" t="s">
        <v>30693</v>
      </c>
      <c r="E10525" s="2" t="s">
        <v>30694</v>
      </c>
      <c r="F10525" s="4">
        <v>3841</v>
      </c>
      <c r="G10525" s="2" t="s">
        <v>226</v>
      </c>
      <c r="H10525" s="2" t="s">
        <v>34</v>
      </c>
      <c r="I10525" s="2" t="s">
        <v>143</v>
      </c>
      <c r="J10525" s="2" t="s">
        <v>144</v>
      </c>
      <c r="K10525" s="2" t="s">
        <v>53</v>
      </c>
      <c r="L10525" s="2" t="s">
        <v>139</v>
      </c>
      <c r="M10525" s="2"/>
      <c r="N10525" s="2"/>
      <c r="O10525" s="2"/>
      <c r="P10525" s="2" t="s">
        <v>30695</v>
      </c>
      <c r="Q10525" s="2"/>
      <c r="R10525" s="2"/>
      <c r="S10525" s="5">
        <v>42.4</v>
      </c>
      <c r="T10525" s="7">
        <v>80.855000000000004</v>
      </c>
      <c r="U10525" s="5">
        <v>27.7</v>
      </c>
      <c r="V10525" s="9">
        <v>2.8567999999999998</v>
      </c>
      <c r="W10525" s="5">
        <v>59.4</v>
      </c>
      <c r="X10525" s="5">
        <v>61.1</v>
      </c>
      <c r="Y10525" s="6">
        <v>68.83</v>
      </c>
      <c r="Z10525" s="5">
        <v>66.099999999999994</v>
      </c>
      <c r="AA10525" s="6">
        <v>14.58</v>
      </c>
      <c r="AB10525" s="2" t="s">
        <v>47</v>
      </c>
      <c r="AC10525" s="2"/>
    </row>
    <row r="10526" spans="1:29" ht="143" x14ac:dyDescent="0.15">
      <c r="A10526" s="3">
        <f>DATE(2013,5,8)</f>
        <v>41402</v>
      </c>
      <c r="B10526" s="3">
        <f>DATE(2013,8,20)</f>
        <v>41506</v>
      </c>
      <c r="C10526" s="2" t="s">
        <v>95</v>
      </c>
      <c r="D10526" s="2" t="s">
        <v>30696</v>
      </c>
      <c r="E10526" s="2" t="s">
        <v>30697</v>
      </c>
      <c r="F10526" s="4">
        <v>7319</v>
      </c>
      <c r="G10526" s="2" t="s">
        <v>4563</v>
      </c>
      <c r="H10526" s="2" t="s">
        <v>34</v>
      </c>
      <c r="I10526" s="2" t="s">
        <v>30698</v>
      </c>
      <c r="J10526" s="2" t="s">
        <v>4967</v>
      </c>
      <c r="K10526" s="2" t="s">
        <v>223</v>
      </c>
      <c r="L10526" s="2" t="s">
        <v>34</v>
      </c>
      <c r="M10526" s="6">
        <v>908.93</v>
      </c>
      <c r="N10526" s="6">
        <v>31.68</v>
      </c>
      <c r="O10526" s="6">
        <v>31.87</v>
      </c>
      <c r="P10526" s="2" t="s">
        <v>30699</v>
      </c>
      <c r="Q10526" s="6">
        <v>100</v>
      </c>
      <c r="R10526" s="6">
        <v>11.33</v>
      </c>
      <c r="S10526" s="5">
        <v>-8</v>
      </c>
      <c r="T10526" s="7">
        <v>-1.6719999999999999</v>
      </c>
      <c r="U10526" s="5">
        <v>1.1000000000000001</v>
      </c>
      <c r="V10526" s="6">
        <v>-0.3</v>
      </c>
      <c r="W10526" s="6">
        <v>9.33</v>
      </c>
      <c r="X10526" s="6">
        <v>9.61</v>
      </c>
      <c r="Y10526" s="6">
        <v>10.84</v>
      </c>
      <c r="Z10526" s="6">
        <v>10.88</v>
      </c>
      <c r="AA10526" s="6">
        <v>27</v>
      </c>
      <c r="AB10526" s="2" t="s">
        <v>86</v>
      </c>
      <c r="AC10526" s="6">
        <v>214.34</v>
      </c>
    </row>
    <row r="10527" spans="1:29" ht="143" x14ac:dyDescent="0.15">
      <c r="A10527" s="3">
        <f>DATE(2013,5,10)</f>
        <v>41404</v>
      </c>
      <c r="B10527" s="3">
        <f>DATE(2013,10,1)</f>
        <v>41548</v>
      </c>
      <c r="C10527" s="2" t="s">
        <v>95</v>
      </c>
      <c r="D10527" s="2" t="s">
        <v>30700</v>
      </c>
      <c r="E10527" s="2" t="s">
        <v>30701</v>
      </c>
      <c r="F10527" s="4">
        <v>2834</v>
      </c>
      <c r="G10527" s="2" t="s">
        <v>130</v>
      </c>
      <c r="H10527" s="2" t="s">
        <v>34</v>
      </c>
      <c r="I10527" s="2" t="s">
        <v>30702</v>
      </c>
      <c r="J10527" s="2" t="s">
        <v>6056</v>
      </c>
      <c r="K10527" s="2" t="s">
        <v>130</v>
      </c>
      <c r="L10527" s="2" t="s">
        <v>34</v>
      </c>
      <c r="M10527" s="12">
        <v>12433.516</v>
      </c>
      <c r="N10527" s="6">
        <v>119.86</v>
      </c>
      <c r="O10527" s="6">
        <v>120.52</v>
      </c>
      <c r="P10527" s="2" t="s">
        <v>30703</v>
      </c>
      <c r="Q10527" s="6">
        <v>100</v>
      </c>
      <c r="R10527" s="6">
        <v>20.079999999999998</v>
      </c>
      <c r="S10527" s="5">
        <v>403</v>
      </c>
      <c r="T10527" s="8">
        <v>1355</v>
      </c>
      <c r="U10527" s="5">
        <v>-1.9</v>
      </c>
      <c r="V10527" s="6">
        <v>1.6</v>
      </c>
      <c r="W10527" s="6">
        <v>14.62</v>
      </c>
      <c r="X10527" s="6">
        <v>15.01</v>
      </c>
      <c r="Y10527" s="6">
        <v>18.010000000000002</v>
      </c>
      <c r="Z10527" s="6">
        <v>18.91</v>
      </c>
      <c r="AA10527" s="6">
        <v>250.81</v>
      </c>
      <c r="AB10527" s="7">
        <v>10.189</v>
      </c>
      <c r="AC10527" s="2"/>
    </row>
    <row r="10528" spans="1:29" ht="104" x14ac:dyDescent="0.15">
      <c r="A10528" s="3">
        <f>DATE(2013,5,10)</f>
        <v>41404</v>
      </c>
      <c r="B10528" s="3">
        <f>DATE(2013,10,29)</f>
        <v>41576</v>
      </c>
      <c r="C10528" s="2" t="s">
        <v>95</v>
      </c>
      <c r="D10528" s="2" t="s">
        <v>29101</v>
      </c>
      <c r="E10528" s="2" t="s">
        <v>16971</v>
      </c>
      <c r="F10528" s="4">
        <v>3825</v>
      </c>
      <c r="G10528" s="2" t="s">
        <v>226</v>
      </c>
      <c r="H10528" s="2" t="s">
        <v>34</v>
      </c>
      <c r="I10528" s="2" t="s">
        <v>30704</v>
      </c>
      <c r="J10528" s="2" t="s">
        <v>302</v>
      </c>
      <c r="K10528" s="2" t="s">
        <v>53</v>
      </c>
      <c r="L10528" s="2" t="s">
        <v>34</v>
      </c>
      <c r="M10528" s="2"/>
      <c r="N10528" s="2"/>
      <c r="O10528" s="2"/>
      <c r="P10528" s="2" t="s">
        <v>30705</v>
      </c>
      <c r="Q10528" s="6">
        <v>100</v>
      </c>
      <c r="R10528" s="6">
        <v>2.2000000000000002</v>
      </c>
      <c r="S10528" s="5">
        <v>1.2</v>
      </c>
      <c r="T10528" s="6">
        <v>10.32</v>
      </c>
      <c r="U10528" s="5">
        <v>2.5</v>
      </c>
      <c r="V10528" s="9">
        <v>2.7699999999999999E-2</v>
      </c>
      <c r="W10528" s="6">
        <v>1.53</v>
      </c>
      <c r="X10528" s="7">
        <v>1.504</v>
      </c>
      <c r="Y10528" s="6">
        <v>1.49</v>
      </c>
      <c r="Z10528" s="6">
        <v>2.0299999999999998</v>
      </c>
      <c r="AA10528" s="6">
        <v>31.06</v>
      </c>
      <c r="AB10528" s="7">
        <v>23.355</v>
      </c>
      <c r="AC10528" s="2"/>
    </row>
    <row r="10529" spans="1:29" ht="104" x14ac:dyDescent="0.15">
      <c r="A10529" s="3">
        <f>DATE(2013,5,10)</f>
        <v>41404</v>
      </c>
      <c r="B10529" s="3">
        <f>DATE(2013,7,30)</f>
        <v>41485</v>
      </c>
      <c r="C10529" s="2" t="s">
        <v>95</v>
      </c>
      <c r="D10529" s="2" t="s">
        <v>30706</v>
      </c>
      <c r="E10529" s="2" t="s">
        <v>30707</v>
      </c>
      <c r="F10529" s="4">
        <v>2311</v>
      </c>
      <c r="G10529" s="2" t="s">
        <v>708</v>
      </c>
      <c r="H10529" s="2" t="s">
        <v>34</v>
      </c>
      <c r="I10529" s="2" t="s">
        <v>30708</v>
      </c>
      <c r="J10529" s="2" t="s">
        <v>244</v>
      </c>
      <c r="K10529" s="2" t="s">
        <v>53</v>
      </c>
      <c r="L10529" s="2" t="s">
        <v>34</v>
      </c>
      <c r="M10529" s="2"/>
      <c r="N10529" s="2"/>
      <c r="O10529" s="2"/>
      <c r="P10529" s="2" t="s">
        <v>30709</v>
      </c>
      <c r="Q10529" s="6">
        <v>100</v>
      </c>
      <c r="R10529" s="6">
        <v>32</v>
      </c>
      <c r="S10529" s="5">
        <v>418.3</v>
      </c>
      <c r="T10529" s="6">
        <v>78.709999999999994</v>
      </c>
      <c r="U10529" s="5">
        <v>1.3</v>
      </c>
      <c r="V10529" s="6">
        <v>1.42</v>
      </c>
      <c r="W10529" s="5">
        <v>20.9</v>
      </c>
      <c r="X10529" s="5">
        <v>21.4</v>
      </c>
      <c r="Y10529" s="6">
        <v>21.01</v>
      </c>
      <c r="Z10529" s="6">
        <v>25.71</v>
      </c>
      <c r="AA10529" s="6">
        <v>25.76</v>
      </c>
      <c r="AB10529" s="7">
        <v>9.6829999999999998</v>
      </c>
      <c r="AC10529" s="2"/>
    </row>
    <row r="10530" spans="1:29" ht="130" x14ac:dyDescent="0.15">
      <c r="A10530" s="3">
        <f>DATE(2013,5,13)</f>
        <v>41407</v>
      </c>
      <c r="B10530" s="3">
        <f>DATE(2013,11,12)</f>
        <v>41590</v>
      </c>
      <c r="C10530" s="2" t="s">
        <v>95</v>
      </c>
      <c r="D10530" s="2" t="s">
        <v>30710</v>
      </c>
      <c r="E10530" s="2" t="s">
        <v>36</v>
      </c>
      <c r="F10530" s="4">
        <v>6021</v>
      </c>
      <c r="G10530" s="2" t="s">
        <v>37</v>
      </c>
      <c r="H10530" s="2" t="s">
        <v>34</v>
      </c>
      <c r="I10530" s="2" t="s">
        <v>19421</v>
      </c>
      <c r="J10530" s="2" t="s">
        <v>36</v>
      </c>
      <c r="K10530" s="2" t="s">
        <v>37</v>
      </c>
      <c r="L10530" s="2" t="s">
        <v>34</v>
      </c>
      <c r="M10530" s="7">
        <v>409.84899999999999</v>
      </c>
      <c r="N10530" s="6">
        <v>15.83</v>
      </c>
      <c r="O10530" s="6">
        <v>16.079999999999998</v>
      </c>
      <c r="P10530" s="2" t="s">
        <v>30711</v>
      </c>
      <c r="Q10530" s="6">
        <v>100</v>
      </c>
      <c r="R10530" s="6">
        <v>10.49</v>
      </c>
      <c r="S10530" s="5">
        <v>5.7</v>
      </c>
      <c r="T10530" s="6">
        <v>9.34</v>
      </c>
      <c r="U10530" s="5">
        <v>10.3</v>
      </c>
      <c r="V10530" s="6">
        <v>0.53</v>
      </c>
      <c r="W10530" s="6">
        <v>9.26</v>
      </c>
      <c r="X10530" s="6">
        <v>9.2200000000000006</v>
      </c>
      <c r="Y10530" s="6">
        <v>10.029999999999999</v>
      </c>
      <c r="Z10530" s="6">
        <v>10.210000000000001</v>
      </c>
      <c r="AA10530" s="6">
        <v>10.9</v>
      </c>
      <c r="AB10530" s="7">
        <v>20.626999999999999</v>
      </c>
      <c r="AC10530" s="2"/>
    </row>
    <row r="10531" spans="1:29" ht="130" x14ac:dyDescent="0.15">
      <c r="A10531" s="3">
        <f>DATE(2013,5,14)</f>
        <v>41408</v>
      </c>
      <c r="B10531" s="3">
        <f>DATE(2013,11,15)</f>
        <v>41593</v>
      </c>
      <c r="C10531" s="2" t="s">
        <v>95</v>
      </c>
      <c r="D10531" s="2" t="s">
        <v>30712</v>
      </c>
      <c r="E10531" s="2" t="s">
        <v>36</v>
      </c>
      <c r="F10531" s="4">
        <v>6021</v>
      </c>
      <c r="G10531" s="2" t="s">
        <v>37</v>
      </c>
      <c r="H10531" s="2" t="s">
        <v>34</v>
      </c>
      <c r="I10531" s="2" t="s">
        <v>14074</v>
      </c>
      <c r="J10531" s="2" t="s">
        <v>36</v>
      </c>
      <c r="K10531" s="2" t="s">
        <v>37</v>
      </c>
      <c r="L10531" s="2" t="s">
        <v>34</v>
      </c>
      <c r="M10531" s="5">
        <v>708.2</v>
      </c>
      <c r="N10531" s="6">
        <v>32.590000000000003</v>
      </c>
      <c r="O10531" s="6">
        <v>32.549999999999997</v>
      </c>
      <c r="P10531" s="2" t="s">
        <v>30713</v>
      </c>
      <c r="Q10531" s="6">
        <v>100</v>
      </c>
      <c r="R10531" s="6">
        <v>18.100000000000001</v>
      </c>
      <c r="S10531" s="5">
        <v>1.5</v>
      </c>
      <c r="T10531" s="7">
        <v>2.7469999999999999</v>
      </c>
      <c r="U10531" s="5">
        <v>11</v>
      </c>
      <c r="V10531" s="6">
        <v>0.71</v>
      </c>
      <c r="W10531" s="6">
        <v>9.99</v>
      </c>
      <c r="X10531" s="6">
        <v>10.67</v>
      </c>
      <c r="Y10531" s="6">
        <v>10.67</v>
      </c>
      <c r="Z10531" s="6">
        <v>17.75</v>
      </c>
      <c r="AA10531" s="6">
        <v>2.06</v>
      </c>
      <c r="AB10531" s="7">
        <v>16.998999999999999</v>
      </c>
      <c r="AC10531" s="2"/>
    </row>
    <row r="10532" spans="1:29" ht="104" x14ac:dyDescent="0.15">
      <c r="A10532" s="3">
        <f>DATE(2013,5,15)</f>
        <v>41409</v>
      </c>
      <c r="B10532" s="2"/>
      <c r="C10532" s="2" t="s">
        <v>7330</v>
      </c>
      <c r="D10532" s="2" t="s">
        <v>30714</v>
      </c>
      <c r="E10532" s="2" t="s">
        <v>4865</v>
      </c>
      <c r="F10532" s="4">
        <v>3674</v>
      </c>
      <c r="G10532" s="2" t="s">
        <v>137</v>
      </c>
      <c r="H10532" s="2" t="s">
        <v>34</v>
      </c>
      <c r="I10532" s="2" t="s">
        <v>1526</v>
      </c>
      <c r="J10532" s="2" t="s">
        <v>302</v>
      </c>
      <c r="K10532" s="2" t="s">
        <v>53</v>
      </c>
      <c r="L10532" s="2" t="s">
        <v>34</v>
      </c>
      <c r="M10532" s="2"/>
      <c r="N10532" s="2"/>
      <c r="O10532" s="2"/>
      <c r="P10532" s="2" t="s">
        <v>30715</v>
      </c>
      <c r="Q10532" s="2"/>
      <c r="R10532" s="2"/>
      <c r="S10532" s="5">
        <v>43.2</v>
      </c>
      <c r="T10532" s="6">
        <v>542.66</v>
      </c>
      <c r="U10532" s="5">
        <v>4.4000000000000004</v>
      </c>
      <c r="V10532" s="9">
        <v>0.24210000000000001</v>
      </c>
      <c r="W10532" s="5">
        <v>4.5</v>
      </c>
      <c r="X10532" s="6">
        <v>4.58</v>
      </c>
      <c r="Y10532" s="6">
        <v>4.5199999999999996</v>
      </c>
      <c r="Z10532" s="6">
        <v>4.47</v>
      </c>
      <c r="AA10532" s="6">
        <v>153.21</v>
      </c>
      <c r="AB10532" s="2" t="s">
        <v>47</v>
      </c>
      <c r="AC10532" s="2"/>
    </row>
    <row r="10533" spans="1:29" ht="65" x14ac:dyDescent="0.15">
      <c r="A10533" s="3">
        <f>DATE(2013,5,15)</f>
        <v>41409</v>
      </c>
      <c r="B10533" s="3">
        <f>DATE(2013,8,12)</f>
        <v>41498</v>
      </c>
      <c r="C10533" s="2" t="s">
        <v>95</v>
      </c>
      <c r="D10533" s="2" t="s">
        <v>26447</v>
      </c>
      <c r="E10533" s="2" t="s">
        <v>30716</v>
      </c>
      <c r="F10533" s="4">
        <v>2099</v>
      </c>
      <c r="G10533" s="2" t="s">
        <v>577</v>
      </c>
      <c r="H10533" s="2" t="s">
        <v>34</v>
      </c>
      <c r="I10533" s="2" t="s">
        <v>30717</v>
      </c>
      <c r="J10533" s="2" t="s">
        <v>30718</v>
      </c>
      <c r="K10533" s="2" t="s">
        <v>577</v>
      </c>
      <c r="L10533" s="2" t="s">
        <v>34</v>
      </c>
      <c r="M10533" s="2"/>
      <c r="N10533" s="2"/>
      <c r="O10533" s="2"/>
      <c r="P10533" s="2" t="s">
        <v>30719</v>
      </c>
      <c r="Q10533" s="6">
        <v>100</v>
      </c>
      <c r="R10533" s="6">
        <v>5</v>
      </c>
      <c r="S10533" s="5">
        <v>1.9</v>
      </c>
      <c r="T10533" s="7">
        <v>6.5069999999999997</v>
      </c>
      <c r="U10533" s="5">
        <v>2.8</v>
      </c>
      <c r="V10533" s="9">
        <v>0.1125</v>
      </c>
      <c r="W10533" s="5">
        <v>4.0999999999999996</v>
      </c>
      <c r="X10533" s="5">
        <v>3.9</v>
      </c>
      <c r="Y10533" s="6">
        <v>3.93</v>
      </c>
      <c r="Z10533" s="6">
        <v>3.92</v>
      </c>
      <c r="AA10533" s="6">
        <v>16.239999999999998</v>
      </c>
      <c r="AB10533" s="7">
        <v>27.283000000000001</v>
      </c>
      <c r="AC10533" s="2"/>
    </row>
    <row r="10534" spans="1:29" ht="65" x14ac:dyDescent="0.15">
      <c r="A10534" s="3">
        <f>DATE(2013,5,17)</f>
        <v>41411</v>
      </c>
      <c r="B10534" s="3">
        <f>DATE(2013,11,18)</f>
        <v>41596</v>
      </c>
      <c r="C10534" s="2" t="s">
        <v>95</v>
      </c>
      <c r="D10534" s="2" t="s">
        <v>30720</v>
      </c>
      <c r="E10534" s="2" t="s">
        <v>30721</v>
      </c>
      <c r="F10534" s="4">
        <v>6282</v>
      </c>
      <c r="G10534" s="2" t="s">
        <v>53</v>
      </c>
      <c r="H10534" s="2" t="s">
        <v>34</v>
      </c>
      <c r="I10534" s="2" t="s">
        <v>30722</v>
      </c>
      <c r="J10534" s="2" t="s">
        <v>3536</v>
      </c>
      <c r="K10534" s="2" t="s">
        <v>370</v>
      </c>
      <c r="L10534" s="2" t="s">
        <v>34</v>
      </c>
      <c r="M10534" s="2"/>
      <c r="N10534" s="2"/>
      <c r="O10534" s="2"/>
      <c r="P10534" s="2" t="s">
        <v>30723</v>
      </c>
      <c r="Q10534" s="6">
        <v>100</v>
      </c>
      <c r="R10534" s="6">
        <v>39.89</v>
      </c>
      <c r="S10534" s="5">
        <v>20.399999999999999</v>
      </c>
      <c r="T10534" s="7">
        <v>379.11399999999998</v>
      </c>
      <c r="U10534" s="5">
        <v>90.6</v>
      </c>
      <c r="V10534" s="9">
        <v>7.1429</v>
      </c>
      <c r="W10534" s="4">
        <v>33</v>
      </c>
      <c r="X10534" s="4">
        <v>37</v>
      </c>
      <c r="Y10534" s="5">
        <v>36.5</v>
      </c>
      <c r="Z10534" s="4">
        <v>37</v>
      </c>
      <c r="AA10534" s="6">
        <v>2.44</v>
      </c>
      <c r="AB10534" s="7">
        <v>2.8980000000000001</v>
      </c>
      <c r="AC10534" s="2"/>
    </row>
    <row r="10535" spans="1:29" ht="130" x14ac:dyDescent="0.15">
      <c r="A10535" s="3">
        <f>DATE(2013,5,17)</f>
        <v>41411</v>
      </c>
      <c r="B10535" s="2"/>
      <c r="C10535" s="2" t="s">
        <v>30</v>
      </c>
      <c r="D10535" s="2" t="s">
        <v>30724</v>
      </c>
      <c r="E10535" s="2" t="s">
        <v>30725</v>
      </c>
      <c r="F10535" s="4">
        <v>3827</v>
      </c>
      <c r="G10535" s="2" t="s">
        <v>226</v>
      </c>
      <c r="H10535" s="2" t="s">
        <v>34</v>
      </c>
      <c r="I10535" s="2" t="s">
        <v>30726</v>
      </c>
      <c r="J10535" s="2" t="s">
        <v>30727</v>
      </c>
      <c r="K10535" s="2" t="s">
        <v>226</v>
      </c>
      <c r="L10535" s="2" t="s">
        <v>34</v>
      </c>
      <c r="M10535" s="2"/>
      <c r="N10535" s="2"/>
      <c r="O10535" s="2"/>
      <c r="P10535" s="2" t="s">
        <v>30728</v>
      </c>
      <c r="Q10535" s="2"/>
      <c r="R10535" s="6">
        <v>3.45</v>
      </c>
      <c r="S10535" s="5">
        <v>-3.7</v>
      </c>
      <c r="T10535" s="5">
        <v>-3.7</v>
      </c>
      <c r="U10535" s="5">
        <v>5.6</v>
      </c>
      <c r="V10535" s="9">
        <v>-3.1315</v>
      </c>
      <c r="W10535" s="6">
        <v>1.73</v>
      </c>
      <c r="X10535" s="6">
        <v>1.74</v>
      </c>
      <c r="Y10535" s="6">
        <v>1.67</v>
      </c>
      <c r="Z10535" s="6">
        <v>3.41</v>
      </c>
      <c r="AA10535" s="6">
        <v>1.31</v>
      </c>
      <c r="AB10535" s="2" t="s">
        <v>86</v>
      </c>
      <c r="AC10535" s="2"/>
    </row>
    <row r="10536" spans="1:29" ht="104" x14ac:dyDescent="0.15">
      <c r="A10536" s="3">
        <f>DATE(2013,5,20)</f>
        <v>41414</v>
      </c>
      <c r="B10536" s="3">
        <f>DATE(2013,7,2)</f>
        <v>41457</v>
      </c>
      <c r="C10536" s="2" t="s">
        <v>95</v>
      </c>
      <c r="D10536" s="2" t="s">
        <v>30729</v>
      </c>
      <c r="E10536" s="2" t="s">
        <v>30730</v>
      </c>
      <c r="F10536" s="4">
        <v>7389</v>
      </c>
      <c r="G10536" s="2" t="s">
        <v>223</v>
      </c>
      <c r="H10536" s="2" t="s">
        <v>34</v>
      </c>
      <c r="I10536" s="2" t="s">
        <v>30731</v>
      </c>
      <c r="J10536" s="2" t="s">
        <v>30732</v>
      </c>
      <c r="K10536" s="2" t="s">
        <v>551</v>
      </c>
      <c r="L10536" s="2" t="s">
        <v>34</v>
      </c>
      <c r="M10536" s="2"/>
      <c r="N10536" s="2"/>
      <c r="O10536" s="2"/>
      <c r="P10536" s="2" t="s">
        <v>30733</v>
      </c>
      <c r="Q10536" s="6">
        <v>100</v>
      </c>
      <c r="R10536" s="6">
        <v>5</v>
      </c>
      <c r="S10536" s="5">
        <v>-3</v>
      </c>
      <c r="T10536" s="7">
        <v>-0.10100000000000001</v>
      </c>
      <c r="U10536" s="5">
        <v>1.8</v>
      </c>
      <c r="V10536" s="9">
        <v>-0.1759</v>
      </c>
      <c r="W10536" s="6">
        <v>3.02</v>
      </c>
      <c r="X10536" s="6">
        <v>2.99</v>
      </c>
      <c r="Y10536" s="6">
        <v>2.99</v>
      </c>
      <c r="Z10536" s="6">
        <v>4.96</v>
      </c>
      <c r="AA10536" s="6">
        <v>16.52</v>
      </c>
      <c r="AB10536" s="2" t="s">
        <v>86</v>
      </c>
      <c r="AC10536" s="2"/>
    </row>
    <row r="10537" spans="1:29" ht="169" x14ac:dyDescent="0.15">
      <c r="A10537" s="3">
        <f>DATE(2013,5,20)</f>
        <v>41414</v>
      </c>
      <c r="B10537" s="3">
        <f>DATE(2013,6,25)</f>
        <v>41450</v>
      </c>
      <c r="C10537" s="2" t="s">
        <v>95</v>
      </c>
      <c r="D10537" s="2" t="s">
        <v>30734</v>
      </c>
      <c r="E10537" s="2" t="s">
        <v>30735</v>
      </c>
      <c r="F10537" s="4">
        <v>7372</v>
      </c>
      <c r="G10537" s="2" t="s">
        <v>551</v>
      </c>
      <c r="H10537" s="2" t="s">
        <v>34</v>
      </c>
      <c r="I10537" s="2" t="s">
        <v>30736</v>
      </c>
      <c r="J10537" s="2" t="s">
        <v>244</v>
      </c>
      <c r="K10537" s="2" t="s">
        <v>53</v>
      </c>
      <c r="L10537" s="2" t="s">
        <v>34</v>
      </c>
      <c r="M10537" s="2"/>
      <c r="N10537" s="2"/>
      <c r="O10537" s="2"/>
      <c r="P10537" s="2" t="s">
        <v>30737</v>
      </c>
      <c r="Q10537" s="6">
        <v>100</v>
      </c>
      <c r="R10537" s="6">
        <v>24.75</v>
      </c>
      <c r="S10537" s="5">
        <v>23</v>
      </c>
      <c r="T10537" s="7">
        <v>54.398000000000003</v>
      </c>
      <c r="U10537" s="5">
        <v>2.5</v>
      </c>
      <c r="V10537" s="6">
        <v>0.62</v>
      </c>
      <c r="W10537" s="6">
        <v>21.26</v>
      </c>
      <c r="X10537" s="6">
        <v>20.43</v>
      </c>
      <c r="Y10537" s="6">
        <v>22.85</v>
      </c>
      <c r="Z10537" s="6">
        <v>22.02</v>
      </c>
      <c r="AA10537" s="6">
        <v>36.65</v>
      </c>
      <c r="AB10537" s="7">
        <v>26.196999999999999</v>
      </c>
      <c r="AC10537" s="2"/>
    </row>
    <row r="10538" spans="1:29" ht="65" x14ac:dyDescent="0.15">
      <c r="A10538" s="3">
        <f>DATE(2013,5,22)</f>
        <v>41416</v>
      </c>
      <c r="B10538" s="3">
        <f>DATE(2013,8,30)</f>
        <v>41516</v>
      </c>
      <c r="C10538" s="2" t="s">
        <v>95</v>
      </c>
      <c r="D10538" s="2" t="s">
        <v>29340</v>
      </c>
      <c r="E10538" s="2" t="s">
        <v>29341</v>
      </c>
      <c r="F10538" s="4">
        <v>4813</v>
      </c>
      <c r="G10538" s="2" t="s">
        <v>63</v>
      </c>
      <c r="H10538" s="2" t="s">
        <v>34</v>
      </c>
      <c r="I10538" s="2" t="s">
        <v>30738</v>
      </c>
      <c r="J10538" s="2" t="s">
        <v>30739</v>
      </c>
      <c r="K10538" s="2" t="s">
        <v>63</v>
      </c>
      <c r="L10538" s="2" t="s">
        <v>34</v>
      </c>
      <c r="M10538" s="2"/>
      <c r="N10538" s="2"/>
      <c r="O10538" s="2"/>
      <c r="P10538" s="2" t="s">
        <v>30740</v>
      </c>
      <c r="Q10538" s="6">
        <v>100</v>
      </c>
      <c r="R10538" s="6">
        <v>3.25</v>
      </c>
      <c r="S10538" s="5">
        <v>3.3</v>
      </c>
      <c r="T10538" s="7">
        <v>11.842000000000001</v>
      </c>
      <c r="U10538" s="5">
        <v>2</v>
      </c>
      <c r="V10538" s="9">
        <v>0.15809999999999999</v>
      </c>
      <c r="W10538" s="6">
        <v>2.19</v>
      </c>
      <c r="X10538" s="6">
        <v>2.58</v>
      </c>
      <c r="Y10538" s="5">
        <v>3.2</v>
      </c>
      <c r="Z10538" s="5">
        <v>3.2</v>
      </c>
      <c r="AA10538" s="6">
        <v>21.86</v>
      </c>
      <c r="AB10538" s="7">
        <v>22.927</v>
      </c>
      <c r="AC10538" s="6">
        <v>60.38</v>
      </c>
    </row>
    <row r="10539" spans="1:29" ht="91" x14ac:dyDescent="0.15">
      <c r="A10539" s="3">
        <f>DATE(2013,5,23)</f>
        <v>41417</v>
      </c>
      <c r="B10539" s="3">
        <f>DATE(2013,10,10)</f>
        <v>41557</v>
      </c>
      <c r="C10539" s="2" t="s">
        <v>95</v>
      </c>
      <c r="D10539" s="2" t="s">
        <v>30741</v>
      </c>
      <c r="E10539" s="2" t="s">
        <v>30742</v>
      </c>
      <c r="F10539" s="4">
        <v>5699</v>
      </c>
      <c r="G10539" s="2" t="s">
        <v>756</v>
      </c>
      <c r="H10539" s="2" t="s">
        <v>34</v>
      </c>
      <c r="I10539" s="2" t="s">
        <v>30743</v>
      </c>
      <c r="J10539" s="2" t="s">
        <v>244</v>
      </c>
      <c r="K10539" s="2" t="s">
        <v>53</v>
      </c>
      <c r="L10539" s="2" t="s">
        <v>34</v>
      </c>
      <c r="M10539" s="2"/>
      <c r="N10539" s="2"/>
      <c r="O10539" s="2"/>
      <c r="P10539" s="2" t="s">
        <v>30744</v>
      </c>
      <c r="Q10539" s="6">
        <v>100</v>
      </c>
      <c r="R10539" s="6">
        <v>42</v>
      </c>
      <c r="S10539" s="5">
        <v>43.1</v>
      </c>
      <c r="T10539" s="7">
        <v>101.628</v>
      </c>
      <c r="U10539" s="5">
        <v>7.7</v>
      </c>
      <c r="V10539" s="9">
        <v>1.7366999999999999</v>
      </c>
      <c r="W10539" s="6">
        <v>33.630000000000003</v>
      </c>
      <c r="X10539" s="6">
        <v>34.119999999999997</v>
      </c>
      <c r="Y10539" s="6">
        <v>41.96</v>
      </c>
      <c r="Z10539" s="6">
        <v>42.03</v>
      </c>
      <c r="AA10539" s="6">
        <v>23.76</v>
      </c>
      <c r="AB10539" s="7">
        <v>14.385</v>
      </c>
      <c r="AC10539" s="2"/>
    </row>
    <row r="10540" spans="1:29" ht="78" x14ac:dyDescent="0.15">
      <c r="A10540" s="3">
        <f>DATE(2013,5,28)</f>
        <v>41422</v>
      </c>
      <c r="B10540" s="3">
        <f>DATE(2013,11,5)</f>
        <v>41583</v>
      </c>
      <c r="C10540" s="2" t="s">
        <v>95</v>
      </c>
      <c r="D10540" s="2" t="s">
        <v>30745</v>
      </c>
      <c r="E10540" s="2" t="s">
        <v>92</v>
      </c>
      <c r="F10540" s="4">
        <v>6798</v>
      </c>
      <c r="G10540" s="2" t="s">
        <v>53</v>
      </c>
      <c r="H10540" s="2" t="s">
        <v>34</v>
      </c>
      <c r="I10540" s="2" t="s">
        <v>30746</v>
      </c>
      <c r="J10540" s="2" t="s">
        <v>92</v>
      </c>
      <c r="K10540" s="2" t="s">
        <v>53</v>
      </c>
      <c r="L10540" s="2" t="s">
        <v>34</v>
      </c>
      <c r="M10540" s="12">
        <v>2541.7829999999999</v>
      </c>
      <c r="N10540" s="6">
        <v>16.64</v>
      </c>
      <c r="O10540" s="6">
        <v>16.07</v>
      </c>
      <c r="P10540" s="2" t="s">
        <v>30747</v>
      </c>
      <c r="Q10540" s="6">
        <v>100</v>
      </c>
      <c r="R10540" s="6">
        <v>8.5</v>
      </c>
      <c r="S10540" s="5">
        <v>-1.7</v>
      </c>
      <c r="T10540" s="7">
        <v>55.347999999999999</v>
      </c>
      <c r="U10540" s="5">
        <v>4.3</v>
      </c>
      <c r="V10540" s="6">
        <v>0.04</v>
      </c>
      <c r="W10540" s="6">
        <v>7.62</v>
      </c>
      <c r="X10540" s="5">
        <v>7.1</v>
      </c>
      <c r="Y10540" s="6">
        <v>8.5500000000000007</v>
      </c>
      <c r="Z10540" s="6">
        <v>8.61</v>
      </c>
      <c r="AA10540" s="6">
        <v>88.85</v>
      </c>
      <c r="AB10540" s="7">
        <v>288.791</v>
      </c>
      <c r="AC10540" s="5">
        <v>53.7</v>
      </c>
    </row>
    <row r="10541" spans="1:29" ht="377" x14ac:dyDescent="0.15">
      <c r="A10541" s="3">
        <f>DATE(2013,5,28)</f>
        <v>41422</v>
      </c>
      <c r="B10541" s="3">
        <f>DATE(2014,1,2)</f>
        <v>41641</v>
      </c>
      <c r="C10541" s="2" t="s">
        <v>95</v>
      </c>
      <c r="D10541" s="2" t="s">
        <v>30748</v>
      </c>
      <c r="E10541" s="2" t="s">
        <v>30749</v>
      </c>
      <c r="F10541" s="4">
        <v>7389</v>
      </c>
      <c r="G10541" s="2" t="s">
        <v>223</v>
      </c>
      <c r="H10541" s="2" t="s">
        <v>34</v>
      </c>
      <c r="I10541" s="2" t="s">
        <v>27215</v>
      </c>
      <c r="J10541" s="2" t="s">
        <v>27216</v>
      </c>
      <c r="K10541" s="2" t="s">
        <v>125</v>
      </c>
      <c r="L10541" s="2" t="s">
        <v>34</v>
      </c>
      <c r="M10541" s="2"/>
      <c r="N10541" s="2"/>
      <c r="O10541" s="2"/>
      <c r="P10541" s="2" t="s">
        <v>30750</v>
      </c>
      <c r="Q10541" s="6">
        <v>100</v>
      </c>
      <c r="R10541" s="6">
        <v>37.43</v>
      </c>
      <c r="S10541" s="5">
        <v>111.3</v>
      </c>
      <c r="T10541" s="7">
        <v>485.30500000000001</v>
      </c>
      <c r="U10541" s="5">
        <v>7.6</v>
      </c>
      <c r="V10541" s="9">
        <v>1.3493999999999999</v>
      </c>
      <c r="W10541" s="6">
        <v>28.82</v>
      </c>
      <c r="X10541" s="6">
        <v>30.06</v>
      </c>
      <c r="Y10541" s="6">
        <v>29.11</v>
      </c>
      <c r="Z10541" s="6">
        <v>32.880000000000003</v>
      </c>
      <c r="AA10541" s="6">
        <v>84.94</v>
      </c>
      <c r="AB10541" s="7">
        <v>10.712999999999999</v>
      </c>
      <c r="AC10541" s="8">
        <v>1969</v>
      </c>
    </row>
    <row r="10542" spans="1:29" ht="65" x14ac:dyDescent="0.15">
      <c r="A10542" s="3">
        <f>DATE(2013,5,29)</f>
        <v>41423</v>
      </c>
      <c r="B10542" s="3">
        <f>DATE(2013,12,19)</f>
        <v>41627</v>
      </c>
      <c r="C10542" s="2" t="s">
        <v>95</v>
      </c>
      <c r="D10542" s="2" t="s">
        <v>30751</v>
      </c>
      <c r="E10542" s="2" t="s">
        <v>30752</v>
      </c>
      <c r="F10542" s="4">
        <v>4911</v>
      </c>
      <c r="G10542" s="2" t="s">
        <v>439</v>
      </c>
      <c r="H10542" s="2" t="s">
        <v>34</v>
      </c>
      <c r="I10542" s="2" t="s">
        <v>12740</v>
      </c>
      <c r="J10542" s="2" t="s">
        <v>1888</v>
      </c>
      <c r="K10542" s="2" t="s">
        <v>439</v>
      </c>
      <c r="L10542" s="2" t="s">
        <v>34</v>
      </c>
      <c r="M10542" s="2"/>
      <c r="N10542" s="2"/>
      <c r="O10542" s="2"/>
      <c r="P10542" s="2" t="s">
        <v>30753</v>
      </c>
      <c r="Q10542" s="6">
        <v>100</v>
      </c>
      <c r="R10542" s="6">
        <v>23.75</v>
      </c>
      <c r="S10542" s="5">
        <v>331.2</v>
      </c>
      <c r="T10542" s="12">
        <v>1002.529</v>
      </c>
      <c r="U10542" s="5">
        <v>15</v>
      </c>
      <c r="V10542" s="9">
        <v>1.3877999999999999</v>
      </c>
      <c r="W10542" s="6">
        <v>20.57</v>
      </c>
      <c r="X10542" s="6">
        <v>19.75</v>
      </c>
      <c r="Y10542" s="6">
        <v>19.28</v>
      </c>
      <c r="Z10542" s="6">
        <v>23.62</v>
      </c>
      <c r="AA10542" s="6">
        <v>235.45</v>
      </c>
      <c r="AB10542" s="7">
        <v>16.728999999999999</v>
      </c>
      <c r="AC10542" s="5">
        <v>629</v>
      </c>
    </row>
    <row r="10543" spans="1:29" ht="169" x14ac:dyDescent="0.15">
      <c r="A10543" s="3">
        <f>DATE(2013,5,29)</f>
        <v>41423</v>
      </c>
      <c r="B10543" s="3">
        <f>DATE(2013,9,26)</f>
        <v>41543</v>
      </c>
      <c r="C10543" s="2" t="s">
        <v>95</v>
      </c>
      <c r="D10543" s="2" t="s">
        <v>18065</v>
      </c>
      <c r="E10543" s="2" t="s">
        <v>18066</v>
      </c>
      <c r="F10543" s="4">
        <v>2011</v>
      </c>
      <c r="G10543" s="2" t="s">
        <v>577</v>
      </c>
      <c r="H10543" s="2" t="s">
        <v>34</v>
      </c>
      <c r="I10543" s="2" t="s">
        <v>30754</v>
      </c>
      <c r="J10543" s="2" t="s">
        <v>30755</v>
      </c>
      <c r="K10543" s="2" t="s">
        <v>577</v>
      </c>
      <c r="L10543" s="2" t="s">
        <v>455</v>
      </c>
      <c r="M10543" s="2"/>
      <c r="N10543" s="2"/>
      <c r="O10543" s="2"/>
      <c r="P10543" s="2" t="s">
        <v>30756</v>
      </c>
      <c r="Q10543" s="6">
        <v>100</v>
      </c>
      <c r="R10543" s="6">
        <v>34</v>
      </c>
      <c r="S10543" s="2"/>
      <c r="T10543" s="2"/>
      <c r="U10543" s="5">
        <v>22.3</v>
      </c>
      <c r="V10543" s="2"/>
      <c r="W10543" s="6">
        <v>25.52</v>
      </c>
      <c r="X10543" s="6">
        <v>25.97</v>
      </c>
      <c r="Y10543" s="6">
        <v>33.35</v>
      </c>
      <c r="Z10543" s="6">
        <v>32.74</v>
      </c>
      <c r="AA10543" s="6">
        <v>138.76</v>
      </c>
      <c r="AB10543" s="2" t="s">
        <v>47</v>
      </c>
      <c r="AC10543" s="6">
        <v>796.03</v>
      </c>
    </row>
    <row r="10544" spans="1:29" ht="91" x14ac:dyDescent="0.15">
      <c r="A10544" s="3">
        <f>DATE(2013,5,29)</f>
        <v>41423</v>
      </c>
      <c r="B10544" s="3">
        <f>DATE(2013,12,23)</f>
        <v>41631</v>
      </c>
      <c r="C10544" s="2" t="s">
        <v>95</v>
      </c>
      <c r="D10544" s="2" t="s">
        <v>26861</v>
      </c>
      <c r="E10544" s="2" t="s">
        <v>3140</v>
      </c>
      <c r="F10544" s="4">
        <v>7261</v>
      </c>
      <c r="G10544" s="2" t="s">
        <v>1517</v>
      </c>
      <c r="H10544" s="2" t="s">
        <v>34</v>
      </c>
      <c r="I10544" s="2" t="s">
        <v>3139</v>
      </c>
      <c r="J10544" s="2" t="s">
        <v>23944</v>
      </c>
      <c r="K10544" s="2" t="s">
        <v>1517</v>
      </c>
      <c r="L10544" s="2" t="s">
        <v>34</v>
      </c>
      <c r="M10544" s="12">
        <v>3484.1379999999999</v>
      </c>
      <c r="N10544" s="6">
        <v>18.440000000000001</v>
      </c>
      <c r="O10544" s="6">
        <v>18.190000000000001</v>
      </c>
      <c r="P10544" s="2" t="s">
        <v>30757</v>
      </c>
      <c r="Q10544" s="6">
        <v>100</v>
      </c>
      <c r="R10544" s="6">
        <v>13.25</v>
      </c>
      <c r="S10544" s="5">
        <v>45.4</v>
      </c>
      <c r="T10544" s="6">
        <v>116.14</v>
      </c>
      <c r="U10544" s="5">
        <v>5.3</v>
      </c>
      <c r="V10544" s="9">
        <v>0.53859999999999997</v>
      </c>
      <c r="W10544" s="6">
        <v>9.01</v>
      </c>
      <c r="X10544" s="6">
        <v>9.74</v>
      </c>
      <c r="Y10544" s="6">
        <v>12.97</v>
      </c>
      <c r="Z10544" s="6">
        <v>13.01</v>
      </c>
      <c r="AA10544" s="6">
        <v>85.39</v>
      </c>
      <c r="AB10544" s="7">
        <v>15.292999999999999</v>
      </c>
      <c r="AC10544" s="6">
        <v>188.55</v>
      </c>
    </row>
    <row r="10545" spans="1:29" ht="52" x14ac:dyDescent="0.15">
      <c r="A10545" s="3">
        <f>DATE(2013,5,31)</f>
        <v>41425</v>
      </c>
      <c r="B10545" s="3">
        <f>DATE(2013,10,1)</f>
        <v>41548</v>
      </c>
      <c r="C10545" s="2" t="s">
        <v>95</v>
      </c>
      <c r="D10545" s="2" t="s">
        <v>25425</v>
      </c>
      <c r="E10545" s="2" t="s">
        <v>1181</v>
      </c>
      <c r="F10545" s="4">
        <v>6021</v>
      </c>
      <c r="G10545" s="2" t="s">
        <v>37</v>
      </c>
      <c r="H10545" s="2" t="s">
        <v>34</v>
      </c>
      <c r="I10545" s="2" t="s">
        <v>23752</v>
      </c>
      <c r="J10545" s="2" t="s">
        <v>36</v>
      </c>
      <c r="K10545" s="2" t="s">
        <v>37</v>
      </c>
      <c r="L10545" s="2" t="s">
        <v>34</v>
      </c>
      <c r="M10545" s="7">
        <v>272.65899999999999</v>
      </c>
      <c r="N10545" s="6">
        <v>10.81</v>
      </c>
      <c r="O10545" s="5">
        <v>11.1</v>
      </c>
      <c r="P10545" s="2" t="s">
        <v>30758</v>
      </c>
      <c r="Q10545" s="6">
        <v>100</v>
      </c>
      <c r="R10545" s="6">
        <v>10</v>
      </c>
      <c r="S10545" s="2"/>
      <c r="T10545" s="2"/>
      <c r="U10545" s="2"/>
      <c r="V10545" s="2"/>
      <c r="W10545" s="5">
        <v>6.6</v>
      </c>
      <c r="X10545" s="5">
        <v>6.6</v>
      </c>
      <c r="Y10545" s="5">
        <v>9.5</v>
      </c>
      <c r="Z10545" s="5">
        <v>9.6</v>
      </c>
      <c r="AA10545" s="6">
        <v>1.04</v>
      </c>
      <c r="AB10545" s="2" t="s">
        <v>47</v>
      </c>
      <c r="AC10545" s="2"/>
    </row>
    <row r="10546" spans="1:29" ht="130" x14ac:dyDescent="0.15">
      <c r="A10546" s="3">
        <f>DATE(2013,6,3)</f>
        <v>41428</v>
      </c>
      <c r="B10546" s="3">
        <f>DATE(2013,10,1)</f>
        <v>41548</v>
      </c>
      <c r="C10546" s="2" t="s">
        <v>95</v>
      </c>
      <c r="D10546" s="2" t="s">
        <v>22418</v>
      </c>
      <c r="E10546" s="2" t="s">
        <v>92</v>
      </c>
      <c r="F10546" s="4">
        <v>6798</v>
      </c>
      <c r="G10546" s="2" t="s">
        <v>53</v>
      </c>
      <c r="H10546" s="2" t="s">
        <v>34</v>
      </c>
      <c r="I10546" s="2" t="s">
        <v>5863</v>
      </c>
      <c r="J10546" s="2" t="s">
        <v>92</v>
      </c>
      <c r="K10546" s="2" t="s">
        <v>53</v>
      </c>
      <c r="L10546" s="2" t="s">
        <v>34</v>
      </c>
      <c r="M10546" s="12">
        <v>5283.0320000000002</v>
      </c>
      <c r="N10546" s="6">
        <v>65.89</v>
      </c>
      <c r="O10546" s="6">
        <v>67.09</v>
      </c>
      <c r="P10546" s="2" t="s">
        <v>30759</v>
      </c>
      <c r="Q10546" s="6">
        <v>100</v>
      </c>
      <c r="R10546" s="6">
        <v>24.47</v>
      </c>
      <c r="S10546" s="5">
        <v>-3.6</v>
      </c>
      <c r="T10546" s="7">
        <v>110.741</v>
      </c>
      <c r="U10546" s="5">
        <v>12.8</v>
      </c>
      <c r="V10546" s="6">
        <v>-0.25</v>
      </c>
      <c r="W10546" s="5">
        <v>23.4</v>
      </c>
      <c r="X10546" s="6">
        <v>22.11</v>
      </c>
      <c r="Y10546" s="6">
        <v>23.37</v>
      </c>
      <c r="Z10546" s="6">
        <v>23.86</v>
      </c>
      <c r="AA10546" s="6">
        <v>88.63</v>
      </c>
      <c r="AB10546" s="2" t="s">
        <v>86</v>
      </c>
      <c r="AC10546" s="6">
        <v>8.8699999999999992</v>
      </c>
    </row>
    <row r="10547" spans="1:29" ht="130" x14ac:dyDescent="0.15">
      <c r="A10547" s="3">
        <f>DATE(2013,6,4)</f>
        <v>41429</v>
      </c>
      <c r="B10547" s="3">
        <f>DATE(2013,7,11)</f>
        <v>41466</v>
      </c>
      <c r="C10547" s="2" t="s">
        <v>95</v>
      </c>
      <c r="D10547" s="2" t="s">
        <v>30760</v>
      </c>
      <c r="E10547" s="2" t="s">
        <v>30761</v>
      </c>
      <c r="F10547" s="4">
        <v>7372</v>
      </c>
      <c r="G10547" s="2" t="s">
        <v>551</v>
      </c>
      <c r="H10547" s="2" t="s">
        <v>34</v>
      </c>
      <c r="I10547" s="2" t="s">
        <v>26768</v>
      </c>
      <c r="J10547" s="2" t="s">
        <v>26769</v>
      </c>
      <c r="K10547" s="2" t="s">
        <v>551</v>
      </c>
      <c r="L10547" s="2" t="s">
        <v>34</v>
      </c>
      <c r="M10547" s="8">
        <v>25027.8</v>
      </c>
      <c r="N10547" s="5">
        <v>37.799999999999997</v>
      </c>
      <c r="O10547" s="6">
        <v>37.950000000000003</v>
      </c>
      <c r="P10547" s="2" t="s">
        <v>30762</v>
      </c>
      <c r="Q10547" s="6">
        <v>100</v>
      </c>
      <c r="R10547" s="6">
        <v>33.75</v>
      </c>
      <c r="S10547" s="5">
        <v>-27.9</v>
      </c>
      <c r="T10547" s="7">
        <v>-1.091</v>
      </c>
      <c r="U10547" s="5">
        <v>4</v>
      </c>
      <c r="V10547" s="9">
        <v>-0.46870000000000001</v>
      </c>
      <c r="W10547" s="5">
        <v>22.9</v>
      </c>
      <c r="X10547" s="5">
        <v>22.1</v>
      </c>
      <c r="Y10547" s="6">
        <v>33.69</v>
      </c>
      <c r="Z10547" s="6">
        <v>33.65</v>
      </c>
      <c r="AA10547" s="6">
        <v>69.650000000000006</v>
      </c>
      <c r="AB10547" s="2" t="s">
        <v>86</v>
      </c>
      <c r="AC10547" s="10">
        <v>2101.15</v>
      </c>
    </row>
    <row r="10548" spans="1:29" ht="65" x14ac:dyDescent="0.15">
      <c r="A10548" s="3">
        <f>DATE(2013,6,5)</f>
        <v>41430</v>
      </c>
      <c r="B10548" s="2"/>
      <c r="C10548" s="2" t="s">
        <v>7330</v>
      </c>
      <c r="D10548" s="2" t="s">
        <v>30763</v>
      </c>
      <c r="E10548" s="2" t="s">
        <v>263</v>
      </c>
      <c r="F10548" s="4">
        <v>6712</v>
      </c>
      <c r="G10548" s="2" t="s">
        <v>37</v>
      </c>
      <c r="H10548" s="2" t="s">
        <v>34</v>
      </c>
      <c r="I10548" s="2" t="s">
        <v>30764</v>
      </c>
      <c r="J10548" s="2" t="s">
        <v>672</v>
      </c>
      <c r="K10548" s="2" t="s">
        <v>37</v>
      </c>
      <c r="L10548" s="2" t="s">
        <v>34</v>
      </c>
      <c r="M10548" s="2"/>
      <c r="N10548" s="2"/>
      <c r="O10548" s="2"/>
      <c r="P10548" s="2" t="s">
        <v>30765</v>
      </c>
      <c r="Q10548" s="2"/>
      <c r="R10548" s="6">
        <v>9.42</v>
      </c>
      <c r="S10548" s="5">
        <v>0.9</v>
      </c>
      <c r="T10548" s="2"/>
      <c r="U10548" s="5">
        <v>7.4</v>
      </c>
      <c r="V10548" s="6">
        <v>0.31</v>
      </c>
      <c r="W10548" s="5">
        <v>6.2</v>
      </c>
      <c r="X10548" s="5">
        <v>6.2</v>
      </c>
      <c r="Y10548" s="5">
        <v>9.1999999999999993</v>
      </c>
      <c r="Z10548" s="6">
        <v>9.17</v>
      </c>
      <c r="AA10548" s="6">
        <v>2.86</v>
      </c>
      <c r="AB10548" s="7">
        <v>23.867999999999999</v>
      </c>
      <c r="AC10548" s="2"/>
    </row>
    <row r="10549" spans="1:29" ht="169" x14ac:dyDescent="0.15">
      <c r="A10549" s="3">
        <f>DATE(2013,6,6)</f>
        <v>41431</v>
      </c>
      <c r="B10549" s="3">
        <f>DATE(2013,11,12)</f>
        <v>41590</v>
      </c>
      <c r="C10549" s="2" t="s">
        <v>95</v>
      </c>
      <c r="D10549" s="2" t="s">
        <v>30766</v>
      </c>
      <c r="E10549" s="2" t="s">
        <v>30638</v>
      </c>
      <c r="F10549" s="4">
        <v>4832</v>
      </c>
      <c r="G10549" s="2" t="s">
        <v>45</v>
      </c>
      <c r="H10549" s="2" t="s">
        <v>34</v>
      </c>
      <c r="I10549" s="2" t="s">
        <v>30767</v>
      </c>
      <c r="J10549" s="2" t="s">
        <v>7947</v>
      </c>
      <c r="K10549" s="2" t="s">
        <v>45</v>
      </c>
      <c r="L10549" s="2" t="s">
        <v>34</v>
      </c>
      <c r="M10549" s="7">
        <v>245.84399999999999</v>
      </c>
      <c r="N10549" s="6">
        <v>9.76</v>
      </c>
      <c r="O10549" s="5">
        <v>9.8000000000000007</v>
      </c>
      <c r="P10549" s="2" t="s">
        <v>30768</v>
      </c>
      <c r="Q10549" s="6">
        <v>100</v>
      </c>
      <c r="R10549" s="2"/>
      <c r="S10549" s="2"/>
      <c r="T10549" s="2"/>
      <c r="U10549" s="2"/>
      <c r="V10549" s="2"/>
      <c r="W10549" s="4">
        <v>3100</v>
      </c>
      <c r="X10549" s="4">
        <v>3100</v>
      </c>
      <c r="Y10549" s="4">
        <v>3100</v>
      </c>
      <c r="Z10549" s="4">
        <v>3100</v>
      </c>
      <c r="AA10549" s="2"/>
      <c r="AB10549" s="2" t="s">
        <v>47</v>
      </c>
      <c r="AC10549" s="6">
        <v>19.39</v>
      </c>
    </row>
    <row r="10550" spans="1:29" ht="78" x14ac:dyDescent="0.15">
      <c r="A10550" s="3">
        <f>DATE(2013,6,9)</f>
        <v>41434</v>
      </c>
      <c r="B10550" s="3">
        <f>DATE(2013,7,16)</f>
        <v>41471</v>
      </c>
      <c r="C10550" s="2" t="s">
        <v>95</v>
      </c>
      <c r="D10550" s="2" t="s">
        <v>30769</v>
      </c>
      <c r="E10550" s="2" t="s">
        <v>30770</v>
      </c>
      <c r="F10550" s="4">
        <v>7376</v>
      </c>
      <c r="G10550" s="2" t="s">
        <v>223</v>
      </c>
      <c r="H10550" s="2" t="s">
        <v>34</v>
      </c>
      <c r="I10550" s="2" t="s">
        <v>30771</v>
      </c>
      <c r="J10550" s="2" t="s">
        <v>30772</v>
      </c>
      <c r="K10550" s="2" t="s">
        <v>223</v>
      </c>
      <c r="L10550" s="2" t="s">
        <v>34</v>
      </c>
      <c r="M10550" s="12">
        <v>6746.1689999999999</v>
      </c>
      <c r="N10550" s="6">
        <v>109.99</v>
      </c>
      <c r="O10550" s="6">
        <v>109.99</v>
      </c>
      <c r="P10550" s="2" t="s">
        <v>30773</v>
      </c>
      <c r="Q10550" s="6">
        <v>100</v>
      </c>
      <c r="R10550" s="2"/>
      <c r="S10550" s="5">
        <v>19.7</v>
      </c>
      <c r="T10550" s="7">
        <v>55.533999999999999</v>
      </c>
      <c r="U10550" s="2"/>
      <c r="V10550" s="2"/>
      <c r="W10550" s="4">
        <v>1125</v>
      </c>
      <c r="X10550" s="4">
        <v>1125</v>
      </c>
      <c r="Y10550" s="4">
        <v>1273</v>
      </c>
      <c r="Z10550" s="4">
        <v>1400</v>
      </c>
      <c r="AA10550" s="2"/>
      <c r="AB10550" s="7">
        <v>40.896000000000001</v>
      </c>
      <c r="AC10550" s="6">
        <v>267.13</v>
      </c>
    </row>
    <row r="10551" spans="1:29" ht="143" x14ac:dyDescent="0.15">
      <c r="A10551" s="3">
        <f>DATE(2013,6,10)</f>
        <v>41435</v>
      </c>
      <c r="B10551" s="3">
        <f>DATE(2015,4,30)</f>
        <v>42124</v>
      </c>
      <c r="C10551" s="2" t="s">
        <v>95</v>
      </c>
      <c r="D10551" s="2" t="s">
        <v>30774</v>
      </c>
      <c r="E10551" s="2" t="s">
        <v>30775</v>
      </c>
      <c r="F10551" s="4">
        <v>3691</v>
      </c>
      <c r="G10551" s="2" t="s">
        <v>137</v>
      </c>
      <c r="H10551" s="2" t="s">
        <v>34</v>
      </c>
      <c r="I10551" s="2" t="s">
        <v>1526</v>
      </c>
      <c r="J10551" s="2" t="s">
        <v>302</v>
      </c>
      <c r="K10551" s="2" t="s">
        <v>53</v>
      </c>
      <c r="L10551" s="2" t="s">
        <v>34</v>
      </c>
      <c r="M10551" s="2"/>
      <c r="N10551" s="2"/>
      <c r="O10551" s="2"/>
      <c r="P10551" s="2" t="s">
        <v>30776</v>
      </c>
      <c r="Q10551" s="2"/>
      <c r="R10551" s="2"/>
      <c r="S10551" s="5">
        <v>-223.4</v>
      </c>
      <c r="T10551" s="7">
        <v>99.623000000000005</v>
      </c>
      <c r="U10551" s="5">
        <v>1.9</v>
      </c>
      <c r="V10551" s="9">
        <v>-2.8912</v>
      </c>
      <c r="W10551" s="6">
        <v>2.61</v>
      </c>
      <c r="X10551" s="6">
        <v>1.46</v>
      </c>
      <c r="Y10551" s="6">
        <v>1.47</v>
      </c>
      <c r="Z10551" s="6">
        <v>1.45</v>
      </c>
      <c r="AA10551" s="6">
        <v>77.42</v>
      </c>
      <c r="AB10551" s="2" t="s">
        <v>47</v>
      </c>
      <c r="AC10551" s="2"/>
    </row>
    <row r="10552" spans="1:29" ht="143" x14ac:dyDescent="0.15">
      <c r="A10552" s="3">
        <f>DATE(2013,6,10)</f>
        <v>41435</v>
      </c>
      <c r="B10552" s="3">
        <f>DATE(2014,1,1)</f>
        <v>41640</v>
      </c>
      <c r="C10552" s="2" t="s">
        <v>95</v>
      </c>
      <c r="D10552" s="2" t="s">
        <v>30777</v>
      </c>
      <c r="E10552" s="2" t="s">
        <v>36</v>
      </c>
      <c r="F10552" s="4">
        <v>6022</v>
      </c>
      <c r="G10552" s="2" t="s">
        <v>37</v>
      </c>
      <c r="H10552" s="2" t="s">
        <v>34</v>
      </c>
      <c r="I10552" s="2" t="s">
        <v>30778</v>
      </c>
      <c r="J10552" s="2" t="s">
        <v>36</v>
      </c>
      <c r="K10552" s="2" t="s">
        <v>37</v>
      </c>
      <c r="L10552" s="2" t="s">
        <v>34</v>
      </c>
      <c r="M10552" s="7">
        <v>496.87900000000002</v>
      </c>
      <c r="N10552" s="6">
        <v>19.760000000000002</v>
      </c>
      <c r="O10552" s="6">
        <v>19.649999999999999</v>
      </c>
      <c r="P10552" s="2" t="s">
        <v>30779</v>
      </c>
      <c r="Q10552" s="6">
        <v>100</v>
      </c>
      <c r="R10552" s="6">
        <v>19.5</v>
      </c>
      <c r="S10552" s="5">
        <v>22.6</v>
      </c>
      <c r="T10552" s="6">
        <v>36.89</v>
      </c>
      <c r="U10552" s="5">
        <v>19</v>
      </c>
      <c r="V10552" s="9">
        <v>0.97450000000000003</v>
      </c>
      <c r="W10552" s="5">
        <v>16.2</v>
      </c>
      <c r="X10552" s="6">
        <v>16.21</v>
      </c>
      <c r="Y10552" s="5">
        <v>18.899999999999999</v>
      </c>
      <c r="Z10552" s="6">
        <v>18.77</v>
      </c>
      <c r="AA10552" s="6">
        <v>22.71</v>
      </c>
      <c r="AB10552" s="7">
        <v>17.187999999999999</v>
      </c>
      <c r="AC10552" s="2"/>
    </row>
    <row r="10553" spans="1:29" ht="182" x14ac:dyDescent="0.15">
      <c r="A10553" s="3">
        <f>DATE(2013,6,11)</f>
        <v>41436</v>
      </c>
      <c r="B10553" s="3">
        <f>DATE(2013,11,1)</f>
        <v>41579</v>
      </c>
      <c r="C10553" s="2" t="s">
        <v>95</v>
      </c>
      <c r="D10553" s="2" t="s">
        <v>20310</v>
      </c>
      <c r="E10553" s="2" t="s">
        <v>20311</v>
      </c>
      <c r="F10553" s="2" t="s">
        <v>20312</v>
      </c>
      <c r="G10553" s="2" t="s">
        <v>426</v>
      </c>
      <c r="H10553" s="2" t="s">
        <v>34</v>
      </c>
      <c r="I10553" s="2" t="s">
        <v>51</v>
      </c>
      <c r="J10553" s="2" t="s">
        <v>52</v>
      </c>
      <c r="K10553" s="2" t="s">
        <v>53</v>
      </c>
      <c r="L10553" s="2" t="s">
        <v>34</v>
      </c>
      <c r="M10553" s="2"/>
      <c r="N10553" s="2"/>
      <c r="O10553" s="2"/>
      <c r="P10553" s="2" t="s">
        <v>30780</v>
      </c>
      <c r="Q10553" s="6">
        <v>62.36</v>
      </c>
      <c r="R10553" s="6">
        <v>13.5</v>
      </c>
      <c r="S10553" s="5">
        <v>17.600000000000001</v>
      </c>
      <c r="T10553" s="7">
        <v>70.995999999999995</v>
      </c>
      <c r="U10553" s="5">
        <v>9.6</v>
      </c>
      <c r="V10553" s="6">
        <v>1.97</v>
      </c>
      <c r="W10553" s="6">
        <v>9.27</v>
      </c>
      <c r="X10553" s="5">
        <v>10.199999999999999</v>
      </c>
      <c r="Y10553" s="6">
        <v>12.46</v>
      </c>
      <c r="Z10553" s="6">
        <v>12.59</v>
      </c>
      <c r="AA10553" s="6">
        <v>89.89</v>
      </c>
      <c r="AB10553" s="7">
        <v>62.085999999999999</v>
      </c>
      <c r="AC10553" s="2"/>
    </row>
    <row r="10554" spans="1:29" ht="130" x14ac:dyDescent="0.15">
      <c r="A10554" s="3">
        <f>DATE(2013,6,12)</f>
        <v>41437</v>
      </c>
      <c r="B10554" s="2"/>
      <c r="C10554" s="2" t="s">
        <v>30</v>
      </c>
      <c r="D10554" s="2" t="s">
        <v>14974</v>
      </c>
      <c r="E10554" s="2" t="s">
        <v>14975</v>
      </c>
      <c r="F10554" s="4">
        <v>3011</v>
      </c>
      <c r="G10554" s="2" t="s">
        <v>447</v>
      </c>
      <c r="H10554" s="2" t="s">
        <v>34</v>
      </c>
      <c r="I10554" s="2" t="s">
        <v>30781</v>
      </c>
      <c r="J10554" s="2" t="s">
        <v>30782</v>
      </c>
      <c r="K10554" s="2" t="s">
        <v>447</v>
      </c>
      <c r="L10554" s="2" t="s">
        <v>17048</v>
      </c>
      <c r="M10554" s="6">
        <v>103.34</v>
      </c>
      <c r="N10554" s="6">
        <v>1.59</v>
      </c>
      <c r="O10554" s="7">
        <v>1.1819999999999999</v>
      </c>
      <c r="P10554" s="2" t="s">
        <v>30783</v>
      </c>
      <c r="Q10554" s="2"/>
      <c r="R10554" s="6">
        <v>35</v>
      </c>
      <c r="S10554" s="5">
        <v>254.9</v>
      </c>
      <c r="T10554" s="7">
        <v>574.84900000000005</v>
      </c>
      <c r="U10554" s="5">
        <v>12.9</v>
      </c>
      <c r="V10554" s="7">
        <v>4.0110000000000001</v>
      </c>
      <c r="W10554" s="6">
        <v>19.63</v>
      </c>
      <c r="X10554" s="6">
        <v>18.690000000000001</v>
      </c>
      <c r="Y10554" s="6">
        <v>19.78</v>
      </c>
      <c r="Z10554" s="6">
        <v>19.649999999999999</v>
      </c>
      <c r="AA10554" s="6">
        <v>63.34</v>
      </c>
      <c r="AB10554" s="7">
        <v>6.0330000000000004</v>
      </c>
      <c r="AC10554" s="6">
        <v>62.06</v>
      </c>
    </row>
    <row r="10555" spans="1:29" ht="91" x14ac:dyDescent="0.15">
      <c r="A10555" s="3">
        <f>DATE(2013,6,13)</f>
        <v>41438</v>
      </c>
      <c r="B10555" s="3">
        <f>DATE(2013,12,23)</f>
        <v>41631</v>
      </c>
      <c r="C10555" s="2" t="s">
        <v>95</v>
      </c>
      <c r="D10555" s="2" t="s">
        <v>8593</v>
      </c>
      <c r="E10555" s="2" t="s">
        <v>2860</v>
      </c>
      <c r="F10555" s="4">
        <v>4833</v>
      </c>
      <c r="G10555" s="2" t="s">
        <v>45</v>
      </c>
      <c r="H10555" s="2" t="s">
        <v>34</v>
      </c>
      <c r="I10555" s="2" t="s">
        <v>17167</v>
      </c>
      <c r="J10555" s="2" t="s">
        <v>4673</v>
      </c>
      <c r="K10555" s="2" t="s">
        <v>186</v>
      </c>
      <c r="L10555" s="2" t="s">
        <v>34</v>
      </c>
      <c r="M10555" s="12">
        <v>4767.6989999999996</v>
      </c>
      <c r="N10555" s="5">
        <v>26.6</v>
      </c>
      <c r="O10555" s="6">
        <v>24.99</v>
      </c>
      <c r="P10555" s="2" t="s">
        <v>30784</v>
      </c>
      <c r="Q10555" s="6">
        <v>100</v>
      </c>
      <c r="R10555" s="6">
        <v>13.75</v>
      </c>
      <c r="S10555" s="5">
        <v>101.3</v>
      </c>
      <c r="T10555" s="6">
        <v>259.20999999999998</v>
      </c>
      <c r="U10555" s="5">
        <v>3</v>
      </c>
      <c r="V10555" s="9">
        <v>0.97509999999999997</v>
      </c>
      <c r="W10555" s="6">
        <v>11.25</v>
      </c>
      <c r="X10555" s="6">
        <v>10.73</v>
      </c>
      <c r="Y10555" s="6">
        <v>13.77</v>
      </c>
      <c r="Z10555" s="6">
        <v>14.01</v>
      </c>
      <c r="AA10555" s="6">
        <v>103.77</v>
      </c>
      <c r="AB10555" s="7">
        <v>9.3279999999999994</v>
      </c>
      <c r="AC10555" s="6">
        <v>142.83000000000001</v>
      </c>
    </row>
    <row r="10556" spans="1:29" ht="52" x14ac:dyDescent="0.15">
      <c r="A10556" s="3">
        <f>DATE(2013,6,13)</f>
        <v>41438</v>
      </c>
      <c r="B10556" s="2"/>
      <c r="C10556" s="2" t="s">
        <v>87</v>
      </c>
      <c r="D10556" s="2" t="s">
        <v>25267</v>
      </c>
      <c r="E10556" s="2" t="s">
        <v>92</v>
      </c>
      <c r="F10556" s="4">
        <v>6798</v>
      </c>
      <c r="G10556" s="2" t="s">
        <v>53</v>
      </c>
      <c r="H10556" s="2" t="s">
        <v>34</v>
      </c>
      <c r="I10556" s="2" t="s">
        <v>143</v>
      </c>
      <c r="J10556" s="2" t="s">
        <v>144</v>
      </c>
      <c r="K10556" s="2" t="s">
        <v>53</v>
      </c>
      <c r="L10556" s="2" t="s">
        <v>139</v>
      </c>
      <c r="M10556" s="2"/>
      <c r="N10556" s="2"/>
      <c r="O10556" s="2"/>
      <c r="P10556" s="2" t="s">
        <v>30785</v>
      </c>
      <c r="Q10556" s="2"/>
      <c r="R10556" s="2"/>
      <c r="S10556" s="5">
        <v>-47.2</v>
      </c>
      <c r="T10556" s="7">
        <v>161.47499999999999</v>
      </c>
      <c r="U10556" s="5">
        <v>2.1</v>
      </c>
      <c r="V10556" s="9">
        <v>-0.33160000000000001</v>
      </c>
      <c r="W10556" s="6">
        <v>7.99</v>
      </c>
      <c r="X10556" s="6">
        <v>7.71</v>
      </c>
      <c r="Y10556" s="6">
        <v>8.44</v>
      </c>
      <c r="Z10556" s="6">
        <v>8.99</v>
      </c>
      <c r="AA10556" s="6">
        <v>204.5</v>
      </c>
      <c r="AB10556" s="2" t="s">
        <v>47</v>
      </c>
      <c r="AC10556" s="2"/>
    </row>
    <row r="10557" spans="1:29" ht="104" x14ac:dyDescent="0.15">
      <c r="A10557" s="3">
        <f>DATE(2013,6,14)</f>
        <v>41439</v>
      </c>
      <c r="B10557" s="3">
        <f>DATE(2014,2,18)</f>
        <v>41688</v>
      </c>
      <c r="C10557" s="2" t="s">
        <v>95</v>
      </c>
      <c r="D10557" s="2" t="s">
        <v>19777</v>
      </c>
      <c r="E10557" s="2" t="s">
        <v>36</v>
      </c>
      <c r="F10557" s="4">
        <v>6021</v>
      </c>
      <c r="G10557" s="2" t="s">
        <v>37</v>
      </c>
      <c r="H10557" s="2" t="s">
        <v>34</v>
      </c>
      <c r="I10557" s="2" t="s">
        <v>21951</v>
      </c>
      <c r="J10557" s="2" t="s">
        <v>36</v>
      </c>
      <c r="K10557" s="2" t="s">
        <v>37</v>
      </c>
      <c r="L10557" s="2" t="s">
        <v>34</v>
      </c>
      <c r="M10557" s="10">
        <v>1719.92</v>
      </c>
      <c r="N10557" s="6">
        <v>11.09</v>
      </c>
      <c r="O10557" s="6">
        <v>11.06</v>
      </c>
      <c r="P10557" s="2" t="s">
        <v>30786</v>
      </c>
      <c r="Q10557" s="6">
        <v>100</v>
      </c>
      <c r="R10557" s="6">
        <v>23.77</v>
      </c>
      <c r="S10557" s="5">
        <v>1.7</v>
      </c>
      <c r="T10557" s="2"/>
      <c r="U10557" s="5">
        <v>17.5</v>
      </c>
      <c r="V10557" s="6">
        <v>0.52</v>
      </c>
      <c r="W10557" s="6">
        <v>16.940000000000001</v>
      </c>
      <c r="X10557" s="6">
        <v>16.97</v>
      </c>
      <c r="Y10557" s="6">
        <v>21.79</v>
      </c>
      <c r="Z10557" s="6">
        <v>21.55</v>
      </c>
      <c r="AA10557" s="6">
        <v>3.19</v>
      </c>
      <c r="AB10557" s="7">
        <v>36.817999999999998</v>
      </c>
      <c r="AC10557" s="2"/>
    </row>
    <row r="10558" spans="1:29" ht="52" x14ac:dyDescent="0.15">
      <c r="A10558" s="3">
        <f>DATE(2013,6,14)</f>
        <v>41439</v>
      </c>
      <c r="B10558" s="3">
        <f>DATE(2013,11,5)</f>
        <v>41583</v>
      </c>
      <c r="C10558" s="2" t="s">
        <v>95</v>
      </c>
      <c r="D10558" s="2" t="s">
        <v>30787</v>
      </c>
      <c r="E10558" s="2" t="s">
        <v>4552</v>
      </c>
      <c r="F10558" s="4">
        <v>6021</v>
      </c>
      <c r="G10558" s="2" t="s">
        <v>37</v>
      </c>
      <c r="H10558" s="2" t="s">
        <v>34</v>
      </c>
      <c r="I10558" s="2" t="s">
        <v>30788</v>
      </c>
      <c r="J10558" s="2" t="s">
        <v>1181</v>
      </c>
      <c r="K10558" s="2" t="s">
        <v>37</v>
      </c>
      <c r="L10558" s="2" t="s">
        <v>34</v>
      </c>
      <c r="M10558" s="7">
        <v>54.084000000000003</v>
      </c>
      <c r="N10558" s="4">
        <v>21</v>
      </c>
      <c r="O10558" s="6">
        <v>20.55</v>
      </c>
      <c r="P10558" s="2" t="s">
        <v>30789</v>
      </c>
      <c r="Q10558" s="6">
        <v>100</v>
      </c>
      <c r="R10558" s="2"/>
      <c r="S10558" s="2"/>
      <c r="T10558" s="2"/>
      <c r="U10558" s="2"/>
      <c r="V10558" s="2"/>
      <c r="W10558" s="4">
        <v>10</v>
      </c>
      <c r="X10558" s="6">
        <v>10.49</v>
      </c>
      <c r="Y10558" s="5">
        <v>13.2</v>
      </c>
      <c r="Z10558" s="5">
        <v>13.2</v>
      </c>
      <c r="AA10558" s="6">
        <v>0.42</v>
      </c>
      <c r="AB10558" s="2" t="s">
        <v>47</v>
      </c>
      <c r="AC10558" s="2"/>
    </row>
    <row r="10559" spans="1:29" ht="130" x14ac:dyDescent="0.15">
      <c r="A10559" s="3">
        <f>DATE(2013,6,18)</f>
        <v>41443</v>
      </c>
      <c r="B10559" s="2"/>
      <c r="C10559" s="2" t="s">
        <v>30</v>
      </c>
      <c r="D10559" s="2" t="s">
        <v>30724</v>
      </c>
      <c r="E10559" s="2" t="s">
        <v>30725</v>
      </c>
      <c r="F10559" s="4">
        <v>3827</v>
      </c>
      <c r="G10559" s="2" t="s">
        <v>226</v>
      </c>
      <c r="H10559" s="2" t="s">
        <v>34</v>
      </c>
      <c r="I10559" s="2" t="s">
        <v>30790</v>
      </c>
      <c r="J10559" s="2" t="s">
        <v>30791</v>
      </c>
      <c r="K10559" s="2" t="s">
        <v>137</v>
      </c>
      <c r="L10559" s="2" t="s">
        <v>34</v>
      </c>
      <c r="M10559" s="2"/>
      <c r="N10559" s="2"/>
      <c r="O10559" s="2"/>
      <c r="P10559" s="2" t="s">
        <v>30792</v>
      </c>
      <c r="Q10559" s="2"/>
      <c r="R10559" s="6">
        <v>3.65</v>
      </c>
      <c r="S10559" s="5">
        <v>-3.8</v>
      </c>
      <c r="T10559" s="6">
        <v>-3.55</v>
      </c>
      <c r="U10559" s="5">
        <v>4.9000000000000004</v>
      </c>
      <c r="V10559" s="9">
        <v>-3.3433999999999999</v>
      </c>
      <c r="W10559" s="6">
        <v>1.73</v>
      </c>
      <c r="X10559" s="6">
        <v>1.74</v>
      </c>
      <c r="Y10559" s="6">
        <v>1.67</v>
      </c>
      <c r="Z10559" s="6">
        <v>3.41</v>
      </c>
      <c r="AA10559" s="6">
        <v>1.31</v>
      </c>
      <c r="AB10559" s="2" t="s">
        <v>86</v>
      </c>
      <c r="AC10559" s="2"/>
    </row>
    <row r="10560" spans="1:29" ht="91" x14ac:dyDescent="0.15">
      <c r="A10560" s="3">
        <f>DATE(2013,6,18)</f>
        <v>41443</v>
      </c>
      <c r="B10560" s="2"/>
      <c r="C10560" s="2" t="s">
        <v>87</v>
      </c>
      <c r="D10560" s="2" t="s">
        <v>26315</v>
      </c>
      <c r="E10560" s="2" t="s">
        <v>30793</v>
      </c>
      <c r="F10560" s="4">
        <v>6099</v>
      </c>
      <c r="G10560" s="2" t="s">
        <v>3583</v>
      </c>
      <c r="H10560" s="2" t="s">
        <v>34</v>
      </c>
      <c r="I10560" s="2" t="s">
        <v>143</v>
      </c>
      <c r="J10560" s="2" t="s">
        <v>144</v>
      </c>
      <c r="K10560" s="2" t="s">
        <v>53</v>
      </c>
      <c r="L10560" s="2" t="s">
        <v>139</v>
      </c>
      <c r="M10560" s="2"/>
      <c r="N10560" s="2"/>
      <c r="O10560" s="2"/>
      <c r="P10560" s="2" t="s">
        <v>30794</v>
      </c>
      <c r="Q10560" s="2"/>
      <c r="R10560" s="2"/>
      <c r="S10560" s="5">
        <v>-72.2</v>
      </c>
      <c r="T10560" s="7">
        <v>236.411</v>
      </c>
      <c r="U10560" s="5">
        <v>-7.8</v>
      </c>
      <c r="V10560" s="9">
        <v>-1.0178</v>
      </c>
      <c r="W10560" s="6">
        <v>19.46</v>
      </c>
      <c r="X10560" s="6">
        <v>19.489999999999998</v>
      </c>
      <c r="Y10560" s="5">
        <v>20.7</v>
      </c>
      <c r="Z10560" s="6">
        <v>20.63</v>
      </c>
      <c r="AA10560" s="6">
        <v>57.91</v>
      </c>
      <c r="AB10560" s="2" t="s">
        <v>47</v>
      </c>
      <c r="AC10560" s="2"/>
    </row>
    <row r="10561" spans="1:29" ht="104" x14ac:dyDescent="0.15">
      <c r="A10561" s="3">
        <f>DATE(2013,6,20)</f>
        <v>41445</v>
      </c>
      <c r="B10561" s="2"/>
      <c r="C10561" s="2" t="s">
        <v>7330</v>
      </c>
      <c r="D10561" s="2" t="s">
        <v>30364</v>
      </c>
      <c r="E10561" s="2" t="s">
        <v>30365</v>
      </c>
      <c r="F10561" s="4">
        <v>7375</v>
      </c>
      <c r="G10561" s="2" t="s">
        <v>223</v>
      </c>
      <c r="H10561" s="2" t="s">
        <v>34</v>
      </c>
      <c r="I10561" s="2" t="s">
        <v>30795</v>
      </c>
      <c r="J10561" s="2" t="s">
        <v>11337</v>
      </c>
      <c r="K10561" s="2" t="s">
        <v>53</v>
      </c>
      <c r="L10561" s="2" t="s">
        <v>34</v>
      </c>
      <c r="M10561" s="2"/>
      <c r="N10561" s="2"/>
      <c r="O10561" s="2"/>
      <c r="P10561" s="2" t="s">
        <v>30796</v>
      </c>
      <c r="Q10561" s="2"/>
      <c r="R10561" s="2"/>
      <c r="S10561" s="5">
        <v>-170.8</v>
      </c>
      <c r="T10561" s="7">
        <v>-22.163</v>
      </c>
      <c r="U10561" s="5">
        <v>3.7</v>
      </c>
      <c r="V10561" s="6">
        <v>-2.38</v>
      </c>
      <c r="W10561" s="6">
        <v>3.11</v>
      </c>
      <c r="X10561" s="6">
        <v>3.37</v>
      </c>
      <c r="Y10561" s="4">
        <v>4</v>
      </c>
      <c r="Z10561" s="6">
        <v>4.08</v>
      </c>
      <c r="AA10561" s="6">
        <v>57.1</v>
      </c>
      <c r="AB10561" s="2" t="s">
        <v>86</v>
      </c>
      <c r="AC10561" s="2"/>
    </row>
    <row r="10562" spans="1:29" ht="78" x14ac:dyDescent="0.15">
      <c r="A10562" s="3">
        <f>DATE(2013,6,20)</f>
        <v>41445</v>
      </c>
      <c r="B10562" s="2"/>
      <c r="C10562" s="2" t="s">
        <v>7330</v>
      </c>
      <c r="D10562" s="2" t="s">
        <v>30364</v>
      </c>
      <c r="E10562" s="2" t="s">
        <v>30365</v>
      </c>
      <c r="F10562" s="4">
        <v>7375</v>
      </c>
      <c r="G10562" s="2" t="s">
        <v>223</v>
      </c>
      <c r="H10562" s="2" t="s">
        <v>34</v>
      </c>
      <c r="I10562" s="2" t="s">
        <v>30797</v>
      </c>
      <c r="J10562" s="2" t="s">
        <v>16453</v>
      </c>
      <c r="K10562" s="2" t="s">
        <v>63</v>
      </c>
      <c r="L10562" s="2" t="s">
        <v>4389</v>
      </c>
      <c r="M10562" s="2"/>
      <c r="N10562" s="2"/>
      <c r="O10562" s="2"/>
      <c r="P10562" s="2" t="s">
        <v>30798</v>
      </c>
      <c r="Q10562" s="2"/>
      <c r="R10562" s="2"/>
      <c r="S10562" s="5">
        <v>-170.8</v>
      </c>
      <c r="T10562" s="7">
        <v>-22.163</v>
      </c>
      <c r="U10562" s="5">
        <v>3.7</v>
      </c>
      <c r="V10562" s="6">
        <v>-2.38</v>
      </c>
      <c r="W10562" s="6">
        <v>3.11</v>
      </c>
      <c r="X10562" s="6">
        <v>3.37</v>
      </c>
      <c r="Y10562" s="4">
        <v>4</v>
      </c>
      <c r="Z10562" s="6">
        <v>4.08</v>
      </c>
      <c r="AA10562" s="6">
        <v>57.1</v>
      </c>
      <c r="AB10562" s="2" t="s">
        <v>86</v>
      </c>
      <c r="AC10562" s="6">
        <v>22.77</v>
      </c>
    </row>
    <row r="10563" spans="1:29" ht="65" x14ac:dyDescent="0.15">
      <c r="A10563" s="3">
        <f>DATE(2013,6,24)</f>
        <v>41449</v>
      </c>
      <c r="B10563" s="3">
        <f>DATE(2013,8,22)</f>
        <v>41508</v>
      </c>
      <c r="C10563" s="2" t="s">
        <v>95</v>
      </c>
      <c r="D10563" s="2" t="s">
        <v>30799</v>
      </c>
      <c r="E10563" s="2" t="s">
        <v>30800</v>
      </c>
      <c r="F10563" s="4">
        <v>7375</v>
      </c>
      <c r="G10563" s="2" t="s">
        <v>223</v>
      </c>
      <c r="H10563" s="2" t="s">
        <v>34</v>
      </c>
      <c r="I10563" s="2" t="s">
        <v>27462</v>
      </c>
      <c r="J10563" s="2" t="s">
        <v>244</v>
      </c>
      <c r="K10563" s="2" t="s">
        <v>53</v>
      </c>
      <c r="L10563" s="2" t="s">
        <v>34</v>
      </c>
      <c r="M10563" s="2"/>
      <c r="N10563" s="2"/>
      <c r="O10563" s="2"/>
      <c r="P10563" s="2" t="s">
        <v>30801</v>
      </c>
      <c r="Q10563" s="6">
        <v>100</v>
      </c>
      <c r="R10563" s="6">
        <v>20</v>
      </c>
      <c r="S10563" s="5">
        <v>2.5</v>
      </c>
      <c r="T10563" s="7">
        <v>12.414</v>
      </c>
      <c r="U10563" s="5">
        <v>12.9</v>
      </c>
      <c r="V10563" s="9">
        <v>0.14219999999999999</v>
      </c>
      <c r="W10563" s="6">
        <v>13.52</v>
      </c>
      <c r="X10563" s="6">
        <v>13.51</v>
      </c>
      <c r="Y10563" s="6">
        <v>19.82</v>
      </c>
      <c r="Z10563" s="5">
        <v>19.8</v>
      </c>
      <c r="AA10563" s="6">
        <v>18.45</v>
      </c>
      <c r="AB10563" s="7">
        <v>149.65899999999999</v>
      </c>
      <c r="AC10563" s="2"/>
    </row>
    <row r="10564" spans="1:29" ht="78" x14ac:dyDescent="0.15">
      <c r="A10564" s="3">
        <f>DATE(2013,6,24)</f>
        <v>41449</v>
      </c>
      <c r="B10564" s="3">
        <f>DATE(2013,9,12)</f>
        <v>41529</v>
      </c>
      <c r="C10564" s="2" t="s">
        <v>95</v>
      </c>
      <c r="D10564" s="2" t="s">
        <v>30802</v>
      </c>
      <c r="E10564" s="2" t="s">
        <v>30803</v>
      </c>
      <c r="F10564" s="4">
        <v>3572</v>
      </c>
      <c r="G10564" s="2" t="s">
        <v>50</v>
      </c>
      <c r="H10564" s="2" t="s">
        <v>34</v>
      </c>
      <c r="I10564" s="2" t="s">
        <v>30804</v>
      </c>
      <c r="J10564" s="2" t="s">
        <v>30805</v>
      </c>
      <c r="K10564" s="2" t="s">
        <v>50</v>
      </c>
      <c r="L10564" s="2" t="s">
        <v>34</v>
      </c>
      <c r="M10564" s="2"/>
      <c r="N10564" s="2"/>
      <c r="O10564" s="2"/>
      <c r="P10564" s="2" t="s">
        <v>30806</v>
      </c>
      <c r="Q10564" s="6">
        <v>100</v>
      </c>
      <c r="R10564" s="6">
        <v>6.85</v>
      </c>
      <c r="S10564" s="5">
        <v>-118</v>
      </c>
      <c r="T10564" s="7">
        <v>-79.596999999999994</v>
      </c>
      <c r="U10564" s="2"/>
      <c r="V10564" s="2"/>
      <c r="W10564" s="6">
        <v>3.44</v>
      </c>
      <c r="X10564" s="6">
        <v>3.59</v>
      </c>
      <c r="Y10564" s="6">
        <v>6.71</v>
      </c>
      <c r="Z10564" s="5">
        <v>6.8</v>
      </c>
      <c r="AA10564" s="6">
        <v>46.83</v>
      </c>
      <c r="AB10564" s="2" t="s">
        <v>86</v>
      </c>
      <c r="AC10564" s="2"/>
    </row>
    <row r="10565" spans="1:29" ht="91" x14ac:dyDescent="0.15">
      <c r="A10565" s="3">
        <f>DATE(2013,6,24)</f>
        <v>41449</v>
      </c>
      <c r="B10565" s="3">
        <f>DATE(2013,10,1)</f>
        <v>41548</v>
      </c>
      <c r="C10565" s="2" t="s">
        <v>95</v>
      </c>
      <c r="D10565" s="2" t="s">
        <v>30807</v>
      </c>
      <c r="E10565" s="2" t="s">
        <v>30808</v>
      </c>
      <c r="F10565" s="4">
        <v>8062</v>
      </c>
      <c r="G10565" s="2" t="s">
        <v>454</v>
      </c>
      <c r="H10565" s="2" t="s">
        <v>34</v>
      </c>
      <c r="I10565" s="2" t="s">
        <v>8716</v>
      </c>
      <c r="J10565" s="2" t="s">
        <v>1488</v>
      </c>
      <c r="K10565" s="2" t="s">
        <v>454</v>
      </c>
      <c r="L10565" s="2" t="s">
        <v>34</v>
      </c>
      <c r="M10565" s="12">
        <v>4646.1629999999996</v>
      </c>
      <c r="N10565" s="6">
        <v>43.73</v>
      </c>
      <c r="O10565" s="6">
        <v>44.94</v>
      </c>
      <c r="P10565" s="2" t="s">
        <v>30809</v>
      </c>
      <c r="Q10565" s="6">
        <v>100</v>
      </c>
      <c r="R10565" s="6">
        <v>21</v>
      </c>
      <c r="S10565" s="5">
        <v>66.400000000000006</v>
      </c>
      <c r="T10565" s="5">
        <v>518.4</v>
      </c>
      <c r="U10565" s="5">
        <v>4.5</v>
      </c>
      <c r="V10565" s="6">
        <v>0.84</v>
      </c>
      <c r="W10565" s="6">
        <v>13.07</v>
      </c>
      <c r="X10565" s="6">
        <v>12.37</v>
      </c>
      <c r="Y10565" s="5">
        <v>20.7</v>
      </c>
      <c r="Z10565" s="6">
        <v>20.76</v>
      </c>
      <c r="AA10565" s="6">
        <v>77.84</v>
      </c>
      <c r="AB10565" s="7">
        <v>16.231000000000002</v>
      </c>
      <c r="AC10565" s="5">
        <v>95</v>
      </c>
    </row>
    <row r="10566" spans="1:29" ht="39" x14ac:dyDescent="0.15">
      <c r="A10566" s="3">
        <f>DATE(2013,6,28)</f>
        <v>41453</v>
      </c>
      <c r="B10566" s="3">
        <f>DATE(2013,6,28)</f>
        <v>41453</v>
      </c>
      <c r="C10566" s="2" t="s">
        <v>95</v>
      </c>
      <c r="D10566" s="2" t="s">
        <v>2043</v>
      </c>
      <c r="E10566" s="2" t="s">
        <v>92</v>
      </c>
      <c r="F10566" s="4">
        <v>6798</v>
      </c>
      <c r="G10566" s="2" t="s">
        <v>53</v>
      </c>
      <c r="H10566" s="2" t="s">
        <v>34</v>
      </c>
      <c r="I10566" s="2" t="s">
        <v>30810</v>
      </c>
      <c r="J10566" s="2" t="s">
        <v>30811</v>
      </c>
      <c r="K10566" s="2" t="s">
        <v>53</v>
      </c>
      <c r="L10566" s="2" t="s">
        <v>34</v>
      </c>
      <c r="M10566" s="2"/>
      <c r="N10566" s="2"/>
      <c r="O10566" s="2"/>
      <c r="P10566" s="2" t="s">
        <v>30812</v>
      </c>
      <c r="Q10566" s="6">
        <v>100</v>
      </c>
      <c r="R10566" s="2"/>
      <c r="S10566" s="5">
        <v>76.2</v>
      </c>
      <c r="T10566" s="7">
        <v>85.228999999999999</v>
      </c>
      <c r="U10566" s="5">
        <v>16.399999999999999</v>
      </c>
      <c r="V10566" s="9">
        <v>2.7963</v>
      </c>
      <c r="W10566" s="6">
        <v>57.95</v>
      </c>
      <c r="X10566" s="6">
        <v>59.83</v>
      </c>
      <c r="Y10566" s="6">
        <v>59.86</v>
      </c>
      <c r="Z10566" s="6">
        <v>60.35</v>
      </c>
      <c r="AA10566" s="6">
        <v>27.88</v>
      </c>
      <c r="AB10566" s="2" t="s">
        <v>47</v>
      </c>
      <c r="AC10566" s="2"/>
    </row>
    <row r="10567" spans="1:29" ht="156" x14ac:dyDescent="0.15">
      <c r="A10567" s="3">
        <f>DATE(2013,6,28)</f>
        <v>41453</v>
      </c>
      <c r="B10567" s="3">
        <f>DATE(2013,12,2)</f>
        <v>41610</v>
      </c>
      <c r="C10567" s="2" t="s">
        <v>95</v>
      </c>
      <c r="D10567" s="2" t="s">
        <v>27250</v>
      </c>
      <c r="E10567" s="2" t="s">
        <v>36</v>
      </c>
      <c r="F10567" s="4">
        <v>6021</v>
      </c>
      <c r="G10567" s="2" t="s">
        <v>37</v>
      </c>
      <c r="H10567" s="2" t="s">
        <v>34</v>
      </c>
      <c r="I10567" s="2" t="s">
        <v>30813</v>
      </c>
      <c r="J10567" s="2" t="s">
        <v>36</v>
      </c>
      <c r="K10567" s="2" t="s">
        <v>37</v>
      </c>
      <c r="L10567" s="2" t="s">
        <v>34</v>
      </c>
      <c r="M10567" s="7">
        <v>276.851</v>
      </c>
      <c r="N10567" s="6">
        <v>35.25</v>
      </c>
      <c r="O10567" s="4">
        <v>35</v>
      </c>
      <c r="P10567" s="2" t="s">
        <v>30814</v>
      </c>
      <c r="Q10567" s="6">
        <v>100</v>
      </c>
      <c r="R10567" s="6">
        <v>47.59</v>
      </c>
      <c r="S10567" s="5">
        <v>10.3</v>
      </c>
      <c r="T10567" s="7">
        <v>14.115</v>
      </c>
      <c r="U10567" s="5">
        <v>40.700000000000003</v>
      </c>
      <c r="V10567" s="6">
        <v>3.16</v>
      </c>
      <c r="W10567" s="4">
        <v>38</v>
      </c>
      <c r="X10567" s="6">
        <v>37.75</v>
      </c>
      <c r="Y10567" s="5">
        <v>41.5</v>
      </c>
      <c r="Z10567" s="5">
        <v>42.5</v>
      </c>
      <c r="AA10567" s="6">
        <v>3.28</v>
      </c>
      <c r="AB10567" s="7">
        <v>15.061</v>
      </c>
      <c r="AC10567" s="2"/>
    </row>
    <row r="10568" spans="1:29" ht="169" x14ac:dyDescent="0.15">
      <c r="A10568" s="3">
        <f>DATE(2013,6,30)</f>
        <v>41455</v>
      </c>
      <c r="B10568" s="3">
        <f>DATE(2013,10,1)</f>
        <v>41548</v>
      </c>
      <c r="C10568" s="2" t="s">
        <v>95</v>
      </c>
      <c r="D10568" s="2" t="s">
        <v>30815</v>
      </c>
      <c r="E10568" s="2" t="s">
        <v>30816</v>
      </c>
      <c r="F10568" s="4">
        <v>2836</v>
      </c>
      <c r="G10568" s="2" t="s">
        <v>130</v>
      </c>
      <c r="H10568" s="2" t="s">
        <v>34</v>
      </c>
      <c r="I10568" s="2" t="s">
        <v>5534</v>
      </c>
      <c r="J10568" s="2" t="s">
        <v>5535</v>
      </c>
      <c r="K10568" s="2" t="s">
        <v>130</v>
      </c>
      <c r="L10568" s="2" t="s">
        <v>34</v>
      </c>
      <c r="M10568" s="12">
        <v>75395.142999999996</v>
      </c>
      <c r="N10568" s="6">
        <v>97.49</v>
      </c>
      <c r="O10568" s="6">
        <v>97.49</v>
      </c>
      <c r="P10568" s="2" t="s">
        <v>30817</v>
      </c>
      <c r="Q10568" s="6">
        <v>100</v>
      </c>
      <c r="R10568" s="6">
        <v>125</v>
      </c>
      <c r="S10568" s="5">
        <v>-112.4</v>
      </c>
      <c r="T10568" s="7">
        <v>-141.083</v>
      </c>
      <c r="U10568" s="5">
        <v>15.7</v>
      </c>
      <c r="V10568" s="6">
        <v>-1.54</v>
      </c>
      <c r="W10568" s="6">
        <v>37.86</v>
      </c>
      <c r="X10568" s="6">
        <v>37.68</v>
      </c>
      <c r="Y10568" s="5">
        <v>42.8</v>
      </c>
      <c r="Z10568" s="6">
        <v>44.68</v>
      </c>
      <c r="AA10568" s="6">
        <v>72.739999999999995</v>
      </c>
      <c r="AB10568" s="2" t="s">
        <v>86</v>
      </c>
      <c r="AC10568" s="8">
        <v>22018</v>
      </c>
    </row>
    <row r="10569" spans="1:29" ht="156" x14ac:dyDescent="0.15">
      <c r="A10569" s="3">
        <f>DATE(2013,7,1)</f>
        <v>41456</v>
      </c>
      <c r="B10569" s="3">
        <f>DATE(2013,11,29)</f>
        <v>41607</v>
      </c>
      <c r="C10569" s="2" t="s">
        <v>95</v>
      </c>
      <c r="D10569" s="2" t="s">
        <v>30818</v>
      </c>
      <c r="E10569" s="2" t="s">
        <v>30163</v>
      </c>
      <c r="F10569" s="4">
        <v>6021</v>
      </c>
      <c r="G10569" s="2" t="s">
        <v>37</v>
      </c>
      <c r="H10569" s="2" t="s">
        <v>34</v>
      </c>
      <c r="I10569" s="2" t="s">
        <v>30819</v>
      </c>
      <c r="J10569" s="2" t="s">
        <v>4552</v>
      </c>
      <c r="K10569" s="2" t="s">
        <v>37</v>
      </c>
      <c r="L10569" s="2" t="s">
        <v>34</v>
      </c>
      <c r="M10569" s="7">
        <v>215.43100000000001</v>
      </c>
      <c r="N10569" s="6">
        <v>40.51</v>
      </c>
      <c r="O10569" s="6">
        <v>41.08</v>
      </c>
      <c r="P10569" s="2" t="s">
        <v>30820</v>
      </c>
      <c r="Q10569" s="6">
        <v>100</v>
      </c>
      <c r="R10569" s="6">
        <v>3.09</v>
      </c>
      <c r="S10569" s="5">
        <v>1</v>
      </c>
      <c r="T10569" s="2"/>
      <c r="U10569" s="5">
        <v>1.9</v>
      </c>
      <c r="V10569" s="6">
        <v>-0.09</v>
      </c>
      <c r="W10569" s="6">
        <v>2.75</v>
      </c>
      <c r="X10569" s="6">
        <v>2.75</v>
      </c>
      <c r="Y10569" s="6">
        <v>2.66</v>
      </c>
      <c r="Z10569" s="6">
        <v>2.92</v>
      </c>
      <c r="AA10569" s="6">
        <v>10.61</v>
      </c>
      <c r="AB10569" s="2" t="s">
        <v>86</v>
      </c>
      <c r="AC10569" s="2"/>
    </row>
    <row r="10570" spans="1:29" ht="130" x14ac:dyDescent="0.15">
      <c r="A10570" s="3">
        <f>DATE(2013,7,1)</f>
        <v>41456</v>
      </c>
      <c r="B10570" s="2"/>
      <c r="C10570" s="2" t="s">
        <v>30</v>
      </c>
      <c r="D10570" s="2" t="s">
        <v>30821</v>
      </c>
      <c r="E10570" s="2" t="s">
        <v>30822</v>
      </c>
      <c r="F10570" s="4">
        <v>3931</v>
      </c>
      <c r="G10570" s="2" t="s">
        <v>112</v>
      </c>
      <c r="H10570" s="2" t="s">
        <v>34</v>
      </c>
      <c r="I10570" s="2" t="s">
        <v>20850</v>
      </c>
      <c r="J10570" s="2" t="s">
        <v>244</v>
      </c>
      <c r="K10570" s="2" t="s">
        <v>53</v>
      </c>
      <c r="L10570" s="2" t="s">
        <v>34</v>
      </c>
      <c r="M10570" s="2"/>
      <c r="N10570" s="2"/>
      <c r="O10570" s="2"/>
      <c r="P10570" s="2" t="s">
        <v>30823</v>
      </c>
      <c r="Q10570" s="2"/>
      <c r="R10570" s="6">
        <v>35</v>
      </c>
      <c r="S10570" s="5">
        <v>33.4</v>
      </c>
      <c r="T10570" s="7">
        <v>44.637</v>
      </c>
      <c r="U10570" s="5">
        <v>21.1</v>
      </c>
      <c r="V10570" s="9">
        <v>2.6785999999999999</v>
      </c>
      <c r="W10570" s="6">
        <v>28.84</v>
      </c>
      <c r="X10570" s="6">
        <v>30.43</v>
      </c>
      <c r="Y10570" s="6">
        <v>35.28</v>
      </c>
      <c r="Z10570" s="6">
        <v>35.340000000000003</v>
      </c>
      <c r="AA10570" s="6">
        <v>12.46</v>
      </c>
      <c r="AB10570" s="7">
        <v>11.362</v>
      </c>
      <c r="AC10570" s="2"/>
    </row>
    <row r="10571" spans="1:29" ht="117" x14ac:dyDescent="0.15">
      <c r="A10571" s="3">
        <f>DATE(2013,7,9)</f>
        <v>41464</v>
      </c>
      <c r="B10571" s="3">
        <f>DATE(2014,1,28)</f>
        <v>41667</v>
      </c>
      <c r="C10571" s="2" t="s">
        <v>95</v>
      </c>
      <c r="D10571" s="2" t="s">
        <v>30824</v>
      </c>
      <c r="E10571" s="2" t="s">
        <v>9676</v>
      </c>
      <c r="F10571" s="4">
        <v>5411</v>
      </c>
      <c r="G10571" s="2" t="s">
        <v>1461</v>
      </c>
      <c r="H10571" s="2" t="s">
        <v>34</v>
      </c>
      <c r="I10571" s="2" t="s">
        <v>13066</v>
      </c>
      <c r="J10571" s="2" t="s">
        <v>9676</v>
      </c>
      <c r="K10571" s="2" t="s">
        <v>1461</v>
      </c>
      <c r="L10571" s="2" t="s">
        <v>34</v>
      </c>
      <c r="M10571" s="12">
        <v>17920.844000000001</v>
      </c>
      <c r="N10571" s="6">
        <v>37.15</v>
      </c>
      <c r="O10571" s="6">
        <v>37.340000000000003</v>
      </c>
      <c r="P10571" s="2" t="s">
        <v>30825</v>
      </c>
      <c r="Q10571" s="6">
        <v>100</v>
      </c>
      <c r="R10571" s="6">
        <v>49.38</v>
      </c>
      <c r="S10571" s="5">
        <v>161.30000000000001</v>
      </c>
      <c r="T10571" s="7">
        <v>314.649</v>
      </c>
      <c r="U10571" s="5">
        <v>21.9</v>
      </c>
      <c r="V10571" s="9">
        <v>3.3365</v>
      </c>
      <c r="W10571" s="6">
        <v>36.450000000000003</v>
      </c>
      <c r="X10571" s="6">
        <v>37.04</v>
      </c>
      <c r="Y10571" s="5">
        <v>39.5</v>
      </c>
      <c r="Z10571" s="6">
        <v>40.72</v>
      </c>
      <c r="AA10571" s="6">
        <v>49.46</v>
      </c>
      <c r="AB10571" s="7">
        <v>14.471</v>
      </c>
      <c r="AC10571" s="5">
        <v>247</v>
      </c>
    </row>
    <row r="10572" spans="1:29" ht="78" x14ac:dyDescent="0.15">
      <c r="A10572" s="3">
        <f>DATE(2013,7,12)</f>
        <v>41467</v>
      </c>
      <c r="B10572" s="2"/>
      <c r="C10572" s="2" t="s">
        <v>87</v>
      </c>
      <c r="D10572" s="2" t="s">
        <v>30826</v>
      </c>
      <c r="E10572" s="2" t="s">
        <v>30827</v>
      </c>
      <c r="F10572" s="4">
        <v>2834</v>
      </c>
      <c r="G10572" s="2" t="s">
        <v>130</v>
      </c>
      <c r="H10572" s="2" t="s">
        <v>34</v>
      </c>
      <c r="I10572" s="2" t="s">
        <v>213</v>
      </c>
      <c r="J10572" s="2" t="s">
        <v>214</v>
      </c>
      <c r="K10572" s="2" t="s">
        <v>130</v>
      </c>
      <c r="L10572" s="2" t="s">
        <v>215</v>
      </c>
      <c r="M10572" s="10">
        <v>39426.559999999998</v>
      </c>
      <c r="N10572" s="7">
        <v>257.608</v>
      </c>
      <c r="O10572" s="7">
        <v>255.37700000000001</v>
      </c>
      <c r="P10572" s="2" t="s">
        <v>30828</v>
      </c>
      <c r="Q10572" s="2"/>
      <c r="R10572" s="2"/>
      <c r="S10572" s="5">
        <v>351.3</v>
      </c>
      <c r="T10572" s="7">
        <v>516.471</v>
      </c>
      <c r="U10572" s="5">
        <v>11.3</v>
      </c>
      <c r="V10572" s="9">
        <v>1.7591000000000001</v>
      </c>
      <c r="W10572" s="6">
        <v>96.45</v>
      </c>
      <c r="X10572" s="6">
        <v>101.44</v>
      </c>
      <c r="Y10572" s="6">
        <v>114.26</v>
      </c>
      <c r="Z10572" s="6">
        <v>107.93</v>
      </c>
      <c r="AA10572" s="6">
        <v>195.15</v>
      </c>
      <c r="AB10572" s="2" t="s">
        <v>47</v>
      </c>
      <c r="AC10572" s="10">
        <v>16434.25</v>
      </c>
    </row>
    <row r="10573" spans="1:29" ht="130" x14ac:dyDescent="0.15">
      <c r="A10573" s="3">
        <f>DATE(2013,7,12)</f>
        <v>41467</v>
      </c>
      <c r="B10573" s="3">
        <f>DATE(2014,3,13)</f>
        <v>41711</v>
      </c>
      <c r="C10573" s="2" t="s">
        <v>95</v>
      </c>
      <c r="D10573" s="2" t="s">
        <v>26018</v>
      </c>
      <c r="E10573" s="2" t="s">
        <v>16453</v>
      </c>
      <c r="F10573" s="4">
        <v>4812</v>
      </c>
      <c r="G10573" s="2" t="s">
        <v>63</v>
      </c>
      <c r="H10573" s="2" t="s">
        <v>34</v>
      </c>
      <c r="I10573" s="2" t="s">
        <v>23830</v>
      </c>
      <c r="J10573" s="2" t="s">
        <v>973</v>
      </c>
      <c r="K10573" s="2" t="s">
        <v>63</v>
      </c>
      <c r="L10573" s="2" t="s">
        <v>34</v>
      </c>
      <c r="M10573" s="8">
        <v>193195.8</v>
      </c>
      <c r="N10573" s="6">
        <v>35.81</v>
      </c>
      <c r="O10573" s="6">
        <v>35.549999999999997</v>
      </c>
      <c r="P10573" s="2" t="s">
        <v>30829</v>
      </c>
      <c r="Q10573" s="6">
        <v>100</v>
      </c>
      <c r="R10573" s="6">
        <v>15</v>
      </c>
      <c r="S10573" s="5">
        <v>-202.2</v>
      </c>
      <c r="T10573" s="7">
        <v>580.80499999999995</v>
      </c>
      <c r="U10573" s="5">
        <v>4.0999999999999996</v>
      </c>
      <c r="V10573" s="6">
        <v>-2.61</v>
      </c>
      <c r="W10573" s="6">
        <v>17.39</v>
      </c>
      <c r="X10573" s="6">
        <v>17.75</v>
      </c>
      <c r="Y10573" s="5">
        <v>18.899999999999999</v>
      </c>
      <c r="Z10573" s="6">
        <v>19.87</v>
      </c>
      <c r="AA10573" s="6">
        <v>79.05</v>
      </c>
      <c r="AB10573" s="2" t="s">
        <v>86</v>
      </c>
      <c r="AC10573" s="8">
        <v>4548</v>
      </c>
    </row>
    <row r="10574" spans="1:29" ht="117" x14ac:dyDescent="0.15">
      <c r="A10574" s="3">
        <f>DATE(2013,7,15)</f>
        <v>41470</v>
      </c>
      <c r="B10574" s="3">
        <f>DATE(2013,8,19)</f>
        <v>41505</v>
      </c>
      <c r="C10574" s="2" t="s">
        <v>95</v>
      </c>
      <c r="D10574" s="2" t="s">
        <v>30830</v>
      </c>
      <c r="E10574" s="2" t="s">
        <v>14572</v>
      </c>
      <c r="F10574" s="4">
        <v>4213</v>
      </c>
      <c r="G10574" s="2" t="s">
        <v>173</v>
      </c>
      <c r="H10574" s="2" t="s">
        <v>34</v>
      </c>
      <c r="I10574" s="2" t="s">
        <v>30831</v>
      </c>
      <c r="J10574" s="2" t="s">
        <v>302</v>
      </c>
      <c r="K10574" s="2" t="s">
        <v>53</v>
      </c>
      <c r="L10574" s="2" t="s">
        <v>34</v>
      </c>
      <c r="M10574" s="2"/>
      <c r="N10574" s="2"/>
      <c r="O10574" s="2"/>
      <c r="P10574" s="2" t="s">
        <v>30832</v>
      </c>
      <c r="Q10574" s="2"/>
      <c r="R10574" s="6">
        <v>2.1</v>
      </c>
      <c r="S10574" s="5">
        <v>-16.3</v>
      </c>
      <c r="T10574" s="7">
        <v>-5.3769999999999998</v>
      </c>
      <c r="U10574" s="5">
        <v>1.3</v>
      </c>
      <c r="V10574" s="6">
        <v>-0.91</v>
      </c>
      <c r="W10574" s="6">
        <v>1.69</v>
      </c>
      <c r="X10574" s="5">
        <v>1.7</v>
      </c>
      <c r="Y10574" s="6">
        <v>2.06</v>
      </c>
      <c r="Z10574" s="6">
        <v>2.0699999999999998</v>
      </c>
      <c r="AA10574" s="6">
        <v>18.09</v>
      </c>
      <c r="AB10574" s="2" t="s">
        <v>86</v>
      </c>
      <c r="AC10574" s="2"/>
    </row>
    <row r="10575" spans="1:29" ht="156" x14ac:dyDescent="0.15">
      <c r="A10575" s="3">
        <f>DATE(2013,7,15)</f>
        <v>41470</v>
      </c>
      <c r="B10575" s="3">
        <f>DATE(2014,8,18)</f>
        <v>41869</v>
      </c>
      <c r="C10575" s="2" t="s">
        <v>95</v>
      </c>
      <c r="D10575" s="2" t="s">
        <v>30833</v>
      </c>
      <c r="E10575" s="2" t="s">
        <v>30834</v>
      </c>
      <c r="F10575" s="4">
        <v>6022</v>
      </c>
      <c r="G10575" s="2" t="s">
        <v>37</v>
      </c>
      <c r="H10575" s="2" t="s">
        <v>34</v>
      </c>
      <c r="I10575" s="2" t="s">
        <v>21588</v>
      </c>
      <c r="J10575" s="2" t="s">
        <v>36</v>
      </c>
      <c r="K10575" s="2" t="s">
        <v>37</v>
      </c>
      <c r="L10575" s="2" t="s">
        <v>34</v>
      </c>
      <c r="M10575" s="12">
        <v>1400.6510000000001</v>
      </c>
      <c r="N10575" s="6">
        <v>27.21</v>
      </c>
      <c r="O10575" s="6">
        <v>28.12</v>
      </c>
      <c r="P10575" s="2" t="s">
        <v>30835</v>
      </c>
      <c r="Q10575" s="6">
        <v>100</v>
      </c>
      <c r="R10575" s="6">
        <v>22.2</v>
      </c>
      <c r="S10575" s="5">
        <v>69.7</v>
      </c>
      <c r="T10575" s="7">
        <v>130.136</v>
      </c>
      <c r="U10575" s="5">
        <v>12.2</v>
      </c>
      <c r="V10575" s="6">
        <v>2.02</v>
      </c>
      <c r="W10575" s="6">
        <v>17.78</v>
      </c>
      <c r="X10575" s="6">
        <v>17.809999999999999</v>
      </c>
      <c r="Y10575" s="5">
        <v>21.2</v>
      </c>
      <c r="Z10575" s="6">
        <v>21.81</v>
      </c>
      <c r="AA10575" s="6">
        <v>29.09</v>
      </c>
      <c r="AB10575" s="7">
        <v>18.638000000000002</v>
      </c>
      <c r="AC10575" s="2"/>
    </row>
    <row r="10576" spans="1:29" ht="130" x14ac:dyDescent="0.15">
      <c r="A10576" s="3">
        <f>DATE(2013,7,16)</f>
        <v>41471</v>
      </c>
      <c r="B10576" s="3">
        <f>DATE(2013,9,13)</f>
        <v>41530</v>
      </c>
      <c r="C10576" s="2" t="s">
        <v>95</v>
      </c>
      <c r="D10576" s="2" t="s">
        <v>30724</v>
      </c>
      <c r="E10576" s="2" t="s">
        <v>30725</v>
      </c>
      <c r="F10576" s="4">
        <v>3827</v>
      </c>
      <c r="G10576" s="2" t="s">
        <v>226</v>
      </c>
      <c r="H10576" s="2" t="s">
        <v>34</v>
      </c>
      <c r="I10576" s="2" t="s">
        <v>30836</v>
      </c>
      <c r="J10576" s="2" t="s">
        <v>30725</v>
      </c>
      <c r="K10576" s="2" t="s">
        <v>226</v>
      </c>
      <c r="L10576" s="2" t="s">
        <v>34</v>
      </c>
      <c r="M10576" s="2"/>
      <c r="N10576" s="2"/>
      <c r="O10576" s="2"/>
      <c r="P10576" s="2" t="s">
        <v>30837</v>
      </c>
      <c r="Q10576" s="6">
        <v>100</v>
      </c>
      <c r="R10576" s="6">
        <v>4.21</v>
      </c>
      <c r="S10576" s="5">
        <v>-3.8</v>
      </c>
      <c r="T10576" s="6">
        <v>-3.55</v>
      </c>
      <c r="U10576" s="5">
        <v>4.9000000000000004</v>
      </c>
      <c r="V10576" s="9">
        <v>-3.3433999999999999</v>
      </c>
      <c r="W10576" s="6">
        <v>1.73</v>
      </c>
      <c r="X10576" s="6">
        <v>1.74</v>
      </c>
      <c r="Y10576" s="6">
        <v>1.67</v>
      </c>
      <c r="Z10576" s="6">
        <v>3.41</v>
      </c>
      <c r="AA10576" s="6">
        <v>1.31</v>
      </c>
      <c r="AB10576" s="2" t="s">
        <v>86</v>
      </c>
      <c r="AC10576" s="2"/>
    </row>
    <row r="10577" spans="1:29" ht="104" x14ac:dyDescent="0.15">
      <c r="A10577" s="3">
        <f>DATE(2013,7,16)</f>
        <v>41471</v>
      </c>
      <c r="B10577" s="3">
        <f>DATE(2013,11,25)</f>
        <v>41603</v>
      </c>
      <c r="C10577" s="2" t="s">
        <v>95</v>
      </c>
      <c r="D10577" s="2" t="s">
        <v>30838</v>
      </c>
      <c r="E10577" s="2" t="s">
        <v>8514</v>
      </c>
      <c r="F10577" s="4">
        <v>3999</v>
      </c>
      <c r="G10577" s="2" t="s">
        <v>112</v>
      </c>
      <c r="H10577" s="2" t="s">
        <v>34</v>
      </c>
      <c r="I10577" s="2" t="s">
        <v>30839</v>
      </c>
      <c r="J10577" s="2" t="s">
        <v>19758</v>
      </c>
      <c r="K10577" s="2" t="s">
        <v>551</v>
      </c>
      <c r="L10577" s="2" t="s">
        <v>34</v>
      </c>
      <c r="M10577" s="12">
        <v>2212.4969999999998</v>
      </c>
      <c r="N10577" s="6">
        <v>65.13</v>
      </c>
      <c r="O10577" s="6">
        <v>67.13</v>
      </c>
      <c r="P10577" s="2" t="s">
        <v>30840</v>
      </c>
      <c r="Q10577" s="6">
        <v>100</v>
      </c>
      <c r="R10577" s="6">
        <v>23.25</v>
      </c>
      <c r="S10577" s="5">
        <v>40.1</v>
      </c>
      <c r="T10577" s="7">
        <v>82.813999999999993</v>
      </c>
      <c r="U10577" s="5">
        <v>5.5</v>
      </c>
      <c r="V10577" s="9">
        <v>0.69850000000000001</v>
      </c>
      <c r="W10577" s="5">
        <v>17.8</v>
      </c>
      <c r="X10577" s="5">
        <v>18.7</v>
      </c>
      <c r="Y10577" s="6">
        <v>22.81</v>
      </c>
      <c r="Z10577" s="6">
        <v>22.75</v>
      </c>
      <c r="AA10577" s="6">
        <v>56.41</v>
      </c>
      <c r="AB10577" s="7">
        <v>22.97</v>
      </c>
      <c r="AC10577" s="6">
        <v>76.16</v>
      </c>
    </row>
    <row r="10578" spans="1:29" ht="91" x14ac:dyDescent="0.15">
      <c r="A10578" s="3">
        <f>DATE(2013,7,19)</f>
        <v>41474</v>
      </c>
      <c r="B10578" s="2"/>
      <c r="C10578" s="2" t="s">
        <v>7330</v>
      </c>
      <c r="D10578" s="2" t="s">
        <v>30841</v>
      </c>
      <c r="E10578" s="2" t="s">
        <v>30842</v>
      </c>
      <c r="F10578" s="4">
        <v>3841</v>
      </c>
      <c r="G10578" s="2" t="s">
        <v>226</v>
      </c>
      <c r="H10578" s="2" t="s">
        <v>34</v>
      </c>
      <c r="I10578" s="2" t="s">
        <v>51</v>
      </c>
      <c r="J10578" s="2" t="s">
        <v>52</v>
      </c>
      <c r="K10578" s="2" t="s">
        <v>53</v>
      </c>
      <c r="L10578" s="2" t="s">
        <v>34</v>
      </c>
      <c r="M10578" s="2"/>
      <c r="N10578" s="2"/>
      <c r="O10578" s="2"/>
      <c r="P10578" s="2" t="s">
        <v>30843</v>
      </c>
      <c r="Q10578" s="2"/>
      <c r="R10578" s="6">
        <v>2</v>
      </c>
      <c r="S10578" s="5">
        <v>0.4</v>
      </c>
      <c r="T10578" s="7">
        <v>13.731999999999999</v>
      </c>
      <c r="U10578" s="5">
        <v>1.8</v>
      </c>
      <c r="V10578" s="9">
        <v>1.7600000000000001E-2</v>
      </c>
      <c r="W10578" s="5">
        <v>1.5</v>
      </c>
      <c r="X10578" s="6">
        <v>1.55</v>
      </c>
      <c r="Y10578" s="7">
        <v>1.6990000000000001</v>
      </c>
      <c r="Z10578" s="6">
        <v>1.74</v>
      </c>
      <c r="AA10578" s="6">
        <v>21.8</v>
      </c>
      <c r="AB10578" s="7">
        <v>18.114000000000001</v>
      </c>
      <c r="AC10578" s="2"/>
    </row>
    <row r="10579" spans="1:29" ht="221" x14ac:dyDescent="0.15">
      <c r="A10579" s="3">
        <f>DATE(2013,7,22)</f>
        <v>41477</v>
      </c>
      <c r="B10579" s="3">
        <f>DATE(2014,4,7)</f>
        <v>41736</v>
      </c>
      <c r="C10579" s="2" t="s">
        <v>95</v>
      </c>
      <c r="D10579" s="2" t="s">
        <v>25580</v>
      </c>
      <c r="E10579" s="2" t="s">
        <v>25581</v>
      </c>
      <c r="F10579" s="4">
        <v>6159</v>
      </c>
      <c r="G10579" s="2" t="s">
        <v>370</v>
      </c>
      <c r="H10579" s="2" t="s">
        <v>34</v>
      </c>
      <c r="I10579" s="2" t="s">
        <v>29960</v>
      </c>
      <c r="J10579" s="2" t="s">
        <v>1304</v>
      </c>
      <c r="K10579" s="2" t="s">
        <v>37</v>
      </c>
      <c r="L10579" s="2" t="s">
        <v>34</v>
      </c>
      <c r="M10579" s="12">
        <v>1048.7760000000001</v>
      </c>
      <c r="N10579" s="6">
        <v>32.479999999999997</v>
      </c>
      <c r="O10579" s="6">
        <v>34.770000000000003</v>
      </c>
      <c r="P10579" s="2" t="s">
        <v>30844</v>
      </c>
      <c r="Q10579" s="6">
        <v>100</v>
      </c>
      <c r="R10579" s="6">
        <v>11.64</v>
      </c>
      <c r="S10579" s="5">
        <v>136.1</v>
      </c>
      <c r="T10579" s="7">
        <v>261.315</v>
      </c>
      <c r="U10579" s="5">
        <v>7.9</v>
      </c>
      <c r="V10579" s="6">
        <v>0.7</v>
      </c>
      <c r="W10579" s="6">
        <v>7.06</v>
      </c>
      <c r="X10579" s="6">
        <v>7.05</v>
      </c>
      <c r="Y10579" s="6">
        <v>7.33</v>
      </c>
      <c r="Z10579" s="6">
        <v>7.65</v>
      </c>
      <c r="AA10579" s="6">
        <v>196.05</v>
      </c>
      <c r="AB10579" s="7">
        <v>12.621</v>
      </c>
      <c r="AC10579" s="2"/>
    </row>
    <row r="10580" spans="1:29" ht="169" x14ac:dyDescent="0.15">
      <c r="A10580" s="3">
        <f>DATE(2013,7,22)</f>
        <v>41477</v>
      </c>
      <c r="B10580" s="3">
        <f>DATE(2013,11,19)</f>
        <v>41597</v>
      </c>
      <c r="C10580" s="2" t="s">
        <v>95</v>
      </c>
      <c r="D10580" s="2" t="s">
        <v>8654</v>
      </c>
      <c r="E10580" s="2" t="s">
        <v>8655</v>
      </c>
      <c r="F10580" s="4">
        <v>5141</v>
      </c>
      <c r="G10580" s="2" t="s">
        <v>593</v>
      </c>
      <c r="H10580" s="2" t="s">
        <v>34</v>
      </c>
      <c r="I10580" s="2" t="s">
        <v>16717</v>
      </c>
      <c r="J10580" s="2" t="s">
        <v>7684</v>
      </c>
      <c r="K10580" s="2" t="s">
        <v>1461</v>
      </c>
      <c r="L10580" s="2" t="s">
        <v>34</v>
      </c>
      <c r="M10580" s="7">
        <v>670.75800000000004</v>
      </c>
      <c r="N10580" s="6">
        <v>22.04</v>
      </c>
      <c r="O10580" s="6">
        <v>20.58</v>
      </c>
      <c r="P10580" s="2" t="s">
        <v>30845</v>
      </c>
      <c r="Q10580" s="6">
        <v>100</v>
      </c>
      <c r="R10580" s="6">
        <v>25.44</v>
      </c>
      <c r="S10580" s="5">
        <v>-3.4</v>
      </c>
      <c r="T10580" s="7">
        <v>97.778999999999996</v>
      </c>
      <c r="U10580" s="5">
        <v>24.7</v>
      </c>
      <c r="V10580" s="9">
        <v>-0.25690000000000002</v>
      </c>
      <c r="W10580" s="6">
        <v>24.96</v>
      </c>
      <c r="X10580" s="6">
        <v>25.43</v>
      </c>
      <c r="Y10580" s="6">
        <v>26.24</v>
      </c>
      <c r="Z10580" s="6">
        <v>24.46</v>
      </c>
      <c r="AA10580" s="6">
        <v>12.32</v>
      </c>
      <c r="AB10580" s="7">
        <v>12.701000000000001</v>
      </c>
      <c r="AC10580" s="6">
        <v>26.48</v>
      </c>
    </row>
    <row r="10581" spans="1:29" ht="78" x14ac:dyDescent="0.15">
      <c r="A10581" s="3">
        <f>DATE(2013,7,23)</f>
        <v>41478</v>
      </c>
      <c r="B10581" s="3">
        <f>DATE(2013,10,7)</f>
        <v>41554</v>
      </c>
      <c r="C10581" s="2" t="s">
        <v>95</v>
      </c>
      <c r="D10581" s="2" t="s">
        <v>26759</v>
      </c>
      <c r="E10581" s="2" t="s">
        <v>26760</v>
      </c>
      <c r="F10581" s="4">
        <v>7374</v>
      </c>
      <c r="G10581" s="2" t="s">
        <v>223</v>
      </c>
      <c r="H10581" s="2" t="s">
        <v>34</v>
      </c>
      <c r="I10581" s="2" t="s">
        <v>7444</v>
      </c>
      <c r="J10581" s="2" t="s">
        <v>7445</v>
      </c>
      <c r="K10581" s="2" t="s">
        <v>50</v>
      </c>
      <c r="L10581" s="2" t="s">
        <v>34</v>
      </c>
      <c r="M10581" s="12">
        <v>128290.78599999999</v>
      </c>
      <c r="N10581" s="6">
        <v>25.56</v>
      </c>
      <c r="O10581" s="6">
        <v>25.59</v>
      </c>
      <c r="P10581" s="2" t="s">
        <v>30846</v>
      </c>
      <c r="Q10581" s="6">
        <v>100</v>
      </c>
      <c r="R10581" s="6">
        <v>76</v>
      </c>
      <c r="S10581" s="5">
        <v>6</v>
      </c>
      <c r="T10581" s="6">
        <v>18.47</v>
      </c>
      <c r="U10581" s="5">
        <v>8.9</v>
      </c>
      <c r="V10581" s="9">
        <v>0.19120000000000001</v>
      </c>
      <c r="W10581" s="5">
        <v>58.4</v>
      </c>
      <c r="X10581" s="6">
        <v>59.08</v>
      </c>
      <c r="Y10581" s="6">
        <v>75.489999999999995</v>
      </c>
      <c r="Z10581" s="6">
        <v>75.89</v>
      </c>
      <c r="AA10581" s="6">
        <v>31.15</v>
      </c>
      <c r="AB10581" s="7">
        <v>219.25800000000001</v>
      </c>
      <c r="AC10581" s="8">
        <v>47439</v>
      </c>
    </row>
    <row r="10582" spans="1:29" ht="130" x14ac:dyDescent="0.15">
      <c r="A10582" s="3">
        <f>DATE(2013,7,23)</f>
        <v>41478</v>
      </c>
      <c r="B10582" s="3">
        <f>DATE(2013,10,2)</f>
        <v>41549</v>
      </c>
      <c r="C10582" s="2" t="s">
        <v>95</v>
      </c>
      <c r="D10582" s="2" t="s">
        <v>30847</v>
      </c>
      <c r="E10582" s="2" t="s">
        <v>21800</v>
      </c>
      <c r="F10582" s="4">
        <v>6021</v>
      </c>
      <c r="G10582" s="2" t="s">
        <v>37</v>
      </c>
      <c r="H10582" s="2" t="s">
        <v>34</v>
      </c>
      <c r="I10582" s="2" t="s">
        <v>12418</v>
      </c>
      <c r="J10582" s="2" t="s">
        <v>36</v>
      </c>
      <c r="K10582" s="2" t="s">
        <v>37</v>
      </c>
      <c r="L10582" s="2" t="s">
        <v>34</v>
      </c>
      <c r="M10582" s="7">
        <v>277.38200000000001</v>
      </c>
      <c r="N10582" s="6">
        <v>25.94</v>
      </c>
      <c r="O10582" s="6">
        <v>25.49</v>
      </c>
      <c r="P10582" s="2" t="s">
        <v>30848</v>
      </c>
      <c r="Q10582" s="6">
        <v>100</v>
      </c>
      <c r="R10582" s="6">
        <v>19.03</v>
      </c>
      <c r="S10582" s="5">
        <v>0.3</v>
      </c>
      <c r="T10582" s="2"/>
      <c r="U10582" s="2"/>
      <c r="V10582" s="2"/>
      <c r="W10582" s="2"/>
      <c r="X10582" s="5">
        <v>9.4</v>
      </c>
      <c r="Y10582" s="5">
        <v>9.4</v>
      </c>
      <c r="Z10582" s="5">
        <v>14.9</v>
      </c>
      <c r="AA10582" s="6">
        <v>0.97</v>
      </c>
      <c r="AB10582" s="2" t="s">
        <v>86</v>
      </c>
      <c r="AC10582" s="2"/>
    </row>
    <row r="10583" spans="1:29" ht="65" x14ac:dyDescent="0.15">
      <c r="A10583" s="3">
        <f>DATE(2013,7,24)</f>
        <v>41479</v>
      </c>
      <c r="B10583" s="3">
        <f>DATE(2013,10,7)</f>
        <v>41554</v>
      </c>
      <c r="C10583" s="2" t="s">
        <v>95</v>
      </c>
      <c r="D10583" s="2" t="s">
        <v>30849</v>
      </c>
      <c r="E10583" s="2" t="s">
        <v>30850</v>
      </c>
      <c r="F10583" s="4">
        <v>2341</v>
      </c>
      <c r="G10583" s="2" t="s">
        <v>708</v>
      </c>
      <c r="H10583" s="2" t="s">
        <v>34</v>
      </c>
      <c r="I10583" s="2" t="s">
        <v>30851</v>
      </c>
      <c r="J10583" s="2" t="s">
        <v>30852</v>
      </c>
      <c r="K10583" s="2" t="s">
        <v>708</v>
      </c>
      <c r="L10583" s="2" t="s">
        <v>34</v>
      </c>
      <c r="M10583" s="12">
        <v>5012.9309999999996</v>
      </c>
      <c r="N10583" s="6">
        <v>57.58</v>
      </c>
      <c r="O10583" s="6">
        <v>58.71</v>
      </c>
      <c r="P10583" s="2" t="s">
        <v>30853</v>
      </c>
      <c r="Q10583" s="6">
        <v>100</v>
      </c>
      <c r="R10583" s="6">
        <v>23.5</v>
      </c>
      <c r="S10583" s="5">
        <v>23</v>
      </c>
      <c r="T10583" s="7">
        <v>44.320999999999998</v>
      </c>
      <c r="U10583" s="5">
        <v>11.4</v>
      </c>
      <c r="V10583" s="7">
        <v>0.98199999999999998</v>
      </c>
      <c r="W10583" s="6">
        <v>18.63</v>
      </c>
      <c r="X10583" s="6">
        <v>19.09</v>
      </c>
      <c r="Y10583" s="6">
        <v>23.36</v>
      </c>
      <c r="Z10583" s="6">
        <v>23.35</v>
      </c>
      <c r="AA10583" s="6">
        <v>22.91</v>
      </c>
      <c r="AB10583" s="7">
        <v>14.96</v>
      </c>
      <c r="AC10583" s="6">
        <v>84.36</v>
      </c>
    </row>
    <row r="10584" spans="1:29" ht="78" x14ac:dyDescent="0.15">
      <c r="A10584" s="3">
        <f>DATE(2013,7,25)</f>
        <v>41480</v>
      </c>
      <c r="B10584" s="2"/>
      <c r="C10584" s="2" t="s">
        <v>30</v>
      </c>
      <c r="D10584" s="2" t="s">
        <v>30854</v>
      </c>
      <c r="E10584" s="2" t="s">
        <v>30855</v>
      </c>
      <c r="F10584" s="4">
        <v>5331</v>
      </c>
      <c r="G10584" s="2" t="s">
        <v>756</v>
      </c>
      <c r="H10584" s="2" t="s">
        <v>34</v>
      </c>
      <c r="I10584" s="2" t="s">
        <v>30856</v>
      </c>
      <c r="J10584" s="2" t="s">
        <v>244</v>
      </c>
      <c r="K10584" s="2" t="s">
        <v>53</v>
      </c>
      <c r="L10584" s="2" t="s">
        <v>34</v>
      </c>
      <c r="M10584" s="2"/>
      <c r="N10584" s="2"/>
      <c r="O10584" s="2"/>
      <c r="P10584" s="2" t="s">
        <v>30857</v>
      </c>
      <c r="Q10584" s="2"/>
      <c r="R10584" s="6">
        <v>14</v>
      </c>
      <c r="S10584" s="5">
        <v>0.9</v>
      </c>
      <c r="T10584" s="7">
        <v>14.324999999999999</v>
      </c>
      <c r="U10584" s="5">
        <v>30.9</v>
      </c>
      <c r="V10584" s="9">
        <v>0.32829999999999998</v>
      </c>
      <c r="W10584" s="5">
        <v>9.6</v>
      </c>
      <c r="X10584" s="6">
        <v>8.58</v>
      </c>
      <c r="Y10584" s="6">
        <v>13.81</v>
      </c>
      <c r="Z10584" s="6">
        <v>13.87</v>
      </c>
      <c r="AA10584" s="6">
        <v>3.26</v>
      </c>
      <c r="AB10584" s="7">
        <v>24.459</v>
      </c>
      <c r="AC10584" s="2"/>
    </row>
    <row r="10585" spans="1:29" ht="299" x14ac:dyDescent="0.15">
      <c r="A10585" s="3">
        <f>DATE(2013,7,28)</f>
        <v>41483</v>
      </c>
      <c r="B10585" s="2"/>
      <c r="C10585" s="2" t="s">
        <v>30</v>
      </c>
      <c r="D10585" s="2" t="s">
        <v>15386</v>
      </c>
      <c r="E10585" s="2" t="s">
        <v>15387</v>
      </c>
      <c r="F10585" s="4">
        <v>7311</v>
      </c>
      <c r="G10585" s="2" t="s">
        <v>4563</v>
      </c>
      <c r="H10585" s="2" t="s">
        <v>34</v>
      </c>
      <c r="I10585" s="2" t="s">
        <v>10959</v>
      </c>
      <c r="J10585" s="2" t="s">
        <v>10960</v>
      </c>
      <c r="K10585" s="2" t="s">
        <v>4563</v>
      </c>
      <c r="L10585" s="2" t="s">
        <v>133</v>
      </c>
      <c r="M10585" s="12">
        <v>15045.321</v>
      </c>
      <c r="N10585" s="6">
        <v>78.790000000000006</v>
      </c>
      <c r="O10585" s="6">
        <v>78.790000000000006</v>
      </c>
      <c r="P10585" s="2" t="s">
        <v>30858</v>
      </c>
      <c r="Q10585" s="2"/>
      <c r="R10585" s="6">
        <v>64.08</v>
      </c>
      <c r="S10585" s="5">
        <v>980.7</v>
      </c>
      <c r="T10585" s="8">
        <v>2116</v>
      </c>
      <c r="U10585" s="5">
        <v>11.9</v>
      </c>
      <c r="V10585" s="9">
        <v>3.7162000000000002</v>
      </c>
      <c r="W10585" s="5">
        <v>65.400000000000006</v>
      </c>
      <c r="X10585" s="5">
        <v>64.3</v>
      </c>
      <c r="Y10585" s="6">
        <v>65.11</v>
      </c>
      <c r="Z10585" s="6">
        <v>64.75</v>
      </c>
      <c r="AA10585" s="6">
        <v>257.19</v>
      </c>
      <c r="AB10585" s="7">
        <v>10.563000000000001</v>
      </c>
      <c r="AC10585" s="10">
        <v>1734.43</v>
      </c>
    </row>
    <row r="10586" spans="1:29" ht="130" x14ac:dyDescent="0.15">
      <c r="A10586" s="3">
        <f>DATE(2013,7,29)</f>
        <v>41484</v>
      </c>
      <c r="B10586" s="3">
        <f>DATE(2013,10,11)</f>
        <v>41558</v>
      </c>
      <c r="C10586" s="2" t="s">
        <v>95</v>
      </c>
      <c r="D10586" s="2" t="s">
        <v>30423</v>
      </c>
      <c r="E10586" s="2" t="s">
        <v>3322</v>
      </c>
      <c r="F10586" s="4">
        <v>8711</v>
      </c>
      <c r="G10586" s="2" t="s">
        <v>223</v>
      </c>
      <c r="H10586" s="2" t="s">
        <v>34</v>
      </c>
      <c r="I10586" s="2" t="s">
        <v>30859</v>
      </c>
      <c r="J10586" s="2" t="s">
        <v>30860</v>
      </c>
      <c r="K10586" s="2" t="s">
        <v>3562</v>
      </c>
      <c r="L10586" s="2" t="s">
        <v>34</v>
      </c>
      <c r="M10586" s="2"/>
      <c r="N10586" s="2"/>
      <c r="O10586" s="2"/>
      <c r="P10586" s="2" t="s">
        <v>30861</v>
      </c>
      <c r="Q10586" s="6">
        <v>100</v>
      </c>
      <c r="R10586" s="6">
        <v>40.5</v>
      </c>
      <c r="S10586" s="5">
        <v>9</v>
      </c>
      <c r="T10586" s="7">
        <v>29.056999999999999</v>
      </c>
      <c r="U10586" s="5">
        <v>24</v>
      </c>
      <c r="V10586" s="9">
        <v>0.90349999999999997</v>
      </c>
      <c r="W10586" s="6">
        <v>29.81</v>
      </c>
      <c r="X10586" s="5">
        <v>29.6</v>
      </c>
      <c r="Y10586" s="6">
        <v>40.39</v>
      </c>
      <c r="Z10586" s="6">
        <v>40.44</v>
      </c>
      <c r="AA10586" s="6">
        <v>9.67</v>
      </c>
      <c r="AB10586" s="7">
        <v>21.530999999999999</v>
      </c>
      <c r="AC10586" s="2"/>
    </row>
    <row r="10587" spans="1:29" ht="104" x14ac:dyDescent="0.15">
      <c r="A10587" s="3">
        <f>DATE(2013,7,29)</f>
        <v>41484</v>
      </c>
      <c r="B10587" s="3">
        <f>DATE(2013,11,4)</f>
        <v>41582</v>
      </c>
      <c r="C10587" s="2" t="s">
        <v>95</v>
      </c>
      <c r="D10587" s="2" t="s">
        <v>26153</v>
      </c>
      <c r="E10587" s="2" t="s">
        <v>1821</v>
      </c>
      <c r="F10587" s="4">
        <v>5311</v>
      </c>
      <c r="G10587" s="2" t="s">
        <v>756</v>
      </c>
      <c r="H10587" s="2" t="s">
        <v>34</v>
      </c>
      <c r="I10587" s="2" t="s">
        <v>30862</v>
      </c>
      <c r="J10587" s="2" t="s">
        <v>1821</v>
      </c>
      <c r="K10587" s="2" t="s">
        <v>756</v>
      </c>
      <c r="L10587" s="2" t="s">
        <v>902</v>
      </c>
      <c r="M10587" s="12">
        <v>2310.2550000000001</v>
      </c>
      <c r="N10587" s="7">
        <v>17.006</v>
      </c>
      <c r="O10587" s="7">
        <v>17.372</v>
      </c>
      <c r="P10587" s="2" t="s">
        <v>30863</v>
      </c>
      <c r="Q10587" s="6">
        <v>100</v>
      </c>
      <c r="R10587" s="6">
        <v>16</v>
      </c>
      <c r="S10587" s="5">
        <v>50.7</v>
      </c>
      <c r="T10587" s="7">
        <v>265.56599999999997</v>
      </c>
      <c r="U10587" s="5">
        <v>7.8</v>
      </c>
      <c r="V10587" s="9">
        <v>0.33739999999999998</v>
      </c>
      <c r="W10587" s="6">
        <v>12.08</v>
      </c>
      <c r="X10587" s="6">
        <v>12.28</v>
      </c>
      <c r="Y10587" s="6">
        <v>13.67</v>
      </c>
      <c r="Z10587" s="5">
        <v>15.5</v>
      </c>
      <c r="AA10587" s="6">
        <v>150.18</v>
      </c>
      <c r="AB10587" s="7">
        <v>18.673999999999999</v>
      </c>
      <c r="AC10587" s="6">
        <v>49.88</v>
      </c>
    </row>
    <row r="10588" spans="1:29" ht="234" x14ac:dyDescent="0.15">
      <c r="A10588" s="3">
        <f>DATE(2013,7,30)</f>
        <v>41485</v>
      </c>
      <c r="B10588" s="3">
        <f>DATE(2014,1,27)</f>
        <v>41666</v>
      </c>
      <c r="C10588" s="2" t="s">
        <v>95</v>
      </c>
      <c r="D10588" s="2" t="s">
        <v>30864</v>
      </c>
      <c r="E10588" s="2" t="s">
        <v>7399</v>
      </c>
      <c r="F10588" s="4">
        <v>8062</v>
      </c>
      <c r="G10588" s="2" t="s">
        <v>454</v>
      </c>
      <c r="H10588" s="2" t="s">
        <v>34</v>
      </c>
      <c r="I10588" s="2" t="s">
        <v>8081</v>
      </c>
      <c r="J10588" s="2" t="s">
        <v>25326</v>
      </c>
      <c r="K10588" s="2" t="s">
        <v>454</v>
      </c>
      <c r="L10588" s="2" t="s">
        <v>34</v>
      </c>
      <c r="M10588" s="12">
        <v>4386.7830000000004</v>
      </c>
      <c r="N10588" s="6">
        <v>45.58</v>
      </c>
      <c r="O10588" s="6">
        <v>46.06</v>
      </c>
      <c r="P10588" s="2" t="s">
        <v>30865</v>
      </c>
      <c r="Q10588" s="6">
        <v>100</v>
      </c>
      <c r="R10588" s="6">
        <v>13.78</v>
      </c>
      <c r="S10588" s="5">
        <v>120.1</v>
      </c>
      <c r="T10588" s="7">
        <v>774.17600000000004</v>
      </c>
      <c r="U10588" s="5">
        <v>4.2</v>
      </c>
      <c r="V10588" s="6">
        <v>0.48</v>
      </c>
      <c r="W10588" s="5">
        <v>13.6</v>
      </c>
      <c r="X10588" s="6">
        <v>13.93</v>
      </c>
      <c r="Y10588" s="6">
        <v>15.51</v>
      </c>
      <c r="Z10588" s="6">
        <v>16.02</v>
      </c>
      <c r="AA10588" s="6">
        <v>259.33</v>
      </c>
      <c r="AB10588" s="7">
        <v>19.152000000000001</v>
      </c>
      <c r="AC10588" s="6">
        <v>251.23</v>
      </c>
    </row>
    <row r="10589" spans="1:29" ht="182" x14ac:dyDescent="0.15">
      <c r="A10589" s="3">
        <f>DATE(2013,7,30)</f>
        <v>41485</v>
      </c>
      <c r="B10589" s="3">
        <f>DATE(2013,10,23)</f>
        <v>41570</v>
      </c>
      <c r="C10589" s="2" t="s">
        <v>95</v>
      </c>
      <c r="D10589" s="2" t="s">
        <v>30866</v>
      </c>
      <c r="E10589" s="2" t="s">
        <v>540</v>
      </c>
      <c r="F10589" s="4">
        <v>2834</v>
      </c>
      <c r="G10589" s="2" t="s">
        <v>130</v>
      </c>
      <c r="H10589" s="2" t="s">
        <v>34</v>
      </c>
      <c r="I10589" s="2" t="s">
        <v>27439</v>
      </c>
      <c r="J10589" s="2" t="s">
        <v>6292</v>
      </c>
      <c r="K10589" s="2" t="s">
        <v>130</v>
      </c>
      <c r="L10589" s="2" t="s">
        <v>34</v>
      </c>
      <c r="M10589" s="10">
        <v>3424.64</v>
      </c>
      <c r="N10589" s="4">
        <v>57</v>
      </c>
      <c r="O10589" s="6">
        <v>62.33</v>
      </c>
      <c r="P10589" s="2" t="s">
        <v>30867</v>
      </c>
      <c r="Q10589" s="6">
        <v>100</v>
      </c>
      <c r="R10589" s="6">
        <v>10.75</v>
      </c>
      <c r="S10589" s="5">
        <v>-24.6</v>
      </c>
      <c r="T10589" s="7">
        <v>-47.014000000000003</v>
      </c>
      <c r="U10589" s="5">
        <v>2.7</v>
      </c>
      <c r="V10589" s="6">
        <v>-0.51</v>
      </c>
      <c r="W10589" s="6">
        <v>11.29</v>
      </c>
      <c r="X10589" s="6">
        <v>10.72</v>
      </c>
      <c r="Y10589" s="6">
        <v>12.13</v>
      </c>
      <c r="Z10589" s="6">
        <v>12.12</v>
      </c>
      <c r="AA10589" s="6">
        <v>48.72</v>
      </c>
      <c r="AB10589" s="2" t="s">
        <v>86</v>
      </c>
      <c r="AC10589" s="6">
        <v>890.52</v>
      </c>
    </row>
    <row r="10590" spans="1:29" ht="130" x14ac:dyDescent="0.15">
      <c r="A10590" s="3">
        <f>DATE(2013,7,30)</f>
        <v>41485</v>
      </c>
      <c r="B10590" s="3">
        <f>DATE(2013,9,11)</f>
        <v>41528</v>
      </c>
      <c r="C10590" s="2" t="s">
        <v>95</v>
      </c>
      <c r="D10590" s="2" t="s">
        <v>30868</v>
      </c>
      <c r="E10590" s="2" t="s">
        <v>6292</v>
      </c>
      <c r="F10590" s="4">
        <v>2834</v>
      </c>
      <c r="G10590" s="2" t="s">
        <v>130</v>
      </c>
      <c r="H10590" s="2" t="s">
        <v>34</v>
      </c>
      <c r="I10590" s="2" t="s">
        <v>27439</v>
      </c>
      <c r="J10590" s="2" t="s">
        <v>6292</v>
      </c>
      <c r="K10590" s="2" t="s">
        <v>130</v>
      </c>
      <c r="L10590" s="2" t="s">
        <v>34</v>
      </c>
      <c r="M10590" s="10">
        <v>3424.64</v>
      </c>
      <c r="N10590" s="4">
        <v>57</v>
      </c>
      <c r="O10590" s="6">
        <v>62.33</v>
      </c>
      <c r="P10590" s="2" t="s">
        <v>30869</v>
      </c>
      <c r="Q10590" s="6">
        <v>100</v>
      </c>
      <c r="R10590" s="6">
        <v>13.5</v>
      </c>
      <c r="S10590" s="5">
        <v>-68.900000000000006</v>
      </c>
      <c r="T10590" s="7">
        <v>-67.322999999999993</v>
      </c>
      <c r="U10590" s="5">
        <v>1.1000000000000001</v>
      </c>
      <c r="V10590" s="9">
        <v>-1.6027</v>
      </c>
      <c r="W10590" s="6">
        <v>11.47</v>
      </c>
      <c r="X10590" s="6">
        <v>11.45</v>
      </c>
      <c r="Y10590" s="6">
        <v>11.71</v>
      </c>
      <c r="Z10590" s="5">
        <v>14.1</v>
      </c>
      <c r="AA10590" s="6">
        <v>47.87</v>
      </c>
      <c r="AB10590" s="2" t="s">
        <v>86</v>
      </c>
      <c r="AC10590" s="6">
        <v>890.52</v>
      </c>
    </row>
    <row r="10591" spans="1:29" ht="104" x14ac:dyDescent="0.15">
      <c r="A10591" s="3">
        <f>DATE(2013,7,31)</f>
        <v>41486</v>
      </c>
      <c r="B10591" s="2"/>
      <c r="C10591" s="2" t="s">
        <v>30</v>
      </c>
      <c r="D10591" s="2" t="s">
        <v>6936</v>
      </c>
      <c r="E10591" s="2" t="s">
        <v>92</v>
      </c>
      <c r="F10591" s="4">
        <v>6798</v>
      </c>
      <c r="G10591" s="2" t="s">
        <v>53</v>
      </c>
      <c r="H10591" s="2" t="s">
        <v>34</v>
      </c>
      <c r="I10591" s="2" t="s">
        <v>51</v>
      </c>
      <c r="J10591" s="2" t="s">
        <v>52</v>
      </c>
      <c r="K10591" s="2" t="s">
        <v>53</v>
      </c>
      <c r="L10591" s="2" t="s">
        <v>34</v>
      </c>
      <c r="M10591" s="2"/>
      <c r="N10591" s="2"/>
      <c r="O10591" s="2"/>
      <c r="P10591" s="2" t="s">
        <v>30870</v>
      </c>
      <c r="Q10591" s="2"/>
      <c r="R10591" s="6">
        <v>60</v>
      </c>
      <c r="S10591" s="5">
        <v>96.7</v>
      </c>
      <c r="T10591" s="7">
        <v>181.411</v>
      </c>
      <c r="U10591" s="5">
        <v>21.4</v>
      </c>
      <c r="V10591" s="6">
        <v>1.1399999999999999</v>
      </c>
      <c r="W10591" s="6">
        <v>51.56</v>
      </c>
      <c r="X10591" s="6">
        <v>51.67</v>
      </c>
      <c r="Y10591" s="6">
        <v>53.06</v>
      </c>
      <c r="Z10591" s="6">
        <v>52.62</v>
      </c>
      <c r="AA10591" s="6">
        <v>77.069999999999993</v>
      </c>
      <c r="AB10591" s="7">
        <v>80.284000000000006</v>
      </c>
      <c r="AC10591" s="2"/>
    </row>
    <row r="10592" spans="1:29" ht="91" x14ac:dyDescent="0.15">
      <c r="A10592" s="3">
        <f>DATE(2013,7,31)</f>
        <v>41486</v>
      </c>
      <c r="B10592" s="2"/>
      <c r="C10592" s="2" t="s">
        <v>87</v>
      </c>
      <c r="D10592" s="2" t="s">
        <v>25099</v>
      </c>
      <c r="E10592" s="2" t="s">
        <v>25100</v>
      </c>
      <c r="F10592" s="4">
        <v>5122</v>
      </c>
      <c r="G10592" s="2" t="s">
        <v>593</v>
      </c>
      <c r="H10592" s="2" t="s">
        <v>34</v>
      </c>
      <c r="I10592" s="2" t="s">
        <v>30871</v>
      </c>
      <c r="J10592" s="2" t="s">
        <v>150</v>
      </c>
      <c r="K10592" s="2" t="s">
        <v>53</v>
      </c>
      <c r="L10592" s="2" t="s">
        <v>34</v>
      </c>
      <c r="M10592" s="2"/>
      <c r="N10592" s="2"/>
      <c r="O10592" s="2"/>
      <c r="P10592" s="2" t="s">
        <v>30872</v>
      </c>
      <c r="Q10592" s="2"/>
      <c r="R10592" s="2"/>
      <c r="S10592" s="5">
        <v>491.6</v>
      </c>
      <c r="T10592" s="7">
        <v>752.71100000000001</v>
      </c>
      <c r="U10592" s="5">
        <v>4.2</v>
      </c>
      <c r="V10592" s="9">
        <v>4.6432000000000002</v>
      </c>
      <c r="W10592" s="13">
        <v>0</v>
      </c>
      <c r="X10592" s="6">
        <v>60.04</v>
      </c>
      <c r="Y10592" s="5">
        <v>65.5</v>
      </c>
      <c r="Z10592" s="6">
        <v>65.52</v>
      </c>
      <c r="AA10592" s="2"/>
      <c r="AB10592" s="2" t="s">
        <v>47</v>
      </c>
      <c r="AC10592" s="2"/>
    </row>
    <row r="10593" spans="1:29" ht="65" x14ac:dyDescent="0.15">
      <c r="A10593" s="3">
        <f>DATE(2013,8,3)</f>
        <v>41489</v>
      </c>
      <c r="B10593" s="2"/>
      <c r="C10593" s="2" t="s">
        <v>87</v>
      </c>
      <c r="D10593" s="2" t="s">
        <v>30873</v>
      </c>
      <c r="E10593" s="2" t="s">
        <v>30874</v>
      </c>
      <c r="F10593" s="4">
        <v>4841</v>
      </c>
      <c r="G10593" s="2" t="s">
        <v>45</v>
      </c>
      <c r="H10593" s="2" t="s">
        <v>34</v>
      </c>
      <c r="I10593" s="2" t="s">
        <v>14364</v>
      </c>
      <c r="J10593" s="2" t="s">
        <v>30875</v>
      </c>
      <c r="K10593" s="2" t="s">
        <v>45</v>
      </c>
      <c r="L10593" s="2" t="s">
        <v>34</v>
      </c>
      <c r="M10593" s="2"/>
      <c r="N10593" s="2"/>
      <c r="O10593" s="2"/>
      <c r="P10593" s="2" t="s">
        <v>30876</v>
      </c>
      <c r="Q10593" s="2"/>
      <c r="R10593" s="2"/>
      <c r="S10593" s="2"/>
      <c r="T10593" s="2"/>
      <c r="U10593" s="2"/>
      <c r="V10593" s="2"/>
      <c r="W10593" s="6">
        <v>126.61</v>
      </c>
      <c r="X10593" s="4">
        <v>134</v>
      </c>
      <c r="Y10593" s="6">
        <v>130.15</v>
      </c>
      <c r="Z10593" s="6">
        <v>130.15</v>
      </c>
      <c r="AA10593" s="6">
        <v>101.25</v>
      </c>
      <c r="AB10593" s="2" t="s">
        <v>47</v>
      </c>
      <c r="AC10593" s="2"/>
    </row>
    <row r="10594" spans="1:29" ht="117" x14ac:dyDescent="0.15">
      <c r="A10594" s="3">
        <f>DATE(2013,8,14)</f>
        <v>41500</v>
      </c>
      <c r="B10594" s="3">
        <f>DATE(2013,9,19)</f>
        <v>41536</v>
      </c>
      <c r="C10594" s="2" t="s">
        <v>95</v>
      </c>
      <c r="D10594" s="2" t="s">
        <v>30821</v>
      </c>
      <c r="E10594" s="2" t="s">
        <v>30822</v>
      </c>
      <c r="F10594" s="4">
        <v>3931</v>
      </c>
      <c r="G10594" s="2" t="s">
        <v>112</v>
      </c>
      <c r="H10594" s="2" t="s">
        <v>34</v>
      </c>
      <c r="I10594" s="2" t="s">
        <v>30877</v>
      </c>
      <c r="J10594" s="2" t="s">
        <v>28300</v>
      </c>
      <c r="K10594" s="2" t="s">
        <v>53</v>
      </c>
      <c r="L10594" s="2" t="s">
        <v>34</v>
      </c>
      <c r="M10594" s="2"/>
      <c r="N10594" s="2"/>
      <c r="O10594" s="2"/>
      <c r="P10594" s="2" t="s">
        <v>30878</v>
      </c>
      <c r="Q10594" s="6">
        <v>100</v>
      </c>
      <c r="R10594" s="6">
        <v>40</v>
      </c>
      <c r="S10594" s="5">
        <v>33.4</v>
      </c>
      <c r="T10594" s="7">
        <v>44.637</v>
      </c>
      <c r="U10594" s="5">
        <v>21.1</v>
      </c>
      <c r="V10594" s="9">
        <v>2.6785999999999999</v>
      </c>
      <c r="W10594" s="6">
        <v>36.159999999999997</v>
      </c>
      <c r="X10594" s="6">
        <v>38.270000000000003</v>
      </c>
      <c r="Y10594" s="6">
        <v>41.29</v>
      </c>
      <c r="Z10594" s="6">
        <v>40.58</v>
      </c>
      <c r="AA10594" s="6">
        <v>12.55</v>
      </c>
      <c r="AB10594" s="7">
        <v>13.196</v>
      </c>
      <c r="AC10594" s="6">
        <v>0.37</v>
      </c>
    </row>
    <row r="10595" spans="1:29" ht="104" x14ac:dyDescent="0.15">
      <c r="A10595" s="3">
        <f>DATE(2013,8,15)</f>
        <v>41501</v>
      </c>
      <c r="B10595" s="2"/>
      <c r="C10595" s="2" t="s">
        <v>87</v>
      </c>
      <c r="D10595" s="2" t="s">
        <v>14014</v>
      </c>
      <c r="E10595" s="2" t="s">
        <v>14015</v>
      </c>
      <c r="F10595" s="4">
        <v>2821</v>
      </c>
      <c r="G10595" s="2" t="s">
        <v>98</v>
      </c>
      <c r="H10595" s="2" t="s">
        <v>34</v>
      </c>
      <c r="I10595" s="2" t="s">
        <v>30879</v>
      </c>
      <c r="J10595" s="2" t="s">
        <v>150</v>
      </c>
      <c r="K10595" s="2" t="s">
        <v>53</v>
      </c>
      <c r="L10595" s="2" t="s">
        <v>34</v>
      </c>
      <c r="M10595" s="2"/>
      <c r="N10595" s="2"/>
      <c r="O10595" s="2"/>
      <c r="P10595" s="2" t="s">
        <v>30880</v>
      </c>
      <c r="Q10595" s="2"/>
      <c r="R10595" s="2"/>
      <c r="S10595" s="8">
        <v>4499</v>
      </c>
      <c r="T10595" s="8">
        <v>4821</v>
      </c>
      <c r="U10595" s="5">
        <v>14.1</v>
      </c>
      <c r="V10595" s="9">
        <v>2.3653</v>
      </c>
      <c r="W10595" s="6">
        <v>59.76</v>
      </c>
      <c r="X10595" s="6">
        <v>59.37</v>
      </c>
      <c r="Y10595" s="6">
        <v>58.74</v>
      </c>
      <c r="Z10595" s="6">
        <v>58.28</v>
      </c>
      <c r="AA10595" s="2"/>
      <c r="AB10595" s="2" t="s">
        <v>47</v>
      </c>
      <c r="AC10595" s="2"/>
    </row>
    <row r="10596" spans="1:29" ht="156" x14ac:dyDescent="0.15">
      <c r="A10596" s="3">
        <f>DATE(2013,8,15)</f>
        <v>41501</v>
      </c>
      <c r="B10596" s="3">
        <f>DATE(2014,6,2)</f>
        <v>41792</v>
      </c>
      <c r="C10596" s="2" t="s">
        <v>95</v>
      </c>
      <c r="D10596" s="2" t="s">
        <v>25097</v>
      </c>
      <c r="E10596" s="2" t="s">
        <v>2337</v>
      </c>
      <c r="F10596" s="4">
        <v>6029</v>
      </c>
      <c r="G10596" s="2" t="s">
        <v>37</v>
      </c>
      <c r="H10596" s="2" t="s">
        <v>34</v>
      </c>
      <c r="I10596" s="2" t="s">
        <v>30881</v>
      </c>
      <c r="J10596" s="2" t="s">
        <v>159</v>
      </c>
      <c r="K10596" s="2" t="s">
        <v>37</v>
      </c>
      <c r="L10596" s="2" t="s">
        <v>34</v>
      </c>
      <c r="M10596" s="7">
        <v>176.66499999999999</v>
      </c>
      <c r="N10596" s="6">
        <v>19.75</v>
      </c>
      <c r="O10596" s="6">
        <v>20.67</v>
      </c>
      <c r="P10596" s="2" t="s">
        <v>30882</v>
      </c>
      <c r="Q10596" s="6">
        <v>100</v>
      </c>
      <c r="R10596" s="6">
        <v>18.77</v>
      </c>
      <c r="S10596" s="5">
        <v>11.9</v>
      </c>
      <c r="T10596" s="6">
        <v>18.62</v>
      </c>
      <c r="U10596" s="5">
        <v>16.399999999999999</v>
      </c>
      <c r="V10596" s="6">
        <v>1.37</v>
      </c>
      <c r="W10596" s="6">
        <v>16.54</v>
      </c>
      <c r="X10596" s="6">
        <v>16.66</v>
      </c>
      <c r="Y10596" s="6">
        <v>17.66</v>
      </c>
      <c r="Z10596" s="6">
        <v>18.71</v>
      </c>
      <c r="AA10596" s="6">
        <v>8.07</v>
      </c>
      <c r="AB10596" s="7">
        <v>15.476000000000001</v>
      </c>
      <c r="AC10596" s="2"/>
    </row>
    <row r="10597" spans="1:29" ht="130" x14ac:dyDescent="0.15">
      <c r="A10597" s="3">
        <f>DATE(2013,8,15)</f>
        <v>41501</v>
      </c>
      <c r="B10597" s="3">
        <f>DATE(2013,10,1)</f>
        <v>41548</v>
      </c>
      <c r="C10597" s="2" t="s">
        <v>95</v>
      </c>
      <c r="D10597" s="2" t="s">
        <v>30883</v>
      </c>
      <c r="E10597" s="2" t="s">
        <v>207</v>
      </c>
      <c r="F10597" s="4">
        <v>3674</v>
      </c>
      <c r="G10597" s="2" t="s">
        <v>137</v>
      </c>
      <c r="H10597" s="2" t="s">
        <v>34</v>
      </c>
      <c r="I10597" s="2" t="s">
        <v>18405</v>
      </c>
      <c r="J10597" s="2" t="s">
        <v>13887</v>
      </c>
      <c r="K10597" s="2" t="s">
        <v>137</v>
      </c>
      <c r="L10597" s="2" t="s">
        <v>34</v>
      </c>
      <c r="M10597" s="12">
        <v>7805.9219999999996</v>
      </c>
      <c r="N10597" s="6">
        <v>27.76</v>
      </c>
      <c r="O10597" s="6">
        <v>27.87</v>
      </c>
      <c r="P10597" s="2" t="s">
        <v>30884</v>
      </c>
      <c r="Q10597" s="6">
        <v>100</v>
      </c>
      <c r="R10597" s="6">
        <v>23</v>
      </c>
      <c r="S10597" s="5">
        <v>14.4</v>
      </c>
      <c r="T10597" s="7">
        <v>22.125</v>
      </c>
      <c r="U10597" s="5">
        <v>7.8</v>
      </c>
      <c r="V10597" s="9">
        <v>0.55759999999999998</v>
      </c>
      <c r="W10597" s="6">
        <v>14.72</v>
      </c>
      <c r="X10597" s="5">
        <v>14.8</v>
      </c>
      <c r="Y10597" s="6">
        <v>22.91</v>
      </c>
      <c r="Z10597" s="5">
        <v>22.8</v>
      </c>
      <c r="AA10597" s="6">
        <v>25.1</v>
      </c>
      <c r="AB10597" s="7">
        <v>24.219000000000001</v>
      </c>
      <c r="AC10597" s="10">
        <v>1200.05</v>
      </c>
    </row>
    <row r="10598" spans="1:29" ht="91" x14ac:dyDescent="0.15">
      <c r="A10598" s="3">
        <f>DATE(2013,8,15)</f>
        <v>41501</v>
      </c>
      <c r="B10598" s="3">
        <f>DATE(2013,12,12)</f>
        <v>41620</v>
      </c>
      <c r="C10598" s="2" t="s">
        <v>95</v>
      </c>
      <c r="D10598" s="2" t="s">
        <v>30885</v>
      </c>
      <c r="E10598" s="2" t="s">
        <v>28300</v>
      </c>
      <c r="F10598" s="4">
        <v>6282</v>
      </c>
      <c r="G10598" s="2" t="s">
        <v>53</v>
      </c>
      <c r="H10598" s="2" t="s">
        <v>34</v>
      </c>
      <c r="I10598" s="2" t="s">
        <v>30886</v>
      </c>
      <c r="J10598" s="2" t="s">
        <v>80</v>
      </c>
      <c r="K10598" s="2" t="s">
        <v>53</v>
      </c>
      <c r="L10598" s="2" t="s">
        <v>34</v>
      </c>
      <c r="M10598" s="10">
        <v>2254.66</v>
      </c>
      <c r="N10598" s="6">
        <v>20.05</v>
      </c>
      <c r="O10598" s="6">
        <v>20.14</v>
      </c>
      <c r="P10598" s="2" t="s">
        <v>30887</v>
      </c>
      <c r="Q10598" s="6">
        <v>100</v>
      </c>
      <c r="R10598" s="6">
        <v>12</v>
      </c>
      <c r="S10598" s="5">
        <v>2.2000000000000002</v>
      </c>
      <c r="T10598" s="6">
        <v>-2.52</v>
      </c>
      <c r="U10598" s="5">
        <v>4.7</v>
      </c>
      <c r="V10598" s="6">
        <v>0.45</v>
      </c>
      <c r="W10598" s="6">
        <v>7.04</v>
      </c>
      <c r="X10598" s="6">
        <v>7.24</v>
      </c>
      <c r="Y10598" s="6">
        <v>7.24</v>
      </c>
      <c r="Z10598" s="6">
        <v>12.11</v>
      </c>
      <c r="AA10598" s="6">
        <v>5.0199999999999996</v>
      </c>
      <c r="AB10598" s="2" t="s">
        <v>47</v>
      </c>
      <c r="AC10598" s="2"/>
    </row>
    <row r="10599" spans="1:29" ht="104" x14ac:dyDescent="0.15">
      <c r="A10599" s="3">
        <f>DATE(2013,8,16)</f>
        <v>41502</v>
      </c>
      <c r="B10599" s="3">
        <f>DATE(2013,11,22)</f>
        <v>41600</v>
      </c>
      <c r="C10599" s="2" t="s">
        <v>95</v>
      </c>
      <c r="D10599" s="2" t="s">
        <v>30888</v>
      </c>
      <c r="E10599" s="2" t="s">
        <v>30889</v>
      </c>
      <c r="F10599" s="4">
        <v>8734</v>
      </c>
      <c r="G10599" s="2" t="s">
        <v>223</v>
      </c>
      <c r="H10599" s="2" t="s">
        <v>34</v>
      </c>
      <c r="I10599" s="2" t="s">
        <v>15654</v>
      </c>
      <c r="J10599" s="2" t="s">
        <v>244</v>
      </c>
      <c r="K10599" s="2" t="s">
        <v>53</v>
      </c>
      <c r="L10599" s="2" t="s">
        <v>34</v>
      </c>
      <c r="M10599" s="2"/>
      <c r="N10599" s="2"/>
      <c r="O10599" s="2"/>
      <c r="P10599" s="2" t="s">
        <v>30890</v>
      </c>
      <c r="Q10599" s="6">
        <v>100</v>
      </c>
      <c r="R10599" s="6">
        <v>23</v>
      </c>
      <c r="S10599" s="5">
        <v>4</v>
      </c>
      <c r="T10599" s="7">
        <v>22.215</v>
      </c>
      <c r="U10599" s="5">
        <v>6</v>
      </c>
      <c r="V10599" s="7">
        <v>0.27500000000000002</v>
      </c>
      <c r="W10599" s="6">
        <v>16.079999999999998</v>
      </c>
      <c r="X10599" s="6">
        <v>16.579999999999998</v>
      </c>
      <c r="Y10599" s="6">
        <v>22.89</v>
      </c>
      <c r="Z10599" s="6">
        <v>22.82</v>
      </c>
      <c r="AA10599" s="6">
        <v>11.7</v>
      </c>
      <c r="AB10599" s="7">
        <v>25.940999999999999</v>
      </c>
      <c r="AC10599" s="2"/>
    </row>
    <row r="10600" spans="1:29" ht="104" x14ac:dyDescent="0.15">
      <c r="A10600" s="3">
        <f>DATE(2013,8,26)</f>
        <v>41512</v>
      </c>
      <c r="B10600" s="3">
        <f>DATE(2013,12,11)</f>
        <v>41619</v>
      </c>
      <c r="C10600" s="2" t="s">
        <v>95</v>
      </c>
      <c r="D10600" s="2" t="s">
        <v>30891</v>
      </c>
      <c r="E10600" s="2" t="s">
        <v>4615</v>
      </c>
      <c r="F10600" s="4">
        <v>3663</v>
      </c>
      <c r="G10600" s="2" t="s">
        <v>921</v>
      </c>
      <c r="H10600" s="2" t="s">
        <v>34</v>
      </c>
      <c r="I10600" s="2" t="s">
        <v>30892</v>
      </c>
      <c r="J10600" s="2" t="s">
        <v>244</v>
      </c>
      <c r="K10600" s="2" t="s">
        <v>53</v>
      </c>
      <c r="L10600" s="2" t="s">
        <v>34</v>
      </c>
      <c r="M10600" s="2"/>
      <c r="N10600" s="2"/>
      <c r="O10600" s="2"/>
      <c r="P10600" s="2" t="s">
        <v>30893</v>
      </c>
      <c r="Q10600" s="6">
        <v>100</v>
      </c>
      <c r="R10600" s="6">
        <v>14.15</v>
      </c>
      <c r="S10600" s="5">
        <v>15.2</v>
      </c>
      <c r="T10600" s="7">
        <v>34.646000000000001</v>
      </c>
      <c r="U10600" s="5">
        <v>10.3</v>
      </c>
      <c r="V10600" s="6">
        <v>0.66</v>
      </c>
      <c r="W10600" s="6">
        <v>13.74</v>
      </c>
      <c r="X10600" s="5">
        <v>14.4</v>
      </c>
      <c r="Y10600" s="6">
        <v>13.96</v>
      </c>
      <c r="Z10600" s="6">
        <v>13.93</v>
      </c>
      <c r="AA10600" s="6">
        <v>23.66</v>
      </c>
      <c r="AB10600" s="7">
        <v>11.827999999999999</v>
      </c>
      <c r="AC10600" s="2"/>
    </row>
    <row r="10601" spans="1:29" ht="104" x14ac:dyDescent="0.15">
      <c r="A10601" s="3">
        <f>DATE(2013,8,26)</f>
        <v>41512</v>
      </c>
      <c r="B10601" s="3">
        <f>DATE(2013,10,16)</f>
        <v>41563</v>
      </c>
      <c r="C10601" s="2" t="s">
        <v>95</v>
      </c>
      <c r="D10601" s="2" t="s">
        <v>30894</v>
      </c>
      <c r="E10601" s="2" t="s">
        <v>30895</v>
      </c>
      <c r="F10601" s="4">
        <v>3312</v>
      </c>
      <c r="G10601" s="2" t="s">
        <v>163</v>
      </c>
      <c r="H10601" s="2" t="s">
        <v>34</v>
      </c>
      <c r="I10601" s="2" t="s">
        <v>30896</v>
      </c>
      <c r="J10601" s="2" t="s">
        <v>302</v>
      </c>
      <c r="K10601" s="2" t="s">
        <v>53</v>
      </c>
      <c r="L10601" s="2" t="s">
        <v>34</v>
      </c>
      <c r="M10601" s="2"/>
      <c r="N10601" s="2"/>
      <c r="O10601" s="2"/>
      <c r="P10601" s="2" t="s">
        <v>30897</v>
      </c>
      <c r="Q10601" s="6">
        <v>100</v>
      </c>
      <c r="R10601" s="6">
        <v>17.5</v>
      </c>
      <c r="S10601" s="5">
        <v>32.200000000000003</v>
      </c>
      <c r="T10601" s="7">
        <v>149.00299999999999</v>
      </c>
      <c r="U10601" s="5">
        <v>7.9</v>
      </c>
      <c r="V10601" s="9">
        <v>0.81789999999999996</v>
      </c>
      <c r="W10601" s="6">
        <v>15.09</v>
      </c>
      <c r="X10601" s="6">
        <v>15.57</v>
      </c>
      <c r="Y10601" s="6">
        <v>17.48</v>
      </c>
      <c r="Z10601" s="6">
        <v>17.420000000000002</v>
      </c>
      <c r="AA10601" s="6">
        <v>39.29</v>
      </c>
      <c r="AB10601" s="7">
        <v>13.734</v>
      </c>
      <c r="AC10601" s="2"/>
    </row>
    <row r="10602" spans="1:29" ht="78" x14ac:dyDescent="0.15">
      <c r="A10602" s="3">
        <f>DATE(2013,8,27)</f>
        <v>41513</v>
      </c>
      <c r="B10602" s="3">
        <f>DATE(2014,4,17)</f>
        <v>41746</v>
      </c>
      <c r="C10602" s="2" t="s">
        <v>95</v>
      </c>
      <c r="D10602" s="2" t="s">
        <v>30898</v>
      </c>
      <c r="E10602" s="2" t="s">
        <v>4011</v>
      </c>
      <c r="F10602" s="4">
        <v>2834</v>
      </c>
      <c r="G10602" s="2" t="s">
        <v>130</v>
      </c>
      <c r="H10602" s="2" t="s">
        <v>34</v>
      </c>
      <c r="I10602" s="2" t="s">
        <v>30899</v>
      </c>
      <c r="J10602" s="2" t="s">
        <v>13693</v>
      </c>
      <c r="K10602" s="2" t="s">
        <v>130</v>
      </c>
      <c r="L10602" s="2" t="s">
        <v>34</v>
      </c>
      <c r="M10602" s="12">
        <v>1346.8879999999999</v>
      </c>
      <c r="N10602" s="6">
        <v>18.02</v>
      </c>
      <c r="O10602" s="6">
        <v>18.29</v>
      </c>
      <c r="P10602" s="2" t="s">
        <v>30900</v>
      </c>
      <c r="Q10602" s="6">
        <v>100</v>
      </c>
      <c r="R10602" s="6">
        <v>43.5</v>
      </c>
      <c r="S10602" s="5">
        <v>14.8</v>
      </c>
      <c r="T10602" s="7">
        <v>29.861000000000001</v>
      </c>
      <c r="U10602" s="5">
        <v>18.5</v>
      </c>
      <c r="V10602" s="9">
        <v>1.0769</v>
      </c>
      <c r="W10602" s="6">
        <v>35.24</v>
      </c>
      <c r="X10602" s="6">
        <v>35.21</v>
      </c>
      <c r="Y10602" s="6">
        <v>42.99</v>
      </c>
      <c r="Z10602" s="6">
        <v>43.14</v>
      </c>
      <c r="AA10602" s="6">
        <v>13.59</v>
      </c>
      <c r="AB10602" s="7">
        <v>26.501999999999999</v>
      </c>
      <c r="AC10602" s="6">
        <v>58.41</v>
      </c>
    </row>
    <row r="10603" spans="1:29" ht="78" x14ac:dyDescent="0.15">
      <c r="A10603" s="3">
        <f>DATE(2013,8,28)</f>
        <v>41514</v>
      </c>
      <c r="B10603" s="3">
        <f>DATE(2013,10,16)</f>
        <v>41563</v>
      </c>
      <c r="C10603" s="2" t="s">
        <v>95</v>
      </c>
      <c r="D10603" s="2" t="s">
        <v>22851</v>
      </c>
      <c r="E10603" s="2" t="s">
        <v>22852</v>
      </c>
      <c r="F10603" s="4">
        <v>7376</v>
      </c>
      <c r="G10603" s="2" t="s">
        <v>223</v>
      </c>
      <c r="H10603" s="2" t="s">
        <v>34</v>
      </c>
      <c r="I10603" s="2" t="s">
        <v>30901</v>
      </c>
      <c r="J10603" s="2" t="s">
        <v>4572</v>
      </c>
      <c r="K10603" s="2" t="s">
        <v>223</v>
      </c>
      <c r="L10603" s="2" t="s">
        <v>34</v>
      </c>
      <c r="M10603" s="2"/>
      <c r="N10603" s="2"/>
      <c r="O10603" s="2"/>
      <c r="P10603" s="2" t="s">
        <v>30902</v>
      </c>
      <c r="Q10603" s="6">
        <v>100</v>
      </c>
      <c r="R10603" s="6">
        <v>6.45</v>
      </c>
      <c r="S10603" s="5">
        <v>0.3</v>
      </c>
      <c r="T10603" s="7">
        <v>1.107</v>
      </c>
      <c r="U10603" s="5">
        <v>3.9</v>
      </c>
      <c r="V10603" s="9">
        <v>7.0800000000000002E-2</v>
      </c>
      <c r="W10603" s="6">
        <v>4.09</v>
      </c>
      <c r="X10603" s="6">
        <v>4.01</v>
      </c>
      <c r="Y10603" s="6">
        <v>6.38</v>
      </c>
      <c r="Z10603" s="6">
        <v>6.38</v>
      </c>
      <c r="AA10603" s="6">
        <v>5.12</v>
      </c>
      <c r="AB10603" s="7">
        <v>61.41</v>
      </c>
      <c r="AC10603" s="2"/>
    </row>
    <row r="10604" spans="1:29" ht="117" x14ac:dyDescent="0.15">
      <c r="A10604" s="3">
        <f>DATE(2013,8,28)</f>
        <v>41514</v>
      </c>
      <c r="B10604" s="3">
        <f>DATE(2014,1,1)</f>
        <v>41640</v>
      </c>
      <c r="C10604" s="2" t="s">
        <v>95</v>
      </c>
      <c r="D10604" s="2" t="s">
        <v>27355</v>
      </c>
      <c r="E10604" s="2" t="s">
        <v>36</v>
      </c>
      <c r="F10604" s="4">
        <v>6021</v>
      </c>
      <c r="G10604" s="2" t="s">
        <v>37</v>
      </c>
      <c r="H10604" s="2" t="s">
        <v>34</v>
      </c>
      <c r="I10604" s="2" t="s">
        <v>30903</v>
      </c>
      <c r="J10604" s="2" t="s">
        <v>1181</v>
      </c>
      <c r="K10604" s="2" t="s">
        <v>37</v>
      </c>
      <c r="L10604" s="2" t="s">
        <v>34</v>
      </c>
      <c r="M10604" s="2"/>
      <c r="N10604" s="2"/>
      <c r="O10604" s="2"/>
      <c r="P10604" s="2" t="s">
        <v>30904</v>
      </c>
      <c r="Q10604" s="6">
        <v>100</v>
      </c>
      <c r="R10604" s="2"/>
      <c r="S10604" s="5">
        <v>2.5</v>
      </c>
      <c r="T10604" s="7">
        <v>3.391</v>
      </c>
      <c r="U10604" s="5">
        <v>0.5</v>
      </c>
      <c r="V10604" s="6">
        <v>0.28999999999999998</v>
      </c>
      <c r="W10604" s="6">
        <v>1.36</v>
      </c>
      <c r="X10604" s="6">
        <v>1.25</v>
      </c>
      <c r="Y10604" s="6">
        <v>0.36</v>
      </c>
      <c r="Z10604" s="6">
        <v>0.39</v>
      </c>
      <c r="AA10604" s="6">
        <v>5.2</v>
      </c>
      <c r="AB10604" s="7">
        <v>10.819000000000001</v>
      </c>
      <c r="AC10604" s="2"/>
    </row>
    <row r="10605" spans="1:29" ht="117" x14ac:dyDescent="0.15">
      <c r="A10605" s="3">
        <f>DATE(2013,8,29)</f>
        <v>41515</v>
      </c>
      <c r="B10605" s="3">
        <f>DATE(2014,4,1)</f>
        <v>41730</v>
      </c>
      <c r="C10605" s="2" t="s">
        <v>95</v>
      </c>
      <c r="D10605" s="2" t="s">
        <v>30905</v>
      </c>
      <c r="E10605" s="2" t="s">
        <v>36</v>
      </c>
      <c r="F10605" s="4">
        <v>6022</v>
      </c>
      <c r="G10605" s="2" t="s">
        <v>37</v>
      </c>
      <c r="H10605" s="2" t="s">
        <v>34</v>
      </c>
      <c r="I10605" s="2" t="s">
        <v>30906</v>
      </c>
      <c r="J10605" s="2" t="s">
        <v>36</v>
      </c>
      <c r="K10605" s="2" t="s">
        <v>37</v>
      </c>
      <c r="L10605" s="2" t="s">
        <v>34</v>
      </c>
      <c r="M10605" s="12">
        <v>3636.8850000000002</v>
      </c>
      <c r="N10605" s="6">
        <v>60.62</v>
      </c>
      <c r="O10605" s="5">
        <v>59.8</v>
      </c>
      <c r="P10605" s="2" t="s">
        <v>30907</v>
      </c>
      <c r="Q10605" s="6">
        <v>100</v>
      </c>
      <c r="R10605" s="2"/>
      <c r="S10605" s="2"/>
      <c r="T10605" s="2"/>
      <c r="U10605" s="2"/>
      <c r="V10605" s="2"/>
      <c r="W10605" s="4">
        <v>101</v>
      </c>
      <c r="X10605" s="4">
        <v>101</v>
      </c>
      <c r="Y10605" s="4">
        <v>101</v>
      </c>
      <c r="Z10605" s="4">
        <v>101</v>
      </c>
      <c r="AA10605" s="2"/>
      <c r="AB10605" s="2" t="s">
        <v>47</v>
      </c>
      <c r="AC10605" s="2"/>
    </row>
    <row r="10606" spans="1:29" ht="65" x14ac:dyDescent="0.15">
      <c r="A10606" s="3">
        <f>DATE(2013,9,3)</f>
        <v>41520</v>
      </c>
      <c r="B10606" s="2"/>
      <c r="C10606" s="2" t="s">
        <v>87</v>
      </c>
      <c r="D10606" s="2" t="s">
        <v>30908</v>
      </c>
      <c r="E10606" s="2" t="s">
        <v>30909</v>
      </c>
      <c r="F10606" s="4">
        <v>7372</v>
      </c>
      <c r="G10606" s="2" t="s">
        <v>551</v>
      </c>
      <c r="H10606" s="2" t="s">
        <v>34</v>
      </c>
      <c r="I10606" s="2" t="s">
        <v>143</v>
      </c>
      <c r="J10606" s="2" t="s">
        <v>144</v>
      </c>
      <c r="K10606" s="2" t="s">
        <v>53</v>
      </c>
      <c r="L10606" s="2" t="s">
        <v>139</v>
      </c>
      <c r="M10606" s="2"/>
      <c r="N10606" s="2"/>
      <c r="O10606" s="2"/>
      <c r="P10606" s="2" t="s">
        <v>30910</v>
      </c>
      <c r="Q10606" s="2"/>
      <c r="R10606" s="2"/>
      <c r="S10606" s="5">
        <v>18.399999999999999</v>
      </c>
      <c r="T10606" s="7">
        <v>28.882000000000001</v>
      </c>
      <c r="U10606" s="5">
        <v>7</v>
      </c>
      <c r="V10606" s="9">
        <v>0.65180000000000005</v>
      </c>
      <c r="W10606" s="6">
        <v>28.49</v>
      </c>
      <c r="X10606" s="6">
        <v>29.04</v>
      </c>
      <c r="Y10606" s="6">
        <v>29.96</v>
      </c>
      <c r="Z10606" s="6">
        <v>30.08</v>
      </c>
      <c r="AA10606" s="6">
        <v>26.47</v>
      </c>
      <c r="AB10606" s="2" t="s">
        <v>47</v>
      </c>
      <c r="AC10606" s="2"/>
    </row>
    <row r="10607" spans="1:29" ht="52" x14ac:dyDescent="0.15">
      <c r="A10607" s="3">
        <f>DATE(2013,9,3)</f>
        <v>41520</v>
      </c>
      <c r="B10607" s="2"/>
      <c r="C10607" s="2" t="s">
        <v>7330</v>
      </c>
      <c r="D10607" s="2" t="s">
        <v>30911</v>
      </c>
      <c r="E10607" s="2" t="s">
        <v>159</v>
      </c>
      <c r="F10607" s="4">
        <v>6021</v>
      </c>
      <c r="G10607" s="2" t="s">
        <v>37</v>
      </c>
      <c r="H10607" s="2" t="s">
        <v>34</v>
      </c>
      <c r="I10607" s="2" t="s">
        <v>30912</v>
      </c>
      <c r="J10607" s="2" t="s">
        <v>672</v>
      </c>
      <c r="K10607" s="2" t="s">
        <v>37</v>
      </c>
      <c r="L10607" s="2" t="s">
        <v>34</v>
      </c>
      <c r="M10607" s="2"/>
      <c r="N10607" s="2"/>
      <c r="O10607" s="2"/>
      <c r="P10607" s="2" t="s">
        <v>30913</v>
      </c>
      <c r="Q10607" s="2"/>
      <c r="R10607" s="2"/>
      <c r="S10607" s="5">
        <v>-0.6</v>
      </c>
      <c r="T10607" s="7">
        <v>-0.51400000000000001</v>
      </c>
      <c r="U10607" s="5">
        <v>18.7</v>
      </c>
      <c r="V10607" s="6">
        <v>-1.63</v>
      </c>
      <c r="W10607" s="5">
        <v>10.3</v>
      </c>
      <c r="X10607" s="5">
        <v>10.3</v>
      </c>
      <c r="Y10607" s="5">
        <v>10.3</v>
      </c>
      <c r="Z10607" s="5">
        <v>17.5</v>
      </c>
      <c r="AA10607" s="6">
        <v>0.38</v>
      </c>
      <c r="AB10607" s="2" t="s">
        <v>86</v>
      </c>
      <c r="AC10607" s="2"/>
    </row>
    <row r="10608" spans="1:29" ht="91" x14ac:dyDescent="0.15">
      <c r="A10608" s="3">
        <f>DATE(2013,9,4)</f>
        <v>41521</v>
      </c>
      <c r="B10608" s="3">
        <f>DATE(2013,11,14)</f>
        <v>41592</v>
      </c>
      <c r="C10608" s="2" t="s">
        <v>95</v>
      </c>
      <c r="D10608" s="2" t="s">
        <v>30914</v>
      </c>
      <c r="E10608" s="2" t="s">
        <v>30915</v>
      </c>
      <c r="F10608" s="4">
        <v>3841</v>
      </c>
      <c r="G10608" s="2" t="s">
        <v>226</v>
      </c>
      <c r="H10608" s="2" t="s">
        <v>34</v>
      </c>
      <c r="I10608" s="2" t="s">
        <v>6301</v>
      </c>
      <c r="J10608" s="2" t="s">
        <v>4476</v>
      </c>
      <c r="K10608" s="2" t="s">
        <v>226</v>
      </c>
      <c r="L10608" s="2" t="s">
        <v>34</v>
      </c>
      <c r="M10608" s="12">
        <v>9198.4240000000009</v>
      </c>
      <c r="N10608" s="6">
        <v>116.73</v>
      </c>
      <c r="O10608" s="6">
        <v>116.78</v>
      </c>
      <c r="P10608" s="2" t="s">
        <v>30916</v>
      </c>
      <c r="Q10608" s="6">
        <v>100</v>
      </c>
      <c r="R10608" s="6">
        <v>20</v>
      </c>
      <c r="S10608" s="5">
        <v>4.4000000000000004</v>
      </c>
      <c r="T10608" s="7">
        <v>9.2959999999999994</v>
      </c>
      <c r="U10608" s="5">
        <v>5.9</v>
      </c>
      <c r="V10608" s="6">
        <v>0.36</v>
      </c>
      <c r="W10608" s="6">
        <v>13.86</v>
      </c>
      <c r="X10608" s="6">
        <v>13.81</v>
      </c>
      <c r="Y10608" s="6">
        <v>19.91</v>
      </c>
      <c r="Z10608" s="6">
        <v>19.89</v>
      </c>
      <c r="AA10608" s="6">
        <v>12.36</v>
      </c>
      <c r="AB10608" s="7">
        <v>35.904000000000003</v>
      </c>
      <c r="AC10608" s="5">
        <v>873.2</v>
      </c>
    </row>
    <row r="10609" spans="1:29" ht="143" x14ac:dyDescent="0.15">
      <c r="A10609" s="3">
        <f>DATE(2013,9,5)</f>
        <v>41522</v>
      </c>
      <c r="B10609" s="3">
        <f>DATE(2013,10,11)</f>
        <v>41558</v>
      </c>
      <c r="C10609" s="2" t="s">
        <v>95</v>
      </c>
      <c r="D10609" s="2" t="s">
        <v>30917</v>
      </c>
      <c r="E10609" s="2" t="s">
        <v>839</v>
      </c>
      <c r="F10609" s="4">
        <v>2834</v>
      </c>
      <c r="G10609" s="2" t="s">
        <v>130</v>
      </c>
      <c r="H10609" s="2" t="s">
        <v>34</v>
      </c>
      <c r="I10609" s="2" t="s">
        <v>30918</v>
      </c>
      <c r="J10609" s="2" t="s">
        <v>13693</v>
      </c>
      <c r="K10609" s="2" t="s">
        <v>130</v>
      </c>
      <c r="L10609" s="2" t="s">
        <v>99</v>
      </c>
      <c r="M10609" s="12">
        <v>16994.462</v>
      </c>
      <c r="N10609" s="7">
        <v>29.456</v>
      </c>
      <c r="O10609" s="7">
        <v>29.515999999999998</v>
      </c>
      <c r="P10609" s="2" t="s">
        <v>30919</v>
      </c>
      <c r="Q10609" s="6">
        <v>100</v>
      </c>
      <c r="R10609" s="6">
        <v>8.5</v>
      </c>
      <c r="S10609" s="5">
        <v>-0.9</v>
      </c>
      <c r="T10609" s="7">
        <v>-1.2589999999999999</v>
      </c>
      <c r="U10609" s="5">
        <v>2.5</v>
      </c>
      <c r="V10609" s="9">
        <v>-8.3999999999999995E-3</v>
      </c>
      <c r="W10609" s="6">
        <v>6.87</v>
      </c>
      <c r="X10609" s="6">
        <v>8.27</v>
      </c>
      <c r="Y10609" s="6">
        <v>8.5500000000000007</v>
      </c>
      <c r="Z10609" s="6">
        <v>8.73</v>
      </c>
      <c r="AA10609" s="6">
        <v>94.94</v>
      </c>
      <c r="AB10609" s="2" t="s">
        <v>86</v>
      </c>
      <c r="AC10609" s="10">
        <v>5858.84</v>
      </c>
    </row>
    <row r="10610" spans="1:29" ht="169" x14ac:dyDescent="0.15">
      <c r="A10610" s="3">
        <f>DATE(2013,9,5)</f>
        <v>41522</v>
      </c>
      <c r="B10610" s="3">
        <f>DATE(2013,10,16)</f>
        <v>41563</v>
      </c>
      <c r="C10610" s="2" t="s">
        <v>95</v>
      </c>
      <c r="D10610" s="2" t="s">
        <v>6810</v>
      </c>
      <c r="E10610" s="2" t="s">
        <v>6811</v>
      </c>
      <c r="F10610" s="4">
        <v>3562</v>
      </c>
      <c r="G10610" s="2" t="s">
        <v>300</v>
      </c>
      <c r="H10610" s="2" t="s">
        <v>34</v>
      </c>
      <c r="I10610" s="2" t="s">
        <v>30920</v>
      </c>
      <c r="J10610" s="2" t="s">
        <v>30921</v>
      </c>
      <c r="K10610" s="2" t="s">
        <v>300</v>
      </c>
      <c r="L10610" s="2" t="s">
        <v>435</v>
      </c>
      <c r="M10610" s="12">
        <v>12599.109</v>
      </c>
      <c r="N10610" s="7">
        <v>26.952000000000002</v>
      </c>
      <c r="O10610" s="7">
        <v>27.122</v>
      </c>
      <c r="P10610" s="2" t="s">
        <v>30922</v>
      </c>
      <c r="Q10610" s="6">
        <v>100</v>
      </c>
      <c r="R10610" s="6">
        <v>35.5</v>
      </c>
      <c r="S10610" s="5">
        <v>-0.9</v>
      </c>
      <c r="T10610" s="7">
        <v>83.263999999999996</v>
      </c>
      <c r="U10610" s="5">
        <v>10.7</v>
      </c>
      <c r="V10610" s="9">
        <v>-2.46E-2</v>
      </c>
      <c r="W10610" s="6">
        <v>29.19</v>
      </c>
      <c r="X10610" s="5">
        <v>29.1</v>
      </c>
      <c r="Y10610" s="6">
        <v>35.549999999999997</v>
      </c>
      <c r="Z10610" s="5">
        <v>35.5</v>
      </c>
      <c r="AA10610" s="6">
        <v>32.21</v>
      </c>
      <c r="AB10610" s="7">
        <v>19.600999999999999</v>
      </c>
      <c r="AC10610" s="10">
        <v>1119.1099999999999</v>
      </c>
    </row>
    <row r="10611" spans="1:29" ht="182" x14ac:dyDescent="0.15">
      <c r="A10611" s="3">
        <f>DATE(2013,9,5)</f>
        <v>41522</v>
      </c>
      <c r="B10611" s="3">
        <f>DATE(2013,12,20)</f>
        <v>41628</v>
      </c>
      <c r="C10611" s="2" t="s">
        <v>95</v>
      </c>
      <c r="D10611" s="2" t="s">
        <v>30923</v>
      </c>
      <c r="E10611" s="2" t="s">
        <v>22279</v>
      </c>
      <c r="F10611" s="4">
        <v>6531</v>
      </c>
      <c r="G10611" s="2" t="s">
        <v>109</v>
      </c>
      <c r="H10611" s="2" t="s">
        <v>34</v>
      </c>
      <c r="I10611" s="2" t="s">
        <v>30924</v>
      </c>
      <c r="J10611" s="2" t="s">
        <v>92</v>
      </c>
      <c r="K10611" s="2" t="s">
        <v>53</v>
      </c>
      <c r="L10611" s="2" t="s">
        <v>34</v>
      </c>
      <c r="M10611" s="12">
        <v>1224.0119999999999</v>
      </c>
      <c r="N10611" s="6">
        <v>16.09</v>
      </c>
      <c r="O10611" s="6">
        <v>16.39</v>
      </c>
      <c r="P10611" s="2" t="s">
        <v>30925</v>
      </c>
      <c r="Q10611" s="6">
        <v>100</v>
      </c>
      <c r="R10611" s="6">
        <v>6.26</v>
      </c>
      <c r="S10611" s="5">
        <v>-32</v>
      </c>
      <c r="T10611" s="7">
        <v>-2.5630000000000002</v>
      </c>
      <c r="U10611" s="5">
        <v>2.8</v>
      </c>
      <c r="V10611" s="6">
        <v>-0.71</v>
      </c>
      <c r="W10611" s="6">
        <v>5.55</v>
      </c>
      <c r="X10611" s="5">
        <v>5.7</v>
      </c>
      <c r="Y10611" s="4">
        <v>6</v>
      </c>
      <c r="Z10611" s="6">
        <v>6.09</v>
      </c>
      <c r="AA10611" s="6">
        <v>46.97</v>
      </c>
      <c r="AB10611" s="2" t="s">
        <v>86</v>
      </c>
      <c r="AC10611" s="6">
        <v>30.24</v>
      </c>
    </row>
    <row r="10612" spans="1:29" ht="156" x14ac:dyDescent="0.15">
      <c r="A10612" s="3">
        <f>DATE(2013,9,9)</f>
        <v>41526</v>
      </c>
      <c r="B10612" s="3">
        <f>DATE(2014,9,19)</f>
        <v>41901</v>
      </c>
      <c r="C10612" s="2" t="s">
        <v>95</v>
      </c>
      <c r="D10612" s="2" t="s">
        <v>20553</v>
      </c>
      <c r="E10612" s="2" t="s">
        <v>20554</v>
      </c>
      <c r="F10612" s="4">
        <v>7011</v>
      </c>
      <c r="G10612" s="2" t="s">
        <v>269</v>
      </c>
      <c r="H10612" s="2" t="s">
        <v>34</v>
      </c>
      <c r="I10612" s="2" t="s">
        <v>30926</v>
      </c>
      <c r="J10612" s="2" t="s">
        <v>7716</v>
      </c>
      <c r="K10612" s="2" t="s">
        <v>269</v>
      </c>
      <c r="L10612" s="2" t="s">
        <v>34</v>
      </c>
      <c r="M10612" s="2"/>
      <c r="N10612" s="2"/>
      <c r="O10612" s="2"/>
      <c r="P10612" s="2" t="s">
        <v>30927</v>
      </c>
      <c r="Q10612" s="6">
        <v>100</v>
      </c>
      <c r="R10612" s="6">
        <v>6.05</v>
      </c>
      <c r="S10612" s="5">
        <v>-7.5</v>
      </c>
      <c r="T10612" s="7">
        <v>98.775000000000006</v>
      </c>
      <c r="U10612" s="5">
        <v>0.4</v>
      </c>
      <c r="V10612" s="9">
        <v>-0.26190000000000002</v>
      </c>
      <c r="W10612" s="6">
        <v>3.75</v>
      </c>
      <c r="X10612" s="6">
        <v>3.58</v>
      </c>
      <c r="Y10612" s="6">
        <v>4.05</v>
      </c>
      <c r="Z10612" s="5">
        <v>4.5999999999999996</v>
      </c>
      <c r="AA10612" s="6">
        <v>27.92</v>
      </c>
      <c r="AB10612" s="7">
        <v>9.3559999999999999</v>
      </c>
      <c r="AC10612" s="2"/>
    </row>
    <row r="10613" spans="1:29" ht="91" x14ac:dyDescent="0.15">
      <c r="A10613" s="3">
        <f>DATE(2013,9,9)</f>
        <v>41526</v>
      </c>
      <c r="B10613" s="3">
        <f>DATE(2013,12,9)</f>
        <v>41617</v>
      </c>
      <c r="C10613" s="2" t="s">
        <v>95</v>
      </c>
      <c r="D10613" s="2" t="s">
        <v>16341</v>
      </c>
      <c r="E10613" s="2" t="s">
        <v>500</v>
      </c>
      <c r="F10613" s="4">
        <v>3678</v>
      </c>
      <c r="G10613" s="2" t="s">
        <v>137</v>
      </c>
      <c r="H10613" s="2" t="s">
        <v>34</v>
      </c>
      <c r="I10613" s="2" t="s">
        <v>30928</v>
      </c>
      <c r="J10613" s="2" t="s">
        <v>6502</v>
      </c>
      <c r="K10613" s="2" t="s">
        <v>282</v>
      </c>
      <c r="L10613" s="2" t="s">
        <v>34</v>
      </c>
      <c r="M10613" s="2"/>
      <c r="N10613" s="2"/>
      <c r="O10613" s="2"/>
      <c r="P10613" s="2" t="s">
        <v>30929</v>
      </c>
      <c r="Q10613" s="6">
        <v>100</v>
      </c>
      <c r="R10613" s="6">
        <v>38.5</v>
      </c>
      <c r="S10613" s="5">
        <v>243.6</v>
      </c>
      <c r="T10613" s="7">
        <v>612.41700000000003</v>
      </c>
      <c r="U10613" s="5">
        <v>14.2</v>
      </c>
      <c r="V10613" s="9">
        <v>1.3585</v>
      </c>
      <c r="W10613" s="6">
        <v>29.02</v>
      </c>
      <c r="X10613" s="6">
        <v>29.34</v>
      </c>
      <c r="Y10613" s="6">
        <v>38.630000000000003</v>
      </c>
      <c r="Z10613" s="7">
        <v>38.645000000000003</v>
      </c>
      <c r="AA10613" s="6">
        <v>95.56</v>
      </c>
      <c r="AB10613" s="7">
        <v>17.756</v>
      </c>
      <c r="AC10613" s="2"/>
    </row>
    <row r="10614" spans="1:29" ht="143" x14ac:dyDescent="0.15">
      <c r="A10614" s="3">
        <f>DATE(2013,9,10)</f>
        <v>41527</v>
      </c>
      <c r="B10614" s="3">
        <f>DATE(2014,4,25)</f>
        <v>41754</v>
      </c>
      <c r="C10614" s="2" t="s">
        <v>95</v>
      </c>
      <c r="D10614" s="2" t="s">
        <v>30930</v>
      </c>
      <c r="E10614" s="2" t="s">
        <v>36</v>
      </c>
      <c r="F10614" s="4">
        <v>6021</v>
      </c>
      <c r="G10614" s="2" t="s">
        <v>37</v>
      </c>
      <c r="H10614" s="2" t="s">
        <v>34</v>
      </c>
      <c r="I10614" s="2" t="s">
        <v>30931</v>
      </c>
      <c r="J10614" s="2" t="s">
        <v>29798</v>
      </c>
      <c r="K10614" s="2" t="s">
        <v>37</v>
      </c>
      <c r="L10614" s="2" t="s">
        <v>34</v>
      </c>
      <c r="M10614" s="12">
        <v>1414.3520000000001</v>
      </c>
      <c r="N10614" s="5">
        <v>13.9</v>
      </c>
      <c r="O10614" s="6">
        <v>13.77</v>
      </c>
      <c r="P10614" s="2" t="s">
        <v>30932</v>
      </c>
      <c r="Q10614" s="6">
        <v>100</v>
      </c>
      <c r="R10614" s="6">
        <v>23.27</v>
      </c>
      <c r="S10614" s="5">
        <v>6.9</v>
      </c>
      <c r="T10614" s="7">
        <v>12.179</v>
      </c>
      <c r="U10614" s="5">
        <v>13.2</v>
      </c>
      <c r="V10614" s="6">
        <v>1.44</v>
      </c>
      <c r="W10614" s="6">
        <v>15.52</v>
      </c>
      <c r="X10614" s="6">
        <v>15.66</v>
      </c>
      <c r="Y10614" s="6">
        <v>22.75</v>
      </c>
      <c r="Z10614" s="6">
        <v>22.68</v>
      </c>
      <c r="AA10614" s="6">
        <v>4.67</v>
      </c>
      <c r="AB10614" s="7">
        <v>15.725</v>
      </c>
      <c r="AC10614" s="2"/>
    </row>
    <row r="10615" spans="1:29" ht="169" x14ac:dyDescent="0.15">
      <c r="A10615" s="3">
        <f>DATE(2013,9,11)</f>
        <v>41528</v>
      </c>
      <c r="B10615" s="3">
        <f>DATE(2014,4,18)</f>
        <v>41747</v>
      </c>
      <c r="C10615" s="2" t="s">
        <v>95</v>
      </c>
      <c r="D10615" s="2" t="s">
        <v>11988</v>
      </c>
      <c r="E10615" s="2" t="s">
        <v>36</v>
      </c>
      <c r="F10615" s="4">
        <v>6036</v>
      </c>
      <c r="G10615" s="2" t="s">
        <v>33</v>
      </c>
      <c r="H10615" s="2" t="s">
        <v>34</v>
      </c>
      <c r="I10615" s="2" t="s">
        <v>17438</v>
      </c>
      <c r="J10615" s="2" t="s">
        <v>36</v>
      </c>
      <c r="K10615" s="2" t="s">
        <v>33</v>
      </c>
      <c r="L10615" s="2" t="s">
        <v>34</v>
      </c>
      <c r="M10615" s="12">
        <v>3661.7469999999998</v>
      </c>
      <c r="N10615" s="6">
        <v>16.96</v>
      </c>
      <c r="O10615" s="6">
        <v>16.14</v>
      </c>
      <c r="P10615" s="2" t="s">
        <v>30933</v>
      </c>
      <c r="Q10615" s="6">
        <v>100</v>
      </c>
      <c r="R10615" s="6">
        <v>30.9</v>
      </c>
      <c r="S10615" s="5">
        <v>102</v>
      </c>
      <c r="T10615" s="7">
        <v>166.505</v>
      </c>
      <c r="U10615" s="5">
        <v>19.399999999999999</v>
      </c>
      <c r="V10615" s="6">
        <v>1.61</v>
      </c>
      <c r="W10615" s="5">
        <v>24.2</v>
      </c>
      <c r="X10615" s="6">
        <v>26.78</v>
      </c>
      <c r="Y10615" s="6">
        <v>27.72</v>
      </c>
      <c r="Z10615" s="6">
        <v>27.14</v>
      </c>
      <c r="AA10615" s="6">
        <v>62.31</v>
      </c>
      <c r="AB10615" s="7">
        <v>25.495999999999999</v>
      </c>
      <c r="AC10615" s="2"/>
    </row>
    <row r="10616" spans="1:29" ht="130" x14ac:dyDescent="0.15">
      <c r="A10616" s="3">
        <f>DATE(2013,9,12)</f>
        <v>41529</v>
      </c>
      <c r="B10616" s="3">
        <f>DATE(2014,9,4)</f>
        <v>41886</v>
      </c>
      <c r="C10616" s="2" t="s">
        <v>95</v>
      </c>
      <c r="D10616" s="2" t="s">
        <v>27333</v>
      </c>
      <c r="E10616" s="2" t="s">
        <v>27334</v>
      </c>
      <c r="F10616" s="4">
        <v>3143</v>
      </c>
      <c r="G10616" s="2" t="s">
        <v>326</v>
      </c>
      <c r="H10616" s="2" t="s">
        <v>34</v>
      </c>
      <c r="I10616" s="2" t="s">
        <v>27335</v>
      </c>
      <c r="J10616" s="2" t="s">
        <v>244</v>
      </c>
      <c r="K10616" s="2" t="s">
        <v>53</v>
      </c>
      <c r="L10616" s="2" t="s">
        <v>34</v>
      </c>
      <c r="M10616" s="2"/>
      <c r="N10616" s="2"/>
      <c r="O10616" s="2"/>
      <c r="P10616" s="2" t="s">
        <v>30934</v>
      </c>
      <c r="Q10616" s="6">
        <v>100</v>
      </c>
      <c r="R10616" s="6">
        <v>19</v>
      </c>
      <c r="S10616" s="5">
        <v>13.7</v>
      </c>
      <c r="T10616" s="7">
        <v>20.448</v>
      </c>
      <c r="U10616" s="5">
        <v>8.6</v>
      </c>
      <c r="V10616" s="9">
        <v>1.1849000000000001</v>
      </c>
      <c r="W10616" s="6">
        <v>16.62</v>
      </c>
      <c r="X10616" s="6">
        <v>19.11</v>
      </c>
      <c r="Y10616" s="6">
        <v>18.89</v>
      </c>
      <c r="Z10616" s="6">
        <v>18.989999999999998</v>
      </c>
      <c r="AA10616" s="6">
        <v>11.42</v>
      </c>
      <c r="AB10616" s="7">
        <v>10.606</v>
      </c>
      <c r="AC10616" s="2"/>
    </row>
    <row r="10617" spans="1:29" ht="78" x14ac:dyDescent="0.15">
      <c r="A10617" s="3">
        <f>DATE(2013,9,16)</f>
        <v>41533</v>
      </c>
      <c r="B10617" s="3">
        <f>DATE(2013,10,25)</f>
        <v>41572</v>
      </c>
      <c r="C10617" s="2" t="s">
        <v>95</v>
      </c>
      <c r="D10617" s="2" t="s">
        <v>30935</v>
      </c>
      <c r="E10617" s="2" t="s">
        <v>30936</v>
      </c>
      <c r="F10617" s="4">
        <v>2671</v>
      </c>
      <c r="G10617" s="2" t="s">
        <v>282</v>
      </c>
      <c r="H10617" s="2" t="s">
        <v>34</v>
      </c>
      <c r="I10617" s="2" t="s">
        <v>30937</v>
      </c>
      <c r="J10617" s="2" t="s">
        <v>19866</v>
      </c>
      <c r="K10617" s="2" t="s">
        <v>282</v>
      </c>
      <c r="L10617" s="2" t="s">
        <v>34</v>
      </c>
      <c r="M10617" s="12">
        <v>5211.8310000000001</v>
      </c>
      <c r="N10617" s="6">
        <v>60.43</v>
      </c>
      <c r="O10617" s="6">
        <v>59.95</v>
      </c>
      <c r="P10617" s="2" t="s">
        <v>30938</v>
      </c>
      <c r="Q10617" s="6">
        <v>100</v>
      </c>
      <c r="R10617" s="6">
        <v>12.55</v>
      </c>
      <c r="S10617" s="5">
        <v>13.7</v>
      </c>
      <c r="T10617" s="7">
        <v>279.911</v>
      </c>
      <c r="U10617" s="5">
        <v>7.4</v>
      </c>
      <c r="V10617" s="9">
        <v>0.1356</v>
      </c>
      <c r="W10617" s="6">
        <v>9.0399999999999991</v>
      </c>
      <c r="X10617" s="6">
        <v>9.9600000000000009</v>
      </c>
      <c r="Y10617" s="6">
        <v>12.56</v>
      </c>
      <c r="Z10617" s="5">
        <v>12.6</v>
      </c>
      <c r="AA10617" s="6">
        <v>100.88</v>
      </c>
      <c r="AB10617" s="7">
        <v>17.988</v>
      </c>
      <c r="AC10617" s="6">
        <v>370.06</v>
      </c>
    </row>
    <row r="10618" spans="1:29" ht="104" x14ac:dyDescent="0.15">
      <c r="A10618" s="3">
        <f>DATE(2013,9,18)</f>
        <v>41535</v>
      </c>
      <c r="B10618" s="3">
        <f>DATE(2014,1,17)</f>
        <v>41656</v>
      </c>
      <c r="C10618" s="2" t="s">
        <v>95</v>
      </c>
      <c r="D10618" s="2" t="s">
        <v>30939</v>
      </c>
      <c r="E10618" s="2" t="s">
        <v>36</v>
      </c>
      <c r="F10618" s="4">
        <v>6021</v>
      </c>
      <c r="G10618" s="2" t="s">
        <v>37</v>
      </c>
      <c r="H10618" s="2" t="s">
        <v>34</v>
      </c>
      <c r="I10618" s="2" t="s">
        <v>25462</v>
      </c>
      <c r="J10618" s="2" t="s">
        <v>36</v>
      </c>
      <c r="K10618" s="2" t="s">
        <v>37</v>
      </c>
      <c r="L10618" s="2" t="s">
        <v>34</v>
      </c>
      <c r="M10618" s="10">
        <v>5069.4399999999996</v>
      </c>
      <c r="N10618" s="6">
        <v>30.14</v>
      </c>
      <c r="O10618" s="6">
        <v>30.03</v>
      </c>
      <c r="P10618" s="2" t="s">
        <v>30940</v>
      </c>
      <c r="Q10618" s="6">
        <v>100</v>
      </c>
      <c r="R10618" s="6">
        <v>14.6</v>
      </c>
      <c r="S10618" s="5">
        <v>12.1</v>
      </c>
      <c r="T10618" s="7">
        <v>18.395</v>
      </c>
      <c r="U10618" s="5">
        <v>9.5</v>
      </c>
      <c r="V10618" s="6">
        <v>0.61</v>
      </c>
      <c r="W10618" s="5">
        <v>10.7</v>
      </c>
      <c r="X10618" s="6">
        <v>10.84</v>
      </c>
      <c r="Y10618" s="6">
        <v>10.85</v>
      </c>
      <c r="Z10618" s="6">
        <v>13.63</v>
      </c>
      <c r="AA10618" s="6">
        <v>18.7</v>
      </c>
      <c r="AB10618" s="7">
        <v>20.446000000000002</v>
      </c>
      <c r="AC10618" s="2"/>
    </row>
    <row r="10619" spans="1:29" ht="78" x14ac:dyDescent="0.15">
      <c r="A10619" s="3">
        <f>DATE(2013,9,18)</f>
        <v>41535</v>
      </c>
      <c r="B10619" s="2"/>
      <c r="C10619" s="2" t="s">
        <v>30</v>
      </c>
      <c r="D10619" s="2" t="s">
        <v>30941</v>
      </c>
      <c r="E10619" s="2" t="s">
        <v>8293</v>
      </c>
      <c r="F10619" s="4">
        <v>2834</v>
      </c>
      <c r="G10619" s="2" t="s">
        <v>130</v>
      </c>
      <c r="H10619" s="2" t="s">
        <v>34</v>
      </c>
      <c r="I10619" s="2" t="s">
        <v>30942</v>
      </c>
      <c r="J10619" s="2" t="s">
        <v>540</v>
      </c>
      <c r="K10619" s="2" t="s">
        <v>130</v>
      </c>
      <c r="L10619" s="2" t="s">
        <v>34</v>
      </c>
      <c r="M10619" s="7">
        <v>108.724</v>
      </c>
      <c r="N10619" s="6">
        <v>6.88</v>
      </c>
      <c r="O10619" s="6">
        <v>7.25</v>
      </c>
      <c r="P10619" s="2" t="s">
        <v>30943</v>
      </c>
      <c r="Q10619" s="2"/>
      <c r="R10619" s="6">
        <v>4</v>
      </c>
      <c r="S10619" s="5">
        <v>-18.899999999999999</v>
      </c>
      <c r="T10619" s="7">
        <v>-15.651999999999999</v>
      </c>
      <c r="U10619" s="5">
        <v>51.1</v>
      </c>
      <c r="V10619" s="9">
        <v>-11.440300000000001</v>
      </c>
      <c r="W10619" s="6">
        <v>3.17</v>
      </c>
      <c r="X10619" s="6">
        <v>3.32</v>
      </c>
      <c r="Y10619" s="6">
        <v>3.59</v>
      </c>
      <c r="Z10619" s="6">
        <v>3.76</v>
      </c>
      <c r="AA10619" s="6">
        <v>18.760000000000002</v>
      </c>
      <c r="AB10619" s="2" t="s">
        <v>86</v>
      </c>
      <c r="AC10619" s="6">
        <v>0.28999999999999998</v>
      </c>
    </row>
    <row r="10620" spans="1:29" ht="52" x14ac:dyDescent="0.15">
      <c r="A10620" s="3">
        <f>DATE(2013,9,19)</f>
        <v>41536</v>
      </c>
      <c r="B10620" s="2"/>
      <c r="C10620" s="2" t="s">
        <v>87</v>
      </c>
      <c r="D10620" s="2" t="s">
        <v>30944</v>
      </c>
      <c r="E10620" s="2" t="s">
        <v>4727</v>
      </c>
      <c r="F10620" s="4">
        <v>6141</v>
      </c>
      <c r="G10620" s="2" t="s">
        <v>370</v>
      </c>
      <c r="H10620" s="2" t="s">
        <v>34</v>
      </c>
      <c r="I10620" s="2" t="s">
        <v>143</v>
      </c>
      <c r="J10620" s="2" t="s">
        <v>144</v>
      </c>
      <c r="K10620" s="2" t="s">
        <v>53</v>
      </c>
      <c r="L10620" s="2" t="s">
        <v>139</v>
      </c>
      <c r="M10620" s="2"/>
      <c r="N10620" s="2"/>
      <c r="O10620" s="2"/>
      <c r="P10620" s="2" t="s">
        <v>30945</v>
      </c>
      <c r="Q10620" s="2"/>
      <c r="R10620" s="2"/>
      <c r="S10620" s="5">
        <v>24.1</v>
      </c>
      <c r="T10620" s="2"/>
      <c r="U10620" s="5">
        <v>12.4</v>
      </c>
      <c r="V10620" s="6">
        <v>0.45</v>
      </c>
      <c r="W10620" s="6">
        <v>14.56</v>
      </c>
      <c r="X10620" s="6">
        <v>17.760000000000002</v>
      </c>
      <c r="Y10620" s="6">
        <v>18.54</v>
      </c>
      <c r="Z10620" s="6">
        <v>18.559999999999999</v>
      </c>
      <c r="AA10620" s="6">
        <v>48.61</v>
      </c>
      <c r="AB10620" s="2" t="s">
        <v>47</v>
      </c>
      <c r="AC10620" s="2"/>
    </row>
    <row r="10621" spans="1:29" ht="130" x14ac:dyDescent="0.15">
      <c r="A10621" s="3">
        <f>DATE(2013,9,20)</f>
        <v>41537</v>
      </c>
      <c r="B10621" s="3">
        <f>DATE(2013,10,31)</f>
        <v>41578</v>
      </c>
      <c r="C10621" s="2" t="s">
        <v>95</v>
      </c>
      <c r="D10621" s="2" t="s">
        <v>30946</v>
      </c>
      <c r="E10621" s="2" t="s">
        <v>30947</v>
      </c>
      <c r="F10621" s="4">
        <v>2869</v>
      </c>
      <c r="G10621" s="2" t="s">
        <v>98</v>
      </c>
      <c r="H10621" s="2" t="s">
        <v>34</v>
      </c>
      <c r="I10621" s="2" t="s">
        <v>30948</v>
      </c>
      <c r="J10621" s="2" t="s">
        <v>30949</v>
      </c>
      <c r="K10621" s="2" t="s">
        <v>98</v>
      </c>
      <c r="L10621" s="2" t="s">
        <v>34</v>
      </c>
      <c r="M10621" s="2"/>
      <c r="N10621" s="2"/>
      <c r="O10621" s="2"/>
      <c r="P10621" s="2" t="s">
        <v>30950</v>
      </c>
      <c r="Q10621" s="6">
        <v>100</v>
      </c>
      <c r="R10621" s="6">
        <v>4</v>
      </c>
      <c r="S10621" s="5">
        <v>-20.100000000000001</v>
      </c>
      <c r="T10621" s="7">
        <v>-11.644</v>
      </c>
      <c r="U10621" s="5">
        <v>1.6</v>
      </c>
      <c r="V10621" s="9">
        <v>-1.5296000000000001</v>
      </c>
      <c r="W10621" s="6">
        <v>2.97</v>
      </c>
      <c r="X10621" s="6">
        <v>2.5099999999999998</v>
      </c>
      <c r="Y10621" s="6">
        <v>3.97</v>
      </c>
      <c r="Z10621" s="6">
        <v>3.97</v>
      </c>
      <c r="AA10621" s="6">
        <v>12.78</v>
      </c>
      <c r="AB10621" s="2" t="s">
        <v>86</v>
      </c>
      <c r="AC10621" s="2"/>
    </row>
    <row r="10622" spans="1:29" ht="156" x14ac:dyDescent="0.15">
      <c r="A10622" s="3">
        <f>DATE(2013,9,23)</f>
        <v>41540</v>
      </c>
      <c r="B10622" s="3">
        <f>DATE(2013,11,4)</f>
        <v>41582</v>
      </c>
      <c r="C10622" s="2" t="s">
        <v>95</v>
      </c>
      <c r="D10622" s="2" t="s">
        <v>30951</v>
      </c>
      <c r="E10622" s="2" t="s">
        <v>23412</v>
      </c>
      <c r="F10622" s="4">
        <v>7373</v>
      </c>
      <c r="G10622" s="2" t="s">
        <v>223</v>
      </c>
      <c r="H10622" s="2" t="s">
        <v>34</v>
      </c>
      <c r="I10622" s="2" t="s">
        <v>30736</v>
      </c>
      <c r="J10622" s="2" t="s">
        <v>244</v>
      </c>
      <c r="K10622" s="2" t="s">
        <v>53</v>
      </c>
      <c r="L10622" s="2" t="s">
        <v>34</v>
      </c>
      <c r="M10622" s="2"/>
      <c r="N10622" s="2"/>
      <c r="O10622" s="2"/>
      <c r="P10622" s="2" t="s">
        <v>30952</v>
      </c>
      <c r="Q10622" s="6">
        <v>100</v>
      </c>
      <c r="R10622" s="6">
        <v>20.350000000000001</v>
      </c>
      <c r="S10622" s="5">
        <v>-5.0999999999999996</v>
      </c>
      <c r="T10622" s="7">
        <v>2.2189999999999999</v>
      </c>
      <c r="U10622" s="5">
        <v>3.4</v>
      </c>
      <c r="V10622" s="9">
        <v>-0.17130000000000001</v>
      </c>
      <c r="W10622" s="5">
        <v>16.3</v>
      </c>
      <c r="X10622" s="6">
        <v>16.95</v>
      </c>
      <c r="Y10622" s="6">
        <v>17.13</v>
      </c>
      <c r="Z10622" s="5">
        <v>20.399999999999999</v>
      </c>
      <c r="AA10622" s="6">
        <v>29.81</v>
      </c>
      <c r="AB10622" s="2" t="s">
        <v>86</v>
      </c>
      <c r="AC10622" s="2"/>
    </row>
    <row r="10623" spans="1:29" ht="65" x14ac:dyDescent="0.15">
      <c r="A10623" s="3">
        <f>DATE(2013,9,23)</f>
        <v>41540</v>
      </c>
      <c r="B10623" s="3">
        <f>DATE(2013,11,5)</f>
        <v>41583</v>
      </c>
      <c r="C10623" s="2" t="s">
        <v>95</v>
      </c>
      <c r="D10623" s="2" t="s">
        <v>30953</v>
      </c>
      <c r="E10623" s="2" t="s">
        <v>30954</v>
      </c>
      <c r="F10623" s="4">
        <v>7389</v>
      </c>
      <c r="G10623" s="2" t="s">
        <v>223</v>
      </c>
      <c r="H10623" s="2" t="s">
        <v>34</v>
      </c>
      <c r="I10623" s="2" t="s">
        <v>29418</v>
      </c>
      <c r="J10623" s="2" t="s">
        <v>29419</v>
      </c>
      <c r="K10623" s="2" t="s">
        <v>551</v>
      </c>
      <c r="L10623" s="2" t="s">
        <v>34</v>
      </c>
      <c r="M10623" s="12">
        <v>1944.374</v>
      </c>
      <c r="N10623" s="6">
        <v>53.01</v>
      </c>
      <c r="O10623" s="6">
        <v>53.44</v>
      </c>
      <c r="P10623" s="2" t="s">
        <v>30955</v>
      </c>
      <c r="Q10623" s="6">
        <v>100</v>
      </c>
      <c r="R10623" s="6">
        <v>8.35</v>
      </c>
      <c r="S10623" s="5">
        <v>-2.7</v>
      </c>
      <c r="T10623" s="7">
        <v>3.286</v>
      </c>
      <c r="U10623" s="5">
        <v>3.9</v>
      </c>
      <c r="V10623" s="9">
        <v>-0.17119999999999999</v>
      </c>
      <c r="W10623" s="6">
        <v>8.43</v>
      </c>
      <c r="X10623" s="5">
        <v>8.5</v>
      </c>
      <c r="Y10623" s="6">
        <v>8.35</v>
      </c>
      <c r="Z10623" s="6">
        <v>8.34</v>
      </c>
      <c r="AA10623" s="6">
        <v>16.73</v>
      </c>
      <c r="AB10623" s="2" t="s">
        <v>86</v>
      </c>
      <c r="AC10623" s="6">
        <v>107.74</v>
      </c>
    </row>
    <row r="10624" spans="1:29" ht="65" x14ac:dyDescent="0.15">
      <c r="A10624" s="3">
        <f>DATE(2013,9,24)</f>
        <v>41541</v>
      </c>
      <c r="B10624" s="3">
        <f>DATE(2014,1,1)</f>
        <v>41640</v>
      </c>
      <c r="C10624" s="2" t="s">
        <v>95</v>
      </c>
      <c r="D10624" s="2" t="s">
        <v>30956</v>
      </c>
      <c r="E10624" s="2" t="s">
        <v>515</v>
      </c>
      <c r="F10624" s="4">
        <v>6331</v>
      </c>
      <c r="G10624" s="2" t="s">
        <v>125</v>
      </c>
      <c r="H10624" s="2" t="s">
        <v>34</v>
      </c>
      <c r="I10624" s="2" t="s">
        <v>19828</v>
      </c>
      <c r="J10624" s="2" t="s">
        <v>19829</v>
      </c>
      <c r="K10624" s="2" t="s">
        <v>125</v>
      </c>
      <c r="L10624" s="2" t="s">
        <v>34</v>
      </c>
      <c r="M10624" s="8">
        <v>2974.3</v>
      </c>
      <c r="N10624" s="6">
        <v>45.45</v>
      </c>
      <c r="O10624" s="6">
        <v>45.91</v>
      </c>
      <c r="P10624" s="2" t="s">
        <v>30957</v>
      </c>
      <c r="Q10624" s="6">
        <v>100</v>
      </c>
      <c r="R10624" s="6">
        <v>24.5</v>
      </c>
      <c r="S10624" s="5">
        <v>12.1</v>
      </c>
      <c r="T10624" s="7">
        <v>17.108000000000001</v>
      </c>
      <c r="U10624" s="5">
        <v>17.8</v>
      </c>
      <c r="V10624" s="6">
        <v>1.59</v>
      </c>
      <c r="W10624" s="6">
        <v>20.420000000000002</v>
      </c>
      <c r="X10624" s="6">
        <v>21.16</v>
      </c>
      <c r="Y10624" s="6">
        <v>24.42</v>
      </c>
      <c r="Z10624" s="5">
        <v>24.4</v>
      </c>
      <c r="AA10624" s="6">
        <v>7.92</v>
      </c>
      <c r="AB10624" s="7">
        <v>9.9589999999999996</v>
      </c>
      <c r="AC10624" s="6">
        <v>119.23</v>
      </c>
    </row>
    <row r="10625" spans="1:29" ht="65" x14ac:dyDescent="0.15">
      <c r="A10625" s="3">
        <f>DATE(2013,9,24)</f>
        <v>41541</v>
      </c>
      <c r="B10625" s="2"/>
      <c r="C10625" s="2" t="s">
        <v>30</v>
      </c>
      <c r="D10625" s="2" t="s">
        <v>30958</v>
      </c>
      <c r="E10625" s="2" t="s">
        <v>18148</v>
      </c>
      <c r="F10625" s="4">
        <v>6035</v>
      </c>
      <c r="G10625" s="2" t="s">
        <v>33</v>
      </c>
      <c r="H10625" s="2" t="s">
        <v>34</v>
      </c>
      <c r="I10625" s="2" t="s">
        <v>30959</v>
      </c>
      <c r="J10625" s="2" t="s">
        <v>36</v>
      </c>
      <c r="K10625" s="2" t="s">
        <v>37</v>
      </c>
      <c r="L10625" s="2" t="s">
        <v>34</v>
      </c>
      <c r="M10625" s="7">
        <v>668.88199999999995</v>
      </c>
      <c r="N10625" s="6">
        <v>37.659999999999997</v>
      </c>
      <c r="O10625" s="6">
        <v>37.75</v>
      </c>
      <c r="P10625" s="2" t="s">
        <v>30960</v>
      </c>
      <c r="Q10625" s="2"/>
      <c r="R10625" s="2"/>
      <c r="S10625" s="5">
        <v>1.6</v>
      </c>
      <c r="T10625" s="6">
        <v>15.31</v>
      </c>
      <c r="U10625" s="5">
        <v>11.8</v>
      </c>
      <c r="V10625" s="6">
        <v>0.1</v>
      </c>
      <c r="W10625" s="6">
        <v>12.47</v>
      </c>
      <c r="X10625" s="6">
        <v>12.78</v>
      </c>
      <c r="Y10625" s="6">
        <v>12.65</v>
      </c>
      <c r="Z10625" s="6">
        <v>12.93</v>
      </c>
      <c r="AA10625" s="6">
        <v>15.25</v>
      </c>
      <c r="AB10625" s="2" t="s">
        <v>47</v>
      </c>
      <c r="AC10625" s="2"/>
    </row>
    <row r="10626" spans="1:29" ht="91" x14ac:dyDescent="0.15">
      <c r="A10626" s="3">
        <f>DATE(2013,9,25)</f>
        <v>41542</v>
      </c>
      <c r="B10626" s="3">
        <f>DATE(2014,1,31)</f>
        <v>41670</v>
      </c>
      <c r="C10626" s="2" t="s">
        <v>95</v>
      </c>
      <c r="D10626" s="2" t="s">
        <v>748</v>
      </c>
      <c r="E10626" s="2" t="s">
        <v>749</v>
      </c>
      <c r="F10626" s="4">
        <v>3569</v>
      </c>
      <c r="G10626" s="2" t="s">
        <v>300</v>
      </c>
      <c r="H10626" s="2" t="s">
        <v>34</v>
      </c>
      <c r="I10626" s="2" t="s">
        <v>30961</v>
      </c>
      <c r="J10626" s="2" t="s">
        <v>244</v>
      </c>
      <c r="K10626" s="2" t="s">
        <v>53</v>
      </c>
      <c r="L10626" s="2" t="s">
        <v>34</v>
      </c>
      <c r="M10626" s="2"/>
      <c r="N10626" s="2"/>
      <c r="O10626" s="2"/>
      <c r="P10626" s="2" t="s">
        <v>30962</v>
      </c>
      <c r="Q10626" s="6">
        <v>100</v>
      </c>
      <c r="R10626" s="6">
        <v>4.05</v>
      </c>
      <c r="S10626" s="5">
        <v>2.1</v>
      </c>
      <c r="T10626" s="7">
        <v>15.452999999999999</v>
      </c>
      <c r="U10626" s="5">
        <v>2</v>
      </c>
      <c r="V10626" s="9">
        <v>3.56E-2</v>
      </c>
      <c r="W10626" s="6">
        <v>3.54</v>
      </c>
      <c r="X10626" s="6">
        <v>3.73</v>
      </c>
      <c r="Y10626" s="6">
        <v>3.73</v>
      </c>
      <c r="Z10626" s="6">
        <v>3.96</v>
      </c>
      <c r="AA10626" s="6">
        <v>48.94</v>
      </c>
      <c r="AB10626" s="7">
        <v>20.867000000000001</v>
      </c>
      <c r="AC10626" s="2"/>
    </row>
    <row r="10627" spans="1:29" ht="65" x14ac:dyDescent="0.15">
      <c r="A10627" s="3">
        <f>DATE(2013,9,25)</f>
        <v>41542</v>
      </c>
      <c r="B10627" s="3">
        <f>DATE(2013,12,17)</f>
        <v>41625</v>
      </c>
      <c r="C10627" s="2" t="s">
        <v>95</v>
      </c>
      <c r="D10627" s="2" t="s">
        <v>30963</v>
      </c>
      <c r="E10627" s="2" t="s">
        <v>4476</v>
      </c>
      <c r="F10627" s="4">
        <v>3842</v>
      </c>
      <c r="G10627" s="2" t="s">
        <v>226</v>
      </c>
      <c r="H10627" s="2" t="s">
        <v>34</v>
      </c>
      <c r="I10627" s="2" t="s">
        <v>16970</v>
      </c>
      <c r="J10627" s="2" t="s">
        <v>16971</v>
      </c>
      <c r="K10627" s="2" t="s">
        <v>226</v>
      </c>
      <c r="L10627" s="2" t="s">
        <v>34</v>
      </c>
      <c r="M10627" s="12">
        <v>25198.728999999999</v>
      </c>
      <c r="N10627" s="6">
        <v>68.790000000000006</v>
      </c>
      <c r="O10627" s="5">
        <v>68.400000000000006</v>
      </c>
      <c r="P10627" s="2" t="s">
        <v>30964</v>
      </c>
      <c r="Q10627" s="6">
        <v>100</v>
      </c>
      <c r="R10627" s="6">
        <v>30</v>
      </c>
      <c r="S10627" s="5">
        <v>-41.6</v>
      </c>
      <c r="T10627" s="6">
        <v>-28.62</v>
      </c>
      <c r="U10627" s="5">
        <v>2.6</v>
      </c>
      <c r="V10627" s="9">
        <v>-0.90920000000000001</v>
      </c>
      <c r="W10627" s="6">
        <v>16.87</v>
      </c>
      <c r="X10627" s="6">
        <v>16.170000000000002</v>
      </c>
      <c r="Y10627" s="6">
        <v>29.46</v>
      </c>
      <c r="Z10627" s="5">
        <v>29.5</v>
      </c>
      <c r="AA10627" s="6">
        <v>47.03</v>
      </c>
      <c r="AB10627" s="2" t="s">
        <v>86</v>
      </c>
      <c r="AC10627" s="8">
        <v>4652</v>
      </c>
    </row>
    <row r="10628" spans="1:29" ht="78" x14ac:dyDescent="0.15">
      <c r="A10628" s="3">
        <f>DATE(2013,9,26)</f>
        <v>41543</v>
      </c>
      <c r="B10628" s="2"/>
      <c r="C10628" s="2" t="s">
        <v>30</v>
      </c>
      <c r="D10628" s="2" t="s">
        <v>24608</v>
      </c>
      <c r="E10628" s="2" t="s">
        <v>18168</v>
      </c>
      <c r="F10628" s="4">
        <v>4213</v>
      </c>
      <c r="G10628" s="2" t="s">
        <v>173</v>
      </c>
      <c r="H10628" s="2" t="s">
        <v>34</v>
      </c>
      <c r="I10628" s="2" t="s">
        <v>30965</v>
      </c>
      <c r="J10628" s="2" t="s">
        <v>30966</v>
      </c>
      <c r="K10628" s="2" t="s">
        <v>173</v>
      </c>
      <c r="L10628" s="2" t="s">
        <v>34</v>
      </c>
      <c r="M10628" s="12">
        <v>1319.5070000000001</v>
      </c>
      <c r="N10628" s="5">
        <v>16.600000000000001</v>
      </c>
      <c r="O10628" s="6">
        <v>16.510000000000002</v>
      </c>
      <c r="P10628" s="2" t="s">
        <v>30967</v>
      </c>
      <c r="Q10628" s="2"/>
      <c r="R10628" s="6">
        <v>9</v>
      </c>
      <c r="S10628" s="5">
        <v>-13.2</v>
      </c>
      <c r="T10628" s="7">
        <v>26.707999999999998</v>
      </c>
      <c r="U10628" s="5">
        <v>10</v>
      </c>
      <c r="V10628" s="9">
        <v>-1.2799</v>
      </c>
      <c r="W10628" s="6">
        <v>6.05</v>
      </c>
      <c r="X10628" s="6">
        <v>6.46</v>
      </c>
      <c r="Y10628" s="5">
        <v>8.8000000000000007</v>
      </c>
      <c r="Z10628" s="6">
        <v>8.59</v>
      </c>
      <c r="AA10628" s="6">
        <v>10.54</v>
      </c>
      <c r="AB10628" s="2" t="s">
        <v>86</v>
      </c>
      <c r="AC10628" s="6">
        <v>0.75</v>
      </c>
    </row>
    <row r="10629" spans="1:29" ht="104" x14ac:dyDescent="0.15">
      <c r="A10629" s="3">
        <f>DATE(2013,9,26)</f>
        <v>41543</v>
      </c>
      <c r="B10629" s="3">
        <f>DATE(2014,2,28)</f>
        <v>41698</v>
      </c>
      <c r="C10629" s="2" t="s">
        <v>95</v>
      </c>
      <c r="D10629" s="2" t="s">
        <v>30968</v>
      </c>
      <c r="E10629" s="2" t="s">
        <v>30969</v>
      </c>
      <c r="F10629" s="4">
        <v>3624</v>
      </c>
      <c r="G10629" s="2" t="s">
        <v>137</v>
      </c>
      <c r="H10629" s="2" t="s">
        <v>34</v>
      </c>
      <c r="I10629" s="2" t="s">
        <v>30970</v>
      </c>
      <c r="J10629" s="2" t="s">
        <v>30971</v>
      </c>
      <c r="K10629" s="2" t="s">
        <v>708</v>
      </c>
      <c r="L10629" s="2" t="s">
        <v>99</v>
      </c>
      <c r="M10629" s="10">
        <v>10064.73</v>
      </c>
      <c r="N10629" s="7">
        <v>6.4080000000000004</v>
      </c>
      <c r="O10629" s="7">
        <v>6.5549999999999997</v>
      </c>
      <c r="P10629" s="2" t="s">
        <v>30972</v>
      </c>
      <c r="Q10629" s="6">
        <v>100</v>
      </c>
      <c r="R10629" s="6">
        <v>16.75</v>
      </c>
      <c r="S10629" s="5">
        <v>9.6</v>
      </c>
      <c r="T10629" s="6">
        <v>29.97</v>
      </c>
      <c r="U10629" s="5">
        <v>8.8000000000000007</v>
      </c>
      <c r="V10629" s="7">
        <v>0.27600000000000002</v>
      </c>
      <c r="W10629" s="6">
        <v>11.97</v>
      </c>
      <c r="X10629" s="5">
        <v>12.3</v>
      </c>
      <c r="Y10629" s="6">
        <v>12.28</v>
      </c>
      <c r="Z10629" s="6">
        <v>12.99</v>
      </c>
      <c r="AA10629" s="6">
        <v>34.39</v>
      </c>
      <c r="AB10629" s="7">
        <v>50.49</v>
      </c>
      <c r="AC10629" s="10">
        <v>1003.86</v>
      </c>
    </row>
    <row r="10630" spans="1:29" ht="143" x14ac:dyDescent="0.15">
      <c r="A10630" s="3">
        <f>DATE(2013,9,30)</f>
        <v>41547</v>
      </c>
      <c r="B10630" s="3">
        <f>DATE(2013,11,15)</f>
        <v>41593</v>
      </c>
      <c r="C10630" s="2" t="s">
        <v>95</v>
      </c>
      <c r="D10630" s="2" t="s">
        <v>30973</v>
      </c>
      <c r="E10630" s="2" t="s">
        <v>30974</v>
      </c>
      <c r="F10630" s="4">
        <v>7372</v>
      </c>
      <c r="G10630" s="2" t="s">
        <v>551</v>
      </c>
      <c r="H10630" s="2" t="s">
        <v>34</v>
      </c>
      <c r="I10630" s="2" t="s">
        <v>30736</v>
      </c>
      <c r="J10630" s="2" t="s">
        <v>244</v>
      </c>
      <c r="K10630" s="2" t="s">
        <v>53</v>
      </c>
      <c r="L10630" s="2" t="s">
        <v>34</v>
      </c>
      <c r="M10630" s="2"/>
      <c r="N10630" s="2"/>
      <c r="O10630" s="2"/>
      <c r="P10630" s="2" t="s">
        <v>30975</v>
      </c>
      <c r="Q10630" s="6">
        <v>100</v>
      </c>
      <c r="R10630" s="6">
        <v>14.5</v>
      </c>
      <c r="S10630" s="5">
        <v>-39.299999999999997</v>
      </c>
      <c r="T10630" s="6">
        <v>26.81</v>
      </c>
      <c r="U10630" s="5">
        <v>5.2</v>
      </c>
      <c r="V10630" s="9">
        <v>-0.64670000000000005</v>
      </c>
      <c r="W10630" s="6">
        <v>10.43</v>
      </c>
      <c r="X10630" s="5">
        <v>11.4</v>
      </c>
      <c r="Y10630" s="6">
        <v>14.31</v>
      </c>
      <c r="Z10630" s="6">
        <v>14.37</v>
      </c>
      <c r="AA10630" s="6">
        <v>62.36</v>
      </c>
      <c r="AB10630" s="2" t="s">
        <v>86</v>
      </c>
      <c r="AC10630" s="2"/>
    </row>
    <row r="10631" spans="1:29" ht="195" x14ac:dyDescent="0.15">
      <c r="A10631" s="3">
        <f>DATE(2013,10,1)</f>
        <v>41548</v>
      </c>
      <c r="B10631" s="3">
        <f>DATE(2013,12,20)</f>
        <v>41628</v>
      </c>
      <c r="C10631" s="2" t="s">
        <v>95</v>
      </c>
      <c r="D10631" s="2" t="s">
        <v>30976</v>
      </c>
      <c r="E10631" s="2" t="s">
        <v>28658</v>
      </c>
      <c r="F10631" s="4">
        <v>1041</v>
      </c>
      <c r="G10631" s="2" t="s">
        <v>166</v>
      </c>
      <c r="H10631" s="2" t="s">
        <v>34</v>
      </c>
      <c r="I10631" s="2" t="s">
        <v>30977</v>
      </c>
      <c r="J10631" s="2" t="s">
        <v>1248</v>
      </c>
      <c r="K10631" s="2" t="s">
        <v>166</v>
      </c>
      <c r="L10631" s="2" t="s">
        <v>303</v>
      </c>
      <c r="M10631" s="12">
        <v>1357.1389999999999</v>
      </c>
      <c r="N10631" s="7">
        <v>2.8260000000000001</v>
      </c>
      <c r="O10631" s="7">
        <v>2.5150000000000001</v>
      </c>
      <c r="P10631" s="2" t="s">
        <v>30978</v>
      </c>
      <c r="Q10631" s="2"/>
      <c r="R10631" s="6">
        <v>2.38</v>
      </c>
      <c r="S10631" s="5">
        <v>-11.4</v>
      </c>
      <c r="T10631" s="7">
        <v>-5.7489999999999997</v>
      </c>
      <c r="U10631" s="5">
        <v>2.9</v>
      </c>
      <c r="V10631" s="9">
        <v>0.1109</v>
      </c>
      <c r="W10631" s="7">
        <v>2.6139999999999999</v>
      </c>
      <c r="X10631" s="7">
        <v>2.6139999999999999</v>
      </c>
      <c r="Y10631" s="7">
        <v>2.5049999999999999</v>
      </c>
      <c r="Z10631" s="7">
        <v>2.7930000000000001</v>
      </c>
      <c r="AA10631" s="6">
        <v>117.64</v>
      </c>
      <c r="AB10631" s="2" t="s">
        <v>47</v>
      </c>
      <c r="AC10631" s="6">
        <v>273.32</v>
      </c>
    </row>
    <row r="10632" spans="1:29" ht="52" x14ac:dyDescent="0.15">
      <c r="A10632" s="3">
        <f>DATE(2013,10,2)</f>
        <v>41549</v>
      </c>
      <c r="B10632" s="3">
        <f>DATE(2014,7,11)</f>
        <v>41831</v>
      </c>
      <c r="C10632" s="2" t="s">
        <v>95</v>
      </c>
      <c r="D10632" s="2" t="s">
        <v>30979</v>
      </c>
      <c r="E10632" s="2" t="s">
        <v>25397</v>
      </c>
      <c r="F10632" s="4">
        <v>6799</v>
      </c>
      <c r="G10632" s="2" t="s">
        <v>53</v>
      </c>
      <c r="H10632" s="2" t="s">
        <v>34</v>
      </c>
      <c r="I10632" s="2" t="s">
        <v>30980</v>
      </c>
      <c r="J10632" s="2" t="s">
        <v>30981</v>
      </c>
      <c r="K10632" s="2" t="s">
        <v>53</v>
      </c>
      <c r="L10632" s="2" t="s">
        <v>34</v>
      </c>
      <c r="M10632" s="6">
        <v>417.11</v>
      </c>
      <c r="N10632" s="6">
        <v>17.59</v>
      </c>
      <c r="O10632" s="6">
        <v>17.52</v>
      </c>
      <c r="P10632" s="2" t="s">
        <v>30982</v>
      </c>
      <c r="Q10632" s="6">
        <v>100</v>
      </c>
      <c r="R10632" s="2"/>
      <c r="S10632" s="5">
        <v>-1.3</v>
      </c>
      <c r="T10632" s="7">
        <v>-1.599</v>
      </c>
      <c r="U10632" s="5">
        <v>1</v>
      </c>
      <c r="V10632" s="9">
        <v>-0.1903</v>
      </c>
      <c r="W10632" s="6">
        <v>5.58</v>
      </c>
      <c r="X10632" s="6">
        <v>5.43</v>
      </c>
      <c r="Y10632" s="6">
        <v>6.45</v>
      </c>
      <c r="Z10632" s="6">
        <v>6.59</v>
      </c>
      <c r="AA10632" s="6">
        <v>7.1</v>
      </c>
      <c r="AB10632" s="2" t="s">
        <v>86</v>
      </c>
      <c r="AC10632" s="6">
        <v>43.75</v>
      </c>
    </row>
    <row r="10633" spans="1:29" ht="104" x14ac:dyDescent="0.15">
      <c r="A10633" s="3">
        <f>DATE(2013,10,9)</f>
        <v>41556</v>
      </c>
      <c r="B10633" s="2"/>
      <c r="C10633" s="2" t="s">
        <v>30</v>
      </c>
      <c r="D10633" s="2" t="s">
        <v>30983</v>
      </c>
      <c r="E10633" s="2" t="s">
        <v>13939</v>
      </c>
      <c r="F10633" s="4">
        <v>5611</v>
      </c>
      <c r="G10633" s="2" t="s">
        <v>756</v>
      </c>
      <c r="H10633" s="2" t="s">
        <v>34</v>
      </c>
      <c r="I10633" s="2" t="s">
        <v>30984</v>
      </c>
      <c r="J10633" s="2" t="s">
        <v>30985</v>
      </c>
      <c r="K10633" s="2" t="s">
        <v>756</v>
      </c>
      <c r="L10633" s="2" t="s">
        <v>34</v>
      </c>
      <c r="M10633" s="10">
        <v>1180.27</v>
      </c>
      <c r="N10633" s="6">
        <v>44.33</v>
      </c>
      <c r="O10633" s="6">
        <v>45.39</v>
      </c>
      <c r="P10633" s="2" t="s">
        <v>30986</v>
      </c>
      <c r="Q10633" s="2"/>
      <c r="R10633" s="6">
        <v>48</v>
      </c>
      <c r="S10633" s="5">
        <v>120.5</v>
      </c>
      <c r="T10633" s="7">
        <v>263.053</v>
      </c>
      <c r="U10633" s="5">
        <v>21</v>
      </c>
      <c r="V10633" s="9">
        <v>2.3828</v>
      </c>
      <c r="W10633" s="5">
        <v>34.299999999999997</v>
      </c>
      <c r="X10633" s="6">
        <v>35.24</v>
      </c>
      <c r="Y10633" s="6">
        <v>45.03</v>
      </c>
      <c r="Z10633" s="6">
        <v>44.48</v>
      </c>
      <c r="AA10633" s="6">
        <v>46.77</v>
      </c>
      <c r="AB10633" s="7">
        <v>11.754</v>
      </c>
      <c r="AC10633" s="6">
        <v>333.18</v>
      </c>
    </row>
    <row r="10634" spans="1:29" ht="65" x14ac:dyDescent="0.15">
      <c r="A10634" s="3">
        <f>DATE(2013,10,9)</f>
        <v>41556</v>
      </c>
      <c r="B10634" s="3">
        <f>DATE(2013,12,18)</f>
        <v>41626</v>
      </c>
      <c r="C10634" s="2" t="s">
        <v>95</v>
      </c>
      <c r="D10634" s="2" t="s">
        <v>30987</v>
      </c>
      <c r="E10634" s="2" t="s">
        <v>11539</v>
      </c>
      <c r="F10634" s="4">
        <v>1221</v>
      </c>
      <c r="G10634" s="2" t="s">
        <v>166</v>
      </c>
      <c r="H10634" s="2" t="s">
        <v>34</v>
      </c>
      <c r="I10634" s="2" t="s">
        <v>1526</v>
      </c>
      <c r="J10634" s="2" t="s">
        <v>302</v>
      </c>
      <c r="K10634" s="2" t="s">
        <v>53</v>
      </c>
      <c r="L10634" s="2" t="s">
        <v>34</v>
      </c>
      <c r="M10634" s="2"/>
      <c r="N10634" s="6">
        <v>6.29</v>
      </c>
      <c r="O10634" s="6">
        <v>6.29</v>
      </c>
      <c r="P10634" s="2" t="s">
        <v>30988</v>
      </c>
      <c r="Q10634" s="2"/>
      <c r="R10634" s="2"/>
      <c r="S10634" s="5">
        <v>-425.6</v>
      </c>
      <c r="T10634" s="7">
        <v>-52.115000000000002</v>
      </c>
      <c r="U10634" s="5">
        <v>-4.8</v>
      </c>
      <c r="V10634" s="9">
        <v>-4.6082000000000001</v>
      </c>
      <c r="W10634" s="6">
        <v>6.67</v>
      </c>
      <c r="X10634" s="6">
        <v>6.24</v>
      </c>
      <c r="Y10634" s="6">
        <v>2.1800000000000002</v>
      </c>
      <c r="Z10634" s="6">
        <v>2.66</v>
      </c>
      <c r="AA10634" s="6">
        <v>92.87</v>
      </c>
      <c r="AB10634" s="2" t="s">
        <v>86</v>
      </c>
      <c r="AC10634" s="2"/>
    </row>
    <row r="10635" spans="1:29" ht="117" x14ac:dyDescent="0.15">
      <c r="A10635" s="3">
        <f>DATE(2013,10,10)</f>
        <v>41557</v>
      </c>
      <c r="B10635" s="3">
        <f>DATE(2014,3,4)</f>
        <v>41702</v>
      </c>
      <c r="C10635" s="2" t="s">
        <v>95</v>
      </c>
      <c r="D10635" s="2" t="s">
        <v>7668</v>
      </c>
      <c r="E10635" s="2" t="s">
        <v>7190</v>
      </c>
      <c r="F10635" s="4">
        <v>6036</v>
      </c>
      <c r="G10635" s="2" t="s">
        <v>33</v>
      </c>
      <c r="H10635" s="2" t="s">
        <v>34</v>
      </c>
      <c r="I10635" s="2" t="s">
        <v>390</v>
      </c>
      <c r="J10635" s="2" t="s">
        <v>159</v>
      </c>
      <c r="K10635" s="2" t="s">
        <v>37</v>
      </c>
      <c r="L10635" s="2" t="s">
        <v>34</v>
      </c>
      <c r="M10635" s="12">
        <v>7060.5339999999997</v>
      </c>
      <c r="N10635" s="7">
        <v>8.375</v>
      </c>
      <c r="O10635" s="7">
        <v>8.4749999999999996</v>
      </c>
      <c r="P10635" s="2" t="s">
        <v>30989</v>
      </c>
      <c r="Q10635" s="6">
        <v>100</v>
      </c>
      <c r="R10635" s="6">
        <v>6</v>
      </c>
      <c r="S10635" s="5">
        <v>10.199999999999999</v>
      </c>
      <c r="T10635" s="7">
        <v>7.9329999999999998</v>
      </c>
      <c r="U10635" s="5">
        <v>4.9000000000000004</v>
      </c>
      <c r="V10635" s="9">
        <v>0.81140000000000001</v>
      </c>
      <c r="W10635" s="6">
        <v>4.04</v>
      </c>
      <c r="X10635" s="6">
        <v>3.95</v>
      </c>
      <c r="Y10635" s="6">
        <v>5.94</v>
      </c>
      <c r="Z10635" s="6">
        <v>5.96</v>
      </c>
      <c r="AA10635" s="6">
        <v>13.59</v>
      </c>
      <c r="AB10635" s="7">
        <v>24.914000000000001</v>
      </c>
      <c r="AC10635" s="2"/>
    </row>
    <row r="10636" spans="1:29" ht="195" x14ac:dyDescent="0.15">
      <c r="A10636" s="3">
        <f>DATE(2013,10,10)</f>
        <v>41557</v>
      </c>
      <c r="B10636" s="3">
        <f>DATE(2014,3,21)</f>
        <v>41719</v>
      </c>
      <c r="C10636" s="2" t="s">
        <v>95</v>
      </c>
      <c r="D10636" s="2" t="s">
        <v>30990</v>
      </c>
      <c r="E10636" s="2" t="s">
        <v>9793</v>
      </c>
      <c r="F10636" s="4">
        <v>4922</v>
      </c>
      <c r="G10636" s="2" t="s">
        <v>439</v>
      </c>
      <c r="H10636" s="2" t="s">
        <v>34</v>
      </c>
      <c r="I10636" s="2" t="s">
        <v>25725</v>
      </c>
      <c r="J10636" s="2" t="s">
        <v>30991</v>
      </c>
      <c r="K10636" s="2" t="s">
        <v>148</v>
      </c>
      <c r="L10636" s="2" t="s">
        <v>34</v>
      </c>
      <c r="M10636" s="12">
        <v>5980.8909999999996</v>
      </c>
      <c r="N10636" s="6">
        <v>25.44</v>
      </c>
      <c r="O10636" s="6">
        <v>26.16</v>
      </c>
      <c r="P10636" s="2" t="s">
        <v>30992</v>
      </c>
      <c r="Q10636" s="6">
        <v>100</v>
      </c>
      <c r="R10636" s="6">
        <v>28.65</v>
      </c>
      <c r="S10636" s="5">
        <v>-72.8</v>
      </c>
      <c r="T10636" s="7">
        <v>304.56099999999998</v>
      </c>
      <c r="U10636" s="5">
        <v>9.4</v>
      </c>
      <c r="V10636" s="9">
        <v>-0.75549999999999995</v>
      </c>
      <c r="W10636" s="6">
        <v>23.13</v>
      </c>
      <c r="X10636" s="6">
        <v>22.81</v>
      </c>
      <c r="Y10636" s="6">
        <v>25.75</v>
      </c>
      <c r="Z10636" s="5">
        <v>26.3</v>
      </c>
      <c r="AA10636" s="6">
        <v>129.38</v>
      </c>
      <c r="AB10636" s="7">
        <v>44.558999999999997</v>
      </c>
      <c r="AC10636" s="5">
        <v>12</v>
      </c>
    </row>
    <row r="10637" spans="1:29" ht="52" x14ac:dyDescent="0.15">
      <c r="A10637" s="3">
        <f>DATE(2013,10,14)</f>
        <v>41561</v>
      </c>
      <c r="B10637" s="2"/>
      <c r="C10637" s="2" t="s">
        <v>141</v>
      </c>
      <c r="D10637" s="2" t="s">
        <v>30993</v>
      </c>
      <c r="E10637" s="2" t="s">
        <v>30994</v>
      </c>
      <c r="F10637" s="4">
        <v>5621</v>
      </c>
      <c r="G10637" s="2" t="s">
        <v>756</v>
      </c>
      <c r="H10637" s="2" t="s">
        <v>34</v>
      </c>
      <c r="I10637" s="2" t="s">
        <v>143</v>
      </c>
      <c r="J10637" s="2" t="s">
        <v>144</v>
      </c>
      <c r="K10637" s="2" t="s">
        <v>53</v>
      </c>
      <c r="L10637" s="2" t="s">
        <v>139</v>
      </c>
      <c r="M10637" s="2"/>
      <c r="N10637" s="2"/>
      <c r="O10637" s="2"/>
      <c r="P10637" s="2" t="s">
        <v>30995</v>
      </c>
      <c r="Q10637" s="2"/>
      <c r="R10637" s="2"/>
      <c r="S10637" s="5">
        <v>-76.3</v>
      </c>
      <c r="T10637" s="7">
        <v>-17.672000000000001</v>
      </c>
      <c r="U10637" s="5">
        <v>0.1</v>
      </c>
      <c r="V10637" s="9">
        <v>-2.4967999999999999</v>
      </c>
      <c r="W10637" s="6">
        <v>1.63</v>
      </c>
      <c r="X10637" s="5">
        <v>1.3</v>
      </c>
      <c r="Y10637" s="6">
        <v>1.26</v>
      </c>
      <c r="Z10637" s="6">
        <v>0.94</v>
      </c>
      <c r="AA10637" s="2"/>
      <c r="AB10637" s="2" t="s">
        <v>86</v>
      </c>
      <c r="AC10637" s="2"/>
    </row>
    <row r="10638" spans="1:29" ht="91" x14ac:dyDescent="0.15">
      <c r="A10638" s="3">
        <f>DATE(2013,10,14)</f>
        <v>41561</v>
      </c>
      <c r="B10638" s="2"/>
      <c r="C10638" s="2" t="s">
        <v>87</v>
      </c>
      <c r="D10638" s="2" t="s">
        <v>21291</v>
      </c>
      <c r="E10638" s="2" t="s">
        <v>21292</v>
      </c>
      <c r="F10638" s="4">
        <v>3572</v>
      </c>
      <c r="G10638" s="2" t="s">
        <v>50</v>
      </c>
      <c r="H10638" s="2" t="s">
        <v>34</v>
      </c>
      <c r="I10638" s="2" t="s">
        <v>143</v>
      </c>
      <c r="J10638" s="2" t="s">
        <v>144</v>
      </c>
      <c r="K10638" s="2" t="s">
        <v>53</v>
      </c>
      <c r="L10638" s="2" t="s">
        <v>139</v>
      </c>
      <c r="M10638" s="2"/>
      <c r="N10638" s="2"/>
      <c r="O10638" s="2"/>
      <c r="P10638" s="2" t="s">
        <v>30996</v>
      </c>
      <c r="Q10638" s="2"/>
      <c r="R10638" s="2"/>
      <c r="S10638" s="5">
        <v>-9.5</v>
      </c>
      <c r="T10638" s="7">
        <v>42.216000000000001</v>
      </c>
      <c r="U10638" s="5">
        <v>6.4</v>
      </c>
      <c r="V10638" s="9">
        <v>-9.8900000000000002E-2</v>
      </c>
      <c r="W10638" s="6">
        <v>7.61</v>
      </c>
      <c r="X10638" s="6">
        <v>7.74</v>
      </c>
      <c r="Y10638" s="6">
        <v>7.83</v>
      </c>
      <c r="Z10638" s="6">
        <v>7.87</v>
      </c>
      <c r="AA10638" s="6">
        <v>91.41</v>
      </c>
      <c r="AB10638" s="2" t="s">
        <v>86</v>
      </c>
      <c r="AC10638" s="2"/>
    </row>
    <row r="10639" spans="1:29" ht="104" x14ac:dyDescent="0.15">
      <c r="A10639" s="3">
        <f>DATE(2013,10,15)</f>
        <v>41562</v>
      </c>
      <c r="B10639" s="3">
        <f>DATE(2014,1,9)</f>
        <v>41648</v>
      </c>
      <c r="C10639" s="2" t="s">
        <v>95</v>
      </c>
      <c r="D10639" s="2" t="s">
        <v>24879</v>
      </c>
      <c r="E10639" s="2" t="s">
        <v>24880</v>
      </c>
      <c r="F10639" s="4">
        <v>7215</v>
      </c>
      <c r="G10639" s="2" t="s">
        <v>1517</v>
      </c>
      <c r="H10639" s="2" t="s">
        <v>34</v>
      </c>
      <c r="I10639" s="2" t="s">
        <v>30997</v>
      </c>
      <c r="J10639" s="2" t="s">
        <v>24880</v>
      </c>
      <c r="K10639" s="2" t="s">
        <v>1517</v>
      </c>
      <c r="L10639" s="2" t="s">
        <v>34</v>
      </c>
      <c r="M10639" s="2"/>
      <c r="N10639" s="2"/>
      <c r="O10639" s="2"/>
      <c r="P10639" s="2" t="s">
        <v>30998</v>
      </c>
      <c r="Q10639" s="6">
        <v>100</v>
      </c>
      <c r="R10639" s="6">
        <v>21.25</v>
      </c>
      <c r="S10639" s="5">
        <v>8.1</v>
      </c>
      <c r="T10639" s="7">
        <v>61.841999999999999</v>
      </c>
      <c r="U10639" s="5">
        <v>8.4</v>
      </c>
      <c r="V10639" s="9">
        <v>0.53320000000000001</v>
      </c>
      <c r="W10639" s="6">
        <v>14.51</v>
      </c>
      <c r="X10639" s="6">
        <v>14.93</v>
      </c>
      <c r="Y10639" s="6">
        <v>21.14</v>
      </c>
      <c r="Z10639" s="6">
        <v>21.04</v>
      </c>
      <c r="AA10639" s="6">
        <v>14.71</v>
      </c>
      <c r="AB10639" s="7">
        <v>28.327999999999999</v>
      </c>
      <c r="AC10639" s="2"/>
    </row>
    <row r="10640" spans="1:29" ht="156" x14ac:dyDescent="0.15">
      <c r="A10640" s="3">
        <f>DATE(2013,10,15)</f>
        <v>41562</v>
      </c>
      <c r="B10640" s="2"/>
      <c r="C10640" s="2" t="s">
        <v>30</v>
      </c>
      <c r="D10640" s="2" t="s">
        <v>21272</v>
      </c>
      <c r="E10640" s="2" t="s">
        <v>5670</v>
      </c>
      <c r="F10640" s="4">
        <v>2833</v>
      </c>
      <c r="G10640" s="2" t="s">
        <v>130</v>
      </c>
      <c r="H10640" s="2" t="s">
        <v>34</v>
      </c>
      <c r="I10640" s="2" t="s">
        <v>30999</v>
      </c>
      <c r="J10640" s="2" t="s">
        <v>129</v>
      </c>
      <c r="K10640" s="2" t="s">
        <v>130</v>
      </c>
      <c r="L10640" s="2" t="s">
        <v>34</v>
      </c>
      <c r="M10640" s="2"/>
      <c r="N10640" s="2"/>
      <c r="O10640" s="2"/>
      <c r="P10640" s="2" t="s">
        <v>31000</v>
      </c>
      <c r="Q10640" s="2"/>
      <c r="R10640" s="2"/>
      <c r="S10640" s="5">
        <v>-98.3</v>
      </c>
      <c r="T10640" s="6">
        <v>-78.95</v>
      </c>
      <c r="U10640" s="5">
        <v>-2.8</v>
      </c>
      <c r="V10640" s="9">
        <v>-1.3664000000000001</v>
      </c>
      <c r="W10640" s="6">
        <v>21.69</v>
      </c>
      <c r="X10640" s="6">
        <v>12.07</v>
      </c>
      <c r="Y10640" s="6">
        <v>11.51</v>
      </c>
      <c r="Z10640" s="6">
        <v>12.67</v>
      </c>
      <c r="AA10640" s="2"/>
      <c r="AB10640" s="2" t="s">
        <v>86</v>
      </c>
      <c r="AC10640" s="2"/>
    </row>
    <row r="10641" spans="1:29" ht="78" x14ac:dyDescent="0.15">
      <c r="A10641" s="3">
        <f>DATE(2013,10,18)</f>
        <v>41565</v>
      </c>
      <c r="B10641" s="3">
        <f>DATE(2013,11,19)</f>
        <v>41597</v>
      </c>
      <c r="C10641" s="2" t="s">
        <v>95</v>
      </c>
      <c r="D10641" s="2" t="s">
        <v>22357</v>
      </c>
      <c r="E10641" s="2" t="s">
        <v>22358</v>
      </c>
      <c r="F10641" s="2" t="s">
        <v>2791</v>
      </c>
      <c r="G10641" s="2" t="s">
        <v>426</v>
      </c>
      <c r="H10641" s="2" t="s">
        <v>34</v>
      </c>
      <c r="I10641" s="2" t="s">
        <v>31001</v>
      </c>
      <c r="J10641" s="2" t="s">
        <v>302</v>
      </c>
      <c r="K10641" s="2" t="s">
        <v>53</v>
      </c>
      <c r="L10641" s="2" t="s">
        <v>34</v>
      </c>
      <c r="M10641" s="2"/>
      <c r="N10641" s="2"/>
      <c r="O10641" s="2"/>
      <c r="P10641" s="2" t="s">
        <v>31002</v>
      </c>
      <c r="Q10641" s="6">
        <v>51</v>
      </c>
      <c r="R10641" s="6">
        <v>37</v>
      </c>
      <c r="S10641" s="5">
        <v>19.600000000000001</v>
      </c>
      <c r="T10641" s="6">
        <v>21.61</v>
      </c>
      <c r="U10641" s="5">
        <v>19.5</v>
      </c>
      <c r="V10641" s="9">
        <v>2.6703999999999999</v>
      </c>
      <c r="W10641" s="6">
        <v>40.35</v>
      </c>
      <c r="X10641" s="6">
        <v>40.049999999999997</v>
      </c>
      <c r="Y10641" s="5">
        <v>44.8</v>
      </c>
      <c r="Z10641" s="6">
        <v>43.53</v>
      </c>
      <c r="AA10641" s="6">
        <v>7.3</v>
      </c>
      <c r="AB10641" s="7">
        <v>23.577000000000002</v>
      </c>
      <c r="AC10641" s="2"/>
    </row>
    <row r="10642" spans="1:29" ht="182" x14ac:dyDescent="0.15">
      <c r="A10642" s="3">
        <f>DATE(2013,10,21)</f>
        <v>41568</v>
      </c>
      <c r="B10642" s="3">
        <f>DATE(2014,3,7)</f>
        <v>41705</v>
      </c>
      <c r="C10642" s="2" t="s">
        <v>95</v>
      </c>
      <c r="D10642" s="2" t="s">
        <v>31003</v>
      </c>
      <c r="E10642" s="2" t="s">
        <v>31004</v>
      </c>
      <c r="F10642" s="4">
        <v>4922</v>
      </c>
      <c r="G10642" s="2" t="s">
        <v>439</v>
      </c>
      <c r="H10642" s="2" t="s">
        <v>34</v>
      </c>
      <c r="I10642" s="2" t="s">
        <v>31005</v>
      </c>
      <c r="J10642" s="2" t="s">
        <v>1608</v>
      </c>
      <c r="K10642" s="2" t="s">
        <v>148</v>
      </c>
      <c r="L10642" s="2" t="s">
        <v>34</v>
      </c>
      <c r="M10642" s="2"/>
      <c r="N10642" s="2"/>
      <c r="O10642" s="2"/>
      <c r="P10642" s="2" t="s">
        <v>31006</v>
      </c>
      <c r="Q10642" s="6">
        <v>100</v>
      </c>
      <c r="R10642" s="6">
        <v>2</v>
      </c>
      <c r="S10642" s="5">
        <v>-23.9</v>
      </c>
      <c r="T10642" s="7">
        <v>181.715</v>
      </c>
      <c r="U10642" s="5">
        <v>3.2</v>
      </c>
      <c r="V10642" s="9">
        <v>-0.50270000000000004</v>
      </c>
      <c r="W10642" s="6">
        <v>20.95</v>
      </c>
      <c r="X10642" s="5">
        <v>20.6</v>
      </c>
      <c r="Y10642" s="6">
        <v>35.32</v>
      </c>
      <c r="Z10642" s="6">
        <v>32.28</v>
      </c>
      <c r="AA10642" s="6">
        <v>47.72</v>
      </c>
      <c r="AB10642" s="7">
        <v>42.628999999999998</v>
      </c>
      <c r="AC10642" s="2"/>
    </row>
    <row r="10643" spans="1:29" ht="130" x14ac:dyDescent="0.15">
      <c r="A10643" s="3">
        <f>DATE(2013,10,21)</f>
        <v>41568</v>
      </c>
      <c r="B10643" s="3">
        <f>DATE(2014,3,6)</f>
        <v>41704</v>
      </c>
      <c r="C10643" s="2" t="s">
        <v>95</v>
      </c>
      <c r="D10643" s="2" t="s">
        <v>27977</v>
      </c>
      <c r="E10643" s="2" t="s">
        <v>36</v>
      </c>
      <c r="F10643" s="4">
        <v>6021</v>
      </c>
      <c r="G10643" s="2" t="s">
        <v>37</v>
      </c>
      <c r="H10643" s="2" t="s">
        <v>34</v>
      </c>
      <c r="I10643" s="2" t="s">
        <v>31007</v>
      </c>
      <c r="J10643" s="2" t="s">
        <v>36</v>
      </c>
      <c r="K10643" s="2" t="s">
        <v>37</v>
      </c>
      <c r="L10643" s="2" t="s">
        <v>34</v>
      </c>
      <c r="M10643" s="7">
        <v>163.53800000000001</v>
      </c>
      <c r="N10643" s="6">
        <v>6.41</v>
      </c>
      <c r="O10643" s="6">
        <v>6.61</v>
      </c>
      <c r="P10643" s="2" t="s">
        <v>31008</v>
      </c>
      <c r="Q10643" s="6">
        <v>100</v>
      </c>
      <c r="R10643" s="6">
        <v>7.38</v>
      </c>
      <c r="S10643" s="5">
        <v>2.2000000000000002</v>
      </c>
      <c r="T10643" s="7">
        <v>3.2559999999999998</v>
      </c>
      <c r="U10643" s="5">
        <v>4.4000000000000004</v>
      </c>
      <c r="V10643" s="9">
        <v>0.24529999999999999</v>
      </c>
      <c r="W10643" s="5">
        <v>4.2</v>
      </c>
      <c r="X10643" s="5">
        <v>4.2</v>
      </c>
      <c r="Y10643" s="5">
        <v>4.2</v>
      </c>
      <c r="Z10643" s="5">
        <v>5.7</v>
      </c>
      <c r="AA10643" s="6">
        <v>8.76</v>
      </c>
      <c r="AB10643" s="7">
        <v>33.231999999999999</v>
      </c>
      <c r="AC10643" s="2"/>
    </row>
    <row r="10644" spans="1:29" ht="65" x14ac:dyDescent="0.15">
      <c r="A10644" s="3">
        <f>DATE(2013,10,21)</f>
        <v>41568</v>
      </c>
      <c r="B10644" s="3">
        <f>DATE(2014,6,9)</f>
        <v>41799</v>
      </c>
      <c r="C10644" s="2" t="s">
        <v>95</v>
      </c>
      <c r="D10644" s="2" t="s">
        <v>31009</v>
      </c>
      <c r="E10644" s="2" t="s">
        <v>973</v>
      </c>
      <c r="F10644" s="4">
        <v>4813</v>
      </c>
      <c r="G10644" s="2" t="s">
        <v>63</v>
      </c>
      <c r="H10644" s="2" t="s">
        <v>34</v>
      </c>
      <c r="I10644" s="2" t="s">
        <v>31010</v>
      </c>
      <c r="J10644" s="2" t="s">
        <v>244</v>
      </c>
      <c r="K10644" s="2" t="s">
        <v>53</v>
      </c>
      <c r="L10644" s="2" t="s">
        <v>34</v>
      </c>
      <c r="M10644" s="2"/>
      <c r="N10644" s="2"/>
      <c r="O10644" s="2"/>
      <c r="P10644" s="2" t="s">
        <v>31011</v>
      </c>
      <c r="Q10644" s="6">
        <v>100</v>
      </c>
      <c r="R10644" s="6">
        <v>2</v>
      </c>
      <c r="S10644" s="5">
        <v>-1.4</v>
      </c>
      <c r="T10644" s="7">
        <v>12.022</v>
      </c>
      <c r="U10644" s="5">
        <v>0.6</v>
      </c>
      <c r="V10644" s="9">
        <v>-3.0499999999999999E-2</v>
      </c>
      <c r="W10644" s="7">
        <v>1.5760000000000001</v>
      </c>
      <c r="X10644" s="7">
        <v>1.536</v>
      </c>
      <c r="Y10644" s="6">
        <v>1.96</v>
      </c>
      <c r="Z10644" s="6">
        <v>1.96</v>
      </c>
      <c r="AA10644" s="6">
        <v>41.46</v>
      </c>
      <c r="AB10644" s="7">
        <v>30.571999999999999</v>
      </c>
      <c r="AC10644" s="2"/>
    </row>
    <row r="10645" spans="1:29" ht="104" x14ac:dyDescent="0.15">
      <c r="A10645" s="3">
        <f>DATE(2013,10,21)</f>
        <v>41568</v>
      </c>
      <c r="B10645" s="3">
        <f>DATE(2013,11,26)</f>
        <v>41604</v>
      </c>
      <c r="C10645" s="2" t="s">
        <v>95</v>
      </c>
      <c r="D10645" s="2" t="s">
        <v>19877</v>
      </c>
      <c r="E10645" s="2" t="s">
        <v>19878</v>
      </c>
      <c r="F10645" s="4">
        <v>3661</v>
      </c>
      <c r="G10645" s="2" t="s">
        <v>921</v>
      </c>
      <c r="H10645" s="2" t="s">
        <v>34</v>
      </c>
      <c r="I10645" s="2" t="s">
        <v>11358</v>
      </c>
      <c r="J10645" s="2" t="s">
        <v>10974</v>
      </c>
      <c r="K10645" s="2" t="s">
        <v>137</v>
      </c>
      <c r="L10645" s="2" t="s">
        <v>34</v>
      </c>
      <c r="M10645" s="12">
        <v>2364.8440000000001</v>
      </c>
      <c r="N10645" s="6">
        <v>25.56</v>
      </c>
      <c r="O10645" s="6">
        <v>26.16</v>
      </c>
      <c r="P10645" s="2" t="s">
        <v>31012</v>
      </c>
      <c r="Q10645" s="6">
        <v>100</v>
      </c>
      <c r="R10645" s="6">
        <v>7.18</v>
      </c>
      <c r="S10645" s="5">
        <v>-3.5</v>
      </c>
      <c r="T10645" s="6">
        <v>6.32</v>
      </c>
      <c r="U10645" s="5">
        <v>4.5999999999999996</v>
      </c>
      <c r="V10645" s="9">
        <v>-8.2600000000000007E-2</v>
      </c>
      <c r="W10645" s="6">
        <v>4.92</v>
      </c>
      <c r="X10645" s="6">
        <v>4.97</v>
      </c>
      <c r="Y10645" s="6">
        <v>4.7699999999999996</v>
      </c>
      <c r="Z10645" s="6">
        <v>7.21</v>
      </c>
      <c r="AA10645" s="6">
        <v>41.32</v>
      </c>
      <c r="AB10645" s="2" t="s">
        <v>86</v>
      </c>
      <c r="AC10645" s="6">
        <v>256.43</v>
      </c>
    </row>
    <row r="10646" spans="1:29" ht="143" x14ac:dyDescent="0.15">
      <c r="A10646" s="3">
        <f>DATE(2013,10,21)</f>
        <v>41568</v>
      </c>
      <c r="B10646" s="3">
        <f>DATE(2013,12,4)</f>
        <v>41612</v>
      </c>
      <c r="C10646" s="2" t="s">
        <v>95</v>
      </c>
      <c r="D10646" s="2" t="s">
        <v>11501</v>
      </c>
      <c r="E10646" s="2" t="s">
        <v>11502</v>
      </c>
      <c r="F10646" s="4">
        <v>3661</v>
      </c>
      <c r="G10646" s="2" t="s">
        <v>921</v>
      </c>
      <c r="H10646" s="2" t="s">
        <v>34</v>
      </c>
      <c r="I10646" s="2" t="s">
        <v>31013</v>
      </c>
      <c r="J10646" s="2" t="s">
        <v>244</v>
      </c>
      <c r="K10646" s="2" t="s">
        <v>53</v>
      </c>
      <c r="L10646" s="2" t="s">
        <v>34</v>
      </c>
      <c r="M10646" s="2"/>
      <c r="N10646" s="2"/>
      <c r="O10646" s="2"/>
      <c r="P10646" s="2" t="s">
        <v>31014</v>
      </c>
      <c r="Q10646" s="6">
        <v>100</v>
      </c>
      <c r="R10646" s="6">
        <v>2.4500000000000002</v>
      </c>
      <c r="S10646" s="5">
        <v>-96.8</v>
      </c>
      <c r="T10646" s="5">
        <v>-5.3</v>
      </c>
      <c r="U10646" s="5">
        <v>2.8</v>
      </c>
      <c r="V10646" s="9">
        <v>-0.27579999999999999</v>
      </c>
      <c r="W10646" s="6">
        <v>2.3199999999999998</v>
      </c>
      <c r="X10646" s="6">
        <v>2.35</v>
      </c>
      <c r="Y10646" s="6">
        <v>2.46</v>
      </c>
      <c r="Z10646" s="6">
        <v>2.44</v>
      </c>
      <c r="AA10646" s="6">
        <v>363.57</v>
      </c>
      <c r="AB10646" s="2" t="s">
        <v>86</v>
      </c>
      <c r="AC10646" s="2"/>
    </row>
    <row r="10647" spans="1:29" ht="130" x14ac:dyDescent="0.15">
      <c r="A10647" s="3">
        <f>DATE(2013,10,22)</f>
        <v>41569</v>
      </c>
      <c r="B10647" s="3">
        <f>DATE(2014,4,1)</f>
        <v>41730</v>
      </c>
      <c r="C10647" s="2" t="s">
        <v>95</v>
      </c>
      <c r="D10647" s="2" t="s">
        <v>31015</v>
      </c>
      <c r="E10647" s="2" t="s">
        <v>36</v>
      </c>
      <c r="F10647" s="4">
        <v>6021</v>
      </c>
      <c r="G10647" s="2" t="s">
        <v>37</v>
      </c>
      <c r="H10647" s="2" t="s">
        <v>34</v>
      </c>
      <c r="I10647" s="2" t="s">
        <v>31016</v>
      </c>
      <c r="J10647" s="2" t="s">
        <v>36</v>
      </c>
      <c r="K10647" s="2" t="s">
        <v>37</v>
      </c>
      <c r="L10647" s="2" t="s">
        <v>34</v>
      </c>
      <c r="M10647" s="7">
        <v>155.97900000000001</v>
      </c>
      <c r="N10647" s="6">
        <v>23.67</v>
      </c>
      <c r="O10647" s="6">
        <v>23.74</v>
      </c>
      <c r="P10647" s="2" t="s">
        <v>31017</v>
      </c>
      <c r="Q10647" s="6">
        <v>100</v>
      </c>
      <c r="R10647" s="2"/>
      <c r="S10647" s="5">
        <v>0.6</v>
      </c>
      <c r="T10647" s="7">
        <v>1.488</v>
      </c>
      <c r="U10647" s="5">
        <v>24.5</v>
      </c>
      <c r="V10647" s="9">
        <v>0.39739999999999998</v>
      </c>
      <c r="W10647" s="4">
        <v>12</v>
      </c>
      <c r="X10647" s="6">
        <v>11.65</v>
      </c>
      <c r="Y10647" s="5">
        <v>16.3</v>
      </c>
      <c r="Z10647" s="6">
        <v>16.350000000000001</v>
      </c>
      <c r="AA10647" s="6">
        <v>0.65</v>
      </c>
      <c r="AB10647" s="7">
        <v>15.683999999999999</v>
      </c>
      <c r="AC10647" s="2"/>
    </row>
    <row r="10648" spans="1:29" ht="156" x14ac:dyDescent="0.15">
      <c r="A10648" s="3">
        <f>DATE(2013,10,22)</f>
        <v>41569</v>
      </c>
      <c r="B10648" s="3">
        <f>DATE(2013,12,31)</f>
        <v>41639</v>
      </c>
      <c r="C10648" s="2" t="s">
        <v>95</v>
      </c>
      <c r="D10648" s="2" t="s">
        <v>31018</v>
      </c>
      <c r="E10648" s="2" t="s">
        <v>15698</v>
      </c>
      <c r="F10648" s="4">
        <v>4922</v>
      </c>
      <c r="G10648" s="2" t="s">
        <v>439</v>
      </c>
      <c r="H10648" s="2" t="s">
        <v>34</v>
      </c>
      <c r="I10648" s="2" t="s">
        <v>15697</v>
      </c>
      <c r="J10648" s="2" t="s">
        <v>29567</v>
      </c>
      <c r="K10648" s="2" t="s">
        <v>148</v>
      </c>
      <c r="L10648" s="2" t="s">
        <v>34</v>
      </c>
      <c r="M10648" s="12">
        <v>17959.362000000001</v>
      </c>
      <c r="N10648" s="4">
        <v>52</v>
      </c>
      <c r="O10648" s="6">
        <v>52.25</v>
      </c>
      <c r="P10648" s="2" t="s">
        <v>31019</v>
      </c>
      <c r="Q10648" s="6">
        <v>38.11</v>
      </c>
      <c r="R10648" s="6">
        <v>23.07</v>
      </c>
      <c r="S10648" s="5">
        <v>66.099999999999994</v>
      </c>
      <c r="T10648" s="7">
        <v>117.502</v>
      </c>
      <c r="U10648" s="5">
        <v>14.4</v>
      </c>
      <c r="V10648" s="2"/>
      <c r="W10648" s="6">
        <v>22.46</v>
      </c>
      <c r="X10648" s="6">
        <v>23.03</v>
      </c>
      <c r="Y10648" s="6">
        <v>22.98</v>
      </c>
      <c r="Z10648" s="6">
        <v>23.23</v>
      </c>
      <c r="AA10648" s="6">
        <v>86.59</v>
      </c>
      <c r="AB10648" s="7">
        <v>32.384999999999998</v>
      </c>
      <c r="AC10648" s="5">
        <v>33</v>
      </c>
    </row>
    <row r="10649" spans="1:29" ht="195" x14ac:dyDescent="0.15">
      <c r="A10649" s="3">
        <f>DATE(2013,10,23)</f>
        <v>41570</v>
      </c>
      <c r="B10649" s="3">
        <f>DATE(2014,2,7)</f>
        <v>41677</v>
      </c>
      <c r="C10649" s="2" t="s">
        <v>95</v>
      </c>
      <c r="D10649" s="2" t="s">
        <v>31020</v>
      </c>
      <c r="E10649" s="2" t="s">
        <v>92</v>
      </c>
      <c r="F10649" s="4">
        <v>6798</v>
      </c>
      <c r="G10649" s="2" t="s">
        <v>53</v>
      </c>
      <c r="H10649" s="2" t="s">
        <v>34</v>
      </c>
      <c r="I10649" s="2" t="s">
        <v>30746</v>
      </c>
      <c r="J10649" s="2" t="s">
        <v>92</v>
      </c>
      <c r="K10649" s="2" t="s">
        <v>53</v>
      </c>
      <c r="L10649" s="2" t="s">
        <v>34</v>
      </c>
      <c r="M10649" s="12">
        <v>8856.277</v>
      </c>
      <c r="N10649" s="7">
        <v>13.085000000000001</v>
      </c>
      <c r="O10649" s="6">
        <v>13.36</v>
      </c>
      <c r="P10649" s="2" t="s">
        <v>31021</v>
      </c>
      <c r="Q10649" s="6">
        <v>100</v>
      </c>
      <c r="R10649" s="6">
        <v>14.59</v>
      </c>
      <c r="S10649" s="5">
        <v>100.6</v>
      </c>
      <c r="T10649" s="7">
        <v>280.29500000000002</v>
      </c>
      <c r="U10649" s="5">
        <v>8</v>
      </c>
      <c r="V10649" s="6">
        <v>0.21</v>
      </c>
      <c r="W10649" s="6">
        <v>12.35</v>
      </c>
      <c r="X10649" s="6">
        <v>12.82</v>
      </c>
      <c r="Y10649" s="6">
        <v>13.95</v>
      </c>
      <c r="Z10649" s="6">
        <v>14.25</v>
      </c>
      <c r="AA10649" s="6">
        <v>473.65</v>
      </c>
      <c r="AB10649" s="7">
        <v>67.945999999999998</v>
      </c>
      <c r="AC10649" s="6">
        <v>152.16</v>
      </c>
    </row>
    <row r="10650" spans="1:29" ht="117" x14ac:dyDescent="0.15">
      <c r="A10650" s="3">
        <f>DATE(2013,10,23)</f>
        <v>41570</v>
      </c>
      <c r="B10650" s="3">
        <f>DATE(2014,5,16)</f>
        <v>41775</v>
      </c>
      <c r="C10650" s="2" t="s">
        <v>95</v>
      </c>
      <c r="D10650" s="2" t="s">
        <v>30958</v>
      </c>
      <c r="E10650" s="2" t="s">
        <v>18148</v>
      </c>
      <c r="F10650" s="4">
        <v>6035</v>
      </c>
      <c r="G10650" s="2" t="s">
        <v>33</v>
      </c>
      <c r="H10650" s="2" t="s">
        <v>34</v>
      </c>
      <c r="I10650" s="2" t="s">
        <v>31022</v>
      </c>
      <c r="J10650" s="2" t="s">
        <v>36</v>
      </c>
      <c r="K10650" s="2" t="s">
        <v>37</v>
      </c>
      <c r="L10650" s="2" t="s">
        <v>34</v>
      </c>
      <c r="M10650" s="7">
        <v>276.053</v>
      </c>
      <c r="N10650" s="6">
        <v>5.99</v>
      </c>
      <c r="O10650" s="6">
        <v>5.64</v>
      </c>
      <c r="P10650" s="2" t="s">
        <v>31023</v>
      </c>
      <c r="Q10650" s="6">
        <v>100</v>
      </c>
      <c r="R10650" s="2"/>
      <c r="S10650" s="5">
        <v>2.2999999999999998</v>
      </c>
      <c r="T10650" s="7">
        <v>9.0440000000000005</v>
      </c>
      <c r="U10650" s="5">
        <v>11.7</v>
      </c>
      <c r="V10650" s="9">
        <v>0.16059999999999999</v>
      </c>
      <c r="W10650" s="6">
        <v>12.77</v>
      </c>
      <c r="X10650" s="6">
        <v>12.77</v>
      </c>
      <c r="Y10650" s="6">
        <v>12.81</v>
      </c>
      <c r="Z10650" s="5">
        <v>15.3</v>
      </c>
      <c r="AA10650" s="6">
        <v>14.49</v>
      </c>
      <c r="AB10650" s="7">
        <v>42.106999999999999</v>
      </c>
      <c r="AC10650" s="2"/>
    </row>
    <row r="10651" spans="1:29" ht="143" x14ac:dyDescent="0.15">
      <c r="A10651" s="3">
        <f>DATE(2013,10,23)</f>
        <v>41570</v>
      </c>
      <c r="B10651" s="3">
        <f>DATE(2014,5,1)</f>
        <v>41760</v>
      </c>
      <c r="C10651" s="2" t="s">
        <v>95</v>
      </c>
      <c r="D10651" s="2" t="s">
        <v>26092</v>
      </c>
      <c r="E10651" s="2" t="s">
        <v>36</v>
      </c>
      <c r="F10651" s="4">
        <v>6022</v>
      </c>
      <c r="G10651" s="2" t="s">
        <v>37</v>
      </c>
      <c r="H10651" s="2" t="s">
        <v>34</v>
      </c>
      <c r="I10651" s="2" t="s">
        <v>31024</v>
      </c>
      <c r="J10651" s="2" t="s">
        <v>36</v>
      </c>
      <c r="K10651" s="2" t="s">
        <v>37</v>
      </c>
      <c r="L10651" s="2" t="s">
        <v>34</v>
      </c>
      <c r="M10651" s="7">
        <v>271.23099999999999</v>
      </c>
      <c r="N10651" s="6">
        <v>15.89</v>
      </c>
      <c r="O10651" s="6">
        <v>16.28</v>
      </c>
      <c r="P10651" s="2" t="s">
        <v>31025</v>
      </c>
      <c r="Q10651" s="6">
        <v>100</v>
      </c>
      <c r="R10651" s="6">
        <v>16.86</v>
      </c>
      <c r="S10651" s="5">
        <v>16.600000000000001</v>
      </c>
      <c r="T10651" s="7">
        <v>25.024999999999999</v>
      </c>
      <c r="U10651" s="5">
        <v>11.7</v>
      </c>
      <c r="V10651" s="9">
        <v>1.0719000000000001</v>
      </c>
      <c r="W10651" s="6">
        <v>14.41</v>
      </c>
      <c r="X10651" s="6">
        <v>14.28</v>
      </c>
      <c r="Y10651" s="6">
        <v>14.25</v>
      </c>
      <c r="Z10651" s="4">
        <v>17</v>
      </c>
      <c r="AA10651" s="6">
        <v>15.53</v>
      </c>
      <c r="AB10651" s="7">
        <v>12.824999999999999</v>
      </c>
      <c r="AC10651" s="2"/>
    </row>
    <row r="10652" spans="1:29" ht="91" x14ac:dyDescent="0.15">
      <c r="A10652" s="3">
        <f>DATE(2013,10,24)</f>
        <v>41571</v>
      </c>
      <c r="B10652" s="3">
        <f>DATE(2014,1,31)</f>
        <v>41670</v>
      </c>
      <c r="C10652" s="2" t="s">
        <v>95</v>
      </c>
      <c r="D10652" s="2" t="s">
        <v>31026</v>
      </c>
      <c r="E10652" s="2" t="s">
        <v>8370</v>
      </c>
      <c r="F10652" s="4">
        <v>2752</v>
      </c>
      <c r="G10652" s="2" t="s">
        <v>186</v>
      </c>
      <c r="H10652" s="2" t="s">
        <v>34</v>
      </c>
      <c r="I10652" s="2" t="s">
        <v>24395</v>
      </c>
      <c r="J10652" s="2" t="s">
        <v>8370</v>
      </c>
      <c r="K10652" s="2" t="s">
        <v>186</v>
      </c>
      <c r="L10652" s="2" t="s">
        <v>34</v>
      </c>
      <c r="M10652" s="12">
        <v>2850.873</v>
      </c>
      <c r="N10652" s="5">
        <v>17.899999999999999</v>
      </c>
      <c r="O10652" s="6">
        <v>17.95</v>
      </c>
      <c r="P10652" s="2" t="s">
        <v>31027</v>
      </c>
      <c r="Q10652" s="6">
        <v>100</v>
      </c>
      <c r="R10652" s="6">
        <v>62</v>
      </c>
      <c r="S10652" s="5">
        <v>30.2</v>
      </c>
      <c r="T10652" s="7">
        <v>113.074</v>
      </c>
      <c r="U10652" s="5">
        <v>30.6</v>
      </c>
      <c r="V10652" s="9">
        <v>3.1017000000000001</v>
      </c>
      <c r="W10652" s="6">
        <v>60.15</v>
      </c>
      <c r="X10652" s="5">
        <v>63.6</v>
      </c>
      <c r="Y10652" s="6">
        <v>63.77</v>
      </c>
      <c r="Z10652" s="5">
        <v>63.7</v>
      </c>
      <c r="AA10652" s="6">
        <v>9.69</v>
      </c>
      <c r="AB10652" s="7">
        <v>15.93</v>
      </c>
      <c r="AC10652" s="5">
        <v>465.8</v>
      </c>
    </row>
    <row r="10653" spans="1:29" ht="39" x14ac:dyDescent="0.15">
      <c r="A10653" s="3">
        <f>DATE(2013,10,28)</f>
        <v>41575</v>
      </c>
      <c r="B10653" s="3">
        <f>DATE(2013,10,28)</f>
        <v>41575</v>
      </c>
      <c r="C10653" s="2" t="s">
        <v>95</v>
      </c>
      <c r="D10653" s="2" t="s">
        <v>31028</v>
      </c>
      <c r="E10653" s="2" t="s">
        <v>31029</v>
      </c>
      <c r="F10653" s="4">
        <v>6289</v>
      </c>
      <c r="G10653" s="2" t="s">
        <v>53</v>
      </c>
      <c r="H10653" s="2" t="s">
        <v>34</v>
      </c>
      <c r="I10653" s="2" t="s">
        <v>31030</v>
      </c>
      <c r="J10653" s="2" t="s">
        <v>302</v>
      </c>
      <c r="K10653" s="2" t="s">
        <v>53</v>
      </c>
      <c r="L10653" s="2" t="s">
        <v>34</v>
      </c>
      <c r="M10653" s="2"/>
      <c r="N10653" s="2"/>
      <c r="O10653" s="2"/>
      <c r="P10653" s="2" t="s">
        <v>31031</v>
      </c>
      <c r="Q10653" s="6">
        <v>100</v>
      </c>
      <c r="R10653" s="2"/>
      <c r="S10653" s="5">
        <v>45.9</v>
      </c>
      <c r="T10653" s="7">
        <v>44.738999999999997</v>
      </c>
      <c r="U10653" s="5">
        <v>8.4</v>
      </c>
      <c r="V10653" s="9">
        <v>2.1656</v>
      </c>
      <c r="W10653" s="6">
        <v>6.07</v>
      </c>
      <c r="X10653" s="6">
        <v>6.03</v>
      </c>
      <c r="Y10653" s="6">
        <v>6.04</v>
      </c>
      <c r="Z10653" s="6">
        <v>6.02</v>
      </c>
      <c r="AA10653" s="6">
        <v>21.24</v>
      </c>
      <c r="AB10653" s="7">
        <v>2.621</v>
      </c>
      <c r="AC10653" s="2"/>
    </row>
    <row r="10654" spans="1:29" ht="130" x14ac:dyDescent="0.15">
      <c r="A10654" s="3">
        <f>DATE(2013,10,29)</f>
        <v>41576</v>
      </c>
      <c r="B10654" s="2"/>
      <c r="C10654" s="2" t="s">
        <v>30</v>
      </c>
      <c r="D10654" s="2" t="s">
        <v>31032</v>
      </c>
      <c r="E10654" s="2" t="s">
        <v>31033</v>
      </c>
      <c r="F10654" s="4">
        <v>3999</v>
      </c>
      <c r="G10654" s="2" t="s">
        <v>112</v>
      </c>
      <c r="H10654" s="2" t="s">
        <v>34</v>
      </c>
      <c r="I10654" s="2" t="s">
        <v>31034</v>
      </c>
      <c r="J10654" s="2" t="s">
        <v>31035</v>
      </c>
      <c r="K10654" s="2" t="s">
        <v>73</v>
      </c>
      <c r="L10654" s="2" t="s">
        <v>34</v>
      </c>
      <c r="M10654" s="7">
        <v>195.08500000000001</v>
      </c>
      <c r="N10654" s="6">
        <v>0.74</v>
      </c>
      <c r="O10654" s="5">
        <v>0.7</v>
      </c>
      <c r="P10654" s="2" t="s">
        <v>31036</v>
      </c>
      <c r="Q10654" s="2"/>
      <c r="R10654" s="6">
        <v>16.75</v>
      </c>
      <c r="S10654" s="5">
        <v>20.5</v>
      </c>
      <c r="T10654" s="7">
        <v>49.924999999999997</v>
      </c>
      <c r="U10654" s="5">
        <v>2.2000000000000002</v>
      </c>
      <c r="V10654" s="9">
        <v>-1.4437</v>
      </c>
      <c r="W10654" s="6">
        <v>12.17</v>
      </c>
      <c r="X10654" s="6">
        <v>12.76</v>
      </c>
      <c r="Y10654" s="5">
        <v>15.5</v>
      </c>
      <c r="Z10654" s="6">
        <v>14.47</v>
      </c>
      <c r="AA10654" s="6">
        <v>16.010000000000002</v>
      </c>
      <c r="AB10654" s="7">
        <v>10.368</v>
      </c>
      <c r="AC10654" s="6">
        <v>64.02</v>
      </c>
    </row>
    <row r="10655" spans="1:29" ht="117" x14ac:dyDescent="0.15">
      <c r="A10655" s="3">
        <f>DATE(2013,11,1)</f>
        <v>41579</v>
      </c>
      <c r="B10655" s="3">
        <f>DATE(2014,4,1)</f>
        <v>41730</v>
      </c>
      <c r="C10655" s="2" t="s">
        <v>95</v>
      </c>
      <c r="D10655" s="2" t="s">
        <v>30210</v>
      </c>
      <c r="E10655" s="2" t="s">
        <v>1181</v>
      </c>
      <c r="F10655" s="4">
        <v>6021</v>
      </c>
      <c r="G10655" s="2" t="s">
        <v>37</v>
      </c>
      <c r="H10655" s="2" t="s">
        <v>34</v>
      </c>
      <c r="I10655" s="2" t="s">
        <v>31037</v>
      </c>
      <c r="J10655" s="2" t="s">
        <v>36</v>
      </c>
      <c r="K10655" s="2" t="s">
        <v>37</v>
      </c>
      <c r="L10655" s="2" t="s">
        <v>34</v>
      </c>
      <c r="M10655" s="6">
        <v>197.07</v>
      </c>
      <c r="N10655" s="6">
        <v>6.85</v>
      </c>
      <c r="O10655" s="6">
        <v>6.88</v>
      </c>
      <c r="P10655" s="2" t="s">
        <v>31038</v>
      </c>
      <c r="Q10655" s="6">
        <v>100</v>
      </c>
      <c r="R10655" s="6">
        <v>16.79</v>
      </c>
      <c r="S10655" s="2"/>
      <c r="T10655" s="2"/>
      <c r="U10655" s="2"/>
      <c r="V10655" s="2"/>
      <c r="W10655" s="6">
        <v>10.75</v>
      </c>
      <c r="X10655" s="6">
        <v>10.75</v>
      </c>
      <c r="Y10655" s="6">
        <v>14.95</v>
      </c>
      <c r="Z10655" s="6">
        <v>14.85</v>
      </c>
      <c r="AA10655" s="6">
        <v>3.59</v>
      </c>
      <c r="AB10655" s="2" t="s">
        <v>47</v>
      </c>
      <c r="AC10655" s="2"/>
    </row>
    <row r="10656" spans="1:29" ht="130" x14ac:dyDescent="0.15">
      <c r="A10656" s="3">
        <f>DATE(2013,11,4)</f>
        <v>41582</v>
      </c>
      <c r="B10656" s="3">
        <f>DATE(2014,2,18)</f>
        <v>41688</v>
      </c>
      <c r="C10656" s="2" t="s">
        <v>95</v>
      </c>
      <c r="D10656" s="2" t="s">
        <v>28999</v>
      </c>
      <c r="E10656" s="2" t="s">
        <v>2208</v>
      </c>
      <c r="F10656" s="4">
        <v>3663</v>
      </c>
      <c r="G10656" s="2" t="s">
        <v>921</v>
      </c>
      <c r="H10656" s="2" t="s">
        <v>34</v>
      </c>
      <c r="I10656" s="2" t="s">
        <v>28819</v>
      </c>
      <c r="J10656" s="2" t="s">
        <v>3197</v>
      </c>
      <c r="K10656" s="2" t="s">
        <v>53</v>
      </c>
      <c r="L10656" s="2" t="s">
        <v>34</v>
      </c>
      <c r="M10656" s="2"/>
      <c r="N10656" s="2"/>
      <c r="O10656" s="2"/>
      <c r="P10656" s="2" t="s">
        <v>31039</v>
      </c>
      <c r="Q10656" s="6">
        <v>100</v>
      </c>
      <c r="R10656" s="6">
        <v>28</v>
      </c>
      <c r="S10656" s="5">
        <v>15.2</v>
      </c>
      <c r="T10656" s="7">
        <v>27.030999999999999</v>
      </c>
      <c r="U10656" s="5">
        <v>11.4</v>
      </c>
      <c r="V10656" s="9">
        <v>1.1591</v>
      </c>
      <c r="W10656" s="6">
        <v>19.46</v>
      </c>
      <c r="X10656" s="6">
        <v>19.940000000000001</v>
      </c>
      <c r="Y10656" s="6">
        <v>19.61</v>
      </c>
      <c r="Z10656" s="6">
        <v>22.55</v>
      </c>
      <c r="AA10656" s="6">
        <v>13.33</v>
      </c>
      <c r="AB10656" s="7">
        <v>22.788</v>
      </c>
      <c r="AC10656" s="2"/>
    </row>
    <row r="10657" spans="1:29" ht="78" x14ac:dyDescent="0.15">
      <c r="A10657" s="3">
        <f>DATE(2013,11,4)</f>
        <v>41582</v>
      </c>
      <c r="B10657" s="2"/>
      <c r="C10657" s="2" t="s">
        <v>30</v>
      </c>
      <c r="D10657" s="2" t="s">
        <v>31040</v>
      </c>
      <c r="E10657" s="2" t="s">
        <v>92</v>
      </c>
      <c r="F10657" s="4">
        <v>6798</v>
      </c>
      <c r="G10657" s="2" t="s">
        <v>53</v>
      </c>
      <c r="H10657" s="2" t="s">
        <v>34</v>
      </c>
      <c r="I10657" s="2" t="s">
        <v>31041</v>
      </c>
      <c r="J10657" s="2" t="s">
        <v>17062</v>
      </c>
      <c r="K10657" s="2" t="s">
        <v>53</v>
      </c>
      <c r="L10657" s="2" t="s">
        <v>34</v>
      </c>
      <c r="M10657" s="2"/>
      <c r="N10657" s="2"/>
      <c r="O10657" s="2"/>
      <c r="P10657" s="2" t="s">
        <v>31042</v>
      </c>
      <c r="Q10657" s="2"/>
      <c r="R10657" s="6">
        <v>21.5</v>
      </c>
      <c r="S10657" s="5">
        <v>0.4</v>
      </c>
      <c r="T10657" s="7">
        <v>20.477</v>
      </c>
      <c r="U10657" s="5">
        <v>14.7</v>
      </c>
      <c r="V10657" s="6">
        <v>-0.02</v>
      </c>
      <c r="W10657" s="6">
        <v>19.579999999999998</v>
      </c>
      <c r="X10657" s="6">
        <v>18.77</v>
      </c>
      <c r="Y10657" s="6">
        <v>20.420000000000002</v>
      </c>
      <c r="Z10657" s="5">
        <v>20.8</v>
      </c>
      <c r="AA10657" s="6">
        <v>22.56</v>
      </c>
      <c r="AB10657" s="7">
        <v>153.92099999999999</v>
      </c>
      <c r="AC10657" s="2"/>
    </row>
    <row r="10658" spans="1:29" ht="78" x14ac:dyDescent="0.15">
      <c r="A10658" s="3">
        <f>DATE(2013,11,4)</f>
        <v>41582</v>
      </c>
      <c r="B10658" s="3">
        <f>DATE(2014,2,3)</f>
        <v>41673</v>
      </c>
      <c r="C10658" s="2" t="s">
        <v>95</v>
      </c>
      <c r="D10658" s="2" t="s">
        <v>29775</v>
      </c>
      <c r="E10658" s="2" t="s">
        <v>1181</v>
      </c>
      <c r="F10658" s="4">
        <v>6021</v>
      </c>
      <c r="G10658" s="2" t="s">
        <v>37</v>
      </c>
      <c r="H10658" s="2" t="s">
        <v>34</v>
      </c>
      <c r="I10658" s="2" t="s">
        <v>31043</v>
      </c>
      <c r="J10658" s="2" t="s">
        <v>1181</v>
      </c>
      <c r="K10658" s="2" t="s">
        <v>37</v>
      </c>
      <c r="L10658" s="2" t="s">
        <v>34</v>
      </c>
      <c r="M10658" s="2"/>
      <c r="N10658" s="2"/>
      <c r="O10658" s="2"/>
      <c r="P10658" s="2" t="s">
        <v>31044</v>
      </c>
      <c r="Q10658" s="6">
        <v>100</v>
      </c>
      <c r="R10658" s="6">
        <v>6.85</v>
      </c>
      <c r="S10658" s="5">
        <v>0.5</v>
      </c>
      <c r="T10658" s="2"/>
      <c r="U10658" s="5">
        <v>8.5</v>
      </c>
      <c r="V10658" s="9">
        <v>0.32879999999999998</v>
      </c>
      <c r="W10658" s="5">
        <v>4.2</v>
      </c>
      <c r="X10658" s="5">
        <v>4.5</v>
      </c>
      <c r="Y10658" s="5">
        <v>4.5</v>
      </c>
      <c r="Z10658" s="4">
        <v>6</v>
      </c>
      <c r="AA10658" s="6">
        <v>1.26</v>
      </c>
      <c r="AB10658" s="7">
        <v>1.98</v>
      </c>
      <c r="AC10658" s="2"/>
    </row>
    <row r="10659" spans="1:29" ht="52" x14ac:dyDescent="0.15">
      <c r="A10659" s="3">
        <f>DATE(2013,11,5)</f>
        <v>41583</v>
      </c>
      <c r="B10659" s="3">
        <f>DATE(2014,2,14)</f>
        <v>41684</v>
      </c>
      <c r="C10659" s="2" t="s">
        <v>95</v>
      </c>
      <c r="D10659" s="2" t="s">
        <v>31045</v>
      </c>
      <c r="E10659" s="2" t="s">
        <v>36</v>
      </c>
      <c r="F10659" s="4">
        <v>6021</v>
      </c>
      <c r="G10659" s="2" t="s">
        <v>37</v>
      </c>
      <c r="H10659" s="2" t="s">
        <v>34</v>
      </c>
      <c r="I10659" s="2" t="s">
        <v>29143</v>
      </c>
      <c r="J10659" s="2" t="s">
        <v>36</v>
      </c>
      <c r="K10659" s="2" t="s">
        <v>33</v>
      </c>
      <c r="L10659" s="2" t="s">
        <v>34</v>
      </c>
      <c r="M10659" s="7">
        <v>124.378</v>
      </c>
      <c r="N10659" s="6">
        <v>18.440000000000001</v>
      </c>
      <c r="O10659" s="6">
        <v>18.829999999999998</v>
      </c>
      <c r="P10659" s="2" t="s">
        <v>31046</v>
      </c>
      <c r="Q10659" s="6">
        <v>100</v>
      </c>
      <c r="R10659" s="2"/>
      <c r="S10659" s="5">
        <v>0.1</v>
      </c>
      <c r="T10659" s="2"/>
      <c r="U10659" s="5">
        <v>18</v>
      </c>
      <c r="V10659" s="9">
        <v>6.4399999999999999E-2</v>
      </c>
      <c r="W10659" s="5">
        <v>14.5</v>
      </c>
      <c r="X10659" s="5">
        <v>14.5</v>
      </c>
      <c r="Y10659" s="6">
        <v>15.83</v>
      </c>
      <c r="Z10659" s="6">
        <v>15.83</v>
      </c>
      <c r="AA10659" s="6">
        <v>2.14</v>
      </c>
      <c r="AB10659" s="7">
        <v>18.295000000000002</v>
      </c>
      <c r="AC10659" s="2"/>
    </row>
    <row r="10660" spans="1:29" ht="130" x14ac:dyDescent="0.15">
      <c r="A10660" s="3">
        <f>DATE(2013,11,5)</f>
        <v>41583</v>
      </c>
      <c r="B10660" s="3">
        <f>DATE(2013,12,18)</f>
        <v>41626</v>
      </c>
      <c r="C10660" s="2" t="s">
        <v>95</v>
      </c>
      <c r="D10660" s="2" t="s">
        <v>31047</v>
      </c>
      <c r="E10660" s="2" t="s">
        <v>31048</v>
      </c>
      <c r="F10660" s="4">
        <v>3674</v>
      </c>
      <c r="G10660" s="2" t="s">
        <v>137</v>
      </c>
      <c r="H10660" s="2" t="s">
        <v>34</v>
      </c>
      <c r="I10660" s="2" t="s">
        <v>31049</v>
      </c>
      <c r="J10660" s="2" t="s">
        <v>31050</v>
      </c>
      <c r="K10660" s="2" t="s">
        <v>137</v>
      </c>
      <c r="L10660" s="2" t="s">
        <v>34</v>
      </c>
      <c r="M10660" s="7">
        <v>755.67899999999997</v>
      </c>
      <c r="N10660" s="6">
        <v>16.73</v>
      </c>
      <c r="O10660" s="5">
        <v>16.100000000000001</v>
      </c>
      <c r="P10660" s="2" t="s">
        <v>31051</v>
      </c>
      <c r="Q10660" s="6">
        <v>100</v>
      </c>
      <c r="R10660" s="6">
        <v>5.05</v>
      </c>
      <c r="S10660" s="5">
        <v>-89.1</v>
      </c>
      <c r="T10660" s="7">
        <v>3.0289999999999999</v>
      </c>
      <c r="U10660" s="5">
        <v>0.1</v>
      </c>
      <c r="V10660" s="9">
        <v>-2.2128999999999999</v>
      </c>
      <c r="W10660" s="6">
        <v>2.95</v>
      </c>
      <c r="X10660" s="6">
        <v>3.04</v>
      </c>
      <c r="Y10660" s="6">
        <v>2.97</v>
      </c>
      <c r="Z10660" s="4">
        <v>5</v>
      </c>
      <c r="AA10660" s="6">
        <v>43.39</v>
      </c>
      <c r="AB10660" s="2" t="s">
        <v>86</v>
      </c>
      <c r="AC10660" s="6">
        <v>110.45</v>
      </c>
    </row>
    <row r="10661" spans="1:29" ht="65" x14ac:dyDescent="0.15">
      <c r="A10661" s="3">
        <f>DATE(2013,11,6)</f>
        <v>41584</v>
      </c>
      <c r="B10661" s="2"/>
      <c r="C10661" s="2" t="s">
        <v>7330</v>
      </c>
      <c r="D10661" s="2" t="s">
        <v>31052</v>
      </c>
      <c r="E10661" s="2" t="s">
        <v>13693</v>
      </c>
      <c r="F10661" s="4">
        <v>2834</v>
      </c>
      <c r="G10661" s="2" t="s">
        <v>130</v>
      </c>
      <c r="H10661" s="2" t="s">
        <v>34</v>
      </c>
      <c r="I10661" s="2" t="s">
        <v>31053</v>
      </c>
      <c r="J10661" s="2" t="s">
        <v>13693</v>
      </c>
      <c r="K10661" s="2" t="s">
        <v>130</v>
      </c>
      <c r="L10661" s="2" t="s">
        <v>34</v>
      </c>
      <c r="M10661" s="2"/>
      <c r="N10661" s="2"/>
      <c r="O10661" s="2"/>
      <c r="P10661" s="2" t="s">
        <v>31054</v>
      </c>
      <c r="Q10661" s="2"/>
      <c r="R10661" s="6">
        <v>0.04</v>
      </c>
      <c r="S10661" s="5">
        <v>0</v>
      </c>
      <c r="T10661" s="2"/>
      <c r="U10661" s="5">
        <v>-0.5</v>
      </c>
      <c r="V10661" s="9">
        <v>-2.3723999999999998</v>
      </c>
      <c r="W10661" s="4">
        <v>140</v>
      </c>
      <c r="X10661" s="4">
        <v>140</v>
      </c>
      <c r="Y10661" s="4">
        <v>140</v>
      </c>
      <c r="Z10661" s="4">
        <v>140</v>
      </c>
      <c r="AA10661" s="6">
        <v>10.029999999999999</v>
      </c>
      <c r="AB10661" s="2" t="s">
        <v>86</v>
      </c>
      <c r="AC10661" s="6">
        <v>4.97</v>
      </c>
    </row>
    <row r="10662" spans="1:29" ht="117" x14ac:dyDescent="0.15">
      <c r="A10662" s="3">
        <f>DATE(2013,11,7)</f>
        <v>41585</v>
      </c>
      <c r="B10662" s="3">
        <f>DATE(2014,1,2)</f>
        <v>41641</v>
      </c>
      <c r="C10662" s="2" t="s">
        <v>95</v>
      </c>
      <c r="D10662" s="2" t="s">
        <v>31055</v>
      </c>
      <c r="E10662" s="2" t="s">
        <v>6292</v>
      </c>
      <c r="F10662" s="4">
        <v>2834</v>
      </c>
      <c r="G10662" s="2" t="s">
        <v>130</v>
      </c>
      <c r="H10662" s="2" t="s">
        <v>34</v>
      </c>
      <c r="I10662" s="2" t="s">
        <v>20789</v>
      </c>
      <c r="J10662" s="2" t="s">
        <v>20790</v>
      </c>
      <c r="K10662" s="2" t="s">
        <v>130</v>
      </c>
      <c r="L10662" s="2" t="s">
        <v>34</v>
      </c>
      <c r="M10662" s="12">
        <v>4285.7860000000001</v>
      </c>
      <c r="N10662" s="6">
        <v>71.31</v>
      </c>
      <c r="O10662" s="4">
        <v>84</v>
      </c>
      <c r="P10662" s="2" t="s">
        <v>31056</v>
      </c>
      <c r="Q10662" s="6">
        <v>100</v>
      </c>
      <c r="R10662" s="6">
        <v>32</v>
      </c>
      <c r="S10662" s="5">
        <v>73.400000000000006</v>
      </c>
      <c r="T10662" s="7">
        <v>80.796000000000006</v>
      </c>
      <c r="U10662" s="5">
        <v>3.4</v>
      </c>
      <c r="V10662" s="7">
        <v>0.95099999999999996</v>
      </c>
      <c r="W10662" s="6">
        <v>23.33</v>
      </c>
      <c r="X10662" s="6">
        <v>23.53</v>
      </c>
      <c r="Y10662" s="6">
        <v>23.22</v>
      </c>
      <c r="Z10662" s="6">
        <v>31.95</v>
      </c>
      <c r="AA10662" s="6">
        <v>67.14</v>
      </c>
      <c r="AB10662" s="7">
        <v>33.756999999999998</v>
      </c>
      <c r="AC10662" s="6">
        <v>817.73</v>
      </c>
    </row>
    <row r="10663" spans="1:29" ht="65" x14ac:dyDescent="0.15">
      <c r="A10663" s="3">
        <f>DATE(2013,11,8)</f>
        <v>41586</v>
      </c>
      <c r="B10663" s="3">
        <f>DATE(2014,2,3)</f>
        <v>41673</v>
      </c>
      <c r="C10663" s="2" t="s">
        <v>95</v>
      </c>
      <c r="D10663" s="2" t="s">
        <v>31057</v>
      </c>
      <c r="E10663" s="2" t="s">
        <v>31058</v>
      </c>
      <c r="F10663" s="4">
        <v>3851</v>
      </c>
      <c r="G10663" s="2" t="s">
        <v>226</v>
      </c>
      <c r="H10663" s="2" t="s">
        <v>34</v>
      </c>
      <c r="I10663" s="2" t="s">
        <v>24987</v>
      </c>
      <c r="J10663" s="2" t="s">
        <v>24988</v>
      </c>
      <c r="K10663" s="2" t="s">
        <v>226</v>
      </c>
      <c r="L10663" s="2" t="s">
        <v>133</v>
      </c>
      <c r="M10663" s="12">
        <v>22681.704000000002</v>
      </c>
      <c r="N10663" s="7">
        <v>101.96599999999999</v>
      </c>
      <c r="O10663" s="7">
        <v>102.521</v>
      </c>
      <c r="P10663" s="2" t="s">
        <v>31059</v>
      </c>
      <c r="Q10663" s="6">
        <v>100</v>
      </c>
      <c r="R10663" s="6">
        <v>21.5</v>
      </c>
      <c r="S10663" s="2"/>
      <c r="T10663" s="2"/>
      <c r="U10663" s="2"/>
      <c r="V10663" s="2"/>
      <c r="W10663" s="6">
        <v>20.12</v>
      </c>
      <c r="X10663" s="6">
        <v>19.98</v>
      </c>
      <c r="Y10663" s="6">
        <v>21.51</v>
      </c>
      <c r="Z10663" s="6">
        <v>21.81</v>
      </c>
      <c r="AA10663" s="6">
        <v>13.09</v>
      </c>
      <c r="AB10663" s="2" t="s">
        <v>47</v>
      </c>
      <c r="AC10663" s="6">
        <v>924.43</v>
      </c>
    </row>
    <row r="10664" spans="1:29" ht="91" x14ac:dyDescent="0.15">
      <c r="A10664" s="3">
        <f>DATE(2013,11,11)</f>
        <v>41589</v>
      </c>
      <c r="B10664" s="3">
        <f>DATE(2014,1,24)</f>
        <v>41663</v>
      </c>
      <c r="C10664" s="2" t="s">
        <v>95</v>
      </c>
      <c r="D10664" s="2" t="s">
        <v>26915</v>
      </c>
      <c r="E10664" s="2" t="s">
        <v>26916</v>
      </c>
      <c r="F10664" s="4">
        <v>2834</v>
      </c>
      <c r="G10664" s="2" t="s">
        <v>130</v>
      </c>
      <c r="H10664" s="2" t="s">
        <v>34</v>
      </c>
      <c r="I10664" s="2" t="s">
        <v>25183</v>
      </c>
      <c r="J10664" s="2" t="s">
        <v>4011</v>
      </c>
      <c r="K10664" s="2" t="s">
        <v>130</v>
      </c>
      <c r="L10664" s="2" t="s">
        <v>7645</v>
      </c>
      <c r="M10664" s="12">
        <v>21739.118999999999</v>
      </c>
      <c r="N10664" s="7">
        <v>45.100999999999999</v>
      </c>
      <c r="O10664" s="7">
        <v>44.848999999999997</v>
      </c>
      <c r="P10664" s="2" t="s">
        <v>31060</v>
      </c>
      <c r="Q10664" s="6">
        <v>87.91</v>
      </c>
      <c r="R10664" s="6">
        <v>50</v>
      </c>
      <c r="S10664" s="5">
        <v>-64.8</v>
      </c>
      <c r="T10664" s="7">
        <v>54.103000000000002</v>
      </c>
      <c r="U10664" s="5">
        <v>11.1</v>
      </c>
      <c r="V10664" s="9">
        <v>-0.98540000000000005</v>
      </c>
      <c r="W10664" s="7">
        <v>39.002000000000002</v>
      </c>
      <c r="X10664" s="6">
        <v>39.380000000000003</v>
      </c>
      <c r="Y10664" s="6">
        <v>49.42</v>
      </c>
      <c r="Z10664" s="5">
        <v>49.5</v>
      </c>
      <c r="AA10664" s="6">
        <v>65.97</v>
      </c>
      <c r="AB10664" s="7">
        <v>182.98699999999999</v>
      </c>
      <c r="AC10664" s="10">
        <v>1702.78</v>
      </c>
    </row>
    <row r="10665" spans="1:29" ht="91" x14ac:dyDescent="0.15">
      <c r="A10665" s="3">
        <f>DATE(2013,11,13)</f>
        <v>41591</v>
      </c>
      <c r="B10665" s="2"/>
      <c r="C10665" s="2" t="s">
        <v>7330</v>
      </c>
      <c r="D10665" s="2" t="s">
        <v>27058</v>
      </c>
      <c r="E10665" s="2" t="s">
        <v>27059</v>
      </c>
      <c r="F10665" s="4">
        <v>6111</v>
      </c>
      <c r="G10665" s="2" t="s">
        <v>370</v>
      </c>
      <c r="H10665" s="2" t="s">
        <v>34</v>
      </c>
      <c r="I10665" s="2" t="s">
        <v>31061</v>
      </c>
      <c r="J10665" s="2" t="s">
        <v>13377</v>
      </c>
      <c r="K10665" s="2" t="s">
        <v>53</v>
      </c>
      <c r="L10665" s="2" t="s">
        <v>34</v>
      </c>
      <c r="M10665" s="2"/>
      <c r="N10665" s="2"/>
      <c r="O10665" s="2"/>
      <c r="P10665" s="2" t="s">
        <v>31062</v>
      </c>
      <c r="Q10665" s="2"/>
      <c r="R10665" s="2"/>
      <c r="S10665" s="8">
        <v>85076</v>
      </c>
      <c r="T10665" s="2"/>
      <c r="U10665" s="5">
        <v>-107.7</v>
      </c>
      <c r="V10665" s="9">
        <v>-5.5300000000000002E-2</v>
      </c>
      <c r="W10665" s="5">
        <v>2.2999999999999998</v>
      </c>
      <c r="X10665" s="5">
        <v>2.4</v>
      </c>
      <c r="Y10665" s="6">
        <v>2.62</v>
      </c>
      <c r="Z10665" s="6">
        <v>3.06</v>
      </c>
      <c r="AA10665" s="10">
        <v>1158.08</v>
      </c>
      <c r="AB10665" s="2" t="s">
        <v>47</v>
      </c>
      <c r="AC10665" s="2"/>
    </row>
    <row r="10666" spans="1:29" ht="117" x14ac:dyDescent="0.15">
      <c r="A10666" s="3">
        <f>DATE(2013,11,14)</f>
        <v>41592</v>
      </c>
      <c r="B10666" s="3">
        <f>DATE(2014,1,6)</f>
        <v>41645</v>
      </c>
      <c r="C10666" s="2" t="s">
        <v>95</v>
      </c>
      <c r="D10666" s="2" t="s">
        <v>27145</v>
      </c>
      <c r="E10666" s="2" t="s">
        <v>19393</v>
      </c>
      <c r="F10666" s="4">
        <v>7389</v>
      </c>
      <c r="G10666" s="2" t="s">
        <v>223</v>
      </c>
      <c r="H10666" s="2" t="s">
        <v>34</v>
      </c>
      <c r="I10666" s="2" t="s">
        <v>31063</v>
      </c>
      <c r="J10666" s="2" t="s">
        <v>244</v>
      </c>
      <c r="K10666" s="2" t="s">
        <v>53</v>
      </c>
      <c r="L10666" s="2" t="s">
        <v>34</v>
      </c>
      <c r="M10666" s="2"/>
      <c r="N10666" s="2"/>
      <c r="O10666" s="2"/>
      <c r="P10666" s="2" t="s">
        <v>31064</v>
      </c>
      <c r="Q10666" s="6">
        <v>100</v>
      </c>
      <c r="R10666" s="6">
        <v>8.1999999999999993</v>
      </c>
      <c r="S10666" s="5">
        <v>21.9</v>
      </c>
      <c r="T10666" s="7">
        <v>8.9410000000000007</v>
      </c>
      <c r="U10666" s="5">
        <v>3.3</v>
      </c>
      <c r="V10666" s="9">
        <v>1.6635</v>
      </c>
      <c r="W10666" s="6">
        <v>6.89</v>
      </c>
      <c r="X10666" s="6">
        <v>8.14</v>
      </c>
      <c r="Y10666" s="5">
        <v>7.1</v>
      </c>
      <c r="Z10666" s="6">
        <v>6.52</v>
      </c>
      <c r="AA10666" s="6">
        <v>13.25</v>
      </c>
      <c r="AB10666" s="7">
        <v>21.454999999999998</v>
      </c>
      <c r="AC10666" s="2"/>
    </row>
    <row r="10667" spans="1:29" ht="143" x14ac:dyDescent="0.15">
      <c r="A10667" s="3">
        <f>DATE(2013,11,15)</f>
        <v>41593</v>
      </c>
      <c r="B10667" s="3">
        <f>DATE(2014,4,30)</f>
        <v>41759</v>
      </c>
      <c r="C10667" s="2" t="s">
        <v>95</v>
      </c>
      <c r="D10667" s="2" t="s">
        <v>27516</v>
      </c>
      <c r="E10667" s="2" t="s">
        <v>36</v>
      </c>
      <c r="F10667" s="4">
        <v>6021</v>
      </c>
      <c r="G10667" s="2" t="s">
        <v>37</v>
      </c>
      <c r="H10667" s="2" t="s">
        <v>34</v>
      </c>
      <c r="I10667" s="2" t="s">
        <v>31065</v>
      </c>
      <c r="J10667" s="2" t="s">
        <v>36</v>
      </c>
      <c r="K10667" s="2" t="s">
        <v>37</v>
      </c>
      <c r="L10667" s="2" t="s">
        <v>34</v>
      </c>
      <c r="M10667" s="7">
        <v>255.739</v>
      </c>
      <c r="N10667" s="6">
        <v>13.62</v>
      </c>
      <c r="O10667" s="6">
        <v>13.81</v>
      </c>
      <c r="P10667" s="2" t="s">
        <v>31066</v>
      </c>
      <c r="Q10667" s="6">
        <v>100</v>
      </c>
      <c r="R10667" s="6">
        <v>18.350000000000001</v>
      </c>
      <c r="S10667" s="5">
        <v>8.6999999999999993</v>
      </c>
      <c r="T10667" s="7">
        <v>27.193000000000001</v>
      </c>
      <c r="U10667" s="5">
        <v>15.4</v>
      </c>
      <c r="V10667" s="9">
        <v>0.34720000000000001</v>
      </c>
      <c r="W10667" s="6">
        <v>16.25</v>
      </c>
      <c r="X10667" s="6">
        <v>16.04</v>
      </c>
      <c r="Y10667" s="6">
        <v>18.079999999999998</v>
      </c>
      <c r="Z10667" s="6">
        <v>18.34</v>
      </c>
      <c r="AA10667" s="6">
        <v>19.68</v>
      </c>
      <c r="AB10667" s="7">
        <v>24.44</v>
      </c>
      <c r="AC10667" s="2"/>
    </row>
    <row r="10668" spans="1:29" ht="65" x14ac:dyDescent="0.15">
      <c r="A10668" s="3">
        <f>DATE(2013,11,18)</f>
        <v>41596</v>
      </c>
      <c r="B10668" s="3">
        <f>DATE(2014,6,11)</f>
        <v>41801</v>
      </c>
      <c r="C10668" s="2" t="s">
        <v>95</v>
      </c>
      <c r="D10668" s="2" t="s">
        <v>31067</v>
      </c>
      <c r="E10668" s="2" t="s">
        <v>367</v>
      </c>
      <c r="F10668" s="4">
        <v>6211</v>
      </c>
      <c r="G10668" s="2" t="s">
        <v>53</v>
      </c>
      <c r="H10668" s="2" t="s">
        <v>34</v>
      </c>
      <c r="I10668" s="2" t="s">
        <v>30980</v>
      </c>
      <c r="J10668" s="2" t="s">
        <v>30981</v>
      </c>
      <c r="K10668" s="2" t="s">
        <v>53</v>
      </c>
      <c r="L10668" s="2" t="s">
        <v>34</v>
      </c>
      <c r="M10668" s="5">
        <v>477</v>
      </c>
      <c r="N10668" s="6">
        <v>17.14</v>
      </c>
      <c r="O10668" s="6">
        <v>16.809999999999999</v>
      </c>
      <c r="P10668" s="2" t="s">
        <v>31068</v>
      </c>
      <c r="Q10668" s="6">
        <v>100</v>
      </c>
      <c r="R10668" s="2"/>
      <c r="S10668" s="5">
        <v>2.9</v>
      </c>
      <c r="T10668" s="7">
        <v>5.165</v>
      </c>
      <c r="U10668" s="5">
        <v>0.5</v>
      </c>
      <c r="V10668" s="9">
        <v>0.10979999999999999</v>
      </c>
      <c r="W10668" s="4">
        <v>1</v>
      </c>
      <c r="X10668" s="4">
        <v>1</v>
      </c>
      <c r="Y10668" s="6">
        <v>1.28</v>
      </c>
      <c r="Z10668" s="6">
        <v>1.27</v>
      </c>
      <c r="AA10668" s="6">
        <v>20.46</v>
      </c>
      <c r="AB10668" s="7">
        <v>7.5750000000000002</v>
      </c>
      <c r="AC10668" s="6">
        <v>43.75</v>
      </c>
    </row>
    <row r="10669" spans="1:29" ht="117" x14ac:dyDescent="0.15">
      <c r="A10669" s="3">
        <f>DATE(2013,11,19)</f>
        <v>41597</v>
      </c>
      <c r="B10669" s="3">
        <f>DATE(2014,3,11)</f>
        <v>41709</v>
      </c>
      <c r="C10669" s="2" t="s">
        <v>95</v>
      </c>
      <c r="D10669" s="2" t="s">
        <v>31069</v>
      </c>
      <c r="E10669" s="2" t="s">
        <v>129</v>
      </c>
      <c r="F10669" s="4">
        <v>2834</v>
      </c>
      <c r="G10669" s="2" t="s">
        <v>130</v>
      </c>
      <c r="H10669" s="2" t="s">
        <v>34</v>
      </c>
      <c r="I10669" s="2" t="s">
        <v>31070</v>
      </c>
      <c r="J10669" s="2" t="s">
        <v>31071</v>
      </c>
      <c r="K10669" s="2" t="s">
        <v>130</v>
      </c>
      <c r="L10669" s="2" t="s">
        <v>34</v>
      </c>
      <c r="M10669" s="2"/>
      <c r="N10669" s="2"/>
      <c r="O10669" s="2"/>
      <c r="P10669" s="2" t="s">
        <v>31072</v>
      </c>
      <c r="Q10669" s="6">
        <v>100</v>
      </c>
      <c r="R10669" s="6">
        <v>9.32</v>
      </c>
      <c r="S10669" s="5">
        <v>-68.7</v>
      </c>
      <c r="T10669" s="7">
        <v>111.114</v>
      </c>
      <c r="U10669" s="5">
        <v>0.8</v>
      </c>
      <c r="V10669" s="9">
        <v>-0.50549999999999995</v>
      </c>
      <c r="W10669" s="7">
        <v>5.4550000000000001</v>
      </c>
      <c r="X10669" s="6">
        <v>5.55</v>
      </c>
      <c r="Y10669" s="2"/>
      <c r="Z10669" s="2"/>
      <c r="AA10669" s="6">
        <v>140.93</v>
      </c>
      <c r="AB10669" s="7">
        <v>29.652999999999999</v>
      </c>
      <c r="AC10669" s="2"/>
    </row>
    <row r="10670" spans="1:29" ht="182" x14ac:dyDescent="0.15">
      <c r="A10670" s="3">
        <f>DATE(2013,11,19)</f>
        <v>41597</v>
      </c>
      <c r="B10670" s="3">
        <f>DATE(2014,1,17)</f>
        <v>41656</v>
      </c>
      <c r="C10670" s="2" t="s">
        <v>95</v>
      </c>
      <c r="D10670" s="2" t="s">
        <v>31073</v>
      </c>
      <c r="E10670" s="2" t="s">
        <v>1608</v>
      </c>
      <c r="F10670" s="4">
        <v>1311</v>
      </c>
      <c r="G10670" s="2" t="s">
        <v>148</v>
      </c>
      <c r="H10670" s="2" t="s">
        <v>34</v>
      </c>
      <c r="I10670" s="2" t="s">
        <v>31074</v>
      </c>
      <c r="J10670" s="2" t="s">
        <v>1608</v>
      </c>
      <c r="K10670" s="2" t="s">
        <v>148</v>
      </c>
      <c r="L10670" s="2" t="s">
        <v>8464</v>
      </c>
      <c r="M10670" s="2"/>
      <c r="N10670" s="2"/>
      <c r="O10670" s="2"/>
      <c r="P10670" s="2" t="s">
        <v>31075</v>
      </c>
      <c r="Q10670" s="6">
        <v>100</v>
      </c>
      <c r="R10670" s="6">
        <v>18.16</v>
      </c>
      <c r="S10670" s="5">
        <v>201.8</v>
      </c>
      <c r="T10670" s="7">
        <v>416.00200000000001</v>
      </c>
      <c r="U10670" s="5">
        <v>4.4000000000000004</v>
      </c>
      <c r="V10670" s="9">
        <v>1.7807999999999999</v>
      </c>
      <c r="W10670" s="7">
        <v>17.321999999999999</v>
      </c>
      <c r="X10670" s="7">
        <v>17.416</v>
      </c>
      <c r="Y10670" s="6">
        <v>17.39</v>
      </c>
      <c r="Z10670" s="7">
        <v>17.649000000000001</v>
      </c>
      <c r="AA10670" s="6">
        <v>113.29</v>
      </c>
      <c r="AB10670" s="7">
        <v>6.2329999999999997</v>
      </c>
      <c r="AC10670" s="8">
        <v>2536.1999999999998</v>
      </c>
    </row>
    <row r="10671" spans="1:29" ht="156" x14ac:dyDescent="0.15">
      <c r="A10671" s="3">
        <f>DATE(2013,11,25)</f>
        <v>41603</v>
      </c>
      <c r="B10671" s="3">
        <f>DATE(2014,2,3)</f>
        <v>41673</v>
      </c>
      <c r="C10671" s="2" t="s">
        <v>95</v>
      </c>
      <c r="D10671" s="2" t="s">
        <v>19200</v>
      </c>
      <c r="E10671" s="2" t="s">
        <v>19201</v>
      </c>
      <c r="F10671" s="4">
        <v>8742</v>
      </c>
      <c r="G10671" s="2" t="s">
        <v>223</v>
      </c>
      <c r="H10671" s="2" t="s">
        <v>34</v>
      </c>
      <c r="I10671" s="2" t="s">
        <v>30417</v>
      </c>
      <c r="J10671" s="2" t="s">
        <v>4967</v>
      </c>
      <c r="K10671" s="2" t="s">
        <v>223</v>
      </c>
      <c r="L10671" s="2" t="s">
        <v>34</v>
      </c>
      <c r="M10671" s="12">
        <v>14707.017</v>
      </c>
      <c r="N10671" s="6">
        <v>41.97</v>
      </c>
      <c r="O10671" s="6">
        <v>42.51</v>
      </c>
      <c r="P10671" s="2" t="s">
        <v>31076</v>
      </c>
      <c r="Q10671" s="6">
        <v>73.290000000000006</v>
      </c>
      <c r="R10671" s="6">
        <v>2.04</v>
      </c>
      <c r="S10671" s="5">
        <v>6.5</v>
      </c>
      <c r="T10671" s="6">
        <v>12.34</v>
      </c>
      <c r="U10671" s="5">
        <v>0.3</v>
      </c>
      <c r="V10671" s="9">
        <v>0.1111</v>
      </c>
      <c r="W10671" s="6">
        <v>2.0499999999999998</v>
      </c>
      <c r="X10671" s="6">
        <v>2.08</v>
      </c>
      <c r="Y10671" s="6">
        <v>1.99</v>
      </c>
      <c r="Z10671" s="4">
        <v>2</v>
      </c>
      <c r="AA10671" s="6">
        <v>58.3</v>
      </c>
      <c r="AB10671" s="7">
        <v>12.71</v>
      </c>
      <c r="AC10671" s="5">
        <v>564</v>
      </c>
    </row>
    <row r="10672" spans="1:29" ht="260" x14ac:dyDescent="0.15">
      <c r="A10672" s="3">
        <f>DATE(2013,11,26)</f>
        <v>41604</v>
      </c>
      <c r="B10672" s="3">
        <f>DATE(2014,6,18)</f>
        <v>41808</v>
      </c>
      <c r="C10672" s="2" t="s">
        <v>95</v>
      </c>
      <c r="D10672" s="2" t="s">
        <v>30984</v>
      </c>
      <c r="E10672" s="2" t="s">
        <v>30985</v>
      </c>
      <c r="F10672" s="4">
        <v>5611</v>
      </c>
      <c r="G10672" s="2" t="s">
        <v>756</v>
      </c>
      <c r="H10672" s="2" t="s">
        <v>34</v>
      </c>
      <c r="I10672" s="2" t="s">
        <v>30983</v>
      </c>
      <c r="J10672" s="2" t="s">
        <v>13939</v>
      </c>
      <c r="K10672" s="2" t="s">
        <v>756</v>
      </c>
      <c r="L10672" s="2" t="s">
        <v>34</v>
      </c>
      <c r="M10672" s="10">
        <v>2122.58</v>
      </c>
      <c r="N10672" s="5">
        <v>50.6</v>
      </c>
      <c r="O10672" s="6">
        <v>51.61</v>
      </c>
      <c r="P10672" s="2" t="s">
        <v>31077</v>
      </c>
      <c r="Q10672" s="6">
        <v>100</v>
      </c>
      <c r="R10672" s="6">
        <v>65</v>
      </c>
      <c r="S10672" s="5">
        <v>64.400000000000006</v>
      </c>
      <c r="T10672" s="6">
        <v>134.33000000000001</v>
      </c>
      <c r="U10672" s="5">
        <v>25.2</v>
      </c>
      <c r="V10672" s="9">
        <v>2.2917999999999998</v>
      </c>
      <c r="W10672" s="6">
        <v>49.64</v>
      </c>
      <c r="X10672" s="5">
        <v>50.6</v>
      </c>
      <c r="Y10672" s="6">
        <v>56.29</v>
      </c>
      <c r="Z10672" s="6">
        <v>56.88</v>
      </c>
      <c r="AA10672" s="6">
        <v>27.99</v>
      </c>
      <c r="AB10672" s="7">
        <v>14.144</v>
      </c>
      <c r="AC10672" s="6">
        <v>64.77</v>
      </c>
    </row>
    <row r="10673" spans="1:29" ht="52" x14ac:dyDescent="0.15">
      <c r="A10673" s="3">
        <f>DATE(2013,12,4)</f>
        <v>41612</v>
      </c>
      <c r="B10673" s="2"/>
      <c r="C10673" s="2" t="s">
        <v>30</v>
      </c>
      <c r="D10673" s="2" t="s">
        <v>31078</v>
      </c>
      <c r="E10673" s="2" t="s">
        <v>31079</v>
      </c>
      <c r="F10673" s="4">
        <v>6726</v>
      </c>
      <c r="G10673" s="2" t="s">
        <v>53</v>
      </c>
      <c r="H10673" s="2" t="s">
        <v>34</v>
      </c>
      <c r="I10673" s="2" t="s">
        <v>31080</v>
      </c>
      <c r="J10673" s="2" t="s">
        <v>13408</v>
      </c>
      <c r="K10673" s="2" t="s">
        <v>148</v>
      </c>
      <c r="L10673" s="2" t="s">
        <v>34</v>
      </c>
      <c r="M10673" s="2"/>
      <c r="N10673" s="2"/>
      <c r="O10673" s="2"/>
      <c r="P10673" s="2" t="s">
        <v>31081</v>
      </c>
      <c r="Q10673" s="2"/>
      <c r="R10673" s="2"/>
      <c r="S10673" s="5">
        <v>-1.4</v>
      </c>
      <c r="T10673" s="2"/>
      <c r="U10673" s="5">
        <v>25.2</v>
      </c>
      <c r="V10673" s="9">
        <v>-0.4909</v>
      </c>
      <c r="W10673" s="5">
        <v>10.4</v>
      </c>
      <c r="X10673" s="5">
        <v>10.4</v>
      </c>
      <c r="Y10673" s="6">
        <v>10.35</v>
      </c>
      <c r="Z10673" s="6">
        <v>10.35</v>
      </c>
      <c r="AA10673" s="6">
        <v>10.07</v>
      </c>
      <c r="AB10673" s="2" t="s">
        <v>86</v>
      </c>
      <c r="AC10673" s="2"/>
    </row>
    <row r="10674" spans="1:29" ht="65" x14ac:dyDescent="0.15">
      <c r="A10674" s="3">
        <f>DATE(2013,12,6)</f>
        <v>41614</v>
      </c>
      <c r="B10674" s="3">
        <f>DATE(2014,3,6)</f>
        <v>41704</v>
      </c>
      <c r="C10674" s="2" t="s">
        <v>95</v>
      </c>
      <c r="D10674" s="2" t="s">
        <v>31082</v>
      </c>
      <c r="E10674" s="2" t="s">
        <v>31083</v>
      </c>
      <c r="F10674" s="4">
        <v>7389</v>
      </c>
      <c r="G10674" s="2" t="s">
        <v>223</v>
      </c>
      <c r="H10674" s="2" t="s">
        <v>34</v>
      </c>
      <c r="I10674" s="2" t="s">
        <v>14633</v>
      </c>
      <c r="J10674" s="2" t="s">
        <v>31084</v>
      </c>
      <c r="K10674" s="2" t="s">
        <v>223</v>
      </c>
      <c r="L10674" s="2" t="s">
        <v>34</v>
      </c>
      <c r="M10674" s="2"/>
      <c r="N10674" s="2"/>
      <c r="O10674" s="2"/>
      <c r="P10674" s="2" t="s">
        <v>31085</v>
      </c>
      <c r="Q10674" s="6">
        <v>100</v>
      </c>
      <c r="R10674" s="6">
        <v>7.23</v>
      </c>
      <c r="S10674" s="2"/>
      <c r="T10674" s="2"/>
      <c r="U10674" s="2"/>
      <c r="V10674" s="2"/>
      <c r="W10674" s="5">
        <v>5.8</v>
      </c>
      <c r="X10674" s="6">
        <v>5.63</v>
      </c>
      <c r="Y10674" s="6">
        <v>7.13</v>
      </c>
      <c r="Z10674" s="6">
        <v>7.14</v>
      </c>
      <c r="AA10674" s="6">
        <v>2.84</v>
      </c>
      <c r="AB10674" s="2" t="s">
        <v>47</v>
      </c>
      <c r="AC10674" s="2"/>
    </row>
    <row r="10675" spans="1:29" ht="234" x14ac:dyDescent="0.15">
      <c r="A10675" s="3">
        <f>DATE(2013,12,9)</f>
        <v>41617</v>
      </c>
      <c r="B10675" s="3">
        <f>DATE(2014,4,1)</f>
        <v>41730</v>
      </c>
      <c r="C10675" s="2" t="s">
        <v>95</v>
      </c>
      <c r="D10675" s="2" t="s">
        <v>6936</v>
      </c>
      <c r="E10675" s="2" t="s">
        <v>92</v>
      </c>
      <c r="F10675" s="4">
        <v>6798</v>
      </c>
      <c r="G10675" s="2" t="s">
        <v>53</v>
      </c>
      <c r="H10675" s="2" t="s">
        <v>34</v>
      </c>
      <c r="I10675" s="2" t="s">
        <v>31086</v>
      </c>
      <c r="J10675" s="2" t="s">
        <v>92</v>
      </c>
      <c r="K10675" s="2" t="s">
        <v>53</v>
      </c>
      <c r="L10675" s="2" t="s">
        <v>34</v>
      </c>
      <c r="M10675" s="12">
        <v>5952.808</v>
      </c>
      <c r="N10675" s="6">
        <v>154.26</v>
      </c>
      <c r="O10675" s="6">
        <v>152.63</v>
      </c>
      <c r="P10675" s="2" t="s">
        <v>31087</v>
      </c>
      <c r="Q10675" s="6">
        <v>100</v>
      </c>
      <c r="R10675" s="6">
        <v>58.08</v>
      </c>
      <c r="S10675" s="5">
        <v>106</v>
      </c>
      <c r="T10675" s="7">
        <v>185.28100000000001</v>
      </c>
      <c r="U10675" s="5">
        <v>21.3</v>
      </c>
      <c r="V10675" s="6">
        <v>1.26</v>
      </c>
      <c r="W10675" s="6">
        <v>51.56</v>
      </c>
      <c r="X10675" s="6">
        <v>51.67</v>
      </c>
      <c r="Y10675" s="6">
        <v>53.06</v>
      </c>
      <c r="Z10675" s="6">
        <v>52.62</v>
      </c>
      <c r="AA10675" s="6">
        <v>77.19</v>
      </c>
      <c r="AB10675" s="7">
        <v>79.177999999999997</v>
      </c>
      <c r="AC10675" s="6">
        <v>145.88999999999999</v>
      </c>
    </row>
    <row r="10676" spans="1:29" ht="52" x14ac:dyDescent="0.15">
      <c r="A10676" s="3">
        <f>DATE(2013,12,9)</f>
        <v>41617</v>
      </c>
      <c r="B10676" s="3">
        <f>DATE(2014,8,15)</f>
        <v>41866</v>
      </c>
      <c r="C10676" s="2" t="s">
        <v>95</v>
      </c>
      <c r="D10676" s="2" t="s">
        <v>31088</v>
      </c>
      <c r="E10676" s="2" t="s">
        <v>29798</v>
      </c>
      <c r="F10676" s="4">
        <v>6021</v>
      </c>
      <c r="G10676" s="2" t="s">
        <v>37</v>
      </c>
      <c r="H10676" s="2" t="s">
        <v>34</v>
      </c>
      <c r="I10676" s="2" t="s">
        <v>31089</v>
      </c>
      <c r="J10676" s="2" t="s">
        <v>29798</v>
      </c>
      <c r="K10676" s="2" t="s">
        <v>37</v>
      </c>
      <c r="L10676" s="2" t="s">
        <v>34</v>
      </c>
      <c r="M10676" s="2"/>
      <c r="N10676" s="2"/>
      <c r="O10676" s="2"/>
      <c r="P10676" s="2" t="s">
        <v>31090</v>
      </c>
      <c r="Q10676" s="6">
        <v>100</v>
      </c>
      <c r="R10676" s="2"/>
      <c r="S10676" s="2"/>
      <c r="T10676" s="2"/>
      <c r="U10676" s="2"/>
      <c r="V10676" s="2"/>
      <c r="W10676" s="6">
        <v>10.85</v>
      </c>
      <c r="X10676" s="6">
        <v>10.85</v>
      </c>
      <c r="Y10676" s="6">
        <v>10.85</v>
      </c>
      <c r="Z10676" s="5">
        <v>17.100000000000001</v>
      </c>
      <c r="AA10676" s="6">
        <v>1.56</v>
      </c>
      <c r="AB10676" s="2" t="s">
        <v>47</v>
      </c>
      <c r="AC10676" s="2"/>
    </row>
    <row r="10677" spans="1:29" ht="182" x14ac:dyDescent="0.15">
      <c r="A10677" s="3">
        <f>DATE(2013,12,9)</f>
        <v>41617</v>
      </c>
      <c r="B10677" s="3">
        <f>DATE(2014,10,15)</f>
        <v>41927</v>
      </c>
      <c r="C10677" s="2" t="s">
        <v>95</v>
      </c>
      <c r="D10677" s="2" t="s">
        <v>31091</v>
      </c>
      <c r="E10677" s="2" t="s">
        <v>23564</v>
      </c>
      <c r="F10677" s="4">
        <v>4412</v>
      </c>
      <c r="G10677" s="2" t="s">
        <v>173</v>
      </c>
      <c r="H10677" s="2" t="s">
        <v>34</v>
      </c>
      <c r="I10677" s="2" t="s">
        <v>1526</v>
      </c>
      <c r="J10677" s="2" t="s">
        <v>302</v>
      </c>
      <c r="K10677" s="2" t="s">
        <v>53</v>
      </c>
      <c r="L10677" s="2" t="s">
        <v>34</v>
      </c>
      <c r="M10677" s="2"/>
      <c r="N10677" s="2"/>
      <c r="O10677" s="2"/>
      <c r="P10677" s="2" t="s">
        <v>31092</v>
      </c>
      <c r="Q10677" s="6">
        <v>49.88</v>
      </c>
      <c r="R10677" s="2"/>
      <c r="S10677" s="5">
        <v>-71.7</v>
      </c>
      <c r="T10677" s="7">
        <v>63.094999999999999</v>
      </c>
      <c r="U10677" s="8">
        <v>62725.3</v>
      </c>
      <c r="V10677" s="6">
        <v>-7901.43</v>
      </c>
      <c r="W10677" s="6">
        <v>3.88</v>
      </c>
      <c r="X10677" s="7">
        <v>3.839</v>
      </c>
      <c r="Y10677" s="6">
        <v>3.55</v>
      </c>
      <c r="Z10677" s="6">
        <v>3.11</v>
      </c>
      <c r="AA10677" s="6">
        <v>16.66</v>
      </c>
      <c r="AB10677" s="2" t="s">
        <v>86</v>
      </c>
      <c r="AC10677" s="2"/>
    </row>
    <row r="10678" spans="1:29" ht="117" x14ac:dyDescent="0.15">
      <c r="A10678" s="3">
        <f>DATE(2013,12,11)</f>
        <v>41619</v>
      </c>
      <c r="B10678" s="2"/>
      <c r="C10678" s="2" t="s">
        <v>7330</v>
      </c>
      <c r="D10678" s="2" t="s">
        <v>31093</v>
      </c>
      <c r="E10678" s="2" t="s">
        <v>31094</v>
      </c>
      <c r="F10678" s="4">
        <v>4212</v>
      </c>
      <c r="G10678" s="2" t="s">
        <v>173</v>
      </c>
      <c r="H10678" s="2" t="s">
        <v>34</v>
      </c>
      <c r="I10678" s="2" t="s">
        <v>1558</v>
      </c>
      <c r="J10678" s="2" t="s">
        <v>52</v>
      </c>
      <c r="K10678" s="2" t="s">
        <v>53</v>
      </c>
      <c r="L10678" s="2" t="s">
        <v>34</v>
      </c>
      <c r="M10678" s="2"/>
      <c r="N10678" s="2"/>
      <c r="O10678" s="2"/>
      <c r="P10678" s="2" t="s">
        <v>31095</v>
      </c>
      <c r="Q10678" s="2"/>
      <c r="R10678" s="2"/>
      <c r="S10678" s="5">
        <v>8.3000000000000007</v>
      </c>
      <c r="T10678" s="7">
        <v>-6.3550000000000004</v>
      </c>
      <c r="U10678" s="5">
        <v>0.3</v>
      </c>
      <c r="V10678" s="7">
        <v>0.214</v>
      </c>
      <c r="W10678" s="6">
        <v>2.74</v>
      </c>
      <c r="X10678" s="6">
        <v>2.94</v>
      </c>
      <c r="Y10678" s="6">
        <v>2.25</v>
      </c>
      <c r="Z10678" s="6">
        <v>2.2200000000000002</v>
      </c>
      <c r="AA10678" s="6">
        <v>42.85</v>
      </c>
      <c r="AB10678" s="2" t="s">
        <v>86</v>
      </c>
      <c r="AC10678" s="2"/>
    </row>
    <row r="10679" spans="1:29" ht="65" x14ac:dyDescent="0.15">
      <c r="A10679" s="3">
        <f>DATE(2013,12,11)</f>
        <v>41619</v>
      </c>
      <c r="B10679" s="2"/>
      <c r="C10679" s="2" t="s">
        <v>39</v>
      </c>
      <c r="D10679" s="2" t="s">
        <v>31096</v>
      </c>
      <c r="E10679" s="2" t="s">
        <v>7947</v>
      </c>
      <c r="F10679" s="4">
        <v>4841</v>
      </c>
      <c r="G10679" s="2" t="s">
        <v>45</v>
      </c>
      <c r="H10679" s="2" t="s">
        <v>34</v>
      </c>
      <c r="I10679" s="2" t="s">
        <v>31097</v>
      </c>
      <c r="J10679" s="2" t="s">
        <v>4285</v>
      </c>
      <c r="K10679" s="2" t="s">
        <v>45</v>
      </c>
      <c r="L10679" s="2" t="s">
        <v>34</v>
      </c>
      <c r="M10679" s="12">
        <v>20322.373</v>
      </c>
      <c r="N10679" s="6">
        <v>84.53</v>
      </c>
      <c r="O10679" s="6">
        <v>82.94</v>
      </c>
      <c r="P10679" s="2" t="s">
        <v>31098</v>
      </c>
      <c r="Q10679" s="2"/>
      <c r="R10679" s="2"/>
      <c r="S10679" s="5">
        <v>702.4</v>
      </c>
      <c r="T10679" s="7">
        <v>739.23199999999997</v>
      </c>
      <c r="U10679" s="5">
        <v>13.5</v>
      </c>
      <c r="V10679" s="9">
        <v>4.6723999999999997</v>
      </c>
      <c r="W10679" s="6">
        <v>72.66</v>
      </c>
      <c r="X10679" s="6">
        <v>75.25</v>
      </c>
      <c r="Y10679" s="4">
        <v>81</v>
      </c>
      <c r="Z10679" s="6">
        <v>80.33</v>
      </c>
      <c r="AA10679" s="6">
        <v>34.32</v>
      </c>
      <c r="AB10679" s="2" t="s">
        <v>47</v>
      </c>
      <c r="AC10679" s="5">
        <v>442</v>
      </c>
    </row>
    <row r="10680" spans="1:29" ht="143" x14ac:dyDescent="0.15">
      <c r="A10680" s="3">
        <f>DATE(2013,12,11)</f>
        <v>41619</v>
      </c>
      <c r="B10680" s="3">
        <f>DATE(2014,8,15)</f>
        <v>41866</v>
      </c>
      <c r="C10680" s="2" t="s">
        <v>95</v>
      </c>
      <c r="D10680" s="2" t="s">
        <v>31099</v>
      </c>
      <c r="E10680" s="2" t="s">
        <v>18040</v>
      </c>
      <c r="F10680" s="4">
        <v>4911</v>
      </c>
      <c r="G10680" s="2" t="s">
        <v>439</v>
      </c>
      <c r="H10680" s="2" t="s">
        <v>34</v>
      </c>
      <c r="I10680" s="2" t="s">
        <v>18647</v>
      </c>
      <c r="J10680" s="2" t="s">
        <v>31100</v>
      </c>
      <c r="K10680" s="2" t="s">
        <v>439</v>
      </c>
      <c r="L10680" s="2" t="s">
        <v>902</v>
      </c>
      <c r="M10680" s="12">
        <v>6331.1189999999997</v>
      </c>
      <c r="N10680" s="7">
        <v>29.253</v>
      </c>
      <c r="O10680" s="7">
        <v>29.097999999999999</v>
      </c>
      <c r="P10680" s="2" t="s">
        <v>31101</v>
      </c>
      <c r="Q10680" s="6">
        <v>100</v>
      </c>
      <c r="R10680" s="6">
        <v>60.25</v>
      </c>
      <c r="S10680" s="5">
        <v>139.30000000000001</v>
      </c>
      <c r="T10680" s="7">
        <v>488.34500000000003</v>
      </c>
      <c r="U10680" s="5">
        <v>27.6</v>
      </c>
      <c r="V10680" s="6">
        <v>3.33</v>
      </c>
      <c r="W10680" s="6">
        <v>47.23</v>
      </c>
      <c r="X10680" s="5">
        <v>46.3</v>
      </c>
      <c r="Y10680" s="6">
        <v>45.84</v>
      </c>
      <c r="Z10680" s="6">
        <v>58.51</v>
      </c>
      <c r="AA10680" s="6">
        <v>41.54</v>
      </c>
      <c r="AB10680" s="7">
        <v>14.878</v>
      </c>
      <c r="AC10680" s="6">
        <v>573.63</v>
      </c>
    </row>
    <row r="10681" spans="1:29" ht="78" x14ac:dyDescent="0.15">
      <c r="A10681" s="3">
        <f>DATE(2013,12,13)</f>
        <v>41621</v>
      </c>
      <c r="B10681" s="3">
        <f>DATE(2014,2,19)</f>
        <v>41689</v>
      </c>
      <c r="C10681" s="2" t="s">
        <v>95</v>
      </c>
      <c r="D10681" s="2" t="s">
        <v>31102</v>
      </c>
      <c r="E10681" s="2" t="s">
        <v>31103</v>
      </c>
      <c r="F10681" s="4">
        <v>3577</v>
      </c>
      <c r="G10681" s="2" t="s">
        <v>50</v>
      </c>
      <c r="H10681" s="2" t="s">
        <v>34</v>
      </c>
      <c r="I10681" s="2" t="s">
        <v>30046</v>
      </c>
      <c r="J10681" s="2" t="s">
        <v>30047</v>
      </c>
      <c r="K10681" s="2" t="s">
        <v>223</v>
      </c>
      <c r="L10681" s="2" t="s">
        <v>34</v>
      </c>
      <c r="M10681" s="7">
        <v>743.90700000000004</v>
      </c>
      <c r="N10681" s="6">
        <v>2.74</v>
      </c>
      <c r="O10681" s="6">
        <v>2.91</v>
      </c>
      <c r="P10681" s="2" t="s">
        <v>31104</v>
      </c>
      <c r="Q10681" s="6">
        <v>100</v>
      </c>
      <c r="R10681" s="6">
        <v>3.75</v>
      </c>
      <c r="S10681" s="5">
        <v>-4.2</v>
      </c>
      <c r="T10681" s="7">
        <v>3.1560000000000001</v>
      </c>
      <c r="U10681" s="5">
        <v>2.2000000000000002</v>
      </c>
      <c r="V10681" s="9">
        <v>-0.37869999999999998</v>
      </c>
      <c r="W10681" s="6">
        <v>3.12</v>
      </c>
      <c r="X10681" s="6">
        <v>2.98</v>
      </c>
      <c r="Y10681" s="6">
        <v>3.71</v>
      </c>
      <c r="Z10681" s="6">
        <v>3.72</v>
      </c>
      <c r="AA10681" s="6">
        <v>11.16</v>
      </c>
      <c r="AB10681" s="2" t="s">
        <v>86</v>
      </c>
      <c r="AC10681" s="6">
        <v>200.56</v>
      </c>
    </row>
    <row r="10682" spans="1:29" ht="117" x14ac:dyDescent="0.15">
      <c r="A10682" s="3">
        <f>DATE(2013,12,13)</f>
        <v>41621</v>
      </c>
      <c r="B10682" s="2"/>
      <c r="C10682" s="2" t="s">
        <v>39</v>
      </c>
      <c r="D10682" s="2" t="s">
        <v>31105</v>
      </c>
      <c r="E10682" s="2" t="s">
        <v>31106</v>
      </c>
      <c r="F10682" s="4">
        <v>4812</v>
      </c>
      <c r="G10682" s="2" t="s">
        <v>63</v>
      </c>
      <c r="H10682" s="2" t="s">
        <v>34</v>
      </c>
      <c r="I10682" s="2" t="s">
        <v>31107</v>
      </c>
      <c r="J10682" s="2" t="s">
        <v>31108</v>
      </c>
      <c r="K10682" s="2" t="s">
        <v>63</v>
      </c>
      <c r="L10682" s="2" t="s">
        <v>34</v>
      </c>
      <c r="M10682" s="2"/>
      <c r="N10682" s="2"/>
      <c r="O10682" s="2"/>
      <c r="P10682" s="2" t="s">
        <v>31109</v>
      </c>
      <c r="Q10682" s="2"/>
      <c r="R10682" s="2"/>
      <c r="S10682" s="5">
        <v>84.3</v>
      </c>
      <c r="T10682" s="12">
        <v>6641.1080000000002</v>
      </c>
      <c r="U10682" s="5">
        <v>17.100000000000001</v>
      </c>
      <c r="V10682" s="9">
        <v>0.25280000000000002</v>
      </c>
      <c r="W10682" s="6">
        <v>26.33</v>
      </c>
      <c r="X10682" s="6">
        <v>25.44</v>
      </c>
      <c r="Y10682" s="6">
        <v>27.64</v>
      </c>
      <c r="Z10682" s="6">
        <v>26.39</v>
      </c>
      <c r="AA10682" s="6">
        <v>728.7</v>
      </c>
      <c r="AB10682" s="2" t="s">
        <v>47</v>
      </c>
      <c r="AC10682" s="8">
        <v>7494</v>
      </c>
    </row>
    <row r="10683" spans="1:29" ht="143" x14ac:dyDescent="0.15">
      <c r="A10683" s="3">
        <f>DATE(2013,12,16)</f>
        <v>41624</v>
      </c>
      <c r="B10683" s="3">
        <f>DATE(2014,4,30)</f>
        <v>41759</v>
      </c>
      <c r="C10683" s="2" t="s">
        <v>95</v>
      </c>
      <c r="D10683" s="2" t="s">
        <v>31110</v>
      </c>
      <c r="E10683" s="2" t="s">
        <v>1085</v>
      </c>
      <c r="F10683" s="4">
        <v>6282</v>
      </c>
      <c r="G10683" s="2" t="s">
        <v>53</v>
      </c>
      <c r="H10683" s="2" t="s">
        <v>34</v>
      </c>
      <c r="I10683" s="2" t="s">
        <v>30587</v>
      </c>
      <c r="J10683" s="2" t="s">
        <v>244</v>
      </c>
      <c r="K10683" s="2" t="s">
        <v>53</v>
      </c>
      <c r="L10683" s="2" t="s">
        <v>34</v>
      </c>
      <c r="M10683" s="12">
        <v>6561.0240000000003</v>
      </c>
      <c r="N10683" s="6">
        <v>25.08</v>
      </c>
      <c r="O10683" s="6">
        <v>24.79</v>
      </c>
      <c r="P10683" s="2" t="s">
        <v>31111</v>
      </c>
      <c r="Q10683" s="6">
        <v>100</v>
      </c>
      <c r="R10683" s="6">
        <v>12.74</v>
      </c>
      <c r="S10683" s="5">
        <v>301.10000000000002</v>
      </c>
      <c r="T10683" s="2"/>
      <c r="U10683" s="5">
        <v>12.2</v>
      </c>
      <c r="V10683" s="9">
        <v>1.3965000000000001</v>
      </c>
      <c r="W10683" s="6">
        <v>9.31</v>
      </c>
      <c r="X10683" s="6">
        <v>9.5299999999999994</v>
      </c>
      <c r="Y10683" s="6">
        <v>9.4499999999999993</v>
      </c>
      <c r="Z10683" s="6">
        <v>12.34</v>
      </c>
      <c r="AA10683" s="6">
        <v>204.82</v>
      </c>
      <c r="AB10683" s="7">
        <v>24.053000000000001</v>
      </c>
      <c r="AC10683" s="10">
        <v>1594.58</v>
      </c>
    </row>
    <row r="10684" spans="1:29" ht="78" x14ac:dyDescent="0.15">
      <c r="A10684" s="3">
        <f>DATE(2013,12,16)</f>
        <v>41624</v>
      </c>
      <c r="B10684" s="3">
        <f>DATE(2014,5,6)</f>
        <v>41765</v>
      </c>
      <c r="C10684" s="2" t="s">
        <v>95</v>
      </c>
      <c r="D10684" s="2" t="s">
        <v>31112</v>
      </c>
      <c r="E10684" s="2" t="s">
        <v>1046</v>
      </c>
      <c r="F10684" s="4">
        <v>3674</v>
      </c>
      <c r="G10684" s="2" t="s">
        <v>137</v>
      </c>
      <c r="H10684" s="2" t="s">
        <v>34</v>
      </c>
      <c r="I10684" s="2" t="s">
        <v>31113</v>
      </c>
      <c r="J10684" s="2" t="s">
        <v>31114</v>
      </c>
      <c r="K10684" s="2" t="s">
        <v>137</v>
      </c>
      <c r="L10684" s="2" t="s">
        <v>34</v>
      </c>
      <c r="M10684" s="12">
        <v>23955.386999999999</v>
      </c>
      <c r="N10684" s="5">
        <v>50.1</v>
      </c>
      <c r="O10684" s="6">
        <v>53.56</v>
      </c>
      <c r="P10684" s="2" t="s">
        <v>31115</v>
      </c>
      <c r="Q10684" s="6">
        <v>100</v>
      </c>
      <c r="R10684" s="6">
        <v>11.15</v>
      </c>
      <c r="S10684" s="5">
        <v>102.3</v>
      </c>
      <c r="T10684" s="7">
        <v>338.54399999999998</v>
      </c>
      <c r="U10684" s="5">
        <v>2.1</v>
      </c>
      <c r="V10684" s="9">
        <v>0.17879999999999999</v>
      </c>
      <c r="W10684" s="5">
        <v>8.1</v>
      </c>
      <c r="X10684" s="6">
        <v>7.91</v>
      </c>
      <c r="Y10684" s="6">
        <v>10.96</v>
      </c>
      <c r="Z10684" s="6">
        <v>10.92</v>
      </c>
      <c r="AA10684" s="6">
        <v>544.94000000000005</v>
      </c>
      <c r="AB10684" s="7">
        <v>36.024000000000001</v>
      </c>
      <c r="AC10684" s="10">
        <v>1253.75</v>
      </c>
    </row>
    <row r="10685" spans="1:29" ht="169" x14ac:dyDescent="0.15">
      <c r="A10685" s="3">
        <f>DATE(2013,12,16)</f>
        <v>41624</v>
      </c>
      <c r="B10685" s="2"/>
      <c r="C10685" s="2" t="s">
        <v>30</v>
      </c>
      <c r="D10685" s="2" t="s">
        <v>31116</v>
      </c>
      <c r="E10685" s="2" t="s">
        <v>129</v>
      </c>
      <c r="F10685" s="4">
        <v>2834</v>
      </c>
      <c r="G10685" s="2" t="s">
        <v>130</v>
      </c>
      <c r="H10685" s="2" t="s">
        <v>34</v>
      </c>
      <c r="I10685" s="2" t="s">
        <v>31117</v>
      </c>
      <c r="J10685" s="2" t="s">
        <v>13693</v>
      </c>
      <c r="K10685" s="2" t="s">
        <v>130</v>
      </c>
      <c r="L10685" s="2" t="s">
        <v>34</v>
      </c>
      <c r="M10685" s="12">
        <v>7400.5820000000003</v>
      </c>
      <c r="N10685" s="6">
        <v>65.91</v>
      </c>
      <c r="O10685" s="6">
        <v>64.739999999999995</v>
      </c>
      <c r="P10685" s="2" t="s">
        <v>31118</v>
      </c>
      <c r="Q10685" s="2"/>
      <c r="R10685" s="6">
        <v>2.85</v>
      </c>
      <c r="S10685" s="5">
        <v>-36</v>
      </c>
      <c r="T10685" s="7">
        <v>-21.594999999999999</v>
      </c>
      <c r="U10685" s="5">
        <v>0.2</v>
      </c>
      <c r="V10685" s="2"/>
      <c r="W10685" s="5">
        <v>2.4</v>
      </c>
      <c r="X10685" s="5">
        <v>2.2999999999999998</v>
      </c>
      <c r="Y10685" s="6">
        <v>3.39</v>
      </c>
      <c r="Z10685" s="6">
        <v>3.36</v>
      </c>
      <c r="AA10685" s="6">
        <v>31.34</v>
      </c>
      <c r="AB10685" s="2" t="s">
        <v>86</v>
      </c>
      <c r="AC10685" s="6">
        <v>594.09</v>
      </c>
    </row>
    <row r="10686" spans="1:29" ht="143" x14ac:dyDescent="0.15">
      <c r="A10686" s="3">
        <f>DATE(2013,12,16)</f>
        <v>41624</v>
      </c>
      <c r="B10686" s="3">
        <f>DATE(2014,1,23)</f>
        <v>41662</v>
      </c>
      <c r="C10686" s="2" t="s">
        <v>95</v>
      </c>
      <c r="D10686" s="2" t="s">
        <v>31119</v>
      </c>
      <c r="E10686" s="2" t="s">
        <v>30602</v>
      </c>
      <c r="F10686" s="4">
        <v>3845</v>
      </c>
      <c r="G10686" s="2" t="s">
        <v>226</v>
      </c>
      <c r="H10686" s="2" t="s">
        <v>34</v>
      </c>
      <c r="I10686" s="2" t="s">
        <v>28374</v>
      </c>
      <c r="J10686" s="2" t="s">
        <v>29140</v>
      </c>
      <c r="K10686" s="2" t="s">
        <v>130</v>
      </c>
      <c r="L10686" s="2" t="s">
        <v>34</v>
      </c>
      <c r="M10686" s="12">
        <v>35639.404000000002</v>
      </c>
      <c r="N10686" s="6">
        <v>110.92</v>
      </c>
      <c r="O10686" s="6">
        <v>109.32</v>
      </c>
      <c r="P10686" s="2" t="s">
        <v>31120</v>
      </c>
      <c r="Q10686" s="6">
        <v>100</v>
      </c>
      <c r="R10686" s="6">
        <v>2.92</v>
      </c>
      <c r="S10686" s="5">
        <v>2</v>
      </c>
      <c r="T10686" s="7">
        <v>-8.5890000000000004</v>
      </c>
      <c r="U10686" s="5">
        <v>1.7</v>
      </c>
      <c r="V10686" s="9">
        <v>3.6200000000000003E-2</v>
      </c>
      <c r="W10686" s="6">
        <v>2.0499999999999998</v>
      </c>
      <c r="X10686" s="6">
        <v>2.09</v>
      </c>
      <c r="Y10686" s="6">
        <v>2.92</v>
      </c>
      <c r="Z10686" s="6">
        <v>2.94</v>
      </c>
      <c r="AA10686" s="6">
        <v>80.739999999999995</v>
      </c>
      <c r="AB10686" s="2" t="s">
        <v>86</v>
      </c>
      <c r="AC10686" s="6">
        <v>614.83000000000004</v>
      </c>
    </row>
    <row r="10687" spans="1:29" ht="39" x14ac:dyDescent="0.15">
      <c r="A10687" s="3">
        <f>DATE(2013,12,17)</f>
        <v>41625</v>
      </c>
      <c r="B10687" s="3">
        <f>DATE(2013,12,31)</f>
        <v>41639</v>
      </c>
      <c r="C10687" s="2" t="s">
        <v>95</v>
      </c>
      <c r="D10687" s="2" t="s">
        <v>31121</v>
      </c>
      <c r="E10687" s="2" t="s">
        <v>31122</v>
      </c>
      <c r="F10687" s="4">
        <v>2711</v>
      </c>
      <c r="G10687" s="2" t="s">
        <v>186</v>
      </c>
      <c r="H10687" s="2" t="s">
        <v>34</v>
      </c>
      <c r="I10687" s="2" t="s">
        <v>31123</v>
      </c>
      <c r="J10687" s="2" t="s">
        <v>2499</v>
      </c>
      <c r="K10687" s="2" t="s">
        <v>186</v>
      </c>
      <c r="L10687" s="2" t="s">
        <v>34</v>
      </c>
      <c r="M10687" s="2"/>
      <c r="N10687" s="2"/>
      <c r="O10687" s="2"/>
      <c r="P10687" s="2" t="s">
        <v>31124</v>
      </c>
      <c r="Q10687" s="6">
        <v>100</v>
      </c>
      <c r="R10687" s="2"/>
      <c r="S10687" s="2"/>
      <c r="T10687" s="2"/>
      <c r="U10687" s="2"/>
      <c r="V10687" s="2"/>
      <c r="W10687" s="7">
        <v>15.625</v>
      </c>
      <c r="X10687" s="7">
        <v>15.625</v>
      </c>
      <c r="Y10687" s="7">
        <v>15.625</v>
      </c>
      <c r="Z10687" s="7">
        <v>15.625</v>
      </c>
      <c r="AA10687" s="2"/>
      <c r="AB10687" s="2" t="s">
        <v>47</v>
      </c>
      <c r="AC10687" s="2"/>
    </row>
    <row r="10688" spans="1:29" ht="130" x14ac:dyDescent="0.15">
      <c r="A10688" s="3">
        <f>DATE(2013,12,17)</f>
        <v>41625</v>
      </c>
      <c r="B10688" s="3">
        <f>DATE(2014,6,3)</f>
        <v>41793</v>
      </c>
      <c r="C10688" s="2" t="s">
        <v>95</v>
      </c>
      <c r="D10688" s="2" t="s">
        <v>31125</v>
      </c>
      <c r="E10688" s="2" t="s">
        <v>31126</v>
      </c>
      <c r="F10688" s="4">
        <v>1311</v>
      </c>
      <c r="G10688" s="2" t="s">
        <v>148</v>
      </c>
      <c r="H10688" s="2" t="s">
        <v>34</v>
      </c>
      <c r="I10688" s="2" t="s">
        <v>31127</v>
      </c>
      <c r="J10688" s="2" t="s">
        <v>31128</v>
      </c>
      <c r="K10688" s="2" t="s">
        <v>98</v>
      </c>
      <c r="L10688" s="2" t="s">
        <v>34</v>
      </c>
      <c r="M10688" s="7">
        <v>401.32799999999997</v>
      </c>
      <c r="N10688" s="6">
        <v>10.56</v>
      </c>
      <c r="O10688" s="5">
        <v>11.1</v>
      </c>
      <c r="P10688" s="2" t="s">
        <v>31129</v>
      </c>
      <c r="Q10688" s="6">
        <v>100</v>
      </c>
      <c r="R10688" s="2"/>
      <c r="S10688" s="5">
        <v>-1.3</v>
      </c>
      <c r="T10688" s="7">
        <v>-6.8339999999999996</v>
      </c>
      <c r="U10688" s="5">
        <v>4.4000000000000004</v>
      </c>
      <c r="V10688" s="9">
        <v>-0.77510000000000001</v>
      </c>
      <c r="W10688" s="6">
        <v>2.81</v>
      </c>
      <c r="X10688" s="6">
        <v>2.58</v>
      </c>
      <c r="Y10688" s="6">
        <v>2.46</v>
      </c>
      <c r="Z10688" s="6">
        <v>3.34</v>
      </c>
      <c r="AA10688" s="6">
        <v>9.9700000000000006</v>
      </c>
      <c r="AB10688" s="2" t="s">
        <v>86</v>
      </c>
      <c r="AC10688" s="6">
        <v>138.15</v>
      </c>
    </row>
    <row r="10689" spans="1:29" ht="78" x14ac:dyDescent="0.15">
      <c r="A10689" s="3">
        <f>DATE(2013,12,18)</f>
        <v>41626</v>
      </c>
      <c r="B10689" s="2"/>
      <c r="C10689" s="2" t="s">
        <v>30</v>
      </c>
      <c r="D10689" s="2" t="s">
        <v>31130</v>
      </c>
      <c r="E10689" s="2" t="s">
        <v>31131</v>
      </c>
      <c r="F10689" s="4">
        <v>6153</v>
      </c>
      <c r="G10689" s="2" t="s">
        <v>370</v>
      </c>
      <c r="H10689" s="2" t="s">
        <v>34</v>
      </c>
      <c r="I10689" s="2" t="s">
        <v>27659</v>
      </c>
      <c r="J10689" s="2" t="s">
        <v>244</v>
      </c>
      <c r="K10689" s="2" t="s">
        <v>53</v>
      </c>
      <c r="L10689" s="2" t="s">
        <v>34</v>
      </c>
      <c r="M10689" s="12">
        <v>3222.741</v>
      </c>
      <c r="N10689" s="6">
        <v>11.33</v>
      </c>
      <c r="O10689" s="6">
        <v>11.22</v>
      </c>
      <c r="P10689" s="2" t="s">
        <v>31132</v>
      </c>
      <c r="Q10689" s="2"/>
      <c r="R10689" s="6">
        <v>16</v>
      </c>
      <c r="S10689" s="5">
        <v>19.399999999999999</v>
      </c>
      <c r="T10689" s="7">
        <v>32.106999999999999</v>
      </c>
      <c r="U10689" s="5">
        <v>11</v>
      </c>
      <c r="V10689" s="9">
        <v>1.5862000000000001</v>
      </c>
      <c r="W10689" s="6">
        <v>15.17</v>
      </c>
      <c r="X10689" s="6">
        <v>15.28</v>
      </c>
      <c r="Y10689" s="6">
        <v>15.74</v>
      </c>
      <c r="Z10689" s="6">
        <v>15.79</v>
      </c>
      <c r="AA10689" s="6">
        <v>12.2</v>
      </c>
      <c r="AB10689" s="7">
        <v>6.0609999999999999</v>
      </c>
      <c r="AC10689" s="5">
        <v>10.4</v>
      </c>
    </row>
    <row r="10690" spans="1:29" ht="143" x14ac:dyDescent="0.15">
      <c r="A10690" s="3">
        <f>DATE(2013,12,18)</f>
        <v>41626</v>
      </c>
      <c r="B10690" s="3">
        <f>DATE(2014,4,1)</f>
        <v>41730</v>
      </c>
      <c r="C10690" s="2" t="s">
        <v>95</v>
      </c>
      <c r="D10690" s="2" t="s">
        <v>31133</v>
      </c>
      <c r="E10690" s="2" t="s">
        <v>36</v>
      </c>
      <c r="F10690" s="4">
        <v>6712</v>
      </c>
      <c r="G10690" s="2" t="s">
        <v>37</v>
      </c>
      <c r="H10690" s="2" t="s">
        <v>34</v>
      </c>
      <c r="I10690" s="2" t="s">
        <v>23752</v>
      </c>
      <c r="J10690" s="2" t="s">
        <v>36</v>
      </c>
      <c r="K10690" s="2" t="s">
        <v>37</v>
      </c>
      <c r="L10690" s="2" t="s">
        <v>34</v>
      </c>
      <c r="M10690" s="7">
        <v>354.435</v>
      </c>
      <c r="N10690" s="6">
        <v>15.51</v>
      </c>
      <c r="O10690" s="6">
        <v>15.82</v>
      </c>
      <c r="P10690" s="2" t="s">
        <v>31134</v>
      </c>
      <c r="Q10690" s="6">
        <v>100</v>
      </c>
      <c r="R10690" s="6">
        <v>10.73</v>
      </c>
      <c r="S10690" s="2"/>
      <c r="T10690" s="2"/>
      <c r="U10690" s="2"/>
      <c r="V10690" s="2"/>
      <c r="W10690" s="6">
        <v>5.75</v>
      </c>
      <c r="X10690" s="6">
        <v>5.88</v>
      </c>
      <c r="Y10690" s="5">
        <v>8.9</v>
      </c>
      <c r="Z10690" s="4">
        <v>9</v>
      </c>
      <c r="AA10690" s="6">
        <v>2.95</v>
      </c>
      <c r="AB10690" s="2" t="s">
        <v>47</v>
      </c>
      <c r="AC10690" s="2"/>
    </row>
    <row r="10691" spans="1:29" ht="169" x14ac:dyDescent="0.15">
      <c r="A10691" s="3">
        <f>DATE(2013,12,18)</f>
        <v>41626</v>
      </c>
      <c r="B10691" s="3">
        <f>DATE(2014,2,4)</f>
        <v>41674</v>
      </c>
      <c r="C10691" s="2" t="s">
        <v>95</v>
      </c>
      <c r="D10691" s="2" t="s">
        <v>24273</v>
      </c>
      <c r="E10691" s="2" t="s">
        <v>17003</v>
      </c>
      <c r="F10691" s="4">
        <v>8742</v>
      </c>
      <c r="G10691" s="2" t="s">
        <v>223</v>
      </c>
      <c r="H10691" s="2" t="s">
        <v>34</v>
      </c>
      <c r="I10691" s="2" t="s">
        <v>31135</v>
      </c>
      <c r="J10691" s="2" t="s">
        <v>31136</v>
      </c>
      <c r="K10691" s="2" t="s">
        <v>282</v>
      </c>
      <c r="L10691" s="2" t="s">
        <v>34</v>
      </c>
      <c r="M10691" s="2"/>
      <c r="N10691" s="2"/>
      <c r="O10691" s="2"/>
      <c r="P10691" s="2" t="s">
        <v>31137</v>
      </c>
      <c r="Q10691" s="6">
        <v>100</v>
      </c>
      <c r="R10691" s="6">
        <v>34.04</v>
      </c>
      <c r="S10691" s="5">
        <v>109</v>
      </c>
      <c r="T10691" s="7">
        <v>257.75200000000001</v>
      </c>
      <c r="U10691" s="5">
        <v>13</v>
      </c>
      <c r="V10691" s="9">
        <v>2.7492000000000001</v>
      </c>
      <c r="W10691" s="6">
        <v>28.24</v>
      </c>
      <c r="X10691" s="5">
        <v>28.3</v>
      </c>
      <c r="Y10691" s="5">
        <v>34.6</v>
      </c>
      <c r="Z10691" s="6">
        <v>34.42</v>
      </c>
      <c r="AA10691" s="6">
        <v>38.549999999999997</v>
      </c>
      <c r="AB10691" s="7">
        <v>9.02</v>
      </c>
      <c r="AC10691" s="8">
        <v>1037.8</v>
      </c>
    </row>
    <row r="10692" spans="1:29" ht="208" x14ac:dyDescent="0.15">
      <c r="A10692" s="3">
        <f>DATE(2013,12,19)</f>
        <v>41627</v>
      </c>
      <c r="B10692" s="3">
        <f>DATE(2014,4,8)</f>
        <v>41737</v>
      </c>
      <c r="C10692" s="2" t="s">
        <v>95</v>
      </c>
      <c r="D10692" s="2" t="s">
        <v>31138</v>
      </c>
      <c r="E10692" s="2" t="s">
        <v>4494</v>
      </c>
      <c r="F10692" s="4">
        <v>2331</v>
      </c>
      <c r="G10692" s="2" t="s">
        <v>708</v>
      </c>
      <c r="H10692" s="2" t="s">
        <v>34</v>
      </c>
      <c r="I10692" s="2" t="s">
        <v>11837</v>
      </c>
      <c r="J10692" s="2" t="s">
        <v>244</v>
      </c>
      <c r="K10692" s="2" t="s">
        <v>53</v>
      </c>
      <c r="L10692" s="2" t="s">
        <v>34</v>
      </c>
      <c r="M10692" s="2"/>
      <c r="N10692" s="2"/>
      <c r="O10692" s="2"/>
      <c r="P10692" s="2" t="s">
        <v>31139</v>
      </c>
      <c r="Q10692" s="6">
        <v>100</v>
      </c>
      <c r="R10692" s="6">
        <v>15</v>
      </c>
      <c r="S10692" s="5">
        <v>-52.7</v>
      </c>
      <c r="T10692" s="5">
        <v>209.7</v>
      </c>
      <c r="U10692" s="5">
        <v>12.8</v>
      </c>
      <c r="V10692" s="9">
        <v>-0.68730000000000002</v>
      </c>
      <c r="W10692" s="6">
        <v>13.65</v>
      </c>
      <c r="X10692" s="6">
        <v>14.64</v>
      </c>
      <c r="Y10692" s="6">
        <v>15.75</v>
      </c>
      <c r="Z10692" s="6">
        <v>16.11</v>
      </c>
      <c r="AA10692" s="6">
        <v>79.72</v>
      </c>
      <c r="AB10692" s="7">
        <v>18.242999999999999</v>
      </c>
      <c r="AC10692" s="2"/>
    </row>
    <row r="10693" spans="1:29" ht="65" x14ac:dyDescent="0.15">
      <c r="A10693" s="3">
        <f>DATE(2013,12,20)</f>
        <v>41628</v>
      </c>
      <c r="B10693" s="3">
        <f>DATE(2014,2,19)</f>
        <v>41689</v>
      </c>
      <c r="C10693" s="2" t="s">
        <v>95</v>
      </c>
      <c r="D10693" s="2" t="s">
        <v>31140</v>
      </c>
      <c r="E10693" s="2" t="s">
        <v>9676</v>
      </c>
      <c r="F10693" s="4">
        <v>5411</v>
      </c>
      <c r="G10693" s="2" t="s">
        <v>1461</v>
      </c>
      <c r="H10693" s="2" t="s">
        <v>34</v>
      </c>
      <c r="I10693" s="2" t="s">
        <v>25970</v>
      </c>
      <c r="J10693" s="2" t="s">
        <v>244</v>
      </c>
      <c r="K10693" s="2" t="s">
        <v>53</v>
      </c>
      <c r="L10693" s="2" t="s">
        <v>34</v>
      </c>
      <c r="M10693" s="2"/>
      <c r="N10693" s="2"/>
      <c r="O10693" s="2"/>
      <c r="P10693" s="2" t="s">
        <v>31141</v>
      </c>
      <c r="Q10693" s="6">
        <v>100</v>
      </c>
      <c r="R10693" s="6">
        <v>126.5</v>
      </c>
      <c r="S10693" s="5">
        <v>19</v>
      </c>
      <c r="T10693" s="7">
        <v>36.607999999999997</v>
      </c>
      <c r="U10693" s="5">
        <v>18.5</v>
      </c>
      <c r="V10693" s="9">
        <v>6.1706000000000003</v>
      </c>
      <c r="W10693" s="4">
        <v>128</v>
      </c>
      <c r="X10693" s="6">
        <v>125.61</v>
      </c>
      <c r="Y10693" s="5">
        <v>128.69999999999999</v>
      </c>
      <c r="Z10693" s="6">
        <v>126.85</v>
      </c>
      <c r="AA10693" s="6">
        <v>3.07</v>
      </c>
      <c r="AB10693" s="7">
        <v>11.584</v>
      </c>
      <c r="AC10693" s="2"/>
    </row>
    <row r="10694" spans="1:29" ht="208" x14ac:dyDescent="0.15">
      <c r="A10694" s="3">
        <f>DATE(2013,12,20)</f>
        <v>41628</v>
      </c>
      <c r="B10694" s="3">
        <f>DATE(2014,2,11)</f>
        <v>41681</v>
      </c>
      <c r="C10694" s="2" t="s">
        <v>95</v>
      </c>
      <c r="D10694" s="2" t="s">
        <v>28922</v>
      </c>
      <c r="E10694" s="2" t="s">
        <v>28923</v>
      </c>
      <c r="F10694" s="4">
        <v>3357</v>
      </c>
      <c r="G10694" s="2" t="s">
        <v>163</v>
      </c>
      <c r="H10694" s="2" t="s">
        <v>34</v>
      </c>
      <c r="I10694" s="2" t="s">
        <v>31142</v>
      </c>
      <c r="J10694" s="2" t="s">
        <v>31143</v>
      </c>
      <c r="K10694" s="2" t="s">
        <v>163</v>
      </c>
      <c r="L10694" s="2" t="s">
        <v>34</v>
      </c>
      <c r="M10694" s="2"/>
      <c r="N10694" s="2"/>
      <c r="O10694" s="2"/>
      <c r="P10694" s="2" t="s">
        <v>31144</v>
      </c>
      <c r="Q10694" s="6">
        <v>100</v>
      </c>
      <c r="R10694" s="6">
        <v>26.25</v>
      </c>
      <c r="S10694" s="5">
        <v>19.899999999999999</v>
      </c>
      <c r="T10694" s="7">
        <v>93.034999999999997</v>
      </c>
      <c r="U10694" s="5">
        <v>4.0999999999999996</v>
      </c>
      <c r="V10694" s="9">
        <v>1.1332</v>
      </c>
      <c r="W10694" s="6">
        <v>20.91</v>
      </c>
      <c r="X10694" s="6">
        <v>22.52</v>
      </c>
      <c r="Y10694" s="6">
        <v>24.35</v>
      </c>
      <c r="Z10694" s="5">
        <v>24.6</v>
      </c>
      <c r="AA10694" s="6">
        <v>18.309999999999999</v>
      </c>
      <c r="AB10694" s="7">
        <v>11.497</v>
      </c>
      <c r="AC10694" s="2"/>
    </row>
    <row r="10695" spans="1:29" ht="156" x14ac:dyDescent="0.15">
      <c r="A10695" s="3">
        <f>DATE(2013,12,20)</f>
        <v>41628</v>
      </c>
      <c r="B10695" s="3">
        <f>DATE(2014,2,6)</f>
        <v>41676</v>
      </c>
      <c r="C10695" s="2" t="s">
        <v>95</v>
      </c>
      <c r="D10695" s="2" t="s">
        <v>31145</v>
      </c>
      <c r="E10695" s="2" t="s">
        <v>31146</v>
      </c>
      <c r="F10695" s="4">
        <v>7372</v>
      </c>
      <c r="G10695" s="2" t="s">
        <v>551</v>
      </c>
      <c r="H10695" s="2" t="s">
        <v>34</v>
      </c>
      <c r="I10695" s="2" t="s">
        <v>8588</v>
      </c>
      <c r="J10695" s="2" t="s">
        <v>8589</v>
      </c>
      <c r="K10695" s="2" t="s">
        <v>551</v>
      </c>
      <c r="L10695" s="2" t="s">
        <v>34</v>
      </c>
      <c r="M10695" s="12">
        <v>158736.29699999999</v>
      </c>
      <c r="N10695" s="6">
        <v>36.369999999999997</v>
      </c>
      <c r="O10695" s="6">
        <v>36.93</v>
      </c>
      <c r="P10695" s="2" t="s">
        <v>31147</v>
      </c>
      <c r="Q10695" s="6">
        <v>100</v>
      </c>
      <c r="R10695" s="6">
        <v>27</v>
      </c>
      <c r="S10695" s="5">
        <v>0.8</v>
      </c>
      <c r="T10695" s="7">
        <v>14.042</v>
      </c>
      <c r="U10695" s="5">
        <v>3.3</v>
      </c>
      <c r="V10695" s="9">
        <v>1.84E-2</v>
      </c>
      <c r="W10695" s="6">
        <v>19.32</v>
      </c>
      <c r="X10695" s="6">
        <v>19.52</v>
      </c>
      <c r="Y10695" s="7">
        <v>27.395</v>
      </c>
      <c r="Z10695" s="5">
        <v>27.3</v>
      </c>
      <c r="AA10695" s="6">
        <v>51.4</v>
      </c>
      <c r="AB10695" s="7">
        <v>905.81700000000001</v>
      </c>
      <c r="AC10695" s="8">
        <v>36999</v>
      </c>
    </row>
    <row r="10696" spans="1:29" ht="65" x14ac:dyDescent="0.15">
      <c r="A10696" s="3">
        <f>DATE(2013,12,23)</f>
        <v>41631</v>
      </c>
      <c r="B10696" s="3">
        <f>DATE(2014,1,29)</f>
        <v>41668</v>
      </c>
      <c r="C10696" s="2" t="s">
        <v>95</v>
      </c>
      <c r="D10696" s="2" t="s">
        <v>31148</v>
      </c>
      <c r="E10696" s="2" t="s">
        <v>31149</v>
      </c>
      <c r="F10696" s="4">
        <v>8711</v>
      </c>
      <c r="G10696" s="2" t="s">
        <v>223</v>
      </c>
      <c r="H10696" s="2" t="s">
        <v>34</v>
      </c>
      <c r="I10696" s="2" t="s">
        <v>31150</v>
      </c>
      <c r="J10696" s="2" t="s">
        <v>31151</v>
      </c>
      <c r="K10696" s="2" t="s">
        <v>223</v>
      </c>
      <c r="L10696" s="2" t="s">
        <v>34</v>
      </c>
      <c r="M10696" s="6">
        <v>548.33000000000004</v>
      </c>
      <c r="N10696" s="6">
        <v>32.14</v>
      </c>
      <c r="O10696" s="6">
        <v>33.409999999999997</v>
      </c>
      <c r="P10696" s="2" t="s">
        <v>31152</v>
      </c>
      <c r="Q10696" s="6">
        <v>100</v>
      </c>
      <c r="R10696" s="6">
        <v>11.5</v>
      </c>
      <c r="S10696" s="5">
        <v>4.4000000000000004</v>
      </c>
      <c r="T10696" s="7">
        <v>25.460999999999999</v>
      </c>
      <c r="U10696" s="5">
        <v>8.8000000000000007</v>
      </c>
      <c r="V10696" s="9">
        <v>0.42109999999999997</v>
      </c>
      <c r="W10696" s="6">
        <v>7.31</v>
      </c>
      <c r="X10696" s="6">
        <v>7.25</v>
      </c>
      <c r="Y10696" s="6">
        <v>11.46</v>
      </c>
      <c r="Z10696" s="6">
        <v>11.47</v>
      </c>
      <c r="AA10696" s="6">
        <v>10.51</v>
      </c>
      <c r="AB10696" s="7">
        <v>11.282</v>
      </c>
      <c r="AC10696" s="6">
        <v>24.32</v>
      </c>
    </row>
    <row r="10697" spans="1:29" ht="78" x14ac:dyDescent="0.15">
      <c r="A10697" s="3">
        <f>DATE(2013,12,23)</f>
        <v>41631</v>
      </c>
      <c r="B10697" s="3">
        <f>DATE(2014,3,7)</f>
        <v>41705</v>
      </c>
      <c r="C10697" s="2" t="s">
        <v>95</v>
      </c>
      <c r="D10697" s="2" t="s">
        <v>31153</v>
      </c>
      <c r="E10697" s="2" t="s">
        <v>540</v>
      </c>
      <c r="F10697" s="4">
        <v>2836</v>
      </c>
      <c r="G10697" s="2" t="s">
        <v>130</v>
      </c>
      <c r="H10697" s="2" t="s">
        <v>34</v>
      </c>
      <c r="I10697" s="2" t="s">
        <v>31154</v>
      </c>
      <c r="J10697" s="2" t="s">
        <v>31155</v>
      </c>
      <c r="K10697" s="2" t="s">
        <v>130</v>
      </c>
      <c r="L10697" s="2" t="s">
        <v>34</v>
      </c>
      <c r="M10697" s="12">
        <v>2064.9630000000002</v>
      </c>
      <c r="N10697" s="6">
        <v>21.42</v>
      </c>
      <c r="O10697" s="6">
        <v>21.62</v>
      </c>
      <c r="P10697" s="2" t="s">
        <v>31156</v>
      </c>
      <c r="Q10697" s="6">
        <v>100</v>
      </c>
      <c r="R10697" s="6">
        <v>0.27</v>
      </c>
      <c r="S10697" s="2"/>
      <c r="T10697" s="2"/>
      <c r="U10697" s="2"/>
      <c r="V10697" s="2"/>
      <c r="W10697" s="6">
        <v>0.91</v>
      </c>
      <c r="X10697" s="6">
        <v>1.26</v>
      </c>
      <c r="Y10697" s="6">
        <v>1.26</v>
      </c>
      <c r="Z10697" s="6">
        <v>1.28</v>
      </c>
      <c r="AA10697" s="6">
        <v>14.43</v>
      </c>
      <c r="AB10697" s="2" t="s">
        <v>47</v>
      </c>
      <c r="AC10697" s="6">
        <v>197.89</v>
      </c>
    </row>
    <row r="10698" spans="1:29" ht="143" x14ac:dyDescent="0.15">
      <c r="A10698" s="3">
        <f>DATE(2013,12,23)</f>
        <v>41631</v>
      </c>
      <c r="B10698" s="3">
        <f>DATE(2014,1,28)</f>
        <v>41667</v>
      </c>
      <c r="C10698" s="2" t="s">
        <v>95</v>
      </c>
      <c r="D10698" s="2" t="s">
        <v>26087</v>
      </c>
      <c r="E10698" s="2" t="s">
        <v>26088</v>
      </c>
      <c r="F10698" s="4">
        <v>4213</v>
      </c>
      <c r="G10698" s="2" t="s">
        <v>173</v>
      </c>
      <c r="H10698" s="2" t="s">
        <v>34</v>
      </c>
      <c r="I10698" s="2" t="s">
        <v>1558</v>
      </c>
      <c r="J10698" s="2" t="s">
        <v>52</v>
      </c>
      <c r="K10698" s="2" t="s">
        <v>53</v>
      </c>
      <c r="L10698" s="2" t="s">
        <v>34</v>
      </c>
      <c r="M10698" s="2"/>
      <c r="N10698" s="2"/>
      <c r="O10698" s="2"/>
      <c r="P10698" s="2" t="s">
        <v>31157</v>
      </c>
      <c r="Q10698" s="2"/>
      <c r="R10698" s="2"/>
      <c r="S10698" s="5">
        <v>-119.3</v>
      </c>
      <c r="T10698" s="5">
        <v>225.7</v>
      </c>
      <c r="U10698" s="5">
        <v>-65.599999999999994</v>
      </c>
      <c r="V10698" s="9">
        <v>-14.3226</v>
      </c>
      <c r="W10698" s="6">
        <v>9.58</v>
      </c>
      <c r="X10698" s="6">
        <v>8.4499999999999993</v>
      </c>
      <c r="Y10698" s="4">
        <v>10</v>
      </c>
      <c r="Z10698" s="6">
        <v>9.49</v>
      </c>
      <c r="AA10698" s="6">
        <v>10.94</v>
      </c>
      <c r="AB10698" s="2" t="s">
        <v>47</v>
      </c>
      <c r="AC10698" s="2"/>
    </row>
    <row r="10699" spans="1:29" ht="91" x14ac:dyDescent="0.15">
      <c r="A10699" s="3">
        <f>DATE(2013,12,27)</f>
        <v>41635</v>
      </c>
      <c r="B10699" s="3">
        <f>DATE(2014,2,21)</f>
        <v>41691</v>
      </c>
      <c r="C10699" s="2" t="s">
        <v>95</v>
      </c>
      <c r="D10699" s="2" t="s">
        <v>31158</v>
      </c>
      <c r="E10699" s="2" t="s">
        <v>31159</v>
      </c>
      <c r="F10699" s="4">
        <v>2679</v>
      </c>
      <c r="G10699" s="2" t="s">
        <v>282</v>
      </c>
      <c r="H10699" s="2" t="s">
        <v>34</v>
      </c>
      <c r="I10699" s="2" t="s">
        <v>31160</v>
      </c>
      <c r="J10699" s="2" t="s">
        <v>31161</v>
      </c>
      <c r="K10699" s="2" t="s">
        <v>282</v>
      </c>
      <c r="L10699" s="2" t="s">
        <v>34</v>
      </c>
      <c r="M10699" s="2"/>
      <c r="N10699" s="2"/>
      <c r="O10699" s="2"/>
      <c r="P10699" s="2" t="s">
        <v>31162</v>
      </c>
      <c r="Q10699" s="6">
        <v>84.41</v>
      </c>
      <c r="R10699" s="6">
        <v>6.07</v>
      </c>
      <c r="S10699" s="5">
        <v>-4</v>
      </c>
      <c r="T10699" s="6">
        <v>5.96</v>
      </c>
      <c r="U10699" s="5">
        <v>7.4</v>
      </c>
      <c r="V10699" s="6">
        <v>-0.92</v>
      </c>
      <c r="W10699" s="5">
        <v>5.0999999999999996</v>
      </c>
      <c r="X10699" s="6">
        <v>6.06</v>
      </c>
      <c r="Y10699" s="6">
        <v>6.06</v>
      </c>
      <c r="Z10699" s="5">
        <v>6.1</v>
      </c>
      <c r="AA10699" s="6">
        <v>4.3099999999999996</v>
      </c>
      <c r="AB10699" s="7">
        <v>8.9039999999999999</v>
      </c>
      <c r="AC10699" s="2"/>
    </row>
    <row r="10700" spans="1:29" ht="39" x14ac:dyDescent="0.15">
      <c r="A10700" s="3">
        <f>DATE(2013,12,31)</f>
        <v>41639</v>
      </c>
      <c r="B10700" s="2"/>
      <c r="C10700" s="2" t="s">
        <v>39</v>
      </c>
      <c r="D10700" s="2" t="s">
        <v>3836</v>
      </c>
      <c r="E10700" s="2" t="s">
        <v>417</v>
      </c>
      <c r="F10700" s="4">
        <v>2711</v>
      </c>
      <c r="G10700" s="2" t="s">
        <v>186</v>
      </c>
      <c r="H10700" s="2" t="s">
        <v>34</v>
      </c>
      <c r="I10700" s="2" t="s">
        <v>31163</v>
      </c>
      <c r="J10700" s="2" t="s">
        <v>150</v>
      </c>
      <c r="K10700" s="2" t="s">
        <v>53</v>
      </c>
      <c r="L10700" s="2" t="s">
        <v>455</v>
      </c>
      <c r="M10700" s="2"/>
      <c r="N10700" s="2"/>
      <c r="O10700" s="2"/>
      <c r="P10700" s="2" t="s">
        <v>31164</v>
      </c>
      <c r="Q10700" s="2"/>
      <c r="R10700" s="2"/>
      <c r="S10700" s="5">
        <v>36.700000000000003</v>
      </c>
      <c r="T10700" s="7">
        <v>263.363</v>
      </c>
      <c r="U10700" s="5">
        <v>5.6</v>
      </c>
      <c r="V10700" s="9">
        <v>0.36230000000000001</v>
      </c>
      <c r="W10700" s="6">
        <v>15.16</v>
      </c>
      <c r="X10700" s="6">
        <v>16.09</v>
      </c>
      <c r="Y10700" s="6">
        <v>15.87</v>
      </c>
      <c r="Z10700" s="6">
        <v>15.62</v>
      </c>
      <c r="AA10700" s="6">
        <v>149.76</v>
      </c>
      <c r="AB10700" s="2" t="s">
        <v>47</v>
      </c>
      <c r="AC10700" s="2"/>
    </row>
    <row r="10701" spans="1:29" ht="104" x14ac:dyDescent="0.15">
      <c r="A10701" s="3">
        <f>DATE(2013,12,31)</f>
        <v>41639</v>
      </c>
      <c r="B10701" s="3">
        <f>DATE(2014,3,24)</f>
        <v>41722</v>
      </c>
      <c r="C10701" s="2" t="s">
        <v>95</v>
      </c>
      <c r="D10701" s="2" t="s">
        <v>22837</v>
      </c>
      <c r="E10701" s="2" t="s">
        <v>18837</v>
      </c>
      <c r="F10701" s="4">
        <v>3842</v>
      </c>
      <c r="G10701" s="2" t="s">
        <v>226</v>
      </c>
      <c r="H10701" s="2" t="s">
        <v>34</v>
      </c>
      <c r="I10701" s="2" t="s">
        <v>16970</v>
      </c>
      <c r="J10701" s="2" t="s">
        <v>16971</v>
      </c>
      <c r="K10701" s="2" t="s">
        <v>226</v>
      </c>
      <c r="L10701" s="2" t="s">
        <v>34</v>
      </c>
      <c r="M10701" s="12">
        <v>27976.512999999999</v>
      </c>
      <c r="N10701" s="6">
        <v>75.14</v>
      </c>
      <c r="O10701" s="6">
        <v>74.63</v>
      </c>
      <c r="P10701" s="2" t="s">
        <v>31165</v>
      </c>
      <c r="Q10701" s="6">
        <v>100</v>
      </c>
      <c r="R10701" s="6">
        <v>2.2200000000000002</v>
      </c>
      <c r="S10701" s="5">
        <v>-1.7</v>
      </c>
      <c r="T10701" s="7">
        <v>-0.64500000000000002</v>
      </c>
      <c r="U10701" s="5">
        <v>0.3</v>
      </c>
      <c r="V10701" s="9">
        <v>-5.6899999999999999E-2</v>
      </c>
      <c r="W10701" s="6">
        <v>1.43</v>
      </c>
      <c r="X10701" s="6">
        <v>1.48</v>
      </c>
      <c r="Y10701" s="5">
        <v>2.2000000000000002</v>
      </c>
      <c r="Z10701" s="5">
        <v>2.2000000000000002</v>
      </c>
      <c r="AA10701" s="6">
        <v>38.86</v>
      </c>
      <c r="AB10701" s="2" t="s">
        <v>86</v>
      </c>
      <c r="AC10701" s="8">
        <v>4001</v>
      </c>
    </row>
    <row r="10702" spans="1:29" ht="143" x14ac:dyDescent="0.15">
      <c r="A10702" s="3">
        <f>DATE(2014,1,3)</f>
        <v>41642</v>
      </c>
      <c r="B10702" s="2"/>
      <c r="C10702" s="2" t="s">
        <v>30</v>
      </c>
      <c r="D10702" s="2" t="s">
        <v>31166</v>
      </c>
      <c r="E10702" s="2" t="s">
        <v>31167</v>
      </c>
      <c r="F10702" s="4">
        <v>4832</v>
      </c>
      <c r="G10702" s="2" t="s">
        <v>45</v>
      </c>
      <c r="H10702" s="2" t="s">
        <v>34</v>
      </c>
      <c r="I10702" s="2" t="s">
        <v>3558</v>
      </c>
      <c r="J10702" s="2" t="s">
        <v>21698</v>
      </c>
      <c r="K10702" s="2" t="s">
        <v>45</v>
      </c>
      <c r="L10702" s="2" t="s">
        <v>34</v>
      </c>
      <c r="M10702" s="12">
        <v>27898.243999999999</v>
      </c>
      <c r="N10702" s="6">
        <v>145.33000000000001</v>
      </c>
      <c r="O10702" s="6">
        <v>142.09</v>
      </c>
      <c r="P10702" s="2" t="s">
        <v>31168</v>
      </c>
      <c r="Q10702" s="2"/>
      <c r="R10702" s="6">
        <v>3.65</v>
      </c>
      <c r="S10702" s="5">
        <v>377.2</v>
      </c>
      <c r="T10702" s="12">
        <v>1300.769</v>
      </c>
      <c r="U10702" s="5">
        <v>0.5</v>
      </c>
      <c r="V10702" s="9">
        <v>5.91E-2</v>
      </c>
      <c r="W10702" s="7">
        <v>3.5150000000000001</v>
      </c>
      <c r="X10702" s="5">
        <v>3.5</v>
      </c>
      <c r="Y10702" s="6">
        <v>3.57</v>
      </c>
      <c r="Z10702" s="6">
        <v>3.83</v>
      </c>
      <c r="AA10702" s="10">
        <v>6135.51</v>
      </c>
      <c r="AB10702" s="7">
        <v>25.030999999999999</v>
      </c>
      <c r="AC10702" s="8">
        <v>1088</v>
      </c>
    </row>
    <row r="10703" spans="1:29" ht="195" x14ac:dyDescent="0.15">
      <c r="A10703" s="3">
        <f>DATE(2014,1,6)</f>
        <v>41645</v>
      </c>
      <c r="B10703" s="3">
        <f>DATE(2014,2,21)</f>
        <v>41691</v>
      </c>
      <c r="C10703" s="2" t="s">
        <v>95</v>
      </c>
      <c r="D10703" s="2" t="s">
        <v>31116</v>
      </c>
      <c r="E10703" s="2" t="s">
        <v>129</v>
      </c>
      <c r="F10703" s="4">
        <v>2834</v>
      </c>
      <c r="G10703" s="2" t="s">
        <v>130</v>
      </c>
      <c r="H10703" s="2" t="s">
        <v>34</v>
      </c>
      <c r="I10703" s="2" t="s">
        <v>7461</v>
      </c>
      <c r="J10703" s="2" t="s">
        <v>7462</v>
      </c>
      <c r="K10703" s="2" t="s">
        <v>130</v>
      </c>
      <c r="L10703" s="2" t="s">
        <v>4242</v>
      </c>
      <c r="M10703" s="12">
        <v>37504.703000000001</v>
      </c>
      <c r="N10703" s="7">
        <v>40.158000000000001</v>
      </c>
      <c r="O10703" s="7">
        <v>40.546999999999997</v>
      </c>
      <c r="P10703" s="2" t="s">
        <v>31169</v>
      </c>
      <c r="Q10703" s="6">
        <v>100</v>
      </c>
      <c r="R10703" s="6">
        <v>3.65</v>
      </c>
      <c r="S10703" s="5">
        <v>-36</v>
      </c>
      <c r="T10703" s="7">
        <v>-21.594999999999999</v>
      </c>
      <c r="U10703" s="5">
        <v>0.2</v>
      </c>
      <c r="V10703" s="2"/>
      <c r="W10703" s="5">
        <v>2.4</v>
      </c>
      <c r="X10703" s="5">
        <v>2.2999999999999998</v>
      </c>
      <c r="Y10703" s="6">
        <v>3.39</v>
      </c>
      <c r="Z10703" s="6">
        <v>3.36</v>
      </c>
      <c r="AA10703" s="6">
        <v>31.34</v>
      </c>
      <c r="AB10703" s="2" t="s">
        <v>86</v>
      </c>
      <c r="AC10703" s="10">
        <v>1069.3699999999999</v>
      </c>
    </row>
    <row r="10704" spans="1:29" ht="208" x14ac:dyDescent="0.15">
      <c r="A10704" s="3">
        <f>DATE(2014,1,6)</f>
        <v>41645</v>
      </c>
      <c r="B10704" s="3">
        <f>DATE(2014,4,1)</f>
        <v>41730</v>
      </c>
      <c r="C10704" s="2" t="s">
        <v>95</v>
      </c>
      <c r="D10704" s="2" t="s">
        <v>31170</v>
      </c>
      <c r="E10704" s="2" t="s">
        <v>22592</v>
      </c>
      <c r="F10704" s="4">
        <v>4731</v>
      </c>
      <c r="G10704" s="2" t="s">
        <v>173</v>
      </c>
      <c r="H10704" s="2" t="s">
        <v>34</v>
      </c>
      <c r="I10704" s="2" t="s">
        <v>31171</v>
      </c>
      <c r="J10704" s="2" t="s">
        <v>22592</v>
      </c>
      <c r="K10704" s="2" t="s">
        <v>173</v>
      </c>
      <c r="L10704" s="2" t="s">
        <v>34</v>
      </c>
      <c r="M10704" s="7">
        <v>702.971</v>
      </c>
      <c r="N10704" s="6">
        <v>30.31</v>
      </c>
      <c r="O10704" s="6">
        <v>28.99</v>
      </c>
      <c r="P10704" s="2" t="s">
        <v>31172</v>
      </c>
      <c r="Q10704" s="6">
        <v>100</v>
      </c>
      <c r="R10704" s="6">
        <v>9</v>
      </c>
      <c r="S10704" s="5">
        <v>8</v>
      </c>
      <c r="T10704" s="5">
        <v>22.1</v>
      </c>
      <c r="U10704" s="5">
        <v>3.7</v>
      </c>
      <c r="V10704" s="9">
        <v>0.22439999999999999</v>
      </c>
      <c r="W10704" s="6">
        <v>8.39</v>
      </c>
      <c r="X10704" s="6">
        <v>8.33</v>
      </c>
      <c r="Y10704" s="6">
        <v>8.99</v>
      </c>
      <c r="Z10704" s="6">
        <v>8.94</v>
      </c>
      <c r="AA10704" s="6">
        <v>35.33</v>
      </c>
      <c r="AB10704" s="7">
        <v>20.172000000000001</v>
      </c>
      <c r="AC10704" s="6">
        <v>23.67</v>
      </c>
    </row>
    <row r="10705" spans="1:29" ht="169" x14ac:dyDescent="0.15">
      <c r="A10705" s="3">
        <f>DATE(2014,1,8)</f>
        <v>41647</v>
      </c>
      <c r="B10705" s="2"/>
      <c r="C10705" s="2" t="s">
        <v>30</v>
      </c>
      <c r="D10705" s="2" t="s">
        <v>30290</v>
      </c>
      <c r="E10705" s="2" t="s">
        <v>30291</v>
      </c>
      <c r="F10705" s="4">
        <v>3577</v>
      </c>
      <c r="G10705" s="2" t="s">
        <v>50</v>
      </c>
      <c r="H10705" s="2" t="s">
        <v>34</v>
      </c>
      <c r="I10705" s="2" t="s">
        <v>30410</v>
      </c>
      <c r="J10705" s="2" t="s">
        <v>22486</v>
      </c>
      <c r="K10705" s="2" t="s">
        <v>53</v>
      </c>
      <c r="L10705" s="2" t="s">
        <v>34</v>
      </c>
      <c r="M10705" s="2"/>
      <c r="N10705" s="2"/>
      <c r="O10705" s="2"/>
      <c r="P10705" s="2" t="s">
        <v>31173</v>
      </c>
      <c r="Q10705" s="2"/>
      <c r="R10705" s="6">
        <v>21</v>
      </c>
      <c r="S10705" s="5">
        <v>-12.4</v>
      </c>
      <c r="T10705" s="7">
        <v>153.07499999999999</v>
      </c>
      <c r="U10705" s="5">
        <v>5.2</v>
      </c>
      <c r="V10705" s="9">
        <v>-7.6300000000000007E-2</v>
      </c>
      <c r="W10705" s="6">
        <v>18.079999999999998</v>
      </c>
      <c r="X10705" s="6">
        <v>17.850000000000001</v>
      </c>
      <c r="Y10705" s="6">
        <v>19.53</v>
      </c>
      <c r="Z10705" s="6">
        <v>19.54</v>
      </c>
      <c r="AA10705" s="6">
        <v>161.91999999999999</v>
      </c>
      <c r="AB10705" s="7">
        <v>127.04900000000001</v>
      </c>
      <c r="AC10705" s="2"/>
    </row>
    <row r="10706" spans="1:29" ht="130" x14ac:dyDescent="0.15">
      <c r="A10706" s="3">
        <f>DATE(2014,1,8)</f>
        <v>41647</v>
      </c>
      <c r="B10706" s="3">
        <f>DATE(2014,7,31)</f>
        <v>41851</v>
      </c>
      <c r="C10706" s="2" t="s">
        <v>95</v>
      </c>
      <c r="D10706" s="2" t="s">
        <v>31174</v>
      </c>
      <c r="E10706" s="2" t="s">
        <v>2337</v>
      </c>
      <c r="F10706" s="4">
        <v>6021</v>
      </c>
      <c r="G10706" s="2" t="s">
        <v>37</v>
      </c>
      <c r="H10706" s="2" t="s">
        <v>34</v>
      </c>
      <c r="I10706" s="2" t="s">
        <v>30931</v>
      </c>
      <c r="J10706" s="2" t="s">
        <v>29798</v>
      </c>
      <c r="K10706" s="2" t="s">
        <v>37</v>
      </c>
      <c r="L10706" s="2" t="s">
        <v>34</v>
      </c>
      <c r="M10706" s="12">
        <v>1495.2909999999999</v>
      </c>
      <c r="N10706" s="6">
        <v>14.61</v>
      </c>
      <c r="O10706" s="6">
        <v>14.63</v>
      </c>
      <c r="P10706" s="2" t="s">
        <v>31175</v>
      </c>
      <c r="Q10706" s="6">
        <v>100</v>
      </c>
      <c r="R10706" s="6">
        <v>13.24</v>
      </c>
      <c r="S10706" s="5">
        <v>8.8000000000000007</v>
      </c>
      <c r="T10706" s="7">
        <v>13.718999999999999</v>
      </c>
      <c r="U10706" s="5">
        <v>6.5</v>
      </c>
      <c r="V10706" s="9">
        <v>0.60360000000000003</v>
      </c>
      <c r="W10706" s="6">
        <v>7.23</v>
      </c>
      <c r="X10706" s="5">
        <v>7.5</v>
      </c>
      <c r="Y10706" s="6">
        <v>12.38</v>
      </c>
      <c r="Z10706" s="6">
        <v>12.38</v>
      </c>
      <c r="AA10706" s="6">
        <v>12.72</v>
      </c>
      <c r="AB10706" s="7">
        <v>15.076000000000001</v>
      </c>
      <c r="AC10706" s="2"/>
    </row>
    <row r="10707" spans="1:29" ht="78" x14ac:dyDescent="0.15">
      <c r="A10707" s="3">
        <f>DATE(2014,1,9)</f>
        <v>41648</v>
      </c>
      <c r="B10707" s="2"/>
      <c r="C10707" s="2" t="s">
        <v>189</v>
      </c>
      <c r="D10707" s="2" t="s">
        <v>31176</v>
      </c>
      <c r="E10707" s="2" t="s">
        <v>31177</v>
      </c>
      <c r="F10707" s="4">
        <v>5331</v>
      </c>
      <c r="G10707" s="2" t="s">
        <v>756</v>
      </c>
      <c r="H10707" s="2" t="s">
        <v>34</v>
      </c>
      <c r="I10707" s="2" t="s">
        <v>143</v>
      </c>
      <c r="J10707" s="2" t="s">
        <v>144</v>
      </c>
      <c r="K10707" s="2" t="s">
        <v>53</v>
      </c>
      <c r="L10707" s="2" t="s">
        <v>139</v>
      </c>
      <c r="M10707" s="2"/>
      <c r="N10707" s="2"/>
      <c r="O10707" s="2"/>
      <c r="P10707" s="2" t="s">
        <v>31178</v>
      </c>
      <c r="Q10707" s="2"/>
      <c r="R10707" s="2"/>
      <c r="S10707" s="5">
        <v>28.6</v>
      </c>
      <c r="T10707" s="7">
        <v>84.406000000000006</v>
      </c>
      <c r="U10707" s="5">
        <v>12.2</v>
      </c>
      <c r="V10707" s="9">
        <v>0.7782</v>
      </c>
      <c r="W10707" s="6">
        <v>17.98</v>
      </c>
      <c r="X10707" s="6">
        <v>17.760000000000002</v>
      </c>
      <c r="Y10707" s="6">
        <v>18.25</v>
      </c>
      <c r="Z10707" s="6">
        <v>18.149999999999999</v>
      </c>
      <c r="AA10707" s="6">
        <v>36.85</v>
      </c>
      <c r="AB10707" s="2" t="s">
        <v>47</v>
      </c>
      <c r="AC10707" s="2"/>
    </row>
    <row r="10708" spans="1:29" ht="65" x14ac:dyDescent="0.15">
      <c r="A10708" s="3">
        <f>DATE(2014,1,9)</f>
        <v>41648</v>
      </c>
      <c r="B10708" s="3">
        <f>DATE(2014,3,20)</f>
        <v>41718</v>
      </c>
      <c r="C10708" s="2" t="s">
        <v>95</v>
      </c>
      <c r="D10708" s="2" t="s">
        <v>914</v>
      </c>
      <c r="E10708" s="2" t="s">
        <v>31179</v>
      </c>
      <c r="F10708" s="4">
        <v>3479</v>
      </c>
      <c r="G10708" s="2" t="s">
        <v>163</v>
      </c>
      <c r="H10708" s="2" t="s">
        <v>34</v>
      </c>
      <c r="I10708" s="2" t="s">
        <v>31180</v>
      </c>
      <c r="J10708" s="2" t="s">
        <v>31181</v>
      </c>
      <c r="K10708" s="2" t="s">
        <v>163</v>
      </c>
      <c r="L10708" s="2" t="s">
        <v>34</v>
      </c>
      <c r="M10708" s="2"/>
      <c r="N10708" s="2"/>
      <c r="O10708" s="2"/>
      <c r="P10708" s="2" t="s">
        <v>31182</v>
      </c>
      <c r="Q10708" s="6">
        <v>100</v>
      </c>
      <c r="R10708" s="6">
        <v>12.75</v>
      </c>
      <c r="S10708" s="5">
        <v>4.8</v>
      </c>
      <c r="T10708" s="7">
        <v>9.8119999999999994</v>
      </c>
      <c r="U10708" s="5">
        <v>9.6999999999999993</v>
      </c>
      <c r="V10708" s="9">
        <v>0.46429999999999999</v>
      </c>
      <c r="W10708" s="5">
        <v>11.8</v>
      </c>
      <c r="X10708" s="6">
        <v>11.22</v>
      </c>
      <c r="Y10708" s="6">
        <v>12.73</v>
      </c>
      <c r="Z10708" s="6">
        <v>12.72</v>
      </c>
      <c r="AA10708" s="6">
        <v>10.33</v>
      </c>
      <c r="AB10708" s="7">
        <v>16.728000000000002</v>
      </c>
      <c r="AC10708" s="2"/>
    </row>
    <row r="10709" spans="1:29" ht="91" x14ac:dyDescent="0.15">
      <c r="A10709" s="3">
        <f>DATE(2014,1,10)</f>
        <v>41649</v>
      </c>
      <c r="B10709" s="3">
        <f>DATE(2014,2,27)</f>
        <v>41697</v>
      </c>
      <c r="C10709" s="2" t="s">
        <v>95</v>
      </c>
      <c r="D10709" s="2" t="s">
        <v>31183</v>
      </c>
      <c r="E10709" s="2" t="s">
        <v>676</v>
      </c>
      <c r="F10709" s="4">
        <v>2819</v>
      </c>
      <c r="G10709" s="2" t="s">
        <v>98</v>
      </c>
      <c r="H10709" s="2" t="s">
        <v>34</v>
      </c>
      <c r="I10709" s="2" t="s">
        <v>14838</v>
      </c>
      <c r="J10709" s="2" t="s">
        <v>244</v>
      </c>
      <c r="K10709" s="2" t="s">
        <v>53</v>
      </c>
      <c r="L10709" s="2" t="s">
        <v>34</v>
      </c>
      <c r="M10709" s="2"/>
      <c r="N10709" s="2"/>
      <c r="O10709" s="2"/>
      <c r="P10709" s="2" t="s">
        <v>31184</v>
      </c>
      <c r="Q10709" s="6">
        <v>100</v>
      </c>
      <c r="R10709" s="6">
        <v>46.5</v>
      </c>
      <c r="S10709" s="5">
        <v>26.4</v>
      </c>
      <c r="T10709" s="7">
        <v>57.023000000000003</v>
      </c>
      <c r="U10709" s="5">
        <v>14.6</v>
      </c>
      <c r="V10709" s="9">
        <v>3.2412000000000001</v>
      </c>
      <c r="W10709" s="6">
        <v>39.28</v>
      </c>
      <c r="X10709" s="6">
        <v>39.119999999999997</v>
      </c>
      <c r="Y10709" s="6">
        <v>46.48</v>
      </c>
      <c r="Z10709" s="6">
        <v>46.35</v>
      </c>
      <c r="AA10709" s="6">
        <v>8</v>
      </c>
      <c r="AB10709" s="7">
        <v>8.9659999999999993</v>
      </c>
      <c r="AC10709" s="2"/>
    </row>
    <row r="10710" spans="1:29" ht="52" x14ac:dyDescent="0.15">
      <c r="A10710" s="3">
        <f>DATE(2014,1,10)</f>
        <v>41649</v>
      </c>
      <c r="B10710" s="2"/>
      <c r="C10710" s="2" t="s">
        <v>189</v>
      </c>
      <c r="D10710" s="2" t="s">
        <v>31185</v>
      </c>
      <c r="E10710" s="2" t="s">
        <v>31186</v>
      </c>
      <c r="F10710" s="4">
        <v>3081</v>
      </c>
      <c r="G10710" s="2" t="s">
        <v>447</v>
      </c>
      <c r="H10710" s="2" t="s">
        <v>34</v>
      </c>
      <c r="I10710" s="2" t="s">
        <v>143</v>
      </c>
      <c r="J10710" s="2" t="s">
        <v>144</v>
      </c>
      <c r="K10710" s="2" t="s">
        <v>53</v>
      </c>
      <c r="L10710" s="2" t="s">
        <v>139</v>
      </c>
      <c r="M10710" s="2"/>
      <c r="N10710" s="2"/>
      <c r="O10710" s="2"/>
      <c r="P10710" s="2" t="s">
        <v>31187</v>
      </c>
      <c r="Q10710" s="2"/>
      <c r="R10710" s="2"/>
      <c r="S10710" s="5">
        <v>-84.5</v>
      </c>
      <c r="T10710" s="7">
        <v>8.8810000000000002</v>
      </c>
      <c r="U10710" s="5">
        <v>1</v>
      </c>
      <c r="V10710" s="9">
        <v>-4.2038000000000002</v>
      </c>
      <c r="W10710" s="6">
        <v>2.13</v>
      </c>
      <c r="X10710" s="6">
        <v>2.06</v>
      </c>
      <c r="Y10710" s="6">
        <v>1.39</v>
      </c>
      <c r="Z10710" s="7">
        <v>0.77700000000000002</v>
      </c>
      <c r="AA10710" s="6">
        <v>20.11</v>
      </c>
      <c r="AB10710" s="2" t="s">
        <v>86</v>
      </c>
      <c r="AC10710" s="2"/>
    </row>
    <row r="10711" spans="1:29" ht="208" x14ac:dyDescent="0.15">
      <c r="A10711" s="3">
        <f>DATE(2014,1,10)</f>
        <v>41649</v>
      </c>
      <c r="B10711" s="3">
        <f>DATE(2015,1,1)</f>
        <v>42005</v>
      </c>
      <c r="C10711" s="2" t="s">
        <v>95</v>
      </c>
      <c r="D10711" s="2" t="s">
        <v>29108</v>
      </c>
      <c r="E10711" s="2" t="s">
        <v>29109</v>
      </c>
      <c r="F10711" s="4">
        <v>6211</v>
      </c>
      <c r="G10711" s="2" t="s">
        <v>53</v>
      </c>
      <c r="H10711" s="2" t="s">
        <v>34</v>
      </c>
      <c r="I10711" s="2" t="s">
        <v>31188</v>
      </c>
      <c r="J10711" s="2" t="s">
        <v>31189</v>
      </c>
      <c r="K10711" s="2" t="s">
        <v>125</v>
      </c>
      <c r="L10711" s="2" t="s">
        <v>34</v>
      </c>
      <c r="M10711" s="12">
        <v>1951.6990000000001</v>
      </c>
      <c r="N10711" s="5">
        <v>25.4</v>
      </c>
      <c r="O10711" s="6">
        <v>24.25</v>
      </c>
      <c r="P10711" s="2" t="s">
        <v>31190</v>
      </c>
      <c r="Q10711" s="6">
        <v>69.19</v>
      </c>
      <c r="R10711" s="6">
        <v>7.57</v>
      </c>
      <c r="S10711" s="5">
        <v>-39.200000000000003</v>
      </c>
      <c r="T10711" s="7">
        <v>-9.8729999999999993</v>
      </c>
      <c r="U10711" s="5">
        <v>9.4</v>
      </c>
      <c r="V10711" s="9">
        <v>-1.1954</v>
      </c>
      <c r="W10711" s="6">
        <v>6.21</v>
      </c>
      <c r="X10711" s="6">
        <v>6.06</v>
      </c>
      <c r="Y10711" s="6">
        <v>7.29</v>
      </c>
      <c r="Z10711" s="6">
        <v>7.52</v>
      </c>
      <c r="AA10711" s="6">
        <v>33.01</v>
      </c>
      <c r="AB10711" s="2" t="s">
        <v>86</v>
      </c>
      <c r="AC10711" s="2"/>
    </row>
    <row r="10712" spans="1:29" ht="117" x14ac:dyDescent="0.15">
      <c r="A10712" s="3">
        <f>DATE(2014,1,13)</f>
        <v>41652</v>
      </c>
      <c r="B10712" s="3">
        <f>DATE(2014,4,30)</f>
        <v>41759</v>
      </c>
      <c r="C10712" s="2" t="s">
        <v>95</v>
      </c>
      <c r="D10712" s="2" t="s">
        <v>31191</v>
      </c>
      <c r="E10712" s="2" t="s">
        <v>31192</v>
      </c>
      <c r="F10712" s="4">
        <v>2084</v>
      </c>
      <c r="G10712" s="2" t="s">
        <v>577</v>
      </c>
      <c r="H10712" s="2" t="s">
        <v>34</v>
      </c>
      <c r="I10712" s="2" t="s">
        <v>31193</v>
      </c>
      <c r="J10712" s="2" t="s">
        <v>31194</v>
      </c>
      <c r="K10712" s="2" t="s">
        <v>577</v>
      </c>
      <c r="L10712" s="2" t="s">
        <v>99</v>
      </c>
      <c r="M10712" s="2"/>
      <c r="N10712" s="2"/>
      <c r="O10712" s="2"/>
      <c r="P10712" s="2" t="s">
        <v>31195</v>
      </c>
      <c r="Q10712" s="6">
        <v>100</v>
      </c>
      <c r="R10712" s="6">
        <v>83.5</v>
      </c>
      <c r="S10712" s="5">
        <v>362.5</v>
      </c>
      <c r="T10712" s="5">
        <v>784.3</v>
      </c>
      <c r="U10712" s="5">
        <v>31</v>
      </c>
      <c r="V10712" s="9">
        <v>2.2368000000000001</v>
      </c>
      <c r="W10712" s="6">
        <v>66.09</v>
      </c>
      <c r="X10712" s="6">
        <v>66.97</v>
      </c>
      <c r="Y10712" s="6">
        <v>83.42</v>
      </c>
      <c r="Z10712" s="6">
        <v>83.18</v>
      </c>
      <c r="AA10712" s="6">
        <v>163.68</v>
      </c>
      <c r="AB10712" s="7">
        <v>23.645</v>
      </c>
      <c r="AC10712" s="2"/>
    </row>
    <row r="10713" spans="1:29" ht="130" x14ac:dyDescent="0.15">
      <c r="A10713" s="3">
        <f>DATE(2014,1,13)</f>
        <v>41652</v>
      </c>
      <c r="B10713" s="3">
        <f>DATE(2014,5,31)</f>
        <v>41790</v>
      </c>
      <c r="C10713" s="2" t="s">
        <v>95</v>
      </c>
      <c r="D10713" s="2" t="s">
        <v>21771</v>
      </c>
      <c r="E10713" s="2" t="s">
        <v>263</v>
      </c>
      <c r="F10713" s="4">
        <v>6021</v>
      </c>
      <c r="G10713" s="2" t="s">
        <v>37</v>
      </c>
      <c r="H10713" s="2" t="s">
        <v>34</v>
      </c>
      <c r="I10713" s="2" t="s">
        <v>20308</v>
      </c>
      <c r="J10713" s="2" t="s">
        <v>36</v>
      </c>
      <c r="K10713" s="2" t="s">
        <v>37</v>
      </c>
      <c r="L10713" s="2" t="s">
        <v>34</v>
      </c>
      <c r="M10713" s="12">
        <v>1848.4770000000001</v>
      </c>
      <c r="N10713" s="6">
        <v>62.04</v>
      </c>
      <c r="O10713" s="5">
        <v>62.7</v>
      </c>
      <c r="P10713" s="2" t="s">
        <v>31196</v>
      </c>
      <c r="Q10713" s="6">
        <v>100</v>
      </c>
      <c r="R10713" s="6">
        <v>72.16</v>
      </c>
      <c r="S10713" s="5">
        <v>8.1</v>
      </c>
      <c r="T10713" s="7">
        <v>13.669</v>
      </c>
      <c r="U10713" s="5">
        <v>44.1</v>
      </c>
      <c r="V10713" s="9">
        <v>3.8727999999999998</v>
      </c>
      <c r="W10713" s="6">
        <v>52.28</v>
      </c>
      <c r="X10713" s="5">
        <v>54.5</v>
      </c>
      <c r="Y10713" s="6">
        <v>70.17</v>
      </c>
      <c r="Z10713" s="6">
        <v>70.97</v>
      </c>
      <c r="AA10713" s="6">
        <v>2.06</v>
      </c>
      <c r="AB10713" s="7">
        <v>23.382000000000001</v>
      </c>
      <c r="AC10713" s="2"/>
    </row>
    <row r="10714" spans="1:29" ht="195" x14ac:dyDescent="0.15">
      <c r="A10714" s="3">
        <f>DATE(2014,1,13)</f>
        <v>41652</v>
      </c>
      <c r="B10714" s="2"/>
      <c r="C10714" s="2" t="s">
        <v>30</v>
      </c>
      <c r="D10714" s="2" t="s">
        <v>26683</v>
      </c>
      <c r="E10714" s="2" t="s">
        <v>21698</v>
      </c>
      <c r="F10714" s="4">
        <v>4841</v>
      </c>
      <c r="G10714" s="2" t="s">
        <v>45</v>
      </c>
      <c r="H10714" s="2" t="s">
        <v>34</v>
      </c>
      <c r="I10714" s="2" t="s">
        <v>30873</v>
      </c>
      <c r="J10714" s="2" t="s">
        <v>30874</v>
      </c>
      <c r="K10714" s="2" t="s">
        <v>45</v>
      </c>
      <c r="L10714" s="2" t="s">
        <v>34</v>
      </c>
      <c r="M10714" s="12">
        <v>38220.942999999999</v>
      </c>
      <c r="N10714" s="6">
        <v>134.22</v>
      </c>
      <c r="O10714" s="6">
        <v>137.34</v>
      </c>
      <c r="P10714" s="2" t="s">
        <v>31197</v>
      </c>
      <c r="Q10714" s="2"/>
      <c r="R10714" s="6">
        <v>132.5</v>
      </c>
      <c r="S10714" s="8">
        <v>1944</v>
      </c>
      <c r="T10714" s="8">
        <v>7980</v>
      </c>
      <c r="U10714" s="5">
        <v>25</v>
      </c>
      <c r="V10714" s="9">
        <v>6.6643999999999997</v>
      </c>
      <c r="W10714" s="6">
        <v>94.93</v>
      </c>
      <c r="X10714" s="6">
        <v>103.93</v>
      </c>
      <c r="Y10714" s="6">
        <v>101.29</v>
      </c>
      <c r="Z10714" s="6">
        <v>101.29</v>
      </c>
      <c r="AA10714" s="6">
        <v>281.89</v>
      </c>
      <c r="AB10714" s="7">
        <v>13.205</v>
      </c>
      <c r="AC10714" s="2"/>
    </row>
    <row r="10715" spans="1:29" ht="52" x14ac:dyDescent="0.15">
      <c r="A10715" s="3">
        <f>DATE(2014,1,14)</f>
        <v>41653</v>
      </c>
      <c r="B10715" s="3">
        <f>DATE(2014,7,1)</f>
        <v>41821</v>
      </c>
      <c r="C10715" s="2" t="s">
        <v>95</v>
      </c>
      <c r="D10715" s="2" t="s">
        <v>31198</v>
      </c>
      <c r="E10715" s="2" t="s">
        <v>29798</v>
      </c>
      <c r="F10715" s="4">
        <v>6022</v>
      </c>
      <c r="G10715" s="2" t="s">
        <v>37</v>
      </c>
      <c r="H10715" s="2" t="s">
        <v>34</v>
      </c>
      <c r="I10715" s="2" t="s">
        <v>31199</v>
      </c>
      <c r="J10715" s="2" t="s">
        <v>29798</v>
      </c>
      <c r="K10715" s="2" t="s">
        <v>37</v>
      </c>
      <c r="L10715" s="2" t="s">
        <v>34</v>
      </c>
      <c r="M10715" s="2"/>
      <c r="N10715" s="2"/>
      <c r="O10715" s="2"/>
      <c r="P10715" s="2" t="s">
        <v>31200</v>
      </c>
      <c r="Q10715" s="6">
        <v>100</v>
      </c>
      <c r="R10715" s="6">
        <v>5.35</v>
      </c>
      <c r="S10715" s="2"/>
      <c r="T10715" s="2"/>
      <c r="U10715" s="2"/>
      <c r="V10715" s="2"/>
      <c r="W10715" s="5">
        <v>2.6</v>
      </c>
      <c r="X10715" s="5">
        <v>2.6</v>
      </c>
      <c r="Y10715" s="6">
        <v>5.16</v>
      </c>
      <c r="Z10715" s="6">
        <v>5.17</v>
      </c>
      <c r="AA10715" s="6">
        <v>1.76</v>
      </c>
      <c r="AB10715" s="2" t="s">
        <v>47</v>
      </c>
      <c r="AC10715" s="6">
        <v>176.09</v>
      </c>
    </row>
    <row r="10716" spans="1:29" ht="130" x14ac:dyDescent="0.15">
      <c r="A10716" s="3">
        <f>DATE(2014,1,16)</f>
        <v>41655</v>
      </c>
      <c r="B10716" s="3">
        <f>DATE(2014,2,14)</f>
        <v>41684</v>
      </c>
      <c r="C10716" s="2" t="s">
        <v>95</v>
      </c>
      <c r="D10716" s="2" t="s">
        <v>31201</v>
      </c>
      <c r="E10716" s="2" t="s">
        <v>31202</v>
      </c>
      <c r="F10716" s="4">
        <v>5812</v>
      </c>
      <c r="G10716" s="2" t="s">
        <v>230</v>
      </c>
      <c r="H10716" s="2" t="s">
        <v>34</v>
      </c>
      <c r="I10716" s="2" t="s">
        <v>27735</v>
      </c>
      <c r="J10716" s="2" t="s">
        <v>244</v>
      </c>
      <c r="K10716" s="2" t="s">
        <v>53</v>
      </c>
      <c r="L10716" s="2" t="s">
        <v>34</v>
      </c>
      <c r="M10716" s="12">
        <v>4373.0069999999996</v>
      </c>
      <c r="N10716" s="6">
        <v>36.049999999999997</v>
      </c>
      <c r="O10716" s="6">
        <v>35.06</v>
      </c>
      <c r="P10716" s="2" t="s">
        <v>31203</v>
      </c>
      <c r="Q10716" s="6">
        <v>100</v>
      </c>
      <c r="R10716" s="6">
        <v>54</v>
      </c>
      <c r="S10716" s="2"/>
      <c r="T10716" s="2"/>
      <c r="U10716" s="5">
        <v>9.1999999999999993</v>
      </c>
      <c r="V10716" s="2"/>
      <c r="W10716" s="6">
        <v>49.56</v>
      </c>
      <c r="X10716" s="6">
        <v>48.43</v>
      </c>
      <c r="Y10716" s="6">
        <v>54.75</v>
      </c>
      <c r="Z10716" s="6">
        <v>54.78</v>
      </c>
      <c r="AA10716" s="6">
        <v>17.55</v>
      </c>
      <c r="AB10716" s="2" t="s">
        <v>47</v>
      </c>
      <c r="AC10716" s="10">
        <v>2183.91</v>
      </c>
    </row>
    <row r="10717" spans="1:29" ht="143" x14ac:dyDescent="0.15">
      <c r="A10717" s="3">
        <f>DATE(2014,1,21)</f>
        <v>41660</v>
      </c>
      <c r="B10717" s="3">
        <f>DATE(2014,7,1)</f>
        <v>41821</v>
      </c>
      <c r="C10717" s="2" t="s">
        <v>95</v>
      </c>
      <c r="D10717" s="2" t="s">
        <v>31204</v>
      </c>
      <c r="E10717" s="2" t="s">
        <v>31205</v>
      </c>
      <c r="F10717" s="4">
        <v>6022</v>
      </c>
      <c r="G10717" s="2" t="s">
        <v>37</v>
      </c>
      <c r="H10717" s="2" t="s">
        <v>34</v>
      </c>
      <c r="I10717" s="2" t="s">
        <v>22553</v>
      </c>
      <c r="J10717" s="2" t="s">
        <v>36</v>
      </c>
      <c r="K10717" s="2" t="s">
        <v>37</v>
      </c>
      <c r="L10717" s="2" t="s">
        <v>34</v>
      </c>
      <c r="M10717" s="7">
        <v>315.10300000000001</v>
      </c>
      <c r="N10717" s="6">
        <v>19.12</v>
      </c>
      <c r="O10717" s="6">
        <v>18.95</v>
      </c>
      <c r="P10717" s="2" t="s">
        <v>31206</v>
      </c>
      <c r="Q10717" s="6">
        <v>100</v>
      </c>
      <c r="R10717" s="6">
        <v>45.6</v>
      </c>
      <c r="S10717" s="5">
        <v>10.3</v>
      </c>
      <c r="T10717" s="7">
        <v>18.097000000000001</v>
      </c>
      <c r="U10717" s="5">
        <v>25.5</v>
      </c>
      <c r="V10717" s="9">
        <v>2.0876999999999999</v>
      </c>
      <c r="W10717" s="6">
        <v>39.94</v>
      </c>
      <c r="X10717" s="6">
        <v>39.83</v>
      </c>
      <c r="Y10717" s="6">
        <v>48.49</v>
      </c>
      <c r="Z10717" s="6">
        <v>48.23</v>
      </c>
      <c r="AA10717" s="6">
        <v>5.09</v>
      </c>
      <c r="AB10717" s="7">
        <v>22.826000000000001</v>
      </c>
      <c r="AC10717" s="2"/>
    </row>
    <row r="10718" spans="1:29" ht="65" x14ac:dyDescent="0.15">
      <c r="A10718" s="3">
        <f>DATE(2014,1,21)</f>
        <v>41660</v>
      </c>
      <c r="B10718" s="3">
        <f>DATE(2014,5,30)</f>
        <v>41789</v>
      </c>
      <c r="C10718" s="2" t="s">
        <v>95</v>
      </c>
      <c r="D10718" s="2" t="s">
        <v>31207</v>
      </c>
      <c r="E10718" s="2" t="s">
        <v>36</v>
      </c>
      <c r="F10718" s="4">
        <v>6021</v>
      </c>
      <c r="G10718" s="2" t="s">
        <v>37</v>
      </c>
      <c r="H10718" s="2" t="s">
        <v>34</v>
      </c>
      <c r="I10718" s="2" t="s">
        <v>9615</v>
      </c>
      <c r="J10718" s="2" t="s">
        <v>8873</v>
      </c>
      <c r="K10718" s="2" t="s">
        <v>37</v>
      </c>
      <c r="L10718" s="2" t="s">
        <v>34</v>
      </c>
      <c r="M10718" s="7">
        <v>253.61699999999999</v>
      </c>
      <c r="N10718" s="6">
        <v>22.35</v>
      </c>
      <c r="O10718" s="6">
        <v>22.37</v>
      </c>
      <c r="P10718" s="2" t="s">
        <v>31208</v>
      </c>
      <c r="Q10718" s="6">
        <v>100</v>
      </c>
      <c r="R10718" s="2"/>
      <c r="S10718" s="2"/>
      <c r="T10718" s="2"/>
      <c r="U10718" s="2"/>
      <c r="V10718" s="2"/>
      <c r="W10718" s="4">
        <v>34</v>
      </c>
      <c r="X10718" s="4">
        <v>34</v>
      </c>
      <c r="Y10718" s="4">
        <v>34</v>
      </c>
      <c r="Z10718" s="4">
        <v>63</v>
      </c>
      <c r="AA10718" s="2"/>
      <c r="AB10718" s="2" t="s">
        <v>47</v>
      </c>
      <c r="AC10718" s="2"/>
    </row>
    <row r="10719" spans="1:29" ht="130" x14ac:dyDescent="0.15">
      <c r="A10719" s="3">
        <f>DATE(2014,1,21)</f>
        <v>41660</v>
      </c>
      <c r="B10719" s="3">
        <f>DATE(2014,10,3)</f>
        <v>41915</v>
      </c>
      <c r="C10719" s="2" t="s">
        <v>95</v>
      </c>
      <c r="D10719" s="2" t="s">
        <v>15410</v>
      </c>
      <c r="E10719" s="2" t="s">
        <v>36</v>
      </c>
      <c r="F10719" s="4">
        <v>6022</v>
      </c>
      <c r="G10719" s="2" t="s">
        <v>37</v>
      </c>
      <c r="H10719" s="2" t="s">
        <v>34</v>
      </c>
      <c r="I10719" s="2" t="s">
        <v>20346</v>
      </c>
      <c r="J10719" s="2" t="s">
        <v>36</v>
      </c>
      <c r="K10719" s="2" t="s">
        <v>37</v>
      </c>
      <c r="L10719" s="2" t="s">
        <v>34</v>
      </c>
      <c r="M10719" s="7">
        <v>455.77300000000002</v>
      </c>
      <c r="N10719" s="6">
        <v>28.05</v>
      </c>
      <c r="O10719" s="6">
        <v>26.99</v>
      </c>
      <c r="P10719" s="2" t="s">
        <v>31209</v>
      </c>
      <c r="Q10719" s="6">
        <v>100</v>
      </c>
      <c r="R10719" s="6">
        <v>26.09</v>
      </c>
      <c r="S10719" s="5">
        <v>3.6</v>
      </c>
      <c r="T10719" s="7">
        <v>6.0919999999999996</v>
      </c>
      <c r="U10719" s="5">
        <v>13.7</v>
      </c>
      <c r="V10719" s="9">
        <v>0.52869999999999995</v>
      </c>
      <c r="W10719" s="6">
        <v>19.21</v>
      </c>
      <c r="X10719" s="6">
        <v>19.07</v>
      </c>
      <c r="Y10719" s="6">
        <v>19.149999999999999</v>
      </c>
      <c r="Z10719" s="6">
        <v>24.64</v>
      </c>
      <c r="AA10719" s="6">
        <v>6.84</v>
      </c>
      <c r="AB10719" s="7">
        <v>38.326000000000001</v>
      </c>
      <c r="AC10719" s="2"/>
    </row>
    <row r="10720" spans="1:29" ht="130" x14ac:dyDescent="0.15">
      <c r="A10720" s="3">
        <f>DATE(2014,1,23)</f>
        <v>41662</v>
      </c>
      <c r="B10720" s="3">
        <f>DATE(2014,6,2)</f>
        <v>41792</v>
      </c>
      <c r="C10720" s="2" t="s">
        <v>95</v>
      </c>
      <c r="D10720" s="2" t="s">
        <v>31210</v>
      </c>
      <c r="E10720" s="2" t="s">
        <v>672</v>
      </c>
      <c r="F10720" s="4">
        <v>6021</v>
      </c>
      <c r="G10720" s="2" t="s">
        <v>37</v>
      </c>
      <c r="H10720" s="2" t="s">
        <v>34</v>
      </c>
      <c r="I10720" s="2" t="s">
        <v>31211</v>
      </c>
      <c r="J10720" s="2" t="s">
        <v>36</v>
      </c>
      <c r="K10720" s="2" t="s">
        <v>33</v>
      </c>
      <c r="L10720" s="2" t="s">
        <v>34</v>
      </c>
      <c r="M10720" s="7">
        <v>325.315</v>
      </c>
      <c r="N10720" s="6">
        <v>16.03</v>
      </c>
      <c r="O10720" s="4">
        <v>16</v>
      </c>
      <c r="P10720" s="2" t="s">
        <v>31212</v>
      </c>
      <c r="Q10720" s="6">
        <v>100</v>
      </c>
      <c r="R10720" s="6">
        <v>8</v>
      </c>
      <c r="S10720" s="5">
        <v>1.9</v>
      </c>
      <c r="T10720" s="7">
        <v>4.1289999999999996</v>
      </c>
      <c r="U10720" s="5">
        <v>8.1</v>
      </c>
      <c r="V10720" s="9">
        <v>0.30020000000000002</v>
      </c>
      <c r="W10720" s="6">
        <v>6.54</v>
      </c>
      <c r="X10720" s="6">
        <v>6.53</v>
      </c>
      <c r="Y10720" s="6">
        <v>7.76</v>
      </c>
      <c r="Z10720" s="6">
        <v>7.77</v>
      </c>
      <c r="AA10720" s="6">
        <v>6.6</v>
      </c>
      <c r="AB10720" s="7">
        <v>40.451000000000001</v>
      </c>
      <c r="AC10720" s="2"/>
    </row>
    <row r="10721" spans="1:29" ht="156" x14ac:dyDescent="0.15">
      <c r="A10721" s="3">
        <f>DATE(2014,1,27)</f>
        <v>41666</v>
      </c>
      <c r="B10721" s="3">
        <f>DATE(2014,7,7)</f>
        <v>41827</v>
      </c>
      <c r="C10721" s="2" t="s">
        <v>95</v>
      </c>
      <c r="D10721" s="2" t="s">
        <v>31213</v>
      </c>
      <c r="E10721" s="2" t="s">
        <v>36</v>
      </c>
      <c r="F10721" s="4">
        <v>6022</v>
      </c>
      <c r="G10721" s="2" t="s">
        <v>37</v>
      </c>
      <c r="H10721" s="2" t="s">
        <v>34</v>
      </c>
      <c r="I10721" s="2" t="s">
        <v>31214</v>
      </c>
      <c r="J10721" s="2" t="s">
        <v>36</v>
      </c>
      <c r="K10721" s="2" t="s">
        <v>37</v>
      </c>
      <c r="L10721" s="2" t="s">
        <v>34</v>
      </c>
      <c r="M10721" s="7">
        <v>268.74599999999998</v>
      </c>
      <c r="N10721" s="6">
        <v>18.48</v>
      </c>
      <c r="O10721" s="6">
        <v>18.93</v>
      </c>
      <c r="P10721" s="2" t="s">
        <v>31215</v>
      </c>
      <c r="Q10721" s="6">
        <v>100</v>
      </c>
      <c r="R10721" s="6">
        <v>5.41</v>
      </c>
      <c r="S10721" s="2"/>
      <c r="T10721" s="2"/>
      <c r="U10721" s="2"/>
      <c r="V10721" s="2"/>
      <c r="W10721" s="6">
        <v>4.8899999999999997</v>
      </c>
      <c r="X10721" s="6">
        <v>5.0599999999999996</v>
      </c>
      <c r="Y10721" s="5">
        <v>5.0999999999999996</v>
      </c>
      <c r="Z10721" s="6">
        <v>5.15</v>
      </c>
      <c r="AA10721" s="6">
        <v>46.04</v>
      </c>
      <c r="AB10721" s="2" t="s">
        <v>47</v>
      </c>
      <c r="AC10721" s="2"/>
    </row>
    <row r="10722" spans="1:29" ht="234" x14ac:dyDescent="0.15">
      <c r="A10722" s="3">
        <f>DATE(2014,1,28)</f>
        <v>41667</v>
      </c>
      <c r="B10722" s="3">
        <f>DATE(2014,7,1)</f>
        <v>41821</v>
      </c>
      <c r="C10722" s="2" t="s">
        <v>95</v>
      </c>
      <c r="D10722" s="2" t="s">
        <v>9780</v>
      </c>
      <c r="E10722" s="2" t="s">
        <v>9781</v>
      </c>
      <c r="F10722" s="4">
        <v>3271</v>
      </c>
      <c r="G10722" s="2" t="s">
        <v>237</v>
      </c>
      <c r="H10722" s="2" t="s">
        <v>34</v>
      </c>
      <c r="I10722" s="2" t="s">
        <v>29646</v>
      </c>
      <c r="J10722" s="2" t="s">
        <v>29647</v>
      </c>
      <c r="K10722" s="2" t="s">
        <v>166</v>
      </c>
      <c r="L10722" s="2" t="s">
        <v>34</v>
      </c>
      <c r="M10722" s="12">
        <v>4622.0810000000001</v>
      </c>
      <c r="N10722" s="6">
        <v>106.75</v>
      </c>
      <c r="O10722" s="4">
        <v>108</v>
      </c>
      <c r="P10722" s="2" t="s">
        <v>31216</v>
      </c>
      <c r="Q10722" s="6">
        <v>100</v>
      </c>
      <c r="R10722" s="6">
        <v>71.95</v>
      </c>
      <c r="S10722" s="5">
        <v>21.1</v>
      </c>
      <c r="T10722" s="7">
        <v>84.661000000000001</v>
      </c>
      <c r="U10722" s="5">
        <v>25.9</v>
      </c>
      <c r="V10722" s="9">
        <v>-0.34449999999999997</v>
      </c>
      <c r="W10722" s="6">
        <v>56.96</v>
      </c>
      <c r="X10722" s="6">
        <v>56.76</v>
      </c>
      <c r="Y10722" s="6">
        <v>58.54</v>
      </c>
      <c r="Z10722" s="6">
        <v>66.47</v>
      </c>
      <c r="AA10722" s="6">
        <v>28.62</v>
      </c>
      <c r="AB10722" s="7">
        <v>192.96899999999999</v>
      </c>
      <c r="AC10722" s="6">
        <v>42.44</v>
      </c>
    </row>
    <row r="10723" spans="1:29" ht="143" x14ac:dyDescent="0.15">
      <c r="A10723" s="3">
        <f>DATE(2014,1,30)</f>
        <v>41669</v>
      </c>
      <c r="B10723" s="3">
        <f>DATE(2014,4,29)</f>
        <v>41758</v>
      </c>
      <c r="C10723" s="2" t="s">
        <v>95</v>
      </c>
      <c r="D10723" s="2" t="s">
        <v>28178</v>
      </c>
      <c r="E10723" s="2" t="s">
        <v>28179</v>
      </c>
      <c r="F10723" s="4">
        <v>7372</v>
      </c>
      <c r="G10723" s="2" t="s">
        <v>551</v>
      </c>
      <c r="H10723" s="2" t="s">
        <v>34</v>
      </c>
      <c r="I10723" s="2" t="s">
        <v>31217</v>
      </c>
      <c r="J10723" s="2" t="s">
        <v>31218</v>
      </c>
      <c r="K10723" s="2" t="s">
        <v>551</v>
      </c>
      <c r="L10723" s="2" t="s">
        <v>34</v>
      </c>
      <c r="M10723" s="2"/>
      <c r="N10723" s="2"/>
      <c r="O10723" s="2"/>
      <c r="P10723" s="2" t="s">
        <v>31219</v>
      </c>
      <c r="Q10723" s="6">
        <v>100</v>
      </c>
      <c r="R10723" s="6">
        <v>12.5</v>
      </c>
      <c r="S10723" s="5">
        <v>5.7</v>
      </c>
      <c r="T10723" s="7">
        <v>13.289</v>
      </c>
      <c r="U10723" s="5">
        <v>4.5</v>
      </c>
      <c r="V10723" s="9">
        <v>9.9699999999999997E-2</v>
      </c>
      <c r="W10723" s="6">
        <v>10.47</v>
      </c>
      <c r="X10723" s="6">
        <v>9.7200000000000006</v>
      </c>
      <c r="Y10723" s="6">
        <v>12.57</v>
      </c>
      <c r="Z10723" s="6">
        <v>12.58</v>
      </c>
      <c r="AA10723" s="6">
        <v>55.71</v>
      </c>
      <c r="AB10723" s="2" t="s">
        <v>86</v>
      </c>
      <c r="AC10723" s="2"/>
    </row>
    <row r="10724" spans="1:29" ht="91" x14ac:dyDescent="0.15">
      <c r="A10724" s="3">
        <f>DATE(2014,2,3)</f>
        <v>41673</v>
      </c>
      <c r="B10724" s="3">
        <f>DATE(2014,5,29)</f>
        <v>41788</v>
      </c>
      <c r="C10724" s="2" t="s">
        <v>95</v>
      </c>
      <c r="D10724" s="2" t="s">
        <v>31220</v>
      </c>
      <c r="E10724" s="2" t="s">
        <v>31221</v>
      </c>
      <c r="F10724" s="4">
        <v>3841</v>
      </c>
      <c r="G10724" s="2" t="s">
        <v>226</v>
      </c>
      <c r="H10724" s="2" t="s">
        <v>34</v>
      </c>
      <c r="I10724" s="2" t="s">
        <v>19711</v>
      </c>
      <c r="J10724" s="2" t="s">
        <v>15018</v>
      </c>
      <c r="K10724" s="2" t="s">
        <v>226</v>
      </c>
      <c r="L10724" s="2" t="s">
        <v>303</v>
      </c>
      <c r="M10724" s="12">
        <v>2559.9920000000002</v>
      </c>
      <c r="N10724" s="7">
        <v>14.445</v>
      </c>
      <c r="O10724" s="6">
        <v>14.27</v>
      </c>
      <c r="P10724" s="2" t="s">
        <v>31222</v>
      </c>
      <c r="Q10724" s="6">
        <v>100</v>
      </c>
      <c r="R10724" s="6">
        <v>48.25</v>
      </c>
      <c r="S10724" s="5">
        <v>26.1</v>
      </c>
      <c r="T10724" s="5">
        <v>47.2</v>
      </c>
      <c r="U10724" s="5">
        <v>14.2</v>
      </c>
      <c r="V10724" s="9">
        <v>0.63959999999999995</v>
      </c>
      <c r="W10724" s="6">
        <v>46.27</v>
      </c>
      <c r="X10724" s="6">
        <v>45.38</v>
      </c>
      <c r="Y10724" s="6">
        <v>49.12</v>
      </c>
      <c r="Z10724" s="6">
        <v>49.24</v>
      </c>
      <c r="AA10724" s="6">
        <v>28.38</v>
      </c>
      <c r="AB10724" s="7">
        <v>45.21</v>
      </c>
      <c r="AC10724" s="6">
        <v>164.91</v>
      </c>
    </row>
    <row r="10725" spans="1:29" ht="104" x14ac:dyDescent="0.15">
      <c r="A10725" s="3">
        <f>DATE(2014,2,4)</f>
        <v>41674</v>
      </c>
      <c r="B10725" s="3">
        <f>DATE(2014,4,30)</f>
        <v>41759</v>
      </c>
      <c r="C10725" s="2" t="s">
        <v>95</v>
      </c>
      <c r="D10725" s="2" t="s">
        <v>31223</v>
      </c>
      <c r="E10725" s="2" t="s">
        <v>31224</v>
      </c>
      <c r="F10725" s="4">
        <v>2819</v>
      </c>
      <c r="G10725" s="2" t="s">
        <v>98</v>
      </c>
      <c r="H10725" s="2" t="s">
        <v>34</v>
      </c>
      <c r="I10725" s="2" t="s">
        <v>22794</v>
      </c>
      <c r="J10725" s="2" t="s">
        <v>22795</v>
      </c>
      <c r="K10725" s="2" t="s">
        <v>447</v>
      </c>
      <c r="L10725" s="2" t="s">
        <v>34</v>
      </c>
      <c r="M10725" s="12">
        <v>1550.2929999999999</v>
      </c>
      <c r="N10725" s="6">
        <v>11.43</v>
      </c>
      <c r="O10725" s="6">
        <v>11.54</v>
      </c>
      <c r="P10725" s="2" t="s">
        <v>31225</v>
      </c>
      <c r="Q10725" s="6">
        <v>100</v>
      </c>
      <c r="R10725" s="6">
        <v>34</v>
      </c>
      <c r="S10725" s="5">
        <v>30.2</v>
      </c>
      <c r="T10725" s="7">
        <v>78.828000000000003</v>
      </c>
      <c r="U10725" s="5">
        <v>16</v>
      </c>
      <c r="V10725" s="9">
        <v>1.1834</v>
      </c>
      <c r="W10725" s="6">
        <v>28.51</v>
      </c>
      <c r="X10725" s="6">
        <v>26.93</v>
      </c>
      <c r="Y10725" s="6">
        <v>33.79</v>
      </c>
      <c r="Z10725" s="6">
        <v>33.770000000000003</v>
      </c>
      <c r="AA10725" s="6">
        <v>31.99</v>
      </c>
      <c r="AB10725" s="7">
        <v>20.213999999999999</v>
      </c>
      <c r="AC10725" s="6">
        <v>384.43</v>
      </c>
    </row>
    <row r="10726" spans="1:29" ht="130" x14ac:dyDescent="0.15">
      <c r="A10726" s="3">
        <f>DATE(2014,2,5)</f>
        <v>41675</v>
      </c>
      <c r="B10726" s="2"/>
      <c r="C10726" s="2" t="s">
        <v>30</v>
      </c>
      <c r="D10726" s="2" t="s">
        <v>31226</v>
      </c>
      <c r="E10726" s="2" t="s">
        <v>31227</v>
      </c>
      <c r="F10726" s="4">
        <v>6331</v>
      </c>
      <c r="G10726" s="2" t="s">
        <v>125</v>
      </c>
      <c r="H10726" s="2" t="s">
        <v>34</v>
      </c>
      <c r="I10726" s="2" t="s">
        <v>31228</v>
      </c>
      <c r="J10726" s="2" t="s">
        <v>124</v>
      </c>
      <c r="K10726" s="2" t="s">
        <v>125</v>
      </c>
      <c r="L10726" s="2" t="s">
        <v>34</v>
      </c>
      <c r="M10726" s="2"/>
      <c r="N10726" s="2"/>
      <c r="O10726" s="2"/>
      <c r="P10726" s="2" t="s">
        <v>31229</v>
      </c>
      <c r="Q10726" s="2"/>
      <c r="R10726" s="6">
        <v>30</v>
      </c>
      <c r="S10726" s="5">
        <v>17.600000000000001</v>
      </c>
      <c r="T10726" s="7">
        <v>26.276</v>
      </c>
      <c r="U10726" s="5">
        <v>17.899999999999999</v>
      </c>
      <c r="V10726" s="7">
        <v>0.88900000000000001</v>
      </c>
      <c r="W10726" s="6">
        <v>22.73</v>
      </c>
      <c r="X10726" s="6">
        <v>22.17</v>
      </c>
      <c r="Y10726" s="6">
        <v>29.01</v>
      </c>
      <c r="Z10726" s="6">
        <v>28.76</v>
      </c>
      <c r="AA10726" s="6">
        <v>19.72</v>
      </c>
      <c r="AB10726" s="7">
        <v>25.474</v>
      </c>
      <c r="AC10726" s="2"/>
    </row>
    <row r="10727" spans="1:29" ht="130" x14ac:dyDescent="0.15">
      <c r="A10727" s="3">
        <f>DATE(2014,2,7)</f>
        <v>41677</v>
      </c>
      <c r="B10727" s="2"/>
      <c r="C10727" s="2" t="s">
        <v>30</v>
      </c>
      <c r="D10727" s="2" t="s">
        <v>31230</v>
      </c>
      <c r="E10727" s="2" t="s">
        <v>31231</v>
      </c>
      <c r="F10727" s="4">
        <v>7359</v>
      </c>
      <c r="G10727" s="2" t="s">
        <v>223</v>
      </c>
      <c r="H10727" s="2" t="s">
        <v>34</v>
      </c>
      <c r="I10727" s="2" t="s">
        <v>30640</v>
      </c>
      <c r="J10727" s="2" t="s">
        <v>244</v>
      </c>
      <c r="K10727" s="2" t="s">
        <v>53</v>
      </c>
      <c r="L10727" s="2" t="s">
        <v>34</v>
      </c>
      <c r="M10727" s="2"/>
      <c r="N10727" s="2"/>
      <c r="O10727" s="2"/>
      <c r="P10727" s="2" t="s">
        <v>31232</v>
      </c>
      <c r="Q10727" s="2"/>
      <c r="R10727" s="6">
        <v>30.5</v>
      </c>
      <c r="S10727" s="5">
        <v>120.7</v>
      </c>
      <c r="T10727" s="7">
        <v>907.06399999999996</v>
      </c>
      <c r="U10727" s="5">
        <v>15.6</v>
      </c>
      <c r="V10727" s="9">
        <v>1.5795999999999999</v>
      </c>
      <c r="W10727" s="6">
        <v>26.89</v>
      </c>
      <c r="X10727" s="6">
        <v>27.05</v>
      </c>
      <c r="Y10727" s="6">
        <v>28.32</v>
      </c>
      <c r="Z10727" s="6">
        <v>29.24</v>
      </c>
      <c r="AA10727" s="6">
        <v>76.27</v>
      </c>
      <c r="AB10727" s="7">
        <v>9.2279999999999998</v>
      </c>
      <c r="AC10727" s="2"/>
    </row>
    <row r="10728" spans="1:29" ht="143" x14ac:dyDescent="0.15">
      <c r="A10728" s="3">
        <f>DATE(2014,2,10)</f>
        <v>41680</v>
      </c>
      <c r="B10728" s="3">
        <f>DATE(2014,7,31)</f>
        <v>41851</v>
      </c>
      <c r="C10728" s="2" t="s">
        <v>95</v>
      </c>
      <c r="D10728" s="2" t="s">
        <v>31233</v>
      </c>
      <c r="E10728" s="2" t="s">
        <v>36</v>
      </c>
      <c r="F10728" s="4">
        <v>6021</v>
      </c>
      <c r="G10728" s="2" t="s">
        <v>37</v>
      </c>
      <c r="H10728" s="2" t="s">
        <v>34</v>
      </c>
      <c r="I10728" s="2" t="s">
        <v>31234</v>
      </c>
      <c r="J10728" s="2" t="s">
        <v>36</v>
      </c>
      <c r="K10728" s="2" t="s">
        <v>37</v>
      </c>
      <c r="L10728" s="2" t="s">
        <v>34</v>
      </c>
      <c r="M10728" s="10">
        <v>1181.17</v>
      </c>
      <c r="N10728" s="6">
        <v>24.77</v>
      </c>
      <c r="O10728" s="6">
        <v>25.34</v>
      </c>
      <c r="P10728" s="2" t="s">
        <v>31235</v>
      </c>
      <c r="Q10728" s="6">
        <v>100</v>
      </c>
      <c r="R10728" s="6">
        <v>13.45</v>
      </c>
      <c r="S10728" s="2"/>
      <c r="T10728" s="2"/>
      <c r="U10728" s="2"/>
      <c r="V10728" s="2"/>
      <c r="W10728" s="6">
        <v>10.55</v>
      </c>
      <c r="X10728" s="6">
        <v>10.55</v>
      </c>
      <c r="Y10728" s="6">
        <v>10.55</v>
      </c>
      <c r="Z10728" s="6">
        <v>13.45</v>
      </c>
      <c r="AA10728" s="6">
        <v>5.24</v>
      </c>
      <c r="AB10728" s="2" t="s">
        <v>47</v>
      </c>
      <c r="AC10728" s="2"/>
    </row>
    <row r="10729" spans="1:29" ht="65" x14ac:dyDescent="0.15">
      <c r="A10729" s="3">
        <f>DATE(2014,2,10)</f>
        <v>41680</v>
      </c>
      <c r="B10729" s="3">
        <f>DATE(2014,4,1)</f>
        <v>41730</v>
      </c>
      <c r="C10729" s="2" t="s">
        <v>95</v>
      </c>
      <c r="D10729" s="2" t="s">
        <v>31236</v>
      </c>
      <c r="E10729" s="2" t="s">
        <v>11357</v>
      </c>
      <c r="F10729" s="4">
        <v>3674</v>
      </c>
      <c r="G10729" s="2" t="s">
        <v>137</v>
      </c>
      <c r="H10729" s="2" t="s">
        <v>34</v>
      </c>
      <c r="I10729" s="2" t="s">
        <v>17961</v>
      </c>
      <c r="J10729" s="2" t="s">
        <v>10974</v>
      </c>
      <c r="K10729" s="2" t="s">
        <v>137</v>
      </c>
      <c r="L10729" s="2" t="s">
        <v>34</v>
      </c>
      <c r="M10729" s="10">
        <v>8990.92</v>
      </c>
      <c r="N10729" s="6">
        <v>44.76</v>
      </c>
      <c r="O10729" s="6">
        <v>44.85</v>
      </c>
      <c r="P10729" s="2" t="s">
        <v>31237</v>
      </c>
      <c r="Q10729" s="6">
        <v>100</v>
      </c>
      <c r="R10729" s="6">
        <v>33</v>
      </c>
      <c r="S10729" s="5">
        <v>9.8000000000000007</v>
      </c>
      <c r="T10729" s="7">
        <v>9.7379999999999995</v>
      </c>
      <c r="U10729" s="5">
        <v>15.9</v>
      </c>
      <c r="V10729" s="9">
        <v>0.85240000000000005</v>
      </c>
      <c r="W10729" s="6">
        <v>25.68</v>
      </c>
      <c r="X10729" s="6">
        <v>24.38</v>
      </c>
      <c r="Y10729" s="6">
        <v>32.950000000000003</v>
      </c>
      <c r="Z10729" s="6">
        <v>32.96</v>
      </c>
      <c r="AA10729" s="6">
        <v>11.43</v>
      </c>
      <c r="AB10729" s="7">
        <v>27.236999999999998</v>
      </c>
      <c r="AC10729" s="10">
        <v>1307.4000000000001</v>
      </c>
    </row>
    <row r="10730" spans="1:29" ht="169" x14ac:dyDescent="0.15">
      <c r="A10730" s="3">
        <f>DATE(2014,2,11)</f>
        <v>41681</v>
      </c>
      <c r="B10730" s="3">
        <f>DATE(2014,3,19)</f>
        <v>41717</v>
      </c>
      <c r="C10730" s="2" t="s">
        <v>95</v>
      </c>
      <c r="D10730" s="2" t="s">
        <v>31238</v>
      </c>
      <c r="E10730" s="2" t="s">
        <v>31239</v>
      </c>
      <c r="F10730" s="4">
        <v>2834</v>
      </c>
      <c r="G10730" s="2" t="s">
        <v>130</v>
      </c>
      <c r="H10730" s="2" t="s">
        <v>34</v>
      </c>
      <c r="I10730" s="2" t="s">
        <v>31240</v>
      </c>
      <c r="J10730" s="2" t="s">
        <v>20790</v>
      </c>
      <c r="K10730" s="2" t="s">
        <v>130</v>
      </c>
      <c r="L10730" s="2" t="s">
        <v>303</v>
      </c>
      <c r="M10730" s="8">
        <v>3364.5</v>
      </c>
      <c r="N10730" s="6">
        <v>66.19</v>
      </c>
      <c r="O10730" s="6">
        <v>66.23</v>
      </c>
      <c r="P10730" s="2" t="s">
        <v>31241</v>
      </c>
      <c r="Q10730" s="6">
        <v>100</v>
      </c>
      <c r="R10730" s="6">
        <v>14</v>
      </c>
      <c r="S10730" s="5">
        <v>-24.3</v>
      </c>
      <c r="T10730" s="7">
        <v>-26.428999999999998</v>
      </c>
      <c r="U10730" s="5">
        <v>0.4</v>
      </c>
      <c r="V10730" s="9">
        <v>-0.28260000000000002</v>
      </c>
      <c r="W10730" s="6">
        <v>10.72</v>
      </c>
      <c r="X10730" s="6">
        <v>11.07</v>
      </c>
      <c r="Y10730" s="4">
        <v>14</v>
      </c>
      <c r="Z10730" s="6">
        <v>13.98</v>
      </c>
      <c r="AA10730" s="6">
        <v>87.32</v>
      </c>
      <c r="AB10730" s="2" t="s">
        <v>86</v>
      </c>
      <c r="AC10730" s="5">
        <v>289.7</v>
      </c>
    </row>
    <row r="10731" spans="1:29" ht="169" x14ac:dyDescent="0.15">
      <c r="A10731" s="3">
        <f>DATE(2014,2,12)</f>
        <v>41682</v>
      </c>
      <c r="B10731" s="2"/>
      <c r="C10731" s="2" t="s">
        <v>30</v>
      </c>
      <c r="D10731" s="2" t="s">
        <v>31242</v>
      </c>
      <c r="E10731" s="2" t="s">
        <v>31243</v>
      </c>
      <c r="F10731" s="4">
        <v>1499</v>
      </c>
      <c r="G10731" s="2" t="s">
        <v>166</v>
      </c>
      <c r="H10731" s="2" t="s">
        <v>34</v>
      </c>
      <c r="I10731" s="2" t="s">
        <v>31244</v>
      </c>
      <c r="J10731" s="2" t="s">
        <v>31245</v>
      </c>
      <c r="K10731" s="2" t="s">
        <v>166</v>
      </c>
      <c r="L10731" s="2" t="s">
        <v>133</v>
      </c>
      <c r="M10731" s="12">
        <v>6446.4629999999997</v>
      </c>
      <c r="N10731" s="7">
        <v>87.992999999999995</v>
      </c>
      <c r="O10731" s="7">
        <v>87.480999999999995</v>
      </c>
      <c r="P10731" s="2" t="s">
        <v>31246</v>
      </c>
      <c r="Q10731" s="2"/>
      <c r="R10731" s="6">
        <v>45.25</v>
      </c>
      <c r="S10731" s="5">
        <v>30.2</v>
      </c>
      <c r="T10731" s="5">
        <v>85.5</v>
      </c>
      <c r="U10731" s="5">
        <v>13.9</v>
      </c>
      <c r="V10731" s="9">
        <v>1.0482</v>
      </c>
      <c r="W10731" s="6">
        <v>35.229999999999997</v>
      </c>
      <c r="X10731" s="6">
        <v>36.72</v>
      </c>
      <c r="Y10731" s="6">
        <v>41.24</v>
      </c>
      <c r="Z10731" s="6">
        <v>41.35</v>
      </c>
      <c r="AA10731" s="6">
        <v>32.5</v>
      </c>
      <c r="AB10731" s="7">
        <v>46.686999999999998</v>
      </c>
      <c r="AC10731" s="6">
        <v>593.62</v>
      </c>
    </row>
    <row r="10732" spans="1:29" ht="65" x14ac:dyDescent="0.15">
      <c r="A10732" s="3">
        <f>DATE(2014,2,13)</f>
        <v>41683</v>
      </c>
      <c r="B10732" s="3">
        <f>DATE(2014,5,12)</f>
        <v>41771</v>
      </c>
      <c r="C10732" s="2" t="s">
        <v>95</v>
      </c>
      <c r="D10732" s="2" t="s">
        <v>31247</v>
      </c>
      <c r="E10732" s="2" t="s">
        <v>31248</v>
      </c>
      <c r="F10732" s="4">
        <v>8042</v>
      </c>
      <c r="G10732" s="2" t="s">
        <v>454</v>
      </c>
      <c r="H10732" s="2" t="s">
        <v>34</v>
      </c>
      <c r="I10732" s="2" t="s">
        <v>22523</v>
      </c>
      <c r="J10732" s="2" t="s">
        <v>22524</v>
      </c>
      <c r="K10732" s="2" t="s">
        <v>226</v>
      </c>
      <c r="L10732" s="2" t="s">
        <v>34</v>
      </c>
      <c r="M10732" s="7">
        <v>296.74900000000002</v>
      </c>
      <c r="N10732" s="6">
        <v>13.82</v>
      </c>
      <c r="O10732" s="4">
        <v>14</v>
      </c>
      <c r="P10732" s="2" t="s">
        <v>31249</v>
      </c>
      <c r="Q10732" s="6">
        <v>100</v>
      </c>
      <c r="R10732" s="6">
        <v>5.37</v>
      </c>
      <c r="S10732" s="5">
        <v>-1.4</v>
      </c>
      <c r="T10732" s="7">
        <v>-0.317</v>
      </c>
      <c r="U10732" s="5">
        <v>1</v>
      </c>
      <c r="V10732" s="9">
        <v>-7.1300000000000002E-2</v>
      </c>
      <c r="W10732" s="6">
        <v>4.16</v>
      </c>
      <c r="X10732" s="4">
        <v>4</v>
      </c>
      <c r="Y10732" s="6">
        <v>4.25</v>
      </c>
      <c r="Z10732" s="6">
        <v>5.44</v>
      </c>
      <c r="AA10732" s="6">
        <v>19.25</v>
      </c>
      <c r="AB10732" s="2" t="s">
        <v>86</v>
      </c>
      <c r="AC10732" s="6">
        <v>59.5</v>
      </c>
    </row>
    <row r="10733" spans="1:29" ht="221" x14ac:dyDescent="0.15">
      <c r="A10733" s="3">
        <f>DATE(2014,2,13)</f>
        <v>41683</v>
      </c>
      <c r="B10733" s="2"/>
      <c r="C10733" s="2" t="s">
        <v>30</v>
      </c>
      <c r="D10733" s="2" t="s">
        <v>26683</v>
      </c>
      <c r="E10733" s="2" t="s">
        <v>21698</v>
      </c>
      <c r="F10733" s="4">
        <v>4841</v>
      </c>
      <c r="G10733" s="2" t="s">
        <v>45</v>
      </c>
      <c r="H10733" s="2" t="s">
        <v>34</v>
      </c>
      <c r="I10733" s="2" t="s">
        <v>3891</v>
      </c>
      <c r="J10733" s="2" t="s">
        <v>21698</v>
      </c>
      <c r="K10733" s="2" t="s">
        <v>45</v>
      </c>
      <c r="L10733" s="2" t="s">
        <v>34</v>
      </c>
      <c r="M10733" s="12">
        <v>114978.194</v>
      </c>
      <c r="N10733" s="7">
        <v>52.965000000000003</v>
      </c>
      <c r="O10733" s="5">
        <v>53.7</v>
      </c>
      <c r="P10733" s="2" t="s">
        <v>31250</v>
      </c>
      <c r="Q10733" s="2"/>
      <c r="R10733" s="6">
        <v>158.82</v>
      </c>
      <c r="S10733" s="8">
        <v>1944</v>
      </c>
      <c r="T10733" s="8">
        <v>7980</v>
      </c>
      <c r="U10733" s="5">
        <v>25</v>
      </c>
      <c r="V10733" s="9">
        <v>6.6643999999999997</v>
      </c>
      <c r="W10733" s="6">
        <v>94.93</v>
      </c>
      <c r="X10733" s="6">
        <v>103.93</v>
      </c>
      <c r="Y10733" s="6">
        <v>101.29</v>
      </c>
      <c r="Z10733" s="6">
        <v>101.29</v>
      </c>
      <c r="AA10733" s="6">
        <v>284.89999999999998</v>
      </c>
      <c r="AB10733" s="7">
        <v>14.804</v>
      </c>
      <c r="AC10733" s="8">
        <v>5291</v>
      </c>
    </row>
    <row r="10734" spans="1:29" ht="260" x14ac:dyDescent="0.15">
      <c r="A10734" s="3">
        <f>DATE(2014,2,14)</f>
        <v>41684</v>
      </c>
      <c r="B10734" s="3">
        <f>DATE(2014,5,9)</f>
        <v>41768</v>
      </c>
      <c r="C10734" s="2" t="s">
        <v>95</v>
      </c>
      <c r="D10734" s="2" t="s">
        <v>31242</v>
      </c>
      <c r="E10734" s="2" t="s">
        <v>31243</v>
      </c>
      <c r="F10734" s="4">
        <v>1499</v>
      </c>
      <c r="G10734" s="2" t="s">
        <v>166</v>
      </c>
      <c r="H10734" s="2" t="s">
        <v>34</v>
      </c>
      <c r="I10734" s="2" t="s">
        <v>31251</v>
      </c>
      <c r="J10734" s="2" t="s">
        <v>31252</v>
      </c>
      <c r="K10734" s="2" t="s">
        <v>98</v>
      </c>
      <c r="L10734" s="2" t="s">
        <v>34</v>
      </c>
      <c r="M10734" s="12">
        <v>2015.5940000000001</v>
      </c>
      <c r="N10734" s="5">
        <v>53.4</v>
      </c>
      <c r="O10734" s="6">
        <v>53.51</v>
      </c>
      <c r="P10734" s="2" t="s">
        <v>31253</v>
      </c>
      <c r="Q10734" s="6">
        <v>100</v>
      </c>
      <c r="R10734" s="6">
        <v>45.75</v>
      </c>
      <c r="S10734" s="5">
        <v>30.2</v>
      </c>
      <c r="T10734" s="5">
        <v>85.5</v>
      </c>
      <c r="U10734" s="5">
        <v>13.9</v>
      </c>
      <c r="V10734" s="9">
        <v>1.0482</v>
      </c>
      <c r="W10734" s="6">
        <v>35.229999999999997</v>
      </c>
      <c r="X10734" s="6">
        <v>36.72</v>
      </c>
      <c r="Y10734" s="6">
        <v>41.24</v>
      </c>
      <c r="Z10734" s="6">
        <v>41.35</v>
      </c>
      <c r="AA10734" s="6">
        <v>32.5</v>
      </c>
      <c r="AB10734" s="7">
        <v>47.140999999999998</v>
      </c>
      <c r="AC10734" s="6">
        <v>506.04</v>
      </c>
    </row>
    <row r="10735" spans="1:29" ht="65" x14ac:dyDescent="0.15">
      <c r="A10735" s="3">
        <f>DATE(2014,2,16)</f>
        <v>41686</v>
      </c>
      <c r="B10735" s="2"/>
      <c r="C10735" s="2" t="s">
        <v>87</v>
      </c>
      <c r="D10735" s="2" t="s">
        <v>31254</v>
      </c>
      <c r="E10735" s="2" t="s">
        <v>31255</v>
      </c>
      <c r="F10735" s="4">
        <v>3711</v>
      </c>
      <c r="G10735" s="2" t="s">
        <v>105</v>
      </c>
      <c r="H10735" s="2" t="s">
        <v>34</v>
      </c>
      <c r="I10735" s="2" t="s">
        <v>30105</v>
      </c>
      <c r="J10735" s="2" t="s">
        <v>1712</v>
      </c>
      <c r="K10735" s="2" t="s">
        <v>50</v>
      </c>
      <c r="L10735" s="2" t="s">
        <v>34</v>
      </c>
      <c r="M10735" s="12">
        <v>482271.69300000003</v>
      </c>
      <c r="N10735" s="6">
        <v>545.99</v>
      </c>
      <c r="O10735" s="6">
        <v>545.99</v>
      </c>
      <c r="P10735" s="2" t="s">
        <v>31256</v>
      </c>
      <c r="Q10735" s="2"/>
      <c r="R10735" s="2"/>
      <c r="S10735" s="5">
        <v>-74</v>
      </c>
      <c r="T10735" s="5">
        <v>44.8</v>
      </c>
      <c r="U10735" s="5">
        <v>5.4</v>
      </c>
      <c r="V10735" s="9">
        <v>-0.61980000000000002</v>
      </c>
      <c r="W10735" s="6">
        <v>186.53</v>
      </c>
      <c r="X10735" s="6">
        <v>198.23</v>
      </c>
      <c r="Y10735" s="5">
        <v>203.7</v>
      </c>
      <c r="Z10735" s="5">
        <v>203.7</v>
      </c>
      <c r="AA10735" s="6">
        <v>122.59</v>
      </c>
      <c r="AB10735" s="2" t="s">
        <v>86</v>
      </c>
      <c r="AC10735" s="8">
        <v>41291</v>
      </c>
    </row>
    <row r="10736" spans="1:29" ht="143" x14ac:dyDescent="0.15">
      <c r="A10736" s="3">
        <f>DATE(2014,2,17)</f>
        <v>41687</v>
      </c>
      <c r="B10736" s="3">
        <f>DATE(2014,9,30)</f>
        <v>41912</v>
      </c>
      <c r="C10736" s="2" t="s">
        <v>95</v>
      </c>
      <c r="D10736" s="2" t="s">
        <v>31257</v>
      </c>
      <c r="E10736" s="2" t="s">
        <v>31258</v>
      </c>
      <c r="F10736" s="4">
        <v>5047</v>
      </c>
      <c r="G10736" s="2" t="s">
        <v>76</v>
      </c>
      <c r="H10736" s="2" t="s">
        <v>34</v>
      </c>
      <c r="I10736" s="2" t="s">
        <v>51</v>
      </c>
      <c r="J10736" s="2" t="s">
        <v>52</v>
      </c>
      <c r="K10736" s="2" t="s">
        <v>53</v>
      </c>
      <c r="L10736" s="2" t="s">
        <v>34</v>
      </c>
      <c r="M10736" s="2"/>
      <c r="N10736" s="2"/>
      <c r="O10736" s="2"/>
      <c r="P10736" s="2" t="s">
        <v>31259</v>
      </c>
      <c r="Q10736" s="6">
        <v>100</v>
      </c>
      <c r="R10736" s="6">
        <v>24</v>
      </c>
      <c r="S10736" s="5">
        <v>-9.6</v>
      </c>
      <c r="T10736" s="7">
        <v>13.342000000000001</v>
      </c>
      <c r="U10736" s="5">
        <v>8.9</v>
      </c>
      <c r="V10736" s="9">
        <v>-0.55810000000000004</v>
      </c>
      <c r="W10736" s="6">
        <v>15.98</v>
      </c>
      <c r="X10736" s="6">
        <v>17.149999999999999</v>
      </c>
      <c r="Y10736" s="5">
        <v>19.399999999999999</v>
      </c>
      <c r="Z10736" s="5">
        <v>19.399999999999999</v>
      </c>
      <c r="AA10736" s="6">
        <v>18.04</v>
      </c>
      <c r="AB10736" s="7">
        <v>233.41200000000001</v>
      </c>
      <c r="AC10736" s="2"/>
    </row>
    <row r="10737" spans="1:29" ht="182" x14ac:dyDescent="0.15">
      <c r="A10737" s="3">
        <f>DATE(2014,2,18)</f>
        <v>41688</v>
      </c>
      <c r="B10737" s="3">
        <f>DATE(2014,7,1)</f>
        <v>41821</v>
      </c>
      <c r="C10737" s="2" t="s">
        <v>95</v>
      </c>
      <c r="D10737" s="2" t="s">
        <v>31260</v>
      </c>
      <c r="E10737" s="2" t="s">
        <v>7462</v>
      </c>
      <c r="F10737" s="4">
        <v>2834</v>
      </c>
      <c r="G10737" s="2" t="s">
        <v>130</v>
      </c>
      <c r="H10737" s="2" t="s">
        <v>34</v>
      </c>
      <c r="I10737" s="2" t="s">
        <v>31261</v>
      </c>
      <c r="J10737" s="2" t="s">
        <v>13055</v>
      </c>
      <c r="K10737" s="2" t="s">
        <v>130</v>
      </c>
      <c r="L10737" s="2" t="s">
        <v>34</v>
      </c>
      <c r="M10737" s="12">
        <v>32345.072</v>
      </c>
      <c r="N10737" s="6">
        <v>201.47</v>
      </c>
      <c r="O10737" s="6">
        <v>210.56</v>
      </c>
      <c r="P10737" s="2" t="s">
        <v>31262</v>
      </c>
      <c r="Q10737" s="6">
        <v>100</v>
      </c>
      <c r="R10737" s="6">
        <v>90.63</v>
      </c>
      <c r="S10737" s="5">
        <v>156.69999999999999</v>
      </c>
      <c r="T10737" s="7">
        <v>155.221</v>
      </c>
      <c r="U10737" s="5">
        <v>22</v>
      </c>
      <c r="V10737" s="6">
        <v>0.57999999999999996</v>
      </c>
      <c r="W10737" s="5">
        <v>69.5</v>
      </c>
      <c r="X10737" s="6">
        <v>71.39</v>
      </c>
      <c r="Y10737" s="6">
        <v>91.04</v>
      </c>
      <c r="Z10737" s="6">
        <v>93.98</v>
      </c>
      <c r="AA10737" s="6">
        <v>271</v>
      </c>
      <c r="AB10737" s="2" t="s">
        <v>86</v>
      </c>
      <c r="AC10737" s="5">
        <v>331.5</v>
      </c>
    </row>
    <row r="10738" spans="1:29" ht="130" x14ac:dyDescent="0.15">
      <c r="A10738" s="3">
        <f>DATE(2014,2,18)</f>
        <v>41688</v>
      </c>
      <c r="B10738" s="2"/>
      <c r="C10738" s="2" t="s">
        <v>30</v>
      </c>
      <c r="D10738" s="2" t="s">
        <v>29108</v>
      </c>
      <c r="E10738" s="2" t="s">
        <v>29109</v>
      </c>
      <c r="F10738" s="4">
        <v>6211</v>
      </c>
      <c r="G10738" s="2" t="s">
        <v>53</v>
      </c>
      <c r="H10738" s="2" t="s">
        <v>34</v>
      </c>
      <c r="I10738" s="2" t="s">
        <v>31263</v>
      </c>
      <c r="J10738" s="2" t="s">
        <v>1085</v>
      </c>
      <c r="K10738" s="2" t="s">
        <v>53</v>
      </c>
      <c r="L10738" s="2" t="s">
        <v>34</v>
      </c>
      <c r="M10738" s="2"/>
      <c r="N10738" s="2"/>
      <c r="O10738" s="2"/>
      <c r="P10738" s="2" t="s">
        <v>31264</v>
      </c>
      <c r="Q10738" s="2"/>
      <c r="R10738" s="6">
        <v>8</v>
      </c>
      <c r="S10738" s="5">
        <v>-36.200000000000003</v>
      </c>
      <c r="T10738" s="7">
        <v>-9.673</v>
      </c>
      <c r="U10738" s="5">
        <v>9.6</v>
      </c>
      <c r="V10738" s="9">
        <v>-1.0898000000000001</v>
      </c>
      <c r="W10738" s="6">
        <v>6.21</v>
      </c>
      <c r="X10738" s="6">
        <v>6.06</v>
      </c>
      <c r="Y10738" s="6">
        <v>7.29</v>
      </c>
      <c r="Z10738" s="6">
        <v>7.52</v>
      </c>
      <c r="AA10738" s="6">
        <v>33.07</v>
      </c>
      <c r="AB10738" s="2" t="s">
        <v>86</v>
      </c>
      <c r="AC10738" s="2"/>
    </row>
    <row r="10739" spans="1:29" ht="221" x14ac:dyDescent="0.15">
      <c r="A10739" s="3">
        <f>DATE(2014,2,19)</f>
        <v>41689</v>
      </c>
      <c r="B10739" s="3">
        <f>DATE(2014,4,14)</f>
        <v>41743</v>
      </c>
      <c r="C10739" s="2" t="s">
        <v>95</v>
      </c>
      <c r="D10739" s="2" t="s">
        <v>31265</v>
      </c>
      <c r="E10739" s="2" t="s">
        <v>31266</v>
      </c>
      <c r="F10739" s="4">
        <v>7389</v>
      </c>
      <c r="G10739" s="2" t="s">
        <v>223</v>
      </c>
      <c r="H10739" s="2" t="s">
        <v>34</v>
      </c>
      <c r="I10739" s="2" t="s">
        <v>278</v>
      </c>
      <c r="J10739" s="2" t="s">
        <v>52</v>
      </c>
      <c r="K10739" s="2" t="s">
        <v>53</v>
      </c>
      <c r="L10739" s="2" t="s">
        <v>34</v>
      </c>
      <c r="M10739" s="2"/>
      <c r="N10739" s="2"/>
      <c r="O10739" s="2"/>
      <c r="P10739" s="2" t="s">
        <v>31267</v>
      </c>
      <c r="Q10739" s="6">
        <v>72.8</v>
      </c>
      <c r="R10739" s="6">
        <v>24.18</v>
      </c>
      <c r="S10739" s="5">
        <v>53.4</v>
      </c>
      <c r="T10739" s="7">
        <v>102.506</v>
      </c>
      <c r="U10739" s="5">
        <v>4.2</v>
      </c>
      <c r="V10739" s="9">
        <v>1.0193000000000001</v>
      </c>
      <c r="W10739" s="6">
        <v>26.71</v>
      </c>
      <c r="X10739" s="6">
        <v>26.26</v>
      </c>
      <c r="Y10739" s="6">
        <v>28.08</v>
      </c>
      <c r="Z10739" s="6">
        <v>22.41</v>
      </c>
      <c r="AA10739" s="6">
        <v>51.98</v>
      </c>
      <c r="AB10739" s="7">
        <v>9.6940000000000008</v>
      </c>
      <c r="AC10739" s="2"/>
    </row>
    <row r="10740" spans="1:29" ht="65" x14ac:dyDescent="0.15">
      <c r="A10740" s="3">
        <f>DATE(2014,2,19)</f>
        <v>41689</v>
      </c>
      <c r="B10740" s="3">
        <f>DATE(2014,5,29)</f>
        <v>41788</v>
      </c>
      <c r="C10740" s="2" t="s">
        <v>95</v>
      </c>
      <c r="D10740" s="2" t="s">
        <v>17413</v>
      </c>
      <c r="E10740" s="2" t="s">
        <v>17414</v>
      </c>
      <c r="F10740" s="4">
        <v>5944</v>
      </c>
      <c r="G10740" s="2" t="s">
        <v>73</v>
      </c>
      <c r="H10740" s="2" t="s">
        <v>34</v>
      </c>
      <c r="I10740" s="2" t="s">
        <v>31268</v>
      </c>
      <c r="J10740" s="2" t="s">
        <v>17414</v>
      </c>
      <c r="K10740" s="2" t="s">
        <v>73</v>
      </c>
      <c r="L10740" s="2" t="s">
        <v>1791</v>
      </c>
      <c r="M10740" s="12">
        <v>6072.3090000000002</v>
      </c>
      <c r="N10740" s="6">
        <v>93.65</v>
      </c>
      <c r="O10740" s="6">
        <v>94.22</v>
      </c>
      <c r="P10740" s="2" t="s">
        <v>31269</v>
      </c>
      <c r="Q10740" s="6">
        <v>100</v>
      </c>
      <c r="R10740" s="6">
        <v>21</v>
      </c>
      <c r="S10740" s="5">
        <v>20.5</v>
      </c>
      <c r="T10740" s="7">
        <v>76.340999999999994</v>
      </c>
      <c r="U10740" s="5">
        <v>5.8</v>
      </c>
      <c r="V10740" s="9">
        <v>0.44829999999999998</v>
      </c>
      <c r="W10740" s="5">
        <v>14.6</v>
      </c>
      <c r="X10740" s="6">
        <v>14.91</v>
      </c>
      <c r="Y10740" s="6">
        <v>20.92</v>
      </c>
      <c r="Z10740" s="6">
        <v>20.99</v>
      </c>
      <c r="AA10740" s="6">
        <v>32.85</v>
      </c>
      <c r="AB10740" s="7">
        <v>25.638999999999999</v>
      </c>
      <c r="AC10740" s="5">
        <v>247.6</v>
      </c>
    </row>
    <row r="10741" spans="1:29" ht="143" x14ac:dyDescent="0.15">
      <c r="A10741" s="3">
        <f>DATE(2014,2,20)</f>
        <v>41690</v>
      </c>
      <c r="B10741" s="3">
        <f>DATE(2014,7,31)</f>
        <v>41851</v>
      </c>
      <c r="C10741" s="2" t="s">
        <v>95</v>
      </c>
      <c r="D10741" s="2" t="s">
        <v>7640</v>
      </c>
      <c r="E10741" s="2" t="s">
        <v>7641</v>
      </c>
      <c r="F10741" s="4">
        <v>8059</v>
      </c>
      <c r="G10741" s="2" t="s">
        <v>454</v>
      </c>
      <c r="H10741" s="2" t="s">
        <v>34</v>
      </c>
      <c r="I10741" s="2" t="s">
        <v>24090</v>
      </c>
      <c r="J10741" s="2" t="s">
        <v>24091</v>
      </c>
      <c r="K10741" s="2" t="s">
        <v>454</v>
      </c>
      <c r="L10741" s="2" t="s">
        <v>34</v>
      </c>
      <c r="M10741" s="12">
        <v>3612.0309999999999</v>
      </c>
      <c r="N10741" s="6">
        <v>30.09</v>
      </c>
      <c r="O10741" s="6">
        <v>30.55</v>
      </c>
      <c r="P10741" s="2" t="s">
        <v>31270</v>
      </c>
      <c r="Q10741" s="6">
        <v>100</v>
      </c>
      <c r="R10741" s="6">
        <v>28.42</v>
      </c>
      <c r="S10741" s="5">
        <v>-131</v>
      </c>
      <c r="T10741" s="7">
        <v>330.30099999999999</v>
      </c>
      <c r="U10741" s="5">
        <v>3.3</v>
      </c>
      <c r="V10741" s="9">
        <v>-2.7288000000000001</v>
      </c>
      <c r="W10741" s="6">
        <v>21.75</v>
      </c>
      <c r="X10741" s="5">
        <v>21.5</v>
      </c>
      <c r="Y10741" s="6">
        <v>21.46</v>
      </c>
      <c r="Z10741" s="6">
        <v>29.01</v>
      </c>
      <c r="AA10741" s="6">
        <v>48.57</v>
      </c>
      <c r="AB10741" s="7">
        <v>34.805</v>
      </c>
      <c r="AC10741" s="6">
        <v>96.7</v>
      </c>
    </row>
    <row r="10742" spans="1:29" ht="65" x14ac:dyDescent="0.15">
      <c r="A10742" s="3">
        <f>DATE(2014,2,20)</f>
        <v>41690</v>
      </c>
      <c r="B10742" s="2"/>
      <c r="C10742" s="2" t="s">
        <v>87</v>
      </c>
      <c r="D10742" s="2" t="s">
        <v>21680</v>
      </c>
      <c r="E10742" s="2" t="s">
        <v>21681</v>
      </c>
      <c r="F10742" s="4">
        <v>3577</v>
      </c>
      <c r="G10742" s="2" t="s">
        <v>50</v>
      </c>
      <c r="H10742" s="2" t="s">
        <v>34</v>
      </c>
      <c r="I10742" s="2" t="s">
        <v>18140</v>
      </c>
      <c r="J10742" s="2" t="s">
        <v>18141</v>
      </c>
      <c r="K10742" s="2" t="s">
        <v>921</v>
      </c>
      <c r="L10742" s="2" t="s">
        <v>11620</v>
      </c>
      <c r="M10742" s="2"/>
      <c r="N10742" s="7">
        <v>7.2720000000000002</v>
      </c>
      <c r="O10742" s="7">
        <v>7.4340000000000002</v>
      </c>
      <c r="P10742" s="2" t="s">
        <v>31271</v>
      </c>
      <c r="Q10742" s="2"/>
      <c r="R10742" s="2"/>
      <c r="S10742" s="5">
        <v>439.8</v>
      </c>
      <c r="T10742" s="5">
        <v>795.8</v>
      </c>
      <c r="U10742" s="5">
        <v>14.7</v>
      </c>
      <c r="V10742" s="9">
        <v>0.8619</v>
      </c>
      <c r="W10742" s="6">
        <v>27.47</v>
      </c>
      <c r="X10742" s="5">
        <v>27.2</v>
      </c>
      <c r="Y10742" s="6">
        <v>27.41</v>
      </c>
      <c r="Z10742" s="6">
        <v>27.95</v>
      </c>
      <c r="AA10742" s="2"/>
      <c r="AB10742" s="2" t="s">
        <v>47</v>
      </c>
      <c r="AC10742" s="10">
        <v>12724.77</v>
      </c>
    </row>
    <row r="10743" spans="1:29" ht="52" x14ac:dyDescent="0.15">
      <c r="A10743" s="3">
        <f>DATE(2014,2,21)</f>
        <v>41691</v>
      </c>
      <c r="B10743" s="2"/>
      <c r="C10743" s="2" t="s">
        <v>7330</v>
      </c>
      <c r="D10743" s="2" t="s">
        <v>21107</v>
      </c>
      <c r="E10743" s="2" t="s">
        <v>21108</v>
      </c>
      <c r="F10743" s="4">
        <v>5942</v>
      </c>
      <c r="G10743" s="2" t="s">
        <v>73</v>
      </c>
      <c r="H10743" s="2" t="s">
        <v>34</v>
      </c>
      <c r="I10743" s="2" t="s">
        <v>31272</v>
      </c>
      <c r="J10743" s="2" t="s">
        <v>31273</v>
      </c>
      <c r="K10743" s="2" t="s">
        <v>53</v>
      </c>
      <c r="L10743" s="2" t="s">
        <v>34</v>
      </c>
      <c r="M10743" s="2"/>
      <c r="N10743" s="2"/>
      <c r="O10743" s="2"/>
      <c r="P10743" s="2" t="s">
        <v>31274</v>
      </c>
      <c r="Q10743" s="2"/>
      <c r="R10743" s="6">
        <v>22</v>
      </c>
      <c r="S10743" s="5">
        <v>-120.8</v>
      </c>
      <c r="T10743" s="7">
        <v>137.74700000000001</v>
      </c>
      <c r="U10743" s="5">
        <v>11.7</v>
      </c>
      <c r="V10743" s="9">
        <v>-2.3672</v>
      </c>
      <c r="W10743" s="6">
        <v>16.440000000000001</v>
      </c>
      <c r="X10743" s="6">
        <v>16.78</v>
      </c>
      <c r="Y10743" s="6">
        <v>17.690000000000001</v>
      </c>
      <c r="Z10743" s="6">
        <v>17.55</v>
      </c>
      <c r="AA10743" s="6">
        <v>59.87</v>
      </c>
      <c r="AB10743" s="2" t="s">
        <v>86</v>
      </c>
      <c r="AC10743" s="2"/>
    </row>
    <row r="10744" spans="1:29" ht="182" x14ac:dyDescent="0.15">
      <c r="A10744" s="3">
        <f>DATE(2014,2,24)</f>
        <v>41694</v>
      </c>
      <c r="B10744" s="3">
        <f>DATE(2015,1,2)</f>
        <v>42006</v>
      </c>
      <c r="C10744" s="2" t="s">
        <v>95</v>
      </c>
      <c r="D10744" s="2" t="s">
        <v>18834</v>
      </c>
      <c r="E10744" s="2" t="s">
        <v>12125</v>
      </c>
      <c r="F10744" s="4">
        <v>3674</v>
      </c>
      <c r="G10744" s="2" t="s">
        <v>137</v>
      </c>
      <c r="H10744" s="2" t="s">
        <v>34</v>
      </c>
      <c r="I10744" s="2" t="s">
        <v>25975</v>
      </c>
      <c r="J10744" s="2" t="s">
        <v>25976</v>
      </c>
      <c r="K10744" s="2" t="s">
        <v>137</v>
      </c>
      <c r="L10744" s="2" t="s">
        <v>34</v>
      </c>
      <c r="M10744" s="12">
        <v>1384.491</v>
      </c>
      <c r="N10744" s="6">
        <v>7.03</v>
      </c>
      <c r="O10744" s="6">
        <v>6.66</v>
      </c>
      <c r="P10744" s="2" t="s">
        <v>31275</v>
      </c>
      <c r="Q10744" s="6">
        <v>100</v>
      </c>
      <c r="R10744" s="6">
        <v>9.73</v>
      </c>
      <c r="S10744" s="5">
        <v>-38</v>
      </c>
      <c r="T10744" s="6">
        <v>65.819999999999993</v>
      </c>
      <c r="U10744" s="5">
        <v>5.5</v>
      </c>
      <c r="V10744" s="9">
        <v>-0.23849999999999999</v>
      </c>
      <c r="W10744" s="6">
        <v>9.19</v>
      </c>
      <c r="X10744" s="6">
        <v>9.23</v>
      </c>
      <c r="Y10744" s="6">
        <v>11.64</v>
      </c>
      <c r="Z10744" s="5">
        <v>11.5</v>
      </c>
      <c r="AA10744" s="6">
        <v>163.76</v>
      </c>
      <c r="AB10744" s="2" t="s">
        <v>86</v>
      </c>
      <c r="AC10744" s="6">
        <v>205.54</v>
      </c>
    </row>
    <row r="10745" spans="1:29" ht="143" x14ac:dyDescent="0.15">
      <c r="A10745" s="3">
        <f>DATE(2014,2,25)</f>
        <v>41695</v>
      </c>
      <c r="B10745" s="3">
        <f>DATE(2014,6,10)</f>
        <v>41800</v>
      </c>
      <c r="C10745" s="2" t="s">
        <v>95</v>
      </c>
      <c r="D10745" s="2" t="s">
        <v>30177</v>
      </c>
      <c r="E10745" s="2" t="s">
        <v>92</v>
      </c>
      <c r="F10745" s="4">
        <v>6798</v>
      </c>
      <c r="G10745" s="2" t="s">
        <v>53</v>
      </c>
      <c r="H10745" s="2" t="s">
        <v>34</v>
      </c>
      <c r="I10745" s="2" t="s">
        <v>31276</v>
      </c>
      <c r="J10745" s="2" t="s">
        <v>31277</v>
      </c>
      <c r="K10745" s="2" t="s">
        <v>53</v>
      </c>
      <c r="L10745" s="2" t="s">
        <v>34</v>
      </c>
      <c r="M10745" s="2"/>
      <c r="N10745" s="2"/>
      <c r="O10745" s="2"/>
      <c r="P10745" s="2" t="s">
        <v>31278</v>
      </c>
      <c r="Q10745" s="6">
        <v>38.28</v>
      </c>
      <c r="R10745" s="6">
        <v>8.68</v>
      </c>
      <c r="S10745" s="5">
        <v>-8.5</v>
      </c>
      <c r="T10745" s="7">
        <v>22.952000000000002</v>
      </c>
      <c r="U10745" s="5">
        <v>0.7</v>
      </c>
      <c r="V10745" s="9">
        <v>-0.71060000000000001</v>
      </c>
      <c r="W10745" s="6">
        <v>8.39</v>
      </c>
      <c r="X10745" s="6">
        <v>8.2799999999999994</v>
      </c>
      <c r="Y10745" s="6">
        <v>8.2799999999999994</v>
      </c>
      <c r="Z10745" s="6">
        <v>8.42</v>
      </c>
      <c r="AA10745" s="6">
        <v>11.1</v>
      </c>
      <c r="AB10745" s="7">
        <v>54.563000000000002</v>
      </c>
      <c r="AC10745" s="2"/>
    </row>
    <row r="10746" spans="1:29" ht="143" x14ac:dyDescent="0.15">
      <c r="A10746" s="3">
        <f>DATE(2014,2,26)</f>
        <v>41696</v>
      </c>
      <c r="B10746" s="3">
        <f>DATE(2014,10,9)</f>
        <v>41921</v>
      </c>
      <c r="C10746" s="2" t="s">
        <v>95</v>
      </c>
      <c r="D10746" s="2" t="s">
        <v>31279</v>
      </c>
      <c r="E10746" s="2" t="s">
        <v>844</v>
      </c>
      <c r="F10746" s="4">
        <v>6552</v>
      </c>
      <c r="G10746" s="2" t="s">
        <v>109</v>
      </c>
      <c r="H10746" s="2" t="s">
        <v>34</v>
      </c>
      <c r="I10746" s="2" t="s">
        <v>51</v>
      </c>
      <c r="J10746" s="2" t="s">
        <v>52</v>
      </c>
      <c r="K10746" s="2" t="s">
        <v>53</v>
      </c>
      <c r="L10746" s="2" t="s">
        <v>34</v>
      </c>
      <c r="M10746" s="2"/>
      <c r="N10746" s="2"/>
      <c r="O10746" s="2"/>
      <c r="P10746" s="2" t="s">
        <v>31280</v>
      </c>
      <c r="Q10746" s="6">
        <v>100</v>
      </c>
      <c r="R10746" s="6">
        <v>12.96</v>
      </c>
      <c r="S10746" s="5">
        <v>6.4</v>
      </c>
      <c r="T10746" s="7">
        <v>-12.385</v>
      </c>
      <c r="U10746" s="5">
        <v>2.7</v>
      </c>
      <c r="V10746" s="9">
        <v>-0.44190000000000002</v>
      </c>
      <c r="W10746" s="6">
        <v>6.95</v>
      </c>
      <c r="X10746" s="5">
        <v>7.1</v>
      </c>
      <c r="Y10746" s="5">
        <v>7.8</v>
      </c>
      <c r="Z10746" s="5">
        <v>7.8</v>
      </c>
      <c r="AA10746" s="6">
        <v>17.61</v>
      </c>
      <c r="AB10746" s="2" t="s">
        <v>86</v>
      </c>
      <c r="AC10746" s="2"/>
    </row>
    <row r="10747" spans="1:29" ht="52" x14ac:dyDescent="0.15">
      <c r="A10747" s="3">
        <f>DATE(2014,3,4)</f>
        <v>41702</v>
      </c>
      <c r="B10747" s="3">
        <f>DATE(2014,8,4)</f>
        <v>41855</v>
      </c>
      <c r="C10747" s="2" t="s">
        <v>95</v>
      </c>
      <c r="D10747" s="2" t="s">
        <v>31281</v>
      </c>
      <c r="E10747" s="2" t="s">
        <v>29798</v>
      </c>
      <c r="F10747" s="4">
        <v>6021</v>
      </c>
      <c r="G10747" s="2" t="s">
        <v>37</v>
      </c>
      <c r="H10747" s="2" t="s">
        <v>34</v>
      </c>
      <c r="I10747" s="2" t="s">
        <v>31211</v>
      </c>
      <c r="J10747" s="2" t="s">
        <v>36</v>
      </c>
      <c r="K10747" s="2" t="s">
        <v>33</v>
      </c>
      <c r="L10747" s="2" t="s">
        <v>34</v>
      </c>
      <c r="M10747" s="7">
        <v>310.20800000000003</v>
      </c>
      <c r="N10747" s="5">
        <v>15.8</v>
      </c>
      <c r="O10747" s="6">
        <v>15.74</v>
      </c>
      <c r="P10747" s="2" t="s">
        <v>31282</v>
      </c>
      <c r="Q10747" s="6">
        <v>100</v>
      </c>
      <c r="R10747" s="6">
        <v>6.25</v>
      </c>
      <c r="S10747" s="2"/>
      <c r="T10747" s="2"/>
      <c r="U10747" s="2"/>
      <c r="V10747" s="2"/>
      <c r="W10747" s="6">
        <v>4.1500000000000004</v>
      </c>
      <c r="X10747" s="5">
        <v>4.2</v>
      </c>
      <c r="Y10747" s="6">
        <v>6.09</v>
      </c>
      <c r="Z10747" s="5">
        <v>6.1</v>
      </c>
      <c r="AA10747" s="6">
        <v>1.62</v>
      </c>
      <c r="AB10747" s="2" t="s">
        <v>47</v>
      </c>
      <c r="AC10747" s="2"/>
    </row>
    <row r="10748" spans="1:29" ht="52" x14ac:dyDescent="0.15">
      <c r="A10748" s="3">
        <f>DATE(2014,3,4)</f>
        <v>41702</v>
      </c>
      <c r="B10748" s="3">
        <f>DATE(2014,10,25)</f>
        <v>41937</v>
      </c>
      <c r="C10748" s="2" t="s">
        <v>95</v>
      </c>
      <c r="D10748" s="2" t="s">
        <v>31283</v>
      </c>
      <c r="E10748" s="2" t="s">
        <v>29798</v>
      </c>
      <c r="F10748" s="4">
        <v>6021</v>
      </c>
      <c r="G10748" s="2" t="s">
        <v>37</v>
      </c>
      <c r="H10748" s="2" t="s">
        <v>34</v>
      </c>
      <c r="I10748" s="2" t="s">
        <v>10805</v>
      </c>
      <c r="J10748" s="2" t="s">
        <v>1304</v>
      </c>
      <c r="K10748" s="2" t="s">
        <v>37</v>
      </c>
      <c r="L10748" s="2" t="s">
        <v>34</v>
      </c>
      <c r="M10748" s="2"/>
      <c r="N10748" s="2"/>
      <c r="O10748" s="2"/>
      <c r="P10748" s="2" t="s">
        <v>31284</v>
      </c>
      <c r="Q10748" s="6">
        <v>100</v>
      </c>
      <c r="R10748" s="6">
        <v>41</v>
      </c>
      <c r="S10748" s="5">
        <v>7.7</v>
      </c>
      <c r="T10748" s="7">
        <v>14.968999999999999</v>
      </c>
      <c r="U10748" s="5">
        <v>19</v>
      </c>
      <c r="V10748" s="9">
        <v>2.2936999999999999</v>
      </c>
      <c r="W10748" s="4">
        <v>27</v>
      </c>
      <c r="X10748" s="5">
        <v>27.5</v>
      </c>
      <c r="Y10748" s="6">
        <v>40.130000000000003</v>
      </c>
      <c r="Z10748" s="6">
        <v>40.15</v>
      </c>
      <c r="AA10748" s="6">
        <v>2.82</v>
      </c>
      <c r="AB10748" s="7">
        <v>16.780999999999999</v>
      </c>
      <c r="AC10748" s="2"/>
    </row>
    <row r="10749" spans="1:29" ht="273" x14ac:dyDescent="0.15">
      <c r="A10749" s="3">
        <f>DATE(2014,3,6)</f>
        <v>41704</v>
      </c>
      <c r="B10749" s="3">
        <f>DATE(2015,1,30)</f>
        <v>42034</v>
      </c>
      <c r="C10749" s="2" t="s">
        <v>95</v>
      </c>
      <c r="D10749" s="2" t="s">
        <v>8785</v>
      </c>
      <c r="E10749" s="2" t="s">
        <v>4522</v>
      </c>
      <c r="F10749" s="4">
        <v>5411</v>
      </c>
      <c r="G10749" s="2" t="s">
        <v>1461</v>
      </c>
      <c r="H10749" s="2" t="s">
        <v>34</v>
      </c>
      <c r="I10749" s="2" t="s">
        <v>23699</v>
      </c>
      <c r="J10749" s="2" t="s">
        <v>11337</v>
      </c>
      <c r="K10749" s="2" t="s">
        <v>53</v>
      </c>
      <c r="L10749" s="2" t="s">
        <v>34</v>
      </c>
      <c r="M10749" s="2"/>
      <c r="N10749" s="2"/>
      <c r="O10749" s="2"/>
      <c r="P10749" s="2" t="s">
        <v>31285</v>
      </c>
      <c r="Q10749" s="6">
        <v>100</v>
      </c>
      <c r="R10749" s="6">
        <v>32.5</v>
      </c>
      <c r="S10749" s="8">
        <v>3473.3</v>
      </c>
      <c r="T10749" s="8">
        <v>1563.7</v>
      </c>
      <c r="U10749" s="5">
        <v>25.3</v>
      </c>
      <c r="V10749" s="9">
        <v>0.81740000000000002</v>
      </c>
      <c r="W10749" s="6">
        <v>32.72</v>
      </c>
      <c r="X10749" s="5">
        <v>34.1</v>
      </c>
      <c r="Y10749" s="6">
        <v>34.61</v>
      </c>
      <c r="Z10749" s="6">
        <v>35.32</v>
      </c>
      <c r="AA10749" s="6">
        <v>230.3</v>
      </c>
      <c r="AB10749" s="7">
        <v>13.401999999999999</v>
      </c>
      <c r="AC10749" s="2"/>
    </row>
    <row r="10750" spans="1:29" ht="299" x14ac:dyDescent="0.15">
      <c r="A10750" s="3">
        <f>DATE(2014,3,10)</f>
        <v>41708</v>
      </c>
      <c r="B10750" s="3">
        <f>DATE(2015,6,26)</f>
        <v>42181</v>
      </c>
      <c r="C10750" s="2" t="s">
        <v>95</v>
      </c>
      <c r="D10750" s="2" t="s">
        <v>31286</v>
      </c>
      <c r="E10750" s="2" t="s">
        <v>16453</v>
      </c>
      <c r="F10750" s="4">
        <v>4812</v>
      </c>
      <c r="G10750" s="2" t="s">
        <v>63</v>
      </c>
      <c r="H10750" s="2" t="s">
        <v>34</v>
      </c>
      <c r="I10750" s="2" t="s">
        <v>1526</v>
      </c>
      <c r="J10750" s="2" t="s">
        <v>302</v>
      </c>
      <c r="K10750" s="2" t="s">
        <v>53</v>
      </c>
      <c r="L10750" s="2" t="s">
        <v>34</v>
      </c>
      <c r="M10750" s="2"/>
      <c r="N10750" s="2"/>
      <c r="O10750" s="2"/>
      <c r="P10750" s="2" t="s">
        <v>31287</v>
      </c>
      <c r="Q10750" s="6">
        <v>36.72</v>
      </c>
      <c r="R10750" s="2"/>
      <c r="S10750" s="8">
        <v>-1818.2</v>
      </c>
      <c r="T10750" s="7">
        <v>44.615000000000002</v>
      </c>
      <c r="U10750" s="5">
        <v>-0.1</v>
      </c>
      <c r="V10750" s="9">
        <v>-10.346299999999999</v>
      </c>
      <c r="W10750" s="6">
        <v>1.1499999999999999</v>
      </c>
      <c r="X10750" s="7">
        <v>1.085</v>
      </c>
      <c r="Y10750" s="6">
        <v>1.1100000000000001</v>
      </c>
      <c r="Z10750" s="6">
        <v>1.1299999999999999</v>
      </c>
      <c r="AA10750" s="6">
        <v>172.36</v>
      </c>
      <c r="AB10750" s="2" t="s">
        <v>86</v>
      </c>
      <c r="AC10750" s="2"/>
    </row>
    <row r="10751" spans="1:29" ht="52" x14ac:dyDescent="0.15">
      <c r="A10751" s="3">
        <f>DATE(2014,3,11)</f>
        <v>41709</v>
      </c>
      <c r="B10751" s="3">
        <f>DATE(2014,10,31)</f>
        <v>41943</v>
      </c>
      <c r="C10751" s="2" t="s">
        <v>95</v>
      </c>
      <c r="D10751" s="2" t="s">
        <v>31288</v>
      </c>
      <c r="E10751" s="2" t="s">
        <v>36</v>
      </c>
      <c r="F10751" s="4">
        <v>6021</v>
      </c>
      <c r="G10751" s="2" t="s">
        <v>37</v>
      </c>
      <c r="H10751" s="2" t="s">
        <v>34</v>
      </c>
      <c r="I10751" s="2" t="s">
        <v>17475</v>
      </c>
      <c r="J10751" s="2" t="s">
        <v>263</v>
      </c>
      <c r="K10751" s="2" t="s">
        <v>37</v>
      </c>
      <c r="L10751" s="2" t="s">
        <v>34</v>
      </c>
      <c r="M10751" s="7">
        <v>856.32399999999996</v>
      </c>
      <c r="N10751" s="5">
        <v>30.8</v>
      </c>
      <c r="O10751" s="6">
        <v>31.49</v>
      </c>
      <c r="P10751" s="2" t="s">
        <v>31289</v>
      </c>
      <c r="Q10751" s="6">
        <v>100</v>
      </c>
      <c r="R10751" s="2"/>
      <c r="S10751" s="2"/>
      <c r="T10751" s="2"/>
      <c r="U10751" s="2"/>
      <c r="V10751" s="2"/>
      <c r="W10751" s="4">
        <v>250</v>
      </c>
      <c r="X10751" s="4">
        <v>250</v>
      </c>
      <c r="Y10751" s="4">
        <v>550</v>
      </c>
      <c r="Z10751" s="4">
        <v>550</v>
      </c>
      <c r="AA10751" s="6">
        <v>94.4</v>
      </c>
      <c r="AB10751" s="2" t="s">
        <v>47</v>
      </c>
      <c r="AC10751" s="2"/>
    </row>
    <row r="10752" spans="1:29" ht="234" x14ac:dyDescent="0.15">
      <c r="A10752" s="3">
        <f>DATE(2014,3,12)</f>
        <v>41710</v>
      </c>
      <c r="B10752" s="3">
        <f>DATE(2014,6,3)</f>
        <v>41793</v>
      </c>
      <c r="C10752" s="2" t="s">
        <v>95</v>
      </c>
      <c r="D10752" s="2" t="s">
        <v>31290</v>
      </c>
      <c r="E10752" s="2" t="s">
        <v>1608</v>
      </c>
      <c r="F10752" s="4">
        <v>1311</v>
      </c>
      <c r="G10752" s="2" t="s">
        <v>148</v>
      </c>
      <c r="H10752" s="2" t="s">
        <v>34</v>
      </c>
      <c r="I10752" s="2" t="s">
        <v>31291</v>
      </c>
      <c r="J10752" s="2" t="s">
        <v>5309</v>
      </c>
      <c r="K10752" s="2" t="s">
        <v>148</v>
      </c>
      <c r="L10752" s="2" t="s">
        <v>1791</v>
      </c>
      <c r="M10752" s="12">
        <v>1646.7460000000001</v>
      </c>
      <c r="N10752" s="6">
        <v>21.54</v>
      </c>
      <c r="O10752" s="6">
        <v>22.13</v>
      </c>
      <c r="P10752" s="2" t="s">
        <v>31292</v>
      </c>
      <c r="Q10752" s="6">
        <v>100</v>
      </c>
      <c r="R10752" s="2"/>
      <c r="S10752" s="5">
        <v>68.7</v>
      </c>
      <c r="T10752" s="6">
        <v>396.02</v>
      </c>
      <c r="U10752" s="5">
        <v>16.399999999999999</v>
      </c>
      <c r="V10752" s="9">
        <v>1.7533000000000001</v>
      </c>
      <c r="W10752" s="6">
        <v>31.33</v>
      </c>
      <c r="X10752" s="6">
        <v>29.11</v>
      </c>
      <c r="Y10752" s="5">
        <v>37.5</v>
      </c>
      <c r="Z10752" s="4">
        <v>38</v>
      </c>
      <c r="AA10752" s="6">
        <v>39.21</v>
      </c>
      <c r="AB10752" s="7">
        <v>11.218999999999999</v>
      </c>
      <c r="AC10752" s="6">
        <v>307.42</v>
      </c>
    </row>
    <row r="10753" spans="1:29" ht="104" x14ac:dyDescent="0.15">
      <c r="A10753" s="3">
        <f>DATE(2014,3,17)</f>
        <v>41715</v>
      </c>
      <c r="B10753" s="3">
        <f>DATE(2014,7,15)</f>
        <v>41835</v>
      </c>
      <c r="C10753" s="2" t="s">
        <v>95</v>
      </c>
      <c r="D10753" s="2" t="s">
        <v>21831</v>
      </c>
      <c r="E10753" s="2" t="s">
        <v>21832</v>
      </c>
      <c r="F10753" s="4">
        <v>5735</v>
      </c>
      <c r="G10753" s="2" t="s">
        <v>1227</v>
      </c>
      <c r="H10753" s="2" t="s">
        <v>34</v>
      </c>
      <c r="I10753" s="2" t="s">
        <v>31293</v>
      </c>
      <c r="J10753" s="2" t="s">
        <v>31294</v>
      </c>
      <c r="K10753" s="2" t="s">
        <v>1227</v>
      </c>
      <c r="L10753" s="2" t="s">
        <v>34</v>
      </c>
      <c r="M10753" s="2"/>
      <c r="N10753" s="2"/>
      <c r="O10753" s="2"/>
      <c r="P10753" s="2" t="s">
        <v>31295</v>
      </c>
      <c r="Q10753" s="6">
        <v>100</v>
      </c>
      <c r="R10753" s="6">
        <v>3</v>
      </c>
      <c r="S10753" s="5">
        <v>-10.199999999999999</v>
      </c>
      <c r="T10753" s="7">
        <v>7.3259999999999996</v>
      </c>
      <c r="U10753" s="5">
        <v>7.9</v>
      </c>
      <c r="V10753" s="9">
        <v>-1.2506999999999999</v>
      </c>
      <c r="W10753" s="6">
        <v>1.82</v>
      </c>
      <c r="X10753" s="6">
        <v>1.91</v>
      </c>
      <c r="Y10753" s="6">
        <v>2.98</v>
      </c>
      <c r="Z10753" s="6">
        <v>2.99</v>
      </c>
      <c r="AA10753" s="6">
        <v>8.14</v>
      </c>
      <c r="AB10753" s="2" t="s">
        <v>86</v>
      </c>
      <c r="AC10753" s="2"/>
    </row>
    <row r="10754" spans="1:29" ht="143" x14ac:dyDescent="0.15">
      <c r="A10754" s="3">
        <f>DATE(2014,3,17)</f>
        <v>41715</v>
      </c>
      <c r="B10754" s="3">
        <f>DATE(2014,7,29)</f>
        <v>41849</v>
      </c>
      <c r="C10754" s="2" t="s">
        <v>95</v>
      </c>
      <c r="D10754" s="2" t="s">
        <v>3212</v>
      </c>
      <c r="E10754" s="2" t="s">
        <v>31296</v>
      </c>
      <c r="F10754" s="4">
        <v>2796</v>
      </c>
      <c r="G10754" s="2" t="s">
        <v>186</v>
      </c>
      <c r="H10754" s="2" t="s">
        <v>34</v>
      </c>
      <c r="I10754" s="2" t="s">
        <v>18898</v>
      </c>
      <c r="J10754" s="2" t="s">
        <v>18899</v>
      </c>
      <c r="K10754" s="2" t="s">
        <v>163</v>
      </c>
      <c r="L10754" s="2" t="s">
        <v>34</v>
      </c>
      <c r="M10754" s="12">
        <v>1118.7539999999999</v>
      </c>
      <c r="N10754" s="6">
        <v>40.24</v>
      </c>
      <c r="O10754" s="6">
        <v>40.85</v>
      </c>
      <c r="P10754" s="2" t="s">
        <v>31297</v>
      </c>
      <c r="Q10754" s="6">
        <v>100</v>
      </c>
      <c r="R10754" s="6">
        <v>20</v>
      </c>
      <c r="S10754" s="5">
        <v>6.5</v>
      </c>
      <c r="T10754" s="6">
        <v>43.01</v>
      </c>
      <c r="U10754" s="5">
        <v>9.6</v>
      </c>
      <c r="V10754" s="6">
        <v>0.25</v>
      </c>
      <c r="W10754" s="6">
        <v>14.98</v>
      </c>
      <c r="X10754" s="6">
        <v>14.73</v>
      </c>
      <c r="Y10754" s="6">
        <v>19.940000000000001</v>
      </c>
      <c r="Z10754" s="6">
        <v>20.05</v>
      </c>
      <c r="AA10754" s="6">
        <v>26.22</v>
      </c>
      <c r="AB10754" s="7">
        <v>24.131</v>
      </c>
      <c r="AC10754" s="6">
        <v>63.47</v>
      </c>
    </row>
    <row r="10755" spans="1:29" ht="117" x14ac:dyDescent="0.15">
      <c r="A10755" s="3">
        <f>DATE(2014,3,21)</f>
        <v>41719</v>
      </c>
      <c r="B10755" s="3">
        <f>DATE(2014,7,1)</f>
        <v>41821</v>
      </c>
      <c r="C10755" s="2" t="s">
        <v>95</v>
      </c>
      <c r="D10755" s="2" t="s">
        <v>31298</v>
      </c>
      <c r="E10755" s="2" t="s">
        <v>21800</v>
      </c>
      <c r="F10755" s="4">
        <v>6021</v>
      </c>
      <c r="G10755" s="2" t="s">
        <v>37</v>
      </c>
      <c r="H10755" s="2" t="s">
        <v>34</v>
      </c>
      <c r="I10755" s="2" t="s">
        <v>31299</v>
      </c>
      <c r="J10755" s="2" t="s">
        <v>36</v>
      </c>
      <c r="K10755" s="2" t="s">
        <v>37</v>
      </c>
      <c r="L10755" s="2" t="s">
        <v>34</v>
      </c>
      <c r="M10755" s="7">
        <v>63.633000000000003</v>
      </c>
      <c r="N10755" s="6">
        <v>6.01</v>
      </c>
      <c r="O10755" s="4">
        <v>6</v>
      </c>
      <c r="P10755" s="2" t="s">
        <v>31300</v>
      </c>
      <c r="Q10755" s="6">
        <v>100</v>
      </c>
      <c r="R10755" s="6">
        <v>15.77</v>
      </c>
      <c r="S10755" s="2"/>
      <c r="T10755" s="2"/>
      <c r="U10755" s="2"/>
      <c r="V10755" s="2"/>
      <c r="W10755" s="4">
        <v>12</v>
      </c>
      <c r="X10755" s="4">
        <v>12</v>
      </c>
      <c r="Y10755" s="6">
        <v>15.05</v>
      </c>
      <c r="Z10755" s="4">
        <v>15</v>
      </c>
      <c r="AA10755" s="6">
        <v>0.61</v>
      </c>
      <c r="AB10755" s="2" t="s">
        <v>47</v>
      </c>
      <c r="AC10755" s="2"/>
    </row>
    <row r="10756" spans="1:29" ht="182" x14ac:dyDescent="0.15">
      <c r="A10756" s="3">
        <f>DATE(2014,3,21)</f>
        <v>41719</v>
      </c>
      <c r="B10756" s="3">
        <f>DATE(2014,12,19)</f>
        <v>41992</v>
      </c>
      <c r="C10756" s="2" t="s">
        <v>95</v>
      </c>
      <c r="D10756" s="2" t="s">
        <v>31301</v>
      </c>
      <c r="E10756" s="2" t="s">
        <v>7947</v>
      </c>
      <c r="F10756" s="4">
        <v>4833</v>
      </c>
      <c r="G10756" s="2" t="s">
        <v>45</v>
      </c>
      <c r="H10756" s="2" t="s">
        <v>34</v>
      </c>
      <c r="I10756" s="2" t="s">
        <v>30767</v>
      </c>
      <c r="J10756" s="2" t="s">
        <v>7947</v>
      </c>
      <c r="K10756" s="2" t="s">
        <v>45</v>
      </c>
      <c r="L10756" s="2" t="s">
        <v>34</v>
      </c>
      <c r="M10756" s="10">
        <v>1494.11</v>
      </c>
      <c r="N10756" s="6">
        <v>17.440000000000001</v>
      </c>
      <c r="O10756" s="6">
        <v>18.649999999999999</v>
      </c>
      <c r="P10756" s="2" t="s">
        <v>31302</v>
      </c>
      <c r="Q10756" s="6">
        <v>100</v>
      </c>
      <c r="R10756" s="6">
        <v>25.97</v>
      </c>
      <c r="S10756" s="5">
        <v>164.5</v>
      </c>
      <c r="T10756" s="7">
        <v>202.554</v>
      </c>
      <c r="U10756" s="5">
        <v>2.2000000000000002</v>
      </c>
      <c r="V10756" s="7">
        <v>2.948</v>
      </c>
      <c r="W10756" s="6">
        <v>21.29</v>
      </c>
      <c r="X10756" s="6">
        <v>21.49</v>
      </c>
      <c r="Y10756" s="6">
        <v>26.32</v>
      </c>
      <c r="Z10756" s="6">
        <v>26.69</v>
      </c>
      <c r="AA10756" s="6">
        <v>34.5</v>
      </c>
      <c r="AB10756" s="7">
        <v>23.087</v>
      </c>
      <c r="AC10756" s="6">
        <v>18.170000000000002</v>
      </c>
    </row>
    <row r="10757" spans="1:29" ht="143" x14ac:dyDescent="0.15">
      <c r="A10757" s="3">
        <f>DATE(2014,3,25)</f>
        <v>41723</v>
      </c>
      <c r="B10757" s="3">
        <f>DATE(2015,2,9)</f>
        <v>42044</v>
      </c>
      <c r="C10757" s="2" t="s">
        <v>95</v>
      </c>
      <c r="D10757" s="2" t="s">
        <v>31303</v>
      </c>
      <c r="E10757" s="2" t="s">
        <v>31304</v>
      </c>
      <c r="F10757" s="4">
        <v>1382</v>
      </c>
      <c r="G10757" s="2" t="s">
        <v>148</v>
      </c>
      <c r="H10757" s="2" t="s">
        <v>34</v>
      </c>
      <c r="I10757" s="2" t="s">
        <v>1526</v>
      </c>
      <c r="J10757" s="2" t="s">
        <v>302</v>
      </c>
      <c r="K10757" s="2" t="s">
        <v>53</v>
      </c>
      <c r="L10757" s="2" t="s">
        <v>34</v>
      </c>
      <c r="M10757" s="2"/>
      <c r="N10757" s="2"/>
      <c r="O10757" s="2"/>
      <c r="P10757" s="2" t="s">
        <v>31305</v>
      </c>
      <c r="Q10757" s="2"/>
      <c r="R10757" s="2"/>
      <c r="S10757" s="5">
        <v>-153.5</v>
      </c>
      <c r="T10757" s="7">
        <v>96.888000000000005</v>
      </c>
      <c r="U10757" s="5">
        <v>-0.9</v>
      </c>
      <c r="V10757" s="9">
        <v>-4.0346000000000002</v>
      </c>
      <c r="W10757" s="6">
        <v>1.41</v>
      </c>
      <c r="X10757" s="6">
        <v>1.26</v>
      </c>
      <c r="Y10757" s="6">
        <v>1.17</v>
      </c>
      <c r="Z10757" s="6">
        <v>0.46</v>
      </c>
      <c r="AA10757" s="6">
        <v>33.71</v>
      </c>
      <c r="AB10757" s="2" t="s">
        <v>86</v>
      </c>
      <c r="AC10757" s="2"/>
    </row>
    <row r="10758" spans="1:29" ht="65" x14ac:dyDescent="0.15">
      <c r="A10758" s="3">
        <f>DATE(2014,3,26)</f>
        <v>41724</v>
      </c>
      <c r="B10758" s="2"/>
      <c r="C10758" s="2" t="s">
        <v>87</v>
      </c>
      <c r="D10758" s="2" t="s">
        <v>31306</v>
      </c>
      <c r="E10758" s="2" t="s">
        <v>4285</v>
      </c>
      <c r="F10758" s="4">
        <v>4841</v>
      </c>
      <c r="G10758" s="2" t="s">
        <v>45</v>
      </c>
      <c r="H10758" s="2" t="s">
        <v>34</v>
      </c>
      <c r="I10758" s="2" t="s">
        <v>30473</v>
      </c>
      <c r="J10758" s="2" t="s">
        <v>6412</v>
      </c>
      <c r="K10758" s="2" t="s">
        <v>45</v>
      </c>
      <c r="L10758" s="2" t="s">
        <v>34</v>
      </c>
      <c r="M10758" s="12">
        <v>29213.161</v>
      </c>
      <c r="N10758" s="6">
        <v>62.09</v>
      </c>
      <c r="O10758" s="6">
        <v>61.22</v>
      </c>
      <c r="P10758" s="2" t="s">
        <v>31307</v>
      </c>
      <c r="Q10758" s="2"/>
      <c r="R10758" s="2"/>
      <c r="S10758" s="8">
        <v>2859</v>
      </c>
      <c r="T10758" s="8">
        <v>8144</v>
      </c>
      <c r="U10758" s="5">
        <v>-12.6</v>
      </c>
      <c r="V10758" s="6">
        <v>5.17</v>
      </c>
      <c r="W10758" s="6">
        <v>75.39</v>
      </c>
      <c r="X10758" s="6">
        <v>73.17</v>
      </c>
      <c r="Y10758" s="6">
        <v>77.34</v>
      </c>
      <c r="Z10758" s="6">
        <v>74.67</v>
      </c>
      <c r="AA10758" s="6">
        <v>458.34</v>
      </c>
      <c r="AB10758" s="2" t="s">
        <v>47</v>
      </c>
      <c r="AC10758" s="10">
        <v>10100.15</v>
      </c>
    </row>
    <row r="10759" spans="1:29" ht="65" x14ac:dyDescent="0.15">
      <c r="A10759" s="3">
        <f>DATE(2014,3,31)</f>
        <v>41729</v>
      </c>
      <c r="B10759" s="3">
        <f>DATE(2014,5,28)</f>
        <v>41787</v>
      </c>
      <c r="C10759" s="2" t="s">
        <v>95</v>
      </c>
      <c r="D10759" s="2" t="s">
        <v>17855</v>
      </c>
      <c r="E10759" s="2" t="s">
        <v>3384</v>
      </c>
      <c r="F10759" s="4">
        <v>5812</v>
      </c>
      <c r="G10759" s="2" t="s">
        <v>230</v>
      </c>
      <c r="H10759" s="2" t="s">
        <v>34</v>
      </c>
      <c r="I10759" s="2" t="s">
        <v>31308</v>
      </c>
      <c r="J10759" s="2" t="s">
        <v>31309</v>
      </c>
      <c r="K10759" s="2" t="s">
        <v>230</v>
      </c>
      <c r="L10759" s="2" t="s">
        <v>34</v>
      </c>
      <c r="M10759" s="2"/>
      <c r="N10759" s="2"/>
      <c r="O10759" s="2"/>
      <c r="P10759" s="2" t="s">
        <v>31310</v>
      </c>
      <c r="Q10759" s="6">
        <v>100</v>
      </c>
      <c r="R10759" s="6">
        <v>5</v>
      </c>
      <c r="S10759" s="5">
        <v>1</v>
      </c>
      <c r="T10759" s="7">
        <v>6.5149999999999997</v>
      </c>
      <c r="U10759" s="5">
        <v>0.1</v>
      </c>
      <c r="V10759" s="9">
        <v>-0.30009999999999998</v>
      </c>
      <c r="W10759" s="6">
        <v>3.14</v>
      </c>
      <c r="X10759" s="5">
        <v>2.5</v>
      </c>
      <c r="Y10759" s="6">
        <v>4.87</v>
      </c>
      <c r="Z10759" s="6">
        <v>4.87</v>
      </c>
      <c r="AA10759" s="6">
        <v>4.05</v>
      </c>
      <c r="AB10759" s="7">
        <v>13.439</v>
      </c>
      <c r="AC10759" s="2"/>
    </row>
    <row r="10760" spans="1:29" ht="169" x14ac:dyDescent="0.15">
      <c r="A10760" s="3">
        <f>DATE(2014,3,31)</f>
        <v>41729</v>
      </c>
      <c r="B10760" s="3">
        <f>DATE(2014,7,9)</f>
        <v>41829</v>
      </c>
      <c r="C10760" s="2" t="s">
        <v>95</v>
      </c>
      <c r="D10760" s="2" t="s">
        <v>31311</v>
      </c>
      <c r="E10760" s="2" t="s">
        <v>31312</v>
      </c>
      <c r="F10760" s="4">
        <v>4412</v>
      </c>
      <c r="G10760" s="2" t="s">
        <v>173</v>
      </c>
      <c r="H10760" s="2" t="s">
        <v>34</v>
      </c>
      <c r="I10760" s="2" t="s">
        <v>1526</v>
      </c>
      <c r="J10760" s="2" t="s">
        <v>302</v>
      </c>
      <c r="K10760" s="2" t="s">
        <v>53</v>
      </c>
      <c r="L10760" s="2" t="s">
        <v>34</v>
      </c>
      <c r="M10760" s="2"/>
      <c r="N10760" s="2"/>
      <c r="O10760" s="2"/>
      <c r="P10760" s="2" t="s">
        <v>31313</v>
      </c>
      <c r="Q10760" s="6">
        <v>40.549999999999997</v>
      </c>
      <c r="R10760" s="2"/>
      <c r="S10760" s="5">
        <v>-138.69999999999999</v>
      </c>
      <c r="T10760" s="7">
        <v>85.247</v>
      </c>
      <c r="U10760" s="5">
        <v>206.1</v>
      </c>
      <c r="V10760" s="9">
        <v>-30.549499999999998</v>
      </c>
      <c r="W10760" s="5">
        <v>2.4</v>
      </c>
      <c r="X10760" s="6">
        <v>2.4300000000000002</v>
      </c>
      <c r="Y10760" s="6">
        <v>2.69</v>
      </c>
      <c r="Z10760" s="6">
        <v>2.71</v>
      </c>
      <c r="AA10760" s="6">
        <v>44.45</v>
      </c>
      <c r="AB10760" s="2" t="s">
        <v>86</v>
      </c>
      <c r="AC10760" s="2"/>
    </row>
    <row r="10761" spans="1:29" ht="78" x14ac:dyDescent="0.15">
      <c r="A10761" s="3">
        <f>DATE(2014,4,2)</f>
        <v>41731</v>
      </c>
      <c r="B10761" s="3">
        <f>DATE(2014,6,13)</f>
        <v>41803</v>
      </c>
      <c r="C10761" s="2" t="s">
        <v>95</v>
      </c>
      <c r="D10761" s="2" t="s">
        <v>31314</v>
      </c>
      <c r="E10761" s="2" t="s">
        <v>31315</v>
      </c>
      <c r="F10761" s="4">
        <v>6099</v>
      </c>
      <c r="G10761" s="2" t="s">
        <v>3583</v>
      </c>
      <c r="H10761" s="2" t="s">
        <v>34</v>
      </c>
      <c r="I10761" s="2" t="s">
        <v>24440</v>
      </c>
      <c r="J10761" s="2" t="s">
        <v>244</v>
      </c>
      <c r="K10761" s="2" t="s">
        <v>53</v>
      </c>
      <c r="L10761" s="2" t="s">
        <v>34</v>
      </c>
      <c r="M10761" s="2"/>
      <c r="N10761" s="2"/>
      <c r="O10761" s="2"/>
      <c r="P10761" s="2" t="s">
        <v>31316</v>
      </c>
      <c r="Q10761" s="6">
        <v>100</v>
      </c>
      <c r="R10761" s="6">
        <v>9.5</v>
      </c>
      <c r="S10761" s="5">
        <v>-150.1</v>
      </c>
      <c r="T10761" s="5">
        <v>147.1</v>
      </c>
      <c r="U10761" s="5">
        <v>8.1</v>
      </c>
      <c r="V10761" s="7">
        <v>-3.8279999999999998</v>
      </c>
      <c r="W10761" s="5">
        <v>8.3000000000000007</v>
      </c>
      <c r="X10761" s="6">
        <v>8.98</v>
      </c>
      <c r="Y10761" s="6">
        <v>9.4499999999999993</v>
      </c>
      <c r="Z10761" s="6">
        <v>9.6199999999999992</v>
      </c>
      <c r="AA10761" s="6">
        <v>38.58</v>
      </c>
      <c r="AB10761" s="7">
        <v>12.134</v>
      </c>
      <c r="AC10761" s="2"/>
    </row>
    <row r="10762" spans="1:29" ht="182" x14ac:dyDescent="0.15">
      <c r="A10762" s="3">
        <f>DATE(2014,4,7)</f>
        <v>41736</v>
      </c>
      <c r="B10762" s="3">
        <f>DATE(2014,8,14)</f>
        <v>41865</v>
      </c>
      <c r="C10762" s="2" t="s">
        <v>95</v>
      </c>
      <c r="D10762" s="2" t="s">
        <v>31317</v>
      </c>
      <c r="E10762" s="2" t="s">
        <v>31071</v>
      </c>
      <c r="F10762" s="4">
        <v>2834</v>
      </c>
      <c r="G10762" s="2" t="s">
        <v>130</v>
      </c>
      <c r="H10762" s="2" t="s">
        <v>34</v>
      </c>
      <c r="I10762" s="2" t="s">
        <v>31240</v>
      </c>
      <c r="J10762" s="2" t="s">
        <v>20790</v>
      </c>
      <c r="K10762" s="2" t="s">
        <v>130</v>
      </c>
      <c r="L10762" s="2" t="s">
        <v>303</v>
      </c>
      <c r="M10762" s="10">
        <v>7559.96</v>
      </c>
      <c r="N10762" s="6">
        <v>60.95</v>
      </c>
      <c r="O10762" s="6">
        <v>64.23</v>
      </c>
      <c r="P10762" s="2" t="s">
        <v>31318</v>
      </c>
      <c r="Q10762" s="6">
        <v>100</v>
      </c>
      <c r="R10762" s="6">
        <v>86.08</v>
      </c>
      <c r="S10762" s="5">
        <v>327.9</v>
      </c>
      <c r="T10762" s="7">
        <v>524.149</v>
      </c>
      <c r="U10762" s="5">
        <v>7.7</v>
      </c>
      <c r="V10762" s="9">
        <v>5.3284000000000002</v>
      </c>
      <c r="W10762" s="6">
        <v>64.930000000000007</v>
      </c>
      <c r="X10762" s="6">
        <v>67.87</v>
      </c>
      <c r="Y10762" s="6">
        <v>80.58</v>
      </c>
      <c r="Z10762" s="6">
        <v>80.75</v>
      </c>
      <c r="AA10762" s="6">
        <v>61.09</v>
      </c>
      <c r="AB10762" s="7">
        <v>10.321999999999999</v>
      </c>
      <c r="AC10762" s="5">
        <v>334.9</v>
      </c>
    </row>
    <row r="10763" spans="1:29" ht="143" x14ac:dyDescent="0.15">
      <c r="A10763" s="3">
        <f>DATE(2014,4,7)</f>
        <v>41736</v>
      </c>
      <c r="B10763" s="3">
        <f>DATE(2014,5,30)</f>
        <v>41789</v>
      </c>
      <c r="C10763" s="2" t="s">
        <v>95</v>
      </c>
      <c r="D10763" s="2" t="s">
        <v>31319</v>
      </c>
      <c r="E10763" s="2" t="s">
        <v>31320</v>
      </c>
      <c r="F10763" s="4">
        <v>7372</v>
      </c>
      <c r="G10763" s="2" t="s">
        <v>551</v>
      </c>
      <c r="H10763" s="2" t="s">
        <v>34</v>
      </c>
      <c r="I10763" s="2" t="s">
        <v>28236</v>
      </c>
      <c r="J10763" s="2" t="s">
        <v>244</v>
      </c>
      <c r="K10763" s="2" t="s">
        <v>53</v>
      </c>
      <c r="L10763" s="2" t="s">
        <v>34</v>
      </c>
      <c r="M10763" s="2"/>
      <c r="N10763" s="2"/>
      <c r="O10763" s="2"/>
      <c r="P10763" s="2" t="s">
        <v>31321</v>
      </c>
      <c r="Q10763" s="6">
        <v>100</v>
      </c>
      <c r="R10763" s="6">
        <v>18</v>
      </c>
      <c r="S10763" s="5">
        <v>-19.5</v>
      </c>
      <c r="T10763" s="7">
        <v>-0.39600000000000002</v>
      </c>
      <c r="U10763" s="5">
        <v>4.3</v>
      </c>
      <c r="V10763" s="9">
        <v>-0.96860000000000002</v>
      </c>
      <c r="W10763" s="6">
        <v>13.76</v>
      </c>
      <c r="X10763" s="5">
        <v>13.5</v>
      </c>
      <c r="Y10763" s="6">
        <v>13.73</v>
      </c>
      <c r="Z10763" s="5">
        <v>13.8</v>
      </c>
      <c r="AA10763" s="6">
        <v>21.64</v>
      </c>
      <c r="AB10763" s="2" t="s">
        <v>86</v>
      </c>
      <c r="AC10763" s="2"/>
    </row>
    <row r="10764" spans="1:29" ht="117" x14ac:dyDescent="0.15">
      <c r="A10764" s="3">
        <f>DATE(2014,4,8)</f>
        <v>41737</v>
      </c>
      <c r="B10764" s="3">
        <f>DATE(2014,9,19)</f>
        <v>41901</v>
      </c>
      <c r="C10764" s="2" t="s">
        <v>95</v>
      </c>
      <c r="D10764" s="2" t="s">
        <v>31322</v>
      </c>
      <c r="E10764" s="2" t="s">
        <v>36</v>
      </c>
      <c r="F10764" s="4">
        <v>6035</v>
      </c>
      <c r="G10764" s="2" t="s">
        <v>33</v>
      </c>
      <c r="H10764" s="2" t="s">
        <v>34</v>
      </c>
      <c r="I10764" s="2" t="s">
        <v>21951</v>
      </c>
      <c r="J10764" s="2" t="s">
        <v>36</v>
      </c>
      <c r="K10764" s="2" t="s">
        <v>37</v>
      </c>
      <c r="L10764" s="2" t="s">
        <v>34</v>
      </c>
      <c r="M10764" s="12">
        <v>2107.4670000000001</v>
      </c>
      <c r="N10764" s="6">
        <v>13.17</v>
      </c>
      <c r="O10764" s="5">
        <v>13.1</v>
      </c>
      <c r="P10764" s="2" t="s">
        <v>31323</v>
      </c>
      <c r="Q10764" s="6">
        <v>100</v>
      </c>
      <c r="R10764" s="6">
        <v>23.83</v>
      </c>
      <c r="S10764" s="5">
        <v>1.1000000000000001</v>
      </c>
      <c r="T10764" s="6">
        <v>2.34</v>
      </c>
      <c r="U10764" s="5">
        <v>18.100000000000001</v>
      </c>
      <c r="V10764" s="9">
        <v>0.2702</v>
      </c>
      <c r="W10764" s="6">
        <v>18.28</v>
      </c>
      <c r="X10764" s="7">
        <v>18.416</v>
      </c>
      <c r="Y10764" s="6">
        <v>22.49</v>
      </c>
      <c r="Z10764" s="5">
        <v>22.4</v>
      </c>
      <c r="AA10764" s="6">
        <v>4.04</v>
      </c>
      <c r="AB10764" s="7">
        <v>70.412999999999997</v>
      </c>
      <c r="AC10764" s="2"/>
    </row>
    <row r="10765" spans="1:29" ht="117" x14ac:dyDescent="0.15">
      <c r="A10765" s="3">
        <f>DATE(2014,4,10)</f>
        <v>41739</v>
      </c>
      <c r="B10765" s="2"/>
      <c r="C10765" s="2" t="s">
        <v>87</v>
      </c>
      <c r="D10765" s="2" t="s">
        <v>31324</v>
      </c>
      <c r="E10765" s="2" t="s">
        <v>10668</v>
      </c>
      <c r="F10765" s="4">
        <v>3663</v>
      </c>
      <c r="G10765" s="2" t="s">
        <v>921</v>
      </c>
      <c r="H10765" s="2" t="s">
        <v>34</v>
      </c>
      <c r="I10765" s="2" t="s">
        <v>30488</v>
      </c>
      <c r="J10765" s="2" t="s">
        <v>30489</v>
      </c>
      <c r="K10765" s="2" t="s">
        <v>125</v>
      </c>
      <c r="L10765" s="2" t="s">
        <v>902</v>
      </c>
      <c r="M10765" s="2"/>
      <c r="N10765" s="2"/>
      <c r="O10765" s="2"/>
      <c r="P10765" s="2" t="s">
        <v>31325</v>
      </c>
      <c r="Q10765" s="2"/>
      <c r="R10765" s="2"/>
      <c r="S10765" s="5">
        <v>15.2</v>
      </c>
      <c r="T10765" s="7">
        <v>-13.606999999999999</v>
      </c>
      <c r="U10765" s="5">
        <v>6.3</v>
      </c>
      <c r="V10765" s="9">
        <v>0.62480000000000002</v>
      </c>
      <c r="W10765" s="6">
        <v>70.319999999999993</v>
      </c>
      <c r="X10765" s="6">
        <v>70.08</v>
      </c>
      <c r="Y10765" s="6">
        <v>73.44</v>
      </c>
      <c r="Z10765" s="6">
        <v>73.16</v>
      </c>
      <c r="AA10765" s="6">
        <v>21.26</v>
      </c>
      <c r="AB10765" s="2" t="s">
        <v>86</v>
      </c>
      <c r="AC10765" s="6">
        <v>63.11</v>
      </c>
    </row>
    <row r="10766" spans="1:29" ht="65" x14ac:dyDescent="0.15">
      <c r="A10766" s="3">
        <f>DATE(2014,4,11)</f>
        <v>41740</v>
      </c>
      <c r="B10766" s="3">
        <f>DATE(2014,6,20)</f>
        <v>41810</v>
      </c>
      <c r="C10766" s="2" t="s">
        <v>95</v>
      </c>
      <c r="D10766" s="2" t="s">
        <v>27172</v>
      </c>
      <c r="E10766" s="2" t="s">
        <v>26872</v>
      </c>
      <c r="F10766" s="4">
        <v>3827</v>
      </c>
      <c r="G10766" s="2" t="s">
        <v>226</v>
      </c>
      <c r="H10766" s="2" t="s">
        <v>34</v>
      </c>
      <c r="I10766" s="2" t="s">
        <v>31326</v>
      </c>
      <c r="J10766" s="2" t="s">
        <v>31327</v>
      </c>
      <c r="K10766" s="2" t="s">
        <v>137</v>
      </c>
      <c r="L10766" s="2" t="s">
        <v>34</v>
      </c>
      <c r="M10766" s="12">
        <v>12895.431</v>
      </c>
      <c r="N10766" s="6">
        <v>50.32</v>
      </c>
      <c r="O10766" s="6">
        <v>50.56</v>
      </c>
      <c r="P10766" s="2" t="s">
        <v>31328</v>
      </c>
      <c r="Q10766" s="6">
        <v>100</v>
      </c>
      <c r="R10766" s="6">
        <v>19.25</v>
      </c>
      <c r="S10766" s="5">
        <v>10.6</v>
      </c>
      <c r="T10766" s="7">
        <v>23.635000000000002</v>
      </c>
      <c r="U10766" s="5">
        <v>10.199999999999999</v>
      </c>
      <c r="V10766" s="9">
        <v>0.55179999999999996</v>
      </c>
      <c r="W10766" s="6">
        <v>15.44</v>
      </c>
      <c r="X10766" s="6">
        <v>14.68</v>
      </c>
      <c r="Y10766" s="6">
        <v>19.43</v>
      </c>
      <c r="Z10766" s="6">
        <v>19.25</v>
      </c>
      <c r="AA10766" s="6">
        <v>18.89</v>
      </c>
      <c r="AB10766" s="7">
        <v>15.644</v>
      </c>
      <c r="AC10766" s="6">
        <v>265.33999999999997</v>
      </c>
    </row>
    <row r="10767" spans="1:29" ht="130" x14ac:dyDescent="0.15">
      <c r="A10767" s="3">
        <f>DATE(2014,4,14)</f>
        <v>41743</v>
      </c>
      <c r="B10767" s="3">
        <f>DATE(2014,10,31)</f>
        <v>41943</v>
      </c>
      <c r="C10767" s="2" t="s">
        <v>95</v>
      </c>
      <c r="D10767" s="2" t="s">
        <v>31329</v>
      </c>
      <c r="E10767" s="2" t="s">
        <v>22474</v>
      </c>
      <c r="F10767" s="4">
        <v>6035</v>
      </c>
      <c r="G10767" s="2" t="s">
        <v>33</v>
      </c>
      <c r="H10767" s="2" t="s">
        <v>34</v>
      </c>
      <c r="I10767" s="2" t="s">
        <v>31330</v>
      </c>
      <c r="J10767" s="2" t="s">
        <v>29798</v>
      </c>
      <c r="K10767" s="2" t="s">
        <v>37</v>
      </c>
      <c r="L10767" s="2" t="s">
        <v>34</v>
      </c>
      <c r="M10767" s="2"/>
      <c r="N10767" s="2"/>
      <c r="O10767" s="2"/>
      <c r="P10767" s="2" t="s">
        <v>31331</v>
      </c>
      <c r="Q10767" s="6">
        <v>100</v>
      </c>
      <c r="R10767" s="6">
        <v>22.89</v>
      </c>
      <c r="S10767" s="5">
        <v>2</v>
      </c>
      <c r="T10767" s="7">
        <v>3.5009999999999999</v>
      </c>
      <c r="U10767" s="5">
        <v>22</v>
      </c>
      <c r="V10767" s="9">
        <v>0.82520000000000004</v>
      </c>
      <c r="W10767" s="5">
        <v>20.7</v>
      </c>
      <c r="X10767" s="6">
        <v>20.059999999999999</v>
      </c>
      <c r="Y10767" s="6">
        <v>20.059999999999999</v>
      </c>
      <c r="Z10767" s="5">
        <v>21.7</v>
      </c>
      <c r="AA10767" s="6">
        <v>2.3199999999999998</v>
      </c>
      <c r="AB10767" s="7">
        <v>28.231999999999999</v>
      </c>
      <c r="AC10767" s="2"/>
    </row>
    <row r="10768" spans="1:29" ht="52" x14ac:dyDescent="0.15">
      <c r="A10768" s="3">
        <f>DATE(2014,4,15)</f>
        <v>41744</v>
      </c>
      <c r="B10768" s="2"/>
      <c r="C10768" s="2" t="s">
        <v>189</v>
      </c>
      <c r="D10768" s="2" t="s">
        <v>5464</v>
      </c>
      <c r="E10768" s="2" t="s">
        <v>5465</v>
      </c>
      <c r="F10768" s="4">
        <v>3845</v>
      </c>
      <c r="G10768" s="2" t="s">
        <v>226</v>
      </c>
      <c r="H10768" s="2" t="s">
        <v>34</v>
      </c>
      <c r="I10768" s="2" t="s">
        <v>143</v>
      </c>
      <c r="J10768" s="2" t="s">
        <v>144</v>
      </c>
      <c r="K10768" s="2" t="s">
        <v>53</v>
      </c>
      <c r="L10768" s="2" t="s">
        <v>139</v>
      </c>
      <c r="M10768" s="2"/>
      <c r="N10768" s="2"/>
      <c r="O10768" s="2"/>
      <c r="P10768" s="2" t="s">
        <v>31332</v>
      </c>
      <c r="Q10768" s="2"/>
      <c r="R10768" s="2"/>
      <c r="S10768" s="5">
        <v>34.1</v>
      </c>
      <c r="T10768" s="7">
        <v>122.52800000000001</v>
      </c>
      <c r="U10768" s="5">
        <v>21.9</v>
      </c>
      <c r="V10768" s="9">
        <v>1.2141999999999999</v>
      </c>
      <c r="W10768" s="6">
        <v>43.26</v>
      </c>
      <c r="X10768" s="6">
        <v>42.23</v>
      </c>
      <c r="Y10768" s="6">
        <v>45.25</v>
      </c>
      <c r="Z10768" s="6">
        <v>48.21</v>
      </c>
      <c r="AA10768" s="6">
        <v>27.21</v>
      </c>
      <c r="AB10768" s="2" t="s">
        <v>47</v>
      </c>
      <c r="AC10768" s="2"/>
    </row>
    <row r="10769" spans="1:29" ht="39" x14ac:dyDescent="0.15">
      <c r="A10769" s="3">
        <f>DATE(2014,4,18)</f>
        <v>41747</v>
      </c>
      <c r="B10769" s="2"/>
      <c r="C10769" s="2" t="s">
        <v>39</v>
      </c>
      <c r="D10769" s="2" t="s">
        <v>1990</v>
      </c>
      <c r="E10769" s="2" t="s">
        <v>1248</v>
      </c>
      <c r="F10769" s="4">
        <v>1041</v>
      </c>
      <c r="G10769" s="2" t="s">
        <v>166</v>
      </c>
      <c r="H10769" s="2" t="s">
        <v>34</v>
      </c>
      <c r="I10769" s="2" t="s">
        <v>19030</v>
      </c>
      <c r="J10769" s="2" t="s">
        <v>1248</v>
      </c>
      <c r="K10769" s="2" t="s">
        <v>166</v>
      </c>
      <c r="L10769" s="2" t="s">
        <v>902</v>
      </c>
      <c r="M10769" s="8">
        <v>22461.200000000001</v>
      </c>
      <c r="N10769" s="7">
        <v>17.963000000000001</v>
      </c>
      <c r="O10769" s="7">
        <v>17.934000000000001</v>
      </c>
      <c r="P10769" s="2" t="s">
        <v>31333</v>
      </c>
      <c r="Q10769" s="2"/>
      <c r="R10769" s="2"/>
      <c r="S10769" s="8">
        <v>-2677</v>
      </c>
      <c r="T10769" s="8">
        <v>1770</v>
      </c>
      <c r="U10769" s="5">
        <v>20.3</v>
      </c>
      <c r="V10769" s="9">
        <v>-5.4615999999999998</v>
      </c>
      <c r="W10769" s="6">
        <v>24.23</v>
      </c>
      <c r="X10769" s="6">
        <v>23.54</v>
      </c>
      <c r="Y10769" s="6">
        <v>25.05</v>
      </c>
      <c r="Z10769" s="6">
        <v>25.05</v>
      </c>
      <c r="AA10769" s="6">
        <v>493.05</v>
      </c>
      <c r="AB10769" s="2" t="s">
        <v>47</v>
      </c>
      <c r="AC10769" s="8">
        <v>2672</v>
      </c>
    </row>
    <row r="10770" spans="1:29" ht="338" x14ac:dyDescent="0.15">
      <c r="A10770" s="3">
        <f>DATE(2014,4,21)</f>
        <v>41750</v>
      </c>
      <c r="B10770" s="2"/>
      <c r="C10770" s="2" t="s">
        <v>30</v>
      </c>
      <c r="D10770" s="2" t="s">
        <v>7904</v>
      </c>
      <c r="E10770" s="2" t="s">
        <v>7905</v>
      </c>
      <c r="F10770" s="4">
        <v>2834</v>
      </c>
      <c r="G10770" s="2" t="s">
        <v>130</v>
      </c>
      <c r="H10770" s="2" t="s">
        <v>34</v>
      </c>
      <c r="I10770" s="2" t="s">
        <v>51</v>
      </c>
      <c r="J10770" s="2" t="s">
        <v>52</v>
      </c>
      <c r="K10770" s="2" t="s">
        <v>53</v>
      </c>
      <c r="L10770" s="2" t="s">
        <v>34</v>
      </c>
      <c r="M10770" s="12">
        <v>44025.281999999999</v>
      </c>
      <c r="N10770" s="6">
        <v>126.01</v>
      </c>
      <c r="O10770" s="6">
        <v>135.41</v>
      </c>
      <c r="P10770" s="2" t="s">
        <v>31334</v>
      </c>
      <c r="Q10770" s="2"/>
      <c r="R10770" s="6">
        <v>204.25</v>
      </c>
      <c r="S10770" s="8">
        <v>1229.9000000000001</v>
      </c>
      <c r="T10770" s="8">
        <v>2202.9</v>
      </c>
      <c r="U10770" s="5">
        <v>22.2</v>
      </c>
      <c r="V10770" s="9">
        <v>5.0217000000000001</v>
      </c>
      <c r="W10770" s="6">
        <v>123.97</v>
      </c>
      <c r="X10770" s="6">
        <v>133.91999999999999</v>
      </c>
      <c r="Y10770" s="4">
        <v>142</v>
      </c>
      <c r="Z10770" s="6">
        <v>163.65</v>
      </c>
      <c r="AA10770" s="6">
        <v>297.56</v>
      </c>
      <c r="AB10770" s="7">
        <v>31.765999999999998</v>
      </c>
      <c r="AC10770" s="6">
        <v>636.80999999999995</v>
      </c>
    </row>
    <row r="10771" spans="1:29" ht="91" x14ac:dyDescent="0.15">
      <c r="A10771" s="3">
        <f>DATE(2014,4,21)</f>
        <v>41750</v>
      </c>
      <c r="B10771" s="3">
        <f>DATE(2014,7,21)</f>
        <v>41841</v>
      </c>
      <c r="C10771" s="2" t="s">
        <v>95</v>
      </c>
      <c r="D10771" s="2" t="s">
        <v>31335</v>
      </c>
      <c r="E10771" s="2" t="s">
        <v>31336</v>
      </c>
      <c r="F10771" s="4">
        <v>7376</v>
      </c>
      <c r="G10771" s="2" t="s">
        <v>223</v>
      </c>
      <c r="H10771" s="2" t="s">
        <v>34</v>
      </c>
      <c r="I10771" s="2" t="s">
        <v>31337</v>
      </c>
      <c r="J10771" s="2" t="s">
        <v>6519</v>
      </c>
      <c r="K10771" s="2" t="s">
        <v>63</v>
      </c>
      <c r="L10771" s="2" t="s">
        <v>34</v>
      </c>
      <c r="M10771" s="2"/>
      <c r="N10771" s="2"/>
      <c r="O10771" s="2"/>
      <c r="P10771" s="2" t="s">
        <v>31338</v>
      </c>
      <c r="Q10771" s="6">
        <v>100</v>
      </c>
      <c r="R10771" s="6">
        <v>10</v>
      </c>
      <c r="S10771" s="5">
        <v>-16.2</v>
      </c>
      <c r="T10771" s="7">
        <v>48.295000000000002</v>
      </c>
      <c r="U10771" s="5">
        <v>5.2</v>
      </c>
      <c r="V10771" s="6">
        <v>-0.53</v>
      </c>
      <c r="W10771" s="6">
        <v>6.93</v>
      </c>
      <c r="X10771" s="6">
        <v>7.08</v>
      </c>
      <c r="Y10771" s="6">
        <v>9.81</v>
      </c>
      <c r="Z10771" s="5">
        <v>9.8000000000000007</v>
      </c>
      <c r="AA10771" s="6">
        <v>30.77</v>
      </c>
      <c r="AB10771" s="2" t="s">
        <v>86</v>
      </c>
      <c r="AC10771" s="2"/>
    </row>
    <row r="10772" spans="1:29" ht="156" x14ac:dyDescent="0.15">
      <c r="A10772" s="3">
        <f>DATE(2014,4,22)</f>
        <v>41751</v>
      </c>
      <c r="B10772" s="3">
        <f>DATE(2015,1,2)</f>
        <v>42006</v>
      </c>
      <c r="C10772" s="2" t="s">
        <v>95</v>
      </c>
      <c r="D10772" s="2" t="s">
        <v>31339</v>
      </c>
      <c r="E10772" s="2" t="s">
        <v>36</v>
      </c>
      <c r="F10772" s="4">
        <v>6035</v>
      </c>
      <c r="G10772" s="2" t="s">
        <v>33</v>
      </c>
      <c r="H10772" s="2" t="s">
        <v>34</v>
      </c>
      <c r="I10772" s="2" t="s">
        <v>11155</v>
      </c>
      <c r="J10772" s="2" t="s">
        <v>36</v>
      </c>
      <c r="K10772" s="2" t="s">
        <v>37</v>
      </c>
      <c r="L10772" s="2" t="s">
        <v>34</v>
      </c>
      <c r="M10772" s="7">
        <v>77.301000000000002</v>
      </c>
      <c r="N10772" s="4">
        <v>25</v>
      </c>
      <c r="O10772" s="6">
        <v>25.51</v>
      </c>
      <c r="P10772" s="2" t="s">
        <v>31340</v>
      </c>
      <c r="Q10772" s="6">
        <v>100</v>
      </c>
      <c r="R10772" s="6">
        <v>3.48</v>
      </c>
      <c r="S10772" s="5">
        <v>0.5</v>
      </c>
      <c r="T10772" s="6">
        <v>1.79</v>
      </c>
      <c r="U10772" s="5">
        <v>3.1</v>
      </c>
      <c r="V10772" s="9">
        <v>-0.1525</v>
      </c>
      <c r="W10772" s="6">
        <v>3.69</v>
      </c>
      <c r="X10772" s="6">
        <v>3.79</v>
      </c>
      <c r="Y10772" s="6">
        <v>3.65</v>
      </c>
      <c r="Z10772" s="6">
        <v>3.65</v>
      </c>
      <c r="AA10772" s="6">
        <v>4.88</v>
      </c>
      <c r="AB10772" s="7">
        <v>155.74700000000001</v>
      </c>
      <c r="AC10772" s="2"/>
    </row>
    <row r="10773" spans="1:29" ht="117" x14ac:dyDescent="0.15">
      <c r="A10773" s="3">
        <f>DATE(2014,4,27)</f>
        <v>41756</v>
      </c>
      <c r="B10773" s="3">
        <f>DATE(2014,5,29)</f>
        <v>41788</v>
      </c>
      <c r="C10773" s="2" t="s">
        <v>95</v>
      </c>
      <c r="D10773" s="2" t="s">
        <v>31341</v>
      </c>
      <c r="E10773" s="2" t="s">
        <v>31342</v>
      </c>
      <c r="F10773" s="4">
        <v>3674</v>
      </c>
      <c r="G10773" s="2" t="s">
        <v>137</v>
      </c>
      <c r="H10773" s="2" t="s">
        <v>34</v>
      </c>
      <c r="I10773" s="2" t="s">
        <v>25544</v>
      </c>
      <c r="J10773" s="2" t="s">
        <v>2728</v>
      </c>
      <c r="K10773" s="2" t="s">
        <v>137</v>
      </c>
      <c r="L10773" s="2" t="s">
        <v>34</v>
      </c>
      <c r="M10773" s="7">
        <v>556.03099999999995</v>
      </c>
      <c r="N10773" s="6">
        <v>10.99</v>
      </c>
      <c r="O10773" s="6">
        <v>10.99</v>
      </c>
      <c r="P10773" s="2" t="s">
        <v>31343</v>
      </c>
      <c r="Q10773" s="6">
        <v>87.23</v>
      </c>
      <c r="R10773" s="6">
        <v>3.01</v>
      </c>
      <c r="S10773" s="5">
        <v>389</v>
      </c>
      <c r="T10773" s="7">
        <v>419.67099999999999</v>
      </c>
      <c r="U10773" s="5">
        <v>54.9</v>
      </c>
      <c r="V10773" s="9">
        <v>5.0499000000000001</v>
      </c>
      <c r="W10773" s="5">
        <v>70.900000000000006</v>
      </c>
      <c r="X10773" s="5">
        <v>67.599999999999994</v>
      </c>
      <c r="Y10773" s="7">
        <v>2.3929999999999998</v>
      </c>
      <c r="Z10773" s="7">
        <v>2.3929999999999998</v>
      </c>
      <c r="AA10773" s="6">
        <v>78.319999999999993</v>
      </c>
      <c r="AB10773" s="2" t="s">
        <v>47</v>
      </c>
      <c r="AC10773" s="6">
        <v>167.03</v>
      </c>
    </row>
    <row r="10774" spans="1:29" ht="130" x14ac:dyDescent="0.15">
      <c r="A10774" s="3">
        <f>DATE(2014,4,28)</f>
        <v>41757</v>
      </c>
      <c r="B10774" s="3">
        <f>DATE(2014,7,2)</f>
        <v>41822</v>
      </c>
      <c r="C10774" s="2" t="s">
        <v>95</v>
      </c>
      <c r="D10774" s="2" t="s">
        <v>31344</v>
      </c>
      <c r="E10774" s="2" t="s">
        <v>129</v>
      </c>
      <c r="F10774" s="4">
        <v>2834</v>
      </c>
      <c r="G10774" s="2" t="s">
        <v>130</v>
      </c>
      <c r="H10774" s="2" t="s">
        <v>34</v>
      </c>
      <c r="I10774" s="2" t="s">
        <v>31260</v>
      </c>
      <c r="J10774" s="2" t="s">
        <v>7462</v>
      </c>
      <c r="K10774" s="2" t="s">
        <v>130</v>
      </c>
      <c r="L10774" s="2" t="s">
        <v>34</v>
      </c>
      <c r="M10774" s="12">
        <v>25001.562000000002</v>
      </c>
      <c r="N10774" s="5">
        <v>89.5</v>
      </c>
      <c r="O10774" s="6">
        <v>89.73</v>
      </c>
      <c r="P10774" s="2" t="s">
        <v>31345</v>
      </c>
      <c r="Q10774" s="6">
        <v>100</v>
      </c>
      <c r="R10774" s="6">
        <v>95</v>
      </c>
      <c r="S10774" s="5">
        <v>-51.7</v>
      </c>
      <c r="T10774" s="7">
        <v>-45.512999999999998</v>
      </c>
      <c r="U10774" s="5">
        <v>1</v>
      </c>
      <c r="V10774" s="9">
        <v>-5.0575999999999999</v>
      </c>
      <c r="W10774" s="6">
        <v>94.82</v>
      </c>
      <c r="X10774" s="5">
        <v>98.5</v>
      </c>
      <c r="Y10774" s="6">
        <v>97.61</v>
      </c>
      <c r="Z10774" s="6">
        <v>94.62</v>
      </c>
      <c r="AA10774" s="6">
        <v>10.61</v>
      </c>
      <c r="AB10774" s="2" t="s">
        <v>86</v>
      </c>
      <c r="AC10774" s="10">
        <v>2153.0500000000002</v>
      </c>
    </row>
    <row r="10775" spans="1:29" ht="65" x14ac:dyDescent="0.15">
      <c r="A10775" s="3">
        <f>DATE(2014,4,28)</f>
        <v>41757</v>
      </c>
      <c r="B10775" s="2"/>
      <c r="C10775" s="2" t="s">
        <v>39</v>
      </c>
      <c r="D10775" s="2" t="s">
        <v>31346</v>
      </c>
      <c r="E10775" s="2" t="s">
        <v>92</v>
      </c>
      <c r="F10775" s="4">
        <v>6798</v>
      </c>
      <c r="G10775" s="2" t="s">
        <v>53</v>
      </c>
      <c r="H10775" s="2" t="s">
        <v>34</v>
      </c>
      <c r="I10775" s="2" t="s">
        <v>30746</v>
      </c>
      <c r="J10775" s="2" t="s">
        <v>92</v>
      </c>
      <c r="K10775" s="2" t="s">
        <v>53</v>
      </c>
      <c r="L10775" s="2" t="s">
        <v>34</v>
      </c>
      <c r="M10775" s="12">
        <v>10741.126</v>
      </c>
      <c r="N10775" s="6">
        <v>12.62</v>
      </c>
      <c r="O10775" s="6">
        <v>12.93</v>
      </c>
      <c r="P10775" s="2" t="s">
        <v>31347</v>
      </c>
      <c r="Q10775" s="2"/>
      <c r="R10775" s="2"/>
      <c r="S10775" s="5">
        <v>-249.3</v>
      </c>
      <c r="T10775" s="7">
        <v>-259.71600000000001</v>
      </c>
      <c r="U10775" s="5">
        <v>9.8000000000000007</v>
      </c>
      <c r="V10775" s="9">
        <v>-2.2530999999999999</v>
      </c>
      <c r="W10775" s="6">
        <v>15.12</v>
      </c>
      <c r="X10775" s="6">
        <v>16.03</v>
      </c>
      <c r="Y10775" s="5">
        <v>17.2</v>
      </c>
      <c r="Z10775" s="5">
        <v>15.9</v>
      </c>
      <c r="AA10775" s="6">
        <v>326.95999999999998</v>
      </c>
      <c r="AB10775" s="2" t="s">
        <v>86</v>
      </c>
      <c r="AC10775" s="6">
        <v>157.78</v>
      </c>
    </row>
    <row r="10776" spans="1:29" ht="195" x14ac:dyDescent="0.15">
      <c r="A10776" s="3">
        <f>DATE(2014,4,28)</f>
        <v>41757</v>
      </c>
      <c r="B10776" s="3">
        <f>DATE(2014,8,29)</f>
        <v>41880</v>
      </c>
      <c r="C10776" s="2" t="s">
        <v>95</v>
      </c>
      <c r="D10776" s="2" t="s">
        <v>31348</v>
      </c>
      <c r="E10776" s="2" t="s">
        <v>31349</v>
      </c>
      <c r="F10776" s="4">
        <v>5411</v>
      </c>
      <c r="G10776" s="2" t="s">
        <v>1461</v>
      </c>
      <c r="H10776" s="2" t="s">
        <v>34</v>
      </c>
      <c r="I10776" s="2" t="s">
        <v>29928</v>
      </c>
      <c r="J10776" s="2" t="s">
        <v>4767</v>
      </c>
      <c r="K10776" s="2" t="s">
        <v>439</v>
      </c>
      <c r="L10776" s="2" t="s">
        <v>34</v>
      </c>
      <c r="M10776" s="12">
        <v>17047.293000000001</v>
      </c>
      <c r="N10776" s="6">
        <v>55.23</v>
      </c>
      <c r="O10776" s="5">
        <v>54.8</v>
      </c>
      <c r="P10776" s="2" t="s">
        <v>31350</v>
      </c>
      <c r="Q10776" s="6">
        <v>100</v>
      </c>
      <c r="R10776" s="6">
        <v>80.94</v>
      </c>
      <c r="S10776" s="5">
        <v>47.5</v>
      </c>
      <c r="T10776" s="7">
        <v>160.92699999999999</v>
      </c>
      <c r="U10776" s="5">
        <v>29.2</v>
      </c>
      <c r="V10776" s="6">
        <v>0.68</v>
      </c>
      <c r="W10776" s="6">
        <v>59.19</v>
      </c>
      <c r="X10776" s="6">
        <v>57.03</v>
      </c>
      <c r="Y10776" s="6">
        <v>77.72</v>
      </c>
      <c r="Z10776" s="6">
        <v>77.069999999999993</v>
      </c>
      <c r="AA10776" s="6">
        <v>21.65</v>
      </c>
      <c r="AB10776" s="7">
        <v>21.736999999999998</v>
      </c>
      <c r="AC10776" s="8">
        <v>1176</v>
      </c>
    </row>
    <row r="10777" spans="1:29" ht="143" x14ac:dyDescent="0.15">
      <c r="A10777" s="3">
        <f>DATE(2014,4,29)</f>
        <v>41758</v>
      </c>
      <c r="B10777" s="3">
        <f>DATE(2014,12,17)</f>
        <v>41990</v>
      </c>
      <c r="C10777" s="2" t="s">
        <v>95</v>
      </c>
      <c r="D10777" s="2" t="s">
        <v>31351</v>
      </c>
      <c r="E10777" s="2" t="s">
        <v>36</v>
      </c>
      <c r="F10777" s="4">
        <v>6035</v>
      </c>
      <c r="G10777" s="2" t="s">
        <v>33</v>
      </c>
      <c r="H10777" s="2" t="s">
        <v>34</v>
      </c>
      <c r="I10777" s="2" t="s">
        <v>31352</v>
      </c>
      <c r="J10777" s="2" t="s">
        <v>36</v>
      </c>
      <c r="K10777" s="2" t="s">
        <v>37</v>
      </c>
      <c r="L10777" s="2" t="s">
        <v>34</v>
      </c>
      <c r="M10777" s="5">
        <v>574.29999999999995</v>
      </c>
      <c r="N10777" s="6">
        <v>27.83</v>
      </c>
      <c r="O10777" s="6">
        <v>27.58</v>
      </c>
      <c r="P10777" s="2" t="s">
        <v>31353</v>
      </c>
      <c r="Q10777" s="6">
        <v>100</v>
      </c>
      <c r="R10777" s="6">
        <v>26.71</v>
      </c>
      <c r="S10777" s="5">
        <v>6</v>
      </c>
      <c r="T10777" s="7">
        <v>10.464</v>
      </c>
      <c r="U10777" s="5">
        <v>18.2</v>
      </c>
      <c r="V10777" s="9">
        <v>0.56640000000000001</v>
      </c>
      <c r="W10777" s="6">
        <v>22.87</v>
      </c>
      <c r="X10777" s="6">
        <v>22.93</v>
      </c>
      <c r="Y10777" s="6">
        <v>24.99</v>
      </c>
      <c r="Z10777" s="6">
        <v>24.86</v>
      </c>
      <c r="AA10777" s="6">
        <v>0.39</v>
      </c>
      <c r="AB10777" s="7">
        <v>72.546999999999997</v>
      </c>
      <c r="AC10777" s="2"/>
    </row>
    <row r="10778" spans="1:29" ht="208" x14ac:dyDescent="0.15">
      <c r="A10778" s="3">
        <f>DATE(2014,4,29)</f>
        <v>41758</v>
      </c>
      <c r="B10778" s="3">
        <f>DATE(2015,2,9)</f>
        <v>42044</v>
      </c>
      <c r="C10778" s="2" t="s">
        <v>95</v>
      </c>
      <c r="D10778" s="2" t="s">
        <v>31354</v>
      </c>
      <c r="E10778" s="2" t="s">
        <v>31355</v>
      </c>
      <c r="F10778" s="4">
        <v>3663</v>
      </c>
      <c r="G10778" s="2" t="s">
        <v>921</v>
      </c>
      <c r="H10778" s="2" t="s">
        <v>34</v>
      </c>
      <c r="I10778" s="2" t="s">
        <v>31356</v>
      </c>
      <c r="J10778" s="2" t="s">
        <v>31357</v>
      </c>
      <c r="K10778" s="2" t="s">
        <v>163</v>
      </c>
      <c r="L10778" s="2" t="s">
        <v>34</v>
      </c>
      <c r="M10778" s="12">
        <v>4532.808</v>
      </c>
      <c r="N10778" s="6">
        <v>148.22</v>
      </c>
      <c r="O10778" s="6">
        <v>144.22</v>
      </c>
      <c r="P10778" s="2" t="s">
        <v>31358</v>
      </c>
      <c r="Q10778" s="6">
        <v>100</v>
      </c>
      <c r="R10778" s="6">
        <v>62.33</v>
      </c>
      <c r="S10778" s="5">
        <v>62.5</v>
      </c>
      <c r="T10778" s="7">
        <v>147.547</v>
      </c>
      <c r="U10778" s="5">
        <v>13.4</v>
      </c>
      <c r="V10778" s="9">
        <v>1.0307999999999999</v>
      </c>
      <c r="W10778" s="6">
        <v>27.76</v>
      </c>
      <c r="X10778" s="6">
        <v>26.57</v>
      </c>
      <c r="Y10778" s="6">
        <v>30.96</v>
      </c>
      <c r="Z10778" s="5">
        <v>29.4</v>
      </c>
      <c r="AA10778" s="6">
        <v>60.57</v>
      </c>
      <c r="AB10778" s="7">
        <v>33.853000000000002</v>
      </c>
      <c r="AC10778" s="6">
        <v>266.95999999999998</v>
      </c>
    </row>
    <row r="10779" spans="1:29" ht="104" x14ac:dyDescent="0.15">
      <c r="A10779" s="3">
        <f>DATE(2014,4,30)</f>
        <v>41759</v>
      </c>
      <c r="B10779" s="3">
        <f>DATE(2016,3,23)</f>
        <v>42452</v>
      </c>
      <c r="C10779" s="2" t="s">
        <v>95</v>
      </c>
      <c r="D10779" s="2" t="s">
        <v>31359</v>
      </c>
      <c r="E10779" s="2" t="s">
        <v>18040</v>
      </c>
      <c r="F10779" s="4">
        <v>4931</v>
      </c>
      <c r="G10779" s="2" t="s">
        <v>439</v>
      </c>
      <c r="H10779" s="2" t="s">
        <v>34</v>
      </c>
      <c r="I10779" s="2" t="s">
        <v>22571</v>
      </c>
      <c r="J10779" s="2" t="s">
        <v>3759</v>
      </c>
      <c r="K10779" s="2" t="s">
        <v>439</v>
      </c>
      <c r="L10779" s="2" t="s">
        <v>34</v>
      </c>
      <c r="M10779" s="12">
        <v>28765.989000000001</v>
      </c>
      <c r="N10779" s="6">
        <v>35.03</v>
      </c>
      <c r="O10779" s="6">
        <v>35.99</v>
      </c>
      <c r="P10779" s="2" t="s">
        <v>31360</v>
      </c>
      <c r="Q10779" s="6">
        <v>100</v>
      </c>
      <c r="R10779" s="6">
        <v>27.25</v>
      </c>
      <c r="S10779" s="5">
        <v>293</v>
      </c>
      <c r="T10779" s="8">
        <v>1582</v>
      </c>
      <c r="U10779" s="5">
        <v>17.3</v>
      </c>
      <c r="V10779" s="9">
        <v>2.4927000000000001</v>
      </c>
      <c r="W10779" s="6">
        <v>21.51</v>
      </c>
      <c r="X10779" s="6">
        <v>22.79</v>
      </c>
      <c r="Y10779" s="6">
        <v>26.76</v>
      </c>
      <c r="Z10779" s="6">
        <v>26.93</v>
      </c>
      <c r="AA10779" s="6">
        <v>250.62</v>
      </c>
      <c r="AB10779" s="7">
        <v>11.221</v>
      </c>
      <c r="AC10779" s="8">
        <v>1877</v>
      </c>
    </row>
    <row r="10780" spans="1:29" ht="65" x14ac:dyDescent="0.15">
      <c r="A10780" s="3">
        <f>DATE(2014,5,5)</f>
        <v>41764</v>
      </c>
      <c r="B10780" s="2"/>
      <c r="C10780" s="2" t="s">
        <v>189</v>
      </c>
      <c r="D10780" s="2" t="s">
        <v>31361</v>
      </c>
      <c r="E10780" s="2" t="s">
        <v>1977</v>
      </c>
      <c r="F10780" s="4">
        <v>4911</v>
      </c>
      <c r="G10780" s="2" t="s">
        <v>439</v>
      </c>
      <c r="H10780" s="2" t="s">
        <v>34</v>
      </c>
      <c r="I10780" s="2" t="s">
        <v>143</v>
      </c>
      <c r="J10780" s="2" t="s">
        <v>144</v>
      </c>
      <c r="K10780" s="2" t="s">
        <v>53</v>
      </c>
      <c r="L10780" s="2" t="s">
        <v>139</v>
      </c>
      <c r="M10780" s="2"/>
      <c r="N10780" s="2"/>
      <c r="O10780" s="2"/>
      <c r="P10780" s="2" t="s">
        <v>31362</v>
      </c>
      <c r="Q10780" s="2"/>
      <c r="R10780" s="2"/>
      <c r="S10780" s="5">
        <v>-48.8</v>
      </c>
      <c r="T10780" s="7">
        <v>161.87799999999999</v>
      </c>
      <c r="U10780" s="5">
        <v>5.0999999999999996</v>
      </c>
      <c r="V10780" s="9">
        <v>-0.51219999999999999</v>
      </c>
      <c r="W10780" s="6">
        <v>3.26</v>
      </c>
      <c r="X10780" s="6">
        <v>3.04</v>
      </c>
      <c r="Y10780" s="6">
        <v>3.33</v>
      </c>
      <c r="Z10780" s="5">
        <v>3.3</v>
      </c>
      <c r="AA10780" s="6">
        <v>120.59</v>
      </c>
      <c r="AB10780" s="2" t="s">
        <v>47</v>
      </c>
      <c r="AC10780" s="2"/>
    </row>
    <row r="10781" spans="1:29" ht="52" x14ac:dyDescent="0.15">
      <c r="A10781" s="3">
        <f>DATE(2014,5,5)</f>
        <v>41764</v>
      </c>
      <c r="B10781" s="3">
        <f>DATE(2014,10,17)</f>
        <v>41929</v>
      </c>
      <c r="C10781" s="2" t="s">
        <v>95</v>
      </c>
      <c r="D10781" s="2" t="s">
        <v>31363</v>
      </c>
      <c r="E10781" s="2" t="s">
        <v>36</v>
      </c>
      <c r="F10781" s="4">
        <v>6021</v>
      </c>
      <c r="G10781" s="2" t="s">
        <v>37</v>
      </c>
      <c r="H10781" s="2" t="s">
        <v>34</v>
      </c>
      <c r="I10781" s="2" t="s">
        <v>31364</v>
      </c>
      <c r="J10781" s="2" t="s">
        <v>36</v>
      </c>
      <c r="K10781" s="2" t="s">
        <v>37</v>
      </c>
      <c r="L10781" s="2" t="s">
        <v>34</v>
      </c>
      <c r="M10781" s="2"/>
      <c r="N10781" s="2"/>
      <c r="O10781" s="2"/>
      <c r="P10781" s="2" t="s">
        <v>31365</v>
      </c>
      <c r="Q10781" s="6">
        <v>100</v>
      </c>
      <c r="R10781" s="6">
        <v>29.55</v>
      </c>
      <c r="S10781" s="5">
        <v>0.9</v>
      </c>
      <c r="T10781" s="7">
        <v>1.6739999999999999</v>
      </c>
      <c r="U10781" s="5">
        <v>20.7</v>
      </c>
      <c r="V10781" s="9">
        <v>0.62270000000000003</v>
      </c>
      <c r="W10781" s="5">
        <v>20.5</v>
      </c>
      <c r="X10781" s="5">
        <v>20.5</v>
      </c>
      <c r="Y10781" s="5">
        <v>20.5</v>
      </c>
      <c r="Z10781" s="6">
        <v>28.51</v>
      </c>
      <c r="AA10781" s="6">
        <v>1.6</v>
      </c>
      <c r="AB10781" s="7">
        <v>40.225999999999999</v>
      </c>
      <c r="AC10781" s="2"/>
    </row>
    <row r="10782" spans="1:29" ht="130" x14ac:dyDescent="0.15">
      <c r="A10782" s="3">
        <f>DATE(2014,5,6)</f>
        <v>41765</v>
      </c>
      <c r="B10782" s="3">
        <f>DATE(2014,12,16)</f>
        <v>41989</v>
      </c>
      <c r="C10782" s="2" t="s">
        <v>95</v>
      </c>
      <c r="D10782" s="2" t="s">
        <v>17223</v>
      </c>
      <c r="E10782" s="2" t="s">
        <v>17224</v>
      </c>
      <c r="F10782" s="4">
        <v>1311</v>
      </c>
      <c r="G10782" s="2" t="s">
        <v>148</v>
      </c>
      <c r="H10782" s="2" t="s">
        <v>34</v>
      </c>
      <c r="I10782" s="2" t="s">
        <v>31366</v>
      </c>
      <c r="J10782" s="2" t="s">
        <v>21903</v>
      </c>
      <c r="K10782" s="2" t="s">
        <v>148</v>
      </c>
      <c r="L10782" s="2" t="s">
        <v>34</v>
      </c>
      <c r="M10782" s="2"/>
      <c r="N10782" s="2"/>
      <c r="O10782" s="2"/>
      <c r="P10782" s="2" t="s">
        <v>31367</v>
      </c>
      <c r="Q10782" s="6">
        <v>100</v>
      </c>
      <c r="R10782" s="2"/>
      <c r="S10782" s="5">
        <v>118.8</v>
      </c>
      <c r="T10782" s="7">
        <v>247.727</v>
      </c>
      <c r="U10782" s="5">
        <v>0.3</v>
      </c>
      <c r="V10782" s="9">
        <v>1.0266999999999999</v>
      </c>
      <c r="W10782" s="6">
        <v>1.84</v>
      </c>
      <c r="X10782" s="6">
        <v>1.79</v>
      </c>
      <c r="Y10782" s="6">
        <v>2.0299999999999998</v>
      </c>
      <c r="Z10782" s="6">
        <v>2.33</v>
      </c>
      <c r="AA10782" s="6">
        <v>119.08</v>
      </c>
      <c r="AB10782" s="2" t="s">
        <v>47</v>
      </c>
      <c r="AC10782" s="6">
        <v>0.89</v>
      </c>
    </row>
    <row r="10783" spans="1:29" ht="195" x14ac:dyDescent="0.15">
      <c r="A10783" s="3">
        <f>DATE(2014,5,8)</f>
        <v>41767</v>
      </c>
      <c r="B10783" s="3">
        <f>DATE(2014,6,23)</f>
        <v>41813</v>
      </c>
      <c r="C10783" s="2" t="s">
        <v>95</v>
      </c>
      <c r="D10783" s="2" t="s">
        <v>31368</v>
      </c>
      <c r="E10783" s="2" t="s">
        <v>6292</v>
      </c>
      <c r="F10783" s="4">
        <v>2836</v>
      </c>
      <c r="G10783" s="2" t="s">
        <v>130</v>
      </c>
      <c r="H10783" s="2" t="s">
        <v>34</v>
      </c>
      <c r="I10783" s="2" t="s">
        <v>20466</v>
      </c>
      <c r="J10783" s="2" t="s">
        <v>4011</v>
      </c>
      <c r="K10783" s="2" t="s">
        <v>130</v>
      </c>
      <c r="L10783" s="2" t="s">
        <v>734</v>
      </c>
      <c r="M10783" s="12">
        <v>5695.7489999999998</v>
      </c>
      <c r="N10783" s="6">
        <v>28.47</v>
      </c>
      <c r="O10783" s="7">
        <v>28.675999999999998</v>
      </c>
      <c r="P10783" s="2" t="s">
        <v>31369</v>
      </c>
      <c r="Q10783" s="6">
        <v>100</v>
      </c>
      <c r="R10783" s="6">
        <v>6.44</v>
      </c>
      <c r="S10783" s="5">
        <v>-20.6</v>
      </c>
      <c r="T10783" s="7">
        <v>-20.591000000000001</v>
      </c>
      <c r="U10783" s="5">
        <v>0.5</v>
      </c>
      <c r="V10783" s="9">
        <v>-0.28179999999999999</v>
      </c>
      <c r="W10783" s="6">
        <v>5.01</v>
      </c>
      <c r="X10783" s="4">
        <v>5</v>
      </c>
      <c r="Y10783" s="6">
        <v>6.58</v>
      </c>
      <c r="Z10783" s="6">
        <v>6.57</v>
      </c>
      <c r="AA10783" s="6">
        <v>78.94</v>
      </c>
      <c r="AB10783" s="2" t="s">
        <v>86</v>
      </c>
      <c r="AC10783" s="10">
        <v>1032.17</v>
      </c>
    </row>
    <row r="10784" spans="1:29" ht="130" x14ac:dyDescent="0.15">
      <c r="A10784" s="3">
        <f>DATE(2014,5,8)</f>
        <v>41767</v>
      </c>
      <c r="B10784" s="3">
        <f>DATE(2014,11,3)</f>
        <v>41946</v>
      </c>
      <c r="C10784" s="2" t="s">
        <v>95</v>
      </c>
      <c r="D10784" s="2" t="s">
        <v>30613</v>
      </c>
      <c r="E10784" s="2" t="s">
        <v>36</v>
      </c>
      <c r="F10784" s="4">
        <v>6022</v>
      </c>
      <c r="G10784" s="2" t="s">
        <v>37</v>
      </c>
      <c r="H10784" s="2" t="s">
        <v>34</v>
      </c>
      <c r="I10784" s="2" t="s">
        <v>204</v>
      </c>
      <c r="J10784" s="2" t="s">
        <v>36</v>
      </c>
      <c r="K10784" s="2" t="s">
        <v>37</v>
      </c>
      <c r="L10784" s="2" t="s">
        <v>34</v>
      </c>
      <c r="M10784" s="12">
        <v>2082.8969999999999</v>
      </c>
      <c r="N10784" s="6">
        <v>9.48</v>
      </c>
      <c r="O10784" s="6">
        <v>9.68</v>
      </c>
      <c r="P10784" s="2" t="s">
        <v>31370</v>
      </c>
      <c r="Q10784" s="6">
        <v>100</v>
      </c>
      <c r="R10784" s="6">
        <v>8.69</v>
      </c>
      <c r="S10784" s="5">
        <v>7.9</v>
      </c>
      <c r="T10784" s="7">
        <v>17.167000000000002</v>
      </c>
      <c r="U10784" s="5">
        <v>6.8</v>
      </c>
      <c r="V10784" s="9">
        <v>0.2301</v>
      </c>
      <c r="W10784" s="6">
        <v>7.32</v>
      </c>
      <c r="X10784" s="6">
        <v>7.31</v>
      </c>
      <c r="Y10784" s="6">
        <v>7.99</v>
      </c>
      <c r="Z10784" s="6">
        <v>8.09</v>
      </c>
      <c r="AA10784" s="6">
        <v>34.49</v>
      </c>
      <c r="AB10784" s="7">
        <v>24.044</v>
      </c>
      <c r="AC10784" s="2"/>
    </row>
    <row r="10785" spans="1:29" ht="208" x14ac:dyDescent="0.15">
      <c r="A10785" s="3">
        <f>DATE(2014,5,12)</f>
        <v>41771</v>
      </c>
      <c r="B10785" s="2"/>
      <c r="C10785" s="2" t="s">
        <v>30</v>
      </c>
      <c r="D10785" s="2" t="s">
        <v>31371</v>
      </c>
      <c r="E10785" s="2" t="s">
        <v>31372</v>
      </c>
      <c r="F10785" s="4">
        <v>2038</v>
      </c>
      <c r="G10785" s="2" t="s">
        <v>577</v>
      </c>
      <c r="H10785" s="2" t="s">
        <v>34</v>
      </c>
      <c r="I10785" s="2" t="s">
        <v>31373</v>
      </c>
      <c r="J10785" s="2" t="s">
        <v>14212</v>
      </c>
      <c r="K10785" s="2" t="s">
        <v>577</v>
      </c>
      <c r="L10785" s="2" t="s">
        <v>34</v>
      </c>
      <c r="M10785" s="12">
        <v>4319.6750000000002</v>
      </c>
      <c r="N10785" s="6">
        <v>35.76</v>
      </c>
      <c r="O10785" s="6">
        <v>36.56</v>
      </c>
      <c r="P10785" s="2" t="s">
        <v>31374</v>
      </c>
      <c r="Q10785" s="2"/>
      <c r="R10785" s="6">
        <v>36.479999999999997</v>
      </c>
      <c r="S10785" s="5">
        <v>105.3</v>
      </c>
      <c r="T10785" s="7">
        <v>422.45600000000002</v>
      </c>
      <c r="U10785" s="5">
        <v>13.7</v>
      </c>
      <c r="V10785" s="9">
        <v>0.88990000000000002</v>
      </c>
      <c r="W10785" s="6">
        <v>30.34</v>
      </c>
      <c r="X10785" s="6">
        <v>30.45</v>
      </c>
      <c r="Y10785" s="6">
        <v>34.47</v>
      </c>
      <c r="Z10785" s="4">
        <v>34</v>
      </c>
      <c r="AA10785" s="6">
        <v>117.23</v>
      </c>
      <c r="AB10785" s="7">
        <v>19.303999999999998</v>
      </c>
      <c r="AC10785" s="5">
        <v>389</v>
      </c>
    </row>
    <row r="10786" spans="1:29" ht="65" x14ac:dyDescent="0.15">
      <c r="A10786" s="3">
        <f>DATE(2014,5,13)</f>
        <v>41772</v>
      </c>
      <c r="B10786" s="3">
        <f>DATE(2014,5,30)</f>
        <v>41789</v>
      </c>
      <c r="C10786" s="2" t="s">
        <v>95</v>
      </c>
      <c r="D10786" s="2" t="s">
        <v>21941</v>
      </c>
      <c r="E10786" s="2" t="s">
        <v>31375</v>
      </c>
      <c r="F10786" s="4">
        <v>1791</v>
      </c>
      <c r="G10786" s="2" t="s">
        <v>341</v>
      </c>
      <c r="H10786" s="2" t="s">
        <v>34</v>
      </c>
      <c r="I10786" s="2" t="s">
        <v>31376</v>
      </c>
      <c r="J10786" s="2" t="s">
        <v>27192</v>
      </c>
      <c r="K10786" s="2" t="s">
        <v>63</v>
      </c>
      <c r="L10786" s="2" t="s">
        <v>34</v>
      </c>
      <c r="M10786" s="7">
        <v>58.914000000000001</v>
      </c>
      <c r="N10786" s="5">
        <v>3.9</v>
      </c>
      <c r="O10786" s="5">
        <v>3.9</v>
      </c>
      <c r="P10786" s="2" t="s">
        <v>31377</v>
      </c>
      <c r="Q10786" s="6">
        <v>59.48</v>
      </c>
      <c r="R10786" s="6">
        <v>31.5</v>
      </c>
      <c r="S10786" s="2"/>
      <c r="T10786" s="2"/>
      <c r="U10786" s="2"/>
      <c r="V10786" s="2"/>
      <c r="W10786" s="6">
        <v>27.22</v>
      </c>
      <c r="X10786" s="5">
        <v>28.5</v>
      </c>
      <c r="Y10786" s="4">
        <v>28</v>
      </c>
      <c r="Z10786" s="4">
        <v>30</v>
      </c>
      <c r="AA10786" s="6">
        <v>4.2</v>
      </c>
      <c r="AB10786" s="2" t="s">
        <v>47</v>
      </c>
      <c r="AC10786" s="6">
        <v>13.04</v>
      </c>
    </row>
    <row r="10787" spans="1:29" ht="195" x14ac:dyDescent="0.15">
      <c r="A10787" s="3">
        <f>DATE(2014,5,15)</f>
        <v>41774</v>
      </c>
      <c r="B10787" s="3">
        <f>DATE(2014,8,15)</f>
        <v>41866</v>
      </c>
      <c r="C10787" s="2" t="s">
        <v>95</v>
      </c>
      <c r="D10787" s="2" t="s">
        <v>31378</v>
      </c>
      <c r="E10787" s="2" t="s">
        <v>31379</v>
      </c>
      <c r="F10787" s="4">
        <v>7832</v>
      </c>
      <c r="G10787" s="2" t="s">
        <v>42</v>
      </c>
      <c r="H10787" s="2" t="s">
        <v>34</v>
      </c>
      <c r="I10787" s="2" t="s">
        <v>31380</v>
      </c>
      <c r="J10787" s="2" t="s">
        <v>31381</v>
      </c>
      <c r="K10787" s="2" t="s">
        <v>42</v>
      </c>
      <c r="L10787" s="2" t="s">
        <v>34</v>
      </c>
      <c r="M10787" s="7">
        <v>712.02099999999996</v>
      </c>
      <c r="N10787" s="6">
        <v>32.19</v>
      </c>
      <c r="O10787" s="6">
        <v>32.21</v>
      </c>
      <c r="P10787" s="2" t="s">
        <v>31382</v>
      </c>
      <c r="Q10787" s="6">
        <v>100</v>
      </c>
      <c r="R10787" s="6">
        <v>6.03</v>
      </c>
      <c r="S10787" s="5">
        <v>-3.8</v>
      </c>
      <c r="T10787" s="7">
        <v>0.68200000000000005</v>
      </c>
      <c r="U10787" s="5">
        <v>2.8</v>
      </c>
      <c r="V10787" s="9">
        <v>-0.54169999999999996</v>
      </c>
      <c r="W10787" s="5">
        <v>5.2</v>
      </c>
      <c r="X10787" s="6">
        <v>4.9400000000000004</v>
      </c>
      <c r="Y10787" s="6">
        <v>4.95</v>
      </c>
      <c r="Z10787" s="5">
        <v>5.4</v>
      </c>
      <c r="AA10787" s="6">
        <v>7.08</v>
      </c>
      <c r="AB10787" s="2" t="s">
        <v>86</v>
      </c>
      <c r="AC10787" s="6">
        <v>145.41</v>
      </c>
    </row>
    <row r="10788" spans="1:29" ht="195" x14ac:dyDescent="0.15">
      <c r="A10788" s="3">
        <f>DATE(2014,5,15)</f>
        <v>41774</v>
      </c>
      <c r="B10788" s="3">
        <f>DATE(2015,2,2)</f>
        <v>42037</v>
      </c>
      <c r="C10788" s="2" t="s">
        <v>95</v>
      </c>
      <c r="D10788" s="2" t="s">
        <v>28313</v>
      </c>
      <c r="E10788" s="2" t="s">
        <v>28314</v>
      </c>
      <c r="F10788" s="4">
        <v>8082</v>
      </c>
      <c r="G10788" s="2" t="s">
        <v>454</v>
      </c>
      <c r="H10788" s="2" t="s">
        <v>34</v>
      </c>
      <c r="I10788" s="2" t="s">
        <v>28984</v>
      </c>
      <c r="J10788" s="2" t="s">
        <v>5765</v>
      </c>
      <c r="K10788" s="2" t="s">
        <v>454</v>
      </c>
      <c r="L10788" s="2" t="s">
        <v>34</v>
      </c>
      <c r="M10788" s="10">
        <v>1337.95</v>
      </c>
      <c r="N10788" s="6">
        <v>24.32</v>
      </c>
      <c r="O10788" s="5">
        <v>24.7</v>
      </c>
      <c r="P10788" s="2" t="s">
        <v>31383</v>
      </c>
      <c r="Q10788" s="6">
        <v>100</v>
      </c>
      <c r="R10788" s="6">
        <v>19.57</v>
      </c>
      <c r="S10788" s="5">
        <v>-384.2</v>
      </c>
      <c r="T10788" s="6">
        <v>153.41</v>
      </c>
      <c r="U10788" s="5">
        <v>-7.8</v>
      </c>
      <c r="V10788" s="9">
        <v>-11.8935</v>
      </c>
      <c r="W10788" s="6">
        <v>8.08</v>
      </c>
      <c r="X10788" s="6">
        <v>8.5399999999999991</v>
      </c>
      <c r="Y10788" s="6">
        <v>13.83</v>
      </c>
      <c r="Z10788" s="6">
        <v>13.62</v>
      </c>
      <c r="AA10788" s="6">
        <v>36.840000000000003</v>
      </c>
      <c r="AB10788" s="7">
        <v>14.005000000000001</v>
      </c>
      <c r="AC10788" s="5">
        <v>179.6</v>
      </c>
    </row>
    <row r="10789" spans="1:29" ht="130" x14ac:dyDescent="0.15">
      <c r="A10789" s="3">
        <f>DATE(2014,5,15)</f>
        <v>41774</v>
      </c>
      <c r="B10789" s="3">
        <f>DATE(2014,12,2)</f>
        <v>41975</v>
      </c>
      <c r="C10789" s="2" t="s">
        <v>95</v>
      </c>
      <c r="D10789" s="2" t="s">
        <v>23414</v>
      </c>
      <c r="E10789" s="2" t="s">
        <v>23415</v>
      </c>
      <c r="F10789" s="4">
        <v>3572</v>
      </c>
      <c r="G10789" s="2" t="s">
        <v>50</v>
      </c>
      <c r="H10789" s="2" t="s">
        <v>34</v>
      </c>
      <c r="I10789" s="2" t="s">
        <v>31384</v>
      </c>
      <c r="J10789" s="2" t="s">
        <v>31385</v>
      </c>
      <c r="K10789" s="2" t="s">
        <v>223</v>
      </c>
      <c r="L10789" s="2" t="s">
        <v>902</v>
      </c>
      <c r="M10789" s="2"/>
      <c r="N10789" s="7">
        <v>8.6340000000000003</v>
      </c>
      <c r="O10789" s="6">
        <v>8.65</v>
      </c>
      <c r="P10789" s="2" t="s">
        <v>31386</v>
      </c>
      <c r="Q10789" s="6">
        <v>100</v>
      </c>
      <c r="R10789" s="6">
        <v>4.45</v>
      </c>
      <c r="S10789" s="5">
        <v>-21</v>
      </c>
      <c r="T10789" s="7">
        <v>-18.542999999999999</v>
      </c>
      <c r="U10789" s="5">
        <v>2.2999999999999998</v>
      </c>
      <c r="V10789" s="9">
        <v>-2.5518000000000001</v>
      </c>
      <c r="W10789" s="6">
        <v>2.74</v>
      </c>
      <c r="X10789" s="5">
        <v>2.9</v>
      </c>
      <c r="Y10789" s="6">
        <v>2.99</v>
      </c>
      <c r="Z10789" s="5">
        <v>3.6</v>
      </c>
      <c r="AA10789" s="6">
        <v>17.510000000000002</v>
      </c>
      <c r="AB10789" s="2" t="s">
        <v>86</v>
      </c>
      <c r="AC10789" s="6">
        <v>1.66</v>
      </c>
    </row>
    <row r="10790" spans="1:29" ht="78" x14ac:dyDescent="0.15">
      <c r="A10790" s="3">
        <f>DATE(2014,5,15)</f>
        <v>41774</v>
      </c>
      <c r="B10790" s="2"/>
      <c r="C10790" s="2" t="s">
        <v>141</v>
      </c>
      <c r="D10790" s="2" t="s">
        <v>31387</v>
      </c>
      <c r="E10790" s="2" t="s">
        <v>31388</v>
      </c>
      <c r="F10790" s="4">
        <v>7371</v>
      </c>
      <c r="G10790" s="2" t="s">
        <v>223</v>
      </c>
      <c r="H10790" s="2" t="s">
        <v>34</v>
      </c>
      <c r="I10790" s="2" t="s">
        <v>143</v>
      </c>
      <c r="J10790" s="2" t="s">
        <v>144</v>
      </c>
      <c r="K10790" s="2" t="s">
        <v>53</v>
      </c>
      <c r="L10790" s="2" t="s">
        <v>139</v>
      </c>
      <c r="M10790" s="2"/>
      <c r="N10790" s="2"/>
      <c r="O10790" s="2"/>
      <c r="P10790" s="2" t="s">
        <v>31389</v>
      </c>
      <c r="Q10790" s="2"/>
      <c r="R10790" s="2"/>
      <c r="S10790" s="5">
        <v>84.9</v>
      </c>
      <c r="T10790" s="7">
        <v>460.14800000000002</v>
      </c>
      <c r="U10790" s="5">
        <v>7.7</v>
      </c>
      <c r="V10790" s="9">
        <v>0.59260000000000002</v>
      </c>
      <c r="W10790" s="6">
        <v>26.64</v>
      </c>
      <c r="X10790" s="6">
        <v>28.64</v>
      </c>
      <c r="Y10790" s="6">
        <v>30.68</v>
      </c>
      <c r="Z10790" s="6">
        <v>36.119999999999997</v>
      </c>
      <c r="AA10790" s="6">
        <v>142.07</v>
      </c>
      <c r="AB10790" s="2" t="s">
        <v>47</v>
      </c>
      <c r="AC10790" s="2"/>
    </row>
    <row r="10791" spans="1:29" ht="156" x14ac:dyDescent="0.15">
      <c r="A10791" s="3">
        <f>DATE(2014,5,18)</f>
        <v>41777</v>
      </c>
      <c r="B10791" s="3">
        <f>DATE(2015,7,24)</f>
        <v>42209</v>
      </c>
      <c r="C10791" s="2" t="s">
        <v>95</v>
      </c>
      <c r="D10791" s="2" t="s">
        <v>31306</v>
      </c>
      <c r="E10791" s="2" t="s">
        <v>4285</v>
      </c>
      <c r="F10791" s="4">
        <v>4841</v>
      </c>
      <c r="G10791" s="2" t="s">
        <v>45</v>
      </c>
      <c r="H10791" s="2" t="s">
        <v>34</v>
      </c>
      <c r="I10791" s="2" t="s">
        <v>23830</v>
      </c>
      <c r="J10791" s="2" t="s">
        <v>973</v>
      </c>
      <c r="K10791" s="2" t="s">
        <v>63</v>
      </c>
      <c r="L10791" s="2" t="s">
        <v>34</v>
      </c>
      <c r="M10791" s="12">
        <v>187654.856</v>
      </c>
      <c r="N10791" s="6">
        <v>36.380000000000003</v>
      </c>
      <c r="O10791" s="6">
        <v>36.380000000000003</v>
      </c>
      <c r="P10791" s="2" t="s">
        <v>31390</v>
      </c>
      <c r="Q10791" s="6">
        <v>100</v>
      </c>
      <c r="R10791" s="6">
        <v>95</v>
      </c>
      <c r="S10791" s="8">
        <v>2730</v>
      </c>
      <c r="T10791" s="8">
        <v>8280</v>
      </c>
      <c r="U10791" s="5">
        <v>-13.6</v>
      </c>
      <c r="V10791" s="9">
        <v>5.0606</v>
      </c>
      <c r="W10791" s="6">
        <v>77.03</v>
      </c>
      <c r="X10791" s="5">
        <v>77.599999999999994</v>
      </c>
      <c r="Y10791" s="6">
        <v>80.760000000000005</v>
      </c>
      <c r="Z10791" s="6">
        <v>79.87</v>
      </c>
      <c r="AA10791" s="6">
        <v>503.82</v>
      </c>
      <c r="AB10791" s="7">
        <v>12.471</v>
      </c>
      <c r="AC10791" s="8">
        <v>3611</v>
      </c>
    </row>
    <row r="10792" spans="1:29" ht="104" x14ac:dyDescent="0.15">
      <c r="A10792" s="3">
        <f>DATE(2014,5,20)</f>
        <v>41779</v>
      </c>
      <c r="B10792" s="3">
        <f>DATE(2014,9,15)</f>
        <v>41897</v>
      </c>
      <c r="C10792" s="2" t="s">
        <v>95</v>
      </c>
      <c r="D10792" s="2" t="s">
        <v>31391</v>
      </c>
      <c r="E10792" s="2" t="s">
        <v>31392</v>
      </c>
      <c r="F10792" s="4">
        <v>3674</v>
      </c>
      <c r="G10792" s="2" t="s">
        <v>137</v>
      </c>
      <c r="H10792" s="2" t="s">
        <v>34</v>
      </c>
      <c r="I10792" s="2" t="s">
        <v>31393</v>
      </c>
      <c r="J10792" s="2" t="s">
        <v>31394</v>
      </c>
      <c r="K10792" s="2" t="s">
        <v>219</v>
      </c>
      <c r="L10792" s="2" t="s">
        <v>303</v>
      </c>
      <c r="M10792" s="12">
        <v>5383.1629999999996</v>
      </c>
      <c r="N10792" s="7">
        <v>5.0170000000000003</v>
      </c>
      <c r="O10792" s="7">
        <v>5.0880000000000001</v>
      </c>
      <c r="P10792" s="2" t="s">
        <v>31395</v>
      </c>
      <c r="Q10792" s="6">
        <v>100</v>
      </c>
      <c r="R10792" s="6">
        <v>10.5</v>
      </c>
      <c r="S10792" s="5">
        <v>-78.599999999999994</v>
      </c>
      <c r="T10792" s="7">
        <v>118.82299999999999</v>
      </c>
      <c r="U10792" s="5">
        <v>3</v>
      </c>
      <c r="V10792" s="9">
        <v>-0.9304</v>
      </c>
      <c r="W10792" s="6">
        <v>8.56</v>
      </c>
      <c r="X10792" s="6">
        <v>8.31</v>
      </c>
      <c r="Y10792" s="6">
        <v>10.42</v>
      </c>
      <c r="Z10792" s="5">
        <v>10.5</v>
      </c>
      <c r="AA10792" s="6">
        <v>85.21</v>
      </c>
      <c r="AB10792" s="7">
        <v>25.658000000000001</v>
      </c>
      <c r="AC10792" s="6">
        <v>343.02</v>
      </c>
    </row>
    <row r="10793" spans="1:29" ht="117" x14ac:dyDescent="0.15">
      <c r="A10793" s="3">
        <f>DATE(2014,5,22)</f>
        <v>41781</v>
      </c>
      <c r="B10793" s="2"/>
      <c r="C10793" s="2" t="s">
        <v>7330</v>
      </c>
      <c r="D10793" s="2" t="s">
        <v>31396</v>
      </c>
      <c r="E10793" s="2" t="s">
        <v>29798</v>
      </c>
      <c r="F10793" s="4">
        <v>6029</v>
      </c>
      <c r="G10793" s="2" t="s">
        <v>37</v>
      </c>
      <c r="H10793" s="2" t="s">
        <v>34</v>
      </c>
      <c r="I10793" s="2" t="s">
        <v>31397</v>
      </c>
      <c r="J10793" s="2" t="s">
        <v>36</v>
      </c>
      <c r="K10793" s="2" t="s">
        <v>37</v>
      </c>
      <c r="L10793" s="2" t="s">
        <v>34</v>
      </c>
      <c r="M10793" s="7">
        <v>111.49299999999999</v>
      </c>
      <c r="N10793" s="6">
        <v>29.25</v>
      </c>
      <c r="O10793" s="4">
        <v>29</v>
      </c>
      <c r="P10793" s="2" t="s">
        <v>31398</v>
      </c>
      <c r="Q10793" s="2"/>
      <c r="R10793" s="6">
        <v>3.32</v>
      </c>
      <c r="S10793" s="2"/>
      <c r="T10793" s="2"/>
      <c r="U10793" s="2"/>
      <c r="V10793" s="2"/>
      <c r="W10793" s="5">
        <v>2.2999999999999998</v>
      </c>
      <c r="X10793" s="5">
        <v>2.2999999999999998</v>
      </c>
      <c r="Y10793" s="5">
        <v>2.2999999999999998</v>
      </c>
      <c r="Z10793" s="6">
        <v>3.05</v>
      </c>
      <c r="AA10793" s="6">
        <v>1.79</v>
      </c>
      <c r="AB10793" s="2" t="s">
        <v>47</v>
      </c>
      <c r="AC10793" s="2"/>
    </row>
    <row r="10794" spans="1:29" ht="195" x14ac:dyDescent="0.15">
      <c r="A10794" s="3">
        <f>DATE(2014,5,27)</f>
        <v>41786</v>
      </c>
      <c r="B10794" s="2"/>
      <c r="C10794" s="2" t="s">
        <v>30</v>
      </c>
      <c r="D10794" s="2" t="s">
        <v>31373</v>
      </c>
      <c r="E10794" s="2" t="s">
        <v>14212</v>
      </c>
      <c r="F10794" s="4">
        <v>2011</v>
      </c>
      <c r="G10794" s="2" t="s">
        <v>577</v>
      </c>
      <c r="H10794" s="2" t="s">
        <v>34</v>
      </c>
      <c r="I10794" s="2" t="s">
        <v>17722</v>
      </c>
      <c r="J10794" s="2" t="s">
        <v>31399</v>
      </c>
      <c r="K10794" s="2" t="s">
        <v>577</v>
      </c>
      <c r="L10794" s="2" t="s">
        <v>34</v>
      </c>
      <c r="M10794" s="12">
        <v>5569.1239999999998</v>
      </c>
      <c r="N10794" s="6">
        <v>25.52</v>
      </c>
      <c r="O10794" s="6">
        <v>25.38</v>
      </c>
      <c r="P10794" s="2" t="s">
        <v>31400</v>
      </c>
      <c r="Q10794" s="2"/>
      <c r="R10794" s="6">
        <v>55</v>
      </c>
      <c r="S10794" s="5">
        <v>223</v>
      </c>
      <c r="T10794" s="5">
        <v>531</v>
      </c>
      <c r="U10794" s="5">
        <v>4.9000000000000004</v>
      </c>
      <c r="V10794" s="9">
        <v>1.7765</v>
      </c>
      <c r="W10794" s="6">
        <v>35.64</v>
      </c>
      <c r="X10794" s="6">
        <v>37.020000000000003</v>
      </c>
      <c r="Y10794" s="6">
        <v>45.19</v>
      </c>
      <c r="Z10794" s="6">
        <v>44.99</v>
      </c>
      <c r="AA10794" s="6">
        <v>122.65</v>
      </c>
      <c r="AB10794" s="7">
        <v>19.515000000000001</v>
      </c>
      <c r="AC10794" s="6">
        <v>551.98</v>
      </c>
    </row>
    <row r="10795" spans="1:29" ht="91" x14ac:dyDescent="0.15">
      <c r="A10795" s="3">
        <f>DATE(2014,5,27)</f>
        <v>41786</v>
      </c>
      <c r="B10795" s="3">
        <f>DATE(2014,8,27)</f>
        <v>41878</v>
      </c>
      <c r="C10795" s="2" t="s">
        <v>95</v>
      </c>
      <c r="D10795" s="2" t="s">
        <v>31401</v>
      </c>
      <c r="E10795" s="2" t="s">
        <v>31402</v>
      </c>
      <c r="F10795" s="4">
        <v>8742</v>
      </c>
      <c r="G10795" s="2" t="s">
        <v>223</v>
      </c>
      <c r="H10795" s="2" t="s">
        <v>34</v>
      </c>
      <c r="I10795" s="2" t="s">
        <v>31403</v>
      </c>
      <c r="J10795" s="2" t="s">
        <v>31404</v>
      </c>
      <c r="K10795" s="2" t="s">
        <v>4563</v>
      </c>
      <c r="L10795" s="2" t="s">
        <v>34</v>
      </c>
      <c r="M10795" s="2"/>
      <c r="N10795" s="2"/>
      <c r="O10795" s="2"/>
      <c r="P10795" s="2" t="s">
        <v>31405</v>
      </c>
      <c r="Q10795" s="6">
        <v>100</v>
      </c>
      <c r="R10795" s="6">
        <v>2.8</v>
      </c>
      <c r="S10795" s="5">
        <v>2.2999999999999998</v>
      </c>
      <c r="T10795" s="7">
        <v>3.5870000000000002</v>
      </c>
      <c r="U10795" s="5">
        <v>1.4</v>
      </c>
      <c r="V10795" s="9">
        <v>0.13220000000000001</v>
      </c>
      <c r="W10795" s="5">
        <v>1.1000000000000001</v>
      </c>
      <c r="X10795" s="6">
        <v>1.05</v>
      </c>
      <c r="Y10795" s="6">
        <v>1.05</v>
      </c>
      <c r="Z10795" s="6">
        <v>2.69</v>
      </c>
      <c r="AA10795" s="6">
        <v>13.94</v>
      </c>
      <c r="AB10795" s="7">
        <v>8.7509999999999994</v>
      </c>
      <c r="AC10795" s="2"/>
    </row>
    <row r="10796" spans="1:29" ht="117" x14ac:dyDescent="0.15">
      <c r="A10796" s="3">
        <f>DATE(2014,5,28)</f>
        <v>41787</v>
      </c>
      <c r="B10796" s="3">
        <f>DATE(2014,7,16)</f>
        <v>41836</v>
      </c>
      <c r="C10796" s="2" t="s">
        <v>95</v>
      </c>
      <c r="D10796" s="2" t="s">
        <v>31406</v>
      </c>
      <c r="E10796" s="2" t="s">
        <v>31407</v>
      </c>
      <c r="F10796" s="4">
        <v>2899</v>
      </c>
      <c r="G10796" s="2" t="s">
        <v>98</v>
      </c>
      <c r="H10796" s="2" t="s">
        <v>34</v>
      </c>
      <c r="I10796" s="2" t="s">
        <v>31408</v>
      </c>
      <c r="J10796" s="2" t="s">
        <v>31409</v>
      </c>
      <c r="K10796" s="2" t="s">
        <v>148</v>
      </c>
      <c r="L10796" s="2" t="s">
        <v>34</v>
      </c>
      <c r="M10796" s="2"/>
      <c r="N10796" s="2"/>
      <c r="O10796" s="2"/>
      <c r="P10796" s="2" t="s">
        <v>31410</v>
      </c>
      <c r="Q10796" s="6">
        <v>26.85</v>
      </c>
      <c r="R10796" s="2"/>
      <c r="S10796" s="5">
        <v>164.6</v>
      </c>
      <c r="T10796" s="7">
        <v>231.52799999999999</v>
      </c>
      <c r="U10796" s="5">
        <v>2.4</v>
      </c>
      <c r="V10796" s="9">
        <v>1.1831</v>
      </c>
      <c r="W10796" s="6">
        <v>12.93</v>
      </c>
      <c r="X10796" s="6">
        <v>12.93</v>
      </c>
      <c r="Y10796" s="5">
        <v>14.3</v>
      </c>
      <c r="Z10796" s="6">
        <v>14.39</v>
      </c>
      <c r="AA10796" s="6">
        <v>139.21</v>
      </c>
      <c r="AB10796" s="7">
        <v>12.241</v>
      </c>
      <c r="AC10796" s="2"/>
    </row>
    <row r="10797" spans="1:29" ht="156" x14ac:dyDescent="0.15">
      <c r="A10797" s="3">
        <f>DATE(2014,5,28)</f>
        <v>41787</v>
      </c>
      <c r="B10797" s="3">
        <f>DATE(2014,7,16)</f>
        <v>41836</v>
      </c>
      <c r="C10797" s="2" t="s">
        <v>95</v>
      </c>
      <c r="D10797" s="2" t="s">
        <v>31406</v>
      </c>
      <c r="E10797" s="2" t="s">
        <v>31407</v>
      </c>
      <c r="F10797" s="4">
        <v>2899</v>
      </c>
      <c r="G10797" s="2" t="s">
        <v>98</v>
      </c>
      <c r="H10797" s="2" t="s">
        <v>34</v>
      </c>
      <c r="I10797" s="2" t="s">
        <v>31408</v>
      </c>
      <c r="J10797" s="2" t="s">
        <v>31409</v>
      </c>
      <c r="K10797" s="2" t="s">
        <v>148</v>
      </c>
      <c r="L10797" s="2" t="s">
        <v>34</v>
      </c>
      <c r="M10797" s="2"/>
      <c r="N10797" s="2"/>
      <c r="O10797" s="2"/>
      <c r="P10797" s="2" t="s">
        <v>31411</v>
      </c>
      <c r="Q10797" s="6">
        <v>73.16</v>
      </c>
      <c r="R10797" s="6">
        <v>12</v>
      </c>
      <c r="S10797" s="5">
        <v>164.6</v>
      </c>
      <c r="T10797" s="7">
        <v>231.52799999999999</v>
      </c>
      <c r="U10797" s="5">
        <v>2.4</v>
      </c>
      <c r="V10797" s="9">
        <v>1.1831</v>
      </c>
      <c r="W10797" s="6">
        <v>12.93</v>
      </c>
      <c r="X10797" s="6">
        <v>12.93</v>
      </c>
      <c r="Y10797" s="5">
        <v>14.3</v>
      </c>
      <c r="Z10797" s="6">
        <v>14.39</v>
      </c>
      <c r="AA10797" s="6">
        <v>139.21</v>
      </c>
      <c r="AB10797" s="7">
        <v>10.753</v>
      </c>
      <c r="AC10797" s="2"/>
    </row>
    <row r="10798" spans="1:29" ht="260" x14ac:dyDescent="0.15">
      <c r="A10798" s="3">
        <f>DATE(2014,5,29)</f>
        <v>41788</v>
      </c>
      <c r="B10798" s="3">
        <f>DATE(2014,8,28)</f>
        <v>41879</v>
      </c>
      <c r="C10798" s="2" t="s">
        <v>95</v>
      </c>
      <c r="D10798" s="2" t="s">
        <v>31373</v>
      </c>
      <c r="E10798" s="2" t="s">
        <v>14212</v>
      </c>
      <c r="F10798" s="4">
        <v>2011</v>
      </c>
      <c r="G10798" s="2" t="s">
        <v>577</v>
      </c>
      <c r="H10798" s="2" t="s">
        <v>34</v>
      </c>
      <c r="I10798" s="2" t="s">
        <v>2960</v>
      </c>
      <c r="J10798" s="2" t="s">
        <v>18126</v>
      </c>
      <c r="K10798" s="2" t="s">
        <v>577</v>
      </c>
      <c r="L10798" s="2" t="s">
        <v>34</v>
      </c>
      <c r="M10798" s="12">
        <v>14776.328</v>
      </c>
      <c r="N10798" s="6">
        <v>43.25</v>
      </c>
      <c r="O10798" s="6">
        <v>42.46</v>
      </c>
      <c r="P10798" s="2" t="s">
        <v>31412</v>
      </c>
      <c r="Q10798" s="6">
        <v>100</v>
      </c>
      <c r="R10798" s="6">
        <v>63</v>
      </c>
      <c r="S10798" s="5">
        <v>223</v>
      </c>
      <c r="T10798" s="5">
        <v>531</v>
      </c>
      <c r="U10798" s="5">
        <v>4.9000000000000004</v>
      </c>
      <c r="V10798" s="9">
        <v>1.7765</v>
      </c>
      <c r="W10798" s="6">
        <v>35.64</v>
      </c>
      <c r="X10798" s="6">
        <v>37.020000000000003</v>
      </c>
      <c r="Y10798" s="6">
        <v>45.19</v>
      </c>
      <c r="Z10798" s="6">
        <v>44.99</v>
      </c>
      <c r="AA10798" s="6">
        <v>122.65</v>
      </c>
      <c r="AB10798" s="7">
        <v>22.138999999999999</v>
      </c>
      <c r="AC10798" s="5">
        <v>438</v>
      </c>
    </row>
    <row r="10799" spans="1:29" ht="143" x14ac:dyDescent="0.15">
      <c r="A10799" s="3">
        <f>DATE(2014,5,29)</f>
        <v>41788</v>
      </c>
      <c r="B10799" s="3">
        <f>DATE(2014,11,14)</f>
        <v>41957</v>
      </c>
      <c r="C10799" s="2" t="s">
        <v>95</v>
      </c>
      <c r="D10799" s="2" t="s">
        <v>31413</v>
      </c>
      <c r="E10799" s="2" t="s">
        <v>29798</v>
      </c>
      <c r="F10799" s="4">
        <v>6021</v>
      </c>
      <c r="G10799" s="2" t="s">
        <v>37</v>
      </c>
      <c r="H10799" s="2" t="s">
        <v>34</v>
      </c>
      <c r="I10799" s="2" t="s">
        <v>27442</v>
      </c>
      <c r="J10799" s="2" t="s">
        <v>265</v>
      </c>
      <c r="K10799" s="2" t="s">
        <v>37</v>
      </c>
      <c r="L10799" s="2" t="s">
        <v>34</v>
      </c>
      <c r="M10799" s="7">
        <v>79.694000000000003</v>
      </c>
      <c r="N10799" s="7">
        <v>6.6890000000000001</v>
      </c>
      <c r="O10799" s="5">
        <v>6.7</v>
      </c>
      <c r="P10799" s="2" t="s">
        <v>31414</v>
      </c>
      <c r="Q10799" s="6">
        <v>100</v>
      </c>
      <c r="R10799" s="6">
        <v>6.25</v>
      </c>
      <c r="S10799" s="5">
        <v>0.3</v>
      </c>
      <c r="T10799" s="6">
        <v>0.44</v>
      </c>
      <c r="U10799" s="5">
        <v>6</v>
      </c>
      <c r="V10799" s="6">
        <v>0.03</v>
      </c>
      <c r="W10799" s="4">
        <v>3</v>
      </c>
      <c r="X10799" s="4">
        <v>3</v>
      </c>
      <c r="Y10799" s="4">
        <v>3</v>
      </c>
      <c r="Z10799" s="4">
        <v>6</v>
      </c>
      <c r="AA10799" s="6">
        <v>1.53</v>
      </c>
      <c r="AB10799" s="7">
        <v>79.790999999999997</v>
      </c>
      <c r="AC10799" s="2"/>
    </row>
    <row r="10800" spans="1:29" ht="117" x14ac:dyDescent="0.15">
      <c r="A10800" s="3">
        <f>DATE(2014,6,2)</f>
        <v>41792</v>
      </c>
      <c r="B10800" s="3">
        <f>DATE(2015,1,16)</f>
        <v>42020</v>
      </c>
      <c r="C10800" s="2" t="s">
        <v>95</v>
      </c>
      <c r="D10800" s="2" t="s">
        <v>31415</v>
      </c>
      <c r="E10800" s="2" t="s">
        <v>31416</v>
      </c>
      <c r="F10800" s="4">
        <v>6798</v>
      </c>
      <c r="G10800" s="2" t="s">
        <v>53</v>
      </c>
      <c r="H10800" s="2" t="s">
        <v>34</v>
      </c>
      <c r="I10800" s="2" t="s">
        <v>21443</v>
      </c>
      <c r="J10800" s="2" t="s">
        <v>92</v>
      </c>
      <c r="K10800" s="2" t="s">
        <v>53</v>
      </c>
      <c r="L10800" s="2" t="s">
        <v>34</v>
      </c>
      <c r="M10800" s="10">
        <v>19714.689999999999</v>
      </c>
      <c r="N10800" s="6">
        <v>64.930000000000007</v>
      </c>
      <c r="O10800" s="6">
        <v>64.84</v>
      </c>
      <c r="P10800" s="2" t="s">
        <v>31417</v>
      </c>
      <c r="Q10800" s="6">
        <v>100</v>
      </c>
      <c r="R10800" s="6">
        <v>11.33</v>
      </c>
      <c r="S10800" s="5">
        <v>-25.7</v>
      </c>
      <c r="T10800" s="7">
        <v>78.049000000000007</v>
      </c>
      <c r="U10800" s="5">
        <v>7.8</v>
      </c>
      <c r="V10800" s="9">
        <v>-0.1421</v>
      </c>
      <c r="W10800" s="6">
        <v>9.56</v>
      </c>
      <c r="X10800" s="6">
        <v>9.9499999999999993</v>
      </c>
      <c r="Y10800" s="6">
        <v>10.91</v>
      </c>
      <c r="Z10800" s="6">
        <v>10.88</v>
      </c>
      <c r="AA10800" s="6">
        <v>169.3</v>
      </c>
      <c r="AB10800" s="2" t="s">
        <v>86</v>
      </c>
      <c r="AC10800" s="6">
        <v>59.79</v>
      </c>
    </row>
    <row r="10801" spans="1:29" ht="182" x14ac:dyDescent="0.15">
      <c r="A10801" s="3">
        <f>DATE(2014,6,3)</f>
        <v>41793</v>
      </c>
      <c r="B10801" s="3">
        <f>DATE(2014,11,1)</f>
        <v>41944</v>
      </c>
      <c r="C10801" s="2" t="s">
        <v>95</v>
      </c>
      <c r="D10801" s="2" t="s">
        <v>31418</v>
      </c>
      <c r="E10801" s="2" t="s">
        <v>36</v>
      </c>
      <c r="F10801" s="4">
        <v>6035</v>
      </c>
      <c r="G10801" s="2" t="s">
        <v>33</v>
      </c>
      <c r="H10801" s="2" t="s">
        <v>34</v>
      </c>
      <c r="I10801" s="2" t="s">
        <v>30931</v>
      </c>
      <c r="J10801" s="2" t="s">
        <v>29798</v>
      </c>
      <c r="K10801" s="2" t="s">
        <v>37</v>
      </c>
      <c r="L10801" s="2" t="s">
        <v>34</v>
      </c>
      <c r="M10801" s="12">
        <v>1366.1469999999999</v>
      </c>
      <c r="N10801" s="6">
        <v>13.68</v>
      </c>
      <c r="O10801" s="6">
        <v>13.62</v>
      </c>
      <c r="P10801" s="2" t="s">
        <v>31419</v>
      </c>
      <c r="Q10801" s="6">
        <v>100</v>
      </c>
      <c r="R10801" s="6">
        <v>41.72</v>
      </c>
      <c r="S10801" s="5">
        <v>2.4</v>
      </c>
      <c r="T10801" s="7">
        <v>4.202</v>
      </c>
      <c r="U10801" s="5">
        <v>26.3</v>
      </c>
      <c r="V10801" s="7">
        <v>1.5269999999999999</v>
      </c>
      <c r="W10801" s="6">
        <v>28.89</v>
      </c>
      <c r="X10801" s="5">
        <v>28.3</v>
      </c>
      <c r="Y10801" s="5">
        <v>28.3</v>
      </c>
      <c r="Z10801" s="5">
        <v>40.4</v>
      </c>
      <c r="AA10801" s="6">
        <v>1.57</v>
      </c>
      <c r="AB10801" s="7">
        <v>20.204999999999998</v>
      </c>
      <c r="AC10801" s="2"/>
    </row>
    <row r="10802" spans="1:29" ht="91" x14ac:dyDescent="0.15">
      <c r="A10802" s="3">
        <f>DATE(2014,6,3)</f>
        <v>41793</v>
      </c>
      <c r="B10802" s="3">
        <f>DATE(2015,2,1)</f>
        <v>42036</v>
      </c>
      <c r="C10802" s="2" t="s">
        <v>95</v>
      </c>
      <c r="D10802" s="2" t="s">
        <v>11664</v>
      </c>
      <c r="E10802" s="2" t="s">
        <v>515</v>
      </c>
      <c r="F10802" s="4">
        <v>6311</v>
      </c>
      <c r="G10802" s="2" t="s">
        <v>125</v>
      </c>
      <c r="H10802" s="2" t="s">
        <v>34</v>
      </c>
      <c r="I10802" s="2" t="s">
        <v>31420</v>
      </c>
      <c r="J10802" s="2" t="s">
        <v>1563</v>
      </c>
      <c r="K10802" s="2" t="s">
        <v>125</v>
      </c>
      <c r="L10802" s="2" t="s">
        <v>99</v>
      </c>
      <c r="M10802" s="12">
        <v>14255.616</v>
      </c>
      <c r="N10802" s="7">
        <v>14.114000000000001</v>
      </c>
      <c r="O10802" s="6">
        <v>14.59</v>
      </c>
      <c r="P10802" s="2" t="s">
        <v>31421</v>
      </c>
      <c r="Q10802" s="6">
        <v>100</v>
      </c>
      <c r="R10802" s="6">
        <v>70</v>
      </c>
      <c r="S10802" s="5">
        <v>398.8</v>
      </c>
      <c r="T10802" s="6">
        <v>782.57</v>
      </c>
      <c r="U10802" s="5">
        <v>41.1</v>
      </c>
      <c r="V10802" s="9">
        <v>4.9223999999999997</v>
      </c>
      <c r="W10802" s="6">
        <v>51.54</v>
      </c>
      <c r="X10802" s="5">
        <v>52.3</v>
      </c>
      <c r="Y10802" s="6">
        <v>58.51</v>
      </c>
      <c r="Z10802" s="6">
        <v>58.72</v>
      </c>
      <c r="AA10802" s="6">
        <v>81.540000000000006</v>
      </c>
      <c r="AB10802" s="7">
        <v>10.182</v>
      </c>
      <c r="AC10802" s="10">
        <v>10926.07</v>
      </c>
    </row>
    <row r="10803" spans="1:29" ht="169" x14ac:dyDescent="0.15">
      <c r="A10803" s="3">
        <f>DATE(2014,6,4)</f>
        <v>41794</v>
      </c>
      <c r="B10803" s="3">
        <f>DATE(2014,10,24)</f>
        <v>41936</v>
      </c>
      <c r="C10803" s="2" t="s">
        <v>95</v>
      </c>
      <c r="D10803" s="2" t="s">
        <v>30445</v>
      </c>
      <c r="E10803" s="2" t="s">
        <v>17331</v>
      </c>
      <c r="F10803" s="4">
        <v>6712</v>
      </c>
      <c r="G10803" s="2" t="s">
        <v>37</v>
      </c>
      <c r="H10803" s="2" t="s">
        <v>34</v>
      </c>
      <c r="I10803" s="2" t="s">
        <v>345</v>
      </c>
      <c r="J10803" s="2" t="s">
        <v>36</v>
      </c>
      <c r="K10803" s="2" t="s">
        <v>37</v>
      </c>
      <c r="L10803" s="2" t="s">
        <v>34</v>
      </c>
      <c r="M10803" s="12">
        <v>1368.021</v>
      </c>
      <c r="N10803" s="6">
        <v>10.43</v>
      </c>
      <c r="O10803" s="6">
        <v>10.59</v>
      </c>
      <c r="P10803" s="2" t="s">
        <v>31422</v>
      </c>
      <c r="Q10803" s="6">
        <v>100</v>
      </c>
      <c r="R10803" s="6">
        <v>44.06</v>
      </c>
      <c r="S10803" s="5">
        <v>6.7</v>
      </c>
      <c r="T10803" s="7">
        <v>8.5690000000000008</v>
      </c>
      <c r="U10803" s="5">
        <v>30.8</v>
      </c>
      <c r="V10803" s="9">
        <v>2.2667000000000002</v>
      </c>
      <c r="W10803" s="6">
        <v>31.68</v>
      </c>
      <c r="X10803" s="6">
        <v>31.84</v>
      </c>
      <c r="Y10803" s="5">
        <v>42.1</v>
      </c>
      <c r="Z10803" s="4">
        <v>43</v>
      </c>
      <c r="AA10803" s="6">
        <v>3.15</v>
      </c>
      <c r="AB10803" s="7">
        <v>23.69</v>
      </c>
      <c r="AC10803" s="2"/>
    </row>
    <row r="10804" spans="1:29" ht="130" x14ac:dyDescent="0.15">
      <c r="A10804" s="3">
        <f>DATE(2014,6,9)</f>
        <v>41799</v>
      </c>
      <c r="B10804" s="2"/>
      <c r="C10804" s="2" t="s">
        <v>56</v>
      </c>
      <c r="D10804" s="2" t="s">
        <v>31423</v>
      </c>
      <c r="E10804" s="2" t="s">
        <v>31424</v>
      </c>
      <c r="F10804" s="4">
        <v>3423</v>
      </c>
      <c r="G10804" s="2" t="s">
        <v>163</v>
      </c>
      <c r="H10804" s="2" t="s">
        <v>34</v>
      </c>
      <c r="I10804" s="2" t="s">
        <v>28509</v>
      </c>
      <c r="J10804" s="2" t="s">
        <v>1072</v>
      </c>
      <c r="K10804" s="2" t="s">
        <v>137</v>
      </c>
      <c r="L10804" s="2" t="s">
        <v>34</v>
      </c>
      <c r="M10804" s="12">
        <v>1717.7539999999999</v>
      </c>
      <c r="N10804" s="6">
        <v>12.18</v>
      </c>
      <c r="O10804" s="6">
        <v>12.26</v>
      </c>
      <c r="P10804" s="2" t="s">
        <v>31425</v>
      </c>
      <c r="Q10804" s="2"/>
      <c r="R10804" s="6">
        <v>10</v>
      </c>
      <c r="S10804" s="5">
        <v>-0.7</v>
      </c>
      <c r="T10804" s="7">
        <v>84.759</v>
      </c>
      <c r="U10804" s="5">
        <v>9.6</v>
      </c>
      <c r="V10804" s="7">
        <v>-1.4999999999999999E-2</v>
      </c>
      <c r="W10804" s="6">
        <v>7.75</v>
      </c>
      <c r="X10804" s="6">
        <v>7.84</v>
      </c>
      <c r="Y10804" s="6">
        <v>8.64</v>
      </c>
      <c r="Z10804" s="6">
        <v>8.5299999999999994</v>
      </c>
      <c r="AA10804" s="6">
        <v>12.31</v>
      </c>
      <c r="AB10804" s="7">
        <v>20.111000000000001</v>
      </c>
      <c r="AC10804" s="8">
        <v>1319.8</v>
      </c>
    </row>
    <row r="10805" spans="1:29" ht="169" x14ac:dyDescent="0.15">
      <c r="A10805" s="3">
        <f>DATE(2014,6,9)</f>
        <v>41799</v>
      </c>
      <c r="B10805" s="3">
        <f>DATE(2014,7,22)</f>
        <v>41842</v>
      </c>
      <c r="C10805" s="2" t="s">
        <v>95</v>
      </c>
      <c r="D10805" s="2" t="s">
        <v>31426</v>
      </c>
      <c r="E10805" s="2" t="s">
        <v>1046</v>
      </c>
      <c r="F10805" s="4">
        <v>3674</v>
      </c>
      <c r="G10805" s="2" t="s">
        <v>137</v>
      </c>
      <c r="H10805" s="2" t="s">
        <v>34</v>
      </c>
      <c r="I10805" s="2" t="s">
        <v>31427</v>
      </c>
      <c r="J10805" s="2" t="s">
        <v>4865</v>
      </c>
      <c r="K10805" s="2" t="s">
        <v>137</v>
      </c>
      <c r="L10805" s="2" t="s">
        <v>34</v>
      </c>
      <c r="M10805" s="12">
        <v>16407.813999999998</v>
      </c>
      <c r="N10805" s="6">
        <v>55.31</v>
      </c>
      <c r="O10805" s="6">
        <v>55.79</v>
      </c>
      <c r="P10805" s="2" t="s">
        <v>31428</v>
      </c>
      <c r="Q10805" s="6">
        <v>100</v>
      </c>
      <c r="R10805" s="6">
        <v>78</v>
      </c>
      <c r="S10805" s="5">
        <v>68.8</v>
      </c>
      <c r="T10805" s="7">
        <v>117.154</v>
      </c>
      <c r="U10805" s="5">
        <v>20.5</v>
      </c>
      <c r="V10805" s="6">
        <v>2.23</v>
      </c>
      <c r="W10805" s="6">
        <v>57.92</v>
      </c>
      <c r="X10805" s="6">
        <v>60.56</v>
      </c>
      <c r="Y10805" s="5">
        <v>77.900000000000006</v>
      </c>
      <c r="Z10805" s="6">
        <v>77.86</v>
      </c>
      <c r="AA10805" s="6">
        <v>31.37</v>
      </c>
      <c r="AB10805" s="7">
        <v>18.536000000000001</v>
      </c>
      <c r="AC10805" s="10">
        <v>4807.2299999999996</v>
      </c>
    </row>
    <row r="10806" spans="1:29" ht="156" x14ac:dyDescent="0.15">
      <c r="A10806" s="3">
        <f>DATE(2014,6,9)</f>
        <v>41799</v>
      </c>
      <c r="B10806" s="3">
        <f>DATE(2014,8,5)</f>
        <v>41856</v>
      </c>
      <c r="C10806" s="2" t="s">
        <v>95</v>
      </c>
      <c r="D10806" s="2" t="s">
        <v>31429</v>
      </c>
      <c r="E10806" s="2" t="s">
        <v>6292</v>
      </c>
      <c r="F10806" s="4">
        <v>2834</v>
      </c>
      <c r="G10806" s="2" t="s">
        <v>130</v>
      </c>
      <c r="H10806" s="2" t="s">
        <v>34</v>
      </c>
      <c r="I10806" s="2" t="s">
        <v>4010</v>
      </c>
      <c r="J10806" s="2" t="s">
        <v>31430</v>
      </c>
      <c r="K10806" s="2" t="s">
        <v>130</v>
      </c>
      <c r="L10806" s="2" t="s">
        <v>34</v>
      </c>
      <c r="M10806" s="12">
        <v>161578.18299999999</v>
      </c>
      <c r="N10806" s="6">
        <v>57.94</v>
      </c>
      <c r="O10806" s="6">
        <v>58.49</v>
      </c>
      <c r="P10806" s="2" t="s">
        <v>31431</v>
      </c>
      <c r="Q10806" s="6">
        <v>100</v>
      </c>
      <c r="R10806" s="6">
        <v>24.5</v>
      </c>
      <c r="S10806" s="5">
        <v>-122.3</v>
      </c>
      <c r="T10806" s="7">
        <v>-118.10299999999999</v>
      </c>
      <c r="U10806" s="5">
        <v>0.8</v>
      </c>
      <c r="V10806" s="9">
        <v>-0.91269999999999996</v>
      </c>
      <c r="W10806" s="5">
        <v>6.9</v>
      </c>
      <c r="X10806" s="6">
        <v>7.23</v>
      </c>
      <c r="Y10806" s="6">
        <v>23.79</v>
      </c>
      <c r="Z10806" s="6">
        <v>23.66</v>
      </c>
      <c r="AA10806" s="6">
        <v>150.84</v>
      </c>
      <c r="AB10806" s="2" t="s">
        <v>86</v>
      </c>
      <c r="AC10806" s="8">
        <v>20513</v>
      </c>
    </row>
    <row r="10807" spans="1:29" ht="130" x14ac:dyDescent="0.15">
      <c r="A10807" s="3">
        <f>DATE(2014,6,9)</f>
        <v>41799</v>
      </c>
      <c r="B10807" s="3">
        <f>DATE(2014,10,31)</f>
        <v>41943</v>
      </c>
      <c r="C10807" s="2" t="s">
        <v>95</v>
      </c>
      <c r="D10807" s="2" t="s">
        <v>31432</v>
      </c>
      <c r="E10807" s="2" t="s">
        <v>2855</v>
      </c>
      <c r="F10807" s="4">
        <v>6036</v>
      </c>
      <c r="G10807" s="2" t="s">
        <v>33</v>
      </c>
      <c r="H10807" s="2" t="s">
        <v>34</v>
      </c>
      <c r="I10807" s="2" t="s">
        <v>29422</v>
      </c>
      <c r="J10807" s="2" t="s">
        <v>36</v>
      </c>
      <c r="K10807" s="2" t="s">
        <v>37</v>
      </c>
      <c r="L10807" s="2" t="s">
        <v>34</v>
      </c>
      <c r="M10807" s="7">
        <v>879.96699999999998</v>
      </c>
      <c r="N10807" s="6">
        <v>33.42</v>
      </c>
      <c r="O10807" s="4">
        <v>32</v>
      </c>
      <c r="P10807" s="2" t="s">
        <v>31433</v>
      </c>
      <c r="Q10807" s="6">
        <v>100</v>
      </c>
      <c r="R10807" s="6">
        <v>30.58</v>
      </c>
      <c r="S10807" s="2"/>
      <c r="T10807" s="2"/>
      <c r="U10807" s="2"/>
      <c r="V10807" s="2"/>
      <c r="W10807" s="6">
        <v>23.75</v>
      </c>
      <c r="X10807" s="6">
        <v>21.66</v>
      </c>
      <c r="Y10807" s="6">
        <v>21.66</v>
      </c>
      <c r="Z10807" s="6">
        <v>27.56</v>
      </c>
      <c r="AA10807" s="6">
        <v>6.02</v>
      </c>
      <c r="AB10807" s="2" t="s">
        <v>47</v>
      </c>
      <c r="AC10807" s="2"/>
    </row>
    <row r="10808" spans="1:29" ht="39" x14ac:dyDescent="0.15">
      <c r="A10808" s="3">
        <f>DATE(2014,6,10)</f>
        <v>41800</v>
      </c>
      <c r="B10808" s="3">
        <f>DATE(2014,10,1)</f>
        <v>41913</v>
      </c>
      <c r="C10808" s="2" t="s">
        <v>95</v>
      </c>
      <c r="D10808" s="2" t="s">
        <v>22746</v>
      </c>
      <c r="E10808" s="2" t="s">
        <v>36</v>
      </c>
      <c r="F10808" s="4">
        <v>6712</v>
      </c>
      <c r="G10808" s="2" t="s">
        <v>37</v>
      </c>
      <c r="H10808" s="2" t="s">
        <v>34</v>
      </c>
      <c r="I10808" s="2" t="s">
        <v>31434</v>
      </c>
      <c r="J10808" s="2" t="s">
        <v>29798</v>
      </c>
      <c r="K10808" s="2" t="s">
        <v>37</v>
      </c>
      <c r="L10808" s="2" t="s">
        <v>34</v>
      </c>
      <c r="M10808" s="2"/>
      <c r="N10808" s="4">
        <v>44</v>
      </c>
      <c r="O10808" s="4">
        <v>44</v>
      </c>
      <c r="P10808" s="2" t="s">
        <v>31435</v>
      </c>
      <c r="Q10808" s="6">
        <v>100</v>
      </c>
      <c r="R10808" s="2"/>
      <c r="S10808" s="5">
        <v>47.8</v>
      </c>
      <c r="T10808" s="2"/>
      <c r="U10808" s="8">
        <v>1115.0999999999999</v>
      </c>
      <c r="V10808" s="9">
        <v>69.898300000000006</v>
      </c>
      <c r="W10808" s="4">
        <v>705</v>
      </c>
      <c r="X10808" s="4">
        <v>705</v>
      </c>
      <c r="Y10808" s="4">
        <v>705</v>
      </c>
      <c r="Z10808" s="4">
        <v>1025</v>
      </c>
      <c r="AA10808" s="2"/>
      <c r="AB10808" s="2" t="s">
        <v>47</v>
      </c>
      <c r="AC10808" s="2"/>
    </row>
    <row r="10809" spans="1:29" ht="52" x14ac:dyDescent="0.15">
      <c r="A10809" s="3">
        <f>DATE(2014,6,10)</f>
        <v>41800</v>
      </c>
      <c r="B10809" s="3">
        <f>DATE(2014,8,26)</f>
        <v>41877</v>
      </c>
      <c r="C10809" s="2" t="s">
        <v>95</v>
      </c>
      <c r="D10809" s="2" t="s">
        <v>31436</v>
      </c>
      <c r="E10809" s="2" t="s">
        <v>5102</v>
      </c>
      <c r="F10809" s="4">
        <v>7372</v>
      </c>
      <c r="G10809" s="2" t="s">
        <v>551</v>
      </c>
      <c r="H10809" s="2" t="s">
        <v>34</v>
      </c>
      <c r="I10809" s="2" t="s">
        <v>31437</v>
      </c>
      <c r="J10809" s="2" t="s">
        <v>29360</v>
      </c>
      <c r="K10809" s="2" t="s">
        <v>223</v>
      </c>
      <c r="L10809" s="2" t="s">
        <v>34</v>
      </c>
      <c r="M10809" s="2"/>
      <c r="N10809" s="2"/>
      <c r="O10809" s="2"/>
      <c r="P10809" s="2" t="s">
        <v>31438</v>
      </c>
      <c r="Q10809" s="6">
        <v>100</v>
      </c>
      <c r="R10809" s="2"/>
      <c r="S10809" s="5">
        <v>3.1</v>
      </c>
      <c r="T10809" s="2"/>
      <c r="U10809" s="5">
        <v>2.4</v>
      </c>
      <c r="V10809" s="9">
        <v>0.77449999999999997</v>
      </c>
      <c r="W10809" s="5">
        <v>2.7</v>
      </c>
      <c r="X10809" s="5">
        <v>2.7</v>
      </c>
      <c r="Y10809" s="6">
        <v>2.65</v>
      </c>
      <c r="Z10809" s="6">
        <v>3.15</v>
      </c>
      <c r="AA10809" s="6">
        <v>3.9</v>
      </c>
      <c r="AB10809" s="2" t="s">
        <v>47</v>
      </c>
      <c r="AC10809" s="2"/>
    </row>
    <row r="10810" spans="1:29" ht="65" x14ac:dyDescent="0.15">
      <c r="A10810" s="3">
        <f>DATE(2014,6,12)</f>
        <v>41802</v>
      </c>
      <c r="B10810" s="2"/>
      <c r="C10810" s="2" t="s">
        <v>30</v>
      </c>
      <c r="D10810" s="2" t="s">
        <v>31439</v>
      </c>
      <c r="E10810" s="2" t="s">
        <v>31440</v>
      </c>
      <c r="F10810" s="4">
        <v>5699</v>
      </c>
      <c r="G10810" s="2" t="s">
        <v>756</v>
      </c>
      <c r="H10810" s="2" t="s">
        <v>34</v>
      </c>
      <c r="I10810" s="2" t="s">
        <v>11837</v>
      </c>
      <c r="J10810" s="2" t="s">
        <v>244</v>
      </c>
      <c r="K10810" s="2" t="s">
        <v>53</v>
      </c>
      <c r="L10810" s="2" t="s">
        <v>34</v>
      </c>
      <c r="M10810" s="2"/>
      <c r="N10810" s="2"/>
      <c r="O10810" s="2"/>
      <c r="P10810" s="2" t="s">
        <v>31441</v>
      </c>
      <c r="Q10810" s="2"/>
      <c r="R10810" s="2"/>
      <c r="S10810" s="5">
        <v>89.2</v>
      </c>
      <c r="T10810" s="7">
        <v>241.65199999999999</v>
      </c>
      <c r="U10810" s="5">
        <v>5.7</v>
      </c>
      <c r="V10810" s="7">
        <v>1.0529999999999999</v>
      </c>
      <c r="W10810" s="6">
        <v>13.87</v>
      </c>
      <c r="X10810" s="6">
        <v>13.91</v>
      </c>
      <c r="Y10810" s="6">
        <v>13.55</v>
      </c>
      <c r="Z10810" s="6">
        <v>16.45</v>
      </c>
      <c r="AA10810" s="6">
        <v>84.25</v>
      </c>
      <c r="AB10810" s="2" t="s">
        <v>47</v>
      </c>
      <c r="AC10810" s="2"/>
    </row>
    <row r="10811" spans="1:29" ht="78" x14ac:dyDescent="0.15">
      <c r="A10811" s="3">
        <f>DATE(2014,6,13)</f>
        <v>41803</v>
      </c>
      <c r="B10811" s="2"/>
      <c r="C10811" s="2" t="s">
        <v>30</v>
      </c>
      <c r="D10811" s="2" t="s">
        <v>31442</v>
      </c>
      <c r="E10811" s="2" t="s">
        <v>31443</v>
      </c>
      <c r="F10811" s="4">
        <v>7389</v>
      </c>
      <c r="G10811" s="2" t="s">
        <v>223</v>
      </c>
      <c r="H10811" s="2" t="s">
        <v>34</v>
      </c>
      <c r="I10811" s="2" t="s">
        <v>31444</v>
      </c>
      <c r="J10811" s="2" t="s">
        <v>28138</v>
      </c>
      <c r="K10811" s="2" t="s">
        <v>53</v>
      </c>
      <c r="L10811" s="2" t="s">
        <v>34</v>
      </c>
      <c r="M10811" s="2"/>
      <c r="N10811" s="2"/>
      <c r="O10811" s="2"/>
      <c r="P10811" s="2" t="s">
        <v>31445</v>
      </c>
      <c r="Q10811" s="2"/>
      <c r="R10811" s="6">
        <v>6.55</v>
      </c>
      <c r="S10811" s="5">
        <v>-34.9</v>
      </c>
      <c r="T10811" s="6">
        <v>-12.45</v>
      </c>
      <c r="U10811" s="5">
        <v>2.4</v>
      </c>
      <c r="V10811" s="9">
        <v>-0.3574</v>
      </c>
      <c r="W10811" s="6">
        <v>2.88</v>
      </c>
      <c r="X10811" s="6">
        <v>2.92</v>
      </c>
      <c r="Y10811" s="6">
        <v>2.83</v>
      </c>
      <c r="Z10811" s="6">
        <v>2.98</v>
      </c>
      <c r="AA10811" s="6">
        <v>98.48</v>
      </c>
      <c r="AB10811" s="2" t="s">
        <v>86</v>
      </c>
      <c r="AC10811" s="2"/>
    </row>
    <row r="10812" spans="1:29" ht="143" x14ac:dyDescent="0.15">
      <c r="A10812" s="3">
        <f>DATE(2014,6,13)</f>
        <v>41803</v>
      </c>
      <c r="B10812" s="3">
        <f>DATE(2014,7,24)</f>
        <v>41844</v>
      </c>
      <c r="C10812" s="2" t="s">
        <v>95</v>
      </c>
      <c r="D10812" s="2" t="s">
        <v>31446</v>
      </c>
      <c r="E10812" s="2" t="s">
        <v>31447</v>
      </c>
      <c r="F10812" s="4">
        <v>7389</v>
      </c>
      <c r="G10812" s="2" t="s">
        <v>223</v>
      </c>
      <c r="H10812" s="2" t="s">
        <v>34</v>
      </c>
      <c r="I10812" s="2" t="s">
        <v>30328</v>
      </c>
      <c r="J10812" s="2" t="s">
        <v>30329</v>
      </c>
      <c r="K10812" s="2" t="s">
        <v>173</v>
      </c>
      <c r="L10812" s="2" t="s">
        <v>34</v>
      </c>
      <c r="M10812" s="12">
        <v>59624.017</v>
      </c>
      <c r="N10812" s="5">
        <v>1189.3</v>
      </c>
      <c r="O10812" s="6">
        <v>1202.48</v>
      </c>
      <c r="P10812" s="2" t="s">
        <v>31448</v>
      </c>
      <c r="Q10812" s="6">
        <v>100</v>
      </c>
      <c r="R10812" s="6">
        <v>103</v>
      </c>
      <c r="S10812" s="5">
        <v>22.6</v>
      </c>
      <c r="T10812" s="7">
        <v>78.381</v>
      </c>
      <c r="U10812" s="5">
        <v>10</v>
      </c>
      <c r="V10812" s="9">
        <v>0.93610000000000004</v>
      </c>
      <c r="W10812" s="6">
        <v>70.61</v>
      </c>
      <c r="X10812" s="6">
        <v>70.430000000000007</v>
      </c>
      <c r="Y10812" s="6">
        <v>104.48</v>
      </c>
      <c r="Z10812" s="5">
        <v>103.9</v>
      </c>
      <c r="AA10812" s="6">
        <v>23.52</v>
      </c>
      <c r="AB10812" s="7">
        <v>52.331000000000003</v>
      </c>
      <c r="AC10812" s="10">
        <v>6726.12</v>
      </c>
    </row>
    <row r="10813" spans="1:29" ht="221" x14ac:dyDescent="0.15">
      <c r="A10813" s="3">
        <f>DATE(2014,6,15)</f>
        <v>41805</v>
      </c>
      <c r="B10813" s="3">
        <f>DATE(2014,9,9)</f>
        <v>41891</v>
      </c>
      <c r="C10813" s="2" t="s">
        <v>95</v>
      </c>
      <c r="D10813" s="2" t="s">
        <v>31449</v>
      </c>
      <c r="E10813" s="2" t="s">
        <v>27299</v>
      </c>
      <c r="F10813" s="4">
        <v>4922</v>
      </c>
      <c r="G10813" s="2" t="s">
        <v>439</v>
      </c>
      <c r="H10813" s="2" t="s">
        <v>34</v>
      </c>
      <c r="I10813" s="2" t="s">
        <v>1436</v>
      </c>
      <c r="J10813" s="2" t="s">
        <v>1437</v>
      </c>
      <c r="K10813" s="2" t="s">
        <v>439</v>
      </c>
      <c r="L10813" s="2" t="s">
        <v>34</v>
      </c>
      <c r="M10813" s="12">
        <v>31259.642</v>
      </c>
      <c r="N10813" s="6">
        <v>56.02</v>
      </c>
      <c r="O10813" s="6">
        <v>56.02</v>
      </c>
      <c r="P10813" s="2" t="s">
        <v>31450</v>
      </c>
      <c r="Q10813" s="6">
        <v>14.94</v>
      </c>
      <c r="R10813" s="2"/>
      <c r="S10813" s="5">
        <v>282.10000000000002</v>
      </c>
      <c r="T10813" s="7">
        <v>645.89099999999996</v>
      </c>
      <c r="U10813" s="5">
        <v>18.3</v>
      </c>
      <c r="V10813" s="9">
        <v>1.4821</v>
      </c>
      <c r="W10813" s="6">
        <v>63.37</v>
      </c>
      <c r="X10813" s="6">
        <v>65.36</v>
      </c>
      <c r="Y10813" s="6">
        <v>66.569999999999993</v>
      </c>
      <c r="Z10813" s="6">
        <v>66.569999999999993</v>
      </c>
      <c r="AA10813" s="6">
        <v>316.3</v>
      </c>
      <c r="AB10813" s="2" t="s">
        <v>47</v>
      </c>
      <c r="AC10813" s="8">
        <v>1064</v>
      </c>
    </row>
    <row r="10814" spans="1:29" ht="364" x14ac:dyDescent="0.15">
      <c r="A10814" s="3">
        <f>DATE(2014,6,15)</f>
        <v>41805</v>
      </c>
      <c r="B10814" s="3">
        <f>DATE(2015,2,2)</f>
        <v>42037</v>
      </c>
      <c r="C10814" s="2" t="s">
        <v>95</v>
      </c>
      <c r="D10814" s="2" t="s">
        <v>28032</v>
      </c>
      <c r="E10814" s="2" t="s">
        <v>28033</v>
      </c>
      <c r="F10814" s="4">
        <v>4922</v>
      </c>
      <c r="G10814" s="2" t="s">
        <v>439</v>
      </c>
      <c r="H10814" s="2" t="s">
        <v>34</v>
      </c>
      <c r="I10814" s="2" t="s">
        <v>31449</v>
      </c>
      <c r="J10814" s="2" t="s">
        <v>27299</v>
      </c>
      <c r="K10814" s="2" t="s">
        <v>439</v>
      </c>
      <c r="L10814" s="2" t="s">
        <v>34</v>
      </c>
      <c r="M10814" s="12">
        <v>33202.190999999999</v>
      </c>
      <c r="N10814" s="6">
        <v>66.569999999999993</v>
      </c>
      <c r="O10814" s="6">
        <v>66.569999999999993</v>
      </c>
      <c r="P10814" s="2" t="s">
        <v>31451</v>
      </c>
      <c r="Q10814" s="6">
        <v>100</v>
      </c>
      <c r="R10814" s="6">
        <v>53.74</v>
      </c>
      <c r="S10814" s="2"/>
      <c r="T10814" s="2"/>
      <c r="U10814" s="2"/>
      <c r="V10814" s="2"/>
      <c r="W10814" s="6">
        <v>53.01</v>
      </c>
      <c r="X10814" s="6">
        <v>52.92</v>
      </c>
      <c r="Y10814" s="6">
        <v>55.87</v>
      </c>
      <c r="Z10814" s="6">
        <v>55.87</v>
      </c>
      <c r="AA10814" s="6">
        <v>438.63</v>
      </c>
      <c r="AB10814" s="2" t="s">
        <v>47</v>
      </c>
      <c r="AC10814" s="6">
        <v>27.86</v>
      </c>
    </row>
    <row r="10815" spans="1:29" ht="130" x14ac:dyDescent="0.15">
      <c r="A10815" s="3">
        <f>DATE(2014,6,16)</f>
        <v>41806</v>
      </c>
      <c r="B10815" s="3">
        <f>DATE(2014,7,23)</f>
        <v>41843</v>
      </c>
      <c r="C10815" s="2" t="s">
        <v>95</v>
      </c>
      <c r="D10815" s="2" t="s">
        <v>31452</v>
      </c>
      <c r="E10815" s="2" t="s">
        <v>31453</v>
      </c>
      <c r="F10815" s="4">
        <v>3572</v>
      </c>
      <c r="G10815" s="2" t="s">
        <v>50</v>
      </c>
      <c r="H10815" s="2" t="s">
        <v>34</v>
      </c>
      <c r="I10815" s="2" t="s">
        <v>27098</v>
      </c>
      <c r="J10815" s="2" t="s">
        <v>27099</v>
      </c>
      <c r="K10815" s="2" t="s">
        <v>50</v>
      </c>
      <c r="L10815" s="2" t="s">
        <v>34</v>
      </c>
      <c r="M10815" s="12">
        <v>20766.947</v>
      </c>
      <c r="N10815" s="4">
        <v>102</v>
      </c>
      <c r="O10815" s="6">
        <v>103.24</v>
      </c>
      <c r="P10815" s="2" t="s">
        <v>31454</v>
      </c>
      <c r="Q10815" s="6">
        <v>100</v>
      </c>
      <c r="R10815" s="6">
        <v>11.25</v>
      </c>
      <c r="S10815" s="5">
        <v>-103.7</v>
      </c>
      <c r="T10815" s="7">
        <v>-79.438999999999993</v>
      </c>
      <c r="U10815" s="5">
        <v>4.3</v>
      </c>
      <c r="V10815" s="9">
        <v>-1.0166999999999999</v>
      </c>
      <c r="W10815" s="6">
        <v>8.52</v>
      </c>
      <c r="X10815" s="6">
        <v>9.2799999999999994</v>
      </c>
      <c r="Y10815" s="6">
        <v>11.36</v>
      </c>
      <c r="Z10815" s="6">
        <v>11.41</v>
      </c>
      <c r="AA10815" s="6">
        <v>107.99</v>
      </c>
      <c r="AB10815" s="2" t="s">
        <v>86</v>
      </c>
      <c r="AC10815" s="10">
        <v>2809.74</v>
      </c>
    </row>
    <row r="10816" spans="1:29" ht="91" x14ac:dyDescent="0.15">
      <c r="A10816" s="3">
        <f>DATE(2014,6,16)</f>
        <v>41806</v>
      </c>
      <c r="B10816" s="2"/>
      <c r="C10816" s="2" t="s">
        <v>87</v>
      </c>
      <c r="D10816" s="2" t="s">
        <v>22945</v>
      </c>
      <c r="E10816" s="2" t="s">
        <v>28113</v>
      </c>
      <c r="F10816" s="4">
        <v>7372</v>
      </c>
      <c r="G10816" s="2" t="s">
        <v>551</v>
      </c>
      <c r="H10816" s="2" t="s">
        <v>34</v>
      </c>
      <c r="I10816" s="2" t="s">
        <v>143</v>
      </c>
      <c r="J10816" s="2" t="s">
        <v>144</v>
      </c>
      <c r="K10816" s="2" t="s">
        <v>53</v>
      </c>
      <c r="L10816" s="2" t="s">
        <v>139</v>
      </c>
      <c r="M10816" s="2"/>
      <c r="N10816" s="2"/>
      <c r="O10816" s="2"/>
      <c r="P10816" s="2" t="s">
        <v>31455</v>
      </c>
      <c r="Q10816" s="2"/>
      <c r="R10816" s="2"/>
      <c r="S10816" s="5">
        <v>-161.9</v>
      </c>
      <c r="T10816" s="7">
        <v>256.51100000000002</v>
      </c>
      <c r="U10816" s="5">
        <v>8.1999999999999993</v>
      </c>
      <c r="V10816" s="9">
        <v>-0.51459999999999995</v>
      </c>
      <c r="W10816" s="5">
        <v>17.2</v>
      </c>
      <c r="X10816" s="5">
        <v>17.100000000000001</v>
      </c>
      <c r="Y10816" s="6">
        <v>18.760000000000002</v>
      </c>
      <c r="Z10816" s="6">
        <v>19.23</v>
      </c>
      <c r="AA10816" s="6">
        <v>318.61</v>
      </c>
      <c r="AB10816" s="2" t="s">
        <v>47</v>
      </c>
      <c r="AC10816" s="2"/>
    </row>
    <row r="10817" spans="1:29" ht="169" x14ac:dyDescent="0.15">
      <c r="A10817" s="3">
        <f>DATE(2014,6,16)</f>
        <v>41806</v>
      </c>
      <c r="B10817" s="3">
        <f>DATE(2014,10,31)</f>
        <v>41943</v>
      </c>
      <c r="C10817" s="2" t="s">
        <v>95</v>
      </c>
      <c r="D10817" s="2" t="s">
        <v>31456</v>
      </c>
      <c r="E10817" s="2" t="s">
        <v>14693</v>
      </c>
      <c r="F10817" s="4">
        <v>4813</v>
      </c>
      <c r="G10817" s="2" t="s">
        <v>63</v>
      </c>
      <c r="H10817" s="2" t="s">
        <v>34</v>
      </c>
      <c r="I10817" s="2" t="s">
        <v>19971</v>
      </c>
      <c r="J10817" s="2" t="s">
        <v>973</v>
      </c>
      <c r="K10817" s="2" t="s">
        <v>63</v>
      </c>
      <c r="L10817" s="2" t="s">
        <v>34</v>
      </c>
      <c r="M10817" s="12">
        <v>10465.396000000001</v>
      </c>
      <c r="N10817" s="5">
        <v>42.3</v>
      </c>
      <c r="O10817" s="6">
        <v>42.99</v>
      </c>
      <c r="P10817" s="2" t="s">
        <v>31457</v>
      </c>
      <c r="Q10817" s="6">
        <v>100</v>
      </c>
      <c r="R10817" s="6">
        <v>40.86</v>
      </c>
      <c r="S10817" s="5">
        <v>32.5</v>
      </c>
      <c r="T10817" s="7">
        <v>514.54600000000005</v>
      </c>
      <c r="U10817" s="5">
        <v>3.9</v>
      </c>
      <c r="V10817" s="9">
        <v>0.22259999999999999</v>
      </c>
      <c r="W10817" s="6">
        <v>32.54</v>
      </c>
      <c r="X10817" s="6">
        <v>32.33</v>
      </c>
      <c r="Y10817" s="6">
        <v>36.340000000000003</v>
      </c>
      <c r="Z10817" s="6">
        <v>38.99</v>
      </c>
      <c r="AA10817" s="6">
        <v>137.93</v>
      </c>
      <c r="AB10817" s="7">
        <v>36.567999999999998</v>
      </c>
      <c r="AC10817" s="5">
        <v>614</v>
      </c>
    </row>
    <row r="10818" spans="1:29" ht="104" x14ac:dyDescent="0.15">
      <c r="A10818" s="3">
        <f>DATE(2014,6,18)</f>
        <v>41808</v>
      </c>
      <c r="B10818" s="3">
        <f>DATE(2014,10,9)</f>
        <v>41921</v>
      </c>
      <c r="C10818" s="2" t="s">
        <v>95</v>
      </c>
      <c r="D10818" s="2" t="s">
        <v>31458</v>
      </c>
      <c r="E10818" s="2" t="s">
        <v>31459</v>
      </c>
      <c r="F10818" s="4">
        <v>3829</v>
      </c>
      <c r="G10818" s="2" t="s">
        <v>226</v>
      </c>
      <c r="H10818" s="2" t="s">
        <v>34</v>
      </c>
      <c r="I10818" s="2" t="s">
        <v>31460</v>
      </c>
      <c r="J10818" s="2" t="s">
        <v>3526</v>
      </c>
      <c r="K10818" s="2" t="s">
        <v>137</v>
      </c>
      <c r="L10818" s="2" t="s">
        <v>215</v>
      </c>
      <c r="M10818" s="12">
        <v>23387.281999999999</v>
      </c>
      <c r="N10818" s="6">
        <v>61.94</v>
      </c>
      <c r="O10818" s="6">
        <v>62.23</v>
      </c>
      <c r="P10818" s="2" t="s">
        <v>31461</v>
      </c>
      <c r="Q10818" s="6">
        <v>100</v>
      </c>
      <c r="R10818" s="6">
        <v>86</v>
      </c>
      <c r="S10818" s="5">
        <v>37.799999999999997</v>
      </c>
      <c r="T10818" s="7">
        <v>71.448999999999998</v>
      </c>
      <c r="U10818" s="5">
        <v>21.1</v>
      </c>
      <c r="V10818" s="9">
        <v>2.2627999999999999</v>
      </c>
      <c r="W10818" s="6">
        <v>76.88</v>
      </c>
      <c r="X10818" s="6">
        <v>77.75</v>
      </c>
      <c r="Y10818" s="4">
        <v>78</v>
      </c>
      <c r="Z10818" s="6">
        <v>86.38</v>
      </c>
      <c r="AA10818" s="6">
        <v>15.97</v>
      </c>
      <c r="AB10818" s="7">
        <v>30.439</v>
      </c>
      <c r="AC10818" s="8">
        <v>1429</v>
      </c>
    </row>
    <row r="10819" spans="1:29" ht="91" x14ac:dyDescent="0.15">
      <c r="A10819" s="3">
        <f>DATE(2014,6,19)</f>
        <v>41809</v>
      </c>
      <c r="B10819" s="2"/>
      <c r="C10819" s="2" t="s">
        <v>39</v>
      </c>
      <c r="D10819" s="2" t="s">
        <v>31462</v>
      </c>
      <c r="E10819" s="2" t="s">
        <v>31463</v>
      </c>
      <c r="F10819" s="4">
        <v>4922</v>
      </c>
      <c r="G10819" s="2" t="s">
        <v>439</v>
      </c>
      <c r="H10819" s="2" t="s">
        <v>34</v>
      </c>
      <c r="I10819" s="2" t="s">
        <v>29337</v>
      </c>
      <c r="J10819" s="2" t="s">
        <v>29338</v>
      </c>
      <c r="K10819" s="2" t="s">
        <v>439</v>
      </c>
      <c r="L10819" s="2" t="s">
        <v>34</v>
      </c>
      <c r="M10819" s="12">
        <v>27615.133999999998</v>
      </c>
      <c r="N10819" s="6">
        <v>53.72</v>
      </c>
      <c r="O10819" s="6">
        <v>54.61</v>
      </c>
      <c r="P10819" s="2" t="s">
        <v>31464</v>
      </c>
      <c r="Q10819" s="2"/>
      <c r="R10819" s="2"/>
      <c r="S10819" s="5">
        <v>71.3</v>
      </c>
      <c r="T10819" s="5">
        <v>757.1</v>
      </c>
      <c r="U10819" s="5">
        <v>3.4</v>
      </c>
      <c r="V10819" s="9">
        <v>1.6982999999999999</v>
      </c>
      <c r="W10819" s="6">
        <v>119.08</v>
      </c>
      <c r="X10819" s="6">
        <v>125.05</v>
      </c>
      <c r="Y10819" s="6">
        <v>150.62</v>
      </c>
      <c r="Z10819" s="6">
        <v>138.09</v>
      </c>
      <c r="AA10819" s="6">
        <v>42.16</v>
      </c>
      <c r="AB10819" s="2" t="s">
        <v>47</v>
      </c>
      <c r="AC10819" s="8">
        <v>1022</v>
      </c>
    </row>
    <row r="10820" spans="1:29" ht="65" x14ac:dyDescent="0.15">
      <c r="A10820" s="3">
        <f>DATE(2014,6,20)</f>
        <v>41810</v>
      </c>
      <c r="B10820" s="3">
        <f>DATE(2014,6,20)</f>
        <v>41810</v>
      </c>
      <c r="C10820" s="2" t="s">
        <v>95</v>
      </c>
      <c r="D10820" s="2" t="s">
        <v>31465</v>
      </c>
      <c r="E10820" s="2" t="s">
        <v>31466</v>
      </c>
      <c r="F10820" s="4">
        <v>3679</v>
      </c>
      <c r="G10820" s="2" t="s">
        <v>137</v>
      </c>
      <c r="H10820" s="2" t="s">
        <v>34</v>
      </c>
      <c r="I10820" s="2" t="s">
        <v>31467</v>
      </c>
      <c r="J10820" s="2" t="s">
        <v>31468</v>
      </c>
      <c r="K10820" s="2" t="s">
        <v>415</v>
      </c>
      <c r="L10820" s="2" t="s">
        <v>1049</v>
      </c>
      <c r="M10820" s="2"/>
      <c r="N10820" s="2"/>
      <c r="O10820" s="2"/>
      <c r="P10820" s="2" t="s">
        <v>31469</v>
      </c>
      <c r="Q10820" s="6">
        <v>100</v>
      </c>
      <c r="R10820" s="2"/>
      <c r="S10820" s="2"/>
      <c r="T10820" s="2"/>
      <c r="U10820" s="2"/>
      <c r="V10820" s="2"/>
      <c r="W10820" s="6">
        <v>16.05</v>
      </c>
      <c r="X10820" s="6">
        <v>16.05</v>
      </c>
      <c r="Y10820" s="6">
        <v>16.05</v>
      </c>
      <c r="Z10820" s="6">
        <v>16.05</v>
      </c>
      <c r="AA10820" s="2"/>
      <c r="AB10820" s="2" t="s">
        <v>47</v>
      </c>
      <c r="AC10820" s="2"/>
    </row>
    <row r="10821" spans="1:29" ht="208" x14ac:dyDescent="0.15">
      <c r="A10821" s="3">
        <f t="shared" ref="A10821:A10826" si="178">DATE(2014,6,23)</f>
        <v>41813</v>
      </c>
      <c r="B10821" s="3">
        <f>DATE(2015,6,29)</f>
        <v>42184</v>
      </c>
      <c r="C10821" s="2" t="s">
        <v>95</v>
      </c>
      <c r="D10821" s="2" t="s">
        <v>28829</v>
      </c>
      <c r="E10821" s="2" t="s">
        <v>3759</v>
      </c>
      <c r="F10821" s="4">
        <v>4931</v>
      </c>
      <c r="G10821" s="2" t="s">
        <v>439</v>
      </c>
      <c r="H10821" s="2" t="s">
        <v>34</v>
      </c>
      <c r="I10821" s="2" t="s">
        <v>3758</v>
      </c>
      <c r="J10821" s="2" t="s">
        <v>3759</v>
      </c>
      <c r="K10821" s="2" t="s">
        <v>439</v>
      </c>
      <c r="L10821" s="2" t="s">
        <v>34</v>
      </c>
      <c r="M10821" s="12">
        <v>10177.665000000001</v>
      </c>
      <c r="N10821" s="6">
        <v>45.27</v>
      </c>
      <c r="O10821" s="6">
        <v>46.04</v>
      </c>
      <c r="P10821" s="2" t="s">
        <v>31470</v>
      </c>
      <c r="Q10821" s="6">
        <v>100</v>
      </c>
      <c r="R10821" s="6">
        <v>71.47</v>
      </c>
      <c r="S10821" s="5">
        <v>319.60000000000002</v>
      </c>
      <c r="T10821" s="5">
        <v>804.8</v>
      </c>
      <c r="U10821" s="5">
        <v>41.3</v>
      </c>
      <c r="V10821" s="6">
        <v>3.89</v>
      </c>
      <c r="W10821" s="6">
        <v>58.65</v>
      </c>
      <c r="X10821" s="6">
        <v>60.95</v>
      </c>
      <c r="Y10821" s="6">
        <v>68.349999999999994</v>
      </c>
      <c r="Z10821" s="6">
        <v>69.27</v>
      </c>
      <c r="AA10821" s="6">
        <v>79.959999999999994</v>
      </c>
      <c r="AB10821" s="7">
        <v>17.277999999999999</v>
      </c>
      <c r="AC10821" s="5">
        <v>27.6</v>
      </c>
    </row>
    <row r="10822" spans="1:29" ht="169" x14ac:dyDescent="0.15">
      <c r="A10822" s="3">
        <f t="shared" si="178"/>
        <v>41813</v>
      </c>
      <c r="B10822" s="3">
        <f>DATE(2014,9,8)</f>
        <v>41890</v>
      </c>
      <c r="C10822" s="2" t="s">
        <v>95</v>
      </c>
      <c r="D10822" s="2" t="s">
        <v>31471</v>
      </c>
      <c r="E10822" s="2" t="s">
        <v>31472</v>
      </c>
      <c r="F10822" s="4">
        <v>7373</v>
      </c>
      <c r="G10822" s="2" t="s">
        <v>223</v>
      </c>
      <c r="H10822" s="2" t="s">
        <v>34</v>
      </c>
      <c r="I10822" s="2" t="s">
        <v>8588</v>
      </c>
      <c r="J10822" s="2" t="s">
        <v>8589</v>
      </c>
      <c r="K10822" s="2" t="s">
        <v>551</v>
      </c>
      <c r="L10822" s="2" t="s">
        <v>34</v>
      </c>
      <c r="M10822" s="12">
        <v>187942.003</v>
      </c>
      <c r="N10822" s="5">
        <v>41.1</v>
      </c>
      <c r="O10822" s="6">
        <v>40.76</v>
      </c>
      <c r="P10822" s="2" t="s">
        <v>31473</v>
      </c>
      <c r="Q10822" s="6">
        <v>100</v>
      </c>
      <c r="R10822" s="6">
        <v>68</v>
      </c>
      <c r="S10822" s="5">
        <v>168</v>
      </c>
      <c r="T10822" s="7">
        <v>264.38099999999997</v>
      </c>
      <c r="U10822" s="5">
        <v>15.6</v>
      </c>
      <c r="V10822" s="9">
        <v>2.1642999999999999</v>
      </c>
      <c r="W10822" s="6">
        <v>54.56</v>
      </c>
      <c r="X10822" s="6">
        <v>57.71</v>
      </c>
      <c r="Y10822" s="6">
        <v>66.33</v>
      </c>
      <c r="Z10822" s="6">
        <v>65.87</v>
      </c>
      <c r="AA10822" s="6">
        <v>74.819999999999993</v>
      </c>
      <c r="AB10822" s="7">
        <v>19.274000000000001</v>
      </c>
      <c r="AC10822" s="8">
        <v>38827</v>
      </c>
    </row>
    <row r="10823" spans="1:29" ht="169" x14ac:dyDescent="0.15">
      <c r="A10823" s="3">
        <f t="shared" si="178"/>
        <v>41813</v>
      </c>
      <c r="B10823" s="3">
        <f>DATE(2014,8,12)</f>
        <v>41863</v>
      </c>
      <c r="C10823" s="2" t="s">
        <v>95</v>
      </c>
      <c r="D10823" s="2" t="s">
        <v>29924</v>
      </c>
      <c r="E10823" s="2" t="s">
        <v>10974</v>
      </c>
      <c r="F10823" s="4">
        <v>3674</v>
      </c>
      <c r="G10823" s="2" t="s">
        <v>137</v>
      </c>
      <c r="H10823" s="2" t="s">
        <v>34</v>
      </c>
      <c r="I10823" s="2" t="s">
        <v>31113</v>
      </c>
      <c r="J10823" s="2" t="s">
        <v>31114</v>
      </c>
      <c r="K10823" s="2" t="s">
        <v>137</v>
      </c>
      <c r="L10823" s="2" t="s">
        <v>34</v>
      </c>
      <c r="M10823" s="12">
        <v>17758.647000000001</v>
      </c>
      <c r="N10823" s="6">
        <v>71.239999999999995</v>
      </c>
      <c r="O10823" s="6">
        <v>70.67</v>
      </c>
      <c r="P10823" s="2" t="s">
        <v>31474</v>
      </c>
      <c r="Q10823" s="6">
        <v>100</v>
      </c>
      <c r="R10823" s="6">
        <v>6.5</v>
      </c>
      <c r="S10823" s="5">
        <v>6.9</v>
      </c>
      <c r="T10823" s="7">
        <v>8.9309999999999992</v>
      </c>
      <c r="U10823" s="5">
        <v>1.3</v>
      </c>
      <c r="V10823" s="9">
        <v>0.1429</v>
      </c>
      <c r="W10823" s="6">
        <v>5.99</v>
      </c>
      <c r="X10823" s="6">
        <v>5.94</v>
      </c>
      <c r="Y10823" s="6">
        <v>6.48</v>
      </c>
      <c r="Z10823" s="6">
        <v>6.47</v>
      </c>
      <c r="AA10823" s="6">
        <v>45.9</v>
      </c>
      <c r="AB10823" s="7">
        <v>42.238</v>
      </c>
      <c r="AC10823" s="10">
        <v>1602.61</v>
      </c>
    </row>
    <row r="10824" spans="1:29" ht="78" x14ac:dyDescent="0.15">
      <c r="A10824" s="3">
        <f t="shared" si="178"/>
        <v>41813</v>
      </c>
      <c r="B10824" s="3">
        <f>DATE(2014,6,23)</f>
        <v>41813</v>
      </c>
      <c r="C10824" s="2" t="s">
        <v>95</v>
      </c>
      <c r="D10824" s="2" t="s">
        <v>31475</v>
      </c>
      <c r="E10824" s="2" t="s">
        <v>302</v>
      </c>
      <c r="F10824" s="4">
        <v>6799</v>
      </c>
      <c r="G10824" s="2" t="s">
        <v>53</v>
      </c>
      <c r="H10824" s="2" t="s">
        <v>34</v>
      </c>
      <c r="I10824" s="2" t="s">
        <v>31476</v>
      </c>
      <c r="J10824" s="2" t="s">
        <v>386</v>
      </c>
      <c r="K10824" s="2" t="s">
        <v>53</v>
      </c>
      <c r="L10824" s="2" t="s">
        <v>34</v>
      </c>
      <c r="M10824" s="10">
        <v>1397.01</v>
      </c>
      <c r="N10824" s="6">
        <v>50.95</v>
      </c>
      <c r="O10824" s="6">
        <v>49.13</v>
      </c>
      <c r="P10824" s="2" t="s">
        <v>31477</v>
      </c>
      <c r="Q10824" s="6">
        <v>100</v>
      </c>
      <c r="R10824" s="2"/>
      <c r="S10824" s="2"/>
      <c r="T10824" s="2"/>
      <c r="U10824" s="2"/>
      <c r="V10824" s="2"/>
      <c r="W10824" s="6">
        <v>32.99</v>
      </c>
      <c r="X10824" s="6">
        <v>32.99</v>
      </c>
      <c r="Y10824" s="6">
        <v>32.99</v>
      </c>
      <c r="Z10824" s="2"/>
      <c r="AA10824" s="6">
        <v>6.32</v>
      </c>
      <c r="AB10824" s="2" t="s">
        <v>47</v>
      </c>
      <c r="AC10824" s="2"/>
    </row>
    <row r="10825" spans="1:29" ht="78" x14ac:dyDescent="0.15">
      <c r="A10825" s="3">
        <f t="shared" si="178"/>
        <v>41813</v>
      </c>
      <c r="B10825" s="3">
        <f>DATE(2014,6,23)</f>
        <v>41813</v>
      </c>
      <c r="C10825" s="2" t="s">
        <v>95</v>
      </c>
      <c r="D10825" s="2" t="s">
        <v>31478</v>
      </c>
      <c r="E10825" s="2" t="s">
        <v>386</v>
      </c>
      <c r="F10825" s="4">
        <v>6726</v>
      </c>
      <c r="G10825" s="2" t="s">
        <v>53</v>
      </c>
      <c r="H10825" s="2" t="s">
        <v>34</v>
      </c>
      <c r="I10825" s="2" t="s">
        <v>31476</v>
      </c>
      <c r="J10825" s="2" t="s">
        <v>386</v>
      </c>
      <c r="K10825" s="2" t="s">
        <v>53</v>
      </c>
      <c r="L10825" s="2" t="s">
        <v>34</v>
      </c>
      <c r="M10825" s="10">
        <v>1397.01</v>
      </c>
      <c r="N10825" s="6">
        <v>50.95</v>
      </c>
      <c r="O10825" s="6">
        <v>49.13</v>
      </c>
      <c r="P10825" s="2" t="s">
        <v>31479</v>
      </c>
      <c r="Q10825" s="6">
        <v>100</v>
      </c>
      <c r="R10825" s="2"/>
      <c r="S10825" s="5">
        <v>141.9</v>
      </c>
      <c r="T10825" s="2"/>
      <c r="U10825" s="5">
        <v>32.700000000000003</v>
      </c>
      <c r="V10825" s="9">
        <v>7.0696000000000003</v>
      </c>
      <c r="W10825" s="6">
        <v>37.770000000000003</v>
      </c>
      <c r="X10825" s="6">
        <v>37.770000000000003</v>
      </c>
      <c r="Y10825" s="6">
        <v>37.770000000000003</v>
      </c>
      <c r="Z10825" s="2"/>
      <c r="AA10825" s="6">
        <v>20.07</v>
      </c>
      <c r="AB10825" s="2" t="s">
        <v>86</v>
      </c>
      <c r="AC10825" s="2"/>
    </row>
    <row r="10826" spans="1:29" ht="78" x14ac:dyDescent="0.15">
      <c r="A10826" s="3">
        <f t="shared" si="178"/>
        <v>41813</v>
      </c>
      <c r="B10826" s="3">
        <f>DATE(2014,8,22)</f>
        <v>41873</v>
      </c>
      <c r="C10826" s="2" t="s">
        <v>95</v>
      </c>
      <c r="D10826" s="2" t="s">
        <v>31480</v>
      </c>
      <c r="E10826" s="2" t="s">
        <v>31481</v>
      </c>
      <c r="F10826" s="4">
        <v>3585</v>
      </c>
      <c r="G10826" s="2" t="s">
        <v>300</v>
      </c>
      <c r="H10826" s="2" t="s">
        <v>34</v>
      </c>
      <c r="I10826" s="2" t="s">
        <v>31482</v>
      </c>
      <c r="J10826" s="2" t="s">
        <v>31483</v>
      </c>
      <c r="K10826" s="2" t="s">
        <v>163</v>
      </c>
      <c r="L10826" s="2" t="s">
        <v>435</v>
      </c>
      <c r="M10826" s="12">
        <v>3236.7159999999999</v>
      </c>
      <c r="N10826" s="7">
        <v>29.841999999999999</v>
      </c>
      <c r="O10826" s="7">
        <v>32.075000000000003</v>
      </c>
      <c r="P10826" s="2" t="s">
        <v>31484</v>
      </c>
      <c r="Q10826" s="6">
        <v>100</v>
      </c>
      <c r="R10826" s="6">
        <v>28.46</v>
      </c>
      <c r="S10826" s="5">
        <v>13.6</v>
      </c>
      <c r="T10826" s="7">
        <v>21.119</v>
      </c>
      <c r="U10826" s="5">
        <v>3.7</v>
      </c>
      <c r="V10826" s="9">
        <v>1.0968</v>
      </c>
      <c r="W10826" s="7">
        <v>23.207999999999998</v>
      </c>
      <c r="X10826" s="7">
        <v>23.736000000000001</v>
      </c>
      <c r="Y10826" s="7">
        <v>28.331</v>
      </c>
      <c r="Z10826" s="6">
        <v>28.31</v>
      </c>
      <c r="AA10826" s="6">
        <v>12.36</v>
      </c>
      <c r="AB10826" s="2" t="s">
        <v>47</v>
      </c>
      <c r="AC10826" s="6">
        <v>244.22</v>
      </c>
    </row>
    <row r="10827" spans="1:29" ht="117" x14ac:dyDescent="0.15">
      <c r="A10827" s="3">
        <f>DATE(2014,6,24)</f>
        <v>41814</v>
      </c>
      <c r="B10827" s="3">
        <f>DATE(2015,1,1)</f>
        <v>42005</v>
      </c>
      <c r="C10827" s="2" t="s">
        <v>95</v>
      </c>
      <c r="D10827" s="2" t="s">
        <v>31485</v>
      </c>
      <c r="E10827" s="2" t="s">
        <v>36</v>
      </c>
      <c r="F10827" s="4">
        <v>6021</v>
      </c>
      <c r="G10827" s="2" t="s">
        <v>37</v>
      </c>
      <c r="H10827" s="2" t="s">
        <v>34</v>
      </c>
      <c r="I10827" s="2" t="s">
        <v>31486</v>
      </c>
      <c r="J10827" s="2" t="s">
        <v>36</v>
      </c>
      <c r="K10827" s="2" t="s">
        <v>37</v>
      </c>
      <c r="L10827" s="2" t="s">
        <v>34</v>
      </c>
      <c r="M10827" s="7">
        <v>519.43899999999996</v>
      </c>
      <c r="N10827" s="6">
        <v>16.46</v>
      </c>
      <c r="O10827" s="6">
        <v>16.670000000000002</v>
      </c>
      <c r="P10827" s="2" t="s">
        <v>31487</v>
      </c>
      <c r="Q10827" s="6">
        <v>100</v>
      </c>
      <c r="R10827" s="6">
        <v>25.01</v>
      </c>
      <c r="S10827" s="5">
        <v>4.7</v>
      </c>
      <c r="T10827" s="7">
        <v>7.2110000000000003</v>
      </c>
      <c r="U10827" s="5">
        <v>16.5</v>
      </c>
      <c r="V10827" s="9">
        <v>1.3198000000000001</v>
      </c>
      <c r="W10827" s="6">
        <v>13.71</v>
      </c>
      <c r="X10827" s="6">
        <v>13.71</v>
      </c>
      <c r="Y10827" s="6">
        <v>21.37</v>
      </c>
      <c r="Z10827" s="5">
        <v>21.5</v>
      </c>
      <c r="AA10827" s="6">
        <v>3.6</v>
      </c>
      <c r="AB10827" s="7">
        <v>17.669</v>
      </c>
      <c r="AC10827" s="2"/>
    </row>
    <row r="10828" spans="1:29" ht="91" x14ac:dyDescent="0.15">
      <c r="A10828" s="3">
        <f>DATE(2014,6,25)</f>
        <v>41815</v>
      </c>
      <c r="B10828" s="3">
        <f>DATE(2014,10,1)</f>
        <v>41913</v>
      </c>
      <c r="C10828" s="2" t="s">
        <v>95</v>
      </c>
      <c r="D10828" s="2" t="s">
        <v>31488</v>
      </c>
      <c r="E10828" s="2" t="s">
        <v>31489</v>
      </c>
      <c r="F10828" s="4">
        <v>3842</v>
      </c>
      <c r="G10828" s="2" t="s">
        <v>226</v>
      </c>
      <c r="H10828" s="2" t="s">
        <v>34</v>
      </c>
      <c r="I10828" s="2" t="s">
        <v>31490</v>
      </c>
      <c r="J10828" s="2" t="s">
        <v>31491</v>
      </c>
      <c r="K10828" s="2" t="s">
        <v>76</v>
      </c>
      <c r="L10828" s="2" t="s">
        <v>34</v>
      </c>
      <c r="M10828" s="12">
        <v>2153.299</v>
      </c>
      <c r="N10828" s="6">
        <v>35.380000000000003</v>
      </c>
      <c r="O10828" s="6">
        <v>35.08</v>
      </c>
      <c r="P10828" s="2" t="s">
        <v>31492</v>
      </c>
      <c r="Q10828" s="6">
        <v>100</v>
      </c>
      <c r="R10828" s="6">
        <v>13.8</v>
      </c>
      <c r="S10828" s="5">
        <v>4.2</v>
      </c>
      <c r="T10828" s="7">
        <v>15.161</v>
      </c>
      <c r="U10828" s="5">
        <v>6.1</v>
      </c>
      <c r="V10828" s="9">
        <v>6.7199999999999996E-2</v>
      </c>
      <c r="W10828" s="5">
        <v>7.1</v>
      </c>
      <c r="X10828" s="6">
        <v>7.07</v>
      </c>
      <c r="Y10828" s="6">
        <v>13.68</v>
      </c>
      <c r="Z10828" s="5">
        <v>13.7</v>
      </c>
      <c r="AA10828" s="6">
        <v>16.39</v>
      </c>
      <c r="AB10828" s="7">
        <v>44.591999999999999</v>
      </c>
      <c r="AC10828" s="6">
        <v>182.37</v>
      </c>
    </row>
    <row r="10829" spans="1:29" ht="208" x14ac:dyDescent="0.15">
      <c r="A10829" s="3">
        <f>DATE(2014,6,26)</f>
        <v>41816</v>
      </c>
      <c r="B10829" s="2"/>
      <c r="C10829" s="2" t="s">
        <v>30</v>
      </c>
      <c r="D10829" s="2" t="s">
        <v>31493</v>
      </c>
      <c r="E10829" s="2" t="s">
        <v>6292</v>
      </c>
      <c r="F10829" s="4">
        <v>2834</v>
      </c>
      <c r="G10829" s="2" t="s">
        <v>130</v>
      </c>
      <c r="H10829" s="2" t="s">
        <v>34</v>
      </c>
      <c r="I10829" s="2" t="s">
        <v>22048</v>
      </c>
      <c r="J10829" s="2" t="s">
        <v>540</v>
      </c>
      <c r="K10829" s="2" t="s">
        <v>130</v>
      </c>
      <c r="L10829" s="2" t="s">
        <v>902</v>
      </c>
      <c r="M10829" s="12">
        <v>1114.403</v>
      </c>
      <c r="N10829" s="6">
        <v>6.19</v>
      </c>
      <c r="O10829" s="6">
        <v>6.43</v>
      </c>
      <c r="P10829" s="2" t="s">
        <v>31494</v>
      </c>
      <c r="Q10829" s="2"/>
      <c r="R10829" s="6">
        <v>16.93</v>
      </c>
      <c r="S10829" s="5">
        <v>-65.900000000000006</v>
      </c>
      <c r="T10829" s="7">
        <v>-33.762</v>
      </c>
      <c r="U10829" s="5">
        <v>4.2</v>
      </c>
      <c r="V10829" s="9">
        <v>-1.3251999999999999</v>
      </c>
      <c r="W10829" s="7">
        <v>21.835000000000001</v>
      </c>
      <c r="X10829" s="6">
        <v>21.23</v>
      </c>
      <c r="Y10829" s="6">
        <v>20.69</v>
      </c>
      <c r="Z10829" s="6">
        <v>21.26</v>
      </c>
      <c r="AA10829" s="6">
        <v>50.27</v>
      </c>
      <c r="AB10829" s="2" t="s">
        <v>86</v>
      </c>
      <c r="AC10829" s="6">
        <v>139.91</v>
      </c>
    </row>
    <row r="10830" spans="1:29" ht="65" x14ac:dyDescent="0.15">
      <c r="A10830" s="3">
        <f>DATE(2014,6,27)</f>
        <v>41817</v>
      </c>
      <c r="B10830" s="3">
        <f>DATE(2014,11,18)</f>
        <v>41961</v>
      </c>
      <c r="C10830" s="2" t="s">
        <v>95</v>
      </c>
      <c r="D10830" s="2" t="s">
        <v>17545</v>
      </c>
      <c r="E10830" s="2" t="s">
        <v>17546</v>
      </c>
      <c r="F10830" s="4">
        <v>7312</v>
      </c>
      <c r="G10830" s="2" t="s">
        <v>4563</v>
      </c>
      <c r="H10830" s="2" t="s">
        <v>34</v>
      </c>
      <c r="I10830" s="2" t="s">
        <v>31495</v>
      </c>
      <c r="J10830" s="2" t="s">
        <v>31416</v>
      </c>
      <c r="K10830" s="2" t="s">
        <v>53</v>
      </c>
      <c r="L10830" s="2" t="s">
        <v>34</v>
      </c>
      <c r="M10830" s="2"/>
      <c r="N10830" s="6">
        <v>52.94</v>
      </c>
      <c r="O10830" s="4">
        <v>53</v>
      </c>
      <c r="P10830" s="2" t="s">
        <v>31496</v>
      </c>
      <c r="Q10830" s="6">
        <v>100</v>
      </c>
      <c r="R10830" s="2"/>
      <c r="S10830" s="5">
        <v>41</v>
      </c>
      <c r="T10830" s="7">
        <v>521.452</v>
      </c>
      <c r="U10830" s="5">
        <v>9.9</v>
      </c>
      <c r="V10830" s="9">
        <v>0.43859999999999999</v>
      </c>
      <c r="W10830" s="6">
        <v>51.33</v>
      </c>
      <c r="X10830" s="6">
        <v>52.27</v>
      </c>
      <c r="Y10830" s="6">
        <v>52.94</v>
      </c>
      <c r="Z10830" s="4">
        <v>53</v>
      </c>
      <c r="AA10830" s="6">
        <v>95.28</v>
      </c>
      <c r="AB10830" s="2" t="s">
        <v>47</v>
      </c>
      <c r="AC10830" s="6">
        <v>68.739999999999995</v>
      </c>
    </row>
    <row r="10831" spans="1:29" ht="143" x14ac:dyDescent="0.15">
      <c r="A10831" s="3">
        <f>DATE(2014,6,30)</f>
        <v>41820</v>
      </c>
      <c r="B10831" s="3">
        <f>DATE(2014,10,16)</f>
        <v>41928</v>
      </c>
      <c r="C10831" s="2" t="s">
        <v>95</v>
      </c>
      <c r="D10831" s="2" t="s">
        <v>31497</v>
      </c>
      <c r="E10831" s="2" t="s">
        <v>27192</v>
      </c>
      <c r="F10831" s="4">
        <v>4813</v>
      </c>
      <c r="G10831" s="2" t="s">
        <v>63</v>
      </c>
      <c r="H10831" s="2" t="s">
        <v>34</v>
      </c>
      <c r="I10831" s="2" t="s">
        <v>25813</v>
      </c>
      <c r="J10831" s="2" t="s">
        <v>973</v>
      </c>
      <c r="K10831" s="2" t="s">
        <v>63</v>
      </c>
      <c r="L10831" s="2" t="s">
        <v>34</v>
      </c>
      <c r="M10831" s="6">
        <v>810.99</v>
      </c>
      <c r="N10831" s="6">
        <v>22.24</v>
      </c>
      <c r="O10831" s="6">
        <v>22.27</v>
      </c>
      <c r="P10831" s="2" t="s">
        <v>31498</v>
      </c>
      <c r="Q10831" s="6">
        <v>100</v>
      </c>
      <c r="R10831" s="6">
        <v>16.5</v>
      </c>
      <c r="S10831" s="5">
        <v>7.8</v>
      </c>
      <c r="T10831" s="7">
        <v>47.593000000000004</v>
      </c>
      <c r="U10831" s="5">
        <v>3.7</v>
      </c>
      <c r="V10831" s="9">
        <v>0.56950000000000001</v>
      </c>
      <c r="W10831" s="5">
        <v>13.7</v>
      </c>
      <c r="X10831" s="6">
        <v>14.05</v>
      </c>
      <c r="Y10831" s="6">
        <v>15.84</v>
      </c>
      <c r="Z10831" s="5">
        <v>15.9</v>
      </c>
      <c r="AA10831" s="6">
        <v>13.65</v>
      </c>
      <c r="AB10831" s="7">
        <v>20.972999999999999</v>
      </c>
      <c r="AC10831" s="6">
        <v>4.88</v>
      </c>
    </row>
    <row r="10832" spans="1:29" ht="117" x14ac:dyDescent="0.15">
      <c r="A10832" s="3">
        <f>DATE(2014,6,30)</f>
        <v>41820</v>
      </c>
      <c r="B10832" s="3">
        <f>DATE(2014,10,21)</f>
        <v>41933</v>
      </c>
      <c r="C10832" s="2" t="s">
        <v>95</v>
      </c>
      <c r="D10832" s="2" t="s">
        <v>31499</v>
      </c>
      <c r="E10832" s="2" t="s">
        <v>31500</v>
      </c>
      <c r="F10832" s="4">
        <v>5093</v>
      </c>
      <c r="G10832" s="2" t="s">
        <v>76</v>
      </c>
      <c r="H10832" s="2" t="s">
        <v>34</v>
      </c>
      <c r="I10832" s="2" t="s">
        <v>1558</v>
      </c>
      <c r="J10832" s="2" t="s">
        <v>52</v>
      </c>
      <c r="K10832" s="2" t="s">
        <v>53</v>
      </c>
      <c r="L10832" s="2" t="s">
        <v>34</v>
      </c>
      <c r="M10832" s="2"/>
      <c r="N10832" s="2"/>
      <c r="O10832" s="2"/>
      <c r="P10832" s="2" t="s">
        <v>31501</v>
      </c>
      <c r="Q10832" s="2"/>
      <c r="R10832" s="2"/>
      <c r="S10832" s="5">
        <v>-34.5</v>
      </c>
      <c r="T10832" s="7">
        <v>20.198</v>
      </c>
      <c r="U10832" s="5">
        <v>3</v>
      </c>
      <c r="V10832" s="9">
        <v>-0.71940000000000004</v>
      </c>
      <c r="W10832" s="6">
        <v>1.17</v>
      </c>
      <c r="X10832" s="6">
        <v>1.27</v>
      </c>
      <c r="Y10832" s="6">
        <v>1.24</v>
      </c>
      <c r="Z10832" s="6">
        <v>1.22</v>
      </c>
      <c r="AA10832" s="6">
        <v>48.22</v>
      </c>
      <c r="AB10832" s="2" t="s">
        <v>47</v>
      </c>
      <c r="AC10832" s="2"/>
    </row>
    <row r="10833" spans="1:29" ht="91" x14ac:dyDescent="0.15">
      <c r="A10833" s="3">
        <f>DATE(2014,7,2)</f>
        <v>41822</v>
      </c>
      <c r="B10833" s="2"/>
      <c r="C10833" s="2" t="s">
        <v>39</v>
      </c>
      <c r="D10833" s="2" t="s">
        <v>31502</v>
      </c>
      <c r="E10833" s="2" t="s">
        <v>31503</v>
      </c>
      <c r="F10833" s="4">
        <v>3711</v>
      </c>
      <c r="G10833" s="2" t="s">
        <v>105</v>
      </c>
      <c r="H10833" s="2" t="s">
        <v>34</v>
      </c>
      <c r="I10833" s="2" t="s">
        <v>31504</v>
      </c>
      <c r="J10833" s="2" t="s">
        <v>31505</v>
      </c>
      <c r="K10833" s="2" t="s">
        <v>105</v>
      </c>
      <c r="L10833" s="2" t="s">
        <v>1049</v>
      </c>
      <c r="M10833" s="12">
        <v>77395.271999999997</v>
      </c>
      <c r="N10833" s="7">
        <v>263.35199999999998</v>
      </c>
      <c r="O10833" s="7">
        <v>262.012</v>
      </c>
      <c r="P10833" s="2" t="s">
        <v>31506</v>
      </c>
      <c r="Q10833" s="2"/>
      <c r="R10833" s="2"/>
      <c r="S10833" s="8">
        <v>1236.7</v>
      </c>
      <c r="T10833" s="8">
        <v>2579</v>
      </c>
      <c r="U10833" s="5">
        <v>20.2</v>
      </c>
      <c r="V10833" s="9">
        <v>3.4727000000000001</v>
      </c>
      <c r="W10833" s="6">
        <v>63.77</v>
      </c>
      <c r="X10833" s="6">
        <v>63.46</v>
      </c>
      <c r="Y10833" s="6">
        <v>63.78</v>
      </c>
      <c r="Z10833" s="6">
        <v>67.25</v>
      </c>
      <c r="AA10833" s="6">
        <v>354.7</v>
      </c>
      <c r="AB10833" s="2" t="s">
        <v>47</v>
      </c>
      <c r="AC10833" s="10">
        <v>39111.21</v>
      </c>
    </row>
    <row r="10834" spans="1:29" ht="104" x14ac:dyDescent="0.15">
      <c r="A10834" s="3">
        <f>DATE(2014,7,2)</f>
        <v>41822</v>
      </c>
      <c r="B10834" s="2"/>
      <c r="C10834" s="2" t="s">
        <v>87</v>
      </c>
      <c r="D10834" s="2" t="s">
        <v>31507</v>
      </c>
      <c r="E10834" s="2" t="s">
        <v>31508</v>
      </c>
      <c r="F10834" s="4">
        <v>7384</v>
      </c>
      <c r="G10834" s="2" t="s">
        <v>223</v>
      </c>
      <c r="H10834" s="2" t="s">
        <v>34</v>
      </c>
      <c r="I10834" s="2" t="s">
        <v>143</v>
      </c>
      <c r="J10834" s="2" t="s">
        <v>144</v>
      </c>
      <c r="K10834" s="2" t="s">
        <v>53</v>
      </c>
      <c r="L10834" s="2" t="s">
        <v>139</v>
      </c>
      <c r="M10834" s="2"/>
      <c r="N10834" s="2"/>
      <c r="O10834" s="2"/>
      <c r="P10834" s="2" t="s">
        <v>31509</v>
      </c>
      <c r="Q10834" s="2"/>
      <c r="R10834" s="2"/>
      <c r="S10834" s="5">
        <v>-27.8</v>
      </c>
      <c r="T10834" s="7">
        <v>92.701999999999998</v>
      </c>
      <c r="U10834" s="5">
        <v>19</v>
      </c>
      <c r="V10834" s="9">
        <v>-0.71009999999999995</v>
      </c>
      <c r="W10834" s="6">
        <v>42.97</v>
      </c>
      <c r="X10834" s="6">
        <v>43.51</v>
      </c>
      <c r="Y10834" s="4">
        <v>50</v>
      </c>
      <c r="Z10834" s="6">
        <v>49.79</v>
      </c>
      <c r="AA10834" s="6">
        <v>38.49</v>
      </c>
      <c r="AB10834" s="2" t="s">
        <v>47</v>
      </c>
      <c r="AC10834" s="2"/>
    </row>
    <row r="10835" spans="1:29" ht="117" x14ac:dyDescent="0.15">
      <c r="A10835" s="3">
        <f>DATE(2014,7,2)</f>
        <v>41822</v>
      </c>
      <c r="B10835" s="3">
        <f>DATE(2014,8,18)</f>
        <v>41869</v>
      </c>
      <c r="C10835" s="2" t="s">
        <v>95</v>
      </c>
      <c r="D10835" s="2" t="s">
        <v>31510</v>
      </c>
      <c r="E10835" s="2" t="s">
        <v>25285</v>
      </c>
      <c r="F10835" s="4">
        <v>5999</v>
      </c>
      <c r="G10835" s="2" t="s">
        <v>73</v>
      </c>
      <c r="H10835" s="2" t="s">
        <v>34</v>
      </c>
      <c r="I10835" s="2" t="s">
        <v>13066</v>
      </c>
      <c r="J10835" s="2" t="s">
        <v>9676</v>
      </c>
      <c r="K10835" s="2" t="s">
        <v>1461</v>
      </c>
      <c r="L10835" s="2" t="s">
        <v>34</v>
      </c>
      <c r="M10835" s="12">
        <v>23487.714</v>
      </c>
      <c r="N10835" s="6">
        <v>49.43</v>
      </c>
      <c r="O10835" s="6">
        <v>49.66</v>
      </c>
      <c r="P10835" s="2" t="s">
        <v>31511</v>
      </c>
      <c r="Q10835" s="6">
        <v>100</v>
      </c>
      <c r="R10835" s="6">
        <v>8</v>
      </c>
      <c r="S10835" s="5">
        <v>-12</v>
      </c>
      <c r="T10835" s="7">
        <v>-5.3010000000000002</v>
      </c>
      <c r="U10835" s="5">
        <v>1.6</v>
      </c>
      <c r="V10835" s="9">
        <v>-0.3548</v>
      </c>
      <c r="W10835" s="6">
        <v>6.32</v>
      </c>
      <c r="X10835" s="6">
        <v>6.28</v>
      </c>
      <c r="Y10835" s="6">
        <v>7.97</v>
      </c>
      <c r="Z10835" s="6">
        <v>7.98</v>
      </c>
      <c r="AA10835" s="6">
        <v>34.049999999999997</v>
      </c>
      <c r="AB10835" s="2" t="s">
        <v>86</v>
      </c>
      <c r="AC10835" s="5">
        <v>265</v>
      </c>
    </row>
    <row r="10836" spans="1:29" ht="65" x14ac:dyDescent="0.15">
      <c r="A10836" s="3">
        <f>DATE(2014,7,3)</f>
        <v>41823</v>
      </c>
      <c r="B10836" s="3">
        <f>DATE(2015,3,27)</f>
        <v>42090</v>
      </c>
      <c r="C10836" s="2" t="s">
        <v>95</v>
      </c>
      <c r="D10836" s="2" t="s">
        <v>31512</v>
      </c>
      <c r="E10836" s="2" t="s">
        <v>31513</v>
      </c>
      <c r="F10836" s="4">
        <v>6021</v>
      </c>
      <c r="G10836" s="2" t="s">
        <v>37</v>
      </c>
      <c r="H10836" s="2" t="s">
        <v>34</v>
      </c>
      <c r="I10836" s="2" t="s">
        <v>31514</v>
      </c>
      <c r="J10836" s="2" t="s">
        <v>36</v>
      </c>
      <c r="K10836" s="2" t="s">
        <v>37</v>
      </c>
      <c r="L10836" s="2" t="s">
        <v>34</v>
      </c>
      <c r="M10836" s="7">
        <v>66.028000000000006</v>
      </c>
      <c r="N10836" s="4">
        <v>147</v>
      </c>
      <c r="O10836" s="4">
        <v>147</v>
      </c>
      <c r="P10836" s="2" t="s">
        <v>31515</v>
      </c>
      <c r="Q10836" s="6">
        <v>100</v>
      </c>
      <c r="R10836" s="2"/>
      <c r="S10836" s="2"/>
      <c r="T10836" s="2"/>
      <c r="U10836" s="2"/>
      <c r="V10836" s="2"/>
      <c r="W10836" s="4">
        <v>125</v>
      </c>
      <c r="X10836" s="4">
        <v>125</v>
      </c>
      <c r="Y10836" s="4">
        <v>250</v>
      </c>
      <c r="Z10836" s="4">
        <v>265</v>
      </c>
      <c r="AA10836" s="6">
        <v>0.05</v>
      </c>
      <c r="AB10836" s="2" t="s">
        <v>47</v>
      </c>
      <c r="AC10836" s="2"/>
    </row>
    <row r="10837" spans="1:29" ht="143" x14ac:dyDescent="0.15">
      <c r="A10837" s="3">
        <f>DATE(2014,7,8)</f>
        <v>41828</v>
      </c>
      <c r="B10837" s="3">
        <f>DATE(2014,12,8)</f>
        <v>41981</v>
      </c>
      <c r="C10837" s="2" t="s">
        <v>95</v>
      </c>
      <c r="D10837" s="2" t="s">
        <v>31516</v>
      </c>
      <c r="E10837" s="2" t="s">
        <v>29798</v>
      </c>
      <c r="F10837" s="4">
        <v>6021</v>
      </c>
      <c r="G10837" s="2" t="s">
        <v>37</v>
      </c>
      <c r="H10837" s="2" t="s">
        <v>34</v>
      </c>
      <c r="I10837" s="2" t="s">
        <v>6339</v>
      </c>
      <c r="J10837" s="2" t="s">
        <v>36</v>
      </c>
      <c r="K10837" s="2" t="s">
        <v>37</v>
      </c>
      <c r="L10837" s="2" t="s">
        <v>34</v>
      </c>
      <c r="M10837" s="12">
        <v>1290.855</v>
      </c>
      <c r="N10837" s="5">
        <v>17.5</v>
      </c>
      <c r="O10837" s="6">
        <v>17.48</v>
      </c>
      <c r="P10837" s="2" t="s">
        <v>31517</v>
      </c>
      <c r="Q10837" s="6">
        <v>100</v>
      </c>
      <c r="R10837" s="6">
        <v>386.8</v>
      </c>
      <c r="S10837" s="2"/>
      <c r="T10837" s="2"/>
      <c r="U10837" s="2"/>
      <c r="V10837" s="2"/>
      <c r="W10837" s="4">
        <v>190</v>
      </c>
      <c r="X10837" s="4">
        <v>190</v>
      </c>
      <c r="Y10837" s="4">
        <v>355</v>
      </c>
      <c r="Z10837" s="4">
        <v>359</v>
      </c>
      <c r="AA10837" s="6">
        <v>0.16</v>
      </c>
      <c r="AB10837" s="2" t="s">
        <v>47</v>
      </c>
      <c r="AC10837" s="2"/>
    </row>
    <row r="10838" spans="1:29" ht="130" x14ac:dyDescent="0.15">
      <c r="A10838" s="3">
        <f>DATE(2014,7,10)</f>
        <v>41830</v>
      </c>
      <c r="B10838" s="2"/>
      <c r="C10838" s="2" t="s">
        <v>30</v>
      </c>
      <c r="D10838" s="2" t="s">
        <v>31518</v>
      </c>
      <c r="E10838" s="2" t="s">
        <v>92</v>
      </c>
      <c r="F10838" s="4">
        <v>6798</v>
      </c>
      <c r="G10838" s="2" t="s">
        <v>53</v>
      </c>
      <c r="H10838" s="2" t="s">
        <v>34</v>
      </c>
      <c r="I10838" s="2" t="s">
        <v>21000</v>
      </c>
      <c r="J10838" s="2" t="s">
        <v>92</v>
      </c>
      <c r="K10838" s="2" t="s">
        <v>53</v>
      </c>
      <c r="L10838" s="2" t="s">
        <v>34</v>
      </c>
      <c r="M10838" s="12">
        <v>4979.9369999999999</v>
      </c>
      <c r="N10838" s="6">
        <v>55.63</v>
      </c>
      <c r="O10838" s="6">
        <v>55.56</v>
      </c>
      <c r="P10838" s="2" t="s">
        <v>31519</v>
      </c>
      <c r="Q10838" s="2"/>
      <c r="R10838" s="6">
        <v>22</v>
      </c>
      <c r="S10838" s="5">
        <v>4.7</v>
      </c>
      <c r="T10838" s="7">
        <v>23.835000000000001</v>
      </c>
      <c r="U10838" s="5">
        <v>11.3</v>
      </c>
      <c r="V10838" s="9">
        <v>0.1613</v>
      </c>
      <c r="W10838" s="6">
        <v>18.86</v>
      </c>
      <c r="X10838" s="5">
        <v>19.2</v>
      </c>
      <c r="Y10838" s="6">
        <v>22.45</v>
      </c>
      <c r="Z10838" s="6">
        <v>22.25</v>
      </c>
      <c r="AA10838" s="6">
        <v>19.670000000000002</v>
      </c>
      <c r="AB10838" s="7">
        <v>55.476999999999997</v>
      </c>
      <c r="AC10838" s="6">
        <v>45.65</v>
      </c>
    </row>
    <row r="10839" spans="1:29" ht="156" x14ac:dyDescent="0.15">
      <c r="A10839" s="3">
        <f>DATE(2014,7,10)</f>
        <v>41830</v>
      </c>
      <c r="B10839" s="2"/>
      <c r="C10839" s="2" t="s">
        <v>30</v>
      </c>
      <c r="D10839" s="2" t="s">
        <v>31520</v>
      </c>
      <c r="E10839" s="2" t="s">
        <v>31521</v>
      </c>
      <c r="F10839" s="4">
        <v>4612</v>
      </c>
      <c r="G10839" s="2" t="s">
        <v>148</v>
      </c>
      <c r="H10839" s="2" t="s">
        <v>34</v>
      </c>
      <c r="I10839" s="2" t="s">
        <v>31522</v>
      </c>
      <c r="J10839" s="2" t="s">
        <v>31523</v>
      </c>
      <c r="K10839" s="2" t="s">
        <v>593</v>
      </c>
      <c r="L10839" s="2" t="s">
        <v>34</v>
      </c>
      <c r="M10839" s="12">
        <v>3207.8829999999998</v>
      </c>
      <c r="N10839" s="6">
        <v>43.55</v>
      </c>
      <c r="O10839" s="6">
        <v>43.65</v>
      </c>
      <c r="P10839" s="2" t="s">
        <v>31524</v>
      </c>
      <c r="Q10839" s="2"/>
      <c r="R10839" s="6">
        <v>43.59</v>
      </c>
      <c r="S10839" s="5">
        <v>28.3</v>
      </c>
      <c r="T10839" s="7">
        <v>69.188000000000002</v>
      </c>
      <c r="U10839" s="5">
        <v>21.4</v>
      </c>
      <c r="V10839" s="7">
        <v>1.744</v>
      </c>
      <c r="W10839" s="6">
        <v>43.66</v>
      </c>
      <c r="X10839" s="6">
        <v>44.33</v>
      </c>
      <c r="Y10839" s="6">
        <v>43.88</v>
      </c>
      <c r="Z10839" s="6">
        <v>44.03</v>
      </c>
      <c r="AA10839" s="6">
        <v>16.12</v>
      </c>
      <c r="AB10839" s="7">
        <v>23.608000000000001</v>
      </c>
      <c r="AC10839" s="6">
        <v>39.68</v>
      </c>
    </row>
    <row r="10840" spans="1:29" ht="182" x14ac:dyDescent="0.15">
      <c r="A10840" s="3">
        <f>DATE(2014,7,11)</f>
        <v>41831</v>
      </c>
      <c r="B10840" s="3">
        <f>DATE(2015,6,12)</f>
        <v>42167</v>
      </c>
      <c r="C10840" s="2" t="s">
        <v>95</v>
      </c>
      <c r="D10840" s="2" t="s">
        <v>31525</v>
      </c>
      <c r="E10840" s="2" t="s">
        <v>31526</v>
      </c>
      <c r="F10840" s="4">
        <v>2111</v>
      </c>
      <c r="G10840" s="2" t="s">
        <v>5397</v>
      </c>
      <c r="H10840" s="2" t="s">
        <v>34</v>
      </c>
      <c r="I10840" s="2" t="s">
        <v>31527</v>
      </c>
      <c r="J10840" s="2" t="s">
        <v>31528</v>
      </c>
      <c r="K10840" s="2" t="s">
        <v>5397</v>
      </c>
      <c r="L10840" s="2" t="s">
        <v>34</v>
      </c>
      <c r="M10840" s="12">
        <v>32027.616999999998</v>
      </c>
      <c r="N10840" s="6">
        <v>61.75</v>
      </c>
      <c r="O10840" s="6">
        <v>63.18</v>
      </c>
      <c r="P10840" s="2" t="s">
        <v>31529</v>
      </c>
      <c r="Q10840" s="6">
        <v>100</v>
      </c>
      <c r="R10840" s="6">
        <v>68.88</v>
      </c>
      <c r="S10840" s="8">
        <v>1108</v>
      </c>
      <c r="T10840" s="8">
        <v>2021</v>
      </c>
      <c r="U10840" s="5">
        <v>-6.2</v>
      </c>
      <c r="V10840" s="9">
        <v>3.0398000000000001</v>
      </c>
      <c r="W10840" s="6">
        <v>48.22</v>
      </c>
      <c r="X10840" s="6">
        <v>49.06</v>
      </c>
      <c r="Y10840" s="6">
        <v>53.61</v>
      </c>
      <c r="Z10840" s="6">
        <v>55.26</v>
      </c>
      <c r="AA10840" s="6">
        <v>362.54</v>
      </c>
      <c r="AB10840" s="7">
        <v>14.084</v>
      </c>
      <c r="AC10840" s="8">
        <v>1313</v>
      </c>
    </row>
    <row r="10841" spans="1:29" ht="143" x14ac:dyDescent="0.15">
      <c r="A10841" s="3">
        <f>DATE(2014,7,13)</f>
        <v>41833</v>
      </c>
      <c r="B10841" s="3">
        <f>DATE(2014,12,8)</f>
        <v>41981</v>
      </c>
      <c r="C10841" s="2" t="s">
        <v>95</v>
      </c>
      <c r="D10841" s="2" t="s">
        <v>31530</v>
      </c>
      <c r="E10841" s="2" t="s">
        <v>1608</v>
      </c>
      <c r="F10841" s="4">
        <v>1311</v>
      </c>
      <c r="G10841" s="2" t="s">
        <v>148</v>
      </c>
      <c r="H10841" s="2" t="s">
        <v>34</v>
      </c>
      <c r="I10841" s="2" t="s">
        <v>2475</v>
      </c>
      <c r="J10841" s="2" t="s">
        <v>21652</v>
      </c>
      <c r="K10841" s="2" t="s">
        <v>148</v>
      </c>
      <c r="L10841" s="2" t="s">
        <v>34</v>
      </c>
      <c r="M10841" s="12">
        <v>9432.2639999999992</v>
      </c>
      <c r="N10841" s="6">
        <v>84.58</v>
      </c>
      <c r="O10841" s="6">
        <v>84.58</v>
      </c>
      <c r="P10841" s="2" t="s">
        <v>31531</v>
      </c>
      <c r="Q10841" s="6">
        <v>100</v>
      </c>
      <c r="R10841" s="6">
        <v>13.9</v>
      </c>
      <c r="S10841" s="5">
        <v>128</v>
      </c>
      <c r="T10841" s="7">
        <v>823.92600000000004</v>
      </c>
      <c r="U10841" s="5">
        <v>4.7</v>
      </c>
      <c r="V10841" s="9">
        <v>0.47370000000000001</v>
      </c>
      <c r="W10841" s="6">
        <v>14.36</v>
      </c>
      <c r="X10841" s="6">
        <v>14.23</v>
      </c>
      <c r="Y10841" s="6">
        <v>14.91</v>
      </c>
      <c r="Z10841" s="6">
        <v>14.91</v>
      </c>
      <c r="AA10841" s="6">
        <v>266.52</v>
      </c>
      <c r="AB10841" s="7">
        <v>13.89</v>
      </c>
      <c r="AC10841" s="6">
        <v>227.08</v>
      </c>
    </row>
    <row r="10842" spans="1:29" ht="182" x14ac:dyDescent="0.15">
      <c r="A10842" s="3">
        <f>DATE(2014,7,13)</f>
        <v>41833</v>
      </c>
      <c r="B10842" s="3">
        <f>DATE(2014,10,17)</f>
        <v>41929</v>
      </c>
      <c r="C10842" s="2" t="s">
        <v>95</v>
      </c>
      <c r="D10842" s="2" t="s">
        <v>7226</v>
      </c>
      <c r="E10842" s="2" t="s">
        <v>7227</v>
      </c>
      <c r="F10842" s="4">
        <v>8711</v>
      </c>
      <c r="G10842" s="2" t="s">
        <v>223</v>
      </c>
      <c r="H10842" s="2" t="s">
        <v>34</v>
      </c>
      <c r="I10842" s="2" t="s">
        <v>31532</v>
      </c>
      <c r="J10842" s="2" t="s">
        <v>31533</v>
      </c>
      <c r="K10842" s="2" t="s">
        <v>223</v>
      </c>
      <c r="L10842" s="2" t="s">
        <v>34</v>
      </c>
      <c r="M10842" s="12">
        <v>4906.085</v>
      </c>
      <c r="N10842" s="6">
        <v>34.979999999999997</v>
      </c>
      <c r="O10842" s="6">
        <v>34.979999999999997</v>
      </c>
      <c r="P10842" s="2" t="s">
        <v>31534</v>
      </c>
      <c r="Q10842" s="6">
        <v>100</v>
      </c>
      <c r="R10842" s="6">
        <v>56.31</v>
      </c>
      <c r="S10842" s="5">
        <v>223</v>
      </c>
      <c r="T10842" s="5">
        <v>680.5</v>
      </c>
      <c r="U10842" s="5">
        <v>57.1</v>
      </c>
      <c r="V10842" s="9">
        <v>3.0705</v>
      </c>
      <c r="W10842" s="6">
        <v>50.72</v>
      </c>
      <c r="X10842" s="6">
        <v>52.02</v>
      </c>
      <c r="Y10842" s="5">
        <v>58.4</v>
      </c>
      <c r="Z10842" s="5">
        <v>58.4</v>
      </c>
      <c r="AA10842" s="6">
        <v>69.010000000000005</v>
      </c>
      <c r="AB10842" s="7">
        <v>12.628</v>
      </c>
      <c r="AC10842" s="6">
        <v>511.75</v>
      </c>
    </row>
    <row r="10843" spans="1:29" ht="130" x14ac:dyDescent="0.15">
      <c r="A10843" s="3">
        <f>DATE(2014,7,15)</f>
        <v>41835</v>
      </c>
      <c r="B10843" s="3">
        <f>DATE(2015,1,2)</f>
        <v>42006</v>
      </c>
      <c r="C10843" s="2" t="s">
        <v>95</v>
      </c>
      <c r="D10843" s="2" t="s">
        <v>31535</v>
      </c>
      <c r="E10843" s="2" t="s">
        <v>36</v>
      </c>
      <c r="F10843" s="4">
        <v>6035</v>
      </c>
      <c r="G10843" s="2" t="s">
        <v>33</v>
      </c>
      <c r="H10843" s="2" t="s">
        <v>34</v>
      </c>
      <c r="I10843" s="2" t="s">
        <v>31536</v>
      </c>
      <c r="J10843" s="2" t="s">
        <v>1181</v>
      </c>
      <c r="K10843" s="2" t="s">
        <v>37</v>
      </c>
      <c r="L10843" s="2" t="s">
        <v>34</v>
      </c>
      <c r="M10843" s="12">
        <v>5666.9269999999997</v>
      </c>
      <c r="N10843" s="6">
        <v>16.03</v>
      </c>
      <c r="O10843" s="6">
        <v>15.76</v>
      </c>
      <c r="P10843" s="2" t="s">
        <v>31537</v>
      </c>
      <c r="Q10843" s="6">
        <v>100</v>
      </c>
      <c r="R10843" s="6">
        <v>23.04</v>
      </c>
      <c r="S10843" s="5">
        <v>12.4</v>
      </c>
      <c r="T10843" s="7">
        <v>16.103999999999999</v>
      </c>
      <c r="U10843" s="5">
        <v>20.8</v>
      </c>
      <c r="V10843" s="9">
        <v>1.0768</v>
      </c>
      <c r="W10843" s="6">
        <v>22.73</v>
      </c>
      <c r="X10843" s="5">
        <v>21.9</v>
      </c>
      <c r="Y10843" s="6">
        <v>21.63</v>
      </c>
      <c r="Z10843" s="6">
        <v>21.37</v>
      </c>
      <c r="AA10843" s="6">
        <v>11.78</v>
      </c>
      <c r="AB10843" s="7">
        <v>29.925999999999998</v>
      </c>
      <c r="AC10843" s="2"/>
    </row>
    <row r="10844" spans="1:29" ht="195" x14ac:dyDescent="0.15">
      <c r="A10844" s="3">
        <f>DATE(2014,7,15)</f>
        <v>41835</v>
      </c>
      <c r="B10844" s="3">
        <f>DATE(2015,1,12)</f>
        <v>42016</v>
      </c>
      <c r="C10844" s="2" t="s">
        <v>95</v>
      </c>
      <c r="D10844" s="2" t="s">
        <v>31538</v>
      </c>
      <c r="E10844" s="2" t="s">
        <v>676</v>
      </c>
      <c r="F10844" s="4">
        <v>2899</v>
      </c>
      <c r="G10844" s="2" t="s">
        <v>98</v>
      </c>
      <c r="H10844" s="2" t="s">
        <v>34</v>
      </c>
      <c r="I10844" s="2" t="s">
        <v>26625</v>
      </c>
      <c r="J10844" s="2" t="s">
        <v>26626</v>
      </c>
      <c r="K10844" s="2" t="s">
        <v>98</v>
      </c>
      <c r="L10844" s="2" t="s">
        <v>34</v>
      </c>
      <c r="M10844" s="12">
        <v>5674.8220000000001</v>
      </c>
      <c r="N10844" s="6">
        <v>70.03</v>
      </c>
      <c r="O10844" s="6">
        <v>69.069999999999993</v>
      </c>
      <c r="P10844" s="2" t="s">
        <v>31539</v>
      </c>
      <c r="Q10844" s="6">
        <v>100</v>
      </c>
      <c r="R10844" s="6">
        <v>85.53</v>
      </c>
      <c r="S10844" s="5">
        <v>-38</v>
      </c>
      <c r="T10844" s="5">
        <v>247.2</v>
      </c>
      <c r="U10844" s="5">
        <v>37.200000000000003</v>
      </c>
      <c r="V10844" s="9">
        <v>1.3236000000000001</v>
      </c>
      <c r="W10844" s="6">
        <v>75.75</v>
      </c>
      <c r="X10844" s="5">
        <v>75.7</v>
      </c>
      <c r="Y10844" s="6">
        <v>83.14</v>
      </c>
      <c r="Z10844" s="6">
        <v>82.94</v>
      </c>
      <c r="AA10844" s="6">
        <v>72.56</v>
      </c>
      <c r="AB10844" s="7">
        <v>31.949000000000002</v>
      </c>
      <c r="AC10844" s="6">
        <v>515.12</v>
      </c>
    </row>
    <row r="10845" spans="1:29" ht="169" x14ac:dyDescent="0.15">
      <c r="A10845" s="3">
        <f>DATE(2014,7,15)</f>
        <v>41835</v>
      </c>
      <c r="B10845" s="3">
        <f>DATE(2014,8,14)</f>
        <v>41865</v>
      </c>
      <c r="C10845" s="2" t="s">
        <v>95</v>
      </c>
      <c r="D10845" s="2" t="s">
        <v>31540</v>
      </c>
      <c r="E10845" s="2" t="s">
        <v>31541</v>
      </c>
      <c r="F10845" s="4">
        <v>6531</v>
      </c>
      <c r="G10845" s="2" t="s">
        <v>109</v>
      </c>
      <c r="H10845" s="2" t="s">
        <v>34</v>
      </c>
      <c r="I10845" s="2" t="s">
        <v>31542</v>
      </c>
      <c r="J10845" s="2" t="s">
        <v>31543</v>
      </c>
      <c r="K10845" s="2" t="s">
        <v>109</v>
      </c>
      <c r="L10845" s="2" t="s">
        <v>34</v>
      </c>
      <c r="M10845" s="12">
        <v>5228.2430000000004</v>
      </c>
      <c r="N10845" s="6">
        <v>37.29</v>
      </c>
      <c r="O10845" s="6">
        <v>37.590000000000003</v>
      </c>
      <c r="P10845" s="2" t="s">
        <v>31544</v>
      </c>
      <c r="Q10845" s="6">
        <v>100</v>
      </c>
      <c r="R10845" s="6">
        <v>6.75</v>
      </c>
      <c r="S10845" s="5">
        <v>-8.4</v>
      </c>
      <c r="T10845" s="2"/>
      <c r="U10845" s="5">
        <v>0.4</v>
      </c>
      <c r="V10845" s="9">
        <v>-0.3896</v>
      </c>
      <c r="W10845" s="6">
        <v>2.98</v>
      </c>
      <c r="X10845" s="6">
        <v>3.11</v>
      </c>
      <c r="Y10845" s="7">
        <v>3.0209999999999999</v>
      </c>
      <c r="Z10845" s="5">
        <v>6.7</v>
      </c>
      <c r="AA10845" s="6">
        <v>21.83</v>
      </c>
      <c r="AB10845" s="2" t="s">
        <v>47</v>
      </c>
      <c r="AC10845" s="5">
        <v>209</v>
      </c>
    </row>
    <row r="10846" spans="1:29" ht="403" x14ac:dyDescent="0.15">
      <c r="A10846" s="3">
        <f>DATE(2014,7,16)</f>
        <v>41836</v>
      </c>
      <c r="B10846" s="3">
        <f>DATE(2015,4,7)</f>
        <v>42101</v>
      </c>
      <c r="C10846" s="2" t="s">
        <v>95</v>
      </c>
      <c r="D10846" s="2" t="s">
        <v>2400</v>
      </c>
      <c r="E10846" s="2" t="s">
        <v>2401</v>
      </c>
      <c r="F10846" s="4">
        <v>3999</v>
      </c>
      <c r="G10846" s="2" t="s">
        <v>112</v>
      </c>
      <c r="H10846" s="2" t="s">
        <v>34</v>
      </c>
      <c r="I10846" s="2" t="s">
        <v>31545</v>
      </c>
      <c r="J10846" s="2" t="s">
        <v>31546</v>
      </c>
      <c r="K10846" s="2" t="s">
        <v>364</v>
      </c>
      <c r="L10846" s="2" t="s">
        <v>5907</v>
      </c>
      <c r="M10846" s="12">
        <v>4437.2510000000002</v>
      </c>
      <c r="N10846" s="7">
        <v>25.957000000000001</v>
      </c>
      <c r="O10846" s="7">
        <v>25.550999999999998</v>
      </c>
      <c r="P10846" s="2" t="s">
        <v>31547</v>
      </c>
      <c r="Q10846" s="6">
        <v>100</v>
      </c>
      <c r="R10846" s="6">
        <v>17.84</v>
      </c>
      <c r="S10846" s="5">
        <v>203.7</v>
      </c>
      <c r="T10846" s="5">
        <v>608.29999999999995</v>
      </c>
      <c r="U10846" s="5">
        <v>4.8</v>
      </c>
      <c r="V10846" s="9">
        <v>0.81789999999999996</v>
      </c>
      <c r="W10846" s="6">
        <v>12.46</v>
      </c>
      <c r="X10846" s="6">
        <v>12.51</v>
      </c>
      <c r="Y10846" s="6">
        <v>14.31</v>
      </c>
      <c r="Z10846" s="5">
        <v>14.4</v>
      </c>
      <c r="AA10846" s="6">
        <v>247</v>
      </c>
      <c r="AB10846" s="7">
        <v>13.561999999999999</v>
      </c>
      <c r="AC10846" s="6">
        <v>328.62</v>
      </c>
    </row>
    <row r="10847" spans="1:29" ht="182" x14ac:dyDescent="0.15">
      <c r="A10847" s="3">
        <f>DATE(2014,7,16)</f>
        <v>41836</v>
      </c>
      <c r="B10847" s="2"/>
      <c r="C10847" s="2" t="s">
        <v>30</v>
      </c>
      <c r="D10847" s="2" t="s">
        <v>22127</v>
      </c>
      <c r="E10847" s="2" t="s">
        <v>22128</v>
      </c>
      <c r="F10847" s="4">
        <v>7812</v>
      </c>
      <c r="G10847" s="2" t="s">
        <v>42</v>
      </c>
      <c r="H10847" s="2" t="s">
        <v>34</v>
      </c>
      <c r="I10847" s="2" t="s">
        <v>31548</v>
      </c>
      <c r="J10847" s="2" t="s">
        <v>398</v>
      </c>
      <c r="K10847" s="2" t="s">
        <v>42</v>
      </c>
      <c r="L10847" s="2" t="s">
        <v>34</v>
      </c>
      <c r="M10847" s="12">
        <v>78746.305999999997</v>
      </c>
      <c r="N10847" s="4">
        <v>33</v>
      </c>
      <c r="O10847" s="6">
        <v>32.770000000000003</v>
      </c>
      <c r="P10847" s="2" t="s">
        <v>31549</v>
      </c>
      <c r="Q10847" s="2"/>
      <c r="R10847" s="6">
        <v>86.3</v>
      </c>
      <c r="S10847" s="8">
        <v>4285</v>
      </c>
      <c r="T10847" s="8">
        <v>7891</v>
      </c>
      <c r="U10847" s="5">
        <v>30.2</v>
      </c>
      <c r="V10847" s="9">
        <v>4.5925000000000002</v>
      </c>
      <c r="W10847" s="6">
        <v>72.41</v>
      </c>
      <c r="X10847" s="6">
        <v>71.010000000000005</v>
      </c>
      <c r="Y10847" s="6">
        <v>83.13</v>
      </c>
      <c r="Z10847" s="6">
        <v>86.12</v>
      </c>
      <c r="AA10847" s="6">
        <v>882.1</v>
      </c>
      <c r="AB10847" s="7">
        <v>13.231</v>
      </c>
      <c r="AC10847" s="8">
        <v>5415</v>
      </c>
    </row>
    <row r="10848" spans="1:29" ht="65" x14ac:dyDescent="0.15">
      <c r="A10848" s="3">
        <f>DATE(2014,7,17)</f>
        <v>41837</v>
      </c>
      <c r="B10848" s="3">
        <f>DATE(2014,7,28)</f>
        <v>41848</v>
      </c>
      <c r="C10848" s="2" t="s">
        <v>95</v>
      </c>
      <c r="D10848" s="2" t="s">
        <v>31550</v>
      </c>
      <c r="E10848" s="2" t="s">
        <v>31551</v>
      </c>
      <c r="F10848" s="4">
        <v>2519</v>
      </c>
      <c r="G10848" s="2" t="s">
        <v>250</v>
      </c>
      <c r="H10848" s="2" t="s">
        <v>34</v>
      </c>
      <c r="I10848" s="2" t="s">
        <v>31552</v>
      </c>
      <c r="J10848" s="2" t="s">
        <v>31553</v>
      </c>
      <c r="K10848" s="2" t="s">
        <v>250</v>
      </c>
      <c r="L10848" s="2" t="s">
        <v>34</v>
      </c>
      <c r="M10848" s="12">
        <v>1873.134</v>
      </c>
      <c r="N10848" s="6">
        <v>29.98</v>
      </c>
      <c r="O10848" s="6">
        <v>30.49</v>
      </c>
      <c r="P10848" s="2" t="s">
        <v>31554</v>
      </c>
      <c r="Q10848" s="6">
        <v>84</v>
      </c>
      <c r="R10848" s="2"/>
      <c r="S10848" s="2"/>
      <c r="T10848" s="2"/>
      <c r="U10848" s="2"/>
      <c r="V10848" s="2"/>
      <c r="W10848" s="4">
        <v>4</v>
      </c>
      <c r="X10848" s="6">
        <v>3.25</v>
      </c>
      <c r="Y10848" s="6">
        <v>3.25</v>
      </c>
      <c r="Z10848" s="5">
        <v>21.7</v>
      </c>
      <c r="AA10848" s="6">
        <v>0.6</v>
      </c>
      <c r="AB10848" s="2" t="s">
        <v>47</v>
      </c>
      <c r="AC10848" s="5">
        <v>112.8</v>
      </c>
    </row>
    <row r="10849" spans="1:29" ht="39" x14ac:dyDescent="0.15">
      <c r="A10849" s="3">
        <f>DATE(2014,7,17)</f>
        <v>41837</v>
      </c>
      <c r="B10849" s="3">
        <f>DATE(2014,11,14)</f>
        <v>41957</v>
      </c>
      <c r="C10849" s="2" t="s">
        <v>95</v>
      </c>
      <c r="D10849" s="2" t="s">
        <v>31555</v>
      </c>
      <c r="E10849" s="2" t="s">
        <v>1181</v>
      </c>
      <c r="F10849" s="4">
        <v>6021</v>
      </c>
      <c r="G10849" s="2" t="s">
        <v>37</v>
      </c>
      <c r="H10849" s="2" t="s">
        <v>34</v>
      </c>
      <c r="I10849" s="2" t="s">
        <v>31556</v>
      </c>
      <c r="J10849" s="2" t="s">
        <v>9509</v>
      </c>
      <c r="K10849" s="2" t="s">
        <v>37</v>
      </c>
      <c r="L10849" s="2" t="s">
        <v>34</v>
      </c>
      <c r="M10849" s="7">
        <v>216.053</v>
      </c>
      <c r="N10849" s="6">
        <v>14.98</v>
      </c>
      <c r="O10849" s="6">
        <v>15.38</v>
      </c>
      <c r="P10849" s="2" t="s">
        <v>31557</v>
      </c>
      <c r="Q10849" s="6">
        <v>100</v>
      </c>
      <c r="R10849" s="2"/>
      <c r="S10849" s="2"/>
      <c r="T10849" s="2"/>
      <c r="U10849" s="2"/>
      <c r="V10849" s="2"/>
      <c r="W10849" s="6">
        <v>4.71</v>
      </c>
      <c r="X10849" s="6">
        <v>4.72</v>
      </c>
      <c r="Y10849" s="6">
        <v>4.72</v>
      </c>
      <c r="Z10849" s="5">
        <v>5.7</v>
      </c>
      <c r="AA10849" s="6">
        <v>15</v>
      </c>
      <c r="AB10849" s="2" t="s">
        <v>47</v>
      </c>
      <c r="AC10849" s="2"/>
    </row>
    <row r="10850" spans="1:29" ht="91" x14ac:dyDescent="0.15">
      <c r="A10850" s="3">
        <f>DATE(2014,7,21)</f>
        <v>41841</v>
      </c>
      <c r="B10850" s="2"/>
      <c r="C10850" s="2" t="s">
        <v>30</v>
      </c>
      <c r="D10850" s="2" t="s">
        <v>31558</v>
      </c>
      <c r="E10850" s="2" t="s">
        <v>13810</v>
      </c>
      <c r="F10850" s="4">
        <v>4923</v>
      </c>
      <c r="G10850" s="2" t="s">
        <v>439</v>
      </c>
      <c r="H10850" s="2" t="s">
        <v>34</v>
      </c>
      <c r="I10850" s="2" t="s">
        <v>31559</v>
      </c>
      <c r="J10850" s="2" t="s">
        <v>18040</v>
      </c>
      <c r="K10850" s="2" t="s">
        <v>439</v>
      </c>
      <c r="L10850" s="2" t="s">
        <v>902</v>
      </c>
      <c r="M10850" s="12">
        <v>1580.1489999999999</v>
      </c>
      <c r="N10850" s="7">
        <v>7.5250000000000004</v>
      </c>
      <c r="O10850" s="7">
        <v>7.5730000000000004</v>
      </c>
      <c r="P10850" s="2" t="s">
        <v>31560</v>
      </c>
      <c r="Q10850" s="2"/>
      <c r="R10850" s="6">
        <v>13</v>
      </c>
      <c r="S10850" s="5">
        <v>5.8</v>
      </c>
      <c r="T10850" s="7">
        <v>17.710999999999999</v>
      </c>
      <c r="U10850" s="5">
        <v>9.4</v>
      </c>
      <c r="V10850" s="7">
        <v>0.56899999999999995</v>
      </c>
      <c r="W10850" s="6">
        <v>10.39</v>
      </c>
      <c r="X10850" s="6">
        <v>10.36</v>
      </c>
      <c r="Y10850" s="6">
        <v>10.43</v>
      </c>
      <c r="Z10850" s="6">
        <v>10.39</v>
      </c>
      <c r="AA10850" s="6">
        <v>10.49</v>
      </c>
      <c r="AB10850" s="7">
        <v>17.733000000000001</v>
      </c>
      <c r="AC10850" s="5">
        <v>7.6</v>
      </c>
    </row>
    <row r="10851" spans="1:29" ht="65" x14ac:dyDescent="0.15">
      <c r="A10851" s="3">
        <f>DATE(2014,7,22)</f>
        <v>41842</v>
      </c>
      <c r="B10851" s="3">
        <f>DATE(2015,1,16)</f>
        <v>42020</v>
      </c>
      <c r="C10851" s="2" t="s">
        <v>95</v>
      </c>
      <c r="D10851" s="2" t="s">
        <v>31561</v>
      </c>
      <c r="E10851" s="2" t="s">
        <v>36</v>
      </c>
      <c r="F10851" s="4">
        <v>6021</v>
      </c>
      <c r="G10851" s="2" t="s">
        <v>37</v>
      </c>
      <c r="H10851" s="2" t="s">
        <v>34</v>
      </c>
      <c r="I10851" s="2" t="s">
        <v>31562</v>
      </c>
      <c r="J10851" s="2" t="s">
        <v>36</v>
      </c>
      <c r="K10851" s="2" t="s">
        <v>37</v>
      </c>
      <c r="L10851" s="2" t="s">
        <v>34</v>
      </c>
      <c r="M10851" s="7">
        <v>111.006</v>
      </c>
      <c r="N10851" s="6">
        <v>20.43</v>
      </c>
      <c r="O10851" s="6">
        <v>20.420000000000002</v>
      </c>
      <c r="P10851" s="2" t="s">
        <v>31563</v>
      </c>
      <c r="Q10851" s="6">
        <v>100</v>
      </c>
      <c r="R10851" s="6">
        <v>22.9</v>
      </c>
      <c r="S10851" s="2"/>
      <c r="T10851" s="2"/>
      <c r="U10851" s="2"/>
      <c r="V10851" s="2"/>
      <c r="W10851" s="5">
        <v>15.5</v>
      </c>
      <c r="X10851" s="5">
        <v>15.5</v>
      </c>
      <c r="Y10851" s="5">
        <v>15.5</v>
      </c>
      <c r="Z10851" s="6">
        <v>22.25</v>
      </c>
      <c r="AA10851" s="6">
        <v>0.61</v>
      </c>
      <c r="AB10851" s="2" t="s">
        <v>47</v>
      </c>
      <c r="AC10851" s="2"/>
    </row>
    <row r="10852" spans="1:29" ht="169" x14ac:dyDescent="0.15">
      <c r="A10852" s="3">
        <f>DATE(2014,7,23)</f>
        <v>41843</v>
      </c>
      <c r="B10852" s="3">
        <f>DATE(2014,11,1)</f>
        <v>41944</v>
      </c>
      <c r="C10852" s="2" t="s">
        <v>95</v>
      </c>
      <c r="D10852" s="2" t="s">
        <v>29171</v>
      </c>
      <c r="E10852" s="2" t="s">
        <v>36</v>
      </c>
      <c r="F10852" s="4">
        <v>6035</v>
      </c>
      <c r="G10852" s="2" t="s">
        <v>33</v>
      </c>
      <c r="H10852" s="2" t="s">
        <v>34</v>
      </c>
      <c r="I10852" s="2" t="s">
        <v>22032</v>
      </c>
      <c r="J10852" s="2" t="s">
        <v>36</v>
      </c>
      <c r="K10852" s="2" t="s">
        <v>37</v>
      </c>
      <c r="L10852" s="2" t="s">
        <v>34</v>
      </c>
      <c r="M10852" s="12">
        <v>1392.3119999999999</v>
      </c>
      <c r="N10852" s="6">
        <v>24.79</v>
      </c>
      <c r="O10852" s="6">
        <v>25.98</v>
      </c>
      <c r="P10852" s="2" t="s">
        <v>31564</v>
      </c>
      <c r="Q10852" s="6">
        <v>100</v>
      </c>
      <c r="R10852" s="6">
        <v>18.22</v>
      </c>
      <c r="S10852" s="5">
        <v>10.6</v>
      </c>
      <c r="T10852" s="6">
        <v>7.66</v>
      </c>
      <c r="U10852" s="5">
        <v>15.3</v>
      </c>
      <c r="V10852" s="9">
        <v>1.5083</v>
      </c>
      <c r="W10852" s="6">
        <v>16.32</v>
      </c>
      <c r="X10852" s="6">
        <v>16.25</v>
      </c>
      <c r="Y10852" s="6">
        <v>16.309999999999999</v>
      </c>
      <c r="Z10852" s="6">
        <v>18.22</v>
      </c>
      <c r="AA10852" s="6">
        <v>2.86</v>
      </c>
      <c r="AB10852" s="7">
        <v>43.36</v>
      </c>
      <c r="AC10852" s="2"/>
    </row>
    <row r="10853" spans="1:29" ht="130" x14ac:dyDescent="0.15">
      <c r="A10853" s="3">
        <f>DATE(2014,7,24)</f>
        <v>41844</v>
      </c>
      <c r="B10853" s="3">
        <f>DATE(2014,11,19)</f>
        <v>41962</v>
      </c>
      <c r="C10853" s="2" t="s">
        <v>95</v>
      </c>
      <c r="D10853" s="2" t="s">
        <v>31565</v>
      </c>
      <c r="E10853" s="2" t="s">
        <v>10569</v>
      </c>
      <c r="F10853" s="4">
        <v>1311</v>
      </c>
      <c r="G10853" s="2" t="s">
        <v>148</v>
      </c>
      <c r="H10853" s="2" t="s">
        <v>34</v>
      </c>
      <c r="I10853" s="2" t="s">
        <v>31566</v>
      </c>
      <c r="J10853" s="2" t="s">
        <v>1608</v>
      </c>
      <c r="K10853" s="2" t="s">
        <v>148</v>
      </c>
      <c r="L10853" s="2" t="s">
        <v>34</v>
      </c>
      <c r="M10853" s="12">
        <v>2640.373</v>
      </c>
      <c r="N10853" s="6">
        <v>22.23</v>
      </c>
      <c r="O10853" s="6">
        <v>21.79</v>
      </c>
      <c r="P10853" s="2" t="s">
        <v>31567</v>
      </c>
      <c r="Q10853" s="6">
        <v>100</v>
      </c>
      <c r="R10853" s="6">
        <v>22.48</v>
      </c>
      <c r="S10853" s="5">
        <v>-221.5</v>
      </c>
      <c r="T10853" s="7">
        <v>268.18400000000003</v>
      </c>
      <c r="U10853" s="5">
        <v>-0.8</v>
      </c>
      <c r="V10853" s="9">
        <v>-4.2319000000000004</v>
      </c>
      <c r="W10853" s="6">
        <v>18.52</v>
      </c>
      <c r="X10853" s="6">
        <v>18.87</v>
      </c>
      <c r="Y10853" s="6">
        <v>20.59</v>
      </c>
      <c r="Z10853" s="6">
        <v>20.149999999999999</v>
      </c>
      <c r="AA10853" s="6">
        <v>64.88</v>
      </c>
      <c r="AB10853" s="7">
        <v>18.364999999999998</v>
      </c>
      <c r="AC10853" s="6">
        <v>11.26</v>
      </c>
    </row>
    <row r="10854" spans="1:29" ht="182" x14ac:dyDescent="0.15">
      <c r="A10854" s="3">
        <f>DATE(2014,7,28)</f>
        <v>41848</v>
      </c>
      <c r="B10854" s="3">
        <f>DATE(2015,7,6)</f>
        <v>42191</v>
      </c>
      <c r="C10854" s="2" t="s">
        <v>95</v>
      </c>
      <c r="D10854" s="2" t="s">
        <v>29015</v>
      </c>
      <c r="E10854" s="2" t="s">
        <v>29016</v>
      </c>
      <c r="F10854" s="4">
        <v>5331</v>
      </c>
      <c r="G10854" s="2" t="s">
        <v>756</v>
      </c>
      <c r="H10854" s="2" t="s">
        <v>34</v>
      </c>
      <c r="I10854" s="2" t="s">
        <v>31568</v>
      </c>
      <c r="J10854" s="2" t="s">
        <v>11529</v>
      </c>
      <c r="K10854" s="2" t="s">
        <v>756</v>
      </c>
      <c r="L10854" s="2" t="s">
        <v>34</v>
      </c>
      <c r="M10854" s="12">
        <v>11263.154</v>
      </c>
      <c r="N10854" s="6">
        <v>54.87</v>
      </c>
      <c r="O10854" s="6">
        <v>54.44</v>
      </c>
      <c r="P10854" s="2" t="s">
        <v>31569</v>
      </c>
      <c r="Q10854" s="6">
        <v>100</v>
      </c>
      <c r="R10854" s="6">
        <v>74.5</v>
      </c>
      <c r="S10854" s="5">
        <v>352.3</v>
      </c>
      <c r="T10854" s="7">
        <v>824.71799999999996</v>
      </c>
      <c r="U10854" s="5">
        <v>14.6</v>
      </c>
      <c r="V10854" s="9">
        <v>3.0649000000000002</v>
      </c>
      <c r="W10854" s="6">
        <v>66.36</v>
      </c>
      <c r="X10854" s="6">
        <v>68.22</v>
      </c>
      <c r="Y10854" s="6">
        <v>68.14</v>
      </c>
      <c r="Z10854" s="6">
        <v>68.760000000000005</v>
      </c>
      <c r="AA10854" s="6">
        <v>113.95</v>
      </c>
      <c r="AB10854" s="7">
        <v>16.032</v>
      </c>
      <c r="AC10854" s="5">
        <v>387.1</v>
      </c>
    </row>
    <row r="10855" spans="1:29" ht="195" x14ac:dyDescent="0.15">
      <c r="A10855" s="3">
        <f>DATE(2014,7,28)</f>
        <v>41848</v>
      </c>
      <c r="B10855" s="3">
        <f>DATE(2015,2,17)</f>
        <v>42052</v>
      </c>
      <c r="C10855" s="2" t="s">
        <v>95</v>
      </c>
      <c r="D10855" s="2" t="s">
        <v>30698</v>
      </c>
      <c r="E10855" s="2" t="s">
        <v>4967</v>
      </c>
      <c r="F10855" s="4">
        <v>7374</v>
      </c>
      <c r="G10855" s="2" t="s">
        <v>223</v>
      </c>
      <c r="H10855" s="2" t="s">
        <v>34</v>
      </c>
      <c r="I10855" s="2" t="s">
        <v>31570</v>
      </c>
      <c r="J10855" s="2" t="s">
        <v>20370</v>
      </c>
      <c r="K10855" s="2" t="s">
        <v>223</v>
      </c>
      <c r="L10855" s="2" t="s">
        <v>34</v>
      </c>
      <c r="M10855" s="12">
        <v>5692.4080000000004</v>
      </c>
      <c r="N10855" s="6">
        <v>160.32</v>
      </c>
      <c r="O10855" s="6">
        <v>149.87</v>
      </c>
      <c r="P10855" s="2" t="s">
        <v>31571</v>
      </c>
      <c r="Q10855" s="6">
        <v>100</v>
      </c>
      <c r="R10855" s="6">
        <v>70.53</v>
      </c>
      <c r="S10855" s="5">
        <v>-46.4</v>
      </c>
      <c r="T10855" s="7">
        <v>-19.617999999999999</v>
      </c>
      <c r="U10855" s="5">
        <v>10</v>
      </c>
      <c r="V10855" s="9">
        <v>-1.2907999999999999</v>
      </c>
      <c r="W10855" s="6">
        <v>39.94</v>
      </c>
      <c r="X10855" s="6">
        <v>53.74</v>
      </c>
      <c r="Y10855" s="6">
        <v>56.35</v>
      </c>
      <c r="Z10855" s="6">
        <v>65.040000000000006</v>
      </c>
      <c r="AA10855" s="6">
        <v>36.92</v>
      </c>
      <c r="AB10855" s="2" t="s">
        <v>86</v>
      </c>
      <c r="AC10855" s="6">
        <v>358.07</v>
      </c>
    </row>
    <row r="10856" spans="1:29" ht="208" x14ac:dyDescent="0.15">
      <c r="A10856" s="3">
        <f>DATE(2014,7,30)</f>
        <v>41850</v>
      </c>
      <c r="B10856" s="2"/>
      <c r="C10856" s="2" t="s">
        <v>30</v>
      </c>
      <c r="D10856" s="2" t="s">
        <v>31572</v>
      </c>
      <c r="E10856" s="2" t="s">
        <v>12441</v>
      </c>
      <c r="F10856" s="4">
        <v>6211</v>
      </c>
      <c r="G10856" s="2" t="s">
        <v>53</v>
      </c>
      <c r="H10856" s="2" t="s">
        <v>34</v>
      </c>
      <c r="I10856" s="2" t="s">
        <v>26417</v>
      </c>
      <c r="J10856" s="2" t="s">
        <v>26418</v>
      </c>
      <c r="K10856" s="2" t="s">
        <v>53</v>
      </c>
      <c r="L10856" s="2" t="s">
        <v>34</v>
      </c>
      <c r="M10856" s="12">
        <v>23861.351999999999</v>
      </c>
      <c r="N10856" s="6">
        <v>75.83</v>
      </c>
      <c r="O10856" s="6">
        <v>73.94</v>
      </c>
      <c r="P10856" s="2" t="s">
        <v>31573</v>
      </c>
      <c r="Q10856" s="2"/>
      <c r="R10856" s="6">
        <v>5.25</v>
      </c>
      <c r="S10856" s="2"/>
      <c r="T10856" s="2"/>
      <c r="U10856" s="2"/>
      <c r="V10856" s="2"/>
      <c r="W10856" s="6">
        <v>3.06</v>
      </c>
      <c r="X10856" s="6">
        <v>3.11</v>
      </c>
      <c r="Y10856" s="6">
        <v>4.47</v>
      </c>
      <c r="Z10856" s="6">
        <v>4.53</v>
      </c>
      <c r="AA10856" s="6">
        <v>126.1</v>
      </c>
      <c r="AB10856" s="2" t="s">
        <v>47</v>
      </c>
      <c r="AC10856" s="8">
        <v>1197.7</v>
      </c>
    </row>
    <row r="10857" spans="1:29" ht="182" x14ac:dyDescent="0.15">
      <c r="A10857" s="3">
        <f>DATE(2014,7,30)</f>
        <v>41850</v>
      </c>
      <c r="B10857" s="3">
        <f>DATE(2015,4,1)</f>
        <v>42095</v>
      </c>
      <c r="C10857" s="2" t="s">
        <v>95</v>
      </c>
      <c r="D10857" s="2" t="s">
        <v>31574</v>
      </c>
      <c r="E10857" s="2" t="s">
        <v>31575</v>
      </c>
      <c r="F10857" s="4">
        <v>2711</v>
      </c>
      <c r="G10857" s="2" t="s">
        <v>186</v>
      </c>
      <c r="H10857" s="2" t="s">
        <v>34</v>
      </c>
      <c r="I10857" s="2" t="s">
        <v>4672</v>
      </c>
      <c r="J10857" s="2" t="s">
        <v>2499</v>
      </c>
      <c r="K10857" s="2" t="s">
        <v>186</v>
      </c>
      <c r="L10857" s="2" t="s">
        <v>34</v>
      </c>
      <c r="M10857" s="12">
        <v>1198.1669999999999</v>
      </c>
      <c r="N10857" s="6">
        <v>19.989999999999998</v>
      </c>
      <c r="O10857" s="6">
        <v>21.68</v>
      </c>
      <c r="P10857" s="2" t="s">
        <v>31576</v>
      </c>
      <c r="Q10857" s="6">
        <v>100</v>
      </c>
      <c r="R10857" s="6">
        <v>10.4</v>
      </c>
      <c r="S10857" s="5">
        <v>38.4</v>
      </c>
      <c r="T10857" s="7">
        <v>82.268000000000001</v>
      </c>
      <c r="U10857" s="5">
        <v>5.4</v>
      </c>
      <c r="V10857" s="9">
        <v>0.64229999999999998</v>
      </c>
      <c r="W10857" s="6">
        <v>8.7100000000000009</v>
      </c>
      <c r="X10857" s="6">
        <v>8.5399999999999991</v>
      </c>
      <c r="Y10857" s="6">
        <v>8.76</v>
      </c>
      <c r="Z10857" s="6">
        <v>10.88</v>
      </c>
      <c r="AA10857" s="6">
        <v>50.91</v>
      </c>
      <c r="AB10857" s="7">
        <v>11.419</v>
      </c>
      <c r="AC10857" s="6">
        <v>98.31</v>
      </c>
    </row>
    <row r="10858" spans="1:29" ht="104" x14ac:dyDescent="0.15">
      <c r="A10858" s="3">
        <f>DATE(2014,7,31)</f>
        <v>41851</v>
      </c>
      <c r="B10858" s="3">
        <f>DATE(2015,2,10)</f>
        <v>42045</v>
      </c>
      <c r="C10858" s="2" t="s">
        <v>95</v>
      </c>
      <c r="D10858" s="2" t="s">
        <v>31577</v>
      </c>
      <c r="E10858" s="2" t="s">
        <v>36</v>
      </c>
      <c r="F10858" s="4">
        <v>6021</v>
      </c>
      <c r="G10858" s="2" t="s">
        <v>37</v>
      </c>
      <c r="H10858" s="2" t="s">
        <v>34</v>
      </c>
      <c r="I10858" s="2" t="s">
        <v>30494</v>
      </c>
      <c r="J10858" s="2" t="s">
        <v>36</v>
      </c>
      <c r="K10858" s="2" t="s">
        <v>37</v>
      </c>
      <c r="L10858" s="2" t="s">
        <v>34</v>
      </c>
      <c r="M10858" s="12">
        <v>1264.598</v>
      </c>
      <c r="N10858" s="6">
        <v>30.77</v>
      </c>
      <c r="O10858" s="6">
        <v>31.86</v>
      </c>
      <c r="P10858" s="2" t="s">
        <v>31578</v>
      </c>
      <c r="Q10858" s="6">
        <v>100</v>
      </c>
      <c r="R10858" s="2"/>
      <c r="S10858" s="5">
        <v>16.600000000000001</v>
      </c>
      <c r="T10858" s="7">
        <v>27.951000000000001</v>
      </c>
      <c r="U10858" s="5">
        <v>9.4</v>
      </c>
      <c r="V10858" s="7">
        <v>0.74099999999999999</v>
      </c>
      <c r="W10858" s="6">
        <v>8.1300000000000008</v>
      </c>
      <c r="X10858" s="6">
        <v>8.01</v>
      </c>
      <c r="Y10858" s="6">
        <v>7.98</v>
      </c>
      <c r="Z10858" s="5">
        <v>9.4</v>
      </c>
      <c r="AA10858" s="6">
        <v>22.03</v>
      </c>
      <c r="AB10858" s="7">
        <v>10.506</v>
      </c>
      <c r="AC10858" s="2"/>
    </row>
    <row r="10859" spans="1:29" ht="156" x14ac:dyDescent="0.15">
      <c r="A10859" s="3">
        <f>DATE(2014,7,31)</f>
        <v>41851</v>
      </c>
      <c r="B10859" s="2"/>
      <c r="C10859" s="2" t="s">
        <v>30</v>
      </c>
      <c r="D10859" s="2" t="s">
        <v>31105</v>
      </c>
      <c r="E10859" s="2" t="s">
        <v>31106</v>
      </c>
      <c r="F10859" s="4">
        <v>4812</v>
      </c>
      <c r="G10859" s="2" t="s">
        <v>63</v>
      </c>
      <c r="H10859" s="2" t="s">
        <v>34</v>
      </c>
      <c r="I10859" s="2" t="s">
        <v>31579</v>
      </c>
      <c r="J10859" s="2" t="s">
        <v>31108</v>
      </c>
      <c r="K10859" s="2" t="s">
        <v>63</v>
      </c>
      <c r="L10859" s="2" t="s">
        <v>133</v>
      </c>
      <c r="M10859" s="12">
        <v>17357.218000000001</v>
      </c>
      <c r="N10859" s="7">
        <v>275.84399999999999</v>
      </c>
      <c r="O10859" s="7">
        <v>257.28699999999998</v>
      </c>
      <c r="P10859" s="2" t="s">
        <v>31580</v>
      </c>
      <c r="Q10859" s="2"/>
      <c r="R10859" s="6">
        <v>40.5</v>
      </c>
      <c r="S10859" s="5">
        <v>184</v>
      </c>
      <c r="T10859" s="8">
        <v>3016</v>
      </c>
      <c r="U10859" s="5">
        <v>18</v>
      </c>
      <c r="V10859" s="9">
        <v>0.19570000000000001</v>
      </c>
      <c r="W10859" s="6">
        <v>31.14</v>
      </c>
      <c r="X10859" s="6">
        <v>30.94</v>
      </c>
      <c r="Y10859" s="6">
        <v>32.94</v>
      </c>
      <c r="Z10859" s="6">
        <v>33.42</v>
      </c>
      <c r="AA10859" s="6">
        <v>807.17</v>
      </c>
      <c r="AB10859" s="2" t="s">
        <v>86</v>
      </c>
      <c r="AC10859" s="6">
        <v>437.24</v>
      </c>
    </row>
    <row r="10860" spans="1:29" ht="169" x14ac:dyDescent="0.15">
      <c r="A10860" s="3">
        <f>DATE(2014,7,31)</f>
        <v>41851</v>
      </c>
      <c r="B10860" s="2"/>
      <c r="C10860" s="2" t="s">
        <v>30</v>
      </c>
      <c r="D10860" s="2" t="s">
        <v>31105</v>
      </c>
      <c r="E10860" s="2" t="s">
        <v>31106</v>
      </c>
      <c r="F10860" s="4">
        <v>4812</v>
      </c>
      <c r="G10860" s="2" t="s">
        <v>63</v>
      </c>
      <c r="H10860" s="2" t="s">
        <v>34</v>
      </c>
      <c r="I10860" s="2" t="s">
        <v>31579</v>
      </c>
      <c r="J10860" s="2" t="s">
        <v>31108</v>
      </c>
      <c r="K10860" s="2" t="s">
        <v>63</v>
      </c>
      <c r="L10860" s="2" t="s">
        <v>133</v>
      </c>
      <c r="M10860" s="12">
        <v>17357.218000000001</v>
      </c>
      <c r="N10860" s="7">
        <v>275.84399999999999</v>
      </c>
      <c r="O10860" s="7">
        <v>257.28699999999998</v>
      </c>
      <c r="P10860" s="2" t="s">
        <v>31581</v>
      </c>
      <c r="Q10860" s="2"/>
      <c r="R10860" s="6">
        <v>33</v>
      </c>
      <c r="S10860" s="5">
        <v>184</v>
      </c>
      <c r="T10860" s="8">
        <v>3016</v>
      </c>
      <c r="U10860" s="5">
        <v>18</v>
      </c>
      <c r="V10860" s="9">
        <v>0.19570000000000001</v>
      </c>
      <c r="W10860" s="6">
        <v>31.14</v>
      </c>
      <c r="X10860" s="6">
        <v>30.94</v>
      </c>
      <c r="Y10860" s="6">
        <v>32.94</v>
      </c>
      <c r="Z10860" s="6">
        <v>33.42</v>
      </c>
      <c r="AA10860" s="6">
        <v>807.17</v>
      </c>
      <c r="AB10860" s="2" t="s">
        <v>86</v>
      </c>
      <c r="AC10860" s="6">
        <v>437.24</v>
      </c>
    </row>
    <row r="10861" spans="1:29" ht="78" x14ac:dyDescent="0.15">
      <c r="A10861" s="3">
        <f>DATE(2014,8,1)</f>
        <v>41852</v>
      </c>
      <c r="B10861" s="3">
        <f>DATE(2014,11,21)</f>
        <v>41964</v>
      </c>
      <c r="C10861" s="2" t="s">
        <v>95</v>
      </c>
      <c r="D10861" s="2" t="s">
        <v>30839</v>
      </c>
      <c r="E10861" s="2" t="s">
        <v>19758</v>
      </c>
      <c r="F10861" s="4">
        <v>7372</v>
      </c>
      <c r="G10861" s="2" t="s">
        <v>551</v>
      </c>
      <c r="H10861" s="2" t="s">
        <v>34</v>
      </c>
      <c r="I10861" s="2" t="s">
        <v>19757</v>
      </c>
      <c r="J10861" s="2" t="s">
        <v>19758</v>
      </c>
      <c r="K10861" s="2" t="s">
        <v>223</v>
      </c>
      <c r="L10861" s="2" t="s">
        <v>34</v>
      </c>
      <c r="M10861" s="7">
        <v>937.53399999999999</v>
      </c>
      <c r="N10861" s="6">
        <v>8.7799999999999994</v>
      </c>
      <c r="O10861" s="6">
        <v>8.89</v>
      </c>
      <c r="P10861" s="2" t="s">
        <v>31582</v>
      </c>
      <c r="Q10861" s="6">
        <v>100</v>
      </c>
      <c r="R10861" s="6">
        <v>83.3</v>
      </c>
      <c r="S10861" s="5">
        <v>98.6</v>
      </c>
      <c r="T10861" s="7">
        <v>404.92399999999998</v>
      </c>
      <c r="U10861" s="5">
        <v>5.3</v>
      </c>
      <c r="V10861" s="9">
        <v>2.5192999999999999</v>
      </c>
      <c r="W10861" s="6">
        <v>62.26</v>
      </c>
      <c r="X10861" s="6">
        <v>60.17</v>
      </c>
      <c r="Y10861" s="5">
        <v>77.7</v>
      </c>
      <c r="Z10861" s="5">
        <v>77.7</v>
      </c>
      <c r="AA10861" s="6">
        <v>39.28</v>
      </c>
      <c r="AB10861" s="7">
        <v>18.864999999999998</v>
      </c>
      <c r="AC10861" s="5">
        <v>101</v>
      </c>
    </row>
    <row r="10862" spans="1:29" ht="143" x14ac:dyDescent="0.15">
      <c r="A10862" s="3">
        <f>DATE(2014,8,4)</f>
        <v>41855</v>
      </c>
      <c r="B10862" s="3">
        <f>DATE(2015,3,6)</f>
        <v>42069</v>
      </c>
      <c r="C10862" s="2" t="s">
        <v>95</v>
      </c>
      <c r="D10862" s="2" t="s">
        <v>31583</v>
      </c>
      <c r="E10862" s="2" t="s">
        <v>159</v>
      </c>
      <c r="F10862" s="4">
        <v>6029</v>
      </c>
      <c r="G10862" s="2" t="s">
        <v>37</v>
      </c>
      <c r="H10862" s="2" t="s">
        <v>34</v>
      </c>
      <c r="I10862" s="2" t="s">
        <v>9615</v>
      </c>
      <c r="J10862" s="2" t="s">
        <v>8873</v>
      </c>
      <c r="K10862" s="2" t="s">
        <v>37</v>
      </c>
      <c r="L10862" s="2" t="s">
        <v>34</v>
      </c>
      <c r="M10862" s="7">
        <v>293.00799999999998</v>
      </c>
      <c r="N10862" s="6">
        <v>24.08</v>
      </c>
      <c r="O10862" s="6">
        <v>23.15</v>
      </c>
      <c r="P10862" s="2" t="s">
        <v>31584</v>
      </c>
      <c r="Q10862" s="6">
        <v>100</v>
      </c>
      <c r="R10862" s="6">
        <v>29.65</v>
      </c>
      <c r="S10862" s="5">
        <v>4.5</v>
      </c>
      <c r="T10862" s="7">
        <v>6.7990000000000004</v>
      </c>
      <c r="U10862" s="5">
        <v>20.7</v>
      </c>
      <c r="V10862" s="9">
        <v>1.3112999999999999</v>
      </c>
      <c r="W10862" s="6">
        <v>20.55</v>
      </c>
      <c r="X10862" s="6">
        <v>20.56</v>
      </c>
      <c r="Y10862" s="6">
        <v>20.98</v>
      </c>
      <c r="Z10862" s="7">
        <v>28.946000000000002</v>
      </c>
      <c r="AA10862" s="6">
        <v>3.43</v>
      </c>
      <c r="AB10862" s="7">
        <v>21.001999999999999</v>
      </c>
      <c r="AC10862" s="2"/>
    </row>
    <row r="10863" spans="1:29" ht="91" x14ac:dyDescent="0.15">
      <c r="A10863" s="3">
        <f>DATE(2014,8,4)</f>
        <v>41855</v>
      </c>
      <c r="B10863" s="3">
        <f>DATE(2014,12,22)</f>
        <v>41995</v>
      </c>
      <c r="C10863" s="2" t="s">
        <v>95</v>
      </c>
      <c r="D10863" s="2" t="s">
        <v>31585</v>
      </c>
      <c r="E10863" s="2" t="s">
        <v>31586</v>
      </c>
      <c r="F10863" s="4">
        <v>1731</v>
      </c>
      <c r="G10863" s="2" t="s">
        <v>341</v>
      </c>
      <c r="H10863" s="2" t="s">
        <v>34</v>
      </c>
      <c r="I10863" s="2" t="s">
        <v>51</v>
      </c>
      <c r="J10863" s="2" t="s">
        <v>52</v>
      </c>
      <c r="K10863" s="2" t="s">
        <v>53</v>
      </c>
      <c r="L10863" s="2" t="s">
        <v>34</v>
      </c>
      <c r="M10863" s="2"/>
      <c r="N10863" s="2"/>
      <c r="O10863" s="2"/>
      <c r="P10863" s="2" t="s">
        <v>31587</v>
      </c>
      <c r="Q10863" s="6">
        <v>100</v>
      </c>
      <c r="R10863" s="6">
        <v>12</v>
      </c>
      <c r="S10863" s="5">
        <v>10.1</v>
      </c>
      <c r="T10863" s="7">
        <v>65.843000000000004</v>
      </c>
      <c r="U10863" s="5">
        <v>8</v>
      </c>
      <c r="V10863" s="6">
        <v>0.33</v>
      </c>
      <c r="W10863" s="6">
        <v>8.2200000000000006</v>
      </c>
      <c r="X10863" s="6">
        <v>7.96</v>
      </c>
      <c r="Y10863" s="6">
        <v>11.83</v>
      </c>
      <c r="Z10863" s="6">
        <v>11.83</v>
      </c>
      <c r="AA10863" s="6">
        <v>31.93</v>
      </c>
      <c r="AB10863" s="7">
        <v>23.882000000000001</v>
      </c>
      <c r="AC10863" s="2"/>
    </row>
    <row r="10864" spans="1:29" ht="117" x14ac:dyDescent="0.15">
      <c r="A10864" s="3">
        <f>DATE(2014,8,4)</f>
        <v>41855</v>
      </c>
      <c r="B10864" s="3">
        <f>DATE(2014,12,5)</f>
        <v>41978</v>
      </c>
      <c r="C10864" s="2" t="s">
        <v>95</v>
      </c>
      <c r="D10864" s="2" t="s">
        <v>31588</v>
      </c>
      <c r="E10864" s="2" t="s">
        <v>23859</v>
      </c>
      <c r="F10864" s="4">
        <v>3842</v>
      </c>
      <c r="G10864" s="2" t="s">
        <v>226</v>
      </c>
      <c r="H10864" s="2" t="s">
        <v>34</v>
      </c>
      <c r="I10864" s="2" t="s">
        <v>31589</v>
      </c>
      <c r="J10864" s="2" t="s">
        <v>18715</v>
      </c>
      <c r="K10864" s="2" t="s">
        <v>226</v>
      </c>
      <c r="L10864" s="2" t="s">
        <v>34</v>
      </c>
      <c r="M10864" s="2"/>
      <c r="N10864" s="2"/>
      <c r="O10864" s="2"/>
      <c r="P10864" s="2" t="s">
        <v>31590</v>
      </c>
      <c r="Q10864" s="6">
        <v>100</v>
      </c>
      <c r="R10864" s="6">
        <v>7.5</v>
      </c>
      <c r="S10864" s="5">
        <v>-42</v>
      </c>
      <c r="T10864" s="7">
        <v>51.133000000000003</v>
      </c>
      <c r="U10864" s="5">
        <v>7.5</v>
      </c>
      <c r="V10864" s="9">
        <v>-1.0427999999999999</v>
      </c>
      <c r="W10864" s="6">
        <v>8.81</v>
      </c>
      <c r="X10864" s="6">
        <v>8.81</v>
      </c>
      <c r="Y10864" s="6">
        <v>9.61</v>
      </c>
      <c r="Z10864" s="6">
        <v>9.61</v>
      </c>
      <c r="AA10864" s="6">
        <v>37.49</v>
      </c>
      <c r="AB10864" s="7">
        <v>16.009</v>
      </c>
      <c r="AC10864" s="2"/>
    </row>
    <row r="10865" spans="1:29" ht="156" x14ac:dyDescent="0.15">
      <c r="A10865" s="3">
        <f>DATE(2014,8,5)</f>
        <v>41856</v>
      </c>
      <c r="B10865" s="3">
        <f>DATE(2015,2,20)</f>
        <v>42055</v>
      </c>
      <c r="C10865" s="2" t="s">
        <v>95</v>
      </c>
      <c r="D10865" s="2" t="s">
        <v>31591</v>
      </c>
      <c r="E10865" s="2" t="s">
        <v>36</v>
      </c>
      <c r="F10865" s="4">
        <v>6021</v>
      </c>
      <c r="G10865" s="2" t="s">
        <v>37</v>
      </c>
      <c r="H10865" s="2" t="s">
        <v>34</v>
      </c>
      <c r="I10865" s="2" t="s">
        <v>14074</v>
      </c>
      <c r="J10865" s="2" t="s">
        <v>36</v>
      </c>
      <c r="K10865" s="2" t="s">
        <v>37</v>
      </c>
      <c r="L10865" s="2" t="s">
        <v>34</v>
      </c>
      <c r="M10865" s="7">
        <v>290.86399999999998</v>
      </c>
      <c r="N10865" s="5">
        <v>12.5</v>
      </c>
      <c r="O10865" s="6">
        <v>12.44</v>
      </c>
      <c r="P10865" s="2" t="s">
        <v>31592</v>
      </c>
      <c r="Q10865" s="6">
        <v>100</v>
      </c>
      <c r="R10865" s="6">
        <v>21</v>
      </c>
      <c r="S10865" s="5">
        <v>2</v>
      </c>
      <c r="T10865" s="7">
        <v>3.9489999999999998</v>
      </c>
      <c r="U10865" s="5">
        <v>17.3</v>
      </c>
      <c r="V10865" s="9">
        <v>0.34570000000000001</v>
      </c>
      <c r="W10865" s="6">
        <v>18.25</v>
      </c>
      <c r="X10865" s="6">
        <v>18.22</v>
      </c>
      <c r="Y10865" s="6">
        <v>18.16</v>
      </c>
      <c r="Z10865" s="6">
        <v>19.649999999999999</v>
      </c>
      <c r="AA10865" s="6">
        <v>6.27</v>
      </c>
      <c r="AB10865" s="7">
        <v>53.103999999999999</v>
      </c>
      <c r="AC10865" s="2"/>
    </row>
    <row r="10866" spans="1:29" ht="130" x14ac:dyDescent="0.15">
      <c r="A10866" s="3">
        <f>DATE(2014,8,7)</f>
        <v>41858</v>
      </c>
      <c r="B10866" s="3">
        <f>DATE(2015,3,9)</f>
        <v>42072</v>
      </c>
      <c r="C10866" s="2" t="s">
        <v>95</v>
      </c>
      <c r="D10866" s="2" t="s">
        <v>31593</v>
      </c>
      <c r="E10866" s="2" t="s">
        <v>29798</v>
      </c>
      <c r="F10866" s="4">
        <v>6021</v>
      </c>
      <c r="G10866" s="2" t="s">
        <v>37</v>
      </c>
      <c r="H10866" s="2" t="s">
        <v>34</v>
      </c>
      <c r="I10866" s="2" t="s">
        <v>30959</v>
      </c>
      <c r="J10866" s="2" t="s">
        <v>36</v>
      </c>
      <c r="K10866" s="2" t="s">
        <v>37</v>
      </c>
      <c r="L10866" s="2" t="s">
        <v>34</v>
      </c>
      <c r="M10866" s="7">
        <v>753.81700000000001</v>
      </c>
      <c r="N10866" s="6">
        <v>39.14</v>
      </c>
      <c r="O10866" s="6">
        <v>39.22</v>
      </c>
      <c r="P10866" s="2" t="s">
        <v>31594</v>
      </c>
      <c r="Q10866" s="6">
        <v>100</v>
      </c>
      <c r="R10866" s="6">
        <v>14.02</v>
      </c>
      <c r="S10866" s="5">
        <v>3.3</v>
      </c>
      <c r="T10866" s="6">
        <v>5.04</v>
      </c>
      <c r="U10866" s="5">
        <v>8.6999999999999993</v>
      </c>
      <c r="V10866" s="6">
        <v>0.83</v>
      </c>
      <c r="W10866" s="6">
        <v>8.61</v>
      </c>
      <c r="X10866" s="6">
        <v>8.85</v>
      </c>
      <c r="Y10866" s="6">
        <v>8.85</v>
      </c>
      <c r="Z10866" s="6">
        <v>13.43</v>
      </c>
      <c r="AA10866" s="6">
        <v>4.2300000000000004</v>
      </c>
      <c r="AB10866" s="7">
        <v>15.172000000000001</v>
      </c>
      <c r="AC10866" s="2"/>
    </row>
    <row r="10867" spans="1:29" ht="195" x14ac:dyDescent="0.15">
      <c r="A10867" s="3">
        <f>DATE(2014,8,10)</f>
        <v>41861</v>
      </c>
      <c r="B10867" s="3">
        <f>DATE(2014,11,26)</f>
        <v>41969</v>
      </c>
      <c r="C10867" s="2" t="s">
        <v>95</v>
      </c>
      <c r="D10867" s="2" t="s">
        <v>31595</v>
      </c>
      <c r="E10867" s="2" t="s">
        <v>31596</v>
      </c>
      <c r="F10867" s="4">
        <v>4922</v>
      </c>
      <c r="G10867" s="2" t="s">
        <v>439</v>
      </c>
      <c r="H10867" s="2" t="s">
        <v>34</v>
      </c>
      <c r="I10867" s="2" t="s">
        <v>24147</v>
      </c>
      <c r="J10867" s="2" t="s">
        <v>27469</v>
      </c>
      <c r="K10867" s="2" t="s">
        <v>439</v>
      </c>
      <c r="L10867" s="2" t="s">
        <v>34</v>
      </c>
      <c r="M10867" s="12">
        <v>36635.586000000003</v>
      </c>
      <c r="N10867" s="6">
        <v>39.369999999999997</v>
      </c>
      <c r="O10867" s="6">
        <v>39.369999999999997</v>
      </c>
      <c r="P10867" s="2" t="s">
        <v>31597</v>
      </c>
      <c r="Q10867" s="6">
        <v>57.82</v>
      </c>
      <c r="R10867" s="6">
        <v>38.79</v>
      </c>
      <c r="S10867" s="5">
        <v>382</v>
      </c>
      <c r="T10867" s="8">
        <v>1090</v>
      </c>
      <c r="U10867" s="5">
        <v>19.2</v>
      </c>
      <c r="V10867" s="7">
        <v>1.736</v>
      </c>
      <c r="W10867" s="6">
        <v>33.04</v>
      </c>
      <c r="X10867" s="5">
        <v>33.6</v>
      </c>
      <c r="Y10867" s="6">
        <v>40.56</v>
      </c>
      <c r="Z10867" s="6">
        <v>40.56</v>
      </c>
      <c r="AA10867" s="6">
        <v>231.1</v>
      </c>
      <c r="AB10867" s="7">
        <v>15.88</v>
      </c>
      <c r="AC10867" s="5">
        <v>466</v>
      </c>
    </row>
    <row r="10868" spans="1:29" ht="208" x14ac:dyDescent="0.15">
      <c r="A10868" s="3">
        <f>DATE(2014,8,10)</f>
        <v>41861</v>
      </c>
      <c r="B10868" s="3">
        <f>DATE(2014,11,26)</f>
        <v>41969</v>
      </c>
      <c r="C10868" s="2" t="s">
        <v>95</v>
      </c>
      <c r="D10868" s="2" t="s">
        <v>10787</v>
      </c>
      <c r="E10868" s="2" t="s">
        <v>4767</v>
      </c>
      <c r="F10868" s="4">
        <v>4922</v>
      </c>
      <c r="G10868" s="2" t="s">
        <v>439</v>
      </c>
      <c r="H10868" s="2" t="s">
        <v>34</v>
      </c>
      <c r="I10868" s="2" t="s">
        <v>24147</v>
      </c>
      <c r="J10868" s="2" t="s">
        <v>27469</v>
      </c>
      <c r="K10868" s="2" t="s">
        <v>439</v>
      </c>
      <c r="L10868" s="2" t="s">
        <v>34</v>
      </c>
      <c r="M10868" s="12">
        <v>36635.586000000003</v>
      </c>
      <c r="N10868" s="6">
        <v>39.369999999999997</v>
      </c>
      <c r="O10868" s="6">
        <v>39.369999999999997</v>
      </c>
      <c r="P10868" s="2" t="s">
        <v>31598</v>
      </c>
      <c r="Q10868" s="6">
        <v>88.31</v>
      </c>
      <c r="R10868" s="6">
        <v>89.99</v>
      </c>
      <c r="S10868" s="8">
        <v>1117</v>
      </c>
      <c r="T10868" s="8">
        <v>5128</v>
      </c>
      <c r="U10868" s="5">
        <v>30.8</v>
      </c>
      <c r="V10868" s="9">
        <v>2.4666000000000001</v>
      </c>
      <c r="W10868" s="6">
        <v>80.47</v>
      </c>
      <c r="X10868" s="6">
        <v>80.34</v>
      </c>
      <c r="Y10868" s="6">
        <v>94.12</v>
      </c>
      <c r="Z10868" s="6">
        <v>94.12</v>
      </c>
      <c r="AA10868" s="6">
        <v>461.71</v>
      </c>
      <c r="AB10868" s="7">
        <v>17.811</v>
      </c>
      <c r="AC10868" s="5">
        <v>466</v>
      </c>
    </row>
    <row r="10869" spans="1:29" ht="182" x14ac:dyDescent="0.15">
      <c r="A10869" s="3">
        <f>DATE(2014,8,10)</f>
        <v>41861</v>
      </c>
      <c r="B10869" s="3">
        <f>DATE(2014,11,26)</f>
        <v>41969</v>
      </c>
      <c r="C10869" s="2" t="s">
        <v>95</v>
      </c>
      <c r="D10869" s="2" t="s">
        <v>31599</v>
      </c>
      <c r="E10869" s="2" t="s">
        <v>31600</v>
      </c>
      <c r="F10869" s="4">
        <v>4923</v>
      </c>
      <c r="G10869" s="2" t="s">
        <v>439</v>
      </c>
      <c r="H10869" s="2" t="s">
        <v>34</v>
      </c>
      <c r="I10869" s="2" t="s">
        <v>24147</v>
      </c>
      <c r="J10869" s="2" t="s">
        <v>27469</v>
      </c>
      <c r="K10869" s="2" t="s">
        <v>439</v>
      </c>
      <c r="L10869" s="2" t="s">
        <v>34</v>
      </c>
      <c r="M10869" s="12">
        <v>36635.586000000003</v>
      </c>
      <c r="N10869" s="6">
        <v>39.369999999999997</v>
      </c>
      <c r="O10869" s="6">
        <v>39.369999999999997</v>
      </c>
      <c r="P10869" s="2" t="s">
        <v>31601</v>
      </c>
      <c r="Q10869" s="6">
        <v>100</v>
      </c>
      <c r="R10869" s="6">
        <v>89.76</v>
      </c>
      <c r="S10869" s="5">
        <v>203</v>
      </c>
      <c r="T10869" s="2"/>
      <c r="U10869" s="5">
        <v>30.9</v>
      </c>
      <c r="V10869" s="9">
        <v>1.5518000000000001</v>
      </c>
      <c r="W10869" s="5">
        <v>76.400000000000006</v>
      </c>
      <c r="X10869" s="6">
        <v>77.02</v>
      </c>
      <c r="Y10869" s="6">
        <v>95.42</v>
      </c>
      <c r="Z10869" s="6">
        <v>95.42</v>
      </c>
      <c r="AA10869" s="6">
        <v>131.28</v>
      </c>
      <c r="AB10869" s="2" t="s">
        <v>47</v>
      </c>
      <c r="AC10869" s="5">
        <v>466</v>
      </c>
    </row>
    <row r="10870" spans="1:29" ht="182" x14ac:dyDescent="0.15">
      <c r="A10870" s="3">
        <f>DATE(2014,8,11)</f>
        <v>41862</v>
      </c>
      <c r="B10870" s="3">
        <f>DATE(2015,1,5)</f>
        <v>42009</v>
      </c>
      <c r="C10870" s="2" t="s">
        <v>95</v>
      </c>
      <c r="D10870" s="2" t="s">
        <v>1854</v>
      </c>
      <c r="E10870" s="2" t="s">
        <v>10527</v>
      </c>
      <c r="F10870" s="4">
        <v>5148</v>
      </c>
      <c r="G10870" s="2" t="s">
        <v>593</v>
      </c>
      <c r="H10870" s="2" t="s">
        <v>34</v>
      </c>
      <c r="I10870" s="2" t="s">
        <v>51</v>
      </c>
      <c r="J10870" s="2" t="s">
        <v>52</v>
      </c>
      <c r="K10870" s="2" t="s">
        <v>53</v>
      </c>
      <c r="L10870" s="2" t="s">
        <v>25624</v>
      </c>
      <c r="M10870" s="2"/>
      <c r="N10870" s="2"/>
      <c r="O10870" s="2"/>
      <c r="P10870" s="2" t="s">
        <v>31602</v>
      </c>
      <c r="Q10870" s="6">
        <v>100</v>
      </c>
      <c r="R10870" s="6">
        <v>14.5</v>
      </c>
      <c r="S10870" s="5">
        <v>-56.2</v>
      </c>
      <c r="T10870" s="7">
        <v>98.551000000000002</v>
      </c>
      <c r="U10870" s="5">
        <v>8</v>
      </c>
      <c r="V10870" s="9">
        <v>-1.1964999999999999</v>
      </c>
      <c r="W10870" s="5">
        <v>9.6</v>
      </c>
      <c r="X10870" s="6">
        <v>10.06</v>
      </c>
      <c r="Y10870" s="5">
        <v>13.1</v>
      </c>
      <c r="Z10870" s="6">
        <v>13.39</v>
      </c>
      <c r="AA10870" s="6">
        <v>46.97</v>
      </c>
      <c r="AB10870" s="7">
        <v>36.604999999999997</v>
      </c>
      <c r="AC10870" s="2"/>
    </row>
    <row r="10871" spans="1:29" ht="91" x14ac:dyDescent="0.15">
      <c r="A10871" s="3">
        <f>DATE(2014,8,12)</f>
        <v>41863</v>
      </c>
      <c r="B10871" s="3">
        <f>DATE(2014,12,4)</f>
        <v>41977</v>
      </c>
      <c r="C10871" s="2" t="s">
        <v>95</v>
      </c>
      <c r="D10871" s="2" t="s">
        <v>31603</v>
      </c>
      <c r="E10871" s="2" t="s">
        <v>1563</v>
      </c>
      <c r="F10871" s="4">
        <v>6411</v>
      </c>
      <c r="G10871" s="2" t="s">
        <v>125</v>
      </c>
      <c r="H10871" s="2" t="s">
        <v>34</v>
      </c>
      <c r="I10871" s="2" t="s">
        <v>31604</v>
      </c>
      <c r="J10871" s="2" t="s">
        <v>1563</v>
      </c>
      <c r="K10871" s="2" t="s">
        <v>125</v>
      </c>
      <c r="L10871" s="2" t="s">
        <v>34</v>
      </c>
      <c r="M10871" s="6">
        <v>308.99</v>
      </c>
      <c r="N10871" s="6">
        <v>7.05</v>
      </c>
      <c r="O10871" s="6">
        <v>7.19</v>
      </c>
      <c r="P10871" s="2" t="s">
        <v>31605</v>
      </c>
      <c r="Q10871" s="6">
        <v>100</v>
      </c>
      <c r="R10871" s="6">
        <v>10</v>
      </c>
      <c r="S10871" s="5">
        <v>27.8</v>
      </c>
      <c r="T10871" s="7">
        <v>33.569000000000003</v>
      </c>
      <c r="U10871" s="5">
        <v>8.4</v>
      </c>
      <c r="V10871" s="9">
        <v>1.1854</v>
      </c>
      <c r="W10871" s="6">
        <v>6.95</v>
      </c>
      <c r="X10871" s="6">
        <v>7.02</v>
      </c>
      <c r="Y10871" s="6">
        <v>9.8699999999999992</v>
      </c>
      <c r="Z10871" s="6">
        <v>9.86</v>
      </c>
      <c r="AA10871" s="6">
        <v>20.03</v>
      </c>
      <c r="AB10871" s="7">
        <v>11.789</v>
      </c>
      <c r="AC10871" s="6">
        <v>144.85</v>
      </c>
    </row>
    <row r="10872" spans="1:29" ht="91" x14ac:dyDescent="0.15">
      <c r="A10872" s="3">
        <f>DATE(2014,8,12)</f>
        <v>41863</v>
      </c>
      <c r="B10872" s="3">
        <f>DATE(2014,12,15)</f>
        <v>41988</v>
      </c>
      <c r="C10872" s="2" t="s">
        <v>95</v>
      </c>
      <c r="D10872" s="2" t="s">
        <v>31606</v>
      </c>
      <c r="E10872" s="2" t="s">
        <v>31607</v>
      </c>
      <c r="F10872" s="4">
        <v>3081</v>
      </c>
      <c r="G10872" s="2" t="s">
        <v>447</v>
      </c>
      <c r="H10872" s="2" t="s">
        <v>34</v>
      </c>
      <c r="I10872" s="2" t="s">
        <v>31608</v>
      </c>
      <c r="J10872" s="2" t="s">
        <v>31609</v>
      </c>
      <c r="K10872" s="2" t="s">
        <v>137</v>
      </c>
      <c r="L10872" s="2" t="s">
        <v>34</v>
      </c>
      <c r="M10872" s="2"/>
      <c r="N10872" s="2"/>
      <c r="O10872" s="2"/>
      <c r="P10872" s="2" t="s">
        <v>31610</v>
      </c>
      <c r="Q10872" s="6">
        <v>51</v>
      </c>
      <c r="R10872" s="2"/>
      <c r="S10872" s="5">
        <v>-15.9</v>
      </c>
      <c r="T10872" s="6">
        <v>-18.12</v>
      </c>
      <c r="U10872" s="5">
        <v>9</v>
      </c>
      <c r="V10872" s="9">
        <v>-1.2101</v>
      </c>
      <c r="W10872" s="5">
        <v>1.3</v>
      </c>
      <c r="X10872" s="6">
        <v>1.32</v>
      </c>
      <c r="Y10872" s="6">
        <v>1.48</v>
      </c>
      <c r="Z10872" s="6">
        <v>1.52</v>
      </c>
      <c r="AA10872" s="6">
        <v>26.55</v>
      </c>
      <c r="AB10872" s="2" t="s">
        <v>86</v>
      </c>
      <c r="AC10872" s="2"/>
    </row>
    <row r="10873" spans="1:29" ht="195" x14ac:dyDescent="0.15">
      <c r="A10873" s="3">
        <f>DATE(2014,8,14)</f>
        <v>41865</v>
      </c>
      <c r="B10873" s="3">
        <f>DATE(2016,1,28)</f>
        <v>42397</v>
      </c>
      <c r="C10873" s="2" t="s">
        <v>95</v>
      </c>
      <c r="D10873" s="2" t="s">
        <v>31611</v>
      </c>
      <c r="E10873" s="2" t="s">
        <v>31612</v>
      </c>
      <c r="F10873" s="4">
        <v>3674</v>
      </c>
      <c r="G10873" s="2" t="s">
        <v>137</v>
      </c>
      <c r="H10873" s="2" t="s">
        <v>34</v>
      </c>
      <c r="I10873" s="2" t="s">
        <v>51</v>
      </c>
      <c r="J10873" s="2" t="s">
        <v>52</v>
      </c>
      <c r="K10873" s="2" t="s">
        <v>53</v>
      </c>
      <c r="L10873" s="2" t="s">
        <v>455</v>
      </c>
      <c r="M10873" s="2"/>
      <c r="N10873" s="2"/>
      <c r="O10873" s="2"/>
      <c r="P10873" s="2" t="s">
        <v>31613</v>
      </c>
      <c r="Q10873" s="6">
        <v>100</v>
      </c>
      <c r="R10873" s="6">
        <v>29.75</v>
      </c>
      <c r="S10873" s="5">
        <v>117.3</v>
      </c>
      <c r="T10873" s="7">
        <v>120.35899999999999</v>
      </c>
      <c r="U10873" s="5">
        <v>18.100000000000001</v>
      </c>
      <c r="V10873" s="9">
        <v>2.0569000000000002</v>
      </c>
      <c r="W10873" s="6">
        <v>22.86</v>
      </c>
      <c r="X10873" s="5">
        <v>24.6</v>
      </c>
      <c r="Y10873" s="6">
        <v>28.29</v>
      </c>
      <c r="Z10873" s="6">
        <v>27.26</v>
      </c>
      <c r="AA10873" s="6">
        <v>58.13</v>
      </c>
      <c r="AB10873" s="7">
        <v>14.71</v>
      </c>
      <c r="AC10873" s="2"/>
    </row>
    <row r="10874" spans="1:29" ht="169" x14ac:dyDescent="0.15">
      <c r="A10874" s="3">
        <f>DATE(2014,8,18)</f>
        <v>41869</v>
      </c>
      <c r="B10874" s="2"/>
      <c r="C10874" s="2" t="s">
        <v>30</v>
      </c>
      <c r="D10874" s="2" t="s">
        <v>29015</v>
      </c>
      <c r="E10874" s="2" t="s">
        <v>29016</v>
      </c>
      <c r="F10874" s="4">
        <v>5331</v>
      </c>
      <c r="G10874" s="2" t="s">
        <v>756</v>
      </c>
      <c r="H10874" s="2" t="s">
        <v>34</v>
      </c>
      <c r="I10874" s="2" t="s">
        <v>25273</v>
      </c>
      <c r="J10874" s="2" t="s">
        <v>31614</v>
      </c>
      <c r="K10874" s="2" t="s">
        <v>756</v>
      </c>
      <c r="L10874" s="2" t="s">
        <v>34</v>
      </c>
      <c r="M10874" s="12">
        <v>16781.791000000001</v>
      </c>
      <c r="N10874" s="6">
        <v>64.14</v>
      </c>
      <c r="O10874" s="6">
        <v>63.59</v>
      </c>
      <c r="P10874" s="2" t="s">
        <v>31615</v>
      </c>
      <c r="Q10874" s="2"/>
      <c r="R10874" s="6">
        <v>80</v>
      </c>
      <c r="S10874" s="5">
        <v>284.5</v>
      </c>
      <c r="T10874" s="7">
        <v>786.45699999999999</v>
      </c>
      <c r="U10874" s="5">
        <v>14.6</v>
      </c>
      <c r="V10874" s="6">
        <v>2.4900000000000002</v>
      </c>
      <c r="W10874" s="6">
        <v>66.36</v>
      </c>
      <c r="X10874" s="6">
        <v>68.22</v>
      </c>
      <c r="Y10874" s="6">
        <v>68.14</v>
      </c>
      <c r="Z10874" s="6">
        <v>68.760000000000005</v>
      </c>
      <c r="AA10874" s="6">
        <v>113.95</v>
      </c>
      <c r="AB10874" s="7">
        <v>18.210999999999999</v>
      </c>
      <c r="AC10874" s="6">
        <v>172.47</v>
      </c>
    </row>
    <row r="10875" spans="1:29" ht="91" x14ac:dyDescent="0.15">
      <c r="A10875" s="3">
        <f>DATE(2014,8,18)</f>
        <v>41869</v>
      </c>
      <c r="B10875" s="2"/>
      <c r="C10875" s="2" t="s">
        <v>7330</v>
      </c>
      <c r="D10875" s="2" t="s">
        <v>31616</v>
      </c>
      <c r="E10875" s="2" t="s">
        <v>31617</v>
      </c>
      <c r="F10875" s="4">
        <v>7372</v>
      </c>
      <c r="G10875" s="2" t="s">
        <v>551</v>
      </c>
      <c r="H10875" s="2" t="s">
        <v>34</v>
      </c>
      <c r="I10875" s="2" t="s">
        <v>31618</v>
      </c>
      <c r="J10875" s="2" t="s">
        <v>31619</v>
      </c>
      <c r="K10875" s="2" t="s">
        <v>223</v>
      </c>
      <c r="L10875" s="2" t="s">
        <v>34</v>
      </c>
      <c r="M10875" s="2"/>
      <c r="N10875" s="2"/>
      <c r="O10875" s="2"/>
      <c r="P10875" s="2" t="s">
        <v>31620</v>
      </c>
      <c r="Q10875" s="2"/>
      <c r="R10875" s="6">
        <v>1.37</v>
      </c>
      <c r="S10875" s="5">
        <v>15.3</v>
      </c>
      <c r="T10875" s="7">
        <v>9.6929999999999996</v>
      </c>
      <c r="U10875" s="5">
        <v>12.3</v>
      </c>
      <c r="V10875" s="7">
        <v>3.6829999999999998</v>
      </c>
      <c r="W10875" s="6">
        <v>1.18</v>
      </c>
      <c r="X10875" s="6">
        <v>1.1200000000000001</v>
      </c>
      <c r="Y10875" s="6">
        <v>1.1299999999999999</v>
      </c>
      <c r="Z10875" s="6">
        <v>1.44</v>
      </c>
      <c r="AA10875" s="6">
        <v>99.08</v>
      </c>
      <c r="AB10875" s="7">
        <v>0.113</v>
      </c>
      <c r="AC10875" s="2"/>
    </row>
    <row r="10876" spans="1:29" ht="117" x14ac:dyDescent="0.15">
      <c r="A10876" s="3">
        <f>DATE(2014,8,18)</f>
        <v>41869</v>
      </c>
      <c r="B10876" s="3">
        <f>DATE(2015,2,2)</f>
        <v>42037</v>
      </c>
      <c r="C10876" s="2" t="s">
        <v>95</v>
      </c>
      <c r="D10876" s="2" t="s">
        <v>31621</v>
      </c>
      <c r="E10876" s="2" t="s">
        <v>31622</v>
      </c>
      <c r="F10876" s="4">
        <v>8051</v>
      </c>
      <c r="G10876" s="2" t="s">
        <v>454</v>
      </c>
      <c r="H10876" s="2" t="s">
        <v>34</v>
      </c>
      <c r="I10876" s="2" t="s">
        <v>30049</v>
      </c>
      <c r="J10876" s="2" t="s">
        <v>10648</v>
      </c>
      <c r="K10876" s="2" t="s">
        <v>454</v>
      </c>
      <c r="L10876" s="2" t="s">
        <v>34</v>
      </c>
      <c r="M10876" s="2"/>
      <c r="N10876" s="2"/>
      <c r="O10876" s="2"/>
      <c r="P10876" s="2" t="s">
        <v>31623</v>
      </c>
      <c r="Q10876" s="6">
        <v>100</v>
      </c>
      <c r="R10876" s="2"/>
      <c r="S10876" s="5">
        <v>-0.9</v>
      </c>
      <c r="T10876" s="7">
        <v>58.314999999999998</v>
      </c>
      <c r="U10876" s="5">
        <v>2.4</v>
      </c>
      <c r="V10876" s="9">
        <v>-2.3800000000000002E-2</v>
      </c>
      <c r="W10876" s="6">
        <v>6.38</v>
      </c>
      <c r="X10876" s="6">
        <v>6.01</v>
      </c>
      <c r="Y10876" s="6">
        <v>6.15</v>
      </c>
      <c r="Z10876" s="6">
        <v>7.37</v>
      </c>
      <c r="AA10876" s="6">
        <v>40.130000000000003</v>
      </c>
      <c r="AB10876" s="7">
        <v>19.72</v>
      </c>
      <c r="AC10876" s="2"/>
    </row>
    <row r="10877" spans="1:29" ht="91" x14ac:dyDescent="0.15">
      <c r="A10877" s="3">
        <f>DATE(2014,8,19)</f>
        <v>41870</v>
      </c>
      <c r="B10877" s="2"/>
      <c r="C10877" s="2" t="s">
        <v>30</v>
      </c>
      <c r="D10877" s="2" t="s">
        <v>31624</v>
      </c>
      <c r="E10877" s="2" t="s">
        <v>207</v>
      </c>
      <c r="F10877" s="4">
        <v>3674</v>
      </c>
      <c r="G10877" s="2" t="s">
        <v>137</v>
      </c>
      <c r="H10877" s="2" t="s">
        <v>34</v>
      </c>
      <c r="I10877" s="2" t="s">
        <v>28974</v>
      </c>
      <c r="J10877" s="2" t="s">
        <v>31625</v>
      </c>
      <c r="K10877" s="2" t="s">
        <v>137</v>
      </c>
      <c r="L10877" s="2" t="s">
        <v>34</v>
      </c>
      <c r="M10877" s="7">
        <v>42.088999999999999</v>
      </c>
      <c r="N10877" s="6">
        <v>1.34</v>
      </c>
      <c r="O10877" s="6">
        <v>1.31</v>
      </c>
      <c r="P10877" s="2" t="s">
        <v>31626</v>
      </c>
      <c r="Q10877" s="2"/>
      <c r="R10877" s="6">
        <v>6.5</v>
      </c>
      <c r="S10877" s="5">
        <v>-7.2</v>
      </c>
      <c r="T10877" s="7">
        <v>-4.7450000000000001</v>
      </c>
      <c r="U10877" s="5">
        <v>4.5999999999999996</v>
      </c>
      <c r="V10877" s="9">
        <v>-0.2601</v>
      </c>
      <c r="W10877" s="6">
        <v>5.16</v>
      </c>
      <c r="X10877" s="6">
        <v>4.9400000000000004</v>
      </c>
      <c r="Y10877" s="6">
        <v>5.41</v>
      </c>
      <c r="Z10877" s="6">
        <v>5.38</v>
      </c>
      <c r="AA10877" s="6">
        <v>23.65</v>
      </c>
      <c r="AB10877" s="2" t="s">
        <v>86</v>
      </c>
      <c r="AC10877" s="6">
        <v>18.54</v>
      </c>
    </row>
    <row r="10878" spans="1:29" ht="65" x14ac:dyDescent="0.15">
      <c r="A10878" s="3">
        <f>DATE(2014,8,19)</f>
        <v>41870</v>
      </c>
      <c r="B10878" s="2"/>
      <c r="C10878" s="2" t="s">
        <v>87</v>
      </c>
      <c r="D10878" s="2" t="s">
        <v>20789</v>
      </c>
      <c r="E10878" s="2" t="s">
        <v>20790</v>
      </c>
      <c r="F10878" s="4">
        <v>2834</v>
      </c>
      <c r="G10878" s="2" t="s">
        <v>130</v>
      </c>
      <c r="H10878" s="2" t="s">
        <v>34</v>
      </c>
      <c r="I10878" s="2" t="s">
        <v>7904</v>
      </c>
      <c r="J10878" s="2" t="s">
        <v>7905</v>
      </c>
      <c r="K10878" s="2" t="s">
        <v>130</v>
      </c>
      <c r="L10878" s="2" t="s">
        <v>34</v>
      </c>
      <c r="M10878" s="12">
        <v>52425.267</v>
      </c>
      <c r="N10878" s="6">
        <v>161.82</v>
      </c>
      <c r="O10878" s="6">
        <v>163.13</v>
      </c>
      <c r="P10878" s="2" t="s">
        <v>31627</v>
      </c>
      <c r="Q10878" s="2"/>
      <c r="R10878" s="2"/>
      <c r="S10878" s="5">
        <v>59</v>
      </c>
      <c r="T10878" s="7">
        <v>316.45699999999999</v>
      </c>
      <c r="U10878" s="5">
        <v>11.6</v>
      </c>
      <c r="V10878" s="9">
        <v>0.86080000000000001</v>
      </c>
      <c r="W10878" s="6">
        <v>127.75</v>
      </c>
      <c r="X10878" s="6">
        <v>139.16999999999999</v>
      </c>
      <c r="Y10878" s="5">
        <v>160.80000000000001</v>
      </c>
      <c r="Z10878" s="6">
        <v>157.18</v>
      </c>
      <c r="AA10878" s="6">
        <v>63.69</v>
      </c>
      <c r="AB10878" s="2" t="s">
        <v>47</v>
      </c>
      <c r="AC10878" s="8">
        <v>3715.5</v>
      </c>
    </row>
    <row r="10879" spans="1:29" ht="117" x14ac:dyDescent="0.15">
      <c r="A10879" s="3">
        <f>DATE(2014,8,20)</f>
        <v>41871</v>
      </c>
      <c r="B10879" s="3">
        <f>DATE(2015,1,13)</f>
        <v>42017</v>
      </c>
      <c r="C10879" s="2" t="s">
        <v>95</v>
      </c>
      <c r="D10879" s="2" t="s">
        <v>16179</v>
      </c>
      <c r="E10879" s="2" t="s">
        <v>16180</v>
      </c>
      <c r="F10879" s="4">
        <v>3674</v>
      </c>
      <c r="G10879" s="2" t="s">
        <v>137</v>
      </c>
      <c r="H10879" s="2" t="s">
        <v>34</v>
      </c>
      <c r="I10879" s="2" t="s">
        <v>31628</v>
      </c>
      <c r="J10879" s="2" t="s">
        <v>31609</v>
      </c>
      <c r="K10879" s="2" t="s">
        <v>137</v>
      </c>
      <c r="L10879" s="2" t="s">
        <v>1049</v>
      </c>
      <c r="M10879" s="12">
        <v>14164.864</v>
      </c>
      <c r="N10879" s="7">
        <v>11.285</v>
      </c>
      <c r="O10879" s="7">
        <v>11.417</v>
      </c>
      <c r="P10879" s="2" t="s">
        <v>31629</v>
      </c>
      <c r="Q10879" s="6">
        <v>100</v>
      </c>
      <c r="R10879" s="6">
        <v>40</v>
      </c>
      <c r="S10879" s="5">
        <v>58.7</v>
      </c>
      <c r="T10879" s="7">
        <v>173.25200000000001</v>
      </c>
      <c r="U10879" s="5">
        <v>18.600000000000001</v>
      </c>
      <c r="V10879" s="9">
        <v>0.80959999999999999</v>
      </c>
      <c r="W10879" s="6">
        <v>25.46</v>
      </c>
      <c r="X10879" s="6">
        <v>26.56</v>
      </c>
      <c r="Y10879" s="5">
        <v>39.1</v>
      </c>
      <c r="Z10879" s="6">
        <v>39.119999999999997</v>
      </c>
      <c r="AA10879" s="6">
        <v>71.53</v>
      </c>
      <c r="AB10879" s="7">
        <v>28.335999999999999</v>
      </c>
      <c r="AC10879" s="10">
        <v>3101.89</v>
      </c>
    </row>
    <row r="10880" spans="1:29" ht="104" x14ac:dyDescent="0.15">
      <c r="A10880" s="3">
        <f>DATE(2014,8,21)</f>
        <v>41872</v>
      </c>
      <c r="B10880" s="3">
        <f>DATE(2014,10,14)</f>
        <v>41926</v>
      </c>
      <c r="C10880" s="2" t="s">
        <v>95</v>
      </c>
      <c r="D10880" s="2" t="s">
        <v>21941</v>
      </c>
      <c r="E10880" s="2" t="s">
        <v>31375</v>
      </c>
      <c r="F10880" s="4">
        <v>1791</v>
      </c>
      <c r="G10880" s="2" t="s">
        <v>341</v>
      </c>
      <c r="H10880" s="2" t="s">
        <v>34</v>
      </c>
      <c r="I10880" s="2" t="s">
        <v>31376</v>
      </c>
      <c r="J10880" s="2" t="s">
        <v>27192</v>
      </c>
      <c r="K10880" s="2" t="s">
        <v>63</v>
      </c>
      <c r="L10880" s="2" t="s">
        <v>34</v>
      </c>
      <c r="M10880" s="7">
        <v>90.935000000000002</v>
      </c>
      <c r="N10880" s="6">
        <v>3.95</v>
      </c>
      <c r="O10880" s="6">
        <v>3.93</v>
      </c>
      <c r="P10880" s="2" t="s">
        <v>31630</v>
      </c>
      <c r="Q10880" s="6">
        <v>30</v>
      </c>
      <c r="R10880" s="6">
        <v>31.5</v>
      </c>
      <c r="S10880" s="2"/>
      <c r="T10880" s="2"/>
      <c r="U10880" s="2"/>
      <c r="V10880" s="2"/>
      <c r="W10880" s="4">
        <v>31</v>
      </c>
      <c r="X10880" s="4">
        <v>31</v>
      </c>
      <c r="Y10880" s="4">
        <v>32</v>
      </c>
      <c r="Z10880" s="7">
        <v>31.831</v>
      </c>
      <c r="AA10880" s="6">
        <v>3.85</v>
      </c>
      <c r="AB10880" s="2" t="s">
        <v>47</v>
      </c>
      <c r="AC10880" s="6">
        <v>41.59</v>
      </c>
    </row>
    <row r="10881" spans="1:29" ht="65" x14ac:dyDescent="0.15">
      <c r="A10881" s="3">
        <f>DATE(2014,8,22)</f>
        <v>41873</v>
      </c>
      <c r="B10881" s="2"/>
      <c r="C10881" s="2" t="s">
        <v>39</v>
      </c>
      <c r="D10881" s="2" t="s">
        <v>31631</v>
      </c>
      <c r="E10881" s="2" t="s">
        <v>31632</v>
      </c>
      <c r="F10881" s="4">
        <v>4899</v>
      </c>
      <c r="G10881" s="2" t="s">
        <v>63</v>
      </c>
      <c r="H10881" s="2" t="s">
        <v>34</v>
      </c>
      <c r="I10881" s="2" t="s">
        <v>143</v>
      </c>
      <c r="J10881" s="2" t="s">
        <v>144</v>
      </c>
      <c r="K10881" s="2" t="s">
        <v>53</v>
      </c>
      <c r="L10881" s="2" t="s">
        <v>139</v>
      </c>
      <c r="M10881" s="2"/>
      <c r="N10881" s="2"/>
      <c r="O10881" s="2"/>
      <c r="P10881" s="2" t="s">
        <v>31633</v>
      </c>
      <c r="Q10881" s="2"/>
      <c r="R10881" s="2"/>
      <c r="S10881" s="5">
        <v>154.1</v>
      </c>
      <c r="T10881" s="7">
        <v>379.68099999999998</v>
      </c>
      <c r="U10881" s="5">
        <v>9.6</v>
      </c>
      <c r="V10881" s="9">
        <v>2.4253999999999998</v>
      </c>
      <c r="W10881" s="6">
        <v>28.66</v>
      </c>
      <c r="X10881" s="6">
        <v>28.71</v>
      </c>
      <c r="Y10881" s="6">
        <v>29.36</v>
      </c>
      <c r="Z10881" s="6">
        <v>28.73</v>
      </c>
      <c r="AA10881" s="6">
        <v>56.09</v>
      </c>
      <c r="AB10881" s="2" t="s">
        <v>47</v>
      </c>
      <c r="AC10881" s="2"/>
    </row>
    <row r="10882" spans="1:29" ht="91" x14ac:dyDescent="0.15">
      <c r="A10882" s="3">
        <f>DATE(2014,8,22)</f>
        <v>41873</v>
      </c>
      <c r="B10882" s="3">
        <f>DATE(2014,12,12)</f>
        <v>41985</v>
      </c>
      <c r="C10882" s="2" t="s">
        <v>95</v>
      </c>
      <c r="D10882" s="2" t="s">
        <v>31634</v>
      </c>
      <c r="E10882" s="2" t="s">
        <v>31609</v>
      </c>
      <c r="F10882" s="4">
        <v>3674</v>
      </c>
      <c r="G10882" s="2" t="s">
        <v>137</v>
      </c>
      <c r="H10882" s="2" t="s">
        <v>34</v>
      </c>
      <c r="I10882" s="2" t="s">
        <v>31635</v>
      </c>
      <c r="J10882" s="2" t="s">
        <v>5016</v>
      </c>
      <c r="K10882" s="2" t="s">
        <v>76</v>
      </c>
      <c r="L10882" s="2" t="s">
        <v>34</v>
      </c>
      <c r="M10882" s="2"/>
      <c r="N10882" s="2"/>
      <c r="O10882" s="2"/>
      <c r="P10882" s="2" t="s">
        <v>31636</v>
      </c>
      <c r="Q10882" s="6">
        <v>100</v>
      </c>
      <c r="R10882" s="6">
        <v>12.5</v>
      </c>
      <c r="S10882" s="5">
        <v>-18.399999999999999</v>
      </c>
      <c r="T10882" s="7">
        <v>-11.401999999999999</v>
      </c>
      <c r="U10882" s="5">
        <v>3.4</v>
      </c>
      <c r="V10882" s="9">
        <v>-0.55579999999999996</v>
      </c>
      <c r="W10882" s="6">
        <v>7.23</v>
      </c>
      <c r="X10882" s="6">
        <v>7.69</v>
      </c>
      <c r="Y10882" s="6">
        <v>12.53</v>
      </c>
      <c r="Z10882" s="6">
        <v>12.46</v>
      </c>
      <c r="AA10882" s="6">
        <v>33.43</v>
      </c>
      <c r="AB10882" s="2" t="s">
        <v>86</v>
      </c>
      <c r="AC10882" s="2"/>
    </row>
    <row r="10883" spans="1:29" ht="208" x14ac:dyDescent="0.15">
      <c r="A10883" s="3">
        <f>DATE(2014,8,24)</f>
        <v>41875</v>
      </c>
      <c r="B10883" s="3">
        <f>DATE(2014,9,29)</f>
        <v>41911</v>
      </c>
      <c r="C10883" s="2" t="s">
        <v>95</v>
      </c>
      <c r="D10883" s="2" t="s">
        <v>31637</v>
      </c>
      <c r="E10883" s="2" t="s">
        <v>540</v>
      </c>
      <c r="F10883" s="4">
        <v>2836</v>
      </c>
      <c r="G10883" s="2" t="s">
        <v>130</v>
      </c>
      <c r="H10883" s="2" t="s">
        <v>34</v>
      </c>
      <c r="I10883" s="2" t="s">
        <v>213</v>
      </c>
      <c r="J10883" s="2" t="s">
        <v>214</v>
      </c>
      <c r="K10883" s="2" t="s">
        <v>130</v>
      </c>
      <c r="L10883" s="2" t="s">
        <v>215</v>
      </c>
      <c r="M10883" s="12">
        <v>207344.519</v>
      </c>
      <c r="N10883" s="7">
        <v>292.50400000000002</v>
      </c>
      <c r="O10883" s="7">
        <v>292.50400000000002</v>
      </c>
      <c r="P10883" s="2" t="s">
        <v>31638</v>
      </c>
      <c r="Q10883" s="6">
        <v>100</v>
      </c>
      <c r="R10883" s="6">
        <v>74</v>
      </c>
      <c r="S10883" s="5">
        <v>-231.7</v>
      </c>
      <c r="T10883" s="7">
        <v>-196.73599999999999</v>
      </c>
      <c r="U10883" s="5">
        <v>3.3</v>
      </c>
      <c r="V10883" s="9">
        <v>-2.6061999999999999</v>
      </c>
      <c r="W10883" s="6">
        <v>30.04</v>
      </c>
      <c r="X10883" s="6">
        <v>30.58</v>
      </c>
      <c r="Y10883" s="6">
        <v>33.869999999999997</v>
      </c>
      <c r="Z10883" s="6">
        <v>33.64</v>
      </c>
      <c r="AA10883" s="6">
        <v>108.31</v>
      </c>
      <c r="AB10883" s="2" t="s">
        <v>86</v>
      </c>
      <c r="AC10883" s="10">
        <v>14096.31</v>
      </c>
    </row>
    <row r="10884" spans="1:29" ht="156" x14ac:dyDescent="0.15">
      <c r="A10884" s="3">
        <f>DATE(2014,8,25)</f>
        <v>41876</v>
      </c>
      <c r="B10884" s="3">
        <f>DATE(2015,1,1)</f>
        <v>42005</v>
      </c>
      <c r="C10884" s="2" t="s">
        <v>95</v>
      </c>
      <c r="D10884" s="2" t="s">
        <v>31639</v>
      </c>
      <c r="E10884" s="2" t="s">
        <v>36</v>
      </c>
      <c r="F10884" s="4">
        <v>6021</v>
      </c>
      <c r="G10884" s="2" t="s">
        <v>37</v>
      </c>
      <c r="H10884" s="2" t="s">
        <v>34</v>
      </c>
      <c r="I10884" s="2" t="s">
        <v>23448</v>
      </c>
      <c r="J10884" s="2" t="s">
        <v>1181</v>
      </c>
      <c r="K10884" s="2" t="s">
        <v>37</v>
      </c>
      <c r="L10884" s="2" t="s">
        <v>34</v>
      </c>
      <c r="M10884" s="7">
        <v>168.328</v>
      </c>
      <c r="N10884" s="6">
        <v>21.99</v>
      </c>
      <c r="O10884" s="6">
        <v>22.08</v>
      </c>
      <c r="P10884" s="2" t="s">
        <v>31640</v>
      </c>
      <c r="Q10884" s="6">
        <v>100</v>
      </c>
      <c r="R10884" s="6">
        <v>14.05</v>
      </c>
      <c r="S10884" s="5">
        <v>0.9</v>
      </c>
      <c r="T10884" s="7">
        <v>1.542</v>
      </c>
      <c r="U10884" s="5">
        <v>14.5</v>
      </c>
      <c r="V10884" s="9">
        <v>0.52849999999999997</v>
      </c>
      <c r="W10884" s="5">
        <v>10.8</v>
      </c>
      <c r="X10884" s="5">
        <v>10.8</v>
      </c>
      <c r="Y10884" s="5">
        <v>13.5</v>
      </c>
      <c r="Z10884" s="5">
        <v>13.5</v>
      </c>
      <c r="AA10884" s="6">
        <v>1.71</v>
      </c>
      <c r="AB10884" s="7">
        <v>17.294</v>
      </c>
      <c r="AC10884" s="2"/>
    </row>
    <row r="10885" spans="1:29" ht="169" x14ac:dyDescent="0.15">
      <c r="A10885" s="3">
        <f>DATE(2014,8,27)</f>
        <v>41878</v>
      </c>
      <c r="B10885" s="3">
        <f>DATE(2015,4,14)</f>
        <v>42108</v>
      </c>
      <c r="C10885" s="2" t="s">
        <v>95</v>
      </c>
      <c r="D10885" s="2" t="s">
        <v>19089</v>
      </c>
      <c r="E10885" s="2" t="s">
        <v>28573</v>
      </c>
      <c r="F10885" s="4">
        <v>8221</v>
      </c>
      <c r="G10885" s="2" t="s">
        <v>415</v>
      </c>
      <c r="H10885" s="2" t="s">
        <v>34</v>
      </c>
      <c r="I10885" s="2" t="s">
        <v>1526</v>
      </c>
      <c r="J10885" s="2" t="s">
        <v>302</v>
      </c>
      <c r="K10885" s="2" t="s">
        <v>53</v>
      </c>
      <c r="L10885" s="2" t="s">
        <v>34</v>
      </c>
      <c r="M10885" s="2"/>
      <c r="N10885" s="2"/>
      <c r="O10885" s="2"/>
      <c r="P10885" s="2" t="s">
        <v>31641</v>
      </c>
      <c r="Q10885" s="2"/>
      <c r="R10885" s="2"/>
      <c r="S10885" s="5">
        <v>-663.9</v>
      </c>
      <c r="T10885" s="7">
        <v>272.64800000000002</v>
      </c>
      <c r="U10885" s="5">
        <v>-2.2999999999999998</v>
      </c>
      <c r="V10885" s="6">
        <v>-5.29</v>
      </c>
      <c r="W10885" s="6">
        <v>1.51</v>
      </c>
      <c r="X10885" s="6">
        <v>1.54</v>
      </c>
      <c r="Y10885" s="6">
        <v>1.47</v>
      </c>
      <c r="Z10885" s="6">
        <v>1.41</v>
      </c>
      <c r="AA10885" s="6">
        <v>126.06</v>
      </c>
      <c r="AB10885" s="2" t="s">
        <v>47</v>
      </c>
      <c r="AC10885" s="2"/>
    </row>
    <row r="10886" spans="1:29" ht="143" x14ac:dyDescent="0.15">
      <c r="A10886" s="3">
        <f>DATE(2014,8,27)</f>
        <v>41878</v>
      </c>
      <c r="B10886" s="3">
        <f>DATE(2015,3,2)</f>
        <v>42065</v>
      </c>
      <c r="C10886" s="2" t="s">
        <v>95</v>
      </c>
      <c r="D10886" s="2" t="s">
        <v>31642</v>
      </c>
      <c r="E10886" s="2" t="s">
        <v>29798</v>
      </c>
      <c r="F10886" s="4">
        <v>6021</v>
      </c>
      <c r="G10886" s="2" t="s">
        <v>37</v>
      </c>
      <c r="H10886" s="2" t="s">
        <v>34</v>
      </c>
      <c r="I10886" s="2" t="s">
        <v>11275</v>
      </c>
      <c r="J10886" s="2" t="s">
        <v>3246</v>
      </c>
      <c r="K10886" s="2" t="s">
        <v>37</v>
      </c>
      <c r="L10886" s="2" t="s">
        <v>34</v>
      </c>
      <c r="M10886" s="7">
        <v>55.238</v>
      </c>
      <c r="N10886" s="6">
        <v>15.87</v>
      </c>
      <c r="O10886" s="7">
        <v>16.099</v>
      </c>
      <c r="P10886" s="2" t="s">
        <v>31643</v>
      </c>
      <c r="Q10886" s="6">
        <v>100</v>
      </c>
      <c r="R10886" s="6">
        <v>51.6</v>
      </c>
      <c r="S10886" s="2"/>
      <c r="T10886" s="2"/>
      <c r="U10886" s="2"/>
      <c r="V10886" s="2"/>
      <c r="W10886" s="4">
        <v>28</v>
      </c>
      <c r="X10886" s="4">
        <v>28</v>
      </c>
      <c r="Y10886" s="4">
        <v>28</v>
      </c>
      <c r="Z10886" s="6">
        <v>49.25</v>
      </c>
      <c r="AA10886" s="6">
        <v>0.24</v>
      </c>
      <c r="AB10886" s="2" t="s">
        <v>47</v>
      </c>
      <c r="AC10886" s="2"/>
    </row>
    <row r="10887" spans="1:29" ht="130" x14ac:dyDescent="0.15">
      <c r="A10887" s="3">
        <f>DATE(2014,8,28)</f>
        <v>41879</v>
      </c>
      <c r="B10887" s="3">
        <f>DATE(2014,10,9)</f>
        <v>41921</v>
      </c>
      <c r="C10887" s="2" t="s">
        <v>95</v>
      </c>
      <c r="D10887" s="2" t="s">
        <v>18284</v>
      </c>
      <c r="E10887" s="2" t="s">
        <v>18285</v>
      </c>
      <c r="F10887" s="4">
        <v>3663</v>
      </c>
      <c r="G10887" s="2" t="s">
        <v>921</v>
      </c>
      <c r="H10887" s="2" t="s">
        <v>34</v>
      </c>
      <c r="I10887" s="2" t="s">
        <v>31644</v>
      </c>
      <c r="J10887" s="2" t="s">
        <v>3197</v>
      </c>
      <c r="K10887" s="2" t="s">
        <v>53</v>
      </c>
      <c r="L10887" s="2" t="s">
        <v>34</v>
      </c>
      <c r="M10887" s="2"/>
      <c r="N10887" s="2"/>
      <c r="O10887" s="2"/>
      <c r="P10887" s="2" t="s">
        <v>31645</v>
      </c>
      <c r="Q10887" s="6">
        <v>100</v>
      </c>
      <c r="R10887" s="6">
        <v>4.3</v>
      </c>
      <c r="S10887" s="5">
        <v>0.8</v>
      </c>
      <c r="T10887" s="6">
        <v>3.93</v>
      </c>
      <c r="U10887" s="5">
        <v>5.8</v>
      </c>
      <c r="V10887" s="7">
        <v>0.114</v>
      </c>
      <c r="W10887" s="6">
        <v>3.96</v>
      </c>
      <c r="X10887" s="6">
        <v>3.97</v>
      </c>
      <c r="Y10887" s="6">
        <v>4.28</v>
      </c>
      <c r="Z10887" s="6">
        <v>4.2699999999999996</v>
      </c>
      <c r="AA10887" s="6">
        <v>6.6</v>
      </c>
      <c r="AB10887" s="7">
        <v>76.843000000000004</v>
      </c>
      <c r="AC10887" s="2"/>
    </row>
    <row r="10888" spans="1:29" ht="130" x14ac:dyDescent="0.15">
      <c r="A10888" s="3">
        <f>DATE(2014,8,28)</f>
        <v>41879</v>
      </c>
      <c r="B10888" s="2"/>
      <c r="C10888" s="2" t="s">
        <v>87</v>
      </c>
      <c r="D10888" s="2" t="s">
        <v>31105</v>
      </c>
      <c r="E10888" s="2" t="s">
        <v>31106</v>
      </c>
      <c r="F10888" s="4">
        <v>4812</v>
      </c>
      <c r="G10888" s="2" t="s">
        <v>63</v>
      </c>
      <c r="H10888" s="2" t="s">
        <v>34</v>
      </c>
      <c r="I10888" s="2" t="s">
        <v>143</v>
      </c>
      <c r="J10888" s="2" t="s">
        <v>144</v>
      </c>
      <c r="K10888" s="2" t="s">
        <v>53</v>
      </c>
      <c r="L10888" s="2" t="s">
        <v>139</v>
      </c>
      <c r="M10888" s="2"/>
      <c r="N10888" s="2"/>
      <c r="O10888" s="2"/>
      <c r="P10888" s="2" t="s">
        <v>31646</v>
      </c>
      <c r="Q10888" s="2"/>
      <c r="R10888" s="2"/>
      <c r="S10888" s="5">
        <v>184</v>
      </c>
      <c r="T10888" s="8">
        <v>3016</v>
      </c>
      <c r="U10888" s="5">
        <v>18</v>
      </c>
      <c r="V10888" s="9">
        <v>0.19570000000000001</v>
      </c>
      <c r="W10888" s="6">
        <v>29.16</v>
      </c>
      <c r="X10888" s="6">
        <v>29.44</v>
      </c>
      <c r="Y10888" s="6">
        <v>29.84</v>
      </c>
      <c r="Z10888" s="6">
        <v>30.08</v>
      </c>
      <c r="AA10888" s="6">
        <v>807.17</v>
      </c>
      <c r="AB10888" s="2" t="s">
        <v>86</v>
      </c>
      <c r="AC10888" s="2"/>
    </row>
    <row r="10889" spans="1:29" ht="221" x14ac:dyDescent="0.15">
      <c r="A10889" s="3">
        <f>DATE(2014,9,2)</f>
        <v>41884</v>
      </c>
      <c r="B10889" s="3">
        <f>DATE(2014,12,15)</f>
        <v>41988</v>
      </c>
      <c r="C10889" s="2" t="s">
        <v>95</v>
      </c>
      <c r="D10889" s="2" t="s">
        <v>3638</v>
      </c>
      <c r="E10889" s="2" t="s">
        <v>3639</v>
      </c>
      <c r="F10889" s="4">
        <v>7372</v>
      </c>
      <c r="G10889" s="2" t="s">
        <v>551</v>
      </c>
      <c r="H10889" s="2" t="s">
        <v>34</v>
      </c>
      <c r="I10889" s="2" t="s">
        <v>27462</v>
      </c>
      <c r="J10889" s="2" t="s">
        <v>244</v>
      </c>
      <c r="K10889" s="2" t="s">
        <v>53</v>
      </c>
      <c r="L10889" s="2" t="s">
        <v>34</v>
      </c>
      <c r="M10889" s="2"/>
      <c r="N10889" s="2"/>
      <c r="O10889" s="2"/>
      <c r="P10889" s="2" t="s">
        <v>31647</v>
      </c>
      <c r="Q10889" s="6">
        <v>100</v>
      </c>
      <c r="R10889" s="6">
        <v>10.75</v>
      </c>
      <c r="S10889" s="5">
        <v>54.5</v>
      </c>
      <c r="T10889" s="7">
        <v>103.557</v>
      </c>
      <c r="U10889" s="5">
        <v>4.8</v>
      </c>
      <c r="V10889" s="6">
        <v>0.11</v>
      </c>
      <c r="W10889" s="6">
        <v>11.74</v>
      </c>
      <c r="X10889" s="6">
        <v>11.63</v>
      </c>
      <c r="Y10889" s="6">
        <v>11.81</v>
      </c>
      <c r="Z10889" s="6">
        <v>11.84</v>
      </c>
      <c r="AA10889" s="6">
        <v>220.14</v>
      </c>
      <c r="AB10889" s="7">
        <v>49.228999999999999</v>
      </c>
      <c r="AC10889" s="2"/>
    </row>
    <row r="10890" spans="1:29" ht="195" x14ac:dyDescent="0.15">
      <c r="A10890" s="3">
        <f>DATE(2014,9,2)</f>
        <v>41884</v>
      </c>
      <c r="B10890" s="2"/>
      <c r="C10890" s="2" t="s">
        <v>7330</v>
      </c>
      <c r="D10890" s="2" t="s">
        <v>31648</v>
      </c>
      <c r="E10890" s="2" t="s">
        <v>1608</v>
      </c>
      <c r="F10890" s="4">
        <v>1311</v>
      </c>
      <c r="G10890" s="2" t="s">
        <v>148</v>
      </c>
      <c r="H10890" s="2" t="s">
        <v>34</v>
      </c>
      <c r="I10890" s="2" t="s">
        <v>1526</v>
      </c>
      <c r="J10890" s="2" t="s">
        <v>302</v>
      </c>
      <c r="K10890" s="2" t="s">
        <v>53</v>
      </c>
      <c r="L10890" s="2" t="s">
        <v>34</v>
      </c>
      <c r="M10890" s="2"/>
      <c r="N10890" s="2"/>
      <c r="O10890" s="2"/>
      <c r="P10890" s="2" t="s">
        <v>31649</v>
      </c>
      <c r="Q10890" s="2"/>
      <c r="R10890" s="2"/>
      <c r="S10890" s="5">
        <v>-149.1</v>
      </c>
      <c r="T10890" s="7">
        <v>190.131</v>
      </c>
      <c r="U10890" s="5">
        <v>-0.8</v>
      </c>
      <c r="V10890" s="9">
        <v>-3.0834999999999999</v>
      </c>
      <c r="W10890" s="6">
        <v>1.54</v>
      </c>
      <c r="X10890" s="6">
        <v>1.59</v>
      </c>
      <c r="Y10890" s="6">
        <v>1.44</v>
      </c>
      <c r="Z10890" s="6">
        <v>1.42</v>
      </c>
      <c r="AA10890" s="6">
        <v>50.4</v>
      </c>
      <c r="AB10890" s="2" t="s">
        <v>47</v>
      </c>
      <c r="AC10890" s="2"/>
    </row>
    <row r="10891" spans="1:29" ht="65" x14ac:dyDescent="0.15">
      <c r="A10891" s="3">
        <f>DATE(2014,9,2)</f>
        <v>41884</v>
      </c>
      <c r="B10891" s="3">
        <f>DATE(2014,9,30)</f>
        <v>41912</v>
      </c>
      <c r="C10891" s="2" t="s">
        <v>95</v>
      </c>
      <c r="D10891" s="2" t="s">
        <v>31650</v>
      </c>
      <c r="E10891" s="2" t="s">
        <v>31651</v>
      </c>
      <c r="F10891" s="4">
        <v>5999</v>
      </c>
      <c r="G10891" s="2" t="s">
        <v>73</v>
      </c>
      <c r="H10891" s="2" t="s">
        <v>34</v>
      </c>
      <c r="I10891" s="2" t="s">
        <v>31652</v>
      </c>
      <c r="J10891" s="2" t="s">
        <v>31653</v>
      </c>
      <c r="K10891" s="2" t="s">
        <v>593</v>
      </c>
      <c r="L10891" s="2" t="s">
        <v>34</v>
      </c>
      <c r="M10891" s="7">
        <v>330.04599999999999</v>
      </c>
      <c r="N10891" s="6">
        <v>5.98</v>
      </c>
      <c r="O10891" s="6">
        <v>6.28</v>
      </c>
      <c r="P10891" s="2" t="s">
        <v>31654</v>
      </c>
      <c r="Q10891" s="6">
        <v>100</v>
      </c>
      <c r="R10891" s="2"/>
      <c r="S10891" s="5">
        <v>-54.3</v>
      </c>
      <c r="T10891" s="7">
        <v>-37.938000000000002</v>
      </c>
      <c r="U10891" s="5">
        <v>-54.7</v>
      </c>
      <c r="V10891" s="9">
        <v>-52.557600000000001</v>
      </c>
      <c r="W10891" s="6">
        <v>134.75</v>
      </c>
      <c r="X10891" s="4">
        <v>136</v>
      </c>
      <c r="Y10891" s="6">
        <v>141.75</v>
      </c>
      <c r="Z10891" s="6">
        <v>145.25</v>
      </c>
      <c r="AA10891" s="6">
        <v>1.03</v>
      </c>
      <c r="AB10891" s="2" t="s">
        <v>86</v>
      </c>
      <c r="AC10891" s="6">
        <v>5.2</v>
      </c>
    </row>
    <row r="10892" spans="1:29" ht="78" x14ac:dyDescent="0.15">
      <c r="A10892" s="3">
        <f>DATE(2014,9,2)</f>
        <v>41884</v>
      </c>
      <c r="B10892" s="3">
        <f>DATE(2014,10,31)</f>
        <v>41943</v>
      </c>
      <c r="C10892" s="2" t="s">
        <v>95</v>
      </c>
      <c r="D10892" s="2" t="s">
        <v>31655</v>
      </c>
      <c r="E10892" s="2" t="s">
        <v>31656</v>
      </c>
      <c r="F10892" s="4">
        <v>7376</v>
      </c>
      <c r="G10892" s="2" t="s">
        <v>223</v>
      </c>
      <c r="H10892" s="2" t="s">
        <v>34</v>
      </c>
      <c r="I10892" s="2" t="s">
        <v>31657</v>
      </c>
      <c r="J10892" s="2" t="s">
        <v>8995</v>
      </c>
      <c r="K10892" s="2" t="s">
        <v>551</v>
      </c>
      <c r="L10892" s="2" t="s">
        <v>34</v>
      </c>
      <c r="M10892" s="2"/>
      <c r="N10892" s="2"/>
      <c r="O10892" s="2"/>
      <c r="P10892" s="2" t="s">
        <v>31658</v>
      </c>
      <c r="Q10892" s="6">
        <v>100</v>
      </c>
      <c r="R10892" s="6">
        <v>5.6</v>
      </c>
      <c r="S10892" s="5">
        <v>-0.4</v>
      </c>
      <c r="T10892" s="7">
        <v>6.4260000000000002</v>
      </c>
      <c r="U10892" s="5">
        <v>-0.5</v>
      </c>
      <c r="V10892" s="7">
        <v>-6.5000000000000002E-2</v>
      </c>
      <c r="W10892" s="6">
        <v>3.15</v>
      </c>
      <c r="X10892" s="6">
        <v>3.02</v>
      </c>
      <c r="Y10892" s="6">
        <v>5.52</v>
      </c>
      <c r="Z10892" s="6">
        <v>5.53</v>
      </c>
      <c r="AA10892" s="6">
        <v>11.23</v>
      </c>
      <c r="AB10892" s="2" t="s">
        <v>86</v>
      </c>
      <c r="AC10892" s="2"/>
    </row>
    <row r="10893" spans="1:29" ht="91" x14ac:dyDescent="0.15">
      <c r="A10893" s="3">
        <f>DATE(2014,9,3)</f>
        <v>41885</v>
      </c>
      <c r="B10893" s="2"/>
      <c r="C10893" s="2" t="s">
        <v>7330</v>
      </c>
      <c r="D10893" s="2" t="s">
        <v>31659</v>
      </c>
      <c r="E10893" s="2" t="s">
        <v>36</v>
      </c>
      <c r="F10893" s="4">
        <v>6021</v>
      </c>
      <c r="G10893" s="2" t="s">
        <v>37</v>
      </c>
      <c r="H10893" s="2" t="s">
        <v>34</v>
      </c>
      <c r="I10893" s="2" t="s">
        <v>31660</v>
      </c>
      <c r="J10893" s="2" t="s">
        <v>29798</v>
      </c>
      <c r="K10893" s="2" t="s">
        <v>37</v>
      </c>
      <c r="L10893" s="2" t="s">
        <v>34</v>
      </c>
      <c r="M10893" s="2"/>
      <c r="N10893" s="2"/>
      <c r="O10893" s="2"/>
      <c r="P10893" s="2" t="s">
        <v>31661</v>
      </c>
      <c r="Q10893" s="2"/>
      <c r="R10893" s="2"/>
      <c r="S10893" s="2"/>
      <c r="T10893" s="2"/>
      <c r="U10893" s="2"/>
      <c r="V10893" s="2"/>
      <c r="W10893" s="4">
        <v>8010</v>
      </c>
      <c r="X10893" s="4">
        <v>8010</v>
      </c>
      <c r="Y10893" s="4">
        <v>8010</v>
      </c>
      <c r="Z10893" s="4">
        <v>12000</v>
      </c>
      <c r="AA10893" s="2"/>
      <c r="AB10893" s="2" t="s">
        <v>47</v>
      </c>
      <c r="AC10893" s="2"/>
    </row>
    <row r="10894" spans="1:29" ht="91" x14ac:dyDescent="0.15">
      <c r="A10894" s="3">
        <f>DATE(2014,9,3)</f>
        <v>41885</v>
      </c>
      <c r="B10894" s="3">
        <f>DATE(2014,11,18)</f>
        <v>41961</v>
      </c>
      <c r="C10894" s="2" t="s">
        <v>95</v>
      </c>
      <c r="D10894" s="2" t="s">
        <v>31662</v>
      </c>
      <c r="E10894" s="2" t="s">
        <v>31663</v>
      </c>
      <c r="F10894" s="4">
        <v>3533</v>
      </c>
      <c r="G10894" s="2" t="s">
        <v>300</v>
      </c>
      <c r="H10894" s="2" t="s">
        <v>34</v>
      </c>
      <c r="I10894" s="2" t="s">
        <v>21880</v>
      </c>
      <c r="J10894" s="2" t="s">
        <v>9379</v>
      </c>
      <c r="K10894" s="2" t="s">
        <v>223</v>
      </c>
      <c r="L10894" s="2" t="s">
        <v>34</v>
      </c>
      <c r="M10894" s="12">
        <v>3448.239</v>
      </c>
      <c r="N10894" s="5">
        <v>97.4</v>
      </c>
      <c r="O10894" s="6">
        <v>98.62</v>
      </c>
      <c r="P10894" s="2" t="s">
        <v>31664</v>
      </c>
      <c r="Q10894" s="6">
        <v>100</v>
      </c>
      <c r="R10894" s="6">
        <v>22</v>
      </c>
      <c r="S10894" s="5">
        <v>8.1</v>
      </c>
      <c r="T10894" s="7">
        <v>14.435</v>
      </c>
      <c r="U10894" s="5">
        <v>8.3000000000000007</v>
      </c>
      <c r="V10894" s="9">
        <v>0.93910000000000005</v>
      </c>
      <c r="W10894" s="6">
        <v>16.95</v>
      </c>
      <c r="X10894" s="6">
        <v>16.41</v>
      </c>
      <c r="Y10894" s="5">
        <v>16.100000000000001</v>
      </c>
      <c r="Z10894" s="6">
        <v>21.93</v>
      </c>
      <c r="AA10894" s="6">
        <v>8.68</v>
      </c>
      <c r="AB10894" s="7">
        <v>13.06</v>
      </c>
      <c r="AC10894" s="5">
        <v>104.2</v>
      </c>
    </row>
    <row r="10895" spans="1:29" ht="91" x14ac:dyDescent="0.15">
      <c r="A10895" s="3">
        <f>DATE(2014,9,8)</f>
        <v>41890</v>
      </c>
      <c r="B10895" s="3">
        <f>DATE(2014,10,21)</f>
        <v>41933</v>
      </c>
      <c r="C10895" s="2" t="s">
        <v>95</v>
      </c>
      <c r="D10895" s="2" t="s">
        <v>31665</v>
      </c>
      <c r="E10895" s="2" t="s">
        <v>31666</v>
      </c>
      <c r="F10895" s="4">
        <v>2099</v>
      </c>
      <c r="G10895" s="2" t="s">
        <v>577</v>
      </c>
      <c r="H10895" s="2" t="s">
        <v>34</v>
      </c>
      <c r="I10895" s="2" t="s">
        <v>22020</v>
      </c>
      <c r="J10895" s="2" t="s">
        <v>22021</v>
      </c>
      <c r="K10895" s="2" t="s">
        <v>577</v>
      </c>
      <c r="L10895" s="2" t="s">
        <v>34</v>
      </c>
      <c r="M10895" s="12">
        <v>32119.942999999999</v>
      </c>
      <c r="N10895" s="6">
        <v>53.51</v>
      </c>
      <c r="O10895" s="6">
        <v>53.17</v>
      </c>
      <c r="P10895" s="2" t="s">
        <v>31667</v>
      </c>
      <c r="Q10895" s="6">
        <v>100</v>
      </c>
      <c r="R10895" s="6">
        <v>46</v>
      </c>
      <c r="S10895" s="5">
        <v>12</v>
      </c>
      <c r="T10895" s="7">
        <v>22.396999999999998</v>
      </c>
      <c r="U10895" s="5">
        <v>5</v>
      </c>
      <c r="V10895" s="9">
        <v>0.69540000000000002</v>
      </c>
      <c r="W10895" s="6">
        <v>31.89</v>
      </c>
      <c r="X10895" s="6">
        <v>33.89</v>
      </c>
      <c r="Y10895" s="6">
        <v>33.51</v>
      </c>
      <c r="Z10895" s="5">
        <v>46.1</v>
      </c>
      <c r="AA10895" s="6">
        <v>17.100000000000001</v>
      </c>
      <c r="AB10895" s="7">
        <v>39.353000000000002</v>
      </c>
      <c r="AC10895" s="5">
        <v>844.8</v>
      </c>
    </row>
    <row r="10896" spans="1:29" ht="143" x14ac:dyDescent="0.15">
      <c r="A10896" s="3">
        <f>DATE(2014,9,8)</f>
        <v>41890</v>
      </c>
      <c r="B10896" s="3">
        <f>DATE(2015,6,22)</f>
        <v>42177</v>
      </c>
      <c r="C10896" s="2" t="s">
        <v>95</v>
      </c>
      <c r="D10896" s="2" t="s">
        <v>16027</v>
      </c>
      <c r="E10896" s="2" t="s">
        <v>3246</v>
      </c>
      <c r="F10896" s="4">
        <v>6035</v>
      </c>
      <c r="G10896" s="2" t="s">
        <v>33</v>
      </c>
      <c r="H10896" s="2" t="s">
        <v>34</v>
      </c>
      <c r="I10896" s="2" t="s">
        <v>13707</v>
      </c>
      <c r="J10896" s="2" t="s">
        <v>36</v>
      </c>
      <c r="K10896" s="2" t="s">
        <v>37</v>
      </c>
      <c r="L10896" s="2" t="s">
        <v>34</v>
      </c>
      <c r="M10896" s="10">
        <v>26048.95</v>
      </c>
      <c r="N10896" s="5">
        <v>37.5</v>
      </c>
      <c r="O10896" s="6">
        <v>37.270000000000003</v>
      </c>
      <c r="P10896" s="2" t="s">
        <v>31668</v>
      </c>
      <c r="Q10896" s="6">
        <v>100</v>
      </c>
      <c r="R10896" s="6">
        <v>47.45</v>
      </c>
      <c r="S10896" s="5">
        <v>20.9</v>
      </c>
      <c r="T10896" s="2"/>
      <c r="U10896" s="5">
        <v>25.1</v>
      </c>
      <c r="V10896" s="7">
        <v>2.734</v>
      </c>
      <c r="W10896" s="6">
        <v>36.76</v>
      </c>
      <c r="X10896" s="6">
        <v>36.25</v>
      </c>
      <c r="Y10896" s="5">
        <v>46.5</v>
      </c>
      <c r="Z10896" s="6">
        <v>46.05</v>
      </c>
      <c r="AA10896" s="6">
        <v>7.67</v>
      </c>
      <c r="AB10896" s="7">
        <v>15.097</v>
      </c>
      <c r="AC10896" s="2"/>
    </row>
    <row r="10897" spans="1:29" ht="65" x14ac:dyDescent="0.15">
      <c r="A10897" s="3">
        <f>DATE(2014,9,8)</f>
        <v>41890</v>
      </c>
      <c r="B10897" s="3">
        <f>DATE(2014,12,19)</f>
        <v>41992</v>
      </c>
      <c r="C10897" s="2" t="s">
        <v>95</v>
      </c>
      <c r="D10897" s="2" t="s">
        <v>31669</v>
      </c>
      <c r="E10897" s="2" t="s">
        <v>31670</v>
      </c>
      <c r="F10897" s="4">
        <v>7993</v>
      </c>
      <c r="G10897" s="2" t="s">
        <v>364</v>
      </c>
      <c r="H10897" s="2" t="s">
        <v>34</v>
      </c>
      <c r="I10897" s="2" t="s">
        <v>31671</v>
      </c>
      <c r="J10897" s="2" t="s">
        <v>31672</v>
      </c>
      <c r="K10897" s="2" t="s">
        <v>3583</v>
      </c>
      <c r="L10897" s="2" t="s">
        <v>34</v>
      </c>
      <c r="M10897" s="7">
        <v>509.06200000000001</v>
      </c>
      <c r="N10897" s="6">
        <v>7.49</v>
      </c>
      <c r="O10897" s="6">
        <v>7.85</v>
      </c>
      <c r="P10897" s="2" t="s">
        <v>31673</v>
      </c>
      <c r="Q10897" s="6">
        <v>100</v>
      </c>
      <c r="R10897" s="6">
        <v>36.5</v>
      </c>
      <c r="S10897" s="5">
        <v>38.200000000000003</v>
      </c>
      <c r="T10897" s="7">
        <v>75.215999999999994</v>
      </c>
      <c r="U10897" s="5">
        <v>8</v>
      </c>
      <c r="V10897" s="9">
        <v>1.2275</v>
      </c>
      <c r="W10897" s="6">
        <v>27.81</v>
      </c>
      <c r="X10897" s="6">
        <v>27.78</v>
      </c>
      <c r="Y10897" s="6">
        <v>36.15</v>
      </c>
      <c r="Z10897" s="6">
        <v>36.049999999999997</v>
      </c>
      <c r="AA10897" s="6">
        <v>29.68</v>
      </c>
      <c r="AB10897" s="7">
        <v>31.969000000000001</v>
      </c>
      <c r="AC10897" s="5">
        <v>162</v>
      </c>
    </row>
    <row r="10898" spans="1:29" ht="234" x14ac:dyDescent="0.15">
      <c r="A10898" s="3">
        <f>DATE(2014,9,9)</f>
        <v>41891</v>
      </c>
      <c r="B10898" s="3">
        <f>DATE(2015,2,27)</f>
        <v>42062</v>
      </c>
      <c r="C10898" s="2" t="s">
        <v>95</v>
      </c>
      <c r="D10898" s="2" t="s">
        <v>31572</v>
      </c>
      <c r="E10898" s="2" t="s">
        <v>12441</v>
      </c>
      <c r="F10898" s="4">
        <v>6211</v>
      </c>
      <c r="G10898" s="2" t="s">
        <v>53</v>
      </c>
      <c r="H10898" s="2" t="s">
        <v>34</v>
      </c>
      <c r="I10898" s="2" t="s">
        <v>31674</v>
      </c>
      <c r="J10898" s="2" t="s">
        <v>31675</v>
      </c>
      <c r="K10898" s="2" t="s">
        <v>53</v>
      </c>
      <c r="L10898" s="2" t="s">
        <v>34</v>
      </c>
      <c r="M10898" s="10">
        <v>1680.81</v>
      </c>
      <c r="N10898" s="6">
        <v>7.71</v>
      </c>
      <c r="O10898" s="6">
        <v>7.58</v>
      </c>
      <c r="P10898" s="2" t="s">
        <v>31676</v>
      </c>
      <c r="Q10898" s="6">
        <v>87.14</v>
      </c>
      <c r="R10898" s="6">
        <v>6.1</v>
      </c>
      <c r="S10898" s="2"/>
      <c r="T10898" s="2"/>
      <c r="U10898" s="2"/>
      <c r="V10898" s="2"/>
      <c r="W10898" s="6">
        <v>3.06</v>
      </c>
      <c r="X10898" s="6">
        <v>3.11</v>
      </c>
      <c r="Y10898" s="6">
        <v>4.47</v>
      </c>
      <c r="Z10898" s="6">
        <v>4.53</v>
      </c>
      <c r="AA10898" s="6">
        <v>126.54</v>
      </c>
      <c r="AB10898" s="2" t="s">
        <v>47</v>
      </c>
      <c r="AC10898" s="6">
        <v>648.28</v>
      </c>
    </row>
    <row r="10899" spans="1:29" ht="78" x14ac:dyDescent="0.15">
      <c r="A10899" s="3">
        <f>DATE(2014,9,10)</f>
        <v>41892</v>
      </c>
      <c r="B10899" s="3">
        <f>DATE(2015,4,1)</f>
        <v>42095</v>
      </c>
      <c r="C10899" s="2" t="s">
        <v>95</v>
      </c>
      <c r="D10899" s="2" t="s">
        <v>31677</v>
      </c>
      <c r="E10899" s="2" t="s">
        <v>36</v>
      </c>
      <c r="F10899" s="4">
        <v>6712</v>
      </c>
      <c r="G10899" s="2" t="s">
        <v>37</v>
      </c>
      <c r="H10899" s="2" t="s">
        <v>34</v>
      </c>
      <c r="I10899" s="2" t="s">
        <v>31678</v>
      </c>
      <c r="J10899" s="2" t="s">
        <v>672</v>
      </c>
      <c r="K10899" s="2" t="s">
        <v>37</v>
      </c>
      <c r="L10899" s="2" t="s">
        <v>34</v>
      </c>
      <c r="M10899" s="6">
        <v>119.59</v>
      </c>
      <c r="N10899" s="6">
        <v>10.06</v>
      </c>
      <c r="O10899" s="6">
        <v>9.48</v>
      </c>
      <c r="P10899" s="2" t="s">
        <v>31679</v>
      </c>
      <c r="Q10899" s="6">
        <v>100</v>
      </c>
      <c r="R10899" s="6">
        <v>14.5</v>
      </c>
      <c r="S10899" s="5">
        <v>-0.8</v>
      </c>
      <c r="T10899" s="6">
        <v>-1.1599999999999999</v>
      </c>
      <c r="U10899" s="5">
        <v>16.3</v>
      </c>
      <c r="V10899" s="9">
        <v>-0.20419999999999999</v>
      </c>
      <c r="W10899" s="6">
        <v>12.79</v>
      </c>
      <c r="X10899" s="5">
        <v>12.9</v>
      </c>
      <c r="Y10899" s="7">
        <v>13.074999999999999</v>
      </c>
      <c r="Z10899" s="6">
        <v>13.45</v>
      </c>
      <c r="AA10899" s="6">
        <v>3.86</v>
      </c>
      <c r="AB10899" s="2" t="s">
        <v>86</v>
      </c>
      <c r="AC10899" s="2"/>
    </row>
    <row r="10900" spans="1:29" ht="195" x14ac:dyDescent="0.15">
      <c r="A10900" s="3">
        <f>DATE(2014,9,11)</f>
        <v>41893</v>
      </c>
      <c r="B10900" s="3">
        <f>DATE(2014,12,10)</f>
        <v>41983</v>
      </c>
      <c r="C10900" s="2" t="s">
        <v>95</v>
      </c>
      <c r="D10900" s="2" t="s">
        <v>31680</v>
      </c>
      <c r="E10900" s="2" t="s">
        <v>15387</v>
      </c>
      <c r="F10900" s="4">
        <v>7311</v>
      </c>
      <c r="G10900" s="2" t="s">
        <v>4563</v>
      </c>
      <c r="H10900" s="2" t="s">
        <v>34</v>
      </c>
      <c r="I10900" s="2" t="s">
        <v>25576</v>
      </c>
      <c r="J10900" s="2" t="s">
        <v>25577</v>
      </c>
      <c r="K10900" s="2" t="s">
        <v>223</v>
      </c>
      <c r="L10900" s="2" t="s">
        <v>34</v>
      </c>
      <c r="M10900" s="12">
        <v>14684.644</v>
      </c>
      <c r="N10900" s="6">
        <v>252.87</v>
      </c>
      <c r="O10900" s="6">
        <v>257.91000000000003</v>
      </c>
      <c r="P10900" s="2" t="s">
        <v>31681</v>
      </c>
      <c r="Q10900" s="6">
        <v>100</v>
      </c>
      <c r="R10900" s="6">
        <v>35</v>
      </c>
      <c r="S10900" s="5">
        <v>98.7</v>
      </c>
      <c r="T10900" s="7">
        <v>188.47499999999999</v>
      </c>
      <c r="U10900" s="5">
        <v>7.9</v>
      </c>
      <c r="V10900" s="9">
        <v>1.3053999999999999</v>
      </c>
      <c r="W10900" s="6">
        <v>27.13</v>
      </c>
      <c r="X10900" s="6">
        <v>26.67</v>
      </c>
      <c r="Y10900" s="6">
        <v>26.71</v>
      </c>
      <c r="Z10900" s="5">
        <v>34.799999999999997</v>
      </c>
      <c r="AA10900" s="6">
        <v>64.5</v>
      </c>
      <c r="AB10900" s="7">
        <v>15.192</v>
      </c>
      <c r="AC10900" s="6">
        <v>631.16999999999996</v>
      </c>
    </row>
    <row r="10901" spans="1:29" ht="91" x14ac:dyDescent="0.15">
      <c r="A10901" s="3">
        <f>DATE(2014,9,11)</f>
        <v>41893</v>
      </c>
      <c r="B10901" s="3">
        <f>DATE(2014,12,5)</f>
        <v>41978</v>
      </c>
      <c r="C10901" s="2" t="s">
        <v>95</v>
      </c>
      <c r="D10901" s="2" t="s">
        <v>31682</v>
      </c>
      <c r="E10901" s="2" t="s">
        <v>31683</v>
      </c>
      <c r="F10901" s="4">
        <v>2869</v>
      </c>
      <c r="G10901" s="2" t="s">
        <v>98</v>
      </c>
      <c r="H10901" s="2" t="s">
        <v>34</v>
      </c>
      <c r="I10901" s="2" t="s">
        <v>14241</v>
      </c>
      <c r="J10901" s="2" t="s">
        <v>14242</v>
      </c>
      <c r="K10901" s="2" t="s">
        <v>98</v>
      </c>
      <c r="L10901" s="2" t="s">
        <v>34</v>
      </c>
      <c r="M10901" s="12">
        <v>12091.566000000001</v>
      </c>
      <c r="N10901" s="6">
        <v>82.34</v>
      </c>
      <c r="O10901" s="6">
        <v>83.05</v>
      </c>
      <c r="P10901" s="2" t="s">
        <v>31684</v>
      </c>
      <c r="Q10901" s="6">
        <v>100</v>
      </c>
      <c r="R10901" s="6">
        <v>26</v>
      </c>
      <c r="S10901" s="5">
        <v>22</v>
      </c>
      <c r="T10901" s="5">
        <v>252</v>
      </c>
      <c r="U10901" s="5">
        <v>8.1999999999999993</v>
      </c>
      <c r="V10901" s="9">
        <v>0.33479999999999999</v>
      </c>
      <c r="W10901" s="6">
        <v>23.89</v>
      </c>
      <c r="X10901" s="6">
        <v>23.88</v>
      </c>
      <c r="Y10901" s="6">
        <v>26.21</v>
      </c>
      <c r="Z10901" s="6">
        <v>26.53</v>
      </c>
      <c r="AA10901" s="6">
        <v>66.540000000000006</v>
      </c>
      <c r="AB10901" s="7">
        <v>21.309000000000001</v>
      </c>
      <c r="AC10901" s="5">
        <v>204</v>
      </c>
    </row>
    <row r="10902" spans="1:29" ht="65" x14ac:dyDescent="0.15">
      <c r="A10902" s="3">
        <f>DATE(2014,9,11)</f>
        <v>41893</v>
      </c>
      <c r="B10902" s="2"/>
      <c r="C10902" s="2" t="s">
        <v>87</v>
      </c>
      <c r="D10902" s="2" t="s">
        <v>2504</v>
      </c>
      <c r="E10902" s="2" t="s">
        <v>27674</v>
      </c>
      <c r="F10902" s="4">
        <v>7374</v>
      </c>
      <c r="G10902" s="2" t="s">
        <v>223</v>
      </c>
      <c r="H10902" s="2" t="s">
        <v>34</v>
      </c>
      <c r="I10902" s="2" t="s">
        <v>21668</v>
      </c>
      <c r="J10902" s="2" t="s">
        <v>21669</v>
      </c>
      <c r="K10902" s="2" t="s">
        <v>50</v>
      </c>
      <c r="L10902" s="2" t="s">
        <v>34</v>
      </c>
      <c r="M10902" s="12">
        <v>66420.739000000001</v>
      </c>
      <c r="N10902" s="6">
        <v>36.76</v>
      </c>
      <c r="O10902" s="6">
        <v>36.56</v>
      </c>
      <c r="P10902" s="2" t="s">
        <v>31685</v>
      </c>
      <c r="Q10902" s="2"/>
      <c r="R10902" s="2"/>
      <c r="S10902" s="5">
        <v>365</v>
      </c>
      <c r="T10902" s="5">
        <v>692</v>
      </c>
      <c r="U10902" s="5">
        <v>12</v>
      </c>
      <c r="V10902" s="9">
        <v>2.2332000000000001</v>
      </c>
      <c r="W10902" s="5">
        <v>44.6</v>
      </c>
      <c r="X10902" s="6">
        <v>44.64</v>
      </c>
      <c r="Y10902" s="6">
        <v>44.88</v>
      </c>
      <c r="Z10902" s="6">
        <v>44.86</v>
      </c>
      <c r="AA10902" s="6">
        <v>155</v>
      </c>
      <c r="AB10902" s="2" t="s">
        <v>47</v>
      </c>
      <c r="AC10902" s="8">
        <v>14474</v>
      </c>
    </row>
    <row r="10903" spans="1:29" ht="91" x14ac:dyDescent="0.15">
      <c r="A10903" s="3">
        <f>DATE(2014,9,11)</f>
        <v>41893</v>
      </c>
      <c r="B10903" s="2"/>
      <c r="C10903" s="2" t="s">
        <v>87</v>
      </c>
      <c r="D10903" s="2" t="s">
        <v>31686</v>
      </c>
      <c r="E10903" s="2" t="s">
        <v>31687</v>
      </c>
      <c r="F10903" s="4">
        <v>7372</v>
      </c>
      <c r="G10903" s="2" t="s">
        <v>551</v>
      </c>
      <c r="H10903" s="2" t="s">
        <v>34</v>
      </c>
      <c r="I10903" s="2" t="s">
        <v>143</v>
      </c>
      <c r="J10903" s="2" t="s">
        <v>144</v>
      </c>
      <c r="K10903" s="2" t="s">
        <v>53</v>
      </c>
      <c r="L10903" s="2" t="s">
        <v>139</v>
      </c>
      <c r="M10903" s="2"/>
      <c r="N10903" s="2"/>
      <c r="O10903" s="2"/>
      <c r="P10903" s="2" t="s">
        <v>31688</v>
      </c>
      <c r="Q10903" s="2"/>
      <c r="R10903" s="2"/>
      <c r="S10903" s="5">
        <v>962.3</v>
      </c>
      <c r="T10903" s="8">
        <v>1429.3</v>
      </c>
      <c r="U10903" s="5">
        <v>16.5</v>
      </c>
      <c r="V10903" s="9">
        <v>2.6999</v>
      </c>
      <c r="W10903" s="6">
        <v>96.26</v>
      </c>
      <c r="X10903" s="6">
        <v>97.38</v>
      </c>
      <c r="Y10903" s="5">
        <v>96.7</v>
      </c>
      <c r="Z10903" s="6">
        <v>95.75</v>
      </c>
      <c r="AA10903" s="6">
        <v>430.11</v>
      </c>
      <c r="AB10903" s="2" t="s">
        <v>47</v>
      </c>
      <c r="AC10903" s="2"/>
    </row>
    <row r="10904" spans="1:29" ht="104" x14ac:dyDescent="0.15">
      <c r="A10904" s="3">
        <f>DATE(2014,9,15)</f>
        <v>41897</v>
      </c>
      <c r="B10904" s="2"/>
      <c r="C10904" s="2" t="s">
        <v>30</v>
      </c>
      <c r="D10904" s="2" t="s">
        <v>31689</v>
      </c>
      <c r="E10904" s="2" t="s">
        <v>31690</v>
      </c>
      <c r="F10904" s="4">
        <v>2835</v>
      </c>
      <c r="G10904" s="2" t="s">
        <v>130</v>
      </c>
      <c r="H10904" s="2" t="s">
        <v>34</v>
      </c>
      <c r="I10904" s="2" t="s">
        <v>51</v>
      </c>
      <c r="J10904" s="2" t="s">
        <v>52</v>
      </c>
      <c r="K10904" s="2" t="s">
        <v>53</v>
      </c>
      <c r="L10904" s="2" t="s">
        <v>34</v>
      </c>
      <c r="M10904" s="2"/>
      <c r="N10904" s="2"/>
      <c r="O10904" s="2"/>
      <c r="P10904" s="2" t="s">
        <v>31691</v>
      </c>
      <c r="Q10904" s="2"/>
      <c r="R10904" s="6">
        <v>46</v>
      </c>
      <c r="S10904" s="5">
        <v>-79</v>
      </c>
      <c r="T10904" s="7">
        <v>539.36599999999999</v>
      </c>
      <c r="U10904" s="5">
        <v>16.399999999999999</v>
      </c>
      <c r="V10904" s="9">
        <v>-1.2179</v>
      </c>
      <c r="W10904" s="6">
        <v>36.409999999999997</v>
      </c>
      <c r="X10904" s="6">
        <v>36.61</v>
      </c>
      <c r="Y10904" s="6">
        <v>41.14</v>
      </c>
      <c r="Z10904" s="6">
        <v>40.25</v>
      </c>
      <c r="AA10904" s="6">
        <v>83.09</v>
      </c>
      <c r="AB10904" s="7">
        <v>67.965000000000003</v>
      </c>
      <c r="AC10904" s="2"/>
    </row>
    <row r="10905" spans="1:29" ht="169" x14ac:dyDescent="0.15">
      <c r="A10905" s="3">
        <f>DATE(2014,9,15)</f>
        <v>41897</v>
      </c>
      <c r="B10905" s="3">
        <f>DATE(2015,5,15)</f>
        <v>42139</v>
      </c>
      <c r="C10905" s="2" t="s">
        <v>95</v>
      </c>
      <c r="D10905" s="2" t="s">
        <v>31692</v>
      </c>
      <c r="E10905" s="2" t="s">
        <v>11796</v>
      </c>
      <c r="F10905" s="4">
        <v>3714</v>
      </c>
      <c r="G10905" s="2" t="s">
        <v>105</v>
      </c>
      <c r="H10905" s="2" t="s">
        <v>34</v>
      </c>
      <c r="I10905" s="2" t="s">
        <v>31693</v>
      </c>
      <c r="J10905" s="2" t="s">
        <v>31694</v>
      </c>
      <c r="K10905" s="2" t="s">
        <v>105</v>
      </c>
      <c r="L10905" s="2" t="s">
        <v>1049</v>
      </c>
      <c r="M10905" s="2"/>
      <c r="N10905" s="2"/>
      <c r="O10905" s="2"/>
      <c r="P10905" s="2" t="s">
        <v>31695</v>
      </c>
      <c r="Q10905" s="6">
        <v>100</v>
      </c>
      <c r="R10905" s="6">
        <v>105.6</v>
      </c>
      <c r="S10905" s="8">
        <v>1032</v>
      </c>
      <c r="T10905" s="8">
        <v>1801</v>
      </c>
      <c r="U10905" s="5">
        <v>39</v>
      </c>
      <c r="V10905" s="9">
        <v>8.5173000000000005</v>
      </c>
      <c r="W10905" s="6">
        <v>91.04</v>
      </c>
      <c r="X10905" s="5">
        <v>91.4</v>
      </c>
      <c r="Y10905" s="6">
        <v>98.91</v>
      </c>
      <c r="Z10905" s="6">
        <v>101.47</v>
      </c>
      <c r="AA10905" s="6">
        <v>110.59</v>
      </c>
      <c r="AB10905" s="7">
        <v>9.734</v>
      </c>
      <c r="AC10905" s="10">
        <v>1633.21</v>
      </c>
    </row>
    <row r="10906" spans="1:29" ht="299" x14ac:dyDescent="0.15">
      <c r="A10906" s="3">
        <f>DATE(2014,9,16)</f>
        <v>41898</v>
      </c>
      <c r="B10906" s="3">
        <f>DATE(2015,1,29)</f>
        <v>42033</v>
      </c>
      <c r="C10906" s="2" t="s">
        <v>95</v>
      </c>
      <c r="D10906" s="2" t="s">
        <v>31493</v>
      </c>
      <c r="E10906" s="2" t="s">
        <v>6292</v>
      </c>
      <c r="F10906" s="4">
        <v>2834</v>
      </c>
      <c r="G10906" s="2" t="s">
        <v>130</v>
      </c>
      <c r="H10906" s="2" t="s">
        <v>34</v>
      </c>
      <c r="I10906" s="2" t="s">
        <v>31696</v>
      </c>
      <c r="J10906" s="2" t="s">
        <v>13055</v>
      </c>
      <c r="K10906" s="2" t="s">
        <v>130</v>
      </c>
      <c r="L10906" s="2" t="s">
        <v>34</v>
      </c>
      <c r="M10906" s="12">
        <v>9783.7019999999993</v>
      </c>
      <c r="N10906" s="6">
        <v>65.17</v>
      </c>
      <c r="O10906" s="6">
        <v>68.25</v>
      </c>
      <c r="P10906" s="2" t="s">
        <v>31697</v>
      </c>
      <c r="Q10906" s="6">
        <v>100</v>
      </c>
      <c r="R10906" s="6">
        <v>34.65</v>
      </c>
      <c r="S10906" s="5">
        <v>-163.19999999999999</v>
      </c>
      <c r="T10906" s="7">
        <v>-30.056999999999999</v>
      </c>
      <c r="U10906" s="5">
        <v>3.2</v>
      </c>
      <c r="V10906" s="9">
        <v>-3.2648999999999999</v>
      </c>
      <c r="W10906" s="7">
        <v>21.835000000000001</v>
      </c>
      <c r="X10906" s="6">
        <v>21.23</v>
      </c>
      <c r="Y10906" s="6">
        <v>20.69</v>
      </c>
      <c r="Z10906" s="6">
        <v>21.26</v>
      </c>
      <c r="AA10906" s="6">
        <v>50.35</v>
      </c>
      <c r="AB10906" s="2" t="s">
        <v>86</v>
      </c>
      <c r="AC10906" s="6">
        <v>929.02</v>
      </c>
    </row>
    <row r="10907" spans="1:29" ht="234" x14ac:dyDescent="0.15">
      <c r="A10907" s="3">
        <f>DATE(2014,9,16)</f>
        <v>41898</v>
      </c>
      <c r="B10907" s="3">
        <f>DATE(2015,1,15)</f>
        <v>42019</v>
      </c>
      <c r="C10907" s="2" t="s">
        <v>95</v>
      </c>
      <c r="D10907" s="2" t="s">
        <v>31698</v>
      </c>
      <c r="E10907" s="2" t="s">
        <v>92</v>
      </c>
      <c r="F10907" s="4">
        <v>6798</v>
      </c>
      <c r="G10907" s="2" t="s">
        <v>53</v>
      </c>
      <c r="H10907" s="2" t="s">
        <v>34</v>
      </c>
      <c r="I10907" s="2" t="s">
        <v>31699</v>
      </c>
      <c r="J10907" s="2" t="s">
        <v>31700</v>
      </c>
      <c r="K10907" s="2" t="s">
        <v>109</v>
      </c>
      <c r="L10907" s="2" t="s">
        <v>34</v>
      </c>
      <c r="M10907" s="12">
        <v>3045.8420000000001</v>
      </c>
      <c r="N10907" s="6">
        <v>17.239999999999998</v>
      </c>
      <c r="O10907" s="6">
        <v>16.84</v>
      </c>
      <c r="P10907" s="2" t="s">
        <v>31701</v>
      </c>
      <c r="Q10907" s="6">
        <v>100</v>
      </c>
      <c r="R10907" s="6">
        <v>14.07</v>
      </c>
      <c r="S10907" s="5">
        <v>-35.5</v>
      </c>
      <c r="T10907" s="7">
        <v>122.697</v>
      </c>
      <c r="U10907" s="5">
        <v>2.1</v>
      </c>
      <c r="V10907" s="9">
        <v>-0.45889999999999997</v>
      </c>
      <c r="W10907" s="5">
        <v>11.2</v>
      </c>
      <c r="X10907" s="6">
        <v>10.59</v>
      </c>
      <c r="Y10907" s="6">
        <v>13.75</v>
      </c>
      <c r="Z10907" s="6">
        <v>13.62</v>
      </c>
      <c r="AA10907" s="6">
        <v>145.36000000000001</v>
      </c>
      <c r="AB10907" s="2" t="s">
        <v>86</v>
      </c>
      <c r="AC10907" s="6">
        <v>93.65</v>
      </c>
    </row>
    <row r="10908" spans="1:29" ht="52" x14ac:dyDescent="0.15">
      <c r="A10908" s="3">
        <f>DATE(2014,9,17)</f>
        <v>41899</v>
      </c>
      <c r="B10908" s="2"/>
      <c r="C10908" s="2" t="s">
        <v>39</v>
      </c>
      <c r="D10908" s="2" t="s">
        <v>31702</v>
      </c>
      <c r="E10908" s="2" t="s">
        <v>31703</v>
      </c>
      <c r="F10908" s="4">
        <v>3511</v>
      </c>
      <c r="G10908" s="2" t="s">
        <v>300</v>
      </c>
      <c r="H10908" s="2" t="s">
        <v>34</v>
      </c>
      <c r="I10908" s="2" t="s">
        <v>31704</v>
      </c>
      <c r="J10908" s="2" t="s">
        <v>31705</v>
      </c>
      <c r="K10908" s="2" t="s">
        <v>300</v>
      </c>
      <c r="L10908" s="2" t="s">
        <v>215</v>
      </c>
      <c r="M10908" s="12">
        <v>4408.5429999999997</v>
      </c>
      <c r="N10908" s="7">
        <v>133.46100000000001</v>
      </c>
      <c r="O10908" s="7">
        <v>145.626</v>
      </c>
      <c r="P10908" s="2" t="s">
        <v>31706</v>
      </c>
      <c r="Q10908" s="2"/>
      <c r="R10908" s="2"/>
      <c r="S10908" s="5">
        <v>127.9</v>
      </c>
      <c r="T10908" s="5">
        <v>408.8</v>
      </c>
      <c r="U10908" s="5">
        <v>17.7</v>
      </c>
      <c r="V10908" s="9">
        <v>1.6620999999999999</v>
      </c>
      <c r="W10908" s="6">
        <v>67.59</v>
      </c>
      <c r="X10908" s="6">
        <v>67.88</v>
      </c>
      <c r="Y10908" s="6">
        <v>72.81</v>
      </c>
      <c r="Z10908" s="6">
        <v>73.03</v>
      </c>
      <c r="AA10908" s="6">
        <v>76.62</v>
      </c>
      <c r="AB10908" s="2" t="s">
        <v>47</v>
      </c>
      <c r="AC10908" s="6">
        <v>604.92999999999995</v>
      </c>
    </row>
    <row r="10909" spans="1:29" ht="117" x14ac:dyDescent="0.15">
      <c r="A10909" s="3">
        <f>DATE(2014,9,18)</f>
        <v>41900</v>
      </c>
      <c r="B10909" s="3">
        <f>DATE(2014,12,4)</f>
        <v>41977</v>
      </c>
      <c r="C10909" s="2" t="s">
        <v>95</v>
      </c>
      <c r="D10909" s="2" t="s">
        <v>31707</v>
      </c>
      <c r="E10909" s="2" t="s">
        <v>31708</v>
      </c>
      <c r="F10909" s="4">
        <v>7372</v>
      </c>
      <c r="G10909" s="2" t="s">
        <v>551</v>
      </c>
      <c r="H10909" s="2" t="s">
        <v>34</v>
      </c>
      <c r="I10909" s="2" t="s">
        <v>29633</v>
      </c>
      <c r="J10909" s="2" t="s">
        <v>8995</v>
      </c>
      <c r="K10909" s="2" t="s">
        <v>551</v>
      </c>
      <c r="L10909" s="2" t="s">
        <v>34</v>
      </c>
      <c r="M10909" s="2"/>
      <c r="N10909" s="2"/>
      <c r="O10909" s="2"/>
      <c r="P10909" s="2" t="s">
        <v>31709</v>
      </c>
      <c r="Q10909" s="6">
        <v>100</v>
      </c>
      <c r="R10909" s="6">
        <v>129</v>
      </c>
      <c r="S10909" s="5">
        <v>-87.8</v>
      </c>
      <c r="T10909" s="7">
        <v>19.577000000000002</v>
      </c>
      <c r="U10909" s="5">
        <v>13.7</v>
      </c>
      <c r="V10909" s="9">
        <v>-1.5546</v>
      </c>
      <c r="W10909" s="6">
        <v>100.61</v>
      </c>
      <c r="X10909" s="6">
        <v>100.38</v>
      </c>
      <c r="Y10909" s="6">
        <v>100.95</v>
      </c>
      <c r="Z10909" s="5">
        <v>109.6</v>
      </c>
      <c r="AA10909" s="6">
        <v>57.07</v>
      </c>
      <c r="AB10909" s="2" t="s">
        <v>86</v>
      </c>
      <c r="AC10909" s="2"/>
    </row>
    <row r="10910" spans="1:29" ht="65" x14ac:dyDescent="0.15">
      <c r="A10910" s="3">
        <f>DATE(2014,9,20)</f>
        <v>41902</v>
      </c>
      <c r="B10910" s="2"/>
      <c r="C10910" s="2" t="s">
        <v>87</v>
      </c>
      <c r="D10910" s="2" t="s">
        <v>31710</v>
      </c>
      <c r="E10910" s="2" t="s">
        <v>31711</v>
      </c>
      <c r="F10910" s="4">
        <v>1041</v>
      </c>
      <c r="G10910" s="2" t="s">
        <v>166</v>
      </c>
      <c r="H10910" s="2" t="s">
        <v>34</v>
      </c>
      <c r="I10910" s="2" t="s">
        <v>31712</v>
      </c>
      <c r="J10910" s="2" t="s">
        <v>31713</v>
      </c>
      <c r="K10910" s="2" t="s">
        <v>166</v>
      </c>
      <c r="L10910" s="2" t="s">
        <v>885</v>
      </c>
      <c r="M10910" s="6">
        <v>813.51</v>
      </c>
      <c r="N10910" s="7">
        <v>2.0830000000000002</v>
      </c>
      <c r="O10910" s="7">
        <v>2.0830000000000002</v>
      </c>
      <c r="P10910" s="2" t="s">
        <v>31714</v>
      </c>
      <c r="Q10910" s="2"/>
      <c r="R10910" s="2"/>
      <c r="S10910" s="5">
        <v>-2.5</v>
      </c>
      <c r="T10910" s="7">
        <v>190.791</v>
      </c>
      <c r="U10910" s="5">
        <v>2</v>
      </c>
      <c r="V10910" s="9">
        <v>0.12870000000000001</v>
      </c>
      <c r="W10910" s="7">
        <v>1.9390000000000001</v>
      </c>
      <c r="X10910" s="7">
        <v>1.952</v>
      </c>
      <c r="Y10910" s="7">
        <v>1.857</v>
      </c>
      <c r="Z10910" s="7">
        <v>1.857</v>
      </c>
      <c r="AA10910" s="6">
        <v>290.24</v>
      </c>
      <c r="AB10910" s="2" t="s">
        <v>47</v>
      </c>
      <c r="AC10910" s="6">
        <v>53.63</v>
      </c>
    </row>
    <row r="10911" spans="1:29" ht="104" x14ac:dyDescent="0.15">
      <c r="A10911" s="3">
        <f>DATE(2014,9,21)</f>
        <v>41903</v>
      </c>
      <c r="B10911" s="3">
        <f>DATE(2015,6,30)</f>
        <v>42185</v>
      </c>
      <c r="C10911" s="2" t="s">
        <v>95</v>
      </c>
      <c r="D10911" s="2" t="s">
        <v>31702</v>
      </c>
      <c r="E10911" s="2" t="s">
        <v>31703</v>
      </c>
      <c r="F10911" s="4">
        <v>3511</v>
      </c>
      <c r="G10911" s="2" t="s">
        <v>300</v>
      </c>
      <c r="H10911" s="2" t="s">
        <v>34</v>
      </c>
      <c r="I10911" s="2" t="s">
        <v>31715</v>
      </c>
      <c r="J10911" s="2" t="s">
        <v>31716</v>
      </c>
      <c r="K10911" s="2" t="s">
        <v>921</v>
      </c>
      <c r="L10911" s="2" t="s">
        <v>1049</v>
      </c>
      <c r="M10911" s="12">
        <v>104337.565</v>
      </c>
      <c r="N10911" s="7">
        <v>125.83799999999999</v>
      </c>
      <c r="O10911" s="7">
        <v>125.83799999999999</v>
      </c>
      <c r="P10911" s="2" t="s">
        <v>31717</v>
      </c>
      <c r="Q10911" s="6">
        <v>100</v>
      </c>
      <c r="R10911" s="6">
        <v>86.3</v>
      </c>
      <c r="S10911" s="5">
        <v>127.9</v>
      </c>
      <c r="T10911" s="5">
        <v>408.8</v>
      </c>
      <c r="U10911" s="5">
        <v>17.7</v>
      </c>
      <c r="V10911" s="9">
        <v>1.6620999999999999</v>
      </c>
      <c r="W10911" s="6">
        <v>68.05</v>
      </c>
      <c r="X10911" s="6">
        <v>73.03</v>
      </c>
      <c r="Y10911" s="6">
        <v>79.91</v>
      </c>
      <c r="Z10911" s="6">
        <v>81.97</v>
      </c>
      <c r="AA10911" s="6">
        <v>76.63</v>
      </c>
      <c r="AB10911" s="7">
        <v>24.550999999999998</v>
      </c>
      <c r="AC10911" s="10">
        <v>16781.71</v>
      </c>
    </row>
    <row r="10912" spans="1:29" ht="91" x14ac:dyDescent="0.15">
      <c r="A10912" s="3">
        <f>DATE(2014,9,22)</f>
        <v>41904</v>
      </c>
      <c r="B10912" s="3">
        <f>DATE(2015,11,18)</f>
        <v>42326</v>
      </c>
      <c r="C10912" s="2" t="s">
        <v>95</v>
      </c>
      <c r="D10912" s="2" t="s">
        <v>31718</v>
      </c>
      <c r="E10912" s="2" t="s">
        <v>6634</v>
      </c>
      <c r="F10912" s="4">
        <v>2899</v>
      </c>
      <c r="G10912" s="2" t="s">
        <v>98</v>
      </c>
      <c r="H10912" s="2" t="s">
        <v>34</v>
      </c>
      <c r="I10912" s="2" t="s">
        <v>14600</v>
      </c>
      <c r="J10912" s="2" t="s">
        <v>14601</v>
      </c>
      <c r="K10912" s="2" t="s">
        <v>130</v>
      </c>
      <c r="L10912" s="2" t="s">
        <v>1049</v>
      </c>
      <c r="M10912" s="12">
        <v>37655.677000000003</v>
      </c>
      <c r="N10912" s="7">
        <v>93.295000000000002</v>
      </c>
      <c r="O10912" s="7">
        <v>94.100999999999999</v>
      </c>
      <c r="P10912" s="2" t="s">
        <v>31719</v>
      </c>
      <c r="Q10912" s="6">
        <v>100</v>
      </c>
      <c r="R10912" s="6">
        <v>140</v>
      </c>
      <c r="S10912" s="5">
        <v>509</v>
      </c>
      <c r="T10912" s="5">
        <v>834</v>
      </c>
      <c r="U10912" s="5">
        <v>25.9</v>
      </c>
      <c r="V10912" s="9">
        <v>4.2244000000000002</v>
      </c>
      <c r="W10912" s="6">
        <v>102.35</v>
      </c>
      <c r="X10912" s="6">
        <v>102.37</v>
      </c>
      <c r="Y10912" s="5">
        <v>136.4</v>
      </c>
      <c r="Z10912" s="6">
        <v>135.77000000000001</v>
      </c>
      <c r="AA10912" s="6">
        <v>119.08</v>
      </c>
      <c r="AB10912" s="7">
        <v>23.516999999999999</v>
      </c>
      <c r="AC10912" s="10">
        <v>2469.19</v>
      </c>
    </row>
    <row r="10913" spans="1:29" ht="143" x14ac:dyDescent="0.15">
      <c r="A10913" s="3">
        <f>DATE(2014,9,22)</f>
        <v>41904</v>
      </c>
      <c r="B10913" s="3">
        <f>DATE(2015,6,1)</f>
        <v>42156</v>
      </c>
      <c r="C10913" s="2" t="s">
        <v>95</v>
      </c>
      <c r="D10913" s="2" t="s">
        <v>27790</v>
      </c>
      <c r="E10913" s="2" t="s">
        <v>6632</v>
      </c>
      <c r="F10913" s="4">
        <v>3672</v>
      </c>
      <c r="G10913" s="2" t="s">
        <v>137</v>
      </c>
      <c r="H10913" s="2" t="s">
        <v>34</v>
      </c>
      <c r="I10913" s="2" t="s">
        <v>31720</v>
      </c>
      <c r="J10913" s="2" t="s">
        <v>22506</v>
      </c>
      <c r="K10913" s="2" t="s">
        <v>137</v>
      </c>
      <c r="L10913" s="2" t="s">
        <v>34</v>
      </c>
      <c r="M10913" s="6">
        <v>614.25</v>
      </c>
      <c r="N10913" s="6">
        <v>6.96</v>
      </c>
      <c r="O10913" s="6">
        <v>6.84</v>
      </c>
      <c r="P10913" s="2" t="s">
        <v>31721</v>
      </c>
      <c r="Q10913" s="6">
        <v>100</v>
      </c>
      <c r="R10913" s="6">
        <v>16.46</v>
      </c>
      <c r="S10913" s="5">
        <v>-17.8</v>
      </c>
      <c r="T10913" s="7">
        <v>129.25399999999999</v>
      </c>
      <c r="U10913" s="5">
        <v>9.4</v>
      </c>
      <c r="V10913" s="9">
        <v>-0.87519999999999998</v>
      </c>
      <c r="W10913" s="6">
        <v>11.33</v>
      </c>
      <c r="X10913" s="5">
        <v>11.7</v>
      </c>
      <c r="Y10913" s="5">
        <v>15.8</v>
      </c>
      <c r="Z10913" s="4">
        <v>16</v>
      </c>
      <c r="AA10913" s="6">
        <v>20.92</v>
      </c>
      <c r="AB10913" s="7">
        <v>26.079000000000001</v>
      </c>
      <c r="AC10913" s="6">
        <v>282.33999999999997</v>
      </c>
    </row>
    <row r="10914" spans="1:29" ht="65" x14ac:dyDescent="0.15">
      <c r="A10914" s="3">
        <f>DATE(2014,9,23)</f>
        <v>41905</v>
      </c>
      <c r="B10914" s="2"/>
      <c r="C10914" s="2" t="s">
        <v>30</v>
      </c>
      <c r="D10914" s="2" t="s">
        <v>27304</v>
      </c>
      <c r="E10914" s="2" t="s">
        <v>27305</v>
      </c>
      <c r="F10914" s="4">
        <v>2873</v>
      </c>
      <c r="G10914" s="2" t="s">
        <v>98</v>
      </c>
      <c r="H10914" s="2" t="s">
        <v>34</v>
      </c>
      <c r="I10914" s="2" t="s">
        <v>28057</v>
      </c>
      <c r="J10914" s="2" t="s">
        <v>28058</v>
      </c>
      <c r="K10914" s="2" t="s">
        <v>98</v>
      </c>
      <c r="L10914" s="2" t="s">
        <v>2823</v>
      </c>
      <c r="M10914" s="12">
        <v>14183.468000000001</v>
      </c>
      <c r="N10914" s="7">
        <v>51.164999999999999</v>
      </c>
      <c r="O10914" s="7">
        <v>49.926000000000002</v>
      </c>
      <c r="P10914" s="2" t="s">
        <v>31722</v>
      </c>
      <c r="Q10914" s="2"/>
      <c r="R10914" s="2"/>
      <c r="S10914" s="8">
        <v>1581</v>
      </c>
      <c r="T10914" s="8">
        <v>2249.9</v>
      </c>
      <c r="U10914" s="5">
        <v>18</v>
      </c>
      <c r="V10914" s="9">
        <v>5.8326000000000002</v>
      </c>
      <c r="W10914" s="6">
        <v>254.46</v>
      </c>
      <c r="X10914" s="6">
        <v>255.78</v>
      </c>
      <c r="Y10914" s="6">
        <v>269.37</v>
      </c>
      <c r="Z10914" s="6">
        <v>272.33</v>
      </c>
      <c r="AA10914" s="6">
        <v>49.67</v>
      </c>
      <c r="AB10914" s="2" t="s">
        <v>47</v>
      </c>
      <c r="AC10914" s="10">
        <v>1007.45</v>
      </c>
    </row>
    <row r="10915" spans="1:29" ht="65" x14ac:dyDescent="0.15">
      <c r="A10915" s="3">
        <f>DATE(2014,9,23)</f>
        <v>41905</v>
      </c>
      <c r="B10915" s="2"/>
      <c r="C10915" s="2" t="s">
        <v>87</v>
      </c>
      <c r="D10915" s="2" t="s">
        <v>31261</v>
      </c>
      <c r="E10915" s="2" t="s">
        <v>13055</v>
      </c>
      <c r="F10915" s="4">
        <v>2834</v>
      </c>
      <c r="G10915" s="2" t="s">
        <v>130</v>
      </c>
      <c r="H10915" s="2" t="s">
        <v>34</v>
      </c>
      <c r="I10915" s="2" t="s">
        <v>7393</v>
      </c>
      <c r="J10915" s="2" t="s">
        <v>5670</v>
      </c>
      <c r="K10915" s="2" t="s">
        <v>130</v>
      </c>
      <c r="L10915" s="2" t="s">
        <v>34</v>
      </c>
      <c r="M10915" s="12">
        <v>186322.361</v>
      </c>
      <c r="N10915" s="6">
        <v>30.05</v>
      </c>
      <c r="O10915" s="6">
        <v>30.31</v>
      </c>
      <c r="P10915" s="2" t="s">
        <v>31723</v>
      </c>
      <c r="Q10915" s="2"/>
      <c r="R10915" s="2"/>
      <c r="S10915" s="5">
        <v>62.4</v>
      </c>
      <c r="T10915" s="8">
        <v>2477.6999999999998</v>
      </c>
      <c r="U10915" s="5">
        <v>55.5</v>
      </c>
      <c r="V10915" s="9">
        <v>0.64970000000000006</v>
      </c>
      <c r="W10915" s="6">
        <v>238.76</v>
      </c>
      <c r="X10915" s="6">
        <v>235.62</v>
      </c>
      <c r="Y10915" s="6">
        <v>240.85</v>
      </c>
      <c r="Z10915" s="4">
        <v>248</v>
      </c>
      <c r="AA10915" s="6">
        <v>264.81</v>
      </c>
      <c r="AB10915" s="2" t="s">
        <v>47</v>
      </c>
      <c r="AC10915" s="8">
        <v>34054</v>
      </c>
    </row>
    <row r="10916" spans="1:29" ht="65" x14ac:dyDescent="0.15">
      <c r="A10916" s="3">
        <f>DATE(2014,9,24)</f>
        <v>41906</v>
      </c>
      <c r="B10916" s="2"/>
      <c r="C10916" s="2" t="s">
        <v>39</v>
      </c>
      <c r="D10916" s="2" t="s">
        <v>20789</v>
      </c>
      <c r="E10916" s="2" t="s">
        <v>20790</v>
      </c>
      <c r="F10916" s="4">
        <v>2834</v>
      </c>
      <c r="G10916" s="2" t="s">
        <v>130</v>
      </c>
      <c r="H10916" s="2" t="s">
        <v>34</v>
      </c>
      <c r="I10916" s="2" t="s">
        <v>31261</v>
      </c>
      <c r="J10916" s="2" t="s">
        <v>13055</v>
      </c>
      <c r="K10916" s="2" t="s">
        <v>130</v>
      </c>
      <c r="L10916" s="2" t="s">
        <v>34</v>
      </c>
      <c r="M10916" s="12">
        <v>59804.841999999997</v>
      </c>
      <c r="N10916" s="4">
        <v>248</v>
      </c>
      <c r="O10916" s="6">
        <v>244.53</v>
      </c>
      <c r="P10916" s="2" t="s">
        <v>31724</v>
      </c>
      <c r="Q10916" s="2"/>
      <c r="R10916" s="2"/>
      <c r="S10916" s="5">
        <v>59</v>
      </c>
      <c r="T10916" s="7">
        <v>316.45699999999999</v>
      </c>
      <c r="U10916" s="5">
        <v>11.6</v>
      </c>
      <c r="V10916" s="9">
        <v>0.86080000000000001</v>
      </c>
      <c r="W10916" s="6">
        <v>159.88999999999999</v>
      </c>
      <c r="X10916" s="6">
        <v>169.17</v>
      </c>
      <c r="Y10916" s="6">
        <v>167.52</v>
      </c>
      <c r="Z10916" s="6">
        <v>166.33</v>
      </c>
      <c r="AA10916" s="6">
        <v>63.69</v>
      </c>
      <c r="AB10916" s="2" t="s">
        <v>47</v>
      </c>
      <c r="AC10916" s="8">
        <v>4296.1000000000004</v>
      </c>
    </row>
    <row r="10917" spans="1:29" ht="91" x14ac:dyDescent="0.15">
      <c r="A10917" s="3">
        <f>DATE(2014,9,24)</f>
        <v>41906</v>
      </c>
      <c r="B10917" s="3">
        <f>DATE(2015,3,6)</f>
        <v>42069</v>
      </c>
      <c r="C10917" s="2" t="s">
        <v>95</v>
      </c>
      <c r="D10917" s="2" t="s">
        <v>31725</v>
      </c>
      <c r="E10917" s="2" t="s">
        <v>31726</v>
      </c>
      <c r="F10917" s="4">
        <v>7011</v>
      </c>
      <c r="G10917" s="2" t="s">
        <v>269</v>
      </c>
      <c r="H10917" s="2" t="s">
        <v>34</v>
      </c>
      <c r="I10917" s="2" t="s">
        <v>31727</v>
      </c>
      <c r="J10917" s="2" t="s">
        <v>31728</v>
      </c>
      <c r="K10917" s="2" t="s">
        <v>269</v>
      </c>
      <c r="L10917" s="2" t="s">
        <v>34</v>
      </c>
      <c r="M10917" s="2"/>
      <c r="N10917" s="2"/>
      <c r="O10917" s="2"/>
      <c r="P10917" s="2" t="s">
        <v>31729</v>
      </c>
      <c r="Q10917" s="6">
        <v>100</v>
      </c>
      <c r="R10917" s="2"/>
      <c r="S10917" s="2"/>
      <c r="T10917" s="2"/>
      <c r="U10917" s="2"/>
      <c r="V10917" s="2"/>
      <c r="W10917" s="4">
        <v>383</v>
      </c>
      <c r="X10917" s="4">
        <v>383</v>
      </c>
      <c r="Y10917" s="4">
        <v>383</v>
      </c>
      <c r="Z10917" s="4">
        <v>383</v>
      </c>
      <c r="AA10917" s="6">
        <v>0.06</v>
      </c>
      <c r="AB10917" s="2" t="s">
        <v>47</v>
      </c>
      <c r="AC10917" s="2"/>
    </row>
    <row r="10918" spans="1:29" ht="78" x14ac:dyDescent="0.15">
      <c r="A10918" s="3">
        <f>DATE(2014,9,25)</f>
        <v>41907</v>
      </c>
      <c r="B10918" s="3">
        <f>DATE(2015,4,28)</f>
        <v>42122</v>
      </c>
      <c r="C10918" s="2" t="s">
        <v>95</v>
      </c>
      <c r="D10918" s="2" t="s">
        <v>31730</v>
      </c>
      <c r="E10918" s="2" t="s">
        <v>36</v>
      </c>
      <c r="F10918" s="4">
        <v>6021</v>
      </c>
      <c r="G10918" s="2" t="s">
        <v>37</v>
      </c>
      <c r="H10918" s="2" t="s">
        <v>34</v>
      </c>
      <c r="I10918" s="2" t="s">
        <v>31731</v>
      </c>
      <c r="J10918" s="2" t="s">
        <v>21800</v>
      </c>
      <c r="K10918" s="2" t="s">
        <v>37</v>
      </c>
      <c r="L10918" s="2" t="s">
        <v>34</v>
      </c>
      <c r="M10918" s="2"/>
      <c r="N10918" s="2"/>
      <c r="O10918" s="2"/>
      <c r="P10918" s="2" t="s">
        <v>31732</v>
      </c>
      <c r="Q10918" s="6">
        <v>100</v>
      </c>
      <c r="R10918" s="6">
        <v>13.25</v>
      </c>
      <c r="S10918" s="5">
        <v>0.7</v>
      </c>
      <c r="T10918" s="7">
        <v>1.145</v>
      </c>
      <c r="U10918" s="5">
        <v>12.8</v>
      </c>
      <c r="V10918" s="7">
        <v>0.32400000000000001</v>
      </c>
      <c r="W10918" s="6">
        <v>11.47</v>
      </c>
      <c r="X10918" s="6">
        <v>11.47</v>
      </c>
      <c r="Y10918" s="6">
        <v>11.47</v>
      </c>
      <c r="Z10918" s="6">
        <v>12.83</v>
      </c>
      <c r="AA10918" s="6">
        <v>1.86</v>
      </c>
      <c r="AB10918" s="7">
        <v>53.423000000000002</v>
      </c>
      <c r="AC10918" s="6">
        <v>604.17999999999995</v>
      </c>
    </row>
    <row r="10919" spans="1:29" ht="78" x14ac:dyDescent="0.15">
      <c r="A10919" s="3">
        <f>DATE(2014,9,25)</f>
        <v>41907</v>
      </c>
      <c r="B10919" s="3">
        <f>DATE(2014,11,20)</f>
        <v>41963</v>
      </c>
      <c r="C10919" s="2" t="s">
        <v>95</v>
      </c>
      <c r="D10919" s="2" t="s">
        <v>31733</v>
      </c>
      <c r="E10919" s="2" t="s">
        <v>31734</v>
      </c>
      <c r="F10919" s="4">
        <v>3845</v>
      </c>
      <c r="G10919" s="2" t="s">
        <v>226</v>
      </c>
      <c r="H10919" s="2" t="s">
        <v>34</v>
      </c>
      <c r="I10919" s="2" t="s">
        <v>19987</v>
      </c>
      <c r="J10919" s="2" t="s">
        <v>19988</v>
      </c>
      <c r="K10919" s="2" t="s">
        <v>454</v>
      </c>
      <c r="L10919" s="2" t="s">
        <v>34</v>
      </c>
      <c r="M10919" s="12">
        <v>8947.6110000000008</v>
      </c>
      <c r="N10919" s="6">
        <v>102.03</v>
      </c>
      <c r="O10919" s="6">
        <v>102.81</v>
      </c>
      <c r="P10919" s="2" t="s">
        <v>31735</v>
      </c>
      <c r="Q10919" s="6">
        <v>100</v>
      </c>
      <c r="R10919" s="6">
        <v>5.25</v>
      </c>
      <c r="S10919" s="5">
        <v>-13.3</v>
      </c>
      <c r="T10919" s="7">
        <v>-9.6929999999999996</v>
      </c>
      <c r="U10919" s="5">
        <v>2.8</v>
      </c>
      <c r="V10919" s="9">
        <v>-0.88619999999999999</v>
      </c>
      <c r="W10919" s="6">
        <v>3.22</v>
      </c>
      <c r="X10919" s="6">
        <v>3.19</v>
      </c>
      <c r="Y10919" s="6">
        <v>5.19</v>
      </c>
      <c r="Z10919" s="7">
        <v>5.1849999999999996</v>
      </c>
      <c r="AA10919" s="6">
        <v>15.29</v>
      </c>
      <c r="AB10919" s="2" t="s">
        <v>86</v>
      </c>
      <c r="AC10919" s="5">
        <v>479.5</v>
      </c>
    </row>
    <row r="10920" spans="1:29" ht="104" x14ac:dyDescent="0.15">
      <c r="A10920" s="3">
        <f>DATE(2014,9,25)</f>
        <v>41907</v>
      </c>
      <c r="B10920" s="3">
        <f>DATE(2015,4,30)</f>
        <v>42124</v>
      </c>
      <c r="C10920" s="2" t="s">
        <v>95</v>
      </c>
      <c r="D10920" s="2" t="s">
        <v>31736</v>
      </c>
      <c r="E10920" s="2" t="s">
        <v>21800</v>
      </c>
      <c r="F10920" s="4">
        <v>6021</v>
      </c>
      <c r="G10920" s="2" t="s">
        <v>37</v>
      </c>
      <c r="H10920" s="2" t="s">
        <v>34</v>
      </c>
      <c r="I10920" s="2" t="s">
        <v>31737</v>
      </c>
      <c r="J10920" s="2" t="s">
        <v>3197</v>
      </c>
      <c r="K10920" s="2" t="s">
        <v>53</v>
      </c>
      <c r="L10920" s="2" t="s">
        <v>34</v>
      </c>
      <c r="M10920" s="2"/>
      <c r="N10920" s="2"/>
      <c r="O10920" s="2"/>
      <c r="P10920" s="2" t="s">
        <v>31738</v>
      </c>
      <c r="Q10920" s="6">
        <v>65</v>
      </c>
      <c r="R10920" s="10">
        <v>26832</v>
      </c>
      <c r="S10920" s="2"/>
      <c r="T10920" s="2"/>
      <c r="U10920" s="2"/>
      <c r="V10920" s="2"/>
      <c r="W10920" s="4">
        <v>16800</v>
      </c>
      <c r="X10920" s="4">
        <v>16575</v>
      </c>
      <c r="Y10920" s="4">
        <v>16575</v>
      </c>
      <c r="Z10920" s="4">
        <v>24000</v>
      </c>
      <c r="AA10920" s="6">
        <v>0.02</v>
      </c>
      <c r="AB10920" s="2" t="s">
        <v>47</v>
      </c>
      <c r="AC10920" s="2"/>
    </row>
    <row r="10921" spans="1:29" ht="143" x14ac:dyDescent="0.15">
      <c r="A10921" s="3">
        <f>DATE(2014,9,27)</f>
        <v>41909</v>
      </c>
      <c r="B10921" s="3">
        <f>DATE(2015,3,1)</f>
        <v>42064</v>
      </c>
      <c r="C10921" s="2" t="s">
        <v>95</v>
      </c>
      <c r="D10921" s="2" t="s">
        <v>31739</v>
      </c>
      <c r="E10921" s="2" t="s">
        <v>20326</v>
      </c>
      <c r="F10921" s="4">
        <v>6035</v>
      </c>
      <c r="G10921" s="2" t="s">
        <v>33</v>
      </c>
      <c r="H10921" s="2" t="s">
        <v>34</v>
      </c>
      <c r="I10921" s="2" t="s">
        <v>31740</v>
      </c>
      <c r="J10921" s="2" t="s">
        <v>31741</v>
      </c>
      <c r="K10921" s="2" t="s">
        <v>33</v>
      </c>
      <c r="L10921" s="2" t="s">
        <v>34</v>
      </c>
      <c r="M10921" s="7">
        <v>270.17599999999999</v>
      </c>
      <c r="N10921" s="6">
        <v>17.73</v>
      </c>
      <c r="O10921" s="6">
        <v>17.73</v>
      </c>
      <c r="P10921" s="2" t="s">
        <v>31742</v>
      </c>
      <c r="Q10921" s="6">
        <v>100</v>
      </c>
      <c r="R10921" s="6">
        <v>17.760000000000002</v>
      </c>
      <c r="S10921" s="5">
        <v>5.3</v>
      </c>
      <c r="T10921" s="7">
        <v>9.7490000000000006</v>
      </c>
      <c r="U10921" s="5">
        <v>18.600000000000001</v>
      </c>
      <c r="V10921" s="7">
        <v>0.71899999999999997</v>
      </c>
      <c r="W10921" s="6">
        <v>16.88</v>
      </c>
      <c r="X10921" s="6">
        <v>16.59</v>
      </c>
      <c r="Y10921" s="5">
        <v>16.5</v>
      </c>
      <c r="Z10921" s="5">
        <v>16.5</v>
      </c>
      <c r="AA10921" s="6">
        <v>7.39</v>
      </c>
      <c r="AB10921" s="7">
        <v>25.498999999999999</v>
      </c>
      <c r="AC10921" s="2"/>
    </row>
    <row r="10922" spans="1:29" ht="117" x14ac:dyDescent="0.15">
      <c r="A10922" s="3">
        <f>DATE(2014,9,28)</f>
        <v>41910</v>
      </c>
      <c r="B10922" s="2"/>
      <c r="C10922" s="2" t="s">
        <v>87</v>
      </c>
      <c r="D10922" s="2" t="s">
        <v>31743</v>
      </c>
      <c r="E10922" s="2" t="s">
        <v>31744</v>
      </c>
      <c r="F10922" s="4">
        <v>7812</v>
      </c>
      <c r="G10922" s="2" t="s">
        <v>42</v>
      </c>
      <c r="H10922" s="2" t="s">
        <v>34</v>
      </c>
      <c r="I10922" s="2" t="s">
        <v>30250</v>
      </c>
      <c r="J10922" s="2" t="s">
        <v>16453</v>
      </c>
      <c r="K10922" s="2" t="s">
        <v>63</v>
      </c>
      <c r="L10922" s="2" t="s">
        <v>99</v>
      </c>
      <c r="M10922" s="12">
        <v>86615.638999999996</v>
      </c>
      <c r="N10922" s="7">
        <v>71.325000000000003</v>
      </c>
      <c r="O10922" s="7">
        <v>71.325000000000003</v>
      </c>
      <c r="P10922" s="2" t="s">
        <v>31745</v>
      </c>
      <c r="Q10922" s="2"/>
      <c r="R10922" s="2"/>
      <c r="S10922" s="5">
        <v>-31.1</v>
      </c>
      <c r="T10922" s="7">
        <v>-14.866</v>
      </c>
      <c r="U10922" s="5">
        <v>16.100000000000001</v>
      </c>
      <c r="V10922" s="9">
        <v>-0.37419999999999998</v>
      </c>
      <c r="W10922" s="6">
        <v>23.56</v>
      </c>
      <c r="X10922" s="6">
        <v>22.36</v>
      </c>
      <c r="Y10922" s="6">
        <v>28.18</v>
      </c>
      <c r="Z10922" s="6">
        <v>28.18</v>
      </c>
      <c r="AA10922" s="6">
        <v>84.67</v>
      </c>
      <c r="AB10922" s="2" t="s">
        <v>86</v>
      </c>
      <c r="AC10922" s="10">
        <v>20613.82</v>
      </c>
    </row>
    <row r="10923" spans="1:29" ht="156" x14ac:dyDescent="0.15">
      <c r="A10923" s="3">
        <f>DATE(2014,9,29)</f>
        <v>41911</v>
      </c>
      <c r="B10923" s="3">
        <f>DATE(2014,11,11)</f>
        <v>41954</v>
      </c>
      <c r="C10923" s="2" t="s">
        <v>95</v>
      </c>
      <c r="D10923" s="2" t="s">
        <v>31746</v>
      </c>
      <c r="E10923" s="2" t="s">
        <v>540</v>
      </c>
      <c r="F10923" s="4">
        <v>2836</v>
      </c>
      <c r="G10923" s="2" t="s">
        <v>130</v>
      </c>
      <c r="H10923" s="2" t="s">
        <v>34</v>
      </c>
      <c r="I10923" s="2" t="s">
        <v>31747</v>
      </c>
      <c r="J10923" s="2" t="s">
        <v>302</v>
      </c>
      <c r="K10923" s="2" t="s">
        <v>53</v>
      </c>
      <c r="L10923" s="2" t="s">
        <v>34</v>
      </c>
      <c r="M10923" s="2"/>
      <c r="N10923" s="2"/>
      <c r="O10923" s="2"/>
      <c r="P10923" s="2" t="s">
        <v>31748</v>
      </c>
      <c r="Q10923" s="6">
        <v>100</v>
      </c>
      <c r="R10923" s="2"/>
      <c r="S10923" s="5">
        <v>-21.8</v>
      </c>
      <c r="T10923" s="7">
        <v>-27.806999999999999</v>
      </c>
      <c r="U10923" s="5">
        <v>2.2999999999999998</v>
      </c>
      <c r="V10923" s="9">
        <v>-1.8691</v>
      </c>
      <c r="W10923" s="7">
        <v>8.2050000000000001</v>
      </c>
      <c r="X10923" s="5">
        <v>8.1999999999999993</v>
      </c>
      <c r="Y10923" s="6">
        <v>15.34</v>
      </c>
      <c r="Z10923" s="5">
        <v>15.4</v>
      </c>
      <c r="AA10923" s="6">
        <v>18</v>
      </c>
      <c r="AB10923" s="2" t="s">
        <v>86</v>
      </c>
      <c r="AC10923" s="2"/>
    </row>
    <row r="10924" spans="1:29" ht="104" x14ac:dyDescent="0.15">
      <c r="A10924" s="3">
        <f>DATE(2014,9,29)</f>
        <v>41911</v>
      </c>
      <c r="B10924" s="3">
        <f>DATE(2014,11,13)</f>
        <v>41956</v>
      </c>
      <c r="C10924" s="2" t="s">
        <v>95</v>
      </c>
      <c r="D10924" s="2" t="s">
        <v>31749</v>
      </c>
      <c r="E10924" s="2" t="s">
        <v>13408</v>
      </c>
      <c r="F10924" s="4">
        <v>1311</v>
      </c>
      <c r="G10924" s="2" t="s">
        <v>148</v>
      </c>
      <c r="H10924" s="2" t="s">
        <v>34</v>
      </c>
      <c r="I10924" s="2" t="s">
        <v>21902</v>
      </c>
      <c r="J10924" s="2" t="s">
        <v>21903</v>
      </c>
      <c r="K10924" s="2" t="s">
        <v>148</v>
      </c>
      <c r="L10924" s="2" t="s">
        <v>902</v>
      </c>
      <c r="M10924" s="12">
        <v>17079.902999999998</v>
      </c>
      <c r="N10924" s="7">
        <v>21.562999999999999</v>
      </c>
      <c r="O10924" s="7">
        <v>21.238</v>
      </c>
      <c r="P10924" s="2" t="s">
        <v>31750</v>
      </c>
      <c r="Q10924" s="6">
        <v>100</v>
      </c>
      <c r="R10924" s="6">
        <v>58.5</v>
      </c>
      <c r="S10924" s="5">
        <v>50.3</v>
      </c>
      <c r="T10924" s="7">
        <v>309.86599999999999</v>
      </c>
      <c r="U10924" s="5">
        <v>12.7</v>
      </c>
      <c r="V10924" s="9">
        <v>0.56310000000000004</v>
      </c>
      <c r="W10924" s="6">
        <v>44.29</v>
      </c>
      <c r="X10924" s="6">
        <v>46.73</v>
      </c>
      <c r="Y10924" s="6">
        <v>58.32</v>
      </c>
      <c r="Z10924" s="6">
        <v>58.23</v>
      </c>
      <c r="AA10924" s="6">
        <v>97.32</v>
      </c>
      <c r="AB10924" s="7">
        <v>33.853999999999999</v>
      </c>
      <c r="AC10924" s="10">
        <v>2663.25</v>
      </c>
    </row>
    <row r="10925" spans="1:29" ht="195" x14ac:dyDescent="0.15">
      <c r="A10925" s="3">
        <f>DATE(2014,9,29)</f>
        <v>41911</v>
      </c>
      <c r="B10925" s="3">
        <f>DATE(2014,11,5)</f>
        <v>41948</v>
      </c>
      <c r="C10925" s="2" t="s">
        <v>95</v>
      </c>
      <c r="D10925" s="2" t="s">
        <v>31751</v>
      </c>
      <c r="E10925" s="2" t="s">
        <v>31752</v>
      </c>
      <c r="F10925" s="4">
        <v>5812</v>
      </c>
      <c r="G10925" s="2" t="s">
        <v>230</v>
      </c>
      <c r="H10925" s="2" t="s">
        <v>34</v>
      </c>
      <c r="I10925" s="2" t="s">
        <v>51</v>
      </c>
      <c r="J10925" s="2" t="s">
        <v>52</v>
      </c>
      <c r="K10925" s="2" t="s">
        <v>53</v>
      </c>
      <c r="L10925" s="2" t="s">
        <v>34</v>
      </c>
      <c r="M10925" s="2"/>
      <c r="N10925" s="2"/>
      <c r="O10925" s="2"/>
      <c r="P10925" s="2" t="s">
        <v>31753</v>
      </c>
      <c r="Q10925" s="6">
        <v>100</v>
      </c>
      <c r="R10925" s="6">
        <v>20.25</v>
      </c>
      <c r="S10925" s="5">
        <v>13.5</v>
      </c>
      <c r="T10925" s="7">
        <v>44.787999999999997</v>
      </c>
      <c r="U10925" s="5">
        <v>2.4</v>
      </c>
      <c r="V10925" s="9">
        <v>0.75180000000000002</v>
      </c>
      <c r="W10925" s="6">
        <v>13.28</v>
      </c>
      <c r="X10925" s="6">
        <v>13.39</v>
      </c>
      <c r="Y10925" s="6">
        <v>20.149999999999999</v>
      </c>
      <c r="Z10925" s="6">
        <v>20.16</v>
      </c>
      <c r="AA10925" s="6">
        <v>18.04</v>
      </c>
      <c r="AB10925" s="7">
        <v>17.274999999999999</v>
      </c>
      <c r="AC10925" s="2"/>
    </row>
    <row r="10926" spans="1:29" ht="130" x14ac:dyDescent="0.15">
      <c r="A10926" s="3">
        <f>DATE(2014,9,29)</f>
        <v>41911</v>
      </c>
      <c r="B10926" s="3">
        <f>DATE(2014,12,5)</f>
        <v>41978</v>
      </c>
      <c r="C10926" s="2" t="s">
        <v>95</v>
      </c>
      <c r="D10926" s="2" t="s">
        <v>19625</v>
      </c>
      <c r="E10926" s="2" t="s">
        <v>26835</v>
      </c>
      <c r="F10926" s="4">
        <v>7372</v>
      </c>
      <c r="G10926" s="2" t="s">
        <v>551</v>
      </c>
      <c r="H10926" s="2" t="s">
        <v>34</v>
      </c>
      <c r="I10926" s="2" t="s">
        <v>30736</v>
      </c>
      <c r="J10926" s="2" t="s">
        <v>244</v>
      </c>
      <c r="K10926" s="2" t="s">
        <v>53</v>
      </c>
      <c r="L10926" s="2" t="s">
        <v>34</v>
      </c>
      <c r="M10926" s="2"/>
      <c r="N10926" s="2"/>
      <c r="O10926" s="2"/>
      <c r="P10926" s="2" t="s">
        <v>31754</v>
      </c>
      <c r="Q10926" s="6">
        <v>100</v>
      </c>
      <c r="R10926" s="6">
        <v>24</v>
      </c>
      <c r="S10926" s="5">
        <v>60.9</v>
      </c>
      <c r="T10926" s="7">
        <v>189.035</v>
      </c>
      <c r="U10926" s="5">
        <v>5.6</v>
      </c>
      <c r="V10926" s="9">
        <v>0.3634</v>
      </c>
      <c r="W10926" s="6">
        <v>19.739999999999998</v>
      </c>
      <c r="X10926" s="5">
        <v>19.3</v>
      </c>
      <c r="Y10926" s="6">
        <v>20.75</v>
      </c>
      <c r="Z10926" s="6">
        <v>20.61</v>
      </c>
      <c r="AA10926" s="6">
        <v>163.85</v>
      </c>
      <c r="AB10926" s="7">
        <v>31.306000000000001</v>
      </c>
      <c r="AC10926" s="2"/>
    </row>
    <row r="10927" spans="1:29" ht="91" x14ac:dyDescent="0.15">
      <c r="A10927" s="3">
        <f>DATE(2014,9,30)</f>
        <v>41912</v>
      </c>
      <c r="B10927" s="3">
        <f>DATE(2014,11,14)</f>
        <v>41957</v>
      </c>
      <c r="C10927" s="2" t="s">
        <v>95</v>
      </c>
      <c r="D10927" s="2" t="s">
        <v>31755</v>
      </c>
      <c r="E10927" s="2" t="s">
        <v>31756</v>
      </c>
      <c r="F10927" s="4">
        <v>6531</v>
      </c>
      <c r="G10927" s="2" t="s">
        <v>109</v>
      </c>
      <c r="H10927" s="2" t="s">
        <v>34</v>
      </c>
      <c r="I10927" s="2" t="s">
        <v>22609</v>
      </c>
      <c r="J10927" s="2" t="s">
        <v>398</v>
      </c>
      <c r="K10927" s="2" t="s">
        <v>42</v>
      </c>
      <c r="L10927" s="2" t="s">
        <v>34</v>
      </c>
      <c r="M10927" s="10">
        <v>10092.58</v>
      </c>
      <c r="N10927" s="6">
        <v>16.350000000000001</v>
      </c>
      <c r="O10927" s="7">
        <v>15.975</v>
      </c>
      <c r="P10927" s="2" t="s">
        <v>31757</v>
      </c>
      <c r="Q10927" s="6">
        <v>100</v>
      </c>
      <c r="R10927" s="6">
        <v>21</v>
      </c>
      <c r="S10927" s="5">
        <v>-20</v>
      </c>
      <c r="T10927" s="7">
        <v>0.83099999999999996</v>
      </c>
      <c r="U10927" s="5">
        <v>2.6</v>
      </c>
      <c r="V10927" s="9">
        <v>-0.50719999999999998</v>
      </c>
      <c r="W10927" s="6">
        <v>14.44</v>
      </c>
      <c r="X10927" s="6">
        <v>15.29</v>
      </c>
      <c r="Y10927" s="6">
        <v>20.96</v>
      </c>
      <c r="Z10927" s="6">
        <v>20.92</v>
      </c>
      <c r="AA10927" s="6">
        <v>40.17</v>
      </c>
      <c r="AB10927" s="2" t="s">
        <v>86</v>
      </c>
      <c r="AC10927" s="2"/>
    </row>
    <row r="10928" spans="1:29" ht="221" x14ac:dyDescent="0.15">
      <c r="A10928" s="3">
        <f>DATE(2014,10,1)</f>
        <v>41913</v>
      </c>
      <c r="B10928" s="3">
        <f>DATE(2015,2,13)</f>
        <v>42048</v>
      </c>
      <c r="C10928" s="2" t="s">
        <v>95</v>
      </c>
      <c r="D10928" s="2" t="s">
        <v>31758</v>
      </c>
      <c r="E10928" s="2" t="s">
        <v>31759</v>
      </c>
      <c r="F10928" s="4">
        <v>4923</v>
      </c>
      <c r="G10928" s="2" t="s">
        <v>439</v>
      </c>
      <c r="H10928" s="2" t="s">
        <v>34</v>
      </c>
      <c r="I10928" s="2" t="s">
        <v>21528</v>
      </c>
      <c r="J10928" s="2" t="s">
        <v>4880</v>
      </c>
      <c r="K10928" s="2" t="s">
        <v>439</v>
      </c>
      <c r="L10928" s="2" t="s">
        <v>34</v>
      </c>
      <c r="M10928" s="12">
        <v>38028.114999999998</v>
      </c>
      <c r="N10928" s="6">
        <v>39.619999999999997</v>
      </c>
      <c r="O10928" s="6">
        <v>39.340000000000003</v>
      </c>
      <c r="P10928" s="2" t="s">
        <v>31760</v>
      </c>
      <c r="Q10928" s="6">
        <v>34.08</v>
      </c>
      <c r="R10928" s="6">
        <v>49.05</v>
      </c>
      <c r="S10928" s="5">
        <v>97.5</v>
      </c>
      <c r="T10928" s="7">
        <v>175.05500000000001</v>
      </c>
      <c r="U10928" s="5">
        <v>5.9</v>
      </c>
      <c r="V10928" s="6">
        <v>1.18</v>
      </c>
      <c r="W10928" s="6">
        <v>50.08</v>
      </c>
      <c r="X10928" s="6">
        <v>49.59</v>
      </c>
      <c r="Y10928" s="6">
        <v>49.32</v>
      </c>
      <c r="Z10928" s="6">
        <v>49.16</v>
      </c>
      <c r="AA10928" s="6">
        <v>83.13</v>
      </c>
      <c r="AB10928" s="7">
        <v>28.08</v>
      </c>
      <c r="AC10928" s="8">
        <v>1123.5999999999999</v>
      </c>
    </row>
    <row r="10929" spans="1:29" ht="234" x14ac:dyDescent="0.15">
      <c r="A10929" s="3">
        <f>DATE(2014,10,1)</f>
        <v>41913</v>
      </c>
      <c r="B10929" s="3">
        <f>DATE(2014,10,1)</f>
        <v>41913</v>
      </c>
      <c r="C10929" s="2" t="s">
        <v>95</v>
      </c>
      <c r="D10929" s="2" t="s">
        <v>31758</v>
      </c>
      <c r="E10929" s="2" t="s">
        <v>31759</v>
      </c>
      <c r="F10929" s="4">
        <v>4923</v>
      </c>
      <c r="G10929" s="2" t="s">
        <v>439</v>
      </c>
      <c r="H10929" s="2" t="s">
        <v>34</v>
      </c>
      <c r="I10929" s="2" t="s">
        <v>21528</v>
      </c>
      <c r="J10929" s="2" t="s">
        <v>4880</v>
      </c>
      <c r="K10929" s="2" t="s">
        <v>439</v>
      </c>
      <c r="L10929" s="2" t="s">
        <v>34</v>
      </c>
      <c r="M10929" s="12">
        <v>38028.114999999998</v>
      </c>
      <c r="N10929" s="6">
        <v>39.619999999999997</v>
      </c>
      <c r="O10929" s="6">
        <v>39.340000000000003</v>
      </c>
      <c r="P10929" s="2" t="s">
        <v>31761</v>
      </c>
      <c r="Q10929" s="6">
        <v>65.92</v>
      </c>
      <c r="R10929" s="2"/>
      <c r="S10929" s="5">
        <v>97.5</v>
      </c>
      <c r="T10929" s="7">
        <v>175.05500000000001</v>
      </c>
      <c r="U10929" s="5">
        <v>5.9</v>
      </c>
      <c r="V10929" s="6">
        <v>1.18</v>
      </c>
      <c r="W10929" s="6">
        <v>50.08</v>
      </c>
      <c r="X10929" s="6">
        <v>49.59</v>
      </c>
      <c r="Y10929" s="6">
        <v>49.32</v>
      </c>
      <c r="Z10929" s="6">
        <v>49.16</v>
      </c>
      <c r="AA10929" s="6">
        <v>83.13</v>
      </c>
      <c r="AB10929" s="7">
        <v>45.301000000000002</v>
      </c>
      <c r="AC10929" s="8">
        <v>1123.5999999999999</v>
      </c>
    </row>
    <row r="10930" spans="1:29" ht="91" x14ac:dyDescent="0.15">
      <c r="A10930" s="3">
        <f>DATE(2014,10,1)</f>
        <v>41913</v>
      </c>
      <c r="B10930" s="2"/>
      <c r="C10930" s="2" t="s">
        <v>30</v>
      </c>
      <c r="D10930" s="2" t="s">
        <v>31762</v>
      </c>
      <c r="E10930" s="2" t="s">
        <v>31763</v>
      </c>
      <c r="F10930" s="4">
        <v>3663</v>
      </c>
      <c r="G10930" s="2" t="s">
        <v>921</v>
      </c>
      <c r="H10930" s="2" t="s">
        <v>34</v>
      </c>
      <c r="I10930" s="2" t="s">
        <v>31764</v>
      </c>
      <c r="J10930" s="2" t="s">
        <v>28435</v>
      </c>
      <c r="K10930" s="2" t="s">
        <v>53</v>
      </c>
      <c r="L10930" s="2" t="s">
        <v>34</v>
      </c>
      <c r="M10930" s="2"/>
      <c r="N10930" s="2"/>
      <c r="O10930" s="2"/>
      <c r="P10930" s="2" t="s">
        <v>31765</v>
      </c>
      <c r="Q10930" s="2"/>
      <c r="R10930" s="6">
        <v>12</v>
      </c>
      <c r="S10930" s="5">
        <v>-1.3</v>
      </c>
      <c r="T10930" s="7">
        <v>54.395000000000003</v>
      </c>
      <c r="U10930" s="5">
        <v>3.3</v>
      </c>
      <c r="V10930" s="9">
        <v>-2.9700000000000001E-2</v>
      </c>
      <c r="W10930" s="6">
        <v>9.82</v>
      </c>
      <c r="X10930" s="6">
        <v>9.3699999999999992</v>
      </c>
      <c r="Y10930" s="6">
        <v>9.27</v>
      </c>
      <c r="Z10930" s="6">
        <v>11.78</v>
      </c>
      <c r="AA10930" s="6">
        <v>49.98</v>
      </c>
      <c r="AB10930" s="7">
        <v>42.871000000000002</v>
      </c>
      <c r="AC10930" s="2"/>
    </row>
    <row r="10931" spans="1:29" ht="117" x14ac:dyDescent="0.15">
      <c r="A10931" s="3">
        <f>DATE(2014,10,3)</f>
        <v>41915</v>
      </c>
      <c r="B10931" s="3">
        <f>DATE(2015,1,29)</f>
        <v>42033</v>
      </c>
      <c r="C10931" s="2" t="s">
        <v>95</v>
      </c>
      <c r="D10931" s="2" t="s">
        <v>31766</v>
      </c>
      <c r="E10931" s="2" t="s">
        <v>18348</v>
      </c>
      <c r="F10931" s="4">
        <v>1311</v>
      </c>
      <c r="G10931" s="2" t="s">
        <v>148</v>
      </c>
      <c r="H10931" s="2" t="s">
        <v>34</v>
      </c>
      <c r="I10931" s="2" t="s">
        <v>31767</v>
      </c>
      <c r="J10931" s="2" t="s">
        <v>18348</v>
      </c>
      <c r="K10931" s="2" t="s">
        <v>148</v>
      </c>
      <c r="L10931" s="2" t="s">
        <v>5881</v>
      </c>
      <c r="M10931" s="2"/>
      <c r="N10931" s="2"/>
      <c r="O10931" s="2"/>
      <c r="P10931" s="2" t="s">
        <v>31768</v>
      </c>
      <c r="Q10931" s="6">
        <v>100</v>
      </c>
      <c r="R10931" s="2"/>
      <c r="S10931" s="5">
        <v>194.6</v>
      </c>
      <c r="T10931" s="7">
        <v>514.71900000000005</v>
      </c>
      <c r="U10931" s="5">
        <v>96.8</v>
      </c>
      <c r="V10931" s="9">
        <v>6.6097000000000001</v>
      </c>
      <c r="W10931" s="6">
        <v>13.77</v>
      </c>
      <c r="X10931" s="6">
        <v>12.64</v>
      </c>
      <c r="Y10931" s="5">
        <v>14.3</v>
      </c>
      <c r="Z10931" s="6">
        <v>14.32</v>
      </c>
      <c r="AA10931" s="6">
        <v>29.44</v>
      </c>
      <c r="AB10931" s="2" t="s">
        <v>47</v>
      </c>
      <c r="AC10931" s="2"/>
    </row>
    <row r="10932" spans="1:29" ht="39" x14ac:dyDescent="0.15">
      <c r="A10932" s="3">
        <f>DATE(2014,10,3)</f>
        <v>41915</v>
      </c>
      <c r="B10932" s="3">
        <f>DATE(2015,3,3)</f>
        <v>42066</v>
      </c>
      <c r="C10932" s="2" t="s">
        <v>95</v>
      </c>
      <c r="D10932" s="2" t="s">
        <v>31769</v>
      </c>
      <c r="E10932" s="2" t="s">
        <v>21800</v>
      </c>
      <c r="F10932" s="4">
        <v>6021</v>
      </c>
      <c r="G10932" s="2" t="s">
        <v>37</v>
      </c>
      <c r="H10932" s="2" t="s">
        <v>34</v>
      </c>
      <c r="I10932" s="2" t="s">
        <v>28378</v>
      </c>
      <c r="J10932" s="2" t="s">
        <v>36</v>
      </c>
      <c r="K10932" s="2" t="s">
        <v>37</v>
      </c>
      <c r="L10932" s="2" t="s">
        <v>34</v>
      </c>
      <c r="M10932" s="7">
        <v>20.201000000000001</v>
      </c>
      <c r="N10932" s="6">
        <v>22.55</v>
      </c>
      <c r="O10932" s="6">
        <v>22.55</v>
      </c>
      <c r="P10932" s="2" t="s">
        <v>31770</v>
      </c>
      <c r="Q10932" s="6">
        <v>100</v>
      </c>
      <c r="R10932" s="2"/>
      <c r="S10932" s="5">
        <v>-0.6</v>
      </c>
      <c r="T10932" s="2"/>
      <c r="U10932" s="2"/>
      <c r="V10932" s="2"/>
      <c r="W10932" s="5">
        <v>2.7</v>
      </c>
      <c r="X10932" s="5">
        <v>2.7</v>
      </c>
      <c r="Y10932" s="6">
        <v>3.76</v>
      </c>
      <c r="Z10932" s="6">
        <v>4.75</v>
      </c>
      <c r="AA10932" s="6">
        <v>0.53</v>
      </c>
      <c r="AB10932" s="2" t="s">
        <v>47</v>
      </c>
      <c r="AC10932" s="2"/>
    </row>
    <row r="10933" spans="1:29" ht="208" x14ac:dyDescent="0.15">
      <c r="A10933" s="3">
        <f>DATE(2014,10,5)</f>
        <v>41917</v>
      </c>
      <c r="B10933" s="3">
        <f>DATE(2015,3,17)</f>
        <v>42080</v>
      </c>
      <c r="C10933" s="2" t="s">
        <v>95</v>
      </c>
      <c r="D10933" s="2" t="s">
        <v>31771</v>
      </c>
      <c r="E10933" s="2" t="s">
        <v>16957</v>
      </c>
      <c r="F10933" s="4">
        <v>3841</v>
      </c>
      <c r="G10933" s="2" t="s">
        <v>226</v>
      </c>
      <c r="H10933" s="2" t="s">
        <v>34</v>
      </c>
      <c r="I10933" s="2" t="s">
        <v>13019</v>
      </c>
      <c r="J10933" s="2" t="s">
        <v>13020</v>
      </c>
      <c r="K10933" s="2" t="s">
        <v>226</v>
      </c>
      <c r="L10933" s="2" t="s">
        <v>34</v>
      </c>
      <c r="M10933" s="12">
        <v>22295.173999999999</v>
      </c>
      <c r="N10933" s="6">
        <v>124.98</v>
      </c>
      <c r="O10933" s="6">
        <v>124.98</v>
      </c>
      <c r="P10933" s="2" t="s">
        <v>31772</v>
      </c>
      <c r="Q10933" s="6">
        <v>100</v>
      </c>
      <c r="R10933" s="6">
        <v>58</v>
      </c>
      <c r="S10933" s="5">
        <v>415</v>
      </c>
      <c r="T10933" s="5">
        <v>876</v>
      </c>
      <c r="U10933" s="5">
        <v>26.2</v>
      </c>
      <c r="V10933" s="9">
        <v>1.9722</v>
      </c>
      <c r="W10933" s="6">
        <v>45.74</v>
      </c>
      <c r="X10933" s="6">
        <v>46.17</v>
      </c>
      <c r="Y10933" s="6">
        <v>56.75</v>
      </c>
      <c r="Z10933" s="6">
        <v>56.75</v>
      </c>
      <c r="AA10933" s="6">
        <v>202.86</v>
      </c>
      <c r="AB10933" s="7">
        <v>17.86</v>
      </c>
      <c r="AC10933" s="8">
        <v>2768</v>
      </c>
    </row>
    <row r="10934" spans="1:29" ht="143" x14ac:dyDescent="0.15">
      <c r="A10934" s="3">
        <f>DATE(2014,10,6)</f>
        <v>41918</v>
      </c>
      <c r="B10934" s="3">
        <f>DATE(2014,11,17)</f>
        <v>41960</v>
      </c>
      <c r="C10934" s="2" t="s">
        <v>95</v>
      </c>
      <c r="D10934" s="2" t="s">
        <v>31773</v>
      </c>
      <c r="E10934" s="2" t="s">
        <v>129</v>
      </c>
      <c r="F10934" s="4">
        <v>2834</v>
      </c>
      <c r="G10934" s="2" t="s">
        <v>130</v>
      </c>
      <c r="H10934" s="2" t="s">
        <v>34</v>
      </c>
      <c r="I10934" s="2" t="s">
        <v>31261</v>
      </c>
      <c r="J10934" s="2" t="s">
        <v>13055</v>
      </c>
      <c r="K10934" s="2" t="s">
        <v>130</v>
      </c>
      <c r="L10934" s="2" t="s">
        <v>34</v>
      </c>
      <c r="M10934" s="12">
        <v>61564.817999999999</v>
      </c>
      <c r="N10934" s="6">
        <v>243.95</v>
      </c>
      <c r="O10934" s="6">
        <v>243.39</v>
      </c>
      <c r="P10934" s="2" t="s">
        <v>31774</v>
      </c>
      <c r="Q10934" s="6">
        <v>90.99</v>
      </c>
      <c r="R10934" s="6">
        <v>28</v>
      </c>
      <c r="S10934" s="5">
        <v>-73.599999999999994</v>
      </c>
      <c r="T10934" s="7">
        <v>-63.445999999999998</v>
      </c>
      <c r="U10934" s="5">
        <v>-0.6</v>
      </c>
      <c r="V10934" s="9">
        <v>-2.7509000000000001</v>
      </c>
      <c r="W10934" s="6">
        <v>13.04</v>
      </c>
      <c r="X10934" s="6">
        <v>13.88</v>
      </c>
      <c r="Y10934" s="6">
        <v>24.24</v>
      </c>
      <c r="Z10934" s="6">
        <v>23.75</v>
      </c>
      <c r="AA10934" s="6">
        <v>26.79</v>
      </c>
      <c r="AB10934" s="2" t="s">
        <v>86</v>
      </c>
      <c r="AC10934" s="5">
        <v>340.4</v>
      </c>
    </row>
    <row r="10935" spans="1:29" ht="182" x14ac:dyDescent="0.15">
      <c r="A10935" s="3">
        <f>DATE(2014,10,9)</f>
        <v>41921</v>
      </c>
      <c r="B10935" s="3">
        <f>DATE(2015,2,11)</f>
        <v>42046</v>
      </c>
      <c r="C10935" s="2" t="s">
        <v>95</v>
      </c>
      <c r="D10935" s="2" t="s">
        <v>31775</v>
      </c>
      <c r="E10935" s="2" t="s">
        <v>29115</v>
      </c>
      <c r="F10935" s="4">
        <v>1382</v>
      </c>
      <c r="G10935" s="2" t="s">
        <v>148</v>
      </c>
      <c r="H10935" s="2" t="s">
        <v>34</v>
      </c>
      <c r="I10935" s="2" t="s">
        <v>29114</v>
      </c>
      <c r="J10935" s="2" t="s">
        <v>29115</v>
      </c>
      <c r="K10935" s="2" t="s">
        <v>148</v>
      </c>
      <c r="L10935" s="2" t="s">
        <v>34</v>
      </c>
      <c r="M10935" s="7">
        <v>28.895</v>
      </c>
      <c r="N10935" s="7">
        <v>3.4049999999999998</v>
      </c>
      <c r="O10935" s="6">
        <v>3.51</v>
      </c>
      <c r="P10935" s="2" t="s">
        <v>31776</v>
      </c>
      <c r="Q10935" s="6">
        <v>100</v>
      </c>
      <c r="R10935" s="6">
        <v>1.97</v>
      </c>
      <c r="S10935" s="5">
        <v>-12.6</v>
      </c>
      <c r="T10935" s="7">
        <v>22.263999999999999</v>
      </c>
      <c r="U10935" s="5">
        <v>24.7</v>
      </c>
      <c r="V10935" s="9">
        <v>-1.5854999999999999</v>
      </c>
      <c r="W10935" s="6">
        <v>18.579999999999998</v>
      </c>
      <c r="X10935" s="6">
        <v>17.57</v>
      </c>
      <c r="Y10935" s="6">
        <v>17.739999999999998</v>
      </c>
      <c r="Z10935" s="6">
        <v>17.73</v>
      </c>
      <c r="AA10935" s="6">
        <v>8.07</v>
      </c>
      <c r="AB10935" s="2" t="s">
        <v>86</v>
      </c>
      <c r="AC10935" s="6">
        <v>25.06</v>
      </c>
    </row>
    <row r="10936" spans="1:29" ht="52" x14ac:dyDescent="0.15">
      <c r="A10936" s="3">
        <f>DATE(2014,10,9)</f>
        <v>41921</v>
      </c>
      <c r="B10936" s="2"/>
      <c r="C10936" s="2" t="s">
        <v>87</v>
      </c>
      <c r="D10936" s="2" t="s">
        <v>13848</v>
      </c>
      <c r="E10936" s="2" t="s">
        <v>10079</v>
      </c>
      <c r="F10936" s="4">
        <v>4923</v>
      </c>
      <c r="G10936" s="2" t="s">
        <v>439</v>
      </c>
      <c r="H10936" s="2" t="s">
        <v>34</v>
      </c>
      <c r="I10936" s="2" t="s">
        <v>143</v>
      </c>
      <c r="J10936" s="2" t="s">
        <v>144</v>
      </c>
      <c r="K10936" s="2" t="s">
        <v>53</v>
      </c>
      <c r="L10936" s="2" t="s">
        <v>139</v>
      </c>
      <c r="M10936" s="2"/>
      <c r="N10936" s="2"/>
      <c r="O10936" s="2"/>
      <c r="P10936" s="2" t="s">
        <v>31777</v>
      </c>
      <c r="Q10936" s="2"/>
      <c r="R10936" s="2"/>
      <c r="S10936" s="5">
        <v>149</v>
      </c>
      <c r="T10936" s="7">
        <v>520.048</v>
      </c>
      <c r="U10936" s="5">
        <v>29.7</v>
      </c>
      <c r="V10936" s="6">
        <v>3.2</v>
      </c>
      <c r="W10936" s="6">
        <v>48.45</v>
      </c>
      <c r="X10936" s="6">
        <v>50.67</v>
      </c>
      <c r="Y10936" s="6">
        <v>50.69</v>
      </c>
      <c r="Z10936" s="6">
        <v>51.41</v>
      </c>
      <c r="AA10936" s="6">
        <v>46.51</v>
      </c>
      <c r="AB10936" s="2" t="s">
        <v>47</v>
      </c>
      <c r="AC10936" s="2"/>
    </row>
    <row r="10937" spans="1:29" ht="52" x14ac:dyDescent="0.15">
      <c r="A10937" s="3">
        <f>DATE(2014,10,12)</f>
        <v>41924</v>
      </c>
      <c r="B10937" s="2"/>
      <c r="C10937" s="2" t="s">
        <v>39</v>
      </c>
      <c r="D10937" s="2" t="s">
        <v>8699</v>
      </c>
      <c r="E10937" s="2" t="s">
        <v>8700</v>
      </c>
      <c r="F10937" s="4">
        <v>4011</v>
      </c>
      <c r="G10937" s="2" t="s">
        <v>173</v>
      </c>
      <c r="H10937" s="2" t="s">
        <v>34</v>
      </c>
      <c r="I10937" s="2" t="s">
        <v>31778</v>
      </c>
      <c r="J10937" s="2" t="s">
        <v>31779</v>
      </c>
      <c r="K10937" s="2" t="s">
        <v>173</v>
      </c>
      <c r="L10937" s="2" t="s">
        <v>902</v>
      </c>
      <c r="M10937" s="12">
        <v>34463.421000000002</v>
      </c>
      <c r="N10937" s="7">
        <v>189.583</v>
      </c>
      <c r="O10937" s="7">
        <v>189.583</v>
      </c>
      <c r="P10937" s="2" t="s">
        <v>31780</v>
      </c>
      <c r="Q10937" s="2"/>
      <c r="R10937" s="2"/>
      <c r="S10937" s="8">
        <v>1842</v>
      </c>
      <c r="T10937" s="8">
        <v>4635</v>
      </c>
      <c r="U10937" s="5">
        <v>11.2</v>
      </c>
      <c r="V10937" s="9">
        <v>1.8314999999999999</v>
      </c>
      <c r="W10937" s="6">
        <v>31.93</v>
      </c>
      <c r="X10937" s="6">
        <v>29.94</v>
      </c>
      <c r="Y10937" s="5">
        <v>31.7</v>
      </c>
      <c r="Z10937" s="5">
        <v>31.7</v>
      </c>
      <c r="AA10937" s="6">
        <v>999.57</v>
      </c>
      <c r="AB10937" s="2" t="s">
        <v>47</v>
      </c>
      <c r="AC10937" s="6">
        <v>356.35</v>
      </c>
    </row>
    <row r="10938" spans="1:29" ht="221" x14ac:dyDescent="0.15">
      <c r="A10938" s="3">
        <f>DATE(2014,10,13)</f>
        <v>41925</v>
      </c>
      <c r="B10938" s="3">
        <f>DATE(2015,2,27)</f>
        <v>42062</v>
      </c>
      <c r="C10938" s="2" t="s">
        <v>95</v>
      </c>
      <c r="D10938" s="2" t="s">
        <v>31781</v>
      </c>
      <c r="E10938" s="2" t="s">
        <v>27469</v>
      </c>
      <c r="F10938" s="4">
        <v>4922</v>
      </c>
      <c r="G10938" s="2" t="s">
        <v>439</v>
      </c>
      <c r="H10938" s="2" t="s">
        <v>34</v>
      </c>
      <c r="I10938" s="2" t="s">
        <v>31462</v>
      </c>
      <c r="J10938" s="2" t="s">
        <v>31463</v>
      </c>
      <c r="K10938" s="2" t="s">
        <v>439</v>
      </c>
      <c r="L10938" s="2" t="s">
        <v>34</v>
      </c>
      <c r="M10938" s="12">
        <v>5842.7389999999996</v>
      </c>
      <c r="N10938" s="6">
        <v>109.01</v>
      </c>
      <c r="O10938" s="6">
        <v>111.48</v>
      </c>
      <c r="P10938" s="2" t="s">
        <v>31782</v>
      </c>
      <c r="Q10938" s="6">
        <v>100</v>
      </c>
      <c r="R10938" s="2"/>
      <c r="S10938" s="5">
        <v>-60</v>
      </c>
      <c r="T10938" s="7">
        <v>559.03300000000002</v>
      </c>
      <c r="U10938" s="5">
        <v>6.6</v>
      </c>
      <c r="V10938" s="9">
        <v>-1.1634</v>
      </c>
      <c r="W10938" s="5">
        <v>41.8</v>
      </c>
      <c r="X10938" s="6">
        <v>32.409999999999997</v>
      </c>
      <c r="Y10938" s="6">
        <v>37.25</v>
      </c>
      <c r="Z10938" s="5">
        <v>35.299999999999997</v>
      </c>
      <c r="AA10938" s="6">
        <v>51.91</v>
      </c>
      <c r="AB10938" s="7">
        <v>36.396000000000001</v>
      </c>
      <c r="AC10938" s="5">
        <v>78.8</v>
      </c>
    </row>
    <row r="10939" spans="1:29" ht="221" x14ac:dyDescent="0.15">
      <c r="A10939" s="3">
        <f>DATE(2014,10,13)</f>
        <v>41925</v>
      </c>
      <c r="B10939" s="3">
        <f>DATE(2015,2,27)</f>
        <v>42062</v>
      </c>
      <c r="C10939" s="2" t="s">
        <v>95</v>
      </c>
      <c r="D10939" s="2" t="s">
        <v>31783</v>
      </c>
      <c r="E10939" s="2" t="s">
        <v>4767</v>
      </c>
      <c r="F10939" s="4">
        <v>4922</v>
      </c>
      <c r="G10939" s="2" t="s">
        <v>439</v>
      </c>
      <c r="H10939" s="2" t="s">
        <v>34</v>
      </c>
      <c r="I10939" s="2" t="s">
        <v>26225</v>
      </c>
      <c r="J10939" s="2" t="s">
        <v>26226</v>
      </c>
      <c r="K10939" s="2" t="s">
        <v>439</v>
      </c>
      <c r="L10939" s="2" t="s">
        <v>34</v>
      </c>
      <c r="M10939" s="12">
        <v>8092.8289999999997</v>
      </c>
      <c r="N10939" s="6">
        <v>59.23</v>
      </c>
      <c r="O10939" s="6">
        <v>59.82</v>
      </c>
      <c r="P10939" s="2" t="s">
        <v>31784</v>
      </c>
      <c r="Q10939" s="6">
        <v>100</v>
      </c>
      <c r="R10939" s="6">
        <v>38.659999999999997</v>
      </c>
      <c r="S10939" s="5">
        <v>28.4</v>
      </c>
      <c r="T10939" s="6">
        <v>388.33</v>
      </c>
      <c r="U10939" s="5">
        <v>20.2</v>
      </c>
      <c r="V10939" s="9">
        <v>-0.80079999999999996</v>
      </c>
      <c r="W10939" s="6">
        <v>35.869999999999997</v>
      </c>
      <c r="X10939" s="6">
        <v>33.619999999999997</v>
      </c>
      <c r="Y10939" s="6">
        <v>34.049999999999997</v>
      </c>
      <c r="Z10939" s="6">
        <v>33.770000000000003</v>
      </c>
      <c r="AA10939" s="6">
        <v>82.19</v>
      </c>
      <c r="AB10939" s="7">
        <v>28.364999999999998</v>
      </c>
      <c r="AC10939" s="5">
        <v>77.400000000000006</v>
      </c>
    </row>
    <row r="10940" spans="1:29" ht="52" x14ac:dyDescent="0.15">
      <c r="A10940" s="3">
        <f>DATE(2014,10,14)</f>
        <v>41926</v>
      </c>
      <c r="B10940" s="2"/>
      <c r="C10940" s="2" t="s">
        <v>189</v>
      </c>
      <c r="D10940" s="2" t="s">
        <v>31785</v>
      </c>
      <c r="E10940" s="2" t="s">
        <v>31786</v>
      </c>
      <c r="F10940" s="4">
        <v>7991</v>
      </c>
      <c r="G10940" s="2" t="s">
        <v>364</v>
      </c>
      <c r="H10940" s="2" t="s">
        <v>34</v>
      </c>
      <c r="I10940" s="2" t="s">
        <v>143</v>
      </c>
      <c r="J10940" s="2" t="s">
        <v>144</v>
      </c>
      <c r="K10940" s="2" t="s">
        <v>53</v>
      </c>
      <c r="L10940" s="2" t="s">
        <v>139</v>
      </c>
      <c r="M10940" s="2"/>
      <c r="N10940" s="2"/>
      <c r="O10940" s="2"/>
      <c r="P10940" s="2" t="s">
        <v>31787</v>
      </c>
      <c r="Q10940" s="2"/>
      <c r="R10940" s="2"/>
      <c r="S10940" s="5">
        <v>15</v>
      </c>
      <c r="T10940" s="7">
        <v>29.501999999999999</v>
      </c>
      <c r="U10940" s="5">
        <v>1.9</v>
      </c>
      <c r="V10940" s="9">
        <v>0.52190000000000003</v>
      </c>
      <c r="W10940" s="6">
        <v>15.31</v>
      </c>
      <c r="X10940" s="6">
        <v>15.16</v>
      </c>
      <c r="Y10940" s="6">
        <v>15.24</v>
      </c>
      <c r="Z10940" s="6">
        <v>15.54</v>
      </c>
      <c r="AA10940" s="6">
        <v>28.78</v>
      </c>
      <c r="AB10940" s="2" t="s">
        <v>47</v>
      </c>
      <c r="AC10940" s="2"/>
    </row>
    <row r="10941" spans="1:29" ht="65" x14ac:dyDescent="0.15">
      <c r="A10941" s="3">
        <f>DATE(2014,10,15)</f>
        <v>41927</v>
      </c>
      <c r="B10941" s="3">
        <f>DATE(2015,2,3)</f>
        <v>42038</v>
      </c>
      <c r="C10941" s="2" t="s">
        <v>95</v>
      </c>
      <c r="D10941" s="2" t="s">
        <v>31788</v>
      </c>
      <c r="E10941" s="2" t="s">
        <v>29798</v>
      </c>
      <c r="F10941" s="4">
        <v>6021</v>
      </c>
      <c r="G10941" s="2" t="s">
        <v>37</v>
      </c>
      <c r="H10941" s="2" t="s">
        <v>34</v>
      </c>
      <c r="I10941" s="2" t="s">
        <v>31789</v>
      </c>
      <c r="J10941" s="2" t="s">
        <v>1181</v>
      </c>
      <c r="K10941" s="2" t="s">
        <v>37</v>
      </c>
      <c r="L10941" s="2" t="s">
        <v>34</v>
      </c>
      <c r="M10941" s="2"/>
      <c r="N10941" s="2"/>
      <c r="O10941" s="2"/>
      <c r="P10941" s="2" t="s">
        <v>31790</v>
      </c>
      <c r="Q10941" s="6">
        <v>100</v>
      </c>
      <c r="R10941" s="6">
        <v>22.05</v>
      </c>
      <c r="S10941" s="2"/>
      <c r="T10941" s="2"/>
      <c r="U10941" s="2"/>
      <c r="V10941" s="2"/>
      <c r="W10941" s="5">
        <v>17.5</v>
      </c>
      <c r="X10941" s="5">
        <v>17.5</v>
      </c>
      <c r="Y10941" s="5">
        <v>21.2</v>
      </c>
      <c r="Z10941" s="6">
        <v>21.27</v>
      </c>
      <c r="AA10941" s="6">
        <v>2.59</v>
      </c>
      <c r="AB10941" s="2" t="s">
        <v>47</v>
      </c>
      <c r="AC10941" s="10">
        <v>2395.12</v>
      </c>
    </row>
    <row r="10942" spans="1:29" ht="78" x14ac:dyDescent="0.15">
      <c r="A10942" s="3">
        <f>DATE(2014,10,15)</f>
        <v>41927</v>
      </c>
      <c r="B10942" s="3">
        <f>DATE(2015,3,11)</f>
        <v>42074</v>
      </c>
      <c r="C10942" s="2" t="s">
        <v>95</v>
      </c>
      <c r="D10942" s="2" t="s">
        <v>31791</v>
      </c>
      <c r="E10942" s="2" t="s">
        <v>31792</v>
      </c>
      <c r="F10942" s="4">
        <v>2087</v>
      </c>
      <c r="G10942" s="2" t="s">
        <v>577</v>
      </c>
      <c r="H10942" s="2" t="s">
        <v>34</v>
      </c>
      <c r="I10942" s="2" t="s">
        <v>31793</v>
      </c>
      <c r="J10942" s="2" t="s">
        <v>31794</v>
      </c>
      <c r="K10942" s="2" t="s">
        <v>577</v>
      </c>
      <c r="L10942" s="2" t="s">
        <v>34</v>
      </c>
      <c r="M10942" s="10">
        <v>5930.15</v>
      </c>
      <c r="N10942" s="6">
        <v>71.62</v>
      </c>
      <c r="O10942" s="6">
        <v>71.67</v>
      </c>
      <c r="P10942" s="2" t="s">
        <v>31795</v>
      </c>
      <c r="Q10942" s="6">
        <v>100</v>
      </c>
      <c r="R10942" s="6">
        <v>19</v>
      </c>
      <c r="S10942" s="5">
        <v>7.7</v>
      </c>
      <c r="T10942" s="7">
        <v>30.420999999999999</v>
      </c>
      <c r="U10942" s="5">
        <v>7.2</v>
      </c>
      <c r="V10942" s="9">
        <v>0.59960000000000002</v>
      </c>
      <c r="W10942" s="6">
        <v>11.79</v>
      </c>
      <c r="X10942" s="6">
        <v>10.99</v>
      </c>
      <c r="Y10942" s="6">
        <v>18.59</v>
      </c>
      <c r="Z10942" s="6">
        <v>18.64</v>
      </c>
      <c r="AA10942" s="6">
        <v>12.71</v>
      </c>
      <c r="AB10942" s="7">
        <v>17.884</v>
      </c>
      <c r="AC10942" s="5">
        <v>568</v>
      </c>
    </row>
    <row r="10943" spans="1:29" ht="39" x14ac:dyDescent="0.15">
      <c r="A10943" s="3">
        <f>DATE(2014,10,16)</f>
        <v>41928</v>
      </c>
      <c r="B10943" s="3">
        <f>DATE(2015,5,8)</f>
        <v>42132</v>
      </c>
      <c r="C10943" s="2" t="s">
        <v>95</v>
      </c>
      <c r="D10943" s="2" t="s">
        <v>31796</v>
      </c>
      <c r="E10943" s="2" t="s">
        <v>159</v>
      </c>
      <c r="F10943" s="4">
        <v>6021</v>
      </c>
      <c r="G10943" s="2" t="s">
        <v>37</v>
      </c>
      <c r="H10943" s="2" t="s">
        <v>34</v>
      </c>
      <c r="I10943" s="2" t="s">
        <v>31797</v>
      </c>
      <c r="J10943" s="2" t="s">
        <v>36</v>
      </c>
      <c r="K10943" s="2" t="s">
        <v>37</v>
      </c>
      <c r="L10943" s="2" t="s">
        <v>34</v>
      </c>
      <c r="M10943" s="2"/>
      <c r="N10943" s="2"/>
      <c r="O10943" s="2"/>
      <c r="P10943" s="2" t="s">
        <v>31798</v>
      </c>
      <c r="Q10943" s="6">
        <v>100</v>
      </c>
      <c r="R10943" s="2"/>
      <c r="S10943" s="2"/>
      <c r="T10943" s="2"/>
      <c r="U10943" s="2"/>
      <c r="V10943" s="2"/>
      <c r="W10943" s="5">
        <v>6.5</v>
      </c>
      <c r="X10943" s="5">
        <v>6.5</v>
      </c>
      <c r="Y10943" s="5">
        <v>6.5</v>
      </c>
      <c r="Z10943" s="5">
        <v>6.5</v>
      </c>
      <c r="AA10943" s="6">
        <v>2.68</v>
      </c>
      <c r="AB10943" s="2" t="s">
        <v>47</v>
      </c>
      <c r="AC10943" s="2"/>
    </row>
    <row r="10944" spans="1:29" ht="65" x14ac:dyDescent="0.15">
      <c r="A10944" s="3">
        <f>DATE(2014,10,17)</f>
        <v>41929</v>
      </c>
      <c r="B10944" s="2"/>
      <c r="C10944" s="2" t="s">
        <v>87</v>
      </c>
      <c r="D10944" s="2" t="s">
        <v>31799</v>
      </c>
      <c r="E10944" s="2" t="s">
        <v>31800</v>
      </c>
      <c r="F10944" s="4">
        <v>2023</v>
      </c>
      <c r="G10944" s="2" t="s">
        <v>577</v>
      </c>
      <c r="H10944" s="2" t="s">
        <v>34</v>
      </c>
      <c r="I10944" s="2" t="s">
        <v>28360</v>
      </c>
      <c r="J10944" s="2" t="s">
        <v>28361</v>
      </c>
      <c r="K10944" s="2" t="s">
        <v>577</v>
      </c>
      <c r="L10944" s="2" t="s">
        <v>133</v>
      </c>
      <c r="M10944" s="12">
        <v>44290.313999999998</v>
      </c>
      <c r="N10944" s="7">
        <v>64.968999999999994</v>
      </c>
      <c r="O10944" s="7">
        <v>64.137</v>
      </c>
      <c r="P10944" s="2" t="s">
        <v>31801</v>
      </c>
      <c r="Q10944" s="2"/>
      <c r="R10944" s="2"/>
      <c r="S10944" s="5">
        <v>713.4</v>
      </c>
      <c r="T10944" s="8">
        <v>1066.8</v>
      </c>
      <c r="U10944" s="5">
        <v>2.5</v>
      </c>
      <c r="V10944" s="9">
        <v>3.5232999999999999</v>
      </c>
      <c r="W10944" s="6">
        <v>94.14</v>
      </c>
      <c r="X10944" s="6">
        <v>91.21</v>
      </c>
      <c r="Y10944" s="6">
        <v>100.23</v>
      </c>
      <c r="Z10944" s="6">
        <v>97.02</v>
      </c>
      <c r="AA10944" s="6">
        <v>202.17</v>
      </c>
      <c r="AB10944" s="2" t="s">
        <v>47</v>
      </c>
      <c r="AC10944" s="10">
        <v>5266.7</v>
      </c>
    </row>
    <row r="10945" spans="1:29" ht="195" x14ac:dyDescent="0.15">
      <c r="A10945" s="3">
        <f>DATE(2014,10,20)</f>
        <v>41932</v>
      </c>
      <c r="B10945" s="3">
        <f>DATE(2016,4,13)</f>
        <v>42473</v>
      </c>
      <c r="C10945" s="2" t="s">
        <v>95</v>
      </c>
      <c r="D10945" s="2" t="s">
        <v>31802</v>
      </c>
      <c r="E10945" s="2" t="s">
        <v>31803</v>
      </c>
      <c r="F10945" s="4">
        <v>4911</v>
      </c>
      <c r="G10945" s="2" t="s">
        <v>439</v>
      </c>
      <c r="H10945" s="2" t="s">
        <v>34</v>
      </c>
      <c r="I10945" s="2" t="s">
        <v>51</v>
      </c>
      <c r="J10945" s="2" t="s">
        <v>52</v>
      </c>
      <c r="K10945" s="2" t="s">
        <v>53</v>
      </c>
      <c r="L10945" s="2" t="s">
        <v>885</v>
      </c>
      <c r="M10945" s="2"/>
      <c r="N10945" s="2"/>
      <c r="O10945" s="2"/>
      <c r="P10945" s="2" t="s">
        <v>31804</v>
      </c>
      <c r="Q10945" s="6">
        <v>100</v>
      </c>
      <c r="R10945" s="6">
        <v>55.37</v>
      </c>
      <c r="S10945" s="5">
        <v>158.5</v>
      </c>
      <c r="T10945" s="7">
        <v>454.22500000000002</v>
      </c>
      <c r="U10945" s="5">
        <v>27.1</v>
      </c>
      <c r="V10945" s="9">
        <v>2.6135000000000002</v>
      </c>
      <c r="W10945" s="6">
        <v>51.23</v>
      </c>
      <c r="X10945" s="6">
        <v>51.87</v>
      </c>
      <c r="Y10945" s="6">
        <v>52.83</v>
      </c>
      <c r="Z10945" s="6">
        <v>55.98</v>
      </c>
      <c r="AA10945" s="6">
        <v>60.38</v>
      </c>
      <c r="AB10945" s="7">
        <v>16.123000000000001</v>
      </c>
      <c r="AC10945" s="2"/>
    </row>
    <row r="10946" spans="1:29" ht="143" x14ac:dyDescent="0.15">
      <c r="A10946" s="3">
        <f>DATE(2014,10,20)</f>
        <v>41932</v>
      </c>
      <c r="B10946" s="3">
        <f>DATE(2014,12,17)</f>
        <v>41990</v>
      </c>
      <c r="C10946" s="2" t="s">
        <v>95</v>
      </c>
      <c r="D10946" s="2" t="s">
        <v>27124</v>
      </c>
      <c r="E10946" s="2" t="s">
        <v>27125</v>
      </c>
      <c r="F10946" s="2" t="s">
        <v>14300</v>
      </c>
      <c r="G10946" s="2" t="s">
        <v>439</v>
      </c>
      <c r="H10946" s="2" t="s">
        <v>34</v>
      </c>
      <c r="I10946" s="2" t="s">
        <v>51</v>
      </c>
      <c r="J10946" s="2" t="s">
        <v>52</v>
      </c>
      <c r="K10946" s="2" t="s">
        <v>53</v>
      </c>
      <c r="L10946" s="2" t="s">
        <v>34</v>
      </c>
      <c r="M10946" s="2"/>
      <c r="N10946" s="2"/>
      <c r="O10946" s="2"/>
      <c r="P10946" s="2" t="s">
        <v>31805</v>
      </c>
      <c r="Q10946" s="6">
        <v>100</v>
      </c>
      <c r="R10946" s="6">
        <v>5.4</v>
      </c>
      <c r="S10946" s="5">
        <v>-11.6</v>
      </c>
      <c r="T10946" s="7">
        <v>-4.8959999999999999</v>
      </c>
      <c r="U10946" s="5">
        <v>4.5999999999999996</v>
      </c>
      <c r="V10946" s="9">
        <v>-0.25969999999999999</v>
      </c>
      <c r="W10946" s="6">
        <v>5.07</v>
      </c>
      <c r="X10946" s="7">
        <v>5.0439999999999996</v>
      </c>
      <c r="Y10946" s="7">
        <v>5.4749999999999996</v>
      </c>
      <c r="Z10946" s="7">
        <v>5.2779999999999996</v>
      </c>
      <c r="AA10946" s="6">
        <v>44.71</v>
      </c>
      <c r="AB10946" s="2" t="s">
        <v>47</v>
      </c>
      <c r="AC10946" s="2"/>
    </row>
    <row r="10947" spans="1:29" ht="104" x14ac:dyDescent="0.15">
      <c r="A10947" s="3">
        <f>DATE(2014,10,20)</f>
        <v>41932</v>
      </c>
      <c r="B10947" s="2"/>
      <c r="C10947" s="2" t="s">
        <v>30</v>
      </c>
      <c r="D10947" s="2" t="s">
        <v>31806</v>
      </c>
      <c r="E10947" s="2" t="s">
        <v>31807</v>
      </c>
      <c r="F10947" s="4">
        <v>3661</v>
      </c>
      <c r="G10947" s="2" t="s">
        <v>921</v>
      </c>
      <c r="H10947" s="2" t="s">
        <v>34</v>
      </c>
      <c r="I10947" s="2" t="s">
        <v>25490</v>
      </c>
      <c r="J10947" s="2" t="s">
        <v>31808</v>
      </c>
      <c r="K10947" s="2" t="s">
        <v>921</v>
      </c>
      <c r="L10947" s="2" t="s">
        <v>902</v>
      </c>
      <c r="M10947" s="7">
        <v>965.13199999999995</v>
      </c>
      <c r="N10947" s="7">
        <v>8.1319999999999997</v>
      </c>
      <c r="O10947" s="7">
        <v>8.4469999999999992</v>
      </c>
      <c r="P10947" s="2" t="s">
        <v>31809</v>
      </c>
      <c r="Q10947" s="2"/>
      <c r="R10947" s="6">
        <v>8.5</v>
      </c>
      <c r="S10947" s="5">
        <v>0.4</v>
      </c>
      <c r="T10947" s="7">
        <v>21.294</v>
      </c>
      <c r="U10947" s="5">
        <v>2.8</v>
      </c>
      <c r="V10947" s="9">
        <v>6.1000000000000004E-3</v>
      </c>
      <c r="W10947" s="6">
        <v>6.03</v>
      </c>
      <c r="X10947" s="6">
        <v>6.51</v>
      </c>
      <c r="Y10947" s="6">
        <v>7.62</v>
      </c>
      <c r="Z10947" s="6">
        <v>7.56</v>
      </c>
      <c r="AA10947" s="6">
        <v>63.07</v>
      </c>
      <c r="AB10947" s="7">
        <v>210.66399999999999</v>
      </c>
      <c r="AC10947" s="6">
        <v>120.63</v>
      </c>
    </row>
    <row r="10948" spans="1:29" ht="65" x14ac:dyDescent="0.15">
      <c r="A10948" s="3">
        <f>DATE(2014,10,20)</f>
        <v>41932</v>
      </c>
      <c r="B10948" s="2"/>
      <c r="C10948" s="2" t="s">
        <v>87</v>
      </c>
      <c r="D10948" s="2" t="s">
        <v>31810</v>
      </c>
      <c r="E10948" s="2" t="s">
        <v>31811</v>
      </c>
      <c r="F10948" s="4">
        <v>5499</v>
      </c>
      <c r="G10948" s="2" t="s">
        <v>1461</v>
      </c>
      <c r="H10948" s="2" t="s">
        <v>34</v>
      </c>
      <c r="I10948" s="2" t="s">
        <v>143</v>
      </c>
      <c r="J10948" s="2" t="s">
        <v>144</v>
      </c>
      <c r="K10948" s="2" t="s">
        <v>53</v>
      </c>
      <c r="L10948" s="2" t="s">
        <v>139</v>
      </c>
      <c r="M10948" s="2"/>
      <c r="N10948" s="2"/>
      <c r="O10948" s="2"/>
      <c r="P10948" s="2" t="s">
        <v>31812</v>
      </c>
      <c r="Q10948" s="2"/>
      <c r="R10948" s="2"/>
      <c r="S10948" s="5">
        <v>60.9</v>
      </c>
      <c r="T10948" s="7">
        <v>141.86099999999999</v>
      </c>
      <c r="U10948" s="5">
        <v>19</v>
      </c>
      <c r="V10948" s="9">
        <v>1.9782999999999999</v>
      </c>
      <c r="W10948" s="6">
        <v>42.17</v>
      </c>
      <c r="X10948" s="5">
        <v>42.4</v>
      </c>
      <c r="Y10948" s="6">
        <v>45.43</v>
      </c>
      <c r="Z10948" s="6">
        <v>44.98</v>
      </c>
      <c r="AA10948" s="6">
        <v>30.89</v>
      </c>
      <c r="AB10948" s="2" t="s">
        <v>47</v>
      </c>
      <c r="AC10948" s="2"/>
    </row>
    <row r="10949" spans="1:29" ht="143" x14ac:dyDescent="0.15">
      <c r="A10949" s="3">
        <f>DATE(2014,10,22)</f>
        <v>41934</v>
      </c>
      <c r="B10949" s="3">
        <f>DATE(2015,1,30)</f>
        <v>42034</v>
      </c>
      <c r="C10949" s="2" t="s">
        <v>95</v>
      </c>
      <c r="D10949" s="2" t="s">
        <v>2115</v>
      </c>
      <c r="E10949" s="2" t="s">
        <v>2116</v>
      </c>
      <c r="F10949" s="4">
        <v>3559</v>
      </c>
      <c r="G10949" s="2" t="s">
        <v>300</v>
      </c>
      <c r="H10949" s="2" t="s">
        <v>34</v>
      </c>
      <c r="I10949" s="2" t="s">
        <v>31813</v>
      </c>
      <c r="J10949" s="2" t="s">
        <v>31814</v>
      </c>
      <c r="K10949" s="2" t="s">
        <v>300</v>
      </c>
      <c r="L10949" s="2" t="s">
        <v>34</v>
      </c>
      <c r="M10949" s="7">
        <v>106.523</v>
      </c>
      <c r="N10949" s="6">
        <v>10.07</v>
      </c>
      <c r="O10949" s="6">
        <v>10.14</v>
      </c>
      <c r="P10949" s="2" t="s">
        <v>31815</v>
      </c>
      <c r="Q10949" s="6">
        <v>100</v>
      </c>
      <c r="R10949" s="6">
        <v>3.33</v>
      </c>
      <c r="S10949" s="5">
        <v>-4.2</v>
      </c>
      <c r="T10949" s="2"/>
      <c r="U10949" s="5">
        <v>1.9</v>
      </c>
      <c r="V10949" s="9">
        <v>-0.43969999999999998</v>
      </c>
      <c r="W10949" s="6">
        <v>2.79</v>
      </c>
      <c r="X10949" s="5">
        <v>3.2</v>
      </c>
      <c r="Y10949" s="5">
        <v>3.1</v>
      </c>
      <c r="Z10949" s="5">
        <v>3.1</v>
      </c>
      <c r="AA10949" s="6">
        <v>9.57</v>
      </c>
      <c r="AB10949" s="2" t="s">
        <v>86</v>
      </c>
      <c r="AC10949" s="6">
        <v>29.75</v>
      </c>
    </row>
    <row r="10950" spans="1:29" ht="52" x14ac:dyDescent="0.15">
      <c r="A10950" s="3">
        <f>DATE(2014,10,22)</f>
        <v>41934</v>
      </c>
      <c r="B10950" s="2"/>
      <c r="C10950" s="2" t="s">
        <v>189</v>
      </c>
      <c r="D10950" s="2" t="s">
        <v>31816</v>
      </c>
      <c r="E10950" s="2" t="s">
        <v>6457</v>
      </c>
      <c r="F10950" s="4">
        <v>7011</v>
      </c>
      <c r="G10950" s="2" t="s">
        <v>269</v>
      </c>
      <c r="H10950" s="2" t="s">
        <v>34</v>
      </c>
      <c r="I10950" s="2" t="s">
        <v>143</v>
      </c>
      <c r="J10950" s="2" t="s">
        <v>144</v>
      </c>
      <c r="K10950" s="2" t="s">
        <v>53</v>
      </c>
      <c r="L10950" s="2" t="s">
        <v>139</v>
      </c>
      <c r="M10950" s="2"/>
      <c r="N10950" s="2"/>
      <c r="O10950" s="2"/>
      <c r="P10950" s="2" t="s">
        <v>31817</v>
      </c>
      <c r="Q10950" s="2"/>
      <c r="R10950" s="2"/>
      <c r="S10950" s="5">
        <v>-12.7</v>
      </c>
      <c r="T10950" s="7">
        <v>11.186999999999999</v>
      </c>
      <c r="U10950" s="5">
        <v>3.6</v>
      </c>
      <c r="V10950" s="9">
        <v>-0.67290000000000005</v>
      </c>
      <c r="W10950" s="6">
        <v>1.28</v>
      </c>
      <c r="X10950" s="6">
        <v>1.27</v>
      </c>
      <c r="Y10950" s="7">
        <v>1.3320000000000001</v>
      </c>
      <c r="Z10950" s="5">
        <v>1.3</v>
      </c>
      <c r="AA10950" s="6">
        <v>18.88</v>
      </c>
      <c r="AB10950" s="2" t="s">
        <v>47</v>
      </c>
      <c r="AC10950" s="2"/>
    </row>
    <row r="10951" spans="1:29" ht="169" x14ac:dyDescent="0.15">
      <c r="A10951" s="3">
        <f>DATE(2014,10,22)</f>
        <v>41934</v>
      </c>
      <c r="B10951" s="3">
        <f>DATE(2015,1,27)</f>
        <v>42031</v>
      </c>
      <c r="C10951" s="2" t="s">
        <v>95</v>
      </c>
      <c r="D10951" s="2" t="s">
        <v>31043</v>
      </c>
      <c r="E10951" s="2" t="s">
        <v>1181</v>
      </c>
      <c r="F10951" s="4">
        <v>6021</v>
      </c>
      <c r="G10951" s="2" t="s">
        <v>37</v>
      </c>
      <c r="H10951" s="2" t="s">
        <v>34</v>
      </c>
      <c r="I10951" s="2" t="s">
        <v>30583</v>
      </c>
      <c r="J10951" s="2" t="s">
        <v>36</v>
      </c>
      <c r="K10951" s="2" t="s">
        <v>37</v>
      </c>
      <c r="L10951" s="2" t="s">
        <v>34</v>
      </c>
      <c r="M10951" s="7">
        <v>245.626</v>
      </c>
      <c r="N10951" s="5">
        <v>15.2</v>
      </c>
      <c r="O10951" s="6">
        <v>15.12</v>
      </c>
      <c r="P10951" s="2" t="s">
        <v>31818</v>
      </c>
      <c r="Q10951" s="2"/>
      <c r="R10951" s="6">
        <v>13.75</v>
      </c>
      <c r="S10951" s="2"/>
      <c r="T10951" s="2"/>
      <c r="U10951" s="2"/>
      <c r="V10951" s="2"/>
      <c r="W10951" s="6">
        <v>11.25</v>
      </c>
      <c r="X10951" s="5">
        <v>12.5</v>
      </c>
      <c r="Y10951" s="6">
        <v>13.75</v>
      </c>
      <c r="Z10951" s="5">
        <v>13.8</v>
      </c>
      <c r="AA10951" s="6">
        <v>4.82</v>
      </c>
      <c r="AB10951" s="2" t="s">
        <v>47</v>
      </c>
      <c r="AC10951" s="2"/>
    </row>
    <row r="10952" spans="1:29" ht="65" x14ac:dyDescent="0.15">
      <c r="A10952" s="3">
        <f>DATE(2014,10,23)</f>
        <v>41935</v>
      </c>
      <c r="B10952" s="3">
        <f>DATE(2015,2,12)</f>
        <v>42047</v>
      </c>
      <c r="C10952" s="2" t="s">
        <v>95</v>
      </c>
      <c r="D10952" s="2" t="s">
        <v>31819</v>
      </c>
      <c r="E10952" s="2" t="s">
        <v>31820</v>
      </c>
      <c r="F10952" s="4">
        <v>7375</v>
      </c>
      <c r="G10952" s="2" t="s">
        <v>223</v>
      </c>
      <c r="H10952" s="2" t="s">
        <v>34</v>
      </c>
      <c r="I10952" s="2" t="s">
        <v>51</v>
      </c>
      <c r="J10952" s="2" t="s">
        <v>52</v>
      </c>
      <c r="K10952" s="2" t="s">
        <v>53</v>
      </c>
      <c r="L10952" s="2" t="s">
        <v>34</v>
      </c>
      <c r="M10952" s="2"/>
      <c r="N10952" s="2"/>
      <c r="O10952" s="2"/>
      <c r="P10952" s="2" t="s">
        <v>31821</v>
      </c>
      <c r="Q10952" s="6">
        <v>100</v>
      </c>
      <c r="R10952" s="6">
        <v>26</v>
      </c>
      <c r="S10952" s="5">
        <v>-8.6</v>
      </c>
      <c r="T10952" s="7">
        <v>32.423999999999999</v>
      </c>
      <c r="U10952" s="5">
        <v>11.2</v>
      </c>
      <c r="V10952" s="9">
        <v>-0.30680000000000002</v>
      </c>
      <c r="W10952" s="6">
        <v>16.760000000000002</v>
      </c>
      <c r="X10952" s="6">
        <v>17.03</v>
      </c>
      <c r="Y10952" s="6">
        <v>17.38</v>
      </c>
      <c r="Z10952" s="6">
        <v>25.65</v>
      </c>
      <c r="AA10952" s="6">
        <v>31.98</v>
      </c>
      <c r="AB10952" s="2" t="s">
        <v>86</v>
      </c>
      <c r="AC10952" s="2"/>
    </row>
    <row r="10953" spans="1:29" ht="52" x14ac:dyDescent="0.15">
      <c r="A10953" s="3">
        <f>DATE(2014,10,27)</f>
        <v>41939</v>
      </c>
      <c r="B10953" s="2"/>
      <c r="C10953" s="2" t="s">
        <v>141</v>
      </c>
      <c r="D10953" s="2" t="s">
        <v>31822</v>
      </c>
      <c r="E10953" s="2" t="s">
        <v>31823</v>
      </c>
      <c r="F10953" s="4">
        <v>7832</v>
      </c>
      <c r="G10953" s="2" t="s">
        <v>42</v>
      </c>
      <c r="H10953" s="2" t="s">
        <v>34</v>
      </c>
      <c r="I10953" s="2" t="s">
        <v>143</v>
      </c>
      <c r="J10953" s="2" t="s">
        <v>144</v>
      </c>
      <c r="K10953" s="2" t="s">
        <v>53</v>
      </c>
      <c r="L10953" s="2" t="s">
        <v>139</v>
      </c>
      <c r="M10953" s="2"/>
      <c r="N10953" s="2"/>
      <c r="O10953" s="2"/>
      <c r="P10953" s="2" t="s">
        <v>31824</v>
      </c>
      <c r="Q10953" s="2"/>
      <c r="R10953" s="2"/>
      <c r="S10953" s="5">
        <v>83.3</v>
      </c>
      <c r="T10953" s="5">
        <v>486.1</v>
      </c>
      <c r="U10953" s="5">
        <v>-4.8</v>
      </c>
      <c r="V10953" s="9">
        <v>0.48359999999999997</v>
      </c>
      <c r="W10953" s="6">
        <v>19.850000000000001</v>
      </c>
      <c r="X10953" s="5">
        <v>20.2</v>
      </c>
      <c r="Y10953" s="6">
        <v>20.51</v>
      </c>
      <c r="Z10953" s="6">
        <v>21.28</v>
      </c>
      <c r="AA10953" s="6">
        <v>156.16999999999999</v>
      </c>
      <c r="AB10953" s="2" t="s">
        <v>47</v>
      </c>
      <c r="AC10953" s="2"/>
    </row>
    <row r="10954" spans="1:29" ht="195" x14ac:dyDescent="0.15">
      <c r="A10954" s="3">
        <f>DATE(2014,10,27)</f>
        <v>41939</v>
      </c>
      <c r="B10954" s="3">
        <f>DATE(2015,10,1)</f>
        <v>42278</v>
      </c>
      <c r="C10954" s="2" t="s">
        <v>95</v>
      </c>
      <c r="D10954" s="2" t="s">
        <v>30353</v>
      </c>
      <c r="E10954" s="2" t="s">
        <v>30354</v>
      </c>
      <c r="F10954" s="4">
        <v>3842</v>
      </c>
      <c r="G10954" s="2" t="s">
        <v>226</v>
      </c>
      <c r="H10954" s="2" t="s">
        <v>34</v>
      </c>
      <c r="I10954" s="2" t="s">
        <v>31825</v>
      </c>
      <c r="J10954" s="2" t="s">
        <v>30354</v>
      </c>
      <c r="K10954" s="2" t="s">
        <v>226</v>
      </c>
      <c r="L10954" s="2" t="s">
        <v>2105</v>
      </c>
      <c r="M10954" s="8">
        <v>1179.2</v>
      </c>
      <c r="N10954" s="6">
        <v>24.05</v>
      </c>
      <c r="O10954" s="6">
        <v>27.86</v>
      </c>
      <c r="P10954" s="2" t="s">
        <v>31826</v>
      </c>
      <c r="Q10954" s="6">
        <v>100</v>
      </c>
      <c r="R10954" s="6">
        <v>24.32</v>
      </c>
      <c r="S10954" s="5">
        <v>-283.5</v>
      </c>
      <c r="T10954" s="7">
        <v>-40.344000000000001</v>
      </c>
      <c r="U10954" s="5">
        <v>7.5</v>
      </c>
      <c r="V10954" s="9">
        <v>-5.6489000000000003</v>
      </c>
      <c r="W10954" s="6">
        <v>30.97</v>
      </c>
      <c r="X10954" s="6">
        <v>31.86</v>
      </c>
      <c r="Y10954" s="6">
        <v>31.64</v>
      </c>
      <c r="Z10954" s="6">
        <v>31.34</v>
      </c>
      <c r="AA10954" s="6">
        <v>51.06</v>
      </c>
      <c r="AB10954" s="2" t="s">
        <v>86</v>
      </c>
      <c r="AC10954" s="6">
        <v>49.43</v>
      </c>
    </row>
    <row r="10955" spans="1:29" ht="156" x14ac:dyDescent="0.15">
      <c r="A10955" s="3">
        <f>DATE(2014,10,29)</f>
        <v>41941</v>
      </c>
      <c r="B10955" s="3">
        <f>DATE(2015,2,10)</f>
        <v>42045</v>
      </c>
      <c r="C10955" s="2" t="s">
        <v>95</v>
      </c>
      <c r="D10955" s="2" t="s">
        <v>14921</v>
      </c>
      <c r="E10955" s="2" t="s">
        <v>159</v>
      </c>
      <c r="F10955" s="4">
        <v>6021</v>
      </c>
      <c r="G10955" s="2" t="s">
        <v>37</v>
      </c>
      <c r="H10955" s="2" t="s">
        <v>34</v>
      </c>
      <c r="I10955" s="2" t="s">
        <v>4131</v>
      </c>
      <c r="J10955" s="2" t="s">
        <v>36</v>
      </c>
      <c r="K10955" s="2" t="s">
        <v>37</v>
      </c>
      <c r="L10955" s="2" t="s">
        <v>34</v>
      </c>
      <c r="M10955" s="7">
        <v>894.471</v>
      </c>
      <c r="N10955" s="6">
        <v>34.74</v>
      </c>
      <c r="O10955" s="6">
        <v>34.19</v>
      </c>
      <c r="P10955" s="2" t="s">
        <v>31827</v>
      </c>
      <c r="Q10955" s="6">
        <v>100</v>
      </c>
      <c r="R10955" s="6">
        <v>19.190000000000001</v>
      </c>
      <c r="S10955" s="5">
        <v>17.399999999999999</v>
      </c>
      <c r="T10955" s="6">
        <v>23.13</v>
      </c>
      <c r="U10955" s="5">
        <v>11.6</v>
      </c>
      <c r="V10955" s="9">
        <v>0.9798</v>
      </c>
      <c r="W10955" s="5">
        <v>12.6</v>
      </c>
      <c r="X10955" s="6">
        <v>12.87</v>
      </c>
      <c r="Y10955" s="6">
        <v>12.89</v>
      </c>
      <c r="Z10955" s="6">
        <v>18.59</v>
      </c>
      <c r="AA10955" s="6">
        <v>17.760000000000002</v>
      </c>
      <c r="AB10955" s="7">
        <v>32.537999999999997</v>
      </c>
      <c r="AC10955" s="2"/>
    </row>
    <row r="10956" spans="1:29" ht="65" x14ac:dyDescent="0.15">
      <c r="A10956" s="3">
        <f>DATE(2014,10,29)</f>
        <v>41941</v>
      </c>
      <c r="B10956" s="2"/>
      <c r="C10956" s="2" t="s">
        <v>7330</v>
      </c>
      <c r="D10956" s="2" t="s">
        <v>31828</v>
      </c>
      <c r="E10956" s="2" t="s">
        <v>31829</v>
      </c>
      <c r="F10956" s="4">
        <v>7389</v>
      </c>
      <c r="G10956" s="2" t="s">
        <v>223</v>
      </c>
      <c r="H10956" s="2" t="s">
        <v>34</v>
      </c>
      <c r="I10956" s="2" t="s">
        <v>31830</v>
      </c>
      <c r="J10956" s="2" t="s">
        <v>31831</v>
      </c>
      <c r="K10956" s="2" t="s">
        <v>226</v>
      </c>
      <c r="L10956" s="2" t="s">
        <v>34</v>
      </c>
      <c r="M10956" s="7">
        <v>73.462999999999994</v>
      </c>
      <c r="N10956" s="6">
        <v>4.3899999999999997</v>
      </c>
      <c r="O10956" s="6">
        <v>4.1399999999999997</v>
      </c>
      <c r="P10956" s="2" t="s">
        <v>31832</v>
      </c>
      <c r="Q10956" s="2"/>
      <c r="R10956" s="2"/>
      <c r="S10956" s="5">
        <v>-12.3</v>
      </c>
      <c r="T10956" s="7">
        <v>-10.042999999999999</v>
      </c>
      <c r="U10956" s="5">
        <v>1.7</v>
      </c>
      <c r="V10956" s="7">
        <v>-0.81799999999999995</v>
      </c>
      <c r="W10956" s="6">
        <v>1.76</v>
      </c>
      <c r="X10956" s="6">
        <v>1.62</v>
      </c>
      <c r="Y10956" s="6">
        <v>1.63</v>
      </c>
      <c r="Z10956" s="5">
        <v>1.9</v>
      </c>
      <c r="AA10956" s="6">
        <v>15.16</v>
      </c>
      <c r="AB10956" s="2" t="s">
        <v>86</v>
      </c>
      <c r="AC10956" s="6">
        <v>22.29</v>
      </c>
    </row>
    <row r="10957" spans="1:29" ht="130" x14ac:dyDescent="0.15">
      <c r="A10957" s="3">
        <f>DATE(2014,10,30)</f>
        <v>41942</v>
      </c>
      <c r="B10957" s="3">
        <f>DATE(2015,3,4)</f>
        <v>42067</v>
      </c>
      <c r="C10957" s="2" t="s">
        <v>95</v>
      </c>
      <c r="D10957" s="2" t="s">
        <v>31833</v>
      </c>
      <c r="E10957" s="2" t="s">
        <v>159</v>
      </c>
      <c r="F10957" s="4">
        <v>6019</v>
      </c>
      <c r="G10957" s="2" t="s">
        <v>3583</v>
      </c>
      <c r="H10957" s="2" t="s">
        <v>34</v>
      </c>
      <c r="I10957" s="2" t="s">
        <v>19847</v>
      </c>
      <c r="J10957" s="2" t="s">
        <v>36</v>
      </c>
      <c r="K10957" s="2" t="s">
        <v>37</v>
      </c>
      <c r="L10957" s="2" t="s">
        <v>34</v>
      </c>
      <c r="M10957" s="6">
        <v>712.73</v>
      </c>
      <c r="N10957" s="6">
        <v>26.89</v>
      </c>
      <c r="O10957" s="6">
        <v>27.59</v>
      </c>
      <c r="P10957" s="2" t="s">
        <v>31834</v>
      </c>
      <c r="Q10957" s="6">
        <v>100</v>
      </c>
      <c r="R10957" s="6">
        <v>55.67</v>
      </c>
      <c r="S10957" s="5">
        <v>7.9</v>
      </c>
      <c r="T10957" s="7">
        <v>14.026</v>
      </c>
      <c r="U10957" s="5">
        <v>19.100000000000001</v>
      </c>
      <c r="V10957" s="2"/>
      <c r="W10957" s="5">
        <v>28.5</v>
      </c>
      <c r="X10957" s="4">
        <v>27</v>
      </c>
      <c r="Y10957" s="4">
        <v>52</v>
      </c>
      <c r="Z10957" s="4">
        <v>53</v>
      </c>
      <c r="AA10957" s="6">
        <v>2.2999999999999998</v>
      </c>
      <c r="AB10957" s="7">
        <v>11.353999999999999</v>
      </c>
      <c r="AC10957" s="2"/>
    </row>
    <row r="10958" spans="1:29" ht="130" x14ac:dyDescent="0.15">
      <c r="A10958" s="3">
        <f>DATE(2014,10,30)</f>
        <v>41942</v>
      </c>
      <c r="B10958" s="3">
        <f>DATE(2015,4,8)</f>
        <v>42102</v>
      </c>
      <c r="C10958" s="2" t="s">
        <v>95</v>
      </c>
      <c r="D10958" s="2" t="s">
        <v>31835</v>
      </c>
      <c r="E10958" s="2" t="s">
        <v>29798</v>
      </c>
      <c r="F10958" s="4">
        <v>6021</v>
      </c>
      <c r="G10958" s="2" t="s">
        <v>37</v>
      </c>
      <c r="H10958" s="2" t="s">
        <v>34</v>
      </c>
      <c r="I10958" s="2" t="s">
        <v>31836</v>
      </c>
      <c r="J10958" s="2" t="s">
        <v>3780</v>
      </c>
      <c r="K10958" s="2" t="s">
        <v>37</v>
      </c>
      <c r="L10958" s="2" t="s">
        <v>34</v>
      </c>
      <c r="M10958" s="7">
        <v>11.244</v>
      </c>
      <c r="N10958" s="6">
        <v>4.8600000000000003</v>
      </c>
      <c r="O10958" s="6">
        <v>4.93</v>
      </c>
      <c r="P10958" s="2" t="s">
        <v>31837</v>
      </c>
      <c r="Q10958" s="6">
        <v>100</v>
      </c>
      <c r="R10958" s="2"/>
      <c r="S10958" s="2"/>
      <c r="T10958" s="2"/>
      <c r="U10958" s="2"/>
      <c r="V10958" s="2"/>
      <c r="W10958" s="5">
        <v>19.5</v>
      </c>
      <c r="X10958" s="5">
        <v>19.5</v>
      </c>
      <c r="Y10958" s="6">
        <v>20.75</v>
      </c>
      <c r="Z10958" s="6">
        <v>20.75</v>
      </c>
      <c r="AA10958" s="2"/>
      <c r="AB10958" s="2" t="s">
        <v>47</v>
      </c>
      <c r="AC10958" s="2"/>
    </row>
    <row r="10959" spans="1:29" ht="143" x14ac:dyDescent="0.15">
      <c r="A10959" s="3">
        <f>DATE(2014,10,31)</f>
        <v>41943</v>
      </c>
      <c r="B10959" s="3">
        <f>DATE(2015,2,18)</f>
        <v>42053</v>
      </c>
      <c r="C10959" s="2" t="s">
        <v>95</v>
      </c>
      <c r="D10959" s="2" t="s">
        <v>31518</v>
      </c>
      <c r="E10959" s="2" t="s">
        <v>92</v>
      </c>
      <c r="F10959" s="4">
        <v>6798</v>
      </c>
      <c r="G10959" s="2" t="s">
        <v>53</v>
      </c>
      <c r="H10959" s="2" t="s">
        <v>34</v>
      </c>
      <c r="I10959" s="2" t="s">
        <v>31838</v>
      </c>
      <c r="J10959" s="2" t="s">
        <v>844</v>
      </c>
      <c r="K10959" s="2" t="s">
        <v>109</v>
      </c>
      <c r="L10959" s="2" t="s">
        <v>34</v>
      </c>
      <c r="M10959" s="2"/>
      <c r="N10959" s="2"/>
      <c r="O10959" s="2"/>
      <c r="P10959" s="2" t="s">
        <v>31839</v>
      </c>
      <c r="Q10959" s="6">
        <v>100</v>
      </c>
      <c r="R10959" s="6">
        <v>26.55</v>
      </c>
      <c r="S10959" s="5">
        <v>5.4</v>
      </c>
      <c r="T10959" s="7">
        <v>24.155999999999999</v>
      </c>
      <c r="U10959" s="5">
        <v>11.2</v>
      </c>
      <c r="V10959" s="9">
        <v>0.2321</v>
      </c>
      <c r="W10959" s="6">
        <v>18.86</v>
      </c>
      <c r="X10959" s="5">
        <v>19.2</v>
      </c>
      <c r="Y10959" s="6">
        <v>22.45</v>
      </c>
      <c r="Z10959" s="6">
        <v>22.25</v>
      </c>
      <c r="AA10959" s="6">
        <v>19.690000000000001</v>
      </c>
      <c r="AB10959" s="7">
        <v>63.378999999999998</v>
      </c>
      <c r="AC10959" s="2"/>
    </row>
    <row r="10960" spans="1:29" ht="143" x14ac:dyDescent="0.15">
      <c r="A10960" s="3">
        <f>DATE(2014,10,31)</f>
        <v>41943</v>
      </c>
      <c r="B10960" s="3">
        <f>DATE(2015,4,1)</f>
        <v>42095</v>
      </c>
      <c r="C10960" s="2" t="s">
        <v>95</v>
      </c>
      <c r="D10960" s="2" t="s">
        <v>31840</v>
      </c>
      <c r="E10960" s="2" t="s">
        <v>92</v>
      </c>
      <c r="F10960" s="4">
        <v>6798</v>
      </c>
      <c r="G10960" s="2" t="s">
        <v>53</v>
      </c>
      <c r="H10960" s="2" t="s">
        <v>34</v>
      </c>
      <c r="I10960" s="2" t="s">
        <v>19479</v>
      </c>
      <c r="J10960" s="2" t="s">
        <v>92</v>
      </c>
      <c r="K10960" s="2" t="s">
        <v>53</v>
      </c>
      <c r="L10960" s="2" t="s">
        <v>34</v>
      </c>
      <c r="M10960" s="12">
        <v>4408.8180000000002</v>
      </c>
      <c r="N10960" s="6">
        <v>38.159999999999997</v>
      </c>
      <c r="O10960" s="6">
        <v>38.25</v>
      </c>
      <c r="P10960" s="2" t="s">
        <v>31841</v>
      </c>
      <c r="Q10960" s="6">
        <v>100</v>
      </c>
      <c r="R10960" s="6">
        <v>34.97</v>
      </c>
      <c r="S10960" s="5">
        <v>31.3</v>
      </c>
      <c r="T10960" s="7">
        <v>78.451999999999998</v>
      </c>
      <c r="U10960" s="5">
        <v>12.9</v>
      </c>
      <c r="V10960" s="9">
        <v>0.70589999999999997</v>
      </c>
      <c r="W10960" s="6">
        <v>29.06</v>
      </c>
      <c r="X10960" s="5">
        <v>30.1</v>
      </c>
      <c r="Y10960" s="6">
        <v>33.729999999999997</v>
      </c>
      <c r="Z10960" s="6">
        <v>33.82</v>
      </c>
      <c r="AA10960" s="6">
        <v>47.25</v>
      </c>
      <c r="AB10960" s="7">
        <v>62.302</v>
      </c>
      <c r="AC10960" s="6">
        <v>32.270000000000003</v>
      </c>
    </row>
    <row r="10961" spans="1:29" ht="65" x14ac:dyDescent="0.15">
      <c r="A10961" s="3">
        <f>DATE(2014,10,31)</f>
        <v>41943</v>
      </c>
      <c r="B10961" s="2"/>
      <c r="C10961" s="2" t="s">
        <v>87</v>
      </c>
      <c r="D10961" s="2" t="s">
        <v>31842</v>
      </c>
      <c r="E10961" s="2" t="s">
        <v>31843</v>
      </c>
      <c r="F10961" s="4">
        <v>7372</v>
      </c>
      <c r="G10961" s="2" t="s">
        <v>551</v>
      </c>
      <c r="H10961" s="2" t="s">
        <v>34</v>
      </c>
      <c r="I10961" s="2" t="s">
        <v>30736</v>
      </c>
      <c r="J10961" s="2" t="s">
        <v>244</v>
      </c>
      <c r="K10961" s="2" t="s">
        <v>53</v>
      </c>
      <c r="L10961" s="2" t="s">
        <v>34</v>
      </c>
      <c r="M10961" s="2"/>
      <c r="N10961" s="2"/>
      <c r="O10961" s="2"/>
      <c r="P10961" s="2" t="s">
        <v>31844</v>
      </c>
      <c r="Q10961" s="2"/>
      <c r="R10961" s="2"/>
      <c r="S10961" s="5">
        <v>-8.1999999999999993</v>
      </c>
      <c r="T10961" s="7">
        <v>35.671999999999997</v>
      </c>
      <c r="U10961" s="5">
        <v>4</v>
      </c>
      <c r="V10961" s="9">
        <v>-0.1071</v>
      </c>
      <c r="W10961" s="6">
        <v>18.350000000000001</v>
      </c>
      <c r="X10961" s="5">
        <v>18.100000000000001</v>
      </c>
      <c r="Y10961" s="6">
        <v>19.87</v>
      </c>
      <c r="Z10961" s="6">
        <v>20.84</v>
      </c>
      <c r="AA10961" s="6">
        <v>79.209999999999994</v>
      </c>
      <c r="AB10961" s="2" t="s">
        <v>86</v>
      </c>
      <c r="AC10961" s="2"/>
    </row>
    <row r="10962" spans="1:29" ht="156" x14ac:dyDescent="0.15">
      <c r="A10962" s="3">
        <f>DATE(2014,11,3)</f>
        <v>41946</v>
      </c>
      <c r="B10962" s="3">
        <f>DATE(2015,2,19)</f>
        <v>42054</v>
      </c>
      <c r="C10962" s="2" t="s">
        <v>95</v>
      </c>
      <c r="D10962" s="2" t="s">
        <v>14267</v>
      </c>
      <c r="E10962" s="2" t="s">
        <v>12023</v>
      </c>
      <c r="F10962" s="4">
        <v>8731</v>
      </c>
      <c r="G10962" s="2" t="s">
        <v>223</v>
      </c>
      <c r="H10962" s="2" t="s">
        <v>34</v>
      </c>
      <c r="I10962" s="2" t="s">
        <v>19987</v>
      </c>
      <c r="J10962" s="2" t="s">
        <v>19988</v>
      </c>
      <c r="K10962" s="2" t="s">
        <v>454</v>
      </c>
      <c r="L10962" s="2" t="s">
        <v>34</v>
      </c>
      <c r="M10962" s="10">
        <v>8608.86</v>
      </c>
      <c r="N10962" s="6">
        <v>101.23</v>
      </c>
      <c r="O10962" s="6">
        <v>102.38</v>
      </c>
      <c r="P10962" s="2" t="s">
        <v>31845</v>
      </c>
      <c r="Q10962" s="6">
        <v>100</v>
      </c>
      <c r="R10962" s="6">
        <v>105.12</v>
      </c>
      <c r="S10962" s="5">
        <v>179.6</v>
      </c>
      <c r="T10962" s="7">
        <v>452.25900000000001</v>
      </c>
      <c r="U10962" s="5">
        <v>29.1</v>
      </c>
      <c r="V10962" s="9">
        <v>3.1198000000000001</v>
      </c>
      <c r="W10962" s="6">
        <v>80.89</v>
      </c>
      <c r="X10962" s="5">
        <v>79.900000000000006</v>
      </c>
      <c r="Y10962" s="6">
        <v>100.57</v>
      </c>
      <c r="Z10962" s="5">
        <v>100.8</v>
      </c>
      <c r="AA10962" s="6">
        <v>57.12</v>
      </c>
      <c r="AB10962" s="7">
        <v>17.834</v>
      </c>
      <c r="AC10962" s="5">
        <v>575.70000000000005</v>
      </c>
    </row>
    <row r="10963" spans="1:29" ht="130" x14ac:dyDescent="0.15">
      <c r="A10963" s="3">
        <f>DATE(2014,11,3)</f>
        <v>41946</v>
      </c>
      <c r="B10963" s="3">
        <f>DATE(2015,4,1)</f>
        <v>42095</v>
      </c>
      <c r="C10963" s="2" t="s">
        <v>95</v>
      </c>
      <c r="D10963" s="2" t="s">
        <v>21199</v>
      </c>
      <c r="E10963" s="2" t="s">
        <v>36</v>
      </c>
      <c r="F10963" s="4">
        <v>6021</v>
      </c>
      <c r="G10963" s="2" t="s">
        <v>37</v>
      </c>
      <c r="H10963" s="2" t="s">
        <v>34</v>
      </c>
      <c r="I10963" s="2" t="s">
        <v>17475</v>
      </c>
      <c r="J10963" s="2" t="s">
        <v>263</v>
      </c>
      <c r="K10963" s="2" t="s">
        <v>37</v>
      </c>
      <c r="L10963" s="2" t="s">
        <v>34</v>
      </c>
      <c r="M10963" s="7">
        <v>879.34799999999996</v>
      </c>
      <c r="N10963" s="4">
        <v>30</v>
      </c>
      <c r="O10963" s="6">
        <v>30.04</v>
      </c>
      <c r="P10963" s="2" t="s">
        <v>31846</v>
      </c>
      <c r="Q10963" s="6">
        <v>100</v>
      </c>
      <c r="R10963" s="6">
        <v>2.92</v>
      </c>
      <c r="S10963" s="5">
        <v>-0.3</v>
      </c>
      <c r="T10963" s="7">
        <v>0.55800000000000005</v>
      </c>
      <c r="U10963" s="5">
        <v>2.2000000000000002</v>
      </c>
      <c r="V10963" s="9">
        <v>3.5017999999999998</v>
      </c>
      <c r="W10963" s="5">
        <v>3.1</v>
      </c>
      <c r="X10963" s="5">
        <v>2.9</v>
      </c>
      <c r="Y10963" s="5">
        <v>2.9</v>
      </c>
      <c r="Z10963" s="5">
        <v>2.8</v>
      </c>
      <c r="AA10963" s="6">
        <v>8.66</v>
      </c>
      <c r="AB10963" s="2" t="s">
        <v>86</v>
      </c>
      <c r="AC10963" s="2"/>
    </row>
    <row r="10964" spans="1:29" ht="156" x14ac:dyDescent="0.15">
      <c r="A10964" s="3">
        <f>DATE(2014,11,3)</f>
        <v>41946</v>
      </c>
      <c r="B10964" s="3">
        <f>DATE(2015,2,6)</f>
        <v>42041</v>
      </c>
      <c r="C10964" s="2" t="s">
        <v>95</v>
      </c>
      <c r="D10964" s="2" t="s">
        <v>31847</v>
      </c>
      <c r="E10964" s="2" t="s">
        <v>31848</v>
      </c>
      <c r="F10964" s="4">
        <v>7373</v>
      </c>
      <c r="G10964" s="2" t="s">
        <v>223</v>
      </c>
      <c r="H10964" s="2" t="s">
        <v>34</v>
      </c>
      <c r="I10964" s="2" t="s">
        <v>10959</v>
      </c>
      <c r="J10964" s="2" t="s">
        <v>10960</v>
      </c>
      <c r="K10964" s="2" t="s">
        <v>4563</v>
      </c>
      <c r="L10964" s="2" t="s">
        <v>133</v>
      </c>
      <c r="M10964" s="12">
        <v>15297.076999999999</v>
      </c>
      <c r="N10964" s="7">
        <v>67.483000000000004</v>
      </c>
      <c r="O10964" s="7">
        <v>68.512</v>
      </c>
      <c r="P10964" s="2" t="s">
        <v>31849</v>
      </c>
      <c r="Q10964" s="6">
        <v>100</v>
      </c>
      <c r="R10964" s="6">
        <v>25</v>
      </c>
      <c r="S10964" s="5">
        <v>80.2</v>
      </c>
      <c r="T10964" s="7">
        <v>174.07499999999999</v>
      </c>
      <c r="U10964" s="5">
        <v>4.5</v>
      </c>
      <c r="V10964" s="9">
        <v>0.56010000000000004</v>
      </c>
      <c r="W10964" s="6">
        <v>14.42</v>
      </c>
      <c r="X10964" s="6">
        <v>17.32</v>
      </c>
      <c r="Y10964" s="5">
        <v>24.6</v>
      </c>
      <c r="Z10964" s="5">
        <v>24.6</v>
      </c>
      <c r="AA10964" s="6">
        <v>140.87</v>
      </c>
      <c r="AB10964" s="7">
        <v>25.888999999999999</v>
      </c>
      <c r="AC10964" s="10">
        <v>1982.4</v>
      </c>
    </row>
    <row r="10965" spans="1:29" ht="65" x14ac:dyDescent="0.15">
      <c r="A10965" s="3">
        <f>DATE(2014,11,4)</f>
        <v>41947</v>
      </c>
      <c r="B10965" s="3">
        <f>DATE(2015,1,23)</f>
        <v>42027</v>
      </c>
      <c r="C10965" s="2" t="s">
        <v>95</v>
      </c>
      <c r="D10965" s="2" t="s">
        <v>31850</v>
      </c>
      <c r="E10965" s="2" t="s">
        <v>31851</v>
      </c>
      <c r="F10965" s="4">
        <v>3679</v>
      </c>
      <c r="G10965" s="2" t="s">
        <v>137</v>
      </c>
      <c r="H10965" s="2" t="s">
        <v>34</v>
      </c>
      <c r="I10965" s="2" t="s">
        <v>31852</v>
      </c>
      <c r="J10965" s="2" t="s">
        <v>31853</v>
      </c>
      <c r="K10965" s="2" t="s">
        <v>300</v>
      </c>
      <c r="L10965" s="2" t="s">
        <v>34</v>
      </c>
      <c r="M10965" s="7">
        <v>896.51900000000001</v>
      </c>
      <c r="N10965" s="5">
        <v>86.3</v>
      </c>
      <c r="O10965" s="4">
        <v>86</v>
      </c>
      <c r="P10965" s="2" t="s">
        <v>31854</v>
      </c>
      <c r="Q10965" s="6">
        <v>100</v>
      </c>
      <c r="R10965" s="6">
        <v>17.5</v>
      </c>
      <c r="S10965" s="5">
        <v>1.9</v>
      </c>
      <c r="T10965" s="7">
        <v>3.7160000000000002</v>
      </c>
      <c r="U10965" s="5">
        <v>4.3</v>
      </c>
      <c r="V10965" s="9">
        <v>0.4763</v>
      </c>
      <c r="W10965" s="7">
        <v>10.946</v>
      </c>
      <c r="X10965" s="6">
        <v>10.33</v>
      </c>
      <c r="Y10965" s="6">
        <v>9.57</v>
      </c>
      <c r="Z10965" s="6">
        <v>17.29</v>
      </c>
      <c r="AA10965" s="6">
        <v>3.83</v>
      </c>
      <c r="AB10965" s="7">
        <v>22.766999999999999</v>
      </c>
      <c r="AC10965" s="6">
        <v>172.74</v>
      </c>
    </row>
    <row r="10966" spans="1:29" ht="143" x14ac:dyDescent="0.15">
      <c r="A10966" s="3">
        <f>DATE(2014,11,4)</f>
        <v>41947</v>
      </c>
      <c r="B10966" s="3">
        <f>DATE(2015,4,17)</f>
        <v>42111</v>
      </c>
      <c r="C10966" s="2" t="s">
        <v>95</v>
      </c>
      <c r="D10966" s="2" t="s">
        <v>31855</v>
      </c>
      <c r="E10966" s="2" t="s">
        <v>36</v>
      </c>
      <c r="F10966" s="4">
        <v>6036</v>
      </c>
      <c r="G10966" s="2" t="s">
        <v>33</v>
      </c>
      <c r="H10966" s="2" t="s">
        <v>34</v>
      </c>
      <c r="I10966" s="2" t="s">
        <v>22561</v>
      </c>
      <c r="J10966" s="2" t="s">
        <v>1304</v>
      </c>
      <c r="K10966" s="2" t="s">
        <v>33</v>
      </c>
      <c r="L10966" s="2" t="s">
        <v>34</v>
      </c>
      <c r="M10966" s="7">
        <v>585.00800000000004</v>
      </c>
      <c r="N10966" s="6">
        <v>25.03</v>
      </c>
      <c r="O10966" s="6">
        <v>25.29</v>
      </c>
      <c r="P10966" s="2" t="s">
        <v>31856</v>
      </c>
      <c r="Q10966" s="6">
        <v>100</v>
      </c>
      <c r="R10966" s="6">
        <v>20.88</v>
      </c>
      <c r="S10966" s="5">
        <v>4.5</v>
      </c>
      <c r="T10966" s="7">
        <v>7.6390000000000002</v>
      </c>
      <c r="U10966" s="5">
        <v>15.5</v>
      </c>
      <c r="V10966" s="9">
        <v>0.82440000000000002</v>
      </c>
      <c r="W10966" s="6">
        <v>17.25</v>
      </c>
      <c r="X10966" s="5">
        <v>16.899999999999999</v>
      </c>
      <c r="Y10966" s="5">
        <v>19.5</v>
      </c>
      <c r="Z10966" s="5">
        <v>19.7</v>
      </c>
      <c r="AA10966" s="6">
        <v>5.5</v>
      </c>
      <c r="AB10966" s="7">
        <v>34.767000000000003</v>
      </c>
      <c r="AC10966" s="2"/>
    </row>
    <row r="10967" spans="1:29" ht="91" x14ac:dyDescent="0.15">
      <c r="A10967" s="3">
        <f>DATE(2014,11,4)</f>
        <v>41947</v>
      </c>
      <c r="B10967" s="3">
        <f>DATE(2015,1,5)</f>
        <v>42009</v>
      </c>
      <c r="C10967" s="2" t="s">
        <v>95</v>
      </c>
      <c r="D10967" s="2" t="s">
        <v>31857</v>
      </c>
      <c r="E10967" s="2" t="s">
        <v>31858</v>
      </c>
      <c r="F10967" s="4">
        <v>7389</v>
      </c>
      <c r="G10967" s="2" t="s">
        <v>223</v>
      </c>
      <c r="H10967" s="2" t="s">
        <v>34</v>
      </c>
      <c r="I10967" s="2" t="s">
        <v>31859</v>
      </c>
      <c r="J10967" s="2" t="s">
        <v>31860</v>
      </c>
      <c r="K10967" s="2" t="s">
        <v>551</v>
      </c>
      <c r="L10967" s="2" t="s">
        <v>34</v>
      </c>
      <c r="M10967" s="7">
        <v>499.03300000000002</v>
      </c>
      <c r="N10967" s="5">
        <v>14.6</v>
      </c>
      <c r="O10967" s="6">
        <v>14.88</v>
      </c>
      <c r="P10967" s="2" t="s">
        <v>31861</v>
      </c>
      <c r="Q10967" s="6">
        <v>100</v>
      </c>
      <c r="R10967" s="6">
        <v>5.5</v>
      </c>
      <c r="S10967" s="5">
        <v>0.5</v>
      </c>
      <c r="T10967" s="5">
        <v>4.3</v>
      </c>
      <c r="U10967" s="5">
        <v>2.2000000000000002</v>
      </c>
      <c r="V10967" s="9">
        <v>4.6199999999999998E-2</v>
      </c>
      <c r="W10967" s="5">
        <v>4.0999999999999996</v>
      </c>
      <c r="X10967" s="6">
        <v>4.13</v>
      </c>
      <c r="Y10967" s="6">
        <v>4.1500000000000004</v>
      </c>
      <c r="Z10967" s="6">
        <v>5.46</v>
      </c>
      <c r="AA10967" s="6">
        <v>12.46</v>
      </c>
      <c r="AB10967" s="7">
        <v>169.94800000000001</v>
      </c>
      <c r="AC10967" s="6">
        <v>249.38</v>
      </c>
    </row>
    <row r="10968" spans="1:29" ht="130" x14ac:dyDescent="0.15">
      <c r="A10968" s="3">
        <f>DATE(2014,11,5)</f>
        <v>41948</v>
      </c>
      <c r="B10968" s="3">
        <f>DATE(2015,6,30)</f>
        <v>42185</v>
      </c>
      <c r="C10968" s="2" t="s">
        <v>95</v>
      </c>
      <c r="D10968" s="2" t="s">
        <v>31862</v>
      </c>
      <c r="E10968" s="2" t="s">
        <v>36</v>
      </c>
      <c r="F10968" s="4">
        <v>6022</v>
      </c>
      <c r="G10968" s="2" t="s">
        <v>37</v>
      </c>
      <c r="H10968" s="2" t="s">
        <v>34</v>
      </c>
      <c r="I10968" s="2" t="s">
        <v>31863</v>
      </c>
      <c r="J10968" s="2" t="s">
        <v>36</v>
      </c>
      <c r="K10968" s="2" t="s">
        <v>37</v>
      </c>
      <c r="L10968" s="2" t="s">
        <v>34</v>
      </c>
      <c r="M10968" s="2"/>
      <c r="N10968" s="2"/>
      <c r="O10968" s="2"/>
      <c r="P10968" s="2" t="s">
        <v>31864</v>
      </c>
      <c r="Q10968" s="6">
        <v>100</v>
      </c>
      <c r="R10968" s="6">
        <v>26.86</v>
      </c>
      <c r="S10968" s="5">
        <v>-1.2</v>
      </c>
      <c r="T10968" s="7">
        <v>17.771999999999998</v>
      </c>
      <c r="U10968" s="5">
        <v>14.6</v>
      </c>
      <c r="V10968" s="9">
        <v>-6.3399999999999998E-2</v>
      </c>
      <c r="W10968" s="6">
        <v>22.36</v>
      </c>
      <c r="X10968" s="6">
        <v>22.68</v>
      </c>
      <c r="Y10968" s="6">
        <v>25.04</v>
      </c>
      <c r="Z10968" s="6">
        <v>25.48</v>
      </c>
      <c r="AA10968" s="6">
        <v>19.989999999999998</v>
      </c>
      <c r="AB10968" s="7">
        <v>35.975000000000001</v>
      </c>
      <c r="AC10968" s="2"/>
    </row>
    <row r="10969" spans="1:29" ht="156" x14ac:dyDescent="0.15">
      <c r="A10969" s="3">
        <f>DATE(2014,11,6)</f>
        <v>41949</v>
      </c>
      <c r="B10969" s="3">
        <f>DATE(2015,3,5)</f>
        <v>42068</v>
      </c>
      <c r="C10969" s="2" t="s">
        <v>95</v>
      </c>
      <c r="D10969" s="2" t="s">
        <v>31865</v>
      </c>
      <c r="E10969" s="2" t="s">
        <v>31866</v>
      </c>
      <c r="F10969" s="4">
        <v>3999</v>
      </c>
      <c r="G10969" s="2" t="s">
        <v>112</v>
      </c>
      <c r="H10969" s="2" t="s">
        <v>34</v>
      </c>
      <c r="I10969" s="2" t="s">
        <v>31867</v>
      </c>
      <c r="J10969" s="2" t="s">
        <v>31868</v>
      </c>
      <c r="K10969" s="2" t="s">
        <v>5397</v>
      </c>
      <c r="L10969" s="2" t="s">
        <v>34</v>
      </c>
      <c r="M10969" s="7">
        <v>33.014000000000003</v>
      </c>
      <c r="N10969" s="6">
        <v>2.52</v>
      </c>
      <c r="O10969" s="6">
        <v>1.94</v>
      </c>
      <c r="P10969" s="2" t="s">
        <v>31869</v>
      </c>
      <c r="Q10969" s="6">
        <v>100</v>
      </c>
      <c r="R10969" s="6">
        <v>0.21</v>
      </c>
      <c r="S10969" s="2"/>
      <c r="T10969" s="2"/>
      <c r="U10969" s="2"/>
      <c r="V10969" s="2"/>
      <c r="W10969" s="6">
        <v>1.93</v>
      </c>
      <c r="X10969" s="6">
        <v>2.15</v>
      </c>
      <c r="Y10969" s="4">
        <v>2</v>
      </c>
      <c r="Z10969" s="6">
        <v>2.5299999999999998</v>
      </c>
      <c r="AA10969" s="6">
        <v>174.61</v>
      </c>
      <c r="AB10969" s="2" t="s">
        <v>47</v>
      </c>
      <c r="AC10969" s="6">
        <v>1.67</v>
      </c>
    </row>
    <row r="10970" spans="1:29" ht="78" x14ac:dyDescent="0.15">
      <c r="A10970" s="3">
        <f>DATE(2014,11,10)</f>
        <v>41953</v>
      </c>
      <c r="B10970" s="3">
        <f>DATE(2015,2,13)</f>
        <v>42048</v>
      </c>
      <c r="C10970" s="2" t="s">
        <v>95</v>
      </c>
      <c r="D10970" s="2" t="s">
        <v>31396</v>
      </c>
      <c r="E10970" s="2" t="s">
        <v>29798</v>
      </c>
      <c r="F10970" s="4">
        <v>6029</v>
      </c>
      <c r="G10970" s="2" t="s">
        <v>37</v>
      </c>
      <c r="H10970" s="2" t="s">
        <v>34</v>
      </c>
      <c r="I10970" s="2" t="s">
        <v>31870</v>
      </c>
      <c r="J10970" s="2" t="s">
        <v>36</v>
      </c>
      <c r="K10970" s="2" t="s">
        <v>37</v>
      </c>
      <c r="L10970" s="2" t="s">
        <v>34</v>
      </c>
      <c r="M10970" s="7">
        <v>40.893999999999998</v>
      </c>
      <c r="N10970" s="6">
        <v>11.74</v>
      </c>
      <c r="O10970" s="5">
        <v>11.9</v>
      </c>
      <c r="P10970" s="2" t="s">
        <v>31871</v>
      </c>
      <c r="Q10970" s="6">
        <v>100</v>
      </c>
      <c r="R10970" s="2"/>
      <c r="S10970" s="2"/>
      <c r="T10970" s="2"/>
      <c r="U10970" s="2"/>
      <c r="V10970" s="2"/>
      <c r="W10970" s="5">
        <v>3.5</v>
      </c>
      <c r="X10970" s="5">
        <v>3.5</v>
      </c>
      <c r="Y10970" s="5">
        <v>3.5</v>
      </c>
      <c r="Z10970" s="6">
        <v>3.92</v>
      </c>
      <c r="AA10970" s="6">
        <v>1.37</v>
      </c>
      <c r="AB10970" s="2" t="s">
        <v>47</v>
      </c>
      <c r="AC10970" s="2"/>
    </row>
    <row r="10971" spans="1:29" ht="65" x14ac:dyDescent="0.15">
      <c r="A10971" s="3">
        <f>DATE(2014,11,12)</f>
        <v>41955</v>
      </c>
      <c r="B10971" s="2"/>
      <c r="C10971" s="2" t="s">
        <v>39</v>
      </c>
      <c r="D10971" s="2" t="s">
        <v>31743</v>
      </c>
      <c r="E10971" s="2" t="s">
        <v>31744</v>
      </c>
      <c r="F10971" s="4">
        <v>7812</v>
      </c>
      <c r="G10971" s="2" t="s">
        <v>42</v>
      </c>
      <c r="H10971" s="2" t="s">
        <v>34</v>
      </c>
      <c r="I10971" s="2" t="s">
        <v>1291</v>
      </c>
      <c r="J10971" s="2" t="s">
        <v>30321</v>
      </c>
      <c r="K10971" s="2" t="s">
        <v>112</v>
      </c>
      <c r="L10971" s="2" t="s">
        <v>34</v>
      </c>
      <c r="M10971" s="12">
        <v>6828.3190000000004</v>
      </c>
      <c r="N10971" s="6">
        <v>57.47</v>
      </c>
      <c r="O10971" s="6">
        <v>54.98</v>
      </c>
      <c r="P10971" s="2" t="s">
        <v>31872</v>
      </c>
      <c r="Q10971" s="2"/>
      <c r="R10971" s="2"/>
      <c r="S10971" s="5">
        <v>-29.2</v>
      </c>
      <c r="T10971" s="7">
        <v>-12.173</v>
      </c>
      <c r="U10971" s="5">
        <v>16.3</v>
      </c>
      <c r="V10971" s="9">
        <v>-0.34839999999999999</v>
      </c>
      <c r="W10971" s="7">
        <v>22.035</v>
      </c>
      <c r="X10971" s="6">
        <v>22.03</v>
      </c>
      <c r="Y10971" s="6">
        <v>22.37</v>
      </c>
      <c r="Z10971" s="6">
        <v>25.52</v>
      </c>
      <c r="AA10971" s="6">
        <v>85.22</v>
      </c>
      <c r="AB10971" s="2" t="s">
        <v>86</v>
      </c>
      <c r="AC10971" s="6">
        <v>453.61</v>
      </c>
    </row>
    <row r="10972" spans="1:29" ht="143" x14ac:dyDescent="0.15">
      <c r="A10972" s="3">
        <f>DATE(2014,11,12)</f>
        <v>41955</v>
      </c>
      <c r="B10972" s="3">
        <f>DATE(2015,8,1)</f>
        <v>42217</v>
      </c>
      <c r="C10972" s="2" t="s">
        <v>95</v>
      </c>
      <c r="D10972" s="2" t="s">
        <v>4811</v>
      </c>
      <c r="E10972" s="2" t="s">
        <v>36</v>
      </c>
      <c r="F10972" s="4">
        <v>6021</v>
      </c>
      <c r="G10972" s="2" t="s">
        <v>37</v>
      </c>
      <c r="H10972" s="2" t="s">
        <v>34</v>
      </c>
      <c r="I10972" s="2" t="s">
        <v>13707</v>
      </c>
      <c r="J10972" s="2" t="s">
        <v>36</v>
      </c>
      <c r="K10972" s="2" t="s">
        <v>37</v>
      </c>
      <c r="L10972" s="2" t="s">
        <v>34</v>
      </c>
      <c r="M10972" s="10">
        <v>25901.93</v>
      </c>
      <c r="N10972" s="6">
        <v>37.67</v>
      </c>
      <c r="O10972" s="6">
        <v>37.58</v>
      </c>
      <c r="P10972" s="2" t="s">
        <v>31873</v>
      </c>
      <c r="Q10972" s="6">
        <v>100</v>
      </c>
      <c r="R10972" s="6">
        <v>13.75</v>
      </c>
      <c r="S10972" s="5">
        <v>155.5</v>
      </c>
      <c r="T10972" s="7">
        <v>249.232</v>
      </c>
      <c r="U10972" s="5">
        <v>15.2</v>
      </c>
      <c r="V10972" s="9">
        <v>0.82889999999999997</v>
      </c>
      <c r="W10972" s="6">
        <v>9.7200000000000006</v>
      </c>
      <c r="X10972" s="5">
        <v>9.9</v>
      </c>
      <c r="Y10972" s="6">
        <v>13.12</v>
      </c>
      <c r="Z10972" s="6">
        <v>13.06</v>
      </c>
      <c r="AA10972" s="6">
        <v>181.27</v>
      </c>
      <c r="AB10972" s="7">
        <v>19.25</v>
      </c>
      <c r="AC10972" s="2"/>
    </row>
    <row r="10973" spans="1:29" ht="208" x14ac:dyDescent="0.15">
      <c r="A10973" s="3">
        <f>DATE(2014,11,14)</f>
        <v>41957</v>
      </c>
      <c r="B10973" s="2"/>
      <c r="C10973" s="2" t="s">
        <v>30</v>
      </c>
      <c r="D10973" s="2" t="s">
        <v>9361</v>
      </c>
      <c r="E10973" s="2" t="s">
        <v>9362</v>
      </c>
      <c r="F10973" s="4">
        <v>3533</v>
      </c>
      <c r="G10973" s="2" t="s">
        <v>300</v>
      </c>
      <c r="H10973" s="2" t="s">
        <v>34</v>
      </c>
      <c r="I10973" s="2" t="s">
        <v>8199</v>
      </c>
      <c r="J10973" s="2" t="s">
        <v>8200</v>
      </c>
      <c r="K10973" s="2" t="s">
        <v>148</v>
      </c>
      <c r="L10973" s="2" t="s">
        <v>34</v>
      </c>
      <c r="M10973" s="12">
        <v>44576.411</v>
      </c>
      <c r="N10973" s="6">
        <v>55.08</v>
      </c>
      <c r="O10973" s="6">
        <v>49.23</v>
      </c>
      <c r="P10973" s="2" t="s">
        <v>31874</v>
      </c>
      <c r="Q10973" s="2"/>
      <c r="R10973" s="6">
        <v>80.69</v>
      </c>
      <c r="S10973" s="8">
        <v>1304</v>
      </c>
      <c r="T10973" s="8">
        <v>4170</v>
      </c>
      <c r="U10973" s="5">
        <v>41.8</v>
      </c>
      <c r="V10973" s="9">
        <v>2.9586000000000001</v>
      </c>
      <c r="W10973" s="6">
        <v>51.49</v>
      </c>
      <c r="X10973" s="6">
        <v>50.98</v>
      </c>
      <c r="Y10973" s="6">
        <v>58.75</v>
      </c>
      <c r="Z10973" s="6">
        <v>59.89</v>
      </c>
      <c r="AA10973" s="6">
        <v>432.6</v>
      </c>
      <c r="AB10973" s="7">
        <v>16.126999999999999</v>
      </c>
      <c r="AC10973" s="8">
        <v>2029</v>
      </c>
    </row>
    <row r="10974" spans="1:29" ht="78" x14ac:dyDescent="0.15">
      <c r="A10974" s="3">
        <f>DATE(2014,11,14)</f>
        <v>41957</v>
      </c>
      <c r="B10974" s="2"/>
      <c r="C10974" s="2" t="s">
        <v>87</v>
      </c>
      <c r="D10974" s="2" t="s">
        <v>20627</v>
      </c>
      <c r="E10974" s="2" t="s">
        <v>20628</v>
      </c>
      <c r="F10974" s="4">
        <v>2329</v>
      </c>
      <c r="G10974" s="2" t="s">
        <v>708</v>
      </c>
      <c r="H10974" s="2" t="s">
        <v>34</v>
      </c>
      <c r="I10974" s="2" t="s">
        <v>30399</v>
      </c>
      <c r="J10974" s="2" t="s">
        <v>30400</v>
      </c>
      <c r="K10974" s="2" t="s">
        <v>708</v>
      </c>
      <c r="L10974" s="2" t="s">
        <v>34</v>
      </c>
      <c r="M10974" s="7">
        <v>442.03699999999998</v>
      </c>
      <c r="N10974" s="4">
        <v>13</v>
      </c>
      <c r="O10974" s="6">
        <v>12.57</v>
      </c>
      <c r="P10974" s="2" t="s">
        <v>31875</v>
      </c>
      <c r="Q10974" s="2"/>
      <c r="R10974" s="2"/>
      <c r="S10974" s="5">
        <v>-22.5</v>
      </c>
      <c r="T10974" s="7">
        <v>35.207000000000001</v>
      </c>
      <c r="U10974" s="5">
        <v>22.7</v>
      </c>
      <c r="V10974" s="9">
        <v>-1.4957</v>
      </c>
      <c r="W10974" s="4">
        <v>22</v>
      </c>
      <c r="X10974" s="6">
        <v>22.95</v>
      </c>
      <c r="Y10974" s="6">
        <v>23.58</v>
      </c>
      <c r="Z10974" s="6">
        <v>23.89</v>
      </c>
      <c r="AA10974" s="6">
        <v>15.73</v>
      </c>
      <c r="AB10974" s="2" t="s">
        <v>47</v>
      </c>
      <c r="AC10974" s="6">
        <v>27.05</v>
      </c>
    </row>
    <row r="10975" spans="1:29" ht="260" x14ac:dyDescent="0.15">
      <c r="A10975" s="3">
        <f>DATE(2014,11,17)</f>
        <v>41960</v>
      </c>
      <c r="B10975" s="3">
        <f>DATE(2015,3,17)</f>
        <v>42080</v>
      </c>
      <c r="C10975" s="2" t="s">
        <v>95</v>
      </c>
      <c r="D10975" s="2" t="s">
        <v>7904</v>
      </c>
      <c r="E10975" s="2" t="s">
        <v>7905</v>
      </c>
      <c r="F10975" s="4">
        <v>2834</v>
      </c>
      <c r="G10975" s="2" t="s">
        <v>130</v>
      </c>
      <c r="H10975" s="2" t="s">
        <v>34</v>
      </c>
      <c r="I10975" s="2" t="s">
        <v>31261</v>
      </c>
      <c r="J10975" s="2" t="s">
        <v>13055</v>
      </c>
      <c r="K10975" s="2" t="s">
        <v>130</v>
      </c>
      <c r="L10975" s="2" t="s">
        <v>34</v>
      </c>
      <c r="M10975" s="12">
        <v>60081.402999999998</v>
      </c>
      <c r="N10975" s="2"/>
      <c r="O10975" s="5">
        <v>269.60000000000002</v>
      </c>
      <c r="P10975" s="2" t="s">
        <v>31876</v>
      </c>
      <c r="Q10975" s="6">
        <v>100</v>
      </c>
      <c r="R10975" s="6">
        <v>219</v>
      </c>
      <c r="S10975" s="8">
        <v>1299.9000000000001</v>
      </c>
      <c r="T10975" s="8">
        <v>2406</v>
      </c>
      <c r="U10975" s="5">
        <v>23.9</v>
      </c>
      <c r="V10975" s="9">
        <v>4.2907999999999999</v>
      </c>
      <c r="W10975" s="6">
        <v>123.97</v>
      </c>
      <c r="X10975" s="6">
        <v>133.91999999999999</v>
      </c>
      <c r="Y10975" s="4">
        <v>142</v>
      </c>
      <c r="Z10975" s="6">
        <v>163.65</v>
      </c>
      <c r="AA10975" s="6">
        <v>297.89999999999998</v>
      </c>
      <c r="AB10975" s="7">
        <v>30.692</v>
      </c>
      <c r="AC10975" s="5">
        <v>340.4</v>
      </c>
    </row>
    <row r="10976" spans="1:29" ht="91" x14ac:dyDescent="0.15">
      <c r="A10976" s="3">
        <f>DATE(2014,11,17)</f>
        <v>41960</v>
      </c>
      <c r="B10976" s="3">
        <f>DATE(2015,3,9)</f>
        <v>42072</v>
      </c>
      <c r="C10976" s="2" t="s">
        <v>95</v>
      </c>
      <c r="D10976" s="2" t="s">
        <v>31877</v>
      </c>
      <c r="E10976" s="2" t="s">
        <v>8995</v>
      </c>
      <c r="F10976" s="4">
        <v>7372</v>
      </c>
      <c r="G10976" s="2" t="s">
        <v>551</v>
      </c>
      <c r="H10976" s="2" t="s">
        <v>34</v>
      </c>
      <c r="I10976" s="2" t="s">
        <v>31878</v>
      </c>
      <c r="J10976" s="2" t="s">
        <v>244</v>
      </c>
      <c r="K10976" s="2" t="s">
        <v>53</v>
      </c>
      <c r="L10976" s="2" t="s">
        <v>34</v>
      </c>
      <c r="M10976" s="2"/>
      <c r="N10976" s="2"/>
      <c r="O10976" s="2"/>
      <c r="P10976" s="2" t="s">
        <v>31879</v>
      </c>
      <c r="Q10976" s="6">
        <v>100</v>
      </c>
      <c r="R10976" s="6">
        <v>2.82</v>
      </c>
      <c r="S10976" s="5">
        <v>-6.6</v>
      </c>
      <c r="T10976" s="7">
        <v>4.9109999999999996</v>
      </c>
      <c r="U10976" s="5">
        <v>0.7</v>
      </c>
      <c r="V10976" s="7">
        <v>-0.219</v>
      </c>
      <c r="W10976" s="6">
        <v>2.65</v>
      </c>
      <c r="X10976" s="6">
        <v>2.71</v>
      </c>
      <c r="Y10976" s="5">
        <v>2.8</v>
      </c>
      <c r="Z10976" s="6">
        <v>2.84</v>
      </c>
      <c r="AA10976" s="6">
        <v>40.25</v>
      </c>
      <c r="AB10976" s="7">
        <v>66.873999999999995</v>
      </c>
      <c r="AC10976" s="2"/>
    </row>
    <row r="10977" spans="1:29" ht="91" x14ac:dyDescent="0.15">
      <c r="A10977" s="3">
        <f>DATE(2014,11,17)</f>
        <v>41960</v>
      </c>
      <c r="B10977" s="3">
        <f>DATE(2015,7,1)</f>
        <v>42186</v>
      </c>
      <c r="C10977" s="2" t="s">
        <v>95</v>
      </c>
      <c r="D10977" s="2" t="s">
        <v>31880</v>
      </c>
      <c r="E10977" s="2" t="s">
        <v>36</v>
      </c>
      <c r="F10977" s="4">
        <v>6021</v>
      </c>
      <c r="G10977" s="2" t="s">
        <v>37</v>
      </c>
      <c r="H10977" s="2" t="s">
        <v>34</v>
      </c>
      <c r="I10977" s="2" t="s">
        <v>23752</v>
      </c>
      <c r="J10977" s="2" t="s">
        <v>36</v>
      </c>
      <c r="K10977" s="2" t="s">
        <v>37</v>
      </c>
      <c r="L10977" s="2" t="s">
        <v>34</v>
      </c>
      <c r="M10977" s="7">
        <v>497.90100000000001</v>
      </c>
      <c r="N10977" s="6">
        <v>17.239999999999998</v>
      </c>
      <c r="O10977" s="6">
        <v>17.29</v>
      </c>
      <c r="P10977" s="2" t="s">
        <v>31881</v>
      </c>
      <c r="Q10977" s="6">
        <v>100</v>
      </c>
      <c r="R10977" s="6">
        <v>20.5</v>
      </c>
      <c r="S10977" s="5">
        <v>6.4</v>
      </c>
      <c r="T10977" s="7">
        <v>9.8010000000000002</v>
      </c>
      <c r="U10977" s="5">
        <v>11.9</v>
      </c>
      <c r="V10977" s="9">
        <v>1.2952999999999999</v>
      </c>
      <c r="W10977" s="5">
        <v>13.5</v>
      </c>
      <c r="X10977" s="7">
        <v>13.311</v>
      </c>
      <c r="Y10977" s="6">
        <v>19.75</v>
      </c>
      <c r="Z10977" s="6">
        <v>19.75</v>
      </c>
      <c r="AA10977" s="6">
        <v>4.82</v>
      </c>
      <c r="AB10977" s="7">
        <v>23.457000000000001</v>
      </c>
      <c r="AC10977" s="2"/>
    </row>
    <row r="10978" spans="1:29" ht="104" x14ac:dyDescent="0.15">
      <c r="A10978" s="3">
        <f>DATE(2014,11,19)</f>
        <v>41962</v>
      </c>
      <c r="B10978" s="3">
        <f>DATE(2015,3,7)</f>
        <v>42070</v>
      </c>
      <c r="C10978" s="2" t="s">
        <v>95</v>
      </c>
      <c r="D10978" s="2" t="s">
        <v>31882</v>
      </c>
      <c r="E10978" s="2" t="s">
        <v>672</v>
      </c>
      <c r="F10978" s="4">
        <v>6021</v>
      </c>
      <c r="G10978" s="2" t="s">
        <v>37</v>
      </c>
      <c r="H10978" s="2" t="s">
        <v>34</v>
      </c>
      <c r="I10978" s="2" t="s">
        <v>23240</v>
      </c>
      <c r="J10978" s="2" t="s">
        <v>36</v>
      </c>
      <c r="K10978" s="2" t="s">
        <v>37</v>
      </c>
      <c r="L10978" s="2" t="s">
        <v>34</v>
      </c>
      <c r="M10978" s="7">
        <v>238.65100000000001</v>
      </c>
      <c r="N10978" s="6">
        <v>13.77</v>
      </c>
      <c r="O10978" s="6">
        <v>13.61</v>
      </c>
      <c r="P10978" s="2" t="s">
        <v>31883</v>
      </c>
      <c r="Q10978" s="6">
        <v>100</v>
      </c>
      <c r="R10978" s="6">
        <v>16</v>
      </c>
      <c r="S10978" s="2"/>
      <c r="T10978" s="2"/>
      <c r="U10978" s="2"/>
      <c r="V10978" s="2"/>
      <c r="W10978" s="5">
        <v>9.5</v>
      </c>
      <c r="X10978" s="6">
        <v>9.35</v>
      </c>
      <c r="Y10978" s="6">
        <v>9.35</v>
      </c>
      <c r="Z10978" s="5">
        <v>15.2</v>
      </c>
      <c r="AA10978" s="6">
        <v>2.56</v>
      </c>
      <c r="AB10978" s="2" t="s">
        <v>47</v>
      </c>
      <c r="AC10978" s="2"/>
    </row>
    <row r="10979" spans="1:29" ht="104" x14ac:dyDescent="0.15">
      <c r="A10979" s="3">
        <f>DATE(2014,11,19)</f>
        <v>41962</v>
      </c>
      <c r="B10979" s="3">
        <f>DATE(2014,12,23)</f>
        <v>41996</v>
      </c>
      <c r="C10979" s="2" t="s">
        <v>95</v>
      </c>
      <c r="D10979" s="2" t="s">
        <v>19836</v>
      </c>
      <c r="E10979" s="2" t="s">
        <v>19837</v>
      </c>
      <c r="F10979" s="4">
        <v>3661</v>
      </c>
      <c r="G10979" s="2" t="s">
        <v>921</v>
      </c>
      <c r="H10979" s="2" t="s">
        <v>34</v>
      </c>
      <c r="I10979" s="2" t="s">
        <v>31884</v>
      </c>
      <c r="J10979" s="2" t="s">
        <v>31885</v>
      </c>
      <c r="K10979" s="2" t="s">
        <v>921</v>
      </c>
      <c r="L10979" s="2" t="s">
        <v>34</v>
      </c>
      <c r="M10979" s="2"/>
      <c r="N10979" s="2"/>
      <c r="O10979" s="2"/>
      <c r="P10979" s="2" t="s">
        <v>31886</v>
      </c>
      <c r="Q10979" s="6">
        <v>100</v>
      </c>
      <c r="R10979" s="6">
        <v>24.25</v>
      </c>
      <c r="S10979" s="5">
        <v>-2.8</v>
      </c>
      <c r="T10979" s="7">
        <v>10.901999999999999</v>
      </c>
      <c r="U10979" s="5">
        <v>14.8</v>
      </c>
      <c r="V10979" s="9">
        <v>5.4699999999999999E-2</v>
      </c>
      <c r="W10979" s="6">
        <v>20.73</v>
      </c>
      <c r="X10979" s="6">
        <v>21.25</v>
      </c>
      <c r="Y10979" s="6">
        <v>24.18</v>
      </c>
      <c r="Z10979" s="6">
        <v>24.19</v>
      </c>
      <c r="AA10979" s="6">
        <v>17.079999999999998</v>
      </c>
      <c r="AB10979" s="7">
        <v>208.934</v>
      </c>
      <c r="AC10979" s="2"/>
    </row>
    <row r="10980" spans="1:29" ht="130" x14ac:dyDescent="0.15">
      <c r="A10980" s="3">
        <f>DATE(2014,11,20)</f>
        <v>41963</v>
      </c>
      <c r="B10980" s="2"/>
      <c r="C10980" s="2" t="s">
        <v>7330</v>
      </c>
      <c r="D10980" s="2" t="s">
        <v>29479</v>
      </c>
      <c r="E10980" s="2" t="s">
        <v>11539</v>
      </c>
      <c r="F10980" s="4">
        <v>1221</v>
      </c>
      <c r="G10980" s="2" t="s">
        <v>166</v>
      </c>
      <c r="H10980" s="2" t="s">
        <v>34</v>
      </c>
      <c r="I10980" s="2" t="s">
        <v>1558</v>
      </c>
      <c r="J10980" s="2" t="s">
        <v>52</v>
      </c>
      <c r="K10980" s="2" t="s">
        <v>53</v>
      </c>
      <c r="L10980" s="2" t="s">
        <v>34</v>
      </c>
      <c r="M10980" s="2"/>
      <c r="N10980" s="2"/>
      <c r="O10980" s="2"/>
      <c r="P10980" s="2" t="s">
        <v>31887</v>
      </c>
      <c r="Q10980" s="2"/>
      <c r="R10980" s="2"/>
      <c r="S10980" s="5">
        <v>-516.79999999999995</v>
      </c>
      <c r="T10980" s="7">
        <v>94.725999999999999</v>
      </c>
      <c r="U10980" s="5">
        <v>6.7</v>
      </c>
      <c r="V10980" s="9">
        <v>-8.0569000000000006</v>
      </c>
      <c r="W10980" s="6">
        <v>2.86</v>
      </c>
      <c r="X10980" s="6">
        <v>3.01</v>
      </c>
      <c r="Y10980" s="5">
        <v>3.1</v>
      </c>
      <c r="Z10980" s="6">
        <v>3.25</v>
      </c>
      <c r="AA10980" s="6">
        <v>72.069999999999993</v>
      </c>
      <c r="AB10980" s="2" t="s">
        <v>86</v>
      </c>
      <c r="AC10980" s="2"/>
    </row>
    <row r="10981" spans="1:29" ht="169" x14ac:dyDescent="0.15">
      <c r="A10981" s="3">
        <f>DATE(2014,12,1)</f>
        <v>41974</v>
      </c>
      <c r="B10981" s="3">
        <f>DATE(2015,3,12)</f>
        <v>42075</v>
      </c>
      <c r="C10981" s="2" t="s">
        <v>95</v>
      </c>
      <c r="D10981" s="2" t="s">
        <v>27149</v>
      </c>
      <c r="E10981" s="2" t="s">
        <v>31888</v>
      </c>
      <c r="F10981" s="4">
        <v>3674</v>
      </c>
      <c r="G10981" s="2" t="s">
        <v>137</v>
      </c>
      <c r="H10981" s="2" t="s">
        <v>34</v>
      </c>
      <c r="I10981" s="2" t="s">
        <v>26620</v>
      </c>
      <c r="J10981" s="2" t="s">
        <v>30035</v>
      </c>
      <c r="K10981" s="2" t="s">
        <v>137</v>
      </c>
      <c r="L10981" s="2" t="s">
        <v>34</v>
      </c>
      <c r="M10981" s="12">
        <v>1602.385</v>
      </c>
      <c r="N10981" s="6">
        <v>10.43</v>
      </c>
      <c r="O10981" s="6">
        <v>11.92</v>
      </c>
      <c r="P10981" s="2" t="s">
        <v>31889</v>
      </c>
      <c r="Q10981" s="6">
        <v>100</v>
      </c>
      <c r="R10981" s="6">
        <v>26.04</v>
      </c>
      <c r="S10981" s="5">
        <v>-69</v>
      </c>
      <c r="T10981" s="7">
        <v>79.256</v>
      </c>
      <c r="U10981" s="5">
        <v>8.6</v>
      </c>
      <c r="V10981" s="9">
        <v>-1.1494</v>
      </c>
      <c r="W10981" s="6">
        <v>22.13</v>
      </c>
      <c r="X10981" s="6">
        <v>23.37</v>
      </c>
      <c r="Y10981" s="6">
        <v>22.85</v>
      </c>
      <c r="Z10981" s="6">
        <v>27.86</v>
      </c>
      <c r="AA10981" s="6">
        <v>62.24</v>
      </c>
      <c r="AB10981" s="2" t="s">
        <v>86</v>
      </c>
      <c r="AC10981" s="6">
        <v>120.38</v>
      </c>
    </row>
    <row r="10982" spans="1:29" ht="156" x14ac:dyDescent="0.15">
      <c r="A10982" s="3">
        <f>DATE(2014,12,2)</f>
        <v>41975</v>
      </c>
      <c r="B10982" s="3">
        <f>DATE(2015,1,13)</f>
        <v>42017</v>
      </c>
      <c r="C10982" s="2" t="s">
        <v>95</v>
      </c>
      <c r="D10982" s="2" t="s">
        <v>31890</v>
      </c>
      <c r="E10982" s="2" t="s">
        <v>13055</v>
      </c>
      <c r="F10982" s="4">
        <v>2834</v>
      </c>
      <c r="G10982" s="2" t="s">
        <v>130</v>
      </c>
      <c r="H10982" s="2" t="s">
        <v>34</v>
      </c>
      <c r="I10982" s="2" t="s">
        <v>31891</v>
      </c>
      <c r="J10982" s="2" t="s">
        <v>13693</v>
      </c>
      <c r="K10982" s="2" t="s">
        <v>130</v>
      </c>
      <c r="L10982" s="2" t="s">
        <v>34</v>
      </c>
      <c r="M10982" s="2"/>
      <c r="N10982" s="2"/>
      <c r="O10982" s="2"/>
      <c r="P10982" s="2" t="s">
        <v>31892</v>
      </c>
      <c r="Q10982" s="6">
        <v>100</v>
      </c>
      <c r="R10982" s="6">
        <v>17</v>
      </c>
      <c r="S10982" s="5">
        <v>-50.4</v>
      </c>
      <c r="T10982" s="7">
        <v>-44.942</v>
      </c>
      <c r="U10982" s="5">
        <v>1.4</v>
      </c>
      <c r="V10982" s="9">
        <v>-0.31269999999999998</v>
      </c>
      <c r="W10982" s="6">
        <v>14.46</v>
      </c>
      <c r="X10982" s="4">
        <v>15</v>
      </c>
      <c r="Y10982" s="6">
        <v>16.920000000000002</v>
      </c>
      <c r="Z10982" s="6">
        <v>16.920000000000002</v>
      </c>
      <c r="AA10982" s="6">
        <v>193.51</v>
      </c>
      <c r="AB10982" s="2" t="s">
        <v>86</v>
      </c>
      <c r="AC10982" s="2"/>
    </row>
    <row r="10983" spans="1:29" ht="78" x14ac:dyDescent="0.15">
      <c r="A10983" s="3">
        <f>DATE(2014,12,3)</f>
        <v>41976</v>
      </c>
      <c r="B10983" s="2"/>
      <c r="C10983" s="2" t="s">
        <v>30</v>
      </c>
      <c r="D10983" s="2" t="s">
        <v>31893</v>
      </c>
      <c r="E10983" s="2" t="s">
        <v>31894</v>
      </c>
      <c r="F10983" s="4">
        <v>7374</v>
      </c>
      <c r="G10983" s="2" t="s">
        <v>223</v>
      </c>
      <c r="H10983" s="2" t="s">
        <v>34</v>
      </c>
      <c r="I10983" s="2" t="s">
        <v>31895</v>
      </c>
      <c r="J10983" s="2" t="s">
        <v>31896</v>
      </c>
      <c r="K10983" s="2" t="s">
        <v>63</v>
      </c>
      <c r="L10983" s="2" t="s">
        <v>34</v>
      </c>
      <c r="M10983" s="12">
        <v>2598.2829999999999</v>
      </c>
      <c r="N10983" s="6">
        <v>60.33</v>
      </c>
      <c r="O10983" s="5">
        <v>60.8</v>
      </c>
      <c r="P10983" s="2" t="s">
        <v>31897</v>
      </c>
      <c r="Q10983" s="2"/>
      <c r="R10983" s="6">
        <v>15</v>
      </c>
      <c r="S10983" s="5">
        <v>-3.9</v>
      </c>
      <c r="T10983" s="7">
        <v>8.9280000000000008</v>
      </c>
      <c r="U10983" s="5">
        <v>0.6</v>
      </c>
      <c r="V10983" s="9">
        <v>-0.14369999999999999</v>
      </c>
      <c r="W10983" s="6">
        <v>11.72</v>
      </c>
      <c r="X10983" s="6">
        <v>11.76</v>
      </c>
      <c r="Y10983" s="6">
        <v>14.44</v>
      </c>
      <c r="Z10983" s="6">
        <v>14.21</v>
      </c>
      <c r="AA10983" s="6">
        <v>26.97</v>
      </c>
      <c r="AB10983" s="2" t="s">
        <v>86</v>
      </c>
      <c r="AC10983" s="6">
        <v>622.41999999999996</v>
      </c>
    </row>
    <row r="10984" spans="1:29" ht="208" x14ac:dyDescent="0.15">
      <c r="A10984" s="3">
        <f>DATE(2014,12,3)</f>
        <v>41976</v>
      </c>
      <c r="B10984" s="2"/>
      <c r="C10984" s="2" t="s">
        <v>30</v>
      </c>
      <c r="D10984" s="2" t="s">
        <v>28910</v>
      </c>
      <c r="E10984" s="2" t="s">
        <v>1262</v>
      </c>
      <c r="F10984" s="4">
        <v>4911</v>
      </c>
      <c r="G10984" s="2" t="s">
        <v>439</v>
      </c>
      <c r="H10984" s="2" t="s">
        <v>34</v>
      </c>
      <c r="I10984" s="2" t="s">
        <v>31898</v>
      </c>
      <c r="J10984" s="2" t="s">
        <v>18040</v>
      </c>
      <c r="K10984" s="2" t="s">
        <v>439</v>
      </c>
      <c r="L10984" s="2" t="s">
        <v>34</v>
      </c>
      <c r="M10984" s="12">
        <v>45778.264000000003</v>
      </c>
      <c r="N10984" s="6">
        <v>104.39</v>
      </c>
      <c r="O10984" s="6">
        <v>103.49</v>
      </c>
      <c r="P10984" s="2" t="s">
        <v>31899</v>
      </c>
      <c r="Q10984" s="2"/>
      <c r="R10984" s="6">
        <v>25.36</v>
      </c>
      <c r="S10984" s="5">
        <v>176.1</v>
      </c>
      <c r="T10984" s="7">
        <v>503.25599999999997</v>
      </c>
      <c r="U10984" s="5">
        <v>17.600000000000001</v>
      </c>
      <c r="V10984" s="9">
        <v>1.7063999999999999</v>
      </c>
      <c r="W10984" s="6">
        <v>27.63</v>
      </c>
      <c r="X10984" s="5">
        <v>28.2</v>
      </c>
      <c r="Y10984" s="6">
        <v>28.19</v>
      </c>
      <c r="Z10984" s="6">
        <v>32.22</v>
      </c>
      <c r="AA10984" s="6">
        <v>102.56</v>
      </c>
      <c r="AB10984" s="7">
        <v>13.099</v>
      </c>
      <c r="AC10984" s="8">
        <v>1047</v>
      </c>
    </row>
    <row r="10985" spans="1:29" ht="143" x14ac:dyDescent="0.15">
      <c r="A10985" s="3">
        <f>DATE(2014,12,5)</f>
        <v>41978</v>
      </c>
      <c r="B10985" s="3">
        <f>DATE(2015,1,16)</f>
        <v>42020</v>
      </c>
      <c r="C10985" s="2" t="s">
        <v>95</v>
      </c>
      <c r="D10985" s="2" t="s">
        <v>31900</v>
      </c>
      <c r="E10985" s="2" t="s">
        <v>15468</v>
      </c>
      <c r="F10985" s="4">
        <v>7372</v>
      </c>
      <c r="G10985" s="2" t="s">
        <v>551</v>
      </c>
      <c r="H10985" s="2" t="s">
        <v>34</v>
      </c>
      <c r="I10985" s="2" t="s">
        <v>27044</v>
      </c>
      <c r="J10985" s="2" t="s">
        <v>27045</v>
      </c>
      <c r="K10985" s="2" t="s">
        <v>551</v>
      </c>
      <c r="L10985" s="2" t="s">
        <v>902</v>
      </c>
      <c r="M10985" s="12">
        <v>7065.7640000000001</v>
      </c>
      <c r="N10985" s="7">
        <v>59.451000000000001</v>
      </c>
      <c r="O10985" s="7">
        <v>58.750999999999998</v>
      </c>
      <c r="P10985" s="2" t="s">
        <v>31901</v>
      </c>
      <c r="Q10985" s="6">
        <v>100</v>
      </c>
      <c r="R10985" s="6">
        <v>6.6</v>
      </c>
      <c r="S10985" s="5">
        <v>-3.2</v>
      </c>
      <c r="T10985" s="7">
        <v>2.855</v>
      </c>
      <c r="U10985" s="5">
        <v>2.5</v>
      </c>
      <c r="V10985" s="9">
        <v>-7.7600000000000002E-2</v>
      </c>
      <c r="W10985" s="5">
        <v>3.6</v>
      </c>
      <c r="X10985" s="5">
        <v>3.5</v>
      </c>
      <c r="Y10985" s="7">
        <v>6.5549999999999997</v>
      </c>
      <c r="Z10985" s="6">
        <v>6.55</v>
      </c>
      <c r="AA10985" s="6">
        <v>46.4</v>
      </c>
      <c r="AB10985" s="2" t="s">
        <v>86</v>
      </c>
      <c r="AC10985" s="6">
        <v>492.62</v>
      </c>
    </row>
    <row r="10986" spans="1:29" ht="195" x14ac:dyDescent="0.15">
      <c r="A10986" s="3">
        <f>DATE(2014,12,8)</f>
        <v>41981</v>
      </c>
      <c r="B10986" s="3">
        <f>DATE(2015,1,21)</f>
        <v>42025</v>
      </c>
      <c r="C10986" s="2" t="s">
        <v>95</v>
      </c>
      <c r="D10986" s="2" t="s">
        <v>27439</v>
      </c>
      <c r="E10986" s="2" t="s">
        <v>6292</v>
      </c>
      <c r="F10986" s="4">
        <v>2834</v>
      </c>
      <c r="G10986" s="2" t="s">
        <v>130</v>
      </c>
      <c r="H10986" s="2" t="s">
        <v>34</v>
      </c>
      <c r="I10986" s="2" t="s">
        <v>4010</v>
      </c>
      <c r="J10986" s="2" t="s">
        <v>31430</v>
      </c>
      <c r="K10986" s="2" t="s">
        <v>130</v>
      </c>
      <c r="L10986" s="2" t="s">
        <v>34</v>
      </c>
      <c r="M10986" s="12">
        <v>167659.86300000001</v>
      </c>
      <c r="N10986" s="6">
        <v>61.88</v>
      </c>
      <c r="O10986" s="6">
        <v>60.01</v>
      </c>
      <c r="P10986" s="2" t="s">
        <v>31902</v>
      </c>
      <c r="Q10986" s="6">
        <v>100</v>
      </c>
      <c r="R10986" s="6">
        <v>102</v>
      </c>
      <c r="S10986" s="5">
        <v>65.099999999999994</v>
      </c>
      <c r="T10986" s="7">
        <v>197.357</v>
      </c>
      <c r="U10986" s="5">
        <v>20.3</v>
      </c>
      <c r="V10986" s="9">
        <v>0.81410000000000005</v>
      </c>
      <c r="W10986" s="6">
        <v>75.81</v>
      </c>
      <c r="X10986" s="6">
        <v>74.36</v>
      </c>
      <c r="Y10986" s="5">
        <v>100.6</v>
      </c>
      <c r="Z10986" s="5">
        <v>100.6</v>
      </c>
      <c r="AA10986" s="6">
        <v>76.42</v>
      </c>
      <c r="AB10986" s="7">
        <v>80.096999999999994</v>
      </c>
      <c r="AC10986" s="8">
        <v>14347</v>
      </c>
    </row>
    <row r="10987" spans="1:29" ht="143" x14ac:dyDescent="0.15">
      <c r="A10987" s="3">
        <f>DATE(2014,12,10)</f>
        <v>41983</v>
      </c>
      <c r="B10987" s="3">
        <f>DATE(2015,7,1)</f>
        <v>42186</v>
      </c>
      <c r="C10987" s="2" t="s">
        <v>95</v>
      </c>
      <c r="D10987" s="2" t="s">
        <v>31903</v>
      </c>
      <c r="E10987" s="2" t="s">
        <v>36</v>
      </c>
      <c r="F10987" s="4">
        <v>6035</v>
      </c>
      <c r="G10987" s="2" t="s">
        <v>33</v>
      </c>
      <c r="H10987" s="2" t="s">
        <v>34</v>
      </c>
      <c r="I10987" s="2" t="s">
        <v>25105</v>
      </c>
      <c r="J10987" s="2" t="s">
        <v>36</v>
      </c>
      <c r="K10987" s="2" t="s">
        <v>37</v>
      </c>
      <c r="L10987" s="2" t="s">
        <v>34</v>
      </c>
      <c r="M10987" s="6">
        <v>962.46</v>
      </c>
      <c r="N10987" s="6">
        <v>28.72</v>
      </c>
      <c r="O10987" s="6">
        <v>29.04</v>
      </c>
      <c r="P10987" s="2" t="s">
        <v>31904</v>
      </c>
      <c r="Q10987" s="6">
        <v>100</v>
      </c>
      <c r="R10987" s="6">
        <v>27.58</v>
      </c>
      <c r="S10987" s="5">
        <v>8.5</v>
      </c>
      <c r="T10987" s="7">
        <v>17.363</v>
      </c>
      <c r="U10987" s="5">
        <v>17.399999999999999</v>
      </c>
      <c r="V10987" s="9">
        <v>1.1168</v>
      </c>
      <c r="W10987" s="6">
        <v>21.09</v>
      </c>
      <c r="X10987" s="6">
        <v>21.69</v>
      </c>
      <c r="Y10987" s="6">
        <v>21.64</v>
      </c>
      <c r="Z10987" s="5">
        <v>25.4</v>
      </c>
      <c r="AA10987" s="6">
        <v>9.19</v>
      </c>
      <c r="AB10987" s="7">
        <v>33.411000000000001</v>
      </c>
      <c r="AC10987" s="2"/>
    </row>
    <row r="10988" spans="1:29" ht="52" x14ac:dyDescent="0.15">
      <c r="A10988" s="3">
        <f>DATE(2014,12,11)</f>
        <v>41984</v>
      </c>
      <c r="B10988" s="3">
        <f>DATE(2015,7,1)</f>
        <v>42186</v>
      </c>
      <c r="C10988" s="2" t="s">
        <v>95</v>
      </c>
      <c r="D10988" s="2" t="s">
        <v>31905</v>
      </c>
      <c r="E10988" s="2" t="s">
        <v>21800</v>
      </c>
      <c r="F10988" s="4">
        <v>6021</v>
      </c>
      <c r="G10988" s="2" t="s">
        <v>37</v>
      </c>
      <c r="H10988" s="2" t="s">
        <v>34</v>
      </c>
      <c r="I10988" s="2" t="s">
        <v>31906</v>
      </c>
      <c r="J10988" s="2" t="s">
        <v>36</v>
      </c>
      <c r="K10988" s="2" t="s">
        <v>37</v>
      </c>
      <c r="L10988" s="2" t="s">
        <v>34</v>
      </c>
      <c r="M10988" s="2"/>
      <c r="N10988" s="2"/>
      <c r="O10988" s="2"/>
      <c r="P10988" s="2" t="s">
        <v>31907</v>
      </c>
      <c r="Q10988" s="6">
        <v>100</v>
      </c>
      <c r="R10988" s="6">
        <v>67.5</v>
      </c>
      <c r="S10988" s="2"/>
      <c r="T10988" s="2"/>
      <c r="U10988" s="2"/>
      <c r="V10988" s="2"/>
      <c r="W10988" s="4">
        <v>38</v>
      </c>
      <c r="X10988" s="4">
        <v>38</v>
      </c>
      <c r="Y10988" s="4">
        <v>65</v>
      </c>
      <c r="Z10988" s="4">
        <v>65</v>
      </c>
      <c r="AA10988" s="6">
        <v>0.76</v>
      </c>
      <c r="AB10988" s="2" t="s">
        <v>47</v>
      </c>
      <c r="AC10988" s="2"/>
    </row>
    <row r="10989" spans="1:29" ht="52" x14ac:dyDescent="0.15">
      <c r="A10989" s="3">
        <f>DATE(2014,12,14)</f>
        <v>41987</v>
      </c>
      <c r="B10989" s="3">
        <f>DATE(2015,6,26)</f>
        <v>42181</v>
      </c>
      <c r="C10989" s="2" t="s">
        <v>95</v>
      </c>
      <c r="D10989" s="2" t="s">
        <v>31908</v>
      </c>
      <c r="E10989" s="2" t="s">
        <v>849</v>
      </c>
      <c r="F10989" s="4">
        <v>7372</v>
      </c>
      <c r="G10989" s="2" t="s">
        <v>551</v>
      </c>
      <c r="H10989" s="2" t="s">
        <v>34</v>
      </c>
      <c r="I10989" s="2" t="s">
        <v>31909</v>
      </c>
      <c r="J10989" s="2" t="s">
        <v>31910</v>
      </c>
      <c r="K10989" s="2" t="s">
        <v>551</v>
      </c>
      <c r="L10989" s="2" t="s">
        <v>34</v>
      </c>
      <c r="M10989" s="2"/>
      <c r="N10989" s="2"/>
      <c r="O10989" s="2"/>
      <c r="P10989" s="2" t="s">
        <v>31911</v>
      </c>
      <c r="Q10989" s="6">
        <v>100</v>
      </c>
      <c r="R10989" s="2"/>
      <c r="S10989" s="5">
        <v>-0.6</v>
      </c>
      <c r="T10989" s="6">
        <v>2.5299999999999998</v>
      </c>
      <c r="U10989" s="5">
        <v>0.5</v>
      </c>
      <c r="V10989" s="9">
        <v>-2.3800000000000002E-2</v>
      </c>
      <c r="W10989" s="7">
        <v>1.3080000000000001</v>
      </c>
      <c r="X10989" s="6">
        <v>1.29</v>
      </c>
      <c r="Y10989" s="6">
        <v>1.25</v>
      </c>
      <c r="Z10989" s="6">
        <v>1.25</v>
      </c>
      <c r="AA10989" s="6">
        <v>26.64</v>
      </c>
      <c r="AB10989" s="2" t="s">
        <v>86</v>
      </c>
      <c r="AC10989" s="6">
        <v>10.95</v>
      </c>
    </row>
    <row r="10990" spans="1:29" ht="247" x14ac:dyDescent="0.15">
      <c r="A10990" s="3">
        <f>DATE(2014,12,14)</f>
        <v>41987</v>
      </c>
      <c r="B10990" s="3">
        <f>DATE(2015,3,11)</f>
        <v>42074</v>
      </c>
      <c r="C10990" s="2" t="s">
        <v>95</v>
      </c>
      <c r="D10990" s="2" t="s">
        <v>5801</v>
      </c>
      <c r="E10990" s="2" t="s">
        <v>5802</v>
      </c>
      <c r="F10990" s="4">
        <v>5999</v>
      </c>
      <c r="G10990" s="2" t="s">
        <v>73</v>
      </c>
      <c r="H10990" s="2" t="s">
        <v>34</v>
      </c>
      <c r="I10990" s="2" t="s">
        <v>31912</v>
      </c>
      <c r="J10990" s="2" t="s">
        <v>31277</v>
      </c>
      <c r="K10990" s="2" t="s">
        <v>53</v>
      </c>
      <c r="L10990" s="2" t="s">
        <v>34</v>
      </c>
      <c r="M10990" s="2"/>
      <c r="N10990" s="2"/>
      <c r="O10990" s="2"/>
      <c r="P10990" s="2" t="s">
        <v>31913</v>
      </c>
      <c r="Q10990" s="6">
        <v>100</v>
      </c>
      <c r="R10990" s="6">
        <v>83</v>
      </c>
      <c r="S10990" s="5">
        <v>425.6</v>
      </c>
      <c r="T10990" s="7">
        <v>937.41899999999998</v>
      </c>
      <c r="U10990" s="5">
        <v>12.5</v>
      </c>
      <c r="V10990" s="9">
        <v>4.2153999999999998</v>
      </c>
      <c r="W10990" s="7">
        <v>68.484999999999999</v>
      </c>
      <c r="X10990" s="6">
        <v>68.44</v>
      </c>
      <c r="Y10990" s="5">
        <v>69.7</v>
      </c>
      <c r="Z10990" s="6">
        <v>70.52</v>
      </c>
      <c r="AA10990" s="6">
        <v>99.43</v>
      </c>
      <c r="AB10990" s="7">
        <v>12.346</v>
      </c>
      <c r="AC10990" s="2"/>
    </row>
    <row r="10991" spans="1:29" ht="117" x14ac:dyDescent="0.15">
      <c r="A10991" s="3">
        <f>DATE(2014,12,15)</f>
        <v>41988</v>
      </c>
      <c r="B10991" s="3">
        <f>DATE(2015,6,19)</f>
        <v>42174</v>
      </c>
      <c r="C10991" s="2" t="s">
        <v>95</v>
      </c>
      <c r="D10991" s="2" t="s">
        <v>31914</v>
      </c>
      <c r="E10991" s="2" t="s">
        <v>29798</v>
      </c>
      <c r="F10991" s="4">
        <v>6021</v>
      </c>
      <c r="G10991" s="2" t="s">
        <v>37</v>
      </c>
      <c r="H10991" s="2" t="s">
        <v>34</v>
      </c>
      <c r="I10991" s="2" t="s">
        <v>31915</v>
      </c>
      <c r="J10991" s="2" t="s">
        <v>265</v>
      </c>
      <c r="K10991" s="2" t="s">
        <v>37</v>
      </c>
      <c r="L10991" s="2" t="s">
        <v>34</v>
      </c>
      <c r="M10991" s="7">
        <v>306.06400000000002</v>
      </c>
      <c r="N10991" s="6">
        <v>25.11</v>
      </c>
      <c r="O10991" s="5">
        <v>25.2</v>
      </c>
      <c r="P10991" s="2" t="s">
        <v>31916</v>
      </c>
      <c r="Q10991" s="6">
        <v>100</v>
      </c>
      <c r="R10991" s="6">
        <v>20.03</v>
      </c>
      <c r="S10991" s="5">
        <v>1</v>
      </c>
      <c r="T10991" s="2"/>
      <c r="U10991" s="2"/>
      <c r="V10991" s="2"/>
      <c r="W10991" s="6">
        <v>17.350000000000001</v>
      </c>
      <c r="X10991" s="5">
        <v>17.3</v>
      </c>
      <c r="Y10991" s="6">
        <v>19.21</v>
      </c>
      <c r="Z10991" s="6">
        <v>19.25</v>
      </c>
      <c r="AA10991" s="6">
        <v>6.67</v>
      </c>
      <c r="AB10991" s="7">
        <v>13.175000000000001</v>
      </c>
      <c r="AC10991" s="2"/>
    </row>
    <row r="10992" spans="1:29" ht="143" x14ac:dyDescent="0.15">
      <c r="A10992" s="3">
        <f>DATE(2014,12,15)</f>
        <v>41988</v>
      </c>
      <c r="B10992" s="3">
        <f>DATE(2015,8,14)</f>
        <v>42230</v>
      </c>
      <c r="C10992" s="2" t="s">
        <v>95</v>
      </c>
      <c r="D10992" s="2" t="s">
        <v>31917</v>
      </c>
      <c r="E10992" s="2" t="s">
        <v>36</v>
      </c>
      <c r="F10992" s="4">
        <v>6021</v>
      </c>
      <c r="G10992" s="2" t="s">
        <v>37</v>
      </c>
      <c r="H10992" s="2" t="s">
        <v>34</v>
      </c>
      <c r="I10992" s="2" t="s">
        <v>31918</v>
      </c>
      <c r="J10992" s="2" t="s">
        <v>36</v>
      </c>
      <c r="K10992" s="2" t="s">
        <v>37</v>
      </c>
      <c r="L10992" s="2" t="s">
        <v>34</v>
      </c>
      <c r="M10992" s="12">
        <v>1228.596</v>
      </c>
      <c r="N10992" s="6">
        <v>12.35</v>
      </c>
      <c r="O10992" s="6">
        <v>11.91</v>
      </c>
      <c r="P10992" s="2" t="s">
        <v>31919</v>
      </c>
      <c r="Q10992" s="6">
        <v>100</v>
      </c>
      <c r="R10992" s="6">
        <v>18.7</v>
      </c>
      <c r="S10992" s="5">
        <v>7.4</v>
      </c>
      <c r="T10992" s="7">
        <v>10.852</v>
      </c>
      <c r="U10992" s="5">
        <v>11.7</v>
      </c>
      <c r="V10992" s="9">
        <v>0.75590000000000002</v>
      </c>
      <c r="W10992" s="6">
        <v>15.33</v>
      </c>
      <c r="X10992" s="6">
        <v>15.17</v>
      </c>
      <c r="Y10992" s="6">
        <v>15.29</v>
      </c>
      <c r="Z10992" s="6">
        <v>15.88</v>
      </c>
      <c r="AA10992" s="6">
        <v>9.67</v>
      </c>
      <c r="AB10992" s="7">
        <v>25.099</v>
      </c>
      <c r="AC10992" s="2"/>
    </row>
    <row r="10993" spans="1:29" ht="104" x14ac:dyDescent="0.15">
      <c r="A10993" s="3">
        <f>DATE(2014,12,15)</f>
        <v>41988</v>
      </c>
      <c r="B10993" s="3">
        <f>DATE(2015,1,23)</f>
        <v>42027</v>
      </c>
      <c r="C10993" s="2" t="s">
        <v>95</v>
      </c>
      <c r="D10993" s="2" t="s">
        <v>31920</v>
      </c>
      <c r="E10993" s="2" t="s">
        <v>31921</v>
      </c>
      <c r="F10993" s="4">
        <v>6159</v>
      </c>
      <c r="G10993" s="2" t="s">
        <v>370</v>
      </c>
      <c r="H10993" s="2" t="s">
        <v>34</v>
      </c>
      <c r="I10993" s="2" t="s">
        <v>22958</v>
      </c>
      <c r="J10993" s="2" t="s">
        <v>25541</v>
      </c>
      <c r="K10993" s="2" t="s">
        <v>53</v>
      </c>
      <c r="L10993" s="2" t="s">
        <v>34</v>
      </c>
      <c r="M10993" s="12">
        <v>3339.7759999999998</v>
      </c>
      <c r="N10993" s="6">
        <v>7.51</v>
      </c>
      <c r="O10993" s="6">
        <v>7.52</v>
      </c>
      <c r="P10993" s="2" t="s">
        <v>31922</v>
      </c>
      <c r="Q10993" s="6">
        <v>100</v>
      </c>
      <c r="R10993" s="6">
        <v>10.199999999999999</v>
      </c>
      <c r="S10993" s="5">
        <v>9.9</v>
      </c>
      <c r="T10993" s="6">
        <v>22.75</v>
      </c>
      <c r="U10993" s="5">
        <v>6.4</v>
      </c>
      <c r="V10993" s="9">
        <v>0.67390000000000005</v>
      </c>
      <c r="W10993" s="6">
        <v>8.59</v>
      </c>
      <c r="X10993" s="5">
        <v>8.3000000000000007</v>
      </c>
      <c r="Y10993" s="6">
        <v>10.19</v>
      </c>
      <c r="Z10993" s="5">
        <v>10.199999999999999</v>
      </c>
      <c r="AA10993" s="6">
        <v>14.43</v>
      </c>
      <c r="AB10993" s="7">
        <v>13.725</v>
      </c>
      <c r="AC10993" s="6">
        <v>483.83</v>
      </c>
    </row>
    <row r="10994" spans="1:29" ht="182" x14ac:dyDescent="0.15">
      <c r="A10994" s="3">
        <f>DATE(2014,12,15)</f>
        <v>41988</v>
      </c>
      <c r="B10994" s="3">
        <f>DATE(2015,4,24)</f>
        <v>42118</v>
      </c>
      <c r="C10994" s="2" t="s">
        <v>95</v>
      </c>
      <c r="D10994" s="2" t="s">
        <v>30290</v>
      </c>
      <c r="E10994" s="2" t="s">
        <v>30291</v>
      </c>
      <c r="F10994" s="4">
        <v>3577</v>
      </c>
      <c r="G10994" s="2" t="s">
        <v>50</v>
      </c>
      <c r="H10994" s="2" t="s">
        <v>34</v>
      </c>
      <c r="I10994" s="2" t="s">
        <v>31923</v>
      </c>
      <c r="J10994" s="2" t="s">
        <v>31277</v>
      </c>
      <c r="K10994" s="2" t="s">
        <v>53</v>
      </c>
      <c r="L10994" s="2" t="s">
        <v>34</v>
      </c>
      <c r="M10994" s="2"/>
      <c r="N10994" s="2"/>
      <c r="O10994" s="2"/>
      <c r="P10994" s="2" t="s">
        <v>31924</v>
      </c>
      <c r="Q10994" s="6">
        <v>100</v>
      </c>
      <c r="R10994" s="6">
        <v>21</v>
      </c>
      <c r="S10994" s="5">
        <v>29.9</v>
      </c>
      <c r="T10994" s="7">
        <v>190.96899999999999</v>
      </c>
      <c r="U10994" s="5">
        <v>4.9000000000000004</v>
      </c>
      <c r="V10994" s="9">
        <v>0.18229999999999999</v>
      </c>
      <c r="W10994" s="6">
        <v>18.079999999999998</v>
      </c>
      <c r="X10994" s="6">
        <v>17.850000000000001</v>
      </c>
      <c r="Y10994" s="6">
        <v>19.53</v>
      </c>
      <c r="Z10994" s="6">
        <v>19.54</v>
      </c>
      <c r="AA10994" s="6">
        <v>155.11000000000001</v>
      </c>
      <c r="AB10994" s="7">
        <v>46.292000000000002</v>
      </c>
      <c r="AC10994" s="2"/>
    </row>
    <row r="10995" spans="1:29" ht="208" x14ac:dyDescent="0.15">
      <c r="A10995" s="3">
        <f>DATE(2014,12,17)</f>
        <v>41990</v>
      </c>
      <c r="B10995" s="3">
        <f>DATE(2015,2,17)</f>
        <v>42052</v>
      </c>
      <c r="C10995" s="2" t="s">
        <v>95</v>
      </c>
      <c r="D10995" s="2" t="s">
        <v>31925</v>
      </c>
      <c r="E10995" s="2" t="s">
        <v>31926</v>
      </c>
      <c r="F10995" s="4">
        <v>3845</v>
      </c>
      <c r="G10995" s="2" t="s">
        <v>226</v>
      </c>
      <c r="H10995" s="2" t="s">
        <v>34</v>
      </c>
      <c r="I10995" s="2" t="s">
        <v>31927</v>
      </c>
      <c r="J10995" s="2" t="s">
        <v>14550</v>
      </c>
      <c r="K10995" s="2" t="s">
        <v>226</v>
      </c>
      <c r="L10995" s="2" t="s">
        <v>2105</v>
      </c>
      <c r="M10995" s="12">
        <v>26674.616999999998</v>
      </c>
      <c r="N10995" s="7">
        <v>27.768999999999998</v>
      </c>
      <c r="O10995" s="7">
        <v>29.094999999999999</v>
      </c>
      <c r="P10995" s="2" t="s">
        <v>31928</v>
      </c>
      <c r="Q10995" s="6">
        <v>100</v>
      </c>
      <c r="R10995" s="6">
        <v>18</v>
      </c>
      <c r="S10995" s="5">
        <v>-39.1</v>
      </c>
      <c r="T10995" s="7">
        <v>15.739000000000001</v>
      </c>
      <c r="U10995" s="5">
        <v>5.9</v>
      </c>
      <c r="V10995" s="9">
        <v>-0.73860000000000003</v>
      </c>
      <c r="W10995" s="6">
        <v>11.12</v>
      </c>
      <c r="X10995" s="5">
        <v>10.8</v>
      </c>
      <c r="Y10995" s="6">
        <v>11.05</v>
      </c>
      <c r="Z10995" s="6">
        <v>10.64</v>
      </c>
      <c r="AA10995" s="6">
        <v>51.61</v>
      </c>
      <c r="AB10995" s="2" t="s">
        <v>86</v>
      </c>
      <c r="AC10995" s="10">
        <v>2491.16</v>
      </c>
    </row>
    <row r="10996" spans="1:29" ht="91" x14ac:dyDescent="0.15">
      <c r="A10996" s="3">
        <f>DATE(2014,12,18)</f>
        <v>41991</v>
      </c>
      <c r="B10996" s="3">
        <f>DATE(2015,3,16)</f>
        <v>42079</v>
      </c>
      <c r="C10996" s="2" t="s">
        <v>95</v>
      </c>
      <c r="D10996" s="2" t="s">
        <v>31929</v>
      </c>
      <c r="E10996" s="2" t="s">
        <v>14384</v>
      </c>
      <c r="F10996" s="4">
        <v>5411</v>
      </c>
      <c r="G10996" s="2" t="s">
        <v>1461</v>
      </c>
      <c r="H10996" s="2" t="s">
        <v>34</v>
      </c>
      <c r="I10996" s="2" t="s">
        <v>28188</v>
      </c>
      <c r="J10996" s="2" t="s">
        <v>14384</v>
      </c>
      <c r="K10996" s="2" t="s">
        <v>1461</v>
      </c>
      <c r="L10996" s="2" t="s">
        <v>902</v>
      </c>
      <c r="M10996" s="12">
        <v>19954.006000000001</v>
      </c>
      <c r="N10996" s="7">
        <v>39.908000000000001</v>
      </c>
      <c r="O10996" s="7">
        <v>42.320999999999998</v>
      </c>
      <c r="P10996" s="2" t="s">
        <v>31930</v>
      </c>
      <c r="Q10996" s="6">
        <v>100</v>
      </c>
      <c r="R10996" s="6">
        <v>36.75</v>
      </c>
      <c r="S10996" s="5">
        <v>13.2</v>
      </c>
      <c r="T10996" s="7">
        <v>216.91900000000001</v>
      </c>
      <c r="U10996" s="5">
        <v>14.5</v>
      </c>
      <c r="V10996" s="2"/>
      <c r="W10996" s="6">
        <v>27.28</v>
      </c>
      <c r="X10996" s="6">
        <v>29.93</v>
      </c>
      <c r="Y10996" s="6">
        <v>28.86</v>
      </c>
      <c r="Z10996" s="6">
        <v>35.520000000000003</v>
      </c>
      <c r="AA10996" s="6">
        <v>23.01</v>
      </c>
      <c r="AB10996" s="7">
        <v>16.481999999999999</v>
      </c>
      <c r="AC10996" s="6">
        <v>596.55999999999995</v>
      </c>
    </row>
    <row r="10997" spans="1:29" ht="247" x14ac:dyDescent="0.15">
      <c r="A10997" s="3">
        <f>DATE(2014,12,22)</f>
        <v>41995</v>
      </c>
      <c r="B10997" s="2"/>
      <c r="C10997" s="2" t="s">
        <v>7330</v>
      </c>
      <c r="D10997" s="2" t="s">
        <v>31931</v>
      </c>
      <c r="E10997" s="2" t="s">
        <v>31932</v>
      </c>
      <c r="F10997" s="4">
        <v>7993</v>
      </c>
      <c r="G10997" s="2" t="s">
        <v>364</v>
      </c>
      <c r="H10997" s="2" t="s">
        <v>34</v>
      </c>
      <c r="I10997" s="2" t="s">
        <v>31933</v>
      </c>
      <c r="J10997" s="2" t="s">
        <v>31934</v>
      </c>
      <c r="K10997" s="2" t="s">
        <v>269</v>
      </c>
      <c r="L10997" s="2" t="s">
        <v>34</v>
      </c>
      <c r="M10997" s="10">
        <v>5904.79</v>
      </c>
      <c r="N10997" s="4">
        <v>15</v>
      </c>
      <c r="O10997" s="6">
        <v>15.24</v>
      </c>
      <c r="P10997" s="2" t="s">
        <v>31935</v>
      </c>
      <c r="Q10997" s="2"/>
      <c r="R10997" s="6">
        <v>14.95</v>
      </c>
      <c r="S10997" s="5">
        <v>619.1</v>
      </c>
      <c r="T10997" s="2"/>
      <c r="U10997" s="5">
        <v>12.3</v>
      </c>
      <c r="V10997" s="9">
        <v>4.4894999999999996</v>
      </c>
      <c r="W10997" s="6">
        <v>8.65</v>
      </c>
      <c r="X10997" s="6">
        <v>9.4600000000000009</v>
      </c>
      <c r="Y10997" s="6">
        <v>9.76</v>
      </c>
      <c r="Z10997" s="6">
        <v>9.84</v>
      </c>
      <c r="AA10997" s="6">
        <v>136.38999999999999</v>
      </c>
      <c r="AB10997" s="2" t="s">
        <v>86</v>
      </c>
      <c r="AC10997" s="8">
        <v>4626</v>
      </c>
    </row>
    <row r="10998" spans="1:29" ht="104" x14ac:dyDescent="0.15">
      <c r="A10998" s="3">
        <f>DATE(2014,12,22)</f>
        <v>41995</v>
      </c>
      <c r="B10998" s="3">
        <f>DATE(2015,2,12)</f>
        <v>42047</v>
      </c>
      <c r="C10998" s="2" t="s">
        <v>95</v>
      </c>
      <c r="D10998" s="2" t="s">
        <v>31936</v>
      </c>
      <c r="E10998" s="2" t="s">
        <v>31937</v>
      </c>
      <c r="F10998" s="4">
        <v>7372</v>
      </c>
      <c r="G10998" s="2" t="s">
        <v>551</v>
      </c>
      <c r="H10998" s="2" t="s">
        <v>34</v>
      </c>
      <c r="I10998" s="2" t="s">
        <v>31938</v>
      </c>
      <c r="J10998" s="2" t="s">
        <v>28323</v>
      </c>
      <c r="K10998" s="2" t="s">
        <v>53</v>
      </c>
      <c r="L10998" s="2" t="s">
        <v>34</v>
      </c>
      <c r="M10998" s="2"/>
      <c r="N10998" s="2"/>
      <c r="O10998" s="2"/>
      <c r="P10998" s="2" t="s">
        <v>31939</v>
      </c>
      <c r="Q10998" s="6">
        <v>100</v>
      </c>
      <c r="R10998" s="6">
        <v>7</v>
      </c>
      <c r="S10998" s="5">
        <v>3.9</v>
      </c>
      <c r="T10998" s="2"/>
      <c r="U10998" s="5">
        <v>6.1</v>
      </c>
      <c r="V10998" s="9">
        <v>1.4436</v>
      </c>
      <c r="W10998" s="7">
        <v>5.0709999999999997</v>
      </c>
      <c r="X10998" s="6">
        <v>5.23</v>
      </c>
      <c r="Y10998" s="7">
        <v>5.3819999999999997</v>
      </c>
      <c r="Z10998" s="6">
        <v>6.84</v>
      </c>
      <c r="AA10998" s="6">
        <v>2.7</v>
      </c>
      <c r="AB10998" s="7">
        <v>2.5390000000000001</v>
      </c>
      <c r="AC10998" s="2"/>
    </row>
    <row r="10999" spans="1:29" ht="169" x14ac:dyDescent="0.15">
      <c r="A10999" s="3">
        <f>DATE(2014,12,22)</f>
        <v>41995</v>
      </c>
      <c r="B10999" s="3">
        <f>DATE(2015,3,31)</f>
        <v>42094</v>
      </c>
      <c r="C10999" s="2" t="s">
        <v>95</v>
      </c>
      <c r="D10999" s="2" t="s">
        <v>31940</v>
      </c>
      <c r="E10999" s="2" t="s">
        <v>16971</v>
      </c>
      <c r="F10999" s="4">
        <v>3841</v>
      </c>
      <c r="G10999" s="2" t="s">
        <v>226</v>
      </c>
      <c r="H10999" s="2" t="s">
        <v>34</v>
      </c>
      <c r="I10999" s="2" t="s">
        <v>31941</v>
      </c>
      <c r="J10999" s="2" t="s">
        <v>31942</v>
      </c>
      <c r="K10999" s="2" t="s">
        <v>226</v>
      </c>
      <c r="L10999" s="2" t="s">
        <v>34</v>
      </c>
      <c r="M10999" s="7">
        <v>51.170999999999999</v>
      </c>
      <c r="N10999" s="6">
        <v>0.86</v>
      </c>
      <c r="O10999" s="6">
        <v>0.83</v>
      </c>
      <c r="P10999" s="2" t="s">
        <v>31943</v>
      </c>
      <c r="Q10999" s="6">
        <v>100</v>
      </c>
      <c r="R10999" s="6">
        <v>3.7</v>
      </c>
      <c r="S10999" s="5">
        <v>-5.0999999999999996</v>
      </c>
      <c r="T10999" s="7">
        <v>-4.7080000000000002</v>
      </c>
      <c r="U10999" s="5">
        <v>0.5</v>
      </c>
      <c r="V10999" s="9">
        <v>-0.23519999999999999</v>
      </c>
      <c r="W10999" s="6">
        <v>2.4700000000000002</v>
      </c>
      <c r="X10999" s="6">
        <v>2.35</v>
      </c>
      <c r="Y10999" s="6">
        <v>2.4300000000000002</v>
      </c>
      <c r="Z10999" s="5">
        <v>2.2999999999999998</v>
      </c>
      <c r="AA10999" s="6">
        <v>22.15</v>
      </c>
      <c r="AB10999" s="2" t="s">
        <v>86</v>
      </c>
      <c r="AC10999" s="5">
        <v>1.4</v>
      </c>
    </row>
    <row r="11000" spans="1:29" ht="52" x14ac:dyDescent="0.15">
      <c r="A11000" s="3">
        <f>DATE(2014,12,29)</f>
        <v>42002</v>
      </c>
      <c r="B11000" s="3">
        <f>DATE(2015,4,30)</f>
        <v>42124</v>
      </c>
      <c r="C11000" s="2" t="s">
        <v>95</v>
      </c>
      <c r="D11000" s="2" t="s">
        <v>31944</v>
      </c>
      <c r="E11000" s="2" t="s">
        <v>36</v>
      </c>
      <c r="F11000" s="4">
        <v>6021</v>
      </c>
      <c r="G11000" s="2" t="s">
        <v>37</v>
      </c>
      <c r="H11000" s="2" t="s">
        <v>34</v>
      </c>
      <c r="I11000" s="2" t="s">
        <v>25979</v>
      </c>
      <c r="J11000" s="2" t="s">
        <v>36</v>
      </c>
      <c r="K11000" s="2" t="s">
        <v>37</v>
      </c>
      <c r="L11000" s="2" t="s">
        <v>34</v>
      </c>
      <c r="M11000" s="7">
        <v>134.928</v>
      </c>
      <c r="N11000" s="6">
        <v>14.64</v>
      </c>
      <c r="O11000" s="6">
        <v>14.69</v>
      </c>
      <c r="P11000" s="2" t="s">
        <v>31945</v>
      </c>
      <c r="Q11000" s="6">
        <v>100</v>
      </c>
      <c r="R11000" s="2"/>
      <c r="S11000" s="2"/>
      <c r="T11000" s="2"/>
      <c r="U11000" s="2"/>
      <c r="V11000" s="2"/>
      <c r="W11000" s="4">
        <v>40</v>
      </c>
      <c r="X11000" s="4">
        <v>40</v>
      </c>
      <c r="Y11000" s="4">
        <v>40</v>
      </c>
      <c r="Z11000" s="4">
        <v>40</v>
      </c>
      <c r="AA11000" s="2"/>
      <c r="AB11000" s="2" t="s">
        <v>47</v>
      </c>
      <c r="AC11000" s="2"/>
    </row>
    <row r="11001" spans="1:29" ht="130" x14ac:dyDescent="0.15">
      <c r="A11001" s="3">
        <f>DATE(2014,12,30)</f>
        <v>42003</v>
      </c>
      <c r="B11001" s="3">
        <f>DATE(2015,7,2)</f>
        <v>42187</v>
      </c>
      <c r="C11001" s="2" t="s">
        <v>95</v>
      </c>
      <c r="D11001" s="2" t="s">
        <v>31946</v>
      </c>
      <c r="E11001" s="2" t="s">
        <v>31947</v>
      </c>
      <c r="F11001" s="4">
        <v>3211</v>
      </c>
      <c r="G11001" s="2" t="s">
        <v>237</v>
      </c>
      <c r="H11001" s="2" t="s">
        <v>34</v>
      </c>
      <c r="I11001" s="2" t="s">
        <v>31948</v>
      </c>
      <c r="J11001" s="2" t="s">
        <v>31949</v>
      </c>
      <c r="K11001" s="2" t="s">
        <v>163</v>
      </c>
      <c r="L11001" s="2" t="s">
        <v>34</v>
      </c>
      <c r="M11001" s="2"/>
      <c r="N11001" s="2"/>
      <c r="O11001" s="2"/>
      <c r="P11001" s="2" t="s">
        <v>31950</v>
      </c>
      <c r="Q11001" s="6">
        <v>61</v>
      </c>
      <c r="R11001" s="6">
        <v>11</v>
      </c>
      <c r="S11001" s="2"/>
      <c r="T11001" s="2"/>
      <c r="U11001" s="2"/>
      <c r="V11001" s="2"/>
      <c r="W11001" s="6">
        <v>6.92</v>
      </c>
      <c r="X11001" s="6">
        <v>6.92</v>
      </c>
      <c r="Y11001" s="6">
        <v>7.46</v>
      </c>
      <c r="Z11001" s="6">
        <v>9.5500000000000007</v>
      </c>
      <c r="AA11001" s="6">
        <v>9.5299999999999994</v>
      </c>
      <c r="AB11001" s="2" t="s">
        <v>47</v>
      </c>
      <c r="AC11001" s="2"/>
    </row>
    <row r="11002" spans="1:29" ht="65" x14ac:dyDescent="0.15">
      <c r="A11002" s="3">
        <f>DATE(2014,12,30)</f>
        <v>42003</v>
      </c>
      <c r="B11002" s="3">
        <f>DATE(2015,7,7)</f>
        <v>42192</v>
      </c>
      <c r="C11002" s="2" t="s">
        <v>95</v>
      </c>
      <c r="D11002" s="2" t="s">
        <v>26476</v>
      </c>
      <c r="E11002" s="2" t="s">
        <v>4015</v>
      </c>
      <c r="F11002" s="4">
        <v>6331</v>
      </c>
      <c r="G11002" s="2" t="s">
        <v>125</v>
      </c>
      <c r="H11002" s="2" t="s">
        <v>34</v>
      </c>
      <c r="I11002" s="2" t="s">
        <v>31951</v>
      </c>
      <c r="J11002" s="2" t="s">
        <v>1085</v>
      </c>
      <c r="K11002" s="2" t="s">
        <v>125</v>
      </c>
      <c r="L11002" s="2" t="s">
        <v>455</v>
      </c>
      <c r="M11002" s="12">
        <v>8528.4860000000008</v>
      </c>
      <c r="N11002" s="7">
        <v>1.3149999999999999</v>
      </c>
      <c r="O11002" s="6">
        <v>1.31</v>
      </c>
      <c r="P11002" s="2" t="s">
        <v>31952</v>
      </c>
      <c r="Q11002" s="6">
        <v>100</v>
      </c>
      <c r="R11002" s="6">
        <v>8.65</v>
      </c>
      <c r="S11002" s="5">
        <v>9.1999999999999993</v>
      </c>
      <c r="T11002" s="7">
        <v>17.795000000000002</v>
      </c>
      <c r="U11002" s="5">
        <v>8.9</v>
      </c>
      <c r="V11002" s="9">
        <v>0.18390000000000001</v>
      </c>
      <c r="W11002" s="5">
        <v>6.7</v>
      </c>
      <c r="X11002" s="6">
        <v>6.97</v>
      </c>
      <c r="Y11002" s="6">
        <v>7.13</v>
      </c>
      <c r="Z11002" s="6">
        <v>8.4600000000000009</v>
      </c>
      <c r="AA11002" s="6">
        <v>50.09</v>
      </c>
      <c r="AB11002" s="7">
        <v>60.213999999999999</v>
      </c>
      <c r="AC11002" s="10">
        <v>4931.3900000000003</v>
      </c>
    </row>
    <row r="11003" spans="1:29" ht="52" x14ac:dyDescent="0.15">
      <c r="A11003" s="3">
        <f>DATE(2014,12,30)</f>
        <v>42003</v>
      </c>
      <c r="B11003" s="3">
        <f>DATE(2015,11,30)</f>
        <v>42338</v>
      </c>
      <c r="C11003" s="2" t="s">
        <v>95</v>
      </c>
      <c r="D11003" s="2" t="s">
        <v>31953</v>
      </c>
      <c r="E11003" s="2" t="s">
        <v>36</v>
      </c>
      <c r="F11003" s="4">
        <v>6021</v>
      </c>
      <c r="G11003" s="2" t="s">
        <v>37</v>
      </c>
      <c r="H11003" s="2" t="s">
        <v>34</v>
      </c>
      <c r="I11003" s="2" t="s">
        <v>31954</v>
      </c>
      <c r="J11003" s="2" t="s">
        <v>36</v>
      </c>
      <c r="K11003" s="2" t="s">
        <v>37</v>
      </c>
      <c r="L11003" s="2" t="s">
        <v>34</v>
      </c>
      <c r="M11003" s="7">
        <v>655.32899999999995</v>
      </c>
      <c r="N11003" s="6">
        <v>34.92</v>
      </c>
      <c r="O11003" s="5">
        <v>35.200000000000003</v>
      </c>
      <c r="P11003" s="2" t="s">
        <v>31955</v>
      </c>
      <c r="Q11003" s="6">
        <v>100</v>
      </c>
      <c r="R11003" s="6">
        <v>21.51</v>
      </c>
      <c r="S11003" s="5">
        <v>1</v>
      </c>
      <c r="T11003" s="7">
        <v>2.1429999999999998</v>
      </c>
      <c r="U11003" s="5">
        <v>18</v>
      </c>
      <c r="V11003" s="9">
        <v>0.41760000000000003</v>
      </c>
      <c r="W11003" s="4">
        <v>16</v>
      </c>
      <c r="X11003" s="6">
        <v>15.36</v>
      </c>
      <c r="Y11003" s="6">
        <v>15.36</v>
      </c>
      <c r="Z11003" s="6">
        <v>20.72</v>
      </c>
      <c r="AA11003" s="6">
        <v>2.31</v>
      </c>
      <c r="AB11003" s="7">
        <v>62.253999999999998</v>
      </c>
      <c r="AC11003" s="2"/>
    </row>
    <row r="11004" spans="1:29" ht="169" x14ac:dyDescent="0.15">
      <c r="A11004" s="3">
        <f>DATE(2014,12,31)</f>
        <v>42004</v>
      </c>
      <c r="B11004" s="3">
        <f>DATE(2015,7,1)</f>
        <v>42186</v>
      </c>
      <c r="C11004" s="2" t="s">
        <v>95</v>
      </c>
      <c r="D11004" s="2" t="s">
        <v>30147</v>
      </c>
      <c r="E11004" s="2" t="s">
        <v>30148</v>
      </c>
      <c r="F11004" s="4">
        <v>2869</v>
      </c>
      <c r="G11004" s="2" t="s">
        <v>98</v>
      </c>
      <c r="H11004" s="2" t="s">
        <v>34</v>
      </c>
      <c r="I11004" s="2" t="s">
        <v>31956</v>
      </c>
      <c r="J11004" s="2" t="s">
        <v>31957</v>
      </c>
      <c r="K11004" s="2" t="s">
        <v>98</v>
      </c>
      <c r="L11004" s="2" t="s">
        <v>34</v>
      </c>
      <c r="M11004" s="7">
        <v>312.43299999999999</v>
      </c>
      <c r="N11004" s="6">
        <v>10.33</v>
      </c>
      <c r="O11004" s="6">
        <v>10.94</v>
      </c>
      <c r="P11004" s="2" t="s">
        <v>31958</v>
      </c>
      <c r="Q11004" s="6">
        <v>100</v>
      </c>
      <c r="R11004" s="6">
        <v>13.39</v>
      </c>
      <c r="S11004" s="5">
        <v>-46.6</v>
      </c>
      <c r="T11004" s="7">
        <v>12.268000000000001</v>
      </c>
      <c r="U11004" s="5">
        <v>814.7</v>
      </c>
      <c r="V11004" s="6">
        <v>-247.5</v>
      </c>
      <c r="W11004" s="4">
        <v>10</v>
      </c>
      <c r="X11004" s="4">
        <v>9</v>
      </c>
      <c r="Y11004" s="5">
        <v>12.1</v>
      </c>
      <c r="Z11004" s="5">
        <v>13.5</v>
      </c>
      <c r="AA11004" s="6">
        <v>14.2</v>
      </c>
      <c r="AB11004" s="2" t="s">
        <v>86</v>
      </c>
      <c r="AC11004" s="6">
        <v>63.67</v>
      </c>
    </row>
    <row r="11005" spans="1:29" ht="65" x14ac:dyDescent="0.15">
      <c r="A11005" s="3">
        <f>DATE(2015,1,1)</f>
        <v>42005</v>
      </c>
      <c r="B11005" s="2"/>
      <c r="C11005" s="2" t="s">
        <v>87</v>
      </c>
      <c r="D11005" s="2" t="s">
        <v>31096</v>
      </c>
      <c r="E11005" s="2" t="s">
        <v>7947</v>
      </c>
      <c r="F11005" s="4">
        <v>4841</v>
      </c>
      <c r="G11005" s="2" t="s">
        <v>45</v>
      </c>
      <c r="H11005" s="2" t="s">
        <v>34</v>
      </c>
      <c r="I11005" s="2" t="s">
        <v>12515</v>
      </c>
      <c r="J11005" s="2" t="s">
        <v>12371</v>
      </c>
      <c r="K11005" s="2" t="s">
        <v>223</v>
      </c>
      <c r="L11005" s="2" t="s">
        <v>34</v>
      </c>
      <c r="M11005" s="12">
        <v>47755.987999999998</v>
      </c>
      <c r="N11005" s="6">
        <v>50.17</v>
      </c>
      <c r="O11005" s="6">
        <v>50.17</v>
      </c>
      <c r="P11005" s="2" t="s">
        <v>31959</v>
      </c>
      <c r="Q11005" s="2"/>
      <c r="R11005" s="2"/>
      <c r="S11005" s="5">
        <v>545.29999999999995</v>
      </c>
      <c r="T11005" s="12">
        <v>1169.8610000000001</v>
      </c>
      <c r="U11005" s="5">
        <v>10.5</v>
      </c>
      <c r="V11005" s="9">
        <v>3.8348</v>
      </c>
      <c r="W11005" s="6">
        <v>78.540000000000006</v>
      </c>
      <c r="X11005" s="6">
        <v>75.27</v>
      </c>
      <c r="Y11005" s="6">
        <v>75.94</v>
      </c>
      <c r="Z11005" s="6">
        <v>75.94</v>
      </c>
      <c r="AA11005" s="6">
        <v>102.79</v>
      </c>
      <c r="AB11005" s="2" t="s">
        <v>47</v>
      </c>
      <c r="AC11005" s="10">
        <v>8117.98</v>
      </c>
    </row>
    <row r="11006" spans="1:29" ht="130" x14ac:dyDescent="0.15">
      <c r="A11006" s="3">
        <f>DATE(2015,1,5)</f>
        <v>42009</v>
      </c>
      <c r="B11006" s="3">
        <f>DATE(2015,6,18)</f>
        <v>42173</v>
      </c>
      <c r="C11006" s="2" t="s">
        <v>95</v>
      </c>
      <c r="D11006" s="2" t="s">
        <v>31960</v>
      </c>
      <c r="E11006" s="2" t="s">
        <v>1948</v>
      </c>
      <c r="F11006" s="4">
        <v>1094</v>
      </c>
      <c r="G11006" s="2" t="s">
        <v>166</v>
      </c>
      <c r="H11006" s="2" t="s">
        <v>34</v>
      </c>
      <c r="I11006" s="2" t="s">
        <v>31961</v>
      </c>
      <c r="J11006" s="2" t="s">
        <v>31962</v>
      </c>
      <c r="K11006" s="2" t="s">
        <v>166</v>
      </c>
      <c r="L11006" s="2" t="s">
        <v>902</v>
      </c>
      <c r="M11006" s="7">
        <v>137.68600000000001</v>
      </c>
      <c r="N11006" s="7">
        <v>5.3140000000000001</v>
      </c>
      <c r="O11006" s="7">
        <v>5.4050000000000002</v>
      </c>
      <c r="P11006" s="2" t="s">
        <v>31963</v>
      </c>
      <c r="Q11006" s="6">
        <v>100</v>
      </c>
      <c r="R11006" s="6">
        <v>1.59</v>
      </c>
      <c r="S11006" s="5">
        <v>-12</v>
      </c>
      <c r="T11006" s="7">
        <v>-10.993</v>
      </c>
      <c r="U11006" s="5">
        <v>-0.1</v>
      </c>
      <c r="V11006" s="9">
        <v>-0.1326</v>
      </c>
      <c r="W11006" s="6">
        <v>1.0900000000000001</v>
      </c>
      <c r="X11006" s="6">
        <v>1.1499999999999999</v>
      </c>
      <c r="Y11006" s="6">
        <v>1.18</v>
      </c>
      <c r="Z11006" s="5">
        <v>1.2</v>
      </c>
      <c r="AA11006" s="6">
        <v>95.82</v>
      </c>
      <c r="AB11006" s="2" t="s">
        <v>86</v>
      </c>
      <c r="AC11006" s="6">
        <v>10.69</v>
      </c>
    </row>
    <row r="11007" spans="1:29" ht="65" x14ac:dyDescent="0.15">
      <c r="A11007" s="3">
        <f>DATE(2015,1,7)</f>
        <v>42011</v>
      </c>
      <c r="B11007" s="2"/>
      <c r="C11007" s="2" t="s">
        <v>87</v>
      </c>
      <c r="D11007" s="2" t="s">
        <v>22078</v>
      </c>
      <c r="E11007" s="2" t="s">
        <v>10623</v>
      </c>
      <c r="F11007" s="4">
        <v>5941</v>
      </c>
      <c r="G11007" s="2" t="s">
        <v>73</v>
      </c>
      <c r="H11007" s="2" t="s">
        <v>34</v>
      </c>
      <c r="I11007" s="2" t="s">
        <v>143</v>
      </c>
      <c r="J11007" s="2" t="s">
        <v>144</v>
      </c>
      <c r="K11007" s="2" t="s">
        <v>53</v>
      </c>
      <c r="L11007" s="2" t="s">
        <v>139</v>
      </c>
      <c r="M11007" s="2"/>
      <c r="N11007" s="2"/>
      <c r="O11007" s="2"/>
      <c r="P11007" s="2" t="s">
        <v>31964</v>
      </c>
      <c r="Q11007" s="2"/>
      <c r="R11007" s="2"/>
      <c r="S11007" s="5">
        <v>327.3</v>
      </c>
      <c r="T11007" s="7">
        <v>699.11699999999996</v>
      </c>
      <c r="U11007" s="5">
        <v>14.2</v>
      </c>
      <c r="V11007" s="9">
        <v>2.6598000000000002</v>
      </c>
      <c r="W11007" s="6">
        <v>49.65</v>
      </c>
      <c r="X11007" s="6">
        <v>49.24</v>
      </c>
      <c r="Y11007" s="6">
        <v>55.01</v>
      </c>
      <c r="Z11007" s="5">
        <v>54.7</v>
      </c>
      <c r="AA11007" s="6">
        <v>119.64</v>
      </c>
      <c r="AB11007" s="2" t="s">
        <v>47</v>
      </c>
      <c r="AC11007" s="2"/>
    </row>
    <row r="11008" spans="1:29" ht="39" x14ac:dyDescent="0.15">
      <c r="A11008" s="3">
        <f>DATE(2015,1,8)</f>
        <v>42012</v>
      </c>
      <c r="B11008" s="3">
        <f>DATE(2015,4,9)</f>
        <v>42103</v>
      </c>
      <c r="C11008" s="2" t="s">
        <v>95</v>
      </c>
      <c r="D11008" s="2" t="s">
        <v>31965</v>
      </c>
      <c r="E11008" s="2" t="s">
        <v>36</v>
      </c>
      <c r="F11008" s="4">
        <v>6021</v>
      </c>
      <c r="G11008" s="2" t="s">
        <v>37</v>
      </c>
      <c r="H11008" s="2" t="s">
        <v>34</v>
      </c>
      <c r="I11008" s="2" t="s">
        <v>31966</v>
      </c>
      <c r="J11008" s="2" t="s">
        <v>36</v>
      </c>
      <c r="K11008" s="2" t="s">
        <v>37</v>
      </c>
      <c r="L11008" s="2" t="s">
        <v>34</v>
      </c>
      <c r="M11008" s="7">
        <v>73.468999999999994</v>
      </c>
      <c r="N11008" s="4">
        <v>26</v>
      </c>
      <c r="O11008" s="4">
        <v>26</v>
      </c>
      <c r="P11008" s="2" t="s">
        <v>31967</v>
      </c>
      <c r="Q11008" s="6">
        <v>100</v>
      </c>
      <c r="R11008" s="2"/>
      <c r="S11008" s="5">
        <v>0.4</v>
      </c>
      <c r="T11008" s="2"/>
      <c r="U11008" s="5">
        <v>6.5</v>
      </c>
      <c r="V11008" s="9">
        <v>5.1400000000000001E-2</v>
      </c>
      <c r="W11008" s="4">
        <v>7</v>
      </c>
      <c r="X11008" s="5">
        <v>7.3</v>
      </c>
      <c r="Y11008" s="6">
        <v>7.35</v>
      </c>
      <c r="Z11008" s="6">
        <v>7.35</v>
      </c>
      <c r="AA11008" s="6">
        <v>7.19</v>
      </c>
      <c r="AB11008" s="2" t="s">
        <v>86</v>
      </c>
      <c r="AC11008" s="2"/>
    </row>
    <row r="11009" spans="1:29" ht="143" x14ac:dyDescent="0.15">
      <c r="A11009" s="3">
        <f>DATE(2015,1,9)</f>
        <v>42013</v>
      </c>
      <c r="B11009" s="2"/>
      <c r="C11009" s="2" t="s">
        <v>30</v>
      </c>
      <c r="D11009" s="2" t="s">
        <v>1443</v>
      </c>
      <c r="E11009" s="2" t="s">
        <v>1444</v>
      </c>
      <c r="F11009" s="4">
        <v>3429</v>
      </c>
      <c r="G11009" s="2" t="s">
        <v>163</v>
      </c>
      <c r="H11009" s="2" t="s">
        <v>34</v>
      </c>
      <c r="I11009" s="2" t="s">
        <v>2410</v>
      </c>
      <c r="J11009" s="2" t="s">
        <v>31968</v>
      </c>
      <c r="K11009" s="2" t="s">
        <v>163</v>
      </c>
      <c r="L11009" s="2" t="s">
        <v>34</v>
      </c>
      <c r="M11009" s="7">
        <v>151.53899999999999</v>
      </c>
      <c r="N11009" s="6">
        <v>17.27</v>
      </c>
      <c r="O11009" s="6">
        <v>17.440000000000001</v>
      </c>
      <c r="P11009" s="2" t="s">
        <v>31969</v>
      </c>
      <c r="Q11009" s="2"/>
      <c r="R11009" s="6">
        <v>19.100000000000001</v>
      </c>
      <c r="S11009" s="5">
        <v>7.7</v>
      </c>
      <c r="T11009" s="7">
        <v>15.205</v>
      </c>
      <c r="U11009" s="5">
        <v>12</v>
      </c>
      <c r="V11009" s="9">
        <v>1.2282</v>
      </c>
      <c r="W11009" s="6">
        <v>18.489999999999998</v>
      </c>
      <c r="X11009" s="6">
        <v>18.010000000000002</v>
      </c>
      <c r="Y11009" s="6">
        <v>18.78</v>
      </c>
      <c r="Z11009" s="6">
        <v>18.54</v>
      </c>
      <c r="AA11009" s="6">
        <v>6.22</v>
      </c>
      <c r="AB11009" s="7">
        <v>9.1920000000000002</v>
      </c>
      <c r="AC11009" s="6">
        <v>0.03</v>
      </c>
    </row>
    <row r="11010" spans="1:29" ht="156" x14ac:dyDescent="0.15">
      <c r="A11010" s="3">
        <f>DATE(2015,1,11)</f>
        <v>42015</v>
      </c>
      <c r="B11010" s="3">
        <f>DATE(2015,2,20)</f>
        <v>42055</v>
      </c>
      <c r="C11010" s="2" t="s">
        <v>95</v>
      </c>
      <c r="D11010" s="2" t="s">
        <v>20663</v>
      </c>
      <c r="E11010" s="2" t="s">
        <v>20664</v>
      </c>
      <c r="F11010" s="4">
        <v>2836</v>
      </c>
      <c r="G11010" s="2" t="s">
        <v>130</v>
      </c>
      <c r="H11010" s="2" t="s">
        <v>34</v>
      </c>
      <c r="I11010" s="2" t="s">
        <v>25183</v>
      </c>
      <c r="J11010" s="2" t="s">
        <v>4011</v>
      </c>
      <c r="K11010" s="2" t="s">
        <v>130</v>
      </c>
      <c r="L11010" s="2" t="s">
        <v>7645</v>
      </c>
      <c r="M11010" s="12">
        <v>42022.483</v>
      </c>
      <c r="N11010" s="7">
        <v>71.308999999999997</v>
      </c>
      <c r="O11010" s="7">
        <v>71.308999999999997</v>
      </c>
      <c r="P11010" s="2" t="s">
        <v>31970</v>
      </c>
      <c r="Q11010" s="6">
        <v>100</v>
      </c>
      <c r="R11010" s="6">
        <v>46</v>
      </c>
      <c r="S11010" s="5">
        <v>-8.6999999999999993</v>
      </c>
      <c r="T11010" s="7">
        <v>8.3849999999999998</v>
      </c>
      <c r="U11010" s="5">
        <v>1.2</v>
      </c>
      <c r="V11010" s="9">
        <v>-8.1900000000000001E-2</v>
      </c>
      <c r="W11010" s="5">
        <v>26.8</v>
      </c>
      <c r="X11010" s="6">
        <v>27.45</v>
      </c>
      <c r="Y11010" s="6">
        <v>31.13</v>
      </c>
      <c r="Z11010" s="5">
        <v>32.6</v>
      </c>
      <c r="AA11010" s="6">
        <v>107.1</v>
      </c>
      <c r="AB11010" s="7">
        <v>1004.942</v>
      </c>
      <c r="AC11010" s="10">
        <v>3037.52</v>
      </c>
    </row>
    <row r="11011" spans="1:29" ht="130" x14ac:dyDescent="0.15">
      <c r="A11011" s="3">
        <f>DATE(2015,1,12)</f>
        <v>42016</v>
      </c>
      <c r="B11011" s="3">
        <f>DATE(2015,4,7)</f>
        <v>42101</v>
      </c>
      <c r="C11011" s="2" t="s">
        <v>95</v>
      </c>
      <c r="D11011" s="2" t="s">
        <v>31971</v>
      </c>
      <c r="E11011" s="2" t="s">
        <v>31972</v>
      </c>
      <c r="F11011" s="4">
        <v>8071</v>
      </c>
      <c r="G11011" s="2" t="s">
        <v>454</v>
      </c>
      <c r="H11011" s="2" t="s">
        <v>34</v>
      </c>
      <c r="I11011" s="2" t="s">
        <v>213</v>
      </c>
      <c r="J11011" s="2" t="s">
        <v>214</v>
      </c>
      <c r="K11011" s="2" t="s">
        <v>130</v>
      </c>
      <c r="L11011" s="2" t="s">
        <v>215</v>
      </c>
      <c r="M11011" s="12">
        <v>203321.64499999999</v>
      </c>
      <c r="N11011" s="7">
        <v>278.53300000000002</v>
      </c>
      <c r="O11011" s="7">
        <v>280.69799999999998</v>
      </c>
      <c r="P11011" s="2" t="s">
        <v>31973</v>
      </c>
      <c r="Q11011" s="6">
        <v>46.76</v>
      </c>
      <c r="R11011" s="6">
        <v>50</v>
      </c>
      <c r="S11011" s="5">
        <v>-52.2</v>
      </c>
      <c r="T11011" s="7">
        <v>-45.088000000000001</v>
      </c>
      <c r="U11011" s="5">
        <v>3.1</v>
      </c>
      <c r="V11011" s="9">
        <v>-1.8681000000000001</v>
      </c>
      <c r="W11011" s="6">
        <v>22.46</v>
      </c>
      <c r="X11011" s="6">
        <v>23.93</v>
      </c>
      <c r="Y11011" s="6">
        <v>46.74</v>
      </c>
      <c r="Z11011" s="6">
        <v>48.09</v>
      </c>
      <c r="AA11011" s="6">
        <v>28.37</v>
      </c>
      <c r="AB11011" s="2" t="s">
        <v>86</v>
      </c>
      <c r="AC11011" s="10">
        <v>11971.63</v>
      </c>
    </row>
    <row r="11012" spans="1:29" ht="169" x14ac:dyDescent="0.15">
      <c r="A11012" s="3">
        <f>DATE(2015,1,12)</f>
        <v>42016</v>
      </c>
      <c r="B11012" s="3">
        <f>DATE(2015,2,24)</f>
        <v>42059</v>
      </c>
      <c r="C11012" s="2" t="s">
        <v>95</v>
      </c>
      <c r="D11012" s="2" t="s">
        <v>31974</v>
      </c>
      <c r="E11012" s="2" t="s">
        <v>31975</v>
      </c>
      <c r="F11012" s="4">
        <v>5122</v>
      </c>
      <c r="G11012" s="2" t="s">
        <v>593</v>
      </c>
      <c r="H11012" s="2" t="s">
        <v>34</v>
      </c>
      <c r="I11012" s="2" t="s">
        <v>31976</v>
      </c>
      <c r="J11012" s="2" t="s">
        <v>31977</v>
      </c>
      <c r="K11012" s="2" t="s">
        <v>593</v>
      </c>
      <c r="L11012" s="2" t="s">
        <v>34</v>
      </c>
      <c r="M11012" s="12">
        <v>19833.166000000001</v>
      </c>
      <c r="N11012" s="6">
        <v>90.93</v>
      </c>
      <c r="O11012" s="6">
        <v>91.64</v>
      </c>
      <c r="P11012" s="2" t="s">
        <v>31978</v>
      </c>
      <c r="Q11012" s="6">
        <v>100</v>
      </c>
      <c r="R11012" s="6">
        <v>190</v>
      </c>
      <c r="S11012" s="5">
        <v>73.599999999999994</v>
      </c>
      <c r="T11012" s="6">
        <v>135.77000000000001</v>
      </c>
      <c r="U11012" s="5">
        <v>40.299999999999997</v>
      </c>
      <c r="V11012" s="9">
        <v>5.7693000000000003</v>
      </c>
      <c r="W11012" s="6">
        <v>171.15</v>
      </c>
      <c r="X11012" s="6">
        <v>175.65</v>
      </c>
      <c r="Y11012" s="4">
        <v>190</v>
      </c>
      <c r="Z11012" s="6">
        <v>189.96</v>
      </c>
      <c r="AA11012" s="6">
        <v>12.91</v>
      </c>
      <c r="AB11012" s="7">
        <v>20.405999999999999</v>
      </c>
      <c r="AC11012" s="10">
        <v>2298.7600000000002</v>
      </c>
    </row>
    <row r="11013" spans="1:29" ht="156" x14ac:dyDescent="0.15">
      <c r="A11013" s="3">
        <f>DATE(2015,1,14)</f>
        <v>42018</v>
      </c>
      <c r="B11013" s="3">
        <f>DATE(2015,6,29)</f>
        <v>42184</v>
      </c>
      <c r="C11013" s="2" t="s">
        <v>95</v>
      </c>
      <c r="D11013" s="2" t="s">
        <v>31979</v>
      </c>
      <c r="E11013" s="2" t="s">
        <v>672</v>
      </c>
      <c r="F11013" s="4">
        <v>6021</v>
      </c>
      <c r="G11013" s="2" t="s">
        <v>37</v>
      </c>
      <c r="H11013" s="2" t="s">
        <v>34</v>
      </c>
      <c r="I11013" s="2" t="s">
        <v>27169</v>
      </c>
      <c r="J11013" s="2" t="s">
        <v>21800</v>
      </c>
      <c r="K11013" s="2" t="s">
        <v>37</v>
      </c>
      <c r="L11013" s="2" t="s">
        <v>34</v>
      </c>
      <c r="M11013" s="7">
        <v>51.854999999999997</v>
      </c>
      <c r="N11013" s="6">
        <v>2.95</v>
      </c>
      <c r="O11013" s="6">
        <v>2.95</v>
      </c>
      <c r="P11013" s="2" t="s">
        <v>31980</v>
      </c>
      <c r="Q11013" s="6">
        <v>100</v>
      </c>
      <c r="R11013" s="6">
        <v>9.1300000000000008</v>
      </c>
      <c r="S11013" s="5">
        <v>-1.4</v>
      </c>
      <c r="T11013" s="2"/>
      <c r="U11013" s="5">
        <v>4.5999999999999996</v>
      </c>
      <c r="V11013" s="9">
        <v>-0.1135</v>
      </c>
      <c r="W11013" s="5">
        <v>3.3</v>
      </c>
      <c r="X11013" s="5">
        <v>3.3</v>
      </c>
      <c r="Y11013" s="5">
        <v>3.3</v>
      </c>
      <c r="Z11013" s="5">
        <v>4.5</v>
      </c>
      <c r="AA11013" s="6">
        <v>12.51</v>
      </c>
      <c r="AB11013" s="2" t="s">
        <v>86</v>
      </c>
      <c r="AC11013" s="2"/>
    </row>
    <row r="11014" spans="1:29" ht="104" x14ac:dyDescent="0.15">
      <c r="A11014" s="3">
        <f>DATE(2015,1,16)</f>
        <v>42020</v>
      </c>
      <c r="B11014" s="2"/>
      <c r="C11014" s="2" t="s">
        <v>30</v>
      </c>
      <c r="D11014" s="2" t="s">
        <v>31981</v>
      </c>
      <c r="E11014" s="2" t="s">
        <v>417</v>
      </c>
      <c r="F11014" s="4">
        <v>2731</v>
      </c>
      <c r="G11014" s="2" t="s">
        <v>186</v>
      </c>
      <c r="H11014" s="2" t="s">
        <v>34</v>
      </c>
      <c r="I11014" s="2" t="s">
        <v>31982</v>
      </c>
      <c r="J11014" s="2" t="s">
        <v>22367</v>
      </c>
      <c r="K11014" s="2" t="s">
        <v>186</v>
      </c>
      <c r="L11014" s="2" t="s">
        <v>34</v>
      </c>
      <c r="M11014" s="7">
        <v>884.99699999999996</v>
      </c>
      <c r="N11014" s="6">
        <v>20.95</v>
      </c>
      <c r="O11014" s="6">
        <v>20.63</v>
      </c>
      <c r="P11014" s="2" t="s">
        <v>31983</v>
      </c>
      <c r="Q11014" s="2"/>
      <c r="R11014" s="6">
        <v>20.5</v>
      </c>
      <c r="S11014" s="5">
        <v>6.9</v>
      </c>
      <c r="T11014" s="6">
        <v>40.44</v>
      </c>
      <c r="U11014" s="5">
        <v>12.6</v>
      </c>
      <c r="V11014" s="9">
        <v>0.68789999999999996</v>
      </c>
      <c r="W11014" s="6">
        <v>14.54</v>
      </c>
      <c r="X11014" s="6">
        <v>14.49</v>
      </c>
      <c r="Y11014" s="6">
        <v>19.62</v>
      </c>
      <c r="Z11014" s="6">
        <v>19.62</v>
      </c>
      <c r="AA11014" s="6">
        <v>11.51</v>
      </c>
      <c r="AB11014" s="7">
        <v>17.585000000000001</v>
      </c>
      <c r="AC11014" s="5">
        <v>40.799999999999997</v>
      </c>
    </row>
    <row r="11015" spans="1:29" ht="52" x14ac:dyDescent="0.15">
      <c r="A11015" s="3">
        <f>DATE(2015,1,22)</f>
        <v>42026</v>
      </c>
      <c r="B11015" s="3">
        <f>DATE(2015,11,2)</f>
        <v>42310</v>
      </c>
      <c r="C11015" s="2" t="s">
        <v>95</v>
      </c>
      <c r="D11015" s="2" t="s">
        <v>31984</v>
      </c>
      <c r="E11015" s="2" t="s">
        <v>31985</v>
      </c>
      <c r="F11015" s="4">
        <v>8734</v>
      </c>
      <c r="G11015" s="2" t="s">
        <v>223</v>
      </c>
      <c r="H11015" s="2" t="s">
        <v>34</v>
      </c>
      <c r="I11015" s="2" t="s">
        <v>31986</v>
      </c>
      <c r="J11015" s="2" t="s">
        <v>4967</v>
      </c>
      <c r="K11015" s="2" t="s">
        <v>223</v>
      </c>
      <c r="L11015" s="2" t="s">
        <v>34</v>
      </c>
      <c r="M11015" s="7">
        <v>1.758</v>
      </c>
      <c r="N11015" s="5">
        <v>0.8</v>
      </c>
      <c r="O11015" s="7">
        <v>0.71599999999999997</v>
      </c>
      <c r="P11015" s="2" t="s">
        <v>31987</v>
      </c>
      <c r="Q11015" s="6">
        <v>100</v>
      </c>
      <c r="R11015" s="2"/>
      <c r="S11015" s="2"/>
      <c r="T11015" s="2"/>
      <c r="U11015" s="2"/>
      <c r="V11015" s="2"/>
      <c r="W11015" s="4">
        <v>6</v>
      </c>
      <c r="X11015" s="6">
        <v>4.25</v>
      </c>
      <c r="Y11015" s="6">
        <v>4.25</v>
      </c>
      <c r="Z11015" s="6">
        <v>4.25</v>
      </c>
      <c r="AA11015" s="6">
        <v>29.04</v>
      </c>
      <c r="AB11015" s="2" t="s">
        <v>47</v>
      </c>
      <c r="AC11015" s="6">
        <v>1.81</v>
      </c>
    </row>
    <row r="11016" spans="1:29" ht="156" x14ac:dyDescent="0.15">
      <c r="A11016" s="3">
        <f>DATE(2015,1,22)</f>
        <v>42026</v>
      </c>
      <c r="B11016" s="3">
        <f>DATE(2015,11,2)</f>
        <v>42310</v>
      </c>
      <c r="C11016" s="2" t="s">
        <v>95</v>
      </c>
      <c r="D11016" s="2" t="s">
        <v>15328</v>
      </c>
      <c r="E11016" s="2" t="s">
        <v>36</v>
      </c>
      <c r="F11016" s="4">
        <v>6021</v>
      </c>
      <c r="G11016" s="2" t="s">
        <v>37</v>
      </c>
      <c r="H11016" s="2" t="s">
        <v>34</v>
      </c>
      <c r="I11016" s="2" t="s">
        <v>16508</v>
      </c>
      <c r="J11016" s="2" t="s">
        <v>4434</v>
      </c>
      <c r="K11016" s="2" t="s">
        <v>37</v>
      </c>
      <c r="L11016" s="2" t="s">
        <v>902</v>
      </c>
      <c r="M11016" s="12">
        <v>99639.327999999994</v>
      </c>
      <c r="N11016" s="7">
        <v>60.283999999999999</v>
      </c>
      <c r="O11016" s="7">
        <v>60.738999999999997</v>
      </c>
      <c r="P11016" s="2" t="s">
        <v>31988</v>
      </c>
      <c r="Q11016" s="6">
        <v>100</v>
      </c>
      <c r="R11016" s="6">
        <v>93.78</v>
      </c>
      <c r="S11016" s="5">
        <v>253.4</v>
      </c>
      <c r="T11016" s="7">
        <v>397.358</v>
      </c>
      <c r="U11016" s="5">
        <v>49.1</v>
      </c>
      <c r="V11016" s="9">
        <v>4.2568000000000001</v>
      </c>
      <c r="W11016" s="6">
        <v>73.83</v>
      </c>
      <c r="X11016" s="6">
        <v>74.569999999999993</v>
      </c>
      <c r="Y11016" s="6">
        <v>88.68</v>
      </c>
      <c r="Z11016" s="6">
        <v>88.99</v>
      </c>
      <c r="AA11016" s="6">
        <v>55.93</v>
      </c>
      <c r="AB11016" s="7">
        <v>17.853999999999999</v>
      </c>
      <c r="AC11016" s="2"/>
    </row>
    <row r="11017" spans="1:29" ht="169" x14ac:dyDescent="0.15">
      <c r="A11017" s="3">
        <f>DATE(2015,1,26)</f>
        <v>42030</v>
      </c>
      <c r="B11017" s="3">
        <f>DATE(2015,4,30)</f>
        <v>42124</v>
      </c>
      <c r="C11017" s="2" t="s">
        <v>95</v>
      </c>
      <c r="D11017" s="2" t="s">
        <v>25725</v>
      </c>
      <c r="E11017" s="2" t="s">
        <v>30991</v>
      </c>
      <c r="F11017" s="4">
        <v>1311</v>
      </c>
      <c r="G11017" s="2" t="s">
        <v>148</v>
      </c>
      <c r="H11017" s="2" t="s">
        <v>34</v>
      </c>
      <c r="I11017" s="2" t="s">
        <v>29928</v>
      </c>
      <c r="J11017" s="2" t="s">
        <v>4767</v>
      </c>
      <c r="K11017" s="2" t="s">
        <v>439</v>
      </c>
      <c r="L11017" s="2" t="s">
        <v>34</v>
      </c>
      <c r="M11017" s="12">
        <v>22754.333999999999</v>
      </c>
      <c r="N11017" s="6">
        <v>61.13</v>
      </c>
      <c r="O11017" s="6">
        <v>60.38</v>
      </c>
      <c r="P11017" s="2" t="s">
        <v>31989</v>
      </c>
      <c r="Q11017" s="6">
        <v>100</v>
      </c>
      <c r="R11017" s="6">
        <v>26.89</v>
      </c>
      <c r="S11017" s="5">
        <v>-195</v>
      </c>
      <c r="T11017" s="8">
        <v>1154</v>
      </c>
      <c r="U11017" s="5">
        <v>20.9</v>
      </c>
      <c r="V11017" s="9">
        <v>-0.57169999999999999</v>
      </c>
      <c r="W11017" s="6">
        <v>23.09</v>
      </c>
      <c r="X11017" s="6">
        <v>23.75</v>
      </c>
      <c r="Y11017" s="6">
        <v>24.93</v>
      </c>
      <c r="Z11017" s="5">
        <v>24.9</v>
      </c>
      <c r="AA11017" s="6">
        <v>407.51</v>
      </c>
      <c r="AB11017" s="7">
        <v>71.206000000000003</v>
      </c>
      <c r="AC11017" s="5">
        <v>646</v>
      </c>
    </row>
    <row r="11018" spans="1:29" ht="221" x14ac:dyDescent="0.15">
      <c r="A11018" s="3">
        <f>DATE(2015,1,26)</f>
        <v>42030</v>
      </c>
      <c r="B11018" s="3">
        <f>DATE(2015,7,1)</f>
        <v>42186</v>
      </c>
      <c r="C11018" s="2" t="s">
        <v>95</v>
      </c>
      <c r="D11018" s="2" t="s">
        <v>28941</v>
      </c>
      <c r="E11018" s="2" t="s">
        <v>16686</v>
      </c>
      <c r="F11018" s="4">
        <v>2631</v>
      </c>
      <c r="G11018" s="2" t="s">
        <v>282</v>
      </c>
      <c r="H11018" s="2" t="s">
        <v>34</v>
      </c>
      <c r="I11018" s="2" t="s">
        <v>31990</v>
      </c>
      <c r="J11018" s="2" t="s">
        <v>28504</v>
      </c>
      <c r="K11018" s="2" t="s">
        <v>282</v>
      </c>
      <c r="L11018" s="2" t="s">
        <v>34</v>
      </c>
      <c r="M11018" s="12">
        <v>7538.933</v>
      </c>
      <c r="N11018" s="6">
        <v>51.35</v>
      </c>
      <c r="O11018" s="6">
        <v>50.74</v>
      </c>
      <c r="P11018" s="2" t="s">
        <v>31991</v>
      </c>
      <c r="Q11018" s="6">
        <v>100</v>
      </c>
      <c r="R11018" s="6">
        <v>57.74</v>
      </c>
      <c r="S11018" s="5">
        <v>479.6</v>
      </c>
      <c r="T11018" s="8">
        <v>1542.4</v>
      </c>
      <c r="U11018" s="5">
        <v>30.8</v>
      </c>
      <c r="V11018" s="9">
        <v>3.2848999999999999</v>
      </c>
      <c r="W11018" s="6">
        <v>62.52</v>
      </c>
      <c r="X11018" s="6">
        <v>62.99</v>
      </c>
      <c r="Y11018" s="6">
        <v>66.849999999999994</v>
      </c>
      <c r="Z11018" s="6">
        <v>65.42</v>
      </c>
      <c r="AA11018" s="6">
        <v>140.05000000000001</v>
      </c>
      <c r="AB11018" s="7">
        <v>11.571</v>
      </c>
      <c r="AC11018" s="5">
        <v>462</v>
      </c>
    </row>
    <row r="11019" spans="1:29" ht="143" x14ac:dyDescent="0.15">
      <c r="A11019" s="3">
        <f>DATE(2015,1,27)</f>
        <v>42031</v>
      </c>
      <c r="B11019" s="3">
        <f>DATE(2015,6,19)</f>
        <v>42174</v>
      </c>
      <c r="C11019" s="2" t="s">
        <v>95</v>
      </c>
      <c r="D11019" s="2" t="s">
        <v>19387</v>
      </c>
      <c r="E11019" s="2" t="s">
        <v>36</v>
      </c>
      <c r="F11019" s="4">
        <v>6021</v>
      </c>
      <c r="G11019" s="2" t="s">
        <v>37</v>
      </c>
      <c r="H11019" s="2" t="s">
        <v>34</v>
      </c>
      <c r="I11019" s="2" t="s">
        <v>31992</v>
      </c>
      <c r="J11019" s="2" t="s">
        <v>263</v>
      </c>
      <c r="K11019" s="2" t="s">
        <v>37</v>
      </c>
      <c r="L11019" s="2" t="s">
        <v>34</v>
      </c>
      <c r="M11019" s="7">
        <v>152.976</v>
      </c>
      <c r="N11019" s="6">
        <v>7.62</v>
      </c>
      <c r="O11019" s="6">
        <v>7.66</v>
      </c>
      <c r="P11019" s="2" t="s">
        <v>31993</v>
      </c>
      <c r="Q11019" s="6">
        <v>100</v>
      </c>
      <c r="R11019" s="6">
        <v>32.15</v>
      </c>
      <c r="S11019" s="5">
        <v>5.4</v>
      </c>
      <c r="T11019" s="2"/>
      <c r="U11019" s="5">
        <v>22.9</v>
      </c>
      <c r="V11019" s="9">
        <v>2.3915000000000002</v>
      </c>
      <c r="W11019" s="5">
        <v>22.6</v>
      </c>
      <c r="X11019" s="4">
        <v>23</v>
      </c>
      <c r="Y11019" s="6">
        <v>23.95</v>
      </c>
      <c r="Z11019" s="6">
        <v>30.75</v>
      </c>
      <c r="AA11019" s="6">
        <v>2.2200000000000002</v>
      </c>
      <c r="AB11019" s="7">
        <v>11.263999999999999</v>
      </c>
      <c r="AC11019" s="2"/>
    </row>
    <row r="11020" spans="1:29" ht="143" x14ac:dyDescent="0.15">
      <c r="A11020" s="3">
        <f>DATE(2015,1,27)</f>
        <v>42031</v>
      </c>
      <c r="B11020" s="3">
        <f>DATE(2015,3,10)</f>
        <v>42073</v>
      </c>
      <c r="C11020" s="2" t="s">
        <v>95</v>
      </c>
      <c r="D11020" s="2" t="s">
        <v>31994</v>
      </c>
      <c r="E11020" s="2" t="s">
        <v>4865</v>
      </c>
      <c r="F11020" s="4">
        <v>3674</v>
      </c>
      <c r="G11020" s="2" t="s">
        <v>137</v>
      </c>
      <c r="H11020" s="2" t="s">
        <v>34</v>
      </c>
      <c r="I11020" s="2" t="s">
        <v>31995</v>
      </c>
      <c r="J11020" s="2" t="s">
        <v>31609</v>
      </c>
      <c r="K11020" s="2" t="s">
        <v>137</v>
      </c>
      <c r="L11020" s="2" t="s">
        <v>34</v>
      </c>
      <c r="M11020" s="7">
        <v>806.32100000000003</v>
      </c>
      <c r="N11020" s="5">
        <v>7.3</v>
      </c>
      <c r="O11020" s="6">
        <v>7.18</v>
      </c>
      <c r="P11020" s="2" t="s">
        <v>31996</v>
      </c>
      <c r="Q11020" s="6">
        <v>100</v>
      </c>
      <c r="R11020" s="6">
        <v>7.3</v>
      </c>
      <c r="S11020" s="5">
        <v>42.1</v>
      </c>
      <c r="T11020" s="7">
        <v>30.669</v>
      </c>
      <c r="U11020" s="5">
        <v>3</v>
      </c>
      <c r="V11020" s="9">
        <v>0.5292</v>
      </c>
      <c r="W11020" s="7">
        <v>5.4950000000000001</v>
      </c>
      <c r="X11020" s="6">
        <v>5.83</v>
      </c>
      <c r="Y11020" s="6">
        <v>6.23</v>
      </c>
      <c r="Z11020" s="6">
        <v>6.07</v>
      </c>
      <c r="AA11020" s="6">
        <v>77.400000000000006</v>
      </c>
      <c r="AB11020" s="7">
        <v>20.564</v>
      </c>
      <c r="AC11020" s="6">
        <v>254.84</v>
      </c>
    </row>
    <row r="11021" spans="1:29" ht="156" x14ac:dyDescent="0.15">
      <c r="A11021" s="3">
        <f>DATE(2015,1,30)</f>
        <v>42034</v>
      </c>
      <c r="B11021" s="3">
        <f>DATE(2015,12,10)</f>
        <v>42348</v>
      </c>
      <c r="C11021" s="2" t="s">
        <v>95</v>
      </c>
      <c r="D11021" s="2" t="s">
        <v>29916</v>
      </c>
      <c r="E11021" s="2" t="s">
        <v>29917</v>
      </c>
      <c r="F11021" s="4">
        <v>5942</v>
      </c>
      <c r="G11021" s="2" t="s">
        <v>73</v>
      </c>
      <c r="H11021" s="2" t="s">
        <v>34</v>
      </c>
      <c r="I11021" s="2" t="s">
        <v>31997</v>
      </c>
      <c r="J11021" s="2" t="s">
        <v>31277</v>
      </c>
      <c r="K11021" s="2" t="s">
        <v>53</v>
      </c>
      <c r="L11021" s="2" t="s">
        <v>34</v>
      </c>
      <c r="M11021" s="2"/>
      <c r="N11021" s="2"/>
      <c r="O11021" s="2"/>
      <c r="P11021" s="2" t="s">
        <v>31998</v>
      </c>
      <c r="Q11021" s="6">
        <v>42</v>
      </c>
      <c r="R11021" s="6">
        <v>3.25</v>
      </c>
      <c r="S11021" s="5">
        <v>3.8</v>
      </c>
      <c r="T11021" s="7">
        <v>21.303999999999998</v>
      </c>
      <c r="U11021" s="5">
        <v>6.9</v>
      </c>
      <c r="V11021" s="9">
        <v>0.25119999999999998</v>
      </c>
      <c r="W11021" s="6">
        <v>1.68</v>
      </c>
      <c r="X11021" s="7">
        <v>1.6779999999999999</v>
      </c>
      <c r="Y11021" s="6">
        <v>2.52</v>
      </c>
      <c r="Z11021" s="5">
        <v>2.6</v>
      </c>
      <c r="AA11021" s="6">
        <v>14.99</v>
      </c>
      <c r="AB11021" s="7">
        <v>17.984999999999999</v>
      </c>
      <c r="AC11021" s="2"/>
    </row>
    <row r="11022" spans="1:29" ht="91" x14ac:dyDescent="0.15">
      <c r="A11022" s="3">
        <f>DATE(2015,2,2)</f>
        <v>42037</v>
      </c>
      <c r="B11022" s="3">
        <f>DATE(2015,7,8)</f>
        <v>42193</v>
      </c>
      <c r="C11022" s="2" t="s">
        <v>95</v>
      </c>
      <c r="D11022" s="2" t="s">
        <v>31999</v>
      </c>
      <c r="E11022" s="2" t="s">
        <v>32000</v>
      </c>
      <c r="F11022" s="4">
        <v>7372</v>
      </c>
      <c r="G11022" s="2" t="s">
        <v>551</v>
      </c>
      <c r="H11022" s="2" t="s">
        <v>34</v>
      </c>
      <c r="I11022" s="2" t="s">
        <v>32001</v>
      </c>
      <c r="J11022" s="2" t="s">
        <v>32002</v>
      </c>
      <c r="K11022" s="2" t="s">
        <v>551</v>
      </c>
      <c r="L11022" s="2" t="s">
        <v>34</v>
      </c>
      <c r="M11022" s="10">
        <v>4473.6499999999996</v>
      </c>
      <c r="N11022" s="6">
        <v>54.55</v>
      </c>
      <c r="O11022" s="6">
        <v>59.63</v>
      </c>
      <c r="P11022" s="2" t="s">
        <v>32003</v>
      </c>
      <c r="Q11022" s="6">
        <v>100</v>
      </c>
      <c r="R11022" s="6">
        <v>44.25</v>
      </c>
      <c r="S11022" s="5">
        <v>50.2</v>
      </c>
      <c r="T11022" s="7">
        <v>109.571</v>
      </c>
      <c r="U11022" s="5">
        <v>-1.2</v>
      </c>
      <c r="V11022" s="9">
        <v>0.93759999999999999</v>
      </c>
      <c r="W11022" s="6">
        <v>37.83</v>
      </c>
      <c r="X11022" s="5">
        <v>37.9</v>
      </c>
      <c r="Y11022" s="6">
        <v>41.63</v>
      </c>
      <c r="Z11022" s="5">
        <v>42.5</v>
      </c>
      <c r="AA11022" s="6">
        <v>51.7</v>
      </c>
      <c r="AB11022" s="7">
        <v>29.734000000000002</v>
      </c>
      <c r="AC11022" s="6">
        <v>111.05</v>
      </c>
    </row>
    <row r="11023" spans="1:29" ht="65" x14ac:dyDescent="0.15">
      <c r="A11023" s="3">
        <f>DATE(2015,2,2)</f>
        <v>42037</v>
      </c>
      <c r="B11023" s="2"/>
      <c r="C11023" s="2" t="s">
        <v>7330</v>
      </c>
      <c r="D11023" s="2" t="s">
        <v>32004</v>
      </c>
      <c r="E11023" s="2" t="s">
        <v>2814</v>
      </c>
      <c r="F11023" s="4">
        <v>4812</v>
      </c>
      <c r="G11023" s="2" t="s">
        <v>63</v>
      </c>
      <c r="H11023" s="2" t="s">
        <v>34</v>
      </c>
      <c r="I11023" s="2" t="s">
        <v>32005</v>
      </c>
      <c r="J11023" s="2" t="s">
        <v>302</v>
      </c>
      <c r="K11023" s="2" t="s">
        <v>53</v>
      </c>
      <c r="L11023" s="2" t="s">
        <v>34</v>
      </c>
      <c r="M11023" s="2"/>
      <c r="N11023" s="2"/>
      <c r="O11023" s="2"/>
      <c r="P11023" s="2" t="s">
        <v>32006</v>
      </c>
      <c r="Q11023" s="2"/>
      <c r="R11023" s="2"/>
      <c r="S11023" s="5">
        <v>-0.5</v>
      </c>
      <c r="T11023" s="2"/>
      <c r="U11023" s="5">
        <v>-2.1</v>
      </c>
      <c r="V11023" s="9">
        <v>-1.5552999999999999</v>
      </c>
      <c r="W11023" s="4">
        <v>2</v>
      </c>
      <c r="X11023" s="4">
        <v>2</v>
      </c>
      <c r="Y11023" s="4">
        <v>2</v>
      </c>
      <c r="Z11023" s="4">
        <v>2</v>
      </c>
      <c r="AA11023" s="6">
        <v>0.3</v>
      </c>
      <c r="AB11023" s="2" t="s">
        <v>86</v>
      </c>
      <c r="AC11023" s="2"/>
    </row>
    <row r="11024" spans="1:29" ht="156" x14ac:dyDescent="0.15">
      <c r="A11024" s="3">
        <f>DATE(2015,2,3)</f>
        <v>42038</v>
      </c>
      <c r="B11024" s="3">
        <f>DATE(2015,4,30)</f>
        <v>42124</v>
      </c>
      <c r="C11024" s="2" t="s">
        <v>95</v>
      </c>
      <c r="D11024" s="2" t="s">
        <v>32007</v>
      </c>
      <c r="E11024" s="2" t="s">
        <v>2728</v>
      </c>
      <c r="F11024" s="4">
        <v>3674</v>
      </c>
      <c r="G11024" s="2" t="s">
        <v>137</v>
      </c>
      <c r="H11024" s="2" t="s">
        <v>34</v>
      </c>
      <c r="I11024" s="2" t="s">
        <v>32008</v>
      </c>
      <c r="J11024" s="2" t="s">
        <v>26441</v>
      </c>
      <c r="K11024" s="2" t="s">
        <v>137</v>
      </c>
      <c r="L11024" s="2" t="s">
        <v>34</v>
      </c>
      <c r="M11024" s="7">
        <v>421.233</v>
      </c>
      <c r="N11024" s="6">
        <v>8.52</v>
      </c>
      <c r="O11024" s="6">
        <v>8.82</v>
      </c>
      <c r="P11024" s="2" t="s">
        <v>32009</v>
      </c>
      <c r="Q11024" s="6">
        <v>100</v>
      </c>
      <c r="R11024" s="6">
        <v>3.01</v>
      </c>
      <c r="S11024" s="5">
        <v>-98.1</v>
      </c>
      <c r="T11024" s="7">
        <v>-53.421999999999997</v>
      </c>
      <c r="U11024" s="5">
        <v>1.9</v>
      </c>
      <c r="V11024" s="9">
        <v>-1.0929</v>
      </c>
      <c r="W11024" s="6">
        <v>2.59</v>
      </c>
      <c r="X11024" s="6">
        <v>2.66</v>
      </c>
      <c r="Y11024" s="5">
        <v>2.7</v>
      </c>
      <c r="Z11024" s="6">
        <v>3.06</v>
      </c>
      <c r="AA11024" s="6">
        <v>90.93</v>
      </c>
      <c r="AB11024" s="2" t="s">
        <v>86</v>
      </c>
      <c r="AC11024" s="5">
        <v>69.099999999999994</v>
      </c>
    </row>
    <row r="11025" spans="1:29" ht="65" x14ac:dyDescent="0.15">
      <c r="A11025" s="3">
        <f>DATE(2015,2,5)</f>
        <v>42040</v>
      </c>
      <c r="B11025" s="3">
        <f>DATE(2015,6,30)</f>
        <v>42185</v>
      </c>
      <c r="C11025" s="2" t="s">
        <v>95</v>
      </c>
      <c r="D11025" s="2" t="s">
        <v>32010</v>
      </c>
      <c r="E11025" s="2" t="s">
        <v>36</v>
      </c>
      <c r="F11025" s="4">
        <v>6021</v>
      </c>
      <c r="G11025" s="2" t="s">
        <v>37</v>
      </c>
      <c r="H11025" s="2" t="s">
        <v>34</v>
      </c>
      <c r="I11025" s="2" t="s">
        <v>32011</v>
      </c>
      <c r="J11025" s="2" t="s">
        <v>32012</v>
      </c>
      <c r="K11025" s="2" t="s">
        <v>33</v>
      </c>
      <c r="L11025" s="2" t="s">
        <v>34</v>
      </c>
      <c r="M11025" s="5">
        <v>52.9</v>
      </c>
      <c r="N11025" s="6">
        <v>11.82</v>
      </c>
      <c r="O11025" s="6">
        <v>11.91</v>
      </c>
      <c r="P11025" s="2" t="s">
        <v>32013</v>
      </c>
      <c r="Q11025" s="6">
        <v>100</v>
      </c>
      <c r="R11025" s="6">
        <v>11.66</v>
      </c>
      <c r="S11025" s="2"/>
      <c r="T11025" s="2"/>
      <c r="U11025" s="2"/>
      <c r="V11025" s="2"/>
      <c r="W11025" s="5">
        <v>8.3000000000000007</v>
      </c>
      <c r="X11025" s="5">
        <v>8.5</v>
      </c>
      <c r="Y11025" s="6">
        <v>11.27</v>
      </c>
      <c r="Z11025" s="6">
        <v>11.34</v>
      </c>
      <c r="AA11025" s="6">
        <v>2.52</v>
      </c>
      <c r="AB11025" s="2" t="s">
        <v>47</v>
      </c>
      <c r="AC11025" s="2"/>
    </row>
    <row r="11026" spans="1:29" ht="156" x14ac:dyDescent="0.15">
      <c r="A11026" s="3">
        <f>DATE(2015,2,5)</f>
        <v>42040</v>
      </c>
      <c r="B11026" s="3">
        <f>DATE(2015,6,8)</f>
        <v>42163</v>
      </c>
      <c r="C11026" s="2" t="s">
        <v>95</v>
      </c>
      <c r="D11026" s="2" t="s">
        <v>31981</v>
      </c>
      <c r="E11026" s="2" t="s">
        <v>417</v>
      </c>
      <c r="F11026" s="4">
        <v>2731</v>
      </c>
      <c r="G11026" s="2" t="s">
        <v>186</v>
      </c>
      <c r="H11026" s="2" t="s">
        <v>34</v>
      </c>
      <c r="I11026" s="2" t="s">
        <v>24395</v>
      </c>
      <c r="J11026" s="2" t="s">
        <v>8370</v>
      </c>
      <c r="K11026" s="2" t="s">
        <v>186</v>
      </c>
      <c r="L11026" s="2" t="s">
        <v>34</v>
      </c>
      <c r="M11026" s="12">
        <v>3254.7420000000002</v>
      </c>
      <c r="N11026" s="6">
        <v>16.739999999999998</v>
      </c>
      <c r="O11026" s="5">
        <v>16.899999999999999</v>
      </c>
      <c r="P11026" s="2" t="s">
        <v>32014</v>
      </c>
      <c r="Q11026" s="6">
        <v>100</v>
      </c>
      <c r="R11026" s="6">
        <v>23</v>
      </c>
      <c r="S11026" s="5">
        <v>6.9</v>
      </c>
      <c r="T11026" s="6">
        <v>40.44</v>
      </c>
      <c r="U11026" s="5">
        <v>12.6</v>
      </c>
      <c r="V11026" s="9">
        <v>0.68789999999999996</v>
      </c>
      <c r="W11026" s="6">
        <v>23.69</v>
      </c>
      <c r="X11026" s="6">
        <v>23.53</v>
      </c>
      <c r="Y11026" s="6">
        <v>22.75</v>
      </c>
      <c r="Z11026" s="6">
        <v>22.75</v>
      </c>
      <c r="AA11026" s="6">
        <v>11.52</v>
      </c>
      <c r="AB11026" s="7">
        <v>19.329000000000001</v>
      </c>
      <c r="AC11026" s="5">
        <v>534.9</v>
      </c>
    </row>
    <row r="11027" spans="1:29" ht="195" x14ac:dyDescent="0.15">
      <c r="A11027" s="3">
        <f>DATE(2015,2,5)</f>
        <v>42040</v>
      </c>
      <c r="B11027" s="3">
        <f>DATE(2015,3,26)</f>
        <v>42089</v>
      </c>
      <c r="C11027" s="2" t="s">
        <v>95</v>
      </c>
      <c r="D11027" s="2" t="s">
        <v>32015</v>
      </c>
      <c r="E11027" s="2" t="s">
        <v>8995</v>
      </c>
      <c r="F11027" s="4">
        <v>7372</v>
      </c>
      <c r="G11027" s="2" t="s">
        <v>551</v>
      </c>
      <c r="H11027" s="2" t="s">
        <v>34</v>
      </c>
      <c r="I11027" s="2" t="s">
        <v>32016</v>
      </c>
      <c r="J11027" s="2" t="s">
        <v>244</v>
      </c>
      <c r="K11027" s="2" t="s">
        <v>53</v>
      </c>
      <c r="L11027" s="2" t="s">
        <v>34</v>
      </c>
      <c r="M11027" s="2"/>
      <c r="N11027" s="2"/>
      <c r="O11027" s="2"/>
      <c r="P11027" s="2" t="s">
        <v>32017</v>
      </c>
      <c r="Q11027" s="6">
        <v>100</v>
      </c>
      <c r="R11027" s="6">
        <v>8.6</v>
      </c>
      <c r="S11027" s="5">
        <v>-32.1</v>
      </c>
      <c r="T11027" s="7">
        <v>-23.823</v>
      </c>
      <c r="U11027" s="5">
        <v>1.5</v>
      </c>
      <c r="V11027" s="7">
        <v>-1.117</v>
      </c>
      <c r="W11027" s="6">
        <v>5.65</v>
      </c>
      <c r="X11027" s="6">
        <v>5.47</v>
      </c>
      <c r="Y11027" s="6">
        <v>6.72</v>
      </c>
      <c r="Z11027" s="6">
        <v>6.72</v>
      </c>
      <c r="AA11027" s="6">
        <v>29.32</v>
      </c>
      <c r="AB11027" s="2" t="s">
        <v>86</v>
      </c>
      <c r="AC11027" s="2"/>
    </row>
    <row r="11028" spans="1:29" ht="91" x14ac:dyDescent="0.15">
      <c r="A11028" s="3">
        <f>DATE(2015,2,5)</f>
        <v>42040</v>
      </c>
      <c r="B11028" s="3">
        <f>DATE(2015,9,3)</f>
        <v>42250</v>
      </c>
      <c r="C11028" s="2" t="s">
        <v>95</v>
      </c>
      <c r="D11028" s="2" t="s">
        <v>32018</v>
      </c>
      <c r="E11028" s="2" t="s">
        <v>28200</v>
      </c>
      <c r="F11028" s="4">
        <v>2834</v>
      </c>
      <c r="G11028" s="2" t="s">
        <v>130</v>
      </c>
      <c r="H11028" s="2" t="s">
        <v>34</v>
      </c>
      <c r="I11028" s="2" t="s">
        <v>7393</v>
      </c>
      <c r="J11028" s="2" t="s">
        <v>5670</v>
      </c>
      <c r="K11028" s="2" t="s">
        <v>130</v>
      </c>
      <c r="L11028" s="2" t="s">
        <v>34</v>
      </c>
      <c r="M11028" s="10">
        <v>204771.36</v>
      </c>
      <c r="N11028" s="6">
        <v>32.99</v>
      </c>
      <c r="O11028" s="6">
        <v>33.17</v>
      </c>
      <c r="P11028" s="2" t="s">
        <v>32019</v>
      </c>
      <c r="Q11028" s="6">
        <v>100</v>
      </c>
      <c r="R11028" s="6">
        <v>90</v>
      </c>
      <c r="S11028" s="5">
        <v>333.2</v>
      </c>
      <c r="T11028" s="5">
        <v>815.3</v>
      </c>
      <c r="U11028" s="5">
        <v>19.600000000000001</v>
      </c>
      <c r="V11028" s="9">
        <v>1.9508000000000001</v>
      </c>
      <c r="W11028" s="6">
        <v>64.78</v>
      </c>
      <c r="X11028" s="5">
        <v>64.8</v>
      </c>
      <c r="Y11028" s="6">
        <v>87.64</v>
      </c>
      <c r="Z11028" s="6">
        <v>87.43</v>
      </c>
      <c r="AA11028" s="6">
        <v>169.2</v>
      </c>
      <c r="AB11028" s="7">
        <v>30.292000000000002</v>
      </c>
      <c r="AC11028" s="8">
        <v>36122</v>
      </c>
    </row>
    <row r="11029" spans="1:29" ht="78" x14ac:dyDescent="0.15">
      <c r="A11029" s="3">
        <f>DATE(2015,2,6)</f>
        <v>42041</v>
      </c>
      <c r="B11029" s="2"/>
      <c r="C11029" s="2" t="s">
        <v>7330</v>
      </c>
      <c r="D11029" s="2" t="s">
        <v>32020</v>
      </c>
      <c r="E11029" s="2" t="s">
        <v>1514</v>
      </c>
      <c r="F11029" s="4">
        <v>7361</v>
      </c>
      <c r="G11029" s="2" t="s">
        <v>223</v>
      </c>
      <c r="H11029" s="2" t="s">
        <v>34</v>
      </c>
      <c r="I11029" s="2" t="s">
        <v>32021</v>
      </c>
      <c r="J11029" s="2" t="s">
        <v>32022</v>
      </c>
      <c r="K11029" s="2" t="s">
        <v>223</v>
      </c>
      <c r="L11029" s="2" t="s">
        <v>34</v>
      </c>
      <c r="M11029" s="2"/>
      <c r="N11029" s="2"/>
      <c r="O11029" s="2"/>
      <c r="P11029" s="2" t="s">
        <v>32023</v>
      </c>
      <c r="Q11029" s="2"/>
      <c r="R11029" s="6">
        <v>7</v>
      </c>
      <c r="S11029" s="5">
        <v>3.3</v>
      </c>
      <c r="T11029" s="7">
        <v>8.1029999999999998</v>
      </c>
      <c r="U11029" s="5">
        <v>3.1</v>
      </c>
      <c r="V11029" s="9">
        <v>0.44159999999999999</v>
      </c>
      <c r="W11029" s="6">
        <v>5.48</v>
      </c>
      <c r="X11029" s="6">
        <v>6.09</v>
      </c>
      <c r="Y11029" s="6">
        <v>6.22</v>
      </c>
      <c r="Z11029" s="6">
        <v>6.17</v>
      </c>
      <c r="AA11029" s="6">
        <v>7.26</v>
      </c>
      <c r="AB11029" s="7">
        <v>12.315</v>
      </c>
      <c r="AC11029" s="2"/>
    </row>
    <row r="11030" spans="1:29" ht="143" x14ac:dyDescent="0.15">
      <c r="A11030" s="3">
        <f>DATE(2015,2,6)</f>
        <v>42041</v>
      </c>
      <c r="B11030" s="3">
        <f>DATE(2015,5,29)</f>
        <v>42153</v>
      </c>
      <c r="C11030" s="2" t="s">
        <v>95</v>
      </c>
      <c r="D11030" s="2" t="s">
        <v>32024</v>
      </c>
      <c r="E11030" s="2" t="s">
        <v>32025</v>
      </c>
      <c r="F11030" s="4">
        <v>3669</v>
      </c>
      <c r="G11030" s="2" t="s">
        <v>921</v>
      </c>
      <c r="H11030" s="2" t="s">
        <v>34</v>
      </c>
      <c r="I11030" s="2" t="s">
        <v>15030</v>
      </c>
      <c r="J11030" s="2" t="s">
        <v>15031</v>
      </c>
      <c r="K11030" s="2" t="s">
        <v>226</v>
      </c>
      <c r="L11030" s="2" t="s">
        <v>34</v>
      </c>
      <c r="M11030" s="12">
        <v>7315.1450000000004</v>
      </c>
      <c r="N11030" s="6">
        <v>76.180000000000007</v>
      </c>
      <c r="O11030" s="6">
        <v>75.64</v>
      </c>
      <c r="P11030" s="2" t="s">
        <v>32026</v>
      </c>
      <c r="Q11030" s="6">
        <v>100</v>
      </c>
      <c r="R11030" s="6">
        <v>23.75</v>
      </c>
      <c r="S11030" s="5">
        <v>249</v>
      </c>
      <c r="T11030" s="5">
        <v>515</v>
      </c>
      <c r="U11030" s="5">
        <v>6.7</v>
      </c>
      <c r="V11030" s="9">
        <v>1.1904999999999999</v>
      </c>
      <c r="W11030" s="6">
        <v>17.11</v>
      </c>
      <c r="X11030" s="6">
        <v>17.71</v>
      </c>
      <c r="Y11030" s="6">
        <v>24.13</v>
      </c>
      <c r="Z11030" s="6">
        <v>23.96</v>
      </c>
      <c r="AA11030" s="6">
        <v>186.75</v>
      </c>
      <c r="AB11030" s="7">
        <v>11.489000000000001</v>
      </c>
      <c r="AC11030" s="5">
        <v>469.5</v>
      </c>
    </row>
    <row r="11031" spans="1:29" ht="65" x14ac:dyDescent="0.15">
      <c r="A11031" s="3">
        <f>DATE(2015,2,10)</f>
        <v>42045</v>
      </c>
      <c r="B11031" s="3">
        <f>DATE(2015,3,30)</f>
        <v>42093</v>
      </c>
      <c r="C11031" s="2" t="s">
        <v>95</v>
      </c>
      <c r="D11031" s="2" t="s">
        <v>19739</v>
      </c>
      <c r="E11031" s="2" t="s">
        <v>16352</v>
      </c>
      <c r="F11031" s="4">
        <v>7372</v>
      </c>
      <c r="G11031" s="2" t="s">
        <v>551</v>
      </c>
      <c r="H11031" s="2" t="s">
        <v>34</v>
      </c>
      <c r="I11031" s="2" t="s">
        <v>31878</v>
      </c>
      <c r="J11031" s="2" t="s">
        <v>244</v>
      </c>
      <c r="K11031" s="2" t="s">
        <v>53</v>
      </c>
      <c r="L11031" s="2" t="s">
        <v>34</v>
      </c>
      <c r="M11031" s="2"/>
      <c r="N11031" s="2"/>
      <c r="O11031" s="2"/>
      <c r="P11031" s="2" t="s">
        <v>32027</v>
      </c>
      <c r="Q11031" s="6">
        <v>100</v>
      </c>
      <c r="R11031" s="6">
        <v>9</v>
      </c>
      <c r="S11031" s="5">
        <v>-14.7</v>
      </c>
      <c r="T11031" s="7">
        <v>-9.2989999999999995</v>
      </c>
      <c r="U11031" s="5">
        <v>1.2</v>
      </c>
      <c r="V11031" s="6">
        <v>-0.52</v>
      </c>
      <c r="W11031" s="6">
        <v>9.4499999999999993</v>
      </c>
      <c r="X11031" s="6">
        <v>8.94</v>
      </c>
      <c r="Y11031" s="5">
        <v>8.8000000000000007</v>
      </c>
      <c r="Z11031" s="6">
        <v>8.84</v>
      </c>
      <c r="AA11031" s="6">
        <v>29.79</v>
      </c>
      <c r="AB11031" s="2" t="s">
        <v>86</v>
      </c>
      <c r="AC11031" s="2"/>
    </row>
    <row r="11032" spans="1:29" ht="143" x14ac:dyDescent="0.15">
      <c r="A11032" s="3">
        <f>DATE(2015,2,12)</f>
        <v>42047</v>
      </c>
      <c r="B11032" s="3">
        <f>DATE(2015,9,17)</f>
        <v>42264</v>
      </c>
      <c r="C11032" s="2" t="s">
        <v>95</v>
      </c>
      <c r="D11032" s="2" t="s">
        <v>32028</v>
      </c>
      <c r="E11032" s="2" t="s">
        <v>32029</v>
      </c>
      <c r="F11032" s="4">
        <v>4724</v>
      </c>
      <c r="G11032" s="2" t="s">
        <v>173</v>
      </c>
      <c r="H11032" s="2" t="s">
        <v>34</v>
      </c>
      <c r="I11032" s="2" t="s">
        <v>19108</v>
      </c>
      <c r="J11032" s="2" t="s">
        <v>26596</v>
      </c>
      <c r="K11032" s="2" t="s">
        <v>173</v>
      </c>
      <c r="L11032" s="2" t="s">
        <v>34</v>
      </c>
      <c r="M11032" s="12">
        <v>10458.201999999999</v>
      </c>
      <c r="N11032" s="7">
        <v>89.564999999999998</v>
      </c>
      <c r="O11032" s="7">
        <v>89.484999999999999</v>
      </c>
      <c r="P11032" s="2" t="s">
        <v>32030</v>
      </c>
      <c r="Q11032" s="6">
        <v>100</v>
      </c>
      <c r="R11032" s="6">
        <v>12</v>
      </c>
      <c r="S11032" s="5">
        <v>17.3</v>
      </c>
      <c r="T11032" s="7">
        <v>132.74600000000001</v>
      </c>
      <c r="U11032" s="5">
        <v>0.6</v>
      </c>
      <c r="V11032" s="9">
        <v>0.15110000000000001</v>
      </c>
      <c r="W11032" s="6">
        <v>9.18</v>
      </c>
      <c r="X11032" s="6">
        <v>9.16</v>
      </c>
      <c r="Y11032" s="6">
        <v>9.9499999999999993</v>
      </c>
      <c r="Z11032" s="6">
        <v>9.89</v>
      </c>
      <c r="AA11032" s="6">
        <v>110.71</v>
      </c>
      <c r="AB11032" s="7">
        <v>21.138000000000002</v>
      </c>
      <c r="AC11032" s="10">
        <v>1793.37</v>
      </c>
    </row>
    <row r="11033" spans="1:29" ht="39" x14ac:dyDescent="0.15">
      <c r="A11033" s="3">
        <f>DATE(2015,2,18)</f>
        <v>42053</v>
      </c>
      <c r="B11033" s="2"/>
      <c r="C11033" s="2" t="s">
        <v>30</v>
      </c>
      <c r="D11033" s="2" t="s">
        <v>32031</v>
      </c>
      <c r="E11033" s="2" t="s">
        <v>29798</v>
      </c>
      <c r="F11033" s="4">
        <v>6021</v>
      </c>
      <c r="G11033" s="2" t="s">
        <v>37</v>
      </c>
      <c r="H11033" s="2" t="s">
        <v>34</v>
      </c>
      <c r="I11033" s="2" t="s">
        <v>32032</v>
      </c>
      <c r="J11033" s="2" t="s">
        <v>29798</v>
      </c>
      <c r="K11033" s="2" t="s">
        <v>37</v>
      </c>
      <c r="L11033" s="2" t="s">
        <v>34</v>
      </c>
      <c r="M11033" s="2"/>
      <c r="N11033" s="2"/>
      <c r="O11033" s="2"/>
      <c r="P11033" s="2" t="s">
        <v>32033</v>
      </c>
      <c r="Q11033" s="2"/>
      <c r="R11033" s="2"/>
      <c r="S11033" s="2"/>
      <c r="T11033" s="2"/>
      <c r="U11033" s="2"/>
      <c r="V11033" s="2"/>
      <c r="W11033" s="6">
        <v>5.25</v>
      </c>
      <c r="X11033" s="6">
        <v>5.25</v>
      </c>
      <c r="Y11033" s="6">
        <v>10.09</v>
      </c>
      <c r="Z11033" s="4">
        <v>10</v>
      </c>
      <c r="AA11033" s="2"/>
      <c r="AB11033" s="2" t="s">
        <v>47</v>
      </c>
      <c r="AC11033" s="2"/>
    </row>
    <row r="11034" spans="1:29" ht="117" x14ac:dyDescent="0.15">
      <c r="A11034" s="3">
        <f>DATE(2015,2,19)</f>
        <v>42054</v>
      </c>
      <c r="B11034" s="3">
        <f>DATE(2015,7,1)</f>
        <v>42186</v>
      </c>
      <c r="C11034" s="2" t="s">
        <v>95</v>
      </c>
      <c r="D11034" s="2" t="s">
        <v>15321</v>
      </c>
      <c r="E11034" s="2" t="s">
        <v>1181</v>
      </c>
      <c r="F11034" s="4">
        <v>6021</v>
      </c>
      <c r="G11034" s="2" t="s">
        <v>37</v>
      </c>
      <c r="H11034" s="2" t="s">
        <v>34</v>
      </c>
      <c r="I11034" s="2" t="s">
        <v>32034</v>
      </c>
      <c r="J11034" s="2" t="s">
        <v>36</v>
      </c>
      <c r="K11034" s="2" t="s">
        <v>37</v>
      </c>
      <c r="L11034" s="2" t="s">
        <v>34</v>
      </c>
      <c r="M11034" s="7">
        <v>231.09899999999999</v>
      </c>
      <c r="N11034" s="6">
        <v>22.57</v>
      </c>
      <c r="O11034" s="6">
        <v>22.44</v>
      </c>
      <c r="P11034" s="2" t="s">
        <v>32035</v>
      </c>
      <c r="Q11034" s="6">
        <v>100</v>
      </c>
      <c r="R11034" s="6">
        <v>31.62</v>
      </c>
      <c r="S11034" s="2"/>
      <c r="T11034" s="2"/>
      <c r="U11034" s="2"/>
      <c r="V11034" s="2"/>
      <c r="W11034" s="5">
        <v>25.4</v>
      </c>
      <c r="X11034" s="4">
        <v>26</v>
      </c>
      <c r="Y11034" s="6">
        <v>30.34</v>
      </c>
      <c r="Z11034" s="6">
        <v>30.25</v>
      </c>
      <c r="AA11034" s="6">
        <v>2.31</v>
      </c>
      <c r="AB11034" s="2" t="s">
        <v>47</v>
      </c>
      <c r="AC11034" s="2"/>
    </row>
    <row r="11035" spans="1:29" ht="234" x14ac:dyDescent="0.15">
      <c r="A11035" s="3">
        <f>DATE(2015,2,22)</f>
        <v>42057</v>
      </c>
      <c r="B11035" s="3">
        <f>DATE(2015,4,1)</f>
        <v>42095</v>
      </c>
      <c r="C11035" s="2" t="s">
        <v>95</v>
      </c>
      <c r="D11035" s="2" t="s">
        <v>20789</v>
      </c>
      <c r="E11035" s="2" t="s">
        <v>20790</v>
      </c>
      <c r="F11035" s="4">
        <v>2834</v>
      </c>
      <c r="G11035" s="2" t="s">
        <v>130</v>
      </c>
      <c r="H11035" s="2" t="s">
        <v>34</v>
      </c>
      <c r="I11035" s="2" t="s">
        <v>28374</v>
      </c>
      <c r="J11035" s="2" t="s">
        <v>29140</v>
      </c>
      <c r="K11035" s="2" t="s">
        <v>130</v>
      </c>
      <c r="L11035" s="2" t="s">
        <v>34</v>
      </c>
      <c r="M11035" s="12">
        <v>53593.493000000002</v>
      </c>
      <c r="N11035" s="6">
        <v>198.75</v>
      </c>
      <c r="O11035" s="6">
        <v>198.75</v>
      </c>
      <c r="P11035" s="2" t="s">
        <v>32036</v>
      </c>
      <c r="Q11035" s="6">
        <v>100</v>
      </c>
      <c r="R11035" s="6">
        <v>173</v>
      </c>
      <c r="S11035" s="5">
        <v>-414.9</v>
      </c>
      <c r="T11035" s="7">
        <v>-24.527000000000001</v>
      </c>
      <c r="U11035" s="5">
        <v>3.7</v>
      </c>
      <c r="V11035" s="7">
        <v>-6.5289999999999999</v>
      </c>
      <c r="W11035" s="7">
        <v>119.80500000000001</v>
      </c>
      <c r="X11035" s="6">
        <v>120.19</v>
      </c>
      <c r="Y11035" s="6">
        <v>125.83</v>
      </c>
      <c r="Z11035" s="6">
        <v>124.49</v>
      </c>
      <c r="AA11035" s="6">
        <v>64.25</v>
      </c>
      <c r="AB11035" s="2" t="s">
        <v>86</v>
      </c>
      <c r="AC11035" s="6">
        <v>374.86</v>
      </c>
    </row>
    <row r="11036" spans="1:29" ht="221" x14ac:dyDescent="0.15">
      <c r="A11036" s="3">
        <f>DATE(2015,2,22)</f>
        <v>42057</v>
      </c>
      <c r="B11036" s="3">
        <f>DATE(2015,4,6)</f>
        <v>42100</v>
      </c>
      <c r="C11036" s="2" t="s">
        <v>95</v>
      </c>
      <c r="D11036" s="2" t="s">
        <v>32037</v>
      </c>
      <c r="E11036" s="2" t="s">
        <v>26394</v>
      </c>
      <c r="F11036" s="4">
        <v>6162</v>
      </c>
      <c r="G11036" s="2" t="s">
        <v>109</v>
      </c>
      <c r="H11036" s="2" t="s">
        <v>34</v>
      </c>
      <c r="I11036" s="2" t="s">
        <v>32038</v>
      </c>
      <c r="J11036" s="2" t="s">
        <v>92</v>
      </c>
      <c r="K11036" s="2" t="s">
        <v>53</v>
      </c>
      <c r="L11036" s="2" t="s">
        <v>34</v>
      </c>
      <c r="M11036" s="12">
        <v>1830.905</v>
      </c>
      <c r="N11036" s="6">
        <v>14.25</v>
      </c>
      <c r="O11036" s="6">
        <v>14.25</v>
      </c>
      <c r="P11036" s="2" t="s">
        <v>32039</v>
      </c>
      <c r="Q11036" s="6">
        <v>100</v>
      </c>
      <c r="R11036" s="6">
        <v>17.079999999999998</v>
      </c>
      <c r="S11036" s="5">
        <v>152.69999999999999</v>
      </c>
      <c r="T11036" s="2"/>
      <c r="U11036" s="5">
        <v>14.4</v>
      </c>
      <c r="V11036" s="9">
        <v>1.6383000000000001</v>
      </c>
      <c r="W11036" s="13">
        <v>0</v>
      </c>
      <c r="X11036" s="6">
        <v>16.760000000000002</v>
      </c>
      <c r="Y11036" s="6">
        <v>18.350000000000001</v>
      </c>
      <c r="Z11036" s="6">
        <v>18.350000000000001</v>
      </c>
      <c r="AA11036" s="6">
        <v>71.02</v>
      </c>
      <c r="AB11036" s="2" t="s">
        <v>47</v>
      </c>
      <c r="AC11036" s="6">
        <v>487.66</v>
      </c>
    </row>
    <row r="11037" spans="1:29" ht="65" x14ac:dyDescent="0.15">
      <c r="A11037" s="3">
        <f>DATE(2015,2,23)</f>
        <v>42058</v>
      </c>
      <c r="B11037" s="2"/>
      <c r="C11037" s="2" t="s">
        <v>87</v>
      </c>
      <c r="D11037" s="2" t="s">
        <v>31097</v>
      </c>
      <c r="E11037" s="2" t="s">
        <v>4285</v>
      </c>
      <c r="F11037" s="4">
        <v>4841</v>
      </c>
      <c r="G11037" s="2" t="s">
        <v>45</v>
      </c>
      <c r="H11037" s="2" t="s">
        <v>34</v>
      </c>
      <c r="I11037" s="2" t="s">
        <v>31548</v>
      </c>
      <c r="J11037" s="2" t="s">
        <v>398</v>
      </c>
      <c r="K11037" s="2" t="s">
        <v>42</v>
      </c>
      <c r="L11037" s="2" t="s">
        <v>34</v>
      </c>
      <c r="M11037" s="10">
        <v>73436.72</v>
      </c>
      <c r="N11037" s="7">
        <v>35.365000000000002</v>
      </c>
      <c r="O11037" s="6">
        <v>35.24</v>
      </c>
      <c r="P11037" s="2" t="s">
        <v>32040</v>
      </c>
      <c r="Q11037" s="2"/>
      <c r="R11037" s="2"/>
      <c r="S11037" s="8">
        <v>1138</v>
      </c>
      <c r="T11037" s="8">
        <v>4006</v>
      </c>
      <c r="U11037" s="5">
        <v>12.8</v>
      </c>
      <c r="V11037" s="9">
        <v>1.6565000000000001</v>
      </c>
      <c r="W11037" s="6">
        <v>31.45</v>
      </c>
      <c r="X11037" s="6">
        <v>30.93</v>
      </c>
      <c r="Y11037" s="7">
        <v>32.335000000000001</v>
      </c>
      <c r="Z11037" s="4">
        <v>33</v>
      </c>
      <c r="AA11037" s="6">
        <v>148.63999999999999</v>
      </c>
      <c r="AB11037" s="2" t="s">
        <v>47</v>
      </c>
      <c r="AC11037" s="8">
        <v>10051</v>
      </c>
    </row>
    <row r="11038" spans="1:29" ht="156" x14ac:dyDescent="0.15">
      <c r="A11038" s="3">
        <f>DATE(2015,2,23)</f>
        <v>42058</v>
      </c>
      <c r="B11038" s="3">
        <f>DATE(2015,12,23)</f>
        <v>42361</v>
      </c>
      <c r="C11038" s="2" t="s">
        <v>95</v>
      </c>
      <c r="D11038" s="2" t="s">
        <v>32041</v>
      </c>
      <c r="E11038" s="2" t="s">
        <v>32042</v>
      </c>
      <c r="F11038" s="4">
        <v>3339</v>
      </c>
      <c r="G11038" s="2" t="s">
        <v>163</v>
      </c>
      <c r="H11038" s="2" t="s">
        <v>34</v>
      </c>
      <c r="I11038" s="2" t="s">
        <v>32043</v>
      </c>
      <c r="J11038" s="2" t="s">
        <v>32044</v>
      </c>
      <c r="K11038" s="2" t="s">
        <v>163</v>
      </c>
      <c r="L11038" s="2" t="s">
        <v>8464</v>
      </c>
      <c r="M11038" s="2"/>
      <c r="N11038" s="2"/>
      <c r="O11038" s="2"/>
      <c r="P11038" s="2" t="s">
        <v>32045</v>
      </c>
      <c r="Q11038" s="6">
        <v>100</v>
      </c>
      <c r="R11038" s="2"/>
      <c r="S11038" s="5">
        <v>29.5</v>
      </c>
      <c r="T11038" s="7">
        <v>113.90900000000001</v>
      </c>
      <c r="U11038" s="5">
        <v>5.9</v>
      </c>
      <c r="V11038" s="9">
        <v>0.3982</v>
      </c>
      <c r="W11038" s="5">
        <v>15.6</v>
      </c>
      <c r="X11038" s="6">
        <v>15.37</v>
      </c>
      <c r="Y11038" s="6">
        <v>15.99</v>
      </c>
      <c r="Z11038" s="6">
        <v>15.87</v>
      </c>
      <c r="AA11038" s="6">
        <v>73.75</v>
      </c>
      <c r="AB11038" s="7">
        <v>20.013000000000002</v>
      </c>
      <c r="AC11038" s="6">
        <v>11.04</v>
      </c>
    </row>
    <row r="11039" spans="1:29" ht="91" x14ac:dyDescent="0.15">
      <c r="A11039" s="3">
        <f>DATE(2015,2,23)</f>
        <v>42058</v>
      </c>
      <c r="B11039" s="2"/>
      <c r="C11039" s="2" t="s">
        <v>87</v>
      </c>
      <c r="D11039" s="2" t="s">
        <v>32046</v>
      </c>
      <c r="E11039" s="2" t="s">
        <v>6378</v>
      </c>
      <c r="F11039" s="4">
        <v>2834</v>
      </c>
      <c r="G11039" s="2" t="s">
        <v>130</v>
      </c>
      <c r="H11039" s="2" t="s">
        <v>34</v>
      </c>
      <c r="I11039" s="2" t="s">
        <v>143</v>
      </c>
      <c r="J11039" s="2" t="s">
        <v>144</v>
      </c>
      <c r="K11039" s="2" t="s">
        <v>53</v>
      </c>
      <c r="L11039" s="2" t="s">
        <v>139</v>
      </c>
      <c r="M11039" s="2"/>
      <c r="N11039" s="2"/>
      <c r="O11039" s="2"/>
      <c r="P11039" s="2" t="s">
        <v>32047</v>
      </c>
      <c r="Q11039" s="2"/>
      <c r="R11039" s="2"/>
      <c r="S11039" s="5">
        <v>-93.8</v>
      </c>
      <c r="T11039" s="7">
        <v>-97.177999999999997</v>
      </c>
      <c r="U11039" s="5">
        <v>9.1</v>
      </c>
      <c r="V11039" s="9">
        <v>-2.9701</v>
      </c>
      <c r="W11039" s="6">
        <v>53.37</v>
      </c>
      <c r="X11039" s="6">
        <v>55.19</v>
      </c>
      <c r="Y11039" s="6">
        <v>64.959999999999994</v>
      </c>
      <c r="Z11039" s="6">
        <v>71.16</v>
      </c>
      <c r="AA11039" s="6">
        <v>33.6</v>
      </c>
      <c r="AB11039" s="2" t="s">
        <v>86</v>
      </c>
      <c r="AC11039" s="2"/>
    </row>
    <row r="11040" spans="1:29" ht="156" x14ac:dyDescent="0.15">
      <c r="A11040" s="3">
        <f>DATE(2015,2,23)</f>
        <v>42058</v>
      </c>
      <c r="B11040" s="3">
        <f>DATE(2015,8,26)</f>
        <v>42242</v>
      </c>
      <c r="C11040" s="2" t="s">
        <v>95</v>
      </c>
      <c r="D11040" s="2" t="s">
        <v>32048</v>
      </c>
      <c r="E11040" s="2" t="s">
        <v>32049</v>
      </c>
      <c r="F11040" s="4">
        <v>2899</v>
      </c>
      <c r="G11040" s="2" t="s">
        <v>98</v>
      </c>
      <c r="H11040" s="2" t="s">
        <v>34</v>
      </c>
      <c r="I11040" s="2" t="s">
        <v>29803</v>
      </c>
      <c r="J11040" s="2" t="s">
        <v>32050</v>
      </c>
      <c r="K11040" s="2" t="s">
        <v>98</v>
      </c>
      <c r="L11040" s="2" t="s">
        <v>99</v>
      </c>
      <c r="M11040" s="12">
        <v>13587.144</v>
      </c>
      <c r="N11040" s="6">
        <v>10.35</v>
      </c>
      <c r="O11040" s="7">
        <v>10.231</v>
      </c>
      <c r="P11040" s="2" t="s">
        <v>32051</v>
      </c>
      <c r="Q11040" s="6">
        <v>100</v>
      </c>
      <c r="R11040" s="6">
        <v>60.5</v>
      </c>
      <c r="S11040" s="5">
        <v>34.6</v>
      </c>
      <c r="T11040" s="7">
        <v>140.03399999999999</v>
      </c>
      <c r="U11040" s="5">
        <v>13.6</v>
      </c>
      <c r="V11040" s="9">
        <v>0.76160000000000005</v>
      </c>
      <c r="W11040" s="6">
        <v>49.83</v>
      </c>
      <c r="X11040" s="6">
        <v>52.95</v>
      </c>
      <c r="Y11040" s="5">
        <v>59.7</v>
      </c>
      <c r="Z11040" s="6">
        <v>59.45</v>
      </c>
      <c r="AA11040" s="6">
        <v>44.65</v>
      </c>
      <c r="AB11040" s="7">
        <v>38.04</v>
      </c>
      <c r="AC11040" s="10">
        <v>1026.56</v>
      </c>
    </row>
    <row r="11041" spans="1:29" ht="143" x14ac:dyDescent="0.15">
      <c r="A11041" s="3">
        <f>DATE(2015,2,24)</f>
        <v>42059</v>
      </c>
      <c r="B11041" s="3">
        <f>DATE(2015,12,7)</f>
        <v>42345</v>
      </c>
      <c r="C11041" s="2" t="s">
        <v>95</v>
      </c>
      <c r="D11041" s="2" t="s">
        <v>24532</v>
      </c>
      <c r="E11041" s="2" t="s">
        <v>36</v>
      </c>
      <c r="F11041" s="4">
        <v>6021</v>
      </c>
      <c r="G11041" s="2" t="s">
        <v>37</v>
      </c>
      <c r="H11041" s="2" t="s">
        <v>34</v>
      </c>
      <c r="I11041" s="2" t="s">
        <v>18117</v>
      </c>
      <c r="J11041" s="2" t="s">
        <v>36</v>
      </c>
      <c r="K11041" s="2" t="s">
        <v>37</v>
      </c>
      <c r="L11041" s="2" t="s">
        <v>34</v>
      </c>
      <c r="M11041" s="12">
        <v>1403.4849999999999</v>
      </c>
      <c r="N11041" s="6">
        <v>35.57</v>
      </c>
      <c r="O11041" s="6">
        <v>35.24</v>
      </c>
      <c r="P11041" s="2" t="s">
        <v>32052</v>
      </c>
      <c r="Q11041" s="6">
        <v>100</v>
      </c>
      <c r="R11041" s="6">
        <v>20</v>
      </c>
      <c r="S11041" s="5">
        <v>5.0999999999999996</v>
      </c>
      <c r="T11041" s="7">
        <v>7.9749999999999996</v>
      </c>
      <c r="U11041" s="5">
        <v>13.6</v>
      </c>
      <c r="V11041" s="9">
        <v>0.73380000000000001</v>
      </c>
      <c r="W11041" s="6">
        <v>13.15</v>
      </c>
      <c r="X11041" s="6">
        <v>12.79</v>
      </c>
      <c r="Y11041" s="6">
        <v>13.25</v>
      </c>
      <c r="Z11041" s="6">
        <v>19.489999999999998</v>
      </c>
      <c r="AA11041" s="6">
        <v>7.02</v>
      </c>
      <c r="AB11041" s="7">
        <v>21.605</v>
      </c>
      <c r="AC11041" s="2"/>
    </row>
    <row r="11042" spans="1:29" ht="208" x14ac:dyDescent="0.15">
      <c r="A11042" s="3">
        <f>DATE(2015,2,25)</f>
        <v>42060</v>
      </c>
      <c r="B11042" s="3">
        <f>DATE(2015,5,5)</f>
        <v>42129</v>
      </c>
      <c r="C11042" s="2" t="s">
        <v>95</v>
      </c>
      <c r="D11042" s="2" t="s">
        <v>21291</v>
      </c>
      <c r="E11042" s="2" t="s">
        <v>21292</v>
      </c>
      <c r="F11042" s="4">
        <v>3572</v>
      </c>
      <c r="G11042" s="2" t="s">
        <v>50</v>
      </c>
      <c r="H11042" s="2" t="s">
        <v>34</v>
      </c>
      <c r="I11042" s="2" t="s">
        <v>32053</v>
      </c>
      <c r="J11042" s="2" t="s">
        <v>31609</v>
      </c>
      <c r="K11042" s="2" t="s">
        <v>137</v>
      </c>
      <c r="L11042" s="2" t="s">
        <v>34</v>
      </c>
      <c r="M11042" s="2"/>
      <c r="N11042" s="2"/>
      <c r="O11042" s="2"/>
      <c r="P11042" s="2" t="s">
        <v>32054</v>
      </c>
      <c r="Q11042" s="6">
        <v>100</v>
      </c>
      <c r="R11042" s="6">
        <v>8</v>
      </c>
      <c r="S11042" s="5">
        <v>-18.3</v>
      </c>
      <c r="T11042" s="7">
        <v>59.654000000000003</v>
      </c>
      <c r="U11042" s="5">
        <v>6.4</v>
      </c>
      <c r="V11042" s="9">
        <v>-0.2165</v>
      </c>
      <c r="W11042" s="6">
        <v>6.39</v>
      </c>
      <c r="X11042" s="6">
        <v>6.33</v>
      </c>
      <c r="Y11042" s="6">
        <v>6.36</v>
      </c>
      <c r="Z11042" s="6">
        <v>7.93</v>
      </c>
      <c r="AA11042" s="6">
        <v>71.91</v>
      </c>
      <c r="AB11042" s="7">
        <v>46.787999999999997</v>
      </c>
      <c r="AC11042" s="2"/>
    </row>
    <row r="11043" spans="1:29" ht="130" x14ac:dyDescent="0.15">
      <c r="A11043" s="3">
        <f>DATE(2015,2,25)</f>
        <v>42060</v>
      </c>
      <c r="B11043" s="3">
        <f>DATE(2015,7,31)</f>
        <v>42216</v>
      </c>
      <c r="C11043" s="2" t="s">
        <v>95</v>
      </c>
      <c r="D11043" s="2" t="s">
        <v>32055</v>
      </c>
      <c r="E11043" s="2" t="s">
        <v>21800</v>
      </c>
      <c r="F11043" s="4">
        <v>6021</v>
      </c>
      <c r="G11043" s="2" t="s">
        <v>37</v>
      </c>
      <c r="H11043" s="2" t="s">
        <v>34</v>
      </c>
      <c r="I11043" s="2" t="s">
        <v>32056</v>
      </c>
      <c r="J11043" s="2" t="s">
        <v>21800</v>
      </c>
      <c r="K11043" s="2" t="s">
        <v>37</v>
      </c>
      <c r="L11043" s="2" t="s">
        <v>34</v>
      </c>
      <c r="M11043" s="2"/>
      <c r="N11043" s="2"/>
      <c r="O11043" s="2"/>
      <c r="P11043" s="2" t="s">
        <v>32057</v>
      </c>
      <c r="Q11043" s="6">
        <v>100</v>
      </c>
      <c r="R11043" s="6">
        <v>6.3</v>
      </c>
      <c r="S11043" s="2"/>
      <c r="T11043" s="2"/>
      <c r="U11043" s="2"/>
      <c r="V11043" s="2"/>
      <c r="W11043" s="6">
        <v>3.25</v>
      </c>
      <c r="X11043" s="6">
        <v>3.25</v>
      </c>
      <c r="Y11043" s="6">
        <v>3.25</v>
      </c>
      <c r="Z11043" s="6">
        <v>3.25</v>
      </c>
      <c r="AA11043" s="6">
        <v>1.74</v>
      </c>
      <c r="AB11043" s="2" t="s">
        <v>47</v>
      </c>
      <c r="AC11043" s="2"/>
    </row>
    <row r="11044" spans="1:29" ht="156" x14ac:dyDescent="0.15">
      <c r="A11044" s="3">
        <f>DATE(2015,2,25)</f>
        <v>42060</v>
      </c>
      <c r="B11044" s="2"/>
      <c r="C11044" s="2" t="s">
        <v>30</v>
      </c>
      <c r="D11044" s="2" t="s">
        <v>12703</v>
      </c>
      <c r="E11044" s="2" t="s">
        <v>12053</v>
      </c>
      <c r="F11044" s="4">
        <v>7922</v>
      </c>
      <c r="G11044" s="2" t="s">
        <v>364</v>
      </c>
      <c r="H11044" s="2" t="s">
        <v>34</v>
      </c>
      <c r="I11044" s="2" t="s">
        <v>32058</v>
      </c>
      <c r="J11044" s="2" t="s">
        <v>28323</v>
      </c>
      <c r="K11044" s="2" t="s">
        <v>53</v>
      </c>
      <c r="L11044" s="2" t="s">
        <v>34</v>
      </c>
      <c r="M11044" s="2"/>
      <c r="N11044" s="2"/>
      <c r="O11044" s="2"/>
      <c r="P11044" s="2" t="s">
        <v>32059</v>
      </c>
      <c r="Q11044" s="2"/>
      <c r="R11044" s="6">
        <v>5.21</v>
      </c>
      <c r="S11044" s="5">
        <v>-109</v>
      </c>
      <c r="T11044" s="7">
        <v>-70.558000000000007</v>
      </c>
      <c r="U11044" s="5">
        <v>1.9</v>
      </c>
      <c r="V11044" s="9">
        <v>-1.2951999999999999</v>
      </c>
      <c r="W11044" s="6">
        <v>3.48</v>
      </c>
      <c r="X11044" s="5">
        <v>3.7</v>
      </c>
      <c r="Y11044" s="6">
        <v>4.79</v>
      </c>
      <c r="Z11044" s="6">
        <v>4.76</v>
      </c>
      <c r="AA11044" s="6">
        <v>93.31</v>
      </c>
      <c r="AB11044" s="2" t="s">
        <v>86</v>
      </c>
      <c r="AC11044" s="2"/>
    </row>
    <row r="11045" spans="1:29" ht="52" x14ac:dyDescent="0.15">
      <c r="A11045" s="3">
        <f>DATE(2015,2,25)</f>
        <v>42060</v>
      </c>
      <c r="B11045" s="2"/>
      <c r="C11045" s="2" t="s">
        <v>189</v>
      </c>
      <c r="D11045" s="2" t="s">
        <v>32060</v>
      </c>
      <c r="E11045" s="2" t="s">
        <v>32061</v>
      </c>
      <c r="F11045" s="4">
        <v>7997</v>
      </c>
      <c r="G11045" s="2" t="s">
        <v>364</v>
      </c>
      <c r="H11045" s="2" t="s">
        <v>34</v>
      </c>
      <c r="I11045" s="2" t="s">
        <v>143</v>
      </c>
      <c r="J11045" s="2" t="s">
        <v>144</v>
      </c>
      <c r="K11045" s="2" t="s">
        <v>53</v>
      </c>
      <c r="L11045" s="2" t="s">
        <v>139</v>
      </c>
      <c r="M11045" s="2"/>
      <c r="N11045" s="2"/>
      <c r="O11045" s="2"/>
      <c r="P11045" s="2" t="s">
        <v>32062</v>
      </c>
      <c r="Q11045" s="2"/>
      <c r="R11045" s="2"/>
      <c r="S11045" s="5">
        <v>-69</v>
      </c>
      <c r="T11045" s="7">
        <v>52.765000000000001</v>
      </c>
      <c r="U11045" s="5">
        <v>-4.9000000000000004</v>
      </c>
      <c r="V11045" s="7">
        <v>-2.843</v>
      </c>
      <c r="W11045" s="6">
        <v>6.97</v>
      </c>
      <c r="X11045" s="6">
        <v>6.65</v>
      </c>
      <c r="Y11045" s="6">
        <v>6.75</v>
      </c>
      <c r="Z11045" s="4">
        <v>7</v>
      </c>
      <c r="AA11045" s="6">
        <v>24.3</v>
      </c>
      <c r="AB11045" s="2" t="s">
        <v>47</v>
      </c>
      <c r="AC11045" s="2"/>
    </row>
    <row r="11046" spans="1:29" ht="169" x14ac:dyDescent="0.15">
      <c r="A11046" s="3">
        <f>DATE(2015,2,25)</f>
        <v>42060</v>
      </c>
      <c r="B11046" s="3">
        <f>DATE(2015,12,16)</f>
        <v>42354</v>
      </c>
      <c r="C11046" s="2" t="s">
        <v>95</v>
      </c>
      <c r="D11046" s="2" t="s">
        <v>32063</v>
      </c>
      <c r="E11046" s="2" t="s">
        <v>32064</v>
      </c>
      <c r="F11046" s="4">
        <v>4911</v>
      </c>
      <c r="G11046" s="2" t="s">
        <v>439</v>
      </c>
      <c r="H11046" s="2" t="s">
        <v>34</v>
      </c>
      <c r="I11046" s="2" t="s">
        <v>32065</v>
      </c>
      <c r="J11046" s="2" t="s">
        <v>32066</v>
      </c>
      <c r="K11046" s="2" t="s">
        <v>439</v>
      </c>
      <c r="L11046" s="2" t="s">
        <v>34</v>
      </c>
      <c r="M11046" s="2"/>
      <c r="N11046" s="2"/>
      <c r="O11046" s="2"/>
      <c r="P11046" s="2" t="s">
        <v>32067</v>
      </c>
      <c r="Q11046" s="6">
        <v>100</v>
      </c>
      <c r="R11046" s="6">
        <v>52.75</v>
      </c>
      <c r="S11046" s="5">
        <v>109.5</v>
      </c>
      <c r="T11046" s="7">
        <v>408.74299999999999</v>
      </c>
      <c r="U11046" s="5">
        <v>24.1</v>
      </c>
      <c r="V11046" s="7">
        <v>1.917</v>
      </c>
      <c r="W11046" s="6">
        <v>42.83</v>
      </c>
      <c r="X11046" s="6">
        <v>42.38</v>
      </c>
      <c r="Y11046" s="6">
        <v>42.33</v>
      </c>
      <c r="Z11046" s="6">
        <v>52.07</v>
      </c>
      <c r="AA11046" s="6">
        <v>56.55</v>
      </c>
      <c r="AB11046" s="7">
        <v>18.381</v>
      </c>
      <c r="AC11046" s="2"/>
    </row>
    <row r="11047" spans="1:29" ht="78" x14ac:dyDescent="0.15">
      <c r="A11047" s="3">
        <f>DATE(2015,2,27)</f>
        <v>42062</v>
      </c>
      <c r="B11047" s="2"/>
      <c r="C11047" s="2" t="s">
        <v>87</v>
      </c>
      <c r="D11047" s="2" t="s">
        <v>20119</v>
      </c>
      <c r="E11047" s="2" t="s">
        <v>1608</v>
      </c>
      <c r="F11047" s="4">
        <v>1311</v>
      </c>
      <c r="G11047" s="2" t="s">
        <v>148</v>
      </c>
      <c r="H11047" s="2" t="s">
        <v>34</v>
      </c>
      <c r="I11047" s="2" t="s">
        <v>143</v>
      </c>
      <c r="J11047" s="2" t="s">
        <v>144</v>
      </c>
      <c r="K11047" s="2" t="s">
        <v>53</v>
      </c>
      <c r="L11047" s="2" t="s">
        <v>139</v>
      </c>
      <c r="M11047" s="2"/>
      <c r="N11047" s="2"/>
      <c r="O11047" s="2"/>
      <c r="P11047" s="2" t="s">
        <v>32068</v>
      </c>
      <c r="Q11047" s="2"/>
      <c r="R11047" s="2"/>
      <c r="S11047" s="5">
        <v>-409.6</v>
      </c>
      <c r="T11047" s="7">
        <v>355.95299999999997</v>
      </c>
      <c r="U11047" s="5">
        <v>9.4</v>
      </c>
      <c r="V11047" s="9">
        <v>-6.2565999999999997</v>
      </c>
      <c r="W11047" s="5">
        <v>6.3</v>
      </c>
      <c r="X11047" s="6">
        <v>6.87</v>
      </c>
      <c r="Y11047" s="6">
        <v>6.64</v>
      </c>
      <c r="Z11047" s="6">
        <v>6.49</v>
      </c>
      <c r="AA11047" s="6">
        <v>71.58</v>
      </c>
      <c r="AB11047" s="2" t="s">
        <v>47</v>
      </c>
      <c r="AC11047" s="2"/>
    </row>
    <row r="11048" spans="1:29" ht="91" x14ac:dyDescent="0.15">
      <c r="A11048" s="3">
        <f t="shared" ref="A11048:A11054" si="179">DATE(2015,3,2)</f>
        <v>42065</v>
      </c>
      <c r="B11048" s="3">
        <f>DATE(2015,5,18)</f>
        <v>42142</v>
      </c>
      <c r="C11048" s="2" t="s">
        <v>95</v>
      </c>
      <c r="D11048" s="2" t="s">
        <v>32069</v>
      </c>
      <c r="E11048" s="2" t="s">
        <v>32070</v>
      </c>
      <c r="F11048" s="4">
        <v>3577</v>
      </c>
      <c r="G11048" s="2" t="s">
        <v>50</v>
      </c>
      <c r="H11048" s="2" t="s">
        <v>34</v>
      </c>
      <c r="I11048" s="2" t="s">
        <v>21668</v>
      </c>
      <c r="J11048" s="2" t="s">
        <v>21669</v>
      </c>
      <c r="K11048" s="2" t="s">
        <v>50</v>
      </c>
      <c r="L11048" s="2" t="s">
        <v>34</v>
      </c>
      <c r="M11048" s="10">
        <v>66888.97</v>
      </c>
      <c r="N11048" s="6">
        <v>34.92</v>
      </c>
      <c r="O11048" s="6">
        <v>34.57</v>
      </c>
      <c r="P11048" s="2" t="s">
        <v>32071</v>
      </c>
      <c r="Q11048" s="6">
        <v>100</v>
      </c>
      <c r="R11048" s="6">
        <v>24.67</v>
      </c>
      <c r="S11048" s="5">
        <v>-2</v>
      </c>
      <c r="T11048" s="7">
        <v>76.671000000000006</v>
      </c>
      <c r="U11048" s="5">
        <v>2.9</v>
      </c>
      <c r="V11048" s="9">
        <v>-2.46E-2</v>
      </c>
      <c r="W11048" s="6">
        <v>18.37</v>
      </c>
      <c r="X11048" s="6">
        <v>18.38</v>
      </c>
      <c r="Y11048" s="6">
        <v>22.24</v>
      </c>
      <c r="Z11048" s="6">
        <v>22.61</v>
      </c>
      <c r="AA11048" s="6">
        <v>107.45</v>
      </c>
      <c r="AB11048" s="7">
        <v>52.116</v>
      </c>
      <c r="AC11048" s="8">
        <v>14181</v>
      </c>
    </row>
    <row r="11049" spans="1:29" ht="91" x14ac:dyDescent="0.15">
      <c r="A11049" s="3">
        <f t="shared" si="179"/>
        <v>42065</v>
      </c>
      <c r="B11049" s="3">
        <f>DATE(2015,7,24)</f>
        <v>42209</v>
      </c>
      <c r="C11049" s="2" t="s">
        <v>95</v>
      </c>
      <c r="D11049" s="2" t="s">
        <v>32072</v>
      </c>
      <c r="E11049" s="2" t="s">
        <v>36</v>
      </c>
      <c r="F11049" s="4">
        <v>6021</v>
      </c>
      <c r="G11049" s="2" t="s">
        <v>37</v>
      </c>
      <c r="H11049" s="2" t="s">
        <v>34</v>
      </c>
      <c r="I11049" s="2" t="s">
        <v>32073</v>
      </c>
      <c r="J11049" s="2" t="s">
        <v>36</v>
      </c>
      <c r="K11049" s="2" t="s">
        <v>37</v>
      </c>
      <c r="L11049" s="2" t="s">
        <v>34</v>
      </c>
      <c r="M11049" s="12">
        <v>2113.873</v>
      </c>
      <c r="N11049" s="5">
        <v>47.4</v>
      </c>
      <c r="O11049" s="6">
        <v>47.29</v>
      </c>
      <c r="P11049" s="2" t="s">
        <v>32074</v>
      </c>
      <c r="Q11049" s="6">
        <v>100</v>
      </c>
      <c r="R11049" s="2"/>
      <c r="S11049" s="5">
        <v>1.9</v>
      </c>
      <c r="T11049" s="7">
        <v>2.4670000000000001</v>
      </c>
      <c r="U11049" s="5">
        <v>2.6</v>
      </c>
      <c r="V11049" s="6">
        <v>0.18</v>
      </c>
      <c r="W11049" s="5">
        <v>1.2</v>
      </c>
      <c r="X11049" s="5">
        <v>1.2</v>
      </c>
      <c r="Y11049" s="5">
        <v>1.2</v>
      </c>
      <c r="Z11049" s="6">
        <v>1.35</v>
      </c>
      <c r="AA11049" s="6">
        <v>10.78</v>
      </c>
      <c r="AB11049" s="7">
        <v>25.748000000000001</v>
      </c>
      <c r="AC11049" s="2"/>
    </row>
    <row r="11050" spans="1:29" ht="182" x14ac:dyDescent="0.15">
      <c r="A11050" s="3">
        <f t="shared" si="179"/>
        <v>42065</v>
      </c>
      <c r="B11050" s="3">
        <f>DATE(2015,4,29)</f>
        <v>42123</v>
      </c>
      <c r="C11050" s="2" t="s">
        <v>95</v>
      </c>
      <c r="D11050" s="2" t="s">
        <v>32075</v>
      </c>
      <c r="E11050" s="2" t="s">
        <v>2814</v>
      </c>
      <c r="F11050" s="4">
        <v>4812</v>
      </c>
      <c r="G11050" s="2" t="s">
        <v>63</v>
      </c>
      <c r="H11050" s="2" t="s">
        <v>34</v>
      </c>
      <c r="I11050" s="2" t="s">
        <v>25490</v>
      </c>
      <c r="J11050" s="2" t="s">
        <v>31808</v>
      </c>
      <c r="K11050" s="2" t="s">
        <v>921</v>
      </c>
      <c r="L11050" s="2" t="s">
        <v>902</v>
      </c>
      <c r="M11050" s="7">
        <v>917.24099999999999</v>
      </c>
      <c r="N11050" s="6">
        <v>8.91</v>
      </c>
      <c r="O11050" s="7">
        <v>9.3689999999999998</v>
      </c>
      <c r="P11050" s="2" t="s">
        <v>32076</v>
      </c>
      <c r="Q11050" s="6">
        <v>100</v>
      </c>
      <c r="R11050" s="6">
        <v>17.940000000000001</v>
      </c>
      <c r="S11050" s="5">
        <v>-26</v>
      </c>
      <c r="T11050" s="7">
        <v>-11.648</v>
      </c>
      <c r="U11050" s="5">
        <v>2.2999999999999998</v>
      </c>
      <c r="V11050" s="9">
        <v>-1.0019</v>
      </c>
      <c r="W11050" s="6">
        <v>14.97</v>
      </c>
      <c r="X11050" s="6">
        <v>14.57</v>
      </c>
      <c r="Y11050" s="6">
        <v>16.82</v>
      </c>
      <c r="Z11050" s="6">
        <v>17.05</v>
      </c>
      <c r="AA11050" s="6">
        <v>28.98</v>
      </c>
      <c r="AB11050" s="2" t="s">
        <v>86</v>
      </c>
      <c r="AC11050" s="6">
        <v>111.58</v>
      </c>
    </row>
    <row r="11051" spans="1:29" ht="104" x14ac:dyDescent="0.15">
      <c r="A11051" s="3">
        <f t="shared" si="179"/>
        <v>42065</v>
      </c>
      <c r="B11051" s="3">
        <f>DATE(2015,8,31)</f>
        <v>42247</v>
      </c>
      <c r="C11051" s="2" t="s">
        <v>95</v>
      </c>
      <c r="D11051" s="2" t="s">
        <v>16902</v>
      </c>
      <c r="E11051" s="2" t="s">
        <v>36</v>
      </c>
      <c r="F11051" s="4">
        <v>6021</v>
      </c>
      <c r="G11051" s="2" t="s">
        <v>37</v>
      </c>
      <c r="H11051" s="2" t="s">
        <v>34</v>
      </c>
      <c r="I11051" s="2" t="s">
        <v>32077</v>
      </c>
      <c r="J11051" s="2" t="s">
        <v>36</v>
      </c>
      <c r="K11051" s="2" t="s">
        <v>37</v>
      </c>
      <c r="L11051" s="2" t="s">
        <v>34</v>
      </c>
      <c r="M11051" s="6">
        <v>47.84</v>
      </c>
      <c r="N11051" s="6">
        <v>13.75</v>
      </c>
      <c r="O11051" s="5">
        <v>12.4</v>
      </c>
      <c r="P11051" s="2" t="s">
        <v>32078</v>
      </c>
      <c r="Q11051" s="6">
        <v>100</v>
      </c>
      <c r="R11051" s="6">
        <v>5.09</v>
      </c>
      <c r="S11051" s="5">
        <v>0.8</v>
      </c>
      <c r="T11051" s="2"/>
      <c r="U11051" s="2"/>
      <c r="V11051" s="6">
        <v>0.19</v>
      </c>
      <c r="W11051" s="5">
        <v>3.2</v>
      </c>
      <c r="X11051" s="6">
        <v>3.02</v>
      </c>
      <c r="Y11051" s="6">
        <v>3.02</v>
      </c>
      <c r="Z11051" s="5">
        <v>4.7</v>
      </c>
      <c r="AA11051" s="6">
        <v>1.97</v>
      </c>
      <c r="AB11051" s="7">
        <v>31.318000000000001</v>
      </c>
      <c r="AC11051" s="2"/>
    </row>
    <row r="11052" spans="1:29" ht="104" x14ac:dyDescent="0.15">
      <c r="A11052" s="3">
        <f t="shared" si="179"/>
        <v>42065</v>
      </c>
      <c r="B11052" s="3">
        <f>DATE(2015,4,13)</f>
        <v>42107</v>
      </c>
      <c r="C11052" s="2" t="s">
        <v>95</v>
      </c>
      <c r="D11052" s="2" t="s">
        <v>29052</v>
      </c>
      <c r="E11052" s="2" t="s">
        <v>500</v>
      </c>
      <c r="F11052" s="4">
        <v>3677</v>
      </c>
      <c r="G11052" s="2" t="s">
        <v>137</v>
      </c>
      <c r="H11052" s="2" t="s">
        <v>34</v>
      </c>
      <c r="I11052" s="2" t="s">
        <v>29490</v>
      </c>
      <c r="J11052" s="2" t="s">
        <v>244</v>
      </c>
      <c r="K11052" s="2" t="s">
        <v>53</v>
      </c>
      <c r="L11052" s="2" t="s">
        <v>34</v>
      </c>
      <c r="M11052" s="2"/>
      <c r="N11052" s="2"/>
      <c r="O11052" s="2"/>
      <c r="P11052" s="2" t="s">
        <v>32079</v>
      </c>
      <c r="Q11052" s="6">
        <v>31.33</v>
      </c>
      <c r="R11052" s="6">
        <v>1.5</v>
      </c>
      <c r="S11052" s="5">
        <v>-32.9</v>
      </c>
      <c r="T11052" s="7">
        <v>15.339</v>
      </c>
      <c r="U11052" s="5">
        <v>-5</v>
      </c>
      <c r="V11052" s="9">
        <v>-2.0184000000000002</v>
      </c>
      <c r="W11052" s="6">
        <v>1.05</v>
      </c>
      <c r="X11052" s="6">
        <v>1.1499999999999999</v>
      </c>
      <c r="Y11052" s="6">
        <v>1.46</v>
      </c>
      <c r="Z11052" s="6">
        <v>1.47</v>
      </c>
      <c r="AA11052" s="6">
        <v>17.48</v>
      </c>
      <c r="AB11052" s="7">
        <v>16.32</v>
      </c>
      <c r="AC11052" s="2"/>
    </row>
    <row r="11053" spans="1:29" ht="130" x14ac:dyDescent="0.15">
      <c r="A11053" s="3">
        <f t="shared" si="179"/>
        <v>42065</v>
      </c>
      <c r="B11053" s="3">
        <f>DATE(2015,10,6)</f>
        <v>42283</v>
      </c>
      <c r="C11053" s="2" t="s">
        <v>95</v>
      </c>
      <c r="D11053" s="2" t="s">
        <v>32080</v>
      </c>
      <c r="E11053" s="2" t="s">
        <v>29798</v>
      </c>
      <c r="F11053" s="4">
        <v>6022</v>
      </c>
      <c r="G11053" s="2" t="s">
        <v>37</v>
      </c>
      <c r="H11053" s="2" t="s">
        <v>34</v>
      </c>
      <c r="I11053" s="2" t="s">
        <v>29960</v>
      </c>
      <c r="J11053" s="2" t="s">
        <v>1304</v>
      </c>
      <c r="K11053" s="2" t="s">
        <v>37</v>
      </c>
      <c r="L11053" s="2" t="s">
        <v>34</v>
      </c>
      <c r="M11053" s="12">
        <v>4553.058</v>
      </c>
      <c r="N11053" s="6">
        <v>44.99</v>
      </c>
      <c r="O11053" s="6">
        <v>44.46</v>
      </c>
      <c r="P11053" s="2" t="s">
        <v>32081</v>
      </c>
      <c r="Q11053" s="6">
        <v>100</v>
      </c>
      <c r="R11053" s="6">
        <v>27.49</v>
      </c>
      <c r="S11053" s="5">
        <v>34.200000000000003</v>
      </c>
      <c r="T11053" s="7">
        <v>50.826000000000001</v>
      </c>
      <c r="U11053" s="5">
        <v>10.5</v>
      </c>
      <c r="V11053" s="9">
        <v>1.1797</v>
      </c>
      <c r="W11053" s="6">
        <v>24.97</v>
      </c>
      <c r="X11053" s="6">
        <v>27.68</v>
      </c>
      <c r="Y11053" s="4">
        <v>26</v>
      </c>
      <c r="Z11053" s="6">
        <v>25.66</v>
      </c>
      <c r="AA11053" s="6">
        <v>28.71</v>
      </c>
      <c r="AB11053" s="7">
        <v>16.443000000000001</v>
      </c>
      <c r="AC11053" s="2"/>
    </row>
    <row r="11054" spans="1:29" ht="247" x14ac:dyDescent="0.15">
      <c r="A11054" s="3">
        <f t="shared" si="179"/>
        <v>42065</v>
      </c>
      <c r="B11054" s="3">
        <f>DATE(2015,12,7)</f>
        <v>42345</v>
      </c>
      <c r="C11054" s="2" t="s">
        <v>95</v>
      </c>
      <c r="D11054" s="2" t="s">
        <v>32082</v>
      </c>
      <c r="E11054" s="2" t="s">
        <v>31609</v>
      </c>
      <c r="F11054" s="4">
        <v>3674</v>
      </c>
      <c r="G11054" s="2" t="s">
        <v>137</v>
      </c>
      <c r="H11054" s="2" t="s">
        <v>34</v>
      </c>
      <c r="I11054" s="2" t="s">
        <v>32083</v>
      </c>
      <c r="J11054" s="2" t="s">
        <v>31609</v>
      </c>
      <c r="K11054" s="2" t="s">
        <v>137</v>
      </c>
      <c r="L11054" s="2" t="s">
        <v>34</v>
      </c>
      <c r="M11054" s="12">
        <v>19603.888999999999</v>
      </c>
      <c r="N11054" s="6">
        <v>99.56</v>
      </c>
      <c r="O11054" s="6">
        <v>98.73</v>
      </c>
      <c r="P11054" s="2" t="s">
        <v>32084</v>
      </c>
      <c r="Q11054" s="6">
        <v>100</v>
      </c>
      <c r="R11054" s="6">
        <v>36.14</v>
      </c>
      <c r="S11054" s="5">
        <v>251</v>
      </c>
      <c r="T11054" s="8">
        <v>1034</v>
      </c>
      <c r="U11054" s="5">
        <v>-11.7</v>
      </c>
      <c r="V11054" s="9">
        <v>0.82840000000000003</v>
      </c>
      <c r="W11054" s="6">
        <v>33.24</v>
      </c>
      <c r="X11054" s="5">
        <v>34.700000000000003</v>
      </c>
      <c r="Y11054" s="6">
        <v>37.53</v>
      </c>
      <c r="Z11054" s="5">
        <v>36.299999999999997</v>
      </c>
      <c r="AA11054" s="6">
        <v>306.33999999999997</v>
      </c>
      <c r="AB11054" s="7">
        <v>20.98</v>
      </c>
      <c r="AC11054" s="5">
        <v>980</v>
      </c>
    </row>
    <row r="11055" spans="1:29" ht="130" x14ac:dyDescent="0.15">
      <c r="A11055" s="3">
        <f>DATE(2015,3,3)</f>
        <v>42066</v>
      </c>
      <c r="B11055" s="3">
        <f>DATE(2015,10,9)</f>
        <v>42286</v>
      </c>
      <c r="C11055" s="2" t="s">
        <v>95</v>
      </c>
      <c r="D11055" s="2" t="s">
        <v>32085</v>
      </c>
      <c r="E11055" s="2" t="s">
        <v>25417</v>
      </c>
      <c r="F11055" s="4">
        <v>6712</v>
      </c>
      <c r="G11055" s="2" t="s">
        <v>37</v>
      </c>
      <c r="H11055" s="2" t="s">
        <v>34</v>
      </c>
      <c r="I11055" s="2" t="s">
        <v>32086</v>
      </c>
      <c r="J11055" s="2" t="s">
        <v>36</v>
      </c>
      <c r="K11055" s="2" t="s">
        <v>37</v>
      </c>
      <c r="L11055" s="2" t="s">
        <v>34</v>
      </c>
      <c r="M11055" s="7">
        <v>720.971</v>
      </c>
      <c r="N11055" s="6">
        <v>75.73</v>
      </c>
      <c r="O11055" s="6">
        <v>75.36</v>
      </c>
      <c r="P11055" s="2" t="s">
        <v>32087</v>
      </c>
      <c r="Q11055" s="6">
        <v>100</v>
      </c>
      <c r="R11055" s="6">
        <v>22.75</v>
      </c>
      <c r="S11055" s="5">
        <v>7.3</v>
      </c>
      <c r="T11055" s="2"/>
      <c r="U11055" s="2"/>
      <c r="V11055" s="2"/>
      <c r="W11055" s="4">
        <v>17</v>
      </c>
      <c r="X11055" s="6">
        <v>17.510000000000002</v>
      </c>
      <c r="Y11055" s="6">
        <v>21.21</v>
      </c>
      <c r="Z11055" s="6">
        <v>21.13</v>
      </c>
      <c r="AA11055" s="6">
        <v>4.03</v>
      </c>
      <c r="AB11055" s="2" t="s">
        <v>86</v>
      </c>
      <c r="AC11055" s="2"/>
    </row>
    <row r="11056" spans="1:29" ht="221" x14ac:dyDescent="0.15">
      <c r="A11056" s="3">
        <f>DATE(2015,3,4)</f>
        <v>42067</v>
      </c>
      <c r="B11056" s="3">
        <f>DATE(2015,5,26)</f>
        <v>42150</v>
      </c>
      <c r="C11056" s="2" t="s">
        <v>95</v>
      </c>
      <c r="D11056" s="2" t="s">
        <v>32088</v>
      </c>
      <c r="E11056" s="2" t="s">
        <v>3812</v>
      </c>
      <c r="F11056" s="4">
        <v>2834</v>
      </c>
      <c r="G11056" s="2" t="s">
        <v>130</v>
      </c>
      <c r="H11056" s="2" t="s">
        <v>34</v>
      </c>
      <c r="I11056" s="2" t="s">
        <v>32089</v>
      </c>
      <c r="J11056" s="2" t="s">
        <v>32090</v>
      </c>
      <c r="K11056" s="2" t="s">
        <v>130</v>
      </c>
      <c r="L11056" s="2" t="s">
        <v>34</v>
      </c>
      <c r="M11056" s="12">
        <v>90708.104000000007</v>
      </c>
      <c r="N11056" s="6">
        <v>60.27</v>
      </c>
      <c r="O11056" s="6">
        <v>56.86</v>
      </c>
      <c r="P11056" s="2" t="s">
        <v>32091</v>
      </c>
      <c r="Q11056" s="6">
        <v>100</v>
      </c>
      <c r="R11056" s="6">
        <v>261.25</v>
      </c>
      <c r="S11056" s="5">
        <v>86.1</v>
      </c>
      <c r="T11056" s="7">
        <v>352.79599999999999</v>
      </c>
      <c r="U11056" s="5">
        <v>10.9</v>
      </c>
      <c r="V11056" s="6">
        <v>1.1000000000000001</v>
      </c>
      <c r="W11056" s="6">
        <v>170.21</v>
      </c>
      <c r="X11056" s="6">
        <v>188.45</v>
      </c>
      <c r="Y11056" s="6">
        <v>220.22</v>
      </c>
      <c r="Z11056" s="6">
        <v>217.82</v>
      </c>
      <c r="AA11056" s="6">
        <v>76.02</v>
      </c>
      <c r="AB11056" s="7">
        <v>57.106999999999999</v>
      </c>
      <c r="AC11056" s="8">
        <v>8585</v>
      </c>
    </row>
    <row r="11057" spans="1:29" ht="65" x14ac:dyDescent="0.15">
      <c r="A11057" s="3">
        <f>DATE(2015,3,5)</f>
        <v>42068</v>
      </c>
      <c r="B11057" s="2"/>
      <c r="C11057" s="2" t="s">
        <v>7330</v>
      </c>
      <c r="D11057" s="2" t="s">
        <v>32092</v>
      </c>
      <c r="E11057" s="2" t="s">
        <v>32093</v>
      </c>
      <c r="F11057" s="4">
        <v>3585</v>
      </c>
      <c r="G11057" s="2" t="s">
        <v>300</v>
      </c>
      <c r="H11057" s="2" t="s">
        <v>34</v>
      </c>
      <c r="I11057" s="2" t="s">
        <v>32094</v>
      </c>
      <c r="J11057" s="2" t="s">
        <v>302</v>
      </c>
      <c r="K11057" s="2" t="s">
        <v>53</v>
      </c>
      <c r="L11057" s="2" t="s">
        <v>34</v>
      </c>
      <c r="M11057" s="2"/>
      <c r="N11057" s="2"/>
      <c r="O11057" s="2"/>
      <c r="P11057" s="2" t="s">
        <v>32095</v>
      </c>
      <c r="Q11057" s="2"/>
      <c r="R11057" s="2"/>
      <c r="S11057" s="5">
        <v>-0.6</v>
      </c>
      <c r="T11057" s="6">
        <v>-0.49</v>
      </c>
      <c r="U11057" s="5">
        <v>0.2</v>
      </c>
      <c r="V11057" s="6">
        <v>-0.02</v>
      </c>
      <c r="W11057" s="6">
        <v>1.83</v>
      </c>
      <c r="X11057" s="6">
        <v>2.38</v>
      </c>
      <c r="Y11057" s="6">
        <v>2.0499999999999998</v>
      </c>
      <c r="Z11057" s="6">
        <v>2.16</v>
      </c>
      <c r="AA11057" s="6">
        <v>30.44</v>
      </c>
      <c r="AB11057" s="2" t="s">
        <v>86</v>
      </c>
      <c r="AC11057" s="2"/>
    </row>
    <row r="11058" spans="1:29" ht="65" x14ac:dyDescent="0.15">
      <c r="A11058" s="3">
        <f>DATE(2015,3,6)</f>
        <v>42069</v>
      </c>
      <c r="B11058" s="2"/>
      <c r="C11058" s="2" t="s">
        <v>87</v>
      </c>
      <c r="D11058" s="2" t="s">
        <v>2475</v>
      </c>
      <c r="E11058" s="2" t="s">
        <v>21652</v>
      </c>
      <c r="F11058" s="4">
        <v>1382</v>
      </c>
      <c r="G11058" s="2" t="s">
        <v>148</v>
      </c>
      <c r="H11058" s="2" t="s">
        <v>34</v>
      </c>
      <c r="I11058" s="2" t="s">
        <v>143</v>
      </c>
      <c r="J11058" s="2" t="s">
        <v>144</v>
      </c>
      <c r="K11058" s="2" t="s">
        <v>53</v>
      </c>
      <c r="L11058" s="2" t="s">
        <v>139</v>
      </c>
      <c r="M11058" s="2"/>
      <c r="N11058" s="2"/>
      <c r="O11058" s="2"/>
      <c r="P11058" s="2" t="s">
        <v>32096</v>
      </c>
      <c r="Q11058" s="2"/>
      <c r="R11058" s="2"/>
      <c r="S11058" s="5">
        <v>64.8</v>
      </c>
      <c r="T11058" s="10">
        <v>2010.67</v>
      </c>
      <c r="U11058" s="5">
        <v>34.1</v>
      </c>
      <c r="V11058" s="7">
        <v>0.52900000000000003</v>
      </c>
      <c r="W11058" s="6">
        <v>33.83</v>
      </c>
      <c r="X11058" s="5">
        <v>34.5</v>
      </c>
      <c r="Y11058" s="6">
        <v>34.03</v>
      </c>
      <c r="Z11058" s="6">
        <v>37.71</v>
      </c>
      <c r="AA11058" s="6">
        <v>167.04</v>
      </c>
      <c r="AB11058" s="2" t="s">
        <v>47</v>
      </c>
      <c r="AC11058" s="2"/>
    </row>
    <row r="11059" spans="1:29" ht="169" x14ac:dyDescent="0.15">
      <c r="A11059" s="3">
        <f>DATE(2015,3,9)</f>
        <v>42072</v>
      </c>
      <c r="B11059" s="3">
        <f>DATE(2015,6,30)</f>
        <v>42185</v>
      </c>
      <c r="C11059" s="2" t="s">
        <v>95</v>
      </c>
      <c r="D11059" s="2" t="s">
        <v>32097</v>
      </c>
      <c r="E11059" s="2" t="s">
        <v>159</v>
      </c>
      <c r="F11059" s="4">
        <v>6021</v>
      </c>
      <c r="G11059" s="2" t="s">
        <v>37</v>
      </c>
      <c r="H11059" s="2" t="s">
        <v>34</v>
      </c>
      <c r="I11059" s="2" t="s">
        <v>30154</v>
      </c>
      <c r="J11059" s="2" t="s">
        <v>36</v>
      </c>
      <c r="K11059" s="2" t="s">
        <v>37</v>
      </c>
      <c r="L11059" s="2" t="s">
        <v>34</v>
      </c>
      <c r="M11059" s="12">
        <v>2461.7979999999998</v>
      </c>
      <c r="N11059" s="6">
        <v>29.38</v>
      </c>
      <c r="O11059" s="6">
        <v>28.54</v>
      </c>
      <c r="P11059" s="2" t="s">
        <v>32098</v>
      </c>
      <c r="Q11059" s="6">
        <v>100</v>
      </c>
      <c r="R11059" s="6">
        <v>26.03</v>
      </c>
      <c r="S11059" s="5">
        <v>17.600000000000001</v>
      </c>
      <c r="T11059" s="6">
        <v>30.86</v>
      </c>
      <c r="U11059" s="5">
        <v>11.7</v>
      </c>
      <c r="V11059" s="9">
        <v>1.1314</v>
      </c>
      <c r="W11059" s="6">
        <v>21.78</v>
      </c>
      <c r="X11059" s="6">
        <v>21.89</v>
      </c>
      <c r="Y11059" s="6">
        <v>22.29</v>
      </c>
      <c r="Z11059" s="6">
        <v>25.39</v>
      </c>
      <c r="AA11059" s="6">
        <v>15.96</v>
      </c>
      <c r="AB11059" s="7">
        <v>16.158999999999999</v>
      </c>
      <c r="AC11059" s="2"/>
    </row>
    <row r="11060" spans="1:29" ht="182" x14ac:dyDescent="0.15">
      <c r="A11060" s="3">
        <f>DATE(2015,3,9)</f>
        <v>42072</v>
      </c>
      <c r="B11060" s="2"/>
      <c r="C11060" s="2" t="s">
        <v>30</v>
      </c>
      <c r="D11060" s="2" t="s">
        <v>32099</v>
      </c>
      <c r="E11060" s="2" t="s">
        <v>92</v>
      </c>
      <c r="F11060" s="4">
        <v>6798</v>
      </c>
      <c r="G11060" s="2" t="s">
        <v>53</v>
      </c>
      <c r="H11060" s="2" t="s">
        <v>34</v>
      </c>
      <c r="I11060" s="2" t="s">
        <v>4936</v>
      </c>
      <c r="J11060" s="2" t="s">
        <v>92</v>
      </c>
      <c r="K11060" s="2" t="s">
        <v>53</v>
      </c>
      <c r="L11060" s="2" t="s">
        <v>34</v>
      </c>
      <c r="M11060" s="12">
        <v>61026.178</v>
      </c>
      <c r="N11060" s="6">
        <v>180.44</v>
      </c>
      <c r="O11060" s="6">
        <v>179.92</v>
      </c>
      <c r="P11060" s="2" t="s">
        <v>32100</v>
      </c>
      <c r="Q11060" s="2"/>
      <c r="R11060" s="6">
        <v>95.5</v>
      </c>
      <c r="S11060" s="8">
        <v>1497.5</v>
      </c>
      <c r="T11060" s="7">
        <v>452.286</v>
      </c>
      <c r="U11060" s="5">
        <v>35.700000000000003</v>
      </c>
      <c r="V11060" s="9">
        <v>10.4505</v>
      </c>
      <c r="W11060" s="6">
        <v>82.19</v>
      </c>
      <c r="X11060" s="5">
        <v>83.8</v>
      </c>
      <c r="Y11060" s="6">
        <v>88.07</v>
      </c>
      <c r="Z11060" s="6">
        <v>86.72</v>
      </c>
      <c r="AA11060" s="6">
        <v>158.16</v>
      </c>
      <c r="AB11060" s="7">
        <v>330.72800000000001</v>
      </c>
      <c r="AC11060" s="6">
        <v>612.28</v>
      </c>
    </row>
    <row r="11061" spans="1:29" ht="130" x14ac:dyDescent="0.15">
      <c r="A11061" s="3">
        <f>DATE(2015,3,9)</f>
        <v>42072</v>
      </c>
      <c r="B11061" s="3">
        <f>DATE(2015,7,23)</f>
        <v>42208</v>
      </c>
      <c r="C11061" s="2" t="s">
        <v>95</v>
      </c>
      <c r="D11061" s="2" t="s">
        <v>32101</v>
      </c>
      <c r="E11061" s="2" t="s">
        <v>32102</v>
      </c>
      <c r="F11061" s="4">
        <v>3351</v>
      </c>
      <c r="G11061" s="2" t="s">
        <v>163</v>
      </c>
      <c r="H11061" s="2" t="s">
        <v>34</v>
      </c>
      <c r="I11061" s="2" t="s">
        <v>32103</v>
      </c>
      <c r="J11061" s="2" t="s">
        <v>20459</v>
      </c>
      <c r="K11061" s="2" t="s">
        <v>163</v>
      </c>
      <c r="L11061" s="2" t="s">
        <v>34</v>
      </c>
      <c r="M11061" s="12">
        <v>19128.182000000001</v>
      </c>
      <c r="N11061" s="5">
        <v>13.7</v>
      </c>
      <c r="O11061" s="5">
        <v>13.5</v>
      </c>
      <c r="P11061" s="2" t="s">
        <v>32104</v>
      </c>
      <c r="Q11061" s="6">
        <v>100</v>
      </c>
      <c r="R11061" s="6">
        <v>41</v>
      </c>
      <c r="S11061" s="5">
        <v>30.9</v>
      </c>
      <c r="T11061" s="7">
        <v>115.20399999999999</v>
      </c>
      <c r="U11061" s="5">
        <v>25.9</v>
      </c>
      <c r="V11061" s="9">
        <v>1.0287999999999999</v>
      </c>
      <c r="W11061" s="6">
        <v>28.03</v>
      </c>
      <c r="X11061" s="6">
        <v>27.28</v>
      </c>
      <c r="Y11061" s="4">
        <v>38</v>
      </c>
      <c r="Z11061" s="6">
        <v>37.450000000000003</v>
      </c>
      <c r="AA11061" s="6">
        <v>30.83</v>
      </c>
      <c r="AB11061" s="7">
        <v>19.759</v>
      </c>
      <c r="AC11061" s="8">
        <v>1975</v>
      </c>
    </row>
    <row r="11062" spans="1:29" ht="234" x14ac:dyDescent="0.15">
      <c r="A11062" s="3">
        <f>DATE(2015,3,11)</f>
        <v>42074</v>
      </c>
      <c r="B11062" s="2"/>
      <c r="C11062" s="2" t="s">
        <v>30</v>
      </c>
      <c r="D11062" s="2" t="s">
        <v>20789</v>
      </c>
      <c r="E11062" s="2" t="s">
        <v>20790</v>
      </c>
      <c r="F11062" s="4">
        <v>2834</v>
      </c>
      <c r="G11062" s="2" t="s">
        <v>130</v>
      </c>
      <c r="H11062" s="2" t="s">
        <v>34</v>
      </c>
      <c r="I11062" s="2" t="s">
        <v>31696</v>
      </c>
      <c r="J11062" s="2" t="s">
        <v>13055</v>
      </c>
      <c r="K11062" s="2" t="s">
        <v>130</v>
      </c>
      <c r="L11062" s="2" t="s">
        <v>34</v>
      </c>
      <c r="M11062" s="12">
        <v>12480.166999999999</v>
      </c>
      <c r="N11062" s="6">
        <v>87.76</v>
      </c>
      <c r="O11062" s="7">
        <v>90.495000000000005</v>
      </c>
      <c r="P11062" s="2" t="s">
        <v>32105</v>
      </c>
      <c r="Q11062" s="2"/>
      <c r="R11062" s="6">
        <v>175</v>
      </c>
      <c r="S11062" s="5">
        <v>-414.9</v>
      </c>
      <c r="T11062" s="7">
        <v>-24.527000000000001</v>
      </c>
      <c r="U11062" s="5">
        <v>3.7</v>
      </c>
      <c r="V11062" s="7">
        <v>-6.5289999999999999</v>
      </c>
      <c r="W11062" s="7">
        <v>119.80500000000001</v>
      </c>
      <c r="X11062" s="6">
        <v>120.19</v>
      </c>
      <c r="Y11062" s="6">
        <v>125.83</v>
      </c>
      <c r="Z11062" s="6">
        <v>124.49</v>
      </c>
      <c r="AA11062" s="6">
        <v>64.25</v>
      </c>
      <c r="AB11062" s="2" t="s">
        <v>86</v>
      </c>
      <c r="AC11062" s="5">
        <v>940.5</v>
      </c>
    </row>
    <row r="11063" spans="1:29" ht="234" x14ac:dyDescent="0.15">
      <c r="A11063" s="3">
        <f>DATE(2015,3,12)</f>
        <v>42075</v>
      </c>
      <c r="B11063" s="3">
        <f>DATE(2015,12,7)</f>
        <v>42345</v>
      </c>
      <c r="C11063" s="2" t="s">
        <v>95</v>
      </c>
      <c r="D11063" s="2" t="s">
        <v>32106</v>
      </c>
      <c r="E11063" s="2" t="s">
        <v>13887</v>
      </c>
      <c r="F11063" s="4">
        <v>3674</v>
      </c>
      <c r="G11063" s="2" t="s">
        <v>137</v>
      </c>
      <c r="H11063" s="2" t="s">
        <v>34</v>
      </c>
      <c r="I11063" s="2" t="s">
        <v>32106</v>
      </c>
      <c r="J11063" s="2" t="s">
        <v>31277</v>
      </c>
      <c r="K11063" s="2" t="s">
        <v>53</v>
      </c>
      <c r="L11063" s="2" t="s">
        <v>34</v>
      </c>
      <c r="M11063" s="2"/>
      <c r="N11063" s="2"/>
      <c r="O11063" s="2"/>
      <c r="P11063" s="2" t="s">
        <v>32107</v>
      </c>
      <c r="Q11063" s="6">
        <v>100</v>
      </c>
      <c r="R11063" s="6">
        <v>23</v>
      </c>
      <c r="S11063" s="5">
        <v>13.3</v>
      </c>
      <c r="T11063" s="7">
        <v>27.335000000000001</v>
      </c>
      <c r="U11063" s="5">
        <v>10</v>
      </c>
      <c r="V11063" s="9">
        <v>0.40649999999999997</v>
      </c>
      <c r="W11063" s="5">
        <v>16.5</v>
      </c>
      <c r="X11063" s="6">
        <v>16.57</v>
      </c>
      <c r="Y11063" s="6">
        <v>18.559999999999999</v>
      </c>
      <c r="Z11063" s="6">
        <v>18.45</v>
      </c>
      <c r="AA11063" s="6">
        <v>31.5</v>
      </c>
      <c r="AB11063" s="7">
        <v>40.072000000000003</v>
      </c>
      <c r="AC11063" s="2"/>
    </row>
    <row r="11064" spans="1:29" ht="65" x14ac:dyDescent="0.15">
      <c r="A11064" s="3">
        <f>DATE(2015,3,13)</f>
        <v>42076</v>
      </c>
      <c r="B11064" s="2"/>
      <c r="C11064" s="2" t="s">
        <v>7472</v>
      </c>
      <c r="D11064" s="2" t="s">
        <v>28441</v>
      </c>
      <c r="E11064" s="2" t="s">
        <v>32108</v>
      </c>
      <c r="F11064" s="4">
        <v>3711</v>
      </c>
      <c r="G11064" s="2" t="s">
        <v>105</v>
      </c>
      <c r="H11064" s="2" t="s">
        <v>34</v>
      </c>
      <c r="I11064" s="2" t="s">
        <v>32109</v>
      </c>
      <c r="J11064" s="2" t="s">
        <v>31505</v>
      </c>
      <c r="K11064" s="2" t="s">
        <v>105</v>
      </c>
      <c r="L11064" s="2" t="s">
        <v>303</v>
      </c>
      <c r="M11064" s="12">
        <v>18597.874</v>
      </c>
      <c r="N11064" s="7">
        <v>16.375</v>
      </c>
      <c r="O11064" s="7">
        <v>16.698</v>
      </c>
      <c r="P11064" s="2" t="s">
        <v>32110</v>
      </c>
      <c r="Q11064" s="2"/>
      <c r="R11064" s="2"/>
      <c r="S11064" s="8">
        <v>3949</v>
      </c>
      <c r="T11064" s="8">
        <v>8888</v>
      </c>
      <c r="U11064" s="5">
        <v>22.2</v>
      </c>
      <c r="V11064" s="9">
        <v>1.6515</v>
      </c>
      <c r="W11064" s="6">
        <v>36.840000000000003</v>
      </c>
      <c r="X11064" s="6">
        <v>38.43</v>
      </c>
      <c r="Y11064" s="6">
        <v>38.049999999999997</v>
      </c>
      <c r="Z11064" s="6">
        <v>38.58</v>
      </c>
      <c r="AA11064" s="10">
        <v>1607.21</v>
      </c>
      <c r="AB11064" s="2" t="s">
        <v>47</v>
      </c>
      <c r="AC11064" s="10">
        <v>28558.82</v>
      </c>
    </row>
    <row r="11065" spans="1:29" ht="156" x14ac:dyDescent="0.15">
      <c r="A11065" s="3">
        <f>DATE(2015,3,16)</f>
        <v>42079</v>
      </c>
      <c r="B11065" s="3">
        <f>DATE(2015,6,10)</f>
        <v>42165</v>
      </c>
      <c r="C11065" s="2" t="s">
        <v>95</v>
      </c>
      <c r="D11065" s="2" t="s">
        <v>32111</v>
      </c>
      <c r="E11065" s="2" t="s">
        <v>32112</v>
      </c>
      <c r="F11065" s="4">
        <v>7997</v>
      </c>
      <c r="G11065" s="2" t="s">
        <v>364</v>
      </c>
      <c r="H11065" s="2" t="s">
        <v>34</v>
      </c>
      <c r="I11065" s="2" t="s">
        <v>32113</v>
      </c>
      <c r="J11065" s="2" t="s">
        <v>31277</v>
      </c>
      <c r="K11065" s="2" t="s">
        <v>53</v>
      </c>
      <c r="L11065" s="2" t="s">
        <v>34</v>
      </c>
      <c r="M11065" s="2"/>
      <c r="N11065" s="2"/>
      <c r="O11065" s="2"/>
      <c r="P11065" s="2" t="s">
        <v>32114</v>
      </c>
      <c r="Q11065" s="6">
        <v>100</v>
      </c>
      <c r="R11065" s="6">
        <v>72.099999999999994</v>
      </c>
      <c r="S11065" s="5">
        <v>114.4</v>
      </c>
      <c r="T11065" s="7">
        <v>373.29199999999997</v>
      </c>
      <c r="U11065" s="5">
        <v>28.3</v>
      </c>
      <c r="V11065" s="7">
        <v>2.9380000000000002</v>
      </c>
      <c r="W11065" s="5">
        <v>57.8</v>
      </c>
      <c r="X11065" s="6">
        <v>57.67</v>
      </c>
      <c r="Y11065" s="6">
        <v>66.319999999999993</v>
      </c>
      <c r="Z11065" s="6">
        <v>65.69</v>
      </c>
      <c r="AA11065" s="6">
        <v>39.01</v>
      </c>
      <c r="AB11065" s="7">
        <v>17.713999999999999</v>
      </c>
      <c r="AC11065" s="2"/>
    </row>
    <row r="11066" spans="1:29" ht="104" x14ac:dyDescent="0.15">
      <c r="A11066" s="3">
        <f>DATE(2015,3,18)</f>
        <v>42081</v>
      </c>
      <c r="B11066" s="3">
        <f>DATE(2015,4,28)</f>
        <v>42122</v>
      </c>
      <c r="C11066" s="2" t="s">
        <v>95</v>
      </c>
      <c r="D11066" s="2" t="s">
        <v>20974</v>
      </c>
      <c r="E11066" s="2" t="s">
        <v>207</v>
      </c>
      <c r="F11066" s="4">
        <v>3674</v>
      </c>
      <c r="G11066" s="2" t="s">
        <v>137</v>
      </c>
      <c r="H11066" s="2" t="s">
        <v>34</v>
      </c>
      <c r="I11066" s="2" t="s">
        <v>11358</v>
      </c>
      <c r="J11066" s="2" t="s">
        <v>10974</v>
      </c>
      <c r="K11066" s="2" t="s">
        <v>137</v>
      </c>
      <c r="L11066" s="2" t="s">
        <v>34</v>
      </c>
      <c r="M11066" s="8">
        <v>2959.5</v>
      </c>
      <c r="N11066" s="6">
        <v>34.68</v>
      </c>
      <c r="O11066" s="6">
        <v>36.68</v>
      </c>
      <c r="P11066" s="2" t="s">
        <v>32115</v>
      </c>
      <c r="Q11066" s="6">
        <v>100</v>
      </c>
      <c r="R11066" s="6">
        <v>5.28</v>
      </c>
      <c r="S11066" s="5">
        <v>-17.7</v>
      </c>
      <c r="T11066" s="7">
        <v>-9.6460000000000008</v>
      </c>
      <c r="U11066" s="5">
        <v>0.4</v>
      </c>
      <c r="V11066" s="7">
        <v>-0.28399999999999997</v>
      </c>
      <c r="W11066" s="6">
        <v>3.71</v>
      </c>
      <c r="X11066" s="6">
        <v>3.89</v>
      </c>
      <c r="Y11066" s="6">
        <v>5.34</v>
      </c>
      <c r="Z11066" s="6">
        <v>5.31</v>
      </c>
      <c r="AA11066" s="6">
        <v>69.209999999999994</v>
      </c>
      <c r="AB11066" s="2" t="s">
        <v>86</v>
      </c>
      <c r="AC11066" s="6">
        <v>182.95</v>
      </c>
    </row>
    <row r="11067" spans="1:29" ht="65" x14ac:dyDescent="0.15">
      <c r="A11067" s="3">
        <f>DATE(2015,3,24)</f>
        <v>42087</v>
      </c>
      <c r="B11067" s="3">
        <f>DATE(2015,5,21)</f>
        <v>42145</v>
      </c>
      <c r="C11067" s="2" t="s">
        <v>95</v>
      </c>
      <c r="D11067" s="2" t="s">
        <v>32116</v>
      </c>
      <c r="E11067" s="2" t="s">
        <v>32117</v>
      </c>
      <c r="F11067" s="4">
        <v>7371</v>
      </c>
      <c r="G11067" s="2" t="s">
        <v>223</v>
      </c>
      <c r="H11067" s="2" t="s">
        <v>34</v>
      </c>
      <c r="I11067" s="2" t="s">
        <v>32118</v>
      </c>
      <c r="J11067" s="2" t="s">
        <v>32119</v>
      </c>
      <c r="K11067" s="2" t="s">
        <v>50</v>
      </c>
      <c r="L11067" s="2" t="s">
        <v>34</v>
      </c>
      <c r="M11067" s="12">
        <v>2647.4160000000002</v>
      </c>
      <c r="N11067" s="6">
        <v>40.79</v>
      </c>
      <c r="O11067" s="6">
        <v>43.27</v>
      </c>
      <c r="P11067" s="2" t="s">
        <v>32120</v>
      </c>
      <c r="Q11067" s="6">
        <v>100</v>
      </c>
      <c r="R11067" s="6">
        <v>11</v>
      </c>
      <c r="S11067" s="5">
        <v>5.2</v>
      </c>
      <c r="T11067" s="7">
        <v>17.071000000000002</v>
      </c>
      <c r="U11067" s="5">
        <v>1.7</v>
      </c>
      <c r="V11067" s="9">
        <v>6.08E-2</v>
      </c>
      <c r="W11067" s="6">
        <v>7.35</v>
      </c>
      <c r="X11067" s="6">
        <v>7.62</v>
      </c>
      <c r="Y11067" s="5">
        <v>7.5</v>
      </c>
      <c r="Z11067" s="6">
        <v>10.95</v>
      </c>
      <c r="AA11067" s="6">
        <v>92.15</v>
      </c>
      <c r="AB11067" s="2" t="s">
        <v>47</v>
      </c>
      <c r="AC11067" s="5">
        <v>933.9</v>
      </c>
    </row>
    <row r="11068" spans="1:29" ht="208" x14ac:dyDescent="0.15">
      <c r="A11068" s="3">
        <f>DATE(2015,3,25)</f>
        <v>42088</v>
      </c>
      <c r="B11068" s="3">
        <f>DATE(2015,7,2)</f>
        <v>42187</v>
      </c>
      <c r="C11068" s="2" t="s">
        <v>95</v>
      </c>
      <c r="D11068" s="2" t="s">
        <v>32121</v>
      </c>
      <c r="E11068" s="2" t="s">
        <v>32122</v>
      </c>
      <c r="F11068" s="4">
        <v>2099</v>
      </c>
      <c r="G11068" s="2" t="s">
        <v>577</v>
      </c>
      <c r="H11068" s="2" t="s">
        <v>34</v>
      </c>
      <c r="I11068" s="2" t="s">
        <v>30539</v>
      </c>
      <c r="J11068" s="2" t="s">
        <v>30540</v>
      </c>
      <c r="K11068" s="2" t="s">
        <v>577</v>
      </c>
      <c r="L11068" s="2" t="s">
        <v>34</v>
      </c>
      <c r="M11068" s="2"/>
      <c r="N11068" s="2"/>
      <c r="O11068" s="2"/>
      <c r="P11068" s="2" t="s">
        <v>32123</v>
      </c>
      <c r="Q11068" s="6">
        <v>100</v>
      </c>
      <c r="R11068" s="2"/>
      <c r="S11068" s="8">
        <v>1038</v>
      </c>
      <c r="T11068" s="8">
        <v>2357</v>
      </c>
      <c r="U11068" s="5">
        <v>7.4</v>
      </c>
      <c r="V11068" s="9">
        <v>1.7358</v>
      </c>
      <c r="W11068" s="5">
        <v>61.7</v>
      </c>
      <c r="X11068" s="6">
        <v>62.12</v>
      </c>
      <c r="Y11068" s="7">
        <v>61.325000000000003</v>
      </c>
      <c r="Z11068" s="6">
        <v>83.17</v>
      </c>
      <c r="AA11068" s="6">
        <v>588.27</v>
      </c>
      <c r="AB11068" s="7">
        <v>27.747</v>
      </c>
      <c r="AC11068" s="8">
        <v>2628.8</v>
      </c>
    </row>
    <row r="11069" spans="1:29" ht="65" x14ac:dyDescent="0.15">
      <c r="A11069" s="3">
        <f>DATE(2015,3,26)</f>
        <v>42089</v>
      </c>
      <c r="B11069" s="2"/>
      <c r="C11069" s="2" t="s">
        <v>87</v>
      </c>
      <c r="D11069" s="2" t="s">
        <v>32124</v>
      </c>
      <c r="E11069" s="2" t="s">
        <v>6292</v>
      </c>
      <c r="F11069" s="4">
        <v>2834</v>
      </c>
      <c r="G11069" s="2" t="s">
        <v>130</v>
      </c>
      <c r="H11069" s="2" t="s">
        <v>34</v>
      </c>
      <c r="I11069" s="2" t="s">
        <v>143</v>
      </c>
      <c r="J11069" s="2" t="s">
        <v>144</v>
      </c>
      <c r="K11069" s="2" t="s">
        <v>53</v>
      </c>
      <c r="L11069" s="2" t="s">
        <v>139</v>
      </c>
      <c r="M11069" s="2"/>
      <c r="N11069" s="2"/>
      <c r="O11069" s="2"/>
      <c r="P11069" s="2" t="s">
        <v>32125</v>
      </c>
      <c r="Q11069" s="2"/>
      <c r="R11069" s="2"/>
      <c r="S11069" s="5">
        <v>-95.7</v>
      </c>
      <c r="T11069" s="7">
        <v>-94.158000000000001</v>
      </c>
      <c r="U11069" s="5">
        <v>-0.1</v>
      </c>
      <c r="V11069" s="9">
        <v>-1.0152000000000001</v>
      </c>
      <c r="W11069" s="5">
        <v>8.6</v>
      </c>
      <c r="X11069" s="6">
        <v>9.43</v>
      </c>
      <c r="Y11069" s="6">
        <v>9.85</v>
      </c>
      <c r="Z11069" s="6">
        <v>9.85</v>
      </c>
      <c r="AA11069" s="6">
        <v>96.61</v>
      </c>
      <c r="AB11069" s="2" t="s">
        <v>86</v>
      </c>
      <c r="AC11069" s="2"/>
    </row>
    <row r="11070" spans="1:29" ht="104" x14ac:dyDescent="0.15">
      <c r="A11070" s="3">
        <f>DATE(2015,3,27)</f>
        <v>42090</v>
      </c>
      <c r="B11070" s="2"/>
      <c r="C11070" s="2" t="s">
        <v>87</v>
      </c>
      <c r="D11070" s="2" t="s">
        <v>19688</v>
      </c>
      <c r="E11070" s="2" t="s">
        <v>13055</v>
      </c>
      <c r="F11070" s="4">
        <v>2834</v>
      </c>
      <c r="G11070" s="2" t="s">
        <v>130</v>
      </c>
      <c r="H11070" s="2" t="s">
        <v>34</v>
      </c>
      <c r="I11070" s="2" t="s">
        <v>25183</v>
      </c>
      <c r="J11070" s="2" t="s">
        <v>4011</v>
      </c>
      <c r="K11070" s="2" t="s">
        <v>130</v>
      </c>
      <c r="L11070" s="2" t="s">
        <v>7645</v>
      </c>
      <c r="M11070" s="12">
        <v>48048.472000000002</v>
      </c>
      <c r="N11070" s="7">
        <v>80.697000000000003</v>
      </c>
      <c r="O11070" s="7">
        <v>80.358999999999995</v>
      </c>
      <c r="P11070" s="2" t="s">
        <v>32126</v>
      </c>
      <c r="Q11070" s="2"/>
      <c r="R11070" s="2"/>
      <c r="S11070" s="5">
        <v>-134</v>
      </c>
      <c r="T11070" s="7">
        <v>-98.363</v>
      </c>
      <c r="U11070" s="5">
        <v>10.199999999999999</v>
      </c>
      <c r="V11070" s="9">
        <v>-0.91539999999999999</v>
      </c>
      <c r="W11070" s="6">
        <v>125.17</v>
      </c>
      <c r="X11070" s="6">
        <v>115.55</v>
      </c>
      <c r="Y11070" s="6">
        <v>128.78</v>
      </c>
      <c r="Z11070" s="7">
        <v>129.13499999999999</v>
      </c>
      <c r="AA11070" s="6">
        <v>159.13999999999999</v>
      </c>
      <c r="AB11070" s="2" t="s">
        <v>86</v>
      </c>
      <c r="AC11070" s="10">
        <v>3037.52</v>
      </c>
    </row>
    <row r="11071" spans="1:29" ht="117" x14ac:dyDescent="0.15">
      <c r="A11071" s="3">
        <f>DATE(2015,3,30)</f>
        <v>42093</v>
      </c>
      <c r="B11071" s="3">
        <f>DATE(2015,5,5)</f>
        <v>42129</v>
      </c>
      <c r="C11071" s="2" t="s">
        <v>95</v>
      </c>
      <c r="D11071" s="2" t="s">
        <v>32127</v>
      </c>
      <c r="E11071" s="2" t="s">
        <v>13055</v>
      </c>
      <c r="F11071" s="4">
        <v>2834</v>
      </c>
      <c r="G11071" s="2" t="s">
        <v>130</v>
      </c>
      <c r="H11071" s="2" t="s">
        <v>34</v>
      </c>
      <c r="I11071" s="2" t="s">
        <v>7461</v>
      </c>
      <c r="J11071" s="2" t="s">
        <v>7462</v>
      </c>
      <c r="K11071" s="2" t="s">
        <v>130</v>
      </c>
      <c r="L11071" s="2" t="s">
        <v>4242</v>
      </c>
      <c r="M11071" s="12">
        <v>54543.370999999999</v>
      </c>
      <c r="N11071" s="7">
        <v>62.442999999999998</v>
      </c>
      <c r="O11071" s="7">
        <v>62.808</v>
      </c>
      <c r="P11071" s="2" t="s">
        <v>32128</v>
      </c>
      <c r="Q11071" s="6">
        <v>100</v>
      </c>
      <c r="R11071" s="6">
        <v>101</v>
      </c>
      <c r="S11071" s="5">
        <v>-59.6</v>
      </c>
      <c r="T11071" s="7">
        <v>-50.207000000000001</v>
      </c>
      <c r="U11071" s="5">
        <v>4.5</v>
      </c>
      <c r="V11071" s="9">
        <v>-2.6840999999999999</v>
      </c>
      <c r="W11071" s="6">
        <v>75.180000000000007</v>
      </c>
      <c r="X11071" s="6">
        <v>70.91</v>
      </c>
      <c r="Y11071" s="6">
        <v>100.36</v>
      </c>
      <c r="Z11071" s="6">
        <v>100.27</v>
      </c>
      <c r="AA11071" s="6">
        <v>31.82</v>
      </c>
      <c r="AB11071" s="2" t="s">
        <v>86</v>
      </c>
      <c r="AC11071" s="10">
        <v>2239.9899999999998</v>
      </c>
    </row>
    <row r="11072" spans="1:29" ht="104" x14ac:dyDescent="0.15">
      <c r="A11072" s="3">
        <f>DATE(2015,3,30)</f>
        <v>42093</v>
      </c>
      <c r="B11072" s="3">
        <f>DATE(2015,7,23)</f>
        <v>42208</v>
      </c>
      <c r="C11072" s="2" t="s">
        <v>95</v>
      </c>
      <c r="D11072" s="2" t="s">
        <v>32129</v>
      </c>
      <c r="E11072" s="2" t="s">
        <v>32130</v>
      </c>
      <c r="F11072" s="4">
        <v>8099</v>
      </c>
      <c r="G11072" s="2" t="s">
        <v>454</v>
      </c>
      <c r="H11072" s="2" t="s">
        <v>34</v>
      </c>
      <c r="I11072" s="2" t="s">
        <v>21349</v>
      </c>
      <c r="J11072" s="2" t="s">
        <v>21350</v>
      </c>
      <c r="K11072" s="2" t="s">
        <v>125</v>
      </c>
      <c r="L11072" s="2" t="s">
        <v>34</v>
      </c>
      <c r="M11072" s="12">
        <v>109102.726</v>
      </c>
      <c r="N11072" s="4">
        <v>121</v>
      </c>
      <c r="O11072" s="6">
        <v>118.29</v>
      </c>
      <c r="P11072" s="2" t="s">
        <v>32131</v>
      </c>
      <c r="Q11072" s="6">
        <v>100</v>
      </c>
      <c r="R11072" s="6">
        <v>61.5</v>
      </c>
      <c r="S11072" s="5">
        <v>317.3</v>
      </c>
      <c r="T11072" s="7">
        <v>845.68399999999997</v>
      </c>
      <c r="U11072" s="5">
        <v>25.4</v>
      </c>
      <c r="V11072" s="9">
        <v>1.5273000000000001</v>
      </c>
      <c r="W11072" s="5">
        <v>49.6</v>
      </c>
      <c r="X11072" s="6">
        <v>48.32</v>
      </c>
      <c r="Y11072" s="6">
        <v>59.83</v>
      </c>
      <c r="Z11072" s="6">
        <v>59.54</v>
      </c>
      <c r="AA11072" s="6">
        <v>208.01</v>
      </c>
      <c r="AB11072" s="7">
        <v>23.216999999999999</v>
      </c>
      <c r="AC11072" s="8">
        <v>7495</v>
      </c>
    </row>
    <row r="11073" spans="1:29" ht="130" x14ac:dyDescent="0.15">
      <c r="A11073" s="3">
        <f>DATE(2015,3,30)</f>
        <v>42093</v>
      </c>
      <c r="B11073" s="3">
        <f>DATE(2015,5,1)</f>
        <v>42125</v>
      </c>
      <c r="C11073" s="2" t="s">
        <v>95</v>
      </c>
      <c r="D11073" s="2" t="s">
        <v>32132</v>
      </c>
      <c r="E11073" s="2" t="s">
        <v>540</v>
      </c>
      <c r="F11073" s="4">
        <v>2836</v>
      </c>
      <c r="G11073" s="2" t="s">
        <v>130</v>
      </c>
      <c r="H11073" s="2" t="s">
        <v>34</v>
      </c>
      <c r="I11073" s="2" t="s">
        <v>32133</v>
      </c>
      <c r="J11073" s="2" t="s">
        <v>32134</v>
      </c>
      <c r="K11073" s="2" t="s">
        <v>226</v>
      </c>
      <c r="L11073" s="2" t="s">
        <v>99</v>
      </c>
      <c r="M11073" s="12">
        <v>16422.457999999999</v>
      </c>
      <c r="N11073" s="7">
        <v>35.073</v>
      </c>
      <c r="O11073" s="7">
        <v>35.622999999999998</v>
      </c>
      <c r="P11073" s="2" t="s">
        <v>32135</v>
      </c>
      <c r="Q11073" s="6">
        <v>100</v>
      </c>
      <c r="R11073" s="6">
        <v>16.5</v>
      </c>
      <c r="S11073" s="5">
        <v>-30.6</v>
      </c>
      <c r="T11073" s="7">
        <v>-27.565999999999999</v>
      </c>
      <c r="U11073" s="5">
        <v>2.4</v>
      </c>
      <c r="V11073" s="9">
        <v>-1.9396</v>
      </c>
      <c r="W11073" s="6">
        <v>8.01</v>
      </c>
      <c r="X11073" s="6">
        <v>7.94</v>
      </c>
      <c r="Y11073" s="6">
        <v>16.420000000000002</v>
      </c>
      <c r="Z11073" s="6">
        <v>16.43</v>
      </c>
      <c r="AA11073" s="6">
        <v>15.81</v>
      </c>
      <c r="AB11073" s="2" t="s">
        <v>86</v>
      </c>
      <c r="AC11073" s="10">
        <v>6116.22</v>
      </c>
    </row>
    <row r="11074" spans="1:29" ht="169" x14ac:dyDescent="0.15">
      <c r="A11074" s="3">
        <f>DATE(2015,3,30)</f>
        <v>42093</v>
      </c>
      <c r="B11074" s="3">
        <f>DATE(2015,5,7)</f>
        <v>42131</v>
      </c>
      <c r="C11074" s="2" t="s">
        <v>95</v>
      </c>
      <c r="D11074" s="2" t="s">
        <v>32136</v>
      </c>
      <c r="E11074" s="2" t="s">
        <v>13055</v>
      </c>
      <c r="F11074" s="4">
        <v>2834</v>
      </c>
      <c r="G11074" s="2" t="s">
        <v>130</v>
      </c>
      <c r="H11074" s="2" t="s">
        <v>34</v>
      </c>
      <c r="I11074" s="2" t="s">
        <v>32137</v>
      </c>
      <c r="J11074" s="2" t="s">
        <v>13055</v>
      </c>
      <c r="K11074" s="2" t="s">
        <v>130</v>
      </c>
      <c r="L11074" s="2" t="s">
        <v>7645</v>
      </c>
      <c r="M11074" s="12">
        <v>2565.8049999999998</v>
      </c>
      <c r="N11074" s="6">
        <v>25.78</v>
      </c>
      <c r="O11074" s="6">
        <v>25.97</v>
      </c>
      <c r="P11074" s="2" t="s">
        <v>32138</v>
      </c>
      <c r="Q11074" s="6">
        <v>100</v>
      </c>
      <c r="R11074" s="6">
        <v>46</v>
      </c>
      <c r="S11074" s="5">
        <v>-6.3</v>
      </c>
      <c r="T11074" s="7">
        <v>31.116</v>
      </c>
      <c r="U11074" s="5">
        <v>6.3</v>
      </c>
      <c r="V11074" s="9">
        <v>-0.30559999999999998</v>
      </c>
      <c r="W11074" s="6">
        <v>41.39</v>
      </c>
      <c r="X11074" s="6">
        <v>42.74</v>
      </c>
      <c r="Y11074" s="6">
        <v>45.98</v>
      </c>
      <c r="Z11074" s="5">
        <v>45.9</v>
      </c>
      <c r="AA11074" s="6">
        <v>20.87</v>
      </c>
      <c r="AB11074" s="7">
        <v>34.344000000000001</v>
      </c>
      <c r="AC11074" s="6">
        <v>219.55</v>
      </c>
    </row>
    <row r="11075" spans="1:29" ht="169" x14ac:dyDescent="0.15">
      <c r="A11075" s="3">
        <f>DATE(2015,3,30)</f>
        <v>42093</v>
      </c>
      <c r="B11075" s="3">
        <f>DATE(2015,5,12)</f>
        <v>42136</v>
      </c>
      <c r="C11075" s="2" t="s">
        <v>95</v>
      </c>
      <c r="D11075" s="2" t="s">
        <v>32139</v>
      </c>
      <c r="E11075" s="2" t="s">
        <v>32140</v>
      </c>
      <c r="F11075" s="4">
        <v>2434</v>
      </c>
      <c r="G11075" s="2" t="s">
        <v>250</v>
      </c>
      <c r="H11075" s="2" t="s">
        <v>34</v>
      </c>
      <c r="I11075" s="2" t="s">
        <v>32141</v>
      </c>
      <c r="J11075" s="2" t="s">
        <v>32142</v>
      </c>
      <c r="K11075" s="2" t="s">
        <v>250</v>
      </c>
      <c r="L11075" s="2" t="s">
        <v>34</v>
      </c>
      <c r="M11075" s="12">
        <v>7498.6350000000002</v>
      </c>
      <c r="N11075" s="6">
        <v>47.01</v>
      </c>
      <c r="O11075" s="6">
        <v>47.48</v>
      </c>
      <c r="P11075" s="2" t="s">
        <v>32143</v>
      </c>
      <c r="Q11075" s="6">
        <v>100</v>
      </c>
      <c r="R11075" s="6">
        <v>25.5</v>
      </c>
      <c r="S11075" s="5">
        <v>3.2</v>
      </c>
      <c r="T11075" s="7">
        <v>50.122999999999998</v>
      </c>
      <c r="U11075" s="5">
        <v>2.5</v>
      </c>
      <c r="V11075" s="9">
        <v>0.1862</v>
      </c>
      <c r="W11075" s="6">
        <v>22.39</v>
      </c>
      <c r="X11075" s="5">
        <v>22.9</v>
      </c>
      <c r="Y11075" s="6">
        <v>25.67</v>
      </c>
      <c r="Z11075" s="6">
        <v>25.57</v>
      </c>
      <c r="AA11075" s="6">
        <v>17.309999999999999</v>
      </c>
      <c r="AB11075" s="7">
        <v>14.166</v>
      </c>
      <c r="AC11075" s="5">
        <v>197.5</v>
      </c>
    </row>
    <row r="11076" spans="1:29" ht="104" x14ac:dyDescent="0.15">
      <c r="A11076" s="3">
        <f>DATE(2015,4,1)</f>
        <v>42095</v>
      </c>
      <c r="B11076" s="3">
        <f>DATE(2015,6,2)</f>
        <v>42157</v>
      </c>
      <c r="C11076" s="2" t="s">
        <v>95</v>
      </c>
      <c r="D11076" s="2" t="s">
        <v>32144</v>
      </c>
      <c r="E11076" s="2" t="s">
        <v>32145</v>
      </c>
      <c r="F11076" s="4">
        <v>5023</v>
      </c>
      <c r="G11076" s="2" t="s">
        <v>76</v>
      </c>
      <c r="H11076" s="2" t="s">
        <v>34</v>
      </c>
      <c r="I11076" s="2" t="s">
        <v>1526</v>
      </c>
      <c r="J11076" s="2" t="s">
        <v>302</v>
      </c>
      <c r="K11076" s="2" t="s">
        <v>53</v>
      </c>
      <c r="L11076" s="2" t="s">
        <v>34</v>
      </c>
      <c r="M11076" s="2"/>
      <c r="N11076" s="2"/>
      <c r="O11076" s="2"/>
      <c r="P11076" s="2" t="s">
        <v>32146</v>
      </c>
      <c r="Q11076" s="6">
        <v>96</v>
      </c>
      <c r="R11076" s="2"/>
      <c r="S11076" s="5">
        <v>-119.5</v>
      </c>
      <c r="T11076" s="7">
        <v>-11.939</v>
      </c>
      <c r="U11076" s="5">
        <v>-8.6999999999999993</v>
      </c>
      <c r="V11076" s="9">
        <v>-5.0465999999999998</v>
      </c>
      <c r="W11076" s="6">
        <v>1.03</v>
      </c>
      <c r="X11076" s="5">
        <v>1.2</v>
      </c>
      <c r="Y11076" s="7">
        <v>0.22500000000000001</v>
      </c>
      <c r="Z11076" s="6">
        <v>0.21</v>
      </c>
      <c r="AA11076" s="6">
        <v>22.14</v>
      </c>
      <c r="AB11076" s="2" t="s">
        <v>86</v>
      </c>
      <c r="AC11076" s="2"/>
    </row>
    <row r="11077" spans="1:29" ht="156" x14ac:dyDescent="0.15">
      <c r="A11077" s="3">
        <f>DATE(2015,4,6)</f>
        <v>42100</v>
      </c>
      <c r="B11077" s="3">
        <f>DATE(2015,7,22)</f>
        <v>42207</v>
      </c>
      <c r="C11077" s="2" t="s">
        <v>95</v>
      </c>
      <c r="D11077" s="2" t="s">
        <v>32147</v>
      </c>
      <c r="E11077" s="2" t="s">
        <v>32148</v>
      </c>
      <c r="F11077" s="4">
        <v>4922</v>
      </c>
      <c r="G11077" s="2" t="s">
        <v>439</v>
      </c>
      <c r="H11077" s="2" t="s">
        <v>34</v>
      </c>
      <c r="I11077" s="2" t="s">
        <v>32149</v>
      </c>
      <c r="J11077" s="2" t="s">
        <v>28428</v>
      </c>
      <c r="K11077" s="2" t="s">
        <v>148</v>
      </c>
      <c r="L11077" s="2" t="s">
        <v>34</v>
      </c>
      <c r="M11077" s="12">
        <v>4460.5410000000002</v>
      </c>
      <c r="N11077" s="6">
        <v>55.34</v>
      </c>
      <c r="O11077" s="6">
        <v>54.76</v>
      </c>
      <c r="P11077" s="2" t="s">
        <v>32150</v>
      </c>
      <c r="Q11077" s="6">
        <v>43.11</v>
      </c>
      <c r="R11077" s="6">
        <v>16.57</v>
      </c>
      <c r="S11077" s="5">
        <v>59.3</v>
      </c>
      <c r="T11077" s="5">
        <v>84.5</v>
      </c>
      <c r="U11077" s="5">
        <v>6.8</v>
      </c>
      <c r="V11077" s="9">
        <v>1.1102000000000001</v>
      </c>
      <c r="W11077" s="5">
        <v>15.9</v>
      </c>
      <c r="X11077" s="6">
        <v>15.46</v>
      </c>
      <c r="Y11077" s="6">
        <v>15.74</v>
      </c>
      <c r="Z11077" s="6">
        <v>16.71</v>
      </c>
      <c r="AA11077" s="6">
        <v>53.45</v>
      </c>
      <c r="AB11077" s="7">
        <v>20.545000000000002</v>
      </c>
      <c r="AC11077" s="5">
        <v>16</v>
      </c>
    </row>
    <row r="11078" spans="1:29" ht="169" x14ac:dyDescent="0.15">
      <c r="A11078" s="3">
        <f>DATE(2015,4,7)</f>
        <v>42101</v>
      </c>
      <c r="B11078" s="3">
        <f>DATE(2015,8,6)</f>
        <v>42222</v>
      </c>
      <c r="C11078" s="2" t="s">
        <v>95</v>
      </c>
      <c r="D11078" s="2" t="s">
        <v>32151</v>
      </c>
      <c r="E11078" s="2" t="s">
        <v>32152</v>
      </c>
      <c r="F11078" s="4">
        <v>7372</v>
      </c>
      <c r="G11078" s="2" t="s">
        <v>551</v>
      </c>
      <c r="H11078" s="2" t="s">
        <v>34</v>
      </c>
      <c r="I11078" s="2" t="s">
        <v>32153</v>
      </c>
      <c r="J11078" s="2" t="s">
        <v>31277</v>
      </c>
      <c r="K11078" s="2" t="s">
        <v>53</v>
      </c>
      <c r="L11078" s="2" t="s">
        <v>303</v>
      </c>
      <c r="M11078" s="2"/>
      <c r="N11078" s="2"/>
      <c r="O11078" s="2"/>
      <c r="P11078" s="2" t="s">
        <v>32154</v>
      </c>
      <c r="Q11078" s="6">
        <v>100</v>
      </c>
      <c r="R11078" s="6">
        <v>48.75</v>
      </c>
      <c r="S11078" s="5">
        <v>110.8</v>
      </c>
      <c r="T11078" s="7">
        <v>202.898</v>
      </c>
      <c r="U11078" s="5">
        <v>9.9</v>
      </c>
      <c r="V11078" s="9">
        <v>1.0077</v>
      </c>
      <c r="W11078" s="6">
        <v>38.01</v>
      </c>
      <c r="X11078" s="6">
        <v>43.12</v>
      </c>
      <c r="Y11078" s="6">
        <v>42.06</v>
      </c>
      <c r="Z11078" s="6">
        <v>41.96</v>
      </c>
      <c r="AA11078" s="6">
        <v>104.21</v>
      </c>
      <c r="AB11078" s="7">
        <v>28.170999999999999</v>
      </c>
      <c r="AC11078" s="2"/>
    </row>
    <row r="11079" spans="1:29" ht="52" x14ac:dyDescent="0.15">
      <c r="A11079" s="3">
        <f>DATE(2015,4,8)</f>
        <v>42102</v>
      </c>
      <c r="B11079" s="2"/>
      <c r="C11079" s="2" t="s">
        <v>39</v>
      </c>
      <c r="D11079" s="2" t="s">
        <v>32155</v>
      </c>
      <c r="E11079" s="2" t="s">
        <v>124</v>
      </c>
      <c r="F11079" s="4">
        <v>6331</v>
      </c>
      <c r="G11079" s="2" t="s">
        <v>125</v>
      </c>
      <c r="H11079" s="2" t="s">
        <v>34</v>
      </c>
      <c r="I11079" s="2" t="s">
        <v>143</v>
      </c>
      <c r="J11079" s="2" t="s">
        <v>144</v>
      </c>
      <c r="K11079" s="2" t="s">
        <v>53</v>
      </c>
      <c r="L11079" s="2" t="s">
        <v>139</v>
      </c>
      <c r="M11079" s="2"/>
      <c r="N11079" s="2"/>
      <c r="O11079" s="2"/>
      <c r="P11079" s="2" t="s">
        <v>32156</v>
      </c>
      <c r="Q11079" s="2"/>
      <c r="R11079" s="2"/>
      <c r="S11079" s="5">
        <v>29.4</v>
      </c>
      <c r="T11079" s="2"/>
      <c r="U11079" s="5">
        <v>11</v>
      </c>
      <c r="V11079" s="9">
        <v>0.32469999999999999</v>
      </c>
      <c r="W11079" s="6">
        <v>15.25</v>
      </c>
      <c r="X11079" s="4">
        <v>15</v>
      </c>
      <c r="Y11079" s="6">
        <v>15.89</v>
      </c>
      <c r="Z11079" s="6">
        <v>15.81</v>
      </c>
      <c r="AA11079" s="6">
        <v>23.55</v>
      </c>
      <c r="AB11079" s="2" t="s">
        <v>47</v>
      </c>
      <c r="AC11079" s="2"/>
    </row>
    <row r="11080" spans="1:29" ht="78" x14ac:dyDescent="0.15">
      <c r="A11080" s="3">
        <f>DATE(2015,4,8)</f>
        <v>42102</v>
      </c>
      <c r="B11080" s="3">
        <f>DATE(2015,6,26)</f>
        <v>42181</v>
      </c>
      <c r="C11080" s="2" t="s">
        <v>95</v>
      </c>
      <c r="D11080" s="2" t="s">
        <v>32157</v>
      </c>
      <c r="E11080" s="2" t="s">
        <v>32158</v>
      </c>
      <c r="F11080" s="4">
        <v>2842</v>
      </c>
      <c r="G11080" s="2" t="s">
        <v>358</v>
      </c>
      <c r="H11080" s="2" t="s">
        <v>34</v>
      </c>
      <c r="I11080" s="2" t="s">
        <v>21375</v>
      </c>
      <c r="J11080" s="2" t="s">
        <v>244</v>
      </c>
      <c r="K11080" s="2" t="s">
        <v>53</v>
      </c>
      <c r="L11080" s="2" t="s">
        <v>34</v>
      </c>
      <c r="M11080" s="2"/>
      <c r="N11080" s="2"/>
      <c r="O11080" s="2"/>
      <c r="P11080" s="2" t="s">
        <v>32159</v>
      </c>
      <c r="Q11080" s="6">
        <v>100</v>
      </c>
      <c r="R11080" s="6">
        <v>20.05</v>
      </c>
      <c r="S11080" s="5">
        <v>9.3000000000000007</v>
      </c>
      <c r="T11080" s="7">
        <v>49.448</v>
      </c>
      <c r="U11080" s="5">
        <v>8.3000000000000007</v>
      </c>
      <c r="V11080" s="9">
        <v>0.4047</v>
      </c>
      <c r="W11080" s="6">
        <v>17.07</v>
      </c>
      <c r="X11080" s="6">
        <v>17.09</v>
      </c>
      <c r="Y11080" s="6">
        <v>20.37</v>
      </c>
      <c r="Z11080" s="6">
        <v>20.11</v>
      </c>
      <c r="AA11080" s="6">
        <v>23.05</v>
      </c>
      <c r="AB11080" s="7">
        <v>24.265999999999998</v>
      </c>
      <c r="AC11080" s="2"/>
    </row>
    <row r="11081" spans="1:29" ht="130" x14ac:dyDescent="0.15">
      <c r="A11081" s="3">
        <f>DATE(2015,4,8)</f>
        <v>42102</v>
      </c>
      <c r="B11081" s="3">
        <f>DATE(2015,7,17)</f>
        <v>42202</v>
      </c>
      <c r="C11081" s="2" t="s">
        <v>95</v>
      </c>
      <c r="D11081" s="2" t="s">
        <v>32160</v>
      </c>
      <c r="E11081" s="2" t="s">
        <v>32161</v>
      </c>
      <c r="F11081" s="4">
        <v>4412</v>
      </c>
      <c r="G11081" s="2" t="s">
        <v>173</v>
      </c>
      <c r="H11081" s="2" t="s">
        <v>34</v>
      </c>
      <c r="I11081" s="2" t="s">
        <v>31311</v>
      </c>
      <c r="J11081" s="2" t="s">
        <v>31312</v>
      </c>
      <c r="K11081" s="2" t="s">
        <v>173</v>
      </c>
      <c r="L11081" s="2" t="s">
        <v>34</v>
      </c>
      <c r="M11081" s="7">
        <v>581.56600000000003</v>
      </c>
      <c r="N11081" s="4">
        <v>7</v>
      </c>
      <c r="O11081" s="6">
        <v>6.75</v>
      </c>
      <c r="P11081" s="2" t="s">
        <v>32162</v>
      </c>
      <c r="Q11081" s="6">
        <v>100</v>
      </c>
      <c r="R11081" s="6">
        <v>1.6</v>
      </c>
      <c r="S11081" s="5">
        <v>-59.1</v>
      </c>
      <c r="T11081" s="7">
        <v>-0.46899999999999997</v>
      </c>
      <c r="U11081" s="5">
        <v>5.5</v>
      </c>
      <c r="V11081" s="9">
        <v>-1.1389</v>
      </c>
      <c r="W11081" s="5">
        <v>1.5</v>
      </c>
      <c r="X11081" s="6">
        <v>1.62</v>
      </c>
      <c r="Y11081" s="6">
        <v>1.35</v>
      </c>
      <c r="Z11081" s="6">
        <v>1.39</v>
      </c>
      <c r="AA11081" s="6">
        <v>58.61</v>
      </c>
      <c r="AB11081" s="2" t="s">
        <v>86</v>
      </c>
      <c r="AC11081" s="6">
        <v>78.53</v>
      </c>
    </row>
    <row r="11082" spans="1:29" ht="247" x14ac:dyDescent="0.15">
      <c r="A11082" s="3">
        <f>DATE(2015,4,10)</f>
        <v>42104</v>
      </c>
      <c r="B11082" s="3">
        <f>DATE(2015,7,31)</f>
        <v>42216</v>
      </c>
      <c r="C11082" s="2" t="s">
        <v>95</v>
      </c>
      <c r="D11082" s="2" t="s">
        <v>32163</v>
      </c>
      <c r="E11082" s="2" t="s">
        <v>92</v>
      </c>
      <c r="F11082" s="4">
        <v>6798</v>
      </c>
      <c r="G11082" s="2" t="s">
        <v>53</v>
      </c>
      <c r="H11082" s="2" t="s">
        <v>34</v>
      </c>
      <c r="I11082" s="2" t="s">
        <v>32164</v>
      </c>
      <c r="J11082" s="2" t="s">
        <v>31416</v>
      </c>
      <c r="K11082" s="2" t="s">
        <v>53</v>
      </c>
      <c r="L11082" s="2" t="s">
        <v>34</v>
      </c>
      <c r="M11082" s="2"/>
      <c r="N11082" s="2"/>
      <c r="O11082" s="2"/>
      <c r="P11082" s="2" t="s">
        <v>32165</v>
      </c>
      <c r="Q11082" s="6">
        <v>100</v>
      </c>
      <c r="R11082" s="6">
        <v>15.85</v>
      </c>
      <c r="S11082" s="5">
        <v>24.6</v>
      </c>
      <c r="T11082" s="7">
        <v>60.072000000000003</v>
      </c>
      <c r="U11082" s="5">
        <v>11.9</v>
      </c>
      <c r="V11082" s="9">
        <v>0.2271</v>
      </c>
      <c r="W11082" s="6">
        <v>14.06</v>
      </c>
      <c r="X11082" s="6">
        <v>13.84</v>
      </c>
      <c r="Y11082" s="6">
        <v>15.82</v>
      </c>
      <c r="Z11082" s="6">
        <v>15.81</v>
      </c>
      <c r="AA11082" s="6">
        <v>63.45</v>
      </c>
      <c r="AB11082" s="7">
        <v>454.27100000000002</v>
      </c>
      <c r="AC11082" s="2"/>
    </row>
    <row r="11083" spans="1:29" ht="78" x14ac:dyDescent="0.15">
      <c r="A11083" s="3">
        <f>DATE(2015,4,14)</f>
        <v>42108</v>
      </c>
      <c r="B11083" s="3">
        <f>DATE(2015,7,1)</f>
        <v>42186</v>
      </c>
      <c r="C11083" s="2" t="s">
        <v>95</v>
      </c>
      <c r="D11083" s="2" t="s">
        <v>32166</v>
      </c>
      <c r="E11083" s="2" t="s">
        <v>32167</v>
      </c>
      <c r="F11083" s="4">
        <v>5941</v>
      </c>
      <c r="G11083" s="2" t="s">
        <v>73</v>
      </c>
      <c r="H11083" s="2" t="s">
        <v>34</v>
      </c>
      <c r="I11083" s="2" t="s">
        <v>32168</v>
      </c>
      <c r="J11083" s="2" t="s">
        <v>244</v>
      </c>
      <c r="K11083" s="2" t="s">
        <v>53</v>
      </c>
      <c r="L11083" s="2" t="s">
        <v>34</v>
      </c>
      <c r="M11083" s="2"/>
      <c r="N11083" s="2"/>
      <c r="O11083" s="2"/>
      <c r="P11083" s="2" t="s">
        <v>32169</v>
      </c>
      <c r="Q11083" s="6">
        <v>100</v>
      </c>
      <c r="R11083" s="6">
        <v>8.5</v>
      </c>
      <c r="S11083" s="5">
        <v>1</v>
      </c>
      <c r="T11083" s="7">
        <v>4.2770000000000001</v>
      </c>
      <c r="U11083" s="5">
        <v>3.2</v>
      </c>
      <c r="V11083" s="9">
        <v>0.16539999999999999</v>
      </c>
      <c r="W11083" s="4">
        <v>5</v>
      </c>
      <c r="X11083" s="4">
        <v>5</v>
      </c>
      <c r="Y11083" s="6">
        <v>8.35</v>
      </c>
      <c r="Z11083" s="6">
        <v>8.36</v>
      </c>
      <c r="AA11083" s="6">
        <v>5.41</v>
      </c>
      <c r="AB11083" s="7">
        <v>26.001999999999999</v>
      </c>
      <c r="AC11083" s="2"/>
    </row>
    <row r="11084" spans="1:29" ht="65" x14ac:dyDescent="0.15">
      <c r="A11084" s="3">
        <f>DATE(2015,4,16)</f>
        <v>42110</v>
      </c>
      <c r="B11084" s="3">
        <f>DATE(2015,9,11)</f>
        <v>42258</v>
      </c>
      <c r="C11084" s="2" t="s">
        <v>95</v>
      </c>
      <c r="D11084" s="2" t="s">
        <v>32170</v>
      </c>
      <c r="E11084" s="2" t="s">
        <v>36</v>
      </c>
      <c r="F11084" s="4">
        <v>6712</v>
      </c>
      <c r="G11084" s="2" t="s">
        <v>37</v>
      </c>
      <c r="H11084" s="2" t="s">
        <v>34</v>
      </c>
      <c r="I11084" s="2" t="s">
        <v>5056</v>
      </c>
      <c r="J11084" s="2" t="s">
        <v>36</v>
      </c>
      <c r="K11084" s="2" t="s">
        <v>37</v>
      </c>
      <c r="L11084" s="2" t="s">
        <v>34</v>
      </c>
      <c r="M11084" s="7">
        <v>47.164000000000001</v>
      </c>
      <c r="N11084" s="6">
        <v>13.65</v>
      </c>
      <c r="O11084" s="5">
        <v>13.6</v>
      </c>
      <c r="P11084" s="2" t="s">
        <v>32171</v>
      </c>
      <c r="Q11084" s="6">
        <v>100</v>
      </c>
      <c r="R11084" s="6">
        <v>30</v>
      </c>
      <c r="S11084" s="5">
        <v>0.2</v>
      </c>
      <c r="T11084" s="7">
        <v>0.47799999999999998</v>
      </c>
      <c r="U11084" s="5">
        <v>27</v>
      </c>
      <c r="V11084" s="9">
        <v>0.40949999999999998</v>
      </c>
      <c r="W11084" s="6">
        <v>23.75</v>
      </c>
      <c r="X11084" s="4">
        <v>24</v>
      </c>
      <c r="Y11084" s="6">
        <v>29.95</v>
      </c>
      <c r="Z11084" s="5">
        <v>28.9</v>
      </c>
      <c r="AA11084" s="6">
        <v>0.48</v>
      </c>
      <c r="AB11084" s="7">
        <v>67.873999999999995</v>
      </c>
      <c r="AC11084" s="2"/>
    </row>
    <row r="11085" spans="1:29" ht="182" x14ac:dyDescent="0.15">
      <c r="A11085" s="3">
        <f>DATE(2015,4,20)</f>
        <v>42114</v>
      </c>
      <c r="B11085" s="3">
        <f>DATE(2015,10,5)</f>
        <v>42282</v>
      </c>
      <c r="C11085" s="2" t="s">
        <v>95</v>
      </c>
      <c r="D11085" s="2" t="s">
        <v>32172</v>
      </c>
      <c r="E11085" s="2" t="s">
        <v>1608</v>
      </c>
      <c r="F11085" s="4">
        <v>1311</v>
      </c>
      <c r="G11085" s="2" t="s">
        <v>148</v>
      </c>
      <c r="H11085" s="2" t="s">
        <v>34</v>
      </c>
      <c r="I11085" s="2" t="s">
        <v>29123</v>
      </c>
      <c r="J11085" s="2" t="s">
        <v>1608</v>
      </c>
      <c r="K11085" s="2" t="s">
        <v>148</v>
      </c>
      <c r="L11085" s="2" t="s">
        <v>34</v>
      </c>
      <c r="M11085" s="12">
        <v>1250.617</v>
      </c>
      <c r="N11085" s="6">
        <v>16.23</v>
      </c>
      <c r="O11085" s="6">
        <v>15.81</v>
      </c>
      <c r="P11085" s="2" t="s">
        <v>32173</v>
      </c>
      <c r="Q11085" s="6">
        <v>100</v>
      </c>
      <c r="R11085" s="6">
        <v>7.67</v>
      </c>
      <c r="S11085" s="5">
        <v>26.9</v>
      </c>
      <c r="T11085" s="6">
        <v>56.03</v>
      </c>
      <c r="U11085" s="5">
        <v>9.3000000000000007</v>
      </c>
      <c r="V11085" s="9">
        <v>1.0226999999999999</v>
      </c>
      <c r="W11085" s="6">
        <v>7.05</v>
      </c>
      <c r="X11085" s="6">
        <v>7.79</v>
      </c>
      <c r="Y11085" s="6">
        <v>7.93</v>
      </c>
      <c r="Z11085" s="6">
        <v>8.35</v>
      </c>
      <c r="AA11085" s="6">
        <v>28.07</v>
      </c>
      <c r="AB11085" s="7">
        <v>20.728999999999999</v>
      </c>
      <c r="AC11085" s="6">
        <v>163.41999999999999</v>
      </c>
    </row>
    <row r="11086" spans="1:29" ht="156" x14ac:dyDescent="0.15">
      <c r="A11086" s="3">
        <f>DATE(2015,4,21)</f>
        <v>42115</v>
      </c>
      <c r="B11086" s="2"/>
      <c r="C11086" s="2" t="s">
        <v>30</v>
      </c>
      <c r="D11086" s="2" t="s">
        <v>32174</v>
      </c>
      <c r="E11086" s="2" t="s">
        <v>13055</v>
      </c>
      <c r="F11086" s="4">
        <v>2834</v>
      </c>
      <c r="G11086" s="2" t="s">
        <v>130</v>
      </c>
      <c r="H11086" s="2" t="s">
        <v>34</v>
      </c>
      <c r="I11086" s="2" t="s">
        <v>7461</v>
      </c>
      <c r="J11086" s="2" t="s">
        <v>7462</v>
      </c>
      <c r="K11086" s="2" t="s">
        <v>130</v>
      </c>
      <c r="L11086" s="2" t="s">
        <v>4242</v>
      </c>
      <c r="M11086" s="12">
        <v>60240.936999999998</v>
      </c>
      <c r="N11086" s="7">
        <v>65.244</v>
      </c>
      <c r="O11086" s="7">
        <v>65.224000000000004</v>
      </c>
      <c r="P11086" s="2" t="s">
        <v>32175</v>
      </c>
      <c r="Q11086" s="2"/>
      <c r="R11086" s="6">
        <v>82</v>
      </c>
      <c r="S11086" s="5">
        <v>870.1</v>
      </c>
      <c r="T11086" s="8">
        <v>2173</v>
      </c>
      <c r="U11086" s="5">
        <v>18.5</v>
      </c>
      <c r="V11086" s="9">
        <v>2.3218000000000001</v>
      </c>
      <c r="W11086" s="6">
        <v>57.94</v>
      </c>
      <c r="X11086" s="6">
        <v>59.57</v>
      </c>
      <c r="Y11086" s="6">
        <v>68.36</v>
      </c>
      <c r="Z11086" s="7">
        <v>70.094999999999999</v>
      </c>
      <c r="AA11086" s="6">
        <v>489.8</v>
      </c>
      <c r="AB11086" s="7">
        <v>32.267000000000003</v>
      </c>
      <c r="AC11086" s="10">
        <v>3400.27</v>
      </c>
    </row>
    <row r="11087" spans="1:29" ht="78" x14ac:dyDescent="0.15">
      <c r="A11087" s="3">
        <f>DATE(2015,4,22)</f>
        <v>42116</v>
      </c>
      <c r="B11087" s="3">
        <f>DATE(2015,8,7)</f>
        <v>42223</v>
      </c>
      <c r="C11087" s="2" t="s">
        <v>95</v>
      </c>
      <c r="D11087" s="2" t="s">
        <v>32176</v>
      </c>
      <c r="E11087" s="2" t="s">
        <v>92</v>
      </c>
      <c r="F11087" s="4">
        <v>6798</v>
      </c>
      <c r="G11087" s="2" t="s">
        <v>53</v>
      </c>
      <c r="H11087" s="2" t="s">
        <v>34</v>
      </c>
      <c r="I11087" s="2" t="s">
        <v>25034</v>
      </c>
      <c r="J11087" s="2" t="s">
        <v>25035</v>
      </c>
      <c r="K11087" s="2" t="s">
        <v>53</v>
      </c>
      <c r="L11087" s="2" t="s">
        <v>902</v>
      </c>
      <c r="M11087" s="12">
        <v>33858.991999999998</v>
      </c>
      <c r="N11087" s="7">
        <v>55.515000000000001</v>
      </c>
      <c r="O11087" s="7">
        <v>55.557000000000002</v>
      </c>
      <c r="P11087" s="2" t="s">
        <v>32177</v>
      </c>
      <c r="Q11087" s="6">
        <v>100</v>
      </c>
      <c r="R11087" s="6">
        <v>28.75</v>
      </c>
      <c r="S11087" s="5">
        <v>103.2</v>
      </c>
      <c r="T11087" s="7">
        <v>73.808000000000007</v>
      </c>
      <c r="U11087" s="5">
        <v>11</v>
      </c>
      <c r="V11087" s="9">
        <v>1.7742</v>
      </c>
      <c r="W11087" s="6">
        <v>24.17</v>
      </c>
      <c r="X11087" s="6">
        <v>24.48</v>
      </c>
      <c r="Y11087" s="6">
        <v>28.49</v>
      </c>
      <c r="Z11087" s="6">
        <v>28.41</v>
      </c>
      <c r="AA11087" s="6">
        <v>57.89</v>
      </c>
      <c r="AB11087" s="7">
        <v>234.285</v>
      </c>
      <c r="AC11087" s="10">
        <v>8369.5499999999993</v>
      </c>
    </row>
    <row r="11088" spans="1:29" ht="143" x14ac:dyDescent="0.15">
      <c r="A11088" s="3">
        <f>DATE(2015,4,22)</f>
        <v>42116</v>
      </c>
      <c r="B11088" s="3">
        <f>DATE(2015,9,1)</f>
        <v>42248</v>
      </c>
      <c r="C11088" s="2" t="s">
        <v>95</v>
      </c>
      <c r="D11088" s="2" t="s">
        <v>32178</v>
      </c>
      <c r="E11088" s="2" t="s">
        <v>36</v>
      </c>
      <c r="F11088" s="4">
        <v>6021</v>
      </c>
      <c r="G11088" s="2" t="s">
        <v>37</v>
      </c>
      <c r="H11088" s="2" t="s">
        <v>34</v>
      </c>
      <c r="I11088" s="2" t="s">
        <v>20616</v>
      </c>
      <c r="J11088" s="2" t="s">
        <v>36</v>
      </c>
      <c r="K11088" s="2" t="s">
        <v>37</v>
      </c>
      <c r="L11088" s="2" t="s">
        <v>34</v>
      </c>
      <c r="M11088" s="12">
        <v>1112.4570000000001</v>
      </c>
      <c r="N11088" s="6">
        <v>18.47</v>
      </c>
      <c r="O11088" s="6">
        <v>18.45</v>
      </c>
      <c r="P11088" s="2" t="s">
        <v>32179</v>
      </c>
      <c r="Q11088" s="6">
        <v>100</v>
      </c>
      <c r="R11088" s="6">
        <v>19.25</v>
      </c>
      <c r="S11088" s="5">
        <v>10</v>
      </c>
      <c r="T11088" s="7">
        <v>19.606999999999999</v>
      </c>
      <c r="U11088" s="5">
        <v>10.6</v>
      </c>
      <c r="V11088" s="9">
        <v>0.7823</v>
      </c>
      <c r="W11088" s="6">
        <v>19.239999999999998</v>
      </c>
      <c r="X11088" s="6">
        <v>18.93</v>
      </c>
      <c r="Y11088" s="6">
        <v>18.05</v>
      </c>
      <c r="Z11088" s="6">
        <v>18.04</v>
      </c>
      <c r="AA11088" s="6">
        <v>12.81</v>
      </c>
      <c r="AB11088" s="7">
        <v>17.963000000000001</v>
      </c>
      <c r="AC11088" s="2"/>
    </row>
    <row r="11089" spans="1:29" ht="117" x14ac:dyDescent="0.15">
      <c r="A11089" s="3">
        <f>DATE(2015,4,22)</f>
        <v>42116</v>
      </c>
      <c r="B11089" s="3">
        <f>DATE(2015,6,4)</f>
        <v>42159</v>
      </c>
      <c r="C11089" s="2" t="s">
        <v>95</v>
      </c>
      <c r="D11089" s="2" t="s">
        <v>32180</v>
      </c>
      <c r="E11089" s="2" t="s">
        <v>32181</v>
      </c>
      <c r="F11089" s="4">
        <v>7371</v>
      </c>
      <c r="G11089" s="2" t="s">
        <v>223</v>
      </c>
      <c r="H11089" s="2" t="s">
        <v>34</v>
      </c>
      <c r="I11089" s="2" t="s">
        <v>24342</v>
      </c>
      <c r="J11089" s="2" t="s">
        <v>244</v>
      </c>
      <c r="K11089" s="2" t="s">
        <v>53</v>
      </c>
      <c r="L11089" s="2" t="s">
        <v>34</v>
      </c>
      <c r="M11089" s="2"/>
      <c r="N11089" s="2"/>
      <c r="O11089" s="2"/>
      <c r="P11089" s="2" t="s">
        <v>32182</v>
      </c>
      <c r="Q11089" s="6">
        <v>100</v>
      </c>
      <c r="R11089" s="6">
        <v>11.5</v>
      </c>
      <c r="S11089" s="5">
        <v>-22.1</v>
      </c>
      <c r="T11089" s="7">
        <v>-4.8710000000000004</v>
      </c>
      <c r="U11089" s="5">
        <v>6</v>
      </c>
      <c r="V11089" s="9">
        <v>-1.0786</v>
      </c>
      <c r="W11089" s="6">
        <v>9.7100000000000009</v>
      </c>
      <c r="X11089" s="6">
        <v>9.51</v>
      </c>
      <c r="Y11089" s="6">
        <v>11.42</v>
      </c>
      <c r="Z11089" s="6">
        <v>11.45</v>
      </c>
      <c r="AA11089" s="6">
        <v>20.79</v>
      </c>
      <c r="AB11089" s="2" t="s">
        <v>86</v>
      </c>
      <c r="AC11089" s="2"/>
    </row>
    <row r="11090" spans="1:29" ht="65" x14ac:dyDescent="0.15">
      <c r="A11090" s="3">
        <f>DATE(2015,4,23)</f>
        <v>42117</v>
      </c>
      <c r="B11090" s="3">
        <f>DATE(2015,10,28)</f>
        <v>42305</v>
      </c>
      <c r="C11090" s="2" t="s">
        <v>95</v>
      </c>
      <c r="D11090" s="2" t="s">
        <v>32183</v>
      </c>
      <c r="E11090" s="2" t="s">
        <v>32184</v>
      </c>
      <c r="F11090" s="4">
        <v>7375</v>
      </c>
      <c r="G11090" s="2" t="s">
        <v>223</v>
      </c>
      <c r="H11090" s="2" t="s">
        <v>34</v>
      </c>
      <c r="I11090" s="2" t="s">
        <v>32185</v>
      </c>
      <c r="J11090" s="2" t="s">
        <v>32186</v>
      </c>
      <c r="K11090" s="2" t="s">
        <v>173</v>
      </c>
      <c r="L11090" s="2" t="s">
        <v>15404</v>
      </c>
      <c r="M11090" s="2"/>
      <c r="N11090" s="2"/>
      <c r="O11090" s="2"/>
      <c r="P11090" s="2" t="s">
        <v>32187</v>
      </c>
      <c r="Q11090" s="6">
        <v>100</v>
      </c>
      <c r="R11090" s="2"/>
      <c r="S11090" s="5">
        <v>-5.5</v>
      </c>
      <c r="T11090" s="6">
        <v>-4.26</v>
      </c>
      <c r="U11090" s="5">
        <v>0.2</v>
      </c>
      <c r="V11090" s="9">
        <v>-0.96350000000000002</v>
      </c>
      <c r="W11090" s="6">
        <v>0.66</v>
      </c>
      <c r="X11090" s="6">
        <v>1.75</v>
      </c>
      <c r="Y11090" s="5">
        <v>1.6</v>
      </c>
      <c r="Z11090" s="6">
        <v>1.97</v>
      </c>
      <c r="AA11090" s="6">
        <v>5.77</v>
      </c>
      <c r="AB11090" s="2" t="s">
        <v>86</v>
      </c>
      <c r="AC11090" s="6">
        <v>2.14</v>
      </c>
    </row>
    <row r="11091" spans="1:29" ht="65" x14ac:dyDescent="0.15">
      <c r="A11091" s="3">
        <f>DATE(2015,4,23)</f>
        <v>42117</v>
      </c>
      <c r="B11091" s="3">
        <f>DATE(2015,6,18)</f>
        <v>42173</v>
      </c>
      <c r="C11091" s="2" t="s">
        <v>95</v>
      </c>
      <c r="D11091" s="2" t="s">
        <v>32188</v>
      </c>
      <c r="E11091" s="2" t="s">
        <v>19016</v>
      </c>
      <c r="F11091" s="4">
        <v>2834</v>
      </c>
      <c r="G11091" s="2" t="s">
        <v>130</v>
      </c>
      <c r="H11091" s="2" t="s">
        <v>34</v>
      </c>
      <c r="I11091" s="2" t="s">
        <v>32189</v>
      </c>
      <c r="J11091" s="2" t="s">
        <v>32190</v>
      </c>
      <c r="K11091" s="2" t="s">
        <v>577</v>
      </c>
      <c r="L11091" s="2" t="s">
        <v>34</v>
      </c>
      <c r="M11091" s="2"/>
      <c r="N11091" s="2"/>
      <c r="O11091" s="2"/>
      <c r="P11091" s="2" t="s">
        <v>32191</v>
      </c>
      <c r="Q11091" s="6">
        <v>100</v>
      </c>
      <c r="R11091" s="6">
        <v>33.549999999999997</v>
      </c>
      <c r="S11091" s="5">
        <v>32.6</v>
      </c>
      <c r="T11091" s="7">
        <v>55.851999999999997</v>
      </c>
      <c r="U11091" s="5">
        <v>13.7</v>
      </c>
      <c r="V11091" s="7">
        <v>2.548</v>
      </c>
      <c r="W11091" s="11">
        <v>21.021339999999999</v>
      </c>
      <c r="X11091" s="11">
        <v>20.935449999999999</v>
      </c>
      <c r="Y11091" s="7">
        <v>25.625</v>
      </c>
      <c r="Z11091" s="7">
        <v>25.625</v>
      </c>
      <c r="AA11091" s="6">
        <v>12.79</v>
      </c>
      <c r="AB11091" s="2" t="s">
        <v>47</v>
      </c>
      <c r="AC11091" s="6">
        <v>0.19</v>
      </c>
    </row>
    <row r="11092" spans="1:29" ht="117" x14ac:dyDescent="0.15">
      <c r="A11092" s="3">
        <f>DATE(2015,4,23)</f>
        <v>42117</v>
      </c>
      <c r="B11092" s="3">
        <f>DATE(2015,8,20)</f>
        <v>42236</v>
      </c>
      <c r="C11092" s="2" t="s">
        <v>95</v>
      </c>
      <c r="D11092" s="2" t="s">
        <v>32192</v>
      </c>
      <c r="E11092" s="2" t="s">
        <v>29798</v>
      </c>
      <c r="F11092" s="4">
        <v>6021</v>
      </c>
      <c r="G11092" s="2" t="s">
        <v>37</v>
      </c>
      <c r="H11092" s="2" t="s">
        <v>34</v>
      </c>
      <c r="I11092" s="2" t="s">
        <v>25131</v>
      </c>
      <c r="J11092" s="2" t="s">
        <v>36</v>
      </c>
      <c r="K11092" s="2" t="s">
        <v>37</v>
      </c>
      <c r="L11092" s="2" t="s">
        <v>34</v>
      </c>
      <c r="M11092" s="7">
        <v>236.05199999999999</v>
      </c>
      <c r="N11092" s="5">
        <v>8.9</v>
      </c>
      <c r="O11092" s="6">
        <v>9.06</v>
      </c>
      <c r="P11092" s="2" t="s">
        <v>32193</v>
      </c>
      <c r="Q11092" s="6">
        <v>100</v>
      </c>
      <c r="R11092" s="6">
        <v>16.41</v>
      </c>
      <c r="S11092" s="2"/>
      <c r="T11092" s="2"/>
      <c r="U11092" s="2"/>
      <c r="V11092" s="2"/>
      <c r="W11092" s="4">
        <v>10</v>
      </c>
      <c r="X11092" s="4">
        <v>10</v>
      </c>
      <c r="Y11092" s="4">
        <v>10</v>
      </c>
      <c r="Z11092" s="5">
        <v>15.8</v>
      </c>
      <c r="AA11092" s="6">
        <v>3</v>
      </c>
      <c r="AB11092" s="2" t="s">
        <v>47</v>
      </c>
      <c r="AC11092" s="2"/>
    </row>
    <row r="11093" spans="1:29" ht="117" x14ac:dyDescent="0.15">
      <c r="A11093" s="3">
        <f>DATE(2015,4,27)</f>
        <v>42121</v>
      </c>
      <c r="B11093" s="3">
        <f>DATE(2015,7,1)</f>
        <v>42186</v>
      </c>
      <c r="C11093" s="2" t="s">
        <v>95</v>
      </c>
      <c r="D11093" s="2" t="s">
        <v>32194</v>
      </c>
      <c r="E11093" s="2" t="s">
        <v>32195</v>
      </c>
      <c r="F11093" s="4">
        <v>7371</v>
      </c>
      <c r="G11093" s="2" t="s">
        <v>223</v>
      </c>
      <c r="H11093" s="2" t="s">
        <v>34</v>
      </c>
      <c r="I11093" s="2" t="s">
        <v>24723</v>
      </c>
      <c r="J11093" s="2" t="s">
        <v>9379</v>
      </c>
      <c r="K11093" s="2" t="s">
        <v>223</v>
      </c>
      <c r="L11093" s="2" t="s">
        <v>133</v>
      </c>
      <c r="M11093" s="12">
        <v>13838.491</v>
      </c>
      <c r="N11093" s="7">
        <v>92.001000000000005</v>
      </c>
      <c r="O11093" s="7">
        <v>89.441000000000003</v>
      </c>
      <c r="P11093" s="2" t="s">
        <v>32196</v>
      </c>
      <c r="Q11093" s="6">
        <v>100</v>
      </c>
      <c r="R11093" s="6">
        <v>48</v>
      </c>
      <c r="S11093" s="5">
        <v>116.4</v>
      </c>
      <c r="T11093" s="7">
        <v>260.98099999999999</v>
      </c>
      <c r="U11093" s="5">
        <v>7</v>
      </c>
      <c r="V11093" s="9">
        <v>-6.0299999999999999E-2</v>
      </c>
      <c r="W11093" s="6">
        <v>42.34</v>
      </c>
      <c r="X11093" s="6">
        <v>44.37</v>
      </c>
      <c r="Y11093" s="5">
        <v>45.9</v>
      </c>
      <c r="Z11093" s="6">
        <v>45.85</v>
      </c>
      <c r="AA11093" s="6">
        <v>80.94</v>
      </c>
      <c r="AB11093" s="7">
        <v>19.995999999999999</v>
      </c>
      <c r="AC11093" s="10">
        <v>2743.22</v>
      </c>
    </row>
    <row r="11094" spans="1:29" ht="91" x14ac:dyDescent="0.15">
      <c r="A11094" s="3">
        <f>DATE(2015,4,27)</f>
        <v>42121</v>
      </c>
      <c r="B11094" s="2"/>
      <c r="C11094" s="2" t="s">
        <v>30</v>
      </c>
      <c r="D11094" s="2" t="s">
        <v>32197</v>
      </c>
      <c r="E11094" s="2" t="s">
        <v>32198</v>
      </c>
      <c r="F11094" s="4">
        <v>6153</v>
      </c>
      <c r="G11094" s="2" t="s">
        <v>370</v>
      </c>
      <c r="H11094" s="2" t="s">
        <v>34</v>
      </c>
      <c r="I11094" s="2" t="s">
        <v>32199</v>
      </c>
      <c r="J11094" s="2" t="s">
        <v>28323</v>
      </c>
      <c r="K11094" s="2" t="s">
        <v>53</v>
      </c>
      <c r="L11094" s="2" t="s">
        <v>34</v>
      </c>
      <c r="M11094" s="2"/>
      <c r="N11094" s="2"/>
      <c r="O11094" s="2"/>
      <c r="P11094" s="2" t="s">
        <v>32200</v>
      </c>
      <c r="Q11094" s="2"/>
      <c r="R11094" s="6">
        <v>1.4</v>
      </c>
      <c r="S11094" s="2"/>
      <c r="T11094" s="2"/>
      <c r="U11094" s="2"/>
      <c r="V11094" s="2"/>
      <c r="W11094" s="5">
        <v>1.9</v>
      </c>
      <c r="X11094" s="5">
        <v>1.9</v>
      </c>
      <c r="Y11094" s="5">
        <v>1.9</v>
      </c>
      <c r="Z11094" s="5">
        <v>1.7</v>
      </c>
      <c r="AA11094" s="6">
        <v>0.96</v>
      </c>
      <c r="AB11094" s="2" t="s">
        <v>47</v>
      </c>
      <c r="AC11094" s="2"/>
    </row>
    <row r="11095" spans="1:29" ht="117" x14ac:dyDescent="0.15">
      <c r="A11095" s="3">
        <f>DATE(2015,4,29)</f>
        <v>42123</v>
      </c>
      <c r="B11095" s="3">
        <f>DATE(2015,8,17)</f>
        <v>42233</v>
      </c>
      <c r="C11095" s="2" t="s">
        <v>95</v>
      </c>
      <c r="D11095" s="2" t="s">
        <v>32201</v>
      </c>
      <c r="E11095" s="2" t="s">
        <v>32202</v>
      </c>
      <c r="F11095" s="4">
        <v>3624</v>
      </c>
      <c r="G11095" s="2" t="s">
        <v>137</v>
      </c>
      <c r="H11095" s="2" t="s">
        <v>34</v>
      </c>
      <c r="I11095" s="2" t="s">
        <v>25034</v>
      </c>
      <c r="J11095" s="2" t="s">
        <v>25035</v>
      </c>
      <c r="K11095" s="2" t="s">
        <v>53</v>
      </c>
      <c r="L11095" s="2" t="s">
        <v>902</v>
      </c>
      <c r="M11095" s="12">
        <v>33082.029000000002</v>
      </c>
      <c r="N11095" s="7">
        <v>55.045000000000002</v>
      </c>
      <c r="O11095" s="7">
        <v>53.872</v>
      </c>
      <c r="P11095" s="2" t="s">
        <v>32203</v>
      </c>
      <c r="Q11095" s="6">
        <v>78.099999999999994</v>
      </c>
      <c r="R11095" s="6">
        <v>5.05</v>
      </c>
      <c r="S11095" s="5">
        <v>-329.5</v>
      </c>
      <c r="T11095" s="7">
        <v>53.947000000000003</v>
      </c>
      <c r="U11095" s="5">
        <v>6.7</v>
      </c>
      <c r="V11095" s="4">
        <v>-556082</v>
      </c>
      <c r="W11095" s="6">
        <v>3.91</v>
      </c>
      <c r="X11095" s="6">
        <v>4.42</v>
      </c>
      <c r="Y11095" s="6">
        <v>4.33</v>
      </c>
      <c r="Z11095" s="6">
        <v>4.84</v>
      </c>
      <c r="AA11095" s="6">
        <v>136.82</v>
      </c>
      <c r="AB11095" s="2" t="s">
        <v>86</v>
      </c>
      <c r="AC11095" s="10">
        <v>8369.5499999999993</v>
      </c>
    </row>
    <row r="11096" spans="1:29" ht="143" x14ac:dyDescent="0.15">
      <c r="A11096" s="3">
        <f>DATE(2015,4,29)</f>
        <v>42123</v>
      </c>
      <c r="B11096" s="3">
        <f>DATE(2015,8,18)</f>
        <v>42234</v>
      </c>
      <c r="C11096" s="2" t="s">
        <v>95</v>
      </c>
      <c r="D11096" s="2" t="s">
        <v>32204</v>
      </c>
      <c r="E11096" s="2" t="s">
        <v>32205</v>
      </c>
      <c r="F11096" s="4">
        <v>6282</v>
      </c>
      <c r="G11096" s="2" t="s">
        <v>53</v>
      </c>
      <c r="H11096" s="2" t="s">
        <v>34</v>
      </c>
      <c r="I11096" s="2" t="s">
        <v>51</v>
      </c>
      <c r="J11096" s="2" t="s">
        <v>52</v>
      </c>
      <c r="K11096" s="2" t="s">
        <v>53</v>
      </c>
      <c r="L11096" s="2" t="s">
        <v>34</v>
      </c>
      <c r="M11096" s="2"/>
      <c r="N11096" s="2"/>
      <c r="O11096" s="2"/>
      <c r="P11096" s="2" t="s">
        <v>32206</v>
      </c>
      <c r="Q11096" s="6">
        <v>100</v>
      </c>
      <c r="R11096" s="6">
        <v>4.45</v>
      </c>
      <c r="S11096" s="5">
        <v>-0.6</v>
      </c>
      <c r="T11096" s="7">
        <v>1.823</v>
      </c>
      <c r="U11096" s="5">
        <v>4.8</v>
      </c>
      <c r="V11096" s="9">
        <v>5.9999999999999995E-4</v>
      </c>
      <c r="W11096" s="6">
        <v>4.08</v>
      </c>
      <c r="X11096" s="5">
        <v>4.0999999999999996</v>
      </c>
      <c r="Y11096" s="6">
        <v>4.41</v>
      </c>
      <c r="Z11096" s="6">
        <v>4.4400000000000004</v>
      </c>
      <c r="AA11096" s="6">
        <v>37.07</v>
      </c>
      <c r="AB11096" s="2" t="s">
        <v>86</v>
      </c>
      <c r="AC11096" s="2"/>
    </row>
    <row r="11097" spans="1:29" ht="65" x14ac:dyDescent="0.15">
      <c r="A11097" s="3">
        <f>DATE(2015,4,29)</f>
        <v>42123</v>
      </c>
      <c r="B11097" s="2"/>
      <c r="C11097" s="2" t="s">
        <v>39</v>
      </c>
      <c r="D11097" s="2" t="s">
        <v>26768</v>
      </c>
      <c r="E11097" s="2" t="s">
        <v>26769</v>
      </c>
      <c r="F11097" s="4">
        <v>7372</v>
      </c>
      <c r="G11097" s="2" t="s">
        <v>551</v>
      </c>
      <c r="H11097" s="2" t="s">
        <v>34</v>
      </c>
      <c r="I11097" s="2" t="s">
        <v>143</v>
      </c>
      <c r="J11097" s="2" t="s">
        <v>144</v>
      </c>
      <c r="K11097" s="2" t="s">
        <v>53</v>
      </c>
      <c r="L11097" s="2" t="s">
        <v>139</v>
      </c>
      <c r="M11097" s="2"/>
      <c r="N11097" s="2"/>
      <c r="O11097" s="2"/>
      <c r="P11097" s="2" t="s">
        <v>32207</v>
      </c>
      <c r="Q11097" s="2"/>
      <c r="R11097" s="2"/>
      <c r="S11097" s="5">
        <v>-262.7</v>
      </c>
      <c r="T11097" s="7">
        <v>302.66300000000001</v>
      </c>
      <c r="U11097" s="5">
        <v>6.1</v>
      </c>
      <c r="V11097" s="9">
        <v>-0.4209</v>
      </c>
      <c r="W11097" s="6">
        <v>67.709999999999994</v>
      </c>
      <c r="X11097" s="6">
        <v>66.89</v>
      </c>
      <c r="Y11097" s="6">
        <v>74.650000000000006</v>
      </c>
      <c r="Z11097" s="6">
        <v>72.819999999999993</v>
      </c>
      <c r="AA11097" s="6">
        <v>650.6</v>
      </c>
      <c r="AB11097" s="2" t="s">
        <v>86</v>
      </c>
      <c r="AC11097" s="2"/>
    </row>
    <row r="11098" spans="1:29" ht="130" x14ac:dyDescent="0.15">
      <c r="A11098" s="3">
        <f>DATE(2015,4,30)</f>
        <v>42124</v>
      </c>
      <c r="B11098" s="3">
        <f>DATE(2015,7,1)</f>
        <v>42186</v>
      </c>
      <c r="C11098" s="2" t="s">
        <v>95</v>
      </c>
      <c r="D11098" s="2" t="s">
        <v>32208</v>
      </c>
      <c r="E11098" s="2" t="s">
        <v>32209</v>
      </c>
      <c r="F11098" s="4">
        <v>3674</v>
      </c>
      <c r="G11098" s="2" t="s">
        <v>137</v>
      </c>
      <c r="H11098" s="2" t="s">
        <v>34</v>
      </c>
      <c r="I11098" s="2" t="s">
        <v>32210</v>
      </c>
      <c r="J11098" s="2" t="s">
        <v>32211</v>
      </c>
      <c r="K11098" s="2" t="s">
        <v>137</v>
      </c>
      <c r="L11098" s="2" t="s">
        <v>34</v>
      </c>
      <c r="M11098" s="12">
        <v>1668.222</v>
      </c>
      <c r="N11098" s="6">
        <v>19.170000000000002</v>
      </c>
      <c r="O11098" s="6">
        <v>19.03</v>
      </c>
      <c r="P11098" s="2" t="s">
        <v>32212</v>
      </c>
      <c r="Q11098" s="6">
        <v>100</v>
      </c>
      <c r="R11098" s="6">
        <v>4.63</v>
      </c>
      <c r="S11098" s="5">
        <v>-83.8</v>
      </c>
      <c r="T11098" s="7">
        <v>-40.529000000000003</v>
      </c>
      <c r="U11098" s="5">
        <v>3.5</v>
      </c>
      <c r="V11098" s="7">
        <v>-3.673</v>
      </c>
      <c r="W11098" s="6">
        <v>5.46</v>
      </c>
      <c r="X11098" s="6">
        <v>5.49</v>
      </c>
      <c r="Y11098" s="6">
        <v>4.76</v>
      </c>
      <c r="Z11098" s="6">
        <v>4.82</v>
      </c>
      <c r="AA11098" s="6">
        <v>23.41</v>
      </c>
      <c r="AB11098" s="2" t="s">
        <v>86</v>
      </c>
      <c r="AC11098" s="5">
        <v>38.6</v>
      </c>
    </row>
    <row r="11099" spans="1:29" ht="143" x14ac:dyDescent="0.15">
      <c r="A11099" s="3">
        <f>DATE(2015,5,4)</f>
        <v>42128</v>
      </c>
      <c r="B11099" s="3">
        <f>DATE(2015,8,3)</f>
        <v>42219</v>
      </c>
      <c r="C11099" s="2" t="s">
        <v>95</v>
      </c>
      <c r="D11099" s="2" t="s">
        <v>32213</v>
      </c>
      <c r="E11099" s="2" t="s">
        <v>3695</v>
      </c>
      <c r="F11099" s="4">
        <v>7373</v>
      </c>
      <c r="G11099" s="2" t="s">
        <v>223</v>
      </c>
      <c r="H11099" s="2" t="s">
        <v>34</v>
      </c>
      <c r="I11099" s="2" t="s">
        <v>12255</v>
      </c>
      <c r="J11099" s="2" t="s">
        <v>12256</v>
      </c>
      <c r="K11099" s="2" t="s">
        <v>921</v>
      </c>
      <c r="L11099" s="2" t="s">
        <v>34</v>
      </c>
      <c r="M11099" s="12">
        <v>2087.6729999999998</v>
      </c>
      <c r="N11099" s="6">
        <v>21.62</v>
      </c>
      <c r="O11099" s="6">
        <v>21.08</v>
      </c>
      <c r="P11099" s="2" t="s">
        <v>32214</v>
      </c>
      <c r="Q11099" s="6">
        <v>100</v>
      </c>
      <c r="R11099" s="6">
        <v>4.7699999999999996</v>
      </c>
      <c r="S11099" s="5">
        <v>-59.2</v>
      </c>
      <c r="T11099" s="5">
        <v>-49.5</v>
      </c>
      <c r="U11099" s="5">
        <v>0.6</v>
      </c>
      <c r="V11099" s="9">
        <v>-1.2613000000000001</v>
      </c>
      <c r="W11099" s="6">
        <v>4.0199999999999996</v>
      </c>
      <c r="X11099" s="6">
        <v>3.65</v>
      </c>
      <c r="Y11099" s="6">
        <v>4.62</v>
      </c>
      <c r="Z11099" s="6">
        <v>4.53</v>
      </c>
      <c r="AA11099" s="6">
        <v>48.28</v>
      </c>
      <c r="AB11099" s="2" t="s">
        <v>86</v>
      </c>
      <c r="AC11099" s="6">
        <v>731.43</v>
      </c>
    </row>
    <row r="11100" spans="1:29" ht="208" x14ac:dyDescent="0.15">
      <c r="A11100" s="3">
        <f>DATE(2015,5,4)</f>
        <v>42128</v>
      </c>
      <c r="B11100" s="2"/>
      <c r="C11100" s="2" t="s">
        <v>30</v>
      </c>
      <c r="D11100" s="2" t="s">
        <v>32204</v>
      </c>
      <c r="E11100" s="2" t="s">
        <v>32205</v>
      </c>
      <c r="F11100" s="4">
        <v>6282</v>
      </c>
      <c r="G11100" s="2" t="s">
        <v>53</v>
      </c>
      <c r="H11100" s="2" t="s">
        <v>34</v>
      </c>
      <c r="I11100" s="2" t="s">
        <v>31376</v>
      </c>
      <c r="J11100" s="2" t="s">
        <v>27192</v>
      </c>
      <c r="K11100" s="2" t="s">
        <v>63</v>
      </c>
      <c r="L11100" s="2" t="s">
        <v>34</v>
      </c>
      <c r="M11100" s="7">
        <v>246.48699999999999</v>
      </c>
      <c r="N11100" s="6">
        <v>11.03</v>
      </c>
      <c r="O11100" s="5">
        <v>11.1</v>
      </c>
      <c r="P11100" s="2" t="s">
        <v>32215</v>
      </c>
      <c r="Q11100" s="2"/>
      <c r="R11100" s="6">
        <v>5</v>
      </c>
      <c r="S11100" s="5">
        <v>-0.6</v>
      </c>
      <c r="T11100" s="7">
        <v>1.823</v>
      </c>
      <c r="U11100" s="5">
        <v>4.8</v>
      </c>
      <c r="V11100" s="9">
        <v>5.9999999999999995E-4</v>
      </c>
      <c r="W11100" s="6">
        <v>4.08</v>
      </c>
      <c r="X11100" s="5">
        <v>4.0999999999999996</v>
      </c>
      <c r="Y11100" s="6">
        <v>4.41</v>
      </c>
      <c r="Z11100" s="6">
        <v>4.4400000000000004</v>
      </c>
      <c r="AA11100" s="6">
        <v>37.07</v>
      </c>
      <c r="AB11100" s="2" t="s">
        <v>86</v>
      </c>
      <c r="AC11100" s="6">
        <v>140.63999999999999</v>
      </c>
    </row>
    <row r="11101" spans="1:29" ht="156" x14ac:dyDescent="0.15">
      <c r="A11101" s="3">
        <f>DATE(2015,5,4)</f>
        <v>42128</v>
      </c>
      <c r="B11101" s="3">
        <f>DATE(2015,9,3)</f>
        <v>42250</v>
      </c>
      <c r="C11101" s="2" t="s">
        <v>95</v>
      </c>
      <c r="D11101" s="2" t="s">
        <v>32216</v>
      </c>
      <c r="E11101" s="2" t="s">
        <v>22515</v>
      </c>
      <c r="F11101" s="4">
        <v>3569</v>
      </c>
      <c r="G11101" s="2" t="s">
        <v>300</v>
      </c>
      <c r="H11101" s="2" t="s">
        <v>34</v>
      </c>
      <c r="I11101" s="2" t="s">
        <v>2574</v>
      </c>
      <c r="J11101" s="2" t="s">
        <v>2575</v>
      </c>
      <c r="K11101" s="2" t="s">
        <v>300</v>
      </c>
      <c r="L11101" s="2" t="s">
        <v>34</v>
      </c>
      <c r="M11101" s="7">
        <v>292.88799999999998</v>
      </c>
      <c r="N11101" s="6">
        <v>11.51</v>
      </c>
      <c r="O11101" s="6">
        <v>11.27</v>
      </c>
      <c r="P11101" s="2" t="s">
        <v>32217</v>
      </c>
      <c r="Q11101" s="6">
        <v>100</v>
      </c>
      <c r="R11101" s="6">
        <v>7.61</v>
      </c>
      <c r="S11101" s="5">
        <v>-31.8</v>
      </c>
      <c r="T11101" s="7">
        <v>-2.7959999999999998</v>
      </c>
      <c r="U11101" s="5">
        <v>4.0999999999999996</v>
      </c>
      <c r="V11101" s="9">
        <v>-1.5083</v>
      </c>
      <c r="W11101" s="7">
        <v>4.3949999999999996</v>
      </c>
      <c r="X11101" s="6">
        <v>4.62</v>
      </c>
      <c r="Y11101" s="6">
        <v>6.42</v>
      </c>
      <c r="Z11101" s="5">
        <v>6.3</v>
      </c>
      <c r="AA11101" s="6">
        <v>21.2</v>
      </c>
      <c r="AB11101" s="2" t="s">
        <v>86</v>
      </c>
      <c r="AC11101" s="6">
        <v>18.989999999999998</v>
      </c>
    </row>
    <row r="11102" spans="1:29" ht="130" x14ac:dyDescent="0.15">
      <c r="A11102" s="3">
        <f>DATE(2015,5,5)</f>
        <v>42129</v>
      </c>
      <c r="B11102" s="3">
        <f>DATE(2015,6,10)</f>
        <v>42165</v>
      </c>
      <c r="C11102" s="2" t="s">
        <v>95</v>
      </c>
      <c r="D11102" s="2" t="s">
        <v>32218</v>
      </c>
      <c r="E11102" s="2" t="s">
        <v>21427</v>
      </c>
      <c r="F11102" s="4">
        <v>7389</v>
      </c>
      <c r="G11102" s="2" t="s">
        <v>223</v>
      </c>
      <c r="H11102" s="2" t="s">
        <v>34</v>
      </c>
      <c r="I11102" s="2" t="s">
        <v>3712</v>
      </c>
      <c r="J11102" s="2" t="s">
        <v>3713</v>
      </c>
      <c r="K11102" s="2" t="s">
        <v>50</v>
      </c>
      <c r="L11102" s="2" t="s">
        <v>34</v>
      </c>
      <c r="M11102" s="10">
        <v>4687.12</v>
      </c>
      <c r="N11102" s="6">
        <v>22.68</v>
      </c>
      <c r="O11102" s="6">
        <v>22.24</v>
      </c>
      <c r="P11102" s="2" t="s">
        <v>32219</v>
      </c>
      <c r="Q11102" s="6">
        <v>100</v>
      </c>
      <c r="R11102" s="6">
        <v>14</v>
      </c>
      <c r="S11102" s="5">
        <v>-5.7</v>
      </c>
      <c r="T11102" s="7">
        <v>-0.86099999999999999</v>
      </c>
      <c r="U11102" s="5">
        <v>3.5</v>
      </c>
      <c r="V11102" s="9">
        <v>-0.1852</v>
      </c>
      <c r="W11102" s="6">
        <v>6.51</v>
      </c>
      <c r="X11102" s="6">
        <v>6.47</v>
      </c>
      <c r="Y11102" s="6">
        <v>6.79</v>
      </c>
      <c r="Z11102" s="6">
        <v>13.93</v>
      </c>
      <c r="AA11102" s="6">
        <v>32.07</v>
      </c>
      <c r="AB11102" s="2" t="s">
        <v>86</v>
      </c>
      <c r="AC11102" s="6">
        <v>916.26</v>
      </c>
    </row>
    <row r="11103" spans="1:29" ht="182" x14ac:dyDescent="0.15">
      <c r="A11103" s="3">
        <f>DATE(2015,5,6)</f>
        <v>42130</v>
      </c>
      <c r="B11103" s="3">
        <f>DATE(2015,9,30)</f>
        <v>42277</v>
      </c>
      <c r="C11103" s="2" t="s">
        <v>95</v>
      </c>
      <c r="D11103" s="2" t="s">
        <v>30684</v>
      </c>
      <c r="E11103" s="2" t="s">
        <v>30685</v>
      </c>
      <c r="F11103" s="4">
        <v>4922</v>
      </c>
      <c r="G11103" s="2" t="s">
        <v>439</v>
      </c>
      <c r="H11103" s="2" t="s">
        <v>34</v>
      </c>
      <c r="I11103" s="2" t="s">
        <v>32220</v>
      </c>
      <c r="J11103" s="2" t="s">
        <v>30685</v>
      </c>
      <c r="K11103" s="2" t="s">
        <v>439</v>
      </c>
      <c r="L11103" s="2" t="s">
        <v>34</v>
      </c>
      <c r="M11103" s="12">
        <v>1002.321</v>
      </c>
      <c r="N11103" s="5">
        <v>5.6</v>
      </c>
      <c r="O11103" s="6">
        <v>5.55</v>
      </c>
      <c r="P11103" s="2" t="s">
        <v>32221</v>
      </c>
      <c r="Q11103" s="6">
        <v>96.2</v>
      </c>
      <c r="R11103" s="6">
        <v>18.760000000000002</v>
      </c>
      <c r="S11103" s="5">
        <v>-64.3</v>
      </c>
      <c r="T11103" s="5">
        <v>419.5</v>
      </c>
      <c r="U11103" s="5">
        <v>19.100000000000001</v>
      </c>
      <c r="V11103" s="7">
        <v>-0.434</v>
      </c>
      <c r="W11103" s="6">
        <v>15.97</v>
      </c>
      <c r="X11103" s="4">
        <v>16</v>
      </c>
      <c r="Y11103" s="6">
        <v>15.31</v>
      </c>
      <c r="Z11103" s="6">
        <v>15.08</v>
      </c>
      <c r="AA11103" s="6">
        <v>188.36</v>
      </c>
      <c r="AB11103" s="7">
        <v>32.222999999999999</v>
      </c>
      <c r="AC11103" s="5">
        <v>67.7</v>
      </c>
    </row>
    <row r="11104" spans="1:29" ht="91" x14ac:dyDescent="0.15">
      <c r="A11104" s="3">
        <f>DATE(2015,5,6)</f>
        <v>42130</v>
      </c>
      <c r="B11104" s="3">
        <f>DATE(2015,8,18)</f>
        <v>42234</v>
      </c>
      <c r="C11104" s="2" t="s">
        <v>95</v>
      </c>
      <c r="D11104" s="2" t="s">
        <v>32222</v>
      </c>
      <c r="E11104" s="2" t="s">
        <v>32223</v>
      </c>
      <c r="F11104" s="4">
        <v>4213</v>
      </c>
      <c r="G11104" s="2" t="s">
        <v>173</v>
      </c>
      <c r="H11104" s="2" t="s">
        <v>34</v>
      </c>
      <c r="I11104" s="2" t="s">
        <v>30743</v>
      </c>
      <c r="J11104" s="2" t="s">
        <v>244</v>
      </c>
      <c r="K11104" s="2" t="s">
        <v>53</v>
      </c>
      <c r="L11104" s="2" t="s">
        <v>34</v>
      </c>
      <c r="M11104" s="2"/>
      <c r="N11104" s="2"/>
      <c r="O11104" s="2"/>
      <c r="P11104" s="2" t="s">
        <v>32224</v>
      </c>
      <c r="Q11104" s="6">
        <v>100</v>
      </c>
      <c r="R11104" s="6">
        <v>16</v>
      </c>
      <c r="S11104" s="5">
        <v>20.100000000000001</v>
      </c>
      <c r="T11104" s="7">
        <v>68.742999999999995</v>
      </c>
      <c r="U11104" s="5">
        <v>1</v>
      </c>
      <c r="V11104" s="9">
        <v>0.71560000000000001</v>
      </c>
      <c r="W11104" s="6">
        <v>10.25</v>
      </c>
      <c r="X11104" s="6">
        <v>9.85</v>
      </c>
      <c r="Y11104" s="5">
        <v>9.8000000000000007</v>
      </c>
      <c r="Z11104" s="6">
        <v>15.74</v>
      </c>
      <c r="AA11104" s="6">
        <v>28.09</v>
      </c>
      <c r="AB11104" s="7">
        <v>16.411999999999999</v>
      </c>
      <c r="AC11104" s="2"/>
    </row>
    <row r="11105" spans="1:29" ht="195" x14ac:dyDescent="0.15">
      <c r="A11105" s="3">
        <f>DATE(2015,5,6)</f>
        <v>42130</v>
      </c>
      <c r="B11105" s="3">
        <f>DATE(2015,6,22)</f>
        <v>42177</v>
      </c>
      <c r="C11105" s="2" t="s">
        <v>95</v>
      </c>
      <c r="D11105" s="2" t="s">
        <v>32225</v>
      </c>
      <c r="E11105" s="2" t="s">
        <v>23302</v>
      </c>
      <c r="F11105" s="4">
        <v>2836</v>
      </c>
      <c r="G11105" s="2" t="s">
        <v>130</v>
      </c>
      <c r="H11105" s="2" t="s">
        <v>34</v>
      </c>
      <c r="I11105" s="2" t="s">
        <v>30826</v>
      </c>
      <c r="J11105" s="2" t="s">
        <v>30827</v>
      </c>
      <c r="K11105" s="2" t="s">
        <v>130</v>
      </c>
      <c r="L11105" s="2" t="s">
        <v>34</v>
      </c>
      <c r="M11105" s="12">
        <v>35572.563000000002</v>
      </c>
      <c r="N11105" s="6">
        <v>155.01</v>
      </c>
      <c r="O11105" s="6">
        <v>162.96</v>
      </c>
      <c r="P11105" s="2" t="s">
        <v>32226</v>
      </c>
      <c r="Q11105" s="6">
        <v>100</v>
      </c>
      <c r="R11105" s="6">
        <v>225.92</v>
      </c>
      <c r="S11105" s="5">
        <v>-215.8</v>
      </c>
      <c r="T11105" s="7">
        <v>-208.52500000000001</v>
      </c>
      <c r="U11105" s="5">
        <v>19.899999999999999</v>
      </c>
      <c r="V11105" s="9">
        <v>-6.3507999999999996</v>
      </c>
      <c r="W11105" s="4">
        <v>101</v>
      </c>
      <c r="X11105" s="6">
        <v>95.87</v>
      </c>
      <c r="Y11105" s="6">
        <v>203.39</v>
      </c>
      <c r="Z11105" s="6">
        <v>214.21</v>
      </c>
      <c r="AA11105" s="6">
        <v>37.15</v>
      </c>
      <c r="AB11105" s="2" t="s">
        <v>86</v>
      </c>
      <c r="AC11105" s="10">
        <v>2041.18</v>
      </c>
    </row>
    <row r="11106" spans="1:29" ht="91" x14ac:dyDescent="0.15">
      <c r="A11106" s="3">
        <f>DATE(2015,5,7)</f>
        <v>42131</v>
      </c>
      <c r="B11106" s="3">
        <f>DATE(2015,8,3)</f>
        <v>42219</v>
      </c>
      <c r="C11106" s="2" t="s">
        <v>95</v>
      </c>
      <c r="D11106" s="2" t="s">
        <v>32227</v>
      </c>
      <c r="E11106" s="2" t="s">
        <v>13887</v>
      </c>
      <c r="F11106" s="4">
        <v>3674</v>
      </c>
      <c r="G11106" s="2" t="s">
        <v>137</v>
      </c>
      <c r="H11106" s="2" t="s">
        <v>34</v>
      </c>
      <c r="I11106" s="2" t="s">
        <v>17961</v>
      </c>
      <c r="J11106" s="2" t="s">
        <v>10974</v>
      </c>
      <c r="K11106" s="2" t="s">
        <v>137</v>
      </c>
      <c r="L11106" s="2" t="s">
        <v>34</v>
      </c>
      <c r="M11106" s="12">
        <v>9965.4619999999995</v>
      </c>
      <c r="N11106" s="6">
        <v>47.41</v>
      </c>
      <c r="O11106" s="6">
        <v>48.97</v>
      </c>
      <c r="P11106" s="2" t="s">
        <v>32228</v>
      </c>
      <c r="Q11106" s="6">
        <v>100</v>
      </c>
      <c r="R11106" s="6">
        <v>14</v>
      </c>
      <c r="S11106" s="5">
        <v>14</v>
      </c>
      <c r="T11106" s="7">
        <v>31.957999999999998</v>
      </c>
      <c r="U11106" s="5">
        <v>3.9</v>
      </c>
      <c r="V11106" s="9">
        <v>0.24529999999999999</v>
      </c>
      <c r="W11106" s="5">
        <v>13.6</v>
      </c>
      <c r="X11106" s="6">
        <v>13.58</v>
      </c>
      <c r="Y11106" s="5">
        <v>13.5</v>
      </c>
      <c r="Z11106" s="6">
        <v>13.87</v>
      </c>
      <c r="AA11106" s="6">
        <v>56.87</v>
      </c>
      <c r="AB11106" s="7">
        <v>39.332999999999998</v>
      </c>
      <c r="AC11106" s="10">
        <v>1958.87</v>
      </c>
    </row>
    <row r="11107" spans="1:29" ht="52" x14ac:dyDescent="0.15">
      <c r="A11107" s="3">
        <f>DATE(2015,5,7)</f>
        <v>42131</v>
      </c>
      <c r="B11107" s="2"/>
      <c r="C11107" s="2" t="s">
        <v>39</v>
      </c>
      <c r="D11107" s="2" t="s">
        <v>32229</v>
      </c>
      <c r="E11107" s="2" t="s">
        <v>32230</v>
      </c>
      <c r="F11107" s="4">
        <v>7375</v>
      </c>
      <c r="G11107" s="2" t="s">
        <v>223</v>
      </c>
      <c r="H11107" s="2" t="s">
        <v>34</v>
      </c>
      <c r="I11107" s="2" t="s">
        <v>143</v>
      </c>
      <c r="J11107" s="2" t="s">
        <v>144</v>
      </c>
      <c r="K11107" s="2" t="s">
        <v>53</v>
      </c>
      <c r="L11107" s="2" t="s">
        <v>139</v>
      </c>
      <c r="M11107" s="2"/>
      <c r="N11107" s="2"/>
      <c r="O11107" s="2"/>
      <c r="P11107" s="2" t="s">
        <v>32231</v>
      </c>
      <c r="Q11107" s="2"/>
      <c r="R11107" s="2"/>
      <c r="S11107" s="5">
        <v>37.799999999999997</v>
      </c>
      <c r="T11107" s="7">
        <v>32.238</v>
      </c>
      <c r="U11107" s="5">
        <v>8.8000000000000007</v>
      </c>
      <c r="V11107" s="9">
        <v>0.4153</v>
      </c>
      <c r="W11107" s="6">
        <v>39.39</v>
      </c>
      <c r="X11107" s="6">
        <v>38.22</v>
      </c>
      <c r="Y11107" s="6">
        <v>47.01</v>
      </c>
      <c r="Z11107" s="6">
        <v>49.93</v>
      </c>
      <c r="AA11107" s="6">
        <v>66.17</v>
      </c>
      <c r="AB11107" s="2" t="s">
        <v>47</v>
      </c>
      <c r="AC11107" s="2"/>
    </row>
    <row r="11108" spans="1:29" ht="52" x14ac:dyDescent="0.15">
      <c r="A11108" s="3">
        <f>DATE(2015,5,8)</f>
        <v>42132</v>
      </c>
      <c r="B11108" s="2"/>
      <c r="C11108" s="2" t="s">
        <v>7330</v>
      </c>
      <c r="D11108" s="2" t="s">
        <v>32232</v>
      </c>
      <c r="E11108" s="2" t="s">
        <v>32233</v>
      </c>
      <c r="F11108" s="4">
        <v>7319</v>
      </c>
      <c r="G11108" s="2" t="s">
        <v>4563</v>
      </c>
      <c r="H11108" s="2" t="s">
        <v>34</v>
      </c>
      <c r="I11108" s="2" t="s">
        <v>32234</v>
      </c>
      <c r="J11108" s="2" t="s">
        <v>8995</v>
      </c>
      <c r="K11108" s="2" t="s">
        <v>551</v>
      </c>
      <c r="L11108" s="2" t="s">
        <v>34</v>
      </c>
      <c r="M11108" s="2"/>
      <c r="N11108" s="2"/>
      <c r="O11108" s="2"/>
      <c r="P11108" s="2" t="s">
        <v>32235</v>
      </c>
      <c r="Q11108" s="2"/>
      <c r="R11108" s="2"/>
      <c r="S11108" s="5">
        <v>-89.9</v>
      </c>
      <c r="T11108" s="7">
        <v>-50.055</v>
      </c>
      <c r="U11108" s="5">
        <v>6.7</v>
      </c>
      <c r="V11108" s="9">
        <v>-2.3176999999999999</v>
      </c>
      <c r="W11108" s="6">
        <v>8.07</v>
      </c>
      <c r="X11108" s="6">
        <v>7.63</v>
      </c>
      <c r="Y11108" s="6">
        <v>8.32</v>
      </c>
      <c r="Z11108" s="6">
        <v>8.56</v>
      </c>
      <c r="AA11108" s="6">
        <v>42.1</v>
      </c>
      <c r="AB11108" s="2" t="s">
        <v>86</v>
      </c>
      <c r="AC11108" s="2"/>
    </row>
    <row r="11109" spans="1:29" ht="143" x14ac:dyDescent="0.15">
      <c r="A11109" s="3">
        <f>DATE(2015,5,11)</f>
        <v>42135</v>
      </c>
      <c r="B11109" s="3">
        <f>DATE(2015,7,20)</f>
        <v>42205</v>
      </c>
      <c r="C11109" s="2" t="s">
        <v>95</v>
      </c>
      <c r="D11109" s="2" t="s">
        <v>32236</v>
      </c>
      <c r="E11109" s="2" t="s">
        <v>32237</v>
      </c>
      <c r="F11109" s="4">
        <v>1311</v>
      </c>
      <c r="G11109" s="2" t="s">
        <v>148</v>
      </c>
      <c r="H11109" s="2" t="s">
        <v>34</v>
      </c>
      <c r="I11109" s="2" t="s">
        <v>22541</v>
      </c>
      <c r="J11109" s="2" t="s">
        <v>1608</v>
      </c>
      <c r="K11109" s="2" t="s">
        <v>148</v>
      </c>
      <c r="L11109" s="2" t="s">
        <v>34</v>
      </c>
      <c r="M11109" s="12">
        <v>19570.819</v>
      </c>
      <c r="N11109" s="6">
        <v>46.07</v>
      </c>
      <c r="O11109" s="4">
        <v>46</v>
      </c>
      <c r="P11109" s="2" t="s">
        <v>32238</v>
      </c>
      <c r="Q11109" s="6">
        <v>100</v>
      </c>
      <c r="R11109" s="6">
        <v>26.62</v>
      </c>
      <c r="S11109" s="5">
        <v>-261.39999999999998</v>
      </c>
      <c r="T11109" s="7">
        <v>584.28399999999999</v>
      </c>
      <c r="U11109" s="5">
        <v>18.2</v>
      </c>
      <c r="V11109" s="9">
        <v>-3.5832999999999999</v>
      </c>
      <c r="W11109" s="6">
        <v>21.24</v>
      </c>
      <c r="X11109" s="7">
        <v>19.324999999999999</v>
      </c>
      <c r="Y11109" s="6">
        <v>24.58</v>
      </c>
      <c r="Z11109" s="6">
        <v>24.57</v>
      </c>
      <c r="AA11109" s="6">
        <v>75.7</v>
      </c>
      <c r="AB11109" s="7">
        <v>25.187999999999999</v>
      </c>
      <c r="AC11109" s="8">
        <v>2370</v>
      </c>
    </row>
    <row r="11110" spans="1:29" ht="117" x14ac:dyDescent="0.15">
      <c r="A11110" s="3">
        <f>DATE(2015,5,11)</f>
        <v>42135</v>
      </c>
      <c r="B11110" s="3">
        <f>DATE(2015,9,17)</f>
        <v>42264</v>
      </c>
      <c r="C11110" s="2" t="s">
        <v>95</v>
      </c>
      <c r="D11110" s="2" t="s">
        <v>32239</v>
      </c>
      <c r="E11110" s="2" t="s">
        <v>92</v>
      </c>
      <c r="F11110" s="4">
        <v>6798</v>
      </c>
      <c r="G11110" s="2" t="s">
        <v>53</v>
      </c>
      <c r="H11110" s="2" t="s">
        <v>34</v>
      </c>
      <c r="I11110" s="2" t="s">
        <v>32240</v>
      </c>
      <c r="J11110" s="2" t="s">
        <v>31416</v>
      </c>
      <c r="K11110" s="2" t="s">
        <v>53</v>
      </c>
      <c r="L11110" s="2" t="s">
        <v>34</v>
      </c>
      <c r="M11110" s="7">
        <v>450.447</v>
      </c>
      <c r="N11110" s="6">
        <v>8.84</v>
      </c>
      <c r="O11110" s="6">
        <v>8.74</v>
      </c>
      <c r="P11110" s="2" t="s">
        <v>32241</v>
      </c>
      <c r="Q11110" s="6">
        <v>100</v>
      </c>
      <c r="R11110" s="6">
        <v>7.32</v>
      </c>
      <c r="S11110" s="5">
        <v>-12.4</v>
      </c>
      <c r="T11110" s="7">
        <v>10.233000000000001</v>
      </c>
      <c r="U11110" s="5">
        <v>5.2</v>
      </c>
      <c r="V11110" s="9">
        <v>-0.78690000000000004</v>
      </c>
      <c r="W11110" s="4">
        <v>7</v>
      </c>
      <c r="X11110" s="6">
        <v>7.08</v>
      </c>
      <c r="Y11110" s="6">
        <v>7.19</v>
      </c>
      <c r="Z11110" s="6">
        <v>7.23</v>
      </c>
      <c r="AA11110" s="6">
        <v>36.81</v>
      </c>
      <c r="AB11110" s="2" t="s">
        <v>86</v>
      </c>
      <c r="AC11110" s="6">
        <v>25.31</v>
      </c>
    </row>
    <row r="11111" spans="1:29" ht="143" x14ac:dyDescent="0.15">
      <c r="A11111" s="3">
        <f>DATE(2015,5,12)</f>
        <v>42136</v>
      </c>
      <c r="B11111" s="3">
        <f>DATE(2015,6,23)</f>
        <v>42178</v>
      </c>
      <c r="C11111" s="2" t="s">
        <v>95</v>
      </c>
      <c r="D11111" s="2" t="s">
        <v>32242</v>
      </c>
      <c r="E11111" s="2" t="s">
        <v>32243</v>
      </c>
      <c r="F11111" s="4">
        <v>7375</v>
      </c>
      <c r="G11111" s="2" t="s">
        <v>223</v>
      </c>
      <c r="H11111" s="2" t="s">
        <v>34</v>
      </c>
      <c r="I11111" s="2" t="s">
        <v>22686</v>
      </c>
      <c r="J11111" s="2" t="s">
        <v>560</v>
      </c>
      <c r="K11111" s="2" t="s">
        <v>63</v>
      </c>
      <c r="L11111" s="2" t="s">
        <v>34</v>
      </c>
      <c r="M11111" s="12">
        <v>200579.99400000001</v>
      </c>
      <c r="N11111" s="6">
        <v>49.62</v>
      </c>
      <c r="O11111" s="6">
        <v>49.73</v>
      </c>
      <c r="P11111" s="2" t="s">
        <v>32244</v>
      </c>
      <c r="Q11111" s="6">
        <v>100</v>
      </c>
      <c r="R11111" s="6">
        <v>50</v>
      </c>
      <c r="S11111" s="5">
        <v>50.1</v>
      </c>
      <c r="T11111" s="8">
        <v>1177.9000000000001</v>
      </c>
      <c r="U11111" s="5">
        <v>30.3</v>
      </c>
      <c r="V11111" s="7">
        <v>0.72899999999999998</v>
      </c>
      <c r="W11111" s="6">
        <v>46.73</v>
      </c>
      <c r="X11111" s="6">
        <v>45.49</v>
      </c>
      <c r="Y11111" s="6">
        <v>44.74</v>
      </c>
      <c r="Z11111" s="6">
        <v>46.25</v>
      </c>
      <c r="AA11111" s="6">
        <v>78.34</v>
      </c>
      <c r="AB11111" s="7">
        <v>4.1529999999999996</v>
      </c>
      <c r="AC11111" s="8">
        <v>4933</v>
      </c>
    </row>
    <row r="11112" spans="1:29" ht="182" x14ac:dyDescent="0.15">
      <c r="A11112" s="3">
        <f>DATE(2015,5,13)</f>
        <v>42137</v>
      </c>
      <c r="B11112" s="2"/>
      <c r="C11112" s="2" t="s">
        <v>30</v>
      </c>
      <c r="D11112" s="2" t="s">
        <v>32106</v>
      </c>
      <c r="E11112" s="2" t="s">
        <v>13887</v>
      </c>
      <c r="F11112" s="4">
        <v>3674</v>
      </c>
      <c r="G11112" s="2" t="s">
        <v>137</v>
      </c>
      <c r="H11112" s="2" t="s">
        <v>34</v>
      </c>
      <c r="I11112" s="2" t="s">
        <v>26620</v>
      </c>
      <c r="J11112" s="2" t="s">
        <v>30035</v>
      </c>
      <c r="K11112" s="2" t="s">
        <v>137</v>
      </c>
      <c r="L11112" s="2" t="s">
        <v>34</v>
      </c>
      <c r="M11112" s="10">
        <v>4577.04</v>
      </c>
      <c r="N11112" s="6">
        <v>12.65</v>
      </c>
      <c r="O11112" s="6">
        <v>13.14</v>
      </c>
      <c r="P11112" s="2" t="s">
        <v>32245</v>
      </c>
      <c r="Q11112" s="2"/>
      <c r="R11112" s="6">
        <v>22.6</v>
      </c>
      <c r="S11112" s="5">
        <v>13.3</v>
      </c>
      <c r="T11112" s="7">
        <v>27.335000000000001</v>
      </c>
      <c r="U11112" s="5">
        <v>10</v>
      </c>
      <c r="V11112" s="9">
        <v>0.40649999999999997</v>
      </c>
      <c r="W11112" s="5">
        <v>16.5</v>
      </c>
      <c r="X11112" s="6">
        <v>16.57</v>
      </c>
      <c r="Y11112" s="6">
        <v>18.559999999999999</v>
      </c>
      <c r="Z11112" s="6">
        <v>18.45</v>
      </c>
      <c r="AA11112" s="6">
        <v>31.76</v>
      </c>
      <c r="AB11112" s="7">
        <v>37.411000000000001</v>
      </c>
      <c r="AC11112" s="6">
        <v>162.25</v>
      </c>
    </row>
    <row r="11113" spans="1:29" ht="169" x14ac:dyDescent="0.15">
      <c r="A11113" s="3">
        <f>DATE(2015,5,13)</f>
        <v>42137</v>
      </c>
      <c r="B11113" s="3">
        <f>DATE(2015,8,31)</f>
        <v>42247</v>
      </c>
      <c r="C11113" s="2" t="s">
        <v>95</v>
      </c>
      <c r="D11113" s="2" t="s">
        <v>8666</v>
      </c>
      <c r="E11113" s="2" t="s">
        <v>8667</v>
      </c>
      <c r="F11113" s="4">
        <v>3569</v>
      </c>
      <c r="G11113" s="2" t="s">
        <v>300</v>
      </c>
      <c r="H11113" s="2" t="s">
        <v>34</v>
      </c>
      <c r="I11113" s="2" t="s">
        <v>315</v>
      </c>
      <c r="J11113" s="2" t="s">
        <v>316</v>
      </c>
      <c r="K11113" s="2" t="s">
        <v>226</v>
      </c>
      <c r="L11113" s="2" t="s">
        <v>34</v>
      </c>
      <c r="M11113" s="12">
        <v>60564.203999999998</v>
      </c>
      <c r="N11113" s="6">
        <v>87.35</v>
      </c>
      <c r="O11113" s="6">
        <v>87.84</v>
      </c>
      <c r="P11113" s="2" t="s">
        <v>32246</v>
      </c>
      <c r="Q11113" s="6">
        <v>100</v>
      </c>
      <c r="R11113" s="6">
        <v>127.2</v>
      </c>
      <c r="S11113" s="5">
        <v>388.9</v>
      </c>
      <c r="T11113" s="6">
        <v>670.27</v>
      </c>
      <c r="U11113" s="5">
        <v>15.3</v>
      </c>
      <c r="V11113" s="9">
        <v>3.5478999999999998</v>
      </c>
      <c r="W11113" s="6">
        <v>97.62</v>
      </c>
      <c r="X11113" s="6">
        <v>99.31</v>
      </c>
      <c r="Y11113" s="6">
        <v>118.62</v>
      </c>
      <c r="Z11113" s="6">
        <v>123.89</v>
      </c>
      <c r="AA11113" s="6">
        <v>106.65</v>
      </c>
      <c r="AB11113" s="7">
        <v>25.071000000000002</v>
      </c>
      <c r="AC11113" s="8">
        <v>2511</v>
      </c>
    </row>
    <row r="11114" spans="1:29" ht="182" x14ac:dyDescent="0.15">
      <c r="A11114" s="3">
        <f>DATE(2015,5,13)</f>
        <v>42137</v>
      </c>
      <c r="B11114" s="2"/>
      <c r="C11114" s="2" t="s">
        <v>30</v>
      </c>
      <c r="D11114" s="2" t="s">
        <v>28032</v>
      </c>
      <c r="E11114" s="2" t="s">
        <v>32148</v>
      </c>
      <c r="F11114" s="4">
        <v>4922</v>
      </c>
      <c r="G11114" s="2" t="s">
        <v>439</v>
      </c>
      <c r="H11114" s="2" t="s">
        <v>34</v>
      </c>
      <c r="I11114" s="2" t="s">
        <v>1436</v>
      </c>
      <c r="J11114" s="2" t="s">
        <v>1437</v>
      </c>
      <c r="K11114" s="2" t="s">
        <v>439</v>
      </c>
      <c r="L11114" s="2" t="s">
        <v>34</v>
      </c>
      <c r="M11114" s="12">
        <v>38755.995000000003</v>
      </c>
      <c r="N11114" s="6">
        <v>53.21</v>
      </c>
      <c r="O11114" s="6">
        <v>53.23</v>
      </c>
      <c r="P11114" s="2" t="s">
        <v>32247</v>
      </c>
      <c r="Q11114" s="2"/>
      <c r="R11114" s="6">
        <v>55.86</v>
      </c>
      <c r="S11114" s="5">
        <v>37.1</v>
      </c>
      <c r="T11114" s="12">
        <v>1234.251</v>
      </c>
      <c r="U11114" s="5">
        <v>39.6</v>
      </c>
      <c r="V11114" s="7">
        <v>0.73299999999999998</v>
      </c>
      <c r="W11114" s="6">
        <v>47.72</v>
      </c>
      <c r="X11114" s="5">
        <v>47.4</v>
      </c>
      <c r="Y11114" s="6">
        <v>58.16</v>
      </c>
      <c r="Z11114" s="6">
        <v>57.93</v>
      </c>
      <c r="AA11114" s="6">
        <v>600.64</v>
      </c>
      <c r="AB11114" s="7">
        <v>87.367000000000004</v>
      </c>
      <c r="AC11114" s="5">
        <v>341</v>
      </c>
    </row>
    <row r="11115" spans="1:29" ht="91" x14ac:dyDescent="0.15">
      <c r="A11115" s="3">
        <f>DATE(2015,5,14)</f>
        <v>42138</v>
      </c>
      <c r="B11115" s="2"/>
      <c r="C11115" s="2" t="s">
        <v>87</v>
      </c>
      <c r="D11115" s="2" t="s">
        <v>18405</v>
      </c>
      <c r="E11115" s="2" t="s">
        <v>13887</v>
      </c>
      <c r="F11115" s="4">
        <v>3674</v>
      </c>
      <c r="G11115" s="2" t="s">
        <v>137</v>
      </c>
      <c r="H11115" s="2" t="s">
        <v>34</v>
      </c>
      <c r="I11115" s="2" t="s">
        <v>31113</v>
      </c>
      <c r="J11115" s="2" t="s">
        <v>31114</v>
      </c>
      <c r="K11115" s="2" t="s">
        <v>137</v>
      </c>
      <c r="L11115" s="2" t="s">
        <v>34</v>
      </c>
      <c r="M11115" s="12">
        <v>32158.077000000001</v>
      </c>
      <c r="N11115" s="6">
        <v>126.94</v>
      </c>
      <c r="O11115" s="6">
        <v>127.87</v>
      </c>
      <c r="P11115" s="2" t="s">
        <v>32248</v>
      </c>
      <c r="Q11115" s="2"/>
      <c r="R11115" s="2"/>
      <c r="S11115" s="5">
        <v>192.2</v>
      </c>
      <c r="T11115" s="7">
        <v>728.68399999999997</v>
      </c>
      <c r="U11115" s="5">
        <v>7.9</v>
      </c>
      <c r="V11115" s="9">
        <v>0.66539999999999999</v>
      </c>
      <c r="W11115" s="6">
        <v>32.28</v>
      </c>
      <c r="X11115" s="6">
        <v>32.520000000000003</v>
      </c>
      <c r="Y11115" s="7">
        <v>34.104999999999997</v>
      </c>
      <c r="Z11115" s="6">
        <v>34.19</v>
      </c>
      <c r="AA11115" s="6">
        <v>284</v>
      </c>
      <c r="AB11115" s="2" t="s">
        <v>47</v>
      </c>
      <c r="AC11115" s="10">
        <v>3380.78</v>
      </c>
    </row>
    <row r="11116" spans="1:29" ht="78" x14ac:dyDescent="0.15">
      <c r="A11116" s="3">
        <f>DATE(2015,5,14)</f>
        <v>42138</v>
      </c>
      <c r="B11116" s="2"/>
      <c r="C11116" s="2" t="s">
        <v>39</v>
      </c>
      <c r="D11116" s="2" t="s">
        <v>32249</v>
      </c>
      <c r="E11116" s="2" t="s">
        <v>32250</v>
      </c>
      <c r="F11116" s="4">
        <v>3674</v>
      </c>
      <c r="G11116" s="2" t="s">
        <v>137</v>
      </c>
      <c r="H11116" s="2" t="s">
        <v>34</v>
      </c>
      <c r="I11116" s="2" t="s">
        <v>31113</v>
      </c>
      <c r="J11116" s="2" t="s">
        <v>31114</v>
      </c>
      <c r="K11116" s="2" t="s">
        <v>137</v>
      </c>
      <c r="L11116" s="2" t="s">
        <v>34</v>
      </c>
      <c r="M11116" s="12">
        <v>32158.077000000001</v>
      </c>
      <c r="N11116" s="6">
        <v>126.94</v>
      </c>
      <c r="O11116" s="6">
        <v>127.87</v>
      </c>
      <c r="P11116" s="2" t="s">
        <v>32251</v>
      </c>
      <c r="Q11116" s="2"/>
      <c r="R11116" s="2"/>
      <c r="S11116" s="5">
        <v>648.20000000000005</v>
      </c>
      <c r="T11116" s="7">
        <v>854.48299999999995</v>
      </c>
      <c r="U11116" s="5">
        <v>10.199999999999999</v>
      </c>
      <c r="V11116" s="9">
        <v>2.3475999999999999</v>
      </c>
      <c r="W11116" s="7">
        <v>43.424999999999997</v>
      </c>
      <c r="X11116" s="6">
        <v>43.73</v>
      </c>
      <c r="Y11116" s="6">
        <v>44.99</v>
      </c>
      <c r="Z11116" s="5">
        <v>45.7</v>
      </c>
      <c r="AA11116" s="6">
        <v>258.60000000000002</v>
      </c>
      <c r="AB11116" s="2" t="s">
        <v>47</v>
      </c>
      <c r="AC11116" s="10">
        <v>3380.78</v>
      </c>
    </row>
    <row r="11117" spans="1:29" ht="169" x14ac:dyDescent="0.15">
      <c r="A11117" s="3">
        <f>DATE(2015,5,18)</f>
        <v>42142</v>
      </c>
      <c r="B11117" s="3">
        <f>DATE(2015,8,21)</f>
        <v>42237</v>
      </c>
      <c r="C11117" s="2" t="s">
        <v>95</v>
      </c>
      <c r="D11117" s="2" t="s">
        <v>32252</v>
      </c>
      <c r="E11117" s="2" t="s">
        <v>32253</v>
      </c>
      <c r="F11117" s="4">
        <v>5621</v>
      </c>
      <c r="G11117" s="2" t="s">
        <v>756</v>
      </c>
      <c r="H11117" s="2" t="s">
        <v>34</v>
      </c>
      <c r="I11117" s="2" t="s">
        <v>29942</v>
      </c>
      <c r="J11117" s="2" t="s">
        <v>29943</v>
      </c>
      <c r="K11117" s="2" t="s">
        <v>756</v>
      </c>
      <c r="L11117" s="2" t="s">
        <v>34</v>
      </c>
      <c r="M11117" s="12">
        <v>2405.0610000000001</v>
      </c>
      <c r="N11117" s="6">
        <v>14.07</v>
      </c>
      <c r="O11117" s="6">
        <v>14.93</v>
      </c>
      <c r="P11117" s="2" t="s">
        <v>32254</v>
      </c>
      <c r="Q11117" s="6">
        <v>100</v>
      </c>
      <c r="R11117" s="6">
        <v>47</v>
      </c>
      <c r="S11117" s="5">
        <v>74.8</v>
      </c>
      <c r="T11117" s="7">
        <v>241.428</v>
      </c>
      <c r="U11117" s="5">
        <v>11.5</v>
      </c>
      <c r="V11117" s="9">
        <v>1.6493</v>
      </c>
      <c r="W11117" s="6">
        <v>36.15</v>
      </c>
      <c r="X11117" s="6">
        <v>37.520000000000003</v>
      </c>
      <c r="Y11117" s="6">
        <v>39.94</v>
      </c>
      <c r="Z11117" s="6">
        <v>41.87</v>
      </c>
      <c r="AA11117" s="6">
        <v>45.99</v>
      </c>
      <c r="AB11117" s="7">
        <v>15.362</v>
      </c>
      <c r="AC11117" s="5">
        <v>222</v>
      </c>
    </row>
    <row r="11118" spans="1:29" ht="65" x14ac:dyDescent="0.15">
      <c r="A11118" s="3">
        <f>DATE(2015,5,19)</f>
        <v>42143</v>
      </c>
      <c r="B11118" s="2"/>
      <c r="C11118" s="2" t="s">
        <v>87</v>
      </c>
      <c r="D11118" s="2" t="s">
        <v>26683</v>
      </c>
      <c r="E11118" s="2" t="s">
        <v>21698</v>
      </c>
      <c r="F11118" s="4">
        <v>4841</v>
      </c>
      <c r="G11118" s="2" t="s">
        <v>45</v>
      </c>
      <c r="H11118" s="2" t="s">
        <v>34</v>
      </c>
      <c r="I11118" s="2" t="s">
        <v>32255</v>
      </c>
      <c r="J11118" s="2" t="s">
        <v>27192</v>
      </c>
      <c r="K11118" s="2" t="s">
        <v>45</v>
      </c>
      <c r="L11118" s="2" t="s">
        <v>322</v>
      </c>
      <c r="M11118" s="10">
        <v>27385.83</v>
      </c>
      <c r="N11118" s="7">
        <v>128.88800000000001</v>
      </c>
      <c r="O11118" s="7">
        <v>143.07900000000001</v>
      </c>
      <c r="P11118" s="2" t="s">
        <v>32256</v>
      </c>
      <c r="Q11118" s="2"/>
      <c r="R11118" s="2"/>
      <c r="S11118" s="8">
        <v>1988</v>
      </c>
      <c r="T11118" s="8">
        <v>8244</v>
      </c>
      <c r="U11118" s="5">
        <v>28.8</v>
      </c>
      <c r="V11118" s="9">
        <v>6.9973000000000001</v>
      </c>
      <c r="W11118" s="6">
        <v>154.87</v>
      </c>
      <c r="X11118" s="6">
        <v>157.51</v>
      </c>
      <c r="Y11118" s="4">
        <v>158</v>
      </c>
      <c r="Z11118" s="6">
        <v>166.55</v>
      </c>
      <c r="AA11118" s="6">
        <v>282.52</v>
      </c>
      <c r="AB11118" s="2" t="s">
        <v>47</v>
      </c>
      <c r="AC11118" s="10">
        <v>7632.5</v>
      </c>
    </row>
    <row r="11119" spans="1:29" ht="182" x14ac:dyDescent="0.15">
      <c r="A11119" s="3">
        <f>DATE(2015,5,21)</f>
        <v>42145</v>
      </c>
      <c r="B11119" s="3">
        <f>DATE(2015,10,8)</f>
        <v>42285</v>
      </c>
      <c r="C11119" s="2" t="s">
        <v>95</v>
      </c>
      <c r="D11119" s="2" t="s">
        <v>32257</v>
      </c>
      <c r="E11119" s="2" t="s">
        <v>1608</v>
      </c>
      <c r="F11119" s="4">
        <v>1311</v>
      </c>
      <c r="G11119" s="2" t="s">
        <v>148</v>
      </c>
      <c r="H11119" s="2" t="s">
        <v>34</v>
      </c>
      <c r="I11119" s="2" t="s">
        <v>29123</v>
      </c>
      <c r="J11119" s="2" t="s">
        <v>1608</v>
      </c>
      <c r="K11119" s="2" t="s">
        <v>148</v>
      </c>
      <c r="L11119" s="2" t="s">
        <v>34</v>
      </c>
      <c r="M11119" s="12">
        <v>1429.501</v>
      </c>
      <c r="N11119" s="6">
        <v>16.48</v>
      </c>
      <c r="O11119" s="5">
        <v>16.600000000000001</v>
      </c>
      <c r="P11119" s="2" t="s">
        <v>32258</v>
      </c>
      <c r="Q11119" s="6">
        <v>100</v>
      </c>
      <c r="R11119" s="2"/>
      <c r="S11119" s="5">
        <v>-180.1</v>
      </c>
      <c r="T11119" s="7">
        <v>182.70699999999999</v>
      </c>
      <c r="U11119" s="5">
        <v>2.1</v>
      </c>
      <c r="V11119" s="7">
        <v>-2.5270000000000001</v>
      </c>
      <c r="W11119" s="6">
        <v>2.44</v>
      </c>
      <c r="X11119" s="5">
        <v>2.4</v>
      </c>
      <c r="Y11119" s="6">
        <v>2.4500000000000002</v>
      </c>
      <c r="Z11119" s="6">
        <v>2.74</v>
      </c>
      <c r="AA11119" s="6">
        <v>152.99</v>
      </c>
      <c r="AB11119" s="7">
        <v>4.4189999999999996</v>
      </c>
      <c r="AC11119" s="6">
        <v>163.41999999999999</v>
      </c>
    </row>
    <row r="11120" spans="1:29" ht="117" x14ac:dyDescent="0.15">
      <c r="A11120" s="3">
        <f>DATE(2015,5,21)</f>
        <v>42145</v>
      </c>
      <c r="B11120" s="3">
        <f>DATE(2015,8,18)</f>
        <v>42234</v>
      </c>
      <c r="C11120" s="2" t="s">
        <v>95</v>
      </c>
      <c r="D11120" s="2" t="s">
        <v>10319</v>
      </c>
      <c r="E11120" s="2" t="s">
        <v>10320</v>
      </c>
      <c r="F11120" s="4">
        <v>5912</v>
      </c>
      <c r="G11120" s="2" t="s">
        <v>73</v>
      </c>
      <c r="H11120" s="2" t="s">
        <v>34</v>
      </c>
      <c r="I11120" s="2" t="s">
        <v>26976</v>
      </c>
      <c r="J11120" s="2" t="s">
        <v>4794</v>
      </c>
      <c r="K11120" s="2" t="s">
        <v>73</v>
      </c>
      <c r="L11120" s="2" t="s">
        <v>34</v>
      </c>
      <c r="M11120" s="12">
        <v>113826.008</v>
      </c>
      <c r="N11120" s="6">
        <v>103.69</v>
      </c>
      <c r="O11120" s="6">
        <v>103.95</v>
      </c>
      <c r="P11120" s="2" t="s">
        <v>32259</v>
      </c>
      <c r="Q11120" s="6">
        <v>100</v>
      </c>
      <c r="R11120" s="6">
        <v>98</v>
      </c>
      <c r="S11120" s="5">
        <v>158.1</v>
      </c>
      <c r="T11120" s="7">
        <v>669.86699999999996</v>
      </c>
      <c r="U11120" s="2"/>
      <c r="V11120" s="9">
        <v>1.8866000000000001</v>
      </c>
      <c r="W11120" s="6">
        <v>76.89</v>
      </c>
      <c r="X11120" s="6">
        <v>81.069999999999993</v>
      </c>
      <c r="Y11120" s="6">
        <v>84.52</v>
      </c>
      <c r="Z11120" s="6">
        <v>86.31</v>
      </c>
      <c r="AA11120" s="6">
        <v>96.89</v>
      </c>
      <c r="AB11120" s="7">
        <v>23.08</v>
      </c>
      <c r="AC11120" s="8">
        <v>1634</v>
      </c>
    </row>
    <row r="11121" spans="1:29" ht="91" x14ac:dyDescent="0.15">
      <c r="A11121" s="3">
        <f>DATE(2015,5,22)</f>
        <v>42146</v>
      </c>
      <c r="B11121" s="3">
        <f>DATE(2015,8,24)</f>
        <v>42240</v>
      </c>
      <c r="C11121" s="2" t="s">
        <v>95</v>
      </c>
      <c r="D11121" s="2" t="s">
        <v>32260</v>
      </c>
      <c r="E11121" s="2" t="s">
        <v>4601</v>
      </c>
      <c r="F11121" s="4">
        <v>5812</v>
      </c>
      <c r="G11121" s="2" t="s">
        <v>230</v>
      </c>
      <c r="H11121" s="2" t="s">
        <v>34</v>
      </c>
      <c r="I11121" s="2" t="s">
        <v>32261</v>
      </c>
      <c r="J11121" s="2" t="s">
        <v>3197</v>
      </c>
      <c r="K11121" s="2" t="s">
        <v>53</v>
      </c>
      <c r="L11121" s="2" t="s">
        <v>34</v>
      </c>
      <c r="M11121" s="2"/>
      <c r="N11121" s="2"/>
      <c r="O11121" s="2"/>
      <c r="P11121" s="2" t="s">
        <v>32262</v>
      </c>
      <c r="Q11121" s="6">
        <v>100</v>
      </c>
      <c r="R11121" s="6">
        <v>34</v>
      </c>
      <c r="S11121" s="5">
        <v>11</v>
      </c>
      <c r="T11121" s="7">
        <v>20.408999999999999</v>
      </c>
      <c r="U11121" s="5">
        <v>19.2</v>
      </c>
      <c r="V11121" s="9">
        <v>2.1452</v>
      </c>
      <c r="W11121" s="4">
        <v>28</v>
      </c>
      <c r="X11121" s="6">
        <v>28.12</v>
      </c>
      <c r="Y11121" s="6">
        <v>33.69</v>
      </c>
      <c r="Z11121" s="6">
        <v>33.69</v>
      </c>
      <c r="AA11121" s="6">
        <v>5.13</v>
      </c>
      <c r="AB11121" s="7">
        <v>17.509</v>
      </c>
      <c r="AC11121" s="2"/>
    </row>
    <row r="11122" spans="1:29" ht="65" x14ac:dyDescent="0.15">
      <c r="A11122" s="3">
        <f>DATE(2015,5,26)</f>
        <v>42150</v>
      </c>
      <c r="B11122" s="2"/>
      <c r="C11122" s="2" t="s">
        <v>39</v>
      </c>
      <c r="D11122" s="2" t="s">
        <v>32263</v>
      </c>
      <c r="E11122" s="2" t="s">
        <v>9379</v>
      </c>
      <c r="F11122" s="4">
        <v>7376</v>
      </c>
      <c r="G11122" s="2" t="s">
        <v>223</v>
      </c>
      <c r="H11122" s="2" t="s">
        <v>34</v>
      </c>
      <c r="I11122" s="2" t="s">
        <v>32264</v>
      </c>
      <c r="J11122" s="2" t="s">
        <v>14370</v>
      </c>
      <c r="K11122" s="2" t="s">
        <v>223</v>
      </c>
      <c r="L11122" s="2" t="s">
        <v>34</v>
      </c>
      <c r="M11122" s="12">
        <v>4857.3329999999996</v>
      </c>
      <c r="N11122" s="6">
        <v>22.56</v>
      </c>
      <c r="O11122" s="6">
        <v>22.67</v>
      </c>
      <c r="P11122" s="2" t="s">
        <v>32265</v>
      </c>
      <c r="Q11122" s="2"/>
      <c r="R11122" s="2"/>
      <c r="S11122" s="5">
        <v>231.6</v>
      </c>
      <c r="T11122" s="7">
        <v>263.90800000000002</v>
      </c>
      <c r="U11122" s="5">
        <v>12</v>
      </c>
      <c r="V11122" s="9">
        <v>2.7570999999999999</v>
      </c>
      <c r="W11122" s="6">
        <v>45.01</v>
      </c>
      <c r="X11122" s="6">
        <v>44.42</v>
      </c>
      <c r="Y11122" s="4">
        <v>47</v>
      </c>
      <c r="Z11122" s="5">
        <v>47.7</v>
      </c>
      <c r="AA11122" s="6">
        <v>83.75</v>
      </c>
      <c r="AB11122" s="2" t="s">
        <v>47</v>
      </c>
      <c r="AC11122" s="6">
        <v>465.67</v>
      </c>
    </row>
    <row r="11123" spans="1:29" ht="273" x14ac:dyDescent="0.15">
      <c r="A11123" s="3">
        <f>DATE(2015,5,26)</f>
        <v>42150</v>
      </c>
      <c r="B11123" s="3">
        <f>DATE(2016,5,18)</f>
        <v>42508</v>
      </c>
      <c r="C11123" s="2" t="s">
        <v>95</v>
      </c>
      <c r="D11123" s="2" t="s">
        <v>26683</v>
      </c>
      <c r="E11123" s="2" t="s">
        <v>21698</v>
      </c>
      <c r="F11123" s="4">
        <v>4841</v>
      </c>
      <c r="G11123" s="2" t="s">
        <v>45</v>
      </c>
      <c r="H11123" s="2" t="s">
        <v>34</v>
      </c>
      <c r="I11123" s="2" t="s">
        <v>30873</v>
      </c>
      <c r="J11123" s="2" t="s">
        <v>30874</v>
      </c>
      <c r="K11123" s="2" t="s">
        <v>45</v>
      </c>
      <c r="L11123" s="2" t="s">
        <v>34</v>
      </c>
      <c r="M11123" s="12">
        <v>20421.644</v>
      </c>
      <c r="N11123" s="6">
        <v>179.78</v>
      </c>
      <c r="O11123" s="6">
        <v>178.25</v>
      </c>
      <c r="P11123" s="2" t="s">
        <v>32266</v>
      </c>
      <c r="Q11123" s="6">
        <v>100</v>
      </c>
      <c r="R11123" s="6">
        <v>194.99</v>
      </c>
      <c r="S11123" s="8">
        <v>1988</v>
      </c>
      <c r="T11123" s="8">
        <v>8244</v>
      </c>
      <c r="U11123" s="5">
        <v>28.8</v>
      </c>
      <c r="V11123" s="9">
        <v>6.9973000000000001</v>
      </c>
      <c r="W11123" s="6">
        <v>149.61000000000001</v>
      </c>
      <c r="X11123" s="6">
        <v>148.76</v>
      </c>
      <c r="Y11123" s="6">
        <v>155.26</v>
      </c>
      <c r="Z11123" s="6">
        <v>156.37</v>
      </c>
      <c r="AA11123" s="6">
        <v>282.75</v>
      </c>
      <c r="AB11123" s="7">
        <v>16.331</v>
      </c>
      <c r="AC11123" s="2"/>
    </row>
    <row r="11124" spans="1:29" ht="65" x14ac:dyDescent="0.15">
      <c r="A11124" s="3">
        <f>DATE(2015,5,27)</f>
        <v>42151</v>
      </c>
      <c r="B11124" s="3">
        <f>DATE(2015,7,8)</f>
        <v>42193</v>
      </c>
      <c r="C11124" s="2" t="s">
        <v>95</v>
      </c>
      <c r="D11124" s="2" t="s">
        <v>32267</v>
      </c>
      <c r="E11124" s="2" t="s">
        <v>32268</v>
      </c>
      <c r="F11124" s="4">
        <v>3577</v>
      </c>
      <c r="G11124" s="2" t="s">
        <v>50</v>
      </c>
      <c r="H11124" s="2" t="s">
        <v>34</v>
      </c>
      <c r="I11124" s="2" t="s">
        <v>28771</v>
      </c>
      <c r="J11124" s="2" t="s">
        <v>28772</v>
      </c>
      <c r="K11124" s="2" t="s">
        <v>50</v>
      </c>
      <c r="L11124" s="2" t="s">
        <v>34</v>
      </c>
      <c r="M11124" s="12">
        <v>6514.6109999999999</v>
      </c>
      <c r="N11124" s="6">
        <v>39.43</v>
      </c>
      <c r="O11124" s="6">
        <v>40.18</v>
      </c>
      <c r="P11124" s="2" t="s">
        <v>32269</v>
      </c>
      <c r="Q11124" s="6">
        <v>100</v>
      </c>
      <c r="R11124" s="6">
        <v>1.63</v>
      </c>
      <c r="S11124" s="5">
        <v>-20.9</v>
      </c>
      <c r="T11124" s="7">
        <v>-14.725</v>
      </c>
      <c r="U11124" s="5">
        <v>-0.2</v>
      </c>
      <c r="V11124" s="9">
        <v>-0.87239999999999995</v>
      </c>
      <c r="W11124" s="5">
        <v>1.4</v>
      </c>
      <c r="X11124" s="6">
        <v>1.38</v>
      </c>
      <c r="Y11124" s="6">
        <v>1.61</v>
      </c>
      <c r="Z11124" s="6">
        <v>1.61</v>
      </c>
      <c r="AA11124" s="6">
        <v>24.28</v>
      </c>
      <c r="AB11124" s="2" t="s">
        <v>86</v>
      </c>
      <c r="AC11124" s="6">
        <v>803.96</v>
      </c>
    </row>
    <row r="11125" spans="1:29" ht="91" x14ac:dyDescent="0.15">
      <c r="A11125" s="3">
        <f>DATE(2015,5,27)</f>
        <v>42151</v>
      </c>
      <c r="B11125" s="3">
        <f>DATE(2015,7,8)</f>
        <v>42193</v>
      </c>
      <c r="C11125" s="2" t="s">
        <v>95</v>
      </c>
      <c r="D11125" s="2" t="s">
        <v>32270</v>
      </c>
      <c r="E11125" s="2" t="s">
        <v>32271</v>
      </c>
      <c r="F11125" s="4">
        <v>7372</v>
      </c>
      <c r="G11125" s="2" t="s">
        <v>551</v>
      </c>
      <c r="H11125" s="2" t="s">
        <v>34</v>
      </c>
      <c r="I11125" s="2" t="s">
        <v>32272</v>
      </c>
      <c r="J11125" s="2" t="s">
        <v>32273</v>
      </c>
      <c r="K11125" s="2" t="s">
        <v>551</v>
      </c>
      <c r="L11125" s="2" t="s">
        <v>34</v>
      </c>
      <c r="M11125" s="12">
        <v>14153.218999999999</v>
      </c>
      <c r="N11125" s="7">
        <v>31.175000000000001</v>
      </c>
      <c r="O11125" s="5">
        <v>30.7</v>
      </c>
      <c r="P11125" s="2" t="s">
        <v>32274</v>
      </c>
      <c r="Q11125" s="6">
        <v>100</v>
      </c>
      <c r="R11125" s="6">
        <v>19.5</v>
      </c>
      <c r="S11125" s="5">
        <v>-32.200000000000003</v>
      </c>
      <c r="T11125" s="7">
        <v>-28.666</v>
      </c>
      <c r="U11125" s="5">
        <v>1.9</v>
      </c>
      <c r="V11125" s="9">
        <v>-1.2753000000000001</v>
      </c>
      <c r="W11125" s="6">
        <v>13.59</v>
      </c>
      <c r="X11125" s="6">
        <v>13.65</v>
      </c>
      <c r="Y11125" s="6">
        <v>13.51</v>
      </c>
      <c r="Z11125" s="6">
        <v>19.45</v>
      </c>
      <c r="AA11125" s="6">
        <v>25.65</v>
      </c>
      <c r="AB11125" s="2" t="s">
        <v>86</v>
      </c>
      <c r="AC11125" s="8">
        <v>2809</v>
      </c>
    </row>
    <row r="11126" spans="1:29" ht="234" x14ac:dyDescent="0.15">
      <c r="A11126" s="3">
        <f>DATE(2015,5,28)</f>
        <v>42152</v>
      </c>
      <c r="B11126" s="3">
        <f>DATE(2016,2,1)</f>
        <v>42401</v>
      </c>
      <c r="C11126" s="2" t="s">
        <v>95</v>
      </c>
      <c r="D11126" s="2" t="s">
        <v>27481</v>
      </c>
      <c r="E11126" s="2" t="s">
        <v>4865</v>
      </c>
      <c r="F11126" s="4">
        <v>3674</v>
      </c>
      <c r="G11126" s="2" t="s">
        <v>137</v>
      </c>
      <c r="H11126" s="2" t="s">
        <v>34</v>
      </c>
      <c r="I11126" s="2" t="s">
        <v>31113</v>
      </c>
      <c r="J11126" s="2" t="s">
        <v>31114</v>
      </c>
      <c r="K11126" s="2" t="s">
        <v>137</v>
      </c>
      <c r="L11126" s="2" t="s">
        <v>34</v>
      </c>
      <c r="M11126" s="12">
        <v>29989.915000000001</v>
      </c>
      <c r="N11126" s="6">
        <v>142.38</v>
      </c>
      <c r="O11126" s="6">
        <v>148.07</v>
      </c>
      <c r="P11126" s="2" t="s">
        <v>32275</v>
      </c>
      <c r="Q11126" s="6">
        <v>100</v>
      </c>
      <c r="R11126" s="6">
        <v>61.94</v>
      </c>
      <c r="S11126" s="5">
        <v>696</v>
      </c>
      <c r="T11126" s="8">
        <v>1788</v>
      </c>
      <c r="U11126" s="5">
        <v>15.1</v>
      </c>
      <c r="V11126" s="9">
        <v>1.1429</v>
      </c>
      <c r="W11126" s="6">
        <v>47.07</v>
      </c>
      <c r="X11126" s="6">
        <v>47.06</v>
      </c>
      <c r="Y11126" s="7">
        <v>57.155000000000001</v>
      </c>
      <c r="Z11126" s="6">
        <v>56.25</v>
      </c>
      <c r="AA11126" s="6">
        <v>601.95000000000005</v>
      </c>
      <c r="AB11126" s="7">
        <v>25.33</v>
      </c>
      <c r="AC11126" s="10">
        <v>3380.78</v>
      </c>
    </row>
    <row r="11127" spans="1:29" ht="91" x14ac:dyDescent="0.15">
      <c r="A11127" s="3">
        <f>DATE(2015,5,29)</f>
        <v>42153</v>
      </c>
      <c r="B11127" s="3">
        <f>DATE(2015,12,1)</f>
        <v>42339</v>
      </c>
      <c r="C11127" s="2" t="s">
        <v>95</v>
      </c>
      <c r="D11127" s="2" t="s">
        <v>22421</v>
      </c>
      <c r="E11127" s="2" t="s">
        <v>21800</v>
      </c>
      <c r="F11127" s="4">
        <v>6021</v>
      </c>
      <c r="G11127" s="2" t="s">
        <v>37</v>
      </c>
      <c r="H11127" s="2" t="s">
        <v>34</v>
      </c>
      <c r="I11127" s="2" t="s">
        <v>32276</v>
      </c>
      <c r="J11127" s="2" t="s">
        <v>36</v>
      </c>
      <c r="K11127" s="2" t="s">
        <v>37</v>
      </c>
      <c r="L11127" s="2" t="s">
        <v>34</v>
      </c>
      <c r="M11127" s="7">
        <v>696.78399999999999</v>
      </c>
      <c r="N11127" s="6">
        <v>34.08</v>
      </c>
      <c r="O11127" s="6">
        <v>34.28</v>
      </c>
      <c r="P11127" s="2" t="s">
        <v>32277</v>
      </c>
      <c r="Q11127" s="6">
        <v>100</v>
      </c>
      <c r="R11127" s="6">
        <v>7.73</v>
      </c>
      <c r="S11127" s="2"/>
      <c r="T11127" s="2"/>
      <c r="U11127" s="2"/>
      <c r="V11127" s="2"/>
      <c r="W11127" s="5">
        <v>7.1</v>
      </c>
      <c r="X11127" s="5">
        <v>7.1</v>
      </c>
      <c r="Y11127" s="5">
        <v>7.5</v>
      </c>
      <c r="Z11127" s="6">
        <v>7.52</v>
      </c>
      <c r="AA11127" s="6">
        <v>12.59</v>
      </c>
      <c r="AB11127" s="2" t="s">
        <v>47</v>
      </c>
      <c r="AC11127" s="2"/>
    </row>
    <row r="11128" spans="1:29" ht="52" x14ac:dyDescent="0.15">
      <c r="A11128" s="3">
        <f>DATE(2015,5,29)</f>
        <v>42153</v>
      </c>
      <c r="B11128" s="2"/>
      <c r="C11128" s="2" t="s">
        <v>30</v>
      </c>
      <c r="D11128" s="2" t="s">
        <v>32278</v>
      </c>
      <c r="E11128" s="2" t="s">
        <v>32279</v>
      </c>
      <c r="F11128" s="4">
        <v>7372</v>
      </c>
      <c r="G11128" s="2" t="s">
        <v>551</v>
      </c>
      <c r="H11128" s="2" t="s">
        <v>34</v>
      </c>
      <c r="I11128" s="2" t="s">
        <v>32280</v>
      </c>
      <c r="J11128" s="2" t="s">
        <v>28323</v>
      </c>
      <c r="K11128" s="2" t="s">
        <v>53</v>
      </c>
      <c r="L11128" s="2" t="s">
        <v>34</v>
      </c>
      <c r="M11128" s="2"/>
      <c r="N11128" s="2"/>
      <c r="O11128" s="2"/>
      <c r="P11128" s="2" t="s">
        <v>32281</v>
      </c>
      <c r="Q11128" s="2"/>
      <c r="R11128" s="2"/>
      <c r="S11128" s="5">
        <v>-73.3</v>
      </c>
      <c r="T11128" s="7">
        <v>-37.033000000000001</v>
      </c>
      <c r="U11128" s="5">
        <v>2</v>
      </c>
      <c r="V11128" s="9">
        <v>-3.4496000000000002</v>
      </c>
      <c r="W11128" s="5">
        <v>6.6</v>
      </c>
      <c r="X11128" s="6">
        <v>6.43</v>
      </c>
      <c r="Y11128" s="6">
        <v>7.62</v>
      </c>
      <c r="Z11128" s="5">
        <v>7.7</v>
      </c>
      <c r="AA11128" s="6">
        <v>21.61</v>
      </c>
      <c r="AB11128" s="2" t="s">
        <v>86</v>
      </c>
      <c r="AC11128" s="2"/>
    </row>
    <row r="11129" spans="1:29" ht="117" x14ac:dyDescent="0.15">
      <c r="A11129" s="3">
        <f>DATE(2015,6,1)</f>
        <v>42156</v>
      </c>
      <c r="B11129" s="3">
        <f>DATE(2015,12,28)</f>
        <v>42366</v>
      </c>
      <c r="C11129" s="2" t="s">
        <v>95</v>
      </c>
      <c r="D11129" s="2" t="s">
        <v>32282</v>
      </c>
      <c r="E11129" s="2" t="s">
        <v>4865</v>
      </c>
      <c r="F11129" s="4">
        <v>3674</v>
      </c>
      <c r="G11129" s="2" t="s">
        <v>137</v>
      </c>
      <c r="H11129" s="2" t="s">
        <v>34</v>
      </c>
      <c r="I11129" s="2" t="s">
        <v>10177</v>
      </c>
      <c r="J11129" s="2" t="s">
        <v>10178</v>
      </c>
      <c r="K11129" s="2" t="s">
        <v>137</v>
      </c>
      <c r="L11129" s="2" t="s">
        <v>34</v>
      </c>
      <c r="M11129" s="10">
        <v>158591.92000000001</v>
      </c>
      <c r="N11129" s="7">
        <v>33.905000000000001</v>
      </c>
      <c r="O11129" s="6">
        <v>33.270000000000003</v>
      </c>
      <c r="P11129" s="2" t="s">
        <v>32283</v>
      </c>
      <c r="Q11129" s="6">
        <v>100</v>
      </c>
      <c r="R11129" s="6">
        <v>54</v>
      </c>
      <c r="S11129" s="5">
        <v>451</v>
      </c>
      <c r="T11129" s="6">
        <v>573.04999999999995</v>
      </c>
      <c r="U11129" s="5">
        <v>11</v>
      </c>
      <c r="V11129" s="7">
        <v>1.462</v>
      </c>
      <c r="W11129" s="6">
        <v>36.950000000000003</v>
      </c>
      <c r="X11129" s="7">
        <v>34.575000000000003</v>
      </c>
      <c r="Y11129" s="6">
        <v>44.39</v>
      </c>
      <c r="Z11129" s="6">
        <v>42.82</v>
      </c>
      <c r="AA11129" s="6">
        <v>301.08999999999997</v>
      </c>
      <c r="AB11129" s="7">
        <v>30.221</v>
      </c>
      <c r="AC11129" s="8">
        <v>14896</v>
      </c>
    </row>
    <row r="11130" spans="1:29" ht="130" x14ac:dyDescent="0.15">
      <c r="A11130" s="3">
        <f>DATE(2015,6,1)</f>
        <v>42156</v>
      </c>
      <c r="B11130" s="3">
        <f>DATE(2015,10,28)</f>
        <v>42305</v>
      </c>
      <c r="C11130" s="2" t="s">
        <v>95</v>
      </c>
      <c r="D11130" s="2" t="s">
        <v>32284</v>
      </c>
      <c r="E11130" s="2" t="s">
        <v>6214</v>
      </c>
      <c r="F11130" s="4">
        <v>3999</v>
      </c>
      <c r="G11130" s="2" t="s">
        <v>112</v>
      </c>
      <c r="H11130" s="2" t="s">
        <v>34</v>
      </c>
      <c r="I11130" s="2" t="s">
        <v>27735</v>
      </c>
      <c r="J11130" s="2" t="s">
        <v>244</v>
      </c>
      <c r="K11130" s="2" t="s">
        <v>53</v>
      </c>
      <c r="L11130" s="2" t="s">
        <v>34</v>
      </c>
      <c r="M11130" s="12">
        <v>1630.9159999999999</v>
      </c>
      <c r="N11130" s="6">
        <v>22.28</v>
      </c>
      <c r="O11130" s="5">
        <v>22.4</v>
      </c>
      <c r="P11130" s="2" t="s">
        <v>32285</v>
      </c>
      <c r="Q11130" s="6">
        <v>100</v>
      </c>
      <c r="R11130" s="6">
        <v>34</v>
      </c>
      <c r="S11130" s="5">
        <v>-188.8</v>
      </c>
      <c r="T11130" s="5">
        <v>81.599999999999994</v>
      </c>
      <c r="U11130" s="5">
        <v>25.7</v>
      </c>
      <c r="V11130" s="9">
        <v>-6.0698999999999996</v>
      </c>
      <c r="W11130" s="6">
        <v>27.33</v>
      </c>
      <c r="X11130" s="6">
        <v>26.54</v>
      </c>
      <c r="Y11130" s="6">
        <v>34.04</v>
      </c>
      <c r="Z11130" s="6">
        <v>34.14</v>
      </c>
      <c r="AA11130" s="6">
        <v>30.35</v>
      </c>
      <c r="AB11130" s="7">
        <v>58.965000000000003</v>
      </c>
      <c r="AC11130" s="10">
        <v>1607.17</v>
      </c>
    </row>
    <row r="11131" spans="1:29" ht="78" x14ac:dyDescent="0.15">
      <c r="A11131" s="3">
        <f>DATE(2015,6,3)</f>
        <v>42158</v>
      </c>
      <c r="B11131" s="2"/>
      <c r="C11131" s="2" t="s">
        <v>39</v>
      </c>
      <c r="D11131" s="2" t="s">
        <v>32286</v>
      </c>
      <c r="E11131" s="2" t="s">
        <v>32287</v>
      </c>
      <c r="F11131" s="4">
        <v>7372</v>
      </c>
      <c r="G11131" s="2" t="s">
        <v>551</v>
      </c>
      <c r="H11131" s="2" t="s">
        <v>34</v>
      </c>
      <c r="I11131" s="2" t="s">
        <v>143</v>
      </c>
      <c r="J11131" s="2" t="s">
        <v>144</v>
      </c>
      <c r="K11131" s="2" t="s">
        <v>53</v>
      </c>
      <c r="L11131" s="2" t="s">
        <v>139</v>
      </c>
      <c r="M11131" s="2"/>
      <c r="N11131" s="2"/>
      <c r="O11131" s="2"/>
      <c r="P11131" s="2" t="s">
        <v>32288</v>
      </c>
      <c r="Q11131" s="2"/>
      <c r="R11131" s="2"/>
      <c r="S11131" s="5">
        <v>41.9</v>
      </c>
      <c r="T11131" s="7">
        <v>129.99700000000001</v>
      </c>
      <c r="U11131" s="5">
        <v>12.4</v>
      </c>
      <c r="V11131" s="9">
        <v>0.94020000000000004</v>
      </c>
      <c r="W11131" s="6">
        <v>45.64</v>
      </c>
      <c r="X11131" s="6">
        <v>42.53</v>
      </c>
      <c r="Y11131" s="6">
        <v>49.02</v>
      </c>
      <c r="Z11131" s="6">
        <v>49.55</v>
      </c>
      <c r="AA11131" s="6">
        <v>43.28</v>
      </c>
      <c r="AB11131" s="2" t="s">
        <v>47</v>
      </c>
      <c r="AC11131" s="2"/>
    </row>
    <row r="11132" spans="1:29" ht="143" x14ac:dyDescent="0.15">
      <c r="A11132" s="3">
        <f>DATE(2015,6,4)</f>
        <v>42159</v>
      </c>
      <c r="B11132" s="3">
        <f>DATE(2015,8,20)</f>
        <v>42236</v>
      </c>
      <c r="C11132" s="2" t="s">
        <v>95</v>
      </c>
      <c r="D11132" s="2" t="s">
        <v>6698</v>
      </c>
      <c r="E11132" s="2" t="s">
        <v>1717</v>
      </c>
      <c r="F11132" s="4">
        <v>8071</v>
      </c>
      <c r="G11132" s="2" t="s">
        <v>454</v>
      </c>
      <c r="H11132" s="2" t="s">
        <v>34</v>
      </c>
      <c r="I11132" s="2" t="s">
        <v>32289</v>
      </c>
      <c r="J11132" s="2" t="s">
        <v>7462</v>
      </c>
      <c r="K11132" s="2" t="s">
        <v>130</v>
      </c>
      <c r="L11132" s="2" t="s">
        <v>34</v>
      </c>
      <c r="M11132" s="12">
        <v>6482.125</v>
      </c>
      <c r="N11132" s="6">
        <v>16.25</v>
      </c>
      <c r="O11132" s="6">
        <v>16.190000000000001</v>
      </c>
      <c r="P11132" s="2" t="s">
        <v>32290</v>
      </c>
      <c r="Q11132" s="6">
        <v>100</v>
      </c>
      <c r="R11132" s="6">
        <v>52.58</v>
      </c>
      <c r="S11132" s="5">
        <v>50.6</v>
      </c>
      <c r="T11132" s="6">
        <v>115.98</v>
      </c>
      <c r="U11132" s="5">
        <v>12.1</v>
      </c>
      <c r="V11132" s="7">
        <v>1.8169999999999999</v>
      </c>
      <c r="W11132" s="5">
        <v>33.1</v>
      </c>
      <c r="X11132" s="6">
        <v>32.96</v>
      </c>
      <c r="Y11132" s="5">
        <v>39.6</v>
      </c>
      <c r="Z11132" s="6">
        <v>39.619999999999997</v>
      </c>
      <c r="AA11132" s="6">
        <v>27.8</v>
      </c>
      <c r="AB11132" s="7">
        <v>16.952000000000002</v>
      </c>
      <c r="AC11132" s="6">
        <v>348.19</v>
      </c>
    </row>
    <row r="11133" spans="1:29" ht="78" x14ac:dyDescent="0.15">
      <c r="A11133" s="3">
        <f>DATE(2015,6,4)</f>
        <v>42159</v>
      </c>
      <c r="B11133" s="2"/>
      <c r="C11133" s="2" t="s">
        <v>39</v>
      </c>
      <c r="D11133" s="2" t="s">
        <v>30473</v>
      </c>
      <c r="E11133" s="2" t="s">
        <v>6412</v>
      </c>
      <c r="F11133" s="4">
        <v>4841</v>
      </c>
      <c r="G11133" s="2" t="s">
        <v>45</v>
      </c>
      <c r="H11133" s="2" t="s">
        <v>34</v>
      </c>
      <c r="I11133" s="2" t="s">
        <v>31105</v>
      </c>
      <c r="J11133" s="2" t="s">
        <v>31106</v>
      </c>
      <c r="K11133" s="2" t="s">
        <v>63</v>
      </c>
      <c r="L11133" s="2" t="s">
        <v>34</v>
      </c>
      <c r="M11133" s="12">
        <v>26986.830999999998</v>
      </c>
      <c r="N11133" s="6">
        <v>39.340000000000003</v>
      </c>
      <c r="O11133" s="6">
        <v>40.24</v>
      </c>
      <c r="P11133" s="2" t="s">
        <v>32291</v>
      </c>
      <c r="Q11133" s="2"/>
      <c r="R11133" s="2"/>
      <c r="S11133" s="8">
        <v>1120.2</v>
      </c>
      <c r="T11133" s="12">
        <v>2936.944</v>
      </c>
      <c r="U11133" s="5">
        <v>5</v>
      </c>
      <c r="V11133" s="9">
        <v>2.4137</v>
      </c>
      <c r="W11133" s="5">
        <v>70.3</v>
      </c>
      <c r="X11133" s="6">
        <v>70.81</v>
      </c>
      <c r="Y11133" s="6">
        <v>74.25</v>
      </c>
      <c r="Z11133" s="6">
        <v>75.510000000000005</v>
      </c>
      <c r="AA11133" s="6">
        <v>462.8</v>
      </c>
      <c r="AB11133" s="2" t="s">
        <v>47</v>
      </c>
      <c r="AC11133" s="8">
        <v>3032</v>
      </c>
    </row>
    <row r="11134" spans="1:29" ht="91" x14ac:dyDescent="0.15">
      <c r="A11134" s="3">
        <f>DATE(2015,6,4)</f>
        <v>42159</v>
      </c>
      <c r="B11134" s="2"/>
      <c r="C11134" s="2" t="s">
        <v>30</v>
      </c>
      <c r="D11134" s="2" t="s">
        <v>31624</v>
      </c>
      <c r="E11134" s="2" t="s">
        <v>207</v>
      </c>
      <c r="F11134" s="4">
        <v>3674</v>
      </c>
      <c r="G11134" s="2" t="s">
        <v>137</v>
      </c>
      <c r="H11134" s="2" t="s">
        <v>34</v>
      </c>
      <c r="I11134" s="2" t="s">
        <v>28974</v>
      </c>
      <c r="J11134" s="2" t="s">
        <v>31625</v>
      </c>
      <c r="K11134" s="2" t="s">
        <v>137</v>
      </c>
      <c r="L11134" s="2" t="s">
        <v>34</v>
      </c>
      <c r="M11134" s="7">
        <v>51.863</v>
      </c>
      <c r="N11134" s="6">
        <v>1.49</v>
      </c>
      <c r="O11134" s="6">
        <v>1.48</v>
      </c>
      <c r="P11134" s="2" t="s">
        <v>32292</v>
      </c>
      <c r="Q11134" s="2"/>
      <c r="R11134" s="6">
        <v>6.5</v>
      </c>
      <c r="S11134" s="5">
        <v>-5</v>
      </c>
      <c r="T11134" s="7">
        <v>-4.4080000000000004</v>
      </c>
      <c r="U11134" s="5">
        <v>4.2</v>
      </c>
      <c r="V11134" s="9">
        <v>-0.19889999999999999</v>
      </c>
      <c r="W11134" s="6">
        <v>5.0599999999999996</v>
      </c>
      <c r="X11134" s="6">
        <v>5.26</v>
      </c>
      <c r="Y11134" s="6">
        <v>5.41</v>
      </c>
      <c r="Z11134" s="6">
        <v>5.51</v>
      </c>
      <c r="AA11134" s="6">
        <v>23.39</v>
      </c>
      <c r="AB11134" s="2" t="s">
        <v>86</v>
      </c>
      <c r="AC11134" s="6">
        <v>17.66</v>
      </c>
    </row>
    <row r="11135" spans="1:29" ht="52" x14ac:dyDescent="0.15">
      <c r="A11135" s="3">
        <f>DATE(2015,6,4)</f>
        <v>42159</v>
      </c>
      <c r="B11135" s="3">
        <f>DATE(2016,1,15)</f>
        <v>42384</v>
      </c>
      <c r="C11135" s="2" t="s">
        <v>95</v>
      </c>
      <c r="D11135" s="2" t="s">
        <v>28078</v>
      </c>
      <c r="E11135" s="2" t="s">
        <v>36</v>
      </c>
      <c r="F11135" s="4">
        <v>6035</v>
      </c>
      <c r="G11135" s="2" t="s">
        <v>33</v>
      </c>
      <c r="H11135" s="2" t="s">
        <v>34</v>
      </c>
      <c r="I11135" s="2" t="s">
        <v>30483</v>
      </c>
      <c r="J11135" s="2" t="s">
        <v>30484</v>
      </c>
      <c r="K11135" s="2" t="s">
        <v>37</v>
      </c>
      <c r="L11135" s="2" t="s">
        <v>34</v>
      </c>
      <c r="M11135" s="2"/>
      <c r="N11135" s="2"/>
      <c r="O11135" s="2"/>
      <c r="P11135" s="2" t="s">
        <v>32293</v>
      </c>
      <c r="Q11135" s="6">
        <v>100</v>
      </c>
      <c r="R11135" s="6">
        <v>11</v>
      </c>
      <c r="S11135" s="5">
        <v>2.1</v>
      </c>
      <c r="T11135" s="7">
        <v>2.8490000000000002</v>
      </c>
      <c r="U11135" s="5">
        <v>8.6999999999999993</v>
      </c>
      <c r="V11135" s="9">
        <v>0.30919999999999997</v>
      </c>
      <c r="W11135" s="7">
        <v>9.3849999999999998</v>
      </c>
      <c r="X11135" s="6">
        <v>9.26</v>
      </c>
      <c r="Y11135" s="6">
        <v>10.68</v>
      </c>
      <c r="Z11135" s="6">
        <v>10.68</v>
      </c>
      <c r="AA11135" s="6">
        <v>7</v>
      </c>
      <c r="AB11135" s="7">
        <v>67.808999999999997</v>
      </c>
      <c r="AC11135" s="10">
        <v>2920.47</v>
      </c>
    </row>
    <row r="11136" spans="1:29" ht="65" x14ac:dyDescent="0.15">
      <c r="A11136" s="3">
        <f>DATE(2015,6,10)</f>
        <v>42165</v>
      </c>
      <c r="B11136" s="3">
        <f>DATE(2015,10,27)</f>
        <v>42304</v>
      </c>
      <c r="C11136" s="2" t="s">
        <v>95</v>
      </c>
      <c r="D11136" s="2" t="s">
        <v>9147</v>
      </c>
      <c r="E11136" s="2" t="s">
        <v>515</v>
      </c>
      <c r="F11136" s="4">
        <v>6311</v>
      </c>
      <c r="G11136" s="2" t="s">
        <v>125</v>
      </c>
      <c r="H11136" s="2" t="s">
        <v>34</v>
      </c>
      <c r="I11136" s="2" t="s">
        <v>29675</v>
      </c>
      <c r="J11136" s="2" t="s">
        <v>124</v>
      </c>
      <c r="K11136" s="2" t="s">
        <v>125</v>
      </c>
      <c r="L11136" s="2" t="s">
        <v>99</v>
      </c>
      <c r="M11136" s="2"/>
      <c r="N11136" s="2"/>
      <c r="O11136" s="2"/>
      <c r="P11136" s="2" t="s">
        <v>32294</v>
      </c>
      <c r="Q11136" s="6">
        <v>100</v>
      </c>
      <c r="R11136" s="6">
        <v>78</v>
      </c>
      <c r="S11136" s="5">
        <v>455.9</v>
      </c>
      <c r="T11136" s="7">
        <v>704.48699999999997</v>
      </c>
      <c r="U11136" s="5">
        <v>39.200000000000003</v>
      </c>
      <c r="V11136" s="7">
        <v>4.7069999999999999</v>
      </c>
      <c r="W11136" s="6">
        <v>57.75</v>
      </c>
      <c r="X11136" s="6">
        <v>56.69</v>
      </c>
      <c r="Y11136" s="6">
        <v>77.349999999999994</v>
      </c>
      <c r="Z11136" s="6">
        <v>77.13</v>
      </c>
      <c r="AA11136" s="6">
        <v>96.2</v>
      </c>
      <c r="AB11136" s="7">
        <v>12.106999999999999</v>
      </c>
      <c r="AC11136" s="2"/>
    </row>
    <row r="11137" spans="1:29" ht="91" x14ac:dyDescent="0.15">
      <c r="A11137" s="3">
        <f>DATE(2015,6,14)</f>
        <v>42169</v>
      </c>
      <c r="B11137" s="3">
        <f>DATE(2016,7,19)</f>
        <v>42570</v>
      </c>
      <c r="C11137" s="2" t="s">
        <v>95</v>
      </c>
      <c r="D11137" s="2" t="s">
        <v>32295</v>
      </c>
      <c r="E11137" s="2" t="s">
        <v>32296</v>
      </c>
      <c r="F11137" s="4">
        <v>4922</v>
      </c>
      <c r="G11137" s="2" t="s">
        <v>439</v>
      </c>
      <c r="H11137" s="2" t="s">
        <v>34</v>
      </c>
      <c r="I11137" s="2" t="s">
        <v>32297</v>
      </c>
      <c r="J11137" s="2" t="s">
        <v>17282</v>
      </c>
      <c r="K11137" s="2" t="s">
        <v>173</v>
      </c>
      <c r="L11137" s="2" t="s">
        <v>902</v>
      </c>
      <c r="M11137" s="12">
        <v>7365.8919999999998</v>
      </c>
      <c r="N11137" s="6">
        <v>43.36</v>
      </c>
      <c r="O11137" s="6">
        <v>43.36</v>
      </c>
      <c r="P11137" s="2" t="s">
        <v>32298</v>
      </c>
      <c r="Q11137" s="6">
        <v>100</v>
      </c>
      <c r="R11137" s="6">
        <v>4.2300000000000004</v>
      </c>
      <c r="S11137" s="5">
        <v>-344.3</v>
      </c>
      <c r="T11137" s="7">
        <v>26.277000000000001</v>
      </c>
      <c r="U11137" s="5">
        <v>4.9000000000000004</v>
      </c>
      <c r="V11137" s="9">
        <v>-9.3351000000000006</v>
      </c>
      <c r="W11137" s="6">
        <v>1.54</v>
      </c>
      <c r="X11137" s="6">
        <v>1.31</v>
      </c>
      <c r="Y11137" s="6">
        <v>3.97</v>
      </c>
      <c r="Z11137" s="6">
        <v>3.97</v>
      </c>
      <c r="AA11137" s="6">
        <v>37.99</v>
      </c>
      <c r="AB11137" s="2" t="s">
        <v>86</v>
      </c>
      <c r="AC11137" s="6">
        <v>773.98</v>
      </c>
    </row>
    <row r="11138" spans="1:29" ht="156" x14ac:dyDescent="0.15">
      <c r="A11138" s="3">
        <f>DATE(2015,6,14)</f>
        <v>42169</v>
      </c>
      <c r="B11138" s="3">
        <f>DATE(2015,10,1)</f>
        <v>42278</v>
      </c>
      <c r="C11138" s="2" t="s">
        <v>95</v>
      </c>
      <c r="D11138" s="2" t="s">
        <v>32299</v>
      </c>
      <c r="E11138" s="2" t="s">
        <v>3499</v>
      </c>
      <c r="F11138" s="4">
        <v>1522</v>
      </c>
      <c r="G11138" s="2" t="s">
        <v>341</v>
      </c>
      <c r="H11138" s="2" t="s">
        <v>34</v>
      </c>
      <c r="I11138" s="2" t="s">
        <v>16217</v>
      </c>
      <c r="J11138" s="2" t="s">
        <v>16218</v>
      </c>
      <c r="K11138" s="2" t="s">
        <v>341</v>
      </c>
      <c r="L11138" s="2" t="s">
        <v>34</v>
      </c>
      <c r="M11138" s="12">
        <v>2293.8470000000002</v>
      </c>
      <c r="N11138" s="6">
        <v>8.83</v>
      </c>
      <c r="O11138" s="6">
        <v>8.83</v>
      </c>
      <c r="P11138" s="2" t="s">
        <v>32300</v>
      </c>
      <c r="Q11138" s="6">
        <v>100</v>
      </c>
      <c r="R11138" s="6">
        <v>42.6</v>
      </c>
      <c r="S11138" s="5">
        <v>178.7</v>
      </c>
      <c r="T11138" s="7">
        <v>306.85899999999998</v>
      </c>
      <c r="U11138" s="5">
        <v>24</v>
      </c>
      <c r="V11138" s="9">
        <v>3.0779000000000001</v>
      </c>
      <c r="W11138" s="5">
        <v>41.9</v>
      </c>
      <c r="X11138" s="6">
        <v>42.79</v>
      </c>
      <c r="Y11138" s="6">
        <v>45.02</v>
      </c>
      <c r="Z11138" s="6">
        <v>45.02</v>
      </c>
      <c r="AA11138" s="6">
        <v>46.79</v>
      </c>
      <c r="AB11138" s="7">
        <v>10.599</v>
      </c>
      <c r="AC11138" s="6">
        <v>144.13</v>
      </c>
    </row>
    <row r="11139" spans="1:29" ht="78" x14ac:dyDescent="0.15">
      <c r="A11139" s="3">
        <f>DATE(2015,6,15)</f>
        <v>42170</v>
      </c>
      <c r="B11139" s="2"/>
      <c r="C11139" s="2" t="s">
        <v>39</v>
      </c>
      <c r="D11139" s="2" t="s">
        <v>27410</v>
      </c>
      <c r="E11139" s="2" t="s">
        <v>21350</v>
      </c>
      <c r="F11139" s="4">
        <v>6324</v>
      </c>
      <c r="G11139" s="2" t="s">
        <v>125</v>
      </c>
      <c r="H11139" s="2" t="s">
        <v>34</v>
      </c>
      <c r="I11139" s="2" t="s">
        <v>21349</v>
      </c>
      <c r="J11139" s="2" t="s">
        <v>21350</v>
      </c>
      <c r="K11139" s="2" t="s">
        <v>125</v>
      </c>
      <c r="L11139" s="2" t="s">
        <v>34</v>
      </c>
      <c r="M11139" s="10">
        <v>114038.13</v>
      </c>
      <c r="N11139" s="6">
        <v>118.98</v>
      </c>
      <c r="O11139" s="6">
        <v>121.55</v>
      </c>
      <c r="P11139" s="2" t="s">
        <v>32301</v>
      </c>
      <c r="Q11139" s="2"/>
      <c r="R11139" s="2"/>
      <c r="S11139" s="8">
        <v>2152.8000000000002</v>
      </c>
      <c r="T11139" s="8">
        <v>4767.1000000000004</v>
      </c>
      <c r="U11139" s="5">
        <v>41.1</v>
      </c>
      <c r="V11139" s="9">
        <v>6.0631000000000004</v>
      </c>
      <c r="W11139" s="4">
        <v>116</v>
      </c>
      <c r="X11139" s="6">
        <v>115.87</v>
      </c>
      <c r="Y11139" s="6">
        <v>121.01</v>
      </c>
      <c r="Z11139" s="6">
        <v>124.97</v>
      </c>
      <c r="AA11139" s="6">
        <v>349.2</v>
      </c>
      <c r="AB11139" s="2" t="s">
        <v>47</v>
      </c>
      <c r="AC11139" s="8">
        <v>8650</v>
      </c>
    </row>
    <row r="11140" spans="1:29" ht="117" x14ac:dyDescent="0.15">
      <c r="A11140" s="3">
        <f>DATE(2015,6,15)</f>
        <v>42170</v>
      </c>
      <c r="B11140" s="3">
        <f>DATE(2015,10,1)</f>
        <v>42278</v>
      </c>
      <c r="C11140" s="2" t="s">
        <v>95</v>
      </c>
      <c r="D11140" s="2" t="s">
        <v>32302</v>
      </c>
      <c r="E11140" s="2" t="s">
        <v>32303</v>
      </c>
      <c r="F11140" s="4">
        <v>7373</v>
      </c>
      <c r="G11140" s="2" t="s">
        <v>223</v>
      </c>
      <c r="H11140" s="2" t="s">
        <v>34</v>
      </c>
      <c r="I11140" s="2" t="s">
        <v>32304</v>
      </c>
      <c r="J11140" s="2" t="s">
        <v>32305</v>
      </c>
      <c r="K11140" s="2" t="s">
        <v>76</v>
      </c>
      <c r="L11140" s="2" t="s">
        <v>34</v>
      </c>
      <c r="M11140" s="2"/>
      <c r="N11140" s="2"/>
      <c r="O11140" s="2"/>
      <c r="P11140" s="2" t="s">
        <v>32306</v>
      </c>
      <c r="Q11140" s="6">
        <v>100</v>
      </c>
      <c r="R11140" s="6">
        <v>63.25</v>
      </c>
      <c r="S11140" s="5">
        <v>-28.4</v>
      </c>
      <c r="T11140" s="7">
        <v>136.35300000000001</v>
      </c>
      <c r="U11140" s="5">
        <v>19.5</v>
      </c>
      <c r="V11140" s="7">
        <v>-0.52400000000000002</v>
      </c>
      <c r="W11140" s="6">
        <v>39.51</v>
      </c>
      <c r="X11140" s="6">
        <v>39.85</v>
      </c>
      <c r="Y11140" s="6">
        <v>62.98</v>
      </c>
      <c r="Z11140" s="6">
        <v>63.14</v>
      </c>
      <c r="AA11140" s="6">
        <v>54.86</v>
      </c>
      <c r="AB11140" s="2" t="s">
        <v>86</v>
      </c>
      <c r="AC11140" s="2"/>
    </row>
    <row r="11141" spans="1:29" ht="104" x14ac:dyDescent="0.15">
      <c r="A11141" s="3">
        <f>DATE(2015,6,17)</f>
        <v>42172</v>
      </c>
      <c r="B11141" s="3">
        <f>DATE(2015,10,1)</f>
        <v>42278</v>
      </c>
      <c r="C11141" s="2" t="s">
        <v>95</v>
      </c>
      <c r="D11141" s="2" t="s">
        <v>32307</v>
      </c>
      <c r="E11141" s="2" t="s">
        <v>6378</v>
      </c>
      <c r="F11141" s="4">
        <v>2834</v>
      </c>
      <c r="G11141" s="2" t="s">
        <v>130</v>
      </c>
      <c r="H11141" s="2" t="s">
        <v>34</v>
      </c>
      <c r="I11141" s="2" t="s">
        <v>7904</v>
      </c>
      <c r="J11141" s="2" t="s">
        <v>13055</v>
      </c>
      <c r="K11141" s="2" t="s">
        <v>130</v>
      </c>
      <c r="L11141" s="2" t="s">
        <v>34</v>
      </c>
      <c r="M11141" s="2"/>
      <c r="N11141" s="2"/>
      <c r="O11141" s="2"/>
      <c r="P11141" s="2" t="s">
        <v>32308</v>
      </c>
      <c r="Q11141" s="6">
        <v>100</v>
      </c>
      <c r="R11141" s="6">
        <v>75</v>
      </c>
      <c r="S11141" s="5">
        <v>-112.7</v>
      </c>
      <c r="T11141" s="7">
        <v>-107.53400000000001</v>
      </c>
      <c r="U11141" s="5">
        <v>5.6</v>
      </c>
      <c r="V11141" s="9">
        <v>-4.7248999999999999</v>
      </c>
      <c r="W11141" s="6">
        <v>56.43</v>
      </c>
      <c r="X11141" s="6">
        <v>60.72</v>
      </c>
      <c r="Y11141" s="6">
        <v>74.11</v>
      </c>
      <c r="Z11141" s="6">
        <v>74.349999999999994</v>
      </c>
      <c r="AA11141" s="6">
        <v>25.94</v>
      </c>
      <c r="AB11141" s="2" t="s">
        <v>86</v>
      </c>
      <c r="AC11141" s="8">
        <v>5041.5</v>
      </c>
    </row>
    <row r="11142" spans="1:29" ht="52" x14ac:dyDescent="0.15">
      <c r="A11142" s="3">
        <f>DATE(2015,6,18)</f>
        <v>42173</v>
      </c>
      <c r="B11142" s="3">
        <f>DATE(2015,9,15)</f>
        <v>42262</v>
      </c>
      <c r="C11142" s="2" t="s">
        <v>95</v>
      </c>
      <c r="D11142" s="2" t="s">
        <v>32309</v>
      </c>
      <c r="E11142" s="2" t="s">
        <v>36</v>
      </c>
      <c r="F11142" s="4">
        <v>6021</v>
      </c>
      <c r="G11142" s="2" t="s">
        <v>37</v>
      </c>
      <c r="H11142" s="2" t="s">
        <v>34</v>
      </c>
      <c r="I11142" s="2" t="s">
        <v>29143</v>
      </c>
      <c r="J11142" s="2" t="s">
        <v>36</v>
      </c>
      <c r="K11142" s="2" t="s">
        <v>33</v>
      </c>
      <c r="L11142" s="2" t="s">
        <v>34</v>
      </c>
      <c r="M11142" s="6">
        <v>159.16</v>
      </c>
      <c r="N11142" s="6">
        <v>22.83</v>
      </c>
      <c r="O11142" s="5">
        <v>24.4</v>
      </c>
      <c r="P11142" s="2" t="s">
        <v>32310</v>
      </c>
      <c r="Q11142" s="6">
        <v>100</v>
      </c>
      <c r="R11142" s="6">
        <v>24.25</v>
      </c>
      <c r="S11142" s="5">
        <v>2.9</v>
      </c>
      <c r="T11142" s="7">
        <v>4.6070000000000002</v>
      </c>
      <c r="U11142" s="5">
        <v>20.3</v>
      </c>
      <c r="V11142" s="9">
        <v>1.0812999999999999</v>
      </c>
      <c r="W11142" s="5">
        <v>19.5</v>
      </c>
      <c r="X11142" s="6">
        <v>22.45</v>
      </c>
      <c r="Y11142" s="6">
        <v>22.44</v>
      </c>
      <c r="Z11142" s="5">
        <v>23.6</v>
      </c>
      <c r="AA11142" s="6">
        <v>2.9</v>
      </c>
      <c r="AB11142" s="7">
        <v>32.368000000000002</v>
      </c>
      <c r="AC11142" s="2"/>
    </row>
    <row r="11143" spans="1:29" ht="156" x14ac:dyDescent="0.15">
      <c r="A11143" s="3">
        <f>DATE(2015,6,18)</f>
        <v>42173</v>
      </c>
      <c r="B11143" s="3">
        <f>DATE(2016,6,1)</f>
        <v>42522</v>
      </c>
      <c r="C11143" s="2" t="s">
        <v>95</v>
      </c>
      <c r="D11143" s="2" t="s">
        <v>4056</v>
      </c>
      <c r="E11143" s="2" t="s">
        <v>4057</v>
      </c>
      <c r="F11143" s="4">
        <v>3679</v>
      </c>
      <c r="G11143" s="2" t="s">
        <v>137</v>
      </c>
      <c r="H11143" s="2" t="s">
        <v>34</v>
      </c>
      <c r="I11143" s="2" t="s">
        <v>31948</v>
      </c>
      <c r="J11143" s="2" t="s">
        <v>31949</v>
      </c>
      <c r="K11143" s="2" t="s">
        <v>163</v>
      </c>
      <c r="L11143" s="2" t="s">
        <v>34</v>
      </c>
      <c r="M11143" s="2"/>
      <c r="N11143" s="2"/>
      <c r="O11143" s="2"/>
      <c r="P11143" s="2" t="s">
        <v>32311</v>
      </c>
      <c r="Q11143" s="6">
        <v>100</v>
      </c>
      <c r="R11143" s="6">
        <v>40</v>
      </c>
      <c r="S11143" s="5">
        <v>9.6999999999999993</v>
      </c>
      <c r="T11143" s="7">
        <v>21.827999999999999</v>
      </c>
      <c r="U11143" s="5">
        <v>19.7</v>
      </c>
      <c r="V11143" s="9">
        <v>2.9832000000000001</v>
      </c>
      <c r="W11143" s="6">
        <v>38.08</v>
      </c>
      <c r="X11143" s="6">
        <v>37.51</v>
      </c>
      <c r="Y11143" s="6">
        <v>40.51</v>
      </c>
      <c r="Z11143" s="5">
        <v>41.5</v>
      </c>
      <c r="AA11143" s="6">
        <v>3.97</v>
      </c>
      <c r="AB11143" s="7">
        <v>13.295</v>
      </c>
      <c r="AC11143" s="2"/>
    </row>
    <row r="11144" spans="1:29" ht="247" x14ac:dyDescent="0.15">
      <c r="A11144" s="3">
        <f>DATE(2015,6,20)</f>
        <v>42175</v>
      </c>
      <c r="B11144" s="2"/>
      <c r="C11144" s="2" t="s">
        <v>30</v>
      </c>
      <c r="D11144" s="2" t="s">
        <v>9371</v>
      </c>
      <c r="E11144" s="2" t="s">
        <v>9372</v>
      </c>
      <c r="F11144" s="4">
        <v>6324</v>
      </c>
      <c r="G11144" s="2" t="s">
        <v>125</v>
      </c>
      <c r="H11144" s="2" t="s">
        <v>34</v>
      </c>
      <c r="I11144" s="2" t="s">
        <v>9822</v>
      </c>
      <c r="J11144" s="2" t="s">
        <v>32312</v>
      </c>
      <c r="K11144" s="2" t="s">
        <v>125</v>
      </c>
      <c r="L11144" s="2" t="s">
        <v>34</v>
      </c>
      <c r="M11144" s="10">
        <v>43434.21</v>
      </c>
      <c r="N11144" s="6">
        <v>171.04</v>
      </c>
      <c r="O11144" s="6">
        <v>171.04</v>
      </c>
      <c r="P11144" s="2" t="s">
        <v>32313</v>
      </c>
      <c r="Q11144" s="2"/>
      <c r="R11144" s="6">
        <v>188</v>
      </c>
      <c r="S11144" s="8">
        <v>2122</v>
      </c>
      <c r="T11144" s="8">
        <v>3976</v>
      </c>
      <c r="U11144" s="5">
        <v>43.8</v>
      </c>
      <c r="V11144" s="9">
        <v>8.0810999999999993</v>
      </c>
      <c r="W11144" s="6">
        <v>138.77000000000001</v>
      </c>
      <c r="X11144" s="6">
        <v>137.31</v>
      </c>
      <c r="Y11144" s="6">
        <v>153.43</v>
      </c>
      <c r="Z11144" s="6">
        <v>153.97</v>
      </c>
      <c r="AA11144" s="6">
        <v>257.37</v>
      </c>
      <c r="AB11144" s="7">
        <v>15.595000000000001</v>
      </c>
      <c r="AC11144" s="8">
        <v>1553</v>
      </c>
    </row>
    <row r="11145" spans="1:29" ht="117" x14ac:dyDescent="0.15">
      <c r="A11145" s="3">
        <f>DATE(2015,6,22)</f>
        <v>42177</v>
      </c>
      <c r="B11145" s="3">
        <f>DATE(2016,1,29)</f>
        <v>42398</v>
      </c>
      <c r="C11145" s="2" t="s">
        <v>95</v>
      </c>
      <c r="D11145" s="2" t="s">
        <v>32314</v>
      </c>
      <c r="E11145" s="2" t="s">
        <v>29798</v>
      </c>
      <c r="F11145" s="4">
        <v>6021</v>
      </c>
      <c r="G11145" s="2" t="s">
        <v>37</v>
      </c>
      <c r="H11145" s="2" t="s">
        <v>34</v>
      </c>
      <c r="I11145" s="2" t="s">
        <v>32315</v>
      </c>
      <c r="J11145" s="2" t="s">
        <v>29798</v>
      </c>
      <c r="K11145" s="2" t="s">
        <v>37</v>
      </c>
      <c r="L11145" s="2" t="s">
        <v>34</v>
      </c>
      <c r="M11145" s="7">
        <v>25.814</v>
      </c>
      <c r="N11145" s="5">
        <v>7.5</v>
      </c>
      <c r="O11145" s="5">
        <v>7.4</v>
      </c>
      <c r="P11145" s="2" t="s">
        <v>32316</v>
      </c>
      <c r="Q11145" s="6">
        <v>100</v>
      </c>
      <c r="R11145" s="6">
        <v>8.5500000000000007</v>
      </c>
      <c r="S11145" s="2"/>
      <c r="T11145" s="2"/>
      <c r="U11145" s="2"/>
      <c r="V11145" s="2"/>
      <c r="W11145" s="6">
        <v>7.99</v>
      </c>
      <c r="X11145" s="6">
        <v>7.86</v>
      </c>
      <c r="Y11145" s="6">
        <v>7.76</v>
      </c>
      <c r="Z11145" s="6">
        <v>7.78</v>
      </c>
      <c r="AA11145" s="6">
        <v>1.56</v>
      </c>
      <c r="AB11145" s="2" t="s">
        <v>47</v>
      </c>
      <c r="AC11145" s="2"/>
    </row>
    <row r="11146" spans="1:29" ht="130" x14ac:dyDescent="0.15">
      <c r="A11146" s="3">
        <f>DATE(2015,6,22)</f>
        <v>42177</v>
      </c>
      <c r="B11146" s="3">
        <f>DATE(2015,10,7)</f>
        <v>42284</v>
      </c>
      <c r="C11146" s="2" t="s">
        <v>95</v>
      </c>
      <c r="D11146" s="2" t="s">
        <v>32317</v>
      </c>
      <c r="E11146" s="2" t="s">
        <v>92</v>
      </c>
      <c r="F11146" s="4">
        <v>6798</v>
      </c>
      <c r="G11146" s="2" t="s">
        <v>53</v>
      </c>
      <c r="H11146" s="2" t="s">
        <v>34</v>
      </c>
      <c r="I11146" s="2" t="s">
        <v>24440</v>
      </c>
      <c r="J11146" s="2" t="s">
        <v>244</v>
      </c>
      <c r="K11146" s="2" t="s">
        <v>53</v>
      </c>
      <c r="L11146" s="2" t="s">
        <v>34</v>
      </c>
      <c r="M11146" s="2"/>
      <c r="N11146" s="2"/>
      <c r="O11146" s="2"/>
      <c r="P11146" s="2" t="s">
        <v>32318</v>
      </c>
      <c r="Q11146" s="6">
        <v>100</v>
      </c>
      <c r="R11146" s="6">
        <v>75.23</v>
      </c>
      <c r="S11146" s="5">
        <v>122</v>
      </c>
      <c r="T11146" s="7">
        <v>350.62700000000001</v>
      </c>
      <c r="U11146" s="5">
        <v>28.8</v>
      </c>
      <c r="V11146" s="9">
        <v>2.3264999999999998</v>
      </c>
      <c r="W11146" s="6">
        <v>67.53</v>
      </c>
      <c r="X11146" s="6">
        <v>68.91</v>
      </c>
      <c r="Y11146" s="6">
        <v>74.260000000000005</v>
      </c>
      <c r="Z11146" s="6">
        <v>75.36</v>
      </c>
      <c r="AA11146" s="6">
        <v>57.99</v>
      </c>
      <c r="AB11146" s="7">
        <v>42.07</v>
      </c>
      <c r="AC11146" s="2"/>
    </row>
    <row r="11147" spans="1:29" ht="130" x14ac:dyDescent="0.15">
      <c r="A11147" s="3">
        <f>DATE(2015,6,22)</f>
        <v>42177</v>
      </c>
      <c r="B11147" s="3">
        <f>DATE(2015,12,4)</f>
        <v>42342</v>
      </c>
      <c r="C11147" s="2" t="s">
        <v>95</v>
      </c>
      <c r="D11147" s="2" t="s">
        <v>32319</v>
      </c>
      <c r="E11147" s="2" t="s">
        <v>19229</v>
      </c>
      <c r="F11147" s="4">
        <v>2721</v>
      </c>
      <c r="G11147" s="2" t="s">
        <v>186</v>
      </c>
      <c r="H11147" s="2" t="s">
        <v>34</v>
      </c>
      <c r="I11147" s="2" t="s">
        <v>30399</v>
      </c>
      <c r="J11147" s="2" t="s">
        <v>30400</v>
      </c>
      <c r="K11147" s="2" t="s">
        <v>708</v>
      </c>
      <c r="L11147" s="2" t="s">
        <v>34</v>
      </c>
      <c r="M11147" s="7">
        <v>542.72799999999995</v>
      </c>
      <c r="N11147" s="6">
        <v>16.82</v>
      </c>
      <c r="O11147" s="6">
        <v>16.53</v>
      </c>
      <c r="P11147" s="2" t="s">
        <v>32320</v>
      </c>
      <c r="Q11147" s="6">
        <v>100</v>
      </c>
      <c r="R11147" s="6">
        <v>6.15</v>
      </c>
      <c r="S11147" s="5">
        <v>-5</v>
      </c>
      <c r="T11147" s="7">
        <v>20.111000000000001</v>
      </c>
      <c r="U11147" s="5">
        <v>1.2</v>
      </c>
      <c r="V11147" s="9">
        <v>-8.8599999999999998E-2</v>
      </c>
      <c r="W11147" s="6">
        <v>5.0199999999999996</v>
      </c>
      <c r="X11147" s="5">
        <v>5.0999999999999996</v>
      </c>
      <c r="Y11147" s="6">
        <v>6.44</v>
      </c>
      <c r="Z11147" s="6">
        <v>6.98</v>
      </c>
      <c r="AA11147" s="6">
        <v>57.39</v>
      </c>
      <c r="AB11147" s="7">
        <v>43.912999999999997</v>
      </c>
      <c r="AC11147" s="6">
        <v>23.03</v>
      </c>
    </row>
    <row r="11148" spans="1:29" ht="143" x14ac:dyDescent="0.15">
      <c r="A11148" s="3">
        <f>DATE(2015,6,22)</f>
        <v>42177</v>
      </c>
      <c r="B11148" s="3">
        <f>DATE(2015,7,28)</f>
        <v>42213</v>
      </c>
      <c r="C11148" s="2" t="s">
        <v>95</v>
      </c>
      <c r="D11148" s="2" t="s">
        <v>32321</v>
      </c>
      <c r="E11148" s="2" t="s">
        <v>32322</v>
      </c>
      <c r="F11148" s="4">
        <v>3829</v>
      </c>
      <c r="G11148" s="2" t="s">
        <v>226</v>
      </c>
      <c r="H11148" s="2" t="s">
        <v>34</v>
      </c>
      <c r="I11148" s="2" t="s">
        <v>4035</v>
      </c>
      <c r="J11148" s="2" t="s">
        <v>4036</v>
      </c>
      <c r="K11148" s="2" t="s">
        <v>300</v>
      </c>
      <c r="L11148" s="2" t="s">
        <v>34</v>
      </c>
      <c r="M11148" s="2"/>
      <c r="N11148" s="2"/>
      <c r="O11148" s="2"/>
      <c r="P11148" s="2" t="s">
        <v>32323</v>
      </c>
      <c r="Q11148" s="6">
        <v>100</v>
      </c>
      <c r="R11148" s="6">
        <v>8.5</v>
      </c>
      <c r="S11148" s="5">
        <v>0.3</v>
      </c>
      <c r="T11148" s="7">
        <v>0.77200000000000002</v>
      </c>
      <c r="U11148" s="5">
        <v>4.5</v>
      </c>
      <c r="V11148" s="9">
        <v>6.5100000000000005E-2</v>
      </c>
      <c r="W11148" s="6">
        <v>5.07</v>
      </c>
      <c r="X11148" s="5">
        <v>5.2</v>
      </c>
      <c r="Y11148" s="6">
        <v>8.3800000000000008</v>
      </c>
      <c r="Z11148" s="5">
        <v>8.4</v>
      </c>
      <c r="AA11148" s="6">
        <v>5.08</v>
      </c>
      <c r="AB11148" s="7">
        <v>347.57900000000001</v>
      </c>
      <c r="AC11148" s="2"/>
    </row>
    <row r="11149" spans="1:29" ht="260" x14ac:dyDescent="0.15">
      <c r="A11149" s="3">
        <f>DATE(2015,6,22)</f>
        <v>42177</v>
      </c>
      <c r="B11149" s="2"/>
      <c r="C11149" s="2" t="s">
        <v>30</v>
      </c>
      <c r="D11149" s="2" t="s">
        <v>1436</v>
      </c>
      <c r="E11149" s="2" t="s">
        <v>1437</v>
      </c>
      <c r="F11149" s="4">
        <v>4922</v>
      </c>
      <c r="G11149" s="2" t="s">
        <v>439</v>
      </c>
      <c r="H11149" s="2" t="s">
        <v>34</v>
      </c>
      <c r="I11149" s="2" t="s">
        <v>29337</v>
      </c>
      <c r="J11149" s="2" t="s">
        <v>29338</v>
      </c>
      <c r="K11149" s="2" t="s">
        <v>439</v>
      </c>
      <c r="L11149" s="2" t="s">
        <v>34</v>
      </c>
      <c r="M11149" s="12">
        <v>73584.887000000002</v>
      </c>
      <c r="N11149" s="6">
        <v>65.06</v>
      </c>
      <c r="O11149" s="6">
        <v>64.069999999999993</v>
      </c>
      <c r="P11149" s="2" t="s">
        <v>32324</v>
      </c>
      <c r="Q11149" s="2"/>
      <c r="R11149" s="6">
        <v>43.5</v>
      </c>
      <c r="S11149" s="8">
        <v>2055</v>
      </c>
      <c r="T11149" s="8">
        <v>2818</v>
      </c>
      <c r="U11149" s="5">
        <v>10.6</v>
      </c>
      <c r="V11149" s="9">
        <v>2.8117999999999999</v>
      </c>
      <c r="W11149" s="6">
        <v>49.44</v>
      </c>
      <c r="X11149" s="5">
        <v>50.1</v>
      </c>
      <c r="Y11149" s="6">
        <v>53.21</v>
      </c>
      <c r="Z11149" s="6">
        <v>53.23</v>
      </c>
      <c r="AA11149" s="6">
        <v>749.71</v>
      </c>
      <c r="AB11149" s="7">
        <v>45.994999999999997</v>
      </c>
      <c r="AC11149" s="8">
        <v>1629</v>
      </c>
    </row>
    <row r="11150" spans="1:29" ht="52" x14ac:dyDescent="0.15">
      <c r="A11150" s="3">
        <f>DATE(2015,6,23)</f>
        <v>42178</v>
      </c>
      <c r="B11150" s="3">
        <f>DATE(2015,6,23)</f>
        <v>42178</v>
      </c>
      <c r="C11150" s="2" t="s">
        <v>95</v>
      </c>
      <c r="D11150" s="2" t="s">
        <v>32325</v>
      </c>
      <c r="E11150" s="2" t="s">
        <v>32326</v>
      </c>
      <c r="F11150" s="4">
        <v>3612</v>
      </c>
      <c r="G11150" s="2" t="s">
        <v>137</v>
      </c>
      <c r="H11150" s="2" t="s">
        <v>34</v>
      </c>
      <c r="I11150" s="2" t="s">
        <v>32327</v>
      </c>
      <c r="J11150" s="2" t="s">
        <v>302</v>
      </c>
      <c r="K11150" s="2" t="s">
        <v>53</v>
      </c>
      <c r="L11150" s="2" t="s">
        <v>34</v>
      </c>
      <c r="M11150" s="2"/>
      <c r="N11150" s="2"/>
      <c r="O11150" s="2"/>
      <c r="P11150" s="2" t="s">
        <v>32328</v>
      </c>
      <c r="Q11150" s="6">
        <v>100</v>
      </c>
      <c r="R11150" s="2"/>
      <c r="S11150" s="5">
        <v>0</v>
      </c>
      <c r="T11150" s="2"/>
      <c r="U11150" s="5">
        <v>0</v>
      </c>
      <c r="V11150" s="9">
        <v>-5.0000000000000001E-4</v>
      </c>
      <c r="W11150" s="4">
        <v>2</v>
      </c>
      <c r="X11150" s="4">
        <v>2</v>
      </c>
      <c r="Y11150" s="4">
        <v>2</v>
      </c>
      <c r="Z11150" s="4">
        <v>2</v>
      </c>
      <c r="AA11150" s="6">
        <v>10.78</v>
      </c>
      <c r="AB11150" s="2" t="s">
        <v>47</v>
      </c>
      <c r="AC11150" s="2"/>
    </row>
    <row r="11151" spans="1:29" ht="117" x14ac:dyDescent="0.15">
      <c r="A11151" s="3">
        <f>DATE(2015,6,24)</f>
        <v>42179</v>
      </c>
      <c r="B11151" s="3">
        <f>DATE(2015,10,1)</f>
        <v>42278</v>
      </c>
      <c r="C11151" s="2" t="s">
        <v>95</v>
      </c>
      <c r="D11151" s="2" t="s">
        <v>32329</v>
      </c>
      <c r="E11151" s="2" t="s">
        <v>36</v>
      </c>
      <c r="F11151" s="4">
        <v>6011</v>
      </c>
      <c r="G11151" s="2" t="s">
        <v>3583</v>
      </c>
      <c r="H11151" s="2" t="s">
        <v>34</v>
      </c>
      <c r="I11151" s="2" t="s">
        <v>31992</v>
      </c>
      <c r="J11151" s="2" t="s">
        <v>263</v>
      </c>
      <c r="K11151" s="2" t="s">
        <v>37</v>
      </c>
      <c r="L11151" s="2" t="s">
        <v>34</v>
      </c>
      <c r="M11151" s="7">
        <v>147.637</v>
      </c>
      <c r="N11151" s="5">
        <v>8.1999999999999993</v>
      </c>
      <c r="O11151" s="6">
        <v>8.31</v>
      </c>
      <c r="P11151" s="2" t="s">
        <v>32330</v>
      </c>
      <c r="Q11151" s="6">
        <v>100</v>
      </c>
      <c r="R11151" s="6">
        <v>14.33</v>
      </c>
      <c r="S11151" s="5">
        <v>1.1000000000000001</v>
      </c>
      <c r="T11151" s="6">
        <v>1.83</v>
      </c>
      <c r="U11151" s="5">
        <v>9.6</v>
      </c>
      <c r="V11151" s="9">
        <v>0.87909999999999999</v>
      </c>
      <c r="W11151" s="6">
        <v>9.35</v>
      </c>
      <c r="X11151" s="5">
        <v>10.5</v>
      </c>
      <c r="Y11151" s="6">
        <v>13.95</v>
      </c>
      <c r="Z11151" s="6">
        <v>13.95</v>
      </c>
      <c r="AA11151" s="6">
        <v>1.07</v>
      </c>
      <c r="AB11151" s="7">
        <v>23.518000000000001</v>
      </c>
      <c r="AC11151" s="2"/>
    </row>
    <row r="11152" spans="1:29" ht="78" x14ac:dyDescent="0.15">
      <c r="A11152" s="3">
        <f>DATE(2015,6,25)</f>
        <v>42180</v>
      </c>
      <c r="B11152" s="2"/>
      <c r="C11152" s="2" t="s">
        <v>87</v>
      </c>
      <c r="D11152" s="2" t="s">
        <v>32331</v>
      </c>
      <c r="E11152" s="2" t="s">
        <v>13055</v>
      </c>
      <c r="F11152" s="4">
        <v>2834</v>
      </c>
      <c r="G11152" s="2" t="s">
        <v>130</v>
      </c>
      <c r="H11152" s="2" t="s">
        <v>34</v>
      </c>
      <c r="I11152" s="2" t="s">
        <v>28374</v>
      </c>
      <c r="J11152" s="2" t="s">
        <v>29140</v>
      </c>
      <c r="K11152" s="2" t="s">
        <v>130</v>
      </c>
      <c r="L11152" s="2" t="s">
        <v>34</v>
      </c>
      <c r="M11152" s="12">
        <v>82787.476999999999</v>
      </c>
      <c r="N11152" s="6">
        <v>233.21</v>
      </c>
      <c r="O11152" s="6">
        <v>228.83</v>
      </c>
      <c r="P11152" s="2" t="s">
        <v>32332</v>
      </c>
      <c r="Q11152" s="2"/>
      <c r="R11152" s="2"/>
      <c r="S11152" s="2"/>
      <c r="T11152" s="2"/>
      <c r="U11152" s="2"/>
      <c r="V11152" s="2"/>
      <c r="W11152" s="5">
        <v>50.5</v>
      </c>
      <c r="X11152" s="6">
        <v>49.71</v>
      </c>
      <c r="Y11152" s="6">
        <v>55.38</v>
      </c>
      <c r="Z11152" s="6">
        <v>48.62</v>
      </c>
      <c r="AA11152" s="6">
        <v>499.96</v>
      </c>
      <c r="AB11152" s="2" t="s">
        <v>47</v>
      </c>
      <c r="AC11152" s="10">
        <v>15506.29</v>
      </c>
    </row>
    <row r="11153" spans="1:29" ht="130" x14ac:dyDescent="0.15">
      <c r="A11153" s="3">
        <f>DATE(2015,6,26)</f>
        <v>42181</v>
      </c>
      <c r="B11153" s="3">
        <f>DATE(2015,11,30)</f>
        <v>42338</v>
      </c>
      <c r="C11153" s="2" t="s">
        <v>95</v>
      </c>
      <c r="D11153" s="2" t="s">
        <v>32333</v>
      </c>
      <c r="E11153" s="2" t="s">
        <v>29798</v>
      </c>
      <c r="F11153" s="4">
        <v>6021</v>
      </c>
      <c r="G11153" s="2" t="s">
        <v>37</v>
      </c>
      <c r="H11153" s="2" t="s">
        <v>34</v>
      </c>
      <c r="I11153" s="2" t="s">
        <v>32334</v>
      </c>
      <c r="J11153" s="2" t="s">
        <v>36</v>
      </c>
      <c r="K11153" s="2" t="s">
        <v>37</v>
      </c>
      <c r="L11153" s="2" t="s">
        <v>34</v>
      </c>
      <c r="M11153" s="7">
        <v>73.698999999999998</v>
      </c>
      <c r="N11153" s="5">
        <v>18.399999999999999</v>
      </c>
      <c r="O11153" s="5">
        <v>18.600000000000001</v>
      </c>
      <c r="P11153" s="2" t="s">
        <v>32335</v>
      </c>
      <c r="Q11153" s="6">
        <v>100</v>
      </c>
      <c r="R11153" s="6">
        <v>50.9</v>
      </c>
      <c r="S11153" s="2"/>
      <c r="T11153" s="2"/>
      <c r="U11153" s="2"/>
      <c r="V11153" s="2"/>
      <c r="W11153" s="5">
        <v>35.5</v>
      </c>
      <c r="X11153" s="4">
        <v>35</v>
      </c>
      <c r="Y11153" s="4">
        <v>35</v>
      </c>
      <c r="Z11153" s="4">
        <v>35</v>
      </c>
      <c r="AA11153" s="6">
        <v>0.26</v>
      </c>
      <c r="AB11153" s="2" t="s">
        <v>47</v>
      </c>
      <c r="AC11153" s="2"/>
    </row>
    <row r="11154" spans="1:29" ht="117" x14ac:dyDescent="0.15">
      <c r="A11154" s="3">
        <f>DATE(2015,6,29)</f>
        <v>42184</v>
      </c>
      <c r="B11154" s="3">
        <f>DATE(2016,1,4)</f>
        <v>42373</v>
      </c>
      <c r="C11154" s="2" t="s">
        <v>95</v>
      </c>
      <c r="D11154" s="2" t="s">
        <v>32336</v>
      </c>
      <c r="E11154" s="2" t="s">
        <v>36</v>
      </c>
      <c r="F11154" s="4">
        <v>6021</v>
      </c>
      <c r="G11154" s="2" t="s">
        <v>37</v>
      </c>
      <c r="H11154" s="2" t="s">
        <v>34</v>
      </c>
      <c r="I11154" s="2" t="s">
        <v>19421</v>
      </c>
      <c r="J11154" s="2" t="s">
        <v>36</v>
      </c>
      <c r="K11154" s="2" t="s">
        <v>37</v>
      </c>
      <c r="L11154" s="2" t="s">
        <v>34</v>
      </c>
      <c r="M11154" s="7">
        <v>875.81600000000003</v>
      </c>
      <c r="N11154" s="6">
        <v>24.68</v>
      </c>
      <c r="O11154" s="5">
        <v>24.7</v>
      </c>
      <c r="P11154" s="2" t="s">
        <v>32337</v>
      </c>
      <c r="Q11154" s="6">
        <v>100</v>
      </c>
      <c r="R11154" s="6">
        <v>22.71</v>
      </c>
      <c r="S11154" s="5">
        <v>2.1</v>
      </c>
      <c r="T11154" s="7">
        <v>4.774</v>
      </c>
      <c r="U11154" s="5">
        <v>13.7</v>
      </c>
      <c r="V11154" s="9">
        <v>0.70989999999999998</v>
      </c>
      <c r="W11154" s="6">
        <v>16.45</v>
      </c>
      <c r="X11154" s="7">
        <v>15.685</v>
      </c>
      <c r="Y11154" s="6">
        <v>21.17</v>
      </c>
      <c r="Z11154" s="6">
        <v>21.29</v>
      </c>
      <c r="AA11154" s="6">
        <v>3.03</v>
      </c>
      <c r="AB11154" s="7">
        <v>32.47</v>
      </c>
      <c r="AC11154" s="2"/>
    </row>
    <row r="11155" spans="1:29" ht="91" x14ac:dyDescent="0.15">
      <c r="A11155" s="3">
        <f>DATE(2015,6,30)</f>
        <v>42185</v>
      </c>
      <c r="B11155" s="3">
        <f>DATE(2015,7,30)</f>
        <v>42215</v>
      </c>
      <c r="C11155" s="2" t="s">
        <v>95</v>
      </c>
      <c r="D11155" s="2" t="s">
        <v>32338</v>
      </c>
      <c r="E11155" s="2" t="s">
        <v>32339</v>
      </c>
      <c r="F11155" s="4">
        <v>2869</v>
      </c>
      <c r="G11155" s="2" t="s">
        <v>98</v>
      </c>
      <c r="H11155" s="2" t="s">
        <v>34</v>
      </c>
      <c r="I11155" s="2" t="s">
        <v>1526</v>
      </c>
      <c r="J11155" s="2" t="s">
        <v>302</v>
      </c>
      <c r="K11155" s="2" t="s">
        <v>53</v>
      </c>
      <c r="L11155" s="2" t="s">
        <v>34</v>
      </c>
      <c r="M11155" s="2"/>
      <c r="N11155" s="2"/>
      <c r="O11155" s="2"/>
      <c r="P11155" s="2" t="s">
        <v>32340</v>
      </c>
      <c r="Q11155" s="2"/>
      <c r="R11155" s="2"/>
      <c r="S11155" s="5">
        <v>-78</v>
      </c>
      <c r="T11155" s="7">
        <v>-83.644999999999996</v>
      </c>
      <c r="U11155" s="5">
        <v>-42.5</v>
      </c>
      <c r="V11155" s="9">
        <v>-18.0746</v>
      </c>
      <c r="W11155" s="6">
        <v>1.89</v>
      </c>
      <c r="X11155" s="6">
        <v>1.67</v>
      </c>
      <c r="Y11155" s="6">
        <v>1.95</v>
      </c>
      <c r="Z11155" s="6">
        <v>1.79</v>
      </c>
      <c r="AA11155" s="6">
        <v>79.92</v>
      </c>
      <c r="AB11155" s="2" t="s">
        <v>86</v>
      </c>
      <c r="AC11155" s="2"/>
    </row>
    <row r="11156" spans="1:29" ht="195" x14ac:dyDescent="0.15">
      <c r="A11156" s="3">
        <f>DATE(2015,6,30)</f>
        <v>42185</v>
      </c>
      <c r="B11156" s="3">
        <f>DATE(2016,1,4)</f>
        <v>42373</v>
      </c>
      <c r="C11156" s="2" t="s">
        <v>95</v>
      </c>
      <c r="D11156" s="2" t="s">
        <v>32341</v>
      </c>
      <c r="E11156" s="2" t="s">
        <v>16193</v>
      </c>
      <c r="F11156" s="4">
        <v>8742</v>
      </c>
      <c r="G11156" s="2" t="s">
        <v>223</v>
      </c>
      <c r="H11156" s="2" t="s">
        <v>34</v>
      </c>
      <c r="I11156" s="2" t="s">
        <v>32342</v>
      </c>
      <c r="J11156" s="2" t="s">
        <v>8998</v>
      </c>
      <c r="K11156" s="2" t="s">
        <v>125</v>
      </c>
      <c r="L11156" s="2" t="s">
        <v>303</v>
      </c>
      <c r="M11156" s="12">
        <v>17276.373</v>
      </c>
      <c r="N11156" s="5">
        <v>46.9</v>
      </c>
      <c r="O11156" s="6">
        <v>46.86</v>
      </c>
      <c r="P11156" s="2" t="s">
        <v>32343</v>
      </c>
      <c r="Q11156" s="6">
        <v>100</v>
      </c>
      <c r="R11156" s="6">
        <v>120.27</v>
      </c>
      <c r="S11156" s="5">
        <v>385</v>
      </c>
      <c r="T11156" s="7">
        <v>765.64499999999998</v>
      </c>
      <c r="U11156" s="5">
        <v>42.3</v>
      </c>
      <c r="V11156" s="6">
        <v>5.5</v>
      </c>
      <c r="W11156" s="6">
        <v>140.63999999999999</v>
      </c>
      <c r="X11156" s="6">
        <v>137.97999999999999</v>
      </c>
      <c r="Y11156" s="5">
        <v>125.8</v>
      </c>
      <c r="Z11156" s="6">
        <v>126.99</v>
      </c>
      <c r="AA11156" s="6">
        <v>69.209999999999994</v>
      </c>
      <c r="AB11156" s="7">
        <v>13.009</v>
      </c>
      <c r="AC11156" s="5">
        <v>512</v>
      </c>
    </row>
    <row r="11157" spans="1:29" ht="182" x14ac:dyDescent="0.15">
      <c r="A11157" s="3">
        <f>DATE(2015,7,1)</f>
        <v>42186</v>
      </c>
      <c r="B11157" s="3">
        <f>DATE(2016,1,14)</f>
        <v>42383</v>
      </c>
      <c r="C11157" s="2" t="s">
        <v>95</v>
      </c>
      <c r="D11157" s="2" t="s">
        <v>13751</v>
      </c>
      <c r="E11157" s="2" t="s">
        <v>13752</v>
      </c>
      <c r="F11157" s="4">
        <v>6331</v>
      </c>
      <c r="G11157" s="2" t="s">
        <v>125</v>
      </c>
      <c r="H11157" s="2" t="s">
        <v>34</v>
      </c>
      <c r="I11157" s="2" t="s">
        <v>14486</v>
      </c>
      <c r="J11157" s="2" t="s">
        <v>124</v>
      </c>
      <c r="K11157" s="2" t="s">
        <v>125</v>
      </c>
      <c r="L11157" s="2" t="s">
        <v>215</v>
      </c>
      <c r="M11157" s="12">
        <v>34906.197</v>
      </c>
      <c r="N11157" s="6">
        <v>102.49</v>
      </c>
      <c r="O11157" s="6">
        <v>103.74</v>
      </c>
      <c r="P11157" s="2" t="s">
        <v>32344</v>
      </c>
      <c r="Q11157" s="6">
        <v>100</v>
      </c>
      <c r="R11157" s="6">
        <v>124.13</v>
      </c>
      <c r="S11157" s="8">
        <v>2021</v>
      </c>
      <c r="T11157" s="8">
        <v>2817</v>
      </c>
      <c r="U11157" s="5">
        <v>63.6</v>
      </c>
      <c r="V11157" s="9">
        <v>8.5330999999999992</v>
      </c>
      <c r="W11157" s="6">
        <v>96.71</v>
      </c>
      <c r="X11157" s="6">
        <v>95.14</v>
      </c>
      <c r="Y11157" s="6">
        <v>119.99</v>
      </c>
      <c r="Z11157" s="6">
        <v>121.47</v>
      </c>
      <c r="AA11157" s="6">
        <v>229.75</v>
      </c>
      <c r="AB11157" s="7">
        <v>11.37</v>
      </c>
      <c r="AC11157" s="5">
        <v>790</v>
      </c>
    </row>
    <row r="11158" spans="1:29" ht="182" x14ac:dyDescent="0.15">
      <c r="A11158" s="3">
        <f>DATE(2015,7,1)</f>
        <v>42186</v>
      </c>
      <c r="B11158" s="3">
        <f>DATE(2015,12,17)</f>
        <v>42355</v>
      </c>
      <c r="C11158" s="2" t="s">
        <v>95</v>
      </c>
      <c r="D11158" s="2" t="s">
        <v>32345</v>
      </c>
      <c r="E11158" s="2" t="s">
        <v>92</v>
      </c>
      <c r="F11158" s="4">
        <v>6798</v>
      </c>
      <c r="G11158" s="2" t="s">
        <v>53</v>
      </c>
      <c r="H11158" s="2" t="s">
        <v>34</v>
      </c>
      <c r="I11158" s="2" t="s">
        <v>32346</v>
      </c>
      <c r="J11158" s="2" t="s">
        <v>92</v>
      </c>
      <c r="K11158" s="2" t="s">
        <v>53</v>
      </c>
      <c r="L11158" s="2" t="s">
        <v>34</v>
      </c>
      <c r="M11158" s="12">
        <v>1819.0920000000001</v>
      </c>
      <c r="N11158" s="6">
        <v>7.28</v>
      </c>
      <c r="O11158" s="6">
        <v>7.18</v>
      </c>
      <c r="P11158" s="2" t="s">
        <v>32347</v>
      </c>
      <c r="Q11158" s="6">
        <v>100</v>
      </c>
      <c r="R11158" s="6">
        <v>25.36</v>
      </c>
      <c r="S11158" s="5">
        <v>-8.1999999999999993</v>
      </c>
      <c r="T11158" s="7">
        <v>77.034999999999997</v>
      </c>
      <c r="U11158" s="5">
        <v>18.899999999999999</v>
      </c>
      <c r="V11158" s="9">
        <v>-1.2204999999999999</v>
      </c>
      <c r="W11158" s="6">
        <v>24.62</v>
      </c>
      <c r="X11158" s="6">
        <v>23.37</v>
      </c>
      <c r="Y11158" s="6">
        <v>22.46</v>
      </c>
      <c r="Z11158" s="6">
        <v>22.55</v>
      </c>
      <c r="AA11158" s="6">
        <v>57.37</v>
      </c>
      <c r="AB11158" s="7">
        <v>333.94200000000001</v>
      </c>
      <c r="AC11158" s="6">
        <v>112.09</v>
      </c>
    </row>
    <row r="11159" spans="1:29" ht="65" x14ac:dyDescent="0.15">
      <c r="A11159" s="3">
        <f>DATE(2015,7,1)</f>
        <v>42186</v>
      </c>
      <c r="B11159" s="3">
        <f>DATE(2015,11,12)</f>
        <v>42320</v>
      </c>
      <c r="C11159" s="2" t="s">
        <v>95</v>
      </c>
      <c r="D11159" s="2" t="s">
        <v>32348</v>
      </c>
      <c r="E11159" s="2" t="s">
        <v>32349</v>
      </c>
      <c r="F11159" s="4">
        <v>6099</v>
      </c>
      <c r="G11159" s="2" t="s">
        <v>3583</v>
      </c>
      <c r="H11159" s="2" t="s">
        <v>34</v>
      </c>
      <c r="I11159" s="2" t="s">
        <v>20131</v>
      </c>
      <c r="J11159" s="2" t="s">
        <v>6365</v>
      </c>
      <c r="K11159" s="2" t="s">
        <v>73</v>
      </c>
      <c r="L11159" s="2" t="s">
        <v>34</v>
      </c>
      <c r="M11159" s="2"/>
      <c r="N11159" s="2"/>
      <c r="O11159" s="2"/>
      <c r="P11159" s="2" t="s">
        <v>32350</v>
      </c>
      <c r="Q11159" s="6">
        <v>100</v>
      </c>
      <c r="R11159" s="6">
        <v>25</v>
      </c>
      <c r="S11159" s="5">
        <v>-31.7</v>
      </c>
      <c r="T11159" s="7">
        <v>4.952</v>
      </c>
      <c r="U11159" s="5">
        <v>6.6</v>
      </c>
      <c r="V11159" s="9">
        <v>-0.82320000000000004</v>
      </c>
      <c r="W11159" s="6">
        <v>22.33</v>
      </c>
      <c r="X11159" s="7">
        <v>21.055</v>
      </c>
      <c r="Y11159" s="5">
        <v>20.7</v>
      </c>
      <c r="Z11159" s="6">
        <v>25.05</v>
      </c>
      <c r="AA11159" s="6">
        <v>39.020000000000003</v>
      </c>
      <c r="AB11159" s="2" t="s">
        <v>86</v>
      </c>
      <c r="AC11159" s="2"/>
    </row>
    <row r="11160" spans="1:29" ht="169" x14ac:dyDescent="0.15">
      <c r="A11160" s="3">
        <f>DATE(2015,7,2)</f>
        <v>42187</v>
      </c>
      <c r="B11160" s="3">
        <f>DATE(2016,3,24)</f>
        <v>42453</v>
      </c>
      <c r="C11160" s="2" t="s">
        <v>95</v>
      </c>
      <c r="D11160" s="2" t="s">
        <v>32351</v>
      </c>
      <c r="E11160" s="2" t="s">
        <v>32352</v>
      </c>
      <c r="F11160" s="4">
        <v>6324</v>
      </c>
      <c r="G11160" s="2" t="s">
        <v>125</v>
      </c>
      <c r="H11160" s="2" t="s">
        <v>34</v>
      </c>
      <c r="I11160" s="2" t="s">
        <v>32353</v>
      </c>
      <c r="J11160" s="2" t="s">
        <v>32354</v>
      </c>
      <c r="K11160" s="2" t="s">
        <v>125</v>
      </c>
      <c r="L11160" s="2" t="s">
        <v>34</v>
      </c>
      <c r="M11160" s="12">
        <v>8659.3649999999998</v>
      </c>
      <c r="N11160" s="6">
        <v>74.44</v>
      </c>
      <c r="O11160" s="6">
        <v>74.44</v>
      </c>
      <c r="P11160" s="2" t="s">
        <v>32355</v>
      </c>
      <c r="Q11160" s="6">
        <v>100</v>
      </c>
      <c r="R11160" s="6">
        <v>78.569999999999993</v>
      </c>
      <c r="S11160" s="5">
        <v>84.3</v>
      </c>
      <c r="T11160" s="7">
        <v>380.44200000000001</v>
      </c>
      <c r="U11160" s="5">
        <v>22.2</v>
      </c>
      <c r="V11160" s="9">
        <v>1.0858000000000001</v>
      </c>
      <c r="W11160" s="6">
        <v>65.040000000000006</v>
      </c>
      <c r="X11160" s="6">
        <v>65.06</v>
      </c>
      <c r="Y11160" s="6">
        <v>71.569999999999993</v>
      </c>
      <c r="Z11160" s="6">
        <v>71.569999999999993</v>
      </c>
      <c r="AA11160" s="6">
        <v>77.14</v>
      </c>
      <c r="AB11160" s="7">
        <v>10.077999999999999</v>
      </c>
      <c r="AC11160" s="8">
        <v>2068</v>
      </c>
    </row>
    <row r="11161" spans="1:29" ht="247" x14ac:dyDescent="0.15">
      <c r="A11161" s="3">
        <f>DATE(2015,7,3)</f>
        <v>42188</v>
      </c>
      <c r="B11161" s="2"/>
      <c r="C11161" s="2" t="s">
        <v>30</v>
      </c>
      <c r="D11161" s="2" t="s">
        <v>6602</v>
      </c>
      <c r="E11161" s="2" t="s">
        <v>5765</v>
      </c>
      <c r="F11161" s="4">
        <v>6324</v>
      </c>
      <c r="G11161" s="2" t="s">
        <v>125</v>
      </c>
      <c r="H11161" s="2" t="s">
        <v>34</v>
      </c>
      <c r="I11161" s="2" t="s">
        <v>27410</v>
      </c>
      <c r="J11161" s="2" t="s">
        <v>21350</v>
      </c>
      <c r="K11161" s="2" t="s">
        <v>125</v>
      </c>
      <c r="L11161" s="2" t="s">
        <v>34</v>
      </c>
      <c r="M11161" s="12">
        <v>40807.512000000002</v>
      </c>
      <c r="N11161" s="6">
        <v>125.51</v>
      </c>
      <c r="O11161" s="6">
        <v>117.43</v>
      </c>
      <c r="P11161" s="2" t="s">
        <v>32356</v>
      </c>
      <c r="Q11161" s="2"/>
      <c r="R11161" s="6">
        <v>230.12</v>
      </c>
      <c r="S11161" s="8">
        <v>1296</v>
      </c>
      <c r="T11161" s="8">
        <v>2839</v>
      </c>
      <c r="U11161" s="5">
        <v>68.099999999999994</v>
      </c>
      <c r="V11161" s="9">
        <v>8.4923999999999999</v>
      </c>
      <c r="W11161" s="4">
        <v>179</v>
      </c>
      <c r="X11161" s="6">
        <v>178.41</v>
      </c>
      <c r="Y11161" s="6">
        <v>214.65</v>
      </c>
      <c r="Z11161" s="6">
        <v>214.92</v>
      </c>
      <c r="AA11161" s="6">
        <v>149.78</v>
      </c>
      <c r="AB11161" s="7">
        <v>15.663</v>
      </c>
      <c r="AC11161" s="8">
        <v>1125.8</v>
      </c>
    </row>
    <row r="11162" spans="1:29" ht="182" x14ac:dyDescent="0.15">
      <c r="A11162" s="3">
        <f>DATE(2015,7,7)</f>
        <v>42192</v>
      </c>
      <c r="B11162" s="2"/>
      <c r="C11162" s="2" t="s">
        <v>30</v>
      </c>
      <c r="D11162" s="2" t="s">
        <v>32357</v>
      </c>
      <c r="E11162" s="2" t="s">
        <v>4011</v>
      </c>
      <c r="F11162" s="4">
        <v>2834</v>
      </c>
      <c r="G11162" s="2" t="s">
        <v>130</v>
      </c>
      <c r="H11162" s="2" t="s">
        <v>34</v>
      </c>
      <c r="I11162" s="2" t="s">
        <v>32137</v>
      </c>
      <c r="J11162" s="2" t="s">
        <v>13055</v>
      </c>
      <c r="K11162" s="2" t="s">
        <v>130</v>
      </c>
      <c r="L11162" s="2" t="s">
        <v>7645</v>
      </c>
      <c r="M11162" s="12">
        <v>4860.5379999999996</v>
      </c>
      <c r="N11162" s="6">
        <v>33.86</v>
      </c>
      <c r="O11162" s="6">
        <v>33.99</v>
      </c>
      <c r="P11162" s="2" t="s">
        <v>32358</v>
      </c>
      <c r="Q11162" s="2"/>
      <c r="R11162" s="6">
        <v>33</v>
      </c>
      <c r="S11162" s="5">
        <v>67.8</v>
      </c>
      <c r="T11162" s="7">
        <v>183.709</v>
      </c>
      <c r="U11162" s="5">
        <v>5.7</v>
      </c>
      <c r="V11162" s="9">
        <v>0.98529999999999995</v>
      </c>
      <c r="W11162" s="6">
        <v>21.46</v>
      </c>
      <c r="X11162" s="6">
        <v>20.64</v>
      </c>
      <c r="Y11162" s="6">
        <v>28.62</v>
      </c>
      <c r="Z11162" s="6">
        <v>28.48</v>
      </c>
      <c r="AA11162" s="6">
        <v>59.96</v>
      </c>
      <c r="AB11162" s="7">
        <v>19.32</v>
      </c>
      <c r="AC11162" s="6">
        <v>667.66</v>
      </c>
    </row>
    <row r="11163" spans="1:29" ht="52" x14ac:dyDescent="0.15">
      <c r="A11163" s="3">
        <f>DATE(2015,7,7)</f>
        <v>42192</v>
      </c>
      <c r="B11163" s="2"/>
      <c r="C11163" s="2" t="s">
        <v>189</v>
      </c>
      <c r="D11163" s="2" t="s">
        <v>32359</v>
      </c>
      <c r="E11163" s="2" t="s">
        <v>32360</v>
      </c>
      <c r="F11163" s="4">
        <v>7376</v>
      </c>
      <c r="G11163" s="2" t="s">
        <v>223</v>
      </c>
      <c r="H11163" s="2" t="s">
        <v>34</v>
      </c>
      <c r="I11163" s="2" t="s">
        <v>143</v>
      </c>
      <c r="J11163" s="2" t="s">
        <v>144</v>
      </c>
      <c r="K11163" s="2" t="s">
        <v>53</v>
      </c>
      <c r="L11163" s="2" t="s">
        <v>139</v>
      </c>
      <c r="M11163" s="2"/>
      <c r="N11163" s="2"/>
      <c r="O11163" s="2"/>
      <c r="P11163" s="2" t="s">
        <v>32361</v>
      </c>
      <c r="Q11163" s="2"/>
      <c r="R11163" s="2"/>
      <c r="S11163" s="5">
        <v>-40.6</v>
      </c>
      <c r="T11163" s="7">
        <v>72.284000000000006</v>
      </c>
      <c r="U11163" s="5">
        <v>2.4</v>
      </c>
      <c r="V11163" s="9">
        <v>-0.78859999999999997</v>
      </c>
      <c r="W11163" s="6">
        <v>9.25</v>
      </c>
      <c r="X11163" s="6">
        <v>9.4600000000000009</v>
      </c>
      <c r="Y11163" s="6">
        <v>9.48</v>
      </c>
      <c r="Z11163" s="6">
        <v>9.4499999999999993</v>
      </c>
      <c r="AA11163" s="6">
        <v>54.97</v>
      </c>
      <c r="AB11163" s="2" t="s">
        <v>86</v>
      </c>
      <c r="AC11163" s="2"/>
    </row>
    <row r="11164" spans="1:29" ht="117" x14ac:dyDescent="0.15">
      <c r="A11164" s="3">
        <f>DATE(2015,7,9)</f>
        <v>42194</v>
      </c>
      <c r="B11164" s="3">
        <f>DATE(2015,8,20)</f>
        <v>42236</v>
      </c>
      <c r="C11164" s="2" t="s">
        <v>95</v>
      </c>
      <c r="D11164" s="2" t="s">
        <v>32362</v>
      </c>
      <c r="E11164" s="2" t="s">
        <v>23588</v>
      </c>
      <c r="F11164" s="4">
        <v>5013</v>
      </c>
      <c r="G11164" s="2" t="s">
        <v>76</v>
      </c>
      <c r="H11164" s="2" t="s">
        <v>34</v>
      </c>
      <c r="I11164" s="2" t="s">
        <v>25867</v>
      </c>
      <c r="J11164" s="2" t="s">
        <v>25868</v>
      </c>
      <c r="K11164" s="2" t="s">
        <v>76</v>
      </c>
      <c r="L11164" s="2" t="s">
        <v>34</v>
      </c>
      <c r="M11164" s="12">
        <v>8949.2950000000001</v>
      </c>
      <c r="N11164" s="6">
        <v>30.08</v>
      </c>
      <c r="O11164" s="6">
        <v>30.33</v>
      </c>
      <c r="P11164" s="2" t="s">
        <v>32363</v>
      </c>
      <c r="Q11164" s="6">
        <v>100</v>
      </c>
      <c r="R11164" s="6">
        <v>5.5</v>
      </c>
      <c r="S11164" s="5">
        <v>0</v>
      </c>
      <c r="T11164" s="7">
        <v>1.627</v>
      </c>
      <c r="U11164" s="5">
        <v>5.3</v>
      </c>
      <c r="V11164" s="7">
        <v>1E-3</v>
      </c>
      <c r="W11164" s="6">
        <v>3.69</v>
      </c>
      <c r="X11164" s="6">
        <v>3.62</v>
      </c>
      <c r="Y11164" s="6">
        <v>5.46</v>
      </c>
      <c r="Z11164" s="6">
        <v>5.45</v>
      </c>
      <c r="AA11164" s="6">
        <v>5.2</v>
      </c>
      <c r="AB11164" s="7">
        <v>51.618000000000002</v>
      </c>
      <c r="AC11164" s="6">
        <v>143.41999999999999</v>
      </c>
    </row>
    <row r="11165" spans="1:29" ht="273" x14ac:dyDescent="0.15">
      <c r="A11165" s="3">
        <f>DATE(2015,7,13)</f>
        <v>42198</v>
      </c>
      <c r="B11165" s="3">
        <f>DATE(2015,12,4)</f>
        <v>42342</v>
      </c>
      <c r="C11165" s="2" t="s">
        <v>95</v>
      </c>
      <c r="D11165" s="2" t="s">
        <v>26025</v>
      </c>
      <c r="E11165" s="2" t="s">
        <v>26026</v>
      </c>
      <c r="F11165" s="4">
        <v>1311</v>
      </c>
      <c r="G11165" s="2" t="s">
        <v>148</v>
      </c>
      <c r="H11165" s="2" t="s">
        <v>34</v>
      </c>
      <c r="I11165" s="2" t="s">
        <v>32364</v>
      </c>
      <c r="J11165" s="2" t="s">
        <v>32365</v>
      </c>
      <c r="K11165" s="2" t="s">
        <v>148</v>
      </c>
      <c r="L11165" s="2" t="s">
        <v>34</v>
      </c>
      <c r="M11165" s="12">
        <v>6083.0680000000002</v>
      </c>
      <c r="N11165" s="6">
        <v>59.03</v>
      </c>
      <c r="O11165" s="6">
        <v>61.02</v>
      </c>
      <c r="P11165" s="2" t="s">
        <v>32366</v>
      </c>
      <c r="Q11165" s="6">
        <v>100</v>
      </c>
      <c r="R11165" s="6">
        <v>81.47</v>
      </c>
      <c r="S11165" s="5">
        <v>-47</v>
      </c>
      <c r="T11165" s="7">
        <v>855.60900000000004</v>
      </c>
      <c r="U11165" s="5">
        <v>23.9</v>
      </c>
      <c r="V11165" s="9">
        <v>-0.24360000000000001</v>
      </c>
      <c r="W11165" s="6">
        <v>57.92</v>
      </c>
      <c r="X11165" s="6">
        <v>59.75</v>
      </c>
      <c r="Y11165" s="6">
        <v>68.09</v>
      </c>
      <c r="Z11165" s="6">
        <v>69.25</v>
      </c>
      <c r="AA11165" s="6">
        <v>222.75</v>
      </c>
      <c r="AB11165" s="7">
        <v>68.563999999999993</v>
      </c>
      <c r="AC11165" s="5">
        <v>90.4</v>
      </c>
    </row>
    <row r="11166" spans="1:29" ht="117" x14ac:dyDescent="0.15">
      <c r="A11166" s="3">
        <f>DATE(2015,7,13)</f>
        <v>42198</v>
      </c>
      <c r="B11166" s="2"/>
      <c r="C11166" s="2" t="s">
        <v>87</v>
      </c>
      <c r="D11166" s="2" t="s">
        <v>23847</v>
      </c>
      <c r="E11166" s="2" t="s">
        <v>10974</v>
      </c>
      <c r="F11166" s="4">
        <v>3674</v>
      </c>
      <c r="G11166" s="2" t="s">
        <v>137</v>
      </c>
      <c r="H11166" s="2" t="s">
        <v>34</v>
      </c>
      <c r="I11166" s="2" t="s">
        <v>32367</v>
      </c>
      <c r="J11166" s="2" t="s">
        <v>4865</v>
      </c>
      <c r="K11166" s="2" t="s">
        <v>137</v>
      </c>
      <c r="L11166" s="2" t="s">
        <v>455</v>
      </c>
      <c r="M11166" s="2"/>
      <c r="N11166" s="2"/>
      <c r="O11166" s="2"/>
      <c r="P11166" s="2" t="s">
        <v>32368</v>
      </c>
      <c r="Q11166" s="2"/>
      <c r="R11166" s="2"/>
      <c r="S11166" s="8">
        <v>3578</v>
      </c>
      <c r="T11166" s="8">
        <v>6126</v>
      </c>
      <c r="U11166" s="5">
        <v>11.6</v>
      </c>
      <c r="V11166" s="9">
        <v>3.0028999999999999</v>
      </c>
      <c r="W11166" s="6">
        <v>18.32</v>
      </c>
      <c r="X11166" s="6">
        <v>17.57</v>
      </c>
      <c r="Y11166" s="6">
        <v>17.61</v>
      </c>
      <c r="Z11166" s="6">
        <v>19.61</v>
      </c>
      <c r="AA11166" s="10">
        <v>1083.44</v>
      </c>
      <c r="AB11166" s="2" t="s">
        <v>47</v>
      </c>
      <c r="AC11166" s="2"/>
    </row>
    <row r="11167" spans="1:29" ht="91" x14ac:dyDescent="0.15">
      <c r="A11167" s="3">
        <f>DATE(2015,7,13)</f>
        <v>42198</v>
      </c>
      <c r="B11167" s="3">
        <f>DATE(2015,11,10)</f>
        <v>42318</v>
      </c>
      <c r="C11167" s="2" t="s">
        <v>95</v>
      </c>
      <c r="D11167" s="2" t="s">
        <v>32369</v>
      </c>
      <c r="E11167" s="2" t="s">
        <v>11796</v>
      </c>
      <c r="F11167" s="4">
        <v>3714</v>
      </c>
      <c r="G11167" s="2" t="s">
        <v>105</v>
      </c>
      <c r="H11167" s="2" t="s">
        <v>34</v>
      </c>
      <c r="I11167" s="2" t="s">
        <v>13506</v>
      </c>
      <c r="J11167" s="2" t="s">
        <v>13507</v>
      </c>
      <c r="K11167" s="2" t="s">
        <v>105</v>
      </c>
      <c r="L11167" s="2" t="s">
        <v>34</v>
      </c>
      <c r="M11167" s="12">
        <v>13587.233</v>
      </c>
      <c r="N11167" s="6">
        <v>54.79</v>
      </c>
      <c r="O11167" s="6">
        <v>54.55</v>
      </c>
      <c r="P11167" s="2" t="s">
        <v>32370</v>
      </c>
      <c r="Q11167" s="6">
        <v>100</v>
      </c>
      <c r="R11167" s="6">
        <v>29.5</v>
      </c>
      <c r="S11167" s="5">
        <v>2.2999999999999998</v>
      </c>
      <c r="T11167" s="7">
        <v>111.649</v>
      </c>
      <c r="U11167" s="5">
        <v>18.100000000000001</v>
      </c>
      <c r="V11167" s="9">
        <v>6.59E-2</v>
      </c>
      <c r="W11167" s="6">
        <v>21.08</v>
      </c>
      <c r="X11167" s="6">
        <v>20.53</v>
      </c>
      <c r="Y11167" s="6">
        <v>29.24</v>
      </c>
      <c r="Z11167" s="6">
        <v>29.42</v>
      </c>
      <c r="AA11167" s="6">
        <v>32.229999999999997</v>
      </c>
      <c r="AB11167" s="7">
        <v>59.862000000000002</v>
      </c>
      <c r="AC11167" s="8">
        <v>1113.9000000000001</v>
      </c>
    </row>
    <row r="11168" spans="1:29" ht="91" x14ac:dyDescent="0.15">
      <c r="A11168" s="3">
        <f>DATE(2015,7,13)</f>
        <v>42198</v>
      </c>
      <c r="B11168" s="2"/>
      <c r="C11168" s="2" t="s">
        <v>7330</v>
      </c>
      <c r="D11168" s="2" t="s">
        <v>32371</v>
      </c>
      <c r="E11168" s="2" t="s">
        <v>32372</v>
      </c>
      <c r="F11168" s="4">
        <v>3851</v>
      </c>
      <c r="G11168" s="2" t="s">
        <v>226</v>
      </c>
      <c r="H11168" s="2" t="s">
        <v>34</v>
      </c>
      <c r="I11168" s="2" t="s">
        <v>28374</v>
      </c>
      <c r="J11168" s="2" t="s">
        <v>29140</v>
      </c>
      <c r="K11168" s="2" t="s">
        <v>130</v>
      </c>
      <c r="L11168" s="2" t="s">
        <v>34</v>
      </c>
      <c r="M11168" s="12">
        <v>78961.986000000004</v>
      </c>
      <c r="N11168" s="6">
        <v>235.16</v>
      </c>
      <c r="O11168" s="6">
        <v>236.75</v>
      </c>
      <c r="P11168" s="2" t="s">
        <v>32373</v>
      </c>
      <c r="Q11168" s="2"/>
      <c r="R11168" s="6">
        <v>12.75</v>
      </c>
      <c r="S11168" s="5">
        <v>1.2</v>
      </c>
      <c r="T11168" s="7">
        <v>2.2570000000000001</v>
      </c>
      <c r="U11168" s="5">
        <v>-1.8</v>
      </c>
      <c r="V11168" s="9">
        <v>0.66590000000000005</v>
      </c>
      <c r="W11168" s="9">
        <v>8.1034000000000006</v>
      </c>
      <c r="X11168" s="11">
        <v>8.1014900000000001</v>
      </c>
      <c r="Y11168" s="6">
        <v>12.66</v>
      </c>
      <c r="Z11168" s="6">
        <v>12.68</v>
      </c>
      <c r="AA11168" s="6">
        <v>1.89</v>
      </c>
      <c r="AB11168" s="2" t="s">
        <v>47</v>
      </c>
      <c r="AC11168" s="10">
        <v>1196.54</v>
      </c>
    </row>
    <row r="11169" spans="1:29" ht="130" x14ac:dyDescent="0.15">
      <c r="A11169" s="3">
        <f>DATE(2015,7,14)</f>
        <v>42199</v>
      </c>
      <c r="B11169" s="3">
        <f>DATE(2015,8,28)</f>
        <v>42244</v>
      </c>
      <c r="C11169" s="2" t="s">
        <v>95</v>
      </c>
      <c r="D11169" s="2" t="s">
        <v>32374</v>
      </c>
      <c r="E11169" s="2" t="s">
        <v>13055</v>
      </c>
      <c r="F11169" s="4">
        <v>2834</v>
      </c>
      <c r="G11169" s="2" t="s">
        <v>130</v>
      </c>
      <c r="H11169" s="2" t="s">
        <v>34</v>
      </c>
      <c r="I11169" s="2" t="s">
        <v>26240</v>
      </c>
      <c r="J11169" s="2" t="s">
        <v>26241</v>
      </c>
      <c r="K11169" s="2" t="s">
        <v>130</v>
      </c>
      <c r="L11169" s="2" t="s">
        <v>34</v>
      </c>
      <c r="M11169" s="12">
        <v>88126.271999999997</v>
      </c>
      <c r="N11169" s="6">
        <v>122.85</v>
      </c>
      <c r="O11169" s="6">
        <v>131.38999999999999</v>
      </c>
      <c r="P11169" s="2" t="s">
        <v>32375</v>
      </c>
      <c r="Q11169" s="6">
        <v>100</v>
      </c>
      <c r="R11169" s="6">
        <v>232</v>
      </c>
      <c r="S11169" s="5">
        <v>-176.2</v>
      </c>
      <c r="T11169" s="7">
        <v>-175.62700000000001</v>
      </c>
      <c r="U11169" s="5">
        <v>17.7</v>
      </c>
      <c r="V11169" s="6">
        <v>-5.95</v>
      </c>
      <c r="W11169" s="6">
        <v>161.82</v>
      </c>
      <c r="X11169" s="6">
        <v>160.44</v>
      </c>
      <c r="Y11169" s="6">
        <v>180.52</v>
      </c>
      <c r="Z11169" s="6">
        <v>188.62</v>
      </c>
      <c r="AA11169" s="6">
        <v>31.56</v>
      </c>
      <c r="AB11169" s="2" t="s">
        <v>86</v>
      </c>
      <c r="AC11169" s="8">
        <v>7522.3</v>
      </c>
    </row>
    <row r="11170" spans="1:29" ht="143" x14ac:dyDescent="0.15">
      <c r="A11170" s="3">
        <f>DATE(2015,7,20)</f>
        <v>42205</v>
      </c>
      <c r="B11170" s="3">
        <f>DATE(2015,10,26)</f>
        <v>42303</v>
      </c>
      <c r="C11170" s="2" t="s">
        <v>95</v>
      </c>
      <c r="D11170" s="2" t="s">
        <v>32376</v>
      </c>
      <c r="E11170" s="2" t="s">
        <v>32377</v>
      </c>
      <c r="F11170" s="4">
        <v>1474</v>
      </c>
      <c r="G11170" s="2" t="s">
        <v>166</v>
      </c>
      <c r="H11170" s="2" t="s">
        <v>34</v>
      </c>
      <c r="I11170" s="2" t="s">
        <v>32378</v>
      </c>
      <c r="J11170" s="2" t="s">
        <v>1977</v>
      </c>
      <c r="K11170" s="2" t="s">
        <v>439</v>
      </c>
      <c r="L11170" s="2" t="s">
        <v>739</v>
      </c>
      <c r="M11170" s="2"/>
      <c r="N11170" s="2"/>
      <c r="O11170" s="2"/>
      <c r="P11170" s="2" t="s">
        <v>32379</v>
      </c>
      <c r="Q11170" s="6">
        <v>73</v>
      </c>
      <c r="R11170" s="2"/>
      <c r="S11170" s="5">
        <v>47.5</v>
      </c>
      <c r="T11170" s="5">
        <v>128.80000000000001</v>
      </c>
      <c r="U11170" s="5">
        <v>7.5</v>
      </c>
      <c r="V11170" s="9">
        <v>1.3929</v>
      </c>
      <c r="W11170" s="6">
        <v>25.52</v>
      </c>
      <c r="X11170" s="5">
        <v>25.2</v>
      </c>
      <c r="Y11170" s="6">
        <v>25.04</v>
      </c>
      <c r="Z11170" s="6">
        <v>23.89</v>
      </c>
      <c r="AA11170" s="6">
        <v>9.82</v>
      </c>
      <c r="AB11170" s="7">
        <v>6.6829999999999998</v>
      </c>
      <c r="AC11170" s="2"/>
    </row>
    <row r="11171" spans="1:29" ht="169" x14ac:dyDescent="0.15">
      <c r="A11171" s="3">
        <f>DATE(2015,7,20)</f>
        <v>42205</v>
      </c>
      <c r="B11171" s="2"/>
      <c r="C11171" s="2" t="s">
        <v>30</v>
      </c>
      <c r="D11171" s="2" t="s">
        <v>32380</v>
      </c>
      <c r="E11171" s="2" t="s">
        <v>27114</v>
      </c>
      <c r="F11171" s="4">
        <v>4911</v>
      </c>
      <c r="G11171" s="2" t="s">
        <v>439</v>
      </c>
      <c r="H11171" s="2" t="s">
        <v>34</v>
      </c>
      <c r="I11171" s="2" t="s">
        <v>32381</v>
      </c>
      <c r="J11171" s="2" t="s">
        <v>32382</v>
      </c>
      <c r="K11171" s="2" t="s">
        <v>137</v>
      </c>
      <c r="L11171" s="2" t="s">
        <v>34</v>
      </c>
      <c r="M11171" s="12">
        <v>8564.8680000000004</v>
      </c>
      <c r="N11171" s="6">
        <v>31.66</v>
      </c>
      <c r="O11171" s="6">
        <v>29.37</v>
      </c>
      <c r="P11171" s="2" t="s">
        <v>32383</v>
      </c>
      <c r="Q11171" s="2"/>
      <c r="R11171" s="6">
        <v>15.25</v>
      </c>
      <c r="S11171" s="2"/>
      <c r="T11171" s="2"/>
      <c r="U11171" s="2"/>
      <c r="V11171" s="2"/>
      <c r="W11171" s="6">
        <v>11.45</v>
      </c>
      <c r="X11171" s="6">
        <v>10.88</v>
      </c>
      <c r="Y11171" s="6">
        <v>15.75</v>
      </c>
      <c r="Z11171" s="6">
        <v>15.85</v>
      </c>
      <c r="AA11171" s="6">
        <v>105.93</v>
      </c>
      <c r="AB11171" s="2" t="s">
        <v>47</v>
      </c>
      <c r="AC11171" s="8">
        <v>3457</v>
      </c>
    </row>
    <row r="11172" spans="1:29" ht="65" x14ac:dyDescent="0.15">
      <c r="A11172" s="3">
        <f>DATE(2015,7,22)</f>
        <v>42207</v>
      </c>
      <c r="B11172" s="3">
        <f>DATE(2015,10,8)</f>
        <v>42285</v>
      </c>
      <c r="C11172" s="2" t="s">
        <v>95</v>
      </c>
      <c r="D11172" s="2" t="s">
        <v>32384</v>
      </c>
      <c r="E11172" s="2" t="s">
        <v>16957</v>
      </c>
      <c r="F11172" s="4">
        <v>3845</v>
      </c>
      <c r="G11172" s="2" t="s">
        <v>226</v>
      </c>
      <c r="H11172" s="2" t="s">
        <v>34</v>
      </c>
      <c r="I11172" s="2" t="s">
        <v>4475</v>
      </c>
      <c r="J11172" s="2" t="s">
        <v>4476</v>
      </c>
      <c r="K11172" s="2" t="s">
        <v>226</v>
      </c>
      <c r="L11172" s="2" t="s">
        <v>34</v>
      </c>
      <c r="M11172" s="12">
        <v>20928.027999999998</v>
      </c>
      <c r="N11172" s="6">
        <v>76.67</v>
      </c>
      <c r="O11172" s="6">
        <v>75.53</v>
      </c>
      <c r="P11172" s="2" t="s">
        <v>32385</v>
      </c>
      <c r="Q11172" s="6">
        <v>100</v>
      </c>
      <c r="R11172" s="6">
        <v>63.5</v>
      </c>
      <c r="S11172" s="5">
        <v>38.799999999999997</v>
      </c>
      <c r="T11172" s="7">
        <v>69.475999999999999</v>
      </c>
      <c r="U11172" s="5">
        <v>12.4</v>
      </c>
      <c r="V11172" s="7">
        <v>0.70599999999999996</v>
      </c>
      <c r="W11172" s="6">
        <v>46.45</v>
      </c>
      <c r="X11172" s="6">
        <v>57.58</v>
      </c>
      <c r="Y11172" s="6">
        <v>63.46</v>
      </c>
      <c r="Z11172" s="6">
        <v>63.06</v>
      </c>
      <c r="AA11172" s="6">
        <v>54.2</v>
      </c>
      <c r="AB11172" s="7">
        <v>60.558999999999997</v>
      </c>
      <c r="AC11172" s="5">
        <v>925</v>
      </c>
    </row>
    <row r="11173" spans="1:29" ht="78" x14ac:dyDescent="0.15">
      <c r="A11173" s="3">
        <f>DATE(2015,7,23)</f>
        <v>42208</v>
      </c>
      <c r="B11173" s="2"/>
      <c r="C11173" s="2" t="s">
        <v>30</v>
      </c>
      <c r="D11173" s="2" t="s">
        <v>32386</v>
      </c>
      <c r="E11173" s="2" t="s">
        <v>31079</v>
      </c>
      <c r="F11173" s="4">
        <v>6726</v>
      </c>
      <c r="G11173" s="2" t="s">
        <v>53</v>
      </c>
      <c r="H11173" s="2" t="s">
        <v>34</v>
      </c>
      <c r="I11173" s="2" t="s">
        <v>32387</v>
      </c>
      <c r="J11173" s="2" t="s">
        <v>32388</v>
      </c>
      <c r="K11173" s="2" t="s">
        <v>53</v>
      </c>
      <c r="L11173" s="2" t="s">
        <v>26898</v>
      </c>
      <c r="M11173" s="2"/>
      <c r="N11173" s="2"/>
      <c r="O11173" s="2"/>
      <c r="P11173" s="2" t="s">
        <v>32389</v>
      </c>
      <c r="Q11173" s="2"/>
      <c r="R11173" s="2"/>
      <c r="S11173" s="5">
        <v>-1.3</v>
      </c>
      <c r="T11173" s="2"/>
      <c r="U11173" s="5">
        <v>29.1</v>
      </c>
      <c r="V11173" s="9">
        <v>-0.31369999999999998</v>
      </c>
      <c r="W11173" s="6">
        <v>10.19</v>
      </c>
      <c r="X11173" s="6">
        <v>10.029999999999999</v>
      </c>
      <c r="Y11173" s="6">
        <v>10.029999999999999</v>
      </c>
      <c r="Z11173" s="5">
        <v>10.199999999999999</v>
      </c>
      <c r="AA11173" s="6">
        <v>15.63</v>
      </c>
      <c r="AB11173" s="2" t="s">
        <v>86</v>
      </c>
      <c r="AC11173" s="2"/>
    </row>
    <row r="11174" spans="1:29" ht="117" x14ac:dyDescent="0.15">
      <c r="A11174" s="3">
        <f>DATE(2015,7,23)</f>
        <v>42208</v>
      </c>
      <c r="B11174" s="3">
        <f>DATE(2016,3,7)</f>
        <v>42436</v>
      </c>
      <c r="C11174" s="2" t="s">
        <v>95</v>
      </c>
      <c r="D11174" s="2" t="s">
        <v>32390</v>
      </c>
      <c r="E11174" s="2" t="s">
        <v>32391</v>
      </c>
      <c r="F11174" s="4">
        <v>6321</v>
      </c>
      <c r="G11174" s="2" t="s">
        <v>125</v>
      </c>
      <c r="H11174" s="2" t="s">
        <v>34</v>
      </c>
      <c r="I11174" s="2" t="s">
        <v>32392</v>
      </c>
      <c r="J11174" s="2" t="s">
        <v>32393</v>
      </c>
      <c r="K11174" s="2" t="s">
        <v>125</v>
      </c>
      <c r="L11174" s="2" t="s">
        <v>99</v>
      </c>
      <c r="M11174" s="2"/>
      <c r="N11174" s="2"/>
      <c r="O11174" s="2"/>
      <c r="P11174" s="2" t="s">
        <v>32394</v>
      </c>
      <c r="Q11174" s="6">
        <v>100</v>
      </c>
      <c r="R11174" s="6">
        <v>115</v>
      </c>
      <c r="S11174" s="5">
        <v>248.1</v>
      </c>
      <c r="T11174" s="5">
        <v>667.8</v>
      </c>
      <c r="U11174" s="5">
        <v>52.9</v>
      </c>
      <c r="V11174" s="6">
        <v>5.78</v>
      </c>
      <c r="W11174" s="6">
        <v>78.02</v>
      </c>
      <c r="X11174" s="6">
        <v>77.66</v>
      </c>
      <c r="Y11174" s="6">
        <v>76.69</v>
      </c>
      <c r="Z11174" s="6">
        <v>113.45</v>
      </c>
      <c r="AA11174" s="6">
        <v>42.21</v>
      </c>
      <c r="AB11174" s="7">
        <v>9.7420000000000009</v>
      </c>
      <c r="AC11174" s="10">
        <v>2687.76</v>
      </c>
    </row>
    <row r="11175" spans="1:29" ht="104" x14ac:dyDescent="0.15">
      <c r="A11175" s="3">
        <f>DATE(2015,7,27)</f>
        <v>42212</v>
      </c>
      <c r="B11175" s="3">
        <f>DATE(2015,9,2)</f>
        <v>42249</v>
      </c>
      <c r="C11175" s="2" t="s">
        <v>95</v>
      </c>
      <c r="D11175" s="2" t="s">
        <v>30623</v>
      </c>
      <c r="E11175" s="2" t="s">
        <v>30624</v>
      </c>
      <c r="F11175" s="4">
        <v>3679</v>
      </c>
      <c r="G11175" s="2" t="s">
        <v>137</v>
      </c>
      <c r="H11175" s="2" t="s">
        <v>34</v>
      </c>
      <c r="I11175" s="2" t="s">
        <v>32395</v>
      </c>
      <c r="J11175" s="2" t="s">
        <v>32396</v>
      </c>
      <c r="K11175" s="2" t="s">
        <v>300</v>
      </c>
      <c r="L11175" s="2" t="s">
        <v>34</v>
      </c>
      <c r="M11175" s="6">
        <v>494.87</v>
      </c>
      <c r="N11175" s="6">
        <v>21.46</v>
      </c>
      <c r="O11175" s="6">
        <v>22.42</v>
      </c>
      <c r="P11175" s="2" t="s">
        <v>32397</v>
      </c>
      <c r="Q11175" s="6">
        <v>100</v>
      </c>
      <c r="R11175" s="6">
        <v>50</v>
      </c>
      <c r="S11175" s="5">
        <v>-25.3</v>
      </c>
      <c r="T11175" s="7">
        <v>-23.378</v>
      </c>
      <c r="U11175" s="5">
        <v>9</v>
      </c>
      <c r="V11175" s="9">
        <v>-7.4562999999999997</v>
      </c>
      <c r="W11175" s="6">
        <v>33.33</v>
      </c>
      <c r="X11175" s="6">
        <v>32.25</v>
      </c>
      <c r="Y11175" s="6">
        <v>49.52</v>
      </c>
      <c r="Z11175" s="6">
        <v>49.53</v>
      </c>
      <c r="AA11175" s="6">
        <v>3.57</v>
      </c>
      <c r="AB11175" s="2" t="s">
        <v>86</v>
      </c>
      <c r="AC11175" s="6">
        <v>58.09</v>
      </c>
    </row>
    <row r="11176" spans="1:29" ht="104" x14ac:dyDescent="0.15">
      <c r="A11176" s="3">
        <f>DATE(2015,7,27)</f>
        <v>42212</v>
      </c>
      <c r="B11176" s="3">
        <f>DATE(2015,12,14)</f>
        <v>42352</v>
      </c>
      <c r="C11176" s="2" t="s">
        <v>95</v>
      </c>
      <c r="D11176" s="2" t="s">
        <v>32398</v>
      </c>
      <c r="E11176" s="2" t="s">
        <v>29798</v>
      </c>
      <c r="F11176" s="4">
        <v>6021</v>
      </c>
      <c r="G11176" s="2" t="s">
        <v>37</v>
      </c>
      <c r="H11176" s="2" t="s">
        <v>34</v>
      </c>
      <c r="I11176" s="2" t="s">
        <v>32399</v>
      </c>
      <c r="J11176" s="2" t="s">
        <v>29798</v>
      </c>
      <c r="K11176" s="2" t="s">
        <v>37</v>
      </c>
      <c r="L11176" s="2" t="s">
        <v>34</v>
      </c>
      <c r="M11176" s="7">
        <v>30.529</v>
      </c>
      <c r="N11176" s="6">
        <v>8.15</v>
      </c>
      <c r="O11176" s="6">
        <v>8.25</v>
      </c>
      <c r="P11176" s="2" t="s">
        <v>32400</v>
      </c>
      <c r="Q11176" s="6">
        <v>100</v>
      </c>
      <c r="R11176" s="2"/>
      <c r="S11176" s="5">
        <v>0.2</v>
      </c>
      <c r="T11176" s="2"/>
      <c r="U11176" s="2"/>
      <c r="V11176" s="2"/>
      <c r="W11176" s="6">
        <v>5.99</v>
      </c>
      <c r="X11176" s="6">
        <v>5.99</v>
      </c>
      <c r="Y11176" s="6">
        <v>5.99</v>
      </c>
      <c r="Z11176" s="6">
        <v>5.99</v>
      </c>
      <c r="AA11176" s="6">
        <v>0.95</v>
      </c>
      <c r="AB11176" s="2" t="s">
        <v>86</v>
      </c>
      <c r="AC11176" s="2"/>
    </row>
    <row r="11177" spans="1:29" ht="65" x14ac:dyDescent="0.15">
      <c r="A11177" s="3">
        <f>DATE(2015,7,29)</f>
        <v>42214</v>
      </c>
      <c r="B11177" s="3">
        <f>DATE(2015,12,9)</f>
        <v>42347</v>
      </c>
      <c r="C11177" s="2" t="s">
        <v>95</v>
      </c>
      <c r="D11177" s="2" t="s">
        <v>12506</v>
      </c>
      <c r="E11177" s="2" t="s">
        <v>12507</v>
      </c>
      <c r="F11177" s="4">
        <v>2899</v>
      </c>
      <c r="G11177" s="2" t="s">
        <v>98</v>
      </c>
      <c r="H11177" s="2" t="s">
        <v>34</v>
      </c>
      <c r="I11177" s="2" t="s">
        <v>32401</v>
      </c>
      <c r="J11177" s="2" t="s">
        <v>32402</v>
      </c>
      <c r="K11177" s="2" t="s">
        <v>98</v>
      </c>
      <c r="L11177" s="2" t="s">
        <v>926</v>
      </c>
      <c r="M11177" s="12">
        <v>11718.232</v>
      </c>
      <c r="N11177" s="7">
        <v>136.40899999999999</v>
      </c>
      <c r="O11177" s="7">
        <v>132.517</v>
      </c>
      <c r="P11177" s="2" t="s">
        <v>32403</v>
      </c>
      <c r="Q11177" s="6">
        <v>100</v>
      </c>
      <c r="R11177" s="6">
        <v>75.25</v>
      </c>
      <c r="S11177" s="5">
        <v>124.4</v>
      </c>
      <c r="T11177" s="5">
        <v>299.39999999999998</v>
      </c>
      <c r="U11177" s="5">
        <v>17.8</v>
      </c>
      <c r="V11177" s="9">
        <v>1.7017</v>
      </c>
      <c r="W11177" s="6">
        <v>58.61</v>
      </c>
      <c r="X11177" s="6">
        <v>58.39</v>
      </c>
      <c r="Y11177" s="6">
        <v>74.19</v>
      </c>
      <c r="Z11177" s="6">
        <v>74.239999999999995</v>
      </c>
      <c r="AA11177" s="6">
        <v>71.459999999999994</v>
      </c>
      <c r="AB11177" s="7">
        <v>28.753</v>
      </c>
      <c r="AC11177" s="10">
        <v>1158.18</v>
      </c>
    </row>
    <row r="11178" spans="1:29" ht="52" x14ac:dyDescent="0.15">
      <c r="A11178" s="3">
        <f>DATE(2015,7,30)</f>
        <v>42215</v>
      </c>
      <c r="B11178" s="2"/>
      <c r="C11178" s="2" t="s">
        <v>39</v>
      </c>
      <c r="D11178" s="2" t="s">
        <v>32404</v>
      </c>
      <c r="E11178" s="2" t="s">
        <v>29927</v>
      </c>
      <c r="F11178" s="4">
        <v>2911</v>
      </c>
      <c r="G11178" s="2" t="s">
        <v>148</v>
      </c>
      <c r="H11178" s="2" t="s">
        <v>34</v>
      </c>
      <c r="I11178" s="2" t="s">
        <v>32405</v>
      </c>
      <c r="J11178" s="2" t="s">
        <v>29927</v>
      </c>
      <c r="K11178" s="2" t="s">
        <v>148</v>
      </c>
      <c r="L11178" s="2" t="s">
        <v>34</v>
      </c>
      <c r="M11178" s="12">
        <v>11477.127</v>
      </c>
      <c r="N11178" s="6">
        <v>96.23</v>
      </c>
      <c r="O11178" s="6">
        <v>97.34</v>
      </c>
      <c r="P11178" s="2" t="s">
        <v>32406</v>
      </c>
      <c r="Q11178" s="2"/>
      <c r="R11178" s="2"/>
      <c r="S11178" s="5">
        <v>539</v>
      </c>
      <c r="T11178" s="10">
        <v>1015.19</v>
      </c>
      <c r="U11178" s="5">
        <v>29.7</v>
      </c>
      <c r="V11178" s="9">
        <v>2.8018000000000001</v>
      </c>
      <c r="W11178" s="6">
        <v>46.73</v>
      </c>
      <c r="X11178" s="6">
        <v>46.03</v>
      </c>
      <c r="Y11178" s="6">
        <v>48.15</v>
      </c>
      <c r="Z11178" s="6">
        <v>48.26</v>
      </c>
      <c r="AA11178" s="6">
        <v>194.7</v>
      </c>
      <c r="AB11178" s="2" t="s">
        <v>47</v>
      </c>
      <c r="AC11178" s="5">
        <v>978</v>
      </c>
    </row>
    <row r="11179" spans="1:29" ht="221" x14ac:dyDescent="0.15">
      <c r="A11179" s="3">
        <f>DATE(2015,8,4)</f>
        <v>42220</v>
      </c>
      <c r="B11179" s="3">
        <f>DATE(2016,6,3)</f>
        <v>42524</v>
      </c>
      <c r="C11179" s="2" t="s">
        <v>95</v>
      </c>
      <c r="D11179" s="2" t="s">
        <v>32407</v>
      </c>
      <c r="E11179" s="2" t="s">
        <v>13055</v>
      </c>
      <c r="F11179" s="4">
        <v>2834</v>
      </c>
      <c r="G11179" s="2" t="s">
        <v>130</v>
      </c>
      <c r="H11179" s="2" t="s">
        <v>34</v>
      </c>
      <c r="I11179" s="2" t="s">
        <v>25183</v>
      </c>
      <c r="J11179" s="2" t="s">
        <v>4011</v>
      </c>
      <c r="K11179" s="2" t="s">
        <v>130</v>
      </c>
      <c r="L11179" s="2" t="s">
        <v>7645</v>
      </c>
      <c r="M11179" s="12">
        <v>48166.635999999999</v>
      </c>
      <c r="N11179" s="7">
        <v>83.968000000000004</v>
      </c>
      <c r="O11179" s="7">
        <v>85.316000000000003</v>
      </c>
      <c r="P11179" s="2" t="s">
        <v>32408</v>
      </c>
      <c r="Q11179" s="6">
        <v>100</v>
      </c>
      <c r="R11179" s="6">
        <v>45.57</v>
      </c>
      <c r="S11179" s="5">
        <v>956</v>
      </c>
      <c r="T11179" s="8">
        <v>1641</v>
      </c>
      <c r="U11179" s="5">
        <v>5.8</v>
      </c>
      <c r="V11179" s="9">
        <v>1.3587</v>
      </c>
      <c r="W11179" s="6">
        <v>30.44</v>
      </c>
      <c r="X11179" s="6">
        <v>33.15</v>
      </c>
      <c r="Y11179" s="5">
        <v>37.1</v>
      </c>
      <c r="Z11179" s="5">
        <v>37.299999999999997</v>
      </c>
      <c r="AA11179" s="6">
        <v>679.29</v>
      </c>
      <c r="AB11179" s="7">
        <v>25.446999999999999</v>
      </c>
      <c r="AC11179" s="6">
        <v>223.38</v>
      </c>
    </row>
    <row r="11180" spans="1:29" ht="143" x14ac:dyDescent="0.15">
      <c r="A11180" s="3">
        <f>DATE(2015,8,4)</f>
        <v>42220</v>
      </c>
      <c r="B11180" s="3">
        <f>DATE(2016,2,13)</f>
        <v>42413</v>
      </c>
      <c r="C11180" s="2" t="s">
        <v>95</v>
      </c>
      <c r="D11180" s="2" t="s">
        <v>32409</v>
      </c>
      <c r="E11180" s="2" t="s">
        <v>36</v>
      </c>
      <c r="F11180" s="4">
        <v>6021</v>
      </c>
      <c r="G11180" s="2" t="s">
        <v>37</v>
      </c>
      <c r="H11180" s="2" t="s">
        <v>34</v>
      </c>
      <c r="I11180" s="2" t="s">
        <v>21951</v>
      </c>
      <c r="J11180" s="2" t="s">
        <v>36</v>
      </c>
      <c r="K11180" s="2" t="s">
        <v>37</v>
      </c>
      <c r="L11180" s="2" t="s">
        <v>34</v>
      </c>
      <c r="M11180" s="12">
        <v>2464.9259999999999</v>
      </c>
      <c r="N11180" s="6">
        <v>13.27</v>
      </c>
      <c r="O11180" s="6">
        <v>13.47</v>
      </c>
      <c r="P11180" s="2" t="s">
        <v>32410</v>
      </c>
      <c r="Q11180" s="6">
        <v>100</v>
      </c>
      <c r="R11180" s="6">
        <v>32.72</v>
      </c>
      <c r="S11180" s="5">
        <v>21</v>
      </c>
      <c r="T11180" s="7">
        <v>34.856999999999999</v>
      </c>
      <c r="U11180" s="5">
        <v>19</v>
      </c>
      <c r="V11180" s="9">
        <v>1.4462999999999999</v>
      </c>
      <c r="W11180" s="6">
        <v>25.32</v>
      </c>
      <c r="X11180" s="6">
        <v>24.78</v>
      </c>
      <c r="Y11180" s="6">
        <v>29.98</v>
      </c>
      <c r="Z11180" s="6">
        <v>30.65</v>
      </c>
      <c r="AA11180" s="6">
        <v>14.17</v>
      </c>
      <c r="AB11180" s="7">
        <v>26.164999999999999</v>
      </c>
      <c r="AC11180" s="2"/>
    </row>
    <row r="11181" spans="1:29" ht="65" x14ac:dyDescent="0.15">
      <c r="A11181" s="3">
        <f>DATE(2015,8,4)</f>
        <v>42220</v>
      </c>
      <c r="B11181" s="3">
        <f>DATE(2015,11,23)</f>
        <v>42331</v>
      </c>
      <c r="C11181" s="2" t="s">
        <v>95</v>
      </c>
      <c r="D11181" s="2" t="s">
        <v>32411</v>
      </c>
      <c r="E11181" s="2" t="s">
        <v>10699</v>
      </c>
      <c r="F11181" s="4">
        <v>8099</v>
      </c>
      <c r="G11181" s="2" t="s">
        <v>454</v>
      </c>
      <c r="H11181" s="2" t="s">
        <v>34</v>
      </c>
      <c r="I11181" s="2" t="s">
        <v>32412</v>
      </c>
      <c r="J11181" s="2" t="s">
        <v>10699</v>
      </c>
      <c r="K11181" s="2" t="s">
        <v>454</v>
      </c>
      <c r="L11181" s="2" t="s">
        <v>34</v>
      </c>
      <c r="M11181" s="12">
        <v>4815.7619999999997</v>
      </c>
      <c r="N11181" s="6">
        <v>64.680000000000007</v>
      </c>
      <c r="O11181" s="6">
        <v>67.06</v>
      </c>
      <c r="P11181" s="2" t="s">
        <v>32413</v>
      </c>
      <c r="Q11181" s="6">
        <v>100</v>
      </c>
      <c r="R11181" s="6">
        <v>80.25</v>
      </c>
      <c r="S11181" s="5">
        <v>33.299999999999997</v>
      </c>
      <c r="T11181" s="7">
        <v>70.373000000000005</v>
      </c>
      <c r="U11181" s="5">
        <v>22.4</v>
      </c>
      <c r="V11181" s="9">
        <v>1.8432999999999999</v>
      </c>
      <c r="W11181" s="6">
        <v>50.95</v>
      </c>
      <c r="X11181" s="6">
        <v>58.46</v>
      </c>
      <c r="Y11181" s="6">
        <v>79.25</v>
      </c>
      <c r="Z11181" s="6">
        <v>79.55</v>
      </c>
      <c r="AA11181" s="6">
        <v>17.420000000000002</v>
      </c>
      <c r="AB11181" s="7">
        <v>23.734000000000002</v>
      </c>
      <c r="AC11181" s="6">
        <v>51.3</v>
      </c>
    </row>
    <row r="11182" spans="1:29" ht="130" x14ac:dyDescent="0.15">
      <c r="A11182" s="3">
        <f>DATE(2015,8,5)</f>
        <v>42221</v>
      </c>
      <c r="B11182" s="3">
        <f>DATE(2015,9,21)</f>
        <v>42268</v>
      </c>
      <c r="C11182" s="2" t="s">
        <v>95</v>
      </c>
      <c r="D11182" s="2" t="s">
        <v>32414</v>
      </c>
      <c r="E11182" s="2" t="s">
        <v>32415</v>
      </c>
      <c r="F11182" s="4">
        <v>3585</v>
      </c>
      <c r="G11182" s="2" t="s">
        <v>300</v>
      </c>
      <c r="H11182" s="2" t="s">
        <v>34</v>
      </c>
      <c r="I11182" s="2" t="s">
        <v>32416</v>
      </c>
      <c r="J11182" s="2" t="s">
        <v>302</v>
      </c>
      <c r="K11182" s="2" t="s">
        <v>53</v>
      </c>
      <c r="L11182" s="2" t="s">
        <v>34</v>
      </c>
      <c r="M11182" s="2"/>
      <c r="N11182" s="2"/>
      <c r="O11182" s="2"/>
      <c r="P11182" s="2" t="s">
        <v>32417</v>
      </c>
      <c r="Q11182" s="6">
        <v>100</v>
      </c>
      <c r="R11182" s="6">
        <v>5</v>
      </c>
      <c r="S11182" s="5">
        <v>-14.4</v>
      </c>
      <c r="T11182" s="5">
        <v>11</v>
      </c>
      <c r="U11182" s="5">
        <v>7.2</v>
      </c>
      <c r="V11182" s="9">
        <v>-0.70860000000000001</v>
      </c>
      <c r="W11182" s="6">
        <v>5.0199999999999996</v>
      </c>
      <c r="X11182" s="6">
        <v>7.13</v>
      </c>
      <c r="Y11182" s="6">
        <v>7.58</v>
      </c>
      <c r="Z11182" s="5">
        <v>7.3</v>
      </c>
      <c r="AA11182" s="6">
        <v>18.559999999999999</v>
      </c>
      <c r="AB11182" s="2" t="s">
        <v>86</v>
      </c>
      <c r="AC11182" s="2"/>
    </row>
    <row r="11183" spans="1:29" ht="221" x14ac:dyDescent="0.15">
      <c r="A11183" s="3">
        <f>DATE(2015,8,6)</f>
        <v>42222</v>
      </c>
      <c r="B11183" s="3">
        <f>DATE(2016,5,28)</f>
        <v>42518</v>
      </c>
      <c r="C11183" s="2" t="s">
        <v>95</v>
      </c>
      <c r="D11183" s="2" t="s">
        <v>23149</v>
      </c>
      <c r="E11183" s="2" t="s">
        <v>23150</v>
      </c>
      <c r="F11183" s="4">
        <v>2086</v>
      </c>
      <c r="G11183" s="2" t="s">
        <v>577</v>
      </c>
      <c r="H11183" s="2" t="s">
        <v>34</v>
      </c>
      <c r="I11183" s="2" t="s">
        <v>32418</v>
      </c>
      <c r="J11183" s="2" t="s">
        <v>32419</v>
      </c>
      <c r="K11183" s="2" t="s">
        <v>577</v>
      </c>
      <c r="L11183" s="2" t="s">
        <v>303</v>
      </c>
      <c r="M11183" s="2"/>
      <c r="N11183" s="2"/>
      <c r="O11183" s="2"/>
      <c r="P11183" s="2" t="s">
        <v>32420</v>
      </c>
      <c r="Q11183" s="6">
        <v>100</v>
      </c>
      <c r="R11183" s="6">
        <v>14.5</v>
      </c>
      <c r="S11183" s="5">
        <v>622</v>
      </c>
      <c r="T11183" s="8">
        <v>1313</v>
      </c>
      <c r="U11183" s="5">
        <v>4.4000000000000004</v>
      </c>
      <c r="V11183" s="9">
        <v>2.5607000000000002</v>
      </c>
      <c r="W11183" s="6">
        <v>45.41</v>
      </c>
      <c r="X11183" s="5">
        <v>46.2</v>
      </c>
      <c r="Y11183" s="6">
        <v>45.44</v>
      </c>
      <c r="Z11183" s="6">
        <v>51.08</v>
      </c>
      <c r="AA11183" s="6">
        <v>229.09</v>
      </c>
      <c r="AB11183" s="7">
        <v>7.12</v>
      </c>
      <c r="AC11183" s="5">
        <v>550</v>
      </c>
    </row>
    <row r="11184" spans="1:29" ht="104" x14ac:dyDescent="0.15">
      <c r="A11184" s="3">
        <f>DATE(2015,8,6)</f>
        <v>42222</v>
      </c>
      <c r="B11184" s="3">
        <f>DATE(2015,9,29)</f>
        <v>42276</v>
      </c>
      <c r="C11184" s="2" t="s">
        <v>95</v>
      </c>
      <c r="D11184" s="2" t="s">
        <v>32421</v>
      </c>
      <c r="E11184" s="2" t="s">
        <v>32422</v>
      </c>
      <c r="F11184" s="4">
        <v>3661</v>
      </c>
      <c r="G11184" s="2" t="s">
        <v>921</v>
      </c>
      <c r="H11184" s="2" t="s">
        <v>34</v>
      </c>
      <c r="I11184" s="2" t="s">
        <v>32423</v>
      </c>
      <c r="J11184" s="2" t="s">
        <v>4865</v>
      </c>
      <c r="K11184" s="2" t="s">
        <v>137</v>
      </c>
      <c r="L11184" s="2" t="s">
        <v>34</v>
      </c>
      <c r="M11184" s="2"/>
      <c r="N11184" s="2"/>
      <c r="O11184" s="2"/>
      <c r="P11184" s="2" t="s">
        <v>32424</v>
      </c>
      <c r="Q11184" s="6">
        <v>100</v>
      </c>
      <c r="R11184" s="6">
        <v>2.75</v>
      </c>
      <c r="S11184" s="5">
        <v>-45</v>
      </c>
      <c r="T11184" s="7">
        <v>-38.326000000000001</v>
      </c>
      <c r="U11184" s="5">
        <v>0.7</v>
      </c>
      <c r="V11184" s="9">
        <v>-3.1716000000000002</v>
      </c>
      <c r="W11184" s="6">
        <v>1.76</v>
      </c>
      <c r="X11184" s="6">
        <v>1.75</v>
      </c>
      <c r="Y11184" s="5">
        <v>2.7</v>
      </c>
      <c r="Z11184" s="5">
        <v>2.7</v>
      </c>
      <c r="AA11184" s="6">
        <v>17.079999999999998</v>
      </c>
      <c r="AB11184" s="2" t="s">
        <v>86</v>
      </c>
      <c r="AC11184" s="2"/>
    </row>
    <row r="11185" spans="1:29" ht="65" x14ac:dyDescent="0.15">
      <c r="A11185" s="3">
        <f>DATE(2015,8,6)</f>
        <v>42222</v>
      </c>
      <c r="B11185" s="3">
        <f>DATE(2015,10,13)</f>
        <v>42290</v>
      </c>
      <c r="C11185" s="2" t="s">
        <v>95</v>
      </c>
      <c r="D11185" s="2" t="s">
        <v>27557</v>
      </c>
      <c r="E11185" s="2" t="s">
        <v>10654</v>
      </c>
      <c r="F11185" s="4">
        <v>7373</v>
      </c>
      <c r="G11185" s="2" t="s">
        <v>223</v>
      </c>
      <c r="H11185" s="2" t="s">
        <v>34</v>
      </c>
      <c r="I11185" s="2" t="s">
        <v>5443</v>
      </c>
      <c r="J11185" s="2" t="s">
        <v>5444</v>
      </c>
      <c r="K11185" s="2" t="s">
        <v>50</v>
      </c>
      <c r="L11185" s="2" t="s">
        <v>34</v>
      </c>
      <c r="M11185" s="12">
        <v>160495.962</v>
      </c>
      <c r="N11185" s="6">
        <v>156.32</v>
      </c>
      <c r="O11185" s="6">
        <v>155.12</v>
      </c>
      <c r="P11185" s="2" t="s">
        <v>32425</v>
      </c>
      <c r="Q11185" s="6">
        <v>100</v>
      </c>
      <c r="R11185" s="6">
        <v>7.13</v>
      </c>
      <c r="S11185" s="5">
        <v>22.9</v>
      </c>
      <c r="T11185" s="7">
        <v>45.634</v>
      </c>
      <c r="U11185" s="5">
        <v>0.7</v>
      </c>
      <c r="V11185" s="9">
        <v>0.1676</v>
      </c>
      <c r="W11185" s="5">
        <v>5.5</v>
      </c>
      <c r="X11185" s="6">
        <v>5.41</v>
      </c>
      <c r="Y11185" s="5">
        <v>7.1</v>
      </c>
      <c r="Z11185" s="6">
        <v>7.08</v>
      </c>
      <c r="AA11185" s="6">
        <v>98.9</v>
      </c>
      <c r="AB11185" s="7">
        <v>34.323999999999998</v>
      </c>
      <c r="AC11185" s="8">
        <v>9353</v>
      </c>
    </row>
    <row r="11186" spans="1:29" ht="104" x14ac:dyDescent="0.15">
      <c r="A11186" s="3">
        <f>DATE(2015,8,10)</f>
        <v>42226</v>
      </c>
      <c r="B11186" s="3">
        <f>DATE(2016,5,9)</f>
        <v>42499</v>
      </c>
      <c r="C11186" s="2" t="s">
        <v>95</v>
      </c>
      <c r="D11186" s="2" t="s">
        <v>26084</v>
      </c>
      <c r="E11186" s="2" t="s">
        <v>16453</v>
      </c>
      <c r="F11186" s="4">
        <v>4812</v>
      </c>
      <c r="G11186" s="2" t="s">
        <v>63</v>
      </c>
      <c r="H11186" s="2" t="s">
        <v>34</v>
      </c>
      <c r="I11186" s="2" t="s">
        <v>32426</v>
      </c>
      <c r="J11186" s="2" t="s">
        <v>973</v>
      </c>
      <c r="K11186" s="2" t="s">
        <v>63</v>
      </c>
      <c r="L11186" s="2" t="s">
        <v>34</v>
      </c>
      <c r="M11186" s="7">
        <v>839.18700000000001</v>
      </c>
      <c r="N11186" s="6">
        <v>36.07</v>
      </c>
      <c r="O11186" s="6">
        <v>42.78</v>
      </c>
      <c r="P11186" s="2" t="s">
        <v>32427</v>
      </c>
      <c r="Q11186" s="6">
        <v>100</v>
      </c>
      <c r="R11186" s="6">
        <v>9.25</v>
      </c>
      <c r="S11186" s="5">
        <v>-39.6</v>
      </c>
      <c r="T11186" s="7">
        <v>114.90900000000001</v>
      </c>
      <c r="U11186" s="5">
        <v>-0.7</v>
      </c>
      <c r="V11186" s="9">
        <v>-1.9137999999999999</v>
      </c>
      <c r="W11186" s="6">
        <v>6.61</v>
      </c>
      <c r="X11186" s="6">
        <v>7.38</v>
      </c>
      <c r="Y11186" s="6">
        <v>7.31</v>
      </c>
      <c r="Z11186" s="6">
        <v>8.99</v>
      </c>
      <c r="AA11186" s="6">
        <v>22.23</v>
      </c>
      <c r="AB11186" s="7">
        <v>11.856999999999999</v>
      </c>
      <c r="AC11186" s="6">
        <v>92.14</v>
      </c>
    </row>
    <row r="11187" spans="1:29" ht="156" x14ac:dyDescent="0.15">
      <c r="A11187" s="3">
        <f>DATE(2015,8,10)</f>
        <v>42226</v>
      </c>
      <c r="B11187" s="3">
        <f>DATE(2016,1,29)</f>
        <v>42398</v>
      </c>
      <c r="C11187" s="2" t="s">
        <v>95</v>
      </c>
      <c r="D11187" s="2" t="s">
        <v>11584</v>
      </c>
      <c r="E11187" s="2" t="s">
        <v>11585</v>
      </c>
      <c r="F11187" s="4">
        <v>3321</v>
      </c>
      <c r="G11187" s="2" t="s">
        <v>163</v>
      </c>
      <c r="H11187" s="2" t="s">
        <v>34</v>
      </c>
      <c r="I11187" s="2" t="s">
        <v>6692</v>
      </c>
      <c r="J11187" s="2" t="s">
        <v>515</v>
      </c>
      <c r="K11187" s="2" t="s">
        <v>125</v>
      </c>
      <c r="L11187" s="2" t="s">
        <v>34</v>
      </c>
      <c r="M11187" s="12">
        <v>264264228.79899999</v>
      </c>
      <c r="N11187" s="4">
        <v>215300</v>
      </c>
      <c r="O11187" s="4">
        <v>214500</v>
      </c>
      <c r="P11187" s="2" t="s">
        <v>32428</v>
      </c>
      <c r="Q11187" s="6">
        <v>93.71</v>
      </c>
      <c r="R11187" s="6">
        <v>235</v>
      </c>
      <c r="S11187" s="8">
        <v>1446</v>
      </c>
      <c r="T11187" s="8">
        <v>2825</v>
      </c>
      <c r="U11187" s="5">
        <v>81.599999999999994</v>
      </c>
      <c r="V11187" s="9">
        <v>10.274100000000001</v>
      </c>
      <c r="W11187" s="6">
        <v>194.92</v>
      </c>
      <c r="X11187" s="6">
        <v>193.88</v>
      </c>
      <c r="Y11187" s="6">
        <v>230.92</v>
      </c>
      <c r="Z11187" s="6">
        <v>230.92</v>
      </c>
      <c r="AA11187" s="6">
        <v>137.5</v>
      </c>
      <c r="AB11187" s="7">
        <v>14.754</v>
      </c>
      <c r="AC11187" s="8">
        <v>184425</v>
      </c>
    </row>
    <row r="11188" spans="1:29" ht="143" x14ac:dyDescent="0.15">
      <c r="A11188" s="3">
        <f>DATE(2015,8,10)</f>
        <v>42226</v>
      </c>
      <c r="B11188" s="3">
        <f>DATE(2016,4,1)</f>
        <v>42461</v>
      </c>
      <c r="C11188" s="2" t="s">
        <v>95</v>
      </c>
      <c r="D11188" s="2" t="s">
        <v>32429</v>
      </c>
      <c r="E11188" s="2" t="s">
        <v>32430</v>
      </c>
      <c r="F11188" s="4">
        <v>2873</v>
      </c>
      <c r="G11188" s="2" t="s">
        <v>98</v>
      </c>
      <c r="H11188" s="2" t="s">
        <v>34</v>
      </c>
      <c r="I11188" s="2" t="s">
        <v>32431</v>
      </c>
      <c r="J11188" s="2" t="s">
        <v>32432</v>
      </c>
      <c r="K11188" s="2" t="s">
        <v>98</v>
      </c>
      <c r="L11188" s="2" t="s">
        <v>34</v>
      </c>
      <c r="M11188" s="7">
        <v>928.66200000000003</v>
      </c>
      <c r="N11188" s="6">
        <v>10.38</v>
      </c>
      <c r="O11188" s="6">
        <v>10.75</v>
      </c>
      <c r="P11188" s="2" t="s">
        <v>32433</v>
      </c>
      <c r="Q11188" s="6">
        <v>100</v>
      </c>
      <c r="R11188" s="6">
        <v>13.69</v>
      </c>
      <c r="S11188" s="5">
        <v>-52.7</v>
      </c>
      <c r="T11188" s="7">
        <v>89.292000000000002</v>
      </c>
      <c r="U11188" s="5">
        <v>-1.9</v>
      </c>
      <c r="V11188" s="9">
        <v>-1.3541000000000001</v>
      </c>
      <c r="W11188" s="6">
        <v>11.51</v>
      </c>
      <c r="X11188" s="5">
        <v>10.3</v>
      </c>
      <c r="Y11188" s="6">
        <v>13.25</v>
      </c>
      <c r="Z11188" s="6">
        <v>14.27</v>
      </c>
      <c r="AA11188" s="6">
        <v>38.909999999999997</v>
      </c>
      <c r="AB11188" s="7">
        <v>13.334</v>
      </c>
      <c r="AC11188" s="6">
        <v>66.98</v>
      </c>
    </row>
    <row r="11189" spans="1:29" ht="130" x14ac:dyDescent="0.15">
      <c r="A11189" s="3">
        <f>DATE(2015,8,10)</f>
        <v>42226</v>
      </c>
      <c r="B11189" s="3">
        <f>DATE(2015,11,19)</f>
        <v>42327</v>
      </c>
      <c r="C11189" s="2" t="s">
        <v>95</v>
      </c>
      <c r="D11189" s="2" t="s">
        <v>32434</v>
      </c>
      <c r="E11189" s="2" t="s">
        <v>8995</v>
      </c>
      <c r="F11189" s="4">
        <v>7372</v>
      </c>
      <c r="G11189" s="2" t="s">
        <v>551</v>
      </c>
      <c r="H11189" s="2" t="s">
        <v>34</v>
      </c>
      <c r="I11189" s="2" t="s">
        <v>32435</v>
      </c>
      <c r="J11189" s="2" t="s">
        <v>32436</v>
      </c>
      <c r="K11189" s="2" t="s">
        <v>223</v>
      </c>
      <c r="L11189" s="2" t="s">
        <v>34</v>
      </c>
      <c r="M11189" s="12">
        <v>1548.2670000000001</v>
      </c>
      <c r="N11189" s="6">
        <v>45.21</v>
      </c>
      <c r="O11189" s="6">
        <v>29.38</v>
      </c>
      <c r="P11189" s="2" t="s">
        <v>32437</v>
      </c>
      <c r="Q11189" s="6">
        <v>100</v>
      </c>
      <c r="R11189" s="6">
        <v>19.84</v>
      </c>
      <c r="S11189" s="5">
        <v>-11.6</v>
      </c>
      <c r="T11189" s="7">
        <v>-5.6239999999999997</v>
      </c>
      <c r="U11189" s="5">
        <v>2.7</v>
      </c>
      <c r="V11189" s="9">
        <v>-0.69979999999999998</v>
      </c>
      <c r="W11189" s="6">
        <v>12.06</v>
      </c>
      <c r="X11189" s="6">
        <v>12.58</v>
      </c>
      <c r="Y11189" s="5">
        <v>12.6</v>
      </c>
      <c r="Z11189" s="5">
        <v>16.2</v>
      </c>
      <c r="AA11189" s="6">
        <v>29.64</v>
      </c>
      <c r="AB11189" s="2" t="s">
        <v>86</v>
      </c>
      <c r="AC11189" s="6">
        <v>198.93</v>
      </c>
    </row>
    <row r="11190" spans="1:29" ht="104" x14ac:dyDescent="0.15">
      <c r="A11190" s="3">
        <f>DATE(2015,8,11)</f>
        <v>42227</v>
      </c>
      <c r="B11190" s="3">
        <f>DATE(2016,2,1)</f>
        <v>42401</v>
      </c>
      <c r="C11190" s="2" t="s">
        <v>95</v>
      </c>
      <c r="D11190" s="2" t="s">
        <v>32438</v>
      </c>
      <c r="E11190" s="2" t="s">
        <v>23534</v>
      </c>
      <c r="F11190" s="4">
        <v>6311</v>
      </c>
      <c r="G11190" s="2" t="s">
        <v>125</v>
      </c>
      <c r="H11190" s="2" t="s">
        <v>34</v>
      </c>
      <c r="I11190" s="2" t="s">
        <v>32439</v>
      </c>
      <c r="J11190" s="2" t="s">
        <v>23534</v>
      </c>
      <c r="K11190" s="2" t="s">
        <v>125</v>
      </c>
      <c r="L11190" s="2" t="s">
        <v>99</v>
      </c>
      <c r="M11190" s="2"/>
      <c r="N11190" s="2"/>
      <c r="O11190" s="2"/>
      <c r="P11190" s="2" t="s">
        <v>32440</v>
      </c>
      <c r="Q11190" s="6">
        <v>100</v>
      </c>
      <c r="R11190" s="6">
        <v>32.5</v>
      </c>
      <c r="S11190" s="5">
        <v>173.6</v>
      </c>
      <c r="T11190" s="5">
        <v>276.5</v>
      </c>
      <c r="U11190" s="5">
        <v>27.3</v>
      </c>
      <c r="V11190" s="9">
        <v>1.4984999999999999</v>
      </c>
      <c r="W11190" s="6">
        <v>25.04</v>
      </c>
      <c r="X11190" s="6">
        <v>24.47</v>
      </c>
      <c r="Y11190" s="6">
        <v>26.77</v>
      </c>
      <c r="Z11190" s="6">
        <v>29.52</v>
      </c>
      <c r="AA11190" s="6">
        <v>116.13</v>
      </c>
      <c r="AB11190" s="7">
        <v>16.547000000000001</v>
      </c>
      <c r="AC11190" s="10">
        <v>5827.38</v>
      </c>
    </row>
    <row r="11191" spans="1:29" ht="247" x14ac:dyDescent="0.15">
      <c r="A11191" s="3">
        <f>DATE(2015,8,11)</f>
        <v>42227</v>
      </c>
      <c r="B11191" s="2"/>
      <c r="C11191" s="2" t="s">
        <v>30</v>
      </c>
      <c r="D11191" s="2" t="s">
        <v>19054</v>
      </c>
      <c r="E11191" s="2" t="s">
        <v>19055</v>
      </c>
      <c r="F11191" s="4">
        <v>3536</v>
      </c>
      <c r="G11191" s="2" t="s">
        <v>300</v>
      </c>
      <c r="H11191" s="2" t="s">
        <v>34</v>
      </c>
      <c r="I11191" s="2" t="s">
        <v>32441</v>
      </c>
      <c r="J11191" s="2" t="s">
        <v>32442</v>
      </c>
      <c r="K11191" s="2" t="s">
        <v>300</v>
      </c>
      <c r="L11191" s="2" t="s">
        <v>11620</v>
      </c>
      <c r="M11191" s="12">
        <v>1839.011</v>
      </c>
      <c r="N11191" s="7">
        <v>35.811</v>
      </c>
      <c r="O11191" s="7">
        <v>36.256</v>
      </c>
      <c r="P11191" s="2" t="s">
        <v>32443</v>
      </c>
      <c r="Q11191" s="2"/>
      <c r="R11191" s="6">
        <v>24.69</v>
      </c>
      <c r="S11191" s="5">
        <v>221.7</v>
      </c>
      <c r="T11191" s="5">
        <v>535.6</v>
      </c>
      <c r="U11191" s="5">
        <v>17.8</v>
      </c>
      <c r="V11191" s="9">
        <v>1.9863999999999999</v>
      </c>
      <c r="W11191" s="6">
        <v>21.28</v>
      </c>
      <c r="X11191" s="6">
        <v>21.83</v>
      </c>
      <c r="Y11191" s="6">
        <v>26.78</v>
      </c>
      <c r="Z11191" s="6">
        <v>26.38</v>
      </c>
      <c r="AA11191" s="6">
        <v>111.85</v>
      </c>
      <c r="AB11191" s="7">
        <v>10.805999999999999</v>
      </c>
      <c r="AC11191" s="6">
        <v>81.040000000000006</v>
      </c>
    </row>
    <row r="11192" spans="1:29" ht="78" x14ac:dyDescent="0.15">
      <c r="A11192" s="3">
        <f>DATE(2015,8,12)</f>
        <v>42228</v>
      </c>
      <c r="B11192" s="3">
        <f>DATE(2015,11,27)</f>
        <v>42335</v>
      </c>
      <c r="C11192" s="2" t="s">
        <v>95</v>
      </c>
      <c r="D11192" s="2" t="s">
        <v>32444</v>
      </c>
      <c r="E11192" s="2" t="s">
        <v>32445</v>
      </c>
      <c r="F11192" s="4">
        <v>3679</v>
      </c>
      <c r="G11192" s="2" t="s">
        <v>137</v>
      </c>
      <c r="H11192" s="2" t="s">
        <v>34</v>
      </c>
      <c r="I11192" s="2" t="s">
        <v>32446</v>
      </c>
      <c r="J11192" s="2" t="s">
        <v>32447</v>
      </c>
      <c r="K11192" s="2" t="s">
        <v>137</v>
      </c>
      <c r="L11192" s="2" t="s">
        <v>455</v>
      </c>
      <c r="M11192" s="12">
        <v>1785.6759999999999</v>
      </c>
      <c r="N11192" s="7">
        <v>3.1669999999999998</v>
      </c>
      <c r="O11192" s="6">
        <v>3.16</v>
      </c>
      <c r="P11192" s="2" t="s">
        <v>32448</v>
      </c>
      <c r="Q11192" s="6">
        <v>100</v>
      </c>
      <c r="R11192" s="6">
        <v>6.58</v>
      </c>
      <c r="S11192" s="5">
        <v>6.6</v>
      </c>
      <c r="T11192" s="7">
        <v>7.4139999999999997</v>
      </c>
      <c r="U11192" s="5">
        <v>2.2000000000000002</v>
      </c>
      <c r="V11192" s="6">
        <v>0.3</v>
      </c>
      <c r="W11192" s="6">
        <v>3.86</v>
      </c>
      <c r="X11192" s="5">
        <v>4.7</v>
      </c>
      <c r="Y11192" s="6">
        <v>4.6500000000000004</v>
      </c>
      <c r="Z11192" s="6">
        <v>6.13</v>
      </c>
      <c r="AA11192" s="6">
        <v>22.75</v>
      </c>
      <c r="AB11192" s="7">
        <v>22.623000000000001</v>
      </c>
      <c r="AC11192" s="6">
        <v>46.2</v>
      </c>
    </row>
    <row r="11193" spans="1:29" ht="78" x14ac:dyDescent="0.15">
      <c r="A11193" s="3">
        <f>DATE(2015,8,14)</f>
        <v>42230</v>
      </c>
      <c r="B11193" s="3">
        <f>DATE(2016,6,17)</f>
        <v>42538</v>
      </c>
      <c r="C11193" s="2" t="s">
        <v>95</v>
      </c>
      <c r="D11193" s="2" t="s">
        <v>32449</v>
      </c>
      <c r="E11193" s="2" t="s">
        <v>36</v>
      </c>
      <c r="F11193" s="4">
        <v>6021</v>
      </c>
      <c r="G11193" s="2" t="s">
        <v>37</v>
      </c>
      <c r="H11193" s="2" t="s">
        <v>34</v>
      </c>
      <c r="I11193" s="2" t="s">
        <v>23752</v>
      </c>
      <c r="J11193" s="2" t="s">
        <v>36</v>
      </c>
      <c r="K11193" s="2" t="s">
        <v>37</v>
      </c>
      <c r="L11193" s="2" t="s">
        <v>34</v>
      </c>
      <c r="M11193" s="7">
        <v>796.31799999999998</v>
      </c>
      <c r="N11193" s="6">
        <v>21.89</v>
      </c>
      <c r="O11193" s="6">
        <v>22.13</v>
      </c>
      <c r="P11193" s="2" t="s">
        <v>32450</v>
      </c>
      <c r="Q11193" s="6">
        <v>100</v>
      </c>
      <c r="R11193" s="6">
        <v>13.35</v>
      </c>
      <c r="S11193" s="5">
        <v>5.2</v>
      </c>
      <c r="T11193" s="7">
        <v>7.694</v>
      </c>
      <c r="U11193" s="5">
        <v>7.1</v>
      </c>
      <c r="V11193" s="9">
        <v>0.73770000000000002</v>
      </c>
      <c r="W11193" s="6">
        <v>9.2100000000000009</v>
      </c>
      <c r="X11193" s="6">
        <v>9.0500000000000007</v>
      </c>
      <c r="Y11193" s="6">
        <v>12.88</v>
      </c>
      <c r="Z11193" s="6">
        <v>12.98</v>
      </c>
      <c r="AA11193" s="6">
        <v>7.1</v>
      </c>
      <c r="AB11193" s="7">
        <v>26.922000000000001</v>
      </c>
      <c r="AC11193" s="2"/>
    </row>
    <row r="11194" spans="1:29" ht="130" x14ac:dyDescent="0.15">
      <c r="A11194" s="3">
        <f>DATE(2015,8,17)</f>
        <v>42233</v>
      </c>
      <c r="B11194" s="3">
        <f>DATE(2016,4,1)</f>
        <v>42461</v>
      </c>
      <c r="C11194" s="2" t="s">
        <v>95</v>
      </c>
      <c r="D11194" s="2" t="s">
        <v>345</v>
      </c>
      <c r="E11194" s="2" t="s">
        <v>36</v>
      </c>
      <c r="F11194" s="4">
        <v>6021</v>
      </c>
      <c r="G11194" s="2" t="s">
        <v>37</v>
      </c>
      <c r="H11194" s="2" t="s">
        <v>34</v>
      </c>
      <c r="I11194" s="2" t="s">
        <v>13707</v>
      </c>
      <c r="J11194" s="2" t="s">
        <v>36</v>
      </c>
      <c r="K11194" s="2" t="s">
        <v>37</v>
      </c>
      <c r="L11194" s="2" t="s">
        <v>34</v>
      </c>
      <c r="M11194" s="12">
        <v>30204.731</v>
      </c>
      <c r="N11194" s="6">
        <v>40.19</v>
      </c>
      <c r="O11194" s="6">
        <v>40.090000000000003</v>
      </c>
      <c r="P11194" s="2" t="s">
        <v>32451</v>
      </c>
      <c r="Q11194" s="6">
        <v>100</v>
      </c>
      <c r="R11194" s="6">
        <v>13</v>
      </c>
      <c r="S11194" s="5">
        <v>103.8</v>
      </c>
      <c r="T11194" s="7">
        <v>152.56100000000001</v>
      </c>
      <c r="U11194" s="5">
        <v>8.1</v>
      </c>
      <c r="V11194" s="9">
        <v>0.72829999999999995</v>
      </c>
      <c r="W11194" s="6">
        <v>10.94</v>
      </c>
      <c r="X11194" s="6">
        <v>10.95</v>
      </c>
      <c r="Y11194" s="6">
        <v>10.92</v>
      </c>
      <c r="Z11194" s="6">
        <v>12.75</v>
      </c>
      <c r="AA11194" s="6">
        <v>140.21</v>
      </c>
      <c r="AB11194" s="7">
        <v>24.277000000000001</v>
      </c>
      <c r="AC11194" s="2"/>
    </row>
    <row r="11195" spans="1:29" ht="156" x14ac:dyDescent="0.15">
      <c r="A11195" s="3">
        <f>DATE(2015,8,17)</f>
        <v>42233</v>
      </c>
      <c r="B11195" s="3">
        <f>DATE(2015,10,1)</f>
        <v>42278</v>
      </c>
      <c r="C11195" s="2" t="s">
        <v>95</v>
      </c>
      <c r="D11195" s="2" t="s">
        <v>32452</v>
      </c>
      <c r="E11195" s="2" t="s">
        <v>32453</v>
      </c>
      <c r="F11195" s="4">
        <v>5961</v>
      </c>
      <c r="G11195" s="2" t="s">
        <v>73</v>
      </c>
      <c r="H11195" s="2" t="s">
        <v>34</v>
      </c>
      <c r="I11195" s="2" t="s">
        <v>30151</v>
      </c>
      <c r="J11195" s="2" t="s">
        <v>27192</v>
      </c>
      <c r="K11195" s="2" t="s">
        <v>45</v>
      </c>
      <c r="L11195" s="2" t="s">
        <v>34</v>
      </c>
      <c r="M11195" s="12">
        <v>13377.427</v>
      </c>
      <c r="N11195" s="5">
        <v>29.8</v>
      </c>
      <c r="O11195" s="6">
        <v>29.79</v>
      </c>
      <c r="P11195" s="2" t="s">
        <v>32454</v>
      </c>
      <c r="Q11195" s="6">
        <v>100</v>
      </c>
      <c r="R11195" s="6">
        <v>18.75</v>
      </c>
      <c r="S11195" s="5">
        <v>11.1</v>
      </c>
      <c r="T11195" s="7">
        <v>28.695</v>
      </c>
      <c r="U11195" s="5">
        <v>2.1</v>
      </c>
      <c r="V11195" s="9">
        <v>8.4699999999999998E-2</v>
      </c>
      <c r="W11195" s="6">
        <v>13.48</v>
      </c>
      <c r="X11195" s="6">
        <v>12.57</v>
      </c>
      <c r="Y11195" s="6">
        <v>18.739999999999998</v>
      </c>
      <c r="Z11195" s="6">
        <v>18.61</v>
      </c>
      <c r="AA11195" s="6">
        <v>123.92</v>
      </c>
      <c r="AB11195" s="7">
        <v>177.953</v>
      </c>
      <c r="AC11195" s="2"/>
    </row>
    <row r="11196" spans="1:29" ht="78" x14ac:dyDescent="0.15">
      <c r="A11196" s="3">
        <f>DATE(2015,8,18)</f>
        <v>42234</v>
      </c>
      <c r="B11196" s="3">
        <f>DATE(2015,10,6)</f>
        <v>42283</v>
      </c>
      <c r="C11196" s="2" t="s">
        <v>95</v>
      </c>
      <c r="D11196" s="2" t="s">
        <v>32455</v>
      </c>
      <c r="E11196" s="2" t="s">
        <v>4801</v>
      </c>
      <c r="F11196" s="4">
        <v>3572</v>
      </c>
      <c r="G11196" s="2" t="s">
        <v>50</v>
      </c>
      <c r="H11196" s="2" t="s">
        <v>34</v>
      </c>
      <c r="I11196" s="2" t="s">
        <v>28725</v>
      </c>
      <c r="J11196" s="2" t="s">
        <v>28726</v>
      </c>
      <c r="K11196" s="2" t="s">
        <v>50</v>
      </c>
      <c r="L11196" s="2" t="s">
        <v>34</v>
      </c>
      <c r="M11196" s="12">
        <v>14530.852999999999</v>
      </c>
      <c r="N11196" s="6">
        <v>52.05</v>
      </c>
      <c r="O11196" s="6">
        <v>49.43</v>
      </c>
      <c r="P11196" s="2" t="s">
        <v>32456</v>
      </c>
      <c r="Q11196" s="6">
        <v>100</v>
      </c>
      <c r="R11196" s="6">
        <v>9.75</v>
      </c>
      <c r="S11196" s="5">
        <v>13.1</v>
      </c>
      <c r="T11196" s="7">
        <v>17.814</v>
      </c>
      <c r="U11196" s="5">
        <v>1.2</v>
      </c>
      <c r="V11196" s="9">
        <v>0.20369999999999999</v>
      </c>
      <c r="W11196" s="6">
        <v>5.33</v>
      </c>
      <c r="X11196" s="6">
        <v>5.44</v>
      </c>
      <c r="Y11196" s="6">
        <v>5.18</v>
      </c>
      <c r="Z11196" s="6">
        <v>9.68</v>
      </c>
      <c r="AA11196" s="6">
        <v>62.35</v>
      </c>
      <c r="AB11196" s="7">
        <v>42.929000000000002</v>
      </c>
      <c r="AC11196" s="8">
        <v>2495</v>
      </c>
    </row>
    <row r="11197" spans="1:29" ht="65" x14ac:dyDescent="0.15">
      <c r="A11197" s="3">
        <f>DATE(2015,8,20)</f>
        <v>42236</v>
      </c>
      <c r="B11197" s="2"/>
      <c r="C11197" s="2" t="s">
        <v>87</v>
      </c>
      <c r="D11197" s="2" t="s">
        <v>10110</v>
      </c>
      <c r="E11197" s="2" t="s">
        <v>32457</v>
      </c>
      <c r="F11197" s="4">
        <v>3634</v>
      </c>
      <c r="G11197" s="2" t="s">
        <v>137</v>
      </c>
      <c r="H11197" s="2" t="s">
        <v>34</v>
      </c>
      <c r="I11197" s="2" t="s">
        <v>13850</v>
      </c>
      <c r="J11197" s="2" t="s">
        <v>13851</v>
      </c>
      <c r="K11197" s="2" t="s">
        <v>219</v>
      </c>
      <c r="L11197" s="2" t="s">
        <v>34</v>
      </c>
      <c r="M11197" s="12">
        <v>90075.055999999997</v>
      </c>
      <c r="N11197" s="6">
        <v>95.82</v>
      </c>
      <c r="O11197" s="6">
        <v>93.01</v>
      </c>
      <c r="P11197" s="2" t="s">
        <v>32458</v>
      </c>
      <c r="Q11197" s="2"/>
      <c r="R11197" s="2"/>
      <c r="S11197" s="5">
        <v>-7</v>
      </c>
      <c r="T11197" s="5">
        <v>241.1</v>
      </c>
      <c r="U11197" s="5">
        <v>1.5</v>
      </c>
      <c r="V11197" s="7">
        <v>-0.40400000000000003</v>
      </c>
      <c r="W11197" s="6">
        <v>73.94</v>
      </c>
      <c r="X11197" s="6">
        <v>74.16</v>
      </c>
      <c r="Y11197" s="6">
        <v>86.78</v>
      </c>
      <c r="Z11197" s="6">
        <v>85.62</v>
      </c>
      <c r="AA11197" s="6">
        <v>16.27</v>
      </c>
      <c r="AB11197" s="2" t="s">
        <v>47</v>
      </c>
      <c r="AC11197" s="8">
        <v>5933</v>
      </c>
    </row>
    <row r="11198" spans="1:29" ht="52" x14ac:dyDescent="0.15">
      <c r="A11198" s="3">
        <f>DATE(2015,8,24)</f>
        <v>42240</v>
      </c>
      <c r="B11198" s="3">
        <f>DATE(2016,7,1)</f>
        <v>42552</v>
      </c>
      <c r="C11198" s="2" t="s">
        <v>95</v>
      </c>
      <c r="D11198" s="2" t="s">
        <v>22155</v>
      </c>
      <c r="E11198" s="2" t="s">
        <v>1437</v>
      </c>
      <c r="F11198" s="4">
        <v>4924</v>
      </c>
      <c r="G11198" s="2" t="s">
        <v>439</v>
      </c>
      <c r="H11198" s="2" t="s">
        <v>34</v>
      </c>
      <c r="I11198" s="2" t="s">
        <v>23913</v>
      </c>
      <c r="J11198" s="2" t="s">
        <v>1977</v>
      </c>
      <c r="K11198" s="2" t="s">
        <v>439</v>
      </c>
      <c r="L11198" s="2" t="s">
        <v>34</v>
      </c>
      <c r="M11198" s="12">
        <v>39461.974000000002</v>
      </c>
      <c r="N11198" s="6">
        <v>43.58</v>
      </c>
      <c r="O11198" s="5">
        <v>42.5</v>
      </c>
      <c r="P11198" s="2" t="s">
        <v>32459</v>
      </c>
      <c r="Q11198" s="6">
        <v>100</v>
      </c>
      <c r="R11198" s="6">
        <v>66</v>
      </c>
      <c r="S11198" s="5">
        <v>363</v>
      </c>
      <c r="T11198" s="8">
        <v>1217</v>
      </c>
      <c r="U11198" s="5">
        <v>32.9</v>
      </c>
      <c r="V11198" s="9">
        <v>3.2942999999999998</v>
      </c>
      <c r="W11198" s="6">
        <v>49.82</v>
      </c>
      <c r="X11198" s="6">
        <v>47.86</v>
      </c>
      <c r="Y11198" s="6">
        <v>61.41</v>
      </c>
      <c r="Z11198" s="6">
        <v>60.84</v>
      </c>
      <c r="AA11198" s="6">
        <v>120.09</v>
      </c>
      <c r="AB11198" s="7">
        <v>14.212999999999999</v>
      </c>
      <c r="AC11198" s="5">
        <v>829</v>
      </c>
    </row>
    <row r="11199" spans="1:29" ht="130" x14ac:dyDescent="0.15">
      <c r="A11199" s="3">
        <f>DATE(2015,8,24)</f>
        <v>42240</v>
      </c>
      <c r="B11199" s="3">
        <f>DATE(2015,12,10)</f>
        <v>42348</v>
      </c>
      <c r="C11199" s="2" t="s">
        <v>95</v>
      </c>
      <c r="D11199" s="2" t="s">
        <v>32460</v>
      </c>
      <c r="E11199" s="2" t="s">
        <v>1063</v>
      </c>
      <c r="F11199" s="4">
        <v>5311</v>
      </c>
      <c r="G11199" s="2" t="s">
        <v>756</v>
      </c>
      <c r="H11199" s="2" t="s">
        <v>34</v>
      </c>
      <c r="I11199" s="2" t="s">
        <v>11837</v>
      </c>
      <c r="J11199" s="2" t="s">
        <v>244</v>
      </c>
      <c r="K11199" s="2" t="s">
        <v>53</v>
      </c>
      <c r="L11199" s="2" t="s">
        <v>34</v>
      </c>
      <c r="M11199" s="2"/>
      <c r="N11199" s="2"/>
      <c r="O11199" s="2"/>
      <c r="P11199" s="2" t="s">
        <v>32461</v>
      </c>
      <c r="Q11199" s="6">
        <v>100</v>
      </c>
      <c r="R11199" s="6">
        <v>68</v>
      </c>
      <c r="S11199" s="2"/>
      <c r="T11199" s="2"/>
      <c r="U11199" s="2"/>
      <c r="V11199" s="2"/>
      <c r="W11199" s="5">
        <v>49.5</v>
      </c>
      <c r="X11199" s="5">
        <v>49.5</v>
      </c>
      <c r="Y11199" s="4">
        <v>78</v>
      </c>
      <c r="Z11199" s="4">
        <v>78</v>
      </c>
      <c r="AA11199" s="6">
        <v>39.39</v>
      </c>
      <c r="AB11199" s="2" t="s">
        <v>47</v>
      </c>
      <c r="AC11199" s="2"/>
    </row>
    <row r="11200" spans="1:29" ht="65" x14ac:dyDescent="0.15">
      <c r="A11200" s="3">
        <f>DATE(2015,8,24)</f>
        <v>42240</v>
      </c>
      <c r="B11200" s="2"/>
      <c r="C11200" s="2" t="s">
        <v>7330</v>
      </c>
      <c r="D11200" s="2" t="s">
        <v>2068</v>
      </c>
      <c r="E11200" s="2" t="s">
        <v>26906</v>
      </c>
      <c r="F11200" s="4">
        <v>6798</v>
      </c>
      <c r="G11200" s="2" t="s">
        <v>53</v>
      </c>
      <c r="H11200" s="2" t="s">
        <v>34</v>
      </c>
      <c r="I11200" s="2" t="s">
        <v>32462</v>
      </c>
      <c r="J11200" s="2" t="s">
        <v>32463</v>
      </c>
      <c r="K11200" s="2" t="s">
        <v>53</v>
      </c>
      <c r="L11200" s="2" t="s">
        <v>34</v>
      </c>
      <c r="M11200" s="2"/>
      <c r="N11200" s="2"/>
      <c r="O11200" s="2"/>
      <c r="P11200" s="2" t="s">
        <v>32464</v>
      </c>
      <c r="Q11200" s="2"/>
      <c r="R11200" s="6">
        <v>32</v>
      </c>
      <c r="S11200" s="5">
        <v>12.3</v>
      </c>
      <c r="T11200" s="7">
        <v>33.005000000000003</v>
      </c>
      <c r="U11200" s="5">
        <v>24.2</v>
      </c>
      <c r="V11200" s="9">
        <v>2.1034999999999999</v>
      </c>
      <c r="W11200" s="4">
        <v>38</v>
      </c>
      <c r="X11200" s="4">
        <v>39</v>
      </c>
      <c r="Y11200" s="4">
        <v>39</v>
      </c>
      <c r="Z11200" s="4">
        <v>35</v>
      </c>
      <c r="AA11200" s="6">
        <v>5.85</v>
      </c>
      <c r="AB11200" s="7">
        <v>8.9710000000000001</v>
      </c>
      <c r="AC11200" s="2"/>
    </row>
    <row r="11201" spans="1:29" ht="156" x14ac:dyDescent="0.15">
      <c r="A11201" s="3">
        <f>DATE(2015,8,26)</f>
        <v>42242</v>
      </c>
      <c r="B11201" s="3">
        <f>DATE(2016,4,1)</f>
        <v>42461</v>
      </c>
      <c r="C11201" s="2" t="s">
        <v>95</v>
      </c>
      <c r="D11201" s="2" t="s">
        <v>27561</v>
      </c>
      <c r="E11201" s="2" t="s">
        <v>27562</v>
      </c>
      <c r="F11201" s="4">
        <v>3533</v>
      </c>
      <c r="G11201" s="2" t="s">
        <v>300</v>
      </c>
      <c r="H11201" s="2" t="s">
        <v>34</v>
      </c>
      <c r="I11201" s="2" t="s">
        <v>17848</v>
      </c>
      <c r="J11201" s="2" t="s">
        <v>24590</v>
      </c>
      <c r="K11201" s="2" t="s">
        <v>148</v>
      </c>
      <c r="L11201" s="2" t="s">
        <v>34</v>
      </c>
      <c r="M11201" s="12">
        <v>106158.52099999999</v>
      </c>
      <c r="N11201" s="6">
        <v>70.09</v>
      </c>
      <c r="O11201" s="6">
        <v>73.849999999999994</v>
      </c>
      <c r="P11201" s="2" t="s">
        <v>32465</v>
      </c>
      <c r="Q11201" s="6">
        <v>100</v>
      </c>
      <c r="R11201" s="6">
        <v>66.36</v>
      </c>
      <c r="S11201" s="5">
        <v>668</v>
      </c>
      <c r="T11201" s="8">
        <v>1609</v>
      </c>
      <c r="U11201" s="5">
        <v>23.1</v>
      </c>
      <c r="V11201" s="9">
        <v>1.0234000000000001</v>
      </c>
      <c r="W11201" s="6">
        <v>47.41</v>
      </c>
      <c r="X11201" s="6">
        <v>42.47</v>
      </c>
      <c r="Y11201" s="6">
        <v>59.93</v>
      </c>
      <c r="Z11201" s="6">
        <v>63.21</v>
      </c>
      <c r="AA11201" s="6">
        <v>191.51</v>
      </c>
      <c r="AB11201" s="7">
        <v>11.117000000000001</v>
      </c>
      <c r="AC11201" s="8">
        <v>7301</v>
      </c>
    </row>
    <row r="11202" spans="1:29" ht="91" x14ac:dyDescent="0.15">
      <c r="A11202" s="3">
        <f>DATE(2015,8,26)</f>
        <v>42242</v>
      </c>
      <c r="B11202" s="3">
        <f>DATE(2016,1,8)</f>
        <v>42377</v>
      </c>
      <c r="C11202" s="2" t="s">
        <v>95</v>
      </c>
      <c r="D11202" s="2" t="s">
        <v>32466</v>
      </c>
      <c r="E11202" s="2" t="s">
        <v>21800</v>
      </c>
      <c r="F11202" s="4">
        <v>6021</v>
      </c>
      <c r="G11202" s="2" t="s">
        <v>37</v>
      </c>
      <c r="H11202" s="2" t="s">
        <v>34</v>
      </c>
      <c r="I11202" s="2" t="s">
        <v>16901</v>
      </c>
      <c r="J11202" s="2" t="s">
        <v>32012</v>
      </c>
      <c r="K11202" s="2" t="s">
        <v>33</v>
      </c>
      <c r="L11202" s="2" t="s">
        <v>34</v>
      </c>
      <c r="M11202" s="7">
        <v>684.89200000000005</v>
      </c>
      <c r="N11202" s="6">
        <v>14.79</v>
      </c>
      <c r="O11202" s="6">
        <v>14.78</v>
      </c>
      <c r="P11202" s="2" t="s">
        <v>32467</v>
      </c>
      <c r="Q11202" s="6">
        <v>100</v>
      </c>
      <c r="R11202" s="6">
        <v>14.5</v>
      </c>
      <c r="S11202" s="2"/>
      <c r="T11202" s="2"/>
      <c r="U11202" s="2"/>
      <c r="V11202" s="2"/>
      <c r="W11202" s="5">
        <v>9.1</v>
      </c>
      <c r="X11202" s="5">
        <v>9.1</v>
      </c>
      <c r="Y11202" s="6">
        <v>13.83</v>
      </c>
      <c r="Z11202" s="6">
        <v>13.78</v>
      </c>
      <c r="AA11202" s="6">
        <v>3.55</v>
      </c>
      <c r="AB11202" s="2" t="s">
        <v>47</v>
      </c>
      <c r="AC11202" s="2"/>
    </row>
    <row r="11203" spans="1:29" ht="65" x14ac:dyDescent="0.15">
      <c r="A11203" s="3">
        <f>DATE(2015,8,28)</f>
        <v>42244</v>
      </c>
      <c r="B11203" s="2"/>
      <c r="C11203" s="2" t="s">
        <v>87</v>
      </c>
      <c r="D11203" s="2" t="s">
        <v>32468</v>
      </c>
      <c r="E11203" s="2" t="s">
        <v>3461</v>
      </c>
      <c r="F11203" s="4">
        <v>2836</v>
      </c>
      <c r="G11203" s="2" t="s">
        <v>130</v>
      </c>
      <c r="H11203" s="2" t="s">
        <v>34</v>
      </c>
      <c r="I11203" s="2" t="s">
        <v>32407</v>
      </c>
      <c r="J11203" s="2" t="s">
        <v>13055</v>
      </c>
      <c r="K11203" s="2" t="s">
        <v>130</v>
      </c>
      <c r="L11203" s="2" t="s">
        <v>34</v>
      </c>
      <c r="M11203" s="12">
        <v>22224.877</v>
      </c>
      <c r="N11203" s="6">
        <v>35.25</v>
      </c>
      <c r="O11203" s="6">
        <v>35.15</v>
      </c>
      <c r="P11203" s="2" t="s">
        <v>32469</v>
      </c>
      <c r="Q11203" s="2"/>
      <c r="R11203" s="2"/>
      <c r="S11203" s="5">
        <v>-171.7</v>
      </c>
      <c r="T11203" s="7">
        <v>-150.82400000000001</v>
      </c>
      <c r="U11203" s="5">
        <v>-0.1</v>
      </c>
      <c r="V11203" s="9">
        <v>-0.91349999999999998</v>
      </c>
      <c r="W11203" s="6">
        <v>6.63</v>
      </c>
      <c r="X11203" s="6">
        <v>6.98</v>
      </c>
      <c r="Y11203" s="6">
        <v>9.89</v>
      </c>
      <c r="Z11203" s="6">
        <v>9.44</v>
      </c>
      <c r="AA11203" s="6">
        <v>188.9</v>
      </c>
      <c r="AB11203" s="2" t="s">
        <v>86</v>
      </c>
      <c r="AC11203" s="8">
        <v>2091</v>
      </c>
    </row>
    <row r="11204" spans="1:29" ht="52" x14ac:dyDescent="0.15">
      <c r="A11204" s="3">
        <f>DATE(2015,8,28)</f>
        <v>42244</v>
      </c>
      <c r="B11204" s="2"/>
      <c r="C11204" s="2" t="s">
        <v>141</v>
      </c>
      <c r="D11204" s="2" t="s">
        <v>32470</v>
      </c>
      <c r="E11204" s="2" t="s">
        <v>92</v>
      </c>
      <c r="F11204" s="4">
        <v>6798</v>
      </c>
      <c r="G11204" s="2" t="s">
        <v>53</v>
      </c>
      <c r="H11204" s="2" t="s">
        <v>34</v>
      </c>
      <c r="I11204" s="2" t="s">
        <v>143</v>
      </c>
      <c r="J11204" s="2" t="s">
        <v>144</v>
      </c>
      <c r="K11204" s="2" t="s">
        <v>53</v>
      </c>
      <c r="L11204" s="2" t="s">
        <v>139</v>
      </c>
      <c r="M11204" s="2"/>
      <c r="N11204" s="2"/>
      <c r="O11204" s="2"/>
      <c r="P11204" s="2" t="s">
        <v>32471</v>
      </c>
      <c r="Q11204" s="2"/>
      <c r="R11204" s="2"/>
      <c r="S11204" s="5">
        <v>7.8</v>
      </c>
      <c r="T11204" s="2"/>
      <c r="U11204" s="5">
        <v>12.2</v>
      </c>
      <c r="V11204" s="9">
        <v>0.23330000000000001</v>
      </c>
      <c r="W11204" s="6">
        <v>12.46</v>
      </c>
      <c r="X11204" s="6">
        <v>12.25</v>
      </c>
      <c r="Y11204" s="6">
        <v>14.15</v>
      </c>
      <c r="Z11204" s="6">
        <v>13.83</v>
      </c>
      <c r="AA11204" s="6">
        <v>28.47</v>
      </c>
      <c r="AB11204" s="2" t="s">
        <v>47</v>
      </c>
      <c r="AC11204" s="2"/>
    </row>
    <row r="11205" spans="1:29" ht="104" x14ac:dyDescent="0.15">
      <c r="A11205" s="3">
        <f>DATE(2015,8,31)</f>
        <v>42247</v>
      </c>
      <c r="B11205" s="3">
        <f>DATE(2015,10,14)</f>
        <v>42291</v>
      </c>
      <c r="C11205" s="2" t="s">
        <v>95</v>
      </c>
      <c r="D11205" s="2" t="s">
        <v>31032</v>
      </c>
      <c r="E11205" s="2" t="s">
        <v>31033</v>
      </c>
      <c r="F11205" s="4">
        <v>3999</v>
      </c>
      <c r="G11205" s="2" t="s">
        <v>112</v>
      </c>
      <c r="H11205" s="2" t="s">
        <v>34</v>
      </c>
      <c r="I11205" s="2" t="s">
        <v>30530</v>
      </c>
      <c r="J11205" s="2" t="s">
        <v>244</v>
      </c>
      <c r="K11205" s="2" t="s">
        <v>53</v>
      </c>
      <c r="L11205" s="2" t="s">
        <v>34</v>
      </c>
      <c r="M11205" s="12">
        <v>2043.8440000000001</v>
      </c>
      <c r="N11205" s="6">
        <v>21.16</v>
      </c>
      <c r="O11205" s="6">
        <v>20.16</v>
      </c>
      <c r="P11205" s="2" t="s">
        <v>32472</v>
      </c>
      <c r="Q11205" s="6">
        <v>100</v>
      </c>
      <c r="R11205" s="6">
        <v>6</v>
      </c>
      <c r="S11205" s="5">
        <v>72.7</v>
      </c>
      <c r="T11205" s="7">
        <v>1.6379999999999999</v>
      </c>
      <c r="U11205" s="5">
        <v>6.7</v>
      </c>
      <c r="V11205" s="9">
        <v>-2.3523999999999998</v>
      </c>
      <c r="W11205" s="6">
        <v>2.92</v>
      </c>
      <c r="X11205" s="6">
        <v>2.92</v>
      </c>
      <c r="Y11205" s="6">
        <v>5.97</v>
      </c>
      <c r="Z11205" s="6">
        <v>5.95</v>
      </c>
      <c r="AA11205" s="6">
        <v>16.14</v>
      </c>
      <c r="AB11205" s="2" t="s">
        <v>86</v>
      </c>
      <c r="AC11205" s="8">
        <v>2323.1999999999998</v>
      </c>
    </row>
    <row r="11206" spans="1:29" ht="182" x14ac:dyDescent="0.15">
      <c r="A11206" s="3">
        <f>DATE(2015,9,1)</f>
        <v>42248</v>
      </c>
      <c r="B11206" s="3">
        <f>DATE(2016,6,1)</f>
        <v>42522</v>
      </c>
      <c r="C11206" s="2" t="s">
        <v>95</v>
      </c>
      <c r="D11206" s="2" t="s">
        <v>32473</v>
      </c>
      <c r="E11206" s="2" t="s">
        <v>32474</v>
      </c>
      <c r="F11206" s="4">
        <v>3714</v>
      </c>
      <c r="G11206" s="2" t="s">
        <v>105</v>
      </c>
      <c r="H11206" s="2" t="s">
        <v>34</v>
      </c>
      <c r="I11206" s="2" t="s">
        <v>32475</v>
      </c>
      <c r="J11206" s="2" t="s">
        <v>32476</v>
      </c>
      <c r="K11206" s="2" t="s">
        <v>300</v>
      </c>
      <c r="L11206" s="2" t="s">
        <v>902</v>
      </c>
      <c r="M11206" s="7">
        <v>242.35599999999999</v>
      </c>
      <c r="N11206" s="7">
        <v>3.3050000000000002</v>
      </c>
      <c r="O11206" s="7">
        <v>3.4079999999999999</v>
      </c>
      <c r="P11206" s="2" t="s">
        <v>32477</v>
      </c>
      <c r="Q11206" s="6">
        <v>100</v>
      </c>
      <c r="R11206" s="6">
        <v>5.15</v>
      </c>
      <c r="S11206" s="2"/>
      <c r="T11206" s="2"/>
      <c r="U11206" s="2"/>
      <c r="V11206" s="2"/>
      <c r="W11206" s="6">
        <v>5.96</v>
      </c>
      <c r="X11206" s="6">
        <v>6.85</v>
      </c>
      <c r="Y11206" s="6">
        <v>6.56</v>
      </c>
      <c r="Z11206" s="6">
        <v>6.35</v>
      </c>
      <c r="AA11206" s="6">
        <v>18.09</v>
      </c>
      <c r="AB11206" s="2" t="s">
        <v>47</v>
      </c>
      <c r="AC11206" s="6">
        <v>24.66</v>
      </c>
    </row>
    <row r="11207" spans="1:29" ht="117" x14ac:dyDescent="0.15">
      <c r="A11207" s="3">
        <f>DATE(2015,9,2)</f>
        <v>42249</v>
      </c>
      <c r="B11207" s="3">
        <f>DATE(2015,10,15)</f>
        <v>42292</v>
      </c>
      <c r="C11207" s="2" t="s">
        <v>95</v>
      </c>
      <c r="D11207" s="2" t="s">
        <v>32478</v>
      </c>
      <c r="E11207" s="2" t="s">
        <v>32479</v>
      </c>
      <c r="F11207" s="4">
        <v>3845</v>
      </c>
      <c r="G11207" s="2" t="s">
        <v>226</v>
      </c>
      <c r="H11207" s="2" t="s">
        <v>34</v>
      </c>
      <c r="I11207" s="2" t="s">
        <v>28374</v>
      </c>
      <c r="J11207" s="2" t="s">
        <v>29140</v>
      </c>
      <c r="K11207" s="2" t="s">
        <v>130</v>
      </c>
      <c r="L11207" s="2" t="s">
        <v>34</v>
      </c>
      <c r="M11207" s="12">
        <v>89988.937999999995</v>
      </c>
      <c r="N11207" s="6">
        <v>232.18</v>
      </c>
      <c r="O11207" s="6">
        <v>228.47</v>
      </c>
      <c r="P11207" s="2" t="s">
        <v>32480</v>
      </c>
      <c r="Q11207" s="6">
        <v>100</v>
      </c>
      <c r="R11207" s="6">
        <v>7.5</v>
      </c>
      <c r="S11207" s="5">
        <v>4.5</v>
      </c>
      <c r="T11207" s="7">
        <v>10.172000000000001</v>
      </c>
      <c r="U11207" s="5">
        <v>2.7</v>
      </c>
      <c r="V11207" s="7">
        <v>0.17599999999999999</v>
      </c>
      <c r="W11207" s="6">
        <v>4.21</v>
      </c>
      <c r="X11207" s="6">
        <v>4.3899999999999997</v>
      </c>
      <c r="Y11207" s="6">
        <v>6.58</v>
      </c>
      <c r="Z11207" s="6">
        <v>6.56</v>
      </c>
      <c r="AA11207" s="6">
        <v>25.57</v>
      </c>
      <c r="AB11207" s="7">
        <v>25.529</v>
      </c>
      <c r="AC11207" s="10">
        <v>1196.54</v>
      </c>
    </row>
    <row r="11208" spans="1:29" ht="52" x14ac:dyDescent="0.15">
      <c r="A11208" s="3">
        <f>DATE(2015,9,3)</f>
        <v>42250</v>
      </c>
      <c r="B11208" s="3">
        <f>DATE(2015,12,22)</f>
        <v>42360</v>
      </c>
      <c r="C11208" s="2" t="s">
        <v>95</v>
      </c>
      <c r="D11208" s="2" t="s">
        <v>32481</v>
      </c>
      <c r="E11208" s="2" t="s">
        <v>375</v>
      </c>
      <c r="F11208" s="4">
        <v>4813</v>
      </c>
      <c r="G11208" s="2" t="s">
        <v>63</v>
      </c>
      <c r="H11208" s="2" t="s">
        <v>34</v>
      </c>
      <c r="I11208" s="2" t="s">
        <v>32482</v>
      </c>
      <c r="J11208" s="2" t="s">
        <v>560</v>
      </c>
      <c r="K11208" s="2" t="s">
        <v>63</v>
      </c>
      <c r="L11208" s="2" t="s">
        <v>34</v>
      </c>
      <c r="M11208" s="2"/>
      <c r="N11208" s="2"/>
      <c r="O11208" s="2"/>
      <c r="P11208" s="2" t="s">
        <v>32483</v>
      </c>
      <c r="Q11208" s="6">
        <v>100</v>
      </c>
      <c r="R11208" s="6">
        <v>4.7</v>
      </c>
      <c r="S11208" s="5">
        <v>-3.9</v>
      </c>
      <c r="T11208" s="7">
        <v>-2.0880000000000001</v>
      </c>
      <c r="U11208" s="5">
        <v>3.8</v>
      </c>
      <c r="V11208" s="9">
        <v>-0.63780000000000003</v>
      </c>
      <c r="W11208" s="6">
        <v>3.61</v>
      </c>
      <c r="X11208" s="6">
        <v>3.58</v>
      </c>
      <c r="Y11208" s="6">
        <v>4.53</v>
      </c>
      <c r="Z11208" s="7">
        <v>4.5289999999999999</v>
      </c>
      <c r="AA11208" s="6">
        <v>6</v>
      </c>
      <c r="AB11208" s="2" t="s">
        <v>86</v>
      </c>
      <c r="AC11208" s="2"/>
    </row>
    <row r="11209" spans="1:29" ht="52" x14ac:dyDescent="0.15">
      <c r="A11209" s="3">
        <f>DATE(2015,9,3)</f>
        <v>42250</v>
      </c>
      <c r="B11209" s="3">
        <f>DATE(2016,1,8)</f>
        <v>42377</v>
      </c>
      <c r="C11209" s="2" t="s">
        <v>95</v>
      </c>
      <c r="D11209" s="2" t="s">
        <v>32484</v>
      </c>
      <c r="E11209" s="2" t="s">
        <v>32485</v>
      </c>
      <c r="F11209" s="4">
        <v>6035</v>
      </c>
      <c r="G11209" s="2" t="s">
        <v>33</v>
      </c>
      <c r="H11209" s="2" t="s">
        <v>34</v>
      </c>
      <c r="I11209" s="2" t="s">
        <v>32486</v>
      </c>
      <c r="J11209" s="2" t="s">
        <v>36</v>
      </c>
      <c r="K11209" s="2" t="s">
        <v>37</v>
      </c>
      <c r="L11209" s="2" t="s">
        <v>34</v>
      </c>
      <c r="M11209" s="2"/>
      <c r="N11209" s="2"/>
      <c r="O11209" s="2"/>
      <c r="P11209" s="2" t="s">
        <v>32487</v>
      </c>
      <c r="Q11209" s="6">
        <v>100</v>
      </c>
      <c r="R11209" s="6">
        <v>28.5</v>
      </c>
      <c r="S11209" s="2"/>
      <c r="T11209" s="2"/>
      <c r="U11209" s="2"/>
      <c r="V11209" s="2"/>
      <c r="W11209" s="6">
        <v>22.75</v>
      </c>
      <c r="X11209" s="4">
        <v>22</v>
      </c>
      <c r="Y11209" s="4">
        <v>22</v>
      </c>
      <c r="Z11209" s="6">
        <v>27.25</v>
      </c>
      <c r="AA11209" s="6">
        <v>1.21</v>
      </c>
      <c r="AB11209" s="2" t="s">
        <v>47</v>
      </c>
      <c r="AC11209" s="2"/>
    </row>
    <row r="11210" spans="1:29" ht="130" x14ac:dyDescent="0.15">
      <c r="A11210" s="3">
        <f>DATE(2015,9,3)</f>
        <v>42250</v>
      </c>
      <c r="B11210" s="3">
        <f>DATE(2015,10,23)</f>
        <v>42300</v>
      </c>
      <c r="C11210" s="2" t="s">
        <v>95</v>
      </c>
      <c r="D11210" s="2" t="s">
        <v>32488</v>
      </c>
      <c r="E11210" s="2" t="s">
        <v>32489</v>
      </c>
      <c r="F11210" s="4">
        <v>7372</v>
      </c>
      <c r="G11210" s="2" t="s">
        <v>551</v>
      </c>
      <c r="H11210" s="2" t="s">
        <v>34</v>
      </c>
      <c r="I11210" s="2" t="s">
        <v>32242</v>
      </c>
      <c r="J11210" s="2" t="s">
        <v>32184</v>
      </c>
      <c r="K11210" s="2" t="s">
        <v>223</v>
      </c>
      <c r="L11210" s="2" t="s">
        <v>34</v>
      </c>
      <c r="M11210" s="2"/>
      <c r="N11210" s="2"/>
      <c r="O11210" s="2"/>
      <c r="P11210" s="2" t="s">
        <v>32490</v>
      </c>
      <c r="Q11210" s="6">
        <v>100</v>
      </c>
      <c r="R11210" s="6">
        <v>1.75</v>
      </c>
      <c r="S11210" s="5">
        <v>-156.30000000000001</v>
      </c>
      <c r="T11210" s="7">
        <v>-44.085000000000001</v>
      </c>
      <c r="U11210" s="5">
        <v>1.6</v>
      </c>
      <c r="V11210" s="9">
        <v>-1.3496999999999999</v>
      </c>
      <c r="W11210" s="5">
        <v>1.6</v>
      </c>
      <c r="X11210" s="6">
        <v>1.45</v>
      </c>
      <c r="Y11210" s="6">
        <v>1.86</v>
      </c>
      <c r="Z11210" s="6">
        <v>1.85</v>
      </c>
      <c r="AA11210" s="6">
        <v>141.69999999999999</v>
      </c>
      <c r="AB11210" s="2" t="s">
        <v>86</v>
      </c>
      <c r="AC11210" s="5">
        <v>476.9</v>
      </c>
    </row>
    <row r="11211" spans="1:29" ht="117" x14ac:dyDescent="0.15">
      <c r="A11211" s="3">
        <f>DATE(2015,9,3)</f>
        <v>42250</v>
      </c>
      <c r="B11211" s="3">
        <f>DATE(2015,11,25)</f>
        <v>42333</v>
      </c>
      <c r="C11211" s="2" t="s">
        <v>95</v>
      </c>
      <c r="D11211" s="2" t="s">
        <v>32491</v>
      </c>
      <c r="E11211" s="2" t="s">
        <v>13887</v>
      </c>
      <c r="F11211" s="4">
        <v>3674</v>
      </c>
      <c r="G11211" s="2" t="s">
        <v>137</v>
      </c>
      <c r="H11211" s="2" t="s">
        <v>34</v>
      </c>
      <c r="I11211" s="2" t="s">
        <v>206</v>
      </c>
      <c r="J11211" s="2" t="s">
        <v>207</v>
      </c>
      <c r="K11211" s="2" t="s">
        <v>137</v>
      </c>
      <c r="L11211" s="2" t="s">
        <v>34</v>
      </c>
      <c r="M11211" s="12">
        <v>1058.0440000000001</v>
      </c>
      <c r="N11211" s="6">
        <v>21.81</v>
      </c>
      <c r="O11211" s="5">
        <v>22.9</v>
      </c>
      <c r="P11211" s="2" t="s">
        <v>32492</v>
      </c>
      <c r="Q11211" s="6">
        <v>100</v>
      </c>
      <c r="R11211" s="6">
        <v>17.75</v>
      </c>
      <c r="S11211" s="5">
        <v>12.9</v>
      </c>
      <c r="T11211" s="7">
        <v>17.715</v>
      </c>
      <c r="U11211" s="5">
        <v>9.5</v>
      </c>
      <c r="V11211" s="9">
        <v>0.5665</v>
      </c>
      <c r="W11211" s="5">
        <v>12.1</v>
      </c>
      <c r="X11211" s="6">
        <v>12.18</v>
      </c>
      <c r="Y11211" s="6">
        <v>16.77</v>
      </c>
      <c r="Z11211" s="6">
        <v>16.77</v>
      </c>
      <c r="AA11211" s="6">
        <v>21.86</v>
      </c>
      <c r="AB11211" s="7">
        <v>32.177999999999997</v>
      </c>
      <c r="AC11211" s="6">
        <v>213.34</v>
      </c>
    </row>
    <row r="11212" spans="1:29" ht="130" x14ac:dyDescent="0.15">
      <c r="A11212" s="3">
        <f>DATE(2015,9,4)</f>
        <v>42251</v>
      </c>
      <c r="B11212" s="3">
        <f>DATE(2016,7,1)</f>
        <v>42552</v>
      </c>
      <c r="C11212" s="2" t="s">
        <v>95</v>
      </c>
      <c r="D11212" s="2" t="s">
        <v>32493</v>
      </c>
      <c r="E11212" s="2" t="s">
        <v>3759</v>
      </c>
      <c r="F11212" s="4">
        <v>4931</v>
      </c>
      <c r="G11212" s="2" t="s">
        <v>439</v>
      </c>
      <c r="H11212" s="2" t="s">
        <v>34</v>
      </c>
      <c r="I11212" s="2" t="s">
        <v>32494</v>
      </c>
      <c r="J11212" s="2" t="s">
        <v>1977</v>
      </c>
      <c r="K11212" s="2" t="s">
        <v>439</v>
      </c>
      <c r="L11212" s="2" t="s">
        <v>902</v>
      </c>
      <c r="M11212" s="12">
        <v>4708.1750000000002</v>
      </c>
      <c r="N11212" s="6">
        <v>33.17</v>
      </c>
      <c r="O11212" s="7">
        <v>33.104999999999997</v>
      </c>
      <c r="P11212" s="2" t="s">
        <v>32495</v>
      </c>
      <c r="Q11212" s="6">
        <v>100</v>
      </c>
      <c r="R11212" s="6">
        <v>27.55</v>
      </c>
      <c r="S11212" s="5">
        <v>91</v>
      </c>
      <c r="T11212" s="5">
        <v>894.7</v>
      </c>
      <c r="U11212" s="5">
        <v>10.9</v>
      </c>
      <c r="V11212" s="9">
        <v>0.96789999999999998</v>
      </c>
      <c r="W11212" s="6">
        <v>18.32</v>
      </c>
      <c r="X11212" s="6">
        <v>18.579999999999998</v>
      </c>
      <c r="Y11212" s="6">
        <v>21.48</v>
      </c>
      <c r="Z11212" s="6">
        <v>21.28</v>
      </c>
      <c r="AA11212" s="6">
        <v>235.22</v>
      </c>
      <c r="AB11212" s="7">
        <v>18.88</v>
      </c>
      <c r="AC11212" s="6">
        <v>262.75</v>
      </c>
    </row>
    <row r="11213" spans="1:29" ht="130" x14ac:dyDescent="0.15">
      <c r="A11213" s="3">
        <f>DATE(2015,9,8)</f>
        <v>42255</v>
      </c>
      <c r="B11213" s="3">
        <f>DATE(2016,4,29)</f>
        <v>42489</v>
      </c>
      <c r="C11213" s="2" t="s">
        <v>95</v>
      </c>
      <c r="D11213" s="2" t="s">
        <v>32496</v>
      </c>
      <c r="E11213" s="2" t="s">
        <v>32497</v>
      </c>
      <c r="F11213" s="4">
        <v>6022</v>
      </c>
      <c r="G11213" s="2" t="s">
        <v>37</v>
      </c>
      <c r="H11213" s="2" t="s">
        <v>34</v>
      </c>
      <c r="I11213" s="2" t="s">
        <v>30375</v>
      </c>
      <c r="J11213" s="2" t="s">
        <v>29798</v>
      </c>
      <c r="K11213" s="2" t="s">
        <v>37</v>
      </c>
      <c r="L11213" s="2" t="s">
        <v>34</v>
      </c>
      <c r="M11213" s="2"/>
      <c r="N11213" s="6">
        <v>33.25</v>
      </c>
      <c r="O11213" s="5">
        <v>33.700000000000003</v>
      </c>
      <c r="P11213" s="2" t="s">
        <v>32498</v>
      </c>
      <c r="Q11213" s="6">
        <v>100</v>
      </c>
      <c r="R11213" s="6">
        <v>15.02</v>
      </c>
      <c r="S11213" s="5">
        <v>9.3000000000000007</v>
      </c>
      <c r="T11213" s="7">
        <v>13.688000000000001</v>
      </c>
      <c r="U11213" s="5">
        <v>11.6</v>
      </c>
      <c r="V11213" s="9">
        <v>1.0133000000000001</v>
      </c>
      <c r="W11213" s="6">
        <v>13.01</v>
      </c>
      <c r="X11213" s="6">
        <v>12.85</v>
      </c>
      <c r="Y11213" s="6">
        <v>12.85</v>
      </c>
      <c r="Z11213" s="6">
        <v>14.51</v>
      </c>
      <c r="AA11213" s="6">
        <v>9.32</v>
      </c>
      <c r="AB11213" s="7">
        <v>20.013999999999999</v>
      </c>
      <c r="AC11213" s="2"/>
    </row>
    <row r="11214" spans="1:29" ht="182" x14ac:dyDescent="0.15">
      <c r="A11214" s="3">
        <f>DATE(2015,9,8)</f>
        <v>42255</v>
      </c>
      <c r="B11214" s="2"/>
      <c r="C11214" s="2" t="s">
        <v>30</v>
      </c>
      <c r="D11214" s="2" t="s">
        <v>32499</v>
      </c>
      <c r="E11214" s="2" t="s">
        <v>396</v>
      </c>
      <c r="F11214" s="4">
        <v>2721</v>
      </c>
      <c r="G11214" s="2" t="s">
        <v>186</v>
      </c>
      <c r="H11214" s="2" t="s">
        <v>34</v>
      </c>
      <c r="I11214" s="2" t="s">
        <v>30767</v>
      </c>
      <c r="J11214" s="2" t="s">
        <v>7947</v>
      </c>
      <c r="K11214" s="2" t="s">
        <v>45</v>
      </c>
      <c r="L11214" s="2" t="s">
        <v>34</v>
      </c>
      <c r="M11214" s="2"/>
      <c r="N11214" s="6">
        <v>10.48</v>
      </c>
      <c r="O11214" s="6">
        <v>10.59</v>
      </c>
      <c r="P11214" s="2" t="s">
        <v>32500</v>
      </c>
      <c r="Q11214" s="2"/>
      <c r="R11214" s="6">
        <v>51.53</v>
      </c>
      <c r="S11214" s="5">
        <v>136.80000000000001</v>
      </c>
      <c r="T11214" s="7">
        <v>316.65800000000002</v>
      </c>
      <c r="U11214" s="5">
        <v>21.3</v>
      </c>
      <c r="V11214" s="9">
        <v>3.0181</v>
      </c>
      <c r="W11214" s="6">
        <v>45.78</v>
      </c>
      <c r="X11214" s="6">
        <v>45.94</v>
      </c>
      <c r="Y11214" s="6">
        <v>50.47</v>
      </c>
      <c r="Z11214" s="6">
        <v>50.47</v>
      </c>
      <c r="AA11214" s="6">
        <v>44.69</v>
      </c>
      <c r="AB11214" s="7">
        <v>11.965</v>
      </c>
      <c r="AC11214" s="6">
        <v>72.08</v>
      </c>
    </row>
    <row r="11215" spans="1:29" ht="65" x14ac:dyDescent="0.15">
      <c r="A11215" s="3">
        <f>DATE(2015,9,8)</f>
        <v>42255</v>
      </c>
      <c r="B11215" s="2"/>
      <c r="C11215" s="2" t="s">
        <v>87</v>
      </c>
      <c r="D11215" s="2" t="s">
        <v>32501</v>
      </c>
      <c r="E11215" s="2" t="s">
        <v>13055</v>
      </c>
      <c r="F11215" s="4">
        <v>2834</v>
      </c>
      <c r="G11215" s="2" t="s">
        <v>130</v>
      </c>
      <c r="H11215" s="2" t="s">
        <v>34</v>
      </c>
      <c r="I11215" s="2" t="s">
        <v>25183</v>
      </c>
      <c r="J11215" s="2" t="s">
        <v>4011</v>
      </c>
      <c r="K11215" s="2" t="s">
        <v>130</v>
      </c>
      <c r="L11215" s="2" t="s">
        <v>7645</v>
      </c>
      <c r="M11215" s="12">
        <v>50114.419000000002</v>
      </c>
      <c r="N11215" s="7">
        <v>75.584999999999994</v>
      </c>
      <c r="O11215" s="6">
        <v>75.540000000000006</v>
      </c>
      <c r="P11215" s="2" t="s">
        <v>32502</v>
      </c>
      <c r="Q11215" s="2"/>
      <c r="R11215" s="2"/>
      <c r="S11215" s="5">
        <v>-75.400000000000006</v>
      </c>
      <c r="T11215" s="6">
        <v>-72.319999999999993</v>
      </c>
      <c r="U11215" s="5">
        <v>5</v>
      </c>
      <c r="V11215" s="7">
        <v>3.992</v>
      </c>
      <c r="W11215" s="6">
        <v>61.01</v>
      </c>
      <c r="X11215" s="6">
        <v>61.46</v>
      </c>
      <c r="Y11215" s="6">
        <v>66.92</v>
      </c>
      <c r="Z11215" s="6">
        <v>65.23</v>
      </c>
      <c r="AA11215" s="6">
        <v>42.79</v>
      </c>
      <c r="AB11215" s="2" t="s">
        <v>86</v>
      </c>
      <c r="AC11215" s="6">
        <v>145.99</v>
      </c>
    </row>
    <row r="11216" spans="1:29" ht="169" x14ac:dyDescent="0.15">
      <c r="A11216" s="3">
        <f>DATE(2015,9,8)</f>
        <v>42255</v>
      </c>
      <c r="B11216" s="3">
        <f>DATE(2015,12,11)</f>
        <v>42349</v>
      </c>
      <c r="C11216" s="2" t="s">
        <v>95</v>
      </c>
      <c r="D11216" s="2" t="s">
        <v>25267</v>
      </c>
      <c r="E11216" s="2" t="s">
        <v>92</v>
      </c>
      <c r="F11216" s="4">
        <v>6798</v>
      </c>
      <c r="G11216" s="2" t="s">
        <v>53</v>
      </c>
      <c r="H11216" s="2" t="s">
        <v>34</v>
      </c>
      <c r="I11216" s="2" t="s">
        <v>32503</v>
      </c>
      <c r="J11216" s="2" t="s">
        <v>31277</v>
      </c>
      <c r="K11216" s="2" t="s">
        <v>53</v>
      </c>
      <c r="L11216" s="2" t="s">
        <v>34</v>
      </c>
      <c r="M11216" s="2"/>
      <c r="N11216" s="2"/>
      <c r="O11216" s="2"/>
      <c r="P11216" s="2" t="s">
        <v>32504</v>
      </c>
      <c r="Q11216" s="6">
        <v>100</v>
      </c>
      <c r="R11216" s="6">
        <v>14.25</v>
      </c>
      <c r="S11216" s="5">
        <v>52</v>
      </c>
      <c r="T11216" s="7">
        <v>310.80700000000002</v>
      </c>
      <c r="U11216" s="5">
        <v>5.7</v>
      </c>
      <c r="V11216" s="9">
        <v>0.12809999999999999</v>
      </c>
      <c r="W11216" s="6">
        <v>13.19</v>
      </c>
      <c r="X11216" s="6">
        <v>13.04</v>
      </c>
      <c r="Y11216" s="5">
        <v>13.5</v>
      </c>
      <c r="Z11216" s="6">
        <v>13.74</v>
      </c>
      <c r="AA11216" s="6">
        <v>275.49</v>
      </c>
      <c r="AB11216" s="7">
        <v>33.993000000000002</v>
      </c>
      <c r="AC11216" s="2"/>
    </row>
    <row r="11217" spans="1:29" ht="143" x14ac:dyDescent="0.15">
      <c r="A11217" s="3">
        <f>DATE(2015,9,9)</f>
        <v>42256</v>
      </c>
      <c r="B11217" s="3">
        <f>DATE(2015,10,30)</f>
        <v>42307</v>
      </c>
      <c r="C11217" s="2" t="s">
        <v>95</v>
      </c>
      <c r="D11217" s="2" t="s">
        <v>32505</v>
      </c>
      <c r="E11217" s="2" t="s">
        <v>19560</v>
      </c>
      <c r="F11217" s="4">
        <v>4213</v>
      </c>
      <c r="G11217" s="2" t="s">
        <v>173</v>
      </c>
      <c r="H11217" s="2" t="s">
        <v>34</v>
      </c>
      <c r="I11217" s="2" t="s">
        <v>31171</v>
      </c>
      <c r="J11217" s="2" t="s">
        <v>22592</v>
      </c>
      <c r="K11217" s="2" t="s">
        <v>173</v>
      </c>
      <c r="L11217" s="2" t="s">
        <v>34</v>
      </c>
      <c r="M11217" s="12">
        <v>3677.864</v>
      </c>
      <c r="N11217" s="6">
        <v>33.99</v>
      </c>
      <c r="O11217" s="6">
        <v>30.24</v>
      </c>
      <c r="P11217" s="2" t="s">
        <v>32506</v>
      </c>
      <c r="Q11217" s="6">
        <v>100</v>
      </c>
      <c r="R11217" s="6">
        <v>47.6</v>
      </c>
      <c r="S11217" s="5">
        <v>136.30000000000001</v>
      </c>
      <c r="T11217" s="7">
        <v>510.59100000000001</v>
      </c>
      <c r="U11217" s="5">
        <v>21</v>
      </c>
      <c r="V11217" s="9">
        <v>2.3407</v>
      </c>
      <c r="W11217" s="6">
        <v>34.79</v>
      </c>
      <c r="X11217" s="6">
        <v>36.18</v>
      </c>
      <c r="Y11217" s="6">
        <v>35.53</v>
      </c>
      <c r="Z11217" s="6">
        <v>47.54</v>
      </c>
      <c r="AA11217" s="6">
        <v>57.23</v>
      </c>
      <c r="AB11217" s="7">
        <v>11.227</v>
      </c>
      <c r="AC11217" s="8">
        <v>1866.3</v>
      </c>
    </row>
    <row r="11218" spans="1:29" ht="78" x14ac:dyDescent="0.15">
      <c r="A11218" s="3">
        <f>DATE(2015,9,10)</f>
        <v>42257</v>
      </c>
      <c r="B11218" s="3">
        <f>DATE(2015,10,27)</f>
        <v>42304</v>
      </c>
      <c r="C11218" s="2" t="s">
        <v>95</v>
      </c>
      <c r="D11218" s="2" t="s">
        <v>32507</v>
      </c>
      <c r="E11218" s="2" t="s">
        <v>32508</v>
      </c>
      <c r="F11218" s="4">
        <v>4832</v>
      </c>
      <c r="G11218" s="2" t="s">
        <v>45</v>
      </c>
      <c r="H11218" s="2" t="s">
        <v>34</v>
      </c>
      <c r="I11218" s="2" t="s">
        <v>17840</v>
      </c>
      <c r="J11218" s="2" t="s">
        <v>17841</v>
      </c>
      <c r="K11218" s="2" t="s">
        <v>63</v>
      </c>
      <c r="L11218" s="2" t="s">
        <v>435</v>
      </c>
      <c r="M11218" s="10">
        <v>34517.96</v>
      </c>
      <c r="N11218" s="7">
        <v>9.8190000000000008</v>
      </c>
      <c r="O11218" s="7">
        <v>9.9269999999999996</v>
      </c>
      <c r="P11218" s="2" t="s">
        <v>32509</v>
      </c>
      <c r="Q11218" s="6">
        <v>100</v>
      </c>
      <c r="R11218" s="6">
        <v>4.0999999999999996</v>
      </c>
      <c r="S11218" s="5">
        <v>-8.4</v>
      </c>
      <c r="T11218" s="7">
        <v>-5.7050000000000001</v>
      </c>
      <c r="U11218" s="5">
        <v>1.1000000000000001</v>
      </c>
      <c r="V11218" s="9">
        <v>-0.30359999999999998</v>
      </c>
      <c r="W11218" s="6">
        <v>1.89</v>
      </c>
      <c r="X11218" s="5">
        <v>1.9</v>
      </c>
      <c r="Y11218" s="6">
        <v>4.0599999999999996</v>
      </c>
      <c r="Z11218" s="7">
        <v>4.0650000000000004</v>
      </c>
      <c r="AA11218" s="6">
        <v>27.73</v>
      </c>
      <c r="AB11218" s="2" t="s">
        <v>86</v>
      </c>
      <c r="AC11218" s="10">
        <v>6487.66</v>
      </c>
    </row>
    <row r="11219" spans="1:29" ht="78" x14ac:dyDescent="0.15">
      <c r="A11219" s="3">
        <f>DATE(2015,9,10)</f>
        <v>42257</v>
      </c>
      <c r="B11219" s="3">
        <f>DATE(2015,12,8)</f>
        <v>42346</v>
      </c>
      <c r="C11219" s="2" t="s">
        <v>95</v>
      </c>
      <c r="D11219" s="2" t="s">
        <v>32510</v>
      </c>
      <c r="E11219" s="2" t="s">
        <v>32511</v>
      </c>
      <c r="F11219" s="4">
        <v>7389</v>
      </c>
      <c r="G11219" s="2" t="s">
        <v>223</v>
      </c>
      <c r="H11219" s="2" t="s">
        <v>34</v>
      </c>
      <c r="I11219" s="2" t="s">
        <v>32512</v>
      </c>
      <c r="J11219" s="2" t="s">
        <v>244</v>
      </c>
      <c r="K11219" s="2" t="s">
        <v>53</v>
      </c>
      <c r="L11219" s="2" t="s">
        <v>34</v>
      </c>
      <c r="M11219" s="2"/>
      <c r="N11219" s="2"/>
      <c r="O11219" s="2"/>
      <c r="P11219" s="2" t="s">
        <v>32513</v>
      </c>
      <c r="Q11219" s="6">
        <v>100</v>
      </c>
      <c r="R11219" s="6">
        <v>14</v>
      </c>
      <c r="S11219" s="5">
        <v>11.8</v>
      </c>
      <c r="T11219" s="7">
        <v>89.412000000000006</v>
      </c>
      <c r="U11219" s="5">
        <v>5.3</v>
      </c>
      <c r="V11219" s="9">
        <v>0.27210000000000001</v>
      </c>
      <c r="W11219" s="6">
        <v>10.57</v>
      </c>
      <c r="X11219" s="6">
        <v>11.12</v>
      </c>
      <c r="Y11219" s="6">
        <v>11.35</v>
      </c>
      <c r="Z11219" s="6">
        <v>13.74</v>
      </c>
      <c r="AA11219" s="6">
        <v>46.79</v>
      </c>
      <c r="AB11219" s="7">
        <v>24.678000000000001</v>
      </c>
      <c r="AC11219" s="2"/>
    </row>
    <row r="11220" spans="1:29" ht="169" x14ac:dyDescent="0.15">
      <c r="A11220" s="3">
        <f>DATE(2015,9,13)</f>
        <v>42260</v>
      </c>
      <c r="B11220" s="3">
        <f>DATE(2016,3,3)</f>
        <v>42432</v>
      </c>
      <c r="C11220" s="2" t="s">
        <v>95</v>
      </c>
      <c r="D11220" s="2" t="s">
        <v>32514</v>
      </c>
      <c r="E11220" s="2" t="s">
        <v>5610</v>
      </c>
      <c r="F11220" s="4">
        <v>7371</v>
      </c>
      <c r="G11220" s="2" t="s">
        <v>223</v>
      </c>
      <c r="H11220" s="2" t="s">
        <v>34</v>
      </c>
      <c r="I11220" s="2" t="s">
        <v>32515</v>
      </c>
      <c r="J11220" s="2" t="s">
        <v>28138</v>
      </c>
      <c r="K11220" s="2" t="s">
        <v>53</v>
      </c>
      <c r="L11220" s="2" t="s">
        <v>34</v>
      </c>
      <c r="M11220" s="2"/>
      <c r="N11220" s="2"/>
      <c r="O11220" s="2"/>
      <c r="P11220" s="2" t="s">
        <v>32516</v>
      </c>
      <c r="Q11220" s="6">
        <v>100</v>
      </c>
      <c r="R11220" s="6">
        <v>55.85</v>
      </c>
      <c r="S11220" s="5">
        <v>-100.8</v>
      </c>
      <c r="T11220" s="7">
        <v>411.97399999999999</v>
      </c>
      <c r="U11220" s="5">
        <v>3.4</v>
      </c>
      <c r="V11220" s="9">
        <v>-1.4973000000000001</v>
      </c>
      <c r="W11220" s="4">
        <v>49</v>
      </c>
      <c r="X11220" s="6">
        <v>49.49</v>
      </c>
      <c r="Y11220" s="5">
        <v>48.5</v>
      </c>
      <c r="Z11220" s="6">
        <v>47.61</v>
      </c>
      <c r="AA11220" s="6">
        <v>67.03</v>
      </c>
      <c r="AB11220" s="7">
        <v>23.873999999999999</v>
      </c>
      <c r="AC11220" s="2"/>
    </row>
    <row r="11221" spans="1:29" ht="182" x14ac:dyDescent="0.15">
      <c r="A11221" s="3">
        <f>DATE(2015,9,15)</f>
        <v>42262</v>
      </c>
      <c r="B11221" s="3">
        <f>DATE(2016,2,29)</f>
        <v>42429</v>
      </c>
      <c r="C11221" s="2" t="s">
        <v>95</v>
      </c>
      <c r="D11221" s="2" t="s">
        <v>32517</v>
      </c>
      <c r="E11221" s="2" t="s">
        <v>32518</v>
      </c>
      <c r="F11221" s="4">
        <v>3843</v>
      </c>
      <c r="G11221" s="2" t="s">
        <v>226</v>
      </c>
      <c r="H11221" s="2" t="s">
        <v>34</v>
      </c>
      <c r="I11221" s="2" t="s">
        <v>5165</v>
      </c>
      <c r="J11221" s="2" t="s">
        <v>5166</v>
      </c>
      <c r="K11221" s="2" t="s">
        <v>226</v>
      </c>
      <c r="L11221" s="2" t="s">
        <v>34</v>
      </c>
      <c r="M11221" s="12">
        <v>7995.6329999999998</v>
      </c>
      <c r="N11221" s="6">
        <v>54.35</v>
      </c>
      <c r="O11221" s="6">
        <v>53.07</v>
      </c>
      <c r="P11221" s="2" t="s">
        <v>32519</v>
      </c>
      <c r="Q11221" s="6">
        <v>100</v>
      </c>
      <c r="R11221" s="6">
        <v>97.28</v>
      </c>
      <c r="S11221" s="2"/>
      <c r="T11221" s="2"/>
      <c r="U11221" s="2"/>
      <c r="V11221" s="2"/>
      <c r="W11221" s="6">
        <v>96.49</v>
      </c>
      <c r="X11221" s="6">
        <v>98.09</v>
      </c>
      <c r="Y11221" s="6">
        <v>99.31</v>
      </c>
      <c r="Z11221" s="6">
        <v>96.97</v>
      </c>
      <c r="AA11221" s="6">
        <v>55.86</v>
      </c>
      <c r="AB11221" s="2" t="s">
        <v>47</v>
      </c>
      <c r="AC11221" s="6">
        <v>136.47</v>
      </c>
    </row>
    <row r="11222" spans="1:29" ht="65" x14ac:dyDescent="0.15">
      <c r="A11222" s="3">
        <f>DATE(2015,9,15)</f>
        <v>42262</v>
      </c>
      <c r="B11222" s="2"/>
      <c r="C11222" s="2" t="s">
        <v>87</v>
      </c>
      <c r="D11222" s="2" t="s">
        <v>32520</v>
      </c>
      <c r="E11222" s="2" t="s">
        <v>21698</v>
      </c>
      <c r="F11222" s="4">
        <v>4841</v>
      </c>
      <c r="G11222" s="2" t="s">
        <v>45</v>
      </c>
      <c r="H11222" s="2" t="s">
        <v>34</v>
      </c>
      <c r="I11222" s="2" t="s">
        <v>32521</v>
      </c>
      <c r="J11222" s="2" t="s">
        <v>32522</v>
      </c>
      <c r="K11222" s="2" t="s">
        <v>45</v>
      </c>
      <c r="L11222" s="2" t="s">
        <v>34</v>
      </c>
      <c r="M11222" s="2"/>
      <c r="N11222" s="6">
        <v>74.14</v>
      </c>
      <c r="O11222" s="6">
        <v>74.13</v>
      </c>
      <c r="P11222" s="2" t="s">
        <v>32523</v>
      </c>
      <c r="Q11222" s="2"/>
      <c r="R11222" s="2"/>
      <c r="S11222" s="5">
        <v>284.3</v>
      </c>
      <c r="T11222" s="8">
        <v>1185.0999999999999</v>
      </c>
      <c r="U11222" s="5">
        <v>1.9</v>
      </c>
      <c r="V11222" s="9">
        <v>2.6322999999999999</v>
      </c>
      <c r="W11222" s="6">
        <v>38.479999999999997</v>
      </c>
      <c r="X11222" s="6">
        <v>38.26</v>
      </c>
      <c r="Y11222" s="6">
        <v>38.79</v>
      </c>
      <c r="Z11222" s="6">
        <v>40.44</v>
      </c>
      <c r="AA11222" s="2"/>
      <c r="AB11222" s="2" t="s">
        <v>47</v>
      </c>
      <c r="AC11222" s="6">
        <v>242.84</v>
      </c>
    </row>
    <row r="11223" spans="1:29" ht="78" x14ac:dyDescent="0.15">
      <c r="A11223" s="3">
        <f>DATE(2015,9,16)</f>
        <v>42263</v>
      </c>
      <c r="B11223" s="3">
        <f>DATE(2015,10,24)</f>
        <v>42301</v>
      </c>
      <c r="C11223" s="2" t="s">
        <v>95</v>
      </c>
      <c r="D11223" s="2" t="s">
        <v>32524</v>
      </c>
      <c r="E11223" s="2" t="s">
        <v>32525</v>
      </c>
      <c r="F11223" s="4">
        <v>3559</v>
      </c>
      <c r="G11223" s="2" t="s">
        <v>300</v>
      </c>
      <c r="H11223" s="2" t="s">
        <v>34</v>
      </c>
      <c r="I11223" s="2" t="s">
        <v>24024</v>
      </c>
      <c r="J11223" s="2" t="s">
        <v>32526</v>
      </c>
      <c r="K11223" s="2" t="s">
        <v>137</v>
      </c>
      <c r="L11223" s="2" t="s">
        <v>99</v>
      </c>
      <c r="M11223" s="12">
        <v>8405.6939999999995</v>
      </c>
      <c r="N11223" s="7">
        <v>33.295999999999999</v>
      </c>
      <c r="O11223" s="7">
        <v>34.865000000000002</v>
      </c>
      <c r="P11223" s="2" t="s">
        <v>32527</v>
      </c>
      <c r="Q11223" s="6">
        <v>100</v>
      </c>
      <c r="R11223" s="6">
        <v>13</v>
      </c>
      <c r="S11223" s="5">
        <v>-5</v>
      </c>
      <c r="T11223" s="6">
        <v>-3.53</v>
      </c>
      <c r="U11223" s="5">
        <v>1.7</v>
      </c>
      <c r="V11223" s="9">
        <v>-0.37930000000000003</v>
      </c>
      <c r="W11223" s="5">
        <v>8.1</v>
      </c>
      <c r="X11223" s="7">
        <v>7.9749999999999996</v>
      </c>
      <c r="Y11223" s="6">
        <v>12.93</v>
      </c>
      <c r="Z11223" s="7">
        <v>12.935</v>
      </c>
      <c r="AA11223" s="6">
        <v>14.57</v>
      </c>
      <c r="AB11223" s="2" t="s">
        <v>86</v>
      </c>
      <c r="AC11223" s="6">
        <v>842.19</v>
      </c>
    </row>
    <row r="11224" spans="1:29" ht="117" x14ac:dyDescent="0.15">
      <c r="A11224" s="3">
        <f>DATE(2015,9,16)</f>
        <v>42263</v>
      </c>
      <c r="B11224" s="2"/>
      <c r="C11224" s="2" t="s">
        <v>56</v>
      </c>
      <c r="D11224" s="2" t="s">
        <v>32528</v>
      </c>
      <c r="E11224" s="2" t="s">
        <v>32529</v>
      </c>
      <c r="F11224" s="4">
        <v>6726</v>
      </c>
      <c r="G11224" s="2" t="s">
        <v>53</v>
      </c>
      <c r="H11224" s="2" t="s">
        <v>34</v>
      </c>
      <c r="I11224" s="2" t="s">
        <v>32530</v>
      </c>
      <c r="J11224" s="2" t="s">
        <v>32531</v>
      </c>
      <c r="K11224" s="2" t="s">
        <v>53</v>
      </c>
      <c r="L11224" s="2" t="s">
        <v>34</v>
      </c>
      <c r="M11224" s="7">
        <v>945.48199999999997</v>
      </c>
      <c r="N11224" s="6">
        <v>17.23</v>
      </c>
      <c r="O11224" s="6">
        <v>17.29</v>
      </c>
      <c r="P11224" s="2" t="s">
        <v>32532</v>
      </c>
      <c r="Q11224" s="2"/>
      <c r="R11224" s="6">
        <v>7.74</v>
      </c>
      <c r="S11224" s="5">
        <v>-27.4</v>
      </c>
      <c r="T11224" s="2"/>
      <c r="U11224" s="5">
        <v>7.8</v>
      </c>
      <c r="V11224" s="9">
        <v>-0.40870000000000001</v>
      </c>
      <c r="W11224" s="6">
        <v>6.86</v>
      </c>
      <c r="X11224" s="6">
        <v>6.27</v>
      </c>
      <c r="Y11224" s="6">
        <v>6.87</v>
      </c>
      <c r="Z11224" s="6">
        <v>7.01</v>
      </c>
      <c r="AA11224" s="6">
        <v>59.99</v>
      </c>
      <c r="AB11224" s="2" t="s">
        <v>86</v>
      </c>
      <c r="AC11224" s="6">
        <v>3.79</v>
      </c>
    </row>
    <row r="11225" spans="1:29" ht="78" x14ac:dyDescent="0.15">
      <c r="A11225" s="3">
        <f>DATE(2015,9,17)</f>
        <v>42264</v>
      </c>
      <c r="B11225" s="3">
        <f>DATE(2016,3,29)</f>
        <v>42458</v>
      </c>
      <c r="C11225" s="2" t="s">
        <v>95</v>
      </c>
      <c r="D11225" s="2" t="s">
        <v>32533</v>
      </c>
      <c r="E11225" s="2" t="s">
        <v>5564</v>
      </c>
      <c r="F11225" s="4">
        <v>8071</v>
      </c>
      <c r="G11225" s="2" t="s">
        <v>454</v>
      </c>
      <c r="H11225" s="2" t="s">
        <v>34</v>
      </c>
      <c r="I11225" s="2" t="s">
        <v>32534</v>
      </c>
      <c r="J11225" s="2" t="s">
        <v>32463</v>
      </c>
      <c r="K11225" s="2" t="s">
        <v>53</v>
      </c>
      <c r="L11225" s="2" t="s">
        <v>455</v>
      </c>
      <c r="M11225" s="2"/>
      <c r="N11225" s="2"/>
      <c r="O11225" s="2"/>
      <c r="P11225" s="2" t="s">
        <v>32535</v>
      </c>
      <c r="Q11225" s="6">
        <v>51.51</v>
      </c>
      <c r="R11225" s="6">
        <v>18.5</v>
      </c>
      <c r="S11225" s="5">
        <v>5.7</v>
      </c>
      <c r="T11225" s="7">
        <v>114.46899999999999</v>
      </c>
      <c r="U11225" s="5">
        <v>-16</v>
      </c>
      <c r="V11225" s="9">
        <v>0.52659999999999996</v>
      </c>
      <c r="W11225" s="6">
        <v>15.14</v>
      </c>
      <c r="X11225" s="6">
        <v>16.93</v>
      </c>
      <c r="Y11225" s="6">
        <v>12.78</v>
      </c>
      <c r="Z11225" s="7">
        <v>11.914999999999999</v>
      </c>
      <c r="AA11225" s="6">
        <v>10.75</v>
      </c>
      <c r="AB11225" s="7">
        <v>12.118</v>
      </c>
      <c r="AC11225" s="2"/>
    </row>
    <row r="11226" spans="1:29" ht="143" x14ac:dyDescent="0.15">
      <c r="A11226" s="3">
        <f>DATE(2015,9,17)</f>
        <v>42264</v>
      </c>
      <c r="B11226" s="3">
        <f>DATE(2016,6,21)</f>
        <v>42542</v>
      </c>
      <c r="C11226" s="2" t="s">
        <v>95</v>
      </c>
      <c r="D11226" s="2" t="s">
        <v>12750</v>
      </c>
      <c r="E11226" s="2" t="s">
        <v>4285</v>
      </c>
      <c r="F11226" s="4">
        <v>4841</v>
      </c>
      <c r="G11226" s="2" t="s">
        <v>45</v>
      </c>
      <c r="H11226" s="2" t="s">
        <v>34</v>
      </c>
      <c r="I11226" s="2" t="s">
        <v>51</v>
      </c>
      <c r="J11226" s="2" t="s">
        <v>52</v>
      </c>
      <c r="K11226" s="2" t="s">
        <v>53</v>
      </c>
      <c r="L11226" s="2" t="s">
        <v>2105</v>
      </c>
      <c r="M11226" s="2"/>
      <c r="N11226" s="2"/>
      <c r="O11226" s="2"/>
      <c r="P11226" s="2" t="s">
        <v>32536</v>
      </c>
      <c r="Q11226" s="6">
        <v>100</v>
      </c>
      <c r="R11226" s="6">
        <v>34.9</v>
      </c>
      <c r="S11226" s="5">
        <v>247.7</v>
      </c>
      <c r="T11226" s="12">
        <v>1797.9880000000001</v>
      </c>
      <c r="U11226" s="5">
        <v>-17.899999999999999</v>
      </c>
      <c r="V11226" s="9">
        <v>0.94259999999999999</v>
      </c>
      <c r="W11226" s="6">
        <v>28.06</v>
      </c>
      <c r="X11226" s="6">
        <v>28.54</v>
      </c>
      <c r="Y11226" s="6">
        <v>28.54</v>
      </c>
      <c r="Z11226" s="6">
        <v>32.51</v>
      </c>
      <c r="AA11226" s="6">
        <v>276.74</v>
      </c>
      <c r="AB11226" s="7">
        <v>19.376999999999999</v>
      </c>
      <c r="AC11226" s="10">
        <v>7632.5</v>
      </c>
    </row>
    <row r="11227" spans="1:29" ht="104" x14ac:dyDescent="0.15">
      <c r="A11227" s="3">
        <f>DATE(2015,9,18)</f>
        <v>42265</v>
      </c>
      <c r="B11227" s="3">
        <f>DATE(2015,12,31)</f>
        <v>42369</v>
      </c>
      <c r="C11227" s="2" t="s">
        <v>95</v>
      </c>
      <c r="D11227" s="2" t="s">
        <v>32537</v>
      </c>
      <c r="E11227" s="2" t="s">
        <v>21800</v>
      </c>
      <c r="F11227" s="4">
        <v>6021</v>
      </c>
      <c r="G11227" s="2" t="s">
        <v>37</v>
      </c>
      <c r="H11227" s="2" t="s">
        <v>34</v>
      </c>
      <c r="I11227" s="2" t="s">
        <v>32538</v>
      </c>
      <c r="J11227" s="2" t="s">
        <v>29798</v>
      </c>
      <c r="K11227" s="2" t="s">
        <v>37</v>
      </c>
      <c r="L11227" s="2" t="s">
        <v>34</v>
      </c>
      <c r="M11227" s="7">
        <v>60.631999999999998</v>
      </c>
      <c r="N11227" s="6">
        <v>13.85</v>
      </c>
      <c r="O11227" s="4">
        <v>14</v>
      </c>
      <c r="P11227" s="2" t="s">
        <v>32539</v>
      </c>
      <c r="Q11227" s="6">
        <v>100</v>
      </c>
      <c r="R11227" s="2"/>
      <c r="S11227" s="2"/>
      <c r="T11227" s="2"/>
      <c r="U11227" s="2"/>
      <c r="V11227" s="2"/>
      <c r="W11227" s="4">
        <v>3</v>
      </c>
      <c r="X11227" s="5">
        <v>3.1</v>
      </c>
      <c r="Y11227" s="5">
        <v>3.1</v>
      </c>
      <c r="Z11227" s="6">
        <v>4.51</v>
      </c>
      <c r="AA11227" s="6">
        <v>1.58</v>
      </c>
      <c r="AB11227" s="2" t="s">
        <v>47</v>
      </c>
      <c r="AC11227" s="2"/>
    </row>
    <row r="11228" spans="1:29" ht="143" x14ac:dyDescent="0.15">
      <c r="A11228" s="3">
        <f>DATE(2015,9,18)</f>
        <v>42265</v>
      </c>
      <c r="B11228" s="2"/>
      <c r="C11228" s="2" t="s">
        <v>30</v>
      </c>
      <c r="D11228" s="2" t="s">
        <v>32540</v>
      </c>
      <c r="E11228" s="2" t="s">
        <v>13055</v>
      </c>
      <c r="F11228" s="4">
        <v>2834</v>
      </c>
      <c r="G11228" s="2" t="s">
        <v>130</v>
      </c>
      <c r="H11228" s="2" t="s">
        <v>34</v>
      </c>
      <c r="I11228" s="2" t="s">
        <v>24839</v>
      </c>
      <c r="J11228" s="2" t="s">
        <v>7462</v>
      </c>
      <c r="K11228" s="2" t="s">
        <v>130</v>
      </c>
      <c r="L11228" s="2" t="s">
        <v>215</v>
      </c>
      <c r="M11228" s="10">
        <v>17772.04</v>
      </c>
      <c r="N11228" s="7">
        <v>135.80500000000001</v>
      </c>
      <c r="O11228" s="6">
        <v>138.46</v>
      </c>
      <c r="P11228" s="2" t="s">
        <v>32541</v>
      </c>
      <c r="Q11228" s="2"/>
      <c r="R11228" s="2"/>
      <c r="S11228" s="5">
        <v>-91.7</v>
      </c>
      <c r="T11228" s="7">
        <v>-89.081999999999994</v>
      </c>
      <c r="U11228" s="5">
        <v>9.1</v>
      </c>
      <c r="V11228" s="9">
        <v>-6.5334000000000003</v>
      </c>
      <c r="W11228" s="6">
        <v>53.69</v>
      </c>
      <c r="X11228" s="6">
        <v>58.19</v>
      </c>
      <c r="Y11228" s="6">
        <v>74.73</v>
      </c>
      <c r="Z11228" s="6">
        <v>76.989999999999995</v>
      </c>
      <c r="AA11228" s="6">
        <v>25.12</v>
      </c>
      <c r="AB11228" s="2" t="s">
        <v>86</v>
      </c>
      <c r="AC11228" s="6">
        <v>718.94</v>
      </c>
    </row>
    <row r="11229" spans="1:29" ht="221" x14ac:dyDescent="0.15">
      <c r="A11229" s="3">
        <f>DATE(2015,9,20)</f>
        <v>42267</v>
      </c>
      <c r="B11229" s="2"/>
      <c r="C11229" s="2" t="s">
        <v>30</v>
      </c>
      <c r="D11229" s="2" t="s">
        <v>24094</v>
      </c>
      <c r="E11229" s="2" t="s">
        <v>10974</v>
      </c>
      <c r="F11229" s="4">
        <v>3674</v>
      </c>
      <c r="G11229" s="2" t="s">
        <v>137</v>
      </c>
      <c r="H11229" s="2" t="s">
        <v>34</v>
      </c>
      <c r="I11229" s="2" t="s">
        <v>32542</v>
      </c>
      <c r="J11229" s="2" t="s">
        <v>31609</v>
      </c>
      <c r="K11229" s="2" t="s">
        <v>137</v>
      </c>
      <c r="L11229" s="2" t="s">
        <v>1049</v>
      </c>
      <c r="M11229" s="12">
        <v>3434.5120000000002</v>
      </c>
      <c r="N11229" s="7">
        <v>41.478000000000002</v>
      </c>
      <c r="O11229" s="7">
        <v>41.478000000000002</v>
      </c>
      <c r="P11229" s="2" t="s">
        <v>32543</v>
      </c>
      <c r="Q11229" s="2"/>
      <c r="R11229" s="6">
        <v>10.41</v>
      </c>
      <c r="S11229" s="5">
        <v>33.6</v>
      </c>
      <c r="T11229" s="7">
        <v>158.089</v>
      </c>
      <c r="U11229" s="5">
        <v>2.1</v>
      </c>
      <c r="V11229" s="9">
        <v>8.0600000000000005E-2</v>
      </c>
      <c r="W11229" s="5">
        <v>8.9</v>
      </c>
      <c r="X11229" s="7">
        <v>9.4149999999999991</v>
      </c>
      <c r="Y11229" s="6">
        <v>9.75</v>
      </c>
      <c r="Z11229" s="6">
        <v>9.81</v>
      </c>
      <c r="AA11229" s="6">
        <v>420.25</v>
      </c>
      <c r="AB11229" s="7">
        <v>43.661999999999999</v>
      </c>
      <c r="AC11229" s="6">
        <v>451.27</v>
      </c>
    </row>
    <row r="11230" spans="1:29" ht="78" x14ac:dyDescent="0.15">
      <c r="A11230" s="3">
        <f>DATE(2015,9,25)</f>
        <v>42272</v>
      </c>
      <c r="B11230" s="2"/>
      <c r="C11230" s="2" t="s">
        <v>39</v>
      </c>
      <c r="D11230" s="2" t="s">
        <v>32514</v>
      </c>
      <c r="E11230" s="2" t="s">
        <v>5610</v>
      </c>
      <c r="F11230" s="4">
        <v>7371</v>
      </c>
      <c r="G11230" s="2" t="s">
        <v>223</v>
      </c>
      <c r="H11230" s="2" t="s">
        <v>34</v>
      </c>
      <c r="I11230" s="2" t="s">
        <v>30771</v>
      </c>
      <c r="J11230" s="2" t="s">
        <v>30772</v>
      </c>
      <c r="K11230" s="2" t="s">
        <v>223</v>
      </c>
      <c r="L11230" s="2" t="s">
        <v>34</v>
      </c>
      <c r="M11230" s="12">
        <v>8010.8860000000004</v>
      </c>
      <c r="N11230" s="6">
        <v>111.73</v>
      </c>
      <c r="O11230" s="6">
        <v>105.34</v>
      </c>
      <c r="P11230" s="2" t="s">
        <v>32544</v>
      </c>
      <c r="Q11230" s="2"/>
      <c r="R11230" s="2"/>
      <c r="S11230" s="5">
        <v>-100.8</v>
      </c>
      <c r="T11230" s="7">
        <v>411.97399999999999</v>
      </c>
      <c r="U11230" s="5">
        <v>3.4</v>
      </c>
      <c r="V11230" s="9">
        <v>-1.4973000000000001</v>
      </c>
      <c r="W11230" s="5">
        <v>54.1</v>
      </c>
      <c r="X11230" s="6">
        <v>55.49</v>
      </c>
      <c r="Y11230" s="6">
        <v>55.29</v>
      </c>
      <c r="Z11230" s="6">
        <v>55.08</v>
      </c>
      <c r="AA11230" s="6">
        <v>67.03</v>
      </c>
      <c r="AB11230" s="2" t="s">
        <v>47</v>
      </c>
      <c r="AC11230" s="6">
        <v>264.82</v>
      </c>
    </row>
    <row r="11231" spans="1:29" ht="91" x14ac:dyDescent="0.15">
      <c r="A11231" s="3">
        <f>DATE(2015,9,27)</f>
        <v>42274</v>
      </c>
      <c r="B11231" s="2"/>
      <c r="C11231" s="2" t="s">
        <v>39</v>
      </c>
      <c r="D11231" s="2" t="s">
        <v>24094</v>
      </c>
      <c r="E11231" s="2" t="s">
        <v>10974</v>
      </c>
      <c r="F11231" s="4">
        <v>3674</v>
      </c>
      <c r="G11231" s="2" t="s">
        <v>137</v>
      </c>
      <c r="H11231" s="2" t="s">
        <v>34</v>
      </c>
      <c r="I11231" s="2" t="s">
        <v>26620</v>
      </c>
      <c r="J11231" s="2" t="s">
        <v>30035</v>
      </c>
      <c r="K11231" s="2" t="s">
        <v>137</v>
      </c>
      <c r="L11231" s="2" t="s">
        <v>34</v>
      </c>
      <c r="M11231" s="12">
        <v>3382.3820000000001</v>
      </c>
      <c r="N11231" s="6">
        <v>8.36</v>
      </c>
      <c r="O11231" s="6">
        <v>8.36</v>
      </c>
      <c r="P11231" s="2" t="s">
        <v>32545</v>
      </c>
      <c r="Q11231" s="2"/>
      <c r="R11231" s="2"/>
      <c r="S11231" s="5">
        <v>33.6</v>
      </c>
      <c r="T11231" s="7">
        <v>158.089</v>
      </c>
      <c r="U11231" s="5">
        <v>2.1</v>
      </c>
      <c r="V11231" s="9">
        <v>8.0600000000000005E-2</v>
      </c>
      <c r="W11231" s="6">
        <v>7.27</v>
      </c>
      <c r="X11231" s="6">
        <v>8.02</v>
      </c>
      <c r="Y11231" s="6">
        <v>7.97</v>
      </c>
      <c r="Z11231" s="6">
        <v>7.97</v>
      </c>
      <c r="AA11231" s="6">
        <v>420.25</v>
      </c>
      <c r="AB11231" s="2" t="s">
        <v>47</v>
      </c>
      <c r="AC11231" s="6">
        <v>198.73</v>
      </c>
    </row>
    <row r="11232" spans="1:29" ht="65" x14ac:dyDescent="0.15">
      <c r="A11232" s="3">
        <f>DATE(2015,9,28)</f>
        <v>42275</v>
      </c>
      <c r="B11232" s="3">
        <f>DATE(2016,2,1)</f>
        <v>42401</v>
      </c>
      <c r="C11232" s="2" t="s">
        <v>95</v>
      </c>
      <c r="D11232" s="2" t="s">
        <v>32546</v>
      </c>
      <c r="E11232" s="2" t="s">
        <v>29798</v>
      </c>
      <c r="F11232" s="4">
        <v>6021</v>
      </c>
      <c r="G11232" s="2" t="s">
        <v>37</v>
      </c>
      <c r="H11232" s="2" t="s">
        <v>34</v>
      </c>
      <c r="I11232" s="2" t="s">
        <v>31740</v>
      </c>
      <c r="J11232" s="2" t="s">
        <v>31741</v>
      </c>
      <c r="K11232" s="2" t="s">
        <v>33</v>
      </c>
      <c r="L11232" s="2" t="s">
        <v>34</v>
      </c>
      <c r="M11232" s="7">
        <v>491.29500000000002</v>
      </c>
      <c r="N11232" s="6">
        <v>23.09</v>
      </c>
      <c r="O11232" s="6">
        <v>22.68</v>
      </c>
      <c r="P11232" s="2" t="s">
        <v>32547</v>
      </c>
      <c r="Q11232" s="6">
        <v>100</v>
      </c>
      <c r="R11232" s="6">
        <v>13.26</v>
      </c>
      <c r="S11232" s="5">
        <v>2.7</v>
      </c>
      <c r="T11232" s="2"/>
      <c r="U11232" s="5">
        <v>8.6</v>
      </c>
      <c r="V11232" s="9">
        <v>0.57279999999999998</v>
      </c>
      <c r="W11232" s="4">
        <v>9</v>
      </c>
      <c r="X11232" s="4">
        <v>9</v>
      </c>
      <c r="Y11232" s="4">
        <v>11</v>
      </c>
      <c r="Z11232" s="4">
        <v>11</v>
      </c>
      <c r="AA11232" s="6">
        <v>4.72</v>
      </c>
      <c r="AB11232" s="7">
        <v>23.565999999999999</v>
      </c>
      <c r="AC11232" s="2"/>
    </row>
    <row r="11233" spans="1:29" ht="65" x14ac:dyDescent="0.15">
      <c r="A11233" s="3">
        <f>DATE(2015,9,29)</f>
        <v>42276</v>
      </c>
      <c r="B11233" s="3">
        <f>DATE(2016,6,20)</f>
        <v>42541</v>
      </c>
      <c r="C11233" s="2" t="s">
        <v>95</v>
      </c>
      <c r="D11233" s="2" t="s">
        <v>32548</v>
      </c>
      <c r="E11233" s="2" t="s">
        <v>28300</v>
      </c>
      <c r="F11233" s="4">
        <v>6282</v>
      </c>
      <c r="G11233" s="2" t="s">
        <v>53</v>
      </c>
      <c r="H11233" s="2" t="s">
        <v>34</v>
      </c>
      <c r="I11233" s="2" t="s">
        <v>32549</v>
      </c>
      <c r="J11233" s="2" t="s">
        <v>23534</v>
      </c>
      <c r="K11233" s="2" t="s">
        <v>125</v>
      </c>
      <c r="L11233" s="2" t="s">
        <v>34</v>
      </c>
      <c r="M11233" s="2"/>
      <c r="N11233" s="2"/>
      <c r="O11233" s="2"/>
      <c r="P11233" s="2" t="s">
        <v>32550</v>
      </c>
      <c r="Q11233" s="6">
        <v>100</v>
      </c>
      <c r="R11233" s="6">
        <v>37.5</v>
      </c>
      <c r="S11233" s="5">
        <v>-262.2</v>
      </c>
      <c r="T11233" s="5">
        <v>-185.1</v>
      </c>
      <c r="U11233" s="5">
        <v>34.299999999999997</v>
      </c>
      <c r="V11233" s="9">
        <v>-45.063699999999997</v>
      </c>
      <c r="W11233" s="6">
        <v>13.81</v>
      </c>
      <c r="X11233" s="6">
        <v>13.03</v>
      </c>
      <c r="Y11233" s="6">
        <v>32.51</v>
      </c>
      <c r="Z11233" s="6">
        <v>32.99</v>
      </c>
      <c r="AA11233" s="6">
        <v>5.8</v>
      </c>
      <c r="AB11233" s="2" t="s">
        <v>86</v>
      </c>
      <c r="AC11233" s="2"/>
    </row>
    <row r="11234" spans="1:29" ht="156" x14ac:dyDescent="0.15">
      <c r="A11234" s="3">
        <f>DATE(2015,9,29)</f>
        <v>42276</v>
      </c>
      <c r="B11234" s="3">
        <f>DATE(2016,2,1)</f>
        <v>42401</v>
      </c>
      <c r="C11234" s="2" t="s">
        <v>95</v>
      </c>
      <c r="D11234" s="2" t="s">
        <v>32551</v>
      </c>
      <c r="E11234" s="2" t="s">
        <v>32552</v>
      </c>
      <c r="F11234" s="4">
        <v>7389</v>
      </c>
      <c r="G11234" s="2" t="s">
        <v>223</v>
      </c>
      <c r="H11234" s="2" t="s">
        <v>34</v>
      </c>
      <c r="I11234" s="2" t="s">
        <v>32553</v>
      </c>
      <c r="J11234" s="2" t="s">
        <v>32554</v>
      </c>
      <c r="K11234" s="2" t="s">
        <v>223</v>
      </c>
      <c r="L11234" s="2" t="s">
        <v>34</v>
      </c>
      <c r="M11234" s="12">
        <v>1885.4939999999999</v>
      </c>
      <c r="N11234" s="6">
        <v>41.47</v>
      </c>
      <c r="O11234" s="6">
        <v>46.15</v>
      </c>
      <c r="P11234" s="2" t="s">
        <v>32555</v>
      </c>
      <c r="Q11234" s="6">
        <v>100</v>
      </c>
      <c r="R11234" s="6">
        <v>49.62</v>
      </c>
      <c r="S11234" s="5">
        <v>0.5</v>
      </c>
      <c r="T11234" s="7">
        <v>5.4580000000000002</v>
      </c>
      <c r="U11234" s="5">
        <v>16.600000000000001</v>
      </c>
      <c r="V11234" s="9">
        <v>-0.21329999999999999</v>
      </c>
      <c r="W11234" s="6">
        <v>46.35</v>
      </c>
      <c r="X11234" s="6">
        <v>43.82</v>
      </c>
      <c r="Y11234" s="6">
        <v>43.39</v>
      </c>
      <c r="Z11234" s="6">
        <v>54.07</v>
      </c>
      <c r="AA11234" s="6">
        <v>15.35</v>
      </c>
      <c r="AB11234" s="2" t="s">
        <v>86</v>
      </c>
      <c r="AC11234" s="6">
        <v>187.92</v>
      </c>
    </row>
    <row r="11235" spans="1:29" ht="117" x14ac:dyDescent="0.15">
      <c r="A11235" s="3">
        <f>DATE(2015,9,30)</f>
        <v>42277</v>
      </c>
      <c r="B11235" s="2"/>
      <c r="C11235" s="2" t="s">
        <v>30</v>
      </c>
      <c r="D11235" s="2" t="s">
        <v>32491</v>
      </c>
      <c r="E11235" s="2" t="s">
        <v>13887</v>
      </c>
      <c r="F11235" s="4">
        <v>3674</v>
      </c>
      <c r="G11235" s="2" t="s">
        <v>137</v>
      </c>
      <c r="H11235" s="2" t="s">
        <v>34</v>
      </c>
      <c r="I11235" s="2" t="s">
        <v>32556</v>
      </c>
      <c r="J11235" s="2" t="s">
        <v>26441</v>
      </c>
      <c r="K11235" s="2" t="s">
        <v>137</v>
      </c>
      <c r="L11235" s="2" t="s">
        <v>455</v>
      </c>
      <c r="M11235" s="2"/>
      <c r="N11235" s="2"/>
      <c r="O11235" s="2"/>
      <c r="P11235" s="2" t="s">
        <v>32557</v>
      </c>
      <c r="Q11235" s="2"/>
      <c r="R11235" s="6">
        <v>18.5</v>
      </c>
      <c r="S11235" s="5">
        <v>12.9</v>
      </c>
      <c r="T11235" s="7">
        <v>17.715</v>
      </c>
      <c r="U11235" s="5">
        <v>9.5</v>
      </c>
      <c r="V11235" s="9">
        <v>0.5665</v>
      </c>
      <c r="W11235" s="5">
        <v>12.1</v>
      </c>
      <c r="X11235" s="6">
        <v>12.18</v>
      </c>
      <c r="Y11235" s="6">
        <v>16.77</v>
      </c>
      <c r="Z11235" s="6">
        <v>16.77</v>
      </c>
      <c r="AA11235" s="6">
        <v>218.56</v>
      </c>
      <c r="AB11235" s="7">
        <v>34.206000000000003</v>
      </c>
      <c r="AC11235" s="6">
        <v>123.3</v>
      </c>
    </row>
    <row r="11236" spans="1:29" ht="117" x14ac:dyDescent="0.15">
      <c r="A11236" s="3">
        <f>DATE(2015,10,1)</f>
        <v>42278</v>
      </c>
      <c r="B11236" s="3">
        <f>DATE(2016,1,1)</f>
        <v>42370</v>
      </c>
      <c r="C11236" s="2" t="s">
        <v>95</v>
      </c>
      <c r="D11236" s="2" t="s">
        <v>27441</v>
      </c>
      <c r="E11236" s="2" t="s">
        <v>159</v>
      </c>
      <c r="F11236" s="4">
        <v>6029</v>
      </c>
      <c r="G11236" s="2" t="s">
        <v>37</v>
      </c>
      <c r="H11236" s="2" t="s">
        <v>34</v>
      </c>
      <c r="I11236" s="2" t="s">
        <v>29146</v>
      </c>
      <c r="J11236" s="2" t="s">
        <v>36</v>
      </c>
      <c r="K11236" s="2" t="s">
        <v>37</v>
      </c>
      <c r="L11236" s="2" t="s">
        <v>34</v>
      </c>
      <c r="M11236" s="7">
        <v>314.37299999999999</v>
      </c>
      <c r="N11236" s="6">
        <v>6.74</v>
      </c>
      <c r="O11236" s="6">
        <v>6.72</v>
      </c>
      <c r="P11236" s="2" t="s">
        <v>32558</v>
      </c>
      <c r="Q11236" s="6">
        <v>100</v>
      </c>
      <c r="R11236" s="6">
        <v>5.54</v>
      </c>
      <c r="S11236" s="5">
        <v>4.8</v>
      </c>
      <c r="T11236" s="7">
        <v>7.9489999999999998</v>
      </c>
      <c r="U11236" s="5">
        <v>4.0999999999999996</v>
      </c>
      <c r="V11236" s="9">
        <v>0.32240000000000002</v>
      </c>
      <c r="W11236" s="6">
        <v>4.66</v>
      </c>
      <c r="X11236" s="6">
        <v>4.78</v>
      </c>
      <c r="Y11236" s="6">
        <v>5.12</v>
      </c>
      <c r="Z11236" s="5">
        <v>5.0999999999999996</v>
      </c>
      <c r="AA11236" s="6">
        <v>12.92</v>
      </c>
      <c r="AB11236" s="7">
        <v>16.259</v>
      </c>
      <c r="AC11236" s="2"/>
    </row>
    <row r="11237" spans="1:29" ht="104" x14ac:dyDescent="0.15">
      <c r="A11237" s="3">
        <f>DATE(2015,10,1)</f>
        <v>42278</v>
      </c>
      <c r="B11237" s="3">
        <f>DATE(2016,3,11)</f>
        <v>42440</v>
      </c>
      <c r="C11237" s="2" t="s">
        <v>95</v>
      </c>
      <c r="D11237" s="2" t="s">
        <v>32559</v>
      </c>
      <c r="E11237" s="2" t="s">
        <v>36</v>
      </c>
      <c r="F11237" s="4">
        <v>6021</v>
      </c>
      <c r="G11237" s="2" t="s">
        <v>37</v>
      </c>
      <c r="H11237" s="2" t="s">
        <v>34</v>
      </c>
      <c r="I11237" s="2" t="s">
        <v>32560</v>
      </c>
      <c r="J11237" s="2" t="s">
        <v>36</v>
      </c>
      <c r="K11237" s="2" t="s">
        <v>37</v>
      </c>
      <c r="L11237" s="2" t="s">
        <v>34</v>
      </c>
      <c r="M11237" s="7">
        <v>876.67200000000003</v>
      </c>
      <c r="N11237" s="6">
        <v>28.28</v>
      </c>
      <c r="O11237" s="5">
        <v>28.1</v>
      </c>
      <c r="P11237" s="2" t="s">
        <v>32561</v>
      </c>
      <c r="Q11237" s="6">
        <v>100</v>
      </c>
      <c r="R11237" s="6">
        <v>16.850000000000001</v>
      </c>
      <c r="S11237" s="5">
        <v>3</v>
      </c>
      <c r="T11237" s="7">
        <v>4.3920000000000003</v>
      </c>
      <c r="U11237" s="5">
        <v>26.1</v>
      </c>
      <c r="V11237" s="9">
        <v>1.6620999999999999</v>
      </c>
      <c r="W11237" s="6">
        <v>24.19</v>
      </c>
      <c r="X11237" s="6">
        <v>24.16</v>
      </c>
      <c r="Y11237" s="6">
        <v>24.16</v>
      </c>
      <c r="Z11237" s="6">
        <v>24.16</v>
      </c>
      <c r="AA11237" s="6">
        <v>3.48</v>
      </c>
      <c r="AB11237" s="7">
        <v>12.488</v>
      </c>
      <c r="AC11237" s="2"/>
    </row>
    <row r="11238" spans="1:29" ht="195" x14ac:dyDescent="0.15">
      <c r="A11238" s="3">
        <f>DATE(2015,10,1)</f>
        <v>42278</v>
      </c>
      <c r="B11238" s="3">
        <f>DATE(2016,2,1)</f>
        <v>42401</v>
      </c>
      <c r="C11238" s="2" t="s">
        <v>95</v>
      </c>
      <c r="D11238" s="2" t="s">
        <v>32562</v>
      </c>
      <c r="E11238" s="2" t="s">
        <v>7120</v>
      </c>
      <c r="F11238" s="4">
        <v>6021</v>
      </c>
      <c r="G11238" s="2" t="s">
        <v>37</v>
      </c>
      <c r="H11238" s="2" t="s">
        <v>34</v>
      </c>
      <c r="I11238" s="2" t="s">
        <v>30583</v>
      </c>
      <c r="J11238" s="2" t="s">
        <v>36</v>
      </c>
      <c r="K11238" s="2" t="s">
        <v>37</v>
      </c>
      <c r="L11238" s="2" t="s">
        <v>34</v>
      </c>
      <c r="M11238" s="7">
        <v>409.77600000000001</v>
      </c>
      <c r="N11238" s="6">
        <v>20.21</v>
      </c>
      <c r="O11238" s="6">
        <v>20.29</v>
      </c>
      <c r="P11238" s="2" t="s">
        <v>32563</v>
      </c>
      <c r="Q11238" s="6">
        <v>100</v>
      </c>
      <c r="R11238" s="6">
        <v>19.57</v>
      </c>
      <c r="S11238" s="5">
        <v>1.6</v>
      </c>
      <c r="T11238" s="2"/>
      <c r="U11238" s="5">
        <v>11.5</v>
      </c>
      <c r="V11238" s="7">
        <v>0.27200000000000002</v>
      </c>
      <c r="W11238" s="6">
        <v>13.15</v>
      </c>
      <c r="X11238" s="4">
        <v>13</v>
      </c>
      <c r="Y11238" s="5">
        <v>18.5</v>
      </c>
      <c r="Z11238" s="6">
        <v>18.489999999999998</v>
      </c>
      <c r="AA11238" s="6">
        <v>6.04</v>
      </c>
      <c r="AB11238" s="7">
        <v>9.5419999999999998</v>
      </c>
      <c r="AC11238" s="2"/>
    </row>
    <row r="11239" spans="1:29" ht="169" x14ac:dyDescent="0.15">
      <c r="A11239" s="3">
        <f>DATE(2015,10,5)</f>
        <v>42282</v>
      </c>
      <c r="B11239" s="3">
        <f>DATE(2016,3,2)</f>
        <v>42431</v>
      </c>
      <c r="C11239" s="2" t="s">
        <v>95</v>
      </c>
      <c r="D11239" s="2" t="s">
        <v>32564</v>
      </c>
      <c r="E11239" s="2" t="s">
        <v>29798</v>
      </c>
      <c r="F11239" s="4">
        <v>6021</v>
      </c>
      <c r="G11239" s="2" t="s">
        <v>37</v>
      </c>
      <c r="H11239" s="2" t="s">
        <v>34</v>
      </c>
      <c r="I11239" s="2" t="s">
        <v>32565</v>
      </c>
      <c r="J11239" s="2" t="s">
        <v>36</v>
      </c>
      <c r="K11239" s="2" t="s">
        <v>37</v>
      </c>
      <c r="L11239" s="2" t="s">
        <v>34</v>
      </c>
      <c r="M11239" s="7">
        <v>620.12199999999996</v>
      </c>
      <c r="N11239" s="4">
        <v>15</v>
      </c>
      <c r="O11239" s="6">
        <v>14.97</v>
      </c>
      <c r="P11239" s="2" t="s">
        <v>32566</v>
      </c>
      <c r="Q11239" s="6">
        <v>100</v>
      </c>
      <c r="R11239" s="6">
        <v>13.31</v>
      </c>
      <c r="S11239" s="2"/>
      <c r="T11239" s="2"/>
      <c r="U11239" s="2"/>
      <c r="V11239" s="2"/>
      <c r="W11239" s="6">
        <v>7.95</v>
      </c>
      <c r="X11239" s="6">
        <v>7.95</v>
      </c>
      <c r="Y11239" s="6">
        <v>7.95</v>
      </c>
      <c r="Z11239" s="6">
        <v>12.97</v>
      </c>
      <c r="AA11239" s="6">
        <v>4.9800000000000004</v>
      </c>
      <c r="AB11239" s="2" t="s">
        <v>47</v>
      </c>
      <c r="AC11239" s="2"/>
    </row>
    <row r="11240" spans="1:29" ht="143" x14ac:dyDescent="0.15">
      <c r="A11240" s="3">
        <f>DATE(2015,10,5)</f>
        <v>42282</v>
      </c>
      <c r="B11240" s="2"/>
      <c r="C11240" s="2" t="s">
        <v>30</v>
      </c>
      <c r="D11240" s="2" t="s">
        <v>17242</v>
      </c>
      <c r="E11240" s="2" t="s">
        <v>10974</v>
      </c>
      <c r="F11240" s="4">
        <v>3674</v>
      </c>
      <c r="G11240" s="2" t="s">
        <v>137</v>
      </c>
      <c r="H11240" s="2" t="s">
        <v>34</v>
      </c>
      <c r="I11240" s="2" t="s">
        <v>29286</v>
      </c>
      <c r="J11240" s="2" t="s">
        <v>29287</v>
      </c>
      <c r="K11240" s="2" t="s">
        <v>137</v>
      </c>
      <c r="L11240" s="2" t="s">
        <v>34</v>
      </c>
      <c r="M11240" s="12">
        <v>15901.824000000001</v>
      </c>
      <c r="N11240" s="6">
        <v>81.87</v>
      </c>
      <c r="O11240" s="6">
        <v>80.709999999999994</v>
      </c>
      <c r="P11240" s="2" t="s">
        <v>32567</v>
      </c>
      <c r="Q11240" s="2"/>
      <c r="R11240" s="6">
        <v>11.6</v>
      </c>
      <c r="S11240" s="5">
        <v>5.0999999999999996</v>
      </c>
      <c r="T11240" s="7">
        <v>79.081999999999994</v>
      </c>
      <c r="U11240" s="5">
        <v>3</v>
      </c>
      <c r="V11240" s="9">
        <v>2.58E-2</v>
      </c>
      <c r="W11240" s="6">
        <v>6.26</v>
      </c>
      <c r="X11240" s="6">
        <v>7.43</v>
      </c>
      <c r="Y11240" s="6">
        <v>7.69</v>
      </c>
      <c r="Z11240" s="6">
        <v>10.24</v>
      </c>
      <c r="AA11240" s="6">
        <v>195.67</v>
      </c>
      <c r="AB11240" s="7">
        <v>131.982</v>
      </c>
      <c r="AC11240" s="8">
        <v>1043.5999999999999</v>
      </c>
    </row>
    <row r="11241" spans="1:29" ht="117" x14ac:dyDescent="0.15">
      <c r="A11241" s="3">
        <f>DATE(2015,10,6)</f>
        <v>42283</v>
      </c>
      <c r="B11241" s="2"/>
      <c r="C11241" s="2" t="s">
        <v>87</v>
      </c>
      <c r="D11241" s="2" t="s">
        <v>32568</v>
      </c>
      <c r="E11241" s="2" t="s">
        <v>32569</v>
      </c>
      <c r="F11241" s="4">
        <v>5063</v>
      </c>
      <c r="G11241" s="2" t="s">
        <v>76</v>
      </c>
      <c r="H11241" s="2" t="s">
        <v>34</v>
      </c>
      <c r="I11241" s="2" t="s">
        <v>23265</v>
      </c>
      <c r="J11241" s="2" t="s">
        <v>23266</v>
      </c>
      <c r="K11241" s="2" t="s">
        <v>300</v>
      </c>
      <c r="L11241" s="2" t="s">
        <v>34</v>
      </c>
      <c r="M11241" s="12">
        <v>26843.008999999998</v>
      </c>
      <c r="N11241" s="6">
        <v>43.06</v>
      </c>
      <c r="O11241" s="6">
        <v>43.86</v>
      </c>
      <c r="P11241" s="2" t="s">
        <v>32570</v>
      </c>
      <c r="Q11241" s="2"/>
      <c r="R11241" s="2"/>
      <c r="S11241" s="5">
        <v>164.1</v>
      </c>
      <c r="T11241" s="7">
        <v>331.19200000000001</v>
      </c>
      <c r="U11241" s="5">
        <v>22.7</v>
      </c>
      <c r="V11241" s="9">
        <v>3.5299</v>
      </c>
      <c r="W11241" s="6">
        <v>52.11</v>
      </c>
      <c r="X11241" s="6">
        <v>58.88</v>
      </c>
      <c r="Y11241" s="6">
        <v>63.86</v>
      </c>
      <c r="Z11241" s="5">
        <v>64.7</v>
      </c>
      <c r="AA11241" s="6">
        <v>46.38</v>
      </c>
      <c r="AB11241" s="2" t="s">
        <v>47</v>
      </c>
      <c r="AC11241" s="5">
        <v>661</v>
      </c>
    </row>
    <row r="11242" spans="1:29" ht="78" x14ac:dyDescent="0.15">
      <c r="A11242" s="3">
        <f>DATE(2015,10,7)</f>
        <v>42284</v>
      </c>
      <c r="B11242" s="3">
        <f>DATE(2016,4,8)</f>
        <v>42468</v>
      </c>
      <c r="C11242" s="2" t="s">
        <v>95</v>
      </c>
      <c r="D11242" s="2" t="s">
        <v>32571</v>
      </c>
      <c r="E11242" s="2" t="s">
        <v>2499</v>
      </c>
      <c r="F11242" s="4">
        <v>2711</v>
      </c>
      <c r="G11242" s="2" t="s">
        <v>186</v>
      </c>
      <c r="H11242" s="2" t="s">
        <v>34</v>
      </c>
      <c r="I11242" s="2" t="s">
        <v>17167</v>
      </c>
      <c r="J11242" s="2" t="s">
        <v>2499</v>
      </c>
      <c r="K11242" s="2" t="s">
        <v>186</v>
      </c>
      <c r="L11242" s="2" t="s">
        <v>34</v>
      </c>
      <c r="M11242" s="12">
        <v>1513.864</v>
      </c>
      <c r="N11242" s="6">
        <v>14.94</v>
      </c>
      <c r="O11242" s="5">
        <v>15.2</v>
      </c>
      <c r="P11242" s="2" t="s">
        <v>32572</v>
      </c>
      <c r="Q11242" s="6">
        <v>100</v>
      </c>
      <c r="R11242" s="6">
        <v>12</v>
      </c>
      <c r="S11242" s="5">
        <v>-3</v>
      </c>
      <c r="T11242" s="7">
        <v>16.678000000000001</v>
      </c>
      <c r="U11242" s="5">
        <v>9.9</v>
      </c>
      <c r="V11242" s="9">
        <v>-0.12620000000000001</v>
      </c>
      <c r="W11242" s="5">
        <v>7.5</v>
      </c>
      <c r="X11242" s="6">
        <v>7.87</v>
      </c>
      <c r="Y11242" s="5">
        <v>8.3000000000000007</v>
      </c>
      <c r="Z11242" s="6">
        <v>11.96</v>
      </c>
      <c r="AA11242" s="6">
        <v>24.41</v>
      </c>
      <c r="AB11242" s="2" t="s">
        <v>86</v>
      </c>
      <c r="AC11242" s="6">
        <v>142.77000000000001</v>
      </c>
    </row>
    <row r="11243" spans="1:29" ht="65" x14ac:dyDescent="0.15">
      <c r="A11243" s="3">
        <f>DATE(2015,10,7)</f>
        <v>42284</v>
      </c>
      <c r="B11243" s="2"/>
      <c r="C11243" s="2" t="s">
        <v>87</v>
      </c>
      <c r="D11243" s="2" t="s">
        <v>32573</v>
      </c>
      <c r="E11243" s="2" t="s">
        <v>32574</v>
      </c>
      <c r="F11243" s="4">
        <v>2899</v>
      </c>
      <c r="G11243" s="2" t="s">
        <v>98</v>
      </c>
      <c r="H11243" s="2" t="s">
        <v>34</v>
      </c>
      <c r="I11243" s="2" t="s">
        <v>27735</v>
      </c>
      <c r="J11243" s="2" t="s">
        <v>244</v>
      </c>
      <c r="K11243" s="2" t="s">
        <v>53</v>
      </c>
      <c r="L11243" s="2" t="s">
        <v>34</v>
      </c>
      <c r="M11243" s="12">
        <v>3342.9229999999998</v>
      </c>
      <c r="N11243" s="5">
        <v>18.600000000000001</v>
      </c>
      <c r="O11243" s="6">
        <v>18.66</v>
      </c>
      <c r="P11243" s="2" t="s">
        <v>32575</v>
      </c>
      <c r="Q11243" s="2"/>
      <c r="R11243" s="2"/>
      <c r="S11243" s="5">
        <v>75</v>
      </c>
      <c r="T11243" s="5">
        <v>597</v>
      </c>
      <c r="U11243" s="5">
        <v>0.5</v>
      </c>
      <c r="V11243" s="9">
        <v>0.41439999999999999</v>
      </c>
      <c r="W11243" s="6">
        <v>6.47</v>
      </c>
      <c r="X11243" s="6">
        <v>8.2100000000000009</v>
      </c>
      <c r="Y11243" s="6">
        <v>7.87</v>
      </c>
      <c r="Z11243" s="6">
        <v>8.43</v>
      </c>
      <c r="AA11243" s="6">
        <v>180.97</v>
      </c>
      <c r="AB11243" s="2" t="s">
        <v>47</v>
      </c>
      <c r="AC11243" s="6">
        <v>874.62</v>
      </c>
    </row>
    <row r="11244" spans="1:29" ht="130" x14ac:dyDescent="0.15">
      <c r="A11244" s="3">
        <f>DATE(2015,10,8)</f>
        <v>42285</v>
      </c>
      <c r="B11244" s="3">
        <f>DATE(2016,1,27)</f>
        <v>42396</v>
      </c>
      <c r="C11244" s="2" t="s">
        <v>95</v>
      </c>
      <c r="D11244" s="2" t="s">
        <v>32576</v>
      </c>
      <c r="E11244" s="2" t="s">
        <v>92</v>
      </c>
      <c r="F11244" s="4">
        <v>6798</v>
      </c>
      <c r="G11244" s="2" t="s">
        <v>53</v>
      </c>
      <c r="H11244" s="2" t="s">
        <v>34</v>
      </c>
      <c r="I11244" s="2" t="s">
        <v>32503</v>
      </c>
      <c r="J11244" s="2" t="s">
        <v>31277</v>
      </c>
      <c r="K11244" s="2" t="s">
        <v>53</v>
      </c>
      <c r="L11244" s="2" t="s">
        <v>34</v>
      </c>
      <c r="M11244" s="2"/>
      <c r="N11244" s="2"/>
      <c r="O11244" s="2"/>
      <c r="P11244" s="2" t="s">
        <v>32577</v>
      </c>
      <c r="Q11244" s="6">
        <v>100</v>
      </c>
      <c r="R11244" s="6">
        <v>23.75</v>
      </c>
      <c r="S11244" s="5">
        <v>207.6</v>
      </c>
      <c r="T11244" s="7">
        <v>299.66500000000002</v>
      </c>
      <c r="U11244" s="5">
        <v>14.6</v>
      </c>
      <c r="V11244" s="9">
        <v>1.0425</v>
      </c>
      <c r="W11244" s="6">
        <v>19.260000000000002</v>
      </c>
      <c r="X11244" s="6">
        <v>19.739999999999998</v>
      </c>
      <c r="Y11244" s="6">
        <v>19.18</v>
      </c>
      <c r="Z11244" s="6">
        <v>21.54</v>
      </c>
      <c r="AA11244" s="6">
        <v>203.57</v>
      </c>
      <c r="AB11244" s="7">
        <v>186.95400000000001</v>
      </c>
      <c r="AC11244" s="2"/>
    </row>
    <row r="11245" spans="1:29" ht="78" x14ac:dyDescent="0.15">
      <c r="A11245" s="3">
        <f>DATE(2015,10,9)</f>
        <v>42286</v>
      </c>
      <c r="B11245" s="3">
        <f>DATE(2016,1,22)</f>
        <v>42391</v>
      </c>
      <c r="C11245" s="2" t="s">
        <v>95</v>
      </c>
      <c r="D11245" s="2" t="s">
        <v>32578</v>
      </c>
      <c r="E11245" s="2" t="s">
        <v>32579</v>
      </c>
      <c r="F11245" s="4">
        <v>4731</v>
      </c>
      <c r="G11245" s="2" t="s">
        <v>173</v>
      </c>
      <c r="H11245" s="2" t="s">
        <v>34</v>
      </c>
      <c r="I11245" s="2" t="s">
        <v>32580</v>
      </c>
      <c r="J11245" s="2" t="s">
        <v>32581</v>
      </c>
      <c r="K11245" s="2" t="s">
        <v>173</v>
      </c>
      <c r="L11245" s="2" t="s">
        <v>734</v>
      </c>
      <c r="M11245" s="12">
        <v>6170.5959999999995</v>
      </c>
      <c r="N11245" s="7">
        <v>41.104999999999997</v>
      </c>
      <c r="O11245" s="7">
        <v>41.789000000000001</v>
      </c>
      <c r="P11245" s="2" t="s">
        <v>32582</v>
      </c>
      <c r="Q11245" s="6">
        <v>100</v>
      </c>
      <c r="R11245" s="6">
        <v>7.1</v>
      </c>
      <c r="S11245" s="5">
        <v>-247.1</v>
      </c>
      <c r="T11245" s="7">
        <v>-5.9779999999999998</v>
      </c>
      <c r="U11245" s="5">
        <v>3.3</v>
      </c>
      <c r="V11245" s="9">
        <v>-2.5123000000000002</v>
      </c>
      <c r="W11245" s="6">
        <v>4.45</v>
      </c>
      <c r="X11245" s="6">
        <v>4.72</v>
      </c>
      <c r="Y11245" s="6">
        <v>7.13</v>
      </c>
      <c r="Z11245" s="6">
        <v>7.12</v>
      </c>
      <c r="AA11245" s="6">
        <v>108.98</v>
      </c>
      <c r="AB11245" s="2" t="s">
        <v>86</v>
      </c>
      <c r="AC11245" s="6">
        <v>85.07</v>
      </c>
    </row>
    <row r="11246" spans="1:29" ht="169" x14ac:dyDescent="0.15">
      <c r="A11246" s="3">
        <f>DATE(2015,10,12)</f>
        <v>42289</v>
      </c>
      <c r="B11246" s="3">
        <f>DATE(2016,9,7)</f>
        <v>42620</v>
      </c>
      <c r="C11246" s="2" t="s">
        <v>95</v>
      </c>
      <c r="D11246" s="2" t="s">
        <v>15063</v>
      </c>
      <c r="E11246" s="2" t="s">
        <v>15064</v>
      </c>
      <c r="F11246" s="4">
        <v>3572</v>
      </c>
      <c r="G11246" s="2" t="s">
        <v>50</v>
      </c>
      <c r="H11246" s="2" t="s">
        <v>34</v>
      </c>
      <c r="I11246" s="2" t="s">
        <v>27746</v>
      </c>
      <c r="J11246" s="2" t="s">
        <v>27747</v>
      </c>
      <c r="K11246" s="2" t="s">
        <v>50</v>
      </c>
      <c r="L11246" s="2" t="s">
        <v>34</v>
      </c>
      <c r="M11246" s="2"/>
      <c r="N11246" s="2"/>
      <c r="O11246" s="2"/>
      <c r="P11246" s="2" t="s">
        <v>32583</v>
      </c>
      <c r="Q11246" s="6">
        <v>100</v>
      </c>
      <c r="R11246" s="6">
        <v>32.78</v>
      </c>
      <c r="S11246" s="8">
        <v>2365</v>
      </c>
      <c r="T11246" s="8">
        <v>5514</v>
      </c>
      <c r="U11246" s="5">
        <v>10.5</v>
      </c>
      <c r="V11246" s="9">
        <v>1.1798</v>
      </c>
      <c r="W11246" s="6">
        <v>29.46</v>
      </c>
      <c r="X11246" s="6">
        <v>29.53</v>
      </c>
      <c r="Y11246" s="6">
        <v>29.68</v>
      </c>
      <c r="Z11246" s="6">
        <v>29.85</v>
      </c>
      <c r="AA11246" s="10">
        <v>1939.73</v>
      </c>
      <c r="AB11246" s="7">
        <v>17.777000000000001</v>
      </c>
      <c r="AC11246" s="8">
        <v>11937</v>
      </c>
    </row>
    <row r="11247" spans="1:29" ht="65" x14ac:dyDescent="0.15">
      <c r="A11247" s="3">
        <f>DATE(2015,10,13)</f>
        <v>42290</v>
      </c>
      <c r="B11247" s="3">
        <f>DATE(2016,5,13)</f>
        <v>42503</v>
      </c>
      <c r="C11247" s="2" t="s">
        <v>95</v>
      </c>
      <c r="D11247" s="2" t="s">
        <v>32584</v>
      </c>
      <c r="E11247" s="2" t="s">
        <v>36</v>
      </c>
      <c r="F11247" s="4">
        <v>6035</v>
      </c>
      <c r="G11247" s="2" t="s">
        <v>33</v>
      </c>
      <c r="H11247" s="2" t="s">
        <v>34</v>
      </c>
      <c r="I11247" s="2" t="s">
        <v>5056</v>
      </c>
      <c r="J11247" s="2" t="s">
        <v>36</v>
      </c>
      <c r="K11247" s="2" t="s">
        <v>37</v>
      </c>
      <c r="L11247" s="2" t="s">
        <v>34</v>
      </c>
      <c r="M11247" s="6">
        <v>47.17</v>
      </c>
      <c r="N11247" s="6">
        <v>15.75</v>
      </c>
      <c r="O11247" s="6">
        <v>15.32</v>
      </c>
      <c r="P11247" s="2" t="s">
        <v>32585</v>
      </c>
      <c r="Q11247" s="6">
        <v>100</v>
      </c>
      <c r="R11247" s="6">
        <v>19.25</v>
      </c>
      <c r="S11247" s="2"/>
      <c r="T11247" s="2"/>
      <c r="U11247" s="2"/>
      <c r="V11247" s="2"/>
      <c r="W11247" s="5">
        <v>16.8</v>
      </c>
      <c r="X11247" s="5">
        <v>16.8</v>
      </c>
      <c r="Y11247" s="5">
        <v>18.600000000000001</v>
      </c>
      <c r="Z11247" s="6">
        <v>18.45</v>
      </c>
      <c r="AA11247" s="6">
        <v>1.38</v>
      </c>
      <c r="AB11247" s="2" t="s">
        <v>47</v>
      </c>
      <c r="AC11247" s="2"/>
    </row>
    <row r="11248" spans="1:29" ht="156" x14ac:dyDescent="0.15">
      <c r="A11248" s="3">
        <f>DATE(2015,10,13)</f>
        <v>42290</v>
      </c>
      <c r="B11248" s="3">
        <f>DATE(2016,3,1)</f>
        <v>42430</v>
      </c>
      <c r="C11248" s="2" t="s">
        <v>95</v>
      </c>
      <c r="D11248" s="2" t="s">
        <v>31037</v>
      </c>
      <c r="E11248" s="2" t="s">
        <v>36</v>
      </c>
      <c r="F11248" s="4">
        <v>6022</v>
      </c>
      <c r="G11248" s="2" t="s">
        <v>37</v>
      </c>
      <c r="H11248" s="2" t="s">
        <v>34</v>
      </c>
      <c r="I11248" s="2" t="s">
        <v>31214</v>
      </c>
      <c r="J11248" s="2" t="s">
        <v>36</v>
      </c>
      <c r="K11248" s="2" t="s">
        <v>37</v>
      </c>
      <c r="L11248" s="2" t="s">
        <v>34</v>
      </c>
      <c r="M11248" s="7">
        <v>677.66200000000003</v>
      </c>
      <c r="N11248" s="5">
        <v>21.8</v>
      </c>
      <c r="O11248" s="6">
        <v>21.41</v>
      </c>
      <c r="P11248" s="2" t="s">
        <v>32586</v>
      </c>
      <c r="Q11248" s="6">
        <v>100</v>
      </c>
      <c r="R11248" s="6">
        <v>11.4</v>
      </c>
      <c r="S11248" s="5">
        <v>19.600000000000001</v>
      </c>
      <c r="T11248" s="7">
        <v>38.048999999999999</v>
      </c>
      <c r="U11248" s="5">
        <v>6.7</v>
      </c>
      <c r="V11248" s="9">
        <v>0.50670000000000004</v>
      </c>
      <c r="W11248" s="6">
        <v>8.61</v>
      </c>
      <c r="X11248" s="6">
        <v>8.8699999999999992</v>
      </c>
      <c r="Y11248" s="6">
        <v>10.49</v>
      </c>
      <c r="Z11248" s="6">
        <v>10.29</v>
      </c>
      <c r="AA11248" s="6">
        <v>39.08</v>
      </c>
      <c r="AB11248" s="7">
        <v>28.553999999999998</v>
      </c>
      <c r="AC11248" s="2"/>
    </row>
    <row r="11249" spans="1:29" ht="78" x14ac:dyDescent="0.15">
      <c r="A11249" s="3">
        <f>DATE(2015,10,13)</f>
        <v>42290</v>
      </c>
      <c r="B11249" s="3">
        <f>DATE(2016,1,21)</f>
        <v>42390</v>
      </c>
      <c r="C11249" s="2" t="s">
        <v>95</v>
      </c>
      <c r="D11249" s="2" t="s">
        <v>32587</v>
      </c>
      <c r="E11249" s="2" t="s">
        <v>32588</v>
      </c>
      <c r="F11249" s="4">
        <v>2621</v>
      </c>
      <c r="G11249" s="2" t="s">
        <v>282</v>
      </c>
      <c r="H11249" s="2" t="s">
        <v>34</v>
      </c>
      <c r="I11249" s="2" t="s">
        <v>32589</v>
      </c>
      <c r="J11249" s="2" t="s">
        <v>32590</v>
      </c>
      <c r="K11249" s="2" t="s">
        <v>282</v>
      </c>
      <c r="L11249" s="2" t="s">
        <v>435</v>
      </c>
      <c r="M11249" s="8">
        <v>20145.7</v>
      </c>
      <c r="N11249" s="7">
        <v>27.568000000000001</v>
      </c>
      <c r="O11249" s="7">
        <v>27.318000000000001</v>
      </c>
      <c r="P11249" s="2" t="s">
        <v>32591</v>
      </c>
      <c r="Q11249" s="6">
        <v>100</v>
      </c>
      <c r="R11249" s="6">
        <v>10.25</v>
      </c>
      <c r="S11249" s="5">
        <v>3.8</v>
      </c>
      <c r="T11249" s="7">
        <v>61.277000000000001</v>
      </c>
      <c r="U11249" s="5">
        <v>2.6</v>
      </c>
      <c r="V11249" s="9">
        <v>8.1799999999999998E-2</v>
      </c>
      <c r="W11249" s="6">
        <v>6.93</v>
      </c>
      <c r="X11249" s="6">
        <v>7.29</v>
      </c>
      <c r="Y11249" s="6">
        <v>10.220000000000001</v>
      </c>
      <c r="Z11249" s="6">
        <v>10.17</v>
      </c>
      <c r="AA11249" s="6">
        <v>50.08</v>
      </c>
      <c r="AB11249" s="7">
        <v>34.677999999999997</v>
      </c>
      <c r="AC11249" s="6">
        <v>651.24</v>
      </c>
    </row>
    <row r="11250" spans="1:29" ht="104" x14ac:dyDescent="0.15">
      <c r="A11250" s="3">
        <f>DATE(2015,10,14)</f>
        <v>42291</v>
      </c>
      <c r="B11250" s="3">
        <f>DATE(2016,2,29)</f>
        <v>42429</v>
      </c>
      <c r="C11250" s="2" t="s">
        <v>95</v>
      </c>
      <c r="D11250" s="2" t="s">
        <v>32592</v>
      </c>
      <c r="E11250" s="2" t="s">
        <v>29798</v>
      </c>
      <c r="F11250" s="4">
        <v>6021</v>
      </c>
      <c r="G11250" s="2" t="s">
        <v>37</v>
      </c>
      <c r="H11250" s="2" t="s">
        <v>34</v>
      </c>
      <c r="I11250" s="2" t="s">
        <v>27828</v>
      </c>
      <c r="J11250" s="2" t="s">
        <v>3780</v>
      </c>
      <c r="K11250" s="2" t="s">
        <v>37</v>
      </c>
      <c r="L11250" s="2" t="s">
        <v>34</v>
      </c>
      <c r="M11250" s="2"/>
      <c r="N11250" s="2"/>
      <c r="O11250" s="2"/>
      <c r="P11250" s="2" t="s">
        <v>32593</v>
      </c>
      <c r="Q11250" s="6">
        <v>100</v>
      </c>
      <c r="R11250" s="2"/>
      <c r="S11250" s="2"/>
      <c r="T11250" s="2"/>
      <c r="U11250" s="2"/>
      <c r="V11250" s="2"/>
      <c r="W11250" s="6">
        <v>13.35</v>
      </c>
      <c r="X11250" s="6">
        <v>13.35</v>
      </c>
      <c r="Y11250" s="6">
        <v>13.35</v>
      </c>
      <c r="Z11250" s="6">
        <v>16.13</v>
      </c>
      <c r="AA11250" s="6">
        <v>16.670000000000002</v>
      </c>
      <c r="AB11250" s="2" t="s">
        <v>47</v>
      </c>
      <c r="AC11250" s="2"/>
    </row>
    <row r="11251" spans="1:29" ht="65" x14ac:dyDescent="0.15">
      <c r="A11251" s="3">
        <f>DATE(2015,10,15)</f>
        <v>42292</v>
      </c>
      <c r="B11251" s="2"/>
      <c r="C11251" s="2" t="s">
        <v>87</v>
      </c>
      <c r="D11251" s="2" t="s">
        <v>18405</v>
      </c>
      <c r="E11251" s="2" t="s">
        <v>13887</v>
      </c>
      <c r="F11251" s="4">
        <v>3674</v>
      </c>
      <c r="G11251" s="2" t="s">
        <v>137</v>
      </c>
      <c r="H11251" s="2" t="s">
        <v>34</v>
      </c>
      <c r="I11251" s="2" t="s">
        <v>31427</v>
      </c>
      <c r="J11251" s="2" t="s">
        <v>4865</v>
      </c>
      <c r="K11251" s="2" t="s">
        <v>137</v>
      </c>
      <c r="L11251" s="2" t="s">
        <v>34</v>
      </c>
      <c r="M11251" s="10">
        <v>18171.18</v>
      </c>
      <c r="N11251" s="6">
        <v>61.28</v>
      </c>
      <c r="O11251" s="6">
        <v>60.19</v>
      </c>
      <c r="P11251" s="2" t="s">
        <v>32594</v>
      </c>
      <c r="Q11251" s="2"/>
      <c r="R11251" s="2"/>
      <c r="S11251" s="5">
        <v>33.9</v>
      </c>
      <c r="T11251" s="7">
        <v>738.93899999999996</v>
      </c>
      <c r="U11251" s="5">
        <v>7.4</v>
      </c>
      <c r="V11251" s="7">
        <v>0.11700000000000001</v>
      </c>
      <c r="W11251" s="6">
        <v>35.31</v>
      </c>
      <c r="X11251" s="6">
        <v>38.33</v>
      </c>
      <c r="Y11251" s="6">
        <v>38.92</v>
      </c>
      <c r="Z11251" s="6">
        <v>39.74</v>
      </c>
      <c r="AA11251" s="6">
        <v>284.36</v>
      </c>
      <c r="AB11251" s="2" t="s">
        <v>47</v>
      </c>
      <c r="AC11251" s="10">
        <v>3099.96</v>
      </c>
    </row>
    <row r="11252" spans="1:29" ht="117" x14ac:dyDescent="0.15">
      <c r="A11252" s="3">
        <f>DATE(2015,10,16)</f>
        <v>42293</v>
      </c>
      <c r="B11252" s="3">
        <f>DATE(2016,3,2)</f>
        <v>42431</v>
      </c>
      <c r="C11252" s="2" t="s">
        <v>95</v>
      </c>
      <c r="D11252" s="2" t="s">
        <v>32595</v>
      </c>
      <c r="E11252" s="2" t="s">
        <v>92</v>
      </c>
      <c r="F11252" s="4">
        <v>6798</v>
      </c>
      <c r="G11252" s="2" t="s">
        <v>53</v>
      </c>
      <c r="H11252" s="2" t="s">
        <v>34</v>
      </c>
      <c r="I11252" s="2" t="s">
        <v>32596</v>
      </c>
      <c r="J11252" s="2" t="s">
        <v>3941</v>
      </c>
      <c r="K11252" s="2" t="s">
        <v>53</v>
      </c>
      <c r="L11252" s="2" t="s">
        <v>34</v>
      </c>
      <c r="M11252" s="2"/>
      <c r="N11252" s="2"/>
      <c r="O11252" s="2"/>
      <c r="P11252" s="2" t="s">
        <v>32597</v>
      </c>
      <c r="Q11252" s="6">
        <v>100</v>
      </c>
      <c r="R11252" s="6">
        <v>7.03</v>
      </c>
      <c r="S11252" s="5">
        <v>-48.3</v>
      </c>
      <c r="T11252" s="7">
        <v>15.994999999999999</v>
      </c>
      <c r="U11252" s="5">
        <v>7.2</v>
      </c>
      <c r="V11252" s="9">
        <v>-0.80110000000000003</v>
      </c>
      <c r="W11252" s="5">
        <v>5.7</v>
      </c>
      <c r="X11252" s="6">
        <v>5.65</v>
      </c>
      <c r="Y11252" s="6">
        <v>5.68</v>
      </c>
      <c r="Z11252" s="6">
        <v>6.45</v>
      </c>
      <c r="AA11252" s="6">
        <v>64.760000000000005</v>
      </c>
      <c r="AB11252" s="2" t="s">
        <v>86</v>
      </c>
      <c r="AC11252" s="2"/>
    </row>
    <row r="11253" spans="1:29" ht="299" x14ac:dyDescent="0.15">
      <c r="A11253" s="3">
        <f>DATE(2015,10,19)</f>
        <v>42296</v>
      </c>
      <c r="B11253" s="3">
        <f>DATE(2016,1,15)</f>
        <v>42384</v>
      </c>
      <c r="C11253" s="2" t="s">
        <v>95</v>
      </c>
      <c r="D11253" s="2" t="s">
        <v>17242</v>
      </c>
      <c r="E11253" s="2" t="s">
        <v>10974</v>
      </c>
      <c r="F11253" s="4">
        <v>3674</v>
      </c>
      <c r="G11253" s="2" t="s">
        <v>137</v>
      </c>
      <c r="H11253" s="2" t="s">
        <v>34</v>
      </c>
      <c r="I11253" s="2" t="s">
        <v>11358</v>
      </c>
      <c r="J11253" s="2" t="s">
        <v>10974</v>
      </c>
      <c r="K11253" s="2" t="s">
        <v>137</v>
      </c>
      <c r="L11253" s="2" t="s">
        <v>34</v>
      </c>
      <c r="M11253" s="12">
        <v>3047.5810000000001</v>
      </c>
      <c r="N11253" s="6">
        <v>35.33</v>
      </c>
      <c r="O11253" s="6">
        <v>35.119999999999997</v>
      </c>
      <c r="P11253" s="2" t="s">
        <v>32598</v>
      </c>
      <c r="Q11253" s="6">
        <v>100</v>
      </c>
      <c r="R11253" s="6">
        <v>12.06</v>
      </c>
      <c r="S11253" s="5">
        <v>5.0999999999999996</v>
      </c>
      <c r="T11253" s="7">
        <v>79.081999999999994</v>
      </c>
      <c r="U11253" s="5">
        <v>3</v>
      </c>
      <c r="V11253" s="9">
        <v>2.58E-2</v>
      </c>
      <c r="W11253" s="6">
        <v>10.34</v>
      </c>
      <c r="X11253" s="6">
        <v>10.24</v>
      </c>
      <c r="Y11253" s="6">
        <v>11.73</v>
      </c>
      <c r="Z11253" s="6">
        <v>11.59</v>
      </c>
      <c r="AA11253" s="6">
        <v>195.67</v>
      </c>
      <c r="AB11253" s="7">
        <v>137.54900000000001</v>
      </c>
      <c r="AC11253" s="5">
        <v>256.39999999999998</v>
      </c>
    </row>
    <row r="11254" spans="1:29" ht="52" x14ac:dyDescent="0.15">
      <c r="A11254" s="3">
        <f>DATE(2015,10,20)</f>
        <v>42297</v>
      </c>
      <c r="B11254" s="3">
        <f>DATE(2016,3,31)</f>
        <v>42460</v>
      </c>
      <c r="C11254" s="2" t="s">
        <v>95</v>
      </c>
      <c r="D11254" s="2" t="s">
        <v>32599</v>
      </c>
      <c r="E11254" s="2" t="s">
        <v>1181</v>
      </c>
      <c r="F11254" s="4">
        <v>6029</v>
      </c>
      <c r="G11254" s="2" t="s">
        <v>37</v>
      </c>
      <c r="H11254" s="2" t="s">
        <v>34</v>
      </c>
      <c r="I11254" s="2" t="s">
        <v>32600</v>
      </c>
      <c r="J11254" s="2" t="s">
        <v>29798</v>
      </c>
      <c r="K11254" s="2" t="s">
        <v>37</v>
      </c>
      <c r="L11254" s="2" t="s">
        <v>34</v>
      </c>
      <c r="M11254" s="2"/>
      <c r="N11254" s="2"/>
      <c r="O11254" s="2"/>
      <c r="P11254" s="2" t="s">
        <v>32601</v>
      </c>
      <c r="Q11254" s="6">
        <v>100</v>
      </c>
      <c r="R11254" s="2"/>
      <c r="S11254" s="2"/>
      <c r="T11254" s="2"/>
      <c r="U11254" s="2"/>
      <c r="V11254" s="2"/>
      <c r="W11254" s="6">
        <v>4.25</v>
      </c>
      <c r="X11254" s="6">
        <v>4.25</v>
      </c>
      <c r="Y11254" s="6">
        <v>5.36</v>
      </c>
      <c r="Z11254" s="5">
        <v>5.2</v>
      </c>
      <c r="AA11254" s="6">
        <v>3.28</v>
      </c>
      <c r="AB11254" s="2" t="s">
        <v>47</v>
      </c>
      <c r="AC11254" s="6">
        <v>313.49</v>
      </c>
    </row>
    <row r="11255" spans="1:29" ht="195" x14ac:dyDescent="0.15">
      <c r="A11255" s="3">
        <f>DATE(2015,10,20)</f>
        <v>42297</v>
      </c>
      <c r="B11255" s="2"/>
      <c r="C11255" s="2" t="s">
        <v>30</v>
      </c>
      <c r="D11255" s="2" t="s">
        <v>32412</v>
      </c>
      <c r="E11255" s="2" t="s">
        <v>10699</v>
      </c>
      <c r="F11255" s="4">
        <v>8099</v>
      </c>
      <c r="G11255" s="2" t="s">
        <v>454</v>
      </c>
      <c r="H11255" s="2" t="s">
        <v>34</v>
      </c>
      <c r="I11255" s="2" t="s">
        <v>32602</v>
      </c>
      <c r="J11255" s="2" t="s">
        <v>32603</v>
      </c>
      <c r="K11255" s="2" t="s">
        <v>454</v>
      </c>
      <c r="L11255" s="2" t="s">
        <v>34</v>
      </c>
      <c r="M11255" s="12">
        <v>8759.4439999999995</v>
      </c>
      <c r="N11255" s="6">
        <v>74.88</v>
      </c>
      <c r="O11255" s="6">
        <v>71.56</v>
      </c>
      <c r="P11255" s="2" t="s">
        <v>32604</v>
      </c>
      <c r="Q11255" s="2"/>
      <c r="R11255" s="6">
        <v>75.459999999999994</v>
      </c>
      <c r="S11255" s="5">
        <v>100.7</v>
      </c>
      <c r="T11255" s="7">
        <v>282.90600000000001</v>
      </c>
      <c r="U11255" s="5">
        <v>7.2</v>
      </c>
      <c r="V11255" s="9">
        <v>1.3808</v>
      </c>
      <c r="W11255" s="6">
        <v>52.03</v>
      </c>
      <c r="X11255" s="5">
        <v>52.5</v>
      </c>
      <c r="Y11255" s="6">
        <v>62.59</v>
      </c>
      <c r="Z11255" s="6">
        <v>61.77</v>
      </c>
      <c r="AA11255" s="6">
        <v>72.44</v>
      </c>
      <c r="AB11255" s="7">
        <v>42.892000000000003</v>
      </c>
      <c r="AC11255" s="2"/>
    </row>
    <row r="11256" spans="1:29" ht="221" x14ac:dyDescent="0.15">
      <c r="A11256" s="3">
        <f>DATE(2015,10,21)</f>
        <v>42298</v>
      </c>
      <c r="B11256" s="2"/>
      <c r="C11256" s="2" t="s">
        <v>30</v>
      </c>
      <c r="D11256" s="2" t="s">
        <v>22673</v>
      </c>
      <c r="E11256" s="2" t="s">
        <v>4865</v>
      </c>
      <c r="F11256" s="4">
        <v>3674</v>
      </c>
      <c r="G11256" s="2" t="s">
        <v>137</v>
      </c>
      <c r="H11256" s="2" t="s">
        <v>34</v>
      </c>
      <c r="I11256" s="2" t="s">
        <v>9468</v>
      </c>
      <c r="J11256" s="2" t="s">
        <v>9469</v>
      </c>
      <c r="K11256" s="2" t="s">
        <v>300</v>
      </c>
      <c r="L11256" s="2" t="s">
        <v>34</v>
      </c>
      <c r="M11256" s="12">
        <v>10401.683000000001</v>
      </c>
      <c r="N11256" s="6">
        <v>70.790000000000006</v>
      </c>
      <c r="O11256" s="6">
        <v>72.61</v>
      </c>
      <c r="P11256" s="2" t="s">
        <v>32605</v>
      </c>
      <c r="Q11256" s="2"/>
      <c r="R11256" s="6">
        <v>68.05</v>
      </c>
      <c r="S11256" s="5">
        <v>398.8</v>
      </c>
      <c r="T11256" s="7">
        <v>831.86500000000001</v>
      </c>
      <c r="U11256" s="5">
        <v>1.9</v>
      </c>
      <c r="V11256" s="9">
        <v>2.4552</v>
      </c>
      <c r="W11256" s="6">
        <v>52.59</v>
      </c>
      <c r="X11256" s="6">
        <v>53.86</v>
      </c>
      <c r="Y11256" s="6">
        <v>63.98</v>
      </c>
      <c r="Z11256" s="5">
        <v>64.900000000000006</v>
      </c>
      <c r="AA11256" s="6">
        <v>157.80000000000001</v>
      </c>
      <c r="AB11256" s="7">
        <v>15.3</v>
      </c>
      <c r="AC11256" s="10">
        <v>4334.22</v>
      </c>
    </row>
    <row r="11257" spans="1:29" ht="195" x14ac:dyDescent="0.15">
      <c r="A11257" s="3">
        <f>DATE(2015,10,21)</f>
        <v>42298</v>
      </c>
      <c r="B11257" s="3">
        <f>DATE(2016,5,12)</f>
        <v>42502</v>
      </c>
      <c r="C11257" s="2" t="s">
        <v>95</v>
      </c>
      <c r="D11257" s="2" t="s">
        <v>27098</v>
      </c>
      <c r="E11257" s="2" t="s">
        <v>27099</v>
      </c>
      <c r="F11257" s="4">
        <v>3572</v>
      </c>
      <c r="G11257" s="2" t="s">
        <v>50</v>
      </c>
      <c r="H11257" s="2" t="s">
        <v>34</v>
      </c>
      <c r="I11257" s="2" t="s">
        <v>25793</v>
      </c>
      <c r="J11257" s="2" t="s">
        <v>25794</v>
      </c>
      <c r="K11257" s="2" t="s">
        <v>50</v>
      </c>
      <c r="L11257" s="2" t="s">
        <v>34</v>
      </c>
      <c r="M11257" s="12">
        <v>16459.989000000001</v>
      </c>
      <c r="N11257" s="6">
        <v>71.44</v>
      </c>
      <c r="O11257" s="6">
        <v>69.959999999999994</v>
      </c>
      <c r="P11257" s="2" t="s">
        <v>32606</v>
      </c>
      <c r="Q11257" s="6">
        <v>100</v>
      </c>
      <c r="R11257" s="6">
        <v>78.5</v>
      </c>
      <c r="S11257" s="5">
        <v>388.5</v>
      </c>
      <c r="T11257" s="12">
        <v>1380.037</v>
      </c>
      <c r="U11257" s="5">
        <v>28.6</v>
      </c>
      <c r="V11257" s="9">
        <v>1.8247</v>
      </c>
      <c r="W11257" s="6">
        <v>61.24</v>
      </c>
      <c r="X11257" s="6">
        <v>62.85</v>
      </c>
      <c r="Y11257" s="6">
        <v>61.77</v>
      </c>
      <c r="Z11257" s="5">
        <v>68.7</v>
      </c>
      <c r="AA11257" s="6">
        <v>204.44</v>
      </c>
      <c r="AB11257" s="7">
        <v>18.544</v>
      </c>
      <c r="AC11257" s="8">
        <v>5863</v>
      </c>
    </row>
    <row r="11258" spans="1:29" ht="169" x14ac:dyDescent="0.15">
      <c r="A11258" s="3">
        <f>DATE(2015,10,21)</f>
        <v>42298</v>
      </c>
      <c r="B11258" s="3">
        <f>DATE(2016,2,5)</f>
        <v>42405</v>
      </c>
      <c r="C11258" s="2" t="s">
        <v>95</v>
      </c>
      <c r="D11258" s="2" t="s">
        <v>32607</v>
      </c>
      <c r="E11258" s="2" t="s">
        <v>10497</v>
      </c>
      <c r="F11258" s="4">
        <v>7372</v>
      </c>
      <c r="G11258" s="2" t="s">
        <v>551</v>
      </c>
      <c r="H11258" s="2" t="s">
        <v>34</v>
      </c>
      <c r="I11258" s="2" t="s">
        <v>32608</v>
      </c>
      <c r="J11258" s="2" t="s">
        <v>11337</v>
      </c>
      <c r="K11258" s="2" t="s">
        <v>53</v>
      </c>
      <c r="L11258" s="2" t="s">
        <v>34</v>
      </c>
      <c r="M11258" s="2"/>
      <c r="N11258" s="2"/>
      <c r="O11258" s="2"/>
      <c r="P11258" s="2" t="s">
        <v>32609</v>
      </c>
      <c r="Q11258" s="6">
        <v>100</v>
      </c>
      <c r="R11258" s="6">
        <v>60.1</v>
      </c>
      <c r="S11258" s="5">
        <v>90.3</v>
      </c>
      <c r="T11258" s="7">
        <v>158.84200000000001</v>
      </c>
      <c r="U11258" s="5">
        <v>6.7</v>
      </c>
      <c r="V11258" s="9">
        <v>1.1808000000000001</v>
      </c>
      <c r="W11258" s="6">
        <v>40.42</v>
      </c>
      <c r="X11258" s="6">
        <v>41.88</v>
      </c>
      <c r="Y11258" s="6">
        <v>47.49</v>
      </c>
      <c r="Z11258" s="5">
        <v>47.7</v>
      </c>
      <c r="AA11258" s="6">
        <v>74.45</v>
      </c>
      <c r="AB11258" s="7">
        <v>35.335000000000001</v>
      </c>
      <c r="AC11258" s="2"/>
    </row>
    <row r="11259" spans="1:29" ht="65" x14ac:dyDescent="0.15">
      <c r="A11259" s="3">
        <f>DATE(2015,10,22)</f>
        <v>42299</v>
      </c>
      <c r="B11259" s="3">
        <f>DATE(2015,12,23)</f>
        <v>42361</v>
      </c>
      <c r="C11259" s="2" t="s">
        <v>95</v>
      </c>
      <c r="D11259" s="2" t="s">
        <v>32610</v>
      </c>
      <c r="E11259" s="2" t="s">
        <v>32611</v>
      </c>
      <c r="F11259" s="4">
        <v>8299</v>
      </c>
      <c r="G11259" s="2" t="s">
        <v>415</v>
      </c>
      <c r="H11259" s="2" t="s">
        <v>34</v>
      </c>
      <c r="I11259" s="2" t="s">
        <v>17147</v>
      </c>
      <c r="J11259" s="2" t="s">
        <v>32612</v>
      </c>
      <c r="K11259" s="2" t="s">
        <v>415</v>
      </c>
      <c r="L11259" s="2" t="s">
        <v>34</v>
      </c>
      <c r="M11259" s="2"/>
      <c r="N11259" s="2"/>
      <c r="O11259" s="2"/>
      <c r="P11259" s="2" t="s">
        <v>32613</v>
      </c>
      <c r="Q11259" s="6">
        <v>100</v>
      </c>
      <c r="R11259" s="6">
        <v>3.57</v>
      </c>
      <c r="S11259" s="5">
        <v>-0.5</v>
      </c>
      <c r="T11259" s="7">
        <v>1.8080000000000001</v>
      </c>
      <c r="U11259" s="5">
        <v>1.6</v>
      </c>
      <c r="V11259" s="9">
        <v>5.8599999999999999E-2</v>
      </c>
      <c r="W11259" s="6">
        <v>2.64</v>
      </c>
      <c r="X11259" s="6">
        <v>2.5499999999999998</v>
      </c>
      <c r="Y11259" s="6">
        <v>3.52</v>
      </c>
      <c r="Z11259" s="6">
        <v>3.51</v>
      </c>
      <c r="AA11259" s="6">
        <v>4.5999999999999996</v>
      </c>
      <c r="AB11259" s="7">
        <v>17.510999999999999</v>
      </c>
      <c r="AC11259" s="2"/>
    </row>
    <row r="11260" spans="1:29" ht="78" x14ac:dyDescent="0.15">
      <c r="A11260" s="3">
        <f t="shared" ref="A11260:A11266" si="180">DATE(2015,10,26)</f>
        <v>42303</v>
      </c>
      <c r="B11260" s="2"/>
      <c r="C11260" s="2" t="s">
        <v>7330</v>
      </c>
      <c r="D11260" s="2" t="s">
        <v>32614</v>
      </c>
      <c r="E11260" s="2" t="s">
        <v>32615</v>
      </c>
      <c r="F11260" s="4">
        <v>7379</v>
      </c>
      <c r="G11260" s="2" t="s">
        <v>223</v>
      </c>
      <c r="H11260" s="2" t="s">
        <v>34</v>
      </c>
      <c r="I11260" s="2" t="s">
        <v>32616</v>
      </c>
      <c r="J11260" s="2" t="s">
        <v>8995</v>
      </c>
      <c r="K11260" s="2" t="s">
        <v>223</v>
      </c>
      <c r="L11260" s="2" t="s">
        <v>34</v>
      </c>
      <c r="M11260" s="5">
        <v>63.2</v>
      </c>
      <c r="N11260" s="6">
        <v>5.01</v>
      </c>
      <c r="O11260" s="6">
        <v>5.01</v>
      </c>
      <c r="P11260" s="2" t="s">
        <v>32617</v>
      </c>
      <c r="Q11260" s="2"/>
      <c r="R11260" s="6">
        <v>8.5</v>
      </c>
      <c r="S11260" s="5">
        <v>1.2</v>
      </c>
      <c r="T11260" s="7">
        <v>6.4580000000000002</v>
      </c>
      <c r="U11260" s="5">
        <v>6.6</v>
      </c>
      <c r="V11260" s="9">
        <v>9.1600000000000001E-2</v>
      </c>
      <c r="W11260" s="6">
        <v>7.48</v>
      </c>
      <c r="X11260" s="6">
        <v>7.46</v>
      </c>
      <c r="Y11260" s="6">
        <v>7.78</v>
      </c>
      <c r="Z11260" s="4">
        <v>8</v>
      </c>
      <c r="AA11260" s="6">
        <v>11.75</v>
      </c>
      <c r="AB11260" s="7">
        <v>18.956</v>
      </c>
      <c r="AC11260" s="6">
        <v>0.01</v>
      </c>
    </row>
    <row r="11261" spans="1:29" ht="117" x14ac:dyDescent="0.15">
      <c r="A11261" s="3">
        <f t="shared" si="180"/>
        <v>42303</v>
      </c>
      <c r="B11261" s="3">
        <f>DATE(2016,5,9)</f>
        <v>42499</v>
      </c>
      <c r="C11261" s="2" t="s">
        <v>95</v>
      </c>
      <c r="D11261" s="2" t="s">
        <v>32618</v>
      </c>
      <c r="E11261" s="2" t="s">
        <v>23302</v>
      </c>
      <c r="F11261" s="4">
        <v>2836</v>
      </c>
      <c r="G11261" s="2" t="s">
        <v>130</v>
      </c>
      <c r="H11261" s="2" t="s">
        <v>34</v>
      </c>
      <c r="I11261" s="2" t="s">
        <v>32619</v>
      </c>
      <c r="J11261" s="2" t="s">
        <v>23302</v>
      </c>
      <c r="K11261" s="2" t="s">
        <v>130</v>
      </c>
      <c r="L11261" s="2" t="s">
        <v>4242</v>
      </c>
      <c r="M11261" s="7">
        <v>130.13499999999999</v>
      </c>
      <c r="N11261" s="7">
        <v>0.14399999999999999</v>
      </c>
      <c r="O11261" s="7">
        <v>0.128</v>
      </c>
      <c r="P11261" s="2" t="s">
        <v>32620</v>
      </c>
      <c r="Q11261" s="6">
        <v>100</v>
      </c>
      <c r="R11261" s="2"/>
      <c r="S11261" s="5">
        <v>-13.2</v>
      </c>
      <c r="T11261" s="2"/>
      <c r="U11261" s="5">
        <v>0.4</v>
      </c>
      <c r="V11261" s="9">
        <v>-0.13650000000000001</v>
      </c>
      <c r="W11261" s="6">
        <v>2.44</v>
      </c>
      <c r="X11261" s="7">
        <v>2.3879999999999999</v>
      </c>
      <c r="Y11261" s="6">
        <v>2.62</v>
      </c>
      <c r="Z11261" s="6">
        <v>2.48</v>
      </c>
      <c r="AA11261" s="6">
        <v>20.03</v>
      </c>
      <c r="AB11261" s="2" t="s">
        <v>47</v>
      </c>
      <c r="AC11261" s="6">
        <v>40.99</v>
      </c>
    </row>
    <row r="11262" spans="1:29" ht="195" x14ac:dyDescent="0.15">
      <c r="A11262" s="3">
        <f t="shared" si="180"/>
        <v>42303</v>
      </c>
      <c r="B11262" s="3">
        <f>DATE(2016,6,23)</f>
        <v>42544</v>
      </c>
      <c r="C11262" s="2" t="s">
        <v>95</v>
      </c>
      <c r="D11262" s="2" t="s">
        <v>32621</v>
      </c>
      <c r="E11262" s="2" t="s">
        <v>13408</v>
      </c>
      <c r="F11262" s="4">
        <v>1311</v>
      </c>
      <c r="G11262" s="2" t="s">
        <v>148</v>
      </c>
      <c r="H11262" s="2" t="s">
        <v>34</v>
      </c>
      <c r="I11262" s="2" t="s">
        <v>24453</v>
      </c>
      <c r="J11262" s="2" t="s">
        <v>24454</v>
      </c>
      <c r="K11262" s="2" t="s">
        <v>148</v>
      </c>
      <c r="L11262" s="2" t="s">
        <v>34</v>
      </c>
      <c r="M11262" s="12">
        <v>4133.9880000000003</v>
      </c>
      <c r="N11262" s="6">
        <v>41.64</v>
      </c>
      <c r="O11262" s="4">
        <v>41</v>
      </c>
      <c r="P11262" s="2" t="s">
        <v>32622</v>
      </c>
      <c r="Q11262" s="6">
        <v>61.63</v>
      </c>
      <c r="R11262" s="6">
        <v>26.06</v>
      </c>
      <c r="S11262" s="5">
        <v>358</v>
      </c>
      <c r="T11262" s="5">
        <v>430</v>
      </c>
      <c r="U11262" s="5">
        <v>5.4</v>
      </c>
      <c r="V11262" s="9">
        <v>3.8734000000000002</v>
      </c>
      <c r="W11262" s="6">
        <v>24.69</v>
      </c>
      <c r="X11262" s="6">
        <v>24.23</v>
      </c>
      <c r="Y11262" s="6">
        <v>25.98</v>
      </c>
      <c r="Z11262" s="6">
        <v>26.27</v>
      </c>
      <c r="AA11262" s="6">
        <v>92.83</v>
      </c>
      <c r="AB11262" s="7">
        <v>6.899</v>
      </c>
      <c r="AC11262" s="6">
        <v>709.57</v>
      </c>
    </row>
    <row r="11263" spans="1:29" ht="286" x14ac:dyDescent="0.15">
      <c r="A11263" s="3">
        <f t="shared" si="180"/>
        <v>42303</v>
      </c>
      <c r="B11263" s="2"/>
      <c r="C11263" s="2" t="s">
        <v>30</v>
      </c>
      <c r="D11263" s="2" t="s">
        <v>29724</v>
      </c>
      <c r="E11263" s="2" t="s">
        <v>29725</v>
      </c>
      <c r="F11263" s="4">
        <v>5531</v>
      </c>
      <c r="G11263" s="2" t="s">
        <v>73</v>
      </c>
      <c r="H11263" s="2" t="s">
        <v>34</v>
      </c>
      <c r="I11263" s="2" t="s">
        <v>32623</v>
      </c>
      <c r="J11263" s="2" t="s">
        <v>32624</v>
      </c>
      <c r="K11263" s="2" t="s">
        <v>1327</v>
      </c>
      <c r="L11263" s="2" t="s">
        <v>34</v>
      </c>
      <c r="M11263" s="2"/>
      <c r="N11263" s="2"/>
      <c r="O11263" s="2"/>
      <c r="P11263" s="2" t="s">
        <v>32625</v>
      </c>
      <c r="Q11263" s="2"/>
      <c r="R11263" s="6">
        <v>17</v>
      </c>
      <c r="S11263" s="5">
        <v>-8.6999999999999993</v>
      </c>
      <c r="T11263" s="7">
        <v>71.403999999999996</v>
      </c>
      <c r="U11263" s="5">
        <v>10.1</v>
      </c>
      <c r="V11263" s="9">
        <v>-0.17230000000000001</v>
      </c>
      <c r="W11263" s="6">
        <v>9.1199999999999992</v>
      </c>
      <c r="X11263" s="6">
        <v>9.25</v>
      </c>
      <c r="Y11263" s="6">
        <v>10.75</v>
      </c>
      <c r="Z11263" s="6">
        <v>10.62</v>
      </c>
      <c r="AA11263" s="6">
        <v>53.99</v>
      </c>
      <c r="AB11263" s="7">
        <v>422.49299999999999</v>
      </c>
      <c r="AC11263" s="2"/>
    </row>
    <row r="11264" spans="1:29" ht="78" x14ac:dyDescent="0.15">
      <c r="A11264" s="3">
        <f t="shared" si="180"/>
        <v>42303</v>
      </c>
      <c r="B11264" s="3">
        <f>DATE(2016,10,3)</f>
        <v>42646</v>
      </c>
      <c r="C11264" s="2" t="s">
        <v>95</v>
      </c>
      <c r="D11264" s="2" t="s">
        <v>32626</v>
      </c>
      <c r="E11264" s="2" t="s">
        <v>10079</v>
      </c>
      <c r="F11264" s="4">
        <v>4924</v>
      </c>
      <c r="G11264" s="2" t="s">
        <v>439</v>
      </c>
      <c r="H11264" s="2" t="s">
        <v>34</v>
      </c>
      <c r="I11264" s="2" t="s">
        <v>22942</v>
      </c>
      <c r="J11264" s="2" t="s">
        <v>22943</v>
      </c>
      <c r="K11264" s="2" t="s">
        <v>439</v>
      </c>
      <c r="L11264" s="2" t="s">
        <v>34</v>
      </c>
      <c r="M11264" s="12">
        <v>48492.881000000001</v>
      </c>
      <c r="N11264" s="6">
        <v>72.25</v>
      </c>
      <c r="O11264" s="6">
        <v>72.41</v>
      </c>
      <c r="P11264" s="2" t="s">
        <v>32627</v>
      </c>
      <c r="Q11264" s="6">
        <v>100</v>
      </c>
      <c r="R11264" s="6">
        <v>60</v>
      </c>
      <c r="S11264" s="5">
        <v>146.19999999999999</v>
      </c>
      <c r="T11264" s="7">
        <v>410.50099999999998</v>
      </c>
      <c r="U11264" s="5">
        <v>17.8</v>
      </c>
      <c r="V11264" s="9">
        <v>1.8581000000000001</v>
      </c>
      <c r="W11264" s="6">
        <v>42.52</v>
      </c>
      <c r="X11264" s="6">
        <v>42.22</v>
      </c>
      <c r="Y11264" s="6">
        <v>57.82</v>
      </c>
      <c r="Z11264" s="6">
        <v>57.79</v>
      </c>
      <c r="AA11264" s="6">
        <v>79.92</v>
      </c>
      <c r="AB11264" s="7">
        <v>24.006</v>
      </c>
      <c r="AC11264" s="8">
        <v>1370</v>
      </c>
    </row>
    <row r="11265" spans="1:29" ht="130" x14ac:dyDescent="0.15">
      <c r="A11265" s="3">
        <f t="shared" si="180"/>
        <v>42303</v>
      </c>
      <c r="B11265" s="3">
        <f>DATE(2016,3,1)</f>
        <v>42430</v>
      </c>
      <c r="C11265" s="2" t="s">
        <v>95</v>
      </c>
      <c r="D11265" s="2" t="s">
        <v>32628</v>
      </c>
      <c r="E11265" s="2" t="s">
        <v>36</v>
      </c>
      <c r="F11265" s="4">
        <v>6021</v>
      </c>
      <c r="G11265" s="2" t="s">
        <v>37</v>
      </c>
      <c r="H11265" s="2" t="s">
        <v>34</v>
      </c>
      <c r="I11265" s="2" t="s">
        <v>12418</v>
      </c>
      <c r="J11265" s="2" t="s">
        <v>36</v>
      </c>
      <c r="K11265" s="2" t="s">
        <v>37</v>
      </c>
      <c r="L11265" s="2" t="s">
        <v>34</v>
      </c>
      <c r="M11265" s="7">
        <v>385.98700000000002</v>
      </c>
      <c r="N11265" s="5">
        <v>31.9</v>
      </c>
      <c r="O11265" s="6">
        <v>30.79</v>
      </c>
      <c r="P11265" s="2" t="s">
        <v>32629</v>
      </c>
      <c r="Q11265" s="6">
        <v>100</v>
      </c>
      <c r="R11265" s="6">
        <v>34.479999999999997</v>
      </c>
      <c r="S11265" s="5">
        <v>5.7</v>
      </c>
      <c r="T11265" s="2"/>
      <c r="U11265" s="5">
        <v>22.1</v>
      </c>
      <c r="V11265" s="9">
        <v>2.2418</v>
      </c>
      <c r="W11265" s="5">
        <v>22.1</v>
      </c>
      <c r="X11265" s="5">
        <v>22.4</v>
      </c>
      <c r="Y11265" s="6">
        <v>22.38</v>
      </c>
      <c r="Z11265" s="6">
        <v>32.69</v>
      </c>
      <c r="AA11265" s="6">
        <v>2.5099999999999998</v>
      </c>
      <c r="AB11265" s="7">
        <v>19.209</v>
      </c>
      <c r="AC11265" s="2"/>
    </row>
    <row r="11266" spans="1:29" ht="169" x14ac:dyDescent="0.15">
      <c r="A11266" s="3">
        <f t="shared" si="180"/>
        <v>42303</v>
      </c>
      <c r="B11266" s="3">
        <f>DATE(2016,2,3)</f>
        <v>42403</v>
      </c>
      <c r="C11266" s="2" t="s">
        <v>95</v>
      </c>
      <c r="D11266" s="2" t="s">
        <v>32630</v>
      </c>
      <c r="E11266" s="2" t="s">
        <v>18715</v>
      </c>
      <c r="F11266" s="4">
        <v>3841</v>
      </c>
      <c r="G11266" s="2" t="s">
        <v>226</v>
      </c>
      <c r="H11266" s="2" t="s">
        <v>34</v>
      </c>
      <c r="I11266" s="2" t="s">
        <v>27164</v>
      </c>
      <c r="J11266" s="2" t="s">
        <v>27165</v>
      </c>
      <c r="K11266" s="2" t="s">
        <v>226</v>
      </c>
      <c r="L11266" s="2" t="s">
        <v>34</v>
      </c>
      <c r="M11266" s="7">
        <v>793.81299999999999</v>
      </c>
      <c r="N11266" s="6">
        <v>13.73</v>
      </c>
      <c r="O11266" s="6">
        <v>8.77</v>
      </c>
      <c r="P11266" s="2" t="s">
        <v>32631</v>
      </c>
      <c r="Q11266" s="6">
        <v>100</v>
      </c>
      <c r="R11266" s="6">
        <v>9.0500000000000007</v>
      </c>
      <c r="S11266" s="5">
        <v>-58.6</v>
      </c>
      <c r="T11266" s="7">
        <v>-49.816000000000003</v>
      </c>
      <c r="U11266" s="5">
        <v>0.1</v>
      </c>
      <c r="V11266" s="7">
        <v>-2.7120000000000002</v>
      </c>
      <c r="W11266" s="6">
        <v>5.78</v>
      </c>
      <c r="X11266" s="6">
        <v>5.13</v>
      </c>
      <c r="Y11266" s="6">
        <v>5.04</v>
      </c>
      <c r="Z11266" s="4">
        <v>7</v>
      </c>
      <c r="AA11266" s="6">
        <v>20.52</v>
      </c>
      <c r="AB11266" s="2" t="s">
        <v>86</v>
      </c>
      <c r="AC11266" s="5">
        <v>68.3</v>
      </c>
    </row>
    <row r="11267" spans="1:29" ht="156" x14ac:dyDescent="0.15">
      <c r="A11267" s="3">
        <f>DATE(2015,10,27)</f>
        <v>42304</v>
      </c>
      <c r="B11267" s="2"/>
      <c r="C11267" s="2" t="s">
        <v>30</v>
      </c>
      <c r="D11267" s="2" t="s">
        <v>7192</v>
      </c>
      <c r="E11267" s="2" t="s">
        <v>4794</v>
      </c>
      <c r="F11267" s="4">
        <v>5912</v>
      </c>
      <c r="G11267" s="2" t="s">
        <v>73</v>
      </c>
      <c r="H11267" s="2" t="s">
        <v>34</v>
      </c>
      <c r="I11267" s="2" t="s">
        <v>32632</v>
      </c>
      <c r="J11267" s="2" t="s">
        <v>32633</v>
      </c>
      <c r="K11267" s="2" t="s">
        <v>73</v>
      </c>
      <c r="L11267" s="2" t="s">
        <v>34</v>
      </c>
      <c r="M11267" s="12">
        <v>89632.718999999997</v>
      </c>
      <c r="N11267" s="6">
        <v>95.16</v>
      </c>
      <c r="O11267" s="6">
        <v>84.95</v>
      </c>
      <c r="P11267" s="2" t="s">
        <v>32634</v>
      </c>
      <c r="Q11267" s="2"/>
      <c r="R11267" s="6">
        <v>7</v>
      </c>
      <c r="S11267" s="5">
        <v>90.8</v>
      </c>
      <c r="T11267" s="12">
        <v>1151.329</v>
      </c>
      <c r="U11267" s="5">
        <v>0.6</v>
      </c>
      <c r="V11267" s="9">
        <v>8.6300000000000002E-2</v>
      </c>
      <c r="W11267" s="6">
        <v>6.13</v>
      </c>
      <c r="X11267" s="5">
        <v>6.5</v>
      </c>
      <c r="Y11267" s="6">
        <v>6.33</v>
      </c>
      <c r="Z11267" s="6">
        <v>6.22</v>
      </c>
      <c r="AA11267" s="10">
        <v>1046.27</v>
      </c>
      <c r="AB11267" s="7">
        <v>24.713000000000001</v>
      </c>
      <c r="AC11267" s="8">
        <v>9609</v>
      </c>
    </row>
    <row r="11268" spans="1:29" ht="234" x14ac:dyDescent="0.15">
      <c r="A11268" s="3">
        <f>DATE(2015,10,28)</f>
        <v>42305</v>
      </c>
      <c r="B11268" s="3">
        <f>DATE(2016,2,29)</f>
        <v>42429</v>
      </c>
      <c r="C11268" s="2" t="s">
        <v>95</v>
      </c>
      <c r="D11268" s="2" t="s">
        <v>32635</v>
      </c>
      <c r="E11268" s="2" t="s">
        <v>32636</v>
      </c>
      <c r="F11268" s="4">
        <v>2068</v>
      </c>
      <c r="G11268" s="2" t="s">
        <v>577</v>
      </c>
      <c r="H11268" s="2" t="s">
        <v>34</v>
      </c>
      <c r="I11268" s="2" t="s">
        <v>32637</v>
      </c>
      <c r="J11268" s="2" t="s">
        <v>32638</v>
      </c>
      <c r="K11268" s="2" t="s">
        <v>577</v>
      </c>
      <c r="L11268" s="2" t="s">
        <v>34</v>
      </c>
      <c r="M11268" s="12">
        <v>2383.8870000000002</v>
      </c>
      <c r="N11268" s="6">
        <v>33.25</v>
      </c>
      <c r="O11268" s="6">
        <v>35.79</v>
      </c>
      <c r="P11268" s="2" t="s">
        <v>32639</v>
      </c>
      <c r="Q11268" s="6">
        <v>100</v>
      </c>
      <c r="R11268" s="6">
        <v>40.46</v>
      </c>
      <c r="S11268" s="5">
        <v>221</v>
      </c>
      <c r="T11268" s="12">
        <v>35625.817999999999</v>
      </c>
      <c r="U11268" s="2"/>
      <c r="V11268" s="6">
        <v>8.52</v>
      </c>
      <c r="W11268" s="6">
        <v>32.56</v>
      </c>
      <c r="X11268" s="6">
        <v>32.83</v>
      </c>
      <c r="Y11268" s="6">
        <v>34.99</v>
      </c>
      <c r="Z11268" s="6">
        <v>35.65</v>
      </c>
      <c r="AA11268" s="6">
        <v>31.49</v>
      </c>
      <c r="AB11268" s="7">
        <v>5.2999999999999999E-2</v>
      </c>
      <c r="AC11268" s="6">
        <v>65.28</v>
      </c>
    </row>
    <row r="11269" spans="1:29" ht="182" x14ac:dyDescent="0.15">
      <c r="A11269" s="3">
        <f>DATE(2015,10,29)</f>
        <v>42306</v>
      </c>
      <c r="B11269" s="2"/>
      <c r="C11269" s="2" t="s">
        <v>30</v>
      </c>
      <c r="D11269" s="2" t="s">
        <v>9508</v>
      </c>
      <c r="E11269" s="2" t="s">
        <v>9509</v>
      </c>
      <c r="F11269" s="4">
        <v>6035</v>
      </c>
      <c r="G11269" s="2" t="s">
        <v>33</v>
      </c>
      <c r="H11269" s="2" t="s">
        <v>34</v>
      </c>
      <c r="I11269" s="2" t="s">
        <v>18639</v>
      </c>
      <c r="J11269" s="2" t="s">
        <v>36</v>
      </c>
      <c r="K11269" s="2" t="s">
        <v>33</v>
      </c>
      <c r="L11269" s="2" t="s">
        <v>34</v>
      </c>
      <c r="M11269" s="12">
        <v>8028.9070000000002</v>
      </c>
      <c r="N11269" s="6">
        <v>16.86</v>
      </c>
      <c r="O11269" s="6">
        <v>16.52</v>
      </c>
      <c r="P11269" s="2" t="s">
        <v>32640</v>
      </c>
      <c r="Q11269" s="2"/>
      <c r="R11269" s="6">
        <v>19.66</v>
      </c>
      <c r="S11269" s="5">
        <v>92.1</v>
      </c>
      <c r="T11269" s="6">
        <v>131.96</v>
      </c>
      <c r="U11269" s="5">
        <v>15.1</v>
      </c>
      <c r="V11269" s="9">
        <v>0.83650000000000002</v>
      </c>
      <c r="W11269" s="6">
        <v>16.73</v>
      </c>
      <c r="X11269" s="6">
        <v>17.079999999999998</v>
      </c>
      <c r="Y11269" s="6">
        <v>17.64</v>
      </c>
      <c r="Z11269" s="6">
        <v>17.63</v>
      </c>
      <c r="AA11269" s="6">
        <v>100.79</v>
      </c>
      <c r="AB11269" s="7">
        <v>51.198999999999998</v>
      </c>
      <c r="AC11269" s="2"/>
    </row>
    <row r="11270" spans="1:29" ht="91" x14ac:dyDescent="0.15">
      <c r="A11270" s="3">
        <f>DATE(2015,10,29)</f>
        <v>42306</v>
      </c>
      <c r="B11270" s="3">
        <f>DATE(2015,10,29)</f>
        <v>42306</v>
      </c>
      <c r="C11270" s="2" t="s">
        <v>95</v>
      </c>
      <c r="D11270" s="2" t="s">
        <v>32641</v>
      </c>
      <c r="E11270" s="2" t="s">
        <v>32642</v>
      </c>
      <c r="F11270" s="4">
        <v>8744</v>
      </c>
      <c r="G11270" s="2" t="s">
        <v>223</v>
      </c>
      <c r="H11270" s="2" t="s">
        <v>34</v>
      </c>
      <c r="I11270" s="2" t="s">
        <v>11950</v>
      </c>
      <c r="J11270" s="2" t="s">
        <v>32643</v>
      </c>
      <c r="K11270" s="2" t="s">
        <v>8457</v>
      </c>
      <c r="L11270" s="2" t="s">
        <v>34</v>
      </c>
      <c r="M11270" s="2"/>
      <c r="N11270" s="6">
        <v>29.27</v>
      </c>
      <c r="O11270" s="5">
        <v>28.5</v>
      </c>
      <c r="P11270" s="2" t="s">
        <v>32644</v>
      </c>
      <c r="Q11270" s="2"/>
      <c r="R11270" s="2"/>
      <c r="S11270" s="2"/>
      <c r="T11270" s="2"/>
      <c r="U11270" s="2"/>
      <c r="V11270" s="2"/>
      <c r="W11270" s="6">
        <v>79199.94</v>
      </c>
      <c r="X11270" s="6">
        <v>79199.94</v>
      </c>
      <c r="Y11270" s="6">
        <v>79199.94</v>
      </c>
      <c r="Z11270" s="6">
        <v>79199.94</v>
      </c>
      <c r="AA11270" s="2"/>
      <c r="AB11270" s="2" t="s">
        <v>47</v>
      </c>
      <c r="AC11270" s="6">
        <v>79.39</v>
      </c>
    </row>
    <row r="11271" spans="1:29" ht="169" x14ac:dyDescent="0.15">
      <c r="A11271" s="3">
        <f>DATE(2015,10,30)</f>
        <v>42307</v>
      </c>
      <c r="B11271" s="3">
        <f>DATE(2016,7,29)</f>
        <v>42580</v>
      </c>
      <c r="C11271" s="2" t="s">
        <v>95</v>
      </c>
      <c r="D11271" s="2" t="s">
        <v>21150</v>
      </c>
      <c r="E11271" s="2" t="s">
        <v>36</v>
      </c>
      <c r="F11271" s="4">
        <v>6021</v>
      </c>
      <c r="G11271" s="2" t="s">
        <v>37</v>
      </c>
      <c r="H11271" s="2" t="s">
        <v>34</v>
      </c>
      <c r="I11271" s="2" t="s">
        <v>5994</v>
      </c>
      <c r="J11271" s="2" t="s">
        <v>5995</v>
      </c>
      <c r="K11271" s="2" t="s">
        <v>37</v>
      </c>
      <c r="L11271" s="2" t="s">
        <v>34</v>
      </c>
      <c r="M11271" s="12">
        <v>10914.376</v>
      </c>
      <c r="N11271" s="6">
        <v>12.42</v>
      </c>
      <c r="O11271" s="6">
        <v>12.78</v>
      </c>
      <c r="P11271" s="2" t="s">
        <v>32645</v>
      </c>
      <c r="Q11271" s="6">
        <v>100</v>
      </c>
      <c r="R11271" s="6">
        <v>11.4</v>
      </c>
      <c r="S11271" s="5">
        <v>247</v>
      </c>
      <c r="T11271" s="5">
        <v>419</v>
      </c>
      <c r="U11271" s="5">
        <v>10.7</v>
      </c>
      <c r="V11271" s="9">
        <v>0.61639999999999995</v>
      </c>
      <c r="W11271" s="6">
        <v>9.3699999999999992</v>
      </c>
      <c r="X11271" s="6">
        <v>8.9600000000000009</v>
      </c>
      <c r="Y11271" s="6">
        <v>10.26</v>
      </c>
      <c r="Z11271" s="6">
        <v>10.32</v>
      </c>
      <c r="AA11271" s="6">
        <v>354.79</v>
      </c>
      <c r="AB11271" s="7">
        <v>29.626999999999999</v>
      </c>
      <c r="AC11271" s="2"/>
    </row>
    <row r="11272" spans="1:29" ht="104" x14ac:dyDescent="0.15">
      <c r="A11272" s="3">
        <f>DATE(2015,11,2)</f>
        <v>42310</v>
      </c>
      <c r="B11272" s="3">
        <f>DATE(2016,2,9)</f>
        <v>42409</v>
      </c>
      <c r="C11272" s="2" t="s">
        <v>95</v>
      </c>
      <c r="D11272" s="2" t="s">
        <v>32646</v>
      </c>
      <c r="E11272" s="2" t="s">
        <v>25964</v>
      </c>
      <c r="F11272" s="4">
        <v>7331</v>
      </c>
      <c r="G11272" s="2" t="s">
        <v>223</v>
      </c>
      <c r="H11272" s="2" t="s">
        <v>34</v>
      </c>
      <c r="I11272" s="2" t="s">
        <v>32647</v>
      </c>
      <c r="J11272" s="2" t="s">
        <v>32648</v>
      </c>
      <c r="K11272" s="2" t="s">
        <v>223</v>
      </c>
      <c r="L11272" s="2" t="s">
        <v>34</v>
      </c>
      <c r="M11272" s="2"/>
      <c r="N11272" s="2"/>
      <c r="O11272" s="2"/>
      <c r="P11272" s="2" t="s">
        <v>32649</v>
      </c>
      <c r="Q11272" s="6">
        <v>100</v>
      </c>
      <c r="R11272" s="6">
        <v>32</v>
      </c>
      <c r="S11272" s="5">
        <v>20</v>
      </c>
      <c r="T11272" s="7">
        <v>52.164000000000001</v>
      </c>
      <c r="U11272" s="5">
        <v>8.9</v>
      </c>
      <c r="V11272" s="9">
        <v>0.60370000000000001</v>
      </c>
      <c r="W11272" s="5">
        <v>25.6</v>
      </c>
      <c r="X11272" s="5">
        <v>26.1</v>
      </c>
      <c r="Y11272" s="6">
        <v>31.83</v>
      </c>
      <c r="Z11272" s="6">
        <v>31.56</v>
      </c>
      <c r="AA11272" s="6">
        <v>33.130000000000003</v>
      </c>
      <c r="AB11272" s="7">
        <v>32.295999999999999</v>
      </c>
      <c r="AC11272" s="2"/>
    </row>
    <row r="11273" spans="1:29" ht="91" x14ac:dyDescent="0.15">
      <c r="A11273" s="3">
        <f>DATE(2015,11,2)</f>
        <v>42310</v>
      </c>
      <c r="B11273" s="3">
        <f>DATE(2016,1,22)</f>
        <v>42391</v>
      </c>
      <c r="C11273" s="2" t="s">
        <v>95</v>
      </c>
      <c r="D11273" s="2" t="s">
        <v>32650</v>
      </c>
      <c r="E11273" s="2" t="s">
        <v>540</v>
      </c>
      <c r="F11273" s="4">
        <v>2836</v>
      </c>
      <c r="G11273" s="2" t="s">
        <v>130</v>
      </c>
      <c r="H11273" s="2" t="s">
        <v>34</v>
      </c>
      <c r="I11273" s="2" t="s">
        <v>25183</v>
      </c>
      <c r="J11273" s="2" t="s">
        <v>4011</v>
      </c>
      <c r="K11273" s="2" t="s">
        <v>130</v>
      </c>
      <c r="L11273" s="2" t="s">
        <v>7645</v>
      </c>
      <c r="M11273" s="12">
        <v>41879.436000000002</v>
      </c>
      <c r="N11273" s="7">
        <v>75.296999999999997</v>
      </c>
      <c r="O11273" s="7">
        <v>72.778000000000006</v>
      </c>
      <c r="P11273" s="2" t="s">
        <v>32651</v>
      </c>
      <c r="Q11273" s="6">
        <v>100</v>
      </c>
      <c r="R11273" s="6">
        <v>41.3</v>
      </c>
      <c r="S11273" s="5">
        <v>-29.7</v>
      </c>
      <c r="T11273" s="6">
        <v>-17.73</v>
      </c>
      <c r="U11273" s="5">
        <v>2.1</v>
      </c>
      <c r="V11273" s="9">
        <v>-0.20830000000000001</v>
      </c>
      <c r="W11273" s="6">
        <v>24.45</v>
      </c>
      <c r="X11273" s="6">
        <v>24.53</v>
      </c>
      <c r="Y11273" s="6">
        <v>25.05</v>
      </c>
      <c r="Z11273" s="5">
        <v>25.3</v>
      </c>
      <c r="AA11273" s="6">
        <v>147.13</v>
      </c>
      <c r="AB11273" s="2" t="s">
        <v>86</v>
      </c>
      <c r="AC11273" s="6">
        <v>148.66999999999999</v>
      </c>
    </row>
    <row r="11274" spans="1:29" ht="156" x14ac:dyDescent="0.15">
      <c r="A11274" s="3">
        <f>DATE(2015,11,2)</f>
        <v>42310</v>
      </c>
      <c r="B11274" s="3">
        <f>DATE(2016,2,29)</f>
        <v>42429</v>
      </c>
      <c r="C11274" s="2" t="s">
        <v>95</v>
      </c>
      <c r="D11274" s="2" t="s">
        <v>32652</v>
      </c>
      <c r="E11274" s="2" t="s">
        <v>17164</v>
      </c>
      <c r="F11274" s="4">
        <v>1799</v>
      </c>
      <c r="G11274" s="2" t="s">
        <v>341</v>
      </c>
      <c r="H11274" s="2" t="s">
        <v>34</v>
      </c>
      <c r="I11274" s="2" t="s">
        <v>10254</v>
      </c>
      <c r="J11274" s="2" t="s">
        <v>32653</v>
      </c>
      <c r="K11274" s="2" t="s">
        <v>1327</v>
      </c>
      <c r="L11274" s="2" t="s">
        <v>34</v>
      </c>
      <c r="M11274" s="7">
        <v>766.53399999999999</v>
      </c>
      <c r="N11274" s="6">
        <v>35.61</v>
      </c>
      <c r="O11274" s="6">
        <v>38.43</v>
      </c>
      <c r="P11274" s="2" t="s">
        <v>32654</v>
      </c>
      <c r="Q11274" s="6">
        <v>100</v>
      </c>
      <c r="R11274" s="2"/>
      <c r="S11274" s="5">
        <v>8.6</v>
      </c>
      <c r="T11274" s="7">
        <v>31.597999999999999</v>
      </c>
      <c r="U11274" s="5">
        <v>3.8</v>
      </c>
      <c r="V11274" s="9">
        <v>0.26929999999999998</v>
      </c>
      <c r="W11274" s="6">
        <v>6.41</v>
      </c>
      <c r="X11274" s="6">
        <v>6.95</v>
      </c>
      <c r="Y11274" s="5">
        <v>7.4</v>
      </c>
      <c r="Z11274" s="6">
        <v>8.02</v>
      </c>
      <c r="AA11274" s="6">
        <v>37.880000000000003</v>
      </c>
      <c r="AB11274" s="7">
        <v>15.679</v>
      </c>
      <c r="AC11274" s="6">
        <v>34.659999999999997</v>
      </c>
    </row>
    <row r="11275" spans="1:29" ht="91" x14ac:dyDescent="0.15">
      <c r="A11275" s="3">
        <f>DATE(2015,11,2)</f>
        <v>42310</v>
      </c>
      <c r="B11275" s="3">
        <f>DATE(2016,10,5)</f>
        <v>42648</v>
      </c>
      <c r="C11275" s="2" t="s">
        <v>95</v>
      </c>
      <c r="D11275" s="2" t="s">
        <v>32655</v>
      </c>
      <c r="E11275" s="2" t="s">
        <v>32656</v>
      </c>
      <c r="F11275" s="4">
        <v>3679</v>
      </c>
      <c r="G11275" s="2" t="s">
        <v>137</v>
      </c>
      <c r="H11275" s="2" t="s">
        <v>34</v>
      </c>
      <c r="I11275" s="2" t="s">
        <v>32657</v>
      </c>
      <c r="J11275" s="2" t="s">
        <v>32658</v>
      </c>
      <c r="K11275" s="2" t="s">
        <v>137</v>
      </c>
      <c r="L11275" s="2" t="s">
        <v>99</v>
      </c>
      <c r="M11275" s="10">
        <v>7670.86</v>
      </c>
      <c r="N11275" s="7">
        <v>65.683999999999997</v>
      </c>
      <c r="O11275" s="7">
        <v>65.486000000000004</v>
      </c>
      <c r="P11275" s="2" t="s">
        <v>32659</v>
      </c>
      <c r="Q11275" s="6">
        <v>100</v>
      </c>
      <c r="R11275" s="6">
        <v>3.62</v>
      </c>
      <c r="S11275" s="5">
        <v>-39.1</v>
      </c>
      <c r="T11275" s="7">
        <v>16.396000000000001</v>
      </c>
      <c r="U11275" s="5">
        <v>2.1</v>
      </c>
      <c r="V11275" s="9">
        <v>-1.1953</v>
      </c>
      <c r="W11275" s="6">
        <v>1.86</v>
      </c>
      <c r="X11275" s="6">
        <v>1.75</v>
      </c>
      <c r="Y11275" s="6">
        <v>3.54</v>
      </c>
      <c r="Z11275" s="6">
        <v>3.61</v>
      </c>
      <c r="AA11275" s="6">
        <v>33.54</v>
      </c>
      <c r="AB11275" s="2" t="s">
        <v>86</v>
      </c>
      <c r="AC11275" s="10">
        <v>2245.73</v>
      </c>
    </row>
    <row r="11276" spans="1:29" ht="78" x14ac:dyDescent="0.15">
      <c r="A11276" s="3">
        <f>DATE(2015,11,2)</f>
        <v>42310</v>
      </c>
      <c r="B11276" s="3">
        <f>DATE(2016,1,27)</f>
        <v>42396</v>
      </c>
      <c r="C11276" s="2" t="s">
        <v>95</v>
      </c>
      <c r="D11276" s="2" t="s">
        <v>32660</v>
      </c>
      <c r="E11276" s="2" t="s">
        <v>3695</v>
      </c>
      <c r="F11276" s="4">
        <v>7372</v>
      </c>
      <c r="G11276" s="2" t="s">
        <v>551</v>
      </c>
      <c r="H11276" s="2" t="s">
        <v>34</v>
      </c>
      <c r="I11276" s="2" t="s">
        <v>32661</v>
      </c>
      <c r="J11276" s="2" t="s">
        <v>244</v>
      </c>
      <c r="K11276" s="2" t="s">
        <v>53</v>
      </c>
      <c r="L11276" s="2" t="s">
        <v>303</v>
      </c>
      <c r="M11276" s="2"/>
      <c r="N11276" s="2"/>
      <c r="O11276" s="2"/>
      <c r="P11276" s="2" t="s">
        <v>32662</v>
      </c>
      <c r="Q11276" s="6">
        <v>100</v>
      </c>
      <c r="R11276" s="6">
        <v>31.35</v>
      </c>
      <c r="S11276" s="5">
        <v>-35</v>
      </c>
      <c r="T11276" s="7">
        <v>217.75800000000001</v>
      </c>
      <c r="U11276" s="5">
        <v>7.5</v>
      </c>
      <c r="V11276" s="7">
        <v>-0.57799999999999996</v>
      </c>
      <c r="W11276" s="4">
        <v>23</v>
      </c>
      <c r="X11276" s="6">
        <v>23.68</v>
      </c>
      <c r="Y11276" s="4">
        <v>31</v>
      </c>
      <c r="Z11276" s="6">
        <v>30.85</v>
      </c>
      <c r="AA11276" s="6">
        <v>58.99</v>
      </c>
      <c r="AB11276" s="7">
        <v>26.652999999999999</v>
      </c>
      <c r="AC11276" s="6">
        <v>22.75</v>
      </c>
    </row>
    <row r="11277" spans="1:29" ht="143" x14ac:dyDescent="0.15">
      <c r="A11277" s="3">
        <f>DATE(2015,11,3)</f>
        <v>42311</v>
      </c>
      <c r="B11277" s="3">
        <f>DATE(2016,2,17)</f>
        <v>42417</v>
      </c>
      <c r="C11277" s="2" t="s">
        <v>95</v>
      </c>
      <c r="D11277" s="2" t="s">
        <v>26225</v>
      </c>
      <c r="E11277" s="2" t="s">
        <v>26226</v>
      </c>
      <c r="F11277" s="4">
        <v>4922</v>
      </c>
      <c r="G11277" s="2" t="s">
        <v>439</v>
      </c>
      <c r="H11277" s="2" t="s">
        <v>34</v>
      </c>
      <c r="I11277" s="2" t="s">
        <v>31462</v>
      </c>
      <c r="J11277" s="2" t="s">
        <v>31463</v>
      </c>
      <c r="K11277" s="2" t="s">
        <v>439</v>
      </c>
      <c r="L11277" s="2" t="s">
        <v>34</v>
      </c>
      <c r="M11277" s="10">
        <v>3484.05</v>
      </c>
      <c r="N11277" s="6">
        <v>50.88</v>
      </c>
      <c r="O11277" s="6">
        <v>50.13</v>
      </c>
      <c r="P11277" s="2" t="s">
        <v>32663</v>
      </c>
      <c r="Q11277" s="6">
        <v>91.18</v>
      </c>
      <c r="R11277" s="6">
        <v>36.090000000000003</v>
      </c>
      <c r="S11277" s="5">
        <v>102.7</v>
      </c>
      <c r="T11277" s="8">
        <v>1089</v>
      </c>
      <c r="U11277" s="5">
        <v>26.5</v>
      </c>
      <c r="V11277" s="9">
        <v>0.78420000000000001</v>
      </c>
      <c r="W11277" s="6">
        <v>29.31</v>
      </c>
      <c r="X11277" s="6">
        <v>30.49</v>
      </c>
      <c r="Y11277" s="5">
        <v>30.3</v>
      </c>
      <c r="Z11277" s="6">
        <v>29.84</v>
      </c>
      <c r="AA11277" s="6">
        <v>184.84</v>
      </c>
      <c r="AB11277" s="7">
        <v>22.11</v>
      </c>
      <c r="AC11277" s="5">
        <v>102.9</v>
      </c>
    </row>
    <row r="11278" spans="1:29" ht="221" x14ac:dyDescent="0.15">
      <c r="A11278" s="3">
        <f>DATE(2015,11,4)</f>
        <v>42312</v>
      </c>
      <c r="B11278" s="3">
        <f>DATE(2015,12,15)</f>
        <v>42353</v>
      </c>
      <c r="C11278" s="2" t="s">
        <v>95</v>
      </c>
      <c r="D11278" s="2" t="s">
        <v>32664</v>
      </c>
      <c r="E11278" s="2" t="s">
        <v>32665</v>
      </c>
      <c r="F11278" s="4">
        <v>7375</v>
      </c>
      <c r="G11278" s="2" t="s">
        <v>223</v>
      </c>
      <c r="H11278" s="2" t="s">
        <v>34</v>
      </c>
      <c r="I11278" s="2" t="s">
        <v>19108</v>
      </c>
      <c r="J11278" s="2" t="s">
        <v>26596</v>
      </c>
      <c r="K11278" s="2" t="s">
        <v>173</v>
      </c>
      <c r="L11278" s="2" t="s">
        <v>34</v>
      </c>
      <c r="M11278" s="12">
        <v>15961.124</v>
      </c>
      <c r="N11278" s="6">
        <v>134.16999999999999</v>
      </c>
      <c r="O11278" s="6">
        <v>137.31</v>
      </c>
      <c r="P11278" s="2" t="s">
        <v>32666</v>
      </c>
      <c r="Q11278" s="6">
        <v>100</v>
      </c>
      <c r="R11278" s="6">
        <v>38.32</v>
      </c>
      <c r="S11278" s="5">
        <v>6.1</v>
      </c>
      <c r="T11278" s="7">
        <v>67.772999999999996</v>
      </c>
      <c r="U11278" s="5">
        <v>10</v>
      </c>
      <c r="V11278" s="9">
        <v>6.25E-2</v>
      </c>
      <c r="W11278" s="5">
        <v>31.5</v>
      </c>
      <c r="X11278" s="6">
        <v>31.74</v>
      </c>
      <c r="Y11278" s="6">
        <v>32.04</v>
      </c>
      <c r="Z11278" s="6">
        <v>40.15</v>
      </c>
      <c r="AA11278" s="6">
        <v>96.24</v>
      </c>
      <c r="AB11278" s="7">
        <v>93.402000000000001</v>
      </c>
      <c r="AC11278" s="10">
        <v>1500.83</v>
      </c>
    </row>
    <row r="11279" spans="1:29" ht="169" x14ac:dyDescent="0.15">
      <c r="A11279" s="3">
        <f>DATE(2015,11,6)</f>
        <v>42314</v>
      </c>
      <c r="B11279" s="3">
        <f>DATE(2015,12,17)</f>
        <v>42355</v>
      </c>
      <c r="C11279" s="2" t="s">
        <v>95</v>
      </c>
      <c r="D11279" s="2" t="s">
        <v>32540</v>
      </c>
      <c r="E11279" s="2" t="s">
        <v>13055</v>
      </c>
      <c r="F11279" s="4">
        <v>2834</v>
      </c>
      <c r="G11279" s="2" t="s">
        <v>130</v>
      </c>
      <c r="H11279" s="2" t="s">
        <v>34</v>
      </c>
      <c r="I11279" s="2" t="s">
        <v>25453</v>
      </c>
      <c r="J11279" s="2" t="s">
        <v>5670</v>
      </c>
      <c r="K11279" s="2" t="s">
        <v>130</v>
      </c>
      <c r="L11279" s="2" t="s">
        <v>303</v>
      </c>
      <c r="M11279" s="10">
        <v>81166.679999999993</v>
      </c>
      <c r="N11279" s="7">
        <v>63.627000000000002</v>
      </c>
      <c r="O11279" s="7">
        <v>62.838999999999999</v>
      </c>
      <c r="P11279" s="2" t="s">
        <v>32667</v>
      </c>
      <c r="Q11279" s="6">
        <v>100</v>
      </c>
      <c r="R11279" s="6">
        <v>90</v>
      </c>
      <c r="S11279" s="5">
        <v>-110.2</v>
      </c>
      <c r="T11279" s="6">
        <v>-107.55</v>
      </c>
      <c r="U11279" s="5">
        <v>9.1</v>
      </c>
      <c r="V11279" s="9">
        <v>-6.5332999999999997</v>
      </c>
      <c r="W11279" s="6">
        <v>53.69</v>
      </c>
      <c r="X11279" s="6">
        <v>58.19</v>
      </c>
      <c r="Y11279" s="6">
        <v>74.73</v>
      </c>
      <c r="Z11279" s="6">
        <v>76.989999999999995</v>
      </c>
      <c r="AA11279" s="6">
        <v>25.27</v>
      </c>
      <c r="AB11279" s="2" t="s">
        <v>86</v>
      </c>
      <c r="AC11279" s="10">
        <v>4605.91</v>
      </c>
    </row>
    <row r="11280" spans="1:29" ht="208" x14ac:dyDescent="0.15">
      <c r="A11280" s="3">
        <f>DATE(2015,11,8)</f>
        <v>42316</v>
      </c>
      <c r="B11280" s="3">
        <f>DATE(2016,7,1)</f>
        <v>42552</v>
      </c>
      <c r="C11280" s="2" t="s">
        <v>95</v>
      </c>
      <c r="D11280" s="2" t="s">
        <v>32668</v>
      </c>
      <c r="E11280" s="2" t="s">
        <v>29798</v>
      </c>
      <c r="F11280" s="4">
        <v>6021</v>
      </c>
      <c r="G11280" s="2" t="s">
        <v>37</v>
      </c>
      <c r="H11280" s="2" t="s">
        <v>34</v>
      </c>
      <c r="I11280" s="2" t="s">
        <v>20053</v>
      </c>
      <c r="J11280" s="2" t="s">
        <v>263</v>
      </c>
      <c r="K11280" s="2" t="s">
        <v>37</v>
      </c>
      <c r="L11280" s="2" t="s">
        <v>34</v>
      </c>
      <c r="M11280" s="7">
        <v>13.821999999999999</v>
      </c>
      <c r="N11280" s="5">
        <v>8.6</v>
      </c>
      <c r="O11280" s="5">
        <v>8.6</v>
      </c>
      <c r="P11280" s="2" t="s">
        <v>32669</v>
      </c>
      <c r="Q11280" s="6">
        <v>100</v>
      </c>
      <c r="R11280" s="6">
        <v>6.19</v>
      </c>
      <c r="S11280" s="5">
        <v>-0.9</v>
      </c>
      <c r="T11280" s="7">
        <v>-0.94399999999999995</v>
      </c>
      <c r="U11280" s="5">
        <v>16.399999999999999</v>
      </c>
      <c r="V11280" s="9">
        <v>-0.49580000000000002</v>
      </c>
      <c r="W11280" s="6">
        <v>8.7799999999999994</v>
      </c>
      <c r="X11280" s="6">
        <v>8.77</v>
      </c>
      <c r="Y11280" s="5">
        <v>9.5</v>
      </c>
      <c r="Z11280" s="5">
        <v>9.5</v>
      </c>
      <c r="AA11280" s="6">
        <v>1.72</v>
      </c>
      <c r="AB11280" s="2" t="s">
        <v>86</v>
      </c>
      <c r="AC11280" s="2"/>
    </row>
    <row r="11281" spans="1:29" ht="169" x14ac:dyDescent="0.15">
      <c r="A11281" s="3">
        <f>DATE(2015,11,8)</f>
        <v>42316</v>
      </c>
      <c r="B11281" s="3">
        <f>DATE(2016,2,19)</f>
        <v>42419</v>
      </c>
      <c r="C11281" s="2" t="s">
        <v>95</v>
      </c>
      <c r="D11281" s="2" t="s">
        <v>3216</v>
      </c>
      <c r="E11281" s="2" t="s">
        <v>3217</v>
      </c>
      <c r="F11281" s="2" t="s">
        <v>3218</v>
      </c>
      <c r="G11281" s="2" t="s">
        <v>426</v>
      </c>
      <c r="H11281" s="2" t="s">
        <v>34</v>
      </c>
      <c r="I11281" s="2" t="s">
        <v>18068</v>
      </c>
      <c r="J11281" s="2" t="s">
        <v>3217</v>
      </c>
      <c r="K11281" s="2" t="s">
        <v>426</v>
      </c>
      <c r="L11281" s="2" t="s">
        <v>34</v>
      </c>
      <c r="M11281" s="12">
        <v>14726.338</v>
      </c>
      <c r="N11281" s="5">
        <v>29.5</v>
      </c>
      <c r="O11281" s="5">
        <v>29.5</v>
      </c>
      <c r="P11281" s="2" t="s">
        <v>32670</v>
      </c>
      <c r="Q11281" s="6">
        <v>100</v>
      </c>
      <c r="R11281" s="6">
        <v>48.64</v>
      </c>
      <c r="S11281" s="5">
        <v>231</v>
      </c>
      <c r="T11281" s="5">
        <v>490</v>
      </c>
      <c r="U11281" s="5">
        <v>8.6999999999999993</v>
      </c>
      <c r="V11281" s="9">
        <v>1.3178000000000001</v>
      </c>
      <c r="W11281" s="6">
        <v>40.74</v>
      </c>
      <c r="X11281" s="6">
        <v>40.29</v>
      </c>
      <c r="Y11281" s="6">
        <v>47.26</v>
      </c>
      <c r="Z11281" s="6">
        <v>47.26</v>
      </c>
      <c r="AA11281" s="6">
        <v>173.6</v>
      </c>
      <c r="AB11281" s="7">
        <v>32.829000000000001</v>
      </c>
      <c r="AC11281" s="8">
        <v>1048</v>
      </c>
    </row>
    <row r="11282" spans="1:29" ht="143" x14ac:dyDescent="0.15">
      <c r="A11282" s="3">
        <f>DATE(2015,11,9)</f>
        <v>42317</v>
      </c>
      <c r="B11282" s="3">
        <f>DATE(2016,7,21)</f>
        <v>42572</v>
      </c>
      <c r="C11282" s="2" t="s">
        <v>95</v>
      </c>
      <c r="D11282" s="2" t="s">
        <v>32671</v>
      </c>
      <c r="E11282" s="2" t="s">
        <v>29798</v>
      </c>
      <c r="F11282" s="4">
        <v>6022</v>
      </c>
      <c r="G11282" s="2" t="s">
        <v>37</v>
      </c>
      <c r="H11282" s="2" t="s">
        <v>34</v>
      </c>
      <c r="I11282" s="2" t="s">
        <v>30494</v>
      </c>
      <c r="J11282" s="2" t="s">
        <v>36</v>
      </c>
      <c r="K11282" s="2" t="s">
        <v>37</v>
      </c>
      <c r="L11282" s="2" t="s">
        <v>34</v>
      </c>
      <c r="M11282" s="10">
        <v>4112.4399999999996</v>
      </c>
      <c r="N11282" s="6">
        <v>52.77</v>
      </c>
      <c r="O11282" s="6">
        <v>53.97</v>
      </c>
      <c r="P11282" s="2" t="s">
        <v>32672</v>
      </c>
      <c r="Q11282" s="6">
        <v>100</v>
      </c>
      <c r="R11282" s="6">
        <v>25</v>
      </c>
      <c r="S11282" s="5">
        <v>14.3</v>
      </c>
      <c r="T11282" s="7">
        <v>26.013000000000002</v>
      </c>
      <c r="U11282" s="5">
        <v>12.4</v>
      </c>
      <c r="V11282" s="9">
        <v>0.87860000000000005</v>
      </c>
      <c r="W11282" s="6">
        <v>20.92</v>
      </c>
      <c r="X11282" s="5">
        <v>20.7</v>
      </c>
      <c r="Y11282" s="6">
        <v>20.65</v>
      </c>
      <c r="Z11282" s="6">
        <v>24.31</v>
      </c>
      <c r="AA11282" s="6">
        <v>16.100000000000001</v>
      </c>
      <c r="AB11282" s="7">
        <v>28.387</v>
      </c>
      <c r="AC11282" s="2"/>
    </row>
    <row r="11283" spans="1:29" ht="130" x14ac:dyDescent="0.15">
      <c r="A11283" s="3">
        <f>DATE(2015,11,9)</f>
        <v>42317</v>
      </c>
      <c r="B11283" s="2"/>
      <c r="C11283" s="2" t="s">
        <v>30</v>
      </c>
      <c r="D11283" s="2" t="s">
        <v>32673</v>
      </c>
      <c r="E11283" s="2" t="s">
        <v>23534</v>
      </c>
      <c r="F11283" s="4">
        <v>6311</v>
      </c>
      <c r="G11283" s="2" t="s">
        <v>125</v>
      </c>
      <c r="H11283" s="2" t="s">
        <v>34</v>
      </c>
      <c r="I11283" s="2" t="s">
        <v>32674</v>
      </c>
      <c r="J11283" s="2" t="s">
        <v>23534</v>
      </c>
      <c r="K11283" s="2" t="s">
        <v>125</v>
      </c>
      <c r="L11283" s="2" t="s">
        <v>455</v>
      </c>
      <c r="M11283" s="2"/>
      <c r="N11283" s="2"/>
      <c r="O11283" s="2"/>
      <c r="P11283" s="2" t="s">
        <v>32675</v>
      </c>
      <c r="Q11283" s="2"/>
      <c r="R11283" s="6">
        <v>26.8</v>
      </c>
      <c r="S11283" s="5">
        <v>118</v>
      </c>
      <c r="T11283" s="2"/>
      <c r="U11283" s="5">
        <v>25.7</v>
      </c>
      <c r="V11283" s="9">
        <v>2.0219</v>
      </c>
      <c r="W11283" s="6">
        <v>21.44</v>
      </c>
      <c r="X11283" s="6">
        <v>21.29</v>
      </c>
      <c r="Y11283" s="6">
        <v>20.79</v>
      </c>
      <c r="Z11283" s="6">
        <v>23.13</v>
      </c>
      <c r="AA11283" s="6">
        <v>58.76</v>
      </c>
      <c r="AB11283" s="7">
        <v>4.7389999999999999</v>
      </c>
      <c r="AC11283" s="2"/>
    </row>
    <row r="11284" spans="1:29" ht="104" x14ac:dyDescent="0.15">
      <c r="A11284" s="3">
        <f>DATE(2015,11,9)</f>
        <v>42317</v>
      </c>
      <c r="B11284" s="3">
        <f>DATE(2016,2,10)</f>
        <v>42410</v>
      </c>
      <c r="C11284" s="2" t="s">
        <v>95</v>
      </c>
      <c r="D11284" s="2" t="s">
        <v>32676</v>
      </c>
      <c r="E11284" s="2" t="s">
        <v>23302</v>
      </c>
      <c r="F11284" s="4">
        <v>2836</v>
      </c>
      <c r="G11284" s="2" t="s">
        <v>130</v>
      </c>
      <c r="H11284" s="2" t="s">
        <v>34</v>
      </c>
      <c r="I11284" s="2" t="s">
        <v>27327</v>
      </c>
      <c r="J11284" s="2" t="s">
        <v>2066</v>
      </c>
      <c r="K11284" s="2" t="s">
        <v>130</v>
      </c>
      <c r="L11284" s="2" t="s">
        <v>99</v>
      </c>
      <c r="M11284" s="12">
        <v>29283.614000000001</v>
      </c>
      <c r="N11284" s="7">
        <v>14.638</v>
      </c>
      <c r="O11284" s="7">
        <v>14.624000000000001</v>
      </c>
      <c r="P11284" s="2" t="s">
        <v>32677</v>
      </c>
      <c r="Q11284" s="6">
        <v>100</v>
      </c>
      <c r="R11284" s="6">
        <v>8.5</v>
      </c>
      <c r="S11284" s="5">
        <v>-25</v>
      </c>
      <c r="T11284" s="7">
        <v>-27.701000000000001</v>
      </c>
      <c r="U11284" s="5">
        <v>0.3</v>
      </c>
      <c r="V11284" s="9">
        <v>-0.67830000000000001</v>
      </c>
      <c r="W11284" s="5">
        <v>4.5</v>
      </c>
      <c r="X11284" s="6">
        <v>4.75</v>
      </c>
      <c r="Y11284" s="6">
        <v>4.46</v>
      </c>
      <c r="Z11284" s="6">
        <v>8.44</v>
      </c>
      <c r="AA11284" s="6">
        <v>42.3</v>
      </c>
      <c r="AB11284" s="2" t="s">
        <v>86</v>
      </c>
      <c r="AC11284" s="10">
        <v>3477.99</v>
      </c>
    </row>
    <row r="11285" spans="1:29" ht="78" x14ac:dyDescent="0.15">
      <c r="A11285" s="3">
        <f>DATE(2015,11,9)</f>
        <v>42317</v>
      </c>
      <c r="B11285" s="3">
        <f>DATE(2016,3,22)</f>
        <v>42451</v>
      </c>
      <c r="C11285" s="2" t="s">
        <v>95</v>
      </c>
      <c r="D11285" s="2" t="s">
        <v>31762</v>
      </c>
      <c r="E11285" s="2" t="s">
        <v>31763</v>
      </c>
      <c r="F11285" s="4">
        <v>3663</v>
      </c>
      <c r="G11285" s="2" t="s">
        <v>921</v>
      </c>
      <c r="H11285" s="2" t="s">
        <v>34</v>
      </c>
      <c r="I11285" s="2" t="s">
        <v>32678</v>
      </c>
      <c r="J11285" s="2" t="s">
        <v>244</v>
      </c>
      <c r="K11285" s="2" t="s">
        <v>53</v>
      </c>
      <c r="L11285" s="2" t="s">
        <v>34</v>
      </c>
      <c r="M11285" s="2"/>
      <c r="N11285" s="2"/>
      <c r="O11285" s="2"/>
      <c r="P11285" s="2" t="s">
        <v>32679</v>
      </c>
      <c r="Q11285" s="6">
        <v>100</v>
      </c>
      <c r="R11285" s="6">
        <v>11</v>
      </c>
      <c r="S11285" s="5">
        <v>-28.3</v>
      </c>
      <c r="T11285" s="7">
        <v>23.472000000000001</v>
      </c>
      <c r="U11285" s="5">
        <v>3</v>
      </c>
      <c r="V11285" s="9">
        <v>-0.56340000000000001</v>
      </c>
      <c r="W11285" s="6">
        <v>10.27</v>
      </c>
      <c r="X11285" s="6">
        <v>10.57</v>
      </c>
      <c r="Y11285" s="6">
        <v>10.82</v>
      </c>
      <c r="Z11285" s="6">
        <v>10.72</v>
      </c>
      <c r="AA11285" s="6">
        <v>50.92</v>
      </c>
      <c r="AB11285" s="2" t="s">
        <v>86</v>
      </c>
      <c r="AC11285" s="2"/>
    </row>
    <row r="11286" spans="1:29" ht="130" x14ac:dyDescent="0.15">
      <c r="A11286" s="3">
        <f>DATE(2015,11,9)</f>
        <v>42317</v>
      </c>
      <c r="B11286" s="3">
        <f>DATE(2016,7,12)</f>
        <v>42563</v>
      </c>
      <c r="C11286" s="2" t="s">
        <v>95</v>
      </c>
      <c r="D11286" s="2" t="s">
        <v>32680</v>
      </c>
      <c r="E11286" s="2" t="s">
        <v>30487</v>
      </c>
      <c r="F11286" s="4">
        <v>7359</v>
      </c>
      <c r="G11286" s="2" t="s">
        <v>223</v>
      </c>
      <c r="H11286" s="2" t="s">
        <v>34</v>
      </c>
      <c r="I11286" s="2" t="s">
        <v>32681</v>
      </c>
      <c r="J11286" s="2" t="s">
        <v>32682</v>
      </c>
      <c r="K11286" s="2" t="s">
        <v>223</v>
      </c>
      <c r="L11286" s="2" t="s">
        <v>1791</v>
      </c>
      <c r="M11286" s="2"/>
      <c r="N11286" s="2"/>
      <c r="O11286" s="2"/>
      <c r="P11286" s="2" t="s">
        <v>32683</v>
      </c>
      <c r="Q11286" s="6">
        <v>100</v>
      </c>
      <c r="R11286" s="2"/>
      <c r="S11286" s="5">
        <v>107</v>
      </c>
      <c r="T11286" s="7">
        <v>530.89099999999996</v>
      </c>
      <c r="U11286" s="5">
        <v>19.7</v>
      </c>
      <c r="V11286" s="9">
        <v>3.2328000000000001</v>
      </c>
      <c r="W11286" s="6">
        <v>17.57</v>
      </c>
      <c r="X11286" s="6">
        <v>17.91</v>
      </c>
      <c r="Y11286" s="6">
        <v>17.350000000000001</v>
      </c>
      <c r="Z11286" s="6">
        <v>18.850000000000001</v>
      </c>
      <c r="AA11286" s="6">
        <v>33.26</v>
      </c>
      <c r="AB11286" s="2" t="s">
        <v>47</v>
      </c>
      <c r="AC11286" s="2"/>
    </row>
    <row r="11287" spans="1:29" ht="65" x14ac:dyDescent="0.15">
      <c r="A11287" s="3">
        <f>DATE(2015,11,10)</f>
        <v>42318</v>
      </c>
      <c r="B11287" s="2"/>
      <c r="C11287" s="2" t="s">
        <v>87</v>
      </c>
      <c r="D11287" s="2" t="s">
        <v>3866</v>
      </c>
      <c r="E11287" s="2" t="s">
        <v>1608</v>
      </c>
      <c r="F11287" s="4">
        <v>1311</v>
      </c>
      <c r="G11287" s="2" t="s">
        <v>148</v>
      </c>
      <c r="H11287" s="2" t="s">
        <v>34</v>
      </c>
      <c r="I11287" s="2" t="s">
        <v>16693</v>
      </c>
      <c r="J11287" s="2" t="s">
        <v>1608</v>
      </c>
      <c r="K11287" s="2" t="s">
        <v>148</v>
      </c>
      <c r="L11287" s="2" t="s">
        <v>34</v>
      </c>
      <c r="M11287" s="12">
        <v>35864.714999999997</v>
      </c>
      <c r="N11287" s="6">
        <v>63.42</v>
      </c>
      <c r="O11287" s="6">
        <v>61.01</v>
      </c>
      <c r="P11287" s="2" t="s">
        <v>32684</v>
      </c>
      <c r="Q11287" s="2"/>
      <c r="R11287" s="2"/>
      <c r="S11287" s="5">
        <v>-20720</v>
      </c>
      <c r="T11287" s="8">
        <v>26813</v>
      </c>
      <c r="U11287" s="5">
        <v>25.9</v>
      </c>
      <c r="V11287" s="9">
        <v>-52.080199999999998</v>
      </c>
      <c r="W11287" s="6">
        <v>49.87</v>
      </c>
      <c r="X11287" s="6">
        <v>53.94</v>
      </c>
      <c r="Y11287" s="6">
        <v>53.31</v>
      </c>
      <c r="Z11287" s="5">
        <v>49.4</v>
      </c>
      <c r="AA11287" s="6">
        <v>378.01</v>
      </c>
      <c r="AB11287" s="2" t="s">
        <v>47</v>
      </c>
      <c r="AC11287" s="8">
        <v>2318</v>
      </c>
    </row>
    <row r="11288" spans="1:29" ht="65" x14ac:dyDescent="0.15">
      <c r="A11288" s="3">
        <f>DATE(2015,11,10)</f>
        <v>42318</v>
      </c>
      <c r="B11288" s="3">
        <f>DATE(2016,2,19)</f>
        <v>42419</v>
      </c>
      <c r="C11288" s="2" t="s">
        <v>95</v>
      </c>
      <c r="D11288" s="2" t="s">
        <v>32685</v>
      </c>
      <c r="E11288" s="2" t="s">
        <v>36</v>
      </c>
      <c r="F11288" s="4">
        <v>6021</v>
      </c>
      <c r="G11288" s="2" t="s">
        <v>37</v>
      </c>
      <c r="H11288" s="2" t="s">
        <v>34</v>
      </c>
      <c r="I11288" s="2" t="s">
        <v>32686</v>
      </c>
      <c r="J11288" s="2" t="s">
        <v>29798</v>
      </c>
      <c r="K11288" s="2" t="s">
        <v>37</v>
      </c>
      <c r="L11288" s="2" t="s">
        <v>34</v>
      </c>
      <c r="M11288" s="2"/>
      <c r="N11288" s="2"/>
      <c r="O11288" s="2"/>
      <c r="P11288" s="2" t="s">
        <v>32687</v>
      </c>
      <c r="Q11288" s="6">
        <v>100</v>
      </c>
      <c r="R11288" s="6">
        <v>15</v>
      </c>
      <c r="S11288" s="2"/>
      <c r="T11288" s="2"/>
      <c r="U11288" s="2"/>
      <c r="V11288" s="2"/>
      <c r="W11288" s="5">
        <v>9.6</v>
      </c>
      <c r="X11288" s="5">
        <v>9.6</v>
      </c>
      <c r="Y11288" s="5">
        <v>9.6</v>
      </c>
      <c r="Z11288" s="6">
        <v>14.26</v>
      </c>
      <c r="AA11288" s="6">
        <v>5.55</v>
      </c>
      <c r="AB11288" s="2" t="s">
        <v>47</v>
      </c>
      <c r="AC11288" s="2"/>
    </row>
    <row r="11289" spans="1:29" ht="78" x14ac:dyDescent="0.15">
      <c r="A11289" s="3">
        <f>DATE(2015,11,11)</f>
        <v>42319</v>
      </c>
      <c r="B11289" s="2"/>
      <c r="C11289" s="2" t="s">
        <v>30</v>
      </c>
      <c r="D11289" s="2" t="s">
        <v>32688</v>
      </c>
      <c r="E11289" s="2" t="s">
        <v>32689</v>
      </c>
      <c r="F11289" s="4">
        <v>7375</v>
      </c>
      <c r="G11289" s="2" t="s">
        <v>223</v>
      </c>
      <c r="H11289" s="2" t="s">
        <v>34</v>
      </c>
      <c r="I11289" s="2" t="s">
        <v>22786</v>
      </c>
      <c r="J11289" s="2" t="s">
        <v>22787</v>
      </c>
      <c r="K11289" s="2" t="s">
        <v>223</v>
      </c>
      <c r="L11289" s="2" t="s">
        <v>34</v>
      </c>
      <c r="M11289" s="12">
        <v>5854.6940000000004</v>
      </c>
      <c r="N11289" s="6">
        <v>65.31</v>
      </c>
      <c r="O11289" s="6">
        <v>65.239999999999995</v>
      </c>
      <c r="P11289" s="2" t="s">
        <v>32690</v>
      </c>
      <c r="Q11289" s="2"/>
      <c r="R11289" s="6">
        <v>8.75</v>
      </c>
      <c r="S11289" s="5">
        <v>11.4</v>
      </c>
      <c r="T11289" s="7">
        <v>20.751999999999999</v>
      </c>
      <c r="U11289" s="5">
        <v>-0.3</v>
      </c>
      <c r="V11289" s="9">
        <v>0.1943</v>
      </c>
      <c r="W11289" s="6">
        <v>7.64</v>
      </c>
      <c r="X11289" s="6">
        <v>7.84</v>
      </c>
      <c r="Y11289" s="6">
        <v>7.92</v>
      </c>
      <c r="Z11289" s="6">
        <v>8.9700000000000006</v>
      </c>
      <c r="AA11289" s="6">
        <v>58.52</v>
      </c>
      <c r="AB11289" s="7">
        <v>35.606999999999999</v>
      </c>
      <c r="AC11289" s="6">
        <v>820.39</v>
      </c>
    </row>
    <row r="11290" spans="1:29" ht="104" x14ac:dyDescent="0.15">
      <c r="A11290" s="3">
        <f>DATE(2015,11,11)</f>
        <v>42319</v>
      </c>
      <c r="B11290" s="3">
        <f>DATE(2015,12,18)</f>
        <v>42356</v>
      </c>
      <c r="C11290" s="2" t="s">
        <v>95</v>
      </c>
      <c r="D11290" s="2" t="s">
        <v>32691</v>
      </c>
      <c r="E11290" s="2" t="s">
        <v>32692</v>
      </c>
      <c r="F11290" s="4">
        <v>5411</v>
      </c>
      <c r="G11290" s="2" t="s">
        <v>1461</v>
      </c>
      <c r="H11290" s="2" t="s">
        <v>34</v>
      </c>
      <c r="I11290" s="2" t="s">
        <v>13066</v>
      </c>
      <c r="J11290" s="2" t="s">
        <v>9676</v>
      </c>
      <c r="K11290" s="2" t="s">
        <v>1461</v>
      </c>
      <c r="L11290" s="2" t="s">
        <v>34</v>
      </c>
      <c r="M11290" s="12">
        <v>35364.872000000003</v>
      </c>
      <c r="N11290" s="6">
        <v>37.03</v>
      </c>
      <c r="O11290" s="6">
        <v>36.51</v>
      </c>
      <c r="P11290" s="2" t="s">
        <v>32693</v>
      </c>
      <c r="Q11290" s="6">
        <v>100</v>
      </c>
      <c r="R11290" s="6">
        <v>3.6</v>
      </c>
      <c r="S11290" s="5">
        <v>-6.5</v>
      </c>
      <c r="T11290" s="6">
        <v>103.17</v>
      </c>
      <c r="U11290" s="5">
        <v>-1.9</v>
      </c>
      <c r="V11290" s="9">
        <v>0.2823</v>
      </c>
      <c r="W11290" s="6">
        <v>2.25</v>
      </c>
      <c r="X11290" s="6">
        <v>2.1800000000000002</v>
      </c>
      <c r="Y11290" s="6">
        <v>3.57</v>
      </c>
      <c r="Z11290" s="6">
        <v>3.57</v>
      </c>
      <c r="AA11290" s="6">
        <v>49.39</v>
      </c>
      <c r="AB11290" s="7">
        <v>22.056000000000001</v>
      </c>
      <c r="AC11290" s="5">
        <v>274</v>
      </c>
    </row>
    <row r="11291" spans="1:29" ht="143" x14ac:dyDescent="0.15">
      <c r="A11291" s="3">
        <f>DATE(2015,11,12)</f>
        <v>42320</v>
      </c>
      <c r="B11291" s="3">
        <f>DATE(2016,3,17)</f>
        <v>42446</v>
      </c>
      <c r="C11291" s="2" t="s">
        <v>95</v>
      </c>
      <c r="D11291" s="2" t="s">
        <v>32694</v>
      </c>
      <c r="E11291" s="2" t="s">
        <v>389</v>
      </c>
      <c r="F11291" s="4">
        <v>6035</v>
      </c>
      <c r="G11291" s="2" t="s">
        <v>33</v>
      </c>
      <c r="H11291" s="2" t="s">
        <v>34</v>
      </c>
      <c r="I11291" s="2" t="s">
        <v>6339</v>
      </c>
      <c r="J11291" s="2" t="s">
        <v>36</v>
      </c>
      <c r="K11291" s="2" t="s">
        <v>37</v>
      </c>
      <c r="L11291" s="2" t="s">
        <v>34</v>
      </c>
      <c r="M11291" s="12">
        <v>1364.893</v>
      </c>
      <c r="N11291" s="6">
        <v>18.579999999999998</v>
      </c>
      <c r="O11291" s="6">
        <v>18.52</v>
      </c>
      <c r="P11291" s="2" t="s">
        <v>32695</v>
      </c>
      <c r="Q11291" s="6">
        <v>100</v>
      </c>
      <c r="R11291" s="6">
        <v>68.12</v>
      </c>
      <c r="S11291" s="2"/>
      <c r="T11291" s="2"/>
      <c r="U11291" s="2"/>
      <c r="V11291" s="2"/>
      <c r="W11291" s="5">
        <v>36.1</v>
      </c>
      <c r="X11291" s="5">
        <v>36.1</v>
      </c>
      <c r="Y11291" s="6">
        <v>62.45</v>
      </c>
      <c r="Z11291" s="6">
        <v>62.25</v>
      </c>
      <c r="AA11291" s="6">
        <v>1.55</v>
      </c>
      <c r="AB11291" s="2" t="s">
        <v>47</v>
      </c>
      <c r="AC11291" s="2"/>
    </row>
    <row r="11292" spans="1:29" ht="65" x14ac:dyDescent="0.15">
      <c r="A11292" s="3">
        <f>DATE(2015,11,12)</f>
        <v>42320</v>
      </c>
      <c r="B11292" s="2"/>
      <c r="C11292" s="2" t="s">
        <v>87</v>
      </c>
      <c r="D11292" s="2" t="s">
        <v>32696</v>
      </c>
      <c r="E11292" s="2" t="s">
        <v>1608</v>
      </c>
      <c r="F11292" s="4">
        <v>1311</v>
      </c>
      <c r="G11292" s="2" t="s">
        <v>148</v>
      </c>
      <c r="H11292" s="2" t="s">
        <v>34</v>
      </c>
      <c r="I11292" s="2" t="s">
        <v>32697</v>
      </c>
      <c r="J11292" s="2" t="s">
        <v>1608</v>
      </c>
      <c r="K11292" s="2" t="s">
        <v>148</v>
      </c>
      <c r="L11292" s="2" t="s">
        <v>34</v>
      </c>
      <c r="M11292" s="8">
        <v>1414.1</v>
      </c>
      <c r="N11292" s="6">
        <v>104.81</v>
      </c>
      <c r="O11292" s="6">
        <v>104.92</v>
      </c>
      <c r="P11292" s="2" t="s">
        <v>32698</v>
      </c>
      <c r="Q11292" s="2"/>
      <c r="R11292" s="2"/>
      <c r="S11292" s="5">
        <v>-55.3</v>
      </c>
      <c r="T11292" s="7">
        <v>125.43300000000001</v>
      </c>
      <c r="U11292" s="5">
        <v>28.5</v>
      </c>
      <c r="V11292" s="9">
        <v>-4.5406000000000004</v>
      </c>
      <c r="W11292" s="6">
        <v>60.15</v>
      </c>
      <c r="X11292" s="6">
        <v>59.33</v>
      </c>
      <c r="Y11292" s="6">
        <v>57.83</v>
      </c>
      <c r="Z11292" s="6">
        <v>58.71</v>
      </c>
      <c r="AA11292" s="6">
        <v>129.13999999999999</v>
      </c>
      <c r="AB11292" s="2" t="s">
        <v>86</v>
      </c>
      <c r="AC11292" s="6">
        <v>581.46</v>
      </c>
    </row>
    <row r="11293" spans="1:29" ht="156" x14ac:dyDescent="0.15">
      <c r="A11293" s="3">
        <f>DATE(2015,11,16)</f>
        <v>42324</v>
      </c>
      <c r="B11293" s="3">
        <f>DATE(2016,11,1)</f>
        <v>42675</v>
      </c>
      <c r="C11293" s="2" t="s">
        <v>95</v>
      </c>
      <c r="D11293" s="2" t="s">
        <v>32699</v>
      </c>
      <c r="E11293" s="2" t="s">
        <v>21800</v>
      </c>
      <c r="F11293" s="4">
        <v>6021</v>
      </c>
      <c r="G11293" s="2" t="s">
        <v>37</v>
      </c>
      <c r="H11293" s="2" t="s">
        <v>34</v>
      </c>
      <c r="I11293" s="2" t="s">
        <v>23752</v>
      </c>
      <c r="J11293" s="2" t="s">
        <v>36</v>
      </c>
      <c r="K11293" s="2" t="s">
        <v>37</v>
      </c>
      <c r="L11293" s="2" t="s">
        <v>34</v>
      </c>
      <c r="M11293" s="7">
        <v>854.13300000000004</v>
      </c>
      <c r="N11293" s="6">
        <v>25.31</v>
      </c>
      <c r="O11293" s="6">
        <v>25.35</v>
      </c>
      <c r="P11293" s="2" t="s">
        <v>32700</v>
      </c>
      <c r="Q11293" s="6">
        <v>100</v>
      </c>
      <c r="R11293" s="6">
        <v>300</v>
      </c>
      <c r="S11293" s="2"/>
      <c r="T11293" s="2"/>
      <c r="U11293" s="2"/>
      <c r="V11293" s="2"/>
      <c r="W11293" s="4">
        <v>174</v>
      </c>
      <c r="X11293" s="4">
        <v>174</v>
      </c>
      <c r="Y11293" s="4">
        <v>285</v>
      </c>
      <c r="Z11293" s="4">
        <v>288</v>
      </c>
      <c r="AA11293" s="6">
        <v>0.47</v>
      </c>
      <c r="AB11293" s="2" t="s">
        <v>47</v>
      </c>
      <c r="AC11293" s="2"/>
    </row>
    <row r="11294" spans="1:29" ht="299" x14ac:dyDescent="0.15">
      <c r="A11294" s="3">
        <f>DATE(2015,11,16)</f>
        <v>42324</v>
      </c>
      <c r="B11294" s="3">
        <f>DATE(2016,9,23)</f>
        <v>42636</v>
      </c>
      <c r="C11294" s="2" t="s">
        <v>95</v>
      </c>
      <c r="D11294" s="2" t="s">
        <v>14910</v>
      </c>
      <c r="E11294" s="2" t="s">
        <v>14911</v>
      </c>
      <c r="F11294" s="4">
        <v>7011</v>
      </c>
      <c r="G11294" s="2" t="s">
        <v>269</v>
      </c>
      <c r="H11294" s="2" t="s">
        <v>34</v>
      </c>
      <c r="I11294" s="2" t="s">
        <v>13572</v>
      </c>
      <c r="J11294" s="2" t="s">
        <v>32701</v>
      </c>
      <c r="K11294" s="2" t="s">
        <v>269</v>
      </c>
      <c r="L11294" s="2" t="s">
        <v>34</v>
      </c>
      <c r="M11294" s="12">
        <v>18868.118999999999</v>
      </c>
      <c r="N11294" s="6">
        <v>73.72</v>
      </c>
      <c r="O11294" s="6">
        <v>72.77</v>
      </c>
      <c r="P11294" s="2" t="s">
        <v>32702</v>
      </c>
      <c r="Q11294" s="6">
        <v>100</v>
      </c>
      <c r="R11294" s="6">
        <v>79.53</v>
      </c>
      <c r="S11294" s="5">
        <v>489</v>
      </c>
      <c r="T11294" s="8">
        <v>1120</v>
      </c>
      <c r="U11294" s="5">
        <v>7.7</v>
      </c>
      <c r="V11294" s="9">
        <v>2.8765000000000001</v>
      </c>
      <c r="W11294" s="6">
        <v>83.51</v>
      </c>
      <c r="X11294" s="5">
        <v>80.8</v>
      </c>
      <c r="Y11294" s="6">
        <v>87.53</v>
      </c>
      <c r="Z11294" s="6">
        <v>85.95</v>
      </c>
      <c r="AA11294" s="6">
        <v>170.42</v>
      </c>
      <c r="AB11294" s="7">
        <v>17.48</v>
      </c>
      <c r="AC11294" s="5">
        <v>96</v>
      </c>
    </row>
    <row r="11295" spans="1:29" ht="130" x14ac:dyDescent="0.15">
      <c r="A11295" s="3">
        <f>DATE(2015,11,16)</f>
        <v>42324</v>
      </c>
      <c r="B11295" s="3">
        <f>DATE(2016,7,1)</f>
        <v>42552</v>
      </c>
      <c r="C11295" s="2" t="s">
        <v>95</v>
      </c>
      <c r="D11295" s="2" t="s">
        <v>26680</v>
      </c>
      <c r="E11295" s="2" t="s">
        <v>26681</v>
      </c>
      <c r="F11295" s="4">
        <v>7375</v>
      </c>
      <c r="G11295" s="2" t="s">
        <v>223</v>
      </c>
      <c r="H11295" s="2" t="s">
        <v>34</v>
      </c>
      <c r="I11295" s="2" t="s">
        <v>32703</v>
      </c>
      <c r="J11295" s="2" t="s">
        <v>30537</v>
      </c>
      <c r="K11295" s="2" t="s">
        <v>53</v>
      </c>
      <c r="L11295" s="2" t="s">
        <v>34</v>
      </c>
      <c r="M11295" s="2"/>
      <c r="N11295" s="2"/>
      <c r="O11295" s="2"/>
      <c r="P11295" s="2" t="s">
        <v>32704</v>
      </c>
      <c r="Q11295" s="6">
        <v>86.57</v>
      </c>
      <c r="R11295" s="6">
        <v>11</v>
      </c>
      <c r="S11295" s="5">
        <v>-9.1999999999999993</v>
      </c>
      <c r="T11295" s="7">
        <v>9.9079999999999995</v>
      </c>
      <c r="U11295" s="5">
        <v>6.7</v>
      </c>
      <c r="V11295" s="9">
        <v>4.53E-2</v>
      </c>
      <c r="W11295" s="6">
        <v>10.39</v>
      </c>
      <c r="X11295" s="6">
        <v>10.32</v>
      </c>
      <c r="Y11295" s="6">
        <v>12.01</v>
      </c>
      <c r="Z11295" s="6">
        <v>11.67</v>
      </c>
      <c r="AA11295" s="6">
        <v>14.82</v>
      </c>
      <c r="AB11295" s="7">
        <v>11.226000000000001</v>
      </c>
      <c r="AC11295" s="2"/>
    </row>
    <row r="11296" spans="1:29" ht="91" x14ac:dyDescent="0.15">
      <c r="A11296" s="3">
        <f>DATE(2015,11,17)</f>
        <v>42325</v>
      </c>
      <c r="B11296" s="3">
        <f>DATE(2016,5,23)</f>
        <v>42513</v>
      </c>
      <c r="C11296" s="2" t="s">
        <v>95</v>
      </c>
      <c r="D11296" s="2" t="s">
        <v>28050</v>
      </c>
      <c r="E11296" s="2" t="s">
        <v>28051</v>
      </c>
      <c r="F11296" s="4">
        <v>5084</v>
      </c>
      <c r="G11296" s="2" t="s">
        <v>76</v>
      </c>
      <c r="H11296" s="2" t="s">
        <v>34</v>
      </c>
      <c r="I11296" s="2" t="s">
        <v>32705</v>
      </c>
      <c r="J11296" s="2" t="s">
        <v>32706</v>
      </c>
      <c r="K11296" s="2" t="s">
        <v>98</v>
      </c>
      <c r="L11296" s="2" t="s">
        <v>133</v>
      </c>
      <c r="M11296" s="12">
        <v>42384.972999999998</v>
      </c>
      <c r="N11296" s="7">
        <v>131.59899999999999</v>
      </c>
      <c r="O11296" s="7">
        <v>122.09399999999999</v>
      </c>
      <c r="P11296" s="2" t="s">
        <v>32707</v>
      </c>
      <c r="Q11296" s="6">
        <v>100</v>
      </c>
      <c r="R11296" s="6">
        <v>143</v>
      </c>
      <c r="S11296" s="5">
        <v>367.2</v>
      </c>
      <c r="T11296" s="7">
        <v>974.80700000000002</v>
      </c>
      <c r="U11296" s="5">
        <v>26.6</v>
      </c>
      <c r="V11296" s="9">
        <v>4.8480999999999996</v>
      </c>
      <c r="W11296" s="6">
        <v>95.99</v>
      </c>
      <c r="X11296" s="6">
        <v>106.18</v>
      </c>
      <c r="Y11296" s="6">
        <v>137.35</v>
      </c>
      <c r="Z11296" s="6">
        <v>138.93</v>
      </c>
      <c r="AA11296" s="6">
        <v>72.069999999999993</v>
      </c>
      <c r="AB11296" s="7">
        <v>21.143000000000001</v>
      </c>
      <c r="AC11296" s="10">
        <v>1172.07</v>
      </c>
    </row>
    <row r="11297" spans="1:29" ht="247" x14ac:dyDescent="0.15">
      <c r="A11297" s="3">
        <f>DATE(2015,11,17)</f>
        <v>42325</v>
      </c>
      <c r="B11297" s="2"/>
      <c r="C11297" s="2" t="s">
        <v>30</v>
      </c>
      <c r="D11297" s="2" t="s">
        <v>5204</v>
      </c>
      <c r="E11297" s="2" t="s">
        <v>5205</v>
      </c>
      <c r="F11297" s="4">
        <v>4011</v>
      </c>
      <c r="G11297" s="2" t="s">
        <v>173</v>
      </c>
      <c r="H11297" s="2" t="s">
        <v>34</v>
      </c>
      <c r="I11297" s="2" t="s">
        <v>31778</v>
      </c>
      <c r="J11297" s="2" t="s">
        <v>31779</v>
      </c>
      <c r="K11297" s="2" t="s">
        <v>173</v>
      </c>
      <c r="L11297" s="2" t="s">
        <v>902</v>
      </c>
      <c r="M11297" s="12">
        <v>23304.805</v>
      </c>
      <c r="N11297" s="7">
        <v>138.71100000000001</v>
      </c>
      <c r="O11297" s="7">
        <v>146.505</v>
      </c>
      <c r="P11297" s="2" t="s">
        <v>32708</v>
      </c>
      <c r="Q11297" s="2"/>
      <c r="R11297" s="6">
        <v>91.67</v>
      </c>
      <c r="S11297" s="8">
        <v>1700</v>
      </c>
      <c r="T11297" s="8">
        <v>4139</v>
      </c>
      <c r="U11297" s="5">
        <v>40.6</v>
      </c>
      <c r="V11297" s="9">
        <v>5.5598000000000001</v>
      </c>
      <c r="W11297" s="6">
        <v>80.38</v>
      </c>
      <c r="X11297" s="6">
        <v>79.87</v>
      </c>
      <c r="Y11297" s="6">
        <v>88.62</v>
      </c>
      <c r="Z11297" s="6">
        <v>88.57</v>
      </c>
      <c r="AA11297" s="6">
        <v>298.57</v>
      </c>
      <c r="AB11297" s="7">
        <v>11.702999999999999</v>
      </c>
      <c r="AC11297" s="6">
        <v>496.21</v>
      </c>
    </row>
    <row r="11298" spans="1:29" ht="221" x14ac:dyDescent="0.15">
      <c r="A11298" s="3">
        <f>DATE(2015,11,18)</f>
        <v>42326</v>
      </c>
      <c r="B11298" s="3">
        <f>DATE(2016,9,19)</f>
        <v>42632</v>
      </c>
      <c r="C11298" s="2" t="s">
        <v>95</v>
      </c>
      <c r="D11298" s="2" t="s">
        <v>32709</v>
      </c>
      <c r="E11298" s="2" t="s">
        <v>2728</v>
      </c>
      <c r="F11298" s="4">
        <v>3674</v>
      </c>
      <c r="G11298" s="2" t="s">
        <v>137</v>
      </c>
      <c r="H11298" s="2" t="s">
        <v>34</v>
      </c>
      <c r="I11298" s="2" t="s">
        <v>26313</v>
      </c>
      <c r="J11298" s="2" t="s">
        <v>4865</v>
      </c>
      <c r="K11298" s="2" t="s">
        <v>137</v>
      </c>
      <c r="L11298" s="2" t="s">
        <v>34</v>
      </c>
      <c r="M11298" s="12">
        <v>4250.8310000000001</v>
      </c>
      <c r="N11298" s="6">
        <v>9.89</v>
      </c>
      <c r="O11298" s="5">
        <v>10.1</v>
      </c>
      <c r="P11298" s="2" t="s">
        <v>32710</v>
      </c>
      <c r="Q11298" s="6">
        <v>100</v>
      </c>
      <c r="R11298" s="6">
        <v>20</v>
      </c>
      <c r="S11298" s="5">
        <v>-50.7</v>
      </c>
      <c r="T11298" s="5">
        <v>194.7</v>
      </c>
      <c r="U11298" s="5">
        <v>9.6999999999999993</v>
      </c>
      <c r="V11298" s="9">
        <v>-0.41920000000000002</v>
      </c>
      <c r="W11298" s="6">
        <v>14.58</v>
      </c>
      <c r="X11298" s="6">
        <v>14.14</v>
      </c>
      <c r="Y11298" s="6">
        <v>16.350000000000001</v>
      </c>
      <c r="Z11298" s="6">
        <v>16.86</v>
      </c>
      <c r="AA11298" s="6">
        <v>113.4</v>
      </c>
      <c r="AB11298" s="7">
        <v>40.820999999999998</v>
      </c>
      <c r="AC11298" s="5">
        <v>557.6</v>
      </c>
    </row>
    <row r="11299" spans="1:29" ht="78" x14ac:dyDescent="0.15">
      <c r="A11299" s="3">
        <f>DATE(2015,11,18)</f>
        <v>42326</v>
      </c>
      <c r="B11299" s="3">
        <f>DATE(2015,11,18)</f>
        <v>42326</v>
      </c>
      <c r="C11299" s="2" t="s">
        <v>95</v>
      </c>
      <c r="D11299" s="2" t="s">
        <v>32711</v>
      </c>
      <c r="E11299" s="2" t="s">
        <v>32712</v>
      </c>
      <c r="F11299" s="4">
        <v>2834</v>
      </c>
      <c r="G11299" s="2" t="s">
        <v>130</v>
      </c>
      <c r="H11299" s="2" t="s">
        <v>34</v>
      </c>
      <c r="I11299" s="2" t="s">
        <v>51</v>
      </c>
      <c r="J11299" s="2" t="s">
        <v>52</v>
      </c>
      <c r="K11299" s="2" t="s">
        <v>53</v>
      </c>
      <c r="L11299" s="2" t="s">
        <v>34</v>
      </c>
      <c r="M11299" s="2"/>
      <c r="N11299" s="2"/>
      <c r="O11299" s="2"/>
      <c r="P11299" s="2" t="s">
        <v>32713</v>
      </c>
      <c r="Q11299" s="2"/>
      <c r="R11299" s="2"/>
      <c r="S11299" s="5">
        <v>-32</v>
      </c>
      <c r="T11299" s="7">
        <v>-30.292000000000002</v>
      </c>
      <c r="U11299" s="5">
        <v>1</v>
      </c>
      <c r="V11299" s="9">
        <v>-7.7535999999999996</v>
      </c>
      <c r="W11299" s="6">
        <v>0.95</v>
      </c>
      <c r="X11299" s="6">
        <v>2.17</v>
      </c>
      <c r="Y11299" s="6">
        <v>2.0699999999999998</v>
      </c>
      <c r="Z11299" s="5">
        <v>10.4</v>
      </c>
      <c r="AA11299" s="6">
        <v>4.12</v>
      </c>
      <c r="AB11299" s="2" t="s">
        <v>86</v>
      </c>
      <c r="AC11299" s="2"/>
    </row>
    <row r="11300" spans="1:29" ht="52" x14ac:dyDescent="0.15">
      <c r="A11300" s="3">
        <f>DATE(2015,11,19)</f>
        <v>42327</v>
      </c>
      <c r="B11300" s="2"/>
      <c r="C11300" s="2" t="s">
        <v>87</v>
      </c>
      <c r="D11300" s="2" t="s">
        <v>32714</v>
      </c>
      <c r="E11300" s="2" t="s">
        <v>8995</v>
      </c>
      <c r="F11300" s="4">
        <v>7372</v>
      </c>
      <c r="G11300" s="2" t="s">
        <v>551</v>
      </c>
      <c r="H11300" s="2" t="s">
        <v>34</v>
      </c>
      <c r="I11300" s="2" t="s">
        <v>30105</v>
      </c>
      <c r="J11300" s="2" t="s">
        <v>1712</v>
      </c>
      <c r="K11300" s="2" t="s">
        <v>50</v>
      </c>
      <c r="L11300" s="2" t="s">
        <v>34</v>
      </c>
      <c r="M11300" s="2"/>
      <c r="N11300" s="6">
        <v>118.78</v>
      </c>
      <c r="O11300" s="5">
        <v>119.3</v>
      </c>
      <c r="P11300" s="2" t="s">
        <v>32715</v>
      </c>
      <c r="Q11300" s="2"/>
      <c r="R11300" s="2"/>
      <c r="S11300" s="5">
        <v>-205.5</v>
      </c>
      <c r="T11300" s="7">
        <v>-159.238</v>
      </c>
      <c r="U11300" s="5">
        <v>1.4</v>
      </c>
      <c r="V11300" s="9">
        <v>-1.6782999999999999</v>
      </c>
      <c r="W11300" s="4">
        <v>13</v>
      </c>
      <c r="X11300" s="6">
        <v>13.13</v>
      </c>
      <c r="Y11300" s="6">
        <v>13.39</v>
      </c>
      <c r="Z11300" s="5">
        <v>12.9</v>
      </c>
      <c r="AA11300" s="2"/>
      <c r="AB11300" s="2" t="s">
        <v>86</v>
      </c>
      <c r="AC11300" s="8">
        <v>43546</v>
      </c>
    </row>
    <row r="11301" spans="1:29" ht="78" x14ac:dyDescent="0.15">
      <c r="A11301" s="3">
        <f>DATE(2015,11,19)</f>
        <v>42327</v>
      </c>
      <c r="B11301" s="3">
        <f>DATE(2016,1,5)</f>
        <v>42374</v>
      </c>
      <c r="C11301" s="2" t="s">
        <v>95</v>
      </c>
      <c r="D11301" s="2" t="s">
        <v>32716</v>
      </c>
      <c r="E11301" s="2" t="s">
        <v>5662</v>
      </c>
      <c r="F11301" s="4">
        <v>3728</v>
      </c>
      <c r="G11301" s="2" t="s">
        <v>219</v>
      </c>
      <c r="H11301" s="2" t="s">
        <v>34</v>
      </c>
      <c r="I11301" s="2" t="s">
        <v>28465</v>
      </c>
      <c r="J11301" s="2" t="s">
        <v>28466</v>
      </c>
      <c r="K11301" s="2" t="s">
        <v>219</v>
      </c>
      <c r="L11301" s="2" t="s">
        <v>34</v>
      </c>
      <c r="M11301" s="10">
        <v>11755.94</v>
      </c>
      <c r="N11301" s="5">
        <v>235.9</v>
      </c>
      <c r="O11301" s="6">
        <v>236.25</v>
      </c>
      <c r="P11301" s="2" t="s">
        <v>32717</v>
      </c>
      <c r="Q11301" s="6">
        <v>100</v>
      </c>
      <c r="R11301" s="6">
        <v>19.61</v>
      </c>
      <c r="S11301" s="5">
        <v>19.7</v>
      </c>
      <c r="T11301" s="7">
        <v>22.143000000000001</v>
      </c>
      <c r="U11301" s="5">
        <v>7.4</v>
      </c>
      <c r="V11301" s="9">
        <v>1.9766999999999999</v>
      </c>
      <c r="W11301" s="6">
        <v>17.77</v>
      </c>
      <c r="X11301" s="4">
        <v>21</v>
      </c>
      <c r="Y11301" s="6">
        <v>19.61</v>
      </c>
      <c r="Z11301" s="6">
        <v>19.77</v>
      </c>
      <c r="AA11301" s="6">
        <v>9.91</v>
      </c>
      <c r="AB11301" s="7">
        <v>8.9369999999999994</v>
      </c>
      <c r="AC11301" s="6">
        <v>714.03</v>
      </c>
    </row>
    <row r="11302" spans="1:29" ht="91" x14ac:dyDescent="0.15">
      <c r="A11302" s="3">
        <f>DATE(2015,11,20)</f>
        <v>42328</v>
      </c>
      <c r="B11302" s="3">
        <f>DATE(2016,1,21)</f>
        <v>42390</v>
      </c>
      <c r="C11302" s="2" t="s">
        <v>95</v>
      </c>
      <c r="D11302" s="2" t="s">
        <v>32718</v>
      </c>
      <c r="E11302" s="2" t="s">
        <v>32719</v>
      </c>
      <c r="F11302" s="4">
        <v>2834</v>
      </c>
      <c r="G11302" s="2" t="s">
        <v>130</v>
      </c>
      <c r="H11302" s="2" t="s">
        <v>34</v>
      </c>
      <c r="I11302" s="2" t="s">
        <v>6301</v>
      </c>
      <c r="J11302" s="2" t="s">
        <v>4476</v>
      </c>
      <c r="K11302" s="2" t="s">
        <v>226</v>
      </c>
      <c r="L11302" s="2" t="s">
        <v>34</v>
      </c>
      <c r="M11302" s="12">
        <v>13256.642</v>
      </c>
      <c r="N11302" s="6">
        <v>187.43</v>
      </c>
      <c r="O11302" s="6">
        <v>187.26</v>
      </c>
      <c r="P11302" s="2" t="s">
        <v>32720</v>
      </c>
      <c r="Q11302" s="6">
        <v>100</v>
      </c>
      <c r="R11302" s="6">
        <v>3.35</v>
      </c>
      <c r="S11302" s="5">
        <v>7.3</v>
      </c>
      <c r="T11302" s="7">
        <v>24.132000000000001</v>
      </c>
      <c r="U11302" s="5">
        <v>0.6</v>
      </c>
      <c r="V11302" s="9">
        <v>0.1361</v>
      </c>
      <c r="W11302" s="6">
        <v>2.63</v>
      </c>
      <c r="X11302" s="6">
        <v>2.66</v>
      </c>
      <c r="Y11302" s="6">
        <v>3.34</v>
      </c>
      <c r="Z11302" s="6">
        <v>3.34</v>
      </c>
      <c r="AA11302" s="6">
        <v>53.98</v>
      </c>
      <c r="AB11302" s="7">
        <v>13.808999999999999</v>
      </c>
      <c r="AC11302" s="8">
        <v>1075.4000000000001</v>
      </c>
    </row>
    <row r="11303" spans="1:29" ht="130" x14ac:dyDescent="0.15">
      <c r="A11303" s="3">
        <f>DATE(2015,11,23)</f>
        <v>42331</v>
      </c>
      <c r="B11303" s="2"/>
      <c r="C11303" s="2" t="s">
        <v>30</v>
      </c>
      <c r="D11303" s="2" t="s">
        <v>32721</v>
      </c>
      <c r="E11303" s="2" t="s">
        <v>36</v>
      </c>
      <c r="F11303" s="4">
        <v>6021</v>
      </c>
      <c r="G11303" s="2" t="s">
        <v>37</v>
      </c>
      <c r="H11303" s="2" t="s">
        <v>34</v>
      </c>
      <c r="I11303" s="2" t="s">
        <v>21552</v>
      </c>
      <c r="J11303" s="2" t="s">
        <v>36</v>
      </c>
      <c r="K11303" s="2" t="s">
        <v>37</v>
      </c>
      <c r="L11303" s="2" t="s">
        <v>34</v>
      </c>
      <c r="M11303" s="7">
        <v>874.21600000000001</v>
      </c>
      <c r="N11303" s="6">
        <v>27.02</v>
      </c>
      <c r="O11303" s="6">
        <v>26.72</v>
      </c>
      <c r="P11303" s="2" t="s">
        <v>32722</v>
      </c>
      <c r="Q11303" s="2"/>
      <c r="R11303" s="6">
        <v>19.98</v>
      </c>
      <c r="S11303" s="5">
        <v>92.1</v>
      </c>
      <c r="T11303" s="2"/>
      <c r="U11303" s="5">
        <v>11.7</v>
      </c>
      <c r="V11303" s="9">
        <v>1.1567000000000001</v>
      </c>
      <c r="W11303" s="6">
        <v>17.66</v>
      </c>
      <c r="X11303" s="6">
        <v>18.16</v>
      </c>
      <c r="Y11303" s="6">
        <v>18.25</v>
      </c>
      <c r="Z11303" s="6">
        <v>19.21</v>
      </c>
      <c r="AA11303" s="6">
        <v>79.55</v>
      </c>
      <c r="AB11303" s="7">
        <v>14.098000000000001</v>
      </c>
      <c r="AC11303" s="2"/>
    </row>
    <row r="11304" spans="1:29" ht="143" x14ac:dyDescent="0.15">
      <c r="A11304" s="3">
        <f>DATE(2015,11,23)</f>
        <v>42331</v>
      </c>
      <c r="B11304" s="3">
        <f>DATE(2016,10,26)</f>
        <v>42669</v>
      </c>
      <c r="C11304" s="2" t="s">
        <v>95</v>
      </c>
      <c r="D11304" s="2" t="s">
        <v>32723</v>
      </c>
      <c r="E11304" s="2" t="s">
        <v>36</v>
      </c>
      <c r="F11304" s="4">
        <v>6021</v>
      </c>
      <c r="G11304" s="2" t="s">
        <v>37</v>
      </c>
      <c r="H11304" s="2" t="s">
        <v>34</v>
      </c>
      <c r="I11304" s="2" t="s">
        <v>29843</v>
      </c>
      <c r="J11304" s="2" t="s">
        <v>29798</v>
      </c>
      <c r="K11304" s="2" t="s">
        <v>37</v>
      </c>
      <c r="L11304" s="2" t="s">
        <v>34</v>
      </c>
      <c r="M11304" s="12">
        <v>1435.713</v>
      </c>
      <c r="N11304" s="6">
        <v>33.44</v>
      </c>
      <c r="O11304" s="6">
        <v>33.85</v>
      </c>
      <c r="P11304" s="2" t="s">
        <v>32724</v>
      </c>
      <c r="Q11304" s="6">
        <v>100</v>
      </c>
      <c r="R11304" s="6">
        <v>14.44</v>
      </c>
      <c r="S11304" s="5">
        <v>151.19999999999999</v>
      </c>
      <c r="T11304" s="6">
        <v>18.55</v>
      </c>
      <c r="U11304" s="5">
        <v>11.3</v>
      </c>
      <c r="V11304" s="7">
        <v>6.8849999999999998</v>
      </c>
      <c r="W11304" s="6">
        <v>13.03</v>
      </c>
      <c r="X11304" s="6">
        <v>13.84</v>
      </c>
      <c r="Y11304" s="6">
        <v>14.13</v>
      </c>
      <c r="Z11304" s="6">
        <v>14.13</v>
      </c>
      <c r="AA11304" s="6">
        <v>24.29</v>
      </c>
      <c r="AB11304" s="7">
        <v>34.768999999999998</v>
      </c>
      <c r="AC11304" s="2"/>
    </row>
    <row r="11305" spans="1:29" ht="91" x14ac:dyDescent="0.15">
      <c r="A11305" s="3">
        <f>DATE(2015,11,23)</f>
        <v>42331</v>
      </c>
      <c r="B11305" s="3">
        <f>DATE(2016,2,23)</f>
        <v>42423</v>
      </c>
      <c r="C11305" s="2" t="s">
        <v>95</v>
      </c>
      <c r="D11305" s="2" t="s">
        <v>32725</v>
      </c>
      <c r="E11305" s="2" t="s">
        <v>32726</v>
      </c>
      <c r="F11305" s="4">
        <v>7372</v>
      </c>
      <c r="G11305" s="2" t="s">
        <v>551</v>
      </c>
      <c r="H11305" s="2" t="s">
        <v>34</v>
      </c>
      <c r="I11305" s="2" t="s">
        <v>26710</v>
      </c>
      <c r="J11305" s="2" t="s">
        <v>26711</v>
      </c>
      <c r="K11305" s="2" t="s">
        <v>921</v>
      </c>
      <c r="L11305" s="2" t="s">
        <v>34</v>
      </c>
      <c r="M11305" s="7">
        <v>383.221</v>
      </c>
      <c r="N11305" s="6">
        <v>21.11</v>
      </c>
      <c r="O11305" s="6">
        <v>21.85</v>
      </c>
      <c r="P11305" s="2" t="s">
        <v>32727</v>
      </c>
      <c r="Q11305" s="6">
        <v>100</v>
      </c>
      <c r="R11305" s="6">
        <v>5</v>
      </c>
      <c r="S11305" s="5">
        <v>3.7</v>
      </c>
      <c r="T11305" s="7">
        <v>32.658999999999999</v>
      </c>
      <c r="U11305" s="5">
        <v>2</v>
      </c>
      <c r="V11305" s="9">
        <v>5.8599999999999999E-2</v>
      </c>
      <c r="W11305" s="5">
        <v>4.4000000000000004</v>
      </c>
      <c r="X11305" s="6">
        <v>4.3899999999999997</v>
      </c>
      <c r="Y11305" s="6">
        <v>4.9400000000000004</v>
      </c>
      <c r="Z11305" s="6">
        <v>4.9400000000000004</v>
      </c>
      <c r="AA11305" s="6">
        <v>61.28</v>
      </c>
      <c r="AB11305" s="7">
        <v>27.699000000000002</v>
      </c>
      <c r="AC11305" s="6">
        <v>150.72999999999999</v>
      </c>
    </row>
    <row r="11306" spans="1:29" ht="208" x14ac:dyDescent="0.15">
      <c r="A11306" s="3">
        <f>DATE(2015,11,23)</f>
        <v>42331</v>
      </c>
      <c r="B11306" s="2"/>
      <c r="C11306" s="2" t="s">
        <v>30</v>
      </c>
      <c r="D11306" s="2" t="s">
        <v>32728</v>
      </c>
      <c r="E11306" s="2" t="s">
        <v>13055</v>
      </c>
      <c r="F11306" s="4">
        <v>2834</v>
      </c>
      <c r="G11306" s="2" t="s">
        <v>130</v>
      </c>
      <c r="H11306" s="2" t="s">
        <v>34</v>
      </c>
      <c r="I11306" s="2" t="s">
        <v>7393</v>
      </c>
      <c r="J11306" s="2" t="s">
        <v>5670</v>
      </c>
      <c r="K11306" s="2" t="s">
        <v>130</v>
      </c>
      <c r="L11306" s="2" t="s">
        <v>34</v>
      </c>
      <c r="M11306" s="12">
        <v>210869.747</v>
      </c>
      <c r="N11306" s="6">
        <v>31.33</v>
      </c>
      <c r="O11306" s="6">
        <v>31.97</v>
      </c>
      <c r="P11306" s="2" t="s">
        <v>32729</v>
      </c>
      <c r="Q11306" s="2"/>
      <c r="R11306" s="6">
        <v>363.63</v>
      </c>
      <c r="S11306" s="8">
        <v>3813.2</v>
      </c>
      <c r="T11306" s="8">
        <v>2526.6</v>
      </c>
      <c r="U11306" s="5">
        <v>184.1</v>
      </c>
      <c r="V11306" s="9">
        <v>-9.3388000000000009</v>
      </c>
      <c r="W11306" s="4">
        <v>259</v>
      </c>
      <c r="X11306" s="6">
        <v>285.77</v>
      </c>
      <c r="Y11306" s="5">
        <v>287.2</v>
      </c>
      <c r="Z11306" s="6">
        <v>304.38</v>
      </c>
      <c r="AA11306" s="6">
        <v>394.22</v>
      </c>
      <c r="AB11306" s="2" t="s">
        <v>86</v>
      </c>
      <c r="AC11306" s="8">
        <v>20658</v>
      </c>
    </row>
    <row r="11307" spans="1:29" ht="117" x14ac:dyDescent="0.15">
      <c r="A11307" s="3">
        <f>DATE(2015,11,24)</f>
        <v>42332</v>
      </c>
      <c r="B11307" s="3">
        <f>DATE(2016,1,15)</f>
        <v>42384</v>
      </c>
      <c r="C11307" s="2" t="s">
        <v>95</v>
      </c>
      <c r="D11307" s="2" t="s">
        <v>32730</v>
      </c>
      <c r="E11307" s="2" t="s">
        <v>32731</v>
      </c>
      <c r="F11307" s="4">
        <v>5143</v>
      </c>
      <c r="G11307" s="2" t="s">
        <v>593</v>
      </c>
      <c r="H11307" s="2" t="s">
        <v>34</v>
      </c>
      <c r="I11307" s="2" t="s">
        <v>31371</v>
      </c>
      <c r="J11307" s="2" t="s">
        <v>32732</v>
      </c>
      <c r="K11307" s="2" t="s">
        <v>577</v>
      </c>
      <c r="L11307" s="2" t="s">
        <v>34</v>
      </c>
      <c r="M11307" s="10">
        <v>5121.3900000000003</v>
      </c>
      <c r="N11307" s="6">
        <v>42.57</v>
      </c>
      <c r="O11307" s="6">
        <v>44.62</v>
      </c>
      <c r="P11307" s="2" t="s">
        <v>32733</v>
      </c>
      <c r="Q11307" s="6">
        <v>100</v>
      </c>
      <c r="R11307" s="6">
        <v>11</v>
      </c>
      <c r="S11307" s="5">
        <v>0.7</v>
      </c>
      <c r="T11307" s="5">
        <v>43.1</v>
      </c>
      <c r="U11307" s="5">
        <v>3.9</v>
      </c>
      <c r="V11307" s="9">
        <v>1.4200000000000001E-2</v>
      </c>
      <c r="W11307" s="6">
        <v>8.98</v>
      </c>
      <c r="X11307" s="6">
        <v>10.07</v>
      </c>
      <c r="Y11307" s="6">
        <v>10.92</v>
      </c>
      <c r="Z11307" s="6">
        <v>10.92</v>
      </c>
      <c r="AA11307" s="6">
        <v>61.74</v>
      </c>
      <c r="AB11307" s="7">
        <v>44.481000000000002</v>
      </c>
      <c r="AC11307" s="6">
        <v>73.02</v>
      </c>
    </row>
    <row r="11308" spans="1:29" ht="182" x14ac:dyDescent="0.15">
      <c r="A11308" s="3">
        <f>DATE(2015,11,24)</f>
        <v>42332</v>
      </c>
      <c r="B11308" s="3">
        <f>DATE(2016,5,23)</f>
        <v>42513</v>
      </c>
      <c r="C11308" s="2" t="s">
        <v>95</v>
      </c>
      <c r="D11308" s="2" t="s">
        <v>32734</v>
      </c>
      <c r="E11308" s="2" t="s">
        <v>3536</v>
      </c>
      <c r="F11308" s="4">
        <v>6035</v>
      </c>
      <c r="G11308" s="2" t="s">
        <v>33</v>
      </c>
      <c r="H11308" s="2" t="s">
        <v>34</v>
      </c>
      <c r="I11308" s="2" t="s">
        <v>20454</v>
      </c>
      <c r="J11308" s="2" t="s">
        <v>36</v>
      </c>
      <c r="K11308" s="2" t="s">
        <v>37</v>
      </c>
      <c r="L11308" s="2" t="s">
        <v>34</v>
      </c>
      <c r="M11308" s="7">
        <v>468.286</v>
      </c>
      <c r="N11308" s="6">
        <v>22.85</v>
      </c>
      <c r="O11308" s="6">
        <v>23.02</v>
      </c>
      <c r="P11308" s="2" t="s">
        <v>32735</v>
      </c>
      <c r="Q11308" s="6">
        <v>100</v>
      </c>
      <c r="R11308" s="6">
        <v>16.27</v>
      </c>
      <c r="S11308" s="5">
        <v>1.7</v>
      </c>
      <c r="T11308" s="7">
        <v>3.1949999999999998</v>
      </c>
      <c r="U11308" s="5">
        <v>14.2</v>
      </c>
      <c r="V11308" s="9">
        <v>0.25669999999999998</v>
      </c>
      <c r="W11308" s="6">
        <v>14.37</v>
      </c>
      <c r="X11308" s="7">
        <v>14.401</v>
      </c>
      <c r="Y11308" s="5">
        <v>14.9</v>
      </c>
      <c r="Z11308" s="4">
        <v>15</v>
      </c>
      <c r="AA11308" s="6">
        <v>6.8</v>
      </c>
      <c r="AB11308" s="7">
        <v>49.554000000000002</v>
      </c>
      <c r="AC11308" s="2"/>
    </row>
    <row r="11309" spans="1:29" ht="104" x14ac:dyDescent="0.15">
      <c r="A11309" s="3">
        <f>DATE(2015,11,25)</f>
        <v>42333</v>
      </c>
      <c r="B11309" s="2"/>
      <c r="C11309" s="2" t="s">
        <v>30</v>
      </c>
      <c r="D11309" s="2" t="s">
        <v>32736</v>
      </c>
      <c r="E11309" s="2" t="s">
        <v>7424</v>
      </c>
      <c r="F11309" s="4">
        <v>6211</v>
      </c>
      <c r="G11309" s="2" t="s">
        <v>53</v>
      </c>
      <c r="H11309" s="2" t="s">
        <v>34</v>
      </c>
      <c r="I11309" s="2" t="s">
        <v>32737</v>
      </c>
      <c r="J11309" s="2" t="s">
        <v>32388</v>
      </c>
      <c r="K11309" s="2" t="s">
        <v>53</v>
      </c>
      <c r="L11309" s="2" t="s">
        <v>34</v>
      </c>
      <c r="M11309" s="7">
        <v>56.798999999999999</v>
      </c>
      <c r="N11309" s="6">
        <v>10.26</v>
      </c>
      <c r="O11309" s="6">
        <v>10.26</v>
      </c>
      <c r="P11309" s="2" t="s">
        <v>32738</v>
      </c>
      <c r="Q11309" s="2"/>
      <c r="R11309" s="6">
        <v>3.5</v>
      </c>
      <c r="S11309" s="5">
        <v>0.3</v>
      </c>
      <c r="T11309" s="7">
        <v>1.605</v>
      </c>
      <c r="U11309" s="5">
        <v>3.6</v>
      </c>
      <c r="V11309" s="6">
        <v>0.02</v>
      </c>
      <c r="W11309" s="6">
        <v>2.42</v>
      </c>
      <c r="X11309" s="5">
        <v>2.6</v>
      </c>
      <c r="Y11309" s="6">
        <v>2.94</v>
      </c>
      <c r="Z11309" s="6">
        <v>2.94</v>
      </c>
      <c r="AA11309" s="6">
        <v>12.45</v>
      </c>
      <c r="AB11309" s="7">
        <v>37.472999999999999</v>
      </c>
      <c r="AC11309" s="2"/>
    </row>
    <row r="11310" spans="1:29" ht="91" x14ac:dyDescent="0.15">
      <c r="A11310" s="3">
        <f>DATE(2015,11,30)</f>
        <v>42338</v>
      </c>
      <c r="B11310" s="3">
        <f>DATE(2016,5,16)</f>
        <v>42506</v>
      </c>
      <c r="C11310" s="2" t="s">
        <v>95</v>
      </c>
      <c r="D11310" s="2" t="s">
        <v>32739</v>
      </c>
      <c r="E11310" s="2" t="s">
        <v>36</v>
      </c>
      <c r="F11310" s="4">
        <v>6021</v>
      </c>
      <c r="G11310" s="2" t="s">
        <v>37</v>
      </c>
      <c r="H11310" s="2" t="s">
        <v>34</v>
      </c>
      <c r="I11310" s="2" t="s">
        <v>29797</v>
      </c>
      <c r="J11310" s="2" t="s">
        <v>29798</v>
      </c>
      <c r="K11310" s="2" t="s">
        <v>37</v>
      </c>
      <c r="L11310" s="2" t="s">
        <v>34</v>
      </c>
      <c r="M11310" s="12">
        <v>1603.0250000000001</v>
      </c>
      <c r="N11310" s="6">
        <v>30.22</v>
      </c>
      <c r="O11310" s="6">
        <v>30.48</v>
      </c>
      <c r="P11310" s="2" t="s">
        <v>32740</v>
      </c>
      <c r="Q11310" s="6">
        <v>100</v>
      </c>
      <c r="R11310" s="6">
        <v>19.77</v>
      </c>
      <c r="S11310" s="5">
        <v>5.7</v>
      </c>
      <c r="T11310" s="7">
        <v>11.266999999999999</v>
      </c>
      <c r="U11310" s="5">
        <v>15.3</v>
      </c>
      <c r="V11310" s="9">
        <v>0.80179999999999996</v>
      </c>
      <c r="W11310" s="7">
        <v>16.143000000000001</v>
      </c>
      <c r="X11310" s="6">
        <v>16.149999999999999</v>
      </c>
      <c r="Y11310" s="6">
        <v>16.23</v>
      </c>
      <c r="Z11310" s="6">
        <v>19.29</v>
      </c>
      <c r="AA11310" s="6">
        <v>7.05</v>
      </c>
      <c r="AB11310" s="7">
        <v>26.818999999999999</v>
      </c>
      <c r="AC11310" s="2"/>
    </row>
    <row r="11311" spans="1:29" ht="117" x14ac:dyDescent="0.15">
      <c r="A11311" s="3">
        <f>DATE(2015,12,2)</f>
        <v>42340</v>
      </c>
      <c r="B11311" s="3">
        <f>DATE(2016,5,11)</f>
        <v>42501</v>
      </c>
      <c r="C11311" s="2" t="s">
        <v>95</v>
      </c>
      <c r="D11311" s="2" t="s">
        <v>17159</v>
      </c>
      <c r="E11311" s="2" t="s">
        <v>17160</v>
      </c>
      <c r="F11311" s="4">
        <v>3674</v>
      </c>
      <c r="G11311" s="2" t="s">
        <v>137</v>
      </c>
      <c r="H11311" s="2" t="s">
        <v>34</v>
      </c>
      <c r="I11311" s="2" t="s">
        <v>32741</v>
      </c>
      <c r="J11311" s="2" t="s">
        <v>31277</v>
      </c>
      <c r="K11311" s="2" t="s">
        <v>53</v>
      </c>
      <c r="L11311" s="2" t="s">
        <v>455</v>
      </c>
      <c r="M11311" s="2"/>
      <c r="N11311" s="2"/>
      <c r="O11311" s="2"/>
      <c r="P11311" s="2" t="s">
        <v>32742</v>
      </c>
      <c r="Q11311" s="6">
        <v>100</v>
      </c>
      <c r="R11311" s="6">
        <v>3.8</v>
      </c>
      <c r="S11311" s="5">
        <v>15.9</v>
      </c>
      <c r="T11311" s="7">
        <v>19.308</v>
      </c>
      <c r="U11311" s="5">
        <v>1.2</v>
      </c>
      <c r="V11311" s="9">
        <v>0.2089</v>
      </c>
      <c r="W11311" s="6">
        <v>2.71</v>
      </c>
      <c r="X11311" s="5">
        <v>3.1</v>
      </c>
      <c r="Y11311" s="5">
        <v>3.6</v>
      </c>
      <c r="Z11311" s="5">
        <v>3.6</v>
      </c>
      <c r="AA11311" s="6">
        <v>75.28</v>
      </c>
      <c r="AB11311" s="7">
        <v>15.563000000000001</v>
      </c>
      <c r="AC11311" s="2"/>
    </row>
    <row r="11312" spans="1:29" ht="130" x14ac:dyDescent="0.15">
      <c r="A11312" s="3">
        <f>DATE(2015,12,3)</f>
        <v>42341</v>
      </c>
      <c r="B11312" s="3">
        <f>DATE(2016,2,29)</f>
        <v>42429</v>
      </c>
      <c r="C11312" s="2" t="s">
        <v>95</v>
      </c>
      <c r="D11312" s="2" t="s">
        <v>32743</v>
      </c>
      <c r="E11312" s="2" t="s">
        <v>92</v>
      </c>
      <c r="F11312" s="4">
        <v>6798</v>
      </c>
      <c r="G11312" s="2" t="s">
        <v>53</v>
      </c>
      <c r="H11312" s="2" t="s">
        <v>34</v>
      </c>
      <c r="I11312" s="2" t="s">
        <v>32744</v>
      </c>
      <c r="J11312" s="2" t="s">
        <v>92</v>
      </c>
      <c r="K11312" s="2" t="s">
        <v>53</v>
      </c>
      <c r="L11312" s="2" t="s">
        <v>34</v>
      </c>
      <c r="M11312" s="12">
        <v>3421.1170000000002</v>
      </c>
      <c r="N11312" s="6">
        <v>15.98</v>
      </c>
      <c r="O11312" s="5">
        <v>16.100000000000001</v>
      </c>
      <c r="P11312" s="2" t="s">
        <v>32745</v>
      </c>
      <c r="Q11312" s="6">
        <v>100</v>
      </c>
      <c r="R11312" s="6">
        <v>19.010000000000002</v>
      </c>
      <c r="S11312" s="5">
        <v>-44.9</v>
      </c>
      <c r="T11312" s="7">
        <v>16.402000000000001</v>
      </c>
      <c r="U11312" s="5">
        <v>16.2</v>
      </c>
      <c r="V11312" s="9">
        <v>-1.3952</v>
      </c>
      <c r="W11312" s="6">
        <v>16.760000000000002</v>
      </c>
      <c r="X11312" s="6">
        <v>17.489999999999998</v>
      </c>
      <c r="Y11312" s="6">
        <v>17.84</v>
      </c>
      <c r="Z11312" s="6">
        <v>18.04</v>
      </c>
      <c r="AA11312" s="6">
        <v>33.409999999999997</v>
      </c>
      <c r="AB11312" s="2" t="s">
        <v>86</v>
      </c>
      <c r="AC11312" s="6">
        <v>463.83</v>
      </c>
    </row>
    <row r="11313" spans="1:29" ht="104" x14ac:dyDescent="0.15">
      <c r="A11313" s="3">
        <f>DATE(2015,12,3)</f>
        <v>42341</v>
      </c>
      <c r="B11313" s="3">
        <f>DATE(2015,12,28)</f>
        <v>42366</v>
      </c>
      <c r="C11313" s="2" t="s">
        <v>95</v>
      </c>
      <c r="D11313" s="2" t="s">
        <v>20496</v>
      </c>
      <c r="E11313" s="2" t="s">
        <v>20497</v>
      </c>
      <c r="F11313" s="4">
        <v>2671</v>
      </c>
      <c r="G11313" s="2" t="s">
        <v>282</v>
      </c>
      <c r="H11313" s="2" t="s">
        <v>34</v>
      </c>
      <c r="I11313" s="2" t="s">
        <v>32746</v>
      </c>
      <c r="J11313" s="2" t="s">
        <v>7424</v>
      </c>
      <c r="K11313" s="2" t="s">
        <v>163</v>
      </c>
      <c r="L11313" s="2" t="s">
        <v>34</v>
      </c>
      <c r="M11313" s="2"/>
      <c r="N11313" s="4">
        <v>17</v>
      </c>
      <c r="O11313" s="6">
        <v>17.07</v>
      </c>
      <c r="P11313" s="2" t="s">
        <v>32747</v>
      </c>
      <c r="Q11313" s="6">
        <v>20.25</v>
      </c>
      <c r="R11313" s="6">
        <v>4.4000000000000004</v>
      </c>
      <c r="S11313" s="2"/>
      <c r="T11313" s="2"/>
      <c r="U11313" s="2"/>
      <c r="V11313" s="2"/>
      <c r="W11313" s="6">
        <v>3.99</v>
      </c>
      <c r="X11313" s="4">
        <v>4</v>
      </c>
      <c r="Y11313" s="4">
        <v>4</v>
      </c>
      <c r="Z11313" s="6">
        <v>4.3499999999999996</v>
      </c>
      <c r="AA11313" s="6">
        <v>26.5</v>
      </c>
      <c r="AB11313" s="2" t="s">
        <v>47</v>
      </c>
      <c r="AC11313" s="6">
        <v>391.06</v>
      </c>
    </row>
    <row r="11314" spans="1:29" ht="117" x14ac:dyDescent="0.15">
      <c r="A11314" s="3">
        <f>DATE(2015,12,3)</f>
        <v>42341</v>
      </c>
      <c r="B11314" s="3">
        <f>DATE(2016,5,2)</f>
        <v>42492</v>
      </c>
      <c r="C11314" s="2" t="s">
        <v>95</v>
      </c>
      <c r="D11314" s="2" t="s">
        <v>18407</v>
      </c>
      <c r="E11314" s="2" t="s">
        <v>7190</v>
      </c>
      <c r="F11314" s="4">
        <v>6035</v>
      </c>
      <c r="G11314" s="2" t="s">
        <v>33</v>
      </c>
      <c r="H11314" s="2" t="s">
        <v>34</v>
      </c>
      <c r="I11314" s="2" t="s">
        <v>14782</v>
      </c>
      <c r="J11314" s="2" t="s">
        <v>159</v>
      </c>
      <c r="K11314" s="2" t="s">
        <v>37</v>
      </c>
      <c r="L11314" s="2" t="s">
        <v>34</v>
      </c>
      <c r="M11314" s="7">
        <v>621.197</v>
      </c>
      <c r="N11314" s="6">
        <v>21.82</v>
      </c>
      <c r="O11314" s="6">
        <v>21.87</v>
      </c>
      <c r="P11314" s="2" t="s">
        <v>32748</v>
      </c>
      <c r="Q11314" s="6">
        <v>100</v>
      </c>
      <c r="R11314" s="6">
        <v>17.46</v>
      </c>
      <c r="S11314" s="5">
        <v>14.1</v>
      </c>
      <c r="T11314" s="7">
        <v>23.238</v>
      </c>
      <c r="U11314" s="5">
        <v>10.3</v>
      </c>
      <c r="V11314" s="7">
        <v>1.171</v>
      </c>
      <c r="W11314" s="6">
        <v>16.149999999999999</v>
      </c>
      <c r="X11314" s="7">
        <v>16.765000000000001</v>
      </c>
      <c r="Y11314" s="6">
        <v>17.010000000000002</v>
      </c>
      <c r="Z11314" s="6">
        <v>16.95</v>
      </c>
      <c r="AA11314" s="6">
        <v>11.92</v>
      </c>
      <c r="AB11314" s="7">
        <v>21.609000000000002</v>
      </c>
      <c r="AC11314" s="2"/>
    </row>
    <row r="11315" spans="1:29" ht="52" x14ac:dyDescent="0.15">
      <c r="A11315" s="3">
        <f>DATE(2015,12,4)</f>
        <v>42342</v>
      </c>
      <c r="B11315" s="2"/>
      <c r="C11315" s="2" t="s">
        <v>87</v>
      </c>
      <c r="D11315" s="2" t="s">
        <v>32749</v>
      </c>
      <c r="E11315" s="2" t="s">
        <v>839</v>
      </c>
      <c r="F11315" s="4">
        <v>2834</v>
      </c>
      <c r="G11315" s="2" t="s">
        <v>130</v>
      </c>
      <c r="H11315" s="2" t="s">
        <v>34</v>
      </c>
      <c r="I11315" s="2" t="s">
        <v>4010</v>
      </c>
      <c r="J11315" s="2" t="s">
        <v>31430</v>
      </c>
      <c r="K11315" s="2" t="s">
        <v>130</v>
      </c>
      <c r="L11315" s="2" t="s">
        <v>34</v>
      </c>
      <c r="M11315" s="12">
        <v>152555.391</v>
      </c>
      <c r="N11315" s="6">
        <v>53.64</v>
      </c>
      <c r="O11315" s="6">
        <v>53.68</v>
      </c>
      <c r="P11315" s="2" t="s">
        <v>32750</v>
      </c>
      <c r="Q11315" s="2"/>
      <c r="R11315" s="2"/>
      <c r="S11315" s="5">
        <v>-148</v>
      </c>
      <c r="T11315" s="7">
        <v>-140.03700000000001</v>
      </c>
      <c r="U11315" s="5">
        <v>5.5</v>
      </c>
      <c r="V11315" s="9">
        <v>-3.8016000000000001</v>
      </c>
      <c r="W11315" s="6">
        <v>23.97</v>
      </c>
      <c r="X11315" s="6">
        <v>22.32</v>
      </c>
      <c r="Y11315" s="6">
        <v>29.14</v>
      </c>
      <c r="Z11315" s="6">
        <v>28.48</v>
      </c>
      <c r="AA11315" s="6">
        <v>41.69</v>
      </c>
      <c r="AB11315" s="2" t="s">
        <v>86</v>
      </c>
      <c r="AC11315" s="8">
        <v>12953</v>
      </c>
    </row>
    <row r="11316" spans="1:29" ht="130" x14ac:dyDescent="0.15">
      <c r="A11316" s="3">
        <f>DATE(2015,12,7)</f>
        <v>42345</v>
      </c>
      <c r="B11316" s="3">
        <f>DATE(2016,3,3)</f>
        <v>42432</v>
      </c>
      <c r="C11316" s="2" t="s">
        <v>95</v>
      </c>
      <c r="D11316" s="2" t="s">
        <v>32751</v>
      </c>
      <c r="E11316" s="2" t="s">
        <v>32752</v>
      </c>
      <c r="F11316" s="4">
        <v>2095</v>
      </c>
      <c r="G11316" s="2" t="s">
        <v>577</v>
      </c>
      <c r="H11316" s="2" t="s">
        <v>34</v>
      </c>
      <c r="I11316" s="2" t="s">
        <v>51</v>
      </c>
      <c r="J11316" s="2" t="s">
        <v>52</v>
      </c>
      <c r="K11316" s="2" t="s">
        <v>53</v>
      </c>
      <c r="L11316" s="2" t="s">
        <v>2105</v>
      </c>
      <c r="M11316" s="2"/>
      <c r="N11316" s="2"/>
      <c r="O11316" s="2"/>
      <c r="P11316" s="2" t="s">
        <v>32753</v>
      </c>
      <c r="Q11316" s="6">
        <v>100</v>
      </c>
      <c r="R11316" s="6">
        <v>92</v>
      </c>
      <c r="S11316" s="5">
        <v>498.3</v>
      </c>
      <c r="T11316" s="12">
        <v>1030.5119999999999</v>
      </c>
      <c r="U11316" s="5">
        <v>17.7</v>
      </c>
      <c r="V11316" s="9">
        <v>3.1358000000000001</v>
      </c>
      <c r="W11316" s="5">
        <v>52.4</v>
      </c>
      <c r="X11316" s="5">
        <v>51.7</v>
      </c>
      <c r="Y11316" s="6">
        <v>88.89</v>
      </c>
      <c r="Z11316" s="6">
        <v>89.65</v>
      </c>
      <c r="AA11316" s="6">
        <v>149</v>
      </c>
      <c r="AB11316" s="7">
        <v>19.027000000000001</v>
      </c>
      <c r="AC11316" s="2"/>
    </row>
    <row r="11317" spans="1:29" ht="195" x14ac:dyDescent="0.15">
      <c r="A11317" s="3">
        <f>DATE(2015,12,7)</f>
        <v>42345</v>
      </c>
      <c r="B11317" s="3">
        <f>DATE(2016,2,4)</f>
        <v>42404</v>
      </c>
      <c r="C11317" s="2" t="s">
        <v>95</v>
      </c>
      <c r="D11317" s="2" t="s">
        <v>29724</v>
      </c>
      <c r="E11317" s="2" t="s">
        <v>29725</v>
      </c>
      <c r="F11317" s="4">
        <v>5531</v>
      </c>
      <c r="G11317" s="2" t="s">
        <v>73</v>
      </c>
      <c r="H11317" s="2" t="s">
        <v>34</v>
      </c>
      <c r="I11317" s="2" t="s">
        <v>27984</v>
      </c>
      <c r="J11317" s="2" t="s">
        <v>27985</v>
      </c>
      <c r="K11317" s="2" t="s">
        <v>53</v>
      </c>
      <c r="L11317" s="2" t="s">
        <v>34</v>
      </c>
      <c r="M11317" s="12">
        <v>9871.3590000000004</v>
      </c>
      <c r="N11317" s="6">
        <v>68.489999999999995</v>
      </c>
      <c r="O11317" s="6">
        <v>68.959999999999994</v>
      </c>
      <c r="P11317" s="2" t="s">
        <v>32754</v>
      </c>
      <c r="Q11317" s="6">
        <v>88.22</v>
      </c>
      <c r="R11317" s="6">
        <v>18.5</v>
      </c>
      <c r="S11317" s="5">
        <v>-8.6999999999999993</v>
      </c>
      <c r="T11317" s="7">
        <v>71.403999999999996</v>
      </c>
      <c r="U11317" s="5">
        <v>10.1</v>
      </c>
      <c r="V11317" s="9">
        <v>-0.17230000000000001</v>
      </c>
      <c r="W11317" s="6">
        <v>12.51</v>
      </c>
      <c r="X11317" s="6">
        <v>12.15</v>
      </c>
      <c r="Y11317" s="6">
        <v>14.99</v>
      </c>
      <c r="Z11317" s="6">
        <v>14.98</v>
      </c>
      <c r="AA11317" s="6">
        <v>54.11</v>
      </c>
      <c r="AB11317" s="7">
        <v>455.923</v>
      </c>
      <c r="AC11317" s="8">
        <v>3482</v>
      </c>
    </row>
    <row r="11318" spans="1:29" ht="156" x14ac:dyDescent="0.15">
      <c r="A11318" s="3">
        <f>DATE(2015,12,7)</f>
        <v>42345</v>
      </c>
      <c r="B11318" s="3">
        <f>DATE(2016,7,29)</f>
        <v>42580</v>
      </c>
      <c r="C11318" s="2" t="s">
        <v>95</v>
      </c>
      <c r="D11318" s="2" t="s">
        <v>32755</v>
      </c>
      <c r="E11318" s="2" t="s">
        <v>36</v>
      </c>
      <c r="F11318" s="4">
        <v>6021</v>
      </c>
      <c r="G11318" s="2" t="s">
        <v>37</v>
      </c>
      <c r="H11318" s="2" t="s">
        <v>34</v>
      </c>
      <c r="I11318" s="2" t="s">
        <v>32721</v>
      </c>
      <c r="J11318" s="2" t="s">
        <v>36</v>
      </c>
      <c r="K11318" s="2" t="s">
        <v>37</v>
      </c>
      <c r="L11318" s="2" t="s">
        <v>34</v>
      </c>
      <c r="M11318" s="12">
        <v>1434.3489999999999</v>
      </c>
      <c r="N11318" s="6">
        <v>18.18</v>
      </c>
      <c r="O11318" s="7">
        <v>18.605</v>
      </c>
      <c r="P11318" s="2" t="s">
        <v>32756</v>
      </c>
      <c r="Q11318" s="6">
        <v>100</v>
      </c>
      <c r="R11318" s="6">
        <v>13</v>
      </c>
      <c r="S11318" s="5">
        <v>63.6</v>
      </c>
      <c r="T11318" s="7">
        <v>101.172</v>
      </c>
      <c r="U11318" s="5">
        <v>6.7</v>
      </c>
      <c r="V11318" s="9">
        <v>0.80710000000000004</v>
      </c>
      <c r="W11318" s="6">
        <v>12.34</v>
      </c>
      <c r="X11318" s="6">
        <v>11.77</v>
      </c>
      <c r="Y11318" s="6">
        <v>12.34</v>
      </c>
      <c r="Z11318" s="6">
        <v>12.36</v>
      </c>
      <c r="AA11318" s="6">
        <v>78.56</v>
      </c>
      <c r="AB11318" s="7">
        <v>12.840999999999999</v>
      </c>
      <c r="AC11318" s="2"/>
    </row>
    <row r="11319" spans="1:29" ht="117" x14ac:dyDescent="0.15">
      <c r="A11319" s="3">
        <f>DATE(2015,12,8)</f>
        <v>42346</v>
      </c>
      <c r="B11319" s="3">
        <f>DATE(2016,7,1)</f>
        <v>42552</v>
      </c>
      <c r="C11319" s="2" t="s">
        <v>95</v>
      </c>
      <c r="D11319" s="2" t="s">
        <v>32757</v>
      </c>
      <c r="E11319" s="2" t="s">
        <v>36</v>
      </c>
      <c r="F11319" s="4">
        <v>6035</v>
      </c>
      <c r="G11319" s="2" t="s">
        <v>33</v>
      </c>
      <c r="H11319" s="2" t="s">
        <v>34</v>
      </c>
      <c r="I11319" s="2" t="s">
        <v>32758</v>
      </c>
      <c r="J11319" s="2" t="s">
        <v>36</v>
      </c>
      <c r="K11319" s="2" t="s">
        <v>37</v>
      </c>
      <c r="L11319" s="2" t="s">
        <v>34</v>
      </c>
      <c r="M11319" s="6">
        <v>403.79</v>
      </c>
      <c r="N11319" s="6">
        <v>19.87</v>
      </c>
      <c r="O11319" s="6">
        <v>20.14</v>
      </c>
      <c r="P11319" s="2" t="s">
        <v>32759</v>
      </c>
      <c r="Q11319" s="6">
        <v>100</v>
      </c>
      <c r="R11319" s="6">
        <v>21</v>
      </c>
      <c r="S11319" s="5">
        <v>9.9</v>
      </c>
      <c r="T11319" s="7">
        <v>14.276</v>
      </c>
      <c r="U11319" s="5">
        <v>15.2</v>
      </c>
      <c r="V11319" s="9">
        <v>0.87839999999999996</v>
      </c>
      <c r="W11319" s="6">
        <v>18.39</v>
      </c>
      <c r="X11319" s="6">
        <v>18.38</v>
      </c>
      <c r="Y11319" s="6">
        <v>18.46</v>
      </c>
      <c r="Z11319" s="6">
        <v>19.739999999999998</v>
      </c>
      <c r="AA11319" s="6">
        <v>11.59</v>
      </c>
      <c r="AB11319" s="7">
        <v>33.156999999999996</v>
      </c>
      <c r="AC11319" s="2"/>
    </row>
    <row r="11320" spans="1:29" ht="117" x14ac:dyDescent="0.15">
      <c r="A11320" s="3">
        <f>DATE(2015,12,10)</f>
        <v>42348</v>
      </c>
      <c r="B11320" s="3">
        <f>DATE(2016,4,12)</f>
        <v>42472</v>
      </c>
      <c r="C11320" s="2" t="s">
        <v>95</v>
      </c>
      <c r="D11320" s="2" t="s">
        <v>7010</v>
      </c>
      <c r="E11320" s="2" t="s">
        <v>32760</v>
      </c>
      <c r="F11320" s="4">
        <v>3425</v>
      </c>
      <c r="G11320" s="2" t="s">
        <v>163</v>
      </c>
      <c r="H11320" s="2" t="s">
        <v>34</v>
      </c>
      <c r="I11320" s="2" t="s">
        <v>32761</v>
      </c>
      <c r="J11320" s="2" t="s">
        <v>31277</v>
      </c>
      <c r="K11320" s="2" t="s">
        <v>53</v>
      </c>
      <c r="L11320" s="2" t="s">
        <v>34</v>
      </c>
      <c r="M11320" s="2"/>
      <c r="N11320" s="2"/>
      <c r="O11320" s="2"/>
      <c r="P11320" s="2" t="s">
        <v>32762</v>
      </c>
      <c r="Q11320" s="6">
        <v>100</v>
      </c>
      <c r="R11320" s="6">
        <v>10</v>
      </c>
      <c r="S11320" s="5">
        <v>-30.7</v>
      </c>
      <c r="T11320" s="7">
        <v>105.538</v>
      </c>
      <c r="U11320" s="5">
        <v>2.5</v>
      </c>
      <c r="V11320" s="9">
        <v>-0.62729999999999997</v>
      </c>
      <c r="W11320" s="6">
        <v>5.71</v>
      </c>
      <c r="X11320" s="6">
        <v>5.38</v>
      </c>
      <c r="Y11320" s="6">
        <v>9.91</v>
      </c>
      <c r="Z11320" s="6">
        <v>9.83</v>
      </c>
      <c r="AA11320" s="6">
        <v>48.25</v>
      </c>
      <c r="AB11320" s="7">
        <v>13.978</v>
      </c>
      <c r="AC11320" s="2"/>
    </row>
    <row r="11321" spans="1:29" ht="182" x14ac:dyDescent="0.15">
      <c r="A11321" s="3">
        <f>DATE(2015,12,10)</f>
        <v>42348</v>
      </c>
      <c r="B11321" s="3">
        <f>DATE(2016,3,17)</f>
        <v>42446</v>
      </c>
      <c r="C11321" s="2" t="s">
        <v>95</v>
      </c>
      <c r="D11321" s="2" t="s">
        <v>32763</v>
      </c>
      <c r="E11321" s="2" t="s">
        <v>32764</v>
      </c>
      <c r="F11321" s="4">
        <v>3669</v>
      </c>
      <c r="G11321" s="2" t="s">
        <v>921</v>
      </c>
      <c r="H11321" s="2" t="s">
        <v>34</v>
      </c>
      <c r="I11321" s="2" t="s">
        <v>32765</v>
      </c>
      <c r="J11321" s="2" t="s">
        <v>28296</v>
      </c>
      <c r="K11321" s="2" t="s">
        <v>921</v>
      </c>
      <c r="L11321" s="2" t="s">
        <v>34</v>
      </c>
      <c r="M11321" s="7">
        <v>666.73800000000006</v>
      </c>
      <c r="N11321" s="6">
        <v>20.59</v>
      </c>
      <c r="O11321" s="5">
        <v>20.399999999999999</v>
      </c>
      <c r="P11321" s="2" t="s">
        <v>32766</v>
      </c>
      <c r="Q11321" s="6">
        <v>100</v>
      </c>
      <c r="R11321" s="6">
        <v>6.45</v>
      </c>
      <c r="S11321" s="5">
        <v>3.2</v>
      </c>
      <c r="T11321" s="7">
        <v>8.2680000000000007</v>
      </c>
      <c r="U11321" s="5">
        <v>1.4</v>
      </c>
      <c r="V11321" s="9">
        <v>0.17119999999999999</v>
      </c>
      <c r="W11321" s="6">
        <v>3.51</v>
      </c>
      <c r="X11321" s="7">
        <v>3.4750000000000001</v>
      </c>
      <c r="Y11321" s="5">
        <v>5.2</v>
      </c>
      <c r="Z11321" s="6">
        <v>5.26</v>
      </c>
      <c r="AA11321" s="6">
        <v>19.29</v>
      </c>
      <c r="AB11321" s="7">
        <v>31.414000000000001</v>
      </c>
      <c r="AC11321" s="6">
        <v>223.34</v>
      </c>
    </row>
    <row r="11322" spans="1:29" ht="234" x14ac:dyDescent="0.15">
      <c r="A11322" s="3">
        <f>DATE(2015,12,11)</f>
        <v>42349</v>
      </c>
      <c r="B11322" s="3">
        <f>DATE(2017,8,31)</f>
        <v>42978</v>
      </c>
      <c r="C11322" s="2" t="s">
        <v>95</v>
      </c>
      <c r="D11322" s="2" t="s">
        <v>14014</v>
      </c>
      <c r="E11322" s="2" t="s">
        <v>14015</v>
      </c>
      <c r="F11322" s="4">
        <v>2821</v>
      </c>
      <c r="G11322" s="2" t="s">
        <v>98</v>
      </c>
      <c r="H11322" s="2" t="s">
        <v>34</v>
      </c>
      <c r="I11322" s="2" t="s">
        <v>2287</v>
      </c>
      <c r="J11322" s="2" t="s">
        <v>2288</v>
      </c>
      <c r="K11322" s="2" t="s">
        <v>98</v>
      </c>
      <c r="L11322" s="2" t="s">
        <v>34</v>
      </c>
      <c r="M11322" s="12">
        <v>114523.152</v>
      </c>
      <c r="N11322" s="6">
        <v>53.37</v>
      </c>
      <c r="O11322" s="6">
        <v>51.29</v>
      </c>
      <c r="P11322" s="2" t="s">
        <v>32767</v>
      </c>
      <c r="Q11322" s="6">
        <v>100</v>
      </c>
      <c r="R11322" s="6">
        <v>70.400000000000006</v>
      </c>
      <c r="S11322" s="8">
        <v>2889</v>
      </c>
      <c r="T11322" s="8">
        <v>5065</v>
      </c>
      <c r="U11322" s="5">
        <v>12.3</v>
      </c>
      <c r="V11322" s="9">
        <v>3.0611000000000002</v>
      </c>
      <c r="W11322" s="6">
        <v>67.27</v>
      </c>
      <c r="X11322" s="5">
        <v>66.599999999999994</v>
      </c>
      <c r="Y11322" s="6">
        <v>74.489999999999995</v>
      </c>
      <c r="Z11322" s="6">
        <v>74.55</v>
      </c>
      <c r="AA11322" s="6">
        <v>895.73</v>
      </c>
      <c r="AB11322" s="7">
        <v>19.420000000000002</v>
      </c>
      <c r="AC11322" s="8">
        <v>7722</v>
      </c>
    </row>
    <row r="11323" spans="1:29" ht="247" x14ac:dyDescent="0.15">
      <c r="A11323" s="3">
        <f>DATE(2015,12,14)</f>
        <v>42352</v>
      </c>
      <c r="B11323" s="2"/>
      <c r="C11323" s="2" t="s">
        <v>30</v>
      </c>
      <c r="D11323" s="2" t="s">
        <v>32768</v>
      </c>
      <c r="E11323" s="2" t="s">
        <v>5912</v>
      </c>
      <c r="F11323" s="4">
        <v>2335</v>
      </c>
      <c r="G11323" s="2" t="s">
        <v>708</v>
      </c>
      <c r="H11323" s="2" t="s">
        <v>34</v>
      </c>
      <c r="I11323" s="2" t="s">
        <v>32769</v>
      </c>
      <c r="J11323" s="2" t="s">
        <v>32770</v>
      </c>
      <c r="K11323" s="2" t="s">
        <v>756</v>
      </c>
      <c r="L11323" s="2" t="s">
        <v>133</v>
      </c>
      <c r="M11323" s="7">
        <v>382.63400000000001</v>
      </c>
      <c r="N11323" s="7">
        <v>121.121</v>
      </c>
      <c r="O11323" s="7">
        <v>117.486</v>
      </c>
      <c r="P11323" s="2" t="s">
        <v>32771</v>
      </c>
      <c r="Q11323" s="2"/>
      <c r="R11323" s="6">
        <v>4</v>
      </c>
      <c r="S11323" s="5">
        <v>-4.5</v>
      </c>
      <c r="T11323" s="7">
        <v>16.356999999999999</v>
      </c>
      <c r="U11323" s="5">
        <v>6.7</v>
      </c>
      <c r="V11323" s="9">
        <v>-0.32969999999999999</v>
      </c>
      <c r="W11323" s="6">
        <v>7.29</v>
      </c>
      <c r="X11323" s="4">
        <v>9</v>
      </c>
      <c r="Y11323" s="6">
        <v>9.4600000000000009</v>
      </c>
      <c r="Z11323" s="6">
        <v>8.7899999999999991</v>
      </c>
      <c r="AA11323" s="6">
        <v>13.86</v>
      </c>
      <c r="AB11323" s="2" t="s">
        <v>86</v>
      </c>
      <c r="AC11323" s="6">
        <v>58.22</v>
      </c>
    </row>
    <row r="11324" spans="1:29" ht="182" x14ac:dyDescent="0.15">
      <c r="A11324" s="3">
        <f>DATE(2015,12,14)</f>
        <v>42352</v>
      </c>
      <c r="B11324" s="3">
        <f>DATE(2016,4,15)</f>
        <v>42475</v>
      </c>
      <c r="C11324" s="2" t="s">
        <v>95</v>
      </c>
      <c r="D11324" s="2" t="s">
        <v>25476</v>
      </c>
      <c r="E11324" s="2" t="s">
        <v>25477</v>
      </c>
      <c r="F11324" s="4">
        <v>5199</v>
      </c>
      <c r="G11324" s="2" t="s">
        <v>593</v>
      </c>
      <c r="H11324" s="2" t="s">
        <v>34</v>
      </c>
      <c r="I11324" s="2" t="s">
        <v>32772</v>
      </c>
      <c r="J11324" s="2" t="s">
        <v>32773</v>
      </c>
      <c r="K11324" s="2" t="s">
        <v>447</v>
      </c>
      <c r="L11324" s="2" t="s">
        <v>34</v>
      </c>
      <c r="M11324" s="12">
        <v>11549.404</v>
      </c>
      <c r="N11324" s="6">
        <v>42.15</v>
      </c>
      <c r="O11324" s="6">
        <v>44.13</v>
      </c>
      <c r="P11324" s="2" t="s">
        <v>32774</v>
      </c>
      <c r="Q11324" s="6">
        <v>100</v>
      </c>
      <c r="R11324" s="6">
        <v>60.03</v>
      </c>
      <c r="S11324" s="5">
        <v>228.7</v>
      </c>
      <c r="T11324" s="5">
        <v>802.4</v>
      </c>
      <c r="U11324" s="5">
        <v>17</v>
      </c>
      <c r="V11324" s="9">
        <v>1.1621999999999999</v>
      </c>
      <c r="W11324" s="6">
        <v>46.68</v>
      </c>
      <c r="X11324" s="6">
        <v>48.31</v>
      </c>
      <c r="Y11324" s="6">
        <v>50.09</v>
      </c>
      <c r="Z11324" s="6">
        <v>52.69</v>
      </c>
      <c r="AA11324" s="6">
        <v>220.35</v>
      </c>
      <c r="AB11324" s="7">
        <v>32.765999999999998</v>
      </c>
      <c r="AC11324" s="5">
        <v>273.60000000000002</v>
      </c>
    </row>
    <row r="11325" spans="1:29" ht="169" x14ac:dyDescent="0.15">
      <c r="A11325" s="3">
        <f>DATE(2015,12,15)</f>
        <v>42353</v>
      </c>
      <c r="B11325" s="3">
        <f>DATE(2016,4,22)</f>
        <v>42482</v>
      </c>
      <c r="C11325" s="2" t="s">
        <v>95</v>
      </c>
      <c r="D11325" s="2" t="s">
        <v>32775</v>
      </c>
      <c r="E11325" s="2" t="s">
        <v>6357</v>
      </c>
      <c r="F11325" s="4">
        <v>7389</v>
      </c>
      <c r="G11325" s="2" t="s">
        <v>223</v>
      </c>
      <c r="H11325" s="2" t="s">
        <v>34</v>
      </c>
      <c r="I11325" s="2" t="s">
        <v>32776</v>
      </c>
      <c r="J11325" s="2" t="s">
        <v>32777</v>
      </c>
      <c r="K11325" s="2" t="s">
        <v>223</v>
      </c>
      <c r="L11325" s="2" t="s">
        <v>34</v>
      </c>
      <c r="M11325" s="12">
        <v>4551.1350000000002</v>
      </c>
      <c r="N11325" s="6">
        <v>71.42</v>
      </c>
      <c r="O11325" s="6">
        <v>65.69</v>
      </c>
      <c r="P11325" s="2" t="s">
        <v>32778</v>
      </c>
      <c r="Q11325" s="6">
        <v>100</v>
      </c>
      <c r="R11325" s="6">
        <v>100.31</v>
      </c>
      <c r="S11325" s="5">
        <v>42.3</v>
      </c>
      <c r="T11325" s="7">
        <v>262.512</v>
      </c>
      <c r="U11325" s="5">
        <v>8.6</v>
      </c>
      <c r="V11325" s="9">
        <v>1.1407</v>
      </c>
      <c r="W11325" s="6">
        <v>79.39</v>
      </c>
      <c r="X11325" s="6">
        <v>82.77</v>
      </c>
      <c r="Y11325" s="5">
        <v>85.1</v>
      </c>
      <c r="Z11325" s="6">
        <v>94.97</v>
      </c>
      <c r="AA11325" s="6">
        <v>36.76</v>
      </c>
      <c r="AB11325" s="7">
        <v>28.108000000000001</v>
      </c>
      <c r="AC11325" s="6">
        <v>650.74</v>
      </c>
    </row>
    <row r="11326" spans="1:29" ht="91" x14ac:dyDescent="0.15">
      <c r="A11326" s="3">
        <f>DATE(2015,12,15)</f>
        <v>42353</v>
      </c>
      <c r="B11326" s="3">
        <f>DATE(2016,3,30)</f>
        <v>42459</v>
      </c>
      <c r="C11326" s="2" t="s">
        <v>95</v>
      </c>
      <c r="D11326" s="2" t="s">
        <v>32779</v>
      </c>
      <c r="E11326" s="2" t="s">
        <v>92</v>
      </c>
      <c r="F11326" s="4">
        <v>6798</v>
      </c>
      <c r="G11326" s="2" t="s">
        <v>53</v>
      </c>
      <c r="H11326" s="2" t="s">
        <v>34</v>
      </c>
      <c r="I11326" s="2" t="s">
        <v>23066</v>
      </c>
      <c r="J11326" s="2" t="s">
        <v>3941</v>
      </c>
      <c r="K11326" s="2" t="s">
        <v>53</v>
      </c>
      <c r="L11326" s="2" t="s">
        <v>34</v>
      </c>
      <c r="M11326" s="2"/>
      <c r="N11326" s="2"/>
      <c r="O11326" s="2"/>
      <c r="P11326" s="2" t="s">
        <v>32780</v>
      </c>
      <c r="Q11326" s="6">
        <v>100</v>
      </c>
      <c r="R11326" s="6">
        <v>10.6</v>
      </c>
      <c r="S11326" s="5">
        <v>30.4</v>
      </c>
      <c r="T11326" s="6">
        <v>94.54</v>
      </c>
      <c r="U11326" s="5">
        <v>3.8</v>
      </c>
      <c r="V11326" s="7">
        <v>0.14599999999999999</v>
      </c>
      <c r="W11326" s="6">
        <v>9.8699999999999992</v>
      </c>
      <c r="X11326" s="6">
        <v>9.94</v>
      </c>
      <c r="Y11326" s="6">
        <v>10.64</v>
      </c>
      <c r="Z11326" s="6">
        <v>10.68</v>
      </c>
      <c r="AA11326" s="6">
        <v>100.58</v>
      </c>
      <c r="AB11326" s="7">
        <v>75.436999999999998</v>
      </c>
      <c r="AC11326" s="2"/>
    </row>
    <row r="11327" spans="1:29" ht="78" x14ac:dyDescent="0.15">
      <c r="A11327" s="3">
        <f>DATE(2015,12,16)</f>
        <v>42354</v>
      </c>
      <c r="B11327" s="2"/>
      <c r="C11327" s="2" t="s">
        <v>30</v>
      </c>
      <c r="D11327" s="2" t="s">
        <v>32781</v>
      </c>
      <c r="E11327" s="2" t="s">
        <v>32782</v>
      </c>
      <c r="F11327" s="4">
        <v>8711</v>
      </c>
      <c r="G11327" s="2" t="s">
        <v>223</v>
      </c>
      <c r="H11327" s="2" t="s">
        <v>34</v>
      </c>
      <c r="I11327" s="2" t="s">
        <v>32783</v>
      </c>
      <c r="J11327" s="2" t="s">
        <v>244</v>
      </c>
      <c r="K11327" s="2" t="s">
        <v>53</v>
      </c>
      <c r="L11327" s="2" t="s">
        <v>34</v>
      </c>
      <c r="M11327" s="2"/>
      <c r="N11327" s="2"/>
      <c r="O11327" s="2"/>
      <c r="P11327" s="2" t="s">
        <v>32784</v>
      </c>
      <c r="Q11327" s="2"/>
      <c r="R11327" s="6">
        <v>4.75</v>
      </c>
      <c r="S11327" s="5">
        <v>4.5999999999999996</v>
      </c>
      <c r="T11327" s="7">
        <v>42.344000000000001</v>
      </c>
      <c r="U11327" s="5">
        <v>2.2000000000000002</v>
      </c>
      <c r="V11327" s="9">
        <v>8.6300000000000002E-2</v>
      </c>
      <c r="W11327" s="6">
        <v>3.24</v>
      </c>
      <c r="X11327" s="6">
        <v>3.23</v>
      </c>
      <c r="Y11327" s="6">
        <v>3.64</v>
      </c>
      <c r="Z11327" s="5">
        <v>3.7</v>
      </c>
      <c r="AA11327" s="6">
        <v>51.56</v>
      </c>
      <c r="AB11327" s="7">
        <v>11.433</v>
      </c>
      <c r="AC11327" s="2"/>
    </row>
    <row r="11328" spans="1:29" ht="65" x14ac:dyDescent="0.15">
      <c r="A11328" s="3">
        <f>DATE(2015,12,17)</f>
        <v>42355</v>
      </c>
      <c r="B11328" s="2"/>
      <c r="C11328" s="2" t="s">
        <v>87</v>
      </c>
      <c r="D11328" s="2" t="s">
        <v>32785</v>
      </c>
      <c r="E11328" s="2" t="s">
        <v>3812</v>
      </c>
      <c r="F11328" s="4">
        <v>2834</v>
      </c>
      <c r="G11328" s="2" t="s">
        <v>130</v>
      </c>
      <c r="H11328" s="2" t="s">
        <v>34</v>
      </c>
      <c r="I11328" s="2" t="s">
        <v>143</v>
      </c>
      <c r="J11328" s="2" t="s">
        <v>144</v>
      </c>
      <c r="K11328" s="2" t="s">
        <v>53</v>
      </c>
      <c r="L11328" s="2" t="s">
        <v>139</v>
      </c>
      <c r="M11328" s="2"/>
      <c r="N11328" s="2"/>
      <c r="O11328" s="2"/>
      <c r="P11328" s="2" t="s">
        <v>32786</v>
      </c>
      <c r="Q11328" s="2"/>
      <c r="R11328" s="2"/>
      <c r="S11328" s="5">
        <v>-29.2</v>
      </c>
      <c r="T11328" s="7">
        <v>-37.786000000000001</v>
      </c>
      <c r="U11328" s="5">
        <v>-0.8</v>
      </c>
      <c r="V11328" s="9">
        <v>-0.67449999999999999</v>
      </c>
      <c r="W11328" s="6">
        <v>2.99</v>
      </c>
      <c r="X11328" s="6">
        <v>2.36</v>
      </c>
      <c r="Y11328" s="6">
        <v>2.96</v>
      </c>
      <c r="Z11328" s="6">
        <v>2.84</v>
      </c>
      <c r="AA11328" s="6">
        <v>44.55</v>
      </c>
      <c r="AB11328" s="2" t="s">
        <v>86</v>
      </c>
      <c r="AC11328" s="2"/>
    </row>
    <row r="11329" spans="1:29" ht="91" x14ac:dyDescent="0.15">
      <c r="A11329" s="3">
        <f>DATE(2015,12,17)</f>
        <v>42355</v>
      </c>
      <c r="B11329" s="3">
        <f>DATE(2016,5,23)</f>
        <v>42513</v>
      </c>
      <c r="C11329" s="2" t="s">
        <v>95</v>
      </c>
      <c r="D11329" s="2" t="s">
        <v>32787</v>
      </c>
      <c r="E11329" s="2" t="s">
        <v>29798</v>
      </c>
      <c r="F11329" s="4">
        <v>6021</v>
      </c>
      <c r="G11329" s="2" t="s">
        <v>37</v>
      </c>
      <c r="H11329" s="2" t="s">
        <v>34</v>
      </c>
      <c r="I11329" s="2" t="s">
        <v>31836</v>
      </c>
      <c r="J11329" s="2" t="s">
        <v>3780</v>
      </c>
      <c r="K11329" s="2" t="s">
        <v>37</v>
      </c>
      <c r="L11329" s="2" t="s">
        <v>34</v>
      </c>
      <c r="M11329" s="7">
        <v>15.276999999999999</v>
      </c>
      <c r="N11329" s="6">
        <v>6.55</v>
      </c>
      <c r="O11329" s="2"/>
      <c r="P11329" s="2" t="s">
        <v>32788</v>
      </c>
      <c r="Q11329" s="6">
        <v>100</v>
      </c>
      <c r="R11329" s="6">
        <v>10.5</v>
      </c>
      <c r="S11329" s="2"/>
      <c r="T11329" s="2"/>
      <c r="U11329" s="2"/>
      <c r="V11329" s="2"/>
      <c r="W11329" s="5">
        <v>5.9</v>
      </c>
      <c r="X11329" s="5">
        <v>5.9</v>
      </c>
      <c r="Y11329" s="5">
        <v>5.9</v>
      </c>
      <c r="Z11329" s="2"/>
      <c r="AA11329" s="6">
        <v>2.84</v>
      </c>
      <c r="AB11329" s="2" t="s">
        <v>47</v>
      </c>
      <c r="AC11329" s="2"/>
    </row>
    <row r="11330" spans="1:29" ht="130" x14ac:dyDescent="0.15">
      <c r="A11330" s="3">
        <f>DATE(2015,12,17)</f>
        <v>42355</v>
      </c>
      <c r="B11330" s="3">
        <f>DATE(2016,6,24)</f>
        <v>42545</v>
      </c>
      <c r="C11330" s="2" t="s">
        <v>95</v>
      </c>
      <c r="D11330" s="2" t="s">
        <v>32789</v>
      </c>
      <c r="E11330" s="2" t="s">
        <v>36</v>
      </c>
      <c r="F11330" s="4">
        <v>6022</v>
      </c>
      <c r="G11330" s="2" t="s">
        <v>37</v>
      </c>
      <c r="H11330" s="2" t="s">
        <v>34</v>
      </c>
      <c r="I11330" s="2" t="s">
        <v>31536</v>
      </c>
      <c r="J11330" s="2" t="s">
        <v>1181</v>
      </c>
      <c r="K11330" s="2" t="s">
        <v>37</v>
      </c>
      <c r="L11330" s="2" t="s">
        <v>34</v>
      </c>
      <c r="M11330" s="7">
        <v>651.73400000000004</v>
      </c>
      <c r="N11330" s="5">
        <v>20.100000000000001</v>
      </c>
      <c r="O11330" s="2"/>
      <c r="P11330" s="2" t="s">
        <v>32790</v>
      </c>
      <c r="Q11330" s="6">
        <v>100</v>
      </c>
      <c r="R11330" s="6">
        <v>18.57</v>
      </c>
      <c r="S11330" s="5">
        <v>12.7</v>
      </c>
      <c r="T11330" s="7">
        <v>23.155999999999999</v>
      </c>
      <c r="U11330" s="5">
        <v>8.9</v>
      </c>
      <c r="V11330" s="9">
        <v>0.99439999999999995</v>
      </c>
      <c r="W11330" s="6">
        <v>12.75</v>
      </c>
      <c r="X11330" s="6">
        <v>12.16</v>
      </c>
      <c r="Y11330" s="6">
        <v>17.010000000000002</v>
      </c>
      <c r="Z11330" s="6">
        <v>17.059999999999999</v>
      </c>
      <c r="AA11330" s="6">
        <v>11.86</v>
      </c>
      <c r="AB11330" s="7">
        <v>13.016</v>
      </c>
      <c r="AC11330" s="2"/>
    </row>
    <row r="11331" spans="1:29" ht="91" x14ac:dyDescent="0.15">
      <c r="A11331" s="3">
        <f>DATE(2015,12,21)</f>
        <v>42359</v>
      </c>
      <c r="B11331" s="2"/>
      <c r="C11331" s="2" t="s">
        <v>87</v>
      </c>
      <c r="D11331" s="2" t="s">
        <v>16693</v>
      </c>
      <c r="E11331" s="2" t="s">
        <v>1608</v>
      </c>
      <c r="F11331" s="4">
        <v>1311</v>
      </c>
      <c r="G11331" s="2" t="s">
        <v>148</v>
      </c>
      <c r="H11331" s="2" t="s">
        <v>34</v>
      </c>
      <c r="I11331" s="2" t="s">
        <v>32791</v>
      </c>
      <c r="J11331" s="2" t="s">
        <v>26626</v>
      </c>
      <c r="K11331" s="2" t="s">
        <v>148</v>
      </c>
      <c r="L11331" s="2" t="s">
        <v>455</v>
      </c>
      <c r="M11331" s="10">
        <v>96977.07</v>
      </c>
      <c r="N11331" s="7">
        <v>0.77900000000000003</v>
      </c>
      <c r="O11331" s="6">
        <v>0.78</v>
      </c>
      <c r="P11331" s="2" t="s">
        <v>32792</v>
      </c>
      <c r="Q11331" s="2"/>
      <c r="R11331" s="2"/>
      <c r="S11331" s="8">
        <v>-5845</v>
      </c>
      <c r="T11331" s="8">
        <v>4001</v>
      </c>
      <c r="U11331" s="5">
        <v>27.7</v>
      </c>
      <c r="V11331" s="9">
        <v>-11.5037</v>
      </c>
      <c r="W11331" s="6">
        <v>47.59</v>
      </c>
      <c r="X11331" s="6">
        <v>45.67</v>
      </c>
      <c r="Y11331" s="6">
        <v>46.55</v>
      </c>
      <c r="Z11331" s="6">
        <v>48.55</v>
      </c>
      <c r="AA11331" s="6">
        <v>508.14</v>
      </c>
      <c r="AB11331" s="2" t="s">
        <v>86</v>
      </c>
      <c r="AC11331" s="10">
        <v>8995.7099999999991</v>
      </c>
    </row>
    <row r="11332" spans="1:29" ht="117" x14ac:dyDescent="0.15">
      <c r="A11332" s="3">
        <f>DATE(2015,12,21)</f>
        <v>42359</v>
      </c>
      <c r="B11332" s="3">
        <f>DATE(2016,1,29)</f>
        <v>42398</v>
      </c>
      <c r="C11332" s="2" t="s">
        <v>95</v>
      </c>
      <c r="D11332" s="2" t="s">
        <v>32793</v>
      </c>
      <c r="E11332" s="2" t="s">
        <v>32794</v>
      </c>
      <c r="F11332" s="4">
        <v>6324</v>
      </c>
      <c r="G11332" s="2" t="s">
        <v>125</v>
      </c>
      <c r="H11332" s="2" t="s">
        <v>34</v>
      </c>
      <c r="I11332" s="2" t="s">
        <v>14439</v>
      </c>
      <c r="J11332" s="2" t="s">
        <v>14440</v>
      </c>
      <c r="K11332" s="2" t="s">
        <v>125</v>
      </c>
      <c r="L11332" s="2" t="s">
        <v>34</v>
      </c>
      <c r="M11332" s="2"/>
      <c r="N11332" s="2"/>
      <c r="O11332" s="2"/>
      <c r="P11332" s="2" t="s">
        <v>32795</v>
      </c>
      <c r="Q11332" s="6">
        <v>100</v>
      </c>
      <c r="R11332" s="6">
        <v>16.3</v>
      </c>
      <c r="S11332" s="2"/>
      <c r="T11332" s="2"/>
      <c r="U11332" s="2"/>
      <c r="V11332" s="2"/>
      <c r="W11332" s="5">
        <v>2.4</v>
      </c>
      <c r="X11332" s="5">
        <v>2.4</v>
      </c>
      <c r="Y11332" s="6">
        <v>15.01</v>
      </c>
      <c r="Z11332" s="6">
        <v>15.02</v>
      </c>
      <c r="AA11332" s="6">
        <v>7.62</v>
      </c>
      <c r="AB11332" s="2" t="s">
        <v>47</v>
      </c>
      <c r="AC11332" s="5">
        <v>765</v>
      </c>
    </row>
    <row r="11333" spans="1:29" ht="143" x14ac:dyDescent="0.15">
      <c r="A11333" s="3">
        <f>DATE(2015,12,29)</f>
        <v>42367</v>
      </c>
      <c r="B11333" s="2"/>
      <c r="C11333" s="2" t="s">
        <v>30</v>
      </c>
      <c r="D11333" s="2" t="s">
        <v>32709</v>
      </c>
      <c r="E11333" s="2" t="s">
        <v>2728</v>
      </c>
      <c r="F11333" s="4">
        <v>3674</v>
      </c>
      <c r="G11333" s="2" t="s">
        <v>137</v>
      </c>
      <c r="H11333" s="2" t="s">
        <v>34</v>
      </c>
      <c r="I11333" s="2" t="s">
        <v>32796</v>
      </c>
      <c r="J11333" s="2" t="s">
        <v>11337</v>
      </c>
      <c r="K11333" s="2" t="s">
        <v>53</v>
      </c>
      <c r="L11333" s="2" t="s">
        <v>34</v>
      </c>
      <c r="M11333" s="2"/>
      <c r="N11333" s="2"/>
      <c r="O11333" s="2"/>
      <c r="P11333" s="2" t="s">
        <v>32797</v>
      </c>
      <c r="Q11333" s="2"/>
      <c r="R11333" s="6">
        <v>21.7</v>
      </c>
      <c r="S11333" s="5">
        <v>-15.1</v>
      </c>
      <c r="T11333" s="5">
        <v>193.4</v>
      </c>
      <c r="U11333" s="5">
        <v>9.6999999999999993</v>
      </c>
      <c r="V11333" s="9">
        <v>-0.13089999999999999</v>
      </c>
      <c r="W11333" s="6">
        <v>20.079999999999998</v>
      </c>
      <c r="X11333" s="6">
        <v>19.98</v>
      </c>
      <c r="Y11333" s="6">
        <v>20.010000000000002</v>
      </c>
      <c r="Z11333" s="6">
        <v>20.75</v>
      </c>
      <c r="AA11333" s="6">
        <v>113.85</v>
      </c>
      <c r="AB11333" s="7">
        <v>39.073</v>
      </c>
      <c r="AC11333" s="2"/>
    </row>
    <row r="11334" spans="1:29" ht="52" x14ac:dyDescent="0.15">
      <c r="A11334" s="3">
        <f>DATE(2015,12,30)</f>
        <v>42368</v>
      </c>
      <c r="B11334" s="3">
        <f>DATE(2016,4,30)</f>
        <v>42490</v>
      </c>
      <c r="C11334" s="2" t="s">
        <v>95</v>
      </c>
      <c r="D11334" s="2" t="s">
        <v>32798</v>
      </c>
      <c r="E11334" s="2" t="s">
        <v>21800</v>
      </c>
      <c r="F11334" s="4">
        <v>6021</v>
      </c>
      <c r="G11334" s="2" t="s">
        <v>37</v>
      </c>
      <c r="H11334" s="2" t="s">
        <v>34</v>
      </c>
      <c r="I11334" s="2" t="s">
        <v>32799</v>
      </c>
      <c r="J11334" s="2" t="s">
        <v>263</v>
      </c>
      <c r="K11334" s="2" t="s">
        <v>37</v>
      </c>
      <c r="L11334" s="2" t="s">
        <v>34</v>
      </c>
      <c r="M11334" s="7">
        <v>52.411000000000001</v>
      </c>
      <c r="N11334" s="6">
        <v>23.69</v>
      </c>
      <c r="O11334" s="4">
        <v>24</v>
      </c>
      <c r="P11334" s="2" t="s">
        <v>32800</v>
      </c>
      <c r="Q11334" s="6">
        <v>100</v>
      </c>
      <c r="R11334" s="6">
        <v>42.67</v>
      </c>
      <c r="S11334" s="2"/>
      <c r="T11334" s="2"/>
      <c r="U11334" s="2"/>
      <c r="V11334" s="2"/>
      <c r="W11334" s="4">
        <v>23</v>
      </c>
      <c r="X11334" s="4">
        <v>23</v>
      </c>
      <c r="Y11334" s="4">
        <v>23</v>
      </c>
      <c r="Z11334" s="4">
        <v>41</v>
      </c>
      <c r="AA11334" s="6">
        <v>0.31</v>
      </c>
      <c r="AB11334" s="2" t="s">
        <v>47</v>
      </c>
      <c r="AC11334" s="2"/>
    </row>
    <row r="11335" spans="1:29" ht="156" x14ac:dyDescent="0.15">
      <c r="A11335" s="3">
        <f>DATE(2016,1,5)</f>
        <v>42374</v>
      </c>
      <c r="B11335" s="3">
        <f>DATE(2016,5,2)</f>
        <v>42492</v>
      </c>
      <c r="C11335" s="2" t="s">
        <v>95</v>
      </c>
      <c r="D11335" s="2" t="s">
        <v>31678</v>
      </c>
      <c r="E11335" s="2" t="s">
        <v>672</v>
      </c>
      <c r="F11335" s="4">
        <v>6021</v>
      </c>
      <c r="G11335" s="2" t="s">
        <v>37</v>
      </c>
      <c r="H11335" s="2" t="s">
        <v>34</v>
      </c>
      <c r="I11335" s="2" t="s">
        <v>27543</v>
      </c>
      <c r="J11335" s="2" t="s">
        <v>22484</v>
      </c>
      <c r="K11335" s="2" t="s">
        <v>33</v>
      </c>
      <c r="L11335" s="2" t="s">
        <v>34</v>
      </c>
      <c r="M11335" s="7">
        <v>335.40600000000001</v>
      </c>
      <c r="N11335" s="6">
        <v>19.95</v>
      </c>
      <c r="O11335" s="6">
        <v>19.04</v>
      </c>
      <c r="P11335" s="2" t="s">
        <v>32801</v>
      </c>
      <c r="Q11335" s="6">
        <v>100</v>
      </c>
      <c r="R11335" s="6">
        <v>14.79</v>
      </c>
      <c r="S11335" s="5">
        <v>12.2</v>
      </c>
      <c r="T11335" s="7">
        <v>19.298999999999999</v>
      </c>
      <c r="U11335" s="5">
        <v>12.4</v>
      </c>
      <c r="V11335" s="9">
        <v>0.95569999999999999</v>
      </c>
      <c r="W11335" s="6">
        <v>12.29</v>
      </c>
      <c r="X11335" s="6">
        <v>12.36</v>
      </c>
      <c r="Y11335" s="6">
        <v>12.39</v>
      </c>
      <c r="Z11335" s="6">
        <v>14.06</v>
      </c>
      <c r="AA11335" s="6">
        <v>13.56</v>
      </c>
      <c r="AB11335" s="7">
        <v>17.196999999999999</v>
      </c>
      <c r="AC11335" s="2"/>
    </row>
    <row r="11336" spans="1:29" ht="104" x14ac:dyDescent="0.15">
      <c r="A11336" s="3">
        <f>DATE(2016,1,6)</f>
        <v>42375</v>
      </c>
      <c r="B11336" s="3">
        <f>DATE(2016,6,13)</f>
        <v>42534</v>
      </c>
      <c r="C11336" s="2" t="s">
        <v>95</v>
      </c>
      <c r="D11336" s="2" t="s">
        <v>32802</v>
      </c>
      <c r="E11336" s="2" t="s">
        <v>29798</v>
      </c>
      <c r="F11336" s="4">
        <v>6022</v>
      </c>
      <c r="G11336" s="2" t="s">
        <v>37</v>
      </c>
      <c r="H11336" s="2" t="s">
        <v>34</v>
      </c>
      <c r="I11336" s="2" t="s">
        <v>2605</v>
      </c>
      <c r="J11336" s="2" t="s">
        <v>29798</v>
      </c>
      <c r="K11336" s="2" t="s">
        <v>37</v>
      </c>
      <c r="L11336" s="2" t="s">
        <v>34</v>
      </c>
      <c r="M11336" s="7">
        <v>156.52799999999999</v>
      </c>
      <c r="N11336" s="6">
        <v>18.03</v>
      </c>
      <c r="O11336" s="6">
        <v>17.59</v>
      </c>
      <c r="P11336" s="2" t="s">
        <v>32803</v>
      </c>
      <c r="Q11336" s="6">
        <v>100</v>
      </c>
      <c r="R11336" s="6">
        <v>8.76</v>
      </c>
      <c r="S11336" s="5">
        <v>0.4</v>
      </c>
      <c r="T11336" s="7">
        <v>0.747</v>
      </c>
      <c r="U11336" s="5">
        <v>6.8</v>
      </c>
      <c r="V11336" s="7">
        <v>0.11899999999999999</v>
      </c>
      <c r="W11336" s="6">
        <v>5.95</v>
      </c>
      <c r="X11336" s="6">
        <v>5.95</v>
      </c>
      <c r="Y11336" s="4">
        <v>8</v>
      </c>
      <c r="Z11336" s="6">
        <v>8.06</v>
      </c>
      <c r="AA11336" s="6">
        <v>1.77</v>
      </c>
      <c r="AB11336" s="7">
        <v>41.140999999999998</v>
      </c>
      <c r="AC11336" s="2"/>
    </row>
    <row r="11337" spans="1:29" ht="130" x14ac:dyDescent="0.15">
      <c r="A11337" s="3">
        <f>DATE(2016,1,8)</f>
        <v>42377</v>
      </c>
      <c r="B11337" s="3">
        <f>DATE(2016,3,31)</f>
        <v>42460</v>
      </c>
      <c r="C11337" s="2" t="s">
        <v>95</v>
      </c>
      <c r="D11337" s="2" t="s">
        <v>32804</v>
      </c>
      <c r="E11337" s="2" t="s">
        <v>15018</v>
      </c>
      <c r="F11337" s="4">
        <v>3826</v>
      </c>
      <c r="G11337" s="2" t="s">
        <v>226</v>
      </c>
      <c r="H11337" s="2" t="s">
        <v>34</v>
      </c>
      <c r="I11337" s="2" t="s">
        <v>28846</v>
      </c>
      <c r="J11337" s="2" t="s">
        <v>28847</v>
      </c>
      <c r="K11337" s="2" t="s">
        <v>226</v>
      </c>
      <c r="L11337" s="2" t="s">
        <v>34</v>
      </c>
      <c r="M11337" s="12">
        <v>53558.911</v>
      </c>
      <c r="N11337" s="6">
        <v>134.16</v>
      </c>
      <c r="O11337" s="6">
        <v>134.88</v>
      </c>
      <c r="P11337" s="2" t="s">
        <v>32805</v>
      </c>
      <c r="Q11337" s="6">
        <v>100</v>
      </c>
      <c r="R11337" s="6">
        <v>14</v>
      </c>
      <c r="S11337" s="5">
        <v>10.1</v>
      </c>
      <c r="T11337" s="7">
        <v>48.540999999999997</v>
      </c>
      <c r="U11337" s="5">
        <v>4.2</v>
      </c>
      <c r="V11337" s="6">
        <v>0.13</v>
      </c>
      <c r="W11337" s="6">
        <v>10.09</v>
      </c>
      <c r="X11337" s="6">
        <v>9.34</v>
      </c>
      <c r="Y11337" s="6">
        <v>9.2100000000000009</v>
      </c>
      <c r="Z11337" s="6">
        <v>13.96</v>
      </c>
      <c r="AA11337" s="6">
        <v>79.97</v>
      </c>
      <c r="AB11337" s="7">
        <v>42.853999999999999</v>
      </c>
      <c r="AC11337" s="5">
        <v>465.7</v>
      </c>
    </row>
    <row r="11338" spans="1:29" ht="143" x14ac:dyDescent="0.15">
      <c r="A11338" s="3">
        <f>DATE(2016,1,13)</f>
        <v>42382</v>
      </c>
      <c r="B11338" s="3">
        <f>DATE(2016,4,4)</f>
        <v>42464</v>
      </c>
      <c r="C11338" s="2" t="s">
        <v>95</v>
      </c>
      <c r="D11338" s="2" t="s">
        <v>24094</v>
      </c>
      <c r="E11338" s="2" t="s">
        <v>10974</v>
      </c>
      <c r="F11338" s="4">
        <v>3674</v>
      </c>
      <c r="G11338" s="2" t="s">
        <v>137</v>
      </c>
      <c r="H11338" s="2" t="s">
        <v>34</v>
      </c>
      <c r="I11338" s="2" t="s">
        <v>17961</v>
      </c>
      <c r="J11338" s="2" t="s">
        <v>10974</v>
      </c>
      <c r="K11338" s="2" t="s">
        <v>137</v>
      </c>
      <c r="L11338" s="2" t="s">
        <v>34</v>
      </c>
      <c r="M11338" s="12">
        <v>9569.0930000000008</v>
      </c>
      <c r="N11338" s="6">
        <v>41.31</v>
      </c>
      <c r="O11338" s="6">
        <v>42.04</v>
      </c>
      <c r="P11338" s="2" t="s">
        <v>32806</v>
      </c>
      <c r="Q11338" s="6">
        <v>100</v>
      </c>
      <c r="R11338" s="6">
        <v>8.15</v>
      </c>
      <c r="S11338" s="5">
        <v>26.9</v>
      </c>
      <c r="T11338" s="7">
        <v>121.28400000000001</v>
      </c>
      <c r="U11338" s="5">
        <v>2.1</v>
      </c>
      <c r="V11338" s="7">
        <v>6.4000000000000001E-2</v>
      </c>
      <c r="W11338" s="6">
        <v>8.26</v>
      </c>
      <c r="X11338" s="6">
        <v>7.27</v>
      </c>
      <c r="Y11338" s="6">
        <v>8.19</v>
      </c>
      <c r="Z11338" s="6">
        <v>8.19</v>
      </c>
      <c r="AA11338" s="6">
        <v>420.3</v>
      </c>
      <c r="AB11338" s="7">
        <v>49.610999999999997</v>
      </c>
      <c r="AC11338" s="8">
        <v>1007.9</v>
      </c>
    </row>
    <row r="11339" spans="1:29" ht="52" x14ac:dyDescent="0.15">
      <c r="A11339" s="3">
        <f>DATE(2016,1,13)</f>
        <v>42382</v>
      </c>
      <c r="B11339" s="3">
        <f>DATE(2016,6,17)</f>
        <v>42538</v>
      </c>
      <c r="C11339" s="2" t="s">
        <v>95</v>
      </c>
      <c r="D11339" s="2" t="s">
        <v>32807</v>
      </c>
      <c r="E11339" s="2" t="s">
        <v>21800</v>
      </c>
      <c r="F11339" s="4">
        <v>6021</v>
      </c>
      <c r="G11339" s="2" t="s">
        <v>37</v>
      </c>
      <c r="H11339" s="2" t="s">
        <v>34</v>
      </c>
      <c r="I11339" s="2" t="s">
        <v>32808</v>
      </c>
      <c r="J11339" s="2" t="s">
        <v>29798</v>
      </c>
      <c r="K11339" s="2" t="s">
        <v>37</v>
      </c>
      <c r="L11339" s="2" t="s">
        <v>34</v>
      </c>
      <c r="M11339" s="2"/>
      <c r="N11339" s="2"/>
      <c r="O11339" s="2"/>
      <c r="P11339" s="2" t="s">
        <v>32809</v>
      </c>
      <c r="Q11339" s="6">
        <v>100</v>
      </c>
      <c r="R11339" s="2"/>
      <c r="S11339" s="2"/>
      <c r="T11339" s="2"/>
      <c r="U11339" s="2"/>
      <c r="V11339" s="2"/>
      <c r="W11339" s="6">
        <v>15.81</v>
      </c>
      <c r="X11339" s="6">
        <v>15.81</v>
      </c>
      <c r="Y11339" s="6">
        <v>15.81</v>
      </c>
      <c r="Z11339" s="6">
        <v>26.95</v>
      </c>
      <c r="AA11339" s="2"/>
      <c r="AB11339" s="2" t="s">
        <v>47</v>
      </c>
      <c r="AC11339" s="2"/>
    </row>
    <row r="11340" spans="1:29" ht="65" x14ac:dyDescent="0.15">
      <c r="A11340" s="3">
        <f>DATE(2016,1,14)</f>
        <v>42383</v>
      </c>
      <c r="B11340" s="2"/>
      <c r="C11340" s="2" t="s">
        <v>87</v>
      </c>
      <c r="D11340" s="2" t="s">
        <v>20356</v>
      </c>
      <c r="E11340" s="2" t="s">
        <v>9115</v>
      </c>
      <c r="F11340" s="4">
        <v>7372</v>
      </c>
      <c r="G11340" s="2" t="s">
        <v>551</v>
      </c>
      <c r="H11340" s="2" t="s">
        <v>34</v>
      </c>
      <c r="I11340" s="2" t="s">
        <v>143</v>
      </c>
      <c r="J11340" s="2" t="s">
        <v>144</v>
      </c>
      <c r="K11340" s="2" t="s">
        <v>53</v>
      </c>
      <c r="L11340" s="2" t="s">
        <v>139</v>
      </c>
      <c r="M11340" s="2"/>
      <c r="N11340" s="2"/>
      <c r="O11340" s="2"/>
      <c r="P11340" s="2" t="s">
        <v>32810</v>
      </c>
      <c r="Q11340" s="2"/>
      <c r="R11340" s="2"/>
      <c r="S11340" s="5">
        <v>-8.8000000000000007</v>
      </c>
      <c r="T11340" s="7">
        <v>73.662000000000006</v>
      </c>
      <c r="U11340" s="5">
        <v>10.3</v>
      </c>
      <c r="V11340" s="9">
        <v>-0.17469999999999999</v>
      </c>
      <c r="W11340" s="5">
        <v>23.8</v>
      </c>
      <c r="X11340" s="5">
        <v>23.2</v>
      </c>
      <c r="Y11340" s="6">
        <v>25.01</v>
      </c>
      <c r="Z11340" s="6">
        <v>26.23</v>
      </c>
      <c r="AA11340" s="6">
        <v>50.22</v>
      </c>
      <c r="AB11340" s="2" t="s">
        <v>47</v>
      </c>
      <c r="AC11340" s="2"/>
    </row>
    <row r="11341" spans="1:29" ht="182" x14ac:dyDescent="0.15">
      <c r="A11341" s="3">
        <f>DATE(2016,1,15)</f>
        <v>42384</v>
      </c>
      <c r="B11341" s="3">
        <f>DATE(2017,5,16)</f>
        <v>42871</v>
      </c>
      <c r="C11341" s="2" t="s">
        <v>95</v>
      </c>
      <c r="D11341" s="2" t="s">
        <v>32811</v>
      </c>
      <c r="E11341" s="2" t="s">
        <v>32812</v>
      </c>
      <c r="F11341" s="4">
        <v>2023</v>
      </c>
      <c r="G11341" s="2" t="s">
        <v>577</v>
      </c>
      <c r="H11341" s="2" t="s">
        <v>34</v>
      </c>
      <c r="I11341" s="2" t="s">
        <v>51</v>
      </c>
      <c r="J11341" s="2" t="s">
        <v>52</v>
      </c>
      <c r="K11341" s="2" t="s">
        <v>53</v>
      </c>
      <c r="L11341" s="2" t="s">
        <v>455</v>
      </c>
      <c r="M11341" s="2"/>
      <c r="N11341" s="2"/>
      <c r="O11341" s="2"/>
      <c r="P11341" s="2" t="s">
        <v>32813</v>
      </c>
      <c r="Q11341" s="6">
        <v>37.049999999999997</v>
      </c>
      <c r="R11341" s="6">
        <v>6.05</v>
      </c>
      <c r="S11341" s="5">
        <v>44.2</v>
      </c>
      <c r="T11341" s="7">
        <v>79.525999999999996</v>
      </c>
      <c r="U11341" s="5">
        <v>2.2999999999999998</v>
      </c>
      <c r="V11341" s="9">
        <v>0.77280000000000004</v>
      </c>
      <c r="W11341" s="6">
        <v>3.98</v>
      </c>
      <c r="X11341" s="6">
        <v>3.83</v>
      </c>
      <c r="Y11341" s="6">
        <v>4.8499999999999996</v>
      </c>
      <c r="Z11341" s="6">
        <v>5.0199999999999996</v>
      </c>
      <c r="AA11341" s="6">
        <v>57.19</v>
      </c>
      <c r="AB11341" s="7">
        <v>9.5449999999999999</v>
      </c>
      <c r="AC11341" s="2"/>
    </row>
    <row r="11342" spans="1:29" ht="117" x14ac:dyDescent="0.15">
      <c r="A11342" s="3">
        <f>DATE(2016,1,19)</f>
        <v>42388</v>
      </c>
      <c r="B11342" s="3">
        <f>DATE(2016,7,6)</f>
        <v>42557</v>
      </c>
      <c r="C11342" s="2" t="s">
        <v>95</v>
      </c>
      <c r="D11342" s="2" t="s">
        <v>32814</v>
      </c>
      <c r="E11342" s="2" t="s">
        <v>92</v>
      </c>
      <c r="F11342" s="4">
        <v>6798</v>
      </c>
      <c r="G11342" s="2" t="s">
        <v>53</v>
      </c>
      <c r="H11342" s="2" t="s">
        <v>34</v>
      </c>
      <c r="I11342" s="2" t="s">
        <v>25034</v>
      </c>
      <c r="J11342" s="2" t="s">
        <v>25035</v>
      </c>
      <c r="K11342" s="2" t="s">
        <v>53</v>
      </c>
      <c r="L11342" s="2" t="s">
        <v>902</v>
      </c>
      <c r="M11342" s="12">
        <v>31168.242999999999</v>
      </c>
      <c r="N11342" s="7">
        <v>27.722000000000001</v>
      </c>
      <c r="O11342" s="7">
        <v>27.390999999999998</v>
      </c>
      <c r="P11342" s="2" t="s">
        <v>32815</v>
      </c>
      <c r="Q11342" s="6">
        <v>68.5</v>
      </c>
      <c r="R11342" s="6">
        <v>18.25</v>
      </c>
      <c r="S11342" s="5">
        <v>41.7</v>
      </c>
      <c r="T11342" s="7">
        <v>123.592</v>
      </c>
      <c r="U11342" s="5">
        <v>9</v>
      </c>
      <c r="V11342" s="9">
        <v>0.70020000000000004</v>
      </c>
      <c r="W11342" s="6">
        <v>14.11</v>
      </c>
      <c r="X11342" s="6">
        <v>13.49</v>
      </c>
      <c r="Y11342" s="5">
        <v>17.5</v>
      </c>
      <c r="Z11342" s="6">
        <v>17.309999999999999</v>
      </c>
      <c r="AA11342" s="6">
        <v>58.02</v>
      </c>
      <c r="AB11342" s="7">
        <v>174.29</v>
      </c>
      <c r="AC11342" s="10">
        <v>8914.61</v>
      </c>
    </row>
    <row r="11343" spans="1:29" ht="234" x14ac:dyDescent="0.15">
      <c r="A11343" s="3">
        <f>DATE(2016,1,19)</f>
        <v>42388</v>
      </c>
      <c r="B11343" s="3">
        <f>DATE(2016,6,1)</f>
        <v>42522</v>
      </c>
      <c r="C11343" s="2" t="s">
        <v>95</v>
      </c>
      <c r="D11343" s="2" t="s">
        <v>32816</v>
      </c>
      <c r="E11343" s="2" t="s">
        <v>32817</v>
      </c>
      <c r="F11343" s="4">
        <v>4953</v>
      </c>
      <c r="G11343" s="2" t="s">
        <v>116</v>
      </c>
      <c r="H11343" s="2" t="s">
        <v>34</v>
      </c>
      <c r="I11343" s="2" t="s">
        <v>32818</v>
      </c>
      <c r="J11343" s="2" t="s">
        <v>12280</v>
      </c>
      <c r="K11343" s="2" t="s">
        <v>116</v>
      </c>
      <c r="L11343" s="2" t="s">
        <v>902</v>
      </c>
      <c r="M11343" s="12">
        <v>2532.8870000000002</v>
      </c>
      <c r="N11343" s="7">
        <v>25.643000000000001</v>
      </c>
      <c r="O11343" s="7">
        <v>27.087</v>
      </c>
      <c r="P11343" s="2" t="s">
        <v>32819</v>
      </c>
      <c r="Q11343" s="6">
        <v>100</v>
      </c>
      <c r="R11343" s="6">
        <v>48.46</v>
      </c>
      <c r="S11343" s="5">
        <v>-95.8</v>
      </c>
      <c r="T11343" s="7">
        <v>706.62900000000002</v>
      </c>
      <c r="U11343" s="5">
        <v>16.2</v>
      </c>
      <c r="V11343" s="9">
        <v>-0.77549999999999997</v>
      </c>
      <c r="W11343" s="6">
        <v>56.65</v>
      </c>
      <c r="X11343" s="6">
        <v>56.32</v>
      </c>
      <c r="Y11343" s="6">
        <v>54.82</v>
      </c>
      <c r="Z11343" s="4">
        <v>55</v>
      </c>
      <c r="AA11343" s="6">
        <v>122.37</v>
      </c>
      <c r="AB11343" s="7">
        <v>18.600999999999999</v>
      </c>
      <c r="AC11343" s="6">
        <v>36.26</v>
      </c>
    </row>
    <row r="11344" spans="1:29" ht="65" x14ac:dyDescent="0.15">
      <c r="A11344" s="3">
        <f>DATE(2016,1,20)</f>
        <v>42389</v>
      </c>
      <c r="B11344" s="2"/>
      <c r="C11344" s="2" t="s">
        <v>87</v>
      </c>
      <c r="D11344" s="2" t="s">
        <v>27294</v>
      </c>
      <c r="E11344" s="2" t="s">
        <v>13055</v>
      </c>
      <c r="F11344" s="4">
        <v>2834</v>
      </c>
      <c r="G11344" s="2" t="s">
        <v>130</v>
      </c>
      <c r="H11344" s="2" t="s">
        <v>34</v>
      </c>
      <c r="I11344" s="2" t="s">
        <v>143</v>
      </c>
      <c r="J11344" s="2" t="s">
        <v>144</v>
      </c>
      <c r="K11344" s="2" t="s">
        <v>53</v>
      </c>
      <c r="L11344" s="2" t="s">
        <v>139</v>
      </c>
      <c r="M11344" s="2"/>
      <c r="N11344" s="2"/>
      <c r="O11344" s="2"/>
      <c r="P11344" s="2" t="s">
        <v>32820</v>
      </c>
      <c r="Q11344" s="2"/>
      <c r="R11344" s="2"/>
      <c r="S11344" s="5">
        <v>-352.8</v>
      </c>
      <c r="T11344" s="7">
        <v>-237.636</v>
      </c>
      <c r="U11344" s="5">
        <v>10.5</v>
      </c>
      <c r="V11344" s="9">
        <v>-3.3218999999999999</v>
      </c>
      <c r="W11344" s="5">
        <v>32.6</v>
      </c>
      <c r="X11344" s="6">
        <v>31.51</v>
      </c>
      <c r="Y11344" s="6">
        <v>36.06</v>
      </c>
      <c r="Z11344" s="6">
        <v>35.56</v>
      </c>
      <c r="AA11344" s="2"/>
      <c r="AB11344" s="2" t="s">
        <v>86</v>
      </c>
      <c r="AC11344" s="2"/>
    </row>
    <row r="11345" spans="1:29" ht="104" x14ac:dyDescent="0.15">
      <c r="A11345" s="3">
        <f>DATE(2016,1,20)</f>
        <v>42389</v>
      </c>
      <c r="B11345" s="2"/>
      <c r="C11345" s="2" t="s">
        <v>87</v>
      </c>
      <c r="D11345" s="2" t="s">
        <v>32821</v>
      </c>
      <c r="E11345" s="2" t="s">
        <v>32822</v>
      </c>
      <c r="F11345" s="4">
        <v>7371</v>
      </c>
      <c r="G11345" s="2" t="s">
        <v>223</v>
      </c>
      <c r="H11345" s="2" t="s">
        <v>34</v>
      </c>
      <c r="I11345" s="2" t="s">
        <v>51</v>
      </c>
      <c r="J11345" s="2" t="s">
        <v>52</v>
      </c>
      <c r="K11345" s="2" t="s">
        <v>53</v>
      </c>
      <c r="L11345" s="2" t="s">
        <v>455</v>
      </c>
      <c r="M11345" s="2"/>
      <c r="N11345" s="2"/>
      <c r="O11345" s="2"/>
      <c r="P11345" s="2" t="s">
        <v>32823</v>
      </c>
      <c r="Q11345" s="2"/>
      <c r="R11345" s="2"/>
      <c r="S11345" s="5">
        <v>122.6</v>
      </c>
      <c r="T11345" s="7">
        <v>275.64100000000002</v>
      </c>
      <c r="U11345" s="5">
        <v>20.8</v>
      </c>
      <c r="V11345" s="9">
        <v>3.1905999999999999</v>
      </c>
      <c r="W11345" s="6">
        <v>64.03</v>
      </c>
      <c r="X11345" s="6">
        <v>62.05</v>
      </c>
      <c r="Y11345" s="6">
        <v>78.55</v>
      </c>
      <c r="Z11345" s="6">
        <v>71.95</v>
      </c>
      <c r="AA11345" s="6">
        <v>36.229999999999997</v>
      </c>
      <c r="AB11345" s="2" t="s">
        <v>47</v>
      </c>
      <c r="AC11345" s="2"/>
    </row>
    <row r="11346" spans="1:29" ht="208" x14ac:dyDescent="0.15">
      <c r="A11346" s="3">
        <f>DATE(2016,1,25)</f>
        <v>42394</v>
      </c>
      <c r="B11346" s="3">
        <f>DATE(2016,9,2)</f>
        <v>42615</v>
      </c>
      <c r="C11346" s="2" t="s">
        <v>95</v>
      </c>
      <c r="D11346" s="2" t="s">
        <v>23265</v>
      </c>
      <c r="E11346" s="2" t="s">
        <v>23266</v>
      </c>
      <c r="F11346" s="4">
        <v>3585</v>
      </c>
      <c r="G11346" s="2" t="s">
        <v>300</v>
      </c>
      <c r="H11346" s="2" t="s">
        <v>34</v>
      </c>
      <c r="I11346" s="2" t="s">
        <v>32824</v>
      </c>
      <c r="J11346" s="2" t="s">
        <v>32825</v>
      </c>
      <c r="K11346" s="2" t="s">
        <v>223</v>
      </c>
      <c r="L11346" s="2" t="s">
        <v>7645</v>
      </c>
      <c r="M11346" s="12">
        <v>34532.673999999999</v>
      </c>
      <c r="N11346" s="6">
        <v>34.15</v>
      </c>
      <c r="O11346" s="6">
        <v>33.979999999999997</v>
      </c>
      <c r="P11346" s="2" t="s">
        <v>32826</v>
      </c>
      <c r="Q11346" s="6">
        <v>100</v>
      </c>
      <c r="R11346" s="6">
        <v>34.880000000000003</v>
      </c>
      <c r="S11346" s="8">
        <v>1506</v>
      </c>
      <c r="T11346" s="8">
        <v>3215</v>
      </c>
      <c r="U11346" s="5">
        <v>16.2</v>
      </c>
      <c r="V11346" s="9">
        <v>2.1013999999999999</v>
      </c>
      <c r="W11346" s="6">
        <v>34.71</v>
      </c>
      <c r="X11346" s="5">
        <v>35.6</v>
      </c>
      <c r="Y11346" s="6">
        <v>34.21</v>
      </c>
      <c r="Z11346" s="6">
        <v>34.21</v>
      </c>
      <c r="AA11346" s="6">
        <v>648.26</v>
      </c>
      <c r="AB11346" s="7">
        <v>11.773</v>
      </c>
      <c r="AC11346" s="5">
        <v>301</v>
      </c>
    </row>
    <row r="11347" spans="1:29" ht="143" x14ac:dyDescent="0.15">
      <c r="A11347" s="3">
        <f>DATE(2016,1,26)</f>
        <v>42395</v>
      </c>
      <c r="B11347" s="3">
        <f>DATE(2016,8,16)</f>
        <v>42598</v>
      </c>
      <c r="C11347" s="2" t="s">
        <v>95</v>
      </c>
      <c r="D11347" s="2" t="s">
        <v>7285</v>
      </c>
      <c r="E11347" s="2" t="s">
        <v>3426</v>
      </c>
      <c r="F11347" s="4">
        <v>6021</v>
      </c>
      <c r="G11347" s="2" t="s">
        <v>37</v>
      </c>
      <c r="H11347" s="2" t="s">
        <v>34</v>
      </c>
      <c r="I11347" s="2" t="s">
        <v>390</v>
      </c>
      <c r="J11347" s="2" t="s">
        <v>159</v>
      </c>
      <c r="K11347" s="2" t="s">
        <v>37</v>
      </c>
      <c r="L11347" s="2" t="s">
        <v>34</v>
      </c>
      <c r="M11347" s="12">
        <v>9002.2520000000004</v>
      </c>
      <c r="N11347" s="6">
        <v>8.0500000000000007</v>
      </c>
      <c r="O11347" s="6">
        <v>8.26</v>
      </c>
      <c r="P11347" s="2" t="s">
        <v>32827</v>
      </c>
      <c r="Q11347" s="6">
        <v>100</v>
      </c>
      <c r="R11347" s="6">
        <v>20.14</v>
      </c>
      <c r="S11347" s="5">
        <v>227.6</v>
      </c>
      <c r="T11347" s="7">
        <v>367.20299999999997</v>
      </c>
      <c r="U11347" s="5">
        <v>17.100000000000001</v>
      </c>
      <c r="V11347" s="7">
        <v>1.335</v>
      </c>
      <c r="W11347" s="6">
        <v>16.29</v>
      </c>
      <c r="X11347" s="6">
        <v>16.079999999999998</v>
      </c>
      <c r="Y11347" s="6">
        <v>15.37</v>
      </c>
      <c r="Z11347" s="6">
        <v>18.190000000000001</v>
      </c>
      <c r="AA11347" s="6">
        <v>165.76</v>
      </c>
      <c r="AB11347" s="7">
        <v>17.030999999999999</v>
      </c>
      <c r="AC11347" s="2"/>
    </row>
    <row r="11348" spans="1:29" ht="143" x14ac:dyDescent="0.15">
      <c r="A11348" s="3">
        <f>DATE(2016,1,26)</f>
        <v>42395</v>
      </c>
      <c r="B11348" s="3">
        <f>DATE(2016,8,31)</f>
        <v>42613</v>
      </c>
      <c r="C11348" s="2" t="s">
        <v>95</v>
      </c>
      <c r="D11348" s="2" t="s">
        <v>32828</v>
      </c>
      <c r="E11348" s="2" t="s">
        <v>31513</v>
      </c>
      <c r="F11348" s="4">
        <v>6022</v>
      </c>
      <c r="G11348" s="2" t="s">
        <v>37</v>
      </c>
      <c r="H11348" s="2" t="s">
        <v>34</v>
      </c>
      <c r="I11348" s="2" t="s">
        <v>17475</v>
      </c>
      <c r="J11348" s="2" t="s">
        <v>263</v>
      </c>
      <c r="K11348" s="2" t="s">
        <v>37</v>
      </c>
      <c r="L11348" s="2" t="s">
        <v>34</v>
      </c>
      <c r="M11348" s="12">
        <v>1340.837</v>
      </c>
      <c r="N11348" s="6">
        <v>29.92</v>
      </c>
      <c r="O11348" s="5">
        <v>29.7</v>
      </c>
      <c r="P11348" s="2" t="s">
        <v>32829</v>
      </c>
      <c r="Q11348" s="6">
        <v>100</v>
      </c>
      <c r="R11348" s="6">
        <v>15.64</v>
      </c>
      <c r="S11348" s="2"/>
      <c r="T11348" s="2"/>
      <c r="U11348" s="2"/>
      <c r="V11348" s="2"/>
      <c r="W11348" s="6">
        <v>16.63</v>
      </c>
      <c r="X11348" s="4">
        <v>16</v>
      </c>
      <c r="Y11348" s="6">
        <v>15.19</v>
      </c>
      <c r="Z11348" s="6">
        <v>14.98</v>
      </c>
      <c r="AA11348" s="6">
        <v>66.13</v>
      </c>
      <c r="AB11348" s="2" t="s">
        <v>47</v>
      </c>
      <c r="AC11348" s="2"/>
    </row>
    <row r="11349" spans="1:29" ht="156" x14ac:dyDescent="0.15">
      <c r="A11349" s="3">
        <f>DATE(2016,1,26)</f>
        <v>42395</v>
      </c>
      <c r="B11349" s="2"/>
      <c r="C11349" s="2" t="s">
        <v>30</v>
      </c>
      <c r="D11349" s="2" t="s">
        <v>19054</v>
      </c>
      <c r="E11349" s="2" t="s">
        <v>19055</v>
      </c>
      <c r="F11349" s="4">
        <v>3536</v>
      </c>
      <c r="G11349" s="2" t="s">
        <v>300</v>
      </c>
      <c r="H11349" s="2" t="s">
        <v>34</v>
      </c>
      <c r="I11349" s="2" t="s">
        <v>32830</v>
      </c>
      <c r="J11349" s="2" t="s">
        <v>18240</v>
      </c>
      <c r="K11349" s="2" t="s">
        <v>300</v>
      </c>
      <c r="L11349" s="2" t="s">
        <v>455</v>
      </c>
      <c r="M11349" s="12">
        <v>6419.893</v>
      </c>
      <c r="N11349" s="7">
        <v>0.64400000000000002</v>
      </c>
      <c r="O11349" s="7">
        <v>0.65200000000000002</v>
      </c>
      <c r="P11349" s="2" t="s">
        <v>32831</v>
      </c>
      <c r="Q11349" s="2"/>
      <c r="R11349" s="6">
        <v>31</v>
      </c>
      <c r="S11349" s="5">
        <v>142.5</v>
      </c>
      <c r="T11349" s="5">
        <v>519.20000000000005</v>
      </c>
      <c r="U11349" s="5">
        <v>17.399999999999999</v>
      </c>
      <c r="V11349" s="9">
        <v>1.3002</v>
      </c>
      <c r="W11349" s="6">
        <v>21.28</v>
      </c>
      <c r="X11349" s="6">
        <v>21.83</v>
      </c>
      <c r="Y11349" s="6">
        <v>26.78</v>
      </c>
      <c r="Z11349" s="6">
        <v>26.38</v>
      </c>
      <c r="AA11349" s="6">
        <v>108.5</v>
      </c>
      <c r="AB11349" s="7">
        <v>12.018000000000001</v>
      </c>
      <c r="AC11349" s="10">
        <v>2055.88</v>
      </c>
    </row>
    <row r="11350" spans="1:29" ht="130" x14ac:dyDescent="0.15">
      <c r="A11350" s="3">
        <f>DATE(2016,1,28)</f>
        <v>42397</v>
      </c>
      <c r="B11350" s="3">
        <f>DATE(2016,7,1)</f>
        <v>42552</v>
      </c>
      <c r="C11350" s="2" t="s">
        <v>95</v>
      </c>
      <c r="D11350" s="2" t="s">
        <v>32832</v>
      </c>
      <c r="E11350" s="2" t="s">
        <v>29798</v>
      </c>
      <c r="F11350" s="4">
        <v>6022</v>
      </c>
      <c r="G11350" s="2" t="s">
        <v>37</v>
      </c>
      <c r="H11350" s="2" t="s">
        <v>34</v>
      </c>
      <c r="I11350" s="2" t="s">
        <v>23376</v>
      </c>
      <c r="J11350" s="2" t="s">
        <v>36</v>
      </c>
      <c r="K11350" s="2" t="s">
        <v>37</v>
      </c>
      <c r="L11350" s="2" t="s">
        <v>34</v>
      </c>
      <c r="M11350" s="12">
        <v>2098.0929999999998</v>
      </c>
      <c r="N11350" s="6">
        <v>51.32</v>
      </c>
      <c r="O11350" s="6">
        <v>49.85</v>
      </c>
      <c r="P11350" s="2" t="s">
        <v>32833</v>
      </c>
      <c r="Q11350" s="6">
        <v>100</v>
      </c>
      <c r="R11350" s="6">
        <v>20.03</v>
      </c>
      <c r="S11350" s="5">
        <v>7</v>
      </c>
      <c r="T11350" s="7">
        <v>12.682</v>
      </c>
      <c r="U11350" s="5">
        <v>9.1999999999999993</v>
      </c>
      <c r="V11350" s="9">
        <v>0.69030000000000002</v>
      </c>
      <c r="W11350" s="6">
        <v>13.26</v>
      </c>
      <c r="X11350" s="5">
        <v>13.2</v>
      </c>
      <c r="Y11350" s="6">
        <v>13.71</v>
      </c>
      <c r="Z11350" s="6">
        <v>19.239999999999998</v>
      </c>
      <c r="AA11350" s="6">
        <v>10.32</v>
      </c>
      <c r="AB11350" s="7">
        <v>25.474</v>
      </c>
      <c r="AC11350" s="2"/>
    </row>
    <row r="11351" spans="1:29" ht="65" x14ac:dyDescent="0.15">
      <c r="A11351" s="3">
        <f>DATE(2016,1,28)</f>
        <v>42397</v>
      </c>
      <c r="B11351" s="2"/>
      <c r="C11351" s="2" t="s">
        <v>87</v>
      </c>
      <c r="D11351" s="2" t="s">
        <v>19786</v>
      </c>
      <c r="E11351" s="2" t="s">
        <v>92</v>
      </c>
      <c r="F11351" s="4">
        <v>6798</v>
      </c>
      <c r="G11351" s="2" t="s">
        <v>53</v>
      </c>
      <c r="H11351" s="2" t="s">
        <v>34</v>
      </c>
      <c r="I11351" s="2" t="s">
        <v>25034</v>
      </c>
      <c r="J11351" s="2" t="s">
        <v>25035</v>
      </c>
      <c r="K11351" s="2" t="s">
        <v>53</v>
      </c>
      <c r="L11351" s="2" t="s">
        <v>902</v>
      </c>
      <c r="M11351" s="12">
        <v>31100.083999999999</v>
      </c>
      <c r="N11351" s="7">
        <v>29.701000000000001</v>
      </c>
      <c r="O11351" s="6">
        <v>30.27</v>
      </c>
      <c r="P11351" s="2" t="s">
        <v>32834</v>
      </c>
      <c r="Q11351" s="2"/>
      <c r="R11351" s="2"/>
      <c r="S11351" s="8">
        <v>1374.6</v>
      </c>
      <c r="T11351" s="12">
        <v>1664.9839999999999</v>
      </c>
      <c r="U11351" s="5">
        <v>8.3000000000000007</v>
      </c>
      <c r="V11351" s="9">
        <v>1.4285000000000001</v>
      </c>
      <c r="W11351" s="6">
        <v>26.34</v>
      </c>
      <c r="X11351" s="6">
        <v>27.14</v>
      </c>
      <c r="Y11351" s="6">
        <v>27.56</v>
      </c>
      <c r="Z11351" s="6">
        <v>28.04</v>
      </c>
      <c r="AA11351" s="6">
        <v>882.49</v>
      </c>
      <c r="AB11351" s="2" t="s">
        <v>47</v>
      </c>
      <c r="AC11351" s="10">
        <v>8914.61</v>
      </c>
    </row>
    <row r="11352" spans="1:29" ht="130" x14ac:dyDescent="0.15">
      <c r="A11352" s="3">
        <f>DATE(2016,1,29)</f>
        <v>42398</v>
      </c>
      <c r="B11352" s="3">
        <f>DATE(2016,8,31)</f>
        <v>42613</v>
      </c>
      <c r="C11352" s="2" t="s">
        <v>95</v>
      </c>
      <c r="D11352" s="2" t="s">
        <v>32835</v>
      </c>
      <c r="E11352" s="2" t="s">
        <v>32836</v>
      </c>
      <c r="F11352" s="4">
        <v>2821</v>
      </c>
      <c r="G11352" s="2" t="s">
        <v>98</v>
      </c>
      <c r="H11352" s="2" t="s">
        <v>34</v>
      </c>
      <c r="I11352" s="2" t="s">
        <v>29698</v>
      </c>
      <c r="J11352" s="2" t="s">
        <v>29699</v>
      </c>
      <c r="K11352" s="2" t="s">
        <v>98</v>
      </c>
      <c r="L11352" s="2" t="s">
        <v>34</v>
      </c>
      <c r="M11352" s="12">
        <v>7097.027</v>
      </c>
      <c r="N11352" s="6">
        <v>45.48</v>
      </c>
      <c r="O11352" s="6">
        <v>45.23</v>
      </c>
      <c r="P11352" s="2" t="s">
        <v>32837</v>
      </c>
      <c r="Q11352" s="6">
        <v>100</v>
      </c>
      <c r="R11352" s="6">
        <v>33</v>
      </c>
      <c r="S11352" s="5">
        <v>-859.4</v>
      </c>
      <c r="T11352" s="5">
        <v>327.39999999999998</v>
      </c>
      <c r="U11352" s="5">
        <v>21.7</v>
      </c>
      <c r="V11352" s="9">
        <v>-12.1005</v>
      </c>
      <c r="W11352" s="5">
        <v>9.6</v>
      </c>
      <c r="X11352" s="5">
        <v>9.8000000000000007</v>
      </c>
      <c r="Y11352" s="6">
        <v>17.93</v>
      </c>
      <c r="Z11352" s="6">
        <v>18.07</v>
      </c>
      <c r="AA11352" s="6">
        <v>70.58</v>
      </c>
      <c r="AB11352" s="7">
        <v>43.781999999999996</v>
      </c>
      <c r="AC11352" s="10">
        <v>1139.98</v>
      </c>
    </row>
    <row r="11353" spans="1:29" ht="104" x14ac:dyDescent="0.15">
      <c r="A11353" s="3">
        <f>DATE(2016,2,1)</f>
        <v>42401</v>
      </c>
      <c r="B11353" s="2"/>
      <c r="C11353" s="2" t="s">
        <v>7330</v>
      </c>
      <c r="D11353" s="2" t="s">
        <v>31689</v>
      </c>
      <c r="E11353" s="2" t="s">
        <v>31690</v>
      </c>
      <c r="F11353" s="4">
        <v>2835</v>
      </c>
      <c r="G11353" s="2" t="s">
        <v>130</v>
      </c>
      <c r="H11353" s="2" t="s">
        <v>34</v>
      </c>
      <c r="I11353" s="2" t="s">
        <v>7700</v>
      </c>
      <c r="J11353" s="2" t="s">
        <v>7701</v>
      </c>
      <c r="K11353" s="2" t="s">
        <v>130</v>
      </c>
      <c r="L11353" s="2" t="s">
        <v>34</v>
      </c>
      <c r="M11353" s="12">
        <v>64039.535000000003</v>
      </c>
      <c r="N11353" s="6">
        <v>38.450000000000003</v>
      </c>
      <c r="O11353" s="6">
        <v>37.880000000000003</v>
      </c>
      <c r="P11353" s="2" t="s">
        <v>32838</v>
      </c>
      <c r="Q11353" s="2"/>
      <c r="R11353" s="6">
        <v>51</v>
      </c>
      <c r="S11353" s="5">
        <v>-137.6</v>
      </c>
      <c r="T11353" s="7">
        <v>334.39600000000002</v>
      </c>
      <c r="U11353" s="5">
        <v>12.8</v>
      </c>
      <c r="V11353" s="9">
        <v>-1.8314999999999999</v>
      </c>
      <c r="W11353" s="6">
        <v>37.96</v>
      </c>
      <c r="X11353" s="5">
        <v>37.200000000000003</v>
      </c>
      <c r="Y11353" s="6">
        <v>54.11</v>
      </c>
      <c r="Z11353" s="5">
        <v>53.9</v>
      </c>
      <c r="AA11353" s="6">
        <v>86.53</v>
      </c>
      <c r="AB11353" s="7">
        <v>167.30600000000001</v>
      </c>
      <c r="AC11353" s="8">
        <v>9101</v>
      </c>
    </row>
    <row r="11354" spans="1:29" ht="65" x14ac:dyDescent="0.15">
      <c r="A11354" s="3">
        <f>DATE(2016,2,1)</f>
        <v>42401</v>
      </c>
      <c r="B11354" s="2"/>
      <c r="C11354" s="2" t="s">
        <v>87</v>
      </c>
      <c r="D11354" s="2" t="s">
        <v>26761</v>
      </c>
      <c r="E11354" s="2" t="s">
        <v>26762</v>
      </c>
      <c r="F11354" s="4">
        <v>3572</v>
      </c>
      <c r="G11354" s="2" t="s">
        <v>50</v>
      </c>
      <c r="H11354" s="2" t="s">
        <v>34</v>
      </c>
      <c r="I11354" s="2" t="s">
        <v>143</v>
      </c>
      <c r="J11354" s="2" t="s">
        <v>144</v>
      </c>
      <c r="K11354" s="2" t="s">
        <v>53</v>
      </c>
      <c r="L11354" s="2" t="s">
        <v>139</v>
      </c>
      <c r="M11354" s="2"/>
      <c r="N11354" s="2"/>
      <c r="O11354" s="2"/>
      <c r="P11354" s="2" t="s">
        <v>32839</v>
      </c>
      <c r="Q11354" s="2"/>
      <c r="R11354" s="2"/>
      <c r="S11354" s="5">
        <v>-76</v>
      </c>
      <c r="T11354" s="7">
        <v>-0.377</v>
      </c>
      <c r="U11354" s="5">
        <v>-0.6</v>
      </c>
      <c r="V11354" s="9">
        <v>-1.4603999999999999</v>
      </c>
      <c r="W11354" s="6">
        <v>10.71</v>
      </c>
      <c r="X11354" s="6">
        <v>10.58</v>
      </c>
      <c r="Y11354" s="6">
        <v>11.75</v>
      </c>
      <c r="Z11354" s="5">
        <v>11.5</v>
      </c>
      <c r="AA11354" s="6">
        <v>53.1</v>
      </c>
      <c r="AB11354" s="2" t="s">
        <v>86</v>
      </c>
      <c r="AC11354" s="2"/>
    </row>
    <row r="11355" spans="1:29" ht="65" x14ac:dyDescent="0.15">
      <c r="A11355" s="3">
        <f>DATE(2016,2,1)</f>
        <v>42401</v>
      </c>
      <c r="B11355" s="3">
        <f>DATE(2016,9,16)</f>
        <v>42629</v>
      </c>
      <c r="C11355" s="2" t="s">
        <v>95</v>
      </c>
      <c r="D11355" s="2" t="s">
        <v>32840</v>
      </c>
      <c r="E11355" s="2" t="s">
        <v>1608</v>
      </c>
      <c r="F11355" s="4">
        <v>1311</v>
      </c>
      <c r="G11355" s="2" t="s">
        <v>148</v>
      </c>
      <c r="H11355" s="2" t="s">
        <v>34</v>
      </c>
      <c r="I11355" s="2" t="s">
        <v>13839</v>
      </c>
      <c r="J11355" s="2" t="s">
        <v>3759</v>
      </c>
      <c r="K11355" s="2" t="s">
        <v>439</v>
      </c>
      <c r="L11355" s="2" t="s">
        <v>34</v>
      </c>
      <c r="M11355" s="12">
        <v>40167.159</v>
      </c>
      <c r="N11355" s="6">
        <v>70.180000000000007</v>
      </c>
      <c r="O11355" s="6">
        <v>69.89</v>
      </c>
      <c r="P11355" s="2" t="s">
        <v>32841</v>
      </c>
      <c r="Q11355" s="6">
        <v>100</v>
      </c>
      <c r="R11355" s="6">
        <v>25</v>
      </c>
      <c r="S11355" s="5">
        <v>208.7</v>
      </c>
      <c r="T11355" s="5">
        <v>608.6</v>
      </c>
      <c r="U11355" s="5">
        <v>7.5</v>
      </c>
      <c r="V11355" s="9">
        <v>1.1838</v>
      </c>
      <c r="W11355" s="6">
        <v>18.95</v>
      </c>
      <c r="X11355" s="6">
        <v>20.39</v>
      </c>
      <c r="Y11355" s="6">
        <v>24.99</v>
      </c>
      <c r="Z11355" s="6">
        <v>24.98</v>
      </c>
      <c r="AA11355" s="6">
        <v>174.99</v>
      </c>
      <c r="AB11355" s="7">
        <v>15.757999999999999</v>
      </c>
      <c r="AC11355" s="8">
        <v>1117</v>
      </c>
    </row>
    <row r="11356" spans="1:29" ht="78" x14ac:dyDescent="0.15">
      <c r="A11356" s="3">
        <f>DATE(2016,2,3)</f>
        <v>42403</v>
      </c>
      <c r="B11356" s="2"/>
      <c r="C11356" s="2" t="s">
        <v>87</v>
      </c>
      <c r="D11356" s="2" t="s">
        <v>32842</v>
      </c>
      <c r="E11356" s="2" t="s">
        <v>32843</v>
      </c>
      <c r="F11356" s="4">
        <v>3826</v>
      </c>
      <c r="G11356" s="2" t="s">
        <v>226</v>
      </c>
      <c r="H11356" s="2" t="s">
        <v>34</v>
      </c>
      <c r="I11356" s="2" t="s">
        <v>213</v>
      </c>
      <c r="J11356" s="2" t="s">
        <v>214</v>
      </c>
      <c r="K11356" s="2" t="s">
        <v>130</v>
      </c>
      <c r="L11356" s="2" t="s">
        <v>215</v>
      </c>
      <c r="M11356" s="2"/>
      <c r="N11356" s="7">
        <v>255.84200000000001</v>
      </c>
      <c r="O11356" s="7">
        <v>255.13300000000001</v>
      </c>
      <c r="P11356" s="2" t="s">
        <v>32844</v>
      </c>
      <c r="Q11356" s="2"/>
      <c r="R11356" s="2"/>
      <c r="S11356" s="5">
        <v>-31.7</v>
      </c>
      <c r="T11356" s="5">
        <v>-48.5</v>
      </c>
      <c r="U11356" s="5">
        <v>0.9</v>
      </c>
      <c r="V11356" s="9">
        <v>-0.41920000000000002</v>
      </c>
      <c r="W11356" s="6">
        <v>11.06</v>
      </c>
      <c r="X11356" s="6">
        <v>12.67</v>
      </c>
      <c r="Y11356" s="6">
        <v>12.37</v>
      </c>
      <c r="Z11356" s="6">
        <v>9.6300000000000008</v>
      </c>
      <c r="AA11356" s="6">
        <v>77.040000000000006</v>
      </c>
      <c r="AB11356" s="2" t="s">
        <v>86</v>
      </c>
      <c r="AC11356" s="10">
        <v>9330.67</v>
      </c>
    </row>
    <row r="11357" spans="1:29" ht="130" x14ac:dyDescent="0.15">
      <c r="A11357" s="3">
        <f>DATE(2016,2,4)</f>
        <v>42404</v>
      </c>
      <c r="B11357" s="3">
        <f>DATE(2016,6,24)</f>
        <v>42545</v>
      </c>
      <c r="C11357" s="2" t="s">
        <v>95</v>
      </c>
      <c r="D11357" s="2" t="s">
        <v>32845</v>
      </c>
      <c r="E11357" s="2" t="s">
        <v>32846</v>
      </c>
      <c r="F11357" s="4">
        <v>3825</v>
      </c>
      <c r="G11357" s="2" t="s">
        <v>226</v>
      </c>
      <c r="H11357" s="2" t="s">
        <v>34</v>
      </c>
      <c r="I11357" s="2" t="s">
        <v>32847</v>
      </c>
      <c r="J11357" s="2" t="s">
        <v>32848</v>
      </c>
      <c r="K11357" s="2" t="s">
        <v>137</v>
      </c>
      <c r="L11357" s="2" t="s">
        <v>34</v>
      </c>
      <c r="M11357" s="7">
        <v>475.75099999999998</v>
      </c>
      <c r="N11357" s="6">
        <v>6.86</v>
      </c>
      <c r="O11357" s="6">
        <v>7.05</v>
      </c>
      <c r="P11357" s="2" t="s">
        <v>32849</v>
      </c>
      <c r="Q11357" s="6">
        <v>100</v>
      </c>
      <c r="R11357" s="6">
        <v>21.13</v>
      </c>
      <c r="S11357" s="5">
        <v>12.4</v>
      </c>
      <c r="T11357" s="6">
        <v>24.42</v>
      </c>
      <c r="U11357" s="5">
        <v>6.9</v>
      </c>
      <c r="V11357" s="9">
        <v>0.72829999999999995</v>
      </c>
      <c r="W11357" s="6">
        <v>15.89</v>
      </c>
      <c r="X11357" s="6">
        <v>15.28</v>
      </c>
      <c r="Y11357" s="6">
        <v>20.21</v>
      </c>
      <c r="Z11357" s="6">
        <v>20.149999999999999</v>
      </c>
      <c r="AA11357" s="6">
        <v>15.86</v>
      </c>
      <c r="AB11357" s="7">
        <v>16.597999999999999</v>
      </c>
      <c r="AC11357" s="6">
        <v>187.59</v>
      </c>
    </row>
    <row r="11358" spans="1:29" ht="78" x14ac:dyDescent="0.15">
      <c r="A11358" s="3">
        <f>DATE(2016,2,4)</f>
        <v>42404</v>
      </c>
      <c r="B11358" s="2"/>
      <c r="C11358" s="2" t="s">
        <v>87</v>
      </c>
      <c r="D11358" s="2" t="s">
        <v>1291</v>
      </c>
      <c r="E11358" s="2" t="s">
        <v>30321</v>
      </c>
      <c r="F11358" s="4">
        <v>3944</v>
      </c>
      <c r="G11358" s="2" t="s">
        <v>112</v>
      </c>
      <c r="H11358" s="2" t="s">
        <v>34</v>
      </c>
      <c r="I11358" s="2" t="s">
        <v>1670</v>
      </c>
      <c r="J11358" s="2" t="s">
        <v>1671</v>
      </c>
      <c r="K11358" s="2" t="s">
        <v>112</v>
      </c>
      <c r="L11358" s="2" t="s">
        <v>34</v>
      </c>
      <c r="M11358" s="12">
        <v>9182.9230000000007</v>
      </c>
      <c r="N11358" s="6">
        <v>32.29</v>
      </c>
      <c r="O11358" s="6">
        <v>31.81</v>
      </c>
      <c r="P11358" s="2" t="s">
        <v>32850</v>
      </c>
      <c r="Q11358" s="2"/>
      <c r="R11358" s="2"/>
      <c r="S11358" s="5">
        <v>451.8</v>
      </c>
      <c r="T11358" s="6">
        <v>847.26</v>
      </c>
      <c r="U11358" s="5">
        <v>13.3</v>
      </c>
      <c r="V11358" s="9">
        <v>3.5665</v>
      </c>
      <c r="W11358" s="6">
        <v>72.349999999999994</v>
      </c>
      <c r="X11358" s="4">
        <v>75</v>
      </c>
      <c r="Y11358" s="5">
        <v>75.900000000000006</v>
      </c>
      <c r="Z11358" s="5">
        <v>74.099999999999994</v>
      </c>
      <c r="AA11358" s="6">
        <v>124.62</v>
      </c>
      <c r="AB11358" s="2" t="s">
        <v>47</v>
      </c>
      <c r="AC11358" s="6">
        <v>908.09</v>
      </c>
    </row>
    <row r="11359" spans="1:29" ht="91" x14ac:dyDescent="0.15">
      <c r="A11359" s="3">
        <f>DATE(2016,2,4)</f>
        <v>42404</v>
      </c>
      <c r="B11359" s="3">
        <f>DATE(2016,7,27)</f>
        <v>42578</v>
      </c>
      <c r="C11359" s="2" t="s">
        <v>95</v>
      </c>
      <c r="D11359" s="2" t="s">
        <v>32851</v>
      </c>
      <c r="E11359" s="2" t="s">
        <v>32852</v>
      </c>
      <c r="F11359" s="4">
        <v>3672</v>
      </c>
      <c r="G11359" s="2" t="s">
        <v>137</v>
      </c>
      <c r="H11359" s="2" t="s">
        <v>34</v>
      </c>
      <c r="I11359" s="2" t="s">
        <v>32853</v>
      </c>
      <c r="J11359" s="2" t="s">
        <v>32854</v>
      </c>
      <c r="K11359" s="2" t="s">
        <v>163</v>
      </c>
      <c r="L11359" s="2" t="s">
        <v>455</v>
      </c>
      <c r="M11359" s="10">
        <v>2155.7600000000002</v>
      </c>
      <c r="N11359" s="7">
        <v>2.9340000000000002</v>
      </c>
      <c r="O11359" s="7">
        <v>2.931</v>
      </c>
      <c r="P11359" s="2" t="s">
        <v>32855</v>
      </c>
      <c r="Q11359" s="6">
        <v>100</v>
      </c>
      <c r="R11359" s="6">
        <v>23.95</v>
      </c>
      <c r="S11359" s="5">
        <v>45.1</v>
      </c>
      <c r="T11359" s="7">
        <v>85.974999999999994</v>
      </c>
      <c r="U11359" s="5">
        <v>14.8</v>
      </c>
      <c r="V11359" s="9">
        <v>1.7856000000000001</v>
      </c>
      <c r="W11359" s="6">
        <v>15.66</v>
      </c>
      <c r="X11359" s="6">
        <v>17.010000000000002</v>
      </c>
      <c r="Y11359" s="6">
        <v>16.43</v>
      </c>
      <c r="Z11359" s="6">
        <v>22.59</v>
      </c>
      <c r="AA11359" s="6">
        <v>24.61</v>
      </c>
      <c r="AB11359" s="7">
        <v>9.19</v>
      </c>
      <c r="AC11359" s="6">
        <v>160.84</v>
      </c>
    </row>
    <row r="11360" spans="1:29" ht="208" x14ac:dyDescent="0.15">
      <c r="A11360" s="3">
        <f>DATE(2016,2,6)</f>
        <v>42406</v>
      </c>
      <c r="B11360" s="3">
        <f>DATE(2016,10,14)</f>
        <v>42657</v>
      </c>
      <c r="C11360" s="2" t="s">
        <v>95</v>
      </c>
      <c r="D11360" s="2" t="s">
        <v>32856</v>
      </c>
      <c r="E11360" s="2" t="s">
        <v>1977</v>
      </c>
      <c r="F11360" s="4">
        <v>4911</v>
      </c>
      <c r="G11360" s="2" t="s">
        <v>439</v>
      </c>
      <c r="H11360" s="2" t="s">
        <v>34</v>
      </c>
      <c r="I11360" s="2" t="s">
        <v>18647</v>
      </c>
      <c r="J11360" s="2" t="s">
        <v>31100</v>
      </c>
      <c r="K11360" s="2" t="s">
        <v>439</v>
      </c>
      <c r="L11360" s="2" t="s">
        <v>902</v>
      </c>
      <c r="M11360" s="12">
        <v>7289.9380000000001</v>
      </c>
      <c r="N11360" s="7">
        <v>29.823</v>
      </c>
      <c r="O11360" s="7">
        <v>29.823</v>
      </c>
      <c r="P11360" s="2" t="s">
        <v>32857</v>
      </c>
      <c r="Q11360" s="6">
        <v>100</v>
      </c>
      <c r="R11360" s="6">
        <v>44.92</v>
      </c>
      <c r="S11360" s="5">
        <v>244.1</v>
      </c>
      <c r="T11360" s="7">
        <v>720.86500000000001</v>
      </c>
      <c r="U11360" s="2"/>
      <c r="V11360" s="6">
        <v>1.54</v>
      </c>
      <c r="W11360" s="5">
        <v>33.299999999999997</v>
      </c>
      <c r="X11360" s="6">
        <v>33.75</v>
      </c>
      <c r="Y11360" s="6">
        <v>36.880000000000003</v>
      </c>
      <c r="Z11360" s="6">
        <v>37.840000000000003</v>
      </c>
      <c r="AA11360" s="6">
        <v>153.41999999999999</v>
      </c>
      <c r="AB11360" s="7">
        <v>18.687000000000001</v>
      </c>
      <c r="AC11360" s="6">
        <v>174.55</v>
      </c>
    </row>
    <row r="11361" spans="1:29" ht="195" x14ac:dyDescent="0.15">
      <c r="A11361" s="3">
        <f>DATE(2016,2,8)</f>
        <v>42408</v>
      </c>
      <c r="B11361" s="3">
        <f>DATE(2017,2,1)</f>
        <v>42767</v>
      </c>
      <c r="C11361" s="2" t="s">
        <v>95</v>
      </c>
      <c r="D11361" s="2" t="s">
        <v>32858</v>
      </c>
      <c r="E11361" s="2" t="s">
        <v>32859</v>
      </c>
      <c r="F11361" s="4">
        <v>8221</v>
      </c>
      <c r="G11361" s="2" t="s">
        <v>415</v>
      </c>
      <c r="H11361" s="2" t="s">
        <v>34</v>
      </c>
      <c r="I11361" s="2" t="s">
        <v>32860</v>
      </c>
      <c r="J11361" s="2" t="s">
        <v>32388</v>
      </c>
      <c r="K11361" s="2" t="s">
        <v>53</v>
      </c>
      <c r="L11361" s="2" t="s">
        <v>34</v>
      </c>
      <c r="M11361" s="2"/>
      <c r="N11361" s="2"/>
      <c r="O11361" s="2"/>
      <c r="P11361" s="2" t="s">
        <v>32861</v>
      </c>
      <c r="Q11361" s="6">
        <v>100</v>
      </c>
      <c r="R11361" s="6">
        <v>10</v>
      </c>
      <c r="S11361" s="5">
        <v>-91.6</v>
      </c>
      <c r="T11361" s="7">
        <v>270.40699999999998</v>
      </c>
      <c r="U11361" s="5">
        <v>9.4</v>
      </c>
      <c r="V11361" s="9">
        <v>-0.60250000000000004</v>
      </c>
      <c r="W11361" s="6">
        <v>7.57</v>
      </c>
      <c r="X11361" s="6">
        <v>6.59</v>
      </c>
      <c r="Y11361" s="6">
        <v>6.38</v>
      </c>
      <c r="Z11361" s="6">
        <v>7.39</v>
      </c>
      <c r="AA11361" s="6">
        <v>108.64</v>
      </c>
      <c r="AB11361" s="7">
        <v>3.3740000000000001</v>
      </c>
      <c r="AC11361" s="2"/>
    </row>
    <row r="11362" spans="1:29" ht="78" x14ac:dyDescent="0.15">
      <c r="A11362" s="3">
        <f>DATE(2016,2,8)</f>
        <v>42408</v>
      </c>
      <c r="B11362" s="2"/>
      <c r="C11362" s="2" t="s">
        <v>87</v>
      </c>
      <c r="D11362" s="2" t="s">
        <v>30403</v>
      </c>
      <c r="E11362" s="2" t="s">
        <v>13693</v>
      </c>
      <c r="F11362" s="4">
        <v>2834</v>
      </c>
      <c r="G11362" s="2" t="s">
        <v>130</v>
      </c>
      <c r="H11362" s="2" t="s">
        <v>34</v>
      </c>
      <c r="I11362" s="2" t="s">
        <v>143</v>
      </c>
      <c r="J11362" s="2" t="s">
        <v>144</v>
      </c>
      <c r="K11362" s="2" t="s">
        <v>53</v>
      </c>
      <c r="L11362" s="2" t="s">
        <v>139</v>
      </c>
      <c r="M11362" s="2"/>
      <c r="N11362" s="2"/>
      <c r="O11362" s="2"/>
      <c r="P11362" s="2" t="s">
        <v>32862</v>
      </c>
      <c r="Q11362" s="2"/>
      <c r="R11362" s="2"/>
      <c r="S11362" s="5">
        <v>-148.30000000000001</v>
      </c>
      <c r="T11362" s="7">
        <v>18.792000000000002</v>
      </c>
      <c r="U11362" s="5">
        <v>5.4</v>
      </c>
      <c r="V11362" s="9">
        <v>-27.8155</v>
      </c>
      <c r="W11362" s="5">
        <v>2.2000000000000002</v>
      </c>
      <c r="X11362" s="6">
        <v>1.99</v>
      </c>
      <c r="Y11362" s="5">
        <v>2.1</v>
      </c>
      <c r="Z11362" s="6">
        <v>2.06</v>
      </c>
      <c r="AA11362" s="6">
        <v>61.06</v>
      </c>
      <c r="AB11362" s="2" t="s">
        <v>86</v>
      </c>
      <c r="AC11362" s="2"/>
    </row>
    <row r="11363" spans="1:29" ht="52" x14ac:dyDescent="0.15">
      <c r="A11363" s="3">
        <f>DATE(2016,2,9)</f>
        <v>42409</v>
      </c>
      <c r="B11363" s="3">
        <f>DATE(2017,1,1)</f>
        <v>42736</v>
      </c>
      <c r="C11363" s="2" t="s">
        <v>95</v>
      </c>
      <c r="D11363" s="2" t="s">
        <v>14342</v>
      </c>
      <c r="E11363" s="2" t="s">
        <v>14343</v>
      </c>
      <c r="F11363" s="4">
        <v>4911</v>
      </c>
      <c r="G11363" s="2" t="s">
        <v>439</v>
      </c>
      <c r="H11363" s="2" t="s">
        <v>34</v>
      </c>
      <c r="I11363" s="2" t="s">
        <v>32863</v>
      </c>
      <c r="J11363" s="2" t="s">
        <v>32864</v>
      </c>
      <c r="K11363" s="2" t="s">
        <v>439</v>
      </c>
      <c r="L11363" s="2" t="s">
        <v>34</v>
      </c>
      <c r="M11363" s="2"/>
      <c r="N11363" s="2"/>
      <c r="O11363" s="2"/>
      <c r="P11363" s="2" t="s">
        <v>32865</v>
      </c>
      <c r="Q11363" s="6">
        <v>100</v>
      </c>
      <c r="R11363" s="6">
        <v>34</v>
      </c>
      <c r="S11363" s="5">
        <v>56.6</v>
      </c>
      <c r="T11363" s="7">
        <v>219.90199999999999</v>
      </c>
      <c r="U11363" s="5">
        <v>18.3</v>
      </c>
      <c r="V11363" s="9">
        <v>1.2946</v>
      </c>
      <c r="W11363" s="6">
        <v>29.78</v>
      </c>
      <c r="X11363" s="6">
        <v>28.04</v>
      </c>
      <c r="Y11363" s="5">
        <v>28.2</v>
      </c>
      <c r="Z11363" s="6">
        <v>33.06</v>
      </c>
      <c r="AA11363" s="6">
        <v>43.79</v>
      </c>
      <c r="AB11363" s="7">
        <v>18.081</v>
      </c>
      <c r="AC11363" s="2"/>
    </row>
    <row r="11364" spans="1:29" ht="130" x14ac:dyDescent="0.15">
      <c r="A11364" s="3">
        <f>DATE(2016,2,10)</f>
        <v>42410</v>
      </c>
      <c r="B11364" s="3">
        <f>DATE(2016,7,29)</f>
        <v>42580</v>
      </c>
      <c r="C11364" s="2" t="s">
        <v>95</v>
      </c>
      <c r="D11364" s="2" t="s">
        <v>31299</v>
      </c>
      <c r="E11364" s="2" t="s">
        <v>36</v>
      </c>
      <c r="F11364" s="4">
        <v>6021</v>
      </c>
      <c r="G11364" s="2" t="s">
        <v>37</v>
      </c>
      <c r="H11364" s="2" t="s">
        <v>34</v>
      </c>
      <c r="I11364" s="2" t="s">
        <v>26364</v>
      </c>
      <c r="J11364" s="2" t="s">
        <v>36</v>
      </c>
      <c r="K11364" s="2" t="s">
        <v>37</v>
      </c>
      <c r="L11364" s="2" t="s">
        <v>34</v>
      </c>
      <c r="M11364" s="7">
        <v>292.33199999999999</v>
      </c>
      <c r="N11364" s="6">
        <v>1.79</v>
      </c>
      <c r="O11364" s="6">
        <v>1.63</v>
      </c>
      <c r="P11364" s="2" t="s">
        <v>32866</v>
      </c>
      <c r="Q11364" s="6">
        <v>100</v>
      </c>
      <c r="R11364" s="6">
        <v>7.83</v>
      </c>
      <c r="S11364" s="5">
        <v>4.2</v>
      </c>
      <c r="T11364" s="7">
        <v>6.3520000000000003</v>
      </c>
      <c r="U11364" s="5">
        <v>7.9</v>
      </c>
      <c r="V11364" s="9">
        <v>0.31119999999999998</v>
      </c>
      <c r="W11364" s="5">
        <v>6.9</v>
      </c>
      <c r="X11364" s="5">
        <v>6.7</v>
      </c>
      <c r="Y11364" s="5">
        <v>6.7</v>
      </c>
      <c r="Z11364" s="5">
        <v>6.8</v>
      </c>
      <c r="AA11364" s="6">
        <v>12.99</v>
      </c>
      <c r="AB11364" s="7">
        <v>24.513999999999999</v>
      </c>
      <c r="AC11364" s="2"/>
    </row>
    <row r="11365" spans="1:29" ht="65" x14ac:dyDescent="0.15">
      <c r="A11365" s="3">
        <f>DATE(2016,2,12)</f>
        <v>42412</v>
      </c>
      <c r="B11365" s="2"/>
      <c r="C11365" s="2" t="s">
        <v>87</v>
      </c>
      <c r="D11365" s="2" t="s">
        <v>32867</v>
      </c>
      <c r="E11365" s="2" t="s">
        <v>23302</v>
      </c>
      <c r="F11365" s="4">
        <v>2836</v>
      </c>
      <c r="G11365" s="2" t="s">
        <v>130</v>
      </c>
      <c r="H11365" s="2" t="s">
        <v>34</v>
      </c>
      <c r="I11365" s="2" t="s">
        <v>143</v>
      </c>
      <c r="J11365" s="2" t="s">
        <v>144</v>
      </c>
      <c r="K11365" s="2" t="s">
        <v>53</v>
      </c>
      <c r="L11365" s="2" t="s">
        <v>139</v>
      </c>
      <c r="M11365" s="2"/>
      <c r="N11365" s="2"/>
      <c r="O11365" s="2"/>
      <c r="P11365" s="2" t="s">
        <v>32868</v>
      </c>
      <c r="Q11365" s="2"/>
      <c r="R11365" s="2"/>
      <c r="S11365" s="5">
        <v>-226.4</v>
      </c>
      <c r="T11365" s="7">
        <v>-227.465</v>
      </c>
      <c r="U11365" s="5">
        <v>24.7</v>
      </c>
      <c r="V11365" s="9">
        <v>-9.5564</v>
      </c>
      <c r="W11365" s="6">
        <v>98.51</v>
      </c>
      <c r="X11365" s="6">
        <v>94.29</v>
      </c>
      <c r="Y11365" s="6">
        <v>120.22</v>
      </c>
      <c r="Z11365" s="6">
        <v>118.25</v>
      </c>
      <c r="AA11365" s="6">
        <v>24.33</v>
      </c>
      <c r="AB11365" s="2" t="s">
        <v>86</v>
      </c>
      <c r="AC11365" s="2"/>
    </row>
    <row r="11366" spans="1:29" ht="117" x14ac:dyDescent="0.15">
      <c r="A11366" s="3">
        <f>DATE(2016,2,12)</f>
        <v>42412</v>
      </c>
      <c r="B11366" s="2"/>
      <c r="C11366" s="2" t="s">
        <v>87</v>
      </c>
      <c r="D11366" s="2" t="s">
        <v>32869</v>
      </c>
      <c r="E11366" s="2" t="s">
        <v>32870</v>
      </c>
      <c r="F11366" s="4">
        <v>4832</v>
      </c>
      <c r="G11366" s="2" t="s">
        <v>45</v>
      </c>
      <c r="H11366" s="2" t="s">
        <v>34</v>
      </c>
      <c r="I11366" s="2" t="s">
        <v>143</v>
      </c>
      <c r="J11366" s="2" t="s">
        <v>144</v>
      </c>
      <c r="K11366" s="2" t="s">
        <v>53</v>
      </c>
      <c r="L11366" s="2" t="s">
        <v>139</v>
      </c>
      <c r="M11366" s="2"/>
      <c r="N11366" s="2"/>
      <c r="O11366" s="2"/>
      <c r="P11366" s="2" t="s">
        <v>32871</v>
      </c>
      <c r="Q11366" s="2"/>
      <c r="R11366" s="2"/>
      <c r="S11366" s="5">
        <v>-169.7</v>
      </c>
      <c r="T11366" s="7">
        <v>-145.53299999999999</v>
      </c>
      <c r="U11366" s="5">
        <v>3.3</v>
      </c>
      <c r="V11366" s="9">
        <v>-0.79359999999999997</v>
      </c>
      <c r="W11366" s="6">
        <v>8.57</v>
      </c>
      <c r="X11366" s="6">
        <v>9.09</v>
      </c>
      <c r="Y11366" s="4">
        <v>8</v>
      </c>
      <c r="Z11366" s="6">
        <v>7.91</v>
      </c>
      <c r="AA11366" s="6">
        <v>213.42</v>
      </c>
      <c r="AB11366" s="2" t="s">
        <v>86</v>
      </c>
      <c r="AC11366" s="2"/>
    </row>
    <row r="11367" spans="1:29" ht="78" x14ac:dyDescent="0.15">
      <c r="A11367" s="3">
        <f>DATE(2016,2,14)</f>
        <v>42414</v>
      </c>
      <c r="B11367" s="3">
        <f>DATE(2016,4,14)</f>
        <v>42474</v>
      </c>
      <c r="C11367" s="2" t="s">
        <v>95</v>
      </c>
      <c r="D11367" s="2" t="s">
        <v>32872</v>
      </c>
      <c r="E11367" s="2" t="s">
        <v>8995</v>
      </c>
      <c r="F11367" s="4">
        <v>7372</v>
      </c>
      <c r="G11367" s="2" t="s">
        <v>551</v>
      </c>
      <c r="H11367" s="2" t="s">
        <v>34</v>
      </c>
      <c r="I11367" s="2" t="s">
        <v>32016</v>
      </c>
      <c r="J11367" s="2" t="s">
        <v>244</v>
      </c>
      <c r="K11367" s="2" t="s">
        <v>53</v>
      </c>
      <c r="L11367" s="2" t="s">
        <v>34</v>
      </c>
      <c r="M11367" s="2"/>
      <c r="N11367" s="2"/>
      <c r="O11367" s="2"/>
      <c r="P11367" s="2" t="s">
        <v>32873</v>
      </c>
      <c r="Q11367" s="6">
        <v>100</v>
      </c>
      <c r="R11367" s="6">
        <v>4.9000000000000004</v>
      </c>
      <c r="S11367" s="5">
        <v>11.7</v>
      </c>
      <c r="T11367" s="7">
        <v>22.687999999999999</v>
      </c>
      <c r="U11367" s="5">
        <v>0.8</v>
      </c>
      <c r="V11367" s="9">
        <v>9.5399999999999999E-2</v>
      </c>
      <c r="W11367" s="6">
        <v>3.91</v>
      </c>
      <c r="X11367" s="7">
        <v>3.7389999999999999</v>
      </c>
      <c r="Y11367" s="7">
        <v>4.7389999999999999</v>
      </c>
      <c r="Z11367" s="7">
        <v>4.7389999999999999</v>
      </c>
      <c r="AA11367" s="6">
        <v>87.5</v>
      </c>
      <c r="AB11367" s="2" t="s">
        <v>47</v>
      </c>
      <c r="AC11367" s="2"/>
    </row>
    <row r="11368" spans="1:29" ht="104" x14ac:dyDescent="0.15">
      <c r="A11368" s="3">
        <f>DATE(2016,2,16)</f>
        <v>42416</v>
      </c>
      <c r="B11368" s="3">
        <f>DATE(2016,5,2)</f>
        <v>42492</v>
      </c>
      <c r="C11368" s="2" t="s">
        <v>95</v>
      </c>
      <c r="D11368" s="2" t="s">
        <v>32874</v>
      </c>
      <c r="E11368" s="2" t="s">
        <v>13835</v>
      </c>
      <c r="F11368" s="4">
        <v>7381</v>
      </c>
      <c r="G11368" s="2" t="s">
        <v>223</v>
      </c>
      <c r="H11368" s="2" t="s">
        <v>34</v>
      </c>
      <c r="I11368" s="2" t="s">
        <v>27735</v>
      </c>
      <c r="J11368" s="2" t="s">
        <v>244</v>
      </c>
      <c r="K11368" s="2" t="s">
        <v>53</v>
      </c>
      <c r="L11368" s="2" t="s">
        <v>34</v>
      </c>
      <c r="M11368" s="12">
        <v>2389.8609999999999</v>
      </c>
      <c r="N11368" s="6">
        <v>14.12</v>
      </c>
      <c r="O11368" s="6">
        <v>14.66</v>
      </c>
      <c r="P11368" s="2" t="s">
        <v>32875</v>
      </c>
      <c r="Q11368" s="6">
        <v>100</v>
      </c>
      <c r="R11368" s="6">
        <v>42</v>
      </c>
      <c r="S11368" s="5">
        <v>288</v>
      </c>
      <c r="T11368" s="8">
        <v>2288</v>
      </c>
      <c r="U11368" s="5">
        <v>17.600000000000001</v>
      </c>
      <c r="V11368" s="9">
        <v>1.6961999999999999</v>
      </c>
      <c r="W11368" s="4">
        <v>27</v>
      </c>
      <c r="X11368" s="6">
        <v>26.87</v>
      </c>
      <c r="Y11368" s="6">
        <v>26.87</v>
      </c>
      <c r="Z11368" s="6">
        <v>39.64</v>
      </c>
      <c r="AA11368" s="6">
        <v>165.32</v>
      </c>
      <c r="AB11368" s="7">
        <v>10.667999999999999</v>
      </c>
      <c r="AC11368" s="6">
        <v>679.82</v>
      </c>
    </row>
    <row r="11369" spans="1:29" ht="130" x14ac:dyDescent="0.15">
      <c r="A11369" s="3">
        <f>DATE(2016,2,17)</f>
        <v>42417</v>
      </c>
      <c r="B11369" s="3">
        <f>DATE(2016,7,1)</f>
        <v>42552</v>
      </c>
      <c r="C11369" s="2" t="s">
        <v>95</v>
      </c>
      <c r="D11369" s="2" t="s">
        <v>32876</v>
      </c>
      <c r="E11369" s="2" t="s">
        <v>29798</v>
      </c>
      <c r="F11369" s="4">
        <v>6021</v>
      </c>
      <c r="G11369" s="2" t="s">
        <v>37</v>
      </c>
      <c r="H11369" s="2" t="s">
        <v>34</v>
      </c>
      <c r="I11369" s="2" t="s">
        <v>13374</v>
      </c>
      <c r="J11369" s="2" t="s">
        <v>36</v>
      </c>
      <c r="K11369" s="2" t="s">
        <v>37</v>
      </c>
      <c r="L11369" s="2" t="s">
        <v>34</v>
      </c>
      <c r="M11369" s="7">
        <v>413.93900000000002</v>
      </c>
      <c r="N11369" s="6">
        <v>10.23</v>
      </c>
      <c r="O11369" s="6">
        <v>10.029999999999999</v>
      </c>
      <c r="P11369" s="2" t="s">
        <v>32877</v>
      </c>
      <c r="Q11369" s="6">
        <v>100</v>
      </c>
      <c r="R11369" s="6">
        <v>12.64</v>
      </c>
      <c r="S11369" s="2"/>
      <c r="T11369" s="2"/>
      <c r="U11369" s="2"/>
      <c r="V11369" s="2"/>
      <c r="W11369" s="5">
        <v>9.5</v>
      </c>
      <c r="X11369" s="5">
        <v>9.5</v>
      </c>
      <c r="Y11369" s="5">
        <v>9.5</v>
      </c>
      <c r="Z11369" s="5">
        <v>12.2</v>
      </c>
      <c r="AA11369" s="6">
        <v>2.41</v>
      </c>
      <c r="AB11369" s="2" t="s">
        <v>47</v>
      </c>
      <c r="AC11369" s="2"/>
    </row>
    <row r="11370" spans="1:29" ht="65" x14ac:dyDescent="0.15">
      <c r="A11370" s="3">
        <f>DATE(2016,2,17)</f>
        <v>42417</v>
      </c>
      <c r="B11370" s="3">
        <f>DATE(2016,12,6)</f>
        <v>42710</v>
      </c>
      <c r="C11370" s="2" t="s">
        <v>95</v>
      </c>
      <c r="D11370" s="2" t="s">
        <v>30059</v>
      </c>
      <c r="E11370" s="2" t="s">
        <v>30060</v>
      </c>
      <c r="F11370" s="4">
        <v>5045</v>
      </c>
      <c r="G11370" s="2" t="s">
        <v>76</v>
      </c>
      <c r="H11370" s="2" t="s">
        <v>34</v>
      </c>
      <c r="I11370" s="2" t="s">
        <v>32878</v>
      </c>
      <c r="J11370" s="2" t="s">
        <v>29702</v>
      </c>
      <c r="K11370" s="2" t="s">
        <v>173</v>
      </c>
      <c r="L11370" s="2" t="s">
        <v>455</v>
      </c>
      <c r="M11370" s="12">
        <v>2483.1260000000002</v>
      </c>
      <c r="N11370" s="7">
        <v>0.93600000000000005</v>
      </c>
      <c r="O11370" s="7">
        <v>0.93799999999999994</v>
      </c>
      <c r="P11370" s="2" t="s">
        <v>32879</v>
      </c>
      <c r="Q11370" s="6">
        <v>100</v>
      </c>
      <c r="R11370" s="6">
        <v>38.9</v>
      </c>
      <c r="S11370" s="5">
        <v>215.1</v>
      </c>
      <c r="T11370" s="6">
        <v>725.77</v>
      </c>
      <c r="U11370" s="5">
        <v>26.7</v>
      </c>
      <c r="V11370" s="9">
        <v>1.3735999999999999</v>
      </c>
      <c r="W11370" s="6">
        <v>28.02</v>
      </c>
      <c r="X11370" s="6">
        <v>29.42</v>
      </c>
      <c r="Y11370" s="6">
        <v>29.65</v>
      </c>
      <c r="Z11370" s="6">
        <v>36.340000000000003</v>
      </c>
      <c r="AA11370" s="6">
        <v>148.38</v>
      </c>
      <c r="AB11370" s="7">
        <v>10.518000000000001</v>
      </c>
      <c r="AC11370" s="10">
        <v>1391.27</v>
      </c>
    </row>
    <row r="11371" spans="1:29" ht="117" x14ac:dyDescent="0.15">
      <c r="A11371" s="3">
        <f>DATE(2016,2,22)</f>
        <v>42422</v>
      </c>
      <c r="B11371" s="2"/>
      <c r="C11371" s="2" t="s">
        <v>30</v>
      </c>
      <c r="D11371" s="2" t="s">
        <v>32880</v>
      </c>
      <c r="E11371" s="2" t="s">
        <v>32881</v>
      </c>
      <c r="F11371" s="4">
        <v>2834</v>
      </c>
      <c r="G11371" s="2" t="s">
        <v>130</v>
      </c>
      <c r="H11371" s="2" t="s">
        <v>34</v>
      </c>
      <c r="I11371" s="2" t="s">
        <v>51</v>
      </c>
      <c r="J11371" s="2" t="s">
        <v>52</v>
      </c>
      <c r="K11371" s="2" t="s">
        <v>53</v>
      </c>
      <c r="L11371" s="2" t="s">
        <v>455</v>
      </c>
      <c r="M11371" s="2"/>
      <c r="N11371" s="2"/>
      <c r="O11371" s="2"/>
      <c r="P11371" s="2" t="s">
        <v>32882</v>
      </c>
      <c r="Q11371" s="2"/>
      <c r="R11371" s="2"/>
      <c r="S11371" s="5">
        <v>29.5</v>
      </c>
      <c r="T11371" s="7">
        <v>41.667999999999999</v>
      </c>
      <c r="U11371" s="5">
        <v>3.6</v>
      </c>
      <c r="V11371" s="6">
        <v>0.56000000000000005</v>
      </c>
      <c r="W11371" s="6">
        <v>8.7200000000000006</v>
      </c>
      <c r="X11371" s="5">
        <v>9.1</v>
      </c>
      <c r="Y11371" s="6">
        <v>9.17</v>
      </c>
      <c r="Z11371" s="6">
        <v>9.49</v>
      </c>
      <c r="AA11371" s="6">
        <v>49.38</v>
      </c>
      <c r="AB11371" s="2" t="s">
        <v>47</v>
      </c>
      <c r="AC11371" s="2"/>
    </row>
    <row r="11372" spans="1:29" ht="195" x14ac:dyDescent="0.15">
      <c r="A11372" s="3">
        <f>DATE(2016,2,22)</f>
        <v>42422</v>
      </c>
      <c r="B11372" s="2"/>
      <c r="C11372" s="2" t="s">
        <v>30</v>
      </c>
      <c r="D11372" s="2" t="s">
        <v>13850</v>
      </c>
      <c r="E11372" s="2" t="s">
        <v>13851</v>
      </c>
      <c r="F11372" s="4">
        <v>3724</v>
      </c>
      <c r="G11372" s="2" t="s">
        <v>219</v>
      </c>
      <c r="H11372" s="2" t="s">
        <v>34</v>
      </c>
      <c r="I11372" s="2" t="s">
        <v>15992</v>
      </c>
      <c r="J11372" s="2" t="s">
        <v>15993</v>
      </c>
      <c r="K11372" s="2" t="s">
        <v>105</v>
      </c>
      <c r="L11372" s="2" t="s">
        <v>34</v>
      </c>
      <c r="M11372" s="12">
        <v>74224.274000000005</v>
      </c>
      <c r="N11372" s="6">
        <v>105.17</v>
      </c>
      <c r="O11372" s="6">
        <v>103.64</v>
      </c>
      <c r="P11372" s="2" t="s">
        <v>32883</v>
      </c>
      <c r="Q11372" s="2"/>
      <c r="R11372" s="6">
        <v>106.6</v>
      </c>
      <c r="S11372" s="8">
        <v>7608</v>
      </c>
      <c r="T11372" s="8">
        <v>9613</v>
      </c>
      <c r="U11372" s="5">
        <v>32.6</v>
      </c>
      <c r="V11372" s="9">
        <v>4.5244999999999997</v>
      </c>
      <c r="W11372" s="6">
        <v>85.95</v>
      </c>
      <c r="X11372" s="6">
        <v>88.23</v>
      </c>
      <c r="Y11372" s="6">
        <v>92.37</v>
      </c>
      <c r="Z11372" s="5">
        <v>91.6</v>
      </c>
      <c r="AA11372" s="6">
        <v>836.43</v>
      </c>
      <c r="AB11372" s="7">
        <v>13.254</v>
      </c>
      <c r="AC11372" s="8">
        <v>7558</v>
      </c>
    </row>
    <row r="11373" spans="1:29" ht="65" x14ac:dyDescent="0.15">
      <c r="A11373" s="3">
        <f>DATE(2016,2,23)</f>
        <v>42423</v>
      </c>
      <c r="B11373" s="3">
        <f>DATE(2016,7,13)</f>
        <v>42564</v>
      </c>
      <c r="C11373" s="2" t="s">
        <v>95</v>
      </c>
      <c r="D11373" s="2" t="s">
        <v>32884</v>
      </c>
      <c r="E11373" s="2" t="s">
        <v>265</v>
      </c>
      <c r="F11373" s="4">
        <v>6021</v>
      </c>
      <c r="G11373" s="2" t="s">
        <v>37</v>
      </c>
      <c r="H11373" s="2" t="s">
        <v>34</v>
      </c>
      <c r="I11373" s="2" t="s">
        <v>20278</v>
      </c>
      <c r="J11373" s="2" t="s">
        <v>16553</v>
      </c>
      <c r="K11373" s="2" t="s">
        <v>33</v>
      </c>
      <c r="L11373" s="2" t="s">
        <v>34</v>
      </c>
      <c r="M11373" s="7">
        <v>295.71300000000002</v>
      </c>
      <c r="N11373" s="6">
        <v>28.53</v>
      </c>
      <c r="O11373" s="5">
        <v>28.5</v>
      </c>
      <c r="P11373" s="2" t="s">
        <v>32885</v>
      </c>
      <c r="Q11373" s="6">
        <v>100</v>
      </c>
      <c r="R11373" s="6">
        <v>29.35</v>
      </c>
      <c r="S11373" s="2"/>
      <c r="T11373" s="2"/>
      <c r="U11373" s="2"/>
      <c r="V11373" s="2"/>
      <c r="W11373" s="6">
        <v>18.25</v>
      </c>
      <c r="X11373" s="6">
        <v>18.25</v>
      </c>
      <c r="Y11373" s="5">
        <v>27.6</v>
      </c>
      <c r="Z11373" s="6">
        <v>28.25</v>
      </c>
      <c r="AA11373" s="6">
        <v>0.73</v>
      </c>
      <c r="AB11373" s="2" t="s">
        <v>47</v>
      </c>
      <c r="AC11373" s="2"/>
    </row>
    <row r="11374" spans="1:29" ht="52" x14ac:dyDescent="0.15">
      <c r="A11374" s="3">
        <f>DATE(2016,2,23)</f>
        <v>42423</v>
      </c>
      <c r="B11374" s="3">
        <f>DATE(2016,4,29)</f>
        <v>42489</v>
      </c>
      <c r="C11374" s="2" t="s">
        <v>95</v>
      </c>
      <c r="D11374" s="2" t="s">
        <v>32886</v>
      </c>
      <c r="E11374" s="2" t="s">
        <v>32887</v>
      </c>
      <c r="F11374" s="4">
        <v>3821</v>
      </c>
      <c r="G11374" s="2" t="s">
        <v>226</v>
      </c>
      <c r="H11374" s="2" t="s">
        <v>34</v>
      </c>
      <c r="I11374" s="2" t="s">
        <v>17739</v>
      </c>
      <c r="J11374" s="2" t="s">
        <v>17740</v>
      </c>
      <c r="K11374" s="2" t="s">
        <v>226</v>
      </c>
      <c r="L11374" s="2" t="s">
        <v>34</v>
      </c>
      <c r="M11374" s="12">
        <v>1819.8050000000001</v>
      </c>
      <c r="N11374" s="6">
        <v>31.98</v>
      </c>
      <c r="O11374" s="6">
        <v>32.26</v>
      </c>
      <c r="P11374" s="2" t="s">
        <v>32888</v>
      </c>
      <c r="Q11374" s="6">
        <v>100</v>
      </c>
      <c r="R11374" s="6">
        <v>23</v>
      </c>
      <c r="S11374" s="5">
        <v>31.1</v>
      </c>
      <c r="T11374" s="7">
        <v>76.831999999999994</v>
      </c>
      <c r="U11374" s="5">
        <v>9.5</v>
      </c>
      <c r="V11374" s="9">
        <v>0.78139999999999998</v>
      </c>
      <c r="W11374" s="6">
        <v>14.87</v>
      </c>
      <c r="X11374" s="6">
        <v>15.04</v>
      </c>
      <c r="Y11374" s="6">
        <v>22.76</v>
      </c>
      <c r="Z11374" s="6">
        <v>22.89</v>
      </c>
      <c r="AA11374" s="6">
        <v>38.630000000000003</v>
      </c>
      <c r="AB11374" s="7">
        <v>19.062000000000001</v>
      </c>
      <c r="AC11374" s="6">
        <v>659.68</v>
      </c>
    </row>
    <row r="11375" spans="1:29" ht="65" x14ac:dyDescent="0.15">
      <c r="A11375" s="3">
        <f>DATE(2016,2,24)</f>
        <v>42424</v>
      </c>
      <c r="B11375" s="3">
        <f>DATE(2016,5,9)</f>
        <v>42499</v>
      </c>
      <c r="C11375" s="2" t="s">
        <v>95</v>
      </c>
      <c r="D11375" s="2" t="s">
        <v>32889</v>
      </c>
      <c r="E11375" s="2" t="s">
        <v>32890</v>
      </c>
      <c r="F11375" s="4">
        <v>3613</v>
      </c>
      <c r="G11375" s="2" t="s">
        <v>137</v>
      </c>
      <c r="H11375" s="2" t="s">
        <v>34</v>
      </c>
      <c r="I11375" s="2" t="s">
        <v>23913</v>
      </c>
      <c r="J11375" s="2" t="s">
        <v>1977</v>
      </c>
      <c r="K11375" s="2" t="s">
        <v>439</v>
      </c>
      <c r="L11375" s="2" t="s">
        <v>34</v>
      </c>
      <c r="M11375" s="10">
        <v>43301.85</v>
      </c>
      <c r="N11375" s="6">
        <v>48.98</v>
      </c>
      <c r="O11375" s="6">
        <v>49.36</v>
      </c>
      <c r="P11375" s="2" t="s">
        <v>32891</v>
      </c>
      <c r="Q11375" s="6">
        <v>100</v>
      </c>
      <c r="R11375" s="6">
        <v>18.75</v>
      </c>
      <c r="S11375" s="5">
        <v>5.8</v>
      </c>
      <c r="T11375" s="7">
        <v>22.847999999999999</v>
      </c>
      <c r="U11375" s="5">
        <v>7.4</v>
      </c>
      <c r="V11375" s="6">
        <v>0.26</v>
      </c>
      <c r="W11375" s="6">
        <v>10.61</v>
      </c>
      <c r="X11375" s="6">
        <v>10.43</v>
      </c>
      <c r="Y11375" s="6">
        <v>9.8699999999999992</v>
      </c>
      <c r="Z11375" s="6">
        <v>18.54</v>
      </c>
      <c r="AA11375" s="6">
        <v>22.5</v>
      </c>
      <c r="AB11375" s="7">
        <v>34.250999999999998</v>
      </c>
      <c r="AC11375" s="8">
        <v>1433</v>
      </c>
    </row>
    <row r="11376" spans="1:29" ht="169" x14ac:dyDescent="0.15">
      <c r="A11376" s="3">
        <f>DATE(2016,2,26)</f>
        <v>42426</v>
      </c>
      <c r="B11376" s="3">
        <f>DATE(2016,8,31)</f>
        <v>42613</v>
      </c>
      <c r="C11376" s="2" t="s">
        <v>95</v>
      </c>
      <c r="D11376" s="2" t="s">
        <v>32892</v>
      </c>
      <c r="E11376" s="2" t="s">
        <v>92</v>
      </c>
      <c r="F11376" s="4">
        <v>6798</v>
      </c>
      <c r="G11376" s="2" t="s">
        <v>53</v>
      </c>
      <c r="H11376" s="2" t="s">
        <v>34</v>
      </c>
      <c r="I11376" s="2" t="s">
        <v>32893</v>
      </c>
      <c r="J11376" s="2" t="s">
        <v>92</v>
      </c>
      <c r="K11376" s="2" t="s">
        <v>53</v>
      </c>
      <c r="L11376" s="2" t="s">
        <v>34</v>
      </c>
      <c r="M11376" s="12">
        <v>1071.4259999999999</v>
      </c>
      <c r="N11376" s="6">
        <v>15.52</v>
      </c>
      <c r="O11376" s="6">
        <v>15.45</v>
      </c>
      <c r="P11376" s="2" t="s">
        <v>32894</v>
      </c>
      <c r="Q11376" s="6">
        <v>100</v>
      </c>
      <c r="R11376" s="6">
        <v>13.79</v>
      </c>
      <c r="S11376" s="5">
        <v>-16.2</v>
      </c>
      <c r="T11376" s="2"/>
      <c r="U11376" s="5">
        <v>20.8</v>
      </c>
      <c r="V11376" s="9">
        <v>-0.93940000000000001</v>
      </c>
      <c r="W11376" s="6">
        <v>9.93</v>
      </c>
      <c r="X11376" s="6">
        <v>10.14</v>
      </c>
      <c r="Y11376" s="6">
        <v>12.92</v>
      </c>
      <c r="Z11376" s="5">
        <v>12.9</v>
      </c>
      <c r="AA11376" s="6">
        <v>31.85</v>
      </c>
      <c r="AB11376" s="2" t="s">
        <v>86</v>
      </c>
      <c r="AC11376" s="6">
        <v>106.07</v>
      </c>
    </row>
    <row r="11377" spans="1:29" ht="91" x14ac:dyDescent="0.15">
      <c r="A11377" s="3">
        <f>DATE(2016,2,29)</f>
        <v>42429</v>
      </c>
      <c r="B11377" s="3">
        <f>DATE(2016,4,22)</f>
        <v>42482</v>
      </c>
      <c r="C11377" s="2" t="s">
        <v>95</v>
      </c>
      <c r="D11377" s="2" t="s">
        <v>29135</v>
      </c>
      <c r="E11377" s="2" t="s">
        <v>26441</v>
      </c>
      <c r="F11377" s="4">
        <v>3674</v>
      </c>
      <c r="G11377" s="2" t="s">
        <v>137</v>
      </c>
      <c r="H11377" s="2" t="s">
        <v>34</v>
      </c>
      <c r="I11377" s="2" t="s">
        <v>12401</v>
      </c>
      <c r="J11377" s="2" t="s">
        <v>244</v>
      </c>
      <c r="K11377" s="2" t="s">
        <v>53</v>
      </c>
      <c r="L11377" s="2" t="s">
        <v>34</v>
      </c>
      <c r="M11377" s="2"/>
      <c r="N11377" s="2"/>
      <c r="O11377" s="2"/>
      <c r="P11377" s="2" t="s">
        <v>32895</v>
      </c>
      <c r="Q11377" s="6">
        <v>100</v>
      </c>
      <c r="R11377" s="6">
        <v>2</v>
      </c>
      <c r="S11377" s="2"/>
      <c r="T11377" s="2"/>
      <c r="U11377" s="2"/>
      <c r="V11377" s="2"/>
      <c r="W11377" s="6">
        <v>1.01</v>
      </c>
      <c r="X11377" s="6">
        <v>1.01</v>
      </c>
      <c r="Y11377" s="6">
        <v>1.95</v>
      </c>
      <c r="Z11377" s="6">
        <v>1.96</v>
      </c>
      <c r="AA11377" s="6">
        <v>55.85</v>
      </c>
      <c r="AB11377" s="2" t="s">
        <v>47</v>
      </c>
      <c r="AC11377" s="2"/>
    </row>
    <row r="11378" spans="1:29" ht="208" x14ac:dyDescent="0.15">
      <c r="A11378" s="3">
        <f>DATE(2016,2,29)</f>
        <v>42429</v>
      </c>
      <c r="B11378" s="3">
        <f>DATE(2017,1,23)</f>
        <v>42758</v>
      </c>
      <c r="C11378" s="2" t="s">
        <v>95</v>
      </c>
      <c r="D11378" s="2" t="s">
        <v>32896</v>
      </c>
      <c r="E11378" s="2" t="s">
        <v>32897</v>
      </c>
      <c r="F11378" s="4">
        <v>3714</v>
      </c>
      <c r="G11378" s="2" t="s">
        <v>105</v>
      </c>
      <c r="H11378" s="2" t="s">
        <v>34</v>
      </c>
      <c r="I11378" s="2" t="s">
        <v>30246</v>
      </c>
      <c r="J11378" s="2" t="s">
        <v>6237</v>
      </c>
      <c r="K11378" s="2" t="s">
        <v>53</v>
      </c>
      <c r="L11378" s="2" t="s">
        <v>34</v>
      </c>
      <c r="M11378" s="2"/>
      <c r="N11378" s="2"/>
      <c r="O11378" s="2"/>
      <c r="P11378" s="2" t="s">
        <v>32898</v>
      </c>
      <c r="Q11378" s="6">
        <v>18.010000000000002</v>
      </c>
      <c r="R11378" s="6">
        <v>10</v>
      </c>
      <c r="S11378" s="5">
        <v>82</v>
      </c>
      <c r="T11378" s="5">
        <v>623</v>
      </c>
      <c r="U11378" s="5">
        <v>4.4000000000000004</v>
      </c>
      <c r="V11378" s="9">
        <v>0.48520000000000002</v>
      </c>
      <c r="W11378" s="6">
        <v>4.4400000000000004</v>
      </c>
      <c r="X11378" s="6">
        <v>4.9800000000000004</v>
      </c>
      <c r="Y11378" s="6">
        <v>7.26</v>
      </c>
      <c r="Z11378" s="6">
        <v>7.36</v>
      </c>
      <c r="AA11378" s="6">
        <v>169.04</v>
      </c>
      <c r="AB11378" s="7">
        <v>17.803999999999998</v>
      </c>
      <c r="AC11378" s="2"/>
    </row>
    <row r="11379" spans="1:29" ht="91" x14ac:dyDescent="0.15">
      <c r="A11379" s="3">
        <f>DATE(2016,3,1)</f>
        <v>42430</v>
      </c>
      <c r="B11379" s="2"/>
      <c r="C11379" s="2" t="s">
        <v>87</v>
      </c>
      <c r="D11379" s="2" t="s">
        <v>8699</v>
      </c>
      <c r="E11379" s="2" t="s">
        <v>8700</v>
      </c>
      <c r="F11379" s="4">
        <v>4011</v>
      </c>
      <c r="G11379" s="2" t="s">
        <v>173</v>
      </c>
      <c r="H11379" s="2" t="s">
        <v>34</v>
      </c>
      <c r="I11379" s="2" t="s">
        <v>31778</v>
      </c>
      <c r="J11379" s="2" t="s">
        <v>31779</v>
      </c>
      <c r="K11379" s="2" t="s">
        <v>173</v>
      </c>
      <c r="L11379" s="2" t="s">
        <v>902</v>
      </c>
      <c r="M11379" s="12">
        <v>17327.561000000002</v>
      </c>
      <c r="N11379" s="7">
        <v>123.133</v>
      </c>
      <c r="O11379" s="7">
        <v>120.21599999999999</v>
      </c>
      <c r="P11379" s="2" t="s">
        <v>32899</v>
      </c>
      <c r="Q11379" s="2"/>
      <c r="R11379" s="2"/>
      <c r="S11379" s="8">
        <v>1967</v>
      </c>
      <c r="T11379" s="8">
        <v>4792</v>
      </c>
      <c r="U11379" s="5">
        <v>12.1</v>
      </c>
      <c r="V11379" s="7">
        <v>1.9990000000000001</v>
      </c>
      <c r="W11379" s="6">
        <v>24.38</v>
      </c>
      <c r="X11379" s="6">
        <v>24.14</v>
      </c>
      <c r="Y11379" s="6">
        <v>24.64</v>
      </c>
      <c r="Z11379" s="6">
        <v>24.55</v>
      </c>
      <c r="AA11379" s="6">
        <v>963.15</v>
      </c>
      <c r="AB11379" s="2" t="s">
        <v>47</v>
      </c>
      <c r="AC11379" s="6">
        <v>468.84</v>
      </c>
    </row>
    <row r="11380" spans="1:29" ht="78" x14ac:dyDescent="0.15">
      <c r="A11380" s="3">
        <f>DATE(2016,3,2)</f>
        <v>42431</v>
      </c>
      <c r="B11380" s="3">
        <f>DATE(2016,5,13)</f>
        <v>42503</v>
      </c>
      <c r="C11380" s="2" t="s">
        <v>95</v>
      </c>
      <c r="D11380" s="2" t="s">
        <v>9412</v>
      </c>
      <c r="E11380" s="2" t="s">
        <v>9413</v>
      </c>
      <c r="F11380" s="4">
        <v>3812</v>
      </c>
      <c r="G11380" s="2" t="s">
        <v>226</v>
      </c>
      <c r="H11380" s="2" t="s">
        <v>34</v>
      </c>
      <c r="I11380" s="2" t="s">
        <v>9922</v>
      </c>
      <c r="J11380" s="2" t="s">
        <v>9923</v>
      </c>
      <c r="K11380" s="2" t="s">
        <v>282</v>
      </c>
      <c r="L11380" s="2" t="s">
        <v>902</v>
      </c>
      <c r="M11380" s="12">
        <v>4513.9309999999996</v>
      </c>
      <c r="N11380" s="7">
        <v>174.428</v>
      </c>
      <c r="O11380" s="7">
        <v>163.61099999999999</v>
      </c>
      <c r="P11380" s="2" t="s">
        <v>32900</v>
      </c>
      <c r="Q11380" s="6">
        <v>100</v>
      </c>
      <c r="R11380" s="6">
        <v>10.15</v>
      </c>
      <c r="S11380" s="5">
        <v>-26.2</v>
      </c>
      <c r="T11380" s="7">
        <v>44.395000000000003</v>
      </c>
      <c r="U11380" s="5">
        <v>6.6</v>
      </c>
      <c r="V11380" s="9">
        <v>-0.61339999999999995</v>
      </c>
      <c r="W11380" s="6">
        <v>6.94</v>
      </c>
      <c r="X11380" s="6">
        <v>7.89</v>
      </c>
      <c r="Y11380" s="5">
        <v>10.199999999999999</v>
      </c>
      <c r="Z11380" s="6">
        <v>10.210000000000001</v>
      </c>
      <c r="AA11380" s="6">
        <v>42.52</v>
      </c>
      <c r="AB11380" s="7">
        <v>20.622</v>
      </c>
      <c r="AC11380" s="6">
        <v>292.62</v>
      </c>
    </row>
    <row r="11381" spans="1:29" ht="91" x14ac:dyDescent="0.15">
      <c r="A11381" s="3">
        <f>DATE(2016,3,2)</f>
        <v>42431</v>
      </c>
      <c r="B11381" s="3">
        <f>DATE(2016,4,6)</f>
        <v>42466</v>
      </c>
      <c r="C11381" s="2" t="s">
        <v>95</v>
      </c>
      <c r="D11381" s="2" t="s">
        <v>32901</v>
      </c>
      <c r="E11381" s="2" t="s">
        <v>92</v>
      </c>
      <c r="F11381" s="4">
        <v>6798</v>
      </c>
      <c r="G11381" s="2" t="s">
        <v>53</v>
      </c>
      <c r="H11381" s="2" t="s">
        <v>34</v>
      </c>
      <c r="I11381" s="2" t="s">
        <v>32902</v>
      </c>
      <c r="J11381" s="2" t="s">
        <v>32903</v>
      </c>
      <c r="K11381" s="2" t="s">
        <v>53</v>
      </c>
      <c r="L11381" s="2" t="s">
        <v>34</v>
      </c>
      <c r="M11381" s="7">
        <v>701.00099999999998</v>
      </c>
      <c r="N11381" s="6">
        <v>19.809999999999999</v>
      </c>
      <c r="O11381" s="6">
        <v>20.25</v>
      </c>
      <c r="P11381" s="2" t="s">
        <v>32904</v>
      </c>
      <c r="Q11381" s="6">
        <v>100</v>
      </c>
      <c r="R11381" s="6">
        <v>7.18</v>
      </c>
      <c r="S11381" s="5">
        <v>-0.3</v>
      </c>
      <c r="T11381" s="2"/>
      <c r="U11381" s="5">
        <v>9.5</v>
      </c>
      <c r="V11381" s="9">
        <v>-2.4299999999999999E-2</v>
      </c>
      <c r="W11381" s="6">
        <v>5.63</v>
      </c>
      <c r="X11381" s="4">
        <v>6</v>
      </c>
      <c r="Y11381" s="6">
        <v>7.04</v>
      </c>
      <c r="Z11381" s="6">
        <v>7.06</v>
      </c>
      <c r="AA11381" s="6">
        <v>11.87</v>
      </c>
      <c r="AB11381" s="2" t="s">
        <v>86</v>
      </c>
      <c r="AC11381" s="6">
        <v>553.72</v>
      </c>
    </row>
    <row r="11382" spans="1:29" ht="156" x14ac:dyDescent="0.15">
      <c r="A11382" s="3">
        <f>DATE(2016,3,3)</f>
        <v>42432</v>
      </c>
      <c r="B11382" s="3">
        <f>DATE(2016,12,21)</f>
        <v>42725</v>
      </c>
      <c r="C11382" s="2" t="s">
        <v>95</v>
      </c>
      <c r="D11382" s="2" t="s">
        <v>31380</v>
      </c>
      <c r="E11382" s="2" t="s">
        <v>31381</v>
      </c>
      <c r="F11382" s="4">
        <v>7832</v>
      </c>
      <c r="G11382" s="2" t="s">
        <v>42</v>
      </c>
      <c r="H11382" s="2" t="s">
        <v>34</v>
      </c>
      <c r="I11382" s="2" t="s">
        <v>32905</v>
      </c>
      <c r="J11382" s="2" t="s">
        <v>32906</v>
      </c>
      <c r="K11382" s="2" t="s">
        <v>42</v>
      </c>
      <c r="L11382" s="2" t="s">
        <v>34</v>
      </c>
      <c r="M11382" s="12">
        <v>2104.8670000000002</v>
      </c>
      <c r="N11382" s="5">
        <v>25.7</v>
      </c>
      <c r="O11382" s="6">
        <v>27.02</v>
      </c>
      <c r="P11382" s="2" t="s">
        <v>32907</v>
      </c>
      <c r="Q11382" s="6">
        <v>100</v>
      </c>
      <c r="R11382" s="6">
        <v>33.06</v>
      </c>
      <c r="S11382" s="5">
        <v>-0.4</v>
      </c>
      <c r="T11382" s="7">
        <v>121.768</v>
      </c>
      <c r="U11382" s="2"/>
      <c r="V11382" s="6">
        <v>-0.02</v>
      </c>
      <c r="W11382" s="6">
        <v>30.28</v>
      </c>
      <c r="X11382" s="6">
        <v>31.03</v>
      </c>
      <c r="Y11382" s="6">
        <v>34.049999999999997</v>
      </c>
      <c r="Z11382" s="6">
        <v>33.64</v>
      </c>
      <c r="AA11382" s="6">
        <v>24.6</v>
      </c>
      <c r="AB11382" s="7">
        <v>18.036000000000001</v>
      </c>
      <c r="AC11382" s="6">
        <v>93.32</v>
      </c>
    </row>
    <row r="11383" spans="1:29" ht="65" x14ac:dyDescent="0.15">
      <c r="A11383" s="3">
        <f>DATE(2016,3,3)</f>
        <v>42432</v>
      </c>
      <c r="B11383" s="3">
        <f>DATE(2016,8,1)</f>
        <v>42583</v>
      </c>
      <c r="C11383" s="2" t="s">
        <v>95</v>
      </c>
      <c r="D11383" s="2" t="s">
        <v>32908</v>
      </c>
      <c r="E11383" s="2" t="s">
        <v>32909</v>
      </c>
      <c r="F11383" s="4">
        <v>3172</v>
      </c>
      <c r="G11383" s="2" t="s">
        <v>326</v>
      </c>
      <c r="H11383" s="2" t="s">
        <v>34</v>
      </c>
      <c r="I11383" s="2" t="s">
        <v>32910</v>
      </c>
      <c r="J11383" s="2" t="s">
        <v>32911</v>
      </c>
      <c r="K11383" s="2" t="s">
        <v>326</v>
      </c>
      <c r="L11383" s="2" t="s">
        <v>1086</v>
      </c>
      <c r="M11383" s="12">
        <v>3855.8850000000002</v>
      </c>
      <c r="N11383" s="7">
        <v>3.0510000000000002</v>
      </c>
      <c r="O11383" s="7">
        <v>3.0910000000000002</v>
      </c>
      <c r="P11383" s="2" t="s">
        <v>32912</v>
      </c>
      <c r="Q11383" s="6">
        <v>100</v>
      </c>
      <c r="R11383" s="6">
        <v>26.75</v>
      </c>
      <c r="S11383" s="5">
        <v>63</v>
      </c>
      <c r="T11383" s="7">
        <v>118.38200000000001</v>
      </c>
      <c r="U11383" s="5">
        <v>7.1</v>
      </c>
      <c r="V11383" s="9">
        <v>0.92830000000000001</v>
      </c>
      <c r="W11383" s="6">
        <v>17.989999999999998</v>
      </c>
      <c r="X11383" s="5">
        <v>19.8</v>
      </c>
      <c r="Y11383" s="6">
        <v>20.13</v>
      </c>
      <c r="Z11383" s="5">
        <v>26.2</v>
      </c>
      <c r="AA11383" s="6">
        <v>67.39</v>
      </c>
      <c r="AB11383" s="7">
        <v>17.696999999999999</v>
      </c>
      <c r="AC11383" s="6">
        <v>180.9</v>
      </c>
    </row>
    <row r="11384" spans="1:29" ht="104" x14ac:dyDescent="0.15">
      <c r="A11384" s="3">
        <f>DATE(2016,3,4)</f>
        <v>42433</v>
      </c>
      <c r="B11384" s="2"/>
      <c r="C11384" s="2" t="s">
        <v>87</v>
      </c>
      <c r="D11384" s="2" t="s">
        <v>14014</v>
      </c>
      <c r="E11384" s="2" t="s">
        <v>14015</v>
      </c>
      <c r="F11384" s="4">
        <v>2821</v>
      </c>
      <c r="G11384" s="2" t="s">
        <v>98</v>
      </c>
      <c r="H11384" s="2" t="s">
        <v>34</v>
      </c>
      <c r="I11384" s="2" t="s">
        <v>26963</v>
      </c>
      <c r="J11384" s="2" t="s">
        <v>26964</v>
      </c>
      <c r="K11384" s="2" t="s">
        <v>98</v>
      </c>
      <c r="L11384" s="2" t="s">
        <v>1049</v>
      </c>
      <c r="M11384" s="12">
        <v>61221.197</v>
      </c>
      <c r="N11384" s="6">
        <v>69.91</v>
      </c>
      <c r="O11384" s="7">
        <v>70.272999999999996</v>
      </c>
      <c r="P11384" s="2" t="s">
        <v>32913</v>
      </c>
      <c r="Q11384" s="2"/>
      <c r="R11384" s="2"/>
      <c r="S11384" s="8">
        <v>1953</v>
      </c>
      <c r="T11384" s="8">
        <v>4536</v>
      </c>
      <c r="U11384" s="5">
        <v>11.2</v>
      </c>
      <c r="V11384" s="9">
        <v>2.0889000000000002</v>
      </c>
      <c r="W11384" s="6">
        <v>61.51</v>
      </c>
      <c r="X11384" s="6">
        <v>61.91</v>
      </c>
      <c r="Y11384" s="6">
        <v>63.18</v>
      </c>
      <c r="Z11384" s="6">
        <v>64.709999999999994</v>
      </c>
      <c r="AA11384" s="6">
        <v>871.68</v>
      </c>
      <c r="AB11384" s="2" t="s">
        <v>47</v>
      </c>
      <c r="AC11384" s="8">
        <v>2972.3</v>
      </c>
    </row>
    <row r="11385" spans="1:29" ht="52" x14ac:dyDescent="0.15">
      <c r="A11385" s="3">
        <f>DATE(2016,3,7)</f>
        <v>42436</v>
      </c>
      <c r="B11385" s="2"/>
      <c r="C11385" s="2" t="s">
        <v>39</v>
      </c>
      <c r="D11385" s="2" t="s">
        <v>368</v>
      </c>
      <c r="E11385" s="2" t="s">
        <v>369</v>
      </c>
      <c r="F11385" s="4">
        <v>6141</v>
      </c>
      <c r="G11385" s="2" t="s">
        <v>370</v>
      </c>
      <c r="H11385" s="2" t="s">
        <v>34</v>
      </c>
      <c r="I11385" s="2" t="s">
        <v>12303</v>
      </c>
      <c r="J11385" s="2" t="s">
        <v>36</v>
      </c>
      <c r="K11385" s="2" t="s">
        <v>37</v>
      </c>
      <c r="L11385" s="2" t="s">
        <v>34</v>
      </c>
      <c r="M11385" s="12">
        <v>236067.12599999999</v>
      </c>
      <c r="N11385" s="6">
        <v>50.07</v>
      </c>
      <c r="O11385" s="6">
        <v>49.05</v>
      </c>
      <c r="P11385" s="2" t="s">
        <v>32914</v>
      </c>
      <c r="Q11385" s="2"/>
      <c r="R11385" s="2"/>
      <c r="S11385" s="8">
        <v>5125</v>
      </c>
      <c r="T11385" s="8">
        <v>9673</v>
      </c>
      <c r="U11385" s="5">
        <v>21.3</v>
      </c>
      <c r="V11385" s="9">
        <v>5.0479000000000003</v>
      </c>
      <c r="W11385" s="6">
        <v>55.58</v>
      </c>
      <c r="X11385" s="6">
        <v>58.29</v>
      </c>
      <c r="Y11385" s="4">
        <v>59</v>
      </c>
      <c r="Z11385" s="6">
        <v>59.43</v>
      </c>
      <c r="AA11385" s="6">
        <v>964.05</v>
      </c>
      <c r="AB11385" s="2" t="s">
        <v>47</v>
      </c>
      <c r="AC11385" s="2"/>
    </row>
    <row r="11386" spans="1:29" ht="104" x14ac:dyDescent="0.15">
      <c r="A11386" s="3">
        <f>DATE(2016,3,7)</f>
        <v>42436</v>
      </c>
      <c r="B11386" s="3">
        <f>DATE(2016,11,10)</f>
        <v>42684</v>
      </c>
      <c r="C11386" s="2" t="s">
        <v>95</v>
      </c>
      <c r="D11386" s="2" t="s">
        <v>31226</v>
      </c>
      <c r="E11386" s="2" t="s">
        <v>31227</v>
      </c>
      <c r="F11386" s="4">
        <v>6331</v>
      </c>
      <c r="G11386" s="2" t="s">
        <v>125</v>
      </c>
      <c r="H11386" s="2" t="s">
        <v>34</v>
      </c>
      <c r="I11386" s="2" t="s">
        <v>31228</v>
      </c>
      <c r="J11386" s="2" t="s">
        <v>124</v>
      </c>
      <c r="K11386" s="2" t="s">
        <v>125</v>
      </c>
      <c r="L11386" s="2" t="s">
        <v>34</v>
      </c>
      <c r="M11386" s="2"/>
      <c r="N11386" s="6">
        <v>68.63</v>
      </c>
      <c r="O11386" s="2"/>
      <c r="P11386" s="2" t="s">
        <v>32915</v>
      </c>
      <c r="Q11386" s="6">
        <v>49.21</v>
      </c>
      <c r="R11386" s="6">
        <v>32</v>
      </c>
      <c r="S11386" s="5">
        <v>23</v>
      </c>
      <c r="T11386" s="7">
        <v>35.558</v>
      </c>
      <c r="U11386" s="5">
        <v>19.2</v>
      </c>
      <c r="V11386" s="9">
        <v>1.1528</v>
      </c>
      <c r="W11386" s="6">
        <v>22.26</v>
      </c>
      <c r="X11386" s="6">
        <v>22.61</v>
      </c>
      <c r="Y11386" s="6">
        <v>29.54</v>
      </c>
      <c r="Z11386" s="6">
        <v>29.82</v>
      </c>
      <c r="AA11386" s="6">
        <v>19.899999999999999</v>
      </c>
      <c r="AB11386" s="7">
        <v>18.579999999999998</v>
      </c>
      <c r="AC11386" s="2"/>
    </row>
    <row r="11387" spans="1:29" ht="78" x14ac:dyDescent="0.15">
      <c r="A11387" s="3">
        <f>DATE(2016,3,9)</f>
        <v>42438</v>
      </c>
      <c r="B11387" s="3">
        <f>DATE(2016,5,2)</f>
        <v>42492</v>
      </c>
      <c r="C11387" s="2" t="s">
        <v>95</v>
      </c>
      <c r="D11387" s="2" t="s">
        <v>23249</v>
      </c>
      <c r="E11387" s="2" t="s">
        <v>3892</v>
      </c>
      <c r="F11387" s="4">
        <v>4841</v>
      </c>
      <c r="G11387" s="2" t="s">
        <v>45</v>
      </c>
      <c r="H11387" s="2" t="s">
        <v>34</v>
      </c>
      <c r="I11387" s="2" t="s">
        <v>5329</v>
      </c>
      <c r="J11387" s="2" t="s">
        <v>5330</v>
      </c>
      <c r="K11387" s="2" t="s">
        <v>186</v>
      </c>
      <c r="L11387" s="2" t="s">
        <v>34</v>
      </c>
      <c r="M11387" s="2"/>
      <c r="N11387" s="2"/>
      <c r="O11387" s="2"/>
      <c r="P11387" s="2" t="s">
        <v>32916</v>
      </c>
      <c r="Q11387" s="6">
        <v>9.6999999999999993</v>
      </c>
      <c r="R11387" s="6">
        <v>5.05</v>
      </c>
      <c r="S11387" s="5">
        <v>86.1</v>
      </c>
      <c r="T11387" s="7">
        <v>368.28100000000001</v>
      </c>
      <c r="U11387" s="5">
        <v>1.6</v>
      </c>
      <c r="V11387" s="9">
        <v>0.23930000000000001</v>
      </c>
      <c r="W11387" s="6">
        <v>4.62</v>
      </c>
      <c r="X11387" s="6">
        <v>4.93</v>
      </c>
      <c r="Y11387" s="5">
        <v>5.0999999999999996</v>
      </c>
      <c r="Z11387" s="6">
        <v>5.0599999999999996</v>
      </c>
      <c r="AA11387" s="6">
        <v>359.68</v>
      </c>
      <c r="AB11387" s="7">
        <v>11.272</v>
      </c>
      <c r="AC11387" s="2"/>
    </row>
    <row r="11388" spans="1:29" ht="130" x14ac:dyDescent="0.15">
      <c r="A11388" s="3">
        <f>DATE(2016,3,10)</f>
        <v>42439</v>
      </c>
      <c r="B11388" s="3">
        <f>DATE(2016,7,31)</f>
        <v>42582</v>
      </c>
      <c r="C11388" s="2" t="s">
        <v>95</v>
      </c>
      <c r="D11388" s="2" t="s">
        <v>25570</v>
      </c>
      <c r="E11388" s="2" t="s">
        <v>159</v>
      </c>
      <c r="F11388" s="4">
        <v>6712</v>
      </c>
      <c r="G11388" s="2" t="s">
        <v>37</v>
      </c>
      <c r="H11388" s="2" t="s">
        <v>34</v>
      </c>
      <c r="I11388" s="2" t="s">
        <v>28859</v>
      </c>
      <c r="J11388" s="2" t="s">
        <v>36</v>
      </c>
      <c r="K11388" s="2" t="s">
        <v>37</v>
      </c>
      <c r="L11388" s="2" t="s">
        <v>34</v>
      </c>
      <c r="M11388" s="7">
        <v>100.188</v>
      </c>
      <c r="N11388" s="5">
        <v>26.5</v>
      </c>
      <c r="O11388" s="5">
        <v>26.8</v>
      </c>
      <c r="P11388" s="2" t="s">
        <v>32917</v>
      </c>
      <c r="Q11388" s="6">
        <v>100</v>
      </c>
      <c r="R11388" s="6">
        <v>16.68</v>
      </c>
      <c r="S11388" s="2"/>
      <c r="T11388" s="2"/>
      <c r="U11388" s="2"/>
      <c r="V11388" s="2"/>
      <c r="W11388" s="5">
        <v>13.6</v>
      </c>
      <c r="X11388" s="6">
        <v>13.11</v>
      </c>
      <c r="Y11388" s="6">
        <v>13.11</v>
      </c>
      <c r="Z11388" s="5">
        <v>15.8</v>
      </c>
      <c r="AA11388" s="6">
        <v>0.93</v>
      </c>
      <c r="AB11388" s="2" t="s">
        <v>47</v>
      </c>
      <c r="AC11388" s="2"/>
    </row>
    <row r="11389" spans="1:29" ht="65" x14ac:dyDescent="0.15">
      <c r="A11389" s="3">
        <f>DATE(2016,3,10)</f>
        <v>42439</v>
      </c>
      <c r="B11389" s="3">
        <f>DATE(2016,7,1)</f>
        <v>42552</v>
      </c>
      <c r="C11389" s="2" t="s">
        <v>95</v>
      </c>
      <c r="D11389" s="2" t="s">
        <v>32918</v>
      </c>
      <c r="E11389" s="2" t="s">
        <v>672</v>
      </c>
      <c r="F11389" s="4">
        <v>6021</v>
      </c>
      <c r="G11389" s="2" t="s">
        <v>37</v>
      </c>
      <c r="H11389" s="2" t="s">
        <v>34</v>
      </c>
      <c r="I11389" s="2" t="s">
        <v>32919</v>
      </c>
      <c r="J11389" s="2" t="s">
        <v>483</v>
      </c>
      <c r="K11389" s="2" t="s">
        <v>53</v>
      </c>
      <c r="L11389" s="2" t="s">
        <v>34</v>
      </c>
      <c r="M11389" s="2"/>
      <c r="N11389" s="2"/>
      <c r="O11389" s="2"/>
      <c r="P11389" s="2" t="s">
        <v>32920</v>
      </c>
      <c r="Q11389" s="6">
        <v>100</v>
      </c>
      <c r="R11389" s="6">
        <v>11.22</v>
      </c>
      <c r="S11389" s="5">
        <v>2.6</v>
      </c>
      <c r="T11389" s="6">
        <v>7.91</v>
      </c>
      <c r="U11389" s="5">
        <v>6.3</v>
      </c>
      <c r="V11389" s="7">
        <v>0.25900000000000001</v>
      </c>
      <c r="W11389" s="4">
        <v>8</v>
      </c>
      <c r="X11389" s="4">
        <v>8</v>
      </c>
      <c r="Y11389" s="6">
        <v>8.23</v>
      </c>
      <c r="Z11389" s="6">
        <v>10.87</v>
      </c>
      <c r="AA11389" s="6">
        <v>10.34</v>
      </c>
      <c r="AB11389" s="7">
        <v>24.652999999999999</v>
      </c>
      <c r="AC11389" s="2"/>
    </row>
    <row r="11390" spans="1:29" ht="104" x14ac:dyDescent="0.15">
      <c r="A11390" s="3">
        <f>DATE(2016,3,10)</f>
        <v>42439</v>
      </c>
      <c r="B11390" s="3">
        <f>DATE(2016,7,18)</f>
        <v>42569</v>
      </c>
      <c r="C11390" s="2" t="s">
        <v>95</v>
      </c>
      <c r="D11390" s="2" t="s">
        <v>32921</v>
      </c>
      <c r="E11390" s="2" t="s">
        <v>159</v>
      </c>
      <c r="F11390" s="4">
        <v>6021</v>
      </c>
      <c r="G11390" s="2" t="s">
        <v>37</v>
      </c>
      <c r="H11390" s="2" t="s">
        <v>34</v>
      </c>
      <c r="I11390" s="2" t="s">
        <v>32034</v>
      </c>
      <c r="J11390" s="2" t="s">
        <v>36</v>
      </c>
      <c r="K11390" s="2" t="s">
        <v>37</v>
      </c>
      <c r="L11390" s="2" t="s">
        <v>34</v>
      </c>
      <c r="M11390" s="7">
        <v>288.89499999999998</v>
      </c>
      <c r="N11390" s="6">
        <v>23.89</v>
      </c>
      <c r="O11390" s="6">
        <v>23.11</v>
      </c>
      <c r="P11390" s="2" t="s">
        <v>32922</v>
      </c>
      <c r="Q11390" s="6">
        <v>100</v>
      </c>
      <c r="R11390" s="6">
        <v>17.5</v>
      </c>
      <c r="S11390" s="5">
        <v>4.5999999999999996</v>
      </c>
      <c r="T11390" s="7">
        <v>6.1470000000000002</v>
      </c>
      <c r="U11390" s="5">
        <v>15.3</v>
      </c>
      <c r="V11390" s="7">
        <v>0.85599999999999998</v>
      </c>
      <c r="W11390" s="6">
        <v>14.45</v>
      </c>
      <c r="X11390" s="5">
        <v>14.6</v>
      </c>
      <c r="Y11390" s="6">
        <v>14.61</v>
      </c>
      <c r="Z11390" s="5">
        <v>15.2</v>
      </c>
      <c r="AA11390" s="6">
        <v>5.58</v>
      </c>
      <c r="AB11390" s="7">
        <v>29.175000000000001</v>
      </c>
      <c r="AC11390" s="2"/>
    </row>
    <row r="11391" spans="1:29" ht="65" x14ac:dyDescent="0.15">
      <c r="A11391" s="3">
        <f>DATE(2016,3,10)</f>
        <v>42439</v>
      </c>
      <c r="B11391" s="2"/>
      <c r="C11391" s="2" t="s">
        <v>39</v>
      </c>
      <c r="D11391" s="2" t="s">
        <v>32923</v>
      </c>
      <c r="E11391" s="2" t="s">
        <v>13887</v>
      </c>
      <c r="F11391" s="4">
        <v>3674</v>
      </c>
      <c r="G11391" s="2" t="s">
        <v>137</v>
      </c>
      <c r="H11391" s="2" t="s">
        <v>1791</v>
      </c>
      <c r="I11391" s="2" t="s">
        <v>31113</v>
      </c>
      <c r="J11391" s="2" t="s">
        <v>31114</v>
      </c>
      <c r="K11391" s="2" t="s">
        <v>137</v>
      </c>
      <c r="L11391" s="2" t="s">
        <v>34</v>
      </c>
      <c r="M11391" s="12">
        <v>30209.161</v>
      </c>
      <c r="N11391" s="2"/>
      <c r="O11391" s="2"/>
      <c r="P11391" s="2" t="s">
        <v>32924</v>
      </c>
      <c r="Q11391" s="2"/>
      <c r="R11391" s="2"/>
      <c r="S11391" s="5">
        <v>-811.4</v>
      </c>
      <c r="T11391" s="7">
        <v>14.756</v>
      </c>
      <c r="U11391" s="5">
        <v>8.1999999999999993</v>
      </c>
      <c r="V11391" s="7">
        <v>-1.5880000000000001</v>
      </c>
      <c r="W11391" s="6">
        <v>12.51</v>
      </c>
      <c r="X11391" s="6">
        <v>12.85</v>
      </c>
      <c r="Y11391" s="6">
        <v>12.58</v>
      </c>
      <c r="Z11391" s="6">
        <v>12.58</v>
      </c>
      <c r="AA11391" s="6">
        <v>517.6</v>
      </c>
      <c r="AB11391" s="2" t="s">
        <v>47</v>
      </c>
      <c r="AC11391" s="10">
        <v>2570.8200000000002</v>
      </c>
    </row>
    <row r="11392" spans="1:29" ht="91" x14ac:dyDescent="0.15">
      <c r="A11392" s="3">
        <f>DATE(2016,3,11)</f>
        <v>42440</v>
      </c>
      <c r="B11392" s="2"/>
      <c r="C11392" s="2" t="s">
        <v>30</v>
      </c>
      <c r="D11392" s="2" t="s">
        <v>32925</v>
      </c>
      <c r="E11392" s="2" t="s">
        <v>32926</v>
      </c>
      <c r="F11392" s="4">
        <v>3674</v>
      </c>
      <c r="G11392" s="2" t="s">
        <v>137</v>
      </c>
      <c r="H11392" s="2" t="s">
        <v>34</v>
      </c>
      <c r="I11392" s="2" t="s">
        <v>32927</v>
      </c>
      <c r="J11392" s="2" t="s">
        <v>31609</v>
      </c>
      <c r="K11392" s="2" t="s">
        <v>137</v>
      </c>
      <c r="L11392" s="2" t="s">
        <v>455</v>
      </c>
      <c r="M11392" s="2"/>
      <c r="N11392" s="2"/>
      <c r="O11392" s="2"/>
      <c r="P11392" s="2" t="s">
        <v>32928</v>
      </c>
      <c r="Q11392" s="2"/>
      <c r="R11392" s="2"/>
      <c r="S11392" s="5">
        <v>8.1</v>
      </c>
      <c r="T11392" s="7">
        <v>9.4789999999999992</v>
      </c>
      <c r="U11392" s="5">
        <v>0.8</v>
      </c>
      <c r="V11392" s="9">
        <v>0.1701</v>
      </c>
      <c r="W11392" s="7">
        <v>2.7730000000000001</v>
      </c>
      <c r="X11392" s="7">
        <v>3.117</v>
      </c>
      <c r="Y11392" s="6">
        <v>2.97</v>
      </c>
      <c r="Z11392" s="7">
        <v>2.8780000000000001</v>
      </c>
      <c r="AA11392" s="6">
        <v>57.98</v>
      </c>
      <c r="AB11392" s="2" t="s">
        <v>47</v>
      </c>
      <c r="AC11392" s="2"/>
    </row>
    <row r="11393" spans="1:29" ht="91" x14ac:dyDescent="0.15">
      <c r="A11393" s="3">
        <f>DATE(2016,3,14)</f>
        <v>42443</v>
      </c>
      <c r="B11393" s="2"/>
      <c r="C11393" s="2" t="s">
        <v>30</v>
      </c>
      <c r="D11393" s="2" t="s">
        <v>32929</v>
      </c>
      <c r="E11393" s="2" t="s">
        <v>32930</v>
      </c>
      <c r="F11393" s="4">
        <v>6794</v>
      </c>
      <c r="G11393" s="2" t="s">
        <v>53</v>
      </c>
      <c r="H11393" s="2" t="s">
        <v>34</v>
      </c>
      <c r="I11393" s="2" t="s">
        <v>51</v>
      </c>
      <c r="J11393" s="2" t="s">
        <v>52</v>
      </c>
      <c r="K11393" s="2" t="s">
        <v>53</v>
      </c>
      <c r="L11393" s="2" t="s">
        <v>322</v>
      </c>
      <c r="M11393" s="2"/>
      <c r="N11393" s="2"/>
      <c r="O11393" s="2"/>
      <c r="P11393" s="2" t="s">
        <v>32931</v>
      </c>
      <c r="Q11393" s="2"/>
      <c r="R11393" s="6">
        <v>3.72</v>
      </c>
      <c r="S11393" s="5">
        <v>-160.69999999999999</v>
      </c>
      <c r="T11393" s="6">
        <v>44.92</v>
      </c>
      <c r="U11393" s="5">
        <v>6.1</v>
      </c>
      <c r="V11393" s="9">
        <v>-3.2467000000000001</v>
      </c>
      <c r="W11393" s="6">
        <v>3.55</v>
      </c>
      <c r="X11393" s="6">
        <v>3.53</v>
      </c>
      <c r="Y11393" s="6">
        <v>3.71</v>
      </c>
      <c r="Z11393" s="6">
        <v>3.68</v>
      </c>
      <c r="AA11393" s="6">
        <v>50.74</v>
      </c>
      <c r="AB11393" s="2" t="s">
        <v>86</v>
      </c>
      <c r="AC11393" s="2"/>
    </row>
    <row r="11394" spans="1:29" ht="182" x14ac:dyDescent="0.15">
      <c r="A11394" s="3">
        <f>DATE(2016,3,14)</f>
        <v>42443</v>
      </c>
      <c r="B11394" s="3">
        <f>DATE(2016,4,27)</f>
        <v>42487</v>
      </c>
      <c r="C11394" s="2" t="s">
        <v>95</v>
      </c>
      <c r="D11394" s="2" t="s">
        <v>32932</v>
      </c>
      <c r="E11394" s="2" t="s">
        <v>3439</v>
      </c>
      <c r="F11394" s="4">
        <v>5411</v>
      </c>
      <c r="G11394" s="2" t="s">
        <v>1461</v>
      </c>
      <c r="H11394" s="2" t="s">
        <v>34</v>
      </c>
      <c r="I11394" s="2" t="s">
        <v>27735</v>
      </c>
      <c r="J11394" s="2" t="s">
        <v>244</v>
      </c>
      <c r="K11394" s="2" t="s">
        <v>53</v>
      </c>
      <c r="L11394" s="2" t="s">
        <v>34</v>
      </c>
      <c r="M11394" s="12">
        <v>2426.0709999999999</v>
      </c>
      <c r="N11394" s="6">
        <v>16.98</v>
      </c>
      <c r="O11394" s="6">
        <v>16.850000000000001</v>
      </c>
      <c r="P11394" s="2" t="s">
        <v>32933</v>
      </c>
      <c r="Q11394" s="6">
        <v>100</v>
      </c>
      <c r="R11394" s="6">
        <v>28.5</v>
      </c>
      <c r="S11394" s="5">
        <v>65.5</v>
      </c>
      <c r="T11394" s="6">
        <v>190.77</v>
      </c>
      <c r="U11394" s="5">
        <v>7.7</v>
      </c>
      <c r="V11394" s="9">
        <v>1.3615999999999999</v>
      </c>
      <c r="W11394" s="5">
        <v>25.1</v>
      </c>
      <c r="X11394" s="6">
        <v>24.29</v>
      </c>
      <c r="Y11394" s="6">
        <v>26.19</v>
      </c>
      <c r="Z11394" s="6">
        <v>27.11</v>
      </c>
      <c r="AA11394" s="6">
        <v>47.05</v>
      </c>
      <c r="AB11394" s="7">
        <v>10.782999999999999</v>
      </c>
      <c r="AC11394" s="6">
        <v>679.82</v>
      </c>
    </row>
    <row r="11395" spans="1:29" ht="182" x14ac:dyDescent="0.15">
      <c r="A11395" s="3">
        <f>DATE(2016,3,14)</f>
        <v>42443</v>
      </c>
      <c r="B11395" s="2"/>
      <c r="C11395" s="2" t="s">
        <v>30</v>
      </c>
      <c r="D11395" s="2" t="s">
        <v>14910</v>
      </c>
      <c r="E11395" s="2" t="s">
        <v>14911</v>
      </c>
      <c r="F11395" s="4">
        <v>7011</v>
      </c>
      <c r="G11395" s="2" t="s">
        <v>269</v>
      </c>
      <c r="H11395" s="2" t="s">
        <v>34</v>
      </c>
      <c r="I11395" s="2" t="s">
        <v>51</v>
      </c>
      <c r="J11395" s="2" t="s">
        <v>52</v>
      </c>
      <c r="K11395" s="2" t="s">
        <v>53</v>
      </c>
      <c r="L11395" s="2" t="s">
        <v>455</v>
      </c>
      <c r="M11395" s="2"/>
      <c r="N11395" s="2"/>
      <c r="O11395" s="2"/>
      <c r="P11395" s="2" t="s">
        <v>32934</v>
      </c>
      <c r="Q11395" s="2"/>
      <c r="R11395" s="6">
        <v>82.75</v>
      </c>
      <c r="S11395" s="5">
        <v>489</v>
      </c>
      <c r="T11395" s="8">
        <v>1120</v>
      </c>
      <c r="U11395" s="5">
        <v>7.7</v>
      </c>
      <c r="V11395" s="9">
        <v>2.8765000000000001</v>
      </c>
      <c r="W11395" s="6">
        <v>83.51</v>
      </c>
      <c r="X11395" s="5">
        <v>80.8</v>
      </c>
      <c r="Y11395" s="6">
        <v>87.53</v>
      </c>
      <c r="Z11395" s="6">
        <v>85.95</v>
      </c>
      <c r="AA11395" s="6">
        <v>168.76</v>
      </c>
      <c r="AB11395" s="7">
        <v>18.117999999999999</v>
      </c>
      <c r="AC11395" s="2"/>
    </row>
    <row r="11396" spans="1:29" ht="78" x14ac:dyDescent="0.15">
      <c r="A11396" s="3">
        <f>DATE(2016,3,15)</f>
        <v>42444</v>
      </c>
      <c r="B11396" s="2"/>
      <c r="C11396" s="2" t="s">
        <v>87</v>
      </c>
      <c r="D11396" s="2" t="s">
        <v>30571</v>
      </c>
      <c r="E11396" s="2" t="s">
        <v>30572</v>
      </c>
      <c r="F11396" s="4">
        <v>2851</v>
      </c>
      <c r="G11396" s="2" t="s">
        <v>98</v>
      </c>
      <c r="H11396" s="2" t="s">
        <v>34</v>
      </c>
      <c r="I11396" s="2" t="s">
        <v>27735</v>
      </c>
      <c r="J11396" s="2" t="s">
        <v>244</v>
      </c>
      <c r="K11396" s="2" t="s">
        <v>53</v>
      </c>
      <c r="L11396" s="2" t="s">
        <v>34</v>
      </c>
      <c r="M11396" s="12">
        <v>2591.2660000000001</v>
      </c>
      <c r="N11396" s="6">
        <v>16.850000000000001</v>
      </c>
      <c r="O11396" s="6">
        <v>16.940000000000001</v>
      </c>
      <c r="P11396" s="2" t="s">
        <v>32935</v>
      </c>
      <c r="Q11396" s="2"/>
      <c r="R11396" s="2"/>
      <c r="S11396" s="5">
        <v>64.099999999999994</v>
      </c>
      <c r="T11396" s="7">
        <v>125.842</v>
      </c>
      <c r="U11396" s="5">
        <v>3.8</v>
      </c>
      <c r="V11396" s="9">
        <v>1.1407</v>
      </c>
      <c r="W11396" s="5">
        <v>10.199999999999999</v>
      </c>
      <c r="X11396" s="6">
        <v>10.87</v>
      </c>
      <c r="Y11396" s="6">
        <v>11.38</v>
      </c>
      <c r="Z11396" s="6">
        <v>11.59</v>
      </c>
      <c r="AA11396" s="6">
        <v>82.89</v>
      </c>
      <c r="AB11396" s="2" t="s">
        <v>47</v>
      </c>
      <c r="AC11396" s="6">
        <v>679.82</v>
      </c>
    </row>
    <row r="11397" spans="1:29" ht="65" x14ac:dyDescent="0.15">
      <c r="A11397" s="3">
        <f>DATE(2016,3,16)</f>
        <v>42445</v>
      </c>
      <c r="B11397" s="3">
        <f>DATE(2016,11,7)</f>
        <v>42681</v>
      </c>
      <c r="C11397" s="2" t="s">
        <v>95</v>
      </c>
      <c r="D11397" s="2" t="s">
        <v>32936</v>
      </c>
      <c r="E11397" s="2" t="s">
        <v>31609</v>
      </c>
      <c r="F11397" s="4">
        <v>3674</v>
      </c>
      <c r="G11397" s="2" t="s">
        <v>137</v>
      </c>
      <c r="H11397" s="2" t="s">
        <v>34</v>
      </c>
      <c r="I11397" s="2" t="s">
        <v>23786</v>
      </c>
      <c r="J11397" s="2" t="s">
        <v>23787</v>
      </c>
      <c r="K11397" s="2" t="s">
        <v>137</v>
      </c>
      <c r="L11397" s="2" t="s">
        <v>34</v>
      </c>
      <c r="M11397" s="12">
        <v>1949.0039999999999</v>
      </c>
      <c r="N11397" s="6">
        <v>85.07</v>
      </c>
      <c r="O11397" s="6">
        <v>88.12</v>
      </c>
      <c r="P11397" s="2" t="s">
        <v>32937</v>
      </c>
      <c r="Q11397" s="6">
        <v>100</v>
      </c>
      <c r="R11397" s="6">
        <v>32.5</v>
      </c>
      <c r="S11397" s="5">
        <v>41.6</v>
      </c>
      <c r="T11397" s="7">
        <v>72.597999999999999</v>
      </c>
      <c r="U11397" s="5">
        <v>19.3</v>
      </c>
      <c r="V11397" s="9">
        <v>1.4721</v>
      </c>
      <c r="W11397" s="6">
        <v>23.05</v>
      </c>
      <c r="X11397" s="6">
        <v>22.94</v>
      </c>
      <c r="Y11397" s="6">
        <v>22.91</v>
      </c>
      <c r="Z11397" s="6">
        <v>31.39</v>
      </c>
      <c r="AA11397" s="6">
        <v>28.12</v>
      </c>
      <c r="AB11397" s="7">
        <v>13.936</v>
      </c>
      <c r="AC11397" s="6">
        <v>336.17</v>
      </c>
    </row>
    <row r="11398" spans="1:29" ht="117" x14ac:dyDescent="0.15">
      <c r="A11398" s="3">
        <f>DATE(2016,3,17)</f>
        <v>42446</v>
      </c>
      <c r="B11398" s="3">
        <f>DATE(2016,7,1)</f>
        <v>42552</v>
      </c>
      <c r="C11398" s="2" t="s">
        <v>95</v>
      </c>
      <c r="D11398" s="2" t="s">
        <v>32938</v>
      </c>
      <c r="E11398" s="2" t="s">
        <v>31596</v>
      </c>
      <c r="F11398" s="4">
        <v>4922</v>
      </c>
      <c r="G11398" s="2" t="s">
        <v>439</v>
      </c>
      <c r="H11398" s="2" t="s">
        <v>34</v>
      </c>
      <c r="I11398" s="2" t="s">
        <v>32939</v>
      </c>
      <c r="J11398" s="2" t="s">
        <v>31596</v>
      </c>
      <c r="K11398" s="2" t="s">
        <v>439</v>
      </c>
      <c r="L11398" s="2" t="s">
        <v>902</v>
      </c>
      <c r="M11398" s="12">
        <v>25750.803</v>
      </c>
      <c r="N11398" s="7">
        <v>38.055999999999997</v>
      </c>
      <c r="O11398" s="7">
        <v>37.756999999999998</v>
      </c>
      <c r="P11398" s="2" t="s">
        <v>32940</v>
      </c>
      <c r="Q11398" s="6">
        <v>100</v>
      </c>
      <c r="R11398" s="6">
        <v>25.5</v>
      </c>
      <c r="S11398" s="5">
        <v>267.2</v>
      </c>
      <c r="T11398" s="5">
        <v>554.6</v>
      </c>
      <c r="U11398" s="5">
        <v>10.1</v>
      </c>
      <c r="V11398" s="9">
        <v>0.81310000000000004</v>
      </c>
      <c r="W11398" s="6">
        <v>19.82</v>
      </c>
      <c r="X11398" s="6">
        <v>19.75</v>
      </c>
      <c r="Y11398" s="6">
        <v>21.43</v>
      </c>
      <c r="Z11398" s="6">
        <v>22.96</v>
      </c>
      <c r="AA11398" s="6">
        <v>399.84</v>
      </c>
      <c r="AB11398" s="7">
        <v>29</v>
      </c>
      <c r="AC11398" s="6">
        <v>931.91</v>
      </c>
    </row>
    <row r="11399" spans="1:29" ht="169" x14ac:dyDescent="0.15">
      <c r="A11399" s="3">
        <f>DATE(2016,3,18)</f>
        <v>42447</v>
      </c>
      <c r="B11399" s="2"/>
      <c r="C11399" s="2" t="s">
        <v>30</v>
      </c>
      <c r="D11399" s="2" t="s">
        <v>32804</v>
      </c>
      <c r="E11399" s="2" t="s">
        <v>15018</v>
      </c>
      <c r="F11399" s="4">
        <v>3826</v>
      </c>
      <c r="G11399" s="2" t="s">
        <v>226</v>
      </c>
      <c r="H11399" s="2" t="s">
        <v>34</v>
      </c>
      <c r="I11399" s="2" t="s">
        <v>32941</v>
      </c>
      <c r="J11399" s="2" t="s">
        <v>11337</v>
      </c>
      <c r="K11399" s="2" t="s">
        <v>53</v>
      </c>
      <c r="L11399" s="2" t="s">
        <v>34</v>
      </c>
      <c r="M11399" s="2"/>
      <c r="N11399" s="2"/>
      <c r="O11399" s="2"/>
      <c r="P11399" s="2" t="s">
        <v>32942</v>
      </c>
      <c r="Q11399" s="2"/>
      <c r="R11399" s="6">
        <v>17</v>
      </c>
      <c r="S11399" s="5">
        <v>10.1</v>
      </c>
      <c r="T11399" s="7">
        <v>48.540999999999997</v>
      </c>
      <c r="U11399" s="5">
        <v>4.2</v>
      </c>
      <c r="V11399" s="6">
        <v>0.13</v>
      </c>
      <c r="W11399" s="6">
        <v>10.09</v>
      </c>
      <c r="X11399" s="6">
        <v>9.34</v>
      </c>
      <c r="Y11399" s="6">
        <v>9.2100000000000009</v>
      </c>
      <c r="Z11399" s="6">
        <v>13.96</v>
      </c>
      <c r="AA11399" s="6">
        <v>80.540000000000006</v>
      </c>
      <c r="AB11399" s="7">
        <v>52.027999999999999</v>
      </c>
      <c r="AC11399" s="2"/>
    </row>
    <row r="11400" spans="1:29" ht="78" x14ac:dyDescent="0.15">
      <c r="A11400" s="3">
        <f>DATE(2016,3,18)</f>
        <v>42447</v>
      </c>
      <c r="B11400" s="2"/>
      <c r="C11400" s="2" t="s">
        <v>87</v>
      </c>
      <c r="D11400" s="2" t="s">
        <v>32943</v>
      </c>
      <c r="E11400" s="2" t="s">
        <v>32944</v>
      </c>
      <c r="F11400" s="4">
        <v>7372</v>
      </c>
      <c r="G11400" s="2" t="s">
        <v>551</v>
      </c>
      <c r="H11400" s="2" t="s">
        <v>34</v>
      </c>
      <c r="I11400" s="2" t="s">
        <v>26597</v>
      </c>
      <c r="J11400" s="2" t="s">
        <v>32665</v>
      </c>
      <c r="K11400" s="2" t="s">
        <v>223</v>
      </c>
      <c r="L11400" s="2" t="s">
        <v>34</v>
      </c>
      <c r="M11400" s="2"/>
      <c r="N11400" s="2"/>
      <c r="O11400" s="2"/>
      <c r="P11400" s="2" t="s">
        <v>32945</v>
      </c>
      <c r="Q11400" s="2"/>
      <c r="R11400" s="2"/>
      <c r="S11400" s="5">
        <v>-13.1</v>
      </c>
      <c r="T11400" s="7">
        <v>0.17100000000000001</v>
      </c>
      <c r="U11400" s="5">
        <v>2.2999999999999998</v>
      </c>
      <c r="V11400" s="9">
        <v>-0.24030000000000001</v>
      </c>
      <c r="W11400" s="5">
        <v>13.3</v>
      </c>
      <c r="X11400" s="6">
        <v>14.29</v>
      </c>
      <c r="Y11400" s="6">
        <v>15.13</v>
      </c>
      <c r="Z11400" s="6">
        <v>14.75</v>
      </c>
      <c r="AA11400" s="6">
        <v>56.12</v>
      </c>
      <c r="AB11400" s="2" t="s">
        <v>86</v>
      </c>
      <c r="AC11400" s="2"/>
    </row>
    <row r="11401" spans="1:29" ht="39" x14ac:dyDescent="0.15">
      <c r="A11401" s="3">
        <f>DATE(2016,3,18)</f>
        <v>42447</v>
      </c>
      <c r="B11401" s="3">
        <f>DATE(2016,10,18)</f>
        <v>42661</v>
      </c>
      <c r="C11401" s="2" t="s">
        <v>95</v>
      </c>
      <c r="D11401" s="2" t="s">
        <v>32946</v>
      </c>
      <c r="E11401" s="2" t="s">
        <v>386</v>
      </c>
      <c r="F11401" s="4">
        <v>6726</v>
      </c>
      <c r="G11401" s="2" t="s">
        <v>53</v>
      </c>
      <c r="H11401" s="2" t="s">
        <v>34</v>
      </c>
      <c r="I11401" s="2" t="s">
        <v>32947</v>
      </c>
      <c r="J11401" s="2" t="s">
        <v>386</v>
      </c>
      <c r="K11401" s="2" t="s">
        <v>53</v>
      </c>
      <c r="L11401" s="2" t="s">
        <v>34</v>
      </c>
      <c r="M11401" s="7">
        <v>64.093999999999994</v>
      </c>
      <c r="N11401" s="6">
        <v>8.36</v>
      </c>
      <c r="O11401" s="5">
        <v>8.6</v>
      </c>
      <c r="P11401" s="2" t="s">
        <v>32948</v>
      </c>
      <c r="Q11401" s="6">
        <v>100</v>
      </c>
      <c r="R11401" s="2"/>
      <c r="S11401" s="2"/>
      <c r="T11401" s="2"/>
      <c r="U11401" s="2"/>
      <c r="V11401" s="2"/>
      <c r="W11401" s="6">
        <v>14.59</v>
      </c>
      <c r="X11401" s="5">
        <v>14.8</v>
      </c>
      <c r="Y11401" s="5">
        <v>14.8</v>
      </c>
      <c r="Z11401" s="5">
        <v>16.7</v>
      </c>
      <c r="AA11401" s="6">
        <v>35.270000000000003</v>
      </c>
      <c r="AB11401" s="2" t="s">
        <v>47</v>
      </c>
      <c r="AC11401" s="2"/>
    </row>
    <row r="11402" spans="1:29" ht="52" x14ac:dyDescent="0.15">
      <c r="A11402" s="3">
        <f>DATE(2016,3,18)</f>
        <v>42447</v>
      </c>
      <c r="B11402" s="3">
        <f>DATE(2016,3,18)</f>
        <v>42447</v>
      </c>
      <c r="C11402" s="2" t="s">
        <v>95</v>
      </c>
      <c r="D11402" s="2" t="s">
        <v>32949</v>
      </c>
      <c r="E11402" s="2" t="s">
        <v>32950</v>
      </c>
      <c r="F11402" s="4">
        <v>3571</v>
      </c>
      <c r="G11402" s="2" t="s">
        <v>50</v>
      </c>
      <c r="H11402" s="2" t="s">
        <v>34</v>
      </c>
      <c r="I11402" s="2" t="s">
        <v>32951</v>
      </c>
      <c r="J11402" s="2" t="s">
        <v>1072</v>
      </c>
      <c r="K11402" s="2" t="s">
        <v>53</v>
      </c>
      <c r="L11402" s="2" t="s">
        <v>34</v>
      </c>
      <c r="M11402" s="2"/>
      <c r="N11402" s="2"/>
      <c r="O11402" s="2"/>
      <c r="P11402" s="2" t="s">
        <v>32952</v>
      </c>
      <c r="Q11402" s="6">
        <v>75</v>
      </c>
      <c r="R11402" s="2"/>
      <c r="S11402" s="5">
        <v>0</v>
      </c>
      <c r="T11402" s="2"/>
      <c r="U11402" s="5">
        <v>0</v>
      </c>
      <c r="V11402" s="9">
        <v>-5.9999999999999995E-4</v>
      </c>
      <c r="W11402" s="5">
        <v>7.2</v>
      </c>
      <c r="X11402" s="5">
        <v>7.2</v>
      </c>
      <c r="Y11402" s="5">
        <v>7.2</v>
      </c>
      <c r="Z11402" s="5">
        <v>7.2</v>
      </c>
      <c r="AA11402" s="6">
        <v>20</v>
      </c>
      <c r="AB11402" s="2" t="s">
        <v>86</v>
      </c>
      <c r="AC11402" s="2"/>
    </row>
    <row r="11403" spans="1:29" ht="65" x14ac:dyDescent="0.15">
      <c r="A11403" s="3">
        <f>DATE(2016,3,18)</f>
        <v>42447</v>
      </c>
      <c r="B11403" s="2"/>
      <c r="C11403" s="2" t="s">
        <v>87</v>
      </c>
      <c r="D11403" s="2" t="s">
        <v>32953</v>
      </c>
      <c r="E11403" s="2" t="s">
        <v>8995</v>
      </c>
      <c r="F11403" s="4">
        <v>7372</v>
      </c>
      <c r="G11403" s="2" t="s">
        <v>551</v>
      </c>
      <c r="H11403" s="2" t="s">
        <v>34</v>
      </c>
      <c r="I11403" s="2" t="s">
        <v>26597</v>
      </c>
      <c r="J11403" s="2" t="s">
        <v>32665</v>
      </c>
      <c r="K11403" s="2" t="s">
        <v>223</v>
      </c>
      <c r="L11403" s="2" t="s">
        <v>34</v>
      </c>
      <c r="M11403" s="2"/>
      <c r="N11403" s="2"/>
      <c r="O11403" s="2"/>
      <c r="P11403" s="2" t="s">
        <v>32954</v>
      </c>
      <c r="Q11403" s="2"/>
      <c r="R11403" s="2"/>
      <c r="S11403" s="5">
        <v>-24.7</v>
      </c>
      <c r="T11403" s="7">
        <v>-17.283000000000001</v>
      </c>
      <c r="U11403" s="5">
        <v>0.4</v>
      </c>
      <c r="V11403" s="9">
        <v>-0.8367</v>
      </c>
      <c r="W11403" s="6">
        <v>6.17</v>
      </c>
      <c r="X11403" s="6">
        <v>6.14</v>
      </c>
      <c r="Y11403" s="6">
        <v>6.36</v>
      </c>
      <c r="Z11403" s="6">
        <v>6.24</v>
      </c>
      <c r="AA11403" s="6">
        <v>29.18</v>
      </c>
      <c r="AB11403" s="2" t="s">
        <v>86</v>
      </c>
      <c r="AC11403" s="2"/>
    </row>
    <row r="11404" spans="1:29" ht="78" x14ac:dyDescent="0.15">
      <c r="A11404" s="3">
        <f>DATE(2016,3,20)</f>
        <v>42449</v>
      </c>
      <c r="B11404" s="3">
        <f>DATE(2017,6,1)</f>
        <v>42887</v>
      </c>
      <c r="C11404" s="2" t="s">
        <v>95</v>
      </c>
      <c r="D11404" s="2" t="s">
        <v>17128</v>
      </c>
      <c r="E11404" s="2" t="s">
        <v>17129</v>
      </c>
      <c r="F11404" s="4">
        <v>2851</v>
      </c>
      <c r="G11404" s="2" t="s">
        <v>98</v>
      </c>
      <c r="H11404" s="2" t="s">
        <v>34</v>
      </c>
      <c r="I11404" s="2" t="s">
        <v>6199</v>
      </c>
      <c r="J11404" s="2" t="s">
        <v>6200</v>
      </c>
      <c r="K11404" s="2" t="s">
        <v>98</v>
      </c>
      <c r="L11404" s="2" t="s">
        <v>34</v>
      </c>
      <c r="M11404" s="12">
        <v>23576.016</v>
      </c>
      <c r="N11404" s="6">
        <v>273.29000000000002</v>
      </c>
      <c r="O11404" s="6">
        <v>273.29000000000002</v>
      </c>
      <c r="P11404" s="2" t="s">
        <v>32955</v>
      </c>
      <c r="Q11404" s="6">
        <v>100</v>
      </c>
      <c r="R11404" s="6">
        <v>113</v>
      </c>
      <c r="S11404" s="5">
        <v>348</v>
      </c>
      <c r="T11404" s="7">
        <v>697.27700000000004</v>
      </c>
      <c r="U11404" s="5">
        <v>10.8</v>
      </c>
      <c r="V11404" s="9">
        <v>4.2607999999999997</v>
      </c>
      <c r="W11404" s="6">
        <v>81.81</v>
      </c>
      <c r="X11404" s="6">
        <v>83.83</v>
      </c>
      <c r="Y11404" s="6">
        <v>103.22</v>
      </c>
      <c r="Z11404" s="6">
        <v>103.22</v>
      </c>
      <c r="AA11404" s="6">
        <v>79.09</v>
      </c>
      <c r="AB11404" s="7">
        <v>18.486000000000001</v>
      </c>
      <c r="AC11404" s="6">
        <v>205.74</v>
      </c>
    </row>
    <row r="11405" spans="1:29" ht="52" x14ac:dyDescent="0.15">
      <c r="A11405" s="3">
        <f>DATE(2016,3,24)</f>
        <v>42453</v>
      </c>
      <c r="B11405" s="2"/>
      <c r="C11405" s="2" t="s">
        <v>30</v>
      </c>
      <c r="D11405" s="2" t="s">
        <v>32956</v>
      </c>
      <c r="E11405" s="2" t="s">
        <v>36</v>
      </c>
      <c r="F11405" s="4">
        <v>6712</v>
      </c>
      <c r="G11405" s="2" t="s">
        <v>37</v>
      </c>
      <c r="H11405" s="2" t="s">
        <v>34</v>
      </c>
      <c r="I11405" s="2" t="s">
        <v>23231</v>
      </c>
      <c r="J11405" s="2" t="s">
        <v>159</v>
      </c>
      <c r="K11405" s="2" t="s">
        <v>37</v>
      </c>
      <c r="L11405" s="2" t="s">
        <v>34</v>
      </c>
      <c r="M11405" s="2"/>
      <c r="N11405" s="2"/>
      <c r="O11405" s="2"/>
      <c r="P11405" s="2" t="s">
        <v>32957</v>
      </c>
      <c r="Q11405" s="2"/>
      <c r="R11405" s="2"/>
      <c r="S11405" s="2"/>
      <c r="T11405" s="2"/>
      <c r="U11405" s="2"/>
      <c r="V11405" s="2"/>
      <c r="W11405" s="4">
        <v>38</v>
      </c>
      <c r="X11405" s="4">
        <v>38</v>
      </c>
      <c r="Y11405" s="4">
        <v>38</v>
      </c>
      <c r="Z11405" s="4">
        <v>38</v>
      </c>
      <c r="AA11405" s="6">
        <v>0.54</v>
      </c>
      <c r="AB11405" s="2" t="s">
        <v>47</v>
      </c>
      <c r="AC11405" s="2"/>
    </row>
    <row r="11406" spans="1:29" ht="91" x14ac:dyDescent="0.15">
      <c r="A11406" s="3">
        <f>DATE(2016,3,25)</f>
        <v>42454</v>
      </c>
      <c r="B11406" s="3">
        <f>DATE(2016,8,22)</f>
        <v>42604</v>
      </c>
      <c r="C11406" s="2" t="s">
        <v>95</v>
      </c>
      <c r="D11406" s="2" t="s">
        <v>32958</v>
      </c>
      <c r="E11406" s="2" t="s">
        <v>32959</v>
      </c>
      <c r="F11406" s="4">
        <v>6141</v>
      </c>
      <c r="G11406" s="2" t="s">
        <v>370</v>
      </c>
      <c r="H11406" s="2" t="s">
        <v>34</v>
      </c>
      <c r="I11406" s="2" t="s">
        <v>32960</v>
      </c>
      <c r="J11406" s="2" t="s">
        <v>302</v>
      </c>
      <c r="K11406" s="2" t="s">
        <v>53</v>
      </c>
      <c r="L11406" s="2" t="s">
        <v>34</v>
      </c>
      <c r="M11406" s="2"/>
      <c r="N11406" s="5">
        <v>3.8</v>
      </c>
      <c r="O11406" s="5">
        <v>3.8</v>
      </c>
      <c r="P11406" s="2" t="s">
        <v>32961</v>
      </c>
      <c r="Q11406" s="6">
        <v>85.1</v>
      </c>
      <c r="R11406" s="6">
        <v>5.05</v>
      </c>
      <c r="S11406" s="5">
        <v>-29.3</v>
      </c>
      <c r="T11406" s="7">
        <v>-21.841000000000001</v>
      </c>
      <c r="U11406" s="5">
        <v>7.5</v>
      </c>
      <c r="V11406" s="9">
        <v>-2.4207999999999998</v>
      </c>
      <c r="W11406" s="6">
        <v>3.56</v>
      </c>
      <c r="X11406" s="6">
        <v>3.51</v>
      </c>
      <c r="Y11406" s="6">
        <v>3.51</v>
      </c>
      <c r="Z11406" s="5">
        <v>3.8</v>
      </c>
      <c r="AA11406" s="6">
        <v>11.68</v>
      </c>
      <c r="AB11406" s="2" t="s">
        <v>86</v>
      </c>
      <c r="AC11406" s="2"/>
    </row>
    <row r="11407" spans="1:29" ht="143" x14ac:dyDescent="0.15">
      <c r="A11407" s="3">
        <f>DATE(2016,3,25)</f>
        <v>42454</v>
      </c>
      <c r="B11407" s="3">
        <f>DATE(2016,5,11)</f>
        <v>42501</v>
      </c>
      <c r="C11407" s="2" t="s">
        <v>95</v>
      </c>
      <c r="D11407" s="2" t="s">
        <v>32962</v>
      </c>
      <c r="E11407" s="2" t="s">
        <v>32963</v>
      </c>
      <c r="F11407" s="4">
        <v>3841</v>
      </c>
      <c r="G11407" s="2" t="s">
        <v>226</v>
      </c>
      <c r="H11407" s="2" t="s">
        <v>34</v>
      </c>
      <c r="I11407" s="2" t="s">
        <v>32964</v>
      </c>
      <c r="J11407" s="2" t="s">
        <v>30354</v>
      </c>
      <c r="K11407" s="2" t="s">
        <v>226</v>
      </c>
      <c r="L11407" s="2" t="s">
        <v>34</v>
      </c>
      <c r="M11407" s="7">
        <v>329.75799999999998</v>
      </c>
      <c r="N11407" s="6">
        <v>11.84</v>
      </c>
      <c r="O11407" s="6">
        <v>11.71</v>
      </c>
      <c r="P11407" s="2" t="s">
        <v>32965</v>
      </c>
      <c r="Q11407" s="6">
        <v>100</v>
      </c>
      <c r="R11407" s="6">
        <v>4.05</v>
      </c>
      <c r="S11407" s="5">
        <v>-1</v>
      </c>
      <c r="T11407" s="7">
        <v>-0.57899999999999996</v>
      </c>
      <c r="U11407" s="5">
        <v>1.3</v>
      </c>
      <c r="V11407" s="9">
        <v>-0.4037</v>
      </c>
      <c r="W11407" s="4">
        <v>4</v>
      </c>
      <c r="X11407" s="6">
        <v>4.4800000000000004</v>
      </c>
      <c r="Y11407" s="6">
        <v>4.4800000000000004</v>
      </c>
      <c r="Z11407" s="4">
        <v>4</v>
      </c>
      <c r="AA11407" s="6">
        <v>3.01</v>
      </c>
      <c r="AB11407" s="2" t="s">
        <v>86</v>
      </c>
      <c r="AC11407" s="6">
        <v>18.989999999999998</v>
      </c>
    </row>
    <row r="11408" spans="1:29" ht="130" x14ac:dyDescent="0.15">
      <c r="A11408" s="3">
        <f>DATE(2016,3,30)</f>
        <v>42459</v>
      </c>
      <c r="B11408" s="3">
        <f>DATE(2016,8,8)</f>
        <v>42590</v>
      </c>
      <c r="C11408" s="2" t="s">
        <v>95</v>
      </c>
      <c r="D11408" s="2" t="s">
        <v>31091</v>
      </c>
      <c r="E11408" s="2" t="s">
        <v>23564</v>
      </c>
      <c r="F11408" s="4">
        <v>4412</v>
      </c>
      <c r="G11408" s="2" t="s">
        <v>173</v>
      </c>
      <c r="H11408" s="2" t="s">
        <v>34</v>
      </c>
      <c r="I11408" s="2" t="s">
        <v>1558</v>
      </c>
      <c r="J11408" s="2" t="s">
        <v>52</v>
      </c>
      <c r="K11408" s="2" t="s">
        <v>53</v>
      </c>
      <c r="L11408" s="2" t="s">
        <v>34</v>
      </c>
      <c r="M11408" s="2"/>
      <c r="N11408" s="2"/>
      <c r="O11408" s="2"/>
      <c r="P11408" s="2" t="s">
        <v>32966</v>
      </c>
      <c r="Q11408" s="2"/>
      <c r="R11408" s="2"/>
      <c r="S11408" s="5">
        <v>-148.30000000000001</v>
      </c>
      <c r="T11408" s="7">
        <v>-37.923999999999999</v>
      </c>
      <c r="U11408" s="5">
        <v>275.2</v>
      </c>
      <c r="V11408" s="7">
        <v>-78.844999999999999</v>
      </c>
      <c r="W11408" s="6">
        <v>2.25</v>
      </c>
      <c r="X11408" s="6">
        <v>1.53</v>
      </c>
      <c r="Y11408" s="6">
        <v>1.59</v>
      </c>
      <c r="Z11408" s="6">
        <v>1.53</v>
      </c>
      <c r="AA11408" s="6">
        <v>38.29</v>
      </c>
      <c r="AB11408" s="2" t="s">
        <v>86</v>
      </c>
      <c r="AC11408" s="2"/>
    </row>
    <row r="11409" spans="1:29" ht="78" x14ac:dyDescent="0.15">
      <c r="A11409" s="3">
        <f>DATE(2016,4,1)</f>
        <v>42461</v>
      </c>
      <c r="B11409" s="2"/>
      <c r="C11409" s="2" t="s">
        <v>189</v>
      </c>
      <c r="D11409" s="2" t="s">
        <v>32967</v>
      </c>
      <c r="E11409" s="2" t="s">
        <v>32968</v>
      </c>
      <c r="F11409" s="4">
        <v>2299</v>
      </c>
      <c r="G11409" s="2" t="s">
        <v>708</v>
      </c>
      <c r="H11409" s="2" t="s">
        <v>34</v>
      </c>
      <c r="I11409" s="2" t="s">
        <v>143</v>
      </c>
      <c r="J11409" s="2" t="s">
        <v>144</v>
      </c>
      <c r="K11409" s="2" t="s">
        <v>53</v>
      </c>
      <c r="L11409" s="2" t="s">
        <v>139</v>
      </c>
      <c r="M11409" s="2"/>
      <c r="N11409" s="2"/>
      <c r="O11409" s="2"/>
      <c r="P11409" s="2" t="s">
        <v>32969</v>
      </c>
      <c r="Q11409" s="2"/>
      <c r="R11409" s="2"/>
      <c r="S11409" s="5">
        <v>-7.6</v>
      </c>
      <c r="T11409" s="7">
        <v>88.614999999999995</v>
      </c>
      <c r="U11409" s="5">
        <v>-6.6</v>
      </c>
      <c r="V11409" s="9">
        <v>-0.48430000000000001</v>
      </c>
      <c r="W11409" s="6">
        <v>5.24</v>
      </c>
      <c r="X11409" s="6">
        <v>5.22</v>
      </c>
      <c r="Y11409" s="6">
        <v>5.12</v>
      </c>
      <c r="Z11409" s="6">
        <v>5.14</v>
      </c>
      <c r="AA11409" s="6">
        <v>15.75</v>
      </c>
      <c r="AB11409" s="2" t="s">
        <v>47</v>
      </c>
      <c r="AC11409" s="2"/>
    </row>
    <row r="11410" spans="1:29" ht="169" x14ac:dyDescent="0.15">
      <c r="A11410" s="3">
        <f>DATE(2016,4,4)</f>
        <v>42464</v>
      </c>
      <c r="B11410" s="3">
        <f>DATE(2016,10,21)</f>
        <v>42664</v>
      </c>
      <c r="C11410" s="2" t="s">
        <v>95</v>
      </c>
      <c r="D11410" s="2" t="s">
        <v>32970</v>
      </c>
      <c r="E11410" s="2" t="s">
        <v>36</v>
      </c>
      <c r="F11410" s="4">
        <v>6021</v>
      </c>
      <c r="G11410" s="2" t="s">
        <v>37</v>
      </c>
      <c r="H11410" s="2" t="s">
        <v>34</v>
      </c>
      <c r="I11410" s="2" t="s">
        <v>32971</v>
      </c>
      <c r="J11410" s="2" t="s">
        <v>36</v>
      </c>
      <c r="K11410" s="2" t="s">
        <v>37</v>
      </c>
      <c r="L11410" s="2" t="s">
        <v>34</v>
      </c>
      <c r="M11410" s="7">
        <v>153.58699999999999</v>
      </c>
      <c r="N11410" s="6">
        <v>8.42</v>
      </c>
      <c r="O11410" s="5">
        <v>7.6</v>
      </c>
      <c r="P11410" s="2" t="s">
        <v>32972</v>
      </c>
      <c r="Q11410" s="6">
        <v>100</v>
      </c>
      <c r="R11410" s="6">
        <v>20.52</v>
      </c>
      <c r="S11410" s="5">
        <v>3.4</v>
      </c>
      <c r="T11410" s="7">
        <v>5.3120000000000003</v>
      </c>
      <c r="U11410" s="5">
        <v>17.2</v>
      </c>
      <c r="V11410" s="9">
        <v>0.67889999999999995</v>
      </c>
      <c r="W11410" s="7">
        <v>18.024000000000001</v>
      </c>
      <c r="X11410" s="6">
        <v>17.71</v>
      </c>
      <c r="Y11410" s="6">
        <v>17.75</v>
      </c>
      <c r="Z11410" s="5">
        <v>17.899999999999999</v>
      </c>
      <c r="AA11410" s="6">
        <v>5.21</v>
      </c>
      <c r="AB11410" s="7">
        <v>39.957000000000001</v>
      </c>
      <c r="AC11410" s="2"/>
    </row>
    <row r="11411" spans="1:29" ht="234" x14ac:dyDescent="0.15">
      <c r="A11411" s="3">
        <f>DATE(2016,4,4)</f>
        <v>42464</v>
      </c>
      <c r="B11411" s="3">
        <f>DATE(2016,5,27)</f>
        <v>42517</v>
      </c>
      <c r="C11411" s="2" t="s">
        <v>95</v>
      </c>
      <c r="D11411" s="2" t="s">
        <v>32973</v>
      </c>
      <c r="E11411" s="2" t="s">
        <v>32974</v>
      </c>
      <c r="F11411" s="4">
        <v>3577</v>
      </c>
      <c r="G11411" s="2" t="s">
        <v>50</v>
      </c>
      <c r="H11411" s="2" t="s">
        <v>34</v>
      </c>
      <c r="I11411" s="2" t="s">
        <v>24388</v>
      </c>
      <c r="J11411" s="2" t="s">
        <v>24389</v>
      </c>
      <c r="K11411" s="2" t="s">
        <v>551</v>
      </c>
      <c r="L11411" s="2" t="s">
        <v>34</v>
      </c>
      <c r="M11411" s="12">
        <v>4090.424</v>
      </c>
      <c r="N11411" s="6">
        <v>9.19</v>
      </c>
      <c r="O11411" s="6">
        <v>9.58</v>
      </c>
      <c r="P11411" s="2" t="s">
        <v>32975</v>
      </c>
      <c r="Q11411" s="6">
        <v>100</v>
      </c>
      <c r="R11411" s="6">
        <v>14.43</v>
      </c>
      <c r="S11411" s="5">
        <v>4.3</v>
      </c>
      <c r="T11411" s="7">
        <v>19.071000000000002</v>
      </c>
      <c r="U11411" s="5">
        <v>3.6</v>
      </c>
      <c r="V11411" s="9">
        <v>4.9700000000000001E-2</v>
      </c>
      <c r="W11411" s="6">
        <v>9.8699999999999992</v>
      </c>
      <c r="X11411" s="4">
        <v>10</v>
      </c>
      <c r="Y11411" s="6">
        <v>13.24</v>
      </c>
      <c r="Z11411" s="6">
        <v>13.46</v>
      </c>
      <c r="AA11411" s="6">
        <v>90.06</v>
      </c>
      <c r="AB11411" s="7">
        <v>165.95599999999999</v>
      </c>
      <c r="AC11411" s="10">
        <v>1392.01</v>
      </c>
    </row>
    <row r="11412" spans="1:29" ht="130" x14ac:dyDescent="0.15">
      <c r="A11412" s="3">
        <f>DATE(2016,4,4)</f>
        <v>42464</v>
      </c>
      <c r="B11412" s="3">
        <f>DATE(2016,12,14)</f>
        <v>42718</v>
      </c>
      <c r="C11412" s="2" t="s">
        <v>95</v>
      </c>
      <c r="D11412" s="2" t="s">
        <v>32976</v>
      </c>
      <c r="E11412" s="2" t="s">
        <v>32977</v>
      </c>
      <c r="F11412" s="4">
        <v>4512</v>
      </c>
      <c r="G11412" s="2" t="s">
        <v>59</v>
      </c>
      <c r="H11412" s="2" t="s">
        <v>34</v>
      </c>
      <c r="I11412" s="2" t="s">
        <v>32978</v>
      </c>
      <c r="J11412" s="2" t="s">
        <v>32979</v>
      </c>
      <c r="K11412" s="2" t="s">
        <v>59</v>
      </c>
      <c r="L11412" s="2" t="s">
        <v>34</v>
      </c>
      <c r="M11412" s="12">
        <v>9629.0830000000005</v>
      </c>
      <c r="N11412" s="6">
        <v>78.92</v>
      </c>
      <c r="O11412" s="6">
        <v>79.680000000000007</v>
      </c>
      <c r="P11412" s="2" t="s">
        <v>32980</v>
      </c>
      <c r="Q11412" s="6">
        <v>100</v>
      </c>
      <c r="R11412" s="6">
        <v>57</v>
      </c>
      <c r="S11412" s="5">
        <v>345.2</v>
      </c>
      <c r="T11412" s="7">
        <v>216.124</v>
      </c>
      <c r="U11412" s="5">
        <v>18.899999999999999</v>
      </c>
      <c r="V11412" s="9">
        <v>7.7655000000000003</v>
      </c>
      <c r="W11412" s="5">
        <v>31.1</v>
      </c>
      <c r="X11412" s="6">
        <v>34.17</v>
      </c>
      <c r="Y11412" s="5">
        <v>37.700000000000003</v>
      </c>
      <c r="Z11412" s="6">
        <v>37.99</v>
      </c>
      <c r="AA11412" s="6">
        <v>44.57</v>
      </c>
      <c r="AB11412" s="7">
        <v>12.173999999999999</v>
      </c>
      <c r="AC11412" s="8">
        <v>1564</v>
      </c>
    </row>
    <row r="11413" spans="1:29" ht="52" x14ac:dyDescent="0.15">
      <c r="A11413" s="3">
        <f>DATE(2016,4,6)</f>
        <v>42466</v>
      </c>
      <c r="B11413" s="2"/>
      <c r="C11413" s="2" t="s">
        <v>7472</v>
      </c>
      <c r="D11413" s="2" t="s">
        <v>32981</v>
      </c>
      <c r="E11413" s="2" t="s">
        <v>27551</v>
      </c>
      <c r="F11413" s="4">
        <v>2834</v>
      </c>
      <c r="G11413" s="2" t="s">
        <v>130</v>
      </c>
      <c r="H11413" s="2" t="s">
        <v>34</v>
      </c>
      <c r="I11413" s="2" t="s">
        <v>143</v>
      </c>
      <c r="J11413" s="2" t="s">
        <v>144</v>
      </c>
      <c r="K11413" s="2" t="s">
        <v>53</v>
      </c>
      <c r="L11413" s="2" t="s">
        <v>139</v>
      </c>
      <c r="M11413" s="2"/>
      <c r="N11413" s="2"/>
      <c r="O11413" s="2"/>
      <c r="P11413" s="2" t="s">
        <v>32982</v>
      </c>
      <c r="Q11413" s="2"/>
      <c r="R11413" s="2"/>
      <c r="S11413" s="5">
        <v>-87.1</v>
      </c>
      <c r="T11413" s="7">
        <v>-43.302</v>
      </c>
      <c r="U11413" s="5">
        <v>0.9</v>
      </c>
      <c r="V11413" s="9">
        <v>-1.0355000000000001</v>
      </c>
      <c r="W11413" s="6">
        <v>4.41</v>
      </c>
      <c r="X11413" s="6">
        <v>4.67</v>
      </c>
      <c r="Y11413" s="6">
        <v>5.81</v>
      </c>
      <c r="Z11413" s="6">
        <v>5.55</v>
      </c>
      <c r="AA11413" s="6">
        <v>85.24</v>
      </c>
      <c r="AB11413" s="2" t="s">
        <v>86</v>
      </c>
      <c r="AC11413" s="2"/>
    </row>
    <row r="11414" spans="1:29" ht="169" x14ac:dyDescent="0.15">
      <c r="A11414" s="3">
        <f>DATE(2016,4,7)</f>
        <v>42467</v>
      </c>
      <c r="B11414" s="3">
        <f>DATE(2016,6,6)</f>
        <v>42527</v>
      </c>
      <c r="C11414" s="2" t="s">
        <v>95</v>
      </c>
      <c r="D11414" s="2" t="s">
        <v>32983</v>
      </c>
      <c r="E11414" s="2" t="s">
        <v>2728</v>
      </c>
      <c r="F11414" s="4">
        <v>3674</v>
      </c>
      <c r="G11414" s="2" t="s">
        <v>137</v>
      </c>
      <c r="H11414" s="2" t="s">
        <v>34</v>
      </c>
      <c r="I11414" s="2" t="s">
        <v>3896</v>
      </c>
      <c r="J11414" s="2" t="s">
        <v>3897</v>
      </c>
      <c r="K11414" s="2" t="s">
        <v>163</v>
      </c>
      <c r="L11414" s="2" t="s">
        <v>34</v>
      </c>
      <c r="M11414" s="12">
        <v>21143.906999999999</v>
      </c>
      <c r="N11414" s="6">
        <v>20.66</v>
      </c>
      <c r="O11414" s="6">
        <v>20.53</v>
      </c>
      <c r="P11414" s="2" t="s">
        <v>32984</v>
      </c>
      <c r="Q11414" s="6">
        <v>100</v>
      </c>
      <c r="R11414" s="6">
        <v>18.5</v>
      </c>
      <c r="S11414" s="5">
        <v>8.9</v>
      </c>
      <c r="T11414" s="7">
        <v>16.042000000000002</v>
      </c>
      <c r="U11414" s="5">
        <v>4</v>
      </c>
      <c r="V11414" s="9">
        <v>0.49419999999999997</v>
      </c>
      <c r="W11414" s="6">
        <v>14.79</v>
      </c>
      <c r="X11414" s="6">
        <v>14.92</v>
      </c>
      <c r="Y11414" s="6">
        <v>15.46</v>
      </c>
      <c r="Z11414" s="6">
        <v>18.45</v>
      </c>
      <c r="AA11414" s="6">
        <v>15.79</v>
      </c>
      <c r="AB11414" s="7">
        <v>20.640999999999998</v>
      </c>
      <c r="AC11414" s="8">
        <v>3876</v>
      </c>
    </row>
    <row r="11415" spans="1:29" ht="104" x14ac:dyDescent="0.15">
      <c r="A11415" s="3">
        <f>DATE(2016,4,11)</f>
        <v>42471</v>
      </c>
      <c r="B11415" s="3">
        <f>DATE(2016,4,11)</f>
        <v>42471</v>
      </c>
      <c r="C11415" s="2" t="s">
        <v>95</v>
      </c>
      <c r="D11415" s="2" t="s">
        <v>32985</v>
      </c>
      <c r="E11415" s="2" t="s">
        <v>32986</v>
      </c>
      <c r="F11415" s="4">
        <v>6153</v>
      </c>
      <c r="G11415" s="2" t="s">
        <v>370</v>
      </c>
      <c r="H11415" s="2" t="s">
        <v>34</v>
      </c>
      <c r="I11415" s="2" t="s">
        <v>1526</v>
      </c>
      <c r="J11415" s="2" t="s">
        <v>302</v>
      </c>
      <c r="K11415" s="2" t="s">
        <v>53</v>
      </c>
      <c r="L11415" s="2" t="s">
        <v>34</v>
      </c>
      <c r="M11415" s="2"/>
      <c r="N11415" s="2"/>
      <c r="O11415" s="2"/>
      <c r="P11415" s="2" t="s">
        <v>32987</v>
      </c>
      <c r="Q11415" s="2"/>
      <c r="R11415" s="2"/>
      <c r="S11415" s="5">
        <v>-37.299999999999997</v>
      </c>
      <c r="T11415" s="2"/>
      <c r="U11415" s="5">
        <v>8.4</v>
      </c>
      <c r="V11415" s="9">
        <v>-0.24060000000000001</v>
      </c>
      <c r="W11415" s="6">
        <v>5.17</v>
      </c>
      <c r="X11415" s="6">
        <v>5.1100000000000003</v>
      </c>
      <c r="Y11415" s="6">
        <v>5.16</v>
      </c>
      <c r="Z11415" s="6">
        <v>5.26</v>
      </c>
      <c r="AA11415" s="6">
        <v>145.30000000000001</v>
      </c>
      <c r="AB11415" s="2" t="s">
        <v>86</v>
      </c>
      <c r="AC11415" s="2"/>
    </row>
    <row r="11416" spans="1:29" ht="234" x14ac:dyDescent="0.15">
      <c r="A11416" s="3">
        <f>DATE(2016,4,11)</f>
        <v>42471</v>
      </c>
      <c r="B11416" s="3">
        <f>DATE(2016,7,12)</f>
        <v>42563</v>
      </c>
      <c r="C11416" s="2" t="s">
        <v>95</v>
      </c>
      <c r="D11416" s="2" t="s">
        <v>32988</v>
      </c>
      <c r="E11416" s="2" t="s">
        <v>10940</v>
      </c>
      <c r="F11416" s="4">
        <v>6798</v>
      </c>
      <c r="G11416" s="2" t="s">
        <v>53</v>
      </c>
      <c r="H11416" s="2" t="s">
        <v>34</v>
      </c>
      <c r="I11416" s="2" t="s">
        <v>30333</v>
      </c>
      <c r="J11416" s="2" t="s">
        <v>92</v>
      </c>
      <c r="K11416" s="2" t="s">
        <v>53</v>
      </c>
      <c r="L11416" s="2" t="s">
        <v>34</v>
      </c>
      <c r="M11416" s="12">
        <v>9461.009</v>
      </c>
      <c r="N11416" s="6">
        <v>10.44</v>
      </c>
      <c r="O11416" s="6">
        <v>10.36</v>
      </c>
      <c r="P11416" s="2" t="s">
        <v>32989</v>
      </c>
      <c r="Q11416" s="6">
        <v>100</v>
      </c>
      <c r="R11416" s="6">
        <v>15.85</v>
      </c>
      <c r="S11416" s="5">
        <v>51.6</v>
      </c>
      <c r="T11416" s="2"/>
      <c r="U11416" s="5">
        <v>19.399999999999999</v>
      </c>
      <c r="V11416" s="9">
        <v>0.30719999999999997</v>
      </c>
      <c r="W11416" s="6">
        <v>14.25</v>
      </c>
      <c r="X11416" s="6">
        <v>14.26</v>
      </c>
      <c r="Y11416" s="5">
        <v>15.8</v>
      </c>
      <c r="Z11416" s="5">
        <v>15.8</v>
      </c>
      <c r="AA11416" s="6">
        <v>94.53</v>
      </c>
      <c r="AB11416" s="7">
        <v>285.84699999999998</v>
      </c>
      <c r="AC11416" s="10">
        <v>2416.14</v>
      </c>
    </row>
    <row r="11417" spans="1:29" ht="143" x14ac:dyDescent="0.15">
      <c r="A11417" s="3">
        <f>DATE(2016,4,12)</f>
        <v>42472</v>
      </c>
      <c r="B11417" s="2"/>
      <c r="C11417" s="2" t="s">
        <v>30</v>
      </c>
      <c r="D11417" s="2" t="s">
        <v>13163</v>
      </c>
      <c r="E11417" s="2" t="s">
        <v>10974</v>
      </c>
      <c r="F11417" s="4">
        <v>3674</v>
      </c>
      <c r="G11417" s="2" t="s">
        <v>137</v>
      </c>
      <c r="H11417" s="2" t="s">
        <v>34</v>
      </c>
      <c r="I11417" s="2" t="s">
        <v>32990</v>
      </c>
      <c r="J11417" s="2" t="s">
        <v>31277</v>
      </c>
      <c r="K11417" s="2" t="s">
        <v>53</v>
      </c>
      <c r="L11417" s="2" t="s">
        <v>34</v>
      </c>
      <c r="M11417" s="2"/>
      <c r="N11417" s="2"/>
      <c r="O11417" s="2"/>
      <c r="P11417" s="2" t="s">
        <v>32991</v>
      </c>
      <c r="Q11417" s="2"/>
      <c r="R11417" s="6">
        <v>32</v>
      </c>
      <c r="S11417" s="5">
        <v>194.8</v>
      </c>
      <c r="T11417" s="7">
        <v>170.339</v>
      </c>
      <c r="U11417" s="5">
        <v>5.0999999999999996</v>
      </c>
      <c r="V11417" s="7">
        <v>1.319</v>
      </c>
      <c r="W11417" s="6">
        <v>20.059999999999999</v>
      </c>
      <c r="X11417" s="6">
        <v>19.43</v>
      </c>
      <c r="Y11417" s="6">
        <v>20.22</v>
      </c>
      <c r="Z11417" s="6">
        <v>20.74</v>
      </c>
      <c r="AA11417" s="6">
        <v>135.37</v>
      </c>
      <c r="AB11417" s="7">
        <v>31.206</v>
      </c>
      <c r="AC11417" s="2"/>
    </row>
    <row r="11418" spans="1:29" ht="65" x14ac:dyDescent="0.15">
      <c r="A11418" s="3">
        <f>DATE(2016,4,13)</f>
        <v>42473</v>
      </c>
      <c r="B11418" s="2"/>
      <c r="C11418" s="2" t="s">
        <v>87</v>
      </c>
      <c r="D11418" s="2" t="s">
        <v>32992</v>
      </c>
      <c r="E11418" s="2" t="s">
        <v>13055</v>
      </c>
      <c r="F11418" s="4">
        <v>2834</v>
      </c>
      <c r="G11418" s="2" t="s">
        <v>130</v>
      </c>
      <c r="H11418" s="2" t="s">
        <v>34</v>
      </c>
      <c r="I11418" s="2" t="s">
        <v>32993</v>
      </c>
      <c r="J11418" s="2" t="s">
        <v>6292</v>
      </c>
      <c r="K11418" s="2" t="s">
        <v>130</v>
      </c>
      <c r="L11418" s="2" t="s">
        <v>215</v>
      </c>
      <c r="M11418" s="12">
        <v>8749.6569999999992</v>
      </c>
      <c r="N11418" s="7">
        <v>170.23699999999999</v>
      </c>
      <c r="O11418" s="7">
        <v>168.61500000000001</v>
      </c>
      <c r="P11418" s="2" t="s">
        <v>32994</v>
      </c>
      <c r="Q11418" s="2"/>
      <c r="R11418" s="2"/>
      <c r="S11418" s="5">
        <v>203.3</v>
      </c>
      <c r="T11418" s="5">
        <v>372.5</v>
      </c>
      <c r="U11418" s="5">
        <v>4.8</v>
      </c>
      <c r="V11418" s="9">
        <v>1.6507000000000001</v>
      </c>
      <c r="W11418" s="6">
        <v>27.74</v>
      </c>
      <c r="X11418" s="6">
        <v>28.48</v>
      </c>
      <c r="Y11418" s="6">
        <v>29.66</v>
      </c>
      <c r="Z11418" s="6">
        <v>29.75</v>
      </c>
      <c r="AA11418" s="6">
        <v>124.52</v>
      </c>
      <c r="AB11418" s="2" t="s">
        <v>47</v>
      </c>
      <c r="AC11418" s="6">
        <v>276.72000000000003</v>
      </c>
    </row>
    <row r="11419" spans="1:29" ht="182" x14ac:dyDescent="0.15">
      <c r="A11419" s="3">
        <f>DATE(2016,4,13)</f>
        <v>42473</v>
      </c>
      <c r="B11419" s="3">
        <f>DATE(2017,4,3)</f>
        <v>42828</v>
      </c>
      <c r="C11419" s="2" t="s">
        <v>95</v>
      </c>
      <c r="D11419" s="2" t="s">
        <v>32995</v>
      </c>
      <c r="E11419" s="2" t="s">
        <v>11539</v>
      </c>
      <c r="F11419" s="4">
        <v>1241</v>
      </c>
      <c r="G11419" s="2" t="s">
        <v>166</v>
      </c>
      <c r="H11419" s="2" t="s">
        <v>34</v>
      </c>
      <c r="I11419" s="2" t="s">
        <v>1526</v>
      </c>
      <c r="J11419" s="2" t="s">
        <v>302</v>
      </c>
      <c r="K11419" s="2" t="s">
        <v>53</v>
      </c>
      <c r="L11419" s="2" t="s">
        <v>34</v>
      </c>
      <c r="M11419" s="2"/>
      <c r="N11419" s="2"/>
      <c r="O11419" s="2"/>
      <c r="P11419" s="2" t="s">
        <v>32996</v>
      </c>
      <c r="Q11419" s="6">
        <v>22.44</v>
      </c>
      <c r="R11419" s="2"/>
      <c r="S11419" s="5">
        <v>-453.6</v>
      </c>
      <c r="T11419" s="5">
        <v>702.6</v>
      </c>
      <c r="U11419" s="5">
        <v>26.1</v>
      </c>
      <c r="V11419" s="9">
        <v>-27.212599999999998</v>
      </c>
      <c r="W11419" s="5">
        <v>1.7</v>
      </c>
      <c r="X11419" s="6">
        <v>1.53</v>
      </c>
      <c r="Y11419" s="6">
        <v>2.2799999999999998</v>
      </c>
      <c r="Z11419" s="6">
        <v>2.39</v>
      </c>
      <c r="AA11419" s="6">
        <v>400</v>
      </c>
      <c r="AB11419" s="7">
        <v>48.371000000000002</v>
      </c>
      <c r="AC11419" s="2"/>
    </row>
    <row r="11420" spans="1:29" ht="221" x14ac:dyDescent="0.15">
      <c r="A11420" s="3">
        <f>DATE(2016,4,15)</f>
        <v>42475</v>
      </c>
      <c r="B11420" s="2"/>
      <c r="C11420" s="2" t="s">
        <v>30</v>
      </c>
      <c r="D11420" s="2" t="s">
        <v>18132</v>
      </c>
      <c r="E11420" s="2" t="s">
        <v>18133</v>
      </c>
      <c r="F11420" s="4">
        <v>3661</v>
      </c>
      <c r="G11420" s="2" t="s">
        <v>921</v>
      </c>
      <c r="H11420" s="2" t="s">
        <v>34</v>
      </c>
      <c r="I11420" s="2" t="s">
        <v>25490</v>
      </c>
      <c r="J11420" s="2" t="s">
        <v>31808</v>
      </c>
      <c r="K11420" s="2" t="s">
        <v>921</v>
      </c>
      <c r="L11420" s="2" t="s">
        <v>902</v>
      </c>
      <c r="M11420" s="7">
        <v>994.17600000000004</v>
      </c>
      <c r="N11420" s="7">
        <v>7.1070000000000002</v>
      </c>
      <c r="O11420" s="7">
        <v>7.0659999999999998</v>
      </c>
      <c r="P11420" s="2" t="s">
        <v>32997</v>
      </c>
      <c r="Q11420" s="2"/>
      <c r="R11420" s="6">
        <v>13.4</v>
      </c>
      <c r="S11420" s="5">
        <v>52.1</v>
      </c>
      <c r="T11420" s="7">
        <v>152.08699999999999</v>
      </c>
      <c r="U11420" s="5">
        <v>7.9</v>
      </c>
      <c r="V11420" s="9">
        <v>0.37430000000000002</v>
      </c>
      <c r="W11420" s="6">
        <v>11.15</v>
      </c>
      <c r="X11420" s="6">
        <v>11.71</v>
      </c>
      <c r="Y11420" s="6">
        <v>11.54</v>
      </c>
      <c r="Z11420" s="6">
        <v>11.59</v>
      </c>
      <c r="AA11420" s="6">
        <v>120.79</v>
      </c>
      <c r="AB11420" s="7">
        <v>15.375</v>
      </c>
      <c r="AC11420" s="6">
        <v>84.92</v>
      </c>
    </row>
    <row r="11421" spans="1:29" ht="65" x14ac:dyDescent="0.15">
      <c r="A11421" s="3">
        <f>DATE(2016,4,18)</f>
        <v>42478</v>
      </c>
      <c r="B11421" s="3">
        <f>DATE(2016,11,29)</f>
        <v>42703</v>
      </c>
      <c r="C11421" s="2" t="s">
        <v>95</v>
      </c>
      <c r="D11421" s="2" t="s">
        <v>32998</v>
      </c>
      <c r="E11421" s="2" t="s">
        <v>8995</v>
      </c>
      <c r="F11421" s="4">
        <v>7372</v>
      </c>
      <c r="G11421" s="2" t="s">
        <v>551</v>
      </c>
      <c r="H11421" s="2" t="s">
        <v>34</v>
      </c>
      <c r="I11421" s="2" t="s">
        <v>30736</v>
      </c>
      <c r="J11421" s="2" t="s">
        <v>244</v>
      </c>
      <c r="K11421" s="2" t="s">
        <v>53</v>
      </c>
      <c r="L11421" s="2" t="s">
        <v>34</v>
      </c>
      <c r="M11421" s="2"/>
      <c r="N11421" s="2"/>
      <c r="O11421" s="2"/>
      <c r="P11421" s="2" t="s">
        <v>32999</v>
      </c>
      <c r="Q11421" s="6">
        <v>100</v>
      </c>
      <c r="R11421" s="6">
        <v>36</v>
      </c>
      <c r="S11421" s="5">
        <v>-17.7</v>
      </c>
      <c r="T11421" s="7">
        <v>16.283999999999999</v>
      </c>
      <c r="U11421" s="5">
        <v>4.2</v>
      </c>
      <c r="V11421" s="9">
        <v>-0.42320000000000002</v>
      </c>
      <c r="W11421" s="6">
        <v>21.37</v>
      </c>
      <c r="X11421" s="5">
        <v>21.3</v>
      </c>
      <c r="Y11421" s="6">
        <v>35.229999999999997</v>
      </c>
      <c r="Z11421" s="6">
        <v>35.25</v>
      </c>
      <c r="AA11421" s="6">
        <v>42.19</v>
      </c>
      <c r="AB11421" s="2" t="s">
        <v>86</v>
      </c>
      <c r="AC11421" s="2"/>
    </row>
    <row r="11422" spans="1:29" ht="169" x14ac:dyDescent="0.15">
      <c r="A11422" s="3">
        <f>DATE(2016,4,19)</f>
        <v>42479</v>
      </c>
      <c r="B11422" s="3">
        <f>DATE(2016,11,29)</f>
        <v>42703</v>
      </c>
      <c r="C11422" s="2" t="s">
        <v>95</v>
      </c>
      <c r="D11422" s="2" t="s">
        <v>32118</v>
      </c>
      <c r="E11422" s="2" t="s">
        <v>32119</v>
      </c>
      <c r="F11422" s="4">
        <v>3577</v>
      </c>
      <c r="G11422" s="2" t="s">
        <v>50</v>
      </c>
      <c r="H11422" s="2" t="s">
        <v>34</v>
      </c>
      <c r="I11422" s="2" t="s">
        <v>33000</v>
      </c>
      <c r="J11422" s="2" t="s">
        <v>31277</v>
      </c>
      <c r="K11422" s="2" t="s">
        <v>53</v>
      </c>
      <c r="L11422" s="2" t="s">
        <v>455</v>
      </c>
      <c r="M11422" s="2"/>
      <c r="N11422" s="2"/>
      <c r="O11422" s="2"/>
      <c r="P11422" s="2" t="s">
        <v>33001</v>
      </c>
      <c r="Q11422" s="6">
        <v>100</v>
      </c>
      <c r="R11422" s="6">
        <v>40.5</v>
      </c>
      <c r="S11422" s="5">
        <v>-99.5</v>
      </c>
      <c r="T11422" s="5">
        <v>510.9</v>
      </c>
      <c r="U11422" s="5">
        <v>17.100000000000001</v>
      </c>
      <c r="V11422" s="9">
        <v>-1.5624</v>
      </c>
      <c r="W11422" s="6">
        <v>30.61</v>
      </c>
      <c r="X11422" s="6">
        <v>28.15</v>
      </c>
      <c r="Y11422" s="6">
        <v>28.64</v>
      </c>
      <c r="Z11422" s="6">
        <v>28.67</v>
      </c>
      <c r="AA11422" s="6">
        <v>62.64</v>
      </c>
      <c r="AB11422" s="7">
        <v>16.898</v>
      </c>
      <c r="AC11422" s="2"/>
    </row>
    <row r="11423" spans="1:29" ht="52" x14ac:dyDescent="0.15">
      <c r="A11423" s="3">
        <f>DATE(2016,4,20)</f>
        <v>42480</v>
      </c>
      <c r="B11423" s="3">
        <f>DATE(2016,7,27)</f>
        <v>42578</v>
      </c>
      <c r="C11423" s="2" t="s">
        <v>95</v>
      </c>
      <c r="D11423" s="2" t="s">
        <v>33002</v>
      </c>
      <c r="E11423" s="2" t="s">
        <v>33003</v>
      </c>
      <c r="F11423" s="4">
        <v>3842</v>
      </c>
      <c r="G11423" s="2" t="s">
        <v>226</v>
      </c>
      <c r="H11423" s="2" t="s">
        <v>34</v>
      </c>
      <c r="I11423" s="2" t="s">
        <v>33004</v>
      </c>
      <c r="J11423" s="2" t="s">
        <v>9401</v>
      </c>
      <c r="K11423" s="2" t="s">
        <v>76</v>
      </c>
      <c r="L11423" s="2" t="s">
        <v>34</v>
      </c>
      <c r="M11423" s="2"/>
      <c r="N11423" s="2"/>
      <c r="O11423" s="2"/>
      <c r="P11423" s="2" t="s">
        <v>33005</v>
      </c>
      <c r="Q11423" s="6">
        <v>100</v>
      </c>
      <c r="R11423" s="6">
        <v>4</v>
      </c>
      <c r="S11423" s="5">
        <v>-43.9</v>
      </c>
      <c r="T11423" s="7">
        <v>-34.255000000000003</v>
      </c>
      <c r="U11423" s="5">
        <v>-0.4</v>
      </c>
      <c r="V11423" s="9">
        <v>-4.6970999999999998</v>
      </c>
      <c r="W11423" s="6">
        <v>3.05</v>
      </c>
      <c r="X11423" s="6">
        <v>2.86</v>
      </c>
      <c r="Y11423" s="4">
        <v>4</v>
      </c>
      <c r="Z11423" s="6">
        <v>4.0199999999999996</v>
      </c>
      <c r="AA11423" s="6">
        <v>18.989999999999998</v>
      </c>
      <c r="AB11423" s="2" t="s">
        <v>86</v>
      </c>
      <c r="AC11423" s="2"/>
    </row>
    <row r="11424" spans="1:29" ht="52" x14ac:dyDescent="0.15">
      <c r="A11424" s="3">
        <f>DATE(2016,4,20)</f>
        <v>42480</v>
      </c>
      <c r="B11424" s="3">
        <f>DATE(2016,8,31)</f>
        <v>42613</v>
      </c>
      <c r="C11424" s="2" t="s">
        <v>95</v>
      </c>
      <c r="D11424" s="2" t="s">
        <v>33006</v>
      </c>
      <c r="E11424" s="2" t="s">
        <v>10873</v>
      </c>
      <c r="F11424" s="4">
        <v>6035</v>
      </c>
      <c r="G11424" s="2" t="s">
        <v>33</v>
      </c>
      <c r="H11424" s="2" t="s">
        <v>34</v>
      </c>
      <c r="I11424" s="2" t="s">
        <v>2541</v>
      </c>
      <c r="J11424" s="2" t="s">
        <v>36</v>
      </c>
      <c r="K11424" s="2" t="s">
        <v>37</v>
      </c>
      <c r="L11424" s="2" t="s">
        <v>34</v>
      </c>
      <c r="M11424" s="12">
        <v>1915.0920000000001</v>
      </c>
      <c r="N11424" s="5">
        <v>26.5</v>
      </c>
      <c r="O11424" s="6">
        <v>26.24</v>
      </c>
      <c r="P11424" s="2" t="s">
        <v>33007</v>
      </c>
      <c r="Q11424" s="6">
        <v>100</v>
      </c>
      <c r="R11424" s="2"/>
      <c r="S11424" s="2"/>
      <c r="T11424" s="2"/>
      <c r="U11424" s="2"/>
      <c r="V11424" s="2"/>
      <c r="W11424" s="4">
        <v>5</v>
      </c>
      <c r="X11424" s="4">
        <v>5</v>
      </c>
      <c r="Y11424" s="4">
        <v>5</v>
      </c>
      <c r="Z11424" s="5">
        <v>6.9</v>
      </c>
      <c r="AA11424" s="2"/>
      <c r="AB11424" s="2" t="s">
        <v>47</v>
      </c>
      <c r="AC11424" s="2"/>
    </row>
    <row r="11425" spans="1:29" ht="104" x14ac:dyDescent="0.15">
      <c r="A11425" s="3">
        <f>DATE(2016,4,25)</f>
        <v>42485</v>
      </c>
      <c r="B11425" s="2"/>
      <c r="C11425" s="2" t="s">
        <v>30</v>
      </c>
      <c r="D11425" s="2" t="s">
        <v>33008</v>
      </c>
      <c r="E11425" s="2" t="s">
        <v>2499</v>
      </c>
      <c r="F11425" s="4">
        <v>2711</v>
      </c>
      <c r="G11425" s="2" t="s">
        <v>186</v>
      </c>
      <c r="H11425" s="2" t="s">
        <v>34</v>
      </c>
      <c r="I11425" s="2" t="s">
        <v>17167</v>
      </c>
      <c r="J11425" s="2" t="s">
        <v>2499</v>
      </c>
      <c r="K11425" s="2" t="s">
        <v>186</v>
      </c>
      <c r="L11425" s="2" t="s">
        <v>34</v>
      </c>
      <c r="M11425" s="12">
        <v>1750.5170000000001</v>
      </c>
      <c r="N11425" s="6">
        <v>16.79</v>
      </c>
      <c r="O11425" s="6">
        <v>16.39</v>
      </c>
      <c r="P11425" s="2" t="s">
        <v>33009</v>
      </c>
      <c r="Q11425" s="2"/>
      <c r="R11425" s="6">
        <v>15</v>
      </c>
      <c r="S11425" s="5">
        <v>-11.7</v>
      </c>
      <c r="T11425" s="7">
        <v>66.213999999999999</v>
      </c>
      <c r="U11425" s="5">
        <v>0.7</v>
      </c>
      <c r="V11425" s="9">
        <v>-0.3896</v>
      </c>
      <c r="W11425" s="6">
        <v>7.49</v>
      </c>
      <c r="X11425" s="6">
        <v>7.52</v>
      </c>
      <c r="Y11425" s="5">
        <v>11.5</v>
      </c>
      <c r="Z11425" s="6">
        <v>11.55</v>
      </c>
      <c r="AA11425" s="6">
        <v>31.66</v>
      </c>
      <c r="AB11425" s="7">
        <v>75.194999999999993</v>
      </c>
      <c r="AC11425" s="6">
        <v>190.87</v>
      </c>
    </row>
    <row r="11426" spans="1:29" ht="39" x14ac:dyDescent="0.15">
      <c r="A11426" s="3">
        <f t="shared" ref="A11426:A11431" si="181">DATE(2016,4,26)</f>
        <v>42486</v>
      </c>
      <c r="B11426" s="2"/>
      <c r="C11426" s="2" t="s">
        <v>189</v>
      </c>
      <c r="D11426" s="2" t="s">
        <v>526</v>
      </c>
      <c r="E11426" s="2" t="s">
        <v>16983</v>
      </c>
      <c r="F11426" s="4">
        <v>6021</v>
      </c>
      <c r="G11426" s="2" t="s">
        <v>37</v>
      </c>
      <c r="H11426" s="2" t="s">
        <v>34</v>
      </c>
      <c r="I11426" s="2" t="s">
        <v>143</v>
      </c>
      <c r="J11426" s="2" t="s">
        <v>144</v>
      </c>
      <c r="K11426" s="2" t="s">
        <v>53</v>
      </c>
      <c r="L11426" s="2" t="s">
        <v>139</v>
      </c>
      <c r="M11426" s="2"/>
      <c r="N11426" s="2"/>
      <c r="O11426" s="2"/>
      <c r="P11426" s="2" t="s">
        <v>33010</v>
      </c>
      <c r="Q11426" s="2"/>
      <c r="R11426" s="2"/>
      <c r="S11426" s="5">
        <v>442</v>
      </c>
      <c r="T11426" s="5">
        <v>725</v>
      </c>
      <c r="U11426" s="5">
        <v>43.7</v>
      </c>
      <c r="V11426" s="9">
        <v>2.4666000000000001</v>
      </c>
      <c r="W11426" s="6">
        <v>41.64</v>
      </c>
      <c r="X11426" s="6">
        <v>43.68</v>
      </c>
      <c r="Y11426" s="6">
        <v>45.13</v>
      </c>
      <c r="Z11426" s="6">
        <v>45.53</v>
      </c>
      <c r="AA11426" s="6">
        <v>174.88</v>
      </c>
      <c r="AB11426" s="2" t="s">
        <v>47</v>
      </c>
      <c r="AC11426" s="2"/>
    </row>
    <row r="11427" spans="1:29" ht="91" x14ac:dyDescent="0.15">
      <c r="A11427" s="3">
        <f t="shared" si="181"/>
        <v>42486</v>
      </c>
      <c r="B11427" s="3">
        <f>DATE(2016,9,8)</f>
        <v>42621</v>
      </c>
      <c r="C11427" s="2" t="s">
        <v>95</v>
      </c>
      <c r="D11427" s="2" t="s">
        <v>33011</v>
      </c>
      <c r="E11427" s="2" t="s">
        <v>17331</v>
      </c>
      <c r="F11427" s="4">
        <v>6021</v>
      </c>
      <c r="G11427" s="2" t="s">
        <v>37</v>
      </c>
      <c r="H11427" s="2" t="s">
        <v>34</v>
      </c>
      <c r="I11427" s="2" t="s">
        <v>33012</v>
      </c>
      <c r="J11427" s="2" t="s">
        <v>36</v>
      </c>
      <c r="K11427" s="2" t="s">
        <v>37</v>
      </c>
      <c r="L11427" s="2" t="s">
        <v>34</v>
      </c>
      <c r="M11427" s="7">
        <v>213.10400000000001</v>
      </c>
      <c r="N11427" s="6">
        <v>25.27</v>
      </c>
      <c r="O11427" s="6">
        <v>25.24</v>
      </c>
      <c r="P11427" s="2" t="s">
        <v>33013</v>
      </c>
      <c r="Q11427" s="6">
        <v>100</v>
      </c>
      <c r="R11427" s="6">
        <v>12.87</v>
      </c>
      <c r="S11427" s="5">
        <v>4.2</v>
      </c>
      <c r="T11427" s="7">
        <v>6.0960000000000001</v>
      </c>
      <c r="U11427" s="5">
        <v>11.6</v>
      </c>
      <c r="V11427" s="9">
        <v>0.59660000000000002</v>
      </c>
      <c r="W11427" s="7">
        <v>9.6989999999999998</v>
      </c>
      <c r="X11427" s="5">
        <v>9.6</v>
      </c>
      <c r="Y11427" s="6">
        <v>9.7200000000000006</v>
      </c>
      <c r="Z11427" s="7">
        <v>11.824999999999999</v>
      </c>
      <c r="AA11427" s="6">
        <v>7.01</v>
      </c>
      <c r="AB11427" s="7">
        <v>23.373000000000001</v>
      </c>
      <c r="AC11427" s="2"/>
    </row>
    <row r="11428" spans="1:29" ht="52" x14ac:dyDescent="0.15">
      <c r="A11428" s="3">
        <f t="shared" si="181"/>
        <v>42486</v>
      </c>
      <c r="B11428" s="3">
        <f>DATE(2016,10,21)</f>
        <v>42664</v>
      </c>
      <c r="C11428" s="2" t="s">
        <v>95</v>
      </c>
      <c r="D11428" s="2" t="s">
        <v>33014</v>
      </c>
      <c r="E11428" s="2" t="s">
        <v>29798</v>
      </c>
      <c r="F11428" s="4">
        <v>6021</v>
      </c>
      <c r="G11428" s="2" t="s">
        <v>37</v>
      </c>
      <c r="H11428" s="2" t="s">
        <v>34</v>
      </c>
      <c r="I11428" s="2" t="s">
        <v>33015</v>
      </c>
      <c r="J11428" s="2" t="s">
        <v>29798</v>
      </c>
      <c r="K11428" s="2" t="s">
        <v>37</v>
      </c>
      <c r="L11428" s="2" t="s">
        <v>34</v>
      </c>
      <c r="M11428" s="2"/>
      <c r="N11428" s="2"/>
      <c r="O11428" s="2"/>
      <c r="P11428" s="2" t="s">
        <v>33016</v>
      </c>
      <c r="Q11428" s="6">
        <v>100</v>
      </c>
      <c r="R11428" s="6">
        <v>7.25</v>
      </c>
      <c r="S11428" s="2"/>
      <c r="T11428" s="2"/>
      <c r="U11428" s="2"/>
      <c r="V11428" s="2"/>
      <c r="W11428" s="4">
        <v>5</v>
      </c>
      <c r="X11428" s="4">
        <v>5</v>
      </c>
      <c r="Y11428" s="4">
        <v>5</v>
      </c>
      <c r="Z11428" s="4">
        <v>7</v>
      </c>
      <c r="AA11428" s="6">
        <v>1.64</v>
      </c>
      <c r="AB11428" s="2" t="s">
        <v>47</v>
      </c>
      <c r="AC11428" s="2"/>
    </row>
    <row r="11429" spans="1:29" ht="143" x14ac:dyDescent="0.15">
      <c r="A11429" s="3">
        <f t="shared" si="181"/>
        <v>42486</v>
      </c>
      <c r="B11429" s="3">
        <f>DATE(2016,9,6)</f>
        <v>42619</v>
      </c>
      <c r="C11429" s="2" t="s">
        <v>95</v>
      </c>
      <c r="D11429" s="2" t="s">
        <v>33017</v>
      </c>
      <c r="E11429" s="2" t="s">
        <v>29798</v>
      </c>
      <c r="F11429" s="4">
        <v>6021</v>
      </c>
      <c r="G11429" s="2" t="s">
        <v>37</v>
      </c>
      <c r="H11429" s="2" t="s">
        <v>34</v>
      </c>
      <c r="I11429" s="2" t="s">
        <v>23240</v>
      </c>
      <c r="J11429" s="2" t="s">
        <v>36</v>
      </c>
      <c r="K11429" s="2" t="s">
        <v>37</v>
      </c>
      <c r="L11429" s="2" t="s">
        <v>34</v>
      </c>
      <c r="M11429" s="7">
        <v>318.774</v>
      </c>
      <c r="N11429" s="6">
        <v>16.739999999999998</v>
      </c>
      <c r="O11429" s="5">
        <v>16.899999999999999</v>
      </c>
      <c r="P11429" s="2" t="s">
        <v>33018</v>
      </c>
      <c r="Q11429" s="6">
        <v>100</v>
      </c>
      <c r="R11429" s="6">
        <v>12.91</v>
      </c>
      <c r="S11429" s="2"/>
      <c r="T11429" s="2"/>
      <c r="U11429" s="2"/>
      <c r="V11429" s="2"/>
      <c r="W11429" s="6">
        <v>9.9499999999999993</v>
      </c>
      <c r="X11429" s="6">
        <v>10.15</v>
      </c>
      <c r="Y11429" s="6">
        <v>10.15</v>
      </c>
      <c r="Z11429" s="5">
        <v>12.7</v>
      </c>
      <c r="AA11429" s="6">
        <v>0.46</v>
      </c>
      <c r="AB11429" s="2" t="s">
        <v>47</v>
      </c>
      <c r="AC11429" s="2"/>
    </row>
    <row r="11430" spans="1:29" ht="117" x14ac:dyDescent="0.15">
      <c r="A11430" s="3">
        <f t="shared" si="181"/>
        <v>42486</v>
      </c>
      <c r="B11430" s="3">
        <f>DATE(2016,9,16)</f>
        <v>42629</v>
      </c>
      <c r="C11430" s="2" t="s">
        <v>95</v>
      </c>
      <c r="D11430" s="2" t="s">
        <v>33019</v>
      </c>
      <c r="E11430" s="2" t="s">
        <v>29798</v>
      </c>
      <c r="F11430" s="4">
        <v>6021</v>
      </c>
      <c r="G11430" s="2" t="s">
        <v>37</v>
      </c>
      <c r="H11430" s="2" t="s">
        <v>34</v>
      </c>
      <c r="I11430" s="2" t="s">
        <v>33020</v>
      </c>
      <c r="J11430" s="2" t="s">
        <v>1181</v>
      </c>
      <c r="K11430" s="2" t="s">
        <v>37</v>
      </c>
      <c r="L11430" s="2" t="s">
        <v>34</v>
      </c>
      <c r="M11430" s="6">
        <v>120.96</v>
      </c>
      <c r="N11430" s="6">
        <v>31.85</v>
      </c>
      <c r="O11430" s="6">
        <v>31.95</v>
      </c>
      <c r="P11430" s="2" t="s">
        <v>33021</v>
      </c>
      <c r="Q11430" s="6">
        <v>100</v>
      </c>
      <c r="R11430" s="6">
        <v>9.02</v>
      </c>
      <c r="S11430" s="2"/>
      <c r="T11430" s="2"/>
      <c r="U11430" s="2"/>
      <c r="V11430" s="2"/>
      <c r="W11430" s="5">
        <v>8.6999999999999993</v>
      </c>
      <c r="X11430" s="5">
        <v>8.6999999999999993</v>
      </c>
      <c r="Y11430" s="6">
        <v>8.65</v>
      </c>
      <c r="Z11430" s="6">
        <v>8.7899999999999991</v>
      </c>
      <c r="AA11430" s="6">
        <v>4.43</v>
      </c>
      <c r="AB11430" s="2" t="s">
        <v>47</v>
      </c>
      <c r="AC11430" s="2"/>
    </row>
    <row r="11431" spans="1:29" ht="130" x14ac:dyDescent="0.15">
      <c r="A11431" s="3">
        <f t="shared" si="181"/>
        <v>42486</v>
      </c>
      <c r="B11431" s="3">
        <f>DATE(2016,8,2)</f>
        <v>42584</v>
      </c>
      <c r="C11431" s="2" t="s">
        <v>95</v>
      </c>
      <c r="D11431" s="2" t="s">
        <v>33022</v>
      </c>
      <c r="E11431" s="2" t="s">
        <v>29798</v>
      </c>
      <c r="F11431" s="4">
        <v>6021</v>
      </c>
      <c r="G11431" s="2" t="s">
        <v>37</v>
      </c>
      <c r="H11431" s="2" t="s">
        <v>34</v>
      </c>
      <c r="I11431" s="2" t="s">
        <v>31022</v>
      </c>
      <c r="J11431" s="2" t="s">
        <v>36</v>
      </c>
      <c r="K11431" s="2" t="s">
        <v>37</v>
      </c>
      <c r="L11431" s="2" t="s">
        <v>34</v>
      </c>
      <c r="M11431" s="7">
        <v>417.089</v>
      </c>
      <c r="N11431" s="6">
        <v>5.88</v>
      </c>
      <c r="O11431" s="6">
        <v>5.96</v>
      </c>
      <c r="P11431" s="2" t="s">
        <v>33023</v>
      </c>
      <c r="Q11431" s="6">
        <v>100</v>
      </c>
      <c r="R11431" s="6">
        <v>1.79</v>
      </c>
      <c r="S11431" s="2"/>
      <c r="T11431" s="2"/>
      <c r="U11431" s="2"/>
      <c r="V11431" s="2"/>
      <c r="W11431" s="7">
        <v>1.242</v>
      </c>
      <c r="X11431" s="7">
        <v>1.242</v>
      </c>
      <c r="Y11431" s="7">
        <v>1.242</v>
      </c>
      <c r="Z11431" s="6">
        <v>1.69</v>
      </c>
      <c r="AA11431" s="6">
        <v>1.27</v>
      </c>
      <c r="AB11431" s="2" t="s">
        <v>47</v>
      </c>
      <c r="AC11431" s="2"/>
    </row>
    <row r="11432" spans="1:29" ht="91" x14ac:dyDescent="0.15">
      <c r="A11432" s="3">
        <f>DATE(2016,4,27)</f>
        <v>42487</v>
      </c>
      <c r="B11432" s="3">
        <f>DATE(2016,7,27)</f>
        <v>42578</v>
      </c>
      <c r="C11432" s="2" t="s">
        <v>95</v>
      </c>
      <c r="D11432" s="2" t="s">
        <v>33024</v>
      </c>
      <c r="E11432" s="2" t="s">
        <v>33025</v>
      </c>
      <c r="F11432" s="4">
        <v>8099</v>
      </c>
      <c r="G11432" s="2" t="s">
        <v>454</v>
      </c>
      <c r="H11432" s="2" t="s">
        <v>34</v>
      </c>
      <c r="I11432" s="2" t="s">
        <v>9916</v>
      </c>
      <c r="J11432" s="2" t="s">
        <v>244</v>
      </c>
      <c r="K11432" s="2" t="s">
        <v>53</v>
      </c>
      <c r="L11432" s="2" t="s">
        <v>34</v>
      </c>
      <c r="M11432" s="2"/>
      <c r="N11432" s="2"/>
      <c r="O11432" s="2"/>
      <c r="P11432" s="2" t="s">
        <v>33026</v>
      </c>
      <c r="Q11432" s="6">
        <v>100</v>
      </c>
      <c r="R11432" s="6">
        <v>35.049999999999997</v>
      </c>
      <c r="S11432" s="5">
        <v>6.8</v>
      </c>
      <c r="T11432" s="7">
        <v>119.532</v>
      </c>
      <c r="U11432" s="5">
        <v>8.9</v>
      </c>
      <c r="V11432" s="6">
        <v>0.15</v>
      </c>
      <c r="W11432" s="6">
        <v>33.47</v>
      </c>
      <c r="X11432" s="6">
        <v>33.57</v>
      </c>
      <c r="Y11432" s="4">
        <v>36</v>
      </c>
      <c r="Z11432" s="6">
        <v>36.450000000000003</v>
      </c>
      <c r="AA11432" s="6">
        <v>44.82</v>
      </c>
      <c r="AB11432" s="7">
        <v>33.619999999999997</v>
      </c>
      <c r="AC11432" s="2"/>
    </row>
    <row r="11433" spans="1:29" ht="65" x14ac:dyDescent="0.15">
      <c r="A11433" s="3">
        <f t="shared" ref="A11433:A11439" si="182">DATE(2016,4,28)</f>
        <v>42488</v>
      </c>
      <c r="B11433" s="3">
        <f>DATE(2016,10,3)</f>
        <v>42646</v>
      </c>
      <c r="C11433" s="2" t="s">
        <v>95</v>
      </c>
      <c r="D11433" s="2" t="s">
        <v>33027</v>
      </c>
      <c r="E11433" s="2" t="s">
        <v>29798</v>
      </c>
      <c r="F11433" s="4">
        <v>6022</v>
      </c>
      <c r="G11433" s="2" t="s">
        <v>37</v>
      </c>
      <c r="H11433" s="2" t="s">
        <v>34</v>
      </c>
      <c r="I11433" s="2" t="s">
        <v>31736</v>
      </c>
      <c r="J11433" s="2" t="s">
        <v>21800</v>
      </c>
      <c r="K11433" s="2" t="s">
        <v>37</v>
      </c>
      <c r="L11433" s="2" t="s">
        <v>34</v>
      </c>
      <c r="M11433" s="2"/>
      <c r="N11433" s="4">
        <v>27250</v>
      </c>
      <c r="O11433" s="4">
        <v>27250</v>
      </c>
      <c r="P11433" s="2" t="s">
        <v>33028</v>
      </c>
      <c r="Q11433" s="6">
        <v>100</v>
      </c>
      <c r="R11433" s="6">
        <v>37.19</v>
      </c>
      <c r="S11433" s="2"/>
      <c r="T11433" s="2"/>
      <c r="U11433" s="2"/>
      <c r="V11433" s="2"/>
      <c r="W11433" s="6">
        <v>24.85</v>
      </c>
      <c r="X11433" s="6">
        <v>24.77</v>
      </c>
      <c r="Y11433" s="6">
        <v>24.77</v>
      </c>
      <c r="Z11433" s="6">
        <v>36.049999999999997</v>
      </c>
      <c r="AA11433" s="6">
        <v>7.72</v>
      </c>
      <c r="AB11433" s="2" t="s">
        <v>47</v>
      </c>
      <c r="AC11433" s="2"/>
    </row>
    <row r="11434" spans="1:29" ht="169" x14ac:dyDescent="0.15">
      <c r="A11434" s="3">
        <f t="shared" si="182"/>
        <v>42488</v>
      </c>
      <c r="B11434" s="3">
        <f>DATE(2016,9,1)</f>
        <v>42614</v>
      </c>
      <c r="C11434" s="2" t="s">
        <v>95</v>
      </c>
      <c r="D11434" s="2" t="s">
        <v>3535</v>
      </c>
      <c r="E11434" s="2" t="s">
        <v>33029</v>
      </c>
      <c r="F11434" s="4">
        <v>5932</v>
      </c>
      <c r="G11434" s="2" t="s">
        <v>73</v>
      </c>
      <c r="H11434" s="2" t="s">
        <v>34</v>
      </c>
      <c r="I11434" s="2" t="s">
        <v>33030</v>
      </c>
      <c r="J11434" s="2" t="s">
        <v>33031</v>
      </c>
      <c r="K11434" s="2" t="s">
        <v>73</v>
      </c>
      <c r="L11434" s="2" t="s">
        <v>34</v>
      </c>
      <c r="M11434" s="12">
        <v>1300.883</v>
      </c>
      <c r="N11434" s="5">
        <v>48.7</v>
      </c>
      <c r="O11434" s="6">
        <v>45.73</v>
      </c>
      <c r="P11434" s="2" t="s">
        <v>33032</v>
      </c>
      <c r="Q11434" s="6">
        <v>100</v>
      </c>
      <c r="R11434" s="6">
        <v>40.9</v>
      </c>
      <c r="S11434" s="5">
        <v>30.4</v>
      </c>
      <c r="T11434" s="5">
        <v>100</v>
      </c>
      <c r="U11434" s="5">
        <v>40.5</v>
      </c>
      <c r="V11434" s="9">
        <v>1.1709000000000001</v>
      </c>
      <c r="W11434" s="5">
        <v>39.6</v>
      </c>
      <c r="X11434" s="5">
        <v>40.700000000000003</v>
      </c>
      <c r="Y11434" s="6">
        <v>40.71</v>
      </c>
      <c r="Z11434" s="6">
        <v>36.96</v>
      </c>
      <c r="AA11434" s="6">
        <v>24.47</v>
      </c>
      <c r="AB11434" s="7">
        <v>24.091000000000001</v>
      </c>
      <c r="AC11434" s="6">
        <v>54.15</v>
      </c>
    </row>
    <row r="11435" spans="1:29" ht="117" x14ac:dyDescent="0.15">
      <c r="A11435" s="3">
        <f t="shared" si="182"/>
        <v>42488</v>
      </c>
      <c r="B11435" s="3">
        <f>DATE(2016,8,22)</f>
        <v>42604</v>
      </c>
      <c r="C11435" s="2" t="s">
        <v>95</v>
      </c>
      <c r="D11435" s="2" t="s">
        <v>31743</v>
      </c>
      <c r="E11435" s="2" t="s">
        <v>31744</v>
      </c>
      <c r="F11435" s="4">
        <v>7812</v>
      </c>
      <c r="G11435" s="2" t="s">
        <v>42</v>
      </c>
      <c r="H11435" s="2" t="s">
        <v>34</v>
      </c>
      <c r="I11435" s="2" t="s">
        <v>33033</v>
      </c>
      <c r="J11435" s="2" t="s">
        <v>33034</v>
      </c>
      <c r="K11435" s="2" t="s">
        <v>45</v>
      </c>
      <c r="L11435" s="2" t="s">
        <v>34</v>
      </c>
      <c r="M11435" s="2"/>
      <c r="N11435" s="5">
        <v>61.3</v>
      </c>
      <c r="O11435" s="2"/>
      <c r="P11435" s="2" t="s">
        <v>33035</v>
      </c>
      <c r="Q11435" s="6">
        <v>95.31</v>
      </c>
      <c r="R11435" s="6">
        <v>41</v>
      </c>
      <c r="S11435" s="5">
        <v>13.8</v>
      </c>
      <c r="T11435" s="7">
        <v>98.766999999999996</v>
      </c>
      <c r="U11435" s="5">
        <v>13.4</v>
      </c>
      <c r="V11435" s="9">
        <v>0.15310000000000001</v>
      </c>
      <c r="W11435" s="6">
        <v>27.12</v>
      </c>
      <c r="X11435" s="6">
        <v>27.12</v>
      </c>
      <c r="Y11435" s="5">
        <v>32.200000000000003</v>
      </c>
      <c r="Z11435" s="6">
        <v>39.950000000000003</v>
      </c>
      <c r="AA11435" s="6">
        <v>78.7</v>
      </c>
      <c r="AB11435" s="7">
        <v>70.915999999999997</v>
      </c>
      <c r="AC11435" s="8">
        <v>1081</v>
      </c>
    </row>
    <row r="11436" spans="1:29" ht="169" x14ac:dyDescent="0.15">
      <c r="A11436" s="3">
        <f t="shared" si="182"/>
        <v>42488</v>
      </c>
      <c r="B11436" s="2"/>
      <c r="C11436" s="2" t="s">
        <v>30</v>
      </c>
      <c r="D11436" s="2" t="s">
        <v>33036</v>
      </c>
      <c r="E11436" s="2" t="s">
        <v>13055</v>
      </c>
      <c r="F11436" s="4">
        <v>2836</v>
      </c>
      <c r="G11436" s="2" t="s">
        <v>130</v>
      </c>
      <c r="H11436" s="2" t="s">
        <v>34</v>
      </c>
      <c r="I11436" s="2" t="s">
        <v>33037</v>
      </c>
      <c r="J11436" s="2" t="s">
        <v>33038</v>
      </c>
      <c r="K11436" s="2" t="s">
        <v>130</v>
      </c>
      <c r="L11436" s="2" t="s">
        <v>133</v>
      </c>
      <c r="M11436" s="12">
        <v>105317.501</v>
      </c>
      <c r="N11436" s="7">
        <v>86.501000000000005</v>
      </c>
      <c r="O11436" s="7">
        <v>82.638000000000005</v>
      </c>
      <c r="P11436" s="2" t="s">
        <v>33039</v>
      </c>
      <c r="Q11436" s="2"/>
      <c r="R11436" s="6">
        <v>58</v>
      </c>
      <c r="S11436" s="5">
        <v>252.7</v>
      </c>
      <c r="T11436" s="7">
        <v>430.03100000000001</v>
      </c>
      <c r="U11436" s="5">
        <v>5.5</v>
      </c>
      <c r="V11436" s="9">
        <v>1.4879</v>
      </c>
      <c r="W11436" s="5">
        <v>37.299999999999997</v>
      </c>
      <c r="X11436" s="6">
        <v>39.03</v>
      </c>
      <c r="Y11436" s="6">
        <v>39.39</v>
      </c>
      <c r="Z11436" s="6">
        <v>42.57</v>
      </c>
      <c r="AA11436" s="6">
        <v>164.23</v>
      </c>
      <c r="AB11436" s="7">
        <v>22.696000000000002</v>
      </c>
      <c r="AC11436" s="10">
        <v>10058.66</v>
      </c>
    </row>
    <row r="11437" spans="1:29" ht="130" x14ac:dyDescent="0.15">
      <c r="A11437" s="3">
        <f t="shared" si="182"/>
        <v>42488</v>
      </c>
      <c r="B11437" s="2"/>
      <c r="C11437" s="2" t="s">
        <v>30</v>
      </c>
      <c r="D11437" s="2" t="s">
        <v>32736</v>
      </c>
      <c r="E11437" s="2" t="s">
        <v>7424</v>
      </c>
      <c r="F11437" s="4">
        <v>6211</v>
      </c>
      <c r="G11437" s="2" t="s">
        <v>53</v>
      </c>
      <c r="H11437" s="2" t="s">
        <v>34</v>
      </c>
      <c r="I11437" s="2" t="s">
        <v>33040</v>
      </c>
      <c r="J11437" s="2" t="s">
        <v>13055</v>
      </c>
      <c r="K11437" s="2" t="s">
        <v>130</v>
      </c>
      <c r="L11437" s="2" t="s">
        <v>34</v>
      </c>
      <c r="M11437" s="7">
        <v>150.404</v>
      </c>
      <c r="N11437" s="6">
        <v>3.69</v>
      </c>
      <c r="O11437" s="6">
        <v>3.49</v>
      </c>
      <c r="P11437" s="2" t="s">
        <v>33041</v>
      </c>
      <c r="Q11437" s="2"/>
      <c r="R11437" s="6">
        <v>3.25</v>
      </c>
      <c r="S11437" s="5">
        <v>-0.4</v>
      </c>
      <c r="T11437" s="7">
        <v>0.55600000000000005</v>
      </c>
      <c r="U11437" s="5">
        <v>3.6</v>
      </c>
      <c r="V11437" s="9">
        <v>-3.7100000000000001E-2</v>
      </c>
      <c r="W11437" s="5">
        <v>2.2999999999999998</v>
      </c>
      <c r="X11437" s="6">
        <v>2.2599999999999998</v>
      </c>
      <c r="Y11437" s="6">
        <v>3.13</v>
      </c>
      <c r="Z11437" s="6">
        <v>3.05</v>
      </c>
      <c r="AA11437" s="6">
        <v>12.44</v>
      </c>
      <c r="AB11437" s="2" t="s">
        <v>86</v>
      </c>
      <c r="AC11437" s="6">
        <v>81.42</v>
      </c>
    </row>
    <row r="11438" spans="1:29" ht="169" x14ac:dyDescent="0.15">
      <c r="A11438" s="3">
        <f t="shared" si="182"/>
        <v>42488</v>
      </c>
      <c r="B11438" s="3">
        <f>DATE(2017,1,4)</f>
        <v>42739</v>
      </c>
      <c r="C11438" s="2" t="s">
        <v>95</v>
      </c>
      <c r="D11438" s="2" t="s">
        <v>4475</v>
      </c>
      <c r="E11438" s="2" t="s">
        <v>4476</v>
      </c>
      <c r="F11438" s="4">
        <v>3845</v>
      </c>
      <c r="G11438" s="2" t="s">
        <v>226</v>
      </c>
      <c r="H11438" s="2" t="s">
        <v>34</v>
      </c>
      <c r="I11438" s="2" t="s">
        <v>7700</v>
      </c>
      <c r="J11438" s="2" t="s">
        <v>7701</v>
      </c>
      <c r="K11438" s="2" t="s">
        <v>130</v>
      </c>
      <c r="L11438" s="2" t="s">
        <v>34</v>
      </c>
      <c r="M11438" s="12">
        <v>62345.165999999997</v>
      </c>
      <c r="N11438" s="6">
        <v>40.42</v>
      </c>
      <c r="O11438" s="5">
        <v>38.9</v>
      </c>
      <c r="P11438" s="2" t="s">
        <v>33042</v>
      </c>
      <c r="Q11438" s="6">
        <v>100</v>
      </c>
      <c r="R11438" s="6">
        <v>84.92</v>
      </c>
      <c r="S11438" s="5">
        <v>713</v>
      </c>
      <c r="T11438" s="8">
        <v>1504</v>
      </c>
      <c r="U11438" s="5">
        <v>14.4</v>
      </c>
      <c r="V11438" s="9">
        <v>2.4958999999999998</v>
      </c>
      <c r="W11438" s="5">
        <v>70.3</v>
      </c>
      <c r="X11438" s="6">
        <v>69.34</v>
      </c>
      <c r="Y11438" s="6">
        <v>72.430000000000007</v>
      </c>
      <c r="Z11438" s="6">
        <v>72.62</v>
      </c>
      <c r="AA11438" s="6">
        <v>284</v>
      </c>
      <c r="AB11438" s="7">
        <v>26.597999999999999</v>
      </c>
      <c r="AC11438" s="8">
        <v>4142</v>
      </c>
    </row>
    <row r="11439" spans="1:29" ht="156" x14ac:dyDescent="0.15">
      <c r="A11439" s="3">
        <f t="shared" si="182"/>
        <v>42488</v>
      </c>
      <c r="B11439" s="3">
        <f>DATE(2016,6,10)</f>
        <v>42531</v>
      </c>
      <c r="C11439" s="2" t="s">
        <v>95</v>
      </c>
      <c r="D11439" s="2" t="s">
        <v>33043</v>
      </c>
      <c r="E11439" s="2" t="s">
        <v>33044</v>
      </c>
      <c r="F11439" s="4">
        <v>7372</v>
      </c>
      <c r="G11439" s="2" t="s">
        <v>551</v>
      </c>
      <c r="H11439" s="2" t="s">
        <v>34</v>
      </c>
      <c r="I11439" s="2" t="s">
        <v>8588</v>
      </c>
      <c r="J11439" s="2" t="s">
        <v>8589</v>
      </c>
      <c r="K11439" s="2" t="s">
        <v>551</v>
      </c>
      <c r="L11439" s="2" t="s">
        <v>34</v>
      </c>
      <c r="M11439" s="7">
        <v>124.366</v>
      </c>
      <c r="N11439" s="6">
        <v>40.33</v>
      </c>
      <c r="O11439" s="6">
        <v>39.86</v>
      </c>
      <c r="P11439" s="2" t="s">
        <v>33045</v>
      </c>
      <c r="Q11439" s="6">
        <v>100</v>
      </c>
      <c r="R11439" s="6">
        <v>26</v>
      </c>
      <c r="S11439" s="5">
        <v>-15.1</v>
      </c>
      <c r="T11439" s="7">
        <v>-4.3449999999999998</v>
      </c>
      <c r="U11439" s="5">
        <v>4.8</v>
      </c>
      <c r="V11439" s="7">
        <v>-0.57899999999999996</v>
      </c>
      <c r="W11439" s="6">
        <v>19.510000000000002</v>
      </c>
      <c r="X11439" s="6">
        <v>19.89</v>
      </c>
      <c r="Y11439" s="4">
        <v>26</v>
      </c>
      <c r="Z11439" s="6">
        <v>26.39</v>
      </c>
      <c r="AA11439" s="6">
        <v>26.19</v>
      </c>
      <c r="AB11439" s="2" t="s">
        <v>86</v>
      </c>
      <c r="AC11439" s="8">
        <v>50767</v>
      </c>
    </row>
    <row r="11440" spans="1:29" ht="169" x14ac:dyDescent="0.15">
      <c r="A11440" s="3">
        <f>DATE(2016,4,29)</f>
        <v>42489</v>
      </c>
      <c r="B11440" s="3">
        <f>DATE(2016,10,6)</f>
        <v>42649</v>
      </c>
      <c r="C11440" s="2" t="s">
        <v>95</v>
      </c>
      <c r="D11440" s="2" t="s">
        <v>30924</v>
      </c>
      <c r="E11440" s="2" t="s">
        <v>92</v>
      </c>
      <c r="F11440" s="4">
        <v>6798</v>
      </c>
      <c r="G11440" s="2" t="s">
        <v>53</v>
      </c>
      <c r="H11440" s="2" t="s">
        <v>34</v>
      </c>
      <c r="I11440" s="2" t="s">
        <v>33046</v>
      </c>
      <c r="J11440" s="2" t="s">
        <v>92</v>
      </c>
      <c r="K11440" s="2" t="s">
        <v>53</v>
      </c>
      <c r="L11440" s="2" t="s">
        <v>34</v>
      </c>
      <c r="M11440" s="12">
        <v>4081.3119999999999</v>
      </c>
      <c r="N11440" s="6">
        <v>10.35</v>
      </c>
      <c r="O11440" s="6">
        <v>10.63</v>
      </c>
      <c r="P11440" s="2" t="s">
        <v>33047</v>
      </c>
      <c r="Q11440" s="6">
        <v>100</v>
      </c>
      <c r="R11440" s="6">
        <v>17.46</v>
      </c>
      <c r="S11440" s="5">
        <v>121.5</v>
      </c>
      <c r="T11440" s="7">
        <v>225.57300000000001</v>
      </c>
      <c r="U11440" s="5">
        <v>12.3</v>
      </c>
      <c r="V11440" s="9">
        <v>1.0630999999999999</v>
      </c>
      <c r="W11440" s="6">
        <v>15.06</v>
      </c>
      <c r="X11440" s="6">
        <v>15.45</v>
      </c>
      <c r="Y11440" s="6">
        <v>16.45</v>
      </c>
      <c r="Z11440" s="6">
        <v>16.940000000000001</v>
      </c>
      <c r="AA11440" s="6">
        <v>111.72</v>
      </c>
      <c r="AB11440" s="7">
        <v>83.763000000000005</v>
      </c>
      <c r="AC11440" s="6">
        <v>10.39</v>
      </c>
    </row>
    <row r="11441" spans="1:29" ht="169" x14ac:dyDescent="0.15">
      <c r="A11441" s="3">
        <f>DATE(2016,4,29)</f>
        <v>42489</v>
      </c>
      <c r="B11441" s="3">
        <f>DATE(2016,10,1)</f>
        <v>42644</v>
      </c>
      <c r="C11441" s="2" t="s">
        <v>95</v>
      </c>
      <c r="D11441" s="2" t="s">
        <v>33048</v>
      </c>
      <c r="E11441" s="2" t="s">
        <v>21800</v>
      </c>
      <c r="F11441" s="4">
        <v>6021</v>
      </c>
      <c r="G11441" s="2" t="s">
        <v>37</v>
      </c>
      <c r="H11441" s="2" t="s">
        <v>34</v>
      </c>
      <c r="I11441" s="2" t="s">
        <v>26754</v>
      </c>
      <c r="J11441" s="2" t="s">
        <v>36</v>
      </c>
      <c r="K11441" s="2" t="s">
        <v>37</v>
      </c>
      <c r="L11441" s="2" t="s">
        <v>34</v>
      </c>
      <c r="M11441" s="7">
        <v>121.175</v>
      </c>
      <c r="N11441" s="6">
        <v>12.19</v>
      </c>
      <c r="O11441" s="6">
        <v>12.23</v>
      </c>
      <c r="P11441" s="2" t="s">
        <v>33049</v>
      </c>
      <c r="Q11441" s="6">
        <v>100</v>
      </c>
      <c r="R11441" s="6">
        <v>5.23</v>
      </c>
      <c r="S11441" s="2"/>
      <c r="T11441" s="2"/>
      <c r="U11441" s="2"/>
      <c r="V11441" s="2"/>
      <c r="W11441" s="4">
        <v>4</v>
      </c>
      <c r="X11441" s="6">
        <v>4.25</v>
      </c>
      <c r="Y11441" s="4">
        <v>5</v>
      </c>
      <c r="Z11441" s="4">
        <v>5</v>
      </c>
      <c r="AA11441" s="6">
        <v>1.45</v>
      </c>
      <c r="AB11441" s="2" t="s">
        <v>47</v>
      </c>
      <c r="AC11441" s="2"/>
    </row>
    <row r="11442" spans="1:29" ht="117" x14ac:dyDescent="0.15">
      <c r="A11442" s="3">
        <f>DATE(2016,4,29)</f>
        <v>42489</v>
      </c>
      <c r="B11442" s="3">
        <f>DATE(2016,9,7)</f>
        <v>42620</v>
      </c>
      <c r="C11442" s="2" t="s">
        <v>95</v>
      </c>
      <c r="D11442" s="2" t="s">
        <v>22711</v>
      </c>
      <c r="E11442" s="2" t="s">
        <v>21698</v>
      </c>
      <c r="F11442" s="4">
        <v>4841</v>
      </c>
      <c r="G11442" s="2" t="s">
        <v>45</v>
      </c>
      <c r="H11442" s="2" t="s">
        <v>34</v>
      </c>
      <c r="I11442" s="2" t="s">
        <v>28887</v>
      </c>
      <c r="J11442" s="2" t="s">
        <v>28888</v>
      </c>
      <c r="K11442" s="2" t="s">
        <v>53</v>
      </c>
      <c r="L11442" s="2" t="s">
        <v>34</v>
      </c>
      <c r="M11442" s="12">
        <v>1449.317</v>
      </c>
      <c r="N11442" s="6">
        <v>17.62</v>
      </c>
      <c r="O11442" s="6">
        <v>15.97</v>
      </c>
      <c r="P11442" s="2" t="s">
        <v>33050</v>
      </c>
      <c r="Q11442" s="6">
        <v>100</v>
      </c>
      <c r="R11442" s="6">
        <v>10.7</v>
      </c>
      <c r="S11442" s="5">
        <v>21.7</v>
      </c>
      <c r="T11442" s="6">
        <v>84.33</v>
      </c>
      <c r="U11442" s="5">
        <v>3.5</v>
      </c>
      <c r="V11442" s="9">
        <v>0.2263</v>
      </c>
      <c r="W11442" s="6">
        <v>7.92</v>
      </c>
      <c r="X11442" s="6">
        <v>7.66</v>
      </c>
      <c r="Y11442" s="6">
        <v>9.4499999999999993</v>
      </c>
      <c r="Z11442" s="6">
        <v>9.4499999999999993</v>
      </c>
      <c r="AA11442" s="6">
        <v>99.61</v>
      </c>
      <c r="AB11442" s="7">
        <v>11.023</v>
      </c>
      <c r="AC11442" s="6">
        <v>192.32</v>
      </c>
    </row>
    <row r="11443" spans="1:29" ht="104" x14ac:dyDescent="0.15">
      <c r="A11443" s="3">
        <f>DATE(2016,5,1)</f>
        <v>42491</v>
      </c>
      <c r="B11443" s="2"/>
      <c r="C11443" s="2" t="s">
        <v>7330</v>
      </c>
      <c r="D11443" s="2" t="s">
        <v>33051</v>
      </c>
      <c r="E11443" s="2" t="s">
        <v>33052</v>
      </c>
      <c r="F11443" s="4">
        <v>7832</v>
      </c>
      <c r="G11443" s="2" t="s">
        <v>42</v>
      </c>
      <c r="H11443" s="2" t="s">
        <v>34</v>
      </c>
      <c r="I11443" s="2" t="s">
        <v>33053</v>
      </c>
      <c r="J11443" s="2" t="s">
        <v>33054</v>
      </c>
      <c r="K11443" s="2" t="s">
        <v>223</v>
      </c>
      <c r="L11443" s="2" t="s">
        <v>34</v>
      </c>
      <c r="M11443" s="2"/>
      <c r="N11443" s="2"/>
      <c r="O11443" s="2"/>
      <c r="P11443" s="2" t="s">
        <v>33055</v>
      </c>
      <c r="Q11443" s="2"/>
      <c r="R11443" s="6">
        <v>18.5</v>
      </c>
      <c r="S11443" s="5">
        <v>12.3</v>
      </c>
      <c r="T11443" s="7">
        <v>37.265000000000001</v>
      </c>
      <c r="U11443" s="5">
        <v>6.5</v>
      </c>
      <c r="V11443" s="9">
        <v>0.52359999999999995</v>
      </c>
      <c r="W11443" s="6">
        <v>12.69</v>
      </c>
      <c r="X11443" s="6">
        <v>12.97</v>
      </c>
      <c r="Y11443" s="6">
        <v>13.37</v>
      </c>
      <c r="Z11443" s="6">
        <v>13.37</v>
      </c>
      <c r="AA11443" s="6">
        <v>23.33</v>
      </c>
      <c r="AB11443" s="7">
        <v>26.158000000000001</v>
      </c>
      <c r="AC11443" s="2"/>
    </row>
    <row r="11444" spans="1:29" ht="78" x14ac:dyDescent="0.15">
      <c r="A11444" s="3">
        <f>DATE(2016,5,2)</f>
        <v>42492</v>
      </c>
      <c r="B11444" s="3">
        <f>DATE(2016,6,14)</f>
        <v>42535</v>
      </c>
      <c r="C11444" s="2" t="s">
        <v>95</v>
      </c>
      <c r="D11444" s="2" t="s">
        <v>33056</v>
      </c>
      <c r="E11444" s="2" t="s">
        <v>8995</v>
      </c>
      <c r="F11444" s="4">
        <v>7372</v>
      </c>
      <c r="G11444" s="2" t="s">
        <v>551</v>
      </c>
      <c r="H11444" s="2" t="s">
        <v>34</v>
      </c>
      <c r="I11444" s="2" t="s">
        <v>8588</v>
      </c>
      <c r="J11444" s="2" t="s">
        <v>8589</v>
      </c>
      <c r="K11444" s="2" t="s">
        <v>551</v>
      </c>
      <c r="L11444" s="2" t="s">
        <v>34</v>
      </c>
      <c r="M11444" s="12">
        <v>170434.95600000001</v>
      </c>
      <c r="N11444" s="5">
        <v>40.299999999999997</v>
      </c>
      <c r="O11444" s="6">
        <v>39.68</v>
      </c>
      <c r="P11444" s="2" t="s">
        <v>33057</v>
      </c>
      <c r="Q11444" s="6">
        <v>100</v>
      </c>
      <c r="R11444" s="6">
        <v>10.3</v>
      </c>
      <c r="S11444" s="5">
        <v>-45</v>
      </c>
      <c r="T11444" s="7">
        <v>-33.512999999999998</v>
      </c>
      <c r="U11444" s="5">
        <v>1.4</v>
      </c>
      <c r="V11444" s="9">
        <v>-0.86770000000000003</v>
      </c>
      <c r="W11444" s="6">
        <v>7.64</v>
      </c>
      <c r="X11444" s="5">
        <v>7.9</v>
      </c>
      <c r="Y11444" s="6">
        <v>10.29</v>
      </c>
      <c r="Z11444" s="6">
        <v>10.29</v>
      </c>
      <c r="AA11444" s="6">
        <v>53.18</v>
      </c>
      <c r="AB11444" s="2" t="s">
        <v>86</v>
      </c>
      <c r="AC11444" s="8">
        <v>50767</v>
      </c>
    </row>
    <row r="11445" spans="1:29" ht="78" x14ac:dyDescent="0.15">
      <c r="A11445" s="3">
        <f>DATE(2016,5,2)</f>
        <v>42492</v>
      </c>
      <c r="B11445" s="3">
        <f>DATE(2016,7,1)</f>
        <v>42552</v>
      </c>
      <c r="C11445" s="2" t="s">
        <v>95</v>
      </c>
      <c r="D11445" s="2" t="s">
        <v>33058</v>
      </c>
      <c r="E11445" s="2" t="s">
        <v>30354</v>
      </c>
      <c r="F11445" s="4">
        <v>3841</v>
      </c>
      <c r="G11445" s="2" t="s">
        <v>226</v>
      </c>
      <c r="H11445" s="2" t="s">
        <v>34</v>
      </c>
      <c r="I11445" s="2" t="s">
        <v>33059</v>
      </c>
      <c r="J11445" s="2" t="s">
        <v>244</v>
      </c>
      <c r="K11445" s="2" t="s">
        <v>53</v>
      </c>
      <c r="L11445" s="2" t="s">
        <v>34</v>
      </c>
      <c r="M11445" s="2"/>
      <c r="N11445" s="2"/>
      <c r="O11445" s="2"/>
      <c r="P11445" s="2" t="s">
        <v>33060</v>
      </c>
      <c r="Q11445" s="6">
        <v>100</v>
      </c>
      <c r="R11445" s="6">
        <v>13.1</v>
      </c>
      <c r="S11445" s="5">
        <v>1.2</v>
      </c>
      <c r="T11445" s="7">
        <v>9.4659999999999993</v>
      </c>
      <c r="U11445" s="5">
        <v>13.4</v>
      </c>
      <c r="V11445" s="9">
        <v>0.1239</v>
      </c>
      <c r="W11445" s="6">
        <v>10.17</v>
      </c>
      <c r="X11445" s="6">
        <v>10.39</v>
      </c>
      <c r="Y11445" s="5">
        <v>10.4</v>
      </c>
      <c r="Z11445" s="6">
        <v>12.88</v>
      </c>
      <c r="AA11445" s="6">
        <v>9.6999999999999993</v>
      </c>
      <c r="AB11445" s="7">
        <v>43.543999999999997</v>
      </c>
      <c r="AC11445" s="2"/>
    </row>
    <row r="11446" spans="1:29" ht="182" x14ac:dyDescent="0.15">
      <c r="A11446" s="3">
        <f>DATE(2016,5,3)</f>
        <v>42493</v>
      </c>
      <c r="B11446" s="3">
        <f>DATE(2016,10,3)</f>
        <v>42646</v>
      </c>
      <c r="C11446" s="2" t="s">
        <v>95</v>
      </c>
      <c r="D11446" s="2" t="s">
        <v>33061</v>
      </c>
      <c r="E11446" s="2" t="s">
        <v>4967</v>
      </c>
      <c r="F11446" s="4">
        <v>7374</v>
      </c>
      <c r="G11446" s="2" t="s">
        <v>223</v>
      </c>
      <c r="H11446" s="2" t="s">
        <v>34</v>
      </c>
      <c r="I11446" s="2" t="s">
        <v>33062</v>
      </c>
      <c r="J11446" s="2" t="s">
        <v>33063</v>
      </c>
      <c r="K11446" s="2" t="s">
        <v>223</v>
      </c>
      <c r="L11446" s="2" t="s">
        <v>34</v>
      </c>
      <c r="M11446" s="10">
        <v>8081.17</v>
      </c>
      <c r="N11446" s="6">
        <v>67.459999999999994</v>
      </c>
      <c r="O11446" s="6">
        <v>65.03</v>
      </c>
      <c r="P11446" s="2" t="s">
        <v>33064</v>
      </c>
      <c r="Q11446" s="6">
        <v>100</v>
      </c>
      <c r="R11446" s="6">
        <v>26.53</v>
      </c>
      <c r="S11446" s="5">
        <v>162</v>
      </c>
      <c r="T11446" s="5">
        <v>978</v>
      </c>
      <c r="U11446" s="5">
        <v>5.0999999999999996</v>
      </c>
      <c r="V11446" s="9">
        <v>0.48670000000000002</v>
      </c>
      <c r="W11446" s="6">
        <v>26.65</v>
      </c>
      <c r="X11446" s="6">
        <v>26.87</v>
      </c>
      <c r="Y11446" s="6">
        <v>25.92</v>
      </c>
      <c r="Z11446" s="6">
        <v>25.02</v>
      </c>
      <c r="AA11446" s="6">
        <v>329.34</v>
      </c>
      <c r="AB11446" s="7">
        <v>20.170000000000002</v>
      </c>
      <c r="AC11446" s="10">
        <v>1093.49</v>
      </c>
    </row>
    <row r="11447" spans="1:29" ht="143" x14ac:dyDescent="0.15">
      <c r="A11447" s="3">
        <f>DATE(2016,5,3)</f>
        <v>42493</v>
      </c>
      <c r="B11447" s="3">
        <f>DATE(2016,9,9)</f>
        <v>42622</v>
      </c>
      <c r="C11447" s="2" t="s">
        <v>95</v>
      </c>
      <c r="D11447" s="2" t="s">
        <v>33065</v>
      </c>
      <c r="E11447" s="2" t="s">
        <v>29798</v>
      </c>
      <c r="F11447" s="4">
        <v>6022</v>
      </c>
      <c r="G11447" s="2" t="s">
        <v>37</v>
      </c>
      <c r="H11447" s="2" t="s">
        <v>34</v>
      </c>
      <c r="I11447" s="2" t="s">
        <v>4131</v>
      </c>
      <c r="J11447" s="2" t="s">
        <v>36</v>
      </c>
      <c r="K11447" s="2" t="s">
        <v>37</v>
      </c>
      <c r="L11447" s="2" t="s">
        <v>34</v>
      </c>
      <c r="M11447" s="12">
        <v>1130.9280000000001</v>
      </c>
      <c r="N11447" s="5">
        <v>31.8</v>
      </c>
      <c r="O11447" s="5">
        <v>31.9</v>
      </c>
      <c r="P11447" s="2" t="s">
        <v>33066</v>
      </c>
      <c r="Q11447" s="6">
        <v>100</v>
      </c>
      <c r="R11447" s="6">
        <v>39.049999999999997</v>
      </c>
      <c r="S11447" s="5">
        <v>15</v>
      </c>
      <c r="T11447" s="7">
        <v>19.728999999999999</v>
      </c>
      <c r="U11447" s="5">
        <v>24.4</v>
      </c>
      <c r="V11447" s="9">
        <v>2.6717</v>
      </c>
      <c r="W11447" s="6">
        <v>32.99</v>
      </c>
      <c r="X11447" s="6">
        <v>33.68</v>
      </c>
      <c r="Y11447" s="6">
        <v>33.75</v>
      </c>
      <c r="Z11447" s="6">
        <v>37.590000000000003</v>
      </c>
      <c r="AA11447" s="6">
        <v>5.45</v>
      </c>
      <c r="AB11447" s="7">
        <v>22.588000000000001</v>
      </c>
      <c r="AC11447" s="2"/>
    </row>
    <row r="11448" spans="1:29" ht="91" x14ac:dyDescent="0.15">
      <c r="A11448" s="3">
        <f>DATE(2016,5,4)</f>
        <v>42494</v>
      </c>
      <c r="B11448" s="2"/>
      <c r="C11448" s="2" t="s">
        <v>87</v>
      </c>
      <c r="D11448" s="2" t="s">
        <v>33067</v>
      </c>
      <c r="E11448" s="2" t="s">
        <v>864</v>
      </c>
      <c r="F11448" s="4">
        <v>3829</v>
      </c>
      <c r="G11448" s="2" t="s">
        <v>226</v>
      </c>
      <c r="H11448" s="2" t="s">
        <v>34</v>
      </c>
      <c r="I11448" s="2" t="s">
        <v>143</v>
      </c>
      <c r="J11448" s="2" t="s">
        <v>144</v>
      </c>
      <c r="K11448" s="2" t="s">
        <v>53</v>
      </c>
      <c r="L11448" s="2" t="s">
        <v>139</v>
      </c>
      <c r="M11448" s="2"/>
      <c r="N11448" s="2"/>
      <c r="O11448" s="2"/>
      <c r="P11448" s="2" t="s">
        <v>33068</v>
      </c>
      <c r="Q11448" s="2"/>
      <c r="R11448" s="2"/>
      <c r="S11448" s="5">
        <v>29.7</v>
      </c>
      <c r="T11448" s="7">
        <v>69.572000000000003</v>
      </c>
      <c r="U11448" s="5">
        <v>8.1999999999999993</v>
      </c>
      <c r="V11448" s="9">
        <v>1.0265</v>
      </c>
      <c r="W11448" s="6">
        <v>72.45</v>
      </c>
      <c r="X11448" s="5">
        <v>71.5</v>
      </c>
      <c r="Y11448" s="6">
        <v>74.28</v>
      </c>
      <c r="Z11448" s="6">
        <v>74.180000000000007</v>
      </c>
      <c r="AA11448" s="6">
        <v>14.54</v>
      </c>
      <c r="AB11448" s="2" t="s">
        <v>47</v>
      </c>
      <c r="AC11448" s="2"/>
    </row>
    <row r="11449" spans="1:29" ht="130" x14ac:dyDescent="0.15">
      <c r="A11449" s="3">
        <f>DATE(2016,5,5)</f>
        <v>42495</v>
      </c>
      <c r="B11449" s="3">
        <f>DATE(2017,1,13)</f>
        <v>42748</v>
      </c>
      <c r="C11449" s="2" t="s">
        <v>95</v>
      </c>
      <c r="D11449" s="2" t="s">
        <v>33069</v>
      </c>
      <c r="E11449" s="2" t="s">
        <v>32012</v>
      </c>
      <c r="F11449" s="4">
        <v>6035</v>
      </c>
      <c r="G11449" s="2" t="s">
        <v>33</v>
      </c>
      <c r="H11449" s="2" t="s">
        <v>34</v>
      </c>
      <c r="I11449" s="2" t="s">
        <v>33070</v>
      </c>
      <c r="J11449" s="2" t="s">
        <v>159</v>
      </c>
      <c r="K11449" s="2" t="s">
        <v>37</v>
      </c>
      <c r="L11449" s="2" t="s">
        <v>34</v>
      </c>
      <c r="M11449" s="7">
        <v>194.06399999999999</v>
      </c>
      <c r="N11449" s="6">
        <v>34.35</v>
      </c>
      <c r="O11449" s="6">
        <v>32.46</v>
      </c>
      <c r="P11449" s="2" t="s">
        <v>33071</v>
      </c>
      <c r="Q11449" s="6">
        <v>100</v>
      </c>
      <c r="R11449" s="6">
        <v>17.170000000000002</v>
      </c>
      <c r="S11449" s="5">
        <v>9.1999999999999993</v>
      </c>
      <c r="T11449" s="7">
        <v>13.837999999999999</v>
      </c>
      <c r="U11449" s="5">
        <v>16.7</v>
      </c>
      <c r="V11449" s="9">
        <v>1.0871</v>
      </c>
      <c r="W11449" s="6">
        <v>14.03</v>
      </c>
      <c r="X11449" s="6">
        <v>14.19</v>
      </c>
      <c r="Y11449" s="6">
        <v>14.09</v>
      </c>
      <c r="Z11449" s="6">
        <v>15.56</v>
      </c>
      <c r="AA11449" s="6">
        <v>8.3800000000000008</v>
      </c>
      <c r="AB11449" s="7">
        <v>31.727</v>
      </c>
      <c r="AC11449" s="2"/>
    </row>
    <row r="11450" spans="1:29" ht="221" x14ac:dyDescent="0.15">
      <c r="A11450" s="3">
        <f>DATE(2016,5,6)</f>
        <v>42496</v>
      </c>
      <c r="B11450" s="3">
        <f>DATE(2017,1,10)</f>
        <v>42745</v>
      </c>
      <c r="C11450" s="2" t="s">
        <v>95</v>
      </c>
      <c r="D11450" s="2" t="s">
        <v>33072</v>
      </c>
      <c r="E11450" s="2" t="s">
        <v>31416</v>
      </c>
      <c r="F11450" s="4">
        <v>6798</v>
      </c>
      <c r="G11450" s="2" t="s">
        <v>53</v>
      </c>
      <c r="H11450" s="2" t="s">
        <v>34</v>
      </c>
      <c r="I11450" s="2" t="s">
        <v>33073</v>
      </c>
      <c r="J11450" s="2" t="s">
        <v>30537</v>
      </c>
      <c r="K11450" s="2" t="s">
        <v>53</v>
      </c>
      <c r="L11450" s="2" t="s">
        <v>34</v>
      </c>
      <c r="M11450" s="12">
        <v>2246.0169999999998</v>
      </c>
      <c r="N11450" s="6">
        <v>12.02</v>
      </c>
      <c r="O11450" s="6">
        <v>12.92</v>
      </c>
      <c r="P11450" s="2" t="s">
        <v>33074</v>
      </c>
      <c r="Q11450" s="6">
        <v>100</v>
      </c>
      <c r="R11450" s="6">
        <v>18.05</v>
      </c>
      <c r="S11450" s="5">
        <v>168</v>
      </c>
      <c r="T11450" s="7">
        <v>351.108</v>
      </c>
      <c r="U11450" s="5">
        <v>25</v>
      </c>
      <c r="V11450" s="9">
        <v>1.0223</v>
      </c>
      <c r="W11450" s="6">
        <v>17.68</v>
      </c>
      <c r="X11450" s="6">
        <v>17.649999999999999</v>
      </c>
      <c r="Y11450" s="6">
        <v>17.809999999999999</v>
      </c>
      <c r="Z11450" s="6">
        <v>18.77</v>
      </c>
      <c r="AA11450" s="6">
        <v>113.73</v>
      </c>
      <c r="AB11450" s="7">
        <v>32.515999999999998</v>
      </c>
      <c r="AC11450" s="6">
        <v>67.19</v>
      </c>
    </row>
    <row r="11451" spans="1:29" ht="221" x14ac:dyDescent="0.15">
      <c r="A11451" s="3">
        <f>DATE(2016,5,6)</f>
        <v>42496</v>
      </c>
      <c r="B11451" s="3">
        <f>DATE(2017,1,10)</f>
        <v>42745</v>
      </c>
      <c r="C11451" s="2" t="s">
        <v>95</v>
      </c>
      <c r="D11451" s="2" t="s">
        <v>31346</v>
      </c>
      <c r="E11451" s="2" t="s">
        <v>92</v>
      </c>
      <c r="F11451" s="4">
        <v>6798</v>
      </c>
      <c r="G11451" s="2" t="s">
        <v>53</v>
      </c>
      <c r="H11451" s="2" t="s">
        <v>34</v>
      </c>
      <c r="I11451" s="2" t="s">
        <v>33073</v>
      </c>
      <c r="J11451" s="2" t="s">
        <v>30537</v>
      </c>
      <c r="K11451" s="2" t="s">
        <v>53</v>
      </c>
      <c r="L11451" s="2" t="s">
        <v>34</v>
      </c>
      <c r="M11451" s="12">
        <v>2246.0169999999998</v>
      </c>
      <c r="N11451" s="6">
        <v>12.02</v>
      </c>
      <c r="O11451" s="6">
        <v>12.92</v>
      </c>
      <c r="P11451" s="2" t="s">
        <v>33075</v>
      </c>
      <c r="Q11451" s="6">
        <v>100</v>
      </c>
      <c r="R11451" s="6">
        <v>13.54</v>
      </c>
      <c r="S11451" s="2"/>
      <c r="T11451" s="2"/>
      <c r="U11451" s="2"/>
      <c r="V11451" s="2"/>
      <c r="W11451" s="6">
        <v>12.79</v>
      </c>
      <c r="X11451" s="6">
        <v>12.71</v>
      </c>
      <c r="Y11451" s="4">
        <v>13</v>
      </c>
      <c r="Z11451" s="6">
        <v>14.26</v>
      </c>
      <c r="AA11451" s="6">
        <v>180.51</v>
      </c>
      <c r="AB11451" s="2" t="s">
        <v>47</v>
      </c>
      <c r="AC11451" s="6">
        <v>67.19</v>
      </c>
    </row>
    <row r="11452" spans="1:29" ht="91" x14ac:dyDescent="0.15">
      <c r="A11452" s="3">
        <f>DATE(2016,5,9)</f>
        <v>42499</v>
      </c>
      <c r="B11452" s="2"/>
      <c r="C11452" s="2" t="s">
        <v>87</v>
      </c>
      <c r="D11452" s="2" t="s">
        <v>30571</v>
      </c>
      <c r="E11452" s="2" t="s">
        <v>30572</v>
      </c>
      <c r="F11452" s="4">
        <v>2851</v>
      </c>
      <c r="G11452" s="2" t="s">
        <v>98</v>
      </c>
      <c r="H11452" s="2" t="s">
        <v>34</v>
      </c>
      <c r="I11452" s="2" t="s">
        <v>143</v>
      </c>
      <c r="J11452" s="2" t="s">
        <v>144</v>
      </c>
      <c r="K11452" s="2" t="s">
        <v>53</v>
      </c>
      <c r="L11452" s="2" t="s">
        <v>139</v>
      </c>
      <c r="M11452" s="2"/>
      <c r="N11452" s="2"/>
      <c r="O11452" s="2"/>
      <c r="P11452" s="2" t="s">
        <v>33076</v>
      </c>
      <c r="Q11452" s="2"/>
      <c r="R11452" s="2"/>
      <c r="S11452" s="5">
        <v>43.2</v>
      </c>
      <c r="T11452" s="7">
        <v>138.80699999999999</v>
      </c>
      <c r="U11452" s="5">
        <v>3.6</v>
      </c>
      <c r="V11452" s="9">
        <v>0.89980000000000004</v>
      </c>
      <c r="W11452" s="6">
        <v>13.09</v>
      </c>
      <c r="X11452" s="6">
        <v>13.92</v>
      </c>
      <c r="Y11452" s="6">
        <v>13.82</v>
      </c>
      <c r="Z11452" s="6">
        <v>13.99</v>
      </c>
      <c r="AA11452" s="6">
        <v>83.18</v>
      </c>
      <c r="AB11452" s="2" t="s">
        <v>47</v>
      </c>
      <c r="AC11452" s="2"/>
    </row>
    <row r="11453" spans="1:29" ht="117" x14ac:dyDescent="0.15">
      <c r="A11453" s="3">
        <f>DATE(2016,5,9)</f>
        <v>42499</v>
      </c>
      <c r="B11453" s="3">
        <f>DATE(2016,7,1)</f>
        <v>42552</v>
      </c>
      <c r="C11453" s="2" t="s">
        <v>95</v>
      </c>
      <c r="D11453" s="2" t="s">
        <v>32711</v>
      </c>
      <c r="E11453" s="2" t="s">
        <v>32712</v>
      </c>
      <c r="F11453" s="4">
        <v>2834</v>
      </c>
      <c r="G11453" s="2" t="s">
        <v>130</v>
      </c>
      <c r="H11453" s="2" t="s">
        <v>34</v>
      </c>
      <c r="I11453" s="2" t="s">
        <v>1526</v>
      </c>
      <c r="J11453" s="2" t="s">
        <v>302</v>
      </c>
      <c r="K11453" s="2" t="s">
        <v>53</v>
      </c>
      <c r="L11453" s="2" t="s">
        <v>34</v>
      </c>
      <c r="M11453" s="2"/>
      <c r="N11453" s="2"/>
      <c r="O11453" s="2"/>
      <c r="P11453" s="2" t="s">
        <v>33077</v>
      </c>
      <c r="Q11453" s="2"/>
      <c r="R11453" s="2"/>
      <c r="S11453" s="5">
        <v>-31.2</v>
      </c>
      <c r="T11453" s="7">
        <v>-24.402000000000001</v>
      </c>
      <c r="U11453" s="5">
        <v>0.1</v>
      </c>
      <c r="V11453" s="9">
        <v>-6.8029000000000002</v>
      </c>
      <c r="W11453" s="6">
        <v>23.59</v>
      </c>
      <c r="X11453" s="6">
        <v>23.59</v>
      </c>
      <c r="Y11453" s="6">
        <v>23.59</v>
      </c>
      <c r="Z11453" s="6">
        <v>23.59</v>
      </c>
      <c r="AA11453" s="6">
        <v>4.12</v>
      </c>
      <c r="AB11453" s="2" t="s">
        <v>86</v>
      </c>
      <c r="AC11453" s="2"/>
    </row>
    <row r="11454" spans="1:29" ht="104" x14ac:dyDescent="0.15">
      <c r="A11454" s="3">
        <f>DATE(2016,5,9)</f>
        <v>42499</v>
      </c>
      <c r="B11454" s="3">
        <f>DATE(2016,7,27)</f>
        <v>42578</v>
      </c>
      <c r="C11454" s="2" t="s">
        <v>95</v>
      </c>
      <c r="D11454" s="2" t="s">
        <v>20621</v>
      </c>
      <c r="E11454" s="2" t="s">
        <v>20622</v>
      </c>
      <c r="F11454" s="4">
        <v>5461</v>
      </c>
      <c r="G11454" s="2" t="s">
        <v>1461</v>
      </c>
      <c r="H11454" s="2" t="s">
        <v>34</v>
      </c>
      <c r="I11454" s="2" t="s">
        <v>33078</v>
      </c>
      <c r="J11454" s="2" t="s">
        <v>18084</v>
      </c>
      <c r="K11454" s="2" t="s">
        <v>577</v>
      </c>
      <c r="L11454" s="2" t="s">
        <v>34</v>
      </c>
      <c r="M11454" s="2"/>
      <c r="N11454" s="2"/>
      <c r="O11454" s="2"/>
      <c r="P11454" s="2" t="s">
        <v>33079</v>
      </c>
      <c r="Q11454" s="6">
        <v>100</v>
      </c>
      <c r="R11454" s="6">
        <v>21</v>
      </c>
      <c r="S11454" s="5">
        <v>31.1</v>
      </c>
      <c r="T11454" s="7">
        <v>72.597999999999999</v>
      </c>
      <c r="U11454" s="5">
        <v>3.8</v>
      </c>
      <c r="V11454" s="7">
        <v>0.47199999999999998</v>
      </c>
      <c r="W11454" s="6">
        <v>17.34</v>
      </c>
      <c r="X11454" s="6">
        <v>16.86</v>
      </c>
      <c r="Y11454" s="6">
        <v>20.96</v>
      </c>
      <c r="Z11454" s="4">
        <v>21</v>
      </c>
      <c r="AA11454" s="6">
        <v>60.91</v>
      </c>
      <c r="AB11454" s="7">
        <v>22.931999999999999</v>
      </c>
      <c r="AC11454" s="2"/>
    </row>
    <row r="11455" spans="1:29" ht="91" x14ac:dyDescent="0.15">
      <c r="A11455" s="3">
        <f>DATE(2016,5,9)</f>
        <v>42499</v>
      </c>
      <c r="B11455" s="3">
        <f>DATE(2016,12,1)</f>
        <v>42705</v>
      </c>
      <c r="C11455" s="2" t="s">
        <v>95</v>
      </c>
      <c r="D11455" s="2" t="s">
        <v>26994</v>
      </c>
      <c r="E11455" s="2" t="s">
        <v>26995</v>
      </c>
      <c r="F11455" s="4">
        <v>7011</v>
      </c>
      <c r="G11455" s="2" t="s">
        <v>269</v>
      </c>
      <c r="H11455" s="2" t="s">
        <v>34</v>
      </c>
      <c r="I11455" s="2" t="s">
        <v>33080</v>
      </c>
      <c r="J11455" s="2" t="s">
        <v>33081</v>
      </c>
      <c r="K11455" s="2" t="s">
        <v>269</v>
      </c>
      <c r="L11455" s="2" t="s">
        <v>34</v>
      </c>
      <c r="M11455" s="2"/>
      <c r="N11455" s="2"/>
      <c r="O11455" s="2"/>
      <c r="P11455" s="2" t="s">
        <v>33082</v>
      </c>
      <c r="Q11455" s="6">
        <v>100</v>
      </c>
      <c r="R11455" s="6">
        <v>2.25</v>
      </c>
      <c r="S11455" s="5">
        <v>26</v>
      </c>
      <c r="T11455" s="7">
        <v>36.787999999999997</v>
      </c>
      <c r="U11455" s="5">
        <v>-6.3</v>
      </c>
      <c r="V11455" s="9">
        <v>0.25540000000000002</v>
      </c>
      <c r="W11455" s="6">
        <v>6.77</v>
      </c>
      <c r="X11455" s="6">
        <v>6.67</v>
      </c>
      <c r="Y11455" s="6">
        <v>7.53</v>
      </c>
      <c r="Z11455" s="5">
        <v>7.9</v>
      </c>
      <c r="AA11455" s="6">
        <v>34.76</v>
      </c>
      <c r="AB11455" s="7">
        <v>35.713999999999999</v>
      </c>
      <c r="AC11455" s="2"/>
    </row>
    <row r="11456" spans="1:29" ht="52" x14ac:dyDescent="0.15">
      <c r="A11456" s="3">
        <f>DATE(2016,5,10)</f>
        <v>42500</v>
      </c>
      <c r="B11456" s="2"/>
      <c r="C11456" s="2" t="s">
        <v>189</v>
      </c>
      <c r="D11456" s="2" t="s">
        <v>29910</v>
      </c>
      <c r="E11456" s="2" t="s">
        <v>13055</v>
      </c>
      <c r="F11456" s="4">
        <v>2834</v>
      </c>
      <c r="G11456" s="2" t="s">
        <v>130</v>
      </c>
      <c r="H11456" s="2" t="s">
        <v>34</v>
      </c>
      <c r="I11456" s="2" t="s">
        <v>143</v>
      </c>
      <c r="J11456" s="2" t="s">
        <v>144</v>
      </c>
      <c r="K11456" s="2" t="s">
        <v>53</v>
      </c>
      <c r="L11456" s="2" t="s">
        <v>139</v>
      </c>
      <c r="M11456" s="2"/>
      <c r="N11456" s="2"/>
      <c r="O11456" s="2"/>
      <c r="P11456" s="2" t="s">
        <v>33083</v>
      </c>
      <c r="Q11456" s="2"/>
      <c r="R11456" s="2"/>
      <c r="S11456" s="5">
        <v>-69.900000000000006</v>
      </c>
      <c r="T11456" s="7">
        <v>-31.898</v>
      </c>
      <c r="U11456" s="5">
        <v>1.4</v>
      </c>
      <c r="V11456" s="9">
        <v>-4.8242000000000003</v>
      </c>
      <c r="W11456" s="6">
        <v>1.32</v>
      </c>
      <c r="X11456" s="6">
        <v>1.32</v>
      </c>
      <c r="Y11456" s="6">
        <v>1.38</v>
      </c>
      <c r="Z11456" s="6">
        <v>1.28</v>
      </c>
      <c r="AA11456" s="6">
        <v>65.349999999999994</v>
      </c>
      <c r="AB11456" s="2" t="s">
        <v>86</v>
      </c>
      <c r="AC11456" s="2"/>
    </row>
    <row r="11457" spans="1:29" ht="52" x14ac:dyDescent="0.15">
      <c r="A11457" s="3">
        <f>DATE(2016,5,10)</f>
        <v>42500</v>
      </c>
      <c r="B11457" s="2"/>
      <c r="C11457" s="2" t="s">
        <v>7472</v>
      </c>
      <c r="D11457" s="2" t="s">
        <v>33084</v>
      </c>
      <c r="E11457" s="2" t="s">
        <v>8995</v>
      </c>
      <c r="F11457" s="4">
        <v>7372</v>
      </c>
      <c r="G11457" s="2" t="s">
        <v>551</v>
      </c>
      <c r="H11457" s="2" t="s">
        <v>34</v>
      </c>
      <c r="I11457" s="2" t="s">
        <v>143</v>
      </c>
      <c r="J11457" s="2" t="s">
        <v>144</v>
      </c>
      <c r="K11457" s="2" t="s">
        <v>53</v>
      </c>
      <c r="L11457" s="2" t="s">
        <v>139</v>
      </c>
      <c r="M11457" s="2"/>
      <c r="N11457" s="2"/>
      <c r="O11457" s="2"/>
      <c r="P11457" s="2" t="s">
        <v>33085</v>
      </c>
      <c r="Q11457" s="2"/>
      <c r="R11457" s="2"/>
      <c r="S11457" s="5">
        <v>-71.8</v>
      </c>
      <c r="T11457" s="7">
        <v>-52.642000000000003</v>
      </c>
      <c r="U11457" s="5">
        <v>2</v>
      </c>
      <c r="V11457" s="9">
        <v>-1.6658999999999999</v>
      </c>
      <c r="W11457" s="6">
        <v>20.92</v>
      </c>
      <c r="X11457" s="6">
        <v>21.47</v>
      </c>
      <c r="Y11457" s="6">
        <v>26.77</v>
      </c>
      <c r="Z11457" s="6">
        <v>27.01</v>
      </c>
      <c r="AA11457" s="6">
        <v>44.52</v>
      </c>
      <c r="AB11457" s="2" t="s">
        <v>86</v>
      </c>
      <c r="AC11457" s="2"/>
    </row>
    <row r="11458" spans="1:29" ht="143" x14ac:dyDescent="0.15">
      <c r="A11458" s="3">
        <f>DATE(2016,5,16)</f>
        <v>42506</v>
      </c>
      <c r="B11458" s="3">
        <f>DATE(2016,6,24)</f>
        <v>42545</v>
      </c>
      <c r="C11458" s="2" t="s">
        <v>95</v>
      </c>
      <c r="D11458" s="2" t="s">
        <v>33086</v>
      </c>
      <c r="E11458" s="2" t="s">
        <v>15479</v>
      </c>
      <c r="F11458" s="4">
        <v>2834</v>
      </c>
      <c r="G11458" s="2" t="s">
        <v>130</v>
      </c>
      <c r="H11458" s="2" t="s">
        <v>34</v>
      </c>
      <c r="I11458" s="2" t="s">
        <v>7393</v>
      </c>
      <c r="J11458" s="2" t="s">
        <v>5670</v>
      </c>
      <c r="K11458" s="2" t="s">
        <v>130</v>
      </c>
      <c r="L11458" s="2" t="s">
        <v>34</v>
      </c>
      <c r="M11458" s="12">
        <v>197774.73800000001</v>
      </c>
      <c r="N11458" s="6">
        <v>33.380000000000003</v>
      </c>
      <c r="O11458" s="6">
        <v>33.03</v>
      </c>
      <c r="P11458" s="2" t="s">
        <v>33087</v>
      </c>
      <c r="Q11458" s="6">
        <v>100</v>
      </c>
      <c r="R11458" s="6">
        <v>99.25</v>
      </c>
      <c r="S11458" s="5">
        <v>-64.400000000000006</v>
      </c>
      <c r="T11458" s="7">
        <v>-58.826999999999998</v>
      </c>
      <c r="U11458" s="5">
        <v>1</v>
      </c>
      <c r="V11458" s="9">
        <v>-1.4537</v>
      </c>
      <c r="W11458" s="6">
        <v>62.55</v>
      </c>
      <c r="X11458" s="6">
        <v>64.03</v>
      </c>
      <c r="Y11458" s="6">
        <v>100.67</v>
      </c>
      <c r="Z11458" s="6">
        <v>99.99</v>
      </c>
      <c r="AA11458" s="6">
        <v>45.38</v>
      </c>
      <c r="AB11458" s="2" t="s">
        <v>86</v>
      </c>
      <c r="AC11458" s="8">
        <v>19443</v>
      </c>
    </row>
    <row r="11459" spans="1:29" ht="169" x14ac:dyDescent="0.15">
      <c r="A11459" s="3">
        <f>DATE(2016,5,16)</f>
        <v>42506</v>
      </c>
      <c r="B11459" s="3">
        <f>DATE(2016,9,16)</f>
        <v>42629</v>
      </c>
      <c r="C11459" s="2" t="s">
        <v>95</v>
      </c>
      <c r="D11459" s="2" t="s">
        <v>33088</v>
      </c>
      <c r="E11459" s="2" t="s">
        <v>13408</v>
      </c>
      <c r="F11459" s="4">
        <v>1311</v>
      </c>
      <c r="G11459" s="2" t="s">
        <v>148</v>
      </c>
      <c r="H11459" s="2" t="s">
        <v>34</v>
      </c>
      <c r="I11459" s="2" t="s">
        <v>33089</v>
      </c>
      <c r="J11459" s="2" t="s">
        <v>18348</v>
      </c>
      <c r="K11459" s="2" t="s">
        <v>148</v>
      </c>
      <c r="L11459" s="2" t="s">
        <v>34</v>
      </c>
      <c r="M11459" s="10">
        <v>9163.61</v>
      </c>
      <c r="N11459" s="6">
        <v>37.69</v>
      </c>
      <c r="O11459" s="6">
        <v>39.28</v>
      </c>
      <c r="P11459" s="2" t="s">
        <v>33090</v>
      </c>
      <c r="Q11459" s="6">
        <v>100</v>
      </c>
      <c r="R11459" s="6">
        <v>15.75</v>
      </c>
      <c r="S11459" s="5">
        <v>54.9</v>
      </c>
      <c r="T11459" s="7">
        <v>198.22399999999999</v>
      </c>
      <c r="U11459" s="5">
        <v>3.9</v>
      </c>
      <c r="V11459" s="9">
        <v>0.4582</v>
      </c>
      <c r="W11459" s="6">
        <v>11.86</v>
      </c>
      <c r="X11459" s="6">
        <v>13.45</v>
      </c>
      <c r="Y11459" s="6">
        <v>13.86</v>
      </c>
      <c r="Z11459" s="6">
        <v>14.41</v>
      </c>
      <c r="AA11459" s="6">
        <v>206.36</v>
      </c>
      <c r="AB11459" s="2" t="s">
        <v>86</v>
      </c>
      <c r="AC11459" s="6">
        <v>261.61</v>
      </c>
    </row>
    <row r="11460" spans="1:29" ht="78" x14ac:dyDescent="0.15">
      <c r="A11460" s="3">
        <f>DATE(2016,5,17)</f>
        <v>42507</v>
      </c>
      <c r="B11460" s="2"/>
      <c r="C11460" s="2" t="s">
        <v>30</v>
      </c>
      <c r="D11460" s="2" t="s">
        <v>33091</v>
      </c>
      <c r="E11460" s="2" t="s">
        <v>33092</v>
      </c>
      <c r="F11460" s="4">
        <v>5153</v>
      </c>
      <c r="G11460" s="2" t="s">
        <v>593</v>
      </c>
      <c r="H11460" s="2" t="s">
        <v>34</v>
      </c>
      <c r="I11460" s="2" t="s">
        <v>31376</v>
      </c>
      <c r="J11460" s="2" t="s">
        <v>27192</v>
      </c>
      <c r="K11460" s="2" t="s">
        <v>63</v>
      </c>
      <c r="L11460" s="2" t="s">
        <v>34</v>
      </c>
      <c r="M11460" s="7">
        <v>131.428</v>
      </c>
      <c r="N11460" s="6">
        <v>3.99</v>
      </c>
      <c r="O11460" s="6">
        <v>4.05</v>
      </c>
      <c r="P11460" s="2" t="s">
        <v>33093</v>
      </c>
      <c r="Q11460" s="2"/>
      <c r="R11460" s="6">
        <v>37</v>
      </c>
      <c r="S11460" s="5">
        <v>-31.9</v>
      </c>
      <c r="T11460" s="7">
        <v>190.489</v>
      </c>
      <c r="U11460" s="5">
        <v>26.6</v>
      </c>
      <c r="V11460" s="9">
        <v>-1.1246</v>
      </c>
      <c r="W11460" s="6">
        <v>27.18</v>
      </c>
      <c r="X11460" s="6">
        <v>26.53</v>
      </c>
      <c r="Y11460" s="6">
        <v>25.94</v>
      </c>
      <c r="Z11460" s="6">
        <v>32.07</v>
      </c>
      <c r="AA11460" s="6">
        <v>28.2</v>
      </c>
      <c r="AB11460" s="7">
        <v>15.348000000000001</v>
      </c>
      <c r="AC11460" s="10">
        <v>1528.8</v>
      </c>
    </row>
    <row r="11461" spans="1:29" ht="104" x14ac:dyDescent="0.15">
      <c r="A11461" s="3">
        <f>DATE(2016,5,18)</f>
        <v>42508</v>
      </c>
      <c r="B11461" s="2"/>
      <c r="C11461" s="2" t="s">
        <v>87</v>
      </c>
      <c r="D11461" s="2" t="s">
        <v>3866</v>
      </c>
      <c r="E11461" s="2" t="s">
        <v>1608</v>
      </c>
      <c r="F11461" s="4">
        <v>1311</v>
      </c>
      <c r="G11461" s="2" t="s">
        <v>148</v>
      </c>
      <c r="H11461" s="2" t="s">
        <v>34</v>
      </c>
      <c r="I11461" s="2" t="s">
        <v>23426</v>
      </c>
      <c r="J11461" s="2" t="s">
        <v>1608</v>
      </c>
      <c r="K11461" s="2" t="s">
        <v>148</v>
      </c>
      <c r="L11461" s="2" t="s">
        <v>34</v>
      </c>
      <c r="M11461" s="12">
        <v>57334.074000000001</v>
      </c>
      <c r="N11461" s="6">
        <v>74.81</v>
      </c>
      <c r="O11461" s="6">
        <v>74.84</v>
      </c>
      <c r="P11461" s="2" t="s">
        <v>33094</v>
      </c>
      <c r="Q11461" s="2"/>
      <c r="R11461" s="2"/>
      <c r="S11461" s="5">
        <v>-18957</v>
      </c>
      <c r="T11461" s="8">
        <v>21884</v>
      </c>
      <c r="U11461" s="5">
        <v>5.3</v>
      </c>
      <c r="V11461" s="9">
        <v>-48.0595</v>
      </c>
      <c r="W11461" s="6">
        <v>54.01</v>
      </c>
      <c r="X11461" s="6">
        <v>55.12</v>
      </c>
      <c r="Y11461" s="6">
        <v>56.61</v>
      </c>
      <c r="Z11461" s="6">
        <v>56.98</v>
      </c>
      <c r="AA11461" s="6">
        <v>378.53</v>
      </c>
      <c r="AB11461" s="2" t="s">
        <v>86</v>
      </c>
      <c r="AC11461" s="8">
        <v>3711</v>
      </c>
    </row>
    <row r="11462" spans="1:29" ht="169" x14ac:dyDescent="0.15">
      <c r="A11462" s="3">
        <f>DATE(2016,5,18)</f>
        <v>42508</v>
      </c>
      <c r="B11462" s="3">
        <f>DATE(2016,9,9)</f>
        <v>42622</v>
      </c>
      <c r="C11462" s="2" t="s">
        <v>95</v>
      </c>
      <c r="D11462" s="2" t="s">
        <v>29914</v>
      </c>
      <c r="E11462" s="2" t="s">
        <v>1608</v>
      </c>
      <c r="F11462" s="4">
        <v>1311</v>
      </c>
      <c r="G11462" s="2" t="s">
        <v>148</v>
      </c>
      <c r="H11462" s="2" t="s">
        <v>34</v>
      </c>
      <c r="I11462" s="2" t="s">
        <v>1526</v>
      </c>
      <c r="J11462" s="2" t="s">
        <v>302</v>
      </c>
      <c r="K11462" s="2" t="s">
        <v>53</v>
      </c>
      <c r="L11462" s="2" t="s">
        <v>34</v>
      </c>
      <c r="M11462" s="2"/>
      <c r="N11462" s="2"/>
      <c r="O11462" s="2"/>
      <c r="P11462" s="2" t="s">
        <v>33095</v>
      </c>
      <c r="Q11462" s="6">
        <v>96</v>
      </c>
      <c r="R11462" s="2"/>
      <c r="S11462" s="8">
        <v>-1160.7</v>
      </c>
      <c r="T11462" s="7">
        <v>105.178</v>
      </c>
      <c r="U11462" s="5">
        <v>-245</v>
      </c>
      <c r="V11462" s="7">
        <v>-301.74400000000003</v>
      </c>
      <c r="W11462" s="6">
        <v>1.76</v>
      </c>
      <c r="X11462" s="6">
        <v>1.81</v>
      </c>
      <c r="Y11462" s="6">
        <v>1.65</v>
      </c>
      <c r="Z11462" s="5">
        <v>1.6</v>
      </c>
      <c r="AA11462" s="6">
        <v>90</v>
      </c>
      <c r="AB11462" s="2" t="s">
        <v>86</v>
      </c>
      <c r="AC11462" s="2"/>
    </row>
    <row r="11463" spans="1:29" ht="65" x14ac:dyDescent="0.15">
      <c r="A11463" s="3">
        <f>DATE(2016,5,18)</f>
        <v>42508</v>
      </c>
      <c r="B11463" s="3">
        <f>DATE(2016,11,14)</f>
        <v>42688</v>
      </c>
      <c r="C11463" s="2" t="s">
        <v>95</v>
      </c>
      <c r="D11463" s="2" t="s">
        <v>33096</v>
      </c>
      <c r="E11463" s="2" t="s">
        <v>33097</v>
      </c>
      <c r="F11463" s="4">
        <v>7389</v>
      </c>
      <c r="G11463" s="2" t="s">
        <v>223</v>
      </c>
      <c r="H11463" s="2" t="s">
        <v>34</v>
      </c>
      <c r="I11463" s="2" t="s">
        <v>24549</v>
      </c>
      <c r="J11463" s="2" t="s">
        <v>24550</v>
      </c>
      <c r="K11463" s="2" t="s">
        <v>551</v>
      </c>
      <c r="L11463" s="2" t="s">
        <v>4242</v>
      </c>
      <c r="M11463" s="10">
        <v>3874.58</v>
      </c>
      <c r="N11463" s="7">
        <v>65.686999999999998</v>
      </c>
      <c r="O11463" s="7">
        <v>64.465000000000003</v>
      </c>
      <c r="P11463" s="2" t="s">
        <v>33098</v>
      </c>
      <c r="Q11463" s="6">
        <v>100</v>
      </c>
      <c r="R11463" s="6">
        <v>14</v>
      </c>
      <c r="S11463" s="5">
        <v>-19</v>
      </c>
      <c r="T11463" s="7">
        <v>1.292</v>
      </c>
      <c r="U11463" s="5">
        <v>2</v>
      </c>
      <c r="V11463" s="9">
        <v>-0.30869999999999997</v>
      </c>
      <c r="W11463" s="6">
        <v>9.82</v>
      </c>
      <c r="X11463" s="6">
        <v>9.01</v>
      </c>
      <c r="Y11463" s="6">
        <v>13.83</v>
      </c>
      <c r="Z11463" s="6">
        <v>13.86</v>
      </c>
      <c r="AA11463" s="6">
        <v>62.19</v>
      </c>
      <c r="AB11463" s="2" t="s">
        <v>86</v>
      </c>
      <c r="AC11463" s="6">
        <v>350.43</v>
      </c>
    </row>
    <row r="11464" spans="1:29" ht="156" x14ac:dyDescent="0.15">
      <c r="A11464" s="3">
        <f>DATE(2016,5,18)</f>
        <v>42508</v>
      </c>
      <c r="B11464" s="2"/>
      <c r="C11464" s="2" t="s">
        <v>7330</v>
      </c>
      <c r="D11464" s="2" t="s">
        <v>8314</v>
      </c>
      <c r="E11464" s="2" t="s">
        <v>24426</v>
      </c>
      <c r="F11464" s="4">
        <v>2879</v>
      </c>
      <c r="G11464" s="2" t="s">
        <v>98</v>
      </c>
      <c r="H11464" s="2" t="s">
        <v>34</v>
      </c>
      <c r="I11464" s="2" t="s">
        <v>17561</v>
      </c>
      <c r="J11464" s="2" t="s">
        <v>17562</v>
      </c>
      <c r="K11464" s="2" t="s">
        <v>98</v>
      </c>
      <c r="L11464" s="2" t="s">
        <v>1049</v>
      </c>
      <c r="M11464" s="12">
        <v>102504.31600000001</v>
      </c>
      <c r="N11464" s="7">
        <v>108.179</v>
      </c>
      <c r="O11464" s="7">
        <v>99.171000000000006</v>
      </c>
      <c r="P11464" s="2" t="s">
        <v>33099</v>
      </c>
      <c r="Q11464" s="2"/>
      <c r="R11464" s="6">
        <v>128</v>
      </c>
      <c r="S11464" s="8">
        <v>1336</v>
      </c>
      <c r="T11464" s="8">
        <v>3303</v>
      </c>
      <c r="U11464" s="5">
        <v>10.4</v>
      </c>
      <c r="V11464" s="7">
        <v>2.952</v>
      </c>
      <c r="W11464" s="6">
        <v>89.66</v>
      </c>
      <c r="X11464" s="6">
        <v>90.34</v>
      </c>
      <c r="Y11464" s="6">
        <v>97.92</v>
      </c>
      <c r="Z11464" s="6">
        <v>99.94</v>
      </c>
      <c r="AA11464" s="6">
        <v>437.58</v>
      </c>
      <c r="AB11464" s="7">
        <v>24.806999999999999</v>
      </c>
      <c r="AC11464" s="10">
        <v>2184.2399999999998</v>
      </c>
    </row>
    <row r="11465" spans="1:29" ht="65" x14ac:dyDescent="0.15">
      <c r="A11465" s="3">
        <f>DATE(2016,5,20)</f>
        <v>42510</v>
      </c>
      <c r="B11465" s="3">
        <f>DATE(2016,9,1)</f>
        <v>42614</v>
      </c>
      <c r="C11465" s="2" t="s">
        <v>95</v>
      </c>
      <c r="D11465" s="2" t="s">
        <v>28241</v>
      </c>
      <c r="E11465" s="2" t="s">
        <v>29798</v>
      </c>
      <c r="F11465" s="4">
        <v>6021</v>
      </c>
      <c r="G11465" s="2" t="s">
        <v>37</v>
      </c>
      <c r="H11465" s="2" t="s">
        <v>34</v>
      </c>
      <c r="I11465" s="2" t="s">
        <v>26864</v>
      </c>
      <c r="J11465" s="2" t="s">
        <v>1181</v>
      </c>
      <c r="K11465" s="2" t="s">
        <v>37</v>
      </c>
      <c r="L11465" s="2" t="s">
        <v>34</v>
      </c>
      <c r="M11465" s="2"/>
      <c r="N11465" s="2"/>
      <c r="O11465" s="2"/>
      <c r="P11465" s="2" t="s">
        <v>33100</v>
      </c>
      <c r="Q11465" s="6">
        <v>100</v>
      </c>
      <c r="R11465" s="6">
        <v>5.15</v>
      </c>
      <c r="S11465" s="5">
        <v>-2.1</v>
      </c>
      <c r="T11465" s="7">
        <v>-0.91900000000000004</v>
      </c>
      <c r="U11465" s="5">
        <v>4</v>
      </c>
      <c r="V11465" s="9">
        <v>-0.30790000000000001</v>
      </c>
      <c r="W11465" s="6">
        <v>3.87</v>
      </c>
      <c r="X11465" s="6">
        <v>3.86</v>
      </c>
      <c r="Y11465" s="6">
        <v>5.03</v>
      </c>
      <c r="Z11465" s="6">
        <v>5.03</v>
      </c>
      <c r="AA11465" s="6">
        <v>5.4</v>
      </c>
      <c r="AB11465" s="2" t="s">
        <v>86</v>
      </c>
      <c r="AC11465" s="2"/>
    </row>
    <row r="11466" spans="1:29" ht="169" x14ac:dyDescent="0.15">
      <c r="A11466" s="3">
        <f>DATE(2016,5,23)</f>
        <v>42513</v>
      </c>
      <c r="B11466" s="3">
        <f>DATE(2017,1,3)</f>
        <v>42738</v>
      </c>
      <c r="C11466" s="2" t="s">
        <v>95</v>
      </c>
      <c r="D11466" s="2" t="s">
        <v>33101</v>
      </c>
      <c r="E11466" s="2" t="s">
        <v>244</v>
      </c>
      <c r="F11466" s="4">
        <v>6799</v>
      </c>
      <c r="G11466" s="2" t="s">
        <v>53</v>
      </c>
      <c r="H11466" s="2" t="s">
        <v>34</v>
      </c>
      <c r="I11466" s="2" t="s">
        <v>27844</v>
      </c>
      <c r="J11466" s="2" t="s">
        <v>17975</v>
      </c>
      <c r="K11466" s="2" t="s">
        <v>53</v>
      </c>
      <c r="L11466" s="2" t="s">
        <v>34</v>
      </c>
      <c r="M11466" s="12">
        <v>4800.357</v>
      </c>
      <c r="N11466" s="6">
        <v>14.83</v>
      </c>
      <c r="O11466" s="6">
        <v>15.01</v>
      </c>
      <c r="P11466" s="2" t="s">
        <v>33102</v>
      </c>
      <c r="Q11466" s="6">
        <v>100</v>
      </c>
      <c r="R11466" s="6">
        <v>13.75</v>
      </c>
      <c r="S11466" s="5">
        <v>-282</v>
      </c>
      <c r="T11466" s="2"/>
      <c r="U11466" s="5">
        <v>20.100000000000001</v>
      </c>
      <c r="V11466" s="9">
        <v>-1.1054999999999999</v>
      </c>
      <c r="W11466" s="6">
        <v>14.39</v>
      </c>
      <c r="X11466" s="5">
        <v>13.9</v>
      </c>
      <c r="Y11466" s="6">
        <v>15.22</v>
      </c>
      <c r="Z11466" s="6">
        <v>15.54</v>
      </c>
      <c r="AA11466" s="6">
        <v>218.34</v>
      </c>
      <c r="AB11466" s="2" t="s">
        <v>86</v>
      </c>
      <c r="AC11466" s="6">
        <v>77.17</v>
      </c>
    </row>
    <row r="11467" spans="1:29" ht="91" x14ac:dyDescent="0.15">
      <c r="A11467" s="3">
        <f>DATE(2016,5,23)</f>
        <v>42513</v>
      </c>
      <c r="B11467" s="3">
        <f>DATE(2016,8,19)</f>
        <v>42601</v>
      </c>
      <c r="C11467" s="2" t="s">
        <v>95</v>
      </c>
      <c r="D11467" s="2" t="s">
        <v>33103</v>
      </c>
      <c r="E11467" s="2" t="s">
        <v>21427</v>
      </c>
      <c r="F11467" s="4">
        <v>7389</v>
      </c>
      <c r="G11467" s="2" t="s">
        <v>223</v>
      </c>
      <c r="H11467" s="2" t="s">
        <v>34</v>
      </c>
      <c r="I11467" s="2" t="s">
        <v>32512</v>
      </c>
      <c r="J11467" s="2" t="s">
        <v>244</v>
      </c>
      <c r="K11467" s="2" t="s">
        <v>53</v>
      </c>
      <c r="L11467" s="2" t="s">
        <v>34</v>
      </c>
      <c r="M11467" s="2"/>
      <c r="N11467" s="2"/>
      <c r="O11467" s="2"/>
      <c r="P11467" s="2" t="s">
        <v>33104</v>
      </c>
      <c r="Q11467" s="6">
        <v>100</v>
      </c>
      <c r="R11467" s="6">
        <v>25</v>
      </c>
      <c r="S11467" s="5">
        <v>132.6</v>
      </c>
      <c r="T11467" s="7">
        <v>-3.7250000000000001</v>
      </c>
      <c r="U11467" s="5">
        <v>7.2</v>
      </c>
      <c r="V11467" s="9">
        <v>-2.0720999999999998</v>
      </c>
      <c r="W11467" s="6">
        <v>21.61</v>
      </c>
      <c r="X11467" s="6">
        <v>20.98</v>
      </c>
      <c r="Y11467" s="6">
        <v>24.61</v>
      </c>
      <c r="Z11467" s="6">
        <v>24.54</v>
      </c>
      <c r="AA11467" s="6">
        <v>25.02</v>
      </c>
      <c r="AB11467" s="2" t="s">
        <v>86</v>
      </c>
      <c r="AC11467" s="2"/>
    </row>
    <row r="11468" spans="1:29" ht="78" x14ac:dyDescent="0.15">
      <c r="A11468" s="3">
        <f>DATE(2016,5,23)</f>
        <v>42513</v>
      </c>
      <c r="B11468" s="3">
        <f>DATE(2016,9,8)</f>
        <v>42621</v>
      </c>
      <c r="C11468" s="2" t="s">
        <v>95</v>
      </c>
      <c r="D11468" s="2" t="s">
        <v>12991</v>
      </c>
      <c r="E11468" s="2" t="s">
        <v>12992</v>
      </c>
      <c r="F11468" s="4">
        <v>6799</v>
      </c>
      <c r="G11468" s="2" t="s">
        <v>53</v>
      </c>
      <c r="H11468" s="2" t="s">
        <v>34</v>
      </c>
      <c r="I11468" s="2" t="s">
        <v>33105</v>
      </c>
      <c r="J11468" s="2" t="s">
        <v>33106</v>
      </c>
      <c r="K11468" s="2" t="s">
        <v>53</v>
      </c>
      <c r="L11468" s="2" t="s">
        <v>34</v>
      </c>
      <c r="M11468" s="2"/>
      <c r="N11468" s="2"/>
      <c r="O11468" s="2"/>
      <c r="P11468" s="2" t="s">
        <v>33107</v>
      </c>
      <c r="Q11468" s="6">
        <v>100</v>
      </c>
      <c r="R11468" s="6">
        <v>9.7799999999999994</v>
      </c>
      <c r="S11468" s="5">
        <v>8.9</v>
      </c>
      <c r="T11468" s="7">
        <v>19.724</v>
      </c>
      <c r="U11468" s="5">
        <v>6.5</v>
      </c>
      <c r="V11468" s="9">
        <v>0.43540000000000001</v>
      </c>
      <c r="W11468" s="6">
        <v>6.11</v>
      </c>
      <c r="X11468" s="6">
        <v>6.46</v>
      </c>
      <c r="Y11468" s="6">
        <v>9.61</v>
      </c>
      <c r="Z11468" s="6">
        <v>9.6199999999999992</v>
      </c>
      <c r="AA11468" s="6">
        <v>20.83</v>
      </c>
      <c r="AB11468" s="7">
        <v>11.727</v>
      </c>
      <c r="AC11468" s="2"/>
    </row>
    <row r="11469" spans="1:29" ht="91" x14ac:dyDescent="0.15">
      <c r="A11469" s="3">
        <f>DATE(2016,5,23)</f>
        <v>42513</v>
      </c>
      <c r="B11469" s="3">
        <f>DATE(2016,7,5)</f>
        <v>42556</v>
      </c>
      <c r="C11469" s="2" t="s">
        <v>95</v>
      </c>
      <c r="D11469" s="2" t="s">
        <v>33108</v>
      </c>
      <c r="E11469" s="2" t="s">
        <v>14081</v>
      </c>
      <c r="F11469" s="4">
        <v>2834</v>
      </c>
      <c r="G11469" s="2" t="s">
        <v>130</v>
      </c>
      <c r="H11469" s="2" t="s">
        <v>34</v>
      </c>
      <c r="I11469" s="2" t="s">
        <v>33109</v>
      </c>
      <c r="J11469" s="2" t="s">
        <v>3812</v>
      </c>
      <c r="K11469" s="2" t="s">
        <v>130</v>
      </c>
      <c r="L11469" s="2" t="s">
        <v>34</v>
      </c>
      <c r="M11469" s="2"/>
      <c r="N11469" s="2"/>
      <c r="O11469" s="2"/>
      <c r="P11469" s="2" t="s">
        <v>33110</v>
      </c>
      <c r="Q11469" s="6">
        <v>100</v>
      </c>
      <c r="R11469" s="6">
        <v>7.03</v>
      </c>
      <c r="S11469" s="5">
        <v>-76.5</v>
      </c>
      <c r="T11469" s="7">
        <v>-72.394999999999996</v>
      </c>
      <c r="U11469" s="5">
        <v>0.1</v>
      </c>
      <c r="V11469" s="9">
        <v>-1.2083999999999999</v>
      </c>
      <c r="W11469" s="5">
        <v>4.7</v>
      </c>
      <c r="X11469" s="6">
        <v>4.47</v>
      </c>
      <c r="Y11469" s="6">
        <v>4.79</v>
      </c>
      <c r="Z11469" s="6">
        <v>5.07</v>
      </c>
      <c r="AA11469" s="6">
        <v>63.76</v>
      </c>
      <c r="AB11469" s="2" t="s">
        <v>86</v>
      </c>
      <c r="AC11469" s="2"/>
    </row>
    <row r="11470" spans="1:29" ht="91" x14ac:dyDescent="0.15">
      <c r="A11470" s="3">
        <f>DATE(2016,5,24)</f>
        <v>42514</v>
      </c>
      <c r="B11470" s="2"/>
      <c r="C11470" s="2" t="s">
        <v>30</v>
      </c>
      <c r="D11470" s="2" t="s">
        <v>33111</v>
      </c>
      <c r="E11470" s="2" t="s">
        <v>8995</v>
      </c>
      <c r="F11470" s="4">
        <v>7372</v>
      </c>
      <c r="G11470" s="2" t="s">
        <v>551</v>
      </c>
      <c r="H11470" s="2" t="s">
        <v>34</v>
      </c>
      <c r="I11470" s="2" t="s">
        <v>31878</v>
      </c>
      <c r="J11470" s="2" t="s">
        <v>244</v>
      </c>
      <c r="K11470" s="2" t="s">
        <v>53</v>
      </c>
      <c r="L11470" s="2" t="s">
        <v>34</v>
      </c>
      <c r="M11470" s="2"/>
      <c r="N11470" s="2"/>
      <c r="O11470" s="2"/>
      <c r="P11470" s="2" t="s">
        <v>33112</v>
      </c>
      <c r="Q11470" s="2"/>
      <c r="R11470" s="2"/>
      <c r="S11470" s="5">
        <v>-14.9</v>
      </c>
      <c r="T11470" s="6">
        <v>-7.91</v>
      </c>
      <c r="U11470" s="5">
        <v>1.8</v>
      </c>
      <c r="V11470" s="9">
        <v>-0.37559999999999999</v>
      </c>
      <c r="W11470" s="5">
        <v>1.6</v>
      </c>
      <c r="X11470" s="6">
        <v>1.97</v>
      </c>
      <c r="Y11470" s="6">
        <v>1.88</v>
      </c>
      <c r="Z11470" s="6">
        <v>1.98</v>
      </c>
      <c r="AA11470" s="6">
        <v>40.43</v>
      </c>
      <c r="AB11470" s="2" t="s">
        <v>86</v>
      </c>
      <c r="AC11470" s="2"/>
    </row>
    <row r="11471" spans="1:29" ht="65" x14ac:dyDescent="0.15">
      <c r="A11471" s="3">
        <f>DATE(2016,5,26)</f>
        <v>42516</v>
      </c>
      <c r="B11471" s="3">
        <f>DATE(2016,11,17)</f>
        <v>42691</v>
      </c>
      <c r="C11471" s="2" t="s">
        <v>95</v>
      </c>
      <c r="D11471" s="2" t="s">
        <v>32956</v>
      </c>
      <c r="E11471" s="2" t="s">
        <v>36</v>
      </c>
      <c r="F11471" s="4">
        <v>6712</v>
      </c>
      <c r="G11471" s="2" t="s">
        <v>37</v>
      </c>
      <c r="H11471" s="2" t="s">
        <v>34</v>
      </c>
      <c r="I11471" s="2" t="s">
        <v>33113</v>
      </c>
      <c r="J11471" s="2" t="s">
        <v>1304</v>
      </c>
      <c r="K11471" s="2" t="s">
        <v>37</v>
      </c>
      <c r="L11471" s="2" t="s">
        <v>34</v>
      </c>
      <c r="M11471" s="2"/>
      <c r="N11471" s="2"/>
      <c r="O11471" s="2"/>
      <c r="P11471" s="2" t="s">
        <v>33114</v>
      </c>
      <c r="Q11471" s="6">
        <v>100</v>
      </c>
      <c r="R11471" s="2"/>
      <c r="S11471" s="2"/>
      <c r="T11471" s="2"/>
      <c r="U11471" s="2"/>
      <c r="V11471" s="2"/>
      <c r="W11471" s="4">
        <v>38</v>
      </c>
      <c r="X11471" s="4">
        <v>38</v>
      </c>
      <c r="Y11471" s="4">
        <v>38</v>
      </c>
      <c r="Z11471" s="4">
        <v>38</v>
      </c>
      <c r="AA11471" s="6">
        <v>0.54</v>
      </c>
      <c r="AB11471" s="2" t="s">
        <v>47</v>
      </c>
      <c r="AC11471" s="2"/>
    </row>
    <row r="11472" spans="1:29" ht="104" x14ac:dyDescent="0.15">
      <c r="A11472" s="3">
        <f>DATE(2016,5,26)</f>
        <v>42516</v>
      </c>
      <c r="B11472" s="2"/>
      <c r="C11472" s="2" t="s">
        <v>87</v>
      </c>
      <c r="D11472" s="2" t="s">
        <v>28374</v>
      </c>
      <c r="E11472" s="2" t="s">
        <v>29140</v>
      </c>
      <c r="F11472" s="4">
        <v>2834</v>
      </c>
      <c r="G11472" s="2" t="s">
        <v>130</v>
      </c>
      <c r="H11472" s="2" t="s">
        <v>34</v>
      </c>
      <c r="I11472" s="2" t="s">
        <v>51</v>
      </c>
      <c r="J11472" s="2" t="s">
        <v>52</v>
      </c>
      <c r="K11472" s="2" t="s">
        <v>53</v>
      </c>
      <c r="L11472" s="2" t="s">
        <v>99</v>
      </c>
      <c r="M11472" s="2"/>
      <c r="N11472" s="2"/>
      <c r="O11472" s="2"/>
      <c r="P11472" s="2" t="s">
        <v>33115</v>
      </c>
      <c r="Q11472" s="2"/>
      <c r="R11472" s="2"/>
      <c r="S11472" s="5">
        <v>-973.2</v>
      </c>
      <c r="T11472" s="12">
        <v>6019.8389999999999</v>
      </c>
      <c r="U11472" s="5">
        <v>21.5</v>
      </c>
      <c r="V11472" s="9">
        <v>-2.7875999999999999</v>
      </c>
      <c r="W11472" s="6">
        <v>26.26</v>
      </c>
      <c r="X11472" s="6">
        <v>27.12</v>
      </c>
      <c r="Y11472" s="6">
        <v>26.94</v>
      </c>
      <c r="Z11472" s="6">
        <v>28.42</v>
      </c>
      <c r="AA11472" s="6">
        <v>343.02</v>
      </c>
      <c r="AB11472" s="2" t="s">
        <v>47</v>
      </c>
      <c r="AC11472" s="10">
        <v>4978.07</v>
      </c>
    </row>
    <row r="11473" spans="1:29" ht="78" x14ac:dyDescent="0.15">
      <c r="A11473" s="3">
        <f>DATE(2016,5,27)</f>
        <v>42517</v>
      </c>
      <c r="B11473" s="3">
        <f>DATE(2016,9,19)</f>
        <v>42632</v>
      </c>
      <c r="C11473" s="2" t="s">
        <v>95</v>
      </c>
      <c r="D11473" s="2" t="s">
        <v>13353</v>
      </c>
      <c r="E11473" s="2" t="s">
        <v>20148</v>
      </c>
      <c r="F11473" s="4">
        <v>3826</v>
      </c>
      <c r="G11473" s="2" t="s">
        <v>226</v>
      </c>
      <c r="H11473" s="2" t="s">
        <v>34</v>
      </c>
      <c r="I11473" s="2" t="s">
        <v>28846</v>
      </c>
      <c r="J11473" s="2" t="s">
        <v>28847</v>
      </c>
      <c r="K11473" s="2" t="s">
        <v>226</v>
      </c>
      <c r="L11473" s="2" t="s">
        <v>34</v>
      </c>
      <c r="M11473" s="12">
        <v>56764.139000000003</v>
      </c>
      <c r="N11473" s="6">
        <v>152.13</v>
      </c>
      <c r="O11473" s="6">
        <v>151.77000000000001</v>
      </c>
      <c r="P11473" s="2" t="s">
        <v>33116</v>
      </c>
      <c r="Q11473" s="6">
        <v>100</v>
      </c>
      <c r="R11473" s="6">
        <v>107.5</v>
      </c>
      <c r="S11473" s="5">
        <v>118.9</v>
      </c>
      <c r="T11473" s="7">
        <v>209.32300000000001</v>
      </c>
      <c r="U11473" s="5">
        <v>25.4</v>
      </c>
      <c r="V11473" s="9">
        <v>2.8635999999999999</v>
      </c>
      <c r="W11473" s="6">
        <v>88.31</v>
      </c>
      <c r="X11473" s="6">
        <v>94.58</v>
      </c>
      <c r="Y11473" s="6">
        <v>108.13</v>
      </c>
      <c r="Z11473" s="6">
        <v>108.13</v>
      </c>
      <c r="AA11473" s="6">
        <v>40.86</v>
      </c>
      <c r="AB11473" s="7">
        <v>23.736000000000001</v>
      </c>
      <c r="AC11473" s="5">
        <v>840.3</v>
      </c>
    </row>
    <row r="11474" spans="1:29" ht="117" x14ac:dyDescent="0.15">
      <c r="A11474" s="3">
        <f>DATE(2016,5,27)</f>
        <v>42517</v>
      </c>
      <c r="B11474" s="2"/>
      <c r="C11474" s="2" t="s">
        <v>7330</v>
      </c>
      <c r="D11474" s="2" t="s">
        <v>25323</v>
      </c>
      <c r="E11474" s="2" t="s">
        <v>25324</v>
      </c>
      <c r="F11474" s="4">
        <v>1381</v>
      </c>
      <c r="G11474" s="2" t="s">
        <v>148</v>
      </c>
      <c r="H11474" s="2" t="s">
        <v>34</v>
      </c>
      <c r="I11474" s="2" t="s">
        <v>1558</v>
      </c>
      <c r="J11474" s="2" t="s">
        <v>52</v>
      </c>
      <c r="K11474" s="2" t="s">
        <v>53</v>
      </c>
      <c r="L11474" s="2" t="s">
        <v>34</v>
      </c>
      <c r="M11474" s="2"/>
      <c r="N11474" s="2"/>
      <c r="O11474" s="2"/>
      <c r="P11474" s="2" t="s">
        <v>33117</v>
      </c>
      <c r="Q11474" s="2"/>
      <c r="R11474" s="2"/>
      <c r="S11474" s="5">
        <v>-596</v>
      </c>
      <c r="T11474" s="7">
        <v>-66.963999999999999</v>
      </c>
      <c r="U11474" s="5">
        <v>26.9</v>
      </c>
      <c r="V11474" s="9">
        <v>-29.8154</v>
      </c>
      <c r="W11474" s="6">
        <v>1.83</v>
      </c>
      <c r="X11474" s="6">
        <v>1.94</v>
      </c>
      <c r="Y11474" s="6">
        <v>1.02</v>
      </c>
      <c r="Z11474" s="6">
        <v>1.1399999999999999</v>
      </c>
      <c r="AA11474" s="6">
        <v>19.989999999999998</v>
      </c>
      <c r="AB11474" s="2" t="s">
        <v>86</v>
      </c>
      <c r="AC11474" s="2"/>
    </row>
    <row r="11475" spans="1:29" ht="130" x14ac:dyDescent="0.15">
      <c r="A11475" s="3">
        <f t="shared" ref="A11475:A11481" si="183">DATE(2016,5,31)</f>
        <v>42521</v>
      </c>
      <c r="B11475" s="3">
        <f>DATE(2016,7,12)</f>
        <v>42563</v>
      </c>
      <c r="C11475" s="2" t="s">
        <v>95</v>
      </c>
      <c r="D11475" s="2" t="s">
        <v>33118</v>
      </c>
      <c r="E11475" s="2" t="s">
        <v>13055</v>
      </c>
      <c r="F11475" s="4">
        <v>2834</v>
      </c>
      <c r="G11475" s="2" t="s">
        <v>130</v>
      </c>
      <c r="H11475" s="2" t="s">
        <v>34</v>
      </c>
      <c r="I11475" s="2" t="s">
        <v>33119</v>
      </c>
      <c r="J11475" s="2" t="s">
        <v>5639</v>
      </c>
      <c r="K11475" s="2" t="s">
        <v>130</v>
      </c>
      <c r="L11475" s="2" t="s">
        <v>34</v>
      </c>
      <c r="M11475" s="12">
        <v>9212.5110000000004</v>
      </c>
      <c r="N11475" s="6">
        <v>151.56</v>
      </c>
      <c r="O11475" s="6">
        <v>154.72</v>
      </c>
      <c r="P11475" s="2" t="s">
        <v>33120</v>
      </c>
      <c r="Q11475" s="6">
        <v>100</v>
      </c>
      <c r="R11475" s="6">
        <v>30.25</v>
      </c>
      <c r="S11475" s="5">
        <v>-20.100000000000001</v>
      </c>
      <c r="T11475" s="7">
        <v>-20.129000000000001</v>
      </c>
      <c r="U11475" s="5">
        <v>1.3</v>
      </c>
      <c r="V11475" s="9">
        <v>-0.58579999999999999</v>
      </c>
      <c r="W11475" s="6">
        <v>17.82</v>
      </c>
      <c r="X11475" s="6">
        <v>17.53</v>
      </c>
      <c r="Y11475" s="6">
        <v>17.53</v>
      </c>
      <c r="Z11475" s="6">
        <v>30.08</v>
      </c>
      <c r="AA11475" s="6">
        <v>42.87</v>
      </c>
      <c r="AB11475" s="2" t="s">
        <v>86</v>
      </c>
      <c r="AC11475" s="5">
        <v>861.9</v>
      </c>
    </row>
    <row r="11476" spans="1:29" ht="104" x14ac:dyDescent="0.15">
      <c r="A11476" s="3">
        <f t="shared" si="183"/>
        <v>42521</v>
      </c>
      <c r="B11476" s="3">
        <f>DATE(2016,8,10)</f>
        <v>42592</v>
      </c>
      <c r="C11476" s="2" t="s">
        <v>95</v>
      </c>
      <c r="D11476" s="2" t="s">
        <v>33121</v>
      </c>
      <c r="E11476" s="2" t="s">
        <v>33122</v>
      </c>
      <c r="F11476" s="4">
        <v>7359</v>
      </c>
      <c r="G11476" s="2" t="s">
        <v>223</v>
      </c>
      <c r="H11476" s="2" t="s">
        <v>34</v>
      </c>
      <c r="I11476" s="2" t="s">
        <v>22009</v>
      </c>
      <c r="J11476" s="2" t="s">
        <v>244</v>
      </c>
      <c r="K11476" s="2" t="s">
        <v>53</v>
      </c>
      <c r="L11476" s="2" t="s">
        <v>34</v>
      </c>
      <c r="M11476" s="2"/>
      <c r="N11476" s="5">
        <v>13.1</v>
      </c>
      <c r="O11476" s="2"/>
      <c r="P11476" s="2" t="s">
        <v>33123</v>
      </c>
      <c r="Q11476" s="6">
        <v>100</v>
      </c>
      <c r="R11476" s="6">
        <v>15.5</v>
      </c>
      <c r="S11476" s="5">
        <v>4.8</v>
      </c>
      <c r="T11476" s="7">
        <v>65.209000000000003</v>
      </c>
      <c r="U11476" s="5">
        <v>9.1999999999999993</v>
      </c>
      <c r="V11476" s="9">
        <v>0.1958</v>
      </c>
      <c r="W11476" s="6">
        <v>10.54</v>
      </c>
      <c r="X11476" s="6">
        <v>10.55</v>
      </c>
      <c r="Y11476" s="5">
        <v>13.1</v>
      </c>
      <c r="Z11476" s="4">
        <v>13</v>
      </c>
      <c r="AA11476" s="6">
        <v>24.2</v>
      </c>
      <c r="AB11476" s="7">
        <v>42.881999999999998</v>
      </c>
      <c r="AC11476" s="2"/>
    </row>
    <row r="11477" spans="1:29" ht="260" x14ac:dyDescent="0.15">
      <c r="A11477" s="3">
        <f t="shared" si="183"/>
        <v>42521</v>
      </c>
      <c r="B11477" s="2"/>
      <c r="C11477" s="2" t="s">
        <v>7330</v>
      </c>
      <c r="D11477" s="2" t="s">
        <v>25121</v>
      </c>
      <c r="E11477" s="2" t="s">
        <v>1977</v>
      </c>
      <c r="F11477" s="4">
        <v>4911</v>
      </c>
      <c r="G11477" s="2" t="s">
        <v>439</v>
      </c>
      <c r="H11477" s="2" t="s">
        <v>34</v>
      </c>
      <c r="I11477" s="2" t="s">
        <v>33124</v>
      </c>
      <c r="J11477" s="2" t="s">
        <v>1977</v>
      </c>
      <c r="K11477" s="2" t="s">
        <v>439</v>
      </c>
      <c r="L11477" s="2" t="s">
        <v>34</v>
      </c>
      <c r="M11477" s="12">
        <v>7283.7070000000003</v>
      </c>
      <c r="N11477" s="6">
        <v>56.33</v>
      </c>
      <c r="O11477" s="6">
        <v>56.28</v>
      </c>
      <c r="P11477" s="2" t="s">
        <v>33125</v>
      </c>
      <c r="Q11477" s="2"/>
      <c r="R11477" s="6">
        <v>31.78</v>
      </c>
      <c r="S11477" s="5">
        <v>215</v>
      </c>
      <c r="T11477" s="8">
        <v>1106.7</v>
      </c>
      <c r="U11477" s="5">
        <v>24</v>
      </c>
      <c r="V11477" s="9">
        <v>1.0216000000000001</v>
      </c>
      <c r="W11477" s="6">
        <v>29.52</v>
      </c>
      <c r="X11477" s="6">
        <v>30.56</v>
      </c>
      <c r="Y11477" s="6">
        <v>30.87</v>
      </c>
      <c r="Z11477" s="6">
        <v>30.96</v>
      </c>
      <c r="AA11477" s="6">
        <v>215.65</v>
      </c>
      <c r="AB11477" s="7">
        <v>15.55</v>
      </c>
      <c r="AC11477" s="6">
        <v>3.21</v>
      </c>
    </row>
    <row r="11478" spans="1:29" ht="78" x14ac:dyDescent="0.15">
      <c r="A11478" s="3">
        <f t="shared" si="183"/>
        <v>42521</v>
      </c>
      <c r="B11478" s="2"/>
      <c r="C11478" s="2" t="s">
        <v>7330</v>
      </c>
      <c r="D11478" s="2" t="s">
        <v>14801</v>
      </c>
      <c r="E11478" s="2" t="s">
        <v>14802</v>
      </c>
      <c r="F11478" s="4">
        <v>3724</v>
      </c>
      <c r="G11478" s="2" t="s">
        <v>219</v>
      </c>
      <c r="H11478" s="2" t="s">
        <v>34</v>
      </c>
      <c r="I11478" s="2" t="s">
        <v>33126</v>
      </c>
      <c r="J11478" s="2" t="s">
        <v>33127</v>
      </c>
      <c r="K11478" s="2" t="s">
        <v>300</v>
      </c>
      <c r="L11478" s="2" t="s">
        <v>34</v>
      </c>
      <c r="M11478" s="2"/>
      <c r="N11478" s="2"/>
      <c r="O11478" s="2"/>
      <c r="P11478" s="2" t="s">
        <v>33128</v>
      </c>
      <c r="Q11478" s="2"/>
      <c r="R11478" s="6">
        <v>18</v>
      </c>
      <c r="S11478" s="5">
        <v>2.1</v>
      </c>
      <c r="T11478" s="7">
        <v>3.7050000000000001</v>
      </c>
      <c r="U11478" s="5">
        <v>6.3</v>
      </c>
      <c r="V11478" s="9">
        <v>1.1246</v>
      </c>
      <c r="W11478" s="4">
        <v>11</v>
      </c>
      <c r="X11478" s="6">
        <v>11.46</v>
      </c>
      <c r="Y11478" s="6">
        <v>17.61</v>
      </c>
      <c r="Z11478" s="6">
        <v>17.690000000000001</v>
      </c>
      <c r="AA11478" s="6">
        <v>1.89</v>
      </c>
      <c r="AB11478" s="7">
        <v>9.3179999999999996</v>
      </c>
      <c r="AC11478" s="2"/>
    </row>
    <row r="11479" spans="1:29" ht="65" x14ac:dyDescent="0.15">
      <c r="A11479" s="3">
        <f t="shared" si="183"/>
        <v>42521</v>
      </c>
      <c r="B11479" s="3">
        <f>DATE(2016,8,16)</f>
        <v>42598</v>
      </c>
      <c r="C11479" s="2" t="s">
        <v>95</v>
      </c>
      <c r="D11479" s="2" t="s">
        <v>33084</v>
      </c>
      <c r="E11479" s="2" t="s">
        <v>8995</v>
      </c>
      <c r="F11479" s="4">
        <v>7372</v>
      </c>
      <c r="G11479" s="2" t="s">
        <v>551</v>
      </c>
      <c r="H11479" s="2" t="s">
        <v>34</v>
      </c>
      <c r="I11479" s="2" t="s">
        <v>30736</v>
      </c>
      <c r="J11479" s="2" t="s">
        <v>244</v>
      </c>
      <c r="K11479" s="2" t="s">
        <v>53</v>
      </c>
      <c r="L11479" s="2" t="s">
        <v>34</v>
      </c>
      <c r="M11479" s="2"/>
      <c r="N11479" s="2"/>
      <c r="O11479" s="2"/>
      <c r="P11479" s="2" t="s">
        <v>33129</v>
      </c>
      <c r="Q11479" s="6">
        <v>100</v>
      </c>
      <c r="R11479" s="6">
        <v>35.25</v>
      </c>
      <c r="S11479" s="5">
        <v>-71.8</v>
      </c>
      <c r="T11479" s="7">
        <v>-52.642000000000003</v>
      </c>
      <c r="U11479" s="5">
        <v>2</v>
      </c>
      <c r="V11479" s="9">
        <v>-1.6658999999999999</v>
      </c>
      <c r="W11479" s="6">
        <v>28.74</v>
      </c>
      <c r="X11479" s="5">
        <v>32.200000000000003</v>
      </c>
      <c r="Y11479" s="6">
        <v>35.229999999999997</v>
      </c>
      <c r="Z11479" s="6">
        <v>35.159999999999997</v>
      </c>
      <c r="AA11479" s="6">
        <v>44.72</v>
      </c>
      <c r="AB11479" s="2" t="s">
        <v>86</v>
      </c>
      <c r="AC11479" s="2"/>
    </row>
    <row r="11480" spans="1:29" ht="143" x14ac:dyDescent="0.15">
      <c r="A11480" s="3">
        <f t="shared" si="183"/>
        <v>42521</v>
      </c>
      <c r="B11480" s="3">
        <f>DATE(2016,9,30)</f>
        <v>42643</v>
      </c>
      <c r="C11480" s="2" t="s">
        <v>95</v>
      </c>
      <c r="D11480" s="2" t="s">
        <v>33130</v>
      </c>
      <c r="E11480" s="2" t="s">
        <v>33131</v>
      </c>
      <c r="F11480" s="4">
        <v>4612</v>
      </c>
      <c r="G11480" s="2" t="s">
        <v>148</v>
      </c>
      <c r="H11480" s="2" t="s">
        <v>34</v>
      </c>
      <c r="I11480" s="2" t="s">
        <v>23930</v>
      </c>
      <c r="J11480" s="2" t="s">
        <v>23931</v>
      </c>
      <c r="K11480" s="2" t="s">
        <v>148</v>
      </c>
      <c r="L11480" s="2" t="s">
        <v>34</v>
      </c>
      <c r="M11480" s="12">
        <v>1237.8720000000001</v>
      </c>
      <c r="N11480" s="6">
        <v>31.79</v>
      </c>
      <c r="O11480" s="6">
        <v>32.51</v>
      </c>
      <c r="P11480" s="2" t="s">
        <v>33132</v>
      </c>
      <c r="Q11480" s="6">
        <v>44</v>
      </c>
      <c r="R11480" s="6">
        <v>24</v>
      </c>
      <c r="S11480" s="5">
        <v>39.299999999999997</v>
      </c>
      <c r="T11480" s="7">
        <v>83.090999999999994</v>
      </c>
      <c r="U11480" s="5">
        <v>5.9</v>
      </c>
      <c r="V11480" s="9">
        <v>1.0684</v>
      </c>
      <c r="W11480" s="6">
        <v>23.78</v>
      </c>
      <c r="X11480" s="4">
        <v>24</v>
      </c>
      <c r="Y11480" s="5">
        <v>25.8</v>
      </c>
      <c r="Z11480" s="6">
        <v>26.47</v>
      </c>
      <c r="AA11480" s="6">
        <v>37.01</v>
      </c>
      <c r="AB11480" s="7">
        <v>37.612000000000002</v>
      </c>
      <c r="AC11480" s="6">
        <v>72.489999999999995</v>
      </c>
    </row>
    <row r="11481" spans="1:29" ht="91" x14ac:dyDescent="0.15">
      <c r="A11481" s="3">
        <f t="shared" si="183"/>
        <v>42521</v>
      </c>
      <c r="B11481" s="3">
        <f>DATE(2016,7,28)</f>
        <v>42579</v>
      </c>
      <c r="C11481" s="2" t="s">
        <v>95</v>
      </c>
      <c r="D11481" s="2" t="s">
        <v>21891</v>
      </c>
      <c r="E11481" s="2" t="s">
        <v>33133</v>
      </c>
      <c r="F11481" s="4">
        <v>7372</v>
      </c>
      <c r="G11481" s="2" t="s">
        <v>551</v>
      </c>
      <c r="H11481" s="2" t="s">
        <v>34</v>
      </c>
      <c r="I11481" s="2" t="s">
        <v>33134</v>
      </c>
      <c r="J11481" s="2" t="s">
        <v>244</v>
      </c>
      <c r="K11481" s="2" t="s">
        <v>53</v>
      </c>
      <c r="L11481" s="2" t="s">
        <v>34</v>
      </c>
      <c r="M11481" s="2"/>
      <c r="N11481" s="2"/>
      <c r="O11481" s="2"/>
      <c r="P11481" s="2" t="s">
        <v>33135</v>
      </c>
      <c r="Q11481" s="6">
        <v>95.69</v>
      </c>
      <c r="R11481" s="6">
        <v>17.75</v>
      </c>
      <c r="S11481" s="5">
        <v>3.2</v>
      </c>
      <c r="T11481" s="7">
        <v>16.064</v>
      </c>
      <c r="U11481" s="5">
        <v>6.9</v>
      </c>
      <c r="V11481" s="7">
        <v>0.115</v>
      </c>
      <c r="W11481" s="6">
        <v>13.23</v>
      </c>
      <c r="X11481" s="6">
        <v>13.27</v>
      </c>
      <c r="Y11481" s="6">
        <v>17.64</v>
      </c>
      <c r="Z11481" s="5">
        <v>17.7</v>
      </c>
      <c r="AA11481" s="6">
        <v>27.71</v>
      </c>
      <c r="AB11481" s="7">
        <v>90.679000000000002</v>
      </c>
      <c r="AC11481" s="2"/>
    </row>
    <row r="11482" spans="1:29" ht="104" x14ac:dyDescent="0.15">
      <c r="A11482" s="3">
        <f>DATE(2016,6,1)</f>
        <v>42522</v>
      </c>
      <c r="B11482" s="3">
        <f>DATE(2016,7,11)</f>
        <v>42562</v>
      </c>
      <c r="C11482" s="2" t="s">
        <v>95</v>
      </c>
      <c r="D11482" s="2" t="s">
        <v>33136</v>
      </c>
      <c r="E11482" s="2" t="s">
        <v>5102</v>
      </c>
      <c r="F11482" s="4">
        <v>7372</v>
      </c>
      <c r="G11482" s="2" t="s">
        <v>551</v>
      </c>
      <c r="H11482" s="2" t="s">
        <v>34</v>
      </c>
      <c r="I11482" s="2" t="s">
        <v>26768</v>
      </c>
      <c r="J11482" s="2" t="s">
        <v>26769</v>
      </c>
      <c r="K11482" s="2" t="s">
        <v>551</v>
      </c>
      <c r="L11482" s="2" t="s">
        <v>34</v>
      </c>
      <c r="M11482" s="12">
        <v>50128.224999999999</v>
      </c>
      <c r="N11482" s="6">
        <v>83.45</v>
      </c>
      <c r="O11482" s="6">
        <v>83.24</v>
      </c>
      <c r="P11482" s="2" t="s">
        <v>33137</v>
      </c>
      <c r="Q11482" s="6">
        <v>100</v>
      </c>
      <c r="R11482" s="6">
        <v>75</v>
      </c>
      <c r="S11482" s="5">
        <v>-43.1</v>
      </c>
      <c r="T11482" s="7">
        <v>-29.122</v>
      </c>
      <c r="U11482" s="5">
        <v>7.9</v>
      </c>
      <c r="V11482" s="9">
        <v>-1.1992</v>
      </c>
      <c r="W11482" s="6">
        <v>45.07</v>
      </c>
      <c r="X11482" s="6">
        <v>47.99</v>
      </c>
      <c r="Y11482" s="6">
        <v>74.81</v>
      </c>
      <c r="Z11482" s="5">
        <v>74.7</v>
      </c>
      <c r="AA11482" s="6">
        <v>38.1</v>
      </c>
      <c r="AB11482" s="2" t="s">
        <v>86</v>
      </c>
      <c r="AC11482" s="10">
        <v>2051.06</v>
      </c>
    </row>
    <row r="11483" spans="1:29" ht="117" x14ac:dyDescent="0.15">
      <c r="A11483" s="3">
        <f>DATE(2016,6,1)</f>
        <v>42522</v>
      </c>
      <c r="B11483" s="3">
        <f>DATE(2017,4,1)</f>
        <v>42826</v>
      </c>
      <c r="C11483" s="2" t="s">
        <v>95</v>
      </c>
      <c r="D11483" s="2" t="s">
        <v>33138</v>
      </c>
      <c r="E11483" s="2" t="s">
        <v>12985</v>
      </c>
      <c r="F11483" s="4">
        <v>6712</v>
      </c>
      <c r="G11483" s="2" t="s">
        <v>37</v>
      </c>
      <c r="H11483" s="2" t="s">
        <v>34</v>
      </c>
      <c r="I11483" s="2" t="s">
        <v>25418</v>
      </c>
      <c r="J11483" s="2" t="s">
        <v>25419</v>
      </c>
      <c r="K11483" s="2" t="s">
        <v>37</v>
      </c>
      <c r="L11483" s="2" t="s">
        <v>34</v>
      </c>
      <c r="M11483" s="7">
        <v>204.98500000000001</v>
      </c>
      <c r="N11483" s="5">
        <v>17.3</v>
      </c>
      <c r="O11483" s="5">
        <v>17.100000000000001</v>
      </c>
      <c r="P11483" s="2" t="s">
        <v>33139</v>
      </c>
      <c r="Q11483" s="6">
        <v>100</v>
      </c>
      <c r="R11483" s="6">
        <v>22.5</v>
      </c>
      <c r="S11483" s="5">
        <v>3.1</v>
      </c>
      <c r="T11483" s="7">
        <v>12.352</v>
      </c>
      <c r="U11483" s="5">
        <v>22.4</v>
      </c>
      <c r="V11483" s="9">
        <v>1.6294</v>
      </c>
      <c r="W11483" s="5">
        <v>19.399999999999999</v>
      </c>
      <c r="X11483" s="6">
        <v>19.39</v>
      </c>
      <c r="Y11483" s="6">
        <v>19.39</v>
      </c>
      <c r="Z11483" s="5">
        <v>21.3</v>
      </c>
      <c r="AA11483" s="6">
        <v>1.9</v>
      </c>
      <c r="AB11483" s="7">
        <v>4.6130000000000004</v>
      </c>
      <c r="AC11483" s="2"/>
    </row>
    <row r="11484" spans="1:29" ht="182" x14ac:dyDescent="0.15">
      <c r="A11484" s="3">
        <f>DATE(2016,6,2)</f>
        <v>42523</v>
      </c>
      <c r="B11484" s="3">
        <f>DATE(2017,1,1)</f>
        <v>42736</v>
      </c>
      <c r="C11484" s="2" t="s">
        <v>95</v>
      </c>
      <c r="D11484" s="2" t="s">
        <v>33140</v>
      </c>
      <c r="E11484" s="2" t="s">
        <v>29798</v>
      </c>
      <c r="F11484" s="4">
        <v>6021</v>
      </c>
      <c r="G11484" s="2" t="s">
        <v>37</v>
      </c>
      <c r="H11484" s="2" t="s">
        <v>34</v>
      </c>
      <c r="I11484" s="2" t="s">
        <v>33141</v>
      </c>
      <c r="J11484" s="2" t="s">
        <v>36</v>
      </c>
      <c r="K11484" s="2" t="s">
        <v>33</v>
      </c>
      <c r="L11484" s="2" t="s">
        <v>34</v>
      </c>
      <c r="M11484" s="2"/>
      <c r="N11484" s="2"/>
      <c r="O11484" s="2"/>
      <c r="P11484" s="2" t="s">
        <v>33142</v>
      </c>
      <c r="Q11484" s="6">
        <v>100</v>
      </c>
      <c r="R11484" s="6">
        <v>12.3</v>
      </c>
      <c r="S11484" s="5">
        <v>-0.1</v>
      </c>
      <c r="T11484" s="7">
        <v>0.28499999999999998</v>
      </c>
      <c r="U11484" s="5">
        <v>11.2</v>
      </c>
      <c r="V11484" s="7">
        <v>-4.3999999999999997E-2</v>
      </c>
      <c r="W11484" s="6">
        <v>10.41</v>
      </c>
      <c r="X11484" s="6">
        <v>10.41</v>
      </c>
      <c r="Y11484" s="6">
        <v>10.35</v>
      </c>
      <c r="Z11484" s="6">
        <v>10.85</v>
      </c>
      <c r="AA11484" s="6">
        <v>3.35</v>
      </c>
      <c r="AB11484" s="2" t="s">
        <v>86</v>
      </c>
      <c r="AC11484" s="2"/>
    </row>
    <row r="11485" spans="1:29" ht="65" x14ac:dyDescent="0.15">
      <c r="A11485" s="3">
        <f>DATE(2016,6,2)</f>
        <v>42523</v>
      </c>
      <c r="B11485" s="3">
        <f>DATE(2016,8,22)</f>
        <v>42604</v>
      </c>
      <c r="C11485" s="2" t="s">
        <v>95</v>
      </c>
      <c r="D11485" s="2" t="s">
        <v>33143</v>
      </c>
      <c r="E11485" s="2" t="s">
        <v>20940</v>
      </c>
      <c r="F11485" s="4">
        <v>7372</v>
      </c>
      <c r="G11485" s="2" t="s">
        <v>551</v>
      </c>
      <c r="H11485" s="2" t="s">
        <v>34</v>
      </c>
      <c r="I11485" s="2" t="s">
        <v>27462</v>
      </c>
      <c r="J11485" s="2" t="s">
        <v>244</v>
      </c>
      <c r="K11485" s="2" t="s">
        <v>53</v>
      </c>
      <c r="L11485" s="2" t="s">
        <v>34</v>
      </c>
      <c r="M11485" s="2"/>
      <c r="N11485" s="2"/>
      <c r="O11485" s="2"/>
      <c r="P11485" s="2" t="s">
        <v>33144</v>
      </c>
      <c r="Q11485" s="6">
        <v>100</v>
      </c>
      <c r="R11485" s="6">
        <v>30.5</v>
      </c>
      <c r="S11485" s="5">
        <v>-33.200000000000003</v>
      </c>
      <c r="T11485" s="7">
        <v>3.8290000000000002</v>
      </c>
      <c r="U11485" s="5">
        <v>3.7</v>
      </c>
      <c r="V11485" s="9">
        <v>-0.35730000000000001</v>
      </c>
      <c r="W11485" s="6">
        <v>31.61</v>
      </c>
      <c r="X11485" s="6">
        <v>28.97</v>
      </c>
      <c r="Y11485" s="6">
        <v>30.08</v>
      </c>
      <c r="Z11485" s="5">
        <v>30.1</v>
      </c>
      <c r="AA11485" s="6">
        <v>93.96</v>
      </c>
      <c r="AB11485" s="2" t="s">
        <v>86</v>
      </c>
      <c r="AC11485" s="2"/>
    </row>
    <row r="11486" spans="1:29" ht="169" x14ac:dyDescent="0.15">
      <c r="A11486" s="3">
        <f>DATE(2016,6,3)</f>
        <v>42524</v>
      </c>
      <c r="B11486" s="2"/>
      <c r="C11486" s="2" t="s">
        <v>30</v>
      </c>
      <c r="D11486" s="2" t="s">
        <v>32835</v>
      </c>
      <c r="E11486" s="2" t="s">
        <v>32836</v>
      </c>
      <c r="F11486" s="4">
        <v>2821</v>
      </c>
      <c r="G11486" s="2" t="s">
        <v>98</v>
      </c>
      <c r="H11486" s="2" t="s">
        <v>34</v>
      </c>
      <c r="I11486" s="2" t="s">
        <v>33145</v>
      </c>
      <c r="J11486" s="2" t="s">
        <v>33146</v>
      </c>
      <c r="K11486" s="2" t="s">
        <v>98</v>
      </c>
      <c r="L11486" s="2" t="s">
        <v>1502</v>
      </c>
      <c r="M11486" s="10">
        <v>8552.5400000000009</v>
      </c>
      <c r="N11486" s="5">
        <v>232.2</v>
      </c>
      <c r="O11486" s="6">
        <v>232.47</v>
      </c>
      <c r="P11486" s="2" t="s">
        <v>33147</v>
      </c>
      <c r="Q11486" s="2"/>
      <c r="R11486" s="2"/>
      <c r="S11486" s="5">
        <v>-859.4</v>
      </c>
      <c r="T11486" s="5">
        <v>327.39999999999998</v>
      </c>
      <c r="U11486" s="5">
        <v>21.7</v>
      </c>
      <c r="V11486" s="9">
        <v>-12.1005</v>
      </c>
      <c r="W11486" s="6">
        <v>23.29</v>
      </c>
      <c r="X11486" s="6">
        <v>22.34</v>
      </c>
      <c r="Y11486" s="6">
        <v>22.72</v>
      </c>
      <c r="Z11486" s="5">
        <v>23.3</v>
      </c>
      <c r="AA11486" s="6">
        <v>70.59</v>
      </c>
      <c r="AB11486" s="2" t="s">
        <v>47</v>
      </c>
      <c r="AC11486" s="10">
        <v>2174.4899999999998</v>
      </c>
    </row>
    <row r="11487" spans="1:29" ht="78" x14ac:dyDescent="0.15">
      <c r="A11487" s="3">
        <f>DATE(2016,6,3)</f>
        <v>42524</v>
      </c>
      <c r="B11487" s="3">
        <f>DATE(2016,12,6)</f>
        <v>42710</v>
      </c>
      <c r="C11487" s="2" t="s">
        <v>95</v>
      </c>
      <c r="D11487" s="2" t="s">
        <v>33148</v>
      </c>
      <c r="E11487" s="2" t="s">
        <v>27114</v>
      </c>
      <c r="F11487" s="4">
        <v>4911</v>
      </c>
      <c r="G11487" s="2" t="s">
        <v>439</v>
      </c>
      <c r="H11487" s="2" t="s">
        <v>34</v>
      </c>
      <c r="I11487" s="2" t="s">
        <v>33149</v>
      </c>
      <c r="J11487" s="2" t="s">
        <v>244</v>
      </c>
      <c r="K11487" s="2" t="s">
        <v>53</v>
      </c>
      <c r="L11487" s="2" t="s">
        <v>34</v>
      </c>
      <c r="M11487" s="2"/>
      <c r="N11487" s="2"/>
      <c r="O11487" s="2"/>
      <c r="P11487" s="2" t="s">
        <v>33150</v>
      </c>
      <c r="Q11487" s="6">
        <v>65.010000000000005</v>
      </c>
      <c r="R11487" s="6">
        <v>14</v>
      </c>
      <c r="S11487" s="5">
        <v>-286</v>
      </c>
      <c r="T11487" s="8">
        <v>1243</v>
      </c>
      <c r="U11487" s="5">
        <v>34.700000000000003</v>
      </c>
      <c r="V11487" s="9">
        <v>-2.8096999999999999</v>
      </c>
      <c r="W11487" s="6">
        <v>11.18</v>
      </c>
      <c r="X11487" s="6">
        <v>11.94</v>
      </c>
      <c r="Y11487" s="6">
        <v>13.99</v>
      </c>
      <c r="Z11487" s="6">
        <v>13.84</v>
      </c>
      <c r="AA11487" s="6">
        <v>128.53</v>
      </c>
      <c r="AB11487" s="7">
        <v>7.8380000000000001</v>
      </c>
      <c r="AC11487" s="2"/>
    </row>
    <row r="11488" spans="1:29" ht="52" x14ac:dyDescent="0.15">
      <c r="A11488" s="3">
        <f>DATE(2016,6,7)</f>
        <v>42528</v>
      </c>
      <c r="B11488" s="2"/>
      <c r="C11488" s="2" t="s">
        <v>7472</v>
      </c>
      <c r="D11488" s="2" t="s">
        <v>28672</v>
      </c>
      <c r="E11488" s="2" t="s">
        <v>28673</v>
      </c>
      <c r="F11488" s="4">
        <v>7372</v>
      </c>
      <c r="G11488" s="2" t="s">
        <v>551</v>
      </c>
      <c r="H11488" s="2" t="s">
        <v>34</v>
      </c>
      <c r="I11488" s="2" t="s">
        <v>143</v>
      </c>
      <c r="J11488" s="2" t="s">
        <v>144</v>
      </c>
      <c r="K11488" s="2" t="s">
        <v>53</v>
      </c>
      <c r="L11488" s="2" t="s">
        <v>139</v>
      </c>
      <c r="M11488" s="2"/>
      <c r="N11488" s="2"/>
      <c r="O11488" s="2"/>
      <c r="P11488" s="2" t="s">
        <v>33151</v>
      </c>
      <c r="Q11488" s="2"/>
      <c r="R11488" s="2"/>
      <c r="S11488" s="5">
        <v>355.3</v>
      </c>
      <c r="T11488" s="7">
        <v>596.73500000000001</v>
      </c>
      <c r="U11488" s="5">
        <v>17.600000000000001</v>
      </c>
      <c r="V11488" s="9">
        <v>5.0448000000000004</v>
      </c>
      <c r="W11488" s="5">
        <v>110.2</v>
      </c>
      <c r="X11488" s="6">
        <v>110.04</v>
      </c>
      <c r="Y11488" s="6">
        <v>123.94</v>
      </c>
      <c r="Z11488" s="6">
        <v>120.35</v>
      </c>
      <c r="AA11488" s="6">
        <v>66.98</v>
      </c>
      <c r="AB11488" s="2" t="s">
        <v>47</v>
      </c>
      <c r="AC11488" s="2"/>
    </row>
    <row r="11489" spans="1:29" ht="65" x14ac:dyDescent="0.15">
      <c r="A11489" s="3">
        <f>DATE(2016,6,7)</f>
        <v>42528</v>
      </c>
      <c r="B11489" s="3">
        <f>DATE(2016,7,13)</f>
        <v>42564</v>
      </c>
      <c r="C11489" s="2" t="s">
        <v>95</v>
      </c>
      <c r="D11489" s="2" t="s">
        <v>33152</v>
      </c>
      <c r="E11489" s="2" t="s">
        <v>33153</v>
      </c>
      <c r="F11489" s="4">
        <v>3841</v>
      </c>
      <c r="G11489" s="2" t="s">
        <v>226</v>
      </c>
      <c r="H11489" s="2" t="s">
        <v>34</v>
      </c>
      <c r="I11489" s="2" t="s">
        <v>33154</v>
      </c>
      <c r="J11489" s="2" t="s">
        <v>30354</v>
      </c>
      <c r="K11489" s="2" t="s">
        <v>226</v>
      </c>
      <c r="L11489" s="2" t="s">
        <v>34</v>
      </c>
      <c r="M11489" s="10">
        <v>23386.66</v>
      </c>
      <c r="N11489" s="6">
        <v>119.43</v>
      </c>
      <c r="O11489" s="6">
        <v>119.76</v>
      </c>
      <c r="P11489" s="2" t="s">
        <v>33155</v>
      </c>
      <c r="Q11489" s="6">
        <v>100</v>
      </c>
      <c r="R11489" s="6">
        <v>37</v>
      </c>
      <c r="S11489" s="5">
        <v>-20.3</v>
      </c>
      <c r="T11489" s="7">
        <v>-20.213999999999999</v>
      </c>
      <c r="U11489" s="5">
        <v>6.3</v>
      </c>
      <c r="V11489" s="9">
        <v>-0.71089999999999998</v>
      </c>
      <c r="W11489" s="6">
        <v>21.03</v>
      </c>
      <c r="X11489" s="6">
        <v>22.58</v>
      </c>
      <c r="Y11489" s="6">
        <v>36.99</v>
      </c>
      <c r="Z11489" s="6">
        <v>36.92</v>
      </c>
      <c r="AA11489" s="6">
        <v>29.23</v>
      </c>
      <c r="AB11489" s="2" t="s">
        <v>86</v>
      </c>
      <c r="AC11489" s="8">
        <v>1066.3</v>
      </c>
    </row>
    <row r="11490" spans="1:29" ht="130" x14ac:dyDescent="0.15">
      <c r="A11490" s="3">
        <f>DATE(2016,6,8)</f>
        <v>42529</v>
      </c>
      <c r="B11490" s="2"/>
      <c r="C11490" s="2" t="s">
        <v>7330</v>
      </c>
      <c r="D11490" s="2" t="s">
        <v>32470</v>
      </c>
      <c r="E11490" s="2" t="s">
        <v>92</v>
      </c>
      <c r="F11490" s="4">
        <v>6798</v>
      </c>
      <c r="G11490" s="2" t="s">
        <v>53</v>
      </c>
      <c r="H11490" s="2" t="s">
        <v>34</v>
      </c>
      <c r="I11490" s="2" t="s">
        <v>33156</v>
      </c>
      <c r="J11490" s="2" t="s">
        <v>32463</v>
      </c>
      <c r="K11490" s="2" t="s">
        <v>53</v>
      </c>
      <c r="L11490" s="2" t="s">
        <v>34</v>
      </c>
      <c r="M11490" s="2"/>
      <c r="N11490" s="2"/>
      <c r="O11490" s="2"/>
      <c r="P11490" s="2" t="s">
        <v>33157</v>
      </c>
      <c r="Q11490" s="2"/>
      <c r="R11490" s="6">
        <v>23.65</v>
      </c>
      <c r="S11490" s="5">
        <v>-11.2</v>
      </c>
      <c r="T11490" s="2"/>
      <c r="U11490" s="5">
        <v>11.5</v>
      </c>
      <c r="V11490" s="9">
        <v>-0.52390000000000003</v>
      </c>
      <c r="W11490" s="6">
        <v>10.89</v>
      </c>
      <c r="X11490" s="6">
        <v>11.32</v>
      </c>
      <c r="Y11490" s="6">
        <v>14.71</v>
      </c>
      <c r="Z11490" s="6">
        <v>12.82</v>
      </c>
      <c r="AA11490" s="6">
        <v>28.46</v>
      </c>
      <c r="AB11490" s="2" t="s">
        <v>47</v>
      </c>
      <c r="AC11490" s="2"/>
    </row>
    <row r="11491" spans="1:29" ht="130" x14ac:dyDescent="0.15">
      <c r="A11491" s="3">
        <f>DATE(2016,6,9)</f>
        <v>42530</v>
      </c>
      <c r="B11491" s="3">
        <f>DATE(2016,11,21)</f>
        <v>42695</v>
      </c>
      <c r="C11491" s="2" t="s">
        <v>95</v>
      </c>
      <c r="D11491" s="2" t="s">
        <v>33158</v>
      </c>
      <c r="E11491" s="2" t="s">
        <v>36</v>
      </c>
      <c r="F11491" s="4">
        <v>6021</v>
      </c>
      <c r="G11491" s="2" t="s">
        <v>37</v>
      </c>
      <c r="H11491" s="2" t="s">
        <v>34</v>
      </c>
      <c r="I11491" s="2" t="s">
        <v>33159</v>
      </c>
      <c r="J11491" s="2" t="s">
        <v>36</v>
      </c>
      <c r="K11491" s="2" t="s">
        <v>33</v>
      </c>
      <c r="L11491" s="2" t="s">
        <v>34</v>
      </c>
      <c r="M11491" s="7">
        <v>22.661999999999999</v>
      </c>
      <c r="N11491" s="6">
        <v>28.45</v>
      </c>
      <c r="O11491" s="6">
        <v>28.49</v>
      </c>
      <c r="P11491" s="2" t="s">
        <v>33160</v>
      </c>
      <c r="Q11491" s="6">
        <v>100</v>
      </c>
      <c r="R11491" s="6">
        <v>18.41</v>
      </c>
      <c r="S11491" s="2"/>
      <c r="T11491" s="2"/>
      <c r="U11491" s="2"/>
      <c r="V11491" s="2"/>
      <c r="W11491" s="5">
        <v>7.9</v>
      </c>
      <c r="X11491" s="5">
        <v>7.9</v>
      </c>
      <c r="Y11491" s="5">
        <v>7.9</v>
      </c>
      <c r="Z11491" s="5">
        <v>16.5</v>
      </c>
      <c r="AA11491" s="6">
        <v>0.38</v>
      </c>
      <c r="AB11491" s="2" t="s">
        <v>47</v>
      </c>
      <c r="AC11491" s="2"/>
    </row>
    <row r="11492" spans="1:29" ht="52" x14ac:dyDescent="0.15">
      <c r="A11492" s="3">
        <f>DATE(2016,6,9)</f>
        <v>42530</v>
      </c>
      <c r="B11492" s="2"/>
      <c r="C11492" s="2" t="s">
        <v>39</v>
      </c>
      <c r="D11492" s="2" t="s">
        <v>33161</v>
      </c>
      <c r="E11492" s="2" t="s">
        <v>31416</v>
      </c>
      <c r="F11492" s="4">
        <v>6798</v>
      </c>
      <c r="G11492" s="2" t="s">
        <v>53</v>
      </c>
      <c r="H11492" s="2" t="s">
        <v>34</v>
      </c>
      <c r="I11492" s="2" t="s">
        <v>33162</v>
      </c>
      <c r="J11492" s="2" t="s">
        <v>92</v>
      </c>
      <c r="K11492" s="2" t="s">
        <v>53</v>
      </c>
      <c r="L11492" s="2" t="s">
        <v>34</v>
      </c>
      <c r="M11492" s="12">
        <v>2332.5340000000001</v>
      </c>
      <c r="N11492" s="6">
        <v>26.16</v>
      </c>
      <c r="O11492" s="6">
        <v>25.72</v>
      </c>
      <c r="P11492" s="2" t="s">
        <v>33163</v>
      </c>
      <c r="Q11492" s="2"/>
      <c r="R11492" s="2"/>
      <c r="S11492" s="5">
        <v>-66</v>
      </c>
      <c r="T11492" s="7">
        <v>389.721</v>
      </c>
      <c r="U11492" s="5">
        <v>5.2</v>
      </c>
      <c r="V11492" s="9">
        <v>-0.44040000000000001</v>
      </c>
      <c r="W11492" s="6">
        <v>10.130000000000001</v>
      </c>
      <c r="X11492" s="6">
        <v>11.39</v>
      </c>
      <c r="Y11492" s="6">
        <v>11.41</v>
      </c>
      <c r="Z11492" s="6">
        <v>11.63</v>
      </c>
      <c r="AA11492" s="6">
        <v>185.31</v>
      </c>
      <c r="AB11492" s="2" t="s">
        <v>47</v>
      </c>
      <c r="AC11492" s="6">
        <v>36.65</v>
      </c>
    </row>
    <row r="11493" spans="1:29" ht="91" x14ac:dyDescent="0.15">
      <c r="A11493" s="3">
        <f>DATE(2016,6,13)</f>
        <v>42534</v>
      </c>
      <c r="B11493" s="3">
        <f>DATE(2016,12,8)</f>
        <v>42712</v>
      </c>
      <c r="C11493" s="2" t="s">
        <v>95</v>
      </c>
      <c r="D11493" s="2" t="s">
        <v>33164</v>
      </c>
      <c r="E11493" s="2" t="s">
        <v>32665</v>
      </c>
      <c r="F11493" s="4">
        <v>7375</v>
      </c>
      <c r="G11493" s="2" t="s">
        <v>223</v>
      </c>
      <c r="H11493" s="2" t="s">
        <v>34</v>
      </c>
      <c r="I11493" s="2" t="s">
        <v>15288</v>
      </c>
      <c r="J11493" s="2" t="s">
        <v>1550</v>
      </c>
      <c r="K11493" s="2" t="s">
        <v>551</v>
      </c>
      <c r="L11493" s="2" t="s">
        <v>34</v>
      </c>
      <c r="M11493" s="12">
        <v>407407.99699999997</v>
      </c>
      <c r="N11493" s="6">
        <v>50.14</v>
      </c>
      <c r="O11493" s="6">
        <v>49.83</v>
      </c>
      <c r="P11493" s="2" t="s">
        <v>33165</v>
      </c>
      <c r="Q11493" s="6">
        <v>100</v>
      </c>
      <c r="R11493" s="6">
        <v>196</v>
      </c>
      <c r="S11493" s="5">
        <v>-169.4</v>
      </c>
      <c r="T11493" s="7">
        <v>288.84399999999999</v>
      </c>
      <c r="U11493" s="5">
        <v>34.5</v>
      </c>
      <c r="V11493" s="9">
        <v>-1.3071999999999999</v>
      </c>
      <c r="W11493" s="5">
        <v>117.7</v>
      </c>
      <c r="X11493" s="6">
        <v>117.32</v>
      </c>
      <c r="Y11493" s="6">
        <v>120.46</v>
      </c>
      <c r="Z11493" s="6">
        <v>119.45</v>
      </c>
      <c r="AA11493" s="6">
        <v>134.69</v>
      </c>
      <c r="AB11493" s="2" t="s">
        <v>86</v>
      </c>
      <c r="AC11493" s="8">
        <v>106158</v>
      </c>
    </row>
    <row r="11494" spans="1:29" ht="52" x14ac:dyDescent="0.15">
      <c r="A11494" s="3">
        <f>DATE(2016,6,14)</f>
        <v>42535</v>
      </c>
      <c r="B11494" s="2"/>
      <c r="C11494" s="2" t="s">
        <v>7472</v>
      </c>
      <c r="D11494" s="2" t="s">
        <v>33166</v>
      </c>
      <c r="E11494" s="2" t="s">
        <v>33167</v>
      </c>
      <c r="F11494" s="4">
        <v>7011</v>
      </c>
      <c r="G11494" s="2" t="s">
        <v>269</v>
      </c>
      <c r="H11494" s="2" t="s">
        <v>34</v>
      </c>
      <c r="I11494" s="2" t="s">
        <v>33168</v>
      </c>
      <c r="J11494" s="2" t="s">
        <v>16500</v>
      </c>
      <c r="K11494" s="2" t="s">
        <v>269</v>
      </c>
      <c r="L11494" s="2" t="s">
        <v>34</v>
      </c>
      <c r="M11494" s="12">
        <v>36096.127</v>
      </c>
      <c r="N11494" s="5">
        <v>46.9</v>
      </c>
      <c r="O11494" s="6">
        <v>46.96</v>
      </c>
      <c r="P11494" s="2" t="s">
        <v>33169</v>
      </c>
      <c r="Q11494" s="2"/>
      <c r="R11494" s="2"/>
      <c r="S11494" s="5">
        <v>315.10000000000002</v>
      </c>
      <c r="T11494" s="7">
        <v>949.78700000000003</v>
      </c>
      <c r="U11494" s="5">
        <v>-0.8</v>
      </c>
      <c r="V11494" s="7">
        <v>3.1110000000000002</v>
      </c>
      <c r="W11494" s="6">
        <v>101.11</v>
      </c>
      <c r="X11494" s="6">
        <v>100.15</v>
      </c>
      <c r="Y11494" s="6">
        <v>101.54</v>
      </c>
      <c r="Z11494" s="5">
        <v>101.6</v>
      </c>
      <c r="AA11494" s="6">
        <v>101.79</v>
      </c>
      <c r="AB11494" s="2" t="s">
        <v>47</v>
      </c>
      <c r="AC11494" s="8">
        <v>1712.9</v>
      </c>
    </row>
    <row r="11495" spans="1:29" ht="156" x14ac:dyDescent="0.15">
      <c r="A11495" s="3">
        <f>DATE(2016,6,15)</f>
        <v>42536</v>
      </c>
      <c r="B11495" s="3">
        <f>DATE(2016,11,29)</f>
        <v>42703</v>
      </c>
      <c r="C11495" s="2" t="s">
        <v>95</v>
      </c>
      <c r="D11495" s="2" t="s">
        <v>33170</v>
      </c>
      <c r="E11495" s="2" t="s">
        <v>839</v>
      </c>
      <c r="F11495" s="4">
        <v>2834</v>
      </c>
      <c r="G11495" s="2" t="s">
        <v>130</v>
      </c>
      <c r="H11495" s="2" t="s">
        <v>34</v>
      </c>
      <c r="I11495" s="2" t="s">
        <v>22048</v>
      </c>
      <c r="J11495" s="2" t="s">
        <v>540</v>
      </c>
      <c r="K11495" s="2" t="s">
        <v>130</v>
      </c>
      <c r="L11495" s="2" t="s">
        <v>902</v>
      </c>
      <c r="M11495" s="7">
        <v>77.659000000000006</v>
      </c>
      <c r="N11495" s="5">
        <v>1.5</v>
      </c>
      <c r="O11495" s="6">
        <v>1.45</v>
      </c>
      <c r="P11495" s="2" t="s">
        <v>33171</v>
      </c>
      <c r="Q11495" s="6">
        <v>100</v>
      </c>
      <c r="R11495" s="6">
        <v>1.47</v>
      </c>
      <c r="S11495" s="5">
        <v>-123.1</v>
      </c>
      <c r="T11495" s="7">
        <v>-71.238</v>
      </c>
      <c r="U11495" s="5">
        <v>1.8</v>
      </c>
      <c r="V11495" s="9">
        <v>-4.2134999999999998</v>
      </c>
      <c r="W11495" s="5">
        <v>1.6</v>
      </c>
      <c r="X11495" s="6">
        <v>1.33</v>
      </c>
      <c r="Y11495" s="6">
        <v>1.71</v>
      </c>
      <c r="Z11495" s="6">
        <v>1.63</v>
      </c>
      <c r="AA11495" s="6">
        <v>29.5</v>
      </c>
      <c r="AB11495" s="2" t="s">
        <v>86</v>
      </c>
      <c r="AC11495" s="6">
        <v>120.07</v>
      </c>
    </row>
    <row r="11496" spans="1:29" ht="208" x14ac:dyDescent="0.15">
      <c r="A11496" s="3">
        <f>DATE(2016,6,15)</f>
        <v>42536</v>
      </c>
      <c r="B11496" s="3">
        <f>DATE(2016,12,1)</f>
        <v>42705</v>
      </c>
      <c r="C11496" s="2" t="s">
        <v>95</v>
      </c>
      <c r="D11496" s="2" t="s">
        <v>33172</v>
      </c>
      <c r="E11496" s="2" t="s">
        <v>33173</v>
      </c>
      <c r="F11496" s="4">
        <v>8011</v>
      </c>
      <c r="G11496" s="2" t="s">
        <v>454</v>
      </c>
      <c r="H11496" s="2" t="s">
        <v>34</v>
      </c>
      <c r="I11496" s="2" t="s">
        <v>32602</v>
      </c>
      <c r="J11496" s="2" t="s">
        <v>32603</v>
      </c>
      <c r="K11496" s="2" t="s">
        <v>454</v>
      </c>
      <c r="L11496" s="2" t="s">
        <v>34</v>
      </c>
      <c r="M11496" s="12">
        <v>4076.944</v>
      </c>
      <c r="N11496" s="5">
        <v>77.5</v>
      </c>
      <c r="O11496" s="6">
        <v>78.430000000000007</v>
      </c>
      <c r="P11496" s="2" t="s">
        <v>33174</v>
      </c>
      <c r="Q11496" s="6">
        <v>100</v>
      </c>
      <c r="R11496" s="6">
        <v>26.21</v>
      </c>
      <c r="S11496" s="5">
        <v>138.4</v>
      </c>
      <c r="T11496" s="7">
        <v>610.35900000000004</v>
      </c>
      <c r="U11496" s="5">
        <v>10.7</v>
      </c>
      <c r="V11496" s="9">
        <v>0.72150000000000003</v>
      </c>
      <c r="W11496" s="6">
        <v>24.88</v>
      </c>
      <c r="X11496" s="6">
        <v>25.54</v>
      </c>
      <c r="Y11496" s="6">
        <v>25.66</v>
      </c>
      <c r="Z11496" s="5">
        <v>27.8</v>
      </c>
      <c r="AA11496" s="6">
        <v>187.13</v>
      </c>
      <c r="AB11496" s="7">
        <v>19.61</v>
      </c>
      <c r="AC11496" s="2"/>
    </row>
    <row r="11497" spans="1:29" ht="65" x14ac:dyDescent="0.15">
      <c r="A11497" s="3">
        <f>DATE(2016,6,15)</f>
        <v>42536</v>
      </c>
      <c r="B11497" s="2"/>
      <c r="C11497" s="2" t="s">
        <v>7330</v>
      </c>
      <c r="D11497" s="2" t="s">
        <v>33175</v>
      </c>
      <c r="E11497" s="2" t="s">
        <v>33176</v>
      </c>
      <c r="F11497" s="4">
        <v>6411</v>
      </c>
      <c r="G11497" s="2" t="s">
        <v>125</v>
      </c>
      <c r="H11497" s="2" t="s">
        <v>34</v>
      </c>
      <c r="I11497" s="2" t="s">
        <v>25068</v>
      </c>
      <c r="J11497" s="2" t="s">
        <v>25069</v>
      </c>
      <c r="K11497" s="2" t="s">
        <v>551</v>
      </c>
      <c r="L11497" s="2" t="s">
        <v>34</v>
      </c>
      <c r="M11497" s="12">
        <v>1479.779</v>
      </c>
      <c r="N11497" s="6">
        <v>47.22</v>
      </c>
      <c r="O11497" s="6">
        <v>48.25</v>
      </c>
      <c r="P11497" s="2" t="s">
        <v>33177</v>
      </c>
      <c r="Q11497" s="2"/>
      <c r="R11497" s="6">
        <v>9.5</v>
      </c>
      <c r="S11497" s="5">
        <v>2.8</v>
      </c>
      <c r="T11497" s="7">
        <v>42.521999999999998</v>
      </c>
      <c r="U11497" s="5">
        <v>3.2</v>
      </c>
      <c r="V11497" s="9">
        <v>9.3600000000000003E-2</v>
      </c>
      <c r="W11497" s="5">
        <v>7.3</v>
      </c>
      <c r="X11497" s="6">
        <v>6.92</v>
      </c>
      <c r="Y11497" s="6">
        <v>8.75</v>
      </c>
      <c r="Z11497" s="6">
        <v>8.6300000000000008</v>
      </c>
      <c r="AA11497" s="6">
        <v>26.83</v>
      </c>
      <c r="AB11497" s="7">
        <v>14.156000000000001</v>
      </c>
      <c r="AC11497" s="6">
        <v>71.33</v>
      </c>
    </row>
    <row r="11498" spans="1:29" ht="208" x14ac:dyDescent="0.15">
      <c r="A11498" s="3">
        <f>DATE(2016,6,15)</f>
        <v>42536</v>
      </c>
      <c r="B11498" s="3">
        <f>DATE(2016,8,16)</f>
        <v>42598</v>
      </c>
      <c r="C11498" s="2" t="s">
        <v>95</v>
      </c>
      <c r="D11498" s="2" t="s">
        <v>16852</v>
      </c>
      <c r="E11498" s="2" t="s">
        <v>16853</v>
      </c>
      <c r="F11498" s="4">
        <v>3674</v>
      </c>
      <c r="G11498" s="2" t="s">
        <v>137</v>
      </c>
      <c r="H11498" s="2" t="s">
        <v>34</v>
      </c>
      <c r="I11498" s="2" t="s">
        <v>33178</v>
      </c>
      <c r="J11498" s="2" t="s">
        <v>31609</v>
      </c>
      <c r="K11498" s="2" t="s">
        <v>137</v>
      </c>
      <c r="L11498" s="2" t="s">
        <v>34</v>
      </c>
      <c r="M11498" s="8">
        <v>2738.9</v>
      </c>
      <c r="N11498" s="4">
        <v>48</v>
      </c>
      <c r="O11498" s="5">
        <v>39.6</v>
      </c>
      <c r="P11498" s="2" t="s">
        <v>33179</v>
      </c>
      <c r="Q11498" s="6">
        <v>100</v>
      </c>
      <c r="R11498" s="6">
        <v>15.53</v>
      </c>
      <c r="S11498" s="5">
        <v>46.5</v>
      </c>
      <c r="T11498" s="7">
        <v>100.066</v>
      </c>
      <c r="U11498" s="5">
        <v>9</v>
      </c>
      <c r="V11498" s="9">
        <v>0.53959999999999997</v>
      </c>
      <c r="W11498" s="6">
        <v>13.82</v>
      </c>
      <c r="X11498" s="6">
        <v>13.67</v>
      </c>
      <c r="Y11498" s="6">
        <v>13.54</v>
      </c>
      <c r="Z11498" s="5">
        <v>14.8</v>
      </c>
      <c r="AA11498" s="6">
        <v>83.81</v>
      </c>
      <c r="AB11498" s="7">
        <v>15.44</v>
      </c>
      <c r="AC11498" s="6">
        <v>129.63</v>
      </c>
    </row>
    <row r="11499" spans="1:29" ht="91" x14ac:dyDescent="0.15">
      <c r="A11499" s="3">
        <f>DATE(2016,6,16)</f>
        <v>42537</v>
      </c>
      <c r="B11499" s="3">
        <f>DATE(2017,1,1)</f>
        <v>42736</v>
      </c>
      <c r="C11499" s="2" t="s">
        <v>95</v>
      </c>
      <c r="D11499" s="2" t="s">
        <v>33180</v>
      </c>
      <c r="E11499" s="2" t="s">
        <v>36</v>
      </c>
      <c r="F11499" s="4">
        <v>6021</v>
      </c>
      <c r="G11499" s="2" t="s">
        <v>37</v>
      </c>
      <c r="H11499" s="2" t="s">
        <v>34</v>
      </c>
      <c r="I11499" s="2" t="s">
        <v>33181</v>
      </c>
      <c r="J11499" s="2" t="s">
        <v>1304</v>
      </c>
      <c r="K11499" s="2" t="s">
        <v>37</v>
      </c>
      <c r="L11499" s="2" t="s">
        <v>34</v>
      </c>
      <c r="M11499" s="6">
        <v>31.88</v>
      </c>
      <c r="N11499" s="6">
        <v>9.4499999999999993</v>
      </c>
      <c r="O11499" s="6">
        <v>9.4499999999999993</v>
      </c>
      <c r="P11499" s="2" t="s">
        <v>33182</v>
      </c>
      <c r="Q11499" s="6">
        <v>100</v>
      </c>
      <c r="R11499" s="2"/>
      <c r="S11499" s="2"/>
      <c r="T11499" s="2"/>
      <c r="U11499" s="2"/>
      <c r="V11499" s="2"/>
      <c r="W11499" s="6">
        <v>47.55</v>
      </c>
      <c r="X11499" s="6">
        <v>47.55</v>
      </c>
      <c r="Y11499" s="6">
        <v>47.55</v>
      </c>
      <c r="Z11499" s="6">
        <v>47.55</v>
      </c>
      <c r="AA11499" s="6">
        <v>0.56999999999999995</v>
      </c>
      <c r="AB11499" s="2" t="s">
        <v>47</v>
      </c>
      <c r="AC11499" s="2"/>
    </row>
    <row r="11500" spans="1:29" ht="65" x14ac:dyDescent="0.15">
      <c r="A11500" s="3">
        <f>DATE(2016,6,16)</f>
        <v>42537</v>
      </c>
      <c r="B11500" s="3">
        <f>DATE(2016,9,7)</f>
        <v>42620</v>
      </c>
      <c r="C11500" s="2" t="s">
        <v>95</v>
      </c>
      <c r="D11500" s="2" t="s">
        <v>33183</v>
      </c>
      <c r="E11500" s="2" t="s">
        <v>14468</v>
      </c>
      <c r="F11500" s="4">
        <v>2844</v>
      </c>
      <c r="G11500" s="2" t="s">
        <v>358</v>
      </c>
      <c r="H11500" s="2" t="s">
        <v>34</v>
      </c>
      <c r="I11500" s="2" t="s">
        <v>14465</v>
      </c>
      <c r="J11500" s="2" t="s">
        <v>14466</v>
      </c>
      <c r="K11500" s="2" t="s">
        <v>358</v>
      </c>
      <c r="L11500" s="2" t="s">
        <v>34</v>
      </c>
      <c r="M11500" s="12">
        <v>1616.5630000000001</v>
      </c>
      <c r="N11500" s="6">
        <v>31.15</v>
      </c>
      <c r="O11500" s="6">
        <v>33.25</v>
      </c>
      <c r="P11500" s="2" t="s">
        <v>33184</v>
      </c>
      <c r="Q11500" s="6">
        <v>100</v>
      </c>
      <c r="R11500" s="6">
        <v>14</v>
      </c>
      <c r="S11500" s="5">
        <v>-156.69999999999999</v>
      </c>
      <c r="T11500" s="7">
        <v>-105.679</v>
      </c>
      <c r="U11500" s="5">
        <v>2.7</v>
      </c>
      <c r="V11500" s="9">
        <v>-5.3395000000000001</v>
      </c>
      <c r="W11500" s="6">
        <v>9.5399999999999991</v>
      </c>
      <c r="X11500" s="6">
        <v>9.33</v>
      </c>
      <c r="Y11500" s="6">
        <v>9.31</v>
      </c>
      <c r="Z11500" s="6">
        <v>13.88</v>
      </c>
      <c r="AA11500" s="6">
        <v>29.95</v>
      </c>
      <c r="AB11500" s="2" t="s">
        <v>86</v>
      </c>
      <c r="AC11500" s="5">
        <v>183.1</v>
      </c>
    </row>
    <row r="11501" spans="1:29" ht="78" x14ac:dyDescent="0.15">
      <c r="A11501" s="3">
        <f>DATE(2016,6,21)</f>
        <v>42542</v>
      </c>
      <c r="B11501" s="3">
        <f>DATE(2016,9,12)</f>
        <v>42625</v>
      </c>
      <c r="C11501" s="2" t="s">
        <v>95</v>
      </c>
      <c r="D11501" s="2" t="s">
        <v>33185</v>
      </c>
      <c r="E11501" s="2" t="s">
        <v>33186</v>
      </c>
      <c r="F11501" s="4">
        <v>3844</v>
      </c>
      <c r="G11501" s="2" t="s">
        <v>226</v>
      </c>
      <c r="H11501" s="2" t="s">
        <v>34</v>
      </c>
      <c r="I11501" s="2" t="s">
        <v>33187</v>
      </c>
      <c r="J11501" s="2" t="s">
        <v>33188</v>
      </c>
      <c r="K11501" s="2" t="s">
        <v>137</v>
      </c>
      <c r="L11501" s="2" t="s">
        <v>34</v>
      </c>
      <c r="M11501" s="7">
        <v>954.78099999999995</v>
      </c>
      <c r="N11501" s="6">
        <v>57.48</v>
      </c>
      <c r="O11501" s="6">
        <v>55.73</v>
      </c>
      <c r="P11501" s="2" t="s">
        <v>33189</v>
      </c>
      <c r="Q11501" s="6">
        <v>100</v>
      </c>
      <c r="R11501" s="6">
        <v>37</v>
      </c>
      <c r="S11501" s="5">
        <v>-3.2</v>
      </c>
      <c r="T11501" s="7">
        <v>-1.7110000000000001</v>
      </c>
      <c r="U11501" s="5">
        <v>18.399999999999999</v>
      </c>
      <c r="V11501" s="9">
        <v>-0.44950000000000001</v>
      </c>
      <c r="W11501" s="6">
        <v>31.82</v>
      </c>
      <c r="X11501" s="6">
        <v>32.340000000000003</v>
      </c>
      <c r="Y11501" s="6">
        <v>36.880000000000003</v>
      </c>
      <c r="Z11501" s="4">
        <v>37</v>
      </c>
      <c r="AA11501" s="6">
        <v>7.3</v>
      </c>
      <c r="AB11501" s="2" t="s">
        <v>86</v>
      </c>
      <c r="AC11501" s="6">
        <v>97.43</v>
      </c>
    </row>
    <row r="11502" spans="1:29" ht="195" x14ac:dyDescent="0.15">
      <c r="A11502" s="3">
        <f>DATE(2016,6,21)</f>
        <v>42542</v>
      </c>
      <c r="B11502" s="3">
        <f>DATE(2017,3,3)</f>
        <v>42797</v>
      </c>
      <c r="C11502" s="2" t="s">
        <v>95</v>
      </c>
      <c r="D11502" s="2" t="s">
        <v>33190</v>
      </c>
      <c r="E11502" s="2" t="s">
        <v>159</v>
      </c>
      <c r="F11502" s="4">
        <v>6022</v>
      </c>
      <c r="G11502" s="2" t="s">
        <v>37</v>
      </c>
      <c r="H11502" s="2" t="s">
        <v>34</v>
      </c>
      <c r="I11502" s="2" t="s">
        <v>639</v>
      </c>
      <c r="J11502" s="2" t="s">
        <v>36</v>
      </c>
      <c r="K11502" s="2" t="s">
        <v>37</v>
      </c>
      <c r="L11502" s="2" t="s">
        <v>34</v>
      </c>
      <c r="M11502" s="7">
        <v>399.38600000000002</v>
      </c>
      <c r="N11502" s="6">
        <v>18.98</v>
      </c>
      <c r="O11502" s="5">
        <v>18.100000000000001</v>
      </c>
      <c r="P11502" s="2" t="s">
        <v>33191</v>
      </c>
      <c r="Q11502" s="6">
        <v>100</v>
      </c>
      <c r="R11502" s="6">
        <v>39.03</v>
      </c>
      <c r="S11502" s="5">
        <v>5.2</v>
      </c>
      <c r="T11502" s="7">
        <v>8.2759999999999998</v>
      </c>
      <c r="U11502" s="5">
        <v>12.4</v>
      </c>
      <c r="V11502" s="9">
        <v>1.0936999999999999</v>
      </c>
      <c r="W11502" s="7">
        <v>15.989000000000001</v>
      </c>
      <c r="X11502" s="6">
        <v>15.89</v>
      </c>
      <c r="Y11502" s="6">
        <v>15.97</v>
      </c>
      <c r="Z11502" s="6">
        <v>18.13</v>
      </c>
      <c r="AA11502" s="6">
        <v>5.04</v>
      </c>
      <c r="AB11502" s="7">
        <v>30.733000000000001</v>
      </c>
      <c r="AC11502" s="2"/>
    </row>
    <row r="11503" spans="1:29" ht="169" x14ac:dyDescent="0.15">
      <c r="A11503" s="3">
        <f>DATE(2016,6,21)</f>
        <v>42542</v>
      </c>
      <c r="B11503" s="3">
        <f>DATE(2016,11,21)</f>
        <v>42695</v>
      </c>
      <c r="C11503" s="2" t="s">
        <v>95</v>
      </c>
      <c r="D11503" s="2" t="s">
        <v>33192</v>
      </c>
      <c r="E11503" s="2" t="s">
        <v>14063</v>
      </c>
      <c r="F11503" s="4">
        <v>1731</v>
      </c>
      <c r="G11503" s="2" t="s">
        <v>341</v>
      </c>
      <c r="H11503" s="2" t="s">
        <v>34</v>
      </c>
      <c r="I11503" s="2" t="s">
        <v>31254</v>
      </c>
      <c r="J11503" s="2" t="s">
        <v>31255</v>
      </c>
      <c r="K11503" s="2" t="s">
        <v>105</v>
      </c>
      <c r="L11503" s="2" t="s">
        <v>34</v>
      </c>
      <c r="M11503" s="8">
        <v>32261</v>
      </c>
      <c r="N11503" s="6">
        <v>219.61</v>
      </c>
      <c r="O11503" s="6">
        <v>196.66</v>
      </c>
      <c r="P11503" s="2" t="s">
        <v>33193</v>
      </c>
      <c r="Q11503" s="6">
        <v>100</v>
      </c>
      <c r="R11503" s="6">
        <v>25.83</v>
      </c>
      <c r="S11503" s="5">
        <v>-94.9</v>
      </c>
      <c r="T11503" s="6">
        <v>-531.54</v>
      </c>
      <c r="U11503" s="5">
        <v>8.9</v>
      </c>
      <c r="V11503" s="9">
        <v>-0.9617</v>
      </c>
      <c r="W11503" s="6">
        <v>20.51</v>
      </c>
      <c r="X11503" s="6">
        <v>21.88</v>
      </c>
      <c r="Y11503" s="6">
        <v>21.19</v>
      </c>
      <c r="Z11503" s="6">
        <v>21.88</v>
      </c>
      <c r="AA11503" s="6">
        <v>100.28</v>
      </c>
      <c r="AB11503" s="2" t="s">
        <v>86</v>
      </c>
      <c r="AC11503" s="10">
        <v>3270.83</v>
      </c>
    </row>
    <row r="11504" spans="1:29" ht="104" x14ac:dyDescent="0.15">
      <c r="A11504" s="3">
        <f>DATE(2016,6,24)</f>
        <v>42545</v>
      </c>
      <c r="B11504" s="3">
        <f>DATE(2016,11,3)</f>
        <v>42677</v>
      </c>
      <c r="C11504" s="2" t="s">
        <v>95</v>
      </c>
      <c r="D11504" s="2" t="s">
        <v>33194</v>
      </c>
      <c r="E11504" s="2" t="s">
        <v>32531</v>
      </c>
      <c r="F11504" s="4">
        <v>6726</v>
      </c>
      <c r="G11504" s="2" t="s">
        <v>53</v>
      </c>
      <c r="H11504" s="2" t="s">
        <v>34</v>
      </c>
      <c r="I11504" s="2" t="s">
        <v>33195</v>
      </c>
      <c r="J11504" s="2" t="s">
        <v>302</v>
      </c>
      <c r="K11504" s="2" t="s">
        <v>53</v>
      </c>
      <c r="L11504" s="2" t="s">
        <v>34</v>
      </c>
      <c r="M11504" s="2"/>
      <c r="N11504" s="6">
        <v>2.79</v>
      </c>
      <c r="O11504" s="2"/>
      <c r="P11504" s="2" t="s">
        <v>33196</v>
      </c>
      <c r="Q11504" s="6">
        <v>100</v>
      </c>
      <c r="R11504" s="2"/>
      <c r="S11504" s="5">
        <v>-9.9</v>
      </c>
      <c r="T11504" s="2"/>
      <c r="U11504" s="5">
        <v>3.6</v>
      </c>
      <c r="V11504" s="9">
        <v>-0.36940000000000001</v>
      </c>
      <c r="W11504" s="6">
        <v>2.66</v>
      </c>
      <c r="X11504" s="6">
        <v>2.71</v>
      </c>
      <c r="Y11504" s="6">
        <v>2.79</v>
      </c>
      <c r="Z11504" s="6">
        <v>2.67</v>
      </c>
      <c r="AA11504" s="6">
        <v>22.47</v>
      </c>
      <c r="AB11504" s="2" t="s">
        <v>86</v>
      </c>
      <c r="AC11504" s="2"/>
    </row>
    <row r="11505" spans="1:29" ht="117" x14ac:dyDescent="0.15">
      <c r="A11505" s="3">
        <f>DATE(2016,6,24)</f>
        <v>42545</v>
      </c>
      <c r="B11505" s="2"/>
      <c r="C11505" s="2" t="s">
        <v>30</v>
      </c>
      <c r="D11505" s="2" t="s">
        <v>33197</v>
      </c>
      <c r="E11505" s="2" t="s">
        <v>33198</v>
      </c>
      <c r="F11505" s="4">
        <v>3651</v>
      </c>
      <c r="G11505" s="2" t="s">
        <v>137</v>
      </c>
      <c r="H11505" s="2" t="s">
        <v>34</v>
      </c>
      <c r="I11505" s="2" t="s">
        <v>33199</v>
      </c>
      <c r="J11505" s="2" t="s">
        <v>33200</v>
      </c>
      <c r="K11505" s="2" t="s">
        <v>447</v>
      </c>
      <c r="L11505" s="2" t="s">
        <v>34</v>
      </c>
      <c r="M11505" s="2"/>
      <c r="N11505" s="2"/>
      <c r="O11505" s="2"/>
      <c r="P11505" s="2" t="s">
        <v>33201</v>
      </c>
      <c r="Q11505" s="2"/>
      <c r="R11505" s="6">
        <v>6.1</v>
      </c>
      <c r="S11505" s="5">
        <v>1.9</v>
      </c>
      <c r="T11505" s="7">
        <v>13.396000000000001</v>
      </c>
      <c r="U11505" s="5">
        <v>5.5</v>
      </c>
      <c r="V11505" s="9">
        <v>6.6299999999999998E-2</v>
      </c>
      <c r="W11505" s="6">
        <v>4.57</v>
      </c>
      <c r="X11505" s="6">
        <v>4.68</v>
      </c>
      <c r="Y11505" s="6">
        <v>5.76</v>
      </c>
      <c r="Z11505" s="6">
        <v>6.08</v>
      </c>
      <c r="AA11505" s="6">
        <v>28.71</v>
      </c>
      <c r="AB11505" s="7">
        <v>42.905999999999999</v>
      </c>
      <c r="AC11505" s="2"/>
    </row>
    <row r="11506" spans="1:29" ht="156" x14ac:dyDescent="0.15">
      <c r="A11506" s="3">
        <f>DATE(2016,6,27)</f>
        <v>42548</v>
      </c>
      <c r="B11506" s="3">
        <f>DATE(2016,8,23)</f>
        <v>42605</v>
      </c>
      <c r="C11506" s="2" t="s">
        <v>95</v>
      </c>
      <c r="D11506" s="2" t="s">
        <v>33202</v>
      </c>
      <c r="E11506" s="2" t="s">
        <v>33203</v>
      </c>
      <c r="F11506" s="4">
        <v>3841</v>
      </c>
      <c r="G11506" s="2" t="s">
        <v>226</v>
      </c>
      <c r="H11506" s="2" t="s">
        <v>34</v>
      </c>
      <c r="I11506" s="2" t="s">
        <v>33204</v>
      </c>
      <c r="J11506" s="2" t="s">
        <v>33205</v>
      </c>
      <c r="K11506" s="2" t="s">
        <v>226</v>
      </c>
      <c r="L11506" s="2" t="s">
        <v>7645</v>
      </c>
      <c r="M11506" s="12">
        <v>114451.223</v>
      </c>
      <c r="N11506" s="6">
        <v>82.38</v>
      </c>
      <c r="O11506" s="6">
        <v>84.14</v>
      </c>
      <c r="P11506" s="2" t="s">
        <v>33206</v>
      </c>
      <c r="Q11506" s="6">
        <v>100</v>
      </c>
      <c r="R11506" s="6">
        <v>58</v>
      </c>
      <c r="S11506" s="5">
        <v>-75.7</v>
      </c>
      <c r="T11506" s="7">
        <v>-42.631</v>
      </c>
      <c r="U11506" s="5">
        <v>10</v>
      </c>
      <c r="V11506" s="9">
        <v>-4.3681999999999999</v>
      </c>
      <c r="W11506" s="6">
        <v>32.090000000000003</v>
      </c>
      <c r="X11506" s="6">
        <v>29.98</v>
      </c>
      <c r="Y11506" s="6">
        <v>57.79</v>
      </c>
      <c r="Z11506" s="6">
        <v>57.55</v>
      </c>
      <c r="AA11506" s="6">
        <v>17.55</v>
      </c>
      <c r="AB11506" s="2" t="s">
        <v>86</v>
      </c>
      <c r="AC11506" s="8">
        <v>12770</v>
      </c>
    </row>
    <row r="11507" spans="1:29" ht="52" x14ac:dyDescent="0.15">
      <c r="A11507" s="3">
        <f>DATE(2016,6,27)</f>
        <v>42548</v>
      </c>
      <c r="B11507" s="3">
        <f>DATE(2016,8,9)</f>
        <v>42591</v>
      </c>
      <c r="C11507" s="2" t="s">
        <v>95</v>
      </c>
      <c r="D11507" s="2" t="s">
        <v>33207</v>
      </c>
      <c r="E11507" s="2" t="s">
        <v>25964</v>
      </c>
      <c r="F11507" s="4">
        <v>7311</v>
      </c>
      <c r="G11507" s="2" t="s">
        <v>4563</v>
      </c>
      <c r="H11507" s="2" t="s">
        <v>34</v>
      </c>
      <c r="I11507" s="2" t="s">
        <v>17167</v>
      </c>
      <c r="J11507" s="2" t="s">
        <v>2499</v>
      </c>
      <c r="K11507" s="2" t="s">
        <v>186</v>
      </c>
      <c r="L11507" s="2" t="s">
        <v>34</v>
      </c>
      <c r="M11507" s="12">
        <v>1819.002</v>
      </c>
      <c r="N11507" s="6">
        <v>13.62</v>
      </c>
      <c r="O11507" s="6">
        <v>13.35</v>
      </c>
      <c r="P11507" s="2" t="s">
        <v>33208</v>
      </c>
      <c r="Q11507" s="6">
        <v>100</v>
      </c>
      <c r="R11507" s="6">
        <v>4.5999999999999996</v>
      </c>
      <c r="S11507" s="5">
        <v>-54.9</v>
      </c>
      <c r="T11507" s="7">
        <v>2.3980000000000001</v>
      </c>
      <c r="U11507" s="5">
        <v>-0.2</v>
      </c>
      <c r="V11507" s="9">
        <v>-1.8764000000000001</v>
      </c>
      <c r="W11507" s="6">
        <v>1.74</v>
      </c>
      <c r="X11507" s="5">
        <v>1.6</v>
      </c>
      <c r="Y11507" s="7">
        <v>1.6890000000000001</v>
      </c>
      <c r="Z11507" s="6">
        <v>4.5599999999999996</v>
      </c>
      <c r="AA11507" s="6">
        <v>30.1</v>
      </c>
      <c r="AB11507" s="2" t="s">
        <v>86</v>
      </c>
      <c r="AC11507" s="6">
        <v>144.13</v>
      </c>
    </row>
    <row r="11508" spans="1:29" ht="143" x14ac:dyDescent="0.15">
      <c r="A11508" s="3">
        <f>DATE(2016,6,27)</f>
        <v>42548</v>
      </c>
      <c r="B11508" s="3">
        <f>DATE(2016,10,3)</f>
        <v>42646</v>
      </c>
      <c r="C11508" s="2" t="s">
        <v>95</v>
      </c>
      <c r="D11508" s="2" t="s">
        <v>33197</v>
      </c>
      <c r="E11508" s="2" t="s">
        <v>33198</v>
      </c>
      <c r="F11508" s="4">
        <v>3651</v>
      </c>
      <c r="G11508" s="2" t="s">
        <v>137</v>
      </c>
      <c r="H11508" s="2" t="s">
        <v>34</v>
      </c>
      <c r="I11508" s="2" t="s">
        <v>33209</v>
      </c>
      <c r="J11508" s="2" t="s">
        <v>244</v>
      </c>
      <c r="K11508" s="2" t="s">
        <v>53</v>
      </c>
      <c r="L11508" s="2" t="s">
        <v>34</v>
      </c>
      <c r="M11508" s="2"/>
      <c r="N11508" s="2"/>
      <c r="O11508" s="2"/>
      <c r="P11508" s="2" t="s">
        <v>33210</v>
      </c>
      <c r="Q11508" s="6">
        <v>90.2</v>
      </c>
      <c r="R11508" s="6">
        <v>6.05</v>
      </c>
      <c r="S11508" s="5">
        <v>4.7</v>
      </c>
      <c r="T11508" s="6">
        <v>16.850000000000001</v>
      </c>
      <c r="U11508" s="5">
        <v>5.5</v>
      </c>
      <c r="V11508" s="9">
        <v>0.1585</v>
      </c>
      <c r="W11508" s="6">
        <v>4.51</v>
      </c>
      <c r="X11508" s="6">
        <v>5.76</v>
      </c>
      <c r="Y11508" s="6">
        <v>6.08</v>
      </c>
      <c r="Z11508" s="6">
        <v>6.14</v>
      </c>
      <c r="AA11508" s="6">
        <v>28.63</v>
      </c>
      <c r="AB11508" s="7">
        <v>19.279</v>
      </c>
      <c r="AC11508" s="2"/>
    </row>
    <row r="11509" spans="1:29" ht="130" x14ac:dyDescent="0.15">
      <c r="A11509" s="3">
        <f>DATE(2016,6,27)</f>
        <v>42548</v>
      </c>
      <c r="B11509" s="3">
        <f>DATE(2017,4,3)</f>
        <v>42828</v>
      </c>
      <c r="C11509" s="2" t="s">
        <v>95</v>
      </c>
      <c r="D11509" s="2" t="s">
        <v>4163</v>
      </c>
      <c r="E11509" s="2" t="s">
        <v>4164</v>
      </c>
      <c r="F11509" s="4">
        <v>6021</v>
      </c>
      <c r="G11509" s="2" t="s">
        <v>37</v>
      </c>
      <c r="H11509" s="2" t="s">
        <v>34</v>
      </c>
      <c r="I11509" s="2" t="s">
        <v>25765</v>
      </c>
      <c r="J11509" s="2" t="s">
        <v>36</v>
      </c>
      <c r="K11509" s="2" t="s">
        <v>33</v>
      </c>
      <c r="L11509" s="2" t="s">
        <v>34</v>
      </c>
      <c r="M11509" s="12">
        <v>4927.1469999999999</v>
      </c>
      <c r="N11509" s="6">
        <v>13.84</v>
      </c>
      <c r="O11509" s="6">
        <v>14.13</v>
      </c>
      <c r="P11509" s="2" t="s">
        <v>33211</v>
      </c>
      <c r="Q11509" s="6">
        <v>100</v>
      </c>
      <c r="R11509" s="6">
        <v>33.549999999999997</v>
      </c>
      <c r="S11509" s="5">
        <v>18.5</v>
      </c>
      <c r="T11509" s="5">
        <v>28.9</v>
      </c>
      <c r="U11509" s="5">
        <v>17.2</v>
      </c>
      <c r="V11509" s="9">
        <v>1.5598000000000001</v>
      </c>
      <c r="W11509" s="6">
        <v>23.78</v>
      </c>
      <c r="X11509" s="6">
        <v>23.49</v>
      </c>
      <c r="Y11509" s="6">
        <v>29.33</v>
      </c>
      <c r="Z11509" s="4">
        <v>30</v>
      </c>
      <c r="AA11509" s="6">
        <v>11.86</v>
      </c>
      <c r="AB11509" s="7">
        <v>21.146999999999998</v>
      </c>
      <c r="AC11509" s="2"/>
    </row>
    <row r="11510" spans="1:29" ht="78" x14ac:dyDescent="0.15">
      <c r="A11510" s="3">
        <f>DATE(2016,6,28)</f>
        <v>42549</v>
      </c>
      <c r="B11510" s="3">
        <f>DATE(2016,8,31)</f>
        <v>42613</v>
      </c>
      <c r="C11510" s="2" t="s">
        <v>95</v>
      </c>
      <c r="D11510" s="2" t="s">
        <v>33212</v>
      </c>
      <c r="E11510" s="2" t="s">
        <v>3484</v>
      </c>
      <c r="F11510" s="4">
        <v>6311</v>
      </c>
      <c r="G11510" s="2" t="s">
        <v>125</v>
      </c>
      <c r="H11510" s="2" t="s">
        <v>34</v>
      </c>
      <c r="I11510" s="2" t="s">
        <v>33213</v>
      </c>
      <c r="J11510" s="2" t="s">
        <v>124</v>
      </c>
      <c r="K11510" s="2" t="s">
        <v>125</v>
      </c>
      <c r="L11510" s="2" t="s">
        <v>34</v>
      </c>
      <c r="M11510" s="2"/>
      <c r="N11510" s="6">
        <v>17.25</v>
      </c>
      <c r="O11510" s="6">
        <v>17.420000000000002</v>
      </c>
      <c r="P11510" s="2" t="s">
        <v>33214</v>
      </c>
      <c r="Q11510" s="6">
        <v>8.57</v>
      </c>
      <c r="R11510" s="6">
        <v>24.74</v>
      </c>
      <c r="S11510" s="5">
        <v>117</v>
      </c>
      <c r="T11510" s="7">
        <v>7.5229999999999997</v>
      </c>
      <c r="U11510" s="5">
        <v>27</v>
      </c>
      <c r="V11510" s="9">
        <v>0.37680000000000002</v>
      </c>
      <c r="W11510" s="6">
        <v>22.47</v>
      </c>
      <c r="X11510" s="6">
        <v>23.97</v>
      </c>
      <c r="Y11510" s="5">
        <v>24.4</v>
      </c>
      <c r="Z11510" s="6">
        <v>24.58</v>
      </c>
      <c r="AA11510" s="6">
        <v>8.1199999999999992</v>
      </c>
      <c r="AB11510" s="7">
        <v>11.523</v>
      </c>
      <c r="AC11510" s="5">
        <v>145.69999999999999</v>
      </c>
    </row>
    <row r="11511" spans="1:29" ht="169" x14ac:dyDescent="0.15">
      <c r="A11511" s="3">
        <f>DATE(2016,6,29)</f>
        <v>42550</v>
      </c>
      <c r="B11511" s="3">
        <f>DATE(2016,9,2)</f>
        <v>42615</v>
      </c>
      <c r="C11511" s="2" t="s">
        <v>95</v>
      </c>
      <c r="D11511" s="2" t="s">
        <v>33215</v>
      </c>
      <c r="E11511" s="2" t="s">
        <v>33216</v>
      </c>
      <c r="F11511" s="4">
        <v>7011</v>
      </c>
      <c r="G11511" s="2" t="s">
        <v>269</v>
      </c>
      <c r="H11511" s="2" t="s">
        <v>34</v>
      </c>
      <c r="I11511" s="2" t="s">
        <v>27735</v>
      </c>
      <c r="J11511" s="2" t="s">
        <v>244</v>
      </c>
      <c r="K11511" s="2" t="s">
        <v>53</v>
      </c>
      <c r="L11511" s="2" t="s">
        <v>34</v>
      </c>
      <c r="M11511" s="12">
        <v>3031.6219999999998</v>
      </c>
      <c r="N11511" s="6">
        <v>15.15</v>
      </c>
      <c r="O11511" s="6">
        <v>15.15</v>
      </c>
      <c r="P11511" s="2" t="s">
        <v>33217</v>
      </c>
      <c r="Q11511" s="6">
        <v>100</v>
      </c>
      <c r="R11511" s="6">
        <v>30.25</v>
      </c>
      <c r="S11511" s="5">
        <v>157.9</v>
      </c>
      <c r="T11511" s="7">
        <v>352.62200000000001</v>
      </c>
      <c r="U11511" s="5">
        <v>4.4000000000000004</v>
      </c>
      <c r="V11511" s="9">
        <v>2.1151</v>
      </c>
      <c r="W11511" s="6">
        <v>24.59</v>
      </c>
      <c r="X11511" s="6">
        <v>24.07</v>
      </c>
      <c r="Y11511" s="6">
        <v>29.79</v>
      </c>
      <c r="Z11511" s="6">
        <v>29.96</v>
      </c>
      <c r="AA11511" s="6">
        <v>69.739999999999995</v>
      </c>
      <c r="AB11511" s="7">
        <v>9.7609999999999992</v>
      </c>
      <c r="AC11511" s="6">
        <v>587.89</v>
      </c>
    </row>
    <row r="11512" spans="1:29" ht="39" x14ac:dyDescent="0.15">
      <c r="A11512" s="3">
        <f>DATE(2016,6,29)</f>
        <v>42550</v>
      </c>
      <c r="B11512" s="2"/>
      <c r="C11512" s="2" t="s">
        <v>7330</v>
      </c>
      <c r="D11512" s="2" t="s">
        <v>33218</v>
      </c>
      <c r="E11512" s="2" t="s">
        <v>32388</v>
      </c>
      <c r="F11512" s="4">
        <v>6726</v>
      </c>
      <c r="G11512" s="2" t="s">
        <v>53</v>
      </c>
      <c r="H11512" s="2" t="s">
        <v>34</v>
      </c>
      <c r="I11512" s="2" t="s">
        <v>33219</v>
      </c>
      <c r="J11512" s="2" t="s">
        <v>33220</v>
      </c>
      <c r="K11512" s="2" t="s">
        <v>163</v>
      </c>
      <c r="L11512" s="2" t="s">
        <v>34</v>
      </c>
      <c r="M11512" s="2"/>
      <c r="N11512" s="2"/>
      <c r="O11512" s="2"/>
      <c r="P11512" s="2" t="s">
        <v>33221</v>
      </c>
      <c r="Q11512" s="2"/>
      <c r="R11512" s="2"/>
      <c r="S11512" s="5">
        <v>-1.1000000000000001</v>
      </c>
      <c r="T11512" s="2"/>
      <c r="U11512" s="5">
        <v>7.7</v>
      </c>
      <c r="V11512" s="9">
        <v>-0.2001</v>
      </c>
      <c r="W11512" s="6">
        <v>9.7799999999999994</v>
      </c>
      <c r="X11512" s="6">
        <v>9.7799999999999994</v>
      </c>
      <c r="Y11512" s="6">
        <v>9.7799999999999994</v>
      </c>
      <c r="Z11512" s="6">
        <v>9.7899999999999991</v>
      </c>
      <c r="AA11512" s="6">
        <v>25</v>
      </c>
      <c r="AB11512" s="2" t="s">
        <v>86</v>
      </c>
      <c r="AC11512" s="2"/>
    </row>
    <row r="11513" spans="1:29" ht="221" x14ac:dyDescent="0.15">
      <c r="A11513" s="3">
        <f>DATE(2016,6,29)</f>
        <v>42550</v>
      </c>
      <c r="B11513" s="3">
        <f>DATE(2017,6,23)</f>
        <v>42909</v>
      </c>
      <c r="C11513" s="2" t="s">
        <v>95</v>
      </c>
      <c r="D11513" s="2" t="s">
        <v>33222</v>
      </c>
      <c r="E11513" s="2" t="s">
        <v>159</v>
      </c>
      <c r="F11513" s="4">
        <v>6022</v>
      </c>
      <c r="G11513" s="2" t="s">
        <v>37</v>
      </c>
      <c r="H11513" s="2" t="s">
        <v>34</v>
      </c>
      <c r="I11513" s="2" t="s">
        <v>18800</v>
      </c>
      <c r="J11513" s="2" t="s">
        <v>16983</v>
      </c>
      <c r="K11513" s="2" t="s">
        <v>37</v>
      </c>
      <c r="L11513" s="2" t="s">
        <v>902</v>
      </c>
      <c r="M11513" s="12">
        <v>30766.569</v>
      </c>
      <c r="N11513" s="7">
        <v>75.683999999999997</v>
      </c>
      <c r="O11513" s="6">
        <v>75.05</v>
      </c>
      <c r="P11513" s="2" t="s">
        <v>33223</v>
      </c>
      <c r="Q11513" s="6">
        <v>100</v>
      </c>
      <c r="R11513" s="6">
        <v>72.78</v>
      </c>
      <c r="S11513" s="5">
        <v>214.8</v>
      </c>
      <c r="T11513" s="7">
        <v>337.72800000000001</v>
      </c>
      <c r="U11513" s="5">
        <v>24.9</v>
      </c>
      <c r="V11513" s="9">
        <v>2.6562000000000001</v>
      </c>
      <c r="W11513" s="6">
        <v>39.51</v>
      </c>
      <c r="X11513" s="6">
        <v>35.93</v>
      </c>
      <c r="Y11513" s="6">
        <v>44.29</v>
      </c>
      <c r="Z11513" s="6">
        <v>44.03</v>
      </c>
      <c r="AA11513" s="6">
        <v>79.459999999999994</v>
      </c>
      <c r="AB11513" s="7">
        <v>22.838999999999999</v>
      </c>
      <c r="AC11513" s="2"/>
    </row>
    <row r="11514" spans="1:29" ht="117" x14ac:dyDescent="0.15">
      <c r="A11514" s="3">
        <f>DATE(2016,6,30)</f>
        <v>42551</v>
      </c>
      <c r="B11514" s="2"/>
      <c r="C11514" s="2" t="s">
        <v>30</v>
      </c>
      <c r="D11514" s="2" t="s">
        <v>33224</v>
      </c>
      <c r="E11514" s="2" t="s">
        <v>33225</v>
      </c>
      <c r="F11514" s="4">
        <v>2066</v>
      </c>
      <c r="G11514" s="2" t="s">
        <v>577</v>
      </c>
      <c r="H11514" s="2" t="s">
        <v>34</v>
      </c>
      <c r="I11514" s="2" t="s">
        <v>33226</v>
      </c>
      <c r="J11514" s="2" t="s">
        <v>31372</v>
      </c>
      <c r="K11514" s="2" t="s">
        <v>577</v>
      </c>
      <c r="L11514" s="2" t="s">
        <v>34</v>
      </c>
      <c r="M11514" s="12">
        <v>69951.375</v>
      </c>
      <c r="N11514" s="6">
        <v>45.51</v>
      </c>
      <c r="O11514" s="6">
        <v>45.11</v>
      </c>
      <c r="P11514" s="2" t="s">
        <v>33227</v>
      </c>
      <c r="Q11514" s="2"/>
      <c r="R11514" s="6">
        <v>107</v>
      </c>
      <c r="S11514" s="5">
        <v>498</v>
      </c>
      <c r="T11514" s="12">
        <v>1634.308</v>
      </c>
      <c r="U11514" s="5">
        <v>3.9</v>
      </c>
      <c r="V11514" s="9">
        <v>2.2854000000000001</v>
      </c>
      <c r="W11514" s="6">
        <v>97.12</v>
      </c>
      <c r="X11514" s="6">
        <v>97.14</v>
      </c>
      <c r="Y11514" s="6">
        <v>113.49</v>
      </c>
      <c r="Z11514" s="6">
        <v>111.95</v>
      </c>
      <c r="AA11514" s="6">
        <v>213.37</v>
      </c>
      <c r="AB11514" s="7">
        <v>18.32</v>
      </c>
      <c r="AC11514" s="8">
        <v>1809</v>
      </c>
    </row>
    <row r="11515" spans="1:29" ht="104" x14ac:dyDescent="0.15">
      <c r="A11515" s="3">
        <f>DATE(2016,6,30)</f>
        <v>42551</v>
      </c>
      <c r="B11515" s="3">
        <f>DATE(2016,8,4)</f>
        <v>42586</v>
      </c>
      <c r="C11515" s="2" t="s">
        <v>95</v>
      </c>
      <c r="D11515" s="2" t="s">
        <v>30119</v>
      </c>
      <c r="E11515" s="2" t="s">
        <v>30120</v>
      </c>
      <c r="F11515" s="4">
        <v>7389</v>
      </c>
      <c r="G11515" s="2" t="s">
        <v>223</v>
      </c>
      <c r="H11515" s="2" t="s">
        <v>34</v>
      </c>
      <c r="I11515" s="2" t="s">
        <v>22715</v>
      </c>
      <c r="J11515" s="2" t="s">
        <v>8589</v>
      </c>
      <c r="K11515" s="2" t="s">
        <v>551</v>
      </c>
      <c r="L11515" s="2" t="s">
        <v>34</v>
      </c>
      <c r="M11515" s="2"/>
      <c r="N11515" s="2"/>
      <c r="O11515" s="2"/>
      <c r="P11515" s="2" t="s">
        <v>33228</v>
      </c>
      <c r="Q11515" s="6">
        <v>100</v>
      </c>
      <c r="R11515" s="6">
        <v>5.15</v>
      </c>
      <c r="S11515" s="5">
        <v>10.4</v>
      </c>
      <c r="T11515" s="7">
        <v>-32.658999999999999</v>
      </c>
      <c r="U11515" s="5">
        <v>2.4</v>
      </c>
      <c r="V11515" s="9">
        <v>-0.82330000000000003</v>
      </c>
      <c r="W11515" s="6">
        <v>3.73</v>
      </c>
      <c r="X11515" s="6">
        <v>3.75</v>
      </c>
      <c r="Y11515" s="6">
        <v>5.1100000000000003</v>
      </c>
      <c r="Z11515" s="6">
        <v>5.1100000000000003</v>
      </c>
      <c r="AA11515" s="6">
        <v>50.09</v>
      </c>
      <c r="AB11515" s="2" t="s">
        <v>86</v>
      </c>
      <c r="AC11515" s="2"/>
    </row>
    <row r="11516" spans="1:29" ht="65" x14ac:dyDescent="0.15">
      <c r="A11516" s="3">
        <f>DATE(2016,6,30)</f>
        <v>42551</v>
      </c>
      <c r="B11516" s="3">
        <f>DATE(2016,6,30)</f>
        <v>42551</v>
      </c>
      <c r="C11516" s="2" t="s">
        <v>95</v>
      </c>
      <c r="D11516" s="2" t="s">
        <v>33229</v>
      </c>
      <c r="E11516" s="2" t="s">
        <v>33230</v>
      </c>
      <c r="F11516" s="2" t="s">
        <v>33231</v>
      </c>
      <c r="G11516" s="2" t="s">
        <v>426</v>
      </c>
      <c r="H11516" s="2" t="s">
        <v>34</v>
      </c>
      <c r="I11516" s="2" t="s">
        <v>33232</v>
      </c>
      <c r="J11516" s="2" t="s">
        <v>33230</v>
      </c>
      <c r="K11516" s="2" t="s">
        <v>426</v>
      </c>
      <c r="L11516" s="2" t="s">
        <v>34</v>
      </c>
      <c r="M11516" s="2"/>
      <c r="N11516" s="2"/>
      <c r="O11516" s="2"/>
      <c r="P11516" s="2" t="s">
        <v>33233</v>
      </c>
      <c r="Q11516" s="6">
        <v>100</v>
      </c>
      <c r="R11516" s="2"/>
      <c r="S11516" s="5">
        <v>-2.2000000000000002</v>
      </c>
      <c r="T11516" s="7">
        <v>1.5029999999999999</v>
      </c>
      <c r="U11516" s="5">
        <v>0</v>
      </c>
      <c r="V11516" s="9">
        <v>-0.19489999999999999</v>
      </c>
      <c r="W11516" s="6">
        <v>2.89</v>
      </c>
      <c r="X11516" s="6">
        <v>2.77</v>
      </c>
      <c r="Y11516" s="5">
        <v>2.8</v>
      </c>
      <c r="Z11516" s="5">
        <v>2.8</v>
      </c>
      <c r="AA11516" s="6">
        <v>11.1</v>
      </c>
      <c r="AB11516" s="2" t="s">
        <v>86</v>
      </c>
      <c r="AC11516" s="2"/>
    </row>
    <row r="11517" spans="1:29" ht="221" x14ac:dyDescent="0.15">
      <c r="A11517" s="3">
        <f>DATE(2016,6,30)</f>
        <v>42551</v>
      </c>
      <c r="B11517" s="3">
        <f>DATE(2016,12,8)</f>
        <v>42712</v>
      </c>
      <c r="C11517" s="2" t="s">
        <v>95</v>
      </c>
      <c r="D11517" s="2" t="s">
        <v>32520</v>
      </c>
      <c r="E11517" s="2" t="s">
        <v>21698</v>
      </c>
      <c r="F11517" s="4">
        <v>4841</v>
      </c>
      <c r="G11517" s="2" t="s">
        <v>45</v>
      </c>
      <c r="H11517" s="2" t="s">
        <v>34</v>
      </c>
      <c r="I11517" s="2" t="s">
        <v>16998</v>
      </c>
      <c r="J11517" s="2" t="s">
        <v>398</v>
      </c>
      <c r="K11517" s="2" t="s">
        <v>42</v>
      </c>
      <c r="L11517" s="2" t="s">
        <v>34</v>
      </c>
      <c r="M11517" s="12">
        <v>3442.1860000000001</v>
      </c>
      <c r="N11517" s="6">
        <v>20.23</v>
      </c>
      <c r="O11517" s="6">
        <v>19.850000000000001</v>
      </c>
      <c r="P11517" s="2" t="s">
        <v>33234</v>
      </c>
      <c r="Q11517" s="6">
        <v>100</v>
      </c>
      <c r="R11517" s="6">
        <v>32.21</v>
      </c>
      <c r="S11517" s="5">
        <v>209.5</v>
      </c>
      <c r="T11517" s="8">
        <v>1155.8</v>
      </c>
      <c r="U11517" s="5">
        <v>2.4</v>
      </c>
      <c r="V11517" s="9">
        <v>2.0337999999999998</v>
      </c>
      <c r="W11517" s="6">
        <v>36.58</v>
      </c>
      <c r="X11517" s="6">
        <v>39.07</v>
      </c>
      <c r="Y11517" s="6">
        <v>38.979999999999997</v>
      </c>
      <c r="Z11517" s="5">
        <v>39.299999999999997</v>
      </c>
      <c r="AA11517" s="6">
        <v>111.62</v>
      </c>
      <c r="AB11517" s="7">
        <v>11.326000000000001</v>
      </c>
      <c r="AC11517" s="6">
        <v>104.34</v>
      </c>
    </row>
    <row r="11518" spans="1:29" ht="91" x14ac:dyDescent="0.15">
      <c r="A11518" s="3">
        <f>DATE(2016,7,1)</f>
        <v>42552</v>
      </c>
      <c r="B11518" s="2"/>
      <c r="C11518" s="2" t="s">
        <v>7472</v>
      </c>
      <c r="D11518" s="2" t="s">
        <v>28910</v>
      </c>
      <c r="E11518" s="2" t="s">
        <v>1262</v>
      </c>
      <c r="F11518" s="4">
        <v>4911</v>
      </c>
      <c r="G11518" s="2" t="s">
        <v>439</v>
      </c>
      <c r="H11518" s="2" t="s">
        <v>34</v>
      </c>
      <c r="I11518" s="2" t="s">
        <v>33235</v>
      </c>
      <c r="J11518" s="2" t="s">
        <v>27114</v>
      </c>
      <c r="K11518" s="2" t="s">
        <v>439</v>
      </c>
      <c r="L11518" s="2" t="s">
        <v>34</v>
      </c>
      <c r="M11518" s="2"/>
      <c r="N11518" s="2"/>
      <c r="O11518" s="2"/>
      <c r="P11518" s="2" t="s">
        <v>33236</v>
      </c>
      <c r="Q11518" s="2"/>
      <c r="R11518" s="2"/>
      <c r="S11518" s="5">
        <v>171.4</v>
      </c>
      <c r="T11518" s="7">
        <v>524.00599999999997</v>
      </c>
      <c r="U11518" s="5">
        <v>18.2</v>
      </c>
      <c r="V11518" s="9">
        <v>1.5733999999999999</v>
      </c>
      <c r="W11518" s="6">
        <v>27.63</v>
      </c>
      <c r="X11518" s="5">
        <v>28.2</v>
      </c>
      <c r="Y11518" s="6">
        <v>28.19</v>
      </c>
      <c r="Z11518" s="6">
        <v>32.22</v>
      </c>
      <c r="AA11518" s="6">
        <v>107.89</v>
      </c>
      <c r="AB11518" s="2" t="s">
        <v>47</v>
      </c>
      <c r="AC11518" s="2"/>
    </row>
    <row r="11519" spans="1:29" ht="143" x14ac:dyDescent="0.15">
      <c r="A11519" s="3">
        <f>DATE(2016,7,6)</f>
        <v>42557</v>
      </c>
      <c r="B11519" s="3">
        <f>DATE(2016,8,31)</f>
        <v>42613</v>
      </c>
      <c r="C11519" s="2" t="s">
        <v>95</v>
      </c>
      <c r="D11519" s="2" t="s">
        <v>10110</v>
      </c>
      <c r="E11519" s="2" t="s">
        <v>32457</v>
      </c>
      <c r="F11519" s="4">
        <v>3634</v>
      </c>
      <c r="G11519" s="2" t="s">
        <v>137</v>
      </c>
      <c r="H11519" s="2" t="s">
        <v>34</v>
      </c>
      <c r="I11519" s="2" t="s">
        <v>33237</v>
      </c>
      <c r="J11519" s="2" t="s">
        <v>33238</v>
      </c>
      <c r="K11519" s="2" t="s">
        <v>300</v>
      </c>
      <c r="L11519" s="2" t="s">
        <v>34</v>
      </c>
      <c r="M11519" s="2"/>
      <c r="N11519" s="2"/>
      <c r="O11519" s="2"/>
      <c r="P11519" s="2" t="s">
        <v>33239</v>
      </c>
      <c r="Q11519" s="6">
        <v>100</v>
      </c>
      <c r="R11519" s="6">
        <v>86</v>
      </c>
      <c r="S11519" s="5">
        <v>10.5</v>
      </c>
      <c r="T11519" s="5">
        <v>259.2</v>
      </c>
      <c r="U11519" s="5">
        <v>2.2000000000000002</v>
      </c>
      <c r="V11519" s="9">
        <v>0.64349999999999996</v>
      </c>
      <c r="W11519" s="6">
        <v>55.17</v>
      </c>
      <c r="X11519" s="6">
        <v>62.49</v>
      </c>
      <c r="Y11519" s="6">
        <v>86.58</v>
      </c>
      <c r="Z11519" s="6">
        <v>86.75</v>
      </c>
      <c r="AA11519" s="6">
        <v>16.010000000000002</v>
      </c>
      <c r="AB11519" s="7">
        <v>19.713000000000001</v>
      </c>
      <c r="AC11519" s="2"/>
    </row>
    <row r="11520" spans="1:29" ht="156" x14ac:dyDescent="0.15">
      <c r="A11520" s="3">
        <f>DATE(2016,7,7)</f>
        <v>42558</v>
      </c>
      <c r="B11520" s="3">
        <f>DATE(2017,4,12)</f>
        <v>42837</v>
      </c>
      <c r="C11520" s="2" t="s">
        <v>95</v>
      </c>
      <c r="D11520" s="2" t="s">
        <v>33240</v>
      </c>
      <c r="E11520" s="2" t="s">
        <v>33241</v>
      </c>
      <c r="F11520" s="4">
        <v>2023</v>
      </c>
      <c r="G11520" s="2" t="s">
        <v>577</v>
      </c>
      <c r="H11520" s="2" t="s">
        <v>34</v>
      </c>
      <c r="I11520" s="2" t="s">
        <v>28360</v>
      </c>
      <c r="J11520" s="2" t="s">
        <v>28361</v>
      </c>
      <c r="K11520" s="2" t="s">
        <v>577</v>
      </c>
      <c r="L11520" s="2" t="s">
        <v>133</v>
      </c>
      <c r="M11520" s="10">
        <v>46603.75</v>
      </c>
      <c r="N11520" s="7">
        <v>71.364999999999995</v>
      </c>
      <c r="O11520" s="7">
        <v>70.802000000000007</v>
      </c>
      <c r="P11520" s="2" t="s">
        <v>33242</v>
      </c>
      <c r="Q11520" s="6">
        <v>100</v>
      </c>
      <c r="R11520" s="6">
        <v>56.25</v>
      </c>
      <c r="S11520" s="5">
        <v>192</v>
      </c>
      <c r="T11520" s="6">
        <v>502.87</v>
      </c>
      <c r="U11520" s="5">
        <v>7.6</v>
      </c>
      <c r="V11520" s="9">
        <v>1.0636000000000001</v>
      </c>
      <c r="W11520" s="6">
        <v>46.94</v>
      </c>
      <c r="X11520" s="6">
        <v>47.43</v>
      </c>
      <c r="Y11520" s="6">
        <v>56.23</v>
      </c>
      <c r="Z11520" s="6">
        <v>56.64</v>
      </c>
      <c r="AA11520" s="6">
        <v>177.06</v>
      </c>
      <c r="AB11520" s="7">
        <v>33.460999999999999</v>
      </c>
      <c r="AC11520" s="10">
        <v>3501.36</v>
      </c>
    </row>
    <row r="11521" spans="1:29" ht="52" x14ac:dyDescent="0.15">
      <c r="A11521" s="3">
        <f>DATE(2016,7,8)</f>
        <v>42559</v>
      </c>
      <c r="B11521" s="2"/>
      <c r="C11521" s="2" t="s">
        <v>7472</v>
      </c>
      <c r="D11521" s="2" t="s">
        <v>33243</v>
      </c>
      <c r="E11521" s="2" t="s">
        <v>33244</v>
      </c>
      <c r="F11521" s="4">
        <v>7372</v>
      </c>
      <c r="G11521" s="2" t="s">
        <v>551</v>
      </c>
      <c r="H11521" s="2" t="s">
        <v>34</v>
      </c>
      <c r="I11521" s="2" t="s">
        <v>143</v>
      </c>
      <c r="J11521" s="2" t="s">
        <v>144</v>
      </c>
      <c r="K11521" s="2" t="s">
        <v>53</v>
      </c>
      <c r="L11521" s="2" t="s">
        <v>139</v>
      </c>
      <c r="M11521" s="2"/>
      <c r="N11521" s="2"/>
      <c r="O11521" s="2"/>
      <c r="P11521" s="2" t="s">
        <v>33245</v>
      </c>
      <c r="Q11521" s="2"/>
      <c r="R11521" s="2"/>
      <c r="S11521" s="5">
        <v>-60.3</v>
      </c>
      <c r="T11521" s="7">
        <v>-52.189</v>
      </c>
      <c r="U11521" s="5">
        <v>6.9</v>
      </c>
      <c r="V11521" s="9">
        <v>-1.8567</v>
      </c>
      <c r="W11521" s="6">
        <v>42.69</v>
      </c>
      <c r="X11521" s="6">
        <v>43.54</v>
      </c>
      <c r="Y11521" s="6">
        <v>44.76</v>
      </c>
      <c r="Z11521" s="6">
        <v>48.14</v>
      </c>
      <c r="AA11521" s="6">
        <v>32.26</v>
      </c>
      <c r="AB11521" s="2" t="s">
        <v>86</v>
      </c>
      <c r="AC11521" s="2"/>
    </row>
    <row r="11522" spans="1:29" ht="104" x14ac:dyDescent="0.15">
      <c r="A11522" s="3">
        <f>DATE(2016,7,8)</f>
        <v>42559</v>
      </c>
      <c r="B11522" s="3">
        <f>DATE(2016,9,27)</f>
        <v>42640</v>
      </c>
      <c r="C11522" s="2" t="s">
        <v>95</v>
      </c>
      <c r="D11522" s="2" t="s">
        <v>18132</v>
      </c>
      <c r="E11522" s="2" t="s">
        <v>18133</v>
      </c>
      <c r="F11522" s="4">
        <v>3661</v>
      </c>
      <c r="G11522" s="2" t="s">
        <v>921</v>
      </c>
      <c r="H11522" s="2" t="s">
        <v>34</v>
      </c>
      <c r="I11522" s="2" t="s">
        <v>32512</v>
      </c>
      <c r="J11522" s="2" t="s">
        <v>244</v>
      </c>
      <c r="K11522" s="2" t="s">
        <v>53</v>
      </c>
      <c r="L11522" s="2" t="s">
        <v>34</v>
      </c>
      <c r="M11522" s="2"/>
      <c r="N11522" s="2"/>
      <c r="O11522" s="2"/>
      <c r="P11522" s="2" t="s">
        <v>33246</v>
      </c>
      <c r="Q11522" s="6">
        <v>100</v>
      </c>
      <c r="R11522" s="6">
        <v>12.5</v>
      </c>
      <c r="S11522" s="5">
        <v>22.5</v>
      </c>
      <c r="T11522" s="6">
        <v>137.91999999999999</v>
      </c>
      <c r="U11522" s="5">
        <v>8</v>
      </c>
      <c r="V11522" s="9">
        <v>0.1653</v>
      </c>
      <c r="W11522" s="6">
        <v>11.17</v>
      </c>
      <c r="X11522" s="6">
        <v>10.87</v>
      </c>
      <c r="Y11522" s="6">
        <v>12.25</v>
      </c>
      <c r="Z11522" s="6">
        <v>12.28</v>
      </c>
      <c r="AA11522" s="6">
        <v>135.77000000000001</v>
      </c>
      <c r="AB11522" s="7">
        <v>15.917</v>
      </c>
      <c r="AC11522" s="2"/>
    </row>
    <row r="11523" spans="1:29" ht="143" x14ac:dyDescent="0.15">
      <c r="A11523" s="3">
        <f>DATE(2016,7,11)</f>
        <v>42562</v>
      </c>
      <c r="B11523" s="3">
        <f>DATE(2016,8,29)</f>
        <v>42611</v>
      </c>
      <c r="C11523" s="2" t="s">
        <v>95</v>
      </c>
      <c r="D11523" s="2" t="s">
        <v>33247</v>
      </c>
      <c r="E11523" s="2" t="s">
        <v>839</v>
      </c>
      <c r="F11523" s="4">
        <v>2834</v>
      </c>
      <c r="G11523" s="2" t="s">
        <v>130</v>
      </c>
      <c r="H11523" s="2" t="s">
        <v>34</v>
      </c>
      <c r="I11523" s="2" t="s">
        <v>33248</v>
      </c>
      <c r="J11523" s="2" t="s">
        <v>13693</v>
      </c>
      <c r="K11523" s="2" t="s">
        <v>130</v>
      </c>
      <c r="L11523" s="2" t="s">
        <v>99</v>
      </c>
      <c r="M11523" s="12">
        <v>1290.598</v>
      </c>
      <c r="N11523" s="7">
        <v>20.359000000000002</v>
      </c>
      <c r="O11523" s="7">
        <v>18.846</v>
      </c>
      <c r="P11523" s="2" t="s">
        <v>33249</v>
      </c>
      <c r="Q11523" s="6">
        <v>100</v>
      </c>
      <c r="R11523" s="6">
        <v>21.75</v>
      </c>
      <c r="S11523" s="2"/>
      <c r="T11523" s="2"/>
      <c r="U11523" s="2"/>
      <c r="V11523" s="2"/>
      <c r="W11523" s="6">
        <v>14.64</v>
      </c>
      <c r="X11523" s="6">
        <v>13.27</v>
      </c>
      <c r="Y11523" s="6">
        <v>14.72</v>
      </c>
      <c r="Z11523" s="6">
        <v>15.25</v>
      </c>
      <c r="AA11523" s="6">
        <v>32.840000000000003</v>
      </c>
      <c r="AB11523" s="2" t="s">
        <v>47</v>
      </c>
      <c r="AC11523" s="6">
        <v>178.69</v>
      </c>
    </row>
    <row r="11524" spans="1:29" ht="65" x14ac:dyDescent="0.15">
      <c r="A11524" s="3">
        <f>DATE(2016,7,12)</f>
        <v>42563</v>
      </c>
      <c r="B11524" s="2"/>
      <c r="C11524" s="2" t="s">
        <v>87</v>
      </c>
      <c r="D11524" s="2" t="s">
        <v>24395</v>
      </c>
      <c r="E11524" s="2" t="s">
        <v>8370</v>
      </c>
      <c r="F11524" s="4">
        <v>2752</v>
      </c>
      <c r="G11524" s="2" t="s">
        <v>186</v>
      </c>
      <c r="H11524" s="2" t="s">
        <v>34</v>
      </c>
      <c r="I11524" s="2" t="s">
        <v>11637</v>
      </c>
      <c r="J11524" s="2" t="s">
        <v>11638</v>
      </c>
      <c r="K11524" s="2" t="s">
        <v>50</v>
      </c>
      <c r="L11524" s="2" t="s">
        <v>34</v>
      </c>
      <c r="M11524" s="12">
        <v>2037.462</v>
      </c>
      <c r="N11524" s="6">
        <v>9.67</v>
      </c>
      <c r="O11524" s="6">
        <v>9.61</v>
      </c>
      <c r="P11524" s="2" t="s">
        <v>33250</v>
      </c>
      <c r="Q11524" s="2"/>
      <c r="R11524" s="2"/>
      <c r="S11524" s="5">
        <v>110.6</v>
      </c>
      <c r="T11524" s="8">
        <v>1152.7</v>
      </c>
      <c r="U11524" s="5">
        <v>8.6999999999999993</v>
      </c>
      <c r="V11524" s="9">
        <v>1.5790999999999999</v>
      </c>
      <c r="W11524" s="6">
        <v>16.54</v>
      </c>
      <c r="X11524" s="6">
        <v>18.45</v>
      </c>
      <c r="Y11524" s="6">
        <v>18.809999999999999</v>
      </c>
      <c r="Z11524" s="6">
        <v>18.62</v>
      </c>
      <c r="AA11524" s="2"/>
      <c r="AB11524" s="2" t="s">
        <v>47</v>
      </c>
      <c r="AC11524" s="8">
        <v>1357</v>
      </c>
    </row>
    <row r="11525" spans="1:29" ht="65" x14ac:dyDescent="0.15">
      <c r="A11525" s="3">
        <f>DATE(2016,7,13)</f>
        <v>42564</v>
      </c>
      <c r="B11525" s="3">
        <f>DATE(2016,9,16)</f>
        <v>42629</v>
      </c>
      <c r="C11525" s="2" t="s">
        <v>95</v>
      </c>
      <c r="D11525" s="2" t="s">
        <v>33251</v>
      </c>
      <c r="E11525" s="2" t="s">
        <v>8995</v>
      </c>
      <c r="F11525" s="4">
        <v>7372</v>
      </c>
      <c r="G11525" s="2" t="s">
        <v>551</v>
      </c>
      <c r="H11525" s="2" t="s">
        <v>34</v>
      </c>
      <c r="I11525" s="2" t="s">
        <v>27462</v>
      </c>
      <c r="J11525" s="2" t="s">
        <v>244</v>
      </c>
      <c r="K11525" s="2" t="s">
        <v>53</v>
      </c>
      <c r="L11525" s="2" t="s">
        <v>34</v>
      </c>
      <c r="M11525" s="2"/>
      <c r="N11525" s="2"/>
      <c r="O11525" s="2"/>
      <c r="P11525" s="2" t="s">
        <v>33252</v>
      </c>
      <c r="Q11525" s="6">
        <v>100</v>
      </c>
      <c r="R11525" s="6">
        <v>19.25</v>
      </c>
      <c r="S11525" s="5">
        <v>-23.8</v>
      </c>
      <c r="T11525" s="7">
        <v>-19.120999999999999</v>
      </c>
      <c r="U11525" s="5">
        <v>1.6</v>
      </c>
      <c r="V11525" s="9">
        <v>-0.95069999999999999</v>
      </c>
      <c r="W11525" s="6">
        <v>13.96</v>
      </c>
      <c r="X11525" s="5">
        <v>14.5</v>
      </c>
      <c r="Y11525" s="6">
        <v>19.010000000000002</v>
      </c>
      <c r="Z11525" s="4">
        <v>19</v>
      </c>
      <c r="AA11525" s="6">
        <v>25.33</v>
      </c>
      <c r="AB11525" s="2" t="s">
        <v>86</v>
      </c>
      <c r="AC11525" s="2"/>
    </row>
    <row r="11526" spans="1:29" ht="169" x14ac:dyDescent="0.15">
      <c r="A11526" s="3">
        <f>DATE(2016,7,13)</f>
        <v>42564</v>
      </c>
      <c r="B11526" s="3">
        <f>DATE(2016,12,5)</f>
        <v>42709</v>
      </c>
      <c r="C11526" s="2" t="s">
        <v>95</v>
      </c>
      <c r="D11526" s="2" t="s">
        <v>33253</v>
      </c>
      <c r="E11526" s="2" t="s">
        <v>33254</v>
      </c>
      <c r="F11526" s="4">
        <v>6799</v>
      </c>
      <c r="G11526" s="2" t="s">
        <v>53</v>
      </c>
      <c r="H11526" s="2" t="s">
        <v>34</v>
      </c>
      <c r="I11526" s="2" t="s">
        <v>27543</v>
      </c>
      <c r="J11526" s="2" t="s">
        <v>22484</v>
      </c>
      <c r="K11526" s="2" t="s">
        <v>33</v>
      </c>
      <c r="L11526" s="2" t="s">
        <v>34</v>
      </c>
      <c r="M11526" s="6">
        <v>477.06</v>
      </c>
      <c r="N11526" s="6">
        <v>18.329999999999998</v>
      </c>
      <c r="O11526" s="6">
        <v>18.48</v>
      </c>
      <c r="P11526" s="2" t="s">
        <v>33255</v>
      </c>
      <c r="Q11526" s="6">
        <v>100</v>
      </c>
      <c r="R11526" s="6">
        <v>22.47</v>
      </c>
      <c r="S11526" s="5">
        <v>6.9</v>
      </c>
      <c r="T11526" s="7">
        <v>11.175000000000001</v>
      </c>
      <c r="U11526" s="5">
        <v>18</v>
      </c>
      <c r="V11526" s="9">
        <v>1.1178999999999999</v>
      </c>
      <c r="W11526" s="6">
        <v>16.88</v>
      </c>
      <c r="X11526" s="7">
        <v>16.954999999999998</v>
      </c>
      <c r="Y11526" s="6">
        <v>21.38</v>
      </c>
      <c r="Z11526" s="6">
        <v>21.55</v>
      </c>
      <c r="AA11526" s="6">
        <v>6.41</v>
      </c>
      <c r="AB11526" s="7">
        <v>24.309000000000001</v>
      </c>
      <c r="AC11526" s="2"/>
    </row>
    <row r="11527" spans="1:29" ht="78" x14ac:dyDescent="0.15">
      <c r="A11527" s="3">
        <f>DATE(2016,7,15)</f>
        <v>42566</v>
      </c>
      <c r="B11527" s="3">
        <f>DATE(2016,7,15)</f>
        <v>42566</v>
      </c>
      <c r="C11527" s="2" t="s">
        <v>95</v>
      </c>
      <c r="D11527" s="2" t="s">
        <v>33256</v>
      </c>
      <c r="E11527" s="2" t="s">
        <v>5910</v>
      </c>
      <c r="F11527" s="4">
        <v>5621</v>
      </c>
      <c r="G11527" s="2" t="s">
        <v>756</v>
      </c>
      <c r="H11527" s="2" t="s">
        <v>34</v>
      </c>
      <c r="I11527" s="2" t="s">
        <v>33257</v>
      </c>
      <c r="J11527" s="2" t="s">
        <v>1620</v>
      </c>
      <c r="K11527" s="2" t="s">
        <v>53</v>
      </c>
      <c r="L11527" s="2" t="s">
        <v>34</v>
      </c>
      <c r="M11527" s="2"/>
      <c r="N11527" s="2"/>
      <c r="O11527" s="2"/>
      <c r="P11527" s="2" t="s">
        <v>33258</v>
      </c>
      <c r="Q11527" s="6">
        <v>100</v>
      </c>
      <c r="R11527" s="2"/>
      <c r="S11527" s="5">
        <v>0.5</v>
      </c>
      <c r="T11527" s="7">
        <v>250.827</v>
      </c>
      <c r="U11527" s="5">
        <v>4.5</v>
      </c>
      <c r="V11527" s="9">
        <v>1.8800000000000001E-2</v>
      </c>
      <c r="W11527" s="5">
        <v>15.2</v>
      </c>
      <c r="X11527" s="5">
        <v>15.4</v>
      </c>
      <c r="Y11527" s="6">
        <v>15.37</v>
      </c>
      <c r="Z11527" s="6">
        <v>16.53</v>
      </c>
      <c r="AA11527" s="6">
        <v>153.24</v>
      </c>
      <c r="AB11527" s="2" t="s">
        <v>47</v>
      </c>
      <c r="AC11527" s="2"/>
    </row>
    <row r="11528" spans="1:29" ht="65" x14ac:dyDescent="0.15">
      <c r="A11528" s="3">
        <f>DATE(2016,7,19)</f>
        <v>42570</v>
      </c>
      <c r="B11528" s="3">
        <f>DATE(2016,10,3)</f>
        <v>42646</v>
      </c>
      <c r="C11528" s="2" t="s">
        <v>95</v>
      </c>
      <c r="D11528" s="2" t="s">
        <v>33259</v>
      </c>
      <c r="E11528" s="2" t="s">
        <v>33260</v>
      </c>
      <c r="F11528" s="4">
        <v>2096</v>
      </c>
      <c r="G11528" s="2" t="s">
        <v>577</v>
      </c>
      <c r="H11528" s="2" t="s">
        <v>34</v>
      </c>
      <c r="I11528" s="2" t="s">
        <v>33261</v>
      </c>
      <c r="J11528" s="2" t="s">
        <v>33262</v>
      </c>
      <c r="K11528" s="2" t="s">
        <v>577</v>
      </c>
      <c r="L11528" s="2" t="s">
        <v>34</v>
      </c>
      <c r="M11528" s="2"/>
      <c r="N11528" s="2"/>
      <c r="O11528" s="2"/>
      <c r="P11528" s="2" t="s">
        <v>33263</v>
      </c>
      <c r="Q11528" s="6">
        <v>100</v>
      </c>
      <c r="R11528" s="6">
        <v>12</v>
      </c>
      <c r="S11528" s="5">
        <v>3.2</v>
      </c>
      <c r="T11528" s="7">
        <v>8.7520000000000007</v>
      </c>
      <c r="U11528" s="5">
        <v>2.1</v>
      </c>
      <c r="V11528" s="9">
        <v>0.28170000000000001</v>
      </c>
      <c r="W11528" s="6">
        <v>7.39</v>
      </c>
      <c r="X11528" s="5">
        <v>7.5</v>
      </c>
      <c r="Y11528" s="6">
        <v>11.88</v>
      </c>
      <c r="Z11528" s="6">
        <v>11.89</v>
      </c>
      <c r="AA11528" s="6">
        <v>11.29</v>
      </c>
      <c r="AB11528" s="7">
        <v>28.692</v>
      </c>
      <c r="AC11528" s="2"/>
    </row>
    <row r="11529" spans="1:29" ht="65" x14ac:dyDescent="0.15">
      <c r="A11529" s="3">
        <f>DATE(2016,7,19)</f>
        <v>42570</v>
      </c>
      <c r="B11529" s="2"/>
      <c r="C11529" s="2" t="s">
        <v>87</v>
      </c>
      <c r="D11529" s="2" t="s">
        <v>33264</v>
      </c>
      <c r="E11529" s="2" t="s">
        <v>386</v>
      </c>
      <c r="F11529" s="4">
        <v>6726</v>
      </c>
      <c r="G11529" s="2" t="s">
        <v>53</v>
      </c>
      <c r="H11529" s="2" t="s">
        <v>34</v>
      </c>
      <c r="I11529" s="2" t="s">
        <v>33265</v>
      </c>
      <c r="J11529" s="2" t="s">
        <v>31277</v>
      </c>
      <c r="K11529" s="2" t="s">
        <v>53</v>
      </c>
      <c r="L11529" s="2" t="s">
        <v>34</v>
      </c>
      <c r="M11529" s="2"/>
      <c r="N11529" s="2"/>
      <c r="O11529" s="2"/>
      <c r="P11529" s="2" t="s">
        <v>33266</v>
      </c>
      <c r="Q11529" s="2"/>
      <c r="R11529" s="2"/>
      <c r="S11529" s="2"/>
      <c r="T11529" s="2"/>
      <c r="U11529" s="2"/>
      <c r="V11529" s="2"/>
      <c r="W11529" s="5">
        <v>7.9</v>
      </c>
      <c r="X11529" s="6">
        <v>8.16</v>
      </c>
      <c r="Y11529" s="6">
        <v>8.1199999999999992</v>
      </c>
      <c r="Z11529" s="6">
        <v>7.95</v>
      </c>
      <c r="AA11529" s="2"/>
      <c r="AB11529" s="2" t="s">
        <v>47</v>
      </c>
      <c r="AC11529" s="2"/>
    </row>
    <row r="11530" spans="1:29" ht="65" x14ac:dyDescent="0.15">
      <c r="A11530" s="3">
        <f>DATE(2016,7,20)</f>
        <v>42571</v>
      </c>
      <c r="B11530" s="3">
        <f>DATE(2017,1,9)</f>
        <v>42744</v>
      </c>
      <c r="C11530" s="2" t="s">
        <v>95</v>
      </c>
      <c r="D11530" s="2" t="s">
        <v>33267</v>
      </c>
      <c r="E11530" s="2" t="s">
        <v>672</v>
      </c>
      <c r="F11530" s="4">
        <v>6021</v>
      </c>
      <c r="G11530" s="2" t="s">
        <v>37</v>
      </c>
      <c r="H11530" s="2" t="s">
        <v>34</v>
      </c>
      <c r="I11530" s="2" t="s">
        <v>33268</v>
      </c>
      <c r="J11530" s="2" t="s">
        <v>36</v>
      </c>
      <c r="K11530" s="2" t="s">
        <v>37</v>
      </c>
      <c r="L11530" s="2" t="s">
        <v>34</v>
      </c>
      <c r="M11530" s="2"/>
      <c r="N11530" s="2"/>
      <c r="O11530" s="2"/>
      <c r="P11530" s="2" t="s">
        <v>33269</v>
      </c>
      <c r="Q11530" s="6">
        <v>100</v>
      </c>
      <c r="R11530" s="6">
        <v>16.5</v>
      </c>
      <c r="S11530" s="5">
        <v>1.5</v>
      </c>
      <c r="T11530" s="2"/>
      <c r="U11530" s="5">
        <v>7.8</v>
      </c>
      <c r="V11530" s="9">
        <v>0.75949999999999995</v>
      </c>
      <c r="W11530" s="6">
        <v>9.18</v>
      </c>
      <c r="X11530" s="6">
        <v>9.18</v>
      </c>
      <c r="Y11530" s="6">
        <v>16.079999999999998</v>
      </c>
      <c r="Z11530" s="6">
        <v>16.09</v>
      </c>
      <c r="AA11530" s="6">
        <v>1.82</v>
      </c>
      <c r="AB11530" s="7">
        <v>16.021999999999998</v>
      </c>
      <c r="AC11530" s="2"/>
    </row>
    <row r="11531" spans="1:29" ht="130" x14ac:dyDescent="0.15">
      <c r="A11531" s="3">
        <f>DATE(2016,7,20)</f>
        <v>42571</v>
      </c>
      <c r="B11531" s="3">
        <f>DATE(2016,9,1)</f>
        <v>42614</v>
      </c>
      <c r="C11531" s="2" t="s">
        <v>95</v>
      </c>
      <c r="D11531" s="2" t="s">
        <v>32749</v>
      </c>
      <c r="E11531" s="2" t="s">
        <v>839</v>
      </c>
      <c r="F11531" s="4">
        <v>2834</v>
      </c>
      <c r="G11531" s="2" t="s">
        <v>130</v>
      </c>
      <c r="H11531" s="2" t="s">
        <v>34</v>
      </c>
      <c r="I11531" s="2" t="s">
        <v>33270</v>
      </c>
      <c r="J11531" s="2" t="s">
        <v>7462</v>
      </c>
      <c r="K11531" s="2" t="s">
        <v>130</v>
      </c>
      <c r="L11531" s="2" t="s">
        <v>215</v>
      </c>
      <c r="M11531" s="12">
        <v>8739.4390000000003</v>
      </c>
      <c r="N11531" s="7">
        <v>1383.712</v>
      </c>
      <c r="O11531" s="7">
        <v>1234.2670000000001</v>
      </c>
      <c r="P11531" s="2" t="s">
        <v>33271</v>
      </c>
      <c r="Q11531" s="6">
        <v>100</v>
      </c>
      <c r="R11531" s="6">
        <v>32</v>
      </c>
      <c r="S11531" s="5">
        <v>-248.2</v>
      </c>
      <c r="T11531" s="7">
        <v>-228.55799999999999</v>
      </c>
      <c r="U11531" s="5">
        <v>2.5</v>
      </c>
      <c r="V11531" s="9">
        <v>-5.7881999999999998</v>
      </c>
      <c r="W11531" s="6">
        <v>19.989999999999998</v>
      </c>
      <c r="X11531" s="6">
        <v>19.84</v>
      </c>
      <c r="Y11531" s="5">
        <v>20.100000000000001</v>
      </c>
      <c r="Z11531" s="6">
        <v>31.95</v>
      </c>
      <c r="AA11531" s="6">
        <v>44.75</v>
      </c>
      <c r="AB11531" s="2" t="s">
        <v>86</v>
      </c>
      <c r="AC11531" s="6">
        <v>422.02</v>
      </c>
    </row>
    <row r="11532" spans="1:29" ht="78" x14ac:dyDescent="0.15">
      <c r="A11532" s="3">
        <f>DATE(2016,7,21)</f>
        <v>42572</v>
      </c>
      <c r="B11532" s="3">
        <f>DATE(2017,4,5)</f>
        <v>42830</v>
      </c>
      <c r="C11532" s="2" t="s">
        <v>95</v>
      </c>
      <c r="D11532" s="2" t="s">
        <v>30551</v>
      </c>
      <c r="E11532" s="2" t="s">
        <v>30552</v>
      </c>
      <c r="F11532" s="4">
        <v>3532</v>
      </c>
      <c r="G11532" s="2" t="s">
        <v>300</v>
      </c>
      <c r="H11532" s="2" t="s">
        <v>34</v>
      </c>
      <c r="I11532" s="2" t="s">
        <v>33272</v>
      </c>
      <c r="J11532" s="2" t="s">
        <v>18240</v>
      </c>
      <c r="K11532" s="2" t="s">
        <v>300</v>
      </c>
      <c r="L11532" s="2" t="s">
        <v>34</v>
      </c>
      <c r="M11532" s="2"/>
      <c r="N11532" s="2"/>
      <c r="O11532" s="2"/>
      <c r="P11532" s="2" t="s">
        <v>33273</v>
      </c>
      <c r="Q11532" s="6">
        <v>100</v>
      </c>
      <c r="R11532" s="6">
        <v>28.3</v>
      </c>
      <c r="S11532" s="8">
        <v>-1290.4000000000001</v>
      </c>
      <c r="T11532" s="7">
        <v>258.92599999999999</v>
      </c>
      <c r="U11532" s="5">
        <v>14.1</v>
      </c>
      <c r="V11532" s="9">
        <v>-13.285600000000001</v>
      </c>
      <c r="W11532" s="6">
        <v>23.38</v>
      </c>
      <c r="X11532" s="6">
        <v>23.55</v>
      </c>
      <c r="Y11532" s="5">
        <v>28.2</v>
      </c>
      <c r="Z11532" s="6">
        <v>27.95</v>
      </c>
      <c r="AA11532" s="6">
        <v>98.15</v>
      </c>
      <c r="AB11532" s="7">
        <v>34.395000000000003</v>
      </c>
      <c r="AC11532" s="2"/>
    </row>
    <row r="11533" spans="1:29" ht="208" x14ac:dyDescent="0.15">
      <c r="A11533" s="3">
        <f>DATE(2016,7,21)</f>
        <v>42572</v>
      </c>
      <c r="B11533" s="3">
        <f>DATE(2017,3,11)</f>
        <v>42805</v>
      </c>
      <c r="C11533" s="2" t="s">
        <v>95</v>
      </c>
      <c r="D11533" s="2" t="s">
        <v>31214</v>
      </c>
      <c r="E11533" s="2" t="s">
        <v>36</v>
      </c>
      <c r="F11533" s="4">
        <v>6022</v>
      </c>
      <c r="G11533" s="2" t="s">
        <v>37</v>
      </c>
      <c r="H11533" s="2" t="s">
        <v>34</v>
      </c>
      <c r="I11533" s="2" t="s">
        <v>21951</v>
      </c>
      <c r="J11533" s="2" t="s">
        <v>36</v>
      </c>
      <c r="K11533" s="2" t="s">
        <v>37</v>
      </c>
      <c r="L11533" s="2" t="s">
        <v>34</v>
      </c>
      <c r="M11533" s="12">
        <v>2777.8029999999999</v>
      </c>
      <c r="N11533" s="6">
        <v>11.99</v>
      </c>
      <c r="O11533" s="6">
        <v>12.13</v>
      </c>
      <c r="P11533" s="2" t="s">
        <v>33274</v>
      </c>
      <c r="Q11533" s="6">
        <v>100</v>
      </c>
      <c r="R11533" s="6">
        <v>28.51</v>
      </c>
      <c r="S11533" s="5">
        <v>48.8</v>
      </c>
      <c r="T11533" s="7">
        <v>101.875</v>
      </c>
      <c r="U11533" s="5">
        <v>19.399999999999999</v>
      </c>
      <c r="V11533" s="9">
        <v>1.3061</v>
      </c>
      <c r="W11533" s="6">
        <v>25.78</v>
      </c>
      <c r="X11533" s="6">
        <v>26.34</v>
      </c>
      <c r="Y11533" s="5">
        <v>27.1</v>
      </c>
      <c r="Z11533" s="6">
        <v>26.05</v>
      </c>
      <c r="AA11533" s="6">
        <v>50.84</v>
      </c>
      <c r="AB11533" s="7">
        <v>26.515999999999998</v>
      </c>
      <c r="AC11533" s="2"/>
    </row>
    <row r="11534" spans="1:29" ht="78" x14ac:dyDescent="0.15">
      <c r="A11534" s="3">
        <f>DATE(2016,7,22)</f>
        <v>42573</v>
      </c>
      <c r="B11534" s="2"/>
      <c r="C11534" s="2" t="s">
        <v>7330</v>
      </c>
      <c r="D11534" s="2" t="s">
        <v>33275</v>
      </c>
      <c r="E11534" s="2" t="s">
        <v>32388</v>
      </c>
      <c r="F11534" s="4">
        <v>6799</v>
      </c>
      <c r="G11534" s="2" t="s">
        <v>53</v>
      </c>
      <c r="H11534" s="2" t="s">
        <v>34</v>
      </c>
      <c r="I11534" s="2" t="s">
        <v>33149</v>
      </c>
      <c r="J11534" s="2" t="s">
        <v>244</v>
      </c>
      <c r="K11534" s="2" t="s">
        <v>53</v>
      </c>
      <c r="L11534" s="2" t="s">
        <v>34</v>
      </c>
      <c r="M11534" s="2"/>
      <c r="N11534" s="2"/>
      <c r="O11534" s="2"/>
      <c r="P11534" s="2" t="s">
        <v>33276</v>
      </c>
      <c r="Q11534" s="2"/>
      <c r="R11534" s="6">
        <v>10</v>
      </c>
      <c r="S11534" s="5">
        <v>0</v>
      </c>
      <c r="T11534" s="2"/>
      <c r="U11534" s="2"/>
      <c r="V11534" s="2"/>
      <c r="W11534" s="6">
        <v>9.85</v>
      </c>
      <c r="X11534" s="5">
        <v>10.199999999999999</v>
      </c>
      <c r="Y11534" s="6">
        <v>10.58</v>
      </c>
      <c r="Z11534" s="6">
        <v>10.69</v>
      </c>
      <c r="AA11534" s="6">
        <v>50</v>
      </c>
      <c r="AB11534" s="2" t="s">
        <v>86</v>
      </c>
      <c r="AC11534" s="2"/>
    </row>
    <row r="11535" spans="1:29" ht="169" x14ac:dyDescent="0.15">
      <c r="A11535" s="3">
        <f>DATE(2016,7,25)</f>
        <v>42576</v>
      </c>
      <c r="B11535" s="3">
        <f>DATE(2016,9,23)</f>
        <v>42636</v>
      </c>
      <c r="C11535" s="2" t="s">
        <v>95</v>
      </c>
      <c r="D11535" s="2" t="s">
        <v>33277</v>
      </c>
      <c r="E11535" s="2" t="s">
        <v>33278</v>
      </c>
      <c r="F11535" s="4">
        <v>7299</v>
      </c>
      <c r="G11535" s="2" t="s">
        <v>1517</v>
      </c>
      <c r="H11535" s="2" t="s">
        <v>34</v>
      </c>
      <c r="I11535" s="2" t="s">
        <v>27735</v>
      </c>
      <c r="J11535" s="2" t="s">
        <v>244</v>
      </c>
      <c r="K11535" s="2" t="s">
        <v>53</v>
      </c>
      <c r="L11535" s="2" t="s">
        <v>34</v>
      </c>
      <c r="M11535" s="12">
        <v>2655.6489999999999</v>
      </c>
      <c r="N11535" s="6">
        <v>16.489999999999998</v>
      </c>
      <c r="O11535" s="5">
        <v>16.7</v>
      </c>
      <c r="P11535" s="2" t="s">
        <v>33279</v>
      </c>
      <c r="Q11535" s="6">
        <v>100</v>
      </c>
      <c r="R11535" s="6">
        <v>52</v>
      </c>
      <c r="S11535" s="5">
        <v>129</v>
      </c>
      <c r="T11535" s="7">
        <v>417.56200000000001</v>
      </c>
      <c r="U11535" s="5">
        <v>2.7</v>
      </c>
      <c r="V11535" s="9">
        <v>7.7214</v>
      </c>
      <c r="W11535" s="6">
        <v>45.83</v>
      </c>
      <c r="X11535" s="6">
        <v>46.91</v>
      </c>
      <c r="Y11535" s="6">
        <v>52.19</v>
      </c>
      <c r="Z11535" s="5">
        <v>52.2</v>
      </c>
      <c r="AA11535" s="6">
        <v>17.25</v>
      </c>
      <c r="AB11535" s="7">
        <v>5.82</v>
      </c>
      <c r="AC11535" s="6">
        <v>897.51</v>
      </c>
    </row>
    <row r="11536" spans="1:29" ht="169" x14ac:dyDescent="0.15">
      <c r="A11536" s="3">
        <f>DATE(2016,7,26)</f>
        <v>42577</v>
      </c>
      <c r="B11536" s="3">
        <f>DATE(2017,3,10)</f>
        <v>42804</v>
      </c>
      <c r="C11536" s="2" t="s">
        <v>95</v>
      </c>
      <c r="D11536" s="2" t="s">
        <v>33280</v>
      </c>
      <c r="E11536" s="2" t="s">
        <v>13887</v>
      </c>
      <c r="F11536" s="4">
        <v>3674</v>
      </c>
      <c r="G11536" s="2" t="s">
        <v>137</v>
      </c>
      <c r="H11536" s="2" t="s">
        <v>34</v>
      </c>
      <c r="I11536" s="2" t="s">
        <v>31427</v>
      </c>
      <c r="J11536" s="2" t="s">
        <v>4865</v>
      </c>
      <c r="K11536" s="2" t="s">
        <v>137</v>
      </c>
      <c r="L11536" s="2" t="s">
        <v>34</v>
      </c>
      <c r="M11536" s="12">
        <v>16692.168000000001</v>
      </c>
      <c r="N11536" s="7">
        <v>62.872999999999998</v>
      </c>
      <c r="O11536" s="6">
        <v>63.33</v>
      </c>
      <c r="P11536" s="2" t="s">
        <v>33281</v>
      </c>
      <c r="Q11536" s="6">
        <v>100</v>
      </c>
      <c r="R11536" s="6">
        <v>60.05</v>
      </c>
      <c r="S11536" s="5">
        <v>494.3</v>
      </c>
      <c r="T11536" s="7">
        <v>831.45699999999999</v>
      </c>
      <c r="U11536" s="5">
        <v>7.3</v>
      </c>
      <c r="V11536" s="9">
        <v>2.0173000000000001</v>
      </c>
      <c r="W11536" s="6">
        <v>48.35</v>
      </c>
      <c r="X11536" s="6">
        <v>48.47</v>
      </c>
      <c r="Y11536" s="6">
        <v>62.49</v>
      </c>
      <c r="Z11536" s="6">
        <v>59.23</v>
      </c>
      <c r="AA11536" s="6">
        <v>239.1</v>
      </c>
      <c r="AB11536" s="7">
        <v>16.614999999999998</v>
      </c>
      <c r="AC11536" s="10">
        <v>3759.74</v>
      </c>
    </row>
    <row r="11537" spans="1:29" ht="143" x14ac:dyDescent="0.15">
      <c r="A11537" s="3">
        <f>DATE(2016,7,27)</f>
        <v>42578</v>
      </c>
      <c r="B11537" s="3">
        <f>DATE(2016,9,30)</f>
        <v>42643</v>
      </c>
      <c r="C11537" s="2" t="s">
        <v>95</v>
      </c>
      <c r="D11537" s="2" t="s">
        <v>33282</v>
      </c>
      <c r="E11537" s="2" t="s">
        <v>33283</v>
      </c>
      <c r="F11537" s="4">
        <v>7371</v>
      </c>
      <c r="G11537" s="2" t="s">
        <v>223</v>
      </c>
      <c r="H11537" s="2" t="s">
        <v>34</v>
      </c>
      <c r="I11537" s="2" t="s">
        <v>33284</v>
      </c>
      <c r="J11537" s="2" t="s">
        <v>31277</v>
      </c>
      <c r="K11537" s="2" t="s">
        <v>53</v>
      </c>
      <c r="L11537" s="2" t="s">
        <v>902</v>
      </c>
      <c r="M11537" s="2"/>
      <c r="N11537" s="2"/>
      <c r="O11537" s="2"/>
      <c r="P11537" s="2" t="s">
        <v>33285</v>
      </c>
      <c r="Q11537" s="6">
        <v>100</v>
      </c>
      <c r="R11537" s="6">
        <v>16.5</v>
      </c>
      <c r="S11537" s="5">
        <v>-16.100000000000001</v>
      </c>
      <c r="T11537" s="7">
        <v>89.387</v>
      </c>
      <c r="U11537" s="5">
        <v>7.9</v>
      </c>
      <c r="V11537" s="9">
        <v>-0.43640000000000001</v>
      </c>
      <c r="W11537" s="5">
        <v>11.1</v>
      </c>
      <c r="X11537" s="6">
        <v>11.38</v>
      </c>
      <c r="Y11537" s="6">
        <v>11.63</v>
      </c>
      <c r="Z11537" s="4">
        <v>13</v>
      </c>
      <c r="AA11537" s="6">
        <v>37.92</v>
      </c>
      <c r="AB11537" s="7">
        <v>31.475000000000001</v>
      </c>
      <c r="AC11537" s="2"/>
    </row>
    <row r="11538" spans="1:29" ht="156" x14ac:dyDescent="0.15">
      <c r="A11538" s="3">
        <f>DATE(2016,7,28)</f>
        <v>42579</v>
      </c>
      <c r="B11538" s="3">
        <f>DATE(2016,12,15)</f>
        <v>42719</v>
      </c>
      <c r="C11538" s="2" t="s">
        <v>95</v>
      </c>
      <c r="D11538" s="2" t="s">
        <v>30689</v>
      </c>
      <c r="E11538" s="2" t="s">
        <v>36</v>
      </c>
      <c r="F11538" s="4">
        <v>6035</v>
      </c>
      <c r="G11538" s="2" t="s">
        <v>33</v>
      </c>
      <c r="H11538" s="2" t="s">
        <v>34</v>
      </c>
      <c r="I11538" s="2" t="s">
        <v>25091</v>
      </c>
      <c r="J11538" s="2" t="s">
        <v>1072</v>
      </c>
      <c r="K11538" s="2" t="s">
        <v>33</v>
      </c>
      <c r="L11538" s="2" t="s">
        <v>34</v>
      </c>
      <c r="M11538" s="7">
        <v>229.416</v>
      </c>
      <c r="N11538" s="5">
        <v>3.1</v>
      </c>
      <c r="O11538" s="5">
        <v>3.5</v>
      </c>
      <c r="P11538" s="2" t="s">
        <v>33286</v>
      </c>
      <c r="Q11538" s="6">
        <v>18.77</v>
      </c>
      <c r="R11538" s="6">
        <v>20</v>
      </c>
      <c r="S11538" s="5">
        <v>14.1</v>
      </c>
      <c r="T11538" s="2"/>
      <c r="U11538" s="5">
        <v>20.5</v>
      </c>
      <c r="V11538" s="9">
        <v>0.83560000000000001</v>
      </c>
      <c r="W11538" s="6">
        <v>15.43</v>
      </c>
      <c r="X11538" s="6">
        <v>15.73</v>
      </c>
      <c r="Y11538" s="6">
        <v>19.329999999999998</v>
      </c>
      <c r="Z11538" s="6">
        <v>19.34</v>
      </c>
      <c r="AA11538" s="6">
        <v>16.39</v>
      </c>
      <c r="AB11538" s="2" t="s">
        <v>86</v>
      </c>
      <c r="AC11538" s="2"/>
    </row>
    <row r="11539" spans="1:29" ht="182" x14ac:dyDescent="0.15">
      <c r="A11539" s="3">
        <f>DATE(2016,7,28)</f>
        <v>42579</v>
      </c>
      <c r="B11539" s="3">
        <f>DATE(2016,11,7)</f>
        <v>42681</v>
      </c>
      <c r="C11539" s="2" t="s">
        <v>95</v>
      </c>
      <c r="D11539" s="2" t="s">
        <v>33287</v>
      </c>
      <c r="E11539" s="2" t="s">
        <v>33288</v>
      </c>
      <c r="F11539" s="4">
        <v>7372</v>
      </c>
      <c r="G11539" s="2" t="s">
        <v>551</v>
      </c>
      <c r="H11539" s="2" t="s">
        <v>34</v>
      </c>
      <c r="I11539" s="2" t="s">
        <v>8588</v>
      </c>
      <c r="J11539" s="2" t="s">
        <v>8589</v>
      </c>
      <c r="K11539" s="2" t="s">
        <v>551</v>
      </c>
      <c r="L11539" s="2" t="s">
        <v>34</v>
      </c>
      <c r="M11539" s="12">
        <v>168743.33900000001</v>
      </c>
      <c r="N11539" s="6">
        <v>41.19</v>
      </c>
      <c r="O11539" s="6">
        <v>41.04</v>
      </c>
      <c r="P11539" s="2" t="s">
        <v>33289</v>
      </c>
      <c r="Q11539" s="6">
        <v>100</v>
      </c>
      <c r="R11539" s="6">
        <v>109</v>
      </c>
      <c r="S11539" s="5">
        <v>-137.19999999999999</v>
      </c>
      <c r="T11539" s="7">
        <v>-62.587000000000003</v>
      </c>
      <c r="U11539" s="5">
        <v>3.9</v>
      </c>
      <c r="V11539" s="9">
        <v>-1.7199</v>
      </c>
      <c r="W11539" s="5">
        <v>81.900000000000006</v>
      </c>
      <c r="X11539" s="6">
        <v>91.57</v>
      </c>
      <c r="Y11539" s="6">
        <v>108.41</v>
      </c>
      <c r="Z11539" s="6">
        <v>108.85</v>
      </c>
      <c r="AA11539" s="6">
        <v>80.44</v>
      </c>
      <c r="AB11539" s="2" t="s">
        <v>86</v>
      </c>
      <c r="AC11539" s="8">
        <v>56125</v>
      </c>
    </row>
    <row r="11540" spans="1:29" ht="65" x14ac:dyDescent="0.15">
      <c r="A11540" s="3">
        <f>DATE(2016,8,1)</f>
        <v>42583</v>
      </c>
      <c r="B11540" s="2"/>
      <c r="C11540" s="2" t="s">
        <v>189</v>
      </c>
      <c r="D11540" s="2" t="s">
        <v>33290</v>
      </c>
      <c r="E11540" s="2" t="s">
        <v>32463</v>
      </c>
      <c r="F11540" s="4">
        <v>6289</v>
      </c>
      <c r="G11540" s="2" t="s">
        <v>53</v>
      </c>
      <c r="H11540" s="2" t="s">
        <v>34</v>
      </c>
      <c r="I11540" s="2" t="s">
        <v>143</v>
      </c>
      <c r="J11540" s="2" t="s">
        <v>144</v>
      </c>
      <c r="K11540" s="2" t="s">
        <v>53</v>
      </c>
      <c r="L11540" s="2" t="s">
        <v>139</v>
      </c>
      <c r="M11540" s="2"/>
      <c r="N11540" s="2"/>
      <c r="O11540" s="2"/>
      <c r="P11540" s="2" t="s">
        <v>33291</v>
      </c>
      <c r="Q11540" s="2"/>
      <c r="R11540" s="2"/>
      <c r="S11540" s="5">
        <v>-44.9</v>
      </c>
      <c r="T11540" s="7">
        <v>-57.533999999999999</v>
      </c>
      <c r="U11540" s="5">
        <v>7.3</v>
      </c>
      <c r="V11540" s="9">
        <v>-1.7014</v>
      </c>
      <c r="W11540" s="6">
        <v>3.77</v>
      </c>
      <c r="X11540" s="6">
        <v>3.71</v>
      </c>
      <c r="Y11540" s="5">
        <v>4.0999999999999996</v>
      </c>
      <c r="Z11540" s="6">
        <v>4.24</v>
      </c>
      <c r="AA11540" s="6">
        <v>27.52</v>
      </c>
      <c r="AB11540" s="2" t="s">
        <v>86</v>
      </c>
      <c r="AC11540" s="2"/>
    </row>
    <row r="11541" spans="1:29" ht="91" x14ac:dyDescent="0.15">
      <c r="A11541" s="3">
        <f>DATE(2016,8,1)</f>
        <v>42583</v>
      </c>
      <c r="B11541" s="3">
        <f>DATE(2016,11,7)</f>
        <v>42681</v>
      </c>
      <c r="C11541" s="2" t="s">
        <v>95</v>
      </c>
      <c r="D11541" s="2" t="s">
        <v>33292</v>
      </c>
      <c r="E11541" s="2" t="s">
        <v>33293</v>
      </c>
      <c r="F11541" s="4">
        <v>7372</v>
      </c>
      <c r="G11541" s="2" t="s">
        <v>551</v>
      </c>
      <c r="H11541" s="2" t="s">
        <v>34</v>
      </c>
      <c r="I11541" s="2" t="s">
        <v>33294</v>
      </c>
      <c r="J11541" s="2" t="s">
        <v>27192</v>
      </c>
      <c r="K11541" s="2" t="s">
        <v>63</v>
      </c>
      <c r="L11541" s="2" t="s">
        <v>2105</v>
      </c>
      <c r="M11541" s="2"/>
      <c r="N11541" s="2"/>
      <c r="O11541" s="2"/>
      <c r="P11541" s="2" t="s">
        <v>33295</v>
      </c>
      <c r="Q11541" s="6">
        <v>100</v>
      </c>
      <c r="R11541" s="6">
        <v>60</v>
      </c>
      <c r="S11541" s="5">
        <v>27.7</v>
      </c>
      <c r="T11541" s="7">
        <v>64.552000000000007</v>
      </c>
      <c r="U11541" s="5">
        <v>7.4</v>
      </c>
      <c r="V11541" s="9">
        <v>0.71760000000000002</v>
      </c>
      <c r="W11541" s="6">
        <v>41.81</v>
      </c>
      <c r="X11541" s="6">
        <v>42.96</v>
      </c>
      <c r="Y11541" s="6">
        <v>59.59</v>
      </c>
      <c r="Z11541" s="6">
        <v>59.57</v>
      </c>
      <c r="AA11541" s="6">
        <v>39.17</v>
      </c>
      <c r="AB11541" s="2" t="s">
        <v>47</v>
      </c>
      <c r="AC11541" s="2"/>
    </row>
    <row r="11542" spans="1:29" ht="78" x14ac:dyDescent="0.15">
      <c r="A11542" s="3">
        <f>DATE(2016,8,3)</f>
        <v>42585</v>
      </c>
      <c r="B11542" s="3">
        <f>DATE(2016,9,27)</f>
        <v>42640</v>
      </c>
      <c r="C11542" s="2" t="s">
        <v>95</v>
      </c>
      <c r="D11542" s="2" t="s">
        <v>33296</v>
      </c>
      <c r="E11542" s="2" t="s">
        <v>17546</v>
      </c>
      <c r="F11542" s="4">
        <v>7319</v>
      </c>
      <c r="G11542" s="2" t="s">
        <v>4563</v>
      </c>
      <c r="H11542" s="2" t="s">
        <v>34</v>
      </c>
      <c r="I11542" s="2" t="s">
        <v>31878</v>
      </c>
      <c r="J11542" s="2" t="s">
        <v>244</v>
      </c>
      <c r="K11542" s="2" t="s">
        <v>53</v>
      </c>
      <c r="L11542" s="2" t="s">
        <v>34</v>
      </c>
      <c r="M11542" s="2"/>
      <c r="N11542" s="2"/>
      <c r="O11542" s="2"/>
      <c r="P11542" s="2" t="s">
        <v>33297</v>
      </c>
      <c r="Q11542" s="6">
        <v>100</v>
      </c>
      <c r="R11542" s="6">
        <v>3.9</v>
      </c>
      <c r="S11542" s="5">
        <v>-129.1</v>
      </c>
      <c r="T11542" s="7">
        <v>85.715000000000003</v>
      </c>
      <c r="U11542" s="5">
        <v>4</v>
      </c>
      <c r="V11542" s="9">
        <v>-4.3678999999999997</v>
      </c>
      <c r="W11542" s="6">
        <v>2.76</v>
      </c>
      <c r="X11542" s="6">
        <v>2.66</v>
      </c>
      <c r="Y11542" s="6">
        <v>3.86</v>
      </c>
      <c r="Z11542" s="6">
        <v>3.88</v>
      </c>
      <c r="AA11542" s="6">
        <v>29.14</v>
      </c>
      <c r="AB11542" s="7">
        <v>1.17</v>
      </c>
      <c r="AC11542" s="2"/>
    </row>
    <row r="11543" spans="1:29" ht="169" x14ac:dyDescent="0.15">
      <c r="A11543" s="3">
        <f>DATE(2016,8,7)</f>
        <v>42589</v>
      </c>
      <c r="B11543" s="3">
        <f>DATE(2016,9,14)</f>
        <v>42627</v>
      </c>
      <c r="C11543" s="2" t="s">
        <v>95</v>
      </c>
      <c r="D11543" s="2" t="s">
        <v>33298</v>
      </c>
      <c r="E11543" s="2" t="s">
        <v>33299</v>
      </c>
      <c r="F11543" s="4">
        <v>5712</v>
      </c>
      <c r="G11543" s="2" t="s">
        <v>1227</v>
      </c>
      <c r="H11543" s="2" t="s">
        <v>34</v>
      </c>
      <c r="I11543" s="2" t="s">
        <v>33300</v>
      </c>
      <c r="J11543" s="2" t="s">
        <v>33301</v>
      </c>
      <c r="K11543" s="2" t="s">
        <v>250</v>
      </c>
      <c r="L11543" s="2" t="s">
        <v>17069</v>
      </c>
      <c r="M11543" s="12">
        <v>22286.156999999999</v>
      </c>
      <c r="N11543" s="7">
        <v>6.5309999999999997</v>
      </c>
      <c r="O11543" s="7">
        <v>6.5309999999999997</v>
      </c>
      <c r="P11543" s="2" t="s">
        <v>33302</v>
      </c>
      <c r="Q11543" s="6">
        <v>100</v>
      </c>
      <c r="R11543" s="6">
        <v>64</v>
      </c>
      <c r="S11543" s="5">
        <v>-84.2</v>
      </c>
      <c r="T11543" s="7">
        <v>167.386</v>
      </c>
      <c r="U11543" s="5">
        <v>12.3</v>
      </c>
      <c r="V11543" s="9">
        <v>-2.2222</v>
      </c>
      <c r="W11543" s="6">
        <v>29.84</v>
      </c>
      <c r="X11543" s="6">
        <v>29.74</v>
      </c>
      <c r="Y11543" s="6">
        <v>63.75</v>
      </c>
      <c r="Z11543" s="6">
        <v>63.75</v>
      </c>
      <c r="AA11543" s="6">
        <v>37.229999999999997</v>
      </c>
      <c r="AB11543" s="7">
        <v>41.585999999999999</v>
      </c>
      <c r="AC11543" s="10">
        <v>3117.84</v>
      </c>
    </row>
    <row r="11544" spans="1:29" ht="91" x14ac:dyDescent="0.15">
      <c r="A11544" s="3">
        <f>DATE(2016,8,8)</f>
        <v>42590</v>
      </c>
      <c r="B11544" s="3">
        <f>DATE(2017,6,9)</f>
        <v>42895</v>
      </c>
      <c r="C11544" s="2" t="s">
        <v>95</v>
      </c>
      <c r="D11544" s="2" t="s">
        <v>33303</v>
      </c>
      <c r="E11544" s="2" t="s">
        <v>36</v>
      </c>
      <c r="F11544" s="4">
        <v>6035</v>
      </c>
      <c r="G11544" s="2" t="s">
        <v>33</v>
      </c>
      <c r="H11544" s="2" t="s">
        <v>34</v>
      </c>
      <c r="I11544" s="2" t="s">
        <v>33304</v>
      </c>
      <c r="J11544" s="2" t="s">
        <v>30537</v>
      </c>
      <c r="K11544" s="2" t="s">
        <v>53</v>
      </c>
      <c r="L11544" s="2" t="s">
        <v>34</v>
      </c>
      <c r="M11544" s="2"/>
      <c r="N11544" s="2"/>
      <c r="O11544" s="2"/>
      <c r="P11544" s="2" t="s">
        <v>33305</v>
      </c>
      <c r="Q11544" s="6">
        <v>100</v>
      </c>
      <c r="R11544" s="6">
        <v>19.5</v>
      </c>
      <c r="S11544" s="5">
        <v>124.2</v>
      </c>
      <c r="T11544" s="2"/>
      <c r="U11544" s="5">
        <v>13.6</v>
      </c>
      <c r="V11544" s="6">
        <v>0.9</v>
      </c>
      <c r="W11544" s="6">
        <v>18.149999999999999</v>
      </c>
      <c r="X11544" s="6">
        <v>18.010000000000002</v>
      </c>
      <c r="Y11544" s="6">
        <v>18.55</v>
      </c>
      <c r="Z11544" s="6">
        <v>18.510000000000002</v>
      </c>
      <c r="AA11544" s="6">
        <v>125.33</v>
      </c>
      <c r="AB11544" s="7">
        <v>40.744999999999997</v>
      </c>
      <c r="AC11544" s="2"/>
    </row>
    <row r="11545" spans="1:29" ht="156" x14ac:dyDescent="0.15">
      <c r="A11545" s="3">
        <f>DATE(2016,8,9)</f>
        <v>42591</v>
      </c>
      <c r="B11545" s="3">
        <f>DATE(2016,11,1)</f>
        <v>42675</v>
      </c>
      <c r="C11545" s="2" t="s">
        <v>95</v>
      </c>
      <c r="D11545" s="2" t="s">
        <v>26370</v>
      </c>
      <c r="E11545" s="2" t="s">
        <v>17263</v>
      </c>
      <c r="F11545" s="4">
        <v>7361</v>
      </c>
      <c r="G11545" s="2" t="s">
        <v>223</v>
      </c>
      <c r="H11545" s="2" t="s">
        <v>34</v>
      </c>
      <c r="I11545" s="2" t="s">
        <v>33306</v>
      </c>
      <c r="J11545" s="2" t="s">
        <v>31277</v>
      </c>
      <c r="K11545" s="2" t="s">
        <v>53</v>
      </c>
      <c r="L11545" s="2" t="s">
        <v>34</v>
      </c>
      <c r="M11545" s="2"/>
      <c r="N11545" s="2"/>
      <c r="O11545" s="2"/>
      <c r="P11545" s="2" t="s">
        <v>33307</v>
      </c>
      <c r="Q11545" s="6">
        <v>100</v>
      </c>
      <c r="R11545" s="6">
        <v>3.4</v>
      </c>
      <c r="S11545" s="5">
        <v>-55.8</v>
      </c>
      <c r="T11545" s="7">
        <v>64.731999999999999</v>
      </c>
      <c r="U11545" s="5">
        <v>4</v>
      </c>
      <c r="V11545" s="9">
        <v>-1.3579000000000001</v>
      </c>
      <c r="W11545" s="6">
        <v>2.39</v>
      </c>
      <c r="X11545" s="6">
        <v>2.77</v>
      </c>
      <c r="Y11545" s="5">
        <v>3.5</v>
      </c>
      <c r="Z11545" s="6">
        <v>3.55</v>
      </c>
      <c r="AA11545" s="6">
        <v>89.07</v>
      </c>
      <c r="AB11545" s="7">
        <v>17.145</v>
      </c>
      <c r="AC11545" s="2"/>
    </row>
    <row r="11546" spans="1:29" ht="91" x14ac:dyDescent="0.15">
      <c r="A11546" s="3">
        <f>DATE(2016,8,9)</f>
        <v>42591</v>
      </c>
      <c r="B11546" s="3">
        <f>DATE(2016,10,21)</f>
        <v>42664</v>
      </c>
      <c r="C11546" s="2" t="s">
        <v>95</v>
      </c>
      <c r="D11546" s="2" t="s">
        <v>33308</v>
      </c>
      <c r="E11546" s="2" t="s">
        <v>33309</v>
      </c>
      <c r="F11546" s="4">
        <v>8742</v>
      </c>
      <c r="G11546" s="2" t="s">
        <v>223</v>
      </c>
      <c r="H11546" s="2" t="s">
        <v>34</v>
      </c>
      <c r="I11546" s="2" t="s">
        <v>33310</v>
      </c>
      <c r="J11546" s="2" t="s">
        <v>31277</v>
      </c>
      <c r="K11546" s="2" t="s">
        <v>53</v>
      </c>
      <c r="L11546" s="2" t="s">
        <v>303</v>
      </c>
      <c r="M11546" s="2"/>
      <c r="N11546" s="2"/>
      <c r="O11546" s="2"/>
      <c r="P11546" s="2" t="s">
        <v>33311</v>
      </c>
      <c r="Q11546" s="6">
        <v>100</v>
      </c>
      <c r="R11546" s="6">
        <v>40.5</v>
      </c>
      <c r="S11546" s="5">
        <v>27.3</v>
      </c>
      <c r="T11546" s="7">
        <v>100.20699999999999</v>
      </c>
      <c r="U11546" s="5">
        <v>11.1</v>
      </c>
      <c r="V11546" s="9">
        <v>0.61329999999999996</v>
      </c>
      <c r="W11546" s="6">
        <v>40.39</v>
      </c>
      <c r="X11546" s="6">
        <v>40.33</v>
      </c>
      <c r="Y11546" s="4">
        <v>41</v>
      </c>
      <c r="Z11546" s="6">
        <v>40.67</v>
      </c>
      <c r="AA11546" s="6">
        <v>53.05</v>
      </c>
      <c r="AB11546" s="7">
        <v>41.009</v>
      </c>
      <c r="AC11546" s="2"/>
    </row>
    <row r="11547" spans="1:29" ht="117" x14ac:dyDescent="0.15">
      <c r="A11547" s="3">
        <f>DATE(2016,8,11)</f>
        <v>42593</v>
      </c>
      <c r="B11547" s="3">
        <f>DATE(2016,8,11)</f>
        <v>42593</v>
      </c>
      <c r="C11547" s="2" t="s">
        <v>95</v>
      </c>
      <c r="D11547" s="2" t="s">
        <v>2981</v>
      </c>
      <c r="E11547" s="2" t="s">
        <v>33312</v>
      </c>
      <c r="F11547" s="4">
        <v>3599</v>
      </c>
      <c r="G11547" s="2" t="s">
        <v>300</v>
      </c>
      <c r="H11547" s="2" t="s">
        <v>34</v>
      </c>
      <c r="I11547" s="2" t="s">
        <v>1526</v>
      </c>
      <c r="J11547" s="2" t="s">
        <v>302</v>
      </c>
      <c r="K11547" s="2" t="s">
        <v>53</v>
      </c>
      <c r="L11547" s="2" t="s">
        <v>34</v>
      </c>
      <c r="M11547" s="2"/>
      <c r="N11547" s="2"/>
      <c r="O11547" s="2"/>
      <c r="P11547" s="2" t="s">
        <v>33313</v>
      </c>
      <c r="Q11547" s="2"/>
      <c r="R11547" s="2"/>
      <c r="S11547" s="5">
        <v>-8.4</v>
      </c>
      <c r="T11547" s="7">
        <v>4.7210000000000001</v>
      </c>
      <c r="U11547" s="5">
        <v>-15.7</v>
      </c>
      <c r="V11547" s="9">
        <v>-1.0528</v>
      </c>
      <c r="W11547" s="5">
        <v>0.9</v>
      </c>
      <c r="X11547" s="5">
        <v>1.1000000000000001</v>
      </c>
      <c r="Y11547" s="5">
        <v>1.1000000000000001</v>
      </c>
      <c r="Z11547" s="6">
        <v>1.1499999999999999</v>
      </c>
      <c r="AA11547" s="6">
        <v>7.95</v>
      </c>
      <c r="AB11547" s="2" t="s">
        <v>47</v>
      </c>
      <c r="AC11547" s="2"/>
    </row>
    <row r="11548" spans="1:29" ht="65" x14ac:dyDescent="0.15">
      <c r="A11548" s="3">
        <f>DATE(2016,8,11)</f>
        <v>42593</v>
      </c>
      <c r="B11548" s="3">
        <f>DATE(2016,11,1)</f>
        <v>42675</v>
      </c>
      <c r="C11548" s="2" t="s">
        <v>95</v>
      </c>
      <c r="D11548" s="2" t="s">
        <v>33314</v>
      </c>
      <c r="E11548" s="2" t="s">
        <v>33315</v>
      </c>
      <c r="F11548" s="4">
        <v>3571</v>
      </c>
      <c r="G11548" s="2" t="s">
        <v>50</v>
      </c>
      <c r="H11548" s="2" t="s">
        <v>34</v>
      </c>
      <c r="I11548" s="2" t="s">
        <v>33316</v>
      </c>
      <c r="J11548" s="2" t="s">
        <v>32950</v>
      </c>
      <c r="K11548" s="2" t="s">
        <v>50</v>
      </c>
      <c r="L11548" s="2" t="s">
        <v>34</v>
      </c>
      <c r="M11548" s="12">
        <v>33217.677000000003</v>
      </c>
      <c r="N11548" s="6">
        <v>21.78</v>
      </c>
      <c r="O11548" s="6">
        <v>21.89</v>
      </c>
      <c r="P11548" s="2" t="s">
        <v>33317</v>
      </c>
      <c r="Q11548" s="6">
        <v>100</v>
      </c>
      <c r="R11548" s="6">
        <v>7.75</v>
      </c>
      <c r="S11548" s="5">
        <v>-11.2</v>
      </c>
      <c r="T11548" s="7">
        <v>5.5250000000000004</v>
      </c>
      <c r="U11548" s="5">
        <v>1.5</v>
      </c>
      <c r="V11548" s="9">
        <v>-0.31269999999999998</v>
      </c>
      <c r="W11548" s="6">
        <v>5.55</v>
      </c>
      <c r="X11548" s="5">
        <v>5.5</v>
      </c>
      <c r="Y11548" s="6">
        <v>5.98</v>
      </c>
      <c r="Z11548" s="6">
        <v>7.69</v>
      </c>
      <c r="AA11548" s="6">
        <v>38.75</v>
      </c>
      <c r="AB11548" s="2" t="s">
        <v>86</v>
      </c>
      <c r="AC11548" s="8">
        <v>14185</v>
      </c>
    </row>
    <row r="11549" spans="1:29" ht="195" x14ac:dyDescent="0.15">
      <c r="A11549" s="3">
        <f>DATE(2016,8,15)</f>
        <v>42597</v>
      </c>
      <c r="B11549" s="3">
        <f>DATE(2016,12,1)</f>
        <v>42705</v>
      </c>
      <c r="C11549" s="2" t="s">
        <v>95</v>
      </c>
      <c r="D11549" s="2" t="s">
        <v>10241</v>
      </c>
      <c r="E11549" s="2" t="s">
        <v>92</v>
      </c>
      <c r="F11549" s="4">
        <v>6798</v>
      </c>
      <c r="G11549" s="2" t="s">
        <v>53</v>
      </c>
      <c r="H11549" s="2" t="s">
        <v>34</v>
      </c>
      <c r="I11549" s="2" t="s">
        <v>5863</v>
      </c>
      <c r="J11549" s="2" t="s">
        <v>92</v>
      </c>
      <c r="K11549" s="2" t="s">
        <v>53</v>
      </c>
      <c r="L11549" s="2" t="s">
        <v>34</v>
      </c>
      <c r="M11549" s="10">
        <v>7942.43</v>
      </c>
      <c r="N11549" s="6">
        <v>97.15</v>
      </c>
      <c r="O11549" s="6">
        <v>94.01</v>
      </c>
      <c r="P11549" s="2" t="s">
        <v>33318</v>
      </c>
      <c r="Q11549" s="6">
        <v>100</v>
      </c>
      <c r="R11549" s="6">
        <v>72.53</v>
      </c>
      <c r="S11549" s="5">
        <v>83</v>
      </c>
      <c r="T11549" s="7">
        <v>171.08799999999999</v>
      </c>
      <c r="U11549" s="5">
        <v>21.6</v>
      </c>
      <c r="V11549" s="9">
        <v>1.4738</v>
      </c>
      <c r="W11549" s="6">
        <v>62.28</v>
      </c>
      <c r="X11549" s="6">
        <v>62.22</v>
      </c>
      <c r="Y11549" s="6">
        <v>68.08</v>
      </c>
      <c r="Z11549" s="6">
        <v>68.08</v>
      </c>
      <c r="AA11549" s="6">
        <v>53.51</v>
      </c>
      <c r="AB11549" s="7">
        <v>60.112000000000002</v>
      </c>
      <c r="AC11549" s="6">
        <v>51.41</v>
      </c>
    </row>
    <row r="11550" spans="1:29" ht="65" x14ac:dyDescent="0.15">
      <c r="A11550" s="3">
        <f>DATE(2016,8,15)</f>
        <v>42597</v>
      </c>
      <c r="B11550" s="3">
        <f>DATE(2016,11,1)</f>
        <v>42675</v>
      </c>
      <c r="C11550" s="2" t="s">
        <v>95</v>
      </c>
      <c r="D11550" s="2" t="s">
        <v>33319</v>
      </c>
      <c r="E11550" s="2" t="s">
        <v>8454</v>
      </c>
      <c r="F11550" s="4">
        <v>4011</v>
      </c>
      <c r="G11550" s="2" t="s">
        <v>173</v>
      </c>
      <c r="H11550" s="2" t="s">
        <v>34</v>
      </c>
      <c r="I11550" s="2" t="s">
        <v>19561</v>
      </c>
      <c r="J11550" s="2" t="s">
        <v>19562</v>
      </c>
      <c r="K11550" s="2" t="s">
        <v>173</v>
      </c>
      <c r="L11550" s="2" t="s">
        <v>34</v>
      </c>
      <c r="M11550" s="12">
        <v>3781.8090000000002</v>
      </c>
      <c r="N11550" s="4">
        <v>66</v>
      </c>
      <c r="O11550" s="6">
        <v>65.319999999999993</v>
      </c>
      <c r="P11550" s="2" t="s">
        <v>33320</v>
      </c>
      <c r="Q11550" s="6">
        <v>100</v>
      </c>
      <c r="R11550" s="6">
        <v>25</v>
      </c>
      <c r="S11550" s="5">
        <v>1.1000000000000001</v>
      </c>
      <c r="T11550" s="7">
        <v>5.4059999999999997</v>
      </c>
      <c r="U11550" s="5">
        <v>16.3</v>
      </c>
      <c r="V11550" s="9">
        <v>0.21659999999999999</v>
      </c>
      <c r="W11550" s="6">
        <v>16.079999999999998</v>
      </c>
      <c r="X11550" s="5">
        <v>16.3</v>
      </c>
      <c r="Y11550" s="7">
        <v>24.555</v>
      </c>
      <c r="Z11550" s="6">
        <v>24.65</v>
      </c>
      <c r="AA11550" s="6">
        <v>4.87</v>
      </c>
      <c r="AB11550" s="7">
        <v>80.802000000000007</v>
      </c>
      <c r="AC11550" s="6">
        <v>24.97</v>
      </c>
    </row>
    <row r="11551" spans="1:29" ht="52" x14ac:dyDescent="0.15">
      <c r="A11551" s="3">
        <f>DATE(2016,8,16)</f>
        <v>42598</v>
      </c>
      <c r="B11551" s="3">
        <f>DATE(2017,3,21)</f>
        <v>42815</v>
      </c>
      <c r="C11551" s="2" t="s">
        <v>95</v>
      </c>
      <c r="D11551" s="2" t="s">
        <v>33321</v>
      </c>
      <c r="E11551" s="2" t="s">
        <v>33322</v>
      </c>
      <c r="F11551" s="4">
        <v>7218</v>
      </c>
      <c r="G11551" s="2" t="s">
        <v>1517</v>
      </c>
      <c r="H11551" s="2" t="s">
        <v>34</v>
      </c>
      <c r="I11551" s="2" t="s">
        <v>13613</v>
      </c>
      <c r="J11551" s="2" t="s">
        <v>13614</v>
      </c>
      <c r="K11551" s="2" t="s">
        <v>708</v>
      </c>
      <c r="L11551" s="2" t="s">
        <v>34</v>
      </c>
      <c r="M11551" s="12">
        <v>10151.894</v>
      </c>
      <c r="N11551" s="6">
        <v>112.99</v>
      </c>
      <c r="O11551" s="6">
        <v>115.65</v>
      </c>
      <c r="P11551" s="2" t="s">
        <v>33323</v>
      </c>
      <c r="Q11551" s="6">
        <v>100</v>
      </c>
      <c r="R11551" s="6">
        <v>97.5</v>
      </c>
      <c r="S11551" s="5">
        <v>71.400000000000006</v>
      </c>
      <c r="T11551" s="7">
        <v>159.14400000000001</v>
      </c>
      <c r="U11551" s="5">
        <v>19.8</v>
      </c>
      <c r="V11551" s="9">
        <v>3.6053000000000002</v>
      </c>
      <c r="W11551" s="6">
        <v>80.03</v>
      </c>
      <c r="X11551" s="6">
        <v>82.13</v>
      </c>
      <c r="Y11551" s="5">
        <v>96.7</v>
      </c>
      <c r="Z11551" s="6">
        <v>97.19</v>
      </c>
      <c r="AA11551" s="6">
        <v>19.68</v>
      </c>
      <c r="AB11551" s="7">
        <v>17.654</v>
      </c>
      <c r="AC11551" s="6">
        <v>209.76</v>
      </c>
    </row>
    <row r="11552" spans="1:29" ht="65" x14ac:dyDescent="0.15">
      <c r="A11552" s="3">
        <f>DATE(2016,8,17)</f>
        <v>42599</v>
      </c>
      <c r="B11552" s="2"/>
      <c r="C11552" s="2" t="s">
        <v>39</v>
      </c>
      <c r="D11552" s="2" t="s">
        <v>30714</v>
      </c>
      <c r="E11552" s="2" t="s">
        <v>4865</v>
      </c>
      <c r="F11552" s="4">
        <v>3674</v>
      </c>
      <c r="G11552" s="2" t="s">
        <v>137</v>
      </c>
      <c r="H11552" s="2" t="s">
        <v>34</v>
      </c>
      <c r="I11552" s="2" t="s">
        <v>33324</v>
      </c>
      <c r="J11552" s="2" t="s">
        <v>207</v>
      </c>
      <c r="K11552" s="2" t="s">
        <v>137</v>
      </c>
      <c r="L11552" s="2" t="s">
        <v>455</v>
      </c>
      <c r="M11552" s="2"/>
      <c r="N11552" s="7">
        <v>1.7669999999999999</v>
      </c>
      <c r="O11552" s="7">
        <v>1.768</v>
      </c>
      <c r="P11552" s="2" t="s">
        <v>33325</v>
      </c>
      <c r="Q11552" s="2"/>
      <c r="R11552" s="2"/>
      <c r="S11552" s="5">
        <v>22.3</v>
      </c>
      <c r="T11552" s="7">
        <v>645.57799999999997</v>
      </c>
      <c r="U11552" s="5">
        <v>5.3</v>
      </c>
      <c r="V11552" s="9">
        <v>9.4200000000000006E-2</v>
      </c>
      <c r="W11552" s="6">
        <v>8.2899999999999991</v>
      </c>
      <c r="X11552" s="6">
        <v>8.94</v>
      </c>
      <c r="Y11552" s="6">
        <v>9.39</v>
      </c>
      <c r="Z11552" s="6">
        <v>9.2200000000000006</v>
      </c>
      <c r="AA11552" s="2"/>
      <c r="AB11552" s="2" t="s">
        <v>47</v>
      </c>
      <c r="AC11552" s="6">
        <v>362.68</v>
      </c>
    </row>
    <row r="11553" spans="1:29" ht="104" x14ac:dyDescent="0.15">
      <c r="A11553" s="3">
        <f>DATE(2016,8,18)</f>
        <v>42600</v>
      </c>
      <c r="B11553" s="3">
        <f>DATE(2016,12,2)</f>
        <v>42706</v>
      </c>
      <c r="C11553" s="2" t="s">
        <v>95</v>
      </c>
      <c r="D11553" s="2" t="s">
        <v>33326</v>
      </c>
      <c r="E11553" s="2" t="s">
        <v>31609</v>
      </c>
      <c r="F11553" s="4">
        <v>3674</v>
      </c>
      <c r="G11553" s="2" t="s">
        <v>137</v>
      </c>
      <c r="H11553" s="2" t="s">
        <v>34</v>
      </c>
      <c r="I11553" s="2" t="s">
        <v>33327</v>
      </c>
      <c r="J11553" s="2" t="s">
        <v>31609</v>
      </c>
      <c r="K11553" s="2" t="s">
        <v>137</v>
      </c>
      <c r="L11553" s="2" t="s">
        <v>210</v>
      </c>
      <c r="M11553" s="7">
        <v>769.14800000000002</v>
      </c>
      <c r="N11553" s="7">
        <v>2.0640000000000001</v>
      </c>
      <c r="O11553" s="7">
        <v>2.1230000000000002</v>
      </c>
      <c r="P11553" s="2" t="s">
        <v>33328</v>
      </c>
      <c r="Q11553" s="6">
        <v>100</v>
      </c>
      <c r="R11553" s="6">
        <v>12</v>
      </c>
      <c r="S11553" s="5">
        <v>-277.5</v>
      </c>
      <c r="T11553" s="5">
        <v>69.8</v>
      </c>
      <c r="U11553" s="5">
        <v>9.9</v>
      </c>
      <c r="V11553" s="9">
        <v>-6.6249000000000002</v>
      </c>
      <c r="W11553" s="6">
        <v>7.81</v>
      </c>
      <c r="X11553" s="6">
        <v>8.2799999999999994</v>
      </c>
      <c r="Y11553" s="6">
        <v>11.51</v>
      </c>
      <c r="Z11553" s="6">
        <v>11.48</v>
      </c>
      <c r="AA11553" s="6">
        <v>42.37</v>
      </c>
      <c r="AB11553" s="2" t="s">
        <v>86</v>
      </c>
      <c r="AC11553" s="6">
        <v>66.260000000000005</v>
      </c>
    </row>
    <row r="11554" spans="1:29" ht="143" x14ac:dyDescent="0.15">
      <c r="A11554" s="3">
        <f>DATE(2016,8,18)</f>
        <v>42600</v>
      </c>
      <c r="B11554" s="3">
        <f>DATE(2017,4,24)</f>
        <v>42849</v>
      </c>
      <c r="C11554" s="2" t="s">
        <v>95</v>
      </c>
      <c r="D11554" s="2" t="s">
        <v>16751</v>
      </c>
      <c r="E11554" s="2" t="s">
        <v>36</v>
      </c>
      <c r="F11554" s="4">
        <v>6021</v>
      </c>
      <c r="G11554" s="2" t="s">
        <v>37</v>
      </c>
      <c r="H11554" s="2" t="s">
        <v>34</v>
      </c>
      <c r="I11554" s="2" t="s">
        <v>2392</v>
      </c>
      <c r="J11554" s="2" t="s">
        <v>36</v>
      </c>
      <c r="K11554" s="2" t="s">
        <v>37</v>
      </c>
      <c r="L11554" s="2" t="s">
        <v>34</v>
      </c>
      <c r="M11554" s="10">
        <v>2923.06</v>
      </c>
      <c r="N11554" s="4">
        <v>39</v>
      </c>
      <c r="O11554" s="6">
        <v>38.71</v>
      </c>
      <c r="P11554" s="2" t="s">
        <v>33329</v>
      </c>
      <c r="Q11554" s="6">
        <v>100</v>
      </c>
      <c r="R11554" s="6">
        <v>27.63</v>
      </c>
      <c r="S11554" s="5">
        <v>47.4</v>
      </c>
      <c r="T11554" s="7">
        <v>78.180999999999997</v>
      </c>
      <c r="U11554" s="5">
        <v>13.5</v>
      </c>
      <c r="V11554" s="9">
        <v>1.4181999999999999</v>
      </c>
      <c r="W11554" s="6">
        <v>25.78</v>
      </c>
      <c r="X11554" s="6">
        <v>27.23</v>
      </c>
      <c r="Y11554" s="6">
        <v>26.51</v>
      </c>
      <c r="Z11554" s="6">
        <v>26.37</v>
      </c>
      <c r="AA11554" s="6">
        <v>32.46</v>
      </c>
      <c r="AB11554" s="7">
        <v>18.492000000000001</v>
      </c>
      <c r="AC11554" s="2"/>
    </row>
    <row r="11555" spans="1:29" ht="52" x14ac:dyDescent="0.15">
      <c r="A11555" s="3">
        <f>DATE(2016,8,18)</f>
        <v>42600</v>
      </c>
      <c r="B11555" s="2"/>
      <c r="C11555" s="2" t="s">
        <v>7330</v>
      </c>
      <c r="D11555" s="2" t="s">
        <v>24075</v>
      </c>
      <c r="E11555" s="2" t="s">
        <v>8330</v>
      </c>
      <c r="F11555" s="4">
        <v>4832</v>
      </c>
      <c r="G11555" s="2" t="s">
        <v>45</v>
      </c>
      <c r="H11555" s="2" t="s">
        <v>34</v>
      </c>
      <c r="I11555" s="2" t="s">
        <v>33330</v>
      </c>
      <c r="J11555" s="2" t="s">
        <v>80</v>
      </c>
      <c r="K11555" s="2" t="s">
        <v>53</v>
      </c>
      <c r="L11555" s="2" t="s">
        <v>34</v>
      </c>
      <c r="M11555" s="2"/>
      <c r="N11555" s="2"/>
      <c r="O11555" s="2"/>
      <c r="P11555" s="2" t="s">
        <v>33331</v>
      </c>
      <c r="Q11555" s="2"/>
      <c r="R11555" s="6">
        <v>4.0999999999999996</v>
      </c>
      <c r="S11555" s="5">
        <v>3.3</v>
      </c>
      <c r="T11555" s="5">
        <v>-147.5</v>
      </c>
      <c r="U11555" s="5">
        <v>-4</v>
      </c>
      <c r="V11555" s="9">
        <v>0.27139999999999997</v>
      </c>
      <c r="W11555" s="5">
        <v>3.9</v>
      </c>
      <c r="X11555" s="6">
        <v>3.99</v>
      </c>
      <c r="Y11555" s="4">
        <v>4</v>
      </c>
      <c r="Z11555" s="7">
        <v>4.1449999999999996</v>
      </c>
      <c r="AA11555" s="6">
        <v>12.18</v>
      </c>
      <c r="AB11555" s="2" t="s">
        <v>86</v>
      </c>
      <c r="AC11555" s="2"/>
    </row>
    <row r="11556" spans="1:29" ht="104" x14ac:dyDescent="0.15">
      <c r="A11556" s="3">
        <f>DATE(2016,8,18)</f>
        <v>42600</v>
      </c>
      <c r="B11556" s="2"/>
      <c r="C11556" s="2" t="s">
        <v>87</v>
      </c>
      <c r="D11556" s="2" t="s">
        <v>24792</v>
      </c>
      <c r="E11556" s="2" t="s">
        <v>24793</v>
      </c>
      <c r="F11556" s="4">
        <v>3826</v>
      </c>
      <c r="G11556" s="2" t="s">
        <v>226</v>
      </c>
      <c r="H11556" s="2" t="s">
        <v>34</v>
      </c>
      <c r="I11556" s="2" t="s">
        <v>28846</v>
      </c>
      <c r="J11556" s="2" t="s">
        <v>28847</v>
      </c>
      <c r="K11556" s="2" t="s">
        <v>226</v>
      </c>
      <c r="L11556" s="2" t="s">
        <v>34</v>
      </c>
      <c r="M11556" s="10">
        <v>61583.86</v>
      </c>
      <c r="N11556" s="6">
        <v>153.35</v>
      </c>
      <c r="O11556" s="6">
        <v>153.58000000000001</v>
      </c>
      <c r="P11556" s="2" t="s">
        <v>33332</v>
      </c>
      <c r="Q11556" s="2"/>
      <c r="R11556" s="2"/>
      <c r="S11556" s="5">
        <v>432.7</v>
      </c>
      <c r="T11556" s="7">
        <v>708.12300000000005</v>
      </c>
      <c r="U11556" s="5">
        <v>14</v>
      </c>
      <c r="V11556" s="9">
        <v>2.9087999999999998</v>
      </c>
      <c r="W11556" s="6">
        <v>168.02</v>
      </c>
      <c r="X11556" s="6">
        <v>169.15</v>
      </c>
      <c r="Y11556" s="6">
        <v>172.37</v>
      </c>
      <c r="Z11556" s="6">
        <v>171.67</v>
      </c>
      <c r="AA11556" s="6">
        <v>146.6</v>
      </c>
      <c r="AB11556" s="2" t="s">
        <v>47</v>
      </c>
      <c r="AC11556" s="5">
        <v>681.3</v>
      </c>
    </row>
    <row r="11557" spans="1:29" ht="52" x14ac:dyDescent="0.15">
      <c r="A11557" s="3">
        <f>DATE(2016,8,19)</f>
        <v>42601</v>
      </c>
      <c r="B11557" s="3">
        <f>DATE(2016,11,21)</f>
        <v>42695</v>
      </c>
      <c r="C11557" s="2" t="s">
        <v>95</v>
      </c>
      <c r="D11557" s="2" t="s">
        <v>33333</v>
      </c>
      <c r="E11557" s="2" t="s">
        <v>595</v>
      </c>
      <c r="F11557" s="4">
        <v>6726</v>
      </c>
      <c r="G11557" s="2" t="s">
        <v>53</v>
      </c>
      <c r="H11557" s="2" t="s">
        <v>34</v>
      </c>
      <c r="I11557" s="2" t="s">
        <v>33334</v>
      </c>
      <c r="J11557" s="2" t="s">
        <v>32463</v>
      </c>
      <c r="K11557" s="2" t="s">
        <v>53</v>
      </c>
      <c r="L11557" s="2" t="s">
        <v>29791</v>
      </c>
      <c r="M11557" s="2"/>
      <c r="N11557" s="2"/>
      <c r="O11557" s="2"/>
      <c r="P11557" s="2" t="s">
        <v>33335</v>
      </c>
      <c r="Q11557" s="6">
        <v>100</v>
      </c>
      <c r="R11557" s="6">
        <v>11.36</v>
      </c>
      <c r="S11557" s="5">
        <v>15.9</v>
      </c>
      <c r="T11557" s="6">
        <v>87.21</v>
      </c>
      <c r="U11557" s="5">
        <v>7.3</v>
      </c>
      <c r="V11557" s="7">
        <v>0.61699999999999999</v>
      </c>
      <c r="W11557" s="6">
        <v>6.69</v>
      </c>
      <c r="X11557" s="6">
        <v>6.92</v>
      </c>
      <c r="Y11557" s="6">
        <v>6.95</v>
      </c>
      <c r="Z11557" s="7">
        <v>11.044</v>
      </c>
      <c r="AA11557" s="6">
        <v>23.62</v>
      </c>
      <c r="AB11557" s="7">
        <v>25.704000000000001</v>
      </c>
      <c r="AC11557" s="2"/>
    </row>
    <row r="11558" spans="1:29" ht="143" x14ac:dyDescent="0.15">
      <c r="A11558" s="3">
        <f>DATE(2016,8,22)</f>
        <v>42604</v>
      </c>
      <c r="B11558" s="3">
        <f>DATE(2017,6,28)</f>
        <v>42914</v>
      </c>
      <c r="C11558" s="2" t="s">
        <v>95</v>
      </c>
      <c r="D11558" s="2" t="s">
        <v>33336</v>
      </c>
      <c r="E11558" s="2" t="s">
        <v>33337</v>
      </c>
      <c r="F11558" s="4">
        <v>5541</v>
      </c>
      <c r="G11558" s="2" t="s">
        <v>73</v>
      </c>
      <c r="H11558" s="2" t="s">
        <v>34</v>
      </c>
      <c r="I11558" s="2" t="s">
        <v>28188</v>
      </c>
      <c r="J11558" s="2" t="s">
        <v>14384</v>
      </c>
      <c r="K11558" s="2" t="s">
        <v>1461</v>
      </c>
      <c r="L11558" s="2" t="s">
        <v>902</v>
      </c>
      <c r="M11558" s="12">
        <v>25781.813999999998</v>
      </c>
      <c r="N11558" s="7">
        <v>51.634999999999998</v>
      </c>
      <c r="O11558" s="7">
        <v>51.637</v>
      </c>
      <c r="P11558" s="2" t="s">
        <v>33338</v>
      </c>
      <c r="Q11558" s="6">
        <v>100</v>
      </c>
      <c r="R11558" s="6">
        <v>48.53</v>
      </c>
      <c r="S11558" s="5">
        <v>156</v>
      </c>
      <c r="T11558" s="5">
        <v>526</v>
      </c>
      <c r="U11558" s="5">
        <v>12.8</v>
      </c>
      <c r="V11558" s="9">
        <v>2.0476000000000001</v>
      </c>
      <c r="W11558" s="6">
        <v>37.840000000000003</v>
      </c>
      <c r="X11558" s="6">
        <v>38.020000000000003</v>
      </c>
      <c r="Y11558" s="6">
        <v>44.95</v>
      </c>
      <c r="Z11558" s="6">
        <v>43.82</v>
      </c>
      <c r="AA11558" s="6">
        <v>75.69</v>
      </c>
      <c r="AB11558" s="7">
        <v>17.88</v>
      </c>
      <c r="AC11558" s="6">
        <v>621.04999999999995</v>
      </c>
    </row>
    <row r="11559" spans="1:29" ht="221" x14ac:dyDescent="0.15">
      <c r="A11559" s="3">
        <f>DATE(2016,8,22)</f>
        <v>42604</v>
      </c>
      <c r="B11559" s="3">
        <f>DATE(2016,9,28)</f>
        <v>42641</v>
      </c>
      <c r="C11559" s="2" t="s">
        <v>95</v>
      </c>
      <c r="D11559" s="2" t="s">
        <v>33036</v>
      </c>
      <c r="E11559" s="2" t="s">
        <v>13055</v>
      </c>
      <c r="F11559" s="4">
        <v>2836</v>
      </c>
      <c r="G11559" s="2" t="s">
        <v>130</v>
      </c>
      <c r="H11559" s="2" t="s">
        <v>34</v>
      </c>
      <c r="I11559" s="2" t="s">
        <v>7393</v>
      </c>
      <c r="J11559" s="2" t="s">
        <v>5670</v>
      </c>
      <c r="K11559" s="2" t="s">
        <v>130</v>
      </c>
      <c r="L11559" s="2" t="s">
        <v>34</v>
      </c>
      <c r="M11559" s="12">
        <v>223094.696</v>
      </c>
      <c r="N11559" s="6">
        <v>34.840000000000003</v>
      </c>
      <c r="O11559" s="6">
        <v>35.090000000000003</v>
      </c>
      <c r="P11559" s="2" t="s">
        <v>33339</v>
      </c>
      <c r="Q11559" s="6">
        <v>100</v>
      </c>
      <c r="R11559" s="6">
        <v>81.5</v>
      </c>
      <c r="S11559" s="5">
        <v>-177.1</v>
      </c>
      <c r="T11559" s="6">
        <v>-248.12</v>
      </c>
      <c r="U11559" s="5">
        <v>3.2</v>
      </c>
      <c r="V11559" s="9">
        <v>-1.1189</v>
      </c>
      <c r="W11559" s="5">
        <v>37.299999999999997</v>
      </c>
      <c r="X11559" s="6">
        <v>39.03</v>
      </c>
      <c r="Y11559" s="6">
        <v>39.39</v>
      </c>
      <c r="Z11559" s="6">
        <v>42.57</v>
      </c>
      <c r="AA11559" s="6">
        <v>165.98</v>
      </c>
      <c r="AB11559" s="2" t="s">
        <v>86</v>
      </c>
      <c r="AC11559" s="8">
        <v>20942</v>
      </c>
    </row>
    <row r="11560" spans="1:29" ht="52" x14ac:dyDescent="0.15">
      <c r="A11560" s="3">
        <f>DATE(2016,8,22)</f>
        <v>42604</v>
      </c>
      <c r="B11560" s="2"/>
      <c r="C11560" s="2" t="s">
        <v>189</v>
      </c>
      <c r="D11560" s="2" t="s">
        <v>30206</v>
      </c>
      <c r="E11560" s="2" t="s">
        <v>30207</v>
      </c>
      <c r="F11560" s="4">
        <v>2834</v>
      </c>
      <c r="G11560" s="2" t="s">
        <v>130</v>
      </c>
      <c r="H11560" s="2" t="s">
        <v>34</v>
      </c>
      <c r="I11560" s="2" t="s">
        <v>143</v>
      </c>
      <c r="J11560" s="2" t="s">
        <v>144</v>
      </c>
      <c r="K11560" s="2" t="s">
        <v>53</v>
      </c>
      <c r="L11560" s="2" t="s">
        <v>139</v>
      </c>
      <c r="M11560" s="2"/>
      <c r="N11560" s="2"/>
      <c r="O11560" s="2"/>
      <c r="P11560" s="2" t="s">
        <v>33340</v>
      </c>
      <c r="Q11560" s="2"/>
      <c r="R11560" s="2"/>
      <c r="S11560" s="5">
        <v>-3.1</v>
      </c>
      <c r="T11560" s="7">
        <v>-2.5840000000000001</v>
      </c>
      <c r="U11560" s="5">
        <v>0.4</v>
      </c>
      <c r="V11560" s="9">
        <v>-0.17910000000000001</v>
      </c>
      <c r="W11560" s="7">
        <v>1.7969999999999999</v>
      </c>
      <c r="X11560" s="7">
        <v>1.8819999999999999</v>
      </c>
      <c r="Y11560" s="6">
        <v>1.89</v>
      </c>
      <c r="Z11560" s="6">
        <v>1.87</v>
      </c>
      <c r="AA11560" s="6">
        <v>17.079999999999998</v>
      </c>
      <c r="AB11560" s="2" t="s">
        <v>86</v>
      </c>
      <c r="AC11560" s="2"/>
    </row>
    <row r="11561" spans="1:29" ht="195" x14ac:dyDescent="0.15">
      <c r="A11561" s="3">
        <f>DATE(2016,8,23)</f>
        <v>42605</v>
      </c>
      <c r="B11561" s="3">
        <f>DATE(2017,2,24)</f>
        <v>42790</v>
      </c>
      <c r="C11561" s="2" t="s">
        <v>95</v>
      </c>
      <c r="D11561" s="2" t="s">
        <v>33341</v>
      </c>
      <c r="E11561" s="2" t="s">
        <v>33342</v>
      </c>
      <c r="F11561" s="4">
        <v>6021</v>
      </c>
      <c r="G11561" s="2" t="s">
        <v>37</v>
      </c>
      <c r="H11561" s="2" t="s">
        <v>34</v>
      </c>
      <c r="I11561" s="2" t="s">
        <v>22210</v>
      </c>
      <c r="J11561" s="2" t="s">
        <v>36</v>
      </c>
      <c r="K11561" s="2" t="s">
        <v>33</v>
      </c>
      <c r="L11561" s="2" t="s">
        <v>34</v>
      </c>
      <c r="M11561" s="7">
        <v>385.44400000000002</v>
      </c>
      <c r="N11561" s="6">
        <v>44.79</v>
      </c>
      <c r="O11561" s="5">
        <v>44.5</v>
      </c>
      <c r="P11561" s="2" t="s">
        <v>33343</v>
      </c>
      <c r="Q11561" s="6">
        <v>100</v>
      </c>
      <c r="R11561" s="6">
        <v>52.63</v>
      </c>
      <c r="S11561" s="5">
        <v>4.4000000000000004</v>
      </c>
      <c r="T11561" s="2"/>
      <c r="U11561" s="5">
        <v>31.9</v>
      </c>
      <c r="V11561" s="9">
        <v>3.6503999999999999</v>
      </c>
      <c r="W11561" s="4">
        <v>35</v>
      </c>
      <c r="X11561" s="5">
        <v>34.5</v>
      </c>
      <c r="Y11561" s="5">
        <v>34.5</v>
      </c>
      <c r="Z11561" s="6">
        <v>50.46</v>
      </c>
      <c r="AA11561" s="6">
        <v>1.2</v>
      </c>
      <c r="AB11561" s="7">
        <v>12.023</v>
      </c>
      <c r="AC11561" s="2"/>
    </row>
    <row r="11562" spans="1:29" ht="52" x14ac:dyDescent="0.15">
      <c r="A11562" s="3">
        <f>DATE(2016,8,24)</f>
        <v>42606</v>
      </c>
      <c r="B11562" s="2"/>
      <c r="C11562" s="2" t="s">
        <v>7472</v>
      </c>
      <c r="D11562" s="2" t="s">
        <v>29464</v>
      </c>
      <c r="E11562" s="2" t="s">
        <v>29465</v>
      </c>
      <c r="F11562" s="4">
        <v>5912</v>
      </c>
      <c r="G11562" s="2" t="s">
        <v>73</v>
      </c>
      <c r="H11562" s="2" t="s">
        <v>34</v>
      </c>
      <c r="I11562" s="2" t="s">
        <v>143</v>
      </c>
      <c r="J11562" s="2" t="s">
        <v>144</v>
      </c>
      <c r="K11562" s="2" t="s">
        <v>53</v>
      </c>
      <c r="L11562" s="2" t="s">
        <v>139</v>
      </c>
      <c r="M11562" s="2"/>
      <c r="N11562" s="2"/>
      <c r="O11562" s="2"/>
      <c r="P11562" s="2" t="s">
        <v>33344</v>
      </c>
      <c r="Q11562" s="2"/>
      <c r="R11562" s="2"/>
      <c r="S11562" s="5">
        <v>29.8</v>
      </c>
      <c r="T11562" s="5">
        <v>130.9</v>
      </c>
      <c r="U11562" s="5">
        <v>17.100000000000001</v>
      </c>
      <c r="V11562" s="9">
        <v>0.96589999999999998</v>
      </c>
      <c r="W11562" s="6">
        <v>21.47</v>
      </c>
      <c r="X11562" s="6">
        <v>22.55</v>
      </c>
      <c r="Y11562" s="6">
        <v>25.57</v>
      </c>
      <c r="Z11562" s="6">
        <v>24.67</v>
      </c>
      <c r="AA11562" s="6">
        <v>30.76</v>
      </c>
      <c r="AB11562" s="2" t="s">
        <v>47</v>
      </c>
      <c r="AC11562" s="2"/>
    </row>
    <row r="11563" spans="1:29" ht="156" x14ac:dyDescent="0.15">
      <c r="A11563" s="3">
        <f>DATE(2016,8,25)</f>
        <v>42607</v>
      </c>
      <c r="B11563" s="3">
        <f>DATE(2017,1,20)</f>
        <v>42755</v>
      </c>
      <c r="C11563" s="2" t="s">
        <v>95</v>
      </c>
      <c r="D11563" s="2" t="s">
        <v>33345</v>
      </c>
      <c r="E11563" s="2" t="s">
        <v>33346</v>
      </c>
      <c r="F11563" s="4">
        <v>3081</v>
      </c>
      <c r="G11563" s="2" t="s">
        <v>447</v>
      </c>
      <c r="H11563" s="2" t="s">
        <v>34</v>
      </c>
      <c r="I11563" s="2" t="s">
        <v>33347</v>
      </c>
      <c r="J11563" s="2" t="s">
        <v>7430</v>
      </c>
      <c r="K11563" s="2" t="s">
        <v>447</v>
      </c>
      <c r="L11563" s="2" t="s">
        <v>34</v>
      </c>
      <c r="M11563" s="12">
        <v>5023.3950000000004</v>
      </c>
      <c r="N11563" s="6">
        <v>45.39</v>
      </c>
      <c r="O11563" s="6">
        <v>44.92</v>
      </c>
      <c r="P11563" s="2" t="s">
        <v>33348</v>
      </c>
      <c r="Q11563" s="6">
        <v>100</v>
      </c>
      <c r="R11563" s="6">
        <v>110</v>
      </c>
      <c r="S11563" s="5">
        <v>38.6</v>
      </c>
      <c r="T11563" s="7">
        <v>105.28100000000001</v>
      </c>
      <c r="U11563" s="5">
        <v>22.4</v>
      </c>
      <c r="V11563" s="9">
        <v>7.5214999999999996</v>
      </c>
      <c r="W11563" s="5">
        <v>77.8</v>
      </c>
      <c r="X11563" s="6">
        <v>76.97</v>
      </c>
      <c r="Y11563" s="6">
        <v>111.06</v>
      </c>
      <c r="Z11563" s="6">
        <v>110.33</v>
      </c>
      <c r="AA11563" s="6">
        <v>5.1100000000000003</v>
      </c>
      <c r="AB11563" s="7">
        <v>9.4160000000000004</v>
      </c>
      <c r="AC11563" s="5">
        <v>236</v>
      </c>
    </row>
    <row r="11564" spans="1:29" ht="143" x14ac:dyDescent="0.15">
      <c r="A11564" s="3">
        <f>DATE(2016,8,26)</f>
        <v>42608</v>
      </c>
      <c r="B11564" s="3">
        <f>DATE(2016,11,3)</f>
        <v>42677</v>
      </c>
      <c r="C11564" s="2" t="s">
        <v>95</v>
      </c>
      <c r="D11564" s="2" t="s">
        <v>31387</v>
      </c>
      <c r="E11564" s="2" t="s">
        <v>31388</v>
      </c>
      <c r="F11564" s="4">
        <v>7371</v>
      </c>
      <c r="G11564" s="2" t="s">
        <v>223</v>
      </c>
      <c r="H11564" s="2" t="s">
        <v>34</v>
      </c>
      <c r="I11564" s="2" t="s">
        <v>33349</v>
      </c>
      <c r="J11564" s="2" t="s">
        <v>31277</v>
      </c>
      <c r="K11564" s="2" t="s">
        <v>53</v>
      </c>
      <c r="L11564" s="2" t="s">
        <v>34</v>
      </c>
      <c r="M11564" s="2"/>
      <c r="N11564" s="6">
        <v>18.420000000000002</v>
      </c>
      <c r="O11564" s="5">
        <v>18.399999999999999</v>
      </c>
      <c r="P11564" s="2" t="s">
        <v>33350</v>
      </c>
      <c r="Q11564" s="6">
        <v>100</v>
      </c>
      <c r="R11564" s="6">
        <v>32</v>
      </c>
      <c r="S11564" s="5">
        <v>153.19999999999999</v>
      </c>
      <c r="T11564" s="5">
        <v>652.9</v>
      </c>
      <c r="U11564" s="5">
        <v>7.6</v>
      </c>
      <c r="V11564" s="7">
        <v>1.1519999999999999</v>
      </c>
      <c r="W11564" s="6">
        <v>23.43</v>
      </c>
      <c r="X11564" s="6">
        <v>26.55</v>
      </c>
      <c r="Y11564" s="6">
        <v>29.27</v>
      </c>
      <c r="Z11564" s="6">
        <v>28.61</v>
      </c>
      <c r="AA11564" s="6">
        <v>125.81</v>
      </c>
      <c r="AB11564" s="7">
        <v>17.271999999999998</v>
      </c>
      <c r="AC11564" s="2"/>
    </row>
    <row r="11565" spans="1:29" ht="156" x14ac:dyDescent="0.15">
      <c r="A11565" s="3">
        <f>DATE(2016,8,29)</f>
        <v>42611</v>
      </c>
      <c r="B11565" s="3">
        <f>DATE(2017,4,7)</f>
        <v>42832</v>
      </c>
      <c r="C11565" s="2" t="s">
        <v>95</v>
      </c>
      <c r="D11565" s="2" t="s">
        <v>1303</v>
      </c>
      <c r="E11565" s="2" t="s">
        <v>1304</v>
      </c>
      <c r="F11565" s="4">
        <v>6022</v>
      </c>
      <c r="G11565" s="2" t="s">
        <v>37</v>
      </c>
      <c r="H11565" s="2" t="s">
        <v>34</v>
      </c>
      <c r="I11565" s="2" t="s">
        <v>33351</v>
      </c>
      <c r="J11565" s="2" t="s">
        <v>1304</v>
      </c>
      <c r="K11565" s="2" t="s">
        <v>37</v>
      </c>
      <c r="L11565" s="2" t="s">
        <v>34</v>
      </c>
      <c r="M11565" s="6">
        <v>24.46</v>
      </c>
      <c r="N11565" s="6">
        <v>25.85</v>
      </c>
      <c r="O11565" s="4">
        <v>25</v>
      </c>
      <c r="P11565" s="2" t="s">
        <v>33352</v>
      </c>
      <c r="Q11565" s="6">
        <v>100</v>
      </c>
      <c r="R11565" s="6">
        <v>52.6</v>
      </c>
      <c r="S11565" s="2"/>
      <c r="T11565" s="2"/>
      <c r="U11565" s="2"/>
      <c r="V11565" s="2"/>
      <c r="W11565" s="4">
        <v>43</v>
      </c>
      <c r="X11565" s="6">
        <v>42.06</v>
      </c>
      <c r="Y11565" s="6">
        <v>42.06</v>
      </c>
      <c r="Z11565" s="4">
        <v>50</v>
      </c>
      <c r="AA11565" s="6">
        <v>2.75</v>
      </c>
      <c r="AB11565" s="2" t="s">
        <v>47</v>
      </c>
      <c r="AC11565" s="2"/>
    </row>
    <row r="11566" spans="1:29" ht="52" x14ac:dyDescent="0.15">
      <c r="A11566" s="3">
        <f>DATE(2016,8,29)</f>
        <v>42611</v>
      </c>
      <c r="B11566" s="2"/>
      <c r="C11566" s="2" t="s">
        <v>7472</v>
      </c>
      <c r="D11566" s="2" t="s">
        <v>32995</v>
      </c>
      <c r="E11566" s="2" t="s">
        <v>11539</v>
      </c>
      <c r="F11566" s="4">
        <v>1241</v>
      </c>
      <c r="G11566" s="2" t="s">
        <v>166</v>
      </c>
      <c r="H11566" s="2" t="s">
        <v>34</v>
      </c>
      <c r="I11566" s="2" t="s">
        <v>143</v>
      </c>
      <c r="J11566" s="2" t="s">
        <v>144</v>
      </c>
      <c r="K11566" s="2" t="s">
        <v>53</v>
      </c>
      <c r="L11566" s="2" t="s">
        <v>139</v>
      </c>
      <c r="M11566" s="2"/>
      <c r="N11566" s="2"/>
      <c r="O11566" s="2"/>
      <c r="P11566" s="2" t="s">
        <v>33353</v>
      </c>
      <c r="Q11566" s="2"/>
      <c r="R11566" s="2"/>
      <c r="S11566" s="8">
        <v>-1174.7</v>
      </c>
      <c r="T11566" s="5">
        <v>624.4</v>
      </c>
      <c r="U11566" s="5">
        <v>33.4</v>
      </c>
      <c r="V11566" s="9">
        <v>-57.065800000000003</v>
      </c>
      <c r="W11566" s="6">
        <v>1.39</v>
      </c>
      <c r="X11566" s="6">
        <v>1.33</v>
      </c>
      <c r="Y11566" s="6">
        <v>1.31</v>
      </c>
      <c r="Z11566" s="6">
        <v>1.34</v>
      </c>
      <c r="AA11566" s="6">
        <v>18.5</v>
      </c>
      <c r="AB11566" s="2" t="s">
        <v>47</v>
      </c>
      <c r="AC11566" s="2"/>
    </row>
    <row r="11567" spans="1:29" ht="78" x14ac:dyDescent="0.15">
      <c r="A11567" s="3">
        <f>DATE(2016,8,29)</f>
        <v>42611</v>
      </c>
      <c r="B11567" s="3">
        <f>DATE(2016,9,30)</f>
        <v>42643</v>
      </c>
      <c r="C11567" s="2" t="s">
        <v>95</v>
      </c>
      <c r="D11567" s="2" t="s">
        <v>33354</v>
      </c>
      <c r="E11567" s="2" t="s">
        <v>8300</v>
      </c>
      <c r="F11567" s="4">
        <v>8099</v>
      </c>
      <c r="G11567" s="2" t="s">
        <v>454</v>
      </c>
      <c r="H11567" s="2" t="s">
        <v>34</v>
      </c>
      <c r="I11567" s="2" t="s">
        <v>33355</v>
      </c>
      <c r="J11567" s="2" t="s">
        <v>12945</v>
      </c>
      <c r="K11567" s="2" t="s">
        <v>454</v>
      </c>
      <c r="L11567" s="2" t="s">
        <v>34</v>
      </c>
      <c r="M11567" s="2"/>
      <c r="N11567" s="6">
        <v>20.440000000000001</v>
      </c>
      <c r="O11567" s="6">
        <v>22.18</v>
      </c>
      <c r="P11567" s="2" t="s">
        <v>33356</v>
      </c>
      <c r="Q11567" s="6">
        <v>100</v>
      </c>
      <c r="R11567" s="6">
        <v>22.34</v>
      </c>
      <c r="S11567" s="5">
        <v>-1.5</v>
      </c>
      <c r="T11567" s="7">
        <v>-10.532999999999999</v>
      </c>
      <c r="U11567" s="5">
        <v>12.7</v>
      </c>
      <c r="V11567" s="9">
        <v>-8.14E-2</v>
      </c>
      <c r="W11567" s="4">
        <v>20</v>
      </c>
      <c r="X11567" s="6">
        <v>20.440000000000001</v>
      </c>
      <c r="Y11567" s="6">
        <v>20.440000000000001</v>
      </c>
      <c r="Z11567" s="6">
        <v>22.18</v>
      </c>
      <c r="AA11567" s="6">
        <v>11.39</v>
      </c>
      <c r="AB11567" s="2" t="s">
        <v>86</v>
      </c>
      <c r="AC11567" s="2"/>
    </row>
    <row r="11568" spans="1:29" ht="130" x14ac:dyDescent="0.15">
      <c r="A11568" s="3">
        <f>DATE(2016,8,31)</f>
        <v>42613</v>
      </c>
      <c r="B11568" s="3">
        <f>DATE(2016,12,1)</f>
        <v>42705</v>
      </c>
      <c r="C11568" s="2" t="s">
        <v>95</v>
      </c>
      <c r="D11568" s="2" t="s">
        <v>33357</v>
      </c>
      <c r="E11568" s="2" t="s">
        <v>33358</v>
      </c>
      <c r="F11568" s="4">
        <v>7372</v>
      </c>
      <c r="G11568" s="2" t="s">
        <v>551</v>
      </c>
      <c r="H11568" s="2" t="s">
        <v>34</v>
      </c>
      <c r="I11568" s="2" t="s">
        <v>30731</v>
      </c>
      <c r="J11568" s="2" t="s">
        <v>30732</v>
      </c>
      <c r="K11568" s="2" t="s">
        <v>551</v>
      </c>
      <c r="L11568" s="2" t="s">
        <v>34</v>
      </c>
      <c r="M11568" s="2"/>
      <c r="N11568" s="2"/>
      <c r="O11568" s="2"/>
      <c r="P11568" s="2" t="s">
        <v>33359</v>
      </c>
      <c r="Q11568" s="6">
        <v>100</v>
      </c>
      <c r="R11568" s="6">
        <v>60.5</v>
      </c>
      <c r="S11568" s="5">
        <v>-36.700000000000003</v>
      </c>
      <c r="T11568" s="7">
        <v>4.3949999999999996</v>
      </c>
      <c r="U11568" s="5">
        <v>7.8</v>
      </c>
      <c r="V11568" s="9">
        <v>-1.6744000000000001</v>
      </c>
      <c r="W11568" s="6">
        <v>43.65</v>
      </c>
      <c r="X11568" s="6">
        <v>44.49</v>
      </c>
      <c r="Y11568" s="6">
        <v>53.95</v>
      </c>
      <c r="Z11568" s="6">
        <v>51.65</v>
      </c>
      <c r="AA11568" s="6">
        <v>22.24</v>
      </c>
      <c r="AB11568" s="2" t="s">
        <v>86</v>
      </c>
      <c r="AC11568" s="2"/>
    </row>
    <row r="11569" spans="1:29" ht="91" x14ac:dyDescent="0.15">
      <c r="A11569" s="3">
        <f>DATE(2016,9,2)</f>
        <v>42615</v>
      </c>
      <c r="B11569" s="3">
        <f>DATE(2016,11,18)</f>
        <v>42692</v>
      </c>
      <c r="C11569" s="2" t="s">
        <v>95</v>
      </c>
      <c r="D11569" s="2" t="s">
        <v>33360</v>
      </c>
      <c r="E11569" s="2" t="s">
        <v>33361</v>
      </c>
      <c r="F11569" s="4">
        <v>3714</v>
      </c>
      <c r="G11569" s="2" t="s">
        <v>105</v>
      </c>
      <c r="H11569" s="2" t="s">
        <v>34</v>
      </c>
      <c r="I11569" s="2" t="s">
        <v>25471</v>
      </c>
      <c r="J11569" s="2" t="s">
        <v>244</v>
      </c>
      <c r="K11569" s="2" t="s">
        <v>53</v>
      </c>
      <c r="L11569" s="2" t="s">
        <v>34</v>
      </c>
      <c r="M11569" s="2"/>
      <c r="N11569" s="2"/>
      <c r="O11569" s="2"/>
      <c r="P11569" s="2" t="s">
        <v>33362</v>
      </c>
      <c r="Q11569" s="6">
        <v>100</v>
      </c>
      <c r="R11569" s="6">
        <v>2.58</v>
      </c>
      <c r="S11569" s="5">
        <v>-15.7</v>
      </c>
      <c r="T11569" s="7">
        <v>68.370999999999995</v>
      </c>
      <c r="U11569" s="5">
        <v>1.1000000000000001</v>
      </c>
      <c r="V11569" s="9">
        <v>-0.31850000000000001</v>
      </c>
      <c r="W11569" s="6">
        <v>1.73</v>
      </c>
      <c r="X11569" s="6">
        <v>1.66</v>
      </c>
      <c r="Y11569" s="6">
        <v>2.58</v>
      </c>
      <c r="Z11569" s="6">
        <v>2.58</v>
      </c>
      <c r="AA11569" s="6">
        <v>48.25</v>
      </c>
      <c r="AB11569" s="7">
        <v>17.010999999999999</v>
      </c>
      <c r="AC11569" s="2"/>
    </row>
    <row r="11570" spans="1:29" ht="65" x14ac:dyDescent="0.15">
      <c r="A11570" s="3">
        <f>DATE(2016,9,2)</f>
        <v>42615</v>
      </c>
      <c r="B11570" s="2"/>
      <c r="C11570" s="2" t="s">
        <v>7472</v>
      </c>
      <c r="D11570" s="2" t="s">
        <v>33363</v>
      </c>
      <c r="E11570" s="2" t="s">
        <v>31625</v>
      </c>
      <c r="F11570" s="4">
        <v>2821</v>
      </c>
      <c r="G11570" s="2" t="s">
        <v>98</v>
      </c>
      <c r="H11570" s="2" t="s">
        <v>34</v>
      </c>
      <c r="I11570" s="2" t="s">
        <v>143</v>
      </c>
      <c r="J11570" s="2" t="s">
        <v>144</v>
      </c>
      <c r="K11570" s="2" t="s">
        <v>53</v>
      </c>
      <c r="L11570" s="2" t="s">
        <v>139</v>
      </c>
      <c r="M11570" s="2"/>
      <c r="N11570" s="2"/>
      <c r="O11570" s="2"/>
      <c r="P11570" s="2" t="s">
        <v>33364</v>
      </c>
      <c r="Q11570" s="2"/>
      <c r="R11570" s="2"/>
      <c r="S11570" s="8">
        <v>3711.5</v>
      </c>
      <c r="T11570" s="12">
        <v>5949.107</v>
      </c>
      <c r="U11570" s="5">
        <v>13.5</v>
      </c>
      <c r="V11570" s="9">
        <v>8.0088000000000008</v>
      </c>
      <c r="W11570" s="6">
        <v>79.17</v>
      </c>
      <c r="X11570" s="6">
        <v>78.48</v>
      </c>
      <c r="Y11570" s="6">
        <v>79.72</v>
      </c>
      <c r="Z11570" s="6">
        <v>79.72</v>
      </c>
      <c r="AA11570" s="6">
        <v>162.71</v>
      </c>
      <c r="AB11570" s="2" t="s">
        <v>47</v>
      </c>
      <c r="AC11570" s="2"/>
    </row>
    <row r="11571" spans="1:29" ht="117" x14ac:dyDescent="0.15">
      <c r="A11571" s="3">
        <f>DATE(2016,9,2)</f>
        <v>42615</v>
      </c>
      <c r="B11571" s="3">
        <f>DATE(2016,12,19)</f>
        <v>42723</v>
      </c>
      <c r="C11571" s="2" t="s">
        <v>95</v>
      </c>
      <c r="D11571" s="2" t="s">
        <v>32031</v>
      </c>
      <c r="E11571" s="2" t="s">
        <v>29798</v>
      </c>
      <c r="F11571" s="4">
        <v>6021</v>
      </c>
      <c r="G11571" s="2" t="s">
        <v>37</v>
      </c>
      <c r="H11571" s="2" t="s">
        <v>34</v>
      </c>
      <c r="I11571" s="2" t="s">
        <v>32399</v>
      </c>
      <c r="J11571" s="2" t="s">
        <v>29798</v>
      </c>
      <c r="K11571" s="2" t="s">
        <v>37</v>
      </c>
      <c r="L11571" s="2" t="s">
        <v>34</v>
      </c>
      <c r="M11571" s="7">
        <v>37.689</v>
      </c>
      <c r="N11571" s="6">
        <v>7.75</v>
      </c>
      <c r="O11571" s="6">
        <v>7.75</v>
      </c>
      <c r="P11571" s="2" t="s">
        <v>33365</v>
      </c>
      <c r="Q11571" s="6">
        <v>100</v>
      </c>
      <c r="R11571" s="2"/>
      <c r="S11571" s="2"/>
      <c r="T11571" s="2"/>
      <c r="U11571" s="2"/>
      <c r="V11571" s="2"/>
      <c r="W11571" s="6">
        <v>7.51</v>
      </c>
      <c r="X11571" s="6">
        <v>7.55</v>
      </c>
      <c r="Y11571" s="6">
        <v>9.11</v>
      </c>
      <c r="Z11571" s="6">
        <v>9.11</v>
      </c>
      <c r="AA11571" s="2"/>
      <c r="AB11571" s="2" t="s">
        <v>47</v>
      </c>
      <c r="AC11571" s="2"/>
    </row>
    <row r="11572" spans="1:29" ht="78" x14ac:dyDescent="0.15">
      <c r="A11572" s="3">
        <f>DATE(2016,9,2)</f>
        <v>42615</v>
      </c>
      <c r="B11572" s="2"/>
      <c r="C11572" s="2" t="s">
        <v>7330</v>
      </c>
      <c r="D11572" s="2" t="s">
        <v>33366</v>
      </c>
      <c r="E11572" s="2" t="s">
        <v>33367</v>
      </c>
      <c r="F11572" s="4">
        <v>6211</v>
      </c>
      <c r="G11572" s="2" t="s">
        <v>53</v>
      </c>
      <c r="H11572" s="2" t="s">
        <v>34</v>
      </c>
      <c r="I11572" s="2" t="s">
        <v>33368</v>
      </c>
      <c r="J11572" s="2" t="s">
        <v>302</v>
      </c>
      <c r="K11572" s="2" t="s">
        <v>53</v>
      </c>
      <c r="L11572" s="2" t="s">
        <v>34</v>
      </c>
      <c r="M11572" s="2"/>
      <c r="N11572" s="2"/>
      <c r="O11572" s="2"/>
      <c r="P11572" s="2" t="s">
        <v>33369</v>
      </c>
      <c r="Q11572" s="2"/>
      <c r="R11572" s="6">
        <v>1.2</v>
      </c>
      <c r="S11572" s="5">
        <v>-2.2000000000000002</v>
      </c>
      <c r="T11572" s="7">
        <v>-1.744</v>
      </c>
      <c r="U11572" s="5">
        <v>0.7</v>
      </c>
      <c r="V11572" s="9">
        <v>-9.7699999999999995E-2</v>
      </c>
      <c r="W11572" s="5">
        <v>1.3</v>
      </c>
      <c r="X11572" s="6">
        <v>1.1599999999999999</v>
      </c>
      <c r="Y11572" s="6">
        <v>1.52</v>
      </c>
      <c r="Z11572" s="6">
        <v>1.53</v>
      </c>
      <c r="AA11572" s="6">
        <v>22.09</v>
      </c>
      <c r="AB11572" s="2" t="s">
        <v>86</v>
      </c>
      <c r="AC11572" s="2"/>
    </row>
    <row r="11573" spans="1:29" ht="52" x14ac:dyDescent="0.15">
      <c r="A11573" s="3">
        <f>DATE(2016,9,6)</f>
        <v>42619</v>
      </c>
      <c r="B11573" s="3">
        <f>DATE(2016,11,4)</f>
        <v>42678</v>
      </c>
      <c r="C11573" s="2" t="s">
        <v>95</v>
      </c>
      <c r="D11573" s="2" t="s">
        <v>33370</v>
      </c>
      <c r="E11573" s="2" t="s">
        <v>33371</v>
      </c>
      <c r="F11573" s="4">
        <v>3826</v>
      </c>
      <c r="G11573" s="2" t="s">
        <v>226</v>
      </c>
      <c r="H11573" s="2" t="s">
        <v>34</v>
      </c>
      <c r="I11573" s="2" t="s">
        <v>315</v>
      </c>
      <c r="J11573" s="2" t="s">
        <v>316</v>
      </c>
      <c r="K11573" s="2" t="s">
        <v>226</v>
      </c>
      <c r="L11573" s="2" t="s">
        <v>34</v>
      </c>
      <c r="M11573" s="12">
        <v>56071.720999999998</v>
      </c>
      <c r="N11573" s="5">
        <v>79.5</v>
      </c>
      <c r="O11573" s="6">
        <v>79.349999999999994</v>
      </c>
      <c r="P11573" s="2" t="s">
        <v>33372</v>
      </c>
      <c r="Q11573" s="6">
        <v>100</v>
      </c>
      <c r="R11573" s="6">
        <v>53</v>
      </c>
      <c r="S11573" s="5">
        <v>-49.5</v>
      </c>
      <c r="T11573" s="7">
        <v>5.7629999999999999</v>
      </c>
      <c r="U11573" s="5">
        <v>5.2</v>
      </c>
      <c r="V11573" s="7">
        <v>-0.68500000000000005</v>
      </c>
      <c r="W11573" s="6">
        <v>34.69</v>
      </c>
      <c r="X11573" s="6">
        <v>34.42</v>
      </c>
      <c r="Y11573" s="6">
        <v>52.53</v>
      </c>
      <c r="Z11573" s="6">
        <v>52.65</v>
      </c>
      <c r="AA11573" s="6">
        <v>73.22</v>
      </c>
      <c r="AB11573" s="2" t="s">
        <v>86</v>
      </c>
      <c r="AC11573" s="8">
        <v>4097.6000000000004</v>
      </c>
    </row>
    <row r="11574" spans="1:29" ht="221" x14ac:dyDescent="0.15">
      <c r="A11574" s="3">
        <f>DATE(2016,9,6)</f>
        <v>42619</v>
      </c>
      <c r="B11574" s="3">
        <f>DATE(2017,2,27)</f>
        <v>42793</v>
      </c>
      <c r="C11574" s="2" t="s">
        <v>95</v>
      </c>
      <c r="D11574" s="2" t="s">
        <v>33373</v>
      </c>
      <c r="E11574" s="2" t="s">
        <v>27469</v>
      </c>
      <c r="F11574" s="4">
        <v>4923</v>
      </c>
      <c r="G11574" s="2" t="s">
        <v>439</v>
      </c>
      <c r="H11574" s="2" t="s">
        <v>34</v>
      </c>
      <c r="I11574" s="2" t="s">
        <v>18594</v>
      </c>
      <c r="J11574" s="2" t="s">
        <v>18595</v>
      </c>
      <c r="K11574" s="2" t="s">
        <v>148</v>
      </c>
      <c r="L11574" s="2" t="s">
        <v>902</v>
      </c>
      <c r="M11574" s="12">
        <v>39006.144</v>
      </c>
      <c r="N11574" s="7">
        <v>43.064999999999998</v>
      </c>
      <c r="O11574" s="7">
        <v>43.802999999999997</v>
      </c>
      <c r="P11574" s="2" t="s">
        <v>33374</v>
      </c>
      <c r="Q11574" s="6">
        <v>100</v>
      </c>
      <c r="R11574" s="6">
        <v>40.32</v>
      </c>
      <c r="S11574" s="5">
        <v>294</v>
      </c>
      <c r="T11574" s="8">
        <v>2482</v>
      </c>
      <c r="U11574" s="5">
        <v>10.8</v>
      </c>
      <c r="V11574" s="9">
        <v>0.42430000000000001</v>
      </c>
      <c r="W11574" s="6">
        <v>35.729999999999997</v>
      </c>
      <c r="X11574" s="6">
        <v>36.15</v>
      </c>
      <c r="Y11574" s="4">
        <v>41</v>
      </c>
      <c r="Z11574" s="6">
        <v>41.92</v>
      </c>
      <c r="AA11574" s="6">
        <v>701.29</v>
      </c>
      <c r="AB11574" s="7">
        <v>25.372</v>
      </c>
      <c r="AC11574" s="6">
        <v>985.31</v>
      </c>
    </row>
    <row r="11575" spans="1:29" ht="78" x14ac:dyDescent="0.15">
      <c r="A11575" s="3">
        <f>DATE(2016,9,7)</f>
        <v>42620</v>
      </c>
      <c r="B11575" s="2"/>
      <c r="C11575" s="2" t="s">
        <v>7330</v>
      </c>
      <c r="D11575" s="2" t="s">
        <v>33375</v>
      </c>
      <c r="E11575" s="2" t="s">
        <v>30354</v>
      </c>
      <c r="F11575" s="4">
        <v>3841</v>
      </c>
      <c r="G11575" s="2" t="s">
        <v>226</v>
      </c>
      <c r="H11575" s="2" t="s">
        <v>34</v>
      </c>
      <c r="I11575" s="2" t="s">
        <v>33376</v>
      </c>
      <c r="J11575" s="2" t="s">
        <v>244</v>
      </c>
      <c r="K11575" s="2" t="s">
        <v>53</v>
      </c>
      <c r="L11575" s="2" t="s">
        <v>34</v>
      </c>
      <c r="M11575" s="2"/>
      <c r="N11575" s="2"/>
      <c r="O11575" s="2"/>
      <c r="P11575" s="2" t="s">
        <v>33377</v>
      </c>
      <c r="Q11575" s="2"/>
      <c r="R11575" s="6">
        <v>1.55</v>
      </c>
      <c r="S11575" s="5">
        <v>-6.5</v>
      </c>
      <c r="T11575" s="7">
        <v>-6.157</v>
      </c>
      <c r="U11575" s="5">
        <v>0.4</v>
      </c>
      <c r="V11575" s="9">
        <v>-0.3014</v>
      </c>
      <c r="W11575" s="6">
        <v>1.25</v>
      </c>
      <c r="X11575" s="5">
        <v>1.2</v>
      </c>
      <c r="Y11575" s="6">
        <v>1.81</v>
      </c>
      <c r="Z11575" s="5">
        <v>1.8</v>
      </c>
      <c r="AA11575" s="6">
        <v>26.14</v>
      </c>
      <c r="AB11575" s="2" t="s">
        <v>86</v>
      </c>
      <c r="AC11575" s="2"/>
    </row>
    <row r="11576" spans="1:29" ht="78" x14ac:dyDescent="0.15">
      <c r="A11576" s="3">
        <f>DATE(2016,9,8)</f>
        <v>42621</v>
      </c>
      <c r="B11576" s="3">
        <f>DATE(2016,11,10)</f>
        <v>42684</v>
      </c>
      <c r="C11576" s="2" t="s">
        <v>95</v>
      </c>
      <c r="D11576" s="2" t="s">
        <v>33378</v>
      </c>
      <c r="E11576" s="2" t="s">
        <v>8995</v>
      </c>
      <c r="F11576" s="4">
        <v>7372</v>
      </c>
      <c r="G11576" s="2" t="s">
        <v>551</v>
      </c>
      <c r="H11576" s="2" t="s">
        <v>34</v>
      </c>
      <c r="I11576" s="2" t="s">
        <v>26597</v>
      </c>
      <c r="J11576" s="2" t="s">
        <v>32665</v>
      </c>
      <c r="K11576" s="2" t="s">
        <v>223</v>
      </c>
      <c r="L11576" s="2" t="s">
        <v>34</v>
      </c>
      <c r="M11576" s="2"/>
      <c r="N11576" s="2"/>
      <c r="O11576" s="2"/>
      <c r="P11576" s="2" t="s">
        <v>33379</v>
      </c>
      <c r="Q11576" s="6">
        <v>100</v>
      </c>
      <c r="R11576" s="6">
        <v>17.399999999999999</v>
      </c>
      <c r="S11576" s="5">
        <v>-41.5</v>
      </c>
      <c r="T11576" s="7">
        <v>-38.506</v>
      </c>
      <c r="U11576" s="5">
        <v>1.6</v>
      </c>
      <c r="V11576" s="9">
        <v>-1.3945000000000001</v>
      </c>
      <c r="W11576" s="6">
        <v>15.52</v>
      </c>
      <c r="X11576" s="6">
        <v>16.34</v>
      </c>
      <c r="Y11576" s="6">
        <v>17.41</v>
      </c>
      <c r="Z11576" s="6">
        <v>17.39</v>
      </c>
      <c r="AA11576" s="6">
        <v>30.46</v>
      </c>
      <c r="AB11576" s="2" t="s">
        <v>86</v>
      </c>
      <c r="AC11576" s="2"/>
    </row>
    <row r="11577" spans="1:29" ht="65" x14ac:dyDescent="0.15">
      <c r="A11577" s="3">
        <f>DATE(2016,9,8)</f>
        <v>42621</v>
      </c>
      <c r="B11577" s="3">
        <f>DATE(2016,12,29)</f>
        <v>42733</v>
      </c>
      <c r="C11577" s="2" t="s">
        <v>95</v>
      </c>
      <c r="D11577" s="2" t="s">
        <v>33380</v>
      </c>
      <c r="E11577" s="2" t="s">
        <v>540</v>
      </c>
      <c r="F11577" s="4">
        <v>2836</v>
      </c>
      <c r="G11577" s="2" t="s">
        <v>130</v>
      </c>
      <c r="H11577" s="2" t="s">
        <v>34</v>
      </c>
      <c r="I11577" s="2" t="s">
        <v>33381</v>
      </c>
      <c r="J11577" s="2" t="s">
        <v>33382</v>
      </c>
      <c r="K11577" s="2" t="s">
        <v>454</v>
      </c>
      <c r="L11577" s="2" t="s">
        <v>34</v>
      </c>
      <c r="M11577" s="2"/>
      <c r="N11577" s="2"/>
      <c r="O11577" s="2"/>
      <c r="P11577" s="2" t="s">
        <v>33383</v>
      </c>
      <c r="Q11577" s="6">
        <v>100</v>
      </c>
      <c r="R11577" s="2"/>
      <c r="S11577" s="5">
        <v>-9.1999999999999993</v>
      </c>
      <c r="T11577" s="7">
        <v>-8.1769999999999996</v>
      </c>
      <c r="U11577" s="5">
        <v>14.6</v>
      </c>
      <c r="V11577" s="9">
        <v>-19.8338</v>
      </c>
      <c r="W11577" s="6">
        <v>2.37</v>
      </c>
      <c r="X11577" s="6">
        <v>2.33</v>
      </c>
      <c r="Y11577" s="7">
        <v>2.4740000000000002</v>
      </c>
      <c r="Z11577" s="6">
        <v>2.68</v>
      </c>
      <c r="AA11577" s="6">
        <v>5.83</v>
      </c>
      <c r="AB11577" s="2" t="s">
        <v>86</v>
      </c>
      <c r="AC11577" s="2"/>
    </row>
    <row r="11578" spans="1:29" ht="104" x14ac:dyDescent="0.15">
      <c r="A11578" s="3">
        <f>DATE(2016,9,8)</f>
        <v>42621</v>
      </c>
      <c r="B11578" s="3">
        <f>DATE(2017,1,31)</f>
        <v>42766</v>
      </c>
      <c r="C11578" s="2" t="s">
        <v>95</v>
      </c>
      <c r="D11578" s="2" t="s">
        <v>33384</v>
      </c>
      <c r="E11578" s="2" t="s">
        <v>36</v>
      </c>
      <c r="F11578" s="4">
        <v>6021</v>
      </c>
      <c r="G11578" s="2" t="s">
        <v>37</v>
      </c>
      <c r="H11578" s="2" t="s">
        <v>34</v>
      </c>
      <c r="I11578" s="2" t="s">
        <v>18147</v>
      </c>
      <c r="J11578" s="2" t="s">
        <v>18148</v>
      </c>
      <c r="K11578" s="2" t="s">
        <v>33</v>
      </c>
      <c r="L11578" s="2" t="s">
        <v>34</v>
      </c>
      <c r="M11578" s="7">
        <v>318.05700000000002</v>
      </c>
      <c r="N11578" s="6">
        <v>6.56</v>
      </c>
      <c r="O11578" s="5">
        <v>6.5</v>
      </c>
      <c r="P11578" s="2" t="s">
        <v>33385</v>
      </c>
      <c r="Q11578" s="6">
        <v>100</v>
      </c>
      <c r="R11578" s="6">
        <v>18</v>
      </c>
      <c r="S11578" s="2"/>
      <c r="T11578" s="2"/>
      <c r="U11578" s="2"/>
      <c r="V11578" s="2"/>
      <c r="W11578" s="5">
        <v>11.5</v>
      </c>
      <c r="X11578" s="5">
        <v>12.5</v>
      </c>
      <c r="Y11578" s="5">
        <v>12.5</v>
      </c>
      <c r="Z11578" s="6">
        <v>17.45</v>
      </c>
      <c r="AA11578" s="6">
        <v>1.97</v>
      </c>
      <c r="AB11578" s="2" t="s">
        <v>47</v>
      </c>
      <c r="AC11578" s="2"/>
    </row>
    <row r="11579" spans="1:29" ht="78" x14ac:dyDescent="0.15">
      <c r="A11579" s="3">
        <f>DATE(2016,9,8)</f>
        <v>42621</v>
      </c>
      <c r="B11579" s="2"/>
      <c r="C11579" s="2" t="s">
        <v>30</v>
      </c>
      <c r="D11579" s="2" t="s">
        <v>1436</v>
      </c>
      <c r="E11579" s="2" t="s">
        <v>1437</v>
      </c>
      <c r="F11579" s="4">
        <v>4922</v>
      </c>
      <c r="G11579" s="2" t="s">
        <v>439</v>
      </c>
      <c r="H11579" s="2" t="s">
        <v>34</v>
      </c>
      <c r="I11579" s="2" t="s">
        <v>21528</v>
      </c>
      <c r="J11579" s="2" t="s">
        <v>4880</v>
      </c>
      <c r="K11579" s="2" t="s">
        <v>439</v>
      </c>
      <c r="L11579" s="2" t="s">
        <v>34</v>
      </c>
      <c r="M11579" s="12">
        <v>56426.908000000003</v>
      </c>
      <c r="N11579" s="6">
        <v>27.25</v>
      </c>
      <c r="O11579" s="6">
        <v>26.81</v>
      </c>
      <c r="P11579" s="2" t="s">
        <v>33386</v>
      </c>
      <c r="Q11579" s="2"/>
      <c r="R11579" s="2"/>
      <c r="S11579" s="8">
        <v>-1225</v>
      </c>
      <c r="T11579" s="8">
        <v>3063</v>
      </c>
      <c r="U11579" s="5">
        <v>6.4</v>
      </c>
      <c r="V11579" s="9">
        <v>-1.6329</v>
      </c>
      <c r="W11579" s="6">
        <v>26.21</v>
      </c>
      <c r="X11579" s="6">
        <v>28.11</v>
      </c>
      <c r="Y11579" s="6">
        <v>27.68</v>
      </c>
      <c r="Z11579" s="6">
        <v>27.43</v>
      </c>
      <c r="AA11579" s="6">
        <v>750.66</v>
      </c>
      <c r="AB11579" s="2" t="s">
        <v>47</v>
      </c>
      <c r="AC11579" s="8">
        <v>1010.4</v>
      </c>
    </row>
    <row r="11580" spans="1:29" ht="104" x14ac:dyDescent="0.15">
      <c r="A11580" s="3">
        <f>DATE(2016,9,12)</f>
        <v>42625</v>
      </c>
      <c r="B11580" s="3">
        <f>DATE(2016,10,25)</f>
        <v>42668</v>
      </c>
      <c r="C11580" s="2" t="s">
        <v>95</v>
      </c>
      <c r="D11580" s="2" t="s">
        <v>32981</v>
      </c>
      <c r="E11580" s="2" t="s">
        <v>27551</v>
      </c>
      <c r="F11580" s="4">
        <v>2834</v>
      </c>
      <c r="G11580" s="2" t="s">
        <v>130</v>
      </c>
      <c r="H11580" s="2" t="s">
        <v>34</v>
      </c>
      <c r="I11580" s="2" t="s">
        <v>32137</v>
      </c>
      <c r="J11580" s="2" t="s">
        <v>13055</v>
      </c>
      <c r="K11580" s="2" t="s">
        <v>130</v>
      </c>
      <c r="L11580" s="2" t="s">
        <v>34</v>
      </c>
      <c r="M11580" s="2"/>
      <c r="N11580" s="6">
        <v>18.89</v>
      </c>
      <c r="O11580" s="6">
        <v>19.16</v>
      </c>
      <c r="P11580" s="2" t="s">
        <v>33387</v>
      </c>
      <c r="Q11580" s="6">
        <v>100</v>
      </c>
      <c r="R11580" s="6">
        <v>9</v>
      </c>
      <c r="S11580" s="5">
        <v>-87.2</v>
      </c>
      <c r="T11580" s="7">
        <v>-43.667999999999999</v>
      </c>
      <c r="U11580" s="5">
        <v>0.8</v>
      </c>
      <c r="V11580" s="7">
        <v>-1.0269999999999999</v>
      </c>
      <c r="W11580" s="6">
        <v>7.28</v>
      </c>
      <c r="X11580" s="6">
        <v>7.45</v>
      </c>
      <c r="Y11580" s="6">
        <v>8.98</v>
      </c>
      <c r="Z11580" s="6">
        <v>8.9600000000000009</v>
      </c>
      <c r="AA11580" s="6">
        <v>85.55</v>
      </c>
      <c r="AB11580" s="2" t="s">
        <v>86</v>
      </c>
      <c r="AC11580" s="6">
        <v>427.69</v>
      </c>
    </row>
    <row r="11581" spans="1:29" ht="91" x14ac:dyDescent="0.15">
      <c r="A11581" s="3">
        <f>DATE(2016,9,13)</f>
        <v>42626</v>
      </c>
      <c r="B11581" s="3">
        <f>DATE(2017,2,24)</f>
        <v>42790</v>
      </c>
      <c r="C11581" s="2" t="s">
        <v>95</v>
      </c>
      <c r="D11581" s="2" t="s">
        <v>19790</v>
      </c>
      <c r="E11581" s="2" t="s">
        <v>2728</v>
      </c>
      <c r="F11581" s="4">
        <v>3674</v>
      </c>
      <c r="G11581" s="2" t="s">
        <v>137</v>
      </c>
      <c r="H11581" s="2" t="s">
        <v>34</v>
      </c>
      <c r="I11581" s="2" t="s">
        <v>33388</v>
      </c>
      <c r="J11581" s="2" t="s">
        <v>207</v>
      </c>
      <c r="K11581" s="2" t="s">
        <v>137</v>
      </c>
      <c r="L11581" s="2" t="s">
        <v>99</v>
      </c>
      <c r="M11581" s="12">
        <v>10046.076999999999</v>
      </c>
      <c r="N11581" s="7">
        <v>6.0049999999999999</v>
      </c>
      <c r="O11581" s="7">
        <v>5.9580000000000002</v>
      </c>
      <c r="P11581" s="2" t="s">
        <v>33389</v>
      </c>
      <c r="Q11581" s="6">
        <v>100</v>
      </c>
      <c r="R11581" s="6">
        <v>22.5</v>
      </c>
      <c r="S11581" s="5">
        <v>51.4</v>
      </c>
      <c r="T11581" s="7">
        <v>94.525999999999996</v>
      </c>
      <c r="U11581" s="5">
        <v>7</v>
      </c>
      <c r="V11581" s="9">
        <v>0.3876</v>
      </c>
      <c r="W11581" s="6">
        <v>15.25</v>
      </c>
      <c r="X11581" s="6">
        <v>15.64</v>
      </c>
      <c r="Y11581" s="6">
        <v>18.739999999999998</v>
      </c>
      <c r="Z11581" s="6">
        <v>18.739999999999998</v>
      </c>
      <c r="AA11581" s="6">
        <v>143.05000000000001</v>
      </c>
      <c r="AB11581" s="7">
        <v>42.997999999999998</v>
      </c>
      <c r="AC11581" s="10">
        <v>3847.64</v>
      </c>
    </row>
    <row r="11582" spans="1:29" ht="91" x14ac:dyDescent="0.15">
      <c r="A11582" s="3">
        <f>DATE(2016,9,14)</f>
        <v>42627</v>
      </c>
      <c r="B11582" s="3">
        <f>DATE(2016,10,25)</f>
        <v>42668</v>
      </c>
      <c r="C11582" s="2" t="s">
        <v>95</v>
      </c>
      <c r="D11582" s="2" t="s">
        <v>33390</v>
      </c>
      <c r="E11582" s="2" t="s">
        <v>13055</v>
      </c>
      <c r="F11582" s="4">
        <v>2834</v>
      </c>
      <c r="G11582" s="2" t="s">
        <v>130</v>
      </c>
      <c r="H11582" s="2" t="s">
        <v>34</v>
      </c>
      <c r="I11582" s="2" t="s">
        <v>32728</v>
      </c>
      <c r="J11582" s="2" t="s">
        <v>13055</v>
      </c>
      <c r="K11582" s="2" t="s">
        <v>130</v>
      </c>
      <c r="L11582" s="2" t="s">
        <v>34</v>
      </c>
      <c r="M11582" s="2"/>
      <c r="N11582" s="6">
        <v>244.81</v>
      </c>
      <c r="O11582" s="6">
        <v>246.44</v>
      </c>
      <c r="P11582" s="2" t="s">
        <v>33391</v>
      </c>
      <c r="Q11582" s="6">
        <v>100</v>
      </c>
      <c r="R11582" s="6">
        <v>21</v>
      </c>
      <c r="S11582" s="5">
        <v>-44.9</v>
      </c>
      <c r="T11582" s="7">
        <v>-45.344000000000001</v>
      </c>
      <c r="U11582" s="5">
        <v>2.5</v>
      </c>
      <c r="V11582" s="9">
        <v>-1.9153</v>
      </c>
      <c r="W11582" s="6">
        <v>7.97</v>
      </c>
      <c r="X11582" s="5">
        <v>8.1</v>
      </c>
      <c r="Y11582" s="6">
        <v>20.85</v>
      </c>
      <c r="Z11582" s="6">
        <v>20.84</v>
      </c>
      <c r="AA11582" s="6">
        <v>28.84</v>
      </c>
      <c r="AB11582" s="2" t="s">
        <v>86</v>
      </c>
      <c r="AC11582" s="5">
        <v>506.6</v>
      </c>
    </row>
    <row r="11583" spans="1:29" ht="65" x14ac:dyDescent="0.15">
      <c r="A11583" s="3">
        <f>DATE(2016,9,15)</f>
        <v>42628</v>
      </c>
      <c r="B11583" s="2"/>
      <c r="C11583" s="2" t="s">
        <v>7472</v>
      </c>
      <c r="D11583" s="2" t="s">
        <v>32357</v>
      </c>
      <c r="E11583" s="2" t="s">
        <v>4011</v>
      </c>
      <c r="F11583" s="4">
        <v>2834</v>
      </c>
      <c r="G11583" s="2" t="s">
        <v>130</v>
      </c>
      <c r="H11583" s="2" t="s">
        <v>34</v>
      </c>
      <c r="I11583" s="2" t="s">
        <v>143</v>
      </c>
      <c r="J11583" s="2" t="s">
        <v>144</v>
      </c>
      <c r="K11583" s="2" t="s">
        <v>53</v>
      </c>
      <c r="L11583" s="2" t="s">
        <v>139</v>
      </c>
      <c r="M11583" s="2"/>
      <c r="N11583" s="2"/>
      <c r="O11583" s="2"/>
      <c r="P11583" s="2" t="s">
        <v>33392</v>
      </c>
      <c r="Q11583" s="2"/>
      <c r="R11583" s="2"/>
      <c r="S11583" s="5">
        <v>-73.900000000000006</v>
      </c>
      <c r="T11583" s="6">
        <v>117.79</v>
      </c>
      <c r="U11583" s="5">
        <v>4.8</v>
      </c>
      <c r="V11583" s="9">
        <v>-1.2184999999999999</v>
      </c>
      <c r="W11583" s="6">
        <v>22.43</v>
      </c>
      <c r="X11583" s="6">
        <v>20.85</v>
      </c>
      <c r="Y11583" s="6">
        <v>21.24</v>
      </c>
      <c r="Z11583" s="6">
        <v>24.34</v>
      </c>
      <c r="AA11583" s="6">
        <v>61.37</v>
      </c>
      <c r="AB11583" s="2" t="s">
        <v>47</v>
      </c>
      <c r="AC11583" s="2"/>
    </row>
    <row r="11584" spans="1:29" ht="182" x14ac:dyDescent="0.15">
      <c r="A11584" s="3">
        <f>DATE(2016,9,19)</f>
        <v>42632</v>
      </c>
      <c r="B11584" s="3">
        <f>DATE(2016,11,7)</f>
        <v>42681</v>
      </c>
      <c r="C11584" s="2" t="s">
        <v>95</v>
      </c>
      <c r="D11584" s="2" t="s">
        <v>33393</v>
      </c>
      <c r="E11584" s="2" t="s">
        <v>4967</v>
      </c>
      <c r="F11584" s="4">
        <v>7374</v>
      </c>
      <c r="G11584" s="2" t="s">
        <v>223</v>
      </c>
      <c r="H11584" s="2" t="s">
        <v>34</v>
      </c>
      <c r="I11584" s="2" t="s">
        <v>30736</v>
      </c>
      <c r="J11584" s="2" t="s">
        <v>244</v>
      </c>
      <c r="K11584" s="2" t="s">
        <v>53</v>
      </c>
      <c r="L11584" s="2" t="s">
        <v>34</v>
      </c>
      <c r="M11584" s="2"/>
      <c r="N11584" s="2"/>
      <c r="O11584" s="2"/>
      <c r="P11584" s="2" t="s">
        <v>33394</v>
      </c>
      <c r="Q11584" s="6">
        <v>100</v>
      </c>
      <c r="R11584" s="6">
        <v>26.5</v>
      </c>
      <c r="S11584" s="5">
        <v>-13.7</v>
      </c>
      <c r="T11584" s="7">
        <v>1.1459999999999999</v>
      </c>
      <c r="U11584" s="5">
        <v>3.9</v>
      </c>
      <c r="V11584" s="9">
        <v>-0.2361</v>
      </c>
      <c r="W11584" s="6">
        <v>19.989999999999998</v>
      </c>
      <c r="X11584" s="6">
        <v>20.14</v>
      </c>
      <c r="Y11584" s="6">
        <v>21.46</v>
      </c>
      <c r="Z11584" s="6">
        <v>22.14</v>
      </c>
      <c r="AA11584" s="6">
        <v>56.19</v>
      </c>
      <c r="AB11584" s="2" t="s">
        <v>86</v>
      </c>
      <c r="AC11584" s="2"/>
    </row>
    <row r="11585" spans="1:29" ht="195" x14ac:dyDescent="0.15">
      <c r="A11585" s="3">
        <f>DATE(2016,9,19)</f>
        <v>42632</v>
      </c>
      <c r="B11585" s="3">
        <f>DATE(2017,5,1)</f>
        <v>42856</v>
      </c>
      <c r="C11585" s="2" t="s">
        <v>95</v>
      </c>
      <c r="D11585" s="2" t="s">
        <v>15441</v>
      </c>
      <c r="E11585" s="2" t="s">
        <v>6457</v>
      </c>
      <c r="F11585" s="4">
        <v>7999</v>
      </c>
      <c r="G11585" s="2" t="s">
        <v>364</v>
      </c>
      <c r="H11585" s="2" t="s">
        <v>34</v>
      </c>
      <c r="I11585" s="2" t="s">
        <v>33395</v>
      </c>
      <c r="J11585" s="2" t="s">
        <v>31934</v>
      </c>
      <c r="K11585" s="2" t="s">
        <v>269</v>
      </c>
      <c r="L11585" s="2" t="s">
        <v>34</v>
      </c>
      <c r="M11585" s="7">
        <v>675.53499999999997</v>
      </c>
      <c r="N11585" s="6">
        <v>13.84</v>
      </c>
      <c r="O11585" s="6">
        <v>13.61</v>
      </c>
      <c r="P11585" s="2" t="s">
        <v>33396</v>
      </c>
      <c r="Q11585" s="6">
        <v>98.54</v>
      </c>
      <c r="R11585" s="6">
        <v>23.34</v>
      </c>
      <c r="S11585" s="5">
        <v>53.4</v>
      </c>
      <c r="T11585" s="7">
        <v>203.50399999999999</v>
      </c>
      <c r="U11585" s="5">
        <v>2</v>
      </c>
      <c r="V11585" s="9">
        <v>1.3302</v>
      </c>
      <c r="W11585" s="6">
        <v>17.05</v>
      </c>
      <c r="X11585" s="6">
        <v>16.93</v>
      </c>
      <c r="Y11585" s="6">
        <v>22.04</v>
      </c>
      <c r="Z11585" s="6">
        <v>22.32</v>
      </c>
      <c r="AA11585" s="6">
        <v>41.3</v>
      </c>
      <c r="AB11585" s="7">
        <v>14.891</v>
      </c>
      <c r="AC11585" s="6">
        <v>40.98</v>
      </c>
    </row>
    <row r="11586" spans="1:29" ht="65" x14ac:dyDescent="0.15">
      <c r="A11586" s="3">
        <f>DATE(2016,9,20)</f>
        <v>42633</v>
      </c>
      <c r="B11586" s="3">
        <f>DATE(2016,12,1)</f>
        <v>42705</v>
      </c>
      <c r="C11586" s="2" t="s">
        <v>95</v>
      </c>
      <c r="D11586" s="2" t="s">
        <v>29894</v>
      </c>
      <c r="E11586" s="2" t="s">
        <v>29895</v>
      </c>
      <c r="F11586" s="4">
        <v>3651</v>
      </c>
      <c r="G11586" s="2" t="s">
        <v>137</v>
      </c>
      <c r="H11586" s="2" t="s">
        <v>34</v>
      </c>
      <c r="I11586" s="2" t="s">
        <v>33397</v>
      </c>
      <c r="J11586" s="2" t="s">
        <v>26441</v>
      </c>
      <c r="K11586" s="2" t="s">
        <v>137</v>
      </c>
      <c r="L11586" s="2" t="s">
        <v>34</v>
      </c>
      <c r="M11586" s="12">
        <v>1616.037</v>
      </c>
      <c r="N11586" s="6">
        <v>35.28</v>
      </c>
      <c r="O11586" s="6">
        <v>37.119999999999997</v>
      </c>
      <c r="P11586" s="2" t="s">
        <v>33398</v>
      </c>
      <c r="Q11586" s="6">
        <v>100</v>
      </c>
      <c r="R11586" s="6">
        <v>42.5</v>
      </c>
      <c r="S11586" s="5">
        <v>-10.4</v>
      </c>
      <c r="T11586" s="7">
        <v>17.119</v>
      </c>
      <c r="U11586" s="5">
        <v>12.3</v>
      </c>
      <c r="V11586" s="9">
        <v>-0.59719999999999995</v>
      </c>
      <c r="W11586" s="6">
        <v>33.090000000000003</v>
      </c>
      <c r="X11586" s="6">
        <v>34.33</v>
      </c>
      <c r="Y11586" s="6">
        <v>42.24</v>
      </c>
      <c r="Z11586" s="6">
        <v>42.47</v>
      </c>
      <c r="AA11586" s="6">
        <v>17.64</v>
      </c>
      <c r="AB11586" s="2" t="s">
        <v>86</v>
      </c>
      <c r="AC11586" s="6">
        <v>371.76</v>
      </c>
    </row>
    <row r="11587" spans="1:29" ht="156" x14ac:dyDescent="0.15">
      <c r="A11587" s="3">
        <f>DATE(2016,9,20)</f>
        <v>42633</v>
      </c>
      <c r="B11587" s="3">
        <f>DATE(2016,11,1)</f>
        <v>42675</v>
      </c>
      <c r="C11587" s="2" t="s">
        <v>95</v>
      </c>
      <c r="D11587" s="2" t="s">
        <v>33399</v>
      </c>
      <c r="E11587" s="2" t="s">
        <v>13055</v>
      </c>
      <c r="F11587" s="4">
        <v>2834</v>
      </c>
      <c r="G11587" s="2" t="s">
        <v>130</v>
      </c>
      <c r="H11587" s="2" t="s">
        <v>34</v>
      </c>
      <c r="I11587" s="2" t="s">
        <v>32728</v>
      </c>
      <c r="J11587" s="2" t="s">
        <v>13055</v>
      </c>
      <c r="K11587" s="2" t="s">
        <v>130</v>
      </c>
      <c r="L11587" s="2" t="s">
        <v>34</v>
      </c>
      <c r="M11587" s="12">
        <v>100259.056</v>
      </c>
      <c r="N11587" s="6">
        <v>238.67</v>
      </c>
      <c r="O11587" s="6">
        <v>238.41</v>
      </c>
      <c r="P11587" s="2" t="s">
        <v>33400</v>
      </c>
      <c r="Q11587" s="6">
        <v>100</v>
      </c>
      <c r="R11587" s="6">
        <v>28.35</v>
      </c>
      <c r="S11587" s="5">
        <v>-57.2</v>
      </c>
      <c r="T11587" s="7">
        <v>-42.728999999999999</v>
      </c>
      <c r="U11587" s="5">
        <v>1.1000000000000001</v>
      </c>
      <c r="V11587" s="9">
        <v>-2.2934000000000001</v>
      </c>
      <c r="W11587" s="6">
        <v>4.54</v>
      </c>
      <c r="X11587" s="6">
        <v>4.74</v>
      </c>
      <c r="Y11587" s="6">
        <v>38.909999999999997</v>
      </c>
      <c r="Z11587" s="6">
        <v>39.08</v>
      </c>
      <c r="AA11587" s="6">
        <v>18.82</v>
      </c>
      <c r="AB11587" s="2" t="s">
        <v>86</v>
      </c>
      <c r="AC11587" s="5">
        <v>506.6</v>
      </c>
    </row>
    <row r="11588" spans="1:29" ht="39" x14ac:dyDescent="0.15">
      <c r="A11588" s="3">
        <f>DATE(2016,9,22)</f>
        <v>42635</v>
      </c>
      <c r="B11588" s="2"/>
      <c r="C11588" s="2" t="s">
        <v>7472</v>
      </c>
      <c r="D11588" s="2" t="s">
        <v>33401</v>
      </c>
      <c r="E11588" s="2" t="s">
        <v>4673</v>
      </c>
      <c r="F11588" s="4">
        <v>2711</v>
      </c>
      <c r="G11588" s="2" t="s">
        <v>186</v>
      </c>
      <c r="H11588" s="2" t="s">
        <v>34</v>
      </c>
      <c r="I11588" s="2" t="s">
        <v>17167</v>
      </c>
      <c r="J11588" s="2" t="s">
        <v>2499</v>
      </c>
      <c r="K11588" s="2" t="s">
        <v>186</v>
      </c>
      <c r="L11588" s="2" t="s">
        <v>34</v>
      </c>
      <c r="M11588" s="12">
        <v>1400.808</v>
      </c>
      <c r="N11588" s="6">
        <v>11.55</v>
      </c>
      <c r="O11588" s="6">
        <v>11.75</v>
      </c>
      <c r="P11588" s="2" t="s">
        <v>33402</v>
      </c>
      <c r="Q11588" s="2"/>
      <c r="R11588" s="2"/>
      <c r="S11588" s="5">
        <v>-17.7</v>
      </c>
      <c r="T11588" s="7">
        <v>0.11899999999999999</v>
      </c>
      <c r="U11588" s="5">
        <v>5.2</v>
      </c>
      <c r="V11588" s="9">
        <v>-0.8226</v>
      </c>
      <c r="W11588" s="6">
        <v>6.29</v>
      </c>
      <c r="X11588" s="6">
        <v>6.98</v>
      </c>
      <c r="Y11588" s="6">
        <v>6.89</v>
      </c>
      <c r="Z11588" s="6">
        <v>7.79</v>
      </c>
      <c r="AA11588" s="6">
        <v>21.68</v>
      </c>
      <c r="AB11588" s="2" t="s">
        <v>86</v>
      </c>
      <c r="AC11588" s="6">
        <v>144.13</v>
      </c>
    </row>
    <row r="11589" spans="1:29" ht="130" x14ac:dyDescent="0.15">
      <c r="A11589" s="3">
        <f>DATE(2016,9,22)</f>
        <v>42635</v>
      </c>
      <c r="B11589" s="3">
        <f>DATE(2017,3,10)</f>
        <v>42804</v>
      </c>
      <c r="C11589" s="2" t="s">
        <v>95</v>
      </c>
      <c r="D11589" s="2" t="s">
        <v>33403</v>
      </c>
      <c r="E11589" s="2" t="s">
        <v>3246</v>
      </c>
      <c r="F11589" s="4">
        <v>6021</v>
      </c>
      <c r="G11589" s="2" t="s">
        <v>37</v>
      </c>
      <c r="H11589" s="2" t="s">
        <v>34</v>
      </c>
      <c r="I11589" s="2" t="s">
        <v>2253</v>
      </c>
      <c r="J11589" s="2" t="s">
        <v>159</v>
      </c>
      <c r="K11589" s="2" t="s">
        <v>37</v>
      </c>
      <c r="L11589" s="2" t="s">
        <v>34</v>
      </c>
      <c r="M11589" s="12">
        <v>1882.239</v>
      </c>
      <c r="N11589" s="6">
        <v>17.559999999999999</v>
      </c>
      <c r="O11589" s="6">
        <v>17.52</v>
      </c>
      <c r="P11589" s="2" t="s">
        <v>33404</v>
      </c>
      <c r="Q11589" s="6">
        <v>100</v>
      </c>
      <c r="R11589" s="2"/>
      <c r="S11589" s="5">
        <v>4.9000000000000004</v>
      </c>
      <c r="T11589" s="2"/>
      <c r="U11589" s="5">
        <v>17</v>
      </c>
      <c r="V11589" s="9">
        <v>1.6775</v>
      </c>
      <c r="W11589" s="6">
        <v>16.350000000000001</v>
      </c>
      <c r="X11589" s="5">
        <v>16.899999999999999</v>
      </c>
      <c r="Y11589" s="6">
        <v>16.55</v>
      </c>
      <c r="Z11589" s="6">
        <v>22.72</v>
      </c>
      <c r="AA11589" s="6">
        <v>2.96</v>
      </c>
      <c r="AB11589" s="7">
        <v>7.5910000000000002</v>
      </c>
      <c r="AC11589" s="2"/>
    </row>
    <row r="11590" spans="1:29" ht="65" x14ac:dyDescent="0.15">
      <c r="A11590" s="3">
        <f>DATE(2016,9,22)</f>
        <v>42635</v>
      </c>
      <c r="B11590" s="2"/>
      <c r="C11590" s="2" t="s">
        <v>7472</v>
      </c>
      <c r="D11590" s="2" t="s">
        <v>33405</v>
      </c>
      <c r="E11590" s="2" t="s">
        <v>2384</v>
      </c>
      <c r="F11590" s="4">
        <v>2834</v>
      </c>
      <c r="G11590" s="2" t="s">
        <v>130</v>
      </c>
      <c r="H11590" s="2" t="s">
        <v>34</v>
      </c>
      <c r="I11590" s="2" t="s">
        <v>143</v>
      </c>
      <c r="J11590" s="2" t="s">
        <v>144</v>
      </c>
      <c r="K11590" s="2" t="s">
        <v>53</v>
      </c>
      <c r="L11590" s="2" t="s">
        <v>139</v>
      </c>
      <c r="M11590" s="2"/>
      <c r="N11590" s="2"/>
      <c r="O11590" s="2"/>
      <c r="P11590" s="2" t="s">
        <v>33406</v>
      </c>
      <c r="Q11590" s="2"/>
      <c r="R11590" s="2"/>
      <c r="S11590" s="5">
        <v>-41.2</v>
      </c>
      <c r="T11590" s="7">
        <v>-29.172999999999998</v>
      </c>
      <c r="U11590" s="5">
        <v>2.8</v>
      </c>
      <c r="V11590" s="9">
        <v>-0.96419999999999995</v>
      </c>
      <c r="W11590" s="6">
        <v>15.73</v>
      </c>
      <c r="X11590" s="6">
        <v>15.56</v>
      </c>
      <c r="Y11590" s="6">
        <v>16.62</v>
      </c>
      <c r="Z11590" s="6">
        <v>16.809999999999999</v>
      </c>
      <c r="AA11590" s="6">
        <v>43.28</v>
      </c>
      <c r="AB11590" s="2" t="s">
        <v>86</v>
      </c>
      <c r="AC11590" s="2"/>
    </row>
    <row r="11591" spans="1:29" ht="104" x14ac:dyDescent="0.15">
      <c r="A11591" s="3">
        <f>DATE(2016,9,22)</f>
        <v>42635</v>
      </c>
      <c r="B11591" s="3">
        <f>DATE(2017,2,10)</f>
        <v>42776</v>
      </c>
      <c r="C11591" s="2" t="s">
        <v>95</v>
      </c>
      <c r="D11591" s="2" t="s">
        <v>25281</v>
      </c>
      <c r="E11591" s="2" t="s">
        <v>33407</v>
      </c>
      <c r="F11591" s="4">
        <v>1521</v>
      </c>
      <c r="G11591" s="2" t="s">
        <v>341</v>
      </c>
      <c r="H11591" s="2" t="s">
        <v>34</v>
      </c>
      <c r="I11591" s="2" t="s">
        <v>9873</v>
      </c>
      <c r="J11591" s="2" t="s">
        <v>2692</v>
      </c>
      <c r="K11591" s="2" t="s">
        <v>341</v>
      </c>
      <c r="L11591" s="2" t="s">
        <v>34</v>
      </c>
      <c r="M11591" s="10">
        <v>8654.91</v>
      </c>
      <c r="N11591" s="5">
        <v>43.6</v>
      </c>
      <c r="O11591" s="6">
        <v>43.11</v>
      </c>
      <c r="P11591" s="2" t="s">
        <v>33408</v>
      </c>
      <c r="Q11591" s="6">
        <v>100</v>
      </c>
      <c r="R11591" s="6">
        <v>11.75</v>
      </c>
      <c r="S11591" s="5">
        <v>36</v>
      </c>
      <c r="T11591" s="7">
        <v>60.475000000000001</v>
      </c>
      <c r="U11591" s="5">
        <v>19</v>
      </c>
      <c r="V11591" s="9">
        <v>1.3548</v>
      </c>
      <c r="W11591" s="6">
        <v>17.79</v>
      </c>
      <c r="X11591" s="6">
        <v>17.16</v>
      </c>
      <c r="Y11591" s="6">
        <v>23.67</v>
      </c>
      <c r="Z11591" s="6">
        <v>23.65</v>
      </c>
      <c r="AA11591" s="6">
        <v>26.34</v>
      </c>
      <c r="AB11591" s="7">
        <v>8.6</v>
      </c>
      <c r="AC11591" s="6">
        <v>841.96</v>
      </c>
    </row>
    <row r="11592" spans="1:29" ht="78" x14ac:dyDescent="0.15">
      <c r="A11592" s="3">
        <f>DATE(2016,9,23)</f>
        <v>42636</v>
      </c>
      <c r="B11592" s="2"/>
      <c r="C11592" s="2" t="s">
        <v>7472</v>
      </c>
      <c r="D11592" s="2" t="s">
        <v>33409</v>
      </c>
      <c r="E11592" s="2" t="s">
        <v>32184</v>
      </c>
      <c r="F11592" s="4">
        <v>7375</v>
      </c>
      <c r="G11592" s="2" t="s">
        <v>223</v>
      </c>
      <c r="H11592" s="2" t="s">
        <v>34</v>
      </c>
      <c r="I11592" s="2" t="s">
        <v>143</v>
      </c>
      <c r="J11592" s="2" t="s">
        <v>144</v>
      </c>
      <c r="K11592" s="2" t="s">
        <v>53</v>
      </c>
      <c r="L11592" s="2" t="s">
        <v>139</v>
      </c>
      <c r="M11592" s="2"/>
      <c r="N11592" s="2"/>
      <c r="O11592" s="2"/>
      <c r="P11592" s="2" t="s">
        <v>33410</v>
      </c>
      <c r="Q11592" s="2"/>
      <c r="R11592" s="2"/>
      <c r="S11592" s="5">
        <v>-408.9</v>
      </c>
      <c r="T11592" s="7">
        <v>32.905999999999999</v>
      </c>
      <c r="U11592" s="5">
        <v>6.5</v>
      </c>
      <c r="V11592" s="9">
        <v>-0.59409999999999996</v>
      </c>
      <c r="W11592" s="6">
        <v>19.11</v>
      </c>
      <c r="X11592" s="6">
        <v>18.63</v>
      </c>
      <c r="Y11592" s="6">
        <v>22.62</v>
      </c>
      <c r="Z11592" s="6">
        <v>23.37</v>
      </c>
      <c r="AA11592" s="6">
        <v>707.73</v>
      </c>
      <c r="AB11592" s="2" t="s">
        <v>86</v>
      </c>
      <c r="AC11592" s="2"/>
    </row>
    <row r="11593" spans="1:29" ht="91" x14ac:dyDescent="0.15">
      <c r="A11593" s="3">
        <f>DATE(2016,9,25)</f>
        <v>42638</v>
      </c>
      <c r="B11593" s="3">
        <f>DATE(2017,4,21)</f>
        <v>42846</v>
      </c>
      <c r="C11593" s="2" t="s">
        <v>95</v>
      </c>
      <c r="D11593" s="2" t="s">
        <v>26745</v>
      </c>
      <c r="E11593" s="2" t="s">
        <v>22755</v>
      </c>
      <c r="F11593" s="4">
        <v>2821</v>
      </c>
      <c r="G11593" s="2" t="s">
        <v>98</v>
      </c>
      <c r="H11593" s="2" t="s">
        <v>34</v>
      </c>
      <c r="I11593" s="2" t="s">
        <v>33411</v>
      </c>
      <c r="J11593" s="2" t="s">
        <v>33412</v>
      </c>
      <c r="K11593" s="2" t="s">
        <v>98</v>
      </c>
      <c r="L11593" s="2" t="s">
        <v>1049</v>
      </c>
      <c r="M11593" s="12">
        <v>4920.5479999999998</v>
      </c>
      <c r="N11593" s="7">
        <v>59.255000000000003</v>
      </c>
      <c r="O11593" s="7">
        <v>59.255000000000003</v>
      </c>
      <c r="P11593" s="2" t="s">
        <v>33413</v>
      </c>
      <c r="Q11593" s="6">
        <v>100</v>
      </c>
      <c r="R11593" s="6">
        <v>33.5</v>
      </c>
      <c r="S11593" s="5">
        <v>35</v>
      </c>
      <c r="T11593" s="5">
        <v>298</v>
      </c>
      <c r="U11593" s="5">
        <v>15.2</v>
      </c>
      <c r="V11593" s="9">
        <v>0.4526</v>
      </c>
      <c r="W11593" s="6">
        <v>27.23</v>
      </c>
      <c r="X11593" s="6">
        <v>28.18</v>
      </c>
      <c r="Y11593" s="6">
        <v>32.64</v>
      </c>
      <c r="Z11593" s="6">
        <v>32.64</v>
      </c>
      <c r="AA11593" s="6">
        <v>62.97</v>
      </c>
      <c r="AB11593" s="7">
        <v>11.462999999999999</v>
      </c>
      <c r="AC11593" s="10">
        <v>1547.17</v>
      </c>
    </row>
    <row r="11594" spans="1:29" ht="208" x14ac:dyDescent="0.15">
      <c r="A11594" s="3">
        <f>DATE(2016,9,26)</f>
        <v>42639</v>
      </c>
      <c r="B11594" s="3">
        <f>DATE(2017,2,28)</f>
        <v>42794</v>
      </c>
      <c r="C11594" s="2" t="s">
        <v>95</v>
      </c>
      <c r="D11594" s="2" t="s">
        <v>33414</v>
      </c>
      <c r="E11594" s="2" t="s">
        <v>33415</v>
      </c>
      <c r="F11594" s="4">
        <v>6231</v>
      </c>
      <c r="G11594" s="2" t="s">
        <v>53</v>
      </c>
      <c r="H11594" s="2" t="s">
        <v>34</v>
      </c>
      <c r="I11594" s="2" t="s">
        <v>33416</v>
      </c>
      <c r="J11594" s="2" t="s">
        <v>33417</v>
      </c>
      <c r="K11594" s="2" t="s">
        <v>53</v>
      </c>
      <c r="L11594" s="2" t="s">
        <v>34</v>
      </c>
      <c r="M11594" s="10">
        <v>5612.75</v>
      </c>
      <c r="N11594" s="6">
        <v>66.59</v>
      </c>
      <c r="O11594" s="6">
        <v>66.91</v>
      </c>
      <c r="P11594" s="2" t="s">
        <v>33418</v>
      </c>
      <c r="Q11594" s="6">
        <v>100</v>
      </c>
      <c r="R11594" s="6">
        <v>32.5</v>
      </c>
      <c r="S11594" s="5">
        <v>95</v>
      </c>
      <c r="T11594" s="5">
        <v>197.3</v>
      </c>
      <c r="U11594" s="5">
        <v>4.3</v>
      </c>
      <c r="V11594" s="9">
        <v>0.99070000000000003</v>
      </c>
      <c r="W11594" s="6">
        <v>24.86</v>
      </c>
      <c r="X11594" s="6">
        <v>26.46</v>
      </c>
      <c r="Y11594" s="6">
        <v>26.53</v>
      </c>
      <c r="Z11594" s="5">
        <v>31.8</v>
      </c>
      <c r="AA11594" s="6">
        <v>92.38</v>
      </c>
      <c r="AB11594" s="7">
        <v>23.646000000000001</v>
      </c>
      <c r="AC11594" s="6">
        <v>52.19</v>
      </c>
    </row>
    <row r="11595" spans="1:29" ht="117" x14ac:dyDescent="0.15">
      <c r="A11595" s="3">
        <f>DATE(2016,9,26)</f>
        <v>42639</v>
      </c>
      <c r="B11595" s="3">
        <f>DATE(2017,2,17)</f>
        <v>42783</v>
      </c>
      <c r="C11595" s="2" t="s">
        <v>95</v>
      </c>
      <c r="D11595" s="2" t="s">
        <v>33419</v>
      </c>
      <c r="E11595" s="2" t="s">
        <v>32148</v>
      </c>
      <c r="F11595" s="4">
        <v>4922</v>
      </c>
      <c r="G11595" s="2" t="s">
        <v>439</v>
      </c>
      <c r="H11595" s="2" t="s">
        <v>34</v>
      </c>
      <c r="I11595" s="2" t="s">
        <v>32938</v>
      </c>
      <c r="J11595" s="2" t="s">
        <v>31596</v>
      </c>
      <c r="K11595" s="2" t="s">
        <v>439</v>
      </c>
      <c r="L11595" s="2" t="s">
        <v>34</v>
      </c>
      <c r="M11595" s="2"/>
      <c r="N11595" s="2"/>
      <c r="O11595" s="2"/>
      <c r="P11595" s="2" t="s">
        <v>33420</v>
      </c>
      <c r="Q11595" s="6">
        <v>100</v>
      </c>
      <c r="R11595" s="6">
        <v>17</v>
      </c>
      <c r="S11595" s="5">
        <v>89.8</v>
      </c>
      <c r="T11595" s="5">
        <v>624.9</v>
      </c>
      <c r="U11595" s="5">
        <v>12.6</v>
      </c>
      <c r="V11595" s="9">
        <v>0.87580000000000002</v>
      </c>
      <c r="W11595" s="6">
        <v>14.78</v>
      </c>
      <c r="X11595" s="5">
        <v>15.3</v>
      </c>
      <c r="Y11595" s="6">
        <v>16.05</v>
      </c>
      <c r="Z11595" s="5">
        <v>16.100000000000001</v>
      </c>
      <c r="AA11595" s="6">
        <v>53.84</v>
      </c>
      <c r="AB11595" s="7">
        <v>6.1369999999999996</v>
      </c>
      <c r="AC11595" s="2"/>
    </row>
    <row r="11596" spans="1:29" ht="117" x14ac:dyDescent="0.15">
      <c r="A11596" s="3">
        <f>DATE(2016,9,27)</f>
        <v>42640</v>
      </c>
      <c r="B11596" s="3">
        <f>DATE(2016,11,22)</f>
        <v>42696</v>
      </c>
      <c r="C11596" s="2" t="s">
        <v>95</v>
      </c>
      <c r="D11596" s="2" t="s">
        <v>33421</v>
      </c>
      <c r="E11596" s="2" t="s">
        <v>30354</v>
      </c>
      <c r="F11596" s="4">
        <v>3841</v>
      </c>
      <c r="G11596" s="2" t="s">
        <v>226</v>
      </c>
      <c r="H11596" s="2" t="s">
        <v>34</v>
      </c>
      <c r="I11596" s="2" t="s">
        <v>5268</v>
      </c>
      <c r="J11596" s="2" t="s">
        <v>5269</v>
      </c>
      <c r="K11596" s="2" t="s">
        <v>226</v>
      </c>
      <c r="L11596" s="2" t="s">
        <v>34</v>
      </c>
      <c r="M11596" s="12">
        <v>32943.595999999998</v>
      </c>
      <c r="N11596" s="6">
        <v>23.72</v>
      </c>
      <c r="O11596" s="6">
        <v>23.75</v>
      </c>
      <c r="P11596" s="2" t="s">
        <v>33422</v>
      </c>
      <c r="Q11596" s="6">
        <v>100</v>
      </c>
      <c r="R11596" s="6">
        <v>8</v>
      </c>
      <c r="S11596" s="5">
        <v>-66.400000000000006</v>
      </c>
      <c r="T11596" s="7">
        <v>-44.417000000000002</v>
      </c>
      <c r="U11596" s="5">
        <v>2.4</v>
      </c>
      <c r="V11596" s="9">
        <v>-3.0634999999999999</v>
      </c>
      <c r="W11596" s="6">
        <v>4.22</v>
      </c>
      <c r="X11596" s="6">
        <v>4.22</v>
      </c>
      <c r="Y11596" s="6">
        <v>7.95</v>
      </c>
      <c r="Z11596" s="6">
        <v>7.96</v>
      </c>
      <c r="AA11596" s="6">
        <v>25.39</v>
      </c>
      <c r="AB11596" s="2" t="s">
        <v>86</v>
      </c>
      <c r="AC11596" s="5">
        <v>569</v>
      </c>
    </row>
    <row r="11597" spans="1:29" ht="169" x14ac:dyDescent="0.15">
      <c r="A11597" s="3">
        <f>DATE(2016,9,30)</f>
        <v>42643</v>
      </c>
      <c r="B11597" s="2"/>
      <c r="C11597" s="2" t="s">
        <v>30</v>
      </c>
      <c r="D11597" s="2" t="s">
        <v>33423</v>
      </c>
      <c r="E11597" s="2" t="s">
        <v>32148</v>
      </c>
      <c r="F11597" s="4">
        <v>4924</v>
      </c>
      <c r="G11597" s="2" t="s">
        <v>439</v>
      </c>
      <c r="H11597" s="2" t="s">
        <v>34</v>
      </c>
      <c r="I11597" s="2" t="s">
        <v>33424</v>
      </c>
      <c r="J11597" s="2" t="s">
        <v>33425</v>
      </c>
      <c r="K11597" s="2" t="s">
        <v>439</v>
      </c>
      <c r="L11597" s="2" t="s">
        <v>34</v>
      </c>
      <c r="M11597" s="12">
        <v>10287.831</v>
      </c>
      <c r="N11597" s="5">
        <v>43.6</v>
      </c>
      <c r="O11597" s="6">
        <v>42.11</v>
      </c>
      <c r="P11597" s="2" t="s">
        <v>33426</v>
      </c>
      <c r="Q11597" s="2"/>
      <c r="R11597" s="6">
        <v>21.9</v>
      </c>
      <c r="S11597" s="5">
        <v>17.8</v>
      </c>
      <c r="T11597" s="2"/>
      <c r="U11597" s="5">
        <v>0</v>
      </c>
      <c r="V11597" s="7">
        <v>7.6999999999999999E-2</v>
      </c>
      <c r="W11597" s="6">
        <v>21.42</v>
      </c>
      <c r="X11597" s="6">
        <v>21.26</v>
      </c>
      <c r="Y11597" s="6">
        <v>22.74</v>
      </c>
      <c r="Z11597" s="6">
        <v>22.02</v>
      </c>
      <c r="AA11597" s="6">
        <v>231.7</v>
      </c>
      <c r="AB11597" s="7">
        <v>284.50599999999997</v>
      </c>
      <c r="AC11597" s="10">
        <v>1828.92</v>
      </c>
    </row>
    <row r="11598" spans="1:29" ht="156" x14ac:dyDescent="0.15">
      <c r="A11598" s="3">
        <f>DATE(2016,10,3)</f>
        <v>42646</v>
      </c>
      <c r="B11598" s="2"/>
      <c r="C11598" s="2" t="s">
        <v>7330</v>
      </c>
      <c r="D11598" s="2" t="s">
        <v>33427</v>
      </c>
      <c r="E11598" s="2" t="s">
        <v>33428</v>
      </c>
      <c r="F11598" s="4">
        <v>5941</v>
      </c>
      <c r="G11598" s="2" t="s">
        <v>73</v>
      </c>
      <c r="H11598" s="2" t="s">
        <v>34</v>
      </c>
      <c r="I11598" s="2" t="s">
        <v>33429</v>
      </c>
      <c r="J11598" s="2" t="s">
        <v>33430</v>
      </c>
      <c r="K11598" s="2" t="s">
        <v>112</v>
      </c>
      <c r="L11598" s="2" t="s">
        <v>34</v>
      </c>
      <c r="M11598" s="2"/>
      <c r="N11598" s="2"/>
      <c r="O11598" s="2"/>
      <c r="P11598" s="2" t="s">
        <v>33431</v>
      </c>
      <c r="Q11598" s="2"/>
      <c r="R11598" s="6">
        <v>61.5</v>
      </c>
      <c r="S11598" s="5">
        <v>143.1</v>
      </c>
      <c r="T11598" s="7">
        <v>434.40499999999997</v>
      </c>
      <c r="U11598" s="5">
        <v>29.5</v>
      </c>
      <c r="V11598" s="9">
        <v>2.0691000000000002</v>
      </c>
      <c r="W11598" s="6">
        <v>40.71</v>
      </c>
      <c r="X11598" s="6">
        <v>41.75</v>
      </c>
      <c r="Y11598" s="5">
        <v>46.1</v>
      </c>
      <c r="Z11598" s="6">
        <v>46.52</v>
      </c>
      <c r="AA11598" s="6">
        <v>68.47</v>
      </c>
      <c r="AB11598" s="7">
        <v>29.427</v>
      </c>
      <c r="AC11598" s="2"/>
    </row>
    <row r="11599" spans="1:29" ht="169" x14ac:dyDescent="0.15">
      <c r="A11599" s="3">
        <f>DATE(2016,10,3)</f>
        <v>42646</v>
      </c>
      <c r="B11599" s="3">
        <f>DATE(2017,4,3)</f>
        <v>42828</v>
      </c>
      <c r="C11599" s="2" t="s">
        <v>95</v>
      </c>
      <c r="D11599" s="2" t="s">
        <v>31965</v>
      </c>
      <c r="E11599" s="2" t="s">
        <v>29798</v>
      </c>
      <c r="F11599" s="4">
        <v>6021</v>
      </c>
      <c r="G11599" s="2" t="s">
        <v>37</v>
      </c>
      <c r="H11599" s="2" t="s">
        <v>34</v>
      </c>
      <c r="I11599" s="2" t="s">
        <v>12547</v>
      </c>
      <c r="J11599" s="2" t="s">
        <v>159</v>
      </c>
      <c r="K11599" s="2" t="s">
        <v>37</v>
      </c>
      <c r="L11599" s="2" t="s">
        <v>34</v>
      </c>
      <c r="M11599" s="7">
        <v>919.28700000000003</v>
      </c>
      <c r="N11599" s="6">
        <v>9.76</v>
      </c>
      <c r="O11599" s="6">
        <v>9.77</v>
      </c>
      <c r="P11599" s="2" t="s">
        <v>33432</v>
      </c>
      <c r="Q11599" s="6">
        <v>100</v>
      </c>
      <c r="R11599" s="6">
        <v>14.5</v>
      </c>
      <c r="S11599" s="5">
        <v>0.2</v>
      </c>
      <c r="T11599" s="7">
        <v>1.9610000000000001</v>
      </c>
      <c r="U11599" s="5">
        <v>8.1</v>
      </c>
      <c r="V11599" s="9">
        <v>2.2599999999999999E-2</v>
      </c>
      <c r="W11599" s="5">
        <v>7.5</v>
      </c>
      <c r="X11599" s="6">
        <v>7.65</v>
      </c>
      <c r="Y11599" s="6">
        <v>13.39</v>
      </c>
      <c r="Z11599" s="6">
        <v>13.43</v>
      </c>
      <c r="AA11599" s="6">
        <v>7.34</v>
      </c>
      <c r="AB11599" s="7">
        <v>110.369</v>
      </c>
      <c r="AC11599" s="2"/>
    </row>
    <row r="11600" spans="1:29" ht="130" x14ac:dyDescent="0.15">
      <c r="A11600" s="3">
        <f>DATE(2016,10,3)</f>
        <v>42646</v>
      </c>
      <c r="B11600" s="3">
        <f>DATE(2017,2,2)</f>
        <v>42768</v>
      </c>
      <c r="C11600" s="2" t="s">
        <v>95</v>
      </c>
      <c r="D11600" s="2" t="s">
        <v>14627</v>
      </c>
      <c r="E11600" s="2" t="s">
        <v>1977</v>
      </c>
      <c r="F11600" s="4">
        <v>4911</v>
      </c>
      <c r="G11600" s="2" t="s">
        <v>439</v>
      </c>
      <c r="H11600" s="2" t="s">
        <v>34</v>
      </c>
      <c r="I11600" s="2" t="s">
        <v>1526</v>
      </c>
      <c r="J11600" s="2" t="s">
        <v>302</v>
      </c>
      <c r="K11600" s="2" t="s">
        <v>53</v>
      </c>
      <c r="L11600" s="2" t="s">
        <v>34</v>
      </c>
      <c r="M11600" s="2"/>
      <c r="N11600" s="2"/>
      <c r="O11600" s="2"/>
      <c r="P11600" s="2" t="s">
        <v>33433</v>
      </c>
      <c r="Q11600" s="2"/>
      <c r="R11600" s="2"/>
      <c r="S11600" s="8">
        <v>-1194</v>
      </c>
      <c r="T11600" s="5">
        <v>612</v>
      </c>
      <c r="U11600" s="5">
        <v>15.4</v>
      </c>
      <c r="V11600" s="9">
        <v>-9.6318000000000001</v>
      </c>
      <c r="W11600" s="6">
        <v>12.87</v>
      </c>
      <c r="X11600" s="6">
        <v>12.39</v>
      </c>
      <c r="Y11600" s="6">
        <v>13.13</v>
      </c>
      <c r="Z11600" s="4">
        <v>13</v>
      </c>
      <c r="AA11600" s="6">
        <v>117.29</v>
      </c>
      <c r="AB11600" s="2" t="s">
        <v>86</v>
      </c>
      <c r="AC11600" s="2"/>
    </row>
    <row r="11601" spans="1:29" ht="195" x14ac:dyDescent="0.15">
      <c r="A11601" s="3">
        <f>DATE(2016,10,3)</f>
        <v>42646</v>
      </c>
      <c r="B11601" s="3">
        <f>DATE(2017,5,30)</f>
        <v>42885</v>
      </c>
      <c r="C11601" s="2" t="s">
        <v>95</v>
      </c>
      <c r="D11601" s="2" t="s">
        <v>33434</v>
      </c>
      <c r="E11601" s="2" t="s">
        <v>33435</v>
      </c>
      <c r="F11601" s="4">
        <v>6282</v>
      </c>
      <c r="G11601" s="2" t="s">
        <v>53</v>
      </c>
      <c r="H11601" s="2" t="s">
        <v>34</v>
      </c>
      <c r="I11601" s="2" t="s">
        <v>33436</v>
      </c>
      <c r="J11601" s="2" t="s">
        <v>30537</v>
      </c>
      <c r="K11601" s="2" t="s">
        <v>53</v>
      </c>
      <c r="L11601" s="2" t="s">
        <v>303</v>
      </c>
      <c r="M11601" s="12">
        <v>10939.897000000001</v>
      </c>
      <c r="N11601" s="7">
        <v>3.4729999999999999</v>
      </c>
      <c r="O11601" s="7">
        <v>3.3220000000000001</v>
      </c>
      <c r="P11601" s="2" t="s">
        <v>33437</v>
      </c>
      <c r="Q11601" s="6">
        <v>100</v>
      </c>
      <c r="R11601" s="6">
        <v>14.21</v>
      </c>
      <c r="S11601" s="5">
        <v>155.80000000000001</v>
      </c>
      <c r="T11601" s="5">
        <v>297.39999999999998</v>
      </c>
      <c r="U11601" s="5">
        <v>8.8000000000000007</v>
      </c>
      <c r="V11601" s="9">
        <v>0.85460000000000003</v>
      </c>
      <c r="W11601" s="6">
        <v>13.78</v>
      </c>
      <c r="X11601" s="6">
        <v>14.01</v>
      </c>
      <c r="Y11601" s="5">
        <v>15.7</v>
      </c>
      <c r="Z11601" s="6">
        <v>15.02</v>
      </c>
      <c r="AA11601" s="6">
        <v>265.5</v>
      </c>
      <c r="AB11601" s="7">
        <v>8.7080000000000002</v>
      </c>
      <c r="AC11601" s="6">
        <v>872.93</v>
      </c>
    </row>
    <row r="11602" spans="1:29" ht="39" x14ac:dyDescent="0.15">
      <c r="A11602" s="3">
        <f>DATE(2016,10,6)</f>
        <v>42649</v>
      </c>
      <c r="B11602" s="3">
        <f>DATE(2017,5,23)</f>
        <v>42878</v>
      </c>
      <c r="C11602" s="2" t="s">
        <v>95</v>
      </c>
      <c r="D11602" s="2" t="s">
        <v>33438</v>
      </c>
      <c r="E11602" s="2" t="s">
        <v>672</v>
      </c>
      <c r="F11602" s="4">
        <v>6021</v>
      </c>
      <c r="G11602" s="2" t="s">
        <v>37</v>
      </c>
      <c r="H11602" s="2" t="s">
        <v>34</v>
      </c>
      <c r="I11602" s="2" t="s">
        <v>33439</v>
      </c>
      <c r="J11602" s="2" t="s">
        <v>33440</v>
      </c>
      <c r="K11602" s="2" t="s">
        <v>37</v>
      </c>
      <c r="L11602" s="2" t="s">
        <v>34</v>
      </c>
      <c r="M11602" s="2"/>
      <c r="N11602" s="2"/>
      <c r="O11602" s="2"/>
      <c r="P11602" s="2" t="s">
        <v>33441</v>
      </c>
      <c r="Q11602" s="6">
        <v>100</v>
      </c>
      <c r="R11602" s="2"/>
      <c r="S11602" s="2"/>
      <c r="T11602" s="2"/>
      <c r="U11602" s="2"/>
      <c r="V11602" s="2"/>
      <c r="W11602" s="5">
        <v>20.8</v>
      </c>
      <c r="X11602" s="6">
        <v>20.88</v>
      </c>
      <c r="Y11602" s="6">
        <v>25.45</v>
      </c>
      <c r="Z11602" s="7">
        <v>25.565000000000001</v>
      </c>
      <c r="AA11602" s="6">
        <v>1.84</v>
      </c>
      <c r="AB11602" s="2" t="s">
        <v>47</v>
      </c>
      <c r="AC11602" s="2"/>
    </row>
    <row r="11603" spans="1:29" ht="91" x14ac:dyDescent="0.15">
      <c r="A11603" s="3">
        <f>DATE(2016,10,6)</f>
        <v>42649</v>
      </c>
      <c r="B11603" s="2"/>
      <c r="C11603" s="2" t="s">
        <v>7472</v>
      </c>
      <c r="D11603" s="2" t="s">
        <v>9856</v>
      </c>
      <c r="E11603" s="2" t="s">
        <v>32692</v>
      </c>
      <c r="F11603" s="4">
        <v>5411</v>
      </c>
      <c r="G11603" s="2" t="s">
        <v>1461</v>
      </c>
      <c r="H11603" s="2" t="s">
        <v>34</v>
      </c>
      <c r="I11603" s="2" t="s">
        <v>13066</v>
      </c>
      <c r="J11603" s="2" t="s">
        <v>9676</v>
      </c>
      <c r="K11603" s="2" t="s">
        <v>1461</v>
      </c>
      <c r="L11603" s="2" t="s">
        <v>34</v>
      </c>
      <c r="M11603" s="12">
        <v>29562.065999999999</v>
      </c>
      <c r="N11603" s="6">
        <v>29.37</v>
      </c>
      <c r="O11603" s="4">
        <v>29</v>
      </c>
      <c r="P11603" s="2" t="s">
        <v>33442</v>
      </c>
      <c r="Q11603" s="2"/>
      <c r="R11603" s="2"/>
      <c r="S11603" s="5">
        <v>507</v>
      </c>
      <c r="T11603" s="8">
        <v>1368</v>
      </c>
      <c r="U11603" s="5">
        <v>10.1</v>
      </c>
      <c r="V11603" s="9">
        <v>1.5508999999999999</v>
      </c>
      <c r="W11603" s="6">
        <v>28.01</v>
      </c>
      <c r="X11603" s="6">
        <v>27.96</v>
      </c>
      <c r="Y11603" s="6">
        <v>29.33</v>
      </c>
      <c r="Z11603" s="6">
        <v>28.86</v>
      </c>
      <c r="AA11603" s="6">
        <v>318.8</v>
      </c>
      <c r="AB11603" s="2" t="s">
        <v>47</v>
      </c>
      <c r="AC11603" s="5">
        <v>319</v>
      </c>
    </row>
    <row r="11604" spans="1:29" ht="65" x14ac:dyDescent="0.15">
      <c r="A11604" s="3">
        <f>DATE(2016,10,10)</f>
        <v>42653</v>
      </c>
      <c r="B11604" s="3">
        <f>DATE(2017,8,4)</f>
        <v>42951</v>
      </c>
      <c r="C11604" s="2" t="s">
        <v>95</v>
      </c>
      <c r="D11604" s="2" t="s">
        <v>31558</v>
      </c>
      <c r="E11604" s="2" t="s">
        <v>13810</v>
      </c>
      <c r="F11604" s="4">
        <v>4923</v>
      </c>
      <c r="G11604" s="2" t="s">
        <v>439</v>
      </c>
      <c r="H11604" s="2" t="s">
        <v>34</v>
      </c>
      <c r="I11604" s="2" t="s">
        <v>23207</v>
      </c>
      <c r="J11604" s="2" t="s">
        <v>244</v>
      </c>
      <c r="K11604" s="2" t="s">
        <v>53</v>
      </c>
      <c r="L11604" s="2" t="s">
        <v>34</v>
      </c>
      <c r="M11604" s="2"/>
      <c r="N11604" s="2"/>
      <c r="O11604" s="2"/>
      <c r="P11604" s="2" t="s">
        <v>33443</v>
      </c>
      <c r="Q11604" s="6">
        <v>100</v>
      </c>
      <c r="R11604" s="6">
        <v>13.1</v>
      </c>
      <c r="S11604" s="5">
        <v>-0.6</v>
      </c>
      <c r="T11604" s="7">
        <v>10.661</v>
      </c>
      <c r="U11604" s="5">
        <v>8.8000000000000007</v>
      </c>
      <c r="V11604" s="9">
        <v>-6.3E-3</v>
      </c>
      <c r="W11604" s="6">
        <v>7.54</v>
      </c>
      <c r="X11604" s="6">
        <v>7.68</v>
      </c>
      <c r="Y11604" s="6">
        <v>12.65</v>
      </c>
      <c r="Z11604" s="6">
        <v>12.58</v>
      </c>
      <c r="AA11604" s="6">
        <v>10.52</v>
      </c>
      <c r="AB11604" s="7">
        <v>71.135999999999996</v>
      </c>
      <c r="AC11604" s="2"/>
    </row>
    <row r="11605" spans="1:29" ht="91" x14ac:dyDescent="0.15">
      <c r="A11605" s="3">
        <f>DATE(2016,10,10)</f>
        <v>42653</v>
      </c>
      <c r="B11605" s="3">
        <f>DATE(2016,12,12)</f>
        <v>42716</v>
      </c>
      <c r="C11605" s="2" t="s">
        <v>95</v>
      </c>
      <c r="D11605" s="2" t="s">
        <v>33444</v>
      </c>
      <c r="E11605" s="2" t="s">
        <v>33445</v>
      </c>
      <c r="F11605" s="4">
        <v>3581</v>
      </c>
      <c r="G11605" s="2" t="s">
        <v>300</v>
      </c>
      <c r="H11605" s="2" t="s">
        <v>34</v>
      </c>
      <c r="I11605" s="2" t="s">
        <v>33446</v>
      </c>
      <c r="J11605" s="2" t="s">
        <v>33447</v>
      </c>
      <c r="K11605" s="2" t="s">
        <v>300</v>
      </c>
      <c r="L11605" s="2" t="s">
        <v>34</v>
      </c>
      <c r="M11605" s="7">
        <v>295.447</v>
      </c>
      <c r="N11605" s="6">
        <v>13.41</v>
      </c>
      <c r="O11605" s="6">
        <v>13.01</v>
      </c>
      <c r="P11605" s="2" t="s">
        <v>33448</v>
      </c>
      <c r="Q11605" s="6">
        <v>100</v>
      </c>
      <c r="R11605" s="2"/>
      <c r="S11605" s="2"/>
      <c r="T11605" s="2"/>
      <c r="U11605" s="2"/>
      <c r="V11605" s="2"/>
      <c r="W11605" s="4">
        <v>11</v>
      </c>
      <c r="X11605" s="4">
        <v>11</v>
      </c>
      <c r="Y11605" s="4">
        <v>22</v>
      </c>
      <c r="Z11605" s="6">
        <v>21.75</v>
      </c>
      <c r="AA11605" s="6">
        <v>4.9000000000000004</v>
      </c>
      <c r="AB11605" s="2" t="s">
        <v>47</v>
      </c>
      <c r="AC11605" s="6">
        <v>2.2999999999999998</v>
      </c>
    </row>
    <row r="11606" spans="1:29" ht="208" x14ac:dyDescent="0.15">
      <c r="A11606" s="3">
        <f>DATE(2016,10,14)</f>
        <v>42657</v>
      </c>
      <c r="B11606" s="3">
        <f>DATE(2017,6,30)</f>
        <v>42916</v>
      </c>
      <c r="C11606" s="2" t="s">
        <v>95</v>
      </c>
      <c r="D11606" s="2" t="s">
        <v>27729</v>
      </c>
      <c r="E11606" s="2" t="s">
        <v>27730</v>
      </c>
      <c r="F11606" s="4">
        <v>2911</v>
      </c>
      <c r="G11606" s="2" t="s">
        <v>148</v>
      </c>
      <c r="H11606" s="2" t="s">
        <v>34</v>
      </c>
      <c r="I11606" s="2" t="s">
        <v>33449</v>
      </c>
      <c r="J11606" s="2" t="s">
        <v>33450</v>
      </c>
      <c r="K11606" s="2" t="s">
        <v>148</v>
      </c>
      <c r="L11606" s="2" t="s">
        <v>34</v>
      </c>
      <c r="M11606" s="12">
        <v>1130.058</v>
      </c>
      <c r="N11606" s="6">
        <v>17.32</v>
      </c>
      <c r="O11606" s="6">
        <v>17.059999999999999</v>
      </c>
      <c r="P11606" s="2" t="s">
        <v>33451</v>
      </c>
      <c r="Q11606" s="6">
        <v>52.94</v>
      </c>
      <c r="R11606" s="6">
        <v>8.2799999999999994</v>
      </c>
      <c r="S11606" s="5">
        <v>-82.8</v>
      </c>
      <c r="T11606" s="7">
        <v>85.635000000000005</v>
      </c>
      <c r="U11606" s="5">
        <v>7.3</v>
      </c>
      <c r="V11606" s="9">
        <v>-1.1706000000000001</v>
      </c>
      <c r="W11606" s="6">
        <v>8.36</v>
      </c>
      <c r="X11606" s="5">
        <v>8.6</v>
      </c>
      <c r="Y11606" s="6">
        <v>8.4499999999999993</v>
      </c>
      <c r="Z11606" s="6">
        <v>8.43</v>
      </c>
      <c r="AA11606" s="6">
        <v>71.59</v>
      </c>
      <c r="AB11606" s="2" t="s">
        <v>86</v>
      </c>
      <c r="AC11606" s="5">
        <v>726.7</v>
      </c>
    </row>
    <row r="11607" spans="1:29" ht="65" x14ac:dyDescent="0.15">
      <c r="A11607" s="3">
        <f>DATE(2016,10,19)</f>
        <v>42662</v>
      </c>
      <c r="B11607" s="2"/>
      <c r="C11607" s="2" t="s">
        <v>7472</v>
      </c>
      <c r="D11607" s="2" t="s">
        <v>33452</v>
      </c>
      <c r="E11607" s="2" t="s">
        <v>33453</v>
      </c>
      <c r="F11607" s="4">
        <v>7372</v>
      </c>
      <c r="G11607" s="2" t="s">
        <v>551</v>
      </c>
      <c r="H11607" s="2" t="s">
        <v>34</v>
      </c>
      <c r="I11607" s="2" t="s">
        <v>143</v>
      </c>
      <c r="J11607" s="2" t="s">
        <v>144</v>
      </c>
      <c r="K11607" s="2" t="s">
        <v>53</v>
      </c>
      <c r="L11607" s="2" t="s">
        <v>139</v>
      </c>
      <c r="M11607" s="2"/>
      <c r="N11607" s="2"/>
      <c r="O11607" s="2"/>
      <c r="P11607" s="2" t="s">
        <v>33454</v>
      </c>
      <c r="Q11607" s="2"/>
      <c r="R11607" s="2"/>
      <c r="S11607" s="5">
        <v>-164.7</v>
      </c>
      <c r="T11607" s="7">
        <v>-97.159000000000006</v>
      </c>
      <c r="U11607" s="5">
        <v>10.1</v>
      </c>
      <c r="V11607" s="9">
        <v>-2.2238000000000002</v>
      </c>
      <c r="W11607" s="6">
        <v>49.35</v>
      </c>
      <c r="X11607" s="6">
        <v>47.23</v>
      </c>
      <c r="Y11607" s="6">
        <v>48.91</v>
      </c>
      <c r="Z11607" s="6">
        <v>49.02</v>
      </c>
      <c r="AA11607" s="6">
        <v>76.09</v>
      </c>
      <c r="AB11607" s="2" t="s">
        <v>86</v>
      </c>
      <c r="AC11607" s="2"/>
    </row>
    <row r="11608" spans="1:29" ht="130" x14ac:dyDescent="0.15">
      <c r="A11608" s="3">
        <f>DATE(2016,10,20)</f>
        <v>42663</v>
      </c>
      <c r="B11608" s="3">
        <f>DATE(2017,2,28)</f>
        <v>42794</v>
      </c>
      <c r="C11608" s="2" t="s">
        <v>95</v>
      </c>
      <c r="D11608" s="2" t="s">
        <v>17964</v>
      </c>
      <c r="E11608" s="2" t="s">
        <v>1608</v>
      </c>
      <c r="F11608" s="4">
        <v>1311</v>
      </c>
      <c r="G11608" s="2" t="s">
        <v>148</v>
      </c>
      <c r="H11608" s="2" t="s">
        <v>34</v>
      </c>
      <c r="I11608" s="2" t="s">
        <v>1526</v>
      </c>
      <c r="J11608" s="2" t="s">
        <v>302</v>
      </c>
      <c r="K11608" s="2" t="s">
        <v>53</v>
      </c>
      <c r="L11608" s="2" t="s">
        <v>34</v>
      </c>
      <c r="M11608" s="2"/>
      <c r="N11608" s="2"/>
      <c r="O11608" s="2"/>
      <c r="P11608" s="2" t="s">
        <v>33455</v>
      </c>
      <c r="Q11608" s="2"/>
      <c r="R11608" s="2"/>
      <c r="S11608" s="5">
        <v>-792.8</v>
      </c>
      <c r="T11608" s="7">
        <v>109.571</v>
      </c>
      <c r="U11608" s="5">
        <v>-526.1</v>
      </c>
      <c r="V11608" s="6">
        <v>-808.72</v>
      </c>
      <c r="W11608" s="6">
        <v>10.96</v>
      </c>
      <c r="X11608" s="6">
        <v>9.56</v>
      </c>
      <c r="Y11608" s="6">
        <v>9.69</v>
      </c>
      <c r="Z11608" s="5">
        <v>6.3</v>
      </c>
      <c r="AA11608" s="6">
        <v>20</v>
      </c>
      <c r="AB11608" s="2" t="s">
        <v>86</v>
      </c>
      <c r="AC11608" s="2"/>
    </row>
    <row r="11609" spans="1:29" ht="117" x14ac:dyDescent="0.15">
      <c r="A11609" s="3">
        <f>DATE(2016,10,21)</f>
        <v>42664</v>
      </c>
      <c r="B11609" s="3">
        <f>DATE(2016,12,5)</f>
        <v>42709</v>
      </c>
      <c r="C11609" s="2" t="s">
        <v>95</v>
      </c>
      <c r="D11609" s="2" t="s">
        <v>33456</v>
      </c>
      <c r="E11609" s="2" t="s">
        <v>21427</v>
      </c>
      <c r="F11609" s="4">
        <v>7389</v>
      </c>
      <c r="G11609" s="2" t="s">
        <v>223</v>
      </c>
      <c r="H11609" s="2" t="s">
        <v>34</v>
      </c>
      <c r="I11609" s="2" t="s">
        <v>33457</v>
      </c>
      <c r="J11609" s="2" t="s">
        <v>33458</v>
      </c>
      <c r="K11609" s="2" t="s">
        <v>223</v>
      </c>
      <c r="L11609" s="2" t="s">
        <v>34</v>
      </c>
      <c r="M11609" s="2"/>
      <c r="N11609" s="2"/>
      <c r="O11609" s="2"/>
      <c r="P11609" s="2" t="s">
        <v>33459</v>
      </c>
      <c r="Q11609" s="6">
        <v>100</v>
      </c>
      <c r="R11609" s="6">
        <v>10.5</v>
      </c>
      <c r="S11609" s="5">
        <v>-23.4</v>
      </c>
      <c r="T11609" s="7">
        <v>7.5830000000000002</v>
      </c>
      <c r="U11609" s="5">
        <v>4.8</v>
      </c>
      <c r="V11609" s="7">
        <v>-0.69299999999999995</v>
      </c>
      <c r="W11609" s="5">
        <v>8.1</v>
      </c>
      <c r="X11609" s="5">
        <v>8.1999999999999993</v>
      </c>
      <c r="Y11609" s="5">
        <v>9.4</v>
      </c>
      <c r="Z11609" s="6">
        <v>10.45</v>
      </c>
      <c r="AA11609" s="6">
        <v>33.54</v>
      </c>
      <c r="AB11609" s="2" t="s">
        <v>86</v>
      </c>
      <c r="AC11609" s="2"/>
    </row>
    <row r="11610" spans="1:29" ht="247" x14ac:dyDescent="0.15">
      <c r="A11610" s="3">
        <f>DATE(2016,10,21)</f>
        <v>42664</v>
      </c>
      <c r="B11610" s="3">
        <f>DATE(2017,7,25)</f>
        <v>42941</v>
      </c>
      <c r="C11610" s="2" t="s">
        <v>95</v>
      </c>
      <c r="D11610" s="2" t="s">
        <v>31527</v>
      </c>
      <c r="E11610" s="2" t="s">
        <v>31528</v>
      </c>
      <c r="F11610" s="4">
        <v>2111</v>
      </c>
      <c r="G11610" s="2" t="s">
        <v>5397</v>
      </c>
      <c r="H11610" s="2" t="s">
        <v>34</v>
      </c>
      <c r="I11610" s="2" t="s">
        <v>33460</v>
      </c>
      <c r="J11610" s="2" t="s">
        <v>33461</v>
      </c>
      <c r="K11610" s="2" t="s">
        <v>5397</v>
      </c>
      <c r="L11610" s="2" t="s">
        <v>303</v>
      </c>
      <c r="M11610" s="12">
        <v>119467.216</v>
      </c>
      <c r="N11610" s="2"/>
      <c r="O11610" s="7">
        <v>57.198999999999998</v>
      </c>
      <c r="P11610" s="2" t="s">
        <v>33462</v>
      </c>
      <c r="Q11610" s="6">
        <v>57.78</v>
      </c>
      <c r="R11610" s="6">
        <v>59.55</v>
      </c>
      <c r="S11610" s="8">
        <v>6073</v>
      </c>
      <c r="T11610" s="8">
        <v>5831</v>
      </c>
      <c r="U11610" s="5">
        <v>15.2</v>
      </c>
      <c r="V11610" s="9">
        <v>4.2470999999999997</v>
      </c>
      <c r="W11610" s="6">
        <v>47.27</v>
      </c>
      <c r="X11610" s="6">
        <v>47.17</v>
      </c>
      <c r="Y11610" s="6">
        <v>53.78</v>
      </c>
      <c r="Z11610" s="5">
        <v>55.1</v>
      </c>
      <c r="AA11610" s="10">
        <v>1425.79</v>
      </c>
      <c r="AB11610" s="7">
        <v>16.821999999999999</v>
      </c>
      <c r="AC11610" s="8">
        <v>3201</v>
      </c>
    </row>
    <row r="11611" spans="1:29" ht="104" x14ac:dyDescent="0.15">
      <c r="A11611" s="3">
        <f>DATE(2016,10,21)</f>
        <v>42664</v>
      </c>
      <c r="B11611" s="2"/>
      <c r="C11611" s="2" t="s">
        <v>7330</v>
      </c>
      <c r="D11611" s="2" t="s">
        <v>33463</v>
      </c>
      <c r="E11611" s="2" t="s">
        <v>33464</v>
      </c>
      <c r="F11611" s="4">
        <v>7389</v>
      </c>
      <c r="G11611" s="2" t="s">
        <v>223</v>
      </c>
      <c r="H11611" s="2" t="s">
        <v>34</v>
      </c>
      <c r="I11611" s="2" t="s">
        <v>33465</v>
      </c>
      <c r="J11611" s="2" t="s">
        <v>33466</v>
      </c>
      <c r="K11611" s="2" t="s">
        <v>223</v>
      </c>
      <c r="L11611" s="2" t="s">
        <v>34</v>
      </c>
      <c r="M11611" s="2"/>
      <c r="N11611" s="2"/>
      <c r="O11611" s="2"/>
      <c r="P11611" s="2" t="s">
        <v>33467</v>
      </c>
      <c r="Q11611" s="2"/>
      <c r="R11611" s="6">
        <v>1.37</v>
      </c>
      <c r="S11611" s="5">
        <v>4.4000000000000004</v>
      </c>
      <c r="T11611" s="7">
        <v>12.145</v>
      </c>
      <c r="U11611" s="5">
        <v>0.5</v>
      </c>
      <c r="V11611" s="9">
        <v>0.11169999999999999</v>
      </c>
      <c r="W11611" s="7">
        <v>1.036</v>
      </c>
      <c r="X11611" s="7">
        <v>1.0529999999999999</v>
      </c>
      <c r="Y11611" s="7">
        <v>1.3460000000000001</v>
      </c>
      <c r="Z11611" s="7">
        <v>1.345</v>
      </c>
      <c r="AA11611" s="6">
        <v>39.549999999999997</v>
      </c>
      <c r="AB11611" s="2" t="s">
        <v>47</v>
      </c>
      <c r="AC11611" s="2"/>
    </row>
    <row r="11612" spans="1:29" ht="143" x14ac:dyDescent="0.15">
      <c r="A11612" s="3">
        <f>DATE(2016,10,22)</f>
        <v>42665</v>
      </c>
      <c r="B11612" s="2"/>
      <c r="C11612" s="2" t="s">
        <v>7330</v>
      </c>
      <c r="D11612" s="2" t="s">
        <v>22127</v>
      </c>
      <c r="E11612" s="2" t="s">
        <v>22128</v>
      </c>
      <c r="F11612" s="4">
        <v>7812</v>
      </c>
      <c r="G11612" s="2" t="s">
        <v>42</v>
      </c>
      <c r="H11612" s="2" t="s">
        <v>34</v>
      </c>
      <c r="I11612" s="2" t="s">
        <v>23830</v>
      </c>
      <c r="J11612" s="2" t="s">
        <v>973</v>
      </c>
      <c r="K11612" s="2" t="s">
        <v>63</v>
      </c>
      <c r="L11612" s="2" t="s">
        <v>34</v>
      </c>
      <c r="M11612" s="10">
        <v>253954.56</v>
      </c>
      <c r="N11612" s="6">
        <v>36.86</v>
      </c>
      <c r="O11612" s="6">
        <v>36.86</v>
      </c>
      <c r="P11612" s="2" t="s">
        <v>33468</v>
      </c>
      <c r="Q11612" s="2"/>
      <c r="R11612" s="6">
        <v>107.5</v>
      </c>
      <c r="S11612" s="8">
        <v>4479</v>
      </c>
      <c r="T11612" s="8">
        <v>8041</v>
      </c>
      <c r="U11612" s="5">
        <v>31.4</v>
      </c>
      <c r="V11612" s="6">
        <v>5.59</v>
      </c>
      <c r="W11612" s="6">
        <v>79.55</v>
      </c>
      <c r="X11612" s="6">
        <v>82.99</v>
      </c>
      <c r="Y11612" s="6">
        <v>89.48</v>
      </c>
      <c r="Z11612" s="6">
        <v>86.74</v>
      </c>
      <c r="AA11612" s="6">
        <v>777.84</v>
      </c>
      <c r="AB11612" s="7">
        <v>14.537000000000001</v>
      </c>
      <c r="AC11612" s="8">
        <v>5895</v>
      </c>
    </row>
    <row r="11613" spans="1:29" ht="195" x14ac:dyDescent="0.15">
      <c r="A11613" s="3">
        <f>DATE(2016,10,23)</f>
        <v>42666</v>
      </c>
      <c r="B11613" s="3">
        <f>DATE(2017,4,13)</f>
        <v>42838</v>
      </c>
      <c r="C11613" s="2" t="s">
        <v>95</v>
      </c>
      <c r="D11613" s="2" t="s">
        <v>33469</v>
      </c>
      <c r="E11613" s="2" t="s">
        <v>33470</v>
      </c>
      <c r="F11613" s="4">
        <v>3724</v>
      </c>
      <c r="G11613" s="2" t="s">
        <v>219</v>
      </c>
      <c r="H11613" s="2" t="s">
        <v>34</v>
      </c>
      <c r="I11613" s="2" t="s">
        <v>33471</v>
      </c>
      <c r="J11613" s="2" t="s">
        <v>33472</v>
      </c>
      <c r="K11613" s="2" t="s">
        <v>219</v>
      </c>
      <c r="L11613" s="2" t="s">
        <v>34</v>
      </c>
      <c r="M11613" s="12">
        <v>11018.169</v>
      </c>
      <c r="N11613" s="6">
        <v>79.209999999999994</v>
      </c>
      <c r="O11613" s="6">
        <v>79.209999999999994</v>
      </c>
      <c r="P11613" s="2" t="s">
        <v>33473</v>
      </c>
      <c r="Q11613" s="6">
        <v>100</v>
      </c>
      <c r="R11613" s="6">
        <v>62</v>
      </c>
      <c r="S11613" s="5">
        <v>334.1</v>
      </c>
      <c r="T11613" s="5">
        <v>606.29999999999995</v>
      </c>
      <c r="U11613" s="5">
        <v>1.9</v>
      </c>
      <c r="V11613" s="9">
        <v>3.2900999999999998</v>
      </c>
      <c r="W11613" s="6">
        <v>85.72</v>
      </c>
      <c r="X11613" s="6">
        <v>88.96</v>
      </c>
      <c r="Y11613" s="6">
        <v>97.22</v>
      </c>
      <c r="Z11613" s="6">
        <v>97.22</v>
      </c>
      <c r="AA11613" s="6">
        <v>101.63</v>
      </c>
      <c r="AB11613" s="7">
        <v>15.724</v>
      </c>
      <c r="AC11613" s="5">
        <v>351</v>
      </c>
    </row>
    <row r="11614" spans="1:29" ht="104" x14ac:dyDescent="0.15">
      <c r="A11614" s="3">
        <f>DATE(2016,10,23)</f>
        <v>42666</v>
      </c>
      <c r="B11614" s="2"/>
      <c r="C11614" s="2" t="s">
        <v>7330</v>
      </c>
      <c r="D11614" s="2" t="s">
        <v>23533</v>
      </c>
      <c r="E11614" s="2" t="s">
        <v>23534</v>
      </c>
      <c r="F11614" s="4">
        <v>6311</v>
      </c>
      <c r="G11614" s="2" t="s">
        <v>125</v>
      </c>
      <c r="H11614" s="2" t="s">
        <v>34</v>
      </c>
      <c r="I11614" s="2" t="s">
        <v>33474</v>
      </c>
      <c r="J11614" s="2" t="s">
        <v>302</v>
      </c>
      <c r="K11614" s="2" t="s">
        <v>53</v>
      </c>
      <c r="L11614" s="2" t="s">
        <v>455</v>
      </c>
      <c r="M11614" s="2"/>
      <c r="N11614" s="2"/>
      <c r="O11614" s="2"/>
      <c r="P11614" s="2" t="s">
        <v>33475</v>
      </c>
      <c r="Q11614" s="2"/>
      <c r="R11614" s="6">
        <v>5.43</v>
      </c>
      <c r="S11614" s="5">
        <v>-447</v>
      </c>
      <c r="T11614" s="2"/>
      <c r="U11614" s="5">
        <v>24.1</v>
      </c>
      <c r="V11614" s="9">
        <v>-0.70109999999999995</v>
      </c>
      <c r="W11614" s="6">
        <v>5.05</v>
      </c>
      <c r="X11614" s="6">
        <v>5.21</v>
      </c>
      <c r="Y11614" s="6">
        <v>4.79</v>
      </c>
      <c r="Z11614" s="6">
        <v>4.79</v>
      </c>
      <c r="AA11614" s="6">
        <v>498.34</v>
      </c>
      <c r="AB11614" s="7">
        <v>7.1539999999999999</v>
      </c>
      <c r="AC11614" s="2"/>
    </row>
    <row r="11615" spans="1:29" ht="143" x14ac:dyDescent="0.15">
      <c r="A11615" s="3">
        <f>DATE(2016,10,24)</f>
        <v>42667</v>
      </c>
      <c r="B11615" s="3">
        <f>DATE(2017,3,8)</f>
        <v>42802</v>
      </c>
      <c r="C11615" s="2" t="s">
        <v>95</v>
      </c>
      <c r="D11615" s="2" t="s">
        <v>33476</v>
      </c>
      <c r="E11615" s="2" t="s">
        <v>33477</v>
      </c>
      <c r="F11615" s="4">
        <v>5171</v>
      </c>
      <c r="G11615" s="2" t="s">
        <v>593</v>
      </c>
      <c r="H11615" s="2" t="s">
        <v>34</v>
      </c>
      <c r="I11615" s="2" t="s">
        <v>33478</v>
      </c>
      <c r="J11615" s="2" t="s">
        <v>33479</v>
      </c>
      <c r="K11615" s="2" t="s">
        <v>439</v>
      </c>
      <c r="L11615" s="2" t="s">
        <v>34</v>
      </c>
      <c r="M11615" s="7">
        <v>455.48099999999999</v>
      </c>
      <c r="N11615" s="6">
        <v>14.65</v>
      </c>
      <c r="O11615" s="4">
        <v>15</v>
      </c>
      <c r="P11615" s="2" t="s">
        <v>33480</v>
      </c>
      <c r="Q11615" s="6">
        <v>100</v>
      </c>
      <c r="R11615" s="6">
        <v>8.6300000000000008</v>
      </c>
      <c r="S11615" s="5">
        <v>-58.4</v>
      </c>
      <c r="T11615" s="7">
        <v>43.924999999999997</v>
      </c>
      <c r="U11615" s="5">
        <v>12.3</v>
      </c>
      <c r="V11615" s="9">
        <v>-1.1741999999999999</v>
      </c>
      <c r="W11615" s="7">
        <v>7.5949999999999998</v>
      </c>
      <c r="X11615" s="6">
        <v>7.54</v>
      </c>
      <c r="Y11615" s="6">
        <v>8.39</v>
      </c>
      <c r="Z11615" s="5">
        <v>8.5</v>
      </c>
      <c r="AA11615" s="6">
        <v>18.53</v>
      </c>
      <c r="AB11615" s="2" t="s">
        <v>86</v>
      </c>
      <c r="AC11615" s="6">
        <v>5.57</v>
      </c>
    </row>
    <row r="11616" spans="1:29" ht="182" x14ac:dyDescent="0.15">
      <c r="A11616" s="3">
        <f>DATE(2016,10,24)</f>
        <v>42667</v>
      </c>
      <c r="B11616" s="3">
        <f>DATE(2017,5,12)</f>
        <v>42867</v>
      </c>
      <c r="C11616" s="2" t="s">
        <v>95</v>
      </c>
      <c r="D11616" s="2" t="s">
        <v>89</v>
      </c>
      <c r="E11616" s="2" t="s">
        <v>36</v>
      </c>
      <c r="F11616" s="4">
        <v>6021</v>
      </c>
      <c r="G11616" s="2" t="s">
        <v>37</v>
      </c>
      <c r="H11616" s="2" t="s">
        <v>34</v>
      </c>
      <c r="I11616" s="2" t="s">
        <v>18117</v>
      </c>
      <c r="J11616" s="2" t="s">
        <v>36</v>
      </c>
      <c r="K11616" s="2" t="s">
        <v>37</v>
      </c>
      <c r="L11616" s="2" t="s">
        <v>34</v>
      </c>
      <c r="M11616" s="12">
        <v>2074.5630000000001</v>
      </c>
      <c r="N11616" s="6">
        <v>46.69</v>
      </c>
      <c r="O11616" s="6">
        <v>46.98</v>
      </c>
      <c r="P11616" s="2" t="s">
        <v>33481</v>
      </c>
      <c r="Q11616" s="6">
        <v>100</v>
      </c>
      <c r="R11616" s="6">
        <v>45.74</v>
      </c>
      <c r="S11616" s="5">
        <v>14.1</v>
      </c>
      <c r="T11616" s="7">
        <v>22.533999999999999</v>
      </c>
      <c r="U11616" s="5">
        <v>23</v>
      </c>
      <c r="V11616" s="9">
        <v>2.0604</v>
      </c>
      <c r="W11616" s="6">
        <v>32.450000000000003</v>
      </c>
      <c r="X11616" s="6">
        <v>32.85</v>
      </c>
      <c r="Y11616" s="5">
        <v>43.1</v>
      </c>
      <c r="Z11616" s="6">
        <v>43.05</v>
      </c>
      <c r="AA11616" s="6">
        <v>6.88</v>
      </c>
      <c r="AB11616" s="7">
        <v>31.09</v>
      </c>
      <c r="AC11616" s="2"/>
    </row>
    <row r="11617" spans="1:29" ht="182" x14ac:dyDescent="0.15">
      <c r="A11617" s="3">
        <f>DATE(2016,10,24)</f>
        <v>42667</v>
      </c>
      <c r="B11617" s="3">
        <f>DATE(2017,4,3)</f>
        <v>42828</v>
      </c>
      <c r="C11617" s="2" t="s">
        <v>95</v>
      </c>
      <c r="D11617" s="2" t="s">
        <v>33482</v>
      </c>
      <c r="E11617" s="2" t="s">
        <v>33483</v>
      </c>
      <c r="F11617" s="4">
        <v>6021</v>
      </c>
      <c r="G11617" s="2" t="s">
        <v>37</v>
      </c>
      <c r="H11617" s="2" t="s">
        <v>34</v>
      </c>
      <c r="I11617" s="2" t="s">
        <v>33484</v>
      </c>
      <c r="J11617" s="2" t="s">
        <v>159</v>
      </c>
      <c r="K11617" s="2" t="s">
        <v>33</v>
      </c>
      <c r="L11617" s="2" t="s">
        <v>34</v>
      </c>
      <c r="M11617" s="7">
        <v>248.81100000000001</v>
      </c>
      <c r="N11617" s="6">
        <v>24.03</v>
      </c>
      <c r="O11617" s="6">
        <v>23.85</v>
      </c>
      <c r="P11617" s="2" t="s">
        <v>33485</v>
      </c>
      <c r="Q11617" s="6">
        <v>100</v>
      </c>
      <c r="R11617" s="6">
        <v>35.43</v>
      </c>
      <c r="S11617" s="5">
        <v>7.8</v>
      </c>
      <c r="T11617" s="7">
        <v>11.047000000000001</v>
      </c>
      <c r="U11617" s="5">
        <v>18.100000000000001</v>
      </c>
      <c r="V11617" s="9">
        <v>1.0797000000000001</v>
      </c>
      <c r="W11617" s="5">
        <v>27.5</v>
      </c>
      <c r="X11617" s="6">
        <v>27.59</v>
      </c>
      <c r="Y11617" s="6">
        <v>30.38</v>
      </c>
      <c r="Z11617" s="6">
        <v>30.47</v>
      </c>
      <c r="AA11617" s="6">
        <v>6.93</v>
      </c>
      <c r="AB11617" s="7">
        <v>34.701999999999998</v>
      </c>
      <c r="AC11617" s="2"/>
    </row>
    <row r="11618" spans="1:29" ht="104" x14ac:dyDescent="0.15">
      <c r="A11618" s="3">
        <f>DATE(2016,10,25)</f>
        <v>42668</v>
      </c>
      <c r="B11618" s="3">
        <f>DATE(2016,11,2)</f>
        <v>42676</v>
      </c>
      <c r="C11618" s="2" t="s">
        <v>95</v>
      </c>
      <c r="D11618" s="2" t="s">
        <v>33486</v>
      </c>
      <c r="E11618" s="2" t="s">
        <v>32148</v>
      </c>
      <c r="F11618" s="4">
        <v>4922</v>
      </c>
      <c r="G11618" s="2" t="s">
        <v>439</v>
      </c>
      <c r="H11618" s="2" t="s">
        <v>34</v>
      </c>
      <c r="I11618" s="2" t="s">
        <v>29928</v>
      </c>
      <c r="J11618" s="2" t="s">
        <v>4767</v>
      </c>
      <c r="K11618" s="2" t="s">
        <v>439</v>
      </c>
      <c r="L11618" s="2" t="s">
        <v>34</v>
      </c>
      <c r="M11618" s="10">
        <v>19296.919999999998</v>
      </c>
      <c r="N11618" s="6">
        <v>36.24</v>
      </c>
      <c r="O11618" s="6">
        <v>36.31</v>
      </c>
      <c r="P11618" s="2" t="s">
        <v>33487</v>
      </c>
      <c r="Q11618" s="6">
        <v>65.45</v>
      </c>
      <c r="R11618" s="2"/>
      <c r="S11618" s="5">
        <v>23.2</v>
      </c>
      <c r="T11618" s="7">
        <v>39.085000000000001</v>
      </c>
      <c r="U11618" s="5">
        <v>5.7</v>
      </c>
      <c r="V11618" s="9">
        <v>0.57920000000000005</v>
      </c>
      <c r="W11618" s="6">
        <v>17.16</v>
      </c>
      <c r="X11618" s="6">
        <v>16.98</v>
      </c>
      <c r="Y11618" s="6">
        <v>16.71</v>
      </c>
      <c r="Z11618" s="6">
        <v>16.21</v>
      </c>
      <c r="AA11618" s="6">
        <v>40.18</v>
      </c>
      <c r="AB11618" s="7">
        <v>43.924999999999997</v>
      </c>
      <c r="AC11618" s="5">
        <v>407</v>
      </c>
    </row>
    <row r="11619" spans="1:29" ht="117" x14ac:dyDescent="0.15">
      <c r="A11619" s="3">
        <f>DATE(2016,10,25)</f>
        <v>42668</v>
      </c>
      <c r="B11619" s="2"/>
      <c r="C11619" s="2" t="s">
        <v>7330</v>
      </c>
      <c r="D11619" s="2" t="s">
        <v>33488</v>
      </c>
      <c r="E11619" s="2" t="s">
        <v>1608</v>
      </c>
      <c r="F11619" s="4">
        <v>1311</v>
      </c>
      <c r="G11619" s="2" t="s">
        <v>148</v>
      </c>
      <c r="H11619" s="2" t="s">
        <v>34</v>
      </c>
      <c r="I11619" s="2" t="s">
        <v>33489</v>
      </c>
      <c r="J11619" s="2" t="s">
        <v>33490</v>
      </c>
      <c r="K11619" s="2" t="s">
        <v>148</v>
      </c>
      <c r="L11619" s="2" t="s">
        <v>34</v>
      </c>
      <c r="M11619" s="12">
        <v>11857.353999999999</v>
      </c>
      <c r="N11619" s="6">
        <v>64.92</v>
      </c>
      <c r="O11619" s="6">
        <v>64.36</v>
      </c>
      <c r="P11619" s="2" t="s">
        <v>33491</v>
      </c>
      <c r="Q11619" s="2"/>
      <c r="R11619" s="6">
        <v>3.58</v>
      </c>
      <c r="S11619" s="5">
        <v>-44.8</v>
      </c>
      <c r="T11619" s="7">
        <v>-4.3310000000000004</v>
      </c>
      <c r="U11619" s="5">
        <v>-4.4000000000000004</v>
      </c>
      <c r="V11619" s="9">
        <v>-2.8767</v>
      </c>
      <c r="W11619" s="6">
        <v>1.02</v>
      </c>
      <c r="X11619" s="6">
        <v>1.02</v>
      </c>
      <c r="Y11619" s="6">
        <v>3.53</v>
      </c>
      <c r="Z11619" s="6">
        <v>3.52</v>
      </c>
      <c r="AA11619" s="6">
        <v>16.13</v>
      </c>
      <c r="AB11619" s="2" t="s">
        <v>86</v>
      </c>
      <c r="AC11619" s="10">
        <v>1892.11</v>
      </c>
    </row>
    <row r="11620" spans="1:29" ht="117" x14ac:dyDescent="0.15">
      <c r="A11620" s="3">
        <f>DATE(2016,10,27)</f>
        <v>42670</v>
      </c>
      <c r="B11620" s="2"/>
      <c r="C11620" s="2" t="s">
        <v>7330</v>
      </c>
      <c r="D11620" s="2" t="s">
        <v>32083</v>
      </c>
      <c r="E11620" s="2" t="s">
        <v>31609</v>
      </c>
      <c r="F11620" s="4">
        <v>3674</v>
      </c>
      <c r="G11620" s="2" t="s">
        <v>137</v>
      </c>
      <c r="H11620" s="2" t="s">
        <v>34</v>
      </c>
      <c r="I11620" s="2" t="s">
        <v>33492</v>
      </c>
      <c r="J11620" s="2" t="s">
        <v>8771</v>
      </c>
      <c r="K11620" s="2" t="s">
        <v>921</v>
      </c>
      <c r="L11620" s="2" t="s">
        <v>34</v>
      </c>
      <c r="M11620" s="12">
        <v>99397.584000000003</v>
      </c>
      <c r="N11620" s="6">
        <v>70.09</v>
      </c>
      <c r="O11620" s="5">
        <v>68.400000000000006</v>
      </c>
      <c r="P11620" s="2" t="s">
        <v>33493</v>
      </c>
      <c r="Q11620" s="2"/>
      <c r="R11620" s="6">
        <v>110</v>
      </c>
      <c r="S11620" s="8">
        <v>1236.3</v>
      </c>
      <c r="T11620" s="10">
        <v>2100.2399999999998</v>
      </c>
      <c r="U11620" s="2"/>
      <c r="V11620" s="9">
        <v>5.0525000000000002</v>
      </c>
      <c r="W11620" s="11">
        <v>94.575789999999998</v>
      </c>
      <c r="X11620" s="11">
        <v>92.249020000000002</v>
      </c>
      <c r="Y11620" s="6">
        <v>96.12</v>
      </c>
      <c r="Z11620" s="6">
        <v>102.01</v>
      </c>
      <c r="AA11620" s="6">
        <v>346</v>
      </c>
      <c r="AB11620" s="7">
        <v>39.045999999999999</v>
      </c>
      <c r="AC11620" s="8">
        <v>18648</v>
      </c>
    </row>
    <row r="11621" spans="1:29" ht="208" x14ac:dyDescent="0.15">
      <c r="A11621" s="3">
        <f t="shared" ref="A11621:A11626" si="184">DATE(2016,10,31)</f>
        <v>42674</v>
      </c>
      <c r="B11621" s="3">
        <f>DATE(2017,7,3)</f>
        <v>42919</v>
      </c>
      <c r="C11621" s="2" t="s">
        <v>95</v>
      </c>
      <c r="D11621" s="2" t="s">
        <v>9361</v>
      </c>
      <c r="E11621" s="2" t="s">
        <v>9362</v>
      </c>
      <c r="F11621" s="4">
        <v>3533</v>
      </c>
      <c r="G11621" s="2" t="s">
        <v>300</v>
      </c>
      <c r="H11621" s="2" t="s">
        <v>34</v>
      </c>
      <c r="I11621" s="2" t="s">
        <v>33494</v>
      </c>
      <c r="J11621" s="2" t="s">
        <v>33495</v>
      </c>
      <c r="K11621" s="2" t="s">
        <v>300</v>
      </c>
      <c r="L11621" s="2" t="s">
        <v>303</v>
      </c>
      <c r="M11621" s="2"/>
      <c r="N11621" s="5">
        <v>29.1</v>
      </c>
      <c r="O11621" s="6">
        <v>28.88</v>
      </c>
      <c r="P11621" s="2" t="s">
        <v>33496</v>
      </c>
      <c r="Q11621" s="6">
        <v>100</v>
      </c>
      <c r="R11621" s="2"/>
      <c r="S11621" s="8">
        <v>-3352</v>
      </c>
      <c r="T11621" s="5">
        <v>-116</v>
      </c>
      <c r="U11621" s="5">
        <v>31.1</v>
      </c>
      <c r="V11621" s="9">
        <v>-7.6650999999999998</v>
      </c>
      <c r="W11621" s="6">
        <v>52.25</v>
      </c>
      <c r="X11621" s="6">
        <v>54.76</v>
      </c>
      <c r="Y11621" s="6">
        <v>54.55</v>
      </c>
      <c r="Z11621" s="6">
        <v>59.12</v>
      </c>
      <c r="AA11621" s="6">
        <v>422.79</v>
      </c>
      <c r="AB11621" s="2" t="s">
        <v>86</v>
      </c>
      <c r="AC11621" s="2"/>
    </row>
    <row r="11622" spans="1:29" ht="104" x14ac:dyDescent="0.15">
      <c r="A11622" s="3">
        <f t="shared" si="184"/>
        <v>42674</v>
      </c>
      <c r="B11622" s="3">
        <f>DATE(2017,3,1)</f>
        <v>42795</v>
      </c>
      <c r="C11622" s="2" t="s">
        <v>95</v>
      </c>
      <c r="D11622" s="2" t="s">
        <v>33497</v>
      </c>
      <c r="E11622" s="2" t="s">
        <v>36</v>
      </c>
      <c r="F11622" s="4">
        <v>6029</v>
      </c>
      <c r="G11622" s="2" t="s">
        <v>37</v>
      </c>
      <c r="H11622" s="2" t="s">
        <v>34</v>
      </c>
      <c r="I11622" s="2" t="s">
        <v>32276</v>
      </c>
      <c r="J11622" s="2" t="s">
        <v>36</v>
      </c>
      <c r="K11622" s="2" t="s">
        <v>37</v>
      </c>
      <c r="L11622" s="2" t="s">
        <v>34</v>
      </c>
      <c r="M11622" s="7">
        <v>880.44600000000003</v>
      </c>
      <c r="N11622" s="6">
        <v>37.450000000000003</v>
      </c>
      <c r="O11622" s="6">
        <v>38.25</v>
      </c>
      <c r="P11622" s="2" t="s">
        <v>33498</v>
      </c>
      <c r="Q11622" s="6">
        <v>100</v>
      </c>
      <c r="R11622" s="6">
        <v>21.87</v>
      </c>
      <c r="S11622" s="2"/>
      <c r="T11622" s="2"/>
      <c r="U11622" s="2"/>
      <c r="V11622" s="2"/>
      <c r="W11622" s="6">
        <v>13.37</v>
      </c>
      <c r="X11622" s="6">
        <v>13.37</v>
      </c>
      <c r="Y11622" s="5">
        <v>20.7</v>
      </c>
      <c r="Z11622" s="6">
        <v>20.85</v>
      </c>
      <c r="AA11622" s="2"/>
      <c r="AB11622" s="2" t="s">
        <v>47</v>
      </c>
      <c r="AC11622" s="2"/>
    </row>
    <row r="11623" spans="1:29" ht="169" x14ac:dyDescent="0.15">
      <c r="A11623" s="3">
        <f t="shared" si="184"/>
        <v>42674</v>
      </c>
      <c r="B11623" s="2"/>
      <c r="C11623" s="2" t="s">
        <v>7330</v>
      </c>
      <c r="D11623" s="2" t="s">
        <v>19971</v>
      </c>
      <c r="E11623" s="2" t="s">
        <v>973</v>
      </c>
      <c r="F11623" s="4">
        <v>4813</v>
      </c>
      <c r="G11623" s="2" t="s">
        <v>63</v>
      </c>
      <c r="H11623" s="2" t="s">
        <v>34</v>
      </c>
      <c r="I11623" s="2" t="s">
        <v>19232</v>
      </c>
      <c r="J11623" s="2" t="s">
        <v>971</v>
      </c>
      <c r="K11623" s="2" t="s">
        <v>63</v>
      </c>
      <c r="L11623" s="2" t="s">
        <v>34</v>
      </c>
      <c r="M11623" s="12">
        <v>15025.082</v>
      </c>
      <c r="N11623" s="6">
        <v>26.58</v>
      </c>
      <c r="O11623" s="6">
        <v>24.97</v>
      </c>
      <c r="P11623" s="2" t="s">
        <v>33499</v>
      </c>
      <c r="Q11623" s="2"/>
      <c r="R11623" s="6">
        <v>69.92</v>
      </c>
      <c r="S11623" s="8">
        <v>3750</v>
      </c>
      <c r="T11623" s="8">
        <v>2652</v>
      </c>
      <c r="U11623" s="5">
        <v>29.8</v>
      </c>
      <c r="V11623" s="9">
        <v>10.4467</v>
      </c>
      <c r="W11623" s="6">
        <v>47.52</v>
      </c>
      <c r="X11623" s="6">
        <v>46.92</v>
      </c>
      <c r="Y11623" s="6">
        <v>51.87</v>
      </c>
      <c r="Z11623" s="6">
        <v>54.05</v>
      </c>
      <c r="AA11623" s="6">
        <v>359.53</v>
      </c>
      <c r="AB11623" s="7">
        <v>24.126000000000001</v>
      </c>
      <c r="AC11623" s="5">
        <v>140</v>
      </c>
    </row>
    <row r="11624" spans="1:29" ht="91" x14ac:dyDescent="0.15">
      <c r="A11624" s="3">
        <f t="shared" si="184"/>
        <v>42674</v>
      </c>
      <c r="B11624" s="3">
        <f>DATE(2017,2,28)</f>
        <v>42794</v>
      </c>
      <c r="C11624" s="2" t="s">
        <v>95</v>
      </c>
      <c r="D11624" s="2" t="s">
        <v>33500</v>
      </c>
      <c r="E11624" s="2" t="s">
        <v>33501</v>
      </c>
      <c r="F11624" s="4">
        <v>3949</v>
      </c>
      <c r="G11624" s="2" t="s">
        <v>112</v>
      </c>
      <c r="H11624" s="2" t="s">
        <v>34</v>
      </c>
      <c r="I11624" s="2" t="s">
        <v>33502</v>
      </c>
      <c r="J11624" s="2" t="s">
        <v>11337</v>
      </c>
      <c r="K11624" s="2" t="s">
        <v>53</v>
      </c>
      <c r="L11624" s="2" t="s">
        <v>34</v>
      </c>
      <c r="M11624" s="2"/>
      <c r="N11624" s="2"/>
      <c r="O11624" s="2"/>
      <c r="P11624" s="2" t="s">
        <v>33503</v>
      </c>
      <c r="Q11624" s="6">
        <v>100</v>
      </c>
      <c r="R11624" s="2"/>
      <c r="S11624" s="5">
        <v>3.3</v>
      </c>
      <c r="T11624" s="7">
        <v>65.638000000000005</v>
      </c>
      <c r="U11624" s="5">
        <v>6.8</v>
      </c>
      <c r="V11624" s="9">
        <v>7.0800000000000002E-2</v>
      </c>
      <c r="W11624" s="6">
        <v>3.97</v>
      </c>
      <c r="X11624" s="6">
        <v>3.48</v>
      </c>
      <c r="Y11624" s="6">
        <v>3.48</v>
      </c>
      <c r="Z11624" s="6">
        <v>1.67</v>
      </c>
      <c r="AA11624" s="6">
        <v>45.57</v>
      </c>
      <c r="AB11624" s="7">
        <v>23.809000000000001</v>
      </c>
      <c r="AC11624" s="2"/>
    </row>
    <row r="11625" spans="1:29" ht="143" x14ac:dyDescent="0.15">
      <c r="A11625" s="3">
        <f t="shared" si="184"/>
        <v>42674</v>
      </c>
      <c r="B11625" s="2"/>
      <c r="C11625" s="2" t="s">
        <v>7330</v>
      </c>
      <c r="D11625" s="2" t="s">
        <v>33504</v>
      </c>
      <c r="E11625" s="2" t="s">
        <v>33505</v>
      </c>
      <c r="F11625" s="4">
        <v>3312</v>
      </c>
      <c r="G11625" s="2" t="s">
        <v>163</v>
      </c>
      <c r="H11625" s="2" t="s">
        <v>34</v>
      </c>
      <c r="I11625" s="2" t="s">
        <v>33506</v>
      </c>
      <c r="J11625" s="2" t="s">
        <v>31181</v>
      </c>
      <c r="K11625" s="2" t="s">
        <v>163</v>
      </c>
      <c r="L11625" s="2" t="s">
        <v>34</v>
      </c>
      <c r="M11625" s="7">
        <v>510.50200000000001</v>
      </c>
      <c r="N11625" s="6">
        <v>10.210000000000001</v>
      </c>
      <c r="O11625" s="6">
        <v>10.18</v>
      </c>
      <c r="P11625" s="2" t="s">
        <v>33507</v>
      </c>
      <c r="Q11625" s="2"/>
      <c r="R11625" s="6">
        <v>17.75</v>
      </c>
      <c r="S11625" s="5">
        <v>92.4</v>
      </c>
      <c r="T11625" s="5">
        <v>205.5</v>
      </c>
      <c r="U11625" s="5">
        <v>15.1</v>
      </c>
      <c r="V11625" s="9">
        <v>2.0360999999999998</v>
      </c>
      <c r="W11625" s="6">
        <v>16.75</v>
      </c>
      <c r="X11625" s="6">
        <v>16.95</v>
      </c>
      <c r="Y11625" s="5">
        <v>17.3</v>
      </c>
      <c r="Z11625" s="5">
        <v>17.3</v>
      </c>
      <c r="AA11625" s="6">
        <v>46.21</v>
      </c>
      <c r="AB11625" s="7">
        <v>12.484999999999999</v>
      </c>
      <c r="AC11625" s="5">
        <v>105.3</v>
      </c>
    </row>
    <row r="11626" spans="1:29" ht="117" x14ac:dyDescent="0.15">
      <c r="A11626" s="3">
        <f t="shared" si="184"/>
        <v>42674</v>
      </c>
      <c r="B11626" s="3">
        <f>DATE(2017,2,6)</f>
        <v>42772</v>
      </c>
      <c r="C11626" s="2" t="s">
        <v>95</v>
      </c>
      <c r="D11626" s="2" t="s">
        <v>32412</v>
      </c>
      <c r="E11626" s="2" t="s">
        <v>10699</v>
      </c>
      <c r="F11626" s="4">
        <v>8099</v>
      </c>
      <c r="G11626" s="2" t="s">
        <v>454</v>
      </c>
      <c r="H11626" s="2" t="s">
        <v>34</v>
      </c>
      <c r="I11626" s="2" t="s">
        <v>21776</v>
      </c>
      <c r="J11626" s="2" t="s">
        <v>25822</v>
      </c>
      <c r="K11626" s="2" t="s">
        <v>53</v>
      </c>
      <c r="L11626" s="2" t="s">
        <v>34</v>
      </c>
      <c r="M11626" s="12">
        <v>14332.388000000001</v>
      </c>
      <c r="N11626" s="6">
        <v>25.03</v>
      </c>
      <c r="O11626" s="6">
        <v>24.92</v>
      </c>
      <c r="P11626" s="2" t="s">
        <v>33508</v>
      </c>
      <c r="Q11626" s="6">
        <v>100</v>
      </c>
      <c r="R11626" s="6">
        <v>43.5</v>
      </c>
      <c r="S11626" s="5">
        <v>20.2</v>
      </c>
      <c r="T11626" s="2"/>
      <c r="U11626" s="2"/>
      <c r="V11626" s="9">
        <v>0.25840000000000002</v>
      </c>
      <c r="W11626" s="5">
        <v>31.8</v>
      </c>
      <c r="X11626" s="5">
        <v>32.799999999999997</v>
      </c>
      <c r="Y11626" s="5">
        <v>38.200000000000003</v>
      </c>
      <c r="Z11626" s="5">
        <v>39.9</v>
      </c>
      <c r="AA11626" s="6">
        <v>74.459999999999994</v>
      </c>
      <c r="AB11626" s="2" t="s">
        <v>47</v>
      </c>
      <c r="AC11626" s="10">
        <v>2890.85</v>
      </c>
    </row>
    <row r="11627" spans="1:29" ht="169" x14ac:dyDescent="0.15">
      <c r="A11627" s="3">
        <f>DATE(2016,11,2)</f>
        <v>42676</v>
      </c>
      <c r="B11627" s="2"/>
      <c r="C11627" s="2" t="s">
        <v>7330</v>
      </c>
      <c r="D11627" s="2" t="s">
        <v>24388</v>
      </c>
      <c r="E11627" s="2" t="s">
        <v>24389</v>
      </c>
      <c r="F11627" s="4">
        <v>7372</v>
      </c>
      <c r="G11627" s="2" t="s">
        <v>551</v>
      </c>
      <c r="H11627" s="2" t="s">
        <v>34</v>
      </c>
      <c r="I11627" s="2" t="s">
        <v>33509</v>
      </c>
      <c r="J11627" s="2" t="s">
        <v>31609</v>
      </c>
      <c r="K11627" s="2" t="s">
        <v>137</v>
      </c>
      <c r="L11627" s="2" t="s">
        <v>34</v>
      </c>
      <c r="M11627" s="12">
        <v>68928.722999999998</v>
      </c>
      <c r="N11627" s="6">
        <v>172.56</v>
      </c>
      <c r="O11627" s="6">
        <v>172.99</v>
      </c>
      <c r="P11627" s="2" t="s">
        <v>33510</v>
      </c>
      <c r="Q11627" s="2"/>
      <c r="R11627" s="6">
        <v>12.75</v>
      </c>
      <c r="S11627" s="5">
        <v>213.8</v>
      </c>
      <c r="T11627" s="7">
        <v>459.75799999999998</v>
      </c>
      <c r="U11627" s="5">
        <v>6.3</v>
      </c>
      <c r="V11627" s="9">
        <v>0.51259999999999994</v>
      </c>
      <c r="W11627" s="5">
        <v>8.8000000000000007</v>
      </c>
      <c r="X11627" s="6">
        <v>11.24</v>
      </c>
      <c r="Y11627" s="6">
        <v>12.32</v>
      </c>
      <c r="Z11627" s="6">
        <v>12.31</v>
      </c>
      <c r="AA11627" s="6">
        <v>402.32</v>
      </c>
      <c r="AB11627" s="7">
        <v>17.442</v>
      </c>
      <c r="AC11627" s="8">
        <v>3097</v>
      </c>
    </row>
    <row r="11628" spans="1:29" ht="65" x14ac:dyDescent="0.15">
      <c r="A11628" s="3">
        <f>DATE(2016,11,2)</f>
        <v>42676</v>
      </c>
      <c r="B11628" s="3">
        <f>DATE(2017,2,10)</f>
        <v>42776</v>
      </c>
      <c r="C11628" s="2" t="s">
        <v>95</v>
      </c>
      <c r="D11628" s="2" t="s">
        <v>33511</v>
      </c>
      <c r="E11628" s="2" t="s">
        <v>16847</v>
      </c>
      <c r="F11628" s="4">
        <v>4813</v>
      </c>
      <c r="G11628" s="2" t="s">
        <v>63</v>
      </c>
      <c r="H11628" s="2" t="s">
        <v>34</v>
      </c>
      <c r="I11628" s="2" t="s">
        <v>33512</v>
      </c>
      <c r="J11628" s="2" t="s">
        <v>27192</v>
      </c>
      <c r="K11628" s="2" t="s">
        <v>63</v>
      </c>
      <c r="L11628" s="2" t="s">
        <v>34</v>
      </c>
      <c r="M11628" s="2"/>
      <c r="N11628" s="2"/>
      <c r="O11628" s="2"/>
      <c r="P11628" s="2" t="s">
        <v>33513</v>
      </c>
      <c r="Q11628" s="6">
        <v>100</v>
      </c>
      <c r="R11628" s="6">
        <v>23</v>
      </c>
      <c r="S11628" s="5">
        <v>36.200000000000003</v>
      </c>
      <c r="T11628" s="7">
        <v>71.436999999999998</v>
      </c>
      <c r="U11628" s="5">
        <v>5.8</v>
      </c>
      <c r="V11628" s="9">
        <v>1.0537000000000001</v>
      </c>
      <c r="W11628" s="6">
        <v>16.27</v>
      </c>
      <c r="X11628" s="6">
        <v>16.760000000000002</v>
      </c>
      <c r="Y11628" s="6">
        <v>16.739999999999998</v>
      </c>
      <c r="Z11628" s="6">
        <v>22.58</v>
      </c>
      <c r="AA11628" s="6">
        <v>34.42</v>
      </c>
      <c r="AB11628" s="7">
        <v>11.669</v>
      </c>
      <c r="AC11628" s="2"/>
    </row>
    <row r="11629" spans="1:29" ht="91" x14ac:dyDescent="0.15">
      <c r="A11629" s="3">
        <f>DATE(2016,11,3)</f>
        <v>42677</v>
      </c>
      <c r="B11629" s="2"/>
      <c r="C11629" s="2" t="s">
        <v>30</v>
      </c>
      <c r="D11629" s="2" t="s">
        <v>31995</v>
      </c>
      <c r="E11629" s="2" t="s">
        <v>31609</v>
      </c>
      <c r="F11629" s="4">
        <v>3674</v>
      </c>
      <c r="G11629" s="2" t="s">
        <v>137</v>
      </c>
      <c r="H11629" s="2" t="s">
        <v>34</v>
      </c>
      <c r="I11629" s="2" t="s">
        <v>33514</v>
      </c>
      <c r="J11629" s="2" t="s">
        <v>28138</v>
      </c>
      <c r="K11629" s="2" t="s">
        <v>53</v>
      </c>
      <c r="L11629" s="2" t="s">
        <v>34</v>
      </c>
      <c r="M11629" s="2"/>
      <c r="N11629" s="2"/>
      <c r="O11629" s="2"/>
      <c r="P11629" s="2" t="s">
        <v>33515</v>
      </c>
      <c r="Q11629" s="2"/>
      <c r="R11629" s="6">
        <v>8.3000000000000007</v>
      </c>
      <c r="S11629" s="5">
        <v>-91.4</v>
      </c>
      <c r="T11629" s="7">
        <v>45.372999999999998</v>
      </c>
      <c r="U11629" s="5">
        <v>2.2999999999999998</v>
      </c>
      <c r="V11629" s="9">
        <v>-0.76929999999999998</v>
      </c>
      <c r="W11629" s="6">
        <v>6.26</v>
      </c>
      <c r="X11629" s="6">
        <v>6.37</v>
      </c>
      <c r="Y11629" s="6">
        <v>7.55</v>
      </c>
      <c r="Z11629" s="6">
        <v>7.75</v>
      </c>
      <c r="AA11629" s="6">
        <v>121.07</v>
      </c>
      <c r="AB11629" s="2" t="s">
        <v>86</v>
      </c>
      <c r="AC11629" s="2"/>
    </row>
    <row r="11630" spans="1:29" ht="195" x14ac:dyDescent="0.15">
      <c r="A11630" s="3">
        <f>DATE(2016,11,3)</f>
        <v>42677</v>
      </c>
      <c r="B11630" s="3">
        <f>DATE(2017,4,6)</f>
        <v>42831</v>
      </c>
      <c r="C11630" s="2" t="s">
        <v>95</v>
      </c>
      <c r="D11630" s="2" t="s">
        <v>33516</v>
      </c>
      <c r="E11630" s="2" t="s">
        <v>33517</v>
      </c>
      <c r="F11630" s="4">
        <v>3714</v>
      </c>
      <c r="G11630" s="2" t="s">
        <v>105</v>
      </c>
      <c r="H11630" s="2" t="s">
        <v>34</v>
      </c>
      <c r="I11630" s="2" t="s">
        <v>33518</v>
      </c>
      <c r="J11630" s="2" t="s">
        <v>33519</v>
      </c>
      <c r="K11630" s="2" t="s">
        <v>105</v>
      </c>
      <c r="L11630" s="2" t="s">
        <v>34</v>
      </c>
      <c r="M11630" s="12">
        <v>1360.7249999999999</v>
      </c>
      <c r="N11630" s="6">
        <v>13.68</v>
      </c>
      <c r="O11630" s="6">
        <v>13.65</v>
      </c>
      <c r="P11630" s="2" t="s">
        <v>33520</v>
      </c>
      <c r="Q11630" s="6">
        <v>100</v>
      </c>
      <c r="R11630" s="6">
        <v>21.81</v>
      </c>
      <c r="S11630" s="5">
        <v>100.2</v>
      </c>
      <c r="T11630" s="7">
        <v>467.01900000000001</v>
      </c>
      <c r="U11630" s="5">
        <v>10.5</v>
      </c>
      <c r="V11630" s="9">
        <v>1.4523999999999999</v>
      </c>
      <c r="W11630" s="6">
        <v>15.75</v>
      </c>
      <c r="X11630" s="5">
        <v>14.3</v>
      </c>
      <c r="Y11630" s="5">
        <v>19.2</v>
      </c>
      <c r="Z11630" s="5">
        <v>19.600000000000001</v>
      </c>
      <c r="AA11630" s="6">
        <v>66.7</v>
      </c>
      <c r="AB11630" s="7">
        <v>13.095000000000001</v>
      </c>
      <c r="AC11630" s="5">
        <v>433.9</v>
      </c>
    </row>
    <row r="11631" spans="1:29" ht="52" x14ac:dyDescent="0.15">
      <c r="A11631" s="3">
        <f>DATE(2016,11,3)</f>
        <v>42677</v>
      </c>
      <c r="B11631" s="2"/>
      <c r="C11631" s="2" t="s">
        <v>7472</v>
      </c>
      <c r="D11631" s="2" t="s">
        <v>11358</v>
      </c>
      <c r="E11631" s="2" t="s">
        <v>10974</v>
      </c>
      <c r="F11631" s="4">
        <v>3674</v>
      </c>
      <c r="G11631" s="2" t="s">
        <v>137</v>
      </c>
      <c r="H11631" s="2" t="s">
        <v>34</v>
      </c>
      <c r="I11631" s="2" t="s">
        <v>29286</v>
      </c>
      <c r="J11631" s="2" t="s">
        <v>29287</v>
      </c>
      <c r="K11631" s="2" t="s">
        <v>137</v>
      </c>
      <c r="L11631" s="2" t="s">
        <v>34</v>
      </c>
      <c r="M11631" s="12">
        <v>14875.937</v>
      </c>
      <c r="N11631" s="6">
        <v>74.67</v>
      </c>
      <c r="O11631" s="6">
        <v>75.069999999999993</v>
      </c>
      <c r="P11631" s="2" t="s">
        <v>33521</v>
      </c>
      <c r="Q11631" s="2"/>
      <c r="R11631" s="2"/>
      <c r="S11631" s="5">
        <v>-32.6</v>
      </c>
      <c r="T11631" s="5">
        <v>353.1</v>
      </c>
      <c r="U11631" s="5">
        <v>15.2</v>
      </c>
      <c r="V11631" s="9">
        <v>-0.30470000000000003</v>
      </c>
      <c r="W11631" s="6">
        <v>42.14</v>
      </c>
      <c r="X11631" s="6">
        <v>41.83</v>
      </c>
      <c r="Y11631" s="6">
        <v>47.99</v>
      </c>
      <c r="Z11631" s="6">
        <v>46.59</v>
      </c>
      <c r="AA11631" s="6">
        <v>113.12</v>
      </c>
      <c r="AB11631" s="2" t="s">
        <v>47</v>
      </c>
      <c r="AC11631" s="8">
        <v>1083.8</v>
      </c>
    </row>
    <row r="11632" spans="1:29" ht="195" x14ac:dyDescent="0.15">
      <c r="A11632" s="3">
        <f>DATE(2016,11,4)</f>
        <v>42678</v>
      </c>
      <c r="B11632" s="3">
        <f>DATE(2017,4,28)</f>
        <v>42853</v>
      </c>
      <c r="C11632" s="2" t="s">
        <v>95</v>
      </c>
      <c r="D11632" s="2" t="s">
        <v>33522</v>
      </c>
      <c r="E11632" s="2" t="s">
        <v>29798</v>
      </c>
      <c r="F11632" s="4">
        <v>6021</v>
      </c>
      <c r="G11632" s="2" t="s">
        <v>37</v>
      </c>
      <c r="H11632" s="2" t="s">
        <v>34</v>
      </c>
      <c r="I11632" s="2" t="s">
        <v>30375</v>
      </c>
      <c r="J11632" s="2" t="s">
        <v>29798</v>
      </c>
      <c r="K11632" s="2" t="s">
        <v>37</v>
      </c>
      <c r="L11632" s="2" t="s">
        <v>34</v>
      </c>
      <c r="M11632" s="7">
        <v>334.58600000000001</v>
      </c>
      <c r="N11632" s="6">
        <v>38.28</v>
      </c>
      <c r="O11632" s="6">
        <v>38.43</v>
      </c>
      <c r="P11632" s="2" t="s">
        <v>33523</v>
      </c>
      <c r="Q11632" s="6">
        <v>100</v>
      </c>
      <c r="R11632" s="6">
        <v>131.5</v>
      </c>
      <c r="S11632" s="2"/>
      <c r="T11632" s="2"/>
      <c r="U11632" s="2"/>
      <c r="V11632" s="2"/>
      <c r="W11632" s="4">
        <v>77</v>
      </c>
      <c r="X11632" s="4">
        <v>77</v>
      </c>
      <c r="Y11632" s="4">
        <v>125</v>
      </c>
      <c r="Z11632" s="4">
        <v>125</v>
      </c>
      <c r="AA11632" s="6">
        <v>0.59</v>
      </c>
      <c r="AB11632" s="2" t="s">
        <v>47</v>
      </c>
      <c r="AC11632" s="2"/>
    </row>
    <row r="11633" spans="1:29" ht="91" x14ac:dyDescent="0.15">
      <c r="A11633" s="3">
        <f>DATE(2016,11,7)</f>
        <v>42681</v>
      </c>
      <c r="B11633" s="3">
        <f>DATE(2017,2,17)</f>
        <v>42783</v>
      </c>
      <c r="C11633" s="2" t="s">
        <v>95</v>
      </c>
      <c r="D11633" s="2" t="s">
        <v>33524</v>
      </c>
      <c r="E11633" s="2" t="s">
        <v>25285</v>
      </c>
      <c r="F11633" s="4">
        <v>7375</v>
      </c>
      <c r="G11633" s="2" t="s">
        <v>223</v>
      </c>
      <c r="H11633" s="2" t="s">
        <v>34</v>
      </c>
      <c r="I11633" s="2" t="s">
        <v>33525</v>
      </c>
      <c r="J11633" s="2" t="s">
        <v>31277</v>
      </c>
      <c r="K11633" s="2" t="s">
        <v>53</v>
      </c>
      <c r="L11633" s="2" t="s">
        <v>34</v>
      </c>
      <c r="M11633" s="2"/>
      <c r="N11633" s="2"/>
      <c r="O11633" s="2"/>
      <c r="P11633" s="2" t="s">
        <v>33526</v>
      </c>
      <c r="Q11633" s="6">
        <v>100</v>
      </c>
      <c r="R11633" s="6">
        <v>40.75</v>
      </c>
      <c r="S11633" s="5">
        <v>9.5</v>
      </c>
      <c r="T11633" s="7">
        <v>18.795000000000002</v>
      </c>
      <c r="U11633" s="5">
        <v>1.6</v>
      </c>
      <c r="V11633" s="9">
        <v>0.81359999999999999</v>
      </c>
      <c r="W11633" s="6">
        <v>34.93</v>
      </c>
      <c r="X11633" s="6">
        <v>30.44</v>
      </c>
      <c r="Y11633" s="6">
        <v>40.76</v>
      </c>
      <c r="Z11633" s="6">
        <v>40.57</v>
      </c>
      <c r="AA11633" s="6">
        <v>11.7</v>
      </c>
      <c r="AB11633" s="7">
        <v>31.393000000000001</v>
      </c>
      <c r="AC11633" s="2"/>
    </row>
    <row r="11634" spans="1:29" ht="65" x14ac:dyDescent="0.15">
      <c r="A11634" s="3">
        <f>DATE(2016,11,7)</f>
        <v>42681</v>
      </c>
      <c r="B11634" s="3">
        <f>DATE(2017,1,6)</f>
        <v>42741</v>
      </c>
      <c r="C11634" s="2" t="s">
        <v>95</v>
      </c>
      <c r="D11634" s="2" t="s">
        <v>33527</v>
      </c>
      <c r="E11634" s="2" t="s">
        <v>33528</v>
      </c>
      <c r="F11634" s="4">
        <v>7373</v>
      </c>
      <c r="G11634" s="2" t="s">
        <v>223</v>
      </c>
      <c r="H11634" s="2" t="s">
        <v>34</v>
      </c>
      <c r="I11634" s="2" t="s">
        <v>33529</v>
      </c>
      <c r="J11634" s="2" t="s">
        <v>22852</v>
      </c>
      <c r="K11634" s="2" t="s">
        <v>223</v>
      </c>
      <c r="L11634" s="2" t="s">
        <v>34</v>
      </c>
      <c r="M11634" s="12">
        <v>1167.2180000000001</v>
      </c>
      <c r="N11634" s="6">
        <v>28.68</v>
      </c>
      <c r="O11634" s="6">
        <v>28.83</v>
      </c>
      <c r="P11634" s="2" t="s">
        <v>33530</v>
      </c>
      <c r="Q11634" s="6">
        <v>100</v>
      </c>
      <c r="R11634" s="6">
        <v>11.25</v>
      </c>
      <c r="S11634" s="5">
        <v>6.7</v>
      </c>
      <c r="T11634" s="7">
        <v>19.039000000000001</v>
      </c>
      <c r="U11634" s="5">
        <v>7.5</v>
      </c>
      <c r="V11634" s="9">
        <v>0.30740000000000001</v>
      </c>
      <c r="W11634" s="6">
        <v>9.48</v>
      </c>
      <c r="X11634" s="6">
        <v>9.43</v>
      </c>
      <c r="Y11634" s="6">
        <v>11.14</v>
      </c>
      <c r="Z11634" s="6">
        <v>11.13</v>
      </c>
      <c r="AA11634" s="6">
        <v>22.26</v>
      </c>
      <c r="AB11634" s="7">
        <v>23.062999999999999</v>
      </c>
      <c r="AC11634" s="5">
        <v>175.7</v>
      </c>
    </row>
    <row r="11635" spans="1:29" ht="169" x14ac:dyDescent="0.15">
      <c r="A11635" s="3">
        <f>DATE(2016,11,7)</f>
        <v>42681</v>
      </c>
      <c r="B11635" s="3">
        <f>DATE(2017,2,27)</f>
        <v>42793</v>
      </c>
      <c r="C11635" s="2" t="s">
        <v>95</v>
      </c>
      <c r="D11635" s="2" t="s">
        <v>33531</v>
      </c>
      <c r="E11635" s="2" t="s">
        <v>32184</v>
      </c>
      <c r="F11635" s="4">
        <v>7375</v>
      </c>
      <c r="G11635" s="2" t="s">
        <v>223</v>
      </c>
      <c r="H11635" s="2" t="s">
        <v>34</v>
      </c>
      <c r="I11635" s="2" t="s">
        <v>33532</v>
      </c>
      <c r="J11635" s="2" t="s">
        <v>27192</v>
      </c>
      <c r="K11635" s="2" t="s">
        <v>63</v>
      </c>
      <c r="L11635" s="2" t="s">
        <v>34</v>
      </c>
      <c r="M11635" s="7">
        <v>824.02599999999995</v>
      </c>
      <c r="N11635" s="6">
        <v>7.23</v>
      </c>
      <c r="O11635" s="6">
        <v>7.14</v>
      </c>
      <c r="P11635" s="2" t="s">
        <v>33533</v>
      </c>
      <c r="Q11635" s="6">
        <v>100</v>
      </c>
      <c r="R11635" s="6">
        <v>5.92</v>
      </c>
      <c r="S11635" s="5">
        <v>-0.1</v>
      </c>
      <c r="T11635" s="5">
        <v>206.8</v>
      </c>
      <c r="U11635" s="5">
        <v>0.3</v>
      </c>
      <c r="V11635" s="9">
        <v>-5.5999999999999999E-3</v>
      </c>
      <c r="W11635" s="6">
        <v>5.72</v>
      </c>
      <c r="X11635" s="6">
        <v>6.22</v>
      </c>
      <c r="Y11635" s="5">
        <v>5.6</v>
      </c>
      <c r="Z11635" s="6">
        <v>5.27</v>
      </c>
      <c r="AA11635" s="6">
        <v>105.49</v>
      </c>
      <c r="AB11635" s="7">
        <v>18.800999999999998</v>
      </c>
      <c r="AC11635" s="5">
        <v>61.4</v>
      </c>
    </row>
    <row r="11636" spans="1:29" ht="169" x14ac:dyDescent="0.15">
      <c r="A11636" s="3">
        <f>DATE(2016,11,8)</f>
        <v>42682</v>
      </c>
      <c r="B11636" s="3">
        <f>DATE(2017,3,20)</f>
        <v>42814</v>
      </c>
      <c r="C11636" s="2" t="s">
        <v>95</v>
      </c>
      <c r="D11636" s="2" t="s">
        <v>33534</v>
      </c>
      <c r="E11636" s="2" t="s">
        <v>32</v>
      </c>
      <c r="F11636" s="4">
        <v>6021</v>
      </c>
      <c r="G11636" s="2" t="s">
        <v>37</v>
      </c>
      <c r="H11636" s="2" t="s">
        <v>34</v>
      </c>
      <c r="I11636" s="2" t="s">
        <v>2605</v>
      </c>
      <c r="J11636" s="2" t="s">
        <v>29798</v>
      </c>
      <c r="K11636" s="2" t="s">
        <v>37</v>
      </c>
      <c r="L11636" s="2" t="s">
        <v>34</v>
      </c>
      <c r="M11636" s="7">
        <v>278.505</v>
      </c>
      <c r="N11636" s="6">
        <v>22.53</v>
      </c>
      <c r="O11636" s="6">
        <v>23.65</v>
      </c>
      <c r="P11636" s="2" t="s">
        <v>33535</v>
      </c>
      <c r="Q11636" s="6">
        <v>100</v>
      </c>
      <c r="R11636" s="6">
        <v>17.829999999999998</v>
      </c>
      <c r="S11636" s="5">
        <v>3.4</v>
      </c>
      <c r="T11636" s="7">
        <v>5.1539999999999999</v>
      </c>
      <c r="U11636" s="5">
        <v>8</v>
      </c>
      <c r="V11636" s="9">
        <v>1.1423000000000001</v>
      </c>
      <c r="W11636" s="6">
        <v>11.89</v>
      </c>
      <c r="X11636" s="6">
        <v>12.25</v>
      </c>
      <c r="Y11636" s="6">
        <v>16.97</v>
      </c>
      <c r="Z11636" s="6">
        <v>17.46</v>
      </c>
      <c r="AA11636" s="6">
        <v>2.4900000000000002</v>
      </c>
      <c r="AB11636" s="7">
        <v>26.274000000000001</v>
      </c>
      <c r="AC11636" s="2"/>
    </row>
    <row r="11637" spans="1:29" ht="65" x14ac:dyDescent="0.15">
      <c r="A11637" s="3">
        <f>DATE(2016,11,10)</f>
        <v>42684</v>
      </c>
      <c r="B11637" s="3">
        <f>DATE(2017,5,15)</f>
        <v>42870</v>
      </c>
      <c r="C11637" s="2" t="s">
        <v>95</v>
      </c>
      <c r="D11637" s="2" t="s">
        <v>33536</v>
      </c>
      <c r="E11637" s="2" t="s">
        <v>1304</v>
      </c>
      <c r="F11637" s="4">
        <v>6021</v>
      </c>
      <c r="G11637" s="2" t="s">
        <v>37</v>
      </c>
      <c r="H11637" s="2" t="s">
        <v>34</v>
      </c>
      <c r="I11637" s="2" t="s">
        <v>33537</v>
      </c>
      <c r="J11637" s="2" t="s">
        <v>32463</v>
      </c>
      <c r="K11637" s="2" t="s">
        <v>53</v>
      </c>
      <c r="L11637" s="2" t="s">
        <v>34</v>
      </c>
      <c r="M11637" s="2"/>
      <c r="N11637" s="2"/>
      <c r="O11637" s="2"/>
      <c r="P11637" s="2" t="s">
        <v>33538</v>
      </c>
      <c r="Q11637" s="6">
        <v>100</v>
      </c>
      <c r="R11637" s="6">
        <v>10</v>
      </c>
      <c r="S11637" s="5">
        <v>3.5</v>
      </c>
      <c r="T11637" s="7">
        <v>5.7469999999999999</v>
      </c>
      <c r="U11637" s="5">
        <v>7.5</v>
      </c>
      <c r="V11637" s="9">
        <v>0.86380000000000001</v>
      </c>
      <c r="W11637" s="5">
        <v>7.4</v>
      </c>
      <c r="X11637" s="5">
        <v>7.5</v>
      </c>
      <c r="Y11637" s="5">
        <v>7.6</v>
      </c>
      <c r="Z11637" s="5">
        <v>9.1</v>
      </c>
      <c r="AA11637" s="6">
        <v>4.05</v>
      </c>
      <c r="AB11637" s="7">
        <v>8.5939999999999994</v>
      </c>
      <c r="AC11637" s="2"/>
    </row>
    <row r="11638" spans="1:29" ht="143" x14ac:dyDescent="0.15">
      <c r="A11638" s="3">
        <f>DATE(2016,11,10)</f>
        <v>42684</v>
      </c>
      <c r="B11638" s="3">
        <f>DATE(2016,12,19)</f>
        <v>42723</v>
      </c>
      <c r="C11638" s="2" t="s">
        <v>95</v>
      </c>
      <c r="D11638" s="2" t="s">
        <v>33539</v>
      </c>
      <c r="E11638" s="2" t="s">
        <v>8995</v>
      </c>
      <c r="F11638" s="4">
        <v>7372</v>
      </c>
      <c r="G11638" s="2" t="s">
        <v>551</v>
      </c>
      <c r="H11638" s="2" t="s">
        <v>34</v>
      </c>
      <c r="I11638" s="2" t="s">
        <v>6406</v>
      </c>
      <c r="J11638" s="2" t="s">
        <v>781</v>
      </c>
      <c r="K11638" s="2" t="s">
        <v>551</v>
      </c>
      <c r="L11638" s="2" t="s">
        <v>34</v>
      </c>
      <c r="M11638" s="10">
        <v>53705.49</v>
      </c>
      <c r="N11638" s="6">
        <v>104.08</v>
      </c>
      <c r="O11638" s="6">
        <v>103.68</v>
      </c>
      <c r="P11638" s="2" t="s">
        <v>33540</v>
      </c>
      <c r="Q11638" s="6">
        <v>100</v>
      </c>
      <c r="R11638" s="6">
        <v>14</v>
      </c>
      <c r="S11638" s="5">
        <v>-26</v>
      </c>
      <c r="T11638" s="7">
        <v>-19.513999999999999</v>
      </c>
      <c r="U11638" s="5">
        <v>3.4</v>
      </c>
      <c r="V11638" s="7">
        <v>-0.71799999999999997</v>
      </c>
      <c r="W11638" s="6">
        <v>7.25</v>
      </c>
      <c r="X11638" s="6">
        <v>7.67</v>
      </c>
      <c r="Y11638" s="6">
        <v>13.94</v>
      </c>
      <c r="Z11638" s="6">
        <v>13.96</v>
      </c>
      <c r="AA11638" s="6">
        <v>36.79</v>
      </c>
      <c r="AB11638" s="2" t="s">
        <v>86</v>
      </c>
      <c r="AC11638" s="8">
        <v>4493.7</v>
      </c>
    </row>
    <row r="11639" spans="1:29" ht="104" x14ac:dyDescent="0.15">
      <c r="A11639" s="3">
        <f>DATE(2016,11,11)</f>
        <v>42685</v>
      </c>
      <c r="B11639" s="2"/>
      <c r="C11639" s="2" t="s">
        <v>30</v>
      </c>
      <c r="D11639" s="2" t="s">
        <v>19474</v>
      </c>
      <c r="E11639" s="2" t="s">
        <v>1924</v>
      </c>
      <c r="F11639" s="4">
        <v>3669</v>
      </c>
      <c r="G11639" s="2" t="s">
        <v>921</v>
      </c>
      <c r="H11639" s="2" t="s">
        <v>34</v>
      </c>
      <c r="I11639" s="2" t="s">
        <v>21660</v>
      </c>
      <c r="J11639" s="2" t="s">
        <v>15919</v>
      </c>
      <c r="K11639" s="2" t="s">
        <v>163</v>
      </c>
      <c r="L11639" s="2" t="s">
        <v>34</v>
      </c>
      <c r="M11639" s="12">
        <v>2800.9169999999999</v>
      </c>
      <c r="N11639" s="5">
        <v>69.7</v>
      </c>
      <c r="O11639" s="6">
        <v>71.22</v>
      </c>
      <c r="P11639" s="2" t="s">
        <v>33541</v>
      </c>
      <c r="Q11639" s="2"/>
      <c r="R11639" s="6">
        <v>13.82</v>
      </c>
      <c r="S11639" s="5">
        <v>16.7</v>
      </c>
      <c r="T11639" s="7">
        <v>22.466000000000001</v>
      </c>
      <c r="U11639" s="5">
        <v>11.5</v>
      </c>
      <c r="V11639" s="9">
        <v>0.51229999999999998</v>
      </c>
      <c r="W11639" s="5">
        <v>9.5</v>
      </c>
      <c r="X11639" s="6">
        <v>11.05</v>
      </c>
      <c r="Y11639" s="6">
        <v>11.65</v>
      </c>
      <c r="Z11639" s="5">
        <v>13.4</v>
      </c>
      <c r="AA11639" s="6">
        <v>25.96</v>
      </c>
      <c r="AB11639" s="7">
        <v>13.176</v>
      </c>
      <c r="AC11639" s="6">
        <v>748.31</v>
      </c>
    </row>
    <row r="11640" spans="1:29" ht="182" x14ac:dyDescent="0.15">
      <c r="A11640" s="3">
        <f>DATE(2016,11,14)</f>
        <v>42688</v>
      </c>
      <c r="B11640" s="3">
        <f>DATE(2017,3,1)</f>
        <v>42795</v>
      </c>
      <c r="C11640" s="2" t="s">
        <v>95</v>
      </c>
      <c r="D11640" s="2" t="s">
        <v>18930</v>
      </c>
      <c r="E11640" s="2" t="s">
        <v>92</v>
      </c>
      <c r="F11640" s="4">
        <v>6798</v>
      </c>
      <c r="G11640" s="2" t="s">
        <v>53</v>
      </c>
      <c r="H11640" s="2" t="s">
        <v>34</v>
      </c>
      <c r="I11640" s="2" t="s">
        <v>21000</v>
      </c>
      <c r="J11640" s="2" t="s">
        <v>92</v>
      </c>
      <c r="K11640" s="2" t="s">
        <v>53</v>
      </c>
      <c r="L11640" s="2" t="s">
        <v>34</v>
      </c>
      <c r="M11640" s="12">
        <v>7749.2240000000002</v>
      </c>
      <c r="N11640" s="6">
        <v>69.86</v>
      </c>
      <c r="O11640" s="6">
        <v>66.91</v>
      </c>
      <c r="P11640" s="2" t="s">
        <v>33542</v>
      </c>
      <c r="Q11640" s="6">
        <v>100</v>
      </c>
      <c r="R11640" s="6">
        <v>30.89</v>
      </c>
      <c r="S11640" s="5">
        <v>68.3</v>
      </c>
      <c r="T11640" s="7">
        <v>199.28299999999999</v>
      </c>
      <c r="U11640" s="5">
        <v>12.8</v>
      </c>
      <c r="V11640" s="9">
        <v>0.48820000000000002</v>
      </c>
      <c r="W11640" s="4">
        <v>28</v>
      </c>
      <c r="X11640" s="6">
        <v>27.26</v>
      </c>
      <c r="Y11640" s="6">
        <v>27.87</v>
      </c>
      <c r="Z11640" s="6">
        <v>29.77</v>
      </c>
      <c r="AA11640" s="6">
        <v>145.13999999999999</v>
      </c>
      <c r="AB11640" s="7">
        <v>61.31</v>
      </c>
      <c r="AC11640" s="6">
        <v>44.91</v>
      </c>
    </row>
    <row r="11641" spans="1:29" ht="104" x14ac:dyDescent="0.15">
      <c r="A11641" s="3">
        <f>DATE(2016,11,14)</f>
        <v>42688</v>
      </c>
      <c r="B11641" s="3">
        <f>DATE(2017,3,10)</f>
        <v>42804</v>
      </c>
      <c r="C11641" s="2" t="s">
        <v>95</v>
      </c>
      <c r="D11641" s="2" t="s">
        <v>25487</v>
      </c>
      <c r="E11641" s="2" t="s">
        <v>25488</v>
      </c>
      <c r="F11641" s="4">
        <v>3651</v>
      </c>
      <c r="G11641" s="2" t="s">
        <v>137</v>
      </c>
      <c r="H11641" s="2" t="s">
        <v>34</v>
      </c>
      <c r="I11641" s="2" t="s">
        <v>1500</v>
      </c>
      <c r="J11641" s="2" t="s">
        <v>1501</v>
      </c>
      <c r="K11641" s="2" t="s">
        <v>921</v>
      </c>
      <c r="L11641" s="2" t="s">
        <v>1502</v>
      </c>
      <c r="M11641" s="12">
        <v>170432.10399999999</v>
      </c>
      <c r="N11641" s="7">
        <v>1329.3679999999999</v>
      </c>
      <c r="O11641" s="7">
        <v>1318.923</v>
      </c>
      <c r="P11641" s="2" t="s">
        <v>33543</v>
      </c>
      <c r="Q11641" s="6">
        <v>100</v>
      </c>
      <c r="R11641" s="6">
        <v>112</v>
      </c>
      <c r="S11641" s="5">
        <v>377.8</v>
      </c>
      <c r="T11641" s="7">
        <v>822.05899999999997</v>
      </c>
      <c r="U11641" s="5">
        <v>35.9</v>
      </c>
      <c r="V11641" s="9">
        <v>5.2268999999999997</v>
      </c>
      <c r="W11641" s="6">
        <v>84.45</v>
      </c>
      <c r="X11641" s="6">
        <v>87.65</v>
      </c>
      <c r="Y11641" s="6">
        <v>109.72</v>
      </c>
      <c r="Z11641" s="6">
        <v>109.49</v>
      </c>
      <c r="AA11641" s="6">
        <v>69.709999999999994</v>
      </c>
      <c r="AB11641" s="7">
        <v>14.25</v>
      </c>
      <c r="AC11641" s="10">
        <v>74566.75</v>
      </c>
    </row>
    <row r="11642" spans="1:29" ht="130" x14ac:dyDescent="0.15">
      <c r="A11642" s="3">
        <f>DATE(2016,11,14)</f>
        <v>42688</v>
      </c>
      <c r="B11642" s="3">
        <f>DATE(2017,7,3)</f>
        <v>42919</v>
      </c>
      <c r="C11642" s="2" t="s">
        <v>95</v>
      </c>
      <c r="D11642" s="2" t="s">
        <v>27039</v>
      </c>
      <c r="E11642" s="2" t="s">
        <v>27040</v>
      </c>
      <c r="F11642" s="4">
        <v>4412</v>
      </c>
      <c r="G11642" s="2" t="s">
        <v>173</v>
      </c>
      <c r="H11642" s="2" t="s">
        <v>34</v>
      </c>
      <c r="I11642" s="2" t="s">
        <v>1526</v>
      </c>
      <c r="J11642" s="2" t="s">
        <v>302</v>
      </c>
      <c r="K11642" s="2" t="s">
        <v>53</v>
      </c>
      <c r="L11642" s="2" t="s">
        <v>34</v>
      </c>
      <c r="M11642" s="2"/>
      <c r="N11642" s="2"/>
      <c r="O11642" s="2"/>
      <c r="P11642" s="2" t="s">
        <v>33544</v>
      </c>
      <c r="Q11642" s="2"/>
      <c r="R11642" s="2"/>
      <c r="S11642" s="5">
        <v>-183.6</v>
      </c>
      <c r="T11642" s="7">
        <v>13.467000000000001</v>
      </c>
      <c r="U11642" s="5">
        <v>10.5</v>
      </c>
      <c r="V11642" s="9">
        <v>-25.773700000000002</v>
      </c>
      <c r="W11642" s="6">
        <v>1.95</v>
      </c>
      <c r="X11642" s="6">
        <v>1.25</v>
      </c>
      <c r="Y11642" s="5">
        <v>1.2</v>
      </c>
      <c r="Z11642" s="6">
        <v>0.75</v>
      </c>
      <c r="AA11642" s="6">
        <v>7.39</v>
      </c>
      <c r="AB11642" s="2" t="s">
        <v>86</v>
      </c>
      <c r="AC11642" s="2"/>
    </row>
    <row r="11643" spans="1:29" ht="104" x14ac:dyDescent="0.15">
      <c r="A11643" s="3">
        <f>DATE(2016,11,14)</f>
        <v>42688</v>
      </c>
      <c r="B11643" s="3">
        <f>DATE(2017,3,30)</f>
        <v>42824</v>
      </c>
      <c r="C11643" s="2" t="s">
        <v>95</v>
      </c>
      <c r="D11643" s="2" t="s">
        <v>6919</v>
      </c>
      <c r="E11643" s="2" t="s">
        <v>6920</v>
      </c>
      <c r="F11643" s="4">
        <v>7373</v>
      </c>
      <c r="G11643" s="2" t="s">
        <v>223</v>
      </c>
      <c r="H11643" s="2" t="s">
        <v>34</v>
      </c>
      <c r="I11643" s="2" t="s">
        <v>31715</v>
      </c>
      <c r="J11643" s="2" t="s">
        <v>31716</v>
      </c>
      <c r="K11643" s="2" t="s">
        <v>921</v>
      </c>
      <c r="L11643" s="2" t="s">
        <v>1049</v>
      </c>
      <c r="M11643" s="12">
        <v>89392.456999999995</v>
      </c>
      <c r="N11643" s="7">
        <v>117.128</v>
      </c>
      <c r="O11643" s="7">
        <v>115.884</v>
      </c>
      <c r="P11643" s="2" t="s">
        <v>33545</v>
      </c>
      <c r="Q11643" s="6">
        <v>100</v>
      </c>
      <c r="R11643" s="6">
        <v>37.25</v>
      </c>
      <c r="S11643" s="5">
        <v>92</v>
      </c>
      <c r="T11643" s="7">
        <v>193.75800000000001</v>
      </c>
      <c r="U11643" s="5">
        <v>11.3</v>
      </c>
      <c r="V11643" s="9">
        <v>0.7984</v>
      </c>
      <c r="W11643" s="6">
        <v>26.47</v>
      </c>
      <c r="X11643" s="6">
        <v>27.52</v>
      </c>
      <c r="Y11643" s="6">
        <v>28.37</v>
      </c>
      <c r="Z11643" s="6">
        <v>28.37</v>
      </c>
      <c r="AA11643" s="6">
        <v>109.51</v>
      </c>
      <c r="AB11643" s="7">
        <v>31.353999999999999</v>
      </c>
      <c r="AC11643" s="10">
        <v>15508.43</v>
      </c>
    </row>
    <row r="11644" spans="1:29" ht="143" x14ac:dyDescent="0.15">
      <c r="A11644" s="3">
        <f>DATE(2016,11,14)</f>
        <v>42688</v>
      </c>
      <c r="B11644" s="2"/>
      <c r="C11644" s="2" t="s">
        <v>7330</v>
      </c>
      <c r="D11644" s="2" t="s">
        <v>32880</v>
      </c>
      <c r="E11644" s="2" t="s">
        <v>32881</v>
      </c>
      <c r="F11644" s="4">
        <v>2834</v>
      </c>
      <c r="G11644" s="2" t="s">
        <v>130</v>
      </c>
      <c r="H11644" s="2" t="s">
        <v>34</v>
      </c>
      <c r="I11644" s="2" t="s">
        <v>33546</v>
      </c>
      <c r="J11644" s="2" t="s">
        <v>11337</v>
      </c>
      <c r="K11644" s="2" t="s">
        <v>53</v>
      </c>
      <c r="L11644" s="2" t="s">
        <v>455</v>
      </c>
      <c r="M11644" s="2"/>
      <c r="N11644" s="2"/>
      <c r="O11644" s="2"/>
      <c r="P11644" s="2" t="s">
        <v>33547</v>
      </c>
      <c r="Q11644" s="2"/>
      <c r="R11644" s="6">
        <v>11.18</v>
      </c>
      <c r="S11644" s="5">
        <v>36.9</v>
      </c>
      <c r="T11644" s="7">
        <v>39.384</v>
      </c>
      <c r="U11644" s="5">
        <v>4.0999999999999996</v>
      </c>
      <c r="V11644" s="9">
        <v>0.74819999999999998</v>
      </c>
      <c r="W11644" s="6">
        <v>8.9499999999999993</v>
      </c>
      <c r="X11644" s="6">
        <v>9.85</v>
      </c>
      <c r="Y11644" s="6">
        <v>10.35</v>
      </c>
      <c r="Z11644" s="6">
        <v>10.25</v>
      </c>
      <c r="AA11644" s="6">
        <v>56.3</v>
      </c>
      <c r="AB11644" s="7">
        <v>11.976000000000001</v>
      </c>
      <c r="AC11644" s="2"/>
    </row>
    <row r="11645" spans="1:29" ht="52" x14ac:dyDescent="0.15">
      <c r="A11645" s="3">
        <f>DATE(2016,11,15)</f>
        <v>42689</v>
      </c>
      <c r="B11645" s="3">
        <f>DATE(2017,5,1)</f>
        <v>42856</v>
      </c>
      <c r="C11645" s="2" t="s">
        <v>95</v>
      </c>
      <c r="D11645" s="2" t="s">
        <v>33548</v>
      </c>
      <c r="E11645" s="2" t="s">
        <v>29798</v>
      </c>
      <c r="F11645" s="4">
        <v>6021</v>
      </c>
      <c r="G11645" s="2" t="s">
        <v>37</v>
      </c>
      <c r="H11645" s="2" t="s">
        <v>34</v>
      </c>
      <c r="I11645" s="2" t="s">
        <v>2541</v>
      </c>
      <c r="J11645" s="2" t="s">
        <v>36</v>
      </c>
      <c r="K11645" s="2" t="s">
        <v>37</v>
      </c>
      <c r="L11645" s="2" t="s">
        <v>34</v>
      </c>
      <c r="M11645" s="12">
        <v>2126.6410000000001</v>
      </c>
      <c r="N11645" s="6">
        <v>33.479999999999997</v>
      </c>
      <c r="O11645" s="6">
        <v>33.090000000000003</v>
      </c>
      <c r="P11645" s="2" t="s">
        <v>33549</v>
      </c>
      <c r="Q11645" s="6">
        <v>100</v>
      </c>
      <c r="R11645" s="2"/>
      <c r="S11645" s="2"/>
      <c r="T11645" s="2"/>
      <c r="U11645" s="2"/>
      <c r="V11645" s="2"/>
      <c r="W11645" s="6">
        <v>16.149999999999999</v>
      </c>
      <c r="X11645" s="5">
        <v>16.399999999999999</v>
      </c>
      <c r="Y11645" s="5">
        <v>16.399999999999999</v>
      </c>
      <c r="Z11645" s="5">
        <v>26.6</v>
      </c>
      <c r="AA11645" s="2"/>
      <c r="AB11645" s="2" t="s">
        <v>47</v>
      </c>
      <c r="AC11645" s="2"/>
    </row>
    <row r="11646" spans="1:29" ht="143" x14ac:dyDescent="0.15">
      <c r="A11646" s="3">
        <f>DATE(2016,11,16)</f>
        <v>42690</v>
      </c>
      <c r="B11646" s="3">
        <f>DATE(2017,4,30)</f>
        <v>42855</v>
      </c>
      <c r="C11646" s="2" t="s">
        <v>95</v>
      </c>
      <c r="D11646" s="2" t="s">
        <v>33550</v>
      </c>
      <c r="E11646" s="2" t="s">
        <v>33551</v>
      </c>
      <c r="F11646" s="4">
        <v>4512</v>
      </c>
      <c r="G11646" s="2" t="s">
        <v>59</v>
      </c>
      <c r="H11646" s="2" t="s">
        <v>34</v>
      </c>
      <c r="I11646" s="2" t="s">
        <v>1526</v>
      </c>
      <c r="J11646" s="2" t="s">
        <v>302</v>
      </c>
      <c r="K11646" s="2" t="s">
        <v>53</v>
      </c>
      <c r="L11646" s="2" t="s">
        <v>34</v>
      </c>
      <c r="M11646" s="2"/>
      <c r="N11646" s="2"/>
      <c r="O11646" s="2"/>
      <c r="P11646" s="2" t="s">
        <v>33552</v>
      </c>
      <c r="Q11646" s="2"/>
      <c r="R11646" s="2"/>
      <c r="S11646" s="5">
        <v>-686</v>
      </c>
      <c r="T11646" s="5">
        <v>282.5</v>
      </c>
      <c r="U11646" s="5">
        <v>-0.8</v>
      </c>
      <c r="V11646" s="6">
        <v>-13.48</v>
      </c>
      <c r="W11646" s="6">
        <v>2.94</v>
      </c>
      <c r="X11646" s="6">
        <v>3.41</v>
      </c>
      <c r="Y11646" s="6">
        <v>3.44</v>
      </c>
      <c r="Z11646" s="6">
        <v>0.92</v>
      </c>
      <c r="AA11646" s="6">
        <v>50.96</v>
      </c>
      <c r="AB11646" s="2" t="s">
        <v>47</v>
      </c>
      <c r="AC11646" s="2"/>
    </row>
    <row r="11647" spans="1:29" ht="169" x14ac:dyDescent="0.15">
      <c r="A11647" s="3">
        <f>DATE(2016,11,17)</f>
        <v>42691</v>
      </c>
      <c r="B11647" s="3">
        <f>DATE(2017,5,30)</f>
        <v>42885</v>
      </c>
      <c r="C11647" s="2" t="s">
        <v>95</v>
      </c>
      <c r="D11647" s="2" t="s">
        <v>31022</v>
      </c>
      <c r="E11647" s="2" t="s">
        <v>36</v>
      </c>
      <c r="F11647" s="4">
        <v>6022</v>
      </c>
      <c r="G11647" s="2" t="s">
        <v>37</v>
      </c>
      <c r="H11647" s="2" t="s">
        <v>34</v>
      </c>
      <c r="I11647" s="2" t="s">
        <v>31234</v>
      </c>
      <c r="J11647" s="2" t="s">
        <v>36</v>
      </c>
      <c r="K11647" s="2" t="s">
        <v>37</v>
      </c>
      <c r="L11647" s="2" t="s">
        <v>34</v>
      </c>
      <c r="M11647" s="12">
        <v>1431.672</v>
      </c>
      <c r="N11647" s="5">
        <v>38.4</v>
      </c>
      <c r="O11647" s="6">
        <v>36.049999999999997</v>
      </c>
      <c r="P11647" s="2" t="s">
        <v>33553</v>
      </c>
      <c r="Q11647" s="6">
        <v>100</v>
      </c>
      <c r="R11647" s="6">
        <v>7.6</v>
      </c>
      <c r="S11647" s="5">
        <v>16.399999999999999</v>
      </c>
      <c r="T11647" s="2"/>
      <c r="U11647" s="5">
        <v>4.8</v>
      </c>
      <c r="V11647" s="9">
        <v>0.22289999999999999</v>
      </c>
      <c r="W11647" s="6">
        <v>6.94</v>
      </c>
      <c r="X11647" s="6">
        <v>6.94</v>
      </c>
      <c r="Y11647" s="6">
        <v>6.94</v>
      </c>
      <c r="Z11647" s="6">
        <v>7.05</v>
      </c>
      <c r="AA11647" s="6">
        <v>76.260000000000005</v>
      </c>
      <c r="AB11647" s="7">
        <v>21.991</v>
      </c>
      <c r="AC11647" s="2"/>
    </row>
    <row r="11648" spans="1:29" ht="65" x14ac:dyDescent="0.15">
      <c r="A11648" s="3">
        <f>DATE(2016,11,17)</f>
        <v>42691</v>
      </c>
      <c r="B11648" s="3">
        <f>DATE(2017,4,28)</f>
        <v>42853</v>
      </c>
      <c r="C11648" s="2" t="s">
        <v>95</v>
      </c>
      <c r="D11648" s="2" t="s">
        <v>28902</v>
      </c>
      <c r="E11648" s="2" t="s">
        <v>32312</v>
      </c>
      <c r="F11648" s="4">
        <v>6324</v>
      </c>
      <c r="G11648" s="2" t="s">
        <v>125</v>
      </c>
      <c r="H11648" s="2" t="s">
        <v>34</v>
      </c>
      <c r="I11648" s="2" t="s">
        <v>33554</v>
      </c>
      <c r="J11648" s="2" t="s">
        <v>33555</v>
      </c>
      <c r="K11648" s="2" t="s">
        <v>125</v>
      </c>
      <c r="L11648" s="2" t="s">
        <v>34</v>
      </c>
      <c r="M11648" s="12">
        <v>5246.0479999999998</v>
      </c>
      <c r="N11648" s="6">
        <v>129.07</v>
      </c>
      <c r="O11648" s="5">
        <v>128.6</v>
      </c>
      <c r="P11648" s="2" t="s">
        <v>33556</v>
      </c>
      <c r="Q11648" s="6">
        <v>100</v>
      </c>
      <c r="R11648" s="6">
        <v>10</v>
      </c>
      <c r="S11648" s="5">
        <v>-87.7</v>
      </c>
      <c r="T11648" s="7">
        <v>10.476000000000001</v>
      </c>
      <c r="U11648" s="5">
        <v>4.9000000000000004</v>
      </c>
      <c r="V11648" s="9">
        <v>-2.3800000000000002E-2</v>
      </c>
      <c r="W11648" s="5">
        <v>7.9</v>
      </c>
      <c r="X11648" s="6">
        <v>8.89</v>
      </c>
      <c r="Y11648" s="5">
        <v>9.9</v>
      </c>
      <c r="Z11648" s="6">
        <v>9.93</v>
      </c>
      <c r="AA11648" s="6">
        <v>58.74</v>
      </c>
      <c r="AB11648" s="7">
        <v>73.816999999999993</v>
      </c>
      <c r="AC11648" s="8">
        <v>3878.4</v>
      </c>
    </row>
    <row r="11649" spans="1:29" ht="208" x14ac:dyDescent="0.15">
      <c r="A11649" s="3">
        <f>DATE(2016,11,17)</f>
        <v>42691</v>
      </c>
      <c r="B11649" s="3">
        <f>DATE(2017,6,1)</f>
        <v>42887</v>
      </c>
      <c r="C11649" s="2" t="s">
        <v>95</v>
      </c>
      <c r="D11649" s="2" t="s">
        <v>24453</v>
      </c>
      <c r="E11649" s="2" t="s">
        <v>24454</v>
      </c>
      <c r="F11649" s="4">
        <v>2911</v>
      </c>
      <c r="G11649" s="2" t="s">
        <v>148</v>
      </c>
      <c r="H11649" s="2" t="s">
        <v>34</v>
      </c>
      <c r="I11649" s="2" t="s">
        <v>32405</v>
      </c>
      <c r="J11649" s="2" t="s">
        <v>29927</v>
      </c>
      <c r="K11649" s="2" t="s">
        <v>148</v>
      </c>
      <c r="L11649" s="2" t="s">
        <v>34</v>
      </c>
      <c r="M11649" s="12">
        <v>9449.4860000000008</v>
      </c>
      <c r="N11649" s="6">
        <v>86.56</v>
      </c>
      <c r="O11649" s="6">
        <v>83.22</v>
      </c>
      <c r="P11649" s="2" t="s">
        <v>33557</v>
      </c>
      <c r="Q11649" s="6">
        <v>100</v>
      </c>
      <c r="R11649" s="6">
        <v>37.299999999999997</v>
      </c>
      <c r="S11649" s="5">
        <v>148.1</v>
      </c>
      <c r="T11649" s="7">
        <v>526.58399999999995</v>
      </c>
      <c r="U11649" s="5">
        <v>16.8</v>
      </c>
      <c r="V11649" s="9">
        <v>1.5315000000000001</v>
      </c>
      <c r="W11649" s="6">
        <v>27.98</v>
      </c>
      <c r="X11649" s="5">
        <v>30.5</v>
      </c>
      <c r="Y11649" s="6">
        <v>37.549999999999997</v>
      </c>
      <c r="Z11649" s="6">
        <v>36.520000000000003</v>
      </c>
      <c r="AA11649" s="6">
        <v>108.43</v>
      </c>
      <c r="AB11649" s="7">
        <v>17.138999999999999</v>
      </c>
      <c r="AC11649" s="8">
        <v>1387</v>
      </c>
    </row>
    <row r="11650" spans="1:29" ht="91" x14ac:dyDescent="0.15">
      <c r="A11650" s="3">
        <f>DATE(2016,11,20)</f>
        <v>42694</v>
      </c>
      <c r="B11650" s="3">
        <f>DATE(2017,2,9)</f>
        <v>42775</v>
      </c>
      <c r="C11650" s="2" t="s">
        <v>95</v>
      </c>
      <c r="D11650" s="2" t="s">
        <v>33558</v>
      </c>
      <c r="E11650" s="2" t="s">
        <v>33559</v>
      </c>
      <c r="F11650" s="4">
        <v>7372</v>
      </c>
      <c r="G11650" s="2" t="s">
        <v>551</v>
      </c>
      <c r="H11650" s="2" t="s">
        <v>34</v>
      </c>
      <c r="I11650" s="2" t="s">
        <v>17338</v>
      </c>
      <c r="J11650" s="2" t="s">
        <v>17339</v>
      </c>
      <c r="K11650" s="2" t="s">
        <v>551</v>
      </c>
      <c r="L11650" s="2" t="s">
        <v>34</v>
      </c>
      <c r="M11650" s="12">
        <v>15011.934999999999</v>
      </c>
      <c r="N11650" s="6">
        <v>24.52</v>
      </c>
      <c r="O11650" s="6">
        <v>24.52</v>
      </c>
      <c r="P11650" s="2" t="s">
        <v>33560</v>
      </c>
      <c r="Q11650" s="6">
        <v>100</v>
      </c>
      <c r="R11650" s="6">
        <v>24</v>
      </c>
      <c r="S11650" s="5">
        <v>18.399999999999999</v>
      </c>
      <c r="T11650" s="7">
        <v>30.879000000000001</v>
      </c>
      <c r="U11650" s="5">
        <v>2.7</v>
      </c>
      <c r="V11650" s="9">
        <v>0.1948</v>
      </c>
      <c r="W11650" s="6">
        <v>16.53</v>
      </c>
      <c r="X11650" s="6">
        <v>17.64</v>
      </c>
      <c r="Y11650" s="6">
        <v>19.12</v>
      </c>
      <c r="Z11650" s="5">
        <v>19.7</v>
      </c>
      <c r="AA11650" s="6">
        <v>94.15</v>
      </c>
      <c r="AB11650" s="7">
        <v>269.93200000000002</v>
      </c>
      <c r="AC11650" s="8">
        <v>5619</v>
      </c>
    </row>
    <row r="11651" spans="1:29" ht="208" x14ac:dyDescent="0.15">
      <c r="A11651" s="3">
        <f>DATE(2016,11,21)</f>
        <v>42695</v>
      </c>
      <c r="B11651" s="3">
        <f>DATE(2017,1,26)</f>
        <v>42761</v>
      </c>
      <c r="C11651" s="2" t="s">
        <v>95</v>
      </c>
      <c r="D11651" s="2" t="s">
        <v>17515</v>
      </c>
      <c r="E11651" s="2" t="s">
        <v>1046</v>
      </c>
      <c r="F11651" s="4">
        <v>3674</v>
      </c>
      <c r="G11651" s="2" t="s">
        <v>137</v>
      </c>
      <c r="H11651" s="2" t="s">
        <v>34</v>
      </c>
      <c r="I11651" s="2" t="s">
        <v>31049</v>
      </c>
      <c r="J11651" s="2" t="s">
        <v>31050</v>
      </c>
      <c r="K11651" s="2" t="s">
        <v>137</v>
      </c>
      <c r="L11651" s="2" t="s">
        <v>34</v>
      </c>
      <c r="M11651" s="12">
        <v>2085.3530000000001</v>
      </c>
      <c r="N11651" s="6">
        <v>45.01</v>
      </c>
      <c r="O11651" s="6">
        <v>45.42</v>
      </c>
      <c r="P11651" s="2" t="s">
        <v>33561</v>
      </c>
      <c r="Q11651" s="6">
        <v>100</v>
      </c>
      <c r="R11651" s="6">
        <v>8.36</v>
      </c>
      <c r="S11651" s="5">
        <v>-32.299999999999997</v>
      </c>
      <c r="T11651" s="7">
        <v>-25.678999999999998</v>
      </c>
      <c r="U11651" s="5">
        <v>1.3</v>
      </c>
      <c r="V11651" s="9">
        <v>-0.38219999999999998</v>
      </c>
      <c r="W11651" s="6">
        <v>7.45</v>
      </c>
      <c r="X11651" s="6">
        <v>7.25</v>
      </c>
      <c r="Y11651" s="5">
        <v>8.1</v>
      </c>
      <c r="Z11651" s="6">
        <v>8.15</v>
      </c>
      <c r="AA11651" s="6">
        <v>91.03</v>
      </c>
      <c r="AB11651" s="2" t="s">
        <v>86</v>
      </c>
      <c r="AC11651" s="6">
        <v>356.75</v>
      </c>
    </row>
    <row r="11652" spans="1:29" ht="182" x14ac:dyDescent="0.15">
      <c r="A11652" s="3">
        <f>DATE(2016,11,21)</f>
        <v>42695</v>
      </c>
      <c r="B11652" s="3">
        <f>DATE(2017,4,28)</f>
        <v>42853</v>
      </c>
      <c r="C11652" s="2" t="s">
        <v>95</v>
      </c>
      <c r="D11652" s="2" t="s">
        <v>29928</v>
      </c>
      <c r="E11652" s="2" t="s">
        <v>4767</v>
      </c>
      <c r="F11652" s="4">
        <v>4922</v>
      </c>
      <c r="G11652" s="2" t="s">
        <v>439</v>
      </c>
      <c r="H11652" s="2" t="s">
        <v>34</v>
      </c>
      <c r="I11652" s="2" t="s">
        <v>33562</v>
      </c>
      <c r="J11652" s="2" t="s">
        <v>33563</v>
      </c>
      <c r="K11652" s="2" t="s">
        <v>148</v>
      </c>
      <c r="L11652" s="2" t="s">
        <v>34</v>
      </c>
      <c r="M11652" s="10">
        <v>9211.57</v>
      </c>
      <c r="N11652" s="6">
        <v>24.47</v>
      </c>
      <c r="O11652" s="6">
        <v>23.77</v>
      </c>
      <c r="P11652" s="2" t="s">
        <v>33564</v>
      </c>
      <c r="Q11652" s="6">
        <v>100</v>
      </c>
      <c r="R11652" s="6">
        <v>39.29</v>
      </c>
      <c r="S11652" s="5">
        <v>-575</v>
      </c>
      <c r="T11652" s="8">
        <v>4477</v>
      </c>
      <c r="U11652" s="5">
        <v>31.3</v>
      </c>
      <c r="V11652" s="9">
        <v>-1.2822</v>
      </c>
      <c r="W11652" s="6">
        <v>38.68</v>
      </c>
      <c r="X11652" s="6">
        <v>39.369999999999997</v>
      </c>
      <c r="Y11652" s="6">
        <v>36.520000000000003</v>
      </c>
      <c r="Z11652" s="6">
        <v>35.19</v>
      </c>
      <c r="AA11652" s="6">
        <v>542.66999999999996</v>
      </c>
      <c r="AB11652" s="7">
        <v>21.384</v>
      </c>
      <c r="AC11652" s="5">
        <v>39</v>
      </c>
    </row>
    <row r="11653" spans="1:29" ht="65" x14ac:dyDescent="0.15">
      <c r="A11653" s="3">
        <f>DATE(2016,11,21)</f>
        <v>42695</v>
      </c>
      <c r="B11653" s="3">
        <f>DATE(2017,5,8)</f>
        <v>42863</v>
      </c>
      <c r="C11653" s="2" t="s">
        <v>95</v>
      </c>
      <c r="D11653" s="2" t="s">
        <v>33565</v>
      </c>
      <c r="E11653" s="2" t="s">
        <v>7637</v>
      </c>
      <c r="F11653" s="4">
        <v>3272</v>
      </c>
      <c r="G11653" s="2" t="s">
        <v>237</v>
      </c>
      <c r="H11653" s="2" t="s">
        <v>34</v>
      </c>
      <c r="I11653" s="2" t="s">
        <v>33566</v>
      </c>
      <c r="J11653" s="2" t="s">
        <v>33567</v>
      </c>
      <c r="K11653" s="2" t="s">
        <v>237</v>
      </c>
      <c r="L11653" s="2" t="s">
        <v>885</v>
      </c>
      <c r="M11653" s="12">
        <v>3712.0479999999998</v>
      </c>
      <c r="N11653" s="7">
        <v>4.3929999999999998</v>
      </c>
      <c r="O11653" s="7">
        <v>4.3579999999999997</v>
      </c>
      <c r="P11653" s="2" t="s">
        <v>33568</v>
      </c>
      <c r="Q11653" s="6">
        <v>100</v>
      </c>
      <c r="R11653" s="6">
        <v>24.25</v>
      </c>
      <c r="S11653" s="5">
        <v>48.1</v>
      </c>
      <c r="T11653" s="7">
        <v>173.22800000000001</v>
      </c>
      <c r="U11653" s="5">
        <v>3.9</v>
      </c>
      <c r="V11653" s="9">
        <v>0.63780000000000003</v>
      </c>
      <c r="W11653" s="6">
        <v>20.59</v>
      </c>
      <c r="X11653" s="6">
        <v>20.09</v>
      </c>
      <c r="Y11653" s="6">
        <v>23.52</v>
      </c>
      <c r="Z11653" s="6">
        <v>23.52</v>
      </c>
      <c r="AA11653" s="6">
        <v>74.150000000000006</v>
      </c>
      <c r="AB11653" s="7">
        <v>22.446999999999999</v>
      </c>
      <c r="AC11653" s="6">
        <v>349.86</v>
      </c>
    </row>
    <row r="11654" spans="1:29" ht="104" x14ac:dyDescent="0.15">
      <c r="A11654" s="3">
        <f>DATE(2016,11,28)</f>
        <v>42702</v>
      </c>
      <c r="B11654" s="2"/>
      <c r="C11654" s="2" t="s">
        <v>7472</v>
      </c>
      <c r="D11654" s="2" t="s">
        <v>33569</v>
      </c>
      <c r="E11654" s="2" t="s">
        <v>33570</v>
      </c>
      <c r="F11654" s="4">
        <v>2721</v>
      </c>
      <c r="G11654" s="2" t="s">
        <v>186</v>
      </c>
      <c r="H11654" s="2" t="s">
        <v>34</v>
      </c>
      <c r="I11654" s="2" t="s">
        <v>51</v>
      </c>
      <c r="J11654" s="2" t="s">
        <v>52</v>
      </c>
      <c r="K11654" s="2" t="s">
        <v>53</v>
      </c>
      <c r="L11654" s="2" t="s">
        <v>34</v>
      </c>
      <c r="M11654" s="2"/>
      <c r="N11654" s="2"/>
      <c r="O11654" s="2"/>
      <c r="P11654" s="2" t="s">
        <v>33571</v>
      </c>
      <c r="Q11654" s="2"/>
      <c r="R11654" s="2"/>
      <c r="S11654" s="5">
        <v>-87</v>
      </c>
      <c r="T11654" s="5">
        <v>363</v>
      </c>
      <c r="U11654" s="5">
        <v>15.3</v>
      </c>
      <c r="V11654" s="9">
        <v>-1.1835</v>
      </c>
      <c r="W11654" s="6">
        <v>13.85</v>
      </c>
      <c r="X11654" s="5">
        <v>13.8</v>
      </c>
      <c r="Y11654" s="4">
        <v>16</v>
      </c>
      <c r="Z11654" s="5">
        <v>16.3</v>
      </c>
      <c r="AA11654" s="6">
        <v>99.06</v>
      </c>
      <c r="AB11654" s="2" t="s">
        <v>47</v>
      </c>
      <c r="AC11654" s="2"/>
    </row>
    <row r="11655" spans="1:29" ht="52" x14ac:dyDescent="0.15">
      <c r="A11655" s="3">
        <f>DATE(2016,11,29)</f>
        <v>42703</v>
      </c>
      <c r="B11655" s="2"/>
      <c r="C11655" s="2" t="s">
        <v>7472</v>
      </c>
      <c r="D11655" s="2" t="s">
        <v>33572</v>
      </c>
      <c r="E11655" s="2" t="s">
        <v>33573</v>
      </c>
      <c r="F11655" s="4">
        <v>4924</v>
      </c>
      <c r="G11655" s="2" t="s">
        <v>439</v>
      </c>
      <c r="H11655" s="2" t="s">
        <v>34</v>
      </c>
      <c r="I11655" s="2" t="s">
        <v>16630</v>
      </c>
      <c r="J11655" s="2" t="s">
        <v>16631</v>
      </c>
      <c r="K11655" s="2" t="s">
        <v>439</v>
      </c>
      <c r="L11655" s="2" t="s">
        <v>8464</v>
      </c>
      <c r="M11655" s="12">
        <v>42360.728999999999</v>
      </c>
      <c r="N11655" s="7">
        <v>6.1050000000000004</v>
      </c>
      <c r="O11655" s="7">
        <v>6.0179999999999998</v>
      </c>
      <c r="P11655" s="2" t="s">
        <v>33574</v>
      </c>
      <c r="Q11655" s="2"/>
      <c r="R11655" s="2"/>
      <c r="S11655" s="5">
        <v>168.9</v>
      </c>
      <c r="T11655" s="7">
        <v>432.86200000000002</v>
      </c>
      <c r="U11655" s="5">
        <v>26.9</v>
      </c>
      <c r="V11655" s="9">
        <v>3.3144999999999998</v>
      </c>
      <c r="W11655" s="6">
        <v>67.39</v>
      </c>
      <c r="X11655" s="6">
        <v>69.02</v>
      </c>
      <c r="Y11655" s="6">
        <v>75.209999999999994</v>
      </c>
      <c r="Z11655" s="6">
        <v>72.56</v>
      </c>
      <c r="AA11655" s="6">
        <v>51.19</v>
      </c>
      <c r="AB11655" s="2" t="s">
        <v>47</v>
      </c>
      <c r="AC11655" s="10">
        <v>3878.51</v>
      </c>
    </row>
    <row r="11656" spans="1:29" ht="78" x14ac:dyDescent="0.15">
      <c r="A11656" s="3">
        <f>DATE(2016,12,1)</f>
        <v>42705</v>
      </c>
      <c r="B11656" s="3">
        <f>DATE(2017,2,28)</f>
        <v>42794</v>
      </c>
      <c r="C11656" s="2" t="s">
        <v>95</v>
      </c>
      <c r="D11656" s="2" t="s">
        <v>33575</v>
      </c>
      <c r="E11656" s="2" t="s">
        <v>33576</v>
      </c>
      <c r="F11656" s="4">
        <v>3714</v>
      </c>
      <c r="G11656" s="2" t="s">
        <v>105</v>
      </c>
      <c r="H11656" s="2" t="s">
        <v>34</v>
      </c>
      <c r="I11656" s="2" t="s">
        <v>17042</v>
      </c>
      <c r="J11656" s="2" t="s">
        <v>17043</v>
      </c>
      <c r="K11656" s="2" t="s">
        <v>163</v>
      </c>
      <c r="L11656" s="2" t="s">
        <v>34</v>
      </c>
      <c r="M11656" s="12">
        <v>15913.103999999999</v>
      </c>
      <c r="N11656" s="6">
        <v>143.47</v>
      </c>
      <c r="O11656" s="5">
        <v>141.9</v>
      </c>
      <c r="P11656" s="2" t="s">
        <v>33577</v>
      </c>
      <c r="Q11656" s="6">
        <v>100</v>
      </c>
      <c r="R11656" s="6">
        <v>83</v>
      </c>
      <c r="S11656" s="5">
        <v>139.30000000000001</v>
      </c>
      <c r="T11656" s="6">
        <v>239.49</v>
      </c>
      <c r="U11656" s="5">
        <v>23.5</v>
      </c>
      <c r="V11656" s="9">
        <v>2.8386999999999998</v>
      </c>
      <c r="W11656" s="6">
        <v>69.56</v>
      </c>
      <c r="X11656" s="6">
        <v>70.45</v>
      </c>
      <c r="Y11656" s="6">
        <v>82.58</v>
      </c>
      <c r="Z11656" s="6">
        <v>82.46</v>
      </c>
      <c r="AA11656" s="6">
        <v>48.56</v>
      </c>
      <c r="AB11656" s="7">
        <v>23.469000000000001</v>
      </c>
      <c r="AC11656" s="10">
        <v>2140.56</v>
      </c>
    </row>
    <row r="11657" spans="1:29" ht="65" x14ac:dyDescent="0.15">
      <c r="A11657" s="3">
        <f>DATE(2016,12,2)</f>
        <v>42706</v>
      </c>
      <c r="B11657" s="3">
        <f>DATE(2017,2,17)</f>
        <v>42783</v>
      </c>
      <c r="C11657" s="2" t="s">
        <v>95</v>
      </c>
      <c r="D11657" s="2" t="s">
        <v>33578</v>
      </c>
      <c r="E11657" s="2" t="s">
        <v>33579</v>
      </c>
      <c r="F11657" s="4">
        <v>3841</v>
      </c>
      <c r="G11657" s="2" t="s">
        <v>226</v>
      </c>
      <c r="H11657" s="2" t="s">
        <v>34</v>
      </c>
      <c r="I11657" s="2" t="s">
        <v>25890</v>
      </c>
      <c r="J11657" s="2" t="s">
        <v>25891</v>
      </c>
      <c r="K11657" s="2" t="s">
        <v>226</v>
      </c>
      <c r="L11657" s="2" t="s">
        <v>34</v>
      </c>
      <c r="M11657" s="12">
        <v>6296.5290000000005</v>
      </c>
      <c r="N11657" s="6">
        <v>152.53</v>
      </c>
      <c r="O11657" s="6">
        <v>154.21</v>
      </c>
      <c r="P11657" s="2" t="s">
        <v>33580</v>
      </c>
      <c r="Q11657" s="6">
        <v>100</v>
      </c>
      <c r="R11657" s="6">
        <v>56</v>
      </c>
      <c r="S11657" s="5">
        <v>12.1</v>
      </c>
      <c r="T11657" s="7">
        <v>19.949000000000002</v>
      </c>
      <c r="U11657" s="5">
        <v>8.1</v>
      </c>
      <c r="V11657" s="9">
        <v>0.68489999999999995</v>
      </c>
      <c r="W11657" s="5">
        <v>54.5</v>
      </c>
      <c r="X11657" s="5">
        <v>55.1</v>
      </c>
      <c r="Y11657" s="4">
        <v>56</v>
      </c>
      <c r="Z11657" s="5">
        <v>55.9</v>
      </c>
      <c r="AA11657" s="6">
        <v>17.53</v>
      </c>
      <c r="AB11657" s="7">
        <v>72.628</v>
      </c>
      <c r="AC11657" s="6">
        <v>499.46</v>
      </c>
    </row>
    <row r="11658" spans="1:29" ht="208" x14ac:dyDescent="0.15">
      <c r="A11658" s="3">
        <f>DATE(2016,12,5)</f>
        <v>42709</v>
      </c>
      <c r="B11658" s="3">
        <f>DATE(2017,6,30)</f>
        <v>42916</v>
      </c>
      <c r="C11658" s="2" t="s">
        <v>95</v>
      </c>
      <c r="D11658" s="2" t="s">
        <v>33581</v>
      </c>
      <c r="E11658" s="2" t="s">
        <v>14534</v>
      </c>
      <c r="F11658" s="4">
        <v>4813</v>
      </c>
      <c r="G11658" s="2" t="s">
        <v>63</v>
      </c>
      <c r="H11658" s="2" t="s">
        <v>34</v>
      </c>
      <c r="I11658" s="2" t="s">
        <v>25813</v>
      </c>
      <c r="J11658" s="2" t="s">
        <v>973</v>
      </c>
      <c r="K11658" s="2" t="s">
        <v>63</v>
      </c>
      <c r="L11658" s="2" t="s">
        <v>34</v>
      </c>
      <c r="M11658" s="12">
        <v>1222.8109999999999</v>
      </c>
      <c r="N11658" s="6">
        <v>27.21</v>
      </c>
      <c r="O11658" s="6">
        <v>27.21</v>
      </c>
      <c r="P11658" s="2" t="s">
        <v>33582</v>
      </c>
      <c r="Q11658" s="6">
        <v>100</v>
      </c>
      <c r="R11658" s="6">
        <v>20.72</v>
      </c>
      <c r="S11658" s="5">
        <v>130.4</v>
      </c>
      <c r="T11658" s="7">
        <v>249.13399999999999</v>
      </c>
      <c r="U11658" s="5">
        <v>-1.5</v>
      </c>
      <c r="V11658" s="9">
        <v>4.8249000000000004</v>
      </c>
      <c r="W11658" s="6">
        <v>17.010000000000002</v>
      </c>
      <c r="X11658" s="5">
        <v>16.399999999999999</v>
      </c>
      <c r="Y11658" s="5">
        <v>16.5</v>
      </c>
      <c r="Z11658" s="6">
        <v>16.54</v>
      </c>
      <c r="AA11658" s="6">
        <v>27.07</v>
      </c>
      <c r="AB11658" s="7">
        <v>57.628</v>
      </c>
      <c r="AC11658" s="6">
        <v>33.4</v>
      </c>
    </row>
    <row r="11659" spans="1:29" ht="65" x14ac:dyDescent="0.15">
      <c r="A11659" s="3">
        <f>DATE(2016,12,6)</f>
        <v>42710</v>
      </c>
      <c r="B11659" s="3">
        <f>DATE(2017,1,19)</f>
        <v>42754</v>
      </c>
      <c r="C11659" s="2" t="s">
        <v>95</v>
      </c>
      <c r="D11659" s="2" t="s">
        <v>33583</v>
      </c>
      <c r="E11659" s="2" t="s">
        <v>12791</v>
      </c>
      <c r="F11659" s="4">
        <v>7372</v>
      </c>
      <c r="G11659" s="2" t="s">
        <v>551</v>
      </c>
      <c r="H11659" s="2" t="s">
        <v>34</v>
      </c>
      <c r="I11659" s="2" t="s">
        <v>32286</v>
      </c>
      <c r="J11659" s="2" t="s">
        <v>32287</v>
      </c>
      <c r="K11659" s="2" t="s">
        <v>551</v>
      </c>
      <c r="L11659" s="2" t="s">
        <v>34</v>
      </c>
      <c r="M11659" s="12">
        <v>2042.4280000000001</v>
      </c>
      <c r="N11659" s="6">
        <v>42.59</v>
      </c>
      <c r="O11659" s="6">
        <v>41.27</v>
      </c>
      <c r="P11659" s="2" t="s">
        <v>33584</v>
      </c>
      <c r="Q11659" s="6">
        <v>100</v>
      </c>
      <c r="R11659" s="6">
        <v>13</v>
      </c>
      <c r="S11659" s="5">
        <v>-20.100000000000001</v>
      </c>
      <c r="T11659" s="7">
        <v>37.722000000000001</v>
      </c>
      <c r="U11659" s="5">
        <v>4.5999999999999996</v>
      </c>
      <c r="V11659" s="9">
        <v>-0.34870000000000001</v>
      </c>
      <c r="W11659" s="6">
        <v>11.52</v>
      </c>
      <c r="X11659" s="6">
        <v>11.27</v>
      </c>
      <c r="Y11659" s="6">
        <v>13.12</v>
      </c>
      <c r="Z11659" s="6">
        <v>13.18</v>
      </c>
      <c r="AA11659" s="6">
        <v>57.76</v>
      </c>
      <c r="AB11659" s="2" t="s">
        <v>86</v>
      </c>
      <c r="AC11659" s="6">
        <v>140.29</v>
      </c>
    </row>
    <row r="11660" spans="1:29" ht="143" x14ac:dyDescent="0.15">
      <c r="A11660" s="3">
        <f>DATE(2016,12,6)</f>
        <v>42710</v>
      </c>
      <c r="B11660" s="2"/>
      <c r="C11660" s="2" t="s">
        <v>30</v>
      </c>
      <c r="D11660" s="2" t="s">
        <v>33585</v>
      </c>
      <c r="E11660" s="2" t="s">
        <v>33586</v>
      </c>
      <c r="F11660" s="4">
        <v>2819</v>
      </c>
      <c r="G11660" s="2" t="s">
        <v>98</v>
      </c>
      <c r="H11660" s="2" t="s">
        <v>34</v>
      </c>
      <c r="I11660" s="2" t="s">
        <v>33587</v>
      </c>
      <c r="J11660" s="2" t="s">
        <v>33588</v>
      </c>
      <c r="K11660" s="2" t="s">
        <v>98</v>
      </c>
      <c r="L11660" s="2" t="s">
        <v>2105</v>
      </c>
      <c r="M11660" s="12">
        <v>2639.0459999999998</v>
      </c>
      <c r="N11660" s="7">
        <v>15.218999999999999</v>
      </c>
      <c r="O11660" s="7">
        <v>15.105</v>
      </c>
      <c r="P11660" s="2" t="s">
        <v>33589</v>
      </c>
      <c r="Q11660" s="2"/>
      <c r="R11660" s="6">
        <v>7.76</v>
      </c>
      <c r="S11660" s="5">
        <v>-18.7</v>
      </c>
      <c r="T11660" s="7">
        <v>81.456000000000003</v>
      </c>
      <c r="U11660" s="5">
        <v>2</v>
      </c>
      <c r="V11660" s="9">
        <v>-0.21460000000000001</v>
      </c>
      <c r="W11660" s="6">
        <v>5.65</v>
      </c>
      <c r="X11660" s="5">
        <v>7.2</v>
      </c>
      <c r="Y11660" s="5">
        <v>7.5</v>
      </c>
      <c r="Z11660" s="7">
        <v>7.5129999999999999</v>
      </c>
      <c r="AA11660" s="6">
        <v>87</v>
      </c>
      <c r="AB11660" s="7">
        <v>56.354999999999997</v>
      </c>
      <c r="AC11660" s="6">
        <v>806.14</v>
      </c>
    </row>
    <row r="11661" spans="1:29" ht="130" x14ac:dyDescent="0.15">
      <c r="A11661" s="3">
        <f>DATE(2016,12,7)</f>
        <v>42711</v>
      </c>
      <c r="B11661" s="2"/>
      <c r="C11661" s="2" t="s">
        <v>7330</v>
      </c>
      <c r="D11661" s="2" t="s">
        <v>33590</v>
      </c>
      <c r="E11661" s="2" t="s">
        <v>4967</v>
      </c>
      <c r="F11661" s="4">
        <v>7374</v>
      </c>
      <c r="G11661" s="2" t="s">
        <v>223</v>
      </c>
      <c r="H11661" s="2" t="s">
        <v>34</v>
      </c>
      <c r="I11661" s="2" t="s">
        <v>278</v>
      </c>
      <c r="J11661" s="2" t="s">
        <v>52</v>
      </c>
      <c r="K11661" s="2" t="s">
        <v>53</v>
      </c>
      <c r="L11661" s="2" t="s">
        <v>34</v>
      </c>
      <c r="M11661" s="2"/>
      <c r="N11661" s="2"/>
      <c r="O11661" s="2"/>
      <c r="P11661" s="2" t="s">
        <v>33591</v>
      </c>
      <c r="Q11661" s="2"/>
      <c r="R11661" s="6">
        <v>37.6</v>
      </c>
      <c r="S11661" s="5">
        <v>43.8</v>
      </c>
      <c r="T11661" s="5">
        <v>435.6</v>
      </c>
      <c r="U11661" s="5">
        <v>5.6</v>
      </c>
      <c r="V11661" s="9">
        <v>0.64539999999999997</v>
      </c>
      <c r="W11661" s="4">
        <v>37</v>
      </c>
      <c r="X11661" s="5">
        <v>37.6</v>
      </c>
      <c r="Y11661" s="4">
        <v>37</v>
      </c>
      <c r="Z11661" s="6">
        <v>38.65</v>
      </c>
      <c r="AA11661" s="6">
        <v>153.91999999999999</v>
      </c>
      <c r="AB11661" s="7">
        <v>31.709</v>
      </c>
      <c r="AC11661" s="2"/>
    </row>
    <row r="11662" spans="1:29" ht="78" x14ac:dyDescent="0.15">
      <c r="A11662" s="3">
        <f>DATE(2016,12,7)</f>
        <v>42711</v>
      </c>
      <c r="B11662" s="3">
        <f>DATE(2017,2,7)</f>
        <v>42773</v>
      </c>
      <c r="C11662" s="2" t="s">
        <v>95</v>
      </c>
      <c r="D11662" s="2" t="s">
        <v>29746</v>
      </c>
      <c r="E11662" s="2" t="s">
        <v>29747</v>
      </c>
      <c r="F11662" s="4">
        <v>1389</v>
      </c>
      <c r="G11662" s="2" t="s">
        <v>148</v>
      </c>
      <c r="H11662" s="2" t="s">
        <v>34</v>
      </c>
      <c r="I11662" s="2" t="s">
        <v>32746</v>
      </c>
      <c r="J11662" s="2" t="s">
        <v>7424</v>
      </c>
      <c r="K11662" s="2" t="s">
        <v>163</v>
      </c>
      <c r="L11662" s="2" t="s">
        <v>34</v>
      </c>
      <c r="M11662" s="7">
        <v>363.65699999999998</v>
      </c>
      <c r="N11662" s="5">
        <v>14.6</v>
      </c>
      <c r="O11662" s="5">
        <v>14.9</v>
      </c>
      <c r="P11662" s="2" t="s">
        <v>33592</v>
      </c>
      <c r="Q11662" s="6">
        <v>35.81</v>
      </c>
      <c r="R11662" s="2"/>
      <c r="S11662" s="5">
        <v>-70.2</v>
      </c>
      <c r="T11662" s="7">
        <v>2.5000000000000001E-2</v>
      </c>
      <c r="U11662" s="5">
        <v>24.9</v>
      </c>
      <c r="V11662" s="9">
        <v>-6.1637000000000004</v>
      </c>
      <c r="W11662" s="5">
        <v>11.2</v>
      </c>
      <c r="X11662" s="5">
        <v>11.5</v>
      </c>
      <c r="Y11662" s="5">
        <v>11.5</v>
      </c>
      <c r="Z11662" s="6">
        <v>14.79</v>
      </c>
      <c r="AA11662" s="6">
        <v>10.3</v>
      </c>
      <c r="AB11662" s="2" t="s">
        <v>86</v>
      </c>
      <c r="AC11662" s="6">
        <v>408.26</v>
      </c>
    </row>
    <row r="11663" spans="1:29" ht="52" x14ac:dyDescent="0.15">
      <c r="A11663" s="3">
        <f>DATE(2016,12,9)</f>
        <v>42713</v>
      </c>
      <c r="B11663" s="3">
        <f>DATE(2017,5,4)</f>
        <v>42859</v>
      </c>
      <c r="C11663" s="2" t="s">
        <v>95</v>
      </c>
      <c r="D11663" s="2" t="s">
        <v>20456</v>
      </c>
      <c r="E11663" s="2" t="s">
        <v>33593</v>
      </c>
      <c r="F11663" s="4">
        <v>1099</v>
      </c>
      <c r="G11663" s="2" t="s">
        <v>166</v>
      </c>
      <c r="H11663" s="2" t="s">
        <v>34</v>
      </c>
      <c r="I11663" s="2" t="s">
        <v>33594</v>
      </c>
      <c r="J11663" s="2" t="s">
        <v>8974</v>
      </c>
      <c r="K11663" s="2" t="s">
        <v>166</v>
      </c>
      <c r="L11663" s="2" t="s">
        <v>17069</v>
      </c>
      <c r="M11663" s="12">
        <v>2242.3110000000001</v>
      </c>
      <c r="N11663" s="7">
        <v>1.738</v>
      </c>
      <c r="O11663" s="6">
        <v>1.77</v>
      </c>
      <c r="P11663" s="2" t="s">
        <v>33595</v>
      </c>
      <c r="Q11663" s="6">
        <v>100</v>
      </c>
      <c r="R11663" s="6">
        <v>18</v>
      </c>
      <c r="S11663" s="5">
        <v>7.9</v>
      </c>
      <c r="T11663" s="7">
        <v>84.144999999999996</v>
      </c>
      <c r="U11663" s="5">
        <v>7.6</v>
      </c>
      <c r="V11663" s="9">
        <v>6.5100000000000005E-2</v>
      </c>
      <c r="W11663" s="6">
        <v>15.17</v>
      </c>
      <c r="X11663" s="6">
        <v>14.68</v>
      </c>
      <c r="Y11663" s="6">
        <v>17.32</v>
      </c>
      <c r="Z11663" s="6">
        <v>17.190000000000001</v>
      </c>
      <c r="AA11663" s="6">
        <v>121.08</v>
      </c>
      <c r="AB11663" s="7">
        <v>155.33000000000001</v>
      </c>
      <c r="AC11663" s="6">
        <v>46.39</v>
      </c>
    </row>
    <row r="11664" spans="1:29" ht="65" x14ac:dyDescent="0.15">
      <c r="A11664" s="3">
        <f>DATE(2016,12,12)</f>
        <v>42716</v>
      </c>
      <c r="B11664" s="3">
        <f>DATE(2017,2,28)</f>
        <v>42794</v>
      </c>
      <c r="C11664" s="2" t="s">
        <v>95</v>
      </c>
      <c r="D11664" s="2" t="s">
        <v>33596</v>
      </c>
      <c r="E11664" s="2" t="s">
        <v>33597</v>
      </c>
      <c r="F11664" s="4">
        <v>7379</v>
      </c>
      <c r="G11664" s="2" t="s">
        <v>223</v>
      </c>
      <c r="H11664" s="2" t="s">
        <v>34</v>
      </c>
      <c r="I11664" s="2" t="s">
        <v>14838</v>
      </c>
      <c r="J11664" s="2" t="s">
        <v>244</v>
      </c>
      <c r="K11664" s="2" t="s">
        <v>53</v>
      </c>
      <c r="L11664" s="2" t="s">
        <v>34</v>
      </c>
      <c r="M11664" s="2"/>
      <c r="N11664" s="2"/>
      <c r="O11664" s="2"/>
      <c r="P11664" s="2" t="s">
        <v>33598</v>
      </c>
      <c r="Q11664" s="6">
        <v>100</v>
      </c>
      <c r="R11664" s="6">
        <v>5.75</v>
      </c>
      <c r="S11664" s="5">
        <v>9.9</v>
      </c>
      <c r="T11664" s="7">
        <v>41.552</v>
      </c>
      <c r="U11664" s="5">
        <v>1.4</v>
      </c>
      <c r="V11664" s="9">
        <v>0.1636</v>
      </c>
      <c r="W11664" s="7">
        <v>5.1550000000000002</v>
      </c>
      <c r="X11664" s="6">
        <v>5.57</v>
      </c>
      <c r="Y11664" s="6">
        <v>5.81</v>
      </c>
      <c r="Z11664" s="6">
        <v>5.83</v>
      </c>
      <c r="AA11664" s="6">
        <v>61.5</v>
      </c>
      <c r="AB11664" s="7">
        <v>16.419</v>
      </c>
      <c r="AC11664" s="2"/>
    </row>
    <row r="11665" spans="1:29" ht="143" x14ac:dyDescent="0.15">
      <c r="A11665" s="3">
        <f>DATE(2016,12,13)</f>
        <v>42717</v>
      </c>
      <c r="B11665" s="3">
        <f>DATE(2017,6,23)</f>
        <v>42909</v>
      </c>
      <c r="C11665" s="2" t="s">
        <v>95</v>
      </c>
      <c r="D11665" s="2" t="s">
        <v>27442</v>
      </c>
      <c r="E11665" s="2" t="s">
        <v>265</v>
      </c>
      <c r="F11665" s="4">
        <v>6022</v>
      </c>
      <c r="G11665" s="2" t="s">
        <v>37</v>
      </c>
      <c r="H11665" s="2" t="s">
        <v>34</v>
      </c>
      <c r="I11665" s="2" t="s">
        <v>33599</v>
      </c>
      <c r="J11665" s="2" t="s">
        <v>36</v>
      </c>
      <c r="K11665" s="2" t="s">
        <v>37</v>
      </c>
      <c r="L11665" s="2" t="s">
        <v>34</v>
      </c>
      <c r="M11665" s="7">
        <v>271.36200000000002</v>
      </c>
      <c r="N11665" s="6">
        <v>15.59</v>
      </c>
      <c r="O11665" s="5">
        <v>15.9</v>
      </c>
      <c r="P11665" s="2" t="s">
        <v>33600</v>
      </c>
      <c r="Q11665" s="6">
        <v>100</v>
      </c>
      <c r="R11665" s="6">
        <v>9.86</v>
      </c>
      <c r="S11665" s="5">
        <v>8.3000000000000007</v>
      </c>
      <c r="T11665" s="5">
        <v>14.5</v>
      </c>
      <c r="U11665" s="5">
        <v>9.5</v>
      </c>
      <c r="V11665" s="9">
        <v>0.35780000000000001</v>
      </c>
      <c r="W11665" s="6">
        <v>9.6199999999999992</v>
      </c>
      <c r="X11665" s="6">
        <v>9.59</v>
      </c>
      <c r="Y11665" s="6">
        <v>9.67</v>
      </c>
      <c r="Z11665" s="6">
        <v>9.92</v>
      </c>
      <c r="AA11665" s="6">
        <v>13.12</v>
      </c>
      <c r="AB11665" s="7">
        <v>25.341000000000001</v>
      </c>
      <c r="AC11665" s="2"/>
    </row>
    <row r="11666" spans="1:29" ht="130" x14ac:dyDescent="0.15">
      <c r="A11666" s="3">
        <f>DATE(2016,12,13)</f>
        <v>42717</v>
      </c>
      <c r="B11666" s="3">
        <f>DATE(2017,4,1)</f>
        <v>42826</v>
      </c>
      <c r="C11666" s="2" t="s">
        <v>95</v>
      </c>
      <c r="D11666" s="2" t="s">
        <v>31007</v>
      </c>
      <c r="E11666" s="2" t="s">
        <v>36</v>
      </c>
      <c r="F11666" s="4">
        <v>6021</v>
      </c>
      <c r="G11666" s="2" t="s">
        <v>37</v>
      </c>
      <c r="H11666" s="2" t="s">
        <v>34</v>
      </c>
      <c r="I11666" s="2" t="s">
        <v>30583</v>
      </c>
      <c r="J11666" s="2" t="s">
        <v>36</v>
      </c>
      <c r="K11666" s="2" t="s">
        <v>37</v>
      </c>
      <c r="L11666" s="2" t="s">
        <v>34</v>
      </c>
      <c r="M11666" s="7">
        <v>878.09500000000003</v>
      </c>
      <c r="N11666" s="5">
        <v>33.6</v>
      </c>
      <c r="O11666" s="6">
        <v>34.049999999999997</v>
      </c>
      <c r="P11666" s="2" t="s">
        <v>33601</v>
      </c>
      <c r="Q11666" s="6">
        <v>100</v>
      </c>
      <c r="R11666" s="6">
        <v>11.68</v>
      </c>
      <c r="S11666" s="5">
        <v>15.9</v>
      </c>
      <c r="T11666" s="7">
        <v>29.187999999999999</v>
      </c>
      <c r="U11666" s="5">
        <v>6.3</v>
      </c>
      <c r="V11666" s="9">
        <v>0.4637</v>
      </c>
      <c r="W11666" s="6">
        <v>10.16</v>
      </c>
      <c r="X11666" s="6">
        <v>10.86</v>
      </c>
      <c r="Y11666" s="6">
        <v>11.54</v>
      </c>
      <c r="Z11666" s="6">
        <v>11.75</v>
      </c>
      <c r="AA11666" s="6">
        <v>34.26</v>
      </c>
      <c r="AB11666" s="7">
        <v>19.832999999999998</v>
      </c>
      <c r="AC11666" s="2"/>
    </row>
    <row r="11667" spans="1:29" ht="156" x14ac:dyDescent="0.15">
      <c r="A11667" s="3">
        <f>DATE(2016,12,14)</f>
        <v>42718</v>
      </c>
      <c r="B11667" s="2"/>
      <c r="C11667" s="2" t="s">
        <v>7330</v>
      </c>
      <c r="D11667" s="2" t="s">
        <v>32533</v>
      </c>
      <c r="E11667" s="2" t="s">
        <v>33602</v>
      </c>
      <c r="F11667" s="4">
        <v>8071</v>
      </c>
      <c r="G11667" s="2" t="s">
        <v>454</v>
      </c>
      <c r="H11667" s="2" t="s">
        <v>34</v>
      </c>
      <c r="I11667" s="2" t="s">
        <v>33603</v>
      </c>
      <c r="J11667" s="2" t="s">
        <v>32463</v>
      </c>
      <c r="K11667" s="2" t="s">
        <v>53</v>
      </c>
      <c r="L11667" s="2" t="s">
        <v>455</v>
      </c>
      <c r="M11667" s="2"/>
      <c r="N11667" s="2"/>
      <c r="O11667" s="2"/>
      <c r="P11667" s="2" t="s">
        <v>33604</v>
      </c>
      <c r="Q11667" s="2"/>
      <c r="R11667" s="6">
        <v>13.25</v>
      </c>
      <c r="S11667" s="5">
        <v>1.1000000000000001</v>
      </c>
      <c r="T11667" s="7">
        <v>123.794</v>
      </c>
      <c r="U11667" s="5">
        <v>-12.9</v>
      </c>
      <c r="V11667" s="9">
        <v>9.8100000000000007E-2</v>
      </c>
      <c r="W11667" s="6">
        <v>28.45</v>
      </c>
      <c r="X11667" s="6">
        <v>28.17</v>
      </c>
      <c r="Y11667" s="6">
        <v>28.66</v>
      </c>
      <c r="Z11667" s="6">
        <v>27.61</v>
      </c>
      <c r="AA11667" s="6">
        <v>10.73</v>
      </c>
      <c r="AB11667" s="7">
        <v>11.795</v>
      </c>
      <c r="AC11667" s="2"/>
    </row>
    <row r="11668" spans="1:29" ht="143" x14ac:dyDescent="0.15">
      <c r="A11668" s="3">
        <f>DATE(2016,12,14)</f>
        <v>42718</v>
      </c>
      <c r="B11668" s="3">
        <f>DATE(2017,8,8)</f>
        <v>42955</v>
      </c>
      <c r="C11668" s="2" t="s">
        <v>95</v>
      </c>
      <c r="D11668" s="2" t="s">
        <v>31631</v>
      </c>
      <c r="E11668" s="2" t="s">
        <v>31632</v>
      </c>
      <c r="F11668" s="4">
        <v>4899</v>
      </c>
      <c r="G11668" s="2" t="s">
        <v>63</v>
      </c>
      <c r="H11668" s="2" t="s">
        <v>34</v>
      </c>
      <c r="I11668" s="2" t="s">
        <v>33605</v>
      </c>
      <c r="J11668" s="2" t="s">
        <v>31277</v>
      </c>
      <c r="K11668" s="2" t="s">
        <v>53</v>
      </c>
      <c r="L11668" s="2" t="s">
        <v>34</v>
      </c>
      <c r="M11668" s="2"/>
      <c r="N11668" s="2"/>
      <c r="O11668" s="2"/>
      <c r="P11668" s="2" t="s">
        <v>33606</v>
      </c>
      <c r="Q11668" s="6">
        <v>100</v>
      </c>
      <c r="R11668" s="6">
        <v>33.5</v>
      </c>
      <c r="S11668" s="5">
        <v>156.4</v>
      </c>
      <c r="T11668" s="7">
        <v>432.87900000000002</v>
      </c>
      <c r="U11668" s="5">
        <v>15.9</v>
      </c>
      <c r="V11668" s="9">
        <v>2.8344</v>
      </c>
      <c r="W11668" s="5">
        <v>27.8</v>
      </c>
      <c r="X11668" s="6">
        <v>27.65</v>
      </c>
      <c r="Y11668" s="6">
        <v>33.450000000000003</v>
      </c>
      <c r="Z11668" s="4">
        <v>33</v>
      </c>
      <c r="AA11668" s="6">
        <v>54.76</v>
      </c>
      <c r="AB11668" s="7">
        <v>9.9009999999999998</v>
      </c>
      <c r="AC11668" s="2"/>
    </row>
    <row r="11669" spans="1:29" ht="156" x14ac:dyDescent="0.15">
      <c r="A11669" s="3">
        <f>DATE(2016,12,14)</f>
        <v>42718</v>
      </c>
      <c r="B11669" s="2"/>
      <c r="C11669" s="2" t="s">
        <v>7330</v>
      </c>
      <c r="D11669" s="2" t="s">
        <v>33607</v>
      </c>
      <c r="E11669" s="2" t="s">
        <v>159</v>
      </c>
      <c r="F11669" s="4">
        <v>6021</v>
      </c>
      <c r="G11669" s="2" t="s">
        <v>37</v>
      </c>
      <c r="H11669" s="2" t="s">
        <v>34</v>
      </c>
      <c r="I11669" s="2" t="s">
        <v>33608</v>
      </c>
      <c r="J11669" s="2" t="s">
        <v>36</v>
      </c>
      <c r="K11669" s="2" t="s">
        <v>37</v>
      </c>
      <c r="L11669" s="2" t="s">
        <v>34</v>
      </c>
      <c r="M11669" s="12">
        <v>1807.817</v>
      </c>
      <c r="N11669" s="6">
        <v>64.75</v>
      </c>
      <c r="O11669" s="6">
        <v>61.85</v>
      </c>
      <c r="P11669" s="2" t="s">
        <v>33609</v>
      </c>
      <c r="Q11669" s="2"/>
      <c r="R11669" s="6">
        <v>25.27</v>
      </c>
      <c r="S11669" s="5">
        <v>15.9</v>
      </c>
      <c r="T11669" s="6">
        <v>27.47</v>
      </c>
      <c r="U11669" s="5">
        <v>15.2</v>
      </c>
      <c r="V11669" s="9">
        <v>0.81730000000000003</v>
      </c>
      <c r="W11669" s="4">
        <v>24</v>
      </c>
      <c r="X11669" s="5">
        <v>24.3</v>
      </c>
      <c r="Y11669" s="5">
        <v>23.8</v>
      </c>
      <c r="Z11669" s="5">
        <v>28.5</v>
      </c>
      <c r="AA11669" s="6">
        <v>18.68</v>
      </c>
      <c r="AB11669" s="7">
        <v>28.134</v>
      </c>
      <c r="AC11669" s="2"/>
    </row>
    <row r="11670" spans="1:29" ht="143" x14ac:dyDescent="0.15">
      <c r="A11670" s="3">
        <f>DATE(2016,12,15)</f>
        <v>42719</v>
      </c>
      <c r="B11670" s="3">
        <f>DATE(2017,4,28)</f>
        <v>42853</v>
      </c>
      <c r="C11670" s="2" t="s">
        <v>95</v>
      </c>
      <c r="D11670" s="2" t="s">
        <v>33610</v>
      </c>
      <c r="E11670" s="2" t="s">
        <v>33611</v>
      </c>
      <c r="F11670" s="4">
        <v>6035</v>
      </c>
      <c r="G11670" s="2" t="s">
        <v>33</v>
      </c>
      <c r="H11670" s="2" t="s">
        <v>34</v>
      </c>
      <c r="I11670" s="2" t="s">
        <v>31870</v>
      </c>
      <c r="J11670" s="2" t="s">
        <v>36</v>
      </c>
      <c r="K11670" s="2" t="s">
        <v>37</v>
      </c>
      <c r="L11670" s="2" t="s">
        <v>34</v>
      </c>
      <c r="M11670" s="7">
        <v>68.953000000000003</v>
      </c>
      <c r="N11670" s="5">
        <v>13.4</v>
      </c>
      <c r="O11670" s="6">
        <v>13.65</v>
      </c>
      <c r="P11670" s="2" t="s">
        <v>33612</v>
      </c>
      <c r="Q11670" s="6">
        <v>100</v>
      </c>
      <c r="R11670" s="6">
        <v>26.54</v>
      </c>
      <c r="S11670" s="2"/>
      <c r="T11670" s="2"/>
      <c r="U11670" s="2"/>
      <c r="V11670" s="2"/>
      <c r="W11670" s="5">
        <v>16.2</v>
      </c>
      <c r="X11670" s="5">
        <v>16.2</v>
      </c>
      <c r="Y11670" s="4">
        <v>25</v>
      </c>
      <c r="Z11670" s="4">
        <v>25</v>
      </c>
      <c r="AA11670" s="6">
        <v>1.41</v>
      </c>
      <c r="AB11670" s="2" t="s">
        <v>47</v>
      </c>
      <c r="AC11670" s="2"/>
    </row>
    <row r="11671" spans="1:29" ht="65" x14ac:dyDescent="0.15">
      <c r="A11671" s="3">
        <f>DATE(2016,12,16)</f>
        <v>42720</v>
      </c>
      <c r="B11671" s="2"/>
      <c r="C11671" s="2" t="s">
        <v>7330</v>
      </c>
      <c r="D11671" s="2" t="s">
        <v>33613</v>
      </c>
      <c r="E11671" s="2" t="s">
        <v>672</v>
      </c>
      <c r="F11671" s="4">
        <v>6021</v>
      </c>
      <c r="G11671" s="2" t="s">
        <v>37</v>
      </c>
      <c r="H11671" s="2" t="s">
        <v>34</v>
      </c>
      <c r="I11671" s="2" t="s">
        <v>33614</v>
      </c>
      <c r="J11671" s="2" t="s">
        <v>1304</v>
      </c>
      <c r="K11671" s="2" t="s">
        <v>37</v>
      </c>
      <c r="L11671" s="2" t="s">
        <v>34</v>
      </c>
      <c r="M11671" s="2"/>
      <c r="N11671" s="2"/>
      <c r="O11671" s="2"/>
      <c r="P11671" s="2" t="s">
        <v>33615</v>
      </c>
      <c r="Q11671" s="2"/>
      <c r="R11671" s="6">
        <v>3.01</v>
      </c>
      <c r="S11671" s="5">
        <v>-2.9</v>
      </c>
      <c r="T11671" s="7">
        <v>-2.649</v>
      </c>
      <c r="U11671" s="5">
        <v>3.6</v>
      </c>
      <c r="V11671" s="9">
        <v>-1.2813000000000001</v>
      </c>
      <c r="W11671" s="5">
        <v>2.6</v>
      </c>
      <c r="X11671" s="6">
        <v>2.85</v>
      </c>
      <c r="Y11671" s="6">
        <v>2.86</v>
      </c>
      <c r="Z11671" s="6">
        <v>2.74</v>
      </c>
      <c r="AA11671" s="6">
        <v>2.33</v>
      </c>
      <c r="AB11671" s="2" t="s">
        <v>86</v>
      </c>
      <c r="AC11671" s="6">
        <v>166.04</v>
      </c>
    </row>
    <row r="11672" spans="1:29" ht="221" x14ac:dyDescent="0.15">
      <c r="A11672" s="3">
        <f>DATE(2016,12,18)</f>
        <v>42722</v>
      </c>
      <c r="B11672" s="3">
        <f>DATE(2017,7,6)</f>
        <v>42922</v>
      </c>
      <c r="C11672" s="2" t="s">
        <v>95</v>
      </c>
      <c r="D11672" s="2" t="s">
        <v>26879</v>
      </c>
      <c r="E11672" s="2" t="s">
        <v>124</v>
      </c>
      <c r="F11672" s="4">
        <v>6311</v>
      </c>
      <c r="G11672" s="2" t="s">
        <v>125</v>
      </c>
      <c r="H11672" s="2" t="s">
        <v>34</v>
      </c>
      <c r="I11672" s="2" t="s">
        <v>13362</v>
      </c>
      <c r="J11672" s="2" t="s">
        <v>13363</v>
      </c>
      <c r="K11672" s="2" t="s">
        <v>125</v>
      </c>
      <c r="L11672" s="2" t="s">
        <v>902</v>
      </c>
      <c r="M11672" s="12">
        <v>10050.812</v>
      </c>
      <c r="N11672" s="7">
        <v>451.291</v>
      </c>
      <c r="O11672" s="7">
        <v>451.291</v>
      </c>
      <c r="P11672" s="2" t="s">
        <v>33616</v>
      </c>
      <c r="Q11672" s="6">
        <v>100</v>
      </c>
      <c r="R11672" s="6">
        <v>69.03</v>
      </c>
      <c r="S11672" s="5">
        <v>297.8</v>
      </c>
      <c r="T11672" s="2"/>
      <c r="U11672" s="5">
        <v>41.6</v>
      </c>
      <c r="V11672" s="9">
        <v>3.3622000000000001</v>
      </c>
      <c r="W11672" s="6">
        <v>46.51</v>
      </c>
      <c r="X11672" s="6">
        <v>45.77</v>
      </c>
      <c r="Y11672" s="6">
        <v>51.76</v>
      </c>
      <c r="Z11672" s="6">
        <v>51.76</v>
      </c>
      <c r="AA11672" s="6">
        <v>87</v>
      </c>
      <c r="AB11672" s="7">
        <v>16.462</v>
      </c>
      <c r="AC11672" s="6">
        <v>707.98</v>
      </c>
    </row>
    <row r="11673" spans="1:29" ht="156" x14ac:dyDescent="0.15">
      <c r="A11673" s="3">
        <f>DATE(2016,12,19)</f>
        <v>42723</v>
      </c>
      <c r="B11673" s="3">
        <f>DATE(2017,2,21)</f>
        <v>42787</v>
      </c>
      <c r="C11673" s="2" t="s">
        <v>95</v>
      </c>
      <c r="D11673" s="2" t="s">
        <v>33617</v>
      </c>
      <c r="E11673" s="2" t="s">
        <v>1072</v>
      </c>
      <c r="F11673" s="4">
        <v>6211</v>
      </c>
      <c r="G11673" s="2" t="s">
        <v>53</v>
      </c>
      <c r="H11673" s="2" t="s">
        <v>34</v>
      </c>
      <c r="I11673" s="2" t="s">
        <v>51</v>
      </c>
      <c r="J11673" s="2" t="s">
        <v>52</v>
      </c>
      <c r="K11673" s="2" t="s">
        <v>53</v>
      </c>
      <c r="L11673" s="2" t="s">
        <v>34</v>
      </c>
      <c r="M11673" s="2"/>
      <c r="N11673" s="2"/>
      <c r="O11673" s="2"/>
      <c r="P11673" s="2" t="s">
        <v>33618</v>
      </c>
      <c r="Q11673" s="6">
        <v>81.599999999999994</v>
      </c>
      <c r="R11673" s="6">
        <v>8.25</v>
      </c>
      <c r="S11673" s="5">
        <v>0.9</v>
      </c>
      <c r="T11673" s="7">
        <v>22.440999999999999</v>
      </c>
      <c r="U11673" s="5">
        <v>11.1</v>
      </c>
      <c r="V11673" s="7">
        <v>5.0999999999999997E-2</v>
      </c>
      <c r="W11673" s="6">
        <v>7.25</v>
      </c>
      <c r="X11673" s="6">
        <v>7.36</v>
      </c>
      <c r="Y11673" s="6">
        <v>8.39</v>
      </c>
      <c r="Z11673" s="6">
        <v>8.31</v>
      </c>
      <c r="AA11673" s="6">
        <v>20.53</v>
      </c>
      <c r="AB11673" s="2" t="s">
        <v>86</v>
      </c>
      <c r="AC11673" s="2"/>
    </row>
    <row r="11674" spans="1:29" ht="130" x14ac:dyDescent="0.15">
      <c r="A11674" s="3">
        <f>DATE(2016,12,19)</f>
        <v>42723</v>
      </c>
      <c r="B11674" s="3">
        <f>DATE(2017,4,30)</f>
        <v>42855</v>
      </c>
      <c r="C11674" s="2" t="s">
        <v>95</v>
      </c>
      <c r="D11674" s="2" t="s">
        <v>33619</v>
      </c>
      <c r="E11674" s="2" t="s">
        <v>33620</v>
      </c>
      <c r="F11674" s="4">
        <v>6021</v>
      </c>
      <c r="G11674" s="2" t="s">
        <v>37</v>
      </c>
      <c r="H11674" s="2" t="s">
        <v>34</v>
      </c>
      <c r="I11674" s="2" t="s">
        <v>20454</v>
      </c>
      <c r="J11674" s="2" t="s">
        <v>36</v>
      </c>
      <c r="K11674" s="2" t="s">
        <v>37</v>
      </c>
      <c r="L11674" s="2" t="s">
        <v>34</v>
      </c>
      <c r="M11674" s="7">
        <v>709.80600000000004</v>
      </c>
      <c r="N11674" s="6">
        <v>32.619999999999997</v>
      </c>
      <c r="O11674" s="6">
        <v>33.39</v>
      </c>
      <c r="P11674" s="2" t="s">
        <v>33621</v>
      </c>
      <c r="Q11674" s="6">
        <v>100</v>
      </c>
      <c r="R11674" s="6">
        <v>33.1</v>
      </c>
      <c r="S11674" s="2"/>
      <c r="T11674" s="2"/>
      <c r="U11674" s="2"/>
      <c r="V11674" s="2"/>
      <c r="W11674" s="4">
        <v>19</v>
      </c>
      <c r="X11674" s="4">
        <v>19</v>
      </c>
      <c r="Y11674" s="4">
        <v>19</v>
      </c>
      <c r="Z11674" s="4">
        <v>36</v>
      </c>
      <c r="AA11674" s="6">
        <v>1.56</v>
      </c>
      <c r="AB11674" s="2" t="s">
        <v>47</v>
      </c>
      <c r="AC11674" s="2"/>
    </row>
    <row r="11675" spans="1:29" ht="117" x14ac:dyDescent="0.15">
      <c r="A11675" s="3">
        <f>DATE(2016,12,20)</f>
        <v>42724</v>
      </c>
      <c r="B11675" s="2"/>
      <c r="C11675" s="2" t="s">
        <v>30</v>
      </c>
      <c r="D11675" s="2" t="s">
        <v>32768</v>
      </c>
      <c r="E11675" s="2" t="s">
        <v>5912</v>
      </c>
      <c r="F11675" s="4">
        <v>2335</v>
      </c>
      <c r="G11675" s="2" t="s">
        <v>708</v>
      </c>
      <c r="H11675" s="2" t="s">
        <v>34</v>
      </c>
      <c r="I11675" s="2" t="s">
        <v>32769</v>
      </c>
      <c r="J11675" s="2" t="s">
        <v>32770</v>
      </c>
      <c r="K11675" s="2" t="s">
        <v>756</v>
      </c>
      <c r="L11675" s="2" t="s">
        <v>133</v>
      </c>
      <c r="M11675" s="7">
        <v>281.57499999999999</v>
      </c>
      <c r="N11675" s="7">
        <v>13.731</v>
      </c>
      <c r="O11675" s="7">
        <v>13.680999999999999</v>
      </c>
      <c r="P11675" s="2" t="s">
        <v>33622</v>
      </c>
      <c r="Q11675" s="2"/>
      <c r="R11675" s="6">
        <v>13.69</v>
      </c>
      <c r="S11675" s="5">
        <v>-3</v>
      </c>
      <c r="T11675" s="7">
        <v>22.651</v>
      </c>
      <c r="U11675" s="5">
        <v>6.7</v>
      </c>
      <c r="V11675" s="9">
        <v>-0.22320000000000001</v>
      </c>
      <c r="W11675" s="5">
        <v>6.6</v>
      </c>
      <c r="X11675" s="6">
        <v>7.02</v>
      </c>
      <c r="Y11675" s="5">
        <v>5.9</v>
      </c>
      <c r="Z11675" s="5">
        <v>5.8</v>
      </c>
      <c r="AA11675" s="6">
        <v>14.01</v>
      </c>
      <c r="AB11675" s="7">
        <v>51.722999999999999</v>
      </c>
      <c r="AC11675" s="6">
        <v>47.37</v>
      </c>
    </row>
    <row r="11676" spans="1:29" ht="52" x14ac:dyDescent="0.15">
      <c r="A11676" s="3">
        <f>DATE(2016,12,20)</f>
        <v>42724</v>
      </c>
      <c r="B11676" s="3">
        <f>DATE(2017,1,11)</f>
        <v>42746</v>
      </c>
      <c r="C11676" s="2" t="s">
        <v>95</v>
      </c>
      <c r="D11676" s="2" t="s">
        <v>33623</v>
      </c>
      <c r="E11676" s="2" t="s">
        <v>5102</v>
      </c>
      <c r="F11676" s="4">
        <v>7372</v>
      </c>
      <c r="G11676" s="2" t="s">
        <v>551</v>
      </c>
      <c r="H11676" s="2" t="s">
        <v>34</v>
      </c>
      <c r="I11676" s="2" t="s">
        <v>33624</v>
      </c>
      <c r="J11676" s="2" t="s">
        <v>8995</v>
      </c>
      <c r="K11676" s="2" t="s">
        <v>551</v>
      </c>
      <c r="L11676" s="2" t="s">
        <v>34</v>
      </c>
      <c r="M11676" s="7">
        <v>163.24799999999999</v>
      </c>
      <c r="N11676" s="6">
        <v>8.7200000000000006</v>
      </c>
      <c r="O11676" s="6">
        <v>8.67</v>
      </c>
      <c r="P11676" s="2" t="s">
        <v>33625</v>
      </c>
      <c r="Q11676" s="6">
        <v>100</v>
      </c>
      <c r="R11676" s="2"/>
      <c r="S11676" s="2"/>
      <c r="T11676" s="2"/>
      <c r="U11676" s="2"/>
      <c r="V11676" s="2"/>
      <c r="W11676" s="6">
        <v>1.1499999999999999</v>
      </c>
      <c r="X11676" s="6">
        <v>1.1499999999999999</v>
      </c>
      <c r="Y11676" s="6">
        <v>2.85</v>
      </c>
      <c r="Z11676" s="6">
        <v>2.85</v>
      </c>
      <c r="AA11676" s="6">
        <v>0.63</v>
      </c>
      <c r="AB11676" s="2" t="s">
        <v>47</v>
      </c>
      <c r="AC11676" s="6">
        <v>28.76</v>
      </c>
    </row>
    <row r="11677" spans="1:29" ht="104" x14ac:dyDescent="0.15">
      <c r="A11677" s="3">
        <f>DATE(2016,12,21)</f>
        <v>42725</v>
      </c>
      <c r="B11677" s="3">
        <f>DATE(2017,5,18)</f>
        <v>42873</v>
      </c>
      <c r="C11677" s="2" t="s">
        <v>95</v>
      </c>
      <c r="D11677" s="2" t="s">
        <v>33626</v>
      </c>
      <c r="E11677" s="2" t="s">
        <v>33627</v>
      </c>
      <c r="F11677" s="4">
        <v>7372</v>
      </c>
      <c r="G11677" s="2" t="s">
        <v>551</v>
      </c>
      <c r="H11677" s="2" t="s">
        <v>34</v>
      </c>
      <c r="I11677" s="2" t="s">
        <v>32657</v>
      </c>
      <c r="J11677" s="2" t="s">
        <v>32658</v>
      </c>
      <c r="K11677" s="2" t="s">
        <v>137</v>
      </c>
      <c r="L11677" s="2" t="s">
        <v>99</v>
      </c>
      <c r="M11677" s="2"/>
      <c r="N11677" s="7">
        <v>70.921999999999997</v>
      </c>
      <c r="O11677" s="7">
        <v>70.361000000000004</v>
      </c>
      <c r="P11677" s="2" t="s">
        <v>33628</v>
      </c>
      <c r="Q11677" s="6">
        <v>100</v>
      </c>
      <c r="R11677" s="6">
        <v>13</v>
      </c>
      <c r="S11677" s="5">
        <v>-53.8</v>
      </c>
      <c r="T11677" s="7">
        <v>-2.9079999999999999</v>
      </c>
      <c r="U11677" s="5">
        <v>3.9</v>
      </c>
      <c r="V11677" s="9">
        <v>-0.57930000000000004</v>
      </c>
      <c r="W11677" s="5">
        <v>7.2</v>
      </c>
      <c r="X11677" s="6">
        <v>8.27</v>
      </c>
      <c r="Y11677" s="6">
        <v>10.55</v>
      </c>
      <c r="Z11677" s="6">
        <v>10.82</v>
      </c>
      <c r="AA11677" s="6">
        <v>102.62</v>
      </c>
      <c r="AB11677" s="2" t="s">
        <v>86</v>
      </c>
      <c r="AC11677" s="10">
        <v>3005.17</v>
      </c>
    </row>
    <row r="11678" spans="1:29" ht="130" x14ac:dyDescent="0.15">
      <c r="A11678" s="3">
        <f>DATE(2016,12,22)</f>
        <v>42726</v>
      </c>
      <c r="B11678" s="3">
        <f>DATE(2016,12,29)</f>
        <v>42733</v>
      </c>
      <c r="C11678" s="2" t="s">
        <v>95</v>
      </c>
      <c r="D11678" s="2" t="s">
        <v>33629</v>
      </c>
      <c r="E11678" s="2" t="s">
        <v>33630</v>
      </c>
      <c r="F11678" s="4">
        <v>7822</v>
      </c>
      <c r="G11678" s="2" t="s">
        <v>42</v>
      </c>
      <c r="H11678" s="2" t="s">
        <v>34</v>
      </c>
      <c r="I11678" s="2" t="s">
        <v>1558</v>
      </c>
      <c r="J11678" s="2" t="s">
        <v>52</v>
      </c>
      <c r="K11678" s="2" t="s">
        <v>53</v>
      </c>
      <c r="L11678" s="2" t="s">
        <v>34</v>
      </c>
      <c r="M11678" s="2"/>
      <c r="N11678" s="2"/>
      <c r="O11678" s="2"/>
      <c r="P11678" s="2" t="s">
        <v>33631</v>
      </c>
      <c r="Q11678" s="2"/>
      <c r="R11678" s="2"/>
      <c r="S11678" s="2"/>
      <c r="T11678" s="2"/>
      <c r="U11678" s="2"/>
      <c r="V11678" s="2"/>
      <c r="W11678" s="6">
        <v>1.35</v>
      </c>
      <c r="X11678" s="5">
        <v>1.4</v>
      </c>
      <c r="Y11678" s="5">
        <v>1.4</v>
      </c>
      <c r="Z11678" s="6">
        <v>1.42</v>
      </c>
      <c r="AA11678" s="6">
        <v>8.9600000000000009</v>
      </c>
      <c r="AB11678" s="2" t="s">
        <v>47</v>
      </c>
      <c r="AC11678" s="2"/>
    </row>
    <row r="11679" spans="1:29" ht="169" x14ac:dyDescent="0.15">
      <c r="A11679" s="3">
        <f>DATE(2016,12,29)</f>
        <v>42733</v>
      </c>
      <c r="B11679" s="3">
        <f>DATE(2017,6,16)</f>
        <v>42902</v>
      </c>
      <c r="C11679" s="2" t="s">
        <v>95</v>
      </c>
      <c r="D11679" s="2" t="s">
        <v>33632</v>
      </c>
      <c r="E11679" s="2" t="s">
        <v>33633</v>
      </c>
      <c r="F11679" s="4">
        <v>7372</v>
      </c>
      <c r="G11679" s="2" t="s">
        <v>551</v>
      </c>
      <c r="H11679" s="2" t="s">
        <v>34</v>
      </c>
      <c r="I11679" s="2" t="s">
        <v>33634</v>
      </c>
      <c r="J11679" s="2" t="s">
        <v>595</v>
      </c>
      <c r="K11679" s="2" t="s">
        <v>53</v>
      </c>
      <c r="L11679" s="2" t="s">
        <v>34</v>
      </c>
      <c r="M11679" s="2"/>
      <c r="N11679" s="2"/>
      <c r="O11679" s="2"/>
      <c r="P11679" s="2" t="s">
        <v>33635</v>
      </c>
      <c r="Q11679" s="6">
        <v>89.62</v>
      </c>
      <c r="R11679" s="6">
        <v>6.5</v>
      </c>
      <c r="S11679" s="5">
        <v>-4.0999999999999996</v>
      </c>
      <c r="T11679" s="7">
        <v>8.7409999999999997</v>
      </c>
      <c r="U11679" s="5">
        <v>4.5999999999999996</v>
      </c>
      <c r="V11679" s="9">
        <v>-0.1089</v>
      </c>
      <c r="W11679" s="6">
        <v>7.98</v>
      </c>
      <c r="X11679" s="6">
        <v>8.23</v>
      </c>
      <c r="Y11679" s="6">
        <v>8.24</v>
      </c>
      <c r="Z11679" s="6">
        <v>7.88</v>
      </c>
      <c r="AA11679" s="6">
        <v>39.43</v>
      </c>
      <c r="AB11679" s="2" t="s">
        <v>86</v>
      </c>
      <c r="AC11679" s="2"/>
    </row>
    <row r="11680" spans="1:29" x14ac:dyDescent="0.15">
      <c r="A11680" s="2"/>
      <c r="B11680" s="2"/>
      <c r="C11680" s="2"/>
      <c r="D11680" s="2"/>
      <c r="E11680" s="2"/>
      <c r="F11680" s="2"/>
      <c r="G11680" s="2"/>
      <c r="H11680" s="2"/>
      <c r="I11680" s="2"/>
      <c r="J11680" s="2"/>
      <c r="K11680" s="2"/>
      <c r="L11680" s="2"/>
      <c r="M11680" s="2"/>
      <c r="N11680" s="2"/>
      <c r="O11680" s="2"/>
      <c r="P11680" s="2"/>
      <c r="Q11680" s="2"/>
      <c r="R11680" s="2"/>
      <c r="S11680" s="2"/>
      <c r="T11680" s="2"/>
      <c r="U11680" s="2"/>
      <c r="V11680" s="2"/>
      <c r="W11680" s="2"/>
      <c r="X11680" s="2"/>
      <c r="Y11680" s="2"/>
      <c r="Z11680" s="2"/>
      <c r="AA11680" s="2"/>
      <c r="AB11680" s="2"/>
      <c r="AC11680" s="2"/>
    </row>
  </sheetData>
  <printOptions gridLines="1"/>
  <pageMargins left="1.7999999523162842" right="1.7999999523162842" top="1.8999999761581421" bottom="1.8999999761581421" header="0.5" footer="0.5"/>
  <pageSetup paperSize="0" fitToWidth="0" fitToHeight="0"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workbookViewId="0"/>
  </sheetViews>
  <sheetFormatPr baseColWidth="10" defaultColWidth="9.1640625" defaultRowHeight="13" x14ac:dyDescent="0.15"/>
  <cols>
    <col min="1" max="2" width="9.83203125" customWidth="1"/>
    <col min="3" max="3" width="65" customWidth="1"/>
    <col min="4" max="4" width="12.5" customWidth="1"/>
  </cols>
  <sheetData>
    <row r="1" spans="1:3" x14ac:dyDescent="0.15">
      <c r="A1" s="1" t="s">
        <v>0</v>
      </c>
    </row>
    <row r="2" spans="1:3" x14ac:dyDescent="0.15">
      <c r="A2" s="14" t="s">
        <v>33636</v>
      </c>
      <c r="B2" s="14" t="s">
        <v>33637</v>
      </c>
      <c r="C2" s="14" t="s">
        <v>33638</v>
      </c>
    </row>
    <row r="3" spans="1:3" x14ac:dyDescent="0.15">
      <c r="A3" s="15" t="s">
        <v>33639</v>
      </c>
      <c r="B3" s="14" t="s">
        <v>33640</v>
      </c>
      <c r="C3" s="14" t="s">
        <v>33641</v>
      </c>
    </row>
    <row r="4" spans="1:3" x14ac:dyDescent="0.15">
      <c r="A4" s="16" t="s">
        <v>33642</v>
      </c>
      <c r="B4" s="14" t="s">
        <v>33640</v>
      </c>
      <c r="C4" s="14" t="s">
        <v>33643</v>
      </c>
    </row>
    <row r="5" spans="1:3" x14ac:dyDescent="0.15">
      <c r="A5" s="16" t="s">
        <v>33644</v>
      </c>
      <c r="B5" s="16" t="s">
        <v>33645</v>
      </c>
      <c r="C5" s="14" t="s">
        <v>33646</v>
      </c>
    </row>
    <row r="6" spans="1:3" x14ac:dyDescent="0.15">
      <c r="A6" s="16" t="s">
        <v>33647</v>
      </c>
      <c r="B6" s="16" t="s">
        <v>33648</v>
      </c>
      <c r="C6" s="14" t="s">
        <v>33649</v>
      </c>
    </row>
    <row r="7" spans="1:3" ht="26" x14ac:dyDescent="0.15">
      <c r="A7" s="16" t="s">
        <v>33650</v>
      </c>
      <c r="B7" s="16" t="s">
        <v>33651</v>
      </c>
      <c r="C7" s="14" t="s">
        <v>33652</v>
      </c>
    </row>
    <row r="8" spans="1:3" ht="26" x14ac:dyDescent="0.15">
      <c r="A8" s="16" t="s">
        <v>33653</v>
      </c>
      <c r="B8" s="14" t="s">
        <v>33654</v>
      </c>
      <c r="C8" s="14" t="s">
        <v>33655</v>
      </c>
    </row>
    <row r="9" spans="1:3" x14ac:dyDescent="0.15">
      <c r="A9" s="14" t="s">
        <v>33654</v>
      </c>
      <c r="B9" s="14" t="s">
        <v>33654</v>
      </c>
      <c r="C9" s="14" t="s">
        <v>33656</v>
      </c>
    </row>
    <row r="10" spans="1:3" x14ac:dyDescent="0.15">
      <c r="A10" s="14" t="s">
        <v>33654</v>
      </c>
      <c r="B10" s="14" t="s">
        <v>33654</v>
      </c>
      <c r="C10" s="14" t="s">
        <v>33657</v>
      </c>
    </row>
    <row r="11" spans="1:3" x14ac:dyDescent="0.15">
      <c r="A11" s="14" t="s">
        <v>33654</v>
      </c>
      <c r="B11" s="14" t="s">
        <v>33654</v>
      </c>
      <c r="C11" s="14" t="s">
        <v>33658</v>
      </c>
    </row>
    <row r="12" spans="1:3" x14ac:dyDescent="0.15">
      <c r="A12" s="14" t="s">
        <v>33654</v>
      </c>
      <c r="B12" s="14" t="s">
        <v>33654</v>
      </c>
      <c r="C12" s="14" t="s">
        <v>33654</v>
      </c>
    </row>
  </sheetData>
  <printOptions gridLines="1"/>
  <pageMargins left="1.8" right="1.8" top="1.9" bottom="1.9" header="0.5" footer="0.5"/>
  <pageSetup paperSize="0" fitToWidth="0" fitToHeight="0"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Request 5</vt:lpstr>
      <vt:lpstr>Session Details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modified xsi:type="dcterms:W3CDTF">2017-10-21T23:08:28Z</dcterms:modified>
</cp:coreProperties>
</file>